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OS" sheetId="1" r:id="rId5"/>
    <sheet state="visible" name="HERRAMIENTAS" sheetId="2" r:id="rId6"/>
    <sheet state="visible" name="TIC" sheetId="3" r:id="rId7"/>
    <sheet state="visible" name="MOB-PEDG" sheetId="4" r:id="rId8"/>
    <sheet state="hidden" name="AVANCE" sheetId="5" r:id="rId9"/>
    <sheet state="visible" name="Hoja 10" sheetId="6" r:id="rId10"/>
    <sheet state="visible" name="Datos1-EQUIPOS" sheetId="7" r:id="rId11"/>
  </sheets>
  <definedNames>
    <definedName name="VF">#REF!</definedName>
    <definedName localSheetId="3" name="REQUERIMIENTO">'MOB-PEDG'!$K$4:$K$17</definedName>
    <definedName name="HERRAMIENTAS_V2">HERRAMIENTAS!$A$4:$AE$555</definedName>
    <definedName name="REQUERIMIENTO">HERRAMIENTAS!$AD$4:$AD$555</definedName>
    <definedName localSheetId="3" name="HERRAMIENTAS_V2">'MOB-PEDG'!$A$4:$W$17</definedName>
    <definedName localSheetId="3" name="VF">'MOB-PEDG'!$T$4:$T$17</definedName>
    <definedName hidden="1" localSheetId="5" name="_xlnm._FilterDatabase">'Hoja 10'!$A$3:$BD$2694</definedName>
    <definedName hidden="1" localSheetId="0" name="Z_F29BA64D_6D8B_466D_B4A9_31AC8CC58543_.wvu.FilterData">EQUIPOS!$A$4:$AG$478</definedName>
    <definedName hidden="1" localSheetId="1" name="Z_F29BA64D_6D8B_466D_B4A9_31AC8CC58543_.wvu.FilterData">HERRAMIENTAS!$A$4:$AI$556</definedName>
    <definedName hidden="1" localSheetId="0" name="Z_85DD4B17_26C7_4760_B02A_4CCDDCE525FE_.wvu.FilterData">EQUIPOS!$A$4:$Z$5</definedName>
    <definedName hidden="1" localSheetId="1" name="Z_360456C6_B6C5_494E_BA30_A081EE8B7AA3_.wvu.FilterData">HERRAMIENTAS!$A$4:$AH$555</definedName>
    <definedName hidden="1" localSheetId="1" name="Z_A342DC37_92D1_4766_8AB5_11119745D3CD_.wvu.FilterData">HERRAMIENTAS!$A$4:$AH$555</definedName>
    <definedName hidden="1" localSheetId="2" name="Z_A342DC37_92D1_4766_8AB5_11119745D3CD_.wvu.FilterData">TIC!$A$4:$AD$56</definedName>
    <definedName hidden="1" localSheetId="2" name="Z_9FB70F27_B6DD_456A_B688_1649FBDCBF68_.wvu.FilterData">TIC!$A$4:$AE$56</definedName>
    <definedName hidden="1" localSheetId="1" name="Z_211A2D2D_FF1A_427B_9FBC_F6A5EB7E3B18_.wvu.FilterData">HERRAMIENTAS!$A$4:$AI$556</definedName>
    <definedName hidden="1" localSheetId="0" name="Z_CB52A3D9_ADCF_4B05_883D_992D19BB0D23_.wvu.FilterData">EQUIPOS!$A$4:$AG$478</definedName>
    <definedName hidden="1" localSheetId="0" name="Z_4F12B303_AC9E_4A7C_B080_DEF39684F26A_.wvu.FilterData">EQUIPOS!$A$4:$AG$478</definedName>
    <definedName hidden="1" localSheetId="1" name="Z_4F12B303_AC9E_4A7C_B080_DEF39684F26A_.wvu.FilterData">HERRAMIENTAS!$A$4:$AI$556</definedName>
    <definedName hidden="1" localSheetId="0" name="Z_9085AB6F_8037_4797_9FB0_505AE80C8ECD_.wvu.FilterData">EQUIPOS!$A$4:$AG$478</definedName>
    <definedName hidden="1" localSheetId="1" name="Z_9085AB6F_8037_4797_9FB0_505AE80C8ECD_.wvu.FilterData">HERRAMIENTAS!$A$4:$AI$555</definedName>
    <definedName hidden="1" localSheetId="2" name="Z_9085AB6F_8037_4797_9FB0_505AE80C8ECD_.wvu.FilterData">TIC!$A$4:$AE$56</definedName>
    <definedName hidden="1" localSheetId="0" name="Z_9063AE3F_660D_4527_A33A_71BB884ED82B_.wvu.FilterData">EQUIPOS!$A$4:$AC$477</definedName>
    <definedName hidden="1" localSheetId="1" name="Z_9063AE3F_660D_4527_A33A_71BB884ED82B_.wvu.FilterData">HERRAMIENTAS!$A$4:$AE$555</definedName>
    <definedName hidden="1" localSheetId="2" name="Z_9063AE3F_660D_4527_A33A_71BB884ED82B_.wvu.FilterData">TIC!$A$4:$AC$56</definedName>
    <definedName hidden="1" localSheetId="3" name="Z_9063AE3F_660D_4527_A33A_71BB884ED82B_.wvu.FilterData">'MOB-PEDG'!$A$4:$W$17</definedName>
    <definedName hidden="1" localSheetId="1" name="Z_933EEF74_AB4F_42FD_9BD9_FAEFBE06EEFB_.wvu.FilterData">HERRAMIENTAS!$A$4:$AI$556</definedName>
  </definedNames>
  <calcPr/>
  <customWorkbookViews>
    <customWorkbookView activeSheetId="0" maximized="1" windowHeight="0" windowWidth="0" guid="{933EEF74-AB4F-42FD-9BD9-FAEFBE06EEFB}" name="bien no"/>
    <customWorkbookView activeSheetId="0" maximized="1" windowHeight="0" windowWidth="0" guid="{9085AB6F-8037-4797-9FB0-505AE80C8ECD}" name="- por check"/>
    <customWorkbookView activeSheetId="0" maximized="1" windowHeight="0" windowWidth="0" guid="{211A2D2D-FF1A-427B-9FBC-F6A5EB7E3B18}" name="diferentes"/>
    <customWorkbookView activeSheetId="0" maximized="1" windowHeight="0" windowWidth="0" guid="{A342DC37-92D1-4766-8AB5-11119745D3CD}" name="- corte camila"/>
    <customWorkbookView activeSheetId="0" maximized="1" windowHeight="0" windowWidth="0" guid="{9FB70F27-B6DD-456A-B688-1649FBDCBF68}" name="POR ACEPTAR"/>
    <customWorkbookView activeSheetId="0" maximized="1" windowHeight="0" windowWidth="0" guid="{360456C6-B6C5-494E-BA30-A081EE8B7AA3}" name="Revisar"/>
    <customWorkbookView activeSheetId="0" maximized="1" windowHeight="0" windowWidth="0" guid="{F29BA64D-6D8B-466D-B4A9-31AC8CC58543}" name="no igual ( pcp - tec )"/>
    <customWorkbookView activeSheetId="0" maximized="1" windowHeight="0" windowWidth="0" guid="{CB52A3D9-ADCF-4B05-883D-992D19BB0D23}" name="diferente a req"/>
    <customWorkbookView activeSheetId="0" maximized="1" windowHeight="0" windowWidth="0" guid="{85DD4B17-26C7-4760-B02A-4CCDDCE525FE}" name="JVB"/>
    <customWorkbookView activeSheetId="0" maximized="1" windowHeight="0" windowWidth="0" guid="{9063AE3F-660D-4527-A33A-71BB884ED82B}" name="-- bienes"/>
    <customWorkbookView activeSheetId="0" maximized="1" windowHeight="0" windowWidth="0" guid="{4F12B303-AC9E-4A7C-B080-DEF39684F26A}" name="POR APROBAR"/>
  </customWorkbookViews>
  <pivotCaches>
    <pivotCache cacheId="0" r:id="rId12"/>
    <pivotCache cacheId="1" r:id="rId1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REVISADO POR TICS</t>
      </text>
    </comment>
    <comment authorId="0" ref="C4">
      <text>
        <t xml:space="preserve">COLUMNA CON LÓGICA DE COMPRA</t>
      </text>
    </comment>
    <comment authorId="0" ref="I4">
      <text>
        <t xml:space="preserve">TOTAL QUE SE VA A COMPRAR</t>
      </text>
    </comment>
    <comment authorId="0" ref="O4">
      <text>
        <t xml:space="preserve">SOLO PARA EQUIPOS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INDICADOR DE SI HA SIDO REVISADO POR TICS</t>
      </text>
    </comment>
    <comment authorId="0" ref="C4">
      <text>
        <t xml:space="preserve">COLUMNA QUE INDICA SI VA EN REQ</t>
      </text>
    </comment>
    <comment authorId="0" ref="D4">
      <text>
        <t xml:space="preserve">BIEN - EQUIPO CON CÓDIGO
ACCESORIO - ADICIONAL AL PRODUCTO
COMPONENTE - CONFORMA EL PRODUCTO COMO TAL</t>
      </text>
    </comment>
    <comment authorId="0" ref="I4">
      <text>
        <t xml:space="preserve">TOTAL QUE SE VA A COMPRAR</t>
      </text>
    </comment>
    <comment authorId="0" ref="O4">
      <text>
        <t xml:space="preserve">SOLO PARA EQUIPOS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REVISADO POR TICS</t>
      </text>
    </comment>
    <comment authorId="0" ref="C4">
      <text>
        <t xml:space="preserve">COLUMNA CON LÓGICA DE COMPRA</t>
      </text>
    </comment>
    <comment authorId="0" ref="N4">
      <text>
        <t xml:space="preserve">SOLO PARA EQUIPOS</t>
      </text>
    </comment>
    <comment authorId="0" ref="H5">
      <text>
        <t xml:space="preserve">El nombre con el que aparece en EETT  es CÁMARA FILMADORA CON TRÍPODE</t>
      </text>
    </comment>
    <comment authorId="0" ref="H9">
      <text>
        <t xml:space="preserve">El nombre con el que aparece en EETT  es CÁMARA FILMADORA CON TRÍPODE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INDICADOR DE SI HA SIDO REVISADO POR TICS</t>
      </text>
    </comment>
    <comment authorId="0" ref="C4">
      <text>
        <t xml:space="preserve">COLUMNA QUE INDICA SI VA EN REQ</t>
      </text>
    </comment>
    <comment authorId="0" ref="D4">
      <text>
        <t xml:space="preserve">BIEN - EQUIPO CON CÓDIGO
ACCESORIO - ADICIONAL AL PRODUCTO
COMPONENTE - CONFORMA EL PRODUCTO COMO TAL</t>
      </text>
    </comment>
    <comment authorId="0" ref="N4">
      <text>
        <t xml:space="preserve">SOLO PARA ACCESORIOS, INDICA CARACTERÍSTICAS BÁSICAS</t>
      </text>
    </comment>
    <comment authorId="0" ref="Q4">
      <text>
        <t xml:space="preserve">SOLO PARA EQUIPOS</t>
      </text>
    </comment>
  </commentList>
</comments>
</file>

<file path=xl/sharedStrings.xml><?xml version="1.0" encoding="utf-8"?>
<sst xmlns="http://schemas.openxmlformats.org/spreadsheetml/2006/main" count="9973" uniqueCount="3881">
  <si>
    <t>DESGLOSE DE EQUIPOS</t>
  </si>
  <si>
    <t>👽</t>
  </si>
  <si>
    <t>🐈‍⬛</t>
  </si>
  <si>
    <t>PRIMERA VALIDACIÓN</t>
  </si>
  <si>
    <t>SEGUNDA VALIDACIÓN</t>
  </si>
  <si>
    <t>EXTRAÍDO DE PLAN DE COMPRAS</t>
  </si>
  <si>
    <t>N°</t>
  </si>
  <si>
    <t>REVISADO</t>
  </si>
  <si>
    <t>EN REQ</t>
  </si>
  <si>
    <t>RUBRO</t>
  </si>
  <si>
    <t>TIPO DE PRODUCTO</t>
  </si>
  <si>
    <t>CÓDIGO ENTIDAD</t>
  </si>
  <si>
    <t>CÓDIGO INTERNO (EETT)</t>
  </si>
  <si>
    <t>PRODUCTO</t>
  </si>
  <si>
    <t>CANT TOTAL</t>
  </si>
  <si>
    <t>CANT PLAN</t>
  </si>
  <si>
    <t>¿IGUAL?</t>
  </si>
  <si>
    <t>TALLER</t>
  </si>
  <si>
    <t>EETT</t>
  </si>
  <si>
    <t>DETALLE</t>
  </si>
  <si>
    <t>MARCA</t>
  </si>
  <si>
    <t>MODELO</t>
  </si>
  <si>
    <t>LINK DE REFERENCIA</t>
  </si>
  <si>
    <t>CET</t>
  </si>
  <si>
    <t>VALIDACIÓN FINAL</t>
  </si>
  <si>
    <t>FICHA TÉCNICA ACTUALIZADA</t>
  </si>
  <si>
    <t>TIPO DE VALIDACIÓN</t>
  </si>
  <si>
    <t>PROCEDENCIA</t>
  </si>
  <si>
    <t>COMPRADOR</t>
  </si>
  <si>
    <t>DESCRIPCIÓN SIDIGE</t>
  </si>
  <si>
    <t>N° REQ</t>
  </si>
  <si>
    <t>SKU</t>
  </si>
  <si>
    <t xml:space="preserve">DESCRIPCIÓN </t>
  </si>
  <si>
    <t>UNIDAD MEDIDA</t>
  </si>
  <si>
    <t>CORTE FILTRO PEDAGOGÍA</t>
  </si>
  <si>
    <t>BIEN</t>
  </si>
  <si>
    <t>EQUIPOS</t>
  </si>
  <si>
    <t>COM-106</t>
  </si>
  <si>
    <t>BALANZA 3KG</t>
  </si>
  <si>
    <t>INDUSTRIA ALIMENTARIA</t>
  </si>
  <si>
    <t>12 Taller_Industria_Alimentaria_Firmado.pdf</t>
  </si>
  <si>
    <t>COM-106 BALANZA 3KG - CET</t>
  </si>
  <si>
    <t>ACCESORIO</t>
  </si>
  <si>
    <t>COM-106.1</t>
  </si>
  <si>
    <t>FUNDA IMPERMEABLE (1 UND)</t>
  </si>
  <si>
    <t>CON PROVEEDOR EXTERNO</t>
  </si>
  <si>
    <t>256 x 124 x 288 mm</t>
  </si>
  <si>
    <t>GENÉRICO</t>
  </si>
  <si>
    <t>FUNDAS IMPERMEABLES 23 CM X 36 CM X 39 CM PARA BALANZA 3KG</t>
  </si>
  <si>
    <t>COM-107</t>
  </si>
  <si>
    <t>BALANZA 40KG</t>
  </si>
  <si>
    <t>COM-107 BALANZA 40KG - CET</t>
  </si>
  <si>
    <t>C</t>
  </si>
  <si>
    <t>COM-107.1</t>
  </si>
  <si>
    <t>342 x 330 x 475 mm</t>
  </si>
  <si>
    <t>GENERICO</t>
  </si>
  <si>
    <t>FUNDAS IMPERMEABLES 48 CM X 42 CM X 40 CM PARA BALANZA 40KG</t>
  </si>
  <si>
    <t>COM-108</t>
  </si>
  <si>
    <t>BALANZA 5KG</t>
  </si>
  <si>
    <t>COM-108 BALANZA 5KG - CET</t>
  </si>
  <si>
    <t>COM-108.1</t>
  </si>
  <si>
    <t>CARGADOR DE PILAS RECARGABLES (1 UND)</t>
  </si>
  <si>
    <t>CARGADOR DE PILAS AA/AAA</t>
  </si>
  <si>
    <t>https://www.coolbox.pe/cargador-de-pilas-radioshack-aaaaa-2-pilas-aa-2309221/p</t>
  </si>
  <si>
    <t>Beston</t>
  </si>
  <si>
    <t>HD-4883</t>
  </si>
  <si>
    <t>COM-108.2</t>
  </si>
  <si>
    <t>PACK DE 2 PILAS RECARGABLES (1 UND)</t>
  </si>
  <si>
    <t>PILAS RECARGABLES  AAA 800 MAH</t>
  </si>
  <si>
    <t>https://www.coolbox.pe/pila-recargable-energizer-aaa-x2-220390/p</t>
  </si>
  <si>
    <t>Camelion</t>
  </si>
  <si>
    <t>COM-108.3</t>
  </si>
  <si>
    <t>195 x 180 x 50 mm</t>
  </si>
  <si>
    <t>FUNDAS IMPERMEABLES 22 CM X 23 CM X 9 CM PARA BALANZA 5KG</t>
  </si>
  <si>
    <t>COM-110</t>
  </si>
  <si>
    <t>COM-110-X</t>
  </si>
  <si>
    <t>BALANZA DIGITAL</t>
  </si>
  <si>
    <t>COCINA Y REPOSTERÍA</t>
  </si>
  <si>
    <t>5 Taller_Cocina y Respostería_Firmado.pdf</t>
  </si>
  <si>
    <t>COM-110-X BALANZA DIGITAL - CET</t>
  </si>
  <si>
    <t>COM-110-X.1</t>
  </si>
  <si>
    <t>360 x 435 x 365 mm</t>
  </si>
  <si>
    <t>FUNDAS IMPERMEABLES 48 CM X 42 CM X 40 CM PARA BALANZA DIGITAL</t>
  </si>
  <si>
    <t>COM-110-Y</t>
  </si>
  <si>
    <t>COM-110-Y BALANZA DIGITAL - CET</t>
  </si>
  <si>
    <t>COM-110-Y.1</t>
  </si>
  <si>
    <t>COM-111</t>
  </si>
  <si>
    <t>BALANZA GRAMERA 500G</t>
  </si>
  <si>
    <t>COM-111 BALANZA GRAMERA 500G - CET</t>
  </si>
  <si>
    <t>COM-123</t>
  </si>
  <si>
    <t>CABINA DE SOLDAR CON MESA DE TRABAJO</t>
  </si>
  <si>
    <t>CONSTRUCCIONES METÁLICAS</t>
  </si>
  <si>
    <t>16 Taller_Construcciones Metálicas_Firmado.pdf</t>
  </si>
  <si>
    <t>SE MANDA A FABRICAR</t>
  </si>
  <si>
    <t>COM-123 CABINA DE SOLDAR CON MESA DE TRABAJO - CET</t>
  </si>
  <si>
    <t>COMPONENTE</t>
  </si>
  <si>
    <t>COM-123.1</t>
  </si>
  <si>
    <t>CABINA DE SOLDAR 2.20 X 0.90 X 0.90 M (1 UND)</t>
  </si>
  <si>
    <t>HUGO</t>
  </si>
  <si>
    <t>A MEDIDA</t>
  </si>
  <si>
    <t>COM-123.2</t>
  </si>
  <si>
    <t>MESA DE SOLDADURA MÓVIL 0.80 X 0.60 X 0.75 M (1 UND)</t>
  </si>
  <si>
    <t>ESP-103</t>
  </si>
  <si>
    <t>AMOLADORA</t>
  </si>
  <si>
    <t>MECÁNICA AUTOMOTRÍZ, CONSTRUCCIONES METÁLICAS</t>
  </si>
  <si>
    <t>1 Taller_Mecanica_Automotriz_Firmado.pdf</t>
  </si>
  <si>
    <t>ESP-103 AMOLADORA - CET</t>
  </si>
  <si>
    <t>ESP-103.1</t>
  </si>
  <si>
    <t>DISCO DIAMANTADO 125 MM (5 UND)</t>
  </si>
  <si>
    <t>DISCO DIAMANTADO DE 125 mm</t>
  </si>
  <si>
    <t>https://www.maqcenter.pe/product/vaso-diamantado-para-concreto-segmentado-125-x-22-23mm-bosch-2608-601-762</t>
  </si>
  <si>
    <t>BOSCH</t>
  </si>
  <si>
    <t xml:space="preserve"> 2608.601.762-000</t>
  </si>
  <si>
    <t>https://drive.google.com/file/d/1V2qh049uZB1V53EYh7eIWzBpKuZA9Hec/view?usp=sharing</t>
  </si>
  <si>
    <t>ESP-103.2</t>
  </si>
  <si>
    <t>FUNDA DE POLIAMIDA  (1 UND)</t>
  </si>
  <si>
    <t>FUNDAS DE POLIAMIDAS 35.2 CM x 31.5 CM x 15.8 CM PARA AMOLADORA</t>
  </si>
  <si>
    <t>ESP-103.3</t>
  </si>
  <si>
    <t>MANUAL DE INSTRUCCIONES (1 UND)</t>
  </si>
  <si>
    <t>INCLUÍDO</t>
  </si>
  <si>
    <t>ESP-104</t>
  </si>
  <si>
    <t>ANALIZADOR DE ESPECTRO</t>
  </si>
  <si>
    <t>ELECTRÓNICA</t>
  </si>
  <si>
    <t>11 Taller_Electrónica_Firmado.pdf</t>
  </si>
  <si>
    <t>ESP-104 ANALIZADOR DE ESPECTRO - CET</t>
  </si>
  <si>
    <t>ESP-105</t>
  </si>
  <si>
    <t>ANALIZADOR DE GAS DE ESCAPE</t>
  </si>
  <si>
    <t>MECÁNICA AUTOMOTRÍZ</t>
  </si>
  <si>
    <t>ESP-105 ANALIZADOR DE GAS DE ESCAPE - CET</t>
  </si>
  <si>
    <t>ESP-105.1</t>
  </si>
  <si>
    <t>CAJA DE ACUMULACIÓN DE GAS (1 UND)</t>
  </si>
  <si>
    <t>TEDLAR</t>
  </si>
  <si>
    <t>1L</t>
  </si>
  <si>
    <t>ESP-105.2</t>
  </si>
  <si>
    <t>BOMBA DE PULSOS (1 UND)</t>
  </si>
  <si>
    <t>MAHLE</t>
  </si>
  <si>
    <t>ESP-105.3</t>
  </si>
  <si>
    <t>DECANTADOR DE AGUA (1 UND)</t>
  </si>
  <si>
    <t>ESP-105.4</t>
  </si>
  <si>
    <t>SONDA DE PRUEBA CON MUELLES DE FIJACIÓN (1 UND)</t>
  </si>
  <si>
    <t>ESP-105.5</t>
  </si>
  <si>
    <t>TUBOS FLEXIBLES (3 UND)</t>
  </si>
  <si>
    <t>COMEX</t>
  </si>
  <si>
    <t>POR CONFIRMAR</t>
  </si>
  <si>
    <t>ESP-109</t>
  </si>
  <si>
    <t>ATORNILLADOR PORTÁTIL</t>
  </si>
  <si>
    <t>ESP-109 ATORNILLADOR PORTÁTIL - CET</t>
  </si>
  <si>
    <t>ESP-109.1</t>
  </si>
  <si>
    <t>SET DE PUNTAS PARA ATORNILLAR (1 UND)</t>
  </si>
  <si>
    <t>SET DE PUNTAS ACERO 32 UNIDADES</t>
  </si>
  <si>
    <t>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t>
  </si>
  <si>
    <t>Kit de puntas para atornillar Bosch con 32 unidades</t>
  </si>
  <si>
    <t>https://www.pe.tiendaboschonline.com/kit-de-puntas-para-atornillar-bosch-con-32-unidades/p</t>
  </si>
  <si>
    <t>ESP-110</t>
  </si>
  <si>
    <t>AUTOCLAVE 18 LITROS (ESTERILIZACIÓN)</t>
  </si>
  <si>
    <t>ESP-110 AUTOCLAVE 18 LITROS (ESTERILIZACIÓN) - CET</t>
  </si>
  <si>
    <t>ESP-110.1</t>
  </si>
  <si>
    <t>410 x 410 x 520 mm</t>
  </si>
  <si>
    <t>FUNDAS IMPERMEABLES 49 CM X 47 CM X 68 CM PARA AUTOCLAVE 18 LITROS (ESTERILIZACIÓN)</t>
  </si>
  <si>
    <t>ESP-111</t>
  </si>
  <si>
    <t>BATIDORA</t>
  </si>
  <si>
    <t>ESP-111 BATIDORA - CET</t>
  </si>
  <si>
    <t>ESP-112</t>
  </si>
  <si>
    <t>BATIDORA AMASADORA MEZCLADORA 5 LT</t>
  </si>
  <si>
    <t>ESP-112 BATIDORA AMASADORA MEZCLADORA 5 LT - CET</t>
  </si>
  <si>
    <t>ESP-112.1</t>
  </si>
  <si>
    <t>CON PROVEEDOR O EXTERNO</t>
  </si>
  <si>
    <t>435 X 266 X 435</t>
  </si>
  <si>
    <t>FUNDAS IMPERMEABLES 43,5 CM X 26,6 CM X 43,5 CM PARA BATIDORA AMASADORA MEZCLADORA 5 LT</t>
  </si>
  <si>
    <t>ESP-113</t>
  </si>
  <si>
    <t>BATIDORA MULTIFUNCIONAL</t>
  </si>
  <si>
    <t>ESP-113 BATIDORA MULTIFUNCIONAL - CET</t>
  </si>
  <si>
    <t>ESP-113.1</t>
  </si>
  <si>
    <t>435 x 266 x 435 mm</t>
  </si>
  <si>
    <t>FUNDAS IMPERMEABLES 32 CM X 17 CM X 31,5 CM PARA BATIDORA MULTIFUNCIONAL</t>
  </si>
  <si>
    <t>ESP-113.2</t>
  </si>
  <si>
    <t xml:space="preserve">MANUAL DE INSTRUCCIONES (1 UND)
</t>
  </si>
  <si>
    <t>INCLUÍDO (en inglés)</t>
  </si>
  <si>
    <t>ESP-114</t>
  </si>
  <si>
    <t>BLOCK DE CONTACTORES AUXILIAR NC - NO</t>
  </si>
  <si>
    <t>ELECTRICIDAD</t>
  </si>
  <si>
    <t>15 Taller_Electricidad_Firmado.pdf</t>
  </si>
  <si>
    <t>ESP-114 BLOCK DE CONTACTORES AUXILIAR NC - NO - CET</t>
  </si>
  <si>
    <t>ESP-116</t>
  </si>
  <si>
    <t>BORDADORA DOMESTICA DIGITAL, ÁREA DE TRABAJO DE 300 MM X 180 MM</t>
  </si>
  <si>
    <t>INDUSTRIA DEL VESTIDO</t>
  </si>
  <si>
    <t>4 Taller_Industria del vestido_Firmado.pdf</t>
  </si>
  <si>
    <t>BROTHER</t>
  </si>
  <si>
    <t>ESP-116 BORDADORA DOMESTICA DIGITAL, ÁREA DE TRABAJO DE 300 MM X 180 MM - CET</t>
  </si>
  <si>
    <t>ESP-116.1</t>
  </si>
  <si>
    <t>PIE DE TRANSPORTE SUPERIOR MOTORIZADO (1 UND)</t>
  </si>
  <si>
    <t>ACCESORIO BROTHER - DIRECT DUAL FEED</t>
  </si>
  <si>
    <t>DIRECT DUAL FEED</t>
  </si>
  <si>
    <t>https://sewingcraft.brother.eu/en/products/machines/combination-machines/combination-machines/innov-is-v5le?utm_source=chatgpt.com</t>
  </si>
  <si>
    <t>ESP-116.2</t>
  </si>
  <si>
    <t>PUNTERO LÁSER (1 UND)</t>
  </si>
  <si>
    <t>ACCESORIO BROTHER - LED POINTER</t>
  </si>
  <si>
    <t>LED POINTER</t>
  </si>
  <si>
    <t>ESP-116.3</t>
  </si>
  <si>
    <t>PIE DE BORDADO MARCADO CON LUZ LED (1 UND)</t>
  </si>
  <si>
    <t>ACCESORIO BROTHER - EMBROIDERY FOOT WITH LED POINTER FLED1</t>
  </si>
  <si>
    <t>EMBROIDERY FOOT WITH LED POINTER FLED1</t>
  </si>
  <si>
    <t>https://sewingcraft.brother.eu/en/accessories/sewing-machine-accessories/fled1</t>
  </si>
  <si>
    <t>ESP-116.4</t>
  </si>
  <si>
    <t>BASTIDOR 10 X 10 CM (1 UND)</t>
  </si>
  <si>
    <t>ACCESORIO BROTHER - BASTIDOR EF74</t>
  </si>
  <si>
    <t>BASTIDOR EF74</t>
  </si>
  <si>
    <t>https://sewingcraft.brother.eu/en/accessories/sewing-machine-accessories/ef74</t>
  </si>
  <si>
    <t>ESP-116.5</t>
  </si>
  <si>
    <t>BASTIDOR 18 X 13 CM (1 UND)</t>
  </si>
  <si>
    <t>ACCESORIO BROTHER - BASTIDOR EF75</t>
  </si>
  <si>
    <t>BASTIDOR EF75</t>
  </si>
  <si>
    <t>https://sewingcraft.brother.eu/en/accessories/sewing-machine-accessories/ef75</t>
  </si>
  <si>
    <t>ESP-116.6</t>
  </si>
  <si>
    <t>BASTIDOR 30 X 18 CM  (1 UND)</t>
  </si>
  <si>
    <t>ACCESORIO BROTHER - BASTIDOR EF76</t>
  </si>
  <si>
    <t>BASTIDOR EF76</t>
  </si>
  <si>
    <t>https://sewingcraft.brother.eu/en/accessories/sewing-machine-accessories/ef76</t>
  </si>
  <si>
    <t>ESP-117</t>
  </si>
  <si>
    <t>BOTÓN PULSADOR INDUSTRIAL (VERDE, AMARILLO, ROJO)</t>
  </si>
  <si>
    <t>UNO ROJO, UNO VERDE, UNO AMARILLO</t>
  </si>
  <si>
    <t>ESP-117 BOTÓN PULSADOR INDUSTRIAL (VERDE, AMARILLO, ROJO) - CET</t>
  </si>
  <si>
    <t>ESP-117.1</t>
  </si>
  <si>
    <t>BOTÓN PULSADOR INDUSTRIAL VERDE (1 UND)</t>
  </si>
  <si>
    <t>STECK</t>
  </si>
  <si>
    <t>VERDE SLMRN2</t>
  </si>
  <si>
    <t>ESP-117.2</t>
  </si>
  <si>
    <t>BOTÓN PULSADOR INDUSTRIAL AMARILLO (1 UND)</t>
  </si>
  <si>
    <t>AMAARILLO SLMRN3</t>
  </si>
  <si>
    <t>ESP-117.3</t>
  </si>
  <si>
    <t>BOTÓN PULSADOR INDUSTRIAL ROJO (1 UND)</t>
  </si>
  <si>
    <t>ROJO SLMRN1</t>
  </si>
  <si>
    <t>ESP-117.4</t>
  </si>
  <si>
    <t>BLOQUE DE CONTACTO (3 UND)</t>
  </si>
  <si>
    <t>SLPL42</t>
  </si>
  <si>
    <t>ESP-118</t>
  </si>
  <si>
    <t>CAMPANA EXTRACTORA ISLA CON EQUIPOS DE EXTRACCIÓN</t>
  </si>
  <si>
    <t>ESP-118 CAMPANA EXTRACTORA ISLA CON EQUIPOS DE EXTRACCIÓN - CET</t>
  </si>
  <si>
    <t>ESP-118.1</t>
  </si>
  <si>
    <t>ACCESORIOS DE INSTALACIÓN</t>
  </si>
  <si>
    <t>ESP-119</t>
  </si>
  <si>
    <t>CAPACÍMETRO DIGITAL</t>
  </si>
  <si>
    <t>ESP-119 CAPACÍMETRO DIGITAL - CET</t>
  </si>
  <si>
    <t>ESP-120</t>
  </si>
  <si>
    <t>CARGADOR DE BATERÍA</t>
  </si>
  <si>
    <t>ESP-120 CARGADOR DE BATERÍA - CET</t>
  </si>
  <si>
    <t>ESP-121</t>
  </si>
  <si>
    <t>CAUTÍN</t>
  </si>
  <si>
    <t>ESP-121 CAUTÍN - CET</t>
  </si>
  <si>
    <t>PROMATISA</t>
  </si>
  <si>
    <t>Cautín eléctrico 220V-30W T.lápicero madera</t>
  </si>
  <si>
    <t>https://www.promart.pe/cautin-electrico-220v-30w-t-lapicero-madera/p</t>
  </si>
  <si>
    <t>ESP-121.1</t>
  </si>
  <si>
    <t>SOPORTE DE CAUTÍN (1 UND)</t>
  </si>
  <si>
    <t xml:space="preserve">SOPORTE DE CAUTÍN </t>
  </si>
  <si>
    <t>https://www.promart.pe/soporte-de-cautin-metal-pesado/p?gad_source=1&amp;gad_campaignid=22932501259&amp;gbraid=0AAAAADJIfAJgSvKabG2GnPwrq3k6Yqddv&amp;gclid=CjwKCAjw6P3GBhBVEiwAJPjmLvm3ljkm0SxQnmi1tkLz487IL7dbrcUNBI-gC94vkstPyfZ7CNI2shoCEQQQAvD_BwE</t>
  </si>
  <si>
    <t>TAKEMA</t>
  </si>
  <si>
    <t>ZD-10C</t>
  </si>
  <si>
    <t>https://westor.pe/soporte-para-cautin-con-base-y-esponja-zd-10c-takema/</t>
  </si>
  <si>
    <t>ESP-121.2</t>
  </si>
  <si>
    <t>LIMPIADOR DE PUNTA (1 UND)</t>
  </si>
  <si>
    <t>LIMPIADOR DE PUNTAS METÁLICO PARA CAUTÍN</t>
  </si>
  <si>
    <t>https://www.mercadolibre.com.pe/limpiador-de-puntas-metalico-para-cautin--takema/up/MPEU2463401498?has_official_store=false&amp;highlight=false&amp;headerTopBrand=false#polycard_client=search-nordic&amp;search_layout=grid&amp;position=3&amp;type=product&amp;tracking_id=b698c16e-d0c3-44e1-afb3-1f63d512b4de&amp;wid=MPE622495745&amp;sid=search</t>
  </si>
  <si>
    <t>ZD-10W-2</t>
  </si>
  <si>
    <t>https://westor.pe/limpiador-de-puntas-de-cautin-zd-10w-2-takema/</t>
  </si>
  <si>
    <t>ESP-122</t>
  </si>
  <si>
    <t>CIZALLA GUILLOTINA MECÁNICA</t>
  </si>
  <si>
    <t>ESP-122 CIZALLA GUILLOTINA MECÁNICA - CET</t>
  </si>
  <si>
    <t>ESP-124</t>
  </si>
  <si>
    <t>COCINA 1 HORNILLA A GAS</t>
  </si>
  <si>
    <t>ESP-124 COCINA 1 HORNILLA A GAS - CET</t>
  </si>
  <si>
    <t>ESP-125</t>
  </si>
  <si>
    <t>COCINA DE INDUCCIÓN CON 5 ZONAS DE COCCIÓN Y CON HORNO MULTIFUNCIONAL</t>
  </si>
  <si>
    <t>ESP-125 COCINA DE INDUCCIÓN CON 5 ZONAS DE COCCIÓN Y CON HORNO MULTIFUNCIONAL - CET</t>
  </si>
  <si>
    <t>ESP-125.1</t>
  </si>
  <si>
    <t>SMEG</t>
  </si>
  <si>
    <t>SCRP</t>
  </si>
  <si>
    <t>chrome-extension://efaidnbmnnnibpcajpcglclefindmkaj/https://pi-exchange.smeg.it/catalog/CPF9IPOR/en-GB</t>
  </si>
  <si>
    <t>ESP-125.2</t>
  </si>
  <si>
    <t>GRILLPLATE</t>
  </si>
  <si>
    <t>ESP-125.3</t>
  </si>
  <si>
    <t>BANDEJA PROFUNDA 40 MM (1 UND)</t>
  </si>
  <si>
    <t>BN940</t>
  </si>
  <si>
    <t>ESP-125.4</t>
  </si>
  <si>
    <t>REJILLA CON TOPE (1 UND)</t>
  </si>
  <si>
    <t>Rejilla con tope trasero y lateral</t>
  </si>
  <si>
    <t xml:space="preserve">chrome-extension://efaidnbmnnnibpcajpcglclefindmkaj/https://pi-exchange.smeg.it/catalog/CPF9IPOR/en-GB  </t>
  </si>
  <si>
    <t>ESP-126</t>
  </si>
  <si>
    <t>ESP-126-X</t>
  </si>
  <si>
    <t>COCINA SEMI INDUSTRIAL</t>
  </si>
  <si>
    <t>ESP-126-X COCINA SEMI INDUSTRIAL - CET</t>
  </si>
  <si>
    <t>ESP-126-Y</t>
  </si>
  <si>
    <t>COCINA SEMI INDUSTRIAL A GAS</t>
  </si>
  <si>
    <t>ESP-126-Y COCINA SEMI INDUSTRIAL A GAS - CET</t>
  </si>
  <si>
    <t>ESP-128</t>
  </si>
  <si>
    <t>COMPRENSORA DE AIRE DE 50 LITROS</t>
  </si>
  <si>
    <t>EBANISTERÍA</t>
  </si>
  <si>
    <t>6 Taller_Ebanistería_Firmado.pdf</t>
  </si>
  <si>
    <t>ESP-128 COMPRENSORA DE AIRE DE 50 LITROS - CET</t>
  </si>
  <si>
    <t>ESP-128.1</t>
  </si>
  <si>
    <t>FILTRO Y REGULADOR DE AIRE (1 UND)</t>
  </si>
  <si>
    <t>1/4" NPT TRUPER 19238</t>
  </si>
  <si>
    <t>https://cahema.pe/filtro/16133-filtro-y-regulador-de-aire-14-npt-truper-19238-7501206628607.html</t>
  </si>
  <si>
    <t>TRUPER</t>
  </si>
  <si>
    <t>ESP-128.2</t>
  </si>
  <si>
    <t>KIT ACCESORIOS DE COMPRESOR AIRE (1 UND)</t>
  </si>
  <si>
    <t>1/4 14 Pzas TC2029 TOOLCRAFT</t>
  </si>
  <si>
    <t>https://cahema.pe/juego-de-accesorios/8237-kit-accesorios-compresor-aire-14-14-pzas-tc2029-toolcraft-7501892804026.html</t>
  </si>
  <si>
    <t>TOOLCARFT</t>
  </si>
  <si>
    <t>TC2029</t>
  </si>
  <si>
    <t>ESP-128.3</t>
  </si>
  <si>
    <t>ADAPTADOR DE ROSCA 1/2" (1 UND)</t>
  </si>
  <si>
    <t>ESP-130</t>
  </si>
  <si>
    <t>COMPRESORA DE AIRE (50L - 2HP)</t>
  </si>
  <si>
    <t>ESP-130 COMPRESORA DE AIRE (50L - 2HP) - CET</t>
  </si>
  <si>
    <t>ESP-131</t>
  </si>
  <si>
    <t>COMPRESORA DE AIRE (50L - 3HP)</t>
  </si>
  <si>
    <t>ESP-131 COMPRESORA DE AIRE (50L - 3HP) - CET</t>
  </si>
  <si>
    <t>EINHELL</t>
  </si>
  <si>
    <t>TC-AC 420/50/10 V</t>
  </si>
  <si>
    <t>https://docs.google.com/spreadsheets/d/19YosAmj_OvIfChEVT_fA37lQeHG-KBhIfS2SV-mx4F8/edit?gid=0#gid=0</t>
  </si>
  <si>
    <t>ESP-131.1</t>
  </si>
  <si>
    <t>MANGUERA DE AIRE (5 M) (1 UND)</t>
  </si>
  <si>
    <t>MANGUERA DE AIRE 1/4" 5M LAGO</t>
  </si>
  <si>
    <t>https://sodimac.falabella.com.pe/sodimac-pe/product/113087428/Manguera-de-Aire-1-4-5m-Lago/113087433</t>
  </si>
  <si>
    <t>3/8"" - 5 METROS</t>
  </si>
  <si>
    <t>https://ferrincorp.com.pe/product/manguera-para-compresor-de-pvc-5m-x-3-8/?srsltid=AfmBOoqOY2kOoUZO8r9b35MqpiD0xfxr-eyU5Lif4Q-qfUfLWgutPb9C</t>
  </si>
  <si>
    <t>ESP-132</t>
  </si>
  <si>
    <t>COMPROBADORES DE ENCENDIDO</t>
  </si>
  <si>
    <t>ESP-132 COMPROBADORES DE ENCENDIDO - CET</t>
  </si>
  <si>
    <t>ESP-133</t>
  </si>
  <si>
    <t>ESP-133-X</t>
  </si>
  <si>
    <t>CONSERVADORA / CONGELADORA PUERTA VIDRIO VERTICAL   55 LT DUAL</t>
  </si>
  <si>
    <t>ESP-133-X CONSERVADORA / CONGELADORA PUERTA VIDRIO VERTICAL   55 LT DUAL - CET</t>
  </si>
  <si>
    <t>ESP-133-Y</t>
  </si>
  <si>
    <t>CONSERVADORA / CONGELADORA PUERTA VIDRIO VERTICAL 55 LT DUAL</t>
  </si>
  <si>
    <t>ESP-133-Y CONSERVADORA / CONGELADORA PUERTA VIDRIO VERTICAL   55 LT DUAL - CET</t>
  </si>
  <si>
    <t>ESP-134</t>
  </si>
  <si>
    <t>CONSOLA DE SONIDO</t>
  </si>
  <si>
    <t>COMPUTACIÓN E INFORMÁTICA</t>
  </si>
  <si>
    <t>8 Taller_Computación e informatica_Firmado.pdf</t>
  </si>
  <si>
    <t>ESP-134 CONSOLA DE SONIDO - CET</t>
  </si>
  <si>
    <t>ESP-134.1</t>
  </si>
  <si>
    <t>CABLE XLR CON TERMINAL CANON (2 UND)</t>
  </si>
  <si>
    <t>CABLE BALANCEADO XLR MACHO A XLR HEMBRA MRS BKSTG-X3M-X3F-1</t>
  </si>
  <si>
    <t>https://digitronik.pe/products/cable-balanceado-xlr-macho-a-xlr-hembra-mrs-bkstg-x3m-x3f-1</t>
  </si>
  <si>
    <t>ESP-134.2</t>
  </si>
  <si>
    <t>CABLE PARA AUDIO CON: 1 TERMINAL MINI PLUG, 2 TERMINALES PLUG O JACK (2 UND)</t>
  </si>
  <si>
    <t>CABLE DE AUDIO 1 PLUG 3.5MM MACHO A 2 PLUG 6.3MM MACHP 1.80MTS PE-RS0109 NETCOM</t>
  </si>
  <si>
    <t>https://digitronik.pe/products/cable-de-audio-1-plug-3-5mm-macho-a-2-plug-6-3mm-machp-1-80mts-pe-rs0109-netcom</t>
  </si>
  <si>
    <t>ESP-134.3</t>
  </si>
  <si>
    <t>CABLE PARA AUDIO CON: 1 TERMINAL MINI PLUG, 2 TERMINALES RCA (2 UND)</t>
  </si>
  <si>
    <t>CABLE DE AUDIO 2 RCA MACHO A 1 PLUG 3.5MM 1.8MTS NETCOM PE-RS0112</t>
  </si>
  <si>
    <t>https://digitronik.pe/products/cable-de-audio-2-rca-a-1-plug-3-5mm-1-8mts-netcom-pe-rs0112</t>
  </si>
  <si>
    <t>ESP-134.4</t>
  </si>
  <si>
    <t>CABLE USB PARA CONECTAR AL COMPUTADOR (1 UND)</t>
  </si>
  <si>
    <t>CABLE EXTENSION USB 2.0 MACHO A MACHO 1.5Mts</t>
  </si>
  <si>
    <t>https://www.sodimac.com.pe/sodimac-pe/articulo/120938242/CABLE-EXTENSION-USB-2.0-MACHO-A-MACHO-1.5Mts/120938245?kid=goosho_669251&amp;shop=googleShopping&amp;gad_source=1&amp;gad_campaignid=21524729896&amp;gbraid=0AAAAADOx_18DSni6LSGXs5qp5YVRiTDeX&amp;gclid=Cj0KCQjwmYzIBhC6ARIsAHA3IkSt72gTyRCzPjm4W4ztyLKudYKI_Br0c2Lr3ibYuePB34fU3I0Asc0aAuFBEALw_wcB</t>
  </si>
  <si>
    <t>ESP-134.5</t>
  </si>
  <si>
    <t>CONECTORES PARA ADAPTARLOS TERMINALES RCA A PLUG (2 UND)</t>
  </si>
  <si>
    <t>ADAPTADOR DE AUDIO 2 RCA A PLUG STEREO 6.35MM SEETRONIC MP3-2RF</t>
  </si>
  <si>
    <t>https://digitronik.pe/products/adaptador-de-audio-2-rca-a-plug-stereo-6-35mm-seetronic-mp3-2rf</t>
  </si>
  <si>
    <t>ESP-134.6</t>
  </si>
  <si>
    <t>MICRÓFONO XLR (2 UND)</t>
  </si>
  <si>
    <t>ESP-135</t>
  </si>
  <si>
    <t>CONTACTOR TRIPOLAR</t>
  </si>
  <si>
    <t>ESP-135 CONTACTOR TRIPOLAR - CET</t>
  </si>
  <si>
    <t>ESP-138</t>
  </si>
  <si>
    <t>CORTADORA LÁSER CO2 (AREA DE TRABAJO MINIMO: 1300 X 900 MM)</t>
  </si>
  <si>
    <t>ESP-138 CORTADORA LÁSER CO2 1300 x 900 mm ( EB ) - CET</t>
  </si>
  <si>
    <t>ESP-138.1</t>
  </si>
  <si>
    <t>USB PARA DRIVERS Y MANUALES (1 UND)</t>
  </si>
  <si>
    <t>ESP-139</t>
  </si>
  <si>
    <t>ESP-139-X</t>
  </si>
  <si>
    <t>CORTADORA LÁSER CO2</t>
  </si>
  <si>
    <t>INDUSTRIA DEL VESTIDO, INDUSTRIA ALIMENTARIA</t>
  </si>
  <si>
    <t>ESP-139-X CORTADORA LÁSER CO2 ( IV ) - CET</t>
  </si>
  <si>
    <t>ESP-139-X.1</t>
  </si>
  <si>
    <t>TROTEC</t>
  </si>
  <si>
    <t>INCLUIDO?</t>
  </si>
  <si>
    <t>ESP-139-Y</t>
  </si>
  <si>
    <t>CORTADORA LÁSER CO2 (AREA DE TRABAJO MINIMO: 600 X 400 MM )</t>
  </si>
  <si>
    <t>ESP-139-Y CORTADORA LÁSER CO2 600 x 400 mm ( EB ) - CET</t>
  </si>
  <si>
    <t>ESP-139-Y.1</t>
  </si>
  <si>
    <t>ESP-140</t>
  </si>
  <si>
    <t>ESP-140 CORTADORA LÁSER CO2 - CET</t>
  </si>
  <si>
    <t>ESP-144</t>
  </si>
  <si>
    <t>CURVADORA DE TUBOS HIDRÁULICO</t>
  </si>
  <si>
    <t>SOLICITAR LA VERSION MONOFÁSICA</t>
  </si>
  <si>
    <t>ESP-144 CURVADORA DE TUBOS HIDRÁULICO - CET</t>
  </si>
  <si>
    <t>ESP-147</t>
  </si>
  <si>
    <t>DESHIDRATADORA</t>
  </si>
  <si>
    <t>ESP-147 DESHIDRATADORA - CET</t>
  </si>
  <si>
    <t>ESP-147.1</t>
  </si>
  <si>
    <t>FUNDA PROTECTORA IMPERNEABLE (1 UND)</t>
  </si>
  <si>
    <t>570 X 470 X 570</t>
  </si>
  <si>
    <t>FUNDAS PROTECTORAS IMPERNEABLEA 106 CM X 74 CM X 155 CM PARA DESHIDRATADORA</t>
  </si>
  <si>
    <t>ESP-148</t>
  </si>
  <si>
    <t>ESP-148-X</t>
  </si>
  <si>
    <t>DESTORNILLADOR INALÁMBRICO</t>
  </si>
  <si>
    <t>ESP-148-X DESTORNILLADOR INALÁMBRICO - CET</t>
  </si>
  <si>
    <t>ESP-148-X.1</t>
  </si>
  <si>
    <t>SET 32 PIEZAS DE PUNTAS DIFERENTES PARA ATORNILLAR (1 UND)</t>
  </si>
  <si>
    <t>Juego de puntas de atornillas 32PZS
2607017359-000</t>
  </si>
  <si>
    <t>ESP-148-X.2</t>
  </si>
  <si>
    <t>https://www.amazon.com/-/es/retr%C3%A1ctil-inoxidable-antip%C3%A9rdida-senderismo-campamento/dp/B09YTX5PZ6</t>
  </si>
  <si>
    <t>VELAURS</t>
  </si>
  <si>
    <t>CADENA DE SEGURIDAD</t>
  </si>
  <si>
    <t>ESP-148-Y</t>
  </si>
  <si>
    <t>ESP-148-Y DESTORNILLADOR INALÁMBRICO - CET</t>
  </si>
  <si>
    <t>ESP-148-Y.1</t>
  </si>
  <si>
    <t>ESP-148-Y.2</t>
  </si>
  <si>
    <t>CUERDA RETRACTIL (1 UND)</t>
  </si>
  <si>
    <t>ESP-149</t>
  </si>
  <si>
    <t>DIVISORA DE PAN</t>
  </si>
  <si>
    <t xml:space="preserve"> </t>
  </si>
  <si>
    <t>ESP-149.1</t>
  </si>
  <si>
    <t>500 x 650 x 1000</t>
  </si>
  <si>
    <t>FUNDAS IMPERMEABLES 65 CM X 50 CM X 100 CM PARA DIVISORA DE PAN</t>
  </si>
  <si>
    <t>ESP-150</t>
  </si>
  <si>
    <t>ELEVADOR DE COLUMNAS HIDRÁULICO</t>
  </si>
  <si>
    <t>ESP-150 ELEVADOR DE COLUMNAS HIDRÁULICO - CET</t>
  </si>
  <si>
    <t>ESP-151</t>
  </si>
  <si>
    <t>ELEVADOR DE TIJERA</t>
  </si>
  <si>
    <t>ESP-151 ELEVADOR DE TIJERA - CET</t>
  </si>
  <si>
    <t>ESP-152</t>
  </si>
  <si>
    <t>ENCHAPADORA DE CANTOS CON DEPÓSITO DE COLA Y MESA ESTACIONARIA</t>
  </si>
  <si>
    <t>ESP-152 ENCHAPADORA DE CANTOS CON DEPÓSITO DE COLA Y MESA ESTACIONARIA - CET</t>
  </si>
  <si>
    <t>ESP-152.1</t>
  </si>
  <si>
    <t>COMPRESORA PARA FUNCIONAMIENTO (1 UND)</t>
  </si>
  <si>
    <t>ESP-153</t>
  </si>
  <si>
    <t>KIT DE ENTRENADOR BÁSICO DE SISTEMA DE RED DE PC</t>
  </si>
  <si>
    <t>ESP-153 KIT DE ENTRENADOR BÁSICO DE SISTEMA DE RED DE PC - CET</t>
  </si>
  <si>
    <t>ESP-153.1</t>
  </si>
  <si>
    <t>LABTECH</t>
  </si>
  <si>
    <t>INCLUIDO</t>
  </si>
  <si>
    <t>ESP-154</t>
  </si>
  <si>
    <t>KIT DE ENTRENADOR DE REDES Y CABLEADO</t>
  </si>
  <si>
    <t>ESP-154 KIT DE ENTRENADOR DE REDES Y CABLEADO - CET</t>
  </si>
  <si>
    <t>ESP-154.1</t>
  </si>
  <si>
    <t>ESP-155</t>
  </si>
  <si>
    <t>ESP-154.2</t>
  </si>
  <si>
    <t>EQUIPO DE ASPIRACIÓN</t>
  </si>
  <si>
    <t>ESP-155 EQUIPO DE ASPIRACIÓN - CET</t>
  </si>
  <si>
    <t>ESP-155.1</t>
  </si>
  <si>
    <t>BOLSAS PARA VIRUTAS 270 LITROS (1 UND)</t>
  </si>
  <si>
    <t>HOLZSTAR</t>
  </si>
  <si>
    <t>https://drive.google.com/file/d/1KUFMyZuyxypUrvF6TobFdj9_c_-qmz48/view</t>
  </si>
  <si>
    <t>ESP-156</t>
  </si>
  <si>
    <t>EQUIPO DESPEDREGADORA</t>
  </si>
  <si>
    <t>ESP-156 EQUIPO DESPEDREGADORA - CET</t>
  </si>
  <si>
    <t>ESP-156.1</t>
  </si>
  <si>
    <t>500 X 380 X 740</t>
  </si>
  <si>
    <t>FUNDAS IMPERMEABLES 50 CM X 38 CM X 74 CM PARA EQUIPO DESPEDREGADORA</t>
  </si>
  <si>
    <t>ESP-158</t>
  </si>
  <si>
    <t>EQUIPO PARA PINTURA POR SPRAY</t>
  </si>
  <si>
    <t>ESP-158 EQUIPO PARA PINTURA POR SPRAY - CET</t>
  </si>
  <si>
    <t>ESP-158.1</t>
  </si>
  <si>
    <t>PISTOLA PARA PINTURA POR SPRAY (1 UND)</t>
  </si>
  <si>
    <t>PIPI-441</t>
  </si>
  <si>
    <t>https://www.truper.com/ficha_tecnica/Pistola-p-pintar-gravedad-HVLP-vaso-plastico-boquilla-17mm-252814.html?code=12129</t>
  </si>
  <si>
    <t>ESP-158.2</t>
  </si>
  <si>
    <t>MANGUERA PARA EQUIPO DE PINTURA (1 UND)</t>
  </si>
  <si>
    <t>MAN-HI-15-1/4</t>
  </si>
  <si>
    <t>https://www.truper.com/ficha_tecnica/Rollo-de-manguera-hibrida-1-4-para-compresor-15-m-Truper.html?code=102472</t>
  </si>
  <si>
    <t>ESP-158.3</t>
  </si>
  <si>
    <t>ADAPTADOR PARA PISTOLA Y MANGUERA (1 UND)</t>
  </si>
  <si>
    <t>ESP-160</t>
  </si>
  <si>
    <t>ESCANER UNIVERSAL AUTOMOTRIZ</t>
  </si>
  <si>
    <t>ESP-160 ESCANER UNIVERSAL AUTOMOTRIZ - CET</t>
  </si>
  <si>
    <t>ESP-161</t>
  </si>
  <si>
    <t>ESP-161-X</t>
  </si>
  <si>
    <t>ESMERIL DE BANCO</t>
  </si>
  <si>
    <t>ESP-161-X ESMERIL DE BANCO - CET</t>
  </si>
  <si>
    <t>ESP-161-X.1</t>
  </si>
  <si>
    <t>BANCO DE SOPORTE (1 UND)</t>
  </si>
  <si>
    <t>POWERTEC</t>
  </si>
  <si>
    <t>BANCO DE SOPORTE</t>
  </si>
  <si>
    <t>ESP-161-X.2</t>
  </si>
  <si>
    <t>PIEDRA DE AFILAR (1 UND)</t>
  </si>
  <si>
    <t>JUEGO DE TORNEADO PARA RECTIFICADORAS HÚMEDAS</t>
  </si>
  <si>
    <t>https://shop.scheppach.com/Drechsler-Set-fuer-Nassschleifmaschinen/7903200001</t>
  </si>
  <si>
    <t>HOLZKRAFT</t>
  </si>
  <si>
    <t>MUELA Ø 250 x 50 x 12 mm
5760151</t>
  </si>
  <si>
    <t>https://www.aslak.es/herramientas-electricas/muela-o-250-x-50-x-12-mm.html</t>
  </si>
  <si>
    <t>ESP-161-X.3</t>
  </si>
  <si>
    <t>PIEDRA DE ASENTAR (1 UND)</t>
  </si>
  <si>
    <t>HOLZKRAFT
Disco de asentado de cuero Ø 250 x 30 x 12 mm
5760150</t>
  </si>
  <si>
    <t>https://www.aslak.es/herramientas-electricas/disco-de-asentado-de-cuero-o-250-x-30-x-12-mm.html</t>
  </si>
  <si>
    <t>ESP-161-X.4</t>
  </si>
  <si>
    <t>DISPOSITIVO DE RECTIFICADO DE MUELA (1 UND)</t>
  </si>
  <si>
    <t>Dispositivo de rectificado de muela SP-NTS
5760164</t>
  </si>
  <si>
    <t>https://www.aslak.es/herramientas-electricas/dispositivo-de-rectificado-de-muela-sp-nts.html</t>
  </si>
  <si>
    <t>ESP-161-X.5</t>
  </si>
  <si>
    <t>PASTA DE AFILADO (1 UND)</t>
  </si>
  <si>
    <t>Pasta de afilado  AP-NTS
5760155</t>
  </si>
  <si>
    <t>https://www.aslak.es/herramientas-electricas/pasta-de-afilado-ap-nts.html</t>
  </si>
  <si>
    <t>ESP-161-X.6</t>
  </si>
  <si>
    <t>DISPOSITIVO DE AFILADO UNIVERSAL (1 UND)</t>
  </si>
  <si>
    <t>Dispositivo para afilado universal USV-NTS
5760157</t>
  </si>
  <si>
    <t>https://www.aslak.es/herramientas-electricas/dispositivo-para-afilado-universal-usv-nts.html</t>
  </si>
  <si>
    <t>ESP-161-Y</t>
  </si>
  <si>
    <t>ESP-161-Y ESMERIL DE BANCO - CET</t>
  </si>
  <si>
    <t>ESP-162</t>
  </si>
  <si>
    <t>ESMERIL DE BANCO (CON SOPORTE)</t>
  </si>
  <si>
    <t>ESP-162 ESMERIL DE BANCO (CON SOPORTE) - CET</t>
  </si>
  <si>
    <t>ESP-162.1</t>
  </si>
  <si>
    <t>ESP-164</t>
  </si>
  <si>
    <t>ESTACIÓN MÓVIL PARA ENTRENAMIENTO DE INSTALACIONES ELÉCTRICAS DOMICILIARIAS</t>
  </si>
  <si>
    <t>ESP-164 ESTACIÓN MÓVIL PARA ENTRENAMIENTO DE INSTALACIONES ELÉCTRICA - CET</t>
  </si>
  <si>
    <t>ESP-165</t>
  </si>
  <si>
    <t>ESTETOSCOPIO DE MECÁNICO</t>
  </si>
  <si>
    <t>ESP-165 ESTETOSCOPIO DE MECÁNICO - CET</t>
  </si>
  <si>
    <t>ESP-166</t>
  </si>
  <si>
    <t>EXTRACTOR</t>
  </si>
  <si>
    <t>ESP-166 EXTRACTOR - CET</t>
  </si>
  <si>
    <t>ESP-167</t>
  </si>
  <si>
    <t>EXTRACTOR DE HUMO</t>
  </si>
  <si>
    <t>ESP-167 EXTRACTOR DE HUMO - CET</t>
  </si>
  <si>
    <t>ESP-168</t>
  </si>
  <si>
    <t>EXTRACTOR DE SOLDADURA</t>
  </si>
  <si>
    <t>ESP-168 EXTRACTOR DE SOLDADURA - CET</t>
  </si>
  <si>
    <t>ESP-169</t>
  </si>
  <si>
    <t>EXTRACTOR DE VÁLVULAS (COMPRESOR DE MUELLES DE VÁLVULAS UNIVERSAL TIPO ARCO)</t>
  </si>
  <si>
    <t>ESP-169 EXTRACTOR DE VÁLVULAS (COMPRESOR DE MUELLES DE VÁLVULAS UNIVERSAL TIPO ARCO) - CET</t>
  </si>
  <si>
    <t>ESP-170</t>
  </si>
  <si>
    <t>FRECUENCÍMETRO DIGITAL</t>
  </si>
  <si>
    <t>ESP-170 FRECUENCÍMETRO DIGITAL - CET</t>
  </si>
  <si>
    <t>ESP-171</t>
  </si>
  <si>
    <t>FREIDORA DE DOS BANDEJAS</t>
  </si>
  <si>
    <t>ESP-171 FREIDORA DE DOS BANDEJAS - CET</t>
  </si>
  <si>
    <t>ESP-172</t>
  </si>
  <si>
    <t>FREIDORA DE SOBREMESA A GAS</t>
  </si>
  <si>
    <t>ESP-172 FREIDORA DE SOBREMESA A GAS - CET</t>
  </si>
  <si>
    <t>ESP-172.1</t>
  </si>
  <si>
    <t>CUBETA FILTRO RECOGE-ACEITE (1 UND)</t>
  </si>
  <si>
    <t>CONSULTAR PROVEEDOR</t>
  </si>
  <si>
    <t>FRISTEEL</t>
  </si>
  <si>
    <t>ASS0809</t>
  </si>
  <si>
    <t>ESP-176</t>
  </si>
  <si>
    <t>ESP-176-X</t>
  </si>
  <si>
    <t>FUENTE DE ALIMENTACIÓN</t>
  </si>
  <si>
    <t>ESP-176-X FUENTE DE ALIMENTACIÓN - CET</t>
  </si>
  <si>
    <t>ESP-176-X.1</t>
  </si>
  <si>
    <t>MALETIN DE TRANSPORTE (1 UND)</t>
  </si>
  <si>
    <t>UNI-T</t>
  </si>
  <si>
    <t>DEL PROVEEDOR</t>
  </si>
  <si>
    <t>ESP-176-X.2</t>
  </si>
  <si>
    <t>CABLES DE CONEXIÓN BANANA A COCODRILO CON COLORES DE POLARIDADES + / GND / - (VERDE) (1 UND)</t>
  </si>
  <si>
    <t>BRACSAN</t>
  </si>
  <si>
    <t>J.70056C</t>
  </si>
  <si>
    <t>https://bracsan.pe/producto/cable-siliconado-de-prueba-cocodrilo-a-plug-banana-4mm-j-70056c/</t>
  </si>
  <si>
    <t>ESP-176-X.3</t>
  </si>
  <si>
    <t>CABLES DE CONEXIÓN BANANA A COCODRILO (ROJO / NEGRO) (1 UND)</t>
  </si>
  <si>
    <t>ESP-177</t>
  </si>
  <si>
    <t>ESP-176-X.4</t>
  </si>
  <si>
    <t>ESP-176-Y</t>
  </si>
  <si>
    <t>ESP-176-Y FUENTE DE ALIMENTACIÓN - CET</t>
  </si>
  <si>
    <t>ESP-176-Y.1</t>
  </si>
  <si>
    <t>ESP-178</t>
  </si>
  <si>
    <t>GATO HIDRÁULICO TIPO LAGARTO</t>
  </si>
  <si>
    <t>ESP-178 GATO HIDRÁULICO TIPO LAGARTO - CET</t>
  </si>
  <si>
    <t>ESP-180</t>
  </si>
  <si>
    <t>GENERADOR DE SEÑALES ANALÓGICAS Y DIGITALES</t>
  </si>
  <si>
    <t>ESP-180 GENERADOR DE SEÑALES ANALÓGICAS Y DIGITALES - CET</t>
  </si>
  <si>
    <t>Owon</t>
  </si>
  <si>
    <t>AG1012</t>
  </si>
  <si>
    <t>https://www.owontechnology.eu/product/1321878/owon-ag1012-10mhz-2-ch-arbitrary-waveform-generator</t>
  </si>
  <si>
    <t>ESP-182</t>
  </si>
  <si>
    <t>GRATINADOR</t>
  </si>
  <si>
    <t>ESP-182 GRATINADOR - CET</t>
  </si>
  <si>
    <t>ESP-185</t>
  </si>
  <si>
    <t>ESP-185-X</t>
  </si>
  <si>
    <t>HORNO PASTELERO</t>
  </si>
  <si>
    <t>ESP-185-X HORNO PASTELERO - CET</t>
  </si>
  <si>
    <t>ESP-185-Y</t>
  </si>
  <si>
    <t>ESP-185-Y HORNO PASTELERO - CET</t>
  </si>
  <si>
    <t>ESP-186</t>
  </si>
  <si>
    <t>HORNO TOSTADOR</t>
  </si>
  <si>
    <t>ESP-186 HORNO TOSTADOR - CET</t>
  </si>
  <si>
    <t>ESP-186.1</t>
  </si>
  <si>
    <t>FUNDAS IMPERMEABLES 145 CM X 63 CM X 130 CM PARA HORNO TOSTADOR</t>
  </si>
  <si>
    <t>ESP-187</t>
  </si>
  <si>
    <t>ESP-187-X</t>
  </si>
  <si>
    <t>IMPRESORA 3D</t>
  </si>
  <si>
    <t>MECÁNICA AUTOMOTRÍZ, EBANISTERÍA</t>
  </si>
  <si>
    <t>ESP-187-X IMPRESORA 3D - CET</t>
  </si>
  <si>
    <t>ESP-187-X.1</t>
  </si>
  <si>
    <t>ROLLO DE FILAMENTO PLA (1 UND)</t>
  </si>
  <si>
    <t>FILAMENTO PLA</t>
  </si>
  <si>
    <t>https://www.crear4d.com/filamento-3d-pla-basic-3d/</t>
  </si>
  <si>
    <t>ESP-187-X.2</t>
  </si>
  <si>
    <t>CREALITY</t>
  </si>
  <si>
    <t>ESP-187-X.3</t>
  </si>
  <si>
    <t>ESP-187-Y</t>
  </si>
  <si>
    <t>COCINA Y REPOSTERÍA, ELECTRICIDAD, ELECTRÓNICA</t>
  </si>
  <si>
    <t>ESP-187-Y IMPRESORA 3D - CET</t>
  </si>
  <si>
    <t>ESP-187-Y.1</t>
  </si>
  <si>
    <t>ESP-187-Y.2</t>
  </si>
  <si>
    <t>ESP-187-Y.3</t>
  </si>
  <si>
    <t>ESP-187-Z</t>
  </si>
  <si>
    <t>ESP-187-Z IMPRESORA 3D - CET</t>
  </si>
  <si>
    <t>ESP-187-Z.1</t>
  </si>
  <si>
    <t>ESP-187-Z.2</t>
  </si>
  <si>
    <t xml:space="preserve">Creality </t>
  </si>
  <si>
    <t>ESP-187-Z.3</t>
  </si>
  <si>
    <t>ESP-189</t>
  </si>
  <si>
    <t>IMPRESORA DIGITAL TEXTIL</t>
  </si>
  <si>
    <t>ESP-189 IMPRESORA DIGITAL TEXTIL - CET</t>
  </si>
  <si>
    <t>ESP-191</t>
  </si>
  <si>
    <t>IMPRESORA PARA SUBLIMACIÓN</t>
  </si>
  <si>
    <t>ESP-191 IMPRESORA PARA SUBLIMACIÓN - CET</t>
  </si>
  <si>
    <t>ESP-191.1</t>
  </si>
  <si>
    <t>TINTA 1L PARA SUBLIMACIÓN CYAN (1 UND)</t>
  </si>
  <si>
    <t>https://www.tiendaimex.com/inicio/70-tintas-de-sublimacion-koreana-standar-.html#/42-color-cyan</t>
  </si>
  <si>
    <t>EPSON</t>
  </si>
  <si>
    <t>ESP-191.2</t>
  </si>
  <si>
    <t>TINTA 1L PARA SUBLIMACIÓN YELLOW (1 UND)</t>
  </si>
  <si>
    <t>https://www.tiendaimex.com/inicio/70-tintas-de-sublimacion-koreana-standar-.html#/44-color-yellow</t>
  </si>
  <si>
    <t>ESP-191.3</t>
  </si>
  <si>
    <t>TINTA 1L PARA SUBLIMACIÓN MAGENTA (1 UND)</t>
  </si>
  <si>
    <t>https://www.tiendaimex.com/inicio/70-tintas-de-sublimacion-koreana-standar-.html#/43-color-magenta</t>
  </si>
  <si>
    <t>ESP-191.4</t>
  </si>
  <si>
    <t>TINTA 1L PARA SUBLIMACIÓN BLACK (1 UND)</t>
  </si>
  <si>
    <t>https://www.tiendaimex.com/inicio/70-tintas-de-sublimacion-koreana-standar-.html#/45-color-black</t>
  </si>
  <si>
    <t>ESP-191.5</t>
  </si>
  <si>
    <t>PACK DE 100 HOJAS PARA SUBLIMACIÓN (1 UND)</t>
  </si>
  <si>
    <t>https://www.tiendaimex.com/inicio/55-papel-de-sublimacion.html#/34-formato-a4</t>
  </si>
  <si>
    <t>ESP-191.6</t>
  </si>
  <si>
    <t>MEMORIA CON DRIVERS Y MANUALES</t>
  </si>
  <si>
    <t>https://files.support.epson.com/docid/cpd6/cpd61839.pdf</t>
  </si>
  <si>
    <t>ESP-192</t>
  </si>
  <si>
    <t>INCUBADORA PARA YOGURT</t>
  </si>
  <si>
    <t>ESP-192 INCUBADORA PARA YOGURT - CET</t>
  </si>
  <si>
    <t>ESP-194</t>
  </si>
  <si>
    <t>JUEGO DE CABLES UTP</t>
  </si>
  <si>
    <t>ESP-194 JUEGO DE CABLES UTP - CET</t>
  </si>
  <si>
    <t>ESP-195</t>
  </si>
  <si>
    <t>KIT COMPLETO DE INICIO PARA DESARROLLO DE ELECTRÓNICA CON MICROCONTROLADOR</t>
  </si>
  <si>
    <t>ESP-195 KIT COMPLETO DE INICIO PARA DESARROLLO DE ELECTRÓNICA CON MICROCONTROLADOR- CET</t>
  </si>
  <si>
    <t>ESP-195.1</t>
  </si>
  <si>
    <t>PROGRAMADOR DE PIC K150 ICSP CON ADAPTADOR UNIVERSAL (1 UND)</t>
  </si>
  <si>
    <t>PIC K150 ICSP CON ADAPTADOR UNIVERSAL</t>
  </si>
  <si>
    <t>https://www.teslaelectronic.com.pe/producto/programador-de-pic-k150-icsp-con-adaptador-universal/?srsltid=AfmBOorbMijO9wM7laybIwp7fgqP-_gcuUJNuaj2ZCPKsrOazCaVHVP6</t>
  </si>
  <si>
    <t>ESP-195.2</t>
  </si>
  <si>
    <t>MOTORES AC/DC Y VARIADOR DE VELOCIDAD, REGULADORES DE VELOCIDAD (1 UND)</t>
  </si>
  <si>
    <t>Labtech</t>
  </si>
  <si>
    <t>ESP-195.3</t>
  </si>
  <si>
    <t xml:space="preserve">USB PARA DRIVERS Y MANUALES (1 UND)
</t>
  </si>
  <si>
    <t xml:space="preserve"> Labtech</t>
  </si>
  <si>
    <t>INCLUÍDO?</t>
  </si>
  <si>
    <t>ESP-195.4</t>
  </si>
  <si>
    <t>ADAPTADOR DE CORRIENTE AC A CC (1 UND)</t>
  </si>
  <si>
    <t>ESP-196</t>
  </si>
  <si>
    <t>KIT DE COMPONENTES COMPLEMENTARIOS</t>
  </si>
  <si>
    <t>ESP-196 KIT DE COMPONENTES COMPLEMENTARIOS - CET</t>
  </si>
  <si>
    <t>ESP-197</t>
  </si>
  <si>
    <t>KIT DE PLATAFORMA ELECTRÓNICA DE CÓDIGO ABIERTO - TARJETA DE MEGA2560</t>
  </si>
  <si>
    <t xml:space="preserve">KIT DE PLATAFORMA ELECTRÓNICA DE CÓDIGO ABIERTO - TARJETA DE MEGA2560 </t>
  </si>
  <si>
    <t>ESP-197 KIT DE PLATAFORMA ELECTRÓNICA DE CÓDIGO ABIERTO - TARJETA DE MEGA2560 - CET</t>
  </si>
  <si>
    <t>ESP-197.1</t>
  </si>
  <si>
    <t>USB CON GUÍA/MANUAL DE ARDUINO (1 UND)</t>
  </si>
  <si>
    <t>ESP-197.2</t>
  </si>
  <si>
    <t>LISTA DE COMPONENTES (1 UND)</t>
  </si>
  <si>
    <t>ESP-198</t>
  </si>
  <si>
    <t>KIT DE ELECTRICIDAD PARA EL APRENDIZAJE DE ELECTRICIDAD BÁSICA (ELECTROMAGNETISMO, CIRCUITOS ELÉCTRICOS, MOTOR ELÉCTRICO)</t>
  </si>
  <si>
    <t>ESP-198 KIT DE ELECTRICIDAD PARA EL APRENDIZAJE DE ELECTRICIDAD BÁSICA (ELECTROMAGNETISMO, CIRCUITOS ELÉCTRICOS, MOTOR ELÉCTRICO) - CET</t>
  </si>
  <si>
    <t>ESP-199</t>
  </si>
  <si>
    <t>KIT DE ENTRENAMIENTO DE ELECTRÓNICA DE POTENCIA</t>
  </si>
  <si>
    <t>ESP-199 KIT DE ENTRENAMIENTO DE ELECTRÓNICA DE POTENCIA - CET</t>
  </si>
  <si>
    <t>ESP-199.1</t>
  </si>
  <si>
    <t>MESA DE SOPORTE (1UND)</t>
  </si>
  <si>
    <t>CONSULTAR AL PROVEEDOR</t>
  </si>
  <si>
    <t>ESP-200</t>
  </si>
  <si>
    <t>KIT DE ENTRENAMIENTO CON MICROCONTROLADORES</t>
  </si>
  <si>
    <t>ESP-200 KIT DE ENTRENAMIENTO CON MICROCONTROLADORES - CET</t>
  </si>
  <si>
    <t>ESP-200.1</t>
  </si>
  <si>
    <t>PICKIT3 (1 UND)</t>
  </si>
  <si>
    <t>PROGRAMADOR PICKIT3</t>
  </si>
  <si>
    <t>https://www.amazon.com/-/es/electr%C3%B3nicos-emulador-microcontrolador-depurador-programador/dp/B07PHPBP3Y/ref=sr_1_2?__mk_es_US=%C3%85M%C3%85%C5%BD%C3%95%C3%91&amp;crid=1QRY4Z5ZO01WF&amp;dib=eyJ2IjoiMSJ9.QfE1iJGaNvy4c7JeyjBlJhzc0aQmtkt6pZL7Nu-lNTSlNIdRy2fQbYOUpnUphAGQrbVR5W8tUIVCA-38S-3Epy85bu02iTMUpZIGQbh-Ua2NAWfDANPirahfE1hRD2GgknMl_4nyzBZVTr8NjMQ90CNBX1pffxm7G5dmoP_jLVz4WgmOSzA11VQC34vfFtQm5P7DoUQrkVkasSR9o0GwJZtp4a39D0Mpzy_VGxcVENwNsdgE9pvL-VCkJ3f8OsDABtDjXAfcp-jdSXUvWVzmZzokM7RrC9vnGmUiyrUItqQeK9s8hMTWqqfX1s_SH8eAObUe2fyyzBAIrxDsIt70MR-9dVDoh9NCFgBGjWFMx67aas94HGKj1lMOFLhcHZzQNXTM-t4jZY7SxFJV9izcW-v5DGPvJO4HTTVm1LLLe9ubpzpobZ8I8NRUxI5KAWX3.MFKRL4tymsQX2xLrHayr9gM7AxFmtGdSoehlPLttw8A&amp;dib_tag=se&amp;keywords=DSPIC+MICROCHIP&amp;qid=1743306390&amp;sprefix=dspic+microchip%2Caps%2C144&amp;sr=8-2</t>
  </si>
  <si>
    <t>PICKIT 3</t>
  </si>
  <si>
    <t>ESP-200.2</t>
  </si>
  <si>
    <t>Shandong Xingke Intelligent Technology Co., Ltd.</t>
  </si>
  <si>
    <t>INCLUIDO (inglés)</t>
  </si>
  <si>
    <t>ESP-201</t>
  </si>
  <si>
    <t>KIT DE ENTRENAMIENTO EN LA GENERACIÓN DE ELECTRICIDAD CON ENERGÍA RENOVABLE FOTOVOLTAICO Y EÓLICO</t>
  </si>
  <si>
    <t>ESP-201 KIT DE ENTRENAMIENTO EN LA GENERACIÓN DE ELECTRICIDAD CON ENERGÍA RENOVABLE FOTOVOLTAICO Y EÓLICO - CET</t>
  </si>
  <si>
    <t>ESP-201.1</t>
  </si>
  <si>
    <t>ESP-202</t>
  </si>
  <si>
    <t>KIT DE EQUIPO OXICORTE</t>
  </si>
  <si>
    <t>ESP-202 KIT DE EQUIPO OXICORTE - CET</t>
  </si>
  <si>
    <t>ESP-202.1</t>
  </si>
  <si>
    <t>BOQUILLAS DE CORTE OXÍGENO/ACETILENO N° 3  (1 UND)</t>
  </si>
  <si>
    <t>AGA</t>
  </si>
  <si>
    <t>BOQUILLA N° 3</t>
  </si>
  <si>
    <t>ESP-202.2</t>
  </si>
  <si>
    <t>BOQUILLAS DE CORTE OXÍGENO/ACETILENO  N° 4  (1 UND)</t>
  </si>
  <si>
    <t>BOQUILLA N° 4</t>
  </si>
  <si>
    <t>ESP-202.3</t>
  </si>
  <si>
    <t>BOQUILLAS DE CORTE OXÍGENO/ACETILENO N° 5  (1 UND)</t>
  </si>
  <si>
    <t>BOQUILLA N° 5</t>
  </si>
  <si>
    <t>ESP-202.4</t>
  </si>
  <si>
    <t>6 M DE MANGUERA MELLIZO 1⁄4” DE ALTA PRESIÓN COLOR ROJO  (1 UND)</t>
  </si>
  <si>
    <t>ESP-202.5</t>
  </si>
  <si>
    <t>6 M DE MANGUERA MELLIZO 1⁄4” DE ALTA PRESIÓN COLOR VERDE  (1 UND)</t>
  </si>
  <si>
    <t>ESP-203</t>
  </si>
  <si>
    <t>KIT DE ESTACIONES DE ENTRENAMIENTO DE INSTALACIONES DE SISTEMAS DE SEGURIDAD</t>
  </si>
  <si>
    <t>ESP-203 KIT DE ESTACIONES DE ENTRENAMIENTO DE INSTALACIONES DE SISTEMAS DE SEGURIDAD - CET</t>
  </si>
  <si>
    <t>ESP-203.1</t>
  </si>
  <si>
    <t>ESP-205</t>
  </si>
  <si>
    <t>KIT DE INICIO DE ELECTRÓNICA BÁSICA (COMPONENTES DE ELECTRÓNICA BÁSICA)</t>
  </si>
  <si>
    <t>ESP-205 KIT DE INICIO DE ELECTRÓNICA BÁSICA (COMPONENTES DE ELECTRÓNICA BÁSICA) - CET</t>
  </si>
  <si>
    <t>ESP-206</t>
  </si>
  <si>
    <t>KIT DE MOTOR DE COMBUSTIÓN INTERNA V8 DE MATERIAL SINTÉTICO, ARMABLE Y DESARMABLE</t>
  </si>
  <si>
    <t>ESP-206 KIT DE MOTOR DE COMBUSTIÓN INTERNA V8 DE MATERIAL SINTÉTICO, ARMABLE Y DESARMABLE - CET</t>
  </si>
  <si>
    <t>ESP-206.1</t>
  </si>
  <si>
    <t>PACK DE 3 PILAS AA (1 UND)</t>
  </si>
  <si>
    <t>Duracell</t>
  </si>
  <si>
    <t>ESP-207</t>
  </si>
  <si>
    <t>ESP-206.2</t>
  </si>
  <si>
    <t>Playz</t>
  </si>
  <si>
    <t>KIT DE ROBÓTICA PARA PLATAFORMA ELECTRÓNICA DE CÓDIGO ABIERTO</t>
  </si>
  <si>
    <t>ESP-207 KIT DE ROBÓTICA PARA PLATAFORMA ELECTRÓNICA DE CÓDIGO ABIERTO - CET</t>
  </si>
  <si>
    <t>ESP-208</t>
  </si>
  <si>
    <t>KIT DE SOLDADURA - ESTACIÓN DE CALOR</t>
  </si>
  <si>
    <t>ESP-208 KIT DE SOLDADURA - ESTACIÓN DE CALOR - CET</t>
  </si>
  <si>
    <t>ESP-210</t>
  </si>
  <si>
    <t xml:space="preserve">KIT DE TALADRO/DESTORNILLADOR INALÁMBRICO </t>
  </si>
  <si>
    <t>ESP-210 Kit de Taladro/Destornillad or Inalámbrico - CET</t>
  </si>
  <si>
    <t>ESP-214</t>
  </si>
  <si>
    <t>KITS DE ROBOTS "NO ESTRUCTURADOS": APLICACIONES A LA INDUSTRIA</t>
  </si>
  <si>
    <t>ESP-214 KITS DE ROBOTS "NO ESTRUCTURADOS": APLICACIONES A LA INDUSTRIA - CET</t>
  </si>
  <si>
    <t>ESP-214.1</t>
  </si>
  <si>
    <t>PIEZAS COMPATIBLES (20 UND)</t>
  </si>
  <si>
    <t>ESP-214.2</t>
  </si>
  <si>
    <t>ESTUCHES DE PLÁSTICO (400 UND)</t>
  </si>
  <si>
    <t>ESP-215</t>
  </si>
  <si>
    <t>ESP-214.3</t>
  </si>
  <si>
    <t>ESP-216</t>
  </si>
  <si>
    <t>ESP-214.4</t>
  </si>
  <si>
    <t>ESP-217</t>
  </si>
  <si>
    <t>ESP-217-X</t>
  </si>
  <si>
    <t>LICUADORA INDUSTRIAL</t>
  </si>
  <si>
    <t>ESP-217-X LICUADORA INDUSTRIAL (CR)- CET</t>
  </si>
  <si>
    <t>ESP-217-X.1</t>
  </si>
  <si>
    <t>FUNDAS IMPERMEABLES 28 CM X 29 CM X 66 CM PARA LICUADORA INDUSTRIAL</t>
  </si>
  <si>
    <t>ESP-217-Y</t>
  </si>
  <si>
    <t>ESP-217-Y LICUADORA INDUSTRIAL (IA) - CET</t>
  </si>
  <si>
    <t>ESP-217-Y.1</t>
  </si>
  <si>
    <t>1200 x 800 x 1100</t>
  </si>
  <si>
    <t>ESP-219</t>
  </si>
  <si>
    <t>LIJADORA DE BANDA Y DISCO DE MESA</t>
  </si>
  <si>
    <t>ESP-219 LIJADORA DE BANDA Y DISCO DE MESA - CET</t>
  </si>
  <si>
    <t>ESP-221</t>
  </si>
  <si>
    <t>LIJADORA ORBITAL PORTÁTIL</t>
  </si>
  <si>
    <t>ESP-221 LIJADORA ORBITAL PORTÁTIL - CET</t>
  </si>
  <si>
    <t>ESP-221.1</t>
  </si>
  <si>
    <t>PAPEL ABRASIVO (1 UND)</t>
  </si>
  <si>
    <t>TALLERES EPT</t>
  </si>
  <si>
    <t>MAKITA</t>
  </si>
  <si>
    <t>G40 P-31837 X 10 UND</t>
  </si>
  <si>
    <t>ESP-221.2</t>
  </si>
  <si>
    <t>PAPEL ABRASIVO TIPO VELCRO (1 UND)</t>
  </si>
  <si>
    <t>G40 P-31871 X 10 UND</t>
  </si>
  <si>
    <t>ESP-221.3</t>
  </si>
  <si>
    <t>PLACA PERFORADORA (1 UND)</t>
  </si>
  <si>
    <t>192989-7</t>
  </si>
  <si>
    <t>ESP-221.4</t>
  </si>
  <si>
    <t>ALMOHADILLAS DE RESPALDO (2 UND)</t>
  </si>
  <si>
    <t>194930-6</t>
  </si>
  <si>
    <t>ESP-221.5</t>
  </si>
  <si>
    <t>BOLSA COLECTORA DE POLVO (1 UND)</t>
  </si>
  <si>
    <t>140115-2</t>
  </si>
  <si>
    <t>ESP-221.6</t>
  </si>
  <si>
    <t>CAJA DE POLVO (1 UND)</t>
  </si>
  <si>
    <t>135246-0</t>
  </si>
  <si>
    <t>ESP-221.7</t>
  </si>
  <si>
    <t>FILTRO (1 UND)</t>
  </si>
  <si>
    <t>168557-8</t>
  </si>
  <si>
    <t>ESP-221.8</t>
  </si>
  <si>
    <t>MANGUERA (1 UND)</t>
  </si>
  <si>
    <t>MANGUERA CORRUGADA CON
DIÁMETRO EXTERIOR 1" Y LARGO 1 METRO</t>
  </si>
  <si>
    <t>ESP-221.9</t>
  </si>
  <si>
    <t>CARCASA O FUNDA DE POLIAMIDA (1 UND)</t>
  </si>
  <si>
    <t>FUNDAS DE POLIAMIDAS 40 CM X 20 CM X 30 CM PARA LIJADORA ORBITAL PORTÁTIL</t>
  </si>
  <si>
    <t>ESP-222</t>
  </si>
  <si>
    <t>MANDOLINA ELÉCTRICA PARA COCINA</t>
  </si>
  <si>
    <t>ESP-222 MANDOLINA ELÉCTRICA PARA COCINA - CET</t>
  </si>
  <si>
    <t>ESP-222.1</t>
  </si>
  <si>
    <t>DISCO JULIENNE (1 UND)</t>
  </si>
  <si>
    <t>ESP-223</t>
  </si>
  <si>
    <t>MÁQUINA BORDADORA SEMI INDUSTRIAL</t>
  </si>
  <si>
    <t>ESP-223 MÁQUINA BORDADORA SEMI INDUSTRIAL - CET</t>
  </si>
  <si>
    <t>ESP-223.1</t>
  </si>
  <si>
    <t>SOFTWARE DE DISEÑO CON LICENCIA PERMANENTE (1 UND)</t>
  </si>
  <si>
    <t>SIERRA TECH</t>
  </si>
  <si>
    <t>EMBROIDERY OFFICE DESIGN 50</t>
  </si>
  <si>
    <t>https://www.sierra-software.com/embroideryoffice/</t>
  </si>
  <si>
    <t>ESP-223.2</t>
  </si>
  <si>
    <t>PORTA CONOS (1 UND)</t>
  </si>
  <si>
    <t>ESP-223.3</t>
  </si>
  <si>
    <t>BOBINAS (1 UND)</t>
  </si>
  <si>
    <t>ESP-223.4</t>
  </si>
  <si>
    <t>LÁMPARAS (1 UND)</t>
  </si>
  <si>
    <t>ESP-223.5</t>
  </si>
  <si>
    <t>CARRETELES  (1 UND)</t>
  </si>
  <si>
    <t>ESP-223.6</t>
  </si>
  <si>
    <t>100 AGUJAS PARA COSER N° 18 (1 UND)</t>
  </si>
  <si>
    <t>ESP-223.7</t>
  </si>
  <si>
    <t>100 AGUJAS PARA COSER N° 15 (1 UND)</t>
  </si>
  <si>
    <t>ESP-224</t>
  </si>
  <si>
    <t>MÁQUINA CORTADORA MANUAL DE DISCO</t>
  </si>
  <si>
    <t>ESP-224 MÁQUINA CORTADORA MANUAL DE DISCO - CET</t>
  </si>
  <si>
    <t>ESP-227</t>
  </si>
  <si>
    <t>MÁQUINA DE COSER DOMÉSTICA ELECTRÓNICA DIGITAL 1200 PUNTADAS POR MINUTO</t>
  </si>
  <si>
    <t>ESP-227 MÁQUINA DE COSER DOMÉSTICA ELECTRÓNICA DIGITAL 1200 PUNTADAS POR MINUTO - CET</t>
  </si>
  <si>
    <t>ESP-228</t>
  </si>
  <si>
    <t>MÁQUINA DE COSER SEMI INDUSTRIAL MECÁNICA</t>
  </si>
  <si>
    <t>ESP-228 MÁQUINA DE COSER SEMI INDUSTRIAL MECÁNICA - CET</t>
  </si>
  <si>
    <t>ESP-229</t>
  </si>
  <si>
    <t>MÁQUINA DE COSTURA RECTA INDUSTRIAL</t>
  </si>
  <si>
    <t>ESP-229 MÁQUINA DE COSTURA RECTA INDUSTRIAL - CET</t>
  </si>
  <si>
    <t>ESP-229.1</t>
  </si>
  <si>
    <t>MUEBLE (1 UND)</t>
  </si>
  <si>
    <t>JUKI</t>
  </si>
  <si>
    <t>ESP-229.2</t>
  </si>
  <si>
    <t>ESP-229.3</t>
  </si>
  <si>
    <t>ESP-229.4</t>
  </si>
  <si>
    <t>LÁMPARA (1 UND)</t>
  </si>
  <si>
    <t>ESP-229.5</t>
  </si>
  <si>
    <t>CARRETELES (1 UND)</t>
  </si>
  <si>
    <t>ESP-229.6</t>
  </si>
  <si>
    <t>DEPÓSITOS DE ACEITE (1 UND)</t>
  </si>
  <si>
    <t>ESP-229.7</t>
  </si>
  <si>
    <t>100 AGUJAS DE COSER N° 12 (1 UND)</t>
  </si>
  <si>
    <t>ESP-229.8</t>
  </si>
  <si>
    <t>100 AGUJAS DE COSER N° 14 (1 UND)</t>
  </si>
  <si>
    <t>ESP-230</t>
  </si>
  <si>
    <t>MÁQUINA DE HELADOS CON TEMPORIZADOR</t>
  </si>
  <si>
    <t>ESP-230 MÁQUINA DE HELADOS CON TEMPORIZADOR - CET</t>
  </si>
  <si>
    <t>ESP-230.1</t>
  </si>
  <si>
    <t xml:space="preserve">FUNDAS IMPERMEABLES 24 CM X 24 CM X 27 CM PARA MÁQUINA DE HELADOS CON TEMPORIZADOR
</t>
  </si>
  <si>
    <t>ESP-232</t>
  </si>
  <si>
    <t>MÁQUINA DE SOLDAR MULTIPROCESO</t>
  </si>
  <si>
    <t>ESP-232 MÁQUINA DE SOLDAR MULTIPROCESO - CET</t>
  </si>
  <si>
    <t>ESP-232.1</t>
  </si>
  <si>
    <t>CARRETE PARA SOLDAR MIG ALUMINIO (1 UND)</t>
  </si>
  <si>
    <t>ESP-232.2</t>
  </si>
  <si>
    <t>CARRETE PARA SOLDAR MIG FLUXX (1 UND)</t>
  </si>
  <si>
    <t>ESP-232.3</t>
  </si>
  <si>
    <t>CARRETE PARA SOLDAR MIG (1 UND)</t>
  </si>
  <si>
    <t>ESP-232.4</t>
  </si>
  <si>
    <t>PISTOLA PORTA-CARRETE (1 UND)</t>
  </si>
  <si>
    <t>MILLER</t>
  </si>
  <si>
    <t>SPOOLMATE 200-300497</t>
  </si>
  <si>
    <t>Multimatic 255 (5).pdf</t>
  </si>
  <si>
    <t>ESP-233</t>
  </si>
  <si>
    <t>MÁQUINA DE SOLDAR MULTIPROCESO CON CARRO DE TRANSPORTE</t>
  </si>
  <si>
    <t>ESP-233 MÁQUINA DE SOLDAR MULTIPROCESO CON CARRO DE TRANSPORTE - CET</t>
  </si>
  <si>
    <t>ESP-233.1</t>
  </si>
  <si>
    <t>CARRO DE TRANSPORTE DE ACERO (1 UND)</t>
  </si>
  <si>
    <t>ESAB</t>
  </si>
  <si>
    <t>CARRITO C/ PORTABALON para WARRIOR Y ALIMENTADOR</t>
  </si>
  <si>
    <t>ESP-233.2</t>
  </si>
  <si>
    <t>ALIMENTADOR DE ALAMBRE (1 UND)</t>
  </si>
  <si>
    <t>ESAB Robust Feed Pro Basic (0445800881)</t>
  </si>
  <si>
    <t>https://esab.com/pe/sam_es/products-solutions/product/welding-equipment/wire-feeders/robustfeed-pro/</t>
  </si>
  <si>
    <t>ESP-233.3</t>
  </si>
  <si>
    <t>PISTOLA PARA PROCESO (1 UND)</t>
  </si>
  <si>
    <t>TW</t>
  </si>
  <si>
    <t>1040-1077 SPRAYMASTER 450 15FT EUR</t>
  </si>
  <si>
    <t>https://weldtech.com.pe/pistolas-semiautomaticas-mig/8-101-mug-today-is-a-good-day.html</t>
  </si>
  <si>
    <t>ESP-233.4</t>
  </si>
  <si>
    <t>REGULADOR DE CAUDAL (1 UND)</t>
  </si>
  <si>
    <t>VE</t>
  </si>
  <si>
    <t>0781-3657 FLOW REG HRF2435P-580/HOSE</t>
  </si>
  <si>
    <t>https://weldfabulous.com/victor-0781-3657-hrf2435p-580-pro-series-flowmeter-regulator-argon-co2-cga-580-with-10-ft-hose/?srsltid=AfmBOooARWaJdJ9pLwtPAF91vlRdE4M4iW_VROgUCQCavukr1C6Fymjx</t>
  </si>
  <si>
    <t>ESP-233.5</t>
  </si>
  <si>
    <t>ANTORCHAS DE SOLDADURA TIG (1 UND)</t>
  </si>
  <si>
    <t>TBI</t>
  </si>
  <si>
    <t>TIG TORCH SR26FXV-HD 8M (403P28V3C8)</t>
  </si>
  <si>
    <t>https://www.tbi-industries.com/es/productos/tig/antorchas-tbi</t>
  </si>
  <si>
    <t>ESP-234</t>
  </si>
  <si>
    <t>MÁQUINA DE SOLDAR POR ELECTRODO O ARCO ELÉCTRICO</t>
  </si>
  <si>
    <t>ESP-234 MÁQUINA DE SOLDAR POR ELECTRODO O ARCO ELÉCTRICO - CET</t>
  </si>
  <si>
    <t>ESP-237</t>
  </si>
  <si>
    <t>MÁQUINA DOMÉSTICA RECUBRIDORA (COLLARETERA)</t>
  </si>
  <si>
    <t>ESP-237 MÁQUINA DOMÉSTICA RECUBRIDORA (COLLARETERA) - CET</t>
  </si>
  <si>
    <t>ESP-238</t>
  </si>
  <si>
    <t>MÁQUINA DOMÉSTICA REMALLADORA (FILETEADORA)</t>
  </si>
  <si>
    <t>ESP-238 MÁQUINA DOMÉSTICA REMALLADORA (FILETEADORA) - CET</t>
  </si>
  <si>
    <t>ESP-239</t>
  </si>
  <si>
    <t>MÁQUINA ENGALLETADORA</t>
  </si>
  <si>
    <t>ESP-239 MÁQUINA ENGALLETADORA - CET</t>
  </si>
  <si>
    <t>ESP-242</t>
  </si>
  <si>
    <t>MÁQUINA GARLOPA</t>
  </si>
  <si>
    <t>ESP-242 MÁQUINA GARLOPA - CET</t>
  </si>
  <si>
    <t>ESP-243</t>
  </si>
  <si>
    <t>MÁQUINA PARA EL REVELADO POR INMERSIÓN</t>
  </si>
  <si>
    <t>ESP-243 MÁQUINA PARA EL REVELADO POR INMERSIÓN - CET</t>
  </si>
  <si>
    <t>ESP-244</t>
  </si>
  <si>
    <t>MÁQUINA PARA EL RUTEADO DE CONTORNO Y PERFORADO</t>
  </si>
  <si>
    <t>ESP-244 MÁQUINA PARA EL RUTEADO DE CONTORNO Y PERFORADO - CET</t>
  </si>
  <si>
    <t>ESP-244.1</t>
  </si>
  <si>
    <t>SOFTWARE PARA RUTEADO (1 UND)</t>
  </si>
  <si>
    <t>BUNGARD</t>
  </si>
  <si>
    <t>ISOCAM 5.0</t>
  </si>
  <si>
    <t>https://www.bungard.de/en/software</t>
  </si>
  <si>
    <t>ESP-245</t>
  </si>
  <si>
    <t>MÁQUINA PARA LA EXPOSICIÓN FOTOGRÁFICA</t>
  </si>
  <si>
    <t>ESP-245 MÁQUINA PARA LA EXPOSICIÓN FOTOGRÁFICA - CET</t>
  </si>
  <si>
    <t>ESP-246</t>
  </si>
  <si>
    <t>MÁQUINA PARA LA PREPARACIÓN DE OJALILLOS</t>
  </si>
  <si>
    <t>ESP-246 MÁQUINA PARA LA PREPARACIÓN DE OJALILLOS - CET</t>
  </si>
  <si>
    <t>ESP-247</t>
  </si>
  <si>
    <t>MÁQUINA TRANSFER BASE CURVA DIGITAL</t>
  </si>
  <si>
    <t>ESP-247 MÁQUINA TRANSFER BASE CURVA DIGITAL - CET</t>
  </si>
  <si>
    <t>ESP-248</t>
  </si>
  <si>
    <t>MÁQUINA TRANSFER BASE PLANA DIGITAL</t>
  </si>
  <si>
    <t>ESP-248 MÁQUINA TRANSFER BASE PLANA DIGITAL - CET</t>
  </si>
  <si>
    <t>ESP-249</t>
  </si>
  <si>
    <t>MÁQUINA TRANSFER DIGITAL CON ACCESORIOS PARA PRENDAS, GORRO, PLATOS, TAZAS, BOTELLAS</t>
  </si>
  <si>
    <t>ESP-249 MÁQUINA TRANSFER DIGITAL CON ACCESORIOS PARA PRENDAS, GORRO, PLATOS, TAZAS, BOTELLAS - CET</t>
  </si>
  <si>
    <t>ESP-250</t>
  </si>
  <si>
    <t>MÁQUINA TRICOTERA INDUSTRIAL</t>
  </si>
  <si>
    <t>ESP-250 MÁQUINA TRICOTERA INDUSTRIAL - CET</t>
  </si>
  <si>
    <t>ESP-250.1</t>
  </si>
  <si>
    <t>ESP-250.2</t>
  </si>
  <si>
    <t>ESP-250.3</t>
  </si>
  <si>
    <t>ESP-250.4</t>
  </si>
  <si>
    <t>ESP-251</t>
  </si>
  <si>
    <t>MARMITA A GAS DE 10 LITROS</t>
  </si>
  <si>
    <t>ESP-251 MARMITA A GAS DE 10 LITROS - CET</t>
  </si>
  <si>
    <t>ESP-252</t>
  </si>
  <si>
    <t>MEDIDOR DE ENERGÍA ACTIVA MONOFÁSICO Y TRIFÁSICO||</t>
  </si>
  <si>
    <t>ESP-252 MEDIDOR DE ENERGÍA ACTIVA MONOFÁSICO Y TRIFÁSICO - CET</t>
  </si>
  <si>
    <t>ESP-252.1</t>
  </si>
  <si>
    <t>PILA DE BOTÓN DE 3 V (1 UND)</t>
  </si>
  <si>
    <t>PILA DE BOTÓN DE 3 V</t>
  </si>
  <si>
    <t>https://sodimac.falabella.com.pe/sodimac-pe/product/113522242/Pila-Boton-Energizer-CR2032-3V/113522247</t>
  </si>
  <si>
    <t>Panasonic</t>
  </si>
  <si>
    <t>CR2032</t>
  </si>
  <si>
    <t>ESP-253</t>
  </si>
  <si>
    <t>MEGÓMETRO DIGITAL</t>
  </si>
  <si>
    <t>ESP-253 - MEGÓMETRO DIGITAL - CET</t>
  </si>
  <si>
    <t>ESP-253.1</t>
  </si>
  <si>
    <t>PILAS 1.5V BATERÍAS AA (LR6) (6 UND)</t>
  </si>
  <si>
    <t xml:space="preserve">PILAS 1.5V BATERÍAS AA (LR6) X 6 </t>
  </si>
  <si>
    <t>https://www.coolbox.pe/pilas-alcalinas-radioshack-aa-x6-2309316/p</t>
  </si>
  <si>
    <t>Pack 2 x AA</t>
  </si>
  <si>
    <t>ESP-253.2</t>
  </si>
  <si>
    <t>INCLUIDO(inglés)</t>
  </si>
  <si>
    <t>ESP-254</t>
  </si>
  <si>
    <t>MICRÓFONO CONDENSADOR PARA ESTUDIO</t>
  </si>
  <si>
    <t>ESP-254 MICRÓFONO CONDENSADOR PARA ESTUDIO - CET</t>
  </si>
  <si>
    <t>ESP-2541.1</t>
  </si>
  <si>
    <t>ESP-254.1</t>
  </si>
  <si>
    <t>BRAZO ARTICULADO ACOPLABLE (5/8")</t>
  </si>
  <si>
    <t>https://www.amazon.es/Neewer-Articulado-Suspensi%C3%B3n-Micr%C3%B3fono-Radiodifusi%C3%B3n/dp/B00DFUEZZI/ref=sr_1_2?__mk_es_ES=%C3%85M%C3%85%C5%BD%C3%95%C3%91&amp;crid=1V12K0IDRIZE4&amp;dib=eyJ2IjoiMSJ9.7TcGTtmuyQaHXAV3aOtVDfe-Qjecg22SyJIAA-ZRmVKZdQFpKZCmmQlkIq186wyRt4hGe4LYN9gEpkglqbTIhJ15Y51UEtMK-VoG4xua1zA2Od_r2utcd10DPHY5ehSMLliEm192uU4PbmsKqwlRHjoe540aaIaGqirxFKN5NQ7yoBXfChP9vbBwXg38RoWkcfSJF66_NSDs2GQsnCQcgcasz0PUR57QMHx5E-mqFz3GzpcLzByZD3hKnOby-95LjgFuW_KF8mxnESvjDH22sLsFmK_jueyN-kPyWILAbGY.PeMxaPhS3FsWOLCOpw5CdUFospbsxKPqD92stShP58A&amp;dib_tag=se&amp;keywords=Brazo+articulado+acoplable+%225%2F8%22&amp;qid=1764691595&amp;refinements=p_36%3A2493682031&amp;rnid=2493681031&amp;s=musical-instruments&amp;sprefix=brazo+articulado+acoplable+%225%2F8+%2Cmi%2C240&amp;sr=1-2</t>
  </si>
  <si>
    <t>ESP-255</t>
  </si>
  <si>
    <t>MICROONDAS</t>
  </si>
  <si>
    <t>ESP-255 MICROONDAS- CET.xlsx</t>
  </si>
  <si>
    <t>ESP-256</t>
  </si>
  <si>
    <t>MICRÓFONO DINÁMICO</t>
  </si>
  <si>
    <t>ESP-256 MICRÓFONO DINÁMICO - CET</t>
  </si>
  <si>
    <t>ESP-256.1</t>
  </si>
  <si>
    <t>ESP-257</t>
  </si>
  <si>
    <t>MINITALADRO PORTATIL</t>
  </si>
  <si>
    <t>ESP-257 MINITALADRO PORTATIL - CET</t>
  </si>
  <si>
    <t>ESP-258</t>
  </si>
  <si>
    <t>MÓDULO DE BLUETOOTH TIPO HC-05 PARA PLATAFORMA ELECTRÓNICA DE CÓDIGO ABIERTO</t>
  </si>
  <si>
    <t>ESP-258 MÓDULO DE BLUETOOTH TIPO HC-05 PARA PLATAFORMA ELECTRÓNICA - CET</t>
  </si>
  <si>
    <t>ESP-259</t>
  </si>
  <si>
    <t>MÓDULO DE BLUETOOTH TIPO HC-06 PARA PLATAFORMA ELECTRÓNICA DE CÓDIGO ABIERTO</t>
  </si>
  <si>
    <t>ESP-259 MÓDULO DE BLUETOOTH TIPO HC-06 PARA PLATAFORMA ELECTRÓNICA - CET</t>
  </si>
  <si>
    <t>ESP-260</t>
  </si>
  <si>
    <t>MÓDULO DE ENTRENAMIENTO PARA EL DESARROLLO DE CIRCUITOS ELECTRÓNICOS ANALÓGICOS Y DIGITALES</t>
  </si>
  <si>
    <t>ESP-260 MÓDULO DE ENTRENAMIENTO PARA EL DESARROLLO DE CIRCUITOS ELECTRÓNICOS ANALÓGICOS Y DIGITALES - CET</t>
  </si>
  <si>
    <t>ESP-263</t>
  </si>
  <si>
    <t>MÓDULO DE PLC</t>
  </si>
  <si>
    <t>ESP-263 MÓDULO DE PLC - CET</t>
  </si>
  <si>
    <t>ESP-263.1</t>
  </si>
  <si>
    <t>SOFTWARE DE PROGRAMACIÓN PARA EL PLC (1 UND)</t>
  </si>
  <si>
    <t>SOFTWARE DE PROGRAMACIÓN PARA ZELIO LOGIC</t>
  </si>
  <si>
    <t>https://www.se.com/pe/es/product-range/542-zelio-soft/#overview</t>
  </si>
  <si>
    <t>ESP-263.2</t>
  </si>
  <si>
    <t>MÓDULO DE EXTENSIÓN (1 UND)</t>
  </si>
  <si>
    <t>SCHNEIDER ELECTRIC</t>
  </si>
  <si>
    <t>EXTENSIÓN</t>
  </si>
  <si>
    <t>ESP-263.3</t>
  </si>
  <si>
    <t>TABLERO ELÉCTRICO PARA PRUEBA DE MÓDULOS (1 POR INSTITUCIÓN)</t>
  </si>
  <si>
    <t>CAJA CHICA</t>
  </si>
  <si>
    <t>ESP-264</t>
  </si>
  <si>
    <t>MÓDULO DE SISTEMA EDUCATIVO DE MOTOR DIESEL (ELECTRÓNICO)</t>
  </si>
  <si>
    <t>ESP-264 MÓDULO DE SISTEMA EDUCATIVO DE MOTOR DIESEL (ELECTRÓNICO) - CET</t>
  </si>
  <si>
    <t>ESP-265</t>
  </si>
  <si>
    <t>MÓDULO DE SISTEMA HÍBRIDO ECU HV</t>
  </si>
  <si>
    <t>ESP-265 - MÓDULO DE SISTEMA HÍBRIDO ECU HV - CET</t>
  </si>
  <si>
    <t>ESP-266</t>
  </si>
  <si>
    <t>MÓDULO EDUCATIVO DE MONTAJE Y DESMONTAJE DE MOTOR DE GASOLINA</t>
  </si>
  <si>
    <t>ESP-266 MÓDULO EDUCATIVO DE MONTAJE Y DESMONTAJE DE MOTOR DE GASOLINA - CET</t>
  </si>
  <si>
    <t>ESP-267</t>
  </si>
  <si>
    <t>MÓDULO EDUCATIVO DE SIMULACIÓN DE MOTOR DE GASOLINA (ENTRENADOR EDUCATIVO DE
MOTOR DE GASOLINA CON INYECCIÓN ELECTRÓNICA)</t>
  </si>
  <si>
    <t>ESP-267  MÓDULO EDUCATIVO DE SIMULACIÓN DE MOTOR DE GASOLINA - CET</t>
  </si>
  <si>
    <t>ESP-268</t>
  </si>
  <si>
    <t>MÓDULO EDUCATIVO DE SIMULACIÓN DE TRANSMISIÓN DE POTENCIA</t>
  </si>
  <si>
    <t>ESP-268 MÓDULO EDUCATIVO DE SIMULACIÓN DE TRANSMISIÓN DE POTENCIA - CET</t>
  </si>
  <si>
    <t>ESP-269</t>
  </si>
  <si>
    <t>MÓDULO EDUCATIVO DE SISTEMA CARGA Y ARRANQUE</t>
  </si>
  <si>
    <t>ESP-269 MÓDULO EDUCATIVO DE SISTEMA CARGA Y ARRANQUE - CET</t>
  </si>
  <si>
    <t>ESP-270</t>
  </si>
  <si>
    <t>MÓDULO EDUCATIVO DE SISTEMA DE ENCENDIDO (ELECTRÓNICO)</t>
  </si>
  <si>
    <t>ESP-270 MÓDULO EDUCATIVO DE SISTEMA DE ENCENDIDO (ELECTRÓNICO) - CET</t>
  </si>
  <si>
    <t>ESP-271</t>
  </si>
  <si>
    <t>MÓDULO EDUCATIVO DE SISTEMA DE LUCES</t>
  </si>
  <si>
    <t>ESP-271 MÓDULO EDUCATIVO DE SISTEMA DE LUCES - CET</t>
  </si>
  <si>
    <t>ESP-272</t>
  </si>
  <si>
    <t>MÓDULO EDUCATIVO DE SISTEMA ELÉCTRICO ELECTRÓNICO COMPUTARIZADO</t>
  </si>
  <si>
    <t>ESP-272 MÓDULO EDUCATIVO DE SISTEMA ELÉCTRICO ELECTRÓNICO COMPUTARIZADO - CET</t>
  </si>
  <si>
    <t>ESP-273</t>
  </si>
  <si>
    <t>MÓDULO EDUCATIVO DE SUSPENSIÓN, DIRECCIÓN Y FRENOS</t>
  </si>
  <si>
    <t>ESP-273 MÓDULO EDUCATIVO DE SUSPENSIÓN, DIRECCIÓN Y FRENOS - CET</t>
  </si>
  <si>
    <t>ESP-274</t>
  </si>
  <si>
    <t>MÓDULO EDUCATIVO Y SIMULADOR DE SISTEMA DE FRENOS ABS Y TCS CONTROL DE TRACCIÓN</t>
  </si>
  <si>
    <t>ESP-274 MÓDULO EDUCATIVO Y SIMULADOR DE SISTEMA DE FRENOS ABS Y TCS CONTROL DE TRACCIÓN - CET</t>
  </si>
  <si>
    <t>ESP-275</t>
  </si>
  <si>
    <t>MOLINO ELÉCTRICO</t>
  </si>
  <si>
    <t>ESP-275 MOLINO ELÉCTRICO - CET</t>
  </si>
  <si>
    <t>ESP-275.1</t>
  </si>
  <si>
    <t>180 x 350</t>
  </si>
  <si>
    <t>FUNDAS IMPERMEABLES 19 CM X 35 CM X 40 CM PARA MOLINO ELÉCTRICO</t>
  </si>
  <si>
    <t>ESP-276</t>
  </si>
  <si>
    <t>MOLINO ELÉCTRICO PULVERIZADOR DE HIERBAS Y GRANOS</t>
  </si>
  <si>
    <t>ESP-276 MOLINO ELÉCTRICO PULVERIZADOR DE HIERBAS Y GRANOS - CET</t>
  </si>
  <si>
    <t>ESP-276.1</t>
  </si>
  <si>
    <t>FUNDAS IMPERMEABLES 19 CM X 35 CM X 40 CM PARA MOLINO ELÉCTRICO PULVERIZADOR DE HIERBAS Y GRANOS</t>
  </si>
  <si>
    <t>ESP-277</t>
  </si>
  <si>
    <t>MOLINO PASTA DE CACAO</t>
  </si>
  <si>
    <t>ESP-277 MOLINO PASTA DE CACAO- CET</t>
  </si>
  <si>
    <t>ESP-277.1</t>
  </si>
  <si>
    <t>620 x 280 x 450</t>
  </si>
  <si>
    <t>FUNDAS IMPERMEABLES 60 CM X 30 CM X 40 CM PARA MOLINO MOLINO PASTA DE CACAO</t>
  </si>
  <si>
    <t>ESP-278</t>
  </si>
  <si>
    <t>MOTOR ELÉCTRICO MONOFÁSICO</t>
  </si>
  <si>
    <t>ESP-278 MOTOR ELÉCTRICO MONOFÁSICO - CET</t>
  </si>
  <si>
    <t>ESP-279</t>
  </si>
  <si>
    <t>MOTOR ELÉCTRICO TRIFÁSICO DE 12 TERMINALES</t>
  </si>
  <si>
    <t>ESP-279 MOTOR ELÉCTRICO TRIFÁSICO DE 12 TERMINALES - CET</t>
  </si>
  <si>
    <t>ESP-280</t>
  </si>
  <si>
    <t>MOTOR ELÉCTRICO TRIFÁSICO DE 6 TERMINALES</t>
  </si>
  <si>
    <t>ESP-280 MOTOR ELÉCTRICO TRIFÁSICO DE 6 TERMINALES- CET</t>
  </si>
  <si>
    <t>ESP-281</t>
  </si>
  <si>
    <t>ESP-281-X</t>
  </si>
  <si>
    <t>MULTÍMETRO DIGITAL</t>
  </si>
  <si>
    <t>ESP-281-X MULTÍMETRO DIGITAL - CET CI</t>
  </si>
  <si>
    <t>ESP-281-X.1</t>
  </si>
  <si>
    <t>PACK DE 4 PILAS 1.5V AAA (1 UND)</t>
  </si>
  <si>
    <t>ESP-281-Y</t>
  </si>
  <si>
    <t>ESP-281-Y MULTÍMETRO DIGITAL- CET</t>
  </si>
  <si>
    <t>ESP-281-Y.1</t>
  </si>
  <si>
    <t>ESP-281-Z</t>
  </si>
  <si>
    <t>ESP-281-Z MULTÍMETRO DIGITAL - CET</t>
  </si>
  <si>
    <t>ESP-281-Z.1</t>
  </si>
  <si>
    <t>ESP-282</t>
  </si>
  <si>
    <t>ESP-282-X</t>
  </si>
  <si>
    <t>MULTIPROCESADOR ALIMENTOS ROBOV</t>
  </si>
  <si>
    <t>ESP-282-X MULTIPROCESADOR ALIMENTOS ROBOV- CET.xlsx</t>
  </si>
  <si>
    <t>ESP-282-Y</t>
  </si>
  <si>
    <t>ESP-282-Y MULTIPROCESADOR ALIMENTOS ROBOV - CET</t>
  </si>
  <si>
    <t>ESP-282-Y.1</t>
  </si>
  <si>
    <t>375x220x260</t>
  </si>
  <si>
    <t xml:space="preserve">GENÉRICO </t>
  </si>
  <si>
    <t xml:space="preserve">FUNDAS IMPERMEABLES 35,5 CM X 23 CM X 43 CM PARA MULTIPROCESADOR ALIMENTOS ROBOV
</t>
  </si>
  <si>
    <t>ESP-283</t>
  </si>
  <si>
    <t>ESP-283-X</t>
  </si>
  <si>
    <t>MULTITESTER</t>
  </si>
  <si>
    <t>ESP-283-X MULTITESTER - CET</t>
  </si>
  <si>
    <t>ESP-283-X.1</t>
  </si>
  <si>
    <t>ESP-283-Y</t>
  </si>
  <si>
    <t>ESP-283-Y MULTITESTER - CET</t>
  </si>
  <si>
    <t>ESP-283-Y.1</t>
  </si>
  <si>
    <t>ESP-284</t>
  </si>
  <si>
    <t>OLLA A PRESIÓN 9 LITROS</t>
  </si>
  <si>
    <t>ESP-284 OLLA A PRESIÓN 9 LITROS - CET</t>
  </si>
  <si>
    <t>ESP-285</t>
  </si>
  <si>
    <t>OLLA ARROCERA</t>
  </si>
  <si>
    <t>ESP-285 OLLA ARROCERA - CET.xlsx</t>
  </si>
  <si>
    <t>THOMAS</t>
  </si>
  <si>
    <t>TH-45P</t>
  </si>
  <si>
    <t>https://www.thomas.com.pe/thomaspe/olla-th-45p.html?srsltid=AfmBOopEU_oBNR6bPTretuKfqyJtcV1RPlYQblsWPXwSYZrJazarDUG2</t>
  </si>
  <si>
    <t>ESP-285.1</t>
  </si>
  <si>
    <t>REMO (1 UND)</t>
  </si>
  <si>
    <t>ESP-285.2</t>
  </si>
  <si>
    <t>VAPORERA DE BAMBÚ (1 UND)</t>
  </si>
  <si>
    <t>ESP-286</t>
  </si>
  <si>
    <t>OPACÍMETRO</t>
  </si>
  <si>
    <t>ESP-286 OPACÍMETRO - CET</t>
  </si>
  <si>
    <t>ESP-287</t>
  </si>
  <si>
    <t>ESP-287-X</t>
  </si>
  <si>
    <t>OSCILOSCOPIO DIGITAL</t>
  </si>
  <si>
    <t>ESP-287-X OSCILOSCOPIO DIGITAL - CET</t>
  </si>
  <si>
    <t>ESP-287-Y</t>
  </si>
  <si>
    <t>ESP-287-Y OSCILOSCOPIO DIGITAL - CET</t>
  </si>
  <si>
    <t>ESP-287-Y.1</t>
  </si>
  <si>
    <t>CARRO PORTAHERRAMIENTAS CON 2 BANDEJAS (1 UND)</t>
  </si>
  <si>
    <t>CARRO MESA RODANTE 2 BANDEJAS PARA TALLER 9064K-02</t>
  </si>
  <si>
    <t>https://cahema.pe/banco-de-trabajo/12518-carro-mesa-rodante-2-bandejas-para-taller-9064k-02-irimo.html</t>
  </si>
  <si>
    <t>NACIONALES</t>
  </si>
  <si>
    <t>ESP-287-Y.2</t>
  </si>
  <si>
    <t>MALETÍN DE TRANSPORTE (1 UND)</t>
  </si>
  <si>
    <t>R&amp;S® RTH-Z4
TRANSIT CASE</t>
  </si>
  <si>
    <t>https://www.batronix.com/php/index.php?cmd=review&amp;referer=https://www.batronix.com/shop/accessory/bags.html&amp;loc=en&amp;aid=3789</t>
  </si>
  <si>
    <t>ESP-287-Y.3</t>
  </si>
  <si>
    <t>PILAS O BATERÍAS (1 UND)</t>
  </si>
  <si>
    <t>SDSBATTERY 7,4 V, 8000 MA</t>
  </si>
  <si>
    <t>https://www.ebay.com/itm/284329471693</t>
  </si>
  <si>
    <t>ESP-287-Y.4</t>
  </si>
  <si>
    <t>LAZOS DE SEGURIDAD (1 UND)</t>
  </si>
  <si>
    <t>CABLE DE SEGURIDAD TARGUS DEFCON CL – ACERO CON CLAVE PA410U</t>
  </si>
  <si>
    <t>https://mesajil.com/producto/cable-seguridad-targus-defcon-cl-acero-con-clave-pa410u/?srsltid=AfmBOor2xOyfi8HGRjZyAwvpZJTabrmxqtHWIkBcbfWs5H-FTO-DSEql</t>
  </si>
  <si>
    <t>TARGUS</t>
  </si>
  <si>
    <t>PA410U</t>
  </si>
  <si>
    <t>https://us.targus.com/products/defcon-t-lock-resettable-combo-cable-lock-pa410u?srsltid=AfmBOoqJlE-j6sT-Ugi6gARvvgwra5weLpwITvihjqCXNlZLyCubayoB</t>
  </si>
  <si>
    <t>ESP-287-Y.5</t>
  </si>
  <si>
    <t>ESP-287-Y.6</t>
  </si>
  <si>
    <t>GUÍA RÁPIDA DE INSTRUCCIONES (1 UND)</t>
  </si>
  <si>
    <t>ESP-287-Z</t>
  </si>
  <si>
    <t>ESP-287-Z OSCILOSCOPIO DIGITAL - CET</t>
  </si>
  <si>
    <t>ESP-288</t>
  </si>
  <si>
    <t>PASTEURIZACIÓN DOMÉSTICO 15 LITROS</t>
  </si>
  <si>
    <t>ESP-288 PASTEURIZACIÓN DOMÉSTICO 15 LITROS - CET</t>
  </si>
  <si>
    <t>ESP-288.1</t>
  </si>
  <si>
    <t xml:space="preserve">400 × 400 × 600 </t>
  </si>
  <si>
    <t>FUNDAS IMPERMEABLES Ø 32 X 52 CM PARA PASTEURIZACIÓN DOMÉSTICO 15 LITROS</t>
  </si>
  <si>
    <t>ESP-289</t>
  </si>
  <si>
    <t>PILOTO DE SEÑALIZACIÓN DE LED (VERDE, AMARILLO, ROJO, BLANCO, AZUL)</t>
  </si>
  <si>
    <t>ESP-289 PILOTO DE SEÑALIZACIÓN DE LED (VERDE, AMARILLO, ROJO, BLANCO, A - CET</t>
  </si>
  <si>
    <t>VARIOS</t>
  </si>
  <si>
    <t>ESP-289.1</t>
  </si>
  <si>
    <t>PILOTO DE SEÑALIZACIÓN DE LED (VERDE, 220VAC)</t>
  </si>
  <si>
    <t>ESP-289.2</t>
  </si>
  <si>
    <t>PILOTO DE SEÑALIZACIÓN DE LED (VERDE,  24VDC)</t>
  </si>
  <si>
    <t>ESP-289.3</t>
  </si>
  <si>
    <t>PILOTO DE SEÑALIZACIÓN DE LED (AMARILLO, 220VAC)</t>
  </si>
  <si>
    <t>ESP-289.4</t>
  </si>
  <si>
    <t>PILOTO DE SEÑALIZACIÓN DE LED (AMARILLO, 24VDC)</t>
  </si>
  <si>
    <t>ESP-289.5</t>
  </si>
  <si>
    <t>PILOTO DE SEÑALIZACIÓN DE LED (ROJO, 220VAC)</t>
  </si>
  <si>
    <t>ESP-289.6</t>
  </si>
  <si>
    <t>PILOTO DE SEÑALIZACIÓN DE LED (ROJO, 24VDC)</t>
  </si>
  <si>
    <t>ESP-289.7</t>
  </si>
  <si>
    <t>PILOTO DE SEÑALIZACIÓN DE LED (BLANCO, 220VAC)</t>
  </si>
  <si>
    <t>ESP-289.8</t>
  </si>
  <si>
    <t>PILOTO DE SEÑALIZACIÓN DE LED (BLANCO, 24VDC)</t>
  </si>
  <si>
    <t>ESP-289.9</t>
  </si>
  <si>
    <t>PILOTO DE SEÑALIZACIÓN DE LED (AZUL, 220VAC)</t>
  </si>
  <si>
    <t>ESP-289.10</t>
  </si>
  <si>
    <t>PILOTO DE SEÑALIZACIÓN DE LED (AZUL, 24VDC)</t>
  </si>
  <si>
    <t>ESP-290</t>
  </si>
  <si>
    <t>ESP-290-X</t>
  </si>
  <si>
    <t>PINZA AMPERIMÉTRICA</t>
  </si>
  <si>
    <t>ESP-290-A PINZA AMPERIMÉTRICA - CET.xlsx</t>
  </si>
  <si>
    <t>ESP-290-X.1</t>
  </si>
  <si>
    <t>PILAS 1.5V AAA (3 UND)</t>
  </si>
  <si>
    <t>Pilas Alcalinas Duracell AAA x8 Unidades Zinc/Carbón</t>
  </si>
  <si>
    <t>https://www.promart.pe/pack-de-pilas-duracell-aaa-x8/p?srsltid=AfmBOor0nzbZsCUxDN5nwSg3oCXYZcv1uXPSrLDHppTIwLIOIkA2kCZk</t>
  </si>
  <si>
    <t>DURACELL</t>
  </si>
  <si>
    <t>AAA</t>
  </si>
  <si>
    <t>ESP-290-X.2</t>
  </si>
  <si>
    <t>ESP-290-Y</t>
  </si>
  <si>
    <t>ESP-290-B PINZA AMPERIMÉTRICA - CET</t>
  </si>
  <si>
    <t>ESP-291</t>
  </si>
  <si>
    <t>PINZA VOLTAMPERIMÉTRICA</t>
  </si>
  <si>
    <t>ESP-291 PINZA VOLTAMPERIMÉTRICA - CET</t>
  </si>
  <si>
    <t>ESP-296</t>
  </si>
  <si>
    <t>PISTOLA DE PINTAR DE GRAVEDAD</t>
  </si>
  <si>
    <t>ESP-296 PISTOLA DE PINTAR DE GRAVEDAD - CET</t>
  </si>
  <si>
    <t>ESP-296.1</t>
  </si>
  <si>
    <t>MANGUERA 5M (1 UND)</t>
  </si>
  <si>
    <t>MANGUERA 5M</t>
  </si>
  <si>
    <t>https://cahema.pe/mangueras/17316-manguera-armada-14-ppintor-5-mts-19013-truper.html</t>
  </si>
  <si>
    <t>Truper</t>
  </si>
  <si>
    <t>ESP-296.2</t>
  </si>
  <si>
    <t>CONECTORES RÁPIDOS (1 UND)</t>
  </si>
  <si>
    <t>CONECTORES RÁPIDOS</t>
  </si>
  <si>
    <t>https://cahema.pe/acoples-y-conectores/16023-juego-de-acople-y-conector-laton-14-npt-19080-truper-7501206619803.html</t>
  </si>
  <si>
    <t>ESP-296.3</t>
  </si>
  <si>
    <t>PISTOLA PARA PINTAR VASO ALUMINIO (1 UND)</t>
  </si>
  <si>
    <t>ESP-296.4</t>
  </si>
  <si>
    <t>PISTOLA PARA PINTAS BAJA PRESIÓN (1 UND)</t>
  </si>
  <si>
    <t>ESP-297</t>
  </si>
  <si>
    <t>PISTOLA DE SOLDAR</t>
  </si>
  <si>
    <t>ESP-297 PISTOLA DE SOLDAR - CET</t>
  </si>
  <si>
    <t>ESP-297.1</t>
  </si>
  <si>
    <t>SOPORTE (1 UND)</t>
  </si>
  <si>
    <t>SOPORTE</t>
  </si>
  <si>
    <t xml:space="preserve"> Soporte de Cautín Hierro</t>
  </si>
  <si>
    <t>ESP-297.2</t>
  </si>
  <si>
    <t>LIMPIADOR DE PUNTA</t>
  </si>
  <si>
    <t>Takema</t>
  </si>
  <si>
    <t>ESP-298</t>
  </si>
  <si>
    <t>PISTOLA SOPLADORA DE AIRE</t>
  </si>
  <si>
    <t>ESP-298 PISTOLA SOPLADORA DE AIRE - CET</t>
  </si>
  <si>
    <t>ESP-298.1</t>
  </si>
  <si>
    <t>CONECTOR RÁPIDO DE 1/4" MACHO - 27023 PRETUL (1 UND)</t>
  </si>
  <si>
    <t>CONECTOR RÁPIDO DE 1/4" MACHO - 27023</t>
  </si>
  <si>
    <t>https://cahema.pe/acoples-y-conectores/16739-conector-rapido-de-14-macho-27023-pretul.html</t>
  </si>
  <si>
    <t>PRETUL</t>
  </si>
  <si>
    <t>ESP-299</t>
  </si>
  <si>
    <t>PLANCHA A VAPOR</t>
  </si>
  <si>
    <t>ESP-299 PLANCHA A VAPOR - CET</t>
  </si>
  <si>
    <t>OSTER</t>
  </si>
  <si>
    <t xml:space="preserve"> GCSTAC6953</t>
  </si>
  <si>
    <t>ESP-300</t>
  </si>
  <si>
    <t>PLANCHA A VAPOR VERTICAL</t>
  </si>
  <si>
    <t>ESP-300 PLANCHA A VAPOR VERTICAL - CET</t>
  </si>
  <si>
    <t>ESP-302</t>
  </si>
  <si>
    <t>PLANCHA DE SOBREMESA A GAS</t>
  </si>
  <si>
    <t>ESP-302 PLANCHA DE SOBREMESA A GAS- CET.xlsx</t>
  </si>
  <si>
    <t>ESP-304</t>
  </si>
  <si>
    <t>PLEGADORA DE PLANCHA MANUAL</t>
  </si>
  <si>
    <t>ESP-304 PLEGADORA DE PLANCHA MANUAL- CET</t>
  </si>
  <si>
    <t>ESP-305</t>
  </si>
  <si>
    <t>PLOTTER</t>
  </si>
  <si>
    <t>ESP-305 PLOTTER - CET</t>
  </si>
  <si>
    <t>ESP-305.1</t>
  </si>
  <si>
    <t>HP</t>
  </si>
  <si>
    <t>ESP-306</t>
  </si>
  <si>
    <t>PLOTTER DE CORTE</t>
  </si>
  <si>
    <t>ESP-306 PLOTTER DE CORTE - CET</t>
  </si>
  <si>
    <t>ESP-306.1</t>
  </si>
  <si>
    <t>ESP-306.2</t>
  </si>
  <si>
    <t>ESP-307</t>
  </si>
  <si>
    <t>PLUMA HIDRÁULICA</t>
  </si>
  <si>
    <t>ESP-307 PLUMA HIDRÁULICA - CET</t>
  </si>
  <si>
    <t>ESP-308</t>
  </si>
  <si>
    <t>PRENSA HIDRÁULICA</t>
  </si>
  <si>
    <t>ESP-308 PRENSA HIDRÁULICA - CET</t>
  </si>
  <si>
    <t>ESP-311</t>
  </si>
  <si>
    <t>PROBADOR DE CABLES DE RED</t>
  </si>
  <si>
    <t>ESP-311 PROBADOR DE CABLES DE RED - CET</t>
  </si>
  <si>
    <t>ESP-312</t>
  </si>
  <si>
    <t>PROBADOR DE CABLES ELÉCTRICOS</t>
  </si>
  <si>
    <t>ESP-312 PROBADOR DE CABLES ELÉCTRICOS - CET</t>
  </si>
  <si>
    <t>ESP-313</t>
  </si>
  <si>
    <t>PROBADOR DE PRESIÓN DE COMBUSTIBLE</t>
  </si>
  <si>
    <t>ESP-313 PROBADOR DE PRESIÓN DE COMBUSTIBLE - CET</t>
  </si>
  <si>
    <t>ESP-314</t>
  </si>
  <si>
    <t>PROBADORES DE PRESIÓN Y VACÍO</t>
  </si>
  <si>
    <t>ESP-314 PROBADORES DE PRESIÓN Y VACÍO - CET</t>
  </si>
  <si>
    <t>ESP-315</t>
  </si>
  <si>
    <t>PROTOBOARD: PLACA DE PRUEBAS</t>
  </si>
  <si>
    <t>ESP-315 PROTOBOARD: PLACA DE PRUEBAS - CET</t>
  </si>
  <si>
    <t>ESP-315.1</t>
  </si>
  <si>
    <t>CABLES DE CONEXIÓN PARA LOS PUNTOS DE CONTACTO (20 UND)</t>
  </si>
  <si>
    <t>CABLES DE CONEXIÓN PARA LOS PUNTOS DE CONTACTO</t>
  </si>
  <si>
    <t>https://naylampmechatronics.com/cables/449-cable-jumper-dupont-macho-a-macho-10cm-20und.html</t>
  </si>
  <si>
    <t>Genérico</t>
  </si>
  <si>
    <t>ESP-315.2</t>
  </si>
  <si>
    <t>CABLES PARA CONEXIÓN ENTRE PUNTOS (20 UND)</t>
  </si>
  <si>
    <t>CABLES PARA CONEXIÓN ENTRE PUNTOS</t>
  </si>
  <si>
    <t>https://naylampmechatronics.com/cables/26-cable-para-protoboard.html?utm_source=chatgpt.com</t>
  </si>
  <si>
    <t>ESP-318</t>
  </si>
  <si>
    <t>PUNTA LÓGICA AUTOMOTOR</t>
  </si>
  <si>
    <t>ESP-318 PUNTA LÓGICA AUTOMOTOR - CET</t>
  </si>
  <si>
    <t>ESP-320</t>
  </si>
  <si>
    <t>REBANADORA DE PAN</t>
  </si>
  <si>
    <t>ESP-320 REBANADORA DE PAN - CET</t>
  </si>
  <si>
    <t>ESP-321</t>
  </si>
  <si>
    <t>REFRESQUERA ENFRIADOR DE BEBIDAS</t>
  </si>
  <si>
    <t>ESP-321 REFRESQUERA ENFRIADOR DE BEBIDAS - CET.xlsx</t>
  </si>
  <si>
    <t>ESP-322</t>
  </si>
  <si>
    <t>REFRIGERADORA (CAPACIDAD 187L)</t>
  </si>
  <si>
    <t>ESP-322 REFRIGERADORA (CAPACIDAD 187L) - CET</t>
  </si>
  <si>
    <t>ESP-322.1</t>
  </si>
  <si>
    <t>Fuente Bandeja para Horno de Vidrio Templado Pack por 3 Unidades</t>
  </si>
  <si>
    <t>https://www.promart.pe/fuente-bandeja-para-horno-de-vidrio-templado-pack-por-3-unidades-1000970586/p?srsltid=AfmBOopmCKfnr4W6p3o_rKqkpS8WJXbh1PWZ2B6MiOqTZY0Xzr4ksQ8V</t>
  </si>
  <si>
    <t>ESP-323</t>
  </si>
  <si>
    <t>REFRIGERADORA (CAPACIDAD 255L)</t>
  </si>
  <si>
    <t>ESP-323 REFRIGERADORA (CAPACIDAD 255L) - CET</t>
  </si>
  <si>
    <t>ESP-324</t>
  </si>
  <si>
    <t>REFRIGERADORA (CAPACIDAD 617L)</t>
  </si>
  <si>
    <t>ESP-324 REFRIGERADORA (CAPACIDAD 617L) - CET.xlsx</t>
  </si>
  <si>
    <t>ESP-325</t>
  </si>
  <si>
    <t>REGRUESADORA (DE MESA)</t>
  </si>
  <si>
    <t>ESP-325 REGRUESADORA (DE MESA) - CET</t>
  </si>
  <si>
    <t>ESP-326</t>
  </si>
  <si>
    <t>RELÉ PROGRAMABLE</t>
  </si>
  <si>
    <t>ESP-326 RELÉ PROGRAMABLE - CET.xlsx</t>
  </si>
  <si>
    <t>ESP-328</t>
  </si>
  <si>
    <t>RUTEADORA  PORTATIL</t>
  </si>
  <si>
    <t>ESP-328 RUTEADORA  PORTATIL - CET</t>
  </si>
  <si>
    <t>ESP-328.1</t>
  </si>
  <si>
    <t>JUEGO DE 12 FRESAS CON INSERCIÓN DE 8 MM (1 UND)</t>
  </si>
  <si>
    <t>JUEGO DE 12 FRESAS CON ENCASTRE DE 8 MM</t>
  </si>
  <si>
    <t>https://sodimac.falabella.com.pe/sodimac-pe/product/117078584/SET-DE-12-FRESAS-PARA-RUTEADORA-8MM-INDUSTRIAL-TOTAL-TACSR1121/117078585?exp=sodimac</t>
  </si>
  <si>
    <t>TOTAL TOOLS</t>
  </si>
  <si>
    <t>TACSR1121</t>
  </si>
  <si>
    <t>ESP-329</t>
  </si>
  <si>
    <t>RUTEADORA CNC</t>
  </si>
  <si>
    <t>ESP-329 RUTEADORA CNC - CET</t>
  </si>
  <si>
    <t>ESP-329.1</t>
  </si>
  <si>
    <t>MESA PARA RUTEADORA CNC (1UND)</t>
  </si>
  <si>
    <t xml:space="preserve">L1300 x A1300 x H900 </t>
  </si>
  <si>
    <t>ESP-329.2</t>
  </si>
  <si>
    <t>LAPTOP (1UND)</t>
  </si>
  <si>
    <t>ESP-329.3</t>
  </si>
  <si>
    <t>ESTABILIZADOR PARA LAPTOP (1 UND)</t>
  </si>
  <si>
    <t>ESP-329.4</t>
  </si>
  <si>
    <t>HUSILLO 900W (1 UND)</t>
  </si>
  <si>
    <t>DEWALT</t>
  </si>
  <si>
    <t>D26200</t>
  </si>
  <si>
    <t>https://www.dewalt.es/producto/d26200-qs/perfiladora-900w-27000-rpm-6-8mm-electronica</t>
  </si>
  <si>
    <t>ESP-334</t>
  </si>
  <si>
    <t>SECADOR DE CÁMARA VERTICAL</t>
  </si>
  <si>
    <t>ESP-334 SECADOR DE CÁMARA VERTICAL - CET</t>
  </si>
  <si>
    <t>ESP-337</t>
  </si>
  <si>
    <t>SELECCIONADORA DE ZARANDA</t>
  </si>
  <si>
    <t>ESP-337 SELECCIONADORA DE ZARANDA - CET</t>
  </si>
  <si>
    <t>ESP-337.1</t>
  </si>
  <si>
    <t>740 x 740 x 1470</t>
  </si>
  <si>
    <t>FUNDAS IMPERMEABLES 74 CM X 74 CM X 147 CM PARA SELECCIONADORA DE ZARANDA</t>
  </si>
  <si>
    <t>ESP-338</t>
  </si>
  <si>
    <t>SELLADORA AL VACÍO</t>
  </si>
  <si>
    <t>ESP-338 SELLADORA AL VACÍO - CET</t>
  </si>
  <si>
    <t>ESP-339</t>
  </si>
  <si>
    <t>SELLADORA DE BOLSAS PLÁSTICAS</t>
  </si>
  <si>
    <t>ESP-339 SELLADORA DE BOLSAS PLÁSTICAS - CET</t>
  </si>
  <si>
    <t>ESP-340</t>
  </si>
  <si>
    <t>SENSOR DE PROXIMIDAD CAPACITIVOS</t>
  </si>
  <si>
    <t>ESP-340 SENSOR DE PROXIMIDAD CAPACITIVOS- CET.xlsx</t>
  </si>
  <si>
    <t>ESP-340.1</t>
  </si>
  <si>
    <t>SENSOR DE PROXIMIDAD CAPACITIVOS PNP (1 UND)</t>
  </si>
  <si>
    <t>AUTONICS</t>
  </si>
  <si>
    <t>CR30-15DN</t>
  </si>
  <si>
    <r>
      <rPr>
        <rFont val="Roboto"/>
        <color rgb="FF1155CC"/>
        <sz val="8.0"/>
        <u/>
      </rPr>
      <t>https://www.autonics.com/pe/model/CR30-15DN</t>
    </r>
    <r>
      <rPr>
        <rFont val="Roboto"/>
        <sz val="8.0"/>
      </rPr>
      <t xml:space="preserve"> </t>
    </r>
  </si>
  <si>
    <t>ESP-340.2</t>
  </si>
  <si>
    <t>SENSOR DE PROXIMIDAD CAPACITIVOS NPN (1 UND)</t>
  </si>
  <si>
    <t>CR30-15DP</t>
  </si>
  <si>
    <t xml:space="preserve">https://www.autonics.com/pe/model/CR30-15DP </t>
  </si>
  <si>
    <t>ESP-341</t>
  </si>
  <si>
    <t>SENSOR DE PROXIMIDAD INDUCTIVOS</t>
  </si>
  <si>
    <t>ESP-341 SENSOR DE PROXIMIDAD INDUCTIVOS - CET.xlsx</t>
  </si>
  <si>
    <t>ESP-341.1</t>
  </si>
  <si>
    <t>TURCK RKC4T-2/TEL (1 UND)</t>
  </si>
  <si>
    <t>CABLE TURCK RKC4T-2/TEL</t>
  </si>
  <si>
    <t>https://bhpperu.com/producto/rkc4t-2-tel-turck-connector-cable-m12-female-straight-3-pole-2m-black-pvc/</t>
  </si>
  <si>
    <t>ESP-341.2</t>
  </si>
  <si>
    <t>SENSOR DE PROXIMIDAD INDUCTIVOS NPN  (1 UND)</t>
  </si>
  <si>
    <t>IME</t>
  </si>
  <si>
    <t>SICK IME30-15BNOZW2S</t>
  </si>
  <si>
    <t>ESP-341.3</t>
  </si>
  <si>
    <t>SENSOR DE PROXIMIDAD INDUCTIVOS PNP (1 UND)</t>
  </si>
  <si>
    <t>SICK IME30-15BPOZW2S</t>
  </si>
  <si>
    <t>ESP-342</t>
  </si>
  <si>
    <t>SENSORES FOTOELÉCTRICOS</t>
  </si>
  <si>
    <t>ESP-342 SENSORES FOTOELÉCTRICOS - CET.xlsx</t>
  </si>
  <si>
    <t>ESP-344</t>
  </si>
  <si>
    <t>SIERRA CALADORA</t>
  </si>
  <si>
    <t>ESP-344 SIERRA CALADORA - CET</t>
  </si>
  <si>
    <t>ESP-345</t>
  </si>
  <si>
    <t>SIERRA CINTA</t>
  </si>
  <si>
    <t>ESP-345 SIERRA CINTA - CET</t>
  </si>
  <si>
    <t>ESP-347</t>
  </si>
  <si>
    <t>SIERRA CIRCULAR</t>
  </si>
  <si>
    <t>SOLICITAR OPCIONAL 74 INCISOR DE TRANSMISIÓN MECÁNICA Ø 80 MM
SOLICITAR OPCIONAL 003 TENSIÓN DEL MOTOR 1X 230 V, POTENCIA DEL MOTOR 4,0 CV (3,0 KW) S6/40%
SOLICITAR OPCIONAL 005 FRECUENCIA DEL MOTOR 60 HZ</t>
  </si>
  <si>
    <t>ESP-347 SIERRA CIRCULAR - CET</t>
  </si>
  <si>
    <t>ESP-349</t>
  </si>
  <si>
    <t>SIERRA RADIAL</t>
  </si>
  <si>
    <t>ESP-349 SIERRA RADIAL - CET</t>
  </si>
  <si>
    <t>ESP-351</t>
  </si>
  <si>
    <t>SIMULADOR DE SOLDADURA</t>
  </si>
  <si>
    <t>ESP-351 SIMULADOR DE SOLDADURA - CET</t>
  </si>
  <si>
    <t>ESP-352</t>
  </si>
  <si>
    <t>TACÓMETRO</t>
  </si>
  <si>
    <t>ESP-352 TACÓMETRO - CET</t>
  </si>
  <si>
    <t>ESP-352.1</t>
  </si>
  <si>
    <t>PACK DE 4 PILAS AA (1 UND)</t>
  </si>
  <si>
    <t>ESP-354</t>
  </si>
  <si>
    <t>ESP-354-X</t>
  </si>
  <si>
    <t>TALADRO DE COLUMNA</t>
  </si>
  <si>
    <t>ESP-354-X  TALADRO DE COLUMNA - CET</t>
  </si>
  <si>
    <t>ESP-354-Y</t>
  </si>
  <si>
    <t>ESP-354-Y  TALADRO DE COLUMNA - CET</t>
  </si>
  <si>
    <t>ESP-354-Y.1</t>
  </si>
  <si>
    <t>TORNILLO DE BANCO PARA LA MESA DE TRABAJO DEL TALADRO, CON MÍNIMO ANCHO DE MANDÍBULA DE 100 MM (1 UND)</t>
  </si>
  <si>
    <t>https://www.amazon.com/-/es/diapositiva-cruzada-tornillo-compuesto-pulgadas/dp/B00L5RZ6MO/ref=sr_1_6+</t>
  </si>
  <si>
    <t>ESP-354-Y.2</t>
  </si>
  <si>
    <t>INCLUYE: JUEGO DE BROCAS DE TITANIO DE MÍNIMO 25 UNIDADES DE BROCAS PARA METAL, DE DIÁMETROS ENTRE 1 MM A 13 MM (1 UND)</t>
  </si>
  <si>
    <t>https://www.aslak.es/herramientas-electricas/748182500-jgo-brocas-titanio-mwbt25-25piezas-jgo-brocas-titanio-25-piezas.html</t>
  </si>
  <si>
    <t>ESP-354-Y.3</t>
  </si>
  <si>
    <t>JUEGO DE BROCAS PARA METAL, ENTRE: 14 MM A 20 MM DE DIÁMETRO. (1 UND)</t>
  </si>
  <si>
    <t>https://www.amazon.es/BGS-8986-brocas-Juego-piezas/dp/B01FQPLODU?th=1</t>
  </si>
  <si>
    <t>ESP-354-Y.4</t>
  </si>
  <si>
    <t>JUEGO DE BROCAS PARA METAL, ENTRE: 22 MM A 25 MM DE DIÁMETRO. (1 UND)</t>
  </si>
  <si>
    <t>https://www.amazon.es/BGS-8986-brocas-Juego-piezas/dp/B01FQPLQQA?th=1</t>
  </si>
  <si>
    <t>ESP-355</t>
  </si>
  <si>
    <t>TALADRO DE COLUMNA DE MESA</t>
  </si>
  <si>
    <t>ESP-355 TALADRO DE COLUMNA DE MESA - CET</t>
  </si>
  <si>
    <t>ESP-355.1</t>
  </si>
  <si>
    <t>ESP-355.2</t>
  </si>
  <si>
    <t>JUEGO DE BROCAS HSS DE TRES PUNTAS (DIÁMETROS: 3 MM, 4 MM, 5 MM, 6 MM, 7 MM, 8 MM, 9 MM, 10 MM, 11 MM, 12 MM, 13 MM) (1 UND)</t>
  </si>
  <si>
    <t>https://www.amazon.com/1mm-10mm-Titanium-High-Speed-Woodworking-Engraving/dp/B0B2DNZ5CQ?th=1</t>
  </si>
  <si>
    <t>ESP-355.3</t>
  </si>
  <si>
    <t>JUEGO DE BROCAS HSS DE TRES PUNTAS DIÁMETRO 14 MM (1 UND)</t>
  </si>
  <si>
    <t>https://rodavigo.net/es/p/broca-en-espiral-para-madera-estandar-diametro-14-mm-longitud-de-trabajo-95-mm-ref-bosch-2-608-596-311/5282608596311</t>
  </si>
  <si>
    <t>ESP-355.4</t>
  </si>
  <si>
    <t>JUEGO DE BROCAS HSS DE TRES PUNTAS DIÁMETRO15 MM (1 UND)</t>
  </si>
  <si>
    <t>https://rodavigo.net/es/p/broca-en-espiral-para-madera-estandar-diametro-15-mm-longitud-de-trabajo-100-mm-ref-bosch-2-608-596-312/5282608596312</t>
  </si>
  <si>
    <t>ESP-355.5</t>
  </si>
  <si>
    <t>JUEGO DE BROCAS HSS DE TRES PUNTAS DIÁMETRO 16 MM (1 UND)</t>
  </si>
  <si>
    <t>https://rodavigo.net/es/p/broca-en-espiral-para-madera-estandar-diametro-16-mm-longitud-de-trabajo-105-mm-ref-bosch-2-608-596-313/5282608596313</t>
  </si>
  <si>
    <t>ESP-355.6</t>
  </si>
  <si>
    <t>JUEGO DE BROCAS DE TITANIO (DIÁMETROS: 1 MM A 13 MM) (1 UND)</t>
  </si>
  <si>
    <t>ESP-355.7</t>
  </si>
  <si>
    <t>ESP-355.8</t>
  </si>
  <si>
    <t>ESP-356</t>
  </si>
  <si>
    <t>TALADRO HORIZONTAL / ESCOPLEADORA</t>
  </si>
  <si>
    <t>ESP-356 TALADRO HORIZONTAL / ESCOPLEADORA - CET</t>
  </si>
  <si>
    <t>ESP-356.1</t>
  </si>
  <si>
    <t>JUEGO DE 6 BROCAS DE ORIFICIO LARGO, DIÁMETROS ENTRE: 6 - 16 MM (1 UND)</t>
  </si>
  <si>
    <t>https://www.maquinasyherramientasonline.com/set-de-brocas-mortajadora-holzmann-ll6tlgl-2/</t>
  </si>
  <si>
    <t>ESP-358</t>
  </si>
  <si>
    <t>TALADRO PERCUTOR PORTÁTIL</t>
  </si>
  <si>
    <t>ESP-358 TALADRO PERCUTOR PORTÁTIL - CET</t>
  </si>
  <si>
    <t>ESP-359</t>
  </si>
  <si>
    <t>ESP-359-X</t>
  </si>
  <si>
    <t>TALADRO PORTÁTIL</t>
  </si>
  <si>
    <t>ESP-359-X TALADRO PORTÁTIL - CET CI</t>
  </si>
  <si>
    <t>ESP-359-X.1</t>
  </si>
  <si>
    <t>SET DE BROCAS DIAMANTADAS, MÍNIMO 20 UNIDADES, DIÁMETRO ENTRE 1 MM - 4 MM (1 UND)</t>
  </si>
  <si>
    <t>https://www.amazon.com/-/es/Honoson-diamante-torcida-resistentes-azulejos/dp/B09HWXQPY2/</t>
  </si>
  <si>
    <t>HONOSON</t>
  </si>
  <si>
    <t>Juego de 20 brocas de diamante</t>
  </si>
  <si>
    <t>ESP-359-X.2</t>
  </si>
  <si>
    <t>SET DE BROCAS DIAMANTADAS, DIÁMETRO ENTRE 4 MM - 13 MM (1 UND)</t>
  </si>
  <si>
    <t>https://www.amazon.com/DKIBBITH-diamante-azulejos-cer%C3%A1mica-porcelana/dp/B0F9F28DHD/ref=sr_1_2_sspa?__mk_es_US=%C3%85M%C3%85%C5%BD%C3%95%C3%91&amp;crid=2FFY0KBOZ5DP7&amp;dib=eyJ2IjoiMSJ9.KBxruJo-HsS4zZhtpXE6Ci6Hq2olVnWBW2bcUt6EzN3WGuD6jCUcGaPQ2368Z1MbD2O9bV4GzyfygmzCW4M5heSdZJwDFi-GWNRp3AqYCInGzkwBoyGYSUFKzJRMyo8j74ebLM5U3iIRPai5IA7jf-wVCes6_UuDtTBQssNOh3sKtktAejz3clWTHUFnOW0fFRdfkuvtjBPYuS22gKIRpV8iBoKV1FhZJmaCjomDa0BEUtQhSKZ7bYeh86FcrB-xgV5mtUPqdi-GuVRlHg9-mCbmDhqA59OSEOXoM1PD_LY.CGbjLLQr0W9B8unwsnueFDbHaiHKng72kxpHQ9C7AhU&amp;dib_tag=se&amp;keywords=set%2Bde%2Bbrocas%2Bdiamantadas%2B1%2B-%2B13mm&amp;qid=1761841667&amp;sprefix=set%2Bde%2Bbrocas%2Bdiamantadas1%2B-%2B13mm%2Caps%2C207&amp;sr=8-2-spons&amp;sp_csd=d2lkZ2V0TmFtZT1zcF9hdGY&amp;th=1</t>
  </si>
  <si>
    <t>LUXIV</t>
  </si>
  <si>
    <t>11 Pcs Diamond Drill Bit Set</t>
  </si>
  <si>
    <t>https://www.amazon.in/Diamond-Luxiv-Granite-Ceramic-Porcelain/dp/B0CT353BYC</t>
  </si>
  <si>
    <t>ESP-359-Y</t>
  </si>
  <si>
    <t>ESP-359-Y TALADRO PORTÁTIL - CET</t>
  </si>
  <si>
    <t>ESP-359-Y.1</t>
  </si>
  <si>
    <t>ESP-359-Y.2</t>
  </si>
  <si>
    <t>ESP-359-Y.3</t>
  </si>
  <si>
    <t>LUZ LED RECARGABLE (1 UND)</t>
  </si>
  <si>
    <t>https://www.promart.pe/linterna-recargable-faro-120-lumenes-werken-158564/p</t>
  </si>
  <si>
    <t xml:space="preserve">WERKEN </t>
  </si>
  <si>
    <t>Faro</t>
  </si>
  <si>
    <t>ESP-360</t>
  </si>
  <si>
    <t>ESP-360 TALADRO PORTÁTIL - CET</t>
  </si>
  <si>
    <t>ESP-360.1</t>
  </si>
  <si>
    <t>SET DE BROCAS SIERRA CORONA x15 UNIDADES (1 UND)</t>
  </si>
  <si>
    <t>KAMASA</t>
  </si>
  <si>
    <t xml:space="preserve">Set de brocas sierra corona, mínimo 6 unidades, medidas  Ø entre: 19 - 76 mm. </t>
  </si>
  <si>
    <t>https://carpintec.com.pe/products/juego-de-sierra-copa-15-piezas-kamasa</t>
  </si>
  <si>
    <t>SET DE BROCAS DE TITANIO x25 UNIDADES (1 UND)</t>
  </si>
  <si>
    <t>ESP-360.2</t>
  </si>
  <si>
    <t>HYMNORQ</t>
  </si>
  <si>
    <t>Juego de 25 brocas para madera</t>
  </si>
  <si>
    <t>ESP-362</t>
  </si>
  <si>
    <t>TALADRO PORTÁTIL INALÁMBRICO CON SET DE BROCAS</t>
  </si>
  <si>
    <t>ESP-362 TALADRO PORTÁTIL INALÁMBRICO CON SET DE BROCAS - CET</t>
  </si>
  <si>
    <t>ESP-365</t>
  </si>
  <si>
    <t>TARJETA O PLATAFORMA DE ELECTRÓNICA DE CÓDIGO ABIERTO</t>
  </si>
  <si>
    <t>ESP-365 TARJETA O PLATAFORMA DE ELECTRÓNICA DE CÓDIGO ABIERTO - CET</t>
  </si>
  <si>
    <t>ESP-366</t>
  </si>
  <si>
    <t>TELURÓMETRO DIGITAL</t>
  </si>
  <si>
    <t>ESP-366 TELURÓMETRO DIGITAL - CET</t>
  </si>
  <si>
    <t>ESP-366.1</t>
  </si>
  <si>
    <t>SOPORTE INCLINADO (1 UND)</t>
  </si>
  <si>
    <t>ESP-367</t>
  </si>
  <si>
    <t>ESP-366.2</t>
  </si>
  <si>
    <t>ESP-368</t>
  </si>
  <si>
    <t>TINA QUESERA A GAS</t>
  </si>
  <si>
    <t>ESP-368 TINA QUESERA A GAS - CET</t>
  </si>
  <si>
    <t>ESP-371</t>
  </si>
  <si>
    <t>TORNO DE MADERA DE 90 CM ENTRE PUNTAS</t>
  </si>
  <si>
    <t>ESP-371 TORNO DE MADERA DE 90 CM ENTRE PUNTAS - CET</t>
  </si>
  <si>
    <t>ESP-371.1</t>
  </si>
  <si>
    <t>PLATO DE 4 GARRAS PARA TORNO DE MADERA DIAM. 100 MM - M33X3,5 (1 UND)</t>
  </si>
  <si>
    <t>https://www.aslak.es/madera/5931021-plato-t-madera-100m-4-garras-set-1.html</t>
  </si>
  <si>
    <t>ESP-373</t>
  </si>
  <si>
    <t>TRONZADORA DE METAL</t>
  </si>
  <si>
    <t>ESP-373  TRONZADORA DE METAL- CET</t>
  </si>
  <si>
    <t>ESP-379</t>
  </si>
  <si>
    <t>VARIADOR DE FRECUENCIA (MONOFÁSICO A TRIFÁSICO)</t>
  </si>
  <si>
    <t>ESP-379 VARIADOR DE FRECUENCIA (MONOFÁSICO A TRIFÁSICO) - CET</t>
  </si>
  <si>
    <t>ESP-380</t>
  </si>
  <si>
    <t>VATÍMETRO DIGITAL</t>
  </si>
  <si>
    <t>ESP-380 VATÍMETRO DIGITAL - CET</t>
  </si>
  <si>
    <t>ESP-380.1</t>
  </si>
  <si>
    <t>PACK DE 6 PILAS AA 1,5V (1 UND)</t>
  </si>
  <si>
    <t>ESP-381</t>
  </si>
  <si>
    <t>ESP-380.2</t>
  </si>
  <si>
    <t>ESP-382</t>
  </si>
  <si>
    <t>ESP-380.3</t>
  </si>
  <si>
    <t>VECTOR ANALIZADOR DE REDES</t>
  </si>
  <si>
    <t>ESP-381 VECTOR ANALIZADOR DE REDES - CET</t>
  </si>
  <si>
    <t>ESP-381.1</t>
  </si>
  <si>
    <t>https://simple.ripley.com.pe/cargador-de-8-pilas-recargables-baterias-aa-y-aaa-independientes-cable-pmp20000204058?srsltid=AfmBOoog_GuJBc2yPPvcGyOJYsmzodMPgS7dLuISGg3NcdUxM1ZncSf_&amp;color_80=gris&amp;s=mdco</t>
  </si>
  <si>
    <t xml:space="preserve">Beston </t>
  </si>
  <si>
    <t>https://www.beston.com.pe/product/cargador-de-baterias-beston-hd-488/</t>
  </si>
  <si>
    <t>COM-229</t>
  </si>
  <si>
    <t>MESA GUÍA PARA SIERRA CALADORA</t>
  </si>
  <si>
    <t>COM-229 MESA GUIA PARA SIERRA CALADORA - CET</t>
  </si>
  <si>
    <t>DESGLOSE DE HERRAMIENTAS</t>
  </si>
  <si>
    <t>MARCA 2</t>
  </si>
  <si>
    <t>MODELO 2</t>
  </si>
  <si>
    <t>ESTATUS</t>
  </si>
  <si>
    <t>HERRAMIENTAS</t>
  </si>
  <si>
    <t>COM-101</t>
  </si>
  <si>
    <t>ABREOJALES</t>
  </si>
  <si>
    <t>COM-101 ABREOJALES- CET</t>
  </si>
  <si>
    <t>COM-102</t>
  </si>
  <si>
    <t>COM-102-W</t>
  </si>
  <si>
    <t>ACEITERA</t>
  </si>
  <si>
    <t>COM-102-W ACEITERA - CET</t>
  </si>
  <si>
    <t>COM-102-X</t>
  </si>
  <si>
    <t>COM-102-X ACEITERA - CET</t>
  </si>
  <si>
    <t>COM-102-Y</t>
  </si>
  <si>
    <t>COM-102-Y ACEITERA - CET</t>
  </si>
  <si>
    <t>COM-102-Z</t>
  </si>
  <si>
    <t>COM-102-Z ACEITERA - CET</t>
  </si>
  <si>
    <t>COM-103</t>
  </si>
  <si>
    <t>ADAPTADOR MAGNETICO PARA PUNTAS</t>
  </si>
  <si>
    <t>COM-103 ADAPTADOR MAGNETICO PARA PUNTAS - CET</t>
  </si>
  <si>
    <t>COM-105</t>
  </si>
  <si>
    <t>BAILARINA METÁLICA</t>
  </si>
  <si>
    <t>COCINA Y REPOSTERÍA, INDUSTRIA ALIMENTARIA</t>
  </si>
  <si>
    <t>COM-105  BAILARINA METÁLICA - CET</t>
  </si>
  <si>
    <t>COM-113</t>
  </si>
  <si>
    <t>BANDEJA PARA RECOLECTAR ACEITE.</t>
  </si>
  <si>
    <t>COM-113 BANDEJA PARA RECOLECTAR ACEITE - CET</t>
  </si>
  <si>
    <t>COM-114</t>
  </si>
  <si>
    <t>BANDEJA BAGUETERA</t>
  </si>
  <si>
    <t>COM-114 BANDEJA BAGUETERA - CET</t>
  </si>
  <si>
    <t>COM-115</t>
  </si>
  <si>
    <t>BANDEJA LISA</t>
  </si>
  <si>
    <t>COM-115 BANDEJA LISA - CET</t>
  </si>
  <si>
    <t>COM-116</t>
  </si>
  <si>
    <t>BANDEJA PERFORADA</t>
  </si>
  <si>
    <t>COM-116 BANDEJA PERFORADA - CET</t>
  </si>
  <si>
    <t>COM-117</t>
  </si>
  <si>
    <t>BATAN</t>
  </si>
  <si>
    <t>COM-117 BATAN- CET</t>
  </si>
  <si>
    <t>COM-118</t>
  </si>
  <si>
    <t>JUEGO DE BRACERA ROSTICERA</t>
  </si>
  <si>
    <t>COM-118 JUEGO DE BRACERA ROSTICERA - CET</t>
  </si>
  <si>
    <t>NORDIC WARE</t>
  </si>
  <si>
    <t>COM-118.1</t>
  </si>
  <si>
    <t xml:space="preserve">BRACERA ROSTICERA 10 X 15 '' (2 UND) </t>
  </si>
  <si>
    <t>https://www.sodimac.com.pe/sodimac-pe/articulo/130332768/Bandeja-para-hornear-Jelly-Roll-de-aluminio-de-38cm-x-27cm/130332769</t>
  </si>
  <si>
    <t>38cm x 27cm</t>
  </si>
  <si>
    <t>COM-118.2</t>
  </si>
  <si>
    <t>BRACERA ROSTICERA 9 X 5 '' (3 UND)</t>
  </si>
  <si>
    <t>https://www.sodimac.com.pe/sodimac-pe/articulo/130332764/Bandeja-para-hornear-Eighth-de-aluminio-de-24cm-x-16cm/130332765</t>
  </si>
  <si>
    <t>16 x 25 cm</t>
  </si>
  <si>
    <t>COM-119</t>
  </si>
  <si>
    <t>JUEGO DE BROCAS PARA BISAGRA DE CANGREJO</t>
  </si>
  <si>
    <t>COM-119 JUEGO DE BROCAS PARA BISAGRA DE CANGREJO - CET</t>
  </si>
  <si>
    <t>COM-120</t>
  </si>
  <si>
    <t>CABALLETES</t>
  </si>
  <si>
    <t>COM-120 CABALLETES - CET</t>
  </si>
  <si>
    <t>COM-124</t>
  </si>
  <si>
    <t>CALIBRADOR ANALÓGICO</t>
  </si>
  <si>
    <t>COM-124 CALIBRADOR ANALOGICO - CET</t>
  </si>
  <si>
    <t>COM-125</t>
  </si>
  <si>
    <t>CALIBRADOR DE CONDUCTORES ELÉCTRICOS AWG</t>
  </si>
  <si>
    <t>ELECTRICIDAD, ELECTRÓNICA</t>
  </si>
  <si>
    <t>COM-125 CALIBRADOR DE CONDUCTORES ELÉCTRICOS AWG - CET</t>
  </si>
  <si>
    <t>COM-126</t>
  </si>
  <si>
    <t>COM-126-W</t>
  </si>
  <si>
    <t>CALIBRADOR DIGITAL</t>
  </si>
  <si>
    <t>COM-126-W CALIBRADOR DIGITAL - CET</t>
  </si>
  <si>
    <t>COM-126-X</t>
  </si>
  <si>
    <t>COM-126-X CALIBRADOR DIGITAL - CET</t>
  </si>
  <si>
    <t>COM-126-Y</t>
  </si>
  <si>
    <t>COM-126-Y CALIBRADOR DIGITAL - CET</t>
  </si>
  <si>
    <t>COM-126-Z</t>
  </si>
  <si>
    <t>COM-126-Z CALIBRADOR DIGITAL - CET</t>
  </si>
  <si>
    <t>COM-127</t>
  </si>
  <si>
    <t>CARETA DE SOLDAR FOTOSENSIBLE</t>
  </si>
  <si>
    <t>COM-127 CARETA DE SOLDAR FOTOSENSIBLE - CET</t>
  </si>
  <si>
    <t>COM-134</t>
  </si>
  <si>
    <t>JUEGO DE CINTA DENTADA PARA SIERRA CINTA</t>
  </si>
  <si>
    <t>COM-134 JUEGO DE CINTA DENTADA PARA SIERRA CINTA - CET</t>
  </si>
  <si>
    <t>COM-134.1</t>
  </si>
  <si>
    <t>CINTA DENTADA 13 MM X 0.65 MM (1 UND)</t>
  </si>
  <si>
    <t>VAN OMMEN</t>
  </si>
  <si>
    <t xml:space="preserve">V66.450.193345 </t>
  </si>
  <si>
    <t>https://www.wikus.de/es/productos/hojas-de-sierra-de-cinta/hojas-de-sierra-de-cinta-bimetalicas/proflex-m42</t>
  </si>
  <si>
    <t>DIVERGENTE</t>
  </si>
  <si>
    <t>COM-134.2</t>
  </si>
  <si>
    <t>CINTA DENTADA 16 MM X 0.8 MM (1 UND)</t>
  </si>
  <si>
    <t xml:space="preserve">V66.450.283540 </t>
  </si>
  <si>
    <t>https://tienda.ugarte-zestoa.com/sierra-de-cinta/15518-sierra-de-cinta-bi-metal-m42-para-materi-8716563537977.html</t>
  </si>
  <si>
    <t>Holzkraft</t>
  </si>
  <si>
    <t>https://www.aslak.es/herramientas-electricas/5160433-sierra-rec-hbs-431-433-3345x16x0-5-4z-sierra-rec-hbs-431-433-3345x16x05-4z.html</t>
  </si>
  <si>
    <t>COM-134.3</t>
  </si>
  <si>
    <t>CINTA DENTADA 25 MM X 0.5 MM (1 UND)</t>
  </si>
  <si>
    <t>V66.460.344315</t>
  </si>
  <si>
    <t>https://tienda.ugarte-zestoa.com/sierra-de-cinta/14578-sierra-de-cinta-bi-metal-m42-para-materi-8716563705260.html+</t>
  </si>
  <si>
    <t>https://www.aslak.es/herramientas-electricas/5160435-sierra-rec-hbs-431-433-3345x25x0-5-sierra-rec-hbs-431-433-3345x25x05.html</t>
  </si>
  <si>
    <t>COM-135</t>
  </si>
  <si>
    <t>CIZALLA</t>
  </si>
  <si>
    <t>COM-135 CIZALLA - CET</t>
  </si>
  <si>
    <t>COM-137</t>
  </si>
  <si>
    <t>JUEGO DE COMPAS DE PUNTA</t>
  </si>
  <si>
    <t>COM-137 JUEGO DE COMPÁS DE PUNTA - CET</t>
  </si>
  <si>
    <t>COM-137.1</t>
  </si>
  <si>
    <t>PUNTA PARA MEDIDA INTERIOR (1 UND)</t>
  </si>
  <si>
    <t>COMPAS EXTERIOR DE 10″</t>
  </si>
  <si>
    <t>Vogel</t>
  </si>
  <si>
    <t>https://store.ferrindustrial.com.pe/producto/compas-interior-de-10-302445-vogel-germany/</t>
  </si>
  <si>
    <t>VALSUR</t>
  </si>
  <si>
    <r>
      <rPr>
        <rFont val="Roboto"/>
        <color rgb="FF1155CC"/>
        <sz val="8.0"/>
        <u/>
      </rPr>
      <t>https://valsur.com/productos/medicion-y-control/herramientas-de-medicion/compases-y-transportadores-de-angulo/compas-plano-punt-acha?srsltid=AfmBOoqJJAg2x4nAghNecM8lKGfl12GAuxFpu7i64GXvptapJa5WJtdO&amp;utm_source=chatgpt.com</t>
    </r>
    <r>
      <rPr>
        <rFont val="Roboto"/>
        <sz val="8.0"/>
      </rPr>
      <t xml:space="preserve"> </t>
    </r>
  </si>
  <si>
    <t>COM-137.2</t>
  </si>
  <si>
    <t>PUNTA PARA MEDIDA EXTERIOR (1 UND)</t>
  </si>
  <si>
    <t xml:space="preserve">COMPAS INTERIOR DE 10″ </t>
  </si>
  <si>
    <t>https://store.ferrindustrial.com.pe/producto/compas-exterior-de-10-302465-vogel-germany/</t>
  </si>
  <si>
    <t xml:space="preserve">https://valsur.com/productos/medicion-y-control/herramientas-de-medicion/compases-y-transportadores-de-angulo/compas-plano-exteriores-acha-250-mm </t>
  </si>
  <si>
    <t>COM-138</t>
  </si>
  <si>
    <t>COMPRESÍMETRO DE ANILLOS</t>
  </si>
  <si>
    <t>COM-138 COMPRESÍMETRO DE ANILLOS - CET</t>
  </si>
  <si>
    <t>COM-140</t>
  </si>
  <si>
    <t>CORTADOR DE HUEVOS</t>
  </si>
  <si>
    <t>COM-140 CORTADOR DE HUEVOS - CET</t>
  </si>
  <si>
    <t>COM-141</t>
  </si>
  <si>
    <t>CORTADOR DE PATATAS DE PALANCA</t>
  </si>
  <si>
    <t>COM-141 CORTADOR DE PATATAS DE PALANCA - CET</t>
  </si>
  <si>
    <t>COM-143</t>
  </si>
  <si>
    <t>JUEGO DE DADOS PARA BUJÍAS</t>
  </si>
  <si>
    <t>COM-143 JUEGO DE DADOS PARA BUJÍAS - CET</t>
  </si>
  <si>
    <t>COM-143.1</t>
  </si>
  <si>
    <t>ENCASTE DE 1/2" (1 UND)</t>
  </si>
  <si>
    <t>1/2" CABEZA DE PERA 21152</t>
  </si>
  <si>
    <t>https://www.promart.pe/ratchet-encastre-1-2-pulgada-17622/p?srsltid=AfmBOoqmoNxsFNKQczeKhnlXMFWyLtqN0mCxIZMEP27M-LWOOl_JrBBV</t>
  </si>
  <si>
    <t>COM-143.2</t>
  </si>
  <si>
    <t>ADAPTADOR DE ENCASTE 3/4" A 1/2" (2 UND)</t>
  </si>
  <si>
    <t>https://cahema.pe/adaptador/2798-adaptador-de-12-a-38-truper-13422-7501206647530.html</t>
  </si>
  <si>
    <t>COM-144</t>
  </si>
  <si>
    <t>DESCASCARILLADOR</t>
  </si>
  <si>
    <t>COM-144 DESCASCARILLADOR - CET</t>
  </si>
  <si>
    <t>COM-144.1</t>
  </si>
  <si>
    <t>240 x 117 x 271 mm</t>
  </si>
  <si>
    <t xml:space="preserve">FUNDAS IMPERMEABLES 15 CM X 14 CM X 32 CM PARA DESCASCARILLADOR
</t>
  </si>
  <si>
    <t>COM-144.2</t>
  </si>
  <si>
    <t>RESPALDO DE GOMA (1 UND)</t>
  </si>
  <si>
    <t>CORONA</t>
  </si>
  <si>
    <t>COM-145</t>
  </si>
  <si>
    <t>DESCREMADORA MANUAL</t>
  </si>
  <si>
    <t>COM-145 DESCREMADORA MANUAL - CET</t>
  </si>
  <si>
    <t>COM-145.1</t>
  </si>
  <si>
    <t>365 mm x 365 mm x 488 mm</t>
  </si>
  <si>
    <t>https://drive.google.com/file/d/1G2mauVmHuuAva2C6gtGETY9hntLfOxxH/view</t>
  </si>
  <si>
    <t>FUNDAS IMPERMEABLES 42 CM X 42 CM X 26 CM PARA DESCREMADORA MANUAL</t>
  </si>
  <si>
    <t>COM-146</t>
  </si>
  <si>
    <t>DESPULPADORA MANUAL DE FRUTAS</t>
  </si>
  <si>
    <t>COM-146 DESPULPADORA MANUAL DE FRUTAS - CET</t>
  </si>
  <si>
    <t>COM-146.1</t>
  </si>
  <si>
    <t>270 mm x 340 mm x 220 mm</t>
  </si>
  <si>
    <t>FUNDAS IMPERMEABLES 51,57 CM X 26,17 CM X 41,92 CM PARA DESPULPADORA MANUAL DE FRUTAS</t>
  </si>
  <si>
    <t>COM-147</t>
  </si>
  <si>
    <t>DISCO DE SIERRA CIRCULAR</t>
  </si>
  <si>
    <t>COM-147 DISCO DE SIERRA CIRCULAR - CET</t>
  </si>
  <si>
    <t>COM-148</t>
  </si>
  <si>
    <t>DISCO DE SIERRA RADIAL</t>
  </si>
  <si>
    <t>COM-148 DISCO DE SIERRA RADIAL - CET</t>
  </si>
  <si>
    <t>COM-149</t>
  </si>
  <si>
    <t>DISCO PARA SIERRA CIRCULAR PARA CORTE DE TABLEROS MELAMINICOS</t>
  </si>
  <si>
    <t>COM-149 DISCO PARA SIERRA CIRCULAR PARA CORTE DE TABLEROS MELAMINICOS - CET</t>
  </si>
  <si>
    <t>COM-153</t>
  </si>
  <si>
    <t>DISTANCIÓMETRO LASER DE 20 M</t>
  </si>
  <si>
    <t>COM-153 DISTANCIÓMETRO LASER DE 20 M - CET</t>
  </si>
  <si>
    <t>COM-155</t>
  </si>
  <si>
    <t>EMBUDO DE USO INDUSTRIAL</t>
  </si>
  <si>
    <t>COM-155 EMBUDO DE USO INDUSTRIAL - CET</t>
  </si>
  <si>
    <t>COM-156</t>
  </si>
  <si>
    <t>EMBUDO PARA SESGO</t>
  </si>
  <si>
    <t>COM-156 EMBUDO PARA SESGO - CET</t>
  </si>
  <si>
    <t>COM-157</t>
  </si>
  <si>
    <t>ENGRASADORA</t>
  </si>
  <si>
    <t>COM-157 ENGRASADORA - CET</t>
  </si>
  <si>
    <t>COM-159</t>
  </si>
  <si>
    <t>ESCARIFICADORA (DESAPONIFICADORA) DE QUINUA</t>
  </si>
  <si>
    <t>COM-159 ESCARIFICADORA (DESAPONIFICADORA) DE QUINUA - CET</t>
  </si>
  <si>
    <t>COM-160</t>
  </si>
  <si>
    <t>ESCUADRA</t>
  </si>
  <si>
    <t>COM-160 ESCUADRA - CET</t>
  </si>
  <si>
    <t>COM-161</t>
  </si>
  <si>
    <t>COM-161-X</t>
  </si>
  <si>
    <t>ESCUADRA DE COMBINACIÓN</t>
  </si>
  <si>
    <t>COM-161-X ESCUADRA DE COMBINACIÓN- CET</t>
  </si>
  <si>
    <t>COM-161-Y</t>
  </si>
  <si>
    <t>COM-161-Y ESCUADRA DE COMBINACIÓN - CET</t>
  </si>
  <si>
    <t>COM-162</t>
  </si>
  <si>
    <t>ESCUADRA DE PLANCHA</t>
  </si>
  <si>
    <t>COM-162 ESCUADRA DE PLANCHA - CET</t>
  </si>
  <si>
    <t>COM-163</t>
  </si>
  <si>
    <t>COM-163-X</t>
  </si>
  <si>
    <t>ESCUADRA DE TOPE</t>
  </si>
  <si>
    <t>COM-163-X ESCUADRA DE TOPE- CET</t>
  </si>
  <si>
    <t>COM-163-Y</t>
  </si>
  <si>
    <t>COM-163-Y ESCUADRA DE TOPE - CET</t>
  </si>
  <si>
    <t>COM-164</t>
  </si>
  <si>
    <t>ESPEJO</t>
  </si>
  <si>
    <t>COM-164 ESPEJO - CET</t>
  </si>
  <si>
    <t>COM-167</t>
  </si>
  <si>
    <t>EXPRIMIDOR DE CITRICOS DE 4 TAMBORES</t>
  </si>
  <si>
    <t>COM-167 EXPRIMIDOR DE CITRICOS DE 4 TAMBORES - CET</t>
  </si>
  <si>
    <t>COM-167.1</t>
  </si>
  <si>
    <t>FUNDA PROTECTORA IMPERMEABLE (1 UND)</t>
  </si>
  <si>
    <t>33 cm x 34cm x 50 cm</t>
  </si>
  <si>
    <t xml:space="preserve">FUNDAS PROTECTORAS IMPERMEABLES 33 CM X 33 CM X 50 CM PARA EXPRIMIDOR DE CITRICOS DE 4 TAMBORES
</t>
  </si>
  <si>
    <t>COM-168</t>
  </si>
  <si>
    <t>EXPRIMIDOR DE LIMÓN</t>
  </si>
  <si>
    <t>COM-168 EXPRIMIDOR DE LIMÓN - CET</t>
  </si>
  <si>
    <t>COM-168.1</t>
  </si>
  <si>
    <t>18 cm x 18 cm x 22 cm</t>
  </si>
  <si>
    <t>FUNDAS PROTECTORAS IMPERMEABLES DIAMETRO 22 CM x 30 CM (altura) PARA EXPRIMIDOR DE LIMÓN</t>
  </si>
  <si>
    <t>COM-169</t>
  </si>
  <si>
    <t>EXPRIMIDOR MANUAL DE JUGOS MELAZA</t>
  </si>
  <si>
    <t>COM-169 EXPRIMIDOR MANUAL DE JUGOS MELAZA - CET</t>
  </si>
  <si>
    <t>COM-170</t>
  </si>
  <si>
    <t>EXPRIMIDORA</t>
  </si>
  <si>
    <t>COM-170 EXPRIMIDORA - CET</t>
  </si>
  <si>
    <t>COM-170.1</t>
  </si>
  <si>
    <t>FUNDAS PROTECTORAS IMPERMEABLES DIAMETRO 22CM x 30 CM (altura) PARA EXPRIMIDORA</t>
  </si>
  <si>
    <t>COM-171</t>
  </si>
  <si>
    <t>FALSA ESCUADRA</t>
  </si>
  <si>
    <t>COM-171 FALSA ESCUADRA - CET</t>
  </si>
  <si>
    <t>COM-172</t>
  </si>
  <si>
    <t>COM-172-X</t>
  </si>
  <si>
    <t>GONIÓMETRO DIGITAL</t>
  </si>
  <si>
    <t>COM-172-X GONIOMETRO DIGITAL - CET</t>
  </si>
  <si>
    <t>COM-172-Y</t>
  </si>
  <si>
    <t>COM-172-Y GONIOMETRO DIGITAL - CET</t>
  </si>
  <si>
    <t>COM-173</t>
  </si>
  <si>
    <t>GRAMIL DIGITAL</t>
  </si>
  <si>
    <t>COM-173 GRAMIL DIGITAL - CET</t>
  </si>
  <si>
    <t>COM-174</t>
  </si>
  <si>
    <t>GRANETE</t>
  </si>
  <si>
    <t>COM-174 GRANETE - CET</t>
  </si>
  <si>
    <t>COM-175</t>
  </si>
  <si>
    <t>GREEN SCREEN</t>
  </si>
  <si>
    <t>COM-175 GREEN SCREEN - CET</t>
  </si>
  <si>
    <t>COM-176</t>
  </si>
  <si>
    <t>KIT DE GUIA DE SISTEMA DE ENSAMBLAJE INVISIBLE</t>
  </si>
  <si>
    <t>COM-176 KIT DE GUIA DE SISTEMA DE ENSAMBLAJE INVISIBLE- CET</t>
  </si>
  <si>
    <t>COM-176.1</t>
  </si>
  <si>
    <t>DESTORNILLADOR CABEZA CUADRADA 2" (1 UND)</t>
  </si>
  <si>
    <t>VESTTIO</t>
  </si>
  <si>
    <t>Destornillador S2 SQ2 2"</t>
  </si>
  <si>
    <t>https://www.amazon.com/dp/B0BBDZ5HH1/ref=sspa_dk_hqp_detail_aax_0?sp_csd=d2lkZ2V0TmFtZT1zcF9ocXBfc2hhcmVk&amp;th=1</t>
  </si>
  <si>
    <t>COM-176.2</t>
  </si>
  <si>
    <t>DESTORNILLADOR CABEZA CUADRADA 6" (1 UND)</t>
  </si>
  <si>
    <t>Destornillador S2 6"</t>
  </si>
  <si>
    <t>https://www.amazon.com/dp/B09KN6RF28/ref=sspa_dk_hqp_detail_aax_0?sp_csd=d2lkZ2V0TmFtZT1zcF9ocXBfc2hhcmVk&amp;th=1</t>
  </si>
  <si>
    <t>COM-177</t>
  </si>
  <si>
    <t>JUEGO DE GUIA PARA ESPIGAS O TARUGOS</t>
  </si>
  <si>
    <t>COM-177 JUEGO DE GUIA PARA ESPIGAS O TARUGOS - CET</t>
  </si>
  <si>
    <t>COM-178</t>
  </si>
  <si>
    <t>GUÍA PASACABLES</t>
  </si>
  <si>
    <t>COM-178 GUÍA PASACABLES - CET</t>
  </si>
  <si>
    <t>COM-178.1</t>
  </si>
  <si>
    <t>ESTUCHE PARA EL GUARDADO (1 UND)</t>
  </si>
  <si>
    <t>ESTUCHE CIRCULAR DIAMETRO 30 CM, FUELLE 6CM PARA GUIA PASACABLES</t>
  </si>
  <si>
    <t>COM-179</t>
  </si>
  <si>
    <t>JUEGO DE BOQUILLAS DECORATIVAS</t>
  </si>
  <si>
    <t>COM-179 JUEGO DE BOQUILLAS DECORATIVAS - CET</t>
  </si>
  <si>
    <t>COM-180</t>
  </si>
  <si>
    <t>JUEGO DE BROCAS</t>
  </si>
  <si>
    <t>COM-180 JUEGO DE BROCAS - CET</t>
  </si>
  <si>
    <t>COM-181</t>
  </si>
  <si>
    <t>JUEGO DE BROCAS DE COPA PARA MADERA</t>
  </si>
  <si>
    <t>COM-181 JUEGO DE BROCAS DE COPA PARA MADERA - CET</t>
  </si>
  <si>
    <t>COM-182</t>
  </si>
  <si>
    <t>JUEGO DE BROCAS HSS PARA METAL</t>
  </si>
  <si>
    <t>COM-182 JUEGO DE BROCAS HSS PARA METAL - CET</t>
  </si>
  <si>
    <t>COM-183</t>
  </si>
  <si>
    <t>JUEGO DE BROCAS PARA METAL, MADERA, CEMENTO.</t>
  </si>
  <si>
    <t>COM-183 JUEGO DE BROCAS PARA METAL, MADERA, CEMENTO - CET</t>
  </si>
  <si>
    <t>COM-183.1</t>
  </si>
  <si>
    <t>BROCAS PARA CONCRETO (1 UND)</t>
  </si>
  <si>
    <t>https://www.promart.pe/juego-de-brocas-para-concreto-4-piezas-truper-102706-1001103288/p?srsltid=AfmBOop5CVDCM9sXyUue9htwnWTeRlXbZX-yOWjuUMNQSmb0SNw6Tyi3</t>
  </si>
  <si>
    <t>COM-184</t>
  </si>
  <si>
    <t>JUEGO DE COMPASES</t>
  </si>
  <si>
    <t>COM-184JUEGO DE COMPASES - CET</t>
  </si>
  <si>
    <t>COM-184.1</t>
  </si>
  <si>
    <t>COMPÁS DE EXTERIOR. (1 UND)</t>
  </si>
  <si>
    <t>COMPAS EXTERIOR DE 12″</t>
  </si>
  <si>
    <t>https://store.ferrindustrial.com.pe/producto/compas-exterior-de-12-302466-vogel-germany/</t>
  </si>
  <si>
    <t>INSIZE</t>
  </si>
  <si>
    <t>12"/300mm #7262-300 INSIZE</t>
  </si>
  <si>
    <t>https://drive.google.com/drive/u/0/folders/106Bclrf-ORv8uqJxSDnqi0MfJdQmOv-l</t>
  </si>
  <si>
    <t>COM-184.2</t>
  </si>
  <si>
    <t>COMPÁS DE INTERIORES. (1 UND)</t>
  </si>
  <si>
    <t>COMPAS INTERIOR DE 12″</t>
  </si>
  <si>
    <t>https://store.ferrindustrial.com.pe/producto/compas-interior-de-12-302446-vogel-germany/</t>
  </si>
  <si>
    <t>12"/300mm #7261-300 INSIZE</t>
  </si>
  <si>
    <t>COM-184.3</t>
  </si>
  <si>
    <t>COMPÁS DE PUNTAS. (1 UND)</t>
  </si>
  <si>
    <t xml:space="preserve">COMPAS DE PUNTA DE 12″ </t>
  </si>
  <si>
    <t>https://store.ferrindustrial.com.pe/producto/compas-de-punta-de-12-302426-vogel-germany/</t>
  </si>
  <si>
    <t>12"/300mm #7260-300 INSIZE</t>
  </si>
  <si>
    <t>COM-185</t>
  </si>
  <si>
    <t>JUEGO DE DADOS</t>
  </si>
  <si>
    <t>COM-185 JUEGO DE DADOS - CET</t>
  </si>
  <si>
    <t>COM-185.7</t>
  </si>
  <si>
    <t>https://www.aibitech.com/herramientas-dados/dados-hexagonales-milimetricos/juego-dados-impacto-9pzas-17-19-21-22-23-24-27-30-32mm-e34-largo-bosch-2608003042-42469.html?srsltid=AfmBOopq-0DDXOUVP97bW-c4KaMhCPj1gSraLhXhqoGfrxxupLW4TFnl</t>
  </si>
  <si>
    <t>COM-186</t>
  </si>
  <si>
    <t>JUEGO DE FRESAS PARA RUTEADORA</t>
  </si>
  <si>
    <t>COM-186 JUEGO DE FRESAS PARA RUTEADORA - CET</t>
  </si>
  <si>
    <t>COM-187</t>
  </si>
  <si>
    <t>JUEGO DE GUBIAS PARA TORNO</t>
  </si>
  <si>
    <t>COM-187 JUEGO DE GUBIAS PARA TORNO - CET</t>
  </si>
  <si>
    <t>COM-188</t>
  </si>
  <si>
    <t>JUEGO DE HOJAS DE SIERRA</t>
  </si>
  <si>
    <t>COM-188 JUEGO DE HOJAS DE SIERRA - CET</t>
  </si>
  <si>
    <t>COM-189</t>
  </si>
  <si>
    <t>JUEGO DE LAPEADORES DE VÁLVULA</t>
  </si>
  <si>
    <t>COM-189 JUEGO DE LAPEADORES DE VALVULA - CET</t>
  </si>
  <si>
    <t>TOPTUL</t>
  </si>
  <si>
    <t xml:space="preserve">JGAR0201 </t>
  </si>
  <si>
    <t>https://drive.google.com/file/d/1lsNJZe6pHekpOr4RDny79y3pdC6wf9Z9/view?usp=sharing</t>
  </si>
  <si>
    <t>COM-191</t>
  </si>
  <si>
    <t>JUEGO DE MECHAS O FRESAS PARA RUTEADORA CNC</t>
  </si>
  <si>
    <t>COM-191 JUEGO DE MECHAS O FRESAS PARA RUTEADORA CNC - CET</t>
  </si>
  <si>
    <t>COM-191.1</t>
  </si>
  <si>
    <t>FRESAS DE GRABADO (2 UND)</t>
  </si>
  <si>
    <t>https://www.amazon.com/SPTA-Carbide-Engraving-Woodworking-Drilling/dp/B013P10ES8</t>
  </si>
  <si>
    <t>SPTA</t>
  </si>
  <si>
    <t>Juego de fresas giratorias de carburo de tungsteno</t>
  </si>
  <si>
    <t>COM-191.2</t>
  </si>
  <si>
    <t>FRESAS CONICAS (2 UND)</t>
  </si>
  <si>
    <t>https://www.amazon.com/Conical-Tool-Company-P-404-Tapered/dp/B019N368FK</t>
  </si>
  <si>
    <t>AORANTO</t>
  </si>
  <si>
    <t>EZ33125</t>
  </si>
  <si>
    <t>https://www.amazon.com/Aoranto-EZ23038-pulgadas-industrial-revestimiento/dp/B0DM6N12QC/ref=sr_1_1_sspa?__mk_es_US=%C3%85M%C3%85%C5%BD%C3%95%C3%91&amp;crid=31YBGE7KOJ2HO&amp;dib=eyJ2IjoiMSJ9.Yiwkd0B1OnUWT_axy0cM7BTifYQGzvHZe02cDf8I20izhonXMuJBegRcuehWwLQ_HpaUdd8mqR183FxaWfRjHM1ymE4Qj5ezozsLR5MaXl51WyIU_aXs683qSe3xMhHQ3hQO1hX8A1fsDpKyRTepP6Y58OFuncN8vNZT8OMRDG0yb1ad1tQWKiY-GqRQAofoyLFcJ5oD9y3Xef7W7nc9TdwSKQstA6Vziw-sygQxxho.V7kloB58MdXO1KCNjzZpikdTy7dPmSN-LjuK14iFgtg&amp;dib_tag=se&amp;keywords=Tapered%2BBall%2BNose%2Bmill%2B1%2F4&amp;qid=1767196344&amp;sprefix=tapered%2Bball%2Bnose%2Bmill%2B1%2F%2Caps%2C170&amp;sr=8-1-spons&amp;sp_csd=d2lkZ2V0TmFtZT1zcF9hdGY&amp;th=1</t>
  </si>
  <si>
    <t>COM-191.3</t>
  </si>
  <si>
    <t>FRESAS  DE DESBASTE (2 UND)</t>
  </si>
  <si>
    <t>https://idcwoodcraft.com/products/the-hog-long-1-4-roughing-endmill-bit-for-cnc-routers-1-4-shank?srsltid=AfmBOoqU3XqrsZ6Qh82BceVrejcjsDCD-9O6RpuJWJxsvNuoVE8bSVWD</t>
  </si>
  <si>
    <t>The HOG</t>
  </si>
  <si>
    <t>The HOG 1/4" Roughing Endmill Bit For CNC Routers, 1/4" Shank</t>
  </si>
  <si>
    <t>COM-191.4</t>
  </si>
  <si>
    <t>FRESAS DE UN FILO (2 UND)</t>
  </si>
  <si>
    <t>https://www.amanatool.com/hss1629-high-speed-steel-hss-single-flute-spiral-aluminum-cutting-1-4-dia-x-1-x-1-4-inch-shank-down-cut-router-bit.html</t>
  </si>
  <si>
    <t>Amana Tool</t>
  </si>
  <si>
    <t>HSS1629</t>
  </si>
  <si>
    <t>https://es.global.toolstoday.com/v-13258-hss1629.html?glCountry=PE&amp;glCurrency=USD</t>
  </si>
  <si>
    <t>COM-191.5</t>
  </si>
  <si>
    <t>FRESASDE 2 FILOS (2 UND)</t>
  </si>
  <si>
    <t>https://www.amanatool.com/hss1605-hss-double-straight-o-flute-plastic-cutting-1-4-dia-x-2-x-1-4-inch-shank.html</t>
  </si>
  <si>
    <t>HSS1605</t>
  </si>
  <si>
    <t>https://es.global.toolstoday.com/v-12923-hss1605.html</t>
  </si>
  <si>
    <t>COM-191.6</t>
  </si>
  <si>
    <t>FRESAS PUNTA ESFERICA (2 UND)</t>
  </si>
  <si>
    <t>https://www.msdiscounttool.com/catalog/product_info.php?products_id=89608&amp;srsltid=AfmBOoogOBEYTm-FkrTRwSEGRNe5RDRXwRqS1Wgg952iRD8Pp8vl6Ij-</t>
  </si>
  <si>
    <t>STAR USA</t>
  </si>
  <si>
    <t>https://www.msdiscounttool.com/catalog/product_info.php?products_id=89608&amp;srsltid=AfmBOo%20ogOBEYTm-FkrTRwSEGRNe5RDRXwRqS1Wgg952iRD8Pp8vl6Ij-</t>
  </si>
  <si>
    <t>COM-192</t>
  </si>
  <si>
    <t>JUEGO DE MICRÓMETRO DE INTERIORES</t>
  </si>
  <si>
    <t>COM-192 JUEGO DE MICRÓMETRO DE INTERIORES - CET</t>
  </si>
  <si>
    <t>MITUTOYO</t>
  </si>
  <si>
    <t>133-902</t>
  </si>
  <si>
    <t>https://rodavigo.net/es/p/juego-de-micrometros-de-50-a-300-mm-ref-mitutoyo-133-902/509133902</t>
  </si>
  <si>
    <t>COM-192.1</t>
  </si>
  <si>
    <t>ANILLO DE AJUSTE DE 50 MM (1 UND)</t>
  </si>
  <si>
    <t>6312-50</t>
  </si>
  <si>
    <t>https://www.higherprecision.com/products/bore-gages/mitutoyo-steel-setting-ring-range-50mm-type-a-177-146?srsltid=AfmBOooLrJdB9RWTj6j13LmwqU9pnVuJd8gZA6pIqWLOH9PZxk_HPWKv</t>
  </si>
  <si>
    <t>COM-192.2</t>
  </si>
  <si>
    <t>ANILLO DE AJUSTE DE 100 MM (1 UND)</t>
  </si>
  <si>
    <t>6312-100</t>
  </si>
  <si>
    <t>https://www.higherprecision.com/products/bore-gages/mitutoyo-steel-setting-ring-range-90mm-type-a-177-148?srsltid=AfmBOoqGqJ5z4vysNOpwB9emlGZCY4PH46b7Bd-yw0o3osmZTq5RAvOe</t>
  </si>
  <si>
    <t>COM-194</t>
  </si>
  <si>
    <t>JUEGO DE PUNTAS MAGNÉTICAS PARA DESTORNILLADOR</t>
  </si>
  <si>
    <t>COM-194 JUEGO DE PUNTAS MAGNÉTICAS PARA DESTORNILLADOR - CET</t>
  </si>
  <si>
    <t>COM-195</t>
  </si>
  <si>
    <t>JUEGO DE TIJERAS PARA TELAS</t>
  </si>
  <si>
    <t>COM-195 JUEGO DE TIJERAS PARA TELAS - CET</t>
  </si>
  <si>
    <t>COM-195.1</t>
  </si>
  <si>
    <t>TIJERA DE BORDAR. LARGO 4 PULG (1 UND)</t>
  </si>
  <si>
    <t>Tijeras De Bordado Negras De 4 Pulgadas</t>
  </si>
  <si>
    <t>https://articulo.mercadolibre.com.pe/MPE-658676440-tijeras-de-bordado-negras-de-4-pulgadas-_JM</t>
  </si>
  <si>
    <t>3 Claveles</t>
  </si>
  <si>
    <t>Tijera de bordar 4"</t>
  </si>
  <si>
    <t>https://drive.google.com/file/d/1th-WR_XvETHabCfSX4sNUzqrRQOsPilL/view?usp=drive_link</t>
  </si>
  <si>
    <t>COM-195.2</t>
  </si>
  <si>
    <t>TIJERA DE SASTRE. LARGO 9 PULG (1 UND)</t>
  </si>
  <si>
    <t>Tijera 9 industrial para sastre truper</t>
  </si>
  <si>
    <t>https://www.sodimac.com.pe/sodimac-pe/articulo/138891799/Tijera-9-industrial-para-sastre-truper/138891800?kid=goosho_669251&amp;shop=googleShopping&amp;gad_source=1&amp;gad_campaignid=21524729896&amp;gbraid=0AAAAADOx_19eQr38Em6jOfQHqo0Qgb_MO&amp;gclid=CjwKCAjwgeLHBhBuEiwAL5gNEYGIDSlgupY0z9gKzJIxzpqaRZMUpDofvU6uFbhUDrB-wt1T0cw6lRoCbGIQAvD_BwE</t>
  </si>
  <si>
    <t>Tijera de sastre 9"</t>
  </si>
  <si>
    <t>https://drive.google.com/file/d/1XL1IYzGRBa2txG9GeVj5N4NksHX8srxi/view?usp=drive_link</t>
  </si>
  <si>
    <t>COM-195.3</t>
  </si>
  <si>
    <t>TIJERA DE MODISTA. LARGO 7 PULG (1 UND)</t>
  </si>
  <si>
    <t>Tijera para Costura 7" Pretul 23156</t>
  </si>
  <si>
    <t>https://www.promart.pe/tijera-para-costura-7-pretul-23156-1001185282/p?gad_source=1&amp;gad_campaignid=22752513019&amp;gbraid=0AAAAADJIfAJq0PtvNUgRezlvl1vCQWQ24&amp;gclid=CjwKCAjwgeLHBhBuEiwAL5gNETjzwR3r3XQeU1T5lQNPbHM3DLzDz8VQsbjyLodTtq7Agkx68uXHwxoCcMQQAvD_BwE</t>
  </si>
  <si>
    <t>Tijera de modista 7"</t>
  </si>
  <si>
    <t>https://drive.google.com/file/d/19sSBC0FOQ_QsRmAx5mfyquAyuga2DYf8/view?usp=drive_link</t>
  </si>
  <si>
    <t>COM-195.4</t>
  </si>
  <si>
    <t>TIJERA DE COSTURA. LARGO 8 PULG (1 UND)</t>
  </si>
  <si>
    <t>Tijera de costura 7"</t>
  </si>
  <si>
    <t>https://drive.google.com/file/d/1RNZe2IP36keeGBzZX22z8t0Z9uUbs0vG/view?usp=drive_link</t>
  </si>
  <si>
    <t>COM-195.5</t>
  </si>
  <si>
    <t>TIJERA ZIGZAG. LARGO 8,5 PULG (1 UND)</t>
  </si>
  <si>
    <t>Tijera Zig Zag de 21.5 Cm</t>
  </si>
  <si>
    <t>https://www.plazavea.com.pe/tijera-para-tela-zigzag-de-modista-costura-tijera-zig-zag-de-21-5-cm-100879926/p?gclsrc=aw.ds&amp;gad_source=1&amp;gad_campaignid=22403266061&amp;gbraid=0AAAAAqXj2LrFQ2lXRwiMCjCHQnYJgWTvE&amp;gclid=CjwKCAjwgeLHBhBuEiwAL5gNEfX4akC0rM16uxZivsXpT8nSkaNrQLY47LqMid3rYN-2xS-PCObpdhoCZpAQAvD_BwE</t>
  </si>
  <si>
    <t>TIJ-ZIGZAGDELFIN</t>
  </si>
  <si>
    <t>https://www.promart.pe/tijera-para-tela-zigzag-de-modista-costura-tijera-zig-zag-de-21-5-cm-1000484340/p?srsltid=AfmBOoqjUzuLl82YcstVIWvSXnT-9isRR3H9CjZRXbbwi-mCzD6HnPSG</t>
  </si>
  <si>
    <t>COM-197</t>
  </si>
  <si>
    <t>KIT DE MACHOS Y TERRAJAS</t>
  </si>
  <si>
    <t>COM-197 KIT DE MACHOS Y TERRAJAS - CET</t>
  </si>
  <si>
    <t>https://www.truper.com/ficha_tecnica/Juego-de-machuelos-y-tarrajas-60-piezas-3417.html?code=11443</t>
  </si>
  <si>
    <t>COM-197.1</t>
  </si>
  <si>
    <t>TERRAJA Y GIRAMACHO DE 3/16´´  NC (1 UND)</t>
  </si>
  <si>
    <t>Utoolmart</t>
  </si>
  <si>
    <t>3/16 "-24 BSW</t>
  </si>
  <si>
    <t>https://www.amazon.com/-/es/Utoolmart-redondo-derecha-m%C3%A1quina-aleaci%C3%B3n/dp/B07Z7WNDHX/ref=sr_1_4?__mk_es_US=%C3%85M%C3%85%C5%BD%C3%95%C3%91&amp;crid=XDV82XJV1V92&amp;dib=eyJ2IjoiMSJ9.Pf__CdQ8sLCj495OGfWKwIJf6x-Hg_gZ-ft0Fyvjz98Cp3osiLb0ScXckoQ-jNSidbyDUj5yiq-6Wfqo4JuK-SJPI54iQgzVqoPVDmHJ0t90QLypwS02e2XZ3MriX989MTh808Uw3mdFDHzPVd6igEiUeKbS66TYFnWHuRO-CfqT4w43WJS-0Ana6UnffJZm5lSUt4I-ZyWndttQTY02Efr9NKs8dN3V7XZnivtaotPbwmaa84iJhmxF0LleCnc2.w_RgYdzPAh_Z_JDfaQlpXmKN-fJsKUm2NmURv7ZwjCA&amp;dib_tag=se&amp;keywords=terraja%2B3%2F16%2BNC&amp;qid=1767634148&amp;sprefix=terraja%2B3%2F16%2Bnc%2Caps%2C176&amp;sr=8-4&amp;th=1</t>
  </si>
  <si>
    <t>COM-201</t>
  </si>
  <si>
    <t>KIT PARA DESMONTAJE DE SENSORES</t>
  </si>
  <si>
    <t>COM-201 KIT PARA DESMONTAJE DE SENSORES - CET</t>
  </si>
  <si>
    <t>COM-207</t>
  </si>
  <si>
    <t>LINTERNA FRONTAL</t>
  </si>
  <si>
    <t>COM-207 LINTERNA FRONTAL - CET</t>
  </si>
  <si>
    <t>https://www.truper.com/ficha_tecnica/Linterna-para-cabeza-3-pilas-AAA-28-lumenes-3-LEDs-252665.html?code=27083</t>
  </si>
  <si>
    <t>COM-207.1</t>
  </si>
  <si>
    <t>PACK DE 3 PILAS AAA DE 1.5 V (1 UND)</t>
  </si>
  <si>
    <t>Pilas Alcalinas Duracell AAA x4  1,5</t>
  </si>
  <si>
    <t>https://www.promart.pe/pack-de-pilas-duracell-aaa-x4/p</t>
  </si>
  <si>
    <t xml:space="preserve"> Duracell</t>
  </si>
  <si>
    <t>COM-209</t>
  </si>
  <si>
    <t>KIT DE ILUMINACIÓN DE SOFTBOX</t>
  </si>
  <si>
    <t>COM-209 KIT DE ILUMINACIÓN DE SOFTBOX - CET</t>
  </si>
  <si>
    <t>COM-209.1</t>
  </si>
  <si>
    <t>PACK DE DOS BOMBILLAS 135W (2 UND)</t>
  </si>
  <si>
    <t>SKYTEX</t>
  </si>
  <si>
    <t>Paquete de 2 bombillas LED tricolor regulables de 135 W</t>
  </si>
  <si>
    <t>https://www.amazon.com/Skytex-bombillas-regulables-fotograf%C3%ADa-temperatura/dp/B0BN33DSQN/ref=sr_1_1_sspa?__mk_es_US=%C3%85M%C3%85%C5%BD%C3%95%C3%91&amp;crid=3O9ZI9PA0WCP0&amp;dib=eyJ2IjoiMSJ9.cER9JeogVGtrTT99cO165johR64xjvGMNT9-OYe1_TGcvnK83JJf13TYEKsLib-VZtkLyTRESfaO19TH-sbq50wRHMAz1WKPEuRWpYt4DyYwPeskF75wU2TPYp48lvTFVvUbUdVzdaDiZHJZFOz1NxJyIiRGo4jTwrha5FwGCN9AuuZPeexV2__Yr42QGoK6.enebDV4uLv0hmoKJBJTTsO9X_mlleuDc9lVXm_xSNYI&amp;dib_tag=se&amp;keywords=SKYTEX%2B135W&amp;qid=1772170554&amp;sprefix=skytex%2B135%2Caps%2C282&amp;sr=8-1-spons&amp;sp_csd=d2lkZ2V0TmFtZT1zcF9hdGY&amp;th=1</t>
  </si>
  <si>
    <t>COM-211</t>
  </si>
  <si>
    <t>LUPAS CON ILUMINACIÓN PARA LABORATORIO DE ELECTRÓNICA</t>
  </si>
  <si>
    <t>COM-211 LUPAS CON ILUMINACIÓN PARA LABORATORIO DE ELECTRÓNICA - CET</t>
  </si>
  <si>
    <t>COM-211.1</t>
  </si>
  <si>
    <t>COM-215</t>
  </si>
  <si>
    <t>JUEGO DE MANIQUÍES</t>
  </si>
  <si>
    <t>C0M-215 JUEGO DE MANIQUÍES - CET</t>
  </si>
  <si>
    <t>COM-215.1</t>
  </si>
  <si>
    <t>MANIQUÍ DAMA: ALTURA 170 CM (1 UND)</t>
  </si>
  <si>
    <t>venzhop</t>
  </si>
  <si>
    <t>venzhopspa</t>
  </si>
  <si>
    <t>https://venzhop.com/products/maniqui-de-dama-cuerpo-completo-plastico?srsltid=AfmBOoolg3NAkfNXgty72zHQDZIlKIoZXbfJDpuuuWbsRt5WU38E6Pkv</t>
  </si>
  <si>
    <t>Maniquì blanco de Dama fibra de vidrio</t>
  </si>
  <si>
    <t>COM-215.2</t>
  </si>
  <si>
    <t>MANIQUÍ CABALLERO: ALTURA 180 CM (1 UND)</t>
  </si>
  <si>
    <t>dicapomaniquies</t>
  </si>
  <si>
    <t>Balder</t>
  </si>
  <si>
    <t>https://dicapomaniquies.com/product/balder-2</t>
  </si>
  <si>
    <t xml:space="preserve">Maniquì blanco de caballero fibra de vidrio </t>
  </si>
  <si>
    <t>COM-215.3</t>
  </si>
  <si>
    <t>MANIQUÍ NIÑO: ALTURA 120 CM (1 UND)</t>
  </si>
  <si>
    <t>Classic kid</t>
  </si>
  <si>
    <t>https://dicapomaniquies.com/product/classic-kid-4</t>
  </si>
  <si>
    <t>https://www.alibaba.com/product-detail/New-Style-Factory-Price-Fiberglass-Clothes_1600235155656.html?spm=a2756.order-detail-ta-ta-b.0.0.a12cf19cYTV9Ft</t>
  </si>
  <si>
    <t>COM-215.4</t>
  </si>
  <si>
    <t>MANIQUÍ NIÑA: ALTURA 120 CM (1 UND)</t>
  </si>
  <si>
    <t>COM-218</t>
  </si>
  <si>
    <t>MANÓMETRO</t>
  </si>
  <si>
    <t xml:space="preserve">https://docs.google.com/spreadsheets/d/17zNg4unkldTzrkOxsDqgD0y0yf7H5TSO8SJeDBps1lc/edit?gid=0#gid=0 </t>
  </si>
  <si>
    <t>COM-225</t>
  </si>
  <si>
    <t>MEDIDOR DE CLORO RESIDUAL</t>
  </si>
  <si>
    <t>COM-225 MEDIDOR DE CLORO RESIDUAL - CET</t>
  </si>
  <si>
    <t>COM-225.1</t>
  </si>
  <si>
    <t>SET DE 25 PRUEBAS DE REACTIVOS PARA MEDIDOR DE CLORO (1 UND)</t>
  </si>
  <si>
    <t>HANNA</t>
  </si>
  <si>
    <t>COM-226</t>
  </si>
  <si>
    <t>MEDIDOR DE HUMEDAD</t>
  </si>
  <si>
    <t>COM-226 MEDIDOR DE HUMEDAD - CET</t>
  </si>
  <si>
    <t>COM-231</t>
  </si>
  <si>
    <t>COM-231-X</t>
  </si>
  <si>
    <t>MICRÓMETRO DIGITAL</t>
  </si>
  <si>
    <t>COM-231-X MICROMETRO DIGITAL - CET</t>
  </si>
  <si>
    <t>COM-231-Y</t>
  </si>
  <si>
    <t>COM-231-Y MICROMETRO DIGITAL - CET</t>
  </si>
  <si>
    <t>COM-231-Y.1</t>
  </si>
  <si>
    <t>CERTIFICADO DE CALIBRACIÓN (1 UND)</t>
  </si>
  <si>
    <t>COM-236</t>
  </si>
  <si>
    <t>COM-236-X</t>
  </si>
  <si>
    <t>JUEGO DE MOLDES CON CONO</t>
  </si>
  <si>
    <t>COM-236-X JUEGO DE MOLDES CON CONO - CET</t>
  </si>
  <si>
    <t>COM-236-Y</t>
  </si>
  <si>
    <t>MOLDE CON CONO</t>
  </si>
  <si>
    <t>COM-236-Y MOLDE CON CONO - CET</t>
  </si>
  <si>
    <t>COM-238</t>
  </si>
  <si>
    <t>COM-238-X</t>
  </si>
  <si>
    <t>JUEGO DE MOLDES DE CAKE</t>
  </si>
  <si>
    <t>COM-238-X JUEGO DE MOLDES DE CAKE - CET</t>
  </si>
  <si>
    <t>COM-238-Y</t>
  </si>
  <si>
    <t>COM-238-Y JUEGO DE MOLDES DE CAKE - CET</t>
  </si>
  <si>
    <t>COM-239</t>
  </si>
  <si>
    <t>KIT DE MOLDES PARA MANTEQUILLA CON GRABADOS DECORATIVOS</t>
  </si>
  <si>
    <t>COM-239 KIT DE MOLDES PARA MANTEQUILLA CON GRABADOS DECORATIVOS - CET</t>
  </si>
  <si>
    <t>COM-239.1</t>
  </si>
  <si>
    <t>MOLDE DE SILICONA 500 g (1UND)</t>
  </si>
  <si>
    <t>COM-239.2</t>
  </si>
  <si>
    <t>MOLDE DE SILICONA 1000 g  (1UND)</t>
  </si>
  <si>
    <t>COM-239.3</t>
  </si>
  <si>
    <t>MOLDE DE MADERA 250 G (1 UND)</t>
  </si>
  <si>
    <t>COM-240</t>
  </si>
  <si>
    <t>KIT DE MOLDES PARA QUESO CON GRABADOS DECORATIVOS</t>
  </si>
  <si>
    <t>Molde para Queso 12x13,5 cm – Para Quesos Frescos y Semiduros de Hasta 0,8 kg</t>
  </si>
  <si>
    <t>https://www.thehdoutlets.com/producto-p-778876.html</t>
  </si>
  <si>
    <t>COM-240 KIT DE MOLDES PARA QUESO CON GRABADOS DECORATIVOS - CET</t>
  </si>
  <si>
    <t>COM-240.1</t>
  </si>
  <si>
    <t>MOLDE DE 1KG (1 UND)</t>
  </si>
  <si>
    <t>Molde De Queso De 2.8 Kg</t>
  </si>
  <si>
    <t>https://articulo.mercadolibre.com.ve/MLV-713101744-molde-de-queso-de-28-kg-o-mozzarella-_JM</t>
  </si>
  <si>
    <t>Generico</t>
  </si>
  <si>
    <t>Molde de polietileno de 1000 gr</t>
  </si>
  <si>
    <t>https://drive.google.com/file/d/1tstOFx8GenyErvzdvcYWOzj95FJU9hYD/view?usp=drive_link</t>
  </si>
  <si>
    <t>COM-240.2</t>
  </si>
  <si>
    <t>MOLDE DE 3KG (1 UND)</t>
  </si>
  <si>
    <t>Molde de polietileno de 3000 gr</t>
  </si>
  <si>
    <t>https://drive.google.com/file/d/1S8TmZC8yf4FyD0j4NljdES1Wmr5PCA9t/view?usp=drive_link</t>
  </si>
  <si>
    <t>COM-241</t>
  </si>
  <si>
    <t>MORTERO</t>
  </si>
  <si>
    <t>COM-241 MORTERO - CET</t>
  </si>
  <si>
    <t>COM-242</t>
  </si>
  <si>
    <t>MUESTRARIO DE ESPECIES MADERERAS</t>
  </si>
  <si>
    <t>COM-242 MUESTRARIO DE ESPECIES MADERERAS - CET</t>
  </si>
  <si>
    <t>COM-242.1</t>
  </si>
  <si>
    <t>CATÁLOGO CON PROPIEDADES Y CARACTERÍSTICAS DE LAS ESPECIES (1 UND)</t>
  </si>
  <si>
    <t>COM-243</t>
  </si>
  <si>
    <t>MUESTRARIO DE TABLEROS PREFABRICADOS</t>
  </si>
  <si>
    <t>COM-243 MUESTRARIO DE TABLEROS PREFABRICADOS - CET</t>
  </si>
  <si>
    <t>CATÁLOGO CON PROPIEDADES Y CARACTERÍSTICAS DE  (1 UND)</t>
  </si>
  <si>
    <t>COM-244</t>
  </si>
  <si>
    <t>MUESTRARIO DE TAPACANTOS</t>
  </si>
  <si>
    <t>COM-244 MUESTRARIO DE TAPACANTOS - CET</t>
  </si>
  <si>
    <t>COM-245</t>
  </si>
  <si>
    <t>NIVEL DE BURBUJAS</t>
  </si>
  <si>
    <t>COM-245 NIVEL DE BURBUJAS - CET</t>
  </si>
  <si>
    <t>COM-246</t>
  </si>
  <si>
    <t>NIVEL DE NIVELACIÓN Y MEDICIÓN DE ÁNGULOS DIGITAL</t>
  </si>
  <si>
    <t>COM-246 NIVEL DE NIVELACIÓN Y MEDICIÓN DE ÁNGULOS DIGITAL - CET</t>
  </si>
  <si>
    <t>COM-250</t>
  </si>
  <si>
    <t>PELADOR DE PAPA</t>
  </si>
  <si>
    <t>COM-250 PELADOR DE PAPA - CET</t>
  </si>
  <si>
    <t>COM-251</t>
  </si>
  <si>
    <t>PELADOR DE PIÑA ACERO INOXIDABLE CORTADOR REBANADOR FRUTA</t>
  </si>
  <si>
    <t>COM-251 PELADOR DE PIÑA ACERO INOXIDABLE CORTADOR REBANADOR FRUTA - CET</t>
  </si>
  <si>
    <t>COM-252</t>
  </si>
  <si>
    <t>PELADORA DE FRUTAS Y HORTALIZAS</t>
  </si>
  <si>
    <t>COM-252 PELADORA DE FRUTAS Y HORTALIZAS - CET</t>
  </si>
  <si>
    <t>COM-252.1</t>
  </si>
  <si>
    <t>CUCHILLA DE ACERO INOX (2 UND)</t>
  </si>
  <si>
    <t>Starfrit</t>
  </si>
  <si>
    <t>COM-252.2</t>
  </si>
  <si>
    <t>PACK DE 4 PILAS AA DE 1.5 V (1 UND)</t>
  </si>
  <si>
    <t>COM-252.3</t>
  </si>
  <si>
    <t>ADAPTADOR 6A DE 220VAC (1 UND)</t>
  </si>
  <si>
    <t>COM-253</t>
  </si>
  <si>
    <t>PESA</t>
  </si>
  <si>
    <t>COM-253 PESA - CET</t>
  </si>
  <si>
    <t>COM-254</t>
  </si>
  <si>
    <t>PH METRO PARA ALIMENTOS LÍQUIDOS</t>
  </si>
  <si>
    <t>COM-254 PH METRO PARA ALIMENTOS LÍQUIDOS - CET</t>
  </si>
  <si>
    <t>COM-256</t>
  </si>
  <si>
    <t>PIEDRA DE ASENTAR</t>
  </si>
  <si>
    <t>COM-256 PIEDRA DE ASENTAR - CET</t>
  </si>
  <si>
    <t>COM-257</t>
  </si>
  <si>
    <t>PIQUETA DE SOLDADOR</t>
  </si>
  <si>
    <t>COM-257 PIQUETA DE SOLDADOR - CET</t>
  </si>
  <si>
    <t>COM-258</t>
  </si>
  <si>
    <t>PIQUETERA</t>
  </si>
  <si>
    <t>COM-258 PIQUETERA - CET</t>
  </si>
  <si>
    <t>Piquetera Profesional</t>
  </si>
  <si>
    <t>COM-262</t>
  </si>
  <si>
    <t>PRENSA ESQUINERA</t>
  </si>
  <si>
    <t>COM-262 PRENSA ESQUINERA - CET</t>
  </si>
  <si>
    <t>COM-263</t>
  </si>
  <si>
    <t>PRENSA HIDRÁULICA MANUAL</t>
  </si>
  <si>
    <t>500mm x 300mm x 700mm</t>
  </si>
  <si>
    <t>COM-263 PRENSA HIDRÁULICA MANUAL - CET</t>
  </si>
  <si>
    <t>COM-263.1</t>
  </si>
  <si>
    <t>FUNDAS IMPERMEABLES 68 CM X 36 CM X 93 CM PARA PRENSA HIDRÁULICA MANUAL</t>
  </si>
  <si>
    <t>COM-264</t>
  </si>
  <si>
    <t>PRENSA MANUAL PARA FRUTAS Y VERDURAS</t>
  </si>
  <si>
    <t>380 x 380 x 585 mm</t>
  </si>
  <si>
    <t>COM-264 PRENSA MANUAL PARA FRUTAS Y VERDURAS - CET</t>
  </si>
  <si>
    <t>COM-264.1</t>
  </si>
  <si>
    <t>FUNDAS IMPERMEABLES 48 CM X 46 CM X 68 CM PARA PRENSA MANUAL PARA FRUTAS Y VERDURAS</t>
  </si>
  <si>
    <t>COM-265</t>
  </si>
  <si>
    <t>PRENSA PARA QUESO MANUAL ACERO INOXIDABLE</t>
  </si>
  <si>
    <t>320 x 300 x 370 mm</t>
  </si>
  <si>
    <t>COM-265 PRENSA PARA QUESO MANUAL ACERO INOXIDABLE - CET</t>
  </si>
  <si>
    <t>COM-265.1</t>
  </si>
  <si>
    <t>FUNDAS IMPERMEABLES 35 CM x 35 CM x 40 CM PARA PRENSA PARA QUESO MANUAL ACERO INOXIDABLE</t>
  </si>
  <si>
    <t>COM-266</t>
  </si>
  <si>
    <t>PRENSATELA DE CIERRE</t>
  </si>
  <si>
    <t>https://docs.google.com/spreadsheets/d/1vk-CFNauPWNO4fk6TSu_J52vnJ7ukiXUZOmNEz3LMq8/edit?gid=0#gid=0</t>
  </si>
  <si>
    <t>COM-267</t>
  </si>
  <si>
    <t>PRENSATELA DE COMPENSACIÓN</t>
  </si>
  <si>
    <t>PRENSATELA DE RECTA CON GUIA MOVIL 3/16</t>
  </si>
  <si>
    <t>https://megatex.com.pe/repuestos/prensatela-de-recta-con-guia-movil-316.html</t>
  </si>
  <si>
    <t>COM-267 PRENSATELA DE COMPENSACIÓN - CET</t>
  </si>
  <si>
    <t>COM-268</t>
  </si>
  <si>
    <t>PRENSATELA DE DOBLADILLAR</t>
  </si>
  <si>
    <t>CTX-4118524-45</t>
  </si>
  <si>
    <t>https://www.sewing.sg/products/hemmer-foot-for-industrial-6?utm_source=chatgpt.com</t>
  </si>
  <si>
    <t>COM-268 PRENSATELA DE DOBLADILLAR - CET</t>
  </si>
  <si>
    <t>COM-268.1</t>
  </si>
  <si>
    <t>PRENSATELA (2 MM) (1 UND)</t>
  </si>
  <si>
    <t>https://www.cutexsewingsupplies.com/products/1-8-3mm-high-shank-rolled-hemmer-foot-546118-for-sewing-machine?variant=32876133974069</t>
  </si>
  <si>
    <t>Alfa</t>
  </si>
  <si>
    <t>2mm</t>
  </si>
  <si>
    <t>https://www.alfahogar.com/maquinas-de-coser/accesorios/costura/prensatelas-dobladillador-2mm/</t>
  </si>
  <si>
    <t>COM-268.2</t>
  </si>
  <si>
    <t>PRENSATELA (3 MM) (1 UND)</t>
  </si>
  <si>
    <t>820221096-PF</t>
  </si>
  <si>
    <t>https://www.amazon.com/-/es/dobladillo-prensatelas-industriales-industrial-accesorios/dp/B0FLX95FPP?utm_source=chatgpt.com</t>
  </si>
  <si>
    <t>COM-268.3</t>
  </si>
  <si>
    <t>PRENSATELA (4 MM) (1 UND)</t>
  </si>
  <si>
    <t>A9104090000</t>
  </si>
  <si>
    <t>https://www.cutexsewingsupplies.com/products/1-4-6mm-low-shank-rolled-hemmer-foot-p60001-for-home-sewing-machines?variant=45645017514227</t>
  </si>
  <si>
    <t>https://lacanilla.com/products/prensatelas-de-dobladillo-4mm?srsltid=AfmBOopNn5t1ZrpSkqBiHBo-67aO6Gc-qGG389S_AlD_EkBWj4kw8bfs</t>
  </si>
  <si>
    <t>COM-268.4</t>
  </si>
  <si>
    <t>PRENSATELA (5 MM) (1 UND)</t>
  </si>
  <si>
    <t>Brother</t>
  </si>
  <si>
    <t>5 mm</t>
  </si>
  <si>
    <t>https://lacanilla.com/products/prensatelas-de-dobladillo-brother-5mm?srsltid=AfmBOoq3U7l8CBtCi2xHgGv48O12KpyXJhQ1U_W0IYJ-dd09tWaQMMPH</t>
  </si>
  <si>
    <t>COM-269</t>
  </si>
  <si>
    <t>PUNZÓN</t>
  </si>
  <si>
    <t>COM-269 PUNZON - CET</t>
  </si>
  <si>
    <t>SAIDA TEX</t>
  </si>
  <si>
    <t>3PC</t>
  </si>
  <si>
    <t>https://www.mercadolibre.com.pe/punzon-lezna-mango-madera-para-costura-y-cuero-x-3-und/up/MPEU2990103922#highlighted_specs_attrs</t>
  </si>
  <si>
    <t>COM-271</t>
  </si>
  <si>
    <t>RAYADOR</t>
  </si>
  <si>
    <t>COM-271 RAYADOR - CET</t>
  </si>
  <si>
    <t>COM-272</t>
  </si>
  <si>
    <t>RAYADOR MECÁNICO</t>
  </si>
  <si>
    <t>COM-272 RAYADOR MECANICO - CET</t>
  </si>
  <si>
    <t>BAHCO</t>
  </si>
  <si>
    <t>1177-SCRIBE</t>
  </si>
  <si>
    <t>COM-274</t>
  </si>
  <si>
    <t>RECOGEDOR MAGNÉTICO TELESCÓPICO</t>
  </si>
  <si>
    <t>COM-274 RECOGEDOR MAGNETICO - CET</t>
  </si>
  <si>
    <t>COM-275</t>
  </si>
  <si>
    <t>RECOLECTOR DE ACEITE</t>
  </si>
  <si>
    <t>COM-275 RECOLECTOR DE ACEITE - CET</t>
  </si>
  <si>
    <t>COM-276</t>
  </si>
  <si>
    <t>REFRACTOMETRO MANUAL  0-32</t>
  </si>
  <si>
    <t>COM-276 REFRACTOMETRO MANUAL 0-32 - CET</t>
  </si>
  <si>
    <t>Refractómetro ATC de 0-32% Brix</t>
  </si>
  <si>
    <t>COM-276.1</t>
  </si>
  <si>
    <t>ATC</t>
  </si>
  <si>
    <t>COM-277</t>
  </si>
  <si>
    <t>REFRACTOMETRO MANUAL  0-90</t>
  </si>
  <si>
    <t>COM-277 REFRACTOMETRO MANUAL 0-90 - CET</t>
  </si>
  <si>
    <t>COM-277.1</t>
  </si>
  <si>
    <t>OEM</t>
  </si>
  <si>
    <t>COM-280</t>
  </si>
  <si>
    <t>REGULADOR CON FLUJO MANÓMETRO PARA CO2</t>
  </si>
  <si>
    <t>COM-280 REGULADOR CON FLUJO MANOMETRO PARA CO2 - CET</t>
  </si>
  <si>
    <t>COM-281</t>
  </si>
  <si>
    <t>REGULADOR DE ARGÓN SOLDADOR TIG-MIG SOLDADURA CO2</t>
  </si>
  <si>
    <t>COM-281 REGULADOR DE ARGÓN SOLDADOR TIG-MIG SOLDADURA CO2 - CET</t>
  </si>
  <si>
    <t>COM-282</t>
  </si>
  <si>
    <t>REJILLAS ESCURRIDORAS</t>
  </si>
  <si>
    <t>COM-282 REJILLAS ESCURRIDORAS- CET</t>
  </si>
  <si>
    <t>COM-283</t>
  </si>
  <si>
    <t>KIT DE RELOJ COMPARADOR</t>
  </si>
  <si>
    <t>COM-283 KIT DE RELOJ COMPARADOR - CET</t>
  </si>
  <si>
    <t>COM-285</t>
  </si>
  <si>
    <t>COM-285-X</t>
  </si>
  <si>
    <t>RODILLO ACERO, MADERA, SILICONA</t>
  </si>
  <si>
    <t>COM-285-X RODILLO ACERO, MADERA, SILICONA - CET</t>
  </si>
  <si>
    <t>RUEDA MAQUINARIA</t>
  </si>
  <si>
    <t>COM-285-Y</t>
  </si>
  <si>
    <t>Rodillo móvil para amasar madera, 43 cm</t>
  </si>
  <si>
    <t>https://www.ango.com.pe/product/rodillo-acero-inoxidable-43cm/</t>
  </si>
  <si>
    <t>COM-285-Y RODILLO ACERO, MADERA, SILICONA - CET</t>
  </si>
  <si>
    <t>COM-286</t>
  </si>
  <si>
    <t>RULETA</t>
  </si>
  <si>
    <t>COM-286 RULETA - CET</t>
  </si>
  <si>
    <t>COM-288</t>
  </si>
  <si>
    <t>SIFON</t>
  </si>
  <si>
    <t>COM-288 SIFON - CET</t>
  </si>
  <si>
    <t>ISI</t>
  </si>
  <si>
    <t>Sifón de Crema ISI - 1LT</t>
  </si>
  <si>
    <t>https://shakingclub.com/products/sifon-de-crema-isi-gourmet-1lt?srsltid=AfmBOop1GnHeiQxlZ0EiY3t6GBx5sNWjUMLUx2uuELLN35-eev_x3hlE</t>
  </si>
  <si>
    <t>COM-291</t>
  </si>
  <si>
    <t>SOPLETE DE COCINA MINI</t>
  </si>
  <si>
    <t>COM-291 SOPLETE DE COCINA MINI - CET</t>
  </si>
  <si>
    <t>Friss</t>
  </si>
  <si>
    <t>BS-600</t>
  </si>
  <si>
    <t>https://jotastore.pe/producto/combo-soplete-flameador-bs-600-gas-butano-friss-480ml-para-cocina/</t>
  </si>
  <si>
    <t>COM-291.1</t>
  </si>
  <si>
    <t>SET DE RAMEKINES (1  SET)</t>
  </si>
  <si>
    <t>VIVA HOME</t>
  </si>
  <si>
    <t>Set de Ramequines VIVA HOME 5pzas</t>
  </si>
  <si>
    <t>https://www.promart.pe/set-de-ramequines-viva-home--5pzas-99958648/p?srsltid=AfmBOor9V8_pjIDmTTxeAf-d0FfTrlVsRnO7_zvYwTPzyrBY88aKQkIv</t>
  </si>
  <si>
    <t>COM-294</t>
  </si>
  <si>
    <t>TAPETE Y SUJETADOR DE PLACAS</t>
  </si>
  <si>
    <t>Sujetador de placas PCB ajustable</t>
  </si>
  <si>
    <t>https://sps.cdtechnologia.net/herramientas/2372-sujetador-de-placas-pcb-ajustable-baku-bk-686a.html</t>
  </si>
  <si>
    <t>COM-294 TAPETE Y SUJETADOR DE PLACAS - CET</t>
  </si>
  <si>
    <t>COM-294.1</t>
  </si>
  <si>
    <t>SUJETADOR DE PLACAS (1 UND)</t>
  </si>
  <si>
    <t>BAKU</t>
  </si>
  <si>
    <t>BK-686</t>
  </si>
  <si>
    <t>https://mihaba.com/soporte-sujetador-de-metal-para-placa-bk-686-baku/?srsltid=AfmBOoowxcozlm6cSLhzL0Dzj9MrczrYL8y_UEuRBlLJWkxk56O8v5PO</t>
  </si>
  <si>
    <t>COM-295</t>
  </si>
  <si>
    <t>TAZA CERNIDORA DE HARINA ACERO INOXIDABLE PASTELERÍA</t>
  </si>
  <si>
    <t>COM-295 TAZA CERNIDORA DE HARINA ACERO INOXIDABLE PASTELERÍA - CET</t>
  </si>
  <si>
    <t>GIBBEN</t>
  </si>
  <si>
    <t>9.5 cm x 13 cm x 10.5 cm.</t>
  </si>
  <si>
    <t>https://simple.ripley.com.pe/taza-gibben-cernidor-plateado-a-tamizadora-chica-reposteria-pmp00003112707?srsltid=AfmBOorF4Fq0XUAbLh5Z_ZZcIytS7Qxh7hEzb8Fpyoa6_IdMdWBKO1IA&amp;color_80=plateado&amp;s=mdco</t>
  </si>
  <si>
    <t>COM-296</t>
  </si>
  <si>
    <t>TERMÓMETRO COCINA</t>
  </si>
  <si>
    <t>COM-296 TERMÓMETRO COCINA - CET</t>
  </si>
  <si>
    <t>COM-297</t>
  </si>
  <si>
    <t>TERMÓMETRO DIGITAL</t>
  </si>
  <si>
    <t>COM-297 TERMÓMETRO DIGITAL - CET</t>
  </si>
  <si>
    <t>COM-297.1</t>
  </si>
  <si>
    <t>PILA DE 1.5V AG13</t>
  </si>
  <si>
    <t>PKCELL</t>
  </si>
  <si>
    <t>PCELL30</t>
  </si>
  <si>
    <t>COM-300</t>
  </si>
  <si>
    <t>TORNILLO DE BANCO</t>
  </si>
  <si>
    <t>COM-300 TORNILLO DE BANCO - CET</t>
  </si>
  <si>
    <t>COM-301</t>
  </si>
  <si>
    <t>TORNILLO DE BANCO MULTIÁNGULOS</t>
  </si>
  <si>
    <t>COM-301 TORNILLO DE BANCO MULTIÁNGULOS - CET</t>
  </si>
  <si>
    <t>COM-302</t>
  </si>
  <si>
    <t>TORQUÍMETRO</t>
  </si>
  <si>
    <t>COM-302 TORQUIMETRO - CET</t>
  </si>
  <si>
    <t>COM-303</t>
  </si>
  <si>
    <t>TRANSPORTADOR DE ANGULOS</t>
  </si>
  <si>
    <t>COM-303 TRANSPORTADOR DE ANGULOS - CET</t>
  </si>
  <si>
    <t>COM-304</t>
  </si>
  <si>
    <t>WINCHA DE 3 METROS</t>
  </si>
  <si>
    <t>COM-304 WINCHA DE 3 METROS - CET</t>
  </si>
  <si>
    <t>30-710</t>
  </si>
  <si>
    <t>https://drive.google.com/file/d/1TvcHSd6kWDQ5JqPvfxa0mRGdiJIjvmZu/view?usp=drive_link</t>
  </si>
  <si>
    <t>COM-305</t>
  </si>
  <si>
    <t>WINCHA DE 5 METROS</t>
  </si>
  <si>
    <t>COM-305 WINCHA DE 5 METROS - CET</t>
  </si>
  <si>
    <t>30-085</t>
  </si>
  <si>
    <t>COM-306</t>
  </si>
  <si>
    <t>WINCHA DIGITAL</t>
  </si>
  <si>
    <t>COM-306 WINCHA DIGITAL - CET</t>
  </si>
  <si>
    <t>ESP-204</t>
  </si>
  <si>
    <t>KIT DE GALGAS</t>
  </si>
  <si>
    <t>ESP-204 KIT DE GALGAS - CET</t>
  </si>
  <si>
    <t>ESP-204.1</t>
  </si>
  <si>
    <t>GALGAS DE ÁNGULOS: 55°, 60°, 90°, 118° Y 120°, ESPESOR 2 MM.</t>
  </si>
  <si>
    <t>Galgas para afilado universal 55°, 60°, 90° y 120°</t>
  </si>
  <si>
    <t>https://www.megataller.com/galgas-afilado-universal-55-60-90-120?srsltid=AfmBOorVvgJwJNVgMo_Os7vgibB7nmMXEMYdY8KlowwTM2BqM50WjIp3</t>
  </si>
  <si>
    <t>ESP-204.2</t>
  </si>
  <si>
    <t>GALGAS DE SOLDADURAS: RANGO DE MEDIDA 20 MM, GRADUACIÓN 0,1 MM.</t>
  </si>
  <si>
    <t>Dasqua</t>
  </si>
  <si>
    <t>8511-0020</t>
  </si>
  <si>
    <t>ESP-204.3</t>
  </si>
  <si>
    <t>GALGAS DE RADIOS: RANGO DE MEDIDA 1 ÷ 7 MM; 17 UNIDADES DE ACERO INOXIDABLE.</t>
  </si>
  <si>
    <t>GALGAS RADIOS 177550-1</t>
  </si>
  <si>
    <t>https://www.instrumentacion-metrologia.es/epages/instrumentacion-metrologia.mobile/es_ES/;ClassicView=1?ObjectPath=/Shops/dcl/Products/177550-1</t>
  </si>
  <si>
    <t>ESP-204.4</t>
  </si>
  <si>
    <t>GALGAS DE RADIOS: RANGO DE MEDIDA 7,5 ÷ 15 MM; 16 UNIDADES DE ACERO INOXIDABLE.</t>
  </si>
  <si>
    <t>GALGAS RADIOS 177550-7,5</t>
  </si>
  <si>
    <t>https://www.instrumentacion-metrologia.es/epages/instrumentacion-metrologia.mobile/es_ES/;ClassicView=1?ObjectPath=/Shops/dcl/Products/177550-7%2C5</t>
  </si>
  <si>
    <t>ESP-204.5</t>
  </si>
  <si>
    <t>GALGAS DE RADIOS: RANGO DE MEDIDA 15,5 ÷ 25 MM; 15 UNIDADES DE ACERO INOXIDABLE.</t>
  </si>
  <si>
    <t>GALGAS RADIOS 177500-15,5</t>
  </si>
  <si>
    <t>https://www.instrumentacion-metrologia.es/epages/instrumentacion-metrologia.mobile/es_ES/;ClassicView=1?ObjectPath=/Shops/dcl/Products/177500-15%2C5  El material es de acero al carbono, no es inoxidable</t>
  </si>
  <si>
    <t>ESP-204.6</t>
  </si>
  <si>
    <t>GALGAS DE ROSCAS ISO: RANGO DE MEDIDA 0,25 ÷ 6 MM; 24 UNIDADES.</t>
  </si>
  <si>
    <t>Galgas de roscas con sistema métrico de 60° y sistema Whitworth de 55°</t>
  </si>
  <si>
    <t>https://www.bahco.com/pe_es/galgas-de-roscas-con-sistema-metrico-de-60---y-sistema-whitworth-de-55---pb_1537_.html</t>
  </si>
  <si>
    <t>ESP-204.7</t>
  </si>
  <si>
    <t>GALGAS DE ROSCAS WITHWORK: RANGO DE MEDIDA 4 ÷ 62 MM; 28 UNIDADES.</t>
  </si>
  <si>
    <t>ESP-204.8</t>
  </si>
  <si>
    <t>GALGAS DE ESPESORES: RANGO DE MEDIDA 0,05 ÷ 1 MM; 20 UNIDADES; LONGITUD DE LÁMINAS 100 MM.</t>
  </si>
  <si>
    <t>Accud</t>
  </si>
  <si>
    <t>913-100-20</t>
  </si>
  <si>
    <t>ESP-204.9</t>
  </si>
  <si>
    <t>SUMINISTRADO EN ESTUCHE DE MADERA.</t>
  </si>
  <si>
    <t>300 × 200 × 45 mm ≈ 11.81" × 7.87" × 1.77"</t>
  </si>
  <si>
    <t>Fabricar a medida</t>
  </si>
  <si>
    <t>HER-101</t>
  </si>
  <si>
    <t>HER-101-X</t>
  </si>
  <si>
    <t>ALICATE DE CORTE</t>
  </si>
  <si>
    <t>Estuche porta alicates gris</t>
  </si>
  <si>
    <t>https://www.cimbis.es/es/catalog/producto/estuche-porta-alicates-gris-task</t>
  </si>
  <si>
    <t>HER-101-X ALICATE DE CORTE - CET</t>
  </si>
  <si>
    <t>T202-6X</t>
  </si>
  <si>
    <t>https://drive.google.com/drive/folders/1Q6KY0XfHbVu-HqzDMNEnR9FPIyB6K_X8</t>
  </si>
  <si>
    <t>HER-101-X.1</t>
  </si>
  <si>
    <t>ESTUCHE DE PLÁSTICO PARA ALMACENAR (1 UND)</t>
  </si>
  <si>
    <t>FABRICACIÓN NACIONAL</t>
  </si>
  <si>
    <t>NACIONAL</t>
  </si>
  <si>
    <t>HER-101-Y</t>
  </si>
  <si>
    <t>HER-101-Y ALICATE DE CORTE - CET</t>
  </si>
  <si>
    <t>HER-102</t>
  </si>
  <si>
    <t>ALICATE DE PRESIÓN</t>
  </si>
  <si>
    <t>HER-102 ALICATE DE PRESION - CET</t>
  </si>
  <si>
    <t>HER-103</t>
  </si>
  <si>
    <t>ALICATE DE PUNTA</t>
  </si>
  <si>
    <t>HER-103 ALICATE DE PUNTA - CET</t>
  </si>
  <si>
    <t>HER-104</t>
  </si>
  <si>
    <t>HER-104-X</t>
  </si>
  <si>
    <t>ALICATE DE PUNTA CURVA</t>
  </si>
  <si>
    <t>HER-104-X ALICATE DE PUNTA CURVA - CET</t>
  </si>
  <si>
    <t>HER-104-X.1</t>
  </si>
  <si>
    <t>HER-104-Y</t>
  </si>
  <si>
    <t>HER-104-Y ALICATE DE PUNTA CURVA - CET</t>
  </si>
  <si>
    <t>HER-106</t>
  </si>
  <si>
    <t>HER-106-X</t>
  </si>
  <si>
    <t>ALICATE PELACABLE</t>
  </si>
  <si>
    <t>HER-106-X ALICATE PELACABLE- CET</t>
  </si>
  <si>
    <t>96-225</t>
  </si>
  <si>
    <t>HER-106-Y</t>
  </si>
  <si>
    <t>HER-106-Y ALICATE PELACABLE- CET</t>
  </si>
  <si>
    <t>PE-CA-9</t>
  </si>
  <si>
    <t>HER-106-Y.1</t>
  </si>
  <si>
    <t>PRENSA CABLES CALIBRE ENTRE 6-10 AWG (1 UND)</t>
  </si>
  <si>
    <t>HER-109</t>
  </si>
  <si>
    <t>HER-109-X</t>
  </si>
  <si>
    <t>ALICATE UNIVERSAL</t>
  </si>
  <si>
    <t>HER-109-X ALICATE UNIVERSAL - CET</t>
  </si>
  <si>
    <t>84-002</t>
  </si>
  <si>
    <t>HER-109-X.1</t>
  </si>
  <si>
    <t>HER-109-Y</t>
  </si>
  <si>
    <t>HER-109-Y ALICATE UNIVERSAL - CET</t>
  </si>
  <si>
    <t>HER-110</t>
  </si>
  <si>
    <t>HER-110-X</t>
  </si>
  <si>
    <t>ARCO DE SIERRA</t>
  </si>
  <si>
    <t>HER-110-X ARCO DE SIERRA - CET</t>
  </si>
  <si>
    <t xml:space="preserve">TRUPER </t>
  </si>
  <si>
    <t>https://drive.google.com/file/d/1vNd8uG7qx2Ec8egl53Q5sGELSANgCfSa/view?usp=sharing</t>
  </si>
  <si>
    <t>HER-110-Y</t>
  </si>
  <si>
    <t>HER-110-Y ARCO DE SIERRA - CET</t>
  </si>
  <si>
    <t>HER-114</t>
  </si>
  <si>
    <t>JUEGO DE CINCEL</t>
  </si>
  <si>
    <t>HER-114 JUEGO DE CINCEL - CET</t>
  </si>
  <si>
    <t>HER-118</t>
  </si>
  <si>
    <t>COMBA DE 5 LB</t>
  </si>
  <si>
    <t>HER-118 COMBA DE 5 LB - CET</t>
  </si>
  <si>
    <t>HER-122</t>
  </si>
  <si>
    <t>CUCHILLA DE ELECTRICISTA</t>
  </si>
  <si>
    <t>HER-122 CUCHILLA DE ELECTRICISTA - CET</t>
  </si>
  <si>
    <t>https://rodavigo.net/en/p/insulated-cable-cutting-knives-200-mm-ref-alyco-108090/544108090</t>
  </si>
  <si>
    <t>HER-125</t>
  </si>
  <si>
    <t>JUEGO DE DESTORNILLADORES</t>
  </si>
  <si>
    <t>HER-125 JUEGO DE DESTORNILLADORES - CET</t>
  </si>
  <si>
    <t>HER-125.1</t>
  </si>
  <si>
    <t>DESTORNILLADOR 3x75 (1 UND)</t>
  </si>
  <si>
    <t>Bahco</t>
  </si>
  <si>
    <t>613-3-75</t>
  </si>
  <si>
    <t>https://cahema.pe/desarmadores-plano/15655-desarmador-plano-3-x-75mm-bahco-613-3-75-7314150124435.html</t>
  </si>
  <si>
    <t>HER-126</t>
  </si>
  <si>
    <t>EXTRACTOR DE PALIER</t>
  </si>
  <si>
    <t>HER-126 EXTRACTOR DE PALIER - CET</t>
  </si>
  <si>
    <t>HER-127</t>
  </si>
  <si>
    <t>EXTRACTOR DE RESORTES (COMPRESOR DE RESORTES DE SUSPENSIÓN)</t>
  </si>
  <si>
    <t>HER-127 EXTRACTOR DE RESORTES - CET</t>
  </si>
  <si>
    <t>HER-128</t>
  </si>
  <si>
    <t>JUEGO DE EXTRACTOR DE RODAJES</t>
  </si>
  <si>
    <t>HER-128 JUEGO DE EXTRACTOR DE RODAJES - CET</t>
  </si>
  <si>
    <t>HER-129</t>
  </si>
  <si>
    <t>EXTRACTOR DE VOLANTE</t>
  </si>
  <si>
    <t>HER-129 EXTRACTOR DE VOLANTES - CET</t>
  </si>
  <si>
    <t>HER-132</t>
  </si>
  <si>
    <t>JUEGO DE GAUGE DE LÁMINAS</t>
  </si>
  <si>
    <t>HER-132 JUEGO DE GAUGE DE LÁMINAS - CET</t>
  </si>
  <si>
    <t>HER-132.1</t>
  </si>
  <si>
    <t>JUEGO DE GAUGE DE LÁMINAS ADICIONAL (1 UND)</t>
  </si>
  <si>
    <t>THREAD GAUGE</t>
  </si>
  <si>
    <t>US / Metric 60 Deg. &amp; Whitworth 55 Deg.</t>
  </si>
  <si>
    <r>
      <rPr>
        <rFont val="Roboto"/>
        <color rgb="FF1155CC"/>
        <sz val="8.0"/>
        <u/>
      </rPr>
      <t>https://www.amazon.com/-/es/60-Whitworth-herramientas-medici%C3%B3n-tornillo/dp/B07SHGD5RZ?qty=3</t>
    </r>
    <r>
      <rPr>
        <rFont val="Roboto"/>
        <sz val="8.0"/>
      </rPr>
      <t xml:space="preserve"> </t>
    </r>
  </si>
  <si>
    <t>HER-133</t>
  </si>
  <si>
    <t>HERRAMIENTA DE IMPACTO</t>
  </si>
  <si>
    <t>HER-133 HERRAMIENTA DE IMPACTO - CET</t>
  </si>
  <si>
    <t>HER-134</t>
  </si>
  <si>
    <t>HERRAMIENTA PARA REMOVER RESORTE DE FRENO</t>
  </si>
  <si>
    <t>HER-134 HERRAMIENTA PARA REMOVER RESORTE DE FRENO - CET</t>
  </si>
  <si>
    <t>JOMAFA</t>
  </si>
  <si>
    <t xml:space="preserve">                Alicates para extraer e instalar resortes en frenos de tambor. Nos permitira un cambio facil y rapido de los muelles en la mayoría de frenos                </t>
  </si>
  <si>
    <t>HER-135</t>
  </si>
  <si>
    <t>HER-135-X</t>
  </si>
  <si>
    <t>JUEGO DE ALICATES</t>
  </si>
  <si>
    <t>INDUSTRIA DEL VESTIDO, MECÁNICA AUTOMOTRÍZ</t>
  </si>
  <si>
    <t>HER-135-X JUEGO DE ALICATES - CET</t>
  </si>
  <si>
    <t>HER-135-Y</t>
  </si>
  <si>
    <t>HER-135-Y JUEGO DE ALICATES - CET</t>
  </si>
  <si>
    <t>HER-135-Z</t>
  </si>
  <si>
    <t>HER-135-Z JUEGO DE ALICATES - CET</t>
  </si>
  <si>
    <t>HER-136</t>
  </si>
  <si>
    <t>JUEGO DE ALICATES AISLADOS</t>
  </si>
  <si>
    <t>HER-136 JUEGO DE ALICATES - CET</t>
  </si>
  <si>
    <t>STANLEY</t>
  </si>
  <si>
    <t>84-011</t>
  </si>
  <si>
    <t>HER-137</t>
  </si>
  <si>
    <t>JUEGO DE BROCAS DE PALETA</t>
  </si>
  <si>
    <t>HER-137 JUEGO DE BROCAS DE PALETA - CET</t>
  </si>
  <si>
    <t>https://drive.google.com/file/d/1-F5fpskdDW5kOYskhA1mQAHH7luw6zu1/view?usp=sharing</t>
  </si>
  <si>
    <t>HER-138</t>
  </si>
  <si>
    <t>JUEGO DE CEPILLOS</t>
  </si>
  <si>
    <t>https://www.amazon.es/Stanley-1-12-004-Cepillo-manual-4-50x245mm/dp/B0001GRVKU?th=1</t>
  </si>
  <si>
    <t>HER-138 JUEGO DE CEPILLOS - CET</t>
  </si>
  <si>
    <t>HER-138.1</t>
  </si>
  <si>
    <t>CEPILLOS MANUALES N° 4 (3 UND)</t>
  </si>
  <si>
    <t>https://www.amazon.es/Stanley-1-12-005-Cepillo-garlopin-5-50x335mm/dp/B0001IWDDI/ref=sr_1_2?__mk_es_ES=%C3%85M%C3%85%C5%BD%C3%95%C3%91&amp;crid=28LCCYV33QS9R&amp;dib=eyJ2IjoiMSJ9.l1DluArq5tg_ftNB8z3eZ8pZSYdzO780w4ldoveGHAMKBR-dzMxeLO7d9KPqx9yhzUpXOcdoL5WA1xNHCGK-_h3Z-QrWMV2JBk5vKuHiyFP--Yvh_XIuRb7G-B5m_mkYZff1iD0Ofn_l0ziOxt3PsyRJKGasqnTaY1LRSBwIg3Ii4sjRRePgilvkihI4tq4DCyuGkhZlqNTscmIJT0KdGaaersSh6p8LME81_vA8NZg.tmOSDFiZd_NVFzPBjJic6hdFgTXFwqKLJegxK0eEbr8&amp;dib_tag=se&amp;keywords=STANLEY+Cepillo+Manual+Bailey+de+Banco+N%C2%BA+5&amp;qid=1761574488&amp;s=tools&amp;sprefix=stanley+cepillo+manual+bailey+de+banco+n%C2%BA+%2Cdiy%2C405&amp;sr=1-2</t>
  </si>
  <si>
    <t>1-12-004</t>
  </si>
  <si>
    <t>HER-138.2</t>
  </si>
  <si>
    <t>CEPILLOS MANUALES N° 5 (10 UND)</t>
  </si>
  <si>
    <t>https://www.majdsc.com/producto-p-78037.html</t>
  </si>
  <si>
    <t>1-12-005</t>
  </si>
  <si>
    <t>HER-138.3</t>
  </si>
  <si>
    <t>CEPILLOS MANUALES N° 6 (3 UND)</t>
  </si>
  <si>
    <t>https://www.corporacionferremax.com/product/cepillo-carpintero-6-estriada-truper</t>
  </si>
  <si>
    <t>HER-139</t>
  </si>
  <si>
    <t>JUEGO DE CUCHILLAS DE VUELTA DE BASE PLANA</t>
  </si>
  <si>
    <t>CUCHILLA DE VUELTA PARA CARPINTERO CURVA 9"</t>
  </si>
  <si>
    <t>https://www.promart.pe/cuchilla-de-vuelta-para-carpintero-curva-9-/p?srsltid=AfmBOop95Z2JRnvsoIj-UMYofQlUA3GBO4GFIEuho4UpdMX7Tx8iR9Ct</t>
  </si>
  <si>
    <t>HER-139 JUEGO DE CUCHILLAS DE VUELTA DE BASE PLANA - CET</t>
  </si>
  <si>
    <t>HER-139.1</t>
  </si>
  <si>
    <t>CUCHILLA DE VUELTA DE BASE PLANA (2 UND)</t>
  </si>
  <si>
    <t>CUCHILLA DE VUELTA CÓNCAVA</t>
  </si>
  <si>
    <t>Kunz</t>
  </si>
  <si>
    <t>https://www.gubia.pe/produkt/2095/cuchilla-de-vuelta-concava-kunz-13-55.htm</t>
  </si>
  <si>
    <t>HER-139.2</t>
  </si>
  <si>
    <t>CUCHILLA DE VUELTA DE BASE CÓNCAVA (2 UND)</t>
  </si>
  <si>
    <t>https://www.promart.pe/cuchilla-de-vuelta-10/p</t>
  </si>
  <si>
    <t>HER-140</t>
  </si>
  <si>
    <t>HER-140-X</t>
  </si>
  <si>
    <t>HER-140-X JUEGO DE DESTORNILLADORES - CET</t>
  </si>
  <si>
    <t>HER-140-Y</t>
  </si>
  <si>
    <t>JUEGO DE DESTORNILLADORES (6 DESTORNILLADORES)</t>
  </si>
  <si>
    <t>HER-140-Y JUEGO DE DESTORNILLADORES (6 DESTORNILLADORES) - CET</t>
  </si>
  <si>
    <t>HER-141</t>
  </si>
  <si>
    <t>HER-141-X</t>
  </si>
  <si>
    <t>JUEGO DE DESTORNILLADORES (8 DESTORNILLADORES)</t>
  </si>
  <si>
    <t>HER-141-X JUEGO DE DESTORNILLADORES (8 DESTORNILLADORES) - CET</t>
  </si>
  <si>
    <t>HER-141-Y</t>
  </si>
  <si>
    <t>HER-141-Y JUEGO DE DESTORNILLADORES (8 DESTORNILLADORES) - CET</t>
  </si>
  <si>
    <t>HER-142</t>
  </si>
  <si>
    <t>JUEGO DE DESTORNILLADORES DE PRECISIÓN</t>
  </si>
  <si>
    <t>HER-142 JUEGO DE DESTORNILLADORES DE PRECISIÓN - CET</t>
  </si>
  <si>
    <t>https://www.truper.com/ficha_tecnica/Juego-con-desarmadores-de-precision-15-piezas-1848.html?code=14205</t>
  </si>
  <si>
    <t>HER-143</t>
  </si>
  <si>
    <t>JUEGO DE ESCOFINA</t>
  </si>
  <si>
    <t>HER-143 JUEGO DE ESCOFINA- CET</t>
  </si>
  <si>
    <t>Kamasa</t>
  </si>
  <si>
    <t>KM756</t>
  </si>
  <si>
    <t>HER-144</t>
  </si>
  <si>
    <t>JUEGO DE FORMONES</t>
  </si>
  <si>
    <t>HER-144 JUEGO DE FORMONES- CET</t>
  </si>
  <si>
    <t>HER-145</t>
  </si>
  <si>
    <t>HER-145-X</t>
  </si>
  <si>
    <t>JUEGO DE LIMAS</t>
  </si>
  <si>
    <t>HER-145-X JUEGO DE LIMAS - CET</t>
  </si>
  <si>
    <t>HER-145-Y</t>
  </si>
  <si>
    <t>HER-145-Y JUEGO DE LIMAS - CET</t>
  </si>
  <si>
    <t>HER-146</t>
  </si>
  <si>
    <t>JUEGO DE LLAVES ALLEN</t>
  </si>
  <si>
    <t>ELECTRÓNICA, EBANISTERÍA, MECÁNICA AUTOMOTRÍZ</t>
  </si>
  <si>
    <t>IRIMO</t>
  </si>
  <si>
    <t>https://www.irimo.com/int_en/hex-keys-nickel-plated-set-metric-pb_041101_.html</t>
  </si>
  <si>
    <t>HER-146-A JUEGO DE LLAVES ALLEN - CET</t>
  </si>
  <si>
    <t>HER-146.1</t>
  </si>
  <si>
    <t>SET DE 15 LLAVES GRADUADOS EN MILÍMETROS (1 UND)</t>
  </si>
  <si>
    <t>https://www.irimo.com/int_en/hex-keys-nickel-plated-set-inch-pb_041061_.html</t>
  </si>
  <si>
    <t>HER-146.2</t>
  </si>
  <si>
    <t>SET DE 12 LLAVES GRADUADOS EN PULGADAS (1 (1 UND))</t>
  </si>
  <si>
    <t>HER-147</t>
  </si>
  <si>
    <t>JUEGO DE LLAVES ALLEN MILIMÉTRICAS Y PULGADAS</t>
  </si>
  <si>
    <t>HER-147 JUEGO DE LLAVES ALLEN - CET</t>
  </si>
  <si>
    <t>HER-147.1</t>
  </si>
  <si>
    <t>JUEGO DE LLAVES ALLEN MILIMÉTRICAS</t>
  </si>
  <si>
    <t>69-264</t>
  </si>
  <si>
    <t>HER-147.2</t>
  </si>
  <si>
    <t>JUEGO DE LLAVES ALLEN PULGADAS</t>
  </si>
  <si>
    <t>69-265</t>
  </si>
  <si>
    <t>HER-148</t>
  </si>
  <si>
    <t>JUEGO DE LLAVES DE DADO</t>
  </si>
  <si>
    <t>HER-148 JUEGO DE LLAVES DE DADO - CET</t>
  </si>
  <si>
    <t>91-931</t>
  </si>
  <si>
    <t>https://www.promart.pe/juego-de-herramientas-mecanicas-x120-piezas-98535/p</t>
  </si>
  <si>
    <t>HER-149</t>
  </si>
  <si>
    <t>JUEGO DE LLAVES DE RUEDAS (LLAVE DE CRUZ.)</t>
  </si>
  <si>
    <t>HER-149 JUEGO DE LLAVES DE RUEDAS (LLAVE DE CRUZ.) - CET</t>
  </si>
  <si>
    <t>HER-150</t>
  </si>
  <si>
    <t>HER-150-X</t>
  </si>
  <si>
    <t>JUEGO DE LLAVES MIXTAS</t>
  </si>
  <si>
    <t>https://www.promart.pe/juego-de-llaves-combinadas-metricas-x12-piezas-96697/p?srsltid=AfmBOooHCane3IDVLNOL20k1t-k4ErDXoOaLi7RKrl5-vNwCfTCb6HOq</t>
  </si>
  <si>
    <t>HER-150-X JUEGO DE LLAVES MIXTAS - CET</t>
  </si>
  <si>
    <t>HER-150-X.1</t>
  </si>
  <si>
    <t>https://store.ferrindustrial.com.pe/producto/juego-de-llaves-mixtas-de-1-4-11-4-x-16pzs-ro9115016-gedore/</t>
  </si>
  <si>
    <t>71-607</t>
  </si>
  <si>
    <t>https://drive.google.com/file/d/1cUMe_0sOMrIvYaWvzVBZ-ubBHHze0tia/view?usp=sharing</t>
  </si>
  <si>
    <t>HER-150-X.2</t>
  </si>
  <si>
    <t>GEDORE</t>
  </si>
  <si>
    <t>RO9115016</t>
  </si>
  <si>
    <t>SATA</t>
  </si>
  <si>
    <t>ST09074SJ</t>
  </si>
  <si>
    <t>https://www.sata.com.co/products/juegos-de-llaves/st09074sj-juego-llaves-combinadas-lona-16pz-14-1-14-pul</t>
  </si>
  <si>
    <t>HER-150-Y</t>
  </si>
  <si>
    <t>HER-150-Y JUEGO DE LLAVES MIXTAS - CET</t>
  </si>
  <si>
    <t>Stanley</t>
  </si>
  <si>
    <t>86-081</t>
  </si>
  <si>
    <t>https://www.promart.pe/juego-de-llaves-7-24-mm-x14-piezas-56623/p?srsltid=AfmBOoqe5sFWv-lqFMZT3ybAyNJiw1dKjOljgrQeFhgrQJk_UDAW04LU</t>
  </si>
  <si>
    <t>HER-151</t>
  </si>
  <si>
    <t>KIT DE LLAVES MIXTAS BOCA - CORONA</t>
  </si>
  <si>
    <t>KEWAYO Juego de llaves SAE de 16 piezas</t>
  </si>
  <si>
    <t>https://www.amazon.com.mx/KEWAYO-combinadas-primera-calidad-enrollable/dp/B0CNCN5891</t>
  </si>
  <si>
    <t>HER-151 KIT DE LLAVES MIXTAS BOCA- CORONA - CET</t>
  </si>
  <si>
    <t>HER-151.1</t>
  </si>
  <si>
    <t>Juegos de Llaves Mixtas 3/8″ a 1 1/4″ pulgadas (14 piezas)</t>
  </si>
  <si>
    <t>https://fesepsa.com.pe/product/juegos-de-llaves-mixtas-3-8-a-1-1-4-pulgadas-14-piezas-86-970-stanley/</t>
  </si>
  <si>
    <t>SWANLAKE GARDEN TOOLS</t>
  </si>
  <si>
    <t>Juego de llaves combinadas métricas de 19 piezas</t>
  </si>
  <si>
    <t>https://www.amazon.com/combinadas-m%C3%A9tricas-0-236-0-945-herramientas-mec%C3%A1nicas/dp/B0F9Y9X5F4/ref=sr_1_1_sspa?__mk_es_US=%C3%85M%C3%85%C5%BD%C3%95%C3%91&amp;crid=CRAAZK3J4Q45&amp;dib=eyJ2IjoiMSJ9.FYB9MH1y-F0dNhEeLvCyGf1MRhn8cJvShC1wi_A8n_iIOsh69RB0d-38s-FCAmw37O75_hpLNIH9aqfpB3lPzcZOtawJK1J-i4eXEy_jAmsIT-VmPKV-78F8digolSl04UyoN7YgVtL1yVURcLwy396_UWccdGlWXeTOElv6I8manVFSUQ6SVQtK9U-d7UWaM37jVdv72wbzp4xO0AqEvMwylcY6D4joTIVK5IRDbPxho1kYv9aP8IdMvfaSrhZYOnftDqoC2VD6OaQAL4rtcEEK4JtttJGQE12wucCTFQ8.6QW7M3p-xzDnzVA29PdqHcUtYI_rAnZiYvrAi1HB414&amp;dib_tag=se&amp;keywords=juego+de+llaves+mixta+6+-+24mm&amp;qid=1767652922&amp;sprefix=juego+de+llaves+mixta+6+-+24mm%2Caps%2C175&amp;sr=8-1-spons&amp;sp_csd=d2lkZ2V0TmFtZT1zcF9hdGY&amp;psc=1</t>
  </si>
  <si>
    <t>HER-151.2</t>
  </si>
  <si>
    <t>86-970</t>
  </si>
  <si>
    <r>
      <rPr>
        <rFont val="Roboto"/>
        <color rgb="FF1155CC"/>
        <sz val="8.0"/>
        <u/>
      </rPr>
      <t>https://fesepsa.com.pe/product/juegos-de-llaves-mixtas-3-8-a-1-1-4-pulgadas-14-piezas-86-970-stanley/</t>
    </r>
    <r>
      <rPr>
        <rFont val="Roboto"/>
        <sz val="8.0"/>
      </rPr>
      <t xml:space="preserve"> </t>
    </r>
  </si>
  <si>
    <t>HER-152</t>
  </si>
  <si>
    <t>JUEGO DE LLAVES PARA FILTROS DE ACEITE</t>
  </si>
  <si>
    <t>HER-152 JUEGO DE LLAVES PARA FILTROS DE ACEITE - CET</t>
  </si>
  <si>
    <t>HER-152.1</t>
  </si>
  <si>
    <t>BANDA NYLON 120 MM (1 UND)</t>
  </si>
  <si>
    <t>https://www.promart.pe/llave-para-filtro-banda-nylon-6--truper-14526-1000191411/p?srsltid=AfmBOopXOGqF71oMRyTibYBkHs8m8ma6gusIR8uDi0FvmS43S-bIIV7r</t>
  </si>
  <si>
    <t>HER-153</t>
  </si>
  <si>
    <t>JUEGO DE MARTILLO DE BOLA</t>
  </si>
  <si>
    <t>https://www.leroymerlin.es/productos/martillo-bola-cromado-300-gr-91050626.html</t>
  </si>
  <si>
    <t>HER-153 JUEGO DE MARTILLO DE BOLA - CET</t>
  </si>
  <si>
    <t>HER-153.1</t>
  </si>
  <si>
    <t>MARTILLO DE BOLA 300 GR (1 UND)</t>
  </si>
  <si>
    <t>https://www.ferrelucastore.cl/product/martillo-de-bola-500gr</t>
  </si>
  <si>
    <t xml:space="preserve">BELLOTA </t>
  </si>
  <si>
    <t>MARTILLO DE BOLA 320 g (1 UND)</t>
  </si>
  <si>
    <t>https://www.amazon.es/Bellota-8011-C-Martillo-mec%C3%A1nica-Madera/dp/B00F2NMTWW/r?th=1</t>
  </si>
  <si>
    <t>HER-153.2</t>
  </si>
  <si>
    <t>MARTILLO DE BOLA 500 GR (1 UND)</t>
  </si>
  <si>
    <t>https://elecsumsa.com/producto/martillo-de-bola-600gr-basico-mango-madera-cat-no-40410-024/</t>
  </si>
  <si>
    <t>MARTILLO DE BOLA 540 g  (1 UND)</t>
  </si>
  <si>
    <t>https://www.amazon.es/Bellota-8011-C-Martillo-mec%C3%A1nica-Madera/dp/B00F2NMU9Y/ref%20=sr_1_2?__mk_es_ES=%C3%85M%C3%85%C5%BD%C3%95%C3%91&amp;crid=3R6V1SNA2X%2BWY8&amp;dib=eyJ2IjoiMSJ9.RWFx0s-Y8tnnl6MdnverD4ztvxtrzHIP2m7ujdNtGt09zfW7GwtN69hKO%2BocQ19LCCdDGpUeBQ6nXoShokdhbv-jqf7fbMVFAjUnsm5w53VifV7iSsv_hhMnIw9jyxdWQ6ub%2BUhUczjajodeYpJqP6l23CNz8xL2PqeZDjhhQwN8BhkCUdrqecpa1DglTPy6S4-aG2GEKHXDE4%2BGa_2GX-G5AWRc0cIr8YFjm8SehG3_gxwUzruuhQwYhaQQGUFcBX0-0VZcchxoXtqNo7aVUg%2BE9QJV9JtMJISR-GPFhDs4PzQ.XjOx3Jk1UsguoTF03j-knaRYKQWTy0POaimC0k39oSs&amp;dib_t%2Bag=se&amp;keywords=MARTILLO%2BDE%2BBOLA&amp;qid=1765766275&amp;sprefix=martillo%2Bde%2B%2Bbola%2B%2Caps%2C323&amp;sr=8-2&amp;th=1</t>
  </si>
  <si>
    <t>HER-153.3</t>
  </si>
  <si>
    <t>MARTILLO DE BOLA 600 GR (1 UND)</t>
  </si>
  <si>
    <t>https://cahema.pe/martillo/13709-martillo-de-bola-800-gr-bahco-479-24-7311518025472.html</t>
  </si>
  <si>
    <t>Tramontina</t>
  </si>
  <si>
    <t>MARTILLO DE BOLAB 600 g  (1 UND)</t>
  </si>
  <si>
    <t>HER-153.4</t>
  </si>
  <si>
    <t>MARTILLO DE BOLA 800 GR (1 UND)</t>
  </si>
  <si>
    <t>https://tecnoagri.com/producto/martillo-de-bola-1000gr/</t>
  </si>
  <si>
    <t>MARTILLO DE BOLA 800 g  (1 UND)</t>
  </si>
  <si>
    <t>https://elecsumsa.com/producto/martillo-de-bola-800grs-mango-madera-cat-no-40410-032/</t>
  </si>
  <si>
    <t>HER-153.5</t>
  </si>
  <si>
    <t>MARTILLO DE BOLA 1000 GR (1 UND)</t>
  </si>
  <si>
    <t>MARTILLO DE BOLA 1070 g  (1 UND)</t>
  </si>
  <si>
    <t>https://www.amazon.es/Bellota-8011-C-Martillo-mec%C3%A1nica-Madera/dp/B00F2NMVAW/ref%20=sr_1_2?__mk_es_ES=%C3%85M%C3%85%C5%BD%C3%95%C3%91&amp;crid=3R6V1SNA2X%2BWY8&amp;dib=eyJ2IjoiMSJ9.RWFx0s-Y8tnnl6MdnverD4ztvxtrzHIP2m7ujdNtGt09zfW7GwtN69hKO%2BocQ19LCCdDGpUeBQ6nXoShokdhbv-jqf7fbMVFAjUnsm5w53VifV7iSsv_hhMnIw9jyxdWQ6ub%2BUhUczjajodeYpJqP6l23CNz8xL2PqeZDjhhQwN8BhkCUdrqecpa1DglTPy6S4-aG2GEKHXDE4%2BGa_2GX-G5AWRc0cIr8YFjm8SehG3_gxwUzruuhQwYhaQQGUFcBX0-0VZcchxoXtqNo7aVUg%2BE9QJV9JtMJISR-GPFhDs4PzQ.XjOx3Jk1UsguoTF03j-knaRYKQWTy0POaimC0k39oSs&amp;dib_t%2Bag=se&amp;keywords=MARTILLO%2BDE%2BBOLA&amp;qid=1765766275&amp;sprefix=martillo%2Bde%2B%2Bbola%2B%2Caps%2C323&amp;sr=8-2&amp;th=1</t>
  </si>
  <si>
    <t>HER-154</t>
  </si>
  <si>
    <t>JUEGO DE MINI ALICATES</t>
  </si>
  <si>
    <t>HER-154 JUEGO DE MINI ALICATES - CET</t>
  </si>
  <si>
    <t>HER-155</t>
  </si>
  <si>
    <t>JUEGO DE PRENSAS RAPIDAS</t>
  </si>
  <si>
    <t>Prensa Rapida 6 Bauker</t>
  </si>
  <si>
    <t>BAUKER</t>
  </si>
  <si>
    <t>https://sodimac.falabella.com.pe/sodimac-pe/product/127281457/Prensa-Rapida-6-Bauker/127281460?exp=sodimac</t>
  </si>
  <si>
    <t>https://docs.google.com/spreadsheets/d/16awoRAtskLQraHNQXLdL0CnDjXnR969ICeyM8AufBGA/edit?gid=0#gid=0</t>
  </si>
  <si>
    <t>HER-155.1</t>
  </si>
  <si>
    <t>PRENSA RAPIDA DE 6 PULG (1 UND)</t>
  </si>
  <si>
    <t>Prensa Rapida 12 Bauker</t>
  </si>
  <si>
    <t>https://sodimac.falabella.com.pe/sodimac-pe/product/127281473/Prensa-Rapida-12-Bauker/127281475?exp=sodimac</t>
  </si>
  <si>
    <t xml:space="preserve">PAR-26, 6" </t>
  </si>
  <si>
    <t>https://www.truper.com/ficha_tecnica/Prensa-con-ajuste-rapido-uso-rudo.html?code=100142</t>
  </si>
  <si>
    <t>HER-155.2</t>
  </si>
  <si>
    <t>PRENSA RAPIDA DE 12 PULG (1 UND)</t>
  </si>
  <si>
    <t>Prensa Rapida 24 Bauker</t>
  </si>
  <si>
    <t>https://sodimac.falabella.com.pe/sodimac-pe/product/127281436/Prensa-Rapida-24-Bauker/127281441?exp=sodimac</t>
  </si>
  <si>
    <t>PAR-212, 12"</t>
  </si>
  <si>
    <t>https://www.truper.com/ficha_tecnica/Prensa-con-ajuste-rapido-uso-rudo.html?code=100143</t>
  </si>
  <si>
    <t>HER-155.3</t>
  </si>
  <si>
    <t>PRENSA RAPIDA DE 24 PULG (1 UND)</t>
  </si>
  <si>
    <t>PAR-224, 24"</t>
  </si>
  <si>
    <t>https://www.truper.com/ficha_tecnica_pdf/views/ficha-print.php?id=252830</t>
  </si>
  <si>
    <t>HER-160</t>
  </si>
  <si>
    <t>KIT DE TERRAJAS Y MACHOS EN MILÍMETROS Y PULGADAS</t>
  </si>
  <si>
    <t>Juego de 60 Piezas de Machos y Tarrajas Truper 11443</t>
  </si>
  <si>
    <t>https://www.promart.pe/juego-de-60-piezas-de-machos-y-tarrajas-truper-11443-1000461525/p?srsltid=AfmBOorRN6KHdurwrZ-8SLLRznaoxscnz_Swp856VRtoPGJPI-hjqbyC&amp;utm_source=chatgpt.com</t>
  </si>
  <si>
    <t>HER-160 KIT DE TERRAJAS Y MACHOS EN MILÍMETROS Y PULGADAS - CET</t>
  </si>
  <si>
    <t>HER-160.1</t>
  </si>
  <si>
    <t>JUEGO DE 2 PORTATERRAJAS (FILERAS), 1 GIRAMACHOS, 27 MACHOS Y 27 TERRAJAS (FILERAS).  (1 UND)</t>
  </si>
  <si>
    <t>Juego de 40 Piezas de Machos y Tarrajas Truper 11442</t>
  </si>
  <si>
    <t>https://www.promart.pe/juego-de-40-piezas-de-machos-y-tarrajas-truper-11442-1000392278/p?srsltid=AfmBOooG3lvj1Fg8mF_Rfqw-8QMZ1EetpWvP597cdLJMiKy4dCDsUseX&amp;utm_source=chatgpt.com</t>
  </si>
  <si>
    <t>HER-160.2</t>
  </si>
  <si>
    <t>JUEGO COMPUESTO POR 2 PORTATERRAJAS (FILERAS), 3 GIRAMACHOS, 33 MACHOS Y 33 TERRAJAS (FILERAS)  (1 UND)</t>
  </si>
  <si>
    <t>HER-162</t>
  </si>
  <si>
    <t>HER-162-X</t>
  </si>
  <si>
    <t>LLAVE AJUSTABLE</t>
  </si>
  <si>
    <t>HER-162-X LLAVE AJUSTABLE - CET</t>
  </si>
  <si>
    <t>5-250C-1</t>
  </si>
  <si>
    <t>HER-162-Y</t>
  </si>
  <si>
    <t>https://docs.google.com/spreadsheets/d/1AQ3z87-54l5Evlh7gC9sRVsQwlbjr5SdGqhlEgBCqxM/edit?gid=0#gid=0</t>
  </si>
  <si>
    <t>https://drive.google.com/file/d/1D-7DLEKSwhxF93Aeaub559itaLMt5F4e/view?usp=sharing</t>
  </si>
  <si>
    <t>HER-164</t>
  </si>
  <si>
    <t>LLAVE FRANCESA</t>
  </si>
  <si>
    <t>https://docs.google.com/spreadsheets/d/1MWBPH7erx5wXodEF8W533U8TUk37cJpLz5f6iz6zsEI/edit?gid=0#gid=0</t>
  </si>
  <si>
    <t>HER-165</t>
  </si>
  <si>
    <t>LLAVE STILLSON</t>
  </si>
  <si>
    <t>https://docs.google.com/spreadsheets/d/1wh9RVNOHl7DjnIV1RLt8cyI2uyiKnwtaRudCN5GN1BY/edit?gid=0#gid=0</t>
  </si>
  <si>
    <t>361-14</t>
  </si>
  <si>
    <t>HER-167</t>
  </si>
  <si>
    <t>MARTILLO DE BOLA</t>
  </si>
  <si>
    <t>https://docs.google.com/spreadsheets/d/1nYx3d8iRB8D5aJDy9oO7fd8B1OPL348raBbtUsLFJxM/edit?gid=0#gid=0</t>
  </si>
  <si>
    <t>BREMEN</t>
  </si>
  <si>
    <t>Martillo Bola 681 gr x 30 cm</t>
  </si>
  <si>
    <t>https://drive.google.com/drive/u/0/folders/1DGShzChAOx3qCAUCocOP9FgLBTAzHQYQ</t>
  </si>
  <si>
    <t>HER-169</t>
  </si>
  <si>
    <t>MARTILLO DE UÑA</t>
  </si>
  <si>
    <t>https://docs.google.com/spreadsheets/d/1rOhjeF4AGPJcYdyQgKe7-X6otyVtMvB0Vebglf-CVLs/edit?gid=0#gid=0</t>
  </si>
  <si>
    <t>Martillo con mango de madera 20 onzas</t>
  </si>
  <si>
    <t>HER-175</t>
  </si>
  <si>
    <t>HER-175-X</t>
  </si>
  <si>
    <t>MAZO DE GOMA</t>
  </si>
  <si>
    <t>Mazo de Goma 20Oz</t>
  </si>
  <si>
    <t>https://sodimac.falabella.com.pe/sodimac-pe/product/123820910/Mazo-de-Goma-20Oz-Stanley/123820911</t>
  </si>
  <si>
    <t>HER-175-X MAZO DE GOMA - CET</t>
  </si>
  <si>
    <t>HARDEN</t>
  </si>
  <si>
    <t>MALLER RUBBER 450 GR</t>
  </si>
  <si>
    <t>HER-175-Y</t>
  </si>
  <si>
    <t>HER-175-Y MAZO DE GOMA - CET</t>
  </si>
  <si>
    <t>MAZO DE GOMA STANLEY 20 OZ</t>
  </si>
  <si>
    <t>HER-179</t>
  </si>
  <si>
    <t>PELA CABLE UNIVERSAL</t>
  </si>
  <si>
    <t>HER-179 PELA CABLE UNIVERSAL - CET</t>
  </si>
  <si>
    <t xml:space="preserve">HT-352
</t>
  </si>
  <si>
    <t>https://www.promart.pe/pelador-de-cable-universal-multifuncion-utp-ftp-stp-sftp-coaxial-1000553230/p?srsltid=AfmBOor4h8QCClSc_I-K14KZr_IqECM8B8THGNTOpUPtkFUYntAnIkb8</t>
  </si>
  <si>
    <t>HER-181</t>
  </si>
  <si>
    <t>PIQUETA MARTILLO CINCEL</t>
  </si>
  <si>
    <t>HER-181 PIQUETA MARTILLO CINCEL - CET</t>
  </si>
  <si>
    <t>HER-184</t>
  </si>
  <si>
    <t>PRENSA C</t>
  </si>
  <si>
    <t>HER-184 PRENSA C - CET</t>
  </si>
  <si>
    <t>HER-186</t>
  </si>
  <si>
    <t>REMACHADORA MANUAL</t>
  </si>
  <si>
    <r>
      <rPr>
        <rFont val="Roboto"/>
        <color rgb="FF1155CC"/>
        <sz val="8.0"/>
        <u/>
      </rPr>
      <t>https://docs.google.com/spreadsheets/d/1AiI9UVwzD_zcMU5cxZpEh6Jsuzb_c3rn2bwUk5EW4oo/edit?gid=0#gid=0</t>
    </r>
    <r>
      <rPr>
        <rFont val="Roboto"/>
        <sz val="8.0"/>
      </rPr>
      <t xml:space="preserve"> </t>
    </r>
  </si>
  <si>
    <t>HER-188</t>
  </si>
  <si>
    <t>SARGENTAS DE 120 CM</t>
  </si>
  <si>
    <t>HER-188 SARGENTAS DE 120 CM - CET</t>
  </si>
  <si>
    <t>HER-189</t>
  </si>
  <si>
    <t>SERRUCHO DE COSTILLA</t>
  </si>
  <si>
    <t>HER-189 SERRUCHO DE COSTILLA - CET</t>
  </si>
  <si>
    <t>HER-192</t>
  </si>
  <si>
    <t>SET DE DESTORNILLADORES</t>
  </si>
  <si>
    <t>HER-192 SET DE DESTORNILLADORES - CET</t>
  </si>
  <si>
    <t>HER-192.1</t>
  </si>
  <si>
    <t>PUNTA PLANA 1⁄8 X 4 PULG (1 UND)</t>
  </si>
  <si>
    <t>Desarmador Plano 1/4" x 6" Wolfox WF2106</t>
  </si>
  <si>
    <t>https://cahema.pe/desarmadores-plano/8734-desarmador-plano-14-x-6-wolfox-wf2106-7501892828190.html</t>
  </si>
  <si>
    <t>https://www.truper.com/ficha_merca/ficha-print.php?code=14019</t>
  </si>
  <si>
    <t>HER-192.2</t>
  </si>
  <si>
    <t>Desarmador Plano 5/16" x 8" Toolcraft TC0706</t>
  </si>
  <si>
    <t>https://cahema.pe/desarmadores-plano/8716-desarmador-plano-516-x-8-toolcraft-tc0706-7501892837062.html</t>
  </si>
  <si>
    <t>Wolfox</t>
  </si>
  <si>
    <t>WF2106</t>
  </si>
  <si>
    <t>HER-192.3</t>
  </si>
  <si>
    <t>Desarmador Phillips PH 1 x 3" Truper 14143</t>
  </si>
  <si>
    <t>https://cahema.pe/desarmadores-phillips/3970-desarmador-phillips-ph-1-x-3-truper-14143-7501206621356.html</t>
  </si>
  <si>
    <t>Toolcraft</t>
  </si>
  <si>
    <t>TC0706</t>
  </si>
  <si>
    <t>HER-192.4</t>
  </si>
  <si>
    <t>Desarmador Phillips PH 1 x 4" Truper 100836</t>
  </si>
  <si>
    <t>https://cahema.pe/desarmadores-phillips/4688-desarmador-phillips-ph-1-x-4-truper-100836-7506240680505.html</t>
  </si>
  <si>
    <t>HER-192.5</t>
  </si>
  <si>
    <t>Desarmador Phillips PH 2 x 125mm Bahco 615-2-125</t>
  </si>
  <si>
    <t>https://cahema.pe/desarmadores-phillips/15706-desarmador-phillips-ph-2-x-125mm-bahco-615-2-125-7314150124572.html</t>
  </si>
  <si>
    <t>HER-192.6</t>
  </si>
  <si>
    <t>DESTORNILLADOR CRUZ #3 x 6"</t>
  </si>
  <si>
    <t>https://www.semar.com.py/producto/H420542/destornillador-cruz-3-x-6?srsltid=AfmBOoqd9-rJi7sR_RXSj-pofTM_nr5OHyCp0riTlxY9uD6o9ucH9UxF</t>
  </si>
  <si>
    <t>615-2-125</t>
  </si>
  <si>
    <t>HER-192.7</t>
  </si>
  <si>
    <t>Powerbuilt</t>
  </si>
  <si>
    <t>https://www.sears.com/powerbuilt-3-x-6-inch-phillips-screwdriver-with-double-injection-handle-646166/p-A129476806?sid=ISxMP3xSOxGGxDTxSURF</t>
  </si>
  <si>
    <t>HER-192.8</t>
  </si>
  <si>
    <t>CHAROLA 384 x 184 x 45 MM (1 UND)</t>
  </si>
  <si>
    <t>ECOMARK</t>
  </si>
  <si>
    <t>Acero Inoxidable  (32x22x4.8 cm)</t>
  </si>
  <si>
    <t>https://ecomarkperu.com/producto/bandeja-acero-inoxidable-32x22x4-8-cm/</t>
  </si>
  <si>
    <t>HER-192.9</t>
  </si>
  <si>
    <t>PUNTA PLANA 3⁄8 X 8 PULG (1 UND)</t>
  </si>
  <si>
    <t>DR-3/8X8B</t>
  </si>
  <si>
    <t>https://cahema.pe/desarmadores-plano/4438-desarmador-plano-38-x-8-truper-100834-7506240680482.html</t>
  </si>
  <si>
    <t>HER-198</t>
  </si>
  <si>
    <t>TENAZA CON PRENSA</t>
  </si>
  <si>
    <t>HER-198 TENAZA CON PRENSA - CET</t>
  </si>
  <si>
    <t>VCE</t>
  </si>
  <si>
    <t>GJ668BL-1P-CA</t>
  </si>
  <si>
    <t>HER-203</t>
  </si>
  <si>
    <t>TIJERA CORTA TUBO</t>
  </si>
  <si>
    <t>HER-203 TIJERA CORTA TUBO - CET</t>
  </si>
  <si>
    <t>MAT-101</t>
  </si>
  <si>
    <t>ABLANDADOR DE CARNE</t>
  </si>
  <si>
    <t>MAT-101 ABLANDADOR DE CARNE - CET</t>
  </si>
  <si>
    <t>MAT-106</t>
  </si>
  <si>
    <t>AGITADOR PARA YOGURT</t>
  </si>
  <si>
    <t>MAT-106 AGITADOR PARA YOGURT - CET</t>
  </si>
  <si>
    <t>MAT-108</t>
  </si>
  <si>
    <t>RULETA DE ALFILERES</t>
  </si>
  <si>
    <t>MAT-108 RULETA DE ALFILERES - CET</t>
  </si>
  <si>
    <t>DECORA</t>
  </si>
  <si>
    <t>B01K4NW88E</t>
  </si>
  <si>
    <t>MAT-109</t>
  </si>
  <si>
    <t>BALDE DE PLÁSTICO 10 LITROS</t>
  </si>
  <si>
    <t>MAT-109 BALDE DE PLÁSTICO 10 LITROS - CET</t>
  </si>
  <si>
    <t>MAT-110</t>
  </si>
  <si>
    <t>BALDE DE PLÁSTICO 20 LITROS</t>
  </si>
  <si>
    <t>MAT-110 BALDE DE PLÁSTICO 20 LITROS - CET</t>
  </si>
  <si>
    <t>MAT-111</t>
  </si>
  <si>
    <t>BALDE DE PLÁSTICO 5 LITROS</t>
  </si>
  <si>
    <t>MAT-111 BALDE DE PLÁSTICO 5 LITROS - CET</t>
  </si>
  <si>
    <t>DESANA</t>
  </si>
  <si>
    <t>BALDE BLANCO 4 KG INC. TPA Y ASA - 280GR.</t>
  </si>
  <si>
    <t>https://drive.google.com/drive/u/0/folders/16ATk_dXPgHWGaEoUkOk4GeNCNSVy0eTx</t>
  </si>
  <si>
    <t>MAT-112</t>
  </si>
  <si>
    <t>BALÓN DE ACETILENO</t>
  </si>
  <si>
    <t>MAT-112 BALÓN DE ACETILENO - CET</t>
  </si>
  <si>
    <t>MAT-112.1</t>
  </si>
  <si>
    <t>COCHE PORTA BALON DOBLE (1 UND)</t>
  </si>
  <si>
    <t>GASEONET</t>
  </si>
  <si>
    <t>COCHE PORTA BALON DOBLE</t>
  </si>
  <si>
    <t>MAT-113</t>
  </si>
  <si>
    <t>BALÓN DE ARGÓN</t>
  </si>
  <si>
    <t>CON PROVEEDRO O EXTERNO</t>
  </si>
  <si>
    <t>https://welderpower.com.pe/product/coche-porta-balon-10mt3-con-llantas-buggy/</t>
  </si>
  <si>
    <t>MAT-113 BALÓN DE ARGÓN - CET</t>
  </si>
  <si>
    <t>MAT-113.1</t>
  </si>
  <si>
    <t>COCHE PORTA BALON SIMPLE (1 UND)</t>
  </si>
  <si>
    <t>COCHE PORTA BALON SIMPLE</t>
  </si>
  <si>
    <t>MAT-114</t>
  </si>
  <si>
    <t>BALÓN DE CO2</t>
  </si>
  <si>
    <t>MAT-114 BALÓN DE CO2- CET</t>
  </si>
  <si>
    <t>MAT-114.1</t>
  </si>
  <si>
    <t>MAT-114.2</t>
  </si>
  <si>
    <t>REGULADOR DE CO2/ARGÓN (1 UND)</t>
  </si>
  <si>
    <t>MAT-115</t>
  </si>
  <si>
    <t>BALÓN DE OXÍGENO</t>
  </si>
  <si>
    <t>MAT-115 BALÓN DE OXÍGENO - CET</t>
  </si>
  <si>
    <t>MAT-116</t>
  </si>
  <si>
    <t>BANDEJAS DE PLÁSTICO</t>
  </si>
  <si>
    <t>MAT-116 BANDEJAS DE PLÁSTICO - CET</t>
  </si>
  <si>
    <t>UNIPLAST</t>
  </si>
  <si>
    <t xml:space="preserve">Uniban 1 </t>
  </si>
  <si>
    <t>https://drive.google.com/file/d/1r_-jIM9s-S0LTYuMDex0La2YdEF1TqkI/view?usp=drive_link</t>
  </si>
  <si>
    <t>MAT-117</t>
  </si>
  <si>
    <t>BANNER DE LÍNEAS DEL TIEMPO CON TEMAS DEL TALLER</t>
  </si>
  <si>
    <t>MAT-117 BANNER DE LÍNEAS DEL TIEMPO CON TEMAS DEL TALLER- CET</t>
  </si>
  <si>
    <t>MAT-119</t>
  </si>
  <si>
    <t>BATERÍA</t>
  </si>
  <si>
    <t>MAT-119 BATERÍA - CET</t>
  </si>
  <si>
    <t>ETNA</t>
  </si>
  <si>
    <t>BAT.S-1215EM PL GL3B A1 12VC 90AH NOR</t>
  </si>
  <si>
    <t>https://drive.google.com/drive/u/0/folders/1hF_Jj9eV0UYovuGsklUhZ12GlMNm5tca</t>
  </si>
  <si>
    <t>MAT-120</t>
  </si>
  <si>
    <t>BATIDOR MANUAL</t>
  </si>
  <si>
    <t>MAT-120 BATIDOR MANUAL - CET</t>
  </si>
  <si>
    <t>TRAMONTINA</t>
  </si>
  <si>
    <t>https://www.tramontina.com.pe/batidor-manual-marffim-de-acero-inoxidable-de-32-cm-tramontina_63809530/p?srsltid=AfmBOopiEUk53igz7csaroqjgk56ok_LCmBxtb8uhT_5XP-GcBF1Wq67</t>
  </si>
  <si>
    <t>MAT-122</t>
  </si>
  <si>
    <t>PAR DE BOTAS DE JEBE</t>
  </si>
  <si>
    <t>MAT-122 PAR DE BOTAS DE JEBE - CET</t>
  </si>
  <si>
    <t>SEGUSA</t>
  </si>
  <si>
    <t>Punta de Acero Blanca</t>
  </si>
  <si>
    <t>MAT-123</t>
  </si>
  <si>
    <t>MAT-123-X</t>
  </si>
  <si>
    <t>BOTIQUIN 30 X 25 X 10 CM</t>
  </si>
  <si>
    <t>COCINA Y REPOSTERÍA, COMPUTACIÓN E INFORMÁTICA, CONSTRUCCIONES METÁLICAS, EBANISTERÍA, ELECTRICIDAD, INDUSTRIA ALIMENTARIA, INDUSTRIA DEL VESTIDO, MECÁNICA AUTOMOTRÍZ</t>
  </si>
  <si>
    <t>MAT-123 BOTIQUÍN-X - CET</t>
  </si>
  <si>
    <t>MAT-123-X.01</t>
  </si>
  <si>
    <t>CAJA 20 UNID. DE GASAS ESTERILIZADAS (10×10 cm) (1 UND)</t>
  </si>
  <si>
    <t>MAT-123-X.02</t>
  </si>
  <si>
    <t>ROLLO VENDA ELASTICA 4" X 5 YD CON SEGUROS (1 UND)</t>
  </si>
  <si>
    <t>MAT-123-X.03</t>
  </si>
  <si>
    <t>ROLLO VENDA ELASTICA 2" X 5 YD CON SEGUROS (1 UND)</t>
  </si>
  <si>
    <t>MAT-123-X.04</t>
  </si>
  <si>
    <t>ROLLO ESPARADRAPO 2.5 CM X 5 YD (1 UND)</t>
  </si>
  <si>
    <t>MAT-123-X.05</t>
  </si>
  <si>
    <t>GUANTES QUIRURGICOS ESTERILES TALLA 7.5 (2 UND)</t>
  </si>
  <si>
    <t>MAT-123-X.06</t>
  </si>
  <si>
    <t>CAJA 100 UND. DE CURITAS (1 UND)</t>
  </si>
  <si>
    <t>MAT-123-X.07</t>
  </si>
  <si>
    <t>CAJA 100 UND. DE BAJALENGUA DE MADERA (1 UND)</t>
  </si>
  <si>
    <t>MAT-123-X.08</t>
  </si>
  <si>
    <t>BOTELLA JABON ANTISEPTICO x 120 ML (1 UND)</t>
  </si>
  <si>
    <t>MAT-123-X.09</t>
  </si>
  <si>
    <t>TERMOMETRO DIGITAL (1 UND)</t>
  </si>
  <si>
    <t>MAT-123-X.10</t>
  </si>
  <si>
    <t>BOLSA DE ALGODON 25 G (1 UND)</t>
  </si>
  <si>
    <t>MAT-123-X.11</t>
  </si>
  <si>
    <t>TIJERA PUNTA ROMA 5" CON MANGO PLÁSTICO (1 UND)</t>
  </si>
  <si>
    <t>MAT-123-X.12</t>
  </si>
  <si>
    <t>BOTELLA DE ALCOHOL ETILICO X 250 ML (1 UND)</t>
  </si>
  <si>
    <t>MAT-123-X.13</t>
  </si>
  <si>
    <t>BOTELLA AGUA OXIGENADA X 250 ML (1 UND)</t>
  </si>
  <si>
    <t>MAT-123-Y</t>
  </si>
  <si>
    <t>BOTIQUÍN</t>
  </si>
  <si>
    <t>MAT-123 BOTIQUÍN-Y - CET</t>
  </si>
  <si>
    <t>MAT-123-Y.01</t>
  </si>
  <si>
    <t>COMPRADO</t>
  </si>
  <si>
    <t>MAT-123-Y.02</t>
  </si>
  <si>
    <t>MAT-123-Y.03</t>
  </si>
  <si>
    <t>MAT-123-Y.04</t>
  </si>
  <si>
    <t>MAT-123-Y.05</t>
  </si>
  <si>
    <t>MAT-123-Y.06</t>
  </si>
  <si>
    <t>MAT-123-Y.07</t>
  </si>
  <si>
    <t>MAT-123-Y.08</t>
  </si>
  <si>
    <t>BOTELLA JABON ANTISEPTICO x 250 ML (1 UND)</t>
  </si>
  <si>
    <t>MAT-123-Y.09</t>
  </si>
  <si>
    <t>MAT-123-Y.10</t>
  </si>
  <si>
    <t>BOLSA DE ALGODON 20 G (1 UND)</t>
  </si>
  <si>
    <t>MAT-123-Y.11</t>
  </si>
  <si>
    <t>MAT-123-Y.12</t>
  </si>
  <si>
    <t>MAT-124</t>
  </si>
  <si>
    <t>JUEGO DE BROCHA ANGULAR PARA LIMPIEZA DE MÁQUINAS</t>
  </si>
  <si>
    <t xml:space="preserve">BRT-1-1/2AS </t>
  </si>
  <si>
    <t>https://www.truper.com/ficha_tecnica/Brochas-corte-angular-cerdas-sinteticas-mango-de-madera.html?code=13338</t>
  </si>
  <si>
    <t>MAT-124 JUEGO DE BROCHA ANGULAR PARA LIMPIEZA DE MÁQUINAS - CET</t>
  </si>
  <si>
    <t>MAT-124.1</t>
  </si>
  <si>
    <t xml:space="preserve">BROCHA ANGULAR  1" (1 UND) </t>
  </si>
  <si>
    <t>BRT-2AS</t>
  </si>
  <si>
    <t>https://www.truper.com/ficha_tecnica/Brochas-corte-angular-cerdas-sinteticas-mango-de-madera.html?code=13339</t>
  </si>
  <si>
    <t>BRT-1</t>
  </si>
  <si>
    <t>MAT-124.2</t>
  </si>
  <si>
    <t xml:space="preserve">BROCHA ANGULAR  2'' (1 UND) </t>
  </si>
  <si>
    <t>BRT-3AS</t>
  </si>
  <si>
    <t>https://www.truper.com/ficha_tecnica/Brochas-corte-angular-cerdas-sinteticas-mango-de-madera.html?code=13341</t>
  </si>
  <si>
    <t>BRT-2</t>
  </si>
  <si>
    <t>MAT-124.3</t>
  </si>
  <si>
    <t xml:space="preserve">BROCHA ANGULAR  3'' (1 UND) </t>
  </si>
  <si>
    <t>BRT-3</t>
  </si>
  <si>
    <t>MAT-124.4</t>
  </si>
  <si>
    <t>SET DE BROCHAS ANGULARES (1 UND)</t>
  </si>
  <si>
    <t>MAT-125</t>
  </si>
  <si>
    <t>MAT-125-X</t>
  </si>
  <si>
    <t>BROCHA DE SILICONA</t>
  </si>
  <si>
    <t>MAT-125-X BROCHA DE SILICONA - CET</t>
  </si>
  <si>
    <t>DONAELSA</t>
  </si>
  <si>
    <t>U0106-002</t>
  </si>
  <si>
    <t>https://www.uysa.com.pe/brocha-p-reposteria-silicona-con-mango-verde-de-abs-70067391/p?srsltid=AfmBOoo5FFHt3WEU0McXc8V9ycySDEQ00Ip0vMv2xUz8TIsp3JRRCTYh</t>
  </si>
  <si>
    <t>MAT-125-Y</t>
  </si>
  <si>
    <t>MAT-125-Y BROCHA DE SILICONA - CET</t>
  </si>
  <si>
    <t>MAT-127</t>
  </si>
  <si>
    <t>JUEGO DE BROCHAS CARPINTERIA</t>
  </si>
  <si>
    <t>TUMI</t>
  </si>
  <si>
    <t>https://sodimac.falabella.com.pe/sodimac-pe/product/113316148/Brocha-TUMI-Multiuso-1''/113316153?exp=sodimac</t>
  </si>
  <si>
    <t>MAT-127 JUEGO DE BROCHAS CARPINTERIA - CET</t>
  </si>
  <si>
    <t>MAT-127.1</t>
  </si>
  <si>
    <t xml:space="preserve">BROCHAS DE 1'' (1 UND) </t>
  </si>
  <si>
    <t>https://sodimac.falabella.com.pe/sodimac-pe/product/113321144/Brocha-TUMI-Multiuso-2''/113321145?exp=sodimac</t>
  </si>
  <si>
    <t>MAT-127.2</t>
  </si>
  <si>
    <t xml:space="preserve">BROCHAS DE 2'' (1 UND) </t>
  </si>
  <si>
    <t>https://sodimac.falabella.com.pe/sodimac-pe/product/113309957/Brocha-TUMI-Multiuso-4''/113309958?exp=sodimac</t>
  </si>
  <si>
    <t>MAT-127.3</t>
  </si>
  <si>
    <t xml:space="preserve">BROCHAS DE 4'' (1 UND) </t>
  </si>
  <si>
    <t>https://sodimac.falabella.com.pe/sodimac-pe/product/113326372/Brocha-TUMI-Multiuso-5''/113326374?exp=sodimac</t>
  </si>
  <si>
    <t>MAT-127.4</t>
  </si>
  <si>
    <t xml:space="preserve">BROCHAS DE 5'' (1 UND) </t>
  </si>
  <si>
    <t>MAT-129</t>
  </si>
  <si>
    <t>CARETA FACIAL</t>
  </si>
  <si>
    <t>MAT-129 CARETA FACIAL - CET</t>
  </si>
  <si>
    <t>MAT-132</t>
  </si>
  <si>
    <t>MAT-132-X</t>
  </si>
  <si>
    <t>CEPILLO DE ACERO</t>
  </si>
  <si>
    <t>MAT-132-X CEPILLO DE ACERO - CET</t>
  </si>
  <si>
    <t>Bellota</t>
  </si>
  <si>
    <t>50806-A</t>
  </si>
  <si>
    <t>MAT-132-Y</t>
  </si>
  <si>
    <t>MAT-132-Y CEPILLO DE ACERO - CET</t>
  </si>
  <si>
    <t>MAT-133</t>
  </si>
  <si>
    <t>CILINDROS DE PLÁSTICO</t>
  </si>
  <si>
    <t>MAT-133 CILINDROS DE PLÁSTICO - CET</t>
  </si>
  <si>
    <t>MAT-135</t>
  </si>
  <si>
    <t>CINTA MÉTRICA (PLÁSTICO FLEXIBLE)</t>
  </si>
  <si>
    <t>MAT-135 CINTA MÉTRICA (PLÁSTICO FLEXIBLE) - CET</t>
  </si>
  <si>
    <t>CINTA METRICA 150CM</t>
  </si>
  <si>
    <t>https://gamypasamaneria.com/products/cinta-metrica-de-150cm?srsltid=AfmBOorrFfUk2--5etAXftU4N-xGSK6I3B6vc8FIAZG8wFxxK311i7Ld</t>
  </si>
  <si>
    <t>MAT-136</t>
  </si>
  <si>
    <t>COLADERAS</t>
  </si>
  <si>
    <t>MAT-136 COLADERAS - CET</t>
  </si>
  <si>
    <t>MAT-137</t>
  </si>
  <si>
    <t>COLADOR TIPO EMBUDO</t>
  </si>
  <si>
    <t>MAT-137 COLADOR TIPO EMBUDO - CET</t>
  </si>
  <si>
    <t>MAT-138</t>
  </si>
  <si>
    <t>MAT-138-X</t>
  </si>
  <si>
    <t>CONTENEDOR DE BASURA 50 LT</t>
  </si>
  <si>
    <t>MAT-138-X CONTENEDOR DE BASURA 50 LT ( CR ) - CET</t>
  </si>
  <si>
    <t xml:space="preserve"> Rey Plast</t>
  </si>
  <si>
    <t>Modelo 60</t>
  </si>
  <si>
    <t>MAT-138-Y</t>
  </si>
  <si>
    <t>MAT-138-Y CONTENEDOR DE BASURA 50 LT ( IA ) - CET</t>
  </si>
  <si>
    <t>MAT-140</t>
  </si>
  <si>
    <t>CUCHARA GRANDE DE MADERA</t>
  </si>
  <si>
    <t>MAT-140 CUCHARA GRANDE DE MADERA - CET</t>
  </si>
  <si>
    <t>Génerico</t>
  </si>
  <si>
    <t>Cuchara de Madera 38 cm x 4 cm</t>
  </si>
  <si>
    <t>https://drive.google.com/file/d/1a9MOhz98Zn8f65AKt7_XpbiuG0CVnG25/view?usp=sharing</t>
  </si>
  <si>
    <t>MAT-141</t>
  </si>
  <si>
    <t>CUCHARA PERFORADA</t>
  </si>
  <si>
    <t>MAT-141 CUCHARA PERFORADA - CET</t>
  </si>
  <si>
    <t>MAT-142</t>
  </si>
  <si>
    <t>MAT-142-X</t>
  </si>
  <si>
    <t>JUEGO DE CUCHARAS MEDIDORAS</t>
  </si>
  <si>
    <t>MAT-142-X JUEGO DE CUCHARAS MEDIDORAS - CET</t>
  </si>
  <si>
    <t>FACUSA</t>
  </si>
  <si>
    <t>Cucharas Medidoras X 4 Blister - Facusa</t>
  </si>
  <si>
    <t>https://www.falabella.com.pe/falabella-pe/product/145601357/Cucharas-Medidoras-X-4-Blister-Facusa/145601359</t>
  </si>
  <si>
    <t>MAT-142-Y</t>
  </si>
  <si>
    <t>MAT-142-Y JUEGO DE CUCHARAS MEDIDORAS - CET</t>
  </si>
  <si>
    <t>MAT-143</t>
  </si>
  <si>
    <t>KIT DE CUCHARAS N° 3 Y N°4</t>
  </si>
  <si>
    <t>Mini cucharas pequeñas de 2.8 pulgadas</t>
  </si>
  <si>
    <t xml:space="preserve">4mm x 10mm x 80 mm </t>
  </si>
  <si>
    <t>https://www.amazon.com.mx/cucharas-peque%C3%B1as-pulgadas-unidades-inoxidable/dp/B0DP8PB9PW?th=1</t>
  </si>
  <si>
    <t>MAT-143 KIT DE CUCHARAS N° 3 Y N°4 - CET</t>
  </si>
  <si>
    <t>MAT-143.1</t>
  </si>
  <si>
    <t>CUCHARAS N° 3 (1 UND)</t>
  </si>
  <si>
    <t>Cuchara café mini efecto metal 10 cm</t>
  </si>
  <si>
    <t>2.7 mm x 10 mm x 4 mm</t>
  </si>
  <si>
    <t>https://www.paramifiesta.es/tenedor-efecto-metal-mini-50-ud-paq-1825.html</t>
  </si>
  <si>
    <t>MAT-143.2</t>
  </si>
  <si>
    <t>CUCHARAS N° 4 (1 UND)</t>
  </si>
  <si>
    <t>MAT-144</t>
  </si>
  <si>
    <t>CUCHILLO CARNICERO</t>
  </si>
  <si>
    <t>MAT-144 CUCHILLO CARNICERO - CET</t>
  </si>
  <si>
    <t>MAT-145</t>
  </si>
  <si>
    <t>CUCHILLO CORTE DE HUESOS Y VERDURAS</t>
  </si>
  <si>
    <t>MAT-145 CUCHILLO CORTE DE HUESOS Y VERDURAS - CET</t>
  </si>
  <si>
    <t>MAT-146</t>
  </si>
  <si>
    <t>CUCHILLO DE ACERO INOXIDABLE</t>
  </si>
  <si>
    <t>MAT-146 CUCHILLO DE ACERO INOXIDABLE - CET</t>
  </si>
  <si>
    <t>MAT-147</t>
  </si>
  <si>
    <t>MAT-147-X</t>
  </si>
  <si>
    <t>CÚTER</t>
  </si>
  <si>
    <t>MAT-147-X CÚTER - CET</t>
  </si>
  <si>
    <t>MAT-147-Y</t>
  </si>
  <si>
    <t>ELECTRÓNICA, MECÁNICA AUTOMOTRÍZ</t>
  </si>
  <si>
    <t>MAT-147-Y CÚTER - CET</t>
  </si>
  <si>
    <t>MAT-150</t>
  </si>
  <si>
    <t>MAT-150-X</t>
  </si>
  <si>
    <t>DISPENSADOR DE ALCOHOL EN GEL</t>
  </si>
  <si>
    <t>MAT-150-X DISPENSADOR DE ALCOHOL EN GEL - CET</t>
  </si>
  <si>
    <t>STONE HOME</t>
  </si>
  <si>
    <t>https://drive.google.com/file/d/1ZFWKIwmxTr5kFo88ADWeC8DfeKG71kWs/view?usp=sharing</t>
  </si>
  <si>
    <t>MAT-150-X.1</t>
  </si>
  <si>
    <t>ALCOHOL DESINFECTANTE EN GEL 1 GAL (1 UND)</t>
  </si>
  <si>
    <t>ALKOFARMA</t>
  </si>
  <si>
    <t>ALCOHOL EN GEL 1 GAL</t>
  </si>
  <si>
    <t>MAT-150-Y</t>
  </si>
  <si>
    <t>MAT-150-Y DISPENSADOR DE ALCOHOL EN GEL - CET</t>
  </si>
  <si>
    <t>MAT-150-Y.1</t>
  </si>
  <si>
    <t>MAT-151</t>
  </si>
  <si>
    <t>EMBUDO</t>
  </si>
  <si>
    <t>MAT-151 EMBUDO - CET</t>
  </si>
  <si>
    <t>MAT-152</t>
  </si>
  <si>
    <t>ESCARPINES</t>
  </si>
  <si>
    <t>MAT-152 ESCARPINES - CET</t>
  </si>
  <si>
    <t>Niko Industrial</t>
  </si>
  <si>
    <t>MAT-153</t>
  </si>
  <si>
    <t>ESCOBILLA</t>
  </si>
  <si>
    <t>MAT-153  ESCOBILLA - CET</t>
  </si>
  <si>
    <t>https://sodimac.falabella.com.pe/sodimac-pe/product/113536643/Cepillo-de-Lavanderia/113536645?exp=sodimac</t>
  </si>
  <si>
    <t>MAT-154</t>
  </si>
  <si>
    <t>MAT-154-X</t>
  </si>
  <si>
    <t>ESCOBILLON</t>
  </si>
  <si>
    <t>MAT-154-X ESCOBILLON ( CR ) - CET</t>
  </si>
  <si>
    <t>MAT-154-X.1</t>
  </si>
  <si>
    <t>CABO GRUESO  BARRENDERO (1 UND)</t>
  </si>
  <si>
    <t>Palo de escoba de aluminio doble rosca Vigar</t>
  </si>
  <si>
    <t>https://www.promart.pe/palo-de-escoba-de-aluminio-c-doble-rosca-1-40-m/p?srsltid=AfmBOoownryKz4NhXS8VwdbAVIQ4FIYRIxxTvkXPHV0BqO1uUkNkEK7j</t>
  </si>
  <si>
    <t xml:space="preserve">FBK		</t>
  </si>
  <si>
    <t>29814-2</t>
  </si>
  <si>
    <t>https://www.fbk.dk/es/productos/mango.FBK4.9/ergonomico-1500-x-32-mm-aluminio.FBK29814-2</t>
  </si>
  <si>
    <t>MAT-154-Y</t>
  </si>
  <si>
    <t>ESCOBILLÓN</t>
  </si>
  <si>
    <t>MAT-154-Y ESCOBILLON ( IA ) - CET</t>
  </si>
  <si>
    <t>MAT-154-Y.1</t>
  </si>
  <si>
    <t>MAT-155</t>
  </si>
  <si>
    <t>ESPÁTULA DE GOMA</t>
  </si>
  <si>
    <t>MAT-155 ESPÁTULA DE GOMA - CET</t>
  </si>
  <si>
    <t>MAT-156</t>
  </si>
  <si>
    <t>ESPATULA DE SILICONA</t>
  </si>
  <si>
    <t>MAT-156 ESPATULA DE SILICONA - CET</t>
  </si>
  <si>
    <t>Lilybeam</t>
  </si>
  <si>
    <t xml:space="preserve">        B0F541J6QR</t>
  </si>
  <si>
    <t>https://www.amazon.com/-/es/dp/B0F541J6QR?ref=emc_p_m_5_i_atc&amp;th=1</t>
  </si>
  <si>
    <t>MAT-159</t>
  </si>
  <si>
    <t>ESPUMADERA</t>
  </si>
  <si>
    <t>MAT-159 ESPUMADERA - CET</t>
  </si>
  <si>
    <t xml:space="preserve"> 63809/220</t>
  </si>
  <si>
    <t>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t>
  </si>
  <si>
    <t>MAT-161</t>
  </si>
  <si>
    <t>EXTINTOR CO2</t>
  </si>
  <si>
    <t>COCINA Y REPOSTERÍA, COMPUTACIÓN E INFORMÁTICA, EBANISTERÍA, ELECTRICIDAD, ELECTRÓNICA, INDUSTRIA ALIMENTARIA, INDUSTRIA DEL VESTIDO, MECÁNICA AUTOMOTRÍZ</t>
  </si>
  <si>
    <t>MAT-161 EXTINTOR CO2 - CET</t>
  </si>
  <si>
    <t>MAT-161.1</t>
  </si>
  <si>
    <t>PRECINTO DE SEGURIDAD (1 UND)</t>
  </si>
  <si>
    <t>https://www.sealers.com.pe/producto/alligator-i-ii-extintor/</t>
  </si>
  <si>
    <t>MAT-162</t>
  </si>
  <si>
    <t>EXTINTOR K</t>
  </si>
  <si>
    <t>MAT-162 EXTINTOR K - CET</t>
  </si>
  <si>
    <t>MAT-163</t>
  </si>
  <si>
    <t>MAT-163-X</t>
  </si>
  <si>
    <t>EXTINTOR PQS</t>
  </si>
  <si>
    <t>COCINA Y REPOSTERÍA, COMPUTACIÓN E INFORMÁTICA, EBANISTERÍA, ELECTRICIDAD, ELECTRÓNICA, INDUSTRIA ALIMENTARIA, MECÁNICA AUTOMOTRÍZ</t>
  </si>
  <si>
    <t>MAT-163-X EXTINTOR PQS - CET</t>
  </si>
  <si>
    <t>MAT-163-Y</t>
  </si>
  <si>
    <t>MAT-163-Y EXTINTOR PQS - CET</t>
  </si>
  <si>
    <t>MAT-165</t>
  </si>
  <si>
    <t>FUNDA PROTECTORA IMPERMEABLE</t>
  </si>
  <si>
    <t>MAT-165 - FUNDA PROTECTORA IMPERMEABLE - CET</t>
  </si>
  <si>
    <t>MAT-165.1</t>
  </si>
  <si>
    <t>SET DE 16 FUNDAS PROTECTORAS IMPERMEABLES PARA COCINA Y REPOSTERÍA - 16449 ELOY SOBERON  FLORES (1 UND)</t>
  </si>
  <si>
    <t>CORPORACION MADRID S.A.C.</t>
  </si>
  <si>
    <t>16 FUNDAS VARIAS</t>
  </si>
  <si>
    <t>https://docs.google.com/spreadsheets/d/1cQmZD-l-sQtH5cT1ZN-ZWLqPAS19WF82wg5z_i_jPxg/edit?gid=702936818#gid=702936818</t>
  </si>
  <si>
    <t>MAT-165.2</t>
  </si>
  <si>
    <t>SET DE 16 FUNDAS PROTECTORAS IMPERMEABLES PARA INDUSTRIAS ALIMENTARIAS - 2026 SIMON BOLIVAR (1 UND)</t>
  </si>
  <si>
    <t>MAT-165.3</t>
  </si>
  <si>
    <t>SET DE 16 FUNDAS PROTECTORAS IMPERMEABLES PARA INDUSTRIAS ALIMENTARIAS - FRANCISCO IRAZOLA (1 UND)</t>
  </si>
  <si>
    <t>MAT-165.4</t>
  </si>
  <si>
    <t>SET DE 16 FUNDAS PROTECTORAS IMPERMEABLES PARA INDUSTRIAS ALIMENTARIAS - GUILLERMO E. BILLINGHURST  (1 UND)</t>
  </si>
  <si>
    <t>MAT-165.5</t>
  </si>
  <si>
    <t>SET DE 16 FUNDAS PROTECTORAS IMPERMEABLES PARA INDUSTRIAS ALIMENTARIAS - JOSE GRANDA (1 UND)</t>
  </si>
  <si>
    <t>MAT-167</t>
  </si>
  <si>
    <t>GALONERA</t>
  </si>
  <si>
    <t>MAT-167 GALONERAS - CET</t>
  </si>
  <si>
    <t xml:space="preserve">SCEPTER </t>
  </si>
  <si>
    <t>GALONERA 10 LT</t>
  </si>
  <si>
    <t>https://www.filcorsa.com/product/scepter-galonera-para-gasolina-10lt?srsltid=AfmBOoqmkIkyJX81YVR8V1YD_Fis3bvPdOWp7_1IbZ8NuCf-N_Rkqq_H</t>
  </si>
  <si>
    <t>MAT-169</t>
  </si>
  <si>
    <t>GORROS PROTECTORES PARA EL CABELLO</t>
  </si>
  <si>
    <t>MAT-169 GORROS PROTECTORES PARA EL CABELLO - CET</t>
  </si>
  <si>
    <t>MEDICAL NATION</t>
  </si>
  <si>
    <t xml:space="preserve">B094KLCQLV </t>
  </si>
  <si>
    <t>https://www.amazon.com/-/es/pulgadas-desechables-Bouffant-redecillas-perfectas/dp/B094KLCQLV</t>
  </si>
  <si>
    <t>MAT-171</t>
  </si>
  <si>
    <t>PAR DE GUANTES DE CUERO</t>
  </si>
  <si>
    <t>MAT-171 PAR DE GUANTES DE CUERO - CET</t>
  </si>
  <si>
    <t>MAT-172</t>
  </si>
  <si>
    <t>MAT-172-X</t>
  </si>
  <si>
    <t>GUANTES DE ELECTRICISTA</t>
  </si>
  <si>
    <t>MAT-172-X GUANTES DE ELECTRICISTA - CET</t>
  </si>
  <si>
    <t>MAT-172-Y</t>
  </si>
  <si>
    <t>PAR DE GUANTES DE ELECTRICISTA</t>
  </si>
  <si>
    <t>MAT-172-Y PAR DE GUANTES DE ELECTRICISTA - CET</t>
  </si>
  <si>
    <t>MAT-174</t>
  </si>
  <si>
    <t>GUANTE DE MALLA METÁLICA</t>
  </si>
  <si>
    <t>MAT-174 GUANTE DE MALLA METÁLICA - CET</t>
  </si>
  <si>
    <t>MAT-175</t>
  </si>
  <si>
    <t>GUANTES DE MECÁNICO</t>
  </si>
  <si>
    <t>MAT-175 GUANTES DE MECANICO - CET</t>
  </si>
  <si>
    <t>MAT-177</t>
  </si>
  <si>
    <t>MAT-177-X</t>
  </si>
  <si>
    <t>GUANTES DE SILICONA (MANOPLAS PARA OLLAS Y HORNOS)</t>
  </si>
  <si>
    <t>MAT-177 GUANTES DE SILICONA RESISTENTES AL CALOR CON FORRO INTERIOR DE ALGODÓN, MANOPLAS PARA OLLAS Y HORNOS - CET</t>
  </si>
  <si>
    <t>MAT-177-Y</t>
  </si>
  <si>
    <t>GUANTES DE SILICONA RESISTENTES AL CALOR CON FORRO INTERIOR DE ALGODÓN,
MANOPLAS PARA OLLAS Y HORNOS</t>
  </si>
  <si>
    <t>MAT-178</t>
  </si>
  <si>
    <t>MAT-178-X</t>
  </si>
  <si>
    <t>PAR DE GUANTES MULTIUSO ANTIBACTERIAL</t>
  </si>
  <si>
    <t>MAT-178 PAR DE GUANTES MULTIUSO ANTIBACTERIAL - CET</t>
  </si>
  <si>
    <t>Virutex</t>
  </si>
  <si>
    <t>MAT-178-Y</t>
  </si>
  <si>
    <t>GUANTES MULTIUSO ANTIBACTERIAL</t>
  </si>
  <si>
    <t>MAT-178-Y GUANTES MULTIUSO ANTIBACTERIAL - CET</t>
  </si>
  <si>
    <t>VIRUTEX</t>
  </si>
  <si>
    <t>MAT-179</t>
  </si>
  <si>
    <t>PAR DE GUANTES PARA PINTAR</t>
  </si>
  <si>
    <t>MAT-179 PAR DE GUANTES PARA PINTAR - CET</t>
  </si>
  <si>
    <t>MAT-180</t>
  </si>
  <si>
    <t>GUANTES PARA SOLDAR</t>
  </si>
  <si>
    <t>MAT-180 GUANTES PARA SOLDAR - CET</t>
  </si>
  <si>
    <t>MAT-181</t>
  </si>
  <si>
    <t>MAT-181-X</t>
  </si>
  <si>
    <t>GUARDAPOLVO</t>
  </si>
  <si>
    <t>MAT-181-X GUARDAPOLVO - CET</t>
  </si>
  <si>
    <t>MAT-181-Y</t>
  </si>
  <si>
    <t>MAT-187</t>
  </si>
  <si>
    <t>INDUMENTARIA</t>
  </si>
  <si>
    <t>MAT-187 INDUMENTARIA - CET</t>
  </si>
  <si>
    <t>MAT-187.1</t>
  </si>
  <si>
    <t>GORRO TIPO CHEF (1 UND)</t>
  </si>
  <si>
    <t>Aroca</t>
  </si>
  <si>
    <t>https://arocauniformes.com/product/chaqueta-de-chef-con-filo-m-l-2/</t>
  </si>
  <si>
    <t>AROCA</t>
  </si>
  <si>
    <t>GCH-BL-DL-01</t>
  </si>
  <si>
    <t>https://arocauniformes.com/product/gorro-chef/</t>
  </si>
  <si>
    <t>MAT-187.2</t>
  </si>
  <si>
    <t>PANTALÓN (1 UND)</t>
  </si>
  <si>
    <t>https://arocauniformes.com/product/pantalon-de-vestir-grueso/</t>
  </si>
  <si>
    <t>PTV-AZ-PG-01</t>
  </si>
  <si>
    <t>MAT-187.3</t>
  </si>
  <si>
    <t>CHAQUETA (1 UND)</t>
  </si>
  <si>
    <t>CCF-BL-DR-01</t>
  </si>
  <si>
    <t>MAT-188</t>
  </si>
  <si>
    <t>MAT-188-X</t>
  </si>
  <si>
    <t>JALADOR</t>
  </si>
  <si>
    <t>MAT-188-X JALADOR - CET</t>
  </si>
  <si>
    <t>EBRIEL</t>
  </si>
  <si>
    <t xml:space="preserve">Jalador de Agua de 75cm </t>
  </si>
  <si>
    <t>https://www.sodimac.com.pe/sodimac-pe/articulo/114762880/Jalador-de-Agua-de-75cm-+-Mango-de-Aluminio/114762884</t>
  </si>
  <si>
    <t>MAT-188-Y</t>
  </si>
  <si>
    <t>MAT-188-Y JALADOR - CET</t>
  </si>
  <si>
    <t>NECO</t>
  </si>
  <si>
    <t>Jalador de agua 55 cm</t>
  </si>
  <si>
    <t>https://www.promart.pe/jalador-de-agua-55-cm/p</t>
  </si>
  <si>
    <t>MAT-190</t>
  </si>
  <si>
    <t>JARRA DE PLÁSTICO DE 2 LITROS</t>
  </si>
  <si>
    <t>MAT-190 JARRA DE PLÁSTICO DE 2 LITROS - CET</t>
  </si>
  <si>
    <t>BASA</t>
  </si>
  <si>
    <t>https://drive.google.com/file/d/1kk5uT51tiGtTODRnfWr8h56EVK947rS7/view?usp=sharing</t>
  </si>
  <si>
    <t>MAT-192</t>
  </si>
  <si>
    <t>JUEGO DE BOQUILLAS DECORATIVAS + MANGAS</t>
  </si>
  <si>
    <t>INCLUYE 12 BOQUILLAS + 1 BOLSA REUTILIZABLE + 1 CONVERTIDOR.</t>
  </si>
  <si>
    <t>MAT-192 JUEGO DE BOQUILLAS DECORATIVAS + MANGAS - CET</t>
  </si>
  <si>
    <t xml:space="preserve">VYNFLICK </t>
  </si>
  <si>
    <t>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t>
  </si>
  <si>
    <t>MAT-193</t>
  </si>
  <si>
    <t>JUEGO DE CACEROLAS PARA COCINA DE INDUCCIÓN</t>
  </si>
  <si>
    <t>MAT-193 JUEGO DE CACEROLAS PARA COCINA DE INDUCCIÓN - CET</t>
  </si>
  <si>
    <t>MAT-193.1</t>
  </si>
  <si>
    <t>CACEROLA DE 3,5L (24CM X 10 CM.APROX +- 3 CM ) (1 UND)</t>
  </si>
  <si>
    <t xml:space="preserve">ZWILLING		</t>
  </si>
  <si>
    <t>https://dcocina.pe/producto/olla-3-5-lts-de-acero-inoxidable-o20cm-modelo-vitality-zwilling/?srsltid=AfmBOopyop9qcRmRCvX7CKhpwOZc1uHA690bczduwMIXYc6oNhZBQfU-</t>
  </si>
  <si>
    <t>MAT-193.2</t>
  </si>
  <si>
    <t>CACEROLA DE 4,5L (26 CM X 11 CM.APROX +- 3 CM) (1 UND)</t>
  </si>
  <si>
    <t>https://dcocina.pe/producto/cacerola-de-4-lts-de-acero-inoxidable-o28cm-zwilling-pro-zwilling/?srsltid=AfmBOopz0VbOpTHJroEDkwke94eNifaqRa-Rc8DaGyWCrkw4KY_OxWUM</t>
  </si>
  <si>
    <t>MAT-193.3</t>
  </si>
  <si>
    <t>CACEROLA DE 6L (28 CM X 12 CM.APROX +- 3 CM) (1 UND)</t>
  </si>
  <si>
    <t>https://dcocina.pe/producto/olla-de-acero-inoxidable-24-cm-modelo-vitality-zwilling/</t>
  </si>
  <si>
    <t>MAT-193.4</t>
  </si>
  <si>
    <t>CACEROLA DE 8L (30 CM X 13 CM APROX +- 3 CM.) (1 UND)</t>
  </si>
  <si>
    <t>https://dcocina.pe/producto/olla-alta-8-1-lts-de-acero-inoxidable-o24-cm-zwilling-pro-zwilling/</t>
  </si>
  <si>
    <t>MAT-196</t>
  </si>
  <si>
    <t>JUEGO DE COLADERAS</t>
  </si>
  <si>
    <t>MAT-196 JUEGO DE COLADERAS - CET</t>
  </si>
  <si>
    <t>MAT-196.1</t>
  </si>
  <si>
    <t>COLADERA 20 CM (1 UND)</t>
  </si>
  <si>
    <t>ILKO</t>
  </si>
  <si>
    <t>https://www.uysa.com.pe/colador-ac-inoxidable-20-cm-clasica-10046032/p?srsltid=AfmBOoqr9Ezjb3ymQg_wPI4doKz8uWr84-ygykL4GHijqZg0Q5KC9aGY</t>
  </si>
  <si>
    <t>MAT-196.2</t>
  </si>
  <si>
    <t>COLADERA 14 CM (1 UND)</t>
  </si>
  <si>
    <t>139001051 (B-TI6402) COLADOR MALLA AC. 14CM</t>
  </si>
  <si>
    <t>https://www.makro.plazavea.com.pe/colador-facusa-14cm-acero-inoxidable/p</t>
  </si>
  <si>
    <t>MAT-196.3</t>
  </si>
  <si>
    <t>COLADERA 8 CM (1 UND)</t>
  </si>
  <si>
    <t>GASPAR</t>
  </si>
  <si>
    <t>(CLD-8.5) COLADOR MALLA DE ACERO No 8.5cm</t>
  </si>
  <si>
    <t>https://www.uysa.com.pe/colador-ft1061-para-bar-8-cm-facusa-10046291/p?srsltid=AfmBOooKykSolNtuVthtQdSGXOPUSpT50x2lTXv34vqIa4NcWLcb900_</t>
  </si>
  <si>
    <t>MAT-197</t>
  </si>
  <si>
    <t>JUEGO DE COLADORES Y ESCURRIDORES</t>
  </si>
  <si>
    <t>MAT-197 JUEGO DE COLADORES Y ESCURRIDORES - CET</t>
  </si>
  <si>
    <t>MAT-197.1</t>
  </si>
  <si>
    <t>COLADERAS DE 24, 14 Y 8 CM  (1 UND)</t>
  </si>
  <si>
    <t>https://www.amazon.com/dp/B07Z6D34HK/ref=twister_B08264MDF9?_encoding=UTF8&amp;th=1</t>
  </si>
  <si>
    <t>MAT-197.2</t>
  </si>
  <si>
    <t>ESCURRIDORES DE 22, 25 Y 30 CM (1 UND)</t>
  </si>
  <si>
    <t>https://www.amazon.com/Kitchen-coladores-inoxidable-cuartos-colador/dp/B01MQCGF1V/ref=sr_1_3_sspa?__mk_es_US=%C3%85M%C3%85%C5%BD%C3%95%C3%91&amp;crid=1PXKFVOGDD3Y4&amp;dib=eyJ2IjoiMSJ9.4yz4b6A7_Bp1j4erF5dDEUiQPHts2iwyt6NwNZJBRdV0XL1sH9HH-oI4XpcnrOkZs_JvgRBhR2Mwg9OPkXyWAA-S1uy5Lizm4cmrEfZ9Ss9XC_xAwaKybtMGtvK6tyiWaKQ91Tn76kQgK03atrtD1vffzT3A4F9ktWOSxI0AtZoIjfm8MYQnEzw6npB4qRofTWmMBAnhU3WDJ7Ew_3SKgxbEAAuUHm2KJL5XJiSYatT9GBwyMAE4J60G6LifXcqKL4jFnuHFDWTQ1ov6RHbyqew3Zo-jiJqJGGieZtGn9B8.FglENbw8fcxw1UXrWtrBA3eMOwPZMhTkMeJE7-yP8oE&amp;dib_tag=se&amp;keywords=juego+de+3+coladores+de+acero+inoxidable&amp;qid=1761580006&amp;sprefix=uego+de+3+coladores+de+acero+inoxidable+%2Caps%2C305&amp;sr=8-3-spons&amp;sp_csd=d2lkZ2V0TmFtZT1zcF9hdGY&amp;psc=1</t>
  </si>
  <si>
    <t>MAT-198</t>
  </si>
  <si>
    <t>MAT-198-X</t>
  </si>
  <si>
    <t>JUEGO DE CORTADORES</t>
  </si>
  <si>
    <t>MAT-198-X JUEGO DE CORTADORES- CET</t>
  </si>
  <si>
    <t>YXCLIFE</t>
  </si>
  <si>
    <t>https://www.amazon.com/-/es/cortadores-galletas-coraz%C3%B3n-estrella-cortador/dp/B08VD2R23T?th=1</t>
  </si>
  <si>
    <t>MAT-198-Y</t>
  </si>
  <si>
    <t>MAT-198-Y JUEGO DE CORTADORES- CET</t>
  </si>
  <si>
    <t>MAT-199</t>
  </si>
  <si>
    <t>JUEGO DE CUCHARONES DE MADERA</t>
  </si>
  <si>
    <t>MAT-199 JUEGO DE CUCHARONES DE MADERA - CET</t>
  </si>
  <si>
    <t xml:space="preserve">Standcn </t>
  </si>
  <si>
    <t>https://www.amazon.com/-/es/utensilios-cucharas-cocinar-antiadherentes-volteador/dp/B0FJS79XSN?ref_=ast_sto_dp</t>
  </si>
  <si>
    <t>MAT-200</t>
  </si>
  <si>
    <t>JUEGO DE CUCHARONES, ESPÁTULAS Y ESPUMADERAS</t>
  </si>
  <si>
    <t>MAT-200 JUEGO DE CUCHARONES, ESPÁTULAS Y ESPUMADERAS - CET</t>
  </si>
  <si>
    <t>MAT-200.1</t>
  </si>
  <si>
    <t>BLISTER PELADOR</t>
  </si>
  <si>
    <t>https://www.facusa.com.pe/accesorios-de-cocina/592-blister-ablandador-de-carne-chacha-facusa-.html</t>
  </si>
  <si>
    <t>MAT-200.2</t>
  </si>
  <si>
    <t>ESPÁTULA ACERO INOXIDABLE  (1UND)</t>
  </si>
  <si>
    <t>https://www.oechsle.pe/espatula-tramontina-de-ace-inox-1001108612/p</t>
  </si>
  <si>
    <t>MAT-201</t>
  </si>
  <si>
    <t>CUCHILLO PARA PASTELERIA</t>
  </si>
  <si>
    <t>MAT-201 CUCHILLO PARA PASTELERIA - CET</t>
  </si>
  <si>
    <t>Quttin</t>
  </si>
  <si>
    <t>QT-721143V</t>
  </si>
  <si>
    <t>MAT-202</t>
  </si>
  <si>
    <t>JUEGO DE CUCHILLOS</t>
  </si>
  <si>
    <t>MAT-202 JUEGO DE CUCHILLOS - CET</t>
  </si>
  <si>
    <t>MAT-202.1</t>
  </si>
  <si>
    <t>CUCHILLO DE CHEF. (1 UND)</t>
  </si>
  <si>
    <t xml:space="preserve">Cuchillo Chef Tramontina Century </t>
  </si>
  <si>
    <t>tramontina</t>
  </si>
  <si>
    <t>https://www.tramontina.com.pe/cuchillo-chef-8-_24011008/p?srsltid=AfmBOoqu6ic-Gx4cspsQbpngJtQ60l0XyMncSDgjPDPq5KbZn-BeODCG</t>
  </si>
  <si>
    <t>Cuchillo Chef Tramontina Century 24011008</t>
  </si>
  <si>
    <t>MAT-202.2</t>
  </si>
  <si>
    <t>CUCHILLO CHULETERO. (1 UND)</t>
  </si>
  <si>
    <t>CUCHILLO CHULETERO PARA CHURRASCO 4"</t>
  </si>
  <si>
    <t>https://www.tramontinastore.com.bo/articulo/23218</t>
  </si>
  <si>
    <t>Cuchillo Oficio De 5" TRAMONTINA 24003/005</t>
  </si>
  <si>
    <t>https://www.plazamenaje.com/shop/101292-cuchillo-oficio-de-5-tramontina-24003-005-4345#attr=39387,39388,39389,39390,39391,39392,39393,34301</t>
  </si>
  <si>
    <t>MAT-202.3</t>
  </si>
  <si>
    <t>CUCHILLO DESHUESADOR. (1 UND)</t>
  </si>
  <si>
    <t xml:space="preserve">Cuchillo para Deshuesar Tramontina Century </t>
  </si>
  <si>
    <t>https://www.tramontina.com.pe/cuchillo-para-deshuesar-6-_24006006/p?srsltid=AfmBOopcCPBNllRYd9UQYjrmuRIllpId1Evh_pBeByW6V2f6WKnf09Nx</t>
  </si>
  <si>
    <t>Cuchillo para Deshuesar Tramontina Century 24006006</t>
  </si>
  <si>
    <t>MAT-202.4</t>
  </si>
  <si>
    <t>CUCHILLO FILETEAR. (1 UND)</t>
  </si>
  <si>
    <t>Cuchillo para Filetear Tramontina Century</t>
  </si>
  <si>
    <t>https://www.tramontina.com.pe/cuchillo-filetear-6-_24023006/p?srsltid=AfmBOoqpTlbK4-l7BtJ8uK8fMZBFjiSzS9PijdryuDINuuFklxPeyK32</t>
  </si>
  <si>
    <t>Cuchillo para Filetear Tramontina 24023006</t>
  </si>
  <si>
    <t>MAT-202.5</t>
  </si>
  <si>
    <t>CUCHILLO JAMONERO DE HOJA FINA Y ALARGADA (1 UND)</t>
  </si>
  <si>
    <t>Cuchillo Jamonero Tramontina Solutta</t>
  </si>
  <si>
    <t>https://www.tramontina.com.pe/cuchillo-jamonero-tramontina-solutta-con-lamina-en-acero-inoxidable-y-mango-en-policarbonato-10--negro_24255110/p?srsltid=AfmBOopMtowDC17bpwnrxs7vp0skUDHxiPwosaiV-sxwSyN2uOylRzeU</t>
  </si>
  <si>
    <t>Cuchillo Jamonero Tramontina Solutta 24255110</t>
  </si>
  <si>
    <t>MAT-202.6</t>
  </si>
  <si>
    <t>PORTA CUCHILLOS (1 UND)</t>
  </si>
  <si>
    <t>Porta cuchillos</t>
  </si>
  <si>
    <t>https://www.mercadolibre.com.pe/porta-cuchillo-de-madera/up/MPEU2927919022#polycard_client=search-nordic&amp;search_layout=stack&amp;position=3&amp;type=product&amp;tracking_id=b1802f06-a2f8-4b7e-9374-4e08f2915e11&amp;wid=MPE696883856&amp;sid=search</t>
  </si>
  <si>
    <t xml:space="preserve">GENERICO </t>
  </si>
  <si>
    <t>https://elmejorprecio.pe/products/organizador-porta-cuchillos-lineal-g?_pos=1&amp;_sid=1596245c1&amp;_ss=r</t>
  </si>
  <si>
    <t>MAT-203</t>
  </si>
  <si>
    <t>JUEGO DE FUENTES DE VIDRIO REFRACTÁRIO</t>
  </si>
  <si>
    <t>MAT-203 JUEGO DE FUENTES DE VIDRIO REFRACTÁRIO - CET</t>
  </si>
  <si>
    <t>MARINEX</t>
  </si>
  <si>
    <t xml:space="preserve"> Set 3 Piezas Fuente Bandeja para Horno de Vidrio Templado Marinex
</t>
  </si>
  <si>
    <t>https://www.falabella.com.pe/falabella-pe/product/145269875/Fuente-Bandeja-para-Horno-de-Vidrio-Templado-Marinex-Set-3-Piezas/145269876?kid=shopp44fc&amp;gclsrc=aw.ds&amp;gad_source=1&amp;gad_campaignid=20114538213&amp;gbraid=0AAAAADs9MO0j1HshM0h3wB7T9bpIUVkC3&amp;gclid=Cj0KCQjwvJHIBhCgARIsAEQnWlDeUnejj8LJp0SgngfwfWC4HcGvoPBVkKa_7ZXUVB8aRAYgOZgbnskaAmG_EALw_wcB</t>
  </si>
  <si>
    <t>MAT-205</t>
  </si>
  <si>
    <t>JUEGO DE OLLAS PARA COCINA DE INDUCCIÓN</t>
  </si>
  <si>
    <t>MAT-205 JUEGO DE OLLAS PARA COCINA DE INDUCCIÓN - CET</t>
  </si>
  <si>
    <t>MAT-205.1</t>
  </si>
  <si>
    <t>https://www.plazavea.com.pe/cacerola-viva-home-16cm/p?srsltid=AfmBOooJzvLKBxYz1VyvTuLFwxAXRzBdKspJtJYfOUh4CgWe5jPad890</t>
  </si>
  <si>
    <t>Cacerola 16 X 9.5 Cm S/S T/Ac</t>
  </si>
  <si>
    <t>https://drive.google.com/file/d/1qyT47MJ6e8alITPZ5GOcSOa8UzDBMwUH/view?usp=sharing</t>
  </si>
  <si>
    <t>MAT-205.2</t>
  </si>
  <si>
    <t>https://www.wong.pe/cacerola-inox-percutti-20cm-1023697/p</t>
  </si>
  <si>
    <t>Cacerola de Acero Inoxidable con Tapa de Vidrio Clásica Ø 18 cm | 2 L</t>
  </si>
  <si>
    <t>https://drive.google.com/file/d/1GX_lPDn4qGzkKMnkMhz4QeqLE1xBrGDb/view?usp=sharing</t>
  </si>
  <si>
    <t>MAT-205.3</t>
  </si>
  <si>
    <t xml:space="preserve">JUEGO DE OLLAS (1 UND) 
- OLLA 20 CM (1 UND) 
- OLLA 22 CM (1 UND) 
- OLLA 24 CM (1 UND) 
- GUISERA 24 CM (1 UND) </t>
  </si>
  <si>
    <t>https://www.sodimac.com.pe/sodimac-pe/articulo/113525806/de-Acero-inoxidable-20-cm-3.1-l-Plateado-RW12105-C20/113525810?kid=goosho_669250&amp;shop=googleShopping&amp;gad_source=1&amp;gad_campaignid=21524717227&amp;gbraid=0AAAAADOx_18cKqjcy2Af259SQ9IKu9r1x&amp;gclid=CjwKCAjwu9fHBhAWEiwAzGRC_2IyQj7mX--zxk4Ejs_zdoA9Xbdz5B_blsJLHmhsKgUWKNxxuWDmJBoCTf4QAvD_BwE</t>
  </si>
  <si>
    <r>
      <rPr>
        <rFont val="Roboto"/>
        <color rgb="FF1155CC"/>
        <sz val="8.0"/>
        <u/>
      </rPr>
      <t>FINEZZA</t>
    </r>
  </si>
  <si>
    <t>Juego de ollas de acero 8 Pzas. (FZ-1008TS)</t>
  </si>
  <si>
    <t>https://finezza.com.pe/products/ollas-de-acero-8-pzas-fz-w332tm-4</t>
  </si>
  <si>
    <t>MAT-205.7</t>
  </si>
  <si>
    <t>https://hiraoka.com.pe/sarten-miray-smai-24cm-1-24-cm?utm_id=22940253004&amp;gad_source=1&amp;gad_campaignid=22940253004&amp;gbraid=0AAAAACkNDqkmOqWHIevodMUkcRnCovDPW&amp;gclid=CjwKCAjwq9rFBhAIEiwAGVAZP6Zj4LZW2SrFeVC5DQjbB9fHEpwkdV8QiiXW0liettxi_JtKdb_cMBoCdigQAvD_BwE</t>
  </si>
  <si>
    <t>Sarten 24Cm - 2.10 Lt Solar Silicone  62135/240</t>
  </si>
  <si>
    <t>https://drive.google.com/file/d/1eFJsZH1SqA1tLJ1zkXipzpuAGCjh-hzr/view?usp=sharing</t>
  </si>
  <si>
    <t>MAT-205.8</t>
  </si>
  <si>
    <t>https://www.falabella.com.pe/falabella-pe/product/20776974/Sarten-Acero-Inoxidable-Professional-20-cm/20776974?kid=shopp69fc&amp;gclsrc=aw.ds&amp;gad_source=1&amp;gad_campaignid=21209754652&amp;gbraid=0AAAAADs9MO0K_lPgTSDovgNegyS6k4I0g&amp;gclid=CjwKCAjwq9rFBhAIEiwAGVAZP7m0AfYEfH7PSXk6B-veM-fy5zuKKHZvlw45-fqua0fmWI4tbEQbtRoCKrgQAvD_BwE</t>
  </si>
  <si>
    <t>Sarten 20Cm -1.30 Lt Solar Silicone  62135/200</t>
  </si>
  <si>
    <t>https://drive.google.com/file/d/1yTyMl-WMUw4H0MzWQExPPpzSKDWeTxBK/view?usp=sharing</t>
  </si>
  <si>
    <t>MAT-211</t>
  </si>
  <si>
    <t>JUEGO DE PINZAS</t>
  </si>
  <si>
    <t>MAT-211 JUEGO DE PINZAS - CET</t>
  </si>
  <si>
    <t>MAT-212</t>
  </si>
  <si>
    <t>JUEGO DE PINZAS DE COCINA</t>
  </si>
  <si>
    <t>MAT-212 JUEGO DE PINZAS DE COCINA - CET</t>
  </si>
  <si>
    <t>MAT-214</t>
  </si>
  <si>
    <t>JUEGO DE REGLAS METÁLICAS DE 30 CM, 60 CM Y 100 CM</t>
  </si>
  <si>
    <t>MAT-214 JUEGO DE REGLAS METÁLICAS DE 30 CM, 60 CM Y 100 CM - CET</t>
  </si>
  <si>
    <t>MAT-214.1</t>
  </si>
  <si>
    <t>ACCUD</t>
  </si>
  <si>
    <t>990-012-11</t>
  </si>
  <si>
    <t>MAT-214.2</t>
  </si>
  <si>
    <t>REGLA METÁLICA 600 MM (1 UND)</t>
  </si>
  <si>
    <t>990-024-11H</t>
  </si>
  <si>
    <t>MAT-214.3</t>
  </si>
  <si>
    <t>REGLA METÁLICA 1000 MM (1 UND)</t>
  </si>
  <si>
    <t>990-040-11</t>
  </si>
  <si>
    <t>MAT-215</t>
  </si>
  <si>
    <t>JUEGO DE SARTENES PARA COCINA DE INDUCCIÓN</t>
  </si>
  <si>
    <t>MAT-215 JUEGO DE SARTENES PARA COCINA DE INDUCCIÓN - CET</t>
  </si>
  <si>
    <t>MAT-215.1</t>
  </si>
  <si>
    <t>SARTÉN 24 CM ANTIADHERENTE (3 UND)</t>
  </si>
  <si>
    <t>LABAN</t>
  </si>
  <si>
    <t>SARTEN RECORD CRONO 26CM C/ANTIADERENTE</t>
  </si>
  <si>
    <t>https://www.falabella.com.pe/falabella-pe/product/18135056/Sarten-Aluminio-Antiadherente-Induccion-Unlimited-26cm/18135056</t>
  </si>
  <si>
    <t>RECORD</t>
  </si>
  <si>
    <t>CRONO N°24 (1025249000)</t>
  </si>
  <si>
    <t>https://record.com.pe/products/record-sarten-crono-rojo-antiadherente-24cm?variant=51131892990228</t>
  </si>
  <si>
    <t>MAT-216</t>
  </si>
  <si>
    <t>JUEGO DE TABLAS PICADORAS</t>
  </si>
  <si>
    <t>MAT-216 JUEGO DE TABLAS PICADORAS - CET</t>
  </si>
  <si>
    <t>MAT-217</t>
  </si>
  <si>
    <t>JUEGO DE TAZONES (BOWL) DE ACERO INOXIDABLE</t>
  </si>
  <si>
    <t>MAT-217 JUEGO DE TAZONES (BOWL) DE ACERO INOXIDABLE - CET</t>
  </si>
  <si>
    <t>-</t>
  </si>
  <si>
    <t>MAT-218</t>
  </si>
  <si>
    <t>JUEGO DE VAJILLAS</t>
  </si>
  <si>
    <t>MAT-218 JUEGO DE VAJILLAS - CET</t>
  </si>
  <si>
    <t xml:space="preserve">JUST HOME COLECTION </t>
  </si>
  <si>
    <t>Square Blanco 30 pza</t>
  </si>
  <si>
    <t>https://www.sodimac.com.pe/sodimac-pe/articulo/113531034/Juego-de-vajillas-Porcelana-Nordico-Blanco-30-Piezas/113531044?kid=goosho_669284&amp;shop=googleShopping&amp;gad_source=1&amp;gad_campaignid=21524773673&amp;gbraid=0AAAAADOx_1-v0XR7n3odujWtxRhupW8e4&amp;gclid=CjwKCAjwgeLHBhBuEiwAL5gNEdWSvjKkxDuEwr4mVirzQHJp457Wo6gKqolbLpcXV-OIWCIfJVmL5hoC9YQQAvD_BwE</t>
  </si>
  <si>
    <t>MAT-219</t>
  </si>
  <si>
    <t>JUEGOS DE BANDEJAS DE ACERO</t>
  </si>
  <si>
    <t>MAT-219 JUEGOS DE BANDEJAS DE ACERO - CET</t>
  </si>
  <si>
    <t>MAT-219.1</t>
  </si>
  <si>
    <t>BANDEJA RECTANGULAR DE ACERO INOXIDABLE 40X30 CM</t>
  </si>
  <si>
    <t>XIAN ZHU</t>
  </si>
  <si>
    <t>https://xianzhu.cl/producto/bandeja-metalica-40x30/</t>
  </si>
  <si>
    <t>GASPAR’S</t>
  </si>
  <si>
    <t>modelo  40 X 30 CM</t>
  </si>
  <si>
    <t>MAT-219.2</t>
  </si>
  <si>
    <t>BANDEJA RECTANGULAR DE ACERO INOXIDABLE 36X27 CM</t>
  </si>
  <si>
    <t>https://xianzhu.cl/producto/bandeja-metalica-36x27-cm/</t>
  </si>
  <si>
    <t>36 X 27 CM</t>
  </si>
  <si>
    <t>MAT-219.3</t>
  </si>
  <si>
    <t>BANDEJA RECTANGULAR DE ACERO INOXIDABLE 32X22 CM</t>
  </si>
  <si>
    <t>https://xianzhu.cl/producto/bandeja-metalica-32x22-cm/</t>
  </si>
  <si>
    <t>32 X 22 CM</t>
  </si>
  <si>
    <t>MAT-228</t>
  </si>
  <si>
    <t>KIT RESPIRADOR</t>
  </si>
  <si>
    <t>MAT-228 KIT RESPIRADOR - CET</t>
  </si>
  <si>
    <t>MAT-230</t>
  </si>
  <si>
    <t>LENTES DE PROTECCIÓN DE PLÁSTICO</t>
  </si>
  <si>
    <t>MAT-230 LENTES DE PROTECCIÓN DE PLÁSTICO - CET</t>
  </si>
  <si>
    <t>https://www.truper.com/ficha_tecnica/Goggles-de-seguridad-con-valvulas-de-ventilacion-indirecta-4850.html?code=14220</t>
  </si>
  <si>
    <t>MAT-231</t>
  </si>
  <si>
    <t>MAT-231-X</t>
  </si>
  <si>
    <t>LENTES DE PROTECCIÓN DE POLICARBONATO</t>
  </si>
  <si>
    <t>MAT-231-X LENTES DE PROTECCIÓN DE POLICARBONATO - CET</t>
  </si>
  <si>
    <t>Steelpro</t>
  </si>
  <si>
    <t>Nitro</t>
  </si>
  <si>
    <t>MAT-231-Y</t>
  </si>
  <si>
    <t>MAT-231-Y LENTES DE PROTECCIÓN DE POLICARBONATO - CET</t>
  </si>
  <si>
    <t>MAT-232</t>
  </si>
  <si>
    <t>LIRAS DE CORTE DE QUESO</t>
  </si>
  <si>
    <t>MAT-232 LIRAS DE CORTE DE QUESO - CET</t>
  </si>
  <si>
    <t>MAT-233</t>
  </si>
  <si>
    <t>MAMELUCO DE PROTECCIÓN PARA PINTOR</t>
  </si>
  <si>
    <t>https://docs.google.com/spreadsheets/d/1GzhtSXk2eOX3AAbSFEiE7O7tec7_pziTzIHRBuI40l8/edit?gid=0#gid=0</t>
  </si>
  <si>
    <t>MAT-236</t>
  </si>
  <si>
    <t>MANDIL DE SERRAJE</t>
  </si>
  <si>
    <t>https://docs.google.com/spreadsheets/d/12GUsyMWy4406psaMlML0FNUQ4JGGnVwMX5QSIr3I_bo/edit?gid=0#gid=0</t>
  </si>
  <si>
    <t>MAT-237</t>
  </si>
  <si>
    <t>MANGA PARA SOLDAR</t>
  </si>
  <si>
    <t>https://docs.google.com/spreadsheets/d/1vZ6fyrXxKeoLSAimaLAUVqDwVg8sEAtpYoDBrYht9Nk/edit?gid=0#gid=0</t>
  </si>
  <si>
    <t>MAT-385</t>
  </si>
  <si>
    <t>MÁSCARA ELECTRÓNICA PARA SOLDAR</t>
  </si>
  <si>
    <t>MAT-385 MÁSCARA ELECTRÓNICA PARA SOLDAR - CET</t>
  </si>
  <si>
    <t>MAT-386</t>
  </si>
  <si>
    <t>MAT-386-X</t>
  </si>
  <si>
    <t>MASCARILLA</t>
  </si>
  <si>
    <t>MAT-386-X MASCARILLA - CET</t>
  </si>
  <si>
    <t>MAT-386-Y</t>
  </si>
  <si>
    <t>MAT-386-Y MASCARILLA - CET</t>
  </si>
  <si>
    <t>MAT-392</t>
  </si>
  <si>
    <t>OLLA 10 LITROS</t>
  </si>
  <si>
    <t>MAT-392 OLLA 10 LITROS - CET</t>
  </si>
  <si>
    <t>MAT-393</t>
  </si>
  <si>
    <t>OLLA 5 LITROS</t>
  </si>
  <si>
    <t>MAT-393 OLLA 5 LITROS - CET</t>
  </si>
  <si>
    <t>MAT-394</t>
  </si>
  <si>
    <t>OLLA 50 LITROS</t>
  </si>
  <si>
    <t>MAT-394 OLLA 50 LITROS - CET</t>
  </si>
  <si>
    <t>MAT-395</t>
  </si>
  <si>
    <t>OLLA DE BARRO</t>
  </si>
  <si>
    <t>MAT-395 OLLA DE BARRO - CET</t>
  </si>
  <si>
    <t>GENERICA</t>
  </si>
  <si>
    <t>OLLA Barro Peruano 5kg</t>
  </si>
  <si>
    <t>https://ollasdebarro.com/producto/olla-5-kilos-barro-peruano/</t>
  </si>
  <si>
    <t>MAT-396</t>
  </si>
  <si>
    <t>OLLA PARA PASTAS</t>
  </si>
  <si>
    <t>MAT-396 OLLA PARA PASTAS - CET</t>
  </si>
  <si>
    <t>Espaguetera Astro Silicone de acero inoxidable con fondo triple con tapa de vidrio de 24 cm y 6,1l Tramontina</t>
  </si>
  <si>
    <t>MAT-397</t>
  </si>
  <si>
    <t>OLLA PARA SOPAS Y RESERVA</t>
  </si>
  <si>
    <t>MAT-397 OLLA PARA SOPAS Y RESERVA - CET</t>
  </si>
  <si>
    <t>MAT-398</t>
  </si>
  <si>
    <t>OREJERAS</t>
  </si>
  <si>
    <t>MAT-398 OREJERAS - CET</t>
  </si>
  <si>
    <t>https://www.amazon.com/-/es/Orejeras-seguridad-industrial-cumplen-normas/dp/B00PUX97U6?th=1</t>
  </si>
  <si>
    <t>MAT-399</t>
  </si>
  <si>
    <t>PALA PARA QUESO</t>
  </si>
  <si>
    <t>MAT-399 PALA PARA QUESO - CET</t>
  </si>
  <si>
    <t>MAT-401</t>
  </si>
  <si>
    <t>PELADOR DE PAPAS MANUAL</t>
  </si>
  <si>
    <t>MAT-401 PELADOR DE PAPAS MANUAL - CET</t>
  </si>
  <si>
    <t>MAT-404</t>
  </si>
  <si>
    <t>JUEGO DE PRENDAS DE PROTECCIÓN PARA LOS PROCESOS DE SOLDAR</t>
  </si>
  <si>
    <t>MAT-404 JUEGO DE PRENDAS DE PROTECCIÓN PARA LOS PROCESOS DE SOLDAR - CET</t>
  </si>
  <si>
    <t>MAT-404.1</t>
  </si>
  <si>
    <t>ZAPATO DE CUERO CON PUNTA DE ACERO (1 UND)</t>
  </si>
  <si>
    <t>Botin de Seguridad Bata Modelo Kaiser NTP ISO 20345 Talla 42 Neg</t>
  </si>
  <si>
    <t>https://www.promart.pe/botin-de-seguridad-bata-modelo-kaiser-ntp-iso-20345-talla-42-negro-156527/p</t>
  </si>
  <si>
    <t>PANACEA SAFETY SOLUTION</t>
  </si>
  <si>
    <t>MARSHALL</t>
  </si>
  <si>
    <t>MAT-404.2</t>
  </si>
  <si>
    <t>MANDIL DE CUERO CROMO (1 UND)</t>
  </si>
  <si>
    <t>Mandil de 1 pieza Werken</t>
  </si>
  <si>
    <t>https://www.promart.pe/mandil-de-1-pieza/p</t>
  </si>
  <si>
    <t>MAT-404.3</t>
  </si>
  <si>
    <t>GUANTES DE SOLDAR CUERO CROMO (1 UND)</t>
  </si>
  <si>
    <t>Guantes de Seguridad de Cuero Cromo Estándar</t>
  </si>
  <si>
    <t>https://www.sodimac.com.pe/sodimac-pe/articulo/113534794/Guantes-de-Seguridad-de-Cuero-Cromo-Estandar/113534797</t>
  </si>
  <si>
    <t>MAT-404.4</t>
  </si>
  <si>
    <t>TAPONES DE OIDO (1 UND)</t>
  </si>
  <si>
    <t>Tapones reutilizables 3M 90716 con cordón x 3 unidades</t>
  </si>
  <si>
    <t>https://www.promart.pe/pack-tapones-reutilizables-c-cordon-x-3-unids-78563/p?gad_source=1&amp;gad_campaignid=22932501259&amp;gbraid=0AAAAADJIfALo3GuIxFkC92Xnex8iQ2jUp&amp;gclid=CjwKCAjw3tzHBhBREiwAlMJoUruc16mndnTmD-QGsdd7btK9Sogvwie45eBQNbnP-lL1p011QJYN5hoC2PgQAvD_BwE</t>
  </si>
  <si>
    <t>3M</t>
  </si>
  <si>
    <t>MAT-404.5</t>
  </si>
  <si>
    <t>ESCARPINES DE CUERO (1 UND)</t>
  </si>
  <si>
    <t>Escarpines de soldador</t>
  </si>
  <si>
    <t>https://www.promart.pe/escarpines-de-soldador/p?srsltid=AfmBOooSvG5B6yhOVjYAKVrFACs4QpFArOJiw1aQHaFm_pMNrKz3RILR</t>
  </si>
  <si>
    <t>MAT-418</t>
  </si>
  <si>
    <t>REGLA METÁLICA DE 30 CM</t>
  </si>
  <si>
    <t>MAT-418 REGLA METALICA DE 30 CM - CET</t>
  </si>
  <si>
    <t>SR300-MM</t>
  </si>
  <si>
    <t>https://www.promart.pe/regla-de-acero-300mm/p</t>
  </si>
  <si>
    <t>MAT-420</t>
  </si>
  <si>
    <t>REGLAS DE METAL</t>
  </si>
  <si>
    <t>MAT-420 REGLAS DE METAL - CET</t>
  </si>
  <si>
    <t>MAT-420.1</t>
  </si>
  <si>
    <t>FUNDA PLASTICA PARA REGLA DE METAL (1 UND)</t>
  </si>
  <si>
    <t>FUNDAS PLASTICAS 100 CM X 0,15 CM X 3,7 CM PARA REGLAS DE METAL</t>
  </si>
  <si>
    <t>MAT-421</t>
  </si>
  <si>
    <t>JUEGO DE REGLAS DE PATRONAJE</t>
  </si>
  <si>
    <t>MAT-421 JUEGO DE REGLAS DE PATRONAJE - CET</t>
  </si>
  <si>
    <t>MAT-439</t>
  </si>
  <si>
    <t>SIMULADOR VIRTUAL DE CIRCUITOS ELECTRÓNICOS ANALÓGICOS Y DIGITALES</t>
  </si>
  <si>
    <t>MAT-439 SIMULADOR VIRTUAL DE CIRCUITOS ELECTRÓNICOS ANALÓGICOS Y DIGITALES - CET</t>
  </si>
  <si>
    <t>MAT-440</t>
  </si>
  <si>
    <t>SOFTWARE PARA PLATAFORMA ELECTRÓNICA DE CÓDIGO ABIERTO</t>
  </si>
  <si>
    <t>MAT-440 SOFTWARE PARA PLATAFORMA ELECTRÓNICA DE CÓDIGO ABIERTO - CET</t>
  </si>
  <si>
    <t>MAT-448</t>
  </si>
  <si>
    <t>SOFTWARE PARA RELÉ PROGRAMABLE</t>
  </si>
  <si>
    <t>MAT-448 SOFTWARE PARA RELÉ PROGRAMABLE - CET</t>
  </si>
  <si>
    <t>MAT-449</t>
  </si>
  <si>
    <t>SOFTWARE SIMULADOR DE INSTALACIONES ELÉCTRICAS DOMICILIARIAS EN ESPAÑOL (SOFTWARE LIBRE)</t>
  </si>
  <si>
    <t>MAT-449  SOFTWARE SIMULADOR DE INSTALACIONES ELÉCTRICAS DOMICILIARIAS EN ESPAÑOL (SOFTWARE LIBRE) - CET</t>
  </si>
  <si>
    <t>MAT-449.1</t>
  </si>
  <si>
    <t>SOFTWARE CYPELEC NF (1 UND)</t>
  </si>
  <si>
    <t>MAT-453</t>
  </si>
  <si>
    <t>TABLA DE PICAR</t>
  </si>
  <si>
    <t>MAT-453 TABLA DE PICAR - CET</t>
  </si>
  <si>
    <t>MAT-454</t>
  </si>
  <si>
    <t>JUEGO DE TAZAS MEDIDORAS</t>
  </si>
  <si>
    <t>MAT-454 JUEGO DE TAZAS MEDIDORAS - CET</t>
  </si>
  <si>
    <t>B-TA6018 TAZAS MEDIDORAS X 05 PZAS</t>
  </si>
  <si>
    <t>MAT-455</t>
  </si>
  <si>
    <t>TAZÓN BOWL N° 20</t>
  </si>
  <si>
    <t>MAT-455 TAZÓN BOWL N° 20 - CET</t>
  </si>
  <si>
    <t xml:space="preserve">BOLO N° 20CM ACERO INOXIDABLE </t>
  </si>
  <si>
    <t>MAT-456</t>
  </si>
  <si>
    <t>TAZÓN BOWL N° 24</t>
  </si>
  <si>
    <t>MAT-456 TAZÓN BOWL N° 24 - CET</t>
  </si>
  <si>
    <t xml:space="preserve">BOLO N° 24CM ACERO INOXIDABLE </t>
  </si>
  <si>
    <t>MAT-457</t>
  </si>
  <si>
    <t>TIJERA DE ACERO</t>
  </si>
  <si>
    <t>MAT-457 TIJERA DE ACERO- CET</t>
  </si>
  <si>
    <t>MAT-461</t>
  </si>
  <si>
    <t>TINA DE PLÁSTICO DE 150 LITROS</t>
  </si>
  <si>
    <t>MAT-461 TINA DE PLÁSTICO DE 150 LITROS - CET</t>
  </si>
  <si>
    <t>MAT-475</t>
  </si>
  <si>
    <t>JUEGO DE VAJILLAS PARA ENTRADA, FONDO</t>
  </si>
  <si>
    <t>MAT-475 JUEGO DE VAJILLAS PARA ENTRADA, FONDO - CET</t>
  </si>
  <si>
    <t>MAT-514</t>
  </si>
  <si>
    <t>WOK DOBLE ASA</t>
  </si>
  <si>
    <t>MAT-514 WOK DOBLE ASA - CET</t>
  </si>
  <si>
    <t>MAT-514.1</t>
  </si>
  <si>
    <t>WOK DE 34 CM (1 UND)</t>
  </si>
  <si>
    <t>WOK HIERRO FUNDIDO 30 CM</t>
  </si>
  <si>
    <t>https://juntoz.com/p/wok-hierro-fundido-30-cm-casas-lugano-28585106109381303202405411434148?srsltid=AfmBOorCpdKjQbbk81kPqs9cFn6vUtx1GQwbzvQYT0fD2RbNDqf4PRFQ</t>
  </si>
  <si>
    <t>JIAHE</t>
  </si>
  <si>
    <t>34 CM</t>
  </si>
  <si>
    <t>https://spanish.alibaba.com/product-detail/Traditional-Carbon-Steel-Pow-Wok-With-62458560413.html</t>
  </si>
  <si>
    <t>MAT-514.2</t>
  </si>
  <si>
    <t>WOK DE 36 CM (1 UND)</t>
  </si>
  <si>
    <t>Wok de acero al carbono de 36cm</t>
  </si>
  <si>
    <t>https://www.lacuisine.pe/lgc/product/wok-de-acero-al-carbono-de-36cm-j21-9978-joyce-chen/</t>
  </si>
  <si>
    <t>36 CM</t>
  </si>
  <si>
    <t>MAT-514.3</t>
  </si>
  <si>
    <t>WOK DE 38 CM (1 UND)</t>
  </si>
  <si>
    <t>Sarten wok Chifero 38cm</t>
  </si>
  <si>
    <t>https://www.falabella.com.pe/falabella-pe/product/118294502/Sarten-wok-Chifero-38cm-de-Acero-Inoxidable/118294503</t>
  </si>
  <si>
    <t>38 CM</t>
  </si>
  <si>
    <t>MAT-514.4</t>
  </si>
  <si>
    <t>WOK DE 40 CM (1 UND)</t>
  </si>
  <si>
    <t>SARTEN PAILA CHIA doble asa</t>
  </si>
  <si>
    <t>https://www.ollasyelectrodomesticos.com/producto/sarten-paila-chia-de-40cm-en-acero-inoxidable-doble-asa/</t>
  </si>
  <si>
    <t>40 CM</t>
  </si>
  <si>
    <t>MAT-515</t>
  </si>
  <si>
    <t>WOK MANGO LARGO</t>
  </si>
  <si>
    <t>MAT-515 WOK MANGO LARGO - CET</t>
  </si>
  <si>
    <t>MAT-516</t>
  </si>
  <si>
    <t>WOK MANGO LARGO CON TAPA</t>
  </si>
  <si>
    <t>MAT-516 WOK MANGO LARGO CON TAPA - CET</t>
  </si>
  <si>
    <t>WOK  acero #430 Tapa Vidrio</t>
  </si>
  <si>
    <t>https://drive.google.com/file/d/1yNajT0HBldwSW21-rLvJRsbg55YX2XHm/view?usp=sharing</t>
  </si>
  <si>
    <t>MAT-517</t>
  </si>
  <si>
    <t>WOK SARTEN PAELLERA</t>
  </si>
  <si>
    <t>MAT-517 WOK SARTEN PAELLERA - CET</t>
  </si>
  <si>
    <t>MAT-517.1</t>
  </si>
  <si>
    <t>WOK SARTEN PAELLERA INOX (1 UND)</t>
  </si>
  <si>
    <t>https://www.uysa.com.pe/sarten-wok-c-tapa-28cm--3-30-lt-solar-silicone-62138-280-tramontina-10145670/p?srsltid=AfmBOoqmirPPYW8rGfYVxde_c6XOJKsSRK--1TDczVzcaottJnL7APQg</t>
  </si>
  <si>
    <t>DESGLOSE DE TICS</t>
  </si>
  <si>
    <t>cámara</t>
  </si>
  <si>
    <t>DESCRIPCIÓN PLAN DE COMPRAS</t>
  </si>
  <si>
    <t>TIC</t>
  </si>
  <si>
    <t>TEC-102</t>
  </si>
  <si>
    <t>TEC-102-X</t>
  </si>
  <si>
    <t>CÁMARA DE VIDEO CON TRÍPODE</t>
  </si>
  <si>
    <t>SI</t>
  </si>
  <si>
    <t>COCINA Y REPOSTERÍA, COMPUTACIÓN E INFORMÁTICA, CONSTRUCCIONES METÁLICAS, EBANISTERÍA, ELECTRÓNICA, INDUSTRIA DEL VESTIDO, MECÁNICA AUTOMOTRÍZ</t>
  </si>
  <si>
    <t>PANASONIC</t>
  </si>
  <si>
    <t>HC-VX3E-K</t>
  </si>
  <si>
    <t>https://store.eu.panasonic.com/es-es/hc-vx3e-k-videocamara-4k</t>
  </si>
  <si>
    <t>TEC-102-X CÁMARA DE VIDEO CON TRÍPODE - CET</t>
  </si>
  <si>
    <t>CANON</t>
  </si>
  <si>
    <t>LEGRIA HF-G70</t>
  </si>
  <si>
    <t>https://www.canon.es/video-cameras/legria-hf-g70/specifications/</t>
  </si>
  <si>
    <t>Técnica</t>
  </si>
  <si>
    <t>INTERNACIONAL</t>
  </si>
  <si>
    <t>GEYDI</t>
  </si>
  <si>
    <t>GENERAR REQ</t>
  </si>
  <si>
    <t>NO APLICA</t>
  </si>
  <si>
    <t>TEC-102-X.1</t>
  </si>
  <si>
    <t>TRÍPODE CON SOPORTE DE ALUMINIO O MATERIAL SUPERIOR, PLEGABLE PARA CÁMARA (1 UND)</t>
  </si>
  <si>
    <t>TRIPODE JOBY COMPACT ACTION JB01761-BWW</t>
  </si>
  <si>
    <t>JOBY</t>
  </si>
  <si>
    <t>Trípode con soporte de aluminio o material superior, plegable para cámara (1 UND)</t>
  </si>
  <si>
    <t>TEC-102-X.2</t>
  </si>
  <si>
    <t>TRÍPODE CON SOPORTE DE ALUMINIO O MATERIAL SUPERIOR, PLEGABLE, CON CABEZAL DE 3 VÍAS. ALTURA REGULABLE DE MÍNIMO 46 A 159 CM. (1 UND)</t>
  </si>
  <si>
    <t>TRIPODE JOBY COMPACTO JB01763-BWW C/ 3 VIAS</t>
  </si>
  <si>
    <t>Trípode con soporte de aluminio o material superior, plegable, con cabezal de 3 vías. Altura regulable de mínimo 46 a 159 cm. (1 UND)</t>
  </si>
  <si>
    <t>TEC-102-X.3</t>
  </si>
  <si>
    <t>MEMORIA EXTERNA DE 128 GB (1 UND)</t>
  </si>
  <si>
    <t>SANDISK</t>
  </si>
  <si>
    <t>EXTREME 128GB</t>
  </si>
  <si>
    <t>https://hiraoka.com.pe/memoria-sd-sandisk-extreme-128gb?gsImpressionId=01K60TSK6EGPRPNMRVY30B8ZKX</t>
  </si>
  <si>
    <t>Simple</t>
  </si>
  <si>
    <t>GEANFRANCO</t>
  </si>
  <si>
    <t>TEC-102-Y</t>
  </si>
  <si>
    <t>ELECTRICIDAD, INDUSTRIA ALIMENTARIA</t>
  </si>
  <si>
    <t>TEC-102-Y CÁMARA DE VIDEO CON TRÍPODE - CET</t>
  </si>
  <si>
    <t>TEC-102-Y.1</t>
  </si>
  <si>
    <t>TEC-102-Y.2</t>
  </si>
  <si>
    <t>TEC-102-Y.3</t>
  </si>
  <si>
    <t>TEC-103</t>
  </si>
  <si>
    <t>CÁMARA FOTOGRÁFICA</t>
  </si>
  <si>
    <t>COMPUTACIÓN E INFORMÁTICA, COCINA Y REPOSTERÍA, CONSTRUCCIONES METÁLICAS, EBANISTERÍA, ELECTRÓNICA, ELECTRICIDAD, INDUSTRIA ALIMENTARIA, INDUSTRIA DEL VESTIDO, MECÁNICA AUTOMOTRÍZ</t>
  </si>
  <si>
    <t>EOS R100</t>
  </si>
  <si>
    <t>https://www.ptmarket.com.pe/canon-eos-r10-con-lente-rf-s-18-45mm-f-3-5-6-3-is-stm.html?srsltid=AfmBOopY6MZJwJf4fCbuSXMFAZwfvVI--tSIecg-w_OzOLtASchaQEoU</t>
  </si>
  <si>
    <t>TEC-103 CÁMARA FOTOGRÁFICA - CET</t>
  </si>
  <si>
    <t>https://drive.google.com/file/d/1oyWmzNsWfb02rQpgeFxS1entcAKZyx5H/view?usp=sharing</t>
  </si>
  <si>
    <t>JESSICA</t>
  </si>
  <si>
    <t>TEC-103.1</t>
  </si>
  <si>
    <t>MEMORIA SD DE 64 GB (1 UND)</t>
  </si>
  <si>
    <t>EXTREME PRO V30 U3 4K UHD</t>
  </si>
  <si>
    <t>https://www.falabella.com.pe/falabella-pe/product/118868245/Sandisk-memoria-SD-32gb-EXTREME-PRO-V30-U3-4k-uhd/118868248</t>
  </si>
  <si>
    <t>NO ESTÁ EN REQ</t>
  </si>
  <si>
    <t/>
  </si>
  <si>
    <t>TEC-103.2</t>
  </si>
  <si>
    <t>MEMORIA SD DE 128 GB (1 UND)</t>
  </si>
  <si>
    <t>TEC-104</t>
  </si>
  <si>
    <t>COMPUTADORA DE ESCRITORIO</t>
  </si>
  <si>
    <t>ProOne 440 G9</t>
  </si>
  <si>
    <t>https://support.hp.com/pe-es/document/ish_5956566-5987452-16</t>
  </si>
  <si>
    <t>TEC-104 COMPUTADORA DE ESCRITORIO - CET</t>
  </si>
  <si>
    <t>LENOVO</t>
  </si>
  <si>
    <t>TEC-104.1</t>
  </si>
  <si>
    <t>LICENCIA OFFICE (1 UND)</t>
  </si>
  <si>
    <t>TEC-104.2</t>
  </si>
  <si>
    <t>SOFTWARE ANTIVIRUS (1 UND)</t>
  </si>
  <si>
    <t>SOLICITAR A PROVEEDOR</t>
  </si>
  <si>
    <t>TEC-104.3</t>
  </si>
  <si>
    <t>ESTABILIZADOR (1 UND)</t>
  </si>
  <si>
    <t>CDP</t>
  </si>
  <si>
    <t>RU-AVR604</t>
  </si>
  <si>
    <t>https://www.promart.pe/regulador-de-voltaje-cdp-ru-avr604i-600va300w-170-270-vac-1001258365/p?gad_source=1&amp;gad_campaignid=22581639037&amp;gbraid=0AAAAADJIfALmMF6WkXws1jR-p8iORls6q&amp;gclid=Cj0KCQiAq7HIBhDoARIsAOATDxBSF54XNQ0aCJ9RIbhtOydGpZnTftnKbjv7XTwiTdcktIpg3EqPcq4aAix7EALw_wcB</t>
  </si>
  <si>
    <t>JUPE</t>
  </si>
  <si>
    <t>JU-E100W</t>
  </si>
  <si>
    <t>Estabilizador Solido 1000w Entrada 220VAC chuko Salida una toma shuko</t>
  </si>
  <si>
    <t>TEC-104.4</t>
  </si>
  <si>
    <t>SISTEMA OPERATIVO WINDOWS 11 PRO EDUCATIVO (1 UND)</t>
  </si>
  <si>
    <t>TEC-104.5</t>
  </si>
  <si>
    <t>MULTIGRABADOR INTEGRADO LECTOR DE DVD (1 UND)</t>
  </si>
  <si>
    <t>TEC-104.6</t>
  </si>
  <si>
    <t>CAMARA WEB (1 UND)</t>
  </si>
  <si>
    <t>TEC-104.7</t>
  </si>
  <si>
    <t>TECLADO (1 UND)</t>
  </si>
  <si>
    <t>TEC-104.8</t>
  </si>
  <si>
    <t>MOUSE (1 UND)</t>
  </si>
  <si>
    <t>TEC-105</t>
  </si>
  <si>
    <t>MONITOR (1 UND)</t>
  </si>
  <si>
    <t>DJI</t>
  </si>
  <si>
    <t>DJI Air 3S (DJI RC-N3)</t>
  </si>
  <si>
    <t>https://dji.pe/dji-air-3s-dji-rc-n3</t>
  </si>
  <si>
    <t>TEC-105 DRON PARA USO DE VIDEO Y FOTOGRAFÍA - CET</t>
  </si>
  <si>
    <t>AIR 3S</t>
  </si>
  <si>
    <t>https://www.dji.com/global/air-3s</t>
  </si>
  <si>
    <t>GIANFRANCO</t>
  </si>
  <si>
    <t>DRON PARA USO DE VIDEO Y FOTOGRAFÍA</t>
  </si>
  <si>
    <t>TEC-105.1</t>
  </si>
  <si>
    <t>SOPORTE PARA CÁMARA GOPRO</t>
  </si>
  <si>
    <t>TEC-105.2</t>
  </si>
  <si>
    <t>CARGADOR DE BATERÍA 65W</t>
  </si>
  <si>
    <t>TEC-107</t>
  </si>
  <si>
    <t>TEC-107-X</t>
  </si>
  <si>
    <t>EQUIPO DE GRABACIÓN PARA REPORTERO</t>
  </si>
  <si>
    <t>ELECTRÓNICA, COCINA Y REPOSTERÍA, EBANISTERÍA, CONSTRUCCIONES METÁLICAS, ELECTRICIDAD, INDUSTRIA ALIMENTARIA, INDUSTRIA DEL VESTIDO, MECÁNICA AUTOMOTRÍZ</t>
  </si>
  <si>
    <t>Sony</t>
  </si>
  <si>
    <t>ICD-PX470</t>
  </si>
  <si>
    <t>https://hiraoka.com.pe/mini-grabadora-sony-icd-px470-cla?srsltid=AfmBOoqq8xxZlUpUtMZ1hqBR6cQxbrLWCpLYO22YS3PPTAp3HmUHeOWu</t>
  </si>
  <si>
    <t>TEC-107-X EQUIPO DE GRABACIÓN PARA REPORTERO - CET</t>
  </si>
  <si>
    <t>SONY</t>
  </si>
  <si>
    <t>ICD-UX570</t>
  </si>
  <si>
    <t>https://www.sony.com.pe/electronics/grabadores-voz/icd-ux570-series
https://helpguide.sony.net/icd/u57/v1/es/contents/TP0002427335.html</t>
  </si>
  <si>
    <t>TEC-107-X.1</t>
  </si>
  <si>
    <t>MEMORIA MICRO SD DE 32 GB (1 UND)</t>
  </si>
  <si>
    <t>MEMORIA MICRO SD DE 32 GB</t>
  </si>
  <si>
    <t>TEC-107-X.2</t>
  </si>
  <si>
    <t>USB CON SOFTWARE DE APLICACIÓN PARA PC (1 UND)</t>
  </si>
  <si>
    <t>TEC-107-Y</t>
  </si>
  <si>
    <t>TEC-107-Y EQUIPO DE GRABACIÓN PARA REPORTERO - CET</t>
  </si>
  <si>
    <t>TEC-107-Y.1</t>
  </si>
  <si>
    <t>TEC-107-Y.2</t>
  </si>
  <si>
    <t>TEC-108</t>
  </si>
  <si>
    <t>EQUIPO DE SONIDO</t>
  </si>
  <si>
    <t>INDUSTRIA ALIMENTARIA, COCINA Y REPOSTERÍA, COMPUTACIÓN E INFORMÁTICA, CONSTRUCCIONES METÁLICAS, EBANISTERÍA, ELECTRICIDAD, ELECTRÓNICA, INDUSTRIA DEL VESTIDO, MECÁNICA AUTOMOTRÍZ</t>
  </si>
  <si>
    <t>CREATIVE</t>
  </si>
  <si>
    <t>SBS E2500</t>
  </si>
  <si>
    <t>https://es.creative.com/p/speakers/creative-sbs-e2500</t>
  </si>
  <si>
    <t>TEC-108 EQUIPO DE SONIDO - CET</t>
  </si>
  <si>
    <t>HALION</t>
  </si>
  <si>
    <t>SMART HA-G62</t>
  </si>
  <si>
    <t>https://drive.google.com/file/d/1AwHGFgXhnn7iUkrkvPPtKC16_D8m6l6X/view?usp=drive_link</t>
  </si>
  <si>
    <t>TEC-108.1</t>
  </si>
  <si>
    <t>MICROFONO (1 UND)</t>
  </si>
  <si>
    <t>COOLBOX</t>
  </si>
  <si>
    <t>JTHT101</t>
  </si>
  <si>
    <t>https://www.coolbox.pe/microfono-teraware-jtht101-conexion-jtht101/p</t>
  </si>
  <si>
    <t>TEC-111</t>
  </si>
  <si>
    <t>TEC-111-X</t>
  </si>
  <si>
    <t>IMPRESORA MULTIFUNCIONAL</t>
  </si>
  <si>
    <t>MECÁNICA AUTOMOTRÍZ, COCINA Y REPOSTERÍA, COMPUTACIÓN E INFORMÁTICA, EBANISTERÍA, ELECTRÓNICA, INDUSTRIA DEL VESTIDO</t>
  </si>
  <si>
    <t xml:space="preserve">BROTHER </t>
  </si>
  <si>
    <t>MFC-T4500DW</t>
  </si>
  <si>
    <t>https://www.brother.com.pe/products/mfct4500dw</t>
  </si>
  <si>
    <t>TEC-111-X IMPRESORA MULTIFUNCIONAL - CET</t>
  </si>
  <si>
    <t>L15150 A3</t>
  </si>
  <si>
    <t>https://drive.google.com/file/d/1VDdefA5K0gwaHf8YECFnAawJWK7dIb3T/view?usp=drive_link</t>
  </si>
  <si>
    <t>TEC-111-X.1</t>
  </si>
  <si>
    <t>JUEGO DE 4 TINTAS PARA IMPRESORA (1 UND)</t>
  </si>
  <si>
    <t>TEC-111-Y</t>
  </si>
  <si>
    <t>INDUSTRIA ALIMENTARIA, ELECTRICIDAD, CONSTRUCCIONES METÁLICAS</t>
  </si>
  <si>
    <t>TEC-111-Y IMPRESORA MULTIFUNCIONAL - CET</t>
  </si>
  <si>
    <t>TEC-111-Y.1</t>
  </si>
  <si>
    <t>TEC-112</t>
  </si>
  <si>
    <t>MONITORES DE ESTUDIO (PARLANTE DE AUDIO)</t>
  </si>
  <si>
    <t>IK Multimedia</t>
  </si>
  <si>
    <t>iLoud Micro Monitor</t>
  </si>
  <si>
    <t>https://www.audioproperu.com/producto/ik-multimedia-iloud-micro-monitor-monitores-de-referencia-de-estudio-ultracompactos-y-de-alta-calidad/?srsltid=AfmBOoqBgWh8AqURWfJfOF3TSlK0pvE4M-NNvxBfJtqK2weMoQQCeTEc</t>
  </si>
  <si>
    <t>TEC-112 MONITORES DE ESTUDIO (PARLANTE DE AUDIO) - CET</t>
  </si>
  <si>
    <t>TEC-112.1</t>
  </si>
  <si>
    <t>AÑADIR UN ADAPTADOR DE 1/8" A  1/4" (1 UND)</t>
  </si>
  <si>
    <t>RADIOSCHAK</t>
  </si>
  <si>
    <t>Adaptador Estéreo de 1/4" Macho a 1/8" Hembra</t>
  </si>
  <si>
    <t>https://www.oechsle.pe/adaptador-estereo-de-1-4--macho-a-1-8--hembra-1001068616/p?srsltid=AfmBOopMgCPhPIoP8JuwHiWomkJpTOzKh-J8apsNd5J0JSw5oNE0sBjC</t>
  </si>
  <si>
    <t>TEC-114</t>
  </si>
  <si>
    <t>PIZARRA (PANTALLA) TÁCTIL INTERACTIVA MULTI-TOUCH</t>
  </si>
  <si>
    <t>COCINA Y REPOSTERÍA, COMPUTACIÓN E INFORMÁTICA, CONSTRUCCIONES METÁLICAS, EBANISTERÍA, ELECTRICIDAD, ELECTRÓNICA, INDUSTRIA ALIMENTARIA, INDUSTRIA DEL VESTIDO, MECÁNICA AUTOMOTRÍZ</t>
  </si>
  <si>
    <t>ViewSonic</t>
  </si>
  <si>
    <t>IFP7573</t>
  </si>
  <si>
    <t>https://www.viewsonic.com/la/products/ifp7550.html#specTabs.specifications</t>
  </si>
  <si>
    <t>TEC-114 PIZARRA (PANTALLA) TÁCTIL INTERACTIVA MULTI-TOUCH - CET</t>
  </si>
  <si>
    <t>VIEWSONIC</t>
  </si>
  <si>
    <t>IFP7550 GEN 5 75”</t>
  </si>
  <si>
    <t>TEC-114.1</t>
  </si>
  <si>
    <t>ADAPTADOR DE VGA A HDMI (1 UND)</t>
  </si>
  <si>
    <t>Cable Adaptador Hdmi a Vga 1080p Imagen Monitor Pantalla</t>
  </si>
  <si>
    <t>https://www.falabella.com.pe/falabella-pe/product/144697787/Cable-Adaptador-Hdmi-a-Vga-1080p-Imagen-Monitor-Pantalla/144697788?kid=shopp44fc&amp;gclsrc=aw.ds&amp;gad_source=1&amp;gad_campaignid=20114538213&amp;gbraid=0AAAAADs9MO0Sn2urOoC5KlT0gE7iByXNI&amp;gclid=Cj0KCQiAq7HIBhDoARIsAOATDxCyMcYE-Yxr2gA5qUlOa8iSAdQubsYZDRGOKfh3PhyN5o6biPmg4XUaAtJ_EALw_wcB</t>
  </si>
  <si>
    <t>ADAPTADOR DE VGA A HDMI</t>
  </si>
  <si>
    <t>TEC-114.2</t>
  </si>
  <si>
    <t>RACK PARA PIZARRA (1 UND)</t>
  </si>
  <si>
    <t>Para pantalla de 75"</t>
  </si>
  <si>
    <t>TEC-114.3</t>
  </si>
  <si>
    <t>SOFTWARE MICROSOFT OFFICE 2019 O SUPERIOR (1 UND)</t>
  </si>
  <si>
    <t>Microsoft</t>
  </si>
  <si>
    <t>Office</t>
  </si>
  <si>
    <t>TEC-114.4</t>
  </si>
  <si>
    <t>VIEW SONIC</t>
  </si>
  <si>
    <t>TEC-114.5</t>
  </si>
  <si>
    <t>OPS</t>
  </si>
  <si>
    <t>VPCF5-W55-G1</t>
  </si>
  <si>
    <t>TEC-115</t>
  </si>
  <si>
    <t>PROYECTOR MULTIMEDIA</t>
  </si>
  <si>
    <t>LS 740W</t>
  </si>
  <si>
    <t>https://www.viewsonic.com/es/products/projectors/LS740W#specs</t>
  </si>
  <si>
    <t>TEC-115 PROYECTOR MULTIMEDIA - CET</t>
  </si>
  <si>
    <t>LS740 HD</t>
  </si>
  <si>
    <t>TEC-115.1</t>
  </si>
  <si>
    <t>RACK PARA PROYECTOR (1 UND)</t>
  </si>
  <si>
    <t>Rack para proyector</t>
  </si>
  <si>
    <t>TEC-116</t>
  </si>
  <si>
    <t>AUDÍFONOS</t>
  </si>
  <si>
    <t>Mackie</t>
  </si>
  <si>
    <t>MC-100</t>
  </si>
  <si>
    <t>https://mackie.com/es/products/headphones/mc-series-headphones/MC_100.html?srsltid=AfmBOoq3fXxsDJ_Y3zc6agTGqqsPwcIfBHIzTJgkWbYjz_hddQIg7V0A</t>
  </si>
  <si>
    <t>TEC-116 AUDÍFONOS - CET</t>
  </si>
  <si>
    <t>TEC-116.1</t>
  </si>
  <si>
    <t>ESTUCHE PARA AUDÍFONOS (1 UND)</t>
  </si>
  <si>
    <t>21.5 × 10 × 15.5 cm</t>
  </si>
  <si>
    <t>ESTCUCHE PARA AUDÍFONOS (1 UND)</t>
  </si>
  <si>
    <t>TEC-117</t>
  </si>
  <si>
    <t>TABLET</t>
  </si>
  <si>
    <t>ELECTRÓNICA, COMPUTACIÓN E INFORMÁTICA, COCINA Y REPOSTERÍA, EBANISTERÍA, INDUSTRIA ALIMENTARIA, CONSTRUCCIONES METÁLICAS, ELECTRICIDAD, INDUSTRIA DEL VESTIDO, MECÁNICA AUTOMOTRÍZ</t>
  </si>
  <si>
    <t>TAB LTE TB311XU</t>
  </si>
  <si>
    <t>https://inquirecontent2.ingrammicro.com/Manufacturer-Brochure/1086740376.pdf</t>
  </si>
  <si>
    <t>TEC-117 TABLET - CET</t>
  </si>
  <si>
    <t>Lenovo</t>
  </si>
  <si>
    <t>TAB 11 ZAEJ0105PE</t>
  </si>
  <si>
    <t>TEC-117.1</t>
  </si>
  <si>
    <t>PROTECTOR RESISTENTE A LOS GOLPES (1 UND)</t>
  </si>
  <si>
    <t>PRO CASE</t>
  </si>
  <si>
    <t>TB311FU/TB311XU</t>
  </si>
  <si>
    <t>https://www.amazon.com/-/es/ProCase-Lenovo-pulgadas-TB311FU-TB311XU/dp/B0DY7FXXBC?th=1</t>
  </si>
  <si>
    <t>No se compra</t>
  </si>
  <si>
    <t>TEC-117.2</t>
  </si>
  <si>
    <t>CABLE DE CONEXIÓN USB (1 UND)</t>
  </si>
  <si>
    <t>USB-C</t>
  </si>
  <si>
    <t>https://www.falabella.com.pe/falabella-pe/product/118529547/Cable-usb-tipo-c-carga-rapida-24a-ultra-durabilidad-nylon/118529549?kid=shopp44fc&amp;gclsrc=aw.ds&amp;gad_source=1&amp;gad_campaignid=20114538213&amp;gbraid=0AAAAADs9MO0Sn2urOoC5KlT0gE7iByXNI&amp;gclid=Cj0KCQiAq7HIBhDoARIsAOATDxBaAvznZ5nEmflUxGaDGXQyQnrcHbqLgqYQIg6C4fsWhhlDm8OqDW4aAmH1EALw_wcB</t>
  </si>
  <si>
    <t>NO se compra</t>
  </si>
  <si>
    <t>TEC-118</t>
  </si>
  <si>
    <t>TABLETA GRÁFICA PORTÁTIL</t>
  </si>
  <si>
    <t>XP-Pen</t>
  </si>
  <si>
    <t>Pantalla Grafica XPPen Artist 15.6 Pro</t>
  </si>
  <si>
    <t>https://todotec.com.pe/products/pantalla-grafica-xppen-artist-15-6-pro?srsltid=AfmBOopx98TWDyEYh1EKEUSoi0AWCXGgWD52r-JgkTXkl9ZvGakiI8wZ</t>
  </si>
  <si>
    <t>TEC-118 TABLETA GRÁFICA PORTÁTIL - CET</t>
  </si>
  <si>
    <t>Artist 15.6 Pro V2</t>
  </si>
  <si>
    <t>https://www.xp-pen.com/la-clstore/buy/artist-156-pro-v2.html</t>
  </si>
  <si>
    <t>JIMENA</t>
  </si>
  <si>
    <t>TEC-118.1</t>
  </si>
  <si>
    <t>ADAPTADOR 3 EN 1 - ENTRADA USB TIPO A SALIDA TIPO C + 2 MÁS (1 UND)</t>
  </si>
  <si>
    <t>ADAPTADOR USB TIPO A A TIPO C</t>
  </si>
  <si>
    <t>RECATEGORIZACIÓN DE MOB-PEDAG</t>
  </si>
  <si>
    <t>CANT ENGLOBE</t>
  </si>
  <si>
    <t>INCLUYE ACCESORIO? (sì / no)</t>
  </si>
  <si>
    <t>Comprador</t>
  </si>
  <si>
    <t>MOBILIARIO</t>
  </si>
  <si>
    <t>COM-129</t>
  </si>
  <si>
    <t>CARRITOS PARA TRANSPORTE DE EQUIPOS</t>
  </si>
  <si>
    <t>COM-129 CARRITOS PARA TRANSPORTE DE EQUIPOS - CET</t>
  </si>
  <si>
    <t>DENIOS</t>
  </si>
  <si>
    <t>https://www.denios.es/carrito-multiusos-en-plastico-tubos-de-aluminio-cepillado-2-pisos-180037/180037?13=1</t>
  </si>
  <si>
    <t>COM-132</t>
  </si>
  <si>
    <t>CARRO PORTA BANDEJAS</t>
  </si>
  <si>
    <t>COM-132  CARRO PORTA BANDEJAS - CET</t>
  </si>
  <si>
    <t>IRIMAR</t>
  </si>
  <si>
    <t>CB-156040</t>
  </si>
  <si>
    <t>https://www.equipoh.com/mobiliario-de-acero-inoxidable/carro-bandejero-de-panaderia-simple-irimar-1965.html?srsltid=AfmBOoqyjSijjxwMdLLeCVv7JVbln4YFZUMtkSHobk_fxbVHsOmvkM01</t>
  </si>
  <si>
    <t>COM-133</t>
  </si>
  <si>
    <t>CARRO PORTA HERRAMIENTAS</t>
  </si>
  <si>
    <t>COM-133 CARRO PORTA HERRAMIENTAS - CET</t>
  </si>
  <si>
    <t>https://www.promart.pe/carro-de-servicio-porta-herramientas-con-3-niveles-truper-11528-1000365598/p?gad_source=1&amp;gad_campaignid=17392014661&amp;gbraid=0AAAAADJIfALRcE3f16KPw_ELhMbCuZ0gE&amp;gclid...</t>
  </si>
  <si>
    <t>COM-202</t>
  </si>
  <si>
    <t>LAVAMANO DE ACERO INOXIDABLE</t>
  </si>
  <si>
    <t>COM-202 LAVAMANO DE ACERO INOXIDABLE - CET</t>
  </si>
  <si>
    <t>Grupo Inoxchef</t>
  </si>
  <si>
    <t>Lavamanos a Pedal Fijo</t>
  </si>
  <si>
    <t>https://mizar.pe/collections/lavamanos-y-trampa-nacionales/products/lavamanos-a-pedal-fijo</t>
  </si>
  <si>
    <t>COM-223</t>
  </si>
  <si>
    <t>MAQUETA EN ALTO RELIEVE DE LA ANATOMÍA DEL TRONCO DE ÁRBOL</t>
  </si>
  <si>
    <t>COM-223 MAQUETA EN ALTO RELIEVE DE LA ANATOMÍA DEL TRONCO DE ÁRBOL- CET</t>
  </si>
  <si>
    <t>COM-227</t>
  </si>
  <si>
    <t>MESA DE APOYO PARA LOS EQUIPOS MOVILES</t>
  </si>
  <si>
    <t>COM-227 MESA DE APOYO PARA LOS EQUIPOS MOVILES - CET</t>
  </si>
  <si>
    <t xml:space="preserve">Queralto		</t>
  </si>
  <si>
    <t>Mesa Auxiliar</t>
  </si>
  <si>
    <t>https://www.queralto.com/17232-mesa-auxiliar-anestesia-1-cajon-bandeja-superior-estante-inferior-acero-inoxidable-4-ruedas.html</t>
  </si>
  <si>
    <t>MESA GUIA PARA SIERRA CALADORA</t>
  </si>
  <si>
    <t>Wolfcraft</t>
  </si>
  <si>
    <t>https://www.electronicamaher.com/mesa-para-sierra-de-calar-6197000-wolfcraft</t>
  </si>
  <si>
    <t>COM-230</t>
  </si>
  <si>
    <t>MESA PARA PLANCHAR</t>
  </si>
  <si>
    <t>COM-230 MESA PARA PLANCHAR - CET</t>
  </si>
  <si>
    <t>Sodimac / Tri-Tiger</t>
  </si>
  <si>
    <t>626244 / TT-IB007</t>
  </si>
  <si>
    <t>https://www.homecenter.com.co/homecenter-co/product/626244/mesa-de-planchar-florence-blanca/626244/</t>
  </si>
  <si>
    <t>PEDAGOGICO</t>
  </si>
  <si>
    <t>COM-232</t>
  </si>
  <si>
    <t>JUEGO DE MODELOS DE UNIONES DESARMABLES A ESCALA (ENSAMBLES, JUNTAS Y EMPALM</t>
  </si>
  <si>
    <t>COM-232 JUEGO DE MODELOS DE UNIONES DESARMABLES A ESCALA (ENSAMBLES, JUNTAS Y EMPALMES) - CET</t>
  </si>
  <si>
    <t>COM-233</t>
  </si>
  <si>
    <t>JUEGO DE MODELOS MUEBLES A ESCALA PARA DIBUJAR PROYECCIONES (ISOMÉTRICAS, ORT</t>
  </si>
  <si>
    <t>COM-233 JUEGO DE MODELOS MUEBLES A ESCALA PARA DIBUJAR PROYECCIONES (ISOMÉTRICAS, ORTOGONALES Y CORTES) - CET</t>
  </si>
  <si>
    <t>COM-234</t>
  </si>
  <si>
    <t>JUEGO DE MODELOS DE PIEZAS.</t>
  </si>
  <si>
    <t>COM-234 JUEGO DE MODELOS DE PIEZAS - CET</t>
  </si>
  <si>
    <t>COM-235</t>
  </si>
  <si>
    <t>JUEGO DE MODELOS PIEZAS MECÁNICAS (SOLIDOS) A ESCALA PARA DIBUJAR PROYECCIONES</t>
  </si>
  <si>
    <t>COM-235 JUEGO DE MODELOS PIEZAS MECÁNICAS (SOLIDOS) A ESCALA PARA DIBUJAR PROYECCIONES - CET</t>
  </si>
  <si>
    <t>COM-261</t>
  </si>
  <si>
    <t>POZA DE LAVADO Y DESINFECCIÓN</t>
  </si>
  <si>
    <t>https://docs.google.com/spreadsheets/d/13dbRSxDHK8jEfrKgxArWgPZ6EP6Eik0XF3jxrzprYTY/edit?gid=0#gid=0</t>
  </si>
  <si>
    <t>LINOX</t>
  </si>
  <si>
    <t>Lavadero industrial de 1 poza</t>
  </si>
  <si>
    <t>AVANCE DE VALIDACIÓN DE EQUIPOS</t>
  </si>
  <si>
    <t>POR DESGLOSAR</t>
  </si>
  <si>
    <t>EQUIPOS DESGLOSADOS</t>
  </si>
  <si>
    <t>% AVANCE</t>
  </si>
  <si>
    <t>COUNTA</t>
  </si>
  <si>
    <t>GENERAL</t>
  </si>
  <si>
    <t>Suma total</t>
  </si>
  <si>
    <t>AVANCE DE VALIDACIÓN DE HERRAMIENTAS</t>
  </si>
  <si>
    <t>COUNTUNIQUE de CÓDIGO INTERNO (EETT)</t>
  </si>
  <si>
    <t>AVANCE DE VALIDACIÓN DE TICS</t>
  </si>
  <si>
    <t>}</t>
  </si>
  <si>
    <t>CÓDIGO</t>
  </si>
  <si>
    <t>CÓDIGO INTERNO</t>
  </si>
  <si>
    <t>GWS 12-125 P</t>
  </si>
  <si>
    <t>https://drive.google.com/file/d/1_exvP7jznv9EySWVrMDYLV4xhojR53FM/view</t>
  </si>
  <si>
    <t>GWINSTEK</t>
  </si>
  <si>
    <t>GSP-730</t>
  </si>
  <si>
    <t>https://www.gwinstek.com/en-US/products/detail/GSP-730</t>
  </si>
  <si>
    <t>BRAIN BEE</t>
  </si>
  <si>
    <t>AGS-688</t>
  </si>
  <si>
    <t>http://google.com/search?q=BRAIN+BEE+AGS-688&amp;rlz=1C1CHBD_esPE1168PE1168&amp;oq=BRAIN+BEE+AGS-688&amp;gs_lcrp=EgZjaHJvbWUyBggAEEUYOTIICAEQABgWGB4yCAgCEAAYFhgeMggIAxAAGBYYHjIICAQQABgWGB4yBggFEEUYPDIGCAYQRRg8MgYIBxBFGD3SAQgxMzcwajBqN6gCALACAA&amp;sourceid=chrome&amp;ie=UTF-8</t>
  </si>
  <si>
    <t>GSB 12V-30</t>
  </si>
  <si>
    <t>https://www.pe.tiendaboschonline.com/taladro-percutor-3-8-bosch-gsb-12v-30-12v-2-baterias-y-maletin/p</t>
  </si>
  <si>
    <t>JAMPAR</t>
  </si>
  <si>
    <t>FSF-18LDJ</t>
  </si>
  <si>
    <t>https://www.appsheet.com/template/gettablefileurl?appName=APPDISTRIBUIDORES-2753577&amp;tableName=RECURSOS&amp;fileName=RECURSOS_Files_%2F186040010.DOC_INSERTO_SAP.140232.pdf</t>
  </si>
  <si>
    <t>OHAUS</t>
  </si>
  <si>
    <t>Valor™ 4001</t>
  </si>
  <si>
    <t>https://eu-es.ohaus.com/es-eu/products/balances-scales/bench-scales/valor-4000/v41xwe3t</t>
  </si>
  <si>
    <t>OPALUX</t>
  </si>
  <si>
    <t>https://opalux.lifestore.pe/producto/balanza-electronica-digital-de-mesa-40kgs-opalux-lcd-recargable-con-brazo-y-bateria-4v4ah-220v/</t>
  </si>
  <si>
    <t>Precisur.</t>
  </si>
  <si>
    <t>BRD.</t>
  </si>
  <si>
    <t>https://lacasadelabalanzaperu.com/producto/balanza-gramera-brd-de-5-kilos/?srsltid=AfmBOoqESFO4ybWNXMKI8ni8CSFROATsEcEQxFdxgt7due_hwv2yVsh2</t>
  </si>
  <si>
    <t>Torrey</t>
  </si>
  <si>
    <t>PCR – 40T</t>
  </si>
  <si>
    <t>https://balanzasprecisur.com/balanzas-comerciales/balanza-torrey-pcr-40t-de-40-kilos/</t>
  </si>
  <si>
    <t>BÁSCULA ELECTRONICA 500G</t>
  </si>
  <si>
    <t>https://www.truper.com/ficha_tecnica/Bascula-digital-de-precision-de-bolsillo-500g-Truper.html?code=102316</t>
  </si>
  <si>
    <t>SINMAG</t>
  </si>
  <si>
    <t>SM-401</t>
  </si>
  <si>
    <t>https://www.sinmag.com/en/prodetails/136/511.html</t>
  </si>
  <si>
    <t>VIKALE</t>
  </si>
  <si>
    <t>B5HH-983</t>
  </si>
  <si>
    <t>https://www.maquinaelectroperu.com/vikale-b5hh-983/vikale-b5hh-983/</t>
  </si>
  <si>
    <t>BIOLOMIX</t>
  </si>
  <si>
    <t>BM601</t>
  </si>
  <si>
    <t>https://drive.google.com/file/d/1Ti61n5CvjYbERQd_WBKo61P__TL78SWh/view?usp=sharing</t>
  </si>
  <si>
    <t>LADN40</t>
  </si>
  <si>
    <t>https://www.se.com/pe/es/product/LADN40/bloque-de-contacto-auxiliar-tesys-d-4-na-terminales-de-abrazaderas-de-tornillo/</t>
  </si>
  <si>
    <t>INNOV-IS V5LE</t>
  </si>
  <si>
    <t>https://sewingcraft.brother.eu/en/products/machines/combination-machines/combination-machines/innov-is-v5le</t>
  </si>
  <si>
    <t>EAO</t>
  </si>
  <si>
    <t>BOTON PULSADOR INDUSTRIAL, SERIE 45, 22MM</t>
  </si>
  <si>
    <t>https://mexico.newark.com/eao/45-1231-31e6-000-101/illum-industrial-pb-sw-spst-10a/dp/98Y4507</t>
  </si>
  <si>
    <t>NUPRINOX</t>
  </si>
  <si>
    <t>https://www.amazon.com/-/es/soldadura-pulgadas-industrial-capacidad-port%C3%A1til/dp/B0DDPVR3L1</t>
  </si>
  <si>
    <t>DIB091E50</t>
  </si>
  <si>
    <t>https://www.bosch-home.pe/electrodomesticos/DIB091E50#/Tabs=section-technicalspecs/Togglebox=manuals/</t>
  </si>
  <si>
    <t>B&amp;K Precision</t>
  </si>
  <si>
    <t>879B</t>
  </si>
  <si>
    <t>https://www.bkprecision.com/products/component-testers/879B</t>
  </si>
  <si>
    <t>TELWIN</t>
  </si>
  <si>
    <t xml:space="preserve">SPRINTER 4000 START 230V 12-24V		</t>
  </si>
  <si>
    <t>https://drive.google.com/file/d/1_jn_UgeZqoo6IhAYYliXXq72AL2uHU93/view?usp=sharing</t>
  </si>
  <si>
    <t>CAUTÍN ELÉCTRICO 220V - 30W TIPO LAPICERO DE MADERA</t>
  </si>
  <si>
    <t>METALLKRAFT</t>
  </si>
  <si>
    <t>TBS 1051-20</t>
  </si>
  <si>
    <t>https://dimmtex.com/cizalla-manual-metal/cizalla-manual-tbs-1051-20.html</t>
  </si>
  <si>
    <t>COCINA SOBREMESA INDUSTRIAL DE 1 HORNILLA</t>
  </si>
  <si>
    <t>https://linoxperu.com/producto/cocina-sobremesa-industrial-de-1-hornilla/?utm_source=chatgpt.com</t>
  </si>
  <si>
    <t>PORTOFINO CPF9IPOR</t>
  </si>
  <si>
    <t>https://www.smeguk.com/products/CPF9IPOR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</si>
</sst>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
    <numFmt numFmtId="165" formatCode="d/m"/>
    <numFmt numFmtId="166" formatCode="[$S/. ]#,##0.00"/>
    <numFmt numFmtId="167" formatCode="&quot;$&quot;#,##0.00"/>
    <numFmt numFmtId="168" formatCode="&quot;S/&quot;#,##0.00;[Red]&quot;S/&quot;#,##0.00"/>
  </numFmts>
  <fonts count="61">
    <font>
      <sz val="10.0"/>
      <color rgb="FF000000"/>
      <name val="Arial"/>
      <scheme val="minor"/>
    </font>
    <font>
      <color theme="1"/>
      <name val="Roboto"/>
    </font>
    <font>
      <b/>
      <sz val="8.0"/>
      <color rgb="FFFFFFFF"/>
      <name val="Roboto"/>
    </font>
    <font>
      <b/>
      <sz val="8.0"/>
      <color rgb="FF000000"/>
      <name val="Roboto"/>
    </font>
    <font>
      <b/>
      <sz val="8.0"/>
      <color theme="1"/>
      <name val="Roboto"/>
    </font>
    <font>
      <b/>
      <sz val="17.0"/>
      <color theme="1"/>
      <name val="Roboto"/>
    </font>
    <font>
      <sz val="8.0"/>
      <color theme="1"/>
      <name val="Roboto"/>
    </font>
    <font/>
    <font>
      <u/>
      <sz val="8.0"/>
      <color theme="1"/>
      <name val="Roboto"/>
    </font>
    <font>
      <u/>
      <sz val="8.0"/>
      <color rgb="FF0000FF"/>
      <name val="Roboto"/>
    </font>
    <font>
      <u/>
      <sz val="8.0"/>
      <color rgb="FF0000FF"/>
      <name val="Roboto"/>
    </font>
    <font>
      <u/>
      <sz val="8.0"/>
      <color rgb="FF0000FF"/>
      <name val="Roboto"/>
    </font>
    <font>
      <u/>
      <sz val="8.0"/>
      <color rgb="FF0000FF"/>
      <name val="Roboto"/>
    </font>
    <font>
      <sz val="8.0"/>
      <color rgb="FF000000"/>
      <name val="Roboto"/>
    </font>
    <font>
      <u/>
      <sz val="8.0"/>
      <color rgb="FF0000FF"/>
      <name val="Roboto"/>
    </font>
    <font>
      <u/>
      <sz val="8.0"/>
      <color rgb="FF0000FF"/>
      <name val="Roboto"/>
    </font>
    <font>
      <u/>
      <sz val="8.0"/>
      <color rgb="FF0000FF"/>
      <name val="Roboto"/>
    </font>
    <font>
      <u/>
      <sz val="8.0"/>
      <color rgb="FF0000FF"/>
      <name val="Roboto"/>
    </font>
    <font>
      <u/>
      <sz val="8.0"/>
      <color rgb="FF0000FF"/>
      <name val="Roboto"/>
    </font>
    <font>
      <u/>
      <sz val="8.0"/>
      <color rgb="FF0000FF"/>
      <name val="Roboto"/>
    </font>
    <font>
      <sz val="8.0"/>
      <color rgb="FFFF9900"/>
      <name val="Roboto"/>
    </font>
    <font>
      <u/>
      <sz val="8.0"/>
      <color rgb="FF0000FF"/>
      <name val="Roboto"/>
    </font>
    <font>
      <u/>
      <sz val="8.0"/>
      <color rgb="FFFF9900"/>
      <name val="Roboto"/>
    </font>
    <font>
      <sz val="8.0"/>
      <color rgb="FFFF0000"/>
      <name val="Roboto"/>
    </font>
    <font>
      <u/>
      <sz val="8.0"/>
      <color rgb="FF1155CC"/>
      <name val="Roboto"/>
    </font>
    <font>
      <u/>
      <sz val="8.0"/>
      <color theme="1"/>
      <name val="Roboto"/>
    </font>
    <font>
      <sz val="8.0"/>
      <color rgb="FF777777"/>
      <name val="Roboto"/>
    </font>
    <font>
      <u/>
      <sz val="8.0"/>
      <color rgb="FF1155CC"/>
      <name val="Roboto"/>
    </font>
    <font>
      <u/>
      <sz val="8.0"/>
      <color theme="1"/>
      <name val="Roboto"/>
    </font>
    <font>
      <u/>
      <sz val="8.0"/>
      <color theme="1"/>
      <name val="Roboto"/>
    </font>
    <font>
      <u/>
      <sz val="8.0"/>
      <color rgb="FF000000"/>
      <name val="Roboto"/>
    </font>
    <font>
      <u/>
      <sz val="8.0"/>
      <color rgb="FF000000"/>
      <name val="Roboto"/>
    </font>
    <font>
      <u/>
      <sz val="8.0"/>
      <color rgb="FF000000"/>
      <name val="Roboto"/>
    </font>
    <font>
      <u/>
      <sz val="8.0"/>
      <color rgb="FF0000FF"/>
      <name val="Roboto"/>
    </font>
    <font>
      <u/>
      <sz val="10.0"/>
      <color rgb="FF0000FF"/>
      <name val="Corbel"/>
    </font>
    <font>
      <u/>
      <sz val="8.0"/>
      <color rgb="FF0000FF"/>
      <name val="Roboto"/>
    </font>
    <font>
      <u/>
      <sz val="8.0"/>
      <color rgb="FF0000FF"/>
      <name val="Roboto"/>
    </font>
    <font>
      <u/>
      <sz val="8.0"/>
      <color rgb="FF0000FF"/>
      <name val="Roboto"/>
    </font>
    <font>
      <u/>
      <sz val="8.0"/>
      <color rgb="FF0000FF"/>
      <name val="Roboto"/>
    </font>
    <font>
      <u/>
      <sz val="8.0"/>
      <color rgb="FF0000FF"/>
      <name val="Roboto"/>
    </font>
    <font>
      <u/>
      <sz val="8.0"/>
      <color rgb="FF0000FF"/>
      <name val="Roboto"/>
    </font>
    <font>
      <u/>
      <sz val="8.0"/>
      <color rgb="FF0000FF"/>
      <name val="Roboto"/>
    </font>
    <font>
      <u/>
      <sz val="8.0"/>
      <color rgb="FF0000FF"/>
      <name val="Roboto"/>
    </font>
    <font>
      <sz val="9.0"/>
      <color theme="1"/>
      <name val="Arial"/>
      <scheme val="minor"/>
    </font>
    <font>
      <color theme="1"/>
      <name val="Arial"/>
      <scheme val="minor"/>
    </font>
    <font>
      <u/>
      <sz val="8.0"/>
      <color rgb="FF0000FF"/>
      <name val="Roboto"/>
    </font>
    <font>
      <u/>
      <sz val="8.0"/>
      <color theme="1"/>
      <name val="Roboto"/>
    </font>
    <font>
      <u/>
      <sz val="8.0"/>
      <color theme="1"/>
      <name val="Roboto"/>
    </font>
    <font>
      <u/>
      <sz val="8.0"/>
      <color theme="1"/>
      <name val="Roboto"/>
    </font>
    <font>
      <sz val="8.0"/>
      <color theme="1"/>
      <name val="Arial"/>
      <scheme val="minor"/>
    </font>
    <font>
      <b/>
      <sz val="8.0"/>
      <color rgb="FF666666"/>
      <name val="Roboto"/>
    </font>
    <font>
      <u/>
      <sz val="8.0"/>
      <color theme="1"/>
      <name val="Roboto"/>
    </font>
    <font>
      <b/>
      <sz val="12.0"/>
      <color theme="1"/>
      <name val="Roboto"/>
    </font>
    <font>
      <b/>
      <color theme="1"/>
      <name val="Roboto"/>
    </font>
    <font>
      <color theme="1"/>
      <name val="Times New Roman"/>
    </font>
    <font>
      <b/>
      <color rgb="FFFFFFFF"/>
      <name val="Roboto"/>
    </font>
    <font>
      <u/>
      <sz val="8.0"/>
      <color rgb="FF0000FF"/>
      <name val="Roboto"/>
    </font>
    <font>
      <u/>
      <sz val="8.0"/>
      <color rgb="FF0000FF"/>
      <name val="Roboto"/>
    </font>
    <font>
      <u/>
      <sz val="8.0"/>
      <color rgb="FF0000FF"/>
      <name val="Roboto"/>
    </font>
    <font>
      <b/>
      <color rgb="FFFFFFFF"/>
      <name val="Arial"/>
      <scheme val="minor"/>
    </font>
    <font>
      <u/>
      <color rgb="FF0000FF"/>
    </font>
  </fonts>
  <fills count="28">
    <fill>
      <patternFill patternType="none"/>
    </fill>
    <fill>
      <patternFill patternType="lightGray"/>
    </fill>
    <fill>
      <patternFill patternType="solid">
        <fgColor rgb="FFF6B26B"/>
        <bgColor rgb="FFF6B26B"/>
      </patternFill>
    </fill>
    <fill>
      <patternFill patternType="solid">
        <fgColor rgb="FFC8DA86"/>
        <bgColor rgb="FFC8DA86"/>
      </patternFill>
    </fill>
    <fill>
      <patternFill patternType="solid">
        <fgColor rgb="FF98D1DE"/>
        <bgColor rgb="FF98D1DE"/>
      </patternFill>
    </fill>
    <fill>
      <patternFill patternType="solid">
        <fgColor rgb="FF434343"/>
        <bgColor rgb="FF434343"/>
      </patternFill>
    </fill>
    <fill>
      <patternFill patternType="solid">
        <fgColor rgb="FF741B47"/>
        <bgColor rgb="FF741B47"/>
      </patternFill>
    </fill>
    <fill>
      <patternFill patternType="solid">
        <fgColor rgb="FFFFFFFF"/>
        <bgColor rgb="FFFFFFFF"/>
      </patternFill>
    </fill>
    <fill>
      <patternFill patternType="solid">
        <fgColor rgb="FFEA9999"/>
        <bgColor rgb="FFEA9999"/>
      </patternFill>
    </fill>
    <fill>
      <patternFill patternType="solid">
        <fgColor rgb="FF00FFFF"/>
        <bgColor rgb="FF00FFFF"/>
      </patternFill>
    </fill>
    <fill>
      <patternFill patternType="solid">
        <fgColor rgb="FFF9CB9C"/>
        <bgColor rgb="FFF9CB9C"/>
      </patternFill>
    </fill>
    <fill>
      <patternFill patternType="solid">
        <fgColor theme="0"/>
        <bgColor theme="0"/>
      </patternFill>
    </fill>
    <fill>
      <patternFill patternType="solid">
        <fgColor rgb="FFE06666"/>
        <bgColor rgb="FFE06666"/>
      </patternFill>
    </fill>
    <fill>
      <patternFill patternType="solid">
        <fgColor rgb="FFFFFF00"/>
        <bgColor rgb="FFFFFF00"/>
      </patternFill>
    </fill>
    <fill>
      <patternFill patternType="solid">
        <fgColor rgb="FFD9EAD3"/>
        <bgColor rgb="FFD9EAD3"/>
      </patternFill>
    </fill>
    <fill>
      <patternFill patternType="solid">
        <fgColor rgb="FFEFEFEF"/>
        <bgColor rgb="FFEFEFEF"/>
      </patternFill>
    </fill>
    <fill>
      <patternFill patternType="solid">
        <fgColor rgb="FFFF0000"/>
        <bgColor rgb="FFFF0000"/>
      </patternFill>
    </fill>
    <fill>
      <patternFill patternType="solid">
        <fgColor rgb="FFF4CCCC"/>
        <bgColor rgb="FFF4CCCC"/>
      </patternFill>
    </fill>
    <fill>
      <patternFill patternType="solid">
        <fgColor rgb="FF90C9AE"/>
        <bgColor rgb="FF90C9AE"/>
      </patternFill>
    </fill>
    <fill>
      <patternFill patternType="solid">
        <fgColor rgb="FFC6B7E6"/>
        <bgColor rgb="FFC6B7E6"/>
      </patternFill>
    </fill>
    <fill>
      <patternFill patternType="solid">
        <fgColor rgb="FFCD678D"/>
        <bgColor rgb="FFCD678D"/>
      </patternFill>
    </fill>
    <fill>
      <patternFill patternType="solid">
        <fgColor rgb="FF00FF00"/>
        <bgColor rgb="FF00FF00"/>
      </patternFill>
    </fill>
    <fill>
      <patternFill patternType="solid">
        <fgColor rgb="FFB6D7A8"/>
        <bgColor rgb="FFB6D7A8"/>
      </patternFill>
    </fill>
    <fill>
      <patternFill patternType="solid">
        <fgColor rgb="FF666666"/>
        <bgColor rgb="FF666666"/>
      </patternFill>
    </fill>
    <fill>
      <patternFill patternType="solid">
        <fgColor rgb="FF557648"/>
        <bgColor rgb="FF557648"/>
      </patternFill>
    </fill>
    <fill>
      <patternFill patternType="solid">
        <fgColor rgb="FF6883A4"/>
        <bgColor rgb="FF6883A4"/>
      </patternFill>
    </fill>
    <fill>
      <patternFill patternType="solid">
        <fgColor rgb="FFDDE8D9"/>
        <bgColor rgb="FFDDE8D9"/>
      </patternFill>
    </fill>
    <fill>
      <patternFill patternType="solid">
        <fgColor rgb="FFF4F7F2"/>
        <bgColor rgb="FFF4F7F2"/>
      </patternFill>
    </fill>
  </fills>
  <borders count="16">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
      <bottom style="medium">
        <color rgb="FF557648"/>
      </bottom>
    </border>
    <border>
      <bottom style="thin">
        <color rgb="FF6883A4"/>
      </bottom>
    </border>
    <border>
      <right style="thin">
        <color rgb="FF000000"/>
      </right>
      <bottom style="thin">
        <color rgb="FF000000"/>
      </bottom>
    </border>
    <border>
      <right style="thin">
        <color rgb="FF000000"/>
      </right>
      <top style="thin">
        <color rgb="FF000000"/>
      </top>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229">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vertical="center"/>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shrinkToFit="0" vertical="center" wrapText="0"/>
    </xf>
    <xf borderId="0" fillId="0" fontId="2" numFmtId="0" xfId="0" applyAlignment="1" applyFont="1">
      <alignment horizontal="center" shrinkToFit="0" vertical="center" wrapText="1"/>
    </xf>
    <xf borderId="0" fillId="0" fontId="2" numFmtId="0" xfId="0" applyAlignment="1" applyFont="1">
      <alignment horizontal="center" shrinkToFit="0" vertical="center" wrapText="0"/>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0"/>
    </xf>
    <xf borderId="0" fillId="0" fontId="3" numFmtId="0" xfId="0" applyAlignment="1" applyFont="1">
      <alignment horizontal="left" readingOrder="0" shrinkToFit="0" vertical="center" wrapText="1"/>
    </xf>
    <xf borderId="0" fillId="0" fontId="4" numFmtId="0" xfId="0" applyAlignment="1" applyFont="1">
      <alignment horizontal="center" shrinkToFit="0" vertical="center" wrapText="1"/>
    </xf>
    <xf borderId="0" fillId="0" fontId="5" numFmtId="0" xfId="0" applyAlignment="1" applyFont="1">
      <alignment readingOrder="0" shrinkToFit="0" vertical="center" wrapText="0"/>
    </xf>
    <xf borderId="0" fillId="0" fontId="6" numFmtId="0" xfId="0" applyAlignment="1" applyFont="1">
      <alignment vertical="center"/>
    </xf>
    <xf borderId="1" fillId="2" fontId="3" numFmtId="0" xfId="0" applyAlignment="1" applyBorder="1" applyFill="1" applyFont="1">
      <alignment horizontal="center" readingOrder="0" shrinkToFit="0" vertical="center" wrapText="1"/>
    </xf>
    <xf borderId="2" fillId="0" fontId="7" numFmtId="0" xfId="0" applyBorder="1" applyFont="1"/>
    <xf borderId="3" fillId="0" fontId="7" numFmtId="0" xfId="0" applyBorder="1" applyFont="1"/>
    <xf borderId="1" fillId="3" fontId="4"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0" fillId="4" fontId="3" numFmtId="0" xfId="0" applyAlignment="1" applyFont="1">
      <alignment horizontal="center" readingOrder="0" shrinkToFit="0" vertical="center" wrapText="1"/>
    </xf>
    <xf borderId="4" fillId="5" fontId="2" numFmtId="0" xfId="0" applyAlignment="1" applyBorder="1" applyFill="1" applyFont="1">
      <alignment horizontal="center" readingOrder="0" shrinkToFit="0" vertical="center" wrapText="1"/>
    </xf>
    <xf borderId="4" fillId="2" fontId="3" numFmtId="0" xfId="0" applyAlignment="1" applyBorder="1" applyFont="1">
      <alignment horizontal="center" shrinkToFit="0" vertical="center" wrapText="1"/>
    </xf>
    <xf borderId="4" fillId="3" fontId="4"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0"/>
    </xf>
    <xf borderId="4" fillId="4" fontId="3" numFmtId="0" xfId="0" applyAlignment="1" applyBorder="1" applyFont="1">
      <alignment horizontal="center" readingOrder="0" shrinkToFit="0" vertical="center" wrapText="1"/>
    </xf>
    <xf borderId="4" fillId="6" fontId="2" numFmtId="0" xfId="0" applyAlignment="1" applyBorder="1" applyFill="1" applyFont="1">
      <alignment horizontal="center" readingOrder="0" shrinkToFit="0" vertical="center" wrapText="1"/>
    </xf>
    <xf borderId="4" fillId="7" fontId="6" numFmtId="0" xfId="0" applyAlignment="1" applyBorder="1" applyFill="1" applyFont="1">
      <alignment horizontal="center" readingOrder="0" shrinkToFit="0" vertical="center" wrapText="1"/>
    </xf>
    <xf borderId="4" fillId="7" fontId="6" numFmtId="0" xfId="0" applyAlignment="1" applyBorder="1" applyFont="1">
      <alignment horizontal="center" vertical="center"/>
    </xf>
    <xf borderId="4" fillId="7" fontId="6" numFmtId="0" xfId="0" applyAlignment="1" applyBorder="1" applyFont="1">
      <alignment horizontal="left" shrinkToFit="0" vertical="center" wrapText="1"/>
    </xf>
    <xf borderId="4" fillId="0" fontId="6" numFmtId="0" xfId="0" applyAlignment="1" applyBorder="1" applyFont="1">
      <alignment horizontal="center" shrinkToFit="0" vertical="center" wrapText="0"/>
    </xf>
    <xf borderId="4" fillId="7" fontId="8" numFmtId="0" xfId="0" applyAlignment="1" applyBorder="1" applyFont="1">
      <alignment horizontal="center" readingOrder="0" shrinkToFit="0" vertical="center" wrapText="0"/>
    </xf>
    <xf borderId="4" fillId="0" fontId="9" numFmtId="0" xfId="0" applyAlignment="1" applyBorder="1" applyFont="1">
      <alignment horizontal="center" shrinkToFit="0" vertical="center" wrapText="1"/>
    </xf>
    <xf borderId="4" fillId="7" fontId="6" numFmtId="0" xfId="0" applyAlignment="1" applyBorder="1" applyFont="1">
      <alignment horizontal="center" shrinkToFit="0" vertical="center" wrapText="0"/>
    </xf>
    <xf borderId="4" fillId="7" fontId="10" numFmtId="0" xfId="0" applyAlignment="1" applyBorder="1" applyFont="1">
      <alignment horizontal="left" shrinkToFit="0" vertical="center" wrapText="0"/>
    </xf>
    <xf borderId="4" fillId="0" fontId="6" numFmtId="0" xfId="0" applyAlignment="1" applyBorder="1" applyFont="1">
      <alignment readingOrder="0" vertical="center"/>
    </xf>
    <xf borderId="4" fillId="0" fontId="6" numFmtId="0" xfId="0" applyAlignment="1" applyBorder="1" applyFont="1">
      <alignment horizontal="center" readingOrder="0" shrinkToFit="0" vertical="center" wrapText="0"/>
    </xf>
    <xf borderId="4" fillId="0" fontId="11" numFmtId="0" xfId="0" applyAlignment="1" applyBorder="1" applyFont="1">
      <alignment horizontal="center" readingOrder="0" shrinkToFit="0" vertical="center" wrapText="0"/>
    </xf>
    <xf borderId="4" fillId="0" fontId="6" numFmtId="0" xfId="0" applyAlignment="1" applyBorder="1" applyFont="1">
      <alignment horizontal="center" vertical="center"/>
    </xf>
    <xf borderId="4" fillId="0" fontId="6" numFmtId="0" xfId="0" applyAlignment="1" applyBorder="1" applyFont="1">
      <alignment horizontal="left" shrinkToFit="0" vertical="center" wrapText="0"/>
    </xf>
    <xf borderId="4" fillId="0" fontId="6"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7" fontId="6" numFmtId="0" xfId="0" applyAlignment="1" applyBorder="1" applyFont="1">
      <alignment horizontal="left" shrinkToFit="0" vertical="center" wrapText="0"/>
    </xf>
    <xf borderId="4" fillId="7" fontId="6" numFmtId="0" xfId="0" applyAlignment="1" applyBorder="1" applyFont="1">
      <alignment horizontal="center" shrinkToFit="0" vertical="center" wrapText="1"/>
    </xf>
    <xf borderId="4" fillId="0" fontId="6" numFmtId="0" xfId="0" applyAlignment="1" applyBorder="1" applyFont="1">
      <alignment horizontal="center" readingOrder="0" shrinkToFit="0" vertical="center" wrapText="1"/>
    </xf>
    <xf borderId="4" fillId="0" fontId="6" numFmtId="0" xfId="0" applyAlignment="1" applyBorder="1" applyFont="1">
      <alignment vertical="center"/>
    </xf>
    <xf borderId="4" fillId="0" fontId="6" numFmtId="0" xfId="0" applyAlignment="1" applyBorder="1" applyFont="1">
      <alignment horizontal="left" shrinkToFit="0" vertical="center" wrapText="1"/>
    </xf>
    <xf borderId="4" fillId="7" fontId="12" numFmtId="0" xfId="0" applyAlignment="1" applyBorder="1" applyFont="1">
      <alignment horizontal="left" readingOrder="0" shrinkToFit="0" vertical="center" wrapText="0"/>
    </xf>
    <xf borderId="4" fillId="7" fontId="6" numFmtId="0" xfId="0" applyAlignment="1" applyBorder="1" applyFont="1">
      <alignment horizontal="left" shrinkToFit="0" vertical="center" wrapText="0"/>
    </xf>
    <xf borderId="4" fillId="7" fontId="13" numFmtId="0" xfId="0" applyAlignment="1" applyBorder="1" applyFont="1">
      <alignment horizontal="center" readingOrder="0" shrinkToFit="0" vertical="center" wrapText="1"/>
    </xf>
    <xf borderId="4" fillId="0" fontId="13" numFmtId="0" xfId="0" applyAlignment="1" applyBorder="1" applyFont="1">
      <alignment horizontal="left" readingOrder="0" shrinkToFit="0" vertical="center" wrapText="1"/>
    </xf>
    <xf borderId="4" fillId="7" fontId="13" numFmtId="0" xfId="0" applyAlignment="1" applyBorder="1" applyFont="1">
      <alignment horizontal="left" readingOrder="0" shrinkToFit="0" vertical="center" wrapText="0"/>
    </xf>
    <xf borderId="4" fillId="7" fontId="13" numFmtId="0" xfId="0" applyAlignment="1" applyBorder="1" applyFont="1">
      <alignment horizontal="center" shrinkToFit="0" vertical="center" wrapText="1"/>
    </xf>
    <xf borderId="4" fillId="0" fontId="13" numFmtId="0" xfId="0" applyAlignment="1" applyBorder="1" applyFont="1">
      <alignment horizontal="center" readingOrder="0" shrinkToFit="0" vertical="center" wrapText="0"/>
    </xf>
    <xf borderId="4" fillId="0" fontId="13" numFmtId="0" xfId="0" applyAlignment="1" applyBorder="1" applyFont="1">
      <alignment vertical="center"/>
    </xf>
    <xf borderId="4" fillId="7" fontId="6" numFmtId="0" xfId="0" applyAlignment="1" applyBorder="1" applyFont="1">
      <alignment horizontal="left" readingOrder="0" shrinkToFit="0" vertical="center" wrapText="0"/>
    </xf>
    <xf borderId="4" fillId="7" fontId="14" numFmtId="0" xfId="0" applyAlignment="1" applyBorder="1" applyFont="1">
      <alignment horizontal="left" readingOrder="0" shrinkToFit="0" vertical="center" wrapText="0"/>
    </xf>
    <xf borderId="4" fillId="0" fontId="15" numFmtId="0" xfId="0" applyAlignment="1" applyBorder="1" applyFont="1">
      <alignment readingOrder="0" vertical="center"/>
    </xf>
    <xf borderId="4" fillId="7" fontId="6" numFmtId="0" xfId="0" applyAlignment="1" applyBorder="1" applyFont="1">
      <alignment horizontal="left" readingOrder="0" shrinkToFit="0" vertical="center" wrapText="0"/>
    </xf>
    <xf borderId="4" fillId="0" fontId="16" numFmtId="0" xfId="0" applyAlignment="1" applyBorder="1" applyFont="1">
      <alignment readingOrder="0" vertical="center"/>
    </xf>
    <xf borderId="4" fillId="7" fontId="6" numFmtId="0" xfId="0" applyAlignment="1" applyBorder="1" applyFont="1">
      <alignment horizontal="center" readingOrder="0" vertical="center"/>
    </xf>
    <xf borderId="4" fillId="7" fontId="6" numFmtId="0" xfId="0" applyAlignment="1" applyBorder="1" applyFont="1">
      <alignment horizontal="center" shrinkToFit="0" vertical="center" wrapText="1"/>
    </xf>
    <xf borderId="4" fillId="7" fontId="6" numFmtId="0" xfId="0" applyAlignment="1" applyBorder="1" applyFont="1">
      <alignment horizontal="center" readingOrder="0" shrinkToFit="0" vertical="center" wrapText="0"/>
    </xf>
    <xf borderId="4" fillId="7" fontId="17" numFmtId="0" xfId="0" applyAlignment="1" applyBorder="1" applyFont="1">
      <alignment horizontal="left" shrinkToFit="0" vertical="center" wrapText="0"/>
    </xf>
    <xf borderId="4" fillId="8" fontId="6" numFmtId="0" xfId="0" applyAlignment="1" applyBorder="1" applyFill="1" applyFont="1">
      <alignment horizontal="center" readingOrder="0" vertical="center"/>
    </xf>
    <xf borderId="4" fillId="8" fontId="6" numFmtId="0" xfId="0" applyAlignment="1" applyBorder="1" applyFont="1">
      <alignment horizontal="left" readingOrder="0" shrinkToFit="0" vertical="center" wrapText="1"/>
    </xf>
    <xf borderId="4" fillId="8" fontId="6" numFmtId="0" xfId="0" applyAlignment="1" applyBorder="1" applyFont="1">
      <alignment horizontal="center" readingOrder="0" shrinkToFit="0" vertical="center" wrapText="1"/>
    </xf>
    <xf borderId="4" fillId="0" fontId="6" numFmtId="0" xfId="0" applyAlignment="1" applyBorder="1" applyFont="1">
      <alignment readingOrder="0" shrinkToFit="0" vertical="center" wrapText="1"/>
    </xf>
    <xf borderId="4" fillId="9" fontId="6" numFmtId="0" xfId="0" applyAlignment="1" applyBorder="1" applyFill="1" applyFont="1">
      <alignment horizontal="center" readingOrder="0" shrinkToFit="0" vertical="center" wrapText="0"/>
    </xf>
    <xf borderId="4" fillId="9" fontId="18" numFmtId="0" xfId="0" applyAlignment="1" applyBorder="1" applyFont="1">
      <alignment horizontal="center" readingOrder="0" shrinkToFit="0" vertical="center" wrapText="0"/>
    </xf>
    <xf borderId="4" fillId="9" fontId="19" numFmtId="0" xfId="0" applyAlignment="1" applyBorder="1" applyFont="1">
      <alignment readingOrder="0" vertical="center"/>
    </xf>
    <xf borderId="4" fillId="7" fontId="20" numFmtId="0" xfId="0" applyAlignment="1" applyBorder="1" applyFont="1">
      <alignment horizontal="center" shrinkToFit="0" vertical="center" wrapText="1"/>
    </xf>
    <xf borderId="0" fillId="0" fontId="6" numFmtId="0" xfId="0" applyAlignment="1" applyFont="1">
      <alignment horizontal="center" vertical="center"/>
    </xf>
    <xf borderId="4" fillId="0" fontId="6" numFmtId="0" xfId="0" applyAlignment="1" applyBorder="1" applyFont="1">
      <alignment horizontal="center" shrinkToFit="0" vertical="center" wrapText="0"/>
    </xf>
    <xf borderId="4" fillId="10" fontId="6" numFmtId="0" xfId="0" applyAlignment="1" applyBorder="1" applyFill="1" applyFont="1">
      <alignment horizontal="center" readingOrder="0" vertical="center"/>
    </xf>
    <xf borderId="4" fillId="10" fontId="6" numFmtId="0" xfId="0" applyAlignment="1" applyBorder="1" applyFont="1">
      <alignment horizontal="left" readingOrder="0" shrinkToFit="0" vertical="center" wrapText="1"/>
    </xf>
    <xf borderId="4" fillId="10" fontId="6" numFmtId="0" xfId="0" applyAlignment="1" applyBorder="1" applyFont="1">
      <alignment horizontal="center" readingOrder="0" shrinkToFit="0" vertical="center" wrapText="1"/>
    </xf>
    <xf borderId="4" fillId="0" fontId="21" numFmtId="0" xfId="0" applyAlignment="1" applyBorder="1" applyFont="1">
      <alignment horizontal="center" readingOrder="0" shrinkToFit="0" vertical="center" wrapText="0"/>
    </xf>
    <xf borderId="4" fillId="11" fontId="6" numFmtId="0" xfId="0" applyAlignment="1" applyBorder="1" applyFill="1" applyFont="1">
      <alignment horizontal="left" shrinkToFit="0" vertical="center" wrapText="0"/>
    </xf>
    <xf borderId="4" fillId="0" fontId="20" numFmtId="0" xfId="0" applyAlignment="1" applyBorder="1" applyFont="1">
      <alignment vertical="center"/>
    </xf>
    <xf borderId="4" fillId="0" fontId="20" numFmtId="0" xfId="0" applyAlignment="1" applyBorder="1" applyFont="1">
      <alignment horizontal="center" shrinkToFit="0" vertical="center" wrapText="0"/>
    </xf>
    <xf borderId="4" fillId="0" fontId="22" numFmtId="0" xfId="0" applyAlignment="1" applyBorder="1" applyFont="1">
      <alignment readingOrder="0" vertical="center"/>
    </xf>
    <xf borderId="4" fillId="7" fontId="23" numFmtId="0" xfId="0" applyAlignment="1" applyBorder="1" applyFont="1">
      <alignment horizontal="center" shrinkToFit="0" vertical="center" wrapText="1"/>
    </xf>
    <xf borderId="4" fillId="0" fontId="6" numFmtId="0" xfId="0" applyAlignment="1" applyBorder="1" applyFont="1">
      <alignment shrinkToFit="0" vertical="center" wrapText="1"/>
    </xf>
    <xf borderId="4" fillId="7" fontId="6" numFmtId="0" xfId="0" applyAlignment="1" applyBorder="1" applyFont="1">
      <alignment vertical="center"/>
    </xf>
    <xf borderId="4" fillId="7" fontId="6" numFmtId="0" xfId="0" applyAlignment="1" applyBorder="1" applyFont="1">
      <alignment vertical="center"/>
    </xf>
    <xf borderId="4" fillId="7" fontId="24" numFmtId="0" xfId="0" applyAlignment="1" applyBorder="1" applyFont="1">
      <alignment horizontal="left" shrinkToFit="0" vertical="center" wrapText="0"/>
    </xf>
    <xf borderId="4" fillId="7" fontId="25" numFmtId="0" xfId="0" applyAlignment="1" applyBorder="1" applyFont="1">
      <alignment horizontal="center" shrinkToFit="0" vertical="center" wrapText="0"/>
    </xf>
    <xf borderId="4" fillId="7" fontId="26" numFmtId="0" xfId="0" applyAlignment="1" applyBorder="1" applyFont="1">
      <alignment horizontal="left" shrinkToFit="0" vertical="center" wrapText="0"/>
    </xf>
    <xf borderId="4" fillId="7" fontId="27" numFmtId="0" xfId="0" applyAlignment="1" applyBorder="1" applyFont="1">
      <alignment horizontal="left" readingOrder="0" shrinkToFit="0" vertical="center" wrapText="0"/>
    </xf>
    <xf borderId="4" fillId="0" fontId="6" numFmtId="0" xfId="0" applyAlignment="1" applyBorder="1" applyFont="1">
      <alignment readingOrder="0" vertical="center"/>
    </xf>
    <xf borderId="4" fillId="7" fontId="28" numFmtId="0" xfId="0" applyAlignment="1" applyBorder="1" applyFont="1">
      <alignment horizontal="center" readingOrder="0" shrinkToFit="0" vertical="center" wrapText="1"/>
    </xf>
    <xf borderId="4" fillId="7" fontId="6" numFmtId="0" xfId="0" applyAlignment="1" applyBorder="1" applyFont="1">
      <alignment horizontal="center" readingOrder="0" shrinkToFit="0" vertical="center" wrapText="1"/>
    </xf>
    <xf borderId="4" fillId="7" fontId="13" numFmtId="0" xfId="0" applyAlignment="1" applyBorder="1" applyFont="1">
      <alignment horizontal="center" readingOrder="0" shrinkToFit="0" vertical="center" wrapText="0"/>
    </xf>
    <xf borderId="4" fillId="7" fontId="20" numFmtId="0" xfId="0" applyAlignment="1" applyBorder="1" applyFont="1">
      <alignment vertical="center"/>
    </xf>
    <xf borderId="4" fillId="7" fontId="13" numFmtId="0" xfId="0" applyAlignment="1" applyBorder="1" applyFont="1">
      <alignment horizontal="center" readingOrder="0" vertical="center"/>
    </xf>
    <xf borderId="4" fillId="0" fontId="29" numFmtId="0" xfId="0" applyAlignment="1" applyBorder="1" applyFont="1">
      <alignment horizontal="center" readingOrder="0" shrinkToFit="0" vertical="center" wrapText="0"/>
    </xf>
    <xf borderId="4" fillId="7" fontId="13" numFmtId="0" xfId="0" applyAlignment="1" applyBorder="1" applyFont="1">
      <alignment horizontal="center" vertical="center"/>
    </xf>
    <xf borderId="4" fillId="0" fontId="13" numFmtId="0" xfId="0" applyAlignment="1" applyBorder="1" applyFont="1">
      <alignment horizontal="center" readingOrder="0" vertical="center"/>
    </xf>
    <xf borderId="4" fillId="0" fontId="13" numFmtId="0" xfId="0" applyAlignment="1" applyBorder="1" applyFont="1">
      <alignment horizontal="center" readingOrder="0" shrinkToFit="0" vertical="center" wrapText="1"/>
    </xf>
    <xf borderId="4" fillId="7" fontId="13" numFmtId="0" xfId="0" applyAlignment="1" applyBorder="1" applyFont="1">
      <alignment horizontal="left" shrinkToFit="0" vertical="center" wrapText="0"/>
    </xf>
    <xf borderId="4" fillId="7" fontId="30" numFmtId="0" xfId="0" applyAlignment="1" applyBorder="1" applyFont="1">
      <alignment horizontal="left" readingOrder="0" shrinkToFit="0" vertical="center" wrapText="0"/>
    </xf>
    <xf borderId="4" fillId="7" fontId="31" numFmtId="0" xfId="0" applyAlignment="1" applyBorder="1" applyFont="1">
      <alignment horizontal="left" readingOrder="0" shrinkToFit="0" vertical="center" wrapText="0"/>
    </xf>
    <xf borderId="4" fillId="0" fontId="13" numFmtId="0" xfId="0" applyAlignment="1" applyBorder="1" applyFont="1">
      <alignment horizontal="center" shrinkToFit="0" vertical="center" wrapText="0"/>
    </xf>
    <xf borderId="4" fillId="0" fontId="32" numFmtId="0" xfId="0" applyAlignment="1" applyBorder="1" applyFont="1">
      <alignment readingOrder="0" vertical="center"/>
    </xf>
    <xf borderId="4" fillId="0" fontId="13" numFmtId="0" xfId="0" applyAlignment="1" applyBorder="1" applyFont="1">
      <alignment horizontal="center" readingOrder="0" shrinkToFit="0" vertical="center" wrapText="1"/>
    </xf>
    <xf borderId="4" fillId="7" fontId="33" numFmtId="0" xfId="0" applyAlignment="1" applyBorder="1" applyFont="1">
      <alignment horizontal="left" shrinkToFit="0" vertical="center" wrapText="0"/>
    </xf>
    <xf borderId="4" fillId="7" fontId="6" numFmtId="0" xfId="0" applyAlignment="1" applyBorder="1" applyFont="1">
      <alignment horizontal="left" readingOrder="0" shrinkToFit="0" vertical="center" wrapText="1"/>
    </xf>
    <xf borderId="4" fillId="0" fontId="13" numFmtId="0" xfId="0" applyAlignment="1" applyBorder="1" applyFont="1">
      <alignment horizontal="center" vertical="center"/>
    </xf>
    <xf borderId="4" fillId="0" fontId="13" numFmtId="0" xfId="0" applyAlignment="1" applyBorder="1" applyFont="1">
      <alignment horizontal="left" shrinkToFit="0" vertical="center" wrapText="1"/>
    </xf>
    <xf borderId="4" fillId="7" fontId="13" numFmtId="0" xfId="0" applyAlignment="1" applyBorder="1" applyFont="1">
      <alignment horizontal="left" shrinkToFit="0" vertical="center" wrapText="0"/>
    </xf>
    <xf borderId="4" fillId="0" fontId="6" numFmtId="0" xfId="0" applyAlignment="1" applyBorder="1" applyFont="1">
      <alignment horizontal="left" readingOrder="0" shrinkToFit="0" vertical="center" wrapText="0"/>
    </xf>
    <xf borderId="4" fillId="12" fontId="6" numFmtId="0" xfId="0" applyAlignment="1" applyBorder="1" applyFill="1" applyFont="1">
      <alignment horizontal="center" readingOrder="0" shrinkToFit="0" vertical="center" wrapText="0"/>
    </xf>
    <xf borderId="5" fillId="7" fontId="34" numFmtId="0" xfId="0" applyAlignment="1" applyBorder="1" applyFont="1">
      <alignment readingOrder="0" shrinkToFit="0" vertical="center" wrapText="1"/>
    </xf>
    <xf borderId="0" fillId="0" fontId="4" numFmtId="0" xfId="0" applyAlignment="1" applyFont="1">
      <alignment horizontal="left" readingOrder="0" shrinkToFit="0" vertical="center" wrapText="0"/>
    </xf>
    <xf borderId="0" fillId="0" fontId="5" numFmtId="0" xfId="0" applyAlignment="1" applyFont="1">
      <alignment shrinkToFit="0" vertical="center" wrapText="0"/>
    </xf>
    <xf borderId="4" fillId="2" fontId="3" numFmtId="0" xfId="0" applyAlignment="1" applyBorder="1" applyFont="1">
      <alignment horizontal="left" shrinkToFit="0" vertical="center" wrapText="1"/>
    </xf>
    <xf borderId="4" fillId="0" fontId="4" numFmtId="0" xfId="0" applyAlignment="1" applyBorder="1" applyFont="1">
      <alignment horizontal="center" readingOrder="0" shrinkToFit="0" vertical="center" wrapText="1"/>
    </xf>
    <xf borderId="4" fillId="13" fontId="6" numFmtId="0" xfId="0" applyAlignment="1" applyBorder="1" applyFill="1" applyFont="1">
      <alignment horizontal="center" readingOrder="0" shrinkToFit="0" vertical="center" wrapText="1"/>
    </xf>
    <xf borderId="4" fillId="14" fontId="6" numFmtId="0" xfId="0" applyAlignment="1" applyBorder="1" applyFill="1" applyFont="1">
      <alignment horizontal="center" readingOrder="0" shrinkToFit="0" vertical="center" wrapText="1"/>
    </xf>
    <xf borderId="4" fillId="7" fontId="6" numFmtId="0" xfId="0" applyAlignment="1" applyBorder="1" applyFont="1">
      <alignment shrinkToFit="0" vertical="center" wrapText="1"/>
    </xf>
    <xf borderId="4" fillId="0" fontId="35" numFmtId="0" xfId="0" applyAlignment="1" applyBorder="1" applyFont="1">
      <alignment horizontal="left" readingOrder="0" shrinkToFit="0" vertical="center" wrapText="0"/>
    </xf>
    <xf borderId="4" fillId="15" fontId="6" numFmtId="0" xfId="0" applyAlignment="1" applyBorder="1" applyFill="1" applyFont="1">
      <alignment horizontal="center" readingOrder="0" shrinkToFit="0" vertical="center" wrapText="1"/>
    </xf>
    <xf borderId="4" fillId="0" fontId="4" numFmtId="0" xfId="0" applyAlignment="1" applyBorder="1" applyFont="1">
      <alignment shrinkToFit="0" vertical="center" wrapText="1"/>
    </xf>
    <xf borderId="4" fillId="7" fontId="4" numFmtId="0" xfId="0" applyAlignment="1" applyBorder="1" applyFont="1">
      <alignment horizontal="center" readingOrder="0" vertical="center"/>
    </xf>
    <xf borderId="4" fillId="0" fontId="6" numFmtId="0" xfId="0" applyAlignment="1" applyBorder="1" applyFont="1">
      <alignment horizontal="left" readingOrder="0" vertical="center"/>
    </xf>
    <xf borderId="4" fillId="0" fontId="36" numFmtId="0" xfId="0" applyAlignment="1" applyBorder="1" applyFont="1">
      <alignment horizontal="left" readingOrder="0" vertical="center"/>
    </xf>
    <xf borderId="4" fillId="0" fontId="37" numFmtId="0" xfId="0" applyAlignment="1" applyBorder="1" applyFont="1">
      <alignment horizontal="left" readingOrder="0" vertical="center"/>
    </xf>
    <xf borderId="4" fillId="0" fontId="6" numFmtId="0" xfId="0" applyAlignment="1" applyBorder="1" applyFont="1">
      <alignment horizontal="center"/>
    </xf>
    <xf borderId="4" fillId="0" fontId="6" numFmtId="0" xfId="0" applyAlignment="1" applyBorder="1" applyFont="1">
      <alignment horizontal="center" shrinkToFit="0" wrapText="1"/>
    </xf>
    <xf borderId="4" fillId="0" fontId="38" numFmtId="0" xfId="0" applyAlignment="1" applyBorder="1" applyFont="1">
      <alignment horizontal="left" readingOrder="0" shrinkToFit="0" vertical="center" wrapText="0"/>
    </xf>
    <xf borderId="4" fillId="7" fontId="39" numFmtId="0" xfId="0" applyAlignment="1" applyBorder="1" applyFont="1">
      <alignment horizontal="center" readingOrder="0" shrinkToFit="0" vertical="center" wrapText="0"/>
    </xf>
    <xf borderId="4" fillId="16" fontId="6" numFmtId="0" xfId="0" applyAlignment="1" applyBorder="1" applyFill="1" applyFont="1">
      <alignment horizontal="center" readingOrder="0" vertical="center"/>
    </xf>
    <xf borderId="4" fillId="8" fontId="6" numFmtId="0" xfId="0" applyAlignment="1" applyBorder="1" applyFont="1">
      <alignment readingOrder="0" shrinkToFit="0" vertical="center" wrapText="1"/>
    </xf>
    <xf borderId="4" fillId="0" fontId="6" numFmtId="0" xfId="0" applyAlignment="1" applyBorder="1" applyFont="1">
      <alignment horizontal="center" shrinkToFit="0" vertical="center" wrapText="1"/>
    </xf>
    <xf borderId="4" fillId="7" fontId="6" numFmtId="0" xfId="0" applyAlignment="1" applyBorder="1" applyFont="1">
      <alignment horizontal="center" readingOrder="0" shrinkToFit="0" vertical="center" wrapText="0"/>
    </xf>
    <xf borderId="4" fillId="0" fontId="13" numFmtId="0" xfId="0" applyAlignment="1" applyBorder="1" applyFont="1">
      <alignment shrinkToFit="0" vertical="center" wrapText="1"/>
    </xf>
    <xf borderId="4" fillId="7" fontId="40" numFmtId="0" xfId="0" applyAlignment="1" applyBorder="1" applyFont="1">
      <alignment horizontal="center" readingOrder="0" shrinkToFit="0" vertical="center" wrapText="0"/>
    </xf>
    <xf borderId="4" fillId="0" fontId="6" numFmtId="164" xfId="0" applyAlignment="1" applyBorder="1" applyFont="1" applyNumberFormat="1">
      <alignment horizontal="center" readingOrder="0" vertical="center"/>
    </xf>
    <xf borderId="4" fillId="7" fontId="41" numFmtId="0" xfId="0" applyAlignment="1" applyBorder="1" applyFont="1">
      <alignment horizontal="center" shrinkToFit="0" vertical="center" wrapText="0"/>
    </xf>
    <xf borderId="4" fillId="0" fontId="6" numFmtId="0" xfId="0" applyAlignment="1" applyBorder="1" applyFont="1">
      <alignment horizontal="left" readingOrder="0" shrinkToFit="0" vertical="center" wrapText="0"/>
    </xf>
    <xf borderId="4" fillId="0" fontId="6" numFmtId="0" xfId="0" applyAlignment="1" applyBorder="1" applyFont="1">
      <alignment horizontal="center" vertical="center"/>
    </xf>
    <xf borderId="4" fillId="8" fontId="6" numFmtId="0" xfId="0" applyAlignment="1" applyBorder="1" applyFont="1">
      <alignment horizontal="center" readingOrder="0" shrinkToFit="0" vertical="center" wrapText="0"/>
    </xf>
    <xf borderId="0" fillId="0" fontId="6" numFmtId="0" xfId="0" applyAlignment="1" applyFont="1">
      <alignment readingOrder="0" vertical="center"/>
    </xf>
    <xf borderId="4" fillId="0" fontId="6" numFmtId="49" xfId="0" applyAlignment="1" applyBorder="1" applyFont="1" applyNumberFormat="1">
      <alignment horizontal="center" readingOrder="0" vertical="center"/>
    </xf>
    <xf borderId="4" fillId="0" fontId="13" numFmtId="0" xfId="0" applyAlignment="1" applyBorder="1" applyFont="1">
      <alignment readingOrder="0" shrinkToFit="0" vertical="center" wrapText="1"/>
    </xf>
    <xf borderId="4" fillId="7" fontId="42" numFmtId="0" xfId="0" applyAlignment="1" applyBorder="1" applyFont="1">
      <alignment horizontal="left" readingOrder="0" vertical="center"/>
    </xf>
    <xf borderId="4" fillId="17" fontId="6" numFmtId="0" xfId="0" applyAlignment="1" applyBorder="1" applyFill="1" applyFont="1">
      <alignment horizontal="center" readingOrder="0" vertical="center"/>
    </xf>
    <xf borderId="4" fillId="17" fontId="6" numFmtId="0" xfId="0" applyAlignment="1" applyBorder="1" applyFont="1">
      <alignment readingOrder="0" shrinkToFit="0" vertical="center" wrapText="1"/>
    </xf>
    <xf borderId="4" fillId="7" fontId="4" numFmtId="0" xfId="0" applyAlignment="1" applyBorder="1" applyFont="1">
      <alignment horizontal="center" readingOrder="0" shrinkToFit="0" vertical="center" wrapText="1"/>
    </xf>
    <xf borderId="4" fillId="10" fontId="6" numFmtId="0" xfId="0" applyAlignment="1" applyBorder="1" applyFont="1">
      <alignment readingOrder="0" shrinkToFit="0" vertical="center" wrapText="1"/>
    </xf>
    <xf borderId="4" fillId="7" fontId="23" numFmtId="0" xfId="0" applyAlignment="1" applyBorder="1" applyFont="1">
      <alignment horizontal="center" readingOrder="0" shrinkToFit="0" vertical="center" wrapText="1"/>
    </xf>
    <xf borderId="4" fillId="7" fontId="23" numFmtId="0" xfId="0" applyAlignment="1" applyBorder="1" applyFont="1">
      <alignment horizontal="center" readingOrder="0" vertical="center"/>
    </xf>
    <xf borderId="4" fillId="0" fontId="23" numFmtId="0" xfId="0" applyAlignment="1" applyBorder="1" applyFont="1">
      <alignment horizontal="center" vertical="center"/>
    </xf>
    <xf borderId="4" fillId="0" fontId="23" numFmtId="0" xfId="0" applyAlignment="1" applyBorder="1" applyFont="1">
      <alignment shrinkToFit="0" vertical="center" wrapText="1"/>
    </xf>
    <xf borderId="4" fillId="7" fontId="6" numFmtId="0" xfId="0" applyAlignment="1" applyBorder="1" applyFont="1">
      <alignment horizontal="center" vertical="center"/>
    </xf>
    <xf borderId="4" fillId="8" fontId="1" numFmtId="0" xfId="0" applyAlignment="1" applyBorder="1" applyFont="1">
      <alignment horizontal="center" shrinkToFit="0" wrapText="1"/>
    </xf>
    <xf borderId="0" fillId="0" fontId="43" numFmtId="0" xfId="0" applyAlignment="1" applyFont="1">
      <alignment horizontal="center" readingOrder="0"/>
    </xf>
    <xf borderId="0" fillId="0" fontId="44" numFmtId="0" xfId="0" applyAlignment="1" applyFont="1">
      <alignment horizontal="center" readingOrder="0"/>
    </xf>
    <xf borderId="4" fillId="0" fontId="45" numFmtId="0" xfId="0" applyAlignment="1" applyBorder="1" applyFont="1">
      <alignment horizontal="center" readingOrder="0" vertical="center"/>
    </xf>
    <xf borderId="4" fillId="0" fontId="4" numFmtId="0" xfId="0" applyAlignment="1" applyBorder="1" applyFont="1">
      <alignment horizontal="center" vertical="center"/>
    </xf>
    <xf borderId="0" fillId="0" fontId="6" numFmtId="0" xfId="0" applyAlignment="1" applyFont="1">
      <alignment horizontal="center" readingOrder="0" shrinkToFit="0" vertical="center" wrapText="1"/>
    </xf>
    <xf borderId="0" fillId="7" fontId="6" numFmtId="0" xfId="0" applyAlignment="1" applyFont="1">
      <alignment horizontal="center" readingOrder="0" shrinkToFit="0" vertical="center" wrapText="1"/>
    </xf>
    <xf borderId="0" fillId="7" fontId="6" numFmtId="0" xfId="0" applyAlignment="1" applyFont="1">
      <alignment horizontal="center" readingOrder="0" vertical="center"/>
    </xf>
    <xf borderId="0" fillId="8" fontId="6" numFmtId="0" xfId="0" applyAlignment="1" applyFont="1">
      <alignment horizontal="center" readingOrder="0" vertical="center"/>
    </xf>
    <xf borderId="0" fillId="8" fontId="6" numFmtId="0" xfId="0" applyAlignment="1" applyFont="1">
      <alignment horizontal="left" readingOrder="0" shrinkToFit="0" vertical="center" wrapText="1"/>
    </xf>
    <xf borderId="0" fillId="8" fontId="6" numFmtId="0" xfId="0" applyAlignment="1" applyFont="1">
      <alignment horizontal="center" readingOrder="0" shrinkToFit="0" vertical="center" wrapText="1"/>
    </xf>
    <xf borderId="0" fillId="0" fontId="6" numFmtId="0" xfId="0" applyAlignment="1" applyFont="1">
      <alignment horizontal="center" shrinkToFit="0" vertical="center" wrapText="0"/>
    </xf>
    <xf borderId="0" fillId="7" fontId="6" numFmtId="0" xfId="0" applyAlignment="1" applyFont="1">
      <alignment horizontal="center" readingOrder="0" shrinkToFit="0" vertical="center" wrapText="0"/>
    </xf>
    <xf borderId="0" fillId="7" fontId="6" numFmtId="0" xfId="0" applyAlignment="1" applyFont="1">
      <alignment horizontal="center" shrinkToFit="0" vertical="center" wrapText="0"/>
    </xf>
    <xf borderId="0" fillId="7" fontId="6" numFmtId="0" xfId="0" applyAlignment="1" applyFont="1">
      <alignment horizontal="left" shrinkToFit="0" vertical="center" wrapText="0"/>
    </xf>
    <xf borderId="0" fillId="0" fontId="6" numFmtId="0" xfId="0" applyAlignment="1" applyFont="1">
      <alignment horizontal="center" readingOrder="0" vertical="center"/>
    </xf>
    <xf borderId="0" fillId="0" fontId="6" numFmtId="0" xfId="0" applyAlignment="1" applyFont="1">
      <alignment horizontal="left" readingOrder="0" shrinkToFit="0" vertical="center" wrapText="0"/>
    </xf>
    <xf borderId="0" fillId="0" fontId="6" numFmtId="0" xfId="0" applyAlignment="1" applyFont="1">
      <alignment horizontal="center" shrinkToFit="0" vertical="center" wrapText="0"/>
    </xf>
    <xf borderId="4" fillId="0" fontId="6" numFmtId="0" xfId="0" applyAlignment="1" applyBorder="1" applyFont="1">
      <alignment horizontal="center" shrinkToFit="0" wrapText="0"/>
    </xf>
    <xf borderId="4" fillId="7" fontId="46" numFmtId="0" xfId="0" applyAlignment="1" applyBorder="1" applyFont="1">
      <alignment horizontal="left" readingOrder="0" shrinkToFit="0" vertical="center" wrapText="0"/>
    </xf>
    <xf borderId="4" fillId="7" fontId="6" numFmtId="0" xfId="0" applyAlignment="1" applyBorder="1" applyFont="1">
      <alignment horizontal="center" shrinkToFit="0" wrapText="0"/>
    </xf>
    <xf borderId="4" fillId="7" fontId="47" numFmtId="0" xfId="0" applyAlignment="1" applyBorder="1" applyFont="1">
      <alignment horizontal="left" readingOrder="0" shrinkToFit="0" vertical="center" wrapText="0"/>
    </xf>
    <xf borderId="4" fillId="0" fontId="48" numFmtId="0" xfId="0" applyAlignment="1" applyBorder="1" applyFont="1">
      <alignment horizontal="center" readingOrder="0" shrinkToFit="0" vertical="center" wrapText="1"/>
    </xf>
    <xf borderId="4" fillId="0" fontId="49" numFmtId="0" xfId="0" applyAlignment="1" applyBorder="1" applyFont="1">
      <alignment vertical="center"/>
    </xf>
    <xf borderId="4" fillId="0" fontId="6" numFmtId="0" xfId="0" applyAlignment="1" applyBorder="1" applyFont="1">
      <alignment horizontal="center" readingOrder="0" shrinkToFit="0" vertical="center" wrapText="1"/>
    </xf>
    <xf borderId="0" fillId="0" fontId="5" numFmtId="0" xfId="0" applyAlignment="1" applyFont="1">
      <alignment shrinkToFit="0" vertical="center" wrapText="0"/>
    </xf>
    <xf borderId="0" fillId="0" fontId="1" numFmtId="0" xfId="0" applyAlignment="1" applyFont="1">
      <alignment vertical="center"/>
    </xf>
    <xf borderId="1" fillId="18" fontId="3" numFmtId="0" xfId="0" applyAlignment="1" applyBorder="1" applyFill="1" applyFont="1">
      <alignment horizontal="center" readingOrder="0" shrinkToFit="0" vertical="center" wrapText="1"/>
    </xf>
    <xf borderId="1" fillId="19" fontId="4" numFmtId="0" xfId="0" applyAlignment="1" applyBorder="1" applyFill="1" applyFont="1">
      <alignment horizontal="center" readingOrder="0" shrinkToFit="0" vertical="center" wrapText="1"/>
    </xf>
    <xf borderId="4" fillId="0" fontId="50" numFmtId="0" xfId="0" applyAlignment="1" applyBorder="1" applyFont="1">
      <alignment horizontal="center" readingOrder="0" shrinkToFit="0" vertical="center" wrapText="1"/>
    </xf>
    <xf borderId="4" fillId="20" fontId="2" numFmtId="0" xfId="0" applyAlignment="1" applyBorder="1" applyFill="1" applyFont="1">
      <alignment horizontal="center" readingOrder="0" shrinkToFit="0" vertical="center" wrapText="1"/>
    </xf>
    <xf borderId="4" fillId="18" fontId="3" numFmtId="0" xfId="0" applyAlignment="1" applyBorder="1" applyFont="1">
      <alignment horizontal="center" shrinkToFit="0" vertical="center" wrapText="1"/>
    </xf>
    <xf borderId="4" fillId="19" fontId="4" numFmtId="0" xfId="0" applyAlignment="1" applyBorder="1" applyFont="1">
      <alignment horizontal="center" readingOrder="0" shrinkToFit="0" vertical="center" wrapText="1"/>
    </xf>
    <xf borderId="4" fillId="13" fontId="6" numFmtId="0" xfId="0" applyAlignment="1" applyBorder="1" applyFont="1">
      <alignment horizontal="center" shrinkToFit="0" vertical="center" wrapText="0"/>
    </xf>
    <xf borderId="4" fillId="21" fontId="6" numFmtId="0" xfId="0" applyAlignment="1" applyBorder="1" applyFill="1" applyFont="1">
      <alignment horizontal="center" shrinkToFit="0" vertical="center" wrapText="0"/>
    </xf>
    <xf borderId="4" fillId="7" fontId="51" numFmtId="0" xfId="0" applyAlignment="1" applyBorder="1" applyFont="1">
      <alignment horizontal="center" readingOrder="0" shrinkToFit="0" vertical="center" wrapText="0"/>
    </xf>
    <xf borderId="4" fillId="0" fontId="23" numFmtId="0" xfId="0" applyAlignment="1" applyBorder="1" applyFont="1">
      <alignment vertical="center"/>
    </xf>
    <xf borderId="4" fillId="22" fontId="6" numFmtId="0" xfId="0" applyAlignment="1" applyBorder="1" applyFill="1" applyFont="1">
      <alignment horizontal="center" readingOrder="0" vertical="center"/>
    </xf>
    <xf borderId="4" fillId="22" fontId="4" numFmtId="0" xfId="0" applyAlignment="1" applyBorder="1" applyFont="1">
      <alignment horizontal="center" vertical="center"/>
    </xf>
    <xf borderId="4" fillId="22" fontId="6" numFmtId="0" xfId="0" applyAlignment="1" applyBorder="1" applyFont="1">
      <alignment shrinkToFit="0" vertical="center" wrapText="1"/>
    </xf>
    <xf borderId="4" fillId="7" fontId="4" numFmtId="0" xfId="0" applyAlignment="1" applyBorder="1" applyFont="1">
      <alignment horizontal="center" vertical="center"/>
    </xf>
    <xf borderId="0" fillId="0" fontId="1" numFmtId="0" xfId="0" applyAlignment="1" applyFont="1">
      <alignment shrinkToFit="0" vertical="center" wrapText="1"/>
    </xf>
    <xf borderId="0" fillId="23" fontId="52" numFmtId="0" xfId="0" applyAlignment="1" applyFill="1" applyFont="1">
      <alignment horizontal="center" readingOrder="0" shrinkToFit="0" vertical="center" wrapText="1"/>
    </xf>
    <xf borderId="0" fillId="0" fontId="53" numFmtId="0" xfId="0" applyAlignment="1" applyFont="1">
      <alignment horizontal="center" readingOrder="0" shrinkToFit="0" vertical="center" wrapText="1"/>
    </xf>
    <xf borderId="0" fillId="0" fontId="5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53" numFmtId="0" xfId="0" applyAlignment="1" applyFont="1">
      <alignment horizontal="center" readingOrder="0" shrinkToFit="0" wrapText="1"/>
    </xf>
    <xf borderId="0" fillId="24" fontId="53" numFmtId="0" xfId="0" applyAlignment="1" applyFill="1" applyFont="1">
      <alignment horizontal="center" readingOrder="0" shrinkToFit="0" vertical="center" wrapText="1"/>
    </xf>
    <xf borderId="0" fillId="25" fontId="54" numFmtId="0" xfId="0" applyAlignment="1" applyFill="1" applyFont="1">
      <alignment vertical="center"/>
    </xf>
    <xf borderId="0" fillId="0" fontId="53" numFmtId="0" xfId="0" applyAlignment="1" applyFont="1">
      <alignment shrinkToFit="0" vertical="center" wrapText="1"/>
    </xf>
    <xf borderId="6" fillId="26" fontId="53" numFmtId="0" xfId="0" applyAlignment="1" applyBorder="1" applyFill="1" applyFont="1">
      <alignment shrinkToFit="0" vertical="center" wrapText="1"/>
    </xf>
    <xf borderId="6" fillId="24" fontId="53" numFmtId="0" xfId="0" applyAlignment="1" applyBorder="1" applyFont="1">
      <alignment shrinkToFit="0" vertical="center" wrapText="1"/>
    </xf>
    <xf borderId="7" fillId="0" fontId="53" numFmtId="0" xfId="0" applyAlignment="1" applyBorder="1" applyFont="1">
      <alignment shrinkToFit="0" vertical="center" wrapText="1"/>
    </xf>
    <xf borderId="8" fillId="25" fontId="55" numFmtId="0" xfId="0" applyAlignment="1" applyBorder="1" applyFont="1">
      <alignment horizontal="center" shrinkToFit="0" vertical="center" wrapText="1"/>
    </xf>
    <xf borderId="9" fillId="7" fontId="53" numFmtId="9" xfId="0" applyAlignment="1" applyBorder="1" applyFont="1" applyNumberFormat="1">
      <alignment horizontal="center" shrinkToFit="0" vertical="center" wrapText="1"/>
    </xf>
    <xf borderId="0" fillId="27" fontId="1" numFmtId="0" xfId="0" applyAlignment="1" applyFill="1" applyFont="1">
      <alignment shrinkToFit="0" vertical="center" wrapText="1"/>
    </xf>
    <xf borderId="0" fillId="0" fontId="1" numFmtId="0" xfId="0" applyAlignment="1" applyFont="1">
      <alignment readingOrder="0" shrinkToFit="0" vertical="center" wrapText="1"/>
    </xf>
    <xf borderId="0" fillId="0" fontId="1" numFmtId="165" xfId="0" applyAlignment="1" applyFont="1" applyNumberFormat="1">
      <alignment readingOrder="0" shrinkToFit="0" vertical="center" wrapText="1"/>
    </xf>
    <xf borderId="0" fillId="0" fontId="6" numFmtId="0" xfId="0" applyFont="1"/>
    <xf borderId="0" fillId="0" fontId="6" numFmtId="10" xfId="0" applyFont="1" applyNumberFormat="1"/>
    <xf borderId="0" fillId="0" fontId="56" numFmtId="0" xfId="0" applyFont="1"/>
    <xf borderId="0" fillId="0" fontId="57" numFmtId="166" xfId="0" applyFont="1" applyNumberFormat="1"/>
    <xf borderId="0" fillId="0" fontId="6" numFmtId="166" xfId="0" applyFont="1" applyNumberFormat="1"/>
    <xf borderId="0" fillId="0" fontId="58" numFmtId="167" xfId="0" applyFont="1" applyNumberFormat="1"/>
    <xf borderId="0" fillId="0" fontId="6" numFmtId="168" xfId="0" applyFont="1" applyNumberFormat="1"/>
    <xf borderId="0" fillId="0" fontId="6" numFmtId="167" xfId="0" applyFont="1" applyNumberFormat="1"/>
    <xf borderId="10" fillId="0" fontId="59" numFmtId="0" xfId="0" applyAlignment="1" applyBorder="1" applyFont="1">
      <alignment horizontal="center" readingOrder="0"/>
    </xf>
    <xf borderId="11" fillId="0" fontId="59" numFmtId="0" xfId="0" applyAlignment="1" applyBorder="1" applyFont="1">
      <alignment horizontal="center" readingOrder="0"/>
    </xf>
    <xf borderId="12" fillId="0" fontId="59" numFmtId="0" xfId="0" applyAlignment="1" applyBorder="1" applyFont="1">
      <alignment horizontal="center"/>
    </xf>
    <xf borderId="13" fillId="0" fontId="44" numFmtId="0" xfId="0" applyAlignment="1" applyBorder="1" applyFont="1">
      <alignment readingOrder="0"/>
    </xf>
    <xf borderId="14" fillId="0" fontId="44" numFmtId="0" xfId="0" applyAlignment="1" applyBorder="1" applyFont="1">
      <alignment readingOrder="0"/>
    </xf>
    <xf borderId="14" fillId="0" fontId="44" numFmtId="0" xfId="0" applyBorder="1" applyFont="1"/>
    <xf borderId="14" fillId="0" fontId="60" numFmtId="0" xfId="0" applyAlignment="1" applyBorder="1" applyFont="1">
      <alignment readingOrder="0"/>
    </xf>
    <xf borderId="15" fillId="0" fontId="44" numFmtId="0" xfId="0" applyBorder="1" applyFont="1"/>
  </cellXfs>
  <cellStyles count="1">
    <cellStyle xfId="0" name="Normal" builtinId="0"/>
  </cellStyles>
  <dxfs count="8">
    <dxf>
      <font/>
      <fill>
        <patternFill patternType="solid">
          <fgColor rgb="FFEFEFEF"/>
          <bgColor rgb="FFEFEFEF"/>
        </patternFill>
      </fill>
      <border/>
    </dxf>
    <dxf>
      <font/>
      <fill>
        <patternFill patternType="none"/>
      </fill>
      <border/>
    </dxf>
    <dxf>
      <font/>
      <fill>
        <patternFill patternType="solid">
          <fgColor rgb="FFEFEFEF"/>
          <bgColor rgb="FFEFEFEF"/>
        </patternFill>
      </fill>
      <border/>
    </dxf>
    <dxf>
      <font/>
      <fill>
        <patternFill patternType="solid">
          <fgColor rgb="FFFFFFFF"/>
          <bgColor rgb="FFFFFFFF"/>
        </patternFill>
      </fill>
      <border/>
    </dxf>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atos1-EQUIPOS-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S476" sheet="EQUIPOS"/>
  </cacheSource>
  <cacheFields>
    <cacheField name="N°" numFmtId="0">
      <sharedItems containsString="0" containsBlank="1" containsNumber="1" containsInteger="1">
        <n v="1.0"/>
        <m/>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sharedItems>
    </cacheField>
    <cacheField name="REVISADO" numFmtId="0">
      <sharedItems containsBlank="1">
        <b v="1"/>
        <m/>
        <b v="0"/>
        <s v="SET DE BROCAS DE TITANIO x25 UNIDADES (1 UND)"/>
      </sharedItems>
    </cacheField>
    <cacheField name="EN REQ" numFmtId="0">
      <sharedItems>
        <b v="1"/>
        <b v="0"/>
      </sharedItems>
    </cacheField>
    <cacheField name="RUBRO" numFmtId="0">
      <sharedItems>
        <s v="BIEN"/>
        <s v="ACCESORIO"/>
        <s v="COMPONENTE"/>
      </sharedItems>
    </cacheField>
    <cacheField name="TIPO DE PRODUCTO" numFmtId="0">
      <sharedItems containsBlank="1">
        <s v="EQUIPOS"/>
        <m/>
        <b v="0"/>
      </sharedItems>
    </cacheField>
    <cacheField name="CÓDIGO ENTIDAD" numFmtId="0">
      <sharedItems containsBlank="1">
        <s v="COM-106"/>
        <m/>
        <s v="COM-107"/>
        <s v="COM-108"/>
        <s v="COM-110"/>
        <s v="COM-111"/>
        <s v="COM-123"/>
        <s v="ESP-103"/>
        <s v="ESP-104"/>
        <s v="ESP-105"/>
        <s v="ESP-109"/>
        <s v="ESP-110"/>
        <s v="ESP-111"/>
        <s v="ESP-112"/>
        <s v="ESP-113"/>
        <s v="ESP-114"/>
        <s v="ESP-116"/>
        <s v="ESP-117"/>
        <s v="ESP-118"/>
        <s v="ESP-119"/>
        <s v="ESP-120"/>
        <s v="ESP-121"/>
        <s v="ESP-122"/>
        <s v="ESP-124"/>
        <s v="ESP-125"/>
        <s v="ESP-126"/>
        <s v="ESP-128"/>
        <s v="ESP-130"/>
        <s v="ESP-131"/>
        <s v="ESP-132"/>
        <s v="ESP-133"/>
        <s v="ESP-134"/>
        <s v="ESP-135"/>
        <s v="ESP-138"/>
        <s v="ESP-139"/>
        <s v="ESP-144"/>
        <s v="ESP-147"/>
        <s v="ESP-148"/>
        <s v="ESP-149"/>
        <s v="ESP-150"/>
        <s v="ESP-151"/>
        <s v="ESP-152"/>
        <s v="ESP-153"/>
        <s v="ESP-154"/>
        <s v="ESP-155"/>
        <s v="ESP-156"/>
        <s v="ESP-158"/>
        <s v="ESP-160"/>
        <s v="ESP-161"/>
        <s v="ESP-162"/>
        <s v="ESP-164"/>
        <s v="ESP-165"/>
        <s v="ESP-166"/>
        <s v="ESP-167"/>
        <s v="ESP-168"/>
        <s v="ESP-169"/>
        <s v="ESP-170"/>
        <s v="ESP-171"/>
        <s v="ESP-172"/>
        <s v="ESP-176"/>
        <s v="ESP-177"/>
        <s v="ESP-178"/>
        <s v="ESP-180"/>
        <s v="ESP-182"/>
        <s v="ESP-185"/>
        <s v="ESP-186"/>
        <s v="ESP-187"/>
        <s v="ESP-189"/>
        <s v="ESP-191"/>
        <s v="ESP-192"/>
        <s v="ESP-194"/>
        <s v="ESP-195"/>
        <s v="ESP-196"/>
        <s v="ESP-197"/>
        <s v="ESP-198"/>
        <s v="ESP-199"/>
        <s v="ESP-200"/>
        <s v="ESP-201"/>
        <s v="ESP-202"/>
        <s v="ESP-202.1"/>
        <s v="ESP-202.2"/>
        <s v="ESP-202.3"/>
        <s v="ESP-202.4"/>
        <s v="ESP-202.5"/>
        <s v="ESP-203"/>
        <s v="ESP-205"/>
        <s v="ESP-206"/>
        <s v="ESP-207"/>
        <s v="ESP-208"/>
        <s v="ESP-210"/>
        <s v="ESP-214"/>
        <s v="ESP-215"/>
        <s v="ESP-216"/>
        <s v="ESP-217"/>
        <s v="ESP-219"/>
        <s v="ESP-221"/>
        <s v="ESP-222"/>
        <s v="ESP-222.1"/>
        <s v="ESP-223"/>
        <s v="ESP-224"/>
        <s v="ESP-227"/>
        <s v="ESP-228"/>
        <s v="ESP-229"/>
        <s v="ESP-230"/>
        <s v="ESP-232"/>
        <s v="ESP-233"/>
        <s v="ESP-234"/>
        <s v="ESP-237"/>
        <s v="ESP-238"/>
        <s v="ESP-239"/>
        <s v="ESP-242"/>
        <s v="ESP-243"/>
        <s v="ESP-244"/>
        <s v="ESP-245"/>
        <s v="ESP-246"/>
        <s v="ESP-247"/>
        <s v="ESP-248"/>
        <s v="ESP-249"/>
        <s v="ESP-250"/>
        <s v="ESP-251"/>
        <s v="ESP-252"/>
        <s v="ESP-253"/>
        <s v="ESP-254"/>
        <s v="ESP-2541.1"/>
        <s v="ESP-255"/>
        <s v="ESP-256"/>
        <s v="ESP-256.1"/>
        <s v="ESP-257"/>
        <s v="ESP-258"/>
        <s v="ESP-259"/>
        <s v="ESP-260"/>
        <s v="ESP-263"/>
        <s v="ESP-264"/>
        <s v="ESP-265"/>
        <s v="ESP-266"/>
        <s v="ESP-267"/>
        <s v="ESP-268"/>
        <s v="ESP-269"/>
        <s v="ESP-270"/>
        <s v="ESP-271"/>
        <s v="ESP-272"/>
        <s v="ESP-273"/>
        <s v="ESP-274"/>
        <s v="ESP-275"/>
        <s v="ESP-276"/>
        <s v="ESP-277"/>
        <s v="ESP-278"/>
        <s v="ESP-279"/>
        <s v="ESP-280"/>
        <s v="ESP-281"/>
        <s v="ESP-282"/>
        <s v="ESP-283"/>
        <s v="ESP-284"/>
        <s v="ESP-285"/>
        <s v="ESP-286"/>
        <s v="ESP-287"/>
        <s v="ESP-288"/>
        <s v="ESP-289"/>
        <s v="ESP-290"/>
        <s v="ESP-291"/>
        <s v="ESP-296"/>
        <s v="ESP-297"/>
        <s v="ESP-298"/>
        <s v="ESP-299"/>
        <s v="ESP-300"/>
        <s v="ESP-302"/>
        <s v="ESP-304"/>
        <s v="ESP-305"/>
        <s v="ESP-306"/>
        <s v="ESP-307"/>
        <s v="ESP-308"/>
        <s v="ESP-311"/>
        <s v="ESP-312"/>
        <s v="ESP-313"/>
        <s v="ESP-314"/>
        <s v="ESP-315"/>
        <s v="ESP-318"/>
        <s v="ESP-320"/>
        <s v="ESP-321"/>
        <s v="ESP-322"/>
        <s v="ESP-323"/>
        <s v="ESP-324"/>
        <s v="ESP-325"/>
        <s v="ESP-326"/>
        <s v="ESP-328"/>
        <s v="ESP-329"/>
        <s v="ESP-334"/>
        <s v="ESP-337"/>
        <s v="ESP-338"/>
        <s v="ESP-339"/>
        <s v="ESP-340"/>
        <s v="ESP-341"/>
        <s v="ESP-342"/>
        <s v="ESP-344"/>
        <s v="ESP-345"/>
        <s v="ESP-347"/>
        <s v="ESP-349"/>
        <s v="ESP-351"/>
        <s v="ESP-352"/>
        <s v="ESP-354"/>
        <s v="ESP-355"/>
        <s v="ESP-356"/>
        <s v="ESP-358"/>
        <s v="ESP-359"/>
        <s v="ESP-360"/>
        <s v="ESP-362"/>
        <s v="ESP-365"/>
        <s v="ESP-366"/>
        <s v="ESP-367"/>
        <s v="ESP-368"/>
        <s v="ESP-371"/>
        <s v="ESP-373"/>
        <s v="ESP-379"/>
        <s v="ESP-380"/>
        <s v="ESP-381"/>
        <s v="ESP-382"/>
      </sharedItems>
    </cacheField>
    <cacheField name="CÓDIGO INTERNO (EETT)" numFmtId="0">
      <sharedItems>
        <s v="COM-106"/>
        <s v="COM-106.1"/>
        <s v="COM-107"/>
        <s v="COM-107.1"/>
        <s v="COM-108"/>
        <s v="COM-108.1"/>
        <s v="COM-108.2"/>
        <s v="COM-108.3"/>
        <s v="COM-110-X"/>
        <s v="COM-110-X.1"/>
        <s v="COM-110-Y"/>
        <s v="COM-110-Y.1"/>
        <s v="COM-111"/>
        <s v="COM-123"/>
        <s v="COM-123.1"/>
        <s v="COM-123.2"/>
        <s v="ESP-103"/>
        <s v="ESP-103.1"/>
        <s v="ESP-103.2"/>
        <s v="ESP-103.3"/>
        <s v="ESP-104"/>
        <s v="ESP-105"/>
        <s v="ESP-105.1"/>
        <s v="ESP-105.2"/>
        <s v="ESP-105.3"/>
        <s v="ESP-105.4"/>
        <s v="ESP-105.5"/>
        <s v="ESP-109"/>
        <s v="ESP-109.1"/>
        <s v="ESP-110"/>
        <s v="ESP-110.1"/>
        <s v="ESP-111"/>
        <s v="ESP-112"/>
        <s v="ESP-112.1"/>
        <s v="ESP-113"/>
        <s v="ESP-113.1"/>
        <s v="ESP-113.2"/>
        <s v="ESP-114"/>
        <s v="ESP-116"/>
        <s v="ESP-116.1"/>
        <s v="ESP-116.2"/>
        <s v="ESP-116.3"/>
        <s v="ESP-116.4"/>
        <s v="ESP-116.5"/>
        <s v="ESP-116.6"/>
        <s v="ESP-117"/>
        <s v="ESP-117.1"/>
        <s v="ESP-117.2"/>
        <s v="ESP-117.3"/>
        <s v="ESP-117.4"/>
        <s v="ESP-118"/>
        <s v="ESP-118.1"/>
        <s v="ESP-119"/>
        <s v="ESP-120"/>
        <s v="ESP-121"/>
        <s v="ESP-121.1"/>
        <s v="ESP-121.2"/>
        <s v="ESP-122"/>
        <s v="ESP-124"/>
        <s v="ESP-125"/>
        <s v="ESP-125.1"/>
        <s v="ESP-125.2"/>
        <s v="ESP-125.3"/>
        <s v="ESP-125.4"/>
        <s v="ESP-126-X"/>
        <s v="ESP-126-Y"/>
        <s v="ESP-128"/>
        <s v="ESP-128.1"/>
        <s v="ESP-128.2"/>
        <s v="ESP-128.3"/>
        <s v="ESP-130"/>
        <s v="ESP-131"/>
        <s v="ESP-131.1"/>
        <s v="ESP-132"/>
        <s v="ESP-133-X"/>
        <s v="ESP-133-Y"/>
        <s v="ESP-134"/>
        <s v="ESP-134.1"/>
        <s v="ESP-134.2"/>
        <s v="ESP-134.3"/>
        <s v="ESP-134.4"/>
        <s v="ESP-134.5"/>
        <s v="ESP-134.6"/>
        <s v="ESP-135"/>
        <s v="ESP-138"/>
        <s v="ESP-138.1"/>
        <s v="ESP-139-X"/>
        <s v="ESP-139-X.1"/>
        <s v="ESP-139-Y"/>
        <s v="ESP-139-Y.1"/>
        <s v="ESP-140"/>
        <s v="ESP-144"/>
        <s v="ESP-147"/>
        <s v="ESP-147.1"/>
        <s v="ESP-148-X"/>
        <s v="ESP-148-X.1"/>
        <s v="ESP-148-X.2"/>
        <s v="ESP-148-Y"/>
        <s v="ESP-148-Y.1"/>
        <s v="ESP-148-Y.2"/>
        <s v="ESP-149"/>
        <s v="ESP-149.1"/>
        <s v="ESP-150"/>
        <s v="ESP-151"/>
        <s v="ESP-152"/>
        <s v="ESP-152.1"/>
        <s v="ESP-153"/>
        <s v="ESP-153.1"/>
        <s v="ESP-154"/>
        <s v="ESP-154.1"/>
        <s v="ESP-154.2"/>
        <s v="ESP-155"/>
        <s v="ESP-155.1"/>
        <s v="ESP-156"/>
        <s v="ESP-156.1"/>
        <s v="ESP-158"/>
        <s v="ESP-158.1"/>
        <s v="ESP-158.2"/>
        <s v="ESP-158.3"/>
        <s v="ESP-160"/>
        <s v="ESP-161-X"/>
        <s v="ESP-161-X.1"/>
        <s v="ESP-161-X.2"/>
        <s v="ESP-161-X.3"/>
        <s v="ESP-161-X.4"/>
        <s v="ESP-161-X.5"/>
        <s v="ESP-161-X.6"/>
        <s v="ESP-161-Y"/>
        <s v="ESP-162"/>
        <s v="ESP-162.1"/>
        <s v="ESP-164"/>
        <s v="ESP-165"/>
        <s v="ESP-166"/>
        <s v="ESP-167"/>
        <s v="ESP-168"/>
        <s v="ESP-169"/>
        <s v="ESP-170"/>
        <s v="ESP-171"/>
        <s v="ESP-172"/>
        <s v="ESP-172.1"/>
        <s v="ESP-176-X"/>
        <s v="ESP-176-X.1"/>
        <s v="ESP-176-X.2"/>
        <s v="ESP-176-X.3"/>
        <s v="ESP-176-X.4"/>
        <s v="ESP-176-Y"/>
        <s v="ESP-176-Y.1"/>
        <s v="ESP-178"/>
        <s v="ESP-180"/>
        <s v="ESP-182"/>
        <s v="ESP-185-X"/>
        <s v="ESP-185-Y"/>
        <s v="ESP-186"/>
        <s v="ESP-186.1"/>
        <s v="ESP-187-X"/>
        <s v="ESP-187-X.1"/>
        <s v="ESP-187-X.2"/>
        <s v="ESP-187-X.3"/>
        <s v="ESP-187-Y"/>
        <s v="ESP-187-Y.1"/>
        <s v="ESP-187-Y.2"/>
        <s v="ESP-187-Y.3"/>
        <s v="ESP-187-Z"/>
        <s v="ESP-187-Z.1"/>
        <s v="ESP-187-Z.2"/>
        <s v="ESP-187-Z.3"/>
        <s v="ESP-189"/>
        <s v="ESP-191"/>
        <s v="ESP-191.1"/>
        <s v="ESP-191.2"/>
        <s v="ESP-191.3"/>
        <s v="ESP-191.4"/>
        <s v="ESP-191.5"/>
        <s v="ESP-191.6"/>
        <s v="ESP-192"/>
        <s v="ESP-194"/>
        <s v="ESP-195"/>
        <s v="ESP-195.1"/>
        <s v="ESP-195.2"/>
        <s v="ESP-195.3"/>
        <s v="ESP-195.4"/>
        <s v="ESP-196"/>
        <s v="ESP-197"/>
        <s v="ESP-197.1"/>
        <s v="ESP-197.2"/>
        <s v="ESP-198"/>
        <s v="ESP-199"/>
        <s v="ESP-199.1"/>
        <s v="ESP-200"/>
        <s v="ESP-200.1"/>
        <s v="ESP-200.2"/>
        <s v="ESP-201"/>
        <s v="ESP-201.1"/>
        <s v="ESP-202"/>
        <s v="ESP-202.1"/>
        <s v="ESP-202.2"/>
        <s v="ESP-202.3"/>
        <s v="ESP-202.4"/>
        <s v="ESP-202.5"/>
        <s v="ESP-203"/>
        <s v="ESP-203.1"/>
        <s v="ESP-205"/>
        <s v="ESP-206"/>
        <s v="ESP-206.1"/>
        <s v="ESP-206.2"/>
        <s v="ESP-207"/>
        <s v="ESP-208"/>
        <s v="ESP-210"/>
        <s v="ESP-214"/>
        <s v="ESP-214.1"/>
        <s v="ESP-214.2"/>
        <s v="ESP-214.3"/>
        <s v="ESP-214.4"/>
        <s v="ESP-217-X"/>
        <s v="ESP-217-X.1"/>
        <s v="ESP-217-Y"/>
        <s v="ESP-217-Y.1"/>
        <s v="ESP-219"/>
        <s v="ESP-221"/>
        <s v="ESP-221.1"/>
        <s v="ESP-221.2"/>
        <s v="ESP-221.3"/>
        <s v="ESP-221.4"/>
        <s v="ESP-221.5"/>
        <s v="ESP-221.6"/>
        <s v="ESP-221.7"/>
        <s v="ESP-221.8"/>
        <s v="ESP-221.9"/>
        <s v="ESP-222"/>
        <s v="ESP-222.1"/>
        <s v="ESP-223"/>
        <s v="ESP-223.1"/>
        <s v="ESP-223.2"/>
        <s v="ESP-223.3"/>
        <s v="ESP-223.4"/>
        <s v="ESP-223.5"/>
        <s v="ESP-223.6"/>
        <s v="ESP-223.7"/>
        <s v="ESP-224"/>
        <s v="ESP-227"/>
        <s v="ESP-228"/>
        <s v="ESP-229"/>
        <s v="ESP-229.1"/>
        <s v="ESP-229.2"/>
        <s v="ESP-229.3"/>
        <s v="ESP-229.4"/>
        <s v="ESP-229.5"/>
        <s v="ESP-229.6"/>
        <s v="ESP-229.7"/>
        <s v="ESP-229.8"/>
        <s v="ESP-230"/>
        <s v="ESP-230.1"/>
        <s v="ESP-232"/>
        <s v="ESP-232.1"/>
        <s v="ESP-232.2"/>
        <s v="ESP-232.3"/>
        <s v="ESP-232.4"/>
        <s v="ESP-233"/>
        <s v="ESP-233.1"/>
        <s v="ESP-233.2"/>
        <s v="ESP-233.3"/>
        <s v="ESP-233.4"/>
        <s v="ESP-233.5"/>
        <s v="ESP-234"/>
        <s v="ESP-237"/>
        <s v="ESP-238"/>
        <s v="ESP-239"/>
        <s v="ESP-242"/>
        <s v="ESP-243"/>
        <s v="ESP-244"/>
        <s v="ESP-244.1"/>
        <s v="ESP-245"/>
        <s v="ESP-246"/>
        <s v="ESP-247"/>
        <s v="ESP-248"/>
        <s v="ESP-249"/>
        <s v="ESP-250"/>
        <s v="ESP-250.1"/>
        <s v="ESP-250.2"/>
        <s v="ESP-250.3"/>
        <s v="ESP-250.4"/>
        <s v="ESP-251"/>
        <s v="ESP-252"/>
        <s v="ESP-252.1"/>
        <s v="ESP-253"/>
        <s v="ESP-253.1"/>
        <s v="ESP-253.2"/>
        <s v="ESP-254"/>
        <s v="ESP-254.1"/>
        <s v="ESP-255"/>
        <s v="ESP-256"/>
        <s v="ESP-256.1"/>
        <s v="ESP-257"/>
        <s v="ESP-258"/>
        <s v="ESP-259"/>
        <s v="ESP-260"/>
        <s v="ESP-263"/>
        <s v="ESP-263.1"/>
        <s v="ESP-263.2"/>
        <s v="ESP-263.3"/>
        <s v="ESP-264"/>
        <s v="ESP-265"/>
        <s v="ESP-266"/>
        <s v="ESP-267"/>
        <s v="ESP-268"/>
        <s v="ESP-269"/>
        <s v="ESP-270"/>
        <s v="ESP-271"/>
        <s v="ESP-272"/>
        <s v="ESP-273"/>
        <s v="ESP-274"/>
        <s v="ESP-275"/>
        <s v="ESP-275.1"/>
        <s v="ESP-276"/>
        <s v="ESP-276.1"/>
        <s v="ESP-277"/>
        <s v="ESP-277.1"/>
        <s v="ESP-278"/>
        <s v="ESP-279"/>
        <s v="ESP-280"/>
        <s v="ESP-281-X"/>
        <s v="ESP-281-X.1"/>
        <s v="ESP-281-Y"/>
        <s v="ESP-281-Y.1"/>
        <s v="ESP-281-Z"/>
        <s v="ESP-281-Z.1"/>
        <s v="ESP-282-X"/>
        <s v="ESP-282-Y"/>
        <s v="ESP-282-Y.1"/>
        <s v="ESP-283-X"/>
        <s v="ESP-283-X.1"/>
        <s v="ESP-283-Y"/>
        <s v="ESP-283-Y.1"/>
        <s v="ESP-284"/>
        <s v="ESP-285"/>
        <s v="ESP-285.1"/>
        <s v="ESP-285.2"/>
        <s v="ESP-286"/>
        <s v="ESP-287-X"/>
        <s v="ESP-287-Y"/>
        <s v="ESP-287-Y.1"/>
        <s v="ESP-287-Y.2"/>
        <s v="ESP-287-Y.3"/>
        <s v="ESP-287-Y.4"/>
        <s v="ESP-287-Y.5"/>
        <s v="ESP-287-Y.6"/>
        <s v="ESP-287-Z"/>
        <s v="ESP-288"/>
        <s v="ESP-288.1"/>
        <s v="ESP-289"/>
        <s v="ESP-289.1"/>
        <s v="ESP-289.2"/>
        <s v="ESP-289.3"/>
        <s v="ESP-289.4"/>
        <s v="ESP-289.5"/>
        <s v="ESP-289.6"/>
        <s v="ESP-289.7"/>
        <s v="ESP-289.8"/>
        <s v="ESP-289.9"/>
        <s v="ESP-289.10"/>
        <s v="ESP-290-X"/>
        <s v="ESP-290-X.1"/>
        <s v="ESP-290-X.2"/>
        <s v="ESP-290-Y"/>
        <s v="ESP-291"/>
        <s v="ESP-296"/>
        <s v="ESP-296.1"/>
        <s v="ESP-296.2"/>
        <s v="ESP-296.3"/>
        <s v="ESP-296.4"/>
        <s v="ESP-297"/>
        <s v="ESP-297.1"/>
        <s v="ESP-297.2"/>
        <s v="ESP-298"/>
        <s v="ESP-298.1"/>
        <s v="ESP-299"/>
        <s v="ESP-300"/>
        <s v="ESP-302"/>
        <s v="ESP-304"/>
        <s v="ESP-305"/>
        <s v="ESP-305.1"/>
        <s v="ESP-306"/>
        <s v="ESP-306.1"/>
        <s v="ESP-306.2"/>
        <s v="ESP-307"/>
        <s v="ESP-308"/>
        <s v="ESP-311"/>
        <s v="ESP-312"/>
        <s v="ESP-313"/>
        <s v="ESP-314"/>
        <s v="ESP-315"/>
        <s v="ESP-315.1"/>
        <s v="ESP-315.2"/>
        <s v="ESP-318"/>
        <s v="ESP-320"/>
        <s v="ESP-321"/>
        <s v="ESP-322"/>
        <s v="ESP-322.1"/>
        <s v="ESP-323"/>
        <s v="ESP-324"/>
        <s v="ESP-325"/>
        <s v="ESP-326"/>
        <s v="ESP-328"/>
        <s v="ESP-328.1"/>
        <s v="ESP-329"/>
        <s v="ESP-329.1"/>
        <s v="ESP-329.2"/>
        <s v="ESP-329.3"/>
        <s v="ESP-329.4"/>
        <s v="ESP-334"/>
        <s v="ESP-337"/>
        <s v="ESP-337.1"/>
        <s v="ESP-338"/>
        <s v="ESP-339"/>
        <s v="ESP-340"/>
        <s v="ESP-340.1"/>
        <s v="ESP-340.2"/>
        <s v="ESP-341"/>
        <s v="ESP-341.1"/>
        <s v="ESP-341.2"/>
        <s v="ESP-341.3"/>
        <s v="ESP-342"/>
        <s v="ESP-344"/>
        <s v="ESP-345"/>
        <s v="ESP-347"/>
        <s v="ESP-349"/>
        <s v="ESP-351"/>
        <s v="ESP-352"/>
        <s v="ESP-352.1"/>
        <s v="ESP-354-X"/>
        <s v="ESP-354-Y"/>
        <s v="ESP-354-Y.1"/>
        <s v="ESP-354-Y.2"/>
        <s v="ESP-354-Y.3"/>
        <s v="ESP-354-Y.4"/>
        <s v="ESP-355"/>
        <s v="ESP-355.1"/>
        <s v="ESP-355.2"/>
        <s v="ESP-355.3"/>
        <s v="ESP-355.4"/>
        <s v="ESP-355.5"/>
        <s v="ESP-355.6"/>
        <s v="ESP-355.7"/>
        <s v="ESP-355.8"/>
        <s v="ESP-356"/>
        <s v="ESP-356.1"/>
        <s v="ESP-358"/>
        <s v="ESP-359-X"/>
        <s v="ESP-359-X.1"/>
        <s v="ESP-359-X.2"/>
        <s v="ESP-359-Y"/>
        <s v="ESP-359-Y.1"/>
        <s v="ESP-359-Y.2"/>
        <s v="ESP-359-Y.3"/>
        <s v="ESP-360"/>
        <s v="ESP-360.1"/>
        <s v="ESP-360.2"/>
        <s v="ESP-362"/>
        <s v="ESP-365"/>
        <s v="ESP-366"/>
        <s v="ESP-366.1"/>
        <s v="ESP-366.2"/>
        <s v="ESP-368"/>
        <s v="ESP-371"/>
        <s v="ESP-371.1"/>
        <s v="ESP-373"/>
        <s v="ESP-379"/>
        <s v="ESP-380"/>
        <s v="ESP-380.1"/>
        <s v="ESP-380.2"/>
        <s v="ESP-380.3"/>
        <s v="ESP-381"/>
      </sharedItems>
    </cacheField>
    <cacheField name="PRODUCTO" numFmtId="0">
      <sharedItems>
        <s v="BALANZA 3KG"/>
        <s v="FUNDA IMPERMEABLE (1 UND)"/>
        <s v="BALANZA 40KG"/>
        <s v="BALANZA 5KG"/>
        <s v="CARGADOR DE PILAS RECARGABLES (1 UND)"/>
        <s v="PACK DE 2 PILAS RECARGABLES (1 UND)"/>
        <s v="BALANZA DIGITAL"/>
        <s v="BALANZA GRAMERA 500G"/>
        <s v="CABINA DE SOLDAR CON MESA DE TRABAJO"/>
        <s v="CABINA DE SOLDAR 2.20 X 0.90 X 0.90 M (1 UND)"/>
        <s v="MESA DE SOLDADURA MÓVIL 0.80 X 0.60 X 0.75 M (1 UND)"/>
        <s v="AMOLADORA"/>
        <s v="DISCO DIAMANTADO 125 MM (5 UND)"/>
        <s v="FUNDA DE POLIAMIDA  (1 UND)"/>
        <s v="MANUAL DE INSTRUCCIONES (1 UND)"/>
        <s v="ANALIZADOR DE ESPECTRO"/>
        <s v="ANALIZADOR DE GAS DE ESCAPE"/>
        <s v="CAJA DE ACUMULACIÓN DE GAS (1 UND)"/>
        <s v="BOMBA DE PULSOS (1 UND)"/>
        <s v="DECANTADOR DE AGUA (1 UND)"/>
        <s v="SONDA DE PRUEBA CON MUELLES DE FIJACIÓN (1 UND)"/>
        <s v="TUBOS FLEXIBLES (3 UND)"/>
        <s v="ATORNILLADOR PORTÁTIL"/>
        <s v="SET DE PUNTAS PARA ATORNILLAR (1 UND)"/>
        <s v="AUTOCLAVE 18 LITROS (ESTERILIZACIÓN)"/>
        <s v="BATIDORA"/>
        <s v="BATIDORA AMASADORA MEZCLADORA 5 LT"/>
        <s v="BATIDORA MULTIFUNCIONAL"/>
        <s v="MANUAL DE INSTRUCCIONES (1 UND) "/>
        <s v="BLOCK DE CONTACTORES AUXILIAR NC - NO"/>
        <s v="BORDADORA DOMESTICA DIGITAL, ÁREA DE TRABAJO DE 300 MM X 180 MM"/>
        <s v="PIE DE TRANSPORTE SUPERIOR MOTORIZADO (1 UND)"/>
        <s v="PUNTERO LÁSER (1 UND)"/>
        <s v="PIE DE BORDADO MARCADO CON LUZ LED (1 UND)"/>
        <s v="BASTIDOR 10 X 10 CM (1 UND)"/>
        <s v="BASTIDOR 18 X 13 CM (1 UND)"/>
        <s v="BASTIDOR 30 X 18 CM  (1 UND)"/>
        <s v="BOTÓN PULSADOR INDUSTRIAL (VERDE, AMARILLO, ROJO)"/>
        <s v="BOTÓN PULSADOR INDUSTRIAL VERDE (1 UND)"/>
        <s v="BOTÓN PULSADOR INDUSTRIAL AMARILLO (1 UND)"/>
        <s v="BOTÓN PULSADOR INDUSTRIAL ROJO (1 UND)"/>
        <s v="BLOQUE DE CONTACTO (3 UND)"/>
        <s v="CAMPANA EXTRACTORA ISLA CON EQUIPOS DE EXTRACCIÓN"/>
        <s v="ACCESORIOS DE INSTALACIÓN"/>
        <s v="CAPACÍMETRO DIGITAL"/>
        <s v="CARGADOR DE BATERÍA"/>
        <s v="CAUTÍN"/>
        <s v="SOPORTE DE CAUTÍN (1 UND)"/>
        <s v="LIMPIADOR DE PUNTA (1 UND)"/>
        <s v="CIZALLA GUILLOTINA MECÁNICA"/>
        <s v="COCINA 1 HORNILLA A GAS"/>
        <s v="COCINA DE INDUCCIÓN CON 5 ZONAS DE COCCIÓN Y CON HORNO MULTIFUNCIONAL"/>
        <s v="RASCADOR (SCRAPPER) (1 UND)"/>
        <s v="ASADOR (ROTISSERIE) (1 UND)"/>
        <s v="BANDEJA PROFUNDA 40 MM (1 UND)"/>
        <s v="REJILLA CON TOPE (1 UND)"/>
        <s v="COCINA SEMI INDUSTRIAL"/>
        <s v="COCINA SEMI INDUSTRIAL A GAS"/>
        <s v="COMPRENSORA DE AIRE DE 50 LITROS"/>
        <s v="FILTRO Y REGULADOR DE AIRE (1 UND)"/>
        <s v="KIT ACCESORIOS DE COMPRESOR AIRE (1 UND)"/>
        <s v="ADAPTADOR DE ROSCA 1/2&quot; (1 UND)"/>
        <s v="COMPRESORA DE AIRE (50L - 2HP)"/>
        <s v="COMPRESORA DE AIRE (50L - 3HP)"/>
        <s v="MANGUERA DE AIRE (5 M) (1 UND)"/>
        <s v="COMPROBADORES DE ENCENDIDO"/>
        <s v="CONSERVADORA / CONGELADORA PUERTA VIDRIO VERTICAL   55 LT DUAL"/>
        <s v="CONSERVADORA / CONGELADORA PUERTA VIDRIO VERTICAL 55 LT DUAL"/>
        <s v="CONSOLA DE SONIDO"/>
        <s v="CABLE XLR CON TERMINAL CANON (2 UND)"/>
        <s v="CABLE PARA AUDIO CON: 1 TERMINAL MINI PLUG, 2 TERMINALES PLUG O JACK (2 UND)"/>
        <s v="CABLE PARA AUDIO CON: 1 TERMINAL MINI PLUG, 2 TERMINALES RCA (2 UND)"/>
        <s v="CABLE USB PARA CONECTAR AL COMPUTADOR (1 UND)"/>
        <s v="CONECTORES PARA ADAPTARLOS TERMINALES RCA A PLUG (2 UND)"/>
        <s v="MICRÓFONO XLR (2 UND)"/>
        <s v="CONTACTOR TRIPOLAR"/>
        <s v="CORTADORA LÁSER CO2 (AREA DE TRABAJO MINIMO: 1300 X 900 MM)"/>
        <s v="USB PARA DRIVERS Y MANUALES (1 UND)"/>
        <s v="CORTADORA LÁSER CO2"/>
        <s v="CORTADORA LÁSER CO2 (AREA DE TRABAJO MINIMO: 600 X 400 MM )"/>
        <s v="CURVADORA DE TUBOS HIDRÁULICO"/>
        <s v="DESHIDRATADORA"/>
        <s v="FUNDA PROTECTORA IMPERNEABLE (1 UND)"/>
        <s v="DESTORNILLADOR INALÁMBRICO"/>
        <s v="SET 32 PIEZAS DE PUNTAS DIFERENTES PARA ATORNILLAR (1 UND)"/>
        <s v="CUERDA ELÁSTICA RETRÁCTIL (PROTECCION ANTI CAIDAS) (1 UND)"/>
        <s v="CUERDA RETRACTIL (1 UND)"/>
        <s v="DIVISORA DE PAN"/>
        <s v="ELEVADOR DE COLUMNAS HIDRÁULICO"/>
        <s v="ELEVADOR DE TIJERA"/>
        <s v="ENCHAPADORA DE CANTOS CON DEPÓSITO DE COLA Y MESA ESTACIONARIA"/>
        <s v="COMPRESORA PARA FUNCIONAMIENTO (1 UND)"/>
        <s v="KIT DE ENTRENADOR BÁSICO DE SISTEMA DE RED DE PC"/>
        <s v="KIT DE ENTRENADOR DE REDES Y CABLEADO"/>
        <s v="EQUIPO DE ASPIRACIÓN"/>
        <s v="BOLSAS PARA VIRUTAS 270 LITROS (1 UND)"/>
        <s v="EQUIPO DESPEDREGADORA"/>
        <s v="EQUIPO PARA PINTURA POR SPRAY"/>
        <s v="PISTOLA PARA PINTURA POR SPRAY (1 UND)"/>
        <s v="MANGUERA PARA EQUIPO DE PINTURA (1 UND)"/>
        <s v="ADAPTADOR PARA PISTOLA Y MANGUERA (1 UND)"/>
        <s v="ESCANER UNIVERSAL AUTOMOTRIZ"/>
        <s v="ESMERIL DE BANCO"/>
        <s v="BANCO DE SOPORTE (1 UND)"/>
        <s v="PIEDRA DE AFILAR (1 UND)"/>
        <s v="PIEDRA DE ASENTAR (1 UND)"/>
        <s v="DISPOSITIVO DE RECTIFICADO DE MUELA (1 UND)"/>
        <s v="PASTA DE AFILADO (1 UND)"/>
        <s v="DISPOSITIVO DE AFILADO UNIVERSAL (1 UND)"/>
        <s v="ESMERIL DE BANCO (CON SOPORTE)"/>
        <s v="ESTACIÓN MÓVIL PARA ENTRENAMIENTO DE INSTALACIONES ELÉCTRICAS DOMICILIARIAS"/>
        <s v="ESTETOSCOPIO DE MECÁNICO"/>
        <s v="EXTRACTOR"/>
        <s v="EXTRACTOR DE HUMO"/>
        <s v="EXTRACTOR DE SOLDADURA"/>
        <s v="EXTRACTOR DE VÁLVULAS (COMPRESOR DE MUELLES DE VÁLVULAS UNIVERSAL TIPO ARCO)"/>
        <s v="FRECUENCÍMETRO DIGITAL"/>
        <s v="FREIDORA DE DOS BANDEJAS"/>
        <s v="FREIDORA DE SOBREMESA A GAS"/>
        <s v="CUBETA FILTRO RECOGE-ACEITE (1 UND)"/>
        <s v="FUENTE DE ALIMENTACIÓN"/>
        <s v="MALETIN DE TRANSPORTE (1 UND)"/>
        <s v="CABLES DE CONEXIÓN BANANA A COCODRILO CON COLORES DE POLARIDADES + / GND / - (VERDE) (1 UND)"/>
        <s v="CABLES DE CONEXIÓN BANANA A COCODRILO (ROJO / NEGRO) (1 UND)"/>
        <s v="GATO HIDRÁULICO TIPO LAGARTO"/>
        <s v="GENERADOR DE SEÑALES ANALÓGICAS Y DIGITALES"/>
        <s v="GRATINADOR"/>
        <s v="HORNO PASTELERO"/>
        <s v="HORNO TOSTADOR"/>
        <s v="IMPRESORA 3D"/>
        <s v="ROLLO DE FILAMENTO PLA (1 UND)"/>
        <s v="IMPRESORA DIGITAL TEXTIL"/>
        <s v="IMPRESORA PARA SUBLIMACIÓN"/>
        <s v="TINTA 1L PARA SUBLIMACIÓN CYAN (1 UND)"/>
        <s v="TINTA 1L PARA SUBLIMACIÓN YELLOW (1 UND)"/>
        <s v="TINTA 1L PARA SUBLIMACIÓN MAGENTA (1 UND)"/>
        <s v="TINTA 1L PARA SUBLIMACIÓN BLACK (1 UND)"/>
        <s v="PACK DE 100 HOJAS PARA SUBLIMACIÓN (1 UND)"/>
        <s v="INCUBADORA PARA YOGURT"/>
        <s v="JUEGO DE CABLES UTP"/>
        <s v="KIT COMPLETO DE INICIO PARA DESARROLLO DE ELECTRÓNICA CON MICROCONTROLADOR"/>
        <s v="PROGRAMADOR DE PIC K150 ICSP CON ADAPTADOR UNIVERSAL (1 UND)"/>
        <s v="MOTORES AC/DC Y VARIADOR DE VELOCIDAD, REGULADORES DE VELOCIDAD (1 UND)"/>
        <s v="USB PARA DRIVERS Y MANUALES (1 UND) "/>
        <s v="ADAPTADOR DE CORRIENTE AC A CC (1 UND)"/>
        <s v="KIT DE COMPONENTES COMPLEMENTARIOS"/>
        <s v="KIT DE PLATAFORMA ELECTRÓNICA DE CÓDIGO ABIERTO - TARJETA DE MEGA2560"/>
        <s v="USB CON GUÍA/MANUAL DE ARDUINO (1 UND)"/>
        <s v="LISTA DE COMPONENTES (1 UND)"/>
        <s v="KIT DE ELECTRICIDAD PARA EL APRENDIZAJE DE ELECTRICIDAD BÁSICA (ELECTROMAGNETISMO, CIRCUITOS ELÉCTRICOS, MOTOR ELÉCTRICO)"/>
        <s v="KIT DE ENTRENAMIENTO DE ELECTRÓNICA DE POTENCIA"/>
        <s v="MESA DE SOPORTE (1UND)"/>
        <s v="KIT DE ENTRENAMIENTO CON MICROCONTROLADORES"/>
        <s v="PICKIT3 (1 UND)"/>
        <s v="KIT DE ENTRENAMIENTO EN LA GENERACIÓN DE ELECTRICIDAD CON ENERGÍA RENOVABLE FOTOVOLTAICO Y EÓLICO"/>
        <s v="KIT DE EQUIPO OXICORTE"/>
        <s v="BOQUILLAS DE CORTE OXÍGENO/ACETILENO N° 3  (1 UND)"/>
        <s v="BOQUILLAS DE CORTE OXÍGENO/ACETILENO  N° 4  (1 UND)"/>
        <s v="BOQUILLAS DE CORTE OXÍGENO/ACETILENO N° 5  (1 UND)"/>
        <s v="6 M DE MANGUERA MELLIZO 1⁄4” DE ALTA PRESIÓN COLOR ROJO  (1 UND)"/>
        <s v="6 M DE MANGUERA MELLIZO 1⁄4” DE ALTA PRESIÓN COLOR VERDE  (1 UND)"/>
        <s v="KIT DE ESTACIONES DE ENTRENAMIENTO DE INSTALACIONES DE SISTEMAS DE SEGURIDAD"/>
        <s v="KIT DE INICIO DE ELECTRÓNICA BÁSICA (COMPONENTES DE ELECTRÓNICA BÁSICA)"/>
        <s v="KIT DE MOTOR DE COMBUSTIÓN INTERNA V8 DE MATERIAL SINTÉTICO, ARMABLE Y DESARMABLE"/>
        <s v="PACK DE 3 PILAS AA (1 UND)"/>
        <s v="KIT DE ROBÓTICA PARA PLATAFORMA ELECTRÓNICA DE CÓDIGO ABIERTO"/>
        <s v="KIT DE SOLDADURA - ESTACIÓN DE CALOR"/>
        <s v="KIT DE TALADRO/DESTORNILLADOR INALÁMBRICO "/>
        <s v="KITS DE ROBOTS &quot;NO ESTRUCTURADOS&quot;: APLICACIONES A LA INDUSTRIA"/>
        <s v="PIEZAS COMPATIBLES (20 UND)"/>
        <s v="ESTUCHES DE PLÁSTICO (400 UND)"/>
        <s v="LICUADORA INDUSTRIAL"/>
        <s v="LIJADORA DE BANDA Y DISCO DE MESA"/>
        <s v="LIJADORA ORBITAL PORTÁTIL"/>
        <s v="PAPEL ABRASIVO (1 UND)"/>
        <s v="PAPEL ABRASIVO TIPO VELCRO (1 UND)"/>
        <s v="PLACA PERFORADORA (1 UND)"/>
        <s v="ALMOHADILLAS DE RESPALDO (2 UND)"/>
        <s v="BOLSA COLECTORA DE POLVO (1 UND)"/>
        <s v="CAJA DE POLVO (1 UND)"/>
        <s v="FILTRO (1 UND)"/>
        <s v="MANGUERA (1 UND)"/>
        <s v="CARCASA O FUNDA DE POLIAMIDA (1 UND)"/>
        <s v="MANDOLINA ELÉCTRICA PARA COCINA"/>
        <s v="DISCO JULIENNE (1 UND)"/>
        <s v="MÁQUINA BORDADORA SEMI INDUSTRIAL"/>
        <s v="SOFTWARE DE DISEÑO CON LICENCIA PERMANENTE (1 UND)"/>
        <s v="PORTA CONOS (1 UND)"/>
        <s v="BOBINAS (1 UND)"/>
        <s v="LÁMPARAS (1 UND)"/>
        <s v="CARRETELES  (1 UND)"/>
        <s v="100 AGUJAS PARA COSER N° 18 (1 UND)"/>
        <s v="100 AGUJAS PARA COSER N° 15 (1 UND)"/>
        <s v="MÁQUINA CORTADORA MANUAL DE DISCO"/>
        <s v="MÁQUINA DE COSER DOMÉSTICA ELECTRÓNICA DIGITAL 1200 PUNTADAS POR MINUTO"/>
        <s v="MÁQUINA DE COSER SEMI INDUSTRIAL MECÁNICA"/>
        <s v="MÁQUINA DE COSTURA RECTA INDUSTRIAL"/>
        <s v="MUEBLE (1 UND)"/>
        <s v="LÁMPARA (1 UND)"/>
        <s v="CARRETELES (1 UND)"/>
        <s v="DEPÓSITOS DE ACEITE (1 UND)"/>
        <s v="100 AGUJAS DE COSER N° 12 (1 UND)"/>
        <s v="100 AGUJAS DE COSER N° 14 (1 UND)"/>
        <s v="MÁQUINA DE HELADOS CON TEMPORIZADOR"/>
        <s v="MÁQUINA DE SOLDAR MULTIPROCESO"/>
        <s v="CARRETE PARA SOLDAR MIG ALUMINIO (1 UND)"/>
        <s v="CARRETE PARA SOLDAR MIG FLUXX (1 UND)"/>
        <s v="CARRETE PARA SOLDAR MIG (1 UND)"/>
        <s v="PISTOLA PORTA-CARRETE (1 UND)"/>
        <s v="MÁQUINA DE SOLDAR MULTIPROCESO CON CARRO DE TRANSPORTE"/>
        <s v="CARRO DE TRANSPORTE DE ACERO (1 UND)"/>
        <s v="ALIMENTADOR DE ALAMBRE (1 UND)"/>
        <s v="PISTOLA PARA PROCESO (1 UND)"/>
        <s v="REGULADOR DE CAUDAL (1 UND)"/>
        <s v="ANTORCHAS DE SOLDADURA TIG (1 UND)"/>
        <s v="MÁQUINA DE SOLDAR POR ELECTRODO O ARCO ELÉCTRICO"/>
        <s v="MÁQUINA DOMÉSTICA RECUBRIDORA (COLLARETERA)"/>
        <s v="MÁQUINA DOMÉSTICA REMALLADORA (FILETEADORA)"/>
        <s v="MÁQUINA ENGALLETADORA"/>
        <s v="MÁQUINA GARLOPA"/>
        <s v="MÁQUINA PARA EL REVELADO POR INMERSIÓN"/>
        <s v="MÁQUINA PARA EL RUTEADO DE CONTORNO Y PERFORADO"/>
        <s v="SOFTWARE PARA RUTEADO (1 UND)"/>
        <s v="MÁQUINA PARA LA EXPOSICIÓN FOTOGRÁFICA"/>
        <s v="MÁQUINA PARA LA PREPARACIÓN DE OJALILLOS"/>
        <s v="MÁQUINA TRANSFER BASE CURVA DIGITAL"/>
        <s v="MÁQUINA TRANSFER BASE PLANA DIGITAL"/>
        <s v="MÁQUINA TRANSFER DIGITAL CON ACCESORIOS PARA PRENDAS, GORRO, PLATOS, TAZAS, BOTELLAS"/>
        <s v="MÁQUINA TRICOTERA INDUSTRIAL"/>
        <s v="MARMITA A GAS DE 10 LITROS"/>
        <s v="MEDIDOR DE ENERGÍA ACTIVA MONOFÁSICO Y TRIFÁSICO||"/>
        <s v="PILA DE BOTÓN DE 3 V (1 UND)"/>
        <s v="MEGÓMETRO DIGITAL"/>
        <s v="PILAS 1.5V BATERÍAS AA (LR6) (6 UND)"/>
        <s v="MICRÓFONO CONDENSADOR PARA ESTUDIO"/>
        <s v="BRAZO ARTICULADO ACOPLABLE (5/8&quot;)"/>
        <s v="MICROONDAS"/>
        <s v="MICRÓFONO DINÁMICO"/>
        <s v="MINITALADRO PORTATIL"/>
        <s v="MÓDULO DE BLUETOOTH TIPO HC-05 PARA PLATAFORMA ELECTRÓNICA DE CÓDIGO ABIERTO"/>
        <s v="MÓDULO DE BLUETOOTH TIPO HC-06 PARA PLATAFORMA ELECTRÓNICA DE CÓDIGO ABIERTO"/>
        <s v="MÓDULO DE ENTRENAMIENTO PARA EL DESARROLLO DE CIRCUITOS ELECTRÓNICOS ANALÓGICOS Y DIGITALES"/>
        <s v="MÓDULO DE PLC"/>
        <s v="SOFTWARE DE PROGRAMACIÓN PARA EL PLC (1 UND)"/>
        <s v="MÓDULO DE EXTENSIÓN (1 UND)"/>
        <s v="TABLERO ELÉCTRICO PARA PRUEBA DE MÓDULOS (1 POR INSTITUCIÓN)"/>
        <s v="MÓDULO DE SISTEMA EDUCATIVO DE MOTOR DIESEL (ELECTRÓNICO)"/>
        <s v="MÓDULO DE SISTEMA HÍBRIDO ECU HV"/>
        <s v="MÓDULO EDUCATIVO DE MONTAJE Y DESMONTAJE DE MOTOR DE GASOLINA"/>
        <s v="MÓDULO EDUCATIVO DE SIMULACIÓN DE MOTOR DE GASOLINA (ENTRENADOR EDUCATIVO DE&#10;MOTOR DE GASOLINA CON INYECCIÓN ELECTRÓNICA)"/>
        <s v="MÓDULO EDUCATIVO DE SIMULACIÓN DE TRANSMISIÓN DE POTENCIA"/>
        <s v="MÓDULO EDUCATIVO DE SISTEMA CARGA Y ARRANQUE"/>
        <s v="MÓDULO EDUCATIVO DE SISTEMA DE ENCENDIDO (ELECTRÓNICO)"/>
        <s v="MÓDULO EDUCATIVO DE SISTEMA DE LUCES"/>
        <s v="MÓDULO EDUCATIVO DE SISTEMA ELÉCTRICO ELECTRÓNICO COMPUTARIZADO"/>
        <s v="MÓDULO EDUCATIVO DE SUSPENSIÓN, DIRECCIÓN Y FRENOS"/>
        <s v="MÓDULO EDUCATIVO Y SIMULADOR DE SISTEMA DE FRENOS ABS Y TCS CONTROL DE TRACCIÓN"/>
        <s v="MOLINO ELÉCTRICO"/>
        <s v="MOLINO ELÉCTRICO PULVERIZADOR DE HIERBAS Y GRANOS"/>
        <s v="MOLINO PASTA DE CACAO"/>
        <s v="MOTOR ELÉCTRICO MONOFÁSICO"/>
        <s v="MOTOR ELÉCTRICO TRIFÁSICO DE 12 TERMINALES"/>
        <s v="MOTOR ELÉCTRICO TRIFÁSICO DE 6 TERMINALES"/>
        <s v="MULTÍMETRO DIGITAL"/>
        <s v="PACK DE 4 PILAS 1.5V AAA (1 UND)"/>
        <s v="MULTIPROCESADOR ALIMENTOS ROBOV"/>
        <s v="MULTITESTER"/>
        <s v="OLLA A PRESIÓN 9 LITROS"/>
        <s v="OLLA ARROCERA"/>
        <s v="REMO (1 UND)"/>
        <s v="VAPORERA DE BAMBÚ (1 UND)"/>
        <s v="OPACÍMETRO"/>
        <s v="OSCILOSCOPIO DIGITAL"/>
        <s v="CARRO PORTAHERRAMIENTAS CON 2 BANDEJAS (1 UND)"/>
        <s v="MALETÍN DE TRANSPORTE (1 UND)"/>
        <s v="PILAS O BATERÍAS (1 UND)"/>
        <s v="LAZOS DE SEGURIDAD (1 UND)"/>
        <s v="GUÍA RÁPIDA DE INSTRUCCIONES (1 UND)"/>
        <s v="PASTEURIZACIÓN DOMÉSTICO 15 LITROS"/>
        <s v="PILOTO DE SEÑALIZACIÓN DE LED (VERDE, AMARILLO, ROJO, BLANCO, AZUL)"/>
        <s v="PILOTO DE SEÑALIZACIÓN DE LED (VERDE, 220VAC)"/>
        <s v="PILOTO DE SEÑALIZACIÓN DE LED (VERDE,  24VDC)"/>
        <s v="PILOTO DE SEÑALIZACIÓN DE LED (AMARILLO, 220VAC)"/>
        <s v="PILOTO DE SEÑALIZACIÓN DE LED (AMARILLO, 24VDC)"/>
        <s v="PILOTO DE SEÑALIZACIÓN DE LED (ROJO, 220VAC)"/>
        <s v="PILOTO DE SEÑALIZACIÓN DE LED (ROJO, 24VDC)"/>
        <s v="PILOTO DE SEÑALIZACIÓN DE LED (BLANCO, 220VAC)"/>
        <s v="PILOTO DE SEÑALIZACIÓN DE LED (BLANCO, 24VDC)"/>
        <s v="PILOTO DE SEÑALIZACIÓN DE LED (AZUL, 220VAC)"/>
        <s v="PILOTO DE SEÑALIZACIÓN DE LED (AZUL, 24VDC)"/>
        <s v="PINZA AMPERIMÉTRICA"/>
        <s v="PILAS 1.5V AAA (3 UND)"/>
        <s v="PINZA VOLTAMPERIMÉTRICA"/>
        <s v="PISTOLA DE PINTAR DE GRAVEDAD"/>
        <s v="MANGUERA 5M (1 UND)"/>
        <s v="CONECTORES RÁPIDOS (1 UND)"/>
        <s v="PISTOLA PARA PINTAR VASO ALUMINIO (1 UND)"/>
        <s v="PISTOLA PARA PINTAS BAJA PRESIÓN (1 UND)"/>
        <s v="PISTOLA DE SOLDAR"/>
        <s v="SOPORTE (1 UND)"/>
        <s v="PISTOLA SOPLADORA DE AIRE"/>
        <s v="CONECTOR RÁPIDO DE 1/4&quot; MACHO - 27023 PRETUL (1 UND)"/>
        <s v="PLANCHA A VAPOR"/>
        <s v="PLANCHA A VAPOR VERTICAL"/>
        <s v="PLANCHA DE SOBREMESA A GAS"/>
        <s v="PLEGADORA DE PLANCHA MANUAL"/>
        <s v="PLOTTER"/>
        <s v="PLOTTER DE CORTE"/>
        <s v="PLUMA HIDRÁULICA"/>
        <s v="PRENSA HIDRÁULICA"/>
        <s v="PROBADOR DE CABLES DE RED"/>
        <s v="PROBADOR DE CABLES ELÉCTRICOS"/>
        <s v="PROBADOR DE PRESIÓN DE COMBUSTIBLE"/>
        <s v="PROBADORES DE PRESIÓN Y VACÍO"/>
        <s v="PROTOBOARD: PLACA DE PRUEBAS"/>
        <s v="CABLES DE CONEXIÓN PARA LOS PUNTOS DE CONTACTO (20 UND)"/>
        <s v="CABLES PARA CONEXIÓN ENTRE PUNTOS (20 UND)"/>
        <s v="PUNTA LÓGICA AUTOMOTOR"/>
        <s v="REBANADORA DE PAN"/>
        <s v="REFRESQUERA ENFRIADOR DE BEBIDAS"/>
        <s v="REFRIGERADORA (CAPACIDAD 187L)"/>
        <s v="BANDEJAS DE VIDRIO TEMPLADO (3 UND)"/>
        <s v="REFRIGERADORA (CAPACIDAD 255L)"/>
        <s v="REFRIGERADORA (CAPACIDAD 617L)"/>
        <s v="REGRUESADORA (DE MESA)"/>
        <s v="RELÉ PROGRAMABLE"/>
        <s v="RUTEADORA  PORTATIL"/>
        <s v="JUEGO DE 12 FRESAS CON INSERCIÓN DE 8 MM (1 UND)"/>
        <s v="RUTEADORA CNC"/>
        <s v="MESA PARA RUTEADORA CNC (1UND)"/>
        <s v="LAPTOP (1UND)"/>
        <s v="ESTABILIZADOR PARA LAPTOP (1 UND)"/>
        <s v="HUSILLO 900W (1 UND)"/>
        <s v="SECADOR DE CÁMARA VERTICAL"/>
        <s v="SELECCIONADORA DE ZARANDA"/>
        <s v="SELLADORA AL VACÍO"/>
        <s v="SELLADORA DE BOLSAS PLÁSTICAS"/>
        <s v="SENSOR DE PROXIMIDAD CAPACITIVOS"/>
        <s v="SENSOR DE PROXIMIDAD CAPACITIVOS PNP (1 UND)"/>
        <s v="SENSOR DE PROXIMIDAD CAPACITIVOS NPN (1 UND)"/>
        <s v="SENSOR DE PROXIMIDAD INDUCTIVOS"/>
        <s v="TURCK RKC4T-2/TEL (1 UND)"/>
        <s v="SENSOR DE PROXIMIDAD INDUCTIVOS NPN  (1 UND)"/>
        <s v="SENSOR DE PROXIMIDAD INDUCTIVOS PNP (1 UND)"/>
        <s v="SENSORES FOTOELÉCTRICOS"/>
        <s v="SIERRA CALADORA"/>
        <s v="SIERRA CINTA"/>
        <s v="SIERRA CIRCULAR"/>
        <s v="SIERRA RADIAL"/>
        <s v="SIMULADOR DE SOLDADURA"/>
        <s v="TACÓMETRO"/>
        <s v="PACK DE 4 PILAS AA (1 UND)"/>
        <s v="TALADRO DE COLUMNA"/>
        <s v="TORNILLO DE BANCO PARA LA MESA DE TRABAJO DEL TALADRO, CON MÍNIMO ANCHO DE MANDÍBULA DE 100 MM (1 UND)"/>
        <s v="INCLUYE: JUEGO DE BROCAS DE TITANIO DE MÍNIMO 25 UNIDADES DE BROCAS PARA METAL, DE DIÁMETROS ENTRE 1 MM A 13 MM (1 UND)"/>
        <s v="JUEGO DE BROCAS PARA METAL, ENTRE: 14 MM A 20 MM DE DIÁMETRO. (1 UND)"/>
        <s v="JUEGO DE BROCAS PARA METAL, ENTRE: 22 MM A 25 MM DE DIÁMETRO. (1 UND)"/>
        <s v="TALADRO DE COLUMNA DE MESA"/>
        <s v="JUEGO DE BROCAS HSS DE TRES PUNTAS (DIÁMETROS: 3 MM, 4 MM, 5 MM, 6 MM, 7 MM, 8 MM, 9 MM, 10 MM, 11 MM, 12 MM, 13 MM) (1 UND)"/>
        <s v="JUEGO DE BROCAS HSS DE TRES PUNTAS DIÁMETRO 14 MM (1 UND)"/>
        <s v="JUEGO DE BROCAS HSS DE TRES PUNTAS DIÁMETRO15 MM (1 UND)"/>
        <s v="JUEGO DE BROCAS HSS DE TRES PUNTAS DIÁMETRO 16 MM (1 UND)"/>
        <s v="JUEGO DE BROCAS DE TITANIO (DIÁMETROS: 1 MM A 13 MM) (1 UND)"/>
        <s v="TALADRO HORIZONTAL / ESCOPLEADORA"/>
        <s v="JUEGO DE 6 BROCAS DE ORIFICIO LARGO, DIÁMETROS ENTRE: 6 - 16 MM (1 UND)"/>
        <s v="TALADRO PERCUTOR PORTÁTIL"/>
        <s v="TALADRO PORTÁTIL"/>
        <s v="SET DE BROCAS DIAMANTADAS, MÍNIMO 20 UNIDADES, DIÁMETRO ENTRE 1 MM - 4 MM (1 UND)"/>
        <s v="SET DE BROCAS DIAMANTADAS, DIÁMETRO ENTRE 4 MM - 13 MM (1 UND)"/>
        <s v="LUZ LED RECARGABLE (1 UND)"/>
        <s v="SET DE BROCAS SIERRA CORONA x15 UNIDADES (1 UND)"/>
        <s v="SET DE BROCAS DE TITANIO x25 UNIDADES (1 UND)"/>
        <s v="TALADRO PORTÁTIL INALÁMBRICO CON SET DE BROCAS"/>
        <s v="TARJETA O PLATAFORMA DE ELECTRÓNICA DE CÓDIGO ABIERTO"/>
        <s v="TELURÓMETRO DIGITAL"/>
        <s v="SOPORTE INCLINADO (1 UND)"/>
        <s v="TINA QUESERA A GAS"/>
        <s v="TORNO DE MADERA DE 90 CM ENTRE PUNTAS"/>
        <s v="PLATO DE 4 GARRAS PARA TORNO DE MADERA DIAM. 100 MM - M33X3,5 (1 UND)"/>
        <s v="TRONZADORA DE METAL"/>
        <s v="VARIADOR DE FRECUENCIA (MONOFÁSICO A TRIFÁSICO)"/>
        <s v="VATÍMETRO DIGITAL"/>
        <s v="PACK DE 6 PILAS AA 1,5V (1 UND)"/>
        <s v="VECTOR ANALIZADOR DE REDES"/>
      </sharedItems>
    </cacheField>
    <cacheField name="CANT TOTAL" numFmtId="0">
      <sharedItems containsString="0" containsBlank="1" containsNumber="1" containsInteger="1">
        <n v="4.0"/>
        <n v="8.0"/>
        <n v="1.0"/>
        <n v="20.0"/>
        <n v="0.0"/>
        <n v="3.0"/>
        <n v="9.0"/>
        <n v="12.0"/>
        <n v="36.0"/>
        <n v="108.0"/>
        <n v="2.0"/>
        <n v="5.0"/>
        <n v="18.0"/>
        <m/>
        <n v="11.0"/>
        <n v="16.0"/>
        <n v="80.0"/>
        <n v="1600.0"/>
        <n v="13.0"/>
        <n v="72.0"/>
        <n v="15.0"/>
        <n v="10.0"/>
        <n v="60.0"/>
        <n v="6.0"/>
      </sharedItems>
    </cacheField>
    <cacheField name="CANT PLAN">
      <sharedItems containsMixedTypes="1" containsNumber="1" containsInteger="1">
        <n v="4.0"/>
        <n v="8.0"/>
        <n v="1.0"/>
        <e v="#N/A"/>
        <n v="20.0"/>
        <n v="3.0"/>
        <n v="9.0"/>
        <n v="12.0"/>
        <n v="36.0"/>
        <n v="108.0"/>
        <n v="2.0"/>
        <n v="5.0"/>
        <n v="18.0"/>
        <n v="11.0"/>
        <n v="16.0"/>
        <n v="80.0"/>
        <n v="1600.0"/>
        <n v="13.0"/>
        <n v="72.0"/>
        <n v="15.0"/>
        <n v="10.0"/>
        <n v="60.0"/>
        <n v="6.0"/>
      </sharedItems>
    </cacheField>
    <cacheField name="¿IGUAL?" numFmtId="0">
      <sharedItems>
        <s v="SI"/>
        <s v="-"/>
        <e v="#N/A"/>
      </sharedItems>
    </cacheField>
    <cacheField name="TALLER" numFmtId="0">
      <sharedItems containsBlank="1">
        <s v="INDUSTRIA ALIMENTARIA"/>
        <m/>
        <s v="COCINA Y REPOSTERÍA"/>
        <s v="CONSTRUCCIONES METÁLICAS"/>
        <s v="MECÁNICA AUTOMOTRÍZ, CONSTRUCCIONES METÁLICAS"/>
        <s v="ELECTRÓNICA"/>
        <s v="MECÁNICA AUTOMOTRÍZ"/>
        <s v="ELECTRICIDAD"/>
        <s v="INDUSTRIA DEL VESTIDO"/>
        <s v="EBANISTERÍA"/>
        <s v="COMPUTACIÓN E INFORMÁTICA"/>
        <s v="INDUSTRIA DEL VESTIDO, INDUSTRIA ALIMENTARIA"/>
        <s v="MECÁNICA AUTOMOTRÍZ, EBANISTERÍA"/>
        <s v="COCINA Y REPOSTERÍA, ELECTRICIDAD, ELECTRÓNICA"/>
      </sharedItems>
    </cacheField>
    <cacheField name="EETT" numFmtId="0">
      <sharedItems containsBlank="1">
        <s v="12 Taller_Industria_Alimentaria_Firmado.pdf"/>
        <m/>
        <s v="5 Taller_Cocina y Respostería_Firmado.pdf"/>
        <s v="16 Taller_Construcciones Metálicas_Firmado.pdf"/>
        <s v="1 Taller_Mecanica_Automotriz_Firmado.pdf"/>
        <s v="11 Taller_Electrónica_Firmado.pdf"/>
        <s v="15 Taller_Electricidad_Firmado.pdf"/>
        <s v="4 Taller_Industria del vestido_Firmado.pdf"/>
        <s v="6 Taller_Ebanistería_Firmado.pdf"/>
        <s v="8 Taller_Computación e informatica_Firmado.pdf"/>
      </sharedItems>
    </cacheField>
    <cacheField name="DETALLE" numFmtId="0">
      <sharedItems containsBlank="1">
        <m/>
        <s v="CON PROVEEDOR EXTERNO"/>
        <s v="CARGADOR DE PILAS AA/AAA"/>
        <s v="PILAS RECARGABLES  AAA 800 MAH"/>
        <s v="SE MANDA A FABRICAR"/>
        <s v="DISCO DIAMANTADO DE 125 mm"/>
        <s v="SET DE PUNTAS ACERO 32 UNIDADES"/>
        <s v="CON PROVEEDOR O EXTERNO"/>
        <s v="ACCESORIO BROTHER - DIRECT DUAL FEED"/>
        <s v="ACCESORIO BROTHER - LED POINTER"/>
        <s v="ACCESORIO BROTHER - EMBROIDERY FOOT WITH LED POINTER FLED1"/>
        <s v="ACCESORIO BROTHER - BASTIDOR EF74"/>
        <s v="ACCESORIO BROTHER - BASTIDOR EF75"/>
        <s v="ACCESORIO BROTHER - BASTIDOR EF76"/>
        <s v="UNO ROJO, UNO VERDE, UNO AMARILLO"/>
        <s v="SOPORTE DE CAUTÍN "/>
        <s v="LIMPIADOR DE PUNTAS METÁLICO PARA CAUTÍN"/>
        <s v="MANGUERA DE AIRE 1/4&quot; 5M LAGO"/>
        <s v="CABLE BALANCEADO XLR MACHO A XLR HEMBRA MRS BKSTG-X3M-X3F-1"/>
        <s v="CABLE DE AUDIO 1 PLUG 3.5MM MACHO A 2 PLUG 6.3MM MACHP 1.80MTS PE-RS0109 NETCOM"/>
        <s v="CABLE DE AUDIO 2 RCA MACHO A 1 PLUG 3.5MM 1.8MTS NETCOM PE-RS0112"/>
        <s v="CABLE EXTENSION USB 2.0 MACHO A MACHO 1.5Mts"/>
        <s v="ADAPTADOR DE AUDIO 2 RCA A PLUG STEREO 6.35MM SEETRONIC MP3-2RF"/>
        <s v="SOLICITAR LA VERSION MONOFÁSICA"/>
        <s v="JUEGO DE TORNEADO PARA RECTIFICADORAS HÚMEDAS"/>
        <s v="CONSULTAR PROVEEDOR"/>
        <s v="FILAMENTO PLA"/>
        <s v="MEMORIA CON DRIVERS Y MANUALES"/>
        <s v="PIC K150 ICSP CON ADAPTADOR UNIVERSAL"/>
        <s v="KIT DE PLATAFORMA ELECTRÓNICA DE CÓDIGO ABIERTO - TARJETA DE MEGA2560 "/>
        <s v="CONSULTAR AL PROVEEDOR"/>
        <s v="PROGRAMADOR PICKIT3"/>
        <s v="PILA DE BOTÓN DE 3 V"/>
        <s v="PILAS 1.5V BATERÍAS AA (LR6) X 6 "/>
        <s v="SOFTWARE DE PROGRAMACIÓN PARA ZELIO LOGIC"/>
        <s v="CARRO MESA RODANTE 2 BANDEJAS PARA TALLER 9064K-02"/>
        <s v="R&amp;S® RTH-Z4&#10;TRANSIT CASE"/>
        <s v="SDSBATTERY 7,4 V, 8000 MA"/>
        <s v="CABLE DE SEGURIDAD TARGUS DEFCON CL – ACERO CON CLAVE PA410U"/>
        <s v="Pilas Alcalinas Duracell AAA x8 Unidades Zinc/Carbón"/>
        <s v="MANGUERA 5M"/>
        <s v="CONECTORES RÁPIDOS"/>
        <s v="SOPORTE"/>
        <s v="LIMPIADOR DE PUNTA"/>
        <s v="CONECTOR RÁPIDO DE 1/4&quot; MACHO - 27023"/>
        <s v="CABLES DE CONEXIÓN PARA LOS PUNTOS DE CONTACTO"/>
        <s v="CABLES PARA CONEXIÓN ENTRE PUNTOS"/>
        <s v="JUEGO DE 12 FRESAS CON ENCASTRE DE 8 MM"/>
        <s v="CABLE TURCK RKC4T-2/TEL"/>
        <s v="SOLICITAR OPCIONAL 74 INCISOR DE TRANSMISIÓN MECÁNICA Ø 80 MM&#10;SOLICITAR OPCIONAL 003 TENSIÓN DEL MOTOR 1X 230 V, POTENCIA DEL MOTOR 4,0 CV (3,0 KW) S6/40%&#10;SOLICITAR OPCIONAL 005 FRECUENCIA DEL MOTOR 60 HZ"/>
      </sharedItems>
    </cacheField>
    <cacheField name="MARCA" numFmtId="0">
      <sharedItems containsBlank="1">
        <s v="OHAUS"/>
        <m/>
        <s v="OPALUX"/>
        <s v="Precisur"/>
        <s v="Torrey"/>
        <s v="Truper"/>
        <s v="NUPRINOX"/>
        <s v="BOSCH"/>
        <s v="Gwinstek"/>
        <s v="BRAIN BEE"/>
        <s v="JAMPAR"/>
        <s v="SINMAG"/>
        <s v="VIKALE"/>
        <s v="BIOLOMIX"/>
        <s v="Schneider Electric"/>
        <s v="BROTHER"/>
        <s v="EAO"/>
        <s v="B&amp;K Precision"/>
        <s v="TELWIN"/>
        <s v="Promatisa"/>
        <s v="METALLKRAFT"/>
        <s v="LINOX"/>
        <s v="SMEG"/>
        <s v="DRACCO"/>
        <s v="GOODYEAR"/>
        <s v="JASTIND"/>
        <s v="SMAD"/>
        <s v="SOOOM"/>
        <s v="THUNDER LASER"/>
        <s v="NARGESA"/>
        <s v="MAQORITO"/>
        <s v="INDUSTRIA CORTIJO"/>
        <s v="LAUNCH"/>
        <s v="FELDER"/>
        <s v="LABTECH"/>
        <s v="HOLZSTAR"/>
        <s v="DELANI"/>
        <s v="Autel"/>
        <s v="scheppach"/>
        <s v="STANLEY"/>
        <s v="ssedumachine"/>
        <s v="AUTOLUMEN"/>
        <s v="THOMAS"/>
        <s v="DONALDSON"/>
        <s v="Takema"/>
        <s v="AB Tools"/>
        <s v="Promax"/>
        <s v="ADEXA"/>
        <s v="FRISTEEL"/>
        <s v="UNI-T"/>
        <s v="Owon"/>
        <s v="IMPERIAL"/>
        <s v="NOVA"/>
        <s v="FABRICAR A MEDIDA"/>
        <s v="YOSHAN"/>
        <s v="Creality"/>
        <s v="EPSON"/>
        <s v="ZENITH LAB"/>
        <s v="COMMSCOPE + PANDUIT"/>
        <s v="MAXQI INTERNATIONAL COMPANY LIMITED"/>
        <s v="Maxqi"/>
        <s v="Shouldshine"/>
        <s v="KNOLEDGE AND HOPE"/>
        <s v="Shandong Xingke Intelligent Technology Co., Ltd."/>
        <s v="AGA"/>
        <s v="VALEJAT"/>
        <s v="PlayZ"/>
        <s v="Genérico"/>
        <s v="LeTkingok"/>
        <s v="MAKEBLOCK"/>
        <s v="SKYMSEM"/>
        <s v="MAKITA"/>
        <s v="TWOTHOUSAND MACHINERY"/>
        <s v="SIERRA TECH"/>
        <s v="RELIABLE"/>
        <s v="JANOME"/>
        <s v="JUKI"/>
        <s v="PRINCESS"/>
        <s v="ESAB"/>
        <s v="DAF"/>
        <s v="BERNARDO"/>
        <s v="Bungard"/>
        <s v="DOCEPRINT"/>
        <s v="IMPORTECDIGITAL"/>
        <s v="Sunmeta Digital Graphic Co., Ltd"/>
        <s v="ILUMI"/>
        <s v="BLUE (LOGITECH)"/>
        <s v="LG"/>
        <s v="TOTAL TOOLS"/>
        <s v="K&amp;H"/>
        <s v="Beifang"/>
        <s v="GTEE"/>
        <s v="GTE/BEIFANG"/>
        <s v="Foshan City Shunde AIMC Electrical Appliances Co., Ltd."/>
        <s v="Zhengzhou Thrive Trade Co., Limited"/>
        <s v="BERKLIN"/>
        <s v="Delcrosa"/>
        <s v="ABB"/>
        <s v="OSTER"/>
        <s v="PeakTech"/>
        <s v="Owon "/>
        <s v="MILKY"/>
        <s v="Klein Tools"/>
        <s v="HABOTEST"/>
        <s v="Weller"/>
        <s v="COLORFIT"/>
        <s v="PHILIPS"/>
        <s v="LICCNOX"/>
        <s v="TTMC"/>
        <s v="HP"/>
        <s v="ROLAND DGA"/>
        <s v="NEXXT"/>
        <s v="OTC"/>
        <s v="WanJie"/>
        <s v="GABARRO"/>
        <s v="DAKOTA"/>
        <s v="SAMSUNG"/>
        <s v="SCM"/>
        <s v="Siemens "/>
        <s v="OPENBUILDS"/>
        <s v="QDMECH"/>
        <s v="DAHAN VIBRATING MACHINERY"/>
        <s v="GRONDOY"/>
        <s v="RYU"/>
        <s v="Autonics "/>
        <s v="IME  "/>
        <s v="Pepperl+Fuchs"/>
        <s v="HOLZKRAFT"/>
        <s v="HAMMER"/>
        <s v="DEWALT"/>
        <s v="ONEW"/>
        <s v="KAILI"/>
        <s v="OPTIMUM"/>
        <s v="HOLZMANN"/>
        <s v="ARDUINO"/>
        <s v="SEW"/>
        <s v="INOXOR"/>
        <s v="Siemens"/>
        <s v="ETCR"/>
        <s v="AEA Technology"/>
      </sharedItems>
    </cacheField>
    <cacheField name="MODELO">
      <sharedItems containsBlank="1" containsMixedTypes="1" containsNumber="1" containsInteger="1">
        <s v="Valor™ 4000"/>
        <s v="256 x 124 x 288 mm"/>
        <s v="OPALUX"/>
        <s v="342 x 330 x 475 mm"/>
        <s v="BRD"/>
        <m/>
        <s v="195 x 180 x 50 mm"/>
        <s v="PCR – 40T"/>
        <s v="360 x 435 x 365 mm"/>
        <s v="Báscula electrónica de precisión, de bolsillo, 500 g"/>
        <s v="A medida"/>
        <s v=" GWS 9-125 P"/>
        <s v="GSP-730"/>
        <s v="AGS-688"/>
        <s v="Taladro percutor 3/8&quot; Bosch GSB 12V-30"/>
        <s v="FSF-18LDJ"/>
        <s v="410 x 410 x 520 mm"/>
        <s v="SM-401"/>
        <s v="B5HH-983"/>
        <s v="435 X 266 X 435"/>
        <s v="BM601"/>
        <s v="435 x 266 x 435 mm"/>
        <s v="LADN40"/>
        <s v="Innov-is V5LE"/>
        <s v="DIRECT DUAL FEED"/>
        <s v="LED POINTER"/>
        <s v="EMBROIDERY FOOT WITH LED POINTER FLED1"/>
        <s v="BASTIDOR EF74"/>
        <s v="BASTIDOR EF75"/>
        <s v="BASTIDOR EF76"/>
        <s v="Botón Pulsador Industrial, Serie 45, 22 mm"/>
        <s v="DIB091E50"/>
        <s v="879B"/>
        <s v="SPRINTER 4000 START 230V 12-24V  "/>
        <s v="Cautín eléctrico 220V – 30W tipo lapicero de madera"/>
        <s v="TBS 1051-20"/>
        <s v="Cocina Sobremesa Industrial de 1 Hornilla"/>
        <s v="Portofino CPF9IPOR"/>
        <s v="Cocina Industrial de 2 Hornillas"/>
        <s v="CSI-2H"/>
        <s v="GY 351D"/>
        <s v="1/4&quot; NPT TRUPER 19238"/>
        <s v="1/4 14 Pzas TC2029 TOOLCRAFT"/>
        <s v="COMP-KIT50-260"/>
        <s v="Automotive Test Light"/>
        <s v="SD55"/>
        <s v="MXB8"/>
        <s v="LC1D386M7"/>
        <s v="TITAN PRO 51 CO2 120W"/>
        <s v="TITAN 35 CO2 100W"/>
        <s v="TITAN 27 CO2 120W"/>
        <s v="TITAN PRO 35 CO2 120W"/>
        <s v="MC200H"/>
        <s v="MQD12BD"/>
        <s v="570 X 470 X 570"/>
        <s v="GSR 120-LI"/>
        <s v="GSR 185-LI"/>
        <s v="30C"/>
        <s v="500 x 650 x 1000"/>
        <s v="TLT440/455WA"/>
        <s v="TLT635AF"/>
        <s v="FORKA 300 S ECO (MONOFÁSICA - 220V)"/>
        <s v="CLP-PCN-1"/>
        <s v="CLP-PCN-2"/>
        <s v="SAA 2001 (230V)"/>
        <s v="BEAN CLEANER 50"/>
        <s v="500 X 380 X 740"/>
        <s v="PIPI-502 &amp; MAN-PI-5-1/4"/>
        <s v="MaxiSys MS909"/>
        <s v="Tiger 2500"/>
        <s v="STGB3715"/>
        <s v="TB-230320-V-003"/>
        <s v="AUTOMOTIVE STETHOSCOPE"/>
        <s v="TH-2660I"/>
        <s v="TORIT PORTA-TRUNK PT-1000 VERSIÓN CHINA 220/50/1 VAC"/>
        <s v="ZD-192"/>
        <s v="Herramienta de reparación de compresor de resorte de válvula múltiple universal para motores OHC OHV CVH"/>
        <s v="Digital frequency counter FD-252"/>
        <s v="HDF8+8"/>
        <s v="FRIN64"/>
        <s v="UTP3305-II"/>
        <s v="GAPRO-3.5PB"/>
        <s v="AG1012"/>
        <s v="ISB-36"/>
        <s v="MAXITO 6B ELÉCTRICO"/>
        <s v="FABRICAR A MEDIDA"/>
        <s v="YS-2kg"/>
        <s v="K1 SE"/>
        <s v="K1 Max"/>
        <s v="SURECOLOR F2200"/>
        <s v="ECOTANK L1250"/>
        <s v="DNP-9052A"/>
        <s v="884047004/10 + PFL6X04WH-CEG"/>
        <s v="Varios"/>
        <s v="TB-230320-V-002"/>
        <s v="PE-5000"/>
        <s v="XK-MCB2 Microcontroller Training Set"/>
        <s v="TB-230320-V-001"/>
        <s v="EQUIPO OXICORTE X21"/>
        <s v="TB-230320-V-004"/>
        <s v="KIT K5"/>
        <s v="V8 Combustion Engine Model Kit  "/>
        <s v="KS8586"/>
        <s v="GSB 185-LI"/>
        <s v="2024 – 2025 MakeX Starter Educational Competition Kit"/>
        <s v="L4"/>
        <s v="1200 x 800 x 1100"/>
        <s v="BTS 200"/>
        <s v="BO3711"/>
        <s v="TT-F60 (VC60MS)"/>
        <s v="ZMG JC-1501"/>
        <s v="1500FR"/>
        <s v="MC6700P"/>
        <s v="MC 9850"/>
        <s v="DDL-8700H"/>
        <n v="282605.0"/>
        <s v="REBEL 235ic"/>
        <s v="WarriorTM 350MV CC/CV"/>
        <s v="GMF 300ARC"/>
        <s v="CV3550"/>
        <s v="MO-80CB"/>
        <s v="PJ7000"/>
        <s v="FS 310PS (230V)"/>
        <s v="Splash Center/Splash Center"/>
        <s v="CCD/2/ATC"/>
        <s v="Hellas double sided          "/>
        <s v="Favorit"/>
        <s v="MÁQUINA DE GORRAS"/>
        <s v="Plancha Plana con apertura Automatica medida 40x60cm"/>
        <s v="SB-400E"/>
        <s v="LZ-2284A"/>
        <s v="OM-10LGLP"/>
        <s v="UT230B-EU"/>
        <s v="UT501B"/>
        <s v="YETI NANO"/>
        <s v="MH6535GIS"/>
        <s v="TG501032"/>
        <s v="HC-05"/>
        <s v="HC06"/>
        <s v="ETS-7000B Digital-Analog Training System"/>
        <s v="SR3B261BD"/>
        <s v="EDUCATIONAL MODULE OF DIESEL ENGINE SYSTEM"/>
        <s v="HV ECU HYBRID SYSTEM MODULE"/>
        <s v="GTAT-1007  Gasoline engine disassembling trainer"/>
        <s v="MODULE FOR EDUCATIONAL SIMULATION OF GASOLINE ENGINE"/>
        <s v="GTAT-4007  Automotive starting system training board"/>
        <s v=" GTAT-4006 Automotive six type ignition systems training board"/>
        <s v="GTAT-4009 Automotive lighting system training board"/>
        <s v="COMPUTERIZED ELECTRICAL EDUCATIONAL MODULE"/>
        <s v="GTAT-2019  Four wheel power steering trainer"/>
        <s v="1000G"/>
        <s v="180 x 350"/>
        <s v="TH-860"/>
        <s v="620 x 280 x 450"/>
        <s v="        YC80A-4"/>
        <s v="YD 80 A4"/>
        <s v="M2BAX 90SLA 6"/>
        <s v="UT61E+"/>
        <s v="TH-9170B"/>
        <s v="MCM3501M"/>
        <s v="375x220x260"/>
        <s v="4793-013"/>
        <s v="TH-45P"/>
        <s v="OPA-100"/>
        <s v="P-1270"/>
        <s v="SDS8201"/>
        <s v="FJ 15"/>
        <s v="400 × 400 × 600 "/>
        <s v="Harmony XB4"/>
        <s v="CL120KIT"/>
        <s v="HT208D"/>
        <s v="11095 + 14037"/>
        <s v="8200D"/>
        <s v="S-148TC"/>
        <s v="GC1750/20"/>
        <s v="GC484"/>
        <s v="GL-P60"/>
        <s v="SKY 371008 (3-IN-1/1320X1,5)"/>
        <s v="DesignJet T650 de 36&quot; (5HB10D)"/>
        <s v="VERSASTUDIO GS2-24"/>
        <s v="PHF-2"/>
        <s v="PREH-20"/>
        <s v="AW250NXT03"/>
        <s v="PowerScan PS102"/>
        <s v="7005 - MEDIDOR DE PRESIÓN DE BOMBA DE GASOLINA COMPLETO"/>
        <s v="MANOMERO DE VACÍO/ PRESIÓN"/>
        <s v=" PR-4T7D-02"/>
        <s v="B3.3631"/>
        <s v="TP-30"/>
        <s v="RDK-182"/>
        <s v="LG GT22BPPD No Frost 187L"/>
        <s v="Fuente Bandeja para Horno de Vidrio Templado Pack por 3 Unidades"/>
        <s v="RT25FARADS8/PE"/>
        <s v="GS66SXN"/>
        <s v="MINIMAX S 41 ES (230V MONOFÁSICA)"/>
        <s v="6ED1052-1MD08-0BA2"/>
        <s v="GOF 1600 CE"/>
        <s v="LEAD 1010"/>
        <s v="L1300 x A1300 x H900 "/>
        <s v="QDG-145"/>
        <s v="DH-600-4S"/>
        <s v="740 x 740 x 1470"/>
        <s v="EV28"/>
        <s v="SBM-30"/>
        <s v="CR30-15DN"/>
        <s v=" Sensor inductivo M30 "/>
        <s v="OBR12M-R101-2EP-IO-V31-L"/>
        <s v="GST 90 BE PROFESSIONAL"/>
        <s v="HBS 431 (IE2) - 230V"/>
        <s v="K3 BASIC"/>
        <s v="DW721KN-QS"/>
        <s v="360-MINI"/>
        <s v="DT2236B "/>
        <s v="KL837 TB4120P"/>
        <s v="OPTIDRILL D 26 PRO"/>
        <s v="OPTIDRILL D 26 PRO - 230V 1 HP"/>
        <s v="LBM290_230V"/>
        <s v="GSB 16 RE Professional"/>
        <s v="GSB 16RE MALETÍN Professional"/>
        <s v="UNO"/>
        <s v=" 4235 ES"/>
        <s v="TQ-30"/>
        <s v="DB 900"/>
        <s v="D28730-B2"/>
        <s v="V20"/>
        <s v="ETCR4300"/>
        <s v="VNA Site Analyzer "/>
      </sharedItems>
    </cacheField>
    <cacheField name="LINK DE REFERENCIA" numFmtId="0">
      <sharedItems containsBlank="1">
        <s v="https://eu-es.ohaus.com/es-eu/products/balances-scales/bench-scales/valor-4000/v41xwe3t"/>
        <m/>
        <s v="https://opalux.lifestore.pe/producto/balanza-electronica-digital-de-mesa-40kgs-opalux-lcd-recargable-con-brazo-y-bateria-4v4ah-220v/"/>
        <s v="https://lacasadelabalanzaperu.com/producto/balanza-gramera-brd-de-5-kilos/?srsltid=AfmBOoqESFO4ybWNXMKI8ni8CSFROATsEcEQxFdxgt7due_hwv2yVsh2"/>
        <s v="https://www.coolbox.pe/cargador-de-pilas-radioshack-aaaaa-2-pilas-aa-2309221/p"/>
        <s v="https://www.coolbox.pe/pila-recargable-energizer-aaa-x2-220390/p"/>
        <s v="https://balanzasprecisur.com/balanzas-comerciales/balanza-torrey-pcr-40t-de-40-kilos/"/>
        <s v="https://www.truper.com/ficha_tecnica/Bascula-digital-de-precision-de-bolsillo-500g-Truper.html?code=102316"/>
        <s v="https://www.amazon.com/-/es/soldadura-pulgadas-industrial-capacidad-port%C3%A1til/dp/B0DDPVR3L1"/>
        <s v="https://soelco.co/producto/mini-pulidora-angular-segura-900-w-125-mm-110-v-bosch/?srsltid=AfmBOorerIGp1jcFwSUGxZb2mjq5MenuM3THMVYyN7v09ItDhlwh_pEr"/>
        <s v="https://www.maqcenter.pe/product/vaso-diamantado-para-concreto-segmentado-125-x-22-23mm-bosch-2608-601-762"/>
        <s v="https://www.gwinstek.com/en-US/products/detail/GSP-730"/>
        <s v="google.com/search?q=BRAIN+BEE+AGS-688&amp;rlz=1C1CHBD_esPE1168PE1168&amp;oq=BRAIN+BEE+AGS-688&amp;gs_lcrp=EgZjaHJvbWUyBggAEEUYOTIICAEQABgWGB4yCAgCEAAYFhgeMggIAxAAGBYYHjIICAQQABgWGB4yBggFEEUYPDIGCAYQRRg8MgYIBxBFGD3SAQgxMzcwajBqN6gCALACAA&amp;sourceid=chrome&amp;ie=UTF-8"/>
        <s v="https://www.pe.tiendaboschonline.com/taladro-percutor-3-8-bosch-gsb-12v-30-12v-2-baterias-y-maletin/p"/>
        <s v="https://www.sodimac.com.pe/sodimac-pe/articulo/113087606/Set-de-Puntas-Acero-para-Atornillar-Bosch-con-32-unidades-Bosch/113087607?kid=goosho_669250&amp;shop=googleShopping&amp;gad_source=1&amp;gad_campaignid=21524717227&amp;gbraid=0AAAAADOx_19QnkfZPbdxei_TpLGi7HszI&amp;gcli"/>
        <s v="https://www.appsheet.com/template/gettablefileurl?appName=APPDISTRIBUIDORES-2753577&amp;tableName=RECURSOS&amp;fileName=RECURSOS_Files_%2F186040010.DOC_INSERTO_SAP.140232.pdf"/>
        <s v="https://www.sinmag.com/en/prodetails/136/511.html"/>
        <s v="https://www.maquinaelectroperu.com/vikale-b5hh-983/vikale-b5hh-983/"/>
        <s v="https://drive.google.com/file/d/1Ti61n5CvjYbERQd_WBKo61P__TL78SWh/view?usp=sharing"/>
        <s v="https://www.se.com/pe/es/product/LADN40/bloque-de-contacto-auxiliar-tesys-d-4-na-terminales-de-abrazaderas-de-tornillo/"/>
        <s v="https://sewingcraft.brother.eu/en/products/machines/combination-machines/combination-machines/innov-is-v5le"/>
        <s v="https://sewingcraft.brother.eu/en/products/machines/combination-machines/combination-machines/innov-is-v5le?utm_source=chatgpt.com"/>
        <s v="https://sewingcraft.brother.eu/en/accessories/sewing-machine-accessories/fled1"/>
        <s v="https://sewingcraft.brother.eu/en/accessories/sewing-machine-accessories/ef74"/>
        <s v="https://sewingcraft.brother.eu/en/accessories/sewing-machine-accessories/ef75"/>
        <s v="https://sewingcraft.brother.eu/en/accessories/sewing-machine-accessories/ef76"/>
        <s v="https://mexico.newark.com/eao/45-1231-31e6-000-101/illum-industrial-pb-sw-spst-10a/dp/98Y4507"/>
        <s v="https://www.bosch-home.pe/electrodomesticos/DIB091E50#/Tabs=section-technicalspecs/Togglebox=manuals/"/>
        <s v="https://www.bkprecision.com/products/component-testers/879B"/>
        <s v="https://drive.google.com/file/d/1_jn_UgeZqoo6IhAYYliXXq72AL2uHU93/view?usp=sharing"/>
        <s v="https://www.promart.pe/cautin-electrico-220v-30w-t-lapicero-madera/p"/>
        <s v="https://www.promart.pe/soporte-de-cautin-metal-pesado/p?gad_source=1&amp;gad_campaignid=22932501259&amp;gbraid=0AAAAADJIfAJgSvKabG2GnPwrq3k6Yqddv&amp;gclid=CjwKCAjw6P3GBhBVEiwAJPjmLvm3ljkm0SxQnmi1tkLz487IL7dbrcUNBI-gC94vkstPyfZ7CNI2shoCEQQQAvD_BwE"/>
        <s v="https://www.mercadolibre.com.pe/limpiador-de-puntas-metalico-para-cautin--takema/up/MPEU2463401498?has_official_store=false&amp;highlight=false&amp;headerTopBrand=false#polycard_client=search-nordic&amp;search_layout=grid&amp;position=3&amp;type=product&amp;tracking_id=b698c16e-"/>
        <s v="https://dimmtex.com/cizalla-manual-metal/cizalla-manual-tbs-1051-20.html"/>
        <s v="https://linoxperu.com/producto/cocina-sobremesa-industrial-de-1-hornilla/?utm_source=chatgpt.com"/>
        <s v="https://www.smeguk.com/products/CPF9IPOR"/>
        <s v="https://linoxperu.com/producto/cocina-industrial-de-2-hornillas/?utm_source=chatgpt.com"/>
        <s v="https://drive.google.com/file/d/1L2xTfes6smSwtJk_Ok6YfxYiLIC_YUcY/view?usp=sharing"/>
        <s v="https://www.leroymerlin.es/productos/compresor-goodyear-gy351d-3hp-50l-86538711.html"/>
        <s v="https://cahema.pe/filtro/16133-filtro-y-regulador-de-aire-14-npt-truper-19238-7501206628607.html"/>
        <s v="https://cahema.pe/juego-de-accesorios/8237-kit-accesorios-compresor-aire-14-14-pzas-tc2029-toolcraft-7501892804026.html"/>
        <s v="https://www.aibitech.com/herramientas-electricas/sierras/compresora-de-aire/compresora-de-aire-de-35-hp-50l-arranque-automatico-comp-50lt-260-11837-truper-16441.html?srsltid=AfmBOopR8FWY-1gVYn-_wN1--TVCWMoTpxXvVOxalx6Owo6EUWkqzOgQ"/>
        <s v="https://sodimac.falabella.com.pe/sodimac-pe/product/113087428/Manguera-de-Aire-1-4-5m-Lago/113087433"/>
        <s v="https://www.amazon.com/-/es/JASTIND-Probador-retroiluminado-extendido-inoxidable/dp/B07PX16XDX"/>
        <s v="https://spanish.alibaba.com/product-detail/Freezer-vertical-petty-ice-cream-display-300007542584.html"/>
        <s v="https://insumosfirstpro.com/shop/computer-office/mezcladora-sooom-mxb8/"/>
        <s v="https://digitronik.pe/products/cable-balanceado-xlr-macho-a-xlr-hembra-mrs-bkstg-x3m-x3f-1"/>
        <s v="https://digitronik.pe/products/cable-de-audio-1-plug-3-5mm-macho-a-2-plug-6-3mm-machp-1-80mts-pe-rs0109-netcom"/>
        <s v="https://digitronik.pe/products/cable-de-audio-2-rca-a-1-plug-3-5mm-1-8mts-netcom-pe-rs0112"/>
        <s v="https://www.sodimac.com.pe/sodimac-pe/articulo/120938242/CABLE-EXTENSION-USB-2.0-MACHO-A-MACHO-1.5Mts/120938245?kid=goosho_669251&amp;shop=googleShopping&amp;gad_source=1&amp;gad_campaignid=21524729896&amp;gbraid=0AAAAADOx_18DSni6LSGXs5qp5YVRiTDeX&amp;gclid=Cj0KCQjwmYzIBhC6A"/>
        <s v="https://digitronik.pe/products/adaptador-de-audio-2-rca-a-plug-stereo-6-35mm-seetronic-mp3-2rf"/>
        <s v="https://www.se.com/es/es/product/LC1D386M7/contactor-tesys-d-3p3-na-ac3-440-v-38-a-220-v-ca-50-60-hz-bobina/?range=664-tesys-d-tesys-deca-control-tallas-1-2-y-3&amp;parent-subcategory-id=1510&amp;filter=business-1-automatizaci%C3%B3n-y-control-industrial&amp;selected"/>
        <s v="https://www.thunderlaser.com/titan-series/"/>
        <s v="https://nargesa.com/es/maquinaria-industrial/curvadora-de-tubos-perfiles-mc200h"/>
        <s v="https://www.maqorito.com/deshidratadores-de-alimentos/351-maqorito-deshidratador-de-frutas-verduras-y-alimentos-12-bandejas-acero-inoxidable.html"/>
        <s v="https://www.amazon.com/-/es/retr%C3%A1ctil-inoxidable-antip%C3%A9rdida-senderismo-campamento/dp/B09YTX5PZ6"/>
        <s v="https://www.bosch-professional.com/cl/es/products/gsr-185-li-06019K30E0"/>
        <s v="https://industriacortijo.com/producto/divisora-de-masa-30c/?srsltid=AfmBOopliGy3OEApBKKY5iTlH0ohCa6YEKXYtinLPwRHBRkekXBEeZ-K"/>
        <s v="https://www.launchiberica.com/wp-content/uploads/2025/06/Familia-elevadores-TLT-LAUNCH-25.pdf"/>
        <s v="https://www.felder-group.com/es-es/productos/encoladoras-de-cantos-c1954/encoladora-de-cantos-forka-300-s-eco-p3204"/>
        <s v="https://drive.google.com/file/d/1X70LaF7RqF7SoV2RK4MYqFx3rnQO6yLW/view?usp=sharing"/>
        <s v="https://drive.google.com/file/d/1OCbFNGZGK2T29DA6DWbu93qg2m8eEn0S/view"/>
        <s v="https://www.aslak.es/madera/5922201-sistema-de-aspiracion-saa-2001.html"/>
        <s v="https://delanitrading.com/producto/separador-de-piedras-e-impurezas-bean-cleaner/"/>
        <s v="https://www.truper.com/CatVigente/Pistolas-de-aire-de-GRAVEDAD-hibridas-aerografo-y-mueble-exhibidor-TRUPER-103.html"/>
        <s v="https://www.autel.com/es/mk3/3769.jhtml"/>
        <s v="https://shop.scheppach.com/en-GB/Whetstone-Bench-Grinder-Tiger-2500-200W-250mm-Leather-Honing-Wheel/5903202901-500 "/>
        <s v="https://shop.scheppach.com/Drechsler-Set-fuer-Nassschleifmaschinen/7903200001"/>
        <s v="https://drive.google.com/file/d/1E3CKzA1bkip1VQS1CWffN492gl2sDrRt/view?usp=sharing"/>
        <s v="https://www.ssedumachine.com/product/tb-230320-v-003-mobile-station-for-training-of-home-electrical-installations-teaching-equipment-electrical-laboratory-equipment/"/>
        <s v="https://www.amazon.com/-/es/AUTOLUMEN-Estetoscopio-automotriz-profesional-motocicletas/dp/B0D62VS6HB#:~:text=El%20alcance%20extendido%20permite%20diagn%C3%B3sticos,de%20autom%C3%B3viles%20es%20nuestro%20enfoque."/>
        <s v="https://hiraoka.com.pe/extractor-de-jugo-thomas-th-2660i"/>
        <s v="https://www.donaldson.com/es-mx/industrial-dust-fume-mist/equipment/fume-collectors/easy-trunk-porta-trunk/#section-features_76258"/>
        <s v="https://www.ebay.co.uk/itm/173860798799"/>
        <s v="https://www.amazon.com/-/es/Herramienta-reparaci%C3%B3n-compresor-m%C3%BAltiple-universal/dp/B0BF5BLJXJ"/>
        <s v="https://www.denver.es/producto/promaxfd252/"/>
        <s v="https://drive.google.com/file/d/1SgljCNAxUlKhIj76heM9BD89ZKv4R7b4/view"/>
        <s v="https://hosteleriaservimovil.com/freidoras-industrial-gas-modular/freidora-a-gas-f-g6208-fagor/3662.html&#10;&#10;https://hostelcol.com/freidora-a-gas-fg6-10-fagor"/>
        <s v="https://instruments.uni-trend.com/products/dc-power-supplies/UTP3300-II"/>
        <s v="https://prosinfer.com.pe/wp-content/uploads/2022/06/14802.pdf"/>
        <s v="https://www.amazon.com/-/es/Generador-arbitraria-Frecuencia-muestreo-Longitud/dp/B0CL2LS689?th=1"/>
        <s v="https://www.etundra.com/pdf/impisb36.30565.pdf?srsltid=AfmBOopOGYLgQ599wiBHhNyjemVCVLfmtWWKy0HNSO9RnWgME8UlJHLn"/>
        <s v="https://www.gruponova.pe/products/horno-nova-kit-horno-maxito-6b-electrico?srsltid=AfmBOooAmwSzicU5EeORaTQOP7zmi1c2fyupuVFZrPzL2TFBscLT28KG"/>
        <s v="https://www.gruponova.pe/collections/hornos/products/horno-nova-kit-horno-maxito-6b-a-gas-1"/>
        <s v="https://www.alibaba.com/product-detail/Yoshan-Coffee-Roaster-Gas-LPG-1_1600059378742.html"/>
        <s v="https://store.creality.com/es/products/k1-se-impresora-3d"/>
        <s v="https://www.crear4d.com/filamento-3d-pla-basic-3d/"/>
        <s v="https://drive.google.com/file/d/1cu00IYcXcPwzGin1xW1G7fuPLF8-snwa/view"/>
        <s v="https://epson.com.pe/Para-el-hogar/Impresoras/Inyecci%C3%B3n-de-tinta/Impresora-Inal%C3%A1mbrica-EcoTank-L1250/p/C11CJ71301"/>
        <s v="https://www.tiendaimex.com/inicio/70-tintas-de-sublimacion-koreana-standar-.html#/42-color-cyan"/>
        <s v="https://www.tiendaimex.com/inicio/70-tintas-de-sublimacion-koreana-standar-.html#/44-color-yellow"/>
        <s v="https://www.tiendaimex.com/inicio/70-tintas-de-sublimacion-koreana-standar-.html#/43-color-magenta"/>
        <s v="https://www.tiendaimex.com/inicio/70-tintas-de-sublimacion-koreana-standar-.html#/45-color-black"/>
        <s v="https://www.tiendaimex.com/inicio/55-papel-de-sublimacion.html#/34-formato-a4"/>
        <s v="https://files.support.epson.com/docid/cpd6/cpd61839.pdf"/>
        <s v="https://es.zenithlabo.com/laboratory-incubator/62102395.html"/>
        <s v="https://www.commscope.com/product-type/cables/twisted-pair-cables/category-6a-cables/item884047004-10/"/>
        <s v="https://drive.google.com/file/d/1VFyhOgA4N6Y5Dxsl3IyaY1tAsMmtjMK-/view"/>
        <s v="https://www.teslaelectronic.com.pe/producto/programador-de-pic-k150-icsp-con-adaptador-universal/?srsltid=AfmBOorbMijO9wM7laybIwp7fgqP-_gcuUJNuaj2ZCPKsrOazCaVHVP6"/>
        <s v="https://drive.google.com/file/d/1pQU39LoIKEVnEm3gAc-pUJxuuoHdBGjz/view?usp=sharing"/>
        <s v="https://drive.google.com/file/d/1v1AAQsVeQrygASBK_3QSihfknX9G56Us/view"/>
        <s v="https://drive.google.com/file/d/1Rpx5Hb5uO-kjD-pziQ-XZD_MyKjqW8qJ/view?usp=sharing"/>
        <s v="https://www.kandh.com.tw/pe-5000-power-electronics-training-system-pe-5000.html"/>
        <s v="https://drive.google.com/file/d/1kHuEvo-uqo09r2BdBlNWsTF2fzqVk0Lh/view"/>
        <s v="https://www.amazon.com/-/es/electr%C3%B3nicos-emulador-microcontrolador-depurador-programador/dp/B07PHPBP3Y/ref=sr_1_2?__mk_es_US=%C3%85M%C3%85%C5%BD%C3%95%C3%91&amp;crid=1QRY4Z5ZO01WF&amp;dib=eyJ2IjoiMSJ9.QfE1iJGaNvy4c7JeyjBlJhzc0aQmtkt6pZL7Nu-lNTSlNIdRy2fQbYOUp"/>
        <s v="https://drive.google.com/drive/search?q=KIT%20DE%20ENTRENAMIENTO%20EN%20LA%20GENERACI%C3%93N%20DE%20ELECTRICIDAD%20CON%20ENERG%C3%8DA%20RENOVABLE%20FOTOVOLTAICO%20Y%20E%C3%93LICO"/>
        <s v="https://velponperu.com/producto/equipo-oxicorte-x21-aga/"/>
        <s v="https://drive.google.com/file/d/1Gn-fn_WN4ajeI_kpYMAVZmuMvl2aSkHx/view?usp=sharing"/>
        <s v="https://drive.google.com/file/d/1gQJK-A3KLTqDAkQaglqmKwQFx193asH9/view"/>
        <s v="https://www.amazon.com/dp/B07QCQNKG7/ref=sspa_dk_detail_0?pd_rd_i=B07QCQNKG7&amp;pd_rd_w=dxRZL&amp;content-id=amzn1.sym.7446a9d1-25fe-4460-b135-a60336bad2c9&amp;pf_rd_p=7446a9d1-25fe-4460-b135-a60336bad2c9&amp;pf_rd_r=X6ZZPQ5R3S6K0V8JNHAX&amp;pd_rd_wg=ms3xd&amp;pd_rd_r=4b1e4abc-"/>
        <s v="https://drive.google.com/file/d/1hULvcmGAGtLWQHJmoHYIqoO9KfiCndmO/view"/>
        <s v="https://www.amazon.es/COVVY-soldadura-temperatura-calefacci%C3%B3n-8586/dp/B0DBLJ157B/ref=sr_1_3?__mk_es_ES=%C3%85M%C3%85%C5%BD%C3%95%C3%91&amp;crid=1508W2FHUG0FE&amp;dib=eyJ2IjoiMSJ9.EwYqlY1V8WMa1J064N2n8TugHK8S0laCb_G5web3eIZFSKQTVGvgmUSfalIUKYQfV31LIhUJ-zePCn9"/>
        <s v="https://drive.google.com/file/d/14inIOihNd-TLYUTNnkD4Y1Yp4DnmYrHB/view?usp=drive_link"/>
        <s v="https://www.engitronicperu.com/producto/2024-makex-starter-educational-competition-kit/"/>
        <s v="https://www.skymsen.com/es/index.php/produtos/detalhe/709913"/>
        <s v="https://www.aslak.es/madera/5902200-lijadora-con-brazo-inclinable-bts-200.html"/>
        <s v="https://www.makita.es/data/sr/productinfo/generated/bo3711_3.pdf"/>
        <s v="TALLERES EPT"/>
        <s v="https://www.twothousand.com/550w-stainless-steel-base-ce-commercial-vegetable-slicer-chopper-tt-f60-vc60ms/"/>
        <s v="https://drive.google.com/file/d/1BZ2N5EASu7KqA43xkUocI7QoYhjba-W1/view"/>
        <s v="https://reliablecorporation.com/en-eu/products/1500fr-octogonal-cutting-machine"/>
        <s v="https://drive.google.com/file/d/1pr-p_4UQyf3qQt43Dds_N142IuFfCXDk/view"/>
        <s v="https://www.janome.com/product/memory-craft-9850/"/>
        <s v="https://famatex.pe/recta-juki-ddl-8700.php"/>
        <s v="https://www.princesshome.eu/es-es/productos-princess/heladeras/princess-282605-heladera-01.282605.01.001"/>
        <s v="https://drive.google.com/file/d/1Fw7MBBw092VP42xf4J4mMf6JFfkrRHWd/view?usp=drive_link"/>
        <s v="https://drive.google.com/file/d/11NnGPL-rHW4IGl_acabYYZZVq8qNYqqK/view"/>
        <s v="https://drive.google.com/file/d/1XzJ3vgKQLdWdAxVhXCHzZTAJw-7Fk-r2/view?usp=drive_link"/>
        <s v="https://drive.google.com/file/d/1O0MdC-jJ5YaA-92iz1RDQ8JYDmr8oXzl/view"/>
        <s v="https://www.juki.co.jp/household_en/serger/pdf/MO-80CB_instruction.pdf"/>
        <s v="https://www.makita.es/product/pj7000.html"/>
        <s v="https://www.bernardo.at/es/shop/Cepilladora-y-regruesadora-FS-310-PS--230-V~p86126"/>
        <s v="https://www.bungard.de/en/machines/etching-developing-machines/splash-center"/>
        <s v="https://www.bungard.de/en/machines/cnc-machines/ccd-2-atc"/>
        <s v="https://www.bungard.de/en/machines/exposure-units/hellas"/>
        <s v="https://www.bungard.de/en/machines/through-hole-plating/favorit"/>
        <s v="https://drive.google.com/file/d/1Lnbof1hrsNcq-qhUnqeuQChl9Xo1FObH/view"/>
        <s v="https://drive.google.com/file/d/1exMBFhzf-zOtwPGEUQx0NZFWfp_qYKrM/view?usp=sharing"/>
        <s v="EPT GENERAL"/>
        <s v="https://www.juki.co.jp/industrial_e/products_e/apparel_e/zigzag_e/detail.php?cd=LZ-2284A-7_LZ-2284A_E"/>
        <s v="https://ilumiperu.com/products/olla-mezcladora-de-10-litros-a-gas?srsltid=AfmBOooCoSfQ4gh3knnXma2z7Ruhq7UYYwNbKyLnB_jLRSSMHNOtSSJg"/>
        <s v="https://irelectronics.pe/producto/tomacorriente-medidor-de-parametros-electricos-uni-t-ut-230b-us/"/>
        <s v="https://sodimac.falabella.com.pe/sodimac-pe/product/113522242/Pila-Boton-Energizer-CR2032-3V/113522247"/>
        <s v="https://irelectronics.pe/producto/megometro-digital-1000v-uni-t-ut-501b/&#10;https://meters.uni-trend.com/download/ut501a-ut501b-ut502a-flyer/#"/>
        <s v="https://www.coolbox.pe/pilas-alcalinas-radioshack-aa-x6-2309316/p"/>
        <s v="https://www.logitechg.com/en-us/shop/p/yeti-nano-usb-microphone.988-000088"/>
        <s v="https://www.lg.com/eastafrica/microwaves/lg-MH6535GIS"/>
        <s v="https://www.totalbusiness.com/product/mini-grinder/TG501032"/>
        <s v="https://naylampmechatronics.com/inalambrico/43-modulo-bluetooth-hc05.html"/>
        <s v="https://naylampmechatronics.com/inalambrico/24-modulo-bluetooth-hc06.html"/>
        <s v="https://es.kandh.com.tw/ets-7000b-digital-analog-training-system-ets-7000b.html"/>
        <s v="https://www.se.com/cl/es/product/SR3B261BD/rele-zelio-16-entradas-10-salidas-con-reloj-24v-dc-con-display/"/>
        <s v="https://www.se.com/pe/es/product-range/542-zelio-soft/#overview"/>
        <s v="https://drive.google.com/file/d/15uhOh9fV1PZ6woac35Zpgp2RQaeWya_U/view"/>
        <s v="https://drive.google.com/file/d/12poicxbxDCjQS1AHgrbLwI0LW7NDnRWf/view?usp=sharing"/>
        <s v="https://www.alibaba.com/product-detail/Vocational-Training-Equipment-Engine-Trainer-Gasoline_1574225789.html"/>
        <s v="https://spanish.alibaba.com/product-detail/Gasoline-Engine-Simulator-Educational-Module-Didactic-11000024944641.html"/>
        <s v="https://drive.google.com/file/d/1QV_FVQn5ptq-pTURyhFFwgqVE19xOKAu/view"/>
        <s v="https://www.gteecn.com/automotive-starting-system-training-board.html"/>
        <s v="https://drive.google.com/file/d/1r84Ajbk72bxQAFjmoLslzXXUG9dcYk8X/view"/>
        <s v="https://drive.google.com/file/d/13P1nOQsNR-S0l7BqD7iYctEteibbuiED/view"/>
        <s v="https://drive.google.com/file/d/1LuVwLMnmPPsANbLTrvXmtZYO0lEkGO4E/view"/>
        <s v="https://docs.google.com/spreadsheets/d/1ZbJwCNKfEnpacrUjWzwIuLTtr0-inU9Fa_KHBY0AHGk/edit?gid=0#gid=0"/>
        <s v="https://drive.google.com/file/d/1AIVHeRGhe00m9JHSKLG1x7P_mwCLC4Cc/view"/>
        <s v="https://drive.google.com/file/d/13XGaIKl-Sp6bbN4PtfDbSEI-iN4wre_o/view?usp=sharing"/>
        <s v="https://drive.google.com/file/d/1NIRYs4rZoOmyRtDuwdu3zEt6nlSHYkcK/view"/>
        <s v="https://www.sodimac.com.pe/sodimac-pe/articulo/118344563/MOTOR-ELECTRICO-MONOFASICO-DE-0.5-HP-1750RPM/118344564"/>
        <s v="https://www.delcrosa.com.pe/es/productos/accionamientos/motores_electricos/motores_trifasicos_iec_serie_yd"/>
        <s v="https://inducom.com.pe/producto/motor-electrico-trifasico-de-alta-eficencia-ie3/"/>
        <s v="https://meters.uni-trend.com/product/ut61plus-series/"/>
        <s v="https://drive.google.com/file/d/1yV7qR0ghv-zvg3H7GGZsFkisjvTeTVH9/view"/>
        <s v="https://hiraoka.com.pe/procesador-de-alimentos-thomas-th-9170b?utm_id=22793891402&amp;gad_source=1&amp;gad_campaignid=22793891402&amp;gbraid=0AAAAACkNDqlI27oXl0JzAfOGWgXAVYofQ&amp;gclid=CjwKCAjwq9rFBhAIEiwAGVAZP_pbszxa8uaJt_9XtoWcJZZgbTfjzivkM156ChhvNRJ9kQ5tB65O-RoC4I4QA"/>
        <s v="https://www.bosch-home.pe/electrodomesticos/MCM3501M#/Tabs=section-technicalspecs/Togglebox=manuals/Togglebox=accessories/"/>
        <s v="https://lavictoria.ec/producto/olla-de-presion-de-9-litros-oster-4793/?srsltid=AfmBOorjdgupuTEsjSuwHJJadiC_CWMCEgb_79M8Bqoja5csSlGeQ1d9"/>
        <s v="https://www.thomas.com.pe/thomaspe/olla-th-45p.html?srsltid=AfmBOopEU_oBNR6bPTretuKfqyJtcV1RPlYQblsWPXwSYZrJazarDUG2"/>
        <s v="https://www.brainbee.mahle.com/media/brainbee/product-lines/emission/depliant/es_brain-bee-emission-line.pdf"/>
        <s v="https://www.inladsac.com/producto/osciloscopio-digital-300mhz-2-canales-peaktech-p-1270/?srsltid=AfmBOop6NmqKkL_XddfuNHqyVGwajh9p81Omw946mCTP4lCwp6QwTC-4"/>
        <s v="https://www.batronix.com/shop/oscilloscopes/Owon-SDS8202.html"/>
        <s v="https://cahema.pe/banco-de-trabajo/12518-carro-mesa-rodante-2-bandejas-para-taller-9064k-02-irimo.html"/>
        <s v="https://www.batronix.com/php/index.php?cmd=review&amp;referer=https://www.batronix.com/shop/accessory/bags.html&amp;loc=en&amp;aid=3789"/>
        <s v="https://www.ebay.com/itm/284329471693"/>
        <s v="https://mesajil.com/producto/cable-seguridad-targus-defcon-cl-acero-con-clave-pa410u/?srsltid=AfmBOor2xOyfi8HGRjZyAwvpZJTabrmxqtHWIkBcbfWs5H-FTO-DSEql"/>
        <s v="https://www.owon.com.hk/products_owon_smartds_series_digital_oscilloscope"/>
        <s v="https://milkyday.es/producto/small-milk-pasteurizer-machine-milky-fj-15-230v/"/>
        <s v="https://www.se.com/pe/es/product/XB4BVM4/luz-piloto-metalico-%C3%B8-22mm-rojo-led-integrado-230-240v-ca/"/>
        <s v="https://www.amazon.com/Klein-Tools-CL120KIT-Electrical-Auto-Ranging/dp/B08DSX4B27"/>
        <s v="https://www.promart.pe/pack-de-pilas-duracell-aaa-x8/p?srsltid=AfmBOor0nzbZsCUxDN5nwSg3oCXYZcv1uXPSrLDHppTIwLIOIkA2kCZk"/>
        <s v="https://www.kusitest.pe/pinza-amperimetrica-true-rms-1000a-acdc-ncv-auto-rango-habotest-ht208d"/>
        <s v="https://www.habotest.com/sale-13562580-digital-clamp-meter-ht208d-6000counts-habotest-voltage-1000v-ohm-hz-temperature-ncv-vfd-current-duty.html"/>
        <s v="https://cahema.pe/pistolas-de-pintar/15598-pistola-de-gravedad-uso-general-11095-truper-7506240653929.html&#10;https://www.promart.pe/pistola-para-pintar-de-baja-presion-entrada-inferior-truper-14037-1000496276/p"/>
        <s v="https://cahema.pe/mangueras/17316-manguera-armada-14-ppintor-5-mts-19013-truper.html"/>
        <s v="https://cahema.pe/acoples-y-conectores/16023-juego-de-acople-y-conector-laton-14-npt-19080-truper-7501206619803.html"/>
        <s v="https://articulo.mercadolibre.com.pe/MPE-627995224-pistola-de-soldar-weller-de-140100w-original-220v-_JM#polycard_client=recommendations_pdp-v2p&amp;reco_backend=ranker_retrieval_system_org&amp;reco_model=rk_ent_v3_retsys_org&amp;reco_client=pdp-v2p&amp;reco_item_pos=1&amp;r"/>
        <s v="https://miltonindustries.com/collections/air-blow-guns/products/colorfitr-by-milton-s-148tc-1-4-npt-lever-blow-gun-tool-rubber-tip-nozzle-blue?_pos=3&amp;_fid=511a843e2&amp;_ss=c"/>
        <s v="https://cahema.pe/acoples-y-conectores/16739-conector-rapido-de-14-macho-27023-pretul.html"/>
        <s v="https://drive.google.com/file/d/1g2d9B4aEMaxZIWhRWarKX1XIR3xUvXe9/view"/>
        <s v="https://www.philips.com.pe/c-p/GC484_40/easy-touch-stand-steamer"/>
        <s v="https://drive.google.com/file/d/1IcHy16s2wbkJLph8wKhs2jLlok4biAzo/view"/>
        <s v="https://www.alibaba.com/product-detail/3-IN-1-1320X1-5-TTMC_1024519964.html"/>
        <s v="https://www.hp.com/pe-es/shop/impresora-hp-designjet-t650-de-36-5hb10d.html"/>
        <s v="https://www.rolanddga.com/es-la/productos/plotter-de-corte/cortadora-de-vinilo-de-sobremesa-versastudio-gs2-24"/>
        <s v="https://www.truper.com/ficha_merca/ficha-print.php?code=12888"/>
        <s v="https://www.truper.com/ficha_merca/ficha-print.php?code=17685"/>
        <s v="https://www.nexxtsolutions.com/es/infraestructura/interna-productos/AW250NXT03-es"/>
        <s v="https://www.amazon.com/Autel-PowerScan-PS100-alimentaci%C3%B3n-cortocircuito/dp/B0BW48DKFG"/>
        <s v="https://www.edipesa.com.pe/tienda/taller-automotriz/big-red-medidor-presion-trhs-a1011/&#10;https://www.pronellomaquinarias.com/product-page/medidor-de-presi%C3%B3n-de-bomba-de-gasolinacompleto?srsltid=AfmBOorT8npyLD9QgkxG4dX6RG5IlfDGNUXSOfeiyvAzFL2oihdl9L80"/>
        <s v="https://tesinperu.com/product/manometro-de-vacio-presion-b3-5613/"/>
        <s v="https://naylampmechatronics.com/protoboard/623-protoboard-premium-con-base-pr-4t7d-02.html"/>
        <s v="https://naylampmechatronics.com/cables/449-cable-jumper-dupont-macho-a-macho-10cm-20und.html"/>
        <s v="https://naylampmechatronics.com/cables/26-cable-para-protoboard.html?utm_source=chatgpt.com"/>
        <s v="https://tesinperu.com/product/punta-logica-b3-3631/"/>
        <s v="http://www.egabarro.com/tp.html"/>
        <s v="https://www.electrogarline.com/linea-fria/refresqueras/refresquera-2-tolvas-18-litros-dakota.html?srsltid=AfmBOor2WRl3GAZXrUeN8pP4pwC8fbSVr31VOM06af_msJgrbsn-MXXI"/>
        <s v="https://hiraoka.com.pe/refrigeradora-lg-gt22bppd-no-frost-187l?srsltid=AfmBOooLyaSV_z87Gv-0KPBcGt1a63-eSfCbVfR4SdN5Nlw-O3HmoYl9bandeja"/>
        <s v="https://www.promart.pe/fuente-bandeja-para-horno-de-vidrio-templado-pack-por-3-unidades-1000970586/p?srsltid=AfmBOopmCKfnr4W6p3o_rKqkpS8WJXbh1PWZ2B6MiOqTZY0Xzr4ksQ8V"/>
        <s v="https://www.falabella.com.pe/falabella-pe/product/146506074/REFRIGERADORA-SAMSUNG-RT25FARADS8-255Lt-SILVER/146506075?kid=shopp44fc&amp;gclsrc=aw.ds&amp;gad_source=1&amp;gad_campaignid=20114538213&amp;gbraid=0AAAAADs9MO2mPk77cdzCkqFHvUwFqJRv7&amp;gclid=Cj0KCQjwovPGBhDxARIsAFh"/>
        <s v="https://hiraoka.com.pe/refrigeradora-lg-side-by-side-gs66sxn-instaview-617l"/>
        <s v="https://www.makxilia.biz/es/producto/maquinas-transformacion-madera/regruesadora/cepilladora-scm-group-mod-minimax-s41-es-ce/"/>
        <s v="https://mall.industry.siemens.com/mall/es/ms/Catalog/Product/6ED1052-1MD08-0BA2"/>
        <s v="https://www.mercadolibre.cl/fresadora-bosch-gof-1600-ce-1600w-guia-llave/p/MLC13832787"/>
        <s v="https://sodimac.falabella.com.pe/sodimac-pe/product/117078584/SET-DE-12-FRESAS-PARA-RUTEADORA-8MM-INDUSTRIAL-TOTAL-TACSR1121/117078585?exp=sodimac"/>
        <s v="https://us.openbuilds.com/lead-cnc-machine-1010-40-x-40/"/>
        <s v="https://spanish.alibaba.com/product-detail/QDMECH-High-Capacity-Industrial-Commercial-Food-1601445359936.html"/>
        <s v="Se debe solicitar modelo acorde."/>
        <s v="https://grondoy.com/productos/Empacadoras/empacadora-selladora-al-vacio-de-01-sello-de-28cm-en-acero-inoxidable?srsltid=AfmBOopMoapn6qungdjgKvIGOPK8u1OD9bN7hZlgZp3MOThjpwZr6eyZ"/>
        <s v="https://www.ryu.com.pe/p/selladora-bolsas-manual/"/>
        <s v="Sensor de proximidad capacitivos_FT.pdf"/>
        <s v="Sensor de proximidad inductivos_FT.pdf"/>
        <s v="https://bhpperu.com/producto/rkc4t-2-tel-turck-connector-cable-m12-female-straight-3-pole-2m-black-pvc/"/>
        <s v="SENSORES FOTOELÉCTRICOS_FT.pdf"/>
        <s v="https://www.bosch-professional.com/binary/manualsmedia/o224152v21_1_609_92A_2BZ_1406.pdf"/>
        <s v="https://www.aslak.es/herramientas-electricas/sierra-de-cinta-hbs-431-ie2-230-v.html"/>
        <s v="https://www.felder-group.com/es-es/productos/sierras-circulares-y-escuadradoras-c1947/escuadradora-k3-p144077?vid=3054"/>
        <s v="https://www.dewalt.es/producto/dw721kn-qs/sierra-de-brazo-radial-2000w-2-hp-o300mm-monofasica-prof-90mm"/>
        <s v="https://drive.google.com/file/d/1V-xxSieO1pqnE7qQj8dp361-peNNC8P8/view?usp=drive_link"/>
        <s v="https://www.amazon.com/-/es/Tac%C3%B3metro-Contacto-Handhold-Medici%C3%B3n-Veloc%C3%ADmetro/dp/B08MPLCNPH/ref=sr_1_4?__mk_es_US=%C3%85M%C3%85%C5%BD%C3%95%C3%91&amp;crid=VP94G1LLMQI1&amp;dib=eyJ2IjoiMSJ9.DdlLTGJyL8pJmrahA1c2raWG9zcNTcPbY3B6phitJ_MNenNqezvXkDMYnl_X"/>
        <s v="https://prosinfer.pe/product/taladro-de-banco-3-4-1hp-tb4120p-kaili-kl835/ "/>
        <s v="https://www.aslak.es/herramientas-electricas/taladro-de-columna-optidrill-d-26pro-230v-1ph-optidrill-d-26pro-230v-1ph.html"/>
        <s v="https://www.amazon.com/-/es/diapositiva-cruzada-tornillo-compuesto-pulgadas/dp/B00L5RZ6MO/ref=sr_1_6+"/>
        <s v="https://www.aslak.es/herramientas-electricas/748182500-jgo-brocas-titanio-mwbt25-25piezas-jgo-brocas-titanio-25-piezas.html"/>
        <s v="https://www.amazon.es/BGS-8986-brocas-Juego-piezas/dp/B01FQPLODU?th=1"/>
        <s v="https://www.amazon.es/BGS-8986-brocas-Juego-piezas/dp/B01FQPLQQA?th=1"/>
        <s v="https://www.amazon.com/1mm-10mm-Titanium-High-Speed-Woodworking-Engraving/dp/B0B2DNZ5CQ?th=1"/>
        <s v="https://rodavigo.net/es/p/broca-en-espiral-para-madera-estandar-diametro-14-mm-longitud-de-trabajo-95-mm-ref-bosch-2-608-596-311/5282608596311"/>
        <s v="https://rodavigo.net/es/p/broca-en-espiral-para-madera-estandar-diametro-15-mm-longitud-de-trabajo-100-mm-ref-bosch-2-608-596-312/5282608596312"/>
        <s v="https://rodavigo.net/es/p/broca-en-espiral-para-madera-estandar-diametro-16-mm-longitud-de-trabajo-105-mm-ref-bosch-2-608-596-313/5282608596313"/>
        <s v="https://www.holzmann-maschinen.at/ES/Mortajadora-horizontal-845"/>
        <s v="https://www.maquinasyherramientasonline.com/set-de-brocas-mortajadora-holzmann-ll6tlgl-2/"/>
        <s v="https://www.bosch-professional.com/pe/es/products/gsb-16-re-060114E500"/>
        <s v="https://www.amazon.com/-/es/Honoson-diamante-torcida-resistentes-azulejos/dp/B09HWXQPY2/"/>
        <s v="https://www.amazon.com/DKIBBITH-diamante-azulejos-cer%C3%A1mica-porcelana/dp/B0F9F28DHD/ref=sr_1_2_sspa?__mk_es_US=%C3%85M%C3%85%C5%BD%C3%95%C3%91&amp;crid=2FFY0KBOZ5DP7&amp;dib=eyJ2IjoiMSJ9.KBxruJo-HsS4zZhtpXE6Ci6Hq2olVnWBW2bcUt6EzN3WGuD6jCUcGaPQ2368Z1MbD2O9bV4G"/>
        <s v="https://www.bosch-professional.com/cl/es/products/gsb-16re-maletin-06012B90E1"/>
        <s v="https://www.promart.pe/linterna-recargable-faro-120-lumenes-werken-158564/p"/>
        <s v="KIT DE TALADRO DESTORNILLADOR INALÁMBRICO - FT.pdf"/>
        <s v="TARJETA O PLATAFORMA DE ELECTRONICA DE CODIGO ABIERTO.pdf"/>
        <s v="https://radiosurtidora.com/products/medidor-de-resistencia-de-tierras-sew-4235-er"/>
        <s v="TINA QUESERA A GAS_FT.pdf"/>
        <s v="https://www.aslak.es/madera/5920900-torno-para-madera-db-900.html"/>
        <s v="https://www.aslak.es/madera/5931021-plato-t-madera-100m-4-garras-set-1.html"/>
        <s v="https://www.maqcenter.pe/product/tronzadora-de-metales-14-2300w-dewalt-d28730-b2"/>
        <s v="https://hken.rs-online.com/web/p/inverter-drives/7840751"/>
        <s v="https://www.amazon.com/ETCR-Three-Phase-Voltammeter-0-0mA-20-0A-0-0-360-0%C2%B0/dp/B0CXMBSWJH"/>
        <s v="https://www.aeatechnology.com/new-vna-and-swr-site-analyzer"/>
      </sharedItems>
    </cacheField>
    <cacheField name="CET" numFmtId="0">
      <sharedItems containsBlank="1">
        <s v="COM-106 BALANZA 3KG - CET"/>
        <m/>
        <s v="COM-107 BALANZA 40KG - CET"/>
        <s v="COM-108 BALANZA 5KG - CET"/>
        <s v="COM-110-X BALANZA DIGITAL - CET"/>
        <s v="COM-110-Y BALANZA DIGITAL - CET"/>
        <s v="COM-111 BALANZA GRAMERA 500G - CET"/>
        <s v="COM-123 CABINA DE SOLDAR CON MESA DE TRABAJO - CET"/>
        <s v="ESP-103 AMOLADORA - CET"/>
        <s v="ESP-104 ANALIZADOR DE ESPECTRO - CET"/>
        <s v="ESP-105 ANALIZADOR DE GAS DE ESCAPE - CET"/>
        <s v="ESP-109 ATORNILLADOR PORTÁTIL - CET"/>
        <s v="ESP-110 AUTOCLAVE 18 LITROS (ESTERILIZACIÓN) - CET"/>
        <s v="ESP-111 BATIDORA - CET"/>
        <s v="ESP-112 BATIDORA AMASADORA MEZCLADORA 5 LT - CET"/>
        <s v="ESP-113 BATIDORA MULTIFUNCIONAL - CET"/>
        <s v="ESP-114 BLOCK DE CONTACTORES AUXILIAR NC - NO - CET"/>
        <s v="ESP-116 BORDADORA DOMESTICA DIGITAL, ÁREA DE TRABAJO DE 300 MM X 180 MM - CET"/>
        <s v="ESP-117 BOTÓN PULSADOR INDUSTRIAL (VERDE, AMARILLO, ROJO) - CET"/>
        <s v="ESP-118 CAMPANA EXTRACTORA ISLA CON EQUIPOS DE EXTRACCIÓN - CET"/>
        <s v="ESP-119 CAPACÍMETRO DIGITAL - CET"/>
        <s v="ESP-120 CARGADOR DE BATERÍA - CET"/>
        <s v="ESP-121 CAUTÍN - CET"/>
        <s v="ESP-122 CIZALLA GUILLOTINA MECÁNICA - CET"/>
        <s v="ESP-124 COCINA 1 HORNILLA A GAS - CET"/>
        <s v="ESP-125 COCINA DE INDUCCIÓN CON 5 ZONAS DE COCCIÓN Y CON HORNO MULTIFUNCIONAL - CET"/>
        <s v="ESP-126-X COCINA SEMI INDUSTRIAL - CET"/>
        <s v="ESP-126-Y COCINA SEMI INDUSTRIAL A GAS - CET"/>
        <s v="ESP-128 COMPRENSORA DE AIRE DE 50 LITROS - CET"/>
        <s v="ESP-130 COMPRESORA DE AIRE (50L - 2HP) - CET"/>
        <s v="ESP-131 COMPRESORA DE AIRE (50L - 3HP) - CET"/>
        <s v="ESP-132 COMPROBADORES DE ENCENDIDO - CET"/>
        <s v="ESP-133-X CONSERVADORA / CONGELADORA PUERTA VIDRIO VERTICAL   55 LT DUAL - CET"/>
        <s v="ESP-133-Y CONSERVADORA / CONGELADORA PUERTA VIDRIO VERTICAL   55 LT DUAL - CET"/>
        <s v="ESP-134 CONSOLA DE SONIDO - CET"/>
        <s v="ESP-135 CONTACTOR TRIPOLAR - CET"/>
        <s v="ESP-138 CORTADORA LÁSER CO2 1300 x 900 mm ( EB ) - CET"/>
        <s v="ESP-139-X CORTADORA LÁSER CO2 ( IV ) - CET"/>
        <s v="ESP-139-Y CORTADORA LÁSER CO2 600 x 400 mm ( EB ) - CET"/>
        <s v="ESP-140 CORTADORA LÁSER CO2 - CET"/>
        <s v="ESP-144 CURVADORA DE TUBOS HIDRÁULICO - CET"/>
        <s v="ESP-147 DESHIDRATADORA - CET"/>
        <s v="ESP-148-X DESTORNILLADOR INALÁMBRICO - CET"/>
        <s v="ESP-148-Y DESTORNILLADOR INALÁMBRICO - CET"/>
        <s v=" "/>
        <s v="ESP-150 ELEVADOR DE COLUMNAS HIDRÁULICO - CET"/>
        <s v="ESP-151 ELEVADOR DE TIJERA - CET"/>
        <s v="ESP-152 ENCHAPADORA DE CANTOS CON DEPÓSITO DE COLA Y MESA ESTACIONARIA - CET"/>
        <s v="ESP-153 KIT DE ENTRENADOR BÁSICO DE SISTEMA DE RED DE PC - CET"/>
        <s v="ESP-154 KIT DE ENTRENADOR DE REDES Y CABLEADO - CET"/>
        <s v="ESP-155 EQUIPO DE ASPIRACIÓN - CET"/>
        <s v="ESP-156 EQUIPO DESPEDREGADORA - CET"/>
        <s v="ESP-158 EQUIPO PARA PINTURA POR SPRAY - CET"/>
        <s v="ESP-160 ESCANER UNIVERSAL AUTOMOTRIZ - CET"/>
        <s v="ESP-161-X ESMERIL DE BANCO - CET"/>
        <s v="ESP-161-Y ESMERIL DE BANCO - CET"/>
        <s v="ESP-162 ESMERIL DE BANCO (CON SOPORTE) - CET"/>
        <s v="ESP-164 ESTACIÓN MÓVIL PARA ENTRENAMIENTO DE INSTALACIONES ELÉCTRICA - CET"/>
        <s v="ESP-165 ESTETOSCOPIO DE MECÁNICO - CET"/>
        <s v="ESP-166 EXTRACTOR - CET"/>
        <s v="ESP-167 EXTRACTOR DE HUMO - CET"/>
        <s v="ESP-168 EXTRACTOR DE SOLDADURA - CET"/>
        <s v="ESP-169 EXTRACTOR DE VÁLVULAS (COMPRESOR DE MUELLES DE VÁLVULAS UNIVERSAL TIPO ARCO) - CET"/>
        <s v="ESP-170 FRECUENCÍMETRO DIGITAL - CET"/>
        <s v="ESP-171 FREIDORA DE DOS BANDEJAS - CET"/>
        <s v="ESP-172 FREIDORA DE SOBREMESA A GAS - CET"/>
        <s v="ESP-176-X FUENTE DE ALIMENTACIÓN - CET"/>
        <s v="ESP-176-Y FUENTE DE ALIMENTACIÓN - CET"/>
        <s v="ESP-178 GATO HIDRÁULICO TIPO LAGARTO - CET"/>
        <s v="ESP-180 GENERADOR DE SEÑALES ANALÓGICAS Y DIGITALES - CET"/>
        <s v="ESP-182 GRATINADOR - CET"/>
        <s v="ESP-185-X HORNO PASTELERO - CET"/>
        <s v="ESP-185-Y HORNO PASTELERO - CET"/>
        <s v="ESP-186 HORNO TOSTADOR - CET"/>
        <s v="ESP-187-X IMPRESORA 3D - CET"/>
        <s v="ESP-187-Y IMPRESORA 3D - CET"/>
        <s v="ESP-187-Z IMPRESORA 3D - CET"/>
        <s v="ESP-189 IMPRESORA DIGITAL TEXTIL - CET"/>
        <s v="ESP-191 IMPRESORA PARA SUBLIMACIÓN - CET"/>
        <s v="ESP-192 INCUBADORA PARA YOGURT - CET"/>
        <s v="ESP-194 JUEGO DE CABLES UTP - CET"/>
        <s v="ESP-195 KIT COMPLETO DE INICIO PARA DESARROLLO DE ELECTRÓNICA CON MICROCONTROLADOR- CET"/>
        <s v="ESP-196 KIT DE COMPONENTES COMPLEMENTARIOS - CET"/>
        <s v="ESP-197 KIT DE PLATAFORMA ELECTRÓNICA DE CÓDIGO ABIERTO - TARJETA DE MEGA2560 - CET"/>
        <s v="ESP-198 KIT DE ELECTRICIDAD PARA EL APRENDIZAJE DE ELECTRICIDAD BÁSICA (ELECTROMAGNETISMO, CIRCUITOS ELÉCTRICOS, MOTOR ELÉCTRICO) - CET"/>
        <s v="ESP-199 KIT DE ENTRENAMIENTO DE ELECTRÓNICA DE POTENCIA - CET"/>
        <s v="ESP-200 KIT DE ENTRENAMIENTO CON MICROCONTROLADORES - CET"/>
        <s v="ESP-201 KIT DE ENTRENAMIENTO EN LA GENERACIÓN DE ELECTRICIDAD CON ENERGÍA RENOVABLE FOTOVOLTAICO Y EÓLICO - CET"/>
        <s v="ESP-202 KIT DE EQUIPO OXICORTE - CET"/>
        <s v="ESP-203 KIT DE ESTACIONES DE ENTRENAMIENTO DE INSTALACIONES DE SISTEMAS DE SEGURIDAD - CET"/>
        <s v="ESP-205 KIT DE INICIO DE ELECTRÓNICA BÁSICA (COMPONENTES DE ELECTRÓNICA BÁSICA) - CET"/>
        <s v="ESP-206 KIT DE MOTOR DE COMBUSTIÓN INTERNA V8 DE MATERIAL SINTÉTICO, ARMABLE Y DESARMABLE - CET"/>
        <s v="ESP-207 KIT DE ROBÓTICA PARA PLATAFORMA ELECTRÓNICA DE CÓDIGO ABIERTO - CET"/>
        <s v="ESP-208 KIT DE SOLDADURA - ESTACIÓN DE CALOR - CET"/>
        <s v="ESP-210 Kit de Taladro/Destornillad or Inalámbrico - CET"/>
        <s v="ESP-214 KITS DE ROBOTS &quot;NO ESTRUCTURADOS&quot;: APLICACIONES A LA INDUSTRIA - CET"/>
        <s v="ESP-217-X LICUADORA INDUSTRIAL (CR)- CET"/>
        <s v="ESP-217-Y LICUADORA INDUSTRIAL (IA) - CET"/>
        <s v="ESP-219 LIJADORA DE BANDA Y DISCO DE MESA - CET"/>
        <s v="ESP-221 LIJADORA ORBITAL PORTÁTIL - CET"/>
        <s v="ESP-222 MANDOLINA ELÉCTRICA PARA COCINA - CET"/>
        <s v="ESP-223 MÁQUINA BORDADORA SEMI INDUSTRIAL - CET"/>
        <s v="ESP-224 MÁQUINA CORTADORA MANUAL DE DISCO - CET"/>
        <s v="ESP-227 MÁQUINA DE COSER DOMÉSTICA ELECTRÓNICA DIGITAL 1200 PUNTADAS POR MINUTO - CET"/>
        <s v="ESP-228 MÁQUINA DE COSER SEMI INDUSTRIAL MECÁNICA - CET"/>
        <s v="ESP-229 MÁQUINA DE COSTURA RECTA INDUSTRIAL - CET"/>
        <s v="ESP-230 MÁQUINA DE HELADOS CON TEMPORIZADOR - CET"/>
        <s v="ESP-232 MÁQUINA DE SOLDAR MULTIPROCESO - CET"/>
        <s v="ESP-233 MÁQUINA DE SOLDAR MULTIPROCESO CON CARRO DE TRANSPORTE - CET"/>
        <s v="ESP-234 MÁQUINA DE SOLDAR POR ELECTRODO O ARCO ELÉCTRICO - CET"/>
        <s v="ESP-237 MÁQUINA DOMÉSTICA RECUBRIDORA (COLLARETERA) - CET"/>
        <s v="ESP-238 MÁQUINA DOMÉSTICA REMALLADORA (FILETEADORA) - CET"/>
        <s v="ESP-239 MÁQUINA ENGALLETADORA - CET"/>
        <s v="ESP-242 MÁQUINA GARLOPA - CET"/>
        <s v="ESP-243 MÁQUINA PARA EL REVELADO POR INMERSIÓN - CET"/>
        <s v="ESP-244 MÁQUINA PARA EL RUTEADO DE CONTORNO Y PERFORADO - CET"/>
        <s v="ESP-245 MÁQUINA PARA LA EXPOSICIÓN FOTOGRÁFICA - CET"/>
        <s v="ESP-246 MÁQUINA PARA LA PREPARACIÓN DE OJALILLOS - CET"/>
        <s v="ESP-247 MÁQUINA TRANSFER BASE CURVA DIGITAL - CET"/>
        <s v="ESP-248 MÁQUINA TRANSFER BASE PLANA DIGITAL - CET"/>
        <s v="ESP-249 MÁQUINA TRANSFER DIGITAL CON ACCESORIOS PARA PRENDAS, GORRO, PLATOS, TAZAS, BOTELLAS - CET"/>
        <s v="ESP-250 MÁQUINA TRICOTERA INDUSTRIAL - CET"/>
        <s v="ESP-251 MARMITA A GAS DE 10 LITROS - CET"/>
        <s v="ESP-252 MEDIDOR DE ENERGÍA ACTIVA MONOFÁSICO Y TRIFÁSICO - CET"/>
        <s v="ESP-253 - MEGÓMETRO DIGITAL - CET"/>
        <s v="ESP-254 MICRÓFONO CONDENSADOR PARA ESTUDIO - CET"/>
        <s v="ESP-255 MICROONDAS- CET.xlsx"/>
        <s v="ESP-256 MICRÓFONO DINÁMICO - CET"/>
        <s v="ESP-257 MINITALADRO PORTATIL - CET"/>
        <s v="ESP-258 MÓDULO DE BLUETOOTH TIPO HC-05 PARA PLATAFORMA ELECTRÓNICA - CET"/>
        <s v="ESP-259 MÓDULO DE BLUETOOTH TIPO HC-06 PARA PLATAFORMA ELECTRÓNICA - CET"/>
        <s v="ESP-260 MÓDULO DE ENTRENAMIENTO PARA EL DESARROLLO DE CIRCUITOS ELECTRÓNICOS ANALÓGICOS Y DIGITALES - CET"/>
        <s v="ESP-263 MÓDULO DE PLC - CET"/>
        <s v="ESP-264 MÓDULO DE SISTEMA EDUCATIVO DE MOTOR DIESEL (ELECTRÓNICO) - CET"/>
        <s v="ESP-265 - MÓDULO DE SISTEMA HÍBRIDO ECU HV - CET"/>
        <s v="ESP-266 MÓDULO EDUCATIVO DE MONTAJE Y DESMONTAJE DE MOTOR DE GASOLINA - CET"/>
        <s v="ESP-267  MÓDULO EDUCATIVO DE SIMULACIÓN DE MOTOR DE GASOLINA - CET"/>
        <s v="ESP-268 MÓDULO EDUCATIVO DE SIMULACIÓN DE TRANSMISIÓN DE POTENCIA - CET"/>
        <s v="ESP-269 MÓDULO EDUCATIVO DE SISTEMA CARGA Y ARRANQUE - CET"/>
        <s v="ESP-270 MÓDULO EDUCATIVO DE SISTEMA DE ENCENDIDO (ELECTRÓNICO) - CET"/>
        <s v="ESP-271 MÓDULO EDUCATIVO DE SISTEMA DE LUCES - CET"/>
        <s v="ESP-272 MÓDULO EDUCATIVO DE SISTEMA ELÉCTRICO ELECTRÓNICO COMPUTARIZADO - CET"/>
        <s v="ESP-273 MÓDULO EDUCATIVO DE SUSPENSIÓN, DIRECCIÓN Y FRENOS - CET"/>
        <s v="ESP-274 MÓDULO EDUCATIVO Y SIMULADOR DE SISTEMA DE FRENOS ABS Y TCS CONTROL DE TRACCIÓN - CET"/>
        <s v="ESP-275 MOLINO ELÉCTRICO - CET"/>
        <s v="ESP-276 MOLINO ELÉCTRICO PULVERIZADOR DE HIERBAS Y GRANOS - CET"/>
        <s v="ESP-277 MOLINO PASTA DE CACAO- CET"/>
        <s v="ESP-278 MOTOR ELÉCTRICO MONOFÁSICO - CET"/>
        <s v="ESP-279 MOTOR ELÉCTRICO TRIFÁSICO DE 12 TERMINALES - CET"/>
        <s v="ESP-280 MOTOR ELÉCTRICO TRIFÁSICO DE 6 TERMINALES- CET"/>
        <s v="ESP-281-X MULTÍMETRO DIGITAL - CET CI"/>
        <s v="ESP-281-Y MULTÍMETRO DIGITAL- CET"/>
        <s v="ESP-281-Z MULTÍMETRO DIGITAL - CET"/>
        <s v="ESP-282-X MULTIPROCESADOR ALIMENTOS ROBOV- CET.xlsx"/>
        <s v="ESP-282-Y MULTIPROCESADOR ALIMENTOS ROBOV - CET"/>
        <s v="ESP-283-X MULTITESTER - CET"/>
        <s v="ESP-283-Y MULTITESTER - CET"/>
        <s v="ESP-284 OLLA A PRESIÓN 9 LITROS - CET"/>
        <s v="ESP-285 OLLA ARROCERA - CET.xlsx"/>
        <s v="ESP-286 OPACÍMETRO - CET"/>
        <s v="ESP-287-X OSCILOSCOPIO DIGITAL - CET"/>
        <s v="ESP-287-Y OSCILOSCOPIO DIGITAL - CET"/>
        <s v="ESP-287-Z OSCILOSCOPIO DIGITAL - CET"/>
        <s v="ESP-288 PASTEURIZACIÓN DOMÉSTICO 15 LITROS - CET"/>
        <s v="ESP-289 PILOTO DE SEÑALIZACIÓN DE LED (VERDE, AMARILLO, ROJO, BLANCO, A - CET"/>
        <s v="ESP-290-A PINZA AMPERIMÉTRICA - CET.xlsx"/>
        <s v="ESP-290-B PINZA AMPERIMÉTRICA - CET"/>
        <s v="ESP-291 PINZA VOLTAMPERIMÉTRICA - CET"/>
        <s v="ESP-296 PISTOLA DE PINTAR DE GRAVEDAD - CET"/>
        <s v="ESP-297 PISTOLA DE SOLDAR - CET"/>
        <s v="ESP-298 PISTOLA SOPLADORA DE AIRE - CET"/>
        <s v="ESP-299 PLANCHA A VAPOR - CET"/>
        <s v="ESP-300 PLANCHA A VAPOR VERTICAL - CET"/>
        <s v="ESP-302 PLANCHA DE SOBREMESA A GAS- CET.xlsx"/>
        <s v="ESP-304 PLEGADORA DE PLANCHA MANUAL- CET"/>
        <s v="ESP-305 PLOTTER - CET"/>
        <s v="ESP-306 PLOTTER DE CORTE - CET"/>
        <s v="ESP-307 PLUMA HIDRÁULICA - CET"/>
        <s v="ESP-308 PRENSA HIDRÁULICA - CET"/>
        <s v="ESP-311 PROBADOR DE CABLES DE RED - CET"/>
        <s v="ESP-312 PROBADOR DE CABLES ELÉCTRICOS - CET"/>
        <s v="ESP-313 PROBADOR DE PRESIÓN DE COMBUSTIBLE - CET"/>
        <s v="ESP-314 PROBADORES DE PRESIÓN Y VACÍO - CET"/>
        <s v="ESP-315 PROTOBOARD: PLACA DE PRUEBAS - CET"/>
        <s v="ESP-318 PUNTA LÓGICA AUTOMOTOR - CET"/>
        <s v="ESP-320 REBANADORA DE PAN - CET"/>
        <s v="ESP-321 REFRESQUERA ENFRIADOR DE BEBIDAS - CET.xlsx"/>
        <s v="ESP-322 REFRIGERADORA (CAPACIDAD 187L) - CET"/>
        <s v="ESP-323 REFRIGERADORA (CAPACIDAD 255L) - CET"/>
        <s v="ESP-324 REFRIGERADORA (CAPACIDAD 617L) - CET.xlsx"/>
        <s v="ESP-325 REGRUESADORA (DE MESA) - CET"/>
        <s v="ESP-326 RELÉ PROGRAMABLE - CET.xlsx"/>
        <s v="ESP-328 RUTEADORA  PORTATIL - CET"/>
        <s v="ESP-329 RUTEADORA CNC - CET"/>
        <s v="ESP-334 SECADOR DE CÁMARA VERTICAL - CET"/>
        <s v="ESP-337 SELECCIONADORA DE ZARANDA - CET"/>
        <s v="ESP-338 SELLADORA AL VACÍO - CET"/>
        <s v="ESP-339 SELLADORA DE BOLSAS PLÁSTICAS - CET"/>
        <s v="ESP-340 SENSOR DE PROXIMIDAD CAPACITIVOS- CET.xlsx"/>
        <s v="ESP-341 SENSOR DE PROXIMIDAD INDUCTIVOS - CET.xlsx"/>
        <s v="ESP-342 SENSORES FOTOELÉCTRICOS - CET.xlsx"/>
        <s v="ESP-344 SIERRA CALADORA - CET"/>
        <s v="ESP-345 SIERRA CINTA - CET"/>
        <s v="ESP-347 SIERRA CIRCULAR - CET"/>
        <s v="ESP-349 SIERRA RADIAL - CET"/>
        <s v="ESP-351 SIMULADOR DE SOLDADURA - CET"/>
        <s v="ESP-352 TACÓMETRO - CET"/>
        <s v="ESP-354-X  TALADRO DE COLUMNA - CET"/>
        <s v="ESP-354-Y  TALADRO DE COLUMNA - CET"/>
        <s v="ESP-355 TALADRO DE COLUMNA DE MESA - CET"/>
        <s v="ESP-356 TALADRO HORIZONTAL / ESCOPLEADORA - CET"/>
        <s v="ESP-358 TALADRO PERCUTOR PORTÁTIL - CET"/>
        <s v="ESP-359-X TALADRO PORTÁTIL - CET CI"/>
        <s v="ESP-359-Y TALADRO PORTÁTIL - CET"/>
        <s v="ESP-360 TALADRO PORTÁTIL - CET"/>
        <s v="ESP-362 TALADRO PORTÁTIL INALÁMBRICO CON SET DE BROCAS - CET"/>
        <s v="ESP-365 TARJETA O PLATAFORMA DE ELECTRÓNICA DE CÓDIGO ABIERTO - CET"/>
        <s v="ESP-366 TELURÓMETRO DIGITAL - CET"/>
        <s v="ESP-368 TINA QUESERA A GAS - CET"/>
        <s v="ESP-371 TORNO DE MADERA DE 90 CM ENTRE PUNTAS - CET"/>
        <s v="ESP-373  TRONZADORA DE METAL- CET"/>
        <s v="ESP-379 VARIADOR DE FRECUENCIA (MONOFÁSICO A TRIFÁSICO) - CET"/>
        <s v="ESP-380 VATÍMETRO DIGITAL - CET"/>
        <s v="ESP-381 VECTOR ANALIZADOR DE REDES - CET"/>
      </sharedItems>
    </cacheField>
    <cacheField name="VALIDACIÓN FINAL" numFmtId="0">
      <sharedItems>
        <b v="1"/>
        <b v="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H555" sheet="HERRAMIENTAS"/>
  </cacheSource>
  <cacheFields>
    <cacheField name="N°" numFmtId="0">
      <sharedItems containsString="0" containsBlank="1" containsNumber="1" containsInteger="1">
        <n v="1.0"/>
        <n v="2.0"/>
        <n v="3.0"/>
        <n v="4.0"/>
        <n v="5.0"/>
        <n v="6.0"/>
        <n v="7.0"/>
        <n v="8.0"/>
        <n v="9.0"/>
        <n v="10.0"/>
        <n v="11.0"/>
        <n v="12.0"/>
        <n v="13.0"/>
        <m/>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sharedItems>
    </cacheField>
    <cacheField name="REVISADO" numFmtId="0">
      <sharedItems containsBlank="1">
        <b v="1"/>
        <m/>
        <b v="0"/>
      </sharedItems>
    </cacheField>
    <cacheField name="EN REQ" numFmtId="0">
      <sharedItems containsBlank="1">
        <b v="1"/>
        <b v="0"/>
        <m/>
      </sharedItems>
    </cacheField>
    <cacheField name="RUBRO" numFmtId="0">
      <sharedItems containsBlank="1">
        <s v="BIEN"/>
        <s v="COMPONENTE"/>
        <s v="ACCESORIO"/>
        <m/>
      </sharedItems>
    </cacheField>
    <cacheField name="TIPO DE PRODUCTO" numFmtId="0">
      <sharedItems containsBlank="1">
        <s v="HERRAMIENTAS"/>
        <s v="EQUIPOS"/>
        <m/>
      </sharedItems>
    </cacheField>
    <cacheField name="CÓDIGO ENTIDAD" numFmtId="0">
      <sharedItems containsBlank="1">
        <s v="COM-101"/>
        <s v="COM-102"/>
        <s v="COM-103"/>
        <s v="COM-105"/>
        <s v="COM-113"/>
        <s v="COM-114"/>
        <s v="COM-115"/>
        <s v="COM-116"/>
        <s v="COM-117"/>
        <s v="COM-118"/>
        <s v="COM-119"/>
        <s v="COM-120"/>
        <s v="COM-124"/>
        <s v="COM-125"/>
        <s v="COM-126"/>
        <s v="COM-127"/>
        <s v="COM-134"/>
        <s v="COM-135"/>
        <s v="COM-137"/>
        <s v="COM-138"/>
        <s v="COM-140"/>
        <s v="COM-141"/>
        <s v="COM-143"/>
        <s v="COM-144"/>
        <s v="COM-145"/>
        <s v="COM-146"/>
        <s v="COM-147"/>
        <s v="COM-148"/>
        <s v="COM-149"/>
        <s v="COM-153"/>
        <s v="COM-155"/>
        <s v="COM-156"/>
        <s v="COM-157"/>
        <s v="COM-159"/>
        <s v="COM-160"/>
        <s v="COM-161"/>
        <s v="COM-162"/>
        <s v="COM-163"/>
        <s v="COM-164"/>
        <s v="COM-167"/>
        <s v="COM-168"/>
        <s v="COM-169"/>
        <s v="COM-170"/>
        <s v="COM-171"/>
        <s v="COM-172"/>
        <s v="COM-173"/>
        <s v="COM-174"/>
        <s v="COM-175"/>
        <s v="COM-176"/>
        <s v="COM-177"/>
        <s v="COM-178"/>
        <s v="COM-179"/>
        <s v="COM-180"/>
        <s v="COM-181"/>
        <s v="COM-182"/>
        <s v="COM-183"/>
        <s v="COM-184"/>
        <s v="COM-185"/>
        <s v="COM-186"/>
        <s v="COM-187"/>
        <s v="COM-188"/>
        <s v="COM-189"/>
        <s v="COM-191"/>
        <s v="COM-192"/>
        <s v="COM-194"/>
        <s v="COM-195"/>
        <s v="COM-197"/>
        <s v="COM-201"/>
        <s v="COM-207"/>
        <s v="COM-209"/>
        <s v="COM-211"/>
        <s v="COM-215"/>
        <s v="COM-218"/>
        <s v="COM-225"/>
        <s v="COM-226"/>
        <s v="COM-231"/>
        <s v="COM-236"/>
        <s v="COM-238"/>
        <s v="COM-239"/>
        <s v="COM-240"/>
        <s v="COM-241"/>
        <s v="COM-242"/>
        <s v="COM-243"/>
        <m/>
        <s v="COM-244"/>
        <s v="COM-245"/>
        <s v="COM-246"/>
        <s v="COM-250"/>
        <s v="COM-251"/>
        <s v="COM-252"/>
        <s v="COM-253"/>
        <s v="COM-254"/>
        <s v="COM-256"/>
        <s v="COM-257"/>
        <s v="COM-258"/>
        <s v="COM-262"/>
        <s v="COM-263"/>
        <s v="COM-264"/>
        <s v="COM-265"/>
        <s v="COM-266"/>
        <s v="COM-267"/>
        <s v="COM-268"/>
        <s v="COM-269"/>
        <s v="COM-271"/>
        <s v="COM-272"/>
        <s v="COM-274"/>
        <s v="COM-275"/>
        <s v="COM-276"/>
        <s v="COM-277"/>
        <s v="COM-280"/>
        <s v="COM-281"/>
        <s v="COM-282"/>
        <s v="COM-283"/>
        <s v="COM-285"/>
        <s v="COM-286"/>
        <s v="COM-288"/>
        <s v="COM-291"/>
        <s v="COM-294"/>
        <s v="COM-295"/>
        <s v="COM-296"/>
        <s v="COM-297"/>
        <s v="COM-300"/>
        <s v="COM-301"/>
        <s v="COM-302"/>
        <s v="COM-303"/>
        <s v="COM-304"/>
        <s v="COM-305"/>
        <s v="COM-306"/>
        <s v="ESP-204"/>
        <s v="HER-101"/>
        <s v="HER-102"/>
        <s v="HER-103"/>
        <s v="HER-104"/>
        <s v="HER-106"/>
        <s v="HER-109"/>
        <s v="HER-110"/>
        <s v="HER-114"/>
        <s v="HER-118"/>
        <s v="HER-122"/>
        <s v="HER-125"/>
        <s v="HER-126"/>
        <s v="HER-127"/>
        <s v="HER-128"/>
        <s v="HER-129"/>
        <s v="HER-132"/>
        <s v="HER-133"/>
        <s v="HER-134"/>
        <s v="HER-135"/>
        <s v="HER-136"/>
        <s v="HER-137"/>
        <s v="HER-138"/>
        <s v="HER-139"/>
        <s v="HER-140"/>
        <s v="HER-141"/>
        <s v="HER-142"/>
        <s v="HER-143"/>
        <s v="HER-144"/>
        <s v="HER-145"/>
        <s v="HER-146"/>
        <s v="HER-147"/>
        <s v="HER-148"/>
        <s v="HER-149"/>
        <s v="HER-150"/>
        <s v="HER-151"/>
        <s v="HER-152"/>
        <s v="HER-153"/>
        <s v="HER-154"/>
        <s v="HER-155"/>
        <s v="HER-160"/>
        <s v="HER-162"/>
        <s v="HER-164"/>
        <s v="HER-165"/>
        <s v="HER-167"/>
        <s v="HER-169"/>
        <s v="HER-175"/>
        <s v="HER-179"/>
        <s v="HER-181"/>
        <s v="HER-184"/>
        <s v="HER-186"/>
        <s v="HER-188"/>
        <s v="HER-189"/>
        <s v="HER-192"/>
        <s v="HER-198"/>
        <s v="HER-203"/>
        <s v="MAT-101"/>
        <s v="MAT-106"/>
        <s v="MAT-108"/>
        <s v="MAT-109"/>
        <s v="MAT-110"/>
        <s v="MAT-111"/>
        <s v="MAT-112"/>
        <s v="MAT-113"/>
        <s v="MAT-114"/>
        <s v="MAT-114.1"/>
        <s v="MAT-115"/>
        <s v="MAT-116"/>
        <s v="MAT-117"/>
        <s v="MAT-119"/>
        <s v="MAT-120"/>
        <s v="MAT-122"/>
        <s v="MAT-123"/>
        <s v="MAT-124"/>
        <s v="MAT-125"/>
        <s v="MAT-127"/>
        <s v="MAT-129"/>
        <s v="MAT-132"/>
        <s v="MAT-133"/>
        <s v="MAT-135"/>
        <s v="MAT-136"/>
        <s v="MAT-137"/>
        <s v="MAT-138"/>
        <s v="MAT-140"/>
        <s v="MAT-141"/>
        <s v="MAT-142"/>
        <s v="MAT-143"/>
        <s v="MAT-144"/>
        <s v="MAT-145"/>
        <s v="MAT-146"/>
        <s v="MAT-147"/>
        <s v="MAT-150"/>
        <s v="MAT-151"/>
        <s v="MAT-152"/>
        <s v="MAT-153"/>
        <s v="MAT-154"/>
        <s v="MAT-155"/>
        <s v="MAT-156"/>
        <s v="MAT-159"/>
        <s v="MAT-161"/>
        <s v="MAT-162"/>
        <s v="MAT-163"/>
        <s v="MAT-165"/>
        <s v="MAT-167"/>
        <s v="MAT-169"/>
        <s v="MAT-171"/>
        <s v="MAT-172"/>
        <s v="MAT-174"/>
        <s v="MAT-175"/>
        <s v="MAT-177"/>
        <s v="MAT-178"/>
        <s v="MAT-179"/>
        <s v="MAT-180"/>
        <s v="MAT-181"/>
        <s v="MAT-187"/>
        <s v="MAT-188"/>
        <s v="MAT-190"/>
        <s v="MAT-192"/>
        <s v="MAT-193"/>
        <s v="MAT-196"/>
        <s v="MAT-197"/>
        <s v="MAT-198"/>
        <s v="MAT-199"/>
        <s v="MAT-200"/>
        <s v="MAT-201"/>
        <s v="MAT-202"/>
        <s v="MAT-203"/>
        <s v="MAT-205"/>
        <s v="MAT-211"/>
        <s v="MAT-212"/>
        <s v="MAT-214"/>
        <s v="MAT-215"/>
        <s v="MAT-216"/>
        <s v="MAT-217"/>
        <s v="MAT-218"/>
        <s v="MAT-219"/>
        <s v="MAT-228"/>
        <s v="MAT-230"/>
        <s v="MAT-231"/>
        <s v="MAT-232"/>
        <s v="MAT-233"/>
        <s v="MAT-236"/>
        <s v="MAT-237"/>
        <s v="MAT-385"/>
        <s v="MAT-386"/>
        <s v="MAT-392"/>
        <s v="MAT-393"/>
        <s v="MAT-394"/>
        <s v="MAT-395"/>
        <s v="MAT-396"/>
        <s v="MAT-397"/>
        <s v="MAT-398"/>
        <s v="MAT-399"/>
        <s v="MAT-401"/>
        <s v="MAT-404"/>
        <s v="MAT-418"/>
        <s v="MAT-420"/>
        <s v="MAT-421"/>
        <s v="MAT-439"/>
        <s v="MAT-440"/>
        <s v="MAT-448"/>
        <s v="MAT-449"/>
        <s v="MAT-453"/>
        <s v="MAT-454"/>
        <s v="MAT-455"/>
        <s v="MAT-456"/>
        <s v="MAT-457"/>
        <s v="MAT-461"/>
        <s v="MAT-475"/>
        <s v="MAT-514"/>
        <s v="MAT-515"/>
        <s v="MAT-516"/>
        <s v="MAT-517"/>
      </sharedItems>
    </cacheField>
    <cacheField name="CÓDIGO INTERNO (EETT)" numFmtId="0">
      <sharedItems>
        <s v="COM-101"/>
        <s v="COM-102-W"/>
        <s v="COM-102-X"/>
        <s v="COM-102-Y"/>
        <s v="COM-102-Z"/>
        <s v="COM-103"/>
        <s v="COM-105"/>
        <s v="COM-113"/>
        <s v="COM-114"/>
        <s v="COM-115"/>
        <s v="COM-116"/>
        <s v="COM-117"/>
        <s v="COM-118"/>
        <s v="COM-118.1"/>
        <s v="COM-118.2"/>
        <s v="COM-119"/>
        <s v="COM-120"/>
        <s v="COM-124"/>
        <s v="COM-125"/>
        <s v="COM-126-W"/>
        <s v="COM-126-X"/>
        <s v="COM-126-Y"/>
        <s v="COM-126-Z"/>
        <s v="COM-127"/>
        <s v="COM-134"/>
        <s v="COM-134.1"/>
        <s v="COM-134.2"/>
        <s v="COM-134.3"/>
        <s v="COM-135"/>
        <s v="COM-137"/>
        <s v="COM-137.1"/>
        <s v="COM-137.2"/>
        <s v="COM-138"/>
        <s v="COM-140"/>
        <s v="COM-141"/>
        <s v="COM-143"/>
        <s v="COM-143.1"/>
        <s v="COM-143.2"/>
        <s v="COM-144"/>
        <s v="COM-144.1"/>
        <s v="COM-144.2"/>
        <s v="COM-145"/>
        <s v="COM-145.1"/>
        <s v="COM-146"/>
        <s v="COM-146.1"/>
        <s v="COM-147"/>
        <s v="COM-148"/>
        <s v="COM-149"/>
        <s v="COM-153"/>
        <s v="COM-155"/>
        <s v="COM-156"/>
        <s v="COM-157"/>
        <s v="COM-159"/>
        <s v="COM-160"/>
        <s v="COM-161-X"/>
        <s v="COM-161-Y"/>
        <s v="COM-162"/>
        <s v="COM-163-X"/>
        <s v="COM-163-Y"/>
        <s v="COM-164"/>
        <s v="COM-167"/>
        <s v="COM-167.1"/>
        <s v="COM-168"/>
        <s v="COM-168.1"/>
        <s v="COM-169"/>
        <s v="COM-170"/>
        <s v="COM-170.1"/>
        <s v="COM-171"/>
        <s v="COM-172-X"/>
        <s v="COM-172-Y"/>
        <s v="COM-173"/>
        <s v="COM-174"/>
        <s v="COM-175"/>
        <s v="COM-176"/>
        <s v="COM-176.1"/>
        <s v="COM-176.2"/>
        <s v="COM-177"/>
        <s v="COM-178"/>
        <s v="COM-178.1"/>
        <s v="COM-179"/>
        <s v="COM-180"/>
        <s v="COM-181"/>
        <s v="COM-182"/>
        <s v="COM-183"/>
        <s v="COM-183.1"/>
        <s v="COM-184"/>
        <s v="COM-184.1"/>
        <s v="COM-184.2"/>
        <s v="COM-184.3"/>
        <s v="COM-185"/>
        <s v="COM-185.7"/>
        <s v="COM-186"/>
        <s v="COM-187"/>
        <s v="COM-188"/>
        <s v="COM-189"/>
        <s v="COM-191"/>
        <s v="COM-191.1"/>
        <s v="COM-191.2"/>
        <s v="COM-191.3"/>
        <s v="COM-191.4"/>
        <s v="COM-191.5"/>
        <s v="COM-191.6"/>
        <s v="COM-192"/>
        <s v="COM-192.1"/>
        <s v="COM-192.2"/>
        <s v="COM-194"/>
        <s v="COM-195"/>
        <s v="COM-195.1"/>
        <s v="COM-195.2"/>
        <s v="COM-195.3"/>
        <s v="COM-195.4"/>
        <s v="COM-195.5"/>
        <s v="COM-197"/>
        <s v="COM-197.1"/>
        <s v="COM-201"/>
        <s v="COM-207"/>
        <s v="COM-207.1"/>
        <s v="COM-209"/>
        <s v="COM-209.1"/>
        <s v="COM-211"/>
        <s v="COM-211.1"/>
        <s v="COM-215"/>
        <s v="COM-215.1"/>
        <s v="COM-215.2"/>
        <s v="COM-215.3"/>
        <s v="COM-215.4"/>
        <s v="COM-218"/>
        <s v="COM-225"/>
        <s v="COM-225.1"/>
        <s v="COM-226"/>
        <s v="COM-231-X"/>
        <s v="COM-231-Y"/>
        <s v="COM-231-Y.1"/>
        <s v="COM-236-X"/>
        <s v="COM-236-Y"/>
        <s v="COM-238-X"/>
        <s v="COM-238-Y"/>
        <s v="COM-239"/>
        <s v="COM-239.1"/>
        <s v="COM-239.2"/>
        <s v="COM-239.3"/>
        <s v="COM-240"/>
        <s v="COM-240.1"/>
        <s v="COM-240.2"/>
        <s v="COM-241"/>
        <s v="COM-242"/>
        <s v="COM-242.1"/>
        <s v="COM-243"/>
        <s v="COM-244"/>
        <s v="COM-245"/>
        <s v="COM-246"/>
        <s v="COM-250"/>
        <s v="COM-251"/>
        <s v="COM-252"/>
        <s v="COM-252.1"/>
        <s v="COM-252.2"/>
        <s v="COM-252.3"/>
        <s v="COM-253"/>
        <s v="COM-254"/>
        <s v="COM-256"/>
        <s v="COM-257"/>
        <s v="COM-258"/>
        <s v="COM-262"/>
        <s v="COM-263"/>
        <s v="COM-263.1"/>
        <s v="COM-264"/>
        <s v="COM-264.1"/>
        <s v="COM-265"/>
        <s v="COM-265.1"/>
        <s v="COM-266"/>
        <s v="COM-267"/>
        <s v="COM-268"/>
        <s v="COM-268.1"/>
        <s v="COM-268.2"/>
        <s v="COM-268.3"/>
        <s v="COM-268.4"/>
        <s v="COM-269"/>
        <s v="COM-271"/>
        <s v="COM-272"/>
        <s v="COM-274"/>
        <s v="COM-275"/>
        <s v="COM-276"/>
        <s v="COM-276.1"/>
        <s v="COM-277"/>
        <s v="COM-277.1"/>
        <s v="COM-280"/>
        <s v="COM-281"/>
        <s v="COM-282"/>
        <s v="COM-283"/>
        <s v="COM-285-X"/>
        <s v="COM-285-Y"/>
        <s v="COM-286"/>
        <s v="COM-288"/>
        <s v="COM-291"/>
        <s v="COM-291.1"/>
        <s v="COM-294"/>
        <s v="COM-294.1"/>
        <s v="COM-295"/>
        <s v="COM-296"/>
        <s v="COM-297"/>
        <s v="COM-297.1"/>
        <s v="COM-300"/>
        <s v="COM-301"/>
        <s v="COM-302"/>
        <s v="COM-303"/>
        <s v="COM-304"/>
        <s v="COM-305"/>
        <s v="COM-306"/>
        <s v="ESP-204"/>
        <s v="ESP-204.1"/>
        <s v="ESP-204.2"/>
        <s v="ESP-204.3"/>
        <s v="ESP-204.4"/>
        <s v="ESP-204.5"/>
        <s v="ESP-204.6"/>
        <s v="ESP-204.7"/>
        <s v="ESP-204.8"/>
        <s v="ESP-204.9"/>
        <s v="HER-101-X"/>
        <s v="HER-101-X.1"/>
        <s v="HER-101-Y"/>
        <s v="HER-102"/>
        <s v="HER-103"/>
        <s v="HER-104-X"/>
        <s v="HER-104-X.1"/>
        <s v="HER-104-Y"/>
        <s v="HER-106-X"/>
        <s v="HER-106-Y"/>
        <s v="HER-106-Y.1"/>
        <s v="HER-109-X"/>
        <s v="HER-109-X.1"/>
        <s v="HER-109-Y"/>
        <s v="HER-110-X"/>
        <s v="HER-110-Y"/>
        <s v="HER-114"/>
        <s v="HER-118"/>
        <s v="HER-122"/>
        <s v="HER-125"/>
        <s v="HER-125.1"/>
        <s v="HER-126"/>
        <s v="HER-127"/>
        <s v="HER-128"/>
        <s v="HER-129"/>
        <s v="HER-132"/>
        <s v="HER-132.1"/>
        <s v="HER-133"/>
        <s v="HER-134"/>
        <s v="HER-135-X"/>
        <s v="HER-135-Y"/>
        <s v="HER-135-Z"/>
        <s v="HER-136"/>
        <s v="HER-137"/>
        <s v="HER-138"/>
        <s v="HER-138.1"/>
        <s v="HER-138.2"/>
        <s v="HER-138.3"/>
        <s v="HER-139"/>
        <s v="HER-139.1"/>
        <s v="HER-139.2"/>
        <s v="HER-140-X"/>
        <s v="HER-140-Y"/>
        <s v="HER-141-X"/>
        <s v="HER-141-Y"/>
        <s v="HER-142"/>
        <s v="HER-143"/>
        <s v="HER-144"/>
        <s v="HER-145-X"/>
        <s v="HER-145-Y"/>
        <s v="HER-146"/>
        <s v="HER-146.1"/>
        <s v="HER-146.2"/>
        <s v="HER-147"/>
        <s v="HER-147.1"/>
        <s v="HER-147.2"/>
        <s v="HER-148"/>
        <s v="HER-149"/>
        <s v="HER-150-X"/>
        <s v="HER-150-X.1"/>
        <s v="HER-150-X.2"/>
        <s v="HER-150-Y"/>
        <s v="HER-151"/>
        <s v="HER-151.1"/>
        <s v="HER-151.2"/>
        <s v="HER-152"/>
        <s v="HER-152.1"/>
        <s v="HER-153"/>
        <s v="HER-153.1"/>
        <s v="HER-153.2"/>
        <s v="HER-153.3"/>
        <s v="HER-153.4"/>
        <s v="HER-153.5"/>
        <s v="HER-154"/>
        <s v="HER-155"/>
        <s v="HER-155.1"/>
        <s v="HER-155.2"/>
        <s v="HER-155.3"/>
        <s v="HER-160"/>
        <s v="HER-160.1"/>
        <s v="HER-160.2"/>
        <s v="HER-162-X"/>
        <s v="HER-162-Y"/>
        <s v="HER-164"/>
        <s v="HER-165"/>
        <s v="HER-167"/>
        <s v="HER-169"/>
        <s v="HER-175-X"/>
        <s v="HER-175-Y"/>
        <s v="HER-179"/>
        <s v="HER-181"/>
        <s v="HER-184"/>
        <s v="HER-186"/>
        <s v="HER-188"/>
        <s v="HER-189"/>
        <s v="HER-192"/>
        <s v="HER-192.1"/>
        <s v="HER-192.2"/>
        <s v="HER-192.3"/>
        <s v="HER-192.4"/>
        <s v="HER-192.5"/>
        <s v="HER-192.6"/>
        <s v="HER-192.7"/>
        <s v="HER-192.8"/>
        <s v="HER-192.9"/>
        <s v="HER-198"/>
        <s v="HER-203"/>
        <s v="MAT-101"/>
        <s v="MAT-106"/>
        <s v="MAT-108"/>
        <s v="MAT-109"/>
        <s v="MAT-110"/>
        <s v="MAT-111"/>
        <s v="MAT-112"/>
        <s v="MAT-112.1"/>
        <s v="MAT-113"/>
        <s v="MAT-113.1"/>
        <s v="MAT-114"/>
        <s v="MAT-114.1"/>
        <s v="MAT-114.2"/>
        <s v="MAT-115"/>
        <s v="MAT-116"/>
        <s v="MAT-117"/>
        <s v="MAT-119"/>
        <s v="MAT-120"/>
        <s v="MAT-122"/>
        <s v="MAT-123-X"/>
        <s v="MAT-123-X.01"/>
        <s v="MAT-123-X.02"/>
        <s v="MAT-123-X.03"/>
        <s v="MAT-123-X.04"/>
        <s v="MAT-123-X.05"/>
        <s v="MAT-123-X.06"/>
        <s v="MAT-123-X.07"/>
        <s v="MAT-123-X.08"/>
        <s v="MAT-123-X.09"/>
        <s v="MAT-123-X.10"/>
        <s v="MAT-123-X.11"/>
        <s v="MAT-123-X.12"/>
        <s v="MAT-123-X.13"/>
        <s v="MAT-123-Y"/>
        <s v="MAT-123-Y.01"/>
        <s v="MAT-123-Y.02"/>
        <s v="MAT-123-Y.03"/>
        <s v="MAT-123-Y.04"/>
        <s v="MAT-123-Y.05"/>
        <s v="MAT-123-Y.06"/>
        <s v="MAT-123-Y.07"/>
        <s v="MAT-123-Y.08"/>
        <s v="MAT-123-Y.09"/>
        <s v="MAT-123-Y.10"/>
        <s v="MAT-123-Y.11"/>
        <s v="MAT-123-Y.12"/>
        <s v="MAT-124"/>
        <s v="MAT-124.1"/>
        <s v="MAT-124.2"/>
        <s v="MAT-124.3"/>
        <s v="MAT-124.4"/>
        <s v="MAT-125-X"/>
        <s v="MAT-125-Y"/>
        <s v="MAT-127"/>
        <s v="MAT-127.1"/>
        <s v="MAT-127.2"/>
        <s v="MAT-127.3"/>
        <s v="MAT-127.4"/>
        <s v="MAT-129"/>
        <s v="MAT-132-X"/>
        <s v="MAT-132-Y"/>
        <s v="MAT-133"/>
        <s v="MAT-135"/>
        <s v="MAT-136"/>
        <s v="MAT-137"/>
        <s v="MAT-138-X"/>
        <s v="MAT-138-Y"/>
        <s v="MAT-140"/>
        <s v="MAT-141"/>
        <s v="MAT-142-X"/>
        <s v="MAT-142-Y"/>
        <s v="MAT-143"/>
        <s v="MAT-143.1"/>
        <s v="MAT-143.2"/>
        <s v="MAT-144"/>
        <s v="MAT-145"/>
        <s v="MAT-146"/>
        <s v="MAT-147-X"/>
        <s v="MAT-147-Y"/>
        <s v="MAT-150-X"/>
        <s v="MAT-150-X.1"/>
        <s v="MAT-150-Y"/>
        <s v="MAT-150-Y.1"/>
        <s v="MAT-151"/>
        <s v="MAT-152"/>
        <s v="MAT-153"/>
        <s v="MAT-154-X"/>
        <s v="MAT-154-X.1"/>
        <s v="MAT-154-Y"/>
        <s v="MAT-154-Y.1"/>
        <s v="MAT-155"/>
        <s v="MAT-156"/>
        <s v="MAT-159"/>
        <s v="MAT-161"/>
        <s v="MAT-161.1"/>
        <s v="MAT-162"/>
        <s v="MAT-163-X"/>
        <s v="MAT-163-Y"/>
        <s v="MAT-165"/>
        <s v="MAT-165.1"/>
        <s v="MAT-165.2"/>
        <s v="MAT-165.3"/>
        <s v="MAT-165.4"/>
        <s v="MAT-165.5"/>
        <s v="MAT-167"/>
        <s v="MAT-169"/>
        <s v="MAT-171"/>
        <s v="MAT-172-X"/>
        <s v="MAT-172-Y"/>
        <s v="MAT-174"/>
        <s v="MAT-175"/>
        <s v="MAT-177-X"/>
        <s v="MAT-177-Y"/>
        <s v="MAT-178-X"/>
        <s v="MAT-178-Y"/>
        <s v="MAT-179"/>
        <s v="MAT-180"/>
        <s v="MAT-181-X"/>
        <s v="MAT-181-Y"/>
        <s v="MAT-187"/>
        <s v="MAT-187.1"/>
        <s v="MAT-187.2"/>
        <s v="MAT-187.3"/>
        <s v="MAT-188-X"/>
        <s v="MAT-188-Y"/>
        <s v="MAT-190"/>
        <s v="MAT-192"/>
        <s v="MAT-193"/>
        <s v="MAT-193.1"/>
        <s v="MAT-193.2"/>
        <s v="MAT-193.3"/>
        <s v="MAT-193.4"/>
        <s v="MAT-196"/>
        <s v="MAT-196.1"/>
        <s v="MAT-196.2"/>
        <s v="MAT-196.3"/>
        <s v="MAT-197"/>
        <s v="MAT-197.1"/>
        <s v="MAT-197.2"/>
        <s v="MAT-198-X"/>
        <s v="MAT-198-Y"/>
        <s v="MAT-199"/>
        <s v="MAT-200"/>
        <s v="MAT-200.1"/>
        <s v="MAT-200.2"/>
        <s v="MAT-201"/>
        <s v="MAT-202"/>
        <s v="MAT-202.1"/>
        <s v="MAT-202.2"/>
        <s v="MAT-202.3"/>
        <s v="MAT-202.4"/>
        <s v="MAT-202.5"/>
        <s v="MAT-202.6"/>
        <s v="MAT-203"/>
        <s v="MAT-205"/>
        <s v="MAT-205.1"/>
        <s v="MAT-205.2"/>
        <s v="MAT-205.3"/>
        <s v="MAT-205.7"/>
        <s v="MAT-205.8"/>
        <s v="MAT-211"/>
        <s v="MAT-212"/>
        <s v="MAT-214"/>
        <s v="MAT-214.1"/>
        <s v="MAT-214.2"/>
        <s v="MAT-214.3"/>
        <s v="MAT-215"/>
        <s v="MAT-215.1"/>
        <s v="MAT-216"/>
        <s v="MAT-217"/>
        <s v="MAT-218"/>
        <s v="MAT-219"/>
        <s v="MAT-219.1"/>
        <s v="MAT-219.2"/>
        <s v="MAT-219.3"/>
        <s v="MAT-228"/>
        <s v="MAT-230"/>
        <s v="MAT-231-X"/>
        <s v="MAT-231-Y"/>
        <s v="MAT-232"/>
        <s v="MAT-233"/>
        <s v="MAT-236"/>
        <s v="MAT-237"/>
        <s v="MAT-385"/>
        <s v="MAT-386-X"/>
        <s v="MAT-386-Y"/>
        <s v="MAT-392"/>
        <s v="MAT-393"/>
        <s v="MAT-394"/>
        <s v="MAT-395"/>
        <s v="MAT-396"/>
        <s v="MAT-397"/>
        <s v="MAT-398"/>
        <s v="MAT-399"/>
        <s v="MAT-401"/>
        <s v="MAT-404"/>
        <s v="MAT-404.1"/>
        <s v="MAT-404.2"/>
        <s v="MAT-404.3"/>
        <s v="MAT-404.4"/>
        <s v="MAT-404.5"/>
        <s v="MAT-418"/>
        <s v="MAT-420"/>
        <s v="MAT-420.1"/>
        <s v="MAT-421"/>
        <s v="MAT-439"/>
        <s v="MAT-440"/>
        <s v="MAT-448"/>
        <s v="MAT-449"/>
        <s v="MAT-449.1"/>
        <s v="MAT-453"/>
        <s v="MAT-454"/>
        <s v="MAT-455"/>
        <s v="MAT-456"/>
        <s v="MAT-457"/>
        <s v="MAT-461"/>
        <s v="MAT-475"/>
        <s v="MAT-514"/>
        <s v="MAT-514.1"/>
        <s v="MAT-514.2"/>
        <s v="MAT-514.3"/>
        <s v="MAT-514.4"/>
        <s v="MAT-515"/>
        <s v="MAT-516"/>
        <s v="MAT-517"/>
      </sharedItems>
    </cacheField>
    <cacheField name="PRODUCTO" numFmtId="0">
      <sharedItems>
        <s v="ABREOJALES"/>
        <s v="ACEITERA"/>
        <s v="ADAPTADOR MAGNETICO PARA PUNTAS"/>
        <s v="BAILARINA METÁLICA"/>
        <s v="BANDEJA PARA RECOLECTAR ACEITE."/>
        <s v="BANDEJA BAGUETERA"/>
        <s v="BANDEJA LISA"/>
        <s v="BANDEJA PERFORADA"/>
        <s v="BATAN"/>
        <s v="JUEGO DE BRACERA ROSTICERA"/>
        <s v="BRACERA ROSTICERA 10 X 15 '' (2 UND) "/>
        <s v="BRACERA ROSTICERA 9 X 5 '' (3 UND)"/>
        <s v="JUEGO DE BROCAS PARA BISAGRA DE CANGREJO"/>
        <s v="CABALLETES"/>
        <s v="CALIBRADOR ANALÓGICO"/>
        <s v="CALIBRADOR DE CONDUCTORES ELÉCTRICOS AWG"/>
        <s v="CALIBRADOR DIGITAL"/>
        <s v="CARETA DE SOLDAR FOTOSENSIBLE"/>
        <s v="JUEGO DE CINTA DENTADA PARA SIERRA CINTA"/>
        <s v="CINTA DENTADA 13 MM X 0.65 MM (1 UND)"/>
        <s v="CINTA DENTADA 16 MM X 0.8 MM (1 UND)"/>
        <s v="CINTA DENTADA 25 MM X 0.5 MM (1 UND)"/>
        <s v="CIZALLA"/>
        <s v="JUEGO DE COMPAS DE PUNTA"/>
        <s v="PUNTA PARA MEDIDA INTERIOR (1 UND)"/>
        <s v="PUNTA PARA MEDIDA EXTERIOR (1 UND)"/>
        <s v="COMPRESÍMETRO DE ANILLOS"/>
        <s v="CORTADOR DE HUEVOS"/>
        <s v="CORTADOR DE PATATAS DE PALANCA"/>
        <s v="JUEGO DE DADOS PARA BUJÍAS"/>
        <s v="ENCASTE DE 1/2&quot; (1 UND)"/>
        <s v="ADAPTADOR DE ENCASTE 3/4&quot; A 1/2&quot; (2 UND)"/>
        <s v="DESCASCARILLADOR"/>
        <s v="FUNDA IMPERMEABLE (1 UND)"/>
        <s v="RESPALDO DE GOMA (1 UND)"/>
        <s v="DESCREMADORA MANUAL"/>
        <s v="DESPULPADORA MANUAL DE FRUTAS"/>
        <s v="DISCO DE SIERRA CIRCULAR"/>
        <s v="DISCO DE SIERRA RADIAL"/>
        <s v="DISCO PARA SIERRA CIRCULAR PARA CORTE DE TABLEROS MELAMINICOS"/>
        <s v="DISTANCIÓMETRO LASER DE 20 M"/>
        <s v="EMBUDO DE USO INDUSTRIAL"/>
        <s v="EMBUDO PARA SESGO"/>
        <s v="ENGRASADORA"/>
        <s v="ESCARIFICADORA (DESAPONIFICADORA) DE QUINUA"/>
        <s v="ESCUADRA"/>
        <s v="ESCUADRA DE COMBINACIÓN"/>
        <s v="ESCUADRA DE PLANCHA"/>
        <s v="ESCUADRA DE TOPE"/>
        <s v="ESPEJO"/>
        <s v="EXPRIMIDOR DE CITRICOS DE 4 TAMBORES"/>
        <s v="FUNDA PROTECTORA IMPERMEABLE (1 UND)"/>
        <s v="EXPRIMIDOR DE LIMÓN"/>
        <s v="EXPRIMIDOR MANUAL DE JUGOS MELAZA"/>
        <s v="EXPRIMIDORA"/>
        <s v="FALSA ESCUADRA"/>
        <s v="GONIÓMETRO DIGITAL"/>
        <s v="GRAMIL DIGITAL"/>
        <s v="GRANETE"/>
        <s v="GREEN SCREEN"/>
        <s v="KIT DE GUIA DE SISTEMA DE ENSAMBLAJE INVISIBLE"/>
        <s v="DESTORNILLADOR CABEZA CUADRADA 2&quot; (1 UND)"/>
        <s v="DESTORNILLADOR CABEZA CUADRADA 6&quot; (1 UND)"/>
        <s v="JUEGO DE GUIA PARA ESPIGAS O TARUGOS"/>
        <s v="GUÍA PASACABLES"/>
        <s v="ESTUCHE PARA EL GUARDADO (1 UND)"/>
        <s v="JUEGO DE BOQUILLAS DECORATIVAS"/>
        <s v="JUEGO DE BROCAS"/>
        <s v="JUEGO DE BROCAS DE COPA PARA MADERA"/>
        <s v="JUEGO DE BROCAS HSS PARA METAL"/>
        <s v="JUEGO DE BROCAS PARA METAL, MADERA, CEMENTO."/>
        <s v="BROCAS PARA CONCRETO (1 UND)"/>
        <s v="JUEGO DE COMPASES"/>
        <s v="COMPÁS DE EXTERIOR. (1 UND)"/>
        <s v="COMPÁS DE INTERIORES. (1 UND)"/>
        <s v="COMPÁS DE PUNTAS. (1 UND)"/>
        <s v="JUEGO DE DADOS"/>
        <s v="DADOS DE IMPACTO: ENTRE 17 - 23 MM (1 UND)"/>
        <s v="JUEGO DE FRESAS PARA RUTEADORA"/>
        <s v="JUEGO DE GUBIAS PARA TORNO"/>
        <s v="JUEGO DE HOJAS DE SIERRA"/>
        <s v="JUEGO DE LAPEADORES DE VÁLVULA"/>
        <s v="JUEGO DE MECHAS O FRESAS PARA RUTEADORA CNC"/>
        <s v="FRESAS DE GRABADO (2 UND)"/>
        <s v="FRESAS CONICAS (2 UND)"/>
        <s v="FRESAS  DE DESBASTE (2 UND)"/>
        <s v="FRESAS DE UN FILO (2 UND)"/>
        <s v="FRESASDE 2 FILOS (2 UND)"/>
        <s v="FRESAS PUNTA ESFERICA (2 UND)"/>
        <s v="JUEGO DE MICRÓMETRO DE INTERIORES"/>
        <s v="ANILLO DE AJUSTE DE 50 MM (1 UND)"/>
        <s v="ANILLO DE AJUSTE DE 100 MM (1 UND)"/>
        <s v="JUEGO DE PUNTAS MAGNÉTICAS PARA DESTORNILLADOR"/>
        <s v="JUEGO DE TIJERAS PARA TELAS"/>
        <s v="TIJERA DE BORDAR. LARGO 4 PULG (1 UND)"/>
        <s v="TIJERA DE SASTRE. LARGO 9 PULG (1 UND)"/>
        <s v="TIJERA DE MODISTA. LARGO 7 PULG (1 UND)"/>
        <s v="TIJERA DE COSTURA. LARGO 8 PULG (1 UND)"/>
        <s v="TIJERA ZIGZAG. LARGO 8,5 PULG (1 UND)"/>
        <s v="KIT DE MACHOS Y TERRAJAS"/>
        <s v="TERRAJA Y GIRAMACHO DE 3/16´´  NC (1 UND)"/>
        <s v="KIT PARA DESMONTAJE DE SENSORES"/>
        <s v="LINTERNA FRONTAL"/>
        <s v="PACK DE 3 PILAS AAA DE 1.5 V (1 UND)"/>
        <s v="KIT DE ILUMINACIÓN DE SOFTBOX"/>
        <s v="PACK DE DOS BOMBILLAS 135W (2 UND)"/>
        <s v="LUPAS CON ILUMINACIÓN PARA LABORATORIO DE ELECTRÓNICA"/>
        <s v="JUEGO DE MANIQUÍES"/>
        <s v="MANIQUÍ DAMA: ALTURA 170 CM (1 UND)"/>
        <s v="MANIQUÍ CABALLERO: ALTURA 180 CM (1 UND)"/>
        <s v="MANIQUÍ NIÑO: ALTURA 120 CM (1 UND)"/>
        <s v="MANIQUÍ NIÑA: ALTURA 120 CM (1 UND)"/>
        <s v="MANÓMETRO"/>
        <s v="MEDIDOR DE CLORO RESIDUAL"/>
        <s v="SET DE 25 PRUEBAS DE REACTIVOS PARA MEDIDOR DE CLORO (1 UND)"/>
        <s v="MEDIDOR DE HUMEDAD"/>
        <s v="MICRÓMETRO DIGITAL"/>
        <s v="CERTIFICADO DE CALIBRACIÓN (1 UND)"/>
        <s v="JUEGO DE MOLDES CON CONO"/>
        <s v="MOLDE CON CONO"/>
        <s v="JUEGO DE MOLDES DE CAKE"/>
        <s v="KIT DE MOLDES PARA MANTEQUILLA CON GRABADOS DECORATIVOS"/>
        <s v="MOLDE DE SILICONA 500 g (1UND)"/>
        <s v="MOLDE DE SILICONA 1000 g  (1UND)"/>
        <s v="MOLDE DE MADERA 250 G (1 UND)"/>
        <s v="KIT DE MOLDES PARA QUESO CON GRABADOS DECORATIVOS"/>
        <s v="MOLDE DE 1KG (1 UND)"/>
        <s v="MOLDE DE 3KG (1 UND)"/>
        <s v="MORTERO"/>
        <s v="MUESTRARIO DE ESPECIES MADERERAS"/>
        <s v="CATÁLOGO CON PROPIEDADES Y CARACTERÍSTICAS DE LAS ESPECIES (1 UND)"/>
        <s v="MUESTRARIO DE TABLEROS PREFABRICADOS"/>
        <s v="CATÁLOGO CON PROPIEDADES Y CARACTERÍSTICAS DE  (1 UND)"/>
        <s v="MUESTRARIO DE TAPACANTOS"/>
        <s v="NIVEL DE BURBUJAS"/>
        <s v="NIVEL DE NIVELACIÓN Y MEDICIÓN DE ÁNGULOS DIGITAL"/>
        <s v="PELADOR DE PAPA"/>
        <s v="PELADOR DE PIÑA ACERO INOXIDABLE CORTADOR REBANADOR FRUTA"/>
        <s v="PELADORA DE FRUTAS Y HORTALIZAS"/>
        <s v="CUCHILLA DE ACERO INOX (2 UND)"/>
        <s v="PACK DE 4 PILAS AA DE 1.5 V (1 UND)"/>
        <s v="ADAPTADOR 6A DE 220VAC (1 UND)"/>
        <s v="PESA"/>
        <s v="PH METRO PARA ALIMENTOS LÍQUIDOS"/>
        <s v="PIEDRA DE ASENTAR"/>
        <s v="PIQUETA DE SOLDADOR"/>
        <s v="PIQUETERA"/>
        <s v="PRENSA ESQUINERA"/>
        <s v="PRENSA HIDRÁULICA MANUAL"/>
        <s v="PRENSA MANUAL PARA FRUTAS Y VERDURAS"/>
        <s v="PRENSA PARA QUESO MANUAL ACERO INOXIDABLE"/>
        <s v="PRENSATELA DE CIERRE"/>
        <s v="PRENSATELA DE COMPENSACIÓN"/>
        <s v="PRENSATELA DE DOBLADILLAR"/>
        <s v="PRENSATELA (2 MM) (1 UND)"/>
        <s v="PRENSATELA (3 MM) (1 UND)"/>
        <s v="PRENSATELA (4 MM) (1 UND)"/>
        <s v="PRENSATELA (5 MM) (1 UND)"/>
        <s v="PUNZÓN"/>
        <s v="RAYADOR"/>
        <s v="RAYADOR MECÁNICO"/>
        <s v="RECOGEDOR MAGNÉTICO TELESCÓPICO"/>
        <s v="RECOLECTOR DE ACEITE"/>
        <s v="REFRACTOMETRO MANUAL  0-32"/>
        <s v="MANUAL DE INSTRUCCIONES (1 UND)"/>
        <s v="REFRACTOMETRO MANUAL  0-90"/>
        <s v="REGULADOR CON FLUJO MANÓMETRO PARA CO2"/>
        <s v="REGULADOR DE ARGÓN SOLDADOR TIG-MIG SOLDADURA CO2"/>
        <s v="REJILLAS ESCURRIDORAS"/>
        <s v="KIT DE RELOJ COMPARADOR"/>
        <s v="RODILLO ACERO, MADERA, SILICONA"/>
        <s v="RULETA"/>
        <s v="SIFON"/>
        <s v="SOPLETE DE COCINA MINI"/>
        <s v="SET DE RAMEKINES (1  SET)"/>
        <s v="TAPETE Y SUJETADOR DE PLACAS"/>
        <s v="SUJETADOR DE PLACAS (1 UND)"/>
        <s v="TAZA CERNIDORA DE HARINA ACERO INOXIDABLE PASTELERÍA"/>
        <s v="TERMÓMETRO COCINA"/>
        <s v="TERMÓMETRO DIGITAL"/>
        <s v="PILA DE 1.5V AG13"/>
        <s v="TORNILLO DE BANCO"/>
        <s v="TORNILLO DE BANCO MULTIÁNGULOS"/>
        <s v="TORQUÍMETRO"/>
        <s v="TRANSPORTADOR DE ANGULOS"/>
        <s v="WINCHA DE 3 METROS"/>
        <s v="WINCHA DE 5 METROS"/>
        <s v="WINCHA DIGITAL"/>
        <s v="KIT DE GALGAS"/>
        <s v="GALGAS DE ÁNGULOS: 55°, 60°, 90°, 118° Y 120°, ESPESOR 2 MM."/>
        <s v="GALGAS DE SOLDADURAS: RANGO DE MEDIDA 20 MM, GRADUACIÓN 0,1 MM."/>
        <s v="GALGAS DE RADIOS: RANGO DE MEDIDA 1 ÷ 7 MM; 17 UNIDADES DE ACERO INOXIDABLE."/>
        <s v="GALGAS DE RADIOS: RANGO DE MEDIDA 7,5 ÷ 15 MM; 16 UNIDADES DE ACERO INOXIDABLE."/>
        <s v="GALGAS DE RADIOS: RANGO DE MEDIDA 15,5 ÷ 25 MM; 15 UNIDADES DE ACERO INOXIDABLE."/>
        <s v="GALGAS DE ROSCAS ISO: RANGO DE MEDIDA 0,25 ÷ 6 MM; 24 UNIDADES."/>
        <s v="GALGAS DE ROSCAS WITHWORK: RANGO DE MEDIDA 4 ÷ 62 MM; 28 UNIDADES."/>
        <s v="GALGAS DE ESPESORES: RANGO DE MEDIDA 0,05 ÷ 1 MM; 20 UNIDADES; LONGITUD DE LÁMINAS 100 MM."/>
        <s v="SUMINISTRADO EN ESTUCHE DE MADERA."/>
        <s v="ALICATE DE CORTE"/>
        <s v="ESTUCHE DE PLÁSTICO PARA ALMACENAR (1 UND)"/>
        <s v="ALICATE DE PRESIÓN"/>
        <s v="ALICATE DE PUNTA"/>
        <s v="ALICATE DE PUNTA CURVA"/>
        <s v="ALICATE PELACABLE"/>
        <s v="PRENSA CABLES CALIBRE ENTRE 6-10 AWG (1 UND)"/>
        <s v="ALICATE UNIVERSAL"/>
        <s v="ARCO DE SIERRA"/>
        <s v="JUEGO DE CINCEL"/>
        <s v="COMBA DE 5 LB"/>
        <s v="CUCHILLA DE ELECTRICISTA"/>
        <s v="JUEGO DE DESTORNILLADORES"/>
        <s v="DESTORNILLADOR 3x75 (1 UND)"/>
        <s v="EXTRACTOR DE PALIER"/>
        <s v="EXTRACTOR DE RESORTES (COMPRESOR DE RESORTES DE SUSPENSIÓN)"/>
        <s v="JUEGO DE EXTRACTOR DE RODAJES"/>
        <s v="EXTRACTOR DE VOLANTE"/>
        <s v="JUEGO DE GAUGE DE LÁMINAS"/>
        <s v="JUEGO DE GAUGE DE LÁMINAS ADICIONAL (1 UND)"/>
        <s v="HERRAMIENTA DE IMPACTO"/>
        <s v="HERRAMIENTA PARA REMOVER RESORTE DE FRENO"/>
        <s v="JUEGO DE ALICATES"/>
        <s v="JUEGO DE ALICATES AISLADOS"/>
        <s v="JUEGO DE BROCAS DE PALETA"/>
        <s v="JUEGO DE CEPILLOS"/>
        <s v="CEPILLOS MANUALES N° 4 (3 UND)"/>
        <s v="CEPILLOS MANUALES N° 5 (10 UND)"/>
        <s v="CEPILLOS MANUALES N° 6 (3 UND)"/>
        <s v="JUEGO DE CUCHILLAS DE VUELTA DE BASE PLANA"/>
        <s v="CUCHILLA DE VUELTA DE BASE PLANA (2 UND)"/>
        <s v="CUCHILLA DE VUELTA DE BASE CÓNCAVA (2 UND)"/>
        <s v="JUEGO DE DESTORNILLADORES (6 DESTORNILLADORES)"/>
        <s v="JUEGO DE DESTORNILLADORES (8 DESTORNILLADORES)"/>
        <s v="JUEGO DE DESTORNILLADORES DE PRECISIÓN"/>
        <s v="JUEGO DE ESCOFINA"/>
        <s v="JUEGO DE FORMONES"/>
        <s v="JUEGO DE LIMAS"/>
        <s v="JUEGO DE LLAVES ALLEN"/>
        <s v="SET DE 15 LLAVES GRADUADOS EN MILÍMETROS (1 UND)"/>
        <s v="SET DE 12 LLAVES GRADUADOS EN PULGADAS (1 (1 UND))"/>
        <s v="JUEGO DE LLAVES ALLEN MILIMÉTRICAS Y PULGADAS"/>
        <s v="JUEGO DE LLAVES ALLEN MILIMÉTRICAS"/>
        <s v="JUEGO DE LLAVES ALLEN PULGADAS"/>
        <s v="JUEGO DE LLAVES DE DADO"/>
        <s v="JUEGO DE LLAVES DE RUEDAS (LLAVE DE CRUZ.)"/>
        <s v="JUEGO DE LLAVES MIXTAS"/>
        <s v="SET DE 12 LLAVES GRADUADOS EN MILÍMETROS: 8, 9, 10, 11, 12, 13, 14, 15, 16, 17, 18, 19 (1 UND)"/>
        <s v="SET DE 12 LLAVES GRADUADOS EN PULGADAS: 3/8, 7/16, 1/2, 9/16, 5/8, 11/16, 3/4, 13/16, 7/8, 15/16, 1, 1-1/16 (PULG) (1 UND)"/>
        <s v="KIT DE LLAVES MIXTAS BOCA - CORONA"/>
        <s v="LLAVES GRADUADOS EN MILÍMETROS ENTRE 6 - 24MM (1 UND)"/>
        <s v="14 LLAVES GRADUADOS EN PULGADAS: ENTRE ≤ 3/8 - 1-1/4 PULG (1 UND)"/>
        <s v="JUEGO DE LLAVES PARA FILTROS DE ACEITE"/>
        <s v="BANDA NYLON 120 MM (1 UND)"/>
        <s v="JUEGO DE MARTILLO DE BOLA"/>
        <s v="MARTILLO DE BOLA 300 GR (1 UND)"/>
        <s v="MARTILLO DE BOLA 500 GR (1 UND)"/>
        <s v="MARTILLO DE BOLA 600 GR (1 UND)"/>
        <s v="MARTILLO DE BOLA 800 GR (1 UND)"/>
        <s v="MARTILLO DE BOLA 1000 GR (1 UND)"/>
        <s v="JUEGO DE MINI ALICATES"/>
        <s v="JUEGO DE PRENSAS RAPIDAS"/>
        <s v="PRENSA RAPIDA DE 6 PULG (1 UND)"/>
        <s v="PRENSA RAPIDA DE 12 PULG (1 UND)"/>
        <s v="PRENSA RAPIDA DE 24 PULG (1 UND)"/>
        <s v="KIT DE TERRAJAS Y MACHOS EN MILÍMETROS Y PULGADAS"/>
        <s v="JUEGO DE 2 PORTATERRAJAS (FILERAS), 1 GIRAMACHOS, 27 MACHOS Y 27 TERRAJAS (FILERAS).  (1 UND)"/>
        <s v="JUEGO COMPUESTO POR 2 PORTATERRAJAS (FILERAS), 3 GIRAMACHOS, 33 MACHOS Y 33 TERRAJAS (FILERAS)  (1 UND)"/>
        <s v="LLAVE AJUSTABLE"/>
        <s v="LLAVE FRANCESA"/>
        <s v="LLAVE STILLSON"/>
        <s v="MARTILLO DE BOLA"/>
        <s v="MARTILLO DE UÑA"/>
        <s v="MAZO DE GOMA"/>
        <s v="PELA CABLE UNIVERSAL"/>
        <s v="PIQUETA MARTILLO CINCEL"/>
        <s v="PRENSA C"/>
        <s v="REMACHADORA MANUAL"/>
        <s v="SARGENTAS DE 120 CM"/>
        <s v="SERRUCHO DE COSTILLA"/>
        <s v="SET DE DESTORNILLADORES"/>
        <s v="PUNTA PLANA 1⁄8 X 4 PULG (1 UND)"/>
        <s v="PUNTA PLANA 1⁄4X6 PULG (1 UND)"/>
        <s v="PUNTA PLANA 5/16X8  PULG (1 UND)"/>
        <s v="PUNTA CRUZ 1X3 PULG (1 UND)"/>
        <s v="PUNTA CRUZ 1X4 PULG (1 UND)"/>
        <s v="PUNTA CRUZ 2X5 PULG (1 UND)"/>
        <s v="PUNTA CRUZ 3X6 PULG (1 UND)"/>
        <s v="CHAROLA 384 x 184 x 45 MM (1 UND)"/>
        <s v="PUNTA PLANA 3⁄8 X 8 PULG (1 UND)"/>
        <s v="TENAZA CON PRENSA"/>
        <s v="TIJERA CORTA TUBO"/>
        <s v="ABLANDADOR DE CARNE"/>
        <s v="AGITADOR PARA YOGURT"/>
        <s v="RULETA DE ALFILERES"/>
        <s v="BALDE DE PLÁSTICO 10 LITROS"/>
        <s v="BALDE DE PLÁSTICO 20 LITROS"/>
        <s v="BALDE DE PLÁSTICO 5 LITROS"/>
        <s v="BALÓN DE ACETILENO"/>
        <s v="COCHE PORTA BALON DOBLE (1 UND)"/>
        <s v="BALÓN DE ARGÓN"/>
        <s v="COCHE PORTA BALON SIMPLE (1 UND)"/>
        <s v="BALÓN DE CO2"/>
        <s v="REGULADOR DE CO2/ARGÓN (1 UND)"/>
        <s v="BALÓN DE OXÍGENO"/>
        <s v="BANDEJAS DE PLÁSTICO"/>
        <s v="BANNER DE LÍNEAS DEL TIEMPO CON TEMAS DEL TALLER"/>
        <s v="BATERÍA"/>
        <s v="BATIDOR MANUAL"/>
        <s v="PAR DE BOTAS DE JEBE"/>
        <s v="BOTIQUIN 30 X 25 X 10 CM"/>
        <s v="CAJA 20 UNID. DE GASAS ESTERILIZADAS (10×10 cm) (1 UND)"/>
        <s v="ROLLO VENDA ELASTICA 4&quot; X 5 YD CON SEGUROS (1 UND)"/>
        <s v="ROLLO VENDA ELASTICA 2&quot; X 5 YD CON SEGUROS (1 UND)"/>
        <s v="ROLLO ESPARADRAPO 2.5 CM X 5 YD (1 UND)"/>
        <s v="GUANTES QUIRURGICOS ESTERILES TALLA 7.5 (2 UND)"/>
        <s v="CAJA 100 UND. DE CURITAS (1 UND)"/>
        <s v="CAJA 100 UND. DE BAJALENGUA DE MADERA (1 UND)"/>
        <s v="BOTELLA JABON ANTISEPTICO x 120 ML (1 UND)"/>
        <s v="TERMOMETRO DIGITAL (1 UND)"/>
        <s v="BOLSA DE ALGODON 25 G (1 UND)"/>
        <s v="TIJERA PUNTA ROMA 5&quot; CON MANGO PLÁSTICO (1 UND)"/>
        <s v="BOTELLA DE ALCOHOL ETILICO X 250 ML (1 UND)"/>
        <s v="BOTELLA AGUA OXIGENADA X 250 ML (1 UND)"/>
        <s v="BOTIQUÍN"/>
        <s v="BOTELLA JABON ANTISEPTICO x 250 ML (1 UND)"/>
        <s v="BOLSA DE ALGODON 20 G (1 UND)"/>
        <s v="JUEGO DE BROCHA ANGULAR PARA LIMPIEZA DE MÁQUINAS"/>
        <s v="BROCHA ANGULAR  1&quot; (1 UND) "/>
        <s v="BROCHA ANGULAR  2'' (1 UND) "/>
        <s v="BROCHA ANGULAR  3'' (1 UND) "/>
        <s v="SET DE BROCHAS ANGULARES (1 UND)"/>
        <s v="BROCHA DE SILICONA"/>
        <s v="JUEGO DE BROCHAS CARPINTERIA"/>
        <s v="BROCHAS DE 1'' (1 UND) "/>
        <s v="BROCHAS DE 2'' (1 UND) "/>
        <s v="BROCHAS DE 4'' (1 UND) "/>
        <s v="BROCHAS DE 5'' (1 UND) "/>
        <s v="CARETA FACIAL"/>
        <s v="CEPILLO DE ACERO"/>
        <s v="CILINDROS DE PLÁSTICO"/>
        <s v="CINTA MÉTRICA (PLÁSTICO FLEXIBLE)"/>
        <s v="COLADERAS"/>
        <s v="COLADOR TIPO EMBUDO"/>
        <s v="CONTENEDOR DE BASURA 50 LT"/>
        <s v="CUCHARA GRANDE DE MADERA"/>
        <s v="CUCHARA PERFORADA"/>
        <s v="JUEGO DE CUCHARAS MEDIDORAS"/>
        <s v="KIT DE CUCHARAS N° 3 Y N°4"/>
        <s v="CUCHARAS N° 3 (1 UND)"/>
        <s v="CUCHARAS N° 4 (1 UND)"/>
        <s v="CUCHILLO CARNICERO"/>
        <s v="CUCHILLO CORTE DE HUESOS Y VERDURAS"/>
        <s v="CUCHILLO DE ACERO INOXIDABLE"/>
        <s v="CÚTER"/>
        <s v="DISPENSADOR DE ALCOHOL EN GEL"/>
        <s v="ALCOHOL DESINFECTANTE EN GEL 1 GAL (1 UND)"/>
        <s v="EMBUDO"/>
        <s v="ESCARPINES"/>
        <s v="ESCOBILLA"/>
        <s v="ESCOBILLON"/>
        <s v="CABO GRUESO  BARRENDERO (1 UND)"/>
        <s v="ESCOBILLÓN"/>
        <s v="ESPÁTULA DE GOMA"/>
        <s v="ESPATULA DE SILICONA"/>
        <s v="ESPUMADERA"/>
        <s v="EXTINTOR CO2"/>
        <s v="PRECINTO DE SEGURIDAD (1 UND)"/>
        <s v="EXTINTOR K"/>
        <s v="EXTINTOR PQS"/>
        <s v="FUNDA PROTECTORA IMPERMEABLE"/>
        <s v="SET DE 16 FUNDAS PROTECTORAS IMPERMEABLES PARA COCINA Y REPOSTERÍA - 16449 ELOY SOBERON  FLORES (1 UND)"/>
        <s v="SET DE 16 FUNDAS PROTECTORAS IMPERMEABLES PARA INDUSTRIAS ALIMENTARIAS - 2026 SIMON BOLIVAR (1 UND)"/>
        <s v="SET DE 16 FUNDAS PROTECTORAS IMPERMEABLES PARA INDUSTRIAS ALIMENTARIAS - FRANCISCO IRAZOLA (1 UND)"/>
        <s v="SET DE 16 FUNDAS PROTECTORAS IMPERMEABLES PARA INDUSTRIAS ALIMENTARIAS - GUILLERMO E. BILLINGHURST  (1 UND)"/>
        <s v="SET DE 16 FUNDAS PROTECTORAS IMPERMEABLES PARA INDUSTRIAS ALIMENTARIAS - JOSE GRANDA (1 UND)"/>
        <s v="GALONERA"/>
        <s v="GORROS PROTECTORES PARA EL CABELLO"/>
        <s v="PAR DE GUANTES DE CUERO"/>
        <s v="GUANTES DE ELECTRICISTA"/>
        <s v="PAR DE GUANTES DE ELECTRICISTA"/>
        <s v="GUANTE DE MALLA METÁLICA"/>
        <s v="GUANTES DE MECÁNICO"/>
        <s v="GUANTES DE SILICONA (MANOPLAS PARA OLLAS Y HORNOS)"/>
        <s v="GUANTES DE SILICONA RESISTENTES AL CALOR CON FORRO INTERIOR DE ALGODÓN,&#10;MANOPLAS PARA OLLAS Y HORNOS"/>
        <s v="PAR DE GUANTES MULTIUSO ANTIBACTERIAL"/>
        <s v="GUANTES MULTIUSO ANTIBACTERIAL"/>
        <s v="PAR DE GUANTES PARA PINTAR"/>
        <s v="GUANTES PARA SOLDAR"/>
        <s v="GUARDAPOLVO"/>
        <s v="INDUMENTARIA"/>
        <s v="GORRO TIPO CHEF (1 UND)"/>
        <s v="PANTALÓN (1 UND)"/>
        <s v="CHAQUETA (1 UND)"/>
        <s v="JALADOR"/>
        <s v="JARRA DE PLÁSTICO DE 2 LITROS"/>
        <s v="JUEGO DE BOQUILLAS DECORATIVAS + MANGAS"/>
        <s v="JUEGO DE CACEROLAS PARA COCINA DE INDUCCIÓN"/>
        <s v="CACEROLA DE 3,5L (24CM X 10 CM.APROX +- 3 CM ) (1 UND)"/>
        <s v="CACEROLA DE 4,5L (26 CM X 11 CM.APROX +- 3 CM) (1 UND)"/>
        <s v="CACEROLA DE 6L (28 CM X 12 CM.APROX +- 3 CM) (1 UND)"/>
        <s v="CACEROLA DE 8L (30 CM X 13 CM APROX +- 3 CM.) (1 UND)"/>
        <s v="JUEGO DE COLADERAS"/>
        <s v="COLADERA 20 CM (1 UND)"/>
        <s v="COLADERA 14 CM (1 UND)"/>
        <s v="COLADERA 8 CM (1 UND)"/>
        <s v="JUEGO DE COLADORES Y ESCURRIDORES"/>
        <s v="COLADERAS DE 24, 14 Y 8 CM  (1 UND)"/>
        <s v="ESCURRIDORES DE 22, 25 Y 30 CM (1 UND)"/>
        <s v="JUEGO DE CORTADORES"/>
        <s v="JUEGO DE CUCHARONES DE MADERA"/>
        <s v="JUEGO DE CUCHARONES, ESPÁTULAS Y ESPUMADERAS"/>
        <s v="PELADOR 20.7 CM DE ACERO INOXIDABLE (1UND)"/>
        <s v="ESPÁTULA ACERO INOXIDABLE  (1UND)"/>
        <s v="CUCHILLO PARA PASTELERIA"/>
        <s v="JUEGO DE CUCHILLOS"/>
        <s v="CUCHILLO DE CHEF. (1 UND)"/>
        <s v="CUCHILLO CHULETERO. (1 UND)"/>
        <s v="CUCHILLO DESHUESADOR. (1 UND)"/>
        <s v="CUCHILLO FILETEAR. (1 UND)"/>
        <s v="CUCHILLO JAMONERO DE HOJA FINA Y ALARGADA (1 UND)"/>
        <s v="PORTA CUCHILLOS (1 UND)"/>
        <s v="JUEGO DE FUENTES DE VIDRIO REFRACTÁRIO"/>
        <s v="JUEGO DE OLLAS PARA COCINA DE INDUCCIÓN"/>
        <s v="CACEROLA 16 CM (1 UND)"/>
        <s v="CACEROLA 18 CM (1 UND)"/>
        <s v="JUEGO DE OLLAS (1 UND) &#10;- OLLA 20 CM (1 UND) &#10;- OLLA 22 CM (1 UND) &#10;- OLLA 24 CM (1 UND) &#10;- GUISERA 24 CM (1 UND) "/>
        <s v="SARTÉN 24 CM (1 UND)"/>
        <s v="SARTÉN 20 CM (1 UND)"/>
        <s v="JUEGO DE PINZAS"/>
        <s v="JUEGO DE PINZAS DE COCINA"/>
        <s v="JUEGO DE REGLAS METÁLICAS DE 30 CM, 60 CM Y 100 CM"/>
        <s v="REGLA METÁLICA 300 MM (1 UND)"/>
        <s v="REGLA METÁLICA 600 MM (1 UND)"/>
        <s v="REGLA METÁLICA 1000 MM (1 UND)"/>
        <s v="JUEGO DE SARTENES PARA COCINA DE INDUCCIÓN"/>
        <s v="SARTÉN 24 CM ANTIADHERENTE (3 UND)"/>
        <s v="JUEGO DE TABLAS PICADORAS"/>
        <s v="JUEGO DE TAZONES (BOWL) DE ACERO INOXIDABLE"/>
        <s v="JUEGO DE VAJILLAS"/>
        <s v="JUEGOS DE BANDEJAS DE ACERO"/>
        <s v="BANDEJA DE ACERO 40 CM X 30 CM X 5 CM (1 UND)"/>
        <s v="BANDEJA DE ACERO 36 CM X 27 CM X 5 CM (1 UND)"/>
        <s v="BANDEJA DE ACERO 32 CM X 22 CM X 5 CM (1 UND)"/>
        <s v="KIT RESPIRADOR"/>
        <s v="LENTES DE PROTECCIÓN DE PLÁSTICO"/>
        <s v="LENTES DE PROTECCIÓN DE POLICARBONATO"/>
        <s v="LIRAS DE CORTE DE QUESO"/>
        <s v="MAMELUCO DE PROTECCIÓN PARA PINTOR"/>
        <s v="MANDIL DE SERRAJE"/>
        <s v="MANGA PARA SOLDAR"/>
        <s v="MÁSCARA ELECTRÓNICA PARA SOLDAR"/>
        <s v="MASCARILLA"/>
        <s v="OLLA 10 LITROS"/>
        <s v="OLLA 5 LITROS"/>
        <s v="OLLA 50 LITROS"/>
        <s v="OLLA DE BARRO"/>
        <s v="OLLA PARA PASTAS"/>
        <s v="OLLA PARA SOPAS Y RESERVA"/>
        <s v="OREJERAS"/>
        <s v="PALA PARA QUESO"/>
        <s v="PELADOR DE PAPAS MANUAL"/>
        <s v="JUEGO DE PRENDAS DE PROTECCIÓN PARA LOS PROCESOS DE SOLDAR"/>
        <s v="ZAPATO DE CUERO CON PUNTA DE ACERO (1 UND)"/>
        <s v="MANDIL DE CUERO CROMO (1 UND)"/>
        <s v="GUANTES DE SOLDAR CUERO CROMO (1 UND)"/>
        <s v="TAPONES DE OIDO (1 UND)"/>
        <s v="ESCARPINES DE CUERO (1 UND)"/>
        <s v="REGLA METÁLICA DE 30 CM"/>
        <s v="REGLAS DE METAL"/>
        <s v="FUNDA PLASTICA PARA REGLA DE METAL (1 UND)"/>
        <s v="JUEGO DE REGLAS DE PATRONAJE"/>
        <s v="SIMULADOR VIRTUAL DE CIRCUITOS ELECTRÓNICOS ANALÓGICOS Y DIGITALES"/>
        <s v="SOFTWARE PARA PLATAFORMA ELECTRÓNICA DE CÓDIGO ABIERTO"/>
        <s v="SOFTWARE PARA RELÉ PROGRAMABLE"/>
        <s v="SOFTWARE SIMULADOR DE INSTALACIONES ELÉCTRICAS DOMICILIARIAS EN ESPAÑOL (SOFTWARE LIBRE)"/>
        <s v="SOFTWARE CYPELEC NF (1 UND)"/>
        <s v="TABLA DE PICAR"/>
        <s v="JUEGO DE TAZAS MEDIDORAS"/>
        <s v="TAZÓN BOWL N° 20"/>
        <s v="TAZÓN BOWL N° 24"/>
        <s v="TIJERA DE ACERO"/>
        <s v="TINA DE PLÁSTICO DE 150 LITROS"/>
        <s v="JUEGO DE VAJILLAS PARA ENTRADA, FONDO"/>
        <s v="WOK DOBLE ASA"/>
        <s v="WOK DE 34 CM (1 UND)"/>
        <s v="WOK DE 36 CM (1 UND)"/>
        <s v="WOK DE 38 CM (1 UND)"/>
        <s v="WOK DE 40 CM (1 UND)"/>
        <s v="WOK MANGO LARGO"/>
        <s v="WOK MANGO LARGO CON TAPA"/>
        <s v="WOK SARTEN PAELLER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ANCE" cacheId="0" dataCaption="" compact="0" compactData="0">
  <location ref="B10:C12" firstHeaderRow="0" firstDataRow="1" firstDataCol="0" rowPageCount="1" colPageCount="1"/>
  <pivotFields>
    <pivotField nam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REVISADO" compact="0" outline="0" multipleItemSelectionAllowed="1" showAll="0">
      <items>
        <item x="0"/>
        <item x="1"/>
        <item x="2"/>
        <item x="3"/>
        <item t="default"/>
      </items>
    </pivotField>
    <pivotField name="EN REQ" compact="0" outline="0" multipleItemSelectionAllowed="1" showAll="0">
      <items>
        <item x="0"/>
        <item x="1"/>
        <item t="default"/>
      </items>
    </pivotField>
    <pivotField name="RUBRO" axis="axisPage" compact="0" outline="0" multipleItemSelectionAllowed="1" showAll="0">
      <items>
        <item x="0"/>
        <item h="1" x="1"/>
        <item h="1" x="2"/>
        <item t="default"/>
      </items>
    </pivotField>
    <pivotField name="TIPO DE PRODUCTO" axis="axisRow" compact="0" outline="0" multipleItemSelectionAllowed="1" showAll="0" sortType="ascending">
      <items>
        <item x="1"/>
        <item x="0"/>
        <item x="2"/>
        <item t="default"/>
      </items>
    </pivotField>
    <pivotField name="CÓDIGO ENTIDA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CÓDIGO INTERNO (EET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name="CANT TOTA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NT PLAN"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GUAL?" compact="0" outline="0" multipleItemSelectionAllowed="1" showAll="0">
      <items>
        <item x="0"/>
        <item x="1"/>
        <item x="2"/>
        <item t="default"/>
      </items>
    </pivotField>
    <pivotField name="TALLER" compact="0" outline="0" multipleItemSelectionAllowed="1" showAll="0">
      <items>
        <item x="0"/>
        <item x="1"/>
        <item x="2"/>
        <item x="3"/>
        <item x="4"/>
        <item x="5"/>
        <item x="6"/>
        <item x="7"/>
        <item x="8"/>
        <item x="9"/>
        <item x="10"/>
        <item x="11"/>
        <item x="12"/>
        <item x="13"/>
        <item t="default"/>
      </items>
    </pivotField>
    <pivotField name="EETT" compact="0" outline="0" multipleItemSelectionAllowed="1" showAll="0">
      <items>
        <item x="0"/>
        <item x="1"/>
        <item x="2"/>
        <item x="3"/>
        <item x="4"/>
        <item x="5"/>
        <item x="6"/>
        <item x="7"/>
        <item x="8"/>
        <item x="9"/>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AR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t="default"/>
      </items>
    </pivotField>
    <pivotField name="LINK DE REFER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name="C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VALIDACIÓN FINAL" compact="0" outline="0" multipleItemSelectionAllowed="1" showAll="0">
      <items>
        <item x="0"/>
        <item x="1"/>
        <item t="default"/>
      </items>
    </pivotField>
  </pivotFields>
  <rowFields>
    <field x="4"/>
  </rowFields>
  <pageFields>
    <pageField fld="3"/>
  </pageFields>
  <dataFields>
    <dataField name="COUNTA" fld="6" subtotal="count" baseField="0"/>
  </dataFields>
</pivotTableDefinition>
</file>

<file path=xl/pivotTables/pivotTable2.xml><?xml version="1.0" encoding="utf-8"?>
<pivotTableDefinition xmlns="http://schemas.openxmlformats.org/spreadsheetml/2006/main" name="AVANCE 2" cacheId="0" dataCaption="" compact="0" compactData="0">
  <location ref="E11:F13" firstHeaderRow="0" firstDataRow="1" firstDataCol="0" rowPageCount="2" colPageCount="1"/>
  <pivotFields>
    <pivotField nam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REVISADO" axis="axisPage" compact="0" outline="0" multipleItemSelectionAllowed="1" showAll="0">
      <items>
        <item x="0"/>
        <item h="1" x="1"/>
        <item h="1" x="2"/>
        <item h="1" x="3"/>
        <item t="default"/>
      </items>
    </pivotField>
    <pivotField name="EN REQ" compact="0" outline="0" multipleItemSelectionAllowed="1" showAll="0">
      <items>
        <item x="0"/>
        <item x="1"/>
        <item t="default"/>
      </items>
    </pivotField>
    <pivotField name="RUBRO" axis="axisPage" compact="0" outline="0" multipleItemSelectionAllowed="1" showAll="0">
      <items>
        <item x="0"/>
        <item h="1" x="1"/>
        <item h="1" x="2"/>
        <item t="default"/>
      </items>
    </pivotField>
    <pivotField name="TIPO DE PRODUCTO" axis="axisRow" compact="0" outline="0" multipleItemSelectionAllowed="1" showAll="0" sortType="ascending">
      <items>
        <item x="1"/>
        <item x="0"/>
        <item x="2"/>
        <item t="default"/>
      </items>
    </pivotField>
    <pivotField name="CÓDIGO ENTIDA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CÓDIGO INTERNO (EET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name="CANT TOTA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NT PLAN"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GUAL?" compact="0" outline="0" multipleItemSelectionAllowed="1" showAll="0">
      <items>
        <item x="0"/>
        <item x="1"/>
        <item x="2"/>
        <item t="default"/>
      </items>
    </pivotField>
    <pivotField name="TALLER" compact="0" outline="0" multipleItemSelectionAllowed="1" showAll="0">
      <items>
        <item x="0"/>
        <item x="1"/>
        <item x="2"/>
        <item x="3"/>
        <item x="4"/>
        <item x="5"/>
        <item x="6"/>
        <item x="7"/>
        <item x="8"/>
        <item x="9"/>
        <item x="10"/>
        <item x="11"/>
        <item x="12"/>
        <item x="13"/>
        <item t="default"/>
      </items>
    </pivotField>
    <pivotField name="EETT" compact="0" outline="0" multipleItemSelectionAllowed="1" showAll="0">
      <items>
        <item x="0"/>
        <item x="1"/>
        <item x="2"/>
        <item x="3"/>
        <item x="4"/>
        <item x="5"/>
        <item x="6"/>
        <item x="7"/>
        <item x="8"/>
        <item x="9"/>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AR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t="default"/>
      </items>
    </pivotField>
    <pivotField name="LINK DE REFER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name="C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VALIDACIÓN FINAL" compact="0" outline="0" multipleItemSelectionAllowed="1" showAll="0">
      <items>
        <item x="0"/>
        <item x="1"/>
        <item t="default"/>
      </items>
    </pivotField>
  </pivotFields>
  <rowFields>
    <field x="4"/>
  </rowFields>
  <pageFields>
    <pageField fld="3"/>
    <pageField fld="1"/>
  </pageFields>
  <dataFields>
    <dataField name="COUNTA" fld="6" subtotal="count" baseField="0"/>
  </dataFields>
</pivotTableDefinition>
</file>

<file path=xl/tables/table1.xml><?xml version="1.0" encoding="utf-8"?>
<table xmlns="http://schemas.openxmlformats.org/spreadsheetml/2006/main" headerRowCount="0" ref="A1:L25"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atos1-EQUIP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cs.google.com/spreadsheets/d/1Aox0fgwr159QV_WwVfRgaMXEsXOxMAPQg51Inya56TY/edit?gid=0" TargetMode="External"/><Relationship Id="rId194" Type="http://schemas.openxmlformats.org/officeDocument/2006/relationships/hyperlink" Target="https://drive.google.com/file/d/1_UHuH37ATrm911Ohx4aL_9Z3m--yiXpV/view?usp=sharing" TargetMode="External"/><Relationship Id="rId193" Type="http://schemas.openxmlformats.org/officeDocument/2006/relationships/hyperlink" Target="https://www.crear4d.com/filamento-3d-pla-basic-3d/" TargetMode="External"/><Relationship Id="rId192" Type="http://schemas.openxmlformats.org/officeDocument/2006/relationships/hyperlink" Target="https://docs.google.com/spreadsheets/d/1n3hd2wWqBXQS6iCfIbyyavCtUWOz6T-eV4Gam414I4I/edit?gid=0" TargetMode="External"/><Relationship Id="rId191" Type="http://schemas.openxmlformats.org/officeDocument/2006/relationships/hyperlink" Target="https://drive.google.com/file/d/1h4VAVdnpYwVJWfv9Am07uX69gQjmocj4/view?usp=sharing" TargetMode="External"/><Relationship Id="rId187" Type="http://schemas.openxmlformats.org/officeDocument/2006/relationships/hyperlink" Target="https://drive.google.com/file/d/1YH9h9tbwIk3ZRor_6eb1LK55_rFPY5cG/view?usp=sharing" TargetMode="External"/><Relationship Id="rId186" Type="http://schemas.openxmlformats.org/officeDocument/2006/relationships/hyperlink" Target="https://docs.google.com/spreadsheets/d/1RYMdz1VYPtI3MSBpJkapWGu4N9Q5kpJIyqqGrCN1Plk/edit?usp=sharing" TargetMode="External"/><Relationship Id="rId185" Type="http://schemas.openxmlformats.org/officeDocument/2006/relationships/hyperlink" Target="https://drive.google.com/file/d/1_UHuH37ATrm911Ohx4aL_9Z3m--yiXpV/view?usp=sharing" TargetMode="External"/><Relationship Id="rId184" Type="http://schemas.openxmlformats.org/officeDocument/2006/relationships/hyperlink" Target="https://docs.google.com/spreadsheets/d/1ATWn-h1bqCh9ReB6CEUv_06_FBRieNHiHX6FH3iKhcs/edit?usp=sharing" TargetMode="External"/><Relationship Id="rId189" Type="http://schemas.openxmlformats.org/officeDocument/2006/relationships/hyperlink" Target="https://drive.google.com/file/d/1YH9h9tbwIk3ZRor_6eb1LK55_rFPY5cG/view?usp=sharing" TargetMode="External"/><Relationship Id="rId188" Type="http://schemas.openxmlformats.org/officeDocument/2006/relationships/hyperlink" Target="https://docs.google.com/spreadsheets/d/1rHYQAjx_drmWk_Bv8Wke6WVGCHPwGFrvBm049KTwrIU/edit?gid=0" TargetMode="External"/><Relationship Id="rId183" Type="http://schemas.openxmlformats.org/officeDocument/2006/relationships/hyperlink" Target="https://drive.google.com/file/d/1_UHuH37ATrm911Ohx4aL_9Z3m--yiXpV/view?usp=sharing" TargetMode="External"/><Relationship Id="rId182" Type="http://schemas.openxmlformats.org/officeDocument/2006/relationships/hyperlink" Target="https://www.owontechnology.eu/product/1321878/owon-ag1012-10mhz-2-ch-arbitrary-waveform-generator" TargetMode="External"/><Relationship Id="rId181" Type="http://schemas.openxmlformats.org/officeDocument/2006/relationships/hyperlink" Target="https://docs.google.com/spreadsheets/d/1WXzat59zVU0muZ5ojMLumyHWy8zl_-e7oias6ZhLkX0/edit?gid=0" TargetMode="External"/><Relationship Id="rId180" Type="http://schemas.openxmlformats.org/officeDocument/2006/relationships/hyperlink" Target="https://drive.google.com/file/d/1gVHd7eSNvjmDXUMFxdFWQy6anW_O3NP3/view?usp=sharing" TargetMode="External"/><Relationship Id="rId176" Type="http://schemas.openxmlformats.org/officeDocument/2006/relationships/hyperlink" Target="https://drive.google.com/file/d/1gVHd7eSNvjmDXUMFxdFWQy6anW_O3NP3/view?usp=sharing" TargetMode="External"/><Relationship Id="rId297" Type="http://schemas.openxmlformats.org/officeDocument/2006/relationships/hyperlink" Target="https://drive.google.com/file/d/1gVHd7eSNvjmDXUMFxdFWQy6anW_O3NP3/view?usp=sharing" TargetMode="External"/><Relationship Id="rId175" Type="http://schemas.openxmlformats.org/officeDocument/2006/relationships/hyperlink" Target="https://bracsan.pe/producto/cable-siliconado-de-prueba-cocodrilo-a-plug-banana-4mm-j-70056c/" TargetMode="External"/><Relationship Id="rId296" Type="http://schemas.openxmlformats.org/officeDocument/2006/relationships/hyperlink" Target="https://docs.google.com/spreadsheets/d/1LNZ3Mfx_Azy64P0ty2JC9pnlksBwZVtZQG7dEwMenlo/edit?gid=0" TargetMode="External"/><Relationship Id="rId174" Type="http://schemas.openxmlformats.org/officeDocument/2006/relationships/hyperlink" Target="https://docs.google.com/spreadsheets/d/19WUyTm4ng0NlKkA8v4MaQVkrinuBE2Qh1or5KmRfU4g/edit?gid=0" TargetMode="External"/><Relationship Id="rId295" Type="http://schemas.openxmlformats.org/officeDocument/2006/relationships/hyperlink" Target="https://drive.google.com/file/d/1gVHd7eSNvjmDXUMFxdFWQy6anW_O3NP3/view?usp=sharing" TargetMode="External"/><Relationship Id="rId173" Type="http://schemas.openxmlformats.org/officeDocument/2006/relationships/hyperlink" Target="https://drive.google.com/file/d/15II6pN8lLiJghCcshC2bnO6ky1nJkwg1/view?usp=sharing" TargetMode="External"/><Relationship Id="rId294" Type="http://schemas.openxmlformats.org/officeDocument/2006/relationships/hyperlink" Target="https://www.bungard.de/en/software" TargetMode="External"/><Relationship Id="rId179" Type="http://schemas.openxmlformats.org/officeDocument/2006/relationships/hyperlink" Target="https://docs.google.com/spreadsheets/d/1LDw697D-IF5CQKpiWDRgjI6Pe7DzY1BeRl8tIBDi2cY/edit?usp=sharing" TargetMode="External"/><Relationship Id="rId178" Type="http://schemas.openxmlformats.org/officeDocument/2006/relationships/hyperlink" Target="https://drive.google.com/file/d/1h4VAVdnpYwVJWfv9Am07uX69gQjmocj4/view?usp=sharing" TargetMode="External"/><Relationship Id="rId299" Type="http://schemas.openxmlformats.org/officeDocument/2006/relationships/hyperlink" Target="https://drive.google.com/file/d/1BZ2N5EASu7KqA43xkUocI7QoYhjba-W1/view?usp=sharing" TargetMode="External"/><Relationship Id="rId177" Type="http://schemas.openxmlformats.org/officeDocument/2006/relationships/hyperlink" Target="https://docs.google.com/spreadsheets/d/1qTz55WOLZ87pM1VfnEhJSrecnhFK-a1dEZwXqJyjvoQ/edit?gid=0" TargetMode="External"/><Relationship Id="rId298" Type="http://schemas.openxmlformats.org/officeDocument/2006/relationships/hyperlink" Target="https://docs.google.com/spreadsheets/d/1I-xF2VEl2S5NA7n9-Pq-NasckqjmwkqEGHdUX9zjTJQ/edit?gid=0" TargetMode="External"/><Relationship Id="rId198" Type="http://schemas.openxmlformats.org/officeDocument/2006/relationships/hyperlink" Target="https://docs.google.com/spreadsheets/d/19azP1sIhnpgeyh_4AocKqxP61S38WOk-vlANvXhYyfM/edit?gid=0" TargetMode="External"/><Relationship Id="rId197" Type="http://schemas.openxmlformats.org/officeDocument/2006/relationships/hyperlink" Target="https://drive.google.com/file/d/18QObBMdkdbxawOmVcLCnjq1PR6AWIUKE/view?usp=sharing" TargetMode="External"/><Relationship Id="rId196" Type="http://schemas.openxmlformats.org/officeDocument/2006/relationships/hyperlink" Target="https://www.crear4d.com/filamento-3d-pla-basic-3d/" TargetMode="External"/><Relationship Id="rId195" Type="http://schemas.openxmlformats.org/officeDocument/2006/relationships/hyperlink" Target="https://docs.google.com/spreadsheets/d/1zzK4wX3efxe7KN0BljagkPkafWnKzLxDtotoxvCSYgQ/edit?gid=0" TargetMode="External"/><Relationship Id="rId199" Type="http://schemas.openxmlformats.org/officeDocument/2006/relationships/hyperlink" Target="https://www.crear4d.com/filamento-3d-pla-basic-3d/" TargetMode="External"/><Relationship Id="rId150" Type="http://schemas.openxmlformats.org/officeDocument/2006/relationships/hyperlink" Target="https://www.aslak.es/herramientas-electricas/dispositivo-para-afilado-universal-usv-nts.html" TargetMode="External"/><Relationship Id="rId271" Type="http://schemas.openxmlformats.org/officeDocument/2006/relationships/hyperlink" Target="https://drive.google.com/file/d/18QObBMdkdbxawOmVcLCnjq1PR6AWIUKE/view?usp=sharing" TargetMode="External"/><Relationship Id="rId392" Type="http://schemas.openxmlformats.org/officeDocument/2006/relationships/hyperlink" Target="https://docs.google.com/spreadsheets/d/1U4U5aPN1WUj-iEnB6nFqUHI8TiIg5NNZB3-dGruS6Oo/edit?gid=0" TargetMode="External"/><Relationship Id="rId270" Type="http://schemas.openxmlformats.org/officeDocument/2006/relationships/hyperlink" Target="https://docs.google.com/spreadsheets/d/1U3yOmQgGCGjLN5O3RZVRvfoy5w3z75myEY5uTV1Xk1g/edit?gid=0" TargetMode="External"/><Relationship Id="rId391" Type="http://schemas.openxmlformats.org/officeDocument/2006/relationships/hyperlink" Target="https://drive.google.com/file/d/15II6pN8lLiJghCcshC2bnO6ky1nJkwg1/view?usp=sharing" TargetMode="External"/><Relationship Id="rId390" Type="http://schemas.openxmlformats.org/officeDocument/2006/relationships/hyperlink" Target="https://docs.google.com/spreadsheets/d/1JJy07n9Na9vCwTrUPcR9sdJnN4S19MKGItHvJ1SDw2o/edit?gid=0" TargetMode="External"/><Relationship Id="rId1" Type="http://schemas.openxmlformats.org/officeDocument/2006/relationships/comments" Target="../comments1.xml"/><Relationship Id="rId2" Type="http://schemas.openxmlformats.org/officeDocument/2006/relationships/hyperlink" Target="https://drive.google.com/file/d/1YH9h9tbwIk3ZRor_6eb1LK55_rFPY5cG/view?usp=sharing" TargetMode="External"/><Relationship Id="rId3" Type="http://schemas.openxmlformats.org/officeDocument/2006/relationships/hyperlink" Target="https://docs.google.com/spreadsheets/d/1kdyneETewY6oS-J9YvqUxr9zLFJplRMrmgc0la2RCXo/edit?gid=0" TargetMode="External"/><Relationship Id="rId149" Type="http://schemas.openxmlformats.org/officeDocument/2006/relationships/hyperlink" Target="https://www.aslak.es/herramientas-electricas/pasta-de-afilado-ap-nts.html" TargetMode="External"/><Relationship Id="rId4" Type="http://schemas.openxmlformats.org/officeDocument/2006/relationships/hyperlink" Target="https://drive.google.com/file/d/1YH9h9tbwIk3ZRor_6eb1LK55_rFPY5cG/view?usp=sharing" TargetMode="External"/><Relationship Id="rId148" Type="http://schemas.openxmlformats.org/officeDocument/2006/relationships/hyperlink" Target="https://www.aslak.es/herramientas-electricas/dispositivo-de-rectificado-de-muela-sp-nts.html" TargetMode="External"/><Relationship Id="rId269" Type="http://schemas.openxmlformats.org/officeDocument/2006/relationships/hyperlink" Target="https://drive.google.com/file/d/1YH9h9tbwIk3ZRor_6eb1LK55_rFPY5cG/view?usp=sharing" TargetMode="External"/><Relationship Id="rId9" Type="http://schemas.openxmlformats.org/officeDocument/2006/relationships/hyperlink" Target="https://www.coolbox.pe/pila-recargable-energizer-aaa-x2-220390/p" TargetMode="External"/><Relationship Id="rId143" Type="http://schemas.openxmlformats.org/officeDocument/2006/relationships/hyperlink" Target="https://drive.google.com/file/d/1WwLY1lQi2XiSE0OtUotd4iudcZnmUB5t/view?usp=sharing" TargetMode="External"/><Relationship Id="rId264" Type="http://schemas.openxmlformats.org/officeDocument/2006/relationships/hyperlink" Target="https://docs.google.com/spreadsheets/d/1G-AZBCWvxAz_K9wTq7YWCfgevaUJhqSvLyC0UmQJSHs/edit?gid=0" TargetMode="External"/><Relationship Id="rId385" Type="http://schemas.openxmlformats.org/officeDocument/2006/relationships/hyperlink" Target="https://docs.google.com/spreadsheets/d/1KQqr48P2loPtYsIJeI_qtOrKVAAsDL__/edit?gid=1488611104" TargetMode="External"/><Relationship Id="rId142" Type="http://schemas.openxmlformats.org/officeDocument/2006/relationships/hyperlink" Target="https://docs.google.com/spreadsheets/d/1m8gVCE0ICGViPwEovm6PmTe8WoIsauc9lAmEGiJMPEI/edit?usp=sharing" TargetMode="External"/><Relationship Id="rId263" Type="http://schemas.openxmlformats.org/officeDocument/2006/relationships/hyperlink" Target="https://drive.google.com/file/d/1BZ2N5EASu7KqA43xkUocI7QoYhjba-W1/view?usp=sharing" TargetMode="External"/><Relationship Id="rId384" Type="http://schemas.openxmlformats.org/officeDocument/2006/relationships/hyperlink" Target="https://drive.google.com/file/d/1_UHuH37ATrm911Ohx4aL_9Z3m--yiXpV/view?usp=sharing" TargetMode="External"/><Relationship Id="rId141" Type="http://schemas.openxmlformats.org/officeDocument/2006/relationships/hyperlink" Target="https://drive.google.com/file/d/1h4VAVdnpYwVJWfv9Am07uX69gQjmocj4/view?usp=sharing" TargetMode="External"/><Relationship Id="rId262" Type="http://schemas.openxmlformats.org/officeDocument/2006/relationships/hyperlink" Target="https://docs.google.com/spreadsheets/d/1M8yR6WMvKjVFfIcjn2-trKb2sZXgGdE-aXVJlVmuMBo/edit?gid=0" TargetMode="External"/><Relationship Id="rId383" Type="http://schemas.openxmlformats.org/officeDocument/2006/relationships/hyperlink" Target="https://docs.google.com/spreadsheets/d/1RHkXj9rtZiO6PE75lzSCy1lx7nWsUPqF2c1ZDRdKD4A/edit?gid=0" TargetMode="External"/><Relationship Id="rId140" Type="http://schemas.openxmlformats.org/officeDocument/2006/relationships/hyperlink" Target="https://www.truper.com/ficha_tecnica/Rollo-de-manguera-hibrida-1-4-para-compresor-15-m-Truper.html?code=102472" TargetMode="External"/><Relationship Id="rId261" Type="http://schemas.openxmlformats.org/officeDocument/2006/relationships/hyperlink" Target="https://drive.google.com/file/d/1BZ2N5EASu7KqA43xkUocI7QoYhjba-W1/view?usp=sharing" TargetMode="External"/><Relationship Id="rId382" Type="http://schemas.openxmlformats.org/officeDocument/2006/relationships/hyperlink" Target="https://drive.google.com/file/d/1YH9h9tbwIk3ZRor_6eb1LK55_rFPY5cG/view?usp=sharing" TargetMode="External"/><Relationship Id="rId5" Type="http://schemas.openxmlformats.org/officeDocument/2006/relationships/hyperlink" Target="https://docs.google.com/spreadsheets/d/1A_3l5prsnnu9nK6Dft22HemxDRBnRhxEk_3dHCvVbpw/edit?gid=0" TargetMode="External"/><Relationship Id="rId147" Type="http://schemas.openxmlformats.org/officeDocument/2006/relationships/hyperlink" Target="https://www.aslak.es/herramientas-electricas/disco-de-asentado-de-cuero-o-250-x-30-x-12-mm.html" TargetMode="External"/><Relationship Id="rId268" Type="http://schemas.openxmlformats.org/officeDocument/2006/relationships/hyperlink" Target="https://docs.google.com/spreadsheets/d/1-UzXDSCdIFgFr6O6dD0q-SS7BiMthjSvdSC1Wrht7SI/edit?gid=0" TargetMode="External"/><Relationship Id="rId389" Type="http://schemas.openxmlformats.org/officeDocument/2006/relationships/hyperlink" Target="https://drive.google.com/file/d/1h4VAVdnpYwVJWfv9Am07uX69gQjmocj4/view?usp=sharing" TargetMode="External"/><Relationship Id="rId6" Type="http://schemas.openxmlformats.org/officeDocument/2006/relationships/hyperlink" Target="https://drive.google.com/file/d/1YH9h9tbwIk3ZRor_6eb1LK55_rFPY5cG/view?usp=sharing" TargetMode="External"/><Relationship Id="rId146" Type="http://schemas.openxmlformats.org/officeDocument/2006/relationships/hyperlink" Target="https://www.aslak.es/herramientas-electricas/muela-o-250-x-50-x-12-mm.html" TargetMode="External"/><Relationship Id="rId267" Type="http://schemas.openxmlformats.org/officeDocument/2006/relationships/hyperlink" Target="https://drive.google.com/file/d/1BZ2N5EASu7KqA43xkUocI7QoYhjba-W1/view?usp=sharing" TargetMode="External"/><Relationship Id="rId388" Type="http://schemas.openxmlformats.org/officeDocument/2006/relationships/hyperlink" Target="https://docs.google.com/spreadsheets/d/1OWXhIwjyAkr8aCiiXO8tlxwlXaqSGSyAk9p89Ai1Vtw/edit?gid=0" TargetMode="External"/><Relationship Id="rId7" Type="http://schemas.openxmlformats.org/officeDocument/2006/relationships/hyperlink" Target="https://docs.google.com/spreadsheets/d/1mY-w9pgFTYJnl8ffV-j1aBXV-j5cX2sDel_1e0leqYg/edit?gid=0" TargetMode="External"/><Relationship Id="rId145" Type="http://schemas.openxmlformats.org/officeDocument/2006/relationships/hyperlink" Target="https://shop.scheppach.com/Drechsler-Set-fuer-Nassschleifmaschinen/7903200001" TargetMode="External"/><Relationship Id="rId266" Type="http://schemas.openxmlformats.org/officeDocument/2006/relationships/hyperlink" Target="https://docs.google.com/spreadsheets/d/1DFxFh-zsVdTS850uouz0I7DLYGa4nc5SE28G0Mqa5Qo/edit?gid=0" TargetMode="External"/><Relationship Id="rId387" Type="http://schemas.openxmlformats.org/officeDocument/2006/relationships/hyperlink" Target="https://drive.google.com/file/d/1h4VAVdnpYwVJWfv9Am07uX69gQjmocj4/view?usp=sharing" TargetMode="External"/><Relationship Id="rId8" Type="http://schemas.openxmlformats.org/officeDocument/2006/relationships/hyperlink" Target="https://www.coolbox.pe/cargador-de-pilas-radioshack-aaaaa-2-pilas-aa-2309221/p" TargetMode="External"/><Relationship Id="rId144" Type="http://schemas.openxmlformats.org/officeDocument/2006/relationships/hyperlink" Target="https://docs.google.com/spreadsheets/d/1nPMW8LIZ4zOro-j-HTN6VWoeUrucpV04V5xKxYPsSkU/edit?gid=0" TargetMode="External"/><Relationship Id="rId265" Type="http://schemas.openxmlformats.org/officeDocument/2006/relationships/hyperlink" Target="https://drive.google.com/file/d/1BZ2N5EASu7KqA43xkUocI7QoYhjba-W1/view?usp=sharing" TargetMode="External"/><Relationship Id="rId386" Type="http://schemas.openxmlformats.org/officeDocument/2006/relationships/hyperlink" Target="https://www.thomas.com.pe/thomaspe/olla-th-45p.html?srsltid=AfmBOopEU_oBNR6bPTretuKfqyJtcV1RPlYQblsWPXwSYZrJazarDUG2" TargetMode="External"/><Relationship Id="rId260" Type="http://schemas.openxmlformats.org/officeDocument/2006/relationships/hyperlink" Target="https://www.sierra-software.com/embroideryoffice/" TargetMode="External"/><Relationship Id="rId381" Type="http://schemas.openxmlformats.org/officeDocument/2006/relationships/hyperlink" Target="https://docs.google.com/spreadsheets/d/1tGIY-FhWs3Q-nSXqD7POH6cwXntBycDVjlswmRrYcIs/edit?usp=sharing" TargetMode="External"/><Relationship Id="rId380" Type="http://schemas.openxmlformats.org/officeDocument/2006/relationships/hyperlink" Target="https://drive.google.com/file/d/1WwLY1lQi2XiSE0OtUotd4iudcZnmUB5t/view?usp=sharing" TargetMode="External"/><Relationship Id="rId139" Type="http://schemas.openxmlformats.org/officeDocument/2006/relationships/hyperlink" Target="https://www.truper.com/ficha_tecnica/Pistola-p-pintar-gravedad-HVLP-vaso-plastico-boquilla-17mm-252814.html?code=12129" TargetMode="External"/><Relationship Id="rId138" Type="http://schemas.openxmlformats.org/officeDocument/2006/relationships/hyperlink" Target="https://docs.google.com/spreadsheets/d/1NtuxF3UQIrGM5Ci1QZMCkjb0R_RyF2BttFMXvs8iSDQ/edit?usp=sharing" TargetMode="External"/><Relationship Id="rId259" Type="http://schemas.openxmlformats.org/officeDocument/2006/relationships/hyperlink" Target="https://docs.google.com/spreadsheets/d/1sMC3g1TvJ-HEORlMYBNp25-zB3BvBUwv0bBbWgfRHiU/edit?gid=0" TargetMode="External"/><Relationship Id="rId137" Type="http://schemas.openxmlformats.org/officeDocument/2006/relationships/hyperlink" Target="https://drive.google.com/file/d/18QObBMdkdbxawOmVcLCnjq1PR6AWIUKE/view?usp=sharing" TargetMode="External"/><Relationship Id="rId258" Type="http://schemas.openxmlformats.org/officeDocument/2006/relationships/hyperlink" Target="https://drive.google.com/file/d/1BZ2N5EASu7KqA43xkUocI7QoYhjba-W1/view?usp=sharing" TargetMode="External"/><Relationship Id="rId379" Type="http://schemas.openxmlformats.org/officeDocument/2006/relationships/hyperlink" Target="https://docs.google.com/spreadsheets/d/1Fq-fvCHv5te9e4-7CeQIipE_buqTDb7mMb7eZffrqKc/edit?usp=sharing" TargetMode="External"/><Relationship Id="rId132" Type="http://schemas.openxmlformats.org/officeDocument/2006/relationships/hyperlink" Target="https://drive.google.com/file/d/1WwLY1lQi2XiSE0OtUotd4iudcZnmUB5t/view?usp=sharing" TargetMode="External"/><Relationship Id="rId253" Type="http://schemas.openxmlformats.org/officeDocument/2006/relationships/hyperlink" Target="https://docs.google.com/spreadsheets/d/1OJuooEVqLfjrMuPlCw1bv5U6YmlxGkVoHf_go29cV98/edit?usp=sharing" TargetMode="External"/><Relationship Id="rId374" Type="http://schemas.openxmlformats.org/officeDocument/2006/relationships/hyperlink" Target="https://drive.google.com/file/d/1_UHuH37ATrm911Ohx4aL_9Z3m--yiXpV/view?usp=sharing" TargetMode="External"/><Relationship Id="rId495" Type="http://schemas.openxmlformats.org/officeDocument/2006/relationships/hyperlink" Target="https://drive.google.com/file/d/15II6pN8lLiJghCcshC2bnO6ky1nJkwg1/view?usp=sharing" TargetMode="External"/><Relationship Id="rId131" Type="http://schemas.openxmlformats.org/officeDocument/2006/relationships/hyperlink" Target="https://docs.google.com/spreadsheets/d/1sBnFrIIDAfDifJBgj1SHZp6y0_qXK3UkuB_FqxttbtU/edit?usp=sharing" TargetMode="External"/><Relationship Id="rId252" Type="http://schemas.openxmlformats.org/officeDocument/2006/relationships/hyperlink" Target="https://drive.google.com/file/d/1WwLY1lQi2XiSE0OtUotd4iudcZnmUB5t/view?usp=sharing" TargetMode="External"/><Relationship Id="rId373" Type="http://schemas.openxmlformats.org/officeDocument/2006/relationships/hyperlink" Target="https://docs.google.com/spreadsheets/d/1RjhnNYcfUttqeXi1pff3aVPxXNJrUb6hxhxkMf40c0I/edit?gid=0" TargetMode="External"/><Relationship Id="rId494" Type="http://schemas.openxmlformats.org/officeDocument/2006/relationships/hyperlink" Target="https://bhpperu.com/producto/rkc4t-2-tel-turck-connector-cable-m12-female-straight-3-pole-2m-black-pvc/" TargetMode="External"/><Relationship Id="rId130" Type="http://schemas.openxmlformats.org/officeDocument/2006/relationships/hyperlink" Target="https://drive.google.com/file/d/1I-M-Ra6pUId8KiuqWqyTcLG-tCLYFcq3/view?usp=sharing" TargetMode="External"/><Relationship Id="rId251" Type="http://schemas.openxmlformats.org/officeDocument/2006/relationships/hyperlink" Target="https://docs.google.com/spreadsheets/d/1UjKTz77EhZsb00ciwhZrZXWNmlYRAxE995koaztzOYA/edit?gid=0" TargetMode="External"/><Relationship Id="rId372" Type="http://schemas.openxmlformats.org/officeDocument/2006/relationships/hyperlink" Target="https://drive.google.com/file/d/1gVHd7eSNvjmDXUMFxdFWQy6anW_O3NP3/view?usp=sharing" TargetMode="External"/><Relationship Id="rId493" Type="http://schemas.openxmlformats.org/officeDocument/2006/relationships/hyperlink" Target="https://docs.google.com/spreadsheets/d/1H3agvRQVYbxwq0jLFYtBsAa-Z_58kaDt/edit?gid=1527760384" TargetMode="External"/><Relationship Id="rId250" Type="http://schemas.openxmlformats.org/officeDocument/2006/relationships/hyperlink" Target="https://drive.google.com/file/d/1YH9h9tbwIk3ZRor_6eb1LK55_rFPY5cG/view?usp=sharing" TargetMode="External"/><Relationship Id="rId371" Type="http://schemas.openxmlformats.org/officeDocument/2006/relationships/hyperlink" Target="https://docs.google.com/spreadsheets/d/1VXemxh64wykIFJhb_HXhkkMBAMix1-ym568LCws2Guw/edit?gid=0" TargetMode="External"/><Relationship Id="rId492" Type="http://schemas.openxmlformats.org/officeDocument/2006/relationships/hyperlink" Target="https://drive.google.com/file/d/15II6pN8lLiJghCcshC2bnO6ky1nJkwg1/view?usp=sharing" TargetMode="External"/><Relationship Id="rId136" Type="http://schemas.openxmlformats.org/officeDocument/2006/relationships/hyperlink" Target="https://docs.google.com/spreadsheets/d/1oRolqjsmVq3pQBtw8BiBjoD6AwJx6kq61pNNiPJuo34/edit?gid=0" TargetMode="External"/><Relationship Id="rId257" Type="http://schemas.openxmlformats.org/officeDocument/2006/relationships/hyperlink" Target="https://docs.google.com/spreadsheets/d/1VVZfZ3GZVWfMyFL2WY55ntNgRRONwQ2-QQESxQD5qoE/edit?usp=sharing" TargetMode="External"/><Relationship Id="rId378" Type="http://schemas.openxmlformats.org/officeDocument/2006/relationships/hyperlink" Target="https://drive.google.com/file/d/1h4VAVdnpYwVJWfv9Am07uX69gQjmocj4/view?usp=sharing" TargetMode="External"/><Relationship Id="rId499" Type="http://schemas.openxmlformats.org/officeDocument/2006/relationships/hyperlink" Target="https://drive.google.com/file/d/1WwLY1lQi2XiSE0OtUotd4iudcZnmUB5t/view?usp=sharing" TargetMode="External"/><Relationship Id="rId135" Type="http://schemas.openxmlformats.org/officeDocument/2006/relationships/hyperlink" Target="https://drive.google.com/file/d/1YH9h9tbwIk3ZRor_6eb1LK55_rFPY5cG/view?usp=sharing" TargetMode="External"/><Relationship Id="rId256" Type="http://schemas.openxmlformats.org/officeDocument/2006/relationships/hyperlink" Target="https://drive.google.com/file/d/1_UHuH37ATrm911Ohx4aL_9Z3m--yiXpV/view?usp=sharing" TargetMode="External"/><Relationship Id="rId377" Type="http://schemas.openxmlformats.org/officeDocument/2006/relationships/hyperlink" Target="https://docs.google.com/spreadsheets/d/11UKgpp3MYUs4VL_iw4Wg1lh-0bfvqLsUWo-jdfLjo0w/edit?gid=0" TargetMode="External"/><Relationship Id="rId498" Type="http://schemas.openxmlformats.org/officeDocument/2006/relationships/hyperlink" Target="https://docs.google.com/spreadsheets/d/1-Fhv-7gSt-svj_DlIyZcjGu2Mrqy3OEgPo8VM0QvnK8/edit?gid=0" TargetMode="External"/><Relationship Id="rId134" Type="http://schemas.openxmlformats.org/officeDocument/2006/relationships/hyperlink" Target="https://drive.google.com/file/d/1KUFMyZuyxypUrvF6TobFdj9_c_-qmz48/view" TargetMode="External"/><Relationship Id="rId255" Type="http://schemas.openxmlformats.org/officeDocument/2006/relationships/hyperlink" Target="https://docs.google.com/spreadsheets/d/1cMpxS8wyXCnCR9f7Sxe8jp6k0dK03tTfwcrJDU53hto/edit?usp=sharing" TargetMode="External"/><Relationship Id="rId376" Type="http://schemas.openxmlformats.org/officeDocument/2006/relationships/hyperlink" Target="https://drive.google.com/file/d/1YH9h9tbwIk3ZRor_6eb1LK55_rFPY5cG/view?usp=sharing" TargetMode="External"/><Relationship Id="rId497" Type="http://schemas.openxmlformats.org/officeDocument/2006/relationships/hyperlink" Target="https://drive.google.com/file/d/1WwLY1lQi2XiSE0OtUotd4iudcZnmUB5t/view?usp=sharing" TargetMode="External"/><Relationship Id="rId133" Type="http://schemas.openxmlformats.org/officeDocument/2006/relationships/hyperlink" Target="https://docs.google.com/spreadsheets/d/1KanCLW7z2sJ41Ixr6cYvxbW4iAgDStAjzhixnwnqO7A/edit?usp=sharing" TargetMode="External"/><Relationship Id="rId254" Type="http://schemas.openxmlformats.org/officeDocument/2006/relationships/hyperlink" Target="https://drive.google.com/file/d/1WwLY1lQi2XiSE0OtUotd4iudcZnmUB5t/view?usp=sharing" TargetMode="External"/><Relationship Id="rId375" Type="http://schemas.openxmlformats.org/officeDocument/2006/relationships/hyperlink" Target="https://docs.google.com/spreadsheets/d/18emR_n8AbgtzxA-erisjpKpGJnhOKIVg/edit?gid=1150693014" TargetMode="External"/><Relationship Id="rId496" Type="http://schemas.openxmlformats.org/officeDocument/2006/relationships/hyperlink" Target="https://docs.google.com/spreadsheets/d/1wy8xjd1sECvxX7IXWR_ceKyz8o3aasC-/edit?gid=1700508860" TargetMode="External"/><Relationship Id="rId172" Type="http://schemas.openxmlformats.org/officeDocument/2006/relationships/hyperlink" Target="https://docs.google.com/spreadsheets/d/1UauMXiSZSLJnvPzDEMDJyBzfZA0NxMv8ThFjJOkvGdg/edit?usp=sharing" TargetMode="External"/><Relationship Id="rId293" Type="http://schemas.openxmlformats.org/officeDocument/2006/relationships/hyperlink" Target="https://docs.google.com/spreadsheets/d/1xnRdp-zN1a_2Die_Sx3GkOdLXk0_zC5HDtDaZehWfHw/edit?gid=0" TargetMode="External"/><Relationship Id="rId171" Type="http://schemas.openxmlformats.org/officeDocument/2006/relationships/hyperlink" Target="https://drive.google.com/file/d/1_UHuH37ATrm911Ohx4aL_9Z3m--yiXpV/view?usp=sharing" TargetMode="External"/><Relationship Id="rId292" Type="http://schemas.openxmlformats.org/officeDocument/2006/relationships/hyperlink" Target="https://drive.google.com/file/d/1gVHd7eSNvjmDXUMFxdFWQy6anW_O3NP3/view?usp=sharing" TargetMode="External"/><Relationship Id="rId170" Type="http://schemas.openxmlformats.org/officeDocument/2006/relationships/hyperlink" Target="https://docs.google.com/spreadsheets/d/1g8SfM72hKj1aClaWeO5IkqYCYdK9pheVsPuvmS98psA/edit?gid=0" TargetMode="External"/><Relationship Id="rId291" Type="http://schemas.openxmlformats.org/officeDocument/2006/relationships/hyperlink" Target="https://docs.google.com/spreadsheets/d/18X7xH72HiV4R7ymy6O_eEDfalktAD_TOSwtF_52Jb80/edit?gid=0" TargetMode="External"/><Relationship Id="rId290" Type="http://schemas.openxmlformats.org/officeDocument/2006/relationships/hyperlink" Target="https://drive.google.com/file/d/1gVHd7eSNvjmDXUMFxdFWQy6anW_O3NP3/view?usp=sharing" TargetMode="External"/><Relationship Id="rId165" Type="http://schemas.openxmlformats.org/officeDocument/2006/relationships/hyperlink" Target="https://drive.google.com/file/d/1h4VAVdnpYwVJWfv9Am07uX69gQjmocj4/view?usp=sharing" TargetMode="External"/><Relationship Id="rId286" Type="http://schemas.openxmlformats.org/officeDocument/2006/relationships/hyperlink" Target="https://drive.google.com/file/d/1WwLY1lQi2XiSE0OtUotd4iudcZnmUB5t/view?usp=sharing" TargetMode="External"/><Relationship Id="rId164" Type="http://schemas.openxmlformats.org/officeDocument/2006/relationships/hyperlink" Target="https://docs.google.com/spreadsheets/d/12gTs_6vUbUrDoYxqYleEZiYkdTAOZ-Whiyr97Vj88d4/edit?gid=0" TargetMode="External"/><Relationship Id="rId285" Type="http://schemas.openxmlformats.org/officeDocument/2006/relationships/hyperlink" Target="https://docs.google.com/spreadsheets/d/1BFyEeqf1AvUwmhecgW5lWcvKxXcUG76D146nc7mDz0M/edit?gid=0" TargetMode="External"/><Relationship Id="rId163" Type="http://schemas.openxmlformats.org/officeDocument/2006/relationships/hyperlink" Target="https://drive.google.com/file/d/1gVHd7eSNvjmDXUMFxdFWQy6anW_O3NP3/view?usp=sharing" TargetMode="External"/><Relationship Id="rId284" Type="http://schemas.openxmlformats.org/officeDocument/2006/relationships/hyperlink" Target="https://drive.google.com/file/d/1BZ2N5EASu7KqA43xkUocI7QoYhjba-W1/view?usp=sharing" TargetMode="External"/><Relationship Id="rId162" Type="http://schemas.openxmlformats.org/officeDocument/2006/relationships/hyperlink" Target="https://docs.google.com/spreadsheets/d/1iKfbIDgmoFlrobqB8FnlLDWgBP17iugY4ARc_xUlx5M/edit?usp=sharing" TargetMode="External"/><Relationship Id="rId283" Type="http://schemas.openxmlformats.org/officeDocument/2006/relationships/hyperlink" Target="https://docs.google.com/spreadsheets/d/1Q64YLrUkH0c4YLrlFVzDm-3MgVVndzf3xVQOJ8dGN58/edit?gid=0" TargetMode="External"/><Relationship Id="rId169" Type="http://schemas.openxmlformats.org/officeDocument/2006/relationships/hyperlink" Target="https://drive.google.com/file/d/1YH9h9tbwIk3ZRor_6eb1LK55_rFPY5cG/view?usp=sharing" TargetMode="External"/><Relationship Id="rId168" Type="http://schemas.openxmlformats.org/officeDocument/2006/relationships/hyperlink" Target="https://docs.google.com/spreadsheets/d/1ENM_9tVbTqjgK3O0UYqlaWj88fJ0d8K0V82KEj9qc5s/edit?gid=0" TargetMode="External"/><Relationship Id="rId289" Type="http://schemas.openxmlformats.org/officeDocument/2006/relationships/hyperlink" Target="https://docs.google.com/spreadsheets/d/1yJwbIr50-f5IhumqeAKw0G3TvgScThsg3YuYbuAkT70/edit?usp=sharing" TargetMode="External"/><Relationship Id="rId167" Type="http://schemas.openxmlformats.org/officeDocument/2006/relationships/hyperlink" Target="https://drive.google.com/file/d/1gVHd7eSNvjmDXUMFxdFWQy6anW_O3NP3/view?usp=sharing" TargetMode="External"/><Relationship Id="rId288" Type="http://schemas.openxmlformats.org/officeDocument/2006/relationships/hyperlink" Target="https://drive.google.com/file/d/1WwLY1lQi2XiSE0OtUotd4iudcZnmUB5t/view?usp=sharing" TargetMode="External"/><Relationship Id="rId166" Type="http://schemas.openxmlformats.org/officeDocument/2006/relationships/hyperlink" Target="https://docs.google.com/spreadsheets/d/1TiQUTpZtMXrRYf6o__N6YlH8eAsArsWK7uh-PRUi05Q/edit?gid=0" TargetMode="External"/><Relationship Id="rId287" Type="http://schemas.openxmlformats.org/officeDocument/2006/relationships/hyperlink" Target="https://docs.google.com/spreadsheets/d/1mtVL2j-4_yhoaIVcVeQYoADxWrqm6n1AZUpoakDAEfk/edit?usp=sharing" TargetMode="External"/><Relationship Id="rId161" Type="http://schemas.openxmlformats.org/officeDocument/2006/relationships/hyperlink" Target="https://drive.google.com/file/d/18QObBMdkdbxawOmVcLCnjq1PR6AWIUKE/view?usp=sharing" TargetMode="External"/><Relationship Id="rId282" Type="http://schemas.openxmlformats.org/officeDocument/2006/relationships/hyperlink" Target="https://drive.google.com/file/d/1BZ2N5EASu7KqA43xkUocI7QoYhjba-W1/view?usp=sharing" TargetMode="External"/><Relationship Id="rId160" Type="http://schemas.openxmlformats.org/officeDocument/2006/relationships/hyperlink" Target="https://docs.google.com/spreadsheets/d/13wFdfG8neuK8l1m_Q5azZ26o4tCtoqaXj5nxaaCqVJM/edit?usp=sharing" TargetMode="External"/><Relationship Id="rId281" Type="http://schemas.openxmlformats.org/officeDocument/2006/relationships/hyperlink" Target="https://docs.google.com/spreadsheets/d/14CHUCjez3npHVoxR1welgpV7ceEpiGJDgGxEGcdo1CU/edit?usp=sharing" TargetMode="External"/><Relationship Id="rId280" Type="http://schemas.openxmlformats.org/officeDocument/2006/relationships/hyperlink" Target="https://drive.google.com/file/d/18QObBMdkdbxawOmVcLCnjq1PR6AWIUKE/view?usp=sharing" TargetMode="External"/><Relationship Id="rId159" Type="http://schemas.openxmlformats.org/officeDocument/2006/relationships/hyperlink" Target="https://drive.google.com/file/d/1_UHuH37ATrm911Ohx4aL_9Z3m--yiXpV/view?usp=sharing" TargetMode="External"/><Relationship Id="rId154" Type="http://schemas.openxmlformats.org/officeDocument/2006/relationships/hyperlink" Target="https://docs.google.com/spreadsheets/d/1CA-jIkUYAPiA16ktnqZPcQJjGVJ4hCaDM5f0ebcv9-I/edit?usp=sharing" TargetMode="External"/><Relationship Id="rId275" Type="http://schemas.openxmlformats.org/officeDocument/2006/relationships/hyperlink" Target="https://docs.google.com/spreadsheets/d/1Aj2_BgpT4rWypKDA4uHdStwq9JEnj6-iZU9oZwZSrMA/edit?gid=0" TargetMode="External"/><Relationship Id="rId396" Type="http://schemas.openxmlformats.org/officeDocument/2006/relationships/hyperlink" Target="https://mesajil.com/producto/cable-seguridad-targus-defcon-cl-acero-con-clave-pa410u/?srsltid=AfmBOor2xOyfi8HGRjZyAwvpZJTabrmxqtHWIkBcbfWs5H-FTO-DSEql" TargetMode="External"/><Relationship Id="rId153" Type="http://schemas.openxmlformats.org/officeDocument/2006/relationships/hyperlink" Target="https://drive.google.com/file/d/1h4VAVdnpYwVJWfv9Am07uX69gQjmocj4/view?usp=sharing" TargetMode="External"/><Relationship Id="rId274" Type="http://schemas.openxmlformats.org/officeDocument/2006/relationships/hyperlink" Target="https://drive.google.com/file/d/1h4VAVdnpYwVJWfv9Am07uX69gQjmocj4/view?usp=sharing" TargetMode="External"/><Relationship Id="rId395" Type="http://schemas.openxmlformats.org/officeDocument/2006/relationships/hyperlink" Target="https://www.ebay.com/itm/284329471693" TargetMode="External"/><Relationship Id="rId152" Type="http://schemas.openxmlformats.org/officeDocument/2006/relationships/hyperlink" Target="https://docs.google.com/spreadsheets/d/1wrqOBAczOPyrOsz4cvhcv1QDIsZuw9_0mE0YDHxLvkY/edit?gid=0" TargetMode="External"/><Relationship Id="rId273" Type="http://schemas.openxmlformats.org/officeDocument/2006/relationships/hyperlink" Target="https://drive.google.com/file/d/1tSkS8KB8zmxZnYaY48LwnUokAQfQZOql/view" TargetMode="External"/><Relationship Id="rId394" Type="http://schemas.openxmlformats.org/officeDocument/2006/relationships/hyperlink" Target="https://www.batronix.com/php/index.php?cmd=review&amp;referer=https://www.batronix.com/shop/accessory/bags.html&amp;loc=en&amp;aid=3789" TargetMode="External"/><Relationship Id="rId151" Type="http://schemas.openxmlformats.org/officeDocument/2006/relationships/hyperlink" Target="https://drive.google.com/file/d/18QObBMdkdbxawOmVcLCnjq1PR6AWIUKE/view?usp=sharing" TargetMode="External"/><Relationship Id="rId272" Type="http://schemas.openxmlformats.org/officeDocument/2006/relationships/hyperlink" Target="https://docs.google.com/spreadsheets/d/1RaZauZC_KalPWWD055vfEmX5G6s52yAwFZs1SuPT13w/edit?gid=0" TargetMode="External"/><Relationship Id="rId393" Type="http://schemas.openxmlformats.org/officeDocument/2006/relationships/hyperlink" Target="https://cahema.pe/banco-de-trabajo/12518-carro-mesa-rodante-2-bandejas-para-taller-9064k-02-irimo.html" TargetMode="External"/><Relationship Id="rId158" Type="http://schemas.openxmlformats.org/officeDocument/2006/relationships/hyperlink" Target="https://docs.google.com/spreadsheets/d/1216ZfMvlT3-NhYl1ncX57bMbUlea6hS3mxsS4Viqses/edit?usp=sharing" TargetMode="External"/><Relationship Id="rId279" Type="http://schemas.openxmlformats.org/officeDocument/2006/relationships/hyperlink" Target="https://www.tbi-industries.com/es/productos/tig/antorchas-tbi" TargetMode="External"/><Relationship Id="rId157" Type="http://schemas.openxmlformats.org/officeDocument/2006/relationships/hyperlink" Target="https://drive.google.com/file/d/1h4VAVdnpYwVJWfv9Am07uX69gQjmocj4/view?usp=sharing" TargetMode="External"/><Relationship Id="rId278" Type="http://schemas.openxmlformats.org/officeDocument/2006/relationships/hyperlink" Target="https://weldfabulous.com/victor-0781-3657-hrf2435p-580-pro-series-flowmeter-regulator-argon-co2-cga-580-with-10-ft-hose/?srsltid=AfmBOooARWaJdJ9pLwtPAF91vlRdE4M4iW_VROgUCQCavukr1C6Fymjx" TargetMode="External"/><Relationship Id="rId399" Type="http://schemas.openxmlformats.org/officeDocument/2006/relationships/hyperlink" Target="https://docs.google.com/spreadsheets/d/1QYWfuOlW85uD2kv2fIRKPatpu2E3_1_BmaV9CmpxfeU/edit?gid=0" TargetMode="External"/><Relationship Id="rId156" Type="http://schemas.openxmlformats.org/officeDocument/2006/relationships/hyperlink" Target="https://docs.google.com/spreadsheets/d/1Cns-9Wk0qfvepI1G678tw2KkeRHUyztLVkExr9rifSI/edit?gid=0" TargetMode="External"/><Relationship Id="rId277" Type="http://schemas.openxmlformats.org/officeDocument/2006/relationships/hyperlink" Target="https://weldtech.com.pe/pistolas-semiautomaticas-mig/8-101-mug-today-is-a-good-day.html" TargetMode="External"/><Relationship Id="rId398" Type="http://schemas.openxmlformats.org/officeDocument/2006/relationships/hyperlink" Target="https://drive.google.com/file/d/1gVHd7eSNvjmDXUMFxdFWQy6anW_O3NP3/view?usp=sharing" TargetMode="External"/><Relationship Id="rId155" Type="http://schemas.openxmlformats.org/officeDocument/2006/relationships/hyperlink" Target="https://drive.google.com/file/d/15II6pN8lLiJghCcshC2bnO6ky1nJkwg1/view?usp=sharing" TargetMode="External"/><Relationship Id="rId276" Type="http://schemas.openxmlformats.org/officeDocument/2006/relationships/hyperlink" Target="https://esab.com/pe/sam_es/products-solutions/product/welding-equipment/wire-feeders/robustfeed-pro/" TargetMode="External"/><Relationship Id="rId397" Type="http://schemas.openxmlformats.org/officeDocument/2006/relationships/hyperlink" Target="https://us.targus.com/products/defcon-t-lock-resettable-combo-cable-lock-pa410u?srsltid=AfmBOoqJlE-j6sT-Ugi6gARvvgwra5weLpwITvihjqCXNlZLyCubayoB" TargetMode="External"/><Relationship Id="rId40" Type="http://schemas.openxmlformats.org/officeDocument/2006/relationships/hyperlink" Target="https://drive.google.com/file/d/1BZ2N5EASu7KqA43xkUocI7QoYhjba-W1/view?usp=sharing" TargetMode="External"/><Relationship Id="rId42" Type="http://schemas.openxmlformats.org/officeDocument/2006/relationships/hyperlink" Target="https://sewingcraft.brother.eu/en/products/machines/combination-machines/combination-machines/innov-is-v5le?utm_source=chatgpt.com" TargetMode="External"/><Relationship Id="rId41" Type="http://schemas.openxmlformats.org/officeDocument/2006/relationships/hyperlink" Target="https://docs.google.com/spreadsheets/d/14CgOOttwZArD6OTygwt0JuiGWnvijKyzS7bzRDglgZQ/edit?gid=0" TargetMode="External"/><Relationship Id="rId44" Type="http://schemas.openxmlformats.org/officeDocument/2006/relationships/hyperlink" Target="https://sewingcraft.brother.eu/en/accessories/sewing-machine-accessories/ef74" TargetMode="External"/><Relationship Id="rId43" Type="http://schemas.openxmlformats.org/officeDocument/2006/relationships/hyperlink" Target="https://sewingcraft.brother.eu/en/accessories/sewing-machine-accessories/fled1" TargetMode="External"/><Relationship Id="rId46" Type="http://schemas.openxmlformats.org/officeDocument/2006/relationships/hyperlink" Target="https://sewingcraft.brother.eu/en/accessories/sewing-machine-accessories/ef76" TargetMode="External"/><Relationship Id="rId45" Type="http://schemas.openxmlformats.org/officeDocument/2006/relationships/hyperlink" Target="https://sewingcraft.brother.eu/en/accessories/sewing-machine-accessories/ef75" TargetMode="External"/><Relationship Id="rId509" Type="http://schemas.openxmlformats.org/officeDocument/2006/relationships/hyperlink" Target="https://drive.google.com/file/d/18QObBMdkdbxawOmVcLCnjq1PR6AWIUKE/view?usp=sharing" TargetMode="External"/><Relationship Id="rId508" Type="http://schemas.openxmlformats.org/officeDocument/2006/relationships/hyperlink" Target="https://docs.google.com/spreadsheets/d/1QFcjGcuYbiNVp5XdX9kX1tMefxbpaAJTrKGrzx7Wn3k/edit?gid=0" TargetMode="External"/><Relationship Id="rId503" Type="http://schemas.openxmlformats.org/officeDocument/2006/relationships/hyperlink" Target="https://drive.google.com/file/d/1WwLY1lQi2XiSE0OtUotd4iudcZnmUB5t/view?usp=sharing" TargetMode="External"/><Relationship Id="rId502" Type="http://schemas.openxmlformats.org/officeDocument/2006/relationships/hyperlink" Target="https://docs.google.com/spreadsheets/d/19IQyJnN9c9Gi20rY-XUNnv74CXgYsTOtulkeh7ErwuQ/edit?gid=0" TargetMode="External"/><Relationship Id="rId501" Type="http://schemas.openxmlformats.org/officeDocument/2006/relationships/hyperlink" Target="https://drive.google.com/file/d/1WwLY1lQi2XiSE0OtUotd4iudcZnmUB5t/view?usp=sharing" TargetMode="External"/><Relationship Id="rId500" Type="http://schemas.openxmlformats.org/officeDocument/2006/relationships/hyperlink" Target="https://docs.google.com/spreadsheets/d/1oDBt19xTQkroTxJxCvK_Vmwk6-rxiHzHbXTJSyqdsI0/edit?gid=0" TargetMode="External"/><Relationship Id="rId507" Type="http://schemas.openxmlformats.org/officeDocument/2006/relationships/hyperlink" Target="https://drive.google.com/file/d/1h4VAVdnpYwVJWfv9Am07uX69gQjmocj4/view?usp=sharing" TargetMode="External"/><Relationship Id="rId506" Type="http://schemas.openxmlformats.org/officeDocument/2006/relationships/hyperlink" Target="https://docs.google.com/spreadsheets/d/1UwkU4KZkOgyU86vDIS6HJMp0RlgQWMP8_FMn0SvmH7A/edit?usp=sharing" TargetMode="External"/><Relationship Id="rId505" Type="http://schemas.openxmlformats.org/officeDocument/2006/relationships/hyperlink" Target="https://drive.google.com/file/d/18QObBMdkdbxawOmVcLCnjq1PR6AWIUKE/view?usp=sharing" TargetMode="External"/><Relationship Id="rId504" Type="http://schemas.openxmlformats.org/officeDocument/2006/relationships/hyperlink" Target="https://docs.google.com/spreadsheets/d/1hFi_RPF5nVaNVp47WF-Vl8j5DSr_tVZrTfSQBEDKNkI/edit?gid=0" TargetMode="External"/><Relationship Id="rId48" Type="http://schemas.openxmlformats.org/officeDocument/2006/relationships/hyperlink" Target="https://docs.google.com/spreadsheets/d/1kGCh10Gr0orzZkbFLya7e4tGBJOFSS4EO-NNnNfA5Fs/edit?gid=0" TargetMode="External"/><Relationship Id="rId47" Type="http://schemas.openxmlformats.org/officeDocument/2006/relationships/hyperlink" Target="https://drive.google.com/file/d/15II6pN8lLiJghCcshC2bnO6ky1nJkwg1/view?usp=sharing" TargetMode="External"/><Relationship Id="rId49" Type="http://schemas.openxmlformats.org/officeDocument/2006/relationships/hyperlink" Target="https://drive.google.com/file/d/1_UHuH37ATrm911Ohx4aL_9Z3m--yiXpV/view?usp=sharing" TargetMode="External"/><Relationship Id="rId31" Type="http://schemas.openxmlformats.org/officeDocument/2006/relationships/hyperlink" Target="https://docs.google.com/spreadsheets/d/110ICbz3sGTtgslgaI3Mmio00T5gXG-Gs6WI5p-t9_gs/edit?gid=0" TargetMode="External"/><Relationship Id="rId30" Type="http://schemas.openxmlformats.org/officeDocument/2006/relationships/hyperlink" Target="https://drive.google.com/file/d/1YH9h9tbwIk3ZRor_6eb1LK55_rFPY5cG/view?usp=sharing" TargetMode="External"/><Relationship Id="rId33" Type="http://schemas.openxmlformats.org/officeDocument/2006/relationships/hyperlink" Target="https://docs.google.com/spreadsheets/d/12howtZtT_pI1VQGH_-BCBPzCxTU45UsMJ6oWP9oMDLI/edit?usp=sharing" TargetMode="External"/><Relationship Id="rId32" Type="http://schemas.openxmlformats.org/officeDocument/2006/relationships/hyperlink" Target="https://drive.google.com/file/d/1_UHuH37ATrm911Ohx4aL_9Z3m--yiXpV/view?usp=sharing" TargetMode="External"/><Relationship Id="rId35" Type="http://schemas.openxmlformats.org/officeDocument/2006/relationships/hyperlink" Target="https://docs.google.com/spreadsheets/d/1RK4Vm2FdW-k9dyt7z-dW9T6EODO2c1Kg71LvNVu03BA/edit?gid=0" TargetMode="External"/><Relationship Id="rId34" Type="http://schemas.openxmlformats.org/officeDocument/2006/relationships/hyperlink" Target="https://drive.google.com/file/d/1YH9h9tbwIk3ZRor_6eb1LK55_rFPY5cG/view?usp=sharing" TargetMode="External"/><Relationship Id="rId37" Type="http://schemas.openxmlformats.org/officeDocument/2006/relationships/hyperlink" Target="https://docs.google.com/spreadsheets/d/1YKMJtiFFYRV4jPUvKtJl6ve5-OwumtaRpfhw4NgubpE/edit?gid=0" TargetMode="External"/><Relationship Id="rId36" Type="http://schemas.openxmlformats.org/officeDocument/2006/relationships/hyperlink" Target="https://drive.google.com/file/d/1YH9h9tbwIk3ZRor_6eb1LK55_rFPY5cG/view?usp=sharing" TargetMode="External"/><Relationship Id="rId39" Type="http://schemas.openxmlformats.org/officeDocument/2006/relationships/hyperlink" Target="https://docs.google.com/spreadsheets/d/1Jr0qnYROaDfdrtgGo_msslZ9WoLFHb1C2YHEMnZsVNs/edit?gid=0" TargetMode="External"/><Relationship Id="rId38" Type="http://schemas.openxmlformats.org/officeDocument/2006/relationships/hyperlink" Target="https://drive.google.com/file/d/15II6pN8lLiJghCcshC2bnO6ky1nJkwg1/view?usp=sharing" TargetMode="External"/><Relationship Id="rId20" Type="http://schemas.openxmlformats.org/officeDocument/2006/relationships/hyperlink" Target="https://www.maqcenter.pe/product/vaso-diamantado-para-concreto-segmentado-125-x-22-23mm-bosch-2608-601-762" TargetMode="External"/><Relationship Id="rId22" Type="http://schemas.openxmlformats.org/officeDocument/2006/relationships/hyperlink" Target="https://drive.google.com/file/d/1gVHd7eSNvjmDXUMFxdFWQy6anW_O3NP3/view?usp=sharing" TargetMode="External"/><Relationship Id="rId21" Type="http://schemas.openxmlformats.org/officeDocument/2006/relationships/hyperlink" Target="https://drive.google.com/file/d/1V2qh049uZB1V53EYh7eIWzBpKuZA9Hec/view?usp=sharing" TargetMode="External"/><Relationship Id="rId24" Type="http://schemas.openxmlformats.org/officeDocument/2006/relationships/hyperlink" Target="https://drive.google.com/file/d/1h4VAVdnpYwVJWfv9Am07uX69gQjmocj4/view?usp=sharing" TargetMode="External"/><Relationship Id="rId23" Type="http://schemas.openxmlformats.org/officeDocument/2006/relationships/hyperlink" Target="https://docs.google.com/spreadsheets/d/1RiCznaCWV2imaHYoFRbnWaljJmcEviZCrGM14Wg1dLA/edit?gid=0" TargetMode="External"/><Relationship Id="rId409" Type="http://schemas.openxmlformats.org/officeDocument/2006/relationships/hyperlink" Target="https://drive.google.com/file/d/1gVHd7eSNvjmDXUMFxdFWQy6anW_O3NP3/view?usp=sharing" TargetMode="External"/><Relationship Id="rId404" Type="http://schemas.openxmlformats.org/officeDocument/2006/relationships/hyperlink" Target="https://drive.google.com/file/d/15II6pN8lLiJghCcshC2bnO6ky1nJkwg1/view?usp=sharing" TargetMode="External"/><Relationship Id="rId525" Type="http://schemas.openxmlformats.org/officeDocument/2006/relationships/hyperlink" Target="https://www.amazon.es/BGS-8986-brocas-Juego-piezas/dp/B01FQPLODU?th=1" TargetMode="External"/><Relationship Id="rId403" Type="http://schemas.openxmlformats.org/officeDocument/2006/relationships/hyperlink" Target="https://docs.google.com/spreadsheets/d/10GaARf48-ux6sgQ5sVxElF_HNUe0gW9I0oEJPfTlVik/edit?gid=0" TargetMode="External"/><Relationship Id="rId524" Type="http://schemas.openxmlformats.org/officeDocument/2006/relationships/hyperlink" Target="https://www.aslak.es/herramientas-electricas/748182500-jgo-brocas-titanio-mwbt25-25piezas-jgo-brocas-titanio-25-piezas.html" TargetMode="External"/><Relationship Id="rId402" Type="http://schemas.openxmlformats.org/officeDocument/2006/relationships/hyperlink" Target="https://drive.google.com/file/d/15II6pN8lLiJghCcshC2bnO6ky1nJkwg1/view?usp=sharing" TargetMode="External"/><Relationship Id="rId523" Type="http://schemas.openxmlformats.org/officeDocument/2006/relationships/hyperlink" Target="https://rodavigo.net/es/p/broca-en-espiral-para-madera-estandar-diametro-16-mm-longitud-de-trabajo-105-mm-ref-bosch-2-608-596-313/5282608596313" TargetMode="External"/><Relationship Id="rId401" Type="http://schemas.openxmlformats.org/officeDocument/2006/relationships/hyperlink" Target="https://docs.google.com/spreadsheets/d/1l-2GiAAhBg1VwfbTktkzhyJcLt5GOogTwK1p9JywEDA/edit" TargetMode="External"/><Relationship Id="rId522" Type="http://schemas.openxmlformats.org/officeDocument/2006/relationships/hyperlink" Target="https://rodavigo.net/es/p/broca-en-espiral-para-madera-estandar-diametro-15-mm-longitud-de-trabajo-100-mm-ref-bosch-2-608-596-312/5282608596312" TargetMode="External"/><Relationship Id="rId408" Type="http://schemas.openxmlformats.org/officeDocument/2006/relationships/hyperlink" Target="https://docs.google.com/spreadsheets/d/11qQWTXXeSqQGZd1-7cQD0SmewKaSFoi3bPOL2-I6RmU/edit?gid=0" TargetMode="External"/><Relationship Id="rId529" Type="http://schemas.openxmlformats.org/officeDocument/2006/relationships/hyperlink" Target="https://www.maquinasyherramientasonline.com/set-de-brocas-mortajadora-holzmann-ll6tlgl-2/" TargetMode="External"/><Relationship Id="rId407" Type="http://schemas.openxmlformats.org/officeDocument/2006/relationships/hyperlink" Target="https://drive.google.com/file/d/1h4VAVdnpYwVJWfv9Am07uX69gQjmocj4/view?usp=sharing" TargetMode="External"/><Relationship Id="rId528" Type="http://schemas.openxmlformats.org/officeDocument/2006/relationships/hyperlink" Target="https://docs.google.com/spreadsheets/d/1Tl-pDOaJauhUrD0i3nabPgoNBjwR3V4PWg6CeXXd5Pk/edit?gid=0" TargetMode="External"/><Relationship Id="rId406" Type="http://schemas.openxmlformats.org/officeDocument/2006/relationships/hyperlink" Target="https://www.promart.pe/pack-de-pilas-duracell-aaa-x8/p?srsltid=AfmBOor0nzbZsCUxDN5nwSg3oCXYZcv1uXPSrLDHppTIwLIOIkA2kCZk" TargetMode="External"/><Relationship Id="rId527" Type="http://schemas.openxmlformats.org/officeDocument/2006/relationships/hyperlink" Target="https://drive.google.com/file/d/1WwLY1lQi2XiSE0OtUotd4iudcZnmUB5t/view?usp=sharing" TargetMode="External"/><Relationship Id="rId405" Type="http://schemas.openxmlformats.org/officeDocument/2006/relationships/hyperlink" Target="https://docs.google.com/spreadsheets/d/1NcRZFytI_l8DepKiDi6OQcOST4j8w1gd/edit?rtpof=true" TargetMode="External"/><Relationship Id="rId526" Type="http://schemas.openxmlformats.org/officeDocument/2006/relationships/hyperlink" Target="https://www.amazon.es/BGS-8986-brocas-Juego-piezas/dp/B01FQPLQQA?th=1" TargetMode="External"/><Relationship Id="rId26" Type="http://schemas.openxmlformats.org/officeDocument/2006/relationships/hyperlink" Target="https://drive.google.com/file/d/1gVHd7eSNvjmDXUMFxdFWQy6anW_O3NP3/view?usp=sharing" TargetMode="External"/><Relationship Id="rId25" Type="http://schemas.openxmlformats.org/officeDocument/2006/relationships/hyperlink" Target="https://docs.google.com/spreadsheets/d/1rR1Wr0qbWnO-i-a5Y8rcYRYwtp5gty4rhyJwv1XsXgs/edit?usp=sharing" TargetMode="External"/><Relationship Id="rId28" Type="http://schemas.openxmlformats.org/officeDocument/2006/relationships/hyperlink" Target="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 TargetMode="External"/><Relationship Id="rId27" Type="http://schemas.openxmlformats.org/officeDocument/2006/relationships/hyperlink" Target="https://docs.google.com/spreadsheets/d/1Fj4_8cqMtLcNnkm8juFnu7koNOLvGWtUF3TgOQMZqgM/edit?gid=0" TargetMode="External"/><Relationship Id="rId400" Type="http://schemas.openxmlformats.org/officeDocument/2006/relationships/hyperlink" Target="https://drive.google.com/file/d/1YH9h9tbwIk3ZRor_6eb1LK55_rFPY5cG/view?usp=sharing" TargetMode="External"/><Relationship Id="rId521" Type="http://schemas.openxmlformats.org/officeDocument/2006/relationships/hyperlink" Target="https://rodavigo.net/es/p/broca-en-espiral-para-madera-estandar-diametro-14-mm-longitud-de-trabajo-95-mm-ref-bosch-2-608-596-311/5282608596311" TargetMode="External"/><Relationship Id="rId29" Type="http://schemas.openxmlformats.org/officeDocument/2006/relationships/hyperlink" Target="https://www.pe.tiendaboschonline.com/kit-de-puntas-para-atornillar-bosch-con-32-unidades/p" TargetMode="External"/><Relationship Id="rId520" Type="http://schemas.openxmlformats.org/officeDocument/2006/relationships/hyperlink" Target="https://www.amazon.com/1mm-10mm-Titanium-High-Speed-Woodworking-Engraving/dp/B0B2DNZ5CQ?th=1" TargetMode="External"/><Relationship Id="rId11" Type="http://schemas.openxmlformats.org/officeDocument/2006/relationships/hyperlink" Target="https://docs.google.com/spreadsheets/d/1OLnsLd81vPZWpxz-hHDh89_xjj0o5pBmjdwrnMZsbsE/edit?gid=0" TargetMode="External"/><Relationship Id="rId10" Type="http://schemas.openxmlformats.org/officeDocument/2006/relationships/hyperlink" Target="https://drive.google.com/file/d/1_UHuH37ATrm911Ohx4aL_9Z3m--yiXpV/view?usp=sharing" TargetMode="External"/><Relationship Id="rId13" Type="http://schemas.openxmlformats.org/officeDocument/2006/relationships/hyperlink" Target="https://docs.google.com/spreadsheets/d/1zHhizNJ4I1tihEGDsQNvFdGc_JKeM5rGo_QTVJdhrJ8/edit?gid=0" TargetMode="External"/><Relationship Id="rId12" Type="http://schemas.openxmlformats.org/officeDocument/2006/relationships/hyperlink" Target="https://drive.google.com/file/d/1YH9h9tbwIk3ZRor_6eb1LK55_rFPY5cG/view?usp=sharing" TargetMode="External"/><Relationship Id="rId519" Type="http://schemas.openxmlformats.org/officeDocument/2006/relationships/hyperlink" Target="https://www.amazon.com/-/es/diapositiva-cruzada-tornillo-compuesto-pulgadas/dp/B00L5RZ6MO/ref=sr_1_6+" TargetMode="External"/><Relationship Id="rId514" Type="http://schemas.openxmlformats.org/officeDocument/2006/relationships/hyperlink" Target="https://www.aslak.es/herramientas-electricas/748182500-jgo-brocas-titanio-mwbt25-25piezas-jgo-brocas-titanio-25-piezas.html" TargetMode="External"/><Relationship Id="rId513" Type="http://schemas.openxmlformats.org/officeDocument/2006/relationships/hyperlink" Target="https://www.amazon.com/-/es/diapositiva-cruzada-tornillo-compuesto-pulgadas/dp/B00L5RZ6MO/ref=sr_1_6+" TargetMode="External"/><Relationship Id="rId512" Type="http://schemas.openxmlformats.org/officeDocument/2006/relationships/hyperlink" Target="https://docs.google.com/spreadsheets/d/1DGbTzEnz7FZ7V56nDdAB1kkMYGft3GAXoZ_aonTnubs/edit?usp=sharing" TargetMode="External"/><Relationship Id="rId511" Type="http://schemas.openxmlformats.org/officeDocument/2006/relationships/hyperlink" Target="https://drive.google.com/file/d/1h4VAVdnpYwVJWfv9Am07uX69gQjmocj4/view?usp=sharing" TargetMode="External"/><Relationship Id="rId518" Type="http://schemas.openxmlformats.org/officeDocument/2006/relationships/hyperlink" Target="https://docs.google.com/spreadsheets/d/1StfIaKVXAPd1hwEFnwuWPIghXkBSZKCBdhIL2gjh5fI/edit?gid=0" TargetMode="External"/><Relationship Id="rId517" Type="http://schemas.openxmlformats.org/officeDocument/2006/relationships/hyperlink" Target="https://drive.google.com/file/d/1WwLY1lQi2XiSE0OtUotd4iudcZnmUB5t/view?usp=sharing" TargetMode="External"/><Relationship Id="rId516" Type="http://schemas.openxmlformats.org/officeDocument/2006/relationships/hyperlink" Target="https://www.amazon.es/BGS-8986-brocas-Juego-piezas/dp/B01FQPLQQA?th=1" TargetMode="External"/><Relationship Id="rId515" Type="http://schemas.openxmlformats.org/officeDocument/2006/relationships/hyperlink" Target="https://www.amazon.es/BGS-8986-brocas-Juego-piezas/dp/B01FQPLODU?th=1" TargetMode="External"/><Relationship Id="rId15" Type="http://schemas.openxmlformats.org/officeDocument/2006/relationships/hyperlink" Target="https://docs.google.com/spreadsheets/d/1rSbeJvlBLZFNPVhqd1QdhPpyNDWD0FAVp_LJ9qSexHA/edit?gid=0" TargetMode="External"/><Relationship Id="rId14" Type="http://schemas.openxmlformats.org/officeDocument/2006/relationships/hyperlink" Target="https://drive.google.com/file/d/1YH9h9tbwIk3ZRor_6eb1LK55_rFPY5cG/view?usp=sharing" TargetMode="External"/><Relationship Id="rId17" Type="http://schemas.openxmlformats.org/officeDocument/2006/relationships/hyperlink" Target="https://docs.google.com/spreadsheets/d/1ulHYdg8WdS2E6DO0UijGlOnrFIo_W1v7Ji_BesOoqW0/edit?usp=sharing" TargetMode="External"/><Relationship Id="rId16" Type="http://schemas.openxmlformats.org/officeDocument/2006/relationships/hyperlink" Target="https://drive.google.com/file/d/18QObBMdkdbxawOmVcLCnjq1PR6AWIUKE/view?usp=sharing" TargetMode="External"/><Relationship Id="rId19" Type="http://schemas.openxmlformats.org/officeDocument/2006/relationships/hyperlink" Target="https://docs.google.com/spreadsheets/d/1dQwrcyH3_xRlbUtgwIn3J_O6xRva3gVIS1ayVVIhiDc/edit?gid=0" TargetMode="External"/><Relationship Id="rId510" Type="http://schemas.openxmlformats.org/officeDocument/2006/relationships/hyperlink" Target="https://docs.google.com/spreadsheets/d/1BPsyvyQG_9gPsw9LsZLkZZChGoOkCa1JJZuKnCHYS3I/edit?gid=0" TargetMode="External"/><Relationship Id="rId18" Type="http://schemas.openxmlformats.org/officeDocument/2006/relationships/hyperlink" Target="https://drive.google.com/file/d/1h4VAVdnpYwVJWfv9Am07uX69gQjmocj4/view?usp=sharing" TargetMode="External"/><Relationship Id="rId84" Type="http://schemas.openxmlformats.org/officeDocument/2006/relationships/hyperlink" Target="https://ferrincorp.com.pe/product/manguera-para-compresor-de-pvc-5m-x-3-8/?srsltid=AfmBOoqOY2kOoUZO8r9b35MqpiD0xfxr-eyU5Lif4Q-qfUfLWgutPb9C" TargetMode="External"/><Relationship Id="rId83" Type="http://schemas.openxmlformats.org/officeDocument/2006/relationships/hyperlink" Target="https://sodimac.falabella.com.pe/sodimac-pe/product/113087428/Manguera-de-Aire-1-4-5m-Lago/113087433" TargetMode="External"/><Relationship Id="rId86" Type="http://schemas.openxmlformats.org/officeDocument/2006/relationships/hyperlink" Target="https://docs.google.com/spreadsheets/d/1zgwxVNSfcTMlLBgGxW-ygU17Gy-_MQjBTyKYzJApdAo/edit?usp=sharing" TargetMode="External"/><Relationship Id="rId85" Type="http://schemas.openxmlformats.org/officeDocument/2006/relationships/hyperlink" Target="https://drive.google.com/file/d/1h4VAVdnpYwVJWfv9Am07uX69gQjmocj4/view?usp=sharing" TargetMode="External"/><Relationship Id="rId88" Type="http://schemas.openxmlformats.org/officeDocument/2006/relationships/hyperlink" Target="https://docs.google.com/spreadsheets/d/1AzguIFUeXU7yb6Qg95d0liPFKRLbu2mFDLCN_iGKtJ4/edit?usp=sharing" TargetMode="External"/><Relationship Id="rId87" Type="http://schemas.openxmlformats.org/officeDocument/2006/relationships/hyperlink" Target="https://drive.google.com/file/d/1_UHuH37ATrm911Ohx4aL_9Z3m--yiXpV/view?usp=sharing" TargetMode="External"/><Relationship Id="rId89" Type="http://schemas.openxmlformats.org/officeDocument/2006/relationships/hyperlink" Target="https://drive.google.com/file/d/1YH9h9tbwIk3ZRor_6eb1LK55_rFPY5cG/view?usp=sharing" TargetMode="External"/><Relationship Id="rId80" Type="http://schemas.openxmlformats.org/officeDocument/2006/relationships/hyperlink" Target="https://drive.google.com/file/d/1h4VAVdnpYwVJWfv9Am07uX69gQjmocj4/view?usp=sharing" TargetMode="External"/><Relationship Id="rId82" Type="http://schemas.openxmlformats.org/officeDocument/2006/relationships/hyperlink" Target="https://docs.google.com/spreadsheets/d/19YosAmj_OvIfChEVT_fA37lQeHG-KBhIfS2SV-mx4F8/edit?gid=0" TargetMode="External"/><Relationship Id="rId81" Type="http://schemas.openxmlformats.org/officeDocument/2006/relationships/hyperlink" Target="https://docs.google.com/spreadsheets/d/19YosAmj_OvIfChEVT_fA37lQeHG-KBhIfS2SV-mx4F8/edit?usp=sharing" TargetMode="External"/><Relationship Id="rId73" Type="http://schemas.openxmlformats.org/officeDocument/2006/relationships/hyperlink" Target="https://docs.google.com/spreadsheets/d/1yT1NrtyDkiCkPgwi74d9rJX5qONlyxS9brzdQPOZCv8/edit?gid=1163844916" TargetMode="External"/><Relationship Id="rId72" Type="http://schemas.openxmlformats.org/officeDocument/2006/relationships/hyperlink" Target="https://drive.google.com/file/d/1WwLY1lQi2XiSE0OtUotd4iudcZnmUB5t/view?usp=sharing" TargetMode="External"/><Relationship Id="rId75" Type="http://schemas.openxmlformats.org/officeDocument/2006/relationships/hyperlink" Target="https://cahema.pe/filtro/16133-filtro-y-regulador-de-aire-14-npt-truper-19238-7501206628607.html" TargetMode="External"/><Relationship Id="rId74" Type="http://schemas.openxmlformats.org/officeDocument/2006/relationships/hyperlink" Target="https://cahema.pe/filtro/16133-filtro-y-regulador-de-aire-14-npt-truper-19238-7501206628607.html" TargetMode="External"/><Relationship Id="rId77" Type="http://schemas.openxmlformats.org/officeDocument/2006/relationships/hyperlink" Target="https://cahema.pe/juego-de-accesorios/8237-kit-accesorios-compresor-aire-14-14-pzas-tc2029-toolcraft-7501892804026.html" TargetMode="External"/><Relationship Id="rId76" Type="http://schemas.openxmlformats.org/officeDocument/2006/relationships/hyperlink" Target="https://cahema.pe/juego-de-accesorios/8237-kit-accesorios-compresor-aire-14-14-pzas-tc2029-toolcraft-7501892804026.html" TargetMode="External"/><Relationship Id="rId79" Type="http://schemas.openxmlformats.org/officeDocument/2006/relationships/hyperlink" Target="https://docs.google.com/spreadsheets/d/1bzXNKWA9noZMAje9SbzcF3kwW1jaNQdFqLbZVbjNoWQ/edit?gid=0" TargetMode="External"/><Relationship Id="rId78" Type="http://schemas.openxmlformats.org/officeDocument/2006/relationships/hyperlink" Target="https://drive.google.com/file/d/18QObBMdkdbxawOmVcLCnjq1PR6AWIUKE/view?usp=sharing" TargetMode="External"/><Relationship Id="rId71" Type="http://schemas.openxmlformats.org/officeDocument/2006/relationships/hyperlink" Target="https://docs.google.com/spreadsheets/d/1BR_LNKTCoHZ4ucTdZjKd36DMOAo_XvEQNXqhL8YkwhY/edit?gid=0" TargetMode="External"/><Relationship Id="rId70" Type="http://schemas.openxmlformats.org/officeDocument/2006/relationships/hyperlink" Target="https://drive.google.com/file/d/1YH9h9tbwIk3ZRor_6eb1LK55_rFPY5cG/view?usp=sharing" TargetMode="External"/><Relationship Id="rId62" Type="http://schemas.openxmlformats.org/officeDocument/2006/relationships/hyperlink" Target="https://drive.google.com/file/d/18QObBMdkdbxawOmVcLCnjq1PR6AWIUKE/view?usp=sharing" TargetMode="External"/><Relationship Id="rId61" Type="http://schemas.openxmlformats.org/officeDocument/2006/relationships/hyperlink" Target="https://westor.pe/limpiador-de-puntas-de-cautin-zd-10w-2-takema/" TargetMode="External"/><Relationship Id="rId64" Type="http://schemas.openxmlformats.org/officeDocument/2006/relationships/hyperlink" Target="https://drive.google.com/file/d/1YH9h9tbwIk3ZRor_6eb1LK55_rFPY5cG/view?usp=sharing" TargetMode="External"/><Relationship Id="rId63" Type="http://schemas.openxmlformats.org/officeDocument/2006/relationships/hyperlink" Target="https://docs.google.com/spreadsheets/d/1fOtKgMuqQ0yIBXGyg7Lt_pWgfDR_9BWs_LyicILEMs0/edit?usp=sharing" TargetMode="External"/><Relationship Id="rId66" Type="http://schemas.openxmlformats.org/officeDocument/2006/relationships/hyperlink" Target="https://drive.google.com/file/d/1_UHuH37ATrm911Ohx4aL_9Z3m--yiXpV/view?usp=sharing" TargetMode="External"/><Relationship Id="rId65" Type="http://schemas.openxmlformats.org/officeDocument/2006/relationships/hyperlink" Target="https://docs.google.com/spreadsheets/d/1meF81Scsx2unStuQAx0i7C1rVvW-OOapnXklHl00OVo/edit?gid=0" TargetMode="External"/><Relationship Id="rId68" Type="http://schemas.openxmlformats.org/officeDocument/2006/relationships/hyperlink" Target="https://drive.google.com/file/d/1_UHuH37ATrm911Ohx4aL_9Z3m--yiXpV/view?usp=sharing" TargetMode="External"/><Relationship Id="rId67" Type="http://schemas.openxmlformats.org/officeDocument/2006/relationships/hyperlink" Target="https://docs.google.com/spreadsheets/d/1iL9C5N1CXGp0Dym4_GDv39HxnNizWT0N1x4iuzdMzZE/edit?usp=drive_link" TargetMode="External"/><Relationship Id="rId60" Type="http://schemas.openxmlformats.org/officeDocument/2006/relationships/hyperlink" Target="https://www.mercadolibre.com.pe/limpiador-de-puntas-metalico-para-cautin--takema/up/MPEU2463401498?has_official_store=false&amp;highlight=false&amp;headerTopBrand=false" TargetMode="External"/><Relationship Id="rId69" Type="http://schemas.openxmlformats.org/officeDocument/2006/relationships/hyperlink" Target="https://docs.google.com/spreadsheets/d/1fOWM6iymTwnFTlLYi-PGop6marHbFvJIGzwUVXa7Chc/edit?usp=sharing" TargetMode="External"/><Relationship Id="rId51" Type="http://schemas.openxmlformats.org/officeDocument/2006/relationships/hyperlink" Target="https://drive.google.com/file/d/1gVHd7eSNvjmDXUMFxdFWQy6anW_O3NP3/view?usp=sharing" TargetMode="External"/><Relationship Id="rId50" Type="http://schemas.openxmlformats.org/officeDocument/2006/relationships/hyperlink" Target="https://docs.google.com/spreadsheets/d/19EntQZY0DGTu59P_NUH1WHeeE23ueiwkeD2_jO7HaN4/edit?usp=sharing" TargetMode="External"/><Relationship Id="rId53" Type="http://schemas.openxmlformats.org/officeDocument/2006/relationships/hyperlink" Target="https://drive.google.com/file/d/1h4VAVdnpYwVJWfv9Am07uX69gQjmocj4/view?usp=sharing" TargetMode="External"/><Relationship Id="rId52" Type="http://schemas.openxmlformats.org/officeDocument/2006/relationships/hyperlink" Target="https://docs.google.com/spreadsheets/d/1YauUrUe6NpGWf3mn-Btua1q_HRwiOGLpTUU8XFF-3DQ/edit?gid=0" TargetMode="External"/><Relationship Id="rId55" Type="http://schemas.openxmlformats.org/officeDocument/2006/relationships/hyperlink" Target="https://drive.google.com/file/d/1gVHd7eSNvjmDXUMFxdFWQy6anW_O3NP3/view?usp=sharing" TargetMode="External"/><Relationship Id="rId54" Type="http://schemas.openxmlformats.org/officeDocument/2006/relationships/hyperlink" Target="https://docs.google.com/spreadsheets/d/14jFOqAS2L-JxfKNANXpI_RyAbN3JKl_RDlbZXOHYfDI/edit?usp=sharing" TargetMode="External"/><Relationship Id="rId57" Type="http://schemas.openxmlformats.org/officeDocument/2006/relationships/hyperlink" Target="https://www.promart.pe/cautin-electrico-220v-30w-t-lapicero-madera/p" TargetMode="External"/><Relationship Id="rId56" Type="http://schemas.openxmlformats.org/officeDocument/2006/relationships/hyperlink" Target="https://docs.google.com/spreadsheets/d/1w9-0xGdzedp0VWRcTGqMj8EiUkCx2LjsJ9tRiw5pnTs/edit?gid=0" TargetMode="External"/><Relationship Id="rId59" Type="http://schemas.openxmlformats.org/officeDocument/2006/relationships/hyperlink" Target="https://westor.pe/soporte-para-cautin-con-base-y-esponja-zd-10c-takema/" TargetMode="External"/><Relationship Id="rId58" Type="http://schemas.openxmlformats.org/officeDocument/2006/relationships/hyperlink" Target="https://www.promart.pe/soporte-de-cautin-metal-pesado/p?gad_source=1&amp;gad_campaignid=22932501259&amp;gbraid=0AAAAADJIfAJgSvKabG2GnPwrq3k6Yqddv&amp;gclid=CjwKCAjw6P3GBhBVEiwAJPjmLvm3ljkm0SxQnmi1tkLz487IL7dbrcUNBI-gC94vkstPyfZ7CNI2shoCEQQQAvD_BwE" TargetMode="External"/><Relationship Id="rId107" Type="http://schemas.openxmlformats.org/officeDocument/2006/relationships/hyperlink" Target="https://docs.google.com/spreadsheets/d/11OrSQrv7LRILBN55eXPl9H1G2AyuziqjEPKDkL8fChE/edit?gid=0" TargetMode="External"/><Relationship Id="rId228" Type="http://schemas.openxmlformats.org/officeDocument/2006/relationships/hyperlink" Target="https://docs.google.com/spreadsheets/d/1hKGcDdSJ6fVR6uPpfSJlpxHcoix3lhj1ok466xFPhCM/edit?gid=0" TargetMode="External"/><Relationship Id="rId349" Type="http://schemas.openxmlformats.org/officeDocument/2006/relationships/hyperlink" Target="https://docs.google.com/spreadsheets/d/1T-cPYAyMILKluUBUAXt3e5GC7ar7O2ILipCoHt-xLKo/edit?gid=0" TargetMode="External"/><Relationship Id="rId106" Type="http://schemas.openxmlformats.org/officeDocument/2006/relationships/hyperlink" Target="https://drive.google.com/file/d/18QObBMdkdbxawOmVcLCnjq1PR6AWIUKE/view?usp=sharing" TargetMode="External"/><Relationship Id="rId227" Type="http://schemas.openxmlformats.org/officeDocument/2006/relationships/hyperlink" Target="https://drive.google.com/file/d/1gVHd7eSNvjmDXUMFxdFWQy6anW_O3NP3/view?usp=sharing" TargetMode="External"/><Relationship Id="rId348" Type="http://schemas.openxmlformats.org/officeDocument/2006/relationships/hyperlink" Target="https://drive.google.com/file/d/1h4VAVdnpYwVJWfv9Am07uX69gQjmocj4/view?usp=sharing" TargetMode="External"/><Relationship Id="rId469" Type="http://schemas.openxmlformats.org/officeDocument/2006/relationships/hyperlink" Target="https://drive.google.com/file/d/1WwLY1lQi2XiSE0OtUotd4iudcZnmUB5t/view?usp=sharing" TargetMode="External"/><Relationship Id="rId105" Type="http://schemas.openxmlformats.org/officeDocument/2006/relationships/hyperlink" Target="https://docs.google.com/spreadsheets/d/1i2k0hEV9FxTZJYcqxGVihMEDsOe7IQII-lQfirVjYsg/edit?gid=0" TargetMode="External"/><Relationship Id="rId226" Type="http://schemas.openxmlformats.org/officeDocument/2006/relationships/hyperlink" Target="https://docs.google.com/spreadsheets/d/11RL10plFq2oBB7xg4FQ0pEfhOFUMZgKrqYJXPEg9yPA/edit?gid=0" TargetMode="External"/><Relationship Id="rId347" Type="http://schemas.openxmlformats.org/officeDocument/2006/relationships/hyperlink" Target="https://docs.google.com/spreadsheets/d/1y1BvG10kD5fp3N-e7PiZBwVbve6Cl7fbuuGcVkMyQSg/edit?gid=0" TargetMode="External"/><Relationship Id="rId468" Type="http://schemas.openxmlformats.org/officeDocument/2006/relationships/hyperlink" Target="https://docs.google.com/spreadsheets/d/1hapPkUKvJfd_dJ10XD05UlAY1y-aFISR/edit?gid=133262527" TargetMode="External"/><Relationship Id="rId104" Type="http://schemas.openxmlformats.org/officeDocument/2006/relationships/hyperlink" Target="https://drive.google.com/file/d/1WwLY1lQi2XiSE0OtUotd4iudcZnmUB5t/view?usp=sharing" TargetMode="External"/><Relationship Id="rId225" Type="http://schemas.openxmlformats.org/officeDocument/2006/relationships/hyperlink" Target="https://drive.google.com/file/d/1gVHd7eSNvjmDXUMFxdFWQy6anW_O3NP3/view?usp=sharing" TargetMode="External"/><Relationship Id="rId346" Type="http://schemas.openxmlformats.org/officeDocument/2006/relationships/hyperlink" Target="https://drive.google.com/file/d/1h4VAVdnpYwVJWfv9Am07uX69gQjmocj4/view?usp=sharing" TargetMode="External"/><Relationship Id="rId467" Type="http://schemas.openxmlformats.org/officeDocument/2006/relationships/hyperlink" Target="https://drive.google.com/file/d/1_UHuH37ATrm911Ohx4aL_9Z3m--yiXpV/view?usp=sharing" TargetMode="External"/><Relationship Id="rId109" Type="http://schemas.openxmlformats.org/officeDocument/2006/relationships/hyperlink" Target="https://docs.google.com/spreadsheets/d/1amKcdpqfSkxy1z6PQeWJEDOA2gSLOJAKOKizgW-XXeA/edit?gid=0" TargetMode="External"/><Relationship Id="rId108" Type="http://schemas.openxmlformats.org/officeDocument/2006/relationships/hyperlink" Target="https://drive.google.com/file/d/18QObBMdkdbxawOmVcLCnjq1PR6AWIUKE/view?usp=sharing" TargetMode="External"/><Relationship Id="rId229" Type="http://schemas.openxmlformats.org/officeDocument/2006/relationships/hyperlink" Target="https://www.amazon.com/-/es/electr%C3%B3nicos-emulador-microcontrolador-depurador-programador/dp/B07PHPBP3Y/ref=sr_1_2?__mk_es_US=%C3%85M%C3%85%C5%BD%C3%95%C3%91&amp;crid=1QRY4Z5ZO01WF&amp;dib=eyJ2IjoiMSJ9.QfE1iJGaNvy4c7JeyjBlJhzc0aQmtkt6pZL7Nu-lNTSlNIdRy2fQbYOUpnUphAGQrbVR5W8tUIVCA-38S-3Epy85bu02iTMUpZIGQbh-Ua2NAWfDANPirahfE1hRD2GgknMl_4nyzBZVTr8NjMQ90CNBX1pffxm7G5dmoP_jLVz4WgmOSzA11VQC34vfFtQm5P7DoUQrkVkasSR9o0GwJZtp4a39D0Mpzy_VGxcVENwNsdgE9pvL-VCkJ3f8OsDABtDjXAfcp-jdSXUvWVzmZzokM7RrC9vnGmUiyrUItqQeK9s8hMTWqqfX1s_SH8eAObUe2fyyzBAIrxDsIt70MR-9dVDoh9NCFgBGjWFMx67aas94HGKj1lMOFLhcHZzQNXTM-t4jZY7SxFJV9izcW-v5DGPvJO4HTTVm1LLLe9ubpzpobZ8I8NRUxI5KAWX3.MFKRL4tymsQX2xLrHayr9gM7AxFmtGdSoehlPLttw8A&amp;dib_tag=se&amp;keywords=DSPIC+MICROCHIP&amp;qid=1743306390&amp;sprefix=dspic+microchip%2Caps%2C144&amp;sr=8-2" TargetMode="External"/><Relationship Id="rId220" Type="http://schemas.openxmlformats.org/officeDocument/2006/relationships/hyperlink" Target="https://drive.google.com/file/d/1gVHd7eSNvjmDXUMFxdFWQy6anW_O3NP3/view?usp=sharing" TargetMode="External"/><Relationship Id="rId341" Type="http://schemas.openxmlformats.org/officeDocument/2006/relationships/hyperlink" Target="https://docs.google.com/spreadsheets/d/1SDis8WKwU4WtpMoAZ4Uo4tmZTak4ILEhG7sh8L3PsQ0/edit?gid=0" TargetMode="External"/><Relationship Id="rId462" Type="http://schemas.openxmlformats.org/officeDocument/2006/relationships/hyperlink" Target="https://docs.google.com/spreadsheets/d/1faSE0BoMxxxbTu5X-xXAaUcZM9LCXwtv9HePXGI7voU/edit" TargetMode="External"/><Relationship Id="rId340" Type="http://schemas.openxmlformats.org/officeDocument/2006/relationships/hyperlink" Target="https://drive.google.com/file/d/1h4VAVdnpYwVJWfv9Am07uX69gQjmocj4/view?usp=sharing" TargetMode="External"/><Relationship Id="rId461" Type="http://schemas.openxmlformats.org/officeDocument/2006/relationships/hyperlink" Target="https://drive.google.com/file/d/1YH9h9tbwIk3ZRor_6eb1LK55_rFPY5cG/view?usp=sharing" TargetMode="External"/><Relationship Id="rId460" Type="http://schemas.openxmlformats.org/officeDocument/2006/relationships/hyperlink" Target="https://docs.google.com/spreadsheets/d/1l_THbkDa5_0dIdDRo9ATUHVsvIm64vMy/edit?gid=973807555" TargetMode="External"/><Relationship Id="rId103" Type="http://schemas.openxmlformats.org/officeDocument/2006/relationships/hyperlink" Target="https://docs.google.com/spreadsheets/d/1kVQEiUe24qukFLD8WXckLeWuG7Jg3ig5tpQ117Jo7Cs/edit?gid=0" TargetMode="External"/><Relationship Id="rId224" Type="http://schemas.openxmlformats.org/officeDocument/2006/relationships/hyperlink" Target="https://docs.google.com/spreadsheets/d/1DdPkhFzh5rUnrP8C7CrHSETvMG1rKzj1hUKGkhKTtxE/edit?usp=sharing" TargetMode="External"/><Relationship Id="rId345" Type="http://schemas.openxmlformats.org/officeDocument/2006/relationships/hyperlink" Target="https://docs.google.com/spreadsheets/d/1ED2vFA7QDniYLAwTdpFt20c0DE9Y3Fl4toTSrCaBXvs/edit?gid=0" TargetMode="External"/><Relationship Id="rId466" Type="http://schemas.openxmlformats.org/officeDocument/2006/relationships/hyperlink" Target="https://docs.google.com/spreadsheets/d/1qRd5go68M1iUk2aZ89SwBFape6nt_z8-mmW6FXyg5Fg/edit?usp=drive_web&amp;ouid=107785923156938242771" TargetMode="External"/><Relationship Id="rId102" Type="http://schemas.openxmlformats.org/officeDocument/2006/relationships/hyperlink" Target="https://drive.google.com/file/d/1BZ2N5EASu7KqA43xkUocI7QoYhjba-W1/view?usp=sharing" TargetMode="External"/><Relationship Id="rId223" Type="http://schemas.openxmlformats.org/officeDocument/2006/relationships/hyperlink" Target="https://drive.google.com/file/d/15II6pN8lLiJghCcshC2bnO6ky1nJkwg1/view?usp=sharing" TargetMode="External"/><Relationship Id="rId344" Type="http://schemas.openxmlformats.org/officeDocument/2006/relationships/hyperlink" Target="https://drive.google.com/file/d/1h4VAVdnpYwVJWfv9Am07uX69gQjmocj4/view?usp=sharing" TargetMode="External"/><Relationship Id="rId465" Type="http://schemas.openxmlformats.org/officeDocument/2006/relationships/hyperlink" Target="https://drive.google.com/file/d/1YH9h9tbwIk3ZRor_6eb1LK55_rFPY5cG/view?usp=sharing" TargetMode="External"/><Relationship Id="rId101" Type="http://schemas.openxmlformats.org/officeDocument/2006/relationships/hyperlink" Target="https://docs.google.com/spreadsheets/d/165FdqlEGX_DLQq2OqzHShu87hvwb1f-19FeKpThMbEk/edit?gid=0" TargetMode="External"/><Relationship Id="rId222" Type="http://schemas.openxmlformats.org/officeDocument/2006/relationships/hyperlink" Target="https://docs.google.com/spreadsheets/d/1AO21yVGIkPynE0JpywbF3TpPuI02Tn3nhYFOP-jhTCI/edit?gid=0" TargetMode="External"/><Relationship Id="rId343" Type="http://schemas.openxmlformats.org/officeDocument/2006/relationships/hyperlink" Target="https://docs.google.com/spreadsheets/d/1_aEFXAJ-9VgmKXVIgSV9pRYUm-YxgPoyv3i5-kD4-Gs/edit?gid=0" TargetMode="External"/><Relationship Id="rId464" Type="http://schemas.openxmlformats.org/officeDocument/2006/relationships/hyperlink" Target="https://www.promart.pe/fuente-bandeja-para-horno-de-vidrio-templado-pack-por-3-unidades-1000970586/p?srsltid=AfmBOopmCKfnr4W6p3o_rKqkpS8WJXbh1PWZ2B6MiOqTZY0Xzr4ksQ8V" TargetMode="External"/><Relationship Id="rId100" Type="http://schemas.openxmlformats.org/officeDocument/2006/relationships/hyperlink" Target="https://drive.google.com/file/d/1WwLY1lQi2XiSE0OtUotd4iudcZnmUB5t/view?usp=sharing" TargetMode="External"/><Relationship Id="rId221" Type="http://schemas.openxmlformats.org/officeDocument/2006/relationships/hyperlink" Target="https://docs.google.com/spreadsheets/d/14mcK60cCPJGDC3ljhqwMzNI5JTRpBEqe0sN6pZD3Zhg/edit?usp=drive_link" TargetMode="External"/><Relationship Id="rId342" Type="http://schemas.openxmlformats.org/officeDocument/2006/relationships/hyperlink" Target="https://drive.google.com/file/d/1h4VAVdnpYwVJWfv9Am07uX69gQjmocj4/view?usp=sharing" TargetMode="External"/><Relationship Id="rId463" Type="http://schemas.openxmlformats.org/officeDocument/2006/relationships/hyperlink" Target="https://www.promart.pe/fuente-bandeja-para-horno-de-vidrio-templado-pack-por-3-unidades-1000970586/p?srsltid=AfmBOopmCKfnr4W6p3o_rKqkpS8WJXbh1PWZ2B6MiOqTZY0Xzr4ksQ8V" TargetMode="External"/><Relationship Id="rId217" Type="http://schemas.openxmlformats.org/officeDocument/2006/relationships/hyperlink" Target="https://www.teslaelectronic.com.pe/producto/programador-de-pic-k150-icsp-con-adaptador-universal/?srsltid=AfmBOorbMijO9wM7laybIwp7fgqP-_gcuUJNuaj2ZCPKsrOazCaVHVP6" TargetMode="External"/><Relationship Id="rId338" Type="http://schemas.openxmlformats.org/officeDocument/2006/relationships/hyperlink" Target="https://drive.google.com/file/d/1h4VAVdnpYwVJWfv9Am07uX69gQjmocj4/view?usp=sharing" TargetMode="External"/><Relationship Id="rId459" Type="http://schemas.openxmlformats.org/officeDocument/2006/relationships/hyperlink" Target="https://drive.google.com/file/d/1_UHuH37ATrm911Ohx4aL_9Z3m--yiXpV/view?usp=sharing" TargetMode="External"/><Relationship Id="rId216" Type="http://schemas.openxmlformats.org/officeDocument/2006/relationships/hyperlink" Target="https://www.teslaelectronic.com.pe/producto/programador-de-pic-k150-icsp-con-adaptador-universal/?srsltid=AfmBOorbMijO9wM7laybIwp7fgqP-_gcuUJNuaj2ZCPKsrOazCaVHVP6" TargetMode="External"/><Relationship Id="rId337" Type="http://schemas.openxmlformats.org/officeDocument/2006/relationships/hyperlink" Target="https://docs.google.com/spreadsheets/d/1DkxRd4--HiX1RNey5s9grE5NHVdSw4laVrpWN_m7pYM/edit?gid=0" TargetMode="External"/><Relationship Id="rId458" Type="http://schemas.openxmlformats.org/officeDocument/2006/relationships/hyperlink" Target="https://docs.google.com/spreadsheets/d/1sLoBLM_UJOtNvjpbD9VvbrPKrufAgJuNCkrmUa62qKk/edit?gid=0" TargetMode="External"/><Relationship Id="rId215" Type="http://schemas.openxmlformats.org/officeDocument/2006/relationships/hyperlink" Target="https://docs.google.com/spreadsheets/d/1595hxBu2V8Y-P6IsABQdsGHx3ZaHCnkYfA5hZ2kDemU/edit?gid=0" TargetMode="External"/><Relationship Id="rId336" Type="http://schemas.openxmlformats.org/officeDocument/2006/relationships/hyperlink" Target="https://drive.google.com/file/d/1h4VAVdnpYwVJWfv9Am07uX69gQjmocj4/view?usp=sharing" TargetMode="External"/><Relationship Id="rId457" Type="http://schemas.openxmlformats.org/officeDocument/2006/relationships/hyperlink" Target="https://drive.google.com/file/d/1YH9h9tbwIk3ZRor_6eb1LK55_rFPY5cG/view?usp=sharing" TargetMode="External"/><Relationship Id="rId214" Type="http://schemas.openxmlformats.org/officeDocument/2006/relationships/hyperlink" Target="https://drive.google.com/file/d/1gVHd7eSNvjmDXUMFxdFWQy6anW_O3NP3/view?usp=sharing" TargetMode="External"/><Relationship Id="rId335" Type="http://schemas.openxmlformats.org/officeDocument/2006/relationships/hyperlink" Target="https://docs.google.com/spreadsheets/d/1_KjP8jZMwK8-OCYrOiO5eGpnco3q40qn4Y-oGqAyuUw/edit?gid=0" TargetMode="External"/><Relationship Id="rId456" Type="http://schemas.openxmlformats.org/officeDocument/2006/relationships/hyperlink" Target="https://docs.google.com/spreadsheets/d/1bbKmASRRSzZ74w8pQgalKlI2AXcxYfW2qusrnEu6D_o/edit?gid=0" TargetMode="External"/><Relationship Id="rId219" Type="http://schemas.openxmlformats.org/officeDocument/2006/relationships/hyperlink" Target="https://docs.google.com/spreadsheets/d/1ldN0Icb3L1CX8okNprvMejYLdujHyoes-WaX7YRr8rI/edit?usp=sharing" TargetMode="External"/><Relationship Id="rId218" Type="http://schemas.openxmlformats.org/officeDocument/2006/relationships/hyperlink" Target="https://drive.google.com/file/d/15II6pN8lLiJghCcshC2bnO6ky1nJkwg1/view?usp=sharing" TargetMode="External"/><Relationship Id="rId339" Type="http://schemas.openxmlformats.org/officeDocument/2006/relationships/hyperlink" Target="https://docs.google.com/spreadsheets/d/1UoAxUzFyD1QzLnlHwQ5z_nn-RYVXUbe-kai6joIjtkk/edit?gid=0" TargetMode="External"/><Relationship Id="rId330" Type="http://schemas.openxmlformats.org/officeDocument/2006/relationships/hyperlink" Target="https://docs.google.com/spreadsheets/d/1qM3u05yECEotYl9HewP8CAdez4sneWj8iY6Wmai_5M0/edit?gid=0" TargetMode="External"/><Relationship Id="rId451" Type="http://schemas.openxmlformats.org/officeDocument/2006/relationships/hyperlink" Target="https://drive.google.com/file/d/1gVHd7eSNvjmDXUMFxdFWQy6anW_O3NP3/view?usp=sharing" TargetMode="External"/><Relationship Id="rId572" Type="http://schemas.openxmlformats.org/officeDocument/2006/relationships/hyperlink" Target="https://docs.google.com/spreadsheets/d/1kHCZP8I046Vk1IcXQ71qkDS-fG_sp6GNb9pBup2vdaI/edit?gid=0" TargetMode="External"/><Relationship Id="rId450" Type="http://schemas.openxmlformats.org/officeDocument/2006/relationships/hyperlink" Target="https://docs.google.com/spreadsheets/d/14royIbrVWQoSOmokmMnkglCDhuDtvmL09uqgFBar8fI/edit?gid=0" TargetMode="External"/><Relationship Id="rId571" Type="http://schemas.openxmlformats.org/officeDocument/2006/relationships/hyperlink" Target="https://drive.google.com/file/d/1WwLY1lQi2XiSE0OtUotd4iudcZnmUB5t/view?usp=sharing" TargetMode="External"/><Relationship Id="rId570" Type="http://schemas.openxmlformats.org/officeDocument/2006/relationships/hyperlink" Target="https://www.beston.com.pe/product/cargador-de-baterias-beston-hd-488/" TargetMode="External"/><Relationship Id="rId213" Type="http://schemas.openxmlformats.org/officeDocument/2006/relationships/hyperlink" Target="https://docs.google.com/spreadsheets/d/1wcjTb-wCaTQ6DtjBKVW_9ve-vJNTf9_ozQi_tvxtK4o/edit?gid=0" TargetMode="External"/><Relationship Id="rId334" Type="http://schemas.openxmlformats.org/officeDocument/2006/relationships/hyperlink" Target="https://drive.google.com/file/d/1h4VAVdnpYwVJWfv9Am07uX69gQjmocj4/view?usp=sharing" TargetMode="External"/><Relationship Id="rId455" Type="http://schemas.openxmlformats.org/officeDocument/2006/relationships/hyperlink" Target="https://drive.google.com/file/d/1h4VAVdnpYwVJWfv9Am07uX69gQjmocj4/view?usp=sharing" TargetMode="External"/><Relationship Id="rId212" Type="http://schemas.openxmlformats.org/officeDocument/2006/relationships/hyperlink" Target="https://drive.google.com/file/d/1I-M-Ra6pUId8KiuqWqyTcLG-tCLYFcq3/view?usp=sharing" TargetMode="External"/><Relationship Id="rId333" Type="http://schemas.openxmlformats.org/officeDocument/2006/relationships/hyperlink" Target="https://www.se.com/pe/es/product-range/542-zelio-soft/" TargetMode="External"/><Relationship Id="rId454" Type="http://schemas.openxmlformats.org/officeDocument/2006/relationships/hyperlink" Target="https://naylampmechatronics.com/cables/26-cable-para-protoboard.html?utm_source=chatgpt.com" TargetMode="External"/><Relationship Id="rId211" Type="http://schemas.openxmlformats.org/officeDocument/2006/relationships/hyperlink" Target="https://docs.google.com/spreadsheets/d/1DxRE9NyBCVRhW37sk05q6FcCaWoa73pm0HizTeb4mCk/edit?gid=0" TargetMode="External"/><Relationship Id="rId332" Type="http://schemas.openxmlformats.org/officeDocument/2006/relationships/hyperlink" Target="https://docs.google.com/spreadsheets/d/1GwZ3-4BgS7ML72JNw1799kJbiRMpY6lIPV_wSuqUJKY/edit?gid=0" TargetMode="External"/><Relationship Id="rId453" Type="http://schemas.openxmlformats.org/officeDocument/2006/relationships/hyperlink" Target="https://naylampmechatronics.com/cables/449-cable-jumper-dupont-macho-a-macho-10cm-20und.html" TargetMode="External"/><Relationship Id="rId574" Type="http://schemas.openxmlformats.org/officeDocument/2006/relationships/vmlDrawing" Target="../drawings/vmlDrawing1.vml"/><Relationship Id="rId210" Type="http://schemas.openxmlformats.org/officeDocument/2006/relationships/hyperlink" Target="https://drive.google.com/file/d/1YH9h9tbwIk3ZRor_6eb1LK55_rFPY5cG/view?usp=sharing" TargetMode="External"/><Relationship Id="rId331" Type="http://schemas.openxmlformats.org/officeDocument/2006/relationships/hyperlink" Target="https://drive.google.com/file/d/15II6pN8lLiJghCcshC2bnO6ky1nJkwg1/view?usp=sharing" TargetMode="External"/><Relationship Id="rId452" Type="http://schemas.openxmlformats.org/officeDocument/2006/relationships/hyperlink" Target="https://docs.google.com/spreadsheets/d/1L-vNpvl5o8GqCyjpMq-mJzGGPf6noRctyTLMAYP1Jiw/edit?gid=0" TargetMode="External"/><Relationship Id="rId573" Type="http://schemas.openxmlformats.org/officeDocument/2006/relationships/drawing" Target="../drawings/drawing1.xml"/><Relationship Id="rId370" Type="http://schemas.openxmlformats.org/officeDocument/2006/relationships/hyperlink" Target="https://drive.google.com/file/d/15II6pN8lLiJghCcshC2bnO6ky1nJkwg1/view?usp=sharing" TargetMode="External"/><Relationship Id="rId491" Type="http://schemas.openxmlformats.org/officeDocument/2006/relationships/hyperlink" Target="https://www.autonics.com/pe/model/CR30-15DP" TargetMode="External"/><Relationship Id="rId490" Type="http://schemas.openxmlformats.org/officeDocument/2006/relationships/hyperlink" Target="https://www.autonics.com/pe/model/CR30-15DN" TargetMode="External"/><Relationship Id="rId129" Type="http://schemas.openxmlformats.org/officeDocument/2006/relationships/hyperlink" Target="https://docs.google.com/spreadsheets/d/1w0JQ13QaOBteQ3wV58g82CWJ7UEWMomAE2eZSYeetIc/edit?usp=sharing" TargetMode="External"/><Relationship Id="rId128" Type="http://schemas.openxmlformats.org/officeDocument/2006/relationships/hyperlink" Target="https://drive.google.com/file/d/1I-M-Ra6pUId8KiuqWqyTcLG-tCLYFcq3/view?usp=sharing" TargetMode="External"/><Relationship Id="rId249" Type="http://schemas.openxmlformats.org/officeDocument/2006/relationships/hyperlink" Target="https://docs.google.com/spreadsheets/d/1tro2B2Oc1z8gpo3qnjjwP1MuW0mS5Ux3sp-j1lHATCE/edit?gid=1163844916" TargetMode="External"/><Relationship Id="rId127" Type="http://schemas.openxmlformats.org/officeDocument/2006/relationships/hyperlink" Target="https://docs.google.com/spreadsheets/d/12xAnidXq2Fl5xlUnyy5gYGRNUKAIFs40hEv0vBCn9eE/edit?usp=sharing" TargetMode="External"/><Relationship Id="rId248" Type="http://schemas.openxmlformats.org/officeDocument/2006/relationships/hyperlink" Target="https://drive.google.com/file/d/1_UHuH37ATrm911Ohx4aL_9Z3m--yiXpV/view?usp=sharing" TargetMode="External"/><Relationship Id="rId369" Type="http://schemas.openxmlformats.org/officeDocument/2006/relationships/hyperlink" Target="https://docs.google.com/spreadsheets/d/1lqNIZPZAuWEmEdIFtykMn3mEtFSMH4kaCF8Oa-tn3i8/edit?usp=sharing" TargetMode="External"/><Relationship Id="rId126" Type="http://schemas.openxmlformats.org/officeDocument/2006/relationships/hyperlink" Target="https://drive.google.com/file/d/1WwLY1lQi2XiSE0OtUotd4iudcZnmUB5t/view?usp=sharing" TargetMode="External"/><Relationship Id="rId247" Type="http://schemas.openxmlformats.org/officeDocument/2006/relationships/hyperlink" Target="https://docs.google.com/spreadsheets/d/1PK633xDB_e8MtakUIIbOB3lLh9KT9CC3exJccbY6pmA/edit?gid=0" TargetMode="External"/><Relationship Id="rId368" Type="http://schemas.openxmlformats.org/officeDocument/2006/relationships/hyperlink" Target="https://drive.google.com/file/d/1I-M-Ra6pUId8KiuqWqyTcLG-tCLYFcq3/view?usp=sharing" TargetMode="External"/><Relationship Id="rId489" Type="http://schemas.openxmlformats.org/officeDocument/2006/relationships/hyperlink" Target="https://docs.google.com/spreadsheets/d/1_PV8uGOzXZ_4fcBHirr5cP4mgmoOgU6K/edit?rtpof=true" TargetMode="External"/><Relationship Id="rId121" Type="http://schemas.openxmlformats.org/officeDocument/2006/relationships/hyperlink" Target="https://drive.google.com/file/d/1YH9h9tbwIk3ZRor_6eb1LK55_rFPY5cG/view?usp=sharing" TargetMode="External"/><Relationship Id="rId242" Type="http://schemas.openxmlformats.org/officeDocument/2006/relationships/hyperlink" Target="https://drive.google.com/file/d/1gVHd7eSNvjmDXUMFxdFWQy6anW_O3NP3/view?usp=sharing" TargetMode="External"/><Relationship Id="rId363" Type="http://schemas.openxmlformats.org/officeDocument/2006/relationships/hyperlink" Target="https://docs.google.com/spreadsheets/d/1yrWcd3i27_o_SXvEUATRWIKz7QW1ub-Q9otahwrcYuU/edit?gid=0" TargetMode="External"/><Relationship Id="rId484" Type="http://schemas.openxmlformats.org/officeDocument/2006/relationships/hyperlink" Target="https://drive.google.com/file/d/1YH9h9tbwIk3ZRor_6eb1LK55_rFPY5cG/view?usp=sharing" TargetMode="External"/><Relationship Id="rId120" Type="http://schemas.openxmlformats.org/officeDocument/2006/relationships/hyperlink" Target="https://www.pe.tiendaboschonline.com/kit-de-puntas-para-atornillar-bosch-con-32-unidades/p" TargetMode="External"/><Relationship Id="rId241" Type="http://schemas.openxmlformats.org/officeDocument/2006/relationships/hyperlink" Target="https://docs.google.com/spreadsheets/d/1jmLFyM-VTsX4TuU_B5SGMNpo9W7_kGdqzK_3UFjLCj4/edit?gid=0" TargetMode="External"/><Relationship Id="rId362" Type="http://schemas.openxmlformats.org/officeDocument/2006/relationships/hyperlink" Target="https://drive.google.com/file/d/15II6pN8lLiJghCcshC2bnO6ky1nJkwg1/view?usp=sharing" TargetMode="External"/><Relationship Id="rId483" Type="http://schemas.openxmlformats.org/officeDocument/2006/relationships/hyperlink" Target="https://docs.google.com/spreadsheets/d/1khkJpdMTLpFt_ssMGO1IExSKgDhwFYAQ-FHHhC2I2Pg/edit?gid=0" TargetMode="External"/><Relationship Id="rId240" Type="http://schemas.openxmlformats.org/officeDocument/2006/relationships/hyperlink" Target="https://drive.google.com/file/d/1I-M-Ra6pUId8KiuqWqyTcLG-tCLYFcq3/view?usp=sharing" TargetMode="External"/><Relationship Id="rId361" Type="http://schemas.openxmlformats.org/officeDocument/2006/relationships/hyperlink" Target="https://docs.google.com/spreadsheets/d/1L4q6Yfp4tBzQ2vVDlfWNy4uAs45SUC4GEXGevusrtys/edit?gid=0" TargetMode="External"/><Relationship Id="rId482" Type="http://schemas.openxmlformats.org/officeDocument/2006/relationships/hyperlink" Target="https://drive.google.com/file/d/1YH9h9tbwIk3ZRor_6eb1LK55_rFPY5cG/view?usp=sharing" TargetMode="External"/><Relationship Id="rId360" Type="http://schemas.openxmlformats.org/officeDocument/2006/relationships/hyperlink" Target="https://drive.google.com/file/d/1YH9h9tbwIk3ZRor_6eb1LK55_rFPY5cG/view?usp=sharing" TargetMode="External"/><Relationship Id="rId481" Type="http://schemas.openxmlformats.org/officeDocument/2006/relationships/hyperlink" Target="https://docs.google.com/spreadsheets/d/1vfJNeg4PdIBx0eBav9Wi3vSns7CuorieGcV9sZwsBhA/edit?gid=0" TargetMode="External"/><Relationship Id="rId125" Type="http://schemas.openxmlformats.org/officeDocument/2006/relationships/hyperlink" Target="https://docs.google.com/spreadsheets/d/1KiyqqBaqvYhcXCabG4owkmiiRXZwBGhSDhqmwIcveL8/edit?usp=sharing" TargetMode="External"/><Relationship Id="rId246" Type="http://schemas.openxmlformats.org/officeDocument/2006/relationships/hyperlink" Target="https://drive.google.com/file/d/1gVHd7eSNvjmDXUMFxdFWQy6anW_O3NP3/view?usp=sharing" TargetMode="External"/><Relationship Id="rId367" Type="http://schemas.openxmlformats.org/officeDocument/2006/relationships/hyperlink" Target="https://docs.google.com/spreadsheets/d/1wV4-Jxompym79TD7PwJUqnmASXWs1v3yKZjbiTRqA30/edit?gid=0" TargetMode="External"/><Relationship Id="rId488" Type="http://schemas.openxmlformats.org/officeDocument/2006/relationships/hyperlink" Target="https://drive.google.com/file/d/15II6pN8lLiJghCcshC2bnO6ky1nJkwg1/view?usp=sharing" TargetMode="External"/><Relationship Id="rId124" Type="http://schemas.openxmlformats.org/officeDocument/2006/relationships/hyperlink" Target="https://drive.google.com/file/d/1h4VAVdnpYwVJWfv9Am07uX69gQjmocj4/view?usp=sharing" TargetMode="External"/><Relationship Id="rId245" Type="http://schemas.openxmlformats.org/officeDocument/2006/relationships/hyperlink" Target="https://docs.google.com/spreadsheets/d/1Z6bIf5-9BI46TkYNNQeE-ZcctvJnTF748BD4EwfYhi4/edit?gid=0" TargetMode="External"/><Relationship Id="rId366" Type="http://schemas.openxmlformats.org/officeDocument/2006/relationships/hyperlink" Target="https://drive.google.com/file/d/15II6pN8lLiJghCcshC2bnO6ky1nJkwg1/view?usp=sharing" TargetMode="External"/><Relationship Id="rId487" Type="http://schemas.openxmlformats.org/officeDocument/2006/relationships/hyperlink" Target="https://docs.google.com/spreadsheets/d/1fM-QB2-58GGKy6DZW_FEHN-obEjL4lysenB5NmZ1NVg/edit?gid=0" TargetMode="External"/><Relationship Id="rId123" Type="http://schemas.openxmlformats.org/officeDocument/2006/relationships/hyperlink" Target="https://docs.google.com/spreadsheets/d/1X14OCVmqhfxidZVgTzkAgSFKY9Dhsf2xKCU_vNjBxPQ/edit?usp=sharing" TargetMode="External"/><Relationship Id="rId244" Type="http://schemas.openxmlformats.org/officeDocument/2006/relationships/hyperlink" Target="https://drive.google.com/file/d/18QObBMdkdbxawOmVcLCnjq1PR6AWIUKE/view?usp=sharing" TargetMode="External"/><Relationship Id="rId365" Type="http://schemas.openxmlformats.org/officeDocument/2006/relationships/hyperlink" Target="https://docs.google.com/spreadsheets/d/1ldiPQJlDPzys10qteHNEzI8p_IKen5FerkGs1ihLKUU/edit?gid=0" TargetMode="External"/><Relationship Id="rId486" Type="http://schemas.openxmlformats.org/officeDocument/2006/relationships/hyperlink" Target="https://drive.google.com/file/d/1YH9h9tbwIk3ZRor_6eb1LK55_rFPY5cG/view?usp=sharing" TargetMode="External"/><Relationship Id="rId122" Type="http://schemas.openxmlformats.org/officeDocument/2006/relationships/hyperlink" Target="https://drive.google.com/file/d/1h4VAVdnpYwVJWfv9Am07uX69gQjmocj4/view?usp=sharing" TargetMode="External"/><Relationship Id="rId243" Type="http://schemas.openxmlformats.org/officeDocument/2006/relationships/hyperlink" Target="https://docs.google.com/spreadsheets/d/1ibIJ6RNcmgJXePuf77KI1giX4ZEkCozq8i96_MkkP8I/edit?gid=0" TargetMode="External"/><Relationship Id="rId364" Type="http://schemas.openxmlformats.org/officeDocument/2006/relationships/hyperlink" Target="https://drive.google.com/file/d/15II6pN8lLiJghCcshC2bnO6ky1nJkwg1/view?usp=sharing" TargetMode="External"/><Relationship Id="rId485" Type="http://schemas.openxmlformats.org/officeDocument/2006/relationships/hyperlink" Target="https://docs.google.com/spreadsheets/d/1Eob6DEaTk1UvaX70bO9RjBJV3jpW3k4_w4C_fMUcu18/edit?gid=0" TargetMode="External"/><Relationship Id="rId95" Type="http://schemas.openxmlformats.org/officeDocument/2006/relationships/hyperlink" Target="https://digitronik.pe/products/cable-de-audio-2-rca-a-1-plug-3-5mm-1-8mts-netcom-pe-rs0112" TargetMode="External"/><Relationship Id="rId94" Type="http://schemas.openxmlformats.org/officeDocument/2006/relationships/hyperlink" Target="https://digitronik.pe/products/cable-de-audio-1-plug-3-5mm-macho-a-2-plug-6-3mm-machp-1-80mts-pe-rs0109-netcom" TargetMode="External"/><Relationship Id="rId97" Type="http://schemas.openxmlformats.org/officeDocument/2006/relationships/hyperlink" Target="https://digitronik.pe/products/adaptador-de-audio-2-rca-a-plug-stereo-6-35mm-seetronic-mp3-2rf" TargetMode="External"/><Relationship Id="rId96" Type="http://schemas.openxmlformats.org/officeDocument/2006/relationships/hyperlink" Target="https://www.sodimac.com.pe/sodimac-pe/articulo/120938242/CABLE-EXTENSION-USB-2.0-MACHO-A-MACHO-1.5Mts/120938245?kid=goosho_669251&amp;shop=googleShopping&amp;gad_source=1&amp;gad_campaignid=21524729896&amp;gbraid=0AAAAADOx_18DSni6LSGXs5qp5YVRiTDeX&amp;gclid=Cj0KCQjwmYzIBhC6ARIsAHA3IkSt72gTyRCzPjm4W4ztyLKudYKI_Br0c2Lr3ibYuePB34fU3I0Asc0aAuFBEALw_wcB" TargetMode="External"/><Relationship Id="rId99" Type="http://schemas.openxmlformats.org/officeDocument/2006/relationships/hyperlink" Target="https://docs.google.com/spreadsheets/d/1g3z_zD9F7ChDAItdBWSeEDp4H2lwktaE5YBvJLPYEmw/edit?gid=0" TargetMode="External"/><Relationship Id="rId480" Type="http://schemas.openxmlformats.org/officeDocument/2006/relationships/hyperlink" Target="https://drive.google.com/file/d/1YH9h9tbwIk3ZRor_6eb1LK55_rFPY5cG/view?usp=sharing" TargetMode="External"/><Relationship Id="rId98" Type="http://schemas.openxmlformats.org/officeDocument/2006/relationships/hyperlink" Target="https://drive.google.com/file/d/15II6pN8lLiJghCcshC2bnO6ky1nJkwg1/view?usp=sharing" TargetMode="External"/><Relationship Id="rId91" Type="http://schemas.openxmlformats.org/officeDocument/2006/relationships/hyperlink" Target="https://drive.google.com/file/d/1I-M-Ra6pUId8KiuqWqyTcLG-tCLYFcq3/view?usp=sharing" TargetMode="External"/><Relationship Id="rId90" Type="http://schemas.openxmlformats.org/officeDocument/2006/relationships/hyperlink" Target="https://docs.google.com/spreadsheets/d/1244KlgpCfAhjICnZEMStX1q4dkzeYJHRfMsFwdOxs6Y/edit?usp=sharing" TargetMode="External"/><Relationship Id="rId93" Type="http://schemas.openxmlformats.org/officeDocument/2006/relationships/hyperlink" Target="https://digitronik.pe/products/cable-balanceado-xlr-macho-a-xlr-hembra-mrs-bkstg-x3m-x3f-1" TargetMode="External"/><Relationship Id="rId92" Type="http://schemas.openxmlformats.org/officeDocument/2006/relationships/hyperlink" Target="https://docs.google.com/spreadsheets/d/18gkCfymWwfVSy9_UW4r_KQtZrnvCHvHclTnoq0ZGCFM/edit?usp=sharing" TargetMode="External"/><Relationship Id="rId118" Type="http://schemas.openxmlformats.org/officeDocument/2006/relationships/hyperlink" Target="https://docs.google.com/spreadsheets/d/1yfZshsuHwQTjJ0Yp7TX2z5WYsj4SpqNJ1d-HVo4ALEs/edit?usp=sharing" TargetMode="External"/><Relationship Id="rId239" Type="http://schemas.openxmlformats.org/officeDocument/2006/relationships/hyperlink" Target="https://docs.google.com/spreadsheets/d/1lGF9RNXzb4Eu-aDuQlKdt2yByRdpGF9w3M_XDMhYh7s/edit?usp=sharing" TargetMode="External"/><Relationship Id="rId117" Type="http://schemas.openxmlformats.org/officeDocument/2006/relationships/hyperlink" Target="https://drive.google.com/file/d/1WwLY1lQi2XiSE0OtUotd4iudcZnmUB5t/view?usp=sharing" TargetMode="External"/><Relationship Id="rId238" Type="http://schemas.openxmlformats.org/officeDocument/2006/relationships/hyperlink" Target="https://drive.google.com/file/d/1h4VAVdnpYwVJWfv9Am07uX69gQjmocj4/view?usp=sharing" TargetMode="External"/><Relationship Id="rId359" Type="http://schemas.openxmlformats.org/officeDocument/2006/relationships/hyperlink" Target="https://docs.google.com/spreadsheets/d/142TfTSMf0nsGjH_F7cjF9EQKVFmFxO3QX-prSlPtp-w/edit?gid=0" TargetMode="External"/><Relationship Id="rId116" Type="http://schemas.openxmlformats.org/officeDocument/2006/relationships/hyperlink" Target="https://www.amazon.com/-/es/retr%C3%A1ctil-inoxidable-antip%C3%A9rdida-senderismo-campamento/dp/B09YTX5PZ6" TargetMode="External"/><Relationship Id="rId237" Type="http://schemas.openxmlformats.org/officeDocument/2006/relationships/hyperlink" Target="https://docs.google.com/spreadsheets/d/1bslbrbR4Ma2XVkAuQbShm8NLcY47awqMlDX_zsf6SV8/edit?gid=0" TargetMode="External"/><Relationship Id="rId358" Type="http://schemas.openxmlformats.org/officeDocument/2006/relationships/hyperlink" Target="https://drive.google.com/file/d/1YH9h9tbwIk3ZRor_6eb1LK55_rFPY5cG/view?usp=sharing" TargetMode="External"/><Relationship Id="rId479" Type="http://schemas.openxmlformats.org/officeDocument/2006/relationships/hyperlink" Target="https://www.dewalt.es/producto/d26200-qs/perfiladora-900w-27000-rpm-6-8mm-electronica" TargetMode="External"/><Relationship Id="rId115" Type="http://schemas.openxmlformats.org/officeDocument/2006/relationships/hyperlink" Target="https://www.pe.tiendaboschonline.com/kit-de-puntas-para-atornillar-bosch-con-32-unidades/p" TargetMode="External"/><Relationship Id="rId236" Type="http://schemas.openxmlformats.org/officeDocument/2006/relationships/hyperlink" Target="https://drive.google.com/file/d/1gVHd7eSNvjmDXUMFxdFWQy6anW_O3NP3/view?usp=sharing" TargetMode="External"/><Relationship Id="rId357" Type="http://schemas.openxmlformats.org/officeDocument/2006/relationships/hyperlink" Target="https://docs.google.com/spreadsheets/d/108Ew1rNX7Rbo69U-HnGkDURTItCcC-d8A7NRLkHR8JE/edit?gid=0" TargetMode="External"/><Relationship Id="rId478" Type="http://schemas.openxmlformats.org/officeDocument/2006/relationships/hyperlink" Target="https://docs.google.com/spreadsheets/d/1bwN1cTvq27z69Nq3gi3tdAfHDLKVzCyvZxTSGqVWwhU/edit?gid=0" TargetMode="External"/><Relationship Id="rId119" Type="http://schemas.openxmlformats.org/officeDocument/2006/relationships/hyperlink" Target="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 TargetMode="External"/><Relationship Id="rId110" Type="http://schemas.openxmlformats.org/officeDocument/2006/relationships/hyperlink" Target="https://drive.google.com/file/d/1YH9h9tbwIk3ZRor_6eb1LK55_rFPY5cG/view?usp=sharing" TargetMode="External"/><Relationship Id="rId231" Type="http://schemas.openxmlformats.org/officeDocument/2006/relationships/hyperlink" Target="https://docs.google.com/spreadsheets/d/1I7G0nK2lQHshi8JRpG-CC8_FCNEdDXp7NbBT4ypxmdI/edit?usp=sharing" TargetMode="External"/><Relationship Id="rId352" Type="http://schemas.openxmlformats.org/officeDocument/2006/relationships/hyperlink" Target="https://drive.google.com/file/d/1h4VAVdnpYwVJWfv9Am07uX69gQjmocj4/view?usp=sharing" TargetMode="External"/><Relationship Id="rId473" Type="http://schemas.openxmlformats.org/officeDocument/2006/relationships/hyperlink" Target="https://drive.google.com/file/d/1WwLY1lQi2XiSE0OtUotd4iudcZnmUB5t/view?usp=sharing" TargetMode="External"/><Relationship Id="rId230" Type="http://schemas.openxmlformats.org/officeDocument/2006/relationships/hyperlink" Target="https://drive.google.com/file/d/15II6pN8lLiJghCcshC2bnO6ky1nJkwg1/view?usp=sharing" TargetMode="External"/><Relationship Id="rId351" Type="http://schemas.openxmlformats.org/officeDocument/2006/relationships/hyperlink" Target="https://docs.google.com/spreadsheets/d/12ju44tCFVJoGgWlJRWcuSV1xhWXrQ3OlEVS5pOz6NGc/edit?gid=0" TargetMode="External"/><Relationship Id="rId472" Type="http://schemas.openxmlformats.org/officeDocument/2006/relationships/hyperlink" Target="https://docs.google.com/spreadsheets/d/1Tx0TYAbwWN7i67J54miT1jwcmXiOL7LA/edit?usp=sharing&amp;ouid=118222155085436213683&amp;rtpof=true&amp;sd=true" TargetMode="External"/><Relationship Id="rId350" Type="http://schemas.openxmlformats.org/officeDocument/2006/relationships/hyperlink" Target="https://drive.google.com/file/d/1h4VAVdnpYwVJWfv9Am07uX69gQjmocj4/view?usp=sharing" TargetMode="External"/><Relationship Id="rId471" Type="http://schemas.openxmlformats.org/officeDocument/2006/relationships/hyperlink" Target="https://drive.google.com/file/d/15II6pN8lLiJghCcshC2bnO6ky1nJkwg1/view?usp=sharing" TargetMode="External"/><Relationship Id="rId470" Type="http://schemas.openxmlformats.org/officeDocument/2006/relationships/hyperlink" Target="https://docs.google.com/spreadsheets/d/19IY3YqYmSIbrqCBr5_gbNJe8MH6e7KOhDny31_a3AHI/edit?gid=0" TargetMode="External"/><Relationship Id="rId114" Type="http://schemas.openxmlformats.org/officeDocument/2006/relationships/hyperlink" Target="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 TargetMode="External"/><Relationship Id="rId235" Type="http://schemas.openxmlformats.org/officeDocument/2006/relationships/hyperlink" Target="https://docs.google.com/spreadsheets/d/1HYJ5bqwEFZRxTPimODxI_fFMgnoVPNVwqCwoqJR_ZPI/edit?gid=0" TargetMode="External"/><Relationship Id="rId356" Type="http://schemas.openxmlformats.org/officeDocument/2006/relationships/hyperlink" Target="https://drive.google.com/file/d/1YH9h9tbwIk3ZRor_6eb1LK55_rFPY5cG/view?usp=sharing" TargetMode="External"/><Relationship Id="rId477" Type="http://schemas.openxmlformats.org/officeDocument/2006/relationships/hyperlink" Target="https://drive.google.com/file/d/1WwLY1lQi2XiSE0OtUotd4iudcZnmUB5t/view?usp=sharing" TargetMode="External"/><Relationship Id="rId113" Type="http://schemas.openxmlformats.org/officeDocument/2006/relationships/hyperlink" Target="https://docs.google.com/spreadsheets/d/1G7fuMdJ28Z-y3LvKZFdqtcPQkf--lcofWQ5mg8G4c5s/edit?usp=sharing" TargetMode="External"/><Relationship Id="rId234" Type="http://schemas.openxmlformats.org/officeDocument/2006/relationships/hyperlink" Target="https://drive.google.com/file/d/15II6pN8lLiJghCcshC2bnO6ky1nJkwg1/view?usp=sharing" TargetMode="External"/><Relationship Id="rId355" Type="http://schemas.openxmlformats.org/officeDocument/2006/relationships/hyperlink" Target="https://docs.google.com/spreadsheets/d/1unPFUNvnzOK7zn2OJMGXwJGlS0bFeYiBWtuiY9IDYx0/edit?gid=0" TargetMode="External"/><Relationship Id="rId476" Type="http://schemas.openxmlformats.org/officeDocument/2006/relationships/hyperlink" Target="https://sodimac.falabella.com.pe/sodimac-pe/product/117078584/SET-DE-12-FRESAS-PARA-RUTEADORA-8MM-INDUSTRIAL-TOTAL-TACSR1121/117078585?exp=sodimac" TargetMode="External"/><Relationship Id="rId112" Type="http://schemas.openxmlformats.org/officeDocument/2006/relationships/hyperlink" Target="https://drive.google.com/file/d/15II6pN8lLiJghCcshC2bnO6ky1nJkwg1/view?usp=sharing" TargetMode="External"/><Relationship Id="rId233" Type="http://schemas.openxmlformats.org/officeDocument/2006/relationships/hyperlink" Target="https://docs.google.com/spreadsheets/d/1cHUgZb9VAE5CekX2DzHtubKITqa3hnKFy_p6nFgNA2M/edit?usp=drive_web&amp;ouid=107339067397552323251" TargetMode="External"/><Relationship Id="rId354" Type="http://schemas.openxmlformats.org/officeDocument/2006/relationships/hyperlink" Target="https://drive.google.com/file/d/1h4VAVdnpYwVJWfv9Am07uX69gQjmocj4/view?usp=sharing" TargetMode="External"/><Relationship Id="rId475" Type="http://schemas.openxmlformats.org/officeDocument/2006/relationships/hyperlink" Target="https://sodimac.falabella.com.pe/sodimac-pe/product/117078584/SET-DE-12-FRESAS-PARA-RUTEADORA-8MM-INDUSTRIAL-TOTAL-TACSR1121/117078585?exp=sodimac" TargetMode="External"/><Relationship Id="rId111" Type="http://schemas.openxmlformats.org/officeDocument/2006/relationships/hyperlink" Target="https://docs.google.com/spreadsheets/d/1oSmfHFXWoqTlSnGkJRPA2NX1jF6B77-Zq0PlMTTWhDA/edit?gid=0" TargetMode="External"/><Relationship Id="rId232" Type="http://schemas.openxmlformats.org/officeDocument/2006/relationships/hyperlink" Target="https://drive.google.com/file/d/18QObBMdkdbxawOmVcLCnjq1PR6AWIUKE/view?usp=sharing" TargetMode="External"/><Relationship Id="rId353" Type="http://schemas.openxmlformats.org/officeDocument/2006/relationships/hyperlink" Target="https://docs.google.com/spreadsheets/d/1ZbJwCNKfEnpacrUjWzwIuLTtr0-inU9Fa_KHBY0AHGk/edit?gid=0" TargetMode="External"/><Relationship Id="rId474" Type="http://schemas.openxmlformats.org/officeDocument/2006/relationships/hyperlink" Target="https://docs.google.com/spreadsheets/d/1fBrN0C8ZU_sjzOeRfWzebHCXeFJTwi5KGOOxMy5Dypg/edit?gid=0" TargetMode="External"/><Relationship Id="rId305" Type="http://schemas.openxmlformats.org/officeDocument/2006/relationships/hyperlink" Target="https://drive.google.com/file/d/1BZ2N5EASu7KqA43xkUocI7QoYhjba-W1/view?usp=sharing" TargetMode="External"/><Relationship Id="rId426" Type="http://schemas.openxmlformats.org/officeDocument/2006/relationships/hyperlink" Target="https://cahema.pe/acoples-y-conectores/16739-conector-rapido-de-14-macho-27023-pretul.html" TargetMode="External"/><Relationship Id="rId547" Type="http://schemas.openxmlformats.org/officeDocument/2006/relationships/hyperlink" Target="https://docs.google.com/spreadsheets/d/1Dl8E7xJhCyMwieHb9lkYZIX6GA_tcQh4PoruDZO13Es/edit?gid=0" TargetMode="External"/><Relationship Id="rId304" Type="http://schemas.openxmlformats.org/officeDocument/2006/relationships/hyperlink" Target="https://docs.google.com/spreadsheets/d/1Qq7LTwQDfKvoIf8t5JFcmo5zHhV1DProm7DkqT0cMLs/edit?gid=0" TargetMode="External"/><Relationship Id="rId425" Type="http://schemas.openxmlformats.org/officeDocument/2006/relationships/hyperlink" Target="https://cahema.pe/acoples-y-conectores/16739-conector-rapido-de-14-macho-27023-pretul.html" TargetMode="External"/><Relationship Id="rId546" Type="http://schemas.openxmlformats.org/officeDocument/2006/relationships/hyperlink" Target="https://drive.google.com/file/d/1WwLY1lQi2XiSE0OtUotd4iudcZnmUB5t/view?usp=sharing" TargetMode="External"/><Relationship Id="rId303" Type="http://schemas.openxmlformats.org/officeDocument/2006/relationships/hyperlink" Target="https://drive.google.com/file/d/1I-M-Ra6pUId8KiuqWqyTcLG-tCLYFcq3/view?usp=sharing" TargetMode="External"/><Relationship Id="rId424" Type="http://schemas.openxmlformats.org/officeDocument/2006/relationships/hyperlink" Target="https://docs.google.com/spreadsheets/d/1bsVuwrwH0vk3kdYVOKSlRAmKIYMltZSZQlF70F2aOow/edit?usp=sharing" TargetMode="External"/><Relationship Id="rId545" Type="http://schemas.openxmlformats.org/officeDocument/2006/relationships/hyperlink" Target="https://www.promart.pe/linterna-recargable-faro-120-lumenes-werken-158564/p" TargetMode="External"/><Relationship Id="rId302" Type="http://schemas.openxmlformats.org/officeDocument/2006/relationships/hyperlink" Target="https://docs.google.com/spreadsheets/d/1rasnqpr3dON0EEPeq94P9RdmUH9597oFCv2CYZIvag0/edit?gid=0" TargetMode="External"/><Relationship Id="rId423" Type="http://schemas.openxmlformats.org/officeDocument/2006/relationships/hyperlink" Target="https://drive.google.com/file/d/1WwLY1lQi2XiSE0OtUotd4iudcZnmUB5t/view?usp=sharing" TargetMode="External"/><Relationship Id="rId544" Type="http://schemas.openxmlformats.org/officeDocument/2006/relationships/hyperlink" Target="https://www.promart.pe/linterna-recargable-faro-120-lumenes-werken-158564/p" TargetMode="External"/><Relationship Id="rId309" Type="http://schemas.openxmlformats.org/officeDocument/2006/relationships/hyperlink" Target="https://drive.google.com/file/d/15II6pN8lLiJghCcshC2bnO6ky1nJkwg1/view?usp=sharing" TargetMode="External"/><Relationship Id="rId308" Type="http://schemas.openxmlformats.org/officeDocument/2006/relationships/hyperlink" Target="https://docs.google.com/spreadsheets/d/1BXZKjZxB-Rjp95bTwvF4fgcURV0LDV0hjr5LnEJiezg/edit?gid=0" TargetMode="External"/><Relationship Id="rId429" Type="http://schemas.openxmlformats.org/officeDocument/2006/relationships/hyperlink" Target="https://drive.google.com/file/d/1BZ2N5EASu7KqA43xkUocI7QoYhjba-W1/view?usp=sharing" TargetMode="External"/><Relationship Id="rId307" Type="http://schemas.openxmlformats.org/officeDocument/2006/relationships/hyperlink" Target="https://drive.google.com/file/d/1YH9h9tbwIk3ZRor_6eb1LK55_rFPY5cG/view?usp=sharing" TargetMode="External"/><Relationship Id="rId428" Type="http://schemas.openxmlformats.org/officeDocument/2006/relationships/hyperlink" Target="https://docs.google.com/spreadsheets/d/1RdVNORykkYiASNf8Hv4o26XZH6seRqWFURWrTkGbhhU/edit?gid=0" TargetMode="External"/><Relationship Id="rId549" Type="http://schemas.openxmlformats.org/officeDocument/2006/relationships/hyperlink" Target="https://www.amazon.com/1mm-10mm-Titanium-High-Speed-Woodworking-Engraving/dp/B0B2DNZ5CQ?th=1" TargetMode="External"/><Relationship Id="rId306" Type="http://schemas.openxmlformats.org/officeDocument/2006/relationships/hyperlink" Target="https://docs.google.com/spreadsheets/d/1m_ClvUKXbGQS_a7UtVNcCF7iFlQ81vk2YstVlC_h5p0/edit?gid=0" TargetMode="External"/><Relationship Id="rId427" Type="http://schemas.openxmlformats.org/officeDocument/2006/relationships/hyperlink" Target="https://drive.google.com/file/d/1BZ2N5EASu7KqA43xkUocI7QoYhjba-W1/view?usp=sharing" TargetMode="External"/><Relationship Id="rId548" Type="http://schemas.openxmlformats.org/officeDocument/2006/relationships/hyperlink" Target="https://carpintec.com.pe/products/juego-de-sierra-copa-15-piezas-kamasa" TargetMode="External"/><Relationship Id="rId301" Type="http://schemas.openxmlformats.org/officeDocument/2006/relationships/hyperlink" Target="https://drive.google.com/file/d/1BZ2N5EASu7KqA43xkUocI7QoYhjba-W1/view?usp=sharing" TargetMode="External"/><Relationship Id="rId422" Type="http://schemas.openxmlformats.org/officeDocument/2006/relationships/hyperlink" Target="https://www.mercadolibre.com.pe/limpiador-de-puntas-metalico-para-cautin--takema/up/MPEU2463401498?has_official_store=false&amp;highlight=false&amp;headerTopBrand=false" TargetMode="External"/><Relationship Id="rId543" Type="http://schemas.openxmlformats.org/officeDocument/2006/relationships/hyperlink" Target="https://www.amazon.in/Diamond-Luxiv-Granite-Ceramic-Porcelain/dp/B0CT353BYC" TargetMode="External"/><Relationship Id="rId300" Type="http://schemas.openxmlformats.org/officeDocument/2006/relationships/hyperlink" Target="https://docs.google.com/spreadsheets/d/1Sh4uMusheeARhj9C0sew6N9tn7LSnqwfyeT2ITYrqm8/edit?gid=0" TargetMode="External"/><Relationship Id="rId421" Type="http://schemas.openxmlformats.org/officeDocument/2006/relationships/hyperlink" Target="https://www.mercadolibre.com.pe/limpiador-de-puntas-metalico-para-cautin--takema/up/MPEU2463401498?has_official_store=false&amp;highlight=false&amp;headerTopBrand=false" TargetMode="External"/><Relationship Id="rId542" Type="http://schemas.openxmlformats.org/officeDocument/2006/relationships/hyperlink" Target="https://www.amazon.com/DKIBBITH-diamante-azulejos-cer%C3%A1mica-porcelana/dp/B0F9F28DHD/ref=sr_1_2_sspa?__mk_es_US=%C3%85M%C3%85%C5%BD%C3%95%C3%91&amp;crid=2FFY0KBOZ5DP7&amp;dib=eyJ2IjoiMSJ9.KBxruJo-HsS4zZhtpXE6Ci6Hq2olVnWBW2bcUt6EzN3WGuD6jCUcGaPQ2368Z1MbD2O9bV4GzyfygmzCW4M5heSdZJwDFi-GWNRp3AqYCInGzkwBoyGYSUFKzJRMyo8j74ebLM5U3iIRPai5IA7jf-wVCes6_UuDtTBQssNOh3sKtktAejz3clWTHUFnOW0fFRdfkuvtjBPYuS22gKIRpV8iBoKV1FhZJmaCjomDa0BEUtQhSKZ7bYeh86FcrB-xgV5mtUPqdi-GuVRlHg9-mCbmDhqA59OSEOXoM1PD_LY.CGbjLLQr0W9B8unwsnueFDbHaiHKng72kxpHQ9C7AhU&amp;dib_tag=se&amp;keywords=set%2Bde%2Bbrocas%2Bdiamantadas%2B1%2B-%2B13mm&amp;qid=1761841667&amp;sprefix=set%2Bde%2Bbrocas%2Bdiamantadas1%2B-%2B13mm%2Caps%2C207&amp;sr=8-2-spons&amp;sp_csd=d2lkZ2V0TmFtZT1zcF9hdGY&amp;th=1" TargetMode="External"/><Relationship Id="rId420" Type="http://schemas.openxmlformats.org/officeDocument/2006/relationships/hyperlink" Target="https://www.promart.pe/soporte-de-cautin-metal-pesado/p?gad_source=1&amp;gad_campaignid=22932501259&amp;gbraid=0AAAAADJIfAJgSvKabG2GnPwrq3k6Yqddv&amp;gclid=CjwKCAjw6P3GBhBVEiwAJPjmLvm3ljkm0SxQnmi1tkLz487IL7dbrcUNBI-gC94vkstPyfZ7CNI2shoCEQQQAvD_BwE" TargetMode="External"/><Relationship Id="rId541" Type="http://schemas.openxmlformats.org/officeDocument/2006/relationships/hyperlink" Target="https://www.amazon.com/-/es/Honoson-diamante-torcida-resistentes-azulejos/dp/B09HWXQPY2/" TargetMode="External"/><Relationship Id="rId540" Type="http://schemas.openxmlformats.org/officeDocument/2006/relationships/hyperlink" Target="https://www.amazon.com/-/es/Honoson-diamante-torcida-resistentes-azulejos/dp/B09HWXQPY2/" TargetMode="External"/><Relationship Id="rId415" Type="http://schemas.openxmlformats.org/officeDocument/2006/relationships/hyperlink" Target="https://cahema.pe/acoples-y-conectores/16023-juego-de-acople-y-conector-laton-14-npt-19080-truper-7501206619803.html" TargetMode="External"/><Relationship Id="rId536" Type="http://schemas.openxmlformats.org/officeDocument/2006/relationships/hyperlink" Target="https://www.amazon.com/DKIBBITH-diamante-azulejos-cer%C3%A1mica-porcelana/dp/B0F9F28DHD/ref=sr_1_2_sspa?__mk_es_US=%C3%85M%C3%85%C5%BD%C3%95%C3%91&amp;crid=2FFY0KBOZ5DP7&amp;dib=eyJ2IjoiMSJ9.KBxruJo-HsS4zZhtpXE6Ci6Hq2olVnWBW2bcUt6EzN3WGuD6jCUcGaPQ2368Z1MbD2O9bV4GzyfygmzCW4M5heSdZJwDFi-GWNRp3AqYCInGzkwBoyGYSUFKzJRMyo8j74ebLM5U3iIRPai5IA7jf-wVCes6_UuDtTBQssNOh3sKtktAejz3clWTHUFnOW0fFRdfkuvtjBPYuS22gKIRpV8iBoKV1FhZJmaCjomDa0BEUtQhSKZ7bYeh86FcrB-xgV5mtUPqdi-GuVRlHg9-mCbmDhqA59OSEOXoM1PD_LY.CGbjLLQr0W9B8unwsnueFDbHaiHKng72kxpHQ9C7AhU&amp;dib_tag=se&amp;keywords=set%2Bde%2Bbrocas%2Bdiamantadas%2B1%2B-%2B13mm&amp;qid=1761841667&amp;sprefix=set%2Bde%2Bbrocas%2Bdiamantadas1%2B-%2B13mm%2Caps%2C207&amp;sr=8-2-spons&amp;sp_csd=d2lkZ2V0TmFtZT1zcF9hdGY&amp;th=1" TargetMode="External"/><Relationship Id="rId414" Type="http://schemas.openxmlformats.org/officeDocument/2006/relationships/hyperlink" Target="https://cahema.pe/mangueras/17316-manguera-armada-14-ppintor-5-mts-19013-truper.html" TargetMode="External"/><Relationship Id="rId535" Type="http://schemas.openxmlformats.org/officeDocument/2006/relationships/hyperlink" Target="https://www.amazon.com/-/es/Honoson-diamante-torcida-resistentes-azulejos/dp/B09HWXQPY2/" TargetMode="External"/><Relationship Id="rId413" Type="http://schemas.openxmlformats.org/officeDocument/2006/relationships/hyperlink" Target="https://cahema.pe/mangueras/17316-manguera-armada-14-ppintor-5-mts-19013-truper.html" TargetMode="External"/><Relationship Id="rId534" Type="http://schemas.openxmlformats.org/officeDocument/2006/relationships/hyperlink" Target="https://www.amazon.com/-/es/Honoson-diamante-torcida-resistentes-azulejos/dp/B09HWXQPY2/" TargetMode="External"/><Relationship Id="rId412" Type="http://schemas.openxmlformats.org/officeDocument/2006/relationships/hyperlink" Target="https://docs.google.com/spreadsheets/d/108_TQ-8CB8ozhe43kso2AXZcoCYbuqBM_KK2KmmIVsk/edit?usp=sharing" TargetMode="External"/><Relationship Id="rId533" Type="http://schemas.openxmlformats.org/officeDocument/2006/relationships/hyperlink" Target="https://docs.google.com/spreadsheets/d/1w2Soqgpp-UNY3Onqy78_JmDsFa_CpNfhVoNlwWZvbNo/edit?gid=0" TargetMode="External"/><Relationship Id="rId419" Type="http://schemas.openxmlformats.org/officeDocument/2006/relationships/hyperlink" Target="https://www.promart.pe/soporte-de-cautin-metal-pesado/p?gad_source=1&amp;gad_campaignid=22932501259&amp;gbraid=0AAAAADJIfAJgSvKabG2GnPwrq3k6Yqddv&amp;gclid=CjwKCAjw6P3GBhBVEiwAJPjmLvm3ljkm0SxQnmi1tkLz487IL7dbrcUNBI-gC94vkstPyfZ7CNI2shoCEQQQAvD_BwE" TargetMode="External"/><Relationship Id="rId418" Type="http://schemas.openxmlformats.org/officeDocument/2006/relationships/hyperlink" Target="https://docs.google.com/spreadsheets/d/1_yjJrkmwDCpC9v6RhHZUPoduKjAQTjciATBOoC_IgM0/edit?gid=0" TargetMode="External"/><Relationship Id="rId539" Type="http://schemas.openxmlformats.org/officeDocument/2006/relationships/hyperlink" Target="https://docs.google.com/spreadsheets/d/1oodoZEvGOU6JgmXiAZ31lnqnbJ-Qn_X8AIFL_MJNbcU/edit?gid=0" TargetMode="External"/><Relationship Id="rId417" Type="http://schemas.openxmlformats.org/officeDocument/2006/relationships/hyperlink" Target="https://drive.google.com/file/d/1gVHd7eSNvjmDXUMFxdFWQy6anW_O3NP3/view?usp=sharing" TargetMode="External"/><Relationship Id="rId538" Type="http://schemas.openxmlformats.org/officeDocument/2006/relationships/hyperlink" Target="https://drive.google.com/file/d/1gVHd7eSNvjmDXUMFxdFWQy6anW_O3NP3/view?usp=sharing" TargetMode="External"/><Relationship Id="rId416" Type="http://schemas.openxmlformats.org/officeDocument/2006/relationships/hyperlink" Target="https://cahema.pe/acoples-y-conectores/16023-juego-de-acople-y-conector-laton-14-npt-19080-truper-7501206619803.html" TargetMode="External"/><Relationship Id="rId537" Type="http://schemas.openxmlformats.org/officeDocument/2006/relationships/hyperlink" Target="https://www.amazon.in/Diamond-Luxiv-Granite-Ceramic-Porcelain/dp/B0CT353BYC" TargetMode="External"/><Relationship Id="rId411" Type="http://schemas.openxmlformats.org/officeDocument/2006/relationships/hyperlink" Target="https://drive.google.com/file/d/1WwLY1lQi2XiSE0OtUotd4iudcZnmUB5t/view?usp=sharing" TargetMode="External"/><Relationship Id="rId532" Type="http://schemas.openxmlformats.org/officeDocument/2006/relationships/hyperlink" Target="https://drive.google.com/file/d/1I-M-Ra6pUId8KiuqWqyTcLG-tCLYFcq3/view?usp=sharing" TargetMode="External"/><Relationship Id="rId410" Type="http://schemas.openxmlformats.org/officeDocument/2006/relationships/hyperlink" Target="https://docs.google.com/spreadsheets/d/1kgD6sYSTyybvSfCLDiAqCoyPvez3k1YYNuJ7b4vi1gE/edit?gid=0" TargetMode="External"/><Relationship Id="rId531" Type="http://schemas.openxmlformats.org/officeDocument/2006/relationships/hyperlink" Target="https://docs.google.com/spreadsheets/d/1AD2F_ayK7GJrprCxBrJbmbn62V9AJ83sUP5_tu0l77U/edit?gid=0" TargetMode="External"/><Relationship Id="rId530" Type="http://schemas.openxmlformats.org/officeDocument/2006/relationships/hyperlink" Target="https://drive.google.com/file/d/18QObBMdkdbxawOmVcLCnjq1PR6AWIUKE/view?usp=sharing" TargetMode="External"/><Relationship Id="rId206" Type="http://schemas.openxmlformats.org/officeDocument/2006/relationships/hyperlink" Target="https://www.tiendaimex.com/inicio/70-tintas-de-sublimacion-koreana-standar-.html" TargetMode="External"/><Relationship Id="rId327" Type="http://schemas.openxmlformats.org/officeDocument/2006/relationships/hyperlink" Target="https://drive.google.com/file/d/15II6pN8lLiJghCcshC2bnO6ky1nJkwg1/view?usp=sharing" TargetMode="External"/><Relationship Id="rId448" Type="http://schemas.openxmlformats.org/officeDocument/2006/relationships/hyperlink" Target="https://docs.google.com/spreadsheets/d/1ZP5OxYw2vND44V15ml2VfEoyqbNqs5CKgEQwgfKGWMQ/edit?gid=0" TargetMode="External"/><Relationship Id="rId569" Type="http://schemas.openxmlformats.org/officeDocument/2006/relationships/hyperlink" Target="https://simple.ripley.com.pe/cargador-de-8-pilas-recargables-baterias-aa-y-aaa-independientes-cable-pmp20000204058?srsltid=AfmBOoog_GuJBc2yPPvcGyOJYsmzodMPgS7dLuISGg3NcdUxM1ZncSf_&amp;color_80=gris&amp;s=mdco" TargetMode="External"/><Relationship Id="rId205" Type="http://schemas.openxmlformats.org/officeDocument/2006/relationships/hyperlink" Target="https://www.tiendaimex.com/inicio/70-tintas-de-sublimacion-koreana-standar-.html" TargetMode="External"/><Relationship Id="rId326" Type="http://schemas.openxmlformats.org/officeDocument/2006/relationships/hyperlink" Target="https://docs.google.com/spreadsheets/d/1fyCD4f2KKVkU2F0vQdWJlvx8EKuxf0FK9Eqx9hIP9L8/edit?gid=0" TargetMode="External"/><Relationship Id="rId447" Type="http://schemas.openxmlformats.org/officeDocument/2006/relationships/hyperlink" Target="https://drive.google.com/file/d/1h4VAVdnpYwVJWfv9Am07uX69gQjmocj4/view?usp=sharing" TargetMode="External"/><Relationship Id="rId568" Type="http://schemas.openxmlformats.org/officeDocument/2006/relationships/hyperlink" Target="https://docs.google.com/spreadsheets/d/1VdgqILHaDiowHnf0HxR2Ba9EBfLpxfY0wd5gNbv44oE/edit?gid=0" TargetMode="External"/><Relationship Id="rId204" Type="http://schemas.openxmlformats.org/officeDocument/2006/relationships/hyperlink" Target="https://www.tiendaimex.com/inicio/70-tintas-de-sublimacion-koreana-standar-.html" TargetMode="External"/><Relationship Id="rId325" Type="http://schemas.openxmlformats.org/officeDocument/2006/relationships/hyperlink" Target="https://drive.google.com/file/d/15II6pN8lLiJghCcshC2bnO6ky1nJkwg1/view?usp=sharing" TargetMode="External"/><Relationship Id="rId446" Type="http://schemas.openxmlformats.org/officeDocument/2006/relationships/hyperlink" Target="https://docs.google.com/spreadsheets/d/1MH7bWJYOaqgIFDImaXhKpCngib5-oO_zIxMe-0Sho3o/edit?gid=0" TargetMode="External"/><Relationship Id="rId567" Type="http://schemas.openxmlformats.org/officeDocument/2006/relationships/hyperlink" Target="https://drive.google.com/file/d/1gVHd7eSNvjmDXUMFxdFWQy6anW_O3NP3/view?usp=sharing" TargetMode="External"/><Relationship Id="rId203" Type="http://schemas.openxmlformats.org/officeDocument/2006/relationships/hyperlink" Target="https://docs.google.com/spreadsheets/d/1KbFBimsKS7a85VlysDOE-ndolCOKONXJQD0i8vLg6to/edit?usp=sharing" TargetMode="External"/><Relationship Id="rId324" Type="http://schemas.openxmlformats.org/officeDocument/2006/relationships/hyperlink" Target="https://docs.google.com/spreadsheets/d/19a1M921FQX8-9kXgErZW5Af1NYfWN74SZNDcn1ccgXA/edit?gid=0" TargetMode="External"/><Relationship Id="rId445" Type="http://schemas.openxmlformats.org/officeDocument/2006/relationships/hyperlink" Target="https://drive.google.com/file/d/1h4VAVdnpYwVJWfv9Am07uX69gQjmocj4/view?usp=sharing" TargetMode="External"/><Relationship Id="rId566" Type="http://schemas.openxmlformats.org/officeDocument/2006/relationships/hyperlink" Target="https://docs.google.com/spreadsheets/d/1XWKFZ4Cv3hoKdEF0IZ7pyeJmBlubQbmnGKWLp4ONpdE/edit" TargetMode="External"/><Relationship Id="rId209" Type="http://schemas.openxmlformats.org/officeDocument/2006/relationships/hyperlink" Target="https://files.support.epson.com/docid/cpd6/cpd61839.pdf" TargetMode="External"/><Relationship Id="rId208" Type="http://schemas.openxmlformats.org/officeDocument/2006/relationships/hyperlink" Target="https://www.tiendaimex.com/inicio/55-papel-de-sublimacion.html" TargetMode="External"/><Relationship Id="rId329" Type="http://schemas.openxmlformats.org/officeDocument/2006/relationships/hyperlink" Target="https://drive.google.com/file/d/1gVHd7eSNvjmDXUMFxdFWQy6anW_O3NP3/view?usp=sharing" TargetMode="External"/><Relationship Id="rId207" Type="http://schemas.openxmlformats.org/officeDocument/2006/relationships/hyperlink" Target="https://www.tiendaimex.com/inicio/70-tintas-de-sublimacion-koreana-standar-.html" TargetMode="External"/><Relationship Id="rId328" Type="http://schemas.openxmlformats.org/officeDocument/2006/relationships/hyperlink" Target="https://docs.google.com/spreadsheets/d/12HOLSk2pY1obMq07YN7_ZxNM5yfMgf5OhvLTnmOC0ZM/edit?gid=0" TargetMode="External"/><Relationship Id="rId449" Type="http://schemas.openxmlformats.org/officeDocument/2006/relationships/hyperlink" Target="https://drive.google.com/file/d/1h4VAVdnpYwVJWfv9Am07uX69gQjmocj4/view?usp=sharing" TargetMode="External"/><Relationship Id="rId440" Type="http://schemas.openxmlformats.org/officeDocument/2006/relationships/hyperlink" Target="https://docs.google.com/spreadsheets/d/1I4hLYYHcokHTIK7c-56fm4PB1lHP8tBaww__0BkwLxo/edit?usp=sharing" TargetMode="External"/><Relationship Id="rId561" Type="http://schemas.openxmlformats.org/officeDocument/2006/relationships/hyperlink" Target="https://drive.google.com/file/d/18QObBMdkdbxawOmVcLCnjq1PR6AWIUKE/view?usp=sharing" TargetMode="External"/><Relationship Id="rId560" Type="http://schemas.openxmlformats.org/officeDocument/2006/relationships/hyperlink" Target="https://www.aslak.es/madera/5931021-plato-t-madera-100m-4-garras-set-1.html" TargetMode="External"/><Relationship Id="rId202" Type="http://schemas.openxmlformats.org/officeDocument/2006/relationships/hyperlink" Target="https://drive.google.com/file/d/1I-M-Ra6pUId8KiuqWqyTcLG-tCLYFcq3/view?usp=sharing" TargetMode="External"/><Relationship Id="rId323" Type="http://schemas.openxmlformats.org/officeDocument/2006/relationships/hyperlink" Target="https://drive.google.com/file/d/1gVHd7eSNvjmDXUMFxdFWQy6anW_O3NP3/view?usp=sharing" TargetMode="External"/><Relationship Id="rId444" Type="http://schemas.openxmlformats.org/officeDocument/2006/relationships/hyperlink" Target="https://docs.google.com/spreadsheets/d/1y-P86vnJEBt2VYHhphiajt-SvCgbLIEbB1rxgDH_MbU/edit?gid=0" TargetMode="External"/><Relationship Id="rId565" Type="http://schemas.openxmlformats.org/officeDocument/2006/relationships/hyperlink" Target="https://drive.google.com/file/d/15II6pN8lLiJghCcshC2bnO6ky1nJkwg1/view?usp=sharing" TargetMode="External"/><Relationship Id="rId201" Type="http://schemas.openxmlformats.org/officeDocument/2006/relationships/hyperlink" Target="https://docs.google.com/spreadsheets/d/1s59D0MyCsW1SRYIZ9k8eMvoBVhqQjlyamiZyHSVOmxE/edit?gid=0" TargetMode="External"/><Relationship Id="rId322" Type="http://schemas.openxmlformats.org/officeDocument/2006/relationships/hyperlink" Target="https://www.amazon.es/Neewer-Articulado-Suspensi%C3%B3n-Micr%C3%B3fono-Radiodifusi%C3%B3n/dp/B00DFUEZZI/ref=sr_1_2?__mk_es_ES=%C3%85M%C3%85%C5%BD%C3%95%C3%91&amp;crid=1V12K0IDRIZE4&amp;dib=eyJ2IjoiMSJ9.7TcGTtmuyQaHXAV3aOtVDfe-Qjecg22SyJIAA-ZRmVKZdQFpKZCmmQlkIq186wyRt4hGe4LYN9gEpkglqbTIhJ15Y51UEtMK-VoG4xua1zA2Od_r2utcd10DPHY5ehSMLliEm192uU4PbmsKqwlRHjoe540aaIaGqirxFKN5NQ7yoBXfChP9vbBwXg38RoWkcfSJF66_NSDs2GQsnCQcgcasz0PUR57QMHx5E-mqFz3GzpcLzByZD3hKnOby-95LjgFuW_KF8mxnESvjDH22sLsFmK_jueyN-kPyWILAbGY.PeMxaPhS3FsWOLCOpw5CdUFospbsxKPqD92stShP58A&amp;dib_tag=se&amp;keywords=Brazo+articulado+acoplable+%225%2F8%22&amp;qid=1764691595&amp;refinements=p_36%3A2493682031&amp;rnid=2493681031&amp;s=musical-instruments&amp;sprefix=brazo+articulado+acoplable+%225%2F8+%2Cmi%2C240&amp;sr=1-2" TargetMode="External"/><Relationship Id="rId443" Type="http://schemas.openxmlformats.org/officeDocument/2006/relationships/hyperlink" Target="https://drive.google.com/file/d/1I-M-Ra6pUId8KiuqWqyTcLG-tCLYFcq3/view?usp=sharing" TargetMode="External"/><Relationship Id="rId564" Type="http://schemas.openxmlformats.org/officeDocument/2006/relationships/hyperlink" Target="https://docs.google.com/spreadsheets/d/1B2w375Nt7DiZOUnrccsQYtp4emVNXv4CJ73obT9dCZA/edit?gid=0" TargetMode="External"/><Relationship Id="rId200" Type="http://schemas.openxmlformats.org/officeDocument/2006/relationships/hyperlink" Target="https://drive.google.com/file/d/1BZ2N5EASu7KqA43xkUocI7QoYhjba-W1/view?usp=sharing" TargetMode="External"/><Relationship Id="rId321" Type="http://schemas.openxmlformats.org/officeDocument/2006/relationships/hyperlink" Target="https://docs.google.com/spreadsheets/d/15j7F_Mdo1TdjgL_LoCHNn6otnvzUymtgxazIUSEuE_s/edit?usp=sharing" TargetMode="External"/><Relationship Id="rId442" Type="http://schemas.openxmlformats.org/officeDocument/2006/relationships/hyperlink" Target="https://docs.google.com/spreadsheets/d/1Cu2OdFMWp1SjCcV1lon6xcr5grG9I1G35XwPH-CHLLU/edit?gid=0" TargetMode="External"/><Relationship Id="rId563" Type="http://schemas.openxmlformats.org/officeDocument/2006/relationships/hyperlink" Target="https://drive.google.com/file/d/15II6pN8lLiJghCcshC2bnO6ky1nJkwg1/view?usp=sharing" TargetMode="External"/><Relationship Id="rId320" Type="http://schemas.openxmlformats.org/officeDocument/2006/relationships/hyperlink" Target="https://drive.google.com/file/d/1I-M-Ra6pUId8KiuqWqyTcLG-tCLYFcq3/view?usp=sharing" TargetMode="External"/><Relationship Id="rId441" Type="http://schemas.openxmlformats.org/officeDocument/2006/relationships/hyperlink" Target="https://drive.google.com/file/d/1h4VAVdnpYwVJWfv9Am07uX69gQjmocj4/view?usp=sharing" TargetMode="External"/><Relationship Id="rId562" Type="http://schemas.openxmlformats.org/officeDocument/2006/relationships/hyperlink" Target="https://docs.google.com/spreadsheets/d/1UxsGctrN7Bu_UHH8Fzted3fjYZy67evg7v1pTr6qOTQ/edit?gid=0" TargetMode="External"/><Relationship Id="rId316" Type="http://schemas.openxmlformats.org/officeDocument/2006/relationships/hyperlink" Target="https://docs.google.com/spreadsheets/d/1kxPqpgfTRBs1WAxPdCnoZFuEXEt87gCySwoJCqvOqOE/edit?usp=sharing" TargetMode="External"/><Relationship Id="rId437" Type="http://schemas.openxmlformats.org/officeDocument/2006/relationships/hyperlink" Target="https://drive.google.com/file/d/1I-M-Ra6pUId8KiuqWqyTcLG-tCLYFcq3/view?usp=sharing" TargetMode="External"/><Relationship Id="rId558" Type="http://schemas.openxmlformats.org/officeDocument/2006/relationships/hyperlink" Target="https://drive.google.com/file/d/1WwLY1lQi2XiSE0OtUotd4iudcZnmUB5t/view?usp=sharing" TargetMode="External"/><Relationship Id="rId315" Type="http://schemas.openxmlformats.org/officeDocument/2006/relationships/hyperlink" Target="https://drive.google.com/file/d/1I-M-Ra6pUId8KiuqWqyTcLG-tCLYFcq3/view?usp=sharing" TargetMode="External"/><Relationship Id="rId436" Type="http://schemas.openxmlformats.org/officeDocument/2006/relationships/hyperlink" Target="https://docs.google.com/spreadsheets/d/1YMMmlxpjehZPJbv38AaWDGk2dalKp_kiJ9Ffu2I9LTI/edit?usp=sharing" TargetMode="External"/><Relationship Id="rId557" Type="http://schemas.openxmlformats.org/officeDocument/2006/relationships/hyperlink" Target="https://docs.google.com/spreadsheets/d/1yBdhzFiHafFGW15IDumpIePcyBVJNqNrLuovwoGVqeQ/edit?gid=0" TargetMode="External"/><Relationship Id="rId314" Type="http://schemas.openxmlformats.org/officeDocument/2006/relationships/hyperlink" Target="https://www.coolbox.pe/pilas-alcalinas-radioshack-aa-x6-2309316/p" TargetMode="External"/><Relationship Id="rId435" Type="http://schemas.openxmlformats.org/officeDocument/2006/relationships/hyperlink" Target="https://drive.google.com/file/d/1I-M-Ra6pUId8KiuqWqyTcLG-tCLYFcq3/view?usp=sharing" TargetMode="External"/><Relationship Id="rId556" Type="http://schemas.openxmlformats.org/officeDocument/2006/relationships/hyperlink" Target="https://drive.google.com/file/d/1YH9h9tbwIk3ZRor_6eb1LK55_rFPY5cG/view?usp=sharing" TargetMode="External"/><Relationship Id="rId313" Type="http://schemas.openxmlformats.org/officeDocument/2006/relationships/hyperlink" Target="https://docs.google.com/spreadsheets/d/1g4eJWIRIBfcME5PlQL0p_lDtqIkQ9e8EJf8sKjagKDo/edit?gid=0" TargetMode="External"/><Relationship Id="rId434" Type="http://schemas.openxmlformats.org/officeDocument/2006/relationships/hyperlink" Target="https://docs.google.com/spreadsheets/d/18-yx8BK3EYtOjsAEsT67c__aOp8tpdsKbOluHsxNtO0/edit?usp=sharing" TargetMode="External"/><Relationship Id="rId555" Type="http://schemas.openxmlformats.org/officeDocument/2006/relationships/hyperlink" Target="https://docs.google.com/spreadsheets/d/16-UOxWiytik5e6fk20t_03pIultNEf95s3aOnj-7rVQ/edit?gid=0" TargetMode="External"/><Relationship Id="rId319" Type="http://schemas.openxmlformats.org/officeDocument/2006/relationships/hyperlink" Target="https://docs.google.com/spreadsheets/d/1kEnnXn4_WR_3Ngz909NtwGIqiiDTdrAI/edit?gid=763252401" TargetMode="External"/><Relationship Id="rId318" Type="http://schemas.openxmlformats.org/officeDocument/2006/relationships/hyperlink" Target="https://drive.google.com/file/d/1_UHuH37ATrm911Ohx4aL_9Z3m--yiXpV/view?usp=sharing" TargetMode="External"/><Relationship Id="rId439" Type="http://schemas.openxmlformats.org/officeDocument/2006/relationships/hyperlink" Target="https://drive.google.com/file/d/1h4VAVdnpYwVJWfv9Am07uX69gQjmocj4/view?usp=sharing" TargetMode="External"/><Relationship Id="rId317" Type="http://schemas.openxmlformats.org/officeDocument/2006/relationships/hyperlink" Target="https://www.amazon.es/Neewer-Articulado-Suspensi%C3%B3n-Micr%C3%B3fono-Radiodifusi%C3%B3n/dp/B00DFUEZZI/ref=sr_1_2?__mk_es_ES=%C3%85M%C3%85%C5%BD%C3%95%C3%91&amp;crid=1V12K0IDRIZE4&amp;dib=eyJ2IjoiMSJ9.7TcGTtmuyQaHXAV3aOtVDfe-Qjecg22SyJIAA-ZRmVKZdQFpKZCmmQlkIq186wyRt4hGe4LYN9gEpkglqbTIhJ15Y51UEtMK-VoG4xua1zA2Od_r2utcd10DPHY5ehSMLliEm192uU4PbmsKqwlRHjoe540aaIaGqirxFKN5NQ7yoBXfChP9vbBwXg38RoWkcfSJF66_NSDs2GQsnCQcgcasz0PUR57QMHx5E-mqFz3GzpcLzByZD3hKnOby-95LjgFuW_KF8mxnESvjDH22sLsFmK_jueyN-kPyWILAbGY.PeMxaPhS3FsWOLCOpw5CdUFospbsxKPqD92stShP58A&amp;dib_tag=se&amp;keywords=Brazo+articulado+acoplable+%225%2F8%22&amp;qid=1764691595&amp;refinements=p_36%3A2493682031&amp;rnid=2493681031&amp;s=musical-instruments&amp;sprefix=brazo+articulado+acoplable+%225%2F8+%2Cmi%2C240&amp;sr=1-2" TargetMode="External"/><Relationship Id="rId438" Type="http://schemas.openxmlformats.org/officeDocument/2006/relationships/hyperlink" Target="https://docs.google.com/spreadsheets/d/1TKM8UQjQcQuZkOYgfEej6U7MRaajPY8lkGq1uIa9Bl8/edit?usp=sharing" TargetMode="External"/><Relationship Id="rId559" Type="http://schemas.openxmlformats.org/officeDocument/2006/relationships/hyperlink" Target="https://docs.google.com/spreadsheets/d/1xOe2ruSaLp9MRXeDoHoqWBRX11yAIW5XuBeMsgojL1k/edit?gid=0" TargetMode="External"/><Relationship Id="rId550" Type="http://schemas.openxmlformats.org/officeDocument/2006/relationships/hyperlink" Target="https://drive.google.com/file/d/15II6pN8lLiJghCcshC2bnO6ky1nJkwg1/view?usp=sharing" TargetMode="External"/><Relationship Id="rId312" Type="http://schemas.openxmlformats.org/officeDocument/2006/relationships/hyperlink" Target="https://drive.google.com/file/d/15II6pN8lLiJghCcshC2bnO6ky1nJkwg1/view?usp=sharing" TargetMode="External"/><Relationship Id="rId433" Type="http://schemas.openxmlformats.org/officeDocument/2006/relationships/hyperlink" Target="https://drive.google.com/file/d/18QObBMdkdbxawOmVcLCnjq1PR6AWIUKE/view?usp=sharing" TargetMode="External"/><Relationship Id="rId554" Type="http://schemas.openxmlformats.org/officeDocument/2006/relationships/hyperlink" Target="https://drive.google.com/file/d/15II6pN8lLiJghCcshC2bnO6ky1nJkwg1/view?usp=sharing" TargetMode="External"/><Relationship Id="rId311" Type="http://schemas.openxmlformats.org/officeDocument/2006/relationships/hyperlink" Target="https://sodimac.falabella.com.pe/sodimac-pe/product/113522242/Pila-Boton-Energizer-CR2032-3V/113522247" TargetMode="External"/><Relationship Id="rId432" Type="http://schemas.openxmlformats.org/officeDocument/2006/relationships/hyperlink" Target="https://docs.google.com/spreadsheets/d/1AdIOdUrFFSoJsdlv9o6T4hyDMpZbccuA/edit?usp=drive_link&amp;ouid=118222155085436213683&amp;rtpof=true&amp;sd=true" TargetMode="External"/><Relationship Id="rId553" Type="http://schemas.openxmlformats.org/officeDocument/2006/relationships/hyperlink" Target="https://docs.google.com/spreadsheets/d/1_UWSqoFwJYamOePuxLxgZYBC68KN6dzUCzlbiFAtnJ8/edit?gid=0" TargetMode="External"/><Relationship Id="rId310" Type="http://schemas.openxmlformats.org/officeDocument/2006/relationships/hyperlink" Target="https://docs.google.com/spreadsheets/d/1PrY_yG0UIP1DSFapNzbAzA1xootGhzG-xSw_tjr8P6k/edit?gid=0" TargetMode="External"/><Relationship Id="rId431" Type="http://schemas.openxmlformats.org/officeDocument/2006/relationships/hyperlink" Target="https://drive.google.com/file/d/1_UHuH37ATrm911Ohx4aL_9Z3m--yiXpV/view?usp=sharing" TargetMode="External"/><Relationship Id="rId552" Type="http://schemas.openxmlformats.org/officeDocument/2006/relationships/hyperlink" Target="https://drive.google.com/file/d/15II6pN8lLiJghCcshC2bnO6ky1nJkwg1/view?usp=sharing" TargetMode="External"/><Relationship Id="rId430" Type="http://schemas.openxmlformats.org/officeDocument/2006/relationships/hyperlink" Target="https://docs.google.com/spreadsheets/d/1r8MsoXQ28u70CcWWN9sDoWsOuznfGQKeBpjvA1rfzwM/edit?gid=0" TargetMode="External"/><Relationship Id="rId551" Type="http://schemas.openxmlformats.org/officeDocument/2006/relationships/hyperlink" Target="https://docs.google.com/spreadsheets/d/158JZAPPnA16I5QyR2DT45yJ1U-9QARr0L4UJgZQgnX0/edit?gid=0"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rodavigo.net/es/p/juego-de-micrometros-de-50-a-300-mm-ref-mitutoyo-133-902/509133902" TargetMode="External"/><Relationship Id="rId194" Type="http://schemas.openxmlformats.org/officeDocument/2006/relationships/hyperlink" Target="https://docs.google.com/spreadsheets/d/1XX-5M4qn0KQ-Iiwy3rF3cPW-su1iBxMNH-GMzpIvJZo/edit?gid=0" TargetMode="External"/><Relationship Id="rId193" Type="http://schemas.openxmlformats.org/officeDocument/2006/relationships/hyperlink" Target="https://drive.google.com/file/d/1WwLY1lQi2XiSE0OtUotd4iudcZnmUB5t/view?usp=sharing" TargetMode="External"/><Relationship Id="rId192" Type="http://schemas.openxmlformats.org/officeDocument/2006/relationships/hyperlink" Target="https://www.higherprecision.com/products/bore-gages/mitutoyo-steel-setting-ring-range-90mm-type-a-177-148?srsltid=AfmBOoqGqJ5z4vysNOpwB9emlGZCY4PH46b7Bd-yw0o3osmZTq5RAvOe" TargetMode="External"/><Relationship Id="rId191" Type="http://schemas.openxmlformats.org/officeDocument/2006/relationships/hyperlink" Target="https://www.higherprecision.com/products/bore-gages/mitutoyo-steel-setting-ring-range-50mm-type-a-177-146?srsltid=AfmBOooLrJdB9RWTj6j13LmwqU9pnVuJd8gZA6pIqWLOH9PZxk_HPWKv" TargetMode="External"/><Relationship Id="rId187" Type="http://schemas.openxmlformats.org/officeDocument/2006/relationships/hyperlink" Target="https://www.msdiscounttool.com/catalog/product_info.php?products_id=89608&amp;srsltid=AfmBOo%20ogOBEYTm-FkrTRwSEGRNe5RDRXwRqS1Wgg952iRD8Pp8vl6Ij-" TargetMode="External"/><Relationship Id="rId186" Type="http://schemas.openxmlformats.org/officeDocument/2006/relationships/hyperlink" Target="https://www.msdiscounttool.com/catalog/product_info.php?products_id=89608&amp;srsltid=AfmBOoogOBEYTm-FkrTRwSEGRNe5RDRXwRqS1Wgg952iRD8Pp8vl6Ij-" TargetMode="External"/><Relationship Id="rId185" Type="http://schemas.openxmlformats.org/officeDocument/2006/relationships/hyperlink" Target="https://es.global.toolstoday.com/v-12923-hss1605.html" TargetMode="External"/><Relationship Id="rId184" Type="http://schemas.openxmlformats.org/officeDocument/2006/relationships/hyperlink" Target="https://www.amanatool.com/hss1605-hss-double-straight-o-flute-plastic-cutting-1-4-dia-x-2-x-1-4-inch-shank.html" TargetMode="External"/><Relationship Id="rId189" Type="http://schemas.openxmlformats.org/officeDocument/2006/relationships/hyperlink" Target="https://docs.google.com/spreadsheets/d/1gZRkd8NOxpHH9iVHti0M6tSaImuoXfAvW4T6M_HKBHw/edit?gid=0" TargetMode="External"/><Relationship Id="rId188" Type="http://schemas.openxmlformats.org/officeDocument/2006/relationships/hyperlink" Target="https://drive.google.com/file/d/1h4VAVdnpYwVJWfv9Am07uX69gQjmocj4/view?usp=sharing" TargetMode="External"/><Relationship Id="rId183" Type="http://schemas.openxmlformats.org/officeDocument/2006/relationships/hyperlink" Target="https://es.global.toolstoday.com/v-13258-hss1629.html?glCountry=PE&amp;glCurrency=USD" TargetMode="External"/><Relationship Id="rId182" Type="http://schemas.openxmlformats.org/officeDocument/2006/relationships/hyperlink" Target="https://www.amanatool.com/hss1629-high-speed-steel-hss-single-flute-spiral-aluminum-cutting-1-4-dia-x-1-x-1-4-inch-shank-down-cut-router-bit.html" TargetMode="External"/><Relationship Id="rId181" Type="http://schemas.openxmlformats.org/officeDocument/2006/relationships/hyperlink" Target="https://idcwoodcraft.com/products/the-hog-long-1-4-roughing-endmill-bit-for-cnc-routers-1-4-shank?srsltid=AfmBOoqU3XqrsZ6Qh82BceVrejcjsDCD-9O6RpuJWJxsvNuoVE8bSVWD" TargetMode="External"/><Relationship Id="rId180" Type="http://schemas.openxmlformats.org/officeDocument/2006/relationships/hyperlink" Target="https://idcwoodcraft.com/products/the-hog-long-1-4-roughing-endmill-bit-for-cnc-routers-1-4-shank?srsltid=AfmBOoqU3XqrsZ6Qh82BceVrejcjsDCD-9O6RpuJWJxsvNuoVE8bSVWD" TargetMode="External"/><Relationship Id="rId176" Type="http://schemas.openxmlformats.org/officeDocument/2006/relationships/hyperlink" Target="https://www.amazon.com/SPTA-Carbide-Engraving-Woodworking-Drilling/dp/B013P10ES8" TargetMode="External"/><Relationship Id="rId175" Type="http://schemas.openxmlformats.org/officeDocument/2006/relationships/hyperlink" Target="https://docs.google.com/spreadsheets/d/1DZbtN857Yr8UQoO0Fcie3qvWmO5Spz8PkCW27SaWWTk/edit?gid=0" TargetMode="External"/><Relationship Id="rId174" Type="http://schemas.openxmlformats.org/officeDocument/2006/relationships/hyperlink" Target="https://drive.google.com/file/d/1WwLY1lQi2XiSE0OtUotd4iudcZnmUB5t/view?usp=sharing" TargetMode="External"/><Relationship Id="rId173" Type="http://schemas.openxmlformats.org/officeDocument/2006/relationships/hyperlink" Target="https://drive.google.com/file/d/1lsNJZe6pHekpOr4RDny79y3pdC6wf9Z9/view?usp=sharing" TargetMode="External"/><Relationship Id="rId179" Type="http://schemas.openxmlformats.org/officeDocument/2006/relationships/hyperlink" Target="https://www.amazon.com/Aoranto-EZ23038-pulgadas-industrial-revestimiento/dp/B0DM6N12QC/ref=sr_1_1_sspa?__mk_es_US=%C3%85M%C3%85%C5%BD%C3%95%C3%91&amp;crid=31YBGE7KOJ2HO&amp;dib=eyJ2IjoiMSJ9.Yiwkd0B1OnUWT_axy0cM7BTifYQGzvHZe02cDf8I20izhonXMuJBegRcuehWwLQ_HpaUdd8mqR183FxaWfRjHM1ymE4Qj5ezozsLR5MaXl51WyIU_aXs683qSe3xMhHQ3hQO1hX8A1fsDpKyRTepP6Y58OFuncN8vNZT8OMRDG0yb1ad1tQWKiY-GqRQAofoyLFcJ5oD9y3Xef7W7nc9TdwSKQstA6Vziw-sygQxxho.V7kloB58MdXO1KCNjzZpikdTy7dPmSN-LjuK14iFgtg&amp;dib_tag=se&amp;keywords=Tapered%2BBall%2BNose%2Bmill%2B1%2F4&amp;qid=1767196344&amp;sprefix=tapered%2Bball%2Bnose%2Bmill%2B1%2F%2Caps%2C170&amp;sr=8-1-spons&amp;sp_csd=d2lkZ2V0TmFtZT1zcF9hdGY&amp;th=1" TargetMode="External"/><Relationship Id="rId178" Type="http://schemas.openxmlformats.org/officeDocument/2006/relationships/hyperlink" Target="https://www.amazon.com/Conical-Tool-Company-P-404-Tapered/dp/B019N368FK" TargetMode="External"/><Relationship Id="rId177" Type="http://schemas.openxmlformats.org/officeDocument/2006/relationships/hyperlink" Target="https://www.amazon.com/SPTA-Carbide-Engraving-Woodworking-Drilling/dp/B013P10ES8" TargetMode="External"/><Relationship Id="rId198" Type="http://schemas.openxmlformats.org/officeDocument/2006/relationships/hyperlink" Target="https://drive.google.com/file/d/1th-WR_XvETHabCfSX4sNUzqrRQOsPilL/view?usp=drive_link" TargetMode="External"/><Relationship Id="rId197" Type="http://schemas.openxmlformats.org/officeDocument/2006/relationships/hyperlink" Target="https://articulo.mercadolibre.com.pe/MPE-658676440-tijeras-de-bordado-negras-de-4-pulgadas-_JM" TargetMode="External"/><Relationship Id="rId196" Type="http://schemas.openxmlformats.org/officeDocument/2006/relationships/hyperlink" Target="https://docs.google.com/spreadsheets/d/1oRsDvOeNf2KNMvEHie1dU8HUC9LxNdbIuQ0uRWNoTpE/edit?gid=0" TargetMode="External"/><Relationship Id="rId195" Type="http://schemas.openxmlformats.org/officeDocument/2006/relationships/hyperlink" Target="https://drive.google.com/file/d/1BZ2N5EASu7KqA43xkUocI7QoYhjba-W1/view?usp=sharing" TargetMode="External"/><Relationship Id="rId199" Type="http://schemas.openxmlformats.org/officeDocument/2006/relationships/hyperlink" Target="https://www.sodimac.com.pe/sodimac-pe/articulo/138891799/Tijera-9-industrial-para-sastre-truper/138891800?kid=goosho_669251&amp;shop=googleShopping&amp;gad_source=1&amp;gad_campaignid=21524729896&amp;gbraid=0AAAAADOx_19eQr38Em6jOfQHqo0Qgb_MO&amp;gclid=CjwKCAjwgeLHBhBuEiwAL5gNEYGIDSlgupY0z9gKzJIxzpqaRZMUpDofvU6uFbhUDrB-wt1T0cw6lRoCbGIQAvD_BwE" TargetMode="External"/><Relationship Id="rId150" Type="http://schemas.openxmlformats.org/officeDocument/2006/relationships/hyperlink" Target="https://docs.google.com/spreadsheets/d/1Ul_x2NSAzZvaXXaRiqOyjqxKUP0LQyDTIIHBl06k2Cs/edit?gid=0" TargetMode="External"/><Relationship Id="rId392" Type="http://schemas.openxmlformats.org/officeDocument/2006/relationships/hyperlink" Target="https://www.cimbis.es/es/catalog/producto/estuche-porta-alicates-gris-task" TargetMode="External"/><Relationship Id="rId391" Type="http://schemas.openxmlformats.org/officeDocument/2006/relationships/hyperlink" Target="https://drive.google.com/file/d/15II6pN8lLiJghCcshC2bnO6ky1nJkwg1/view?usp=sharing" TargetMode="External"/><Relationship Id="rId390" Type="http://schemas.openxmlformats.org/officeDocument/2006/relationships/hyperlink" Target="https://drive.google.com/drive/folders/1Q6KY0XfHbVu-HqzDMNEnR9FPIyB6K_X8" TargetMode="External"/><Relationship Id="rId1" Type="http://schemas.openxmlformats.org/officeDocument/2006/relationships/comments" Target="../comments2.xml"/><Relationship Id="rId2" Type="http://schemas.openxmlformats.org/officeDocument/2006/relationships/hyperlink" Target="https://drive.google.com/file/d/1BZ2N5EASu7KqA43xkUocI7QoYhjba-W1/view?usp=sharing" TargetMode="External"/><Relationship Id="rId3" Type="http://schemas.openxmlformats.org/officeDocument/2006/relationships/hyperlink" Target="https://docs.google.com/spreadsheets/d/1QtI9cgdk8v3vleJ3v8zHWLNz-wdQBK7p_g8xrK1ow9k/edit?gid=0" TargetMode="External"/><Relationship Id="rId149" Type="http://schemas.openxmlformats.org/officeDocument/2006/relationships/hyperlink" Target="https://drive.google.com/file/d/18QObBMdkdbxawOmVcLCnjq1PR6AWIUKE/view?usp=sharing" TargetMode="External"/><Relationship Id="rId4" Type="http://schemas.openxmlformats.org/officeDocument/2006/relationships/hyperlink" Target="https://drive.google.com/file/d/18QObBMdkdbxawOmVcLCnjq1PR6AWIUKE/view?usp=sharing" TargetMode="External"/><Relationship Id="rId148" Type="http://schemas.openxmlformats.org/officeDocument/2006/relationships/hyperlink" Target="https://docs.google.com/spreadsheets/d/1Y2NIXofAx2-9N12wbeNtZuDGMz_lzDWt0UmX-80dagU/edit?gid=0" TargetMode="External"/><Relationship Id="rId9" Type="http://schemas.openxmlformats.org/officeDocument/2006/relationships/hyperlink" Target="https://docs.google.com/spreadsheets/d/1HyKbwE-0vyQ5RiUX5Je38gcMmRyk6WvD75acTdUHrL0/edit?gid=0" TargetMode="External"/><Relationship Id="rId143" Type="http://schemas.openxmlformats.org/officeDocument/2006/relationships/hyperlink" Target="https://drive.google.com/file/d/1_UHuH37ATrm911Ohx4aL_9Z3m--yiXpV/view?usp=sharing" TargetMode="External"/><Relationship Id="rId385" Type="http://schemas.openxmlformats.org/officeDocument/2006/relationships/hyperlink" Target="https://drive.google.com/file/d/1h4VAVdnpYwVJWfv9Am07uX69gQjmocj4/view?usp=sharing" TargetMode="External"/><Relationship Id="rId142" Type="http://schemas.openxmlformats.org/officeDocument/2006/relationships/hyperlink" Target="https://drive.google.com/file/d/1G2mauVmHuuAva2C6gtGETY9hntLfOxxH/view" TargetMode="External"/><Relationship Id="rId384" Type="http://schemas.openxmlformats.org/officeDocument/2006/relationships/hyperlink" Target="https://drive.google.com/drive/folders/1Q6KY0XfHbVu-HqzDMNEnR9FPIyB6K_X8" TargetMode="External"/><Relationship Id="rId141" Type="http://schemas.openxmlformats.org/officeDocument/2006/relationships/hyperlink" Target="https://docs.google.com/spreadsheets/d/1eig10P6eF7QJkHWRTpDWzOBQx4N8SbHtcPaeDKYqeoU/edit?gid=0" TargetMode="External"/><Relationship Id="rId383" Type="http://schemas.openxmlformats.org/officeDocument/2006/relationships/hyperlink" Target="https://docs.google.com/spreadsheets/d/1Q46KpOU2Ik2FsRj5tx1wx5ujrxLhR2_2TGITfJ2qiPQ/edit?gid=0" TargetMode="External"/><Relationship Id="rId140" Type="http://schemas.openxmlformats.org/officeDocument/2006/relationships/hyperlink" Target="https://drive.google.com/file/d/15II6pN8lLiJghCcshC2bnO6ky1nJkwg1/view?usp=sharing" TargetMode="External"/><Relationship Id="rId382" Type="http://schemas.openxmlformats.org/officeDocument/2006/relationships/hyperlink" Target="https://drive.google.com/file/d/1gVHd7eSNvjmDXUMFxdFWQy6anW_O3NP3/view?usp=sharing" TargetMode="External"/><Relationship Id="rId5" Type="http://schemas.openxmlformats.org/officeDocument/2006/relationships/hyperlink" Target="https://docs.google.com/spreadsheets/d/1ergXXhN_p4zESSEIU4vBuHk4s__rZjB9VbfDNm3NXtU/edit?gid=0" TargetMode="External"/><Relationship Id="rId147" Type="http://schemas.openxmlformats.org/officeDocument/2006/relationships/hyperlink" Target="https://drive.google.com/file/d/1WwLY1lQi2XiSE0OtUotd4iudcZnmUB5t/view?usp=sharing" TargetMode="External"/><Relationship Id="rId389" Type="http://schemas.openxmlformats.org/officeDocument/2006/relationships/hyperlink" Target="https://docs.google.com/spreadsheets/d/10rou9KqZ9dslkRwbru9rzJKqqEwEspqCcdv_ai1R6QM/edit?gid=0" TargetMode="External"/><Relationship Id="rId6" Type="http://schemas.openxmlformats.org/officeDocument/2006/relationships/hyperlink" Target="https://drive.google.com/file/d/1WwLY1lQi2XiSE0OtUotd4iudcZnmUB5t/view?usp=sharing" TargetMode="External"/><Relationship Id="rId146" Type="http://schemas.openxmlformats.org/officeDocument/2006/relationships/hyperlink" Target="https://docs.google.com/spreadsheets/d/17v1c33exdP70NyI1fEUra-wNXwT839Y5I5cFlklBxBg/edit?gid=0" TargetMode="External"/><Relationship Id="rId388" Type="http://schemas.openxmlformats.org/officeDocument/2006/relationships/hyperlink" Target="https://drive.google.com/file/d/1gVHd7eSNvjmDXUMFxdFWQy6anW_O3NP3/view?usp=sharing" TargetMode="External"/><Relationship Id="rId7" Type="http://schemas.openxmlformats.org/officeDocument/2006/relationships/hyperlink" Target="https://docs.google.com/spreadsheets/d/1RDnPddNi_fyO752K-I-s4MeNRX1cwU5d7Ue1KKrWiu4/edit?gid=0" TargetMode="External"/><Relationship Id="rId145" Type="http://schemas.openxmlformats.org/officeDocument/2006/relationships/hyperlink" Target="https://drive.google.com/file/d/1h4VAVdnpYwVJWfv9Am07uX69gQjmocj4/view?usp=sharing" TargetMode="External"/><Relationship Id="rId387" Type="http://schemas.openxmlformats.org/officeDocument/2006/relationships/hyperlink" Target="https://drive.google.com/drive/folders/1Q6KY0XfHbVu-HqzDMNEnR9FPIyB6K_X8" TargetMode="External"/><Relationship Id="rId8" Type="http://schemas.openxmlformats.org/officeDocument/2006/relationships/hyperlink" Target="https://drive.google.com/file/d/1h4VAVdnpYwVJWfv9Am07uX69gQjmocj4/view?usp=sharing" TargetMode="External"/><Relationship Id="rId144" Type="http://schemas.openxmlformats.org/officeDocument/2006/relationships/hyperlink" Target="https://docs.google.com/spreadsheets/d/1Sfo1fEf3gThI0Gt2HtZM7-jGyGljxmPkHOQe8d-BAWY/edit?gid=0" TargetMode="External"/><Relationship Id="rId386" Type="http://schemas.openxmlformats.org/officeDocument/2006/relationships/hyperlink" Target="https://docs.google.com/spreadsheets/d/1hX-WMEj4MRJZKmMaiAs_BinF3z5h8tx8zeAIlkU2Scs/edit?gid=0" TargetMode="External"/><Relationship Id="rId381" Type="http://schemas.openxmlformats.org/officeDocument/2006/relationships/hyperlink" Target="https://drive.google.com/drive/folders/1Q6KY0XfHbVu-HqzDMNEnR9FPIyB6K_X8" TargetMode="External"/><Relationship Id="rId380" Type="http://schemas.openxmlformats.org/officeDocument/2006/relationships/hyperlink" Target="https://docs.google.com/spreadsheets/d/1986h1OGRzGJzEzrmBnghpKcBPs9c1p4KJ9elihpTpjE/edit?gid=0" TargetMode="External"/><Relationship Id="rId139" Type="http://schemas.openxmlformats.org/officeDocument/2006/relationships/hyperlink" Target="https://docs.google.com/spreadsheets/d/1wpSMb11hRCpcLHJGu8P4NanCqXLKSie_goJtK-W3PAg/edit?gid=0" TargetMode="External"/><Relationship Id="rId138" Type="http://schemas.openxmlformats.org/officeDocument/2006/relationships/hyperlink" Target="https://drive.google.com/file/d/1WwLY1lQi2XiSE0OtUotd4iudcZnmUB5t/view?usp=sharing" TargetMode="External"/><Relationship Id="rId137" Type="http://schemas.openxmlformats.org/officeDocument/2006/relationships/hyperlink" Target="https://www.amazon.com/dp/B09KN6RF28/ref=sspa_dk_hqp_detail_aax_0?sp_csd=d2lkZ2V0TmFtZT1zcF9ocXBfc2hhcmVk&amp;th=1" TargetMode="External"/><Relationship Id="rId379" Type="http://schemas.openxmlformats.org/officeDocument/2006/relationships/hyperlink" Target="https://www.cimbis.es/es/catalog/producto/estuche-porta-alicates-gris-task" TargetMode="External"/><Relationship Id="rId132" Type="http://schemas.openxmlformats.org/officeDocument/2006/relationships/hyperlink" Target="https://drive.google.com/file/d/1I-M-Ra6pUId8KiuqWqyTcLG-tCLYFcq3/view?usp=sharing" TargetMode="External"/><Relationship Id="rId374" Type="http://schemas.openxmlformats.org/officeDocument/2006/relationships/hyperlink" Target="https://www.instrumentacion-metrologia.es/epages/instrumentacion-metrologia.mobile/es_ES/;ClassicView=1?ObjectPath=/Shops/dcl/Products/177550-1" TargetMode="External"/><Relationship Id="rId131" Type="http://schemas.openxmlformats.org/officeDocument/2006/relationships/hyperlink" Target="https://docs.google.com/spreadsheets/d/1evSDJcPivSRRPJEsdGXf1WQCDJYNijrWUlqvqskcleo/edit?gid=0" TargetMode="External"/><Relationship Id="rId373" Type="http://schemas.openxmlformats.org/officeDocument/2006/relationships/hyperlink" Target="https://www.megataller.com/galgas-afilado-universal-55-60-90-120?srsltid=AfmBOorVvgJwJNVgMo_Os7vgibB7nmMXEMYdY8KlowwTM2BqM50WjIp3" TargetMode="External"/><Relationship Id="rId130" Type="http://schemas.openxmlformats.org/officeDocument/2006/relationships/hyperlink" Target="https://drive.google.com/file/d/18QObBMdkdbxawOmVcLCnjq1PR6AWIUKE/view?usp=sharing" TargetMode="External"/><Relationship Id="rId372" Type="http://schemas.openxmlformats.org/officeDocument/2006/relationships/hyperlink" Target="https://docs.google.com/spreadsheets/d/1LknFj6wJs800Cmc8qZkYTFHUdZMVOFYVWCb5u2xwTeY/edit?pli=1&amp;gid=0" TargetMode="External"/><Relationship Id="rId371" Type="http://schemas.openxmlformats.org/officeDocument/2006/relationships/hyperlink" Target="https://drive.google.com/file/d/18QObBMdkdbxawOmVcLCnjq1PR6AWIUKE/view?usp=sharing" TargetMode="External"/><Relationship Id="rId136" Type="http://schemas.openxmlformats.org/officeDocument/2006/relationships/hyperlink" Target="https://www.amazon.com/dp/B0BBDZ5HH1/ref=sspa_dk_hqp_detail_aax_0?sp_csd=d2lkZ2V0TmFtZT1zcF9ocXBfc2hhcmVk&amp;th=1" TargetMode="External"/><Relationship Id="rId378" Type="http://schemas.openxmlformats.org/officeDocument/2006/relationships/hyperlink" Target="https://drive.google.com/file/d/15II6pN8lLiJghCcshC2bnO6ky1nJkwg1/view?usp=sharing" TargetMode="External"/><Relationship Id="rId135" Type="http://schemas.openxmlformats.org/officeDocument/2006/relationships/hyperlink" Target="https://docs.google.com/spreadsheets/d/1QCQ2nHAtcPUEI8j76jI3omj-SAKh3OO0owGdBUudV4o/edit?gid=0" TargetMode="External"/><Relationship Id="rId377" Type="http://schemas.openxmlformats.org/officeDocument/2006/relationships/hyperlink" Target="https://www.bahco.com/pe_es/galgas-de-roscas-con-sistema-metrico-de-60---y-sistema-whitworth-de-55---pb_1537_.html" TargetMode="External"/><Relationship Id="rId134" Type="http://schemas.openxmlformats.org/officeDocument/2006/relationships/hyperlink" Target="https://drive.google.com/file/d/1WwLY1lQi2XiSE0OtUotd4iudcZnmUB5t/view?usp=sharing" TargetMode="External"/><Relationship Id="rId376" Type="http://schemas.openxmlformats.org/officeDocument/2006/relationships/hyperlink" Target="https://www.bahco.com/pe_es/galgas-de-roscas-con-sistema-metrico-de-60---y-sistema-whitworth-de-55---pb_1537_.html" TargetMode="External"/><Relationship Id="rId133" Type="http://schemas.openxmlformats.org/officeDocument/2006/relationships/hyperlink" Target="https://docs.google.com/spreadsheets/d/1rDYf8oNdjxUvcOzLUMZ-ByTmA-RkExxds7eD01oC5h0/edit?gid=0" TargetMode="External"/><Relationship Id="rId375" Type="http://schemas.openxmlformats.org/officeDocument/2006/relationships/hyperlink" Target="https://www.instrumentacion-metrologia.es/epages/instrumentacion-metrologia.mobile/es_ES/;ClassicView=1?ObjectPath=/Shops/dcl/Products/177550-7%2C5" TargetMode="External"/><Relationship Id="rId172" Type="http://schemas.openxmlformats.org/officeDocument/2006/relationships/hyperlink" Target="https://docs.google.com/spreadsheets/d/12XFvKFqvmZQoCStccimuq8fkV3GNXzUW0I7lyQwvCIY/edit?gid=0" TargetMode="External"/><Relationship Id="rId171" Type="http://schemas.openxmlformats.org/officeDocument/2006/relationships/hyperlink" Target="https://drive.google.com/file/d/1h4VAVdnpYwVJWfv9Am07uX69gQjmocj4/view?usp=sharing" TargetMode="External"/><Relationship Id="rId170" Type="http://schemas.openxmlformats.org/officeDocument/2006/relationships/hyperlink" Target="https://docs.google.com/spreadsheets/d/1MK5lgYdB3yTmrQvwLRguPJ8e8qrYo5UYnp5an0FVnIw/edit?gid=0" TargetMode="External"/><Relationship Id="rId165" Type="http://schemas.openxmlformats.org/officeDocument/2006/relationships/hyperlink" Target="https://drive.google.com/file/d/1WwLY1lQi2XiSE0OtUotd4iudcZnmUB5t/view?usp=sharing" TargetMode="External"/><Relationship Id="rId164" Type="http://schemas.openxmlformats.org/officeDocument/2006/relationships/hyperlink" Target="https://www.aibitech.com/herramientas-dados/dados-hexagonales-milimetricos/juego-dados-impacto-9pzas-17-19-21-22-23-24-27-30-32mm-e34-largo-bosch-2608003042-42469.html?srsltid=AfmBOopq-0DDXOUVP97bW-c4KaMhCPj1gSraLhXhqoGfrxxupLW4TFnl" TargetMode="External"/><Relationship Id="rId163" Type="http://schemas.openxmlformats.org/officeDocument/2006/relationships/hyperlink" Target="https://docs.google.com/spreadsheets/d/1h_6-s8gM6lPK2JXc8nZXErQ1znZvinlB8QhYc9VcFz8/edit?gid=0" TargetMode="External"/><Relationship Id="rId162" Type="http://schemas.openxmlformats.org/officeDocument/2006/relationships/hyperlink" Target="https://drive.google.com/file/d/1WwLY1lQi2XiSE0OtUotd4iudcZnmUB5t/view?usp=sharing" TargetMode="External"/><Relationship Id="rId169" Type="http://schemas.openxmlformats.org/officeDocument/2006/relationships/hyperlink" Target="https://drive.google.com/file/d/1WwLY1lQi2XiSE0OtUotd4iudcZnmUB5t/view?usp=sharing" TargetMode="External"/><Relationship Id="rId168" Type="http://schemas.openxmlformats.org/officeDocument/2006/relationships/hyperlink" Target="https://docs.google.com/spreadsheets/d/1mjYRBflbyZiqGH73TSxhhsU00YvJXzV8XHNY08QESsY/edit?gid=0" TargetMode="External"/><Relationship Id="rId167" Type="http://schemas.openxmlformats.org/officeDocument/2006/relationships/hyperlink" Target="https://drive.google.com/file/d/1WwLY1lQi2XiSE0OtUotd4iudcZnmUB5t/view?usp=sharing" TargetMode="External"/><Relationship Id="rId166" Type="http://schemas.openxmlformats.org/officeDocument/2006/relationships/hyperlink" Target="https://docs.google.com/spreadsheets/d/1GzweDzfnn-GpuRPXkeROl96fT1bcYrgI_WjEXgsOhLc/edit?gid=0" TargetMode="External"/><Relationship Id="rId161" Type="http://schemas.openxmlformats.org/officeDocument/2006/relationships/hyperlink" Target="https://drive.google.com/drive/u/0/folders/106Bclrf-ORv8uqJxSDnqi0MfJdQmOv-l" TargetMode="External"/><Relationship Id="rId160" Type="http://schemas.openxmlformats.org/officeDocument/2006/relationships/hyperlink" Target="https://store.ferrindustrial.com.pe/producto/compas-de-punta-de-12-302426-vogel-germany/" TargetMode="External"/><Relationship Id="rId159" Type="http://schemas.openxmlformats.org/officeDocument/2006/relationships/hyperlink" Target="https://drive.google.com/drive/u/0/folders/106Bclrf-ORv8uqJxSDnqi0MfJdQmOv-l" TargetMode="External"/><Relationship Id="rId154" Type="http://schemas.openxmlformats.org/officeDocument/2006/relationships/hyperlink" Target="https://drive.google.com/file/d/1WwLY1lQi2XiSE0OtUotd4iudcZnmUB5t/view?usp=sharing" TargetMode="External"/><Relationship Id="rId396" Type="http://schemas.openxmlformats.org/officeDocument/2006/relationships/hyperlink" Target="https://docs.google.com/spreadsheets/d/1gFDN6Zp7S_B9oGPMpz6VRJcrQs-YmqxaZYIv8By7G24/edit?gid=0" TargetMode="External"/><Relationship Id="rId153" Type="http://schemas.openxmlformats.org/officeDocument/2006/relationships/hyperlink" Target="https://www.promart.pe/juego-de-brocas-para-concreto-4-piezas-truper-102706-1001103288/p?srsltid=AfmBOop5CVDCM9sXyUue9htwnWTeRlXbZX-yOWjuUMNQSmb0SNw6Tyi3" TargetMode="External"/><Relationship Id="rId395" Type="http://schemas.openxmlformats.org/officeDocument/2006/relationships/hyperlink" Target="https://drive.google.com/file/d/1gVHd7eSNvjmDXUMFxdFWQy6anW_O3NP3/view?usp=sharing" TargetMode="External"/><Relationship Id="rId152" Type="http://schemas.openxmlformats.org/officeDocument/2006/relationships/hyperlink" Target="https://docs.google.com/spreadsheets/d/1vPhrwmdsahWxZD0e1WaofZZ-JSMfwnXhvpKP6RZ9Vbs/edit?gid=0" TargetMode="External"/><Relationship Id="rId394" Type="http://schemas.openxmlformats.org/officeDocument/2006/relationships/hyperlink" Target="https://drive.google.com/drive/folders/1Q6KY0XfHbVu-HqzDMNEnR9FPIyB6K_X8" TargetMode="External"/><Relationship Id="rId151" Type="http://schemas.openxmlformats.org/officeDocument/2006/relationships/hyperlink" Target="https://drive.google.com/file/d/1WwLY1lQi2XiSE0OtUotd4iudcZnmUB5t/view?usp=sharing" TargetMode="External"/><Relationship Id="rId393" Type="http://schemas.openxmlformats.org/officeDocument/2006/relationships/hyperlink" Target="https://docs.google.com/spreadsheets/d/1PT4m-baT-JW92jwKOjSTGleujKxObRjd_rMQHuxGnMg/edit?gid=0" TargetMode="External"/><Relationship Id="rId158" Type="http://schemas.openxmlformats.org/officeDocument/2006/relationships/hyperlink" Target="https://store.ferrindustrial.com.pe/producto/compas-interior-de-12-302446-vogel-germany/" TargetMode="External"/><Relationship Id="rId157" Type="http://schemas.openxmlformats.org/officeDocument/2006/relationships/hyperlink" Target="https://drive.google.com/drive/u/0/folders/106Bclrf-ORv8uqJxSDnqi0MfJdQmOv-l" TargetMode="External"/><Relationship Id="rId399" Type="http://schemas.openxmlformats.org/officeDocument/2006/relationships/hyperlink" Target="https://docs.google.com/spreadsheets/d/178WEmfjGlxgKeDraQlZcWYSaB8cQtXT6EpFQCKpe7tA/edit?gid=0" TargetMode="External"/><Relationship Id="rId156" Type="http://schemas.openxmlformats.org/officeDocument/2006/relationships/hyperlink" Target="https://store.ferrindustrial.com.pe/producto/compas-exterior-de-12-302466-vogel-germany/" TargetMode="External"/><Relationship Id="rId398" Type="http://schemas.openxmlformats.org/officeDocument/2006/relationships/hyperlink" Target="https://drive.google.com/file/d/15II6pN8lLiJghCcshC2bnO6ky1nJkwg1/view?usp=sharing" TargetMode="External"/><Relationship Id="rId155" Type="http://schemas.openxmlformats.org/officeDocument/2006/relationships/hyperlink" Target="https://docs.google.com/spreadsheets/d/1LlNa1QyI76ZDBdvIpeSNtF99kW2vq4HFglHdXPzUbag/edit?gid=0" TargetMode="External"/><Relationship Id="rId397" Type="http://schemas.openxmlformats.org/officeDocument/2006/relationships/hyperlink" Target="https://drive.google.com/drive/folders/1Q6KY0XfHbVu-HqzDMNEnR9FPIyB6K_X8" TargetMode="External"/><Relationship Id="rId808" Type="http://schemas.openxmlformats.org/officeDocument/2006/relationships/hyperlink" Target="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 TargetMode="External"/><Relationship Id="rId807" Type="http://schemas.openxmlformats.org/officeDocument/2006/relationships/hyperlink" Target="https://docs.google.com/spreadsheets/d/1AjDKV3Ff67OJ4naFmS6lseS5FnsRuBb7sfkdLptVbPs/edit?gid=0" TargetMode="External"/><Relationship Id="rId806" Type="http://schemas.openxmlformats.org/officeDocument/2006/relationships/hyperlink" Target="https://drive.google.com/file/d/1YH9h9tbwIk3ZRor_6eb1LK55_rFPY5cG/view?usp=sharing" TargetMode="External"/><Relationship Id="rId805" Type="http://schemas.openxmlformats.org/officeDocument/2006/relationships/hyperlink" Target="https://drive.google.com/file/d/1kk5uT51tiGtTODRnfWr8h56EVK947rS7/view?usp=sharing" TargetMode="External"/><Relationship Id="rId809" Type="http://schemas.openxmlformats.org/officeDocument/2006/relationships/hyperlink" Target="https://drive.google.com/file/d/1_UHuH37ATrm911Ohx4aL_9Z3m--yiXpV/view?usp=sharing" TargetMode="External"/><Relationship Id="rId800" Type="http://schemas.openxmlformats.org/officeDocument/2006/relationships/hyperlink" Target="https://drive.google.com/file/d/1YH9h9tbwIk3ZRor_6eb1LK55_rFPY5cG/view?usp=sharing" TargetMode="External"/><Relationship Id="rId804" Type="http://schemas.openxmlformats.org/officeDocument/2006/relationships/hyperlink" Target="https://docs.google.com/spreadsheets/d/1srQ8CXvUtiX7aKd-VCIljGzPpr3v5RiC_o4yAAS1NJE/edit?gid=0" TargetMode="External"/><Relationship Id="rId803" Type="http://schemas.openxmlformats.org/officeDocument/2006/relationships/hyperlink" Target="https://drive.google.com/file/d/1YH9h9tbwIk3ZRor_6eb1LK55_rFPY5cG/view?usp=sharing" TargetMode="External"/><Relationship Id="rId802" Type="http://schemas.openxmlformats.org/officeDocument/2006/relationships/hyperlink" Target="https://www.promart.pe/jalador-de-agua-55-cm/p" TargetMode="External"/><Relationship Id="rId801" Type="http://schemas.openxmlformats.org/officeDocument/2006/relationships/hyperlink" Target="https://docs.google.com/spreadsheets/d/1Uq42URZ_XTmk75wWvJc8voY_BddqJ0742ub0DHMCUdc/edit?gid=0" TargetMode="External"/><Relationship Id="rId40" Type="http://schemas.openxmlformats.org/officeDocument/2006/relationships/hyperlink" Target="https://docs.google.com/spreadsheets/d/1vtJaaPckVEi5vZf5bxRSxYAhs8CeYvQhOa5z4miKsv4/edit?gid=0" TargetMode="External"/><Relationship Id="rId42" Type="http://schemas.openxmlformats.org/officeDocument/2006/relationships/hyperlink" Target="https://docs.google.com/spreadsheets/d/19i-aVxSRdeoZTYGLJj0JFMbbTHsZWEOjhqAVikigk5M/edit?gid=0" TargetMode="External"/><Relationship Id="rId41" Type="http://schemas.openxmlformats.org/officeDocument/2006/relationships/hyperlink" Target="https://drive.google.com/file/d/1gVHd7eSNvjmDXUMFxdFWQy6anW_O3NP3/view?usp=sharing" TargetMode="External"/><Relationship Id="rId44" Type="http://schemas.openxmlformats.org/officeDocument/2006/relationships/hyperlink" Target="https://docs.google.com/spreadsheets/d/1tPjBn-xI6-Z15hLvwrzEllf7NdgXyQDaTFhEmCjtNsk/edit?gid=0" TargetMode="External"/><Relationship Id="rId43" Type="http://schemas.openxmlformats.org/officeDocument/2006/relationships/hyperlink" Target="https://drive.google.com/file/d/1h4VAVdnpYwVJWfv9Am07uX69gQjmocj4/view?usp=sharing" TargetMode="External"/><Relationship Id="rId46" Type="http://schemas.openxmlformats.org/officeDocument/2006/relationships/hyperlink" Target="https://docs.google.com/spreadsheets/d/1gzQyWcStfSOA2NgPCjiejUe_Bse3pVzqaQq1q1SqkCg/edit?gid=0" TargetMode="External"/><Relationship Id="rId45" Type="http://schemas.openxmlformats.org/officeDocument/2006/relationships/hyperlink" Target="https://drive.google.com/file/d/18QObBMdkdbxawOmVcLCnjq1PR6AWIUKE/view?usp=sharing" TargetMode="External"/><Relationship Id="rId509" Type="http://schemas.openxmlformats.org/officeDocument/2006/relationships/hyperlink" Target="https://docs.google.com/spreadsheets/d/1pC_9bz91ocRNgyx5zzYGmpM6q3YIiNDKqOVhXvmPDrw/edit?gid=0" TargetMode="External"/><Relationship Id="rId508" Type="http://schemas.openxmlformats.org/officeDocument/2006/relationships/hyperlink" Target="https://www.amazon.com.mx/KEWAYO-combinadas-primera-calidad-enrollable/dp/B0CNCN5891" TargetMode="External"/><Relationship Id="rId503" Type="http://schemas.openxmlformats.org/officeDocument/2006/relationships/hyperlink" Target="https://www.sata.com.co/products/juegos-de-llaves/st09074sj-juego-llaves-combinadas-lona-16pz-14-1-14-pul" TargetMode="External"/><Relationship Id="rId745" Type="http://schemas.openxmlformats.org/officeDocument/2006/relationships/hyperlink" Target="https://docs.google.com/spreadsheets/d/11LjoXN-ZP7kU7U6BHtSpYnlJ88BmlMVDTaP1iKN-arY/edit?gid=0" TargetMode="External"/><Relationship Id="rId987" Type="http://schemas.openxmlformats.org/officeDocument/2006/relationships/hyperlink" Target="https://www.ollasyelectrodomesticos.com/producto/sarten-paila-chia-de-40cm-en-acero-inoxidable-doble-asa/" TargetMode="External"/><Relationship Id="rId502" Type="http://schemas.openxmlformats.org/officeDocument/2006/relationships/hyperlink" Target="https://store.ferrindustrial.com.pe/producto/juego-de-llaves-mixtas-de-1-4-11-4-x-16pzs-ro9115016-gedore/" TargetMode="External"/><Relationship Id="rId744" Type="http://schemas.openxmlformats.org/officeDocument/2006/relationships/hyperlink" Target="https://drive.google.com/file/d/1_UHuH37ATrm911Ohx4aL_9Z3m--yiXpV/view?usp=sharing" TargetMode="External"/><Relationship Id="rId986" Type="http://schemas.openxmlformats.org/officeDocument/2006/relationships/hyperlink" Target="https://spanish.alibaba.com/product-detail/Traditional-Carbon-Steel-Pow-Wok-With-62458560413.html" TargetMode="External"/><Relationship Id="rId501" Type="http://schemas.openxmlformats.org/officeDocument/2006/relationships/hyperlink" Target="https://drive.google.com/file/d/1cUMe_0sOMrIvYaWvzVBZ-ubBHHze0tia/view?usp=sharing" TargetMode="External"/><Relationship Id="rId743" Type="http://schemas.openxmlformats.org/officeDocument/2006/relationships/hyperlink" Target="https://docs.google.com/spreadsheets/d/19CbKPTV2Og_y9G9TIDe1Zk7U3rVjMufaQ5FfinSSkAc/edit?gid=0" TargetMode="External"/><Relationship Id="rId985" Type="http://schemas.openxmlformats.org/officeDocument/2006/relationships/hyperlink" Target="https://www.falabella.com.pe/falabella-pe/product/118294502/Sarten-wok-Chifero-38cm-de-Acero-Inoxidable/118294503" TargetMode="External"/><Relationship Id="rId500" Type="http://schemas.openxmlformats.org/officeDocument/2006/relationships/hyperlink" Target="https://store.ferrindustrial.com.pe/producto/juego-de-llaves-mixtas-de-1-4-11-4-x-16pzs-ro9115016-gedore/" TargetMode="External"/><Relationship Id="rId742" Type="http://schemas.openxmlformats.org/officeDocument/2006/relationships/hyperlink" Target="https://drive.google.com/file/d/18QObBMdkdbxawOmVcLCnjq1PR6AWIUKE/view?usp=sharing" TargetMode="External"/><Relationship Id="rId984" Type="http://schemas.openxmlformats.org/officeDocument/2006/relationships/hyperlink" Target="https://spanish.alibaba.com/product-detail/Traditional-Carbon-Steel-Pow-Wok-With-62458560413.html" TargetMode="External"/><Relationship Id="rId507" Type="http://schemas.openxmlformats.org/officeDocument/2006/relationships/hyperlink" Target="https://drive.google.com/file/d/1h4VAVdnpYwVJWfv9Am07uX69gQjmocj4/view?usp=sharing" TargetMode="External"/><Relationship Id="rId749" Type="http://schemas.openxmlformats.org/officeDocument/2006/relationships/hyperlink" Target="https://docs.google.com/spreadsheets/d/1cQmZD-l-sQtH5cT1ZN-ZWLqPAS19WF82wg5z_i_jPxg/edit?gid=702936818" TargetMode="External"/><Relationship Id="rId506" Type="http://schemas.openxmlformats.org/officeDocument/2006/relationships/hyperlink" Target="https://www.promart.pe/juego-de-llaves-7-24-mm-x14-piezas-56623/p?srsltid=AfmBOoqe5sFWv-lqFMZT3ybAyNJiw1dKjOljgrQeFhgrQJk_UDAW04LU" TargetMode="External"/><Relationship Id="rId748" Type="http://schemas.openxmlformats.org/officeDocument/2006/relationships/hyperlink" Target="https://docs.google.com/spreadsheets/d/1cQmZD-l-sQtH5cT1ZN-ZWLqPAS19WF82wg5z_i_jPxg/edit?gid=702936818" TargetMode="External"/><Relationship Id="rId505" Type="http://schemas.openxmlformats.org/officeDocument/2006/relationships/hyperlink" Target="https://docs.google.com/spreadsheets/d/1zyuVmEeq8tpo6l9Si1tCHfG1vzzH73glNw3elDfuEAM/edit?gid=0" TargetMode="External"/><Relationship Id="rId747" Type="http://schemas.openxmlformats.org/officeDocument/2006/relationships/hyperlink" Target="https://docs.google.com/spreadsheets/d/1cQmZD-l-sQtH5cT1ZN-ZWLqPAS19WF82wg5z_i_jPxg/edit?gid=702936818" TargetMode="External"/><Relationship Id="rId989" Type="http://schemas.openxmlformats.org/officeDocument/2006/relationships/hyperlink" Target="https://drive.google.com/file/d/1_UHuH37ATrm911Ohx4aL_9Z3m--yiXpV/view?usp=sharing" TargetMode="External"/><Relationship Id="rId504" Type="http://schemas.openxmlformats.org/officeDocument/2006/relationships/hyperlink" Target="https://drive.google.com/file/d/18QObBMdkdbxawOmVcLCnjq1PR6AWIUKE/view?usp=sharing" TargetMode="External"/><Relationship Id="rId746" Type="http://schemas.openxmlformats.org/officeDocument/2006/relationships/hyperlink" Target="https://docs.google.com/spreadsheets/d/1cQmZD-l-sQtH5cT1ZN-ZWLqPAS19WF82wg5z_i_jPxg/edit?gid=702936818" TargetMode="External"/><Relationship Id="rId988" Type="http://schemas.openxmlformats.org/officeDocument/2006/relationships/hyperlink" Target="https://spanish.alibaba.com/product-detail/Traditional-Carbon-Steel-Pow-Wok-With-62458560413.html" TargetMode="External"/><Relationship Id="rId48" Type="http://schemas.openxmlformats.org/officeDocument/2006/relationships/hyperlink" Target="https://docs.google.com/spreadsheets/d/1CmZ-gXd84IoCYZ5GUySf3Jw5EKfQkcKM_WnlCgMJiqk/edit?gid=0" TargetMode="External"/><Relationship Id="rId47" Type="http://schemas.openxmlformats.org/officeDocument/2006/relationships/hyperlink" Target="https://drive.google.com/file/d/18QObBMdkdbxawOmVcLCnjq1PR6AWIUKE/view?usp=sharing" TargetMode="External"/><Relationship Id="rId49" Type="http://schemas.openxmlformats.org/officeDocument/2006/relationships/hyperlink" Target="https://drive.google.com/file/d/1WwLY1lQi2XiSE0OtUotd4iudcZnmUB5t/view?usp=sharing" TargetMode="External"/><Relationship Id="rId741" Type="http://schemas.openxmlformats.org/officeDocument/2006/relationships/hyperlink" Target="https://docs.google.com/spreadsheets/d/1Om96dGaRUoZcuiZ55695aANF38S5VHnBA2RFKwZkjXs/edit?gid=0" TargetMode="External"/><Relationship Id="rId983" Type="http://schemas.openxmlformats.org/officeDocument/2006/relationships/hyperlink" Target="https://www.lacuisine.pe/lgc/product/wok-de-acero-al-carbono-de-36cm-j21-9978-joyce-chen/" TargetMode="External"/><Relationship Id="rId740" Type="http://schemas.openxmlformats.org/officeDocument/2006/relationships/hyperlink" Target="https://drive.google.com/file/d/1_UHuH37ATrm911Ohx4aL_9Z3m--yiXpV/view?usp=sharing" TargetMode="External"/><Relationship Id="rId982" Type="http://schemas.openxmlformats.org/officeDocument/2006/relationships/hyperlink" Target="https://spanish.alibaba.com/product-detail/Traditional-Carbon-Steel-Pow-Wok-With-62458560413.html" TargetMode="External"/><Relationship Id="rId981" Type="http://schemas.openxmlformats.org/officeDocument/2006/relationships/hyperlink" Target="https://juntoz.com/p/wok-hierro-fundido-30-cm-casas-lugano-28585106109381303202405411434148?srsltid=AfmBOorCpdKjQbbk81kPqs9cFn6vUtx1GQwbzvQYT0fD2RbNDqf4PRFQ" TargetMode="External"/><Relationship Id="rId980" Type="http://schemas.openxmlformats.org/officeDocument/2006/relationships/hyperlink" Target="https://docs.google.com/spreadsheets/d/14Gd7U76dK2pJC0dvPql3KTwQ1uN0goh0rG2_Ds91h5A/edit?gid=0" TargetMode="External"/><Relationship Id="rId31" Type="http://schemas.openxmlformats.org/officeDocument/2006/relationships/hyperlink" Target="https://drive.google.com/file/d/1WwLY1lQi2XiSE0OtUotd4iudcZnmUB5t/view?usp=sharing" TargetMode="External"/><Relationship Id="rId30" Type="http://schemas.openxmlformats.org/officeDocument/2006/relationships/hyperlink" Target="https://www.sodimac.com.pe/sodimac-pe/articulo/130332764/Bandeja-para-hornear-Eighth-de-aluminio-de-24cm-x-16cm/130332765" TargetMode="External"/><Relationship Id="rId33" Type="http://schemas.openxmlformats.org/officeDocument/2006/relationships/hyperlink" Target="https://drive.google.com/file/d/1WwLY1lQi2XiSE0OtUotd4iudcZnmUB5t/view?usp=sharing" TargetMode="External"/><Relationship Id="rId32" Type="http://schemas.openxmlformats.org/officeDocument/2006/relationships/hyperlink" Target="https://docs.google.com/spreadsheets/d/1M9pC9agadjfZ8FDzV1rSwODKOWQJ15m4siWAPtG14RM/edit?gid=0" TargetMode="External"/><Relationship Id="rId35" Type="http://schemas.openxmlformats.org/officeDocument/2006/relationships/hyperlink" Target="https://drive.google.com/file/d/18QObBMdkdbxawOmVcLCnjq1PR6AWIUKE/view?usp=sharing" TargetMode="External"/><Relationship Id="rId34" Type="http://schemas.openxmlformats.org/officeDocument/2006/relationships/hyperlink" Target="https://docs.google.com/spreadsheets/d/1DbQllA6SMDAZCWHxB7LYXNirUDPe-Tc26NnXKKWen_c/edit?gid=0" TargetMode="External"/><Relationship Id="rId739" Type="http://schemas.openxmlformats.org/officeDocument/2006/relationships/hyperlink" Target="https://docs.google.com/spreadsheets/d/1-lRP0xa5kja0MisuVsrMcXe79EaSzMYG8Y32fHlLNUM/edit?gid=0" TargetMode="External"/><Relationship Id="rId734" Type="http://schemas.openxmlformats.org/officeDocument/2006/relationships/hyperlink" Target="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 TargetMode="External"/><Relationship Id="rId976" Type="http://schemas.openxmlformats.org/officeDocument/2006/relationships/hyperlink" Target="https://docs.google.com/spreadsheets/d/1KDSk8A1sktfOa5DgU7o62mlv5pLc91gNKfsP3drVucg/edit?gid=0" TargetMode="External"/><Relationship Id="rId733" Type="http://schemas.openxmlformats.org/officeDocument/2006/relationships/hyperlink" Target="https://docs.google.com/spreadsheets/d/1Z48rH0xNhOfrRfwts8Fd1awsBgHXmqTVDMF65mSpgus/edit?gid=0" TargetMode="External"/><Relationship Id="rId975" Type="http://schemas.openxmlformats.org/officeDocument/2006/relationships/hyperlink" Target="https://drive.google.com/file/d/1YH9h9tbwIk3ZRor_6eb1LK55_rFPY5cG/view?usp=sharing" TargetMode="External"/><Relationship Id="rId732" Type="http://schemas.openxmlformats.org/officeDocument/2006/relationships/hyperlink" Target="https://drive.google.com/file/d/1YH9h9tbwIk3ZRor_6eb1LK55_rFPY5cG/view?usp=sharing" TargetMode="External"/><Relationship Id="rId974" Type="http://schemas.openxmlformats.org/officeDocument/2006/relationships/hyperlink" Target="https://docs.google.com/spreadsheets/d/1AdUuPRQROascy-GUmiKQgEBRk0ETfAJUd5-b0gCFDXk/edit?gid=0" TargetMode="External"/><Relationship Id="rId731" Type="http://schemas.openxmlformats.org/officeDocument/2006/relationships/hyperlink" Target="https://www.amazon.com/-/es/dp/B0F541J6QR?ref=emc_p_m_5_i_atc&amp;th=1" TargetMode="External"/><Relationship Id="rId973" Type="http://schemas.openxmlformats.org/officeDocument/2006/relationships/hyperlink" Target="https://drive.google.com/file/d/1BZ2N5EASu7KqA43xkUocI7QoYhjba-W1/view?usp=sharing" TargetMode="External"/><Relationship Id="rId738" Type="http://schemas.openxmlformats.org/officeDocument/2006/relationships/hyperlink" Target="https://drive.google.com/file/d/1_UHuH37ATrm911Ohx4aL_9Z3m--yiXpV/view?usp=sharing" TargetMode="External"/><Relationship Id="rId737" Type="http://schemas.openxmlformats.org/officeDocument/2006/relationships/hyperlink" Target="https://www.sealers.com.pe/producto/alligator-i-ii-extintor/" TargetMode="External"/><Relationship Id="rId979" Type="http://schemas.openxmlformats.org/officeDocument/2006/relationships/hyperlink" Target="https://drive.google.com/file/d/1_UHuH37ATrm911Ohx4aL_9Z3m--yiXpV/view?usp=sharing" TargetMode="External"/><Relationship Id="rId736" Type="http://schemas.openxmlformats.org/officeDocument/2006/relationships/hyperlink" Target="https://docs.google.com/spreadsheets/d/1IOsx_rV1tIdxdsNWeVeQ_hRATXbMoRrFoku7fsQvDRw/edit?gid=0" TargetMode="External"/><Relationship Id="rId978" Type="http://schemas.openxmlformats.org/officeDocument/2006/relationships/hyperlink" Target="https://docs.google.com/spreadsheets/d/1vRQPWBCLLq7tLjBiCsZYO_6MPB8DRR7oBNu9KweQ6Jw/edit?gid=0" TargetMode="External"/><Relationship Id="rId735" Type="http://schemas.openxmlformats.org/officeDocument/2006/relationships/hyperlink" Target="https://drive.google.com/file/d/1_UHuH37ATrm911Ohx4aL_9Z3m--yiXpV/view?usp=sharing" TargetMode="External"/><Relationship Id="rId977" Type="http://schemas.openxmlformats.org/officeDocument/2006/relationships/hyperlink" Target="https://drive.google.com/file/d/1_UHuH37ATrm911Ohx4aL_9Z3m--yiXpV/view?usp=sharing" TargetMode="External"/><Relationship Id="rId37" Type="http://schemas.openxmlformats.org/officeDocument/2006/relationships/hyperlink" Target="https://drive.google.com/file/d/15II6pN8lLiJghCcshC2bnO6ky1nJkwg1/view?usp=sharing" TargetMode="External"/><Relationship Id="rId36" Type="http://schemas.openxmlformats.org/officeDocument/2006/relationships/hyperlink" Target="https://docs.google.com/spreadsheets/d/1_idoipHl5qcs8NVmLfmzAZiZoxV-DsjzgbS9czyL-zg/edit?gid=0" TargetMode="External"/><Relationship Id="rId39" Type="http://schemas.openxmlformats.org/officeDocument/2006/relationships/hyperlink" Target="https://drive.google.com/file/d/1WwLY1lQi2XiSE0OtUotd4iudcZnmUB5t/view?usp=sharing" TargetMode="External"/><Relationship Id="rId38" Type="http://schemas.openxmlformats.org/officeDocument/2006/relationships/hyperlink" Target="https://docs.google.com/spreadsheets/d/1YOwzgGMRQAtn8Sn_Fyc1kw7Gjr7tnqj_tAGbwgjm-yo/edit?gid=0" TargetMode="External"/><Relationship Id="rId730" Type="http://schemas.openxmlformats.org/officeDocument/2006/relationships/hyperlink" Target="https://docs.google.com/spreadsheets/d/1bfJn91KyJyGRbMMK2MIG2XZDeeVuMgDmzIR1CEC25D0/edit?gid=0" TargetMode="External"/><Relationship Id="rId972" Type="http://schemas.openxmlformats.org/officeDocument/2006/relationships/hyperlink" Target="https://docs.google.com/spreadsheets/d/1iZtQ9oSN4OfQ6bhL9YJAlIOSFOmi6I4mMKfAWIPxqlE/edit?gid=0" TargetMode="External"/><Relationship Id="rId971" Type="http://schemas.openxmlformats.org/officeDocument/2006/relationships/hyperlink" Target="https://drive.google.com/file/d/1YH9h9tbwIk3ZRor_6eb1LK55_rFPY5cG/view?usp=sharing" TargetMode="External"/><Relationship Id="rId970" Type="http://schemas.openxmlformats.org/officeDocument/2006/relationships/hyperlink" Target="https://docs.google.com/spreadsheets/d/1C5rTeXaWRGfwn03xrf-xPHWnRk1lMETIlpaoWdQfNkE/edit?gid=0" TargetMode="External"/><Relationship Id="rId20" Type="http://schemas.openxmlformats.org/officeDocument/2006/relationships/hyperlink" Target="https://drive.google.com/file/d/1YH9h9tbwIk3ZRor_6eb1LK55_rFPY5cG/view?usp=sharing" TargetMode="External"/><Relationship Id="rId22" Type="http://schemas.openxmlformats.org/officeDocument/2006/relationships/hyperlink" Target="https://drive.google.com/file/d/1YH9h9tbwIk3ZRor_6eb1LK55_rFPY5cG/view?usp=sharing" TargetMode="External"/><Relationship Id="rId21" Type="http://schemas.openxmlformats.org/officeDocument/2006/relationships/hyperlink" Target="https://docs.google.com/spreadsheets/d/1MJ8KNGub_OjpJfyvoyK2WP5POFQySpp6FZP_6UadDMo/edit?gid=0" TargetMode="External"/><Relationship Id="rId24" Type="http://schemas.openxmlformats.org/officeDocument/2006/relationships/hyperlink" Target="https://drive.google.com/file/d/1_UHuH37ATrm911Ohx4aL_9Z3m--yiXpV/view?usp=sharing" TargetMode="External"/><Relationship Id="rId23" Type="http://schemas.openxmlformats.org/officeDocument/2006/relationships/hyperlink" Target="https://docs.google.com/spreadsheets/d/1FEhZpMs41F5f_Nfypx1QFz8gOUuF_Q47NnTODit1JC0/edit?gid=0" TargetMode="External"/><Relationship Id="rId525" Type="http://schemas.openxmlformats.org/officeDocument/2006/relationships/hyperlink" Target="https://tecnoagri.com/producto/martillo-de-bola-1000gr/" TargetMode="External"/><Relationship Id="rId767" Type="http://schemas.openxmlformats.org/officeDocument/2006/relationships/hyperlink" Target="https://drive.google.com/file/d/1h4VAVdnpYwVJWfv9Am07uX69gQjmocj4/view?usp=sharing" TargetMode="External"/><Relationship Id="rId524" Type="http://schemas.openxmlformats.org/officeDocument/2006/relationships/hyperlink" Target="https://elecsumsa.com/producto/martillo-de-bola-600gr-basico-mango-madera-cat-no-40410-024/" TargetMode="External"/><Relationship Id="rId766" Type="http://schemas.openxmlformats.org/officeDocument/2006/relationships/hyperlink" Target="https://docs.google.com/spreadsheets/d/1M2wD4OPyp5TTEK3-BObsBoufQJIGJki-_cKCFZeBLYU/edit?gid=0" TargetMode="External"/><Relationship Id="rId523" Type="http://schemas.openxmlformats.org/officeDocument/2006/relationships/hyperlink" Target="https://cahema.pe/martillo/13709-martillo-de-bola-800-gr-bahco-479-24-7311518025472.html" TargetMode="External"/><Relationship Id="rId765" Type="http://schemas.openxmlformats.org/officeDocument/2006/relationships/hyperlink" Target="https://drive.google.com/file/d/1BZ2N5EASu7KqA43xkUocI7QoYhjba-W1/view?usp=sharing" TargetMode="External"/><Relationship Id="rId522" Type="http://schemas.openxmlformats.org/officeDocument/2006/relationships/hyperlink" Target="https://www.amazon.es/Bellota-8011-C-Martillo-mec%C3%A1nica-Madera/dp/B00F2NMU9Y/ref%20=sr_1_2?__mk_es_ES=%C3%85M%C3%85%C5%BD%C3%95%C3%91&amp;crid=3R6V1SNA2X%2BWY8&amp;dib=eyJ2IjoiMSJ9.RWFx0s-Y8tnnl6MdnverD4ztvxtrzHIP2m7ujdNtGt09zfW7GwtN69hKO%2BocQ19LCCdDGpUeBQ6nXoShokdhbv-jqf7fbMVFAjUnsm5w53VifV7iSsv_hhMnIw9jyxdWQ6ub%2BUhUczjajodeYpJqP6l23CNz8xL2PqeZDjhhQwN8BhkCUdrqecpa1DglTPy6S4-aG2GEKHXDE4%2BGa_2GX-G5AWRc0cIr8YFjm8SehG3_gxwUzruuhQwYhaQQGUFcBX0-0VZcchxoXtqNo7aVUg%2BE9QJV9JtMJISR-GPFhDs4PzQ.XjOx3Jk1UsguoTF03j-knaRYKQWTy0POaimC0k39oSs&amp;dib_t%2Bag=se&amp;keywords=MARTILLO%2BDE%2BBOLA&amp;qid=1765766275&amp;sprefix=martillo%2Bde%2B%2Bbola%2B%2Caps%2C323&amp;sr=8-2&amp;th=1" TargetMode="External"/><Relationship Id="rId764" Type="http://schemas.openxmlformats.org/officeDocument/2006/relationships/hyperlink" Target="https://drive.google.com/drive/folders/1Q6KY0XfHbVu-HqzDMNEnR9FPIyB6K_X8" TargetMode="External"/><Relationship Id="rId529" Type="http://schemas.openxmlformats.org/officeDocument/2006/relationships/hyperlink" Target="https://docs.google.com/spreadsheets/d/1pXB2Y5EmFV4jCqM2FjssmsRwOpYcX-YgdnlS70GTpBw/edit?gid=0" TargetMode="External"/><Relationship Id="rId528" Type="http://schemas.openxmlformats.org/officeDocument/2006/relationships/hyperlink" Target="https://drive.google.com/file/d/1gVHd7eSNvjmDXUMFxdFWQy6anW_O3NP3/view?usp=sharing" TargetMode="External"/><Relationship Id="rId527" Type="http://schemas.openxmlformats.org/officeDocument/2006/relationships/hyperlink" Target="https://www.amazon.es/Bellota-8011-C-Martillo-mec%C3%A1nica-Madera/dp/B00F2NMVAW/ref%20=sr_1_2?__mk_es_ES=%C3%85M%C3%85%C5%BD%C3%95%C3%91&amp;crid=3R6V1SNA2X%2BWY8&amp;dib=eyJ2IjoiMSJ9.RWFx0s-Y8tnnl6MdnverD4ztvxtrzHIP2m7ujdNtGt09zfW7GwtN69hKO%2BocQ19LCCdDGpUeBQ6nXoShokdhbv-jqf7fbMVFAjUnsm5w53VifV7iSsv_hhMnIw9jyxdWQ6ub%2BUhUczjajodeYpJqP6l23CNz8xL2PqeZDjhhQwN8BhkCUdrqecpa1DglTPy6S4-aG2GEKHXDE4%2BGa_2GX-G5AWRc0cIr8YFjm8SehG3_gxwUzruuhQwYhaQQGUFcBX0-0VZcchxoXtqNo7aVUg%2BE9QJV9JtMJISR-GPFhDs4PzQ.XjOx3Jk1UsguoTF03j-knaRYKQWTy0POaimC0k39oSs&amp;dib_t%2Bag=se&amp;keywords=MARTILLO%2BDE%2BBOLA&amp;qid=1765766275&amp;sprefix=martillo%2Bde%2B%2Bbola%2B%2Caps%2C323&amp;sr=8-2&amp;th=1" TargetMode="External"/><Relationship Id="rId769" Type="http://schemas.openxmlformats.org/officeDocument/2006/relationships/hyperlink" Target="https://drive.google.com/file/d/1YH9h9tbwIk3ZRor_6eb1LK55_rFPY5cG/view?usp=sharing" TargetMode="External"/><Relationship Id="rId526" Type="http://schemas.openxmlformats.org/officeDocument/2006/relationships/hyperlink" Target="https://elecsumsa.com/producto/martillo-de-bola-800grs-mango-madera-cat-no-40410-032/" TargetMode="External"/><Relationship Id="rId768" Type="http://schemas.openxmlformats.org/officeDocument/2006/relationships/hyperlink" Target="https://docs.google.com/spreadsheets/d/1aBNkUzMpdHR1SdpoDt7H2VdLMWWah1nNJZmXbAX4nIY/edit?gid=0" TargetMode="External"/><Relationship Id="rId26" Type="http://schemas.openxmlformats.org/officeDocument/2006/relationships/hyperlink" Target="https://drive.google.com/file/d/1_UHuH37ATrm911Ohx4aL_9Z3m--yiXpV/view?usp=sharing" TargetMode="External"/><Relationship Id="rId25" Type="http://schemas.openxmlformats.org/officeDocument/2006/relationships/hyperlink" Target="https://docs.google.com/spreadsheets/d/1oJo-7iAvk6ZnjEB6hMc7-jlemm_5q5x2s_BRozGRLXs/edit?gid=0" TargetMode="External"/><Relationship Id="rId28" Type="http://schemas.openxmlformats.org/officeDocument/2006/relationships/hyperlink" Target="https://www.sodimac.com.pe/sodimac-pe/articulo/130332768/Bandeja-para-hornear-Jelly-Roll-de-aluminio-de-38cm-x-27cm/130332769" TargetMode="External"/><Relationship Id="rId27" Type="http://schemas.openxmlformats.org/officeDocument/2006/relationships/hyperlink" Target="https://docs.google.com/spreadsheets/d/1cqEUuQ0kL3_UHkLbGZQzdAFroAtyjJNfyyiTXQp0FOI/edit?gid=0" TargetMode="External"/><Relationship Id="rId521" Type="http://schemas.openxmlformats.org/officeDocument/2006/relationships/hyperlink" Target="https://elecsumsa.com/producto/martillo-de-bola-600gr-basico-mango-madera-cat-no-40410-024/" TargetMode="External"/><Relationship Id="rId763" Type="http://schemas.openxmlformats.org/officeDocument/2006/relationships/hyperlink" Target="https://docs.google.com/spreadsheets/d/13oyv63O8gWTJG41FW1Dm2kC5nenRYPQ43SpH-GaLG9I/edit?gid=0" TargetMode="External"/><Relationship Id="rId29" Type="http://schemas.openxmlformats.org/officeDocument/2006/relationships/hyperlink" Target="https://www.sodimac.com.pe/sodimac-pe/articulo/130332768/Bandeja-para-hornear-Jelly-Roll-de-aluminio-de-38cm-x-27cm/130332769" TargetMode="External"/><Relationship Id="rId520" Type="http://schemas.openxmlformats.org/officeDocument/2006/relationships/hyperlink" Target="https://www.amazon.es/Bellota-8011-C-Martillo-mec%C3%A1nica-Madera/dp/B00F2NMTWW/r?th=1" TargetMode="External"/><Relationship Id="rId762" Type="http://schemas.openxmlformats.org/officeDocument/2006/relationships/hyperlink" Target="https://drive.google.com/file/d/15II6pN8lLiJghCcshC2bnO6ky1nJkwg1/view?usp=sharing" TargetMode="External"/><Relationship Id="rId761" Type="http://schemas.openxmlformats.org/officeDocument/2006/relationships/hyperlink" Target="https://drive.google.com/drive/folders/1Q6KY0XfHbVu-HqzDMNEnR9FPIyB6K_X8" TargetMode="External"/><Relationship Id="rId760" Type="http://schemas.openxmlformats.org/officeDocument/2006/relationships/hyperlink" Target="https://docs.google.com/spreadsheets/d/19lJoaL6fMxt4Z9GInFfYgwq4R7otzfVk13F-fBtMsAI/edit?gid=0" TargetMode="External"/><Relationship Id="rId11" Type="http://schemas.openxmlformats.org/officeDocument/2006/relationships/hyperlink" Target="https://docs.google.com/spreadsheets/d/15WdMumKq2BQN-Qw_ow7cQNs37n_D1Fb43Y7Rf9A2Nek/edit?gid=0" TargetMode="External"/><Relationship Id="rId10" Type="http://schemas.openxmlformats.org/officeDocument/2006/relationships/hyperlink" Target="https://drive.google.com/file/d/1BZ2N5EASu7KqA43xkUocI7QoYhjba-W1/view?usp=sharing" TargetMode="External"/><Relationship Id="rId13" Type="http://schemas.openxmlformats.org/officeDocument/2006/relationships/hyperlink" Target="https://docs.google.com/spreadsheets/d/1uFfsnodYxFbE8mD0uwuJUVEhkIRmSs2u-cR0A--HctE/edit?gid=0" TargetMode="External"/><Relationship Id="rId12" Type="http://schemas.openxmlformats.org/officeDocument/2006/relationships/hyperlink" Target="https://drive.google.com/file/d/1WwLY1lQi2XiSE0OtUotd4iudcZnmUB5t/view?usp=sharing" TargetMode="External"/><Relationship Id="rId519" Type="http://schemas.openxmlformats.org/officeDocument/2006/relationships/hyperlink" Target="https://www.ferrelucastore.cl/product/martillo-de-bola-500gr" TargetMode="External"/><Relationship Id="rId514" Type="http://schemas.openxmlformats.org/officeDocument/2006/relationships/hyperlink" Target="https://docs.google.com/spreadsheets/d/1TYXL9kI7Yc6xT3Ln7BjTZf3ismRlZU8wtaSurh-iwc8/edit?gid=0" TargetMode="External"/><Relationship Id="rId756" Type="http://schemas.openxmlformats.org/officeDocument/2006/relationships/hyperlink" Target="https://www.amazon.com/-/es/pulgadas-desechables-Bouffant-redecillas-perfectas/dp/B094KLCQLV" TargetMode="External"/><Relationship Id="rId998" Type="http://schemas.openxmlformats.org/officeDocument/2006/relationships/vmlDrawing" Target="../drawings/vmlDrawing2.vml"/><Relationship Id="rId513" Type="http://schemas.openxmlformats.org/officeDocument/2006/relationships/hyperlink" Target="https://drive.google.com/file/d/1h4VAVdnpYwVJWfv9Am07uX69gQjmocj4/view?usp=sharing" TargetMode="External"/><Relationship Id="rId755" Type="http://schemas.openxmlformats.org/officeDocument/2006/relationships/hyperlink" Target="https://docs.google.com/spreadsheets/d/1-Mw1tEe-3yAH6JEc4cflTmNdEcfMTq8D51Xx3mxalO4/edit?gid=0" TargetMode="External"/><Relationship Id="rId997" Type="http://schemas.openxmlformats.org/officeDocument/2006/relationships/drawing" Target="../drawings/drawing2.xml"/><Relationship Id="rId512" Type="http://schemas.openxmlformats.org/officeDocument/2006/relationships/hyperlink" Target="https://fesepsa.com.pe/product/juegos-de-llaves-mixtas-3-8-a-1-1-4-pulgadas-14-piezas-86-970-stanley/" TargetMode="External"/><Relationship Id="rId754" Type="http://schemas.openxmlformats.org/officeDocument/2006/relationships/hyperlink" Target="https://drive.google.com/file/d/1_UHuH37ATrm911Ohx4aL_9Z3m--yiXpV/view?usp=sharing" TargetMode="External"/><Relationship Id="rId996" Type="http://schemas.openxmlformats.org/officeDocument/2006/relationships/hyperlink" Target="https://www.uysa.com.pe/sarten-wok-c-tapa-28cm--3-30-lt-solar-silicone-62138-280-tramontina-10145670/p?srsltid=AfmBOoqmirPPYW8rGfYVxde_c6XOJKsSRK--1TDczVzcaottJnL7APQg" TargetMode="External"/><Relationship Id="rId511" Type="http://schemas.openxmlformats.org/officeDocument/2006/relationships/hyperlink" Target="https://www.amazon.com/combinadas-m%C3%A9tricas-0-236-0-945-herramientas-mec%C3%A1nicas/dp/B0F9Y9X5F4/ref=sr_1_1_sspa?__mk_es_US=%C3%85M%C3%85%C5%BD%C3%95%C3%91&amp;crid=CRAAZK3J4Q45&amp;dib=eyJ2IjoiMSJ9.FYB9MH1y-F0dNhEeLvCyGf1MRhn8cJvShC1wi_A8n_iIOsh69RB0d-38s-FCAmw37O75_hpLNIH9aqfpB3lPzcZOtawJK1J-i4eXEy_jAmsIT-VmPKV-78F8digolSl04UyoN7YgVtL1yVURcLwy396_UWccdGlWXeTOElv6I8manVFSUQ6SVQtK9U-d7UWaM37jVdv72wbzp4xO0AqEvMwylcY6D4joTIVK5IRDbPxho1kYv9aP8IdMvfaSrhZYOnftDqoC2VD6OaQAL4rtcEEK4JtttJGQE12wucCTFQ8.6QW7M3p-xzDnzVA29PdqHcUtYI_rAnZiYvrAi1HB414&amp;dib_tag=se&amp;keywords=juego+de+llaves+mixta+6+-+24mm&amp;qid=1767652922&amp;sprefix=juego+de+llaves+mixta+6+-+24mm%2Caps%2C175&amp;sr=8-1-spons&amp;sp_csd=d2lkZ2V0TmFtZT1zcF9hdGY&amp;psc=1" TargetMode="External"/><Relationship Id="rId753" Type="http://schemas.openxmlformats.org/officeDocument/2006/relationships/hyperlink" Target="https://www.filcorsa.com/product/scepter-galonera-para-gasolina-10lt?srsltid=AfmBOoqmkIkyJX81YVR8V1YD_Fis3bvPdOWp7_1IbZ8NuCf-N_Rkqq_H" TargetMode="External"/><Relationship Id="rId995" Type="http://schemas.openxmlformats.org/officeDocument/2006/relationships/hyperlink" Target="https://docs.google.com/spreadsheets/d/1vZfOX5fLdhqmsKloBySWMoNA1fXg8FqBcxeEotdPuHc/edit?gid=0" TargetMode="External"/><Relationship Id="rId518" Type="http://schemas.openxmlformats.org/officeDocument/2006/relationships/hyperlink" Target="https://docs.google.com/spreadsheets/d/1_B2kt-Fx9O6Zr-35MZbTKzC2xw-9FbT5FNW1MrrOaLY/edit?gid=0" TargetMode="External"/><Relationship Id="rId517" Type="http://schemas.openxmlformats.org/officeDocument/2006/relationships/hyperlink" Target="https://www.leroymerlin.es/productos/martillo-bola-cromado-300-gr-91050626.html" TargetMode="External"/><Relationship Id="rId759" Type="http://schemas.openxmlformats.org/officeDocument/2006/relationships/hyperlink" Target="https://drive.google.com/file/d/1gVHd7eSNvjmDXUMFxdFWQy6anW_O3NP3/view?usp=sharing" TargetMode="External"/><Relationship Id="rId516" Type="http://schemas.openxmlformats.org/officeDocument/2006/relationships/hyperlink" Target="https://drive.google.com/file/d/18QObBMdkdbxawOmVcLCnjq1PR6AWIUKE/view?usp=sharing" TargetMode="External"/><Relationship Id="rId758" Type="http://schemas.openxmlformats.org/officeDocument/2006/relationships/hyperlink" Target="https://docs.google.com/spreadsheets/d/1v6_BzUVw-q08w1XtsA6ppQEUqLqarqVgCjO33ATzisY/edit?gid=0" TargetMode="External"/><Relationship Id="rId515" Type="http://schemas.openxmlformats.org/officeDocument/2006/relationships/hyperlink" Target="https://www.promart.pe/llave-para-filtro-banda-nylon-6--truper-14526-1000191411/p?srsltid=AfmBOopXOGqF71oMRyTibYBkHs8m8ma6gusIR8uDi0FvmS43S-bIIV7r" TargetMode="External"/><Relationship Id="rId757" Type="http://schemas.openxmlformats.org/officeDocument/2006/relationships/hyperlink" Target="https://drive.google.com/file/d/1WwLY1lQi2XiSE0OtUotd4iudcZnmUB5t/view?usp=sharing" TargetMode="External"/><Relationship Id="rId15" Type="http://schemas.openxmlformats.org/officeDocument/2006/relationships/hyperlink" Target="https://docs.google.com/spreadsheets/d/1TmMDxemINejxb7MkyWnRrElV5EgchArmkrtBeR08OHg/edit?gid=0" TargetMode="External"/><Relationship Id="rId990" Type="http://schemas.openxmlformats.org/officeDocument/2006/relationships/hyperlink" Target="https://docs.google.com/spreadsheets/d/1M9-jMliJwqaNzFUjHoVyI7ucioL61ypueWSwzwZGdeA/edit?gid=0" TargetMode="External"/><Relationship Id="rId14" Type="http://schemas.openxmlformats.org/officeDocument/2006/relationships/hyperlink" Target="https://drive.google.com/file/d/1_UHuH37ATrm911Ohx4aL_9Z3m--yiXpV/view?usp=sharing" TargetMode="External"/><Relationship Id="rId17" Type="http://schemas.openxmlformats.org/officeDocument/2006/relationships/hyperlink" Target="https://docs.google.com/spreadsheets/d/17xaMR_W94AfgrotkTQfkRfYhEY3vHsJ785kAL32DIzg/edit?gid=0" TargetMode="External"/><Relationship Id="rId16" Type="http://schemas.openxmlformats.org/officeDocument/2006/relationships/hyperlink" Target="https://drive.google.com/file/d/1h4VAVdnpYwVJWfv9Am07uX69gQjmocj4/view?usp=sharing" TargetMode="External"/><Relationship Id="rId19" Type="http://schemas.openxmlformats.org/officeDocument/2006/relationships/hyperlink" Target="https://docs.google.com/spreadsheets/d/1g8d7_z0if8CEszS3RIyG6fFUPBKvIXWCuV-f51s5Q0A/edit?gid=0" TargetMode="External"/><Relationship Id="rId510" Type="http://schemas.openxmlformats.org/officeDocument/2006/relationships/hyperlink" Target="https://fesepsa.com.pe/product/juegos-de-llaves-mixtas-3-8-a-1-1-4-pulgadas-14-piezas-86-970-stanley/" TargetMode="External"/><Relationship Id="rId752" Type="http://schemas.openxmlformats.org/officeDocument/2006/relationships/hyperlink" Target="https://docs.google.com/spreadsheets/d/1q3AXwyprZDZuo6RYB6PRTGu17J8-VXlrH2B4Km90bXw/edit?gid=0" TargetMode="External"/><Relationship Id="rId994" Type="http://schemas.openxmlformats.org/officeDocument/2006/relationships/hyperlink" Target="https://drive.google.com/file/d/1_UHuH37ATrm911Ohx4aL_9Z3m--yiXpV/view?usp=sharing" TargetMode="External"/><Relationship Id="rId18" Type="http://schemas.openxmlformats.org/officeDocument/2006/relationships/hyperlink" Target="https://drive.google.com/file/d/1YH9h9tbwIk3ZRor_6eb1LK55_rFPY5cG/view?usp=sharing" TargetMode="External"/><Relationship Id="rId751" Type="http://schemas.openxmlformats.org/officeDocument/2006/relationships/hyperlink" Target="https://drive.google.com/file/d/1h4VAVdnpYwVJWfv9Am07uX69gQjmocj4/view?usp=sharing" TargetMode="External"/><Relationship Id="rId993" Type="http://schemas.openxmlformats.org/officeDocument/2006/relationships/hyperlink" Target="https://drive.google.com/file/d/1yNajT0HBldwSW21-rLvJRsbg55YX2XHm/view?usp=sharing" TargetMode="External"/><Relationship Id="rId750" Type="http://schemas.openxmlformats.org/officeDocument/2006/relationships/hyperlink" Target="https://docs.google.com/spreadsheets/d/1cQmZD-l-sQtH5cT1ZN-ZWLqPAS19WF82wg5z_i_jPxg/edit?gid=702936818" TargetMode="External"/><Relationship Id="rId992" Type="http://schemas.openxmlformats.org/officeDocument/2006/relationships/hyperlink" Target="https://docs.google.com/spreadsheets/d/189VTjctdAHqI4Fz_ci7g3xYOd0ARipHloVi_cPKv-OU/edit?gid=0" TargetMode="External"/><Relationship Id="rId991" Type="http://schemas.openxmlformats.org/officeDocument/2006/relationships/hyperlink" Target="https://drive.google.com/file/d/1_UHuH37ATrm911Ohx4aL_9Z3m--yiXpV/view?usp=sharing" TargetMode="External"/><Relationship Id="rId84" Type="http://schemas.openxmlformats.org/officeDocument/2006/relationships/hyperlink" Target="https://docs.google.com/spreadsheets/d/1LxQWYlS0PFrIxwy7TJrd_GJI6eaPL6qIBRhzkS72-GU/edit?gid=0" TargetMode="External"/><Relationship Id="rId83" Type="http://schemas.openxmlformats.org/officeDocument/2006/relationships/hyperlink" Target="https://drive.google.com/file/d/1WwLY1lQi2XiSE0OtUotd4iudcZnmUB5t/view?usp=sharing" TargetMode="External"/><Relationship Id="rId86" Type="http://schemas.openxmlformats.org/officeDocument/2006/relationships/hyperlink" Target="https://docs.google.com/spreadsheets/d/1HKgu7QvmCKS5se7mc7iDYqUfQEjqFRUJYyiQgzyxrVI/edit?gid=0" TargetMode="External"/><Relationship Id="rId85" Type="http://schemas.openxmlformats.org/officeDocument/2006/relationships/hyperlink" Target="https://drive.google.com/file/d/1WwLY1lQi2XiSE0OtUotd4iudcZnmUB5t/view?usp=sharing" TargetMode="External"/><Relationship Id="rId88" Type="http://schemas.openxmlformats.org/officeDocument/2006/relationships/hyperlink" Target="https://docs.google.com/spreadsheets/d/1AgAjAd1JJratMvxWWVgav3oDKGbZ4pHGNI2xScQmtP0/edit?gid=0" TargetMode="External"/><Relationship Id="rId87" Type="http://schemas.openxmlformats.org/officeDocument/2006/relationships/hyperlink" Target="https://drive.google.com/file/d/1WwLY1lQi2XiSE0OtUotd4iudcZnmUB5t/view?usp=sharing" TargetMode="External"/><Relationship Id="rId89" Type="http://schemas.openxmlformats.org/officeDocument/2006/relationships/hyperlink" Target="https://drive.google.com/file/d/1h4VAVdnpYwVJWfv9Am07uX69gQjmocj4/view?usp=sharing" TargetMode="External"/><Relationship Id="rId709" Type="http://schemas.openxmlformats.org/officeDocument/2006/relationships/hyperlink" Target="https://drive.google.com/file/d/1ZFWKIwmxTr5kFo88ADWeC8DfeKG71kWs/view?usp=sharing" TargetMode="External"/><Relationship Id="rId708" Type="http://schemas.openxmlformats.org/officeDocument/2006/relationships/hyperlink" Target="https://docs.google.com/spreadsheets/d/1BCQtUsK6D7yKdPeqEt41gmLczTZiSNJqBbsxIbXOmjo/edit?gid=0" TargetMode="External"/><Relationship Id="rId707" Type="http://schemas.openxmlformats.org/officeDocument/2006/relationships/hyperlink" Target="https://drive.google.com/file/d/1_UHuH37ATrm911Ohx4aL_9Z3m--yiXpV/view?usp=sharing" TargetMode="External"/><Relationship Id="rId949" Type="http://schemas.openxmlformats.org/officeDocument/2006/relationships/hyperlink" Target="https://drive.google.com/drive/folders/1Q6KY0XfHbVu-HqzDMNEnR9FPIyB6K_X8" TargetMode="External"/><Relationship Id="rId706" Type="http://schemas.openxmlformats.org/officeDocument/2006/relationships/hyperlink" Target="https://docs.google.com/spreadsheets/d/1XS3ixWtfaWj5rmiIw6A9bHcZ33dubhcdb5TWMSmiTR8/edit?gid=0" TargetMode="External"/><Relationship Id="rId948" Type="http://schemas.openxmlformats.org/officeDocument/2006/relationships/hyperlink" Target="https://www.promart.pe/escarpines-de-soldador/p?srsltid=AfmBOooSvG5B6yhOVjYAKVrFACs4QpFArOJiw1aQHaFm_pMNrKz3RILR" TargetMode="External"/><Relationship Id="rId80" Type="http://schemas.openxmlformats.org/officeDocument/2006/relationships/hyperlink" Target="https://docs.google.com/spreadsheets/d/1NeOClL3Xzgh8sFooyOsTFDspPdBaIJ-zMs6GYORW9xc/edit?gid=0" TargetMode="External"/><Relationship Id="rId82" Type="http://schemas.openxmlformats.org/officeDocument/2006/relationships/hyperlink" Target="https://docs.google.com/spreadsheets/d/1w3x3EXB0MCnqeH9rJet96cxPLvRM1X_8zkj1n02stQw/edit?gid=0" TargetMode="External"/><Relationship Id="rId81" Type="http://schemas.openxmlformats.org/officeDocument/2006/relationships/hyperlink" Target="https://drive.google.com/file/d/1WwLY1lQi2XiSE0OtUotd4iudcZnmUB5t/view?usp=sharing" TargetMode="External"/><Relationship Id="rId701" Type="http://schemas.openxmlformats.org/officeDocument/2006/relationships/hyperlink" Target="https://drive.google.com/file/d/1YH9h9tbwIk3ZRor_6eb1LK55_rFPY5cG/view?usp=sharing" TargetMode="External"/><Relationship Id="rId943" Type="http://schemas.openxmlformats.org/officeDocument/2006/relationships/hyperlink" Target="https://drive.google.com/drive/folders/1Q6KY0XfHbVu-HqzDMNEnR9FPIyB6K_X8" TargetMode="External"/><Relationship Id="rId700" Type="http://schemas.openxmlformats.org/officeDocument/2006/relationships/hyperlink" Target="https://docs.google.com/spreadsheets/d/1oShVQ1KNjmVa2q2aMVgR7nUxyDEjWDAMBrPFnPLqn_w/edit?gid=0" TargetMode="External"/><Relationship Id="rId942" Type="http://schemas.openxmlformats.org/officeDocument/2006/relationships/hyperlink" Target="https://www.promart.pe/mandil-de-1-pieza/p" TargetMode="External"/><Relationship Id="rId941" Type="http://schemas.openxmlformats.org/officeDocument/2006/relationships/hyperlink" Target="https://drive.google.com/drive/folders/1Q6KY0XfHbVu-HqzDMNEnR9FPIyB6K_X8" TargetMode="External"/><Relationship Id="rId940" Type="http://schemas.openxmlformats.org/officeDocument/2006/relationships/hyperlink" Target="https://www.promart.pe/botin-de-seguridad-bata-modelo-kaiser-ntp-iso-20345-talla-42-negro-156527/p" TargetMode="External"/><Relationship Id="rId705" Type="http://schemas.openxmlformats.org/officeDocument/2006/relationships/hyperlink" Target="https://drive.google.com/file/d/1gVHd7eSNvjmDXUMFxdFWQy6anW_O3NP3/view?usp=sharing" TargetMode="External"/><Relationship Id="rId947" Type="http://schemas.openxmlformats.org/officeDocument/2006/relationships/hyperlink" Target="https://drive.google.com/drive/folders/1Q6KY0XfHbVu-HqzDMNEnR9FPIyB6K_X8" TargetMode="External"/><Relationship Id="rId704" Type="http://schemas.openxmlformats.org/officeDocument/2006/relationships/hyperlink" Target="https://docs.google.com/spreadsheets/d/1Qjn74Ib8u9R8tJ5-Ce2b0SwkhKNZpr_uaqw4R9ZzHoM/edit?gid=0" TargetMode="External"/><Relationship Id="rId946" Type="http://schemas.openxmlformats.org/officeDocument/2006/relationships/hyperlink" Target="https://www.promart.pe/pack-tapones-reutilizables-c-cordon-x-3-unids-78563/p?gad_source=1&amp;gad_campaignid=22932501259&amp;gbraid=0AAAAADJIfALo3GuIxFkC92Xnex8iQ2jUp&amp;gclid=CjwKCAjw3tzHBhBREiwAlMJoUruc16mndnTmD-QGsdd7btK9Sogvwie45eBQNbnP-lL1p011QJYN5hoC2PgQAvD_BwE" TargetMode="External"/><Relationship Id="rId703" Type="http://schemas.openxmlformats.org/officeDocument/2006/relationships/hyperlink" Target="https://drive.google.com/file/d/1WwLY1lQi2XiSE0OtUotd4iudcZnmUB5t/view?usp=sharing" TargetMode="External"/><Relationship Id="rId945" Type="http://schemas.openxmlformats.org/officeDocument/2006/relationships/hyperlink" Target="https://drive.google.com/drive/folders/1Q6KY0XfHbVu-HqzDMNEnR9FPIyB6K_X8" TargetMode="External"/><Relationship Id="rId702" Type="http://schemas.openxmlformats.org/officeDocument/2006/relationships/hyperlink" Target="https://docs.google.com/spreadsheets/d/17xAfkLVtTawI-OZW6_Wld_n7N1Lrod7rXfQDKVFo0wQ/edit?gid=0" TargetMode="External"/><Relationship Id="rId944" Type="http://schemas.openxmlformats.org/officeDocument/2006/relationships/hyperlink" Target="https://www.sodimac.com.pe/sodimac-pe/articulo/113534794/Guantes-de-Seguridad-de-Cuero-Cromo-Estandar/113534797" TargetMode="External"/><Relationship Id="rId73" Type="http://schemas.openxmlformats.org/officeDocument/2006/relationships/hyperlink" Target="https://cahema.pe/adaptador/2798-adaptador-de-12-a-38-truper-13422-7501206647530.html" TargetMode="External"/><Relationship Id="rId72" Type="http://schemas.openxmlformats.org/officeDocument/2006/relationships/hyperlink" Target="https://www.promart.pe/ratchet-encastre-1-2-pulgada-17622/p?srsltid=AfmBOoqmoNxsFNKQczeKhnlXMFWyLtqN0mCxIZMEP27M-LWOOl_JrBBV" TargetMode="External"/><Relationship Id="rId75" Type="http://schemas.openxmlformats.org/officeDocument/2006/relationships/hyperlink" Target="https://docs.google.com/spreadsheets/d/1A_yg8XE-K0PQ_LKXWgli6Eb0HJX430WoSwWxr8zhIHE/edit?gid=0" TargetMode="External"/><Relationship Id="rId74" Type="http://schemas.openxmlformats.org/officeDocument/2006/relationships/hyperlink" Target="https://drive.google.com/file/d/1YH9h9tbwIk3ZRor_6eb1LK55_rFPY5cG/view?usp=sharing" TargetMode="External"/><Relationship Id="rId77" Type="http://schemas.openxmlformats.org/officeDocument/2006/relationships/hyperlink" Target="https://docs.google.com/spreadsheets/d/1HqkmynfNptqlVhP7w9BFDbCQa_xVta2hSoBRxCM3atk/edit?gid=0" TargetMode="External"/><Relationship Id="rId76" Type="http://schemas.openxmlformats.org/officeDocument/2006/relationships/hyperlink" Target="https://drive.google.com/file/d/1YH9h9tbwIk3ZRor_6eb1LK55_rFPY5cG/view?usp=sharing" TargetMode="External"/><Relationship Id="rId79" Type="http://schemas.openxmlformats.org/officeDocument/2006/relationships/hyperlink" Target="https://drive.google.com/file/d/1YH9h9tbwIk3ZRor_6eb1LK55_rFPY5cG/view?usp=sharing" TargetMode="External"/><Relationship Id="rId78" Type="http://schemas.openxmlformats.org/officeDocument/2006/relationships/hyperlink" Target="https://drive.google.com/file/d/1G2mauVmHuuAva2C6gtGETY9hntLfOxxH/view" TargetMode="External"/><Relationship Id="rId939" Type="http://schemas.openxmlformats.org/officeDocument/2006/relationships/hyperlink" Target="https://docs.google.com/spreadsheets/d/179vui9iw24ji81nwHetpaNMYJmCHy2H0BKK49h365wM/edit?gid=0" TargetMode="External"/><Relationship Id="rId938" Type="http://schemas.openxmlformats.org/officeDocument/2006/relationships/hyperlink" Target="https://drive.google.com/file/d/18QObBMdkdbxawOmVcLCnjq1PR6AWIUKE/view?usp=sharing" TargetMode="External"/><Relationship Id="rId937" Type="http://schemas.openxmlformats.org/officeDocument/2006/relationships/hyperlink" Target="https://docs.google.com/spreadsheets/d/1qejEEaXgMUQPa6L3uLILPFN9vY4sln_GNBdbSBsc9m8/edit?gid=0" TargetMode="External"/><Relationship Id="rId71" Type="http://schemas.openxmlformats.org/officeDocument/2006/relationships/hyperlink" Target="https://docs.google.com/spreadsheets/d/1w43M3CIVzOdm8eIT0L-BJLKz0jOhrveIN7kSRmGUXPY/edit?gid=0" TargetMode="External"/><Relationship Id="rId70" Type="http://schemas.openxmlformats.org/officeDocument/2006/relationships/hyperlink" Target="https://drive.google.com/file/d/1h4VAVdnpYwVJWfv9Am07uX69gQjmocj4/view?usp=sharing" TargetMode="External"/><Relationship Id="rId932" Type="http://schemas.openxmlformats.org/officeDocument/2006/relationships/hyperlink" Target="https://docs.google.com/spreadsheets/d/13jmaBWsPuwGDkRvfDGf-CeuKw-SqrKk3sDGBO6I48xE/edit?gid=0" TargetMode="External"/><Relationship Id="rId931" Type="http://schemas.openxmlformats.org/officeDocument/2006/relationships/hyperlink" Target="https://drive.google.com/file/d/1WwLY1lQi2XiSE0OtUotd4iudcZnmUB5t/view?usp=sharing" TargetMode="External"/><Relationship Id="rId930" Type="http://schemas.openxmlformats.org/officeDocument/2006/relationships/hyperlink" Target="https://docs.google.com/spreadsheets/d/1iI3r77Jb9gVVGjXXRVy68g9WNYFpjxLBL65-gh-fS5Q/edit?gid=0" TargetMode="External"/><Relationship Id="rId936" Type="http://schemas.openxmlformats.org/officeDocument/2006/relationships/hyperlink" Target="https://drive.google.com/file/d/1_UHuH37ATrm911Ohx4aL_9Z3m--yiXpV/view?usp=sharing" TargetMode="External"/><Relationship Id="rId935" Type="http://schemas.openxmlformats.org/officeDocument/2006/relationships/hyperlink" Target="https://docs.google.com/spreadsheets/d/1lQ6968O6huC1A6rPwyY4kmFVXvfhRrooL86IvGP63q4/edit?gid=0" TargetMode="External"/><Relationship Id="rId934" Type="http://schemas.openxmlformats.org/officeDocument/2006/relationships/hyperlink" Target="https://drive.google.com/file/d/1YH9h9tbwIk3ZRor_6eb1LK55_rFPY5cG/view?usp=sharing" TargetMode="External"/><Relationship Id="rId933" Type="http://schemas.openxmlformats.org/officeDocument/2006/relationships/hyperlink" Target="https://www.amazon.com/-/es/Orejeras-seguridad-industrial-cumplen-normas/dp/B00PUX97U6?th=1" TargetMode="External"/><Relationship Id="rId62" Type="http://schemas.openxmlformats.org/officeDocument/2006/relationships/hyperlink" Target="https://store.ferrindustrial.com.pe/producto/compas-exterior-de-10-302465-vogel-germany/" TargetMode="External"/><Relationship Id="rId61" Type="http://schemas.openxmlformats.org/officeDocument/2006/relationships/hyperlink" Target="https://valsur.com/productos/medicion-y-control/herramientas-de-medicion/compases-y-transportadores-de-angulo/compas-plano-punt-acha?srsltid=AfmBOoqJJAg2x4nAghNecM8lKGfl12GAuxFpu7i64GXvptapJa5WJtdO&amp;utm_source=chatgpt.com" TargetMode="External"/><Relationship Id="rId64" Type="http://schemas.openxmlformats.org/officeDocument/2006/relationships/hyperlink" Target="https://drive.google.com/file/d/1h4VAVdnpYwVJWfv9Am07uX69gQjmocj4/view?usp=sharing" TargetMode="External"/><Relationship Id="rId63" Type="http://schemas.openxmlformats.org/officeDocument/2006/relationships/hyperlink" Target="https://valsur.com/productos/medicion-y-control/herramientas-de-medicion/compases-y-transportadores-de-angulo/compas-plano-exteriores-acha-250-mm" TargetMode="External"/><Relationship Id="rId66" Type="http://schemas.openxmlformats.org/officeDocument/2006/relationships/hyperlink" Target="https://drive.google.com/file/d/1_UHuH37ATrm911Ohx4aL_9Z3m--yiXpV/view?usp=sharing" TargetMode="External"/><Relationship Id="rId65" Type="http://schemas.openxmlformats.org/officeDocument/2006/relationships/hyperlink" Target="https://docs.google.com/spreadsheets/d/1QFNYMDEYmYaWC31o7LTF19RQn8zCKHMs6sp3UisnU8E/edit?gid=0" TargetMode="External"/><Relationship Id="rId68" Type="http://schemas.openxmlformats.org/officeDocument/2006/relationships/hyperlink" Target="https://drive.google.com/file/d/1_UHuH37ATrm911Ohx4aL_9Z3m--yiXpV/view?usp=sharing" TargetMode="External"/><Relationship Id="rId67" Type="http://schemas.openxmlformats.org/officeDocument/2006/relationships/hyperlink" Target="https://docs.google.com/spreadsheets/d/1kslBHAB06kX74-JO06hpAVJDZp4e3QrUQdbueSHMr5s/edit?gid=0" TargetMode="External"/><Relationship Id="rId729" Type="http://schemas.openxmlformats.org/officeDocument/2006/relationships/hyperlink" Target="https://drive.google.com/file/d/1_UHuH37ATrm911Ohx4aL_9Z3m--yiXpV/view?usp=sharing" TargetMode="External"/><Relationship Id="rId728" Type="http://schemas.openxmlformats.org/officeDocument/2006/relationships/hyperlink" Target="https://docs.google.com/spreadsheets/d/1EsLJT56L32TIP20eaVp6MRynikK0j8BmD5qnEMFHGYY/edit?gid=0" TargetMode="External"/><Relationship Id="rId60" Type="http://schemas.openxmlformats.org/officeDocument/2006/relationships/hyperlink" Target="https://store.ferrindustrial.com.pe/producto/compas-interior-de-10-302445-vogel-germany/" TargetMode="External"/><Relationship Id="rId723" Type="http://schemas.openxmlformats.org/officeDocument/2006/relationships/hyperlink" Target="https://drive.google.com/file/d/1YH9h9tbwIk3ZRor_6eb1LK55_rFPY5cG/view?usp=sharing" TargetMode="External"/><Relationship Id="rId965" Type="http://schemas.openxmlformats.org/officeDocument/2006/relationships/hyperlink" Target="https://drive.google.com/file/d/1YH9h9tbwIk3ZRor_6eb1LK55_rFPY5cG/view?usp=sharing" TargetMode="External"/><Relationship Id="rId722" Type="http://schemas.openxmlformats.org/officeDocument/2006/relationships/hyperlink" Target="https://www.fbk.dk/es/productos/mango.FBK4.9/ergonomico-1500-x-32-mm-aluminio.FBK29814-2" TargetMode="External"/><Relationship Id="rId964" Type="http://schemas.openxmlformats.org/officeDocument/2006/relationships/hyperlink" Target="https://docs.google.com/spreadsheets/d/1J17U3ux2L1QV8XtsUltc9h8llVBZEFvQrA7b3n88Oz8/edit?gid=0" TargetMode="External"/><Relationship Id="rId721" Type="http://schemas.openxmlformats.org/officeDocument/2006/relationships/hyperlink" Target="https://docs.google.com/spreadsheets/d/1yOY_3agx67KSPNKShL0HP8qCZ-G2s6LRQYB7WId5E2Q/edit?gid=0" TargetMode="External"/><Relationship Id="rId963" Type="http://schemas.openxmlformats.org/officeDocument/2006/relationships/hyperlink" Target="https://drive.google.com/file/d/15II6pN8lLiJghCcshC2bnO6ky1nJkwg1/view?usp=sharing" TargetMode="External"/><Relationship Id="rId720" Type="http://schemas.openxmlformats.org/officeDocument/2006/relationships/hyperlink" Target="https://drive.google.com/file/d/1_UHuH37ATrm911Ohx4aL_9Z3m--yiXpV/view?usp=sharing" TargetMode="External"/><Relationship Id="rId962" Type="http://schemas.openxmlformats.org/officeDocument/2006/relationships/hyperlink" Target="https://docs.google.com/spreadsheets/d/1jGMIZtxSBYYSHz5BKCaEDueA0kMWvMmyryiPg469wMQ/edit?gid=0" TargetMode="External"/><Relationship Id="rId727" Type="http://schemas.openxmlformats.org/officeDocument/2006/relationships/hyperlink" Target="https://drive.google.com/file/d/1YH9h9tbwIk3ZRor_6eb1LK55_rFPY5cG/view?usp=sharing" TargetMode="External"/><Relationship Id="rId969" Type="http://schemas.openxmlformats.org/officeDocument/2006/relationships/hyperlink" Target="https://drive.google.com/file/d/1YH9h9tbwIk3ZRor_6eb1LK55_rFPY5cG/view?usp=sharing" TargetMode="External"/><Relationship Id="rId726" Type="http://schemas.openxmlformats.org/officeDocument/2006/relationships/hyperlink" Target="https://www.fbk.dk/es/productos/mango.FBK4.9/ergonomico-1500-x-32-mm-aluminio.FBK29814-2" TargetMode="External"/><Relationship Id="rId968" Type="http://schemas.openxmlformats.org/officeDocument/2006/relationships/hyperlink" Target="https://docs.google.com/spreadsheets/d/1n2VlPONCEXQAX-dlnB_tlkztWQqj2Bz7F7VpWOJ816U/edit?gid=0" TargetMode="External"/><Relationship Id="rId725" Type="http://schemas.openxmlformats.org/officeDocument/2006/relationships/hyperlink" Target="https://www.promart.pe/palo-de-escoba-de-aluminio-c-doble-rosca-1-40-m/p?srsltid=AfmBOoownryKz4NhXS8VwdbAVIQ4FIYRIxxTvkXPHV0BqO1uUkNkEK7j" TargetMode="External"/><Relationship Id="rId967" Type="http://schemas.openxmlformats.org/officeDocument/2006/relationships/hyperlink" Target="https://drive.google.com/file/d/1_UHuH37ATrm911Ohx4aL_9Z3m--yiXpV/view?usp=sharing" TargetMode="External"/><Relationship Id="rId724" Type="http://schemas.openxmlformats.org/officeDocument/2006/relationships/hyperlink" Target="https://docs.google.com/spreadsheets/d/1L3XFycQFP_OACBzz8FoTdk-q7yNFM0Pa08lW91c1VpU/edit?gid=0" TargetMode="External"/><Relationship Id="rId966" Type="http://schemas.openxmlformats.org/officeDocument/2006/relationships/hyperlink" Target="https://docs.google.com/spreadsheets/d/14rwdg-W3dGBRw_54gSif-dZ_Rqz8y7oNf8uhq3ice8Y/edit?gid=0" TargetMode="External"/><Relationship Id="rId69" Type="http://schemas.openxmlformats.org/officeDocument/2006/relationships/hyperlink" Target="https://docs.google.com/spreadsheets/d/1CP9ca-OmrmrVxPz9s3Dnk5kTz8P4qslNu3TL8c2Tmdk/edit?gid=0" TargetMode="External"/><Relationship Id="rId961" Type="http://schemas.openxmlformats.org/officeDocument/2006/relationships/hyperlink" Target="https://drive.google.com/file/d/15II6pN8lLiJghCcshC2bnO6ky1nJkwg1/view?usp=sharing" TargetMode="External"/><Relationship Id="rId960" Type="http://schemas.openxmlformats.org/officeDocument/2006/relationships/hyperlink" Target="https://docs.google.com/spreadsheets/d/1WBMrJPfX-alwTJeZ32j_GF2SvZuFbJrTgT0oB4Fmfu4/edit?gid=0" TargetMode="External"/><Relationship Id="rId51" Type="http://schemas.openxmlformats.org/officeDocument/2006/relationships/hyperlink" Target="https://www.wikus.de/es/productos/hojas-de-sierra-de-cinta/hojas-de-sierra-de-cinta-bimetalicas/proflex-m42" TargetMode="External"/><Relationship Id="rId50" Type="http://schemas.openxmlformats.org/officeDocument/2006/relationships/hyperlink" Target="https://docs.google.com/spreadsheets/d/1obLRylGCR5ZzuYwckVnzgQO00HQFqVxemSJCb_95xRI/edit?gid=0" TargetMode="External"/><Relationship Id="rId53" Type="http://schemas.openxmlformats.org/officeDocument/2006/relationships/hyperlink" Target="https://www.aslak.es/herramientas-electricas/5160433-sierra-rec-hbs-431-433-3345x16x0-5-4z-sierra-rec-hbs-431-433-3345x16x05-4z.html" TargetMode="External"/><Relationship Id="rId52" Type="http://schemas.openxmlformats.org/officeDocument/2006/relationships/hyperlink" Target="https://tienda.ugarte-zestoa.com/sierra-de-cinta/15518-sierra-de-cinta-bi-metal-m42-para-materi-8716563537977.html" TargetMode="External"/><Relationship Id="rId55" Type="http://schemas.openxmlformats.org/officeDocument/2006/relationships/hyperlink" Target="https://www.aslak.es/herramientas-electricas/5160435-sierra-rec-hbs-431-433-3345x25x0-5-sierra-rec-hbs-431-433-3345x25x05.html" TargetMode="External"/><Relationship Id="rId54" Type="http://schemas.openxmlformats.org/officeDocument/2006/relationships/hyperlink" Target="https://tienda.ugarte-zestoa.com/sierra-de-cinta/14578-sierra-de-cinta-bi-metal-m42-para-materi-8716563705260.html+" TargetMode="External"/><Relationship Id="rId57" Type="http://schemas.openxmlformats.org/officeDocument/2006/relationships/hyperlink" Target="https://docs.google.com/spreadsheets/d/1vFm8p2g7_vWhBJmcLiXMq4dvVmAdoqradDNilobwCqs/edit?gid=0" TargetMode="External"/><Relationship Id="rId56" Type="http://schemas.openxmlformats.org/officeDocument/2006/relationships/hyperlink" Target="https://drive.google.com/file/d/1I-M-Ra6pUId8KiuqWqyTcLG-tCLYFcq3/view?usp=sharing" TargetMode="External"/><Relationship Id="rId719" Type="http://schemas.openxmlformats.org/officeDocument/2006/relationships/hyperlink" Target="https://sodimac.falabella.com.pe/sodimac-pe/product/113536643/Cepillo-de-Lavanderia/113536645?exp=sodimac" TargetMode="External"/><Relationship Id="rId718" Type="http://schemas.openxmlformats.org/officeDocument/2006/relationships/hyperlink" Target="https://docs.google.com/spreadsheets/d/1kQPAQB8L1fXdXm2bt09vMLOujDI7PDPYdMAl-T8O82E/edit?gid=0" TargetMode="External"/><Relationship Id="rId717" Type="http://schemas.openxmlformats.org/officeDocument/2006/relationships/hyperlink" Target="https://drive.google.com/file/d/1_UHuH37ATrm911Ohx4aL_9Z3m--yiXpV/view?usp=sharing" TargetMode="External"/><Relationship Id="rId959" Type="http://schemas.openxmlformats.org/officeDocument/2006/relationships/hyperlink" Target="https://drive.google.com/file/d/15II6pN8lLiJghCcshC2bnO6ky1nJkwg1/view?usp=sharing" TargetMode="External"/><Relationship Id="rId712" Type="http://schemas.openxmlformats.org/officeDocument/2006/relationships/hyperlink" Target="https://drive.google.com/file/d/1YH9h9tbwIk3ZRor_6eb1LK55_rFPY5cG/view?usp=sharing" TargetMode="External"/><Relationship Id="rId954" Type="http://schemas.openxmlformats.org/officeDocument/2006/relationships/hyperlink" Target="https://docs.google.com/spreadsheets/d/1eO5Rs4Rf6-wTBPCzhZJLtoxH8k4gUwJ0y9xqX_9zl38/edit?gid=0" TargetMode="External"/><Relationship Id="rId711" Type="http://schemas.openxmlformats.org/officeDocument/2006/relationships/hyperlink" Target="https://docs.google.com/spreadsheets/d/1gPFuZUoKQadh1Pl1Hqqtr9u-0vcbldR3bImJkEpylQ0/edit?gid=0" TargetMode="External"/><Relationship Id="rId953" Type="http://schemas.openxmlformats.org/officeDocument/2006/relationships/hyperlink" Target="https://drive.google.com/file/d/1BZ2N5EASu7KqA43xkUocI7QoYhjba-W1/view?usp=sharing" TargetMode="External"/><Relationship Id="rId710" Type="http://schemas.openxmlformats.org/officeDocument/2006/relationships/hyperlink" Target="https://drive.google.com/file/d/1YH9h9tbwIk3ZRor_6eb1LK55_rFPY5cG/view?usp=sharing" TargetMode="External"/><Relationship Id="rId952" Type="http://schemas.openxmlformats.org/officeDocument/2006/relationships/hyperlink" Target="https://www.promart.pe/regla-de-acero-300mm/p" TargetMode="External"/><Relationship Id="rId951" Type="http://schemas.openxmlformats.org/officeDocument/2006/relationships/hyperlink" Target="https://docs.google.com/spreadsheets/d/1IKuTUvaEBWLqbYW91ldlmEbxEG3NduAKRxJxwpz0j6Q/edit?gid=0" TargetMode="External"/><Relationship Id="rId716" Type="http://schemas.openxmlformats.org/officeDocument/2006/relationships/hyperlink" Target="https://drive.google.com/drive/folders/1Q6KY0XfHbVu-HqzDMNEnR9FPIyB6K_X8" TargetMode="External"/><Relationship Id="rId958" Type="http://schemas.openxmlformats.org/officeDocument/2006/relationships/hyperlink" Target="https://docs.google.com/spreadsheets/d/1gJHSkqcsVWb9xxaktRprn458n9v45pjM9ELjiNfdDV4/edit?gid=0" TargetMode="External"/><Relationship Id="rId715" Type="http://schemas.openxmlformats.org/officeDocument/2006/relationships/hyperlink" Target="https://docs.google.com/spreadsheets/d/1gBECIU4fEOXz0PLULtMRNokcx6tnWYchzkFxJYEi4oo/edit?gid=0" TargetMode="External"/><Relationship Id="rId957" Type="http://schemas.openxmlformats.org/officeDocument/2006/relationships/hyperlink" Target="https://drive.google.com/file/d/1gVHd7eSNvjmDXUMFxdFWQy6anW_O3NP3/view?usp=sharing" TargetMode="External"/><Relationship Id="rId714" Type="http://schemas.openxmlformats.org/officeDocument/2006/relationships/hyperlink" Target="https://drive.google.com/file/d/1h4VAVdnpYwVJWfv9Am07uX69gQjmocj4/view?usp=sharing" TargetMode="External"/><Relationship Id="rId956" Type="http://schemas.openxmlformats.org/officeDocument/2006/relationships/hyperlink" Target="https://docs.google.com/spreadsheets/d/1YqiZYq25PP92PG7pZjH6dG-hL5zQO4oaQ5GuGGY67QQ/edit?gid=0" TargetMode="External"/><Relationship Id="rId713" Type="http://schemas.openxmlformats.org/officeDocument/2006/relationships/hyperlink" Target="https://docs.google.com/spreadsheets/d/1f-eZ92P_KPadLacez4JHk1fX_gh0CwVuLocjn24wNW0/edit?gid=0" TargetMode="External"/><Relationship Id="rId955" Type="http://schemas.openxmlformats.org/officeDocument/2006/relationships/hyperlink" Target="https://drive.google.com/file/d/1BZ2N5EASu7KqA43xkUocI7QoYhjba-W1/view?usp=sharing" TargetMode="External"/><Relationship Id="rId59" Type="http://schemas.openxmlformats.org/officeDocument/2006/relationships/hyperlink" Target="https://docs.google.com/spreadsheets/d/1_ZvxyPLilIM9H1w3FcmhXv5N1cWxNY44IAS95vgiV-o/edit?gid=0" TargetMode="External"/><Relationship Id="rId58" Type="http://schemas.openxmlformats.org/officeDocument/2006/relationships/hyperlink" Target="https://drive.google.com/file/d/18QObBMdkdbxawOmVcLCnjq1PR6AWIUKE/view?usp=sharing" TargetMode="External"/><Relationship Id="rId950" Type="http://schemas.openxmlformats.org/officeDocument/2006/relationships/hyperlink" Target="https://drive.google.com/file/d/18QObBMdkdbxawOmVcLCnjq1PR6AWIUKE/view?usp=sharing" TargetMode="External"/><Relationship Id="rId590" Type="http://schemas.openxmlformats.org/officeDocument/2006/relationships/hyperlink" Target="https://drive.google.com/drive/folders/1Q6KY0XfHbVu-HqzDMNEnR9FPIyB6K_X8" TargetMode="External"/><Relationship Id="rId107" Type="http://schemas.openxmlformats.org/officeDocument/2006/relationships/hyperlink" Target="https://drive.google.com/file/d/18QObBMdkdbxawOmVcLCnjq1PR6AWIUKE/view?usp=sharing" TargetMode="External"/><Relationship Id="rId349" Type="http://schemas.openxmlformats.org/officeDocument/2006/relationships/hyperlink" Target="https://drive.google.com/file/d/1YH9h9tbwIk3ZRor_6eb1LK55_rFPY5cG/view?usp=sharing" TargetMode="External"/><Relationship Id="rId106" Type="http://schemas.openxmlformats.org/officeDocument/2006/relationships/hyperlink" Target="https://docs.google.com/spreadsheets/d/1K8ghR4_erb8Vm94F_h3dMHWRImHaLBbrmRtTs-4vVI4/edit?gid=0" TargetMode="External"/><Relationship Id="rId348" Type="http://schemas.openxmlformats.org/officeDocument/2006/relationships/hyperlink" Target="https://mihaba.com/soporte-sujetador-de-metal-para-placa-bk-686-baku/?srsltid=AfmBOoowxcozlm6cSLhzL0Dzj9MrczrYL8y_UEuRBlLJWkxk56O8v5PO" TargetMode="External"/><Relationship Id="rId105" Type="http://schemas.openxmlformats.org/officeDocument/2006/relationships/hyperlink" Target="https://drive.google.com/file/d/1WwLY1lQi2XiSE0OtUotd4iudcZnmUB5t/view?usp=sharing" TargetMode="External"/><Relationship Id="rId347" Type="http://schemas.openxmlformats.org/officeDocument/2006/relationships/hyperlink" Target="https://docs.google.com/spreadsheets/d/1kh2s_0qFEgeB4SncOP6rGcTrSwTfqz8ULih5DF5vI50/edit?gid=0" TargetMode="External"/><Relationship Id="rId589" Type="http://schemas.openxmlformats.org/officeDocument/2006/relationships/hyperlink" Target="https://cahema.pe/desarmadores-phillips/15706-desarmador-phillips-ph-2-x-125mm-bahco-615-2-125-7314150124572.html" TargetMode="External"/><Relationship Id="rId104" Type="http://schemas.openxmlformats.org/officeDocument/2006/relationships/hyperlink" Target="https://docs.google.com/spreadsheets/d/19qNyf7Yi2-kMPGj2HThZ_y1F2wzc32IcAxF2q_EBMO0/edit?gid=0" TargetMode="External"/><Relationship Id="rId346" Type="http://schemas.openxmlformats.org/officeDocument/2006/relationships/hyperlink" Target="https://sps.cdtechnologia.net/herramientas/2372-sujetador-de-placas-pcb-ajustable-baku-bk-686a.html" TargetMode="External"/><Relationship Id="rId588" Type="http://schemas.openxmlformats.org/officeDocument/2006/relationships/hyperlink" Target="https://cahema.pe/desarmadores-phillips/3970-desarmador-phillips-ph-1-x-3-truper-14143-7501206621356.html" TargetMode="External"/><Relationship Id="rId109" Type="http://schemas.openxmlformats.org/officeDocument/2006/relationships/hyperlink" Target="https://drive.google.com/file/d/1BZ2N5EASu7KqA43xkUocI7QoYhjba-W1/view?usp=sharing" TargetMode="External"/><Relationship Id="rId108" Type="http://schemas.openxmlformats.org/officeDocument/2006/relationships/hyperlink" Target="https://docs.google.com/spreadsheets/d/113Nxh1nUBHCHkBBwd2JNmfLKZSQbtu5LH0MkipuVR6g/edit?gid=0" TargetMode="External"/><Relationship Id="rId341" Type="http://schemas.openxmlformats.org/officeDocument/2006/relationships/hyperlink" Target="https://drive.google.com/file/d/1_UHuH37ATrm911Ohx4aL_9Z3m--yiXpV/view?usp=sharing" TargetMode="External"/><Relationship Id="rId583" Type="http://schemas.openxmlformats.org/officeDocument/2006/relationships/hyperlink" Target="https://cahema.pe/desarmadores-plano/8716-desarmador-plano-516-x-8-toolcraft-tc0706-7501892837062.html" TargetMode="External"/><Relationship Id="rId340" Type="http://schemas.openxmlformats.org/officeDocument/2006/relationships/hyperlink" Target="https://shakingclub.com/products/sifon-de-crema-isi-gourmet-1lt?srsltid=AfmBOop1GnHeiQxlZ0EiY3t6GBx5sNWjUMLUx2uuELLN35-eev_x3hlE" TargetMode="External"/><Relationship Id="rId582" Type="http://schemas.openxmlformats.org/officeDocument/2006/relationships/hyperlink" Target="https://www.truper.com/ficha_merca/ficha-print.php?code=14019" TargetMode="External"/><Relationship Id="rId581" Type="http://schemas.openxmlformats.org/officeDocument/2006/relationships/hyperlink" Target="https://cahema.pe/desarmadores-plano/8734-desarmador-plano-14-x-6-wolfox-wf2106-7501892828190.html" TargetMode="External"/><Relationship Id="rId580" Type="http://schemas.openxmlformats.org/officeDocument/2006/relationships/hyperlink" Target="https://docs.google.com/spreadsheets/d/1pejT5XpIjuHSxSsFwsbVkWk0ENVYRUHJfay-mbFFtb0/edit?gid=0" TargetMode="External"/><Relationship Id="rId103" Type="http://schemas.openxmlformats.org/officeDocument/2006/relationships/hyperlink" Target="https://drive.google.com/file/d/1WwLY1lQi2XiSE0OtUotd4iudcZnmUB5t/view?usp=sharing" TargetMode="External"/><Relationship Id="rId345" Type="http://schemas.openxmlformats.org/officeDocument/2006/relationships/hyperlink" Target="https://drive.google.com/file/d/1gVHd7eSNvjmDXUMFxdFWQy6anW_O3NP3/view?usp=sharing" TargetMode="External"/><Relationship Id="rId587" Type="http://schemas.openxmlformats.org/officeDocument/2006/relationships/hyperlink" Target="https://cahema.pe/desarmadores-phillips/4688-desarmador-phillips-ph-1-x-4-truper-100836-7506240680505.html" TargetMode="External"/><Relationship Id="rId102" Type="http://schemas.openxmlformats.org/officeDocument/2006/relationships/hyperlink" Target="https://docs.google.com/spreadsheets/d/1pC0fwrnGH7d2TTpjSD8HO_U4tOeyLsmKVPSkl64uTpc/edit?gid=0" TargetMode="External"/><Relationship Id="rId344" Type="http://schemas.openxmlformats.org/officeDocument/2006/relationships/hyperlink" Target="https://www.promart.pe/set-de-ramequines-viva-home--5pzas-99958648/p?srsltid=AfmBOor9V8_pjIDmTTxeAf-d0FfTrlVsRnO7_zvYwTPzyrBY88aKQkIv" TargetMode="External"/><Relationship Id="rId586" Type="http://schemas.openxmlformats.org/officeDocument/2006/relationships/hyperlink" Target="https://cahema.pe/desarmadores-plano/8716-desarmador-plano-516-x-8-toolcraft-tc0706-7501892837062.html" TargetMode="External"/><Relationship Id="rId101" Type="http://schemas.openxmlformats.org/officeDocument/2006/relationships/hyperlink" Target="https://drive.google.com/file/d/18QObBMdkdbxawOmVcLCnjq1PR6AWIUKE/view?usp=sharing" TargetMode="External"/><Relationship Id="rId343" Type="http://schemas.openxmlformats.org/officeDocument/2006/relationships/hyperlink" Target="https://jotastore.pe/producto/combo-soplete-flameador-bs-600-gas-butano-friss-480ml-para-cocina/" TargetMode="External"/><Relationship Id="rId585" Type="http://schemas.openxmlformats.org/officeDocument/2006/relationships/hyperlink" Target="https://cahema.pe/desarmadores-phillips/3970-desarmador-phillips-ph-1-x-3-truper-14143-7501206621356.html" TargetMode="External"/><Relationship Id="rId100" Type="http://schemas.openxmlformats.org/officeDocument/2006/relationships/hyperlink" Target="https://docs.google.com/spreadsheets/d/1MypWMjQfW9vZYJAwZzC00ab8PHEL8BqBZ9HuZeL5pAE/edit?gid=0" TargetMode="External"/><Relationship Id="rId342" Type="http://schemas.openxmlformats.org/officeDocument/2006/relationships/hyperlink" Target="https://docs.google.com/spreadsheets/d/1IDLhoezoLe4Y5gEqtINLaadru2NzrfS0LU9nz1uZUAE/edit?gid=0" TargetMode="External"/><Relationship Id="rId584" Type="http://schemas.openxmlformats.org/officeDocument/2006/relationships/hyperlink" Target="https://cahema.pe/desarmadores-plano/8734-desarmador-plano-14-x-6-wolfox-wf2106-7501892828190.html" TargetMode="External"/><Relationship Id="rId338" Type="http://schemas.openxmlformats.org/officeDocument/2006/relationships/hyperlink" Target="https://drive.google.com/file/d/1_UHuH37ATrm911Ohx4aL_9Z3m--yiXpV/view?usp=sharing" TargetMode="External"/><Relationship Id="rId337" Type="http://schemas.openxmlformats.org/officeDocument/2006/relationships/hyperlink" Target="https://docs.google.com/spreadsheets/d/1MvfHPww1_2-wK9FpbpX1dJ3zz4WISMiJC6USZhA4h4Q/edit?gid=0" TargetMode="External"/><Relationship Id="rId579" Type="http://schemas.openxmlformats.org/officeDocument/2006/relationships/hyperlink" Target="https://drive.google.com/file/d/18QObBMdkdbxawOmVcLCnjq1PR6AWIUKE/view?usp=sharing" TargetMode="External"/><Relationship Id="rId336" Type="http://schemas.openxmlformats.org/officeDocument/2006/relationships/hyperlink" Target="https://drive.google.com/file/d/1BZ2N5EASu7KqA43xkUocI7QoYhjba-W1/view?usp=sharing" TargetMode="External"/><Relationship Id="rId578" Type="http://schemas.openxmlformats.org/officeDocument/2006/relationships/hyperlink" Target="https://docs.google.com/spreadsheets/d/1Cx7aRfKDa0R1LNE3pWysot4mBS2d0oaXJPF_UtLbHhM/edit?gid=0" TargetMode="External"/><Relationship Id="rId335" Type="http://schemas.openxmlformats.org/officeDocument/2006/relationships/hyperlink" Target="https://docs.google.com/spreadsheets/d/1f3P7VMWVm8_A1I1PWTF2up6e0SnDKak9yQqZIetLurY/edit?gid=0" TargetMode="External"/><Relationship Id="rId577" Type="http://schemas.openxmlformats.org/officeDocument/2006/relationships/hyperlink" Target="https://drive.google.com/file/d/1WwLY1lQi2XiSE0OtUotd4iudcZnmUB5t/view?usp=sharing" TargetMode="External"/><Relationship Id="rId339" Type="http://schemas.openxmlformats.org/officeDocument/2006/relationships/hyperlink" Target="https://docs.google.com/spreadsheets/d/1Wbo2pUzxPImwXmqst3-I7opMI0XeoyeJxi0_s5wj-jY/edit?gid=0" TargetMode="External"/><Relationship Id="rId330" Type="http://schemas.openxmlformats.org/officeDocument/2006/relationships/hyperlink" Target="https://docs.google.com/spreadsheets/d/1EbS_aKAxdtJm-IfujiG8AvZoTIQsOQvf_laT4T8QDFw/edit?gid=0" TargetMode="External"/><Relationship Id="rId572" Type="http://schemas.openxmlformats.org/officeDocument/2006/relationships/hyperlink" Target="https://docs.google.com/spreadsheets/d/1VobE-FQPEDpgEIcXnJoAfYxKfrJnBcCoQZCO97hz-cU/edit?gid=0" TargetMode="External"/><Relationship Id="rId571" Type="http://schemas.openxmlformats.org/officeDocument/2006/relationships/hyperlink" Target="https://drive.google.com/file/d/1h4VAVdnpYwVJWfv9Am07uX69gQjmocj4/view?usp=sharing" TargetMode="External"/><Relationship Id="rId570" Type="http://schemas.openxmlformats.org/officeDocument/2006/relationships/hyperlink" Target="https://docs.google.com/spreadsheets/d/1O_-n3tG_40SxaqiUURc2AZBqJjt3l6gCqW7m3Od4r3A/edit?gid=0" TargetMode="External"/><Relationship Id="rId334" Type="http://schemas.openxmlformats.org/officeDocument/2006/relationships/hyperlink" Target="https://www.ango.com.pe/product/rodillo-acero-inoxidable-43cm/" TargetMode="External"/><Relationship Id="rId576" Type="http://schemas.openxmlformats.org/officeDocument/2006/relationships/hyperlink" Target="https://docs.google.com/spreadsheets/d/13bvl3vSi-jdBzJWSNbuenVX9PrPA-ZnxJ4R9fdgTSTk/edit?gid=0" TargetMode="External"/><Relationship Id="rId333" Type="http://schemas.openxmlformats.org/officeDocument/2006/relationships/hyperlink" Target="https://drive.google.com/file/d/1YH9h9tbwIk3ZRor_6eb1LK55_rFPY5cG/view?usp=sharing" TargetMode="External"/><Relationship Id="rId575" Type="http://schemas.openxmlformats.org/officeDocument/2006/relationships/hyperlink" Target="https://drive.google.com/file/d/1WwLY1lQi2XiSE0OtUotd4iudcZnmUB5t/view?usp=sharing" TargetMode="External"/><Relationship Id="rId332" Type="http://schemas.openxmlformats.org/officeDocument/2006/relationships/hyperlink" Target="https://docs.google.com/spreadsheets/d/16YOo9RRdAC0u6BTIUFX-JuB8RxP76Nuq2aEnwGC54Tc/edit?gid=0" TargetMode="External"/><Relationship Id="rId574" Type="http://schemas.openxmlformats.org/officeDocument/2006/relationships/hyperlink" Target="https://docs.google.com/spreadsheets/d/1AiI9UVwzD_zcMU5cxZpEh6Jsuzb_c3rn2bwUk5EW4oo/edit?gid=0" TargetMode="External"/><Relationship Id="rId331" Type="http://schemas.openxmlformats.org/officeDocument/2006/relationships/hyperlink" Target="https://drive.google.com/file/d/1_UHuH37ATrm911Ohx4aL_9Z3m--yiXpV/view?usp=sharing" TargetMode="External"/><Relationship Id="rId573" Type="http://schemas.openxmlformats.org/officeDocument/2006/relationships/hyperlink" Target="https://drive.google.com/file/d/1BZ2N5EASu7KqA43xkUocI7QoYhjba-W1/view?usp=sharing" TargetMode="External"/><Relationship Id="rId370" Type="http://schemas.openxmlformats.org/officeDocument/2006/relationships/hyperlink" Target="https://docs.google.com/spreadsheets/d/10cF--G64xOWnteaErg5OmGabZPfKjolXXELIZUIqc5U/edit?gid=0" TargetMode="External"/><Relationship Id="rId129" Type="http://schemas.openxmlformats.org/officeDocument/2006/relationships/hyperlink" Target="https://docs.google.com/spreadsheets/d/1-kc9AT0ekJZVI3oTgww-tDjycMWRag4tUccBs4XT-Hg/edit?gid=0" TargetMode="External"/><Relationship Id="rId128" Type="http://schemas.openxmlformats.org/officeDocument/2006/relationships/hyperlink" Target="https://drive.google.com/file/d/1WwLY1lQi2XiSE0OtUotd4iudcZnmUB5t/view?usp=sharing" TargetMode="External"/><Relationship Id="rId127" Type="http://schemas.openxmlformats.org/officeDocument/2006/relationships/hyperlink" Target="https://docs.google.com/spreadsheets/d/1gEt5D9k6nMpro9aSD44dE8sh7DFJh0uEwekTPwqm-Sw/edit?gid=0" TargetMode="External"/><Relationship Id="rId369" Type="http://schemas.openxmlformats.org/officeDocument/2006/relationships/hyperlink" Target="https://drive.google.com/file/d/1WwLY1lQi2XiSE0OtUotd4iudcZnmUB5t/view?usp=sharing" TargetMode="External"/><Relationship Id="rId126" Type="http://schemas.openxmlformats.org/officeDocument/2006/relationships/hyperlink" Target="https://drive.google.com/file/d/18QObBMdkdbxawOmVcLCnjq1PR6AWIUKE/view?usp=sharing" TargetMode="External"/><Relationship Id="rId368" Type="http://schemas.openxmlformats.org/officeDocument/2006/relationships/hyperlink" Target="https://docs.google.com/spreadsheets/d/1uMSw60NBgg7NnOTfiaW_sQBLuocT5nIu1b_gP_soC6Q/edit?gid=0" TargetMode="External"/><Relationship Id="rId121" Type="http://schemas.openxmlformats.org/officeDocument/2006/relationships/hyperlink" Target="https://drive.google.com/file/d/1G2mauVmHuuAva2C6gtGETY9hntLfOxxH/view" TargetMode="External"/><Relationship Id="rId363" Type="http://schemas.openxmlformats.org/officeDocument/2006/relationships/hyperlink" Target="https://docs.google.com/spreadsheets/d/1jvJ0zbeJ8dcdAoHwkNuEgrqQ_5p9Y-P3DREjrGpGc3w/edit?gid=0" TargetMode="External"/><Relationship Id="rId120" Type="http://schemas.openxmlformats.org/officeDocument/2006/relationships/hyperlink" Target="https://docs.google.com/spreadsheets/d/1v1LrbLKWW2BTDdS4uwJZXr1xRzcJOnvjcRks1LCeSWs/edit?gid=0" TargetMode="External"/><Relationship Id="rId362" Type="http://schemas.openxmlformats.org/officeDocument/2006/relationships/hyperlink" Target="https://drive.google.com/file/d/1WwLY1lQi2XiSE0OtUotd4iudcZnmUB5t/view?usp=sharing" TargetMode="External"/><Relationship Id="rId361" Type="http://schemas.openxmlformats.org/officeDocument/2006/relationships/hyperlink" Target="https://docs.google.com/spreadsheets/d/13EVBa-xoK-IGR42hxRyjy39HGOsbzsPgSTlVPAnWbsY/edit?gid=0" TargetMode="External"/><Relationship Id="rId360" Type="http://schemas.openxmlformats.org/officeDocument/2006/relationships/hyperlink" Target="https://drive.google.com/file/d/1h4VAVdnpYwVJWfv9Am07uX69gQjmocj4/view?usp=sharing" TargetMode="External"/><Relationship Id="rId125" Type="http://schemas.openxmlformats.org/officeDocument/2006/relationships/hyperlink" Target="https://docs.google.com/spreadsheets/d/1BsQLY58oLkWhgOmV5DXn1BXtJXutGdptnAS1n0kefMI/edit?gid=0" TargetMode="External"/><Relationship Id="rId367" Type="http://schemas.openxmlformats.org/officeDocument/2006/relationships/hyperlink" Target="https://drive.google.com/file/d/15II6pN8lLiJghCcshC2bnO6ky1nJkwg1/view?usp=sharing" TargetMode="External"/><Relationship Id="rId124" Type="http://schemas.openxmlformats.org/officeDocument/2006/relationships/hyperlink" Target="https://drive.google.com/file/d/1h4VAVdnpYwVJWfv9Am07uX69gQjmocj4/view?usp=sharing" TargetMode="External"/><Relationship Id="rId366" Type="http://schemas.openxmlformats.org/officeDocument/2006/relationships/hyperlink" Target="https://drive.google.com/file/d/1TvcHSd6kWDQ5JqPvfxa0mRGdiJIjvmZu/view?usp=drive_link" TargetMode="External"/><Relationship Id="rId123" Type="http://schemas.openxmlformats.org/officeDocument/2006/relationships/hyperlink" Target="https://docs.google.com/spreadsheets/d/1RtFyYDgeg7dI3-_lQR0E5dQ9YO_iOMpP_IXUJrED90A/edit?pli=1&amp;gid=0" TargetMode="External"/><Relationship Id="rId365" Type="http://schemas.openxmlformats.org/officeDocument/2006/relationships/hyperlink" Target="https://docs.google.com/spreadsheets/d/1f9GEQvPwiJnu93BFlInuhg9mcsdL_H12Lam48tfanWc/edit?gid=0" TargetMode="External"/><Relationship Id="rId122" Type="http://schemas.openxmlformats.org/officeDocument/2006/relationships/hyperlink" Target="https://drive.google.com/file/d/1WwLY1lQi2XiSE0OtUotd4iudcZnmUB5t/view?usp=sharing" TargetMode="External"/><Relationship Id="rId364" Type="http://schemas.openxmlformats.org/officeDocument/2006/relationships/hyperlink" Target="https://drive.google.com/file/d/18QObBMdkdbxawOmVcLCnjq1PR6AWIUKE/view?usp=sharing" TargetMode="External"/><Relationship Id="rId95" Type="http://schemas.openxmlformats.org/officeDocument/2006/relationships/hyperlink" Target="https://drive.google.com/file/d/1YH9h9tbwIk3ZRor_6eb1LK55_rFPY5cG/view?usp=sharing" TargetMode="External"/><Relationship Id="rId94" Type="http://schemas.openxmlformats.org/officeDocument/2006/relationships/hyperlink" Target="https://docs.google.com/spreadsheets/d/1fXd13FKyRNK0rY-kxf03iI7oTSa0tBWyLG-s_QvkbcA/edit?gid=0" TargetMode="External"/><Relationship Id="rId97" Type="http://schemas.openxmlformats.org/officeDocument/2006/relationships/hyperlink" Target="https://drive.google.com/file/d/1BZ2N5EASu7KqA43xkUocI7QoYhjba-W1/view?usp=sharing" TargetMode="External"/><Relationship Id="rId96" Type="http://schemas.openxmlformats.org/officeDocument/2006/relationships/hyperlink" Target="https://docs.google.com/spreadsheets/d/1V_rtpPWK3P_JrF7Eos5KWclQc8GxHNtWMkD4sShnCeU/edit?gid=0" TargetMode="External"/><Relationship Id="rId99" Type="http://schemas.openxmlformats.org/officeDocument/2006/relationships/hyperlink" Target="https://drive.google.com/file/d/1WwLY1lQi2XiSE0OtUotd4iudcZnmUB5t/view?usp=sharing" TargetMode="External"/><Relationship Id="rId98" Type="http://schemas.openxmlformats.org/officeDocument/2006/relationships/hyperlink" Target="https://docs.google.com/spreadsheets/d/1561USwsHK1AoXUJUuQoh5m9EQDdtCYrW1Da_tvvUSMo/edit?gid=0" TargetMode="External"/><Relationship Id="rId91" Type="http://schemas.openxmlformats.org/officeDocument/2006/relationships/hyperlink" Target="https://drive.google.com/file/d/1BZ2N5EASu7KqA43xkUocI7QoYhjba-W1/view?usp=sharing" TargetMode="External"/><Relationship Id="rId90" Type="http://schemas.openxmlformats.org/officeDocument/2006/relationships/hyperlink" Target="https://docs.google.com/spreadsheets/d/10-F5GkEDVjxVTrWs0qKhAWWDQbXKvCWNscT26_47t2M/edit?gid=0" TargetMode="External"/><Relationship Id="rId93" Type="http://schemas.openxmlformats.org/officeDocument/2006/relationships/hyperlink" Target="https://drive.google.com/file/d/1h4VAVdnpYwVJWfv9Am07uX69gQjmocj4/view?usp=sharing" TargetMode="External"/><Relationship Id="rId92" Type="http://schemas.openxmlformats.org/officeDocument/2006/relationships/hyperlink" Target="https://docs.google.com/spreadsheets/d/1WoQueyp7uTf00Tc1h7qO0Es8s1aJ-uNOUUdSmcn7oQs/edit?gid=0" TargetMode="External"/><Relationship Id="rId118" Type="http://schemas.openxmlformats.org/officeDocument/2006/relationships/hyperlink" Target="https://docs.google.com/spreadsheets/d/1oaiz7AnJgAO1ebNqo82mKaqScl0oG2faIMySQGb0TnE/edit?gid=0" TargetMode="External"/><Relationship Id="rId117" Type="http://schemas.openxmlformats.org/officeDocument/2006/relationships/hyperlink" Target="https://drive.google.com/file/d/1YH9h9tbwIk3ZRor_6eb1LK55_rFPY5cG/view?usp=sharing" TargetMode="External"/><Relationship Id="rId359" Type="http://schemas.openxmlformats.org/officeDocument/2006/relationships/hyperlink" Target="https://docs.google.com/spreadsheets/d/1vWQOIvZA1_hZrc-kUu868H81xH6LGU_rUFVdkH2BjE4/edit?gid=0" TargetMode="External"/><Relationship Id="rId116" Type="http://schemas.openxmlformats.org/officeDocument/2006/relationships/hyperlink" Target="https://drive.google.com/file/d/1G2mauVmHuuAva2C6gtGETY9hntLfOxxH/view" TargetMode="External"/><Relationship Id="rId358" Type="http://schemas.openxmlformats.org/officeDocument/2006/relationships/hyperlink" Target="https://drive.google.com/file/d/1gVHd7eSNvjmDXUMFxdFWQy6anW_O3NP3/view?usp=sharing" TargetMode="External"/><Relationship Id="rId115" Type="http://schemas.openxmlformats.org/officeDocument/2006/relationships/hyperlink" Target="https://docs.google.com/spreadsheets/d/1h5cOBgGJq9XRM06V2G3ivGVIxv-gu0JHQ8uIpmmw8ns/edit?gid=0" TargetMode="External"/><Relationship Id="rId357" Type="http://schemas.openxmlformats.org/officeDocument/2006/relationships/hyperlink" Target="https://docs.google.com/spreadsheets/d/19UKODrevpd_Pb4UoN5BkUNpa_vxiqDu42carY2OhQkY/edit?gid=0" TargetMode="External"/><Relationship Id="rId599" Type="http://schemas.openxmlformats.org/officeDocument/2006/relationships/hyperlink" Target="https://docs.google.com/spreadsheets/d/1TdHdz7SH8-qwOMYJ-c09-FdWOLcjUINpLVjv3eS3kZQ/edit?gid=0" TargetMode="External"/><Relationship Id="rId119" Type="http://schemas.openxmlformats.org/officeDocument/2006/relationships/hyperlink" Target="https://drive.google.com/file/d/1YH9h9tbwIk3ZRor_6eb1LK55_rFPY5cG/view?usp=sharing" TargetMode="External"/><Relationship Id="rId110" Type="http://schemas.openxmlformats.org/officeDocument/2006/relationships/hyperlink" Target="https://docs.google.com/spreadsheets/d/1jxg05w9EXYQ_Yy_LN3bLWeUEVGmFm_9XYm8J2vJeD2Q/edit?pli=1&amp;gid=0" TargetMode="External"/><Relationship Id="rId352" Type="http://schemas.openxmlformats.org/officeDocument/2006/relationships/hyperlink" Target="https://drive.google.com/file/d/1_UHuH37ATrm911Ohx4aL_9Z3m--yiXpV/view?usp=sharing" TargetMode="External"/><Relationship Id="rId594" Type="http://schemas.openxmlformats.org/officeDocument/2006/relationships/hyperlink" Target="https://ecomarkperu.com/producto/bandeja-acero-inoxidable-32x22x4-8-cm/" TargetMode="External"/><Relationship Id="rId351" Type="http://schemas.openxmlformats.org/officeDocument/2006/relationships/hyperlink" Target="https://simple.ripley.com.pe/taza-gibben-cernidor-plateado-a-tamizadora-chica-reposteria-pmp00003112707?srsltid=AfmBOorF4Fq0XUAbLh5Z_ZZcIytS7Qxh7hEzb8Fpyoa6_IdMdWBKO1IA&amp;color_80=plateado&amp;s=mdco" TargetMode="External"/><Relationship Id="rId593" Type="http://schemas.openxmlformats.org/officeDocument/2006/relationships/hyperlink" Target="https://www.sears.com/powerbuilt-3-x-6-inch-phillips-screwdriver-with-double-injection-handle-646166/p-A129476806?sid=ISxMP3xSOxGGxDTxSURF" TargetMode="External"/><Relationship Id="rId350" Type="http://schemas.openxmlformats.org/officeDocument/2006/relationships/hyperlink" Target="https://docs.google.com/spreadsheets/d/1ri9aOib6MzcYaMlkNmAzfNjvLjqWWsUdXbl8ldmEvpg/edit?gid=0" TargetMode="External"/><Relationship Id="rId592" Type="http://schemas.openxmlformats.org/officeDocument/2006/relationships/hyperlink" Target="https://cahema.pe/desarmadores-phillips/15706-desarmador-phillips-ph-2-x-125mm-bahco-615-2-125-7314150124572.html" TargetMode="External"/><Relationship Id="rId591" Type="http://schemas.openxmlformats.org/officeDocument/2006/relationships/hyperlink" Target="https://www.semar.com.py/producto/H420542/destornillador-cruz-3-x-6?srsltid=AfmBOoqd9-rJi7sR_RXSj-pofTM_nr5OHyCp0riTlxY9uD6o9ucH9UxF" TargetMode="External"/><Relationship Id="rId114" Type="http://schemas.openxmlformats.org/officeDocument/2006/relationships/hyperlink" Target="https://drive.google.com/file/d/1_UHuH37ATrm911Ohx4aL_9Z3m--yiXpV/view?usp=sharing" TargetMode="External"/><Relationship Id="rId356" Type="http://schemas.openxmlformats.org/officeDocument/2006/relationships/hyperlink" Target="https://drive.google.com/file/d/1WwLY1lQi2XiSE0OtUotd4iudcZnmUB5t/view?usp=sharing" TargetMode="External"/><Relationship Id="rId598" Type="http://schemas.openxmlformats.org/officeDocument/2006/relationships/hyperlink" Target="https://drive.google.com/file/d/1I-M-Ra6pUId8KiuqWqyTcLG-tCLYFcq3/view?usp=sharing" TargetMode="External"/><Relationship Id="rId113" Type="http://schemas.openxmlformats.org/officeDocument/2006/relationships/hyperlink" Target="https://drive.google.com/file/d/1G2mauVmHuuAva2C6gtGETY9hntLfOxxH/view" TargetMode="External"/><Relationship Id="rId355" Type="http://schemas.openxmlformats.org/officeDocument/2006/relationships/hyperlink" Target="https://docs.google.com/spreadsheets/d/13pdSoqqk_yCXiOQt0qq3X0pDhqhCJy8a11XekNZEjWA/edit?gid=0" TargetMode="External"/><Relationship Id="rId597" Type="http://schemas.openxmlformats.org/officeDocument/2006/relationships/hyperlink" Target="https://docs.google.com/spreadsheets/d/1_pYy3fBpLZR6CegeF31A-sDYV-1Cu2duYcI6fJeHC8U/edit?gid=0" TargetMode="External"/><Relationship Id="rId112" Type="http://schemas.openxmlformats.org/officeDocument/2006/relationships/hyperlink" Target="https://docs.google.com/spreadsheets/d/1PtbBz7tZks6TXJnPMHb2REq-KTORqwJLKqYHDYvLIfc/edit?gid=0" TargetMode="External"/><Relationship Id="rId354" Type="http://schemas.openxmlformats.org/officeDocument/2006/relationships/hyperlink" Target="https://drive.google.com/file/d/1YH9h9tbwIk3ZRor_6eb1LK55_rFPY5cG/view?usp=sharing" TargetMode="External"/><Relationship Id="rId596" Type="http://schemas.openxmlformats.org/officeDocument/2006/relationships/hyperlink" Target="https://drive.google.com/file/d/1I-M-Ra6pUId8KiuqWqyTcLG-tCLYFcq3/view?usp=sharing" TargetMode="External"/><Relationship Id="rId111" Type="http://schemas.openxmlformats.org/officeDocument/2006/relationships/hyperlink" Target="https://drive.google.com/file/d/1YH9h9tbwIk3ZRor_6eb1LK55_rFPY5cG/view?usp=sharing" TargetMode="External"/><Relationship Id="rId353" Type="http://schemas.openxmlformats.org/officeDocument/2006/relationships/hyperlink" Target="https://docs.google.com/spreadsheets/d/1TOYn5tRPSKtUxGt0yWh2ai3gTg3XPPSq-po7nyS-_Rs/edit?gid=0" TargetMode="External"/><Relationship Id="rId595" Type="http://schemas.openxmlformats.org/officeDocument/2006/relationships/hyperlink" Target="https://cahema.pe/desarmadores-plano/4438-desarmador-plano-38-x-8-truper-100834-7506240680482.html" TargetMode="External"/><Relationship Id="rId305" Type="http://schemas.openxmlformats.org/officeDocument/2006/relationships/hyperlink" Target="https://www.cutexsewingsupplies.com/products/1-4-6mm-low-shank-rolled-hemmer-foot-p60001-for-home-sewing-machines?variant=45645017514227" TargetMode="External"/><Relationship Id="rId547" Type="http://schemas.openxmlformats.org/officeDocument/2006/relationships/hyperlink" Target="https://drive.google.com/file/d/1h4VAVdnpYwVJWfv9Am07uX69gQjmocj4/view?usp=sharing" TargetMode="External"/><Relationship Id="rId789" Type="http://schemas.openxmlformats.org/officeDocument/2006/relationships/hyperlink" Target="https://drive.google.com/file/d/1_UHuH37ATrm911Ohx4aL_9Z3m--yiXpV/view?usp=sharing" TargetMode="External"/><Relationship Id="rId304" Type="http://schemas.openxmlformats.org/officeDocument/2006/relationships/hyperlink" Target="https://www.cutexsewingsupplies.com/products/1-8-3mm-high-shank-rolled-hemmer-foot-546118-for-sewing-machine?variant=32876133974069" TargetMode="External"/><Relationship Id="rId546" Type="http://schemas.openxmlformats.org/officeDocument/2006/relationships/hyperlink" Target="https://docs.google.com/spreadsheets/d/1stx49WGP4XOzlLfVJLxh4JSzbm7-y-TDGbtEissbElg/edit?gid=0" TargetMode="External"/><Relationship Id="rId788" Type="http://schemas.openxmlformats.org/officeDocument/2006/relationships/hyperlink" Target="https://docs.google.com/spreadsheets/d/1UIoGyykVJbOfn_pdLHA0VGy-gG0btmFIbpOMedfud68/edit?gid=0" TargetMode="External"/><Relationship Id="rId303" Type="http://schemas.openxmlformats.org/officeDocument/2006/relationships/hyperlink" Target="https://www.amazon.com/-/es/dobladillo-prensatelas-industriales-industrial-accesorios/dp/B0FLX95FPP?utm_source=chatgpt.com" TargetMode="External"/><Relationship Id="rId545" Type="http://schemas.openxmlformats.org/officeDocument/2006/relationships/hyperlink" Target="https://drive.google.com/file/d/1gVHd7eSNvjmDXUMFxdFWQy6anW_O3NP3/view?usp=sharing" TargetMode="External"/><Relationship Id="rId787" Type="http://schemas.openxmlformats.org/officeDocument/2006/relationships/hyperlink" Target="https://drive.google.com/file/d/1YH9h9tbwIk3ZRor_6eb1LK55_rFPY5cG/view?usp=sharing" TargetMode="External"/><Relationship Id="rId302" Type="http://schemas.openxmlformats.org/officeDocument/2006/relationships/hyperlink" Target="https://www.alfahogar.com/maquinas-de-coser/accesorios/costura/prensatelas-dobladillador-2mm/" TargetMode="External"/><Relationship Id="rId544" Type="http://schemas.openxmlformats.org/officeDocument/2006/relationships/hyperlink" Target="https://www.promart.pe/juego-de-40-piezas-de-machos-y-tarrajas-truper-11442-1000392278/p?srsltid=AfmBOooG3lvj1Fg8mF_Rfqw-8QMZ1EetpWvP597cdLJMiKy4dCDsUseX&amp;utm_source=chatgpt.com" TargetMode="External"/><Relationship Id="rId786" Type="http://schemas.openxmlformats.org/officeDocument/2006/relationships/hyperlink" Target="https://docs.google.com/spreadsheets/d/1UIoGyykVJbOfn_pdLHA0VGy-gG0btmFIbpOMedfud68/edit?gid=0" TargetMode="External"/><Relationship Id="rId309" Type="http://schemas.openxmlformats.org/officeDocument/2006/relationships/hyperlink" Target="https://docs.google.com/spreadsheets/d/1ivfqcOxwP20rWvMGezOC8XW4ax8QfpQQq7yHhZ1Jz6I/edit?gid=0" TargetMode="External"/><Relationship Id="rId308" Type="http://schemas.openxmlformats.org/officeDocument/2006/relationships/hyperlink" Target="https://drive.google.com/file/d/1BZ2N5EASu7KqA43xkUocI7QoYhjba-W1/view?usp=sharing" TargetMode="External"/><Relationship Id="rId307" Type="http://schemas.openxmlformats.org/officeDocument/2006/relationships/hyperlink" Target="https://lacanilla.com/products/prensatelas-de-dobladillo-brother-5mm?srsltid=AfmBOoq3U7l8CBtCi2xHgGv48O12KpyXJhQ1U_W0IYJ-dd09tWaQMMPH" TargetMode="External"/><Relationship Id="rId549" Type="http://schemas.openxmlformats.org/officeDocument/2006/relationships/hyperlink" Target="https://drive.google.com/file/d/1D-7DLEKSwhxF93Aeaub559itaLMt5F4e/view?usp=sharing" TargetMode="External"/><Relationship Id="rId306" Type="http://schemas.openxmlformats.org/officeDocument/2006/relationships/hyperlink" Target="https://lacanilla.com/products/prensatelas-de-dobladillo-4mm?srsltid=AfmBOopNn5t1ZrpSkqBiHBo-67aO6Gc-qGG389S_AlD_EkBWj4kw8bfs" TargetMode="External"/><Relationship Id="rId548" Type="http://schemas.openxmlformats.org/officeDocument/2006/relationships/hyperlink" Target="https://docs.google.com/spreadsheets/d/1AQ3z87-54l5Evlh7gC9sRVsQwlbjr5SdGqhlEgBCqxM/edit?gid=0" TargetMode="External"/><Relationship Id="rId781" Type="http://schemas.openxmlformats.org/officeDocument/2006/relationships/hyperlink" Target="https://drive.google.com/drive/folders/1Q6KY0XfHbVu-HqzDMNEnR9FPIyB6K_X8" TargetMode="External"/><Relationship Id="rId780" Type="http://schemas.openxmlformats.org/officeDocument/2006/relationships/hyperlink" Target="https://docs.google.com/spreadsheets/d/1zaf4-mCWoTK_yuAbFFTAMXiWXEWCzyhe90hFriNMm4E/edit?gid=0" TargetMode="External"/><Relationship Id="rId301" Type="http://schemas.openxmlformats.org/officeDocument/2006/relationships/hyperlink" Target="https://www.cutexsewingsupplies.com/products/1-8-3mm-high-shank-rolled-hemmer-foot-546118-for-sewing-machine?variant=32876133974069" TargetMode="External"/><Relationship Id="rId543" Type="http://schemas.openxmlformats.org/officeDocument/2006/relationships/hyperlink" Target="https://www.promart.pe/juego-de-60-piezas-de-machos-y-tarrajas-truper-11443-1000461525/p?srsltid=AfmBOorRN6KHdurwrZ-8SLLRznaoxscnz_Swp856VRtoPGJPI-hjqbyC&amp;utm_source=chatgpt.com" TargetMode="External"/><Relationship Id="rId785" Type="http://schemas.openxmlformats.org/officeDocument/2006/relationships/hyperlink" Target="https://drive.google.com/file/d/1WwLY1lQi2XiSE0OtUotd4iudcZnmUB5t/view?usp=sharing" TargetMode="External"/><Relationship Id="rId300" Type="http://schemas.openxmlformats.org/officeDocument/2006/relationships/hyperlink" Target="https://docs.google.com/spreadsheets/d/1CJct4gsZNmpSGI1E9jgC4H4JIC4xBX-PfvPdDwMsiQc/edit?gid=0" TargetMode="External"/><Relationship Id="rId542" Type="http://schemas.openxmlformats.org/officeDocument/2006/relationships/hyperlink" Target="https://www.promart.pe/juego-de-40-piezas-de-machos-y-tarrajas-truper-11442-1000392278/p?srsltid=AfmBOooG3lvj1Fg8mF_Rfqw-8QMZ1EetpWvP597cdLJMiKy4dCDsUseX&amp;utm_source=chatgpt.com" TargetMode="External"/><Relationship Id="rId784" Type="http://schemas.openxmlformats.org/officeDocument/2006/relationships/hyperlink" Target="https://drive.google.com/drive/folders/1Q6KY0XfHbVu-HqzDMNEnR9FPIyB6K_X8" TargetMode="External"/><Relationship Id="rId541" Type="http://schemas.openxmlformats.org/officeDocument/2006/relationships/hyperlink" Target="https://docs.google.com/spreadsheets/d/11OMWc-AEIcxM9ukuO6yILwEirgsb1VP14nD94rxJ48E/edit?gid=0" TargetMode="External"/><Relationship Id="rId783" Type="http://schemas.openxmlformats.org/officeDocument/2006/relationships/hyperlink" Target="https://docs.google.com/spreadsheets/d/1LRYfiZAc_qbRfrgDcp2oGhAJXbNVTfnWvbv6WP26QWk/edit?gid=0" TargetMode="External"/><Relationship Id="rId540" Type="http://schemas.openxmlformats.org/officeDocument/2006/relationships/hyperlink" Target="https://www.promart.pe/juego-de-60-piezas-de-machos-y-tarrajas-truper-11443-1000461525/p?srsltid=AfmBOorRN6KHdurwrZ-8SLLRznaoxscnz_Swp856VRtoPGJPI-hjqbyC&amp;utm_source=chatgpt.com" TargetMode="External"/><Relationship Id="rId782" Type="http://schemas.openxmlformats.org/officeDocument/2006/relationships/hyperlink" Target="https://drive.google.com/file/d/1h4VAVdnpYwVJWfv9Am07uX69gQjmocj4/view?usp=sharing" TargetMode="External"/><Relationship Id="rId536" Type="http://schemas.openxmlformats.org/officeDocument/2006/relationships/hyperlink" Target="https://sodimac.falabella.com.pe/sodimac-pe/product/127281436/Prensa-Rapida-24-Bauker/127281441?exp=sodimac" TargetMode="External"/><Relationship Id="rId778" Type="http://schemas.openxmlformats.org/officeDocument/2006/relationships/hyperlink" Target="https://docs.google.com/spreadsheets/d/1HNVUNTJrNUU_kbmS-1MItb4v3Ufl0hZwvjQZ0FmP8RU/edit?gid=0" TargetMode="External"/><Relationship Id="rId535" Type="http://schemas.openxmlformats.org/officeDocument/2006/relationships/hyperlink" Target="https://www.truper.com/ficha_tecnica/Prensa-con-ajuste-rapido-uso-rudo.html?code=100142" TargetMode="External"/><Relationship Id="rId777" Type="http://schemas.openxmlformats.org/officeDocument/2006/relationships/hyperlink" Target="https://drive.google.com/file/d/1YH9h9tbwIk3ZRor_6eb1LK55_rFPY5cG/view?usp=sharing" TargetMode="External"/><Relationship Id="rId534" Type="http://schemas.openxmlformats.org/officeDocument/2006/relationships/hyperlink" Target="https://sodimac.falabella.com.pe/sodimac-pe/product/127281473/Prensa-Rapida-12-Bauker/127281475?exp=sodimac" TargetMode="External"/><Relationship Id="rId776" Type="http://schemas.openxmlformats.org/officeDocument/2006/relationships/hyperlink" Target="https://docs.google.com/spreadsheets/d/1mCVxQa1ol3pDqFWqz2UT3byaEFQ5uEXb5LABau5CErk/edit?gid=0" TargetMode="External"/><Relationship Id="rId533" Type="http://schemas.openxmlformats.org/officeDocument/2006/relationships/hyperlink" Target="https://docs.google.com/spreadsheets/d/16awoRAtskLQraHNQXLdL0CnDjXnR969ICeyM8AufBGA/edit?gid=0" TargetMode="External"/><Relationship Id="rId775" Type="http://schemas.openxmlformats.org/officeDocument/2006/relationships/hyperlink" Target="https://drive.google.com/file/d/1_UHuH37ATrm911Ohx4aL_9Z3m--yiXpV/view?usp=sharing" TargetMode="External"/><Relationship Id="rId539" Type="http://schemas.openxmlformats.org/officeDocument/2006/relationships/hyperlink" Target="https://drive.google.com/file/d/1h4VAVdnpYwVJWfv9Am07uX69gQjmocj4/view?usp=sharing" TargetMode="External"/><Relationship Id="rId538" Type="http://schemas.openxmlformats.org/officeDocument/2006/relationships/hyperlink" Target="https://www.truper.com/ficha_tecnica_pdf/views/ficha-print.php?id=252830" TargetMode="External"/><Relationship Id="rId537" Type="http://schemas.openxmlformats.org/officeDocument/2006/relationships/hyperlink" Target="https://www.truper.com/ficha_tecnica/Prensa-con-ajuste-rapido-uso-rudo.html?code=100143" TargetMode="External"/><Relationship Id="rId779" Type="http://schemas.openxmlformats.org/officeDocument/2006/relationships/hyperlink" Target="https://drive.google.com/file/d/1WwLY1lQi2XiSE0OtUotd4iudcZnmUB5t/view?usp=sharing" TargetMode="External"/><Relationship Id="rId770" Type="http://schemas.openxmlformats.org/officeDocument/2006/relationships/hyperlink" Target="https://docs.google.com/spreadsheets/d/1jRGwrgj117kQUar-7TK4XxIZOgirRqtK46L9kFIZbiA/edit?pli=1&amp;gid=0" TargetMode="External"/><Relationship Id="rId532" Type="http://schemas.openxmlformats.org/officeDocument/2006/relationships/hyperlink" Target="https://sodimac.falabella.com.pe/sodimac-pe/product/127281457/Prensa-Rapida-6-Bauker/127281460?exp=sodimac" TargetMode="External"/><Relationship Id="rId774" Type="http://schemas.openxmlformats.org/officeDocument/2006/relationships/hyperlink" Target="https://drive.google.com/drive/folders/1Q6KY0XfHbVu-HqzDMNEnR9FPIyB6K_X8" TargetMode="External"/><Relationship Id="rId531" Type="http://schemas.openxmlformats.org/officeDocument/2006/relationships/hyperlink" Target="https://drive.google.com/file/d/1WwLY1lQi2XiSE0OtUotd4iudcZnmUB5t/view?usp=sharing" TargetMode="External"/><Relationship Id="rId773" Type="http://schemas.openxmlformats.org/officeDocument/2006/relationships/hyperlink" Target="https://docs.google.com/spreadsheets/d/1jRGwrgj117kQUar-7TK4XxIZOgirRqtK46L9kFIZbiA/edit?pli=1&amp;gid=0" TargetMode="External"/><Relationship Id="rId530" Type="http://schemas.openxmlformats.org/officeDocument/2006/relationships/hyperlink" Target="https://drive.google.com/drive/folders/1Q6KY0XfHbVu-HqzDMNEnR9FPIyB6K_X8" TargetMode="External"/><Relationship Id="rId772" Type="http://schemas.openxmlformats.org/officeDocument/2006/relationships/hyperlink" Target="https://drive.google.com/file/d/1_UHuH37ATrm911Ohx4aL_9Z3m--yiXpV/view?usp=sharing" TargetMode="External"/><Relationship Id="rId771" Type="http://schemas.openxmlformats.org/officeDocument/2006/relationships/hyperlink" Target="https://drive.google.com/drive/folders/1Q6KY0XfHbVu-HqzDMNEnR9FPIyB6K_X8" TargetMode="External"/><Relationship Id="rId327" Type="http://schemas.openxmlformats.org/officeDocument/2006/relationships/hyperlink" Target="https://drive.google.com/file/d/1_UHuH37ATrm911Ohx4aL_9Z3m--yiXpV/view?usp=sharing" TargetMode="External"/><Relationship Id="rId569" Type="http://schemas.openxmlformats.org/officeDocument/2006/relationships/hyperlink" Target="https://drive.google.com/file/d/1h4VAVdnpYwVJWfv9Am07uX69gQjmocj4/view?usp=sharing" TargetMode="External"/><Relationship Id="rId326" Type="http://schemas.openxmlformats.org/officeDocument/2006/relationships/hyperlink" Target="https://docs.google.com/spreadsheets/d/1TK08tDhZoCsfHDzDeU1Tc7PNtJRPchU2xalWV4bFgAE/edit?gid=0" TargetMode="External"/><Relationship Id="rId568" Type="http://schemas.openxmlformats.org/officeDocument/2006/relationships/hyperlink" Target="https://www.promart.pe/pelador-de-cable-universal-multifuncion-utp-ftp-stp-sftp-coaxial-1000553230/p?srsltid=AfmBOor4h8QCClSc_I-K14KZr_IqECM8B8THGNTOpUPtkFUYntAnIkb8" TargetMode="External"/><Relationship Id="rId325" Type="http://schemas.openxmlformats.org/officeDocument/2006/relationships/hyperlink" Target="https://drive.google.com/file/d/18QObBMdkdbxawOmVcLCnjq1PR6AWIUKE/view?usp=sharing" TargetMode="External"/><Relationship Id="rId567" Type="http://schemas.openxmlformats.org/officeDocument/2006/relationships/hyperlink" Target="https://docs.google.com/spreadsheets/d/1SOCM_7TOyhlEqefnjvD59gDcY4ZIG-XECzqYPFkycDU/edit?gid=0" TargetMode="External"/><Relationship Id="rId324" Type="http://schemas.openxmlformats.org/officeDocument/2006/relationships/hyperlink" Target="https://docs.google.com/spreadsheets/d/1QM83oLKEqYcubEZ6FxFBv7lWdbYLWV5Ma6w-h9BAik4/edit?gid=0" TargetMode="External"/><Relationship Id="rId566" Type="http://schemas.openxmlformats.org/officeDocument/2006/relationships/hyperlink" Target="https://drive.google.com/file/d/1I-M-Ra6pUId8KiuqWqyTcLG-tCLYFcq3/view?usp=sharing" TargetMode="External"/><Relationship Id="rId329" Type="http://schemas.openxmlformats.org/officeDocument/2006/relationships/hyperlink" Target="https://drive.google.com/file/d/1h4VAVdnpYwVJWfv9Am07uX69gQjmocj4/view?usp=sharing" TargetMode="External"/><Relationship Id="rId328" Type="http://schemas.openxmlformats.org/officeDocument/2006/relationships/hyperlink" Target="https://docs.google.com/spreadsheets/d/1hhyBVNb1KB8ITlRUvxmhpRj_mWs-SR8wPhA4-_uD1VY/edit?gid=0" TargetMode="External"/><Relationship Id="rId561" Type="http://schemas.openxmlformats.org/officeDocument/2006/relationships/hyperlink" Target="https://docs.google.com/spreadsheets/d/1Z7H-sC08Ck7gV-ygAWSSmc0C68RsWXeWax0Gt1PqWRE/edit?gid=0" TargetMode="External"/><Relationship Id="rId560" Type="http://schemas.openxmlformats.org/officeDocument/2006/relationships/hyperlink" Target="https://sodimac.falabella.com.pe/sodimac-pe/product/123820910/Mazo-de-Goma-20Oz-Stanley/123820911" TargetMode="External"/><Relationship Id="rId323" Type="http://schemas.openxmlformats.org/officeDocument/2006/relationships/hyperlink" Target="https://drive.google.com/file/d/18QObBMdkdbxawOmVcLCnjq1PR6AWIUKE/view?usp=sharing" TargetMode="External"/><Relationship Id="rId565" Type="http://schemas.openxmlformats.org/officeDocument/2006/relationships/hyperlink" Target="https://drive.google.com/drive/u/0/folders/1DGShzChAOx3qCAUCocOP9FgLBTAzHQYQ" TargetMode="External"/><Relationship Id="rId322" Type="http://schemas.openxmlformats.org/officeDocument/2006/relationships/hyperlink" Target="https://docs.google.com/spreadsheets/d/1Fwhx6CTkYchxsMfzx_ZLVxB4IixsVTsOAq00j1Oaahc/edit?gid=0" TargetMode="External"/><Relationship Id="rId564" Type="http://schemas.openxmlformats.org/officeDocument/2006/relationships/hyperlink" Target="https://docs.google.com/spreadsheets/d/1YSVGkZFqaDORmtkd5zeULe8XdE4qqKBAIP4kJnXNTz8/edit?gid=0" TargetMode="External"/><Relationship Id="rId321" Type="http://schemas.openxmlformats.org/officeDocument/2006/relationships/hyperlink" Target="https://drive.google.com/file/d/1YH9h9tbwIk3ZRor_6eb1LK55_rFPY5cG/view?usp=sharing" TargetMode="External"/><Relationship Id="rId563" Type="http://schemas.openxmlformats.org/officeDocument/2006/relationships/hyperlink" Target="https://drive.google.com/file/d/1h4VAVdnpYwVJWfv9Am07uX69gQjmocj4/view?usp=sharing" TargetMode="External"/><Relationship Id="rId320" Type="http://schemas.openxmlformats.org/officeDocument/2006/relationships/hyperlink" Target="https://docs.google.com/spreadsheets/d/19GAOWZhwXs_WjA874TUpednWjOtaQkffiLc0NDGf2bw/edit?gid=0" TargetMode="External"/><Relationship Id="rId562" Type="http://schemas.openxmlformats.org/officeDocument/2006/relationships/hyperlink" Target="https://drive.google.com/drive/u/0/folders/1DGShzChAOx3qCAUCocOP9FgLBTAzHQYQ" TargetMode="External"/><Relationship Id="rId316" Type="http://schemas.openxmlformats.org/officeDocument/2006/relationships/hyperlink" Target="https://docs.google.com/spreadsheets/d/1AviuQGMOfpCwXMqF3VaEjW3cNrpU4WN68FF6AfzT6bY/edit?gid=0" TargetMode="External"/><Relationship Id="rId558" Type="http://schemas.openxmlformats.org/officeDocument/2006/relationships/hyperlink" Target="https://drive.google.com/drive/u/0/folders/1DGShzChAOx3qCAUCocOP9FgLBTAzHQYQ" TargetMode="External"/><Relationship Id="rId315" Type="http://schemas.openxmlformats.org/officeDocument/2006/relationships/hyperlink" Target="https://drive.google.com/file/d/1h4VAVdnpYwVJWfv9Am07uX69gQjmocj4/view?usp=sharing" TargetMode="External"/><Relationship Id="rId557" Type="http://schemas.openxmlformats.org/officeDocument/2006/relationships/hyperlink" Target="https://drive.google.com/file/d/1WwLY1lQi2XiSE0OtUotd4iudcZnmUB5t/view?usp=sharing" TargetMode="External"/><Relationship Id="rId799" Type="http://schemas.openxmlformats.org/officeDocument/2006/relationships/hyperlink" Target="https://www.sodimac.com.pe/sodimac-pe/articulo/114762880/Jalador-de-Agua-de-75cm-+-Mango-de-Aluminio/114762884" TargetMode="External"/><Relationship Id="rId314" Type="http://schemas.openxmlformats.org/officeDocument/2006/relationships/hyperlink" Target="https://docs.google.com/spreadsheets/d/1BYfa7KxD4f4OQsjGm9c4XSag4No9kgOMFytOSEsGPw4/edit?gid=0" TargetMode="External"/><Relationship Id="rId556" Type="http://schemas.openxmlformats.org/officeDocument/2006/relationships/hyperlink" Target="https://drive.google.com/drive/u/0/folders/1DGShzChAOx3qCAUCocOP9FgLBTAzHQYQ" TargetMode="External"/><Relationship Id="rId798" Type="http://schemas.openxmlformats.org/officeDocument/2006/relationships/hyperlink" Target="https://docs.google.com/spreadsheets/d/1GPqo5Vj-yY-Jh-5Gge1icnw_WsgKVeAlN1SyMJztou4/edit?gid=0" TargetMode="External"/><Relationship Id="rId313" Type="http://schemas.openxmlformats.org/officeDocument/2006/relationships/hyperlink" Target="https://drive.google.com/file/d/18QObBMdkdbxawOmVcLCnjq1PR6AWIUKE/view?usp=sharing" TargetMode="External"/><Relationship Id="rId555" Type="http://schemas.openxmlformats.org/officeDocument/2006/relationships/hyperlink" Target="https://drive.google.com/file/d/1h4VAVdnpYwVJWfv9Am07uX69gQjmocj4/view?usp=sharing" TargetMode="External"/><Relationship Id="rId797" Type="http://schemas.openxmlformats.org/officeDocument/2006/relationships/hyperlink" Target="https://drive.google.com/file/d/1_UHuH37ATrm911Ohx4aL_9Z3m--yiXpV/view?usp=sharing" TargetMode="External"/><Relationship Id="rId319" Type="http://schemas.openxmlformats.org/officeDocument/2006/relationships/hyperlink" Target="https://drive.google.com/file/d/1YH9h9tbwIk3ZRor_6eb1LK55_rFPY5cG/view?usp=sharing" TargetMode="External"/><Relationship Id="rId318" Type="http://schemas.openxmlformats.org/officeDocument/2006/relationships/hyperlink" Target="https://docs.google.com/spreadsheets/d/1PjPvSo8JbBVnN5YAChrSpxIl6gsHa2ICPr_xA_2E0mU/edit?gid=0" TargetMode="External"/><Relationship Id="rId317" Type="http://schemas.openxmlformats.org/officeDocument/2006/relationships/hyperlink" Target="https://drive.google.com/file/d/1h4VAVdnpYwVJWfv9Am07uX69gQjmocj4/view?usp=sharing" TargetMode="External"/><Relationship Id="rId559" Type="http://schemas.openxmlformats.org/officeDocument/2006/relationships/hyperlink" Target="https://drive.google.com/file/d/1WwLY1lQi2XiSE0OtUotd4iudcZnmUB5t/view?usp=sharing" TargetMode="External"/><Relationship Id="rId550" Type="http://schemas.openxmlformats.org/officeDocument/2006/relationships/hyperlink" Target="https://drive.google.com/file/d/1WwLY1lQi2XiSE0OtUotd4iudcZnmUB5t/view?usp=sharing" TargetMode="External"/><Relationship Id="rId792" Type="http://schemas.openxmlformats.org/officeDocument/2006/relationships/hyperlink" Target="https://arocauniformes.com/product/gorro-chef/" TargetMode="External"/><Relationship Id="rId791" Type="http://schemas.openxmlformats.org/officeDocument/2006/relationships/hyperlink" Target="https://arocauniformes.com/product/chaqueta-de-chef-con-filo-m-l-2/" TargetMode="External"/><Relationship Id="rId790" Type="http://schemas.openxmlformats.org/officeDocument/2006/relationships/hyperlink" Target="https://docs.google.com/spreadsheets/d/1up8o9R7f2F0qYC3drcV0SgehEX4MTDuJPdRcZfBCrr0/edit?gid=0" TargetMode="External"/><Relationship Id="rId312" Type="http://schemas.openxmlformats.org/officeDocument/2006/relationships/hyperlink" Target="https://docs.google.com/spreadsheets/d/1ZJ8JQzvpPhT9SXmn9a7XPVf009XvdeDG-Qj-2DVL170/edit?gid=0" TargetMode="External"/><Relationship Id="rId554" Type="http://schemas.openxmlformats.org/officeDocument/2006/relationships/hyperlink" Target="https://docs.google.com/spreadsheets/d/1wh9RVNOHl7DjnIV1RLt8cyI2uyiKnwtaRudCN5GN1BY/edit?gid=0" TargetMode="External"/><Relationship Id="rId796" Type="http://schemas.openxmlformats.org/officeDocument/2006/relationships/hyperlink" Target="https://arocauniformes.com/product/chaqueta-de-chef-con-filo-m-l-2/" TargetMode="External"/><Relationship Id="rId311" Type="http://schemas.openxmlformats.org/officeDocument/2006/relationships/hyperlink" Target="https://drive.google.com/file/d/1h4VAVdnpYwVJWfv9Am07uX69gQjmocj4/view?usp=sharing" TargetMode="External"/><Relationship Id="rId553" Type="http://schemas.openxmlformats.org/officeDocument/2006/relationships/hyperlink" Target="https://drive.google.com/file/d/1h4VAVdnpYwVJWfv9Am07uX69gQjmocj4/view?usp=sharing" TargetMode="External"/><Relationship Id="rId795" Type="http://schemas.openxmlformats.org/officeDocument/2006/relationships/hyperlink" Target="https://arocauniformes.com/product/chaqueta-de-chef-con-filo-m-l-2/" TargetMode="External"/><Relationship Id="rId310" Type="http://schemas.openxmlformats.org/officeDocument/2006/relationships/hyperlink" Target="https://www.mercadolibre.com.pe/punzon-lezna-mango-madera-para-costura-y-cuero-x-3-und/up/MPEU2990103922" TargetMode="External"/><Relationship Id="rId552" Type="http://schemas.openxmlformats.org/officeDocument/2006/relationships/hyperlink" Target="https://drive.google.com/file/d/1D-7DLEKSwhxF93Aeaub559itaLMt5F4e/view?usp=sharing" TargetMode="External"/><Relationship Id="rId794" Type="http://schemas.openxmlformats.org/officeDocument/2006/relationships/hyperlink" Target="https://arocauniformes.com/product/pantalon-de-vestir-grueso/" TargetMode="External"/><Relationship Id="rId551" Type="http://schemas.openxmlformats.org/officeDocument/2006/relationships/hyperlink" Target="https://docs.google.com/spreadsheets/d/1MWBPH7erx5wXodEF8W533U8TUk37cJpLz5f6iz6zsEI/edit?gid=0" TargetMode="External"/><Relationship Id="rId793" Type="http://schemas.openxmlformats.org/officeDocument/2006/relationships/hyperlink" Target="https://arocauniformes.com/product/pantalon-de-vestir-grueso/" TargetMode="External"/><Relationship Id="rId297" Type="http://schemas.openxmlformats.org/officeDocument/2006/relationships/hyperlink" Target="https://docs.google.com/spreadsheets/d/1l5zL-ZdD4yzBH-3sIbyXtAA5qZkfNTAlHN1egwKn06g/edit?gid=0" TargetMode="External"/><Relationship Id="rId296" Type="http://schemas.openxmlformats.org/officeDocument/2006/relationships/hyperlink" Target="https://megatex.com.pe/repuestos/prensatela-de-recta-con-guia-movil-316.html" TargetMode="External"/><Relationship Id="rId295" Type="http://schemas.openxmlformats.org/officeDocument/2006/relationships/hyperlink" Target="https://drive.google.com/file/d/1BZ2N5EASu7KqA43xkUocI7QoYhjba-W1/view?usp=sharing" TargetMode="External"/><Relationship Id="rId294" Type="http://schemas.openxmlformats.org/officeDocument/2006/relationships/hyperlink" Target="https://docs.google.com/spreadsheets/d/1vk-CFNauPWNO4fk6TSu_J52vnJ7ukiXUZOmNEz3LMq8/edit?gid=0" TargetMode="External"/><Relationship Id="rId299" Type="http://schemas.openxmlformats.org/officeDocument/2006/relationships/hyperlink" Target="https://www.sewing.sg/products/hemmer-foot-for-industrial-6?utm_source=chatgpt.com" TargetMode="External"/><Relationship Id="rId298" Type="http://schemas.openxmlformats.org/officeDocument/2006/relationships/hyperlink" Target="https://drive.google.com/file/d/1BZ2N5EASu7KqA43xkUocI7QoYhjba-W1/view?usp=sharing" TargetMode="External"/><Relationship Id="rId271" Type="http://schemas.openxmlformats.org/officeDocument/2006/relationships/hyperlink" Target="https://drive.google.com/file/d/1YH9h9tbwIk3ZRor_6eb1LK55_rFPY5cG/view?usp=sharing" TargetMode="External"/><Relationship Id="rId270" Type="http://schemas.openxmlformats.org/officeDocument/2006/relationships/hyperlink" Target="https://docs.google.com/spreadsheets/d/1KzO0_dVfH5n-Z58L-GdTEvdMOYCuE6j8dbIiTjCnuy0/edit?gid=0" TargetMode="External"/><Relationship Id="rId269" Type="http://schemas.openxmlformats.org/officeDocument/2006/relationships/hyperlink" Target="https://drive.google.com/file/d/1_UHuH37ATrm911Ohx4aL_9Z3m--yiXpV/view?usp=sharing" TargetMode="External"/><Relationship Id="rId264" Type="http://schemas.openxmlformats.org/officeDocument/2006/relationships/hyperlink" Target="https://docs.google.com/spreadsheets/d/1YdmYVAOn23HN6oaV5By5mjkkaT0vcS-sHFtUcCks6w4/edit?gid=0" TargetMode="External"/><Relationship Id="rId263" Type="http://schemas.openxmlformats.org/officeDocument/2006/relationships/hyperlink" Target="https://drive.google.com/file/d/1WwLY1lQi2XiSE0OtUotd4iudcZnmUB5t/view?usp=sharing" TargetMode="External"/><Relationship Id="rId262" Type="http://schemas.openxmlformats.org/officeDocument/2006/relationships/hyperlink" Target="https://docs.google.com/spreadsheets/d/1EdDXPf93xoRZTrltOCUJMK_9w__wG60-bYOjTyer4Mc/edit?gid=0" TargetMode="External"/><Relationship Id="rId261" Type="http://schemas.openxmlformats.org/officeDocument/2006/relationships/hyperlink" Target="https://drive.google.com/file/d/1WwLY1lQi2XiSE0OtUotd4iudcZnmUB5t/view?usp=sharing" TargetMode="External"/><Relationship Id="rId268" Type="http://schemas.openxmlformats.org/officeDocument/2006/relationships/hyperlink" Target="https://docs.google.com/spreadsheets/d/1jAG8Q0JxTB5kTAIg1ruZn7u0nfhf3mdrM8oa3VWIjnU/edit?gid=0" TargetMode="External"/><Relationship Id="rId267" Type="http://schemas.openxmlformats.org/officeDocument/2006/relationships/hyperlink" Target="https://drive.google.com/file/d/1WwLY1lQi2XiSE0OtUotd4iudcZnmUB5t/view?usp=sharing" TargetMode="External"/><Relationship Id="rId266" Type="http://schemas.openxmlformats.org/officeDocument/2006/relationships/hyperlink" Target="https://docs.google.com/spreadsheets/d/10E7tvhhMVgAve8BAE7t-oEjUhnn42VQB3ZCDZOBeXXM/edit?gid=0" TargetMode="External"/><Relationship Id="rId265" Type="http://schemas.openxmlformats.org/officeDocument/2006/relationships/hyperlink" Target="https://drive.google.com/file/d/18QObBMdkdbxawOmVcLCnjq1PR6AWIUKE/view?usp=sharing" TargetMode="External"/><Relationship Id="rId260" Type="http://schemas.openxmlformats.org/officeDocument/2006/relationships/hyperlink" Target="https://docs.google.com/spreadsheets/d/16M8GvkpvjPSOuxqRpDmhEExoBxHtS64DghCgyo8QH70/edit?gid=0" TargetMode="External"/><Relationship Id="rId259" Type="http://schemas.openxmlformats.org/officeDocument/2006/relationships/hyperlink" Target="https://drive.google.com/file/d/1WwLY1lQi2XiSE0OtUotd4iudcZnmUB5t/view?usp=sharing" TargetMode="External"/><Relationship Id="rId258" Type="http://schemas.openxmlformats.org/officeDocument/2006/relationships/hyperlink" Target="https://docs.google.com/spreadsheets/d/1Pp4HiUSZIBTUix36FN5x8TSCT_PVu_FLcnoqAgPuCFY/edit?gid=0" TargetMode="External"/><Relationship Id="rId253" Type="http://schemas.openxmlformats.org/officeDocument/2006/relationships/hyperlink" Target="https://docs.google.com/spreadsheets/d/1CFth1hn265Jv7BnICDttAZ0CPHqaT_FXbH0ZolbWfB8/edit?gid=0" TargetMode="External"/><Relationship Id="rId495" Type="http://schemas.openxmlformats.org/officeDocument/2006/relationships/hyperlink" Target="https://drive.google.com/file/d/1h4VAVdnpYwVJWfv9Am07uX69gQjmocj4/view?usp=sharing" TargetMode="External"/><Relationship Id="rId252" Type="http://schemas.openxmlformats.org/officeDocument/2006/relationships/hyperlink" Target="https://www.thehdoutlets.com/producto-p-778876.html" TargetMode="External"/><Relationship Id="rId494" Type="http://schemas.openxmlformats.org/officeDocument/2006/relationships/hyperlink" Target="https://www.promart.pe/juego-de-herramientas-mecanicas-x120-piezas-98535/p" TargetMode="External"/><Relationship Id="rId251" Type="http://schemas.openxmlformats.org/officeDocument/2006/relationships/hyperlink" Target="https://drive.google.com/file/d/1YH9h9tbwIk3ZRor_6eb1LK55_rFPY5cG/view?usp=sharing" TargetMode="External"/><Relationship Id="rId493" Type="http://schemas.openxmlformats.org/officeDocument/2006/relationships/hyperlink" Target="https://docs.google.com/spreadsheets/d/1iJMxkQiQIe8P16PGDl2Y0enaXjTQ3LxK_s9nXiWT7G8/edit?gid=0" TargetMode="External"/><Relationship Id="rId250" Type="http://schemas.openxmlformats.org/officeDocument/2006/relationships/hyperlink" Target="https://docs.google.com/spreadsheets/d/1RA_KWKyzdJxDbgroMs9wFvsW5IltUfkJ6mVeNGyv5j4/edit?gid=0" TargetMode="External"/><Relationship Id="rId492" Type="http://schemas.openxmlformats.org/officeDocument/2006/relationships/hyperlink" Target="https://drive.google.com/file/d/1h4VAVdnpYwVJWfv9Am07uX69gQjmocj4/view?usp=sharing" TargetMode="External"/><Relationship Id="rId257" Type="http://schemas.openxmlformats.org/officeDocument/2006/relationships/hyperlink" Target="https://drive.google.com/file/d/1_UHuH37ATrm911Ohx4aL_9Z3m--yiXpV/view?usp=sharing" TargetMode="External"/><Relationship Id="rId499" Type="http://schemas.openxmlformats.org/officeDocument/2006/relationships/hyperlink" Target="https://docs.google.com/spreadsheets/d/1RCj5CJ5pfOulqfqtvVTxVgjpv42mesTV2WF6AByvgXg/edit?gid=0" TargetMode="External"/><Relationship Id="rId256" Type="http://schemas.openxmlformats.org/officeDocument/2006/relationships/hyperlink" Target="https://drive.google.com/file/d/1S8TmZC8yf4FyD0j4NljdES1Wmr5PCA9t/view?usp=drive_link" TargetMode="External"/><Relationship Id="rId498" Type="http://schemas.openxmlformats.org/officeDocument/2006/relationships/hyperlink" Target="https://www.promart.pe/juego-de-llaves-combinadas-metricas-x12-piezas-96697/p?srsltid=AfmBOooHCane3IDVLNOL20k1t-k4ErDXoOaLi7RKrl5-vNwCfTCb6HOq" TargetMode="External"/><Relationship Id="rId255" Type="http://schemas.openxmlformats.org/officeDocument/2006/relationships/hyperlink" Target="https://drive.google.com/file/d/1tstOFx8GenyErvzdvcYWOzj95FJU9hYD/view?usp=drive_link" TargetMode="External"/><Relationship Id="rId497" Type="http://schemas.openxmlformats.org/officeDocument/2006/relationships/hyperlink" Target="https://drive.google.com/file/d/1WwLY1lQi2XiSE0OtUotd4iudcZnmUB5t/view?usp=sharing" TargetMode="External"/><Relationship Id="rId254" Type="http://schemas.openxmlformats.org/officeDocument/2006/relationships/hyperlink" Target="https://articulo.mercadolibre.com.ve/MLV-713101744-molde-de-queso-de-28-kg-o-mozzarella-_JM" TargetMode="External"/><Relationship Id="rId496" Type="http://schemas.openxmlformats.org/officeDocument/2006/relationships/hyperlink" Target="https://docs.google.com/spreadsheets/d/1mlqnc-2TCw9KQVJkFi4c6SfffX92stoSMSUBggGZTtI/edit?gid=0" TargetMode="External"/><Relationship Id="rId293" Type="http://schemas.openxmlformats.org/officeDocument/2006/relationships/hyperlink" Target="https://drive.google.com/file/d/1BZ2N5EASu7KqA43xkUocI7QoYhjba-W1/view?usp=sharing" TargetMode="External"/><Relationship Id="rId292" Type="http://schemas.openxmlformats.org/officeDocument/2006/relationships/hyperlink" Target="https://docs.google.com/spreadsheets/d/1pdMqzmW-dOQ1UOsAqod7fn54wX68tjYSmAPlGJd_FI8/edit?gid=0" TargetMode="External"/><Relationship Id="rId291" Type="http://schemas.openxmlformats.org/officeDocument/2006/relationships/hyperlink" Target="https://drive.google.com/file/d/1YH9h9tbwIk3ZRor_6eb1LK55_rFPY5cG/view?usp=sharing" TargetMode="External"/><Relationship Id="rId290" Type="http://schemas.openxmlformats.org/officeDocument/2006/relationships/hyperlink" Target="https://docs.google.com/spreadsheets/d/1CcSOFZ5eIOhwvmxdai_yTA-2Yu3Kt0KuskwSciLbCmY/edit?gid=0" TargetMode="External"/><Relationship Id="rId286" Type="http://schemas.openxmlformats.org/officeDocument/2006/relationships/hyperlink" Target="https://docs.google.com/spreadsheets/d/1SrsPpYmw8V6Z0s_QMC5XJ55D7XAPNWqdaaDlSbEudWY/edit?gid=0" TargetMode="External"/><Relationship Id="rId285" Type="http://schemas.openxmlformats.org/officeDocument/2006/relationships/hyperlink" Target="https://drive.google.com/file/d/1WwLY1lQi2XiSE0OtUotd4iudcZnmUB5t/view?usp=sharing" TargetMode="External"/><Relationship Id="rId284" Type="http://schemas.openxmlformats.org/officeDocument/2006/relationships/hyperlink" Target="https://docs.google.com/spreadsheets/d/1sOgT6WMyTrBb1EtyjE9q7oh1vEga-sqMkTZl7di1IAA/edit?gid=0" TargetMode="External"/><Relationship Id="rId283" Type="http://schemas.openxmlformats.org/officeDocument/2006/relationships/hyperlink" Target="https://drive.google.com/file/d/1BZ2N5EASu7KqA43xkUocI7QoYhjba-W1/view?usp=sharing" TargetMode="External"/><Relationship Id="rId289" Type="http://schemas.openxmlformats.org/officeDocument/2006/relationships/hyperlink" Target="https://drive.google.com/file/d/1YH9h9tbwIk3ZRor_6eb1LK55_rFPY5cG/view?usp=sharing" TargetMode="External"/><Relationship Id="rId288" Type="http://schemas.openxmlformats.org/officeDocument/2006/relationships/hyperlink" Target="https://docs.google.com/spreadsheets/d/1svbB4vIxJHYrPw7hlZlmqzSrzxGZuP1yj_jbj9E6EQI/edit?gid=0" TargetMode="External"/><Relationship Id="rId287" Type="http://schemas.openxmlformats.org/officeDocument/2006/relationships/hyperlink" Target="https://drive.google.com/file/d/1YH9h9tbwIk3ZRor_6eb1LK55_rFPY5cG/view?usp=sharing" TargetMode="External"/><Relationship Id="rId282" Type="http://schemas.openxmlformats.org/officeDocument/2006/relationships/hyperlink" Target="https://docs.google.com/spreadsheets/d/1tPsRCw9OslEgtRV5rlY7oSNIJSJrL-EeVxNWOKQDTSg/edit?gid=0" TargetMode="External"/><Relationship Id="rId281" Type="http://schemas.openxmlformats.org/officeDocument/2006/relationships/hyperlink" Target="https://drive.google.com/file/d/18QObBMdkdbxawOmVcLCnjq1PR6AWIUKE/view?usp=sharing" TargetMode="External"/><Relationship Id="rId280" Type="http://schemas.openxmlformats.org/officeDocument/2006/relationships/hyperlink" Target="https://docs.google.com/spreadsheets/d/17e6B4aDappZNYtC9u2zuhmST7moUMVcmUGh_l79EvV4/edit?gid=0" TargetMode="External"/><Relationship Id="rId275" Type="http://schemas.openxmlformats.org/officeDocument/2006/relationships/hyperlink" Target="https://drive.google.com/file/d/1BZ2N5EASu7KqA43xkUocI7QoYhjba-W1/view?usp=sharing" TargetMode="External"/><Relationship Id="rId274" Type="http://schemas.openxmlformats.org/officeDocument/2006/relationships/hyperlink" Target="https://docs.google.com/spreadsheets/d/1GQg55pDvthNRenNgV1wJVHPD3soMerEVUDPT5uEt4pM/edit?gid=0" TargetMode="External"/><Relationship Id="rId273" Type="http://schemas.openxmlformats.org/officeDocument/2006/relationships/hyperlink" Target="https://drive.google.com/file/d/1YH9h9tbwIk3ZRor_6eb1LK55_rFPY5cG/view?usp=sharing" TargetMode="External"/><Relationship Id="rId272" Type="http://schemas.openxmlformats.org/officeDocument/2006/relationships/hyperlink" Target="https://docs.google.com/spreadsheets/d/1u3XQomwy46yCeyxR7ty9dPx2HAL36HVBJWvuYj6kUZM/edit?gid=0" TargetMode="External"/><Relationship Id="rId279" Type="http://schemas.openxmlformats.org/officeDocument/2006/relationships/hyperlink" Target="https://drive.google.com/file/d/1WwLY1lQi2XiSE0OtUotd4iudcZnmUB5t/view?usp=sharing" TargetMode="External"/><Relationship Id="rId278" Type="http://schemas.openxmlformats.org/officeDocument/2006/relationships/hyperlink" Target="https://docs.google.com/spreadsheets/d/1IIQJ3SMYOriv0bi3UEeis4Hd6-73I9d8iPiNtXK1izM/edit?gid=0" TargetMode="External"/><Relationship Id="rId277" Type="http://schemas.openxmlformats.org/officeDocument/2006/relationships/hyperlink" Target="https://drive.google.com/file/d/1YH9h9tbwIk3ZRor_6eb1LK55_rFPY5cG/view?usp=sharing" TargetMode="External"/><Relationship Id="rId276" Type="http://schemas.openxmlformats.org/officeDocument/2006/relationships/hyperlink" Target="https://docs.google.com/spreadsheets/d/1jxNLqkU-MIc-fn8uPSKH4TSZoODpYvFDMvTBrKwzsXY/edit?gid=0" TargetMode="External"/><Relationship Id="rId907" Type="http://schemas.openxmlformats.org/officeDocument/2006/relationships/hyperlink" Target="https://drive.google.com/file/d/1YH9h9tbwIk3ZRor_6eb1LK55_rFPY5cG/view?usp=sharing" TargetMode="External"/><Relationship Id="rId906" Type="http://schemas.openxmlformats.org/officeDocument/2006/relationships/hyperlink" Target="https://drive.google.com/drive/folders/1Q6KY0XfHbVu-HqzDMNEnR9FPIyB6K_X8" TargetMode="External"/><Relationship Id="rId905" Type="http://schemas.openxmlformats.org/officeDocument/2006/relationships/hyperlink" Target="https://docs.google.com/spreadsheets/d/11IVqLMr0DfIiMiivEzF7fGR1NBDBu7Ot18cnis-WJlE/edit?gid=0" TargetMode="External"/><Relationship Id="rId904" Type="http://schemas.openxmlformats.org/officeDocument/2006/relationships/hyperlink" Target="https://drive.google.com/file/d/1h4VAVdnpYwVJWfv9Am07uX69gQjmocj4/view?usp=sharing" TargetMode="External"/><Relationship Id="rId909" Type="http://schemas.openxmlformats.org/officeDocument/2006/relationships/hyperlink" Target="https://drive.google.com/file/d/1WwLY1lQi2XiSE0OtUotd4iudcZnmUB5t/view?usp=sharing" TargetMode="External"/><Relationship Id="rId908" Type="http://schemas.openxmlformats.org/officeDocument/2006/relationships/hyperlink" Target="https://docs.google.com/spreadsheets/d/1DfETQU5uhApU7wigj_Y4PMfl0WLPCfkGWf3I4zHpaQI/edit?gid=0" TargetMode="External"/><Relationship Id="rId903" Type="http://schemas.openxmlformats.org/officeDocument/2006/relationships/hyperlink" Target="https://drive.google.com/drive/folders/1Q6KY0XfHbVu-HqzDMNEnR9FPIyB6K_X8" TargetMode="External"/><Relationship Id="rId902" Type="http://schemas.openxmlformats.org/officeDocument/2006/relationships/hyperlink" Target="https://docs.google.com/spreadsheets/d/1oSsS2O11v-8gxYfN0r0ZPThF9fs_hN0fF3vGp5HvBOI/edit?gid=0" TargetMode="External"/><Relationship Id="rId901" Type="http://schemas.openxmlformats.org/officeDocument/2006/relationships/hyperlink" Target="https://drive.google.com/file/d/1WwLY1lQi2XiSE0OtUotd4iudcZnmUB5t/view?usp=sharing" TargetMode="External"/><Relationship Id="rId900" Type="http://schemas.openxmlformats.org/officeDocument/2006/relationships/hyperlink" Target="https://www.truper.com/ficha_tecnica/Goggles-de-seguridad-con-valvulas-de-ventilacion-indirecta-4850.html?code=14220" TargetMode="External"/><Relationship Id="rId929" Type="http://schemas.openxmlformats.org/officeDocument/2006/relationships/hyperlink" Target="https://drive.google.com/file/d/1_UHuH37ATrm911Ohx4aL_9Z3m--yiXpV/view?usp=sharing" TargetMode="External"/><Relationship Id="rId928" Type="http://schemas.openxmlformats.org/officeDocument/2006/relationships/hyperlink" Target="https://docs.google.com/spreadsheets/d/14MnGGxV5e5ESMUOyks-jCuN345tBipbXOXzef6l-GeM/edit?gid=0" TargetMode="External"/><Relationship Id="rId927" Type="http://schemas.openxmlformats.org/officeDocument/2006/relationships/hyperlink" Target="https://drive.google.com/file/d/1_UHuH37ATrm911Ohx4aL_9Z3m--yiXpV/view?usp=sharing" TargetMode="External"/><Relationship Id="rId926" Type="http://schemas.openxmlformats.org/officeDocument/2006/relationships/hyperlink" Target="https://ollasdebarro.com/producto/olla-5-kilos-barro-peruano/" TargetMode="External"/><Relationship Id="rId921" Type="http://schemas.openxmlformats.org/officeDocument/2006/relationships/hyperlink" Target="https://docs.google.com/spreadsheets/d/18l1XuHazfwp0cu5TvFNVjZnJjHDejIq9v29GrZ_Hhfk/edit?gid=0" TargetMode="External"/><Relationship Id="rId920" Type="http://schemas.openxmlformats.org/officeDocument/2006/relationships/hyperlink" Target="https://drive.google.com/file/d/1YH9h9tbwIk3ZRor_6eb1LK55_rFPY5cG/view?usp=sharing" TargetMode="External"/><Relationship Id="rId925" Type="http://schemas.openxmlformats.org/officeDocument/2006/relationships/hyperlink" Target="https://docs.google.com/spreadsheets/d/15_VllwFOXVGw8hMgWjNT1J1igAcMQ4ReTY0KaHjUsNY/edit?gid=0" TargetMode="External"/><Relationship Id="rId924" Type="http://schemas.openxmlformats.org/officeDocument/2006/relationships/hyperlink" Target="https://drive.google.com/file/d/1_UHuH37ATrm911Ohx4aL_9Z3m--yiXpV/view?usp=sharing" TargetMode="External"/><Relationship Id="rId923" Type="http://schemas.openxmlformats.org/officeDocument/2006/relationships/hyperlink" Target="https://docs.google.com/spreadsheets/d/1rHlAHHZ1bvWkFSpMpOwKevmy2QovptIY3nOkW7UeDvQ/edit?gid=0" TargetMode="External"/><Relationship Id="rId922" Type="http://schemas.openxmlformats.org/officeDocument/2006/relationships/hyperlink" Target="https://drive.google.com/file/d/1YH9h9tbwIk3ZRor_6eb1LK55_rFPY5cG/view?usp=sharing" TargetMode="External"/><Relationship Id="rId918" Type="http://schemas.openxmlformats.org/officeDocument/2006/relationships/hyperlink" Target="https://drive.google.com/file/d/1YH9h9tbwIk3ZRor_6eb1LK55_rFPY5cG/view?usp=sharing" TargetMode="External"/><Relationship Id="rId917" Type="http://schemas.openxmlformats.org/officeDocument/2006/relationships/hyperlink" Target="https://docs.google.com/spreadsheets/d/1UY-kGT7U6cu5M61CpdsPu30q9Wg5Bq7oKkNwnhXHSeM/edit?gid=0" TargetMode="External"/><Relationship Id="rId916" Type="http://schemas.openxmlformats.org/officeDocument/2006/relationships/hyperlink" Target="https://drive.google.com/file/d/1YH9h9tbwIk3ZRor_6eb1LK55_rFPY5cG/view?usp=sharing" TargetMode="External"/><Relationship Id="rId915" Type="http://schemas.openxmlformats.org/officeDocument/2006/relationships/hyperlink" Target="https://docs.google.com/spreadsheets/d/1N8aFmnKoFRaeWcJf2JAEfQcwuV7T18olqCeKDV8z1zc/edit?gid=0" TargetMode="External"/><Relationship Id="rId919" Type="http://schemas.openxmlformats.org/officeDocument/2006/relationships/hyperlink" Target="https://docs.google.com/spreadsheets/d/162fy4emrgL77ASnCJlVGV8e3Pn8r9wxu6rpV25h4xOE/edit?gid=0" TargetMode="External"/><Relationship Id="rId910" Type="http://schemas.openxmlformats.org/officeDocument/2006/relationships/hyperlink" Target="https://drive.google.com/file/d/1h4VAVdnpYwVJWfv9Am07uX69gQjmocj4/view?usp=sharing" TargetMode="External"/><Relationship Id="rId914" Type="http://schemas.openxmlformats.org/officeDocument/2006/relationships/hyperlink" Target="https://drive.google.com/file/d/1BZ2N5EASu7KqA43xkUocI7QoYhjba-W1/view?usp=sharing" TargetMode="External"/><Relationship Id="rId913" Type="http://schemas.openxmlformats.org/officeDocument/2006/relationships/hyperlink" Target="https://docs.google.com/spreadsheets/d/11TvWMfqmI18wEs7nsGo1YWiryFm5fdg2x1EE3Pd2B2U/edit?gid=0" TargetMode="External"/><Relationship Id="rId912" Type="http://schemas.openxmlformats.org/officeDocument/2006/relationships/hyperlink" Target="https://drive.google.com/file/d/1h4VAVdnpYwVJWfv9Am07uX69gQjmocj4/view?usp=sharing" TargetMode="External"/><Relationship Id="rId911" Type="http://schemas.openxmlformats.org/officeDocument/2006/relationships/hyperlink" Target="https://drive.google.com/file/d/1h4VAVdnpYwVJWfv9Am07uX69gQjmocj4/view?usp=sharing" TargetMode="External"/><Relationship Id="rId629" Type="http://schemas.openxmlformats.org/officeDocument/2006/relationships/hyperlink" Target="https://drive.google.com/drive/u/0/folders/1hF_Jj9eV0UYovuGsklUhZ12GlMNm5tca" TargetMode="External"/><Relationship Id="rId624" Type="http://schemas.openxmlformats.org/officeDocument/2006/relationships/hyperlink" Target="https://drive.google.com/file/d/1r_-jIM9s-S0LTYuMDex0La2YdEF1TqkI/view?usp=drive_link" TargetMode="External"/><Relationship Id="rId866" Type="http://schemas.openxmlformats.org/officeDocument/2006/relationships/hyperlink" Target="https://www.sodimac.com.pe/sodimac-pe/articulo/113525806/de-Acero-inoxidable-20-cm-3.1-l-Plateado-RW12105-C20/113525810?kid=goosho_669250&amp;shop=googleShopping&amp;gad_source=1&amp;gad_campaignid=21524717227&amp;gbraid=0AAAAADOx_18cKqjcy2Af259SQ9IKu9r1x&amp;gclid=CjwKCAjwu9fHBhAWEiwAzGRC_2IyQj7mX--zxk4Ejs_zdoA9Xbdz5B_blsJLHmhsKgUWKNxxuWDmJBoCTf4QAvD_BwE" TargetMode="External"/><Relationship Id="rId623" Type="http://schemas.openxmlformats.org/officeDocument/2006/relationships/hyperlink" Target="https://docs.google.com/spreadsheets/d/1YWyBxVVovoDxasxEoqFLUsQ6KLydGRZh-F5Xvurct9M/edit?gid=0" TargetMode="External"/><Relationship Id="rId865" Type="http://schemas.openxmlformats.org/officeDocument/2006/relationships/hyperlink" Target="https://drive.google.com/file/d/1GX_lPDn4qGzkKMnkMhz4QeqLE1xBrGDb/view?usp=sharing" TargetMode="External"/><Relationship Id="rId622" Type="http://schemas.openxmlformats.org/officeDocument/2006/relationships/hyperlink" Target="https://drive.google.com/file/d/1YH9h9tbwIk3ZRor_6eb1LK55_rFPY5cG/view?usp=sharing" TargetMode="External"/><Relationship Id="rId864" Type="http://schemas.openxmlformats.org/officeDocument/2006/relationships/hyperlink" Target="https://www.wong.pe/cacerola-inox-percutti-20cm-1023697/p" TargetMode="External"/><Relationship Id="rId621" Type="http://schemas.openxmlformats.org/officeDocument/2006/relationships/hyperlink" Target="https://docs.google.com/spreadsheets/d/1gb6Sm0cDxVdnw2WKRhUffc3BnNfQoCxKjVYPjEZ9QFk/edit?gid=0" TargetMode="External"/><Relationship Id="rId863" Type="http://schemas.openxmlformats.org/officeDocument/2006/relationships/hyperlink" Target="https://drive.google.com/file/d/1qyT47MJ6e8alITPZ5GOcSOa8UzDBMwUH/view?usp=sharing" TargetMode="External"/><Relationship Id="rId628" Type="http://schemas.openxmlformats.org/officeDocument/2006/relationships/hyperlink" Target="https://docs.google.com/spreadsheets/d/1fDW4qmD26-jd25QLO71uBYvecEQsiud8pE_dvLgRxzo/edit?gid=0" TargetMode="External"/><Relationship Id="rId627" Type="http://schemas.openxmlformats.org/officeDocument/2006/relationships/hyperlink" Target="https://drive.google.com/file/d/1h4VAVdnpYwVJWfv9Am07uX69gQjmocj4/view?usp=sharing" TargetMode="External"/><Relationship Id="rId869" Type="http://schemas.openxmlformats.org/officeDocument/2006/relationships/hyperlink" Target="https://hiraoka.com.pe/sarten-miray-smai-24cm-1-24-cm?utm_id=22940253004&amp;gad_source=1&amp;gad_campaignid=22940253004&amp;gbraid=0AAAAACkNDqkmOqWHIevodMUkcRnCovDPW&amp;gclid=CjwKCAjwq9rFBhAIEiwAGVAZP6Zj4LZW2SrFeVC5DQjbB9fHEpwkdV8QiiXW0liettxi_JtKdb_cMBoCdigQAvD_BwE" TargetMode="External"/><Relationship Id="rId626" Type="http://schemas.openxmlformats.org/officeDocument/2006/relationships/hyperlink" Target="https://docs.google.com/spreadsheets/d/1UUGrNXB1mb5-eJd1aflKfxltdmWhAXbfbumMfy3U1Vg/edit?gid=0" TargetMode="External"/><Relationship Id="rId868" Type="http://schemas.openxmlformats.org/officeDocument/2006/relationships/hyperlink" Target="https://finezza.com.pe/products/ollas-de-acero-8-pzas-fz-w332tm-4" TargetMode="External"/><Relationship Id="rId625" Type="http://schemas.openxmlformats.org/officeDocument/2006/relationships/hyperlink" Target="https://drive.google.com/file/d/1I-M-Ra6pUId8KiuqWqyTcLG-tCLYFcq3/view?usp=sharing" TargetMode="External"/><Relationship Id="rId867" Type="http://schemas.openxmlformats.org/officeDocument/2006/relationships/hyperlink" Target="https://www.sodimac.com.pe/sodimac-pe/marca/FINEZZA" TargetMode="External"/><Relationship Id="rId620" Type="http://schemas.openxmlformats.org/officeDocument/2006/relationships/hyperlink" Target="https://drive.google.com/file/d/18QObBMdkdbxawOmVcLCnjq1PR6AWIUKE/view?usp=sharing" TargetMode="External"/><Relationship Id="rId862" Type="http://schemas.openxmlformats.org/officeDocument/2006/relationships/hyperlink" Target="https://www.plazavea.com.pe/cacerola-viva-home-16cm/p?srsltid=AfmBOooJzvLKBxYz1VyvTuLFwxAXRzBdKspJtJYfOUh4CgWe5jPad890" TargetMode="External"/><Relationship Id="rId861" Type="http://schemas.openxmlformats.org/officeDocument/2006/relationships/hyperlink" Target="https://docs.google.com/spreadsheets/d/1veNdJu9ML9UZL17E2-dRPOihF_9fK3owhc3A6S977D8/edit?gid=0" TargetMode="External"/><Relationship Id="rId860" Type="http://schemas.openxmlformats.org/officeDocument/2006/relationships/hyperlink" Target="https://drive.google.com/file/d/1_UHuH37ATrm911Ohx4aL_9Z3m--yiXpV/view?usp=sharing" TargetMode="External"/><Relationship Id="rId619" Type="http://schemas.openxmlformats.org/officeDocument/2006/relationships/hyperlink" Target="https://docs.google.com/spreadsheets/d/1Edms0_C3zEpK_BYn6_By-qSikS5sCYhX1DnP2ZpKlWw/edit?gid=0" TargetMode="External"/><Relationship Id="rId618" Type="http://schemas.openxmlformats.org/officeDocument/2006/relationships/hyperlink" Target="https://drive.google.com/file/d/18QObBMdkdbxawOmVcLCnjq1PR6AWIUKE/view?usp=sharing" TargetMode="External"/><Relationship Id="rId613" Type="http://schemas.openxmlformats.org/officeDocument/2006/relationships/hyperlink" Target="https://drive.google.com/file/d/18QObBMdkdbxawOmVcLCnjq1PR6AWIUKE/view?usp=sharing" TargetMode="External"/><Relationship Id="rId855" Type="http://schemas.openxmlformats.org/officeDocument/2006/relationships/hyperlink" Target="https://www.mercadolibre.com.pe/porta-cuchillo-de-madera/up/MPEU2927919022" TargetMode="External"/><Relationship Id="rId612" Type="http://schemas.openxmlformats.org/officeDocument/2006/relationships/hyperlink" Target="https://drive.google.com/drive/u/0/folders/16ATk_dXPgHWGaEoUkOk4GeNCNSVy0eTx" TargetMode="External"/><Relationship Id="rId854" Type="http://schemas.openxmlformats.org/officeDocument/2006/relationships/hyperlink" Target="https://www.tramontina.com.pe/cuchillo-jamonero-tramontina-solutta-con-lamina-en-acero-inoxidable-y-mango-en-policarbonato-10--negro_24255110/p?srsltid=AfmBOopMtowDC17bpwnrxs7vp0skUDHxiPwosaiV-sxwSyN2uOylRzeU" TargetMode="External"/><Relationship Id="rId611" Type="http://schemas.openxmlformats.org/officeDocument/2006/relationships/hyperlink" Target="https://docs.google.com/spreadsheets/d/1Nn5mhC5VDl0jFHaPQFfK8lWBq4UVr14HBb0Nez1HlAA/edit?gid=0" TargetMode="External"/><Relationship Id="rId853" Type="http://schemas.openxmlformats.org/officeDocument/2006/relationships/hyperlink" Target="https://www.tramontina.com.pe/cuchillo-jamonero-tramontina-solutta-con-lamina-en-acero-inoxidable-y-mango-en-policarbonato-10--negro_24255110/p?srsltid=AfmBOopMtowDC17bpwnrxs7vp0skUDHxiPwosaiV-sxwSyN2uOylRzeU" TargetMode="External"/><Relationship Id="rId610" Type="http://schemas.openxmlformats.org/officeDocument/2006/relationships/hyperlink" Target="https://drive.google.com/file/d/1YH9h9tbwIk3ZRor_6eb1LK55_rFPY5cG/view?usp=sharing" TargetMode="External"/><Relationship Id="rId852" Type="http://schemas.openxmlformats.org/officeDocument/2006/relationships/hyperlink" Target="https://www.tramontina.com.pe/cuchillo-filetear-6-_24023006/p?srsltid=AfmBOoqpTlbK4-l7BtJ8uK8fMZBFjiSzS9PijdryuDINuuFklxPeyK32" TargetMode="External"/><Relationship Id="rId617" Type="http://schemas.openxmlformats.org/officeDocument/2006/relationships/hyperlink" Target="https://docs.google.com/spreadsheets/d/1e4uGzd7Y5NL2uSnWz5nlMRQKtM2AITYhlfR2h7HzJ7M/edit?gid=0" TargetMode="External"/><Relationship Id="rId859" Type="http://schemas.openxmlformats.org/officeDocument/2006/relationships/hyperlink" Target="https://www.falabella.com.pe/falabella-pe/product/145269875/Fuente-Bandeja-para-Horno-de-Vidrio-Templado-Marinex-Set-3-Piezas/145269876?kid=shopp44fc&amp;gclsrc=aw.ds&amp;gad_source=1&amp;gad_campaignid=20114538213&amp;gbraid=0AAAAADs9MO0j1HshM0h3wB7T9bpIUVkC3&amp;gclid=Cj0KCQjwvJHIBhCgARIsAEQnWlDeUnejj8LJp0SgngfwfWC4HcGvoPBVkKa_7ZXUVB8aRAYgOZgbnskaAmG_EALw_wcB" TargetMode="External"/><Relationship Id="rId616" Type="http://schemas.openxmlformats.org/officeDocument/2006/relationships/hyperlink" Target="https://welderpower.com.pe/product/coche-porta-balon-10mt3-con-llantas-buggy/" TargetMode="External"/><Relationship Id="rId858" Type="http://schemas.openxmlformats.org/officeDocument/2006/relationships/hyperlink" Target="https://docs.google.com/spreadsheets/d/1FXQWMye6s9zyP143L0tNDO4GBEMJ6MmXy0IpkpzlRhk/edit?gid=0" TargetMode="External"/><Relationship Id="rId615" Type="http://schemas.openxmlformats.org/officeDocument/2006/relationships/hyperlink" Target="https://drive.google.com/file/d/18QObBMdkdbxawOmVcLCnjq1PR6AWIUKE/view?usp=sharing" TargetMode="External"/><Relationship Id="rId857" Type="http://schemas.openxmlformats.org/officeDocument/2006/relationships/hyperlink" Target="https://drive.google.com/file/d/1_UHuH37ATrm911Ohx4aL_9Z3m--yiXpV/view?usp=sharing" TargetMode="External"/><Relationship Id="rId614" Type="http://schemas.openxmlformats.org/officeDocument/2006/relationships/hyperlink" Target="https://docs.google.com/spreadsheets/d/1_Gf-a3CxEJLrwBvPsohcJQvMAf7-zc2FTVQIoCwt_nI/edit?gid=0" TargetMode="External"/><Relationship Id="rId856" Type="http://schemas.openxmlformats.org/officeDocument/2006/relationships/hyperlink" Target="https://elmejorprecio.pe/products/organizador-porta-cuchillos-lineal-g?_pos=1&amp;_sid=1596245c1&amp;_ss=r" TargetMode="External"/><Relationship Id="rId851" Type="http://schemas.openxmlformats.org/officeDocument/2006/relationships/hyperlink" Target="https://www.tramontina.com.pe/cuchillo-filetear-6-_24023006/p?srsltid=AfmBOoqpTlbK4-l7BtJ8uK8fMZBFjiSzS9PijdryuDINuuFklxPeyK32" TargetMode="External"/><Relationship Id="rId850" Type="http://schemas.openxmlformats.org/officeDocument/2006/relationships/hyperlink" Target="https://www.tramontina.com.pe/cuchillo-para-deshuesar-6-_24006006/p?srsltid=AfmBOopcCPBNllRYd9UQYjrmuRIllpId1Evh_pBeByW6V2f6WKnf09Nx" TargetMode="External"/><Relationship Id="rId409" Type="http://schemas.openxmlformats.org/officeDocument/2006/relationships/hyperlink" Target="https://drive.google.com/drive/folders/1Q6KY0XfHbVu-HqzDMNEnR9FPIyB6K_X8" TargetMode="External"/><Relationship Id="rId404" Type="http://schemas.openxmlformats.org/officeDocument/2006/relationships/hyperlink" Target="https://drive.google.com/file/d/15II6pN8lLiJghCcshC2bnO6ky1nJkwg1/view?usp=sharing" TargetMode="External"/><Relationship Id="rId646" Type="http://schemas.openxmlformats.org/officeDocument/2006/relationships/hyperlink" Target="https://docs.google.com/spreadsheets/d/1cgkB2uynzCT_jDXgSbWmJtnZWbcJlAfmKNZgGTkS--4/edit?gid=0" TargetMode="External"/><Relationship Id="rId888" Type="http://schemas.openxmlformats.org/officeDocument/2006/relationships/hyperlink" Target="https://docs.google.com/spreadsheets/d/1lQyJL0WlkY-uXmyls-3B-FJ0DPWtbbGZHxO8m4enEY0/edit?gid=0" TargetMode="External"/><Relationship Id="rId403" Type="http://schemas.openxmlformats.org/officeDocument/2006/relationships/hyperlink" Target="https://drive.google.com/drive/folders/1Q6KY0XfHbVu-HqzDMNEnR9FPIyB6K_X8" TargetMode="External"/><Relationship Id="rId645" Type="http://schemas.openxmlformats.org/officeDocument/2006/relationships/hyperlink" Target="https://drive.google.com/file/d/1_UHuH37ATrm911Ohx4aL_9Z3m--yiXpV/view?usp=sharing" TargetMode="External"/><Relationship Id="rId887" Type="http://schemas.openxmlformats.org/officeDocument/2006/relationships/hyperlink" Target="https://drive.google.com/file/d/1_UHuH37ATrm911Ohx4aL_9Z3m--yiXpV/view?usp=sharing" TargetMode="External"/><Relationship Id="rId402" Type="http://schemas.openxmlformats.org/officeDocument/2006/relationships/hyperlink" Target="https://docs.google.com/spreadsheets/d/18ePjOyR3I31aszCFEvE3UHJAZQbvkrCknj2m_IcYeok/edit?gid=0" TargetMode="External"/><Relationship Id="rId644" Type="http://schemas.openxmlformats.org/officeDocument/2006/relationships/hyperlink" Target="https://www.truper.com/ficha_tecnica/Brochas-corte-angular-cerdas-sinteticas-mango-de-madera.html?code=13341" TargetMode="External"/><Relationship Id="rId886" Type="http://schemas.openxmlformats.org/officeDocument/2006/relationships/hyperlink" Target="https://docs.google.com/spreadsheets/d/1MmZH9kRWGj7s_h2sXnP1gTSZC5UyoH0OJ9-cltmxLho/edit?gid=0" TargetMode="External"/><Relationship Id="rId401" Type="http://schemas.openxmlformats.org/officeDocument/2006/relationships/hyperlink" Target="https://drive.google.com/file/d/1WwLY1lQi2XiSE0OtUotd4iudcZnmUB5t/view?usp=sharing" TargetMode="External"/><Relationship Id="rId643" Type="http://schemas.openxmlformats.org/officeDocument/2006/relationships/hyperlink" Target="https://www.truper.com/ficha_tecnica/Brochas-corte-angular-cerdas-sinteticas-mango-de-madera.html?code=13339" TargetMode="External"/><Relationship Id="rId885" Type="http://schemas.openxmlformats.org/officeDocument/2006/relationships/hyperlink" Target="https://drive.google.com/file/d/1_UHuH37ATrm911Ohx4aL_9Z3m--yiXpV/view?usp=sharing" TargetMode="External"/><Relationship Id="rId408" Type="http://schemas.openxmlformats.org/officeDocument/2006/relationships/hyperlink" Target="https://docs.google.com/spreadsheets/d/1fssVr3tlgonsPGRsGjgYY4L_EJwh6yGGfaeZs-szisY/edit?gid=0" TargetMode="External"/><Relationship Id="rId407" Type="http://schemas.openxmlformats.org/officeDocument/2006/relationships/hyperlink" Target="https://drive.google.com/file/d/1gVHd7eSNvjmDXUMFxdFWQy6anW_O3NP3/view?usp=sharing" TargetMode="External"/><Relationship Id="rId649" Type="http://schemas.openxmlformats.org/officeDocument/2006/relationships/hyperlink" Target="https://docs.google.com/spreadsheets/d/1Ibjx4FoN9rEMyxtmqJ7LcTt04wbLCFR0l3j6tsQoBjw/edit?gid=0" TargetMode="External"/><Relationship Id="rId406" Type="http://schemas.openxmlformats.org/officeDocument/2006/relationships/hyperlink" Target="https://drive.google.com/drive/folders/1Q6KY0XfHbVu-HqzDMNEnR9FPIyB6K_X8" TargetMode="External"/><Relationship Id="rId648" Type="http://schemas.openxmlformats.org/officeDocument/2006/relationships/hyperlink" Target="https://drive.google.com/file/d/1YH9h9tbwIk3ZRor_6eb1LK55_rFPY5cG/view?usp=sharing" TargetMode="External"/><Relationship Id="rId405" Type="http://schemas.openxmlformats.org/officeDocument/2006/relationships/hyperlink" Target="https://docs.google.com/spreadsheets/d/1-pCjyDGQpRT9n0gVLMnDyfrw4B8vEKNsIBM34crwsjo/edit?gid=0" TargetMode="External"/><Relationship Id="rId647" Type="http://schemas.openxmlformats.org/officeDocument/2006/relationships/hyperlink" Target="https://www.uysa.com.pe/brocha-p-reposteria-silicona-con-mango-verde-de-abs-70067391/p?srsltid=AfmBOoo5FFHt3WEU0McXc8V9ycySDEQ00Ip0vMv2xUz8TIsp3JRRCTYh" TargetMode="External"/><Relationship Id="rId889" Type="http://schemas.openxmlformats.org/officeDocument/2006/relationships/hyperlink" Target="https://www.sodimac.com.pe/sodimac-pe/articulo/113531034/Juego-de-vajillas-Porcelana-Nordico-Blanco-30-Piezas/113531044?kid=goosho_669284&amp;shop=googleShopping&amp;gad_source=1&amp;gad_campaignid=21524773673&amp;gbraid=0AAAAADOx_1-v0XR7n3odujWtxRhupW8e4&amp;gclid=CjwKCAjwgeLHBhBuEiwAL5gNEdWSvjKkxDuEwr4mVirzQHJp457Wo6gKqolbLpcXV-OIWCIfJVmL5hoC9YQQAvD_BwE" TargetMode="External"/><Relationship Id="rId880" Type="http://schemas.openxmlformats.org/officeDocument/2006/relationships/hyperlink" Target="https://docs.google.com/spreadsheets/d/1Ob8OPyjDc-54KNTjktlPukLDjs9f2oOGqyr5lsjS1h4/edit?gid=0" TargetMode="External"/><Relationship Id="rId400" Type="http://schemas.openxmlformats.org/officeDocument/2006/relationships/hyperlink" Target="https://drive.google.com/drive/folders/1Q6KY0XfHbVu-HqzDMNEnR9FPIyB6K_X8" TargetMode="External"/><Relationship Id="rId642" Type="http://schemas.openxmlformats.org/officeDocument/2006/relationships/hyperlink" Target="https://docs.google.com/spreadsheets/d/1a3LbANg7dpsvN2ANCmAce-DYf06mbC9SKrGkPVACJdo/edit?gid=0" TargetMode="External"/><Relationship Id="rId884" Type="http://schemas.openxmlformats.org/officeDocument/2006/relationships/hyperlink" Target="https://docs.google.com/spreadsheets/d/1CsK0zeWi3y4LpUJpnIQqc4AQnTDD_ISki8dO4a3R93k/edit?gid=0" TargetMode="External"/><Relationship Id="rId641" Type="http://schemas.openxmlformats.org/officeDocument/2006/relationships/hyperlink" Target="https://www.truper.com/ficha_tecnica/Brochas-corte-angular-cerdas-sinteticas-mango-de-madera.html?code=13338" TargetMode="External"/><Relationship Id="rId883" Type="http://schemas.openxmlformats.org/officeDocument/2006/relationships/hyperlink" Target="https://drive.google.com/file/d/1_UHuH37ATrm911Ohx4aL_9Z3m--yiXpV/view?usp=sharing" TargetMode="External"/><Relationship Id="rId640" Type="http://schemas.openxmlformats.org/officeDocument/2006/relationships/hyperlink" Target="https://drive.google.com/file/d/1BZ2N5EASu7KqA43xkUocI7QoYhjba-W1/view?usp=sharing" TargetMode="External"/><Relationship Id="rId882" Type="http://schemas.openxmlformats.org/officeDocument/2006/relationships/hyperlink" Target="https://record.com.pe/products/record-sarten-crono-rojo-antiadherente-24cm?variant=51131892990228" TargetMode="External"/><Relationship Id="rId881" Type="http://schemas.openxmlformats.org/officeDocument/2006/relationships/hyperlink" Target="https://www.falabella.com.pe/falabella-pe/product/18135056/Sarten-Aluminio-Antiadherente-Induccion-Unlimited-26cm/18135056" TargetMode="External"/><Relationship Id="rId635" Type="http://schemas.openxmlformats.org/officeDocument/2006/relationships/hyperlink" Target="https://drive.google.com/drive/folders/1Q6KY0XfHbVu-HqzDMNEnR9FPIyB6K_X8" TargetMode="External"/><Relationship Id="rId877" Type="http://schemas.openxmlformats.org/officeDocument/2006/relationships/hyperlink" Target="https://drive.google.com/file/d/1WwLY1lQi2XiSE0OtUotd4iudcZnmUB5t/view?usp=sharing" TargetMode="External"/><Relationship Id="rId634" Type="http://schemas.openxmlformats.org/officeDocument/2006/relationships/hyperlink" Target="https://docs.google.com/spreadsheets/d/10mdIk0B5H6ki6f2gJ421X8jBlkZ0LfR6uE-tQBQ0Zys/edit?gid=0" TargetMode="External"/><Relationship Id="rId876" Type="http://schemas.openxmlformats.org/officeDocument/2006/relationships/hyperlink" Target="https://docs.google.com/spreadsheets/d/1njc91rsh56fgEyuPZxuLJM_dLXWwWYFupetwLL7gnos/edit?gid=0" TargetMode="External"/><Relationship Id="rId633" Type="http://schemas.openxmlformats.org/officeDocument/2006/relationships/hyperlink" Target="https://drive.google.com/file/d/1YH9h9tbwIk3ZRor_6eb1LK55_rFPY5cG/view?usp=sharing" TargetMode="External"/><Relationship Id="rId875" Type="http://schemas.openxmlformats.org/officeDocument/2006/relationships/hyperlink" Target="https://drive.google.com/file/d/1_UHuH37ATrm911Ohx4aL_9Z3m--yiXpV/view?usp=sharing" TargetMode="External"/><Relationship Id="rId632" Type="http://schemas.openxmlformats.org/officeDocument/2006/relationships/hyperlink" Target="https://www.tramontina.com.pe/batidor-manual-marffim-de-acero-inoxidable-de-32-cm-tramontina_63809530/p?srsltid=AfmBOopiEUk53igz7csaroqjgk56ok_LCmBxtb8uhT_5XP-GcBF1Wq67" TargetMode="External"/><Relationship Id="rId874" Type="http://schemas.openxmlformats.org/officeDocument/2006/relationships/hyperlink" Target="https://docs.google.com/spreadsheets/d/1q1W4RPLUhM3hvBnMMPCho3w_f1mookWmEFKUBL1tnjI/edit?gid=0" TargetMode="External"/><Relationship Id="rId639" Type="http://schemas.openxmlformats.org/officeDocument/2006/relationships/hyperlink" Target="https://docs.google.com/spreadsheets/d/1YnNRW8Hf4668KCg58B9uL4axrrlY1attw1xNqTdGLw8/edit?gid=0" TargetMode="External"/><Relationship Id="rId638" Type="http://schemas.openxmlformats.org/officeDocument/2006/relationships/hyperlink" Target="https://drive.google.com/file/d/1gVHd7eSNvjmDXUMFxdFWQy6anW_O3NP3/view?usp=sharing" TargetMode="External"/><Relationship Id="rId637" Type="http://schemas.openxmlformats.org/officeDocument/2006/relationships/hyperlink" Target="https://docs.google.com/spreadsheets/d/1l51IyaBRy8dtdNpm_1tZ2CaU1bwJLNrGnkdA1JzyO3k/edit?gid=0" TargetMode="External"/><Relationship Id="rId879" Type="http://schemas.openxmlformats.org/officeDocument/2006/relationships/hyperlink" Target="https://drive.google.com/file/d/1_UHuH37ATrm911Ohx4aL_9Z3m--yiXpV/view?usp=sharing" TargetMode="External"/><Relationship Id="rId636" Type="http://schemas.openxmlformats.org/officeDocument/2006/relationships/hyperlink" Target="https://drive.google.com/file/d/1_UHuH37ATrm911Ohx4aL_9Z3m--yiXpV/view?usp=sharing" TargetMode="External"/><Relationship Id="rId878" Type="http://schemas.openxmlformats.org/officeDocument/2006/relationships/hyperlink" Target="https://docs.google.com/spreadsheets/d/1UPFtvjN0Kb_uCZzfEBHN-iV4CIxhInh--31DS9pv7mE/edit?gid=0" TargetMode="External"/><Relationship Id="rId631" Type="http://schemas.openxmlformats.org/officeDocument/2006/relationships/hyperlink" Target="https://docs.google.com/spreadsheets/d/16EIGsIXWWaKpdSJD6XLJO22UAuBIrnjxtUdbqyfnGr8/edit?gid=0" TargetMode="External"/><Relationship Id="rId873" Type="http://schemas.openxmlformats.org/officeDocument/2006/relationships/hyperlink" Target="https://drive.google.com/file/d/1gVHd7eSNvjmDXUMFxdFWQy6anW_O3NP3/view?usp=sharing" TargetMode="External"/><Relationship Id="rId630" Type="http://schemas.openxmlformats.org/officeDocument/2006/relationships/hyperlink" Target="https://drive.google.com/file/d/1YH9h9tbwIk3ZRor_6eb1LK55_rFPY5cG/view?usp=sharing" TargetMode="External"/><Relationship Id="rId872" Type="http://schemas.openxmlformats.org/officeDocument/2006/relationships/hyperlink" Target="https://drive.google.com/file/d/1yTyMl-WMUw4H0MzWQExPPpzSKDWeTxBK/view?usp=sharing" TargetMode="External"/><Relationship Id="rId871" Type="http://schemas.openxmlformats.org/officeDocument/2006/relationships/hyperlink" Target="https://www.falabella.com.pe/falabella-pe/product/20776974/Sarten-Acero-Inoxidable-Professional-20-cm/20776974?kid=shopp69fc&amp;gclsrc=aw.ds&amp;gad_source=1&amp;gad_campaignid=21209754652&amp;gbraid=0AAAAADs9MO0K_lPgTSDovgNegyS6k4I0g&amp;gclid=CjwKCAjwq9rFBhAIEiwAGVAZP7m0AfYEfH7PSXk6B-veM-fy5zuKKHZvlw45-fqua0fmWI4tbEQbtRoCKrgQAvD_BwE" TargetMode="External"/><Relationship Id="rId870" Type="http://schemas.openxmlformats.org/officeDocument/2006/relationships/hyperlink" Target="https://drive.google.com/file/d/1eFJsZH1SqA1tLJ1zkXipzpuAGCjh-hzr/view?usp=sharing" TargetMode="External"/><Relationship Id="rId829" Type="http://schemas.openxmlformats.org/officeDocument/2006/relationships/hyperlink" Target="https://docs.google.com/spreadsheets/d/1wjzFV0ysjOR5LnnqrRNMYrM_urR9hlQF8jwDrAw40nM/edit?gid=0" TargetMode="External"/><Relationship Id="rId828" Type="http://schemas.openxmlformats.org/officeDocument/2006/relationships/hyperlink" Target="https://drive.google.com/file/d/1_UHuH37ATrm911Ohx4aL_9Z3m--yiXpV/view?usp=sharing" TargetMode="External"/><Relationship Id="rId827" Type="http://schemas.openxmlformats.org/officeDocument/2006/relationships/hyperlink" Target="https://www.amazon.com/Kitchen-coladores-inoxidable-cuartos-colador/dp/B01MQCGF1V/ref=sr_1_3_sspa?__mk_es_US=%C3%85M%C3%85%C5%BD%C3%95%C3%91&amp;crid=1PXKFVOGDD3Y4&amp;dib=eyJ2IjoiMSJ9.4yz4b6A7_Bp1j4erF5dDEUiQPHts2iwyt6NwNZJBRdV0XL1sH9HH-oI4XpcnrOkZs_JvgRBhR2Mwg9OPkXyWAA-S1uy5Lizm4cmrEfZ9Ss9XC_xAwaKybtMGtvK6tyiWaKQ91Tn76kQgK03atrtD1vffzT3A4F9ktWOSxI0AtZoIjfm8MYQnEzw6npB4qRofTWmMBAnhU3WDJ7Ew_3SKgxbEAAuUHm2KJL5XJiSYatT9GBwyMAE4J60G6LifXcqKL4jFnuHFDWTQ1ov6RHbyqew3Zo-jiJqJGGieZtGn9B8.FglENbw8fcxw1UXrWtrBA3eMOwPZMhTkMeJE7-yP8oE&amp;dib_tag=se&amp;keywords=juego+de+3+coladores+de+acero+inoxidable&amp;qid=1761580006&amp;sprefix=uego+de+3+coladores+de+acero+inoxidable+%2Caps%2C305&amp;sr=8-3-spons&amp;sp_csd=d2lkZ2V0TmFtZT1zcF9hdGY&amp;psc=1" TargetMode="External"/><Relationship Id="rId822" Type="http://schemas.openxmlformats.org/officeDocument/2006/relationships/hyperlink" Target="https://www.makro.plazavea.com.pe/colador-facusa-14cm-acero-inoxidable/p" TargetMode="External"/><Relationship Id="rId821" Type="http://schemas.openxmlformats.org/officeDocument/2006/relationships/hyperlink" Target="https://www.uysa.com.pe/colador-ac-inoxidable-20-cm-clasica-10046032/p?srsltid=AfmBOoqr9Ezjb3ymQg_wPI4doKz8uWr84-ygykL4GHijqZg0Q5KC9aGY" TargetMode="External"/><Relationship Id="rId820" Type="http://schemas.openxmlformats.org/officeDocument/2006/relationships/hyperlink" Target="https://docs.google.com/spreadsheets/d/1ZBT1_WK_8Jz6UMfMiE7iL0KbYKSvYKRoajtSyEHXafc/edit?gid=0" TargetMode="External"/><Relationship Id="rId826" Type="http://schemas.openxmlformats.org/officeDocument/2006/relationships/hyperlink" Target="https://www.amazon.com/dp/B07Z6D34HK/ref=twister_B08264MDF9?_encoding=UTF8&amp;th=1" TargetMode="External"/><Relationship Id="rId825" Type="http://schemas.openxmlformats.org/officeDocument/2006/relationships/hyperlink" Target="https://docs.google.com/spreadsheets/d/17NjXSNeWzT7FOl-teLFJOdbuLRwOA0V981nK4laJ7ek/edit?gid=0" TargetMode="External"/><Relationship Id="rId824" Type="http://schemas.openxmlformats.org/officeDocument/2006/relationships/hyperlink" Target="https://drive.google.com/file/d/1_UHuH37ATrm911Ohx4aL_9Z3m--yiXpV/view?usp=sharing" TargetMode="External"/><Relationship Id="rId823" Type="http://schemas.openxmlformats.org/officeDocument/2006/relationships/hyperlink" Target="https://www.uysa.com.pe/colador-ft1061-para-bar-8-cm-facusa-10046291/p?srsltid=AfmBOooKykSolNtuVthtQdSGXOPUSpT50x2lTXv34vqIa4NcWLcb900_" TargetMode="External"/><Relationship Id="rId819" Type="http://schemas.openxmlformats.org/officeDocument/2006/relationships/hyperlink" Target="https://drive.google.com/file/d/1YH9h9tbwIk3ZRor_6eb1LK55_rFPY5cG/view?usp=sharing" TargetMode="External"/><Relationship Id="rId818" Type="http://schemas.openxmlformats.org/officeDocument/2006/relationships/hyperlink" Target="https://dcocina.pe/producto/olla-alta-8-1-lts-de-acero-inoxidable-o24-cm-zwilling-pro-zwilling/" TargetMode="External"/><Relationship Id="rId817" Type="http://schemas.openxmlformats.org/officeDocument/2006/relationships/hyperlink" Target="https://dcocina.pe/producto/olla-alta-8-1-lts-de-acero-inoxidable-o24-cm-zwilling-pro-zwilling/" TargetMode="External"/><Relationship Id="rId816" Type="http://schemas.openxmlformats.org/officeDocument/2006/relationships/hyperlink" Target="https://dcocina.pe/producto/olla-de-acero-inoxidable-24-cm-modelo-vitality-zwilling/" TargetMode="External"/><Relationship Id="rId811" Type="http://schemas.openxmlformats.org/officeDocument/2006/relationships/hyperlink" Target="https://dcocina.pe/producto/olla-3-5-lts-de-acero-inoxidable-o20cm-modelo-vitality-zwilling/?srsltid=AfmBOopyop9qcRmRCvX7CKhpwOZc1uHA690bczduwMIXYc6oNhZBQfU-" TargetMode="External"/><Relationship Id="rId810" Type="http://schemas.openxmlformats.org/officeDocument/2006/relationships/hyperlink" Target="https://docs.google.com/spreadsheets/d/11wSFDMhFgRKCEXsjUi_-vbyBCaEgTVLd_sQE2NL1qz4/edit?gid=0" TargetMode="External"/><Relationship Id="rId815" Type="http://schemas.openxmlformats.org/officeDocument/2006/relationships/hyperlink" Target="https://dcocina.pe/producto/olla-de-acero-inoxidable-24-cm-modelo-vitality-zwilling/" TargetMode="External"/><Relationship Id="rId814" Type="http://schemas.openxmlformats.org/officeDocument/2006/relationships/hyperlink" Target="https://dcocina.pe/producto/cacerola-de-4-lts-de-acero-inoxidable-o28cm-zwilling-pro-zwilling/?srsltid=AfmBOopz0VbOpTHJroEDkwke94eNifaqRa-Rc8DaGyWCrkw4KY_OxWUM" TargetMode="External"/><Relationship Id="rId813" Type="http://schemas.openxmlformats.org/officeDocument/2006/relationships/hyperlink" Target="https://dcocina.pe/producto/cacerola-de-4-lts-de-acero-inoxidable-o28cm-zwilling-pro-zwilling/?srsltid=AfmBOopz0VbOpTHJroEDkwke94eNifaqRa-Rc8DaGyWCrkw4KY_OxWUM" TargetMode="External"/><Relationship Id="rId812" Type="http://schemas.openxmlformats.org/officeDocument/2006/relationships/hyperlink" Target="https://dcocina.pe/producto/olla-3-5-lts-de-acero-inoxidable-o20cm-modelo-vitality-zwilling/?srsltid=AfmBOopyop9qcRmRCvX7CKhpwOZc1uHA690bczduwMIXYc6oNhZBQfU-" TargetMode="External"/><Relationship Id="rId609" Type="http://schemas.openxmlformats.org/officeDocument/2006/relationships/hyperlink" Target="https://docs.google.com/spreadsheets/d/1Cz8TBb_Lxy_rI3Qax8Y8DD7ACELyPhycOlv7DDDfhDo/edit?gid=0" TargetMode="External"/><Relationship Id="rId608" Type="http://schemas.openxmlformats.org/officeDocument/2006/relationships/hyperlink" Target="https://drive.google.com/file/d/1YH9h9tbwIk3ZRor_6eb1LK55_rFPY5cG/view?usp=sharing" TargetMode="External"/><Relationship Id="rId607" Type="http://schemas.openxmlformats.org/officeDocument/2006/relationships/hyperlink" Target="https://docs.google.com/spreadsheets/d/1xSLp7gpM5Jy3GkTOA2Xf1_eYnUM9CpxVmnMsq7kOCLE/edit?gid=0" TargetMode="External"/><Relationship Id="rId849" Type="http://schemas.openxmlformats.org/officeDocument/2006/relationships/hyperlink" Target="https://www.tramontina.com.pe/cuchillo-para-deshuesar-6-_24006006/p?srsltid=AfmBOopcCPBNllRYd9UQYjrmuRIllpId1Evh_pBeByW6V2f6WKnf09Nx" TargetMode="External"/><Relationship Id="rId602" Type="http://schemas.openxmlformats.org/officeDocument/2006/relationships/hyperlink" Target="https://drive.google.com/file/d/1YH9h9tbwIk3ZRor_6eb1LK55_rFPY5cG/view?usp=sharing" TargetMode="External"/><Relationship Id="rId844" Type="http://schemas.openxmlformats.org/officeDocument/2006/relationships/hyperlink" Target="https://docs.google.com/spreadsheets/d/1fTRTosSRZ0IO7fS-_5BnQS_mthsS4B5HspgNwLwV5Ok/edit?gid=0" TargetMode="External"/><Relationship Id="rId601" Type="http://schemas.openxmlformats.org/officeDocument/2006/relationships/hyperlink" Target="https://docs.google.com/spreadsheets/d/1kirHv9nFa6hi68f-6zoGJVXcfxanlthNxR9j6QDX4l4/edit?gid=0" TargetMode="External"/><Relationship Id="rId843" Type="http://schemas.openxmlformats.org/officeDocument/2006/relationships/hyperlink" Target="https://drive.google.com/file/d/1_UHuH37ATrm911Ohx4aL_9Z3m--yiXpV/view?usp=sharing" TargetMode="External"/><Relationship Id="rId600" Type="http://schemas.openxmlformats.org/officeDocument/2006/relationships/hyperlink" Target="https://drive.google.com/file/d/1_UHuH37ATrm911Ohx4aL_9Z3m--yiXpV/view?usp=sharing" TargetMode="External"/><Relationship Id="rId842" Type="http://schemas.openxmlformats.org/officeDocument/2006/relationships/hyperlink" Target="https://docs.google.com/spreadsheets/d/1JI_dIc6jqSeOjij0BnAUj6uwy4FIeiOLgVwGi8qu6Qk/edit?gid=0" TargetMode="External"/><Relationship Id="rId841" Type="http://schemas.openxmlformats.org/officeDocument/2006/relationships/hyperlink" Target="https://drive.google.com/file/d/1YH9h9tbwIk3ZRor_6eb1LK55_rFPY5cG/view?usp=sharing" TargetMode="External"/><Relationship Id="rId606" Type="http://schemas.openxmlformats.org/officeDocument/2006/relationships/hyperlink" Target="https://drive.google.com/file/d/1YH9h9tbwIk3ZRor_6eb1LK55_rFPY5cG/view?usp=sharing" TargetMode="External"/><Relationship Id="rId848" Type="http://schemas.openxmlformats.org/officeDocument/2006/relationships/hyperlink" Target="https://www.plazamenaje.com/shop/101292-cuchillo-oficio-de-5-tramontina-24003-005-4345" TargetMode="External"/><Relationship Id="rId605" Type="http://schemas.openxmlformats.org/officeDocument/2006/relationships/hyperlink" Target="https://docs.google.com/spreadsheets/d/1WjB5StVnh-vF7wk6v0mkySVvaBgLjdP3S8mi7dxzxxU/edit?gid=0" TargetMode="External"/><Relationship Id="rId847" Type="http://schemas.openxmlformats.org/officeDocument/2006/relationships/hyperlink" Target="https://www.tramontinastore.com.bo/articulo/23218" TargetMode="External"/><Relationship Id="rId604" Type="http://schemas.openxmlformats.org/officeDocument/2006/relationships/hyperlink" Target="https://drive.google.com/file/d/1BZ2N5EASu7KqA43xkUocI7QoYhjba-W1/view?usp=sharing" TargetMode="External"/><Relationship Id="rId846" Type="http://schemas.openxmlformats.org/officeDocument/2006/relationships/hyperlink" Target="https://www.tramontina.com.pe/cuchillo-chef-8-_24011008/p?srsltid=AfmBOoqu6ic-Gx4cspsQbpngJtQ60l0XyMncSDgjPDPq5KbZn-BeODCG" TargetMode="External"/><Relationship Id="rId603" Type="http://schemas.openxmlformats.org/officeDocument/2006/relationships/hyperlink" Target="https://docs.google.com/spreadsheets/d/1iaN1LqcW--q446vw4Ns4UsKBYJU7OERMi59jRKr-RmA/edit?gid=0" TargetMode="External"/><Relationship Id="rId845" Type="http://schemas.openxmlformats.org/officeDocument/2006/relationships/hyperlink" Target="https://www.tramontina.com.pe/cuchillo-chef-8-_24011008/p?srsltid=AfmBOoqu6ic-Gx4cspsQbpngJtQ60l0XyMncSDgjPDPq5KbZn-BeODCG" TargetMode="External"/><Relationship Id="rId840" Type="http://schemas.openxmlformats.org/officeDocument/2006/relationships/hyperlink" Target="https://www.oechsle.pe/espatula-tramontina-de-ace-inox-1001108612/p" TargetMode="External"/><Relationship Id="rId839" Type="http://schemas.openxmlformats.org/officeDocument/2006/relationships/hyperlink" Target="https://www.facusa.com.pe/accesorios-de-cocina/592-blister-ablandador-de-carne-chacha-facusa-.html" TargetMode="External"/><Relationship Id="rId838" Type="http://schemas.openxmlformats.org/officeDocument/2006/relationships/hyperlink" Target="https://docs.google.com/spreadsheets/d/1t11vEK6_knbRdu25ASrFJ6Xilcp8R3LW5EPG-PV6xc8/edit?gid=0" TargetMode="External"/><Relationship Id="rId833" Type="http://schemas.openxmlformats.org/officeDocument/2006/relationships/hyperlink" Target="https://www.amazon.com/-/es/cortadores-galletas-coraz%C3%B3n-estrella-cortador/dp/B08VD2R23T?th=1" TargetMode="External"/><Relationship Id="rId832" Type="http://schemas.openxmlformats.org/officeDocument/2006/relationships/hyperlink" Target="https://docs.google.com/spreadsheets/d/12o3u73OjuUst9CRAykuuLv-o7UzUsGOEnOHSqmxw1t4/edit?gid=0" TargetMode="External"/><Relationship Id="rId831" Type="http://schemas.openxmlformats.org/officeDocument/2006/relationships/hyperlink" Target="https://drive.google.com/file/d/1YH9h9tbwIk3ZRor_6eb1LK55_rFPY5cG/view?usp=sharing" TargetMode="External"/><Relationship Id="rId830" Type="http://schemas.openxmlformats.org/officeDocument/2006/relationships/hyperlink" Target="https://www.amazon.com/-/es/cortadores-galletas-coraz%C3%B3n-estrella-cortador/dp/B08VD2R23T?th=1" TargetMode="External"/><Relationship Id="rId837" Type="http://schemas.openxmlformats.org/officeDocument/2006/relationships/hyperlink" Target="https://drive.google.com/file/d/1_UHuH37ATrm911Ohx4aL_9Z3m--yiXpV/view?usp=sharing" TargetMode="External"/><Relationship Id="rId836" Type="http://schemas.openxmlformats.org/officeDocument/2006/relationships/hyperlink" Target="https://www.amazon.com/-/es/utensilios-cucharas-cocinar-antiadherentes-volteador/dp/B0FJS79XSN?ref_=ast_sto_dp" TargetMode="External"/><Relationship Id="rId835" Type="http://schemas.openxmlformats.org/officeDocument/2006/relationships/hyperlink" Target="https://docs.google.com/spreadsheets/d/1FLf8VV7azAQ8thxCtNLGWjk6aE671593Fci724ZiZtU/edit?gid=0" TargetMode="External"/><Relationship Id="rId834" Type="http://schemas.openxmlformats.org/officeDocument/2006/relationships/hyperlink" Target="https://drive.google.com/file/d/1_UHuH37ATrm911Ohx4aL_9Z3m--yiXpV/view?usp=sharing" TargetMode="External"/><Relationship Id="rId228" Type="http://schemas.openxmlformats.org/officeDocument/2006/relationships/hyperlink" Target="https://www.alibaba.com/product-detail/New-Style-Factory-Price-Fiberglass-Clothes_1600235155656.html?spm=a2756.order-detail-ta-ta-b.0.0.a12cf19cYTV9Ft" TargetMode="External"/><Relationship Id="rId227" Type="http://schemas.openxmlformats.org/officeDocument/2006/relationships/hyperlink" Target="https://dicapomaniquies.com/product/classic-kid-4" TargetMode="External"/><Relationship Id="rId469" Type="http://schemas.openxmlformats.org/officeDocument/2006/relationships/hyperlink" Target="https://drive.google.com/file/d/1h4VAVdnpYwVJWfv9Am07uX69gQjmocj4/view?usp=sharing" TargetMode="External"/><Relationship Id="rId226" Type="http://schemas.openxmlformats.org/officeDocument/2006/relationships/hyperlink" Target="https://dicapomaniquies.com/product/balder-2" TargetMode="External"/><Relationship Id="rId468" Type="http://schemas.openxmlformats.org/officeDocument/2006/relationships/hyperlink" Target="https://docs.google.com/spreadsheets/d/1030WFDgZN_rEIWjPXC_WZeLEF_44uRuf4-6RVUpU9tY/edit?gid=0" TargetMode="External"/><Relationship Id="rId225" Type="http://schemas.openxmlformats.org/officeDocument/2006/relationships/hyperlink" Target="https://venzhop.com/products/maniqui-de-dama-cuerpo-completo-plastico?srsltid=AfmBOoolg3NAkfNXgty72zHQDZIlKIoZXbfJDpuuuWbsRt5WU38E6Pkv" TargetMode="External"/><Relationship Id="rId467" Type="http://schemas.openxmlformats.org/officeDocument/2006/relationships/hyperlink" Target="https://drive.google.com/file/d/1WwLY1lQi2XiSE0OtUotd4iudcZnmUB5t/view?usp=sharing" TargetMode="External"/><Relationship Id="rId229" Type="http://schemas.openxmlformats.org/officeDocument/2006/relationships/hyperlink" Target="https://dicapomaniquies.com/product/classic-kid-4" TargetMode="External"/><Relationship Id="rId220" Type="http://schemas.openxmlformats.org/officeDocument/2006/relationships/hyperlink" Target="https://drive.google.com/file/d/1gVHd7eSNvjmDXUMFxdFWQy6anW_O3NP3/view?usp=sharing" TargetMode="External"/><Relationship Id="rId462" Type="http://schemas.openxmlformats.org/officeDocument/2006/relationships/hyperlink" Target="https://www.promart.pe/cuchilla-de-vuelta-para-carpintero-curva-9-/p?srsltid=AfmBOop95Z2JRnvsoIj-UMYofQlUA3GBO4GFIEuho4UpdMX7Tx8iR9Ct" TargetMode="External"/><Relationship Id="rId461" Type="http://schemas.openxmlformats.org/officeDocument/2006/relationships/hyperlink" Target="https://drive.google.com/file/d/1WwLY1lQi2XiSE0OtUotd4iudcZnmUB5t/view?usp=sharing" TargetMode="External"/><Relationship Id="rId460" Type="http://schemas.openxmlformats.org/officeDocument/2006/relationships/hyperlink" Target="https://www.corporacionferremax.com/product/cepillo-carpintero-6-estriada-truper" TargetMode="External"/><Relationship Id="rId224" Type="http://schemas.openxmlformats.org/officeDocument/2006/relationships/hyperlink" Target="https://docs.google.com/spreadsheets/d/1VE8XLJ7rwSECd4eNZDv3hDu3fzTfdTukDB-ILpysDVU/edit?gid=0" TargetMode="External"/><Relationship Id="rId466" Type="http://schemas.openxmlformats.org/officeDocument/2006/relationships/hyperlink" Target="https://www.promart.pe/cuchilla-de-vuelta-10/p" TargetMode="External"/><Relationship Id="rId223" Type="http://schemas.openxmlformats.org/officeDocument/2006/relationships/hyperlink" Target="https://drive.google.com/file/d/1BZ2N5EASu7KqA43xkUocI7QoYhjba-W1/view?usp=sharing" TargetMode="External"/><Relationship Id="rId465" Type="http://schemas.openxmlformats.org/officeDocument/2006/relationships/hyperlink" Target="https://drive.google.com/drive/folders/1Q6KY0XfHbVu-HqzDMNEnR9FPIyB6K_X8" TargetMode="External"/><Relationship Id="rId222" Type="http://schemas.openxmlformats.org/officeDocument/2006/relationships/hyperlink" Target="https://www.promart.pe/pack-de-pilas-duracell-aaa-x4/p" TargetMode="External"/><Relationship Id="rId464" Type="http://schemas.openxmlformats.org/officeDocument/2006/relationships/hyperlink" Target="https://www.gubia.pe/produkt/2095/cuchilla-de-vuelta-concava-kunz-13-55.htm" TargetMode="External"/><Relationship Id="rId221" Type="http://schemas.openxmlformats.org/officeDocument/2006/relationships/hyperlink" Target="https://docs.google.com/spreadsheets/d/1uAtomv0UzTIyXO79uuUVdv6hHa5OGZmk-oKu0430UGc/edit?gid=0" TargetMode="External"/><Relationship Id="rId463" Type="http://schemas.openxmlformats.org/officeDocument/2006/relationships/hyperlink" Target="https://docs.google.com/spreadsheets/d/1KvijwAYXT--DMsiJgja_966XlzeunZLnihCOvpvmlqY/edit?gid=0" TargetMode="External"/><Relationship Id="rId217" Type="http://schemas.openxmlformats.org/officeDocument/2006/relationships/hyperlink" Target="https://drive.google.com/file/d/1I-M-Ra6pUId8KiuqWqyTcLG-tCLYFcq3/view?usp=sharing" TargetMode="External"/><Relationship Id="rId459" Type="http://schemas.openxmlformats.org/officeDocument/2006/relationships/hyperlink" Target="https://www.amazon.es/Stanley-1-12-005-Cepillo-garlopin-5-50x335mm/dp/B0001IWDDI/ref=sr_1_2?__mk_es_ES=%C3%85M%C3%85%C5%BD%C3%95%C3%91&amp;crid=28LCCYV33QS9R&amp;dib=eyJ2IjoiMSJ9.l1DluArq5tg_ftNB8z3eZ8pZSYdzO780w4ldoveGHAMKBR-dzMxeLO7d9KPqx9yhzUpXOcdoL5WA1xNHCGK-_h3Z-QrWMV2JBk5vKuHiyFP--Yvh_XIuRb7G-B5m_mkYZff1iD0Ofn_l0ziOxt3PsyRJKGasqnTaY1LRSBwIg3Ii4sjRRePgilvkihI4tq4DCyuGkhZlqNTscmIJT0KdGaaersSh6p8LME81_vA8NZg.tmOSDFiZd_NVFzPBjJic6hdFgTXFwqKLJegxK0eEbr8&amp;dib_tag=se&amp;keywords=STANLEY+Cepillo+Manual+Bailey+de+Banco+N%C2%BA+5&amp;qid=1761574488&amp;s=tools&amp;sprefix=stanley+cepillo+manual+bailey+de+banco+n%C2%BA+%2Cdiy%2C405&amp;sr=1-2" TargetMode="External"/><Relationship Id="rId216" Type="http://schemas.openxmlformats.org/officeDocument/2006/relationships/hyperlink" Target="https://www.promart.pe/pack-de-pilas-duracell-aaa-x4/p" TargetMode="External"/><Relationship Id="rId458" Type="http://schemas.openxmlformats.org/officeDocument/2006/relationships/hyperlink" Target="https://www.majdsc.com/producto-p-78037.html" TargetMode="External"/><Relationship Id="rId215" Type="http://schemas.openxmlformats.org/officeDocument/2006/relationships/hyperlink" Target="https://www.truper.com/ficha_tecnica/Linterna-para-cabeza-3-pilas-AAA-28-lumenes-3-LEDs-252665.html?code=27083" TargetMode="External"/><Relationship Id="rId457" Type="http://schemas.openxmlformats.org/officeDocument/2006/relationships/hyperlink" Target="https://www.amazon.es/Stanley-1-12-004-Cepillo-manual-4-50x245mm/dp/B0001GRVKU?th=1" TargetMode="External"/><Relationship Id="rId699" Type="http://schemas.openxmlformats.org/officeDocument/2006/relationships/hyperlink" Target="https://drive.google.com/file/d/1_UHuH37ATrm911Ohx4aL_9Z3m--yiXpV/view?usp=sharing" TargetMode="External"/><Relationship Id="rId214" Type="http://schemas.openxmlformats.org/officeDocument/2006/relationships/hyperlink" Target="https://docs.google.com/spreadsheets/d/1Mjlxf-6YdkCUKf_1us5S_UjhA47aFEBbbmOYxQNzcIY/edit?gid=0" TargetMode="External"/><Relationship Id="rId456" Type="http://schemas.openxmlformats.org/officeDocument/2006/relationships/hyperlink" Target="https://www.amazon.es/Stanley-1-12-005-Cepillo-garlopin-5-50x335mm/dp/B0001IWDDI/ref=sr_1_2?__mk_es_ES=%C3%85M%C3%85%C5%BD%C3%95%C3%91&amp;crid=28LCCYV33QS9R&amp;dib=eyJ2IjoiMSJ9.l1DluArq5tg_ftNB8z3eZ8pZSYdzO780w4ldoveGHAMKBR-dzMxeLO7d9KPqx9yhzUpXOcdoL5WA1xNHCGK-_h3Z-QrWMV2JBk5vKuHiyFP--Yvh_XIuRb7G-B5m_mkYZff1iD0Ofn_l0ziOxt3PsyRJKGasqnTaY1LRSBwIg3Ii4sjRRePgilvkihI4tq4DCyuGkhZlqNTscmIJT0KdGaaersSh6p8LME81_vA8NZg.tmOSDFiZd_NVFzPBjJic6hdFgTXFwqKLJegxK0eEbr8&amp;dib_tag=se&amp;keywords=STANLEY+Cepillo+Manual+Bailey+de+Banco+N%C2%BA+5&amp;qid=1761574488&amp;s=tools&amp;sprefix=stanley+cepillo+manual+bailey+de+banco+n%C2%BA+%2Cdiy%2C405&amp;sr=1-2" TargetMode="External"/><Relationship Id="rId698" Type="http://schemas.openxmlformats.org/officeDocument/2006/relationships/hyperlink" Target="https://docs.google.com/spreadsheets/d/1_3dXcv-I6kVQotvYaTRM6aFaqBXzR_gGnQObOEvi0Cc/edit?gid=0" TargetMode="External"/><Relationship Id="rId219" Type="http://schemas.openxmlformats.org/officeDocument/2006/relationships/hyperlink" Target="https://www.amazon.com/Skytex-bombillas-regulables-fotograf%C3%ADa-temperatura/dp/B0BN33DSQN/ref=sr_1_1_sspa?__mk_es_US=%C3%85M%C3%85%C5%BD%C3%95%C3%91&amp;crid=3O9ZI9PA0WCP0&amp;dib=eyJ2IjoiMSJ9.cER9JeogVGtrTT99cO165johR64xjvGMNT9-OYe1_TGcvnK83JJf13TYEKsLib-VZtkLyTRESfaO19TH-sbq50wRHMAz1WKPEuRWpYt4DyYwPeskF75wU2TPYp48lvTFVvUbUdVzdaDiZHJZFOz1NxJyIiRGo4jTwrha5FwGCN9AuuZPeexV2__Yr42QGoK6.enebDV4uLv0hmoKJBJTTsO9X_mlleuDc9lVXm_xSNYI&amp;dib_tag=se&amp;keywords=SKYTEX%2B135W&amp;qid=1772170554&amp;sprefix=skytex%2B135%2Caps%2C282&amp;sr=8-1-spons&amp;sp_csd=d2lkZ2V0TmFtZT1zcF9hdGY&amp;th=1" TargetMode="External"/><Relationship Id="rId218" Type="http://schemas.openxmlformats.org/officeDocument/2006/relationships/hyperlink" Target="https://docs.google.com/spreadsheets/d/1Fc-mzEC8Oa7OxmuPRgStS-GbPfkcswcFtDemKnaEXac/edit?gid=0" TargetMode="External"/><Relationship Id="rId451" Type="http://schemas.openxmlformats.org/officeDocument/2006/relationships/hyperlink" Target="https://docs.google.com/spreadsheets/d/1b3Lu7gVt9dn1-TMGkCJk6mRFxXUVFXg9b0dQxdeD_mY/edit?gid=0" TargetMode="External"/><Relationship Id="rId693" Type="http://schemas.openxmlformats.org/officeDocument/2006/relationships/hyperlink" Target="https://drive.google.com/file/d/1YH9h9tbwIk3ZRor_6eb1LK55_rFPY5cG/view?usp=sharing" TargetMode="External"/><Relationship Id="rId450" Type="http://schemas.openxmlformats.org/officeDocument/2006/relationships/hyperlink" Target="https://drive.google.com/file/d/1WwLY1lQi2XiSE0OtUotd4iudcZnmUB5t/view?usp=sharing" TargetMode="External"/><Relationship Id="rId692" Type="http://schemas.openxmlformats.org/officeDocument/2006/relationships/hyperlink" Target="https://www.falabella.com.pe/falabella-pe/product/145601357/Cucharas-Medidoras-X-4-Blister-Facusa/145601359" TargetMode="External"/><Relationship Id="rId691" Type="http://schemas.openxmlformats.org/officeDocument/2006/relationships/hyperlink" Target="https://docs.google.com/spreadsheets/d/1wvMjJEZ0mSUgHe3oWpDe7NiQvKLlziE6VPz6unM2GTU/edit?gid=0" TargetMode="External"/><Relationship Id="rId690" Type="http://schemas.openxmlformats.org/officeDocument/2006/relationships/hyperlink" Target="https://drive.google.com/file/d/1YH9h9tbwIk3ZRor_6eb1LK55_rFPY5cG/view?usp=sharing" TargetMode="External"/><Relationship Id="rId213" Type="http://schemas.openxmlformats.org/officeDocument/2006/relationships/hyperlink" Target="https://drive.google.com/file/d/1WwLY1lQi2XiSE0OtUotd4iudcZnmUB5t/view?usp=sharing" TargetMode="External"/><Relationship Id="rId455" Type="http://schemas.openxmlformats.org/officeDocument/2006/relationships/hyperlink" Target="https://docs.google.com/spreadsheets/d/1NfnwrBZBy3KyyBTL1Su3IUrznfjwZ73Vde8kdtqZPsU/edit?gid=0" TargetMode="External"/><Relationship Id="rId697" Type="http://schemas.openxmlformats.org/officeDocument/2006/relationships/hyperlink" Target="https://drive.google.com/file/d/1_UHuH37ATrm911Ohx4aL_9Z3m--yiXpV/view?usp=sharing" TargetMode="External"/><Relationship Id="rId212" Type="http://schemas.openxmlformats.org/officeDocument/2006/relationships/hyperlink" Target="https://docs.google.com/spreadsheets/d/1S5hFoy2SKF_d45p6owfudG7QG2xHfIdANrwr6TN1GVQ/edit?gid=0" TargetMode="External"/><Relationship Id="rId454" Type="http://schemas.openxmlformats.org/officeDocument/2006/relationships/hyperlink" Target="https://www.amazon.es/Stanley-1-12-004-Cepillo-manual-4-50x245mm/dp/B0001GRVKU?th=1" TargetMode="External"/><Relationship Id="rId696" Type="http://schemas.openxmlformats.org/officeDocument/2006/relationships/hyperlink" Target="https://www.paramifiesta.es/tenedor-efecto-metal-mini-50-ud-paq-1825.html" TargetMode="External"/><Relationship Id="rId211" Type="http://schemas.openxmlformats.org/officeDocument/2006/relationships/hyperlink" Target="https://drive.google.com/file/d/1h4VAVdnpYwVJWfv9Am07uX69gQjmocj4/view?usp=sharing" TargetMode="External"/><Relationship Id="rId453" Type="http://schemas.openxmlformats.org/officeDocument/2006/relationships/hyperlink" Target="https://drive.google.com/file/d/1WwLY1lQi2XiSE0OtUotd4iudcZnmUB5t/view?usp=sharing" TargetMode="External"/><Relationship Id="rId695" Type="http://schemas.openxmlformats.org/officeDocument/2006/relationships/hyperlink" Target="https://docs.google.com/spreadsheets/d/1BeyiLjm1asQ1OYSFVpqEHQZb086IKH9eNea1O6f1S3k/edit?gid=0" TargetMode="External"/><Relationship Id="rId210" Type="http://schemas.openxmlformats.org/officeDocument/2006/relationships/hyperlink" Target="https://www.amazon.com/-/es/Utoolmart-redondo-derecha-m%C3%A1quina-aleaci%C3%B3n/dp/B07Z7WNDHX/ref=sr_1_4?__mk_es_US=%C3%85M%C3%85%C5%BD%C3%95%C3%91&amp;crid=XDV82XJV1V92&amp;dib=eyJ2IjoiMSJ9.Pf__CdQ8sLCj495OGfWKwIJf6x-Hg_gZ-ft0Fyvjz98Cp3osiLb0ScXckoQ-jNSidbyDUj5yiq-6Wfqo4JuK-SJPI54iQgzVqoPVDmHJ0t90QLypwS02e2XZ3MriX989MTh808Uw3mdFDHzPVd6igEiUeKbS66TYFnWHuRO-CfqT4w43WJS-0Ana6UnffJZm5lSUt4I-ZyWndttQTY02Efr9NKs8dN3V7XZnivtaotPbwmaa84iJhmxF0LleCnc2.w_RgYdzPAh_Z_JDfaQlpXmKN-fJsKUm2NmURv7ZwjCA&amp;dib_tag=se&amp;keywords=terraja%2B3%2F16%2BNC&amp;qid=1767634148&amp;sprefix=terraja%2B3%2F16%2Bnc%2Caps%2C176&amp;sr=8-4&amp;th=1" TargetMode="External"/><Relationship Id="rId452" Type="http://schemas.openxmlformats.org/officeDocument/2006/relationships/hyperlink" Target="https://drive.google.com/file/d/1-F5fpskdDW5kOYskhA1mQAHH7luw6zu1/view?usp=sharing" TargetMode="External"/><Relationship Id="rId694" Type="http://schemas.openxmlformats.org/officeDocument/2006/relationships/hyperlink" Target="https://www.amazon.com.mx/cucharas-peque%C3%B1as-pulgadas-unidades-inoxidable/dp/B0DP8PB9PW?th=1" TargetMode="External"/><Relationship Id="rId491" Type="http://schemas.openxmlformats.org/officeDocument/2006/relationships/hyperlink" Target="https://docs.google.com/spreadsheets/d/19xettg-vaYIxi1H5_i4arTw-Dqpt-ecntis8jcRpbJw/edit?gid=0" TargetMode="External"/><Relationship Id="rId490" Type="http://schemas.openxmlformats.org/officeDocument/2006/relationships/hyperlink" Target="https://drive.google.com/file/d/18QObBMdkdbxawOmVcLCnjq1PR6AWIUKE/view?usp=sharing" TargetMode="External"/><Relationship Id="rId249" Type="http://schemas.openxmlformats.org/officeDocument/2006/relationships/hyperlink" Target="https://drive.google.com/file/d/1YH9h9tbwIk3ZRor_6eb1LK55_rFPY5cG/view?usp=sharing" TargetMode="External"/><Relationship Id="rId248" Type="http://schemas.openxmlformats.org/officeDocument/2006/relationships/hyperlink" Target="https://docs.google.com/spreadsheets/d/1OpTRvOWu6VJSPExFrWOnOimBvf77F3Tm25S-LSM8HWM/edit?gid=0" TargetMode="External"/><Relationship Id="rId247" Type="http://schemas.openxmlformats.org/officeDocument/2006/relationships/hyperlink" Target="https://drive.google.com/file/d/1YH9h9tbwIk3ZRor_6eb1LK55_rFPY5cG/view?usp=sharing" TargetMode="External"/><Relationship Id="rId489" Type="http://schemas.openxmlformats.org/officeDocument/2006/relationships/hyperlink" Target="https://www.irimo.com/int_en/hex-keys-nickel-plated-set-inch-pb_041061_.html" TargetMode="External"/><Relationship Id="rId242" Type="http://schemas.openxmlformats.org/officeDocument/2006/relationships/hyperlink" Target="https://docs.google.com/spreadsheets/d/1TahHbkreqhrjMBrhNgmK3nSodxRQLuCqHT2VNBkL0x8/edit?gid=0" TargetMode="External"/><Relationship Id="rId484" Type="http://schemas.openxmlformats.org/officeDocument/2006/relationships/hyperlink" Target="https://drive.google.com/file/d/18QObBMdkdbxawOmVcLCnjq1PR6AWIUKE/view?usp=sharing" TargetMode="External"/><Relationship Id="rId241" Type="http://schemas.openxmlformats.org/officeDocument/2006/relationships/hyperlink" Target="https://drive.google.com/file/d/1YH9h9tbwIk3ZRor_6eb1LK55_rFPY5cG/view?usp=sharing" TargetMode="External"/><Relationship Id="rId483" Type="http://schemas.openxmlformats.org/officeDocument/2006/relationships/hyperlink" Target="https://docs.google.com/spreadsheets/d/1w3vu4iSyVAJrMBdcluZ2Pgpi6-u9dbCs1HELg7NF7FI/edit?gid=0" TargetMode="External"/><Relationship Id="rId240" Type="http://schemas.openxmlformats.org/officeDocument/2006/relationships/hyperlink" Target="https://docs.google.com/spreadsheets/d/18gZD2ZTwB-3rHn5parroFRvcPb-cdKZPJCM6hcLqyco/edit?gid=0" TargetMode="External"/><Relationship Id="rId482" Type="http://schemas.openxmlformats.org/officeDocument/2006/relationships/hyperlink" Target="https://drive.google.com/file/d/1h4VAVdnpYwVJWfv9Am07uX69gQjmocj4/view?usp=sharing" TargetMode="External"/><Relationship Id="rId481" Type="http://schemas.openxmlformats.org/officeDocument/2006/relationships/hyperlink" Target="https://docs.google.com/spreadsheets/d/1Ylgm-DqYHsuvOoLIS2-NIEINBmNAUcq0VlVndwNEXt8/edit?gid=0" TargetMode="External"/><Relationship Id="rId246" Type="http://schemas.openxmlformats.org/officeDocument/2006/relationships/hyperlink" Target="https://docs.google.com/spreadsheets/d/1JFcWBNnXQI_6aKcbGuoDtcE0ZoG578YIfzHXzXVFcrI/edit?gid=0" TargetMode="External"/><Relationship Id="rId488" Type="http://schemas.openxmlformats.org/officeDocument/2006/relationships/hyperlink" Target="https://docs.google.com/spreadsheets/d/1jT8IzJpKMoKh70qL2UU3p9CI5H_pNbb_c2JkHqIZMJU/edit?gid=0" TargetMode="External"/><Relationship Id="rId245" Type="http://schemas.openxmlformats.org/officeDocument/2006/relationships/hyperlink" Target="https://drive.google.com/file/d/1_UHuH37ATrm911Ohx4aL_9Z3m--yiXpV/view?usp=sharing" TargetMode="External"/><Relationship Id="rId487" Type="http://schemas.openxmlformats.org/officeDocument/2006/relationships/hyperlink" Target="https://www.irimo.com/int_en/hex-keys-nickel-plated-set-metric-pb_041101_.html" TargetMode="External"/><Relationship Id="rId244" Type="http://schemas.openxmlformats.org/officeDocument/2006/relationships/hyperlink" Target="https://docs.google.com/spreadsheets/d/16CVoawH2GLRwhFt4G3Uq8GhmN3JMaIkJ-M-9_CK9428/edit?gid=0" TargetMode="External"/><Relationship Id="rId486" Type="http://schemas.openxmlformats.org/officeDocument/2006/relationships/hyperlink" Target="https://drive.google.com/file/d/1gVHd7eSNvjmDXUMFxdFWQy6anW_O3NP3/view?usp=sharing" TargetMode="External"/><Relationship Id="rId243" Type="http://schemas.openxmlformats.org/officeDocument/2006/relationships/hyperlink" Target="https://drive.google.com/file/d/1_UHuH37ATrm911Ohx4aL_9Z3m--yiXpV/view?usp=sharing" TargetMode="External"/><Relationship Id="rId485" Type="http://schemas.openxmlformats.org/officeDocument/2006/relationships/hyperlink" Target="https://docs.google.com/spreadsheets/d/1leM7TpNqHghz6ycQgXZwU1OYKIGdGv62OCFOa7o6SxM/edit?gid=0" TargetMode="External"/><Relationship Id="rId480" Type="http://schemas.openxmlformats.org/officeDocument/2006/relationships/hyperlink" Target="https://drive.google.com/file/d/1WwLY1lQi2XiSE0OtUotd4iudcZnmUB5t/view?usp=sharing" TargetMode="External"/><Relationship Id="rId239" Type="http://schemas.openxmlformats.org/officeDocument/2006/relationships/hyperlink" Target="https://drive.google.com/file/d/1h4VAVdnpYwVJWfv9Am07uX69gQjmocj4/view?usp=sharing" TargetMode="External"/><Relationship Id="rId238" Type="http://schemas.openxmlformats.org/officeDocument/2006/relationships/hyperlink" Target="https://docs.google.com/spreadsheets/d/1K6oMqMpEJlw58ftyQZyfYfQwqY8xRdmTduryofRDe5s/edit?gid=0" TargetMode="External"/><Relationship Id="rId237" Type="http://schemas.openxmlformats.org/officeDocument/2006/relationships/hyperlink" Target="https://drive.google.com/file/d/18QObBMdkdbxawOmVcLCnjq1PR6AWIUKE/view?usp=sharing" TargetMode="External"/><Relationship Id="rId479" Type="http://schemas.openxmlformats.org/officeDocument/2006/relationships/hyperlink" Target="https://docs.google.com/spreadsheets/d/1YQv879C9GxcfsGrH3A16aQ4ZMqdZ0HK2usek_ZQyQ7U/edit?gid=0" TargetMode="External"/><Relationship Id="rId236" Type="http://schemas.openxmlformats.org/officeDocument/2006/relationships/hyperlink" Target="https://docs.google.com/spreadsheets/d/1dN9B15DjOLeN30LcUDy41z3jg7HB3zCuT48-BAfadq4/edit?gid=0" TargetMode="External"/><Relationship Id="rId478" Type="http://schemas.openxmlformats.org/officeDocument/2006/relationships/hyperlink" Target="https://drive.google.com/file/d/1WwLY1lQi2XiSE0OtUotd4iudcZnmUB5t/view?usp=sharing" TargetMode="External"/><Relationship Id="rId231" Type="http://schemas.openxmlformats.org/officeDocument/2006/relationships/hyperlink" Target="https://drive.google.com/file/d/1h4VAVdnpYwVJWfv9Am07uX69gQjmocj4/view?usp=sharing" TargetMode="External"/><Relationship Id="rId473" Type="http://schemas.openxmlformats.org/officeDocument/2006/relationships/hyperlink" Target="https://drive.google.com/file/d/1gVHd7eSNvjmDXUMFxdFWQy6anW_O3NP3/view?usp=sharing" TargetMode="External"/><Relationship Id="rId230" Type="http://schemas.openxmlformats.org/officeDocument/2006/relationships/hyperlink" Target="https://www.alibaba.com/product-detail/New-Style-Factory-Price-Fiberglass-Clothes_1600235155656.html?spm=a2756.order-detail-ta-ta-b.0.0.a12cf19cYTV9Ft" TargetMode="External"/><Relationship Id="rId472" Type="http://schemas.openxmlformats.org/officeDocument/2006/relationships/hyperlink" Target="https://docs.google.com/spreadsheets/d/1E1o7t8Ek4DWWNycnRHTqMiRpz3dVcQlLXSmCVtFJeY4/edit?gid=0" TargetMode="External"/><Relationship Id="rId471" Type="http://schemas.openxmlformats.org/officeDocument/2006/relationships/hyperlink" Target="https://drive.google.com/file/d/15II6pN8lLiJghCcshC2bnO6ky1nJkwg1/view?usp=sharing" TargetMode="External"/><Relationship Id="rId470" Type="http://schemas.openxmlformats.org/officeDocument/2006/relationships/hyperlink" Target="https://docs.google.com/spreadsheets/d/1tvyWrQ5egCktKYtKTj1GB9RS55EMCn28I0wNSqM5r0E/edit?gid=0" TargetMode="External"/><Relationship Id="rId235" Type="http://schemas.openxmlformats.org/officeDocument/2006/relationships/hyperlink" Target="https://drive.google.com/file/d/1WwLY1lQi2XiSE0OtUotd4iudcZnmUB5t/view?usp=sharing" TargetMode="External"/><Relationship Id="rId477" Type="http://schemas.openxmlformats.org/officeDocument/2006/relationships/hyperlink" Target="https://www.truper.com/ficha_tecnica/Juego-con-desarmadores-de-precision-15-piezas-1848.html?code=14205" TargetMode="External"/><Relationship Id="rId234" Type="http://schemas.openxmlformats.org/officeDocument/2006/relationships/hyperlink" Target="https://docs.google.com/spreadsheets/d/15iFHMM2lL4fS7FTHRe3jov9nIWaie4Ujkg17AQlYx2U/edit?gid=0" TargetMode="External"/><Relationship Id="rId476" Type="http://schemas.openxmlformats.org/officeDocument/2006/relationships/hyperlink" Target="https://docs.google.com/spreadsheets/d/160k2FzRcaWtk1upEwxl60ssX5vBM9xyY8jnTjxrzMlQ/edit?gid=0" TargetMode="External"/><Relationship Id="rId233" Type="http://schemas.openxmlformats.org/officeDocument/2006/relationships/hyperlink" Target="https://drive.google.com/file/d/1YH9h9tbwIk3ZRor_6eb1LK55_rFPY5cG/view?usp=sharing" TargetMode="External"/><Relationship Id="rId475" Type="http://schemas.openxmlformats.org/officeDocument/2006/relationships/hyperlink" Target="https://drive.google.com/file/d/1gVHd7eSNvjmDXUMFxdFWQy6anW_O3NP3/view?usp=sharing" TargetMode="External"/><Relationship Id="rId232" Type="http://schemas.openxmlformats.org/officeDocument/2006/relationships/hyperlink" Target="https://docs.google.com/spreadsheets/d/17zNg4unkldTzrkOxsDqgD0y0yf7H5TSO8SJeDBps1lc/edit?gid=0" TargetMode="External"/><Relationship Id="rId474" Type="http://schemas.openxmlformats.org/officeDocument/2006/relationships/hyperlink" Target="https://docs.google.com/spreadsheets/d/10mvZY4ititr9evz9l2Wt6s4gls00CECgAMZkVNTLgQ4/edit?gid=0" TargetMode="External"/><Relationship Id="rId426" Type="http://schemas.openxmlformats.org/officeDocument/2006/relationships/hyperlink" Target="https://docs.google.com/spreadsheets/d/13d0P4PObjuZ6jp-zLbsbUOePEI7FJ6jdryPphKQPCaw/edit?gid=0" TargetMode="External"/><Relationship Id="rId668" Type="http://schemas.openxmlformats.org/officeDocument/2006/relationships/hyperlink" Target="https://docs.google.com/spreadsheets/d/1BOAIXW1WbVu5-XrHZyNTI0omLH5aDZc8RGABqqWJxgw/edit?gid=0" TargetMode="External"/><Relationship Id="rId425" Type="http://schemas.openxmlformats.org/officeDocument/2006/relationships/hyperlink" Target="https://drive.google.com/file/d/1h4VAVdnpYwVJWfv9Am07uX69gQjmocj4/view?usp=sharing" TargetMode="External"/><Relationship Id="rId667" Type="http://schemas.openxmlformats.org/officeDocument/2006/relationships/hyperlink" Target="https://drive.google.com/file/d/1YH9h9tbwIk3ZRor_6eb1LK55_rFPY5cG/view?usp=sharing" TargetMode="External"/><Relationship Id="rId424" Type="http://schemas.openxmlformats.org/officeDocument/2006/relationships/hyperlink" Target="https://cahema.pe/desarmadores-plano/15655-desarmador-plano-3-x-75mm-bahco-613-3-75-7314150124435.html" TargetMode="External"/><Relationship Id="rId666" Type="http://schemas.openxmlformats.org/officeDocument/2006/relationships/hyperlink" Target="https://docs.google.com/spreadsheets/d/1HrS1QGHmnLLb90ENNE6c7wHPUHO9OYG9T3LOancawTQ/edit?gid=0" TargetMode="External"/><Relationship Id="rId423" Type="http://schemas.openxmlformats.org/officeDocument/2006/relationships/hyperlink" Target="https://docs.google.com/spreadsheets/d/1lN5M4pLQWnY3a8Xdz5PdBo3W1xXo4bbdXcU7Omr7BJE/edit?gid=0" TargetMode="External"/><Relationship Id="rId665" Type="http://schemas.openxmlformats.org/officeDocument/2006/relationships/hyperlink" Target="https://drive.google.com/file/d/18QObBMdkdbxawOmVcLCnjq1PR6AWIUKE/view?usp=sharing" TargetMode="External"/><Relationship Id="rId429" Type="http://schemas.openxmlformats.org/officeDocument/2006/relationships/hyperlink" Target="https://drive.google.com/file/d/1h4VAVdnpYwVJWfv9Am07uX69gQjmocj4/view?usp=sharing" TargetMode="External"/><Relationship Id="rId428" Type="http://schemas.openxmlformats.org/officeDocument/2006/relationships/hyperlink" Target="https://docs.google.com/spreadsheets/d/1SSfFxtVGcHpzLkcdm85v2KJQshK8LRkLWUcqTXLzcqg/edit?gid=0" TargetMode="External"/><Relationship Id="rId427" Type="http://schemas.openxmlformats.org/officeDocument/2006/relationships/hyperlink" Target="https://drive.google.com/file/d/1h4VAVdnpYwVJWfv9Am07uX69gQjmocj4/view?usp=sharing" TargetMode="External"/><Relationship Id="rId669" Type="http://schemas.openxmlformats.org/officeDocument/2006/relationships/hyperlink" Target="https://drive.google.com/file/d/1BZ2N5EASu7KqA43xkUocI7QoYhjba-W1/view?usp=sharing" TargetMode="External"/><Relationship Id="rId660" Type="http://schemas.openxmlformats.org/officeDocument/2006/relationships/hyperlink" Target="https://sodimac.falabella.com.pe/sodimac-pe/product/113326372/Brocha-TUMI-Multiuso-5''/113326374?exp=sodimac" TargetMode="External"/><Relationship Id="rId422" Type="http://schemas.openxmlformats.org/officeDocument/2006/relationships/hyperlink" Target="https://drive.google.com/file/d/1BZ2N5EASu7KqA43xkUocI7QoYhjba-W1/view?usp=sharing" TargetMode="External"/><Relationship Id="rId664" Type="http://schemas.openxmlformats.org/officeDocument/2006/relationships/hyperlink" Target="https://docs.google.com/spreadsheets/d/1S5DKHtMOBXdrkUxeDIv1wN_vP4clCIi-jk3njFv16ko/edit?gid=0" TargetMode="External"/><Relationship Id="rId421" Type="http://schemas.openxmlformats.org/officeDocument/2006/relationships/hyperlink" Target="https://rodavigo.net/en/p/insulated-cable-cutting-knives-200-mm-ref-alyco-108090/544108090" TargetMode="External"/><Relationship Id="rId663" Type="http://schemas.openxmlformats.org/officeDocument/2006/relationships/hyperlink" Target="https://drive.google.com/file/d/1h4VAVdnpYwVJWfv9Am07uX69gQjmocj4/view?usp=sharing" TargetMode="External"/><Relationship Id="rId420" Type="http://schemas.openxmlformats.org/officeDocument/2006/relationships/hyperlink" Target="https://docs.google.com/spreadsheets/d/1hbe0MGdmGN99aiBWi9TPPeE6MbqIkv0P9jDxDidShSc/edit?gid=0" TargetMode="External"/><Relationship Id="rId662" Type="http://schemas.openxmlformats.org/officeDocument/2006/relationships/hyperlink" Target="https://docs.google.com/spreadsheets/d/1Yr9a3vfZY8Vf67P_sKfBPopxamZLyfQ9YveP77yPC00/edit?gid=0" TargetMode="External"/><Relationship Id="rId661" Type="http://schemas.openxmlformats.org/officeDocument/2006/relationships/hyperlink" Target="https://drive.google.com/file/d/1WwLY1lQi2XiSE0OtUotd4iudcZnmUB5t/view?usp=sharing" TargetMode="External"/><Relationship Id="rId415" Type="http://schemas.openxmlformats.org/officeDocument/2006/relationships/hyperlink" Target="https://drive.google.com/file/d/18QObBMdkdbxawOmVcLCnjq1PR6AWIUKE/view?usp=sharing" TargetMode="External"/><Relationship Id="rId657" Type="http://schemas.openxmlformats.org/officeDocument/2006/relationships/hyperlink" Target="https://sodimac.falabella.com.pe/sodimac-pe/product/113321144/Brocha-TUMI-Multiuso-2''/113321145?exp=sodimac" TargetMode="External"/><Relationship Id="rId899" Type="http://schemas.openxmlformats.org/officeDocument/2006/relationships/hyperlink" Target="https://docs.google.com/spreadsheets/d/16HBCMUiasoP86oOYwR6sdUqw4ocW6Ywo_exqwzK35Mo/edit?gid=0" TargetMode="External"/><Relationship Id="rId414" Type="http://schemas.openxmlformats.org/officeDocument/2006/relationships/hyperlink" Target="https://docs.google.com/spreadsheets/d/1kiiONPlRx1Z0bpW7WR6VlcyNM_kLNv-uu9z1UUPjXMM/edit?gid=0" TargetMode="External"/><Relationship Id="rId656" Type="http://schemas.openxmlformats.org/officeDocument/2006/relationships/hyperlink" Target="https://sodimac.falabella.com.pe/sodimac-pe/product/113309957/Brocha-TUMI-Multiuso-4''/113309958?exp=sodimac" TargetMode="External"/><Relationship Id="rId898" Type="http://schemas.openxmlformats.org/officeDocument/2006/relationships/hyperlink" Target="https://drive.google.com/drive/folders/1Q6KY0XfHbVu-HqzDMNEnR9FPIyB6K_X8" TargetMode="External"/><Relationship Id="rId413" Type="http://schemas.openxmlformats.org/officeDocument/2006/relationships/hyperlink" Target="https://drive.google.com/file/d/18QObBMdkdbxawOmVcLCnjq1PR6AWIUKE/view?usp=sharing" TargetMode="External"/><Relationship Id="rId655" Type="http://schemas.openxmlformats.org/officeDocument/2006/relationships/hyperlink" Target="https://sodimac.falabella.com.pe/sodimac-pe/product/113316148/Brocha-TUMI-Multiuso-1''/113316153?exp=sodimac" TargetMode="External"/><Relationship Id="rId897" Type="http://schemas.openxmlformats.org/officeDocument/2006/relationships/hyperlink" Target="https://drive.google.com/file/d/1WwLY1lQi2XiSE0OtUotd4iudcZnmUB5t/view?usp=sharing" TargetMode="External"/><Relationship Id="rId412" Type="http://schemas.openxmlformats.org/officeDocument/2006/relationships/hyperlink" Target="https://drive.google.com/file/d/1vNd8uG7qx2Ec8egl53Q5sGELSANgCfSa/view?usp=sharing" TargetMode="External"/><Relationship Id="rId654" Type="http://schemas.openxmlformats.org/officeDocument/2006/relationships/hyperlink" Target="https://sodimac.falabella.com.pe/sodimac-pe/product/113321144/Brocha-TUMI-Multiuso-2''/113321145?exp=sodimac" TargetMode="External"/><Relationship Id="rId896" Type="http://schemas.openxmlformats.org/officeDocument/2006/relationships/hyperlink" Target="https://docs.google.com/spreadsheets/d/15OhuXUbkL1liUJKbmXqHRfF1oU8EXz4xYleDfZUfloY/edit?gid=0" TargetMode="External"/><Relationship Id="rId419" Type="http://schemas.openxmlformats.org/officeDocument/2006/relationships/hyperlink" Target="https://drive.google.com/file/d/15II6pN8lLiJghCcshC2bnO6ky1nJkwg1/view?usp=sharing" TargetMode="External"/><Relationship Id="rId418" Type="http://schemas.openxmlformats.org/officeDocument/2006/relationships/hyperlink" Target="https://docs.google.com/spreadsheets/d/1oqvqYTh-PPpjTFXDnJbz8z3u1lYsREvJDKlaYgm9IBQ/edit?gid=0" TargetMode="External"/><Relationship Id="rId417" Type="http://schemas.openxmlformats.org/officeDocument/2006/relationships/hyperlink" Target="https://drive.google.com/file/d/18QObBMdkdbxawOmVcLCnjq1PR6AWIUKE/view?usp=sharing" TargetMode="External"/><Relationship Id="rId659" Type="http://schemas.openxmlformats.org/officeDocument/2006/relationships/hyperlink" Target="https://sodimac.falabella.com.pe/sodimac-pe/product/113309957/Brocha-TUMI-Multiuso-4''/113309958?exp=sodimac" TargetMode="External"/><Relationship Id="rId416" Type="http://schemas.openxmlformats.org/officeDocument/2006/relationships/hyperlink" Target="https://docs.google.com/spreadsheets/d/1qBa0-YO3G3p75xUUWXLozJM0tmqF7B_HjOkrmYopk10/edit?gid=0" TargetMode="External"/><Relationship Id="rId658" Type="http://schemas.openxmlformats.org/officeDocument/2006/relationships/hyperlink" Target="https://sodimac.falabella.com.pe/sodimac-pe/product/113326372/Brocha-TUMI-Multiuso-5''/113326374?exp=sodimac" TargetMode="External"/><Relationship Id="rId891" Type="http://schemas.openxmlformats.org/officeDocument/2006/relationships/hyperlink" Target="https://docs.google.com/spreadsheets/d/1h2fOHAVuoC9Rymq09IQa_WyueScLYa7yXONHkl7jAbs/edit?gid=0" TargetMode="External"/><Relationship Id="rId890" Type="http://schemas.openxmlformats.org/officeDocument/2006/relationships/hyperlink" Target="https://drive.google.com/file/d/1_UHuH37ATrm911Ohx4aL_9Z3m--yiXpV/view?usp=sharing" TargetMode="External"/><Relationship Id="rId411" Type="http://schemas.openxmlformats.org/officeDocument/2006/relationships/hyperlink" Target="https://docs.google.com/spreadsheets/d/1Zaj_LqqblE9ljm9Vk4bjin8k36q5v-2KIbGMNkYHJhU/edit?gid=0" TargetMode="External"/><Relationship Id="rId653" Type="http://schemas.openxmlformats.org/officeDocument/2006/relationships/hyperlink" Target="https://docs.google.com/spreadsheets/d/1YfH_hAh0gYM-DeYHx4oLIt14zvOkmCxxbrKZmSEu_5k/edit?gid=0" TargetMode="External"/><Relationship Id="rId895" Type="http://schemas.openxmlformats.org/officeDocument/2006/relationships/hyperlink" Target="https://drive.google.com/file/d/1WwLY1lQi2XiSE0OtUotd4iudcZnmUB5t/view?usp=sharing" TargetMode="External"/><Relationship Id="rId410" Type="http://schemas.openxmlformats.org/officeDocument/2006/relationships/hyperlink" Target="https://drive.google.com/file/d/1h4VAVdnpYwVJWfv9Am07uX69gQjmocj4/view?usp=sharing" TargetMode="External"/><Relationship Id="rId652" Type="http://schemas.openxmlformats.org/officeDocument/2006/relationships/hyperlink" Target="https://sodimac.falabella.com.pe/sodimac-pe/product/113316148/Brocha-TUMI-Multiuso-1''/113316153?exp=sodimac" TargetMode="External"/><Relationship Id="rId894" Type="http://schemas.openxmlformats.org/officeDocument/2006/relationships/hyperlink" Target="https://xianzhu.cl/producto/bandeja-metalica-32x22-cm/" TargetMode="External"/><Relationship Id="rId651" Type="http://schemas.openxmlformats.org/officeDocument/2006/relationships/hyperlink" Target="https://drive.google.com/file/d/1WwLY1lQi2XiSE0OtUotd4iudcZnmUB5t/view?usp=sharing" TargetMode="External"/><Relationship Id="rId893" Type="http://schemas.openxmlformats.org/officeDocument/2006/relationships/hyperlink" Target="https://xianzhu.cl/producto/bandeja-metalica-36x27-cm/" TargetMode="External"/><Relationship Id="rId650" Type="http://schemas.openxmlformats.org/officeDocument/2006/relationships/hyperlink" Target="https://www.uysa.com.pe/brocha-p-reposteria-silicona-con-mango-verde-de-abs-70067391/p?srsltid=AfmBOoo5FFHt3WEU0McXc8V9ycySDEQ00Ip0vMv2xUz8TIsp3JRRCTYh" TargetMode="External"/><Relationship Id="rId892" Type="http://schemas.openxmlformats.org/officeDocument/2006/relationships/hyperlink" Target="https://xianzhu.cl/producto/bandeja-metalica-40x30/" TargetMode="External"/><Relationship Id="rId206" Type="http://schemas.openxmlformats.org/officeDocument/2006/relationships/hyperlink" Target="https://www.promart.pe/tijera-para-tela-zigzag-de-modista-costura-tijera-zig-zag-de-21-5-cm-1000484340/p?srsltid=AfmBOoqjUzuLl82YcstVIWvSXnT-9isRR3H9CjZRXbbwi-mCzD6HnPSG" TargetMode="External"/><Relationship Id="rId448" Type="http://schemas.openxmlformats.org/officeDocument/2006/relationships/hyperlink" Target="https://docs.google.com/spreadsheets/d/1G2Nqx0X3mGh_zCBe6CX-YKqcCGeGAgnJm2xPPycLnEk/edit?gid=0" TargetMode="External"/><Relationship Id="rId205" Type="http://schemas.openxmlformats.org/officeDocument/2006/relationships/hyperlink" Target="https://www.plazavea.com.pe/tijera-para-tela-zigzag-de-modista-costura-tijera-zig-zag-de-21-5-cm-100879926/p?gclsrc=aw.ds&amp;gad_source=1&amp;gad_campaignid=22403266061&amp;gbraid=0AAAAAqXj2LrFQ2lXRwiMCjCHQnYJgWTvE&amp;gclid=CjwKCAjwgeLHBhBuEiwAL5gNEfX4akC0rM16uxZivsXpT8nSkaNrQLY47LqMid3rYN-2xS-PCObpdhoCZpAQAvD_BwE" TargetMode="External"/><Relationship Id="rId447" Type="http://schemas.openxmlformats.org/officeDocument/2006/relationships/hyperlink" Target="https://drive.google.com/file/d/18QObBMdkdbxawOmVcLCnjq1PR6AWIUKE/view?usp=sharing" TargetMode="External"/><Relationship Id="rId689" Type="http://schemas.openxmlformats.org/officeDocument/2006/relationships/hyperlink" Target="https://www.falabella.com.pe/falabella-pe/product/145601357/Cucharas-Medidoras-X-4-Blister-Facusa/145601359" TargetMode="External"/><Relationship Id="rId204" Type="http://schemas.openxmlformats.org/officeDocument/2006/relationships/hyperlink" Target="https://drive.google.com/file/d/1RNZe2IP36keeGBzZX22z8t0Z9uUbs0vG/view?usp=drive_link" TargetMode="External"/><Relationship Id="rId446" Type="http://schemas.openxmlformats.org/officeDocument/2006/relationships/hyperlink" Target="https://drive.google.com/drive/folders/1Q6KY0XfHbVu-HqzDMNEnR9FPIyB6K_X8" TargetMode="External"/><Relationship Id="rId688" Type="http://schemas.openxmlformats.org/officeDocument/2006/relationships/hyperlink" Target="https://docs.google.com/spreadsheets/d/1QF-DaJzJvWS3gqxtPBLbxh2eGVczIhu-063BQsMlR8w/edit?gid=0" TargetMode="External"/><Relationship Id="rId203" Type="http://schemas.openxmlformats.org/officeDocument/2006/relationships/hyperlink" Target="https://www.promart.pe/tijera-para-costura-7-pretul-23156-1001185282/p?gad_source=1&amp;gad_campaignid=22752513019&amp;gbraid=0AAAAADJIfAJq0PtvNUgRezlvl1vCQWQ24&amp;gclid=CjwKCAjwgeLHBhBuEiwAL5gNETjzwR3r3XQeU1T5lQNPbHM3DLzDz8VQsbjyLodTtq7Agkx68uXHwxoCcMQQAvD_BwE" TargetMode="External"/><Relationship Id="rId445" Type="http://schemas.openxmlformats.org/officeDocument/2006/relationships/hyperlink" Target="https://docs.google.com/spreadsheets/d/1yqdR7fa7TE2FF2vb4rwBRmve8pC86nZdqo-7O5_ppPQ/edit?gid=0" TargetMode="External"/><Relationship Id="rId687" Type="http://schemas.openxmlformats.org/officeDocument/2006/relationships/hyperlink" Target="https://drive.google.com/file/d/1_UHuH37ATrm911Ohx4aL_9Z3m--yiXpV/view?usp=sharing" TargetMode="External"/><Relationship Id="rId209" Type="http://schemas.openxmlformats.org/officeDocument/2006/relationships/hyperlink" Target="https://www.truper.com/ficha_tecnica/Juego-de-machuelos-y-tarrajas-60-piezas-3417.html?code=11443" TargetMode="External"/><Relationship Id="rId208" Type="http://schemas.openxmlformats.org/officeDocument/2006/relationships/hyperlink" Target="https://docs.google.com/spreadsheets/d/1WUZTrl6jUsFIqYzzP87qZsZffiSKltA3AucJDonRug4/edit?gid=0" TargetMode="External"/><Relationship Id="rId207" Type="http://schemas.openxmlformats.org/officeDocument/2006/relationships/hyperlink" Target="https://drive.google.com/file/d/18QObBMdkdbxawOmVcLCnjq1PR6AWIUKE/view?usp=sharing" TargetMode="External"/><Relationship Id="rId449" Type="http://schemas.openxmlformats.org/officeDocument/2006/relationships/hyperlink" Target="https://drive.google.com/drive/folders/1Q6KY0XfHbVu-HqzDMNEnR9FPIyB6K_X8" TargetMode="External"/><Relationship Id="rId440" Type="http://schemas.openxmlformats.org/officeDocument/2006/relationships/hyperlink" Target="https://drive.google.com/file/d/1BZ2N5EASu7KqA43xkUocI7QoYhjba-W1/view?usp=sharing" TargetMode="External"/><Relationship Id="rId682" Type="http://schemas.openxmlformats.org/officeDocument/2006/relationships/hyperlink" Target="https://drive.google.com/file/d/1YH9h9tbwIk3ZRor_6eb1LK55_rFPY5cG/view?usp=sharing" TargetMode="External"/><Relationship Id="rId681" Type="http://schemas.openxmlformats.org/officeDocument/2006/relationships/hyperlink" Target="https://drive.google.com/drive/folders/1Q6KY0XfHbVu-HqzDMNEnR9FPIyB6K_X8" TargetMode="External"/><Relationship Id="rId680" Type="http://schemas.openxmlformats.org/officeDocument/2006/relationships/hyperlink" Target="https://docs.google.com/spreadsheets/d/1qV2WZ7Ct2T-ZdmfuX-2PZ-N2Zo870x34RMMJKmd1ZdU/edit?gid=0" TargetMode="External"/><Relationship Id="rId202" Type="http://schemas.openxmlformats.org/officeDocument/2006/relationships/hyperlink" Target="https://drive.google.com/file/d/19sSBC0FOQ_QsRmAx5mfyquAyuga2DYf8/view?usp=drive_link" TargetMode="External"/><Relationship Id="rId444" Type="http://schemas.openxmlformats.org/officeDocument/2006/relationships/hyperlink" Target="https://drive.google.com/file/d/1I-M-Ra6pUId8KiuqWqyTcLG-tCLYFcq3/view?usp=sharing" TargetMode="External"/><Relationship Id="rId686" Type="http://schemas.openxmlformats.org/officeDocument/2006/relationships/hyperlink" Target="https://docs.google.com/spreadsheets/d/1Hk0FKLn_4g9tGaG_Ba5Fd2-LtDOv8wCDCJv6H0hn5LI/edit?gid=0" TargetMode="External"/><Relationship Id="rId201" Type="http://schemas.openxmlformats.org/officeDocument/2006/relationships/hyperlink" Target="https://www.promart.pe/tijera-para-costura-7-pretul-23156-1001185282/p?gad_source=1&amp;gad_campaignid=22752513019&amp;gbraid=0AAAAADJIfAJq0PtvNUgRezlvl1vCQWQ24&amp;gclid=CjwKCAjwgeLHBhBuEiwAL5gNETjzwR3r3XQeU1T5lQNPbHM3DLzDz8VQsbjyLodTtq7Agkx68uXHwxoCcMQQAvD_BwE" TargetMode="External"/><Relationship Id="rId443" Type="http://schemas.openxmlformats.org/officeDocument/2006/relationships/hyperlink" Target="https://docs.google.com/spreadsheets/d/1K38zJosTbr5Sk4a3prBd0GC2lpFNBaZb2x_P6Y7FnNk/edit?gid=0" TargetMode="External"/><Relationship Id="rId685" Type="http://schemas.openxmlformats.org/officeDocument/2006/relationships/hyperlink" Target="https://drive.google.com/file/d/1_UHuH37ATrm911Ohx4aL_9Z3m--yiXpV/view?usp=sharing" TargetMode="External"/><Relationship Id="rId200" Type="http://schemas.openxmlformats.org/officeDocument/2006/relationships/hyperlink" Target="https://drive.google.com/file/d/1XL1IYzGRBa2txG9GeVj5N4NksHX8srxi/view?usp=drive_link" TargetMode="External"/><Relationship Id="rId442" Type="http://schemas.openxmlformats.org/officeDocument/2006/relationships/hyperlink" Target="https://drive.google.com/file/d/1WwLY1lQi2XiSE0OtUotd4iudcZnmUB5t/view?usp=sharing" TargetMode="External"/><Relationship Id="rId684" Type="http://schemas.openxmlformats.org/officeDocument/2006/relationships/hyperlink" Target="https://drive.google.com/file/d/1a9MOhz98Zn8f65AKt7_XpbiuG0CVnG25/view?usp=sharing" TargetMode="External"/><Relationship Id="rId441" Type="http://schemas.openxmlformats.org/officeDocument/2006/relationships/hyperlink" Target="https://docs.google.com/spreadsheets/d/1A_pgNTShfHz3hAaL_4zVuC-kQvWtF0zMQUfW5V9uRk0/edit?gid=0" TargetMode="External"/><Relationship Id="rId683" Type="http://schemas.openxmlformats.org/officeDocument/2006/relationships/hyperlink" Target="https://docs.google.com/spreadsheets/d/179fclxn0WUjlKoatr7mBrmArfWU4y4mbpv4X91k-cT0/edit?gid=0" TargetMode="External"/><Relationship Id="rId437" Type="http://schemas.openxmlformats.org/officeDocument/2006/relationships/hyperlink" Target="https://docs.google.com/spreadsheets/d/1StjDAFTmO6ma3r-YDJ47OoBX1bfObf4OzyO7pi3Ol_0/edit?gid=0" TargetMode="External"/><Relationship Id="rId679" Type="http://schemas.openxmlformats.org/officeDocument/2006/relationships/hyperlink" Target="https://drive.google.com/file/d/1YH9h9tbwIk3ZRor_6eb1LK55_rFPY5cG/view?usp=sharing" TargetMode="External"/><Relationship Id="rId436" Type="http://schemas.openxmlformats.org/officeDocument/2006/relationships/hyperlink" Target="https://drive.google.com/file/d/1I-M-Ra6pUId8KiuqWqyTcLG-tCLYFcq3/view?usp=sharing" TargetMode="External"/><Relationship Id="rId678" Type="http://schemas.openxmlformats.org/officeDocument/2006/relationships/hyperlink" Target="https://drive.google.com/drive/folders/1Q6KY0XfHbVu-HqzDMNEnR9FPIyB6K_X8" TargetMode="External"/><Relationship Id="rId435" Type="http://schemas.openxmlformats.org/officeDocument/2006/relationships/hyperlink" Target="https://www.amazon.com/-/es/60-Whitworth-herramientas-medici%C3%B3n-tornillo/dp/B07SHGD5RZ?qty=3" TargetMode="External"/><Relationship Id="rId677" Type="http://schemas.openxmlformats.org/officeDocument/2006/relationships/hyperlink" Target="https://docs.google.com/spreadsheets/d/1ZtOAhhvNU9uR4rwB4tgQPPndPDQ36YjbGVQAWpSBJtY/edit?gid=0" TargetMode="External"/><Relationship Id="rId434" Type="http://schemas.openxmlformats.org/officeDocument/2006/relationships/hyperlink" Target="https://docs.google.com/spreadsheets/d/1wW6NpzU7BVeCBXEupM8e0pYXWUkuCuCX-VNq1T3pSdc/edit?gid=0" TargetMode="External"/><Relationship Id="rId676" Type="http://schemas.openxmlformats.org/officeDocument/2006/relationships/hyperlink" Target="https://drive.google.com/file/d/1_UHuH37ATrm911Ohx4aL_9Z3m--yiXpV/view?usp=sharing" TargetMode="External"/><Relationship Id="rId439" Type="http://schemas.openxmlformats.org/officeDocument/2006/relationships/hyperlink" Target="https://docs.google.com/spreadsheets/d/1ohCcOMvveJw1l-dckfRV82MlaF7S4nsXev1nrq6a7wk/edit?gid=0" TargetMode="External"/><Relationship Id="rId438" Type="http://schemas.openxmlformats.org/officeDocument/2006/relationships/hyperlink" Target="https://drive.google.com/file/d/1h4VAVdnpYwVJWfv9Am07uX69gQjmocj4/view?usp=sharing" TargetMode="External"/><Relationship Id="rId671" Type="http://schemas.openxmlformats.org/officeDocument/2006/relationships/hyperlink" Target="https://gamypasamaneria.com/products/cinta-metrica-de-150cm?srsltid=AfmBOorrFfUk2--5etAXftU4N-xGSK6I3B6vc8FIAZG8wFxxK311i7Ld" TargetMode="External"/><Relationship Id="rId670" Type="http://schemas.openxmlformats.org/officeDocument/2006/relationships/hyperlink" Target="https://docs.google.com/spreadsheets/d/1r9a1SeJRxPTJOA-d0QK3-hRN8lM2r833Ol6M-q1UbuU/edit?gid=0" TargetMode="External"/><Relationship Id="rId433" Type="http://schemas.openxmlformats.org/officeDocument/2006/relationships/hyperlink" Target="https://drive.google.com/file/d/1h4VAVdnpYwVJWfv9Am07uX69gQjmocj4/view?usp=sharing" TargetMode="External"/><Relationship Id="rId675" Type="http://schemas.openxmlformats.org/officeDocument/2006/relationships/hyperlink" Target="https://docs.google.com/spreadsheets/d/1GY8EkhcmRqCPcW3XSNGanN2276ZQJG_D2zDtI9E7XLE/edit?gid=0" TargetMode="External"/><Relationship Id="rId432" Type="http://schemas.openxmlformats.org/officeDocument/2006/relationships/hyperlink" Target="https://docs.google.com/spreadsheets/d/1SrLnYmOSIs0x_evu0ixLGyzq3AjJtaUone1S9q1Bq_I/edit?gid=0" TargetMode="External"/><Relationship Id="rId674" Type="http://schemas.openxmlformats.org/officeDocument/2006/relationships/hyperlink" Target="https://drive.google.com/file/d/1_UHuH37ATrm911Ohx4aL_9Z3m--yiXpV/view?usp=sharing" TargetMode="External"/><Relationship Id="rId431" Type="http://schemas.openxmlformats.org/officeDocument/2006/relationships/hyperlink" Target="https://drive.google.com/file/d/1h4VAVdnpYwVJWfv9Am07uX69gQjmocj4/view?usp=sharing" TargetMode="External"/><Relationship Id="rId673" Type="http://schemas.openxmlformats.org/officeDocument/2006/relationships/hyperlink" Target="https://docs.google.com/spreadsheets/d/13qnBE6X2j5pV_qI8jCO24YilHGEHV7kFpi4zdh5l2tI/edit?gid=0" TargetMode="External"/><Relationship Id="rId430" Type="http://schemas.openxmlformats.org/officeDocument/2006/relationships/hyperlink" Target="https://docs.google.com/spreadsheets/d/1KjuFh4fA-cP06ZjAdRJFNkIJl4MKBooySAI74GCH064/edit?gid=0" TargetMode="External"/><Relationship Id="rId672" Type="http://schemas.openxmlformats.org/officeDocument/2006/relationships/hyperlink" Target="https://drive.google.com/file/d/1YH9h9tbwIk3ZRor_6eb1LK55_rFPY5cG/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file/d/1_UHuH37ATrm911Ohx4aL_9Z3m--yiXpV/view?usp=sharing" TargetMode="External"/><Relationship Id="rId3" Type="http://schemas.openxmlformats.org/officeDocument/2006/relationships/hyperlink" Target="https://docs.google.com/spreadsheets/d/1qsed-ooMM-G51R1JsLleTGsDShFGQ6IjIgGx1Ea47EM/edit?gid=0" TargetMode="External"/><Relationship Id="rId4" Type="http://schemas.openxmlformats.org/officeDocument/2006/relationships/hyperlink" Target="https://hiraoka.com.pe/memoria-sd-sandisk-extreme-128gb?gsImpressionId=01K60TSK6EGPRPNMRVY30B8ZKX" TargetMode="External"/><Relationship Id="rId9" Type="http://schemas.openxmlformats.org/officeDocument/2006/relationships/hyperlink" Target="https://docs.google.com/spreadsheets/d/1W6920Y3J8THitY_6gbiOXcLsCA7-rCRtWVskOFWIGco/edit?gid=0" TargetMode="External"/><Relationship Id="rId5" Type="http://schemas.openxmlformats.org/officeDocument/2006/relationships/hyperlink" Target="https://drive.google.com/file/d/15II6pN8lLiJghCcshC2bnO6ky1nJkwg1/view?usp=sharing" TargetMode="External"/><Relationship Id="rId6" Type="http://schemas.openxmlformats.org/officeDocument/2006/relationships/hyperlink" Target="https://docs.google.com/spreadsheets/d/13CI48RWhQJOYPfEYU2Ic5B05qrECQR_FXC4v4WTGBnE/edit?gid=0" TargetMode="External"/><Relationship Id="rId7" Type="http://schemas.openxmlformats.org/officeDocument/2006/relationships/hyperlink" Target="https://hiraoka.com.pe/memoria-sd-sandisk-extreme-128gb?gsImpressionId=01K60TSK6EGPRPNMRVY30B8ZKX" TargetMode="External"/><Relationship Id="rId8" Type="http://schemas.openxmlformats.org/officeDocument/2006/relationships/hyperlink" Target="https://drive.google.com/file/d/1I-M-Ra6pUId8KiuqWqyTcLG-tCLYFcq3/view?usp=sharing" TargetMode="External"/><Relationship Id="rId40" Type="http://schemas.openxmlformats.org/officeDocument/2006/relationships/hyperlink" Target="https://docs.google.com/spreadsheets/d/1N9PyygbzqwcLlSGoUqsPi_nyfBWeOAecQnAFAeJHQ80/edit?gid=0" TargetMode="External"/><Relationship Id="rId42" Type="http://schemas.openxmlformats.org/officeDocument/2006/relationships/hyperlink" Target="https://docs.google.com/spreadsheets/d/19fAJN4GCzKGbEfaBKx2hyDffLdylENYTZ4lnco_pQNw/edit?gid=0" TargetMode="External"/><Relationship Id="rId41" Type="http://schemas.openxmlformats.org/officeDocument/2006/relationships/hyperlink" Target="https://drive.google.com/file/d/1gVHd7eSNvjmDXUMFxdFWQy6anW_O3NP3/view?usp=sharing" TargetMode="External"/><Relationship Id="rId44" Type="http://schemas.openxmlformats.org/officeDocument/2006/relationships/hyperlink" Target="https://www.falabella.com.pe/falabella-pe/product/118529547/Cable-usb-tipo-c-carga-rapida-24a-ultra-durabilidad-nylon/118529549?kid=shopp44fc&amp;gclsrc=aw.ds&amp;gad_source=1&amp;gad_campaignid=20114538213&amp;gbraid=0AAAAADs9MO0Sn2urOoC5KlT0gE7iByXNI&amp;gclid=Cj0KCQiAq7HIBhDoARIsAOATDxBaAvznZ5nEmflUxGaDGXQyQnrcHbqLgqYQIg6C4fsWhhlDm8OqDW4aAmH1EALw_wcB" TargetMode="External"/><Relationship Id="rId43" Type="http://schemas.openxmlformats.org/officeDocument/2006/relationships/hyperlink" Target="https://www.amazon.com/-/es/ProCase-Lenovo-pulgadas-TB311FU-TB311XU/dp/B0DY7FXXBC?th=1" TargetMode="External"/><Relationship Id="rId46" Type="http://schemas.openxmlformats.org/officeDocument/2006/relationships/hyperlink" Target="https://docs.google.com/spreadsheets/d/1GjTBORWhYeeATqeQxFC-yhhfMpiM14Qi6md5TgqV-1c/edit?gid=0" TargetMode="External"/><Relationship Id="rId45" Type="http://schemas.openxmlformats.org/officeDocument/2006/relationships/hyperlink" Target="https://drive.google.com/file/d/1I-M-Ra6pUId8KiuqWqyTcLG-tCLYFcq3/view?usp=sharing" TargetMode="External"/><Relationship Id="rId48" Type="http://schemas.openxmlformats.org/officeDocument/2006/relationships/vmlDrawing" Target="../drawings/vmlDrawing3.vml"/><Relationship Id="rId47" Type="http://schemas.openxmlformats.org/officeDocument/2006/relationships/drawing" Target="../drawings/drawing3.xml"/><Relationship Id="rId31" Type="http://schemas.openxmlformats.org/officeDocument/2006/relationships/hyperlink" Target="https://drive.google.com/file/d/1I-M-Ra6pUId8KiuqWqyTcLG-tCLYFcq3/view?usp=sharing" TargetMode="External"/><Relationship Id="rId30" Type="http://schemas.openxmlformats.org/officeDocument/2006/relationships/hyperlink" Target="https://drive.google.com/file/d/1VDdefA5K0gwaHf8YECFnAawJWK7dIb3T/view?usp=drive_link" TargetMode="External"/><Relationship Id="rId33" Type="http://schemas.openxmlformats.org/officeDocument/2006/relationships/hyperlink" Target="https://www.oechsle.pe/adaptador-estereo-de-1-4--macho-a-1-8--hembra-1001068616/p?srsltid=AfmBOopMgCPhPIoP8JuwHiWomkJpTOzKh-J8apsNd5J0JSw5oNE0sBjC" TargetMode="External"/><Relationship Id="rId32" Type="http://schemas.openxmlformats.org/officeDocument/2006/relationships/hyperlink" Target="https://docs.google.com/spreadsheets/d/1tzfgFlwTOvGy3EEt2SBPVEwOvALks-cXwpHS86W9vCQ/edit?gid=0" TargetMode="External"/><Relationship Id="rId35" Type="http://schemas.openxmlformats.org/officeDocument/2006/relationships/hyperlink" Target="https://docs.google.com/spreadsheets/d/1AVQzgU3oM784FekK5gfZtDUFKYnGOsGnXF6eeh1BLgY/edit?usp=sharing" TargetMode="External"/><Relationship Id="rId34" Type="http://schemas.openxmlformats.org/officeDocument/2006/relationships/hyperlink" Target="https://drive.google.com/file/d/1_UHuH37ATrm911Ohx4aL_9Z3m--yiXpV/view?usp=sharing" TargetMode="External"/><Relationship Id="rId37" Type="http://schemas.openxmlformats.org/officeDocument/2006/relationships/hyperlink" Target="https://drive.google.com/file/d/1I-M-Ra6pUId8KiuqWqyTcLG-tCLYFcq3/view?usp=sharing" TargetMode="External"/><Relationship Id="rId36" Type="http://schemas.openxmlformats.org/officeDocument/2006/relationships/hyperlink" Target="https://www.falabella.com.pe/falabella-pe/product/144697787/Cable-Adaptador-Hdmi-a-Vga-1080p-Imagen-Monitor-Pantalla/144697788?kid=shopp44fc&amp;gclsrc=aw.ds&amp;gad_source=1&amp;gad_campaignid=20114538213&amp;gbraid=0AAAAADs9MO0Sn2urOoC5KlT0gE7iByXNI&amp;gclid=Cj0KCQiAq7HIBhDoARIsAOATDxCyMcYE-Yxr2gA5qUlOa8iSAdQubsYZDRGOKfh3PhyN5o6biPmg4XUaAtJ_EALw_wcB" TargetMode="External"/><Relationship Id="rId39" Type="http://schemas.openxmlformats.org/officeDocument/2006/relationships/hyperlink" Target="https://drive.google.com/file/d/1I-M-Ra6pUId8KiuqWqyTcLG-tCLYFcq3/view?usp=sharing" TargetMode="External"/><Relationship Id="rId38" Type="http://schemas.openxmlformats.org/officeDocument/2006/relationships/hyperlink" Target="https://docs.google.com/spreadsheets/d/1c78kkVBTGOoEDVQB3e_0ZCqJTMVeKMwGh9RRptnpx5A/edit?gid=0" TargetMode="External"/><Relationship Id="rId20" Type="http://schemas.openxmlformats.org/officeDocument/2006/relationships/hyperlink" Target="https://docs.google.com/spreadsheets/d/1_O6dnq6ay--1FLwNVcSgrI-jHwEH6PW-oy01vqRAA5E/edit?gid=0" TargetMode="External"/><Relationship Id="rId22" Type="http://schemas.openxmlformats.org/officeDocument/2006/relationships/hyperlink" Target="https://docs.google.com/spreadsheets/d/1Yh6XRoLw_DStoLOpCMeejDugf1f5gy8uy4kZdTlB0pA/edit?gid=0" TargetMode="External"/><Relationship Id="rId21" Type="http://schemas.openxmlformats.org/officeDocument/2006/relationships/hyperlink" Target="https://drive.google.com/file/d/1YH9h9tbwIk3ZRor_6eb1LK55_rFPY5cG/view?usp=sharing" TargetMode="External"/><Relationship Id="rId24" Type="http://schemas.openxmlformats.org/officeDocument/2006/relationships/hyperlink" Target="https://www.coolbox.pe/microfono-teraware-jtht101-conexion-jtht101/p" TargetMode="External"/><Relationship Id="rId23" Type="http://schemas.openxmlformats.org/officeDocument/2006/relationships/hyperlink" Target="https://drive.google.com/file/d/1AwHGFgXhnn7iUkrkvPPtKC16_D8m6l6X/view?usp=drive_link" TargetMode="External"/><Relationship Id="rId26" Type="http://schemas.openxmlformats.org/officeDocument/2006/relationships/hyperlink" Target="https://docs.google.com/spreadsheets/d/1YErqJ3cewaCiyCT8pmIaZ36UirsyKm_q9C9YFuySVWE/edit?gid=0" TargetMode="External"/><Relationship Id="rId25" Type="http://schemas.openxmlformats.org/officeDocument/2006/relationships/hyperlink" Target="https://drive.google.com/file/d/1h4VAVdnpYwVJWfv9Am07uX69gQjmocj4/view?usp=sharing" TargetMode="External"/><Relationship Id="rId28" Type="http://schemas.openxmlformats.org/officeDocument/2006/relationships/hyperlink" Target="https://drive.google.com/file/d/1YH9h9tbwIk3ZRor_6eb1LK55_rFPY5cG/view?usp=sharing" TargetMode="External"/><Relationship Id="rId27" Type="http://schemas.openxmlformats.org/officeDocument/2006/relationships/hyperlink" Target="https://drive.google.com/file/d/1VDdefA5K0gwaHf8YECFnAawJWK7dIb3T/view?usp=drive_link" TargetMode="External"/><Relationship Id="rId29" Type="http://schemas.openxmlformats.org/officeDocument/2006/relationships/hyperlink" Target="https://docs.google.com/spreadsheets/d/1Wy6eq7tg6Thj1LXz8frjOLBkpJIgptYiRiOFSt1GZTc/edit?gid=0" TargetMode="External"/><Relationship Id="rId11" Type="http://schemas.openxmlformats.org/officeDocument/2006/relationships/hyperlink" Target="https://www.falabella.com.pe/falabella-pe/product/118868245/Sandisk-memoria-SD-32gb-EXTREME-PRO-V30-U3-4k-uhd/118868248" TargetMode="External"/><Relationship Id="rId10" Type="http://schemas.openxmlformats.org/officeDocument/2006/relationships/hyperlink" Target="https://drive.google.com/file/d/1oyWmzNsWfb02rQpgeFxS1entcAKZyx5H/view?usp=sharing" TargetMode="External"/><Relationship Id="rId13" Type="http://schemas.openxmlformats.org/officeDocument/2006/relationships/hyperlink" Target="https://docs.google.com/spreadsheets/d/1CXiFlOvUW_kJWeYaYSws44Q2n7CSTQEiGZlNsSoXRNw/edit?usp=sharing" TargetMode="External"/><Relationship Id="rId12" Type="http://schemas.openxmlformats.org/officeDocument/2006/relationships/hyperlink" Target="https://drive.google.com/file/d/1WwLY1lQi2XiSE0OtUotd4iudcZnmUB5t/view?usp=sharing" TargetMode="External"/><Relationship Id="rId15" Type="http://schemas.openxmlformats.org/officeDocument/2006/relationships/hyperlink" Target="https://drive.google.com/file/d/1I-M-Ra6pUId8KiuqWqyTcLG-tCLYFcq3/view?usp=sharing" TargetMode="External"/><Relationship Id="rId14" Type="http://schemas.openxmlformats.org/officeDocument/2006/relationships/hyperlink" Target="https://www.promart.pe/regulador-de-voltaje-cdp-ru-avr604i-600va300w-170-270-vac-1001258365/p?gad_source=1&amp;gad_campaignid=22581639037&amp;gbraid=0AAAAADJIfALmMF6WkXws1jR-p8iORls6q&amp;gclid=Cj0KCQiAq7HIBhDoARIsAOATDxBSF54XNQ0aCJ9RIbhtOydGpZnTftnKbjv7XTwiTdcktIpg3EqPcq4aAix7EALw_wcB" TargetMode="External"/><Relationship Id="rId17" Type="http://schemas.openxmlformats.org/officeDocument/2006/relationships/hyperlink" Target="https://drive.google.com/file/d/1gVHd7eSNvjmDXUMFxdFWQy6anW_O3NP3/view?usp=sharing" TargetMode="External"/><Relationship Id="rId16" Type="http://schemas.openxmlformats.org/officeDocument/2006/relationships/hyperlink" Target="https://docs.google.com/spreadsheets/d/14Tnrp_thDovpllLwYWvJNuW0jfafGYv95R_w6iNpU7s/edit?usp=sharing" TargetMode="External"/><Relationship Id="rId19" Type="http://schemas.openxmlformats.org/officeDocument/2006/relationships/hyperlink" Target="https://drive.google.com/file/d/1I-M-Ra6pUId8KiuqWqyTcLG-tCLYFcq3/view?usp=sharing" TargetMode="External"/><Relationship Id="rId18" Type="http://schemas.openxmlformats.org/officeDocument/2006/relationships/hyperlink" Target="https://docs.google.com/spreadsheets/d/1XTibonuPGwZi0AdDED1ZVDrM8Na53zcjw_FbQUeIPTg/edit?gid=0"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file/d/15II6pN8lLiJghCcshC2bnO6ky1nJkwg1/view?usp=sharing" TargetMode="External"/><Relationship Id="rId3" Type="http://schemas.openxmlformats.org/officeDocument/2006/relationships/hyperlink" Target="https://docs.google.com/spreadsheets/d/186GyeMOV41nyCOigEZwKiefye5Fyln6sYCvTGorsWE0/edit?gid=0" TargetMode="External"/><Relationship Id="rId4" Type="http://schemas.openxmlformats.org/officeDocument/2006/relationships/hyperlink" Target="https://drive.google.com/file/d/1YH9h9tbwIk3ZRor_6eb1LK55_rFPY5cG/view?usp=sharing" TargetMode="External"/><Relationship Id="rId9" Type="http://schemas.openxmlformats.org/officeDocument/2006/relationships/hyperlink" Target="https://docs.google.com/spreadsheets/d/1qsslb98OchJY-YVsIzpQQvd1wsNJ8VKfwM3yS70NsOA/edit?gid=0" TargetMode="External"/><Relationship Id="rId5" Type="http://schemas.openxmlformats.org/officeDocument/2006/relationships/hyperlink" Target="https://docs.google.com/spreadsheets/d/1mH66m15aajFIOmPG5cmyDs4tDS9_I4IYZLfTRe71FfA/edit?gid=0" TargetMode="External"/><Relationship Id="rId6" Type="http://schemas.openxmlformats.org/officeDocument/2006/relationships/hyperlink" Target="https://drive.google.com/file/d/1h4VAVdnpYwVJWfv9Am07uX69gQjmocj4/view?usp=sharing" TargetMode="External"/><Relationship Id="rId7" Type="http://schemas.openxmlformats.org/officeDocument/2006/relationships/hyperlink" Target="https://docs.google.com/spreadsheets/d/198QUumre_KUE-tVu-JU7AIqY-2NPfI8hzu9zdxOF8E0/edit?gid=0" TargetMode="External"/><Relationship Id="rId8" Type="http://schemas.openxmlformats.org/officeDocument/2006/relationships/hyperlink" Target="https://drive.google.com/file/d/1YH9h9tbwIk3ZRor_6eb1LK55_rFPY5cG/view?usp=sharing" TargetMode="External"/><Relationship Id="rId20" Type="http://schemas.openxmlformats.org/officeDocument/2006/relationships/hyperlink" Target="https://drive.google.com/file/d/1WwLY1lQi2XiSE0OtUotd4iudcZnmUB5t/view?usp=sharing" TargetMode="External"/><Relationship Id="rId22" Type="http://schemas.openxmlformats.org/officeDocument/2006/relationships/hyperlink" Target="https://drive.google.com/file/d/18QObBMdkdbxawOmVcLCnjq1PR6AWIUKE/view?usp=sharing" TargetMode="External"/><Relationship Id="rId21" Type="http://schemas.openxmlformats.org/officeDocument/2006/relationships/hyperlink" Target="https://docs.google.com/spreadsheets/d/1LX97_GNW45mg7IDkQ9jlLVfY81f61vqKjCLs8KBQ1J8/edit?gid=0" TargetMode="External"/><Relationship Id="rId24" Type="http://schemas.openxmlformats.org/officeDocument/2006/relationships/hyperlink" Target="https://drive.google.com/file/d/1h4VAVdnpYwVJWfv9Am07uX69gQjmocj4/view?usp=sharing" TargetMode="External"/><Relationship Id="rId23" Type="http://schemas.openxmlformats.org/officeDocument/2006/relationships/hyperlink" Target="https://docs.google.com/spreadsheets/d/1dI5duHCZhDX88K5mrXzPNRlPsbHHV753h1sxX2jtMjc/edit?usp=sharing" TargetMode="External"/><Relationship Id="rId26" Type="http://schemas.openxmlformats.org/officeDocument/2006/relationships/hyperlink" Target="https://drive.google.com/file/d/1YH9h9tbwIk3ZRor_6eb1LK55_rFPY5cG/view?usp=sharing" TargetMode="External"/><Relationship Id="rId25" Type="http://schemas.openxmlformats.org/officeDocument/2006/relationships/hyperlink" Target="https://docs.google.com/spreadsheets/d/1b2RvYjIuOUGM6PAqMV4xomqfCh8DUBgvTP6czzBMgy0/edit?gid=0" TargetMode="External"/><Relationship Id="rId28" Type="http://schemas.openxmlformats.org/officeDocument/2006/relationships/vmlDrawing" Target="../drawings/vmlDrawing4.vml"/><Relationship Id="rId27" Type="http://schemas.openxmlformats.org/officeDocument/2006/relationships/drawing" Target="../drawings/drawing4.xml"/><Relationship Id="rId11" Type="http://schemas.openxmlformats.org/officeDocument/2006/relationships/hyperlink" Target="https://docs.google.com/spreadsheets/d/1w3zl8Sr355iFfjbE7_4xsQlV0XR0xpd8e0c0fnNnmTI/edit?gid=0" TargetMode="External"/><Relationship Id="rId10" Type="http://schemas.openxmlformats.org/officeDocument/2006/relationships/hyperlink" Target="https://drive.google.com/file/d/1WwLY1lQi2XiSE0OtUotd4iudcZnmUB5t/view?usp=sharing" TargetMode="External"/><Relationship Id="rId13" Type="http://schemas.openxmlformats.org/officeDocument/2006/relationships/hyperlink" Target="https://docs.google.com/spreadsheets/d/1LDubierfZMAJZAcgAOHm9lUkQviQ1XGzP4TMLjhs60I/edit?gid=0" TargetMode="External"/><Relationship Id="rId12" Type="http://schemas.openxmlformats.org/officeDocument/2006/relationships/hyperlink" Target="https://drive.google.com/file/d/1_UHuH37ATrm911Ohx4aL_9Z3m--yiXpV/view?usp=sharing" TargetMode="External"/><Relationship Id="rId15" Type="http://schemas.openxmlformats.org/officeDocument/2006/relationships/hyperlink" Target="https://docs.google.com/spreadsheets/d/1kHCZP8I046Vk1IcXQ71qkDS-fG_sp6GNb9pBup2vdaI/edit?gid=0" TargetMode="External"/><Relationship Id="rId14" Type="http://schemas.openxmlformats.org/officeDocument/2006/relationships/hyperlink" Target="https://drive.google.com/file/d/1WwLY1lQi2XiSE0OtUotd4iudcZnmUB5t/view?usp=sharing" TargetMode="External"/><Relationship Id="rId17" Type="http://schemas.openxmlformats.org/officeDocument/2006/relationships/hyperlink" Target="https://docs.google.com/spreadsheets/d/1rwURIEM0U7o_35s9vt9_wuF_AZotrE-vl2YYpB9ml8U/edit?gid=0" TargetMode="External"/><Relationship Id="rId16" Type="http://schemas.openxmlformats.org/officeDocument/2006/relationships/hyperlink" Target="https://drive.google.com/file/d/1BZ2N5EASu7KqA43xkUocI7QoYhjba-W1/view?usp=sharing" TargetMode="External"/><Relationship Id="rId19" Type="http://schemas.openxmlformats.org/officeDocument/2006/relationships/hyperlink" Target="https://docs.google.com/spreadsheets/d/1FF15iPxi1_-Yj-hL3cuodkUEklGqBm-KqtmRXwwTNJ4/edit?gid=0" TargetMode="External"/><Relationship Id="rId18" Type="http://schemas.openxmlformats.org/officeDocument/2006/relationships/hyperlink" Target="https://drive.google.com/file/d/1WwLY1lQi2XiSE0OtUotd4iudcZnmUB5t/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ptmarket.com.pe/canon-eos-r10-con-lente-rf-s-18-45mm-f-3-5-6-3-is-stm.html?srsltid=AfmBOopY6MZJwJf4fCbuSXMFAZwfvVI--tSIecg-w_OzOLtASchaQEoU" TargetMode="External"/><Relationship Id="rId391" Type="http://schemas.openxmlformats.org/officeDocument/2006/relationships/hyperlink" Target="https://www.ptmarket.com.pe/canon-eos-r10-con-lente-rf-s-18-45mm-f-3-5-6-3-is-stm.html?srsltid=AfmBOopY6MZJwJf4fCbuSXMFAZwfvVI--tSIecg-w_OzOLtASchaQEoU" TargetMode="External"/><Relationship Id="rId390" Type="http://schemas.openxmlformats.org/officeDocument/2006/relationships/hyperlink" Target="https://www.ptmarket.com.pe/canon-eos-r10-con-lente-rf-s-18-45mm-f-3-5-6-3-is-stm.html?srsltid=AfmBOopY6MZJwJf4fCbuSXMFAZwfvVI--tSIecg-w_OzOLtASchaQEoU" TargetMode="External"/><Relationship Id="rId1" Type="http://schemas.openxmlformats.org/officeDocument/2006/relationships/hyperlink" Target="https://gamypasamaneria.com/products/abre-ojal?srsltid=AfmBOooYEvFFR1U7-RAUbn9NMRSAeWHLCISh3wsH42p8MKxVN1l-nOSQ" TargetMode="External"/><Relationship Id="rId2" Type="http://schemas.openxmlformats.org/officeDocument/2006/relationships/hyperlink" Target="https://drive.google.com/file/d/11rhhxZEt2R8ziCxcgS8jBIvfPOuhi72c/view?usp=sharing" TargetMode="External"/><Relationship Id="rId3" Type="http://schemas.openxmlformats.org/officeDocument/2006/relationships/hyperlink" Target="https://gamypasamaneria.com/products/abre-ojal?srsltid=AfmBOooYEvFFR1U7-RAUbn9NMRSAeWHLCISh3wsH42p8MKxVN1l-nOSQ" TargetMode="External"/><Relationship Id="rId4" Type="http://schemas.openxmlformats.org/officeDocument/2006/relationships/hyperlink" Target="https://gamypasamaneria.com/products/abre-ojal?srsltid=AfmBOooYEvFFR1U7-RAUbn9NMRSAeWHLCISh3wsH42p8MKxVN1l-nOSQ" TargetMode="External"/><Relationship Id="rId2180" Type="http://schemas.openxmlformats.org/officeDocument/2006/relationships/hyperlink" Target="https://www.promart.pe/mangas-para-soldador/p?srsltid=AfmBOor_-6Y1MGVnTHcdKUpGcUwzAVcASqztDw-5VPnPpS1WtgjBwVWY&amp;utm_source=chatgpt.com" TargetMode="External"/><Relationship Id="rId2181" Type="http://schemas.openxmlformats.org/officeDocument/2006/relationships/hyperlink" Target="https://docs.google.com/spreadsheets/d/1vZ6fyrXxKeoLSAimaLAUVqDwVg8sEAtpYoDBrYht9Nk/edit?gid=0" TargetMode="External"/><Relationship Id="rId2182" Type="http://schemas.openxmlformats.org/officeDocument/2006/relationships/hyperlink" Target="https://www.promart.pe/mangas-para-soldador/p?srsltid=AfmBOor_-6Y1MGVnTHcdKUpGcUwzAVcASqztDw-5VPnPpS1WtgjBwVWY&amp;utm_source=chatgpt.com" TargetMode="External"/><Relationship Id="rId2183" Type="http://schemas.openxmlformats.org/officeDocument/2006/relationships/hyperlink" Target="https://docs.google.com/spreadsheets/d/1vZ6fyrXxKeoLSAimaLAUVqDwVg8sEAtpYoDBrYht9Nk/edit?gid=0" TargetMode="External"/><Relationship Id="rId9" Type="http://schemas.openxmlformats.org/officeDocument/2006/relationships/hyperlink" Target="https://www.promart.pe/aceitera-con-pico-flecible-180-ml/p" TargetMode="External"/><Relationship Id="rId385" Type="http://schemas.openxmlformats.org/officeDocument/2006/relationships/hyperlink" Target="https://www.ptmarket.com.pe/canon-eos-r10-con-lente-rf-s-18-45mm-f-3-5-6-3-is-stm.html?srsltid=AfmBOopY6MZJwJf4fCbuSXMFAZwfvVI--tSIecg-w_OzOLtASchaQEoU" TargetMode="External"/><Relationship Id="rId2184" Type="http://schemas.openxmlformats.org/officeDocument/2006/relationships/hyperlink" Target="https://www.promart.pe/mangas-para-soldador/p?srsltid=AfmBOor_-6Y1MGVnTHcdKUpGcUwzAVcASqztDw-5VPnPpS1WtgjBwVWY&amp;utm_source=chatgpt.com" TargetMode="External"/><Relationship Id="rId384" Type="http://schemas.openxmlformats.org/officeDocument/2006/relationships/hyperlink" Target="https://www.ptmarket.com.pe/canon-eos-r10-con-lente-rf-s-18-45mm-f-3-5-6-3-is-stm.html?srsltid=AfmBOopY6MZJwJf4fCbuSXMFAZwfvVI--tSIecg-w_OzOLtASchaQEoU" TargetMode="External"/><Relationship Id="rId2185" Type="http://schemas.openxmlformats.org/officeDocument/2006/relationships/hyperlink" Target="https://docs.google.com/spreadsheets/d/1vZ6fyrXxKeoLSAimaLAUVqDwVg8sEAtpYoDBrYht9Nk/edit?gid=0" TargetMode="External"/><Relationship Id="rId383" Type="http://schemas.openxmlformats.org/officeDocument/2006/relationships/hyperlink" Target="https://store.eu.panasonic.com/es-es/hc-vx3e-k-videocamara-4k" TargetMode="External"/><Relationship Id="rId2186" Type="http://schemas.openxmlformats.org/officeDocument/2006/relationships/hyperlink" Target="https://www.cimasafety.com/careta-para-soldar-sellstrom-whp4000-adf-5-13--det--SEL-S26400" TargetMode="External"/><Relationship Id="rId382" Type="http://schemas.openxmlformats.org/officeDocument/2006/relationships/hyperlink" Target="https://es.rs-online.com/web/p/calibres/2455676" TargetMode="External"/><Relationship Id="rId2187" Type="http://schemas.openxmlformats.org/officeDocument/2006/relationships/hyperlink" Target="https://www.cimasafety.com/careta-para-soldar-sellstrom-whp4000-adf-5-13--det--SEL-S26400" TargetMode="External"/><Relationship Id="rId5" Type="http://schemas.openxmlformats.org/officeDocument/2006/relationships/hyperlink" Target="https://drive.google.com/file/d/11rhhxZEt2R8ziCxcgS8jBIvfPOuhi72c/view?usp=sharing" TargetMode="External"/><Relationship Id="rId389" Type="http://schemas.openxmlformats.org/officeDocument/2006/relationships/hyperlink" Target="https://www.ptmarket.com.pe/canon-eos-r10-con-lente-rf-s-18-45mm-f-3-5-6-3-is-stm.html?srsltid=AfmBOopY6MZJwJf4fCbuSXMFAZwfvVI--tSIecg-w_OzOLtASchaQEoU" TargetMode="External"/><Relationship Id="rId2188" Type="http://schemas.openxmlformats.org/officeDocument/2006/relationships/hyperlink" Target="https://www.cimasafety.com/careta-para-soldar-sellstrom-whp4000-adf-5-13--det--SEL-S26400" TargetMode="External"/><Relationship Id="rId6" Type="http://schemas.openxmlformats.org/officeDocument/2006/relationships/hyperlink" Target="https://gamypasamaneria.com/products/abre-ojal?srsltid=AfmBOooYEvFFR1U7-RAUbn9NMRSAeWHLCISh3wsH42p8MKxVN1l-nOSQ" TargetMode="External"/><Relationship Id="rId388" Type="http://schemas.openxmlformats.org/officeDocument/2006/relationships/hyperlink" Target="https://www.ptmarket.com.pe/canon-eos-r10-con-lente-rf-s-18-45mm-f-3-5-6-3-is-stm.html?srsltid=AfmBOopY6MZJwJf4fCbuSXMFAZwfvVI--tSIecg-w_OzOLtASchaQEoU" TargetMode="External"/><Relationship Id="rId2189" Type="http://schemas.openxmlformats.org/officeDocument/2006/relationships/hyperlink" Target="https://eppsperu.pe/producto/respirador-para-particulas-8214-3m/" TargetMode="External"/><Relationship Id="rId7" Type="http://schemas.openxmlformats.org/officeDocument/2006/relationships/hyperlink" Target="https://www.promart.pe/aceitera-con-pico-flecible-180-ml/p" TargetMode="External"/><Relationship Id="rId387" Type="http://schemas.openxmlformats.org/officeDocument/2006/relationships/hyperlink" Target="https://www.ptmarket.com.pe/canon-eos-r10-con-lente-rf-s-18-45mm-f-3-5-6-3-is-stm.html?srsltid=AfmBOopY6MZJwJf4fCbuSXMFAZwfvVI--tSIecg-w_OzOLtASchaQEoU" TargetMode="External"/><Relationship Id="rId8" Type="http://schemas.openxmlformats.org/officeDocument/2006/relationships/hyperlink" Target="https://drive.google.com/file/d/1p6XPzojAeS_phxGT1uTRm1wrHfx0kblq/view?usp=sharing" TargetMode="External"/><Relationship Id="rId386" Type="http://schemas.openxmlformats.org/officeDocument/2006/relationships/hyperlink" Target="https://www.ptmarket.com.pe/canon-eos-r10-con-lente-rf-s-18-45mm-f-3-5-6-3-is-stm.html?srsltid=AfmBOopY6MZJwJf4fCbuSXMFAZwfvVI--tSIecg-w_OzOLtASchaQEoU" TargetMode="External"/><Relationship Id="rId381" Type="http://schemas.openxmlformats.org/officeDocument/2006/relationships/hyperlink" Target="https://drive.google.com/file/d/1AN5fdi5ngmGIJsbsyZ0t29R4ekL1-nT3/view?usp=sharing" TargetMode="External"/><Relationship Id="rId380" Type="http://schemas.openxmlformats.org/officeDocument/2006/relationships/hyperlink" Target="https://es.rs-online.com/web/p/calibres/2455676" TargetMode="External"/><Relationship Id="rId379" Type="http://schemas.openxmlformats.org/officeDocument/2006/relationships/hyperlink" Target="https://store.eu.panasonic.com/es-es/hc-vx3e-k-videocamara-4k" TargetMode="External"/><Relationship Id="rId2170" Type="http://schemas.openxmlformats.org/officeDocument/2006/relationships/hyperlink" Target="https://clute.com.pe/tienda/proteccion-soldador/mandil-de-cuero-cromo/?utm_source=chatgpt.com" TargetMode="External"/><Relationship Id="rId2171" Type="http://schemas.openxmlformats.org/officeDocument/2006/relationships/hyperlink" Target="https://docs.google.com/spreadsheets/d/12GUsyMWy4406psaMlML0FNUQ4JGGnVwMX5QSIr3I_bo/edit?gid=0" TargetMode="External"/><Relationship Id="rId2172" Type="http://schemas.openxmlformats.org/officeDocument/2006/relationships/hyperlink" Target="https://clute.com.pe/tienda/proteccion-soldador/mandil-de-cuero-cromo/?utm_source=chatgpt.com" TargetMode="External"/><Relationship Id="rId374" Type="http://schemas.openxmlformats.org/officeDocument/2006/relationships/hyperlink" Target="https://store.eu.panasonic.com/es-es/hc-vx3e-k-videocamara-4k" TargetMode="External"/><Relationship Id="rId2173" Type="http://schemas.openxmlformats.org/officeDocument/2006/relationships/hyperlink" Target="https://docs.google.com/spreadsheets/d/12GUsyMWy4406psaMlML0FNUQ4JGGnVwMX5QSIr3I_bo/edit?gid=0" TargetMode="External"/><Relationship Id="rId373" Type="http://schemas.openxmlformats.org/officeDocument/2006/relationships/hyperlink" Target="https://store.eu.panasonic.com/es-es/hc-vx3e-k-videocamara-4k" TargetMode="External"/><Relationship Id="rId2174" Type="http://schemas.openxmlformats.org/officeDocument/2006/relationships/hyperlink" Target="https://mall.industry.siemens.com/mall/es/ms/Catalog/Product/6ED1052-1MD08-0BA2" TargetMode="External"/><Relationship Id="rId372" Type="http://schemas.openxmlformats.org/officeDocument/2006/relationships/hyperlink" Target="https://store.eu.panasonic.com/es-es/hc-vx3e-k-videocamara-4k" TargetMode="External"/><Relationship Id="rId2175" Type="http://schemas.openxmlformats.org/officeDocument/2006/relationships/hyperlink" Target="https://drive.google.com/file/d/1F1YvDARfFEmJLigHWWO_ogpw-tjlYeh_/view?usp=drive_link" TargetMode="External"/><Relationship Id="rId371" Type="http://schemas.openxmlformats.org/officeDocument/2006/relationships/hyperlink" Target="https://store.eu.panasonic.com/es-es/hc-vx3e-k-videocamara-4k" TargetMode="External"/><Relationship Id="rId2176" Type="http://schemas.openxmlformats.org/officeDocument/2006/relationships/hyperlink" Target="https://mall.industry.siemens.com/mall/es/ms/Catalog/Product/6ED1052-1MD08-0BA2" TargetMode="External"/><Relationship Id="rId378" Type="http://schemas.openxmlformats.org/officeDocument/2006/relationships/hyperlink" Target="https://store.eu.panasonic.com/es-es/hc-vx3e-k-videocamara-4k" TargetMode="External"/><Relationship Id="rId2177" Type="http://schemas.openxmlformats.org/officeDocument/2006/relationships/hyperlink" Target="https://drive.google.com/file/d/1F1YvDARfFEmJLigHWWO_ogpw-tjlYeh_/view?usp=drive_link" TargetMode="External"/><Relationship Id="rId377" Type="http://schemas.openxmlformats.org/officeDocument/2006/relationships/hyperlink" Target="https://store.eu.panasonic.com/es-es/hc-vx3e-k-videocamara-4k" TargetMode="External"/><Relationship Id="rId2178" Type="http://schemas.openxmlformats.org/officeDocument/2006/relationships/hyperlink" Target="https://mall.industry.siemens.com/mall/es/ms/Catalog/Product/6ED1052-1MD08-0BA2" TargetMode="External"/><Relationship Id="rId376" Type="http://schemas.openxmlformats.org/officeDocument/2006/relationships/hyperlink" Target="https://store.eu.panasonic.com/es-es/hc-vx3e-k-videocamara-4k" TargetMode="External"/><Relationship Id="rId2179" Type="http://schemas.openxmlformats.org/officeDocument/2006/relationships/hyperlink" Target="https://drive.google.com/file/d/1F1YvDARfFEmJLigHWWO_ogpw-tjlYeh_/view?usp=drive_link" TargetMode="External"/><Relationship Id="rId375" Type="http://schemas.openxmlformats.org/officeDocument/2006/relationships/hyperlink" Target="https://store.eu.panasonic.com/es-es/hc-vx3e-k-videocamara-4k" TargetMode="External"/><Relationship Id="rId2190" Type="http://schemas.openxmlformats.org/officeDocument/2006/relationships/hyperlink" Target="https://www.promart.pe/mascarilla-quirurgica-r-g-3-capas-3-pliegues-caja-50und-1000175500/p?srsltid=AfmBOoooMhuWzP_n9FQs405lrxSGjxUwEPmvrCs3aI8urGeX1dAba4GM" TargetMode="External"/><Relationship Id="rId2191" Type="http://schemas.openxmlformats.org/officeDocument/2006/relationships/hyperlink" Target="https://www.promart.pe/mascarilla-quirurgica-r-g-3-capas-3-pliegues-caja-50und-1000175500/p?srsltid=AfmBOoooMhuWzP_n9FQs405lrxSGjxUwEPmvrCs3aI8urGeX1dAba4GM" TargetMode="External"/><Relationship Id="rId2192" Type="http://schemas.openxmlformats.org/officeDocument/2006/relationships/hyperlink" Target="https://www.promart.pe/mascarilla-quirurgica-r-g-3-capas-3-pliegues-caja-50und-1000175500/p?srsltid=AfmBOoooMhuWzP_n9FQs405lrxSGjxUwEPmvrCs3aI8urGeX1dAba4GM" TargetMode="External"/><Relationship Id="rId2193" Type="http://schemas.openxmlformats.org/officeDocument/2006/relationships/hyperlink" Target="https://www.promart.pe/mascarilla-quirurgica-r-g-3-capas-3-pliegues-caja-50und-1000175500/p?srsltid=AfmBOoooMhuWzP_n9FQs405lrxSGjxUwEPmvrCs3aI8urGeX1dAba4GM" TargetMode="External"/><Relationship Id="rId2194" Type="http://schemas.openxmlformats.org/officeDocument/2006/relationships/hyperlink" Target="https://www.mercadolibre.cl/fresadora-bosch-gof-1600-ce-1600w-guia-llave/p/MLC13832787" TargetMode="External"/><Relationship Id="rId396" Type="http://schemas.openxmlformats.org/officeDocument/2006/relationships/hyperlink" Target="https://www.ptmarket.com.pe/canon-eos-r10-con-lente-rf-s-18-45mm-f-3-5-6-3-is-stm.html?srsltid=AfmBOopY6MZJwJf4fCbuSXMFAZwfvVI--tSIecg-w_OzOLtASchaQEoU" TargetMode="External"/><Relationship Id="rId2195" Type="http://schemas.openxmlformats.org/officeDocument/2006/relationships/hyperlink" Target="https://drive.google.com/file/d/1ZZNXU4cqtZk2aGqXmyTPTavgaYhWX6yI/view?usp=sharing" TargetMode="External"/><Relationship Id="rId395" Type="http://schemas.openxmlformats.org/officeDocument/2006/relationships/hyperlink" Target="https://www.ptmarket.com.pe/canon-eos-r10-con-lente-rf-s-18-45mm-f-3-5-6-3-is-stm.html?srsltid=AfmBOopY6MZJwJf4fCbuSXMFAZwfvVI--tSIecg-w_OzOLtASchaQEoU" TargetMode="External"/><Relationship Id="rId2196" Type="http://schemas.openxmlformats.org/officeDocument/2006/relationships/hyperlink" Target="https://sodimac.falabella.com.pe/sodimac-pe/product/117078584/SET-DE-12-FRESAS-PARA-RUTEADORA-8MM-INDUSTRIAL-TOTAL-TACSR1121/117078585?exp=sodimac" TargetMode="External"/><Relationship Id="rId394" Type="http://schemas.openxmlformats.org/officeDocument/2006/relationships/hyperlink" Target="https://www.ptmarket.com.pe/canon-eos-r10-con-lente-rf-s-18-45mm-f-3-5-6-3-is-stm.html?srsltid=AfmBOopY6MZJwJf4fCbuSXMFAZwfvVI--tSIecg-w_OzOLtASchaQEoU" TargetMode="External"/><Relationship Id="rId2197" Type="http://schemas.openxmlformats.org/officeDocument/2006/relationships/hyperlink" Target="https://www.mercadolibre.cl/fresadora-bosch-gof-1600-ce-1600w-guia-llave/p/MLC13832787" TargetMode="External"/><Relationship Id="rId393" Type="http://schemas.openxmlformats.org/officeDocument/2006/relationships/hyperlink" Target="https://www.ptmarket.com.pe/canon-eos-r10-con-lente-rf-s-18-45mm-f-3-5-6-3-is-stm.html?srsltid=AfmBOopY6MZJwJf4fCbuSXMFAZwfvVI--tSIecg-w_OzOLtASchaQEoU" TargetMode="External"/><Relationship Id="rId2198" Type="http://schemas.openxmlformats.org/officeDocument/2006/relationships/hyperlink" Target="https://drive.google.com/file/d/1ZZNXU4cqtZk2aGqXmyTPTavgaYhWX6yI/view?usp=sharing" TargetMode="External"/><Relationship Id="rId2199" Type="http://schemas.openxmlformats.org/officeDocument/2006/relationships/hyperlink" Target="https://sodimac.falabella.com.pe/sodimac-pe/product/117078584/SET-DE-12-FRESAS-PARA-RUTEADORA-8MM-INDUSTRIAL-TOTAL-TACSR1121/117078585?exp=sodimac" TargetMode="External"/><Relationship Id="rId399" Type="http://schemas.openxmlformats.org/officeDocument/2006/relationships/hyperlink" Target="https://www.ptmarket.com.pe/canon-eos-r10-con-lente-rf-s-18-45mm-f-3-5-6-3-is-stm.html?srsltid=AfmBOopY6MZJwJf4fCbuSXMFAZwfvVI--tSIecg-w_OzOLtASchaQEoU" TargetMode="External"/><Relationship Id="rId398" Type="http://schemas.openxmlformats.org/officeDocument/2006/relationships/hyperlink" Target="https://www.ptmarket.com.pe/canon-eos-r10-con-lente-rf-s-18-45mm-f-3-5-6-3-is-stm.html?srsltid=AfmBOopY6MZJwJf4fCbuSXMFAZwfvVI--tSIecg-w_OzOLtASchaQEoU" TargetMode="External"/><Relationship Id="rId397" Type="http://schemas.openxmlformats.org/officeDocument/2006/relationships/hyperlink" Target="https://www.ptmarket.com.pe/canon-eos-r10-con-lente-rf-s-18-45mm-f-3-5-6-3-is-stm.html?srsltid=AfmBOopY6MZJwJf4fCbuSXMFAZwfvVI--tSIecg-w_OzOLtASchaQEoU" TargetMode="External"/><Relationship Id="rId1730" Type="http://schemas.openxmlformats.org/officeDocument/2006/relationships/hyperlink" Target="https://docs.google.com/spreadsheets/d/1unPFUNvnzOK7zn2OJMGXwJGlS0bFeYiBWtuiY9IDYx0/edit?gid=0" TargetMode="External"/><Relationship Id="rId1731" Type="http://schemas.openxmlformats.org/officeDocument/2006/relationships/hyperlink" Target="https://drive.google.com/file/d/1AIVHeRGhe00m9JHSKLG1x7P_mwCLC4Cc/view?usp=sharing" TargetMode="External"/><Relationship Id="rId1732" Type="http://schemas.openxmlformats.org/officeDocument/2006/relationships/hyperlink" Target="https://drive.google.com/file/d/1AIVHeRGhe00m9JHSKLG1x7P_mwCLC4Cc/view" TargetMode="External"/><Relationship Id="rId1733" Type="http://schemas.openxmlformats.org/officeDocument/2006/relationships/hyperlink" Target="https://docs.google.com/spreadsheets/d/1unPFUNvnzOK7zn2OJMGXwJGlS0bFeYiBWtuiY9IDYx0/edit?gid=0" TargetMode="External"/><Relationship Id="rId1734" Type="http://schemas.openxmlformats.org/officeDocument/2006/relationships/hyperlink" Target="https://drive.google.com/file/d/1AIVHeRGhe00m9JHSKLG1x7P_mwCLC4Cc/view?usp=sharing" TargetMode="External"/><Relationship Id="rId1735" Type="http://schemas.openxmlformats.org/officeDocument/2006/relationships/hyperlink" Target="https://firemansperu.com/productos/extintores-firemans/dioxido-de-carbono/" TargetMode="External"/><Relationship Id="rId1736" Type="http://schemas.openxmlformats.org/officeDocument/2006/relationships/hyperlink" Target="https://drive.google.com/file/d/13XGaIKl-Sp6bbN4PtfDbSEI-iN4wre_o/view?usp=sharing" TargetMode="External"/><Relationship Id="rId1737" Type="http://schemas.openxmlformats.org/officeDocument/2006/relationships/hyperlink" Target="https://drive.google.com/file/d/1byA_73UIjPIjgUYo9ggvcuXUqvJoo8mm/view" TargetMode="External"/><Relationship Id="rId1738" Type="http://schemas.openxmlformats.org/officeDocument/2006/relationships/hyperlink" Target="https://drive.google.com/file/d/13XGaIKl-Sp6bbN4PtfDbSEI-iN4wre_o/view?usp=sharing" TargetMode="External"/><Relationship Id="rId1739" Type="http://schemas.openxmlformats.org/officeDocument/2006/relationships/hyperlink" Target="https://drive.google.com/file/d/1byA_73UIjPIjgUYo9ggvcuXUqvJoo8mm/view" TargetMode="External"/><Relationship Id="rId1720" Type="http://schemas.openxmlformats.org/officeDocument/2006/relationships/hyperlink" Target="https://drive.google.com/file/d/1LuVwLMnmPPsANbLTrvXmtZYO0lEkGO4E/view" TargetMode="External"/><Relationship Id="rId1721" Type="http://schemas.openxmlformats.org/officeDocument/2006/relationships/hyperlink" Target="https://drive.google.com/file/d/1LuVwLMnmPPsANbLTrvXmtZYO0lEkGO4E/view" TargetMode="External"/><Relationship Id="rId1722" Type="http://schemas.openxmlformats.org/officeDocument/2006/relationships/hyperlink" Target="https://drive.google.com/file/d/1LuVwLMnmPPsANbLTrvXmtZYO0lEkGO4E/view" TargetMode="External"/><Relationship Id="rId1723" Type="http://schemas.openxmlformats.org/officeDocument/2006/relationships/hyperlink" Target="https://docs.google.com/spreadsheets/d/1ZbJwCNKfEnpacrUjWzwIuLTtr0-inU9Fa_KHBY0AHGk/edit?gid=0" TargetMode="External"/><Relationship Id="rId1724" Type="http://schemas.openxmlformats.org/officeDocument/2006/relationships/hyperlink" Target="https://drive.google.com/file/d/1v1Xf9px0ktf3twzswL6hU78X7hHpzbSn/view?usp=sharing" TargetMode="External"/><Relationship Id="rId1725" Type="http://schemas.openxmlformats.org/officeDocument/2006/relationships/hyperlink" Target="https://docs.google.com/spreadsheets/d/1ZbJwCNKfEnpacrUjWzwIuLTtr0-inU9Fa_KHBY0AHGk/edit?gid=0" TargetMode="External"/><Relationship Id="rId1726" Type="http://schemas.openxmlformats.org/officeDocument/2006/relationships/hyperlink" Target="https://drive.google.com/file/d/1v1Xf9px0ktf3twzswL6hU78X7hHpzbSn/view?usp=sharing" TargetMode="External"/><Relationship Id="rId1727" Type="http://schemas.openxmlformats.org/officeDocument/2006/relationships/hyperlink" Target="https://drive.google.com/file/d/1AIVHeRGhe00m9JHSKLG1x7P_mwCLC4Cc/view" TargetMode="External"/><Relationship Id="rId1728" Type="http://schemas.openxmlformats.org/officeDocument/2006/relationships/hyperlink" Target="https://drive.google.com/file/d/1AIVHeRGhe00m9JHSKLG1x7P_mwCLC4Cc/view?usp=sharing" TargetMode="External"/><Relationship Id="rId1729" Type="http://schemas.openxmlformats.org/officeDocument/2006/relationships/hyperlink" Target="https://drive.google.com/file/d/1AIVHeRGhe00m9JHSKLG1x7P_mwCLC4Cc/view" TargetMode="External"/><Relationship Id="rId1752" Type="http://schemas.openxmlformats.org/officeDocument/2006/relationships/hyperlink" Target="https://drive.google.com/file/d/1NIRYs4rZoOmyRtDuwdu3zEt6nlSHYkcK/view" TargetMode="External"/><Relationship Id="rId1753" Type="http://schemas.openxmlformats.org/officeDocument/2006/relationships/hyperlink" Target="https://drive.google.com/file/d/1NIRYs4rZoOmyRtDuwdu3zEt6nlSHYkcK/view" TargetMode="External"/><Relationship Id="rId1754" Type="http://schemas.openxmlformats.org/officeDocument/2006/relationships/hyperlink" Target="https://drive.google.com/file/d/1NIRYs4rZoOmyRtDuwdu3zEt6nlSHYkcK/view" TargetMode="External"/><Relationship Id="rId1755" Type="http://schemas.openxmlformats.org/officeDocument/2006/relationships/hyperlink" Target="https://drive.google.com/file/d/1NIRYs4rZoOmyRtDuwdu3zEt6nlSHYkcK/view" TargetMode="External"/><Relationship Id="rId1756" Type="http://schemas.openxmlformats.org/officeDocument/2006/relationships/hyperlink" Target="https://www.audioproperu.com/producto/ik-multimedia-iloud-micro-monitor-monitores-de-referencia-de-estudio-ultracompactos-y-de-alta-calidad/?srsltid=AfmBOoqBgWh8AqURWfJfOF3TSlK0pvE4M-NNvxBfJtqK2weMoQQCeTEc" TargetMode="External"/><Relationship Id="rId1757" Type="http://schemas.openxmlformats.org/officeDocument/2006/relationships/hyperlink" Target="https://www.amazon.com/dp/B0BRYDM39K/ref=sspa_dk_crr_aax_0?sp_csd=d2lkZ2V0TmFtZT1zcF9jcnJfc2hhcmVk&amp;th=1" TargetMode="External"/><Relationship Id="rId1758" Type="http://schemas.openxmlformats.org/officeDocument/2006/relationships/hyperlink" Target="https://www.audioproperu.com/producto/ik-multimedia-iloud-micro-monitor-monitores-de-referencia-de-estudio-ultracompactos-y-de-alta-calidad/?srsltid=AfmBOoqBgWh8AqURWfJfOF3TSlK0pvE4M-NNvxBfJtqK2weMoQQCeTEc" TargetMode="External"/><Relationship Id="rId1759" Type="http://schemas.openxmlformats.org/officeDocument/2006/relationships/hyperlink" Target="https://www.amazon.com/dp/B0BRYDM39K/ref=sspa_dk_crr_aax_0?sp_csd=d2lkZ2V0TmFtZT1zcF9jcnJfc2hhcmVk&amp;th=1" TargetMode="External"/><Relationship Id="rId808" Type="http://schemas.openxmlformats.org/officeDocument/2006/relationships/hyperlink" Target="https://casadelquesero.com/producto/prensa-individual-manual/?srsltid=AfmBOorxgIQCOoAGPy6ezuam-DQvymyxvSAKJoAAoaJXIKPUzpgdLzca" TargetMode="External"/><Relationship Id="rId807" Type="http://schemas.openxmlformats.org/officeDocument/2006/relationships/hyperlink" Target="https://casadelquesero.com/producto/prensa-individual-manual/?srsltid=AfmBOorxgIQCOoAGPy6ezuam-DQvymyxvSAKJoAAoaJXIKPUzpgdLzca" TargetMode="External"/><Relationship Id="rId806" Type="http://schemas.openxmlformats.org/officeDocument/2006/relationships/hyperlink" Target="https://casadelquesero.com/producto/prensa-individual-manual/?srsltid=AfmBOorxgIQCOoAGPy6ezuam-DQvymyxvSAKJoAAoaJXIKPUzpgdLzca" TargetMode="External"/><Relationship Id="rId805" Type="http://schemas.openxmlformats.org/officeDocument/2006/relationships/hyperlink" Target="https://casadelquesero.com/producto/prensa-individual-manual/?srsltid=AfmBOorxgIQCOoAGPy6ezuam-DQvymyxvSAKJoAAoaJXIKPUzpgdLzca" TargetMode="External"/><Relationship Id="rId809" Type="http://schemas.openxmlformats.org/officeDocument/2006/relationships/hyperlink" Target="https://www.falabella.com.pe/falabella-pe/product/145433057/Pie-Prensatelas-Cierre-Doble-Metal-Para-Recta-Industrial/145433058?utm_source=chatgpt.com" TargetMode="External"/><Relationship Id="rId800" Type="http://schemas.openxmlformats.org/officeDocument/2006/relationships/hyperlink" Target="https://www.alibaba.com/product-detail/hydraulic-cold-oil-press-extraction-pressing_1600589637542.html" TargetMode="External"/><Relationship Id="rId804" Type="http://schemas.openxmlformats.org/officeDocument/2006/relationships/hyperlink" Target="https://www.amazon.com/dp/B0DBVLYY3H/ref=sspa_dk_detail_1?psc=1&amp;pd_rd_i=B0DBVLYY3H&amp;pd_rd_w=eBVVL&amp;content-id=amzn1.sym.f2f1cf8f-cab4-44dc-82ba-0ca811fb90cc&amp;pf_rd_p=f2f1cf8f-cab4-44dc-82ba-0ca811fb90cc&amp;pf_rd_r=0RKNDHPPVYBKJDAQ4YD8&amp;pd_rd_wg=Bto1w&amp;pd_rd_r=d533b58e-9a6b-4d72-971d-28a0b6006103&amp;sp_csd=d2lkZ2V0TmFtZT1zcF9kZXRhaWxfdGhlbWF0aWM" TargetMode="External"/><Relationship Id="rId803" Type="http://schemas.openxmlformats.org/officeDocument/2006/relationships/hyperlink" Target="https://www.amazon.com/dp/B0DBVLYY3H/ref=sspa_dk_detail_1?psc=1&amp;pd_rd_i=B0DBVLYY3H&amp;pd_rd_w=eBVVL&amp;content-id=amzn1.sym.f2f1cf8f-cab4-44dc-82ba-0ca811fb90cc&amp;pf_rd_p=f2f1cf8f-cab4-44dc-82ba-0ca811fb90cc&amp;pf_rd_r=0RKNDHPPVYBKJDAQ4YD8&amp;pd_rd_wg=Bto1w&amp;pd_rd_r=d533b58e-9a6b-4d72-971d-28a0b6006103&amp;sp_csd=d2lkZ2V0TmFtZT1zcF9kZXRhaWxfdGhlbWF0aWM" TargetMode="External"/><Relationship Id="rId802" Type="http://schemas.openxmlformats.org/officeDocument/2006/relationships/hyperlink" Target="https://www.amazon.com/dp/B0DBVLYY3H/ref=sspa_dk_detail_1?psc=1&amp;pd_rd_i=B0DBVLYY3H&amp;pd_rd_w=eBVVL&amp;content-id=amzn1.sym.f2f1cf8f-cab4-44dc-82ba-0ca811fb90cc&amp;pf_rd_p=f2f1cf8f-cab4-44dc-82ba-0ca811fb90cc&amp;pf_rd_r=0RKNDHPPVYBKJDAQ4YD8&amp;pd_rd_wg=Bto1w&amp;pd_rd_r=d533b58e-9a6b-4d72-971d-28a0b6006103&amp;sp_csd=d2lkZ2V0TmFtZT1zcF9kZXRhaWxfdGhlbWF0aWM" TargetMode="External"/><Relationship Id="rId801" Type="http://schemas.openxmlformats.org/officeDocument/2006/relationships/hyperlink" Target="https://www.amazon.com/dp/B0DBVLYY3H/ref=sspa_dk_detail_1?psc=1&amp;pd_rd_i=B0DBVLYY3H&amp;pd_rd_w=eBVVL&amp;content-id=amzn1.sym.f2f1cf8f-cab4-44dc-82ba-0ca811fb90cc&amp;pf_rd_p=f2f1cf8f-cab4-44dc-82ba-0ca811fb90cc&amp;pf_rd_r=0RKNDHPPVYBKJDAQ4YD8&amp;pd_rd_wg=Bto1w&amp;pd_rd_r=d533b58e-9a6b-4d72-971d-28a0b6006103&amp;sp_csd=d2lkZ2V0TmFtZT1zcF9kZXRhaWxfdGhlbWF0aWM" TargetMode="External"/><Relationship Id="rId1750" Type="http://schemas.openxmlformats.org/officeDocument/2006/relationships/hyperlink" Target="https://drive.google.com/file/d/13XGaIKl-Sp6bbN4PtfDbSEI-iN4wre_o/view?usp=sharing" TargetMode="External"/><Relationship Id="rId1751" Type="http://schemas.openxmlformats.org/officeDocument/2006/relationships/hyperlink" Target="https://drive.google.com/file/d/1byA_73UIjPIjgUYo9ggvcuXUqvJoo8mm/view" TargetMode="External"/><Relationship Id="rId1741" Type="http://schemas.openxmlformats.org/officeDocument/2006/relationships/hyperlink" Target="https://drive.google.com/file/d/1byA_73UIjPIjgUYo9ggvcuXUqvJoo8mm/view" TargetMode="External"/><Relationship Id="rId1742" Type="http://schemas.openxmlformats.org/officeDocument/2006/relationships/hyperlink" Target="https://drive.google.com/file/d/13XGaIKl-Sp6bbN4PtfDbSEI-iN4wre_o/view?usp=sharing" TargetMode="External"/><Relationship Id="rId1743" Type="http://schemas.openxmlformats.org/officeDocument/2006/relationships/hyperlink" Target="https://drive.google.com/file/d/1byA_73UIjPIjgUYo9ggvcuXUqvJoo8mm/view" TargetMode="External"/><Relationship Id="rId1744" Type="http://schemas.openxmlformats.org/officeDocument/2006/relationships/hyperlink" Target="https://drive.google.com/file/d/13XGaIKl-Sp6bbN4PtfDbSEI-iN4wre_o/view?usp=sharing" TargetMode="External"/><Relationship Id="rId1745" Type="http://schemas.openxmlformats.org/officeDocument/2006/relationships/hyperlink" Target="https://drive.google.com/file/d/1byA_73UIjPIjgUYo9ggvcuXUqvJoo8mm/view" TargetMode="External"/><Relationship Id="rId1746" Type="http://schemas.openxmlformats.org/officeDocument/2006/relationships/hyperlink" Target="https://drive.google.com/file/d/13XGaIKl-Sp6bbN4PtfDbSEI-iN4wre_o/view?usp=sharing" TargetMode="External"/><Relationship Id="rId1747" Type="http://schemas.openxmlformats.org/officeDocument/2006/relationships/hyperlink" Target="https://drive.google.com/file/d/1byA_73UIjPIjgUYo9ggvcuXUqvJoo8mm/view" TargetMode="External"/><Relationship Id="rId1748" Type="http://schemas.openxmlformats.org/officeDocument/2006/relationships/hyperlink" Target="https://drive.google.com/file/d/13XGaIKl-Sp6bbN4PtfDbSEI-iN4wre_o/view?usp=sharing" TargetMode="External"/><Relationship Id="rId1749" Type="http://schemas.openxmlformats.org/officeDocument/2006/relationships/hyperlink" Target="https://drive.google.com/file/d/1byA_73UIjPIjgUYo9ggvcuXUqvJoo8mm/view" TargetMode="External"/><Relationship Id="rId1740" Type="http://schemas.openxmlformats.org/officeDocument/2006/relationships/hyperlink" Target="https://drive.google.com/file/d/13XGaIKl-Sp6bbN4PtfDbSEI-iN4wre_o/view?usp=sharing" TargetMode="External"/><Relationship Id="rId1710" Type="http://schemas.openxmlformats.org/officeDocument/2006/relationships/hyperlink" Target="https://drive.google.com/file/d/13P1nOQsNR-S0l7BqD7iYctEteibbuiED/view" TargetMode="External"/><Relationship Id="rId1711" Type="http://schemas.openxmlformats.org/officeDocument/2006/relationships/hyperlink" Target="https://drive.google.com/file/d/13P1nOQsNR-S0l7BqD7iYctEteibbuiED/view" TargetMode="External"/><Relationship Id="rId1712" Type="http://schemas.openxmlformats.org/officeDocument/2006/relationships/hyperlink" Target="https://docs.google.com/spreadsheets/d/1T-cPYAyMILKluUBUAXt3e5GC7ar7O2ILipCoHt-xLKo/edit?gid=0" TargetMode="External"/><Relationship Id="rId1713" Type="http://schemas.openxmlformats.org/officeDocument/2006/relationships/hyperlink" Target="https://drive.google.com/file/d/13P1nOQsNR-S0l7BqD7iYctEteibbuiED/view" TargetMode="External"/><Relationship Id="rId1714" Type="http://schemas.openxmlformats.org/officeDocument/2006/relationships/hyperlink" Target="https://drive.google.com/file/d/13P1nOQsNR-S0l7BqD7iYctEteibbuiED/view" TargetMode="External"/><Relationship Id="rId1715" Type="http://schemas.openxmlformats.org/officeDocument/2006/relationships/hyperlink" Target="https://docs.google.com/spreadsheets/d/1T-cPYAyMILKluUBUAXt3e5GC7ar7O2ILipCoHt-xLKo/edit?gid=0" TargetMode="External"/><Relationship Id="rId1716" Type="http://schemas.openxmlformats.org/officeDocument/2006/relationships/hyperlink" Target="https://drive.google.com/file/d/13P1nOQsNR-S0l7BqD7iYctEteibbuiED/view" TargetMode="External"/><Relationship Id="rId1717" Type="http://schemas.openxmlformats.org/officeDocument/2006/relationships/hyperlink" Target="https://drive.google.com/file/d/1LuVwLMnmPPsANbLTrvXmtZYO0lEkGO4E/view" TargetMode="External"/><Relationship Id="rId1718" Type="http://schemas.openxmlformats.org/officeDocument/2006/relationships/hyperlink" Target="https://drive.google.com/file/d/1LuVwLMnmPPsANbLTrvXmtZYO0lEkGO4E/view" TargetMode="External"/><Relationship Id="rId1719" Type="http://schemas.openxmlformats.org/officeDocument/2006/relationships/hyperlink" Target="https://drive.google.com/file/d/1LuVwLMnmPPsANbLTrvXmtZYO0lEkGO4E/view" TargetMode="External"/><Relationship Id="rId1700" Type="http://schemas.openxmlformats.org/officeDocument/2006/relationships/hyperlink" Target="https://drive.google.com/drive/search?q=M%C3%B3dulo%20educativo%20de%20sistema%20carga%20y%20arranque" TargetMode="External"/><Relationship Id="rId1701" Type="http://schemas.openxmlformats.org/officeDocument/2006/relationships/hyperlink" Target="https://drive.google.com/file/d/1r84Ajbk72bxQAFjmoLslzXXUG9dcYk8X/view" TargetMode="External"/><Relationship Id="rId1702" Type="http://schemas.openxmlformats.org/officeDocument/2006/relationships/hyperlink" Target="https://drive.google.com/file/d/1r84Ajbk72bxQAFjmoLslzXXUG9dcYk8X/view" TargetMode="External"/><Relationship Id="rId1703" Type="http://schemas.openxmlformats.org/officeDocument/2006/relationships/hyperlink" Target="https://drive.google.com/file/d/1r84Ajbk72bxQAFjmoLslzXXUG9dcYk8X/view" TargetMode="External"/><Relationship Id="rId1704" Type="http://schemas.openxmlformats.org/officeDocument/2006/relationships/hyperlink" Target="https://docs.google.com/spreadsheets/d/1y1BvG10kD5fp3N-e7PiZBwVbve6Cl7fbuuGcVkMyQSg/edit?gid=0" TargetMode="External"/><Relationship Id="rId1705" Type="http://schemas.openxmlformats.org/officeDocument/2006/relationships/hyperlink" Target="https://drive.google.com/file/d/1r84Ajbk72bxQAFjmoLslzXXUG9dcYk8X/view" TargetMode="External"/><Relationship Id="rId1706" Type="http://schemas.openxmlformats.org/officeDocument/2006/relationships/hyperlink" Target="https://drive.google.com/file/d/1r84Ajbk72bxQAFjmoLslzXXUG9dcYk8X/view" TargetMode="External"/><Relationship Id="rId1707" Type="http://schemas.openxmlformats.org/officeDocument/2006/relationships/hyperlink" Target="https://docs.google.com/spreadsheets/d/1y1BvG10kD5fp3N-e7PiZBwVbve6Cl7fbuuGcVkMyQSg/edit?gid=0" TargetMode="External"/><Relationship Id="rId1708" Type="http://schemas.openxmlformats.org/officeDocument/2006/relationships/hyperlink" Target="https://drive.google.com/file/d/1r84Ajbk72bxQAFjmoLslzXXUG9dcYk8X/view" TargetMode="External"/><Relationship Id="rId1709" Type="http://schemas.openxmlformats.org/officeDocument/2006/relationships/hyperlink" Target="https://drive.google.com/file/d/13P1nOQsNR-S0l7BqD7iYctEteibbuiED/view" TargetMode="External"/><Relationship Id="rId40" Type="http://schemas.openxmlformats.org/officeDocument/2006/relationships/hyperlink" Target="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 TargetMode="External"/><Relationship Id="rId1334" Type="http://schemas.openxmlformats.org/officeDocument/2006/relationships/hyperlink" Target="https://drive.google.com/file/d/1OCbFNGZGK2T29DA6DWbu93qg2m8eEn0S/view" TargetMode="External"/><Relationship Id="rId1335" Type="http://schemas.openxmlformats.org/officeDocument/2006/relationships/hyperlink" Target="https://drive.google.com/file/d/1-1PianNXiDf7JHPbN5oqLqrzeXlMrlVH/view?usp=sharing" TargetMode="External"/><Relationship Id="rId42" Type="http://schemas.openxmlformats.org/officeDocument/2006/relationships/hyperlink" Target="https://www.bt-ingenieros.com/bandejas-vaciado-aceite/733-bandeja-recogedora-de-aceite-16-litros.html?srsltid=AfmBOoqpJPLJ-mNGsXyfwiuKfmUkRj3zXtkFVCEC4g_IWkkIwPvG-Bhm&amp;utm_source=chatgpt.com" TargetMode="External"/><Relationship Id="rId1336" Type="http://schemas.openxmlformats.org/officeDocument/2006/relationships/hyperlink" Target="https://drive.google.com/file/d/1OCbFNGZGK2T29DA6DWbu93qg2m8eEn0S/view" TargetMode="External"/><Relationship Id="rId41" Type="http://schemas.openxmlformats.org/officeDocument/2006/relationships/hyperlink" Target="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 TargetMode="External"/><Relationship Id="rId1337" Type="http://schemas.openxmlformats.org/officeDocument/2006/relationships/hyperlink" Target="https://drive.google.com/file/d/1-1PianNXiDf7JHPbN5oqLqrzeXlMrlVH/view?usp=sharing" TargetMode="External"/><Relationship Id="rId44" Type="http://schemas.openxmlformats.org/officeDocument/2006/relationships/hyperlink" Target="https://www.bt-ingenieros.com/bandejas-vaciado-aceite/733-bandeja-recogedora-de-aceite-16-litros.html?srsltid=AfmBOoqpJPLJ-mNGsXyfwiuKfmUkRj3zXtkFVCEC4g_IWkkIwPvG-Bhm&amp;utm_source=chatgpt.com" TargetMode="External"/><Relationship Id="rId1338" Type="http://schemas.openxmlformats.org/officeDocument/2006/relationships/hyperlink" Target="https://drive.google.com/file/d/1OCbFNGZGK2T29DA6DWbu93qg2m8eEn0S/view" TargetMode="External"/><Relationship Id="rId43" Type="http://schemas.openxmlformats.org/officeDocument/2006/relationships/hyperlink" Target="https://drive.google.com/file/d/1I-KHY9gaaExZBBJjHGa0x5n389d3xnvC/view?usp=sharing" TargetMode="External"/><Relationship Id="rId1339" Type="http://schemas.openxmlformats.org/officeDocument/2006/relationships/hyperlink" Target="https://drive.google.com/file/d/1-1PianNXiDf7JHPbN5oqLqrzeXlMrlVH/view?usp=sharing" TargetMode="External"/><Relationship Id="rId46" Type="http://schemas.openxmlformats.org/officeDocument/2006/relationships/hyperlink" Target="https://drive.google.com/file/d/1I-KHY9gaaExZBBJjHGa0x5n389d3xnvC/view?usp=sharing" TargetMode="External"/><Relationship Id="rId45" Type="http://schemas.openxmlformats.org/officeDocument/2006/relationships/hyperlink" Target="https://www.bt-ingenieros.com/bandejas-vaciado-aceite/733-bandeja-recogedora-de-aceite-16-litros.html?srsltid=AfmBOoqpJPLJ-mNGsXyfwiuKfmUkRj3zXtkFVCEC4g_IWkkIwPvG-Bhm&amp;utm_source=chatgpt.com" TargetMode="External"/><Relationship Id="rId745" Type="http://schemas.openxmlformats.org/officeDocument/2006/relationships/hyperlink" Target="https://www.electrogarline.com/maquinas-gastronomicas/gastronomia-hoteleria/peladoras-de-papa/peladora-de-papa-15-kg-acero-dakota.html?srsltid=AfmBOoonp1jVZiGkOFyhjb9NVVN7DzucMecWW8CIptR36Q3G0zilYBWy" TargetMode="External"/><Relationship Id="rId744" Type="http://schemas.openxmlformats.org/officeDocument/2006/relationships/hyperlink" Target="https://www.plazavea.com.pe/medidor-de-angulos-bosch-gam-220-mf-101376464/p?gclsrc=aw.ds&amp;gad_source=1&amp;gad_campaignid=22403266061&amp;gbraid=0AAAAAqXj2Lpfnd6JpmOx6JThZB7KPUFi6&amp;gclid=CjwKCAjwup3HBhAAEiwA7euZumam8kcQ1iRZrsmfFukh4bx-BWQQbG_nMh7nCD8RCwgZaG0hjaP0DxoCY5wQAvD_BwE" TargetMode="External"/><Relationship Id="rId743" Type="http://schemas.openxmlformats.org/officeDocument/2006/relationships/hyperlink" Target="https://www.plazavea.com.pe/medidor-de-angulos-bosch-gam-220-mf-101376464/p?gclsrc=aw.ds&amp;gad_source=1&amp;gad_campaignid=22403266061&amp;gbraid=0AAAAAqXj2Lpfnd6JpmOx6JThZB7KPUFi6&amp;gclid=CjwKCAjwup3HBhAAEiwA7euZumam8kcQ1iRZrsmfFukh4bx-BWQQbG_nMh7nCD8RCwgZaG0hjaP0DxoCY5wQAvD_BwE" TargetMode="External"/><Relationship Id="rId742" Type="http://schemas.openxmlformats.org/officeDocument/2006/relationships/hyperlink" Target="https://melaminaperu.com/tapacanto-para-melamina/" TargetMode="External"/><Relationship Id="rId749" Type="http://schemas.openxmlformats.org/officeDocument/2006/relationships/hyperlink" Target="https://drive.google.com/file/d/1Kr6yDzxqmHDgHm2SjAPF54FTitV7EFRL/view" TargetMode="External"/><Relationship Id="rId748" Type="http://schemas.openxmlformats.org/officeDocument/2006/relationships/hyperlink" Target="https://prosinfer.pe/product/escuadra-profesional-12-stanley-46-536/" TargetMode="External"/><Relationship Id="rId747" Type="http://schemas.openxmlformats.org/officeDocument/2006/relationships/hyperlink" Target="https://cahema.pe/escuadras/15783-escuadra-combinada-12-truper-14380-7501206630457.html" TargetMode="External"/><Relationship Id="rId746" Type="http://schemas.openxmlformats.org/officeDocument/2006/relationships/hyperlink" Target="https://drive.google.com/file/d/1Kr6yDzxqmHDgHm2SjAPF54FTitV7EFRL/view" TargetMode="External"/><Relationship Id="rId48" Type="http://schemas.openxmlformats.org/officeDocument/2006/relationships/hyperlink" Target="https://www.bt-ingenieros.com/bandejas-vaciado-aceite/733-bandeja-recogedora-de-aceite-16-litros.html?srsltid=AfmBOoqpJPLJ-mNGsXyfwiuKfmUkRj3zXtkFVCEC4g_IWkkIwPvG-Bhm&amp;utm_source=chatgpt.com" TargetMode="External"/><Relationship Id="rId47" Type="http://schemas.openxmlformats.org/officeDocument/2006/relationships/hyperlink" Target="https://www.bt-ingenieros.com/bandejas-vaciado-aceite/733-bandeja-recogedora-de-aceite-16-litros.html?srsltid=AfmBOoqpJPLJ-mNGsXyfwiuKfmUkRj3zXtkFVCEC4g_IWkkIwPvG-Bhm&amp;utm_source=chatgpt.com" TargetMode="External"/><Relationship Id="rId49" Type="http://schemas.openxmlformats.org/officeDocument/2006/relationships/hyperlink" Target="https://drive.google.com/file/d/1I-KHY9gaaExZBBJjHGa0x5n389d3xnvC/view?usp=sharing" TargetMode="External"/><Relationship Id="rId741" Type="http://schemas.openxmlformats.org/officeDocument/2006/relationships/hyperlink" Target="https://melaminaperu.com/tapacanto-para-melamina/" TargetMode="External"/><Relationship Id="rId1330" Type="http://schemas.openxmlformats.org/officeDocument/2006/relationships/hyperlink" Target="https://drive.google.com/file/d/1X70LaF7RqF7SoV2RK4MYqFx3rnQO6yLW/view?usp=sharing" TargetMode="External"/><Relationship Id="rId740" Type="http://schemas.openxmlformats.org/officeDocument/2006/relationships/hyperlink" Target="https://www.maderea.es/tipos-de-tablero-de-madera-y-diferencias-clases-de-servicio-y-clases-de-uso/" TargetMode="External"/><Relationship Id="rId1331" Type="http://schemas.openxmlformats.org/officeDocument/2006/relationships/hyperlink" Target="https://drive.google.com/file/d/1X70LaF7RqF7SoV2RK4MYqFx3rnQO6yLW/view?usp=sharing" TargetMode="External"/><Relationship Id="rId1332" Type="http://schemas.openxmlformats.org/officeDocument/2006/relationships/hyperlink" Target="https://drive.google.com/file/d/1X70LaF7RqF7SoV2RK4MYqFx3rnQO6yLW/view?usp=sharing" TargetMode="External"/><Relationship Id="rId1333" Type="http://schemas.openxmlformats.org/officeDocument/2006/relationships/hyperlink" Target="https://drive.google.com/file/d/1X70LaF7RqF7SoV2RK4MYqFx3rnQO6yLW/view?usp=sharing" TargetMode="External"/><Relationship Id="rId1323" Type="http://schemas.openxmlformats.org/officeDocument/2006/relationships/hyperlink" Target="https://drive.google.com/file/d/1Rpx5Hb5uO-kjD-pziQ-XZD_MyKjqW8qJ/view?usp=sharing" TargetMode="External"/><Relationship Id="rId1324" Type="http://schemas.openxmlformats.org/officeDocument/2006/relationships/hyperlink" Target="https://drive.google.com/file/d/1Rpx5Hb5uO-kjD-pziQ-XZD_MyKjqW8qJ/view?usp=sharing" TargetMode="External"/><Relationship Id="rId31" Type="http://schemas.openxmlformats.org/officeDocument/2006/relationships/hyperlink" Target="https://www.sip-scootershop.com/es/product/portapuntas-toptul-1-4-hexagonal_TT0A0808?q=TT0A0808" TargetMode="External"/><Relationship Id="rId1325" Type="http://schemas.openxmlformats.org/officeDocument/2006/relationships/hyperlink" Target="https://drive.google.com/file/d/1Rpx5Hb5uO-kjD-pziQ-XZD_MyKjqW8qJ/view?usp=sharing" TargetMode="External"/><Relationship Id="rId30" Type="http://schemas.openxmlformats.org/officeDocument/2006/relationships/hyperlink" Target="https://rodavigo.net/es/p/aceitera-metalica-msm-500-cc-ref-samoa-175250/294175250" TargetMode="External"/><Relationship Id="rId1326" Type="http://schemas.openxmlformats.org/officeDocument/2006/relationships/hyperlink" Target="https://drive.google.com/file/d/1X70LaF7RqF7SoV2RK4MYqFx3rnQO6yLW/view?usp=sharing" TargetMode="External"/><Relationship Id="rId33" Type="http://schemas.openxmlformats.org/officeDocument/2006/relationships/hyperlink" Target="https://www.sip-scootershop.com/es/product/portapuntas-toptul-1-4-hexagonal_TT0A0808?q=TT0A0808" TargetMode="External"/><Relationship Id="rId1327" Type="http://schemas.openxmlformats.org/officeDocument/2006/relationships/hyperlink" Target="https://drive.google.com/file/d/1X70LaF7RqF7SoV2RK4MYqFx3rnQO6yLW/view?usp=sharing" TargetMode="External"/><Relationship Id="rId32" Type="http://schemas.openxmlformats.org/officeDocument/2006/relationships/hyperlink" Target="https://drive.google.com/file/d/15riS44__EE3A0AMUdsNl4A4noFzrjS0G/view?usp=sharing" TargetMode="External"/><Relationship Id="rId1328" Type="http://schemas.openxmlformats.org/officeDocument/2006/relationships/hyperlink" Target="https://drive.google.com/file/d/1X70LaF7RqF7SoV2RK4MYqFx3rnQO6yLW/view?usp=sharing" TargetMode="External"/><Relationship Id="rId35" Type="http://schemas.openxmlformats.org/officeDocument/2006/relationships/hyperlink" Target="https://drive.google.com/file/d/15riS44__EE3A0AMUdsNl4A4noFzrjS0G/view?usp=sharing" TargetMode="External"/><Relationship Id="rId1329" Type="http://schemas.openxmlformats.org/officeDocument/2006/relationships/hyperlink" Target="https://drive.google.com/file/d/1X70LaF7RqF7SoV2RK4MYqFx3rnQO6yLW/view?usp=sharing" TargetMode="External"/><Relationship Id="rId34" Type="http://schemas.openxmlformats.org/officeDocument/2006/relationships/hyperlink" Target="https://www.sip-scootershop.com/es/product/portapuntas-toptul-1-4-hexagonal_TT0A0808?q=TT0A0808" TargetMode="External"/><Relationship Id="rId739" Type="http://schemas.openxmlformats.org/officeDocument/2006/relationships/hyperlink" Target="https://www.maderea.es/tipos-de-tablero-de-madera-y-diferencias-clases-de-servicio-y-clases-de-uso/" TargetMode="External"/><Relationship Id="rId734" Type="http://schemas.openxmlformats.org/officeDocument/2006/relationships/hyperlink" Target="https://articulo.mercadolibre.com.ve/MLV-713101744-molde-de-queso-de-28-kg-o-mozzarella-_JM" TargetMode="External"/><Relationship Id="rId733" Type="http://schemas.openxmlformats.org/officeDocument/2006/relationships/hyperlink" Target="https://articulo.mercadolibre.com.ve/MLV-713101744-molde-de-queso-de-28-kg-o-mozzarella-_JM" TargetMode="External"/><Relationship Id="rId732" Type="http://schemas.openxmlformats.org/officeDocument/2006/relationships/hyperlink" Target="https://articulo.mercadolibre.com.ve/MLV-713101744-molde-de-queso-de-28-kg-o-mozzarella-_JM" TargetMode="External"/><Relationship Id="rId731" Type="http://schemas.openxmlformats.org/officeDocument/2006/relationships/hyperlink" Target="https://www.autel.com/es/mk3/3769.jhtml" TargetMode="External"/><Relationship Id="rId738" Type="http://schemas.openxmlformats.org/officeDocument/2006/relationships/hyperlink" Target="https://www.facebook.com/photo/?fbid=1023931744302211&amp;set=a.1023931684302217" TargetMode="External"/><Relationship Id="rId737" Type="http://schemas.openxmlformats.org/officeDocument/2006/relationships/hyperlink" Target="https://www.facebook.com/photo/?fbid=1023931744302211&amp;set=a.1023931684302217" TargetMode="External"/><Relationship Id="rId736" Type="http://schemas.openxmlformats.org/officeDocument/2006/relationships/hyperlink" Target="https://decoracion-piedra.webnode.pe/conoceme2/?utm_source=chatgpt.com" TargetMode="External"/><Relationship Id="rId735" Type="http://schemas.openxmlformats.org/officeDocument/2006/relationships/hyperlink" Target="https://articulo.mercadolibre.com.ve/MLV-713101744-molde-de-queso-de-28-kg-o-mozzarella-_JM" TargetMode="External"/><Relationship Id="rId37" Type="http://schemas.openxmlformats.org/officeDocument/2006/relationships/hyperlink" Target="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 TargetMode="External"/><Relationship Id="rId36" Type="http://schemas.openxmlformats.org/officeDocument/2006/relationships/hyperlink" Target="https://www.sip-scootershop.com/es/product/portapuntas-toptul-1-4-hexagonal_TT0A0808?q=TT0A0808" TargetMode="External"/><Relationship Id="rId39" Type="http://schemas.openxmlformats.org/officeDocument/2006/relationships/hyperlink" Target="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 TargetMode="External"/><Relationship Id="rId38" Type="http://schemas.openxmlformats.org/officeDocument/2006/relationships/hyperlink" Target="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 TargetMode="External"/><Relationship Id="rId730" Type="http://schemas.openxmlformats.org/officeDocument/2006/relationships/hyperlink" Target="https://www.autel.com/es/mk3/3769.jhtml" TargetMode="External"/><Relationship Id="rId1320" Type="http://schemas.openxmlformats.org/officeDocument/2006/relationships/hyperlink" Target="https://drive.google.com/file/d/1Rpx5Hb5uO-kjD-pziQ-XZD_MyKjqW8qJ/view?usp=sharing" TargetMode="External"/><Relationship Id="rId1321" Type="http://schemas.openxmlformats.org/officeDocument/2006/relationships/hyperlink" Target="https://drive.google.com/file/d/1Rpx5Hb5uO-kjD-pziQ-XZD_MyKjqW8qJ/view?usp=sharing" TargetMode="External"/><Relationship Id="rId1322" Type="http://schemas.openxmlformats.org/officeDocument/2006/relationships/hyperlink" Target="https://drive.google.com/file/d/1Rpx5Hb5uO-kjD-pziQ-XZD_MyKjqW8qJ/view?usp=sharing" TargetMode="External"/><Relationship Id="rId1356" Type="http://schemas.openxmlformats.org/officeDocument/2006/relationships/hyperlink" Target="https://www.lacuisine.pe/lgc/product/brocha-de-silicona-de-23cm-gris-61-33436-tovolo/?utm_source" TargetMode="External"/><Relationship Id="rId2203" Type="http://schemas.openxmlformats.org/officeDocument/2006/relationships/hyperlink" Target="https://drive.google.com/file/d/1gzsMMMNKzOnbKJhX8JZps32fDi5Err_K/view?usp=sharing" TargetMode="External"/><Relationship Id="rId1357" Type="http://schemas.openxmlformats.org/officeDocument/2006/relationships/hyperlink" Target="https://www.uysa.com.pe/brocha-p-reposteria-silicona-con-mango-verde-de-abs-70067391/p?srsltid=AfmBOoo5FFHt3WEU0McXc8V9ycySDEQ00Ip0vMv2xUz8TIsp3JRRCTYh" TargetMode="External"/><Relationship Id="rId2204" Type="http://schemas.openxmlformats.org/officeDocument/2006/relationships/hyperlink" Target="https://eppsperu.pe/producto/respirador-para-particulas-8214-3m/" TargetMode="External"/><Relationship Id="rId20" Type="http://schemas.openxmlformats.org/officeDocument/2006/relationships/hyperlink" Target="https://drive.google.com/file/d/19Fl0sGa3pS0FVx2xJHJH4F8n0yJTW7Xo/view?usp=sharing" TargetMode="External"/><Relationship Id="rId1358" Type="http://schemas.openxmlformats.org/officeDocument/2006/relationships/hyperlink" Target="https://drive.google.com/file/d/1pphnmDgzBUV_K98QtTkJr0xe_I44PGif/view?usp=sharing" TargetMode="External"/><Relationship Id="rId2205" Type="http://schemas.openxmlformats.org/officeDocument/2006/relationships/hyperlink" Target="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 TargetMode="External"/><Relationship Id="rId1359" Type="http://schemas.openxmlformats.org/officeDocument/2006/relationships/hyperlink" Target="https://www.lacuisine.pe/lgc/product/brocha-de-silicona-de-23cm-gris-61-33436-tovolo/?utm_source" TargetMode="External"/><Relationship Id="rId2206" Type="http://schemas.openxmlformats.org/officeDocument/2006/relationships/hyperlink" Target="https://spanish.alibaba.com/product-detail/QDMECH-High-Capacity-Industrial-Commercial-Food-1601445359936.html" TargetMode="External"/><Relationship Id="rId22" Type="http://schemas.openxmlformats.org/officeDocument/2006/relationships/hyperlink" Target="https://www.promart.pe/aceitera-con-pico-flecible-180-ml/p" TargetMode="External"/><Relationship Id="rId2207" Type="http://schemas.openxmlformats.org/officeDocument/2006/relationships/hyperlink" Target="https://spanish.alibaba.com/product-detail/QDMECH-High-Capacity-Industrial-Commercial-Food-1601445359936.html" TargetMode="External"/><Relationship Id="rId21" Type="http://schemas.openxmlformats.org/officeDocument/2006/relationships/hyperlink" Target="https://rodavigo.net/es/p/aceitera-metalica-msm-500-cc-ref-samoa-175250/294175250" TargetMode="External"/><Relationship Id="rId2208" Type="http://schemas.openxmlformats.org/officeDocument/2006/relationships/hyperlink" Target="https://spanish.alibaba.com/product-detail/QDMECH-High-Capacity-Industrial-Commercial-Food-1601445359936.html" TargetMode="External"/><Relationship Id="rId24" Type="http://schemas.openxmlformats.org/officeDocument/2006/relationships/hyperlink" Target="https://www.promart.pe/aceitera-con-pico-flecible-180-ml/p" TargetMode="External"/><Relationship Id="rId2209" Type="http://schemas.openxmlformats.org/officeDocument/2006/relationships/hyperlink" Target="https://spanish.alibaba.com/product-detail/QDMECH-High-Capacity-Industrial-Commercial-Food-1601445359936.html" TargetMode="External"/><Relationship Id="rId23" Type="http://schemas.openxmlformats.org/officeDocument/2006/relationships/hyperlink" Target="https://drive.google.com/file/d/1p6XPzojAeS_phxGT1uTRm1wrHfx0kblq/view?usp=sharing" TargetMode="External"/><Relationship Id="rId767" Type="http://schemas.openxmlformats.org/officeDocument/2006/relationships/hyperlink" Target="https://www.auxilab.es/controles/ObtenerPDF.ashx?f=%5c00%5c05%5c2m%5co0_F_PH_SELECTA_E.pdf" TargetMode="External"/><Relationship Id="rId766" Type="http://schemas.openxmlformats.org/officeDocument/2006/relationships/hyperlink" Target="https://www.auxilab.es/controles/ObtenerPDF.ashx?f=%5c00%5c05%5c2m%5co0_F_PH_SELECTA_E.pdf" TargetMode="External"/><Relationship Id="rId765" Type="http://schemas.openxmlformats.org/officeDocument/2006/relationships/hyperlink" Target="https://drive.google.com/file/d/1E3CKzA1bkip1VQS1CWffN492gl2sDrRt/view?usp=sharing" TargetMode="External"/><Relationship Id="rId764" Type="http://schemas.openxmlformats.org/officeDocument/2006/relationships/hyperlink" Target="https://drive.google.com/file/d/1E3CKzA1bkip1VQS1CWffN492gl2sDrRt/view?usp=sharing" TargetMode="External"/><Relationship Id="rId769" Type="http://schemas.openxmlformats.org/officeDocument/2006/relationships/hyperlink" Target="https://www.auxilab.es/controles/ObtenerPDF.ashx?f=%5c00%5c05%5c2m%5co0_F_PH_SELECTA_E.pdf" TargetMode="External"/><Relationship Id="rId768" Type="http://schemas.openxmlformats.org/officeDocument/2006/relationships/hyperlink" Target="https://www.auxilab.es/controles/ObtenerPDF.ashx?f=%5c00%5c05%5c2m%5co0_F_PH_SELECTA_E.pdf" TargetMode="External"/><Relationship Id="rId26" Type="http://schemas.openxmlformats.org/officeDocument/2006/relationships/hyperlink" Target="https://drive.google.com/file/d/19Fl0sGa3pS0FVx2xJHJH4F8n0yJTW7Xo/view?usp=sharing" TargetMode="External"/><Relationship Id="rId25" Type="http://schemas.openxmlformats.org/officeDocument/2006/relationships/hyperlink" Target="https://rodavigo.net/es/p/aceitera-metalica-msm-500-cc-ref-samoa-175250/294175250" TargetMode="External"/><Relationship Id="rId28" Type="http://schemas.openxmlformats.org/officeDocument/2006/relationships/hyperlink" Target="https://rodavigo.net/es/p/aceitera-metalica-msm-500-cc-ref-samoa-175250/294175250" TargetMode="External"/><Relationship Id="rId1350" Type="http://schemas.openxmlformats.org/officeDocument/2006/relationships/hyperlink" Target="https://drive.google.com/file/d/1Ix1TJ10FsJwgOKSvfsrIuJq5gyr-NJDU/view?usp=sharing" TargetMode="External"/><Relationship Id="rId27" Type="http://schemas.openxmlformats.org/officeDocument/2006/relationships/hyperlink" Target="https://rodavigo.net/es/p/aceitera-metalica-msm-500-cc-ref-samoa-175250/294175250" TargetMode="External"/><Relationship Id="rId1351" Type="http://schemas.openxmlformats.org/officeDocument/2006/relationships/hyperlink" Target="https://drive.google.com/file/d/1Fw7MBBw092VP42xf4J4mMf6JFfkrRHWd/view?usp=drive_link" TargetMode="External"/><Relationship Id="rId763" Type="http://schemas.openxmlformats.org/officeDocument/2006/relationships/hyperlink" Target="https://drive.google.com/file/d/1E3CKzA1bkip1VQS1CWffN492gl2sDrRt/view?usp=sharing" TargetMode="External"/><Relationship Id="rId1352" Type="http://schemas.openxmlformats.org/officeDocument/2006/relationships/hyperlink" Target="https://drive.google.com/file/d/1Gn-fn_WN4ajeI_kpYMAVZmuMvl2aSkHx/view?usp=sharing" TargetMode="External"/><Relationship Id="rId29" Type="http://schemas.openxmlformats.org/officeDocument/2006/relationships/hyperlink" Target="https://drive.google.com/file/d/19Fl0sGa3pS0FVx2xJHJH4F8n0yJTW7Xo/view?usp=sharing" TargetMode="External"/><Relationship Id="rId762" Type="http://schemas.openxmlformats.org/officeDocument/2006/relationships/hyperlink" Target="https://docs.google.com/spreadsheets/d/1nPMW8LIZ4zOro-j-HTN6VWoeUrucpV04V5xKxYPsSkU/edit?gid=0" TargetMode="External"/><Relationship Id="rId1353" Type="http://schemas.openxmlformats.org/officeDocument/2006/relationships/hyperlink" Target="https://drive.google.com/file/d/1Gn-fn_WN4ajeI_kpYMAVZmuMvl2aSkHx/view?usp=sharing" TargetMode="External"/><Relationship Id="rId2200" Type="http://schemas.openxmlformats.org/officeDocument/2006/relationships/hyperlink" Target="https://us.openbuilds.com/lead-cnc-machine-1010-40-x-40/" TargetMode="External"/><Relationship Id="rId761" Type="http://schemas.openxmlformats.org/officeDocument/2006/relationships/hyperlink" Target="https://shop.scheppach.com/en-GB/Whetstone-Bench-Grinder-Tiger-2500-200W-250mm-Leather-Honing-Wheel/5903202901-500" TargetMode="External"/><Relationship Id="rId1354" Type="http://schemas.openxmlformats.org/officeDocument/2006/relationships/hyperlink" Target="https://www.uysa.com.pe/brocha-p-reposteria-silicona-con-mango-verde-de-abs-70067391/p?srsltid=AfmBOoo5FFHt3WEU0McXc8V9ycySDEQ00Ip0vMv2xUz8TIsp3JRRCTYh" TargetMode="External"/><Relationship Id="rId2201" Type="http://schemas.openxmlformats.org/officeDocument/2006/relationships/hyperlink" Target="https://drive.google.com/file/d/1gzsMMMNKzOnbKJhX8JZps32fDi5Err_K/view?usp=sharing" TargetMode="External"/><Relationship Id="rId760" Type="http://schemas.openxmlformats.org/officeDocument/2006/relationships/hyperlink" Target="https://drive.google.com/file/d/1E3CKzA1bkip1VQS1CWffN492gl2sDrRt/view?usp=sharing" TargetMode="External"/><Relationship Id="rId1355" Type="http://schemas.openxmlformats.org/officeDocument/2006/relationships/hyperlink" Target="https://drive.google.com/file/d/1pphnmDgzBUV_K98QtTkJr0xe_I44PGif/view?usp=sharing" TargetMode="External"/><Relationship Id="rId2202" Type="http://schemas.openxmlformats.org/officeDocument/2006/relationships/hyperlink" Target="https://us.openbuilds.com/lead-cnc-machine-1010-40-x-40/" TargetMode="External"/><Relationship Id="rId1345" Type="http://schemas.openxmlformats.org/officeDocument/2006/relationships/hyperlink" Target="https://drive.google.com/drive/search?q=KIT%20DE%20ENTRENAMIENTO%20EN%20LA%20GENERACI%C3%93N%20DE%20ELECTRICIDAD%20CON%20ENERG%C3%8DA%20RENOVABLE%20FOTOVOLTAICO%20Y%20E%C3%93LICO" TargetMode="External"/><Relationship Id="rId1346" Type="http://schemas.openxmlformats.org/officeDocument/2006/relationships/hyperlink" Target="https://drive.google.com/file/d/1Ix1TJ10FsJwgOKSvfsrIuJq5gyr-NJDU/view?usp=sharing" TargetMode="External"/><Relationship Id="rId1347" Type="http://schemas.openxmlformats.org/officeDocument/2006/relationships/hyperlink" Target="https://drive.google.com/drive/search?q=KIT%20DE%20ENTRENAMIENTO%20EN%20LA%20GENERACI%C3%93N%20DE%20ELECTRICIDAD%20CON%20ENERG%C3%8DA%20RENOVABLE%20FOTOVOLTAICO%20Y%20E%C3%93LICO" TargetMode="External"/><Relationship Id="rId1348" Type="http://schemas.openxmlformats.org/officeDocument/2006/relationships/hyperlink" Target="https://drive.google.com/file/d/1Ix1TJ10FsJwgOKSvfsrIuJq5gyr-NJDU/view?usp=sharing" TargetMode="External"/><Relationship Id="rId11" Type="http://schemas.openxmlformats.org/officeDocument/2006/relationships/hyperlink" Target="https://drive.google.com/file/d/19Fl0sGa3pS0FVx2xJHJH4F8n0yJTW7Xo/view?usp=sharing" TargetMode="External"/><Relationship Id="rId1349" Type="http://schemas.openxmlformats.org/officeDocument/2006/relationships/hyperlink" Target="https://drive.google.com/drive/search?q=KIT%20DE%20ENTRENAMIENTO%20EN%20LA%20GENERACI%C3%93N%20DE%20ELECTRICIDAD%20CON%20ENERG%C3%8DA%20RENOVABLE%20FOTOVOLTAICO%20Y%20E%C3%93LICO" TargetMode="External"/><Relationship Id="rId10" Type="http://schemas.openxmlformats.org/officeDocument/2006/relationships/hyperlink" Target="https://rodavigo.net/es/p/aceitera-metalica-msm-500-cc-ref-samoa-175250/294175250" TargetMode="External"/><Relationship Id="rId13" Type="http://schemas.openxmlformats.org/officeDocument/2006/relationships/hyperlink" Target="https://rodavigo.net/es/p/aceitera-metalica-msm-500-cc-ref-samoa-175250/294175250" TargetMode="External"/><Relationship Id="rId12" Type="http://schemas.openxmlformats.org/officeDocument/2006/relationships/hyperlink" Target="https://rodavigo.net/es/p/aceitera-metalica-msm-500-cc-ref-samoa-175250/294175250" TargetMode="External"/><Relationship Id="rId756" Type="http://schemas.openxmlformats.org/officeDocument/2006/relationships/hyperlink" Target="https://soltronic.es/producto/pesas-de-corte-patrones/" TargetMode="External"/><Relationship Id="rId755" Type="http://schemas.openxmlformats.org/officeDocument/2006/relationships/hyperlink" Target="https://electroventas.com.uy/catalogo/pelador-electrico-de-frutas-y-verduras_BOM9941_BOM9941" TargetMode="External"/><Relationship Id="rId754" Type="http://schemas.openxmlformats.org/officeDocument/2006/relationships/hyperlink" Target="https://electroventas.com.uy/catalogo/pelador-electrico-de-frutas-y-verduras_BOM9941_BOM9941" TargetMode="External"/><Relationship Id="rId753" Type="http://schemas.openxmlformats.org/officeDocument/2006/relationships/hyperlink" Target="https://electroventas.com.uy/catalogo/pelador-electrico-de-frutas-y-verduras_BOM9941_BOM9941" TargetMode="External"/><Relationship Id="rId759" Type="http://schemas.openxmlformats.org/officeDocument/2006/relationships/hyperlink" Target="https://shop.scheppach.com/en-GB/Whetstone-Bench-Grinder-Tiger-2500-200W-250mm-Leather-Honing-Wheel/5903202901-500" TargetMode="External"/><Relationship Id="rId758" Type="http://schemas.openxmlformats.org/officeDocument/2006/relationships/hyperlink" Target="https://www.auxilab.es/controles/ObtenerPDF.ashx?f=%5c00%5c05%5c2m%5co0_F_PH_SELECTA_E.pdf" TargetMode="External"/><Relationship Id="rId757" Type="http://schemas.openxmlformats.org/officeDocument/2006/relationships/hyperlink" Target="https://soltronic.es/producto/pesas-de-corte-patrones/" TargetMode="External"/><Relationship Id="rId15" Type="http://schemas.openxmlformats.org/officeDocument/2006/relationships/hyperlink" Target="https://rodavigo.net/es/p/aceitera-metalica-msm-500-cc-ref-samoa-175250/294175250" TargetMode="External"/><Relationship Id="rId14" Type="http://schemas.openxmlformats.org/officeDocument/2006/relationships/hyperlink" Target="https://drive.google.com/file/d/19Fl0sGa3pS0FVx2xJHJH4F8n0yJTW7Xo/view?usp=sharing" TargetMode="External"/><Relationship Id="rId17" Type="http://schemas.openxmlformats.org/officeDocument/2006/relationships/hyperlink" Target="https://drive.google.com/file/d/19Fl0sGa3pS0FVx2xJHJH4F8n0yJTW7Xo/view?usp=sharing" TargetMode="External"/><Relationship Id="rId16" Type="http://schemas.openxmlformats.org/officeDocument/2006/relationships/hyperlink" Target="https://rodavigo.net/es/p/aceitera-metalica-msm-500-cc-ref-samoa-175250/294175250" TargetMode="External"/><Relationship Id="rId1340" Type="http://schemas.openxmlformats.org/officeDocument/2006/relationships/hyperlink" Target="https://drive.google.com/file/d/1OCbFNGZGK2T29DA6DWbu93qg2m8eEn0S/view" TargetMode="External"/><Relationship Id="rId19" Type="http://schemas.openxmlformats.org/officeDocument/2006/relationships/hyperlink" Target="https://rodavigo.net/es/p/aceitera-metalica-msm-500-cc-ref-samoa-175250/294175250" TargetMode="External"/><Relationship Id="rId752" Type="http://schemas.openxmlformats.org/officeDocument/2006/relationships/hyperlink" Target="https://electroventas.com.uy/catalogo/pelador-electrico-de-frutas-y-verduras_BOM9941_BOM9941" TargetMode="External"/><Relationship Id="rId1341" Type="http://schemas.openxmlformats.org/officeDocument/2006/relationships/hyperlink" Target="https://drive.google.com/file/d/1-1PianNXiDf7JHPbN5oqLqrzeXlMrlVH/view?usp=sharing" TargetMode="External"/><Relationship Id="rId18" Type="http://schemas.openxmlformats.org/officeDocument/2006/relationships/hyperlink" Target="https://rodavigo.net/es/p/aceitera-metalica-msm-500-cc-ref-samoa-175250/294175250" TargetMode="External"/><Relationship Id="rId751" Type="http://schemas.openxmlformats.org/officeDocument/2006/relationships/hyperlink" Target="https://drive.google.com/file/d/1Kr6yDzxqmHDgHm2SjAPF54FTitV7EFRL/view" TargetMode="External"/><Relationship Id="rId1342" Type="http://schemas.openxmlformats.org/officeDocument/2006/relationships/hyperlink" Target="https://drive.google.com/file/d/1kHuEvo-uqo09r2BdBlNWsTF2fzqVk0Lh/view" TargetMode="External"/><Relationship Id="rId750" Type="http://schemas.openxmlformats.org/officeDocument/2006/relationships/hyperlink" Target="https://drive.google.com/file/d/1Kr6yDzxqmHDgHm2SjAPF54FTitV7EFRL/view" TargetMode="External"/><Relationship Id="rId1343" Type="http://schemas.openxmlformats.org/officeDocument/2006/relationships/hyperlink" Target="https://drive.google.com/file/d/1kHuEvo-uqo09r2BdBlNWsTF2fzqVk0Lh/view" TargetMode="External"/><Relationship Id="rId1344" Type="http://schemas.openxmlformats.org/officeDocument/2006/relationships/hyperlink" Target="https://www.kandh.com.tw/pe-5000-power-electronics-training-system-pe-5000.html" TargetMode="External"/><Relationship Id="rId84" Type="http://schemas.openxmlformats.org/officeDocument/2006/relationships/hyperlink" Target="https://sodimac.falabella.com.pe/sodimac-pe/product/113085164/Arco-De-Sierra-Ajustable-Profesional-Stanley/113085168" TargetMode="External"/><Relationship Id="rId1774" Type="http://schemas.openxmlformats.org/officeDocument/2006/relationships/hyperlink" Target="https://inducom.com.pe/producto/motor-electrico-trifasico-de-alta-eficencia-ie3/" TargetMode="External"/><Relationship Id="rId83" Type="http://schemas.openxmlformats.org/officeDocument/2006/relationships/hyperlink" Target="https://pe.stanleytools.global/producto/15-555/arco-de-sierra-ajustable-pro-12-pulg-305-mm" TargetMode="External"/><Relationship Id="rId1775" Type="http://schemas.openxmlformats.org/officeDocument/2006/relationships/hyperlink" Target="https://www.alibaba.com/product-detail/3-IN-1-1320X1-5-TTMC_1024519964.html" TargetMode="External"/><Relationship Id="rId86" Type="http://schemas.openxmlformats.org/officeDocument/2006/relationships/hyperlink" Target="https://spanish.alibaba.com/product-detail/winding-wire-gauge-precision-wire-sheet-1947040513.html" TargetMode="External"/><Relationship Id="rId1776" Type="http://schemas.openxmlformats.org/officeDocument/2006/relationships/hyperlink" Target="https://drive.google.com/file/d/11pyfRpMGScfRUmdbaFWt-kZGdJU-Nhvv/view" TargetMode="External"/><Relationship Id="rId85" Type="http://schemas.openxmlformats.org/officeDocument/2006/relationships/hyperlink" Target="https://spanish.alibaba.com/product-detail/winding-wire-gauge-precision-wire-sheet-1947040513.html" TargetMode="External"/><Relationship Id="rId1777" Type="http://schemas.openxmlformats.org/officeDocument/2006/relationships/hyperlink" Target="https://firemansperu.com/productos/extintores-firemans/dioxido-de-carbono/" TargetMode="External"/><Relationship Id="rId88" Type="http://schemas.openxmlformats.org/officeDocument/2006/relationships/hyperlink" Target="https://store.ferrindustrial.com.pe/producto/calibrador-pie-de-rey-digital-ip54-de-8-200mm-202161-2-vogel-germany/" TargetMode="External"/><Relationship Id="rId1778" Type="http://schemas.openxmlformats.org/officeDocument/2006/relationships/hyperlink" Target="https://firemansperu.com/productos/extintores-firemans/dioxido-de-carbono/" TargetMode="External"/><Relationship Id="rId87" Type="http://schemas.openxmlformats.org/officeDocument/2006/relationships/hyperlink" Target="https://spanish.alibaba.com/product-detail/winding-wire-gauge-precision-wire-sheet-1947040513.html" TargetMode="External"/><Relationship Id="rId1779" Type="http://schemas.openxmlformats.org/officeDocument/2006/relationships/hyperlink" Target="https://firemansperu.com/productos/extintores-firemans/dioxido-de-carbono/" TargetMode="External"/><Relationship Id="rId89" Type="http://schemas.openxmlformats.org/officeDocument/2006/relationships/hyperlink" Target="https://drive.google.com/file/d/1t5MWLG6OmDK9PMHwGVtL9r4V7Sna1wg5/view?usp=sharing" TargetMode="External"/><Relationship Id="rId709" Type="http://schemas.openxmlformats.org/officeDocument/2006/relationships/hyperlink" Target="https://docs.google.com/spreadsheets/d/1Yh6XRoLw_DStoLOpCMeejDugf1f5gy8uy4kZdTlB0pA/edit?gid=0" TargetMode="External"/><Relationship Id="rId708" Type="http://schemas.openxmlformats.org/officeDocument/2006/relationships/hyperlink" Target="https://es.creative.com/p/speakers/creative-sbs-e2500" TargetMode="External"/><Relationship Id="rId707" Type="http://schemas.openxmlformats.org/officeDocument/2006/relationships/hyperlink" Target="https://docs.google.com/spreadsheets/d/1Yh6XRoLw_DStoLOpCMeejDugf1f5gy8uy4kZdTlB0pA/edit?gid=0" TargetMode="External"/><Relationship Id="rId706" Type="http://schemas.openxmlformats.org/officeDocument/2006/relationships/hyperlink" Target="https://es.creative.com/p/speakers/creative-sbs-e2500" TargetMode="External"/><Relationship Id="rId80" Type="http://schemas.openxmlformats.org/officeDocument/2006/relationships/hyperlink" Target="http://google.com/search?q=BRAIN+BEE+AGS-688&amp;rlz=1C1CHBD_esPE1168PE1168&amp;oq=BRAIN+BEE+AGS-688&amp;gs_lcrp=EgZjaHJvbWUyBggAEEUYOTIICAEQABgWGB4yCAgCEAAYFhgeMggIAxAAGBYYHjIICAQQABgWGB4yBggFEEUYPDIGCAYQRRg8MgYIBxBFGD3SAQgxMzcwajBqN6gCALACAA&amp;sourceid=chrome&amp;ie=UTF-8" TargetMode="External"/><Relationship Id="rId82" Type="http://schemas.openxmlformats.org/officeDocument/2006/relationships/hyperlink" Target="http://google.com/search?q=BRAIN+BEE+AGS-688&amp;rlz=1C1CHBD_esPE1168PE1168&amp;oq=BRAIN+BEE+AGS-688&amp;gs_lcrp=EgZjaHJvbWUyBggAEEUYOTIICAEQABgWGB4yCAgCEAAYFhgeMggIAxAAGBYYHjIICAQQABgWGB4yBggFEEUYPDIGCAYQRRg8MgYIBxBFGD3SAQgxMzcwajBqN6gCALACAA&amp;sourceid=chrome&amp;ie=UTF-10" TargetMode="External"/><Relationship Id="rId81" Type="http://schemas.openxmlformats.org/officeDocument/2006/relationships/hyperlink" Target="http://google.com/search?q=BRAIN+BEE+AGS-688&amp;rlz=1C1CHBD_esPE1168PE1168&amp;oq=BRAIN+BEE+AGS-688&amp;gs_lcrp=EgZjaHJvbWUyBggAEEUYOTIICAEQABgWGB4yCAgCEAAYFhgeMggIAxAAGBYYHjIICAQQABgWGB4yBggFEEUYPDIGCAYQRRg8MgYIBxBFGD3SAQgxMzcwajBqN6gCALACAA&amp;sourceid=chrome&amp;ie=UTF-9" TargetMode="External"/><Relationship Id="rId701" Type="http://schemas.openxmlformats.org/officeDocument/2006/relationships/hyperlink" Target="https://docs.google.com/spreadsheets/d/1Yh6XRoLw_DStoLOpCMeejDugf1f5gy8uy4kZdTlB0pA/edit?gid=0" TargetMode="External"/><Relationship Id="rId700" Type="http://schemas.openxmlformats.org/officeDocument/2006/relationships/hyperlink" Target="https://es.creative.com/p/speakers/creative-sbs-e2500" TargetMode="External"/><Relationship Id="rId705" Type="http://schemas.openxmlformats.org/officeDocument/2006/relationships/hyperlink" Target="https://docs.google.com/spreadsheets/d/1Yh6XRoLw_DStoLOpCMeejDugf1f5gy8uy4kZdTlB0pA/edit?gid=0" TargetMode="External"/><Relationship Id="rId704" Type="http://schemas.openxmlformats.org/officeDocument/2006/relationships/hyperlink" Target="https://es.creative.com/p/speakers/creative-sbs-e2500" TargetMode="External"/><Relationship Id="rId703" Type="http://schemas.openxmlformats.org/officeDocument/2006/relationships/hyperlink" Target="https://docs.google.com/spreadsheets/d/1Yh6XRoLw_DStoLOpCMeejDugf1f5gy8uy4kZdTlB0pA/edit?gid=0" TargetMode="External"/><Relationship Id="rId702" Type="http://schemas.openxmlformats.org/officeDocument/2006/relationships/hyperlink" Target="https://es.creative.com/p/speakers/creative-sbs-e2500" TargetMode="External"/><Relationship Id="rId1770" Type="http://schemas.openxmlformats.org/officeDocument/2006/relationships/hyperlink" Target="https://www.delcrosa.com.pe/es/productos/accionamientos/motores_electricos/motores_trifasicos_iec_serie_yd" TargetMode="External"/><Relationship Id="rId1771" Type="http://schemas.openxmlformats.org/officeDocument/2006/relationships/hyperlink" Target="https://inducom.com.pe/producto/motor-electrico-trifasico-de-alta-eficencia-ie3/" TargetMode="External"/><Relationship Id="rId1772" Type="http://schemas.openxmlformats.org/officeDocument/2006/relationships/hyperlink" Target="https://search.abb.com/library/Download.aspx?DocumentID=9AKK108196&amp;LanguageCode=en&amp;DocumentPartId=&amp;Action=Launch" TargetMode="External"/><Relationship Id="rId1773" Type="http://schemas.openxmlformats.org/officeDocument/2006/relationships/hyperlink" Target="https://inducom.com.pe/producto/motor-electrico-trifasico-de-alta-eficencia-ie3/" TargetMode="External"/><Relationship Id="rId73" Type="http://schemas.openxmlformats.org/officeDocument/2006/relationships/hyperlink" Target="https://www.maqcenter.pe/product/vaso-diamantado-para-concreto-segmentado-125-x-22-23mm-bosch-2608-601-762" TargetMode="External"/><Relationship Id="rId1763" Type="http://schemas.openxmlformats.org/officeDocument/2006/relationships/hyperlink" Target="https://www.amazon.com/dp/B0BRYDM39K/ref=sspa_dk_crr_aax_0?sp_csd=d2lkZ2V0TmFtZT1zcF9jcnJfc2hhcmVk&amp;th=1" TargetMode="External"/><Relationship Id="rId72" Type="http://schemas.openxmlformats.org/officeDocument/2006/relationships/hyperlink" Target="https://soelco.co/producto/mini-pulidora-angular-segura-900-w-125-mm-110-v-bosch/?srsltid=AfmBOorerIGp1jcFwSUGxZb2mjq5MenuM3THMVYyN7v09ItDhlwh_pEr" TargetMode="External"/><Relationship Id="rId1764" Type="http://schemas.openxmlformats.org/officeDocument/2006/relationships/hyperlink" Target="https://firemansperu.com/productos/extintores-firemans/dioxido-de-carbono/" TargetMode="External"/><Relationship Id="rId75" Type="http://schemas.openxmlformats.org/officeDocument/2006/relationships/hyperlink" Target="https://www.maqcenter.pe/product/vaso-diamantado-para-concreto-segmentado-125-x-22-23mm-bosch-2608-601-763" TargetMode="External"/><Relationship Id="rId1765" Type="http://schemas.openxmlformats.org/officeDocument/2006/relationships/hyperlink" Target="https://www.sodimac.com.pe/sodimac-pe/articulo/118344563/MOTOR-ELECTRICO-MONOFASICO-DE-0.5-HP-1750RPM/118344564" TargetMode="External"/><Relationship Id="rId74" Type="http://schemas.openxmlformats.org/officeDocument/2006/relationships/hyperlink" Target="https://soelco.co/producto/mini-pulidora-angular-segura-900-w-125-mm-110-v-bosch/?srsltid=AfmBOorerIGp1jcFwSUGxZb2mjq5MenuM3THMVYyN7v09ItDhlwh_pEr" TargetMode="External"/><Relationship Id="rId1766" Type="http://schemas.openxmlformats.org/officeDocument/2006/relationships/hyperlink" Target="https://www.sodimac.com.pe/sodimac-pe/articulo/118344563/MOTOR-ELECTRICO-MONOFASICO-DE-0.5-HP-1750RPM/118344564" TargetMode="External"/><Relationship Id="rId77" Type="http://schemas.openxmlformats.org/officeDocument/2006/relationships/hyperlink" Target="https://www.maqcenter.pe/product/vaso-diamantado-para-concreto-segmentado-125-x-22-23mm-bosch-2608-601-764" TargetMode="External"/><Relationship Id="rId1767" Type="http://schemas.openxmlformats.org/officeDocument/2006/relationships/hyperlink" Target="https://www.sodimac.com.pe/sodimac-pe/articulo/118344563/MOTOR-ELECTRICO-MONOFASICO-DE-0.5-HP-1750RPM/118344564" TargetMode="External"/><Relationship Id="rId76" Type="http://schemas.openxmlformats.org/officeDocument/2006/relationships/hyperlink" Target="https://soelco.co/producto/mini-pulidora-angular-segura-900-w-125-mm-110-v-bosch/?srsltid=AfmBOorerIGp1jcFwSUGxZb2mjq5MenuM3THMVYyN7v09ItDhlwh_pEr" TargetMode="External"/><Relationship Id="rId1768" Type="http://schemas.openxmlformats.org/officeDocument/2006/relationships/hyperlink" Target="https://www.delcrosa.com.pe/es/productos/accionamientos/motores_electricos/motores_trifasicos_iec_serie_yd" TargetMode="External"/><Relationship Id="rId79" Type="http://schemas.openxmlformats.org/officeDocument/2006/relationships/hyperlink" Target="https://drive.google.com/file/d/18_l4zUQKyGrXJAh-qmm2EvuZAqU9AGTj/view" TargetMode="External"/><Relationship Id="rId1769" Type="http://schemas.openxmlformats.org/officeDocument/2006/relationships/hyperlink" Target="https://www.delcrosa.com.pe/es/productos/accionamientos/motores_electricos/motores_trifasicos_iec_serie_yd" TargetMode="External"/><Relationship Id="rId78" Type="http://schemas.openxmlformats.org/officeDocument/2006/relationships/hyperlink" Target="https://www.gwinstek.com/en-US/products/detail/GSP-730" TargetMode="External"/><Relationship Id="rId71" Type="http://schemas.openxmlformats.org/officeDocument/2006/relationships/hyperlink" Target="https://spanish.alibaba.com/product-detail/winding-wire-gauge-precision-wire-sheet-1947040513.html" TargetMode="External"/><Relationship Id="rId70" Type="http://schemas.openxmlformats.org/officeDocument/2006/relationships/hyperlink" Target="https://www.maqcenter.pe/product/vaso-diamantado-para-concreto-segmentado-125-x-22-23mm-bosch-2608-601-762" TargetMode="External"/><Relationship Id="rId1760" Type="http://schemas.openxmlformats.org/officeDocument/2006/relationships/hyperlink" Target="https://www.audioproperu.com/producto/ik-multimedia-iloud-micro-monitor-monitores-de-referencia-de-estudio-ultracompactos-y-de-alta-calidad/?srsltid=AfmBOoqBgWh8AqURWfJfOF3TSlK0pvE4M-NNvxBfJtqK2weMoQQCeTEc" TargetMode="External"/><Relationship Id="rId1761" Type="http://schemas.openxmlformats.org/officeDocument/2006/relationships/hyperlink" Target="https://www.amazon.com/dp/B0BRYDM39K/ref=sspa_dk_crr_aax_0?sp_csd=d2lkZ2V0TmFtZT1zcF9jcnJfc2hhcmVk&amp;th=1" TargetMode="External"/><Relationship Id="rId1762" Type="http://schemas.openxmlformats.org/officeDocument/2006/relationships/hyperlink" Target="https://www.audioproperu.com/producto/ik-multimedia-iloud-micro-monitor-monitores-de-referencia-de-estudio-ultracompactos-y-de-alta-calidad/?srsltid=AfmBOoqBgWh8AqURWfJfOF3TSlK0pvE4M-NNvxBfJtqK2weMoQQCeTEc" TargetMode="External"/><Relationship Id="rId62" Type="http://schemas.openxmlformats.org/officeDocument/2006/relationships/hyperlink" Target="https://www.gruponova.pe/products/bandeja-perforada-60-x-40-cm-aluminio-1-2-mm" TargetMode="External"/><Relationship Id="rId1312" Type="http://schemas.openxmlformats.org/officeDocument/2006/relationships/hyperlink" Target="https://drive.google.com/file/d/1pQU39LoIKEVnEm3gAc-pUJxuuoHdBGjz/view?usp=sharing" TargetMode="External"/><Relationship Id="rId1796" Type="http://schemas.openxmlformats.org/officeDocument/2006/relationships/hyperlink" Target="https://meters.uni-trend.com/product/ut61plus-series/" TargetMode="External"/><Relationship Id="rId61" Type="http://schemas.openxmlformats.org/officeDocument/2006/relationships/hyperlink" Target="https://www.gruponova.pe/products/bandeja-perforada-60-x-40-cm-aluminio-1-2-mm" TargetMode="External"/><Relationship Id="rId1313" Type="http://schemas.openxmlformats.org/officeDocument/2006/relationships/hyperlink" Target="https://drive.google.com/file/d/1pQU39LoIKEVnEm3gAc-pUJxuuoHdBGjz/view?usp=sharing" TargetMode="External"/><Relationship Id="rId1797" Type="http://schemas.openxmlformats.org/officeDocument/2006/relationships/hyperlink" Target="https://drive.google.com/file/d/1Gm8nIRKEQNOyllcVcqpDUaFl-M5AnbfA/view?usp=sharing" TargetMode="External"/><Relationship Id="rId64" Type="http://schemas.openxmlformats.org/officeDocument/2006/relationships/hyperlink" Target="https://www.sodimac.com.pe/sodimac-pe/articulo/130332764/Bandeja-para-hornear-Eighth-de-aluminio-de-24cm-x-16cm/130332765" TargetMode="External"/><Relationship Id="rId1314" Type="http://schemas.openxmlformats.org/officeDocument/2006/relationships/hyperlink" Target="https://www.truper.com/ficha_tecnica/Brochas-corte-angular-cerdas-sinteticas-mango-de-madera.html?code=13341" TargetMode="External"/><Relationship Id="rId1798" Type="http://schemas.openxmlformats.org/officeDocument/2006/relationships/hyperlink" Target="https://hiraoka.com.pe/procesador-de-alimentos-thomas-th-9170b?utm_id=22793891402&amp;gad_source=1&amp;gad_campaignid=22793891402&amp;gbraid=0AAAAACkNDqlI27oXl0JzAfOGWgXAVYofQ&amp;gclid=CjwKCAjwq9rFBhAIEiwAGVAZP_pbszxa8uaJt_9XtoWcJZZgbTfjzivkM156ChhvNRJ9kQ5tB65O-RoC4I4QAvD_BwE" TargetMode="External"/><Relationship Id="rId63" Type="http://schemas.openxmlformats.org/officeDocument/2006/relationships/hyperlink" Target="https://morteroypiedra.mobirisesite.com/" TargetMode="External"/><Relationship Id="rId1315" Type="http://schemas.openxmlformats.org/officeDocument/2006/relationships/hyperlink" Target="https://www.truper.com/ficha_tecnica/Brochas-corte-angular-cerdas-sinteticas-mango-de-madera.html?code=13341" TargetMode="External"/><Relationship Id="rId1799" Type="http://schemas.openxmlformats.org/officeDocument/2006/relationships/hyperlink" Target="https://drive.google.com/file/d/1F99djZAZqSmFCW3UEMA6889TW4UMkbZz/view" TargetMode="External"/><Relationship Id="rId66" Type="http://schemas.openxmlformats.org/officeDocument/2006/relationships/hyperlink" Target="https://www.diager.com/en/catalogue/forstner-woodmax-940d/" TargetMode="External"/><Relationship Id="rId1316" Type="http://schemas.openxmlformats.org/officeDocument/2006/relationships/hyperlink" Target="https://www.uysa.com.pe/brocha-p-reposteria-silicona-con-mango-verde-de-abs-70067391/p?srsltid=AfmBOoo5FFHt3WEU0McXc8V9ycySDEQ00Ip0vMv2xUz8TIsp3JRRCTYh" TargetMode="External"/><Relationship Id="rId65" Type="http://schemas.openxmlformats.org/officeDocument/2006/relationships/hyperlink" Target="https://www.diager.com/en/catalogue/forstner-woodmax-940d/" TargetMode="External"/><Relationship Id="rId1317" Type="http://schemas.openxmlformats.org/officeDocument/2006/relationships/hyperlink" Target="https://www.uysa.com.pe/brocha-p-reposteria-silicona-con-mango-verde-de-abs-70067391/p?srsltid=AfmBOoo5FFHt3WEU0McXc8V9ycySDEQ00Ip0vMv2xUz8TIsp3JRRCTYh" TargetMode="External"/><Relationship Id="rId68" Type="http://schemas.openxmlformats.org/officeDocument/2006/relationships/hyperlink" Target="https://www.bt-ingenieros.com/bancos-de-trabajo/4910-caballete-telescopico-resistente-150-kg.html?srsltid=AfmBOorMzvQl0wxAH4xVyFmQDWyGQ2BE4Iilk0RbNdajYxslAl0mQC9-&amp;utm_source=chatgpt.com" TargetMode="External"/><Relationship Id="rId1318" Type="http://schemas.openxmlformats.org/officeDocument/2006/relationships/hyperlink" Target="https://drive.google.com/file/d/1pphnmDgzBUV_K98QtTkJr0xe_I44PGif/view?usp=sharing" TargetMode="External"/><Relationship Id="rId67" Type="http://schemas.openxmlformats.org/officeDocument/2006/relationships/hyperlink" Target="https://www.aslak.es/madera/5900007-caballete-extensible-tab-1300.html" TargetMode="External"/><Relationship Id="rId1319" Type="http://schemas.openxmlformats.org/officeDocument/2006/relationships/hyperlink" Target="https://www.lacuisine.pe/lgc/product/brocha-de-silicona-de-23cm-gris-61-33436-tovolo/?utm_source" TargetMode="External"/><Relationship Id="rId729" Type="http://schemas.openxmlformats.org/officeDocument/2006/relationships/hyperlink" Target="https://www.autel.com/es/mk3/3769.jhtml" TargetMode="External"/><Relationship Id="rId728" Type="http://schemas.openxmlformats.org/officeDocument/2006/relationships/hyperlink" Target="https://drive.google.com/file/d/173Jrsa8tjK_o-RfHqXEfKARBTfIi9OxG/view" TargetMode="External"/><Relationship Id="rId60" Type="http://schemas.openxmlformats.org/officeDocument/2006/relationships/hyperlink" Target="https://www.gruponova.pe/products/bandeja-perforada-60-x-40-cm-aluminio-1-2-mm" TargetMode="External"/><Relationship Id="rId723" Type="http://schemas.openxmlformats.org/officeDocument/2006/relationships/hyperlink" Target="https://delanitrading.com/producto/separador-de-piedras-e-impurezas-bean-cleaner/" TargetMode="External"/><Relationship Id="rId722" Type="http://schemas.openxmlformats.org/officeDocument/2006/relationships/hyperlink" Target="https://drive.google.com/file/d/173Jrsa8tjK_o-RfHqXEfKARBTfIi9OxG/view" TargetMode="External"/><Relationship Id="rId721" Type="http://schemas.openxmlformats.org/officeDocument/2006/relationships/hyperlink" Target="https://delanitrading.com/producto/separador-de-piedras-e-impurezas-bean-cleaner/" TargetMode="External"/><Relationship Id="rId720" Type="http://schemas.openxmlformats.org/officeDocument/2006/relationships/hyperlink" Target="https://docs.google.com/spreadsheets/d/1Yh6XRoLw_DStoLOpCMeejDugf1f5gy8uy4kZdTlB0pA/edit?gid=0" TargetMode="External"/><Relationship Id="rId727" Type="http://schemas.openxmlformats.org/officeDocument/2006/relationships/hyperlink" Target="https://delanitrading.com/producto/separador-de-piedras-e-impurezas-bean-cleaner/" TargetMode="External"/><Relationship Id="rId726" Type="http://schemas.openxmlformats.org/officeDocument/2006/relationships/hyperlink" Target="https://drive.google.com/file/d/173Jrsa8tjK_o-RfHqXEfKARBTfIi9OxG/view" TargetMode="External"/><Relationship Id="rId725" Type="http://schemas.openxmlformats.org/officeDocument/2006/relationships/hyperlink" Target="https://delanitrading.com/producto/separador-de-piedras-e-impurezas-bean-cleaner/" TargetMode="External"/><Relationship Id="rId724" Type="http://schemas.openxmlformats.org/officeDocument/2006/relationships/hyperlink" Target="https://drive.google.com/file/d/173Jrsa8tjK_o-RfHqXEfKARBTfIi9OxG/view" TargetMode="External"/><Relationship Id="rId69" Type="http://schemas.openxmlformats.org/officeDocument/2006/relationships/hyperlink" Target="https://soelco.co/producto/mini-pulidora-angular-segura-900-w-125-mm-110-v-bosch/?srsltid=AfmBOorerIGp1jcFwSUGxZb2mjq5MenuM3THMVYyN7v09ItDhlwh_pEr" TargetMode="External"/><Relationship Id="rId1790" Type="http://schemas.openxmlformats.org/officeDocument/2006/relationships/hyperlink" Target="https://meters.uni-trend.com/product/ut61plus-series/" TargetMode="External"/><Relationship Id="rId1791" Type="http://schemas.openxmlformats.org/officeDocument/2006/relationships/hyperlink" Target="https://drive.google.com/file/d/1dbahtMEu-pGSwu1cN_RnX3u_xFhGDKSs/view" TargetMode="External"/><Relationship Id="rId1792" Type="http://schemas.openxmlformats.org/officeDocument/2006/relationships/hyperlink" Target="https://meters.uni-trend.com/product/ut61plus-series/" TargetMode="External"/><Relationship Id="rId1793" Type="http://schemas.openxmlformats.org/officeDocument/2006/relationships/hyperlink" Target="https://drive.google.com/file/d/1dbahtMEu-pGSwu1cN_RnX3u_xFhGDKSs/view" TargetMode="External"/><Relationship Id="rId1310" Type="http://schemas.openxmlformats.org/officeDocument/2006/relationships/hyperlink" Target="https://drive.google.com/file/d/1VFyhOgA4N6Y5Dxsl3IyaY1tAsMmtjMK-/view" TargetMode="External"/><Relationship Id="rId1794" Type="http://schemas.openxmlformats.org/officeDocument/2006/relationships/hyperlink" Target="https://meters.uni-trend.com/product/ut61plus-series/" TargetMode="External"/><Relationship Id="rId1311" Type="http://schemas.openxmlformats.org/officeDocument/2006/relationships/hyperlink" Target="https://drive.google.com/file/d/1pQU39LoIKEVnEm3gAc-pUJxuuoHdBGjz/view?usp=sharing" TargetMode="External"/><Relationship Id="rId1795" Type="http://schemas.openxmlformats.org/officeDocument/2006/relationships/hyperlink" Target="https://drive.google.com/file/d/1Gm8nIRKEQNOyllcVcqpDUaFl-M5AnbfA/view?usp=sharing" TargetMode="External"/><Relationship Id="rId51" Type="http://schemas.openxmlformats.org/officeDocument/2006/relationships/hyperlink" Target="https://www.gruponova.pe/products/bandeja-baguetera-65-x-45-cm-aluminio-1-0-mm?srsltid=AfmBOoqOwV7_WIbUufTObIZ8D2cjVsg3Rb8rq9_NE7ZV8Lr0Oxj6_bjO" TargetMode="External"/><Relationship Id="rId1301" Type="http://schemas.openxmlformats.org/officeDocument/2006/relationships/hyperlink" Target="https://drive.google.com/file/d/1xhd3SJ0A0FHAHRZ7BayEv4ely7x0QnDL/view?usp=sharing" TargetMode="External"/><Relationship Id="rId1785" Type="http://schemas.openxmlformats.org/officeDocument/2006/relationships/hyperlink" Target="https://meters.uni-trend.com/product/ut61plus-series/" TargetMode="External"/><Relationship Id="rId50" Type="http://schemas.openxmlformats.org/officeDocument/2006/relationships/hyperlink" Target="https://www.bt-ingenieros.com/bandejas-vaciado-aceite/733-bandeja-recogedora-de-aceite-16-litros.html?srsltid=AfmBOoqpJPLJ-mNGsXyfwiuKfmUkRj3zXtkFVCEC4g_IWkkIwPvG-Bhm&amp;utm_source=chatgpt.com" TargetMode="External"/><Relationship Id="rId1302" Type="http://schemas.openxmlformats.org/officeDocument/2006/relationships/hyperlink" Target="https://www.amazon.com/-/es/Table-Batidor-franc%C3%A9s-inoxidable-plateado/dp/B0743WJ858?th=1" TargetMode="External"/><Relationship Id="rId1786" Type="http://schemas.openxmlformats.org/officeDocument/2006/relationships/hyperlink" Target="https://drive.google.com/file/d/1dbahtMEu-pGSwu1cN_RnX3u_xFhGDKSs/view" TargetMode="External"/><Relationship Id="rId53" Type="http://schemas.openxmlformats.org/officeDocument/2006/relationships/hyperlink" Target="https://www.gruponova.pe/products/bandeja-baguetera-65-x-45-cm-aluminio-1-0-mm?srsltid=AfmBOoqOwV7_WIbUufTObIZ8D2cjVsg3Rb8rq9_NE7ZV8Lr0Oxj6_bjO" TargetMode="External"/><Relationship Id="rId1303" Type="http://schemas.openxmlformats.org/officeDocument/2006/relationships/hyperlink" Target="https://www.tramontina.com.pe/batidor-manual-marffim-de-acero-inoxidable-de-32-cm-tramontina_63809530/p?srsltid=AfmBOopiEUk53igz7csaroqjgk56ok_LCmBxtb8uhT_5XP-GcBF1Wq67" TargetMode="External"/><Relationship Id="rId1787" Type="http://schemas.openxmlformats.org/officeDocument/2006/relationships/hyperlink" Target="https://drive.google.com/file/d/1yV7qR0ghv-zvg3H7GGZsFkisjvTeTVH9/view" TargetMode="External"/><Relationship Id="rId52" Type="http://schemas.openxmlformats.org/officeDocument/2006/relationships/hyperlink" Target="https://www.gruponova.pe/products/bandeja-baguetera-65-x-45-cm-aluminio-1-0-mm?srsltid=AfmBOoqOwV7_WIbUufTObIZ8D2cjVsg3Rb8rq9_NE7ZV8Lr0Oxj6_bjO" TargetMode="External"/><Relationship Id="rId1304" Type="http://schemas.openxmlformats.org/officeDocument/2006/relationships/hyperlink" Target="https://drive.google.com/file/d/1xhd3SJ0A0FHAHRZ7BayEv4ely7x0QnDL/view?usp=sharing" TargetMode="External"/><Relationship Id="rId1788" Type="http://schemas.openxmlformats.org/officeDocument/2006/relationships/hyperlink" Target="https://meters.uni-trend.com/product/ut61plus-series/" TargetMode="External"/><Relationship Id="rId55" Type="http://schemas.openxmlformats.org/officeDocument/2006/relationships/hyperlink" Target="https://www.gruponova.pe/products/bandeja-lisa-53-x-32-5-cm-aluminio-gn-1-1?srsltid=AfmBOooyI3NpdPvdiqZyovJpsOyk-2LxuyNFKNCAcrHwYuHEynUd1rJO" TargetMode="External"/><Relationship Id="rId1305" Type="http://schemas.openxmlformats.org/officeDocument/2006/relationships/hyperlink" Target="https://www.amazon.com/-/es/Table-Batidor-franc%C3%A9s-inoxidable-plateado/dp/B0743WJ858?th=1" TargetMode="External"/><Relationship Id="rId1789" Type="http://schemas.openxmlformats.org/officeDocument/2006/relationships/hyperlink" Target="https://drive.google.com/file/d/1Gm8nIRKEQNOyllcVcqpDUaFl-M5AnbfA/view?usp=sharing" TargetMode="External"/><Relationship Id="rId54" Type="http://schemas.openxmlformats.org/officeDocument/2006/relationships/hyperlink" Target="https://www.gruponova.pe/products/bandeja-baguetera-65-x-45-cm-aluminio-1-0-mm?srsltid=AfmBOoqOwV7_WIbUufTObIZ8D2cjVsg3Rb8rq9_NE7ZV8Lr0Oxj6_bjO" TargetMode="External"/><Relationship Id="rId1306" Type="http://schemas.openxmlformats.org/officeDocument/2006/relationships/hyperlink" Target="https://grupocasalima.com/producto/bota-de-pvc-blanco-c-punta-segusa/" TargetMode="External"/><Relationship Id="rId57" Type="http://schemas.openxmlformats.org/officeDocument/2006/relationships/hyperlink" Target="https://www.gruponova.pe/products/bandeja-lisa-53-x-32-5-cm-aluminio-gn-1-1?srsltid=AfmBOooyI3NpdPvdiqZyovJpsOyk-2LxuyNFKNCAcrHwYuHEynUd1rJO" TargetMode="External"/><Relationship Id="rId1307" Type="http://schemas.openxmlformats.org/officeDocument/2006/relationships/hyperlink" Target="https://grupocasalima.com/producto/bota-de-pvc-blanco-c-punta-segusa/" TargetMode="External"/><Relationship Id="rId56" Type="http://schemas.openxmlformats.org/officeDocument/2006/relationships/hyperlink" Target="https://www.gruponova.pe/products/bandeja-lisa-53-x-32-5-cm-aluminio-gn-1-1?srsltid=AfmBOooyI3NpdPvdiqZyovJpsOyk-2LxuyNFKNCAcrHwYuHEynUd1rJO" TargetMode="External"/><Relationship Id="rId1308" Type="http://schemas.openxmlformats.org/officeDocument/2006/relationships/hyperlink" Target="https://grupocasalima.com/producto/bota-de-pvc-blanco-c-punta-segusa/" TargetMode="External"/><Relationship Id="rId1309" Type="http://schemas.openxmlformats.org/officeDocument/2006/relationships/hyperlink" Target="https://grupocasalima.com/producto/bota-de-pvc-blanco-c-punta-segusa/" TargetMode="External"/><Relationship Id="rId719" Type="http://schemas.openxmlformats.org/officeDocument/2006/relationships/hyperlink" Target="https://es.creative.com/p/speakers/creative-sbs-e2500" TargetMode="External"/><Relationship Id="rId718" Type="http://schemas.openxmlformats.org/officeDocument/2006/relationships/hyperlink" Target="https://www.truper.com/CatVigente/Pistolas-de-aire-de-GRAVEDAD-hibridas-aerografo-y-mueble-exhibidor-TRUPER-103.html" TargetMode="External"/><Relationship Id="rId717" Type="http://schemas.openxmlformats.org/officeDocument/2006/relationships/hyperlink" Target="https://docs.google.com/spreadsheets/d/1Yh6XRoLw_DStoLOpCMeejDugf1f5gy8uy4kZdTlB0pA/edit?gid=0" TargetMode="External"/><Relationship Id="rId712" Type="http://schemas.openxmlformats.org/officeDocument/2006/relationships/hyperlink" Target="https://es.creative.com/p/speakers/creative-sbs-e2500" TargetMode="External"/><Relationship Id="rId711" Type="http://schemas.openxmlformats.org/officeDocument/2006/relationships/hyperlink" Target="https://docs.google.com/spreadsheets/d/1Yh6XRoLw_DStoLOpCMeejDugf1f5gy8uy4kZdTlB0pA/edit?gid=0" TargetMode="External"/><Relationship Id="rId710" Type="http://schemas.openxmlformats.org/officeDocument/2006/relationships/hyperlink" Target="https://es.creative.com/p/speakers/creative-sbs-e2500" TargetMode="External"/><Relationship Id="rId716" Type="http://schemas.openxmlformats.org/officeDocument/2006/relationships/hyperlink" Target="https://es.creative.com/p/speakers/creative-sbs-e2500" TargetMode="External"/><Relationship Id="rId715" Type="http://schemas.openxmlformats.org/officeDocument/2006/relationships/hyperlink" Target="https://docs.google.com/spreadsheets/d/1Yh6XRoLw_DStoLOpCMeejDugf1f5gy8uy4kZdTlB0pA/edit?gid=0" TargetMode="External"/><Relationship Id="rId714" Type="http://schemas.openxmlformats.org/officeDocument/2006/relationships/hyperlink" Target="https://es.creative.com/p/speakers/creative-sbs-e2500" TargetMode="External"/><Relationship Id="rId713" Type="http://schemas.openxmlformats.org/officeDocument/2006/relationships/hyperlink" Target="https://docs.google.com/spreadsheets/d/1Yh6XRoLw_DStoLOpCMeejDugf1f5gy8uy4kZdTlB0pA/edit?gid=0" TargetMode="External"/><Relationship Id="rId59" Type="http://schemas.openxmlformats.org/officeDocument/2006/relationships/hyperlink" Target="https://www.gruponova.pe/products/bandeja-perforada-60-x-40-cm-aluminio-1-2-mm" TargetMode="External"/><Relationship Id="rId58" Type="http://schemas.openxmlformats.org/officeDocument/2006/relationships/hyperlink" Target="https://www.gruponova.pe/products/bandeja-lisa-53-x-32-5-cm-aluminio-gn-1-1?srsltid=AfmBOooyI3NpdPvdiqZyovJpsOyk-2LxuyNFKNCAcrHwYuHEynUd1rJO" TargetMode="External"/><Relationship Id="rId1780" Type="http://schemas.openxmlformats.org/officeDocument/2006/relationships/hyperlink" Target="https://firemansperu.com/productos/extintores-firemans/dioxido-de-carbono/" TargetMode="External"/><Relationship Id="rId1781" Type="http://schemas.openxmlformats.org/officeDocument/2006/relationships/hyperlink" Target="https://firemansperu.com/productos/extintores-firemans/dioxido-de-carbono/" TargetMode="External"/><Relationship Id="rId1782" Type="http://schemas.openxmlformats.org/officeDocument/2006/relationships/hyperlink" Target="https://www.amerex-peru.com/ficha-tecnica-de-extintor-amerex-de-6-litros-de-clase-k/" TargetMode="External"/><Relationship Id="rId1783" Type="http://schemas.openxmlformats.org/officeDocument/2006/relationships/hyperlink" Target="https://meters.uni-trend.com/product/ut61plus-series/" TargetMode="External"/><Relationship Id="rId1300" Type="http://schemas.openxmlformats.org/officeDocument/2006/relationships/hyperlink" Target="https://www.tramontina.com.pe/batidor-manual-marffim-de-acero-inoxidable-de-32-cm-tramontina_63809530/p?srsltid=AfmBOopiEUk53igz7csaroqjgk56ok_LCmBxtb8uhT_5XP-GcBF1Wq67" TargetMode="External"/><Relationship Id="rId1784" Type="http://schemas.openxmlformats.org/officeDocument/2006/relationships/hyperlink" Target="https://drive.google.com/file/d/1Gm8nIRKEQNOyllcVcqpDUaFl-M5AnbfA/view?usp=sharing" TargetMode="External"/><Relationship Id="rId2269" Type="http://schemas.openxmlformats.org/officeDocument/2006/relationships/hyperlink" Target="https://inquirecontent2.ingrammicro.com/Manufacturer-Brochure/1086740376.pdf" TargetMode="External"/><Relationship Id="rId349" Type="http://schemas.openxmlformats.org/officeDocument/2006/relationships/hyperlink" Target="https://drive.google.com/file/d/1DhN-qBqOPB7WcKkH-siolO4n5k-8_T1h/view?usp=sharing" TargetMode="External"/><Relationship Id="rId348" Type="http://schemas.openxmlformats.org/officeDocument/2006/relationships/hyperlink" Target="https://productos.aghasaturis.com/pdf/2056945" TargetMode="External"/><Relationship Id="rId347" Type="http://schemas.openxmlformats.org/officeDocument/2006/relationships/hyperlink" Target="https://drive.google.com/file/d/1DhN-qBqOPB7WcKkH-siolO4n5k-8_T1h/view?usp=sharing" TargetMode="External"/><Relationship Id="rId346" Type="http://schemas.openxmlformats.org/officeDocument/2006/relationships/hyperlink" Target="https://productos.aghasaturis.com/pdf/2056945" TargetMode="External"/><Relationship Id="rId2260" Type="http://schemas.openxmlformats.org/officeDocument/2006/relationships/hyperlink" Target="https://www.amazon.com.mx/Inoxidable-Cocinar-Calentar-Preparar-Alimentos/dp/B0BX2FP81N" TargetMode="External"/><Relationship Id="rId341" Type="http://schemas.openxmlformats.org/officeDocument/2006/relationships/hyperlink" Target="https://drive.google.com/file/d/1lokuK7hLvnpdnXNgTBbDMTia3WO5WYn4/view?usp=drive_link" TargetMode="External"/><Relationship Id="rId2261" Type="http://schemas.openxmlformats.org/officeDocument/2006/relationships/hyperlink" Target="https://www.amazon.com.mx/Inoxidable-Cocinar-Calentar-Preparar-Alimentos/dp/B0BX2FP81N" TargetMode="External"/><Relationship Id="rId340" Type="http://schemas.openxmlformats.org/officeDocument/2006/relationships/hyperlink" Target="https://simple.ripley.com.pe/exprimidor-de-citricos-dsp-160-w-electrico-kj1051-pmp20000365151?srsltid=AfmBOop5GPvaAs9qjxGgD6beMUMPSS6wNTPVLkS2vpRug84HljfGNciF&amp;color_80=negro&amp;s=mdco" TargetMode="External"/><Relationship Id="rId2262" Type="http://schemas.openxmlformats.org/officeDocument/2006/relationships/hyperlink" Target="https://www.amazon.com.mx/Inoxidable-Cocinar-Calentar-Preparar-Alimentos/dp/B0BX2FP81N" TargetMode="External"/><Relationship Id="rId2263" Type="http://schemas.openxmlformats.org/officeDocument/2006/relationships/hyperlink" Target="https://www.amazon.com.mx/Inoxidable-Cocinar-Calentar-Preparar-Alimentos/dp/B0BX2FP81N" TargetMode="External"/><Relationship Id="rId2264" Type="http://schemas.openxmlformats.org/officeDocument/2006/relationships/hyperlink" Target="https://www.amazon.com.mx/Inoxidable-Cocinar-Calentar-Preparar-Alimentos/dp/B0BX2FP81N" TargetMode="External"/><Relationship Id="rId345" Type="http://schemas.openxmlformats.org/officeDocument/2006/relationships/hyperlink" Target="https://drive.google.com/file/d/1lokuK7hLvnpdnXNgTBbDMTia3WO5WYn4/view?usp=drive_link" TargetMode="External"/><Relationship Id="rId2265" Type="http://schemas.openxmlformats.org/officeDocument/2006/relationships/hyperlink" Target="https://www.amazon.com.mx/Inoxidable-Cocinar-Calentar-Preparar-Alimentos/dp/B0BX2FP81N" TargetMode="External"/><Relationship Id="rId344" Type="http://schemas.openxmlformats.org/officeDocument/2006/relationships/hyperlink" Target="https://simple.ripley.com.pe/exprimidor-de-citricos-dsp-160-w-electrico-kj1051-pmp20000365151?srsltid=AfmBOop5GPvaAs9qjxGgD6beMUMPSS6wNTPVLkS2vpRug84HljfGNciF&amp;color_80=negro&amp;s=mdco" TargetMode="External"/><Relationship Id="rId2266" Type="http://schemas.openxmlformats.org/officeDocument/2006/relationships/hyperlink" Target="https://www.amazon.com.mx/Inoxidable-Cocinar-Calentar-Preparar-Alimentos/dp/B0BX2FP81N" TargetMode="External"/><Relationship Id="rId343" Type="http://schemas.openxmlformats.org/officeDocument/2006/relationships/hyperlink" Target="https://drive.google.com/file/d/1lokuK7hLvnpdnXNgTBbDMTia3WO5WYn4/view?usp=drive_link" TargetMode="External"/><Relationship Id="rId2267" Type="http://schemas.openxmlformats.org/officeDocument/2006/relationships/hyperlink" Target="https://inquirecontent2.ingrammicro.com/Manufacturer-Brochure/1086740376.pdf" TargetMode="External"/><Relationship Id="rId342" Type="http://schemas.openxmlformats.org/officeDocument/2006/relationships/hyperlink" Target="https://simple.ripley.com.pe/exprimidor-de-citricos-dsp-160-w-electrico-kj1051-pmp20000365151?srsltid=AfmBOop5GPvaAs9qjxGgD6beMUMPSS6wNTPVLkS2vpRug84HljfGNciF&amp;color_80=negro&amp;s=mdco" TargetMode="External"/><Relationship Id="rId2268" Type="http://schemas.openxmlformats.org/officeDocument/2006/relationships/hyperlink" Target="https://inquirecontent2.ingrammicro.com/Manufacturer-Brochure/1086740376.pdf" TargetMode="External"/><Relationship Id="rId2258" Type="http://schemas.openxmlformats.org/officeDocument/2006/relationships/hyperlink" Target="https://www.amazon.com.mx/Inoxidable-Cocinar-Calentar-Preparar-Alimentos/dp/B0BX2FP81N" TargetMode="External"/><Relationship Id="rId2259" Type="http://schemas.openxmlformats.org/officeDocument/2006/relationships/hyperlink" Target="https://www.amazon.com.mx/Inoxidable-Cocinar-Calentar-Preparar-Alimentos/dp/B0BX2FP81N" TargetMode="External"/><Relationship Id="rId338" Type="http://schemas.openxmlformats.org/officeDocument/2006/relationships/hyperlink" Target="https://simple.ripley.com.pe/exprimidor-de-citricos-dsp-160-w-electrico-kj1051-pmp20000365151?srsltid=AfmBOop5GPvaAs9qjxGgD6beMUMPSS6wNTPVLkS2vpRug84HljfGNciF&amp;color_80=negro&amp;s=mdco" TargetMode="External"/><Relationship Id="rId337" Type="http://schemas.openxmlformats.org/officeDocument/2006/relationships/hyperlink" Target="https://drive.google.com/file/d/1M5RwlZXc666TrrdmEiYNAk1Q9W2u5L1X/view?usp=drive_link" TargetMode="External"/><Relationship Id="rId336" Type="http://schemas.openxmlformats.org/officeDocument/2006/relationships/hyperlink" Target="https://grondoy.com/productos/Dispensadores/exprimidor-de-cana-de-azucar-manual?srsltid=AfmBOopMm1WxNbhYLzCfpEDBSG0DVxW2Vrr61u5HDpWd5wD9dY_TQTfR" TargetMode="External"/><Relationship Id="rId335" Type="http://schemas.openxmlformats.org/officeDocument/2006/relationships/hyperlink" Target="https://www.amazon.com/-/es/soldadura-pulgadas-industrial-capacidad-port%C3%A1til/dp/B0DDPVR3L1" TargetMode="External"/><Relationship Id="rId339" Type="http://schemas.openxmlformats.org/officeDocument/2006/relationships/hyperlink" Target="https://drive.google.com/file/d/1lokuK7hLvnpdnXNgTBbDMTia3WO5WYn4/view?usp=drive_link" TargetMode="External"/><Relationship Id="rId330" Type="http://schemas.openxmlformats.org/officeDocument/2006/relationships/hyperlink" Target="https://drive.google.com/file/d/1M5RwlZXc666TrrdmEiYNAk1Q9W2u5L1X/view?usp=drive_link" TargetMode="External"/><Relationship Id="rId2250" Type="http://schemas.openxmlformats.org/officeDocument/2006/relationships/hyperlink" Target="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 TargetMode="External"/><Relationship Id="rId2251" Type="http://schemas.openxmlformats.org/officeDocument/2006/relationships/hyperlink" Target="https://massbusinessperu.com/destornillador-plano-18-x-4-p?srsltid=AfmBOophH5moEuwFg8vQOoG2_HsIrlJv1ZHtggWQjbvt_qPHZc8Ie6h_" TargetMode="External"/><Relationship Id="rId2252" Type="http://schemas.openxmlformats.org/officeDocument/2006/relationships/hyperlink" Target="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 TargetMode="External"/><Relationship Id="rId2253" Type="http://schemas.openxmlformats.org/officeDocument/2006/relationships/hyperlink" Target="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 TargetMode="External"/><Relationship Id="rId334" Type="http://schemas.openxmlformats.org/officeDocument/2006/relationships/hyperlink" Target="https://drive.google.com/file/d/1M5RwlZXc666TrrdmEiYNAk1Q9W2u5L1X/view?usp=drive_link" TargetMode="External"/><Relationship Id="rId2254" Type="http://schemas.openxmlformats.org/officeDocument/2006/relationships/hyperlink" Target="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 TargetMode="External"/><Relationship Id="rId333" Type="http://schemas.openxmlformats.org/officeDocument/2006/relationships/hyperlink" Target="https://grondoy.com/productos/Dispensadores/exprimidor-de-cana-de-azucar-manual?srsltid=AfmBOopMm1WxNbhYLzCfpEDBSG0DVxW2Vrr61u5HDpWd5wD9dY_TQTfR" TargetMode="External"/><Relationship Id="rId2255" Type="http://schemas.openxmlformats.org/officeDocument/2006/relationships/hyperlink" Target="https://www.amazon.com.mx/Inoxidable-Cocinar-Calentar-Preparar-Alimentos/dp/B0BX2FP81N" TargetMode="External"/><Relationship Id="rId332" Type="http://schemas.openxmlformats.org/officeDocument/2006/relationships/hyperlink" Target="https://drive.google.com/file/d/1M5RwlZXc666TrrdmEiYNAk1Q9W2u5L1X/view?usp=drive_link" TargetMode="External"/><Relationship Id="rId2256" Type="http://schemas.openxmlformats.org/officeDocument/2006/relationships/hyperlink" Target="https://www.amazon.com.mx/Inoxidable-Cocinar-Calentar-Preparar-Alimentos/dp/B0BX2FP81N" TargetMode="External"/><Relationship Id="rId331" Type="http://schemas.openxmlformats.org/officeDocument/2006/relationships/hyperlink" Target="https://grondoy.com/productos/Dispensadores/exprimidor-de-cana-de-azucar-manual?srsltid=AfmBOopMm1WxNbhYLzCfpEDBSG0DVxW2Vrr61u5HDpWd5wD9dY_TQTfR" TargetMode="External"/><Relationship Id="rId2257" Type="http://schemas.openxmlformats.org/officeDocument/2006/relationships/hyperlink" Target="https://www.amazon.com.mx/Inoxidable-Cocinar-Calentar-Preparar-Alimentos/dp/B0BX2FP81N" TargetMode="External"/><Relationship Id="rId370" Type="http://schemas.openxmlformats.org/officeDocument/2006/relationships/hyperlink" Target="https://store.eu.panasonic.com/es-es/hc-vx3e-k-videocamara-4k" TargetMode="External"/><Relationship Id="rId369" Type="http://schemas.openxmlformats.org/officeDocument/2006/relationships/hyperlink" Target="https://store.eu.panasonic.com/es-es/hc-vx3e-k-videocamara-4k" TargetMode="External"/><Relationship Id="rId368" Type="http://schemas.openxmlformats.org/officeDocument/2006/relationships/hyperlink" Target="https://store.eu.panasonic.com/es-es/hc-vx3e-k-videocamara-4k" TargetMode="External"/><Relationship Id="rId2280" Type="http://schemas.openxmlformats.org/officeDocument/2006/relationships/hyperlink" Target="https://inquirecontent2.ingrammicro.com/Manufacturer-Brochure/1086740376.pdf" TargetMode="External"/><Relationship Id="rId2281" Type="http://schemas.openxmlformats.org/officeDocument/2006/relationships/hyperlink" Target="https://inquirecontent2.ingrammicro.com/Manufacturer-Brochure/1086740376.pdf" TargetMode="External"/><Relationship Id="rId2282" Type="http://schemas.openxmlformats.org/officeDocument/2006/relationships/hyperlink" Target="https://inquirecontent2.ingrammicro.com/Manufacturer-Brochure/1086740376.pdf" TargetMode="External"/><Relationship Id="rId363" Type="http://schemas.openxmlformats.org/officeDocument/2006/relationships/hyperlink" Target="https://store.eu.panasonic.com/es-es/hc-vx3e-k-videocamara-4k" TargetMode="External"/><Relationship Id="rId2283" Type="http://schemas.openxmlformats.org/officeDocument/2006/relationships/hyperlink" Target="https://inquirecontent2.ingrammicro.com/Manufacturer-Brochure/1086740376.pdf" TargetMode="External"/><Relationship Id="rId362" Type="http://schemas.openxmlformats.org/officeDocument/2006/relationships/hyperlink" Target="https://store.eu.panasonic.com/es-es/hc-vx3e-k-videocamara-4k" TargetMode="External"/><Relationship Id="rId2284" Type="http://schemas.openxmlformats.org/officeDocument/2006/relationships/hyperlink" Target="https://inquirecontent2.ingrammicro.com/Manufacturer-Brochure/1086740376.pdf" TargetMode="External"/><Relationship Id="rId361" Type="http://schemas.openxmlformats.org/officeDocument/2006/relationships/hyperlink" Target="https://store.eu.panasonic.com/es-es/hc-vx3e-k-videocamara-4k" TargetMode="External"/><Relationship Id="rId2285" Type="http://schemas.openxmlformats.org/officeDocument/2006/relationships/hyperlink" Target="https://drive.google.com/file/d/1V-xxSieO1pqnE7qQj8dp361-peNNC8P8/view?usp=drive_link" TargetMode="External"/><Relationship Id="rId360" Type="http://schemas.openxmlformats.org/officeDocument/2006/relationships/hyperlink" Target="https://store.eu.panasonic.com/es-es/hc-vx3e-k-videocamara-4k" TargetMode="External"/><Relationship Id="rId2286" Type="http://schemas.openxmlformats.org/officeDocument/2006/relationships/hyperlink" Target="https://inquirecontent2.ingrammicro.com/Manufacturer-Brochure/1086740376.pdf" TargetMode="External"/><Relationship Id="rId367" Type="http://schemas.openxmlformats.org/officeDocument/2006/relationships/hyperlink" Target="https://store.eu.panasonic.com/es-es/hc-vx3e-k-videocamara-4k" TargetMode="External"/><Relationship Id="rId2287" Type="http://schemas.openxmlformats.org/officeDocument/2006/relationships/hyperlink" Target="https://todotec.com.pe/products/pantalla-grafica-xppen-artist-15-6-pro?srsltid=AfmBOopx98TWDyEYh1EKEUSoi0AWCXGgWD52r-JgkTXkl9ZvGakiI8wZ" TargetMode="External"/><Relationship Id="rId366" Type="http://schemas.openxmlformats.org/officeDocument/2006/relationships/hyperlink" Target="https://store.eu.panasonic.com/es-es/hc-vx3e-k-videocamara-4k" TargetMode="External"/><Relationship Id="rId2288" Type="http://schemas.openxmlformats.org/officeDocument/2006/relationships/hyperlink" Target="https://www.memorykings.pe/producto/346964/adaptador-usb-c-a-usb-a-3-0-genius-acc-c2ac" TargetMode="External"/><Relationship Id="rId365" Type="http://schemas.openxmlformats.org/officeDocument/2006/relationships/hyperlink" Target="https://store.eu.panasonic.com/es-es/hc-vx3e-k-videocamara-4k" TargetMode="External"/><Relationship Id="rId2289" Type="http://schemas.openxmlformats.org/officeDocument/2006/relationships/hyperlink" Target="https://todotec.com.pe/products/pantalla-grafica-xppen-artist-15-6-pro?srsltid=AfmBOopx98TWDyEYh1EKEUSoi0AWCXGgWD52r-JgkTXkl9ZvGakiI8wZ" TargetMode="External"/><Relationship Id="rId364" Type="http://schemas.openxmlformats.org/officeDocument/2006/relationships/hyperlink" Target="https://store.eu.panasonic.com/es-es/hc-vx3e-k-videocamara-4k" TargetMode="External"/><Relationship Id="rId95" Type="http://schemas.openxmlformats.org/officeDocument/2006/relationships/hyperlink" Target="https://drive.google.com/file/d/1LL0662pFBbmL8ELBpNeH_yMtSfjMVp1D/view?usp=sharing" TargetMode="External"/><Relationship Id="rId94" Type="http://schemas.openxmlformats.org/officeDocument/2006/relationships/hyperlink" Target="https://store.ferrindustrial.com.pe/producto/calibrador-pie-de-rey-digital-ip54-de-8-200mm-202161-2-vogel-germany/" TargetMode="External"/><Relationship Id="rId97" Type="http://schemas.openxmlformats.org/officeDocument/2006/relationships/hyperlink" Target="https://www.pe.tiendaboschonline.com/taladro-percutor-3-8-bosch-gsb-12v-30-12v-2-baterias-y-maletin/p" TargetMode="External"/><Relationship Id="rId96" Type="http://schemas.openxmlformats.org/officeDocument/2006/relationships/hyperlink" Target="https://store.ferrindustrial.com.pe/producto/calibrador-pie-de-rey-digital-ip54-de-8-200mm-202161-2-vogel-germany/" TargetMode="External"/><Relationship Id="rId99" Type="http://schemas.openxmlformats.org/officeDocument/2006/relationships/hyperlink" Target="https://mackie.com/es/products/headphones/mc-series-headphones/MC_100.html?srsltid=AfmBOoq3fXxsDJ_Y3zc6agTGqqsPwcIfBHIzTJgkWbYjz_hddQIg7V0A" TargetMode="External"/><Relationship Id="rId98" Type="http://schemas.openxmlformats.org/officeDocument/2006/relationships/hyperlink" Target="https://www.pe.tiendaboschonline.com/set-puntas-y-brocas-titanio-bosch-x-line-70-unidades/p" TargetMode="External"/><Relationship Id="rId91" Type="http://schemas.openxmlformats.org/officeDocument/2006/relationships/hyperlink" Target="https://store.ferrindustrial.com.pe/producto/calibrador-pie-de-rey-digital-ip54-de-8-200mm-202161-2-vogel-germany/" TargetMode="External"/><Relationship Id="rId90" Type="http://schemas.openxmlformats.org/officeDocument/2006/relationships/hyperlink" Target="https://store.ferrindustrial.com.pe/producto/calibrador-pie-de-rey-digital-ip54-de-8-200mm-202161-2-vogel-germany/" TargetMode="External"/><Relationship Id="rId93" Type="http://schemas.openxmlformats.org/officeDocument/2006/relationships/hyperlink" Target="https://store.ferrindustrial.com.pe/producto/calibrador-pie-de-rey-digital-ip54-de-8-200mm-202161-2-vogel-germany/" TargetMode="External"/><Relationship Id="rId92" Type="http://schemas.openxmlformats.org/officeDocument/2006/relationships/hyperlink" Target="https://drive.google.com/file/d/1LL0662pFBbmL8ELBpNeH_yMtSfjMVp1D/view?usp=sharing" TargetMode="External"/><Relationship Id="rId359" Type="http://schemas.openxmlformats.org/officeDocument/2006/relationships/hyperlink" Target="https://store.eu.panasonic.com/es-es/hc-vx3e-k-videocamara-4k" TargetMode="External"/><Relationship Id="rId358" Type="http://schemas.openxmlformats.org/officeDocument/2006/relationships/hyperlink" Target="https://store.eu.panasonic.com/es-es/hc-vx3e-k-videocamara-4k" TargetMode="External"/><Relationship Id="rId357" Type="http://schemas.openxmlformats.org/officeDocument/2006/relationships/hyperlink" Target="https://drive.google.com/file/d/1f0k-6oKMbwbfKiADMysF6U7q1_Odp4Rw/view?usp=sharing" TargetMode="External"/><Relationship Id="rId2270" Type="http://schemas.openxmlformats.org/officeDocument/2006/relationships/hyperlink" Target="https://inquirecontent2.ingrammicro.com/Manufacturer-Brochure/1086740376.pdf" TargetMode="External"/><Relationship Id="rId2271" Type="http://schemas.openxmlformats.org/officeDocument/2006/relationships/hyperlink" Target="https://inquirecontent2.ingrammicro.com/Manufacturer-Brochure/1086740376.pdf" TargetMode="External"/><Relationship Id="rId352" Type="http://schemas.openxmlformats.org/officeDocument/2006/relationships/hyperlink" Target="https://www.bosch-professional.com/pe/es/products/gam-220-mf-0601076600" TargetMode="External"/><Relationship Id="rId2272" Type="http://schemas.openxmlformats.org/officeDocument/2006/relationships/hyperlink" Target="https://inquirecontent2.ingrammicro.com/Manufacturer-Brochure/1086740376.pdf" TargetMode="External"/><Relationship Id="rId351" Type="http://schemas.openxmlformats.org/officeDocument/2006/relationships/hyperlink" Target="https://www.bosch-professional.com/pe/es/products/gam-220-mf-0601076600" TargetMode="External"/><Relationship Id="rId2273" Type="http://schemas.openxmlformats.org/officeDocument/2006/relationships/hyperlink" Target="https://inquirecontent2.ingrammicro.com/Manufacturer-Brochure/1086740376.pdf" TargetMode="External"/><Relationship Id="rId350" Type="http://schemas.openxmlformats.org/officeDocument/2006/relationships/hyperlink" Target="https://www.bosch-professional.com/pe/es/products/gam-220-mf-0601076600" TargetMode="External"/><Relationship Id="rId2274" Type="http://schemas.openxmlformats.org/officeDocument/2006/relationships/hyperlink" Target="https://inquirecontent2.ingrammicro.com/Manufacturer-Brochure/1086740376.pdf" TargetMode="External"/><Relationship Id="rId2275" Type="http://schemas.openxmlformats.org/officeDocument/2006/relationships/hyperlink" Target="https://inquirecontent2.ingrammicro.com/Manufacturer-Brochure/1086740376.pdf" TargetMode="External"/><Relationship Id="rId356" Type="http://schemas.openxmlformats.org/officeDocument/2006/relationships/hyperlink" Target="https://www.hoffmann-group.com/ES/es/hoe/p/570-227-" TargetMode="External"/><Relationship Id="rId2276" Type="http://schemas.openxmlformats.org/officeDocument/2006/relationships/hyperlink" Target="https://inquirecontent2.ingrammicro.com/Manufacturer-Brochure/1086740376.pdf" TargetMode="External"/><Relationship Id="rId355" Type="http://schemas.openxmlformats.org/officeDocument/2006/relationships/hyperlink" Target="https://www.agrobesser.com/calibradores/calibrador-analogico-pulgadas-y-milimetros-6-o-150mm-en-acero-inoxidable-cal-6mp-14394-truper-1256.html?utm_source=chatgpt.com?utm_source=chatgpt.com" TargetMode="External"/><Relationship Id="rId2277" Type="http://schemas.openxmlformats.org/officeDocument/2006/relationships/hyperlink" Target="https://inquirecontent2.ingrammicro.com/Manufacturer-Brochure/1086740376.pdf" TargetMode="External"/><Relationship Id="rId354" Type="http://schemas.openxmlformats.org/officeDocument/2006/relationships/hyperlink" Target="https://drive.google.com/file/d/181IOHA5LLPEtRzCmKYpMYGmnSM9U07P6/view?usp=sharing" TargetMode="External"/><Relationship Id="rId2278" Type="http://schemas.openxmlformats.org/officeDocument/2006/relationships/hyperlink" Target="https://inquirecontent2.ingrammicro.com/Manufacturer-Brochure/1086740376.pdf" TargetMode="External"/><Relationship Id="rId353" Type="http://schemas.openxmlformats.org/officeDocument/2006/relationships/hyperlink" Target="https://www.agrobesser.com/calibradores/calibrador-analogico-pulgadas-y-milimetros-6-o-150mm-en-acero-inoxidable-cal-6mp-14394-truper-1256.html?utm_source=chatgpt.com?utm_source=chatgpt.com" TargetMode="External"/><Relationship Id="rId2279" Type="http://schemas.openxmlformats.org/officeDocument/2006/relationships/hyperlink" Target="https://inquirecontent2.ingrammicro.com/Manufacturer-Brochure/1086740376.pdf" TargetMode="External"/><Relationship Id="rId1378" Type="http://schemas.openxmlformats.org/officeDocument/2006/relationships/hyperlink" Target="https://spanish.alibaba.com/product-detail/200-Litre-Plastic-Drums-for-Chemical-1600799966276.html" TargetMode="External"/><Relationship Id="rId2225" Type="http://schemas.openxmlformats.org/officeDocument/2006/relationships/hyperlink" Target="https://drive.google.com/file/d/12lRTFI3urC0PIpjaLJhmRwvjZuSGCRZb/view?usp=drive_link" TargetMode="External"/><Relationship Id="rId1379" Type="http://schemas.openxmlformats.org/officeDocument/2006/relationships/hyperlink" Target="https://spanish.alibaba.com/product-detail/200-Litre-Plastic-Drums-for-Chemical-1600799966276.html" TargetMode="External"/><Relationship Id="rId2226" Type="http://schemas.openxmlformats.org/officeDocument/2006/relationships/hyperlink" Target="https://drive.google.com/file/d/12lRTFI3urC0PIpjaLJhmRwvjZuSGCRZb/view?usp=drive_link" TargetMode="External"/><Relationship Id="rId2227" Type="http://schemas.openxmlformats.org/officeDocument/2006/relationships/hyperlink" Target="https://drive.google.com/file/d/12lRTFI3urC0PIpjaLJhmRwvjZuSGCRZb/view?usp=drive_link" TargetMode="External"/><Relationship Id="rId2228" Type="http://schemas.openxmlformats.org/officeDocument/2006/relationships/hyperlink" Target="https://drive.google.com/file/d/1XrVhpMFbXO1xbA4La0C-Hjfyfv9aQW8g/view?usp=drive_link" TargetMode="External"/><Relationship Id="rId2229" Type="http://schemas.openxmlformats.org/officeDocument/2006/relationships/hyperlink" Target="https://drive.google.com/file/d/1XrVhpMFbXO1xbA4La0C-Hjfyfv9aQW8g/view?usp=drive_link" TargetMode="External"/><Relationship Id="rId305" Type="http://schemas.openxmlformats.org/officeDocument/2006/relationships/hyperlink" Target="https://cahema.pe/escuadras/15187-escuadra-tipo-l-12-truper-14376-7501206625255.html" TargetMode="External"/><Relationship Id="rId789" Type="http://schemas.openxmlformats.org/officeDocument/2006/relationships/hyperlink" Target="https://drive.google.com/file/d/1MLxXLiTgYrG324WfZgm9Vj4npypedtEu/view" TargetMode="External"/><Relationship Id="rId304" Type="http://schemas.openxmlformats.org/officeDocument/2006/relationships/hyperlink" Target="https://drive.google.com/file/d/1LS-mEpnY3-XmJegZy7QLFyzNB0DTDAEL/view?usp=sharing" TargetMode="External"/><Relationship Id="rId788" Type="http://schemas.openxmlformats.org/officeDocument/2006/relationships/hyperlink" Target="https://www.ssedumachine.com/product/tb-230320-v-003-mobile-station-for-training-of-home-electrical-installations-teaching-equipment-electrical-laboratory-equipment/" TargetMode="External"/><Relationship Id="rId303" Type="http://schemas.openxmlformats.org/officeDocument/2006/relationships/hyperlink" Target="https://cahema.pe/escuadras/15187-escuadra-tipo-l-12-truper-14376-7501206625255.html" TargetMode="External"/><Relationship Id="rId787" Type="http://schemas.openxmlformats.org/officeDocument/2006/relationships/hyperlink" Target="https://drive.google.com/file/d/1MLxXLiTgYrG324WfZgm9Vj4npypedtEu/view" TargetMode="External"/><Relationship Id="rId302" Type="http://schemas.openxmlformats.org/officeDocument/2006/relationships/hyperlink" Target="https://cahema.pe/escuadras/15187-escuadra-tipo-l-12-truper-14376-7501206625255.html" TargetMode="External"/><Relationship Id="rId786" Type="http://schemas.openxmlformats.org/officeDocument/2006/relationships/hyperlink" Target="https://www.ssedumachine.com/product/tb-230320-v-003-mobile-station-for-training-of-home-electrical-installations-teaching-equipment-electrical-laboratory-equipment/" TargetMode="External"/><Relationship Id="rId309" Type="http://schemas.openxmlformats.org/officeDocument/2006/relationships/hyperlink" Target="https://cahema.pe/escuadras/16218-escuadra-tipo-l-300mm-bahco-9048-300-7314150138173.html" TargetMode="External"/><Relationship Id="rId308" Type="http://schemas.openxmlformats.org/officeDocument/2006/relationships/hyperlink" Target="https://cahema.pe/escuadras/16218-escuadra-tipo-l-300mm-bahco-9048-300-7314150138173.html" TargetMode="External"/><Relationship Id="rId307" Type="http://schemas.openxmlformats.org/officeDocument/2006/relationships/hyperlink" Target="https://drive.google.com/file/d/1Db2sbfiHdAFoRjdrKHf4kKkolGjxfqzM/view?usp=sharing" TargetMode="External"/><Relationship Id="rId306" Type="http://schemas.openxmlformats.org/officeDocument/2006/relationships/hyperlink" Target="https://cahema.pe/escuadras/16218-escuadra-tipo-l-300mm-bahco-9048-300-7314150138173.html" TargetMode="External"/><Relationship Id="rId781" Type="http://schemas.openxmlformats.org/officeDocument/2006/relationships/hyperlink" Target="https://docs.google.com/spreadsheets/d/13dbRSxDHK8jEfrKgxArWgPZ6EP6Eik0XF3jxrzprYTY/edit?gid=0" TargetMode="External"/><Relationship Id="rId1370" Type="http://schemas.openxmlformats.org/officeDocument/2006/relationships/hyperlink" Target="https://segurimax.com.pe/product/careta-de-proteccion-facial/" TargetMode="External"/><Relationship Id="rId780" Type="http://schemas.openxmlformats.org/officeDocument/2006/relationships/hyperlink" Target="https://linoxperu.com/producto/lavadero-de-1-poza/" TargetMode="External"/><Relationship Id="rId1371" Type="http://schemas.openxmlformats.org/officeDocument/2006/relationships/hyperlink" Target="https://drive.google.com/file/d/1gQJK-A3KLTqDAkQaglqmKwQFx193asH9/view" TargetMode="External"/><Relationship Id="rId1372" Type="http://schemas.openxmlformats.org/officeDocument/2006/relationships/hyperlink" Target="https://drive.google.com/file/d/1gQJK-A3KLTqDAkQaglqmKwQFx193asH9/view" TargetMode="External"/><Relationship Id="rId1373" Type="http://schemas.openxmlformats.org/officeDocument/2006/relationships/hyperlink" Target="https://www.amazon.com/-/es/Bellota-50806-Cepillo-pl%C3%A1stico-di%C3%A1metro/dp/B00F2NS372?th=1" TargetMode="External"/><Relationship Id="rId2220" Type="http://schemas.openxmlformats.org/officeDocument/2006/relationships/hyperlink" Target="https://www.ryu.com.pe/p/selladora-bolsas-manual/" TargetMode="External"/><Relationship Id="rId301" Type="http://schemas.openxmlformats.org/officeDocument/2006/relationships/hyperlink" Target="https://drive.google.com/file/d/1LS-mEpnY3-XmJegZy7QLFyzNB0DTDAEL/view?usp=sharing" TargetMode="External"/><Relationship Id="rId785" Type="http://schemas.openxmlformats.org/officeDocument/2006/relationships/hyperlink" Target="https://linoxperu.com/producto/lavadero-de-1-poza/" TargetMode="External"/><Relationship Id="rId1374" Type="http://schemas.openxmlformats.org/officeDocument/2006/relationships/hyperlink" Target="https://www.amazon.com/-/es/Bellota-50806-Cepillo-pl%C3%A1stico-di%C3%A1metro/dp/B00F2NS372?th=1" TargetMode="External"/><Relationship Id="rId2221" Type="http://schemas.openxmlformats.org/officeDocument/2006/relationships/hyperlink" Target="https://drive.google.com/file/d/1-XQs9iZUzsEhRBLNVtSZFgqYiwf7OgrH/view" TargetMode="External"/><Relationship Id="rId300" Type="http://schemas.openxmlformats.org/officeDocument/2006/relationships/hyperlink" Target="https://cahema.pe/escuadras/15187-escuadra-tipo-l-12-truper-14376-7501206625255.html" TargetMode="External"/><Relationship Id="rId784" Type="http://schemas.openxmlformats.org/officeDocument/2006/relationships/hyperlink" Target="https://docs.google.com/spreadsheets/d/13dbRSxDHK8jEfrKgxArWgPZ6EP6Eik0XF3jxrzprYTY/edit?gid=0" TargetMode="External"/><Relationship Id="rId1375" Type="http://schemas.openxmlformats.org/officeDocument/2006/relationships/hyperlink" Target="https://www.amazon.com/-/es/Bellota-50806-Cepillo-pl%C3%A1stico-di%C3%A1metro/dp/B00F2NS372?th=1" TargetMode="External"/><Relationship Id="rId2222" Type="http://schemas.openxmlformats.org/officeDocument/2006/relationships/hyperlink" Target="https://drive.google.com/file/d/1g0gbHtm-j9PdAfsp1TFYeCMDXzu6fGjp/view?usp=drive_link" TargetMode="External"/><Relationship Id="rId783" Type="http://schemas.openxmlformats.org/officeDocument/2006/relationships/hyperlink" Target="https://linoxperu.com/producto/lavadero-de-1-poza/" TargetMode="External"/><Relationship Id="rId1376" Type="http://schemas.openxmlformats.org/officeDocument/2006/relationships/hyperlink" Target="https://drive.google.com/file/d/1XzJ3vgKQLdWdAxVhXCHzZTAJw-7Fk-r2/view?usp=drive_link" TargetMode="External"/><Relationship Id="rId2223" Type="http://schemas.openxmlformats.org/officeDocument/2006/relationships/hyperlink" Target="https://drive.google.com/file/d/1g0gbHtm-j9PdAfsp1TFYeCMDXzu6fGjp/view?usp=drive_link" TargetMode="External"/><Relationship Id="rId782" Type="http://schemas.openxmlformats.org/officeDocument/2006/relationships/hyperlink" Target="https://linoxperu.com/producto/lavadero-de-1-poza/" TargetMode="External"/><Relationship Id="rId1377" Type="http://schemas.openxmlformats.org/officeDocument/2006/relationships/hyperlink" Target="https://spanish.alibaba.com/product-detail/200-Litre-Plastic-Drums-for-Chemical-1600799966276.html" TargetMode="External"/><Relationship Id="rId2224" Type="http://schemas.openxmlformats.org/officeDocument/2006/relationships/hyperlink" Target="https://drive.google.com/file/d/1g0gbHtm-j9PdAfsp1TFYeCMDXzu6fGjp/view?usp=drive_link" TargetMode="External"/><Relationship Id="rId1367" Type="http://schemas.openxmlformats.org/officeDocument/2006/relationships/hyperlink" Target="https://segurimax.com.pe/product/careta-de-proteccion-facial/" TargetMode="External"/><Relationship Id="rId2214" Type="http://schemas.openxmlformats.org/officeDocument/2006/relationships/hyperlink" Target="https://www.ryu.com.pe/p/selladora-bolsas-manual/" TargetMode="External"/><Relationship Id="rId1368" Type="http://schemas.openxmlformats.org/officeDocument/2006/relationships/hyperlink" Target="https://segurimax.com.pe/product/careta-de-proteccion-facial/" TargetMode="External"/><Relationship Id="rId2215" Type="http://schemas.openxmlformats.org/officeDocument/2006/relationships/hyperlink" Target="https://drive.google.com/file/d/1-XQs9iZUzsEhRBLNVtSZFgqYiwf7OgrH/view" TargetMode="External"/><Relationship Id="rId1369" Type="http://schemas.openxmlformats.org/officeDocument/2006/relationships/hyperlink" Target="https://drive.google.com/file/d/1je5Z30VlIqVBB6UgWwdChXCKvQ8WJQn1/view?usp=sharing" TargetMode="External"/><Relationship Id="rId2216" Type="http://schemas.openxmlformats.org/officeDocument/2006/relationships/hyperlink" Target="https://www.ryu.com.pe/p/selladora-bolsas-manual/" TargetMode="External"/><Relationship Id="rId2217" Type="http://schemas.openxmlformats.org/officeDocument/2006/relationships/hyperlink" Target="https://drive.google.com/file/d/1-XQs9iZUzsEhRBLNVtSZFgqYiwf7OgrH/view" TargetMode="External"/><Relationship Id="rId2218" Type="http://schemas.openxmlformats.org/officeDocument/2006/relationships/hyperlink" Target="https://www.ryu.com.pe/p/selladora-bolsas-manual/" TargetMode="External"/><Relationship Id="rId2219" Type="http://schemas.openxmlformats.org/officeDocument/2006/relationships/hyperlink" Target="https://drive.google.com/file/d/1-XQs9iZUzsEhRBLNVtSZFgqYiwf7OgrH/view" TargetMode="External"/><Relationship Id="rId778" Type="http://schemas.openxmlformats.org/officeDocument/2006/relationships/hyperlink" Target="https://docs.google.com/spreadsheets/d/13dbRSxDHK8jEfrKgxArWgPZ6EP6Eik0XF3jxrzprYTY/edit?gid=0" TargetMode="External"/><Relationship Id="rId777" Type="http://schemas.openxmlformats.org/officeDocument/2006/relationships/hyperlink" Target="https://tren.com.pe/producto/piquetera-profesional/" TargetMode="External"/><Relationship Id="rId776" Type="http://schemas.openxmlformats.org/officeDocument/2006/relationships/hyperlink" Target="https://tren.com.pe/producto/piquetera-profesional/" TargetMode="External"/><Relationship Id="rId775" Type="http://schemas.openxmlformats.org/officeDocument/2006/relationships/hyperlink" Target="https://spanish.alibaba.com/product-detail/4-5KG-Empty-Dry-Powder-Fire-60811153226.html?isSpider=true" TargetMode="External"/><Relationship Id="rId779" Type="http://schemas.openxmlformats.org/officeDocument/2006/relationships/hyperlink" Target="https://linoxperu.com/producto/lavadero-de-1-poza/" TargetMode="External"/><Relationship Id="rId770" Type="http://schemas.openxmlformats.org/officeDocument/2006/relationships/hyperlink" Target="https://www.auxilab.es/controles/ObtenerPDF.ashx?f=%5c00%5c05%5c2m%5co0_F_PH_SELECTA_E.pdf" TargetMode="External"/><Relationship Id="rId1360" Type="http://schemas.openxmlformats.org/officeDocument/2006/relationships/hyperlink" Target="https://www.uysa.com.pe/brocha-p-reposteria-silicona-con-mango-verde-de-abs-70067391/p?srsltid=AfmBOoo5FFHt3WEU0McXc8V9ycySDEQ00Ip0vMv2xUz8TIsp3JRRCTYh" TargetMode="External"/><Relationship Id="rId1361" Type="http://schemas.openxmlformats.org/officeDocument/2006/relationships/hyperlink" Target="https://drive.google.com/file/d/1pphnmDgzBUV_K98QtTkJr0xe_I44PGif/view?usp=sharing" TargetMode="External"/><Relationship Id="rId1362" Type="http://schemas.openxmlformats.org/officeDocument/2006/relationships/hyperlink" Target="https://www.lacuisine.pe/lgc/product/brocha-de-silicona-de-23cm-gris-61-33436-tovolo/?utm_source" TargetMode="External"/><Relationship Id="rId774" Type="http://schemas.openxmlformats.org/officeDocument/2006/relationships/hyperlink" Target="https://www.aibitech.com/herramientas-abrasivos/piedras-lijas-limas-abrasivas/piedras-abrasivas/piedras-para-asentar-150-x-50-mm-grano-150-240-espesor-1-carburo-de-silicio-pias-109-11667-truper-8292.html?srsltid=AfmBOopsZ2pSH1VdnUjr9VSgydDYf5TDFKVCUszq0fwlB-6fyw0gd-ii" TargetMode="External"/><Relationship Id="rId1363" Type="http://schemas.openxmlformats.org/officeDocument/2006/relationships/hyperlink" Target="https://sodimac.falabella.com.pe/sodimac-pe/product/113309957/Brocha-TUMI-Multiuso-4''/113309958?exp=sodimac" TargetMode="External"/><Relationship Id="rId2210" Type="http://schemas.openxmlformats.org/officeDocument/2006/relationships/hyperlink" Target="https://grondoy.com/productos/Empacadoras/empacadora-selladora-al-vacio-de-01-sello-de-28cm-en-acero-inoxidable?srsltid=AfmBOopMoapn6qungdjgKvIGOPK8u1OD9bN7hZlgZp3MOThjpwZr6eyZ" TargetMode="External"/><Relationship Id="rId773" Type="http://schemas.openxmlformats.org/officeDocument/2006/relationships/hyperlink" Target="https://www.aibitech.com/herramientas-abrasivos/piedras-lijas-limas-abrasivas/piedras-abrasivas/piedras-para-asentar-150-x-50-mm-grano-150-240-espesor-1-carburo-de-silicio-pias-109-11667-truper-8292.html?srsltid=AfmBOopsZ2pSH1VdnUjr9VSgydDYf5TDFKVCUszq0fwlB-6fyw0gd-ii" TargetMode="External"/><Relationship Id="rId1364" Type="http://schemas.openxmlformats.org/officeDocument/2006/relationships/hyperlink" Target="https://sodimac.falabella.com.pe/sodimac-pe/product/113309957/Brocha-TUMI-Multiuso-4''/113309958?exp=sodimac" TargetMode="External"/><Relationship Id="rId2211" Type="http://schemas.openxmlformats.org/officeDocument/2006/relationships/hyperlink" Target="https://grondoy.com/productos/Empacadoras/empacadora-selladora-al-vacio-de-01-sello-de-28cm-en-acero-inoxidable?srsltid=AfmBOopMoapn6qungdjgKvIGOPK8u1OD9bN7hZlgZp3MOThjpwZr6eyZ" TargetMode="External"/><Relationship Id="rId772" Type="http://schemas.openxmlformats.org/officeDocument/2006/relationships/hyperlink" Target="https://www.auxilab.es/controles/ObtenerPDF.ashx?f=%5c00%5c05%5c2m%5co0_F_PH_SELECTA_E.pdf" TargetMode="External"/><Relationship Id="rId1365" Type="http://schemas.openxmlformats.org/officeDocument/2006/relationships/hyperlink" Target="https://segurimax.com.pe/product/careta-de-proteccion-facial/" TargetMode="External"/><Relationship Id="rId2212" Type="http://schemas.openxmlformats.org/officeDocument/2006/relationships/hyperlink" Target="https://grondoy.com/productos/Empacadoras/empacadora-selladora-al-vacio-de-01-sello-de-28cm-en-acero-inoxidable?srsltid=AfmBOopMoapn6qungdjgKvIGOPK8u1OD9bN7hZlgZp3MOThjpwZr6eyZ" TargetMode="External"/><Relationship Id="rId771" Type="http://schemas.openxmlformats.org/officeDocument/2006/relationships/hyperlink" Target="https://www.auxilab.es/controles/ObtenerPDF.ashx?f=%5c00%5c05%5c2m%5co0_F_PH_SELECTA_E.pdf" TargetMode="External"/><Relationship Id="rId1366" Type="http://schemas.openxmlformats.org/officeDocument/2006/relationships/hyperlink" Target="https://drive.google.com/file/d/1je5Z30VlIqVBB6UgWwdChXCKvQ8WJQn1/view?usp=sharing" TargetMode="External"/><Relationship Id="rId2213" Type="http://schemas.openxmlformats.org/officeDocument/2006/relationships/hyperlink" Target="https://grondoy.com/productos/Empacadoras/empacadora-selladora-al-vacio-de-01-sello-de-28cm-en-acero-inoxidable?srsltid=AfmBOopMoapn6qungdjgKvIGOPK8u1OD9bN7hZlgZp3MOThjpwZr6eyZ" TargetMode="External"/><Relationship Id="rId2247" Type="http://schemas.openxmlformats.org/officeDocument/2006/relationships/hyperlink" Target="https://drive.google.com/file/d/1Znya-n68WXuvdR6VJsS4PmIfeLb4budp/view?usp=sharing" TargetMode="External"/><Relationship Id="rId2248" Type="http://schemas.openxmlformats.org/officeDocument/2006/relationships/hyperlink" Target="https://www.dewalt.es/producto/dw721kn-qs/sierra-de-brazo-radial-2000w-2-hp-o300mm-monofasica-prof-90mm" TargetMode="External"/><Relationship Id="rId2249" Type="http://schemas.openxmlformats.org/officeDocument/2006/relationships/hyperlink" Target="https://drive.google.com/file/d/1Znya-n68WXuvdR6VJsS4PmIfeLb4budp/view?usp=sharing" TargetMode="External"/><Relationship Id="rId327" Type="http://schemas.openxmlformats.org/officeDocument/2006/relationships/hyperlink" Target="https://www.oechsle.pe/exprimidor-de-citricos-electrico-dsp-kj1051-1001188967/p?srsltid=AfmBOorAWeNq_9iGqVBBUQm54TBAZwlM4b1d0YH8_S2T5_77Cx_amEYc" TargetMode="External"/><Relationship Id="rId326" Type="http://schemas.openxmlformats.org/officeDocument/2006/relationships/hyperlink" Target="https://drive.google.com/file/d/1q3UCD9nw1-mJ9aqynuTqhdurV9nlkRCe/view?usp=drive_link" TargetMode="External"/><Relationship Id="rId325" Type="http://schemas.openxmlformats.org/officeDocument/2006/relationships/hyperlink" Target="https://www.dasin-tw.com/es/product/commercial-citrus-juicer-with-PP-roller-for-lemon-and-kumquat_JH100.html" TargetMode="External"/><Relationship Id="rId324" Type="http://schemas.openxmlformats.org/officeDocument/2006/relationships/hyperlink" Target="https://drive.google.com/file/d/1q3UCD9nw1-mJ9aqynuTqhdurV9nlkRCe/view?usp=drive_link" TargetMode="External"/><Relationship Id="rId329" Type="http://schemas.openxmlformats.org/officeDocument/2006/relationships/hyperlink" Target="https://grondoy.com/productos/Dispensadores/exprimidor-de-cana-de-azucar-manual?srsltid=AfmBOopMm1WxNbhYLzCfpEDBSG0DVxW2Vrr61u5HDpWd5wD9dY_TQTfR" TargetMode="External"/><Relationship Id="rId1390" Type="http://schemas.openxmlformats.org/officeDocument/2006/relationships/hyperlink" Target="https://www.amazon.com/dp/B07QCQNKG7/ref=sspa_dk_detail_0?pd_rd_i=B07QCQNKG7&amp;pd_rd_w=dxRZL&amp;content-id=amzn1.sym.7446a9d1-25fe-4460-b135-a60336bad2c9&amp;pf_rd_p=7446a9d1-25fe-4460-b135-a60336bad2c9&amp;pf_rd_r=X6ZZPQ5R3S6K0V8JNHAX&amp;pd_rd_wg=ms3xd&amp;pd_rd_r=4b1e4abc-0f38-4f5d-907e-e7c631ab4d14&amp;sp_csd=d2lkZ2V0TmFtZT1zcF9kZXRhaWw&amp;th=1" TargetMode="External"/><Relationship Id="rId328" Type="http://schemas.openxmlformats.org/officeDocument/2006/relationships/hyperlink" Target="https://drive.google.com/file/d/1lokuK7hLvnpdnXNgTBbDMTia3WO5WYn4/view?usp=drive_link" TargetMode="External"/><Relationship Id="rId1391" Type="http://schemas.openxmlformats.org/officeDocument/2006/relationships/hyperlink" Target="https://www.amazon.com/dp/B07QCQNKG7/ref=sspa_dk_detail_0?pd_rd_i=B07QCQNKG7&amp;pd_rd_w=dxRZL&amp;content-id=amzn1.sym.7446a9d1-25fe-4460-b135-a60336bad2c9&amp;pf_rd_p=7446a9d1-25fe-4460-b135-a60336bad2c9&amp;pf_rd_r=X6ZZPQ5R3S6K0V8JNHAX&amp;pd_rd_wg=ms3xd&amp;pd_rd_r=4b1e4abc-0f38-4f5d-907e-e7c631ab4d14&amp;sp_csd=d2lkZ2V0TmFtZT1zcF9kZXRhaWw&amp;th=1" TargetMode="External"/><Relationship Id="rId1392" Type="http://schemas.openxmlformats.org/officeDocument/2006/relationships/hyperlink" Target="https://drive.google.com/file/d/1v1AAQsVeQrygASBK_3QSihfknX9G56Us/view" TargetMode="External"/><Relationship Id="rId1393" Type="http://schemas.openxmlformats.org/officeDocument/2006/relationships/hyperlink" Target="https://drive.google.com/file/d/1v1AAQsVeQrygASBK_3QSihfknX9G56Us/view" TargetMode="External"/><Relationship Id="rId2240" Type="http://schemas.openxmlformats.org/officeDocument/2006/relationships/hyperlink" Target="https://www.aslak.es/herramientas-electricas/sierra-de-cinta-hbs-431-ie2-230-v.html" TargetMode="External"/><Relationship Id="rId1394"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2241" Type="http://schemas.openxmlformats.org/officeDocument/2006/relationships/hyperlink" Target="https://drive.google.com/file/d/13-lmopyptLgo_z9ySZy7oGSsGLcoTQ5N/view?usp=sharing" TargetMode="External"/><Relationship Id="rId1395" Type="http://schemas.openxmlformats.org/officeDocument/2006/relationships/hyperlink" Target="https://drive.google.com/file/d/1n9cRtyq7oaUD4UtjAW60Zy0yvY8bIKfJ/view?usp=sharing" TargetMode="External"/><Relationship Id="rId2242" Type="http://schemas.openxmlformats.org/officeDocument/2006/relationships/hyperlink" Target="https://www.felder-group.com/es-es/productos/sierras-circulares-y-escuadradoras-c1947/escuadradora-k3-p144077?vid=3054" TargetMode="External"/><Relationship Id="rId323" Type="http://schemas.openxmlformats.org/officeDocument/2006/relationships/hyperlink" Target="https://www.dasin-tw.com/es/product/commercial-citrus-juicer-with-PP-roller-for-lemon-and-kumquat_JH100.html" TargetMode="External"/><Relationship Id="rId1396"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2243" Type="http://schemas.openxmlformats.org/officeDocument/2006/relationships/hyperlink" Target="https://drive.google.com/file/d/1noHWzxENhG2e2pueHbHbgxz76q_mKoV9/view?usp=drive_link" TargetMode="External"/><Relationship Id="rId322" Type="http://schemas.openxmlformats.org/officeDocument/2006/relationships/hyperlink" Target="https://mexico.newark.com/eao/45-1231-31e6-000-101/illum-industrial-pb-sw-spst-10a/dp/98Y4507" TargetMode="External"/><Relationship Id="rId1397"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2244" Type="http://schemas.openxmlformats.org/officeDocument/2006/relationships/hyperlink" Target="https://www.felder-group.com/es-es/productos/sierras-circulares-y-escuadradoras-c1947/escuadradora-k3-p144077?vid=3054" TargetMode="External"/><Relationship Id="rId321" Type="http://schemas.openxmlformats.org/officeDocument/2006/relationships/hyperlink" Target="https://mexico.newark.com/eao/45-1231-31e6-000-101/illum-industrial-pb-sw-spst-10a/dp/98Y4507" TargetMode="External"/><Relationship Id="rId1398" Type="http://schemas.openxmlformats.org/officeDocument/2006/relationships/hyperlink" Target="https://drive.google.com/file/d/1n9cRtyq7oaUD4UtjAW60Zy0yvY8bIKfJ/view?usp=sharing" TargetMode="External"/><Relationship Id="rId2245" Type="http://schemas.openxmlformats.org/officeDocument/2006/relationships/hyperlink" Target="https://drive.google.com/file/d/1noHWzxENhG2e2pueHbHbgxz76q_mKoV9/view?usp=drive_link" TargetMode="External"/><Relationship Id="rId320" Type="http://schemas.openxmlformats.org/officeDocument/2006/relationships/hyperlink" Target="https://mexico.newark.com/eao/45-1231-31e6-000-101/illum-industrial-pb-sw-spst-10a/dp/98Y4507" TargetMode="External"/><Relationship Id="rId1399"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2246" Type="http://schemas.openxmlformats.org/officeDocument/2006/relationships/hyperlink" Target="https://www.dewalt.es/producto/dw721kn-qs/sierra-de-brazo-radial-2000w-2-hp-o300mm-monofasica-prof-90mm" TargetMode="External"/><Relationship Id="rId1389" Type="http://schemas.openxmlformats.org/officeDocument/2006/relationships/hyperlink" Target="https://www.amazon.com/dp/B07QCQNKG7/ref=sspa_dk_detail_0?pd_rd_i=B07QCQNKG7&amp;pd_rd_w=dxRZL&amp;content-id=amzn1.sym.7446a9d1-25fe-4460-b135-a60336bad2c9&amp;pf_rd_p=7446a9d1-25fe-4460-b135-a60336bad2c9&amp;pf_rd_r=X6ZZPQ5R3S6K0V8JNHAX&amp;pd_rd_wg=ms3xd&amp;pd_rd_r=4b1e4abc-0f38-4f5d-907e-e7c631ab4d14&amp;sp_csd=d2lkZ2V0TmFtZT1zcF9kZXRhaWw&amp;th=1" TargetMode="External"/><Relationship Id="rId2236" Type="http://schemas.openxmlformats.org/officeDocument/2006/relationships/hyperlink" Target="https://www.bosch-professional.com/binary/manualsmedia/o224152v21_1_609_92A_2BZ_1406.pdf" TargetMode="External"/><Relationship Id="rId2237" Type="http://schemas.openxmlformats.org/officeDocument/2006/relationships/hyperlink" Target="https://drive.google.com/file/d/1l1Lp37hGaiqdnxXy-UAUADJBaKqDuRcR/view?usp=drive_link" TargetMode="External"/><Relationship Id="rId2238" Type="http://schemas.openxmlformats.org/officeDocument/2006/relationships/hyperlink" Target="https://www.aslak.es/herramientas-electricas/sierra-de-cinta-hbs-431-ie2-230-v.html" TargetMode="External"/><Relationship Id="rId2239" Type="http://schemas.openxmlformats.org/officeDocument/2006/relationships/hyperlink" Target="https://drive.google.com/file/d/13-lmopyptLgo_z9ySZy7oGSsGLcoTQ5N/view?usp=sharing" TargetMode="External"/><Relationship Id="rId316" Type="http://schemas.openxmlformats.org/officeDocument/2006/relationships/hyperlink" Target="https://www.dasin-tw.com/es/product/commercial-citrus-juicer-with-PP-roller-for-lemon-and-kumquat_JH100.html" TargetMode="External"/><Relationship Id="rId315" Type="http://schemas.openxmlformats.org/officeDocument/2006/relationships/hyperlink" Target="https://drive.google.com/file/d/1VZjCoPnVX8hCfKBqcFrGlRgLN8MiZ6Uk/view?usp=drive_link" TargetMode="External"/><Relationship Id="rId799" Type="http://schemas.openxmlformats.org/officeDocument/2006/relationships/hyperlink" Target="https://www.alibaba.com/product-detail/hydraulic-cold-oil-press-extraction-pressing_1600589637542.html" TargetMode="External"/><Relationship Id="rId314" Type="http://schemas.openxmlformats.org/officeDocument/2006/relationships/hyperlink" Target="https://simple.ripley.com.pe/espejo-ripley-home-pie-marco-60x150-cm-negro-2030351767817p?srsltid=AfmBOooZ1pDO0r85SOpIxiedC2baSlMvxGhLdN6BHptPW31J4piCWhxr&amp;color_80=negro&amp;s=mdco" TargetMode="External"/><Relationship Id="rId798" Type="http://schemas.openxmlformats.org/officeDocument/2006/relationships/hyperlink" Target="https://www.alibaba.com/product-detail/hydraulic-cold-oil-press-extraction-pressing_1600589637542.html" TargetMode="External"/><Relationship Id="rId313" Type="http://schemas.openxmlformats.org/officeDocument/2006/relationships/hyperlink" Target="https://drive.google.com/file/d/1VZjCoPnVX8hCfKBqcFrGlRgLN8MiZ6Uk/view?usp=drive_link" TargetMode="External"/><Relationship Id="rId797" Type="http://schemas.openxmlformats.org/officeDocument/2006/relationships/hyperlink" Target="https://www.alibaba.com/product-detail/hydraulic-cold-oil-press-extraction-pressing_1600589637542.html" TargetMode="External"/><Relationship Id="rId319" Type="http://schemas.openxmlformats.org/officeDocument/2006/relationships/hyperlink" Target="https://drive.google.com/file/d/1q3UCD9nw1-mJ9aqynuTqhdurV9nlkRCe/view?usp=drive_link" TargetMode="External"/><Relationship Id="rId318" Type="http://schemas.openxmlformats.org/officeDocument/2006/relationships/hyperlink" Target="https://www.dasin-tw.com/es/product/commercial-citrus-juicer-with-PP-roller-for-lemon-and-kumquat_JH100.html" TargetMode="External"/><Relationship Id="rId317" Type="http://schemas.openxmlformats.org/officeDocument/2006/relationships/hyperlink" Target="https://drive.google.com/file/d/1q3UCD9nw1-mJ9aqynuTqhdurV9nlkRCe/view?usp=drive_link" TargetMode="External"/><Relationship Id="rId1380" Type="http://schemas.openxmlformats.org/officeDocument/2006/relationships/hyperlink" Target="https://spanish.alibaba.com/product-detail/200-Litre-Plastic-Drums-for-Chemical-1600799966276.html" TargetMode="External"/><Relationship Id="rId792" Type="http://schemas.openxmlformats.org/officeDocument/2006/relationships/hyperlink" Target="https://www.amazon.com/-/es/AUTOLUMEN-Estetoscopio-automotriz-profesional-motocicletas/dp/B0D62VS6HB" TargetMode="External"/><Relationship Id="rId1381" Type="http://schemas.openxmlformats.org/officeDocument/2006/relationships/hyperlink" Target="https://gamypasamaneria.com/products/cinta-metrica-de-150cm?srsltid=AfmBOorrFfUk2--5etAXftU4N-xGSK6I3B6vc8FIAZG8wFxxK311i7Ld" TargetMode="External"/><Relationship Id="rId791" Type="http://schemas.openxmlformats.org/officeDocument/2006/relationships/hyperlink" Target="https://drive.google.com/file/d/1MLxXLiTgYrG324WfZgm9Vj4npypedtEu/view" TargetMode="External"/><Relationship Id="rId1382" Type="http://schemas.openxmlformats.org/officeDocument/2006/relationships/hyperlink" Target="https://gamypasamaneria.com/products/cinta-metrica-de-150cm?srsltid=AfmBOorrFfUk2--5etAXftU4N-xGSK6I3B6vc8FIAZG8wFxxK311i7Ld" TargetMode="External"/><Relationship Id="rId790" Type="http://schemas.openxmlformats.org/officeDocument/2006/relationships/hyperlink" Target="https://www.ssedumachine.com/product/tb-230320-v-003-mobile-station-for-training-of-home-electrical-installations-teaching-equipment-electrical-laboratory-equipment/" TargetMode="External"/><Relationship Id="rId1383"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2230" Type="http://schemas.openxmlformats.org/officeDocument/2006/relationships/hyperlink" Target="https://drive.google.com/file/d/1XrVhpMFbXO1xbA4La0C-Hjfyfv9aQW8g/view?usp=drive_link" TargetMode="External"/><Relationship Id="rId1384" Type="http://schemas.openxmlformats.org/officeDocument/2006/relationships/hyperlink" Target="https://drive.google.com/file/d/1n9cRtyq7oaUD4UtjAW60Zy0yvY8bIKfJ/view?usp=sharing" TargetMode="External"/><Relationship Id="rId2231" Type="http://schemas.openxmlformats.org/officeDocument/2006/relationships/hyperlink" Target="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 TargetMode="External"/><Relationship Id="rId312" Type="http://schemas.openxmlformats.org/officeDocument/2006/relationships/hyperlink" Target="https://simple.ripley.com.pe/espejo-ripley-home-pie-marco-60x150-cm-negro-2030351767817p?srsltid=AfmBOooZ1pDO0r85SOpIxiedC2baSlMvxGhLdN6BHptPW31J4piCWhxr&amp;color_80=negro&amp;s=mdco" TargetMode="External"/><Relationship Id="rId796" Type="http://schemas.openxmlformats.org/officeDocument/2006/relationships/hyperlink" Target="https://cahema.pe/esquinera/15183-prensa-esquinera-3-truper-17690-7501206625194.html" TargetMode="External"/><Relationship Id="rId1385"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2232" Type="http://schemas.openxmlformats.org/officeDocument/2006/relationships/hyperlink" Target="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 TargetMode="External"/><Relationship Id="rId311" Type="http://schemas.openxmlformats.org/officeDocument/2006/relationships/hyperlink" Target="https://cahema.pe/escuadras/16218-escuadra-tipo-l-300mm-bahco-9048-300-7314150138173.html" TargetMode="External"/><Relationship Id="rId795" Type="http://schemas.openxmlformats.org/officeDocument/2006/relationships/hyperlink" Target="https://cahema.pe/esquinera/15183-prensa-esquinera-3-truper-17690-7501206625194.html" TargetMode="External"/><Relationship Id="rId1386"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2233" Type="http://schemas.openxmlformats.org/officeDocument/2006/relationships/hyperlink" Target="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 TargetMode="External"/><Relationship Id="rId310" Type="http://schemas.openxmlformats.org/officeDocument/2006/relationships/hyperlink" Target="https://drive.google.com/file/d/1Db2sbfiHdAFoRjdrKHf4kKkolGjxfqzM/view?usp=sharing" TargetMode="External"/><Relationship Id="rId794" Type="http://schemas.openxmlformats.org/officeDocument/2006/relationships/hyperlink" Target="https://www.amazon.com/-/es/AUTOLUMEN-Estetoscopio-automotriz-profesional-motocicletas/dp/B0D62VS6HB" TargetMode="External"/><Relationship Id="rId1387" Type="http://schemas.openxmlformats.org/officeDocument/2006/relationships/hyperlink" Target="https://drive.google.com/file/d/1n9cRtyq7oaUD4UtjAW60Zy0yvY8bIKfJ/view?usp=sharing" TargetMode="External"/><Relationship Id="rId2234" Type="http://schemas.openxmlformats.org/officeDocument/2006/relationships/hyperlink" Target="https://www.bosch-professional.com/binary/manualsmedia/o224152v21_1_609_92A_2BZ_1406.pdf" TargetMode="External"/><Relationship Id="rId793" Type="http://schemas.openxmlformats.org/officeDocument/2006/relationships/hyperlink" Target="https://www.amazon.com/-/es/AUTOLUMEN-Estetoscopio-automotriz-profesional-motocicletas/dp/B0D62VS6HB" TargetMode="External"/><Relationship Id="rId1388"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2235" Type="http://schemas.openxmlformats.org/officeDocument/2006/relationships/hyperlink" Target="https://drive.google.com/file/d/1l1Lp37hGaiqdnxXy-UAUADJBaKqDuRcR/view?usp=drive_link" TargetMode="External"/><Relationship Id="rId297" Type="http://schemas.openxmlformats.org/officeDocument/2006/relationships/hyperlink" Target="https://store.ferrindustrial.com.pe/producto/escuadra-de-combinacion-12-300mm-set-de-4pzas-508090-vogel-germany/" TargetMode="External"/><Relationship Id="rId296" Type="http://schemas.openxmlformats.org/officeDocument/2006/relationships/hyperlink" Target="https://store.ferrindustrial.com.pe/producto/escuadra-de-combinacion-12-300mm-set-de-4pzas-508090-vogel-germany/" TargetMode="External"/><Relationship Id="rId295" Type="http://schemas.openxmlformats.org/officeDocument/2006/relationships/hyperlink" Target="https://drive.google.com/file/d/1lhfK67J5ciHogsZcE4ENgyv85dCjKjF1/view?usp=sharing" TargetMode="External"/><Relationship Id="rId294" Type="http://schemas.openxmlformats.org/officeDocument/2006/relationships/hyperlink" Target="https://store.ferrindustrial.com.pe/producto/escuadra-de-combinacion-12-300mm-set-de-4pzas-508090-vogel-germany/" TargetMode="External"/><Relationship Id="rId299" Type="http://schemas.openxmlformats.org/officeDocument/2006/relationships/hyperlink" Target="https://store.ferrindustrial.com.pe/producto/escuadra-de-combinacion-12-300mm-set-de-4pzas-508090-vogel-germany/" TargetMode="External"/><Relationship Id="rId298" Type="http://schemas.openxmlformats.org/officeDocument/2006/relationships/hyperlink" Target="https://drive.google.com/file/d/1lhfK67J5ciHogsZcE4ENgyv85dCjKjF1/view?usp=sharing" TargetMode="External"/><Relationship Id="rId271" Type="http://schemas.openxmlformats.org/officeDocument/2006/relationships/hyperlink" Target="https://drive.google.com/file/d/1fJ9_rePbS1nBpLLH5Frbosk2h6y6vwf1/view" TargetMode="External"/><Relationship Id="rId270" Type="http://schemas.openxmlformats.org/officeDocument/2006/relationships/hyperlink" Target="https://www.se.com/pe/es/product/LADN40/bloque-de-contacto-auxiliar-tesys-d-4-na-terminales-de-abrazaderas-de-tornillo/" TargetMode="External"/><Relationship Id="rId269" Type="http://schemas.openxmlformats.org/officeDocument/2006/relationships/hyperlink" Target="https://drive.google.com/file/d/1fJ9_rePbS1nBpLLH5Frbosk2h6y6vwf1/view" TargetMode="External"/><Relationship Id="rId264" Type="http://schemas.openxmlformats.org/officeDocument/2006/relationships/hyperlink" Target="https://drive.google.com/file/d/1Ti61n5CvjYbERQd_WBKo61P__TL78SWh/view?usp=sharing" TargetMode="External"/><Relationship Id="rId263" Type="http://schemas.openxmlformats.org/officeDocument/2006/relationships/hyperlink" Target="https://drive.google.com/file/d/1Ti61n5CvjYbERQd_WBKo61P__TL78SWh/view?usp=sharing" TargetMode="External"/><Relationship Id="rId262" Type="http://schemas.openxmlformats.org/officeDocument/2006/relationships/hyperlink" Target="https://drive.google.com/file/d/1Ti61n5CvjYbERQd_WBKo61P__TL78SWh/view?usp=sharing" TargetMode="External"/><Relationship Id="rId261" Type="http://schemas.openxmlformats.org/officeDocument/2006/relationships/hyperlink" Target="https://drive.google.com/file/d/1Ti61n5CvjYbERQd_WBKo61P__TL78SWh/view?usp=sharing" TargetMode="External"/><Relationship Id="rId268" Type="http://schemas.openxmlformats.org/officeDocument/2006/relationships/hyperlink" Target="https://www.se.com/pe/es/product/LADN40/bloque-de-contacto-auxiliar-tesys-d-4-na-terminales-de-abrazaderas-de-tornillo/" TargetMode="External"/><Relationship Id="rId267" Type="http://schemas.openxmlformats.org/officeDocument/2006/relationships/hyperlink" Target="https://drive.google.com/file/d/1fJ9_rePbS1nBpLLH5Frbosk2h6y6vwf1/view" TargetMode="External"/><Relationship Id="rId266" Type="http://schemas.openxmlformats.org/officeDocument/2006/relationships/hyperlink" Target="https://www.se.com/pe/es/product/LADN40/bloque-de-contacto-auxiliar-tesys-d-4-na-terminales-de-abrazaderas-de-tornillo/" TargetMode="External"/><Relationship Id="rId265" Type="http://schemas.openxmlformats.org/officeDocument/2006/relationships/hyperlink" Target="https://drive.google.com/file/d/1Ti61n5CvjYbERQd_WBKo61P__TL78SWh/view?usp=sharing" TargetMode="External"/><Relationship Id="rId260" Type="http://schemas.openxmlformats.org/officeDocument/2006/relationships/hyperlink" Target="https://drive.google.com/file/d/1Ti61n5CvjYbERQd_WBKo61P__TL78SWh/view?usp=sharing" TargetMode="External"/><Relationship Id="rId259" Type="http://schemas.openxmlformats.org/officeDocument/2006/relationships/hyperlink" Target="https://drive.google.com/file/d/1Ti61n5CvjYbERQd_WBKo61P__TL78SWh/view?usp=sharing" TargetMode="External"/><Relationship Id="rId258" Type="http://schemas.openxmlformats.org/officeDocument/2006/relationships/hyperlink" Target="https://drive.google.com/file/d/1Ti61n5CvjYbERQd_WBKo61P__TL78SWh/view?usp=sharing" TargetMode="External"/><Relationship Id="rId2290" Type="http://schemas.openxmlformats.org/officeDocument/2006/relationships/hyperlink" Target="https://www.memorykings.pe/producto/346964/adaptador-usb-c-a-usb-a-3-0-genius-acc-c2ac" TargetMode="External"/><Relationship Id="rId2291" Type="http://schemas.openxmlformats.org/officeDocument/2006/relationships/hyperlink" Target="https://todotec.com.pe/products/pantalla-grafica-xppen-artist-15-6-pro?srsltid=AfmBOopx98TWDyEYh1EKEUSoi0AWCXGgWD52r-JgkTXkl9ZvGakiI8wZ" TargetMode="External"/><Relationship Id="rId2292" Type="http://schemas.openxmlformats.org/officeDocument/2006/relationships/hyperlink" Target="https://www.memorykings.pe/producto/346964/adaptador-usb-c-a-usb-a-3-0-genius-acc-c2ac" TargetMode="External"/><Relationship Id="rId2293" Type="http://schemas.openxmlformats.org/officeDocument/2006/relationships/hyperlink" Target="https://todotec.com.pe/products/pantalla-grafica-xppen-artist-15-6-pro?srsltid=AfmBOopx98TWDyEYh1EKEUSoi0AWCXGgWD52r-JgkTXkl9ZvGakiI8wZ" TargetMode="External"/><Relationship Id="rId253" Type="http://schemas.openxmlformats.org/officeDocument/2006/relationships/hyperlink" Target="https://www.sinmag.com/en/prodetails/136/511.html" TargetMode="External"/><Relationship Id="rId2294" Type="http://schemas.openxmlformats.org/officeDocument/2006/relationships/hyperlink" Target="https://www.memorykings.pe/producto/346964/adaptador-usb-c-a-usb-a-3-0-genius-acc-c2ac" TargetMode="External"/><Relationship Id="rId252" Type="http://schemas.openxmlformats.org/officeDocument/2006/relationships/hyperlink" Target="https://docs.google.com/spreadsheets/d/10-F5GkEDVjxVTrWs0qKhAWWDQbXKvCWNscT26_47t2M/edit?gid=0" TargetMode="External"/><Relationship Id="rId2295" Type="http://schemas.openxmlformats.org/officeDocument/2006/relationships/hyperlink" Target="https://www.amazon.com/-/es/Tac%C3%B3metro-Contacto-Handhold-Medici%C3%B3n-Veloc%C3%ADmetro/dp/B08MPLCNPH/ref=sr_1_4?__mk_es_US=%C3%85M%C3%85%C5%BD%C3%95%C3%91&amp;crid=VP94G1LLMQI1&amp;dib=eyJ2IjoiMSJ9.DdlLTGJyL8pJmrahA1c2raWG9zcNTcPbY3B6phitJ_MNenNqezvXkDMYnl_X4XOgIrGMs6lFUY1jWIMkYOCVsuL_8FIZ8W7G52DNVhST1gw.vXHczq_f1mB9hu6PaO8TqiZg-WXU0BC5dKteohdEWfA&amp;dib_tag=se&amp;keywords=DT2236B&amp;qid=1759337521&amp;s=industrial&amp;sprefix=dt2236b%2Cindustrial%2C246&amp;sr=1-4" TargetMode="External"/><Relationship Id="rId251" Type="http://schemas.openxmlformats.org/officeDocument/2006/relationships/hyperlink" Target="https://www.amazon.es/inoxidable-espesante-maquinaria-alimentos-alimentaci%C3%B3n/dp/B0F7G8SP8L?th=1" TargetMode="External"/><Relationship Id="rId2296" Type="http://schemas.openxmlformats.org/officeDocument/2006/relationships/hyperlink" Target="https://www.amazon.com/-/es/Tac%C3%B3metro-Contacto-Handhold-Medici%C3%B3n-Veloc%C3%ADmetro/dp/B08MPLCNPH/ref=sr_1_4?__mk_es_US=%C3%85M%C3%85%C5%BD%C3%95%C3%91&amp;crid=VP94G1LLMQI1&amp;dib=eyJ2IjoiMSJ9.DdlLTGJyL8pJmrahA1c2raWG9zcNTcPbY3B6phitJ_MNenNqezvXkDMYnl_X4XOgIrGMs6lFUY1jWIMkYOCVsuL_8FIZ8W7G52DNVhST1gw.vXHczq_f1mB9hu6PaO8TqiZg-WXU0BC5dKteohdEWfA&amp;dib_tag=se&amp;keywords=DT2236B&amp;qid=1759337521&amp;s=industrial&amp;sprefix=dt2236b%2Cindustrial%2C246&amp;sr=1-5" TargetMode="External"/><Relationship Id="rId250" Type="http://schemas.openxmlformats.org/officeDocument/2006/relationships/hyperlink" Target="https://www.amazon.es/inoxidable-espesante-maquinaria-alimentos-alimentaci%C3%B3n/dp/B0F7G8SP8L?th=1" TargetMode="External"/><Relationship Id="rId2297" Type="http://schemas.openxmlformats.org/officeDocument/2006/relationships/hyperlink" Target="https://www.amazon.com/-/es/Tac%C3%B3metro-Contacto-Handhold-Medici%C3%B3n-Veloc%C3%ADmetro/dp/B08MPLCNPH/ref=sr_1_4?__mk_es_US=%C3%85M%C3%85%C5%BD%C3%95%C3%91&amp;crid=VP94G1LLMQI1&amp;dib=eyJ2IjoiMSJ9.DdlLTGJyL8pJmrahA1c2raWG9zcNTcPbY3B6phitJ_MNenNqezvXkDMYnl_X4XOgIrGMs6lFUY1jWIMkYOCVsuL_8FIZ8W7G52DNVhST1gw.vXHczq_f1mB9hu6PaO8TqiZg-WXU0BC5dKteohdEWfA&amp;dib_tag=se&amp;keywords=DT2236B&amp;qid=1759337521&amp;s=industrial&amp;sprefix=dt2236b%2Cindustrial%2C246&amp;sr=1-6" TargetMode="External"/><Relationship Id="rId257" Type="http://schemas.openxmlformats.org/officeDocument/2006/relationships/hyperlink" Target="https://www.maquinaelectroperu.com/vikale-b5hh-983/vikale-b5hh-983/" TargetMode="External"/><Relationship Id="rId2298" Type="http://schemas.openxmlformats.org/officeDocument/2006/relationships/hyperlink" Target="https://www.aslak.es/herramientas-electricas/taladro-de-columna-optidrill-d-26pro-230v-1ph-optidrill-d-26pro-230v-1ph.html" TargetMode="External"/><Relationship Id="rId256" Type="http://schemas.openxmlformats.org/officeDocument/2006/relationships/hyperlink" Target="https://www.maquinaelectroperu.com/vikale-b5hh-983/vikale-b5hh-983/" TargetMode="External"/><Relationship Id="rId2299" Type="http://schemas.openxmlformats.org/officeDocument/2006/relationships/hyperlink" Target="https://drive.google.com/file/d/1ph17z69pyucu9Rqw4U2S3qzLdKhCF5hQ/view?usp=sharing" TargetMode="External"/><Relationship Id="rId255" Type="http://schemas.openxmlformats.org/officeDocument/2006/relationships/hyperlink" Target="https://www.maquinaelectroperu.com/vikale-b5hh-983/vikale-b5hh-983/" TargetMode="External"/><Relationship Id="rId254" Type="http://schemas.openxmlformats.org/officeDocument/2006/relationships/hyperlink" Target="https://www.maquinaelectroperu.com/vikale-b5hh-983/vikale-b5hh-983/" TargetMode="External"/><Relationship Id="rId293" Type="http://schemas.openxmlformats.org/officeDocument/2006/relationships/hyperlink" Target="https://www.amazon.es/Costura-Pl%C3%A1stico-Cuadrada-Confecci%C3%B3n-Artesanal/dp/B09V853R98" TargetMode="External"/><Relationship Id="rId292" Type="http://schemas.openxmlformats.org/officeDocument/2006/relationships/hyperlink" Target="https://www.amazon.es/Costura-Pl%C3%A1stico-Cuadrada-Confecci%C3%B3n-Artesanal/dp/B09V853R98" TargetMode="External"/><Relationship Id="rId291" Type="http://schemas.openxmlformats.org/officeDocument/2006/relationships/hyperlink" Target="https://drive.google.com/file/d/1MamiglnsgYtIm2sp7jNE8HCPKLiZqMlz/view" TargetMode="External"/><Relationship Id="rId290" Type="http://schemas.openxmlformats.org/officeDocument/2006/relationships/hyperlink" Target="https://drive.google.com/file/d/1MamiglnsgYtIm2sp7jNE8HCPKLiZqMlz/view" TargetMode="External"/><Relationship Id="rId286" Type="http://schemas.openxmlformats.org/officeDocument/2006/relationships/hyperlink" Target="https://www.promart.pe/grasera-industrial-14-oz-6000-lb-pul2/p?srsltid=AfmBOorqzj4GgXjGt1olTcPu1-s1O2auQCiUm9iKnPi3Y7RQuZT-qWqk&amp;utm_source=chatgpt.com" TargetMode="External"/><Relationship Id="rId285" Type="http://schemas.openxmlformats.org/officeDocument/2006/relationships/hyperlink" Target="https://www.promart.pe/grasera-industrial-14-oz-6000-lb-pul2/p?srsltid=AfmBOorqzj4GgXjGt1olTcPu1-s1O2auQCiUm9iKnPi3Y7RQuZT-qWqk&amp;utm_source=chatgpt.com" TargetMode="External"/><Relationship Id="rId284" Type="http://schemas.openxmlformats.org/officeDocument/2006/relationships/hyperlink" Target="https://drive.google.com/file/d/1Ky3q6_f4TYphTlRHqPHF9gyv50q-0rQ1/view?usp=sharing" TargetMode="External"/><Relationship Id="rId283" Type="http://schemas.openxmlformats.org/officeDocument/2006/relationships/hyperlink" Target="https://www.promart.pe/grasera-industrial-14-oz-6000-lb-pul2/p?srsltid=AfmBOorqzj4GgXjGt1olTcPu1-s1O2auQCiUm9iKnPi3Y7RQuZT-qWqk&amp;utm_source=chatgpt.com" TargetMode="External"/><Relationship Id="rId289" Type="http://schemas.openxmlformats.org/officeDocument/2006/relationships/hyperlink" Target="https://drive.google.com/file/d/1MamiglnsgYtIm2sp7jNE8HCPKLiZqMlz/view" TargetMode="External"/><Relationship Id="rId288" Type="http://schemas.openxmlformats.org/officeDocument/2006/relationships/hyperlink" Target="https://www.promart.pe/grasera-industrial-14-oz-6000-lb-pul2/p?srsltid=AfmBOorqzj4GgXjGt1olTcPu1-s1O2auQCiUm9iKnPi3Y7RQuZT-qWqk&amp;utm_source=chatgpt.com" TargetMode="External"/><Relationship Id="rId287" Type="http://schemas.openxmlformats.org/officeDocument/2006/relationships/hyperlink" Target="https://drive.google.com/file/d/1Ky3q6_f4TYphTlRHqPHF9gyv50q-0rQ1/view?usp=sharing" TargetMode="External"/><Relationship Id="rId282" Type="http://schemas.openxmlformats.org/officeDocument/2006/relationships/hyperlink" Target="https://www.promart.pe/grasera-industrial-14-oz-6000-lb-pul2/p?srsltid=AfmBOorqzj4GgXjGt1olTcPu1-s1O2auQCiUm9iKnPi3Y7RQuZT-qWqk&amp;utm_source=chatgpt.com" TargetMode="External"/><Relationship Id="rId281" Type="http://schemas.openxmlformats.org/officeDocument/2006/relationships/hyperlink" Target="https://drive.google.com/file/d/1Ky3q6_f4TYphTlRHqPHF9gyv50q-0rQ1/view?usp=sharing" TargetMode="External"/><Relationship Id="rId280" Type="http://schemas.openxmlformats.org/officeDocument/2006/relationships/hyperlink" Target="https://www.promart.pe/grasera-industrial-14-oz-6000-lb-pul2/p?srsltid=AfmBOorqzj4GgXjGt1olTcPu1-s1O2auQCiUm9iKnPi3Y7RQuZT-qWqk&amp;utm_source=chatgpt.com" TargetMode="External"/><Relationship Id="rId275" Type="http://schemas.openxmlformats.org/officeDocument/2006/relationships/hyperlink" Target="https://drive.google.com/file/d/1VJ5yBrlVNIGlqK0le9YIhJFSOhZGN6MM/view?usp=sharing" TargetMode="External"/><Relationship Id="rId274" Type="http://schemas.openxmlformats.org/officeDocument/2006/relationships/hyperlink" Target="https://sewingcraft.brother.eu/en/products/machines/combination-machines/combination-machines/innov-is-v5le" TargetMode="External"/><Relationship Id="rId273" Type="http://schemas.openxmlformats.org/officeDocument/2006/relationships/hyperlink" Target="https://drive.google.com/file/d/1VJ5yBrlVNIGlqK0le9YIhJFSOhZGN6MM/view?usp=sharing" TargetMode="External"/><Relationship Id="rId272" Type="http://schemas.openxmlformats.org/officeDocument/2006/relationships/hyperlink" Target="https://sewingcraft.brother.eu/en/products/machines/combination-machines/combination-machines/innov-is-v5le" TargetMode="External"/><Relationship Id="rId279" Type="http://schemas.openxmlformats.org/officeDocument/2006/relationships/hyperlink" Target="https://articulo.mercadolibre.com.pe/MPE-606865336-embudo-para-maquina-coser-recta-industrial-25cm-al-4cm-x-ud-_JM?searchVariation=174116342699" TargetMode="External"/><Relationship Id="rId278" Type="http://schemas.openxmlformats.org/officeDocument/2006/relationships/hyperlink" Target="https://articulo.mercadolibre.com.pe/MPE-606865336-embudo-para-maquina-coser-recta-industrial-25cm-al-4cm-x-ud-_JM?searchVariation=174116342699" TargetMode="External"/><Relationship Id="rId277" Type="http://schemas.openxmlformats.org/officeDocument/2006/relationships/hyperlink" Target="https://docs.google.com/spreadsheets/d/10-F5GkEDVjxVTrWs0qKhAWWDQbXKvCWNscT26_47t2M/edit?gid=0" TargetMode="External"/><Relationship Id="rId276" Type="http://schemas.openxmlformats.org/officeDocument/2006/relationships/hyperlink" Target="https://www.amazon.es/inoxidable-espesante-maquinaria-alimentos-alimentaci%C3%B3n/dp/B0F7G8SP8L?th=1" TargetMode="External"/><Relationship Id="rId1851" Type="http://schemas.openxmlformats.org/officeDocument/2006/relationships/hyperlink" Target="https://drive.google.com/file/d/15QuopgjjRm4ZtFhRFJcYUga7SuX58zxy/view" TargetMode="External"/><Relationship Id="rId1852" Type="http://schemas.openxmlformats.org/officeDocument/2006/relationships/hyperlink" Target="https://lavictoria.ec/producto/olla-de-presion-de-9-litros-oster-4793/?srsltid=AfmBOorjdgupuTEsjSuwHJJadiC_CWMCEgb_79M8Bqoja5csSlGeQ1d9" TargetMode="External"/><Relationship Id="rId1853" Type="http://schemas.openxmlformats.org/officeDocument/2006/relationships/hyperlink" Target="https://drive.google.com/file/d/15QuopgjjRm4ZtFhRFJcYUga7SuX58zxy/view" TargetMode="External"/><Relationship Id="rId1854" Type="http://schemas.openxmlformats.org/officeDocument/2006/relationships/hyperlink" Target="https://lavictoria.ec/producto/olla-de-presion-de-9-litros-oster-4793/?srsltid=AfmBOorjdgupuTEsjSuwHJJadiC_CWMCEgb_79M8Bqoja5csSlGeQ1d9" TargetMode="External"/><Relationship Id="rId1855" Type="http://schemas.openxmlformats.org/officeDocument/2006/relationships/hyperlink" Target="https://drive.google.com/file/d/15QuopgjjRm4ZtFhRFJcYUga7SuX58zxy/view" TargetMode="External"/><Relationship Id="rId1856" Type="http://schemas.openxmlformats.org/officeDocument/2006/relationships/hyperlink" Target="https://www.thomas.com.pe/thomaspe/olla-th-45p.html?srsltid=AfmBOopEU_oBNR6bPTretuKfqyJtcV1RPlYQblsWPXwSYZrJazarDUG2" TargetMode="External"/><Relationship Id="rId1857" Type="http://schemas.openxmlformats.org/officeDocument/2006/relationships/hyperlink" Target="https://www.thomas.com.pe/thomaspe/olla-th-45p.html?srsltid=AfmBOopEU_oBNR6bPTretuKfqyJtcV1RPlYQblsWPXwSYZrJazarDUG2" TargetMode="External"/><Relationship Id="rId1858" Type="http://schemas.openxmlformats.org/officeDocument/2006/relationships/hyperlink" Target="https://drive.google.com/file/d/1r0u7iSw0bQjpqfYjT9EbVw82Dn1Dx9oR/view" TargetMode="External"/><Relationship Id="rId1859" Type="http://schemas.openxmlformats.org/officeDocument/2006/relationships/hyperlink" Target="https://www.amazon.com/-/es/pulgadas-desechables-Bouffant-redecillas-perfectas/dp/B094KLCQLV" TargetMode="External"/><Relationship Id="rId1850" Type="http://schemas.openxmlformats.org/officeDocument/2006/relationships/hyperlink" Target="https://lavictoria.ec/producto/olla-de-presion-de-9-litros-oster-4793/?srsltid=AfmBOorjdgupuTEsjSuwHJJadiC_CWMCEgb_79M8Bqoja5csSlGeQ1d9" TargetMode="External"/><Relationship Id="rId1840" Type="http://schemas.openxmlformats.org/officeDocument/2006/relationships/hyperlink" Target="https://firemansperu.com/productos/extintores-firemans/polvo-quimico-seco/" TargetMode="External"/><Relationship Id="rId1841" Type="http://schemas.openxmlformats.org/officeDocument/2006/relationships/hyperlink" Target="https://firemansperu.com/productos/extintores-firemans/polvo-quimico-seco/" TargetMode="External"/><Relationship Id="rId1842" Type="http://schemas.openxmlformats.org/officeDocument/2006/relationships/hyperlink" Target="https://firemansperu.com/productos/extintores-firemans/polvo-quimico-seco/" TargetMode="External"/><Relationship Id="rId1843" Type="http://schemas.openxmlformats.org/officeDocument/2006/relationships/hyperlink" Target="https://firemansperu.com/productos/extintores-firemans/polvo-quimico-seco/" TargetMode="External"/><Relationship Id="rId1844" Type="http://schemas.openxmlformats.org/officeDocument/2006/relationships/hyperlink" Target="https://www.promart.pe/regla-de-acero-300mm/p?srsltid=AfmBOopYSzWYsp5ckBbNC9SIQ_fe_D1NkeUkvdosg60ZS3JDaeKlviFn" TargetMode="External"/><Relationship Id="rId1845" Type="http://schemas.openxmlformats.org/officeDocument/2006/relationships/hyperlink" Target="https://firemansperu.com/productos/extintores-firemans/polvo-quimico-seco/" TargetMode="External"/><Relationship Id="rId1846" Type="http://schemas.openxmlformats.org/officeDocument/2006/relationships/hyperlink" Target="https://drive.google.com/file/d/1r0u7iSw0bQjpqfYjT9EbVw82Dn1Dx9oR/view" TargetMode="External"/><Relationship Id="rId1847" Type="http://schemas.openxmlformats.org/officeDocument/2006/relationships/hyperlink" Target="https://drive.google.com/file/d/1r0u7iSw0bQjpqfYjT9EbVw82Dn1Dx9oR/view" TargetMode="External"/><Relationship Id="rId1848" Type="http://schemas.openxmlformats.org/officeDocument/2006/relationships/hyperlink" Target="https://lavictoria.ec/producto/olla-de-presion-de-9-litros-oster-4793/?srsltid=AfmBOorjdgupuTEsjSuwHJJadiC_CWMCEgb_79M8Bqoja5csSlGeQ1d9" TargetMode="External"/><Relationship Id="rId1849" Type="http://schemas.openxmlformats.org/officeDocument/2006/relationships/hyperlink" Target="https://drive.google.com/file/d/15QuopgjjRm4ZtFhRFJcYUga7SuX58zxy/view" TargetMode="External"/><Relationship Id="rId1873" Type="http://schemas.openxmlformats.org/officeDocument/2006/relationships/hyperlink" Target="https://www.batronix.com/shop/oscilloscopes/Owon-SDS8202.html" TargetMode="External"/><Relationship Id="rId1874" Type="http://schemas.openxmlformats.org/officeDocument/2006/relationships/hyperlink" Target="https://www.inladsac.com/producto/osciloscopio-digital-300mhz-2-canales-peaktech-p-1270/?srsltid=AfmBOop6NmqKkL_XddfuNHqyVGwajh9p81Omw946mCTP4lCwp6QwTC-4" TargetMode="External"/><Relationship Id="rId1875" Type="http://schemas.openxmlformats.org/officeDocument/2006/relationships/hyperlink" Target="https://drive.google.com/file/d/1zAaC4RcidyJXeUzN_tIt6W6RMScdH8l5/view?usp=sharing" TargetMode="External"/><Relationship Id="rId1876" Type="http://schemas.openxmlformats.org/officeDocument/2006/relationships/hyperlink" Target="https://www.batronix.com/shop/oscilloscopes/Owon-SDS8202.html" TargetMode="External"/><Relationship Id="rId1877" Type="http://schemas.openxmlformats.org/officeDocument/2006/relationships/hyperlink" Target="https://www.inladsac.com/producto/osciloscopio-digital-300mhz-2-canales-peaktech-p-1270/?srsltid=AfmBOop6NmqKkL_XddfuNHqyVGwajh9p81Omw946mCTP4lCwp6QwTC-4" TargetMode="External"/><Relationship Id="rId1878" Type="http://schemas.openxmlformats.org/officeDocument/2006/relationships/hyperlink" Target="https://drive.google.com/file/d/1zAaC4RcidyJXeUzN_tIt6W6RMScdH8l5/view?usp=sharing" TargetMode="External"/><Relationship Id="rId1879" Type="http://schemas.openxmlformats.org/officeDocument/2006/relationships/hyperlink" Target="https://www.inladsac.com/producto/osciloscopio-digital-300mhz-2-canales-peaktech-p-1270/?srsltid=AfmBOop6NmqKkL_XddfuNHqyVGwajh9p81Omw946mCTP4lCwp6QwTC-4" TargetMode="External"/><Relationship Id="rId1870" Type="http://schemas.openxmlformats.org/officeDocument/2006/relationships/hyperlink" Target="https://www.batronix.com/shop/oscilloscopes/Owon-SDS8202.html" TargetMode="External"/><Relationship Id="rId1871" Type="http://schemas.openxmlformats.org/officeDocument/2006/relationships/hyperlink" Target="https://www.owon.com.hk/products_owon_smartds_series_digital_oscilloscope" TargetMode="External"/><Relationship Id="rId1872" Type="http://schemas.openxmlformats.org/officeDocument/2006/relationships/hyperlink" Target="https://drive.google.com/file/d/1wyzG1v7AfxDnbv0tBrOsf0Y3zloI7hmV/view" TargetMode="External"/><Relationship Id="rId1862" Type="http://schemas.openxmlformats.org/officeDocument/2006/relationships/hyperlink" Target="https://drive.google.com/file/d/1LqBxJXb39f_mrL6wpRQJDuDI3ffaR52A/view?usp=sharing" TargetMode="External"/><Relationship Id="rId1863" Type="http://schemas.openxmlformats.org/officeDocument/2006/relationships/hyperlink" Target="https://www.brainbee.mahle.com/media/brainbee/product-lines/emission/depliant/es_brain-bee-emission-line.pdf" TargetMode="External"/><Relationship Id="rId1864" Type="http://schemas.openxmlformats.org/officeDocument/2006/relationships/hyperlink" Target="https://www.brainbee.mahle.com/media/brainbee/product-lines/emission/depliant/es_brain-bee-emission-line.pdf" TargetMode="External"/><Relationship Id="rId1865" Type="http://schemas.openxmlformats.org/officeDocument/2006/relationships/hyperlink" Target="https://www.brainbee.mahle.com/media/brainbee/product-lines/emission/depliant/es_brain-bee-emission-line.pdf" TargetMode="External"/><Relationship Id="rId1866" Type="http://schemas.openxmlformats.org/officeDocument/2006/relationships/hyperlink" Target="https://www.amazon.com/-/es/pulgadas-desechables-Bouffant-redecillas-perfectas/dp/B094KLCQLV" TargetMode="External"/><Relationship Id="rId1867" Type="http://schemas.openxmlformats.org/officeDocument/2006/relationships/hyperlink" Target="https://drive.google.com/file/d/1LqBxJXb39f_mrL6wpRQJDuDI3ffaR52A/view?usp=sharing" TargetMode="External"/><Relationship Id="rId1868" Type="http://schemas.openxmlformats.org/officeDocument/2006/relationships/hyperlink" Target="https://www.amazon.com/-/es/pulgadas-desechables-Bouffant-redecillas-perfectas/dp/B094KLCQLV" TargetMode="External"/><Relationship Id="rId1869" Type="http://schemas.openxmlformats.org/officeDocument/2006/relationships/hyperlink" Target="https://drive.google.com/file/d/1LqBxJXb39f_mrL6wpRQJDuDI3ffaR52A/view?usp=sharing" TargetMode="External"/><Relationship Id="rId1860" Type="http://schemas.openxmlformats.org/officeDocument/2006/relationships/hyperlink" Target="https://drive.google.com/file/d/1LqBxJXb39f_mrL6wpRQJDuDI3ffaR52A/view?usp=sharing" TargetMode="External"/><Relationship Id="rId1861" Type="http://schemas.openxmlformats.org/officeDocument/2006/relationships/hyperlink" Target="https://www.amazon.com/-/es/pulgadas-desechables-Bouffant-redecillas-perfectas/dp/B094KLCQLV" TargetMode="External"/><Relationship Id="rId1810" Type="http://schemas.openxmlformats.org/officeDocument/2006/relationships/hyperlink" Target="https://www.bosch-home.pe/electrodomesticos/MCM3501M" TargetMode="External"/><Relationship Id="rId1811" Type="http://schemas.openxmlformats.org/officeDocument/2006/relationships/hyperlink" Target="https://drive.google.com/file/d/15umRVZ0zaKYljJs8oJ2UPKQAXAtyuOhz/view" TargetMode="External"/><Relationship Id="rId1812" Type="http://schemas.openxmlformats.org/officeDocument/2006/relationships/hyperlink" Target="https://www.bosch-home.pe/electrodomesticos/MCM3501M" TargetMode="External"/><Relationship Id="rId1813" Type="http://schemas.openxmlformats.org/officeDocument/2006/relationships/hyperlink" Target="https://drive.google.com/file/d/15umRVZ0zaKYljJs8oJ2UPKQAXAtyuOhz/view" TargetMode="External"/><Relationship Id="rId1814" Type="http://schemas.openxmlformats.org/officeDocument/2006/relationships/hyperlink" Target="https://www.bosch-home.pe/electrodomesticos/MCM3501M" TargetMode="External"/><Relationship Id="rId1815" Type="http://schemas.openxmlformats.org/officeDocument/2006/relationships/hyperlink" Target="https://drive.google.com/file/d/15umRVZ0zaKYljJs8oJ2UPKQAXAtyuOhz/view" TargetMode="External"/><Relationship Id="rId1816" Type="http://schemas.openxmlformats.org/officeDocument/2006/relationships/hyperlink" Target="https://meters.uni-trend.com/product/ut61plus-series/" TargetMode="External"/><Relationship Id="rId1817" Type="http://schemas.openxmlformats.org/officeDocument/2006/relationships/hyperlink" Target="https://drive.google.com/file/d/1dbahtMEu-pGSwu1cN_RnX3u_xFhGDKSs/view" TargetMode="External"/><Relationship Id="rId1818" Type="http://schemas.openxmlformats.org/officeDocument/2006/relationships/hyperlink" Target="https://meters.uni-trend.com/product/ut61plus-series/" TargetMode="External"/><Relationship Id="rId1819" Type="http://schemas.openxmlformats.org/officeDocument/2006/relationships/hyperlink" Target="https://drive.google.com/file/d/1dbahtMEu-pGSwu1cN_RnX3u_xFhGDKSs/view" TargetMode="External"/><Relationship Id="rId1800" Type="http://schemas.openxmlformats.org/officeDocument/2006/relationships/hyperlink" Target="https://www.bosch-home.pe/electrodomesticos/MCM3501M" TargetMode="External"/><Relationship Id="rId1801" Type="http://schemas.openxmlformats.org/officeDocument/2006/relationships/hyperlink" Target="https://drive.google.com/file/d/15umRVZ0zaKYljJs8oJ2UPKQAXAtyuOhz/view" TargetMode="External"/><Relationship Id="rId1802" Type="http://schemas.openxmlformats.org/officeDocument/2006/relationships/hyperlink" Target="https://www.bosch-home.pe/electrodomesticos/MCM3501M" TargetMode="External"/><Relationship Id="rId1803" Type="http://schemas.openxmlformats.org/officeDocument/2006/relationships/hyperlink" Target="https://drive.google.com/file/d/15umRVZ0zaKYljJs8oJ2UPKQAXAtyuOhz/view" TargetMode="External"/><Relationship Id="rId1804" Type="http://schemas.openxmlformats.org/officeDocument/2006/relationships/hyperlink" Target="https://www.bosch-home.pe/electrodomesticos/MCM3501M" TargetMode="External"/><Relationship Id="rId1805" Type="http://schemas.openxmlformats.org/officeDocument/2006/relationships/hyperlink" Target="https://drive.google.com/file/d/15umRVZ0zaKYljJs8oJ2UPKQAXAtyuOhz/view" TargetMode="External"/><Relationship Id="rId1806" Type="http://schemas.openxmlformats.org/officeDocument/2006/relationships/hyperlink" Target="https://www.bosch-home.pe/electrodomesticos/MCM3501M" TargetMode="External"/><Relationship Id="rId1807" Type="http://schemas.openxmlformats.org/officeDocument/2006/relationships/hyperlink" Target="https://drive.google.com/file/d/15umRVZ0zaKYljJs8oJ2UPKQAXAtyuOhz/view" TargetMode="External"/><Relationship Id="rId1808" Type="http://schemas.openxmlformats.org/officeDocument/2006/relationships/hyperlink" Target="https://www.bosch-home.pe/electrodomesticos/MCM3501M" TargetMode="External"/><Relationship Id="rId1809" Type="http://schemas.openxmlformats.org/officeDocument/2006/relationships/hyperlink" Target="https://drive.google.com/file/d/15umRVZ0zaKYljJs8oJ2UPKQAXAtyuOhz/view" TargetMode="External"/><Relationship Id="rId1830" Type="http://schemas.openxmlformats.org/officeDocument/2006/relationships/hyperlink" Target="https://firemansperu.com/productos/extintores-firemans/polvo-quimico-seco/" TargetMode="External"/><Relationship Id="rId1831" Type="http://schemas.openxmlformats.org/officeDocument/2006/relationships/hyperlink" Target="https://firemansperu.com/productos/extintores-firemans/polvo-quimico-seco/" TargetMode="External"/><Relationship Id="rId1832" Type="http://schemas.openxmlformats.org/officeDocument/2006/relationships/hyperlink" Target="https://firemansperu.com/productos/extintores-firemans/polvo-quimico-seco/" TargetMode="External"/><Relationship Id="rId1833" Type="http://schemas.openxmlformats.org/officeDocument/2006/relationships/hyperlink" Target="https://firemansperu.com/productos/extintores-firemans/polvo-quimico-seco/" TargetMode="External"/><Relationship Id="rId1834" Type="http://schemas.openxmlformats.org/officeDocument/2006/relationships/hyperlink" Target="https://firemansperu.com/productos/extintores-firemans/polvo-quimico-seco/" TargetMode="External"/><Relationship Id="rId1835" Type="http://schemas.openxmlformats.org/officeDocument/2006/relationships/hyperlink" Target="https://firemansperu.com/productos/extintores-firemans/polvo-quimico-seco/" TargetMode="External"/><Relationship Id="rId1836" Type="http://schemas.openxmlformats.org/officeDocument/2006/relationships/hyperlink" Target="https://firemansperu.com/productos/extintores-firemans/polvo-quimico-seco/" TargetMode="External"/><Relationship Id="rId1837" Type="http://schemas.openxmlformats.org/officeDocument/2006/relationships/hyperlink" Target="https://firemansperu.com/productos/extintores-firemans/polvo-quimico-seco/" TargetMode="External"/><Relationship Id="rId1838" Type="http://schemas.openxmlformats.org/officeDocument/2006/relationships/hyperlink" Target="https://firemansperu.com/productos/extintores-firemans/polvo-quimico-seco/" TargetMode="External"/><Relationship Id="rId1839" Type="http://schemas.openxmlformats.org/officeDocument/2006/relationships/hyperlink" Target="https://firemansperu.com/productos/extintores-firemans/polvo-quimico-seco/" TargetMode="External"/><Relationship Id="rId1820" Type="http://schemas.openxmlformats.org/officeDocument/2006/relationships/hyperlink" Target="https://meters.uni-trend.com/product/ut61plus-series/" TargetMode="External"/><Relationship Id="rId1821" Type="http://schemas.openxmlformats.org/officeDocument/2006/relationships/hyperlink" Target="https://drive.google.com/file/d/1Gm8nIRKEQNOyllcVcqpDUaFl-M5AnbfA/view?usp=sharing" TargetMode="External"/><Relationship Id="rId1822" Type="http://schemas.openxmlformats.org/officeDocument/2006/relationships/hyperlink" Target="https://meters.uni-trend.com/product/ut61plus-series/" TargetMode="External"/><Relationship Id="rId1823" Type="http://schemas.openxmlformats.org/officeDocument/2006/relationships/hyperlink" Target="https://drive.google.com/file/d/1dbahtMEu-pGSwu1cN_RnX3u_xFhGDKSs/view" TargetMode="External"/><Relationship Id="rId1824" Type="http://schemas.openxmlformats.org/officeDocument/2006/relationships/hyperlink" Target="https://meters.uni-trend.com/product/ut61plus-series/" TargetMode="External"/><Relationship Id="rId1825" Type="http://schemas.openxmlformats.org/officeDocument/2006/relationships/hyperlink" Target="https://drive.google.com/file/d/1Gm8nIRKEQNOyllcVcqpDUaFl-M5AnbfA/view?usp=sharing" TargetMode="External"/><Relationship Id="rId1826" Type="http://schemas.openxmlformats.org/officeDocument/2006/relationships/hyperlink" Target="https://firemansperu.com/productos/extintores-firemans/polvo-quimico-seco/" TargetMode="External"/><Relationship Id="rId1827" Type="http://schemas.openxmlformats.org/officeDocument/2006/relationships/hyperlink" Target="https://firemansperu.com/productos/extintores-firemans/polvo-quimico-seco/" TargetMode="External"/><Relationship Id="rId1828" Type="http://schemas.openxmlformats.org/officeDocument/2006/relationships/hyperlink" Target="https://firemansperu.com/productos/extintores-firemans/polvo-quimico-seco/" TargetMode="External"/><Relationship Id="rId1829" Type="http://schemas.openxmlformats.org/officeDocument/2006/relationships/hyperlink" Target="https://firemansperu.com/productos/extintores-firemans/polvo-quimico-seco/" TargetMode="External"/><Relationship Id="rId1455" Type="http://schemas.openxmlformats.org/officeDocument/2006/relationships/hyperlink" Target="https://www.aslak.es/madera/5902200-lijadora-con-brazo-inclinable-bts-200.html" TargetMode="External"/><Relationship Id="rId2302" Type="http://schemas.openxmlformats.org/officeDocument/2006/relationships/hyperlink" Target="https://www.aslak.es/herramientas-electricas/taladro-de-columna-optidrill-d-26pro-230v-1ph-optidrill-d-26pro-230v-1ph.html" TargetMode="External"/><Relationship Id="rId1456" Type="http://schemas.openxmlformats.org/officeDocument/2006/relationships/hyperlink" Target="https://drive.google.com/file/d/17_cEFpcx6B3FZL4DsTFAE5-B-YNdaq_g/view?usp=sharing" TargetMode="External"/><Relationship Id="rId2303" Type="http://schemas.openxmlformats.org/officeDocument/2006/relationships/hyperlink" Target="https://drive.google.com/file/d/1ph17z69pyucu9Rqw4U2S3qzLdKhCF5hQ/view?usp=sharing" TargetMode="External"/><Relationship Id="rId1457" Type="http://schemas.openxmlformats.org/officeDocument/2006/relationships/hyperlink" Target="https://www.aslak.es/madera/5902200-lijadora-con-brazo-inclinable-bts-200.html" TargetMode="External"/><Relationship Id="rId2304" Type="http://schemas.openxmlformats.org/officeDocument/2006/relationships/hyperlink" Target="https://inquirecontent2.ingrammicro.com/Manufacturer-Brochure/1086740376.pdf" TargetMode="External"/><Relationship Id="rId1458" Type="http://schemas.openxmlformats.org/officeDocument/2006/relationships/hyperlink" Target="https://drive.google.com/file/d/17_cEFpcx6B3FZL4DsTFAE5-B-YNdaq_g/view?usp=sharing" TargetMode="External"/><Relationship Id="rId2305" Type="http://schemas.openxmlformats.org/officeDocument/2006/relationships/hyperlink" Target="https://www.aslak.es/herramientas-electricas/taladro-de-columna-optidrill-d-26pro-230v-1ph-optidrill-d-26pro-230v-1ph.html" TargetMode="External"/><Relationship Id="rId1459" Type="http://schemas.openxmlformats.org/officeDocument/2006/relationships/hyperlink" Target="https://www.makita.es/data/sr/productinfo/generated/bo3711_3.pdf" TargetMode="External"/><Relationship Id="rId2306" Type="http://schemas.openxmlformats.org/officeDocument/2006/relationships/hyperlink" Target="https://drive.google.com/file/d/1MvFccfT2p_bbZqqiJ2u_YDl780oYqo_n/view?usp=drive_link" TargetMode="External"/><Relationship Id="rId2307" Type="http://schemas.openxmlformats.org/officeDocument/2006/relationships/hyperlink" Target="https://www.aslak.es/herramientas-electricas/taladro-de-columna-optidrill-d-26pro-230v-1ph-optidrill-d-26pro-230v-1ph.html" TargetMode="External"/><Relationship Id="rId2308" Type="http://schemas.openxmlformats.org/officeDocument/2006/relationships/hyperlink" Target="https://drive.google.com/file/d/1MvFccfT2p_bbZqqiJ2u_YDl780oYqo_n/view?usp=drive_link" TargetMode="External"/><Relationship Id="rId2309" Type="http://schemas.openxmlformats.org/officeDocument/2006/relationships/hyperlink" Target="https://www.holzmann-maschinen.at/ES/Mortajadora-horizontal-845" TargetMode="External"/><Relationship Id="rId629" Type="http://schemas.openxmlformats.org/officeDocument/2006/relationships/hyperlink" Target="https://dji.pe/dji-air-3s-dji-rc-n6" TargetMode="External"/><Relationship Id="rId624" Type="http://schemas.openxmlformats.org/officeDocument/2006/relationships/hyperlink" Target="https://industriacortijo.com/producto/divisora-de-masa-30c/?srsltid=AfmBOopliGy3OEApBKKY5iTlH0ohCa6YEKXYtinLPwRHBRkekXBEeZ-K" TargetMode="External"/><Relationship Id="rId623" Type="http://schemas.openxmlformats.org/officeDocument/2006/relationships/hyperlink" Target="https://drive.google.com/file/d/1be3v0_02RqgGRZ77Oqb4GHhEUkTRmdrF/view" TargetMode="External"/><Relationship Id="rId622" Type="http://schemas.openxmlformats.org/officeDocument/2006/relationships/hyperlink" Target="https://industriacortijo.com/producto/divisora-de-masa-30c/?srsltid=AfmBOopliGy3OEApBKKY5iTlH0ohCa6YEKXYtinLPwRHBRkekXBEeZ-K" TargetMode="External"/><Relationship Id="rId621" Type="http://schemas.openxmlformats.org/officeDocument/2006/relationships/hyperlink" Target="https://drive.google.com/file/d/1be3v0_02RqgGRZ77Oqb4GHhEUkTRmdrF/view" TargetMode="External"/><Relationship Id="rId628" Type="http://schemas.openxmlformats.org/officeDocument/2006/relationships/hyperlink" Target="https://dji.pe/dji-air-3s-dji-rc-n5" TargetMode="External"/><Relationship Id="rId627" Type="http://schemas.openxmlformats.org/officeDocument/2006/relationships/hyperlink" Target="https://dji.pe/dji-air-3s-dji-rc-n4" TargetMode="External"/><Relationship Id="rId626" Type="http://schemas.openxmlformats.org/officeDocument/2006/relationships/hyperlink" Target="https://dji.pe/dji-air-3s-dji-rc-n3" TargetMode="External"/><Relationship Id="rId625" Type="http://schemas.openxmlformats.org/officeDocument/2006/relationships/hyperlink" Target="https://drive.google.com/file/d/1be3v0_02RqgGRZ77Oqb4GHhEUkTRmdrF/view" TargetMode="External"/><Relationship Id="rId1450" Type="http://schemas.openxmlformats.org/officeDocument/2006/relationships/hyperlink" Target="https://www.skymsen.com/uploads/produtos/folders/709913_esp.pdf" TargetMode="External"/><Relationship Id="rId620" Type="http://schemas.openxmlformats.org/officeDocument/2006/relationships/hyperlink" Target="https://industriacortijo.com/producto/divisora-de-masa-30c/?srsltid=AfmBOopliGy3OEApBKKY5iTlH0ohCa6YEKXYtinLPwRHBRkekXBEeZ-K" TargetMode="External"/><Relationship Id="rId1451" Type="http://schemas.openxmlformats.org/officeDocument/2006/relationships/hyperlink" Target="https://www.skymsen.com/es/index.php/produtos/detalhe/709913" TargetMode="External"/><Relationship Id="rId1452" Type="http://schemas.openxmlformats.org/officeDocument/2006/relationships/hyperlink" Target="https://www.skymsen.com/uploads/produtos/folders/709913_esp.pdf" TargetMode="External"/><Relationship Id="rId1453" Type="http://schemas.openxmlformats.org/officeDocument/2006/relationships/hyperlink" Target="https://www.skymsen.com/es/index.php/produtos/detalhe/709913" TargetMode="External"/><Relationship Id="rId2300" Type="http://schemas.openxmlformats.org/officeDocument/2006/relationships/hyperlink" Target="https://www.aslak.es/herramientas-electricas/taladro-de-columna-optidrill-d-26pro-230v-1ph-optidrill-d-26pro-230v-1ph.html" TargetMode="External"/><Relationship Id="rId1454" Type="http://schemas.openxmlformats.org/officeDocument/2006/relationships/hyperlink" Target="https://www.skymsen.com/uploads/produtos/folders/709913_esp.pdf" TargetMode="External"/><Relationship Id="rId2301" Type="http://schemas.openxmlformats.org/officeDocument/2006/relationships/hyperlink" Target="https://drive.google.com/file/d/1ph17z69pyucu9Rqw4U2S3qzLdKhCF5hQ/view?usp=sharing" TargetMode="External"/><Relationship Id="rId1444" Type="http://schemas.openxmlformats.org/officeDocument/2006/relationships/hyperlink" Target="https://www.amazon.com.mx/cucharas-peque%C3%B1as-pulgadas-unidades-inoxidable/dp/B0DP8PB9PW?th=1" TargetMode="External"/><Relationship Id="rId1445" Type="http://schemas.openxmlformats.org/officeDocument/2006/relationships/hyperlink" Target="https://www.skymsen.com/es/index.php/produtos/detalhe/709913" TargetMode="External"/><Relationship Id="rId1446" Type="http://schemas.openxmlformats.org/officeDocument/2006/relationships/hyperlink" Target="https://www.skymsen.com/uploads/produtos/folders/709913_esp.pdf" TargetMode="External"/><Relationship Id="rId1447" Type="http://schemas.openxmlformats.org/officeDocument/2006/relationships/hyperlink" Target="https://www.skymsen.com/es/index.php/produtos/detalhe/709913" TargetMode="External"/><Relationship Id="rId1448" Type="http://schemas.openxmlformats.org/officeDocument/2006/relationships/hyperlink" Target="https://www.skymsen.com/uploads/produtos/folders/709913_esp.pdf" TargetMode="External"/><Relationship Id="rId1449" Type="http://schemas.openxmlformats.org/officeDocument/2006/relationships/hyperlink" Target="https://www.skymsen.com/es/index.php/produtos/detalhe/709913" TargetMode="External"/><Relationship Id="rId619" Type="http://schemas.openxmlformats.org/officeDocument/2006/relationships/hyperlink" Target="https://drive.google.com/file/d/1be3v0_02RqgGRZ77Oqb4GHhEUkTRmdrF/view" TargetMode="External"/><Relationship Id="rId618" Type="http://schemas.openxmlformats.org/officeDocument/2006/relationships/hyperlink" Target="https://industriacortijo.com/producto/divisora-de-masa-30c/?srsltid=AfmBOopliGy3OEApBKKY5iTlH0ohCa6YEKXYtinLPwRHBRkekXBEeZ-K" TargetMode="External"/><Relationship Id="rId613" Type="http://schemas.openxmlformats.org/officeDocument/2006/relationships/hyperlink" Target="https://nargesa.com/es/maquinaria-industrial/curvadora-de-tubos-perfiles-mc200h" TargetMode="External"/><Relationship Id="rId612" Type="http://schemas.openxmlformats.org/officeDocument/2006/relationships/hyperlink" Target="https://es.rs-online.com/web/p/micrometros/8771791" TargetMode="External"/><Relationship Id="rId611" Type="http://schemas.openxmlformats.org/officeDocument/2006/relationships/hyperlink" Target="https://es.rs-online.com/web/p/micrometros/8771791" TargetMode="External"/><Relationship Id="rId610" Type="http://schemas.openxmlformats.org/officeDocument/2006/relationships/hyperlink" Target="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 TargetMode="External"/><Relationship Id="rId617" Type="http://schemas.openxmlformats.org/officeDocument/2006/relationships/hyperlink" Target="https://simple.ripley.com.pe/set-de-3-moldes-de-keke-con-tubo-del-22-al-26-para-reposteria-pmp20001050540?color_80=aluminio&amp;s=mdco" TargetMode="External"/><Relationship Id="rId616" Type="http://schemas.openxmlformats.org/officeDocument/2006/relationships/hyperlink" Target="https://simple.ripley.com.pe/set-de-3-moldes-de-keke-con-tubo-del-22-al-26-para-reposteria-pmp20001050540?color_80=aluminio&amp;s=mdco" TargetMode="External"/><Relationship Id="rId615" Type="http://schemas.openxmlformats.org/officeDocument/2006/relationships/hyperlink" Target="https://hiraoka.com.pe/mini-grabadora-sony-icd-px470-cla?srsltid=AfmBOoqq8xxZlUpUtMZ1hqBR6cQxbrLWCpLYO22YS3PPTAp3HmUHeOWu" TargetMode="External"/><Relationship Id="rId614" Type="http://schemas.openxmlformats.org/officeDocument/2006/relationships/hyperlink" Target="https://drive.google.com/file/d/1JGxS1Bp1BSugtQHjvZbp4pvHFKtSFHSH/view" TargetMode="External"/><Relationship Id="rId1440" Type="http://schemas.openxmlformats.org/officeDocument/2006/relationships/hyperlink" Target="https://www.amazon.com.mx/cucharas-peque%C3%B1as-pulgadas-unidades-inoxidable/dp/B0DP8PB9PW?th=1" TargetMode="External"/><Relationship Id="rId1441" Type="http://schemas.openxmlformats.org/officeDocument/2006/relationships/hyperlink" Target="https://www.amazon.com.mx/cucharas-peque%C3%B1as-pulgadas-unidades-inoxidable/dp/B0DP8PB9PW?th=1" TargetMode="External"/><Relationship Id="rId1442" Type="http://schemas.openxmlformats.org/officeDocument/2006/relationships/hyperlink" Target="https://www.amazon.com.mx/cucharas-peque%C3%B1as-pulgadas-unidades-inoxidable/dp/B0DP8PB9PW?th=1" TargetMode="External"/><Relationship Id="rId1443" Type="http://schemas.openxmlformats.org/officeDocument/2006/relationships/hyperlink" Target="https://www.amazon.com.mx/cucharas-peque%C3%B1as-pulgadas-unidades-inoxidable/dp/B0DP8PB9PW?th=1" TargetMode="External"/><Relationship Id="rId1477" Type="http://schemas.openxmlformats.org/officeDocument/2006/relationships/hyperlink" Target="https://medid.datoproducto.com/producto/1080622/1015362/cutter-medid-recarga-automatica-18-mm-5-cuchillas" TargetMode="External"/><Relationship Id="rId2324" Type="http://schemas.openxmlformats.org/officeDocument/2006/relationships/hyperlink" Target="https://www.bosch-professional.com/pe/es/products/gsb-16-re-060114E500" TargetMode="External"/><Relationship Id="rId1478" Type="http://schemas.openxmlformats.org/officeDocument/2006/relationships/hyperlink" Target="https://www.promart.pe/dispensador-de-jabon-liquido-gel-1l-blanco-linea-clerk-stone-1000464839/p?srsltid=AfmBOooFp0-GZYWJcMcCfSDgOzlhutKL8UaeATIG03u2z16DgKfDWend" TargetMode="External"/><Relationship Id="rId2325" Type="http://schemas.openxmlformats.org/officeDocument/2006/relationships/hyperlink" Target="https://drive.google.com/file/d/17ekB_IWNRiAEXz5Y736eMGxHv2hnFBLE/view?usp=sharing" TargetMode="External"/><Relationship Id="rId1479" Type="http://schemas.openxmlformats.org/officeDocument/2006/relationships/hyperlink" Target="https://www.falabella.com.pe/falabella-pe/product/115805692/Dispensador-de-Jabon-Liquido-Alcohol-en-Gel/115805693" TargetMode="External"/><Relationship Id="rId2326" Type="http://schemas.openxmlformats.org/officeDocument/2006/relationships/hyperlink" Target="https://www.bosch-professional.com/pe/es/products/gsb-16-re-060114E500" TargetMode="External"/><Relationship Id="rId2327" Type="http://schemas.openxmlformats.org/officeDocument/2006/relationships/hyperlink" Target="https://drive.google.com/file/d/17ekB_IWNRiAEXz5Y736eMGxHv2hnFBLE/view?usp=sharing" TargetMode="External"/><Relationship Id="rId2328" Type="http://schemas.openxmlformats.org/officeDocument/2006/relationships/hyperlink" Target="https://www.bosch-professional.com/pe/es/products/gsb-16-re-060114E500" TargetMode="External"/><Relationship Id="rId2329" Type="http://schemas.openxmlformats.org/officeDocument/2006/relationships/hyperlink" Target="https://drive.google.com/file/d/17ekB_IWNRiAEXz5Y736eMGxHv2hnFBLE/view?usp=sharing" TargetMode="External"/><Relationship Id="rId646" Type="http://schemas.openxmlformats.org/officeDocument/2006/relationships/hyperlink" Target="https://drive.google.com/file/d/1FXC8oTPOLV43935z7mQEd_7dUMMO0pXB/view?usp=sharing" TargetMode="External"/><Relationship Id="rId645" Type="http://schemas.openxmlformats.org/officeDocument/2006/relationships/hyperlink" Target="https://www.felder-group.com/es-es/productos/encoladoras-de-cantos-c1954/encoladora-de-cantos-forka-300-s-eco-p3204" TargetMode="External"/><Relationship Id="rId644" Type="http://schemas.openxmlformats.org/officeDocument/2006/relationships/hyperlink" Target="https://www.gastronomiaycia.com/moldes-para-mantequilla/" TargetMode="External"/><Relationship Id="rId643" Type="http://schemas.openxmlformats.org/officeDocument/2006/relationships/hyperlink" Target="https://simple.ripley.com.pe/6-moldes-redondos-antiadherentes-para-torta-reposteria-pmp20000763585?gad_campaignid=20227668948&amp;gad_source=1&amp;gclid=CjwKCAjw7MLDBhAuEiwAIeXGIVa4ptIqSLhwbOdBLK10OLnlmw7tVMNsVbTWWtUu5uldybbww8kwLBoCDfAQAvD_BwE&amp;s=mdco" TargetMode="External"/><Relationship Id="rId649" Type="http://schemas.openxmlformats.org/officeDocument/2006/relationships/hyperlink" Target="https://drive.google.com/file/d/1FXC8oTPOLV43935z7mQEd_7dUMMO0pXB/view?usp=sharing" TargetMode="External"/><Relationship Id="rId648" Type="http://schemas.openxmlformats.org/officeDocument/2006/relationships/hyperlink" Target="https://www.felder-group.com/es-es/productos/encoladoras-de-cantos-c1954/encoladora-de-cantos-forka-300-s-eco-p3204" TargetMode="External"/><Relationship Id="rId647" Type="http://schemas.openxmlformats.org/officeDocument/2006/relationships/hyperlink" Target="https://www.promart.pe/compresor-aire-25-l-3-hp-220v-60hz-11836-1000532690/p" TargetMode="External"/><Relationship Id="rId1470" Type="http://schemas.openxmlformats.org/officeDocument/2006/relationships/hyperlink" Target="https://www.promart.pe/cuchillo-para-cortar-pan-34-cm/p" TargetMode="External"/><Relationship Id="rId1471" Type="http://schemas.openxmlformats.org/officeDocument/2006/relationships/hyperlink" Target="https://www.promart.pe/cuchillo-para-cortar-pan-34-cm/p" TargetMode="External"/><Relationship Id="rId1472" Type="http://schemas.openxmlformats.org/officeDocument/2006/relationships/hyperlink" Target="https://medid.datoproducto.com/producto/1080622/1015362/cutter-medid-recarga-automatica-18-mm-5-cuchillas" TargetMode="External"/><Relationship Id="rId642" Type="http://schemas.openxmlformats.org/officeDocument/2006/relationships/hyperlink" Target="https://simple.ripley.com.pe/6-moldes-redondos-antiadherentes-para-torta-reposteria-pmp20000763585?gad_campaignid=20227668948&amp;gad_source=1&amp;gclid=CjwKCAjw7MLDBhAuEiwAIeXGIVa4ptIqSLhwbOdBLK10OLnlmw7tVMNsVbTWWtUu5uldybbww8kwLBoCDfAQAvD_BwE&amp;s=mdco" TargetMode="External"/><Relationship Id="rId1473" Type="http://schemas.openxmlformats.org/officeDocument/2006/relationships/hyperlink" Target="https://medid.datoproducto.com/producto/1080622/1015362/cutter-medid-recarga-automatica-18-mm-5-cuchillas" TargetMode="External"/><Relationship Id="rId2320" Type="http://schemas.openxmlformats.org/officeDocument/2006/relationships/hyperlink" Target="https://www.bosch-professional.com/binary/manualsmedia/o388482v21_160992A6YY_202205.pdf" TargetMode="External"/><Relationship Id="rId641" Type="http://schemas.openxmlformats.org/officeDocument/2006/relationships/hyperlink" Target="https://simple.ripley.com.pe/6-moldes-redondos-antiadherentes-para-torta-reposteria-pmp20000763585?gad_campaignid=20227668948&amp;gad_source=1&amp;gclid=CjwKCAjw7MLDBhAuEiwAIeXGIVa4ptIqSLhwbOdBLK10OLnlmw7tVMNsVbTWWtUu5uldybbww8kwLBoCDfAQAvD_BwE&amp;s=mdco" TargetMode="External"/><Relationship Id="rId1474" Type="http://schemas.openxmlformats.org/officeDocument/2006/relationships/hyperlink" Target="https://medid.datoproducto.com/producto/1080622/1015362/cutter-medid-recarga-automatica-18-mm-5-cuchillas" TargetMode="External"/><Relationship Id="rId2321" Type="http://schemas.openxmlformats.org/officeDocument/2006/relationships/hyperlink" Target="https://www.amazon.com/-/es/Honoson-diamante-torcida-joyer%C3%ADa-azulejos/dp/B09HWXQPY2/ref=sr_1_9?__mk_es_US=%C3%85M%C3%85%C5%BD%C3%95%C3%91&amp;crid=1BJ0QOI48545L&amp;dib=eyJ2IjoiMSJ9.CUJd64Q8dkXsIx6YHz2fPuba9Vzwd6F7oBJRcj-L7l1IFOuqE8G5FdggbdLX3PeBe3cNhHkiZBZarIz0r8sMJ5jewspdJKA03rWQ6a6cnHHiBuv93ktWg2y0RXoBZPT0bLpj4kl8AxI18d7Z-MNFTtI1DrbUEbeWe0CbqAXJGwUkY3fXKtAyhffA7UoyBVui9WH8i1C8GtVBzhIE3rJ7n8M3uzz5oMML2iK-Ud-4Y4TsHkvM6GLn4drKuUKK8Fg6PevtRZEn9cAtL_SH1NfatgZqxPZybvBLTq6uI1fTZwI.l722XaeqHCtc5ZFmWZrPdrda6tqYrF5TPz19DNvA5Qk&amp;dib_tag=se&amp;keywords=Juego+de+brocas+de+diamante+1mm+Taladros+percutores&amp;qid=1759433728&amp;sprefix=juego+de+brocas+de+diamante+1mm+taladros+percutores%2Caps%2C159&amp;sr=8-9" TargetMode="External"/><Relationship Id="rId640" Type="http://schemas.openxmlformats.org/officeDocument/2006/relationships/hyperlink" Target="https://simple.ripley.com.pe/6-moldes-redondos-antiadherentes-para-torta-reposteria-pmp20000763585?gad_campaignid=20227668948&amp;gad_source=1&amp;gclid=CjwKCAjw7MLDBhAuEiwAIeXGIVa4ptIqSLhwbOdBLK10OLnlmw7tVMNsVbTWWtUu5uldybbww8kwLBoCDfAQAvD_BwE&amp;s=mdco" TargetMode="External"/><Relationship Id="rId1475" Type="http://schemas.openxmlformats.org/officeDocument/2006/relationships/hyperlink" Target="https://medid.datoproducto.com/producto/1080622/1015362/cutter-medid-recarga-automatica-18-mm-5-cuchillas" TargetMode="External"/><Relationship Id="rId2322" Type="http://schemas.openxmlformats.org/officeDocument/2006/relationships/hyperlink" Target="https://www.bosch-professional.com/pe/es/products/gsb-16-re-060114E500" TargetMode="External"/><Relationship Id="rId1476" Type="http://schemas.openxmlformats.org/officeDocument/2006/relationships/hyperlink" Target="https://medid.datoproducto.com/producto/1080622/1015362/cutter-medid-recarga-automatica-18-mm-5-cuchillas" TargetMode="External"/><Relationship Id="rId2323" Type="http://schemas.openxmlformats.org/officeDocument/2006/relationships/hyperlink" Target="https://drive.google.com/file/d/17ekB_IWNRiAEXz5Y736eMGxHv2hnFBLE/view?usp=sharing" TargetMode="External"/><Relationship Id="rId1466" Type="http://schemas.openxmlformats.org/officeDocument/2006/relationships/hyperlink" Target="https://www.knifestock.es/hezhen-b30r-cuchillo-de-carnicero-de-7-pulgadas-madera-de-rosa-natural-acero-de-damasco-de-73-capa-p123457" TargetMode="External"/><Relationship Id="rId2313" Type="http://schemas.openxmlformats.org/officeDocument/2006/relationships/hyperlink" Target="https://drive.google.com/file/d/123bWoMzkLzOyWfd2wXP8Vx5nNOwUUwBw/view?usp=sharing" TargetMode="External"/><Relationship Id="rId1467" Type="http://schemas.openxmlformats.org/officeDocument/2006/relationships/hyperlink" Target="https://templodelfilo.com/products/b30-kg-hacha-para-huesos-17cm-10cr-damasco-sicomoro?srsltid=AfmBOorXqu50IoGTCZ7F5Ztk2UkGa5qCVebBZPXIdzKRayeHD8-gXMCa" TargetMode="External"/><Relationship Id="rId2314" Type="http://schemas.openxmlformats.org/officeDocument/2006/relationships/hyperlink" Target="https://www.maquinasyherramientasonline.com/set-de-brocas-mortajadora-holzmann-ll6tlgl-2/" TargetMode="External"/><Relationship Id="rId1468" Type="http://schemas.openxmlformats.org/officeDocument/2006/relationships/hyperlink" Target="https://www.promart.pe/cuchillo-para-cortar-pan-34-cm/p" TargetMode="External"/><Relationship Id="rId2315" Type="http://schemas.openxmlformats.org/officeDocument/2006/relationships/hyperlink" Target="https://prosinfer.pe/product/taladro-de-banco-3-4-1hp-tb4120p-kaili-kl835/" TargetMode="External"/><Relationship Id="rId1469" Type="http://schemas.openxmlformats.org/officeDocument/2006/relationships/hyperlink" Target="https://www.promart.pe/cuchillo-para-cortar-pan-34-cm/p" TargetMode="External"/><Relationship Id="rId2316" Type="http://schemas.openxmlformats.org/officeDocument/2006/relationships/hyperlink" Target="https://drive.google.com/file/d/1J-YOe1t7tr6oHgkHZMhcgya1tX7UDeM7/view?usp=drive_link" TargetMode="External"/><Relationship Id="rId2317" Type="http://schemas.openxmlformats.org/officeDocument/2006/relationships/hyperlink" Target="https://www.bosch-professional.com/pe/es/products/gsb-16-re-060114E500" TargetMode="External"/><Relationship Id="rId2318" Type="http://schemas.openxmlformats.org/officeDocument/2006/relationships/hyperlink" Target="https://drive.google.com/file/d/17ekB_IWNRiAEXz5Y736eMGxHv2hnFBLE/view?usp=sharing" TargetMode="External"/><Relationship Id="rId2319" Type="http://schemas.openxmlformats.org/officeDocument/2006/relationships/hyperlink" Target="https://www.bosch-professional.com/cl/es/products/gsb-16re-maletin-06012B90E1" TargetMode="External"/><Relationship Id="rId635" Type="http://schemas.openxmlformats.org/officeDocument/2006/relationships/hyperlink" Target="https://www.launchiberica.com/wp-content/uploads/2025/06/Familia-elevadores-TLT-LAUNCH-25.pdf" TargetMode="External"/><Relationship Id="rId634" Type="http://schemas.openxmlformats.org/officeDocument/2006/relationships/hyperlink" Target="https://www.launchiberica.com/wp-content/uploads/2025/06/Familia-elevadores-TLT-LAUNCH-25.pdf" TargetMode="External"/><Relationship Id="rId633" Type="http://schemas.openxmlformats.org/officeDocument/2006/relationships/hyperlink" Target="https://www.launchiberica.com/wp-content/uploads/2025/06/Familia-elevadores-TLT-LAUNCH-25.pdf" TargetMode="External"/><Relationship Id="rId632" Type="http://schemas.openxmlformats.org/officeDocument/2006/relationships/hyperlink" Target="https://www.launchiberica.com/wp-content/uploads/2025/06/Familia-elevadores-TLT-LAUNCH-25.pdf" TargetMode="External"/><Relationship Id="rId639" Type="http://schemas.openxmlformats.org/officeDocument/2006/relationships/hyperlink" Target="https://simple.ripley.com.pe/6-moldes-redondos-antiadherentes-para-torta-reposteria-pmp20000763585?gad_campaignid=20227668948&amp;gad_source=1&amp;gclid=CjwKCAjw7MLDBhAuEiwAIeXGIVa4ptIqSLhwbOdBLK10OLnlmw7tVMNsVbTWWtUu5uldybbww8kwLBoCDfAQAvD_BwE&amp;s=mdco" TargetMode="External"/><Relationship Id="rId638" Type="http://schemas.openxmlformats.org/officeDocument/2006/relationships/hyperlink" Target="https://www.makro.plazavea.com.pe/molde-de-aluminio-con-cono-26-1-1mm/p" TargetMode="External"/><Relationship Id="rId637" Type="http://schemas.openxmlformats.org/officeDocument/2006/relationships/hyperlink" Target="https://simple.ripley.com.pe/set-de-3-moldes-de-keke-con-tubo-del-22-al-26-para-reposteria-pmp20001050540?color_80=aluminio&amp;s=mdco" TargetMode="External"/><Relationship Id="rId636" Type="http://schemas.openxmlformats.org/officeDocument/2006/relationships/hyperlink" Target="https://simple.ripley.com.pe/set-de-3-moldes-de-keke-con-tubo-del-22-al-26-para-reposteria-pmp20001050540?color_80=aluminio&amp;s=mdco" TargetMode="External"/><Relationship Id="rId1460" Type="http://schemas.openxmlformats.org/officeDocument/2006/relationships/hyperlink" Target="https://drive.google.com/file/d/19DSp4K825wXi8CfDBRuWwdL5kwQz8rFL/view?usp=sharing" TargetMode="External"/><Relationship Id="rId1461" Type="http://schemas.openxmlformats.org/officeDocument/2006/relationships/hyperlink" Target="https://www.makita.es/data/sr/productinfo/generated/bo3711_3.pdf" TargetMode="External"/><Relationship Id="rId631" Type="http://schemas.openxmlformats.org/officeDocument/2006/relationships/hyperlink" Target="https://www.launchiberica.com/wp-content/uploads/2025/06/Familia-elevadores-TLT-LAUNCH-25.pdf" TargetMode="External"/><Relationship Id="rId1462" Type="http://schemas.openxmlformats.org/officeDocument/2006/relationships/hyperlink" Target="https://drive.google.com/file/d/19DSp4K825wXi8CfDBRuWwdL5kwQz8rFL/view?usp=sharing" TargetMode="External"/><Relationship Id="rId630" Type="http://schemas.openxmlformats.org/officeDocument/2006/relationships/hyperlink" Target="https://www.launchiberica.com/wp-content/uploads/2025/06/Familia-elevadores-TLT-LAUNCH-25.pdf" TargetMode="External"/><Relationship Id="rId1463" Type="http://schemas.openxmlformats.org/officeDocument/2006/relationships/hyperlink" Target="https://www.amazon.com.mx/cucharas-peque%C3%B1as-pulgadas-unidades-inoxidable/dp/B0DP8PB9PW?th=1" TargetMode="External"/><Relationship Id="rId2310" Type="http://schemas.openxmlformats.org/officeDocument/2006/relationships/hyperlink" Target="https://drive.google.com/file/d/123bWoMzkLzOyWfd2wXP8Vx5nNOwUUwBw/view?usp=sharing" TargetMode="External"/><Relationship Id="rId1464" Type="http://schemas.openxmlformats.org/officeDocument/2006/relationships/hyperlink" Target="https://www.amazon.com.mx/cucharas-peque%C3%B1as-pulgadas-unidades-inoxidable/dp/B0DP8PB9PW?th=1" TargetMode="External"/><Relationship Id="rId2311" Type="http://schemas.openxmlformats.org/officeDocument/2006/relationships/hyperlink" Target="https://www.maquinasyherramientasonline.com/set-de-brocas-mortajadora-holzmann-ll6tlgl-2/" TargetMode="External"/><Relationship Id="rId1465" Type="http://schemas.openxmlformats.org/officeDocument/2006/relationships/hyperlink" Target="https://www.amazon.com.mx/cucharas-peque%C3%B1as-pulgadas-unidades-inoxidable/dp/B0DP8PB9PW?th=1" TargetMode="External"/><Relationship Id="rId2312" Type="http://schemas.openxmlformats.org/officeDocument/2006/relationships/hyperlink" Target="https://www.holzmann-maschinen.at/ES/Mortajadora-horizontal-845" TargetMode="External"/><Relationship Id="rId1411" Type="http://schemas.openxmlformats.org/officeDocument/2006/relationships/hyperlink" Target="https://www.amazon.es/COVVY-soldadura-temperatura-calefacci%C3%B3n-8586/dp/B0DBLJ157B/ref=sr_1_3?__mk_es_ES=%C3%85M%C3%85%C5%BD%C3%95%C3%91&amp;crid=1508W2FHUG0FE&amp;dib=eyJ2IjoiMSJ9.EwYqlY1V8WMa1J064N2n8TugHK8S0laCb_G5web3eIZFSKQTVGvgmUSfalIUKYQfV31LIhUJ-zePCn9-AWC3jFkmR8UiIE3o4TcQU1HTLmiatnTLRw_dnLGzmzrDWFEdJMX8rDOt1uB1xI2uwOLA1R7jYm5EMsfT2TJnf861g0-CSg6qnxYEarpK_wk4C0w2zNaPjX3kcvUiebiTs3SHXzQQYrnOmmHZr06ZJG3OLbXx5W2z3lm4kMRYcgUzU5J5BOmxXlGLduj-bYNpLG_zG_3kZ7UZs1ZCUaOiLbgGxiE.DmnjdAPw3djsxRJUKvolesBo1mTjbGttjsqGDT8fvyA&amp;dib_tag=se&amp;keywords=KS+8586&amp;qid=1756843129&amp;sprefix=ks+8586%2Caps%2C244&amp;sr=8-3" TargetMode="External"/><Relationship Id="rId1895" Type="http://schemas.openxmlformats.org/officeDocument/2006/relationships/hyperlink" Target="https://docs.google.com/spreadsheets/d/1r068hY1aSP8RL_4ALidY95Fq8hMQzwPJPb2uVSFgab0/edit?gid=0" TargetMode="External"/><Relationship Id="rId1412" Type="http://schemas.openxmlformats.org/officeDocument/2006/relationships/hyperlink" Target="https://drive.google.com/file/d/12SeGLVGRmLpBxpEaHgTycDR2Mhs6PF9Y/view" TargetMode="External"/><Relationship Id="rId1896" Type="http://schemas.openxmlformats.org/officeDocument/2006/relationships/hyperlink" Target="https://semca.pe/suministros/herramientas/guante-de-cuero-carnaza-electricista-talla-unica-truper-14289/" TargetMode="External"/><Relationship Id="rId1413"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1897" Type="http://schemas.openxmlformats.org/officeDocument/2006/relationships/hyperlink" Target="https://semca.pe/suministros/herramientas/guante-de-cuero-carnaza-electricista-talla-unica-truper-14289/" TargetMode="External"/><Relationship Id="rId1414" Type="http://schemas.openxmlformats.org/officeDocument/2006/relationships/hyperlink" Target="https://drive.google.com/file/d/1n9cRtyq7oaUD4UtjAW60Zy0yvY8bIKfJ/view?usp=sharing" TargetMode="External"/><Relationship Id="rId1898" Type="http://schemas.openxmlformats.org/officeDocument/2006/relationships/hyperlink" Target="https://semca.pe/suministros/herramientas/guante-de-cuero-carnaza-electricista-talla-unica-truper-14289/" TargetMode="External"/><Relationship Id="rId1415"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1899" Type="http://schemas.openxmlformats.org/officeDocument/2006/relationships/hyperlink" Target="https://articulo.mercadolibre.com.pe/MPE-669557120-guante-resistente-arcliber-a-cortes-nivel-9-de-malla-_JM" TargetMode="External"/><Relationship Id="rId1416"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1417" Type="http://schemas.openxmlformats.org/officeDocument/2006/relationships/hyperlink" Target="https://drive.google.com/file/d/1n9cRtyq7oaUD4UtjAW60Zy0yvY8bIKfJ/view?usp=sharing" TargetMode="External"/><Relationship Id="rId1418"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1419"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1890" Type="http://schemas.openxmlformats.org/officeDocument/2006/relationships/hyperlink" Target="https://docs.google.com/spreadsheets/d/1r068hY1aSP8RL_4ALidY95Fq8hMQzwPJPb2uVSFgab0/edit?gid=0" TargetMode="External"/><Relationship Id="rId1891" Type="http://schemas.openxmlformats.org/officeDocument/2006/relationships/hyperlink" Target="https://docs.google.com/spreadsheets/d/1r068hY1aSP8RL_4ALidY95Fq8hMQzwPJPb2uVSFgab0/edit?gid=0" TargetMode="External"/><Relationship Id="rId1892" Type="http://schemas.openxmlformats.org/officeDocument/2006/relationships/hyperlink" Target="https://docs.google.com/spreadsheets/d/1r068hY1aSP8RL_4ALidY95Fq8hMQzwPJPb2uVSFgab0/edit?gid=0" TargetMode="External"/><Relationship Id="rId1893" Type="http://schemas.openxmlformats.org/officeDocument/2006/relationships/hyperlink" Target="https://docs.google.com/spreadsheets/d/1r068hY1aSP8RL_4ALidY95Fq8hMQzwPJPb2uVSFgab0/edit?gid=0" TargetMode="External"/><Relationship Id="rId1410" Type="http://schemas.openxmlformats.org/officeDocument/2006/relationships/hyperlink" Target="https://drive.google.com/file/d/1L7Hwf9qQChNj6Pr3qi1Wse247VkOKZD_/view?usp=drive_link" TargetMode="External"/><Relationship Id="rId1894" Type="http://schemas.openxmlformats.org/officeDocument/2006/relationships/hyperlink" Target="https://docs.google.com/spreadsheets/d/1r068hY1aSP8RL_4ALidY95Fq8hMQzwPJPb2uVSFgab0/edit?gid=0" TargetMode="External"/><Relationship Id="rId1400"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1884" Type="http://schemas.openxmlformats.org/officeDocument/2006/relationships/hyperlink" Target="https://www.sodimac.com.pe/sodimac-pe/articulo/113534794/Guantes-de-Seguridad-de-Cuero-Cromo-Estandar/113534797?kid=goosho_669250&amp;shop=googleShopping&amp;gad_source=1&amp;gad_campaignid=21524717227&amp;gbraid=0AAAAADOx_19izoaWzi6siFsZCRkBiRdS-&amp;gclid=CjwKCAjwup3HBhAAEiwA7euZuj4BAMhUbd8LMpMYpkcBivUi9qyJojl_RXu0s6L4aBDktbdqph4OBRoC2nEQAvD_BwE" TargetMode="External"/><Relationship Id="rId1401" Type="http://schemas.openxmlformats.org/officeDocument/2006/relationships/hyperlink" Target="https://drive.google.com/file/d/1n9cRtyq7oaUD4UtjAW60Zy0yvY8bIKfJ/view?usp=sharing" TargetMode="External"/><Relationship Id="rId1885" Type="http://schemas.openxmlformats.org/officeDocument/2006/relationships/hyperlink" Target="https://semca.pe/suministros/herramientas/guante-de-cuero-carnaza-electricista-talla-unica-truper-14289/" TargetMode="External"/><Relationship Id="rId1402"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1886" Type="http://schemas.openxmlformats.org/officeDocument/2006/relationships/hyperlink" Target="https://docs.google.com/spreadsheets/d/1r068hY1aSP8RL_4ALidY95Fq8hMQzwPJPb2uVSFgab0/edit?gid=0" TargetMode="External"/><Relationship Id="rId1403" Type="http://schemas.openxmlformats.org/officeDocument/2006/relationships/hyperlink" Target="https://drive.google.com/file/d/1hULvcmGAGtLWQHJmoHYIqoO9KfiCndmO/view" TargetMode="External"/><Relationship Id="rId1887" Type="http://schemas.openxmlformats.org/officeDocument/2006/relationships/hyperlink" Target="https://docs.google.com/spreadsheets/d/1r068hY1aSP8RL_4ALidY95Fq8hMQzwPJPb2uVSFgab0/edit?gid=0" TargetMode="External"/><Relationship Id="rId1404" Type="http://schemas.openxmlformats.org/officeDocument/2006/relationships/hyperlink" Target="https://drive.google.com/file/d/1L7Hwf9qQChNj6Pr3qi1Wse247VkOKZD_/view?usp=drive_link" TargetMode="External"/><Relationship Id="rId1888" Type="http://schemas.openxmlformats.org/officeDocument/2006/relationships/hyperlink" Target="https://docs.google.com/spreadsheets/d/1r068hY1aSP8RL_4ALidY95Fq8hMQzwPJPb2uVSFgab0/edit?gid=0" TargetMode="External"/><Relationship Id="rId1405" Type="http://schemas.openxmlformats.org/officeDocument/2006/relationships/hyperlink" Target="https://drive.google.com/file/d/1hULvcmGAGtLWQHJmoHYIqoO9KfiCndmO/view" TargetMode="External"/><Relationship Id="rId1889" Type="http://schemas.openxmlformats.org/officeDocument/2006/relationships/hyperlink" Target="https://docs.google.com/spreadsheets/d/1r068hY1aSP8RL_4ALidY95Fq8hMQzwPJPb2uVSFgab0/edit?gid=0" TargetMode="External"/><Relationship Id="rId1406" Type="http://schemas.openxmlformats.org/officeDocument/2006/relationships/hyperlink" Target="https://drive.google.com/file/d/1L7Hwf9qQChNj6Pr3qi1Wse247VkOKZD_/view?usp=drive_link" TargetMode="External"/><Relationship Id="rId1407" Type="http://schemas.openxmlformats.org/officeDocument/2006/relationships/hyperlink" Target="https://drive.google.com/file/d/1hULvcmGAGtLWQHJmoHYIqoO9KfiCndmO/view" TargetMode="External"/><Relationship Id="rId1408" Type="http://schemas.openxmlformats.org/officeDocument/2006/relationships/hyperlink" Target="https://drive.google.com/file/d/1L7Hwf9qQChNj6Pr3qi1Wse247VkOKZD_/view?usp=drive_link" TargetMode="External"/><Relationship Id="rId1409" Type="http://schemas.openxmlformats.org/officeDocument/2006/relationships/hyperlink" Target="https://drive.google.com/file/d/1hULvcmGAGtLWQHJmoHYIqoO9KfiCndmO/view" TargetMode="External"/><Relationship Id="rId1880" Type="http://schemas.openxmlformats.org/officeDocument/2006/relationships/hyperlink" Target="https://drive.google.com/file/d/1zAaC4RcidyJXeUzN_tIt6W6RMScdH8l5/view?usp=sharing" TargetMode="External"/><Relationship Id="rId1881" Type="http://schemas.openxmlformats.org/officeDocument/2006/relationships/hyperlink" Target="https://www.amazon.com/-/es/pulgadas-desechables-Bouffant-redecillas-perfectas/dp/B094KLCQLV" TargetMode="External"/><Relationship Id="rId1882" Type="http://schemas.openxmlformats.org/officeDocument/2006/relationships/hyperlink" Target="https://drive.google.com/file/d/1LqBxJXb39f_mrL6wpRQJDuDI3ffaR52A/view?usp=sharing" TargetMode="External"/><Relationship Id="rId1883" Type="http://schemas.openxmlformats.org/officeDocument/2006/relationships/hyperlink" Target="https://www.sodimac.com.pe/sodimac-pe/articulo/113534794/Guantes-de-Seguridad-de-Cuero-Cromo-Estandar/113534797?kid=goosho_669250&amp;shop=googleShopping&amp;gad_source=1&amp;gad_campaignid=21524717227&amp;gbraid=0AAAAADOx_19izoaWzi6siFsZCRkBiRdS-&amp;gclid=CjwKCAjwup3HBhAAEiwA7euZuj4BAMhUbd8LMpMYpkcBivUi9qyJojl_RXu0s6L4aBDktbdqph4OBRoC2nEQAvD_BwE" TargetMode="External"/><Relationship Id="rId1433" Type="http://schemas.openxmlformats.org/officeDocument/2006/relationships/hyperlink" Target="https://www.falabella.com.pe/falabella-pe/product/139653407/Cuchara-de-Madera-35cm/139653409" TargetMode="External"/><Relationship Id="rId1434" Type="http://schemas.openxmlformats.org/officeDocument/2006/relationships/hyperlink" Target="https://www.cavimex.com/products/cuchara-de-servicio-perforada-11in-27-9-cm-de-acero-inox-bha-2752" TargetMode="External"/><Relationship Id="rId1435" Type="http://schemas.openxmlformats.org/officeDocument/2006/relationships/hyperlink" Target="https://www.falabella.com.pe/falabella-pe/product/18023850/Juego-x4-Cucharas-Medidoras-Acero-Inoxidable/18023850" TargetMode="External"/><Relationship Id="rId1436" Type="http://schemas.openxmlformats.org/officeDocument/2006/relationships/hyperlink" Target="https://www.falabella.com.pe/falabella-pe/product/18023850/Juego-x4-Cucharas-Medidoras-Acero-Inoxidable/18023850" TargetMode="External"/><Relationship Id="rId1437" Type="http://schemas.openxmlformats.org/officeDocument/2006/relationships/hyperlink" Target="https://www.falabella.com.pe/falabella-pe/product/18023850/Juego-x4-Cucharas-Medidoras-Acero-Inoxidable/18023850" TargetMode="External"/><Relationship Id="rId1438" Type="http://schemas.openxmlformats.org/officeDocument/2006/relationships/hyperlink" Target="https://www.falabella.com.pe/falabella-pe/product/18023850/Juego-x4-Cucharas-Medidoras-Acero-Inoxidable/18023850" TargetMode="External"/><Relationship Id="rId1439" Type="http://schemas.openxmlformats.org/officeDocument/2006/relationships/hyperlink" Target="https://www.falabella.com.pe/falabella-pe/product/18023850/Juego-x4-Cucharas-Medidoras-Acero-Inoxidable/18023850" TargetMode="External"/><Relationship Id="rId609" Type="http://schemas.openxmlformats.org/officeDocument/2006/relationships/hyperlink" Target="https://drive.google.com/file/d/1A17xqO1XoLYWyyDPFUMYfETeZq0kEQyE/view?usp=sharing" TargetMode="External"/><Relationship Id="rId608" Type="http://schemas.openxmlformats.org/officeDocument/2006/relationships/hyperlink" Target="https://www.bosch-professional.com/cl/es/products/gsr-185-li-06019K30E0" TargetMode="External"/><Relationship Id="rId607" Type="http://schemas.openxmlformats.org/officeDocument/2006/relationships/hyperlink" Target="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 TargetMode="External"/><Relationship Id="rId602" Type="http://schemas.openxmlformats.org/officeDocument/2006/relationships/hyperlink" Target="https://www.pe.tiendaboschonline.com/taladro-percutor-3-8-bosch-gsb-12v-30-12v-2-baterias-y-maletin/p" TargetMode="External"/><Relationship Id="rId601" Type="http://schemas.openxmlformats.org/officeDocument/2006/relationships/hyperlink" Target="https://es.rs-online.com/web/p/micrometros/8771791" TargetMode="External"/><Relationship Id="rId600" Type="http://schemas.openxmlformats.org/officeDocument/2006/relationships/hyperlink" Target="https://www.homecenter.com.co/homecenter-co/product/626244/mesa-de-planchar-florence-blanca/626244/" TargetMode="External"/><Relationship Id="rId606" Type="http://schemas.openxmlformats.org/officeDocument/2006/relationships/hyperlink" Target="https://drive.google.com/file/d/1A17xqO1XoLYWyyDPFUMYfETeZq0kEQyE/view?usp=sharing" TargetMode="External"/><Relationship Id="rId605" Type="http://schemas.openxmlformats.org/officeDocument/2006/relationships/hyperlink" Target="https://www.bosch-professional.com/cl/es/products/gsr-185-li-06019K30E0" TargetMode="External"/><Relationship Id="rId604" Type="http://schemas.openxmlformats.org/officeDocument/2006/relationships/hyperlink" Target="https://www.pe.tiendaboschonline.com/taladro-percutor-3-8-bosch-gsb-12v-30-12v-2-baterias-y-maletin/p" TargetMode="External"/><Relationship Id="rId603" Type="http://schemas.openxmlformats.org/officeDocument/2006/relationships/hyperlink" Target="https://www.pe.tiendaboschonline.com/taladro-percutor-3-8-bosch-gsb-12v-30-12v-2-baterias-y-maletin/p" TargetMode="External"/><Relationship Id="rId1430" Type="http://schemas.openxmlformats.org/officeDocument/2006/relationships/hyperlink" Target="https://www.falabella.com.pe/falabella-pe/product/139653407/Cuchara-de-Madera-35cm/139653409" TargetMode="External"/><Relationship Id="rId1431" Type="http://schemas.openxmlformats.org/officeDocument/2006/relationships/hyperlink" Target="https://www.falabella.com.pe/falabella-pe/product/139653407/Cuchara-de-Madera-35cm/139653409" TargetMode="External"/><Relationship Id="rId1432" Type="http://schemas.openxmlformats.org/officeDocument/2006/relationships/hyperlink" Target="https://www.falabella.com.pe/falabella-pe/product/139653407/Cuchara-de-Madera-35cm/139653409" TargetMode="External"/><Relationship Id="rId1422" Type="http://schemas.openxmlformats.org/officeDocument/2006/relationships/hyperlink" Target="https://veromatic.net/producto/colador-inox-conico-malla-gruesa-12-pulg/" TargetMode="External"/><Relationship Id="rId1423" Type="http://schemas.openxmlformats.org/officeDocument/2006/relationships/hyperlink" Target="https://www.promart.pe/tacho-robusto-c-tapa-mecanizada-50-9-l/p?gad_source=1&amp;gad_campaignid=23066034672&amp;gbraid=0AAAAADJIfALdWzROTOtlMXWDth9VPCM0s&amp;gclid=Cj0KCQjw6bfHBhDNARIsAIGsqLjZaUV-jCl7fWX6Fnju64LcyaysMIxehZlXDxVA_ax-ADo2eGfVG50aAq-jEALw_wcB" TargetMode="External"/><Relationship Id="rId1424" Type="http://schemas.openxmlformats.org/officeDocument/2006/relationships/hyperlink" Target="https://www.promart.pe/tacho-robusto-c-tapa-mecanizada-50-9-l/p?gad_source=1&amp;gad_campaignid=23066034672&amp;gbraid=0AAAAADJIfALdWzROTOtlMXWDth9VPCM0s&amp;gclid=Cj0KCQjw6bfHBhDNARIsAIGsqLjZaUV-jCl7fWX6Fnju64LcyaysMIxehZlXDxVA_ax-ADo2eGfVG50aAq-jEALw_wcB" TargetMode="External"/><Relationship Id="rId1425" Type="http://schemas.openxmlformats.org/officeDocument/2006/relationships/hyperlink" Target="https://www.promart.pe/tacho-robusto-c-tapa-mecanizada-50-9-l/p?gad_source=1&amp;gad_campaignid=23066034672&amp;gbraid=0AAAAADJIfALdWzROTOtlMXWDth9VPCM0s&amp;gclid=Cj0KCQjw6bfHBhDNARIsAIGsqLjZaUV-jCl7fWX6Fnju64LcyaysMIxehZlXDxVA_ax-ADo2eGfVG50aAq-jEALw_wcB" TargetMode="External"/><Relationship Id="rId1426" Type="http://schemas.openxmlformats.org/officeDocument/2006/relationships/hyperlink" Target="https://www.promart.pe/tacho-robusto-c-tapa-mecanizada-50-9-l/p?gad_source=1&amp;gad_campaignid=23066034672&amp;gbraid=0AAAAADJIfALdWzROTOtlMXWDth9VPCM0s&amp;gclid=Cj0KCQjw6bfHBhDNARIsAIGsqLjZaUV-jCl7fWX6Fnju64LcyaysMIxehZlXDxVA_ax-ADo2eGfVG50aAq-jEALw_wcB" TargetMode="External"/><Relationship Id="rId1427" Type="http://schemas.openxmlformats.org/officeDocument/2006/relationships/hyperlink" Target="https://www.engitronicperu.com/producto/2024-makex-starter-educational-competition-kit/" TargetMode="External"/><Relationship Id="rId1428" Type="http://schemas.openxmlformats.org/officeDocument/2006/relationships/hyperlink" Target="https://www.promart.pe/tacho-robusto-c-tapa-mecanizada-50-9-l/p?gad_source=1&amp;gad_campaignid=23066034672&amp;gbraid=0AAAAADJIfALdWzROTOtlMXWDth9VPCM0s&amp;gclid=Cj0KCQjw6bfHBhDNARIsAIGsqLjZaUV-jCl7fWX6Fnju64LcyaysMIxehZlXDxVA_ax-ADo2eGfVG50aAq-jEALw_wcB" TargetMode="External"/><Relationship Id="rId1429" Type="http://schemas.openxmlformats.org/officeDocument/2006/relationships/hyperlink" Target="https://www.promart.pe/tacho-robusto-c-tapa-mecanizada-50-9-l/p?gad_source=1&amp;gad_campaignid=23066034672&amp;gbraid=0AAAAADJIfALdWzROTOtlMXWDth9VPCM0s&amp;gclid=Cj0KCQjw6bfHBhDNARIsAIGsqLjZaUV-jCl7fWX6Fnju64LcyaysMIxehZlXDxVA_ax-ADo2eGfVG50aAq-jEALw_wcB" TargetMode="External"/><Relationship Id="rId1420" Type="http://schemas.openxmlformats.org/officeDocument/2006/relationships/hyperlink" Target="https://drive.google.com/file/d/1n9cRtyq7oaUD4UtjAW60Zy0yvY8bIKfJ/view?usp=sharing" TargetMode="External"/><Relationship Id="rId1421" Type="http://schemas.openxmlformats.org/officeDocument/2006/relationships/hyperlink" Target="https://www.amazon.com/-/es/Select-Strainer-pulgadas-di%C3%A1metro-inoxidable/dp/B01LDC24VG/ref=sr_1_35?dib=eyJ2IjoiMSJ9.DbPEn0URjJqYJ1WCIUSWPsW8WqOSdgbxu-NdZcmiQ5Q.dkhhOUbHlLNFc7cp0rSdnUI54JhBS00nZ70dFUK4WFE&amp;dib_tag=se&amp;keywords=colador%2Bcon%2Bmango&amp;qid=1759090665&amp;sr=8-35&amp;xpid=fvi9Yhg_rW5Z0&amp;th=1" TargetMode="External"/><Relationship Id="rId1059" Type="http://schemas.openxmlformats.org/officeDocument/2006/relationships/hyperlink" Target="https://www.brother.com.pe/products/mfct4500dw" TargetMode="External"/><Relationship Id="rId228" Type="http://schemas.openxmlformats.org/officeDocument/2006/relationships/hyperlink" Target="https://drive.google.com/file/d/18sqYJRmianGBRLxMt5saYwcB72knb0QG/view?usp=sharing" TargetMode="External"/><Relationship Id="rId227" Type="http://schemas.openxmlformats.org/officeDocument/2006/relationships/hyperlink" Target="https://sacsparisoutlet.com/producto-p-838265.html" TargetMode="External"/><Relationship Id="rId226" Type="http://schemas.openxmlformats.org/officeDocument/2006/relationships/hyperlink" Target="https://drive.google.com/file/d/18sqYJRmianGBRLxMt5saYwcB72knb0QG/view?usp=sharing" TargetMode="External"/><Relationship Id="rId225" Type="http://schemas.openxmlformats.org/officeDocument/2006/relationships/hyperlink" Target="https://drive.google.com/file/d/18sqYJRmianGBRLxMt5saYwcB72knb0QG/view?usp=sharing" TargetMode="External"/><Relationship Id="rId2380" Type="http://schemas.openxmlformats.org/officeDocument/2006/relationships/hyperlink" Target="https://docs.google.com/spreadsheets/d/1iZtQ9oSN4OfQ6bhL9YJAlIOSFOmi6I4mMKfAWIPxqlE/edit?gid=0" TargetMode="External"/><Relationship Id="rId229" Type="http://schemas.openxmlformats.org/officeDocument/2006/relationships/hyperlink" Target="https://drive.google.com/file/d/18sqYJRmianGBRLxMt5saYwcB72knb0QG/view?usp=sharing" TargetMode="External"/><Relationship Id="rId1050" Type="http://schemas.openxmlformats.org/officeDocument/2006/relationships/hyperlink" Target="https://www.brother.com.pe/products/mfct4500dw" TargetMode="External"/><Relationship Id="rId2381" Type="http://schemas.openxmlformats.org/officeDocument/2006/relationships/hyperlink" Target="https://www.aslak.es/madera/5920900-torno-para-madera-db-900.html" TargetMode="External"/><Relationship Id="rId220" Type="http://schemas.openxmlformats.org/officeDocument/2006/relationships/hyperlink" Target="https://drive.google.com/file/d/18sqYJRmianGBRLxMt5saYwcB72knb0QG/view?usp=sharing" TargetMode="External"/><Relationship Id="rId1051" Type="http://schemas.openxmlformats.org/officeDocument/2006/relationships/hyperlink" Target="https://www.brother.com.pe/products/mfct4500dw" TargetMode="External"/><Relationship Id="rId2382" Type="http://schemas.openxmlformats.org/officeDocument/2006/relationships/hyperlink" Target="https://drive.google.com/file/d/1BApQCFTMDNd7Fh4oOiE318QbZFungbVW/view?usp=drive_link" TargetMode="External"/><Relationship Id="rId1052" Type="http://schemas.openxmlformats.org/officeDocument/2006/relationships/hyperlink" Target="https://www.brother.com.pe/products/mfct4500dw" TargetMode="External"/><Relationship Id="rId2383" Type="http://schemas.openxmlformats.org/officeDocument/2006/relationships/hyperlink" Target="https://www.aslak.es/madera/5931021-plato-t-madera-100m-4-garras-set-1.html" TargetMode="External"/><Relationship Id="rId1053" Type="http://schemas.openxmlformats.org/officeDocument/2006/relationships/hyperlink" Target="https://www.brother.com.pe/products/mfct4500dw" TargetMode="External"/><Relationship Id="rId2384" Type="http://schemas.openxmlformats.org/officeDocument/2006/relationships/hyperlink" Target="https://www.aslak.es/madera/5920900-torno-para-madera-db-900.html" TargetMode="External"/><Relationship Id="rId1054" Type="http://schemas.openxmlformats.org/officeDocument/2006/relationships/hyperlink" Target="https://www.brother.com.pe/products/mfct4500dw" TargetMode="External"/><Relationship Id="rId2385" Type="http://schemas.openxmlformats.org/officeDocument/2006/relationships/hyperlink" Target="https://drive.google.com/file/d/1BApQCFTMDNd7Fh4oOiE318QbZFungbVW/view?usp=drive_link" TargetMode="External"/><Relationship Id="rId224" Type="http://schemas.openxmlformats.org/officeDocument/2006/relationships/hyperlink" Target="https://sacsparisoutlet.com/producto-p-838265.html" TargetMode="External"/><Relationship Id="rId1055" Type="http://schemas.openxmlformats.org/officeDocument/2006/relationships/hyperlink" Target="https://www.brother.com.pe/products/mfct4500dw" TargetMode="External"/><Relationship Id="rId2386" Type="http://schemas.openxmlformats.org/officeDocument/2006/relationships/hyperlink" Target="https://www.aslak.es/madera/5931021-plato-t-madera-100m-4-garras-set-1.html" TargetMode="External"/><Relationship Id="rId223" Type="http://schemas.openxmlformats.org/officeDocument/2006/relationships/hyperlink" Target="https://drive.google.com/file/d/18sqYJRmianGBRLxMt5saYwcB72knb0QG/view?usp=sharing" TargetMode="External"/><Relationship Id="rId1056" Type="http://schemas.openxmlformats.org/officeDocument/2006/relationships/hyperlink" Target="https://www.brother.com.pe/products/mfct4500dw" TargetMode="External"/><Relationship Id="rId2387" Type="http://schemas.openxmlformats.org/officeDocument/2006/relationships/hyperlink" Target="https://www.tottus.com.pe/tottus-pe/articulo/116230341/bolo-de-acero-inoxidable-24cm/116230345" TargetMode="External"/><Relationship Id="rId222" Type="http://schemas.openxmlformats.org/officeDocument/2006/relationships/hyperlink" Target="https://drive.google.com/file/d/18sqYJRmianGBRLxMt5saYwcB72knb0QG/view?usp=sharing" TargetMode="External"/><Relationship Id="rId1057" Type="http://schemas.openxmlformats.org/officeDocument/2006/relationships/hyperlink" Target="https://www.brother.com.pe/products/mfct4500dw" TargetMode="External"/><Relationship Id="rId2388" Type="http://schemas.openxmlformats.org/officeDocument/2006/relationships/hyperlink" Target="https://docs.google.com/spreadsheets/d/1iZtQ9oSN4OfQ6bhL9YJAlIOSFOmi6I4mMKfAWIPxqlE/edit?gid=0" TargetMode="External"/><Relationship Id="rId221" Type="http://schemas.openxmlformats.org/officeDocument/2006/relationships/hyperlink" Target="https://sacsparisoutlet.com/producto-p-838265.html" TargetMode="External"/><Relationship Id="rId1058" Type="http://schemas.openxmlformats.org/officeDocument/2006/relationships/hyperlink" Target="https://suminca.es/producto/juego-limas-irimo/" TargetMode="External"/><Relationship Id="rId2389" Type="http://schemas.openxmlformats.org/officeDocument/2006/relationships/hyperlink" Target="https://www.tottus.com.pe/tottus-pe/articulo/116230341/bolo-de-acero-inoxidable-24cm/116230346" TargetMode="External"/><Relationship Id="rId1048" Type="http://schemas.openxmlformats.org/officeDocument/2006/relationships/hyperlink" Target="https://www.brother.com.pe/products/mfct4500dw" TargetMode="External"/><Relationship Id="rId2379" Type="http://schemas.openxmlformats.org/officeDocument/2006/relationships/hyperlink" Target="https://www.tottus.com.pe/tottus-pe/articulo/116230341/bolo-de-acero-inoxidable-24cm/116230344" TargetMode="External"/><Relationship Id="rId1049" Type="http://schemas.openxmlformats.org/officeDocument/2006/relationships/hyperlink" Target="https://www.brother.com.pe/products/mfct4500dw" TargetMode="External"/><Relationship Id="rId217" Type="http://schemas.openxmlformats.org/officeDocument/2006/relationships/hyperlink" Target="https://drive.google.com/file/d/1-FTtmelmqzHqjN5pzPye6Z2vNHmMphwU/view?usp=sharing" TargetMode="External"/><Relationship Id="rId216" Type="http://schemas.openxmlformats.org/officeDocument/2006/relationships/hyperlink" Target="https://boxa.com.pe/lacteos/descremador-de-leche-electrica-de-110-litros/" TargetMode="External"/><Relationship Id="rId215" Type="http://schemas.openxmlformats.org/officeDocument/2006/relationships/hyperlink" Target="https://boxa.com.pe/lacteos/descremador-de-leche-electrica-de-110-litros/" TargetMode="External"/><Relationship Id="rId699" Type="http://schemas.openxmlformats.org/officeDocument/2006/relationships/hyperlink" Target="https://docs.google.com/spreadsheets/d/1Yh6XRoLw_DStoLOpCMeejDugf1f5gy8uy4kZdTlB0pA/edit?gid=0" TargetMode="External"/><Relationship Id="rId214" Type="http://schemas.openxmlformats.org/officeDocument/2006/relationships/hyperlink" Target="https://drive.google.com/file/d/1-FTtmelmqzHqjN5pzPye6Z2vNHmMphwU/view?usp=sharing" TargetMode="External"/><Relationship Id="rId698" Type="http://schemas.openxmlformats.org/officeDocument/2006/relationships/hyperlink" Target="https://es.creative.com/p/speakers/creative-sbs-e2500" TargetMode="External"/><Relationship Id="rId219" Type="http://schemas.openxmlformats.org/officeDocument/2006/relationships/hyperlink" Target="https://drive.google.com/file/d/18sqYJRmianGBRLxMt5saYwcB72knb0QG/view?usp=sharing" TargetMode="External"/><Relationship Id="rId218" Type="http://schemas.openxmlformats.org/officeDocument/2006/relationships/hyperlink" Target="https://sacsparisoutlet.com/producto-p-838265.html" TargetMode="External"/><Relationship Id="rId2370" Type="http://schemas.openxmlformats.org/officeDocument/2006/relationships/hyperlink" Target="https://tottus.falabella.com.pe/tottus-pe/product/114023189/bolo-20cm-acero-inoxidable/114023196" TargetMode="External"/><Relationship Id="rId693" Type="http://schemas.openxmlformats.org/officeDocument/2006/relationships/hyperlink" Target="https://docs.google.com/spreadsheets/d/1Yh6XRoLw_DStoLOpCMeejDugf1f5gy8uy4kZdTlB0pA/edit?gid=0" TargetMode="External"/><Relationship Id="rId1040" Type="http://schemas.openxmlformats.org/officeDocument/2006/relationships/hyperlink" Target="https://www.brother.com.pe/products/mfct4500dw" TargetMode="External"/><Relationship Id="rId2371" Type="http://schemas.openxmlformats.org/officeDocument/2006/relationships/hyperlink" Target="https://docs.google.com/spreadsheets/d/1C5rTeXaWRGfwn03xrf-xPHWnRk1lMETIlpaoWdQfNkE/edit?gid=0" TargetMode="External"/><Relationship Id="rId692" Type="http://schemas.openxmlformats.org/officeDocument/2006/relationships/hyperlink" Target="https://es.creative.com/p/speakers/creative-sbs-e2500" TargetMode="External"/><Relationship Id="rId1041" Type="http://schemas.openxmlformats.org/officeDocument/2006/relationships/hyperlink" Target="https://www.brother.com.pe/products/mfct4500dw" TargetMode="External"/><Relationship Id="rId2372" Type="http://schemas.openxmlformats.org/officeDocument/2006/relationships/hyperlink" Target="https://tottus.falabella.com.pe/tottus-pe/product/114023189/bolo-20cm-acero-inoxidable/114023197" TargetMode="External"/><Relationship Id="rId691" Type="http://schemas.openxmlformats.org/officeDocument/2006/relationships/hyperlink" Target="https://docs.google.com/spreadsheets/d/1Yh6XRoLw_DStoLOpCMeejDugf1f5gy8uy4kZdTlB0pA/edit?gid=0" TargetMode="External"/><Relationship Id="rId1042" Type="http://schemas.openxmlformats.org/officeDocument/2006/relationships/hyperlink" Target="https://www.brother.com.pe/products/mfct4500dw" TargetMode="External"/><Relationship Id="rId2373" Type="http://schemas.openxmlformats.org/officeDocument/2006/relationships/hyperlink" Target="https://docs.google.com/spreadsheets/d/1C5rTeXaWRGfwn03xrf-xPHWnRk1lMETIlpaoWdQfNkE/edit?gid=0" TargetMode="External"/><Relationship Id="rId690" Type="http://schemas.openxmlformats.org/officeDocument/2006/relationships/hyperlink" Target="https://es.creative.com/p/speakers/creative-sbs-e2500" TargetMode="External"/><Relationship Id="rId1043" Type="http://schemas.openxmlformats.org/officeDocument/2006/relationships/hyperlink" Target="https://www.brother.com.pe/products/mfct4500dw" TargetMode="External"/><Relationship Id="rId2374" Type="http://schemas.openxmlformats.org/officeDocument/2006/relationships/hyperlink" Target="https://tottus.falabella.com.pe/tottus-pe/product/114023189/bolo-20cm-acero-inoxidable/114023198" TargetMode="External"/><Relationship Id="rId213" Type="http://schemas.openxmlformats.org/officeDocument/2006/relationships/hyperlink" Target="https://boxa.com.pe/lacteos/descremador-de-leche-electrica-de-110-litros/" TargetMode="External"/><Relationship Id="rId697" Type="http://schemas.openxmlformats.org/officeDocument/2006/relationships/hyperlink" Target="https://docs.google.com/spreadsheets/d/1Yh6XRoLw_DStoLOpCMeejDugf1f5gy8uy4kZdTlB0pA/edit?gid=0" TargetMode="External"/><Relationship Id="rId1044" Type="http://schemas.openxmlformats.org/officeDocument/2006/relationships/hyperlink" Target="https://www.brother.com.pe/products/mfct4500dw" TargetMode="External"/><Relationship Id="rId2375" Type="http://schemas.openxmlformats.org/officeDocument/2006/relationships/hyperlink" Target="https://docs.google.com/spreadsheets/d/1C5rTeXaWRGfwn03xrf-xPHWnRk1lMETIlpaoWdQfNkE/edit?gid=0" TargetMode="External"/><Relationship Id="rId212" Type="http://schemas.openxmlformats.org/officeDocument/2006/relationships/hyperlink" Target="https://boxa.com.pe/lacteos/descremador-de-leche-electrica-de-110-litros/" TargetMode="External"/><Relationship Id="rId696" Type="http://schemas.openxmlformats.org/officeDocument/2006/relationships/hyperlink" Target="https://es.creative.com/p/speakers/creative-sbs-e2500" TargetMode="External"/><Relationship Id="rId1045" Type="http://schemas.openxmlformats.org/officeDocument/2006/relationships/hyperlink" Target="https://www.brother.com.pe/products/mfct4500dw" TargetMode="External"/><Relationship Id="rId2376" Type="http://schemas.openxmlformats.org/officeDocument/2006/relationships/hyperlink" Target="https://www.tottus.com.pe/tottus-pe/articulo/116230341/bolo-de-acero-inoxidable-24cm/116230342" TargetMode="External"/><Relationship Id="rId211" Type="http://schemas.openxmlformats.org/officeDocument/2006/relationships/hyperlink" Target="https://drive.google.com/file/d/1-FTtmelmqzHqjN5pzPye6Z2vNHmMphwU/view?usp=sharing" TargetMode="External"/><Relationship Id="rId695" Type="http://schemas.openxmlformats.org/officeDocument/2006/relationships/hyperlink" Target="https://docs.google.com/spreadsheets/d/1Yh6XRoLw_DStoLOpCMeejDugf1f5gy8uy4kZdTlB0pA/edit?gid=0" TargetMode="External"/><Relationship Id="rId1046" Type="http://schemas.openxmlformats.org/officeDocument/2006/relationships/hyperlink" Target="https://www.brother.com.pe/products/mfct4500dw" TargetMode="External"/><Relationship Id="rId2377" Type="http://schemas.openxmlformats.org/officeDocument/2006/relationships/hyperlink" Target="https://www.tottus.com.pe/tottus-pe/articulo/116230341/bolo-de-acero-inoxidable-24cm/116230343" TargetMode="External"/><Relationship Id="rId210" Type="http://schemas.openxmlformats.org/officeDocument/2006/relationships/hyperlink" Target="https://boxa.com.pe/lacteos/descremador-de-leche-electrica-de-110-litros/" TargetMode="External"/><Relationship Id="rId694" Type="http://schemas.openxmlformats.org/officeDocument/2006/relationships/hyperlink" Target="https://es.creative.com/p/speakers/creative-sbs-e2500" TargetMode="External"/><Relationship Id="rId1047" Type="http://schemas.openxmlformats.org/officeDocument/2006/relationships/hyperlink" Target="https://www.brother.com.pe/products/mfct4500dw" TargetMode="External"/><Relationship Id="rId2378" Type="http://schemas.openxmlformats.org/officeDocument/2006/relationships/hyperlink" Target="https://docs.google.com/spreadsheets/d/1iZtQ9oSN4OfQ6bhL9YJAlIOSFOmi6I4mMKfAWIPxqlE/edit?gid=0" TargetMode="External"/><Relationship Id="rId249" Type="http://schemas.openxmlformats.org/officeDocument/2006/relationships/hyperlink" Target="https://es.farnell.com/en-ES/multicomp-pro/mp780997/laser-distance-meter-50m-lcd-2xaaa/dp/4179002?srsltid=AfmBOoreugdqCmy_36Zv7n25NHkQ1r4ejExpmv-bbTJmh6vQ2h2UsHWb" TargetMode="External"/><Relationship Id="rId248" Type="http://schemas.openxmlformats.org/officeDocument/2006/relationships/hyperlink" Target="https://drive.google.com/file/d/1lvWvOWE1w7deQO8Q2dCaZNS7vv-s00m6/view?usp=sharing" TargetMode="External"/><Relationship Id="rId247" Type="http://schemas.openxmlformats.org/officeDocument/2006/relationships/hyperlink" Target="https://es.farnell.com/en-ES/multicomp-pro/mp780997/laser-distance-meter-50m-lcd-2xaaa/dp/4179002?srsltid=AfmBOoreugdqCmy_36Zv7n25NHkQ1r4ejExpmv-bbTJmh6vQ2h2UsHWb" TargetMode="External"/><Relationship Id="rId1070" Type="http://schemas.openxmlformats.org/officeDocument/2006/relationships/hyperlink" Target="https://es.zenithlabo.com/laboratory-incubator/62102395.html" TargetMode="External"/><Relationship Id="rId1071" Type="http://schemas.openxmlformats.org/officeDocument/2006/relationships/hyperlink" Target="https://drive.google.com/file/d/1nq8tOqp8Ab7A7gPA4dR1t46QHHozqk6B/view?usp=sharing" TargetMode="External"/><Relationship Id="rId1072" Type="http://schemas.openxmlformats.org/officeDocument/2006/relationships/hyperlink" Target="https://es.zenithlabo.com/laboratory-incubator/62102395.html" TargetMode="External"/><Relationship Id="rId242" Type="http://schemas.openxmlformats.org/officeDocument/2006/relationships/hyperlink" Target="https://drive.google.com/file/d/1aOoDE1JxBlkDTm_3H4GB4JmtJM6ScPMe/view?usp=sharing" TargetMode="External"/><Relationship Id="rId1073" Type="http://schemas.openxmlformats.org/officeDocument/2006/relationships/hyperlink" Target="https://drive.google.com/file/d/1nq8tOqp8Ab7A7gPA4dR1t46QHHozqk6B/view?usp=sharing" TargetMode="External"/><Relationship Id="rId241" Type="http://schemas.openxmlformats.org/officeDocument/2006/relationships/hyperlink" Target="https://cahema.pe/discos-de-sierra/1799-disco-sierra-10-x-100-dientes-multimaterial-bosch-3165140602099.html" TargetMode="External"/><Relationship Id="rId1074" Type="http://schemas.openxmlformats.org/officeDocument/2006/relationships/hyperlink" Target="https://es.zenithlabo.com/laboratory-incubator/62102395.html" TargetMode="External"/><Relationship Id="rId240" Type="http://schemas.openxmlformats.org/officeDocument/2006/relationships/hyperlink" Target="https://cahema.pe/discos-de-sierra/1799-disco-sierra-10-x-100-dientes-multimaterial-bosch-3165140602099.html" TargetMode="External"/><Relationship Id="rId1075" Type="http://schemas.openxmlformats.org/officeDocument/2006/relationships/hyperlink" Target="https://drive.google.com/file/d/1nq8tOqp8Ab7A7gPA4dR1t46QHHozqk6B/view?usp=sharing" TargetMode="External"/><Relationship Id="rId1076" Type="http://schemas.openxmlformats.org/officeDocument/2006/relationships/hyperlink" Target="https://drive.google.com/file/d/1kEVjUPkgISv6c_6rQUm69GaaqHR9HfNM/view" TargetMode="External"/><Relationship Id="rId246" Type="http://schemas.openxmlformats.org/officeDocument/2006/relationships/hyperlink" Target="https://es.farnell.com/en-ES/multicomp-pro/mp780997/laser-distance-meter-50m-lcd-2xaaa/dp/4179002?srsltid=AfmBOoreugdqCmy_36Zv7n25NHkQ1r4ejExpmv-bbTJmh6vQ2h2UsHWb" TargetMode="External"/><Relationship Id="rId1077" Type="http://schemas.openxmlformats.org/officeDocument/2006/relationships/hyperlink" Target="https://drive.google.com/file/d/1kEVjUPkgISv6c_6rQUm69GaaqHR9HfNM/view?usp=drive_link" TargetMode="External"/><Relationship Id="rId245" Type="http://schemas.openxmlformats.org/officeDocument/2006/relationships/hyperlink" Target="https://drive.google.com/file/d/1lvWvOWE1w7deQO8Q2dCaZNS7vv-s00m6/view?usp=sharing" TargetMode="External"/><Relationship Id="rId1078" Type="http://schemas.openxmlformats.org/officeDocument/2006/relationships/hyperlink" Target="https://drive.google.com/file/d/1kEVjUPkgISv6c_6rQUm69GaaqHR9HfNM/view" TargetMode="External"/><Relationship Id="rId244" Type="http://schemas.openxmlformats.org/officeDocument/2006/relationships/hyperlink" Target="https://es.farnell.com/en-ES/multicomp-pro/mp780997/laser-distance-meter-50m-lcd-2xaaa/dp/4179002?srsltid=AfmBOoreugdqCmy_36Zv7n25NHkQ1r4ejExpmv-bbTJmh6vQ2h2UsHWb" TargetMode="External"/><Relationship Id="rId1079" Type="http://schemas.openxmlformats.org/officeDocument/2006/relationships/hyperlink" Target="https://drive.google.com/file/d/1kEVjUPkgISv6c_6rQUm69GaaqHR9HfNM/view?usp=drive_link" TargetMode="External"/><Relationship Id="rId243" Type="http://schemas.openxmlformats.org/officeDocument/2006/relationships/hyperlink" Target="https://cahema.pe/discos-de-sierra/1799-disco-sierra-10-x-100-dientes-multimaterial-bosch-3165140602099.html" TargetMode="External"/><Relationship Id="rId239" Type="http://schemas.openxmlformats.org/officeDocument/2006/relationships/hyperlink" Target="https://drive.google.com/file/d/1aOoDE1JxBlkDTm_3H4GB4JmtJM6ScPMe/view?usp=sharing" TargetMode="External"/><Relationship Id="rId238" Type="http://schemas.openxmlformats.org/officeDocument/2006/relationships/hyperlink" Target="https://cahema.pe/discos-de-sierra/1799-disco-sierra-10-x-100-dientes-multimaterial-bosch-3165140602099.html" TargetMode="External"/><Relationship Id="rId237" Type="http://schemas.openxmlformats.org/officeDocument/2006/relationships/hyperlink" Target="https://cahema.pe/discos-de-sierra/20629-disco-de-sierra-para-madera-tct-12-x-254-mm-70-dientes-makita-a-94443.html" TargetMode="External"/><Relationship Id="rId236" Type="http://schemas.openxmlformats.org/officeDocument/2006/relationships/hyperlink" Target="https://cahema.pe/discos-de-sierra/20629-disco-de-sierra-para-madera-tct-12-x-254-mm-70-dientes-makita-a-94443.html" TargetMode="External"/><Relationship Id="rId2390" Type="http://schemas.openxmlformats.org/officeDocument/2006/relationships/hyperlink" Target="https://docs.google.com/spreadsheets/d/1iZtQ9oSN4OfQ6bhL9YJAlIOSFOmi6I4mMKfAWIPxqlE/edit?gid=0" TargetMode="External"/><Relationship Id="rId1060" Type="http://schemas.openxmlformats.org/officeDocument/2006/relationships/hyperlink" Target="https://epson.com.pe/Para-el-hogar/Impresoras/Inyecci%C3%B3n-de-tinta/Impresora-Inal%C3%A1mbrica-EcoTank-L1250/p/C11CJ71301" TargetMode="External"/><Relationship Id="rId2391" Type="http://schemas.openxmlformats.org/officeDocument/2006/relationships/hyperlink" Target="https://www.tottus.com.pe/tottus-pe/articulo/116230341/bolo-de-acero-inoxidable-24cm/116230347" TargetMode="External"/><Relationship Id="rId1061" Type="http://schemas.openxmlformats.org/officeDocument/2006/relationships/hyperlink" Target="https://drive.google.com/file/d/1so_iDBRrW0VjSjZe9apP0NvD8i9VGKh9/view?usp=sharing" TargetMode="External"/><Relationship Id="rId2392" Type="http://schemas.openxmlformats.org/officeDocument/2006/relationships/hyperlink" Target="https://docs.google.com/spreadsheets/d/1iZtQ9oSN4OfQ6bhL9YJAlIOSFOmi6I4mMKfAWIPxqlE/edit?gid=0" TargetMode="External"/><Relationship Id="rId231" Type="http://schemas.openxmlformats.org/officeDocument/2006/relationships/hyperlink" Target="https://drive.google.com/file/d/1R0Ebt7C0HXIck5ynYzQIXVQy_Xdpa8i5/view?usp=sharing" TargetMode="External"/><Relationship Id="rId1062" Type="http://schemas.openxmlformats.org/officeDocument/2006/relationships/hyperlink" Target="https://epson.com.pe/Para-el-hogar/Impresoras/Inyecci%C3%B3n-de-tinta/Impresora-Inal%C3%A1mbrica-EcoTank-L1250/p/C11CJ71301" TargetMode="External"/><Relationship Id="rId2393" Type="http://schemas.openxmlformats.org/officeDocument/2006/relationships/hyperlink" Target="https://www.tottus.com.pe/tottus-pe/articulo/116230341/bolo-de-acero-inoxidable-24cm/116230348" TargetMode="External"/><Relationship Id="rId230" Type="http://schemas.openxmlformats.org/officeDocument/2006/relationships/hyperlink" Target="https://sodimac.falabella.com.pe/sodimac-pe/product/113093111/Disco-Sierra-de-12''-de-80-Dientes-Dewalt/113093118" TargetMode="External"/><Relationship Id="rId1063" Type="http://schemas.openxmlformats.org/officeDocument/2006/relationships/hyperlink" Target="https://drive.google.com/file/d/1so_iDBRrW0VjSjZe9apP0NvD8i9VGKh9/view?usp=sharing" TargetMode="External"/><Relationship Id="rId2394" Type="http://schemas.openxmlformats.org/officeDocument/2006/relationships/hyperlink" Target="https://docs.google.com/spreadsheets/d/1iZtQ9oSN4OfQ6bhL9YJAlIOSFOmi6I4mMKfAWIPxqlE/edit?gid=0" TargetMode="External"/><Relationship Id="rId1064" Type="http://schemas.openxmlformats.org/officeDocument/2006/relationships/hyperlink" Target="https://epson.com.pe/Para-el-hogar/Impresoras/Inyecci%C3%B3n-de-tinta/Impresora-Inal%C3%A1mbrica-EcoTank-L1250/p/C11CJ71301" TargetMode="External"/><Relationship Id="rId2395" Type="http://schemas.openxmlformats.org/officeDocument/2006/relationships/hyperlink" Target="https://www.tottus.com.pe/tottus-pe/articulo/116230341/bolo-de-acero-inoxidable-24cm/116230349" TargetMode="External"/><Relationship Id="rId1065" Type="http://schemas.openxmlformats.org/officeDocument/2006/relationships/hyperlink" Target="https://drive.google.com/file/d/1so_iDBRrW0VjSjZe9apP0NvD8i9VGKh9/view?usp=sharing" TargetMode="External"/><Relationship Id="rId2396" Type="http://schemas.openxmlformats.org/officeDocument/2006/relationships/hyperlink" Target="https://docs.google.com/spreadsheets/d/1iZtQ9oSN4OfQ6bhL9YJAlIOSFOmi6I4mMKfAWIPxqlE/edit?gid=0" TargetMode="External"/><Relationship Id="rId235" Type="http://schemas.openxmlformats.org/officeDocument/2006/relationships/hyperlink" Target="https://drive.google.com/file/d/1R0Ebt7C0HXIck5ynYzQIXVQy_Xdpa8i5/view?usp=sharing" TargetMode="External"/><Relationship Id="rId1066" Type="http://schemas.openxmlformats.org/officeDocument/2006/relationships/hyperlink" Target="https://epson.com.pe/Para-el-hogar/Impresoras/Inyecci%C3%B3n-de-tinta/Impresora-Inal%C3%A1mbrica-EcoTank-L1250/p/C11CJ71301" TargetMode="External"/><Relationship Id="rId2397" Type="http://schemas.openxmlformats.org/officeDocument/2006/relationships/hyperlink" Target="https://hken.rs-online.com/web/p/inverter-drives/7840751" TargetMode="External"/><Relationship Id="rId234" Type="http://schemas.openxmlformats.org/officeDocument/2006/relationships/hyperlink" Target="https://drive.google.com/file/d/1R0Ebt7C0HXIck5ynYzQIXVQy_Xdpa8i5/view?usp=sharing" TargetMode="External"/><Relationship Id="rId1067" Type="http://schemas.openxmlformats.org/officeDocument/2006/relationships/hyperlink" Target="https://drive.google.com/file/d/1so_iDBRrW0VjSjZe9apP0NvD8i9VGKh9/view?usp=sharing" TargetMode="External"/><Relationship Id="rId2398" Type="http://schemas.openxmlformats.org/officeDocument/2006/relationships/hyperlink" Target="https://docs.rs-online.com/4876/A700000011880398.pdf" TargetMode="External"/><Relationship Id="rId233" Type="http://schemas.openxmlformats.org/officeDocument/2006/relationships/hyperlink" Target="https://sodimac.falabella.com.pe/sodimac-pe/product/113093111/Disco-Sierra-de-12''-de-80-Dientes-Dewalt/113093118" TargetMode="External"/><Relationship Id="rId1068" Type="http://schemas.openxmlformats.org/officeDocument/2006/relationships/hyperlink" Target="https://es.zenithlabo.com/laboratory-incubator/62102395.html" TargetMode="External"/><Relationship Id="rId2399" Type="http://schemas.openxmlformats.org/officeDocument/2006/relationships/hyperlink" Target="https://hken.rs-online.com/web/p/inverter-drives/7840751" TargetMode="External"/><Relationship Id="rId232" Type="http://schemas.openxmlformats.org/officeDocument/2006/relationships/hyperlink" Target="https://drive.google.com/file/d/1R0Ebt7C0HXIck5ynYzQIXVQy_Xdpa8i5/view?usp=sharing" TargetMode="External"/><Relationship Id="rId1069" Type="http://schemas.openxmlformats.org/officeDocument/2006/relationships/hyperlink" Target="https://drive.google.com/file/d/1nq8tOqp8Ab7A7gPA4dR1t46QHHozqk6B/view?usp=sharing" TargetMode="External"/><Relationship Id="rId1015" Type="http://schemas.openxmlformats.org/officeDocument/2006/relationships/hyperlink" Target="https://www.alibaba.com/product-detail/Yoshan-Coffee-Roaster-Gas-LPG-1_1600059378742.html" TargetMode="External"/><Relationship Id="rId1499" Type="http://schemas.openxmlformats.org/officeDocument/2006/relationships/hyperlink" Target="https://niko.pe/producto/escarpines-de-cuero-cromo/?srsltid=AfmBOor6SnYFvO4h3RmCC_HDwDSs-jj1-BZ04vIT7SEqNGb2MT72UODv" TargetMode="External"/><Relationship Id="rId2346" Type="http://schemas.openxmlformats.org/officeDocument/2006/relationships/hyperlink" Target="https://www.amazon.com/Regla-ebanista-acero-inoxidable-1000mm/dp/B0036UHV8K/ref=sr_1_2_sspa?crid=2PETHOZU9T9AH&amp;dib=eyJ2IjoiMSJ9.fYv6OuEF9_DM1G8Hd2sxWRCNieX11dxy1CUw5QJBBXTmUYMjeq1pkYeDdS-bXaa1NomGLajPS7tIwGQlwiYNJVeWsORMcYpb7IFjLWuBHyVT7MnE1MJQXSRIdW5RpdgdvjeKIuHaCB3Ugqwn1CbcQt7TcSROl3_O7LkYKl9HxNlp1QfpBI3uZizpC287-T7E3H1P8sYT2QYm1VeV1v3WwPfQp2se0QPERbemJBFaTjM.jkNTuEWpTJUQeZuXRVgP3xHbpkUalhBIDv5pXJHdJys&amp;dib_tag=se&amp;keywords=reglas+de+metal+40+in&amp;qid=1759261358&amp;sprefix=reglas+de+metal+40+in%2Caps%2C152&amp;sr=8-2-spons&amp;sp_csd=d2lkZ2V0TmFtZT1zcF9hdGY&amp;psc=1" TargetMode="External"/><Relationship Id="rId1016" Type="http://schemas.openxmlformats.org/officeDocument/2006/relationships/hyperlink" Target="https://www.alibaba.com/product-detail/Yoshan-Coffee-Roaster-Gas-LPG-1_1600059378742.html" TargetMode="External"/><Relationship Id="rId2347" Type="http://schemas.openxmlformats.org/officeDocument/2006/relationships/hyperlink" Target="https://www.amazon.com/Regla-ebanista-acero-inoxidable-1000mm/dp/B0036UHV8K/ref=sr_1_2_sspa?crid=2PETHOZU9T9AH&amp;dib=eyJ2IjoiMSJ9.fYv6OuEF9_DM1G8Hd2sxWRCNieX11dxy1CUw5QJBBXTmUYMjeq1pkYeDdS-bXaa1NomGLajPS7tIwGQlwiYNJVeWsORMcYpb7IFjLWuBHyVT7MnE1MJQXSRIdW5RpdgdvjeKIuHaCB3Ugqwn1CbcQt7TcSROl3_O7LkYKl9HxNlp1QfpBI3uZizpC287-T7E3H1P8sYT2QYm1VeV1v3WwPfQp2se0QPERbemJBFaTjM.jkNTuEWpTJUQeZuXRVgP3xHbpkUalhBIDv5pXJHdJys&amp;dib_tag=se&amp;keywords=reglas+de+metal+40+in&amp;qid=1759261358&amp;sprefix=reglas+de+metal+40+in%2Caps%2C152&amp;sr=8-2-spons&amp;sp_csd=d2lkZ2V0TmFtZT1zcF9hdGY&amp;psc=1" TargetMode="External"/><Relationship Id="rId1017" Type="http://schemas.openxmlformats.org/officeDocument/2006/relationships/hyperlink" Target="https://store.creality.com/es/products/k1-se-impresora-3d" TargetMode="External"/><Relationship Id="rId2348" Type="http://schemas.openxmlformats.org/officeDocument/2006/relationships/hyperlink" Target="https://merceriasarabia.com/reglas-de-plastico/3588-set-de-reglas-de-patronaje-lutterloh.html" TargetMode="External"/><Relationship Id="rId1018" Type="http://schemas.openxmlformats.org/officeDocument/2006/relationships/hyperlink" Target="https://drive.google.com/file/d/1E0j0w1lERE5KzfLHnwjCYqpy91_mDAdB/view" TargetMode="External"/><Relationship Id="rId2349" Type="http://schemas.openxmlformats.org/officeDocument/2006/relationships/hyperlink" Target="https://merceriasarabia.com/reglas-de-plastico/3588-set-de-reglas-de-patronaje-lutterloh.html" TargetMode="External"/><Relationship Id="rId1019" Type="http://schemas.openxmlformats.org/officeDocument/2006/relationships/hyperlink" Target="https://store.creality.com/es/products/k1-se-impresora-3d" TargetMode="External"/><Relationship Id="rId668" Type="http://schemas.openxmlformats.org/officeDocument/2006/relationships/hyperlink" Target="https://hiraoka.com.pe/mini-grabadora-sony-icd-px470-cla?srsltid=AfmBOoqq8xxZlUpUtMZ1hqBR6cQxbrLWCpLYO22YS3PPTAp3HmUHeOWu" TargetMode="External"/><Relationship Id="rId667" Type="http://schemas.openxmlformats.org/officeDocument/2006/relationships/hyperlink" Target="https://hiraoka.com.pe/mini-grabadora-sony-icd-px470-cla?srsltid=AfmBOoqq8xxZlUpUtMZ1hqBR6cQxbrLWCpLYO22YS3PPTAp3HmUHeOWu" TargetMode="External"/><Relationship Id="rId666" Type="http://schemas.openxmlformats.org/officeDocument/2006/relationships/hyperlink" Target="https://hiraoka.com.pe/mini-grabadora-sony-icd-px470-cla?srsltid=AfmBOoqq8xxZlUpUtMZ1hqBR6cQxbrLWCpLYO22YS3PPTAp3HmUHeOWu" TargetMode="External"/><Relationship Id="rId665" Type="http://schemas.openxmlformats.org/officeDocument/2006/relationships/hyperlink" Target="https://hiraoka.com.pe/mini-grabadora-sony-icd-px470-cla?srsltid=AfmBOoqq8xxZlUpUtMZ1hqBR6cQxbrLWCpLYO22YS3PPTAp3HmUHeOWu" TargetMode="External"/><Relationship Id="rId669" Type="http://schemas.openxmlformats.org/officeDocument/2006/relationships/hyperlink" Target="https://hiraoka.com.pe/mini-grabadora-sony-icd-px470-cla?srsltid=AfmBOoqq8xxZlUpUtMZ1hqBR6cQxbrLWCpLYO22YS3PPTAp3HmUHeOWu" TargetMode="External"/><Relationship Id="rId1490" Type="http://schemas.openxmlformats.org/officeDocument/2006/relationships/hyperlink" Target="https://transquim.com/products/alessi-alcohol-70-gel-500-ml-c-dispensador?pr_prod_strat=e5_desc&amp;pr_rec_id=e1e8a9ff1&amp;pr_rec_pid=6044840099993&amp;pr_ref_pid=6044835676313&amp;pr_seq=uniform" TargetMode="External"/><Relationship Id="rId660" Type="http://schemas.openxmlformats.org/officeDocument/2006/relationships/hyperlink" Target="https://hiraoka.com.pe/mini-grabadora-sony-icd-px470-cla?srsltid=AfmBOoqq8xxZlUpUtMZ1hqBR6cQxbrLWCpLYO22YS3PPTAp3HmUHeOWu" TargetMode="External"/><Relationship Id="rId1491" Type="http://schemas.openxmlformats.org/officeDocument/2006/relationships/hyperlink" Target="https://drive.google.com/file/d/1HUhOmFIpgrCiXpq7Hkz-CdkKG7BMFfX8/view?ts=68eecd8d" TargetMode="External"/><Relationship Id="rId1492" Type="http://schemas.openxmlformats.org/officeDocument/2006/relationships/hyperlink" Target="https://www.twothousand.com/550w-stainless-steel-base-ce-commercial-vegetable-slicer-chopper-tt-f60-vc60ms/" TargetMode="External"/><Relationship Id="rId1493" Type="http://schemas.openxmlformats.org/officeDocument/2006/relationships/hyperlink" Target="https://drive.google.com/file/d/1HUhOmFIpgrCiXpq7Hkz-CdkKG7BMFfX8/view?ts=68eecd8d" TargetMode="External"/><Relationship Id="rId2340" Type="http://schemas.openxmlformats.org/officeDocument/2006/relationships/hyperlink" Target="https://www.amazon.com/-/es/Uniware-Caldero-aluminio-calidad-estupenda/dp/B00V5IS55S?utm_source=chatgpt.com" TargetMode="External"/><Relationship Id="rId1010" Type="http://schemas.openxmlformats.org/officeDocument/2006/relationships/hyperlink" Target="https://docs.google.com/spreadsheets/d/1rHYQAjx_drmWk_Bv8Wke6WVGCHPwGFrvBm049KTwrIU/edit?gid=0" TargetMode="External"/><Relationship Id="rId1494" Type="http://schemas.openxmlformats.org/officeDocument/2006/relationships/hyperlink" Target="https://drive.google.com/file/d/1HUhOmFIpgrCiXpq7Hkz-CdkKG7BMFfX8/view?ts=68eecd8d" TargetMode="External"/><Relationship Id="rId2341" Type="http://schemas.openxmlformats.org/officeDocument/2006/relationships/hyperlink" Target="https://www.amazon.com/-/es/Orejeras-seguridad-industrial-cumplen-normas/dp/B00PUX97U6?th=1" TargetMode="External"/><Relationship Id="rId664" Type="http://schemas.openxmlformats.org/officeDocument/2006/relationships/hyperlink" Target="https://hiraoka.com.pe/mini-grabadora-sony-icd-px470-cla?srsltid=AfmBOoqq8xxZlUpUtMZ1hqBR6cQxbrLWCpLYO22YS3PPTAp3HmUHeOWu" TargetMode="External"/><Relationship Id="rId1011" Type="http://schemas.openxmlformats.org/officeDocument/2006/relationships/hyperlink" Target="https://www.gruponova.pe/collections/hornos/products/horno-nova-kit-horno-maxito-6b-a-gas-1" TargetMode="External"/><Relationship Id="rId1495" Type="http://schemas.openxmlformats.org/officeDocument/2006/relationships/hyperlink" Target="https://drive.google.com/file/d/1HUhOmFIpgrCiXpq7Hkz-CdkKG7BMFfX8/view?ts=68eecd8d" TargetMode="External"/><Relationship Id="rId2342" Type="http://schemas.openxmlformats.org/officeDocument/2006/relationships/hyperlink" Target="https://www.amazon.com/-/es/Orejeras-seguridad-industrial-cumplen-normas/dp/B00PUX97U6?th=1" TargetMode="External"/><Relationship Id="rId663" Type="http://schemas.openxmlformats.org/officeDocument/2006/relationships/hyperlink" Target="https://hiraoka.com.pe/mini-grabadora-sony-icd-px470-cla?srsltid=AfmBOoqq8xxZlUpUtMZ1hqBR6cQxbrLWCpLYO22YS3PPTAp3HmUHeOWu" TargetMode="External"/><Relationship Id="rId1012" Type="http://schemas.openxmlformats.org/officeDocument/2006/relationships/hyperlink" Target="https://www.gruponova.pe/collections/hornos/products/horno-nova-kit-horno-maxito-6b-a-gas-1" TargetMode="External"/><Relationship Id="rId1496" Type="http://schemas.openxmlformats.org/officeDocument/2006/relationships/hyperlink" Target="https://niko.pe/producto/escarpines-de-cuero-cromo/?srsltid=AfmBOor6SnYFvO4h3RmCC_HDwDSs-jj1-BZ04vIT7SEqNGb2MT72UODv" TargetMode="External"/><Relationship Id="rId2343" Type="http://schemas.openxmlformats.org/officeDocument/2006/relationships/hyperlink" Target="https://www.sodimac.com.pe/sodimac-pe/articulo/113535203/Pelador-mango-madera-16-cm/113535204?srsltid=AfmBOopc2b4hgPvThN1KUz16hGR7O86-_7XwVnuhBZrCk1bopbTXBWf8" TargetMode="External"/><Relationship Id="rId662" Type="http://schemas.openxmlformats.org/officeDocument/2006/relationships/hyperlink" Target="https://hiraoka.com.pe/mini-grabadora-sony-icd-px470-cla?srsltid=AfmBOoqq8xxZlUpUtMZ1hqBR6cQxbrLWCpLYO22YS3PPTAp3HmUHeOWu" TargetMode="External"/><Relationship Id="rId1013" Type="http://schemas.openxmlformats.org/officeDocument/2006/relationships/hyperlink" Target="https://www.alibaba.com/product-detail/Yoshan-Coffee-Roaster-Gas-LPG-1_1600059378742.html" TargetMode="External"/><Relationship Id="rId1497" Type="http://schemas.openxmlformats.org/officeDocument/2006/relationships/hyperlink" Target="https://niko.pe/producto/escarpines-de-cuero-cromo/?srsltid=AfmBOor6SnYFvO4h3RmCC_HDwDSs-jj1-BZ04vIT7SEqNGb2MT72UODv" TargetMode="External"/><Relationship Id="rId2344" Type="http://schemas.openxmlformats.org/officeDocument/2006/relationships/hyperlink" Target="https://www.maqcenter.pe/product/tronzadora-de-metales-14-2300w-dewalt-d28730-b2" TargetMode="External"/><Relationship Id="rId661" Type="http://schemas.openxmlformats.org/officeDocument/2006/relationships/hyperlink" Target="https://hiraoka.com.pe/mini-grabadora-sony-icd-px470-cla?srsltid=AfmBOoqq8xxZlUpUtMZ1hqBR6cQxbrLWCpLYO22YS3PPTAp3HmUHeOWu" TargetMode="External"/><Relationship Id="rId1014" Type="http://schemas.openxmlformats.org/officeDocument/2006/relationships/hyperlink" Target="https://www.alibaba.com/product-detail/Yoshan-Coffee-Roaster-Gas-LPG-1_1600059378742.html" TargetMode="External"/><Relationship Id="rId1498" Type="http://schemas.openxmlformats.org/officeDocument/2006/relationships/hyperlink" Target="https://docs.google.com/spreadsheets/d/1gBECIU4fEOXz0PLULtMRNokcx6tnWYchzkFxJYEi4oo/edit?gid=0" TargetMode="External"/><Relationship Id="rId2345" Type="http://schemas.openxmlformats.org/officeDocument/2006/relationships/hyperlink" Target="https://drive.google.com/file/d/1ieINXElR3R1OWw3mr3xxzqyirkp5YFrt/view" TargetMode="External"/><Relationship Id="rId1004" Type="http://schemas.openxmlformats.org/officeDocument/2006/relationships/hyperlink" Target="https://drive.google.com/file/d/1-VmHYBa8oXg1_HPTwi2nPAMoE6qassiV/view?usp=drive_link" TargetMode="External"/><Relationship Id="rId1488" Type="http://schemas.openxmlformats.org/officeDocument/2006/relationships/hyperlink" Target="https://www.falabella.com.pe/falabella-pe/product/115805692/Dispensador-de-Jabon-Liquido-Alcohol-en-Gel/115805693" TargetMode="External"/><Relationship Id="rId2335" Type="http://schemas.openxmlformats.org/officeDocument/2006/relationships/hyperlink" Target="https://www.amazon.com.mx/Inoxidable-Alimenticio-Capacidad-Industrial-Profesional/dp/B08TB3W74W" TargetMode="External"/><Relationship Id="rId1005" Type="http://schemas.openxmlformats.org/officeDocument/2006/relationships/hyperlink" Target="https://drive.google.com/file/d/1kEVjUPkgISv6c_6rQUm69GaaqHR9HfNM/view" TargetMode="External"/><Relationship Id="rId1489" Type="http://schemas.openxmlformats.org/officeDocument/2006/relationships/hyperlink" Target="https://drive.google.com/file/d/10Y3NHuMJP5MFGtKiE4s-QC_2iAQv65P5/view?usp=sharing" TargetMode="External"/><Relationship Id="rId2336" Type="http://schemas.openxmlformats.org/officeDocument/2006/relationships/hyperlink" Target="https://www.amazon.com.mx/Inoxidable-Alimenticio-Capacidad-Industrial-Profesional/dp/B08TB3W74W" TargetMode="External"/><Relationship Id="rId1006" Type="http://schemas.openxmlformats.org/officeDocument/2006/relationships/hyperlink" Target="https://drive.google.com/file/d/1kEVjUPkgISv6c_6rQUm69GaaqHR9HfNM/view?usp=drive_link" TargetMode="External"/><Relationship Id="rId2337" Type="http://schemas.openxmlformats.org/officeDocument/2006/relationships/hyperlink" Target="https://www.amazon.com.mx/Inoxidable-Alimenticio-Capacidad-Industrial-Profesional/dp/B08TB3W74W" TargetMode="External"/><Relationship Id="rId1007" Type="http://schemas.openxmlformats.org/officeDocument/2006/relationships/hyperlink" Target="https://www.gruponova.pe/products/horno-nova-kit-horno-maxito-6b-electrico?srsltid=AfmBOooAmwSzicU5EeORaTQOP7zmi1c2fyupuVFZrPzL2TFBscLT28KG" TargetMode="External"/><Relationship Id="rId2338" Type="http://schemas.openxmlformats.org/officeDocument/2006/relationships/hyperlink" Target="https://ollasdebarro.com/producto/olla-5-kilos-barro-peruano/" TargetMode="External"/><Relationship Id="rId1008" Type="http://schemas.openxmlformats.org/officeDocument/2006/relationships/hyperlink" Target="https://www.gruponova.pe/collections/hornos/products/horno-nova-kit-horno-maxito-6b-a-gas-1" TargetMode="External"/><Relationship Id="rId2339" Type="http://schemas.openxmlformats.org/officeDocument/2006/relationships/hyperlink" Target="https://www.tramontina.com.pe/olla-para-spaghetti-solar-silicone-de-acero-inoxidable-con-fondo-triple-con-tapa-de-vidrio-de-24-cm-y-61l-tramontina_62137240/p?srsltid=AfmBOoqczef5Mref2cMntqcYOiDLYM_E8acgYDlhpzSYW1KJj79eDCBu" TargetMode="External"/><Relationship Id="rId1009" Type="http://schemas.openxmlformats.org/officeDocument/2006/relationships/hyperlink" Target="https://www.gruponova.pe/collections/hornos/products/horno-nova-kit-horno-maxito-6b-a-gas-1" TargetMode="External"/><Relationship Id="rId657" Type="http://schemas.openxmlformats.org/officeDocument/2006/relationships/hyperlink" Target="https://drive.google.com/file/d/1dckYGgmD6R-YVSkR1J0L23_ufOAughAZ/view?usp=sharing" TargetMode="External"/><Relationship Id="rId656" Type="http://schemas.openxmlformats.org/officeDocument/2006/relationships/hyperlink" Target="https://www.aslak.es/madera/5922201-sistema-de-aspiracion-saa-2001.html" TargetMode="External"/><Relationship Id="rId655" Type="http://schemas.openxmlformats.org/officeDocument/2006/relationships/hyperlink" Target="https://drive.google.com/file/d/1dckYGgmD6R-YVSkR1J0L23_ufOAughAZ/view?usp=sharing" TargetMode="External"/><Relationship Id="rId654" Type="http://schemas.openxmlformats.org/officeDocument/2006/relationships/hyperlink" Target="https://www.aslak.es/madera/5922201-sistema-de-aspiracion-saa-2001.html" TargetMode="External"/><Relationship Id="rId659" Type="http://schemas.openxmlformats.org/officeDocument/2006/relationships/hyperlink" Target="https://hiraoka.com.pe/mini-grabadora-sony-icd-px470-cla?srsltid=AfmBOoqq8xxZlUpUtMZ1hqBR6cQxbrLWCpLYO22YS3PPTAp3HmUHeOWu" TargetMode="External"/><Relationship Id="rId658" Type="http://schemas.openxmlformats.org/officeDocument/2006/relationships/hyperlink" Target="https://hiraoka.com.pe/mini-grabadora-sony-icd-px470-cla?srsltid=AfmBOoqq8xxZlUpUtMZ1hqBR6cQxbrLWCpLYO22YS3PPTAp3HmUHeOWu" TargetMode="External"/><Relationship Id="rId1480" Type="http://schemas.openxmlformats.org/officeDocument/2006/relationships/hyperlink" Target="https://drive.google.com/file/d/10Y3NHuMJP5MFGtKiE4s-QC_2iAQv65P5/view?usp=sharing" TargetMode="External"/><Relationship Id="rId1481" Type="http://schemas.openxmlformats.org/officeDocument/2006/relationships/hyperlink" Target="https://transquim.com/products/alessi-alcohol-70-gel-500-ml-c-dispensador?pr_prod_strat=e5_desc&amp;pr_rec_id=e1e8a9ff1&amp;pr_rec_pid=6044840099993&amp;pr_ref_pid=6044835676313&amp;pr_seq=uniform" TargetMode="External"/><Relationship Id="rId1482" Type="http://schemas.openxmlformats.org/officeDocument/2006/relationships/hyperlink" Target="https://www.falabella.com.pe/falabella-pe/product/115805692/Dispensador-de-Jabon-Liquido-Alcohol-en-Gel/115805693" TargetMode="External"/><Relationship Id="rId1483" Type="http://schemas.openxmlformats.org/officeDocument/2006/relationships/hyperlink" Target="https://drive.google.com/file/d/10Y3NHuMJP5MFGtKiE4s-QC_2iAQv65P5/view?usp=sharing" TargetMode="External"/><Relationship Id="rId2330" Type="http://schemas.openxmlformats.org/officeDocument/2006/relationships/hyperlink" Target="https://www.bosch-professional.com/pe/es/products/gsb-16-re-060114E500" TargetMode="External"/><Relationship Id="rId653" Type="http://schemas.openxmlformats.org/officeDocument/2006/relationships/hyperlink" Target="https://www.gastronomiaycia.com/moldes-para-mantequilla/" TargetMode="External"/><Relationship Id="rId1000" Type="http://schemas.openxmlformats.org/officeDocument/2006/relationships/hyperlink" Target="https://drive.google.com/file/d/1-VmHYBa8oXg1_HPTwi2nPAMoE6qassiV/view?usp=drive_link" TargetMode="External"/><Relationship Id="rId1484" Type="http://schemas.openxmlformats.org/officeDocument/2006/relationships/hyperlink" Target="https://transquim.com/products/alessi-alcohol-70-gel-500-ml-c-dispensador?pr_prod_strat=e5_desc&amp;pr_rec_id=e1e8a9ff1&amp;pr_rec_pid=6044840099993&amp;pr_ref_pid=6044835676313&amp;pr_seq=uniform" TargetMode="External"/><Relationship Id="rId2331" Type="http://schemas.openxmlformats.org/officeDocument/2006/relationships/hyperlink" Target="https://drive.google.com/file/d/17ekB_IWNRiAEXz5Y736eMGxHv2hnFBLE/view?usp=sharing" TargetMode="External"/><Relationship Id="rId652" Type="http://schemas.openxmlformats.org/officeDocument/2006/relationships/hyperlink" Target="https://www.gastronomiaycia.com/moldes-para-mantequilla/" TargetMode="External"/><Relationship Id="rId1001" Type="http://schemas.openxmlformats.org/officeDocument/2006/relationships/hyperlink" Target="https://drive.google.com/file/d/1-VmHYBa8oXg1_HPTwi2nPAMoE6qassiV/view" TargetMode="External"/><Relationship Id="rId1485" Type="http://schemas.openxmlformats.org/officeDocument/2006/relationships/hyperlink" Target="https://www.falabella.com.pe/falabella-pe/product/115805692/Dispensador-de-Jabon-Liquido-Alcohol-en-Gel/115805693" TargetMode="External"/><Relationship Id="rId2332" Type="http://schemas.openxmlformats.org/officeDocument/2006/relationships/hyperlink" Target="https://www.bosch-professional.com/pe/es/products/gsb-16-re-060114E500" TargetMode="External"/><Relationship Id="rId651" Type="http://schemas.openxmlformats.org/officeDocument/2006/relationships/hyperlink" Target="https://www.gastronomiaycia.com/moldes-para-mantequilla/" TargetMode="External"/><Relationship Id="rId1002" Type="http://schemas.openxmlformats.org/officeDocument/2006/relationships/hyperlink" Target="https://drive.google.com/file/d/1-VmHYBa8oXg1_HPTwi2nPAMoE6qassiV/view?usp=drive_link" TargetMode="External"/><Relationship Id="rId1486" Type="http://schemas.openxmlformats.org/officeDocument/2006/relationships/hyperlink" Target="https://drive.google.com/file/d/10Y3NHuMJP5MFGtKiE4s-QC_2iAQv65P5/view?usp=sharing" TargetMode="External"/><Relationship Id="rId2333" Type="http://schemas.openxmlformats.org/officeDocument/2006/relationships/hyperlink" Target="https://drive.google.com/file/d/1BQnNQUhXPj5WOsktzwK60dTyCfhionNH/view?usp=sharing" TargetMode="External"/><Relationship Id="rId650" Type="http://schemas.openxmlformats.org/officeDocument/2006/relationships/hyperlink" Target="https://www.promart.pe/compresor-aire-25-l-3-hp-220v-60hz-11836-1000532690/p" TargetMode="External"/><Relationship Id="rId1003" Type="http://schemas.openxmlformats.org/officeDocument/2006/relationships/hyperlink" Target="https://drive.google.com/file/d/1-VmHYBa8oXg1_HPTwi2nPAMoE6qassiV/view" TargetMode="External"/><Relationship Id="rId1487" Type="http://schemas.openxmlformats.org/officeDocument/2006/relationships/hyperlink" Target="https://transquim.com/products/alessi-alcohol-70-gel-500-ml-c-dispensador?pr_prod_strat=e5_desc&amp;pr_rec_id=e1e8a9ff1&amp;pr_rec_pid=6044840099993&amp;pr_ref_pid=6044835676313&amp;pr_seq=uniform" TargetMode="External"/><Relationship Id="rId2334" Type="http://schemas.openxmlformats.org/officeDocument/2006/relationships/hyperlink" Target="https://www.amazon.com.mx/Inoxidable-Alimenticio-Capacidad-Industrial-Profesional/dp/B08TB3W74W" TargetMode="External"/><Relationship Id="rId1037" Type="http://schemas.openxmlformats.org/officeDocument/2006/relationships/hyperlink" Target="https://drive.google.com/file/d/1cu00IYcXcPwzGin1xW1G7fuPLF8-snwa/view" TargetMode="External"/><Relationship Id="rId2368" Type="http://schemas.openxmlformats.org/officeDocument/2006/relationships/hyperlink" Target="https://tottus.falabella.com.pe/tottus-pe/product/114023189/bolo-20cm-acero-inoxidable/114023195" TargetMode="External"/><Relationship Id="rId1038" Type="http://schemas.openxmlformats.org/officeDocument/2006/relationships/hyperlink" Target="https://drive.google.com/file/d/1cu00IYcXcPwzGin1xW1G7fuPLF8-snwa/view" TargetMode="External"/><Relationship Id="rId2369" Type="http://schemas.openxmlformats.org/officeDocument/2006/relationships/hyperlink" Target="https://docs.google.com/spreadsheets/d/1C5rTeXaWRGfwn03xrf-xPHWnRk1lMETIlpaoWdQfNkE/edit?gid=0" TargetMode="External"/><Relationship Id="rId1039" Type="http://schemas.openxmlformats.org/officeDocument/2006/relationships/hyperlink" Target="https://www.brother.com.pe/products/mfct4500dw" TargetMode="External"/><Relationship Id="rId206" Type="http://schemas.openxmlformats.org/officeDocument/2006/relationships/hyperlink" Target="https://boxa.com.pe/lacteos/descremador-de-leche-electrica-de-110-litros/" TargetMode="External"/><Relationship Id="rId205" Type="http://schemas.openxmlformats.org/officeDocument/2006/relationships/hyperlink" Target="https://www.amazon.com/-/es/INDPOOOR-Molinillo-profesional-manivela-inoxidable/dp/B0B65KJJSV" TargetMode="External"/><Relationship Id="rId689" Type="http://schemas.openxmlformats.org/officeDocument/2006/relationships/hyperlink" Target="https://docs.google.com/spreadsheets/d/1Yh6XRoLw_DStoLOpCMeejDugf1f5gy8uy4kZdTlB0pA/edit?gid=0" TargetMode="External"/><Relationship Id="rId204" Type="http://schemas.openxmlformats.org/officeDocument/2006/relationships/hyperlink" Target="https://www.amazon.com/-/es/INDPOOOR-Molinillo-profesional-manivela-inoxidable/dp/B0B65KJJSV" TargetMode="External"/><Relationship Id="rId688" Type="http://schemas.openxmlformats.org/officeDocument/2006/relationships/hyperlink" Target="https://es.creative.com/p/speakers/creative-sbs-e2500" TargetMode="External"/><Relationship Id="rId203" Type="http://schemas.openxmlformats.org/officeDocument/2006/relationships/hyperlink" Target="https://www.amazon.com/-/es/INDPOOOR-Molinillo-profesional-manivela-inoxidable/dp/B0B65KJJSV" TargetMode="External"/><Relationship Id="rId687" Type="http://schemas.openxmlformats.org/officeDocument/2006/relationships/hyperlink" Target="https://docs.google.com/spreadsheets/d/1Yh6XRoLw_DStoLOpCMeejDugf1f5gy8uy4kZdTlB0pA/edit?gid=0" TargetMode="External"/><Relationship Id="rId209" Type="http://schemas.openxmlformats.org/officeDocument/2006/relationships/hyperlink" Target="https://boxa.com.pe/lacteos/descremador-de-leche-electrica-de-110-litros/" TargetMode="External"/><Relationship Id="rId208" Type="http://schemas.openxmlformats.org/officeDocument/2006/relationships/hyperlink" Target="https://drive.google.com/file/d/1-FTtmelmqzHqjN5pzPye6Z2vNHmMphwU/view?usp=sharing" TargetMode="External"/><Relationship Id="rId207" Type="http://schemas.openxmlformats.org/officeDocument/2006/relationships/hyperlink" Target="https://boxa.com.pe/lacteos/descremador-de-leche-electrica-de-110-litros/" TargetMode="External"/><Relationship Id="rId682" Type="http://schemas.openxmlformats.org/officeDocument/2006/relationships/hyperlink" Target="https://hiraoka.com.pe/mini-grabadora-sony-icd-px470-cla?srsltid=AfmBOoqq8xxZlUpUtMZ1hqBR6cQxbrLWCpLYO22YS3PPTAp3HmUHeOWu" TargetMode="External"/><Relationship Id="rId2360" Type="http://schemas.openxmlformats.org/officeDocument/2006/relationships/hyperlink" Target="https://www.uysa.com.pe/tazas-medidoras-x-5-blister-facusa-10286053/p?srsltid=AfmBOoqTInDPBKpYPGuPUEemumsEdbx3_1rg6mS1_YEnDKePZ8mLhDXV" TargetMode="External"/><Relationship Id="rId681" Type="http://schemas.openxmlformats.org/officeDocument/2006/relationships/hyperlink" Target="https://docs.google.com/spreadsheets/d/1Yh6XRoLw_DStoLOpCMeejDugf1f5gy8uy4kZdTlB0pA/edit?gid=0" TargetMode="External"/><Relationship Id="rId1030" Type="http://schemas.openxmlformats.org/officeDocument/2006/relationships/hyperlink" Target="https://drive.google.com/file/d/1E0j0w1lERE5KzfLHnwjCYqpy91_mDAdB/view" TargetMode="External"/><Relationship Id="rId2361" Type="http://schemas.openxmlformats.org/officeDocument/2006/relationships/hyperlink" Target="https://tottus.falabella.com.pe/tottus-pe/product/114023189/bolo-20cm-acero-inoxidable/114023191" TargetMode="External"/><Relationship Id="rId680" Type="http://schemas.openxmlformats.org/officeDocument/2006/relationships/hyperlink" Target="https://es.creative.com/p/speakers/creative-sbs-e2500" TargetMode="External"/><Relationship Id="rId1031" Type="http://schemas.openxmlformats.org/officeDocument/2006/relationships/hyperlink" Target="https://store.creality.com/es/products/k1-se-impresora-3d" TargetMode="External"/><Relationship Id="rId2362" Type="http://schemas.openxmlformats.org/officeDocument/2006/relationships/hyperlink" Target="https://tottus.falabella.com.pe/tottus-pe/product/114023189/bolo-20cm-acero-inoxidable/114023192" TargetMode="External"/><Relationship Id="rId1032" Type="http://schemas.openxmlformats.org/officeDocument/2006/relationships/hyperlink" Target="https://drive.google.com/file/d/1E0j0w1lERE5KzfLHnwjCYqpy91_mDAdB/view" TargetMode="External"/><Relationship Id="rId2363" Type="http://schemas.openxmlformats.org/officeDocument/2006/relationships/hyperlink" Target="https://docs.google.com/spreadsheets/d/1C5rTeXaWRGfwn03xrf-xPHWnRk1lMETIlpaoWdQfNkE/edit?gid=0" TargetMode="External"/><Relationship Id="rId202" Type="http://schemas.openxmlformats.org/officeDocument/2006/relationships/hyperlink" Target="https://www.amazon.com/-/es/INDPOOOR-Molinillo-profesional-manivela-inoxidable/dp/B0B65KJJSV" TargetMode="External"/><Relationship Id="rId686" Type="http://schemas.openxmlformats.org/officeDocument/2006/relationships/hyperlink" Target="https://es.creative.com/p/speakers/creative-sbs-e2500" TargetMode="External"/><Relationship Id="rId1033" Type="http://schemas.openxmlformats.org/officeDocument/2006/relationships/hyperlink" Target="https://store.creality.com/es/products/k1-se-impresora-3d" TargetMode="External"/><Relationship Id="rId2364" Type="http://schemas.openxmlformats.org/officeDocument/2006/relationships/hyperlink" Target="https://tottus.falabella.com.pe/tottus-pe/product/114023189/bolo-20cm-acero-inoxidable/114023193" TargetMode="External"/><Relationship Id="rId201" Type="http://schemas.openxmlformats.org/officeDocument/2006/relationships/hyperlink" Target="https://www.amazon.com/-/es/CASOMAN-pulgadas-incluye-extensi%C3%B3n-universal/dp/B0C9HZKW3Q?th=1" TargetMode="External"/><Relationship Id="rId685" Type="http://schemas.openxmlformats.org/officeDocument/2006/relationships/hyperlink" Target="https://docs.google.com/spreadsheets/d/1Yh6XRoLw_DStoLOpCMeejDugf1f5gy8uy4kZdTlB0pA/edit?gid=0" TargetMode="External"/><Relationship Id="rId1034" Type="http://schemas.openxmlformats.org/officeDocument/2006/relationships/hyperlink" Target="https://drive.google.com/file/d/1E0j0w1lERE5KzfLHnwjCYqpy91_mDAdB/view" TargetMode="External"/><Relationship Id="rId2365" Type="http://schemas.openxmlformats.org/officeDocument/2006/relationships/hyperlink" Target="https://docs.google.com/spreadsheets/d/1C5rTeXaWRGfwn03xrf-xPHWnRk1lMETIlpaoWdQfNkE/edit?gid=0" TargetMode="External"/><Relationship Id="rId200" Type="http://schemas.openxmlformats.org/officeDocument/2006/relationships/hyperlink" Target="https://www.amazon.com/-/es/CASOMAN-pulgadas-incluye-extensi%C3%B3n-universal/dp/B0C9HZKW3Q?th=1" TargetMode="External"/><Relationship Id="rId684" Type="http://schemas.openxmlformats.org/officeDocument/2006/relationships/hyperlink" Target="https://es.creative.com/p/speakers/creative-sbs-e2500" TargetMode="External"/><Relationship Id="rId1035" Type="http://schemas.openxmlformats.org/officeDocument/2006/relationships/hyperlink" Target="https://store.creality.com/es/products/k1-se-impresora-3d" TargetMode="External"/><Relationship Id="rId2366" Type="http://schemas.openxmlformats.org/officeDocument/2006/relationships/hyperlink" Target="https://tottus.falabella.com.pe/tottus-pe/product/114023189/bolo-20cm-acero-inoxidable/114023194" TargetMode="External"/><Relationship Id="rId683" Type="http://schemas.openxmlformats.org/officeDocument/2006/relationships/hyperlink" Target="https://es.creative.com/p/speakers/creative-sbs-e2500" TargetMode="External"/><Relationship Id="rId1036" Type="http://schemas.openxmlformats.org/officeDocument/2006/relationships/hyperlink" Target="https://drive.google.com/file/d/1E0j0w1lERE5KzfLHnwjCYqpy91_mDAdB/view" TargetMode="External"/><Relationship Id="rId2367" Type="http://schemas.openxmlformats.org/officeDocument/2006/relationships/hyperlink" Target="https://docs.google.com/spreadsheets/d/1C5rTeXaWRGfwn03xrf-xPHWnRk1lMETIlpaoWdQfNkE/edit?gid=0" TargetMode="External"/><Relationship Id="rId1026" Type="http://schemas.openxmlformats.org/officeDocument/2006/relationships/hyperlink" Target="https://drive.google.com/file/d/1E0j0w1lERE5KzfLHnwjCYqpy91_mDAdB/view" TargetMode="External"/><Relationship Id="rId2357" Type="http://schemas.openxmlformats.org/officeDocument/2006/relationships/hyperlink" Target="https://articulo.mercadolibre.com.pe/MPE-702602766-tabla-de-picar-profesional-45x30x2cm-de-polietileno-nueva-_JM?searchVariation=182930502034" TargetMode="External"/><Relationship Id="rId1027" Type="http://schemas.openxmlformats.org/officeDocument/2006/relationships/hyperlink" Target="https://store.creality.com/es/products/k1-se-impresora-3d" TargetMode="External"/><Relationship Id="rId2358" Type="http://schemas.openxmlformats.org/officeDocument/2006/relationships/hyperlink" Target="https://articulo.mercadolibre.com.pe/MPE-702602766-tabla-de-picar-profesional-45x30x2cm-de-polietileno-nueva-_JM?searchVariation=182930502034" TargetMode="External"/><Relationship Id="rId1028" Type="http://schemas.openxmlformats.org/officeDocument/2006/relationships/hyperlink" Target="https://drive.google.com/file/d/1E0j0w1lERE5KzfLHnwjCYqpy91_mDAdB/view" TargetMode="External"/><Relationship Id="rId2359" Type="http://schemas.openxmlformats.org/officeDocument/2006/relationships/hyperlink" Target="https://articulo.mercadolibre.com.pe/MPE-702602766-tabla-de-picar-profesional-45x30x2cm-de-polietileno-nueva-_JM?searchVariation=182930502034" TargetMode="External"/><Relationship Id="rId1029" Type="http://schemas.openxmlformats.org/officeDocument/2006/relationships/hyperlink" Target="https://store.creality.com/es/products/k1-se-impresora-3d" TargetMode="External"/><Relationship Id="rId679" Type="http://schemas.openxmlformats.org/officeDocument/2006/relationships/hyperlink" Target="https://hiraoka.com.pe/mini-grabadora-sony-icd-px470-cla?srsltid=AfmBOoqq8xxZlUpUtMZ1hqBR6cQxbrLWCpLYO22YS3PPTAp3HmUHeOWu" TargetMode="External"/><Relationship Id="rId678" Type="http://schemas.openxmlformats.org/officeDocument/2006/relationships/hyperlink" Target="https://hiraoka.com.pe/mini-grabadora-sony-icd-px470-cla?srsltid=AfmBOoqq8xxZlUpUtMZ1hqBR6cQxbrLWCpLYO22YS3PPTAp3HmUHeOWu" TargetMode="External"/><Relationship Id="rId677" Type="http://schemas.openxmlformats.org/officeDocument/2006/relationships/hyperlink" Target="https://hiraoka.com.pe/mini-grabadora-sony-icd-px470-cla?srsltid=AfmBOoqq8xxZlUpUtMZ1hqBR6cQxbrLWCpLYO22YS3PPTAp3HmUHeOWu" TargetMode="External"/><Relationship Id="rId676" Type="http://schemas.openxmlformats.org/officeDocument/2006/relationships/hyperlink" Target="https://hiraoka.com.pe/mini-grabadora-sony-icd-px470-cla?srsltid=AfmBOoqq8xxZlUpUtMZ1hqBR6cQxbrLWCpLYO22YS3PPTAp3HmUHeOWu" TargetMode="External"/><Relationship Id="rId671" Type="http://schemas.openxmlformats.org/officeDocument/2006/relationships/hyperlink" Target="https://hiraoka.com.pe/mini-grabadora-sony-icd-px470-cla?srsltid=AfmBOoqq8xxZlUpUtMZ1hqBR6cQxbrLWCpLYO22YS3PPTAp3HmUHeOWu" TargetMode="External"/><Relationship Id="rId670" Type="http://schemas.openxmlformats.org/officeDocument/2006/relationships/hyperlink" Target="https://hiraoka.com.pe/mini-grabadora-sony-icd-px470-cla?srsltid=AfmBOoqq8xxZlUpUtMZ1hqBR6cQxbrLWCpLYO22YS3PPTAp3HmUHeOWu" TargetMode="External"/><Relationship Id="rId2350" Type="http://schemas.openxmlformats.org/officeDocument/2006/relationships/hyperlink" Target="https://radiosurtidora.com/products/medidor-de-resistencia-de-tierras-sew-4235-er" TargetMode="External"/><Relationship Id="rId1020" Type="http://schemas.openxmlformats.org/officeDocument/2006/relationships/hyperlink" Target="https://drive.google.com/file/d/1E0j0w1lERE5KzfLHnwjCYqpy91_mDAdB/view" TargetMode="External"/><Relationship Id="rId2351" Type="http://schemas.openxmlformats.org/officeDocument/2006/relationships/hyperlink" Target="https://drive.google.com/file/d/1x7L_vULwmY2q3Ctw9ES93brMSOF4tqeb/view" TargetMode="External"/><Relationship Id="rId1021" Type="http://schemas.openxmlformats.org/officeDocument/2006/relationships/hyperlink" Target="https://store.creality.com/es/products/k1-se-impresora-3d" TargetMode="External"/><Relationship Id="rId2352" Type="http://schemas.openxmlformats.org/officeDocument/2006/relationships/hyperlink" Target="https://radiosurtidora.com/products/medidor-de-resistencia-de-tierras-sew-4235-er" TargetMode="External"/><Relationship Id="rId675" Type="http://schemas.openxmlformats.org/officeDocument/2006/relationships/hyperlink" Target="https://hiraoka.com.pe/mini-grabadora-sony-icd-px470-cla?srsltid=AfmBOoqq8xxZlUpUtMZ1hqBR6cQxbrLWCpLYO22YS3PPTAp3HmUHeOWu" TargetMode="External"/><Relationship Id="rId1022" Type="http://schemas.openxmlformats.org/officeDocument/2006/relationships/hyperlink" Target="https://drive.google.com/file/d/1E0j0w1lERE5KzfLHnwjCYqpy91_mDAdB/view" TargetMode="External"/><Relationship Id="rId2353" Type="http://schemas.openxmlformats.org/officeDocument/2006/relationships/hyperlink" Target="https://drive.google.com/file/d/1x7L_vULwmY2q3Ctw9ES93brMSOF4tqeb/view" TargetMode="External"/><Relationship Id="rId674" Type="http://schemas.openxmlformats.org/officeDocument/2006/relationships/hyperlink" Target="https://hiraoka.com.pe/mini-grabadora-sony-icd-px470-cla?srsltid=AfmBOoqq8xxZlUpUtMZ1hqBR6cQxbrLWCpLYO22YS3PPTAp3HmUHeOWu" TargetMode="External"/><Relationship Id="rId1023" Type="http://schemas.openxmlformats.org/officeDocument/2006/relationships/hyperlink" Target="https://store.creality.com/es/products/k1-se-impresora-3d" TargetMode="External"/><Relationship Id="rId2354" Type="http://schemas.openxmlformats.org/officeDocument/2006/relationships/hyperlink" Target="https://radiosurtidora.com/products/medidor-de-resistencia-de-tierras-sew-4235-er" TargetMode="External"/><Relationship Id="rId673" Type="http://schemas.openxmlformats.org/officeDocument/2006/relationships/hyperlink" Target="https://hiraoka.com.pe/mini-grabadora-sony-icd-px470-cla?srsltid=AfmBOoqq8xxZlUpUtMZ1hqBR6cQxbrLWCpLYO22YS3PPTAp3HmUHeOWu" TargetMode="External"/><Relationship Id="rId1024" Type="http://schemas.openxmlformats.org/officeDocument/2006/relationships/hyperlink" Target="https://drive.google.com/file/d/1E0j0w1lERE5KzfLHnwjCYqpy91_mDAdB/view" TargetMode="External"/><Relationship Id="rId2355" Type="http://schemas.openxmlformats.org/officeDocument/2006/relationships/hyperlink" Target="https://drive.google.com/file/d/1x7L_vULwmY2q3Ctw9ES93brMSOF4tqeb/view" TargetMode="External"/><Relationship Id="rId672" Type="http://schemas.openxmlformats.org/officeDocument/2006/relationships/hyperlink" Target="https://hiraoka.com.pe/mini-grabadora-sony-icd-px470-cla?srsltid=AfmBOoqq8xxZlUpUtMZ1hqBR6cQxbrLWCpLYO22YS3PPTAp3HmUHeOWu" TargetMode="External"/><Relationship Id="rId1025" Type="http://schemas.openxmlformats.org/officeDocument/2006/relationships/hyperlink" Target="https://store.creality.com/es/products/k1-se-impresora-3d" TargetMode="External"/><Relationship Id="rId2356" Type="http://schemas.openxmlformats.org/officeDocument/2006/relationships/hyperlink" Target="https://articulo.mercadolibre.com.pe/MPE-702602766-tabla-de-picar-profesional-45x30x2cm-de-polietileno-nueva-_JM?searchVariation=182930502034" TargetMode="External"/><Relationship Id="rId190" Type="http://schemas.openxmlformats.org/officeDocument/2006/relationships/hyperlink" Target="https://www.mercadolibre.com.pe/balon-de-co2-americano-catalina-5-kg-carboxiterapia/up/MPEU2463409900" TargetMode="External"/><Relationship Id="rId194" Type="http://schemas.openxmlformats.org/officeDocument/2006/relationships/hyperlink" Target="https://docs.google.com/spreadsheets/d/1QFNYMDEYmYaWC31o7LTF19RQn8zCKHMs6sp3UisnU8E/edit?gid=0" TargetMode="External"/><Relationship Id="rId193" Type="http://schemas.openxmlformats.org/officeDocument/2006/relationships/hyperlink" Target="https://www.toolteam.com/en-GB/bgs-piston-ring-compressor-set-1890-t-582740-4026947018905" TargetMode="External"/><Relationship Id="rId192" Type="http://schemas.openxmlformats.org/officeDocument/2006/relationships/hyperlink" Target="https://www.toolteam.com/en-GB/bgs-piston-ring-compressor-set-1890-t-582740-4026947018904" TargetMode="External"/><Relationship Id="rId191" Type="http://schemas.openxmlformats.org/officeDocument/2006/relationships/hyperlink" Target="https://respiramedical.com.pe/producto/cilindro-de-oxigeno-medicinal-de-acero-norris/" TargetMode="External"/><Relationship Id="rId187" Type="http://schemas.openxmlformats.org/officeDocument/2006/relationships/hyperlink" Target="https://www.falabella.com.pe/falabella-pe/product/136016854/Guillotina-A4-Oficio-Razer-Yide-color-azul-10-hojas/136016855" TargetMode="External"/><Relationship Id="rId186" Type="http://schemas.openxmlformats.org/officeDocument/2006/relationships/hyperlink" Target="https://www.falabella.com.pe/falabella-pe/product/136016854/Guillotina-A4-Oficio-Razer-Yide-color-azul-10-hojas/136016855" TargetMode="External"/><Relationship Id="rId185" Type="http://schemas.openxmlformats.org/officeDocument/2006/relationships/hyperlink" Target="https://www.wikus.de/es/productos/hojas-de-sierra-de-cinta/hojas-de-sierra-de-cinta-bimetalicas/proflex-m42" TargetMode="External"/><Relationship Id="rId184" Type="http://schemas.openxmlformats.org/officeDocument/2006/relationships/hyperlink" Target="https://www.wikus.de/es/productos/hojas-de-sierra-de-cinta/hojas-de-sierra-de-cinta-bimetalicas/proflex-m42" TargetMode="External"/><Relationship Id="rId189" Type="http://schemas.openxmlformats.org/officeDocument/2006/relationships/hyperlink" Target="https://www.falabella.com.pe/falabella-pe/product/136016854/Guillotina-A4-Oficio-Razer-Yide-color-azul-10-hojas/136016855" TargetMode="External"/><Relationship Id="rId188" Type="http://schemas.openxmlformats.org/officeDocument/2006/relationships/hyperlink" Target="https://www.falabella.com.pe/falabella-pe/product/136016854/Guillotina-A4-Oficio-Razer-Yide-color-azul-10-hojas/136016855" TargetMode="External"/><Relationship Id="rId183" Type="http://schemas.openxmlformats.org/officeDocument/2006/relationships/hyperlink" Target="https://www.promart.pe/carro-de-servicio-porta-herramientas-con-3-niveles-truper-11528-1000365598/p?gad_source=1&amp;gad_campaignid=17392014661&amp;gbraid=0AAAAADJIfALRcE3f16KPw_ELhMbCuZ0gE&amp;gclid..." TargetMode="External"/><Relationship Id="rId182" Type="http://schemas.openxmlformats.org/officeDocument/2006/relationships/hyperlink" Target="https://drive.google.com/file/d/126GiFTSxQRvebWXZeP8sOqYSK6sQCwq1/view?usp=sharing" TargetMode="External"/><Relationship Id="rId181" Type="http://schemas.openxmlformats.org/officeDocument/2006/relationships/hyperlink" Target="https://www.promart.pe/carro-de-servicio-porta-herramientas-con-3-niveles-truper-11528-1000365598/p?gad_source=1&amp;gad_campaignid=17392014661&amp;gbraid=0AAAAADJIfALRcE3f16KPw_ELhMbCuZ0gE&amp;gclid..." TargetMode="External"/><Relationship Id="rId180" Type="http://schemas.openxmlformats.org/officeDocument/2006/relationships/hyperlink" Target="https://www.promart.pe/carro-de-servicio-porta-herramientas-con-3-niveles-truper-11528-1000365598/p?gad_source=1&amp;gad_campaignid=17392014661&amp;gbraid=0AAAAADJIfALRcE3f16KPw_ELhMbCuZ0gE&amp;gclid..." TargetMode="External"/><Relationship Id="rId176" Type="http://schemas.openxmlformats.org/officeDocument/2006/relationships/hyperlink" Target="https://drive.google.com/file/d/126GiFTSxQRvebWXZeP8sOqYSK6sQCwq1/view?usp=sharing" TargetMode="External"/><Relationship Id="rId175" Type="http://schemas.openxmlformats.org/officeDocument/2006/relationships/hyperlink" Target="https://www.promart.pe/carro-de-servicio-porta-herramientas-con-3-niveles-truper-11528-1000365598/p?gad_source=1&amp;gad_campaignid=17392014661&amp;gbraid=0AAAAADJIfALRcE3f16KPw_ELhMbCuZ0gE&amp;gclid..." TargetMode="External"/><Relationship Id="rId174" Type="http://schemas.openxmlformats.org/officeDocument/2006/relationships/hyperlink" Target="https://www.equipoh.com/mobiliario-de-acero-inoxidable/carro-bandejero-de-panaderia-simple-irimar-1965.html?srsltid=AfmBOoqyjSijjxwMdLLeCVv7JVbln4YFZUMtkSHobk_fxbVHsOmvkM01" TargetMode="External"/><Relationship Id="rId173" Type="http://schemas.openxmlformats.org/officeDocument/2006/relationships/hyperlink" Target="https://www.equipoh.com/mobiliario-de-acero-inoxidable/carro-bandejero-de-panaderia-simple-irimar-1965.html?srsltid=AfmBOoqyjSijjxwMdLLeCVv7JVbln4YFZUMtkSHobk_fxbVHsOmvkM01" TargetMode="External"/><Relationship Id="rId179" Type="http://schemas.openxmlformats.org/officeDocument/2006/relationships/hyperlink" Target="https://drive.google.com/file/d/126GiFTSxQRvebWXZeP8sOqYSK6sQCwq1/view?usp=sharing" TargetMode="External"/><Relationship Id="rId178" Type="http://schemas.openxmlformats.org/officeDocument/2006/relationships/hyperlink" Target="https://www.promart.pe/carro-de-servicio-porta-herramientas-con-3-niveles-truper-11528-1000365598/p?gad_source=1&amp;gad_campaignid=17392014661&amp;gbraid=0AAAAADJIfALRcE3f16KPw_ELhMbCuZ0gE&amp;gclid..." TargetMode="External"/><Relationship Id="rId177" Type="http://schemas.openxmlformats.org/officeDocument/2006/relationships/hyperlink" Target="https://www.promart.pe/carro-de-servicio-porta-herramientas-con-3-niveles-truper-11528-1000365598/p?gad_source=1&amp;gad_campaignid=17392014661&amp;gbraid=0AAAAADJIfALRcE3f16KPw_ELhMbCuZ0gE&amp;gclid..." TargetMode="External"/><Relationship Id="rId1910" Type="http://schemas.openxmlformats.org/officeDocument/2006/relationships/hyperlink" Target="https://www.realplaza.com/guante-algodon-silicona-30-x-185-cm-1001167469/p" TargetMode="External"/><Relationship Id="rId1911" Type="http://schemas.openxmlformats.org/officeDocument/2006/relationships/hyperlink" Target="https://www.realplaza.com/guante-algodon-silicona-30-x-185-cm-1001167469/p" TargetMode="External"/><Relationship Id="rId1912" Type="http://schemas.openxmlformats.org/officeDocument/2006/relationships/hyperlink" Target="https://www.realplaza.com/guante-algodon-silicona-30-x-185-cm-1001167469/p" TargetMode="External"/><Relationship Id="rId1913" Type="http://schemas.openxmlformats.org/officeDocument/2006/relationships/hyperlink" Target="https://milkyday.es/producto/small-milk-pasteurizer-machine-milky-fj-15-230v/" TargetMode="External"/><Relationship Id="rId1914" Type="http://schemas.openxmlformats.org/officeDocument/2006/relationships/hyperlink" Target="https://drive.google.com/file/d/1YumjH1dqSq9zQh2IOFxKjooSTjVG5Zjn/view?usp=sharing" TargetMode="External"/><Relationship Id="rId1915" Type="http://schemas.openxmlformats.org/officeDocument/2006/relationships/hyperlink" Target="https://milkyday.es/producto/small-milk-pasteurizer-machine-milky-fj-15-230v/" TargetMode="External"/><Relationship Id="rId1916" Type="http://schemas.openxmlformats.org/officeDocument/2006/relationships/hyperlink" Target="https://drive.google.com/file/d/1YumjH1dqSq9zQh2IOFxKjooSTjVG5Zjn/view?usp=sharing" TargetMode="External"/><Relationship Id="rId1917" Type="http://schemas.openxmlformats.org/officeDocument/2006/relationships/hyperlink" Target="https://milkyday.es/producto/small-milk-pasteurizer-machine-milky-fj-15-230v/" TargetMode="External"/><Relationship Id="rId1918" Type="http://schemas.openxmlformats.org/officeDocument/2006/relationships/hyperlink" Target="https://drive.google.com/file/d/1YumjH1dqSq9zQh2IOFxKjooSTjVG5Zjn/view?usp=sharing" TargetMode="External"/><Relationship Id="rId1919" Type="http://schemas.openxmlformats.org/officeDocument/2006/relationships/hyperlink" Target="https://milkyday.es/producto/small-milk-pasteurizer-machine-milky-fj-15-230v/" TargetMode="External"/><Relationship Id="rId1900" Type="http://schemas.openxmlformats.org/officeDocument/2006/relationships/hyperlink" Target="https://drive.google.com/file/d/1smsejWelbeeNm5m84h0CXELJAnFS_E23/view?usp=sharing" TargetMode="External"/><Relationship Id="rId1901" Type="http://schemas.openxmlformats.org/officeDocument/2006/relationships/hyperlink" Target="https://articulo.mercadolibre.com.pe/MPE-669557120-guante-resistente-arcliber-a-cortes-nivel-9-de-malla-_JM" TargetMode="External"/><Relationship Id="rId1902" Type="http://schemas.openxmlformats.org/officeDocument/2006/relationships/hyperlink" Target="https://drive.google.com/file/d/1smsejWelbeeNm5m84h0CXELJAnFS_E23/view?usp=sharing" TargetMode="External"/><Relationship Id="rId1903" Type="http://schemas.openxmlformats.org/officeDocument/2006/relationships/hyperlink" Target="https://es.rs-online.com/web/p/guantes-de-trabajo/2878037" TargetMode="External"/><Relationship Id="rId1904" Type="http://schemas.openxmlformats.org/officeDocument/2006/relationships/hyperlink" Target="https://drive.google.com/file/d/11F5R4ypTdmhmmiHiHWjqwfRy0lUyv9oY/view?usp=sharing" TargetMode="External"/><Relationship Id="rId1905" Type="http://schemas.openxmlformats.org/officeDocument/2006/relationships/hyperlink" Target="https://es.rs-online.com/web/p/guantes-de-trabajo/2878037" TargetMode="External"/><Relationship Id="rId1906" Type="http://schemas.openxmlformats.org/officeDocument/2006/relationships/hyperlink" Target="https://drive.google.com/file/d/11F5R4ypTdmhmmiHiHWjqwfRy0lUyv9oY/view?usp=sharing" TargetMode="External"/><Relationship Id="rId1907" Type="http://schemas.openxmlformats.org/officeDocument/2006/relationships/hyperlink" Target="https://es.rs-online.com/web/p/guantes-de-trabajo/2878037" TargetMode="External"/><Relationship Id="rId1908" Type="http://schemas.openxmlformats.org/officeDocument/2006/relationships/hyperlink" Target="https://drive.google.com/file/d/11F5R4ypTdmhmmiHiHWjqwfRy0lUyv9oY/view?usp=sharing" TargetMode="External"/><Relationship Id="rId1909" Type="http://schemas.openxmlformats.org/officeDocument/2006/relationships/hyperlink" Target="https://www.realplaza.com/guante-algodon-silicona-30-x-185-cm-1001167469/p" TargetMode="External"/><Relationship Id="rId198" Type="http://schemas.openxmlformats.org/officeDocument/2006/relationships/hyperlink" Target="https://es.made-in-china.com/co_ipsp-chn/product_Cast-Aluminum-Potato-Chips-Cutting-Machine_hoysyoniu.html" TargetMode="External"/><Relationship Id="rId197" Type="http://schemas.openxmlformats.org/officeDocument/2006/relationships/hyperlink" Target="https://www.facusa.com.pe/accesorios-de-cocina/579-cortador-de-huevos.html?srsltid=AfmBOooh8JUgXIR_3aJBL-0NPgCvNow2HnBgb4uX1LIRxggET9YUnCKO" TargetMode="External"/><Relationship Id="rId196" Type="http://schemas.openxmlformats.org/officeDocument/2006/relationships/hyperlink" Target="https://docs.google.com/spreadsheets/d/1QFNYMDEYmYaWC31o7LTF19RQn8zCKHMs6sp3UisnU8E/edit?gid=0" TargetMode="External"/><Relationship Id="rId195" Type="http://schemas.openxmlformats.org/officeDocument/2006/relationships/hyperlink" Target="https://www.toolteam.com/en-GB/bgs-piston-ring-compressor-set-1890-t-582740-4026947018906" TargetMode="External"/><Relationship Id="rId199" Type="http://schemas.openxmlformats.org/officeDocument/2006/relationships/hyperlink" Target="https://www.amazon.com/-/es/CASOMAN-pulgadas-incluye-extensi%C3%B3n-universal/dp/B0C9HZKW3Q?th=1" TargetMode="External"/><Relationship Id="rId150" Type="http://schemas.openxmlformats.org/officeDocument/2006/relationships/hyperlink" Target="https://lacasadelabalanzaperu.com/producto/balanza-gramera-brd-de-5-kilos/?srsltid=AfmBOoqESFO4ybWNXMKI8ni8CSFROATsEcEQxFdxgt7due_hwv2yVsh2" TargetMode="External"/><Relationship Id="rId149" Type="http://schemas.openxmlformats.org/officeDocument/2006/relationships/hyperlink" Target="https://lacasadelabalanzaperu.com/producto/balanza-gramera-brd-de-5-kilos/?srsltid=AfmBOoqESFO4ybWNXMKI8ni8CSFROATsEcEQxFdxgt7due_hwv2yVsh2" TargetMode="External"/><Relationship Id="rId148" Type="http://schemas.openxmlformats.org/officeDocument/2006/relationships/hyperlink" Target="https://lacasadelabalanzaperu.com/producto/balanza-gramera-brd-de-5-kilos/?srsltid=AfmBOoqESFO4ybWNXMKI8ni8CSFROATsEcEQxFdxgt7due_hwv2yVsh2" TargetMode="External"/><Relationship Id="rId1090" Type="http://schemas.openxmlformats.org/officeDocument/2006/relationships/hyperlink" Target="https://drive.google.com/file/d/1JMrFZxWT0THeoiAHcfRrYaRuA6uVtNPj/view" TargetMode="External"/><Relationship Id="rId1091" Type="http://schemas.openxmlformats.org/officeDocument/2006/relationships/hyperlink" Target="https://drive.google.com/file/d/1JMrFZxWT0THeoiAHcfRrYaRuA6uVtNPj/view" TargetMode="External"/><Relationship Id="rId1092" Type="http://schemas.openxmlformats.org/officeDocument/2006/relationships/hyperlink" Target="https://www.nexxtsolutions.com/es/infraestructura/interna-productos/AW250NXT11-es/" TargetMode="External"/><Relationship Id="rId1093" Type="http://schemas.openxmlformats.org/officeDocument/2006/relationships/hyperlink" Target="https://www.nexxtsolutions.com/es/infraestructura/interna-productos/AW250NXT11-es/" TargetMode="External"/><Relationship Id="rId1094" Type="http://schemas.openxmlformats.org/officeDocument/2006/relationships/hyperlink" Target="https://www.nexxtsolutions.com/es/infraestructura/interna-productos/AW250NXT11-es/" TargetMode="External"/><Relationship Id="rId143" Type="http://schemas.openxmlformats.org/officeDocument/2006/relationships/hyperlink" Target="https://opalux.lifestore.pe/producto/balanza-electronica-digital-de-mesa-40kgs-opalux-lcd-recargable-con-brazo-y-bateria-4v4ah-220v/" TargetMode="External"/><Relationship Id="rId1095" Type="http://schemas.openxmlformats.org/officeDocument/2006/relationships/hyperlink" Target="https://www.nexxtsolutions.com/es/infraestructura/interna-productos/AW250NXT11-es/" TargetMode="External"/><Relationship Id="rId142" Type="http://schemas.openxmlformats.org/officeDocument/2006/relationships/hyperlink" Target="https://opalux.lifestore.pe/producto/balanza-electronica-digital-de-mesa-40kgs-opalux-lcd-recargable-con-brazo-y-bateria-4v4ah-220v/" TargetMode="External"/><Relationship Id="rId1096" Type="http://schemas.openxmlformats.org/officeDocument/2006/relationships/hyperlink" Target="https://drive.google.com/file/d/1lOCqTSkGStci5iYaJZ6XbYswFfppS0uY/view" TargetMode="External"/><Relationship Id="rId141" Type="http://schemas.openxmlformats.org/officeDocument/2006/relationships/hyperlink" Target="https://opalux.lifestore.pe/producto/balanza-electronica-digital-de-mesa-40kgs-opalux-lcd-recargable-con-brazo-y-bateria-4v4ah-220v/" TargetMode="External"/><Relationship Id="rId1097" Type="http://schemas.openxmlformats.org/officeDocument/2006/relationships/hyperlink" Target="https://drive.google.com/file/d/1lOCqTSkGStci5iYaJZ6XbYswFfppS0uY/view" TargetMode="External"/><Relationship Id="rId140" Type="http://schemas.openxmlformats.org/officeDocument/2006/relationships/hyperlink" Target="https://opalux.lifestore.pe/producto/balanza-electronica-digital-de-mesa-40kgs-opalux-lcd-recargable-con-brazo-y-bateria-4v4ah-220v/" TargetMode="External"/><Relationship Id="rId1098" Type="http://schemas.openxmlformats.org/officeDocument/2006/relationships/hyperlink" Target="https://drive.google.com/file/d/1lOCqTSkGStci5iYaJZ6XbYswFfppS0uY/view" TargetMode="External"/><Relationship Id="rId147" Type="http://schemas.openxmlformats.org/officeDocument/2006/relationships/hyperlink" Target="https://lacasadelabalanzaperu.com/producto/balanza-gramera-brd-de-5-kilos/?srsltid=AfmBOoqESFO4ybWNXMKI8ni8CSFROATsEcEQxFdxgt7due_hwv2yVsh2" TargetMode="External"/><Relationship Id="rId1099" Type="http://schemas.openxmlformats.org/officeDocument/2006/relationships/hyperlink" Target="https://rodavigo.net/datos/articulos/534/juego-alicates-irimo-1.pdf" TargetMode="External"/><Relationship Id="rId146" Type="http://schemas.openxmlformats.org/officeDocument/2006/relationships/hyperlink" Target="https://opalux.lifestore.pe/producto/balanza-electronica-digital-de-mesa-40kgs-opalux-lcd-recargable-con-brazo-y-bateria-4v4ah-220v/" TargetMode="External"/><Relationship Id="rId145" Type="http://schemas.openxmlformats.org/officeDocument/2006/relationships/hyperlink" Target="https://opalux.lifestore.pe/producto/balanza-electronica-digital-de-mesa-40kgs-opalux-lcd-recargable-con-brazo-y-bateria-4v4ah-220v/" TargetMode="External"/><Relationship Id="rId144" Type="http://schemas.openxmlformats.org/officeDocument/2006/relationships/hyperlink" Target="https://opalux.lifestore.pe/producto/balanza-electronica-digital-de-mesa-40kgs-opalux-lcd-recargable-con-brazo-y-bateria-4v4ah-220v/" TargetMode="External"/><Relationship Id="rId139" Type="http://schemas.openxmlformats.org/officeDocument/2006/relationships/hyperlink" Target="https://opalux.lifestore.pe/producto/balanza-electronica-digital-de-mesa-40kgs-opalux-lcd-recargable-con-brazo-y-bateria-4v4ah-220v/" TargetMode="External"/><Relationship Id="rId138" Type="http://schemas.openxmlformats.org/officeDocument/2006/relationships/hyperlink" Target="https://www.amazon.com/-/es/Ohaus-Escala-Valor-4000-V41XWE3T/dp/B00K5UJPWO" TargetMode="External"/><Relationship Id="rId137" Type="http://schemas.openxmlformats.org/officeDocument/2006/relationships/hyperlink" Target="https://drive.google.com/file/d/1qtiGw4XhEPgx5pPOZLb0hhPFJLnKBfsM/view?usp=sharing" TargetMode="External"/><Relationship Id="rId1080" Type="http://schemas.openxmlformats.org/officeDocument/2006/relationships/hyperlink" Target="https://drive.google.com/file/d/1kTsu-g8lW6sxvLjbZ6s6TkJ1hGSaQWua/view" TargetMode="External"/><Relationship Id="rId1081" Type="http://schemas.openxmlformats.org/officeDocument/2006/relationships/hyperlink" Target="https://drive.google.com/file/d/1kTsu-g8lW6sxvLjbZ6s6TkJ1hGSaQWua/view" TargetMode="External"/><Relationship Id="rId1082" Type="http://schemas.openxmlformats.org/officeDocument/2006/relationships/hyperlink" Target="https://drive.google.com/file/d/1kTsu-g8lW6sxvLjbZ6s6TkJ1hGSaQWua/view" TargetMode="External"/><Relationship Id="rId1083" Type="http://schemas.openxmlformats.org/officeDocument/2006/relationships/hyperlink" Target="https://drive.google.com/file/d/1UT764cX0OlKmGI7J1vo-oLN7DVoptuOI/view" TargetMode="External"/><Relationship Id="rId132" Type="http://schemas.openxmlformats.org/officeDocument/2006/relationships/hyperlink" Target="https://www.amazon.com/-/es/Ohaus-Escala-Valor-4000-V41XWE3T/dp/B00K5UJPWO" TargetMode="External"/><Relationship Id="rId1084" Type="http://schemas.openxmlformats.org/officeDocument/2006/relationships/hyperlink" Target="https://drive.google.com/file/d/1UT764cX0OlKmGI7J1vo-oLN7DVoptuOI/view?usp=drive_link" TargetMode="External"/><Relationship Id="rId131" Type="http://schemas.openxmlformats.org/officeDocument/2006/relationships/hyperlink" Target="https://drive.google.com/file/d/1qtiGw4XhEPgx5pPOZLb0hhPFJLnKBfsM/view?usp=sharing" TargetMode="External"/><Relationship Id="rId1085" Type="http://schemas.openxmlformats.org/officeDocument/2006/relationships/hyperlink" Target="https://drive.google.com/file/d/1UT764cX0OlKmGI7J1vo-oLN7DVoptuOI/view" TargetMode="External"/><Relationship Id="rId130" Type="http://schemas.openxmlformats.org/officeDocument/2006/relationships/hyperlink" Target="https://eu-es.ohaus.com/es-eu/products/balances-scales/bench-scales/valor-4000/v41xwe3t" TargetMode="External"/><Relationship Id="rId1086" Type="http://schemas.openxmlformats.org/officeDocument/2006/relationships/hyperlink" Target="https://drive.google.com/file/d/1UT764cX0OlKmGI7J1vo-oLN7DVoptuOI/view?usp=drive_link" TargetMode="External"/><Relationship Id="rId1087" Type="http://schemas.openxmlformats.org/officeDocument/2006/relationships/hyperlink" Target="https://drive.google.com/file/d/1UT764cX0OlKmGI7J1vo-oLN7DVoptuOI/view" TargetMode="External"/><Relationship Id="rId136" Type="http://schemas.openxmlformats.org/officeDocument/2006/relationships/hyperlink" Target="https://eu-es.ohaus.com/es-eu/products/balances-scales/bench-scales/valor-4000/v41xwe3t" TargetMode="External"/><Relationship Id="rId1088" Type="http://schemas.openxmlformats.org/officeDocument/2006/relationships/hyperlink" Target="https://drive.google.com/file/d/1UT764cX0OlKmGI7J1vo-oLN7DVoptuOI/view?usp=drive_link" TargetMode="External"/><Relationship Id="rId135" Type="http://schemas.openxmlformats.org/officeDocument/2006/relationships/hyperlink" Target="https://www.amazon.com/-/es/Ohaus-Escala-Valor-4000-V41XWE3T/dp/B00K5UJPWO" TargetMode="External"/><Relationship Id="rId1089" Type="http://schemas.openxmlformats.org/officeDocument/2006/relationships/hyperlink" Target="https://drive.google.com/file/d/1JMrFZxWT0THeoiAHcfRrYaRuA6uVtNPj/view" TargetMode="External"/><Relationship Id="rId134" Type="http://schemas.openxmlformats.org/officeDocument/2006/relationships/hyperlink" Target="https://drive.google.com/file/d/1qtiGw4XhEPgx5pPOZLb0hhPFJLnKBfsM/view?usp=sharing" TargetMode="External"/><Relationship Id="rId133" Type="http://schemas.openxmlformats.org/officeDocument/2006/relationships/hyperlink" Target="https://eu-es.ohaus.com/es-eu/products/balances-scales/bench-scales/valor-4000/v41xwe3t" TargetMode="External"/><Relationship Id="rId172" Type="http://schemas.openxmlformats.org/officeDocument/2006/relationships/hyperlink" Target="https://www.equipoh.com/mobiliario-de-acero-inoxidable/carro-bandejero-de-panaderia-simple-irimar-1965.html?srsltid=AfmBOoqyjSijjxwMdLLeCVv7JVbln4YFZUMtkSHobk_fxbVHsOmvkM01" TargetMode="External"/><Relationship Id="rId171" Type="http://schemas.openxmlformats.org/officeDocument/2006/relationships/hyperlink" Target="https://www.equipoh.com/mobiliario-de-acero-inoxidable/carro-bandejero-de-panaderia-simple-irimar-1965.html?srsltid=AfmBOoqyjSijjxwMdLLeCVv7JVbln4YFZUMtkSHobk_fxbVHsOmvkM01" TargetMode="External"/><Relationship Id="rId170" Type="http://schemas.openxmlformats.org/officeDocument/2006/relationships/hyperlink" Target="https://www.denios.es/carrito-multiusos-en-plastico-tubos-de-aluminio-cepillado-2-pisos-180037/180037?13=1" TargetMode="External"/><Relationship Id="rId165" Type="http://schemas.openxmlformats.org/officeDocument/2006/relationships/hyperlink" Target="https://www.truper.com/ficha_tecnica_pdf/views/ficha-print.php?id=256753" TargetMode="External"/><Relationship Id="rId164" Type="http://schemas.openxmlformats.org/officeDocument/2006/relationships/hyperlink" Target="https://www.truper.com/ficha_tecnica/Bascula-digital-de-precision-de-bolsillo-500g-Truper.html?code=102316" TargetMode="External"/><Relationship Id="rId163" Type="http://schemas.openxmlformats.org/officeDocument/2006/relationships/hyperlink" Target="https://www.truper.com/ficha_tecnica_pdf/views/ficha-print.php?id=256753" TargetMode="External"/><Relationship Id="rId162" Type="http://schemas.openxmlformats.org/officeDocument/2006/relationships/hyperlink" Target="https://www.truper.com/ficha_tecnica/Bascula-digital-de-precision-de-bolsillo-500g-Truper.html?code=102316" TargetMode="External"/><Relationship Id="rId169" Type="http://schemas.openxmlformats.org/officeDocument/2006/relationships/hyperlink" Target="https://www.denios.es/carrito-multiusos-en-plastico-tubos-de-aluminio-cepillado-2-pisos-180037/180037?13=1" TargetMode="External"/><Relationship Id="rId168" Type="http://schemas.openxmlformats.org/officeDocument/2006/relationships/hyperlink" Target="https://www.denios.es/carrito-multiusos-en-plastico-tubos-de-aluminio-cepillado-2-pisos-180037/180037?13=1" TargetMode="External"/><Relationship Id="rId167" Type="http://schemas.openxmlformats.org/officeDocument/2006/relationships/hyperlink" Target="https://www.truper.com/ficha_tecnica_pdf/views/ficha-print.php?id=256753" TargetMode="External"/><Relationship Id="rId166" Type="http://schemas.openxmlformats.org/officeDocument/2006/relationships/hyperlink" Target="https://www.truper.com/ficha_tecnica/Bascula-digital-de-precision-de-bolsillo-500g-Truper.html?code=102316" TargetMode="External"/><Relationship Id="rId161" Type="http://schemas.openxmlformats.org/officeDocument/2006/relationships/hyperlink" Target="https://www.truper.com/ficha_tecnica_pdf/views/ficha-print.php?id=256753" TargetMode="External"/><Relationship Id="rId160" Type="http://schemas.openxmlformats.org/officeDocument/2006/relationships/hyperlink" Target="https://www.truper.com/ficha_tecnica/Bascula-digital-de-precision-de-bolsillo-500g-Truper.html?code=102316" TargetMode="External"/><Relationship Id="rId159" Type="http://schemas.openxmlformats.org/officeDocument/2006/relationships/hyperlink" Target="https://balanzasprecisur.com/balanzas-comerciales/balanza-torrey-pcr-40t-de-40-kilos/" TargetMode="External"/><Relationship Id="rId154" Type="http://schemas.openxmlformats.org/officeDocument/2006/relationships/hyperlink" Target="https://balanzasprecisur.com/balanzas-comerciales/balanza-torrey-pcr-40t-de-40-kilos/" TargetMode="External"/><Relationship Id="rId153" Type="http://schemas.openxmlformats.org/officeDocument/2006/relationships/hyperlink" Target="https://balanzasprecisur.com/balanzas-comerciales/balanza-torrey-pcr-40t-de-40-kilos/" TargetMode="External"/><Relationship Id="rId152" Type="http://schemas.openxmlformats.org/officeDocument/2006/relationships/hyperlink" Target="https://balanzasprecisur.com/balanzas-comerciales/balanza-torrey-pcr-40t-de-40-kilos/" TargetMode="External"/><Relationship Id="rId151" Type="http://schemas.openxmlformats.org/officeDocument/2006/relationships/hyperlink" Target="https://balanzasprecisur.com/balanzas-comerciales/balanza-torrey-pcr-40t-de-40-kilos/" TargetMode="External"/><Relationship Id="rId158" Type="http://schemas.openxmlformats.org/officeDocument/2006/relationships/hyperlink" Target="https://balanzasprecisur.com/balanzas-comerciales/balanza-torrey-pcr-40t-de-40-kilos/" TargetMode="External"/><Relationship Id="rId157" Type="http://schemas.openxmlformats.org/officeDocument/2006/relationships/hyperlink" Target="https://balanzasprecisur.com/balanzas-comerciales/balanza-torrey-pcr-40t-de-40-kilos/" TargetMode="External"/><Relationship Id="rId156" Type="http://schemas.openxmlformats.org/officeDocument/2006/relationships/hyperlink" Target="https://balanzasprecisur.com/balanzas-comerciales/balanza-torrey-pcr-40t-de-40-kilos/" TargetMode="External"/><Relationship Id="rId155" Type="http://schemas.openxmlformats.org/officeDocument/2006/relationships/hyperlink" Target="https://balanzasprecisur.com/balanzas-comerciales/balanza-torrey-pcr-40t-de-40-kilos/" TargetMode="External"/><Relationship Id="rId1972" Type="http://schemas.openxmlformats.org/officeDocument/2006/relationships/hyperlink" Target="https://drive.google.com/file/d/18ysGLa5KXQRVhyt5rQjRC-BCIgAkGcic/view?usp=sharing" TargetMode="External"/><Relationship Id="rId1973" Type="http://schemas.openxmlformats.org/officeDocument/2006/relationships/hyperlink" Target="https://www.kusitest.pe/pinza-amperimetrica-true-rms-1000a-acdc-ncv-auto-rango-habotest-ht208d" TargetMode="External"/><Relationship Id="rId1974" Type="http://schemas.openxmlformats.org/officeDocument/2006/relationships/hyperlink" Target="https://drive.google.com/file/d/1oTMG0ly8lx48iyVd3lbXBKitpRDWAtI1/view" TargetMode="External"/><Relationship Id="rId1975" Type="http://schemas.openxmlformats.org/officeDocument/2006/relationships/hyperlink" Target="https://www.kusitest.pe/pinza-amperimetrica-true-rms-1000a-acdc-ncv-auto-rango-habotest-ht208d" TargetMode="External"/><Relationship Id="rId1976" Type="http://schemas.openxmlformats.org/officeDocument/2006/relationships/hyperlink" Target="https://drive.google.com/file/d/1oTMG0ly8lx48iyVd3lbXBKitpRDWAtI1/view" TargetMode="External"/><Relationship Id="rId1977" Type="http://schemas.openxmlformats.org/officeDocument/2006/relationships/hyperlink" Target="https://www.habotest.com/sale-13562580-digital-clamp-meter-ht208d-6000counts-habotest-voltage-1000v-ohm-hz-temperature-ncv-vfd-current-duty.html" TargetMode="External"/><Relationship Id="rId1978" Type="http://schemas.openxmlformats.org/officeDocument/2006/relationships/hyperlink" Target="https://drive.google.com/file/d/1ZcIyJ307soywpRqfb3dCkef_eeqYa3Uv/view" TargetMode="External"/><Relationship Id="rId1979" Type="http://schemas.openxmlformats.org/officeDocument/2006/relationships/hyperlink" Target="https://www.uysa.com.pe/jarra-pvc-2-lt-transp-graduada-basa-70094018/p?srsltid=AfmBOoqQBwv2HJxzEkspl18l-0ryrEQNmRcxfVrw_fCrjdx11AV6GD6F" TargetMode="External"/><Relationship Id="rId1970" Type="http://schemas.openxmlformats.org/officeDocument/2006/relationships/hyperlink" Target="https://drive.google.com/file/d/1oTMG0ly8lx48iyVd3lbXBKitpRDWAtI1/view" TargetMode="External"/><Relationship Id="rId1971" Type="http://schemas.openxmlformats.org/officeDocument/2006/relationships/hyperlink" Target="https://www.amazon.com/Klein-Tools-CL120KIT-Electrical-Auto-Ranging/dp/B08DSX4B27" TargetMode="External"/><Relationship Id="rId1961" Type="http://schemas.openxmlformats.org/officeDocument/2006/relationships/hyperlink" Target="https://www.uysa.com.pe/jarra-pvc-2-lt-transp-graduada-basa-70094018/p?srsltid=AfmBOoqQBwv2HJxzEkspl18l-0ryrEQNmRcxfVrw_fCrjdx11AV6GD6F" TargetMode="External"/><Relationship Id="rId1962" Type="http://schemas.openxmlformats.org/officeDocument/2006/relationships/hyperlink" Target="https://www.se.com/pe/es/product/XB4BVM4/luz-piloto-metalico-%C3%B8-22mm-rojo-led-integrado-230-240v-ca/" TargetMode="External"/><Relationship Id="rId1963" Type="http://schemas.openxmlformats.org/officeDocument/2006/relationships/hyperlink" Target="https://www.se.com/pe/es/product/XB4BVM4/luz-piloto-metalico-%C3%B8-22mm-rojo-led-integrado-230-240v-ca/" TargetMode="External"/><Relationship Id="rId1964" Type="http://schemas.openxmlformats.org/officeDocument/2006/relationships/hyperlink" Target="https://www.se.com/pe/es/product/XB4BVM4/luz-piloto-metalico-%C3%B8-22mm-rojo-led-integrado-230-240v-ca/" TargetMode="External"/><Relationship Id="rId1965" Type="http://schemas.openxmlformats.org/officeDocument/2006/relationships/hyperlink" Target="https://www.amazon.com/Klein-Tools-CL120KIT-Electrical-Auto-Ranging/dp/B08DSX4B27" TargetMode="External"/><Relationship Id="rId1966" Type="http://schemas.openxmlformats.org/officeDocument/2006/relationships/hyperlink" Target="https://drive.google.com/file/d/18ysGLa5KXQRVhyt5rQjRC-BCIgAkGcic/view?usp=sharing" TargetMode="External"/><Relationship Id="rId1967" Type="http://schemas.openxmlformats.org/officeDocument/2006/relationships/hyperlink" Target="https://www.amazon.com/Klein-Tools-CL120KIT-Electrical-Auto-Ranging/dp/B08DSX4B27" TargetMode="External"/><Relationship Id="rId1968" Type="http://schemas.openxmlformats.org/officeDocument/2006/relationships/hyperlink" Target="https://drive.google.com/file/d/18ysGLa5KXQRVhyt5rQjRC-BCIgAkGcic/view?usp=sharing" TargetMode="External"/><Relationship Id="rId1969" Type="http://schemas.openxmlformats.org/officeDocument/2006/relationships/hyperlink" Target="https://www.kusitest.pe/pinza-amperimetrica-true-rms-1000a-acdc-ncv-auto-rango-habotest-ht208d" TargetMode="External"/><Relationship Id="rId1960" Type="http://schemas.openxmlformats.org/officeDocument/2006/relationships/hyperlink" Target="https://www.uysa.com.pe/jarra-pvc-2-lt-transp-graduada-basa-70094018/p?srsltid=AfmBOoqQBwv2HJxzEkspl18l-0ryrEQNmRcxfVrw_fCrjdx11AV6GD6F" TargetMode="External"/><Relationship Id="rId1510" Type="http://schemas.openxmlformats.org/officeDocument/2006/relationships/hyperlink" Target="https://drive.google.com/file/d/1pr-p_4UQyf3qQt43Dds_N142IuFfCXDk/view" TargetMode="External"/><Relationship Id="rId1994" Type="http://schemas.openxmlformats.org/officeDocument/2006/relationships/hyperlink" Target="https://cahema.pe/acoples-y-conectores/16739-conector-rapido-de-14-macho-27023-pretul.html" TargetMode="External"/><Relationship Id="rId1511" Type="http://schemas.openxmlformats.org/officeDocument/2006/relationships/hyperlink" Target="https://drive.google.com/file/d/1pr-p_4UQyf3qQt43Dds_N142IuFfCXDk/view" TargetMode="External"/><Relationship Id="rId1995" Type="http://schemas.openxmlformats.org/officeDocument/2006/relationships/hyperlink" Target="https://www.viewsonic.com/la/products/ifp7550.html" TargetMode="External"/><Relationship Id="rId1512" Type="http://schemas.openxmlformats.org/officeDocument/2006/relationships/hyperlink" Target="https://drive.google.com/file/d/1pr-p_4UQyf3qQt43Dds_N142IuFfCXDk/view" TargetMode="External"/><Relationship Id="rId1996" Type="http://schemas.openxmlformats.org/officeDocument/2006/relationships/hyperlink" Target="https://www.viewsonic.com/la/products/ifp7550.html" TargetMode="External"/><Relationship Id="rId1513" Type="http://schemas.openxmlformats.org/officeDocument/2006/relationships/hyperlink" Target="https://drive.google.com/file/d/1pr-p_4UQyf3qQt43Dds_N142IuFfCXDk/view" TargetMode="External"/><Relationship Id="rId1997" Type="http://schemas.openxmlformats.org/officeDocument/2006/relationships/hyperlink" Target="https://www.viewsonic.com/la/products/ifp7550.html" TargetMode="External"/><Relationship Id="rId1514" Type="http://schemas.openxmlformats.org/officeDocument/2006/relationships/hyperlink" Target="https://www.janome.com/product/memory-craft-9850/" TargetMode="External"/><Relationship Id="rId1998" Type="http://schemas.openxmlformats.org/officeDocument/2006/relationships/hyperlink" Target="https://www.viewsonic.com/la/products/ifp7550.html" TargetMode="External"/><Relationship Id="rId1515" Type="http://schemas.openxmlformats.org/officeDocument/2006/relationships/hyperlink" Target="https://drive.google.com/file/d/10VjmSdV8yuPQkuDC8a-wJHXuPXDa4mqa/view" TargetMode="External"/><Relationship Id="rId1999" Type="http://schemas.openxmlformats.org/officeDocument/2006/relationships/hyperlink" Target="https://www.viewsonic.com/la/products/ifp7550.html" TargetMode="External"/><Relationship Id="rId1516" Type="http://schemas.openxmlformats.org/officeDocument/2006/relationships/hyperlink" Target="https://www.janome.com/product/memory-craft-9850/" TargetMode="External"/><Relationship Id="rId1517" Type="http://schemas.openxmlformats.org/officeDocument/2006/relationships/hyperlink" Target="https://drive.google.com/file/d/10VjmSdV8yuPQkuDC8a-wJHXuPXDa4mqa/view" TargetMode="External"/><Relationship Id="rId1518" Type="http://schemas.openxmlformats.org/officeDocument/2006/relationships/hyperlink" Target="https://famatex.pe/recta-juki-ddl-8700.php" TargetMode="External"/><Relationship Id="rId1519" Type="http://schemas.openxmlformats.org/officeDocument/2006/relationships/hyperlink" Target="https://famatex.pe/recta-juki-ddl-8700.php" TargetMode="External"/><Relationship Id="rId1990" Type="http://schemas.openxmlformats.org/officeDocument/2006/relationships/hyperlink" Target="https://drive.google.com/file/d/1IYXD0nftHEpo1mpCj0a3gMcunn19KV2x/view?usp=drive_link" TargetMode="External"/><Relationship Id="rId1991" Type="http://schemas.openxmlformats.org/officeDocument/2006/relationships/hyperlink" Target="https://cahema.pe/acoples-y-conectores/16739-conector-rapido-de-14-macho-27023-pretul.html" TargetMode="External"/><Relationship Id="rId1992" Type="http://schemas.openxmlformats.org/officeDocument/2006/relationships/hyperlink" Target="https://miltonindustries.com/collections/air-blow-guns/products/colorfitr-by-milton-s-148tc-1-4-npt-lever-blow-gun-tool-rubber-tip-nozzle-blue?_pos=3&amp;_fid=511a843e2&amp;_ss=c" TargetMode="External"/><Relationship Id="rId1993" Type="http://schemas.openxmlformats.org/officeDocument/2006/relationships/hyperlink" Target="https://drive.google.com/file/d/1IYXD0nftHEpo1mpCj0a3gMcunn19KV2x/view?usp=drive_link" TargetMode="External"/><Relationship Id="rId1983" Type="http://schemas.openxmlformats.org/officeDocument/2006/relationships/hyperlink" Target="https://www.uysa.com.pe/jarra-pvc-2-lt-transp-graduada-basa-70094018/p?srsltid=AfmBOoqQBwv2HJxzEkspl18l-0ryrEQNmRcxfVrw_fCrjdx11AV6GD6F" TargetMode="External"/><Relationship Id="rId1500" Type="http://schemas.openxmlformats.org/officeDocument/2006/relationships/hyperlink" Target="https://docs.google.com/spreadsheets/d/1gBECIU4fEOXz0PLULtMRNokcx6tnWYchzkFxJYEi4oo/edit?gid=0" TargetMode="External"/><Relationship Id="rId1984" Type="http://schemas.openxmlformats.org/officeDocument/2006/relationships/hyperlink" Target="https://www.uysa.com.pe/jarra-pvc-2-lt-transp-graduada-basa-70094018/p?srsltid=AfmBOoqQBwv2HJxzEkspl18l-0ryrEQNmRcxfVrw_fCrjdx11AV6GD6F" TargetMode="External"/><Relationship Id="rId1501" Type="http://schemas.openxmlformats.org/officeDocument/2006/relationships/hyperlink" Target="https://www.alibaba.com/product-detail/Original-Mitutoyo-Made-in-Japan-293_1601109926966.html?spm=a2700.galleryofferlist.normal_offer.d_image.1b3c13a0XUKVC0&amp;priceId=a68b0a977d72496eab70d27dc1ca2551" TargetMode="External"/><Relationship Id="rId1985" Type="http://schemas.openxmlformats.org/officeDocument/2006/relationships/hyperlink" Target="https://drive.google.com/file/d/1Pd58EknH7_10dHS9T8lb0qHbk3MR88-O/view?usp=drive_link" TargetMode="External"/><Relationship Id="rId1502" Type="http://schemas.openxmlformats.org/officeDocument/2006/relationships/hyperlink" Target="https://www.promart.pe/escobilla-de-lavanderia/p" TargetMode="External"/><Relationship Id="rId1986" Type="http://schemas.openxmlformats.org/officeDocument/2006/relationships/hyperlink" Target="https://drive.google.com/file/d/1Pd58EknH7_10dHS9T8lb0qHbk3MR88-O/view?usp=drive_link" TargetMode="External"/><Relationship Id="rId1503" Type="http://schemas.openxmlformats.org/officeDocument/2006/relationships/hyperlink" Target="https://www.promart.pe/escobilla-de-lavanderia/p" TargetMode="External"/><Relationship Id="rId1987" Type="http://schemas.openxmlformats.org/officeDocument/2006/relationships/hyperlink" Target="https://articulo.mercadolibre.com.pe/MPE-627995224-pistola-de-soldar-weller-de-140100w-original-220v-_JM" TargetMode="External"/><Relationship Id="rId1504" Type="http://schemas.openxmlformats.org/officeDocument/2006/relationships/hyperlink" Target="https://drive.google.com/file/d/1BZ2N5EASu7KqA43xkUocI7QoYhjba-W1/view" TargetMode="External"/><Relationship Id="rId1988" Type="http://schemas.openxmlformats.org/officeDocument/2006/relationships/hyperlink" Target="https://www.mercadolibre.com.pe/limpiador-de-puntas-metalico-para-cautin--takema/up/MPEU2463401498?has_official_store=false&amp;highlight=false&amp;headerTopBrand=false" TargetMode="External"/><Relationship Id="rId1505" Type="http://schemas.openxmlformats.org/officeDocument/2006/relationships/hyperlink" Target="https://drive.google.com/file/d/1Fqlrnerg5z0ZZDjz0DYTLjtJtuk9rroT/view?usp=sharing" TargetMode="External"/><Relationship Id="rId1989" Type="http://schemas.openxmlformats.org/officeDocument/2006/relationships/hyperlink" Target="https://miltonindustries.com/collections/air-blow-guns/products/colorfitr-by-milton-s-148tc-1-4-npt-lever-blow-gun-tool-rubber-tip-nozzle-blue?_pos=3&amp;_fid=511a843e2&amp;_ss=c" TargetMode="External"/><Relationship Id="rId1506" Type="http://schemas.openxmlformats.org/officeDocument/2006/relationships/hyperlink" Target="https://drive.google.com/file/d/1BZ2N5EASu7KqA43xkUocI7QoYhjba-W1/view" TargetMode="External"/><Relationship Id="rId1507" Type="http://schemas.openxmlformats.org/officeDocument/2006/relationships/hyperlink" Target="https://drive.google.com/file/d/1Fqlrnerg5z0ZZDjz0DYTLjtJtuk9rroT/view?usp=sharing" TargetMode="External"/><Relationship Id="rId1508" Type="http://schemas.openxmlformats.org/officeDocument/2006/relationships/hyperlink" Target="https://reliablecorporation.com/en-eu/products/1500fr-octogonal-cutting-machine" TargetMode="External"/><Relationship Id="rId1509" Type="http://schemas.openxmlformats.org/officeDocument/2006/relationships/hyperlink" Target="https://reliablecorporation.com/en-eu/products/1500fr-octogonal-cutting-machine" TargetMode="External"/><Relationship Id="rId1980" Type="http://schemas.openxmlformats.org/officeDocument/2006/relationships/hyperlink" Target="https://www.uysa.com.pe/jarra-pvc-2-lt-transp-graduada-basa-70094018/p?srsltid=AfmBOoqQBwv2HJxzEkspl18l-0ryrEQNmRcxfVrw_fCrjdx11AV6GD6F" TargetMode="External"/><Relationship Id="rId1981" Type="http://schemas.openxmlformats.org/officeDocument/2006/relationships/hyperlink" Target="https://www.uysa.com.pe/jarra-pvc-2-lt-transp-graduada-basa-70094018/p?srsltid=AfmBOoqQBwv2HJxzEkspl18l-0ryrEQNmRcxfVrw_fCrjdx11AV6GD6F" TargetMode="External"/><Relationship Id="rId1982" Type="http://schemas.openxmlformats.org/officeDocument/2006/relationships/hyperlink" Target="https://www.uysa.com.pe/jarra-pvc-2-lt-transp-graduada-basa-70094018/p?srsltid=AfmBOoqQBwv2HJxzEkspl18l-0ryrEQNmRcxfVrw_fCrjdx11AV6GD6F" TargetMode="External"/><Relationship Id="rId1930" Type="http://schemas.openxmlformats.org/officeDocument/2006/relationships/hyperlink" Target="https://www.plazavea.com.pe/guante-virutex-antibacterial-cobre-m-2un/p?srsltid=AfmBOoosyU7rtcl4hzZ3phsN13dlXKm00_XVzCGdSv9brL1QmLhqdbN-" TargetMode="External"/><Relationship Id="rId1931" Type="http://schemas.openxmlformats.org/officeDocument/2006/relationships/hyperlink" Target="https://drive.google.com/file/d/1lhCN2SFsUrMElI5934HTfpCKb_-Yw_BY/view?usp=sharing" TargetMode="External"/><Relationship Id="rId1932" Type="http://schemas.openxmlformats.org/officeDocument/2006/relationships/hyperlink" Target="https://www.plazavea.com.pe/guante-virutex-antibacterial-cobre-m-2un/p?srsltid=AfmBOoosyU7rtcl4hzZ3phsN13dlXKm00_XVzCGdSv9brL1QmLhqdbN-" TargetMode="External"/><Relationship Id="rId1933" Type="http://schemas.openxmlformats.org/officeDocument/2006/relationships/hyperlink" Target="https://drive.google.com/file/d/1lhCN2SFsUrMElI5934HTfpCKb_-Yw_BY/view?usp=sharing" TargetMode="External"/><Relationship Id="rId1934" Type="http://schemas.openxmlformats.org/officeDocument/2006/relationships/hyperlink" Target="https://www.plazavea.com.pe/guante-virutex-antibacterial-cobre-m-2un/p?srsltid=AfmBOoosyU7rtcl4hzZ3phsN13dlXKm00_XVzCGdSv9brL1QmLhqdbN-" TargetMode="External"/><Relationship Id="rId1935" Type="http://schemas.openxmlformats.org/officeDocument/2006/relationships/hyperlink" Target="https://drive.google.com/file/d/1lhCN2SFsUrMElI5934HTfpCKb_-Yw_BY/view?usp=sharing" TargetMode="External"/><Relationship Id="rId1936" Type="http://schemas.openxmlformats.org/officeDocument/2006/relationships/hyperlink" Target="https://www.plazavea.com.pe/guante-virutex-antibacterial-cobre-m-2un/p?srsltid=AfmBOoosyU7rtcl4hzZ3phsN13dlXKm00_XVzCGdSv9brL1QmLhqdbN-" TargetMode="External"/><Relationship Id="rId1937" Type="http://schemas.openxmlformats.org/officeDocument/2006/relationships/hyperlink" Target="https://drive.google.com/file/d/1lhCN2SFsUrMElI5934HTfpCKb_-Yw_BY/view?usp=sharing" TargetMode="External"/><Relationship Id="rId1938" Type="http://schemas.openxmlformats.org/officeDocument/2006/relationships/hyperlink" Target="https://www.promart.pe/guante-virutex-antibacterial-cobre-m-2un-1000221350/p?srsltid=AfmBOopo8aZBysbHqVtoKSuHKiB26Em0fhq5V-tEU-8x8oiFVmw1ixfL" TargetMode="External"/><Relationship Id="rId1939" Type="http://schemas.openxmlformats.org/officeDocument/2006/relationships/hyperlink" Target="https://www.promart.pe/guante-de-hilo-azul-con-palma-de-nitrilo-werken-159992/p" TargetMode="External"/><Relationship Id="rId1920" Type="http://schemas.openxmlformats.org/officeDocument/2006/relationships/hyperlink" Target="https://drive.google.com/file/d/1YumjH1dqSq9zQh2IOFxKjooSTjVG5Zjn/view?usp=sharing" TargetMode="External"/><Relationship Id="rId1921" Type="http://schemas.openxmlformats.org/officeDocument/2006/relationships/hyperlink" Target="https://milkyday.es/producto/small-milk-pasteurizer-machine-milky-fj-15-230v/" TargetMode="External"/><Relationship Id="rId1922" Type="http://schemas.openxmlformats.org/officeDocument/2006/relationships/hyperlink" Target="https://drive.google.com/file/d/1YumjH1dqSq9zQh2IOFxKjooSTjVG5Zjn/view?usp=sharing" TargetMode="External"/><Relationship Id="rId1923" Type="http://schemas.openxmlformats.org/officeDocument/2006/relationships/hyperlink" Target="https://milkyday.es/producto/small-milk-pasteurizer-machine-milky-fj-15-230v/" TargetMode="External"/><Relationship Id="rId1924" Type="http://schemas.openxmlformats.org/officeDocument/2006/relationships/hyperlink" Target="https://drive.google.com/file/d/1YumjH1dqSq9zQh2IOFxKjooSTjVG5Zjn/view?usp=sharing" TargetMode="External"/><Relationship Id="rId1925" Type="http://schemas.openxmlformats.org/officeDocument/2006/relationships/hyperlink" Target="https://milkyday.es/producto/small-milk-pasteurizer-machine-milky-fj-15-230v/" TargetMode="External"/><Relationship Id="rId1926" Type="http://schemas.openxmlformats.org/officeDocument/2006/relationships/hyperlink" Target="https://drive.google.com/file/d/1YumjH1dqSq9zQh2IOFxKjooSTjVG5Zjn/view?usp=sharing" TargetMode="External"/><Relationship Id="rId1927" Type="http://schemas.openxmlformats.org/officeDocument/2006/relationships/hyperlink" Target="https://milkyday.es/producto/small-milk-pasteurizer-machine-milky-fj-15-230v/" TargetMode="External"/><Relationship Id="rId1928" Type="http://schemas.openxmlformats.org/officeDocument/2006/relationships/hyperlink" Target="https://drive.google.com/file/d/1YumjH1dqSq9zQh2IOFxKjooSTjVG5Zjn/view?usp=sharing" TargetMode="External"/><Relationship Id="rId1929" Type="http://schemas.openxmlformats.org/officeDocument/2006/relationships/hyperlink" Target="https://www.realplaza.com/guante-algodon-silicona-30-x-185-cm-1001167469/p" TargetMode="External"/><Relationship Id="rId1950" Type="http://schemas.openxmlformats.org/officeDocument/2006/relationships/hyperlink" Target="https://casadelasbatas.com/batas-industria/52174-93549-bata-guardapolvo-industrial-confort-fit-monza.html?_gl=1*6awugg*_up*MQ..*_ga*MzQzNDk3ODY0LjE3NTk3ODkwNzc.*_ga_HQFNFVNCSB*czE3NTk3ODkwNzYkbzEkZzEkdDE3NTk3ODkxMDgkajI4JGwwJGgw" TargetMode="External"/><Relationship Id="rId1951" Type="http://schemas.openxmlformats.org/officeDocument/2006/relationships/hyperlink" Target="https://casadelasbatas.com/batas-industria/52174-93549-bata-guardapolvo-industrial-confort-fit-monza.html?_gl=1*6awugg*_up*MQ..*_ga*MzQzNDk3ODY0LjE3NTk3ODkwNzc.*_ga_HQFNFVNCSB*czE3NTk3ODkwNzYkbzEkZzEkdDE3NTk3ODkxMDgkajI4JGwwJGgw" TargetMode="External"/><Relationship Id="rId1952" Type="http://schemas.openxmlformats.org/officeDocument/2006/relationships/hyperlink" Target="https://casadelasbatas.com/batas-industria/52174-93549-bata-guardapolvo-industrial-confort-fit-monza.html?_gl=1*6awugg*_up*MQ..*_ga*MzQzNDk3ODY0LjE3NTk3ODkwNzc.*_ga_HQFNFVNCSB*czE3NTk3ODkwNzYkbzEkZzEkdDE3NTk3ODkxMDgkajI4JGwwJGgw" TargetMode="External"/><Relationship Id="rId1953" Type="http://schemas.openxmlformats.org/officeDocument/2006/relationships/hyperlink" Target="https://www.plazavea.com.pe/guante-virutex-antibacterial-cobre-m-2un/p?srsltid=AfmBOoosyU7rtcl4hzZ3phsN13dlXKm00_XVzCGdSv9brL1QmLhqdbN-" TargetMode="External"/><Relationship Id="rId1954" Type="http://schemas.openxmlformats.org/officeDocument/2006/relationships/hyperlink" Target="https://sodimac.falabella.com.pe/sodimac-pe/product/114762880/Jalador-de-Agua-de-75cm-+-Mango-de-Aluminio/114762884" TargetMode="External"/><Relationship Id="rId1955" Type="http://schemas.openxmlformats.org/officeDocument/2006/relationships/hyperlink" Target="https://sodimac.falabella.com.pe/sodimac-pe/product/114762880/Jalador-de-Agua-de-75cm-+-Mango-de-Aluminio/114762884" TargetMode="External"/><Relationship Id="rId1956" Type="http://schemas.openxmlformats.org/officeDocument/2006/relationships/hyperlink" Target="https://sodimac.falabella.com.pe/sodimac-pe/product/114762880/Jalador-de-Agua-de-75cm-+-Mango-de-Aluminio/114762884" TargetMode="External"/><Relationship Id="rId1957" Type="http://schemas.openxmlformats.org/officeDocument/2006/relationships/hyperlink" Target="https://sodimac.falabella.com.pe/sodimac-pe/product/114762880/Jalador-de-Agua-de-75cm-+-Mango-de-Aluminio/114762884" TargetMode="External"/><Relationship Id="rId1958" Type="http://schemas.openxmlformats.org/officeDocument/2006/relationships/hyperlink" Target="https://sodimac.falabella.com.pe/sodimac-pe/product/114762880/Jalador-de-Agua-de-75cm-+-Mango-de-Aluminio/114762884" TargetMode="External"/><Relationship Id="rId1959" Type="http://schemas.openxmlformats.org/officeDocument/2006/relationships/hyperlink" Target="https://www.uysa.com.pe/jarra-pvc-2-lt-transp-graduada-basa-70094018/p?srsltid=AfmBOoqQBwv2HJxzEkspl18l-0ryrEQNmRcxfVrw_fCrjdx11AV6GD6F" TargetMode="External"/><Relationship Id="rId1940" Type="http://schemas.openxmlformats.org/officeDocument/2006/relationships/hyperlink" Target="https://www.promart.pe/guante-de-hilo-azul-con-palma-de-nitrilo-werken-159992/p" TargetMode="External"/><Relationship Id="rId1941" Type="http://schemas.openxmlformats.org/officeDocument/2006/relationships/hyperlink" Target="https://drive.google.com/file/d/1SgLNtJlGm0LxJKQnmmfwDfeB63Dys1oQ/view" TargetMode="External"/><Relationship Id="rId1942" Type="http://schemas.openxmlformats.org/officeDocument/2006/relationships/hyperlink" Target="https://drive.google.com/file/d/1sQ62tKEjXrGiF5MtbjMckCr91X0DS0o5/view?usp=sharing" TargetMode="External"/><Relationship Id="rId1943" Type="http://schemas.openxmlformats.org/officeDocument/2006/relationships/hyperlink" Target="https://drive.google.com/file/d/1SgLNtJlGm0LxJKQnmmfwDfeB63Dys1oQ/view" TargetMode="External"/><Relationship Id="rId1944" Type="http://schemas.openxmlformats.org/officeDocument/2006/relationships/hyperlink" Target="https://drive.google.com/file/d/1sQ62tKEjXrGiF5MtbjMckCr91X0DS0o5/view?usp=sharing" TargetMode="External"/><Relationship Id="rId1945" Type="http://schemas.openxmlformats.org/officeDocument/2006/relationships/hyperlink" Target="https://drive.google.com/file/d/1SgLNtJlGm0LxJKQnmmfwDfeB63Dys1oQ/view" TargetMode="External"/><Relationship Id="rId1946" Type="http://schemas.openxmlformats.org/officeDocument/2006/relationships/hyperlink" Target="https://drive.google.com/file/d/1sQ62tKEjXrGiF5MtbjMckCr91X0DS0o5/view?usp=sharing" TargetMode="External"/><Relationship Id="rId1947" Type="http://schemas.openxmlformats.org/officeDocument/2006/relationships/hyperlink" Target="https://casadelasbatas.com/batas-industria/52174-93549-bata-guardapolvo-industrial-confort-fit-monza.html?_gl=1*6awugg*_up*MQ..*_ga*MzQzNDk3ODY0LjE3NTk3ODkwNzc.*_ga_HQFNFVNCSB*czE3NTk3ODkwNzYkbzEkZzEkdDE3NTk3ODkxMDgkajI4JGwwJGgw" TargetMode="External"/><Relationship Id="rId1948" Type="http://schemas.openxmlformats.org/officeDocument/2006/relationships/hyperlink" Target="https://casadelasbatas.com/batas-industria/52174-93549-bata-guardapolvo-industrial-confort-fit-monza.html?_gl=1*6awugg*_up*MQ..*_ga*MzQzNDk3ODY0LjE3NTk3ODkwNzc.*_ga_HQFNFVNCSB*czE3NTk3ODkwNzYkbzEkZzEkdDE3NTk3ODkxMDgkajI4JGwwJGgw" TargetMode="External"/><Relationship Id="rId1949" Type="http://schemas.openxmlformats.org/officeDocument/2006/relationships/hyperlink" Target="https://casadelasbatas.com/batas-industria/52174-93549-bata-guardapolvo-industrial-confort-fit-monza.html?_gl=1*6awugg*_up*MQ..*_ga*MzQzNDk3ODY0LjE3NTk3ODkwNzc.*_ga_HQFNFVNCSB*czE3NTk3ODkwNzYkbzEkZzEkdDE3NTk3ODkxMDgkajI4JGwwJGgw" TargetMode="External"/><Relationship Id="rId1576" Type="http://schemas.openxmlformats.org/officeDocument/2006/relationships/hyperlink" Target="https://liberzi.com.ar/producto/cabos-de-madera/" TargetMode="External"/><Relationship Id="rId2423" Type="http://schemas.openxmlformats.org/officeDocument/2006/relationships/drawing" Target="../drawings/drawing6.xml"/><Relationship Id="rId1577" Type="http://schemas.openxmlformats.org/officeDocument/2006/relationships/hyperlink" Target="https://www.b2peru.pe/es/product/24/cepillo-para-refregar-escobillon-fbk-peru-sac" TargetMode="External"/><Relationship Id="rId1578" Type="http://schemas.openxmlformats.org/officeDocument/2006/relationships/hyperlink" Target="https://liberzi.com.ar/producto/cabos-de-madera/" TargetMode="External"/><Relationship Id="rId1579" Type="http://schemas.openxmlformats.org/officeDocument/2006/relationships/hyperlink" Target="https://www.b2peru.pe/es/product/24/cepillo-para-refregar-escobillon-fbk-peru-sac" TargetMode="External"/><Relationship Id="rId509" Type="http://schemas.openxmlformats.org/officeDocument/2006/relationships/hyperlink" Target="https://support.hp.com/pe-es/document/ish_5956566-5987452-25" TargetMode="External"/><Relationship Id="rId508" Type="http://schemas.openxmlformats.org/officeDocument/2006/relationships/hyperlink" Target="https://support.hp.com/pe-es/document/ish_5956566-5987452-24" TargetMode="External"/><Relationship Id="rId503" Type="http://schemas.openxmlformats.org/officeDocument/2006/relationships/hyperlink" Target="https://support.hp.com/pe-es/document/ish_5956566-5987452-19" TargetMode="External"/><Relationship Id="rId987" Type="http://schemas.openxmlformats.org/officeDocument/2006/relationships/hyperlink" Target="https://www.truper.com/ficha_tecnica/Arco-profesional-extra-pesado-1-kg-62.html?code=10232" TargetMode="External"/><Relationship Id="rId502" Type="http://schemas.openxmlformats.org/officeDocument/2006/relationships/hyperlink" Target="https://support.hp.com/pe-es/document/ish_5956566-5987452-18" TargetMode="External"/><Relationship Id="rId986" Type="http://schemas.openxmlformats.org/officeDocument/2006/relationships/hyperlink" Target="https://www.promart.pe/arco-de-sierra-kendo-para-trabajo-pesado-300mm-12-pulgadas-ken30566-1000971608/p?srsltid=AfmBOoptr3n3tElOtveuHVgdqBOZ4O4pGPGYQ57BN87qI38aG3lt4iqI" TargetMode="External"/><Relationship Id="rId501" Type="http://schemas.openxmlformats.org/officeDocument/2006/relationships/hyperlink" Target="https://support.hp.com/pe-es/document/ish_5956566-5987452-17" TargetMode="External"/><Relationship Id="rId985" Type="http://schemas.openxmlformats.org/officeDocument/2006/relationships/hyperlink" Target="https://www.truper.com/ficha_tecnica/Arco-profesional-extra-pesado-1-kg-62.html?code=10232" TargetMode="External"/><Relationship Id="rId500" Type="http://schemas.openxmlformats.org/officeDocument/2006/relationships/hyperlink" Target="https://support.hp.com/pe-es/document/ish_5956566-5987452-16" TargetMode="External"/><Relationship Id="rId984" Type="http://schemas.openxmlformats.org/officeDocument/2006/relationships/hyperlink" Target="https://www.promart.pe/arco-de-sierra-kendo-para-trabajo-pesado-300mm-12-pulgadas-ken30566-1000971608/p?srsltid=AfmBOoptr3n3tElOtveuHVgdqBOZ4O4pGPGYQ57BN87qI38aG3lt4iqI" TargetMode="External"/><Relationship Id="rId507" Type="http://schemas.openxmlformats.org/officeDocument/2006/relationships/hyperlink" Target="https://support.hp.com/pe-es/document/ish_5956566-5987452-23" TargetMode="External"/><Relationship Id="rId506" Type="http://schemas.openxmlformats.org/officeDocument/2006/relationships/hyperlink" Target="https://support.hp.com/pe-es/document/ish_5956566-5987452-22" TargetMode="External"/><Relationship Id="rId505" Type="http://schemas.openxmlformats.org/officeDocument/2006/relationships/hyperlink" Target="https://support.hp.com/pe-es/document/ish_5956566-5987452-21" TargetMode="External"/><Relationship Id="rId989" Type="http://schemas.openxmlformats.org/officeDocument/2006/relationships/hyperlink" Target="https://www.amazon.com.mx/Champion-Contratista-set-118-deg-tratado-29-piezas/dp/B000OBDHZK" TargetMode="External"/><Relationship Id="rId504" Type="http://schemas.openxmlformats.org/officeDocument/2006/relationships/hyperlink" Target="https://support.hp.com/pe-es/document/ish_5956566-5987452-20" TargetMode="External"/><Relationship Id="rId988" Type="http://schemas.openxmlformats.org/officeDocument/2006/relationships/hyperlink" Target="https://www.promart.pe/arco-de-sierra-kendo-para-trabajo-pesado-300mm-12-pulgadas-ken30566-1000971608/p?srsltid=AfmBOoptr3n3tElOtveuHVgdqBOZ4O4pGPGYQ57BN87qI38aG3lt4iqI" TargetMode="External"/><Relationship Id="rId1570" Type="http://schemas.openxmlformats.org/officeDocument/2006/relationships/hyperlink" Target="https://www.promart.pe/escobilla-de-lavanderia/p" TargetMode="External"/><Relationship Id="rId1571" Type="http://schemas.openxmlformats.org/officeDocument/2006/relationships/hyperlink" Target="https://www.promart.pe/escobilla-de-lavanderia/p" TargetMode="External"/><Relationship Id="rId983" Type="http://schemas.openxmlformats.org/officeDocument/2006/relationships/hyperlink" Target="https://www.truper.com/ficha_tecnica/Arco-profesional-extra-pesado-1-kg-62.html?code=10232" TargetMode="External"/><Relationship Id="rId1572" Type="http://schemas.openxmlformats.org/officeDocument/2006/relationships/hyperlink" Target="https://www.b2peru.pe/es/product/24/cepillo-para-refregar-escobillon-fbk-peru-sac" TargetMode="External"/><Relationship Id="rId982" Type="http://schemas.openxmlformats.org/officeDocument/2006/relationships/hyperlink" Target="https://www.promart.pe/arco-de-sierra-kendo-para-trabajo-pesado-300mm-12-pulgadas-ken30566-1000971608/p?srsltid=AfmBOoptr3n3tElOtveuHVgdqBOZ4O4pGPGYQ57BN87qI38aG3lt4iqI" TargetMode="External"/><Relationship Id="rId1573" Type="http://schemas.openxmlformats.org/officeDocument/2006/relationships/hyperlink" Target="https://www.b2peru.pe/es/product/24/cepillo-para-refregar-escobillon-fbk-peru-sac" TargetMode="External"/><Relationship Id="rId2420" Type="http://schemas.openxmlformats.org/officeDocument/2006/relationships/hyperlink" Target="https://www.ubuy.pe/sp/product/35N86BU-big-16-inch-heavy-hand-hammered-carbon-steel-pow-wok-with-wooden-and-steel-helper-handle-round-bottom-731w138-by-craft-wok?srsltid=AfmBOoqayKrTBNxklyPyB1r03BHorcVst8Yw-1qCkn139jf3Rq2YL8aD" TargetMode="External"/><Relationship Id="rId981" Type="http://schemas.openxmlformats.org/officeDocument/2006/relationships/hyperlink" Target="https://www.truper.com/ficha_tecnica/Arco-profesional-extra-pesado-1-kg-62.html?code=10232" TargetMode="External"/><Relationship Id="rId1574" Type="http://schemas.openxmlformats.org/officeDocument/2006/relationships/hyperlink" Target="https://liberzi.com.ar/producto/cabos-de-madera/" TargetMode="External"/><Relationship Id="rId2421" Type="http://schemas.openxmlformats.org/officeDocument/2006/relationships/hyperlink" Target="https://www.uysa.com.pe/sarten-wok-c-tapa-28cm--3-30-lt-solar-silicone-62138-280-tramontina-10145670/p?srsltid=AfmBOoqmirPPYW8rGfYVxde_c6XOJKsSRK--1TDczVzcaottJnL7APQg" TargetMode="External"/><Relationship Id="rId980" Type="http://schemas.openxmlformats.org/officeDocument/2006/relationships/hyperlink" Target="https://www.falabella.com.pe/falabella-pe/product/146837340/Alicate-Universal-8-Aislado-1000V-200mm-STANLEY-Mango-Erg/146837343" TargetMode="External"/><Relationship Id="rId1575" Type="http://schemas.openxmlformats.org/officeDocument/2006/relationships/hyperlink" Target="https://www.b2peru.pe/es/product/24/cepillo-para-refregar-escobillon-fbk-peru-sac" TargetMode="External"/><Relationship Id="rId2422" Type="http://schemas.openxmlformats.org/officeDocument/2006/relationships/hyperlink" Target="https://www.tiendamta.com.ar/paellera-disco-hierro-fundido-36-cm-con-tapa-de-vidrio-mta/up/MLAU226988592" TargetMode="External"/><Relationship Id="rId1565" Type="http://schemas.openxmlformats.org/officeDocument/2006/relationships/hyperlink" Target="https://ilumiperu.com/products/olla-mezcladora-de-10-litros-a-gas?srsltid=AfmBOooCoSfQ4gh3knnXma2z7Ruhq7UYYwNbKyLnB_jLRSSMHNOtSSJg" TargetMode="External"/><Relationship Id="rId2412" Type="http://schemas.openxmlformats.org/officeDocument/2006/relationships/hyperlink" Target="https://prosinfer.pe/product/cinta-metrica-wincha-3-m-stanley-30-608-global-plus/" TargetMode="External"/><Relationship Id="rId1566" Type="http://schemas.openxmlformats.org/officeDocument/2006/relationships/hyperlink" Target="https://drive.google.com/file/d/1Inn-pS5tS8NHDAJi1lmFP-DpxktesK8b/view?usp=sharing" TargetMode="External"/><Relationship Id="rId2413" Type="http://schemas.openxmlformats.org/officeDocument/2006/relationships/hyperlink" Target="https://www.amazon.com/-/es/Fiskars-01-004761J-Tijeras-inoxidable-pulgadas/dp/B002YIP97K?th=1" TargetMode="External"/><Relationship Id="rId1567" Type="http://schemas.openxmlformats.org/officeDocument/2006/relationships/hyperlink" Target="https://ilumiperu.com/products/olla-mezcladora-de-10-litros-a-gas?srsltid=AfmBOooCoSfQ4gh3knnXma2z7Ruhq7UYYwNbKyLnB_jLRSSMHNOtSSJg" TargetMode="External"/><Relationship Id="rId2414" Type="http://schemas.openxmlformats.org/officeDocument/2006/relationships/hyperlink" Target="https://www.amazon.com/-/es/Fiskars-01-004761J-Tijeras-inoxidable-pulgadas/dp/B002YIP97K?th=2" TargetMode="External"/><Relationship Id="rId1568" Type="http://schemas.openxmlformats.org/officeDocument/2006/relationships/hyperlink" Target="https://drive.google.com/file/d/1Inn-pS5tS8NHDAJi1lmFP-DpxktesK8b/view?usp=sharing" TargetMode="External"/><Relationship Id="rId2415" Type="http://schemas.openxmlformats.org/officeDocument/2006/relationships/hyperlink" Target="https://www.mercadolibre.com.mx/tina-ovalada-150-litros-uso-rudo-2-piezas-envio-gratis/up/MLMU892593614?pdp_filters=item_id:MLM1465903519" TargetMode="External"/><Relationship Id="rId1569" Type="http://schemas.openxmlformats.org/officeDocument/2006/relationships/hyperlink" Target="https://www.promart.pe/escobilla-de-lavanderia/p" TargetMode="External"/><Relationship Id="rId2416" Type="http://schemas.openxmlformats.org/officeDocument/2006/relationships/hyperlink" Target="https://www.mercadolibre.com.mx/tina-ovalada-150-litros-uso-rudo-2-piezas-envio-gratis/up/MLMU892593614?pdp_filters=item_id:MLM1465903520" TargetMode="External"/><Relationship Id="rId2417" Type="http://schemas.openxmlformats.org/officeDocument/2006/relationships/hyperlink" Target="https://www.mercadolibre.com.mx/tina-ovalada-150-litros-uso-rudo-2-piezas-envio-gratis/up/MLMU892593614?pdp_filters=item_id:MLM1465903521" TargetMode="External"/><Relationship Id="rId2418" Type="http://schemas.openxmlformats.org/officeDocument/2006/relationships/hyperlink" Target="https://www.oechsle.pe/juego-de-vajilla-redondo-porcelana-blanco-12-piezas/p?srsltid=AfmBOooA366TllnHuFenvtHBX7l4msQq1xDseHOBAv5kqGBEba_gNyn_" TargetMode="External"/><Relationship Id="rId2419" Type="http://schemas.openxmlformats.org/officeDocument/2006/relationships/hyperlink" Target="https://juntoz.com/p/wok-hierro-fundido-30-cm-casas-lugano-28585106109381303202405411434148?srsltid=AfmBOorCpdKjQbbk81kPqs9cFn6vUtx1GQwbzvQYT0fD2RbNDqf4PRFQ" TargetMode="External"/><Relationship Id="rId976" Type="http://schemas.openxmlformats.org/officeDocument/2006/relationships/hyperlink" Target="https://drive.google.com/file/d/1bVIqqWRAtW54F1Nz2lDR1l8Zt8VfRVXZ/view?usp=sharing" TargetMode="External"/><Relationship Id="rId975" Type="http://schemas.openxmlformats.org/officeDocument/2006/relationships/hyperlink" Target="https://www.falabella.com.pe/falabella-pe/product/146837340/Alicate-Universal-8-Aislado-1000V-200mm-STANLEY-Mango-Erg/146837343" TargetMode="External"/><Relationship Id="rId974" Type="http://schemas.openxmlformats.org/officeDocument/2006/relationships/hyperlink" Target="https://www.falabella.com.pe/falabella-pe/product/146837340/Alicate-Universal-8-Aislado-1000V-200mm-STANLEY-Mango-Erg/146837343" TargetMode="External"/><Relationship Id="rId973" Type="http://schemas.openxmlformats.org/officeDocument/2006/relationships/hyperlink" Target="https://drive.google.com/file/d/1bVIqqWRAtW54F1Nz2lDR1l8Zt8VfRVXZ/view?usp=sharing" TargetMode="External"/><Relationship Id="rId979" Type="http://schemas.openxmlformats.org/officeDocument/2006/relationships/hyperlink" Target="https://drive.google.com/file/d/1bVIqqWRAtW54F1Nz2lDR1l8Zt8VfRVXZ/view?usp=sharing" TargetMode="External"/><Relationship Id="rId978" Type="http://schemas.openxmlformats.org/officeDocument/2006/relationships/hyperlink" Target="https://www.falabella.com.pe/falabella-pe/product/146837340/Alicate-Universal-8-Aislado-1000V-200mm-STANLEY-Mango-Erg/146837343" TargetMode="External"/><Relationship Id="rId977" Type="http://schemas.openxmlformats.org/officeDocument/2006/relationships/hyperlink" Target="https://www.falabella.com.pe/falabella-pe/product/146837340/Alicate-Universal-8-Aislado-1000V-200mm-STANLEY-Mango-Erg/146837343" TargetMode="External"/><Relationship Id="rId1560" Type="http://schemas.openxmlformats.org/officeDocument/2006/relationships/hyperlink" Target="https://www.juki.co.jp/industrial_e/products_e/apparel_e/zigzag_e/detail.php?cd=LZ-2284A-7_LZ-2284A_E" TargetMode="External"/><Relationship Id="rId972" Type="http://schemas.openxmlformats.org/officeDocument/2006/relationships/hyperlink" Target="https://www.falabella.com.pe/falabella-pe/product/146837340/Alicate-Universal-8-Aislado-1000V-200mm-STANLEY-Mango-Erg/146837343" TargetMode="External"/><Relationship Id="rId1561" Type="http://schemas.openxmlformats.org/officeDocument/2006/relationships/hyperlink" Target="https://ilumiperu.com/products/olla-mezcladora-de-10-litros-a-gas?srsltid=AfmBOooCoSfQ4gh3knnXma2z7Ruhq7UYYwNbKyLnB_jLRSSMHNOtSSJg" TargetMode="External"/><Relationship Id="rId971" Type="http://schemas.openxmlformats.org/officeDocument/2006/relationships/hyperlink" Target="https://www.falabella.com.pe/falabella-pe/product/146837340/Alicate-Universal-8-Aislado-1000V-200mm-STANLEY-Mango-Erg/146837343" TargetMode="External"/><Relationship Id="rId1562" Type="http://schemas.openxmlformats.org/officeDocument/2006/relationships/hyperlink" Target="https://drive.google.com/file/d/1Inn-pS5tS8NHDAJi1lmFP-DpxktesK8b/view?usp=sharing" TargetMode="External"/><Relationship Id="rId970" Type="http://schemas.openxmlformats.org/officeDocument/2006/relationships/hyperlink" Target="https://drive.google.com/file/d/1bVIqqWRAtW54F1Nz2lDR1l8Zt8VfRVXZ/view?usp=sharing" TargetMode="External"/><Relationship Id="rId1563" Type="http://schemas.openxmlformats.org/officeDocument/2006/relationships/hyperlink" Target="https://ilumiperu.com/products/olla-mezcladora-de-10-litros-a-gas?srsltid=AfmBOooCoSfQ4gh3knnXma2z7Ruhq7UYYwNbKyLnB_jLRSSMHNOtSSJg" TargetMode="External"/><Relationship Id="rId2410" Type="http://schemas.openxmlformats.org/officeDocument/2006/relationships/hyperlink" Target="https://tessco-product-images-commerce-cloud-prod.s3.amazonaws.com/Resources/218473_AEA_2018.pdf" TargetMode="External"/><Relationship Id="rId1564" Type="http://schemas.openxmlformats.org/officeDocument/2006/relationships/hyperlink" Target="https://drive.google.com/file/d/1Inn-pS5tS8NHDAJi1lmFP-DpxktesK8b/view?usp=sharing" TargetMode="External"/><Relationship Id="rId2411" Type="http://schemas.openxmlformats.org/officeDocument/2006/relationships/hyperlink" Target="https://simple.ripley.com.pe/cargador-de-8-pilas-recargables-baterias-aa-y-aaa-independientes-cable-pmp20000204058?srsltid=AfmBOoog_GuJBc2yPPvcGyOJYsmzodMPgS7dLuISGg3NcdUxM1ZncSf_&amp;color_80=gris&amp;s=mdco" TargetMode="External"/><Relationship Id="rId1114" Type="http://schemas.openxmlformats.org/officeDocument/2006/relationships/hyperlink" Target="https://www.amazon.es/Stanley-1-12-004-Cepillo-manual-4-50x245mm/dp/B0001GRVKU?th=1" TargetMode="External"/><Relationship Id="rId1598" Type="http://schemas.openxmlformats.org/officeDocument/2006/relationships/hyperlink" Target="https://firemansperu.com/productos/extintores-firemans/dioxido-de-carbono/" TargetMode="External"/><Relationship Id="rId1115" Type="http://schemas.openxmlformats.org/officeDocument/2006/relationships/hyperlink" Target="https://www.promart.pe/cuchilla-de-vuelta-para-carpintero-curva-9-/p?srsltid=AfmBOop95Z2JRnvsoIj-UMYofQlUA3GBO4GFIEuho4UpdMX7Tx8iR9Ct" TargetMode="External"/><Relationship Id="rId1599" Type="http://schemas.openxmlformats.org/officeDocument/2006/relationships/hyperlink" Target="https://firemansperu.com/productos/extintores-firemans/dioxido-de-carbono/" TargetMode="External"/><Relationship Id="rId1116" Type="http://schemas.openxmlformats.org/officeDocument/2006/relationships/hyperlink" Target="https://www.promart.pe/cuchilla-de-vuelta-para-carpintero-curva-9-/p?srsltid=AfmBOop95Z2JRnvsoIj-UMYofQlUA3GBO4GFIEuho4UpdMX7Tx8iR9Ct" TargetMode="External"/><Relationship Id="rId1117" Type="http://schemas.openxmlformats.org/officeDocument/2006/relationships/hyperlink" Target="https://cahema.pe/juego-de-desarmador/16797-juego-de-desarmadores-aislados-6-piezas-bahco-620-6-7314150128594.html" TargetMode="External"/><Relationship Id="rId1118" Type="http://schemas.openxmlformats.org/officeDocument/2006/relationships/hyperlink" Target="https://cahema.pe/juego-de-desarmador/16797-juego-de-desarmadores-aislados-6-piezas-bahco-620-6-7314150128594.html" TargetMode="External"/><Relationship Id="rId1119" Type="http://schemas.openxmlformats.org/officeDocument/2006/relationships/hyperlink" Target="https://cahema.pe/juego-de-desarmador/16797-juego-de-desarmadores-aislados-6-piezas-bahco-620-6-7314150128594.html" TargetMode="External"/><Relationship Id="rId525" Type="http://schemas.openxmlformats.org/officeDocument/2006/relationships/hyperlink" Target="https://support.hp.com/pe-es/document/ish_5956566-5987452-41" TargetMode="External"/><Relationship Id="rId524" Type="http://schemas.openxmlformats.org/officeDocument/2006/relationships/hyperlink" Target="https://support.hp.com/pe-es/document/ish_5956566-5987452-40" TargetMode="External"/><Relationship Id="rId523" Type="http://schemas.openxmlformats.org/officeDocument/2006/relationships/hyperlink" Target="https://support.hp.com/pe-es/document/ish_5956566-5987452-39" TargetMode="External"/><Relationship Id="rId522" Type="http://schemas.openxmlformats.org/officeDocument/2006/relationships/hyperlink" Target="https://support.hp.com/pe-es/document/ish_5956566-5987452-38" TargetMode="External"/><Relationship Id="rId529" Type="http://schemas.openxmlformats.org/officeDocument/2006/relationships/hyperlink" Target="https://spanish.alibaba.com/product-detail/Freezer-vertical-petty-ice-cream-display-300007542584.html" TargetMode="External"/><Relationship Id="rId528" Type="http://schemas.openxmlformats.org/officeDocument/2006/relationships/hyperlink" Target="https://support.hp.com/pe-es/document/ish_5956566-5987452-44" TargetMode="External"/><Relationship Id="rId527" Type="http://schemas.openxmlformats.org/officeDocument/2006/relationships/hyperlink" Target="https://alaska.pe/producto/comba-de-6-libras-mango-de-madera-casco/" TargetMode="External"/><Relationship Id="rId526" Type="http://schemas.openxmlformats.org/officeDocument/2006/relationships/hyperlink" Target="https://support.hp.com/pe-es/document/ish_5956566-5987452-42" TargetMode="External"/><Relationship Id="rId1590" Type="http://schemas.openxmlformats.org/officeDocument/2006/relationships/hyperlink" Target="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 TargetMode="External"/><Relationship Id="rId1591" Type="http://schemas.openxmlformats.org/officeDocument/2006/relationships/hyperlink" Target="https://drive.google.com/file/d/1kN1yjvvcWvJTeYTbuNxQzMJO0MnOyoL1/view?usp=drive_link" TargetMode="External"/><Relationship Id="rId1592" Type="http://schemas.openxmlformats.org/officeDocument/2006/relationships/hyperlink" Target="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 TargetMode="External"/><Relationship Id="rId1593" Type="http://schemas.openxmlformats.org/officeDocument/2006/relationships/hyperlink" Target="https://drive.google.com/file/d/1kN1yjvvcWvJTeYTbuNxQzMJO0MnOyoL1/view?usp=drive_link" TargetMode="External"/><Relationship Id="rId521" Type="http://schemas.openxmlformats.org/officeDocument/2006/relationships/hyperlink" Target="https://support.hp.com/pe-es/document/ish_5956566-5987452-37" TargetMode="External"/><Relationship Id="rId1110" Type="http://schemas.openxmlformats.org/officeDocument/2006/relationships/hyperlink" Target="https://www.sodimac.com.pe/sodimac-pe/articulo/142250850/Juego-de-2-llaves-hexagonales-plegables-de-17-piezas-48-22-2183/142250851?srsltid=AfmBOorrSeB9EWakOKdHb4OPgiCkOg7EVoCNdoetfoMXGBWEyngrCpUW&amp;utm_source" TargetMode="External"/><Relationship Id="rId1594" Type="http://schemas.openxmlformats.org/officeDocument/2006/relationships/hyperlink" Target="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 TargetMode="External"/><Relationship Id="rId520" Type="http://schemas.openxmlformats.org/officeDocument/2006/relationships/hyperlink" Target="https://support.hp.com/pe-es/document/ish_5956566-5987452-36" TargetMode="External"/><Relationship Id="rId1111" Type="http://schemas.openxmlformats.org/officeDocument/2006/relationships/hyperlink" Target="https://cahema.pe/paleta/17291-set-de-brocas-paleta-14-hex-6-piezas-para-madera-truper-11395-7501206679555.html" TargetMode="External"/><Relationship Id="rId1595" Type="http://schemas.openxmlformats.org/officeDocument/2006/relationships/hyperlink" Target="https://drive.google.com/file/d/1kN1yjvvcWvJTeYTbuNxQzMJO0MnOyoL1/view?usp=drive_link" TargetMode="External"/><Relationship Id="rId1112" Type="http://schemas.openxmlformats.org/officeDocument/2006/relationships/hyperlink" Target="https://cahema.pe/paleta/17291-set-de-brocas-paleta-14-hex-6-piezas-para-madera-truper-11395-7501206679555.html" TargetMode="External"/><Relationship Id="rId1596" Type="http://schemas.openxmlformats.org/officeDocument/2006/relationships/hyperlink" Target="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 TargetMode="External"/><Relationship Id="rId1113" Type="http://schemas.openxmlformats.org/officeDocument/2006/relationships/hyperlink" Target="https://www.amazon.es/Stanley-1-12-004-Cepillo-manual-4-50x245mm/dp/B0001GRVKU?th=1" TargetMode="External"/><Relationship Id="rId1597" Type="http://schemas.openxmlformats.org/officeDocument/2006/relationships/hyperlink" Target="https://drive.google.com/file/d/1kN1yjvvcWvJTeYTbuNxQzMJO0MnOyoL1/view?usp=drive_link" TargetMode="External"/><Relationship Id="rId1103" Type="http://schemas.openxmlformats.org/officeDocument/2006/relationships/hyperlink" Target="https://rodavigo.net/datos/articulos/534/juego-alicates-irimo-1.pdf" TargetMode="External"/><Relationship Id="rId1587" Type="http://schemas.openxmlformats.org/officeDocument/2006/relationships/hyperlink" Target="https://www.amazon.com/-/es/dp/B0F541J6QR?ref=emc_p_m_5_i_atc&amp;th=2" TargetMode="External"/><Relationship Id="rId1104" Type="http://schemas.openxmlformats.org/officeDocument/2006/relationships/hyperlink" Target="https://simple.ripley.com.pe/juego-de-alicates-3-piezas-truper-18215-pmp20000843165?srsltid=AfmBOooFairssWBR9swvwgkKS021r2FwkJodihAxEXSKevC0SlSZtDXd&amp;color_80=naranja&amp;s=mdco" TargetMode="External"/><Relationship Id="rId1588" Type="http://schemas.openxmlformats.org/officeDocument/2006/relationships/hyperlink" Target="https://www.amazon.com/-/es/dp/B0F541J6QR?ref=emc_p_m_5_i_atc&amp;th=3" TargetMode="External"/><Relationship Id="rId1105" Type="http://schemas.openxmlformats.org/officeDocument/2006/relationships/hyperlink" Target="https://cahema.pe/set-mixtos/14160-juego-de-alicates-3-piezas-irimo-601-3-c-8414909218114.html?utm_source=chatgpt.com" TargetMode="External"/><Relationship Id="rId1589" Type="http://schemas.openxmlformats.org/officeDocument/2006/relationships/hyperlink" Target="https://www.amazon.com/-/es/dp/B0F541J6QR?ref=emc_p_m_5_i_atc&amp;th=4" TargetMode="External"/><Relationship Id="rId1106" Type="http://schemas.openxmlformats.org/officeDocument/2006/relationships/hyperlink" Target="https://simple.ripley.com.pe/juego-de-alicates-3-piezas-truper-18215-pmp20000843165?srsltid=AfmBOooFairssWBR9swvwgkKS021r2FwkJodihAxEXSKevC0SlSZtDXd&amp;color_80=naranja&amp;s=mdco" TargetMode="External"/><Relationship Id="rId1107" Type="http://schemas.openxmlformats.org/officeDocument/2006/relationships/hyperlink" Target="https://rodavigo.net/datos/articulos/534/juego-alicates-irimo-1.pdf" TargetMode="External"/><Relationship Id="rId1108" Type="http://schemas.openxmlformats.org/officeDocument/2006/relationships/hyperlink" Target="https://rodavigo.net/datos/articulos/534/juego-alicates-irimo-1.pdf" TargetMode="External"/><Relationship Id="rId1109" Type="http://schemas.openxmlformats.org/officeDocument/2006/relationships/hyperlink" Target="https://cahema.pe/set-mixtos/14160-juego-de-alicates-3-piezas-irimo-601-3-c-8414909218114.html?utm_source=chatgpt.com" TargetMode="External"/><Relationship Id="rId519" Type="http://schemas.openxmlformats.org/officeDocument/2006/relationships/hyperlink" Target="https://support.hp.com/pe-es/document/ish_5956566-5987452-35" TargetMode="External"/><Relationship Id="rId514" Type="http://schemas.openxmlformats.org/officeDocument/2006/relationships/hyperlink" Target="https://support.hp.com/pe-es/document/ish_5956566-5987452-30" TargetMode="External"/><Relationship Id="rId998" Type="http://schemas.openxmlformats.org/officeDocument/2006/relationships/hyperlink" Target="https://cahema.pe/juego-de-desarmador/16797-juego-de-desarmadores-aislados-6-piezas-bahco-620-6-7314150128594.html" TargetMode="External"/><Relationship Id="rId513" Type="http://schemas.openxmlformats.org/officeDocument/2006/relationships/hyperlink" Target="https://support.hp.com/pe-es/document/ish_5956566-5987452-29" TargetMode="External"/><Relationship Id="rId997" Type="http://schemas.openxmlformats.org/officeDocument/2006/relationships/hyperlink" Target="https://cahema.pe/juego-de-desarmador/16797-juego-de-desarmadores-aislados-6-piezas-bahco-620-6-7314150128594.html" TargetMode="External"/><Relationship Id="rId512" Type="http://schemas.openxmlformats.org/officeDocument/2006/relationships/hyperlink" Target="https://support.hp.com/pe-es/document/ish_5956566-5987452-28" TargetMode="External"/><Relationship Id="rId996" Type="http://schemas.openxmlformats.org/officeDocument/2006/relationships/hyperlink" Target="https://massbusinessperu.com/cuchilla-electricista-recta-aislada-a-1000v-170mm" TargetMode="External"/><Relationship Id="rId511" Type="http://schemas.openxmlformats.org/officeDocument/2006/relationships/hyperlink" Target="https://support.hp.com/pe-es/document/ish_5956566-5987452-27" TargetMode="External"/><Relationship Id="rId995" Type="http://schemas.openxmlformats.org/officeDocument/2006/relationships/hyperlink" Target="https://massbusinessperu.com/cuchilla-electricista-recta-aislada-a-1000v-170mm" TargetMode="External"/><Relationship Id="rId518" Type="http://schemas.openxmlformats.org/officeDocument/2006/relationships/hyperlink" Target="https://support.hp.com/pe-es/document/ish_5956566-5987452-34" TargetMode="External"/><Relationship Id="rId517" Type="http://schemas.openxmlformats.org/officeDocument/2006/relationships/hyperlink" Target="https://support.hp.com/pe-es/document/ish_5956566-5987452-33" TargetMode="External"/><Relationship Id="rId516" Type="http://schemas.openxmlformats.org/officeDocument/2006/relationships/hyperlink" Target="https://support.hp.com/pe-es/document/ish_5956566-5987452-32" TargetMode="External"/><Relationship Id="rId515" Type="http://schemas.openxmlformats.org/officeDocument/2006/relationships/hyperlink" Target="https://support.hp.com/pe-es/document/ish_5956566-5987452-31" TargetMode="External"/><Relationship Id="rId999" Type="http://schemas.openxmlformats.org/officeDocument/2006/relationships/hyperlink" Target="https://drive.google.com/file/d/1-VmHYBa8oXg1_HPTwi2nPAMoE6qassiV/view" TargetMode="External"/><Relationship Id="rId990" Type="http://schemas.openxmlformats.org/officeDocument/2006/relationships/hyperlink" Target="https://www.truper.com/ficha_tecnica/Arco-profesional-extra-pesado-1-kg-62.html?code=10232" TargetMode="External"/><Relationship Id="rId1580" Type="http://schemas.openxmlformats.org/officeDocument/2006/relationships/hyperlink" Target="https://liberzi.com.ar/producto/cabos-de-madera/" TargetMode="External"/><Relationship Id="rId1581" Type="http://schemas.openxmlformats.org/officeDocument/2006/relationships/hyperlink" Target="https://www.amazon.com/-/es/esp%C3%A1tulas-silicona-resistentes-comercial-antiadherentes/dp/B0CK21WX8Y/?th=1" TargetMode="External"/><Relationship Id="rId1582" Type="http://schemas.openxmlformats.org/officeDocument/2006/relationships/hyperlink" Target="https://www.amazon.com/-/es/esp%C3%A1tulas-silicona-resistentes-comercial-antiadherentes/dp/B0CK21WX8Y/?th=1" TargetMode="External"/><Relationship Id="rId510" Type="http://schemas.openxmlformats.org/officeDocument/2006/relationships/hyperlink" Target="https://support.hp.com/pe-es/document/ish_5956566-5987452-26" TargetMode="External"/><Relationship Id="rId994" Type="http://schemas.openxmlformats.org/officeDocument/2006/relationships/hyperlink" Target="https://massbusinessperu.com/cuchilla-electricista-recta-aislada-a-1000v-170mm" TargetMode="External"/><Relationship Id="rId1583" Type="http://schemas.openxmlformats.org/officeDocument/2006/relationships/hyperlink" Target="https://www.amazon.com/-/es/esp%C3%A1tulas-silicona-resistentes-comercial-antiadherentes/dp/B0CK21WX8Y/?th=1" TargetMode="External"/><Relationship Id="rId993" Type="http://schemas.openxmlformats.org/officeDocument/2006/relationships/hyperlink" Target="https://drive.google.com/file/d/1NuFXtOcMT9i5W5OnCzQ-7zV6qPyyioJT/view" TargetMode="External"/><Relationship Id="rId1100" Type="http://schemas.openxmlformats.org/officeDocument/2006/relationships/hyperlink" Target="https://simple.ripley.com.pe/juego-de-alicates-3-piezas-truper-18215-pmp20000843165?srsltid=AfmBOooFairssWBR9swvwgkKS021r2FwkJodihAxEXSKevC0SlSZtDXd&amp;color_80=naranja&amp;s=mdco" TargetMode="External"/><Relationship Id="rId1584" Type="http://schemas.openxmlformats.org/officeDocument/2006/relationships/hyperlink" Target="https://www.amazon.com/-/es/esp%C3%A1tulas-silicona-resistentes-comercial-antiadherentes/dp/B0CK21WX8Y/?th=1" TargetMode="External"/><Relationship Id="rId992" Type="http://schemas.openxmlformats.org/officeDocument/2006/relationships/hyperlink" Target="https://drive.google.com/file/d/1XCyX6rb6U7248SxlK8q6Y7HeWSDHD232/view" TargetMode="External"/><Relationship Id="rId1101" Type="http://schemas.openxmlformats.org/officeDocument/2006/relationships/hyperlink" Target="https://simple.ripley.com.pe/juego-de-alicates-3-piezas-truper-18215-pmp20000843165?srsltid=AfmBOooFairssWBR9swvwgkKS021r2FwkJodihAxEXSKevC0SlSZtDXd&amp;color_80=naranja&amp;s=mdco" TargetMode="External"/><Relationship Id="rId1585" Type="http://schemas.openxmlformats.org/officeDocument/2006/relationships/hyperlink" Target="https://www.amazon.com/-/es/dp/B0F541J6QR?ref=emc_p_m_5_i_atc&amp;th=0" TargetMode="External"/><Relationship Id="rId991" Type="http://schemas.openxmlformats.org/officeDocument/2006/relationships/hyperlink" Target="https://www.promart.pe/arco-de-sierra-kendo-para-trabajo-pesado-300mm-12-pulgadas-ken30566-1000971608/p?srsltid=AfmBOoptr3n3tElOtveuHVgdqBOZ4O4pGPGYQ57BN87qI38aG3lt4iqI" TargetMode="External"/><Relationship Id="rId1102" Type="http://schemas.openxmlformats.org/officeDocument/2006/relationships/hyperlink" Target="https://rodavigo.net/datos/articulos/534/juego-alicates-irimo-1.pdf" TargetMode="External"/><Relationship Id="rId1586" Type="http://schemas.openxmlformats.org/officeDocument/2006/relationships/hyperlink" Target="https://www.amazon.com/-/es/dp/B0F541J6QR?ref=emc_p_m_5_i_atc&amp;th=1" TargetMode="External"/><Relationship Id="rId1532" Type="http://schemas.openxmlformats.org/officeDocument/2006/relationships/hyperlink" Target="https://drive.google.com/file/d/1O0MdC-jJ5YaA-92iz1RDQ8JYDmr8oXzl/view" TargetMode="External"/><Relationship Id="rId1533" Type="http://schemas.openxmlformats.org/officeDocument/2006/relationships/hyperlink" Target="https://drive.google.com/file/d/1O0MdC-jJ5YaA-92iz1RDQ8JYDmr8oXzl/view" TargetMode="External"/><Relationship Id="rId1534" Type="http://schemas.openxmlformats.org/officeDocument/2006/relationships/hyperlink" Target="https://drive.google.com/file/d/1O0MdC-jJ5YaA-92iz1RDQ8JYDmr8oXzl/view" TargetMode="External"/><Relationship Id="rId1535" Type="http://schemas.openxmlformats.org/officeDocument/2006/relationships/hyperlink" Target="https://drive.google.com/file/d/1O0MdC-jJ5YaA-92iz1RDQ8JYDmr8oXzl/view" TargetMode="External"/><Relationship Id="rId1536" Type="http://schemas.openxmlformats.org/officeDocument/2006/relationships/hyperlink" Target="https://www.juki.co.jp/household_en/serger/pdf/MO-80CB_instruction.pdf" TargetMode="External"/><Relationship Id="rId1537" Type="http://schemas.openxmlformats.org/officeDocument/2006/relationships/hyperlink" Target="https://www.juki.co.jp/household_en/serger/pdf/MO-80CB_instruction.pdf" TargetMode="External"/><Relationship Id="rId1538" Type="http://schemas.openxmlformats.org/officeDocument/2006/relationships/hyperlink" Target="https://www.makita.es/product/pj7000.html" TargetMode="External"/><Relationship Id="rId1539" Type="http://schemas.openxmlformats.org/officeDocument/2006/relationships/hyperlink" Target="https://drive.google.com/file/d/1BtToORnRgrOEnYTaHrlevlV6X2PPT1-g/view?usp=drive_link" TargetMode="External"/><Relationship Id="rId949" Type="http://schemas.openxmlformats.org/officeDocument/2006/relationships/hyperlink" Target="https://cahema.pe/alicate-punta/3392-alicate-punta-curva-6-aislado-truper-17337-7501206619018.html?utm_source=chatgpt.com" TargetMode="External"/><Relationship Id="rId948" Type="http://schemas.openxmlformats.org/officeDocument/2006/relationships/hyperlink" Target="https://www.aibitech.com/herramientas-alicates/alicates-de-punta/alicate-de-punta-y-corte-8-comfort-grip-acero-al-cromo-vanadio-t203-8x-17336-truper-6794.html?srsltid=AfmBOopwK_sHUE6OpfUO2SWjhWf9HTdCsz_koEpafFdeEwwI68szw_31" TargetMode="External"/><Relationship Id="rId943" Type="http://schemas.openxmlformats.org/officeDocument/2006/relationships/hyperlink" Target="https://cahema.pe/alicate-presion/11112-alicate-de-presion-punta-curva-10-truper-17423-7501206640241.html" TargetMode="External"/><Relationship Id="rId942" Type="http://schemas.openxmlformats.org/officeDocument/2006/relationships/hyperlink" Target="https://cahema.pe/alicate-presion/11112-alicate-de-presion-punta-curva-10-truper-17423-7501206640241.html" TargetMode="External"/><Relationship Id="rId941" Type="http://schemas.openxmlformats.org/officeDocument/2006/relationships/hyperlink" Target="https://drive.google.com/file/d/18Ivq_3hUfQreemx_VBcHEDDxuTPTZUTf/view?usp=sharing" TargetMode="External"/><Relationship Id="rId940" Type="http://schemas.openxmlformats.org/officeDocument/2006/relationships/hyperlink" Target="https://cahema.pe/alicate-presion/11112-alicate-de-presion-punta-curva-10-truper-17423-7501206640241.html" TargetMode="External"/><Relationship Id="rId947" Type="http://schemas.openxmlformats.org/officeDocument/2006/relationships/hyperlink" Target="https://drive.google.com/file/d/1RJPIghxU78dN72kIRkcMZEys00KDlQ2F/view?usp=sharing" TargetMode="External"/><Relationship Id="rId946" Type="http://schemas.openxmlformats.org/officeDocument/2006/relationships/hyperlink" Target="https://www.aibitech.com/herramientas-alicates/alicates-de-punta/alicate-de-punta-y-corte-8-comfort-grip-acero-al-cromo-vanadio-t203-8x-17336-truper-6794.html?srsltid=AfmBOopwK_sHUE6OpfUO2SWjhWf9HTdCsz_koEpafFdeEwwI68szw_31" TargetMode="External"/><Relationship Id="rId945" Type="http://schemas.openxmlformats.org/officeDocument/2006/relationships/hyperlink" Target="https://cahema.pe/alicate-presion/11112-alicate-de-presion-punta-curva-10-truper-17423-7501206640241.html" TargetMode="External"/><Relationship Id="rId944" Type="http://schemas.openxmlformats.org/officeDocument/2006/relationships/hyperlink" Target="https://drive.google.com/file/d/18Ivq_3hUfQreemx_VBcHEDDxuTPTZUTf/view?usp=sharing" TargetMode="External"/><Relationship Id="rId1530" Type="http://schemas.openxmlformats.org/officeDocument/2006/relationships/hyperlink" Target="https://drive.google.com/file/d/11NnGPL-rHW4IGl_acabYYZZVq8qNYqqK/view" TargetMode="External"/><Relationship Id="rId1531" Type="http://schemas.openxmlformats.org/officeDocument/2006/relationships/hyperlink" Target="https://www.itools.pe/product/nivel-de-burbuja-manual-magnetico-60cm-profesional-total-tmt26056" TargetMode="External"/><Relationship Id="rId1521" Type="http://schemas.openxmlformats.org/officeDocument/2006/relationships/hyperlink" Target="https://drive.google.com/file/d/11o8NuJf-uWDOajz-SxKF0rHq5R6_sbbb/view" TargetMode="External"/><Relationship Id="rId1522" Type="http://schemas.openxmlformats.org/officeDocument/2006/relationships/hyperlink" Target="https://www.princesshome.eu/es-es/productos-princess/heladeras/princess-282605-heladera-01.282605.01.001" TargetMode="External"/><Relationship Id="rId1523" Type="http://schemas.openxmlformats.org/officeDocument/2006/relationships/hyperlink" Target="https://drive.google.com/file/d/11o8NuJf-uWDOajz-SxKF0rHq5R6_sbbb/view" TargetMode="External"/><Relationship Id="rId1524" Type="http://schemas.openxmlformats.org/officeDocument/2006/relationships/hyperlink" Target="https://www.princesshome.eu/es-es/productos-princess/heladeras/princess-282605-heladera-01.282605.01.001" TargetMode="External"/><Relationship Id="rId1525" Type="http://schemas.openxmlformats.org/officeDocument/2006/relationships/hyperlink" Target="https://drive.google.com/file/d/11o8NuJf-uWDOajz-SxKF0rHq5R6_sbbb/view" TargetMode="External"/><Relationship Id="rId1526" Type="http://schemas.openxmlformats.org/officeDocument/2006/relationships/hyperlink" Target="https://www.princesshome.eu/es-es/productos-princess/heladeras/princess-282605-heladera-01.282605.01.001" TargetMode="External"/><Relationship Id="rId1527" Type="http://schemas.openxmlformats.org/officeDocument/2006/relationships/hyperlink" Target="https://drive.google.com/file/d/11o8NuJf-uWDOajz-SxKF0rHq5R6_sbbb/view" TargetMode="External"/><Relationship Id="rId1528" Type="http://schemas.openxmlformats.org/officeDocument/2006/relationships/hyperlink" Target="https://drive.google.com/file/d/11NnGPL-rHW4IGl_acabYYZZVq8qNYqqK/view" TargetMode="External"/><Relationship Id="rId1529" Type="http://schemas.openxmlformats.org/officeDocument/2006/relationships/hyperlink" Target="https://drive.google.com/file/d/11NnGPL-rHW4IGl_acabYYZZVq8qNYqqK/view" TargetMode="External"/><Relationship Id="rId939" Type="http://schemas.openxmlformats.org/officeDocument/2006/relationships/hyperlink" Target="https://cahema.pe/alicate-presion/11112-alicate-de-presion-punta-curva-10-truper-17423-7501206640241.html" TargetMode="External"/><Relationship Id="rId938" Type="http://schemas.openxmlformats.org/officeDocument/2006/relationships/hyperlink" Target="https://drive.google.com/file/d/18Ivq_3hUfQreemx_VBcHEDDxuTPTZUTf/view?usp=sharing" TargetMode="External"/><Relationship Id="rId937" Type="http://schemas.openxmlformats.org/officeDocument/2006/relationships/hyperlink" Target="https://cahema.pe/alicate-presion/11112-alicate-de-presion-punta-curva-10-truper-17423-7501206640241.html" TargetMode="External"/><Relationship Id="rId932" Type="http://schemas.openxmlformats.org/officeDocument/2006/relationships/hyperlink" Target="https://drive.google.com/file/d/1Ho2hg1YeTxPrLUWnjlp6tioUvtzmBuCX/view?usp=sharing" TargetMode="External"/><Relationship Id="rId931" Type="http://schemas.openxmlformats.org/officeDocument/2006/relationships/hyperlink" Target="https://www.sodimac.com.pe/sodimac-pe/articulo/117119198/Alicate-de-corte-dielectrico-1000V-6-pulgadas-Truper-Expert/117119199?srsltid=AfmBOooBN1lm8Uqnhx4-k4wh2kEHi90ozxl1e3TlcMSCmlH1vLmJmnOQ" TargetMode="External"/><Relationship Id="rId930" Type="http://schemas.openxmlformats.org/officeDocument/2006/relationships/hyperlink" Target="https://www.sodimac.com.pe/sodimac-pe/articulo/118932564/Alicates-dielectricos-1000V-3-piezas,-1-probador-de-corriente-Truper/118932565" TargetMode="External"/><Relationship Id="rId936" Type="http://schemas.openxmlformats.org/officeDocument/2006/relationships/hyperlink" Target="https://www.sodimac.com.pe/sodimac-pe/articulo/118932564/Alicates-dielectricos-1000V-3-piezas,-1-probador-de-corriente-Truper/118932565" TargetMode="External"/><Relationship Id="rId935" Type="http://schemas.openxmlformats.org/officeDocument/2006/relationships/hyperlink" Target="https://drive.google.com/file/d/1Ho2hg1YeTxPrLUWnjlp6tioUvtzmBuCX/view?usp=sharing" TargetMode="External"/><Relationship Id="rId934" Type="http://schemas.openxmlformats.org/officeDocument/2006/relationships/hyperlink" Target="https://www.sodimac.com.pe/sodimac-pe/articulo/117119198/Alicate-de-corte-dielectrico-1000V-6-pulgadas-Truper-Expert/117119199?srsltid=AfmBOooBN1lm8Uqnhx4-k4wh2kEHi90ozxl1e3TlcMSCmlH1vLmJmnOQ" TargetMode="External"/><Relationship Id="rId933" Type="http://schemas.openxmlformats.org/officeDocument/2006/relationships/hyperlink" Target="https://www.sodimac.com.pe/sodimac-pe/articulo/118932564/Alicates-dielectricos-1000V-3-piezas,-1-probador-de-corriente-Truper/118932565" TargetMode="External"/><Relationship Id="rId1520" Type="http://schemas.openxmlformats.org/officeDocument/2006/relationships/hyperlink" Target="https://www.princesshome.eu/es-es/productos-princess/heladeras/princess-282605-heladera-01.282605.01.001" TargetMode="External"/><Relationship Id="rId1554" Type="http://schemas.openxmlformats.org/officeDocument/2006/relationships/hyperlink" Target="https://drive.google.com/file/d/1Lnbof1hrsNcq-qhUnqeuQChl9Xo1FObH/view" TargetMode="External"/><Relationship Id="rId2401" Type="http://schemas.openxmlformats.org/officeDocument/2006/relationships/hyperlink" Target="https://hken.rs-online.com/web/p/inverter-drives/7840751" TargetMode="External"/><Relationship Id="rId1555" Type="http://schemas.openxmlformats.org/officeDocument/2006/relationships/hyperlink" Target="https://drive.google.com/file/d/1exMBFhzf-zOtwPGEUQx0NZFWfp_qYKrM/view?usp=sharing" TargetMode="External"/><Relationship Id="rId2402" Type="http://schemas.openxmlformats.org/officeDocument/2006/relationships/hyperlink" Target="https://docs.rs-online.com/4876/A700000011880398.pdf" TargetMode="External"/><Relationship Id="rId1556" Type="http://schemas.openxmlformats.org/officeDocument/2006/relationships/hyperlink" Target="https://drive.google.com/drive/search?q=M%C3%81QUINA%20TRANSFER%20BASE%20PLANA%20DIGITAL" TargetMode="External"/><Relationship Id="rId2403" Type="http://schemas.openxmlformats.org/officeDocument/2006/relationships/hyperlink" Target="https://www.amazon.com/ETCR-Three-Phase-Voltammeter-0-0mA-20-0A-0-0-360-0%C2%B0/dp/B0CXMBSWJH" TargetMode="External"/><Relationship Id="rId1557" Type="http://schemas.openxmlformats.org/officeDocument/2006/relationships/hyperlink" Target="https://drive.google.com/file/d/1exMBFhzf-zOtwPGEUQx0NZFWfp_qYKrM/view?usp=sharing" TargetMode="External"/><Relationship Id="rId2404" Type="http://schemas.openxmlformats.org/officeDocument/2006/relationships/hyperlink" Target="https://drive.google.com/file/d/1hFU-Fna5_ftDj9uwsRQc7rJMTCcTNLkZ/view" TargetMode="External"/><Relationship Id="rId1558" Type="http://schemas.openxmlformats.org/officeDocument/2006/relationships/hyperlink" Target="https://drive.google.com/drive/search?q=M%C3%81QUINA%20TRANSFER%20BASE%20PLANA%20DIGITAL" TargetMode="External"/><Relationship Id="rId2405" Type="http://schemas.openxmlformats.org/officeDocument/2006/relationships/hyperlink" Target="https://www.amazon.com/ETCR-Three-Phase-Voltammeter-0-0mA-20-0A-0-0-360-0%C2%B0/dp/B0CXMBSWJH" TargetMode="External"/><Relationship Id="rId1559" Type="http://schemas.openxmlformats.org/officeDocument/2006/relationships/hyperlink" Target="https://www.juki.co.jp/industrial_e/products_e/apparel_e/zigzag_e/detail.php?cd=LZ-2284A-7_LZ-2284A_E" TargetMode="External"/><Relationship Id="rId2406" Type="http://schemas.openxmlformats.org/officeDocument/2006/relationships/hyperlink" Target="https://drive.google.com/file/d/1hFU-Fna5_ftDj9uwsRQc7rJMTCcTNLkZ/view" TargetMode="External"/><Relationship Id="rId2407" Type="http://schemas.openxmlformats.org/officeDocument/2006/relationships/hyperlink" Target="https://www.amazon.com/ETCR-Three-Phase-Voltammeter-0-0mA-20-0A-0-0-360-0%C2%B0/dp/B0CXMBSWJH" TargetMode="External"/><Relationship Id="rId2408" Type="http://schemas.openxmlformats.org/officeDocument/2006/relationships/hyperlink" Target="https://drive.google.com/file/d/1hFU-Fna5_ftDj9uwsRQc7rJMTCcTNLkZ/view" TargetMode="External"/><Relationship Id="rId2409" Type="http://schemas.openxmlformats.org/officeDocument/2006/relationships/hyperlink" Target="https://www.aeatechnology.com/new-vna-and-swr-site-analyzer" TargetMode="External"/><Relationship Id="rId965" Type="http://schemas.openxmlformats.org/officeDocument/2006/relationships/hyperlink" Target="https://www.truper.com/ficha_tecnica/Pinza-pelacables-9-7-medidas-4-mordazas-4240.html?code=17353" TargetMode="External"/><Relationship Id="rId964" Type="http://schemas.openxmlformats.org/officeDocument/2006/relationships/hyperlink" Target="https://sodimac.falabella.com.pe/sodimac-pe/product/113539082/Pelacables-3-en-1/113539092" TargetMode="External"/><Relationship Id="rId963" Type="http://schemas.openxmlformats.org/officeDocument/2006/relationships/hyperlink" Target="https://sodimac.falabella.com.pe/sodimac-pe/product/113539082/Pelacables-3-en-1/113539092" TargetMode="External"/><Relationship Id="rId962" Type="http://schemas.openxmlformats.org/officeDocument/2006/relationships/hyperlink" Target="https://sodimac.falabella.com.pe/sodimac-pe/product/113539082/Pelacables-3-en-1/113539092" TargetMode="External"/><Relationship Id="rId969" Type="http://schemas.openxmlformats.org/officeDocument/2006/relationships/hyperlink" Target="https://www.falabella.com.pe/falabella-pe/product/146837340/Alicate-Universal-8-Aislado-1000V-200mm-STANLEY-Mango-Erg/146837343" TargetMode="External"/><Relationship Id="rId968" Type="http://schemas.openxmlformats.org/officeDocument/2006/relationships/hyperlink" Target="https://www.falabella.com.pe/falabella-pe/product/118323677/Alicate-pela-cables-20-a-10-AWG-Truper/118323678?utm_source=chatgpt.com" TargetMode="External"/><Relationship Id="rId967" Type="http://schemas.openxmlformats.org/officeDocument/2006/relationships/hyperlink" Target="https://www.truper.com/ficha_tecnica/Pinza-pelacables-9-7-medidas-4-mordazas-4240.html?code=17353" TargetMode="External"/><Relationship Id="rId966" Type="http://schemas.openxmlformats.org/officeDocument/2006/relationships/hyperlink" Target="https://www.falabella.com.pe/falabella-pe/product/118323677/Alicate-pela-cables-20-a-10-AWG-Truper/118323678?utm_source=chatgpt.com" TargetMode="External"/><Relationship Id="rId961" Type="http://schemas.openxmlformats.org/officeDocument/2006/relationships/hyperlink" Target="https://sodimac.falabella.com.pe/sodimac-pe/product/113539082/Pelacables-3-en-1/113539092" TargetMode="External"/><Relationship Id="rId1550" Type="http://schemas.openxmlformats.org/officeDocument/2006/relationships/hyperlink" Target="https://drive.google.com/drive/folders/16X4eYzafRw3ud61SDvHI4zFJsEL-8Fc_" TargetMode="External"/><Relationship Id="rId960" Type="http://schemas.openxmlformats.org/officeDocument/2006/relationships/hyperlink" Target="https://cahema.pe/alicate-punta/3392-alicate-punta-curva-6-aislado-truper-17337-7501206619018.html?utm_source=chatgpt.com" TargetMode="External"/><Relationship Id="rId1551" Type="http://schemas.openxmlformats.org/officeDocument/2006/relationships/hyperlink" Target="https://drive.google.com/file/d/1Lnbof1hrsNcq-qhUnqeuQChl9Xo1FObH/view" TargetMode="External"/><Relationship Id="rId1552" Type="http://schemas.openxmlformats.org/officeDocument/2006/relationships/hyperlink" Target="https://drive.google.com/file/d/1Lnbof1hrsNcq-qhUnqeuQChl9Xo1FObH/view" TargetMode="External"/><Relationship Id="rId1553" Type="http://schemas.openxmlformats.org/officeDocument/2006/relationships/hyperlink" Target="https://drive.google.com/file/d/1Lnbof1hrsNcq-qhUnqeuQChl9Xo1FObH/view" TargetMode="External"/><Relationship Id="rId2400" Type="http://schemas.openxmlformats.org/officeDocument/2006/relationships/hyperlink" Target="https://docs.rs-online.com/4876/A700000011880398.pdf" TargetMode="External"/><Relationship Id="rId1543" Type="http://schemas.openxmlformats.org/officeDocument/2006/relationships/hyperlink" Target="https://drive.google.com/file/d/1zKSk8LDEHjy-fb3ulUuW8I_SQgn1NpIp/view?usp=sharing" TargetMode="External"/><Relationship Id="rId1544" Type="http://schemas.openxmlformats.org/officeDocument/2006/relationships/hyperlink" Target="https://www.bernardo.at/es/shop/Cepilladora-y-regruesadora-FS-310-PS--230-V~p86126" TargetMode="External"/><Relationship Id="rId1545" Type="http://schemas.openxmlformats.org/officeDocument/2006/relationships/hyperlink" Target="https://drive.google.com/file/d/1zKSk8LDEHjy-fb3ulUuW8I_SQgn1NpIp/view?usp=sharing" TargetMode="External"/><Relationship Id="rId1546" Type="http://schemas.openxmlformats.org/officeDocument/2006/relationships/hyperlink" Target="https://www.bungard.de/en/machines/etching-developing-machines/splash-center" TargetMode="External"/><Relationship Id="rId1547" Type="http://schemas.openxmlformats.org/officeDocument/2006/relationships/hyperlink" Target="https://www.bungard.de/en/machines/cnc-machines/ccd-2-atc" TargetMode="External"/><Relationship Id="rId1548" Type="http://schemas.openxmlformats.org/officeDocument/2006/relationships/hyperlink" Target="https://www.bungard.de/en/machines/exposure-units/hellas" TargetMode="External"/><Relationship Id="rId1549" Type="http://schemas.openxmlformats.org/officeDocument/2006/relationships/hyperlink" Target="https://www.bungard.de/en/machines/through-hole-plating/favorit" TargetMode="External"/><Relationship Id="rId959" Type="http://schemas.openxmlformats.org/officeDocument/2006/relationships/hyperlink" Target="https://drive.google.com/file/d/1sulfvWlHWMHxhFjiFfGJty-ePvNJAUFS/view?usp=sharing" TargetMode="External"/><Relationship Id="rId954" Type="http://schemas.openxmlformats.org/officeDocument/2006/relationships/hyperlink" Target="https://cahema.pe/alicate-punta/3392-alicate-punta-curva-6-aislado-truper-17337-7501206619018.html?utm_source=chatgpt.com" TargetMode="External"/><Relationship Id="rId953" Type="http://schemas.openxmlformats.org/officeDocument/2006/relationships/hyperlink" Target="https://drive.google.com/file/d/1sulfvWlHWMHxhFjiFfGJty-ePvNJAUFS/view?usp=sharing" TargetMode="External"/><Relationship Id="rId952" Type="http://schemas.openxmlformats.org/officeDocument/2006/relationships/hyperlink" Target="https://cahema.pe/alicate-punta/3392-alicate-punta-curva-6-aislado-truper-17337-7501206619018.html?utm_source=chatgpt.com" TargetMode="External"/><Relationship Id="rId951" Type="http://schemas.openxmlformats.org/officeDocument/2006/relationships/hyperlink" Target="https://cahema.pe/alicate-punta/3392-alicate-punta-curva-6-aislado-truper-17337-7501206619018.html?utm_source=chatgpt.com" TargetMode="External"/><Relationship Id="rId958" Type="http://schemas.openxmlformats.org/officeDocument/2006/relationships/hyperlink" Target="https://cahema.pe/alicate-punta/3392-alicate-punta-curva-6-aislado-truper-17337-7501206619018.html?utm_source=chatgpt.com" TargetMode="External"/><Relationship Id="rId957" Type="http://schemas.openxmlformats.org/officeDocument/2006/relationships/hyperlink" Target="https://cahema.pe/alicate-punta/3392-alicate-punta-curva-6-aislado-truper-17337-7501206619018.html?utm_source=chatgpt.com" TargetMode="External"/><Relationship Id="rId956" Type="http://schemas.openxmlformats.org/officeDocument/2006/relationships/hyperlink" Target="https://drive.google.com/file/d/1sulfvWlHWMHxhFjiFfGJty-ePvNJAUFS/view?usp=sharing" TargetMode="External"/><Relationship Id="rId955" Type="http://schemas.openxmlformats.org/officeDocument/2006/relationships/hyperlink" Target="https://cahema.pe/alicate-punta/3392-alicate-punta-curva-6-aislado-truper-17337-7501206619018.html?utm_source=chatgpt.com" TargetMode="External"/><Relationship Id="rId950" Type="http://schemas.openxmlformats.org/officeDocument/2006/relationships/hyperlink" Target="https://drive.google.com/file/d/1sulfvWlHWMHxhFjiFfGJty-ePvNJAUFS/view?usp=sharing" TargetMode="External"/><Relationship Id="rId1540" Type="http://schemas.openxmlformats.org/officeDocument/2006/relationships/hyperlink" Target="https://www.makita.es/product/pj7000.html" TargetMode="External"/><Relationship Id="rId1541" Type="http://schemas.openxmlformats.org/officeDocument/2006/relationships/hyperlink" Target="https://drive.google.com/file/d/1BtToORnRgrOEnYTaHrlevlV6X2PPT1-g/view?usp=drive_link" TargetMode="External"/><Relationship Id="rId1542" Type="http://schemas.openxmlformats.org/officeDocument/2006/relationships/hyperlink" Target="https://www.bernardo.at/es/shop/Cepilladora-y-regruesadora-FS-310-PS--230-V~p86126" TargetMode="External"/><Relationship Id="rId2027" Type="http://schemas.openxmlformats.org/officeDocument/2006/relationships/hyperlink" Target="https://drive.google.com/file/d/1LzIVHsxp0SJkEDlQdUgANmsCyXsCCHiw/view" TargetMode="External"/><Relationship Id="rId2028" Type="http://schemas.openxmlformats.org/officeDocument/2006/relationships/hyperlink" Target="https://drive.google.com/file/d/1IcHy16s2wbkJLph8wKhs2jLlok4biAzo/view" TargetMode="External"/><Relationship Id="rId2029" Type="http://schemas.openxmlformats.org/officeDocument/2006/relationships/hyperlink" Target="https://drive.google.com/file/d/1IcHy16s2wbkJLph8wKhs2jLlok4biAzo/view?usp=sharing" TargetMode="External"/><Relationship Id="rId590" Type="http://schemas.openxmlformats.org/officeDocument/2006/relationships/hyperlink" Target="https://armotec.pe/products/medidor-de-humedad-de-materiales-ama005" TargetMode="External"/><Relationship Id="rId107" Type="http://schemas.openxmlformats.org/officeDocument/2006/relationships/hyperlink" Target="https://www.appsheet.com/template/gettablefileurl?appName=APPDISTRIBUIDORES-2753577&amp;tableName=RECURSOS&amp;fileName=RECURSOS_Files_%2F186040010.DOC_INSERTO_SAP.140232.pdf" TargetMode="External"/><Relationship Id="rId106" Type="http://schemas.openxmlformats.org/officeDocument/2006/relationships/hyperlink" Target="https://www.amazon.es/GLASSNOBLE-Protector-Auriculares-port%C3%A1til-Transporte/dp/B09BKJYN55" TargetMode="External"/><Relationship Id="rId105" Type="http://schemas.openxmlformats.org/officeDocument/2006/relationships/hyperlink" Target="https://mackie.com/es/products/headphones/mc-series-headphones/MC_100.html?srsltid=AfmBOoq3fXxsDJ_Y3zc6agTGqqsPwcIfBHIzTJgkWbYjz_hddQIg7V0A" TargetMode="External"/><Relationship Id="rId589" Type="http://schemas.openxmlformats.org/officeDocument/2006/relationships/hyperlink" Target="https://hannainst.com.mx/checker-para-cloro-intervalo-ultra-alto-0-500-ppm-hi771" TargetMode="External"/><Relationship Id="rId104" Type="http://schemas.openxmlformats.org/officeDocument/2006/relationships/hyperlink" Target="https://www.amazon.es/GLASSNOBLE-Protector-Auriculares-port%C3%A1til-Transporte/dp/B09BKJYN55" TargetMode="External"/><Relationship Id="rId588" Type="http://schemas.openxmlformats.org/officeDocument/2006/relationships/hyperlink" Target="https://hannainst.com.mx/checker-para-cloro-intervalo-ultra-alto-0-500-ppm-hi771" TargetMode="External"/><Relationship Id="rId109" Type="http://schemas.openxmlformats.org/officeDocument/2006/relationships/hyperlink" Target="https://docs.google.com/spreadsheets/d/110ICbz3sGTtgslgaI3Mmio00T5gXG-Gs6WI5p-t9_gs/edit?gid=0" TargetMode="External"/><Relationship Id="rId1170" Type="http://schemas.openxmlformats.org/officeDocument/2006/relationships/hyperlink" Target="https://www.amazon.com/Spurtar-Adjustable-68-85-133-35mm-Universal-Generator/dp/B0C4P1SP58?th=1" TargetMode="External"/><Relationship Id="rId108" Type="http://schemas.openxmlformats.org/officeDocument/2006/relationships/hyperlink" Target="https://www.appsheet.com/template/gettablefileurl?appName=APPDISTRIBUIDORES-2753577&amp;tableName=RECURSOS&amp;fileName=RECURSOS_Files_%2F186040010.DOC_INSERTO_SAP.140232.pdf" TargetMode="External"/><Relationship Id="rId1171" Type="http://schemas.openxmlformats.org/officeDocument/2006/relationships/hyperlink" Target="https://www.amazon.com/Spurtar-Adjustable-68-85-133-35mm-Universal-Generator/dp/B0C4P1SP58?th=2" TargetMode="External"/><Relationship Id="rId583" Type="http://schemas.openxmlformats.org/officeDocument/2006/relationships/hyperlink" Target="https://docs.google.com/spreadsheets/d/17zNg4unkldTzrkOxsDqgD0y0yf7H5TSO8SJeDBps1lc/edit?gid=0" TargetMode="External"/><Relationship Id="rId1172" Type="http://schemas.openxmlformats.org/officeDocument/2006/relationships/hyperlink" Target="https://docs.google.com/spreadsheets/d/1TYXL9kI7Yc6xT3Ln7BjTZf3ismRlZU8wtaSurh-iwc8/edit?gid=0" TargetMode="External"/><Relationship Id="rId582" Type="http://schemas.openxmlformats.org/officeDocument/2006/relationships/hyperlink" Target="https://www.amazon.com.mx/Manometro-Para-Gas-Baja-Presi%C3%B3n/dp/B0C5KPL66D" TargetMode="External"/><Relationship Id="rId1173" Type="http://schemas.openxmlformats.org/officeDocument/2006/relationships/hyperlink" Target="https://www.amazon.com/Spurtar-Adjustable-68-85-133-35mm-Universal-Generator/dp/B0C4P1SP58?th=3" TargetMode="External"/><Relationship Id="rId2020" Type="http://schemas.openxmlformats.org/officeDocument/2006/relationships/hyperlink" Target="https://drive.google.com/file/d/1g2d9B4aEMaxZIWhRWarKX1XIR3xUvXe9/view" TargetMode="External"/><Relationship Id="rId581" Type="http://schemas.openxmlformats.org/officeDocument/2006/relationships/hyperlink" Target="https://docs.google.com/spreadsheets/d/17zNg4unkldTzrkOxsDqgD0y0yf7H5TSO8SJeDBps1lc/edit?gid=0" TargetMode="External"/><Relationship Id="rId1174" Type="http://schemas.openxmlformats.org/officeDocument/2006/relationships/hyperlink" Target="https://docs.google.com/spreadsheets/d/1TYXL9kI7Yc6xT3Ln7BjTZf3ismRlZU8wtaSurh-iwc8/edit?gid=0" TargetMode="External"/><Relationship Id="rId2021" Type="http://schemas.openxmlformats.org/officeDocument/2006/relationships/hyperlink" Target="https://drive.google.com/file/d/1g2d9B4aEMaxZIWhRWarKX1XIR3xUvXe9/view" TargetMode="External"/><Relationship Id="rId580" Type="http://schemas.openxmlformats.org/officeDocument/2006/relationships/hyperlink" Target="https://www.amazon.com.mx/Manometro-Para-Gas-Baja-Presi%C3%B3n/dp/B0C5KPL66D" TargetMode="External"/><Relationship Id="rId1175" Type="http://schemas.openxmlformats.org/officeDocument/2006/relationships/hyperlink" Target="https://www.corporacionferremax.com/product/juego-de-alicates-pinzas-miniatura-3-piezas-truper" TargetMode="External"/><Relationship Id="rId2022" Type="http://schemas.openxmlformats.org/officeDocument/2006/relationships/hyperlink" Target="https://drive.google.com/file/d/1g2d9B4aEMaxZIWhRWarKX1XIR3xUvXe9/view" TargetMode="External"/><Relationship Id="rId103" Type="http://schemas.openxmlformats.org/officeDocument/2006/relationships/hyperlink" Target="https://mackie.com/es/products/headphones/mc-series-headphones/MC_100.html?srsltid=AfmBOoq3fXxsDJ_Y3zc6agTGqqsPwcIfBHIzTJgkWbYjz_hddQIg7V0A" TargetMode="External"/><Relationship Id="rId587" Type="http://schemas.openxmlformats.org/officeDocument/2006/relationships/hyperlink" Target="https://hannainst.com.mx/checker-para-cloro-intervalo-ultra-alto-0-500-ppm-hi771" TargetMode="External"/><Relationship Id="rId1176" Type="http://schemas.openxmlformats.org/officeDocument/2006/relationships/hyperlink" Target="https://sodimac.falabella.com.pe/sodimac-pe/product/127281473/Prensa-Rapida-12-Bauker/127281475?exp=sodimac" TargetMode="External"/><Relationship Id="rId2023" Type="http://schemas.openxmlformats.org/officeDocument/2006/relationships/hyperlink" Target="https://drive.google.com/file/d/1g2d9B4aEMaxZIWhRWarKX1XIR3xUvXe9/view" TargetMode="External"/><Relationship Id="rId102" Type="http://schemas.openxmlformats.org/officeDocument/2006/relationships/hyperlink" Target="https://www.amazon.es/GLASSNOBLE-Protector-Auriculares-port%C3%A1til-Transporte/dp/B09BKJYN55" TargetMode="External"/><Relationship Id="rId586" Type="http://schemas.openxmlformats.org/officeDocument/2006/relationships/hyperlink" Target="https://hannainst.com.mx/checker-para-cloro-intervalo-ultra-alto-0-500-ppm-hi771" TargetMode="External"/><Relationship Id="rId1177" Type="http://schemas.openxmlformats.org/officeDocument/2006/relationships/hyperlink" Target="https://docs.google.com/spreadsheets/d/16awoRAtskLQraHNQXLdL0CnDjXnR969ICeyM8AufBGA/edit?gid=0" TargetMode="External"/><Relationship Id="rId2024" Type="http://schemas.openxmlformats.org/officeDocument/2006/relationships/hyperlink" Target="https://www.philips.com.pe/c-p/GC484_40/easy-touch-stand-steamer" TargetMode="External"/><Relationship Id="rId101" Type="http://schemas.openxmlformats.org/officeDocument/2006/relationships/hyperlink" Target="https://mackie.com/es/products/headphones/mc-series-headphones/MC_100.html?srsltid=AfmBOoq3fXxsDJ_Y3zc6agTGqqsPwcIfBHIzTJgkWbYjz_hddQIg7V0A" TargetMode="External"/><Relationship Id="rId585" Type="http://schemas.openxmlformats.org/officeDocument/2006/relationships/hyperlink" Target="https://docs.google.com/spreadsheets/d/1w3zl8Sr355iFfjbE7_4xsQlV0XR0xpd8e0c0fnNnmTI/edit?gid=0" TargetMode="External"/><Relationship Id="rId1178" Type="http://schemas.openxmlformats.org/officeDocument/2006/relationships/hyperlink" Target="https://www.amazon.com/-/es/Pinza-esp%C3%A1tula-pulgadas-marca-Irwin/dp/B001JT87RY/ref=sr_1_1?crid=2ULAY2PDJSIO9&amp;dib=eyJ2IjoiMSJ9.7n29Z-98vTCywKuHc-gLva-o2N5D2kCZEcMlw4ZWLoQMuDZ4TVdNEnguapSKJ-win6dDl-ZnMT__37VrBCKlhQhjFVr_Yg4cfj4VjnHQBgkLssIPxkIk7OYDtcd8iLR7DPlpJiOekOpny-0Tcnne7vSbLg1LwwlvxRMloNs4HAgBHfHCRR2FFY1M1PKv9ApyiqNUYRITUPlyyUwGTSj5a_Zu8FIqsxALl7R6AIn9LfA.kAUdeXxiuEZAzaAxpfNvYjfkaTZg4batO0meK32Tjek&amp;dib_tag=se&amp;keywords=Prensa%2BQuick%2BGrip%2B6%22%2Birwin&amp;qid=1760045071&amp;sprefix=prensa%2Bquick%2Bgrip%2B6%2Birwin%2Caps%2C161&amp;sr=8-1&amp;th=1" TargetMode="External"/><Relationship Id="rId2025" Type="http://schemas.openxmlformats.org/officeDocument/2006/relationships/hyperlink" Target="https://drive.google.com/file/d/1LzIVHsxp0SJkEDlQdUgANmsCyXsCCHiw/view" TargetMode="External"/><Relationship Id="rId100" Type="http://schemas.openxmlformats.org/officeDocument/2006/relationships/hyperlink" Target="https://www.amazon.es/GLASSNOBLE-Protector-Auriculares-port%C3%A1til-Transporte/dp/B09BKJYN55" TargetMode="External"/><Relationship Id="rId584" Type="http://schemas.openxmlformats.org/officeDocument/2006/relationships/hyperlink" Target="https://docs.google.com/spreadsheets/d/1w3zl8Sr355iFfjbE7_4xsQlV0XR0xpd8e0c0fnNnmTI/edit?gid=0" TargetMode="External"/><Relationship Id="rId1179" Type="http://schemas.openxmlformats.org/officeDocument/2006/relationships/hyperlink" Target="https://sodimac.falabella.com.pe/sodimac-pe/product/127281473/Prensa-Rapida-12-Bauker/127281475?exp=sodimac" TargetMode="External"/><Relationship Id="rId2026" Type="http://schemas.openxmlformats.org/officeDocument/2006/relationships/hyperlink" Target="https://www.philips.com.pe/c-p/GC484_40/easy-touch-stand-steamer" TargetMode="External"/><Relationship Id="rId1169" Type="http://schemas.openxmlformats.org/officeDocument/2006/relationships/hyperlink" Target="https://www.sodimac.com.pe/sodimac-pe/articulo/124515794/Juego-14-piezas-enrollable-Llave-mixta-6-24mm-Acero-Satinado-Ferrawyy/124515799" TargetMode="External"/><Relationship Id="rId2016" Type="http://schemas.openxmlformats.org/officeDocument/2006/relationships/hyperlink" Target="https://www.viewsonic.com/la/products/ifp7550.html" TargetMode="External"/><Relationship Id="rId2017" Type="http://schemas.openxmlformats.org/officeDocument/2006/relationships/hyperlink" Target="https://www.viewsonic.com/la/products/ifp7550.html" TargetMode="External"/><Relationship Id="rId2018" Type="http://schemas.openxmlformats.org/officeDocument/2006/relationships/hyperlink" Target="https://www.amazon.com/SPARC-Regulador-arg%C3%B3n-medidor-flujo/dp/B01MU57K05/ref=sr_1_2_sspa?dib=eyJ2IjoiMSJ9.zeD1AyzrDGj7gZ9wSY9L0oNo5VpzYcWVun7PjNzjSL4xscSfU06stjLXY9Mz82Z5jvmHwDPF23uRkyRuohSrVcBL2QvIX0UUscqvbU76hxa8___Od_0G-J232V89j-pqjn9rIHhuDsWRITyLqLFXP_7zi2cg2iuB_-O2OiprES8cHp1S92PH6SHZf56nMu1wLk88wVSxdj-taO5fbayiZipug65xJaHYKPlRwHHv-A0.HTsSevZ0PE7UB_vdw-oUCkxWb_kLZ003TGT2zN_D_oI&amp;dib_tag=se&amp;keywords=regulador+de+argon&amp;qid=1759267851&amp;sr=8-2-spons&amp;sp_csd=d2lkZ2V0TmFtZT1zcF9hdGY&amp;psc=1" TargetMode="External"/><Relationship Id="rId2019" Type="http://schemas.openxmlformats.org/officeDocument/2006/relationships/hyperlink" Target="https://www.viewsonic.com/la/products/ifp7550.html" TargetMode="External"/><Relationship Id="rId579" Type="http://schemas.openxmlformats.org/officeDocument/2006/relationships/hyperlink" Target="https://docs.google.com/spreadsheets/d/17zNg4unkldTzrkOxsDqgD0y0yf7H5TSO8SJeDBps1lc/edit?gid=0" TargetMode="External"/><Relationship Id="rId578" Type="http://schemas.openxmlformats.org/officeDocument/2006/relationships/hyperlink" Target="https://www.amazon.com.mx/Manometro-Para-Gas-Baja-Presi%C3%B3n/dp/B0C5KPL66D" TargetMode="External"/><Relationship Id="rId577" Type="http://schemas.openxmlformats.org/officeDocument/2006/relationships/hyperlink" Target="https://dicapomaniquies.com/product/balder-2" TargetMode="External"/><Relationship Id="rId1160" Type="http://schemas.openxmlformats.org/officeDocument/2006/relationships/hyperlink" Target="https://www.amazon.com/EPAuto-Heavy-Universal-Wrench-4-Way/dp/B01I5RCIUY?th=1" TargetMode="External"/><Relationship Id="rId572" Type="http://schemas.openxmlformats.org/officeDocument/2006/relationships/hyperlink" Target="https://articulo.mercadolibre.com.pe/MPE-606434965-kit-de-iluminacion-continua-doble-softbox-parante-8-focos-_JM" TargetMode="External"/><Relationship Id="rId1161" Type="http://schemas.openxmlformats.org/officeDocument/2006/relationships/hyperlink" Target="https://www.amazon.com/EPAuto-Heavy-Universal-Wrench-4-Way/dp/B01I5RCIUY?th=2" TargetMode="External"/><Relationship Id="rId571" Type="http://schemas.openxmlformats.org/officeDocument/2006/relationships/hyperlink" Target="https://articulo.mercadolibre.com.pe/MPE-606434965-kit-de-iluminacion-continua-doble-softbox-parante-8-focos-_JM" TargetMode="External"/><Relationship Id="rId1162" Type="http://schemas.openxmlformats.org/officeDocument/2006/relationships/hyperlink" Target="https://docs.google.com/spreadsheets/d/1mlqnc-2TCw9KQVJkFi4c6SfffX92stoSMSUBggGZTtI/edit?gid=0" TargetMode="External"/><Relationship Id="rId570" Type="http://schemas.openxmlformats.org/officeDocument/2006/relationships/hyperlink" Target="https://articulo.mercadolibre.com.pe/MPE-606434965-kit-de-iluminacion-continua-doble-softbox-parante-8-focos-_JM" TargetMode="External"/><Relationship Id="rId1163" Type="http://schemas.openxmlformats.org/officeDocument/2006/relationships/hyperlink" Target="https://www.amazon.com/EPAuto-Heavy-Universal-Wrench-4-Way/dp/B01I5RCIUY?th=3" TargetMode="External"/><Relationship Id="rId2010" Type="http://schemas.openxmlformats.org/officeDocument/2006/relationships/hyperlink" Target="https://www.viewsonic.com/la/products/ifp7550.html" TargetMode="External"/><Relationship Id="rId1164" Type="http://schemas.openxmlformats.org/officeDocument/2006/relationships/hyperlink" Target="https://docs.google.com/spreadsheets/d/1mlqnc-2TCw9KQVJkFi4c6SfffX92stoSMSUBggGZTtI/edit?gid=0" TargetMode="External"/><Relationship Id="rId2011" Type="http://schemas.openxmlformats.org/officeDocument/2006/relationships/hyperlink" Target="https://www.viewsonic.com/la/products/ifp7550.html" TargetMode="External"/><Relationship Id="rId576" Type="http://schemas.openxmlformats.org/officeDocument/2006/relationships/hyperlink" Target="https://www.thunderlaser.com/titan-series/" TargetMode="External"/><Relationship Id="rId1165" Type="http://schemas.openxmlformats.org/officeDocument/2006/relationships/hyperlink" Target="https://www.promart.pe/juego-de-llaves-combinadas-metricas-x12-piezas-96697/p?srsltid=AfmBOooHCane3IDVLNOL20k1t-k4ErDXoOaLi7RKrl5-vNwCfTCb6HOq" TargetMode="External"/><Relationship Id="rId2012" Type="http://schemas.openxmlformats.org/officeDocument/2006/relationships/hyperlink" Target="https://www.viewsonic.com/la/products/ifp7550.html" TargetMode="External"/><Relationship Id="rId575" Type="http://schemas.openxmlformats.org/officeDocument/2006/relationships/hyperlink" Target="https://dicapomaniquies.com/product/balder-2" TargetMode="External"/><Relationship Id="rId1166" Type="http://schemas.openxmlformats.org/officeDocument/2006/relationships/hyperlink" Target="https://www.promart.pe/juego-de-llaves-combinadas-metricas-x12-piezas-96697/p?srsltid=AfmBOooHCane3IDVLNOL20k1t-k4ErDXoOaLi7RKrl5-vNwCfTCb6HOq" TargetMode="External"/><Relationship Id="rId2013" Type="http://schemas.openxmlformats.org/officeDocument/2006/relationships/hyperlink" Target="https://www.viewsonic.com/la/products/ifp7550.html" TargetMode="External"/><Relationship Id="rId574" Type="http://schemas.openxmlformats.org/officeDocument/2006/relationships/hyperlink" Target="https://www.falabella.com.pe/falabella-pe/product/124425983/Kit-Soldar-Soporte-Pinza-Lupa-Luz-LED-Para-Reparacion-Circuitos/124425987" TargetMode="External"/><Relationship Id="rId1167" Type="http://schemas.openxmlformats.org/officeDocument/2006/relationships/hyperlink" Target="https://www.sodimac.com.pe/sodimac-pe/articulo/124515794/Juego-14-piezas-enrollable-Llave-mixta-6-24mm-Acero-Satinado-Ferrawyy/124515799" TargetMode="External"/><Relationship Id="rId2014" Type="http://schemas.openxmlformats.org/officeDocument/2006/relationships/hyperlink" Target="https://www.viewsonic.com/la/products/ifp7550.html" TargetMode="External"/><Relationship Id="rId573" Type="http://schemas.openxmlformats.org/officeDocument/2006/relationships/hyperlink" Target="https://articulo.mercadolibre.com.pe/MPE-606434965-kit-de-iluminacion-continua-doble-softbox-parante-8-focos-_JM" TargetMode="External"/><Relationship Id="rId1168" Type="http://schemas.openxmlformats.org/officeDocument/2006/relationships/hyperlink" Target="https://www.sodimac.com.pe/sodimac-pe/articulo/124515794/Juego-14-piezas-enrollable-Llave-mixta-6-24mm-Acero-Satinado-Ferrawyy/124515799" TargetMode="External"/><Relationship Id="rId2015" Type="http://schemas.openxmlformats.org/officeDocument/2006/relationships/hyperlink" Target="https://www.viewsonic.com/la/products/ifp7550.html" TargetMode="External"/><Relationship Id="rId2049" Type="http://schemas.openxmlformats.org/officeDocument/2006/relationships/hyperlink" Target="https://drive.google.com/file/d/1JqWy3tkbEDBrUE-Y2HmqPvRFkOjvKxkl/view" TargetMode="External"/><Relationship Id="rId129" Type="http://schemas.openxmlformats.org/officeDocument/2006/relationships/hyperlink" Target="https://www.amazon.com/-/es/Ohaus-Escala-Valor-4000-V41XWE3T/dp/B00K5UJPWO" TargetMode="External"/><Relationship Id="rId128" Type="http://schemas.openxmlformats.org/officeDocument/2006/relationships/hyperlink" Target="https://drive.google.com/file/d/1qtiGw4XhEPgx5pPOZLb0hhPFJLnKBfsM/view?usp=sharing" TargetMode="External"/><Relationship Id="rId127" Type="http://schemas.openxmlformats.org/officeDocument/2006/relationships/hyperlink" Target="https://eu-es.ohaus.com/es-eu/products/balances-scales/bench-scales/valor-4000/v41xwe3t" TargetMode="External"/><Relationship Id="rId126" Type="http://schemas.openxmlformats.org/officeDocument/2006/relationships/hyperlink" Target="https://welderpower.com.pe/product/coche-porta-balon-10mt3-con-llantas-buggy/" TargetMode="External"/><Relationship Id="rId1190" Type="http://schemas.openxmlformats.org/officeDocument/2006/relationships/hyperlink" Target="https://cahema.pe/llaves-ajustable/12511-llave-ajustable-cromada-12-8073-c-bahco.html" TargetMode="External"/><Relationship Id="rId1191" Type="http://schemas.openxmlformats.org/officeDocument/2006/relationships/hyperlink" Target="https://docs.google.com/spreadsheets/d/1AQ3z87-54l5Evlh7gC9sRVsQwlbjr5SdGqhlEgBCqxM/edit?gid=0" TargetMode="External"/><Relationship Id="rId1192" Type="http://schemas.openxmlformats.org/officeDocument/2006/relationships/hyperlink" Target="https://cahema.pe/llaves-ajustable/12511-llave-ajustable-cromada-12-8073-c-bahco.html" TargetMode="External"/><Relationship Id="rId1193" Type="http://schemas.openxmlformats.org/officeDocument/2006/relationships/hyperlink" Target="https://docs.google.com/spreadsheets/d/1MWBPH7erx5wXodEF8W533U8TUk37cJpLz5f6iz6zsEI/edit?gid=0" TargetMode="External"/><Relationship Id="rId2040" Type="http://schemas.openxmlformats.org/officeDocument/2006/relationships/hyperlink" Target="https://drive.google.com/file/d/1EYc3aYNkfqUfwLXsedObhQ-iWg1zbZg9/view?usp=sharing" TargetMode="External"/><Relationship Id="rId121" Type="http://schemas.openxmlformats.org/officeDocument/2006/relationships/hyperlink" Target="https://store.ferrindustrial.com.pe/producto/calibrador-pie-de-rey-digital-ip54-de-8-200mm-202161-2-vogel-germany/" TargetMode="External"/><Relationship Id="rId1194" Type="http://schemas.openxmlformats.org/officeDocument/2006/relationships/hyperlink" Target="https://cahema.pe/llaves-ajustable/12511-llave-ajustable-cromada-12-8073-c-bahco.html" TargetMode="External"/><Relationship Id="rId2041" Type="http://schemas.openxmlformats.org/officeDocument/2006/relationships/hyperlink" Target="https://www.rolanddga.com/es-la/productos/plotter-de-corte/cortadora-de-vinilo-de-sobremesa-versastudio-gs2-24" TargetMode="External"/><Relationship Id="rId120" Type="http://schemas.openxmlformats.org/officeDocument/2006/relationships/hyperlink" Target="https://www.myweldtech.com/product/cilindro-de-acetileno-6kg-weldtech/" TargetMode="External"/><Relationship Id="rId1195" Type="http://schemas.openxmlformats.org/officeDocument/2006/relationships/hyperlink" Target="https://docs.google.com/spreadsheets/d/1MWBPH7erx5wXodEF8W533U8TUk37cJpLz5f6iz6zsEI/edit?gid=0" TargetMode="External"/><Relationship Id="rId2042" Type="http://schemas.openxmlformats.org/officeDocument/2006/relationships/hyperlink" Target="https://drive.google.com/file/d/1EYc3aYNkfqUfwLXsedObhQ-iWg1zbZg9/view?usp=sharing" TargetMode="External"/><Relationship Id="rId1196" Type="http://schemas.openxmlformats.org/officeDocument/2006/relationships/hyperlink" Target="https://www.promart.pe/llave-para-tubo-stillson-14-bahco/p?srsltid=AfmBOoqUsELd0wGvbK_Em1KBhHTKCk3yOPIP_vhJX-98QSMpdLkt3Uiw" TargetMode="External"/><Relationship Id="rId2043" Type="http://schemas.openxmlformats.org/officeDocument/2006/relationships/hyperlink" Target="https://www.rolanddga.com/es-la/productos/plotter-de-corte/cortadora-de-vinilo-de-sobremesa-versastudio-gs2-24" TargetMode="External"/><Relationship Id="rId1197" Type="http://schemas.openxmlformats.org/officeDocument/2006/relationships/hyperlink" Target="https://docs.google.com/spreadsheets/d/1wh9RVNOHl7DjnIV1RLt8cyI2uyiKnwtaRudCN5GN1BY/edit?gid=0" TargetMode="External"/><Relationship Id="rId2044" Type="http://schemas.openxmlformats.org/officeDocument/2006/relationships/hyperlink" Target="https://drive.google.com/file/d/1EYc3aYNkfqUfwLXsedObhQ-iWg1zbZg9/view?usp=sharing" TargetMode="External"/><Relationship Id="rId125" Type="http://schemas.openxmlformats.org/officeDocument/2006/relationships/hyperlink" Target="https://drive.google.com/file/d/1274JMsxSCkX64aanAH3iA_BuNqW0Jear/view" TargetMode="External"/><Relationship Id="rId1198" Type="http://schemas.openxmlformats.org/officeDocument/2006/relationships/hyperlink" Target="https://www.promart.pe/llave-para-tubo-stillson-14-bahco/p?srsltid=AfmBOoqUsELd0wGvbK_Em1KBhHTKCk3yOPIP_vhJX-98QSMpdLkt3Uiw" TargetMode="External"/><Relationship Id="rId2045" Type="http://schemas.openxmlformats.org/officeDocument/2006/relationships/hyperlink" Target="https://www.truper.com/ficha_merca/ficha-print.php?code=12888" TargetMode="External"/><Relationship Id="rId124" Type="http://schemas.openxmlformats.org/officeDocument/2006/relationships/hyperlink" Target="https://drive.google.com/file/d/1274JMsxSCkX64aanAH3iA_BuNqW0Jear/view" TargetMode="External"/><Relationship Id="rId1199" Type="http://schemas.openxmlformats.org/officeDocument/2006/relationships/hyperlink" Target="https://docs.google.com/spreadsheets/d/1wh9RVNOHl7DjnIV1RLt8cyI2uyiKnwtaRudCN5GN1BY/edit?gid=0" TargetMode="External"/><Relationship Id="rId2046" Type="http://schemas.openxmlformats.org/officeDocument/2006/relationships/hyperlink" Target="https://drive.google.com/file/d/1JqWy3tkbEDBrUE-Y2HmqPvRFkOjvKxkl/view" TargetMode="External"/><Relationship Id="rId123" Type="http://schemas.openxmlformats.org/officeDocument/2006/relationships/hyperlink" Target="https://store.ferrindustrial.com.pe/producto/calibrador-pie-de-rey-digital-ip54-de-8-200mm-202161-2-vogel-germany/" TargetMode="External"/><Relationship Id="rId2047" Type="http://schemas.openxmlformats.org/officeDocument/2006/relationships/hyperlink" Target="https://drive.google.com/file/d/1k9fyimlwG66ZHKXwD8wGt2GwEWJQCEk9/view" TargetMode="External"/><Relationship Id="rId122" Type="http://schemas.openxmlformats.org/officeDocument/2006/relationships/hyperlink" Target="https://drive.google.com/file/d/1yu12SyKHpCBISOqN0XMhx39zlU2Qg_U-/view?usp=sharing" TargetMode="External"/><Relationship Id="rId2048" Type="http://schemas.openxmlformats.org/officeDocument/2006/relationships/hyperlink" Target="https://www.truper.com/ficha_merca/ficha-print.php?code=12888" TargetMode="External"/><Relationship Id="rId2038" Type="http://schemas.openxmlformats.org/officeDocument/2006/relationships/hyperlink" Target="https://drive.google.com/file/d/1ooz8WkWkrCIblY37Qp50ieeuweAl3fGl/view?usp=sharing" TargetMode="External"/><Relationship Id="rId2039" Type="http://schemas.openxmlformats.org/officeDocument/2006/relationships/hyperlink" Target="https://www.rolanddga.com/es-la/productos/plotter-de-corte/cortadora-de-vinilo-de-sobremesa-versastudio-gs2-24" TargetMode="External"/><Relationship Id="rId118" Type="http://schemas.openxmlformats.org/officeDocument/2006/relationships/hyperlink" Target="https://drive.google.com/file/d/1LL0662pFBbmL8ELBpNeH_yMtSfjMVp1D/view?usp=sharing" TargetMode="External"/><Relationship Id="rId117" Type="http://schemas.openxmlformats.org/officeDocument/2006/relationships/hyperlink" Target="https://store.ferrindustrial.com.pe/producto/calibrador-pie-de-rey-digital-ip54-de-8-200mm-202161-2-vogel-germany/" TargetMode="External"/><Relationship Id="rId116" Type="http://schemas.openxmlformats.org/officeDocument/2006/relationships/hyperlink" Target="https://store.ferrindustrial.com.pe/producto/calibrador-pie-de-rey-digital-ip54-de-8-200mm-202161-2-vogel-germany/" TargetMode="External"/><Relationship Id="rId115" Type="http://schemas.openxmlformats.org/officeDocument/2006/relationships/hyperlink" Target="https://drive.google.com/file/d/1yu12SyKHpCBISOqN0XMhx39zlU2Qg_U-/view?usp=sharing" TargetMode="External"/><Relationship Id="rId599" Type="http://schemas.openxmlformats.org/officeDocument/2006/relationships/hyperlink" Target="https://www.homecenter.com.co/homecenter-co/product/626244/mesa-de-planchar-florence-blanca/626244/" TargetMode="External"/><Relationship Id="rId1180" Type="http://schemas.openxmlformats.org/officeDocument/2006/relationships/hyperlink" Target="https://docs.google.com/spreadsheets/d/16awoRAtskLQraHNQXLdL0CnDjXnR969ICeyM8AufBGA/edit?gid=0" TargetMode="External"/><Relationship Id="rId1181" Type="http://schemas.openxmlformats.org/officeDocument/2006/relationships/hyperlink" Target="https://www.amazon.com/-/es/Pinza-esp%C3%A1tula-pulgadas-marca-Irwin/dp/B001JT87RY/ref=sr_1_1?crid=2ULAY2PDJSIO9&amp;dib=eyJ2IjoiMSJ9.7n29Z-98vTCywKuHc-gLva-o2N5D2kCZEcMlw4ZWLoQMuDZ4TVdNEnguapSKJ-win6dDl-ZnMT__37VrBCKlhQhjFVr_Yg4cfj4VjnHQBgkLssIPxkIk7OYDtcd8iLR7DPlpJiOekOpny-0Tcnne7vSbLg1LwwlvxRMloNs4HAgBHfHCRR2FFY1M1PKv9ApyiqNUYRITUPlyyUwGTSj5a_Zu8FIqsxALl7R6AIn9LfA.kAUdeXxiuEZAzaAxpfNvYjfkaTZg4batO0meK32Tjek&amp;dib_tag=se&amp;keywords=Prensa%2BQuick%2BGrip%2B6%22%2Birwin&amp;qid=1760045071&amp;sprefix=prensa%2Bquick%2Bgrip%2B6%2Birwin%2Caps%2C161&amp;sr=8-1&amp;th=1" TargetMode="External"/><Relationship Id="rId119" Type="http://schemas.openxmlformats.org/officeDocument/2006/relationships/hyperlink" Target="https://store.ferrindustrial.com.pe/producto/calibrador-pie-de-rey-digital-ip54-de-8-200mm-202161-2-vogel-germany/" TargetMode="External"/><Relationship Id="rId1182" Type="http://schemas.openxmlformats.org/officeDocument/2006/relationships/hyperlink" Target="https://www.promart.pe/juego-de-60-piezas-de-machos-y-tarrajas-truper-11443-1000461525/p?srsltid=AfmBOorRN6KHdurwrZ-8SLLRznaoxscnz_Swp856VRtoPGJPI-hjqbyC&amp;utm_source=chatgpt.com" TargetMode="External"/><Relationship Id="rId110" Type="http://schemas.openxmlformats.org/officeDocument/2006/relationships/hyperlink" Target="https://www.appsheet.com/template/gettablefileurl?appName=APPDISTRIBUIDORES-2753577&amp;tableName=RECURSOS&amp;fileName=RECURSOS_Files_%2F186040010.DOC_INSERTO_SAP.140232.pdf" TargetMode="External"/><Relationship Id="rId594" Type="http://schemas.openxmlformats.org/officeDocument/2006/relationships/hyperlink" Target="https://www.maqorito.com/deshidratadores-de-alimentos/351-maqorito-deshidratador-de-frutas-verduras-y-alimentos-12-bandejas-acero-inoxidable.html" TargetMode="External"/><Relationship Id="rId1183" Type="http://schemas.openxmlformats.org/officeDocument/2006/relationships/hyperlink" Target="https://www.promart.pe/juego-de-60-piezas-de-machos-y-tarrajas-truper-11443-1000461525/p?srsltid=AfmBOorRN6KHdurwrZ-8SLLRznaoxscnz_Swp856VRtoPGJPI-hjqbyC&amp;utm_source=chatgpt.com" TargetMode="External"/><Relationship Id="rId2030" Type="http://schemas.openxmlformats.org/officeDocument/2006/relationships/hyperlink" Target="https://www.amazon.com/SPARC-Regulador-arg%C3%B3n-medidor-flujo/dp/B01MU57K05/ref=sr_1_2_sspa?dib=eyJ2IjoiMSJ9.zeD1AyzrDGj7gZ9wSY9L0oNo5VpzYcWVun7PjNzjSL4xscSfU06stjLXY9Mz82Z5jvmHwDPF23uRkyRuohSrVcBL2QvIX0UUscqvbU76hxa8___Od_0G-J232V89j-pqjn9rIHhuDsWRITyLqLFXP_7zi2cg2iuB_-O2OiprES8cHp1S92PH6SHZf56nMu1wLk88wVSxdj-taO5fbayiZipug65xJaHYKPlRwHHv-A0.HTsSevZ0PE7UB_vdw-oUCkxWb_kLZ003TGT2zN_D_oI&amp;dib_tag=se&amp;keywords=regulador+de+argon&amp;qid=1759267851&amp;sr=8-2-spons&amp;sp_csd=d2lkZ2V0TmFtZT1zcF9hdGY&amp;psc=1" TargetMode="External"/><Relationship Id="rId593" Type="http://schemas.openxmlformats.org/officeDocument/2006/relationships/hyperlink" Target="https://www.electronicamaher.com/mesa-para-sierra-de-calar-6197000-wolfcraft" TargetMode="External"/><Relationship Id="rId1184" Type="http://schemas.openxmlformats.org/officeDocument/2006/relationships/hyperlink" Target="https://www.promart.pe/juego-de-60-piezas-de-machos-y-tarrajas-truper-11443-1000461525/p?srsltid=AfmBOorRN6KHdurwrZ-8SLLRznaoxscnz_Swp856VRtoPGJPI-hjqbyC&amp;utm_source=chatgpt.com" TargetMode="External"/><Relationship Id="rId2031" Type="http://schemas.openxmlformats.org/officeDocument/2006/relationships/hyperlink" Target="https://www.hp.com/pe-es/shop/impresora-hp-designjet-t650-de-36-5hb10d.html" TargetMode="External"/><Relationship Id="rId592" Type="http://schemas.openxmlformats.org/officeDocument/2006/relationships/hyperlink" Target="https://www.queralto.com/17232-mesa-auxiliar-anestesia-1-cajon-bandeja-superior-estante-inferior-acero-inoxidable-4-ruedas.html" TargetMode="External"/><Relationship Id="rId1185" Type="http://schemas.openxmlformats.org/officeDocument/2006/relationships/hyperlink" Target="https://www.amazon.com/Utoolmart-Measuring-Adjustable-Shifting-Spanner/dp/B07VQV693H?utm_source=chatgpt.com&amp;th=1" TargetMode="External"/><Relationship Id="rId2032" Type="http://schemas.openxmlformats.org/officeDocument/2006/relationships/hyperlink" Target="https://drive.google.com/file/d/1ooz8WkWkrCIblY37Qp50ieeuweAl3fGl/view?usp=sharing" TargetMode="External"/><Relationship Id="rId591" Type="http://schemas.openxmlformats.org/officeDocument/2006/relationships/hyperlink" Target="https://armotec.pe/products/medidor-de-humedad-de-materiales-ama005" TargetMode="External"/><Relationship Id="rId1186" Type="http://schemas.openxmlformats.org/officeDocument/2006/relationships/hyperlink" Target="https://cahema.pe/llaves-ajustable/12511-llave-ajustable-cromada-12-8073-c-bahco.html" TargetMode="External"/><Relationship Id="rId2033" Type="http://schemas.openxmlformats.org/officeDocument/2006/relationships/hyperlink" Target="https://www.hp.com/pe-es/shop/impresora-hp-designjet-t650-de-36-5hb10d.html" TargetMode="External"/><Relationship Id="rId114" Type="http://schemas.openxmlformats.org/officeDocument/2006/relationships/hyperlink" Target="https://store.ferrindustrial.com.pe/producto/calibrador-pie-de-rey-digital-ip54-de-8-200mm-202161-2-vogel-germany/" TargetMode="External"/><Relationship Id="rId598" Type="http://schemas.openxmlformats.org/officeDocument/2006/relationships/hyperlink" Target="https://www.electronicamaher.com/mesa-para-sierra-de-calar-6197000-wolfcraft" TargetMode="External"/><Relationship Id="rId1187" Type="http://schemas.openxmlformats.org/officeDocument/2006/relationships/hyperlink" Target="https://docs.google.com/spreadsheets/d/1AQ3z87-54l5Evlh7gC9sRVsQwlbjr5SdGqhlEgBCqxM/edit?gid=0" TargetMode="External"/><Relationship Id="rId2034" Type="http://schemas.openxmlformats.org/officeDocument/2006/relationships/hyperlink" Target="https://drive.google.com/file/d/1ooz8WkWkrCIblY37Qp50ieeuweAl3fGl/view?usp=sharing" TargetMode="External"/><Relationship Id="rId113" Type="http://schemas.openxmlformats.org/officeDocument/2006/relationships/hyperlink" Target="https://docs.google.com/spreadsheets/d/110ICbz3sGTtgslgaI3Mmio00T5gXG-Gs6WI5p-t9_gs/edit?gid=0" TargetMode="External"/><Relationship Id="rId597" Type="http://schemas.openxmlformats.org/officeDocument/2006/relationships/hyperlink" Target="https://www.maqorito.com/deshidratadores-de-alimentos/351-maqorito-deshidratador-de-frutas-verduras-y-alimentos-12-bandejas-acero-inoxidable.html" TargetMode="External"/><Relationship Id="rId1188" Type="http://schemas.openxmlformats.org/officeDocument/2006/relationships/hyperlink" Target="https://cahema.pe/llaves-ajustable/12511-llave-ajustable-cromada-12-8073-c-bahco.html" TargetMode="External"/><Relationship Id="rId2035" Type="http://schemas.openxmlformats.org/officeDocument/2006/relationships/hyperlink" Target="https://www.hp.com/pe-es/shop/impresora-hp-designjet-t650-de-36-5hb10d.html" TargetMode="External"/><Relationship Id="rId112" Type="http://schemas.openxmlformats.org/officeDocument/2006/relationships/hyperlink" Target="https://www.appsheet.com/template/gettablefileurl?appName=APPDISTRIBUIDORES-2753577&amp;tableName=RECURSOS&amp;fileName=RECURSOS_Files_%2F186040010.DOC_INSERTO_SAP.140232.pdf" TargetMode="External"/><Relationship Id="rId596" Type="http://schemas.openxmlformats.org/officeDocument/2006/relationships/hyperlink" Target="https://www.maqorito.com/deshidratadores-de-alimentos/351-maqorito-deshidratador-de-frutas-verduras-y-alimentos-12-bandejas-acero-inoxidable.html" TargetMode="External"/><Relationship Id="rId1189" Type="http://schemas.openxmlformats.org/officeDocument/2006/relationships/hyperlink" Target="https://docs.google.com/spreadsheets/d/1AQ3z87-54l5Evlh7gC9sRVsQwlbjr5SdGqhlEgBCqxM/edit?gid=0" TargetMode="External"/><Relationship Id="rId2036" Type="http://schemas.openxmlformats.org/officeDocument/2006/relationships/hyperlink" Target="https://drive.google.com/file/d/1ooz8WkWkrCIblY37Qp50ieeuweAl3fGl/view?usp=sharing" TargetMode="External"/><Relationship Id="rId111" Type="http://schemas.openxmlformats.org/officeDocument/2006/relationships/hyperlink" Target="https://docs.google.com/spreadsheets/d/110ICbz3sGTtgslgaI3Mmio00T5gXG-Gs6WI5p-t9_gs/edit?gid=0" TargetMode="External"/><Relationship Id="rId595" Type="http://schemas.openxmlformats.org/officeDocument/2006/relationships/hyperlink" Target="https://www.maqorito.com/deshidratadores-de-alimentos/351-maqorito-deshidratador-de-frutas-verduras-y-alimentos-12-bandejas-acero-inoxidable.html" TargetMode="External"/><Relationship Id="rId2037" Type="http://schemas.openxmlformats.org/officeDocument/2006/relationships/hyperlink" Target="https://www.hp.com/pe-es/shop/impresora-hp-designjet-t650-de-36-5hb10d.html" TargetMode="External"/><Relationship Id="rId1136" Type="http://schemas.openxmlformats.org/officeDocument/2006/relationships/hyperlink" Target="https://drive.google.com/file/d/1xbDBa8TvCgYIDv1-vxDR8vpY7DwcCk6g/view?usp=drive_link" TargetMode="External"/><Relationship Id="rId1137" Type="http://schemas.openxmlformats.org/officeDocument/2006/relationships/hyperlink" Target="https://www.commscope.com/product-type/cables/twisted-pair-cables/category-6a-cables/item884047004-10/" TargetMode="External"/><Relationship Id="rId1138" Type="http://schemas.openxmlformats.org/officeDocument/2006/relationships/hyperlink" Target="https://drive.google.com/file/d/1xbDBa8TvCgYIDv1-vxDR8vpY7DwcCk6g/view?usp=drive_link" TargetMode="External"/><Relationship Id="rId1139" Type="http://schemas.openxmlformats.org/officeDocument/2006/relationships/hyperlink" Target="https://www.commscope.com/product-type/cables/twisted-pair-cables/category-6a-cables/item884047004-10/" TargetMode="External"/><Relationship Id="rId547" Type="http://schemas.openxmlformats.org/officeDocument/2006/relationships/hyperlink" Target="https://eshop.wurth.pe/kit-de-herramientas/kit-de-dados-para-sensores-7pz-2738.html" TargetMode="External"/><Relationship Id="rId546" Type="http://schemas.openxmlformats.org/officeDocument/2006/relationships/hyperlink" Target="https://drive.google.com/file/d/16BfVYuTQApATtCdeEBUKWu441rnLK2Ch/view?usp=drive_link" TargetMode="External"/><Relationship Id="rId545" Type="http://schemas.openxmlformats.org/officeDocument/2006/relationships/hyperlink" Target="https://www.aibitech.com/herramientas-electricas/sierras/compresora-de-aire/compresora-de-aire-de-35-hp-50l-arranque-automatico-comp-50lt-260-11837-truper-16441.html?srsltid=AfmBOopR8FWY-1gVYn-_wN1--TVCWMoTpxXvVOxalx6Owo6EUWkqzOgQ" TargetMode="External"/><Relationship Id="rId544" Type="http://schemas.openxmlformats.org/officeDocument/2006/relationships/hyperlink" Target="https://www.promart.pe/tijera-para-costura-7-pretul-23156-1001185282/p?gad_source=1&amp;gad_campaignid=22752513019&amp;gbraid=0AAAAADJIfAJq0PtvNUgRezlvl1vCQWQ24&amp;gclid=CjwKCAjwgeLHBhBuEiwAL5gNETjzwR3r3XQeU1T5lQNPbHM3DLzDz8VQsbjyLodTtq7Agkx68uXHwxoCcMQQAvD_BwE" TargetMode="External"/><Relationship Id="rId549" Type="http://schemas.openxmlformats.org/officeDocument/2006/relationships/hyperlink" Target="https://eshop.wurth.pe/kit-de-herramientas/kit-de-dados-para-sensores-7pz-2738.html" TargetMode="External"/><Relationship Id="rId548" Type="http://schemas.openxmlformats.org/officeDocument/2006/relationships/hyperlink" Target="https://eshop.wurth.pe/kit-de-herramientas/kit-de-dados-para-sensores-7pz-2738.html" TargetMode="External"/><Relationship Id="rId1130" Type="http://schemas.openxmlformats.org/officeDocument/2006/relationships/hyperlink" Target="https://www.mercadolibre.com.pe/juego-de-limas-escofinas-10-3pzs-goma-kamasa/p/MPE50680164" TargetMode="External"/><Relationship Id="rId1131" Type="http://schemas.openxmlformats.org/officeDocument/2006/relationships/hyperlink" Target="https://www.mercadolibre.com.pe/juego-de-limas-escofinas-10-3pzs-goma-kamasa/p/MPE50680164" TargetMode="External"/><Relationship Id="rId543" Type="http://schemas.openxmlformats.org/officeDocument/2006/relationships/hyperlink" Target="https://www.promart.pe/tijera-para-costura-7-pretul-23156-1001185282/p?gad_source=1&amp;gad_campaignid=22752513019&amp;gbraid=0AAAAADJIfAJq0PtvNUgRezlvl1vCQWQ24&amp;gclid=CjwKCAjwgeLHBhBuEiwAL5gNETjzwR3r3XQeU1T5lQNPbHM3DLzDz8VQsbjyLodTtq7Agkx68uXHwxoCcMQQAvD_BwE" TargetMode="External"/><Relationship Id="rId1132" Type="http://schemas.openxmlformats.org/officeDocument/2006/relationships/hyperlink" Target="https://es.rubix.com/es/juego-de-formones-dynagrip-5-piezas-6-12-18-25-32mm/p-G1337001002" TargetMode="External"/><Relationship Id="rId542" Type="http://schemas.openxmlformats.org/officeDocument/2006/relationships/hyperlink" Target="https://www.bosch-professional.com/sa/en/extra-hard-screwdriver-bit-mixed-sets-compact-for-various-screw-types-with-magnetic-universal-holder-2867918-ocs-ac/" TargetMode="External"/><Relationship Id="rId1133" Type="http://schemas.openxmlformats.org/officeDocument/2006/relationships/hyperlink" Target="https://www.commscope.com/product-type/cables/twisted-pair-cables/category-6a-cables/item884047004-10/" TargetMode="External"/><Relationship Id="rId541" Type="http://schemas.openxmlformats.org/officeDocument/2006/relationships/hyperlink" Target="https://www.bosch-professional.com/sa/en/extra-hard-screwdriver-bit-mixed-sets-compact-for-various-screw-types-with-magnetic-universal-holder-2867918-ocs-ac/" TargetMode="External"/><Relationship Id="rId1134" Type="http://schemas.openxmlformats.org/officeDocument/2006/relationships/hyperlink" Target="https://drive.google.com/file/d/1xbDBa8TvCgYIDv1-vxDR8vpY7DwcCk6g/view?usp=drive_link" TargetMode="External"/><Relationship Id="rId540" Type="http://schemas.openxmlformats.org/officeDocument/2006/relationships/hyperlink" Target="https://www.se.com/es/es/product/LC1D386M7/contactor-tesys-d-3p3-na-ac3-440-v-38-a-220-v-ca-50-60-hz-bobina/?range=664-tesys-d-tesys-deca-control-tallas-1-2-y-3&amp;parent-subcategory-id=1510&amp;filter=business-1-automatizaci%C3%B3n-y-control-industrial&amp;selectedNodeId=12146440908" TargetMode="External"/><Relationship Id="rId1135" Type="http://schemas.openxmlformats.org/officeDocument/2006/relationships/hyperlink" Target="https://www.commscope.com/product-type/cables/twisted-pair-cables/category-6a-cables/item884047004-10/" TargetMode="External"/><Relationship Id="rId1125" Type="http://schemas.openxmlformats.org/officeDocument/2006/relationships/hyperlink" Target="https://drive.google.com/file/d/1ZVuP_FXXVhE3RmYIK90hvoBHlGBD34EC/view" TargetMode="External"/><Relationship Id="rId1126" Type="http://schemas.openxmlformats.org/officeDocument/2006/relationships/hyperlink" Target="https://drive.google.com/file/d/1ZVuP_FXXVhE3RmYIK90hvoBHlGBD34EC/view" TargetMode="External"/><Relationship Id="rId1127" Type="http://schemas.openxmlformats.org/officeDocument/2006/relationships/hyperlink" Target="https://drive.google.com/file/d/1ZVuP_FXXVhE3RmYIK90hvoBHlGBD34EC/view" TargetMode="External"/><Relationship Id="rId1128" Type="http://schemas.openxmlformats.org/officeDocument/2006/relationships/hyperlink" Target="https://drive.google.com/file/d/1ZVuP_FXXVhE3RmYIK90hvoBHlGBD34EC/view" TargetMode="External"/><Relationship Id="rId1129" Type="http://schemas.openxmlformats.org/officeDocument/2006/relationships/hyperlink" Target="https://seir.com.gt/producto/juego-con-15-desarmadores-largos-de-precision/?srsltid=AfmBOopYZrlcTXe__7De22TEO5gqOq4BpA_YHIYPR63WzB_TPQ9tzeLj" TargetMode="External"/><Relationship Id="rId536" Type="http://schemas.openxmlformats.org/officeDocument/2006/relationships/hyperlink" Target="https://insumosfirstpro.com/shop/computer-office/mezcladora-sooom-mxb8/" TargetMode="External"/><Relationship Id="rId535" Type="http://schemas.openxmlformats.org/officeDocument/2006/relationships/hyperlink" Target="https://insumosfirstpro.com/shop/computer-office/mezcladora-sooom-mxb8/" TargetMode="External"/><Relationship Id="rId534" Type="http://schemas.openxmlformats.org/officeDocument/2006/relationships/hyperlink" Target="https://insumosfirstpro.com/shop/computer-office/mezcladora-sooom-mxb8/" TargetMode="External"/><Relationship Id="rId533" Type="http://schemas.openxmlformats.org/officeDocument/2006/relationships/hyperlink" Target="https://spanish.alibaba.com/product-detail/Freezer-vertical-petty-ice-cream-display-300007542584.html" TargetMode="External"/><Relationship Id="rId539" Type="http://schemas.openxmlformats.org/officeDocument/2006/relationships/hyperlink" Target="https://www.se.com/es/es/product/LC1D386M7/contactor-tesys-d-3p3-na-ac3-440-v-38-a-220-v-ca-50-60-hz-bobina/?range=664-tesys-d-tesys-deca-control-tallas-1-2-y-3&amp;parent-subcategory-id=1510&amp;filter=business-1-automatizaci%C3%B3n-y-control-industrial&amp;selectedNodeId=12146440908" TargetMode="External"/><Relationship Id="rId538" Type="http://schemas.openxmlformats.org/officeDocument/2006/relationships/hyperlink" Target="https://www.se.com/es/es/product/LC1D386M7/contactor-tesys-d-3p3-na-ac3-440-v-38-a-220-v-ca-50-60-hz-bobina/?range=664-tesys-d-tesys-deca-control-tallas-1-2-y-3&amp;parent-subcategory-id=1510&amp;filter=business-1-automatizaci%C3%B3n-y-control-industrial&amp;selectedNodeId=12146440908" TargetMode="External"/><Relationship Id="rId537" Type="http://schemas.openxmlformats.org/officeDocument/2006/relationships/hyperlink" Target="https://insumosfirstpro.com/shop/computer-office/mezcladora-sooom-mxb8/" TargetMode="External"/><Relationship Id="rId1120" Type="http://schemas.openxmlformats.org/officeDocument/2006/relationships/hyperlink" Target="https://cahema.pe/juego-de-desarmador/16797-juego-de-desarmadores-aislados-6-piezas-bahco-620-6-7314150128594.html" TargetMode="External"/><Relationship Id="rId532" Type="http://schemas.openxmlformats.org/officeDocument/2006/relationships/hyperlink" Target="https://spanish.alibaba.com/product-detail/Freezer-vertical-petty-ice-cream-display-300007542584.html" TargetMode="External"/><Relationship Id="rId1121" Type="http://schemas.openxmlformats.org/officeDocument/2006/relationships/hyperlink" Target="https://cahema.pe/juego-de-desarmador/16797-juego-de-desarmadores-aislados-6-piezas-bahco-620-6-7314150128594.html" TargetMode="External"/><Relationship Id="rId531" Type="http://schemas.openxmlformats.org/officeDocument/2006/relationships/hyperlink" Target="https://spanish.alibaba.com/product-detail/Freezer-vertical-petty-ice-cream-display-300007542584.html" TargetMode="External"/><Relationship Id="rId1122" Type="http://schemas.openxmlformats.org/officeDocument/2006/relationships/hyperlink" Target="https://cahema.pe/juego-de-desarmador/16797-juego-de-desarmadores-aislados-6-piezas-bahco-620-6-7314150128594.html" TargetMode="External"/><Relationship Id="rId530" Type="http://schemas.openxmlformats.org/officeDocument/2006/relationships/hyperlink" Target="https://spanish.alibaba.com/product-detail/Freezer-vertical-petty-ice-cream-display-300007542584.html" TargetMode="External"/><Relationship Id="rId1123" Type="http://schemas.openxmlformats.org/officeDocument/2006/relationships/hyperlink" Target="https://cahema.pe/juego-de-desarmador/16797-juego-de-desarmadores-aislados-6-piezas-bahco-620-6-7314150128594.html" TargetMode="External"/><Relationship Id="rId1124" Type="http://schemas.openxmlformats.org/officeDocument/2006/relationships/hyperlink" Target="https://cahema.pe/juego-de-desarmador/16797-juego-de-desarmadores-aislados-6-piezas-bahco-620-6-7314150128594.html" TargetMode="External"/><Relationship Id="rId1158" Type="http://schemas.openxmlformats.org/officeDocument/2006/relationships/hyperlink" Target="https://www.amazon.com.mx/STANLEY-Herramientas-Mec%C3%A1nicas-Piezas-91-931/dp/B09VKB8811" TargetMode="External"/><Relationship Id="rId2005" Type="http://schemas.openxmlformats.org/officeDocument/2006/relationships/hyperlink" Target="https://www.viewsonic.com/la/products/ifp7550.html" TargetMode="External"/><Relationship Id="rId1159" Type="http://schemas.openxmlformats.org/officeDocument/2006/relationships/hyperlink" Target="https://www.amazon.com.mx/STANLEY-Herramientas-Mec%C3%A1nicas-Piezas-91-931/dp/B09VKB8811" TargetMode="External"/><Relationship Id="rId2006" Type="http://schemas.openxmlformats.org/officeDocument/2006/relationships/hyperlink" Target="https://www.viewsonic.com/la/products/ifp7550.html" TargetMode="External"/><Relationship Id="rId2007" Type="http://schemas.openxmlformats.org/officeDocument/2006/relationships/hyperlink" Target="https://www.viewsonic.com/la/products/ifp7550.html" TargetMode="External"/><Relationship Id="rId2008" Type="http://schemas.openxmlformats.org/officeDocument/2006/relationships/hyperlink" Target="https://www.viewsonic.com/la/products/ifp7550.html" TargetMode="External"/><Relationship Id="rId2009" Type="http://schemas.openxmlformats.org/officeDocument/2006/relationships/hyperlink" Target="https://www.viewsonic.com/la/products/ifp7550.html" TargetMode="External"/><Relationship Id="rId569" Type="http://schemas.openxmlformats.org/officeDocument/2006/relationships/hyperlink" Target="https://www.truper.com/ficha_tecnica/Linterna-para-cabeza-3-pilas-AAA-28-lumenes-3-LEDs-252665.html?code=27083" TargetMode="External"/><Relationship Id="rId568" Type="http://schemas.openxmlformats.org/officeDocument/2006/relationships/hyperlink" Target="https://www.truper.com/ficha_tecnica/Linterna-para-cabeza-3-pilas-AAA-28-lumenes-3-LEDs-252665.html?code=27083" TargetMode="External"/><Relationship Id="rId567" Type="http://schemas.openxmlformats.org/officeDocument/2006/relationships/hyperlink" Target="https://mizar.pe/collections/lavamanos-y-trampa-nacionales/products/lavamanos-a-pedal-fijo" TargetMode="External"/><Relationship Id="rId566" Type="http://schemas.openxmlformats.org/officeDocument/2006/relationships/hyperlink" Target="https://mizar.pe/collections/lavamanos-y-trampa-nacionales/products/lavamanos-a-pedal-fijo" TargetMode="External"/><Relationship Id="rId561" Type="http://schemas.openxmlformats.org/officeDocument/2006/relationships/hyperlink" Target="https://mizar.pe/collections/lavamanos-y-trampa-nacionales/products/lavamanos-a-pedal-fijo" TargetMode="External"/><Relationship Id="rId1150" Type="http://schemas.openxmlformats.org/officeDocument/2006/relationships/hyperlink" Target="https://www.irimo.com/int_en/hex-keys-nickel-plated-set-metric-pb_041101_.html" TargetMode="External"/><Relationship Id="rId560" Type="http://schemas.openxmlformats.org/officeDocument/2006/relationships/hyperlink" Target="https://mizar.pe/collections/lavamanos-y-trampa-nacionales/products/lavamanos-a-pedal-fijo" TargetMode="External"/><Relationship Id="rId1151" Type="http://schemas.openxmlformats.org/officeDocument/2006/relationships/hyperlink" Target="https://docs.google.com/spreadsheets/d/1BD93GYF-56qzCzM-ACekzb7NFVwD-fCQC0cpf5HnRmA/edit?gid=0" TargetMode="External"/><Relationship Id="rId1152" Type="http://schemas.openxmlformats.org/officeDocument/2006/relationships/hyperlink" Target="https://www.irimo.com/int_en/hex-keys-nickel-plated-set-metric-pb_041101_.html" TargetMode="External"/><Relationship Id="rId1153" Type="http://schemas.openxmlformats.org/officeDocument/2006/relationships/hyperlink" Target="https://docs.google.com/spreadsheets/d/1BD93GYF-56qzCzM-ACekzb7NFVwD-fCQC0cpf5HnRmA/edit?gid=0" TargetMode="External"/><Relationship Id="rId2000" Type="http://schemas.openxmlformats.org/officeDocument/2006/relationships/hyperlink" Target="https://www.viewsonic.com/la/products/ifp7550.html" TargetMode="External"/><Relationship Id="rId565" Type="http://schemas.openxmlformats.org/officeDocument/2006/relationships/hyperlink" Target="https://mizar.pe/collections/lavamanos-y-trampa-nacionales/products/lavamanos-a-pedal-fijo" TargetMode="External"/><Relationship Id="rId1154" Type="http://schemas.openxmlformats.org/officeDocument/2006/relationships/hyperlink" Target="https://www.irimo.com/int_en/hex-keys-nickel-plated-set-metric-pb_041101_.html" TargetMode="External"/><Relationship Id="rId2001" Type="http://schemas.openxmlformats.org/officeDocument/2006/relationships/hyperlink" Target="https://www.viewsonic.com/la/products/ifp7550.html" TargetMode="External"/><Relationship Id="rId564" Type="http://schemas.openxmlformats.org/officeDocument/2006/relationships/hyperlink" Target="https://mizar.pe/collections/lavamanos-y-trampa-nacionales/products/lavamanos-a-pedal-fijo" TargetMode="External"/><Relationship Id="rId1155" Type="http://schemas.openxmlformats.org/officeDocument/2006/relationships/hyperlink" Target="https://docs.google.com/spreadsheets/d/1BD93GYF-56qzCzM-ACekzb7NFVwD-fCQC0cpf5HnRmA/edit?gid=0" TargetMode="External"/><Relationship Id="rId2002" Type="http://schemas.openxmlformats.org/officeDocument/2006/relationships/hyperlink" Target="https://www.viewsonic.com/la/products/ifp7550.html" TargetMode="External"/><Relationship Id="rId563" Type="http://schemas.openxmlformats.org/officeDocument/2006/relationships/hyperlink" Target="https://mizar.pe/collections/lavamanos-y-trampa-nacionales/products/lavamanos-a-pedal-fijo" TargetMode="External"/><Relationship Id="rId1156" Type="http://schemas.openxmlformats.org/officeDocument/2006/relationships/hyperlink" Target="https://www.leroymerlin.es/productos/martillo-bola-cromado-300-gr-91050626.html" TargetMode="External"/><Relationship Id="rId2003" Type="http://schemas.openxmlformats.org/officeDocument/2006/relationships/hyperlink" Target="https://www.viewsonic.com/la/products/ifp7550.html" TargetMode="External"/><Relationship Id="rId562" Type="http://schemas.openxmlformats.org/officeDocument/2006/relationships/hyperlink" Target="https://mizar.pe/collections/lavamanos-y-trampa-nacionales/products/lavamanos-a-pedal-fijo" TargetMode="External"/><Relationship Id="rId1157" Type="http://schemas.openxmlformats.org/officeDocument/2006/relationships/hyperlink" Target="https://www.amazon.com.mx/STANLEY-Herramientas-Mec%C3%A1nicas-Piezas-91-931/dp/B09VKB8811" TargetMode="External"/><Relationship Id="rId2004" Type="http://schemas.openxmlformats.org/officeDocument/2006/relationships/hyperlink" Target="https://www.viewsonic.com/la/products/ifp7550.html" TargetMode="External"/><Relationship Id="rId1147" Type="http://schemas.openxmlformats.org/officeDocument/2006/relationships/hyperlink" Target="https://www.irimo.com/int_en/hex-keys-nickel-plated-set-metric-pb_041101_.html" TargetMode="External"/><Relationship Id="rId1148" Type="http://schemas.openxmlformats.org/officeDocument/2006/relationships/hyperlink" Target="https://www.irimo.com/int_en/hex-keys-nickel-plated-set-metric-pb_041101_.html" TargetMode="External"/><Relationship Id="rId1149" Type="http://schemas.openxmlformats.org/officeDocument/2006/relationships/hyperlink" Target="https://docs.google.com/spreadsheets/d/1BD93GYF-56qzCzM-ACekzb7NFVwD-fCQC0cpf5HnRmA/edit?gid=0" TargetMode="External"/><Relationship Id="rId558" Type="http://schemas.openxmlformats.org/officeDocument/2006/relationships/hyperlink" Target="https://mizar.pe/collections/lavamanos-y-trampa-nacionales/products/lavamanos-a-pedal-fijo" TargetMode="External"/><Relationship Id="rId557" Type="http://schemas.openxmlformats.org/officeDocument/2006/relationships/hyperlink" Target="https://www.thunderlaser.com/titan-series/" TargetMode="External"/><Relationship Id="rId556" Type="http://schemas.openxmlformats.org/officeDocument/2006/relationships/hyperlink" Target="https://www.thunderlaser.com/titan-series/" TargetMode="External"/><Relationship Id="rId555" Type="http://schemas.openxmlformats.org/officeDocument/2006/relationships/hyperlink" Target="https://www.thunderlaser.com/titan-series/" TargetMode="External"/><Relationship Id="rId559" Type="http://schemas.openxmlformats.org/officeDocument/2006/relationships/hyperlink" Target="https://mizar.pe/collections/lavamanos-y-trampa-nacionales/products/lavamanos-a-pedal-fijo" TargetMode="External"/><Relationship Id="rId550" Type="http://schemas.openxmlformats.org/officeDocument/2006/relationships/hyperlink" Target="https://www.thunderlaser.com/titan-series/" TargetMode="External"/><Relationship Id="rId1140" Type="http://schemas.openxmlformats.org/officeDocument/2006/relationships/hyperlink" Target="https://drive.google.com/file/d/1xbDBa8TvCgYIDv1-vxDR8vpY7DwcCk6g/view?usp=drive_link" TargetMode="External"/><Relationship Id="rId1141" Type="http://schemas.openxmlformats.org/officeDocument/2006/relationships/hyperlink" Target="https://es.rubix.com/es/juego-de-formones-dynagrip-5-piezas-6-12-18-25-32mm/p-G1337001002" TargetMode="External"/><Relationship Id="rId1142" Type="http://schemas.openxmlformats.org/officeDocument/2006/relationships/hyperlink" Target="https://suminca.es/producto/juego-limas-irimo/" TargetMode="External"/><Relationship Id="rId554" Type="http://schemas.openxmlformats.org/officeDocument/2006/relationships/hyperlink" Target="https://support.hp.com/pe-es/document/ish_5956566-5987452-43" TargetMode="External"/><Relationship Id="rId1143" Type="http://schemas.openxmlformats.org/officeDocument/2006/relationships/hyperlink" Target="https://suminca.es/producto/juego-limas-irimo/" TargetMode="External"/><Relationship Id="rId553" Type="http://schemas.openxmlformats.org/officeDocument/2006/relationships/hyperlink" Target="https://www.thunderlaser.com/titan-series/" TargetMode="External"/><Relationship Id="rId1144" Type="http://schemas.openxmlformats.org/officeDocument/2006/relationships/hyperlink" Target="https://suminca.es/producto/juego-limas-irimo/" TargetMode="External"/><Relationship Id="rId552" Type="http://schemas.openxmlformats.org/officeDocument/2006/relationships/hyperlink" Target="https://www.thunderlaser.com/titan-series/" TargetMode="External"/><Relationship Id="rId1145" Type="http://schemas.openxmlformats.org/officeDocument/2006/relationships/hyperlink" Target="https://www.promart.pe/juego-de-llaves-7-24-mm-x14-piezas-56623/p?srsltid=AfmBOoqe5sFWv-lqFMZT3ybAyNJiw1dKjOljgrQeFhgrQJk_UDAW04LU" TargetMode="External"/><Relationship Id="rId551" Type="http://schemas.openxmlformats.org/officeDocument/2006/relationships/hyperlink" Target="https://www.thunderlaser.com/titan-series/" TargetMode="External"/><Relationship Id="rId1146" Type="http://schemas.openxmlformats.org/officeDocument/2006/relationships/hyperlink" Target="https://www.irimo.com/int_en/hex-keys-nickel-plated-set-metric-pb_041101_.html" TargetMode="External"/><Relationship Id="rId2090" Type="http://schemas.openxmlformats.org/officeDocument/2006/relationships/hyperlink" Target="https://www.nexxtsolutions.com/es/infraestructura/interna-productos/AW250NXT03-es" TargetMode="External"/><Relationship Id="rId2091" Type="http://schemas.openxmlformats.org/officeDocument/2006/relationships/hyperlink" Target="https://drive.google.com/file/d/1YBgsAR15i_IQ73pKQ5KLGE0gKwU_T0e7/view?usp=drive_link" TargetMode="External"/><Relationship Id="rId2092" Type="http://schemas.openxmlformats.org/officeDocument/2006/relationships/hyperlink" Target="https://www.nexxtsolutions.com/es/infraestructura/interna-productos/AW250NXT03-es" TargetMode="External"/><Relationship Id="rId2093" Type="http://schemas.openxmlformats.org/officeDocument/2006/relationships/hyperlink" Target="https://drive.google.com/file/d/1YBgsAR15i_IQ73pKQ5KLGE0gKwU_T0e7/view?usp=drive_link" TargetMode="External"/><Relationship Id="rId2094" Type="http://schemas.openxmlformats.org/officeDocument/2006/relationships/hyperlink" Target="https://www.nexxtsolutions.com/es/infraestructura/interna-productos/AW250NXT03-es" TargetMode="External"/><Relationship Id="rId2095" Type="http://schemas.openxmlformats.org/officeDocument/2006/relationships/hyperlink" Target="https://drive.google.com/file/d/1YBgsAR15i_IQ73pKQ5KLGE0gKwU_T0e7/view?usp=drive_link" TargetMode="External"/><Relationship Id="rId2096" Type="http://schemas.openxmlformats.org/officeDocument/2006/relationships/hyperlink" Target="https://www.amazon.com/Autel-PowerScan-PS100-alimentaci%C3%B3n-cortocircuito/dp/B0BW48DKFG" TargetMode="External"/><Relationship Id="rId2097" Type="http://schemas.openxmlformats.org/officeDocument/2006/relationships/hyperlink" Target="https://www.amazon.com/Autel-PowerScan-PS100-alimentaci%C3%B3n-cortocircuito/dp/B0BW48DKFG" TargetMode="External"/><Relationship Id="rId2098" Type="http://schemas.openxmlformats.org/officeDocument/2006/relationships/hyperlink" Target="https://www.amazon.com/Autel-PowerScan-PS100-alimentaci%C3%B3n-cortocircuito/dp/B0BW48DKFG" TargetMode="External"/><Relationship Id="rId2099" Type="http://schemas.openxmlformats.org/officeDocument/2006/relationships/hyperlink" Target="https://tesinperu.com/product/manometro-de-vacio-presion-b3-5613/" TargetMode="External"/><Relationship Id="rId2060" Type="http://schemas.openxmlformats.org/officeDocument/2006/relationships/hyperlink" Target="https://tiendamia.com/pe/producto?amz=b088jvms6r" TargetMode="External"/><Relationship Id="rId2061" Type="http://schemas.openxmlformats.org/officeDocument/2006/relationships/hyperlink" Target="https://www.truper.com/ficha_merca/ficha-print.php?code=17685" TargetMode="External"/><Relationship Id="rId2062" Type="http://schemas.openxmlformats.org/officeDocument/2006/relationships/hyperlink" Target="https://prosinfer.com.pe/wp-content/uploads/2022/06/17685.pdf" TargetMode="External"/><Relationship Id="rId2063" Type="http://schemas.openxmlformats.org/officeDocument/2006/relationships/hyperlink" Target="https://drive.google.com/file/d/1k9fyimlwG66ZHKXwD8wGt2GwEWJQCEk9/view" TargetMode="External"/><Relationship Id="rId2064" Type="http://schemas.openxmlformats.org/officeDocument/2006/relationships/hyperlink" Target="https://www.truper.com/ficha_merca/ficha-print.php?code=17686" TargetMode="External"/><Relationship Id="rId2065" Type="http://schemas.openxmlformats.org/officeDocument/2006/relationships/hyperlink" Target="https://prosinfer.com.pe/wp-content/uploads/2022/06/17685.pdf" TargetMode="External"/><Relationship Id="rId2066" Type="http://schemas.openxmlformats.org/officeDocument/2006/relationships/hyperlink" Target="https://drive.google.com/file/d/1k9fyimlwG66ZHKXwD8wGt2GwEWJQCEk9/view" TargetMode="External"/><Relationship Id="rId2067" Type="http://schemas.openxmlformats.org/officeDocument/2006/relationships/hyperlink" Target="https://www.truper.com/ficha_merca/ficha-print.php?code=17687" TargetMode="External"/><Relationship Id="rId2068" Type="http://schemas.openxmlformats.org/officeDocument/2006/relationships/hyperlink" Target="https://prosinfer.com.pe/wp-content/uploads/2022/06/17685.pdf" TargetMode="External"/><Relationship Id="rId2069" Type="http://schemas.openxmlformats.org/officeDocument/2006/relationships/hyperlink" Target="https://drive.google.com/file/d/1k9fyimlwG66ZHKXwD8wGt2GwEWJQCEk9/view" TargetMode="External"/><Relationship Id="rId2050" Type="http://schemas.openxmlformats.org/officeDocument/2006/relationships/hyperlink" Target="https://drive.google.com/file/d/1k9fyimlwG66ZHKXwD8wGt2GwEWJQCEk9/view" TargetMode="External"/><Relationship Id="rId2051" Type="http://schemas.openxmlformats.org/officeDocument/2006/relationships/hyperlink" Target="https://www.uysa.com.pe/jarra-pvc-2-lt-transp-graduada-basa-70094018/p?srsltid=AfmBOoqQBwv2HJxzEkspl18l-0ryrEQNmRcxfVrw_fCrjdx11AV6GD6F" TargetMode="External"/><Relationship Id="rId495" Type="http://schemas.openxmlformats.org/officeDocument/2006/relationships/hyperlink" Target="https://drive.google.com/file/d/16BfVYuTQApATtCdeEBUKWu441rnLK2Ch/view?usp=drive_link" TargetMode="External"/><Relationship Id="rId2052" Type="http://schemas.openxmlformats.org/officeDocument/2006/relationships/hyperlink" Target="https://www.uysa.com.pe/jarra-pvc-2-lt-transp-graduada-basa-70094018/p?srsltid=AfmBOoqQBwv2HJxzEkspl18l-0ryrEQNmRcxfVrw_fCrjdx11AV6GD6F" TargetMode="External"/><Relationship Id="rId494" Type="http://schemas.openxmlformats.org/officeDocument/2006/relationships/hyperlink" Target="https://www.aibitech.com/herramientas-electricas/sierras/compresora-de-aire/compresora-de-aire-de-35-hp-50l-arranque-automatico-comp-50lt-260-11837-truper-16441.html?srsltid=AfmBOopR8FWY-1gVYn-_wN1--TVCWMoTpxXvVOxalx6Owo6EUWkqzOgQ" TargetMode="External"/><Relationship Id="rId2053" Type="http://schemas.openxmlformats.org/officeDocument/2006/relationships/hyperlink" Target="https://www.uysa.com.pe/jarra-pvc-2-lt-transp-graduada-basa-70094018/p?srsltid=AfmBOoqQBwv2HJxzEkspl18l-0ryrEQNmRcxfVrw_fCrjdx11AV6GD6F" TargetMode="External"/><Relationship Id="rId493" Type="http://schemas.openxmlformats.org/officeDocument/2006/relationships/hyperlink" Target="https://www.promart.pe/combo-compresora-50-litros-manguera-y-pistola-para-pintar-101744-1000306713/p?srsltid=AfmBOooDl6HH41C464jpBn6pZSnGuZJX2yHYTrNmndZQ-rUeZYSo2PCq" TargetMode="External"/><Relationship Id="rId2054" Type="http://schemas.openxmlformats.org/officeDocument/2006/relationships/hyperlink" Target="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 TargetMode="External"/><Relationship Id="rId492" Type="http://schemas.openxmlformats.org/officeDocument/2006/relationships/hyperlink" Target="https://drive.google.com/file/d/16BfVYuTQApATtCdeEBUKWu441rnLK2Ch/view?usp=drive_link" TargetMode="External"/><Relationship Id="rId2055" Type="http://schemas.openxmlformats.org/officeDocument/2006/relationships/hyperlink" Target="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 TargetMode="External"/><Relationship Id="rId499" Type="http://schemas.openxmlformats.org/officeDocument/2006/relationships/hyperlink" Target="https://www.amazon.com/-/es/JASTIND-Probador-retroiluminado-extendido-inoxidable/dp/B07PX16XDX" TargetMode="External"/><Relationship Id="rId2056" Type="http://schemas.openxmlformats.org/officeDocument/2006/relationships/hyperlink" Target="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 TargetMode="External"/><Relationship Id="rId498" Type="http://schemas.openxmlformats.org/officeDocument/2006/relationships/hyperlink" Target="https://www.amazon.com/-/es/JASTIND-Probador-retroiluminado-extendido-inoxidable/dp/B07PX16XDX" TargetMode="External"/><Relationship Id="rId2057" Type="http://schemas.openxmlformats.org/officeDocument/2006/relationships/hyperlink" Target="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 TargetMode="External"/><Relationship Id="rId497" Type="http://schemas.openxmlformats.org/officeDocument/2006/relationships/hyperlink" Target="https://www.amazon.com/-/es/JASTIND-Probador-retroiluminado-extendido-inoxidable/dp/B07PX16XDX" TargetMode="External"/><Relationship Id="rId2058" Type="http://schemas.openxmlformats.org/officeDocument/2006/relationships/hyperlink" Target="https://dcocina.pe/producto/olla-alta-8-1-lts-de-acero-inoxidable-o24-cm-zwilling-pro-zwilling/" TargetMode="External"/><Relationship Id="rId496" Type="http://schemas.openxmlformats.org/officeDocument/2006/relationships/hyperlink" Target="https://www.promart.pe/combo-compresora-50-litros-manguera-y-pistola-para-pintar-101744-1000306713/p?srsltid=AfmBOooDl6HH41C464jpBn6pZSnGuZJX2yHYTrNmndZQ-rUeZYSo2PCq" TargetMode="External"/><Relationship Id="rId2059" Type="http://schemas.openxmlformats.org/officeDocument/2006/relationships/hyperlink" Target="https://tiendamia.com/pe/producto?amz=b088jvms6r" TargetMode="External"/><Relationship Id="rId2080" Type="http://schemas.openxmlformats.org/officeDocument/2006/relationships/hyperlink" Target="https://www.tiendaquttin.com/sybarite/272-cuchillo-panero-sierra-19cm-sybarite-8423607211433.html" TargetMode="External"/><Relationship Id="rId2081" Type="http://schemas.openxmlformats.org/officeDocument/2006/relationships/hyperlink" Target="https://www.tiendaquttin.com/sybarite/272-cuchillo-panero-sierra-19cm-sybarite-8423607211433.html" TargetMode="External"/><Relationship Id="rId2082" Type="http://schemas.openxmlformats.org/officeDocument/2006/relationships/hyperlink" Target="https://www.tiendaquttin.com/sybarite/272-cuchillo-panero-sierra-19cm-sybarite-8423607211433.html" TargetMode="External"/><Relationship Id="rId2083" Type="http://schemas.openxmlformats.org/officeDocument/2006/relationships/hyperlink" Target="https://www.tiendaquttin.com/sybarite/272-cuchillo-panero-sierra-19cm-sybarite-8423607211433.html" TargetMode="External"/><Relationship Id="rId2084" Type="http://schemas.openxmlformats.org/officeDocument/2006/relationships/hyperlink" Target="https://www.tramontina.com.pe/cuchillo-chef-8-_24011008/p?srsltid=AfmBOoqu6ic-Gx4cspsQbpngJtQ60l0XyMncSDgjPDPq5KbZn-BeODCG" TargetMode="External"/><Relationship Id="rId2085" Type="http://schemas.openxmlformats.org/officeDocument/2006/relationships/hyperlink" Target="https://www.falabella.com.pe/falabella-pe/product/145269875/Fuente-Bandeja-para-Horno-de-Vidrio-Templado-Marinex-Set-3-Piezas/145269876?kid=shopp44fc&amp;gclsrc=aw.ds&amp;gad_source=1&amp;gad_campaignid=20114538213&amp;gbraid=0AAAAADs9MO0j1HshM0h3wB7T9bpIUVkC3&amp;gclid=Cj0KCQjwvJHIBhCgARIsAEQnWlDeUnejj8LJp0SgngfwfWC4HcGvoPBVkKa_7ZXUVB8aRAYgOZgbnskaAmG_EALw_wcB" TargetMode="External"/><Relationship Id="rId2086" Type="http://schemas.openxmlformats.org/officeDocument/2006/relationships/hyperlink" Target="https://hiraoka.com.pe/juego-de-ollas-acero-inoxidable-7-piezas-intuition-t-fal?utm_id=22793891402&amp;gad_source=1&amp;gad_campaignid=22793891402&amp;gbraid=0AAAAACkNDqnkEcADNxW4HW8NVEeh9eeEb&amp;gclid=CjwKCAjwu9fHBhAWEiwAzGRC_-_9Zwj5L_IVQ3CIkdHbYzbDvRiaJirGQy35X8_m5IXDIby08QB2vRoCuVcQAvD_BwE" TargetMode="External"/><Relationship Id="rId2087" Type="http://schemas.openxmlformats.org/officeDocument/2006/relationships/hyperlink" Target="https://www.amazon.com/-/es/industriales-electr%C3%B3nicas-antiest%C3%A1ticas-inoxidable-Herramientas/dp/B07R13T63J" TargetMode="External"/><Relationship Id="rId2088" Type="http://schemas.openxmlformats.org/officeDocument/2006/relationships/hyperlink" Target="https://www.nexxtsolutions.com/es/infraestructura/interna-productos/AW250NXT03-es" TargetMode="External"/><Relationship Id="rId2089" Type="http://schemas.openxmlformats.org/officeDocument/2006/relationships/hyperlink" Target="https://drive.google.com/file/d/1YBgsAR15i_IQ73pKQ5KLGE0gKwU_T0e7/view?usp=drive_link" TargetMode="External"/><Relationship Id="rId2070" Type="http://schemas.openxmlformats.org/officeDocument/2006/relationships/hyperlink" Target="https://tiendamia.com/pe/producto?amz=b088jvms6r" TargetMode="External"/><Relationship Id="rId2071" Type="http://schemas.openxmlformats.org/officeDocument/2006/relationships/hyperlink" Target="https://tiendamia.com/pe/producto?amz=b088jvms6r" TargetMode="External"/><Relationship Id="rId2072" Type="http://schemas.openxmlformats.org/officeDocument/2006/relationships/hyperlink" Target="https://www.amazon.com/dp/B07Z6D34HK/ref=twister_B08264MDF9?_encoding=UTF8&amp;th=1" TargetMode="External"/><Relationship Id="rId2073" Type="http://schemas.openxmlformats.org/officeDocument/2006/relationships/hyperlink" Target="https://www.amazon.com/-/es/cortadores-galletas-coraz%C3%B3n-estrella-cortador/dp/B08VD2R23T?th=1" TargetMode="External"/><Relationship Id="rId2074" Type="http://schemas.openxmlformats.org/officeDocument/2006/relationships/hyperlink" Target="https://www.amazon.com/-/es/cortadores-galletas-coraz%C3%B3n-estrella-cortador/dp/B08VD2R23T?th=2" TargetMode="External"/><Relationship Id="rId2075" Type="http://schemas.openxmlformats.org/officeDocument/2006/relationships/hyperlink" Target="https://www.amazon.com/-/es/cortadores-galletas-coraz%C3%B3n-estrella-cortador/dp/B08VD2R23T?th=3" TargetMode="External"/><Relationship Id="rId2076" Type="http://schemas.openxmlformats.org/officeDocument/2006/relationships/hyperlink" Target="https://www.amazon.com/-/es/cortadores-galletas-coraz%C3%B3n-estrella-cortador/dp/B08VD2R23T?th=4" TargetMode="External"/><Relationship Id="rId2077" Type="http://schemas.openxmlformats.org/officeDocument/2006/relationships/hyperlink" Target="https://www.amazon.com/-/es/cortadores-galletas-coraz%C3%B3n-estrella-cortador/dp/B08VD2R23T?th=5" TargetMode="External"/><Relationship Id="rId2078" Type="http://schemas.openxmlformats.org/officeDocument/2006/relationships/hyperlink" Target="https://www.amazon.com/-/es/Utensilios-cocina-cucharas-pulgadas-manualidades/dp/B0BKT2Y7PY?th=1" TargetMode="External"/><Relationship Id="rId2079" Type="http://schemas.openxmlformats.org/officeDocument/2006/relationships/hyperlink" Target="https://www.amazon.com.be/-/en/7-Piece-Vegetable-Cromargan-Stainless-Dishwasher/dp/B01237RWFI?th=1" TargetMode="External"/><Relationship Id="rId1610" Type="http://schemas.openxmlformats.org/officeDocument/2006/relationships/hyperlink" Target="https://meters.uni-trend.com/download/ut501a-ut501b-ut502a-flyer/" TargetMode="External"/><Relationship Id="rId1611" Type="http://schemas.openxmlformats.org/officeDocument/2006/relationships/hyperlink" Target="https://drive.google.com/file/d/1PV9teolEjAKQJPuOE5iYB6GdZAKs3TEf/view?usp=sharing" TargetMode="External"/><Relationship Id="rId1612" Type="http://schemas.openxmlformats.org/officeDocument/2006/relationships/hyperlink" Target="https://meters.uni-trend.com/download/ut501a-ut501b-ut502a-flyer/" TargetMode="External"/><Relationship Id="rId1613" Type="http://schemas.openxmlformats.org/officeDocument/2006/relationships/hyperlink" Target="https://drive.google.com/file/d/1PV9teolEjAKQJPuOE5iYB6GdZAKs3TEf/view?usp=sharing" TargetMode="External"/><Relationship Id="rId1614" Type="http://schemas.openxmlformats.org/officeDocument/2006/relationships/hyperlink" Target="https://firemansperu.com/productos/extintores-firemans/dioxido-de-carbono/" TargetMode="External"/><Relationship Id="rId1615" Type="http://schemas.openxmlformats.org/officeDocument/2006/relationships/hyperlink" Target="https://aranda.com.pe/producto/piqueta-martillo-para-soldador/" TargetMode="External"/><Relationship Id="rId1616" Type="http://schemas.openxmlformats.org/officeDocument/2006/relationships/hyperlink" Target="https://www.viewsonic.com/la/products/ifp7550.html" TargetMode="External"/><Relationship Id="rId907" Type="http://schemas.openxmlformats.org/officeDocument/2006/relationships/hyperlink" Target="https://prosinfer.com.pe/wp-content/uploads/2022/06/14802.pdf" TargetMode="External"/><Relationship Id="rId1617" Type="http://schemas.openxmlformats.org/officeDocument/2006/relationships/hyperlink" Target="https://firemansperu.com/productos/extintores-firemans/dioxido-de-carbono/" TargetMode="External"/><Relationship Id="rId906" Type="http://schemas.openxmlformats.org/officeDocument/2006/relationships/hyperlink" Target="https://drive.google.com/file/d/155-xOeI5dmYNBRhHpc3_W-OYIBFrxlzW/view" TargetMode="External"/><Relationship Id="rId1618" Type="http://schemas.openxmlformats.org/officeDocument/2006/relationships/hyperlink" Target="https://firemansperu.com/productos/extintores-firemans/dioxido-de-carbono/" TargetMode="External"/><Relationship Id="rId905" Type="http://schemas.openxmlformats.org/officeDocument/2006/relationships/hyperlink" Target="https://prosinfer.com.pe/wp-content/uploads/2022/06/14802.pdf" TargetMode="External"/><Relationship Id="rId1619" Type="http://schemas.openxmlformats.org/officeDocument/2006/relationships/hyperlink" Target="https://firemansperu.com/productos/extintores-firemans/dioxido-de-carbono/" TargetMode="External"/><Relationship Id="rId904" Type="http://schemas.openxmlformats.org/officeDocument/2006/relationships/hyperlink" Target="https://www.amazon.com/dinamom%C3%A9trica-accionamiento-pulgadas-13-6-108-5-LX-182/dp/B07M68G49R/ref=sxin_16_pa_sp_search_thematic_sspa?content-id=amzn1.sym.06b0a375-029c-4241-a66c-6efb26e8829a%3Aamzn1.sym.06b0a375-029c-4241-a66c-6efb26e8829a&amp;crid=1NLT8FEO73OTL&amp;cv_ct_cx=torque%2Bwrench%2B3%2F8%E2%80%9D%2B20%2B-%2B80%2Bft%2Blb&amp;keywords=TORQUIMETRO%2B3%2F8%22%2B20%2B-%2B80%2BFT%2BLB&amp;pd_rd_i=B07M68G49R&amp;pd_rd_r=92531a98-7577-4a2d-b8a4-33a36b9ec263&amp;pd_rd_w=9S0zt&amp;pd_rd_wg=mG0hW&amp;pf_rd_p=06b0a375-029c-4241-a66c-6efb26e8829a&amp;pf_rd_r=8X0YBFPK5PJW10E55P9X&amp;qid=1759177549&amp;s=hi&amp;sbo=RZvfv%2F%2FHxDF%2BO5021pAnSA%3D%3D&amp;sprefix=torquimetro%2B3%2F8%2B20%2B-%2B80%2Bft%2Blb%2Caps%2C174&amp;sr=1-3-794806aa-f21d-47b5-a3ea-b60ce78b088a-spons&amp;sp_csd=d2lkZ2V0TmFtZT1zcF9zZWFyY2hfdGhlbWF0aWM&amp;th=1" TargetMode="External"/><Relationship Id="rId909" Type="http://schemas.openxmlformats.org/officeDocument/2006/relationships/hyperlink" Target="https://prosinfer.com.pe/wp-content/uploads/2022/06/14802.pdf" TargetMode="External"/><Relationship Id="rId908" Type="http://schemas.openxmlformats.org/officeDocument/2006/relationships/hyperlink" Target="https://drive.google.com/file/d/155-xOeI5dmYNBRhHpc3_W-OYIBFrxlzW/view" TargetMode="External"/><Relationship Id="rId903" Type="http://schemas.openxmlformats.org/officeDocument/2006/relationships/hyperlink" Target="https://www.stanleyworks.es/producto/1-83-069/tornillo-de-banco-multi-angulos" TargetMode="External"/><Relationship Id="rId902" Type="http://schemas.openxmlformats.org/officeDocument/2006/relationships/hyperlink" Target="https://www.promart.pe/tornillo-de-banco-4-pulgadas-tipo-europeo-truper-ta-4-l-1001194506/p" TargetMode="External"/><Relationship Id="rId901" Type="http://schemas.openxmlformats.org/officeDocument/2006/relationships/hyperlink" Target="https://www.promart.pe/tornillo-de-banco-4-pulgadas-tipo-europeo-truper-ta-4-l-1001194506/p" TargetMode="External"/><Relationship Id="rId900" Type="http://schemas.openxmlformats.org/officeDocument/2006/relationships/hyperlink" Target="https://docs.google.com/spreadsheets/d/13pdSoqqk_yCXiOQt0qq3X0pDhqhCJy8a11XekNZEjWA/edit?gid=0" TargetMode="External"/><Relationship Id="rId1600" Type="http://schemas.openxmlformats.org/officeDocument/2006/relationships/hyperlink" Target="https://irelectronics.pe/producto/tomacorriente-medidor-de-parametros-electricos-uni-t-ut-230b-us/" TargetMode="External"/><Relationship Id="rId1601" Type="http://schemas.openxmlformats.org/officeDocument/2006/relationships/hyperlink" Target="https://doc.tipa.eu/datasheet/07750124-datasheet-en.pdf" TargetMode="External"/><Relationship Id="rId1602" Type="http://schemas.openxmlformats.org/officeDocument/2006/relationships/hyperlink" Target="https://irelectronics.pe/producto/tomacorriente-medidor-de-parametros-electricos-uni-t-ut-230b-us/" TargetMode="External"/><Relationship Id="rId1603" Type="http://schemas.openxmlformats.org/officeDocument/2006/relationships/hyperlink" Target="https://doc.tipa.eu/datasheet/07750124-datasheet-en.pdf" TargetMode="External"/><Relationship Id="rId1604" Type="http://schemas.openxmlformats.org/officeDocument/2006/relationships/hyperlink" Target="https://irelectronics.pe/producto/tomacorriente-medidor-de-parametros-electricos-uni-t-ut-230b-us/" TargetMode="External"/><Relationship Id="rId1605" Type="http://schemas.openxmlformats.org/officeDocument/2006/relationships/hyperlink" Target="https://doc.tipa.eu/datasheet/07750124-datasheet-en.pdf" TargetMode="External"/><Relationship Id="rId1606" Type="http://schemas.openxmlformats.org/officeDocument/2006/relationships/hyperlink" Target="https://firemansperu.com/productos/extintores-firemans/dioxido-de-carbono/" TargetMode="External"/><Relationship Id="rId1607" Type="http://schemas.openxmlformats.org/officeDocument/2006/relationships/hyperlink" Target="https://firemansperu.com/productos/extintores-firemans/dioxido-de-carbono/" TargetMode="External"/><Relationship Id="rId1608" Type="http://schemas.openxmlformats.org/officeDocument/2006/relationships/hyperlink" Target="https://meters.uni-trend.com/download/ut501a-ut501b-ut502a-flyer/" TargetMode="External"/><Relationship Id="rId1609" Type="http://schemas.openxmlformats.org/officeDocument/2006/relationships/hyperlink" Target="https://drive.google.com/file/d/1PV9teolEjAKQJPuOE5iYB6GdZAKs3TEf/view?usp=sharing" TargetMode="External"/><Relationship Id="rId1631" Type="http://schemas.openxmlformats.org/officeDocument/2006/relationships/hyperlink" Target="https://www.logitechg.com/en-us/shop/p/yeti-nano-usb-microphone.988-000088" TargetMode="External"/><Relationship Id="rId1632" Type="http://schemas.openxmlformats.org/officeDocument/2006/relationships/hyperlink" Target="https://drive.google.com/file/d/12OU9N5HMgPBD_tH0-ynhY1fuwoQBlUih/view?usp=sharing" TargetMode="External"/><Relationship Id="rId1633" Type="http://schemas.openxmlformats.org/officeDocument/2006/relationships/hyperlink" Target="https://www.logitechg.com/en-us/shop/p/yeti-nano-usb-microphone.988-000088" TargetMode="External"/><Relationship Id="rId1634" Type="http://schemas.openxmlformats.org/officeDocument/2006/relationships/hyperlink" Target="https://drive.google.com/file/d/12OU9N5HMgPBD_tH0-ynhY1fuwoQBlUih/view?usp=sharing" TargetMode="External"/><Relationship Id="rId1635" Type="http://schemas.openxmlformats.org/officeDocument/2006/relationships/hyperlink" Target="https://www.logitechg.com/en-us/shop/p/yeti-nano-usb-microphone.988-000088" TargetMode="External"/><Relationship Id="rId1636" Type="http://schemas.openxmlformats.org/officeDocument/2006/relationships/hyperlink" Target="https://drive.google.com/file/d/12OU9N5HMgPBD_tH0-ynhY1fuwoQBlUih/view?usp=sharing" TargetMode="External"/><Relationship Id="rId1637" Type="http://schemas.openxmlformats.org/officeDocument/2006/relationships/hyperlink" Target="https://firemansperu.com/productos/extintores-firemans/dioxido-de-carbono/" TargetMode="External"/><Relationship Id="rId1638" Type="http://schemas.openxmlformats.org/officeDocument/2006/relationships/hyperlink" Target="https://firemansperu.com/productos/extintores-firemans/dioxido-de-carbono/" TargetMode="External"/><Relationship Id="rId929" Type="http://schemas.openxmlformats.org/officeDocument/2006/relationships/hyperlink" Target="https://drive.google.com/file/d/1Ho2hg1YeTxPrLUWnjlp6tioUvtzmBuCX/view?usp=sharing" TargetMode="External"/><Relationship Id="rId1639" Type="http://schemas.openxmlformats.org/officeDocument/2006/relationships/hyperlink" Target="https://firemansperu.com/productos/extintores-firemans/dioxido-de-carbono/" TargetMode="External"/><Relationship Id="rId928" Type="http://schemas.openxmlformats.org/officeDocument/2006/relationships/hyperlink" Target="https://www.sodimac.com.pe/sodimac-pe/articulo/117119198/Alicate-de-corte-dielectrico-1000V-6-pulgadas-Truper-Expert/117119199?srsltid=AfmBOooBN1lm8Uqnhx4-k4wh2kEHi90ozxl1e3TlcMSCmlH1vLmJmnOQ" TargetMode="External"/><Relationship Id="rId927" Type="http://schemas.openxmlformats.org/officeDocument/2006/relationships/hyperlink" Target="https://www.etundra.com/pdf/impisb36.30565.pdf?srsltid=AfmBOopOGYLgQ599wiBHhNyjemVCVLfmtWWKy0HNSO9RnWgME8UlJHLn" TargetMode="External"/><Relationship Id="rId926" Type="http://schemas.openxmlformats.org/officeDocument/2006/relationships/hyperlink" Target="https://www.sodimac.com.pe/sodimac-pe/articulo/118932564/Alicates-dielectricos-1000V-3-piezas,-1-probador-de-corriente-Truper/118932565" TargetMode="External"/><Relationship Id="rId921" Type="http://schemas.openxmlformats.org/officeDocument/2006/relationships/hyperlink" Target="https://www.amazon.com/-/es/Dasqua-Cinta-m%C3%A9trica-l%C3%A1ser-1804-1080/dp/B091D9295X" TargetMode="External"/><Relationship Id="rId920" Type="http://schemas.openxmlformats.org/officeDocument/2006/relationships/hyperlink" Target="https://prosinfer.pe/product/cinta-metrica-wincha-5-m-stanley-30-085-pro/" TargetMode="External"/><Relationship Id="rId925" Type="http://schemas.openxmlformats.org/officeDocument/2006/relationships/hyperlink" Target="https://drive.google.com/file/d/1Ho2hg1YeTxPrLUWnjlp6tioUvtzmBuCX/view?usp=sharing" TargetMode="External"/><Relationship Id="rId924" Type="http://schemas.openxmlformats.org/officeDocument/2006/relationships/hyperlink" Target="https://www.sodimac.com.pe/sodimac-pe/articulo/117119198/Alicate-de-corte-dielectrico-1000V-6-pulgadas-Truper-Expert/117119199?srsltid=AfmBOooBN1lm8Uqnhx4-k4wh2kEHi90ozxl1e3TlcMSCmlH1vLmJmnOQ" TargetMode="External"/><Relationship Id="rId923" Type="http://schemas.openxmlformats.org/officeDocument/2006/relationships/hyperlink" Target="https://www.sodimac.com.pe/sodimac-pe/articulo/113524255/Set-3-Alicates-Aislados-Stanley-VDE-1000V/113524256?kid=goosho_669250&amp;shop=googleShopping&amp;gad_source=1&amp;gad_campaignid=21524717227&amp;gbraid=0AAAAADOx_19x8b5Ra3HeHOFm9g2quB7Re&amp;gclid=Cj0KCQjw3aLHBhDTARIsAIRij5-n4fTTHEuyzX0ziM8ZITDMZkLhUVkhGa091goqpEx0tTs8iMVspi0aArSpEALw_wcB" TargetMode="External"/><Relationship Id="rId922" Type="http://schemas.openxmlformats.org/officeDocument/2006/relationships/hyperlink" Target="https://www.amazon.com/-/es/Dasqua-Cinta-m%C3%A9trica-l%C3%A1ser-1804-1080/dp/B091D9295X" TargetMode="External"/><Relationship Id="rId1630" Type="http://schemas.openxmlformats.org/officeDocument/2006/relationships/hyperlink" Target="https://drive.google.com/file/d/12OU9N5HMgPBD_tH0-ynhY1fuwoQBlUih/view?usp=sharing" TargetMode="External"/><Relationship Id="rId1620" Type="http://schemas.openxmlformats.org/officeDocument/2006/relationships/hyperlink" Target="https://firemansperu.com/productos/extintores-firemans/dioxido-de-carbono/" TargetMode="External"/><Relationship Id="rId1621" Type="http://schemas.openxmlformats.org/officeDocument/2006/relationships/hyperlink" Target="https://www.logitechg.com/en-us/shop/p/yeti-nano-usb-microphone.988-000088" TargetMode="External"/><Relationship Id="rId1622" Type="http://schemas.openxmlformats.org/officeDocument/2006/relationships/hyperlink" Target="https://drive.google.com/file/d/1q6KTacf-iDxDU0AdcqowZ3N6Vd1i2uA8/view?usp=drive_link" TargetMode="External"/><Relationship Id="rId1623" Type="http://schemas.openxmlformats.org/officeDocument/2006/relationships/hyperlink" Target="https://www.logitechg.com/en-us/shop/p/yeti-nano-usb-microphone.988-000088" TargetMode="External"/><Relationship Id="rId1624" Type="http://schemas.openxmlformats.org/officeDocument/2006/relationships/hyperlink" Target="https://drive.google.com/file/d/1q6KTacf-iDxDU0AdcqowZ3N6Vd1i2uA8/view?usp=drive_link" TargetMode="External"/><Relationship Id="rId1625" Type="http://schemas.openxmlformats.org/officeDocument/2006/relationships/hyperlink" Target="https://www.logitechg.com/en-us/shop/p/yeti-nano-usb-microphone.988-000088" TargetMode="External"/><Relationship Id="rId1626" Type="http://schemas.openxmlformats.org/officeDocument/2006/relationships/hyperlink" Target="https://drive.google.com/file/d/1q6KTacf-iDxDU0AdcqowZ3N6Vd1i2uA8/view?usp=drive_link" TargetMode="External"/><Relationship Id="rId1627" Type="http://schemas.openxmlformats.org/officeDocument/2006/relationships/hyperlink" Target="https://www.logitechg.com/en-us/shop/p/yeti-nano-usb-microphone.988-000088" TargetMode="External"/><Relationship Id="rId918" Type="http://schemas.openxmlformats.org/officeDocument/2006/relationships/hyperlink" Target="https://prosinfer.pe/product/cinta-metrica-wincha-5-m-stanley-30-085-pro/" TargetMode="External"/><Relationship Id="rId1628" Type="http://schemas.openxmlformats.org/officeDocument/2006/relationships/hyperlink" Target="https://drive.google.com/file/d/1q6KTacf-iDxDU0AdcqowZ3N6Vd1i2uA8/view?usp=drive_link" TargetMode="External"/><Relationship Id="rId917" Type="http://schemas.openxmlformats.org/officeDocument/2006/relationships/hyperlink" Target="https://www.brother.com.pe/products/mfct4500dw" TargetMode="External"/><Relationship Id="rId1629" Type="http://schemas.openxmlformats.org/officeDocument/2006/relationships/hyperlink" Target="https://www.logitechg.com/en-us/shop/p/yeti-nano-usb-microphone.988-000088" TargetMode="External"/><Relationship Id="rId916" Type="http://schemas.openxmlformats.org/officeDocument/2006/relationships/hyperlink" Target="https://store.ferrindustrial.com.pe/producto/transportador-de-angulos-inox-180o-de-80mm-x-150mm-322541-vogel-germany/" TargetMode="External"/><Relationship Id="rId915" Type="http://schemas.openxmlformats.org/officeDocument/2006/relationships/hyperlink" Target="https://store.ferrindustrial.com.pe/producto/transportador-de-angulos-inox-180o-de-80mm-x-150mm-322541-vogel-germany/" TargetMode="External"/><Relationship Id="rId919" Type="http://schemas.openxmlformats.org/officeDocument/2006/relationships/hyperlink" Target="https://prosinfer.pe/product/cinta-metrica-wincha-5-m-stanley-30-085-pro/" TargetMode="External"/><Relationship Id="rId910" Type="http://schemas.openxmlformats.org/officeDocument/2006/relationships/hyperlink" Target="https://drive.google.com/file/d/155-xOeI5dmYNBRhHpc3_W-OYIBFrxlzW/view" TargetMode="External"/><Relationship Id="rId914" Type="http://schemas.openxmlformats.org/officeDocument/2006/relationships/hyperlink" Target="https://www.amazon.com/dinamom%C3%A9trica-accionamiento-pulgadas-13-6-108-5-LX-182/dp/B07M68G49R/ref=sxin_16_pa_sp_search_thematic_sspa?content-id=amzn1.sym.06b0a375-029c-4241-a66c-6efb26e8829a%3Aamzn1.sym.06b0a375-029c-4241-a66c-6efb26e8829a&amp;crid=1NLT8FEO73OTL&amp;cv_ct_cx=torque%2Bwrench%2B3%2F8%E2%80%9D%2B20%2B-%2B80%2Bft%2Blb&amp;keywords=TORQUIMETRO%2B3%2F8%22%2B20%2B-%2B80%2BFT%2BLB&amp;pd_rd_i=B07M68G49R&amp;pd_rd_r=92531a98-7577-4a2d-b8a4-33a36b9ec263&amp;pd_rd_w=9S0zt&amp;pd_rd_wg=mG0hW&amp;pf_rd_p=06b0a375-029c-4241-a66c-6efb26e8829a&amp;pf_rd_r=8X0YBFPK5PJW10E55P9X&amp;qid=1759177549&amp;s=hi&amp;sbo=RZvfv%2F%2FHxDF%2BO5021pAnSA%3D%3D&amp;sprefix=torquimetro%2B3%2F8%2B20%2B-%2B80%2Bft%2Blb%2Caps%2C174&amp;sr=1-3-794806aa-f21d-47b5-a3ea-b60ce78b088a-spons&amp;sp_csd=d2lkZ2V0TmFtZT1zcF9zZWFyY2hfdGhlbWF0aWM&amp;th=1" TargetMode="External"/><Relationship Id="rId913" Type="http://schemas.openxmlformats.org/officeDocument/2006/relationships/hyperlink" Target="https://www.amazon.com/dinamom%C3%A9trica-accionamiento-pulgadas-13-6-108-5-LX-182/dp/B07M68G49R/ref=sxin_16_pa_sp_search_thematic_sspa?content-id=amzn1.sym.06b0a375-029c-4241-a66c-6efb26e8829a%3Aamzn1.sym.06b0a375-029c-4241-a66c-6efb26e8829a&amp;crid=1NLT8FEO73OTL&amp;cv_ct_cx=torque%2Bwrench%2B3%2F8%E2%80%9D%2B20%2B-%2B80%2Bft%2Blb&amp;keywords=TORQUIMETRO%2B3%2F8%22%2B20%2B-%2B80%2BFT%2BLB&amp;pd_rd_i=B07M68G49R&amp;pd_rd_r=92531a98-7577-4a2d-b8a4-33a36b9ec263&amp;pd_rd_w=9S0zt&amp;pd_rd_wg=mG0hW&amp;pf_rd_p=06b0a375-029c-4241-a66c-6efb26e8829a&amp;pf_rd_r=8X0YBFPK5PJW10E55P9X&amp;qid=1759177549&amp;s=hi&amp;sbo=RZvfv%2F%2FHxDF%2BO5021pAnSA%3D%3D&amp;sprefix=torquimetro%2B3%2F8%2B20%2B-%2B80%2Bft%2Blb%2Caps%2C174&amp;sr=1-3-794806aa-f21d-47b5-a3ea-b60ce78b088a-spons&amp;sp_csd=d2lkZ2V0TmFtZT1zcF9zZWFyY2hfdGhlbWF0aWM&amp;th=1" TargetMode="External"/><Relationship Id="rId912" Type="http://schemas.openxmlformats.org/officeDocument/2006/relationships/hyperlink" Target="https://drive.google.com/file/d/1ZWM1FpHCJvZmi7gTeAWpyElDb2rqXWqu/view" TargetMode="External"/><Relationship Id="rId911" Type="http://schemas.openxmlformats.org/officeDocument/2006/relationships/hyperlink" Target="https://www.amazon.com/-/es/Generador-arbitraria-Frecuencia-muestreo-Longitud/dp/B0CL2LS689?th=1" TargetMode="External"/><Relationship Id="rId1213" Type="http://schemas.openxmlformats.org/officeDocument/2006/relationships/hyperlink" Target="https://articulo.mercadolibre.cl/MLC-1546742643-lozagu-martillo-de-mazo-de-goma-de-8-oz-mango-de-fibra-de-v-_JM" TargetMode="External"/><Relationship Id="rId1697" Type="http://schemas.openxmlformats.org/officeDocument/2006/relationships/hyperlink" Target="https://drive.google.com/drive/search?q=M%C3%B3dulo%20educativo%20de%20sistema%20carga%20y%20arranque" TargetMode="External"/><Relationship Id="rId1214" Type="http://schemas.openxmlformats.org/officeDocument/2006/relationships/hyperlink" Target="https://articulo.mercadolibre.cl/MLC-1546742643-lozagu-martillo-de-mazo-de-goma-de-8-oz-mango-de-fibra-de-v-_JM" TargetMode="External"/><Relationship Id="rId1698" Type="http://schemas.openxmlformats.org/officeDocument/2006/relationships/hyperlink" Target="https://www.gteecn.com/automotive-starting-system-training-board.html" TargetMode="External"/><Relationship Id="rId1215" Type="http://schemas.openxmlformats.org/officeDocument/2006/relationships/hyperlink" Target="https://articulo.mercadolibre.cl/MLC-1546742643-lozagu-martillo-de-mazo-de-goma-de-8-oz-mango-de-fibra-de-v-_JM" TargetMode="External"/><Relationship Id="rId1699" Type="http://schemas.openxmlformats.org/officeDocument/2006/relationships/hyperlink" Target="https://docs.google.com/spreadsheets/d/1ED2vFA7QDniYLAwTdpFt20c0DE9Y3Fl4toTSrCaBXvs/edit?gid=0" TargetMode="External"/><Relationship Id="rId1216" Type="http://schemas.openxmlformats.org/officeDocument/2006/relationships/hyperlink" Target="https://articulo.mercadolibre.cl/MLC-1546742643-lozagu-martillo-de-mazo-de-goma-de-8-oz-mango-de-fibra-de-v-_JM" TargetMode="External"/><Relationship Id="rId1217" Type="http://schemas.openxmlformats.org/officeDocument/2006/relationships/hyperlink" Target="https://drive.google.com/file/d/18MigtMJJDfa63y6AOD4e5URhXJ9SfIjS/view" TargetMode="External"/><Relationship Id="rId1218" Type="http://schemas.openxmlformats.org/officeDocument/2006/relationships/hyperlink" Target="https://drive.google.com/file/d/1Gn-fn_WN4ajeI_kpYMAVZmuMvl2aSkHx/view?usp=sharing" TargetMode="External"/><Relationship Id="rId1219" Type="http://schemas.openxmlformats.org/officeDocument/2006/relationships/hyperlink" Target="https://drive.google.com/file/d/1Gn-fn_WN4ajeI_kpYMAVZmuMvl2aSkHx/view?usp=sharing" TargetMode="External"/><Relationship Id="rId866" Type="http://schemas.openxmlformats.org/officeDocument/2006/relationships/hyperlink" Target="https://simple.ripley.com.pe/taza-gibben-cernidor-plateado-a-tamizadora-chica-reposteria-pmp00003112707?srsltid=AfmBOorF4Fq0XUAbLh5Z_ZZcIytS7Qxh7hEzb8Fpyoa6_IdMdWBKO1IA&amp;color_80=plateado&amp;s=mdco" TargetMode="External"/><Relationship Id="rId865" Type="http://schemas.openxmlformats.org/officeDocument/2006/relationships/hyperlink" Target="https://simple.ripley.com.pe/taza-gibben-cernidor-plateado-a-tamizadora-chica-reposteria-pmp00003112707?srsltid=AfmBOorF4Fq0XUAbLh5Z_ZZcIytS7Qxh7hEzb8Fpyoa6_IdMdWBKO1IA&amp;color_80=plateado&amp;s=mdco" TargetMode="External"/><Relationship Id="rId864" Type="http://schemas.openxmlformats.org/officeDocument/2006/relationships/hyperlink" Target="https://simple.ripley.com.pe/taza-gibben-cernidor-plateado-a-tamizadora-chica-reposteria-pmp00003112707?srsltid=AfmBOorF4Fq0XUAbLh5Z_ZZcIytS7Qxh7hEzb8Fpyoa6_IdMdWBKO1IA&amp;color_80=plateado&amp;s=mdco" TargetMode="External"/><Relationship Id="rId863" Type="http://schemas.openxmlformats.org/officeDocument/2006/relationships/hyperlink" Target="https://www.falabella.com.pe/falabella-pe/product/140467513/Alfombrilla-Tapete-Antiestatico-S180-55x35-Reparacion-para-Cell-Laptop/140467514" TargetMode="External"/><Relationship Id="rId869" Type="http://schemas.openxmlformats.org/officeDocument/2006/relationships/hyperlink" Target="https://www.amazon.com/-/es/Herramienta-reparaci%C3%B3n-compresor-m%C3%BAltiple-universal/dp/B0BF5BLJXJ" TargetMode="External"/><Relationship Id="rId868" Type="http://schemas.openxmlformats.org/officeDocument/2006/relationships/hyperlink" Target="https://www.ebay.co.uk/itm/173860798799" TargetMode="External"/><Relationship Id="rId867" Type="http://schemas.openxmlformats.org/officeDocument/2006/relationships/hyperlink" Target="https://simple.ripley.com.pe/taza-gibben-cernidor-plateado-a-tamizadora-chica-reposteria-pmp00003112707?srsltid=AfmBOorF4Fq0XUAbLh5Z_ZZcIytS7Qxh7hEzb8Fpyoa6_IdMdWBKO1IA&amp;color_80=plateado&amp;s=mdco" TargetMode="External"/><Relationship Id="rId1690" Type="http://schemas.openxmlformats.org/officeDocument/2006/relationships/hyperlink" Target="https://drive.google.com/file/d/1QV_FVQn5ptq-pTURyhFFwgqVE19xOKAu/view" TargetMode="External"/><Relationship Id="rId1691" Type="http://schemas.openxmlformats.org/officeDocument/2006/relationships/hyperlink" Target="https://drive.google.com/file/d/1QV_FVQn5ptq-pTURyhFFwgqVE19xOKAu/view" TargetMode="External"/><Relationship Id="rId1692" Type="http://schemas.openxmlformats.org/officeDocument/2006/relationships/hyperlink" Target="https://drive.google.com/file/d/1QV_FVQn5ptq-pTURyhFFwgqVE19xOKAu/view" TargetMode="External"/><Relationship Id="rId862" Type="http://schemas.openxmlformats.org/officeDocument/2006/relationships/hyperlink" Target="https://www.amazon.com/-/es/BonJour-Chefs-Tools-53489-inoxidable/dp/B000IZRWKI/ref=sr_1_3?crid=2C5J1M2J5DSMR&amp;dib=eyJ2IjoiMSJ9.6PUMt0JSN79GUZgr8UHnvwcZ3i-q4_rINBnSU4i7nYB1EJ03L2UFEYBlrZvhSb9D2ziZSuGGuSkZ4rRImfBPdx5aIBDac4HaZXkRJXwkH8Jht58gvtr1vQcMbAHRzq41RGxh8NCshcwKvZOX5WsxWZcOBP-sEEhinyCzpbjSi9LXhS6u517TvnSsQ8C0Y_VbZ0nPXwQST_ubMGeojpWi67uwJfkM0MLY9wu6qIQupJM.wUmddQV12EIjDosLmrVepvl5rTa-0qY6LelZTrIra_0&amp;dib_tag=se&amp;keywords=soplete+de+cocina+mini+con+ramekins+CARGA+65+ML&amp;qid=1759180616&amp;sprefix=soplete+de+cocina+mini+con+ramekins+carga+65+ml%2Caps%2C159&amp;sr=8-3&amp;xpid=q2Ba1qI_6hdYT" TargetMode="External"/><Relationship Id="rId1693" Type="http://schemas.openxmlformats.org/officeDocument/2006/relationships/hyperlink" Target="https://www.gteecn.com/automotive-starting-system-training-board.html" TargetMode="External"/><Relationship Id="rId861" Type="http://schemas.openxmlformats.org/officeDocument/2006/relationships/hyperlink" Target="https://drive.google.com/file/d/1E0j0w1lERE5KzfLHnwjCYqpy91_mDAdB/view" TargetMode="External"/><Relationship Id="rId1210" Type="http://schemas.openxmlformats.org/officeDocument/2006/relationships/hyperlink" Target="https://prosinfer.pe/product/martillo-mango-madera-16-oz-stanley-51-271/?utm_source=chatgpt.com" TargetMode="External"/><Relationship Id="rId1694" Type="http://schemas.openxmlformats.org/officeDocument/2006/relationships/hyperlink" Target="https://drive.google.com/drive/search?q=M%C3%B3dulo%20educativo%20de%20sistema%20carga%20y%20arranque" TargetMode="External"/><Relationship Id="rId860" Type="http://schemas.openxmlformats.org/officeDocument/2006/relationships/hyperlink" Target="https://store.creality.com/es/products/k1-se-impresora-3d" TargetMode="External"/><Relationship Id="rId1211" Type="http://schemas.openxmlformats.org/officeDocument/2006/relationships/hyperlink" Target="https://docs.google.com/spreadsheets/d/1rOhjeF4AGPJcYdyQgKe7-X6otyVtMvB0Vebglf-CVLs/edit?gid=0" TargetMode="External"/><Relationship Id="rId1695" Type="http://schemas.openxmlformats.org/officeDocument/2006/relationships/hyperlink" Target="https://www.gteecn.com/automotive-starting-system-training-board.html" TargetMode="External"/><Relationship Id="rId1212" Type="http://schemas.openxmlformats.org/officeDocument/2006/relationships/hyperlink" Target="https://articulo.mercadolibre.cl/MLC-1546742643-lozagu-martillo-de-mazo-de-goma-de-8-oz-mango-de-fibra-de-v-_JM" TargetMode="External"/><Relationship Id="rId1696" Type="http://schemas.openxmlformats.org/officeDocument/2006/relationships/hyperlink" Target="https://docs.google.com/spreadsheets/d/1ED2vFA7QDniYLAwTdpFt20c0DE9Y3Fl4toTSrCaBXvs/edit?gid=0" TargetMode="External"/><Relationship Id="rId1202" Type="http://schemas.openxmlformats.org/officeDocument/2006/relationships/hyperlink" Target="https://sodimac.falabella.com.pe/sodimac-pe/product/114502978/Martillo-Mecanico-16-Oz-Redline/114502979?utm_source=chatgpt.com" TargetMode="External"/><Relationship Id="rId1686" Type="http://schemas.openxmlformats.org/officeDocument/2006/relationships/hyperlink" Target="https://drive.google.com/file/d/1DhWM8XGd772efWC028Oto8sR3zp811AB/view" TargetMode="External"/><Relationship Id="rId1203" Type="http://schemas.openxmlformats.org/officeDocument/2006/relationships/hyperlink" Target="https://docs.google.com/spreadsheets/d/1nYx3d8iRB8D5aJDy9oO7fd8B1OPL348raBbtUsLFJxM/edit?gid=0" TargetMode="External"/><Relationship Id="rId1687" Type="http://schemas.openxmlformats.org/officeDocument/2006/relationships/hyperlink" Target="https://drive.google.com/file/d/1QV_FVQn5ptq-pTURyhFFwgqVE19xOKAu/view" TargetMode="External"/><Relationship Id="rId1204" Type="http://schemas.openxmlformats.org/officeDocument/2006/relationships/hyperlink" Target="https://sodimac.falabella.com.pe/sodimac-pe/product/114502978/Martillo-Mecanico-16-Oz-Redline/114502979?utm_source=chatgpt.com" TargetMode="External"/><Relationship Id="rId1688" Type="http://schemas.openxmlformats.org/officeDocument/2006/relationships/hyperlink" Target="https://drive.google.com/file/d/1QV_FVQn5ptq-pTURyhFFwgqVE19xOKAu/view" TargetMode="External"/><Relationship Id="rId1205" Type="http://schemas.openxmlformats.org/officeDocument/2006/relationships/hyperlink" Target="https://docs.google.com/spreadsheets/d/1nYx3d8iRB8D5aJDy9oO7fd8B1OPL348raBbtUsLFJxM/edit?gid=0" TargetMode="External"/><Relationship Id="rId1689" Type="http://schemas.openxmlformats.org/officeDocument/2006/relationships/hyperlink" Target="https://drive.google.com/file/d/1QV_FVQn5ptq-pTURyhFFwgqVE19xOKAu/view" TargetMode="External"/><Relationship Id="rId1206" Type="http://schemas.openxmlformats.org/officeDocument/2006/relationships/hyperlink" Target="https://sodimac.falabella.com.pe/sodimac-pe/product/114502978/Martillo-Mecanico-16-Oz-Redline/114502979?utm_source=chatgpt.com" TargetMode="External"/><Relationship Id="rId1207" Type="http://schemas.openxmlformats.org/officeDocument/2006/relationships/hyperlink" Target="https://docs.google.com/spreadsheets/d/1nYx3d8iRB8D5aJDy9oO7fd8B1OPL348raBbtUsLFJxM/edit?gid=0" TargetMode="External"/><Relationship Id="rId1208" Type="http://schemas.openxmlformats.org/officeDocument/2006/relationships/hyperlink" Target="https://prosinfer.pe/product/martillo-mango-madera-16-oz-stanley-51-271/?utm_source=chatgpt.com" TargetMode="External"/><Relationship Id="rId1209" Type="http://schemas.openxmlformats.org/officeDocument/2006/relationships/hyperlink" Target="https://docs.google.com/spreadsheets/d/1rOhjeF4AGPJcYdyQgKe7-X6otyVtMvB0Vebglf-CVLs/edit?gid=0" TargetMode="External"/><Relationship Id="rId855" Type="http://schemas.openxmlformats.org/officeDocument/2006/relationships/hyperlink" Target="https://ruedamaquinaria.com/tienda/Rodillos-para-Masa/1780-rodillo-giratorio-silicona.html" TargetMode="External"/><Relationship Id="rId854" Type="http://schemas.openxmlformats.org/officeDocument/2006/relationships/hyperlink" Target="https://ruedamaquinaria.com/tienda/Rodillos-para-Masa/1780-rodillo-giratorio-silicona.html" TargetMode="External"/><Relationship Id="rId853" Type="http://schemas.openxmlformats.org/officeDocument/2006/relationships/hyperlink" Target="https://ruedamaquinaria.com/tienda/Rodillos-para-Masa/1780-rodillo-giratorio-silicona.html" TargetMode="External"/><Relationship Id="rId852" Type="http://schemas.openxmlformats.org/officeDocument/2006/relationships/hyperlink" Target="https://ruedamaquinaria.com/tienda/Rodillos-para-Masa/1780-rodillo-giratorio-silicona.html" TargetMode="External"/><Relationship Id="rId859" Type="http://schemas.openxmlformats.org/officeDocument/2006/relationships/hyperlink" Target="https://hiraoka.com.pe/extractor-de-jugo-thomas-th-2660i" TargetMode="External"/><Relationship Id="rId858" Type="http://schemas.openxmlformats.org/officeDocument/2006/relationships/hyperlink" Target="https://www.amazon.com/iSi-North-America-Applications-Stainless/dp/B001U83TWW?utm_source=chatgpt.com&amp;th=1" TargetMode="External"/><Relationship Id="rId857" Type="http://schemas.openxmlformats.org/officeDocument/2006/relationships/hyperlink" Target="https://www.amazon.com/dp/B09ZWW7C5X/ref=sspa_dk_detail_5?psc=1&amp;pd_rd_i=B09ZWW7C5X&amp;pd_rd_w=0kW9L&amp;content-id=amzn1.sym.f2f1cf8f-cab4-44dc-82ba-0ca811fb90cc&amp;pf_rd_p=f2f1cf8f-cab4-44dc-82ba-0ca811fb90cc&amp;pf_rd_r=YNGC4SCNN57TG0AKMB1R&amp;pd_rd_wg=T13eg&amp;pd_rd_r=01f2e2ab-96cc-46c0-85cb-9fd69a817376&amp;sp_csd=d2lkZ2V0TmFtZT1zcF9kZXRhaWxfdGhlbWF0aWM" TargetMode="External"/><Relationship Id="rId856" Type="http://schemas.openxmlformats.org/officeDocument/2006/relationships/hyperlink" Target="https://www.amazon.com/dp/B09ZWW7C5X/ref=sspa_dk_detail_5?psc=1&amp;pd_rd_i=B09ZWW7C5X&amp;pd_rd_w=0kW9L&amp;content-id=amzn1.sym.f2f1cf8f-cab4-44dc-82ba-0ca811fb90cc&amp;pf_rd_p=f2f1cf8f-cab4-44dc-82ba-0ca811fb90cc&amp;pf_rd_r=YNGC4SCNN57TG0AKMB1R&amp;pd_rd_wg=T13eg&amp;pd_rd_r=01f2e2ab-96cc-46c0-85cb-9fd69a817376&amp;sp_csd=d2lkZ2V0TmFtZT1zcF9kZXRhaWxfdGhlbWF0aWM" TargetMode="External"/><Relationship Id="rId1680" Type="http://schemas.openxmlformats.org/officeDocument/2006/relationships/hyperlink" Target="https://drive.google.com/file/d/1DhWM8XGd772efWC028Oto8sR3zp811AB/view" TargetMode="External"/><Relationship Id="rId1681" Type="http://schemas.openxmlformats.org/officeDocument/2006/relationships/hyperlink" Target="https://spanish.alibaba.com/product-detail/Gasoline-Engine-Simulator-Educational-Module-Didactic-11000024944641.html" TargetMode="External"/><Relationship Id="rId851" Type="http://schemas.openxmlformats.org/officeDocument/2006/relationships/hyperlink" Target="https://ruedamaquinaria.com/tienda/Rodillos-para-Masa/1780-rodillo-giratorio-silicona.html" TargetMode="External"/><Relationship Id="rId1682" Type="http://schemas.openxmlformats.org/officeDocument/2006/relationships/hyperlink" Target="https://docs.google.com/spreadsheets/d/1SDis8WKwU4WtpMoAZ4Uo4tmZTak4ILEhG7sh8L3PsQ0/edit?gid=0" TargetMode="External"/><Relationship Id="rId850" Type="http://schemas.openxmlformats.org/officeDocument/2006/relationships/hyperlink" Target="https://www.rapidonline.com/draper-expert-46609-metric-dial-test-indicator-kit-91-4331" TargetMode="External"/><Relationship Id="rId1683" Type="http://schemas.openxmlformats.org/officeDocument/2006/relationships/hyperlink" Target="https://drive.google.com/file/d/1DhWM8XGd772efWC028Oto8sR3zp811AB/view" TargetMode="External"/><Relationship Id="rId1200" Type="http://schemas.openxmlformats.org/officeDocument/2006/relationships/hyperlink" Target="https://www.promart.pe/llave-para-tubo-stillson-14-bahco/p?srsltid=AfmBOoqUsELd0wGvbK_Em1KBhHTKCk3yOPIP_vhJX-98QSMpdLkt3Uiw" TargetMode="External"/><Relationship Id="rId1684" Type="http://schemas.openxmlformats.org/officeDocument/2006/relationships/hyperlink" Target="https://spanish.alibaba.com/product-detail/Gasoline-Engine-Simulator-Educational-Module-Didactic-11000024944641.html" TargetMode="External"/><Relationship Id="rId1201" Type="http://schemas.openxmlformats.org/officeDocument/2006/relationships/hyperlink" Target="https://docs.google.com/spreadsheets/d/1wh9RVNOHl7DjnIV1RLt8cyI2uyiKnwtaRudCN5GN1BY/edit?gid=0" TargetMode="External"/><Relationship Id="rId1685" Type="http://schemas.openxmlformats.org/officeDocument/2006/relationships/hyperlink" Target="https://docs.google.com/spreadsheets/d/1SDis8WKwU4WtpMoAZ4Uo4tmZTak4ILEhG7sh8L3PsQ0/edit?gid=0" TargetMode="External"/><Relationship Id="rId1235" Type="http://schemas.openxmlformats.org/officeDocument/2006/relationships/hyperlink" Target="https://www.claroshop.com/producto/14785171/ojilladora-remachadora-manual-m-94b?utm_source=chatgpt.com" TargetMode="External"/><Relationship Id="rId1236" Type="http://schemas.openxmlformats.org/officeDocument/2006/relationships/hyperlink" Target="https://docs.google.com/spreadsheets/d/1AiI9UVwzD_zcMU5cxZpEh6Jsuzb_c3rn2bwUk5EW4oo/edit?gid=0" TargetMode="External"/><Relationship Id="rId1237" Type="http://schemas.openxmlformats.org/officeDocument/2006/relationships/hyperlink" Target="https://ponyjorgensen.com/product/jorgensen-deep-reach-throat-bar-clamp/" TargetMode="External"/><Relationship Id="rId1238" Type="http://schemas.openxmlformats.org/officeDocument/2006/relationships/hyperlink" Target="https://ponyjorgensen.com/product/jorgensen-deep-reach-throat-bar-clamp/" TargetMode="External"/><Relationship Id="rId1239" Type="http://schemas.openxmlformats.org/officeDocument/2006/relationships/hyperlink" Target="https://www.aibitech.com/herramientas-de-carpinteria/serruchos/serrucho-diamante-de-costilla-12-espesor-08mm-dpp9-en-acero-alto-carbono-templado-stcx-12-18165-truper-10814.html?srsltid=AfmBOorhCkbWB6VZ2U_S75ymKSs5FzOxa2Chqzw1JE8zl2j9ni4XWbWL" TargetMode="External"/><Relationship Id="rId409" Type="http://schemas.openxmlformats.org/officeDocument/2006/relationships/hyperlink" Target="https://media3.bosch-home.com/Documents/specsheet/es-PE/DIB091E50.pdf" TargetMode="External"/><Relationship Id="rId404" Type="http://schemas.openxmlformats.org/officeDocument/2006/relationships/hyperlink" Target="https://www.ptmarket.com.pe/canon-eos-r10-con-lente-rf-s-18-45mm-f-3-5-6-3-is-stm.html?srsltid=AfmBOopY6MZJwJf4fCbuSXMFAZwfvVI--tSIecg-w_OzOLtASchaQEoU" TargetMode="External"/><Relationship Id="rId888" Type="http://schemas.openxmlformats.org/officeDocument/2006/relationships/hyperlink" Target="https://instruments.uni-trend.com/products/dc-power-supplies/UTP3300-II" TargetMode="External"/><Relationship Id="rId403" Type="http://schemas.openxmlformats.org/officeDocument/2006/relationships/hyperlink" Target="https://www.ptmarket.com.pe/canon-eos-r10-con-lente-rf-s-18-45mm-f-3-5-6-3-is-stm.html?srsltid=AfmBOopY6MZJwJf4fCbuSXMFAZwfvVI--tSIecg-w_OzOLtASchaQEoU" TargetMode="External"/><Relationship Id="rId887" Type="http://schemas.openxmlformats.org/officeDocument/2006/relationships/hyperlink" Target="https://drive.google.com/file/d/1SgljCNAxUlKhIj76heM9BD89ZKv4R7b4/view" TargetMode="External"/><Relationship Id="rId402" Type="http://schemas.openxmlformats.org/officeDocument/2006/relationships/hyperlink" Target="https://www.ptmarket.com.pe/canon-eos-r10-con-lente-rf-s-18-45mm-f-3-5-6-3-is-stm.html?srsltid=AfmBOopY6MZJwJf4fCbuSXMFAZwfvVI--tSIecg-w_OzOLtASchaQEoU" TargetMode="External"/><Relationship Id="rId886" Type="http://schemas.openxmlformats.org/officeDocument/2006/relationships/hyperlink" Target="https://drive.google.com/file/d/1SgljCNAxUlKhIj76heM9BD89ZKv4R7b4/view" TargetMode="External"/><Relationship Id="rId401" Type="http://schemas.openxmlformats.org/officeDocument/2006/relationships/hyperlink" Target="https://www.ptmarket.com.pe/canon-eos-r10-con-lente-rf-s-18-45mm-f-3-5-6-3-is-stm.html?srsltid=AfmBOopY6MZJwJf4fCbuSXMFAZwfvVI--tSIecg-w_OzOLtASchaQEoU" TargetMode="External"/><Relationship Id="rId885" Type="http://schemas.openxmlformats.org/officeDocument/2006/relationships/hyperlink" Target="https://drive.google.com/file/d/1SgljCNAxUlKhIj76heM9BD89ZKv4R7b4/view" TargetMode="External"/><Relationship Id="rId408" Type="http://schemas.openxmlformats.org/officeDocument/2006/relationships/hyperlink" Target="https://www.bosch-home.pe/electrodomesticos/DIB091E50" TargetMode="External"/><Relationship Id="rId407" Type="http://schemas.openxmlformats.org/officeDocument/2006/relationships/hyperlink" Target="https://www.ptmarket.com.pe/canon-eos-r10-con-lente-rf-s-18-45mm-f-3-5-6-3-is-stm.html?srsltid=AfmBOopY6MZJwJf4fCbuSXMFAZwfvVI--tSIecg-w_OzOLtASchaQEoU" TargetMode="External"/><Relationship Id="rId406" Type="http://schemas.openxmlformats.org/officeDocument/2006/relationships/hyperlink" Target="https://store.eu.panasonic.com/es-es/hc-vx3e-k-videocamara-4k" TargetMode="External"/><Relationship Id="rId405" Type="http://schemas.openxmlformats.org/officeDocument/2006/relationships/hyperlink" Target="https://www.ptmarket.com.pe/canon-eos-r10-con-lente-rf-s-18-45mm-f-3-5-6-3-is-stm.html?srsltid=AfmBOopY6MZJwJf4fCbuSXMFAZwfvVI--tSIecg-w_OzOLtASchaQEoU" TargetMode="External"/><Relationship Id="rId889" Type="http://schemas.openxmlformats.org/officeDocument/2006/relationships/hyperlink" Target="https://instruments.uni-trend.com/products/dc-power-supplies/UTP3300-II" TargetMode="External"/><Relationship Id="rId880" Type="http://schemas.openxmlformats.org/officeDocument/2006/relationships/hyperlink" Target="https://drive.google.com/file/d/1Gn-fn_WN4ajeI_kpYMAVZmuMvl2aSkHx/view?usp=sharing" TargetMode="External"/><Relationship Id="rId1230" Type="http://schemas.openxmlformats.org/officeDocument/2006/relationships/hyperlink" Target="https://prosinfer.pe/product/prensas-c-3%E2%80%B3-80-mm-stanley-83-503/" TargetMode="External"/><Relationship Id="rId400" Type="http://schemas.openxmlformats.org/officeDocument/2006/relationships/hyperlink" Target="https://www.ptmarket.com.pe/canon-eos-r10-con-lente-rf-s-18-45mm-f-3-5-6-3-is-stm.html?srsltid=AfmBOopY6MZJwJf4fCbuSXMFAZwfvVI--tSIecg-w_OzOLtASchaQEoU" TargetMode="External"/><Relationship Id="rId884" Type="http://schemas.openxmlformats.org/officeDocument/2006/relationships/hyperlink" Target="https://drive.google.com/file/d/1SgljCNAxUlKhIj76heM9BD89ZKv4R7b4/view" TargetMode="External"/><Relationship Id="rId1231" Type="http://schemas.openxmlformats.org/officeDocument/2006/relationships/hyperlink" Target="https://prosinfer.pe/product/prensas-c-3%E2%80%B3-80-mm-stanley-83-503/" TargetMode="External"/><Relationship Id="rId883" Type="http://schemas.openxmlformats.org/officeDocument/2006/relationships/hyperlink" Target="https://www.promax.es/downloads/products/ing/FD-252.pdf" TargetMode="External"/><Relationship Id="rId1232" Type="http://schemas.openxmlformats.org/officeDocument/2006/relationships/hyperlink" Target="https://prosinfer.pe/product/prensas-c-3%E2%80%B3-80-mm-stanley-83-503/" TargetMode="External"/><Relationship Id="rId882" Type="http://schemas.openxmlformats.org/officeDocument/2006/relationships/hyperlink" Target="https://www.denver.es/producto/promaxfd252/" TargetMode="External"/><Relationship Id="rId1233" Type="http://schemas.openxmlformats.org/officeDocument/2006/relationships/hyperlink" Target="https://www.claroshop.com/producto/14785171/ojilladora-remachadora-manual-m-94b?utm_source=chatgpt.com" TargetMode="External"/><Relationship Id="rId881" Type="http://schemas.openxmlformats.org/officeDocument/2006/relationships/hyperlink" Target="https://drive.google.com/file/d/1Gn-fn_WN4ajeI_kpYMAVZmuMvl2aSkHx/view?usp=sharing" TargetMode="External"/><Relationship Id="rId1234" Type="http://schemas.openxmlformats.org/officeDocument/2006/relationships/hyperlink" Target="https://docs.google.com/spreadsheets/d/1AiI9UVwzD_zcMU5cxZpEh6Jsuzb_c3rn2bwUk5EW4oo/edit?gid=0" TargetMode="External"/><Relationship Id="rId1224" Type="http://schemas.openxmlformats.org/officeDocument/2006/relationships/hyperlink" Target="https://drive.google.com/file/d/18MigtMJJDfa63y6AOD4e5URhXJ9SfIjS/view" TargetMode="External"/><Relationship Id="rId1225" Type="http://schemas.openxmlformats.org/officeDocument/2006/relationships/hyperlink" Target="https://www.alibaba.com/product-detail/OEM-Logo-Wooden-Handle-Machinist-Hammer_1601218393734.html?spm=a2700.7724857.0.0.650f400asMaz51-https://solter.com/en_GB/shop/06003-welding-pickaxe-wooden-handle-40285" TargetMode="External"/><Relationship Id="rId1226" Type="http://schemas.openxmlformats.org/officeDocument/2006/relationships/hyperlink" Target="https://www.alibaba.com/product-detail/OEM-Logo-Wooden-Handle-Machinist-Hammer_1601218393734.html?spm=a2700.7724857.0.0.650f400asMaz51-https://solter.com/en_GB/shop/06003-welding-pickaxe-wooden-handle-40285" TargetMode="External"/><Relationship Id="rId1227" Type="http://schemas.openxmlformats.org/officeDocument/2006/relationships/hyperlink" Target="https://www.alibaba.com/product-detail/OEM-Logo-Wooden-Handle-Machinist-Hammer_1601218393734.html?spm=a2700.7724857.0.0.650f400asMaz51-https://solter.com/en_GB/shop/06003-welding-pickaxe-wooden-handle-40285" TargetMode="External"/><Relationship Id="rId1228" Type="http://schemas.openxmlformats.org/officeDocument/2006/relationships/hyperlink" Target="https://prosinfer.pe/product/prensas-c-3%E2%80%B3-80-mm-stanley-83-503/" TargetMode="External"/><Relationship Id="rId1229" Type="http://schemas.openxmlformats.org/officeDocument/2006/relationships/hyperlink" Target="https://prosinfer.pe/product/prensas-c-3%E2%80%B3-80-mm-stanley-83-503/" TargetMode="External"/><Relationship Id="rId877" Type="http://schemas.openxmlformats.org/officeDocument/2006/relationships/hyperlink" Target="https://docs.google.com/spreadsheets/d/13pdSoqqk_yCXiOQt0qq3X0pDhqhCJy8a11XekNZEjWA/edit?gid=0" TargetMode="External"/><Relationship Id="rId876" Type="http://schemas.openxmlformats.org/officeDocument/2006/relationships/hyperlink" Target="https://www.thermoworks.com/therma-waterproof-type-t/?srsltid=AfmBOopdb88Q7xKLQl62RHgCRa2l6EtIRv52eVBwNYHzq29WF7SF9WKF&amp;utm_source=chatgpt.com" TargetMode="External"/><Relationship Id="rId875" Type="http://schemas.openxmlformats.org/officeDocument/2006/relationships/hyperlink" Target="https://docs.google.com/spreadsheets/d/13pdSoqqk_yCXiOQt0qq3X0pDhqhCJy8a11XekNZEjWA/edit?gid=0" TargetMode="External"/><Relationship Id="rId874" Type="http://schemas.openxmlformats.org/officeDocument/2006/relationships/hyperlink" Target="https://www.thermoworks.com/therma-waterproof-type-t/?srsltid=AfmBOopdb88Q7xKLQl62RHgCRa2l6EtIRv52eVBwNYHzq29WF7SF9WKF&amp;utm_source=chatgpt.com" TargetMode="External"/><Relationship Id="rId879" Type="http://schemas.openxmlformats.org/officeDocument/2006/relationships/hyperlink" Target="https://docs.google.com/spreadsheets/d/13pdSoqqk_yCXiOQt0qq3X0pDhqhCJy8a11XekNZEjWA/edit?gid=0" TargetMode="External"/><Relationship Id="rId878" Type="http://schemas.openxmlformats.org/officeDocument/2006/relationships/hyperlink" Target="https://www.thermoworks.com/therma-waterproof-type-t/?srsltid=AfmBOopdb88Q7xKLQl62RHgCRa2l6EtIRv52eVBwNYHzq29WF7SF9WKF&amp;utm_source=chatgpt.com" TargetMode="External"/><Relationship Id="rId873" Type="http://schemas.openxmlformats.org/officeDocument/2006/relationships/hyperlink" Target="https://www.thermoworks.com/therma-waterproof-type-t/?srsltid=AfmBOopdb88Q7xKLQl62RHgCRa2l6EtIRv52eVBwNYHzq29WF7SF9WKF&amp;utm_source=chatgpt.com" TargetMode="External"/><Relationship Id="rId1220" Type="http://schemas.openxmlformats.org/officeDocument/2006/relationships/hyperlink" Target="https://velponperu.com/producto/equipo-oxicorte-x21-aga/" TargetMode="External"/><Relationship Id="rId872" Type="http://schemas.openxmlformats.org/officeDocument/2006/relationships/hyperlink" Target="https://www.amazon.es/dp/B077HZSPW7?ref=nb_sb_ss_w_as-reorder_k3_1_10&amp;amp=&amp;crid=2PQ74HKSGSL7M&amp;amp=&amp;sprefix=termometro" TargetMode="External"/><Relationship Id="rId1221" Type="http://schemas.openxmlformats.org/officeDocument/2006/relationships/hyperlink" Target="https://drive.google.com/file/d/1tceVVZjpBlU7uTkmaIEzET_0Pbv8OCbi/view?usp=drive_link" TargetMode="External"/><Relationship Id="rId871" Type="http://schemas.openxmlformats.org/officeDocument/2006/relationships/hyperlink" Target="https://www.amazon.com/-/es/Herramienta-reparaci%C3%B3n-compresor-m%C3%BAltiple-universal/dp/B0BF5BLJXJ" TargetMode="External"/><Relationship Id="rId1222" Type="http://schemas.openxmlformats.org/officeDocument/2006/relationships/hyperlink" Target="https://drive.google.com/file/d/18MigtMJJDfa63y6AOD4e5URhXJ9SfIjS/view" TargetMode="External"/><Relationship Id="rId870" Type="http://schemas.openxmlformats.org/officeDocument/2006/relationships/hyperlink" Target="https://www.amazon.com/-/es/Herramienta-reparaci%C3%B3n-compresor-m%C3%BAltiple-universal/dp/B0BF5BLJXJ" TargetMode="External"/><Relationship Id="rId1223" Type="http://schemas.openxmlformats.org/officeDocument/2006/relationships/hyperlink" Target="https://drive.google.com/file/d/18MigtMJJDfa63y6AOD4e5URhXJ9SfIjS/view" TargetMode="External"/><Relationship Id="rId1653" Type="http://schemas.openxmlformats.org/officeDocument/2006/relationships/hyperlink" Target="https://docs.google.com/spreadsheets/d/12HOLSk2pY1obMq07YN7_ZxNM5yfMgf5OhvLTnmOC0ZM/edit?gid=0" TargetMode="External"/><Relationship Id="rId1654" Type="http://schemas.openxmlformats.org/officeDocument/2006/relationships/hyperlink" Target="https://es.kandh.com.tw/ets-7000b-digital-analog-training-system-ets-7000b.html" TargetMode="External"/><Relationship Id="rId1655" Type="http://schemas.openxmlformats.org/officeDocument/2006/relationships/hyperlink" Target="https://drive.google.com/file/d/1mWh7DRu3X6jLgxsNfT3vJrw4aGWgeIge/view" TargetMode="External"/><Relationship Id="rId1656" Type="http://schemas.openxmlformats.org/officeDocument/2006/relationships/hyperlink" Target="https://www.se.com/cl/es/product/SR3B261BD/rele-zelio-16-entradas-10-salidas-con-reloj-24v-dc-con-display/" TargetMode="External"/><Relationship Id="rId1657" Type="http://schemas.openxmlformats.org/officeDocument/2006/relationships/hyperlink" Target="https://www.se.com/cl/es/product/SR3B261BD/rele-zelio-16-entradas-10-salidas-con-reloj-24v-dc-con-display/" TargetMode="External"/><Relationship Id="rId1658" Type="http://schemas.openxmlformats.org/officeDocument/2006/relationships/hyperlink" Target="https://docs.google.com/spreadsheets/d/1GwZ3-4BgS7ML72JNw1799kJbiRMpY6lIPV_wSuqUJKY/edit?gid=0" TargetMode="External"/><Relationship Id="rId1659" Type="http://schemas.openxmlformats.org/officeDocument/2006/relationships/hyperlink" Target="https://www.se.com/cl/es/product/SR3B261BD/rele-zelio-16-entradas-10-salidas-con-reloj-24v-dc-con-display/" TargetMode="External"/><Relationship Id="rId829" Type="http://schemas.openxmlformats.org/officeDocument/2006/relationships/hyperlink" Target="https://tesinperu.com/product/recuperador-de-aceite-por-succion-y-gravedad-72-l-launch/" TargetMode="External"/><Relationship Id="rId828" Type="http://schemas.openxmlformats.org/officeDocument/2006/relationships/hyperlink" Target="https://tesinperu.com/product/recuperador-de-aceite-por-succion-y-gravedad-72-l-launch/" TargetMode="External"/><Relationship Id="rId827" Type="http://schemas.openxmlformats.org/officeDocument/2006/relationships/hyperlink" Target="https://drive.google.com/file/d/1Bj90oyGITf3Nozeyz0lxohKhzBKZTChD/view" TargetMode="External"/><Relationship Id="rId822" Type="http://schemas.openxmlformats.org/officeDocument/2006/relationships/hyperlink" Target="https://www.amazon.es/dp/B00CS2XM1W?tag=tecnitool-21&amp;th=1" TargetMode="External"/><Relationship Id="rId821" Type="http://schemas.openxmlformats.org/officeDocument/2006/relationships/hyperlink" Target="https://www.amazon.es/dp/B00CS2XM1W?tag=tecnitool-21&amp;th=1" TargetMode="External"/><Relationship Id="rId820" Type="http://schemas.openxmlformats.org/officeDocument/2006/relationships/hyperlink" Target="https://www.amazon.es/dp/B00CS2XM1W?tag=tecnitool-21&amp;th=1" TargetMode="External"/><Relationship Id="rId826" Type="http://schemas.openxmlformats.org/officeDocument/2006/relationships/hyperlink" Target="https://drive.google.com/file/d/1Bj90oyGITf3Nozeyz0lxohKhzBKZTChD/view" TargetMode="External"/><Relationship Id="rId825" Type="http://schemas.openxmlformats.org/officeDocument/2006/relationships/hyperlink" Target="https://drive.google.com/file/d/1Bj90oyGITf3Nozeyz0lxohKhzBKZTChD/view" TargetMode="External"/><Relationship Id="rId824" Type="http://schemas.openxmlformats.org/officeDocument/2006/relationships/hyperlink" Target="https://drive.google.com/file/d/1zivkRb2zbn5Ux2cMrln2kUJPqzvnKPTb/view" TargetMode="External"/><Relationship Id="rId823" Type="http://schemas.openxmlformats.org/officeDocument/2006/relationships/hyperlink" Target="https://www.donaldson.com/es-mx/industrial-dust-fume-mist/equipment/fume-collectors/easy-trunk-porta-trunk/" TargetMode="External"/><Relationship Id="rId1650" Type="http://schemas.openxmlformats.org/officeDocument/2006/relationships/hyperlink" Target="https://naylampmechatronics.com/inalambrico/24-modulo-bluetooth-hc06.html" TargetMode="External"/><Relationship Id="rId1651" Type="http://schemas.openxmlformats.org/officeDocument/2006/relationships/hyperlink" Target="https://docs.google.com/spreadsheets/d/12HOLSk2pY1obMq07YN7_ZxNM5yfMgf5OhvLTnmOC0ZM/edit?gid=0" TargetMode="External"/><Relationship Id="rId1652" Type="http://schemas.openxmlformats.org/officeDocument/2006/relationships/hyperlink" Target="https://naylampmechatronics.com/inalambrico/24-modulo-bluetooth-hc06.html" TargetMode="External"/><Relationship Id="rId1642" Type="http://schemas.openxmlformats.org/officeDocument/2006/relationships/hyperlink" Target="https://drive.google.com/file/d/15LoV-vAGY-1KOnDNnA02w6nMvhdIogoZ/view?usp=sharing" TargetMode="External"/><Relationship Id="rId1643" Type="http://schemas.openxmlformats.org/officeDocument/2006/relationships/hyperlink" Target="https://www.totalbusiness.com/product/mini-grinder/TG501032" TargetMode="External"/><Relationship Id="rId1644" Type="http://schemas.openxmlformats.org/officeDocument/2006/relationships/hyperlink" Target="https://drive.google.com/file/d/18P_jCAcrImvVKOb8MC5LehbTwlGscbHT/view" TargetMode="External"/><Relationship Id="rId1645" Type="http://schemas.openxmlformats.org/officeDocument/2006/relationships/hyperlink" Target="https://www.gmr.com.fj/product/total-carbon-brush-tg501032-sp-10-d/" TargetMode="External"/><Relationship Id="rId1646" Type="http://schemas.openxmlformats.org/officeDocument/2006/relationships/hyperlink" Target="https://naylampmechatronics.com/inalambrico/43-modulo-bluetooth-hc05.html" TargetMode="External"/><Relationship Id="rId1647" Type="http://schemas.openxmlformats.org/officeDocument/2006/relationships/hyperlink" Target="https://naylampmechatronics.com/inalambrico/43-modulo-bluetooth-hc05.html" TargetMode="External"/><Relationship Id="rId1648" Type="http://schemas.openxmlformats.org/officeDocument/2006/relationships/hyperlink" Target="https://naylampmechatronics.com/inalambrico/43-modulo-bluetooth-hc05.html" TargetMode="External"/><Relationship Id="rId1649" Type="http://schemas.openxmlformats.org/officeDocument/2006/relationships/hyperlink" Target="https://naylampmechatronics.com/inalambrico/24-modulo-bluetooth-hc06.html" TargetMode="External"/><Relationship Id="rId819" Type="http://schemas.openxmlformats.org/officeDocument/2006/relationships/hyperlink" Target="https://www.mercadolibre.com.pe/punzon-lezna-mango-madera-para-costura-y-cuero-x-3-und/up/MPEU2990103922" TargetMode="External"/><Relationship Id="rId818" Type="http://schemas.openxmlformats.org/officeDocument/2006/relationships/hyperlink" Target="https://www.mercadolibre.com.pe/punzon-lezna-mango-madera-para-costura-y-cuero-x-3-und/up/MPEU2990103922" TargetMode="External"/><Relationship Id="rId817" Type="http://schemas.openxmlformats.org/officeDocument/2006/relationships/hyperlink" Target="https://drive.google.com/file/d/1n8bkUndp6udJQV-mostHc-ZuMSHRofyi/view?usp=sharing" TargetMode="External"/><Relationship Id="rId816" Type="http://schemas.openxmlformats.org/officeDocument/2006/relationships/hyperlink" Target="https://drive.google.com/file/d/1n8bkUndp6udJQV-mostHc-ZuMSHRofyi/view?usp=sharing" TargetMode="External"/><Relationship Id="rId811" Type="http://schemas.openxmlformats.org/officeDocument/2006/relationships/hyperlink" Target="https://www.falabella.com.pe/falabella-pe/product/145433057/Pie-Prensatelas-Cierre-Doble-Metal-Para-Recta-Industrial/145433058?utm_source=chatgpt.com" TargetMode="External"/><Relationship Id="rId810" Type="http://schemas.openxmlformats.org/officeDocument/2006/relationships/hyperlink" Target="https://docs.google.com/spreadsheets/d/1vk-CFNauPWNO4fk6TSu_J52vnJ7ukiXUZOmNEz3LMq8/edit?gid=0" TargetMode="External"/><Relationship Id="rId815" Type="http://schemas.openxmlformats.org/officeDocument/2006/relationships/hyperlink" Target="https://docs.google.com/spreadsheets/d/1l5zL-ZdD4yzBH-3sIbyXtAA5qZkfNTAlHN1egwKn06g/edit?gid=0" TargetMode="External"/><Relationship Id="rId814" Type="http://schemas.openxmlformats.org/officeDocument/2006/relationships/hyperlink" Target="https://www.amazon.es/Prensatelas-compensaci%C3%B3n-derecha-izquierda-industrial/dp/B0BXPY7KVD?th=2" TargetMode="External"/><Relationship Id="rId813" Type="http://schemas.openxmlformats.org/officeDocument/2006/relationships/hyperlink" Target="https://www.amazon.es/Prensatelas-compensaci%C3%B3n-derecha-izquierda-industrial/dp/B0BXPY7KVD?th=1" TargetMode="External"/><Relationship Id="rId812" Type="http://schemas.openxmlformats.org/officeDocument/2006/relationships/hyperlink" Target="https://docs.google.com/spreadsheets/d/1vk-CFNauPWNO4fk6TSu_J52vnJ7ukiXUZOmNEz3LMq8/edit?gid=0" TargetMode="External"/><Relationship Id="rId1640" Type="http://schemas.openxmlformats.org/officeDocument/2006/relationships/hyperlink" Target="https://firemansperu.com/productos/extintores-firemans/dioxido-de-carbono/" TargetMode="External"/><Relationship Id="rId1641" Type="http://schemas.openxmlformats.org/officeDocument/2006/relationships/hyperlink" Target="https://www.lg.com/eastafrica/microwaves/lg-MH6535GIS" TargetMode="External"/><Relationship Id="rId1675" Type="http://schemas.openxmlformats.org/officeDocument/2006/relationships/hyperlink" Target="https://www.alibaba.com/product-detail/Vocational-Training-Equipment-Engine-Trainer-Gasoline_1574225789.html" TargetMode="External"/><Relationship Id="rId1676" Type="http://schemas.openxmlformats.org/officeDocument/2006/relationships/hyperlink" Target="https://drive.google.com/file/d/15uoDMq2x0uZo2fUA_BRz3zlCIBwXplbf/view" TargetMode="External"/><Relationship Id="rId1677" Type="http://schemas.openxmlformats.org/officeDocument/2006/relationships/hyperlink" Target="https://www.alibaba.com/product-detail/Vocational-Training-Equipment-Engine-Trainer-Gasoline_1574225789.html" TargetMode="External"/><Relationship Id="rId1678" Type="http://schemas.openxmlformats.org/officeDocument/2006/relationships/hyperlink" Target="https://drive.google.com/file/d/15uoDMq2x0uZo2fUA_BRz3zlCIBwXplbf/view" TargetMode="External"/><Relationship Id="rId1679" Type="http://schemas.openxmlformats.org/officeDocument/2006/relationships/hyperlink" Target="https://spanish.alibaba.com/product-detail/Gasoline-Engine-Simulator-Educational-Module-Didactic-11000024944641.html" TargetMode="External"/><Relationship Id="rId849" Type="http://schemas.openxmlformats.org/officeDocument/2006/relationships/hyperlink" Target="https://drive.google.com/file/d/14eCt2i8MCU34mSVOu8DzYiVm-X4diaLw/view?usp=sharing" TargetMode="External"/><Relationship Id="rId844" Type="http://schemas.openxmlformats.org/officeDocument/2006/relationships/hyperlink" Target="https://www.rapidonline.com/draper-expert-46609-metric-dial-test-indicator-kit-91-4331" TargetMode="External"/><Relationship Id="rId843" Type="http://schemas.openxmlformats.org/officeDocument/2006/relationships/hyperlink" Target="https://drive.google.com/file/d/14eCt2i8MCU34mSVOu8DzYiVm-X4diaLw/view?usp=sharing" TargetMode="External"/><Relationship Id="rId842" Type="http://schemas.openxmlformats.org/officeDocument/2006/relationships/hyperlink" Target="https://www.bt-ingenieros.com/relojes-comparadores/692-kit-reloj-comparador-con-base-y-puntas.html?srsltid=AfmBOootSFZIMi-8T4D4CPKpcwUL3qgSoHsiuioeTZs7cciwaR6u2XKX" TargetMode="External"/><Relationship Id="rId841" Type="http://schemas.openxmlformats.org/officeDocument/2006/relationships/hyperlink" Target="https://www.amazon.com/dp/B08JQKJTM1/ref=sspa_dk_detail_4?pd_rd_i=B0CKF2JX26&amp;pd_rd_w=2oDsP&amp;content-id=amzn1.sym.f2f1cf8f-cab4-44dc-82ba-0ca811fb90cc&amp;pf_rd_p=f2f1cf8f-cab4-44dc-82ba-0ca811fb90cc&amp;pf_rd_r=KBAB651HP0CPZ28K2JK3&amp;pd_rd_wg=Eb6WF&amp;pd_rd_r=f419692a-052a-480a-b3c3-1053fd9370c5&amp;sp_csd=d2lkZ2V0TmFtZT1zcF9kZXRhaWxfdGhlbWF0aWM&amp;th=1" TargetMode="External"/><Relationship Id="rId848" Type="http://schemas.openxmlformats.org/officeDocument/2006/relationships/hyperlink" Target="https://www.bt-ingenieros.com/relojes-comparadores/692-kit-reloj-comparador-con-base-y-puntas.html?srsltid=AfmBOootSFZIMi-8T4D4CPKpcwUL3qgSoHsiuioeTZs7cciwaR6u2XKX" TargetMode="External"/><Relationship Id="rId847" Type="http://schemas.openxmlformats.org/officeDocument/2006/relationships/hyperlink" Target="https://www.rapidonline.com/draper-expert-46609-metric-dial-test-indicator-kit-91-4331" TargetMode="External"/><Relationship Id="rId846" Type="http://schemas.openxmlformats.org/officeDocument/2006/relationships/hyperlink" Target="https://drive.google.com/file/d/14eCt2i8MCU34mSVOu8DzYiVm-X4diaLw/view?usp=sharing" TargetMode="External"/><Relationship Id="rId845" Type="http://schemas.openxmlformats.org/officeDocument/2006/relationships/hyperlink" Target="https://www.bt-ingenieros.com/relojes-comparadores/692-kit-reloj-comparador-con-base-y-puntas.html?srsltid=AfmBOootSFZIMi-8T4D4CPKpcwUL3qgSoHsiuioeTZs7cciwaR6u2XKX" TargetMode="External"/><Relationship Id="rId1670" Type="http://schemas.openxmlformats.org/officeDocument/2006/relationships/hyperlink" Target="https://drive.google.com/file/d/12poicxbxDCjQS1AHgrbLwI0LW7NDnRWf/view?usp=sharing" TargetMode="External"/><Relationship Id="rId840" Type="http://schemas.openxmlformats.org/officeDocument/2006/relationships/hyperlink" Target="https://drive.google.com/file/d/1qZmeouG7QGkZ3n1o7PObCAvj9cYnW8sf/view" TargetMode="External"/><Relationship Id="rId1671" Type="http://schemas.openxmlformats.org/officeDocument/2006/relationships/hyperlink" Target="https://drive.google.com/file/d/12poicxbxDCjQS1AHgrbLwI0LW7NDnRWf/view?usp=sharing" TargetMode="External"/><Relationship Id="rId1672" Type="http://schemas.openxmlformats.org/officeDocument/2006/relationships/hyperlink" Target="https://drive.google.com/file/d/12poicxbxDCjQS1AHgrbLwI0LW7NDnRWf/view?usp=sharing" TargetMode="External"/><Relationship Id="rId1673" Type="http://schemas.openxmlformats.org/officeDocument/2006/relationships/hyperlink" Target="https://www.alibaba.com/product-detail/Vocational-Training-Equipment-Engine-Trainer-Gasoline_1574225789.html" TargetMode="External"/><Relationship Id="rId1674" Type="http://schemas.openxmlformats.org/officeDocument/2006/relationships/hyperlink" Target="https://drive.google.com/file/d/15uoDMq2x0uZo2fUA_BRz3zlCIBwXplbf/view" TargetMode="External"/><Relationship Id="rId1664" Type="http://schemas.openxmlformats.org/officeDocument/2006/relationships/hyperlink" Target="https://drive.google.com/file/d/15uhOh9fV1PZ6woac35Zpgp2RQaeWya_U/view" TargetMode="External"/><Relationship Id="rId1665" Type="http://schemas.openxmlformats.org/officeDocument/2006/relationships/hyperlink" Target="https://drive.google.com/file/d/15uhOh9fV1PZ6woac35Zpgp2RQaeWya_U/view" TargetMode="External"/><Relationship Id="rId1666" Type="http://schemas.openxmlformats.org/officeDocument/2006/relationships/hyperlink" Target="https://drive.google.com/file/d/15uhOh9fV1PZ6woac35Zpgp2RQaeWya_U/view" TargetMode="External"/><Relationship Id="rId1667" Type="http://schemas.openxmlformats.org/officeDocument/2006/relationships/hyperlink" Target="https://drive.google.com/file/d/12poicxbxDCjQS1AHgrbLwI0LW7NDnRWf/view?usp=sharing" TargetMode="External"/><Relationship Id="rId1668" Type="http://schemas.openxmlformats.org/officeDocument/2006/relationships/hyperlink" Target="https://drive.google.com/file/d/12poicxbxDCjQS1AHgrbLwI0LW7NDnRWf/view?usp=sharing" TargetMode="External"/><Relationship Id="rId1669" Type="http://schemas.openxmlformats.org/officeDocument/2006/relationships/hyperlink" Target="https://drive.google.com/file/d/12poicxbxDCjQS1AHgrbLwI0LW7NDnRWf/view?usp=sharing" TargetMode="External"/><Relationship Id="rId839" Type="http://schemas.openxmlformats.org/officeDocument/2006/relationships/hyperlink" Target="https://www.bosch-professional.com/pe/es/products/gam-220-mf-0601076600" TargetMode="External"/><Relationship Id="rId838" Type="http://schemas.openxmlformats.org/officeDocument/2006/relationships/hyperlink" Target="https://www.promart.pe/refractometro-atc-0-90-brix-azucar-miel-mermelada-jarabe-1000513203/p?srsltid=AfmBOoqqAjdvIYz9rKH9DfV-YQ67t3jKDinZP3GDAplcBc96WOfH8VDW" TargetMode="External"/><Relationship Id="rId833" Type="http://schemas.openxmlformats.org/officeDocument/2006/relationships/hyperlink" Target="https://www.alphaaquaculture.pe/producto/refractometro-de-0-100-oo-salinidad/?srsltid=AfmBOoqgqddgJBwCZTYEReZmqJ944KJthQZXRd32j5WhA9tcF_2Kb57C" TargetMode="External"/><Relationship Id="rId832" Type="http://schemas.openxmlformats.org/officeDocument/2006/relationships/hyperlink" Target="https://www.alphaaquaculture.pe/producto/refractometro-de-0-100-oo-salinidad/?srsltid=AfmBOoqgqddgJBwCZTYEReZmqJ944KJthQZXRd32j5WhA9tcF_2Kb57C" TargetMode="External"/><Relationship Id="rId831" Type="http://schemas.openxmlformats.org/officeDocument/2006/relationships/hyperlink" Target="https://www.alphaaquaculture.pe/producto/refractometro-de-0-100-oo-salinidad/?srsltid=AfmBOoqgqddgJBwCZTYEReZmqJ944KJthQZXRd32j5WhA9tcF_2Kb57C" TargetMode="External"/><Relationship Id="rId830" Type="http://schemas.openxmlformats.org/officeDocument/2006/relationships/hyperlink" Target="https://tesinperu.com/product/recuperador-de-aceite-por-succion-y-gravedad-72-l-launch/" TargetMode="External"/><Relationship Id="rId837" Type="http://schemas.openxmlformats.org/officeDocument/2006/relationships/hyperlink" Target="https://www.promart.pe/refractometro-atc-0-90-brix-azucar-miel-mermelada-jarabe-1000513203/p?srsltid=AfmBOoqqAjdvIYz9rKH9DfV-YQ67t3jKDinZP3GDAplcBc96WOfH8VDW" TargetMode="External"/><Relationship Id="rId836" Type="http://schemas.openxmlformats.org/officeDocument/2006/relationships/hyperlink" Target="https://www.promart.pe/refractometro-atc-0-90-brix-azucar-miel-mermelada-jarabe-1000513203/p?srsltid=AfmBOoqqAjdvIYz9rKH9DfV-YQ67t3jKDinZP3GDAplcBc96WOfH8VDW" TargetMode="External"/><Relationship Id="rId835" Type="http://schemas.openxmlformats.org/officeDocument/2006/relationships/hyperlink" Target="https://www.promart.pe/refractometro-atc-0-90-brix-azucar-miel-mermelada-jarabe-1000513203/p?srsltid=AfmBOoqqAjdvIYz9rKH9DfV-YQ67t3jKDinZP3GDAplcBc96WOfH8VDW" TargetMode="External"/><Relationship Id="rId834" Type="http://schemas.openxmlformats.org/officeDocument/2006/relationships/hyperlink" Target="https://www.alphaaquaculture.pe/producto/refractometro-de-0-100-oo-salinidad/?srsltid=AfmBOoqgqddgJBwCZTYEReZmqJ944KJthQZXRd32j5WhA9tcF_2Kb57C" TargetMode="External"/><Relationship Id="rId1660" Type="http://schemas.openxmlformats.org/officeDocument/2006/relationships/hyperlink" Target="https://docs.google.com/spreadsheets/d/1GwZ3-4BgS7ML72JNw1799kJbiRMpY6lIPV_wSuqUJKY/edit?gid=0" TargetMode="External"/><Relationship Id="rId1661" Type="http://schemas.openxmlformats.org/officeDocument/2006/relationships/hyperlink" Target="https://drive.google.com/file/d/15uhOh9fV1PZ6woac35Zpgp2RQaeWya_U/view" TargetMode="External"/><Relationship Id="rId1662" Type="http://schemas.openxmlformats.org/officeDocument/2006/relationships/hyperlink" Target="https://drive.google.com/file/d/15uhOh9fV1PZ6woac35Zpgp2RQaeWya_U/view" TargetMode="External"/><Relationship Id="rId1663" Type="http://schemas.openxmlformats.org/officeDocument/2006/relationships/hyperlink" Target="https://drive.google.com/file/d/15uhOh9fV1PZ6woac35Zpgp2RQaeWya_U/view" TargetMode="External"/><Relationship Id="rId2148" Type="http://schemas.openxmlformats.org/officeDocument/2006/relationships/hyperlink" Target="https://hiraoka.com.pe/refrigeradora-lg-gt22bppd-no-frost-187l?srsltid=AfmBOooLyaSV_z87Gv-0KPBcGt1a63-eSfCbVfR4SdN5Nlw-O3HmoYl9bandeja" TargetMode="External"/><Relationship Id="rId2149" Type="http://schemas.openxmlformats.org/officeDocument/2006/relationships/hyperlink" Target="https://hiraoka.com.pe/refrigeradora-lg-gt22bppd-no-frost-187l?srsltid=AfmBOooLyaSV_z87Gv-0KPBcGt1a63-eSfCbVfR4SdN5Nlw-O3HmoYl9bandeja" TargetMode="External"/><Relationship Id="rId469" Type="http://schemas.openxmlformats.org/officeDocument/2006/relationships/hyperlink" Target="https://powertecproducts.com/71824-wood-lathe-chisel-8-piece-set-wood-lathe-turning-tools/?srsltid=AfmBOooWj-HEZhPkgZrfepRVd1jqJFXxLhqmtZ9ksQ8ixv9WpfGwXJxg" TargetMode="External"/><Relationship Id="rId468" Type="http://schemas.openxmlformats.org/officeDocument/2006/relationships/hyperlink" Target="https://powertecproducts.com/71824-wood-lathe-chisel-8-piece-set-wood-lathe-turning-tools/?srsltid=AfmBOooWj-HEZhPkgZrfepRVd1jqJFXxLhqmtZ9ksQ8ixv9WpfGwXJxg" TargetMode="External"/><Relationship Id="rId467" Type="http://schemas.openxmlformats.org/officeDocument/2006/relationships/hyperlink" Target="https://www.falabella.com.pe/falabella-pe/product/122883887/SET-DE-24-FRESAS-PRO-6MM-PARA-RUTEADORA-CANTEADORA-TOTAL-TACSR02406/122883889" TargetMode="External"/><Relationship Id="rId1290" Type="http://schemas.openxmlformats.org/officeDocument/2006/relationships/hyperlink" Target="https://sodimac.falabella.com.pe/sodimac-pe/product/113316296/Bateria-para-Auto-Etna-15-Placas-90Ah-S-1215EM-PL/113316299" TargetMode="External"/><Relationship Id="rId1291" Type="http://schemas.openxmlformats.org/officeDocument/2006/relationships/hyperlink" Target="https://sodimac.falabella.com.pe/sodimac-pe/product/113316296/Bateria-para-Auto-Etna-15-Placas-90Ah-S-1215EM-PL/113316299" TargetMode="External"/><Relationship Id="rId1292" Type="http://schemas.openxmlformats.org/officeDocument/2006/relationships/hyperlink" Target="https://drive.google.com/file/d/1GsKz7N3sBWRnQXndfXEoXXYO6plWBBHD/view?usp=sharing" TargetMode="External"/><Relationship Id="rId462" Type="http://schemas.openxmlformats.org/officeDocument/2006/relationships/hyperlink" Target="https://drive.google.com/file/d/1L2xTfes6smSwtJk_Ok6YfxYiLIC_YUcY/view?usp=sharing" TargetMode="External"/><Relationship Id="rId1293" Type="http://schemas.openxmlformats.org/officeDocument/2006/relationships/hyperlink" Target="https://sodimac.falabella.com.pe/sodimac-pe/product/113316296/Bateria-para-Auto-Etna-15-Placas-90Ah-S-1215EM-PL/113316299" TargetMode="External"/><Relationship Id="rId2140" Type="http://schemas.openxmlformats.org/officeDocument/2006/relationships/hyperlink" Target="https://sodimac.falabella.com.pe/sodimac-pe/product/113307449/Lentes-de-Seguridad-3M-Clasico/113307451" TargetMode="External"/><Relationship Id="rId461" Type="http://schemas.openxmlformats.org/officeDocument/2006/relationships/hyperlink" Target="https://drive.google.com/file/d/1L2xTfes6smSwtJk_Ok6YfxYiLIC_YUcY/view?usp=sharing" TargetMode="External"/><Relationship Id="rId1294" Type="http://schemas.openxmlformats.org/officeDocument/2006/relationships/hyperlink" Target="https://www.tramontina.com.pe/batidor-manual-marffim-de-acero-inoxidable-de-32-cm-tramontina_63809530/p?srsltid=AfmBOopiEUk53igz7csaroqjgk56ok_LCmBxtb8uhT_5XP-GcBF1Wq67" TargetMode="External"/><Relationship Id="rId2141" Type="http://schemas.openxmlformats.org/officeDocument/2006/relationships/hyperlink" Target="https://sodimac.falabella.com.pe/sodimac-pe/product/113307449/3M-Lentes-de-Seguridad-Clasico/113307451" TargetMode="External"/><Relationship Id="rId460" Type="http://schemas.openxmlformats.org/officeDocument/2006/relationships/hyperlink" Target="https://drive.google.com/file/d/1L2xTfes6smSwtJk_Ok6YfxYiLIC_YUcY/view?usp=sharing" TargetMode="External"/><Relationship Id="rId1295" Type="http://schemas.openxmlformats.org/officeDocument/2006/relationships/hyperlink" Target="https://drive.google.com/file/d/1xhd3SJ0A0FHAHRZ7BayEv4ely7x0QnDL/view?usp=sharing" TargetMode="External"/><Relationship Id="rId2142" Type="http://schemas.openxmlformats.org/officeDocument/2006/relationships/hyperlink" Target="https://tauber.mx/producto/juego-de-liras/" TargetMode="External"/><Relationship Id="rId1296" Type="http://schemas.openxmlformats.org/officeDocument/2006/relationships/hyperlink" Target="https://www.amazon.com/-/es/Table-Batidor-franc%C3%A9s-inoxidable-plateado/dp/B0743WJ858?th=1" TargetMode="External"/><Relationship Id="rId2143" Type="http://schemas.openxmlformats.org/officeDocument/2006/relationships/hyperlink" Target="https://tauber.mx/producto/juego-de-liras/" TargetMode="External"/><Relationship Id="rId466" Type="http://schemas.openxmlformats.org/officeDocument/2006/relationships/hyperlink" Target="https://drive.google.com/file/d/1L2xTfes6smSwtJk_Ok6YfxYiLIC_YUcY/view?usp=sharing" TargetMode="External"/><Relationship Id="rId1297" Type="http://schemas.openxmlformats.org/officeDocument/2006/relationships/hyperlink" Target="https://www.tramontina.com.pe/batidor-manual-marffim-de-acero-inoxidable-de-32-cm-tramontina_63809530/p?srsltid=AfmBOopiEUk53igz7csaroqjgk56ok_LCmBxtb8uhT_5XP-GcBF1Wq67" TargetMode="External"/><Relationship Id="rId2144" Type="http://schemas.openxmlformats.org/officeDocument/2006/relationships/hyperlink" Target="https://tauber.mx/producto/juego-de-liras/" TargetMode="External"/><Relationship Id="rId465" Type="http://schemas.openxmlformats.org/officeDocument/2006/relationships/hyperlink" Target="https://drive.google.com/file/d/1L2xTfes6smSwtJk_Ok6YfxYiLIC_YUcY/view?usp=sharing" TargetMode="External"/><Relationship Id="rId1298" Type="http://schemas.openxmlformats.org/officeDocument/2006/relationships/hyperlink" Target="https://drive.google.com/file/d/1xhd3SJ0A0FHAHRZ7BayEv4ely7x0QnDL/view?usp=sharing" TargetMode="External"/><Relationship Id="rId2145" Type="http://schemas.openxmlformats.org/officeDocument/2006/relationships/hyperlink" Target="https://www.electrogarline.com/linea-fria/refresqueras/refresquera-2-tolvas-18-litros-dakota.html?srsltid=AfmBOor2WRl3GAZXrUeN8pP4pwC8fbSVr31VOM06af_msJgrbsn-MXXI" TargetMode="External"/><Relationship Id="rId464" Type="http://schemas.openxmlformats.org/officeDocument/2006/relationships/hyperlink" Target="https://drive.google.com/file/d/1L2xTfes6smSwtJk_Ok6YfxYiLIC_YUcY/view?usp=sharing" TargetMode="External"/><Relationship Id="rId1299" Type="http://schemas.openxmlformats.org/officeDocument/2006/relationships/hyperlink" Target="https://www.amazon.com/-/es/Table-Batidor-franc%C3%A9s-inoxidable-plateado/dp/B0743WJ858?th=1" TargetMode="External"/><Relationship Id="rId2146" Type="http://schemas.openxmlformats.org/officeDocument/2006/relationships/hyperlink" Target="https://hiraoka.com.pe/refrigeradora-lg-gt22bppd-no-frost-187l?srsltid=AfmBOooLyaSV_z87Gv-0KPBcGt1a63-eSfCbVfR4SdN5Nlw-O3HmoYl9bandeja" TargetMode="External"/><Relationship Id="rId463" Type="http://schemas.openxmlformats.org/officeDocument/2006/relationships/hyperlink" Target="https://drive.google.com/file/d/1L2xTfes6smSwtJk_Ok6YfxYiLIC_YUcY/view?usp=sharing" TargetMode="External"/><Relationship Id="rId2147" Type="http://schemas.openxmlformats.org/officeDocument/2006/relationships/hyperlink" Target="https://hiraoka.com.pe/refrigeradora-lg-gt22bppd-no-frost-187l?srsltid=AfmBOooLyaSV_z87Gv-0KPBcGt1a63-eSfCbVfR4SdN5Nlw-O3HmoYl9bandeja" TargetMode="External"/><Relationship Id="rId2137" Type="http://schemas.openxmlformats.org/officeDocument/2006/relationships/hyperlink" Target="https://sodimac.falabella.com.pe/sodimac-pe/product/113307449/Lentes-de-Seguridad-3M-Clasico/113307451" TargetMode="External"/><Relationship Id="rId2138" Type="http://schemas.openxmlformats.org/officeDocument/2006/relationships/hyperlink" Target="https://sodimac.falabella.com.pe/sodimac-pe/product/113307449/Lentes-de-Seguridad-3M-Clasico/113307451" TargetMode="External"/><Relationship Id="rId2139" Type="http://schemas.openxmlformats.org/officeDocument/2006/relationships/hyperlink" Target="https://sodimac.falabella.com.pe/sodimac-pe/product/113307449/3M-Lentes-de-Seguridad-Clasico/113307451" TargetMode="External"/><Relationship Id="rId459" Type="http://schemas.openxmlformats.org/officeDocument/2006/relationships/hyperlink" Target="https://drive.google.com/file/d/1L2xTfes6smSwtJk_Ok6YfxYiLIC_YUcY/view?usp=sharing" TargetMode="External"/><Relationship Id="rId458" Type="http://schemas.openxmlformats.org/officeDocument/2006/relationships/hyperlink" Target="https://linoxperu.com/producto/cocina-industrial-de-2-hornillas/?utm_source=chatgpt.com" TargetMode="External"/><Relationship Id="rId457" Type="http://schemas.openxmlformats.org/officeDocument/2006/relationships/hyperlink" Target="https://www.smeguk.com/products/CPF9IPOR" TargetMode="External"/><Relationship Id="rId456" Type="http://schemas.openxmlformats.org/officeDocument/2006/relationships/hyperlink" Target="https://linoxperu.com/producto/cocina-sobremesa-industrial-de-1-hornilla/?utm_source=chatgpt.com" TargetMode="External"/><Relationship Id="rId1280" Type="http://schemas.openxmlformats.org/officeDocument/2006/relationships/hyperlink" Target="https://drive.google.com/file/d/14inIOihNd-TLYUTNnkD4Y1Yp4DnmYrHB/view?usp=drive_link" TargetMode="External"/><Relationship Id="rId1281" Type="http://schemas.openxmlformats.org/officeDocument/2006/relationships/hyperlink" Target="https://ibergastro.es/Bandeja-para-congelador-Araven-285x435x80mm?srsltid=AfmBOooZRvKxWmKkPFlaKuKsdT820c0pwMpWHwlBY4LanHv0TZUpCI2H" TargetMode="External"/><Relationship Id="rId451" Type="http://schemas.openxmlformats.org/officeDocument/2006/relationships/hyperlink" Target="https://www.falabella.com.pe/falabella-pe/product/122883887/SET-DE-24-FRESAS-PRO-6MM-PARA-RUTEADORA-CANTEADORA-TOTAL-TACSR02406/122883889" TargetMode="External"/><Relationship Id="rId1282" Type="http://schemas.openxmlformats.org/officeDocument/2006/relationships/hyperlink" Target="https://ibergastro.es/Bandeja-para-congelador-Araven-285x435x80mm?srsltid=AfmBOooZRvKxWmKkPFlaKuKsdT820c0pwMpWHwlBY4LanHv0TZUpCI2H" TargetMode="External"/><Relationship Id="rId450" Type="http://schemas.openxmlformats.org/officeDocument/2006/relationships/hyperlink" Target="https://cahema.pe/juego-de-herramientas/10393-juego-de-herramientas-14-38-y-12-143-piezas-stanley-stmt74084.html" TargetMode="External"/><Relationship Id="rId1283" Type="http://schemas.openxmlformats.org/officeDocument/2006/relationships/hyperlink" Target="https://ibergastro.es/Bandeja-para-congelador-Araven-285x435x80mm?srsltid=AfmBOooZRvKxWmKkPFlaKuKsdT820c0pwMpWHwlBY4LanHv0TZUpCI2H" TargetMode="External"/><Relationship Id="rId2130" Type="http://schemas.openxmlformats.org/officeDocument/2006/relationships/hyperlink" Target="https://drive.google.com/file/d/1AuZW6lA6nGS5YLgBuTnLyrTgmqgJZaq0/view?usp=sharing" TargetMode="External"/><Relationship Id="rId1284" Type="http://schemas.openxmlformats.org/officeDocument/2006/relationships/hyperlink" Target="https://ibergastro.es/Bandeja-para-congelador-Araven-285x435x80mm?srsltid=AfmBOooZRvKxWmKkPFlaKuKsdT820c0pwMpWHwlBY4LanHv0TZUpCI2H" TargetMode="External"/><Relationship Id="rId2131" Type="http://schemas.openxmlformats.org/officeDocument/2006/relationships/hyperlink" Target="https://www.sodimac.com.pe/sodimac-pe/articulo/113531034/Juego-de-vajillas-Porcelana-Nordico-Blanco-30-Piezas/113531044?kid=goosho_669284&amp;shop=googleShopping&amp;gad_source=1&amp;gad_campaignid=21524773673&amp;gbraid=0AAAAADOx_1-v0XR7n3odujWtxRhupW8e4&amp;gclid=CjwKCAjwgeLHBhBuEiwAL5gNEdWSvjKkxDuEwr4mVirzQHJp457Wo6gKqolbLpcXV-OIWCIfJVmL5hoC9YQQAvD_BwE" TargetMode="External"/><Relationship Id="rId1285" Type="http://schemas.openxmlformats.org/officeDocument/2006/relationships/hyperlink" Target="https://sodimac.falabella.com.pe/sodimac-pe/product/113316296/Bateria-para-Auto-Etna-15-Placas-90Ah-S-1215EM-PL/113316299" TargetMode="External"/><Relationship Id="rId2132" Type="http://schemas.openxmlformats.org/officeDocument/2006/relationships/hyperlink" Target="https://xianzhu.cl/producto/bandeja-metalica-40x30/" TargetMode="External"/><Relationship Id="rId455" Type="http://schemas.openxmlformats.org/officeDocument/2006/relationships/hyperlink" Target="https://linoxperu.com/producto/cocina-sobremesa-industrial-de-1-hornilla/?utm_source=chatgpt.com" TargetMode="External"/><Relationship Id="rId1286" Type="http://schemas.openxmlformats.org/officeDocument/2006/relationships/hyperlink" Target="https://drive.google.com/file/d/1GsKz7N3sBWRnQXndfXEoXXYO6plWBBHD/view?usp=sharing" TargetMode="External"/><Relationship Id="rId2133" Type="http://schemas.openxmlformats.org/officeDocument/2006/relationships/hyperlink" Target="https://gemplers.com/products/3m-6000-series-half-mask-kit-with-pesticide-organic-vapor-p100-filter-cartridges?srsltid=AfmBOoq8BRT_byH9CVorP0aWiKVDrShrNl4PBQyHS9gOiiQVezukq0-J&amp;utm_source=chatgpt.com" TargetMode="External"/><Relationship Id="rId454" Type="http://schemas.openxmlformats.org/officeDocument/2006/relationships/hyperlink" Target="https://linoxperu.com/producto/cocina-sobremesa-industrial-de-1-hornilla/?utm_source=chatgpt.com" TargetMode="External"/><Relationship Id="rId1287" Type="http://schemas.openxmlformats.org/officeDocument/2006/relationships/hyperlink" Target="https://sodimac.falabella.com.pe/sodimac-pe/product/113316296/Bateria-para-Auto-Etna-15-Placas-90Ah-S-1215EM-PL/113316299" TargetMode="External"/><Relationship Id="rId2134" Type="http://schemas.openxmlformats.org/officeDocument/2006/relationships/hyperlink" Target="https://gemplers.com/products/3m-6000-series-half-mask-kit-with-pesticide-organic-vapor-p100-filter-cartridges?srsltid=AfmBOoq8BRT_byH9CVorP0aWiKVDrShrNl4PBQyHS9gOiiQVezukq0-J&amp;utm_source=chatgpt.com" TargetMode="External"/><Relationship Id="rId453" Type="http://schemas.openxmlformats.org/officeDocument/2006/relationships/hyperlink" Target="https://linoxperu.com/producto/cocina-sobremesa-industrial-de-1-hornilla/?utm_source=chatgpt.com" TargetMode="External"/><Relationship Id="rId1288" Type="http://schemas.openxmlformats.org/officeDocument/2006/relationships/hyperlink" Target="https://sodimac.falabella.com.pe/sodimac-pe/product/113316296/Bateria-para-Auto-Etna-15-Placas-90Ah-S-1215EM-PL/113316299" TargetMode="External"/><Relationship Id="rId2135" Type="http://schemas.openxmlformats.org/officeDocument/2006/relationships/hyperlink" Target="https://www.promart.pe/lentes-para-impactos-y-quimicos-91264-52107/p" TargetMode="External"/><Relationship Id="rId452" Type="http://schemas.openxmlformats.org/officeDocument/2006/relationships/hyperlink" Target="https://www.ludepa.ec/productos/herramientas-manuales/cepillo-cerdas-de-acero-25/" TargetMode="External"/><Relationship Id="rId1289" Type="http://schemas.openxmlformats.org/officeDocument/2006/relationships/hyperlink" Target="https://drive.google.com/file/d/1GsKz7N3sBWRnQXndfXEoXXYO6plWBBHD/view?usp=sharing" TargetMode="External"/><Relationship Id="rId2136" Type="http://schemas.openxmlformats.org/officeDocument/2006/relationships/hyperlink" Target="https://www.promart.pe/lentes-para-impactos-y-quimicos-91264-52107/p" TargetMode="External"/><Relationship Id="rId491" Type="http://schemas.openxmlformats.org/officeDocument/2006/relationships/hyperlink" Target="https://www.aibitech.com/herramientas-electricas/sierras/compresora-de-aire/compresora-de-aire-de-35-hp-50l-arranque-automatico-comp-50lt-260-11837-truper-16441.html?srsltid=AfmBOopR8FWY-1gVYn-_wN1--TVCWMoTpxXvVOxalx6Owo6EUWkqzOgQ" TargetMode="External"/><Relationship Id="rId490" Type="http://schemas.openxmlformats.org/officeDocument/2006/relationships/hyperlink" Target="https://www.promart.pe/combo-compresora-50-litros-manguera-y-pistola-para-pintar-101744-1000306713/p?srsltid=AfmBOooDl6HH41C464jpBn6pZSnGuZJX2yHYTrNmndZQ-rUeZYSo2PCq" TargetMode="External"/><Relationship Id="rId489" Type="http://schemas.openxmlformats.org/officeDocument/2006/relationships/hyperlink" Target="https://drive.google.com/file/d/16BfVYuTQApATtCdeEBUKWu441rnLK2Ch/view?usp=drive_link" TargetMode="External"/><Relationship Id="rId2160" Type="http://schemas.openxmlformats.org/officeDocument/2006/relationships/hyperlink" Target="https://www.3m.com.pe/3M/es_PE/p/d/b00046819/" TargetMode="External"/><Relationship Id="rId2161" Type="http://schemas.openxmlformats.org/officeDocument/2006/relationships/hyperlink" Target="https://docs.google.com/spreadsheets/d/1GzhtSXk2eOX3AAbSFEiE7O7tec7_pziTzIHRBuI40l8/edit?gid=0" TargetMode="External"/><Relationship Id="rId484" Type="http://schemas.openxmlformats.org/officeDocument/2006/relationships/hyperlink" Target="https://articulo.mercadolibre.com.co/MCO-1542376235-micrometro-interior-starrett-s824dz-2-12-rango-precisi-_JM" TargetMode="External"/><Relationship Id="rId2162" Type="http://schemas.openxmlformats.org/officeDocument/2006/relationships/hyperlink" Target="https://www.makxilia.biz/es/producto/maquinas-transformacion-madera/regruesadora/cepilladora-scm-group-mod-minimax-s41-es-ce/" TargetMode="External"/><Relationship Id="rId483" Type="http://schemas.openxmlformats.org/officeDocument/2006/relationships/hyperlink" Target="https://docs.google.com/spreadsheets/d/1gZRkd8NOxpHH9iVHti0M6tSaImuoXfAvW4T6M_HKBHw/edit?gid=0" TargetMode="External"/><Relationship Id="rId2163" Type="http://schemas.openxmlformats.org/officeDocument/2006/relationships/hyperlink" Target="https://drive.google.com/file/d/1cTRnDRbu85hEVCK72DNMxmJWuypzq6HC/view?usp=drive_link" TargetMode="External"/><Relationship Id="rId482" Type="http://schemas.openxmlformats.org/officeDocument/2006/relationships/hyperlink" Target="https://articulo.mercadolibre.com.co/MCO-1542376235-micrometro-interior-starrett-s824dz-2-12-rango-precisi-_JM" TargetMode="External"/><Relationship Id="rId2164" Type="http://schemas.openxmlformats.org/officeDocument/2006/relationships/hyperlink" Target="https://www.makxilia.biz/es/producto/maquinas-transformacion-madera/regruesadora/cepilladora-scm-group-mod-minimax-s41-es-ce/" TargetMode="External"/><Relationship Id="rId481" Type="http://schemas.openxmlformats.org/officeDocument/2006/relationships/hyperlink" Target="https://articulo.mercadolibre.com.co/MCO-1542376235-micrometro-interior-starrett-s824dz-2-12-rango-precisi-_JM" TargetMode="External"/><Relationship Id="rId2165" Type="http://schemas.openxmlformats.org/officeDocument/2006/relationships/hyperlink" Target="https://www.makxilia.biz/es/producto/maquinas-transformacion-madera/regruesadora/cepilladora-scm-group-mod-minimax-s41-es-ce/" TargetMode="External"/><Relationship Id="rId488" Type="http://schemas.openxmlformats.org/officeDocument/2006/relationships/hyperlink" Target="https://www.aibitech.com/herramientas-electricas/sierras/compresora-de-aire/compresora-de-aire-de-35-hp-50l-arranque-automatico-comp-50lt-260-11837-truper-16441.html?srsltid=AfmBOopR8FWY-1gVYn-_wN1--TVCWMoTpxXvVOxalx6Owo6EUWkqzOgQ" TargetMode="External"/><Relationship Id="rId2166" Type="http://schemas.openxmlformats.org/officeDocument/2006/relationships/hyperlink" Target="https://drive.google.com/file/d/1cTRnDRbu85hEVCK72DNMxmJWuypzq6HC/view?usp=drive_link" TargetMode="External"/><Relationship Id="rId487" Type="http://schemas.openxmlformats.org/officeDocument/2006/relationships/hyperlink" Target="https://drive.google.com/file/d/1VdCwNxIu_5bxALGvMzeYi0vpky5sjEsw/view" TargetMode="External"/><Relationship Id="rId2167" Type="http://schemas.openxmlformats.org/officeDocument/2006/relationships/hyperlink" Target="https://www.makxilia.biz/es/producto/maquinas-transformacion-madera/regruesadora/cepilladora-scm-group-mod-minimax-s41-es-ce/" TargetMode="External"/><Relationship Id="rId486" Type="http://schemas.openxmlformats.org/officeDocument/2006/relationships/hyperlink" Target="https://dimmtex.com/cizalla-manual-metal/cizalla-manual-tbs-1051-20.html" TargetMode="External"/><Relationship Id="rId2168" Type="http://schemas.openxmlformats.org/officeDocument/2006/relationships/hyperlink" Target="https://clute.com.pe/tienda/proteccion-soldador/mandil-de-cuero-cromo/?utm_source=chatgpt.com" TargetMode="External"/><Relationship Id="rId485" Type="http://schemas.openxmlformats.org/officeDocument/2006/relationships/hyperlink" Target="https://docs.google.com/spreadsheets/d/1gZRkd8NOxpHH9iVHti0M6tSaImuoXfAvW4T6M_HKBHw/edit?gid=0" TargetMode="External"/><Relationship Id="rId2169" Type="http://schemas.openxmlformats.org/officeDocument/2006/relationships/hyperlink" Target="https://docs.google.com/spreadsheets/d/12GUsyMWy4406psaMlML0FNUQ4JGGnVwMX5QSIr3I_bo/edit?gid=0" TargetMode="External"/><Relationship Id="rId2159" Type="http://schemas.openxmlformats.org/officeDocument/2006/relationships/hyperlink" Target="https://docs.google.com/spreadsheets/d/1GzhtSXk2eOX3AAbSFEiE7O7tec7_pziTzIHRBuI40l8/edit?gid=0" TargetMode="External"/><Relationship Id="rId480" Type="http://schemas.openxmlformats.org/officeDocument/2006/relationships/hyperlink" Target="https://drive.google.com/file/d/1zfXiymZCi2T8lKACuvPPGf3M3FBJcK-J/view?usp=sharing" TargetMode="External"/><Relationship Id="rId479" Type="http://schemas.openxmlformats.org/officeDocument/2006/relationships/hyperlink" Target="https://www.leroymerlin.es/productos/compresor-goodyear-gy351d-3hp-50l-86538711.html" TargetMode="External"/><Relationship Id="rId478" Type="http://schemas.openxmlformats.org/officeDocument/2006/relationships/hyperlink" Target="https://drive.google.com/file/d/1zfXiymZCi2T8lKACuvPPGf3M3FBJcK-J/view?usp=sharing" TargetMode="External"/><Relationship Id="rId2150" Type="http://schemas.openxmlformats.org/officeDocument/2006/relationships/hyperlink" Target="https://www.falabella.com.pe/falabella-pe/product/146506074/REFRIGERADORA-SAMSUNG-RT25FARADS8-255Lt-SILVER/146506075?kid=shopp44fc&amp;gclsrc=aw.ds&amp;gad_source=1&amp;gad_campaignid=20114538213&amp;gbraid=0AAAAADs9MO2mPk77cdzCkqFHvUwFqJRv7&amp;gclid=Cj0KCQjwovPGBhDxARIsAFhgkwQtYMX2q9mOYzyto5cNkVdQXxEvtQLEwn_f5CFAEJtFdUhuDPjGNQUaAhOrEALw_wcB" TargetMode="External"/><Relationship Id="rId473" Type="http://schemas.openxmlformats.org/officeDocument/2006/relationships/hyperlink" Target="https://www.pronellomaquinarias.com/product-page/asentador-manual-de-v%C3%A1lvulas-de-2-piezas" TargetMode="External"/><Relationship Id="rId2151" Type="http://schemas.openxmlformats.org/officeDocument/2006/relationships/hyperlink" Target="https://www.falabella.com.pe/falabella-pe/product/146506074/REFRIGERADORA-SAMSUNG-RT25FARADS8-255Lt-SILVER/146506075?kid=shopp44fc&amp;gclsrc=aw.ds&amp;gad_source=1&amp;gad_campaignid=20114538213&amp;gbraid=0AAAAADs9MO2mPk77cdzCkqFHvUwFqJRv7&amp;gclid=Cj0KCQjwovPGBhDxARIsAFhgkwQtYMX2q9mOYzyto5cNkVdQXxEvtQLEwn_f5CFAEJtFdUhuDPjGNQUaAhOrEALw_wcB" TargetMode="External"/><Relationship Id="rId472" Type="http://schemas.openxmlformats.org/officeDocument/2006/relationships/hyperlink" Target="https://www.pronellomaquinarias.com/product-page/asentador-manual-de-v%C3%A1lvulas-de-2-piezas" TargetMode="External"/><Relationship Id="rId2152" Type="http://schemas.openxmlformats.org/officeDocument/2006/relationships/hyperlink" Target="https://www.falabella.com.pe/falabella-pe/product/146506074/REFRIGERADORA-SAMSUNG-RT25FARADS8-255Lt-SILVER/146506075?kid=shopp44fc&amp;gclsrc=aw.ds&amp;gad_source=1&amp;gad_campaignid=20114538213&amp;gbraid=0AAAAADs9MO2mPk77cdzCkqFHvUwFqJRv7&amp;gclid=Cj0KCQjwovPGBhDxARIsAFhgkwQtYMX2q9mOYzyto5cNkVdQXxEvtQLEwn_f5CFAEJtFdUhuDPjGNQUaAhOrEALw_wcB" TargetMode="External"/><Relationship Id="rId471" Type="http://schemas.openxmlformats.org/officeDocument/2006/relationships/hyperlink" Target="https://www.amazon.es/gp/aw/d/B003TWP1QO/?_encoding=UTF8&amp;pd_rd_plhdr=t&amp;aaxitk=ceec0845d84f627cb4098bd391f12fc1&amp;hsa_cr_id=0&amp;qid=1759012999&amp;sr=1-1-e0fa1fdd-d857-4087-adda-5bd576b25987&amp;ref_=sbx_be_s_sparkle_dlcd_asin_0_title&amp;pd_rd_w=qidzl&amp;content-id=amzn1.sym.4b9f096f-8599-402f-8225-de45f1b84474%3Aamzn1.sym.4b9f096f-8599-402f-8225-de45f1b84474&amp;pf_rd_p=4b9f096f-8599-402f-8225-de45f1b84474&amp;pf_rd_r=AEYKGXZKKBTNJ113WC6F&amp;pd_rd_wg=kSyy1&amp;pd_rd_r=c92e7bd8-2f09-4ab6-ba23-47715b7249f8&amp;th=1" TargetMode="External"/><Relationship Id="rId2153" Type="http://schemas.openxmlformats.org/officeDocument/2006/relationships/hyperlink" Target="https://www.falabella.com.pe/falabella-pe/product/146506074/REFRIGERADORA-SAMSUNG-RT25FARADS8-255Lt-SILVER/146506075?kid=shopp44fc&amp;gclsrc=aw.ds&amp;gad_source=1&amp;gad_campaignid=20114538213&amp;gbraid=0AAAAADs9MO2mPk77cdzCkqFHvUwFqJRv7&amp;gclid=Cj0KCQjwovPGBhDxARIsAFhgkwQtYMX2q9mOYzyto5cNkVdQXxEvtQLEwn_f5CFAEJtFdUhuDPjGNQUaAhOrEALw_wcB" TargetMode="External"/><Relationship Id="rId470" Type="http://schemas.openxmlformats.org/officeDocument/2006/relationships/hyperlink" Target="https://www.amazon.es/gp/aw/d/B003TWP1QO/?_encoding=UTF8&amp;pd_rd_plhdr=t&amp;aaxitk=ceec0845d84f627cb4098bd391f12fc1&amp;hsa_cr_id=0&amp;qid=1759012999&amp;sr=1-1-e0fa1fdd-d857-4087-adda-5bd576b25987&amp;ref_=sbx_be_s_sparkle_dlcd_asin_0_title&amp;pd_rd_w=qidzl&amp;content-id=amzn1.sym.4b9f096f-8599-402f-8225-de45f1b84474%3Aamzn1.sym.4b9f096f-8599-402f-8225-de45f1b84474&amp;pf_rd_p=4b9f096f-8599-402f-8225-de45f1b84474&amp;pf_rd_r=AEYKGXZKKBTNJ113WC6F&amp;pd_rd_wg=kSyy1&amp;pd_rd_r=c92e7bd8-2f09-4ab6-ba23-47715b7249f8&amp;th=1" TargetMode="External"/><Relationship Id="rId2154" Type="http://schemas.openxmlformats.org/officeDocument/2006/relationships/hyperlink" Target="https://hiraoka.com.pe/refrigeradora-lg-side-by-side-gs66sxn-instaview-617l" TargetMode="External"/><Relationship Id="rId477" Type="http://schemas.openxmlformats.org/officeDocument/2006/relationships/hyperlink" Target="https://www.leroymerlin.es/productos/compresor-goodyear-gy351d-3hp-50l-86538711.html" TargetMode="External"/><Relationship Id="rId2155" Type="http://schemas.openxmlformats.org/officeDocument/2006/relationships/hyperlink" Target="https://drive.google.com/file/d/1e-OWNKjkmfkID1L8F0ClELlMJ2WKS5u6/view?usp=sharing" TargetMode="External"/><Relationship Id="rId476" Type="http://schemas.openxmlformats.org/officeDocument/2006/relationships/hyperlink" Target="https://www.amazon.com/SPTA-Carbide-Engraving-Woodworking-Drilling/dp/B013P10ES8" TargetMode="External"/><Relationship Id="rId2156" Type="http://schemas.openxmlformats.org/officeDocument/2006/relationships/hyperlink" Target="https://hiraoka.com.pe/refrigeradora-lg-side-by-side-gs66sxn-instaview-617l" TargetMode="External"/><Relationship Id="rId475" Type="http://schemas.openxmlformats.org/officeDocument/2006/relationships/hyperlink" Target="https://www.amazon.com/SPTA-Carbide-Engraving-Woodworking-Drilling/dp/B013P10ES8" TargetMode="External"/><Relationship Id="rId2157" Type="http://schemas.openxmlformats.org/officeDocument/2006/relationships/hyperlink" Target="https://tauber.mx/producto/juego-de-liras/" TargetMode="External"/><Relationship Id="rId474" Type="http://schemas.openxmlformats.org/officeDocument/2006/relationships/hyperlink" Target="https://www.pronellomaquinarias.com/product-page/asentador-manual-de-v%C3%A1lvulas-de-2-piezas" TargetMode="External"/><Relationship Id="rId2158" Type="http://schemas.openxmlformats.org/officeDocument/2006/relationships/hyperlink" Target="https://www.3m.com.pe/3M/es_PE/p/d/b00046819/" TargetMode="External"/><Relationship Id="rId1257" Type="http://schemas.openxmlformats.org/officeDocument/2006/relationships/hyperlink" Target="https://drive.google.com/file/d/1N4xDUZQPxYGWHK4PBPmJvNXUI5ItP5Da/view?usp=sharing" TargetMode="External"/><Relationship Id="rId2104" Type="http://schemas.openxmlformats.org/officeDocument/2006/relationships/hyperlink" Target="https://drive.google.com/file/d/1PKb_QvR7VLSQU7jY3UJVF5CSND8-ial7/view?usp=sharing" TargetMode="External"/><Relationship Id="rId1258" Type="http://schemas.openxmlformats.org/officeDocument/2006/relationships/hyperlink" Target="https://lacasadelchef.net/quesos-y-derivados-lacteos/otro-equipamiento-para-quesos-y-derivados-lacteos/agitador-para-leche-de-acero-inoxidable.html" TargetMode="External"/><Relationship Id="rId2105" Type="http://schemas.openxmlformats.org/officeDocument/2006/relationships/hyperlink" Target="https://naylampmechatronics.com/protoboard/623-protoboard-premium-con-base-pr-4t7d-02.html" TargetMode="External"/><Relationship Id="rId1259" Type="http://schemas.openxmlformats.org/officeDocument/2006/relationships/hyperlink" Target="https://lacasadelchef.net/quesos-y-derivados-lacteos/otro-equipamiento-para-quesos-y-derivados-lacteos/agitador-para-leche-de-acero-inoxidable.html" TargetMode="External"/><Relationship Id="rId2106" Type="http://schemas.openxmlformats.org/officeDocument/2006/relationships/hyperlink" Target="https://naylampmechatronics.com/cables/449-cable-jumper-dupont-macho-a-macho-10cm-20und.html" TargetMode="External"/><Relationship Id="rId2107" Type="http://schemas.openxmlformats.org/officeDocument/2006/relationships/hyperlink" Target="https://www.viewsonic.com/es/products/projectors/LS740W" TargetMode="External"/><Relationship Id="rId2108" Type="http://schemas.openxmlformats.org/officeDocument/2006/relationships/hyperlink" Target="https://www.viewsonic.com/es/products/projectors/LS740W" TargetMode="External"/><Relationship Id="rId2109" Type="http://schemas.openxmlformats.org/officeDocument/2006/relationships/hyperlink" Target="https://www.viewsonic.com/es/products/projectors/LS740W" TargetMode="External"/><Relationship Id="rId426" Type="http://schemas.openxmlformats.org/officeDocument/2006/relationships/hyperlink" Target="https://www.coolbox.pe/kit-chroma-fondo-verde-para-estudio-foto-y-video-con-parantes-100419263/p" TargetMode="External"/><Relationship Id="rId425" Type="http://schemas.openxmlformats.org/officeDocument/2006/relationships/hyperlink" Target="https://www.coolbox.pe/kit-chroma-fondo-verde-para-estudio-foto-y-video-con-parantes-100419263/p" TargetMode="External"/><Relationship Id="rId424" Type="http://schemas.openxmlformats.org/officeDocument/2006/relationships/hyperlink" Target="https://drive.google.com/file/d/1yWESF86adhq86H-m1WHBJEzKkrm7zHwA/view?usp=sharing" TargetMode="External"/><Relationship Id="rId423" Type="http://schemas.openxmlformats.org/officeDocument/2006/relationships/hyperlink" Target="https://drive.google.com/file/d/1_jn_UgeZqoo6IhAYYliXXq72AL2uHU93/view?usp=sharing" TargetMode="External"/><Relationship Id="rId429" Type="http://schemas.openxmlformats.org/officeDocument/2006/relationships/hyperlink" Target="https://www.amazon.com/-/es/Tivoly-11110220006-invisible-di%C3%A1metro-escalonado/dp/B09NJN7DFV" TargetMode="External"/><Relationship Id="rId428" Type="http://schemas.openxmlformats.org/officeDocument/2006/relationships/hyperlink" Target="https://www.amazon.com/-/es/Tivoly-11110220006-invisible-di%C3%A1metro-escalonado/dp/B09NJN7DFV" TargetMode="External"/><Relationship Id="rId427" Type="http://schemas.openxmlformats.org/officeDocument/2006/relationships/hyperlink" Target="https://www.coolbox.pe/kit-chroma-fondo-verde-para-estudio-foto-y-video-con-parantes-100419263/p" TargetMode="External"/><Relationship Id="rId1250" Type="http://schemas.openxmlformats.org/officeDocument/2006/relationships/hyperlink" Target="https://www.amazon.es/TIMESETL-Martillo-ablandador-resistente-superficie/dp/B07M6K2CTV" TargetMode="External"/><Relationship Id="rId1251" Type="http://schemas.openxmlformats.org/officeDocument/2006/relationships/hyperlink" Target="https://drive.google.com/file/d/1H4a7eTRMTHgsYnMCogOhD9C6jYRFOGNQ/view?usp=sharing" TargetMode="External"/><Relationship Id="rId1252" Type="http://schemas.openxmlformats.org/officeDocument/2006/relationships/hyperlink" Target="https://www.amazon.es/TIMESETL-Martillo-ablandador-resistente-superficie/dp/B07M6K2CTV" TargetMode="External"/><Relationship Id="rId422" Type="http://schemas.openxmlformats.org/officeDocument/2006/relationships/hyperlink" Target="https://drive.google.com/file/d/1_jn_UgeZqoo6IhAYYliXXq72AL2uHU93/view?usp=sharing" TargetMode="External"/><Relationship Id="rId1253" Type="http://schemas.openxmlformats.org/officeDocument/2006/relationships/hyperlink" Target="https://lacasadelchef.net/quesos-y-derivados-lacteos/otro-equipamiento-para-quesos-y-derivados-lacteos/agitador-para-leche-de-acero-inoxidable.html" TargetMode="External"/><Relationship Id="rId2100" Type="http://schemas.openxmlformats.org/officeDocument/2006/relationships/hyperlink" Target="https://drive.google.com/file/d/1PKb_QvR7VLSQU7jY3UJVF5CSND8-ial7/view?usp=sharing" TargetMode="External"/><Relationship Id="rId421" Type="http://schemas.openxmlformats.org/officeDocument/2006/relationships/hyperlink" Target="https://drive.google.com/file/d/1yWESF86adhq86H-m1WHBJEzKkrm7zHwA/view?usp=sharing" TargetMode="External"/><Relationship Id="rId1254" Type="http://schemas.openxmlformats.org/officeDocument/2006/relationships/hyperlink" Target="https://drive.google.com/file/d/1N4xDUZQPxYGWHK4PBPmJvNXUI5ItP5Da/view?usp=sharing" TargetMode="External"/><Relationship Id="rId2101" Type="http://schemas.openxmlformats.org/officeDocument/2006/relationships/hyperlink" Target="https://tesinperu.com/product/manometro-de-vacio-presion-b3-5613/" TargetMode="External"/><Relationship Id="rId420" Type="http://schemas.openxmlformats.org/officeDocument/2006/relationships/hyperlink" Target="https://drive.google.com/file/d/1_jn_UgeZqoo6IhAYYliXXq72AL2uHU93/view?usp=sharing" TargetMode="External"/><Relationship Id="rId1255" Type="http://schemas.openxmlformats.org/officeDocument/2006/relationships/hyperlink" Target="https://lacasadelchef.net/quesos-y-derivados-lacteos/otro-equipamiento-para-quesos-y-derivados-lacteos/agitador-para-leche-de-acero-inoxidable.html" TargetMode="External"/><Relationship Id="rId2102" Type="http://schemas.openxmlformats.org/officeDocument/2006/relationships/hyperlink" Target="https://drive.google.com/file/d/1PKb_QvR7VLSQU7jY3UJVF5CSND8-ial7/view?usp=sharing" TargetMode="External"/><Relationship Id="rId1256" Type="http://schemas.openxmlformats.org/officeDocument/2006/relationships/hyperlink" Target="https://lacasadelchef.net/quesos-y-derivados-lacteos/otro-equipamiento-para-quesos-y-derivados-lacteos/agitador-para-leche-de-acero-inoxidable.html" TargetMode="External"/><Relationship Id="rId2103" Type="http://schemas.openxmlformats.org/officeDocument/2006/relationships/hyperlink" Target="https://tesinperu.com/product/manometro-de-vacio-presion-b3-5613/" TargetMode="External"/><Relationship Id="rId1246" Type="http://schemas.openxmlformats.org/officeDocument/2006/relationships/hyperlink" Target="https://www.sodimac.com.pe/sodimac-pe/articulo/122121228/TIJERAS-CORTA-TUBOS-42MM-PROFESIONAL-MPT-TOOLS/122121229?srsltid=AfmBOoryVgdljfYsv6tmlvlv_N1ho0NQBGTjZIJYkhz9e9JzWDn5wkJT" TargetMode="External"/><Relationship Id="rId1247" Type="http://schemas.openxmlformats.org/officeDocument/2006/relationships/hyperlink" Target="https://www.sodimac.com.pe/sodimac-pe/articulo/122121228/TIJERAS-CORTA-TUBOS-42MM-PROFESIONAL-MPT-TOOLS/122121229?srsltid=AfmBOoryVgdljfYsv6tmlvlv_N1ho0NQBGTjZIJYkhz9e9JzWDn5wkJT" TargetMode="External"/><Relationship Id="rId1248" Type="http://schemas.openxmlformats.org/officeDocument/2006/relationships/hyperlink" Target="https://www.sodimac.com.pe/sodimac-pe/articulo/122121228/TIJERAS-CORTA-TUBOS-42MM-PROFESIONAL-MPT-TOOLS/122121229?srsltid=AfmBOoryVgdljfYsv6tmlvlv_N1ho0NQBGTjZIJYkhz9e9JzWDn5wkJT" TargetMode="External"/><Relationship Id="rId1249" Type="http://schemas.openxmlformats.org/officeDocument/2006/relationships/hyperlink" Target="https://www.sodimac.com.pe/sodimac-pe/articulo/122121228/TIJERAS-CORTA-TUBOS-42MM-PROFESIONAL-MPT-TOOLS/122121229?srsltid=AfmBOoryVgdljfYsv6tmlvlv_N1ho0NQBGTjZIJYkhz9e9JzWDn5wkJT" TargetMode="External"/><Relationship Id="rId415" Type="http://schemas.openxmlformats.org/officeDocument/2006/relationships/hyperlink" Target="https://www.coolbox.pe/kit-chroma-fondo-verde-para-estudio-foto-y-video-con-parantes-100419263/p" TargetMode="External"/><Relationship Id="rId899" Type="http://schemas.openxmlformats.org/officeDocument/2006/relationships/hyperlink" Target="https://www.thermoworks.com/therma-waterproof-type-t/?srsltid=AfmBOopdb88Q7xKLQl62RHgCRa2l6EtIRv52eVBwNYHzq29WF7SF9WKF&amp;utm_source=chatgpt.com" TargetMode="External"/><Relationship Id="rId414" Type="http://schemas.openxmlformats.org/officeDocument/2006/relationships/hyperlink" Target="https://www.ptmarket.com.pe/canon-eos-r10-con-lente-rf-s-18-45mm-f-3-5-6-3-is-stm.html?srsltid=AfmBOopY6MZJwJf4fCbuSXMFAZwfvVI--tSIecg-w_OzOLtASchaQEoU" TargetMode="External"/><Relationship Id="rId898" Type="http://schemas.openxmlformats.org/officeDocument/2006/relationships/hyperlink" Target="https://docs.google.com/spreadsheets/d/13pdSoqqk_yCXiOQt0qq3X0pDhqhCJy8a11XekNZEjWA/edit?gid=0" TargetMode="External"/><Relationship Id="rId413" Type="http://schemas.openxmlformats.org/officeDocument/2006/relationships/hyperlink" Target="https://drive.google.com/file/d/1f0k-6oKMbwbfKiADMysF6U7q1_Odp4Rw/view?usp=sharing" TargetMode="External"/><Relationship Id="rId897" Type="http://schemas.openxmlformats.org/officeDocument/2006/relationships/hyperlink" Target="https://www.thermoworks.com/therma-waterproof-type-t/?srsltid=AfmBOopdb88Q7xKLQl62RHgCRa2l6EtIRv52eVBwNYHzq29WF7SF9WKF&amp;utm_source=chatgpt.com" TargetMode="External"/><Relationship Id="rId412" Type="http://schemas.openxmlformats.org/officeDocument/2006/relationships/hyperlink" Target="https://www.hoffmann-group.com/ES/es/hoe/p/570-227-" TargetMode="External"/><Relationship Id="rId896" Type="http://schemas.openxmlformats.org/officeDocument/2006/relationships/hyperlink" Target="https://docs.google.com/spreadsheets/d/13pdSoqqk_yCXiOQt0qq3X0pDhqhCJy8a11XekNZEjWA/edit?gid=0" TargetMode="External"/><Relationship Id="rId419" Type="http://schemas.openxmlformats.org/officeDocument/2006/relationships/hyperlink" Target="https://drive.google.com/file/d/1_jn_UgeZqoo6IhAYYliXXq72AL2uHU93/view?usp=sharing" TargetMode="External"/><Relationship Id="rId418" Type="http://schemas.openxmlformats.org/officeDocument/2006/relationships/hyperlink" Target="https://drive.google.com/file/d/1yWESF86adhq86H-m1WHBJEzKkrm7zHwA/view?usp=sharing" TargetMode="External"/><Relationship Id="rId417" Type="http://schemas.openxmlformats.org/officeDocument/2006/relationships/hyperlink" Target="https://drive.google.com/file/d/1_jn_UgeZqoo6IhAYYliXXq72AL2uHU93/view?usp=sharing" TargetMode="External"/><Relationship Id="rId416" Type="http://schemas.openxmlformats.org/officeDocument/2006/relationships/hyperlink" Target="https://drive.google.com/file/d/1_jn_UgeZqoo6IhAYYliXXq72AL2uHU93/view?usp=sharing" TargetMode="External"/><Relationship Id="rId891" Type="http://schemas.openxmlformats.org/officeDocument/2006/relationships/hyperlink" Target="https://instruments.uni-trend.com/products/dc-power-supplies/UTP3300-II" TargetMode="External"/><Relationship Id="rId890" Type="http://schemas.openxmlformats.org/officeDocument/2006/relationships/hyperlink" Target="https://drive.google.com/file/d/1s4aQitDYdTHVpcwtk7jv2kxjVpKtEhSN/view" TargetMode="External"/><Relationship Id="rId1240" Type="http://schemas.openxmlformats.org/officeDocument/2006/relationships/hyperlink" Target="https://www.aibitech.com/herramientas-de-carpinteria/serruchos/serrucho-diamante-de-costilla-12-espesor-08mm-dpp9-en-acero-alto-carbono-templado-stcx-12-18165-truper-10814.html?srsltid=AfmBOorhCkbWB6VZ2U_S75ymKSs5FzOxa2Chqzw1JE8zl2j9ni4XWbWL" TargetMode="External"/><Relationship Id="rId1241" Type="http://schemas.openxmlformats.org/officeDocument/2006/relationships/hyperlink" Target="https://www.toolteam.com/de-DE/helios-preisser-lehrensatz-8-teilig-0609190-t-367445-4029713247904" TargetMode="External"/><Relationship Id="rId411" Type="http://schemas.openxmlformats.org/officeDocument/2006/relationships/hyperlink" Target="https://drive.google.com/file/d/15J6A1GGhGUh7Q7z0bgicWF5GpW84OorX/view" TargetMode="External"/><Relationship Id="rId895" Type="http://schemas.openxmlformats.org/officeDocument/2006/relationships/hyperlink" Target="https://www.thermoworks.com/therma-waterproof-type-t/?srsltid=AfmBOopdb88Q7xKLQl62RHgCRa2l6EtIRv52eVBwNYHzq29WF7SF9WKF&amp;utm_source=chatgpt.com" TargetMode="External"/><Relationship Id="rId1242" Type="http://schemas.openxmlformats.org/officeDocument/2006/relationships/hyperlink" Target="https://www.amazon.com/Herramienta-crimpado-Ethernet-Crimpadora-Multi-herramienta/dp/B07XD98YYT/ref=sr_1_1_sspa?crid=NSGEVTZZO10O&amp;dib=eyJ2IjoiMSJ9.rrRTCAooboGVWtyrS_gzsQYMOhfE3R4EZywEuZAJKtlBpSrFeF7ePWNaKOYRarOb2VbzGQJ69eW9_b9wtGIzHMXo_v4n3-Y64bgnzLMo6gs_45Tle8otUnUBaI9t2yqpKKlINnAQ2irTjOE1uVrqDqLfBKUYpsdbyByO01awyEtUpGbUR2_Q_hG6HWOyMTmAp9b7qgj3qKFld0u8fyM3YEmdxB8zxwejW63KLuegM68.NuvmrcBorJ7gGZ9SpMRfjSjmhEGmAkN-Ga-91KZUcNk&amp;dib_tag=se&amp;keywords=TENAZA+CON+PRENSA+PARA+CONECTORES+RJ45&amp;qid=1759159516&amp;sprefix=tenaza+con+prensa+para+conectores+rj45%2Caps%2C170&amp;sr=8-1-spons&amp;sp_csd=d2lkZ2V0TmFtZT1zcF9hdGY&amp;psc=1" TargetMode="External"/><Relationship Id="rId410" Type="http://schemas.openxmlformats.org/officeDocument/2006/relationships/hyperlink" Target="https://www.bkprecision.com/products/component-testers/879B" TargetMode="External"/><Relationship Id="rId894" Type="http://schemas.openxmlformats.org/officeDocument/2006/relationships/hyperlink" Target="https://docs.google.com/spreadsheets/d/13pdSoqqk_yCXiOQt0qq3X0pDhqhCJy8a11XekNZEjWA/edit?gid=0" TargetMode="External"/><Relationship Id="rId1243" Type="http://schemas.openxmlformats.org/officeDocument/2006/relationships/hyperlink" Target="https://www.amazon.com/Herramienta-crimpado-Ethernet-Crimpadora-Multi-herramienta/dp/B07XD98YYT/ref=sr_1_1_sspa?crid=NSGEVTZZO10O&amp;dib=eyJ2IjoiMSJ9.rrRTCAooboGVWtyrS_gzsQYMOhfE3R4EZywEuZAJKtlBpSrFeF7ePWNaKOYRarOb2VbzGQJ69eW9_b9wtGIzHMXo_v4n3-Y64bgnzLMo6gs_45Tle8otUnUBaI9t2yqpKKlINnAQ2irTjOE1uVrqDqLfBKUYpsdbyByO01awyEtUpGbUR2_Q_hG6HWOyMTmAp9b7qgj3qKFld0u8fyM3YEmdxB8zxwejW63KLuegM68.NuvmrcBorJ7gGZ9SpMRfjSjmhEGmAkN-Ga-91KZUcNk&amp;dib_tag=se&amp;keywords=TENAZA+CON+PRENSA+PARA+CONECTORES+RJ45&amp;qid=1759159516&amp;sprefix=tenaza+con+prensa+para+conectores+rj45%2Caps%2C170&amp;sr=8-1-spons&amp;sp_csd=d2lkZ2V0TmFtZT1zcF9hdGY&amp;psc=1" TargetMode="External"/><Relationship Id="rId893" Type="http://schemas.openxmlformats.org/officeDocument/2006/relationships/hyperlink" Target="https://www.thermoworks.com/therma-waterproof-type-t/?srsltid=AfmBOopdb88Q7xKLQl62RHgCRa2l6EtIRv52eVBwNYHzq29WF7SF9WKF&amp;utm_source=chatgpt.com" TargetMode="External"/><Relationship Id="rId1244" Type="http://schemas.openxmlformats.org/officeDocument/2006/relationships/hyperlink" Target="https://www.amazon.com/Herramienta-crimpado-Ethernet-Crimpadora-Multi-herramienta/dp/B07XD98YYT/ref=sr_1_1_sspa?crid=NSGEVTZZO10O&amp;dib=eyJ2IjoiMSJ9.rrRTCAooboGVWtyrS_gzsQYMOhfE3R4EZywEuZAJKtlBpSrFeF7ePWNaKOYRarOb2VbzGQJ69eW9_b9wtGIzHMXo_v4n3-Y64bgnzLMo6gs_45Tle8otUnUBaI9t2yqpKKlINnAQ2irTjOE1uVrqDqLfBKUYpsdbyByO01awyEtUpGbUR2_Q_hG6HWOyMTmAp9b7qgj3qKFld0u8fyM3YEmdxB8zxwejW63KLuegM68.NuvmrcBorJ7gGZ9SpMRfjSjmhEGmAkN-Ga-91KZUcNk&amp;dib_tag=se&amp;keywords=TENAZA+CON+PRENSA+PARA+CONECTORES+RJ45&amp;qid=1759159516&amp;sprefix=tenaza+con+prensa+para+conectores+rj45%2Caps%2C170&amp;sr=8-1-spons&amp;sp_csd=d2lkZ2V0TmFtZT1zcF9hdGY&amp;psc=1" TargetMode="External"/><Relationship Id="rId892" Type="http://schemas.openxmlformats.org/officeDocument/2006/relationships/hyperlink" Target="https://instruments.uni-trend.com/products/dc-power-supplies/UTP3300-II" TargetMode="External"/><Relationship Id="rId1245" Type="http://schemas.openxmlformats.org/officeDocument/2006/relationships/hyperlink" Target="https://www.amazon.com/Herramienta-crimpado-Ethernet-Crimpadora-Multi-herramienta/dp/B07XD98YYT/ref=sr_1_1_sspa?crid=NSGEVTZZO10O&amp;dib=eyJ2IjoiMSJ9.rrRTCAooboGVWtyrS_gzsQYMOhfE3R4EZywEuZAJKtlBpSrFeF7ePWNaKOYRarOb2VbzGQJ69eW9_b9wtGIzHMXo_v4n3-Y64bgnzLMo6gs_45Tle8otUnUBaI9t2yqpKKlINnAQ2irTjOE1uVrqDqLfBKUYpsdbyByO01awyEtUpGbUR2_Q_hG6HWOyMTmAp9b7qgj3qKFld0u8fyM3YEmdxB8zxwejW63KLuegM68.NuvmrcBorJ7gGZ9SpMRfjSjmhEGmAkN-Ga-91KZUcNk&amp;dib_tag=se&amp;keywords=TENAZA+CON+PRENSA+PARA+CONECTORES+RJ45&amp;qid=1759159516&amp;sprefix=tenaza+con+prensa+para+conectores+rj45%2Caps%2C170&amp;sr=8-1-spons&amp;sp_csd=d2lkZ2V0TmFtZT1zcF9hdGY&amp;psc=1" TargetMode="External"/><Relationship Id="rId1279" Type="http://schemas.openxmlformats.org/officeDocument/2006/relationships/hyperlink" Target="https://www.jomafa.com/reparacion-rosca-helicoli/4974-juego-de-machos-y-terrajas-especial-metricas-y-pulgadas-115-piezas.html" TargetMode="External"/><Relationship Id="rId2126" Type="http://schemas.openxmlformats.org/officeDocument/2006/relationships/hyperlink" Target="https://drive.google.com/file/d/1AuZW6lA6nGS5YLgBuTnLyrTgmqgJZaq0/view?usp=sharing" TargetMode="External"/><Relationship Id="rId2127" Type="http://schemas.openxmlformats.org/officeDocument/2006/relationships/hyperlink" Target="http://www.egabarro.com/tp.html" TargetMode="External"/><Relationship Id="rId2128" Type="http://schemas.openxmlformats.org/officeDocument/2006/relationships/hyperlink" Target="https://drive.google.com/file/d/1AuZW6lA6nGS5YLgBuTnLyrTgmqgJZaq0/view?usp=sharing" TargetMode="External"/><Relationship Id="rId2129" Type="http://schemas.openxmlformats.org/officeDocument/2006/relationships/hyperlink" Target="http://www.egabarro.com/tp.html" TargetMode="External"/><Relationship Id="rId448" Type="http://schemas.openxmlformats.org/officeDocument/2006/relationships/hyperlink" Target="https://store.ferrindustrial.com.pe/producto/compas-exterior-de-12-302466-vogel-germany/" TargetMode="External"/><Relationship Id="rId447" Type="http://schemas.openxmlformats.org/officeDocument/2006/relationships/hyperlink" Target="https://store.ferrindustrial.com.pe/producto/compas-exterior-de-12-302466-vogel-germany/" TargetMode="External"/><Relationship Id="rId446" Type="http://schemas.openxmlformats.org/officeDocument/2006/relationships/hyperlink" Target="https://www.sodimac.com.pe/sodimac-pe/articulo/127278928/Juego-de-Brocas-HSS-para-Metal-29-Piezas-Expert-Truper/127278929?srsltid=AfmBOopYjaRcXWCSkCyRmFWHZkk9mY50FCF7KuJixynHc_ojKwwFQ9mA" TargetMode="External"/><Relationship Id="rId445" Type="http://schemas.openxmlformats.org/officeDocument/2006/relationships/hyperlink" Target="https://www.sodimac.com.pe/sodimac-pe/articulo/127278928/Juego-de-Brocas-HSS-para-Metal-29-Piezas-Expert-Truper/127278929?srsltid=AfmBOopYjaRcXWCSkCyRmFWHZkk9mY50FCF7KuJixynHc_ojKwwFQ9mA" TargetMode="External"/><Relationship Id="rId449" Type="http://schemas.openxmlformats.org/officeDocument/2006/relationships/hyperlink" Target="https://cahema.pe/juego-de-herramientas/10393-juego-de-herramientas-14-38-y-12-143-piezas-stanley-stmt74084.html" TargetMode="External"/><Relationship Id="rId1270" Type="http://schemas.openxmlformats.org/officeDocument/2006/relationships/hyperlink" Target="https://www.mallplast.pe/balde-10-l-comercial-c-tapa-color?srsltid=AfmBOoo78PFPEuNfCdFzn69TTsE6xjBSjm0O8-6zG_vxcMxUCggS5vHv" TargetMode="External"/><Relationship Id="rId440" Type="http://schemas.openxmlformats.org/officeDocument/2006/relationships/hyperlink" Target="https://cahema.pe/brocas/17064-set-de-29-brocas-hss-split-point-truper-50004.html" TargetMode="External"/><Relationship Id="rId1271" Type="http://schemas.openxmlformats.org/officeDocument/2006/relationships/hyperlink" Target="https://www.mallplast.pe/balde-20L-transparente-con-tapa?srsltid=AfmBOoqtLiTgWQmu6FOHiR6fPMHWWSpZeUfdpmN3HigTWQluuqL2ZiCn" TargetMode="External"/><Relationship Id="rId1272" Type="http://schemas.openxmlformats.org/officeDocument/2006/relationships/hyperlink" Target="https://www.mallplast.pe/balde-20L-transparente-con-tapa?srsltid=AfmBOoqtLiTgWQmu6FOHiR6fPMHWWSpZeUfdpmN3HigTWQluuqL2ZiCn" TargetMode="External"/><Relationship Id="rId1273" Type="http://schemas.openxmlformats.org/officeDocument/2006/relationships/hyperlink" Target="https://www.mallplast.pe/balde-20L-transparente-con-tapa?srsltid=AfmBOoqtLiTgWQmu6FOHiR6fPMHWWSpZeUfdpmN3HigTWQluuqL2ZiCn" TargetMode="External"/><Relationship Id="rId2120" Type="http://schemas.openxmlformats.org/officeDocument/2006/relationships/hyperlink" Target="https://www.falabella.com.pe/falabella-pe/product/18135056/Sarten-Aluminio-Antiadherente-Induccion-Unlimited-26cm/18135056" TargetMode="External"/><Relationship Id="rId1274" Type="http://schemas.openxmlformats.org/officeDocument/2006/relationships/hyperlink" Target="https://www.mallplast.pe/balde-20L-transparente-con-tapa?srsltid=AfmBOoqtLiTgWQmu6FOHiR6fPMHWWSpZeUfdpmN3HigTWQluuqL2ZiCn" TargetMode="External"/><Relationship Id="rId2121" Type="http://schemas.openxmlformats.org/officeDocument/2006/relationships/hyperlink" Target="https://www.progelcone.com/store/produto.asp?c=ses768267" TargetMode="External"/><Relationship Id="rId444" Type="http://schemas.openxmlformats.org/officeDocument/2006/relationships/hyperlink" Target="https://www.cimasafety.com/careta-para-soldar-sellstrom-whp4000-adf-5-13--det--SEL-S26400" TargetMode="External"/><Relationship Id="rId1275" Type="http://schemas.openxmlformats.org/officeDocument/2006/relationships/hyperlink" Target="https://drive.google.com/file/d/1hM-YliOlq7tqvNJZwyvzoSsnTD4VPg6s/view" TargetMode="External"/><Relationship Id="rId2122" Type="http://schemas.openxmlformats.org/officeDocument/2006/relationships/hyperlink" Target="https://hiraoka.com.pe/set-de-bowls-record-840030100?srsltid=AfmBOooBrGgAvRpOFqwBoyq45f9HWEY82yV4GoI1ixn3lIiq0Xp45KyG" TargetMode="External"/><Relationship Id="rId443" Type="http://schemas.openxmlformats.org/officeDocument/2006/relationships/hyperlink" Target="https://www.wayfair.com/storage-organization/pdp/stalwart-hole-saw-set-16-piece-kit-with-12-saws-5-inch-hex-key-wrench-drive-plate-and-storage-case-tcwj1151.html" TargetMode="External"/><Relationship Id="rId1276" Type="http://schemas.openxmlformats.org/officeDocument/2006/relationships/hyperlink" Target="https://drive.google.com/file/d/1hM-YliOlq7tqvNJZwyvzoSsnTD4VPg6s/view" TargetMode="External"/><Relationship Id="rId2123" Type="http://schemas.openxmlformats.org/officeDocument/2006/relationships/hyperlink" Target="http://www.egabarro.com/tp.html" TargetMode="External"/><Relationship Id="rId442" Type="http://schemas.openxmlformats.org/officeDocument/2006/relationships/hyperlink" Target="https://www.wayfair.com/storage-organization/pdp/stalwart-hole-saw-set-16-piece-kit-with-12-saws-5-inch-hex-key-wrench-drive-plate-and-storage-case-tcwj1151.html" TargetMode="External"/><Relationship Id="rId1277" Type="http://schemas.openxmlformats.org/officeDocument/2006/relationships/hyperlink" Target="https://drive.google.com/file/d/1hM-YliOlq7tqvNJZwyvzoSsnTD4VPg6s/view" TargetMode="External"/><Relationship Id="rId2124" Type="http://schemas.openxmlformats.org/officeDocument/2006/relationships/hyperlink" Target="https://drive.google.com/file/d/1AuZW6lA6nGS5YLgBuTnLyrTgmqgJZaq0/view?usp=sharing" TargetMode="External"/><Relationship Id="rId441" Type="http://schemas.openxmlformats.org/officeDocument/2006/relationships/hyperlink" Target="https://cahema.pe/brocas/17064-set-de-29-brocas-hss-split-point-truper-50004.html" TargetMode="External"/><Relationship Id="rId1278" Type="http://schemas.openxmlformats.org/officeDocument/2006/relationships/hyperlink" Target="https://drive.google.com/file/d/1hM-YliOlq7tqvNJZwyvzoSsnTD4VPg6s/view" TargetMode="External"/><Relationship Id="rId2125" Type="http://schemas.openxmlformats.org/officeDocument/2006/relationships/hyperlink" Target="http://www.egabarro.com/tp.html" TargetMode="External"/><Relationship Id="rId1268" Type="http://schemas.openxmlformats.org/officeDocument/2006/relationships/hyperlink" Target="https://www.mallplast.pe/balde-10-l-comercial-c-tapa-color?srsltid=AfmBOoo78PFPEuNfCdFzn69TTsE6xjBSjm0O8-6zG_vxcMxUCggS5vHv" TargetMode="External"/><Relationship Id="rId2115" Type="http://schemas.openxmlformats.org/officeDocument/2006/relationships/hyperlink" Target="https://tesinperu.com/product/punta-logica-b3-3631/" TargetMode="External"/><Relationship Id="rId1269" Type="http://schemas.openxmlformats.org/officeDocument/2006/relationships/hyperlink" Target="https://www.mallplast.pe/balde-10-l-comercial-c-tapa-color?srsltid=AfmBOoo78PFPEuNfCdFzn69TTsE6xjBSjm0O8-6zG_vxcMxUCggS5vHv" TargetMode="External"/><Relationship Id="rId2116" Type="http://schemas.openxmlformats.org/officeDocument/2006/relationships/hyperlink" Target="https://drive.google.com/file/d/1GpJ-tVzSf_pfdUWkt6r67eqmdiwluUNr/view" TargetMode="External"/><Relationship Id="rId2117" Type="http://schemas.openxmlformats.org/officeDocument/2006/relationships/hyperlink" Target="https://www.amazon.com/-/es/silicona-resistentes-parrilla-torneado-pulgadas/dp/B0BVRDWNS7?th=1" TargetMode="External"/><Relationship Id="rId2118" Type="http://schemas.openxmlformats.org/officeDocument/2006/relationships/hyperlink" Target="https://foskamic.en.made-in-china.com/product/itUYpkTyvIcL/China-Foska-20cm-30cm-50cm-60cm-100cm-Classic-Stainless-Steel-Metal-Rulers-for-Surveying-Drawing.html" TargetMode="External"/><Relationship Id="rId2119" Type="http://schemas.openxmlformats.org/officeDocument/2006/relationships/hyperlink" Target="https://foskamic.en.made-in-china.com/product/itUYpkTyvIcL/China-Foska-20cm-30cm-50cm-60cm-100cm-Classic-Stainless-Steel-Metal-Rulers-for-Surveying-Drawing.html" TargetMode="External"/><Relationship Id="rId437" Type="http://schemas.openxmlformats.org/officeDocument/2006/relationships/hyperlink" Target="https://www.mercadolibre.com.pe/limpiador-de-puntas-metalico-para-cautin--takema/up/MPEU2463401498?has_official_store=false&amp;highlight=false&amp;headerTopBrand=false" TargetMode="External"/><Relationship Id="rId436" Type="http://schemas.openxmlformats.org/officeDocument/2006/relationships/hyperlink" Target="https://drive.google.com/file/d/11yceZohMOtPHWH3hI-tdHc4o2VdW9XM5/view" TargetMode="External"/><Relationship Id="rId435" Type="http://schemas.openxmlformats.org/officeDocument/2006/relationships/hyperlink" Target="https://www.promart.pe/cautin-electrico-220v-30w-t-lapicero-madera/p" TargetMode="External"/><Relationship Id="rId434" Type="http://schemas.openxmlformats.org/officeDocument/2006/relationships/hyperlink" Target="https://www.promart.pe/guia-pasa-cable-de-nylon-10-mts-truper-17755-1000191264/p?gad_source=1&amp;gad_campaignid=22581639037&amp;gbraid=0AAAAADJIfAJXmU2RfdvXdCFef7WD8U-e-&amp;gclid=CjwKCAjwr8LHBhBKEiwAy47uUiZ_no5rteSXZ5KvKKmyesMfMVKx4EDfTvnTLwpV8_U28pMxk5tU5xoCgowQAvD_BwE" TargetMode="External"/><Relationship Id="rId439" Type="http://schemas.openxmlformats.org/officeDocument/2006/relationships/hyperlink" Target="https://cahema.pe/brocas/17064-set-de-29-brocas-hss-split-point-truper-50004.html" TargetMode="External"/><Relationship Id="rId438" Type="http://schemas.openxmlformats.org/officeDocument/2006/relationships/hyperlink" Target="https://www.amazon.com/-/es/boquillas-inoxidable-suministros-decoraci%C3%B3n-herramienta/dp/B07NBXVYP1" TargetMode="External"/><Relationship Id="rId1260" Type="http://schemas.openxmlformats.org/officeDocument/2006/relationships/hyperlink" Target="https://drive.google.com/file/d/1N4xDUZQPxYGWHK4PBPmJvNXUI5ItP5Da/view?usp=sharing" TargetMode="External"/><Relationship Id="rId1261" Type="http://schemas.openxmlformats.org/officeDocument/2006/relationships/hyperlink" Target="https://lacasadelchef.net/quesos-y-derivados-lacteos/otro-equipamiento-para-quesos-y-derivados-lacteos/agitador-para-leche-de-acero-inoxidable.html" TargetMode="External"/><Relationship Id="rId1262" Type="http://schemas.openxmlformats.org/officeDocument/2006/relationships/hyperlink" Target="https://lacasadelchef.net/quesos-y-derivados-lacteos/otro-equipamiento-para-quesos-y-derivados-lacteos/agitador-para-leche-de-acero-inoxidable.html" TargetMode="External"/><Relationship Id="rId1263" Type="http://schemas.openxmlformats.org/officeDocument/2006/relationships/hyperlink" Target="https://drive.google.com/file/d/1N4xDUZQPxYGWHK4PBPmJvNXUI5ItP5Da/view?usp=sharing" TargetMode="External"/><Relationship Id="rId2110" Type="http://schemas.openxmlformats.org/officeDocument/2006/relationships/hyperlink" Target="https://www.viewsonic.com/es/products/projectors/LS740W" TargetMode="External"/><Relationship Id="rId433" Type="http://schemas.openxmlformats.org/officeDocument/2006/relationships/hyperlink" Target="https://www.promart.pe/guia-pasa-cable-de-nylon-10-mts-truper-17755-1000191264/p?gad_source=1&amp;gad_campaignid=22581639037&amp;gbraid=0AAAAADJIfAJXmU2RfdvXdCFef7WD8U-e-&amp;gclid=CjwKCAjwr8LHBhBKEiwAy47uUiZ_no5rteSXZ5KvKKmyesMfMVKx4EDfTvnTLwpV8_U28pMxk5tU5xoCgowQAvD_BwE" TargetMode="External"/><Relationship Id="rId1264" Type="http://schemas.openxmlformats.org/officeDocument/2006/relationships/hyperlink" Target="https://lacasadelchef.net/quesos-y-derivados-lacteos/otro-equipamiento-para-quesos-y-derivados-lacteos/agitador-para-leche-de-acero-inoxidable.html" TargetMode="External"/><Relationship Id="rId2111" Type="http://schemas.openxmlformats.org/officeDocument/2006/relationships/hyperlink" Target="https://tesinperu.com/product/punta-logica-b3-3631/" TargetMode="External"/><Relationship Id="rId432" Type="http://schemas.openxmlformats.org/officeDocument/2006/relationships/hyperlink" Target="https://www.promart.pe/guia-pasa-cable-de-nylon-10-mts-truper-17755-1000191264/p?gad_source=1&amp;gad_campaignid=22581639037&amp;gbraid=0AAAAADJIfAJXmU2RfdvXdCFef7WD8U-e-&amp;gclid=CjwKCAjwr8LHBhBKEiwAy47uUiZ_no5rteSXZ5KvKKmyesMfMVKx4EDfTvnTLwpV8_U28pMxk5tU5xoCgowQAvD_BwE" TargetMode="External"/><Relationship Id="rId1265" Type="http://schemas.openxmlformats.org/officeDocument/2006/relationships/hyperlink" Target="https://www.amazon.com/DECORA-pines-vestimenta-cabezal-redonda/dp/B01K4NW88E/ref=sxin_16_pa_sp_search_thematic-asin_sspa?content-id=amzn1.sym.ab2f90ad-3f8d-43ce-ac3a-7446bd8192fd%3Aamzn1.sym.ab2f90ad-3f8d-43ce-ac3a-7446bd8192fd&amp;crid=5DP959GZAKDM&amp;cv_ct_cx=sewing%2Bpins&amp;keywords=alfileres%2Bde%2Bcostura&amp;pd_rd_i=B01K4NW88E&amp;pd_rd_r=d36af232-6cba-4dbe-8968-433470c210d6&amp;pd_rd_w=9dA66&amp;pd_rd_wg=qS5pP&amp;pf_rd_p=ab2f90ad-3f8d-43ce-ac3a-7446bd8192fd&amp;pf_rd_r=ME85CXHVE5Y0MDTFPY16&amp;qid=1759261755&amp;sbo=RZvfv%2F%2FHxDF%2BO5021pAnSA%3D%3D&amp;sprefix=alfileres%2Bde%2Bcostura%2Caps%2C226&amp;sr=1-4-baa1f287-65d3-41a3-a655-8bbba0531537-spons&amp;sp_csd=d2lkZ2V0TmFtZT1zcF9zZWFyY2hfdGhlbWF0aWM&amp;th=1" TargetMode="External"/><Relationship Id="rId2112" Type="http://schemas.openxmlformats.org/officeDocument/2006/relationships/hyperlink" Target="https://drive.google.com/file/d/1GpJ-tVzSf_pfdUWkt6r67eqmdiwluUNr/view" TargetMode="External"/><Relationship Id="rId431" Type="http://schemas.openxmlformats.org/officeDocument/2006/relationships/hyperlink" Target="https://spanish.alibaba.com/product-detail/Self-Centering-Woodworking-Doweling-Jig-Kit-1600116500237.html" TargetMode="External"/><Relationship Id="rId1266" Type="http://schemas.openxmlformats.org/officeDocument/2006/relationships/hyperlink" Target="https://www.amazon.com/DECORA-pines-vestimenta-cabezal-redonda/dp/B01K4NW88E/ref=sxin_16_pa_sp_search_thematic-asin_sspa?content-id=amzn1.sym.ab2f90ad-3f8d-43ce-ac3a-7446bd8192fd%3Aamzn1.sym.ab2f90ad-3f8d-43ce-ac3a-7446bd8192fd&amp;crid=5DP959GZAKDM&amp;cv_ct_cx=sewing%2Bpins&amp;keywords=alfileres%2Bde%2Bcostura&amp;pd_rd_i=B01K4NW88E&amp;pd_rd_r=d36af232-6cba-4dbe-8968-433470c210d6&amp;pd_rd_w=9dA66&amp;pd_rd_wg=qS5pP&amp;pf_rd_p=ab2f90ad-3f8d-43ce-ac3a-7446bd8192fd&amp;pf_rd_r=ME85CXHVE5Y0MDTFPY16&amp;qid=1759261755&amp;sbo=RZvfv%2F%2FHxDF%2BO5021pAnSA%3D%3D&amp;sprefix=alfileres%2Bde%2Bcostura%2Caps%2C226&amp;sr=1-4-baa1f287-65d3-41a3-a655-8bbba0531537-spons&amp;sp_csd=d2lkZ2V0TmFtZT1zcF9zZWFyY2hfdGhlbWF0aWM&amp;th=1" TargetMode="External"/><Relationship Id="rId2113" Type="http://schemas.openxmlformats.org/officeDocument/2006/relationships/hyperlink" Target="https://tesinperu.com/product/punta-logica-b3-3631/" TargetMode="External"/><Relationship Id="rId430" Type="http://schemas.openxmlformats.org/officeDocument/2006/relationships/hyperlink" Target="https://spanish.alibaba.com/product-detail/Self-Centering-Woodworking-Doweling-Jig-Kit-1600116500237.html" TargetMode="External"/><Relationship Id="rId1267" Type="http://schemas.openxmlformats.org/officeDocument/2006/relationships/hyperlink" Target="https://www.mallplast.pe/balde-10-l-comercial-c-tapa-color?srsltid=AfmBOoo78PFPEuNfCdFzn69TTsE6xjBSjm0O8-6zG_vxcMxUCggS5vHv" TargetMode="External"/><Relationship Id="rId2114" Type="http://schemas.openxmlformats.org/officeDocument/2006/relationships/hyperlink" Target="https://drive.google.com/file/d/1GpJ-tVzSf_pfdUWkt6r67eqmdiwluUNr/view"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_exvP7jznv9EySWVrMDYLV4xhojR53FM/view" TargetMode="External"/><Relationship Id="rId2" Type="http://schemas.openxmlformats.org/officeDocument/2006/relationships/hyperlink" Target="https://www.gwinstek.com/en-US/products/detail/GSP-730" TargetMode="External"/><Relationship Id="rId3" Type="http://schemas.openxmlformats.org/officeDocument/2006/relationships/hyperlink" Target="http://google.com/search?q=BRAIN+BEE+AGS-688&amp;rlz=1C1CHBD_esPE1168PE1168&amp;oq=BRAIN+BEE+AGS-688&amp;gs_lcrp=EgZjaHJvbWUyBggAEEUYOTIICAEQABgWGB4yCAgCEAAYFhgeMggIAxAAGBYYHjIICAQQABgWGB4yBggFEEUYPDIGCAYQRRg8MgYIBxBFGD3SAQgxMzcwajBqN6gCALACAA&amp;sourceid=chrome&amp;ie=UTF-8" TargetMode="External"/><Relationship Id="rId4" Type="http://schemas.openxmlformats.org/officeDocument/2006/relationships/hyperlink" Target="https://www.pe.tiendaboschonline.com/taladro-percutor-3-8-bosch-gsb-12v-30-12v-2-baterias-y-maletin/p" TargetMode="External"/><Relationship Id="rId9" Type="http://schemas.openxmlformats.org/officeDocument/2006/relationships/hyperlink" Target="https://balanzasprecisur.com/balanzas-comerciales/balanza-torrey-pcr-40t-de-40-kilos/" TargetMode="External"/><Relationship Id="rId5" Type="http://schemas.openxmlformats.org/officeDocument/2006/relationships/hyperlink" Target="https://www.appsheet.com/template/gettablefileurl?appName=APPDISTRIBUIDORES-2753577&amp;tableName=RECURSOS&amp;fileName=RECURSOS_Files_%2F186040010.DOC_INSERTO_SAP.140232.pdf" TargetMode="External"/><Relationship Id="rId6" Type="http://schemas.openxmlformats.org/officeDocument/2006/relationships/hyperlink" Target="https://eu-es.ohaus.com/es-eu/products/balances-scales/bench-scales/valor-4000/v41xwe3t" TargetMode="External"/><Relationship Id="rId7" Type="http://schemas.openxmlformats.org/officeDocument/2006/relationships/hyperlink" Target="https://opalux.lifestore.pe/producto/balanza-electronica-digital-de-mesa-40kgs-opalux-lcd-recargable-con-brazo-y-bateria-4v4ah-220v/" TargetMode="External"/><Relationship Id="rId8" Type="http://schemas.openxmlformats.org/officeDocument/2006/relationships/hyperlink" Target="https://lacasadelabalanzaperu.com/producto/balanza-gramera-brd-de-5-kilos/?srsltid=AfmBOoqESFO4ybWNXMKI8ni8CSFROATsEcEQxFdxgt7due_hwv2yVsh2" TargetMode="External"/><Relationship Id="rId20" Type="http://schemas.openxmlformats.org/officeDocument/2006/relationships/hyperlink" Target="https://drive.google.com/file/d/1_jn_UgeZqoo6IhAYYliXXq72AL2uHU93/view?usp=sharing" TargetMode="External"/><Relationship Id="rId22" Type="http://schemas.openxmlformats.org/officeDocument/2006/relationships/hyperlink" Target="https://dimmtex.com/cizalla-manual-metal/cizalla-manual-tbs-1051-20.html" TargetMode="External"/><Relationship Id="rId21" Type="http://schemas.openxmlformats.org/officeDocument/2006/relationships/hyperlink" Target="https://www.promart.pe/cautin-electrico-220v-30w-t-lapicero-madera/p" TargetMode="External"/><Relationship Id="rId24" Type="http://schemas.openxmlformats.org/officeDocument/2006/relationships/hyperlink" Target="https://www.smeguk.com/products/CPF9IPOR" TargetMode="External"/><Relationship Id="rId23" Type="http://schemas.openxmlformats.org/officeDocument/2006/relationships/hyperlink" Target="https://linoxperu.com/producto/cocina-sobremesa-industrial-de-1-hornilla/?utm_source=chatgpt.com" TargetMode="External"/><Relationship Id="rId25" Type="http://schemas.openxmlformats.org/officeDocument/2006/relationships/drawing" Target="../drawings/drawing7.xml"/><Relationship Id="rId27" Type="http://schemas.openxmlformats.org/officeDocument/2006/relationships/table" Target="../tables/table1.xml"/><Relationship Id="rId11" Type="http://schemas.openxmlformats.org/officeDocument/2006/relationships/hyperlink" Target="https://www.sinmag.com/en/prodetails/136/511.html" TargetMode="External"/><Relationship Id="rId10" Type="http://schemas.openxmlformats.org/officeDocument/2006/relationships/hyperlink" Target="https://www.truper.com/ficha_tecnica/Bascula-digital-de-precision-de-bolsillo-500g-Truper.html?code=102316" TargetMode="External"/><Relationship Id="rId13" Type="http://schemas.openxmlformats.org/officeDocument/2006/relationships/hyperlink" Target="https://drive.google.com/file/d/1Ti61n5CvjYbERQd_WBKo61P__TL78SWh/view?usp=sharing" TargetMode="External"/><Relationship Id="rId12" Type="http://schemas.openxmlformats.org/officeDocument/2006/relationships/hyperlink" Target="https://www.maquinaelectroperu.com/vikale-b5hh-983/vikale-b5hh-983/" TargetMode="External"/><Relationship Id="rId15" Type="http://schemas.openxmlformats.org/officeDocument/2006/relationships/hyperlink" Target="https://sewingcraft.brother.eu/en/products/machines/combination-machines/combination-machines/innov-is-v5le" TargetMode="External"/><Relationship Id="rId14" Type="http://schemas.openxmlformats.org/officeDocument/2006/relationships/hyperlink" Target="https://www.se.com/pe/es/product/LADN40/bloque-de-contacto-auxiliar-tesys-d-4-na-terminales-de-abrazaderas-de-tornillo/" TargetMode="External"/><Relationship Id="rId17" Type="http://schemas.openxmlformats.org/officeDocument/2006/relationships/hyperlink" Target="https://www.amazon.com/-/es/soldadura-pulgadas-industrial-capacidad-port%C3%A1til/dp/B0DDPVR3L1" TargetMode="External"/><Relationship Id="rId16" Type="http://schemas.openxmlformats.org/officeDocument/2006/relationships/hyperlink" Target="https://mexico.newark.com/eao/45-1231-31e6-000-101/illum-industrial-pb-sw-spst-10a/dp/98Y4507" TargetMode="External"/><Relationship Id="rId19" Type="http://schemas.openxmlformats.org/officeDocument/2006/relationships/hyperlink" Target="https://www.bkprecision.com/products/component-testers/879B" TargetMode="External"/><Relationship Id="rId18" Type="http://schemas.openxmlformats.org/officeDocument/2006/relationships/hyperlink" Target="https://www.bosch-home.pe/electrodomesticos/DIB091E5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9BCB8"/>
    <outlinePr summaryBelow="0" summaryRight="0"/>
  </sheetPr>
  <sheetViews>
    <sheetView showGridLines="0" workbookViewId="0">
      <pane xSplit="9.0" ySplit="4.0" topLeftCell="J5" activePane="bottomRight" state="frozen"/>
      <selection activeCell="J1" sqref="J1" pane="topRight"/>
      <selection activeCell="A5" sqref="A5" pane="bottomLeft"/>
      <selection activeCell="J5" sqref="J5" pane="bottomRight"/>
    </sheetView>
  </sheetViews>
  <sheetFormatPr customHeight="1" defaultColWidth="12.63" defaultRowHeight="15.75" outlineLevelCol="1"/>
  <cols>
    <col customWidth="1" min="1" max="1" width="3.88"/>
    <col customWidth="1" hidden="1" min="2" max="2" width="10.0"/>
    <col customWidth="1" min="3" max="3" width="8.13"/>
    <col customWidth="1" min="4" max="4" width="12.63"/>
    <col customWidth="1" min="5" max="6" width="12.63" outlineLevel="1"/>
    <col customWidth="1" min="7" max="7" width="12.63"/>
    <col customWidth="1" min="8" max="8" width="37.63"/>
    <col customWidth="1" min="9" max="10" width="9.5"/>
    <col collapsed="1" customWidth="1" min="11" max="11" width="9.5"/>
    <col customWidth="1" hidden="1" min="12" max="12" width="25.13" outlineLevel="1"/>
    <col customWidth="1" hidden="1" min="13" max="13" width="18.88" outlineLevel="1"/>
    <col customWidth="1" hidden="1" min="14" max="14" width="25.13" outlineLevel="1"/>
    <col customWidth="1" hidden="1" min="15" max="15" width="15.38" outlineLevel="1"/>
    <col customWidth="1" hidden="1" min="16" max="16" width="24.38" outlineLevel="1"/>
    <col customWidth="1" hidden="1" min="17" max="17" width="16.13" outlineLevel="1"/>
    <col customWidth="1" min="18" max="18" width="18.88"/>
    <col customWidth="1" min="19" max="19" width="15.0"/>
    <col customWidth="1" min="21" max="21" width="17.38"/>
    <col customWidth="1" min="22" max="22" width="16.13"/>
    <col customWidth="1" min="23" max="25" width="15.13"/>
    <col customWidth="1" min="26" max="26" width="59.63"/>
    <col customWidth="1" min="27" max="27" width="5.25"/>
    <col customWidth="1" min="28" max="29" width="12.63"/>
    <col customWidth="1" min="30" max="30" width="37.63"/>
    <col customWidth="1" min="31" max="33" width="12.63"/>
  </cols>
  <sheetData>
    <row r="1" hidden="1">
      <c r="A1" s="1"/>
      <c r="B1" s="2"/>
      <c r="C1" s="2"/>
      <c r="D1" s="2"/>
      <c r="E1" s="2"/>
      <c r="F1" s="2"/>
      <c r="G1" s="2"/>
      <c r="H1" s="3"/>
      <c r="I1" s="4"/>
      <c r="J1" s="4"/>
      <c r="K1" s="4"/>
      <c r="L1" s="5"/>
      <c r="M1" s="3"/>
      <c r="N1" s="3"/>
      <c r="O1" s="6"/>
      <c r="P1" s="6"/>
      <c r="Q1" s="7"/>
      <c r="R1" s="3"/>
      <c r="S1" s="8"/>
      <c r="T1" s="9"/>
      <c r="U1" s="9"/>
      <c r="V1" s="9"/>
      <c r="W1" s="4"/>
      <c r="X1" s="4"/>
      <c r="Y1" s="10"/>
      <c r="Z1" s="10"/>
      <c r="AA1" s="10"/>
      <c r="AB1" s="3"/>
      <c r="AC1" s="3"/>
      <c r="AD1" s="3"/>
      <c r="AE1" s="3"/>
      <c r="AF1" s="11"/>
      <c r="AG1" s="11"/>
    </row>
    <row r="2" ht="23.25" hidden="1" customHeight="1">
      <c r="A2" s="2"/>
      <c r="B2" s="12" t="s">
        <v>0</v>
      </c>
      <c r="H2" s="3"/>
      <c r="I2" s="4"/>
      <c r="J2" s="4"/>
      <c r="K2" s="4"/>
      <c r="L2" s="12"/>
      <c r="M2" s="3"/>
      <c r="N2" s="3" t="s">
        <v>1</v>
      </c>
      <c r="R2" s="3"/>
      <c r="S2" s="8" t="s">
        <v>2</v>
      </c>
      <c r="W2" s="4"/>
      <c r="X2" s="4"/>
      <c r="Y2" s="10"/>
      <c r="Z2" s="10"/>
      <c r="AA2" s="10"/>
      <c r="AB2" s="3"/>
      <c r="AC2" s="3"/>
      <c r="AD2" s="3"/>
      <c r="AE2" s="3"/>
      <c r="AF2" s="11"/>
      <c r="AG2" s="11"/>
    </row>
    <row r="3">
      <c r="A3" s="1"/>
      <c r="B3" s="2"/>
      <c r="C3" s="2"/>
      <c r="D3" s="2"/>
      <c r="E3" s="2"/>
      <c r="F3" s="2"/>
      <c r="G3" s="2"/>
      <c r="H3" s="13"/>
      <c r="I3" s="4">
        <f>SUBTOTAL(9,I5:I478)</f>
        <v>5147</v>
      </c>
      <c r="J3" s="4"/>
      <c r="K3" s="4"/>
      <c r="L3" s="5"/>
      <c r="M3" s="3"/>
      <c r="N3" s="14" t="s">
        <v>3</v>
      </c>
      <c r="O3" s="15"/>
      <c r="P3" s="15"/>
      <c r="Q3" s="16"/>
      <c r="R3" s="3"/>
      <c r="S3" s="17" t="s">
        <v>4</v>
      </c>
      <c r="T3" s="15"/>
      <c r="U3" s="15"/>
      <c r="V3" s="16"/>
      <c r="W3" s="18" t="s">
        <v>5</v>
      </c>
      <c r="X3" s="15"/>
      <c r="Y3" s="15"/>
      <c r="Z3" s="16"/>
      <c r="AA3" s="19"/>
      <c r="AB3" s="3"/>
      <c r="AC3" s="3"/>
      <c r="AD3" s="3"/>
      <c r="AE3" s="3"/>
      <c r="AF3" s="11"/>
      <c r="AG3" s="11"/>
    </row>
    <row r="4">
      <c r="A4" s="20" t="s">
        <v>6</v>
      </c>
      <c r="B4" s="20" t="s">
        <v>7</v>
      </c>
      <c r="C4" s="20" t="s">
        <v>8</v>
      </c>
      <c r="D4" s="20" t="s">
        <v>9</v>
      </c>
      <c r="E4" s="20" t="s">
        <v>10</v>
      </c>
      <c r="F4" s="20" t="s">
        <v>11</v>
      </c>
      <c r="G4" s="20" t="s">
        <v>12</v>
      </c>
      <c r="H4" s="20" t="s">
        <v>13</v>
      </c>
      <c r="I4" s="20" t="s">
        <v>14</v>
      </c>
      <c r="J4" s="20" t="s">
        <v>15</v>
      </c>
      <c r="K4" s="20" t="s">
        <v>16</v>
      </c>
      <c r="L4" s="20" t="s">
        <v>17</v>
      </c>
      <c r="M4" s="20" t="s">
        <v>18</v>
      </c>
      <c r="N4" s="21" t="s">
        <v>19</v>
      </c>
      <c r="O4" s="21" t="s">
        <v>20</v>
      </c>
      <c r="P4" s="21" t="s">
        <v>21</v>
      </c>
      <c r="Q4" s="21" t="s">
        <v>22</v>
      </c>
      <c r="R4" s="20" t="s">
        <v>23</v>
      </c>
      <c r="S4" s="22" t="s">
        <v>24</v>
      </c>
      <c r="T4" s="23" t="s">
        <v>20</v>
      </c>
      <c r="U4" s="23" t="s">
        <v>21</v>
      </c>
      <c r="V4" s="23" t="s">
        <v>25</v>
      </c>
      <c r="W4" s="24" t="s">
        <v>26</v>
      </c>
      <c r="X4" s="24" t="s">
        <v>27</v>
      </c>
      <c r="Y4" s="24" t="s">
        <v>28</v>
      </c>
      <c r="Z4" s="24" t="s">
        <v>29</v>
      </c>
      <c r="AA4" s="24"/>
      <c r="AB4" s="25" t="s">
        <v>30</v>
      </c>
      <c r="AC4" s="25" t="s">
        <v>31</v>
      </c>
      <c r="AD4" s="25" t="s">
        <v>32</v>
      </c>
      <c r="AE4" s="25" t="s">
        <v>33</v>
      </c>
      <c r="AF4" s="8" t="s">
        <v>34</v>
      </c>
      <c r="AG4" s="8"/>
    </row>
    <row r="5">
      <c r="A5" s="26">
        <v>1.0</v>
      </c>
      <c r="B5" s="26" t="b">
        <v>1</v>
      </c>
      <c r="C5" s="26" t="b">
        <v>1</v>
      </c>
      <c r="D5" s="26" t="s">
        <v>35</v>
      </c>
      <c r="E5" s="26" t="s">
        <v>36</v>
      </c>
      <c r="F5" s="27" t="s">
        <v>37</v>
      </c>
      <c r="G5" s="27" t="s">
        <v>37</v>
      </c>
      <c r="H5" s="28" t="s">
        <v>38</v>
      </c>
      <c r="I5" s="26">
        <f>SUMIFS('Hoja 10'!$O:$O,'Hoja 10'!$F:$F,$G5)</f>
        <v>4</v>
      </c>
      <c r="J5" s="26">
        <f>IFERROR(__xludf.DUMMYFUNCTION("VLOOKUP(G5,IMPORTRANGE(""https://docs.google.com/spreadsheets/d/12RxCea4e5ggM7QGn1XE3FbLQa_-QbCNdBi90OdPjRqg/edit?gid=1692403370#gid=1692403370"", ""'Plan de Compras'!D4:2432""), 8,0)"),4.0)</f>
        <v>4</v>
      </c>
      <c r="K5" s="26" t="str">
        <f t="shared" ref="K5:K478" si="1"> IF( C5=TRUE, IF(I5=J5,"SI","NO"), "-")</f>
        <v>SI</v>
      </c>
      <c r="L5" s="29" t="s">
        <v>39</v>
      </c>
      <c r="M5" s="30" t="s">
        <v>40</v>
      </c>
      <c r="N5" s="31"/>
      <c r="O5" s="32" t="str">
        <f>VLOOKUP($G5,'Hoja 10'!$F$4:$AA478, 19,0)</f>
        <v>OHAUS</v>
      </c>
      <c r="P5" s="32" t="str">
        <f>VLOOKUP($G5,'Hoja 10'!$F$4:$AA478, 20,0)</f>
        <v>Valor™ 4000</v>
      </c>
      <c r="Q5" s="33" t="str">
        <f>VLOOKUP($G5,'Hoja 10'!$F$4:$AA478, 21,0)</f>
        <v>https://eu-es.ohaus.com/es-eu/products/balances-scales/bench-scales/valor-4000/v41xwe3t</v>
      </c>
      <c r="R5" s="30" t="s">
        <v>41</v>
      </c>
      <c r="S5" s="34" t="b">
        <v>1</v>
      </c>
      <c r="T5" s="35" t="str">
        <f>IFERROR(__xludf.DUMMYFUNCTION(" IF
( VLOOKUP($G5,IMPORTRANGE(""https://docs.google.com/spreadsheets/d/1Gpl6jkTg7sL4VDNimUm3S9Vi1i95esohXCF3wuKOE8c"", ""'CONSOLIDADO'!G5:AB""), 10, 0) &lt;&gt; 0, 
IFERROR(VLOOKUP($G5,IMPORTRANGE(""https://docs.google.com/spreadsheets/d/1Gpl6jkTg7sL4VDNimUm3S9"&amp;"Vi1i95esohXCF3wuKOE8c"", ""'CONSOLIDADO'!G5:AB""), 17, 0), ""-""),
""""
)"),"OHAUS")</f>
        <v>OHAUS</v>
      </c>
      <c r="U5" s="35" t="str">
        <f>IFERROR(__xludf.DUMMYFUNCTION(" IF
( VLOOKUP($G5,IMPORTRANGE(""https://docs.google.com/spreadsheets/d/1Gpl6jkTg7sL4VDNimUm3S9Vi1i95esohXCF3wuKOE8c"", ""'CONSOLIDADO'!G5:AB""), 10, 0) &lt;&gt; 0, 
IFERROR(VLOOKUP($G5,IMPORTRANGE(""https://docs.google.com/spreadsheets/d/1Gpl6jkTg7sL4VDNimUm3S9"&amp;"Vi1i95esohXCF3wuKOE8c"", ""'CONSOLIDADO'!G5:AB""), 18, 0), ""-""),
""""
)"),"Valor™ 4000")</f>
        <v>Valor™ 4000</v>
      </c>
      <c r="V5" s="36" t="str">
        <f>IFERROR(__xludf.DUMMYFUNCTION(" IF
( VLOOKUP($G5,IMPORTRANGE(""https://docs.google.com/spreadsheets/d/1Gpl6jkTg7sL4VDNimUm3S9Vi1i95esohXCF3wuKOE8c"", ""'CONSOLIDADO'!G5:AB""), 10, 0) &lt;&gt; 0, 
IFERROR(VLOOKUP($G5,IMPORTRANGE(""https://docs.google.com/spreadsheets/d/1Gpl6jkTg7sL4VDNimUm3S9"&amp;"Vi1i95esohXCF3wuKOE8c"", ""'CONSOLIDADO'!G5:AB""), 19, 0), ""-""),
""""
)"),"https://eu-es.ohaus.com/es-eu/products/balances-scales/bench-scales/valor-4000/v41xwe3t")</f>
        <v>https://eu-es.ohaus.com/es-eu/products/balances-scales/bench-scales/valor-4000/v41xwe3t</v>
      </c>
      <c r="W5" s="37" t="str">
        <f>IFERROR(__xludf.DUMMYFUNCTION("IFERROR(VLOOKUP(G5,IMPORTRANGE(""https://docs.google.com/spreadsheets/d/12RxCea4e5ggM7QGn1XE3FbLQa_-QbCNdBi90OdPjRqg"", ""'Plan de Compras'!D4:Q""), 12, 0), ""NO ESTÁ EN REQ"")"),"Técnica")</f>
        <v>Técnica</v>
      </c>
      <c r="X5" s="37" t="str">
        <f>IFERROR(__xludf.DUMMYFUNCTION("IFERROR(VLOOKUP(G5,IMPORTRANGE(""https://docs.google.com/spreadsheets/d/12RxCea4e5ggM7QGn1XE3FbLQa_-QbCNdBi90OdPjRqg"", ""'Plan de Compras'!D4:Q""), 13, 0), """")"),"INTERNACIONAL")</f>
        <v>INTERNACIONAL</v>
      </c>
      <c r="Y5" s="32" t="str">
        <f>IFERROR(__xludf.DUMMYFUNCTION("IFERROR(VLOOKUP(G5,IMPORTRANGE(""https://docs.google.com/spreadsheets/d/12RxCea4e5ggM7QGn1XE3FbLQa_-QbCNdBi90OdPjRqg"", ""'Plan de Compras'!D4:Q""), 14, 0), """")"),"DIEGO ")</f>
        <v>DIEGO </v>
      </c>
      <c r="Z5" s="38" t="str">
        <f>IFERROR(__xludf.DUMMYFUNCTION("IFERROR(VLOOKUP(G5,IMPORTRANGE(""https://docs.google.com/spreadsheets/d/12RxCea4e5ggM7QGn1XE3FbLQa_-QbCNdBi90OdPjRqg"", ""'Plan de Compras'!D4:Q""), 4, 0), """")"),"BALANZA 3KG")</f>
        <v>BALANZA 3KG</v>
      </c>
      <c r="AA5" s="38" t="str">
        <f t="shared" ref="AA5:AA17" si="2">IF(H5=Z5,"TRUE", "FALSE")</f>
        <v>TRUE</v>
      </c>
      <c r="AB5" s="37" t="str">
        <f>IFERROR(__xludf.DUMMYFUNCTION("IFERROR(IF(OR(C5=TRUE,C5=""""),VLOOKUP(G5,IMPORTRANGE(""https://docs.google.com/spreadsheets/d/1z9A1Wq-kKrhRNG5RS2a2fKpY1wIhSVz2ZNmP2mOl588/edit?usp=sharing"",""REQ VF!E4:H""),4,0),""NO APLICA""),""GENERAR REQ"")"),"GENERAR REQ")</f>
        <v>GENERAR REQ</v>
      </c>
      <c r="AC5" s="37" t="str">
        <f>IFERROR(__xludf.DUMMYFUNCTION("IFERROR(QUERY(IMPORTRANGE(""https://docs.google.com/spreadsheets/d/1z9A1Wq-kKrhRNG5RS2a2fKpY1wIhSVz2ZNmP2mOl588/edit?usp=sharing"",""REQ VF!E4:Q""),""SELECT Col10, Col11, Col12 WHERE Col1 = '""&amp;G5&amp;""'"",0),""NO APLICA"")"),"NO APLICA")</f>
        <v>NO APLICA</v>
      </c>
      <c r="AD5" s="37"/>
      <c r="AE5" s="37"/>
      <c r="AF5" s="13"/>
      <c r="AG5" s="13"/>
    </row>
    <row r="6">
      <c r="A6" s="26"/>
      <c r="B6" s="26"/>
      <c r="C6" s="26" t="b">
        <v>1</v>
      </c>
      <c r="D6" s="26" t="s">
        <v>42</v>
      </c>
      <c r="E6" s="26" t="s">
        <v>36</v>
      </c>
      <c r="F6" s="27"/>
      <c r="G6" s="39" t="s">
        <v>43</v>
      </c>
      <c r="H6" s="40" t="s">
        <v>44</v>
      </c>
      <c r="I6" s="26">
        <f>$I$5</f>
        <v>4</v>
      </c>
      <c r="J6" s="26">
        <f>IFERROR(__xludf.DUMMYFUNCTION("VLOOKUP(G6,IMPORTRANGE(""https://docs.google.com/spreadsheets/d/12RxCea4e5ggM7QGn1XE3FbLQa_-QbCNdBi90OdPjRqg/edit?gid=1692403370#gid=1692403370"", ""'Plan de Compras'!D4:2432""), 8,0)"),4.0)</f>
        <v>4</v>
      </c>
      <c r="K6" s="26" t="str">
        <f t="shared" si="1"/>
        <v>SI</v>
      </c>
      <c r="L6" s="26"/>
      <c r="M6" s="41"/>
      <c r="N6" s="26" t="s">
        <v>45</v>
      </c>
      <c r="O6" s="42"/>
      <c r="P6" s="26" t="s">
        <v>46</v>
      </c>
      <c r="Q6" s="41"/>
      <c r="R6" s="41"/>
      <c r="S6" s="34" t="b">
        <v>1</v>
      </c>
      <c r="T6" s="35" t="s">
        <v>47</v>
      </c>
      <c r="U6" s="43" t="s">
        <v>48</v>
      </c>
      <c r="V6" s="44"/>
      <c r="W6" s="37" t="str">
        <f>IFERROR(__xludf.DUMMYFUNCTION("IFERROR(VLOOKUP(G6,IMPORTRANGE(""https://docs.google.com/spreadsheets/d/12RxCea4e5ggM7QGn1XE3FbLQa_-QbCNdBi90OdPjRqg"", ""'Plan de Compras'!D4:Q""), 12, 0), ""NO ESTÁ EN REQ"")"),"Técnica")</f>
        <v>Técnica</v>
      </c>
      <c r="X6" s="37" t="str">
        <f>IFERROR(__xludf.DUMMYFUNCTION("IFERROR(VLOOKUP(G6,IMPORTRANGE(""https://docs.google.com/spreadsheets/d/12RxCea4e5ggM7QGn1XE3FbLQa_-QbCNdBi90OdPjRqg"", ""'Plan de Compras'!D4:Q""), 13, 0), """")"),"NACIONAL")</f>
        <v>NACIONAL</v>
      </c>
      <c r="Y6" s="32" t="str">
        <f>IFERROR(__xludf.DUMMYFUNCTION("IFERROR(VLOOKUP(G6,IMPORTRANGE(""https://docs.google.com/spreadsheets/d/12RxCea4e5ggM7QGn1XE3FbLQa_-QbCNdBi90OdPjRqg"", ""'Plan de Compras'!D4:Q""), 14, 0), """")"),"ANGIE")</f>
        <v>ANGIE</v>
      </c>
      <c r="Z6" s="38" t="str">
        <f>IFERROR(__xludf.DUMMYFUNCTION("IFERROR(VLOOKUP(G6,IMPORTRANGE(""https://docs.google.com/spreadsheets/d/12RxCea4e5ggM7QGn1XE3FbLQa_-QbCNdBi90OdPjRqg"", ""'Plan de Compras'!D4:Q""), 4, 0), """")"),"FUNDA IMPERMEABLE (1 UND)")</f>
        <v>FUNDA IMPERMEABLE (1 UND)</v>
      </c>
      <c r="AA6" s="38" t="str">
        <f t="shared" si="2"/>
        <v>TRUE</v>
      </c>
      <c r="AB6" s="37" t="str">
        <f>IFERROR(__xludf.DUMMYFUNCTION("IFERROR(IF(OR(C6=TRUE,C6=""""),VLOOKUP(G6,IMPORTRANGE(""https://docs.google.com/spreadsheets/d/1z9A1Wq-kKrhRNG5RS2a2fKpY1wIhSVz2ZNmP2mOl588/edit?usp=sharing"",""REQ VF!E4:H""),4,0),""NO APLICA""),""GENERAR REQ"")"),"GENERAR REQ")</f>
        <v>GENERAR REQ</v>
      </c>
      <c r="AC6" s="37" t="str">
        <f>IFERROR(__xludf.DUMMYFUNCTION("IFERROR(QUERY(IMPORTRANGE(""https://docs.google.com/spreadsheets/d/1z9A1Wq-kKrhRNG5RS2a2fKpY1wIhSVz2ZNmP2mOl588/edit?usp=sharing"",""REQ VF!E4:Q""),""SELECT Col10, Col11, Col12 WHERE Col1 = '""&amp;G6&amp;""'"",0),""NO APLICA"")"),"NO APLICA")</f>
        <v>NO APLICA</v>
      </c>
      <c r="AD6" s="37"/>
      <c r="AE6" s="37"/>
      <c r="AF6" s="13"/>
      <c r="AG6" s="13"/>
    </row>
    <row r="7">
      <c r="A7" s="26">
        <v>2.0</v>
      </c>
      <c r="B7" s="26" t="b">
        <v>1</v>
      </c>
      <c r="C7" s="26" t="b">
        <v>1</v>
      </c>
      <c r="D7" s="26" t="s">
        <v>35</v>
      </c>
      <c r="E7" s="26" t="s">
        <v>36</v>
      </c>
      <c r="F7" s="27" t="s">
        <v>49</v>
      </c>
      <c r="G7" s="37" t="s">
        <v>49</v>
      </c>
      <c r="H7" s="45" t="s">
        <v>50</v>
      </c>
      <c r="I7" s="26">
        <f>SUMIFS('Hoja 10'!$O:$O,'Hoja 10'!$F:$F,$G7)</f>
        <v>8</v>
      </c>
      <c r="J7" s="26">
        <f>IFERROR(__xludf.DUMMYFUNCTION("VLOOKUP(G7,IMPORTRANGE(""https://docs.google.com/spreadsheets/d/12RxCea4e5ggM7QGn1XE3FbLQa_-QbCNdBi90OdPjRqg/edit?gid=1692403370#gid=1692403370"", ""'Plan de Compras'!D4:2432""), 8,0)"),8.0)</f>
        <v>8</v>
      </c>
      <c r="K7" s="26" t="str">
        <f t="shared" si="1"/>
        <v>SI</v>
      </c>
      <c r="L7" s="29" t="s">
        <v>39</v>
      </c>
      <c r="M7" s="30" t="s">
        <v>40</v>
      </c>
      <c r="N7" s="31"/>
      <c r="O7" s="32" t="str">
        <f>VLOOKUP($G7,'Hoja 10'!$F$4:$AA478, 19,0)</f>
        <v>OPALUX</v>
      </c>
      <c r="P7" s="32" t="str">
        <f>VLOOKUP($G7,'Hoja 10'!$F$4:$AA478, 20,0)</f>
        <v>OPALUX</v>
      </c>
      <c r="Q7" s="33" t="str">
        <f>VLOOKUP($G7,'Hoja 10'!$F$4:$AA478, 21,0)</f>
        <v>https://opalux.lifestore.pe/producto/balanza-electronica-digital-de-mesa-40kgs-opalux-lcd-recargable-con-brazo-y-bateria-4v4ah-220v/</v>
      </c>
      <c r="R7" s="30" t="s">
        <v>51</v>
      </c>
      <c r="S7" s="34" t="b">
        <v>1</v>
      </c>
      <c r="T7" s="35" t="str">
        <f>IFERROR(__xludf.DUMMYFUNCTION(" IF
( VLOOKUP($G7,IMPORTRANGE(""https://docs.google.com/spreadsheets/d/1Gpl6jkTg7sL4VDNimUm3S9Vi1i95esohXCF3wuKOE8c"", ""'CONSOLIDADO'!G5:AB""), 10, 0) &lt;&gt; 0, 
IFERROR(VLOOKUP($G7,IMPORTRANGE(""https://docs.google.com/spreadsheets/d/1Gpl6jkTg7sL4VDNimUm3S9"&amp;"Vi1i95esohXCF3wuKOE8c"", ""'CONSOLIDADO'!G5:AB""), 17, 0), ""-""),
""""
)"),"Torrey")</f>
        <v>Torrey</v>
      </c>
      <c r="U7" s="35" t="str">
        <f>IFERROR(__xludf.DUMMYFUNCTION(" IF
( VLOOKUP($G7,IMPORTRANGE(""https://docs.google.com/spreadsheets/d/1Gpl6jkTg7sL4VDNimUm3S9Vi1i95esohXCF3wuKOE8c"", ""'CONSOLIDADO'!G5:AB""), 10, 0) &lt;&gt; 0, 
IFERROR(VLOOKUP($G7,IMPORTRANGE(""https://docs.google.com/spreadsheets/d/1Gpl6jkTg7sL4VDNimUm3S9"&amp;"Vi1i95esohXCF3wuKOE8c"", ""'CONSOLIDADO'!G5:AB""), 18, 0), ""-""),
""""
)"),"PCR – 40T")</f>
        <v>PCR – 40T</v>
      </c>
      <c r="V7" s="36" t="str">
        <f>IFERROR(__xludf.DUMMYFUNCTION(" IF
( VLOOKUP($G7,IMPORTRANGE(""https://docs.google.com/spreadsheets/d/1Gpl6jkTg7sL4VDNimUm3S9Vi1i95esohXCF3wuKOE8c"", ""'CONSOLIDADO'!G5:AB""), 10, 0) &lt;&gt; 0, 
IFERROR(VLOOKUP($G7,IMPORTRANGE(""https://docs.google.com/spreadsheets/d/1Gpl6jkTg7sL4VDNimUm3S9"&amp;"Vi1i95esohXCF3wuKOE8c"", ""'CONSOLIDADO'!G5:AB""), 19, 0), ""-""),
""""
)"),"https://opalux.lifestore.pe/producto/balanza-electronica-digital-de-mesa-40kgs-opalux-lcd-recargable-con-brazo-y-bateria-4v4ah-220v/")</f>
        <v>https://opalux.lifestore.pe/producto/balanza-electronica-digital-de-mesa-40kgs-opalux-lcd-recargable-con-brazo-y-bateria-4v4ah-220v/</v>
      </c>
      <c r="W7" s="37" t="str">
        <f>IFERROR(__xludf.DUMMYFUNCTION("IFERROR(VLOOKUP(G7,IMPORTRANGE(""https://docs.google.com/spreadsheets/d/12RxCea4e5ggM7QGn1XE3FbLQa_-QbCNdBi90OdPjRqg"", ""'Plan de Compras'!D4:Q""), 12, 0), ""NO ESTÁ EN REQ"")"),"Técnica")</f>
        <v>Técnica</v>
      </c>
      <c r="X7" s="37" t="str">
        <f>IFERROR(__xludf.DUMMYFUNCTION("IFERROR(VLOOKUP(G7,IMPORTRANGE(""https://docs.google.com/spreadsheets/d/12RxCea4e5ggM7QGn1XE3FbLQa_-QbCNdBi90OdPjRqg"", ""'Plan de Compras'!D4:Q""), 13, 0), """")"),"NACIONAL")</f>
        <v>NACIONAL</v>
      </c>
      <c r="Y7" s="32" t="str">
        <f>IFERROR(__xludf.DUMMYFUNCTION("IFERROR(VLOOKUP(G7,IMPORTRANGE(""https://docs.google.com/spreadsheets/d/12RxCea4e5ggM7QGn1XE3FbLQa_-QbCNdBi90OdPjRqg"", ""'Plan de Compras'!D4:Q""), 14, 0), """")"),"ANGIE")</f>
        <v>ANGIE</v>
      </c>
      <c r="Z7" s="38" t="str">
        <f>IFERROR(__xludf.DUMMYFUNCTION("IFERROR(VLOOKUP(G7,IMPORTRANGE(""https://docs.google.com/spreadsheets/d/12RxCea4e5ggM7QGn1XE3FbLQa_-QbCNdBi90OdPjRqg"", ""'Plan de Compras'!D4:Q""), 4, 0), """")"),"BALANZA 40KG")</f>
        <v>BALANZA 40KG</v>
      </c>
      <c r="AA7" s="38" t="str">
        <f t="shared" si="2"/>
        <v>TRUE</v>
      </c>
      <c r="AB7" s="37" t="str">
        <f>IFERROR(__xludf.DUMMYFUNCTION("IFERROR(IF(OR(C7=TRUE,C7=""""),VLOOKUP(G7,IMPORTRANGE(""https://docs.google.com/spreadsheets/d/1z9A1Wq-kKrhRNG5RS2a2fKpY1wIhSVz2ZNmP2mOl588/edit?usp=sharing"",""REQ VF!E4:H""),4,0),""NO APLICA""),""GENERAR REQ"")"),"GENERAR REQ")</f>
        <v>GENERAR REQ</v>
      </c>
      <c r="AC7" s="37" t="str">
        <f>IFERROR(__xludf.DUMMYFUNCTION("IFERROR(QUERY(IMPORTRANGE(""https://docs.google.com/spreadsheets/d/1z9A1Wq-kKrhRNG5RS2a2fKpY1wIhSVz2ZNmP2mOl588/edit?usp=sharing"",""REQ VF!E4:Q""),""SELECT Col10, Col11, Col12 WHERE Col1 = '""&amp;G7&amp;""'"",0),""NO APLICA"")"),"NO APLICA")</f>
        <v>NO APLICA</v>
      </c>
      <c r="AD7" s="37"/>
      <c r="AE7" s="37"/>
      <c r="AF7" s="8" t="s">
        <v>52</v>
      </c>
      <c r="AG7" s="13"/>
    </row>
    <row r="8">
      <c r="A8" s="26"/>
      <c r="B8" s="26"/>
      <c r="C8" s="26" t="b">
        <v>1</v>
      </c>
      <c r="D8" s="26" t="s">
        <v>42</v>
      </c>
      <c r="E8" s="26" t="s">
        <v>36</v>
      </c>
      <c r="F8" s="27" t="s">
        <v>49</v>
      </c>
      <c r="G8" s="39" t="s">
        <v>53</v>
      </c>
      <c r="H8" s="40" t="s">
        <v>44</v>
      </c>
      <c r="I8" s="26">
        <f>I7</f>
        <v>8</v>
      </c>
      <c r="J8" s="26">
        <f>IFERROR(__xludf.DUMMYFUNCTION("VLOOKUP(G8,IMPORTRANGE(""https://docs.google.com/spreadsheets/d/12RxCea4e5ggM7QGn1XE3FbLQa_-QbCNdBi90OdPjRqg/edit?gid=1692403370#gid=1692403370"", ""'Plan de Compras'!D4:2432""), 8,0)"),8.0)</f>
        <v>8</v>
      </c>
      <c r="K8" s="26" t="str">
        <f t="shared" si="1"/>
        <v>SI</v>
      </c>
      <c r="L8" s="26"/>
      <c r="M8" s="41"/>
      <c r="N8" s="26" t="s">
        <v>45</v>
      </c>
      <c r="O8" s="42"/>
      <c r="P8" s="26" t="s">
        <v>54</v>
      </c>
      <c r="Q8" s="41"/>
      <c r="R8" s="41"/>
      <c r="S8" s="34" t="b">
        <v>1</v>
      </c>
      <c r="T8" s="35" t="s">
        <v>55</v>
      </c>
      <c r="U8" s="43" t="s">
        <v>56</v>
      </c>
      <c r="V8" s="44"/>
      <c r="W8" s="37" t="str">
        <f>IFERROR(__xludf.DUMMYFUNCTION("IFERROR(VLOOKUP(G8,IMPORTRANGE(""https://docs.google.com/spreadsheets/d/12RxCea4e5ggM7QGn1XE3FbLQa_-QbCNdBi90OdPjRqg"", ""'Plan de Compras'!D4:Q""), 12, 0), ""NO ESTÁ EN REQ"")"),"Simple")</f>
        <v>Simple</v>
      </c>
      <c r="X8" s="37" t="str">
        <f>IFERROR(__xludf.DUMMYFUNCTION("IFERROR(VLOOKUP(G8,IMPORTRANGE(""https://docs.google.com/spreadsheets/d/12RxCea4e5ggM7QGn1XE3FbLQa_-QbCNdBi90OdPjRqg"", ""'Plan de Compras'!D4:Q""), 13, 0), """")"),"NACIONAL")</f>
        <v>NACIONAL</v>
      </c>
      <c r="Y8" s="32" t="str">
        <f>IFERROR(__xludf.DUMMYFUNCTION("IFERROR(VLOOKUP(G8,IMPORTRANGE(""https://docs.google.com/spreadsheets/d/12RxCea4e5ggM7QGn1XE3FbLQa_-QbCNdBi90OdPjRqg"", ""'Plan de Compras'!D4:Q""), 14, 0), """")"),"ANGIE")</f>
        <v>ANGIE</v>
      </c>
      <c r="Z8" s="38" t="str">
        <f>IFERROR(__xludf.DUMMYFUNCTION("IFERROR(VLOOKUP(G8,IMPORTRANGE(""https://docs.google.com/spreadsheets/d/12RxCea4e5ggM7QGn1XE3FbLQa_-QbCNdBi90OdPjRqg"", ""'Plan de Compras'!D4:Q""), 4, 0), """")"),"FUNDA IMPERMEABLE (1 UND)")</f>
        <v>FUNDA IMPERMEABLE (1 UND)</v>
      </c>
      <c r="AA8" s="38" t="str">
        <f t="shared" si="2"/>
        <v>TRUE</v>
      </c>
      <c r="AB8" s="37" t="str">
        <f>IFERROR(__xludf.DUMMYFUNCTION("IFERROR(IF(OR(C8=TRUE,C8=""""),VLOOKUP(G8,IMPORTRANGE(""https://docs.google.com/spreadsheets/d/1z9A1Wq-kKrhRNG5RS2a2fKpY1wIhSVz2ZNmP2mOl588/edit?usp=sharing"",""REQ VF!E4:H""),4,0),""NO APLICA""),""GENERAR REQ"")"),"GENERAR REQ")</f>
        <v>GENERAR REQ</v>
      </c>
      <c r="AC8" s="37" t="str">
        <f>IFERROR(__xludf.DUMMYFUNCTION("IFERROR(QUERY(IMPORTRANGE(""https://docs.google.com/spreadsheets/d/1z9A1Wq-kKrhRNG5RS2a2fKpY1wIhSVz2ZNmP2mOl588/edit?usp=sharing"",""REQ VF!E4:Q""),""SELECT Col10, Col11, Col12 WHERE Col1 = '""&amp;G8&amp;""'"",0),""NO APLICA"")"),"NO APLICA")</f>
        <v>NO APLICA</v>
      </c>
      <c r="AD8" s="37"/>
      <c r="AE8" s="37"/>
      <c r="AF8" s="13"/>
      <c r="AG8" s="13"/>
    </row>
    <row r="9">
      <c r="A9" s="26">
        <v>3.0</v>
      </c>
      <c r="B9" s="26" t="b">
        <v>1</v>
      </c>
      <c r="C9" s="26" t="b">
        <v>1</v>
      </c>
      <c r="D9" s="26" t="s">
        <v>35</v>
      </c>
      <c r="E9" s="26" t="s">
        <v>36</v>
      </c>
      <c r="F9" s="27" t="s">
        <v>57</v>
      </c>
      <c r="G9" s="37" t="s">
        <v>57</v>
      </c>
      <c r="H9" s="45" t="s">
        <v>58</v>
      </c>
      <c r="I9" s="26">
        <f>SUMIFS('Hoja 10'!$O:$O,'Hoja 10'!$F:$F,$G9)</f>
        <v>4</v>
      </c>
      <c r="J9" s="26">
        <f>IFERROR(__xludf.DUMMYFUNCTION("VLOOKUP(G9,IMPORTRANGE(""https://docs.google.com/spreadsheets/d/12RxCea4e5ggM7QGn1XE3FbLQa_-QbCNdBi90OdPjRqg/edit?gid=1692403370#gid=1692403370"", ""'Plan de Compras'!D4:2432""), 8,0)"),4.0)</f>
        <v>4</v>
      </c>
      <c r="K9" s="26" t="str">
        <f t="shared" si="1"/>
        <v>SI</v>
      </c>
      <c r="L9" s="29" t="s">
        <v>39</v>
      </c>
      <c r="M9" s="30" t="s">
        <v>40</v>
      </c>
      <c r="N9" s="31"/>
      <c r="O9" s="32" t="str">
        <f>VLOOKUP($G9,'Hoja 10'!$F$4:$AA478, 19,0)</f>
        <v>Precisur</v>
      </c>
      <c r="P9" s="32" t="str">
        <f>VLOOKUP($G9,'Hoja 10'!$F$4:$AA478, 20,0)</f>
        <v>BRD</v>
      </c>
      <c r="Q9" s="33" t="str">
        <f>VLOOKUP($G9,'Hoja 10'!$F$4:$AA478, 21,0)</f>
        <v>https://lacasadelabalanzaperu.com/producto/balanza-gramera-brd-de-5-kilos/?srsltid=AfmBOoqESFO4ybWNXMKI8ni8CSFROATsEcEQxFdxgt7due_hwv2yVsh2</v>
      </c>
      <c r="R9" s="30" t="s">
        <v>59</v>
      </c>
      <c r="S9" s="34" t="b">
        <v>1</v>
      </c>
      <c r="T9" s="35" t="str">
        <f>IFERROR(__xludf.DUMMYFUNCTION(" IF
( VLOOKUP($G9,IMPORTRANGE(""https://docs.google.com/spreadsheets/d/1Gpl6jkTg7sL4VDNimUm3S9Vi1i95esohXCF3wuKOE8c"", ""'CONSOLIDADO'!G5:AB""), 10, 0) &lt;&gt; 0, 
IFERROR(VLOOKUP($G9,IMPORTRANGE(""https://docs.google.com/spreadsheets/d/1Gpl6jkTg7sL4VDNimUm3S9"&amp;"Vi1i95esohXCF3wuKOE8c"", ""'CONSOLIDADO'!G5:AB""), 17, 0), ""-""),
""""
)"),"Precisur")</f>
        <v>Precisur</v>
      </c>
      <c r="U9" s="35" t="str">
        <f>IFERROR(__xludf.DUMMYFUNCTION(" IF
( VLOOKUP($G9,IMPORTRANGE(""https://docs.google.com/spreadsheets/d/1Gpl6jkTg7sL4VDNimUm3S9Vi1i95esohXCF3wuKOE8c"", ""'CONSOLIDADO'!G5:AB""), 10, 0) &lt;&gt; 0, 
IFERROR(VLOOKUP($G9,IMPORTRANGE(""https://docs.google.com/spreadsheets/d/1Gpl6jkTg7sL4VDNimUm3S9"&amp;"Vi1i95esohXCF3wuKOE8c"", ""'CONSOLIDADO'!G5:AB""), 18, 0), ""-""),
""""
)"),"BRD")</f>
        <v>BRD</v>
      </c>
      <c r="V9" s="36" t="str">
        <f>IFERROR(__xludf.DUMMYFUNCTION(" IF
( VLOOKUP($G9,IMPORTRANGE(""https://docs.google.com/spreadsheets/d/1Gpl6jkTg7sL4VDNimUm3S9Vi1i95esohXCF3wuKOE8c"", ""'CONSOLIDADO'!G5:AB""), 10, 0) &lt;&gt; 0, 
IFERROR(VLOOKUP($G9,IMPORTRANGE(""https://docs.google.com/spreadsheets/d/1Gpl6jkTg7sL4VDNimUm3S9"&amp;"Vi1i95esohXCF3wuKOE8c"", ""'CONSOLIDADO'!G5:AB""), 19, 0), ""-""),
""""
)"),"https://balanzasprecisur.com/balanzas-grameras/balanza-gramera-precisur-brd-de-5-kilos/?srsltid=AfmBOoonqZsXOjmBofRnpTJMaafb52Afo-ssPdM32gdpQef_duHaKTSH")</f>
        <v>https://balanzasprecisur.com/balanzas-grameras/balanza-gramera-precisur-brd-de-5-kilos/?srsltid=AfmBOoonqZsXOjmBofRnpTJMaafb52Afo-ssPdM32gdpQef_duHaKTSH</v>
      </c>
      <c r="W9" s="37" t="str">
        <f>IFERROR(__xludf.DUMMYFUNCTION("IFERROR(VLOOKUP(G9,IMPORTRANGE(""https://docs.google.com/spreadsheets/d/12RxCea4e5ggM7QGn1XE3FbLQa_-QbCNdBi90OdPjRqg"", ""'Plan de Compras'!D4:Q""), 12, 0), ""NO ESTÁ EN REQ"")"),"Técnica")</f>
        <v>Técnica</v>
      </c>
      <c r="X9" s="37" t="str">
        <f>IFERROR(__xludf.DUMMYFUNCTION("IFERROR(VLOOKUP(G9,IMPORTRANGE(""https://docs.google.com/spreadsheets/d/12RxCea4e5ggM7QGn1XE3FbLQa_-QbCNdBi90OdPjRqg"", ""'Plan de Compras'!D4:Q""), 13, 0), """")"),"NACIONAL")</f>
        <v>NACIONAL</v>
      </c>
      <c r="Y9" s="32" t="str">
        <f>IFERROR(__xludf.DUMMYFUNCTION("IFERROR(VLOOKUP(G9,IMPORTRANGE(""https://docs.google.com/spreadsheets/d/12RxCea4e5ggM7QGn1XE3FbLQa_-QbCNdBi90OdPjRqg"", ""'Plan de Compras'!D4:Q""), 14, 0), """")"),"ANGIE")</f>
        <v>ANGIE</v>
      </c>
      <c r="Z9" s="38" t="str">
        <f>IFERROR(__xludf.DUMMYFUNCTION("IFERROR(VLOOKUP(G9,IMPORTRANGE(""https://docs.google.com/spreadsheets/d/12RxCea4e5ggM7QGn1XE3FbLQa_-QbCNdBi90OdPjRqg"", ""'Plan de Compras'!D4:Q""), 4, 0), """")"),"BALANZA 5KG")</f>
        <v>BALANZA 5KG</v>
      </c>
      <c r="AA9" s="38" t="str">
        <f t="shared" si="2"/>
        <v>TRUE</v>
      </c>
      <c r="AB9" s="37" t="str">
        <f>IFERROR(__xludf.DUMMYFUNCTION("IFERROR(IF(OR(C9=TRUE,C9=""""),VLOOKUP(G9,IMPORTRANGE(""https://docs.google.com/spreadsheets/d/1z9A1Wq-kKrhRNG5RS2a2fKpY1wIhSVz2ZNmP2mOl588/edit?usp=sharing"",""REQ VF!E4:H""),4,0),""NO APLICA""),""GENERAR REQ"")"),"GENERAR REQ")</f>
        <v>GENERAR REQ</v>
      </c>
      <c r="AC9" s="37" t="str">
        <f>IFERROR(__xludf.DUMMYFUNCTION("IFERROR(QUERY(IMPORTRANGE(""https://docs.google.com/spreadsheets/d/1z9A1Wq-kKrhRNG5RS2a2fKpY1wIhSVz2ZNmP2mOl588/edit?usp=sharing"",""REQ VF!E4:Q""),""SELECT Col10, Col11, Col12 WHERE Col1 = '""&amp;G9&amp;""'"",0),""NO APLICA"")"),"NO APLICA")</f>
        <v>NO APLICA</v>
      </c>
      <c r="AD9" s="37"/>
      <c r="AE9" s="37"/>
      <c r="AF9" s="8" t="s">
        <v>52</v>
      </c>
      <c r="AG9" s="13"/>
    </row>
    <row r="10">
      <c r="A10" s="26"/>
      <c r="B10" s="26"/>
      <c r="C10" s="26" t="b">
        <v>1</v>
      </c>
      <c r="D10" s="26" t="s">
        <v>42</v>
      </c>
      <c r="E10" s="26" t="s">
        <v>36</v>
      </c>
      <c r="F10" s="27" t="s">
        <v>57</v>
      </c>
      <c r="G10" s="39" t="s">
        <v>60</v>
      </c>
      <c r="H10" s="40" t="s">
        <v>61</v>
      </c>
      <c r="I10" s="26">
        <f t="shared" ref="I10:I12" si="3">$I$9</f>
        <v>4</v>
      </c>
      <c r="J10" s="26">
        <f>IFERROR(__xludf.DUMMYFUNCTION("VLOOKUP(G10,IMPORTRANGE(""https://docs.google.com/spreadsheets/d/12RxCea4e5ggM7QGn1XE3FbLQa_-QbCNdBi90OdPjRqg/edit?gid=1692403370#gid=1692403370"", ""'Plan de Compras'!D4:2432""), 8,0)"),4.0)</f>
        <v>4</v>
      </c>
      <c r="K10" s="26" t="str">
        <f t="shared" si="1"/>
        <v>SI</v>
      </c>
      <c r="L10" s="26"/>
      <c r="M10" s="41"/>
      <c r="N10" s="26" t="s">
        <v>62</v>
      </c>
      <c r="O10" s="42"/>
      <c r="P10" s="42"/>
      <c r="Q10" s="46" t="s">
        <v>63</v>
      </c>
      <c r="R10" s="41"/>
      <c r="S10" s="34" t="b">
        <v>1</v>
      </c>
      <c r="T10" s="35" t="s">
        <v>64</v>
      </c>
      <c r="U10" s="43" t="s">
        <v>65</v>
      </c>
      <c r="V10" s="44"/>
      <c r="W10" s="37" t="str">
        <f>IFERROR(__xludf.DUMMYFUNCTION("IFERROR(VLOOKUP(G10,IMPORTRANGE(""https://docs.google.com/spreadsheets/d/12RxCea4e5ggM7QGn1XE3FbLQa_-QbCNdBi90OdPjRqg"", ""'Plan de Compras'!D4:Q""), 12, 0), ""NO ESTÁ EN REQ"")"),"Técnica")</f>
        <v>Técnica</v>
      </c>
      <c r="X10" s="37" t="str">
        <f>IFERROR(__xludf.DUMMYFUNCTION("IFERROR(VLOOKUP(G10,IMPORTRANGE(""https://docs.google.com/spreadsheets/d/12RxCea4e5ggM7QGn1XE3FbLQa_-QbCNdBi90OdPjRqg"", ""'Plan de Compras'!D4:Q""), 13, 0), """")"),"NACIONAL")</f>
        <v>NACIONAL</v>
      </c>
      <c r="Y10" s="32" t="str">
        <f>IFERROR(__xludf.DUMMYFUNCTION("IFERROR(VLOOKUP(G10,IMPORTRANGE(""https://docs.google.com/spreadsheets/d/12RxCea4e5ggM7QGn1XE3FbLQa_-QbCNdBi90OdPjRqg"", ""'Plan de Compras'!D4:Q""), 14, 0), """")"),"ALFIO")</f>
        <v>ALFIO</v>
      </c>
      <c r="Z10" s="38" t="str">
        <f>IFERROR(__xludf.DUMMYFUNCTION("IFERROR(VLOOKUP(G10,IMPORTRANGE(""https://docs.google.com/spreadsheets/d/12RxCea4e5ggM7QGn1XE3FbLQa_-QbCNdBi90OdPjRqg"", ""'Plan de Compras'!D4:Q""), 4, 0), """")"),"CARGADOR DE PILAS RECARGABLES (1 UND)")</f>
        <v>CARGADOR DE PILAS RECARGABLES (1 UND)</v>
      </c>
      <c r="AA10" s="38" t="str">
        <f t="shared" si="2"/>
        <v>TRUE</v>
      </c>
      <c r="AB10" s="37" t="str">
        <f>IFERROR(__xludf.DUMMYFUNCTION("IFERROR(IF(OR(C10=TRUE,C10=""""),VLOOKUP(G10,IMPORTRANGE(""https://docs.google.com/spreadsheets/d/1z9A1Wq-kKrhRNG5RS2a2fKpY1wIhSVz2ZNmP2mOl588/edit?usp=sharing"",""REQ VF!E4:H""),4,0),""NO APLICA""),""GENERAR REQ"")"),"GENERAR REQ")</f>
        <v>GENERAR REQ</v>
      </c>
      <c r="AC10" s="37" t="str">
        <f>IFERROR(__xludf.DUMMYFUNCTION("IFERROR(QUERY(IMPORTRANGE(""https://docs.google.com/spreadsheets/d/1z9A1Wq-kKrhRNG5RS2a2fKpY1wIhSVz2ZNmP2mOl588/edit?usp=sharing"",""REQ VF!E4:Q""),""SELECT Col10, Col11, Col12 WHERE Col1 = '""&amp;G10&amp;""'"",0),""NO APLICA"")"),"NO APLICA")</f>
        <v>NO APLICA</v>
      </c>
      <c r="AD10" s="37"/>
      <c r="AE10" s="37"/>
      <c r="AF10" s="13"/>
      <c r="AG10" s="13"/>
    </row>
    <row r="11">
      <c r="A11" s="26"/>
      <c r="B11" s="26"/>
      <c r="C11" s="26" t="b">
        <v>1</v>
      </c>
      <c r="D11" s="26" t="s">
        <v>42</v>
      </c>
      <c r="E11" s="26" t="s">
        <v>36</v>
      </c>
      <c r="F11" s="27" t="s">
        <v>57</v>
      </c>
      <c r="G11" s="39" t="s">
        <v>66</v>
      </c>
      <c r="H11" s="40" t="s">
        <v>67</v>
      </c>
      <c r="I11" s="26">
        <f t="shared" si="3"/>
        <v>4</v>
      </c>
      <c r="J11" s="26">
        <f>IFERROR(__xludf.DUMMYFUNCTION("VLOOKUP(G11,IMPORTRANGE(""https://docs.google.com/spreadsheets/d/12RxCea4e5ggM7QGn1XE3FbLQa_-QbCNdBi90OdPjRqg/edit?gid=1692403370#gid=1692403370"", ""'Plan de Compras'!D4:2432""), 8,0)"),4.0)</f>
        <v>4</v>
      </c>
      <c r="K11" s="26" t="str">
        <f t="shared" si="1"/>
        <v>SI</v>
      </c>
      <c r="L11" s="26"/>
      <c r="M11" s="41"/>
      <c r="N11" s="26" t="s">
        <v>68</v>
      </c>
      <c r="O11" s="42"/>
      <c r="P11" s="42"/>
      <c r="Q11" s="46" t="s">
        <v>69</v>
      </c>
      <c r="R11" s="41"/>
      <c r="S11" s="34" t="b">
        <v>1</v>
      </c>
      <c r="T11" s="35" t="s">
        <v>70</v>
      </c>
      <c r="U11" s="35">
        <v>1.001503407E9</v>
      </c>
      <c r="V11" s="44"/>
      <c r="W11" s="37" t="str">
        <f>IFERROR(__xludf.DUMMYFUNCTION("IFERROR(VLOOKUP(G11,IMPORTRANGE(""https://docs.google.com/spreadsheets/d/12RxCea4e5ggM7QGn1XE3FbLQa_-QbCNdBi90OdPjRqg"", ""'Plan de Compras'!D4:Q""), 12, 0), ""NO ESTÁ EN REQ"")"),"Técnica")</f>
        <v>Técnica</v>
      </c>
      <c r="X11" s="37" t="str">
        <f>IFERROR(__xludf.DUMMYFUNCTION("IFERROR(VLOOKUP(G11,IMPORTRANGE(""https://docs.google.com/spreadsheets/d/12RxCea4e5ggM7QGn1XE3FbLQa_-QbCNdBi90OdPjRqg"", ""'Plan de Compras'!D4:Q""), 13, 0), """")"),"NACIONAL")</f>
        <v>NACIONAL</v>
      </c>
      <c r="Y11" s="32" t="str">
        <f>IFERROR(__xludf.DUMMYFUNCTION("IFERROR(VLOOKUP(G11,IMPORTRANGE(""https://docs.google.com/spreadsheets/d/12RxCea4e5ggM7QGn1XE3FbLQa_-QbCNdBi90OdPjRqg"", ""'Plan de Compras'!D4:Q""), 14, 0), """")"),"ALFIO")</f>
        <v>ALFIO</v>
      </c>
      <c r="Z11" s="38" t="str">
        <f>IFERROR(__xludf.DUMMYFUNCTION("IFERROR(VLOOKUP(G11,IMPORTRANGE(""https://docs.google.com/spreadsheets/d/12RxCea4e5ggM7QGn1XE3FbLQa_-QbCNdBi90OdPjRqg"", ""'Plan de Compras'!D4:Q""), 4, 0), """")"),"PACK DE 2 PILAS RECARGABLES (1 UND)")</f>
        <v>PACK DE 2 PILAS RECARGABLES (1 UND)</v>
      </c>
      <c r="AA11" s="38" t="str">
        <f t="shared" si="2"/>
        <v>TRUE</v>
      </c>
      <c r="AB11" s="37" t="str">
        <f>IFERROR(__xludf.DUMMYFUNCTION("IFERROR(IF(OR(C11=TRUE,C11=""""),VLOOKUP(G11,IMPORTRANGE(""https://docs.google.com/spreadsheets/d/1z9A1Wq-kKrhRNG5RS2a2fKpY1wIhSVz2ZNmP2mOl588/edit?usp=sharing"",""REQ VF!E4:H""),4,0),""NO APLICA""),""GENERAR REQ"")"),"GENERAR REQ")</f>
        <v>GENERAR REQ</v>
      </c>
      <c r="AC11" s="37" t="str">
        <f>IFERROR(__xludf.DUMMYFUNCTION("IFERROR(QUERY(IMPORTRANGE(""https://docs.google.com/spreadsheets/d/1z9A1Wq-kKrhRNG5RS2a2fKpY1wIhSVz2ZNmP2mOl588/edit?usp=sharing"",""REQ VF!E4:Q""),""SELECT Col10, Col11, Col12 WHERE Col1 = '""&amp;G11&amp;""'"",0),""NO APLICA"")"),"NO APLICA")</f>
        <v>NO APLICA</v>
      </c>
      <c r="AD11" s="37"/>
      <c r="AE11" s="37"/>
      <c r="AF11" s="13"/>
      <c r="AG11" s="13"/>
    </row>
    <row r="12">
      <c r="A12" s="26"/>
      <c r="B12" s="26"/>
      <c r="C12" s="26" t="b">
        <v>1</v>
      </c>
      <c r="D12" s="26" t="s">
        <v>42</v>
      </c>
      <c r="E12" s="26" t="s">
        <v>36</v>
      </c>
      <c r="F12" s="27" t="s">
        <v>57</v>
      </c>
      <c r="G12" s="39" t="s">
        <v>71</v>
      </c>
      <c r="H12" s="40" t="s">
        <v>44</v>
      </c>
      <c r="I12" s="26">
        <f t="shared" si="3"/>
        <v>4</v>
      </c>
      <c r="J12" s="26">
        <f>IFERROR(__xludf.DUMMYFUNCTION("VLOOKUP(G12,IMPORTRANGE(""https://docs.google.com/spreadsheets/d/12RxCea4e5ggM7QGn1XE3FbLQa_-QbCNdBi90OdPjRqg/edit?gid=1692403370#gid=1692403370"", ""'Plan de Compras'!D4:2432""), 8,0)"),4.0)</f>
        <v>4</v>
      </c>
      <c r="K12" s="26" t="str">
        <f t="shared" si="1"/>
        <v>SI</v>
      </c>
      <c r="L12" s="26"/>
      <c r="M12" s="41"/>
      <c r="N12" s="26" t="s">
        <v>45</v>
      </c>
      <c r="O12" s="42"/>
      <c r="P12" s="26" t="s">
        <v>72</v>
      </c>
      <c r="Q12" s="41"/>
      <c r="R12" s="41"/>
      <c r="S12" s="34" t="b">
        <v>1</v>
      </c>
      <c r="T12" s="35" t="s">
        <v>47</v>
      </c>
      <c r="U12" s="43" t="s">
        <v>73</v>
      </c>
      <c r="V12" s="44"/>
      <c r="W12" s="37" t="str">
        <f>IFERROR(__xludf.DUMMYFUNCTION("IFERROR(VLOOKUP(G12,IMPORTRANGE(""https://docs.google.com/spreadsheets/d/12RxCea4e5ggM7QGn1XE3FbLQa_-QbCNdBi90OdPjRqg"", ""'Plan de Compras'!D4:Q""), 12, 0), ""NO ESTÁ EN REQ"")"),"Simple")</f>
        <v>Simple</v>
      </c>
      <c r="X12" s="37" t="str">
        <f>IFERROR(__xludf.DUMMYFUNCTION("IFERROR(VLOOKUP(G12,IMPORTRANGE(""https://docs.google.com/spreadsheets/d/12RxCea4e5ggM7QGn1XE3FbLQa_-QbCNdBi90OdPjRqg"", ""'Plan de Compras'!D4:Q""), 13, 0), """")"),"NACIONAL")</f>
        <v>NACIONAL</v>
      </c>
      <c r="Y12" s="32" t="str">
        <f>IFERROR(__xludf.DUMMYFUNCTION("IFERROR(VLOOKUP(G12,IMPORTRANGE(""https://docs.google.com/spreadsheets/d/12RxCea4e5ggM7QGn1XE3FbLQa_-QbCNdBi90OdPjRqg"", ""'Plan de Compras'!D4:Q""), 14, 0), """")"),"ANGIE")</f>
        <v>ANGIE</v>
      </c>
      <c r="Z12" s="38" t="str">
        <f>IFERROR(__xludf.DUMMYFUNCTION("IFERROR(VLOOKUP(G12,IMPORTRANGE(""https://docs.google.com/spreadsheets/d/12RxCea4e5ggM7QGn1XE3FbLQa_-QbCNdBi90OdPjRqg"", ""'Plan de Compras'!D4:Q""), 4, 0), """")"),"FUNDA IMPERMEABLE (1 UND)")</f>
        <v>FUNDA IMPERMEABLE (1 UND)</v>
      </c>
      <c r="AA12" s="38" t="str">
        <f t="shared" si="2"/>
        <v>TRUE</v>
      </c>
      <c r="AB12" s="37" t="str">
        <f>IFERROR(__xludf.DUMMYFUNCTION("IFERROR(IF(OR(C12=TRUE,C12=""""),VLOOKUP(G12,IMPORTRANGE(""https://docs.google.com/spreadsheets/d/1z9A1Wq-kKrhRNG5RS2a2fKpY1wIhSVz2ZNmP2mOl588/edit?usp=sharing"",""REQ VF!E4:H""),4,0),""NO APLICA""),""GENERAR REQ"")"),"GENERAR REQ")</f>
        <v>GENERAR REQ</v>
      </c>
      <c r="AC12" s="37" t="str">
        <f>IFERROR(__xludf.DUMMYFUNCTION("IFERROR(QUERY(IMPORTRANGE(""https://docs.google.com/spreadsheets/d/1z9A1Wq-kKrhRNG5RS2a2fKpY1wIhSVz2ZNmP2mOl588/edit?usp=sharing"",""REQ VF!E4:Q""),""SELECT Col10, Col11, Col12 WHERE Col1 = '""&amp;G12&amp;""'"",0),""NO APLICA"")"),"NO APLICA")</f>
        <v>NO APLICA</v>
      </c>
      <c r="AD12" s="37"/>
      <c r="AE12" s="37"/>
      <c r="AF12" s="13"/>
      <c r="AG12" s="13"/>
    </row>
    <row r="13">
      <c r="A13" s="26">
        <v>4.0</v>
      </c>
      <c r="B13" s="26" t="b">
        <v>1</v>
      </c>
      <c r="C13" s="26" t="b">
        <v>1</v>
      </c>
      <c r="D13" s="26" t="s">
        <v>35</v>
      </c>
      <c r="E13" s="26" t="s">
        <v>36</v>
      </c>
      <c r="F13" s="27" t="s">
        <v>74</v>
      </c>
      <c r="G13" s="39" t="s">
        <v>75</v>
      </c>
      <c r="H13" s="45" t="s">
        <v>76</v>
      </c>
      <c r="I13" s="26">
        <f>SUMIFS('Hoja 10'!$O:$O,'Hoja 10'!$F:$F,$G13)</f>
        <v>1</v>
      </c>
      <c r="J13" s="26">
        <f>IFERROR(__xludf.DUMMYFUNCTION("VLOOKUP(G13,IMPORTRANGE(""https://docs.google.com/spreadsheets/d/12RxCea4e5ggM7QGn1XE3FbLQa_-QbCNdBi90OdPjRqg/edit?gid=1692403370#gid=1692403370"", ""'Plan de Compras'!D4:2432""), 8,0)"),1.0)</f>
        <v>1</v>
      </c>
      <c r="K13" s="26" t="str">
        <f t="shared" si="1"/>
        <v>SI</v>
      </c>
      <c r="L13" s="29" t="s">
        <v>77</v>
      </c>
      <c r="M13" s="30" t="s">
        <v>78</v>
      </c>
      <c r="N13" s="31"/>
      <c r="O13" s="32" t="str">
        <f>VLOOKUP($G13,'Hoja 10'!$F$4:$AA478, 19,0)</f>
        <v>Torrey</v>
      </c>
      <c r="P13" s="32" t="str">
        <f>VLOOKUP($G13,'Hoja 10'!$F$4:$AA478, 20,0)</f>
        <v>PCR – 40T</v>
      </c>
      <c r="Q13" s="33" t="str">
        <f>VLOOKUP($G13,'Hoja 10'!$F$4:$AA478, 21,0)</f>
        <v>https://balanzasprecisur.com/balanzas-comerciales/balanza-torrey-pcr-40t-de-40-kilos/</v>
      </c>
      <c r="R13" s="30" t="s">
        <v>79</v>
      </c>
      <c r="S13" s="34" t="b">
        <v>1</v>
      </c>
      <c r="T13" s="35" t="str">
        <f>IFERROR(__xludf.DUMMYFUNCTION(" IF
( VLOOKUP($G13,IMPORTRANGE(""https://docs.google.com/spreadsheets/d/1Gpl6jkTg7sL4VDNimUm3S9Vi1i95esohXCF3wuKOE8c"", ""'CONSOLIDADO'!G5:AB""), 10, 0) &lt;&gt; 0, 
IFERROR(VLOOKUP($G13,IMPORTRANGE(""https://docs.google.com/spreadsheets/d/1Gpl6jkTg7sL4VDNimUm3"&amp;"S9Vi1i95esohXCF3wuKOE8c"", ""'CONSOLIDADO'!G5:AB""), 17, 0), ""-""),
""""
)"),"Torrey")</f>
        <v>Torrey</v>
      </c>
      <c r="U13" s="35" t="str">
        <f>IFERROR(__xludf.DUMMYFUNCTION(" IF
( VLOOKUP($G13,IMPORTRANGE(""https://docs.google.com/spreadsheets/d/1Gpl6jkTg7sL4VDNimUm3S9Vi1i95esohXCF3wuKOE8c"", ""'CONSOLIDADO'!G5:AB""), 10, 0) &lt;&gt; 0, 
IFERROR(VLOOKUP($G13,IMPORTRANGE(""https://docs.google.com/spreadsheets/d/1Gpl6jkTg7sL4VDNimUm3"&amp;"S9Vi1i95esohXCF3wuKOE8c"", ""'CONSOLIDADO'!G5:AB""), 18, 0), ""-""),
""""
)"),"PCR – 40T")</f>
        <v>PCR – 40T</v>
      </c>
      <c r="V13" s="36" t="str">
        <f>IFERROR(__xludf.DUMMYFUNCTION(" IF
( VLOOKUP($G13,IMPORTRANGE(""https://docs.google.com/spreadsheets/d/1Gpl6jkTg7sL4VDNimUm3S9Vi1i95esohXCF3wuKOE8c"", ""'CONSOLIDADO'!G5:AB""), 10, 0) &lt;&gt; 0, 
IFERROR(VLOOKUP($G13,IMPORTRANGE(""https://docs.google.com/spreadsheets/d/1Gpl6jkTg7sL4VDNimUm3"&amp;"S9Vi1i95esohXCF3wuKOE8c"", ""'CONSOLIDADO'!G5:AB""), 19, 0), ""-""),
""""
)"),"https://balanzasprecisur.com/balanzas-comerciales/balanza-torrey-pcr-40t-de-40-kilos/")</f>
        <v>https://balanzasprecisur.com/balanzas-comerciales/balanza-torrey-pcr-40t-de-40-kilos/</v>
      </c>
      <c r="W13" s="37" t="str">
        <f>IFERROR(__xludf.DUMMYFUNCTION("IFERROR(VLOOKUP(G13,IMPORTRANGE(""https://docs.google.com/spreadsheets/d/12RxCea4e5ggM7QGn1XE3FbLQa_-QbCNdBi90OdPjRqg"", ""'Plan de Compras'!D4:Q""), 12, 0), ""NO ESTÁ EN REQ"")"),"Técnica")</f>
        <v>Técnica</v>
      </c>
      <c r="X13" s="37" t="str">
        <f>IFERROR(__xludf.DUMMYFUNCTION("IFERROR(VLOOKUP(G13,IMPORTRANGE(""https://docs.google.com/spreadsheets/d/12RxCea4e5ggM7QGn1XE3FbLQa_-QbCNdBi90OdPjRqg"", ""'Plan de Compras'!D4:Q""), 13, 0), """")"),"NACIONAL")</f>
        <v>NACIONAL</v>
      </c>
      <c r="Y13" s="32" t="str">
        <f>IFERROR(__xludf.DUMMYFUNCTION("IFERROR(VLOOKUP(G13,IMPORTRANGE(""https://docs.google.com/spreadsheets/d/12RxCea4e5ggM7QGn1XE3FbLQa_-QbCNdBi90OdPjRqg"", ""'Plan de Compras'!D4:Q""), 14, 0), """")"),"ANGIE")</f>
        <v>ANGIE</v>
      </c>
      <c r="Z13" s="38" t="str">
        <f>IFERROR(__xludf.DUMMYFUNCTION("IFERROR(VLOOKUP(G13,IMPORTRANGE(""https://docs.google.com/spreadsheets/d/12RxCea4e5ggM7QGn1XE3FbLQa_-QbCNdBi90OdPjRqg"", ""'Plan de Compras'!D4:Q""), 4, 0), """")"),"BALANZA DIGITAL")</f>
        <v>BALANZA DIGITAL</v>
      </c>
      <c r="AA13" s="38" t="str">
        <f t="shared" si="2"/>
        <v>TRUE</v>
      </c>
      <c r="AB13" s="37" t="str">
        <f>IFERROR(__xludf.DUMMYFUNCTION("IFERROR(IF(OR(C13=TRUE,C13=""""),VLOOKUP(G13,IMPORTRANGE(""https://docs.google.com/spreadsheets/d/1z9A1Wq-kKrhRNG5RS2a2fKpY1wIhSVz2ZNmP2mOl588/edit?usp=sharing"",""REQ VF!E4:H""),4,0),""NO APLICA""),""GENERAR REQ"")"),"GENERAR REQ")</f>
        <v>GENERAR REQ</v>
      </c>
      <c r="AC13" s="37" t="str">
        <f>IFERROR(__xludf.DUMMYFUNCTION("IFERROR(QUERY(IMPORTRANGE(""https://docs.google.com/spreadsheets/d/1z9A1Wq-kKrhRNG5RS2a2fKpY1wIhSVz2ZNmP2mOl588/edit?usp=sharing"",""REQ VF!E4:Q""),""SELECT Col10, Col11, Col12 WHERE Col1 = '""&amp;G13&amp;""'"",0),""NO APLICA"")"),"NO APLICA")</f>
        <v>NO APLICA</v>
      </c>
      <c r="AD13" s="37"/>
      <c r="AE13" s="37"/>
      <c r="AF13" s="8" t="s">
        <v>52</v>
      </c>
      <c r="AG13" s="13"/>
    </row>
    <row r="14">
      <c r="A14" s="26"/>
      <c r="B14" s="26"/>
      <c r="C14" s="26" t="b">
        <v>1</v>
      </c>
      <c r="D14" s="26" t="s">
        <v>42</v>
      </c>
      <c r="E14" s="26" t="s">
        <v>36</v>
      </c>
      <c r="F14" s="27" t="s">
        <v>74</v>
      </c>
      <c r="G14" s="39" t="s">
        <v>80</v>
      </c>
      <c r="H14" s="40" t="s">
        <v>44</v>
      </c>
      <c r="I14" s="26">
        <f>$I$13</f>
        <v>1</v>
      </c>
      <c r="J14" s="26">
        <f>IFERROR(__xludf.DUMMYFUNCTION("VLOOKUP(G14,IMPORTRANGE(""https://docs.google.com/spreadsheets/d/12RxCea4e5ggM7QGn1XE3FbLQa_-QbCNdBi90OdPjRqg/edit?gid=1692403370#gid=1692403370"", ""'Plan de Compras'!D4:2432""), 8,0)"),1.0)</f>
        <v>1</v>
      </c>
      <c r="K14" s="26" t="str">
        <f t="shared" si="1"/>
        <v>SI</v>
      </c>
      <c r="L14" s="26"/>
      <c r="M14" s="47"/>
      <c r="N14" s="26" t="s">
        <v>45</v>
      </c>
      <c r="O14" s="42"/>
      <c r="P14" s="26" t="s">
        <v>81</v>
      </c>
      <c r="Q14" s="41"/>
      <c r="R14" s="47"/>
      <c r="S14" s="34" t="b">
        <v>1</v>
      </c>
      <c r="T14" s="35" t="s">
        <v>55</v>
      </c>
      <c r="U14" s="43" t="s">
        <v>82</v>
      </c>
      <c r="V14" s="44"/>
      <c r="W14" s="37" t="str">
        <f>IFERROR(__xludf.DUMMYFUNCTION("IFERROR(VLOOKUP(G14,IMPORTRANGE(""https://docs.google.com/spreadsheets/d/12RxCea4e5ggM7QGn1XE3FbLQa_-QbCNdBi90OdPjRqg"", ""'Plan de Compras'!D4:Q""), 12, 0), ""NO ESTÁ EN REQ"")"),"Simple")</f>
        <v>Simple</v>
      </c>
      <c r="X14" s="37" t="str">
        <f>IFERROR(__xludf.DUMMYFUNCTION("IFERROR(VLOOKUP(G14,IMPORTRANGE(""https://docs.google.com/spreadsheets/d/12RxCea4e5ggM7QGn1XE3FbLQa_-QbCNdBi90OdPjRqg"", ""'Plan de Compras'!D4:Q""), 13, 0), """")"),"NACIONAL")</f>
        <v>NACIONAL</v>
      </c>
      <c r="Y14" s="32" t="str">
        <f>IFERROR(__xludf.DUMMYFUNCTION("IFERROR(VLOOKUP(G14,IMPORTRANGE(""https://docs.google.com/spreadsheets/d/12RxCea4e5ggM7QGn1XE3FbLQa_-QbCNdBi90OdPjRqg"", ""'Plan de Compras'!D4:Q""), 14, 0), """")"),"ANGIE")</f>
        <v>ANGIE</v>
      </c>
      <c r="Z14" s="38" t="str">
        <f>IFERROR(__xludf.DUMMYFUNCTION("IFERROR(VLOOKUP(G14,IMPORTRANGE(""https://docs.google.com/spreadsheets/d/12RxCea4e5ggM7QGn1XE3FbLQa_-QbCNdBi90OdPjRqg"", ""'Plan de Compras'!D4:Q""), 4, 0), """")"),"FUNDA IMPERMEABLE (1 UND)")</f>
        <v>FUNDA IMPERMEABLE (1 UND)</v>
      </c>
      <c r="AA14" s="38" t="str">
        <f t="shared" si="2"/>
        <v>TRUE</v>
      </c>
      <c r="AB14" s="37" t="str">
        <f>IFERROR(__xludf.DUMMYFUNCTION("IFERROR(IF(OR(C14=TRUE,C14=""""),VLOOKUP(G14,IMPORTRANGE(""https://docs.google.com/spreadsheets/d/1z9A1Wq-kKrhRNG5RS2a2fKpY1wIhSVz2ZNmP2mOl588/edit?usp=sharing"",""REQ VF!E4:H""),4,0),""NO APLICA""),""GENERAR REQ"")"),"GENERAR REQ")</f>
        <v>GENERAR REQ</v>
      </c>
      <c r="AC14" s="37" t="str">
        <f>IFERROR(__xludf.DUMMYFUNCTION("IFERROR(QUERY(IMPORTRANGE(""https://docs.google.com/spreadsheets/d/1z9A1Wq-kKrhRNG5RS2a2fKpY1wIhSVz2ZNmP2mOl588/edit?usp=sharing"",""REQ VF!E4:Q""),""SELECT Col10, Col11, Col12 WHERE Col1 = '""&amp;G14&amp;""'"",0),""NO APLICA"")"),"NO APLICA")</f>
        <v>NO APLICA</v>
      </c>
      <c r="AD14" s="37"/>
      <c r="AE14" s="37"/>
      <c r="AF14" s="13"/>
      <c r="AG14" s="13"/>
    </row>
    <row r="15">
      <c r="A15" s="26">
        <v>5.0</v>
      </c>
      <c r="B15" s="26" t="b">
        <v>1</v>
      </c>
      <c r="C15" s="26" t="b">
        <v>1</v>
      </c>
      <c r="D15" s="26" t="s">
        <v>35</v>
      </c>
      <c r="E15" s="26" t="s">
        <v>36</v>
      </c>
      <c r="F15" s="27" t="s">
        <v>74</v>
      </c>
      <c r="G15" s="39" t="s">
        <v>83</v>
      </c>
      <c r="H15" s="45" t="s">
        <v>76</v>
      </c>
      <c r="I15" s="26">
        <f>SUMIFS('Hoja 10'!$O:$O,'Hoja 10'!$F:$F,$G15)</f>
        <v>8</v>
      </c>
      <c r="J15" s="26">
        <f>IFERROR(__xludf.DUMMYFUNCTION("VLOOKUP(G15,IMPORTRANGE(""https://docs.google.com/spreadsheets/d/12RxCea4e5ggM7QGn1XE3FbLQa_-QbCNdBi90OdPjRqg/edit?gid=1692403370#gid=1692403370"", ""'Plan de Compras'!D4:2432""), 8,0)"),8.0)</f>
        <v>8</v>
      </c>
      <c r="K15" s="26" t="str">
        <f t="shared" si="1"/>
        <v>SI</v>
      </c>
      <c r="L15" s="29" t="s">
        <v>39</v>
      </c>
      <c r="M15" s="30" t="s">
        <v>40</v>
      </c>
      <c r="N15" s="31"/>
      <c r="O15" s="32" t="str">
        <f>VLOOKUP($G15,'Hoja 10'!$F$4:$AA478, 19,0)</f>
        <v>Torrey</v>
      </c>
      <c r="P15" s="32" t="str">
        <f>VLOOKUP($G15,'Hoja 10'!$F$4:$AA478, 20,0)</f>
        <v>PCR – 40T</v>
      </c>
      <c r="Q15" s="33" t="str">
        <f>VLOOKUP($G15,'Hoja 10'!$F$4:$AA478, 21,0)</f>
        <v>https://balanzasprecisur.com/balanzas-comerciales/balanza-torrey-pcr-40t-de-40-kilos/</v>
      </c>
      <c r="R15" s="30" t="s">
        <v>84</v>
      </c>
      <c r="S15" s="34" t="b">
        <v>1</v>
      </c>
      <c r="T15" s="35" t="str">
        <f>IFERROR(__xludf.DUMMYFUNCTION(" IF
( VLOOKUP($G15,IMPORTRANGE(""https://docs.google.com/spreadsheets/d/1Gpl6jkTg7sL4VDNimUm3S9Vi1i95esohXCF3wuKOE8c"", ""'CONSOLIDADO'!G5:AB""), 10, 0) &lt;&gt; 0, 
IFERROR(VLOOKUP($G15,IMPORTRANGE(""https://docs.google.com/spreadsheets/d/1Gpl6jkTg7sL4VDNimUm3"&amp;"S9Vi1i95esohXCF3wuKOE8c"", ""'CONSOLIDADO'!G5:AB""), 17, 0), ""-""),
""""
)"),"Torrey")</f>
        <v>Torrey</v>
      </c>
      <c r="U15" s="35" t="str">
        <f>IFERROR(__xludf.DUMMYFUNCTION(" IF
( VLOOKUP($G15,IMPORTRANGE(""https://docs.google.com/spreadsheets/d/1Gpl6jkTg7sL4VDNimUm3S9Vi1i95esohXCF3wuKOE8c"", ""'CONSOLIDADO'!G5:AB""), 10, 0) &lt;&gt; 0, 
IFERROR(VLOOKUP($G15,IMPORTRANGE(""https://docs.google.com/spreadsheets/d/1Gpl6jkTg7sL4VDNimUm3"&amp;"S9Vi1i95esohXCF3wuKOE8c"", ""'CONSOLIDADO'!G5:AB""), 18, 0), ""-""),
""""
)"),"PCR – 40T")</f>
        <v>PCR – 40T</v>
      </c>
      <c r="V15" s="36" t="str">
        <f>IFERROR(__xludf.DUMMYFUNCTION(" IF
( VLOOKUP($G15,IMPORTRANGE(""https://docs.google.com/spreadsheets/d/1Gpl6jkTg7sL4VDNimUm3S9Vi1i95esohXCF3wuKOE8c"", ""'CONSOLIDADO'!G5:AB""), 10, 0) &lt;&gt; 0, 
IFERROR(VLOOKUP($G15,IMPORTRANGE(""https://docs.google.com/spreadsheets/d/1Gpl6jkTg7sL4VDNimUm3"&amp;"S9Vi1i95esohXCF3wuKOE8c"", ""'CONSOLIDADO'!G5:AB""), 19, 0), ""-""),
""""
)"),"https://balanzasprecisur.com/balanzas-comerciales/balanza-torrey-pcr-40t-de-40-kilos/")</f>
        <v>https://balanzasprecisur.com/balanzas-comerciales/balanza-torrey-pcr-40t-de-40-kilos/</v>
      </c>
      <c r="W15" s="37" t="str">
        <f>IFERROR(__xludf.DUMMYFUNCTION("IFERROR(VLOOKUP(G15,IMPORTRANGE(""https://docs.google.com/spreadsheets/d/12RxCea4e5ggM7QGn1XE3FbLQa_-QbCNdBi90OdPjRqg"", ""'Plan de Compras'!D4:Q""), 12, 0), ""NO ESTÁ EN REQ"")"),"Técnica")</f>
        <v>Técnica</v>
      </c>
      <c r="X15" s="37" t="str">
        <f>IFERROR(__xludf.DUMMYFUNCTION("IFERROR(VLOOKUP(G15,IMPORTRANGE(""https://docs.google.com/spreadsheets/d/12RxCea4e5ggM7QGn1XE3FbLQa_-QbCNdBi90OdPjRqg"", ""'Plan de Compras'!D4:Q""), 13, 0), """")"),"NACIONAL")</f>
        <v>NACIONAL</v>
      </c>
      <c r="Y15" s="32" t="str">
        <f>IFERROR(__xludf.DUMMYFUNCTION("IFERROR(VLOOKUP(G15,IMPORTRANGE(""https://docs.google.com/spreadsheets/d/12RxCea4e5ggM7QGn1XE3FbLQa_-QbCNdBi90OdPjRqg"", ""'Plan de Compras'!D4:Q""), 14, 0), """")"),"ANGIE")</f>
        <v>ANGIE</v>
      </c>
      <c r="Z15" s="38" t="str">
        <f>IFERROR(__xludf.DUMMYFUNCTION("IFERROR(VLOOKUP(G15,IMPORTRANGE(""https://docs.google.com/spreadsheets/d/12RxCea4e5ggM7QGn1XE3FbLQa_-QbCNdBi90OdPjRqg"", ""'Plan de Compras'!D4:Q""), 4, 0), """")"),"BALANZA DIGITAL")</f>
        <v>BALANZA DIGITAL</v>
      </c>
      <c r="AA15" s="38" t="str">
        <f t="shared" si="2"/>
        <v>TRUE</v>
      </c>
      <c r="AB15" s="37" t="str">
        <f>IFERROR(__xludf.DUMMYFUNCTION("IFERROR(IF(OR(C15=TRUE,C15=""""),VLOOKUP(G15,IMPORTRANGE(""https://docs.google.com/spreadsheets/d/1z9A1Wq-kKrhRNG5RS2a2fKpY1wIhSVz2ZNmP2mOl588/edit?usp=sharing"",""REQ VF!E4:H""),4,0),""NO APLICA""),""GENERAR REQ"")"),"GENERAR REQ")</f>
        <v>GENERAR REQ</v>
      </c>
      <c r="AC15" s="37" t="str">
        <f>IFERROR(__xludf.DUMMYFUNCTION("IFERROR(QUERY(IMPORTRANGE(""https://docs.google.com/spreadsheets/d/1z9A1Wq-kKrhRNG5RS2a2fKpY1wIhSVz2ZNmP2mOl588/edit?usp=sharing"",""REQ VF!E4:Q""),""SELECT Col10, Col11, Col12 WHERE Col1 = '""&amp;G15&amp;""'"",0),""NO APLICA"")"),"NO APLICA")</f>
        <v>NO APLICA</v>
      </c>
      <c r="AD15" s="37"/>
      <c r="AE15" s="37"/>
      <c r="AF15" s="8" t="s">
        <v>52</v>
      </c>
      <c r="AG15" s="13"/>
    </row>
    <row r="16">
      <c r="A16" s="26"/>
      <c r="B16" s="26"/>
      <c r="C16" s="26" t="b">
        <v>1</v>
      </c>
      <c r="D16" s="26" t="s">
        <v>42</v>
      </c>
      <c r="E16" s="26" t="s">
        <v>36</v>
      </c>
      <c r="F16" s="27" t="s">
        <v>74</v>
      </c>
      <c r="G16" s="39" t="s">
        <v>85</v>
      </c>
      <c r="H16" s="45" t="s">
        <v>76</v>
      </c>
      <c r="I16" s="43">
        <f>$I$15</f>
        <v>8</v>
      </c>
      <c r="J16" s="26">
        <f>IFERROR(__xludf.DUMMYFUNCTION("VLOOKUP(G16,IMPORTRANGE(""https://docs.google.com/spreadsheets/d/12RxCea4e5ggM7QGn1XE3FbLQa_-QbCNdBi90OdPjRqg/edit?gid=1692403370#gid=1692403370"", ""'Plan de Compras'!D4:2432""), 8,0)"),8.0)</f>
        <v>8</v>
      </c>
      <c r="K16" s="26" t="str">
        <f t="shared" si="1"/>
        <v>SI</v>
      </c>
      <c r="L16" s="26"/>
      <c r="M16" s="47"/>
      <c r="N16" s="26" t="s">
        <v>45</v>
      </c>
      <c r="O16" s="42"/>
      <c r="P16" s="26" t="s">
        <v>81</v>
      </c>
      <c r="Q16" s="41"/>
      <c r="R16" s="47"/>
      <c r="S16" s="34" t="b">
        <v>1</v>
      </c>
      <c r="T16" s="35" t="s">
        <v>55</v>
      </c>
      <c r="U16" s="43" t="s">
        <v>82</v>
      </c>
      <c r="V16" s="44"/>
      <c r="W16" s="37" t="str">
        <f>IFERROR(__xludf.DUMMYFUNCTION("IFERROR(VLOOKUP(G16,IMPORTRANGE(""https://docs.google.com/spreadsheets/d/12RxCea4e5ggM7QGn1XE3FbLQa_-QbCNdBi90OdPjRqg"", ""'Plan de Compras'!D4:Q""), 12, 0), ""NO ESTÁ EN REQ"")"),"Simple")</f>
        <v>Simple</v>
      </c>
      <c r="X16" s="37" t="str">
        <f>IFERROR(__xludf.DUMMYFUNCTION("IFERROR(VLOOKUP(G16,IMPORTRANGE(""https://docs.google.com/spreadsheets/d/12RxCea4e5ggM7QGn1XE3FbLQa_-QbCNdBi90OdPjRqg"", ""'Plan de Compras'!D4:Q""), 13, 0), """")"),"NACIONAL")</f>
        <v>NACIONAL</v>
      </c>
      <c r="Y16" s="32" t="str">
        <f>IFERROR(__xludf.DUMMYFUNCTION("IFERROR(VLOOKUP(G16,IMPORTRANGE(""https://docs.google.com/spreadsheets/d/12RxCea4e5ggM7QGn1XE3FbLQa_-QbCNdBi90OdPjRqg"", ""'Plan de Compras'!D4:Q""), 14, 0), """")"),"ANGIE")</f>
        <v>ANGIE</v>
      </c>
      <c r="Z16" s="38" t="str">
        <f>IFERROR(__xludf.DUMMYFUNCTION("IFERROR(VLOOKUP(G16,IMPORTRANGE(""https://docs.google.com/spreadsheets/d/12RxCea4e5ggM7QGn1XE3FbLQa_-QbCNdBi90OdPjRqg"", ""'Plan de Compras'!D4:Q""), 4, 0), """")"),"FUNDA IMPERMEABLE (1 UND)")</f>
        <v>FUNDA IMPERMEABLE (1 UND)</v>
      </c>
      <c r="AA16" s="38" t="str">
        <f t="shared" si="2"/>
        <v>FALSE</v>
      </c>
      <c r="AB16" s="37" t="str">
        <f>IFERROR(__xludf.DUMMYFUNCTION("IFERROR(IF(OR(C16=TRUE,C16=""""),VLOOKUP(G16,IMPORTRANGE(""https://docs.google.com/spreadsheets/d/1z9A1Wq-kKrhRNG5RS2a2fKpY1wIhSVz2ZNmP2mOl588/edit?usp=sharing"",""REQ VF!E4:H""),4,0),""NO APLICA""),""GENERAR REQ"")"),"GENERAR REQ")</f>
        <v>GENERAR REQ</v>
      </c>
      <c r="AC16" s="37" t="str">
        <f>IFERROR(__xludf.DUMMYFUNCTION("IFERROR(QUERY(IMPORTRANGE(""https://docs.google.com/spreadsheets/d/1z9A1Wq-kKrhRNG5RS2a2fKpY1wIhSVz2ZNmP2mOl588/edit?usp=sharing"",""REQ VF!E4:Q""),""SELECT Col10, Col11, Col12 WHERE Col1 = '""&amp;G16&amp;""'"",0),""NO APLICA"")"),"NO APLICA")</f>
        <v>NO APLICA</v>
      </c>
      <c r="AD16" s="37"/>
      <c r="AE16" s="37"/>
      <c r="AF16" s="13"/>
      <c r="AG16" s="13"/>
    </row>
    <row r="17">
      <c r="A17" s="26">
        <v>6.0</v>
      </c>
      <c r="B17" s="26" t="b">
        <v>1</v>
      </c>
      <c r="C17" s="26" t="b">
        <v>1</v>
      </c>
      <c r="D17" s="26" t="s">
        <v>35</v>
      </c>
      <c r="E17" s="26" t="s">
        <v>36</v>
      </c>
      <c r="F17" s="27" t="s">
        <v>86</v>
      </c>
      <c r="G17" s="37" t="s">
        <v>86</v>
      </c>
      <c r="H17" s="45" t="s">
        <v>87</v>
      </c>
      <c r="I17" s="26">
        <f>SUMIFS('Hoja 10'!$O:$O,'Hoja 10'!$F:$F,$G17)</f>
        <v>4</v>
      </c>
      <c r="J17" s="26">
        <f>IFERROR(__xludf.DUMMYFUNCTION("VLOOKUP(G17,IMPORTRANGE(""https://docs.google.com/spreadsheets/d/12RxCea4e5ggM7QGn1XE3FbLQa_-QbCNdBi90OdPjRqg/edit?gid=1692403370#gid=1692403370"", ""'Plan de Compras'!D4:2432""), 8,0)"),4.0)</f>
        <v>4</v>
      </c>
      <c r="K17" s="26" t="str">
        <f t="shared" si="1"/>
        <v>SI</v>
      </c>
      <c r="L17" s="29" t="s">
        <v>39</v>
      </c>
      <c r="M17" s="30" t="s">
        <v>40</v>
      </c>
      <c r="N17" s="31"/>
      <c r="O17" s="32" t="str">
        <f>VLOOKUP($G17,'Hoja 10'!$F$4:$AA478, 19,0)</f>
        <v>Truper</v>
      </c>
      <c r="P17" s="32" t="str">
        <f>VLOOKUP($G17,'Hoja 10'!$F$4:$AA478, 20,0)</f>
        <v>Báscula electrónica de precisión, de bolsillo, 500 g</v>
      </c>
      <c r="Q17" s="33" t="str">
        <f>VLOOKUP($G17,'Hoja 10'!$F$4:$AA478, 21,0)</f>
        <v>https://www.truper.com/ficha_tecnica/Bascula-digital-de-precision-de-bolsillo-500g-Truper.html?code=102316</v>
      </c>
      <c r="R17" s="30" t="s">
        <v>88</v>
      </c>
      <c r="S17" s="34" t="b">
        <v>1</v>
      </c>
      <c r="T17" s="35" t="str">
        <f>IFERROR(__xludf.DUMMYFUNCTION(" IF
( VLOOKUP($G17,IMPORTRANGE(""https://docs.google.com/spreadsheets/d/1Gpl6jkTg7sL4VDNimUm3S9Vi1i95esohXCF3wuKOE8c"", ""'CONSOLIDADO'!G5:AB""), 10, 0) &lt;&gt; 0, 
IFERROR(VLOOKUP($G17,IMPORTRANGE(""https://docs.google.com/spreadsheets/d/1Gpl6jkTg7sL4VDNimUm3"&amp;"S9Vi1i95esohXCF3wuKOE8c"", ""'CONSOLIDADO'!G5:AB""), 17, 0), ""-""),
""""
)"),"TRUPER ")</f>
        <v>TRUPER </v>
      </c>
      <c r="U17" s="35" t="str">
        <f>IFERROR(__xludf.DUMMYFUNCTION(" IF
( VLOOKUP($G17,IMPORTRANGE(""https://docs.google.com/spreadsheets/d/1Gpl6jkTg7sL4VDNimUm3S9Vi1i95esohXCF3wuKOE8c"", ""'CONSOLIDADO'!G5:AB""), 10, 0) &lt;&gt; 0, 
IFERROR(VLOOKUP($G17,IMPORTRANGE(""https://docs.google.com/spreadsheets/d/1Gpl6jkTg7sL4VDNimUm3"&amp;"S9Vi1i95esohXCF3wuKOE8c"", ""'CONSOLIDADO'!G5:AB""), 18, 0), ""-""),
""""
)"),"BASE-05B")</f>
        <v>BASE-05B</v>
      </c>
      <c r="V17" s="36" t="str">
        <f>IFERROR(__xludf.DUMMYFUNCTION(" IF
( VLOOKUP($G17,IMPORTRANGE(""https://docs.google.com/spreadsheets/d/1Gpl6jkTg7sL4VDNimUm3S9Vi1i95esohXCF3wuKOE8c"", ""'CONSOLIDADO'!G5:AB""), 10, 0) &lt;&gt; 0, 
IFERROR(VLOOKUP($G17,IMPORTRANGE(""https://docs.google.com/spreadsheets/d/1Gpl6jkTg7sL4VDNimUm3"&amp;"S9Vi1i95esohXCF3wuKOE8c"", ""'CONSOLIDADO'!G5:AB""), 19, 0), ""-""),
""""
)"),"https://www.truper.com/ficha_tecnica/Bascula-digital-de-precision-de-bolsillo-500g-Truper.html?code=102316")</f>
        <v>https://www.truper.com/ficha_tecnica/Bascula-digital-de-precision-de-bolsillo-500g-Truper.html?code=102316</v>
      </c>
      <c r="W17" s="37" t="str">
        <f>IFERROR(__xludf.DUMMYFUNCTION("IFERROR(VLOOKUP(G17,IMPORTRANGE(""https://docs.google.com/spreadsheets/d/12RxCea4e5ggM7QGn1XE3FbLQa_-QbCNdBi90OdPjRqg"", ""'Plan de Compras'!D4:Q""), 12, 0), ""NO ESTÁ EN REQ"")"),"Técnica")</f>
        <v>Técnica</v>
      </c>
      <c r="X17" s="37" t="str">
        <f>IFERROR(__xludf.DUMMYFUNCTION("IFERROR(VLOOKUP(G17,IMPORTRANGE(""https://docs.google.com/spreadsheets/d/12RxCea4e5ggM7QGn1XE3FbLQa_-QbCNdBi90OdPjRqg"", ""'Plan de Compras'!D4:Q""), 13, 0), """")"),"NACIONAL")</f>
        <v>NACIONAL</v>
      </c>
      <c r="Y17" s="32" t="str">
        <f>IFERROR(__xludf.DUMMYFUNCTION("IFERROR(VLOOKUP(G17,IMPORTRANGE(""https://docs.google.com/spreadsheets/d/12RxCea4e5ggM7QGn1XE3FbLQa_-QbCNdBi90OdPjRqg"", ""'Plan de Compras'!D4:Q""), 14, 0), """")"),"ANGIE")</f>
        <v>ANGIE</v>
      </c>
      <c r="Z17" s="38" t="str">
        <f>IFERROR(__xludf.DUMMYFUNCTION("IFERROR(VLOOKUP(G17,IMPORTRANGE(""https://docs.google.com/spreadsheets/d/12RxCea4e5ggM7QGn1XE3FbLQa_-QbCNdBi90OdPjRqg"", ""'Plan de Compras'!D4:Q""), 4, 0), """")"),"BALANZA GRAMERA 500G")</f>
        <v>BALANZA GRAMERA 500G</v>
      </c>
      <c r="AA17" s="38" t="str">
        <f t="shared" si="2"/>
        <v>TRUE</v>
      </c>
      <c r="AB17" s="37" t="str">
        <f>IFERROR(__xludf.DUMMYFUNCTION("IFERROR(IF(OR(C17=TRUE,C17=""""),VLOOKUP(G17,IMPORTRANGE(""https://docs.google.com/spreadsheets/d/1z9A1Wq-kKrhRNG5RS2a2fKpY1wIhSVz2ZNmP2mOl588/edit?usp=sharing"",""REQ VF!E4:H""),4,0),""NO APLICA""),""GENERAR REQ"")"),"GENERAR REQ")</f>
        <v>GENERAR REQ</v>
      </c>
      <c r="AC17" s="37" t="str">
        <f>IFERROR(__xludf.DUMMYFUNCTION("IFERROR(QUERY(IMPORTRANGE(""https://docs.google.com/spreadsheets/d/1z9A1Wq-kKrhRNG5RS2a2fKpY1wIhSVz2ZNmP2mOl588/edit?usp=sharing"",""REQ VF!E4:Q""),""SELECT Col10, Col11, Col12 WHERE Col1 = '""&amp;G17&amp;""'"",0),""NO APLICA"")"),"NO APLICA")</f>
        <v>NO APLICA</v>
      </c>
      <c r="AD17" s="37"/>
      <c r="AE17" s="37"/>
      <c r="AF17" s="8" t="s">
        <v>52</v>
      </c>
      <c r="AG17" s="13"/>
    </row>
    <row r="18">
      <c r="A18" s="26">
        <v>7.0</v>
      </c>
      <c r="B18" s="26" t="b">
        <v>1</v>
      </c>
      <c r="C18" s="26" t="b">
        <v>0</v>
      </c>
      <c r="D18" s="26" t="s">
        <v>35</v>
      </c>
      <c r="E18" s="26" t="s">
        <v>36</v>
      </c>
      <c r="F18" s="27" t="s">
        <v>89</v>
      </c>
      <c r="G18" s="37" t="s">
        <v>89</v>
      </c>
      <c r="H18" s="45" t="s">
        <v>90</v>
      </c>
      <c r="I18" s="43">
        <f>SUMIFS('Hoja 10'!$O:$O,'Hoja 10'!$F:$F,$G18)</f>
        <v>4</v>
      </c>
      <c r="J18" s="26" t="str">
        <f>IFERROR(__xludf.DUMMYFUNCTION("VLOOKUP(G18,IMPORTRANGE(""https://docs.google.com/spreadsheets/d/12RxCea4e5ggM7QGn1XE3FbLQa_-QbCNdBi90OdPjRqg/edit?gid=1692403370#gid=1692403370"", ""'Plan de Compras'!D4:2432""), 8,0)"),"#N/A")</f>
        <v>#N/A</v>
      </c>
      <c r="K18" s="26" t="str">
        <f t="shared" si="1"/>
        <v>-</v>
      </c>
      <c r="L18" s="29" t="s">
        <v>91</v>
      </c>
      <c r="M18" s="30" t="s">
        <v>92</v>
      </c>
      <c r="N18" s="26" t="s">
        <v>93</v>
      </c>
      <c r="O18" s="32" t="str">
        <f>VLOOKUP($G18,'Hoja 10'!$F$4:$AA478, 19,0)</f>
        <v>NUPRINOX</v>
      </c>
      <c r="P18" s="32" t="str">
        <f>VLOOKUP($G18,'Hoja 10'!$F$4:$AA478, 20,0)</f>
        <v>A medida</v>
      </c>
      <c r="Q18" s="33" t="str">
        <f>VLOOKUP($G18,'Hoja 10'!$F$4:$AA478, 21,0)</f>
        <v>https://www.amazon.com/-/es/soldadura-pulgadas-industrial-capacidad-port%C3%A1til/dp/B0DDPVR3L1</v>
      </c>
      <c r="R18" s="30" t="s">
        <v>94</v>
      </c>
      <c r="S18" s="34" t="b">
        <v>1</v>
      </c>
      <c r="T18" s="35" t="str">
        <f>IFERROR(__xludf.DUMMYFUNCTION(" IF
( VLOOKUP($G18,IMPORTRANGE(""https://docs.google.com/spreadsheets/d/1Gpl6jkTg7sL4VDNimUm3S9Vi1i95esohXCF3wuKOE8c"", ""'CONSOLIDADO'!G5:AB""), 10, 0) &lt;&gt; 0, 
IFERROR(VLOOKUP($G18,IMPORTRANGE(""https://docs.google.com/spreadsheets/d/1Gpl6jkTg7sL4VDNimUm3"&amp;"S9Vi1i95esohXCF3wuKOE8c"", ""'CONSOLIDADO'!G5:AB""), 17, 0), ""-""),
""""
)"),"A MEDIDA
HUGO")</f>
        <v>A MEDIDA
HUGO</v>
      </c>
      <c r="U18" s="35" t="str">
        <f>IFERROR(__xludf.DUMMYFUNCTION(" IF
( VLOOKUP($G18,IMPORTRANGE(""https://docs.google.com/spreadsheets/d/1Gpl6jkTg7sL4VDNimUm3S9Vi1i95esohXCF3wuKOE8c"", ""'CONSOLIDADO'!G5:AB""), 10, 0) &lt;&gt; 0, 
IFERROR(VLOOKUP($G18,IMPORTRANGE(""https://docs.google.com/spreadsheets/d/1Gpl6jkTg7sL4VDNimUm3"&amp;"S9Vi1i95esohXCF3wuKOE8c"", ""'CONSOLIDADO'!G5:AB""), 18, 0), ""-""),
""""
)"),"A MEDIDA")</f>
        <v>A MEDIDA</v>
      </c>
      <c r="V18" s="35" t="str">
        <f>IFERROR(__xludf.DUMMYFUNCTION(" IF
( VLOOKUP($G18,IMPORTRANGE(""https://docs.google.com/spreadsheets/d/1Gpl6jkTg7sL4VDNimUm3S9Vi1i95esohXCF3wuKOE8c"", ""'CONSOLIDADO'!G5:AB""), 10, 0) &lt;&gt; 0, 
IFERROR(VLOOKUP($G18,IMPORTRANGE(""https://docs.google.com/spreadsheets/d/1Gpl6jkTg7sL4VDNimUm3"&amp;"S9Vi1i95esohXCF3wuKOE8c"", ""'CONSOLIDADO'!G5:AB""), 19, 0), ""-""),
""""
)"),"")</f>
        <v/>
      </c>
      <c r="W18" s="37" t="str">
        <f>IFERROR(__xludf.DUMMYFUNCTION("IFERROR(VLOOKUP(G18,IMPORTRANGE(""https://docs.google.com/spreadsheets/d/12RxCea4e5ggM7QGn1XE3FbLQa_-QbCNdBi90OdPjRqg"", ""'Plan de Compras'!D4:Q""), 12, 0), ""NO ESTÁ EN REQ"")"),"NO ESTÁ EN REQ")</f>
        <v>NO ESTÁ EN REQ</v>
      </c>
      <c r="X18" s="37" t="str">
        <f>IFERROR(__xludf.DUMMYFUNCTION("IFERROR(VLOOKUP(G18,IMPORTRANGE(""https://docs.google.com/spreadsheets/d/12RxCea4e5ggM7QGn1XE3FbLQa_-QbCNdBi90OdPjRqg"", ""'Plan de Compras'!D4:Q""), 13, 0), """")"),"")</f>
        <v/>
      </c>
      <c r="Y18" s="32" t="str">
        <f>IFERROR(__xludf.DUMMYFUNCTION("IFERROR(VLOOKUP(G18,IMPORTRANGE(""https://docs.google.com/spreadsheets/d/12RxCea4e5ggM7QGn1XE3FbLQa_-QbCNdBi90OdPjRqg"", ""'Plan de Compras'!D4:Q""), 14, 0), """")"),"")</f>
        <v/>
      </c>
      <c r="Z18" s="38" t="str">
        <f>IFERROR(__xludf.DUMMYFUNCTION("IFERROR(VLOOKUP(G18,IMPORTRANGE(""https://docs.google.com/spreadsheets/d/12RxCea4e5ggM7QGn1XE3FbLQa_-QbCNdBi90OdPjRqg"", ""'Plan de Compras'!D4:Q""), 4, 0), """")"),"")</f>
        <v/>
      </c>
      <c r="AA18" s="38"/>
      <c r="AB18" s="37" t="str">
        <f>IFERROR(__xludf.DUMMYFUNCTION("IFERROR(IF(OR(C18=TRUE,C18=""""),VLOOKUP(G18,IMPORTRANGE(""https://docs.google.com/spreadsheets/d/1z9A1Wq-kKrhRNG5RS2a2fKpY1wIhSVz2ZNmP2mOl588/edit?usp=sharing"",""REQ VF!E4:H""),4,0),""NO APLICA""),""GENERAR REQ"")"),"NO APLICA")</f>
        <v>NO APLICA</v>
      </c>
      <c r="AC18" s="37" t="str">
        <f>IFERROR(__xludf.DUMMYFUNCTION("IFERROR(QUERY(IMPORTRANGE(""https://docs.google.com/spreadsheets/d/1z9A1Wq-kKrhRNG5RS2a2fKpY1wIhSVz2ZNmP2mOl588/edit?usp=sharing"",""REQ VF!E4:Q""),""SELECT Col10, Col11, Col12 WHERE Col1 = '""&amp;G18&amp;""'"",0),""NO APLICA"")"),"NO APLICA")</f>
        <v>NO APLICA</v>
      </c>
      <c r="AD18" s="37"/>
      <c r="AE18" s="37"/>
      <c r="AF18" s="13"/>
      <c r="AG18" s="13"/>
    </row>
    <row r="19">
      <c r="A19" s="48"/>
      <c r="B19" s="26"/>
      <c r="C19" s="26" t="b">
        <v>1</v>
      </c>
      <c r="D19" s="48" t="s">
        <v>95</v>
      </c>
      <c r="E19" s="26" t="s">
        <v>36</v>
      </c>
      <c r="F19" s="27" t="s">
        <v>89</v>
      </c>
      <c r="G19" s="39" t="s">
        <v>96</v>
      </c>
      <c r="H19" s="49" t="s">
        <v>97</v>
      </c>
      <c r="I19" s="43">
        <f t="shared" ref="I19:I20" si="4">$I$18</f>
        <v>4</v>
      </c>
      <c r="J19" s="26">
        <f>IFERROR(__xludf.DUMMYFUNCTION("VLOOKUP(G19,IMPORTRANGE(""https://docs.google.com/spreadsheets/d/12RxCea4e5ggM7QGn1XE3FbLQa_-QbCNdBi90OdPjRqg/edit?gid=1692403370#gid=1692403370"", ""'Plan de Compras'!D4:2432""), 8,0)"),4.0)</f>
        <v>4</v>
      </c>
      <c r="K19" s="26" t="str">
        <f t="shared" si="1"/>
        <v>SI</v>
      </c>
      <c r="L19" s="48"/>
      <c r="M19" s="50"/>
      <c r="N19" s="51"/>
      <c r="O19" s="51"/>
      <c r="P19" s="48"/>
      <c r="Q19" s="50"/>
      <c r="R19" s="50"/>
      <c r="S19" s="34" t="b">
        <v>1</v>
      </c>
      <c r="T19" s="52" t="s">
        <v>98</v>
      </c>
      <c r="U19" s="52" t="s">
        <v>99</v>
      </c>
      <c r="V19" s="53"/>
      <c r="W19" s="37" t="str">
        <f>IFERROR(__xludf.DUMMYFUNCTION("IFERROR(VLOOKUP(G19,IMPORTRANGE(""https://docs.google.com/spreadsheets/d/12RxCea4e5ggM7QGn1XE3FbLQa_-QbCNdBi90OdPjRqg"", ""'Plan de Compras'!D4:Q""), 12, 0), ""NO ESTÁ EN REQ"")"),"Técnica")</f>
        <v>Técnica</v>
      </c>
      <c r="X19" s="37" t="str">
        <f>IFERROR(__xludf.DUMMYFUNCTION("IFERROR(VLOOKUP(G19,IMPORTRANGE(""https://docs.google.com/spreadsheets/d/12RxCea4e5ggM7QGn1XE3FbLQa_-QbCNdBi90OdPjRqg"", ""'Plan de Compras'!D4:Q""), 13, 0), """")"),"NACIONAL")</f>
        <v>NACIONAL</v>
      </c>
      <c r="Y19" s="32" t="str">
        <f>IFERROR(__xludf.DUMMYFUNCTION("IFERROR(VLOOKUP(G19,IMPORTRANGE(""https://docs.google.com/spreadsheets/d/12RxCea4e5ggM7QGn1XE3FbLQa_-QbCNdBi90OdPjRqg"", ""'Plan de Compras'!D4:Q""), 14, 0), """")"),"OMAR")</f>
        <v>OMAR</v>
      </c>
      <c r="Z19" s="38" t="str">
        <f>IFERROR(__xludf.DUMMYFUNCTION("IFERROR(VLOOKUP(G19,IMPORTRANGE(""https://docs.google.com/spreadsheets/d/12RxCea4e5ggM7QGn1XE3FbLQa_-QbCNdBi90OdPjRqg"", ""'Plan de Compras'!D4:Q""), 4, 0), """")"),"CABINA DE SOLDAR 2.20 X 0.90 X 0.90 M (1 UND)")</f>
        <v>CABINA DE SOLDAR 2.20 X 0.90 X 0.90 M (1 UND)</v>
      </c>
      <c r="AA19" s="38" t="str">
        <f t="shared" ref="AA19:AA22" si="5">IF(H19=Z19,"TRUE", "FALSE")</f>
        <v>TRUE</v>
      </c>
      <c r="AB19" s="37" t="str">
        <f>IFERROR(__xludf.DUMMYFUNCTION("IFERROR(IF(OR(C19=TRUE,C19=""""),VLOOKUP(G19,IMPORTRANGE(""https://docs.google.com/spreadsheets/d/1z9A1Wq-kKrhRNG5RS2a2fKpY1wIhSVz2ZNmP2mOl588/edit?usp=sharing"",""REQ VF!E4:H""),4,0),""NO APLICA""),""GENERAR REQ"")"),"GENERAR REQ")</f>
        <v>GENERAR REQ</v>
      </c>
      <c r="AC19" s="37" t="str">
        <f>IFERROR(__xludf.DUMMYFUNCTION("IFERROR(QUERY(IMPORTRANGE(""https://docs.google.com/spreadsheets/d/1z9A1Wq-kKrhRNG5RS2a2fKpY1wIhSVz2ZNmP2mOl588/edit?usp=sharing"",""REQ VF!E4:Q""),""SELECT Col10, Col11, Col12 WHERE Col1 = '""&amp;G19&amp;""'"",0),""NO APLICA"")"),"NO APLICA")</f>
        <v>NO APLICA</v>
      </c>
      <c r="AD19" s="37"/>
      <c r="AE19" s="37"/>
      <c r="AF19" s="13"/>
      <c r="AG19" s="13"/>
    </row>
    <row r="20">
      <c r="A20" s="26"/>
      <c r="B20" s="26"/>
      <c r="C20" s="26" t="b">
        <v>1</v>
      </c>
      <c r="D20" s="48" t="s">
        <v>95</v>
      </c>
      <c r="E20" s="26" t="s">
        <v>36</v>
      </c>
      <c r="F20" s="27" t="s">
        <v>89</v>
      </c>
      <c r="G20" s="39" t="s">
        <v>100</v>
      </c>
      <c r="H20" s="40" t="s">
        <v>101</v>
      </c>
      <c r="I20" s="43">
        <f t="shared" si="4"/>
        <v>4</v>
      </c>
      <c r="J20" s="26">
        <f>IFERROR(__xludf.DUMMYFUNCTION("VLOOKUP(G20,IMPORTRANGE(""https://docs.google.com/spreadsheets/d/12RxCea4e5ggM7QGn1XE3FbLQa_-QbCNdBi90OdPjRqg/edit?gid=1692403370#gid=1692403370"", ""'Plan de Compras'!D4:2432""), 8,0)"),4.0)</f>
        <v>4</v>
      </c>
      <c r="K20" s="26" t="str">
        <f t="shared" si="1"/>
        <v>SI</v>
      </c>
      <c r="L20" s="48"/>
      <c r="M20" s="41"/>
      <c r="N20" s="26" t="s">
        <v>93</v>
      </c>
      <c r="O20" s="42"/>
      <c r="P20" s="42"/>
      <c r="Q20" s="54"/>
      <c r="R20" s="41"/>
      <c r="S20" s="34" t="b">
        <v>1</v>
      </c>
      <c r="T20" s="35" t="s">
        <v>98</v>
      </c>
      <c r="U20" s="35" t="s">
        <v>99</v>
      </c>
      <c r="V20" s="44"/>
      <c r="W20" s="37" t="str">
        <f>IFERROR(__xludf.DUMMYFUNCTION("IFERROR(VLOOKUP(G20,IMPORTRANGE(""https://docs.google.com/spreadsheets/d/12RxCea4e5ggM7QGn1XE3FbLQa_-QbCNdBi90OdPjRqg"", ""'Plan de Compras'!D4:Q""), 12, 0), ""NO ESTÁ EN REQ"")"),"Técnica")</f>
        <v>Técnica</v>
      </c>
      <c r="X20" s="37" t="str">
        <f>IFERROR(__xludf.DUMMYFUNCTION("IFERROR(VLOOKUP(G20,IMPORTRANGE(""https://docs.google.com/spreadsheets/d/12RxCea4e5ggM7QGn1XE3FbLQa_-QbCNdBi90OdPjRqg"", ""'Plan de Compras'!D4:Q""), 13, 0), """")"),"NACIONAL")</f>
        <v>NACIONAL</v>
      </c>
      <c r="Y20" s="32" t="str">
        <f>IFERROR(__xludf.DUMMYFUNCTION("IFERROR(VLOOKUP(G20,IMPORTRANGE(""https://docs.google.com/spreadsheets/d/12RxCea4e5ggM7QGn1XE3FbLQa_-QbCNdBi90OdPjRqg"", ""'Plan de Compras'!D4:Q""), 14, 0), """")"),"OMAR")</f>
        <v>OMAR</v>
      </c>
      <c r="Z20" s="38" t="str">
        <f>IFERROR(__xludf.DUMMYFUNCTION("IFERROR(VLOOKUP(G20,IMPORTRANGE(""https://docs.google.com/spreadsheets/d/12RxCea4e5ggM7QGn1XE3FbLQa_-QbCNdBi90OdPjRqg"", ""'Plan de Compras'!D4:Q""), 4, 0), """")"),"MESA DE SOLDADURA MÓVIL 0.80 X 0.60 X 0.75 M (1 UND)")</f>
        <v>MESA DE SOLDADURA MÓVIL 0.80 X 0.60 X 0.75 M (1 UND)</v>
      </c>
      <c r="AA20" s="38" t="str">
        <f t="shared" si="5"/>
        <v>TRUE</v>
      </c>
      <c r="AB20" s="37" t="str">
        <f>IFERROR(__xludf.DUMMYFUNCTION("IFERROR(IF(OR(C20=TRUE,C20=""""),VLOOKUP(G20,IMPORTRANGE(""https://docs.google.com/spreadsheets/d/1z9A1Wq-kKrhRNG5RS2a2fKpY1wIhSVz2ZNmP2mOl588/edit?usp=sharing"",""REQ VF!E4:H""),4,0),""NO APLICA""),""GENERAR REQ"")"),"GENERAR REQ")</f>
        <v>GENERAR REQ</v>
      </c>
      <c r="AC20" s="37" t="str">
        <f>IFERROR(__xludf.DUMMYFUNCTION("IFERROR(QUERY(IMPORTRANGE(""https://docs.google.com/spreadsheets/d/1z9A1Wq-kKrhRNG5RS2a2fKpY1wIhSVz2ZNmP2mOl588/edit?usp=sharing"",""REQ VF!E4:Q""),""SELECT Col10, Col11, Col12 WHERE Col1 = '""&amp;G20&amp;""'"",0),""NO APLICA"")"),"NO APLICA")</f>
        <v>NO APLICA</v>
      </c>
      <c r="AD20" s="37"/>
      <c r="AE20" s="37"/>
      <c r="AF20" s="13"/>
      <c r="AG20" s="13"/>
    </row>
    <row r="21">
      <c r="A21" s="26">
        <v>8.0</v>
      </c>
      <c r="B21" s="26" t="b">
        <v>1</v>
      </c>
      <c r="C21" s="26" t="b">
        <v>1</v>
      </c>
      <c r="D21" s="26" t="s">
        <v>35</v>
      </c>
      <c r="E21" s="26" t="s">
        <v>36</v>
      </c>
      <c r="F21" s="27" t="s">
        <v>102</v>
      </c>
      <c r="G21" s="39" t="s">
        <v>102</v>
      </c>
      <c r="H21" s="45" t="s">
        <v>103</v>
      </c>
      <c r="I21" s="26">
        <f>SUMIFS('Hoja 10'!$O:$O,'Hoja 10'!$F:$F,$G21)</f>
        <v>4</v>
      </c>
      <c r="J21" s="26">
        <f>IFERROR(__xludf.DUMMYFUNCTION("VLOOKUP(G21,IMPORTRANGE(""https://docs.google.com/spreadsheets/d/12RxCea4e5ggM7QGn1XE3FbLQa_-QbCNdBi90OdPjRqg/edit?gid=1692403370#gid=1692403370"", ""'Plan de Compras'!D4:2432""), 8,0)"),4.0)</f>
        <v>4</v>
      </c>
      <c r="K21" s="26" t="str">
        <f t="shared" si="1"/>
        <v>SI</v>
      </c>
      <c r="L21" s="29" t="s">
        <v>104</v>
      </c>
      <c r="M21" s="30" t="s">
        <v>105</v>
      </c>
      <c r="N21" s="42"/>
      <c r="O21" s="32" t="str">
        <f>VLOOKUP($G21,'Hoja 10'!$F$4:$AA478, 19,0)</f>
        <v>BOSCH</v>
      </c>
      <c r="P21" s="32" t="str">
        <f>VLOOKUP($G21,'Hoja 10'!$F$4:$AA478, 20,0)</f>
        <v> GWS 9-125 P</v>
      </c>
      <c r="Q21" s="33" t="str">
        <f>VLOOKUP($G21,'Hoja 10'!$F$4:$AA478, 21,0)</f>
        <v>https://soelco.co/producto/mini-pulidora-angular-segura-900-w-125-mm-110-v-bosch/?srsltid=AfmBOorerIGp1jcFwSUGxZb2mjq5MenuM3THMVYyN7v09ItDhlwh_pEr</v>
      </c>
      <c r="R21" s="30" t="s">
        <v>106</v>
      </c>
      <c r="S21" s="34" t="b">
        <v>1</v>
      </c>
      <c r="T21" s="35" t="str">
        <f>IFERROR(__xludf.DUMMYFUNCTION(" IF
( VLOOKUP($G21,IMPORTRANGE(""https://docs.google.com/spreadsheets/d/1Gpl6jkTg7sL4VDNimUm3S9Vi1i95esohXCF3wuKOE8c"", ""'CONSOLIDADO'!G5:AB""), 10, 0) &lt;&gt; 0, 
IFERROR(VLOOKUP($G21,IMPORTRANGE(""https://docs.google.com/spreadsheets/d/1Gpl6jkTg7sL4VDNimUm3"&amp;"S9Vi1i95esohXCF3wuKOE8c"", ""'CONSOLIDADO'!G5:AB""), 17, 0), ""-""),
""""
)"),"BOSCH")</f>
        <v>BOSCH</v>
      </c>
      <c r="U21" s="35" t="str">
        <f>IFERROR(__xludf.DUMMYFUNCTION(" IF
( VLOOKUP($G21,IMPORTRANGE(""https://docs.google.com/spreadsheets/d/1Gpl6jkTg7sL4VDNimUm3S9Vi1i95esohXCF3wuKOE8c"", ""'CONSOLIDADO'!G5:AB""), 10, 0) &lt;&gt; 0, 
IFERROR(VLOOKUP($G21,IMPORTRANGE(""https://docs.google.com/spreadsheets/d/1Gpl6jkTg7sL4VDNimUm3"&amp;"S9Vi1i95esohXCF3wuKOE8c"", ""'CONSOLIDADO'!G5:AB""), 18, 0), ""-""),
""""
)"),"GWS 12-125 P")</f>
        <v>GWS 12-125 P</v>
      </c>
      <c r="V21" s="36" t="str">
        <f>IFERROR(__xludf.DUMMYFUNCTION(" IF
( VLOOKUP($G21,IMPORTRANGE(""https://docs.google.com/spreadsheets/d/1Gpl6jkTg7sL4VDNimUm3S9Vi1i95esohXCF3wuKOE8c"", ""'CONSOLIDADO'!G5:AB""), 10, 0) &lt;&gt; 0, 
IFERROR(VLOOKUP($G21,IMPORTRANGE(""https://docs.google.com/spreadsheets/d/1Gpl6jkTg7sL4VDNimUm3"&amp;"S9Vi1i95esohXCF3wuKOE8c"", ""'CONSOLIDADO'!G5:AB""), 19, 0), ""-""),
""""
)"),"https://www.bosch-professional.com/pe/es/products/gws-12-125-p-06013A62E0")</f>
        <v>https://www.bosch-professional.com/pe/es/products/gws-12-125-p-06013A62E0</v>
      </c>
      <c r="W21" s="37" t="str">
        <f>IFERROR(__xludf.DUMMYFUNCTION("IFERROR(VLOOKUP(G21,IMPORTRANGE(""https://docs.google.com/spreadsheets/d/12RxCea4e5ggM7QGn1XE3FbLQa_-QbCNdBi90OdPjRqg"", ""'Plan de Compras'!D4:Q""), 12, 0), ""NO ESTÁ EN REQ"")"),"Técnica")</f>
        <v>Técnica</v>
      </c>
      <c r="X21" s="37" t="str">
        <f>IFERROR(__xludf.DUMMYFUNCTION("IFERROR(VLOOKUP(G21,IMPORTRANGE(""https://docs.google.com/spreadsheets/d/12RxCea4e5ggM7QGn1XE3FbLQa_-QbCNdBi90OdPjRqg"", ""'Plan de Compras'!D4:Q""), 13, 0), """")"),"NACIONAL")</f>
        <v>NACIONAL</v>
      </c>
      <c r="Y21" s="32" t="str">
        <f>IFERROR(__xludf.DUMMYFUNCTION("IFERROR(VLOOKUP(G21,IMPORTRANGE(""https://docs.google.com/spreadsheets/d/12RxCea4e5ggM7QGn1XE3FbLQa_-QbCNdBi90OdPjRqg"", ""'Plan de Compras'!D4:Q""), 14, 0), """")"),"JESSICA")</f>
        <v>JESSICA</v>
      </c>
      <c r="Z21" s="38" t="str">
        <f>IFERROR(__xludf.DUMMYFUNCTION("IFERROR(VLOOKUP(G21,IMPORTRANGE(""https://docs.google.com/spreadsheets/d/12RxCea4e5ggM7QGn1XE3FbLQa_-QbCNdBi90OdPjRqg"", ""'Plan de Compras'!D4:Q""), 4, 0), """")"),"AMOLADORA")</f>
        <v>AMOLADORA</v>
      </c>
      <c r="AA21" s="38" t="str">
        <f t="shared" si="5"/>
        <v>TRUE</v>
      </c>
      <c r="AB21" s="37" t="str">
        <f>IFERROR(__xludf.DUMMYFUNCTION("IFERROR(IF(OR(C21=TRUE,C21=""""),VLOOKUP(G21,IMPORTRANGE(""https://docs.google.com/spreadsheets/d/1z9A1Wq-kKrhRNG5RS2a2fKpY1wIhSVz2ZNmP2mOl588/edit?usp=sharing"",""REQ VF!E4:H""),4,0),""NO APLICA""),""GENERAR REQ"")"),"GENERAR REQ")</f>
        <v>GENERAR REQ</v>
      </c>
      <c r="AC21" s="37" t="str">
        <f>IFERROR(__xludf.DUMMYFUNCTION("IFERROR(QUERY(IMPORTRANGE(""https://docs.google.com/spreadsheets/d/1z9A1Wq-kKrhRNG5RS2a2fKpY1wIhSVz2ZNmP2mOl588/edit?usp=sharing"",""REQ VF!E4:Q""),""SELECT Col10, Col11, Col12 WHERE Col1 = '""&amp;G21&amp;""'"",0),""NO APLICA"")"),"NO APLICA")</f>
        <v>NO APLICA</v>
      </c>
      <c r="AD21" s="37"/>
      <c r="AE21" s="37"/>
      <c r="AF21" s="8" t="s">
        <v>52</v>
      </c>
      <c r="AG21" s="13"/>
    </row>
    <row r="22">
      <c r="A22" s="26"/>
      <c r="B22" s="26"/>
      <c r="C22" s="26" t="b">
        <v>1</v>
      </c>
      <c r="D22" s="26" t="s">
        <v>42</v>
      </c>
      <c r="E22" s="26" t="s">
        <v>36</v>
      </c>
      <c r="F22" s="27" t="s">
        <v>102</v>
      </c>
      <c r="G22" s="39" t="s">
        <v>107</v>
      </c>
      <c r="H22" s="40" t="s">
        <v>108</v>
      </c>
      <c r="I22" s="43">
        <f>$I$21*5</f>
        <v>20</v>
      </c>
      <c r="J22" s="26">
        <f>IFERROR(__xludf.DUMMYFUNCTION("VLOOKUP(G22,IMPORTRANGE(""https://docs.google.com/spreadsheets/d/12RxCea4e5ggM7QGn1XE3FbLQa_-QbCNdBi90OdPjRqg/edit?gid=1692403370#gid=1692403370"", ""'Plan de Compras'!D4:2432""), 8,0)"),20.0)</f>
        <v>20</v>
      </c>
      <c r="K22" s="26" t="str">
        <f t="shared" si="1"/>
        <v>SI</v>
      </c>
      <c r="L22" s="26"/>
      <c r="M22" s="41"/>
      <c r="N22" s="26" t="s">
        <v>109</v>
      </c>
      <c r="O22" s="42"/>
      <c r="P22" s="42"/>
      <c r="Q22" s="55" t="s">
        <v>110</v>
      </c>
      <c r="R22" s="41"/>
      <c r="S22" s="34" t="b">
        <v>1</v>
      </c>
      <c r="T22" s="35" t="s">
        <v>111</v>
      </c>
      <c r="U22" s="35" t="s">
        <v>112</v>
      </c>
      <c r="V22" s="56" t="s">
        <v>113</v>
      </c>
      <c r="W22" s="37" t="str">
        <f>IFERROR(__xludf.DUMMYFUNCTION("IFERROR(VLOOKUP(G22,IMPORTRANGE(""https://docs.google.com/spreadsheets/d/12RxCea4e5ggM7QGn1XE3FbLQa_-QbCNdBi90OdPjRqg"", ""'Plan de Compras'!D4:Q""), 12, 0), ""NO ESTÁ EN REQ"")"),"Simple")</f>
        <v>Simple</v>
      </c>
      <c r="X22" s="37" t="str">
        <f>IFERROR(__xludf.DUMMYFUNCTION("IFERROR(VLOOKUP(G22,IMPORTRANGE(""https://docs.google.com/spreadsheets/d/12RxCea4e5ggM7QGn1XE3FbLQa_-QbCNdBi90OdPjRqg"", ""'Plan de Compras'!D4:Q""), 13, 0), """")"),"NACIONAL")</f>
        <v>NACIONAL</v>
      </c>
      <c r="Y22" s="32" t="str">
        <f>IFERROR(__xludf.DUMMYFUNCTION("IFERROR(VLOOKUP(G22,IMPORTRANGE(""https://docs.google.com/spreadsheets/d/12RxCea4e5ggM7QGn1XE3FbLQa_-QbCNdBi90OdPjRqg"", ""'Plan de Compras'!D4:Q""), 14, 0), """")"),"JESSICA")</f>
        <v>JESSICA</v>
      </c>
      <c r="Z22" s="38" t="str">
        <f>IFERROR(__xludf.DUMMYFUNCTION("IFERROR(VLOOKUP(G22,IMPORTRANGE(""https://docs.google.com/spreadsheets/d/12RxCea4e5ggM7QGn1XE3FbLQa_-QbCNdBi90OdPjRqg"", ""'Plan de Compras'!D4:Q""), 4, 0), """")"),"DISCO DIAMANTADO 125 MM (5 UND)")</f>
        <v>DISCO DIAMANTADO 125 MM (5 UND)</v>
      </c>
      <c r="AA22" s="38" t="str">
        <f t="shared" si="5"/>
        <v>TRUE</v>
      </c>
      <c r="AB22" s="37" t="str">
        <f>IFERROR(__xludf.DUMMYFUNCTION("IFERROR(IF(OR(C22=TRUE,C22=""""),VLOOKUP(G22,IMPORTRANGE(""https://docs.google.com/spreadsheets/d/1z9A1Wq-kKrhRNG5RS2a2fKpY1wIhSVz2ZNmP2mOl588/edit?usp=sharing"",""REQ VF!E4:H""),4,0),""NO APLICA""),""GENERAR REQ"")"),"GENERAR REQ")</f>
        <v>GENERAR REQ</v>
      </c>
      <c r="AC22" s="37" t="str">
        <f>IFERROR(__xludf.DUMMYFUNCTION("IFERROR(QUERY(IMPORTRANGE(""https://docs.google.com/spreadsheets/d/1z9A1Wq-kKrhRNG5RS2a2fKpY1wIhSVz2ZNmP2mOl588/edit?usp=sharing"",""REQ VF!E4:Q""),""SELECT Col10, Col11, Col12 WHERE Col1 = '""&amp;G22&amp;""'"",0),""NO APLICA"")"),"NO APLICA")</f>
        <v>NO APLICA</v>
      </c>
      <c r="AD22" s="37"/>
      <c r="AE22" s="37"/>
      <c r="AF22" s="8"/>
      <c r="AG22" s="13"/>
    </row>
    <row r="23">
      <c r="A23" s="26"/>
      <c r="B23" s="26"/>
      <c r="C23" s="26" t="b">
        <v>1</v>
      </c>
      <c r="D23" s="43" t="s">
        <v>42</v>
      </c>
      <c r="E23" s="43" t="s">
        <v>36</v>
      </c>
      <c r="F23" s="37" t="s">
        <v>102</v>
      </c>
      <c r="G23" s="39" t="s">
        <v>114</v>
      </c>
      <c r="H23" s="40" t="s">
        <v>115</v>
      </c>
      <c r="I23" s="43">
        <v>4.0</v>
      </c>
      <c r="J23" s="26">
        <f>IFERROR(__xludf.DUMMYFUNCTION("VLOOKUP(G23,IMPORTRANGE(""https://docs.google.com/spreadsheets/d/12RxCea4e5ggM7QGn1XE3FbLQa_-QbCNdBi90OdPjRqg/edit?gid=1692403370#gid=1692403370"", ""'Plan de Compras'!D4:2432""), 8,0)"),4.0)</f>
        <v>4</v>
      </c>
      <c r="K23" s="26" t="str">
        <f t="shared" si="1"/>
        <v>SI</v>
      </c>
      <c r="L23" s="26"/>
      <c r="M23" s="41"/>
      <c r="N23" s="26"/>
      <c r="O23" s="42"/>
      <c r="P23" s="42"/>
      <c r="Q23" s="54"/>
      <c r="R23" s="41"/>
      <c r="S23" s="34" t="b">
        <v>1</v>
      </c>
      <c r="T23" s="35" t="s">
        <v>55</v>
      </c>
      <c r="U23" s="43" t="s">
        <v>116</v>
      </c>
      <c r="V23" s="34"/>
      <c r="W23" s="37" t="str">
        <f>IFERROR(__xludf.DUMMYFUNCTION("IFERROR(VLOOKUP(G23,IMPORTRANGE(""https://docs.google.com/spreadsheets/d/12RxCea4e5ggM7QGn1XE3FbLQa_-QbCNdBi90OdPjRqg"", ""'Plan de Compras'!D4:Q""), 12, 0), ""NO ESTÁ EN REQ"")"),"Simple")</f>
        <v>Simple</v>
      </c>
      <c r="X23" s="37" t="str">
        <f>IFERROR(__xludf.DUMMYFUNCTION("IFERROR(VLOOKUP(G23,IMPORTRANGE(""https://docs.google.com/spreadsheets/d/12RxCea4e5ggM7QGn1XE3FbLQa_-QbCNdBi90OdPjRqg"", ""'Plan de Compras'!D4:Q""), 13, 0), """")"),"NACIONAL")</f>
        <v>NACIONAL</v>
      </c>
      <c r="Y23" s="32" t="str">
        <f>IFERROR(__xludf.DUMMYFUNCTION("IFERROR(VLOOKUP(G23,IMPORTRANGE(""https://docs.google.com/spreadsheets/d/12RxCea4e5ggM7QGn1XE3FbLQa_-QbCNdBi90OdPjRqg"", ""'Plan de Compras'!D4:Q""), 14, 0), """")"),"ANGIE")</f>
        <v>ANGIE</v>
      </c>
      <c r="Z23" s="38" t="str">
        <f>IFERROR(__xludf.DUMMYFUNCTION("IFERROR(VLOOKUP(G23,IMPORTRANGE(""https://docs.google.com/spreadsheets/d/12RxCea4e5ggM7QGn1XE3FbLQa_-QbCNdBi90OdPjRqg"", ""'Plan de Compras'!D4:Q""), 4, 0), """")"),"FUNDA DE POLIAMIDA  (1 UND)")</f>
        <v>FUNDA DE POLIAMIDA  (1 UND)</v>
      </c>
      <c r="AA23" s="38"/>
      <c r="AB23" s="37" t="str">
        <f>IFERROR(__xludf.DUMMYFUNCTION("IFERROR(IF(OR(C23=TRUE,C23=""""),VLOOKUP(G23,IMPORTRANGE(""https://docs.google.com/spreadsheets/d/1z9A1Wq-kKrhRNG5RS2a2fKpY1wIhSVz2ZNmP2mOl588/edit?usp=sharing"",""REQ VF!E4:H""),4,0),""NO APLICA""),""GENERAR REQ"")"),"GENERAR REQ")</f>
        <v>GENERAR REQ</v>
      </c>
      <c r="AC23" s="37" t="str">
        <f>IFERROR(__xludf.DUMMYFUNCTION("IFERROR(QUERY(IMPORTRANGE(""https://docs.google.com/spreadsheets/d/1z9A1Wq-kKrhRNG5RS2a2fKpY1wIhSVz2ZNmP2mOl588/edit?usp=sharing"",""REQ VF!E4:Q""),""SELECT Col10, Col11, Col12 WHERE Col1 = '""&amp;G23&amp;""'"",0),""NO APLICA"")"),"NO APLICA")</f>
        <v>NO APLICA</v>
      </c>
      <c r="AD23" s="37"/>
      <c r="AE23" s="37"/>
      <c r="AF23" s="8"/>
      <c r="AG23" s="13"/>
    </row>
    <row r="24">
      <c r="A24" s="26"/>
      <c r="B24" s="26"/>
      <c r="C24" s="26" t="b">
        <v>0</v>
      </c>
      <c r="D24" s="26" t="s">
        <v>42</v>
      </c>
      <c r="E24" s="26" t="s">
        <v>36</v>
      </c>
      <c r="F24" s="27" t="s">
        <v>102</v>
      </c>
      <c r="G24" s="39" t="s">
        <v>117</v>
      </c>
      <c r="H24" s="40" t="s">
        <v>118</v>
      </c>
      <c r="I24" s="43">
        <v>0.0</v>
      </c>
      <c r="J24" s="26" t="str">
        <f>IFERROR(__xludf.DUMMYFUNCTION("VLOOKUP(G24,IMPORTRANGE(""https://docs.google.com/spreadsheets/d/12RxCea4e5ggM7QGn1XE3FbLQa_-QbCNdBi90OdPjRqg/edit?gid=1692403370#gid=1692403370"", ""'Plan de Compras'!D4:2432""), 8,0)"),"#N/A")</f>
        <v>#N/A</v>
      </c>
      <c r="K24" s="26" t="str">
        <f t="shared" si="1"/>
        <v>-</v>
      </c>
      <c r="L24" s="26"/>
      <c r="M24" s="41"/>
      <c r="N24" s="26"/>
      <c r="O24" s="42"/>
      <c r="P24" s="42"/>
      <c r="Q24" s="54"/>
      <c r="R24" s="41"/>
      <c r="S24" s="34" t="b">
        <v>1</v>
      </c>
      <c r="T24" s="35" t="s">
        <v>111</v>
      </c>
      <c r="U24" s="35" t="s">
        <v>119</v>
      </c>
      <c r="V24" s="34"/>
      <c r="W24" s="37" t="str">
        <f>IFERROR(__xludf.DUMMYFUNCTION("IFERROR(VLOOKUP(G24,IMPORTRANGE(""https://docs.google.com/spreadsheets/d/12RxCea4e5ggM7QGn1XE3FbLQa_-QbCNdBi90OdPjRqg"", ""'Plan de Compras'!D4:Q""), 12, 0), ""NO ESTÁ EN REQ"")"),"NO ESTÁ EN REQ")</f>
        <v>NO ESTÁ EN REQ</v>
      </c>
      <c r="X24" s="37" t="str">
        <f>IFERROR(__xludf.DUMMYFUNCTION("IFERROR(VLOOKUP(G24,IMPORTRANGE(""https://docs.google.com/spreadsheets/d/12RxCea4e5ggM7QGn1XE3FbLQa_-QbCNdBi90OdPjRqg"", ""'Plan de Compras'!D4:Q""), 13, 0), """")"),"")</f>
        <v/>
      </c>
      <c r="Y24" s="32" t="str">
        <f>IFERROR(__xludf.DUMMYFUNCTION("IFERROR(VLOOKUP(G24,IMPORTRANGE(""https://docs.google.com/spreadsheets/d/12RxCea4e5ggM7QGn1XE3FbLQa_-QbCNdBi90OdPjRqg"", ""'Plan de Compras'!D4:Q""), 14, 0), """")"),"")</f>
        <v/>
      </c>
      <c r="Z24" s="38" t="str">
        <f>IFERROR(__xludf.DUMMYFUNCTION("IFERROR(VLOOKUP(G24,IMPORTRANGE(""https://docs.google.com/spreadsheets/d/12RxCea4e5ggM7QGn1XE3FbLQa_-QbCNdBi90OdPjRqg"", ""'Plan de Compras'!D4:Q""), 4, 0), """")"),"")</f>
        <v/>
      </c>
      <c r="AA24" s="38"/>
      <c r="AB24" s="37" t="str">
        <f>IFERROR(__xludf.DUMMYFUNCTION("IFERROR(IF(OR(C24=TRUE,C24=""""),VLOOKUP(G24,IMPORTRANGE(""https://docs.google.com/spreadsheets/d/1z9A1Wq-kKrhRNG5RS2a2fKpY1wIhSVz2ZNmP2mOl588/edit?usp=sharing"",""REQ VF!E4:H""),4,0),""NO APLICA""),""GENERAR REQ"")"),"NO APLICA")</f>
        <v>NO APLICA</v>
      </c>
      <c r="AC24" s="37" t="str">
        <f>IFERROR(__xludf.DUMMYFUNCTION("IFERROR(QUERY(IMPORTRANGE(""https://docs.google.com/spreadsheets/d/1z9A1Wq-kKrhRNG5RS2a2fKpY1wIhSVz2ZNmP2mOl588/edit?usp=sharing"",""REQ VF!E4:Q""),""SELECT Col10, Col11, Col12 WHERE Col1 = '""&amp;G24&amp;""'"",0),""NO APLICA"")"),"NO APLICA")</f>
        <v>NO APLICA</v>
      </c>
      <c r="AD24" s="37"/>
      <c r="AE24" s="37"/>
      <c r="AF24" s="8"/>
      <c r="AG24" s="13"/>
    </row>
    <row r="25">
      <c r="A25" s="26">
        <v>9.0</v>
      </c>
      <c r="B25" s="26" t="b">
        <v>1</v>
      </c>
      <c r="C25" s="26" t="b">
        <v>1</v>
      </c>
      <c r="D25" s="26" t="s">
        <v>35</v>
      </c>
      <c r="E25" s="26" t="s">
        <v>36</v>
      </c>
      <c r="F25" s="27" t="s">
        <v>120</v>
      </c>
      <c r="G25" s="37" t="s">
        <v>120</v>
      </c>
      <c r="H25" s="45" t="s">
        <v>121</v>
      </c>
      <c r="I25" s="26">
        <f>SUMIFS('Hoja 10'!$O:$O,'Hoja 10'!$F:$F,$G25)</f>
        <v>4</v>
      </c>
      <c r="J25" s="26">
        <f>IFERROR(__xludf.DUMMYFUNCTION("VLOOKUP(G25,IMPORTRANGE(""https://docs.google.com/spreadsheets/d/12RxCea4e5ggM7QGn1XE3FbLQa_-QbCNdBi90OdPjRqg/edit?gid=1692403370#gid=1692403370"", ""'Plan de Compras'!D4:2432""), 8,0)"),4.0)</f>
        <v>4</v>
      </c>
      <c r="K25" s="26" t="str">
        <f t="shared" si="1"/>
        <v>SI</v>
      </c>
      <c r="L25" s="29" t="s">
        <v>122</v>
      </c>
      <c r="M25" s="30" t="s">
        <v>123</v>
      </c>
      <c r="N25" s="42"/>
      <c r="O25" s="32" t="str">
        <f>VLOOKUP($G25,'Hoja 10'!$F$4:$AA478, 19,0)</f>
        <v>Gwinstek</v>
      </c>
      <c r="P25" s="32" t="str">
        <f>VLOOKUP($G25,'Hoja 10'!$F$4:$AA478, 20,0)</f>
        <v>GSP-730</v>
      </c>
      <c r="Q25" s="33" t="str">
        <f>VLOOKUP($G25,'Hoja 10'!$F$4:$AA478, 21,0)</f>
        <v>https://www.gwinstek.com/en-US/products/detail/GSP-730</v>
      </c>
      <c r="R25" s="30" t="s">
        <v>124</v>
      </c>
      <c r="S25" s="34" t="b">
        <v>1</v>
      </c>
      <c r="T25" s="35" t="str">
        <f>IFERROR(__xludf.DUMMYFUNCTION(" IF
( VLOOKUP($G25,IMPORTRANGE(""https://docs.google.com/spreadsheets/d/1Gpl6jkTg7sL4VDNimUm3S9Vi1i95esohXCF3wuKOE8c"", ""'CONSOLIDADO'!G5:AB""), 10, 0) &lt;&gt; 0, 
IFERROR(VLOOKUP($G25,IMPORTRANGE(""https://docs.google.com/spreadsheets/d/1Gpl6jkTg7sL4VDNimUm3"&amp;"S9Vi1i95esohXCF3wuKOE8c"", ""'CONSOLIDADO'!G5:AB""), 17, 0), ""-""),
""""
)"),"GW INSTEK")</f>
        <v>GW INSTEK</v>
      </c>
      <c r="U25" s="35" t="str">
        <f>IFERROR(__xludf.DUMMYFUNCTION(" IF
( VLOOKUP($G25,IMPORTRANGE(""https://docs.google.com/spreadsheets/d/1Gpl6jkTg7sL4VDNimUm3S9Vi1i95esohXCF3wuKOE8c"", ""'CONSOLIDADO'!G5:AB""), 10, 0) &lt;&gt; 0, 
IFERROR(VLOOKUP($G25,IMPORTRANGE(""https://docs.google.com/spreadsheets/d/1Gpl6jkTg7sL4VDNimUm3"&amp;"S9Vi1i95esohXCF3wuKOE8c"", ""'CONSOLIDADO'!G5:AB""), 18, 0), ""-""),
""""
)"),"GSP-730")</f>
        <v>GSP-730</v>
      </c>
      <c r="V25" s="36" t="str">
        <f>IFERROR(__xludf.DUMMYFUNCTION(" IF
( VLOOKUP($G25,IMPORTRANGE(""https://docs.google.com/spreadsheets/d/1Gpl6jkTg7sL4VDNimUm3S9Vi1i95esohXCF3wuKOE8c"", ""'CONSOLIDADO'!G5:AB""), 10, 0) &lt;&gt; 0, 
IFERROR(VLOOKUP($G25,IMPORTRANGE(""https://docs.google.com/spreadsheets/d/1Gpl6jkTg7sL4VDNimUm3"&amp;"S9Vi1i95esohXCF3wuKOE8c"", ""'CONSOLIDADO'!G5:AB""), 19, 0), ""-""),
""""
)"),"https://www.gwinstek.com/en-US/products/detail/GSP-730")</f>
        <v>https://www.gwinstek.com/en-US/products/detail/GSP-730</v>
      </c>
      <c r="W25" s="37" t="str">
        <f>IFERROR(__xludf.DUMMYFUNCTION("IFERROR(VLOOKUP(G25,IMPORTRANGE(""https://docs.google.com/spreadsheets/d/12RxCea4e5ggM7QGn1XE3FbLQa_-QbCNdBi90OdPjRqg"", ""'Plan de Compras'!D4:Q""), 12, 0), ""NO ESTÁ EN REQ"")"),"Técnica")</f>
        <v>Técnica</v>
      </c>
      <c r="X25" s="37" t="str">
        <f>IFERROR(__xludf.DUMMYFUNCTION("IFERROR(VLOOKUP(G25,IMPORTRANGE(""https://docs.google.com/spreadsheets/d/12RxCea4e5ggM7QGn1XE3FbLQa_-QbCNdBi90OdPjRqg"", ""'Plan de Compras'!D4:Q""), 13, 0), """")"),"INTERNACIONAL")</f>
        <v>INTERNACIONAL</v>
      </c>
      <c r="Y25" s="32" t="str">
        <f>IFERROR(__xludf.DUMMYFUNCTION("IFERROR(VLOOKUP(G25,IMPORTRANGE(""https://docs.google.com/spreadsheets/d/12RxCea4e5ggM7QGn1XE3FbLQa_-QbCNdBi90OdPjRqg"", ""'Plan de Compras'!D4:Q""), 14, 0), """")"),"GEYDI")</f>
        <v>GEYDI</v>
      </c>
      <c r="Z25" s="38" t="str">
        <f>IFERROR(__xludf.DUMMYFUNCTION("IFERROR(VLOOKUP(G25,IMPORTRANGE(""https://docs.google.com/spreadsheets/d/12RxCea4e5ggM7QGn1XE3FbLQa_-QbCNdBi90OdPjRqg"", ""'Plan de Compras'!D4:Q""), 4, 0), """")"),"ANALIZADOR DE ESPECTRO")</f>
        <v>ANALIZADOR DE ESPECTRO</v>
      </c>
      <c r="AA25" s="38" t="str">
        <f t="shared" ref="AA25:AA27" si="6">IF(H25=Z25,"TRUE", "FALSE")</f>
        <v>TRUE</v>
      </c>
      <c r="AB25" s="37" t="str">
        <f>IFERROR(__xludf.DUMMYFUNCTION("IFERROR(IF(OR(C25=TRUE,C25=""""),VLOOKUP(G25,IMPORTRANGE(""https://docs.google.com/spreadsheets/d/1z9A1Wq-kKrhRNG5RS2a2fKpY1wIhSVz2ZNmP2mOl588/edit?usp=sharing"",""REQ VF!E4:H""),4,0),""NO APLICA""),""GENERAR REQ"")"),"GENERAR REQ")</f>
        <v>GENERAR REQ</v>
      </c>
      <c r="AC25" s="37" t="str">
        <f>IFERROR(__xludf.DUMMYFUNCTION("IFERROR(QUERY(IMPORTRANGE(""https://docs.google.com/spreadsheets/d/1z9A1Wq-kKrhRNG5RS2a2fKpY1wIhSVz2ZNmP2mOl588/edit?usp=sharing"",""REQ VF!E4:Q""),""SELECT Col10, Col11, Col12 WHERE Col1 = '""&amp;G25&amp;""'"",0),""NO APLICA"")"),"NO APLICA")</f>
        <v>NO APLICA</v>
      </c>
      <c r="AD25" s="37"/>
      <c r="AE25" s="37"/>
      <c r="AF25" s="8" t="s">
        <v>52</v>
      </c>
      <c r="AG25" s="13"/>
    </row>
    <row r="26">
      <c r="A26" s="26">
        <v>10.0</v>
      </c>
      <c r="B26" s="26" t="b">
        <v>1</v>
      </c>
      <c r="C26" s="26" t="b">
        <v>1</v>
      </c>
      <c r="D26" s="26" t="s">
        <v>35</v>
      </c>
      <c r="E26" s="26" t="s">
        <v>36</v>
      </c>
      <c r="F26" s="27" t="s">
        <v>125</v>
      </c>
      <c r="G26" s="37" t="s">
        <v>125</v>
      </c>
      <c r="H26" s="45" t="s">
        <v>126</v>
      </c>
      <c r="I26" s="26">
        <f>SUMIFS('Hoja 10'!$O:$O,'Hoja 10'!$F:$F,$G26)</f>
        <v>3</v>
      </c>
      <c r="J26" s="26">
        <f>IFERROR(__xludf.DUMMYFUNCTION("VLOOKUP(G26,IMPORTRANGE(""https://docs.google.com/spreadsheets/d/12RxCea4e5ggM7QGn1XE3FbLQa_-QbCNdBi90OdPjRqg/edit?gid=1692403370#gid=1692403370"", ""'Plan de Compras'!D4:2432""), 8,0)"),3.0)</f>
        <v>3</v>
      </c>
      <c r="K26" s="26" t="str">
        <f t="shared" si="1"/>
        <v>SI</v>
      </c>
      <c r="L26" s="29" t="s">
        <v>127</v>
      </c>
      <c r="M26" s="30" t="s">
        <v>105</v>
      </c>
      <c r="N26" s="42"/>
      <c r="O26" s="32" t="str">
        <f>VLOOKUP($G26,'Hoja 10'!$F$4:$AA478, 19,0)</f>
        <v>BRAIN BEE</v>
      </c>
      <c r="P26" s="32" t="str">
        <f>VLOOKUP($G26,'Hoja 10'!$F$4:$AA478, 20,0)</f>
        <v>AGS-688</v>
      </c>
      <c r="Q26" s="33" t="str">
        <f>VLOOKUP($G26,'Hoja 10'!$F$4:$AA478, 21,0)</f>
        <v>google.com/search?q=BRAIN+BEE+AGS-688&amp;rlz=1C1CHBD_esPE1168PE1168&amp;oq=BRAIN+BEE+AGS-688&amp;gs_lcrp=EgZjaHJvbWUyBggAEEUYOTIICAEQABgWGB4yCAgCEAAYFhgeMggIAxAAGBYYHjIICAQQABgWGB4yBggFEEUYPDIGCAYQRRg8MgYIBxBFGD3SAQgxMzcwajBqN6gCALACAA&amp;sourceid=chrome&amp;ie=UTF-8</v>
      </c>
      <c r="R26" s="30" t="s">
        <v>128</v>
      </c>
      <c r="S26" s="34" t="b">
        <v>1</v>
      </c>
      <c r="T26" s="35" t="str">
        <f>IFERROR(__xludf.DUMMYFUNCTION(" IF
( VLOOKUP($G26,IMPORTRANGE(""https://docs.google.com/spreadsheets/d/1Gpl6jkTg7sL4VDNimUm3S9Vi1i95esohXCF3wuKOE8c"", ""'CONSOLIDADO'!G5:AB""), 10, 0) &lt;&gt; 0, 
IFERROR(VLOOKUP($G26,IMPORTRANGE(""https://docs.google.com/spreadsheets/d/1Gpl6jkTg7sL4VDNimUm3"&amp;"S9Vi1i95esohXCF3wuKOE8c"", ""'CONSOLIDADO'!G5:AB""), 17, 0), ""-""),
""""
)"),"MAHLE")</f>
        <v>MAHLE</v>
      </c>
      <c r="U26" s="35" t="str">
        <f>IFERROR(__xludf.DUMMYFUNCTION(" IF
( VLOOKUP($G26,IMPORTRANGE(""https://docs.google.com/spreadsheets/d/1Gpl6jkTg7sL4VDNimUm3S9Vi1i95esohXCF3wuKOE8c"", ""'CONSOLIDADO'!G5:AB""), 10, 0) &lt;&gt; 0, 
IFERROR(VLOOKUP($G26,IMPORTRANGE(""https://docs.google.com/spreadsheets/d/1Gpl6jkTg7sL4VDNimUm3"&amp;"S9Vi1i95esohXCF3wuKOE8c"", ""'CONSOLIDADO'!G5:AB""), 18, 0), ""-""),
""""
)"),"BMU 688")</f>
        <v>BMU 688</v>
      </c>
      <c r="V26" s="36" t="str">
        <f>IFERROR(__xludf.DUMMYFUNCTION(" IF
( VLOOKUP($G26,IMPORTRANGE(""https://docs.google.com/spreadsheets/d/1Gpl6jkTg7sL4VDNimUm3S9Vi1i95esohXCF3wuKOE8c"", ""'CONSOLIDADO'!G5:AB""), 10, 0) &lt;&gt; 0, 
IFERROR(VLOOKUP($G26,IMPORTRANGE(""https://docs.google.com/spreadsheets/d/1Gpl6jkTg7sL4VDNimUm3"&amp;"S9Vi1i95esohXCF3wuKOE8c"", ""'CONSOLIDADO'!G5:AB""), 19, 0), ""-""),
""""
)"),"https://www.servicesolutions.mahle.com/eu/es/product-lines/emissionpro/bmu-688/")</f>
        <v>https://www.servicesolutions.mahle.com/eu/es/product-lines/emissionpro/bmu-688/</v>
      </c>
      <c r="W26" s="37" t="str">
        <f>IFERROR(__xludf.DUMMYFUNCTION("IFERROR(VLOOKUP(G26,IMPORTRANGE(""https://docs.google.com/spreadsheets/d/12RxCea4e5ggM7QGn1XE3FbLQa_-QbCNdBi90OdPjRqg"", ""'Plan de Compras'!D4:Q""), 12, 0), ""NO ESTÁ EN REQ"")"),"Técnica")</f>
        <v>Técnica</v>
      </c>
      <c r="X26" s="37" t="str">
        <f>IFERROR(__xludf.DUMMYFUNCTION("IFERROR(VLOOKUP(G26,IMPORTRANGE(""https://docs.google.com/spreadsheets/d/12RxCea4e5ggM7QGn1XE3FbLQa_-QbCNdBi90OdPjRqg"", ""'Plan de Compras'!D4:Q""), 13, 0), """")"),"INTERNACIONAL")</f>
        <v>INTERNACIONAL</v>
      </c>
      <c r="Y26" s="32" t="str">
        <f>IFERROR(__xludf.DUMMYFUNCTION("IFERROR(VLOOKUP(G26,IMPORTRANGE(""https://docs.google.com/spreadsheets/d/12RxCea4e5ggM7QGn1XE3FbLQa_-QbCNdBi90OdPjRqg"", ""'Plan de Compras'!D4:Q""), 14, 0), """")"),"VICTOR")</f>
        <v>VICTOR</v>
      </c>
      <c r="Z26" s="38" t="str">
        <f>IFERROR(__xludf.DUMMYFUNCTION("IFERROR(VLOOKUP(G26,IMPORTRANGE(""https://docs.google.com/spreadsheets/d/12RxCea4e5ggM7QGn1XE3FbLQa_-QbCNdBi90OdPjRqg"", ""'Plan de Compras'!D4:Q""), 4, 0), """")"),"ANALIZADOR DE GAS DE ESCAPE")</f>
        <v>ANALIZADOR DE GAS DE ESCAPE</v>
      </c>
      <c r="AA26" s="38" t="str">
        <f t="shared" si="6"/>
        <v>TRUE</v>
      </c>
      <c r="AB26" s="37" t="str">
        <f>IFERROR(__xludf.DUMMYFUNCTION("IFERROR(IF(OR(C26=TRUE,C26=""""),VLOOKUP(G26,IMPORTRANGE(""https://docs.google.com/spreadsheets/d/1z9A1Wq-kKrhRNG5RS2a2fKpY1wIhSVz2ZNmP2mOl588/edit?usp=sharing"",""REQ VF!E4:H""),4,0),""NO APLICA""),""GENERAR REQ"")"),"GENERAR REQ")</f>
        <v>GENERAR REQ</v>
      </c>
      <c r="AC26" s="37" t="str">
        <f>IFERROR(__xludf.DUMMYFUNCTION("IFERROR(QUERY(IMPORTRANGE(""https://docs.google.com/spreadsheets/d/1z9A1Wq-kKrhRNG5RS2a2fKpY1wIhSVz2ZNmP2mOl588/edit?usp=sharing"",""REQ VF!E4:Q""),""SELECT Col10, Col11, Col12 WHERE Col1 = '""&amp;G26&amp;""'"",0),""NO APLICA"")"),"NO APLICA")</f>
        <v>NO APLICA</v>
      </c>
      <c r="AD26" s="37"/>
      <c r="AE26" s="37"/>
      <c r="AF26" s="8" t="s">
        <v>52</v>
      </c>
      <c r="AG26" s="13"/>
    </row>
    <row r="27">
      <c r="A27" s="26"/>
      <c r="B27" s="26"/>
      <c r="C27" s="26" t="b">
        <v>1</v>
      </c>
      <c r="D27" s="26" t="s">
        <v>42</v>
      </c>
      <c r="E27" s="26" t="s">
        <v>36</v>
      </c>
      <c r="F27" s="27" t="s">
        <v>125</v>
      </c>
      <c r="G27" s="39" t="s">
        <v>129</v>
      </c>
      <c r="H27" s="40" t="s">
        <v>130</v>
      </c>
      <c r="I27" s="43">
        <f>$I$26</f>
        <v>3</v>
      </c>
      <c r="J27" s="26">
        <f>IFERROR(__xludf.DUMMYFUNCTION("VLOOKUP(G27,IMPORTRANGE(""https://docs.google.com/spreadsheets/d/12RxCea4e5ggM7QGn1XE3FbLQa_-QbCNdBi90OdPjRqg/edit?gid=1692403370#gid=1692403370"", ""'Plan de Compras'!D4:2432""), 8,0)"),3.0)</f>
        <v>3</v>
      </c>
      <c r="K27" s="26" t="str">
        <f t="shared" si="1"/>
        <v>SI</v>
      </c>
      <c r="L27" s="26"/>
      <c r="M27" s="41"/>
      <c r="N27" s="42"/>
      <c r="O27" s="26"/>
      <c r="P27" s="43"/>
      <c r="Q27" s="57"/>
      <c r="R27" s="41"/>
      <c r="S27" s="34" t="b">
        <v>1</v>
      </c>
      <c r="T27" s="35" t="s">
        <v>131</v>
      </c>
      <c r="U27" s="35" t="s">
        <v>132</v>
      </c>
      <c r="V27" s="44"/>
      <c r="W27" s="37" t="str">
        <f>IFERROR(__xludf.DUMMYFUNCTION("IFERROR(VLOOKUP(G27,IMPORTRANGE(""https://docs.google.com/spreadsheets/d/12RxCea4e5ggM7QGn1XE3FbLQa_-QbCNdBi90OdPjRqg"", ""'Plan de Compras'!D4:Q""), 12, 0), ""NO ESTÁ EN REQ"")"),"Técnica")</f>
        <v>Técnica</v>
      </c>
      <c r="X27" s="37" t="str">
        <f>IFERROR(__xludf.DUMMYFUNCTION("IFERROR(VLOOKUP(G27,IMPORTRANGE(""https://docs.google.com/spreadsheets/d/12RxCea4e5ggM7QGn1XE3FbLQa_-QbCNdBi90OdPjRqg"", ""'Plan de Compras'!D4:Q""), 13, 0), """")"),"INTERNACIONAL")</f>
        <v>INTERNACIONAL</v>
      </c>
      <c r="Y27" s="32" t="str">
        <f>IFERROR(__xludf.DUMMYFUNCTION("IFERROR(VLOOKUP(G27,IMPORTRANGE(""https://docs.google.com/spreadsheets/d/12RxCea4e5ggM7QGn1XE3FbLQa_-QbCNdBi90OdPjRqg"", ""'Plan de Compras'!D4:Q""), 14, 0), """")"),"GEYDI")</f>
        <v>GEYDI</v>
      </c>
      <c r="Z27" s="38" t="str">
        <f>IFERROR(__xludf.DUMMYFUNCTION("IFERROR(VLOOKUP(G27,IMPORTRANGE(""https://docs.google.com/spreadsheets/d/12RxCea4e5ggM7QGn1XE3FbLQa_-QbCNdBi90OdPjRqg"", ""'Plan de Compras'!D4:Q""), 4, 0), """")"),"CAJA DE ACUMULACIÓN DE GAS (1 UND)")</f>
        <v>CAJA DE ACUMULACIÓN DE GAS (1 UND)</v>
      </c>
      <c r="AA27" s="38" t="str">
        <f t="shared" si="6"/>
        <v>TRUE</v>
      </c>
      <c r="AB27" s="37" t="str">
        <f>IFERROR(__xludf.DUMMYFUNCTION("IFERROR(IF(OR(C27=TRUE,C27=""""),VLOOKUP(G27,IMPORTRANGE(""https://docs.google.com/spreadsheets/d/1z9A1Wq-kKrhRNG5RS2a2fKpY1wIhSVz2ZNmP2mOl588/edit?usp=sharing"",""REQ VF!E4:H""),4,0),""NO APLICA""),""GENERAR REQ"")"),"GENERAR REQ")</f>
        <v>GENERAR REQ</v>
      </c>
      <c r="AC27" s="37" t="str">
        <f>IFERROR(__xludf.DUMMYFUNCTION("IFERROR(QUERY(IMPORTRANGE(""https://docs.google.com/spreadsheets/d/1z9A1Wq-kKrhRNG5RS2a2fKpY1wIhSVz2ZNmP2mOl588/edit?usp=sharing"",""REQ VF!E4:Q""),""SELECT Col10, Col11, Col12 WHERE Col1 = '""&amp;G27&amp;""'"",0),""NO APLICA"")"),"NO APLICA")</f>
        <v>NO APLICA</v>
      </c>
      <c r="AD27" s="37"/>
      <c r="AE27" s="37"/>
      <c r="AF27" s="13"/>
      <c r="AG27" s="13"/>
    </row>
    <row r="28">
      <c r="A28" s="26"/>
      <c r="B28" s="26"/>
      <c r="C28" s="26" t="b">
        <v>0</v>
      </c>
      <c r="D28" s="26" t="s">
        <v>42</v>
      </c>
      <c r="E28" s="26" t="s">
        <v>36</v>
      </c>
      <c r="F28" s="27" t="s">
        <v>125</v>
      </c>
      <c r="G28" s="39" t="s">
        <v>133</v>
      </c>
      <c r="H28" s="40" t="s">
        <v>134</v>
      </c>
      <c r="I28" s="43">
        <v>0.0</v>
      </c>
      <c r="J28" s="26" t="str">
        <f>IFERROR(__xludf.DUMMYFUNCTION("VLOOKUP(G28,IMPORTRANGE(""https://docs.google.com/spreadsheets/d/12RxCea4e5ggM7QGn1XE3FbLQa_-QbCNdBi90OdPjRqg/edit?gid=1692403370#gid=1692403370"", ""'Plan de Compras'!D4:2432""), 8,0)"),"#N/A")</f>
        <v>#N/A</v>
      </c>
      <c r="K28" s="26" t="str">
        <f t="shared" si="1"/>
        <v>-</v>
      </c>
      <c r="L28" s="26"/>
      <c r="M28" s="41"/>
      <c r="N28" s="42"/>
      <c r="O28" s="26"/>
      <c r="P28" s="43"/>
      <c r="Q28" s="57"/>
      <c r="R28" s="41"/>
      <c r="S28" s="34" t="b">
        <v>1</v>
      </c>
      <c r="T28" s="35" t="s">
        <v>135</v>
      </c>
      <c r="U28" s="35" t="s">
        <v>119</v>
      </c>
      <c r="V28" s="44"/>
      <c r="W28" s="37" t="str">
        <f>IFERROR(__xludf.DUMMYFUNCTION("IFERROR(VLOOKUP(G28,IMPORTRANGE(""https://docs.google.com/spreadsheets/d/12RxCea4e5ggM7QGn1XE3FbLQa_-QbCNdBi90OdPjRqg"", ""'Plan de Compras'!D4:Q""), 12, 0), ""NO ESTÁ EN REQ"")"),"NO ESTÁ EN REQ")</f>
        <v>NO ESTÁ EN REQ</v>
      </c>
      <c r="X28" s="37" t="str">
        <f>IFERROR(__xludf.DUMMYFUNCTION("IFERROR(VLOOKUP(G28,IMPORTRANGE(""https://docs.google.com/spreadsheets/d/12RxCea4e5ggM7QGn1XE3FbLQa_-QbCNdBi90OdPjRqg"", ""'Plan de Compras'!D4:Q""), 13, 0), """")"),"")</f>
        <v/>
      </c>
      <c r="Y28" s="32" t="str">
        <f>IFERROR(__xludf.DUMMYFUNCTION("IFERROR(VLOOKUP(G28,IMPORTRANGE(""https://docs.google.com/spreadsheets/d/12RxCea4e5ggM7QGn1XE3FbLQa_-QbCNdBi90OdPjRqg"", ""'Plan de Compras'!D4:Q""), 14, 0), """")"),"")</f>
        <v/>
      </c>
      <c r="Z28" s="38" t="str">
        <f>IFERROR(__xludf.DUMMYFUNCTION("IFERROR(VLOOKUP(G28,IMPORTRANGE(""https://docs.google.com/spreadsheets/d/12RxCea4e5ggM7QGn1XE3FbLQa_-QbCNdBi90OdPjRqg"", ""'Plan de Compras'!D4:Q""), 4, 0), """")"),"")</f>
        <v/>
      </c>
      <c r="AA28" s="38"/>
      <c r="AB28" s="37" t="str">
        <f>IFERROR(__xludf.DUMMYFUNCTION("IFERROR(IF(OR(C28=TRUE,C28=""""),VLOOKUP(G28,IMPORTRANGE(""https://docs.google.com/spreadsheets/d/1z9A1Wq-kKrhRNG5RS2a2fKpY1wIhSVz2ZNmP2mOl588/edit?usp=sharing"",""REQ VF!E4:H""),4,0),""NO APLICA""),""GENERAR REQ"")"),"NO APLICA")</f>
        <v>NO APLICA</v>
      </c>
      <c r="AC28" s="37" t="str">
        <f>IFERROR(__xludf.DUMMYFUNCTION("IFERROR(QUERY(IMPORTRANGE(""https://docs.google.com/spreadsheets/d/1z9A1Wq-kKrhRNG5RS2a2fKpY1wIhSVz2ZNmP2mOl588/edit?usp=sharing"",""REQ VF!E4:Q""),""SELECT Col10, Col11, Col12 WHERE Col1 = '""&amp;G28&amp;""'"",0),""NO APLICA"")"),"NO APLICA")</f>
        <v>NO APLICA</v>
      </c>
      <c r="AD28" s="37"/>
      <c r="AE28" s="37"/>
      <c r="AF28" s="13"/>
      <c r="AG28" s="13"/>
    </row>
    <row r="29">
      <c r="A29" s="26"/>
      <c r="B29" s="26"/>
      <c r="C29" s="26" t="b">
        <v>0</v>
      </c>
      <c r="D29" s="26" t="s">
        <v>42</v>
      </c>
      <c r="E29" s="26" t="s">
        <v>36</v>
      </c>
      <c r="F29" s="27" t="s">
        <v>125</v>
      </c>
      <c r="G29" s="39" t="s">
        <v>136</v>
      </c>
      <c r="H29" s="40" t="s">
        <v>137</v>
      </c>
      <c r="I29" s="43">
        <v>0.0</v>
      </c>
      <c r="J29" s="26" t="str">
        <f>IFERROR(__xludf.DUMMYFUNCTION("VLOOKUP(G29,IMPORTRANGE(""https://docs.google.com/spreadsheets/d/12RxCea4e5ggM7QGn1XE3FbLQa_-QbCNdBi90OdPjRqg/edit?gid=1692403370#gid=1692403370"", ""'Plan de Compras'!D4:2432""), 8,0)"),"#N/A")</f>
        <v>#N/A</v>
      </c>
      <c r="K29" s="26" t="str">
        <f t="shared" si="1"/>
        <v>-</v>
      </c>
      <c r="L29" s="26"/>
      <c r="M29" s="41"/>
      <c r="N29" s="42"/>
      <c r="O29" s="26"/>
      <c r="P29" s="43"/>
      <c r="Q29" s="57"/>
      <c r="R29" s="41"/>
      <c r="S29" s="34" t="b">
        <v>1</v>
      </c>
      <c r="T29" s="35" t="s">
        <v>135</v>
      </c>
      <c r="U29" s="35" t="s">
        <v>119</v>
      </c>
      <c r="V29" s="44"/>
      <c r="W29" s="37" t="str">
        <f>IFERROR(__xludf.DUMMYFUNCTION("IFERROR(VLOOKUP(G29,IMPORTRANGE(""https://docs.google.com/spreadsheets/d/12RxCea4e5ggM7QGn1XE3FbLQa_-QbCNdBi90OdPjRqg"", ""'Plan de Compras'!D4:Q""), 12, 0), ""NO ESTÁ EN REQ"")"),"NO ESTÁ EN REQ")</f>
        <v>NO ESTÁ EN REQ</v>
      </c>
      <c r="X29" s="37" t="str">
        <f>IFERROR(__xludf.DUMMYFUNCTION("IFERROR(VLOOKUP(G29,IMPORTRANGE(""https://docs.google.com/spreadsheets/d/12RxCea4e5ggM7QGn1XE3FbLQa_-QbCNdBi90OdPjRqg"", ""'Plan de Compras'!D4:Q""), 13, 0), """")"),"")</f>
        <v/>
      </c>
      <c r="Y29" s="32" t="str">
        <f>IFERROR(__xludf.DUMMYFUNCTION("IFERROR(VLOOKUP(G29,IMPORTRANGE(""https://docs.google.com/spreadsheets/d/12RxCea4e5ggM7QGn1XE3FbLQa_-QbCNdBi90OdPjRqg"", ""'Plan de Compras'!D4:Q""), 14, 0), """")"),"")</f>
        <v/>
      </c>
      <c r="Z29" s="38" t="str">
        <f>IFERROR(__xludf.DUMMYFUNCTION("IFERROR(VLOOKUP(G29,IMPORTRANGE(""https://docs.google.com/spreadsheets/d/12RxCea4e5ggM7QGn1XE3FbLQa_-QbCNdBi90OdPjRqg"", ""'Plan de Compras'!D4:Q""), 4, 0), """")"),"")</f>
        <v/>
      </c>
      <c r="AA29" s="38"/>
      <c r="AB29" s="37" t="str">
        <f>IFERROR(__xludf.DUMMYFUNCTION("IFERROR(IF(OR(C29=TRUE,C29=""""),VLOOKUP(G29,IMPORTRANGE(""https://docs.google.com/spreadsheets/d/1z9A1Wq-kKrhRNG5RS2a2fKpY1wIhSVz2ZNmP2mOl588/edit?usp=sharing"",""REQ VF!E4:H""),4,0),""NO APLICA""),""GENERAR REQ"")"),"NO APLICA")</f>
        <v>NO APLICA</v>
      </c>
      <c r="AC29" s="37" t="str">
        <f>IFERROR(__xludf.DUMMYFUNCTION("IFERROR(QUERY(IMPORTRANGE(""https://docs.google.com/spreadsheets/d/1z9A1Wq-kKrhRNG5RS2a2fKpY1wIhSVz2ZNmP2mOl588/edit?usp=sharing"",""REQ VF!E4:Q""),""SELECT Col10, Col11, Col12 WHERE Col1 = '""&amp;G29&amp;""'"",0),""NO APLICA"")"),"NO APLICA")</f>
        <v>NO APLICA</v>
      </c>
      <c r="AD29" s="37"/>
      <c r="AE29" s="37"/>
      <c r="AF29" s="13"/>
      <c r="AG29" s="13"/>
    </row>
    <row r="30">
      <c r="A30" s="26"/>
      <c r="B30" s="26"/>
      <c r="C30" s="26" t="b">
        <v>0</v>
      </c>
      <c r="D30" s="26" t="s">
        <v>42</v>
      </c>
      <c r="E30" s="26" t="s">
        <v>36</v>
      </c>
      <c r="F30" s="27" t="s">
        <v>125</v>
      </c>
      <c r="G30" s="39" t="s">
        <v>138</v>
      </c>
      <c r="H30" s="40" t="s">
        <v>139</v>
      </c>
      <c r="I30" s="43">
        <v>0.0</v>
      </c>
      <c r="J30" s="26" t="str">
        <f>IFERROR(__xludf.DUMMYFUNCTION("VLOOKUP(G30,IMPORTRANGE(""https://docs.google.com/spreadsheets/d/12RxCea4e5ggM7QGn1XE3FbLQa_-QbCNdBi90OdPjRqg/edit?gid=1692403370#gid=1692403370"", ""'Plan de Compras'!D4:2432""), 8,0)"),"#N/A")</f>
        <v>#N/A</v>
      </c>
      <c r="K30" s="26" t="str">
        <f t="shared" si="1"/>
        <v>-</v>
      </c>
      <c r="L30" s="26"/>
      <c r="M30" s="41"/>
      <c r="N30" s="42"/>
      <c r="O30" s="26"/>
      <c r="P30" s="43"/>
      <c r="Q30" s="57"/>
      <c r="R30" s="41"/>
      <c r="S30" s="34" t="b">
        <v>1</v>
      </c>
      <c r="T30" s="35" t="s">
        <v>135</v>
      </c>
      <c r="U30" s="35" t="s">
        <v>119</v>
      </c>
      <c r="V30" s="44"/>
      <c r="W30" s="37" t="str">
        <f>IFERROR(__xludf.DUMMYFUNCTION("IFERROR(VLOOKUP(G30,IMPORTRANGE(""https://docs.google.com/spreadsheets/d/12RxCea4e5ggM7QGn1XE3FbLQa_-QbCNdBi90OdPjRqg"", ""'Plan de Compras'!D4:Q""), 12, 0), ""NO ESTÁ EN REQ"")"),"NO ESTÁ EN REQ")</f>
        <v>NO ESTÁ EN REQ</v>
      </c>
      <c r="X30" s="37" t="str">
        <f>IFERROR(__xludf.DUMMYFUNCTION("IFERROR(VLOOKUP(G30,IMPORTRANGE(""https://docs.google.com/spreadsheets/d/12RxCea4e5ggM7QGn1XE3FbLQa_-QbCNdBi90OdPjRqg"", ""'Plan de Compras'!D4:Q""), 13, 0), """")"),"")</f>
        <v/>
      </c>
      <c r="Y30" s="32" t="str">
        <f>IFERROR(__xludf.DUMMYFUNCTION("IFERROR(VLOOKUP(G30,IMPORTRANGE(""https://docs.google.com/spreadsheets/d/12RxCea4e5ggM7QGn1XE3FbLQa_-QbCNdBi90OdPjRqg"", ""'Plan de Compras'!D4:Q""), 14, 0), """")"),"")</f>
        <v/>
      </c>
      <c r="Z30" s="38" t="str">
        <f>IFERROR(__xludf.DUMMYFUNCTION("IFERROR(VLOOKUP(G30,IMPORTRANGE(""https://docs.google.com/spreadsheets/d/12RxCea4e5ggM7QGn1XE3FbLQa_-QbCNdBi90OdPjRqg"", ""'Plan de Compras'!D4:Q""), 4, 0), """")"),"")</f>
        <v/>
      </c>
      <c r="AA30" s="38"/>
      <c r="AB30" s="37" t="str">
        <f>IFERROR(__xludf.DUMMYFUNCTION("IFERROR(IF(OR(C30=TRUE,C30=""""),VLOOKUP(G30,IMPORTRANGE(""https://docs.google.com/spreadsheets/d/1z9A1Wq-kKrhRNG5RS2a2fKpY1wIhSVz2ZNmP2mOl588/edit?usp=sharing"",""REQ VF!E4:H""),4,0),""NO APLICA""),""GENERAR REQ"")"),"NO APLICA")</f>
        <v>NO APLICA</v>
      </c>
      <c r="AC30" s="37" t="str">
        <f>IFERROR(__xludf.DUMMYFUNCTION("IFERROR(QUERY(IMPORTRANGE(""https://docs.google.com/spreadsheets/d/1z9A1Wq-kKrhRNG5RS2a2fKpY1wIhSVz2ZNmP2mOl588/edit?usp=sharing"",""REQ VF!E4:Q""),""SELECT Col10, Col11, Col12 WHERE Col1 = '""&amp;G30&amp;""'"",0),""NO APLICA"")"),"NO APLICA")</f>
        <v>NO APLICA</v>
      </c>
      <c r="AD30" s="37"/>
      <c r="AE30" s="37"/>
      <c r="AF30" s="13"/>
      <c r="AG30" s="13"/>
    </row>
    <row r="31">
      <c r="A31" s="26"/>
      <c r="B31" s="26"/>
      <c r="C31" s="26" t="b">
        <v>1</v>
      </c>
      <c r="D31" s="26" t="s">
        <v>42</v>
      </c>
      <c r="E31" s="26" t="s">
        <v>36</v>
      </c>
      <c r="F31" s="27" t="s">
        <v>125</v>
      </c>
      <c r="G31" s="39" t="s">
        <v>140</v>
      </c>
      <c r="H31" s="40" t="s">
        <v>141</v>
      </c>
      <c r="I31" s="43">
        <f>3*I26</f>
        <v>9</v>
      </c>
      <c r="J31" s="26">
        <f>IFERROR(__xludf.DUMMYFUNCTION("VLOOKUP(G31,IMPORTRANGE(""https://docs.google.com/spreadsheets/d/12RxCea4e5ggM7QGn1XE3FbLQa_-QbCNdBi90OdPjRqg/edit?gid=1692403370#gid=1692403370"", ""'Plan de Compras'!D4:2432""), 8,0)"),9.0)</f>
        <v>9</v>
      </c>
      <c r="K31" s="26" t="str">
        <f t="shared" si="1"/>
        <v>SI</v>
      </c>
      <c r="L31" s="26"/>
      <c r="M31" s="41"/>
      <c r="N31" s="42"/>
      <c r="O31" s="26"/>
      <c r="P31" s="43"/>
      <c r="Q31" s="57"/>
      <c r="R31" s="41"/>
      <c r="S31" s="44" t="b">
        <v>0</v>
      </c>
      <c r="T31" s="35" t="s">
        <v>142</v>
      </c>
      <c r="U31" s="35" t="s">
        <v>143</v>
      </c>
      <c r="V31" s="44"/>
      <c r="W31" s="37" t="str">
        <f>IFERROR(__xludf.DUMMYFUNCTION("IFERROR(VLOOKUP(G31,IMPORTRANGE(""https://docs.google.com/spreadsheets/d/12RxCea4e5ggM7QGn1XE3FbLQa_-QbCNdBi90OdPjRqg"", ""'Plan de Compras'!D4:Q""), 12, 0), ""NO ESTÁ EN REQ"")"),"Técnica")</f>
        <v>Técnica</v>
      </c>
      <c r="X31" s="37" t="str">
        <f>IFERROR(__xludf.DUMMYFUNCTION("IFERROR(VLOOKUP(G31,IMPORTRANGE(""https://docs.google.com/spreadsheets/d/12RxCea4e5ggM7QGn1XE3FbLQa_-QbCNdBi90OdPjRqg"", ""'Plan de Compras'!D4:Q""), 13, 0), """")"),"INTERNACIONAL")</f>
        <v>INTERNACIONAL</v>
      </c>
      <c r="Y31" s="32" t="str">
        <f>IFERROR(__xludf.DUMMYFUNCTION("IFERROR(VLOOKUP(G31,IMPORTRANGE(""https://docs.google.com/spreadsheets/d/12RxCea4e5ggM7QGn1XE3FbLQa_-QbCNdBi90OdPjRqg"", ""'Plan de Compras'!D4:Q""), 14, 0), """")"),"GEYDI")</f>
        <v>GEYDI</v>
      </c>
      <c r="Z31" s="38" t="str">
        <f>IFERROR(__xludf.DUMMYFUNCTION("IFERROR(VLOOKUP(G31,IMPORTRANGE(""https://docs.google.com/spreadsheets/d/12RxCea4e5ggM7QGn1XE3FbLQa_-QbCNdBi90OdPjRqg"", ""'Plan de Compras'!D4:Q""), 4, 0), """")"),"TUBOS FLEXIBLES (3 UND)")</f>
        <v>TUBOS FLEXIBLES (3 UND)</v>
      </c>
      <c r="AA31" s="38" t="str">
        <f t="shared" ref="AA31:AA40" si="7">IF(H31=Z31,"TRUE", "FALSE")</f>
        <v>TRUE</v>
      </c>
      <c r="AB31" s="37" t="str">
        <f>IFERROR(__xludf.DUMMYFUNCTION("IFERROR(IF(OR(C31=TRUE,C31=""""),VLOOKUP(G31,IMPORTRANGE(""https://docs.google.com/spreadsheets/d/1z9A1Wq-kKrhRNG5RS2a2fKpY1wIhSVz2ZNmP2mOl588/edit?usp=sharing"",""REQ VF!E4:H""),4,0),""NO APLICA""),""GENERAR REQ"")"),"GENERAR REQ")</f>
        <v>GENERAR REQ</v>
      </c>
      <c r="AC31" s="37" t="str">
        <f>IFERROR(__xludf.DUMMYFUNCTION("IFERROR(QUERY(IMPORTRANGE(""https://docs.google.com/spreadsheets/d/1z9A1Wq-kKrhRNG5RS2a2fKpY1wIhSVz2ZNmP2mOl588/edit?usp=sharing"",""REQ VF!E4:Q""),""SELECT Col10, Col11, Col12 WHERE Col1 = '""&amp;G31&amp;""'"",0),""NO APLICA"")"),"NO APLICA")</f>
        <v>NO APLICA</v>
      </c>
      <c r="AD31" s="37"/>
      <c r="AE31" s="37"/>
      <c r="AF31" s="13"/>
      <c r="AG31" s="13"/>
    </row>
    <row r="32">
      <c r="A32" s="26">
        <v>11.0</v>
      </c>
      <c r="B32" s="26" t="b">
        <v>1</v>
      </c>
      <c r="C32" s="26" t="b">
        <v>1</v>
      </c>
      <c r="D32" s="26" t="s">
        <v>35</v>
      </c>
      <c r="E32" s="26" t="s">
        <v>36</v>
      </c>
      <c r="F32" s="27" t="s">
        <v>144</v>
      </c>
      <c r="G32" s="37" t="s">
        <v>144</v>
      </c>
      <c r="H32" s="45" t="s">
        <v>145</v>
      </c>
      <c r="I32" s="26">
        <f>SUMIFS('Hoja 10'!$O:$O,'Hoja 10'!$F:$F,$G32)</f>
        <v>3</v>
      </c>
      <c r="J32" s="26">
        <f>IFERROR(__xludf.DUMMYFUNCTION("VLOOKUP(G32,IMPORTRANGE(""https://docs.google.com/spreadsheets/d/12RxCea4e5ggM7QGn1XE3FbLQa_-QbCNdBi90OdPjRqg/edit?gid=1692403370#gid=1692403370"", ""'Plan de Compras'!D4:2432""), 8,0)"),3.0)</f>
        <v>3</v>
      </c>
      <c r="K32" s="26" t="str">
        <f t="shared" si="1"/>
        <v>SI</v>
      </c>
      <c r="L32" s="29" t="s">
        <v>122</v>
      </c>
      <c r="M32" s="30" t="s">
        <v>123</v>
      </c>
      <c r="N32" s="42"/>
      <c r="O32" s="32" t="str">
        <f>VLOOKUP($G32,'Hoja 10'!$F$4:$AA478, 19,0)</f>
        <v>Bosch</v>
      </c>
      <c r="P32" s="32" t="str">
        <f>VLOOKUP($G32,'Hoja 10'!$F$4:$AA478, 20,0)</f>
        <v>Taladro percutor 3/8" Bosch GSB 12V-30</v>
      </c>
      <c r="Q32" s="33" t="str">
        <f>VLOOKUP($G32,'Hoja 10'!$F$4:$AA478, 21,0)</f>
        <v>https://www.pe.tiendaboschonline.com/taladro-percutor-3-8-bosch-gsb-12v-30-12v-2-baterias-y-maletin/p</v>
      </c>
      <c r="R32" s="30" t="s">
        <v>146</v>
      </c>
      <c r="S32" s="34" t="b">
        <v>1</v>
      </c>
      <c r="T32" s="35" t="str">
        <f>IFERROR(__xludf.DUMMYFUNCTION(" IF
( VLOOKUP($G32,IMPORTRANGE(""https://docs.google.com/spreadsheets/d/1Gpl6jkTg7sL4VDNimUm3S9Vi1i95esohXCF3wuKOE8c"", ""'CONSOLIDADO'!G5:AB""), 10, 0) &lt;&gt; 0, 
IFERROR(VLOOKUP($G32,IMPORTRANGE(""https://docs.google.com/spreadsheets/d/1Gpl6jkTg7sL4VDNimUm3"&amp;"S9Vi1i95esohXCF3wuKOE8c"", ""'CONSOLIDADO'!G5:AB""), 17, 0), ""-""),
""""
)"),"BOSCH")</f>
        <v>BOSCH</v>
      </c>
      <c r="U32" s="35" t="str">
        <f>IFERROR(__xludf.DUMMYFUNCTION(" IF
( VLOOKUP($G32,IMPORTRANGE(""https://docs.google.com/spreadsheets/d/1Gpl6jkTg7sL4VDNimUm3S9Vi1i95esohXCF3wuKOE8c"", ""'CONSOLIDADO'!G5:AB""), 10, 0) &lt;&gt; 0, 
IFERROR(VLOOKUP($G32,IMPORTRANGE(""https://docs.google.com/spreadsheets/d/1Gpl6jkTg7sL4VDNimUm3"&amp;"S9Vi1i95esohXCF3wuKOE8c"", ""'CONSOLIDADO'!G5:AB""), 18, 0), ""-""),
""""
)"),"GSB 12V-30")</f>
        <v>GSB 12V-30</v>
      </c>
      <c r="V32" s="36" t="str">
        <f>IFERROR(__xludf.DUMMYFUNCTION(" IF
( VLOOKUP($G32,IMPORTRANGE(""https://docs.google.com/spreadsheets/d/1Gpl6jkTg7sL4VDNimUm3S9Vi1i95esohXCF3wuKOE8c"", ""'CONSOLIDADO'!G5:AB""), 10, 0) &lt;&gt; 0, 
IFERROR(VLOOKUP($G32,IMPORTRANGE(""https://docs.google.com/spreadsheets/d/1Gpl6jkTg7sL4VDNimUm3"&amp;"S9Vi1i95esohXCF3wuKOE8c"", ""'CONSOLIDADO'!G5:AB""), 19, 0), ""-""),
""""
)"),"https://www.bosch-professional.com/pe/es/products/gsb-12v-30-06019G91E0")</f>
        <v>https://www.bosch-professional.com/pe/es/products/gsb-12v-30-06019G91E0</v>
      </c>
      <c r="W32" s="37" t="str">
        <f>IFERROR(__xludf.DUMMYFUNCTION("IFERROR(VLOOKUP(G32,IMPORTRANGE(""https://docs.google.com/spreadsheets/d/12RxCea4e5ggM7QGn1XE3FbLQa_-QbCNdBi90OdPjRqg"", ""'Plan de Compras'!D4:Q""), 12, 0), ""NO ESTÁ EN REQ"")"),"Técnica")</f>
        <v>Técnica</v>
      </c>
      <c r="X32" s="37" t="str">
        <f>IFERROR(__xludf.DUMMYFUNCTION("IFERROR(VLOOKUP(G32,IMPORTRANGE(""https://docs.google.com/spreadsheets/d/12RxCea4e5ggM7QGn1XE3FbLQa_-QbCNdBi90OdPjRqg"", ""'Plan de Compras'!D4:Q""), 13, 0), """")"),"NACIONAL")</f>
        <v>NACIONAL</v>
      </c>
      <c r="Y32" s="32" t="str">
        <f>IFERROR(__xludf.DUMMYFUNCTION("IFERROR(VLOOKUP(G32,IMPORTRANGE(""https://docs.google.com/spreadsheets/d/12RxCea4e5ggM7QGn1XE3FbLQa_-QbCNdBi90OdPjRqg"", ""'Plan de Compras'!D4:Q""), 14, 0), """")"),"DIANA")</f>
        <v>DIANA</v>
      </c>
      <c r="Z32" s="38" t="str">
        <f>IFERROR(__xludf.DUMMYFUNCTION("IFERROR(VLOOKUP(G32,IMPORTRANGE(""https://docs.google.com/spreadsheets/d/12RxCea4e5ggM7QGn1XE3FbLQa_-QbCNdBi90OdPjRqg"", ""'Plan de Compras'!D4:Q""), 4, 0), """")"),"ATORNILLADOR PORTÁTIL")</f>
        <v>ATORNILLADOR PORTÁTIL</v>
      </c>
      <c r="AA32" s="38" t="str">
        <f t="shared" si="7"/>
        <v>TRUE</v>
      </c>
      <c r="AB32" s="37" t="str">
        <f>IFERROR(__xludf.DUMMYFUNCTION("IFERROR(IF(OR(C32=TRUE,C32=""""),VLOOKUP(G32,IMPORTRANGE(""https://docs.google.com/spreadsheets/d/1z9A1Wq-kKrhRNG5RS2a2fKpY1wIhSVz2ZNmP2mOl588/edit?usp=sharing"",""REQ VF!E4:H""),4,0),""NO APLICA""),""GENERAR REQ"")"),"GENERAR REQ")</f>
        <v>GENERAR REQ</v>
      </c>
      <c r="AC32" s="37" t="str">
        <f>IFERROR(__xludf.DUMMYFUNCTION("IFERROR(QUERY(IMPORTRANGE(""https://docs.google.com/spreadsheets/d/1z9A1Wq-kKrhRNG5RS2a2fKpY1wIhSVz2ZNmP2mOl588/edit?usp=sharing"",""REQ VF!E4:Q""),""SELECT Col10, Col11, Col12 WHERE Col1 = '""&amp;G32&amp;""'"",0),""NO APLICA"")"),"NO APLICA")</f>
        <v>NO APLICA</v>
      </c>
      <c r="AD32" s="37"/>
      <c r="AE32" s="37"/>
      <c r="AF32" s="8" t="s">
        <v>52</v>
      </c>
      <c r="AG32" s="13"/>
    </row>
    <row r="33">
      <c r="A33" s="26"/>
      <c r="B33" s="26"/>
      <c r="C33" s="26" t="b">
        <v>1</v>
      </c>
      <c r="D33" s="26" t="s">
        <v>42</v>
      </c>
      <c r="E33" s="26" t="s">
        <v>36</v>
      </c>
      <c r="F33" s="27" t="s">
        <v>144</v>
      </c>
      <c r="G33" s="39" t="s">
        <v>147</v>
      </c>
      <c r="H33" s="40" t="s">
        <v>148</v>
      </c>
      <c r="I33" s="43">
        <f>$I$32</f>
        <v>3</v>
      </c>
      <c r="J33" s="26">
        <f>IFERROR(__xludf.DUMMYFUNCTION("VLOOKUP(G33,IMPORTRANGE(""https://docs.google.com/spreadsheets/d/12RxCea4e5ggM7QGn1XE3FbLQa_-QbCNdBi90OdPjRqg/edit?gid=1692403370#gid=1692403370"", ""'Plan de Compras'!D4:2432""), 8,0)"),3.0)</f>
        <v>3</v>
      </c>
      <c r="K33" s="26" t="str">
        <f t="shared" si="1"/>
        <v>SI</v>
      </c>
      <c r="L33" s="26"/>
      <c r="M33" s="41"/>
      <c r="N33" s="26" t="s">
        <v>149</v>
      </c>
      <c r="O33" s="42"/>
      <c r="P33" s="42"/>
      <c r="Q33" s="55" t="s">
        <v>150</v>
      </c>
      <c r="R33" s="41"/>
      <c r="S33" s="34" t="b">
        <v>1</v>
      </c>
      <c r="T33" s="35" t="s">
        <v>111</v>
      </c>
      <c r="U33" s="35" t="s">
        <v>151</v>
      </c>
      <c r="V33" s="58" t="s">
        <v>152</v>
      </c>
      <c r="W33" s="37" t="str">
        <f>IFERROR(__xludf.DUMMYFUNCTION("IFERROR(VLOOKUP(G33,IMPORTRANGE(""https://docs.google.com/spreadsheets/d/12RxCea4e5ggM7QGn1XE3FbLQa_-QbCNdBi90OdPjRqg"", ""'Plan de Compras'!D4:Q""), 12, 0), ""NO ESTÁ EN REQ"")"),"Simple")</f>
        <v>Simple</v>
      </c>
      <c r="X33" s="37" t="str">
        <f>IFERROR(__xludf.DUMMYFUNCTION("IFERROR(VLOOKUP(G33,IMPORTRANGE(""https://docs.google.com/spreadsheets/d/12RxCea4e5ggM7QGn1XE3FbLQa_-QbCNdBi90OdPjRqg"", ""'Plan de Compras'!D4:Q""), 13, 0), """")"),"NACIONAL")</f>
        <v>NACIONAL</v>
      </c>
      <c r="Y33" s="32" t="str">
        <f>IFERROR(__xludf.DUMMYFUNCTION("IFERROR(VLOOKUP(G33,IMPORTRANGE(""https://docs.google.com/spreadsheets/d/12RxCea4e5ggM7QGn1XE3FbLQa_-QbCNdBi90OdPjRqg"", ""'Plan de Compras'!D4:Q""), 14, 0), """")"),"DIANA")</f>
        <v>DIANA</v>
      </c>
      <c r="Z33" s="38" t="str">
        <f>IFERROR(__xludf.DUMMYFUNCTION("IFERROR(VLOOKUP(G33,IMPORTRANGE(""https://docs.google.com/spreadsheets/d/12RxCea4e5ggM7QGn1XE3FbLQa_-QbCNdBi90OdPjRqg"", ""'Plan de Compras'!D4:Q""), 4, 0), """")"),"SET DE PUNTAS PARA ATORNILLAR (1 UND)")</f>
        <v>SET DE PUNTAS PARA ATORNILLAR (1 UND)</v>
      </c>
      <c r="AA33" s="38" t="str">
        <f t="shared" si="7"/>
        <v>TRUE</v>
      </c>
      <c r="AB33" s="37" t="str">
        <f>IFERROR(__xludf.DUMMYFUNCTION("IFERROR(IF(OR(C33=TRUE,C33=""""),VLOOKUP(G33,IMPORTRANGE(""https://docs.google.com/spreadsheets/d/1z9A1Wq-kKrhRNG5RS2a2fKpY1wIhSVz2ZNmP2mOl588/edit?usp=sharing"",""REQ VF!E4:H""),4,0),""NO APLICA""),""GENERAR REQ"")"),"GENERAR REQ")</f>
        <v>GENERAR REQ</v>
      </c>
      <c r="AC33" s="37" t="str">
        <f>IFERROR(__xludf.DUMMYFUNCTION("IFERROR(QUERY(IMPORTRANGE(""https://docs.google.com/spreadsheets/d/1z9A1Wq-kKrhRNG5RS2a2fKpY1wIhSVz2ZNmP2mOl588/edit?usp=sharing"",""REQ VF!E4:Q""),""SELECT Col10, Col11, Col12 WHERE Col1 = '""&amp;G33&amp;""'"",0),""NO APLICA"")"),"NO APLICA")</f>
        <v>NO APLICA</v>
      </c>
      <c r="AD33" s="37"/>
      <c r="AE33" s="37"/>
      <c r="AF33" s="8"/>
      <c r="AG33" s="13"/>
    </row>
    <row r="34">
      <c r="A34" s="26">
        <v>12.0</v>
      </c>
      <c r="B34" s="26" t="b">
        <v>1</v>
      </c>
      <c r="C34" s="26" t="b">
        <v>1</v>
      </c>
      <c r="D34" s="26" t="s">
        <v>35</v>
      </c>
      <c r="E34" s="26" t="s">
        <v>36</v>
      </c>
      <c r="F34" s="27" t="s">
        <v>153</v>
      </c>
      <c r="G34" s="37" t="s">
        <v>153</v>
      </c>
      <c r="H34" s="45" t="s">
        <v>154</v>
      </c>
      <c r="I34" s="26">
        <f>SUMIFS('Hoja 10'!$O:$O,'Hoja 10'!$F:$F,$G34)</f>
        <v>4</v>
      </c>
      <c r="J34" s="26">
        <f>IFERROR(__xludf.DUMMYFUNCTION("VLOOKUP(G34,IMPORTRANGE(""https://docs.google.com/spreadsheets/d/12RxCea4e5ggM7QGn1XE3FbLQa_-QbCNdBi90OdPjRqg/edit?gid=1692403370#gid=1692403370"", ""'Plan de Compras'!D4:2432""), 8,0)"),4.0)</f>
        <v>4</v>
      </c>
      <c r="K34" s="26" t="str">
        <f t="shared" si="1"/>
        <v>SI</v>
      </c>
      <c r="L34" s="29" t="s">
        <v>39</v>
      </c>
      <c r="M34" s="30" t="s">
        <v>40</v>
      </c>
      <c r="N34" s="42"/>
      <c r="O34" s="32" t="str">
        <f>VLOOKUP($G34,'Hoja 10'!$F$4:$AA478, 19,0)</f>
        <v>JAMPAR</v>
      </c>
      <c r="P34" s="32" t="str">
        <f>VLOOKUP($G34,'Hoja 10'!$F$4:$AA478, 20,0)</f>
        <v>FSF-18LDJ</v>
      </c>
      <c r="Q34" s="33" t="str">
        <f>VLOOKUP($G34,'Hoja 10'!$F$4:$AA478, 21,0)</f>
        <v>https://www.appsheet.com/template/gettablefileurl?appName=APPDISTRIBUIDORES-2753577&amp;tableName=RECURSOS&amp;fileName=RECURSOS_Files_%2F186040010.DOC_INSERTO_SAP.140232.pdf</v>
      </c>
      <c r="R34" s="30" t="s">
        <v>155</v>
      </c>
      <c r="S34" s="34" t="b">
        <v>1</v>
      </c>
      <c r="T34" s="35" t="str">
        <f>IFERROR(__xludf.DUMMYFUNCTION(" IF
( VLOOKUP($G34,IMPORTRANGE(""https://docs.google.com/spreadsheets/d/1Gpl6jkTg7sL4VDNimUm3S9Vi1i95esohXCF3wuKOE8c"", ""'CONSOLIDADO'!G5:AB""), 10, 0) &lt;&gt; 0, 
IFERROR(VLOOKUP($G34,IMPORTRANGE(""https://docs.google.com/spreadsheets/d/1Gpl6jkTg7sL4VDNimUm3"&amp;"S9Vi1i95esohXCF3wuKOE8c"", ""'CONSOLIDADO'!G5:AB""), 17, 0), ""-""),
""""
)"),"KELING")</f>
        <v>KELING</v>
      </c>
      <c r="U34" s="35" t="str">
        <f>IFERROR(__xludf.DUMMYFUNCTION(" IF
( VLOOKUP($G34,IMPORTRANGE(""https://docs.google.com/spreadsheets/d/1Gpl6jkTg7sL4VDNimUm3S9Vi1i95esohXCF3wuKOE8c"", ""'CONSOLIDADO'!G5:AB""), 10, 0) &lt;&gt; 0, 
IFERROR(VLOOKUP($G34,IMPORTRANGE(""https://docs.google.com/spreadsheets/d/1Gpl6jkTg7sL4VDNimUm3"&amp;"S9Vi1i95esohXCF3wuKOE8c"", ""'CONSOLIDADO'!G5:AB""), 18, 0), ""-""),
""""
)"),"YX-18HDD")</f>
        <v>YX-18HDD</v>
      </c>
      <c r="V34" s="36" t="str">
        <f>IFERROR(__xludf.DUMMYFUNCTION(" IF
( VLOOKUP($G34,IMPORTRANGE(""https://docs.google.com/spreadsheets/d/1Gpl6jkTg7sL4VDNimUm3S9Vi1i95esohXCF3wuKOE8c"", ""'CONSOLIDADO'!G5:AB""), 10, 0) &lt;&gt; 0, 
IFERROR(VLOOKUP($G34,IMPORTRANGE(""https://docs.google.com/spreadsheets/d/1Gpl6jkTg7sL4VDNimUm3"&amp;"S9Vi1i95esohXCF3wuKOE8c"", ""'CONSOLIDADO'!G5:AB""), 19, 0), ""-""),
""""
)"),"https://drive.google.com/file/d/1U_uJU9R50XlPQgpfVCk9PcUTLsSI2Cdj/view?usp=drive_link")</f>
        <v>https://drive.google.com/file/d/1U_uJU9R50XlPQgpfVCk9PcUTLsSI2Cdj/view?usp=drive_link</v>
      </c>
      <c r="W34" s="37" t="str">
        <f>IFERROR(__xludf.DUMMYFUNCTION("IFERROR(VLOOKUP(G34,IMPORTRANGE(""https://docs.google.com/spreadsheets/d/12RxCea4e5ggM7QGn1XE3FbLQa_-QbCNdBi90OdPjRqg"", ""'Plan de Compras'!D4:Q""), 12, 0), ""NO ESTÁ EN REQ"")"),"Técnica")</f>
        <v>Técnica</v>
      </c>
      <c r="X34" s="37" t="str">
        <f>IFERROR(__xludf.DUMMYFUNCTION("IFERROR(VLOOKUP(G34,IMPORTRANGE(""https://docs.google.com/spreadsheets/d/12RxCea4e5ggM7QGn1XE3FbLQa_-QbCNdBi90OdPjRqg"", ""'Plan de Compras'!D4:Q""), 13, 0), """")"),"NACIONAL")</f>
        <v>NACIONAL</v>
      </c>
      <c r="Y34" s="32" t="str">
        <f>IFERROR(__xludf.DUMMYFUNCTION("IFERROR(VLOOKUP(G34,IMPORTRANGE(""https://docs.google.com/spreadsheets/d/12RxCea4e5ggM7QGn1XE3FbLQa_-QbCNdBi90OdPjRqg"", ""'Plan de Compras'!D4:Q""), 14, 0), """")"),"ALFIO")</f>
        <v>ALFIO</v>
      </c>
      <c r="Z34" s="38" t="str">
        <f>IFERROR(__xludf.DUMMYFUNCTION("IFERROR(VLOOKUP(G34,IMPORTRANGE(""https://docs.google.com/spreadsheets/d/12RxCea4e5ggM7QGn1XE3FbLQa_-QbCNdBi90OdPjRqg"", ""'Plan de Compras'!D4:Q""), 4, 0), """")"),"AUTOCLAVE 18 LITROS (ESTERILIZACIÓN)")</f>
        <v>AUTOCLAVE 18 LITROS (ESTERILIZACIÓN)</v>
      </c>
      <c r="AA34" s="38" t="str">
        <f t="shared" si="7"/>
        <v>TRUE</v>
      </c>
      <c r="AB34" s="37" t="str">
        <f>IFERROR(__xludf.DUMMYFUNCTION("IFERROR(IF(OR(C34=TRUE,C34=""""),VLOOKUP(G34,IMPORTRANGE(""https://docs.google.com/spreadsheets/d/1z9A1Wq-kKrhRNG5RS2a2fKpY1wIhSVz2ZNmP2mOl588/edit?usp=sharing"",""REQ VF!E4:H""),4,0),""NO APLICA""),""GENERAR REQ"")"),"GENERAR REQ")</f>
        <v>GENERAR REQ</v>
      </c>
      <c r="AC34" s="37" t="str">
        <f>IFERROR(__xludf.DUMMYFUNCTION("IFERROR(QUERY(IMPORTRANGE(""https://docs.google.com/spreadsheets/d/1z9A1Wq-kKrhRNG5RS2a2fKpY1wIhSVz2ZNmP2mOl588/edit?usp=sharing"",""REQ VF!E4:Q""),""SELECT Col10, Col11, Col12 WHERE Col1 = '""&amp;G34&amp;""'"",0),""NO APLICA"")"),"NO APLICA")</f>
        <v>NO APLICA</v>
      </c>
      <c r="AD34" s="37"/>
      <c r="AE34" s="37"/>
      <c r="AF34" s="8" t="s">
        <v>52</v>
      </c>
      <c r="AG34" s="13"/>
    </row>
    <row r="35">
      <c r="A35" s="26"/>
      <c r="B35" s="26"/>
      <c r="C35" s="26" t="b">
        <v>1</v>
      </c>
      <c r="D35" s="26" t="s">
        <v>42</v>
      </c>
      <c r="E35" s="26" t="s">
        <v>36</v>
      </c>
      <c r="F35" s="27" t="s">
        <v>153</v>
      </c>
      <c r="G35" s="39" t="s">
        <v>156</v>
      </c>
      <c r="H35" s="40" t="s">
        <v>44</v>
      </c>
      <c r="I35" s="43">
        <f>$I$34</f>
        <v>4</v>
      </c>
      <c r="J35" s="26">
        <f>IFERROR(__xludf.DUMMYFUNCTION("VLOOKUP(G35,IMPORTRANGE(""https://docs.google.com/spreadsheets/d/12RxCea4e5ggM7QGn1XE3FbLQa_-QbCNdBi90OdPjRqg/edit?gid=1692403370#gid=1692403370"", ""'Plan de Compras'!D4:2432""), 8,0)"),4.0)</f>
        <v>4</v>
      </c>
      <c r="K35" s="26" t="str">
        <f t="shared" si="1"/>
        <v>SI</v>
      </c>
      <c r="L35" s="26"/>
      <c r="M35" s="41"/>
      <c r="N35" s="26" t="s">
        <v>45</v>
      </c>
      <c r="O35" s="42"/>
      <c r="P35" s="26" t="s">
        <v>157</v>
      </c>
      <c r="Q35" s="41"/>
      <c r="R35" s="41"/>
      <c r="S35" s="34" t="b">
        <v>1</v>
      </c>
      <c r="T35" s="35" t="s">
        <v>47</v>
      </c>
      <c r="U35" s="43" t="s">
        <v>158</v>
      </c>
      <c r="V35" s="44"/>
      <c r="W35" s="37" t="str">
        <f>IFERROR(__xludf.DUMMYFUNCTION("IFERROR(VLOOKUP(G35,IMPORTRANGE(""https://docs.google.com/spreadsheets/d/12RxCea4e5ggM7QGn1XE3FbLQa_-QbCNdBi90OdPjRqg"", ""'Plan de Compras'!D4:Q""), 12, 0), ""NO ESTÁ EN REQ"")"),"Simple")</f>
        <v>Simple</v>
      </c>
      <c r="X35" s="37" t="str">
        <f>IFERROR(__xludf.DUMMYFUNCTION("IFERROR(VLOOKUP(G35,IMPORTRANGE(""https://docs.google.com/spreadsheets/d/12RxCea4e5ggM7QGn1XE3FbLQa_-QbCNdBi90OdPjRqg"", ""'Plan de Compras'!D4:Q""), 13, 0), """")"),"NACIONAL")</f>
        <v>NACIONAL</v>
      </c>
      <c r="Y35" s="32" t="str">
        <f>IFERROR(__xludf.DUMMYFUNCTION("IFERROR(VLOOKUP(G35,IMPORTRANGE(""https://docs.google.com/spreadsheets/d/12RxCea4e5ggM7QGn1XE3FbLQa_-QbCNdBi90OdPjRqg"", ""'Plan de Compras'!D4:Q""), 14, 0), """")"),"ANGIE")</f>
        <v>ANGIE</v>
      </c>
      <c r="Z35" s="38" t="str">
        <f>IFERROR(__xludf.DUMMYFUNCTION("IFERROR(VLOOKUP(G35,IMPORTRANGE(""https://docs.google.com/spreadsheets/d/12RxCea4e5ggM7QGn1XE3FbLQa_-QbCNdBi90OdPjRqg"", ""'Plan de Compras'!D4:Q""), 4, 0), """")"),"FUNDA IMPERMEABLE (1 UND)")</f>
        <v>FUNDA IMPERMEABLE (1 UND)</v>
      </c>
      <c r="AA35" s="38" t="str">
        <f t="shared" si="7"/>
        <v>TRUE</v>
      </c>
      <c r="AB35" s="37" t="str">
        <f>IFERROR(__xludf.DUMMYFUNCTION("IFERROR(IF(OR(C35=TRUE,C35=""""),VLOOKUP(G35,IMPORTRANGE(""https://docs.google.com/spreadsheets/d/1z9A1Wq-kKrhRNG5RS2a2fKpY1wIhSVz2ZNmP2mOl588/edit?usp=sharing"",""REQ VF!E4:H""),4,0),""NO APLICA""),""GENERAR REQ"")"),"GENERAR REQ")</f>
        <v>GENERAR REQ</v>
      </c>
      <c r="AC35" s="37" t="str">
        <f>IFERROR(__xludf.DUMMYFUNCTION("IFERROR(QUERY(IMPORTRANGE(""https://docs.google.com/spreadsheets/d/1z9A1Wq-kKrhRNG5RS2a2fKpY1wIhSVz2ZNmP2mOl588/edit?usp=sharing"",""REQ VF!E4:Q""),""SELECT Col10, Col11, Col12 WHERE Col1 = '""&amp;G35&amp;""'"",0),""NO APLICA"")"),"NO APLICA")</f>
        <v>NO APLICA</v>
      </c>
      <c r="AD35" s="37"/>
      <c r="AE35" s="37"/>
      <c r="AF35" s="13"/>
      <c r="AG35" s="13"/>
    </row>
    <row r="36">
      <c r="A36" s="26">
        <v>13.0</v>
      </c>
      <c r="B36" s="26" t="b">
        <v>1</v>
      </c>
      <c r="C36" s="26" t="b">
        <v>1</v>
      </c>
      <c r="D36" s="26" t="s">
        <v>35</v>
      </c>
      <c r="E36" s="26" t="s">
        <v>36</v>
      </c>
      <c r="F36" s="27" t="s">
        <v>159</v>
      </c>
      <c r="G36" s="37" t="s">
        <v>159</v>
      </c>
      <c r="H36" s="45" t="s">
        <v>160</v>
      </c>
      <c r="I36" s="26">
        <f>SUMIFS('Hoja 10'!$O:$O,'Hoja 10'!$F:$F,$G36)</f>
        <v>1</v>
      </c>
      <c r="J36" s="26">
        <f>IFERROR(__xludf.DUMMYFUNCTION("VLOOKUP(G36,IMPORTRANGE(""https://docs.google.com/spreadsheets/d/12RxCea4e5ggM7QGn1XE3FbLQa_-QbCNdBi90OdPjRqg/edit?gid=1692403370#gid=1692403370"", ""'Plan de Compras'!D4:2432""), 8,0)"),1.0)</f>
        <v>1</v>
      </c>
      <c r="K36" s="26" t="str">
        <f t="shared" si="1"/>
        <v>SI</v>
      </c>
      <c r="L36" s="29" t="s">
        <v>77</v>
      </c>
      <c r="M36" s="30" t="s">
        <v>78</v>
      </c>
      <c r="N36" s="26"/>
      <c r="O36" s="32" t="str">
        <f>VLOOKUP($G36,'Hoja 10'!$F$4:$AA478, 19,0)</f>
        <v>SINMAG</v>
      </c>
      <c r="P36" s="32" t="str">
        <f>VLOOKUP($G36,'Hoja 10'!$F$4:$AA478, 20,0)</f>
        <v>SM-401</v>
      </c>
      <c r="Q36" s="33" t="str">
        <f>VLOOKUP($G36,'Hoja 10'!$F$4:$AA478, 21,0)</f>
        <v>https://www.sinmag.com/en/prodetails/136/511.html</v>
      </c>
      <c r="R36" s="30" t="s">
        <v>161</v>
      </c>
      <c r="S36" s="34" t="b">
        <v>1</v>
      </c>
      <c r="T36" s="35" t="str">
        <f>IFERROR(__xludf.DUMMYFUNCTION(" IF
( VLOOKUP($G36,IMPORTRANGE(""https://docs.google.com/spreadsheets/d/1Gpl6jkTg7sL4VDNimUm3S9Vi1i95esohXCF3wuKOE8c"", ""'CONSOLIDADO'!G5:AB""), 10, 0) &lt;&gt; 0, 
IFERROR(VLOOKUP($G36,IMPORTRANGE(""https://docs.google.com/spreadsheets/d/1Gpl6jkTg7sL4VDNimUm3"&amp;"S9Vi1i95esohXCF3wuKOE8c"", ""'CONSOLIDADO'!G5:AB""), 17, 0), ""-""),
""""
)"),"SINMAG")</f>
        <v>SINMAG</v>
      </c>
      <c r="U36" s="35" t="str">
        <f>IFERROR(__xludf.DUMMYFUNCTION(" IF
( VLOOKUP($G36,IMPORTRANGE(""https://docs.google.com/spreadsheets/d/1Gpl6jkTg7sL4VDNimUm3S9Vi1i95esohXCF3wuKOE8c"", ""'CONSOLIDADO'!G5:AB""), 10, 0) &lt;&gt; 0, 
IFERROR(VLOOKUP($G36,IMPORTRANGE(""https://docs.google.com/spreadsheets/d/1Gpl6jkTg7sL4VDNimUm3"&amp;"S9Vi1i95esohXCF3wuKOE8c"", ""'CONSOLIDADO'!G5:AB""), 18, 0), ""-""),
""""
)"),"SM - 401")</f>
        <v>SM - 401</v>
      </c>
      <c r="V36" s="36" t="str">
        <f>IFERROR(__xludf.DUMMYFUNCTION(" IF
( VLOOKUP($G36,IMPORTRANGE(""https://docs.google.com/spreadsheets/d/1Gpl6jkTg7sL4VDNimUm3S9Vi1i95esohXCF3wuKOE8c"", ""'CONSOLIDADO'!G5:AB""), 10, 0) &lt;&gt; 0, 
IFERROR(VLOOKUP($G36,IMPORTRANGE(""https://docs.google.com/spreadsheets/d/1Gpl6jkTg7sL4VDNimUm3"&amp;"S9Vi1i95esohXCF3wuKOE8c"", ""'CONSOLIDADO'!G5:AB""), 19, 0), ""-""),
""""
)"),"https://www.sinmag.com/en/prodetails/136/511.html")</f>
        <v>https://www.sinmag.com/en/prodetails/136/511.html</v>
      </c>
      <c r="W36" s="37" t="str">
        <f>IFERROR(__xludf.DUMMYFUNCTION("IFERROR(VLOOKUP(G36,IMPORTRANGE(""https://docs.google.com/spreadsheets/d/12RxCea4e5ggM7QGn1XE3FbLQa_-QbCNdBi90OdPjRqg"", ""'Plan de Compras'!D4:Q""), 12, 0), ""NO ESTÁ EN REQ"")"),"Técnica")</f>
        <v>Técnica</v>
      </c>
      <c r="X36" s="37" t="str">
        <f>IFERROR(__xludf.DUMMYFUNCTION("IFERROR(VLOOKUP(G36,IMPORTRANGE(""https://docs.google.com/spreadsheets/d/12RxCea4e5ggM7QGn1XE3FbLQa_-QbCNdBi90OdPjRqg"", ""'Plan de Compras'!D4:Q""), 13, 0), """")"),"NACIONAL")</f>
        <v>NACIONAL</v>
      </c>
      <c r="Y36" s="32" t="str">
        <f>IFERROR(__xludf.DUMMYFUNCTION("IFERROR(VLOOKUP(G36,IMPORTRANGE(""https://docs.google.com/spreadsheets/d/12RxCea4e5ggM7QGn1XE3FbLQa_-QbCNdBi90OdPjRqg"", ""'Plan de Compras'!D4:Q""), 14, 0), """")"),"GEANFRANCO")</f>
        <v>GEANFRANCO</v>
      </c>
      <c r="Z36" s="38" t="str">
        <f>IFERROR(__xludf.DUMMYFUNCTION("IFERROR(VLOOKUP(G36,IMPORTRANGE(""https://docs.google.com/spreadsheets/d/12RxCea4e5ggM7QGn1XE3FbLQa_-QbCNdBi90OdPjRqg"", ""'Plan de Compras'!D4:Q""), 4, 0), """")"),"BATIDORA")</f>
        <v>BATIDORA</v>
      </c>
      <c r="AA36" s="38" t="str">
        <f t="shared" si="7"/>
        <v>TRUE</v>
      </c>
      <c r="AB36" s="37" t="str">
        <f>IFERROR(__xludf.DUMMYFUNCTION("IFERROR(IF(OR(C36=TRUE,C36=""""),VLOOKUP(G36,IMPORTRANGE(""https://docs.google.com/spreadsheets/d/1z9A1Wq-kKrhRNG5RS2a2fKpY1wIhSVz2ZNmP2mOl588/edit?usp=sharing"",""REQ VF!E4:H""),4,0),""NO APLICA""),""GENERAR REQ"")"),"GENERAR REQ")</f>
        <v>GENERAR REQ</v>
      </c>
      <c r="AC36" s="37" t="str">
        <f>IFERROR(__xludf.DUMMYFUNCTION("IFERROR(QUERY(IMPORTRANGE(""https://docs.google.com/spreadsheets/d/1z9A1Wq-kKrhRNG5RS2a2fKpY1wIhSVz2ZNmP2mOl588/edit?usp=sharing"",""REQ VF!E4:Q""),""SELECT Col10, Col11, Col12 WHERE Col1 = '""&amp;G36&amp;""'"",0),""NO APLICA"")"),"NO APLICA")</f>
        <v>NO APLICA</v>
      </c>
      <c r="AD36" s="37"/>
      <c r="AE36" s="37"/>
      <c r="AF36" s="8" t="s">
        <v>52</v>
      </c>
      <c r="AG36" s="13"/>
    </row>
    <row r="37">
      <c r="A37" s="26">
        <v>14.0</v>
      </c>
      <c r="B37" s="26" t="b">
        <v>1</v>
      </c>
      <c r="C37" s="26" t="b">
        <v>1</v>
      </c>
      <c r="D37" s="26" t="s">
        <v>35</v>
      </c>
      <c r="E37" s="26" t="s">
        <v>36</v>
      </c>
      <c r="F37" s="27" t="s">
        <v>162</v>
      </c>
      <c r="G37" s="37" t="s">
        <v>162</v>
      </c>
      <c r="H37" s="45" t="s">
        <v>163</v>
      </c>
      <c r="I37" s="26">
        <f>SUMIFS('Hoja 10'!$O:$O,'Hoja 10'!$F:$F,$G37)</f>
        <v>4</v>
      </c>
      <c r="J37" s="26">
        <f>IFERROR(__xludf.DUMMYFUNCTION("VLOOKUP(G37,IMPORTRANGE(""https://docs.google.com/spreadsheets/d/12RxCea4e5ggM7QGn1XE3FbLQa_-QbCNdBi90OdPjRqg/edit?gid=1692403370#gid=1692403370"", ""'Plan de Compras'!D4:2432""), 8,0)"),4.0)</f>
        <v>4</v>
      </c>
      <c r="K37" s="26" t="str">
        <f t="shared" si="1"/>
        <v>SI</v>
      </c>
      <c r="L37" s="29" t="s">
        <v>39</v>
      </c>
      <c r="M37" s="30" t="s">
        <v>40</v>
      </c>
      <c r="N37" s="26"/>
      <c r="O37" s="32" t="str">
        <f>VLOOKUP($G37,'Hoja 10'!$F$4:$AA478, 19,0)</f>
        <v>VIKALE</v>
      </c>
      <c r="P37" s="32" t="str">
        <f>VLOOKUP($G37,'Hoja 10'!$F$4:$AA478, 20,0)</f>
        <v>B5HH-983</v>
      </c>
      <c r="Q37" s="33" t="str">
        <f>VLOOKUP($G37,'Hoja 10'!$F$4:$AA478, 21,0)</f>
        <v>https://www.maquinaelectroperu.com/vikale-b5hh-983/vikale-b5hh-983/</v>
      </c>
      <c r="R37" s="30" t="s">
        <v>164</v>
      </c>
      <c r="S37" s="34" t="b">
        <v>1</v>
      </c>
      <c r="T37" s="35" t="str">
        <f>IFERROR(__xludf.DUMMYFUNCTION(" IF
( VLOOKUP($G37,IMPORTRANGE(""https://docs.google.com/spreadsheets/d/1Gpl6jkTg7sL4VDNimUm3S9Vi1i95esohXCF3wuKOE8c"", ""'CONSOLIDADO'!G5:AB""), 10, 0) &lt;&gt; 0, 
IFERROR(VLOOKUP($G37,IMPORTRANGE(""https://docs.google.com/spreadsheets/d/1Gpl6jkTg7sL4VDNimUm3"&amp;"S9Vi1i95esohXCF3wuKOE8c"", ""'CONSOLIDADO'!G5:AB""), 17, 0), ""-""),
""""
)"),"VIKALE")</f>
        <v>VIKALE</v>
      </c>
      <c r="U37" s="35" t="str">
        <f>IFERROR(__xludf.DUMMYFUNCTION(" IF
( VLOOKUP($G37,IMPORTRANGE(""https://docs.google.com/spreadsheets/d/1Gpl6jkTg7sL4VDNimUm3S9Vi1i95esohXCF3wuKOE8c"", ""'CONSOLIDADO'!G5:AB""), 10, 0) &lt;&gt; 0, 
IFERROR(VLOOKUP($G37,IMPORTRANGE(""https://docs.google.com/spreadsheets/d/1Gpl6jkTg7sL4VDNimUm3"&amp;"S9Vi1i95esohXCF3wuKOE8c"", ""'CONSOLIDADO'!G5:AB""), 18, 0), ""-""),
""""
)"),"B5HH-983")</f>
        <v>B5HH-983</v>
      </c>
      <c r="V37" s="36" t="str">
        <f>IFERROR(__xludf.DUMMYFUNCTION(" IF
( VLOOKUP($G37,IMPORTRANGE(""https://docs.google.com/spreadsheets/d/1Gpl6jkTg7sL4VDNimUm3S9Vi1i95esohXCF3wuKOE8c"", ""'CONSOLIDADO'!G5:AB""), 10, 0) &lt;&gt; 0, 
IFERROR(VLOOKUP($G37,IMPORTRANGE(""https://docs.google.com/spreadsheets/d/1Gpl6jkTg7sL4VDNimUm3"&amp;"S9Vi1i95esohXCF3wuKOE8c"", ""'CONSOLIDADO'!G5:AB""), 19, 0), ""-""),
""""
)"),"https://www.maquinaelectroperu.com/vikale-b5hh-983/vikale-b5hh-983/")</f>
        <v>https://www.maquinaelectroperu.com/vikale-b5hh-983/vikale-b5hh-983/</v>
      </c>
      <c r="W37" s="37" t="str">
        <f>IFERROR(__xludf.DUMMYFUNCTION("IFERROR(VLOOKUP(G37,IMPORTRANGE(""https://docs.google.com/spreadsheets/d/12RxCea4e5ggM7QGn1XE3FbLQa_-QbCNdBi90OdPjRqg"", ""'Plan de Compras'!D4:Q""), 12, 0), ""NO ESTÁ EN REQ"")"),"Técnica")</f>
        <v>Técnica</v>
      </c>
      <c r="X37" s="37" t="str">
        <f>IFERROR(__xludf.DUMMYFUNCTION("IFERROR(VLOOKUP(G37,IMPORTRANGE(""https://docs.google.com/spreadsheets/d/12RxCea4e5ggM7QGn1XE3FbLQa_-QbCNdBi90OdPjRqg"", ""'Plan de Compras'!D4:Q""), 13, 0), """")"),"NACIONAL")</f>
        <v>NACIONAL</v>
      </c>
      <c r="Y37" s="32" t="str">
        <f>IFERROR(__xludf.DUMMYFUNCTION("IFERROR(VLOOKUP(G37,IMPORTRANGE(""https://docs.google.com/spreadsheets/d/12RxCea4e5ggM7QGn1XE3FbLQa_-QbCNdBi90OdPjRqg"", ""'Plan de Compras'!D4:Q""), 14, 0), """")"),"DIANA")</f>
        <v>DIANA</v>
      </c>
      <c r="Z37" s="38" t="str">
        <f>IFERROR(__xludf.DUMMYFUNCTION("IFERROR(VLOOKUP(G37,IMPORTRANGE(""https://docs.google.com/spreadsheets/d/12RxCea4e5ggM7QGn1XE3FbLQa_-QbCNdBi90OdPjRqg"", ""'Plan de Compras'!D4:Q""), 4, 0), """")"),"BATIDORA AMASADORA MEZCLADORA 5 LT")</f>
        <v>BATIDORA AMASADORA MEZCLADORA 5 LT</v>
      </c>
      <c r="AA37" s="38" t="str">
        <f t="shared" si="7"/>
        <v>TRUE</v>
      </c>
      <c r="AB37" s="37" t="str">
        <f>IFERROR(__xludf.DUMMYFUNCTION("IFERROR(IF(OR(C37=TRUE,C37=""""),VLOOKUP(G37,IMPORTRANGE(""https://docs.google.com/spreadsheets/d/1z9A1Wq-kKrhRNG5RS2a2fKpY1wIhSVz2ZNmP2mOl588/edit?usp=sharing"",""REQ VF!E4:H""),4,0),""NO APLICA""),""GENERAR REQ"")"),"GENERAR REQ")</f>
        <v>GENERAR REQ</v>
      </c>
      <c r="AC37" s="37" t="str">
        <f>IFERROR(__xludf.DUMMYFUNCTION("IFERROR(QUERY(IMPORTRANGE(""https://docs.google.com/spreadsheets/d/1z9A1Wq-kKrhRNG5RS2a2fKpY1wIhSVz2ZNmP2mOl588/edit?usp=sharing"",""REQ VF!E4:Q""),""SELECT Col10, Col11, Col12 WHERE Col1 = '""&amp;G37&amp;""'"",0),""NO APLICA"")"),"NO APLICA")</f>
        <v>NO APLICA</v>
      </c>
      <c r="AD37" s="37"/>
      <c r="AE37" s="37"/>
      <c r="AF37" s="13"/>
      <c r="AG37" s="13"/>
    </row>
    <row r="38">
      <c r="A38" s="26"/>
      <c r="B38" s="26"/>
      <c r="C38" s="26" t="b">
        <v>1</v>
      </c>
      <c r="D38" s="26" t="s">
        <v>42</v>
      </c>
      <c r="E38" s="26" t="s">
        <v>36</v>
      </c>
      <c r="F38" s="59" t="s">
        <v>162</v>
      </c>
      <c r="G38" s="39" t="s">
        <v>165</v>
      </c>
      <c r="H38" s="40" t="s">
        <v>44</v>
      </c>
      <c r="I38" s="43">
        <f>$I$37</f>
        <v>4</v>
      </c>
      <c r="J38" s="26">
        <f>IFERROR(__xludf.DUMMYFUNCTION("VLOOKUP(G38,IMPORTRANGE(""https://docs.google.com/spreadsheets/d/12RxCea4e5ggM7QGn1XE3FbLQa_-QbCNdBi90OdPjRqg/edit?gid=1692403370#gid=1692403370"", ""'Plan de Compras'!D4:2432""), 8,0)"),4.0)</f>
        <v>4</v>
      </c>
      <c r="K38" s="26" t="str">
        <f t="shared" si="1"/>
        <v>SI</v>
      </c>
      <c r="L38" s="26"/>
      <c r="M38" s="41"/>
      <c r="N38" s="60" t="s">
        <v>166</v>
      </c>
      <c r="O38" s="42"/>
      <c r="P38" s="26" t="s">
        <v>167</v>
      </c>
      <c r="Q38" s="41"/>
      <c r="R38" s="41"/>
      <c r="S38" s="34" t="b">
        <v>1</v>
      </c>
      <c r="T38" s="35" t="s">
        <v>47</v>
      </c>
      <c r="U38" s="43" t="s">
        <v>168</v>
      </c>
      <c r="V38" s="44"/>
      <c r="W38" s="37" t="str">
        <f>IFERROR(__xludf.DUMMYFUNCTION("IFERROR(VLOOKUP(G38,IMPORTRANGE(""https://docs.google.com/spreadsheets/d/12RxCea4e5ggM7QGn1XE3FbLQa_-QbCNdBi90OdPjRqg"", ""'Plan de Compras'!D4:Q""), 12, 0), ""NO ESTÁ EN REQ"")"),"Simple")</f>
        <v>Simple</v>
      </c>
      <c r="X38" s="37" t="str">
        <f>IFERROR(__xludf.DUMMYFUNCTION("IFERROR(VLOOKUP(G38,IMPORTRANGE(""https://docs.google.com/spreadsheets/d/12RxCea4e5ggM7QGn1XE3FbLQa_-QbCNdBi90OdPjRqg"", ""'Plan de Compras'!D4:Q""), 13, 0), """")"),"NACIONAL")</f>
        <v>NACIONAL</v>
      </c>
      <c r="Y38" s="32" t="str">
        <f>IFERROR(__xludf.DUMMYFUNCTION("IFERROR(VLOOKUP(G38,IMPORTRANGE(""https://docs.google.com/spreadsheets/d/12RxCea4e5ggM7QGn1XE3FbLQa_-QbCNdBi90OdPjRqg"", ""'Plan de Compras'!D4:Q""), 14, 0), """")"),"ANGIE")</f>
        <v>ANGIE</v>
      </c>
      <c r="Z38" s="38" t="str">
        <f>IFERROR(__xludf.DUMMYFUNCTION("IFERROR(VLOOKUP(G38,IMPORTRANGE(""https://docs.google.com/spreadsheets/d/12RxCea4e5ggM7QGn1XE3FbLQa_-QbCNdBi90OdPjRqg"", ""'Plan de Compras'!D4:Q""), 4, 0), """")"),"FUNDA IMPERMEABLE (1 UND)")</f>
        <v>FUNDA IMPERMEABLE (1 UND)</v>
      </c>
      <c r="AA38" s="38" t="str">
        <f t="shared" si="7"/>
        <v>TRUE</v>
      </c>
      <c r="AB38" s="37" t="str">
        <f>IFERROR(__xludf.DUMMYFUNCTION("IFERROR(IF(OR(C38=TRUE,C38=""""),VLOOKUP(G38,IMPORTRANGE(""https://docs.google.com/spreadsheets/d/1z9A1Wq-kKrhRNG5RS2a2fKpY1wIhSVz2ZNmP2mOl588/edit?usp=sharing"",""REQ VF!E4:H""),4,0),""NO APLICA""),""GENERAR REQ"")"),"GENERAR REQ")</f>
        <v>GENERAR REQ</v>
      </c>
      <c r="AC38" s="37" t="str">
        <f>IFERROR(__xludf.DUMMYFUNCTION("IFERROR(QUERY(IMPORTRANGE(""https://docs.google.com/spreadsheets/d/1z9A1Wq-kKrhRNG5RS2a2fKpY1wIhSVz2ZNmP2mOl588/edit?usp=sharing"",""REQ VF!E4:Q""),""SELECT Col10, Col11, Col12 WHERE Col1 = '""&amp;G38&amp;""'"",0),""NO APLICA"")"),"NO APLICA")</f>
        <v>NO APLICA</v>
      </c>
      <c r="AD38" s="37"/>
      <c r="AE38" s="37"/>
      <c r="AF38" s="13"/>
      <c r="AG38" s="13"/>
    </row>
    <row r="39">
      <c r="A39" s="26">
        <v>15.0</v>
      </c>
      <c r="B39" s="26" t="b">
        <v>1</v>
      </c>
      <c r="C39" s="26" t="b">
        <v>1</v>
      </c>
      <c r="D39" s="26" t="s">
        <v>35</v>
      </c>
      <c r="E39" s="26" t="s">
        <v>36</v>
      </c>
      <c r="F39" s="27" t="s">
        <v>169</v>
      </c>
      <c r="G39" s="37" t="s">
        <v>169</v>
      </c>
      <c r="H39" s="45" t="s">
        <v>170</v>
      </c>
      <c r="I39" s="26">
        <f>SUMIFS('Hoja 10'!$O:$O,'Hoja 10'!$F:$F,$G39)</f>
        <v>4</v>
      </c>
      <c r="J39" s="26">
        <f>IFERROR(__xludf.DUMMYFUNCTION("VLOOKUP(G39,IMPORTRANGE(""https://docs.google.com/spreadsheets/d/12RxCea4e5ggM7QGn1XE3FbLQa_-QbCNdBi90OdPjRqg/edit?gid=1692403370#gid=1692403370"", ""'Plan de Compras'!D4:2432""), 8,0)"),4.0)</f>
        <v>4</v>
      </c>
      <c r="K39" s="26" t="str">
        <f t="shared" si="1"/>
        <v>SI</v>
      </c>
      <c r="L39" s="29" t="s">
        <v>39</v>
      </c>
      <c r="M39" s="30" t="s">
        <v>40</v>
      </c>
      <c r="N39" s="26"/>
      <c r="O39" s="32" t="str">
        <f>VLOOKUP($G39,'Hoja 10'!$F$4:$AA478, 19,0)</f>
        <v>BIOLOMIX</v>
      </c>
      <c r="P39" s="32" t="str">
        <f>VLOOKUP($G39,'Hoja 10'!$F$4:$AA478, 20,0)</f>
        <v>BM601</v>
      </c>
      <c r="Q39" s="33" t="str">
        <f>VLOOKUP($G39,'Hoja 10'!$F$4:$AA478, 21,0)</f>
        <v>https://drive.google.com/file/d/1Ti61n5CvjYbERQd_WBKo61P__TL78SWh/view?usp=sharing</v>
      </c>
      <c r="R39" s="30" t="s">
        <v>171</v>
      </c>
      <c r="S39" s="34" t="b">
        <v>1</v>
      </c>
      <c r="T39" s="35" t="str">
        <f>IFERROR(__xludf.DUMMYFUNCTION(" IF
( VLOOKUP($G39,IMPORTRANGE(""https://docs.google.com/spreadsheets/d/1Gpl6jkTg7sL4VDNimUm3S9Vi1i95esohXCF3wuKOE8c"", ""'CONSOLIDADO'!G5:AB""), 10, 0) &lt;&gt; 0, 
IFERROR(VLOOKUP($G39,IMPORTRANGE(""https://docs.google.com/spreadsheets/d/1Gpl6jkTg7sL4VDNimUm3"&amp;"S9Vi1i95esohXCF3wuKOE8c"", ""'CONSOLIDADO'!G5:AB""), 17, 0), ""-""),
""""
)"),"BIOLOMIX")</f>
        <v>BIOLOMIX</v>
      </c>
      <c r="U39" s="35" t="str">
        <f>IFERROR(__xludf.DUMMYFUNCTION(" IF
( VLOOKUP($G39,IMPORTRANGE(""https://docs.google.com/spreadsheets/d/1Gpl6jkTg7sL4VDNimUm3S9Vi1i95esohXCF3wuKOE8c"", ""'CONSOLIDADO'!G5:AB""), 10, 0) &lt;&gt; 0, 
IFERROR(VLOOKUP($G39,IMPORTRANGE(""https://docs.google.com/spreadsheets/d/1Gpl6jkTg7sL4VDNimUm3"&amp;"S9Vi1i95esohXCF3wuKOE8c"", ""'CONSOLIDADO'!G5:AB""), 18, 0), ""-""),
""""
)"),"BM601")</f>
        <v>BM601</v>
      </c>
      <c r="V39" s="36" t="str">
        <f>IFERROR(__xludf.DUMMYFUNCTION(" IF
( VLOOKUP($G39,IMPORTRANGE(""https://docs.google.com/spreadsheets/d/1Gpl6jkTg7sL4VDNimUm3S9Vi1i95esohXCF3wuKOE8c"", ""'CONSOLIDADO'!G5:AB""), 10, 0) &lt;&gt; 0, 
IFERROR(VLOOKUP($G39,IMPORTRANGE(""https://docs.google.com/spreadsheets/d/1Gpl6jkTg7sL4VDNimUm3"&amp;"S9Vi1i95esohXCF3wuKOE8c"", ""'CONSOLIDADO'!G5:AB""), 19, 0), ""-""),
""""
)"),"https://spanish.alibaba.com/product-detail/Professional-Brushless-DC-Motor-Kitchen-Electric-1600490581343.html?chatToken=TDFKeWNGRlpkWFZTWmtkNFRYRnZjVWxhVTBsU2RVcHNkRVpKVTJsMlRteERiM0ZyWlhrM2VHMXhZeTkwTVVSb2RIQnFRMGxKTmtONE9GSllWWFFyVG5Ka1lWUlpTSEY0V1RoTV"&amp;"JHMXBPVlpMYW1Nd1lsVjNkSFpzYkVoeFRXMXFSREV6V1N0cU5tc3pNa3B3TVM5MGFIaHBaVmx5ZEVkVlQwaGxOaTh4ZURRclJuSnNha3RDTTFaeE5HOHJlRlJxZUhsRFpXTktiMmRyYzBac2VHdFJWVUYzY0hOU09FMTZTMHR6UFE9PSZ2ZXJzaW9uPTIuMC4w&amp;encryptTargetLoginId=8pctgRBMALMsBw%2FYN3uRQusHZH2EmvrO")</f>
        <v>https://spanish.alibaba.com/product-detail/Professional-Brushless-DC-Motor-Kitchen-Electric-1600490581343.html?chatToken=TDFKeWNGRlpkWFZTWmtkNFRYRnZjVWxhVTBsU2RVcHNkRVpKVTJsMlRteERiM0ZyWlhrM2VHMXhZeTkwTVVSb2RIQnFRMGxKTmtONE9GSllWWFFyVG5Ka1lWUlpTSEY0V1RoTVJHMXBPVlpMYW1Nd1lsVjNkSFpzYkVoeFRXMXFSREV6V1N0cU5tc3pNa3B3TVM5MGFIaHBaVmx5ZEVkVlQwaGxOaTh4ZURRclJuSnNha3RDTTFaeE5HOHJlRlJxZUhsRFpXTktiMmRyYzBac2VHdFJWVUYzY0hOU09FMTZTMHR6UFE9PSZ2ZXJzaW9uPTIuMC4w&amp;encryptTargetLoginId=8pctgRBMALMsBw%2FYN3uRQusHZH2EmvrO</v>
      </c>
      <c r="W39" s="37" t="str">
        <f>IFERROR(__xludf.DUMMYFUNCTION("IFERROR(VLOOKUP(G39,IMPORTRANGE(""https://docs.google.com/spreadsheets/d/12RxCea4e5ggM7QGn1XE3FbLQa_-QbCNdBi90OdPjRqg"", ""'Plan de Compras'!D4:Q""), 12, 0), ""NO ESTÁ EN REQ"")"),"Técnica")</f>
        <v>Técnica</v>
      </c>
      <c r="X39" s="37" t="str">
        <f>IFERROR(__xludf.DUMMYFUNCTION("IFERROR(VLOOKUP(G39,IMPORTRANGE(""https://docs.google.com/spreadsheets/d/12RxCea4e5ggM7QGn1XE3FbLQa_-QbCNdBi90OdPjRqg"", ""'Plan de Compras'!D4:Q""), 13, 0), """")"),"INTERNACIONAL")</f>
        <v>INTERNACIONAL</v>
      </c>
      <c r="Y39" s="32" t="str">
        <f>IFERROR(__xludf.DUMMYFUNCTION("IFERROR(VLOOKUP(G39,IMPORTRANGE(""https://docs.google.com/spreadsheets/d/12RxCea4e5ggM7QGn1XE3FbLQa_-QbCNdBi90OdPjRqg"", ""'Plan de Compras'!D4:Q""), 14, 0), """")"),"DIEGO ")</f>
        <v>DIEGO </v>
      </c>
      <c r="Z39" s="38" t="str">
        <f>IFERROR(__xludf.DUMMYFUNCTION("IFERROR(VLOOKUP(G39,IMPORTRANGE(""https://docs.google.com/spreadsheets/d/12RxCea4e5ggM7QGn1XE3FbLQa_-QbCNdBi90OdPjRqg"", ""'Plan de Compras'!D4:Q""), 4, 0), """")"),"BATIDORA MULTIFUNCIONAL")</f>
        <v>BATIDORA MULTIFUNCIONAL</v>
      </c>
      <c r="AA39" s="38" t="str">
        <f t="shared" si="7"/>
        <v>TRUE</v>
      </c>
      <c r="AB39" s="37" t="str">
        <f>IFERROR(__xludf.DUMMYFUNCTION("IFERROR(IF(OR(C39=TRUE,C39=""""),VLOOKUP(G39,IMPORTRANGE(""https://docs.google.com/spreadsheets/d/1z9A1Wq-kKrhRNG5RS2a2fKpY1wIhSVz2ZNmP2mOl588/edit?usp=sharing"",""REQ VF!E4:H""),4,0),""NO APLICA""),""GENERAR REQ"")"),"GENERAR REQ")</f>
        <v>GENERAR REQ</v>
      </c>
      <c r="AC39" s="37" t="str">
        <f>IFERROR(__xludf.DUMMYFUNCTION("IFERROR(QUERY(IMPORTRANGE(""https://docs.google.com/spreadsheets/d/1z9A1Wq-kKrhRNG5RS2a2fKpY1wIhSVz2ZNmP2mOl588/edit?usp=sharing"",""REQ VF!E4:Q""),""SELECT Col10, Col11, Col12 WHERE Col1 = '""&amp;G39&amp;""'"",0),""NO APLICA"")"),"NO APLICA")</f>
        <v>NO APLICA</v>
      </c>
      <c r="AD39" s="37"/>
      <c r="AE39" s="37"/>
      <c r="AF39" s="8" t="s">
        <v>52</v>
      </c>
      <c r="AG39" s="13"/>
    </row>
    <row r="40">
      <c r="A40" s="26"/>
      <c r="B40" s="26"/>
      <c r="C40" s="26" t="b">
        <v>1</v>
      </c>
      <c r="D40" s="26" t="s">
        <v>42</v>
      </c>
      <c r="E40" s="26" t="s">
        <v>36</v>
      </c>
      <c r="F40" s="59" t="s">
        <v>169</v>
      </c>
      <c r="G40" s="39" t="s">
        <v>172</v>
      </c>
      <c r="H40" s="40" t="s">
        <v>44</v>
      </c>
      <c r="I40" s="43">
        <f>$I$39</f>
        <v>4</v>
      </c>
      <c r="J40" s="26">
        <f>IFERROR(__xludf.DUMMYFUNCTION("VLOOKUP(G40,IMPORTRANGE(""https://docs.google.com/spreadsheets/d/12RxCea4e5ggM7QGn1XE3FbLQa_-QbCNdBi90OdPjRqg/edit?gid=1692403370#gid=1692403370"", ""'Plan de Compras'!D4:2432""), 8,0)"),4.0)</f>
        <v>4</v>
      </c>
      <c r="K40" s="26" t="str">
        <f t="shared" si="1"/>
        <v>SI</v>
      </c>
      <c r="L40" s="26"/>
      <c r="M40" s="47"/>
      <c r="N40" s="60" t="s">
        <v>166</v>
      </c>
      <c r="O40" s="42"/>
      <c r="P40" s="26" t="s">
        <v>173</v>
      </c>
      <c r="Q40" s="57"/>
      <c r="R40" s="47"/>
      <c r="S40" s="34" t="b">
        <v>1</v>
      </c>
      <c r="T40" s="35" t="s">
        <v>47</v>
      </c>
      <c r="U40" s="43" t="s">
        <v>174</v>
      </c>
      <c r="V40" s="44"/>
      <c r="W40" s="37" t="str">
        <f>IFERROR(__xludf.DUMMYFUNCTION("IFERROR(VLOOKUP(G40,IMPORTRANGE(""https://docs.google.com/spreadsheets/d/12RxCea4e5ggM7QGn1XE3FbLQa_-QbCNdBi90OdPjRqg"", ""'Plan de Compras'!D4:Q""), 12, 0), ""NO ESTÁ EN REQ"")"),"Simple")</f>
        <v>Simple</v>
      </c>
      <c r="X40" s="37" t="str">
        <f>IFERROR(__xludf.DUMMYFUNCTION("IFERROR(VLOOKUP(G40,IMPORTRANGE(""https://docs.google.com/spreadsheets/d/12RxCea4e5ggM7QGn1XE3FbLQa_-QbCNdBi90OdPjRqg"", ""'Plan de Compras'!D4:Q""), 13, 0), """")"),"NACIONAL")</f>
        <v>NACIONAL</v>
      </c>
      <c r="Y40" s="32" t="str">
        <f>IFERROR(__xludf.DUMMYFUNCTION("IFERROR(VLOOKUP(G40,IMPORTRANGE(""https://docs.google.com/spreadsheets/d/12RxCea4e5ggM7QGn1XE3FbLQa_-QbCNdBi90OdPjRqg"", ""'Plan de Compras'!D4:Q""), 14, 0), """")"),"ANGIE")</f>
        <v>ANGIE</v>
      </c>
      <c r="Z40" s="38" t="str">
        <f>IFERROR(__xludf.DUMMYFUNCTION("IFERROR(VLOOKUP(G40,IMPORTRANGE(""https://docs.google.com/spreadsheets/d/12RxCea4e5ggM7QGn1XE3FbLQa_-QbCNdBi90OdPjRqg"", ""'Plan de Compras'!D4:Q""), 4, 0), """")"),"FUNDA IMPERMEABLE (1 UND)")</f>
        <v>FUNDA IMPERMEABLE (1 UND)</v>
      </c>
      <c r="AA40" s="38" t="str">
        <f t="shared" si="7"/>
        <v>TRUE</v>
      </c>
      <c r="AB40" s="37" t="str">
        <f>IFERROR(__xludf.DUMMYFUNCTION("IFERROR(IF(OR(C40=TRUE,C40=""""),VLOOKUP(G40,IMPORTRANGE(""https://docs.google.com/spreadsheets/d/1z9A1Wq-kKrhRNG5RS2a2fKpY1wIhSVz2ZNmP2mOl588/edit?usp=sharing"",""REQ VF!E4:H""),4,0),""NO APLICA""),""GENERAR REQ"")"),"GENERAR REQ")</f>
        <v>GENERAR REQ</v>
      </c>
      <c r="AC40" s="37" t="str">
        <f>IFERROR(__xludf.DUMMYFUNCTION("IFERROR(QUERY(IMPORTRANGE(""https://docs.google.com/spreadsheets/d/1z9A1Wq-kKrhRNG5RS2a2fKpY1wIhSVz2ZNmP2mOl588/edit?usp=sharing"",""REQ VF!E4:Q""),""SELECT Col10, Col11, Col12 WHERE Col1 = '""&amp;G40&amp;""'"",0),""NO APLICA"")"),"NO APLICA")</f>
        <v>NO APLICA</v>
      </c>
      <c r="AD40" s="37"/>
      <c r="AE40" s="37"/>
      <c r="AF40" s="13"/>
      <c r="AG40" s="13"/>
    </row>
    <row r="41">
      <c r="A41" s="26"/>
      <c r="B41" s="26" t="b">
        <v>0</v>
      </c>
      <c r="C41" s="26" t="b">
        <v>0</v>
      </c>
      <c r="D41" s="26" t="s">
        <v>42</v>
      </c>
      <c r="E41" s="26" t="s">
        <v>36</v>
      </c>
      <c r="F41" s="59" t="s">
        <v>169</v>
      </c>
      <c r="G41" s="39" t="s">
        <v>175</v>
      </c>
      <c r="H41" s="40" t="s">
        <v>176</v>
      </c>
      <c r="I41" s="26">
        <f>1*I40</f>
        <v>4</v>
      </c>
      <c r="J41" s="26" t="str">
        <f>IFERROR(__xludf.DUMMYFUNCTION("VLOOKUP(G41,IMPORTRANGE(""https://docs.google.com/spreadsheets/d/12RxCea4e5ggM7QGn1XE3FbLQa_-QbCNdBi90OdPjRqg/edit?gid=1692403370#gid=1692403370"", ""'Plan de Compras'!D4:2432""), 8,0)"),"#N/A")</f>
        <v>#N/A</v>
      </c>
      <c r="K41" s="26" t="str">
        <f t="shared" si="1"/>
        <v>-</v>
      </c>
      <c r="L41" s="29"/>
      <c r="M41" s="61"/>
      <c r="N41" s="31"/>
      <c r="O41" s="32"/>
      <c r="P41" s="32"/>
      <c r="Q41" s="41"/>
      <c r="R41" s="61"/>
      <c r="S41" s="34" t="b">
        <v>1</v>
      </c>
      <c r="T41" s="35" t="s">
        <v>47</v>
      </c>
      <c r="U41" s="35" t="s">
        <v>177</v>
      </c>
      <c r="V41" s="35"/>
      <c r="W41" s="37"/>
      <c r="X41" s="37"/>
      <c r="Y41" s="32"/>
      <c r="Z41" s="38"/>
      <c r="AA41" s="38"/>
      <c r="AB41" s="37"/>
      <c r="AC41" s="37"/>
      <c r="AD41" s="37"/>
      <c r="AE41" s="37"/>
      <c r="AF41" s="13"/>
      <c r="AG41" s="13"/>
    </row>
    <row r="42">
      <c r="A42" s="26">
        <v>16.0</v>
      </c>
      <c r="B42" s="26" t="b">
        <v>1</v>
      </c>
      <c r="C42" s="26" t="b">
        <v>1</v>
      </c>
      <c r="D42" s="26" t="s">
        <v>35</v>
      </c>
      <c r="E42" s="26" t="s">
        <v>36</v>
      </c>
      <c r="F42" s="27" t="s">
        <v>178</v>
      </c>
      <c r="G42" s="37" t="s">
        <v>178</v>
      </c>
      <c r="H42" s="45" t="s">
        <v>179</v>
      </c>
      <c r="I42" s="26">
        <f>SUMIFS('Hoja 10'!$O:$O,'Hoja 10'!$F:$F,$G42)</f>
        <v>12</v>
      </c>
      <c r="J42" s="26">
        <f>IFERROR(__xludf.DUMMYFUNCTION("VLOOKUP(G42,IMPORTRANGE(""https://docs.google.com/spreadsheets/d/12RxCea4e5ggM7QGn1XE3FbLQa_-QbCNdBi90OdPjRqg/edit?gid=1692403370#gid=1692403370"", ""'Plan de Compras'!D4:2432""), 8,0)"),12.0)</f>
        <v>12</v>
      </c>
      <c r="K42" s="26" t="str">
        <f t="shared" si="1"/>
        <v>SI</v>
      </c>
      <c r="L42" s="29" t="s">
        <v>180</v>
      </c>
      <c r="M42" s="30" t="s">
        <v>181</v>
      </c>
      <c r="N42" s="31"/>
      <c r="O42" s="32" t="str">
        <f>VLOOKUP($G42,'Hoja 10'!$F$4:$AA478, 19,0)</f>
        <v>Schneider Electric</v>
      </c>
      <c r="P42" s="32" t="str">
        <f>VLOOKUP($G42,'Hoja 10'!$F$4:$AA478, 20,0)</f>
        <v>LADN40</v>
      </c>
      <c r="Q42" s="33" t="str">
        <f>VLOOKUP($G42,'Hoja 10'!$F$4:$AA478, 21,0)</f>
        <v>https://www.se.com/pe/es/product/LADN40/bloque-de-contacto-auxiliar-tesys-d-4-na-terminales-de-abrazaderas-de-tornillo/</v>
      </c>
      <c r="R42" s="30" t="s">
        <v>182</v>
      </c>
      <c r="S42" s="34" t="b">
        <v>1</v>
      </c>
      <c r="T42" s="35" t="str">
        <f>IFERROR(__xludf.DUMMYFUNCTION(" IF
( VLOOKUP($G42,IMPORTRANGE(""https://docs.google.com/spreadsheets/d/1Gpl6jkTg7sL4VDNimUm3S9Vi1i95esohXCF3wuKOE8c"", ""'CONSOLIDADO'!G5:AB""), 10, 0) &lt;&gt; 0, 
IFERROR(VLOOKUP($G42,IMPORTRANGE(""https://docs.google.com/spreadsheets/d/1Gpl6jkTg7sL4VDNimUm3"&amp;"S9Vi1i95esohXCF3wuKOE8c"", ""'CONSOLIDADO'!G5:AB""), 17, 0), ""-""),
""""
)"),"SCHNEIDER ELECTRIC")</f>
        <v>SCHNEIDER ELECTRIC</v>
      </c>
      <c r="U42" s="35" t="str">
        <f>IFERROR(__xludf.DUMMYFUNCTION(" IF
( VLOOKUP($G42,IMPORTRANGE(""https://docs.google.com/spreadsheets/d/1Gpl6jkTg7sL4VDNimUm3S9Vi1i95esohXCF3wuKOE8c"", ""'CONSOLIDADO'!G5:AB""), 10, 0) &lt;&gt; 0, 
IFERROR(VLOOKUP($G42,IMPORTRANGE(""https://docs.google.com/spreadsheets/d/1Gpl6jkTg7sL4VDNimUm3"&amp;"S9Vi1i95esohXCF3wuKOE8c"", ""'CONSOLIDADO'!G5:AB""), 18, 0), ""-""),
""""
)"),"LADN40")</f>
        <v>LADN40</v>
      </c>
      <c r="V42" s="36" t="str">
        <f>IFERROR(__xludf.DUMMYFUNCTION(" IF
( VLOOKUP($G42,IMPORTRANGE(""https://docs.google.com/spreadsheets/d/1Gpl6jkTg7sL4VDNimUm3S9Vi1i95esohXCF3wuKOE8c"", ""'CONSOLIDADO'!G5:AB""), 10, 0) &lt;&gt; 0, 
IFERROR(VLOOKUP($G42,IMPORTRANGE(""https://docs.google.com/spreadsheets/d/1Gpl6jkTg7sL4VDNimUm3"&amp;"S9Vi1i95esohXCF3wuKOE8c"", ""'CONSOLIDADO'!G5:AB""), 19, 0), ""-""),
""""
)"),"https://www.se.com/pe/es/product/LADN40/bloque-de-contacto-auxiliar-tesys-d-4-na-terminales-de-abrazaderas-de-tornillo/")</f>
        <v>https://www.se.com/pe/es/product/LADN40/bloque-de-contacto-auxiliar-tesys-d-4-na-terminales-de-abrazaderas-de-tornillo/</v>
      </c>
      <c r="W42" s="37" t="str">
        <f>IFERROR(__xludf.DUMMYFUNCTION("IFERROR(VLOOKUP(G42,IMPORTRANGE(""https://docs.google.com/spreadsheets/d/12RxCea4e5ggM7QGn1XE3FbLQa_-QbCNdBi90OdPjRqg"", ""'Plan de Compras'!D4:Q""), 12, 0), ""NO ESTÁ EN REQ"")"),"Técnica")</f>
        <v>Técnica</v>
      </c>
      <c r="X42" s="37" t="str">
        <f>IFERROR(__xludf.DUMMYFUNCTION("IFERROR(VLOOKUP(G42,IMPORTRANGE(""https://docs.google.com/spreadsheets/d/12RxCea4e5ggM7QGn1XE3FbLQa_-QbCNdBi90OdPjRqg"", ""'Plan de Compras'!D4:Q""), 13, 0), """")"),"NACIONAL")</f>
        <v>NACIONAL</v>
      </c>
      <c r="Y42" s="32" t="str">
        <f>IFERROR(__xludf.DUMMYFUNCTION("IFERROR(VLOOKUP(G42,IMPORTRANGE(""https://docs.google.com/spreadsheets/d/12RxCea4e5ggM7QGn1XE3FbLQa_-QbCNdBi90OdPjRqg"", ""'Plan de Compras'!D4:Q""), 14, 0), """")"),"ALFIO")</f>
        <v>ALFIO</v>
      </c>
      <c r="Z42" s="38" t="str">
        <f>IFERROR(__xludf.DUMMYFUNCTION("IFERROR(VLOOKUP(G42,IMPORTRANGE(""https://docs.google.com/spreadsheets/d/12RxCea4e5ggM7QGn1XE3FbLQa_-QbCNdBi90OdPjRqg"", ""'Plan de Compras'!D4:Q""), 4, 0), """")"),"BLOCK DE CONTACTORES AUXILIAR NC - NO")</f>
        <v>BLOCK DE CONTACTORES AUXILIAR NC - NO</v>
      </c>
      <c r="AA42" s="38" t="str">
        <f t="shared" ref="AA42:AA43" si="8">IF(H42=Z42,"TRUE", "FALSE")</f>
        <v>TRUE</v>
      </c>
      <c r="AB42" s="37" t="str">
        <f>IFERROR(__xludf.DUMMYFUNCTION("IFERROR(IF(OR(C42=TRUE,C42=""""),VLOOKUP(G42,IMPORTRANGE(""https://docs.google.com/spreadsheets/d/1z9A1Wq-kKrhRNG5RS2a2fKpY1wIhSVz2ZNmP2mOl588/edit?usp=sharing"",""REQ VF!E4:H""),4,0),""NO APLICA""),""GENERAR REQ"")"),"GENERAR REQ")</f>
        <v>GENERAR REQ</v>
      </c>
      <c r="AC42" s="37" t="str">
        <f>IFERROR(__xludf.DUMMYFUNCTION("IFERROR(QUERY(IMPORTRANGE(""https://docs.google.com/spreadsheets/d/1z9A1Wq-kKrhRNG5RS2a2fKpY1wIhSVz2ZNmP2mOl588/edit?usp=sharing"",""REQ VF!E4:Q""),""SELECT Col10, Col11, Col12 WHERE Col1 = '""&amp;G42&amp;""'"",0),""NO APLICA"")"),"NO APLICA")</f>
        <v>NO APLICA</v>
      </c>
      <c r="AD42" s="37"/>
      <c r="AE42" s="37"/>
      <c r="AF42" s="13"/>
      <c r="AG42" s="13"/>
    </row>
    <row r="43">
      <c r="A43" s="26">
        <v>17.0</v>
      </c>
      <c r="B43" s="26" t="b">
        <v>1</v>
      </c>
      <c r="C43" s="26" t="b">
        <v>1</v>
      </c>
      <c r="D43" s="26" t="s">
        <v>35</v>
      </c>
      <c r="E43" s="26" t="s">
        <v>36</v>
      </c>
      <c r="F43" s="27" t="s">
        <v>183</v>
      </c>
      <c r="G43" s="37" t="s">
        <v>183</v>
      </c>
      <c r="H43" s="45" t="s">
        <v>184</v>
      </c>
      <c r="I43" s="26">
        <f>SUMIFS('Hoja 10'!$O:$O,'Hoja 10'!$F:$F,$G43)</f>
        <v>9</v>
      </c>
      <c r="J43" s="26">
        <f>IFERROR(__xludf.DUMMYFUNCTION("VLOOKUP(G43,IMPORTRANGE(""https://docs.google.com/spreadsheets/d/12RxCea4e5ggM7QGn1XE3FbLQa_-QbCNdBi90OdPjRqg/edit?gid=1692403370#gid=1692403370"", ""'Plan de Compras'!D4:2432""), 8,0)"),9.0)</f>
        <v>9</v>
      </c>
      <c r="K43" s="26" t="str">
        <f t="shared" si="1"/>
        <v>SI</v>
      </c>
      <c r="L43" s="29" t="s">
        <v>185</v>
      </c>
      <c r="M43" s="30" t="s">
        <v>186</v>
      </c>
      <c r="N43" s="26"/>
      <c r="O43" s="42" t="s">
        <v>187</v>
      </c>
      <c r="P43" s="32" t="str">
        <f>VLOOKUP($G43,'Hoja 10'!$F$4:$AA478, 20,0)</f>
        <v>Innov-is V5LE</v>
      </c>
      <c r="Q43" s="33" t="str">
        <f>VLOOKUP($G43,'Hoja 10'!$F$4:$AA478, 21,0)</f>
        <v>https://sewingcraft.brother.eu/en/products/machines/combination-machines/combination-machines/innov-is-v5le</v>
      </c>
      <c r="R43" s="30" t="s">
        <v>188</v>
      </c>
      <c r="S43" s="34" t="b">
        <v>1</v>
      </c>
      <c r="T43" s="35" t="str">
        <f>IFERROR(__xludf.DUMMYFUNCTION(" IF
( VLOOKUP($G43,IMPORTRANGE(""https://docs.google.com/spreadsheets/d/1Gpl6jkTg7sL4VDNimUm3S9Vi1i95esohXCF3wuKOE8c"", ""'CONSOLIDADO'!G5:AB""), 10, 0) &lt;&gt; 0, 
IFERROR(VLOOKUP($G43,IMPORTRANGE(""https://docs.google.com/spreadsheets/d/1Gpl6jkTg7sL4VDNimUm3"&amp;"S9Vi1i95esohXCF3wuKOE8c"", ""'CONSOLIDADO'!G5:AB""), 17, 0), ""-""),
""""
)"),"BROTHER")</f>
        <v>BROTHER</v>
      </c>
      <c r="U43" s="35" t="str">
        <f>IFERROR(__xludf.DUMMYFUNCTION(" IF
( VLOOKUP($G43,IMPORTRANGE(""https://docs.google.com/spreadsheets/d/1Gpl6jkTg7sL4VDNimUm3S9Vi1i95esohXCF3wuKOE8c"", ""'CONSOLIDADO'!G5:AB""), 10, 0) &lt;&gt; 0, 
IFERROR(VLOOKUP($G43,IMPORTRANGE(""https://docs.google.com/spreadsheets/d/1Gpl6jkTg7sL4VDNimUm3"&amp;"S9Vi1i95esohXCF3wuKOE8c"", ""'CONSOLIDADO'!G5:AB""), 18, 0), ""-""),
""""
)"),"Innov-is V5LE")</f>
        <v>Innov-is V5LE</v>
      </c>
      <c r="V43" s="36" t="str">
        <f>IFERROR(__xludf.DUMMYFUNCTION(" IF
( VLOOKUP($G43,IMPORTRANGE(""https://docs.google.com/spreadsheets/d/1Gpl6jkTg7sL4VDNimUm3S9Vi1i95esohXCF3wuKOE8c"", ""'CONSOLIDADO'!G5:AB""), 10, 0) &lt;&gt; 0, 
IFERROR(VLOOKUP($G43,IMPORTRANGE(""https://docs.google.com/spreadsheets/d/1Gpl6jkTg7sL4VDNimUm3"&amp;"S9Vi1i95esohXCF3wuKOE8c"", ""'CONSOLIDADO'!G5:AB""), 19, 0), ""-""),
""""
)"),"https://brotherie.es/brother-v5le/")</f>
        <v>https://brotherie.es/brother-v5le/</v>
      </c>
      <c r="W43" s="37" t="str">
        <f>IFERROR(__xludf.DUMMYFUNCTION("IFERROR(VLOOKUP(G43,IMPORTRANGE(""https://docs.google.com/spreadsheets/d/12RxCea4e5ggM7QGn1XE3FbLQa_-QbCNdBi90OdPjRqg"", ""'Plan de Compras'!D4:Q""), 12, 0), ""NO ESTÁ EN REQ"")"),"Técnica")</f>
        <v>Técnica</v>
      </c>
      <c r="X43" s="37" t="str">
        <f>IFERROR(__xludf.DUMMYFUNCTION("IFERROR(VLOOKUP(G43,IMPORTRANGE(""https://docs.google.com/spreadsheets/d/12RxCea4e5ggM7QGn1XE3FbLQa_-QbCNdBi90OdPjRqg"", ""'Plan de Compras'!D4:Q""), 13, 0), """")"),"INTERNACIONAL")</f>
        <v>INTERNACIONAL</v>
      </c>
      <c r="Y43" s="32" t="str">
        <f>IFERROR(__xludf.DUMMYFUNCTION("IFERROR(VLOOKUP(G43,IMPORTRANGE(""https://docs.google.com/spreadsheets/d/12RxCea4e5ggM7QGn1XE3FbLQa_-QbCNdBi90OdPjRqg"", ""'Plan de Compras'!D4:Q""), 14, 0), """")"),"GEYDI")</f>
        <v>GEYDI</v>
      </c>
      <c r="Z43" s="38" t="str">
        <f>IFERROR(__xludf.DUMMYFUNCTION("IFERROR(VLOOKUP(G43,IMPORTRANGE(""https://docs.google.com/spreadsheets/d/12RxCea4e5ggM7QGn1XE3FbLQa_-QbCNdBi90OdPjRqg"", ""'Plan de Compras'!D4:Q""), 4, 0), """")"),"BORDADORA DOMESTICA DIGITAL, ÁREA DE TRABAJO DE 300 MM X 180 MM")</f>
        <v>BORDADORA DOMESTICA DIGITAL, ÁREA DE TRABAJO DE 300 MM X 180 MM</v>
      </c>
      <c r="AA43" s="38" t="str">
        <f t="shared" si="8"/>
        <v>TRUE</v>
      </c>
      <c r="AB43" s="37" t="str">
        <f>IFERROR(__xludf.DUMMYFUNCTION("IFERROR(IF(OR(C43=TRUE,C43=""""),VLOOKUP(G43,IMPORTRANGE(""https://docs.google.com/spreadsheets/d/1z9A1Wq-kKrhRNG5RS2a2fKpY1wIhSVz2ZNmP2mOl588/edit?usp=sharing"",""REQ VF!E4:H""),4,0),""NO APLICA""),""GENERAR REQ"")"),"GENERAR REQ")</f>
        <v>GENERAR REQ</v>
      </c>
      <c r="AC43" s="37" t="str">
        <f>IFERROR(__xludf.DUMMYFUNCTION("IFERROR(QUERY(IMPORTRANGE(""https://docs.google.com/spreadsheets/d/1z9A1Wq-kKrhRNG5RS2a2fKpY1wIhSVz2ZNmP2mOl588/edit?usp=sharing"",""REQ VF!E4:Q""),""SELECT Col10, Col11, Col12 WHERE Col1 = '""&amp;G43&amp;""'"",0),""NO APLICA"")"),"NO APLICA")</f>
        <v>NO APLICA</v>
      </c>
      <c r="AD43" s="37"/>
      <c r="AE43" s="37"/>
      <c r="AF43" s="8" t="s">
        <v>52</v>
      </c>
      <c r="AG43" s="13"/>
    </row>
    <row r="44">
      <c r="A44" s="26"/>
      <c r="B44" s="26"/>
      <c r="C44" s="26" t="b">
        <v>0</v>
      </c>
      <c r="D44" s="26" t="s">
        <v>42</v>
      </c>
      <c r="E44" s="26" t="s">
        <v>36</v>
      </c>
      <c r="F44" s="27" t="s">
        <v>183</v>
      </c>
      <c r="G44" s="39" t="s">
        <v>189</v>
      </c>
      <c r="H44" s="40" t="s">
        <v>190</v>
      </c>
      <c r="I44" s="43">
        <v>0.0</v>
      </c>
      <c r="J44" s="26" t="str">
        <f>IFERROR(__xludf.DUMMYFUNCTION("VLOOKUP(G44,IMPORTRANGE(""https://docs.google.com/spreadsheets/d/12RxCea4e5ggM7QGn1XE3FbLQa_-QbCNdBi90OdPjRqg/edit?gid=1692403370#gid=1692403370"", ""'Plan de Compras'!D4:2432""), 8,0)"),"#N/A")</f>
        <v>#N/A</v>
      </c>
      <c r="K44" s="26" t="str">
        <f t="shared" si="1"/>
        <v>-</v>
      </c>
      <c r="L44" s="26"/>
      <c r="M44" s="47"/>
      <c r="N44" s="47" t="s">
        <v>191</v>
      </c>
      <c r="O44" s="42" t="s">
        <v>187</v>
      </c>
      <c r="P44" s="26" t="s">
        <v>192</v>
      </c>
      <c r="Q44" s="62" t="s">
        <v>193</v>
      </c>
      <c r="R44" s="47"/>
      <c r="S44" s="34" t="b">
        <v>1</v>
      </c>
      <c r="T44" s="35" t="s">
        <v>187</v>
      </c>
      <c r="U44" s="35" t="s">
        <v>119</v>
      </c>
      <c r="V44" s="44"/>
      <c r="W44" s="37" t="str">
        <f>IFERROR(__xludf.DUMMYFUNCTION("IFERROR(VLOOKUP(G44,IMPORTRANGE(""https://docs.google.com/spreadsheets/d/12RxCea4e5ggM7QGn1XE3FbLQa_-QbCNdBi90OdPjRqg"", ""'Plan de Compras'!D4:Q""), 12, 0), ""NO ESTÁ EN REQ"")"),"NO ESTÁ EN REQ")</f>
        <v>NO ESTÁ EN REQ</v>
      </c>
      <c r="X44" s="37" t="str">
        <f>IFERROR(__xludf.DUMMYFUNCTION("IFERROR(VLOOKUP(G44,IMPORTRANGE(""https://docs.google.com/spreadsheets/d/12RxCea4e5ggM7QGn1XE3FbLQa_-QbCNdBi90OdPjRqg"", ""'Plan de Compras'!D4:Q""), 13, 0), """")"),"")</f>
        <v/>
      </c>
      <c r="Y44" s="32" t="str">
        <f>IFERROR(__xludf.DUMMYFUNCTION("IFERROR(VLOOKUP(G44,IMPORTRANGE(""https://docs.google.com/spreadsheets/d/12RxCea4e5ggM7QGn1XE3FbLQa_-QbCNdBi90OdPjRqg"", ""'Plan de Compras'!D4:Q""), 14, 0), """")"),"")</f>
        <v/>
      </c>
      <c r="Z44" s="38" t="str">
        <f>IFERROR(__xludf.DUMMYFUNCTION("IFERROR(VLOOKUP(G44,IMPORTRANGE(""https://docs.google.com/spreadsheets/d/12RxCea4e5ggM7QGn1XE3FbLQa_-QbCNdBi90OdPjRqg"", ""'Plan de Compras'!D4:Q""), 4, 0), """")"),"")</f>
        <v/>
      </c>
      <c r="AA44" s="38"/>
      <c r="AB44" s="37" t="str">
        <f>IFERROR(__xludf.DUMMYFUNCTION("IFERROR(IF(OR(C44=TRUE,C44=""""),VLOOKUP(G44,IMPORTRANGE(""https://docs.google.com/spreadsheets/d/1z9A1Wq-kKrhRNG5RS2a2fKpY1wIhSVz2ZNmP2mOl588/edit?usp=sharing"",""REQ VF!E4:H""),4,0),""NO APLICA""),""GENERAR REQ"")"),"NO APLICA")</f>
        <v>NO APLICA</v>
      </c>
      <c r="AC44" s="37" t="str">
        <f>IFERROR(__xludf.DUMMYFUNCTION("IFERROR(QUERY(IMPORTRANGE(""https://docs.google.com/spreadsheets/d/1z9A1Wq-kKrhRNG5RS2a2fKpY1wIhSVz2ZNmP2mOl588/edit?usp=sharing"",""REQ VF!E4:Q""),""SELECT Col10, Col11, Col12 WHERE Col1 = '""&amp;G44&amp;""'"",0),""NO APLICA"")"),"NO APLICA")</f>
        <v>NO APLICA</v>
      </c>
      <c r="AD44" s="37"/>
      <c r="AE44" s="37"/>
      <c r="AF44" s="13"/>
      <c r="AG44" s="13"/>
    </row>
    <row r="45">
      <c r="A45" s="26"/>
      <c r="B45" s="26"/>
      <c r="C45" s="26" t="b">
        <v>0</v>
      </c>
      <c r="D45" s="26" t="s">
        <v>42</v>
      </c>
      <c r="E45" s="26" t="s">
        <v>36</v>
      </c>
      <c r="F45" s="27" t="s">
        <v>183</v>
      </c>
      <c r="G45" s="39" t="s">
        <v>194</v>
      </c>
      <c r="H45" s="40" t="s">
        <v>195</v>
      </c>
      <c r="I45" s="43">
        <v>0.0</v>
      </c>
      <c r="J45" s="26" t="str">
        <f>IFERROR(__xludf.DUMMYFUNCTION("VLOOKUP(G45,IMPORTRANGE(""https://docs.google.com/spreadsheets/d/12RxCea4e5ggM7QGn1XE3FbLQa_-QbCNdBi90OdPjRqg/edit?gid=1692403370#gid=1692403370"", ""'Plan de Compras'!D4:2432""), 8,0)"),"#N/A")</f>
        <v>#N/A</v>
      </c>
      <c r="K45" s="26" t="str">
        <f t="shared" si="1"/>
        <v>-</v>
      </c>
      <c r="L45" s="26"/>
      <c r="M45" s="47"/>
      <c r="N45" s="47" t="s">
        <v>196</v>
      </c>
      <c r="O45" s="42" t="s">
        <v>187</v>
      </c>
      <c r="P45" s="26" t="s">
        <v>197</v>
      </c>
      <c r="Q45" s="47"/>
      <c r="R45" s="47"/>
      <c r="S45" s="34" t="b">
        <v>1</v>
      </c>
      <c r="T45" s="35" t="s">
        <v>187</v>
      </c>
      <c r="U45" s="35" t="s">
        <v>119</v>
      </c>
      <c r="V45" s="44"/>
      <c r="W45" s="37" t="str">
        <f>IFERROR(__xludf.DUMMYFUNCTION("IFERROR(VLOOKUP(G45,IMPORTRANGE(""https://docs.google.com/spreadsheets/d/12RxCea4e5ggM7QGn1XE3FbLQa_-QbCNdBi90OdPjRqg"", ""'Plan de Compras'!D4:Q""), 12, 0), ""NO ESTÁ EN REQ"")"),"NO ESTÁ EN REQ")</f>
        <v>NO ESTÁ EN REQ</v>
      </c>
      <c r="X45" s="37" t="str">
        <f>IFERROR(__xludf.DUMMYFUNCTION("IFERROR(VLOOKUP(G45,IMPORTRANGE(""https://docs.google.com/spreadsheets/d/12RxCea4e5ggM7QGn1XE3FbLQa_-QbCNdBi90OdPjRqg"", ""'Plan de Compras'!D4:Q""), 13, 0), """")"),"")</f>
        <v/>
      </c>
      <c r="Y45" s="32" t="str">
        <f>IFERROR(__xludf.DUMMYFUNCTION("IFERROR(VLOOKUP(G45,IMPORTRANGE(""https://docs.google.com/spreadsheets/d/12RxCea4e5ggM7QGn1XE3FbLQa_-QbCNdBi90OdPjRqg"", ""'Plan de Compras'!D4:Q""), 14, 0), """")"),"")</f>
        <v/>
      </c>
      <c r="Z45" s="38" t="str">
        <f>IFERROR(__xludf.DUMMYFUNCTION("IFERROR(VLOOKUP(G45,IMPORTRANGE(""https://docs.google.com/spreadsheets/d/12RxCea4e5ggM7QGn1XE3FbLQa_-QbCNdBi90OdPjRqg"", ""'Plan de Compras'!D4:Q""), 4, 0), """")"),"")</f>
        <v/>
      </c>
      <c r="AA45" s="38"/>
      <c r="AB45" s="37" t="str">
        <f>IFERROR(__xludf.DUMMYFUNCTION("IFERROR(IF(OR(C45=TRUE,C45=""""),VLOOKUP(G45,IMPORTRANGE(""https://docs.google.com/spreadsheets/d/1z9A1Wq-kKrhRNG5RS2a2fKpY1wIhSVz2ZNmP2mOl588/edit?usp=sharing"",""REQ VF!E4:H""),4,0),""NO APLICA""),""GENERAR REQ"")"),"NO APLICA")</f>
        <v>NO APLICA</v>
      </c>
      <c r="AC45" s="37" t="str">
        <f>IFERROR(__xludf.DUMMYFUNCTION("IFERROR(QUERY(IMPORTRANGE(""https://docs.google.com/spreadsheets/d/1z9A1Wq-kKrhRNG5RS2a2fKpY1wIhSVz2ZNmP2mOl588/edit?usp=sharing"",""REQ VF!E4:Q""),""SELECT Col10, Col11, Col12 WHERE Col1 = '""&amp;G45&amp;""'"",0),""NO APLICA"")"),"NO APLICA")</f>
        <v>NO APLICA</v>
      </c>
      <c r="AD45" s="37"/>
      <c r="AE45" s="37"/>
      <c r="AF45" s="13"/>
      <c r="AG45" s="13"/>
    </row>
    <row r="46">
      <c r="A46" s="26"/>
      <c r="B46" s="26"/>
      <c r="C46" s="26" t="b">
        <v>0</v>
      </c>
      <c r="D46" s="26" t="s">
        <v>42</v>
      </c>
      <c r="E46" s="26" t="s">
        <v>36</v>
      </c>
      <c r="F46" s="27" t="s">
        <v>183</v>
      </c>
      <c r="G46" s="39" t="s">
        <v>198</v>
      </c>
      <c r="H46" s="40" t="s">
        <v>199</v>
      </c>
      <c r="I46" s="43">
        <v>0.0</v>
      </c>
      <c r="J46" s="26" t="str">
        <f>IFERROR(__xludf.DUMMYFUNCTION("VLOOKUP(G46,IMPORTRANGE(""https://docs.google.com/spreadsheets/d/12RxCea4e5ggM7QGn1XE3FbLQa_-QbCNdBi90OdPjRqg/edit?gid=1692403370#gid=1692403370"", ""'Plan de Compras'!D4:2432""), 8,0)"),"#N/A")</f>
        <v>#N/A</v>
      </c>
      <c r="K46" s="26" t="str">
        <f t="shared" si="1"/>
        <v>-</v>
      </c>
      <c r="L46" s="26"/>
      <c r="M46" s="47"/>
      <c r="N46" s="26" t="s">
        <v>200</v>
      </c>
      <c r="O46" s="42" t="s">
        <v>187</v>
      </c>
      <c r="P46" s="26" t="s">
        <v>201</v>
      </c>
      <c r="Q46" s="46" t="s">
        <v>202</v>
      </c>
      <c r="R46" s="47"/>
      <c r="S46" s="34" t="b">
        <v>1</v>
      </c>
      <c r="T46" s="35" t="s">
        <v>187</v>
      </c>
      <c r="U46" s="35" t="s">
        <v>119</v>
      </c>
      <c r="V46" s="44"/>
      <c r="W46" s="37" t="str">
        <f>IFERROR(__xludf.DUMMYFUNCTION("IFERROR(VLOOKUP(G46,IMPORTRANGE(""https://docs.google.com/spreadsheets/d/12RxCea4e5ggM7QGn1XE3FbLQa_-QbCNdBi90OdPjRqg"", ""'Plan de Compras'!D4:Q""), 12, 0), ""NO ESTÁ EN REQ"")"),"NO ESTÁ EN REQ")</f>
        <v>NO ESTÁ EN REQ</v>
      </c>
      <c r="X46" s="37" t="str">
        <f>IFERROR(__xludf.DUMMYFUNCTION("IFERROR(VLOOKUP(G46,IMPORTRANGE(""https://docs.google.com/spreadsheets/d/12RxCea4e5ggM7QGn1XE3FbLQa_-QbCNdBi90OdPjRqg"", ""'Plan de Compras'!D4:Q""), 13, 0), """")"),"")</f>
        <v/>
      </c>
      <c r="Y46" s="32" t="str">
        <f>IFERROR(__xludf.DUMMYFUNCTION("IFERROR(VLOOKUP(G46,IMPORTRANGE(""https://docs.google.com/spreadsheets/d/12RxCea4e5ggM7QGn1XE3FbLQa_-QbCNdBi90OdPjRqg"", ""'Plan de Compras'!D4:Q""), 14, 0), """")"),"")</f>
        <v/>
      </c>
      <c r="Z46" s="38" t="str">
        <f>IFERROR(__xludf.DUMMYFUNCTION("IFERROR(VLOOKUP(G46,IMPORTRANGE(""https://docs.google.com/spreadsheets/d/12RxCea4e5ggM7QGn1XE3FbLQa_-QbCNdBi90OdPjRqg"", ""'Plan de Compras'!D4:Q""), 4, 0), """")"),"")</f>
        <v/>
      </c>
      <c r="AA46" s="38"/>
      <c r="AB46" s="37" t="str">
        <f>IFERROR(__xludf.DUMMYFUNCTION("IFERROR(IF(OR(C46=TRUE,C46=""""),VLOOKUP(G46,IMPORTRANGE(""https://docs.google.com/spreadsheets/d/1z9A1Wq-kKrhRNG5RS2a2fKpY1wIhSVz2ZNmP2mOl588/edit?usp=sharing"",""REQ VF!E4:H""),4,0),""NO APLICA""),""GENERAR REQ"")"),"NO APLICA")</f>
        <v>NO APLICA</v>
      </c>
      <c r="AC46" s="37" t="str">
        <f>IFERROR(__xludf.DUMMYFUNCTION("IFERROR(QUERY(IMPORTRANGE(""https://docs.google.com/spreadsheets/d/1z9A1Wq-kKrhRNG5RS2a2fKpY1wIhSVz2ZNmP2mOl588/edit?usp=sharing"",""REQ VF!E4:Q""),""SELECT Col10, Col11, Col12 WHERE Col1 = '""&amp;G46&amp;""'"",0),""NO APLICA"")"),"NO APLICA")</f>
        <v>NO APLICA</v>
      </c>
      <c r="AD46" s="37"/>
      <c r="AE46" s="37"/>
      <c r="AF46" s="13"/>
      <c r="AG46" s="13"/>
    </row>
    <row r="47">
      <c r="A47" s="26"/>
      <c r="B47" s="26"/>
      <c r="C47" s="26" t="b">
        <v>0</v>
      </c>
      <c r="D47" s="26" t="s">
        <v>42</v>
      </c>
      <c r="E47" s="26" t="s">
        <v>36</v>
      </c>
      <c r="F47" s="27" t="s">
        <v>183</v>
      </c>
      <c r="G47" s="39" t="s">
        <v>203</v>
      </c>
      <c r="H47" s="40" t="s">
        <v>204</v>
      </c>
      <c r="I47" s="43">
        <v>0.0</v>
      </c>
      <c r="J47" s="26" t="str">
        <f>IFERROR(__xludf.DUMMYFUNCTION("VLOOKUP(G47,IMPORTRANGE(""https://docs.google.com/spreadsheets/d/12RxCea4e5ggM7QGn1XE3FbLQa_-QbCNdBi90OdPjRqg/edit?gid=1692403370#gid=1692403370"", ""'Plan de Compras'!D4:2432""), 8,0)"),"#N/A")</f>
        <v>#N/A</v>
      </c>
      <c r="K47" s="26" t="str">
        <f t="shared" si="1"/>
        <v>-</v>
      </c>
      <c r="L47" s="26"/>
      <c r="M47" s="47"/>
      <c r="N47" s="26" t="s">
        <v>205</v>
      </c>
      <c r="O47" s="42" t="s">
        <v>187</v>
      </c>
      <c r="P47" s="42" t="s">
        <v>206</v>
      </c>
      <c r="Q47" s="46" t="s">
        <v>207</v>
      </c>
      <c r="R47" s="47"/>
      <c r="S47" s="34" t="b">
        <v>1</v>
      </c>
      <c r="T47" s="35" t="s">
        <v>187</v>
      </c>
      <c r="U47" s="35" t="s">
        <v>119</v>
      </c>
      <c r="V47" s="44"/>
      <c r="W47" s="37" t="str">
        <f>IFERROR(__xludf.DUMMYFUNCTION("IFERROR(VLOOKUP(G47,IMPORTRANGE(""https://docs.google.com/spreadsheets/d/12RxCea4e5ggM7QGn1XE3FbLQa_-QbCNdBi90OdPjRqg"", ""'Plan de Compras'!D4:Q""), 12, 0), ""NO ESTÁ EN REQ"")"),"NO ESTÁ EN REQ")</f>
        <v>NO ESTÁ EN REQ</v>
      </c>
      <c r="X47" s="37" t="str">
        <f>IFERROR(__xludf.DUMMYFUNCTION("IFERROR(VLOOKUP(G47,IMPORTRANGE(""https://docs.google.com/spreadsheets/d/12RxCea4e5ggM7QGn1XE3FbLQa_-QbCNdBi90OdPjRqg"", ""'Plan de Compras'!D4:Q""), 13, 0), """")"),"")</f>
        <v/>
      </c>
      <c r="Y47" s="32" t="str">
        <f>IFERROR(__xludf.DUMMYFUNCTION("IFERROR(VLOOKUP(G47,IMPORTRANGE(""https://docs.google.com/spreadsheets/d/12RxCea4e5ggM7QGn1XE3FbLQa_-QbCNdBi90OdPjRqg"", ""'Plan de Compras'!D4:Q""), 14, 0), """")"),"")</f>
        <v/>
      </c>
      <c r="Z47" s="38" t="str">
        <f>IFERROR(__xludf.DUMMYFUNCTION("IFERROR(VLOOKUP(G47,IMPORTRANGE(""https://docs.google.com/spreadsheets/d/12RxCea4e5ggM7QGn1XE3FbLQa_-QbCNdBi90OdPjRqg"", ""'Plan de Compras'!D4:Q""), 4, 0), """")"),"")</f>
        <v/>
      </c>
      <c r="AA47" s="38"/>
      <c r="AB47" s="37" t="str">
        <f>IFERROR(__xludf.DUMMYFUNCTION("IFERROR(IF(OR(C47=TRUE,C47=""""),VLOOKUP(G47,IMPORTRANGE(""https://docs.google.com/spreadsheets/d/1z9A1Wq-kKrhRNG5RS2a2fKpY1wIhSVz2ZNmP2mOl588/edit?usp=sharing"",""REQ VF!E4:H""),4,0),""NO APLICA""),""GENERAR REQ"")"),"NO APLICA")</f>
        <v>NO APLICA</v>
      </c>
      <c r="AC47" s="37" t="str">
        <f>IFERROR(__xludf.DUMMYFUNCTION("IFERROR(QUERY(IMPORTRANGE(""https://docs.google.com/spreadsheets/d/1z9A1Wq-kKrhRNG5RS2a2fKpY1wIhSVz2ZNmP2mOl588/edit?usp=sharing"",""REQ VF!E4:Q""),""SELECT Col10, Col11, Col12 WHERE Col1 = '""&amp;G47&amp;""'"",0),""NO APLICA"")"),"NO APLICA")</f>
        <v>NO APLICA</v>
      </c>
      <c r="AD47" s="37"/>
      <c r="AE47" s="37"/>
      <c r="AF47" s="13"/>
      <c r="AG47" s="13"/>
    </row>
    <row r="48">
      <c r="A48" s="26"/>
      <c r="B48" s="26"/>
      <c r="C48" s="26" t="b">
        <v>0</v>
      </c>
      <c r="D48" s="26" t="s">
        <v>42</v>
      </c>
      <c r="E48" s="26" t="s">
        <v>36</v>
      </c>
      <c r="F48" s="27" t="s">
        <v>183</v>
      </c>
      <c r="G48" s="39" t="s">
        <v>208</v>
      </c>
      <c r="H48" s="40" t="s">
        <v>209</v>
      </c>
      <c r="I48" s="43">
        <v>0.0</v>
      </c>
      <c r="J48" s="26" t="str">
        <f>IFERROR(__xludf.DUMMYFUNCTION("VLOOKUP(G48,IMPORTRANGE(""https://docs.google.com/spreadsheets/d/12RxCea4e5ggM7QGn1XE3FbLQa_-QbCNdBi90OdPjRqg/edit?gid=1692403370#gid=1692403370"", ""'Plan de Compras'!D4:2432""), 8,0)"),"#N/A")</f>
        <v>#N/A</v>
      </c>
      <c r="K48" s="26" t="str">
        <f t="shared" si="1"/>
        <v>-</v>
      </c>
      <c r="L48" s="26"/>
      <c r="M48" s="47"/>
      <c r="N48" s="26" t="s">
        <v>210</v>
      </c>
      <c r="O48" s="42" t="s">
        <v>187</v>
      </c>
      <c r="P48" s="26" t="s">
        <v>211</v>
      </c>
      <c r="Q48" s="46" t="s">
        <v>212</v>
      </c>
      <c r="R48" s="47"/>
      <c r="S48" s="34" t="b">
        <v>1</v>
      </c>
      <c r="T48" s="35" t="s">
        <v>187</v>
      </c>
      <c r="U48" s="35" t="s">
        <v>119</v>
      </c>
      <c r="V48" s="44"/>
      <c r="W48" s="37" t="str">
        <f>IFERROR(__xludf.DUMMYFUNCTION("IFERROR(VLOOKUP(G48,IMPORTRANGE(""https://docs.google.com/spreadsheets/d/12RxCea4e5ggM7QGn1XE3FbLQa_-QbCNdBi90OdPjRqg"", ""'Plan de Compras'!D4:Q""), 12, 0), ""NO ESTÁ EN REQ"")"),"NO ESTÁ EN REQ")</f>
        <v>NO ESTÁ EN REQ</v>
      </c>
      <c r="X48" s="37" t="str">
        <f>IFERROR(__xludf.DUMMYFUNCTION("IFERROR(VLOOKUP(G48,IMPORTRANGE(""https://docs.google.com/spreadsheets/d/12RxCea4e5ggM7QGn1XE3FbLQa_-QbCNdBi90OdPjRqg"", ""'Plan de Compras'!D4:Q""), 13, 0), """")"),"")</f>
        <v/>
      </c>
      <c r="Y48" s="32" t="str">
        <f>IFERROR(__xludf.DUMMYFUNCTION("IFERROR(VLOOKUP(G48,IMPORTRANGE(""https://docs.google.com/spreadsheets/d/12RxCea4e5ggM7QGn1XE3FbLQa_-QbCNdBi90OdPjRqg"", ""'Plan de Compras'!D4:Q""), 14, 0), """")"),"")</f>
        <v/>
      </c>
      <c r="Z48" s="38" t="str">
        <f>IFERROR(__xludf.DUMMYFUNCTION("IFERROR(VLOOKUP(G48,IMPORTRANGE(""https://docs.google.com/spreadsheets/d/12RxCea4e5ggM7QGn1XE3FbLQa_-QbCNdBi90OdPjRqg"", ""'Plan de Compras'!D4:Q""), 4, 0), """")"),"")</f>
        <v/>
      </c>
      <c r="AA48" s="38"/>
      <c r="AB48" s="37" t="str">
        <f>IFERROR(__xludf.DUMMYFUNCTION("IFERROR(IF(OR(C48=TRUE,C48=""""),VLOOKUP(G48,IMPORTRANGE(""https://docs.google.com/spreadsheets/d/1z9A1Wq-kKrhRNG5RS2a2fKpY1wIhSVz2ZNmP2mOl588/edit?usp=sharing"",""REQ VF!E4:H""),4,0),""NO APLICA""),""GENERAR REQ"")"),"NO APLICA")</f>
        <v>NO APLICA</v>
      </c>
      <c r="AC48" s="37" t="str">
        <f>IFERROR(__xludf.DUMMYFUNCTION("IFERROR(QUERY(IMPORTRANGE(""https://docs.google.com/spreadsheets/d/1z9A1Wq-kKrhRNG5RS2a2fKpY1wIhSVz2ZNmP2mOl588/edit?usp=sharing"",""REQ VF!E4:Q""),""SELECT Col10, Col11, Col12 WHERE Col1 = '""&amp;G48&amp;""'"",0),""NO APLICA"")"),"NO APLICA")</f>
        <v>NO APLICA</v>
      </c>
      <c r="AD48" s="37"/>
      <c r="AE48" s="37"/>
      <c r="AF48" s="13"/>
      <c r="AG48" s="13"/>
    </row>
    <row r="49">
      <c r="A49" s="26"/>
      <c r="B49" s="26"/>
      <c r="C49" s="26" t="b">
        <v>0</v>
      </c>
      <c r="D49" s="26" t="s">
        <v>42</v>
      </c>
      <c r="E49" s="26" t="s">
        <v>36</v>
      </c>
      <c r="F49" s="27" t="s">
        <v>183</v>
      </c>
      <c r="G49" s="39" t="s">
        <v>213</v>
      </c>
      <c r="H49" s="40" t="s">
        <v>214</v>
      </c>
      <c r="I49" s="43">
        <v>0.0</v>
      </c>
      <c r="J49" s="26" t="str">
        <f>IFERROR(__xludf.DUMMYFUNCTION("VLOOKUP(G49,IMPORTRANGE(""https://docs.google.com/spreadsheets/d/12RxCea4e5ggM7QGn1XE3FbLQa_-QbCNdBi90OdPjRqg/edit?gid=1692403370#gid=1692403370"", ""'Plan de Compras'!D4:2432""), 8,0)"),"#N/A")</f>
        <v>#N/A</v>
      </c>
      <c r="K49" s="26" t="str">
        <f t="shared" si="1"/>
        <v>-</v>
      </c>
      <c r="L49" s="26"/>
      <c r="M49" s="47"/>
      <c r="N49" s="26" t="s">
        <v>215</v>
      </c>
      <c r="O49" s="42" t="s">
        <v>187</v>
      </c>
      <c r="P49" s="26" t="s">
        <v>216</v>
      </c>
      <c r="Q49" s="46" t="s">
        <v>217</v>
      </c>
      <c r="R49" s="47"/>
      <c r="S49" s="34" t="b">
        <v>1</v>
      </c>
      <c r="T49" s="35" t="s">
        <v>187</v>
      </c>
      <c r="U49" s="35" t="s">
        <v>119</v>
      </c>
      <c r="V49" s="44"/>
      <c r="W49" s="37" t="str">
        <f>IFERROR(__xludf.DUMMYFUNCTION("IFERROR(VLOOKUP(G49,IMPORTRANGE(""https://docs.google.com/spreadsheets/d/12RxCea4e5ggM7QGn1XE3FbLQa_-QbCNdBi90OdPjRqg"", ""'Plan de Compras'!D4:Q""), 12, 0), ""NO ESTÁ EN REQ"")"),"NO ESTÁ EN REQ")</f>
        <v>NO ESTÁ EN REQ</v>
      </c>
      <c r="X49" s="37" t="str">
        <f>IFERROR(__xludf.DUMMYFUNCTION("IFERROR(VLOOKUP(G49,IMPORTRANGE(""https://docs.google.com/spreadsheets/d/12RxCea4e5ggM7QGn1XE3FbLQa_-QbCNdBi90OdPjRqg"", ""'Plan de Compras'!D4:Q""), 13, 0), """")"),"")</f>
        <v/>
      </c>
      <c r="Y49" s="32" t="str">
        <f>IFERROR(__xludf.DUMMYFUNCTION("IFERROR(VLOOKUP(G49,IMPORTRANGE(""https://docs.google.com/spreadsheets/d/12RxCea4e5ggM7QGn1XE3FbLQa_-QbCNdBi90OdPjRqg"", ""'Plan de Compras'!D4:Q""), 14, 0), """")"),"")</f>
        <v/>
      </c>
      <c r="Z49" s="38" t="str">
        <f>IFERROR(__xludf.DUMMYFUNCTION("IFERROR(VLOOKUP(G49,IMPORTRANGE(""https://docs.google.com/spreadsheets/d/12RxCea4e5ggM7QGn1XE3FbLQa_-QbCNdBi90OdPjRqg"", ""'Plan de Compras'!D4:Q""), 4, 0), """")"),"")</f>
        <v/>
      </c>
      <c r="AA49" s="38"/>
      <c r="AB49" s="37" t="str">
        <f>IFERROR(__xludf.DUMMYFUNCTION("IFERROR(IF(OR(C49=TRUE,C49=""""),VLOOKUP(G49,IMPORTRANGE(""https://docs.google.com/spreadsheets/d/1z9A1Wq-kKrhRNG5RS2a2fKpY1wIhSVz2ZNmP2mOl588/edit?usp=sharing"",""REQ VF!E4:H""),4,0),""NO APLICA""),""GENERAR REQ"")"),"NO APLICA")</f>
        <v>NO APLICA</v>
      </c>
      <c r="AC49" s="37" t="str">
        <f>IFERROR(__xludf.DUMMYFUNCTION("IFERROR(QUERY(IMPORTRANGE(""https://docs.google.com/spreadsheets/d/1z9A1Wq-kKrhRNG5RS2a2fKpY1wIhSVz2ZNmP2mOl588/edit?usp=sharing"",""REQ VF!E4:Q""),""SELECT Col10, Col11, Col12 WHERE Col1 = '""&amp;G49&amp;""'"",0),""NO APLICA"")"),"NO APLICA")</f>
        <v>NO APLICA</v>
      </c>
      <c r="AD49" s="37"/>
      <c r="AE49" s="37"/>
      <c r="AF49" s="13"/>
      <c r="AG49" s="13"/>
    </row>
    <row r="50">
      <c r="A50" s="26">
        <v>18.0</v>
      </c>
      <c r="B50" s="26" t="b">
        <v>1</v>
      </c>
      <c r="C50" s="26" t="b">
        <v>0</v>
      </c>
      <c r="D50" s="26" t="s">
        <v>35</v>
      </c>
      <c r="E50" s="26" t="s">
        <v>36</v>
      </c>
      <c r="F50" s="27" t="s">
        <v>218</v>
      </c>
      <c r="G50" s="37" t="s">
        <v>218</v>
      </c>
      <c r="H50" s="45" t="s">
        <v>219</v>
      </c>
      <c r="I50" s="43">
        <f>SUMIFS('Hoja 10'!$O:$O,'Hoja 10'!$F:$F,$G50)</f>
        <v>36</v>
      </c>
      <c r="J50" s="26" t="str">
        <f>IFERROR(__xludf.DUMMYFUNCTION("VLOOKUP(G50,IMPORTRANGE(""https://docs.google.com/spreadsheets/d/12RxCea4e5ggM7QGn1XE3FbLQa_-QbCNdBi90OdPjRqg/edit?gid=1692403370#gid=1692403370"", ""'Plan de Compras'!D4:2432""), 8,0)"),"#N/A")</f>
        <v>#N/A</v>
      </c>
      <c r="K50" s="26" t="str">
        <f t="shared" si="1"/>
        <v>-</v>
      </c>
      <c r="L50" s="29" t="s">
        <v>180</v>
      </c>
      <c r="M50" s="30" t="s">
        <v>181</v>
      </c>
      <c r="N50" s="26" t="s">
        <v>220</v>
      </c>
      <c r="O50" s="32" t="str">
        <f>VLOOKUP($G50,'Hoja 10'!$F$4:$AA478, 19,0)</f>
        <v>EAO</v>
      </c>
      <c r="P50" s="32" t="str">
        <f>VLOOKUP($G50,'Hoja 10'!$F$4:$AA478, 20,0)</f>
        <v>Botón Pulsador Industrial, Serie 45, 22 mm</v>
      </c>
      <c r="Q50" s="33" t="str">
        <f>VLOOKUP($G50,'Hoja 10'!$F$4:$AA478, 21,0)</f>
        <v>https://mexico.newark.com/eao/45-1231-31e6-000-101/illum-industrial-pb-sw-spst-10a/dp/98Y4507</v>
      </c>
      <c r="R50" s="30" t="s">
        <v>221</v>
      </c>
      <c r="S50" s="34" t="b">
        <v>1</v>
      </c>
      <c r="T50" s="35" t="str">
        <f>IFERROR(__xludf.DUMMYFUNCTION(" IF
( VLOOKUP($G50,IMPORTRANGE(""https://docs.google.com/spreadsheets/d/1Gpl6jkTg7sL4VDNimUm3S9Vi1i95esohXCF3wuKOE8c"", ""'CONSOLIDADO'!G5:AB""), 10, 0) &lt;&gt; 0, 
IFERROR(VLOOKUP($G50,IMPORTRANGE(""https://docs.google.com/spreadsheets/d/1Gpl6jkTg7sL4VDNimUm3"&amp;"S9Vi1i95esohXCF3wuKOE8c"", ""'CONSOLIDADO'!G5:AB""), 17, 0), ""-""),
""""
)"),"STECK")</f>
        <v>STECK</v>
      </c>
      <c r="U50" s="35" t="str">
        <f>IFERROR(__xludf.DUMMYFUNCTION(" IF
( VLOOKUP($G50,IMPORTRANGE(""https://docs.google.com/spreadsheets/d/1Gpl6jkTg7sL4VDNimUm3S9Vi1i95esohXCF3wuKOE8c"", ""'CONSOLIDADO'!G5:AB""), 10, 0) &lt;&gt; 0, 
IFERROR(VLOOKUP($G50,IMPORTRANGE(""https://docs.google.com/spreadsheets/d/1Gpl6jkTg7sL4VDNimUm3"&amp;"S9Vi1i95esohXCF3wuKOE8c"", ""'CONSOLIDADO'!G5:AB""), 18, 0), ""-""),
""""
)"),"VARIOS 6")</f>
        <v>VARIOS 6</v>
      </c>
      <c r="V50" s="36" t="str">
        <f>IFERROR(__xludf.DUMMYFUNCTION(" IF
( VLOOKUP($G50,IMPORTRANGE(""https://docs.google.com/spreadsheets/d/1Gpl6jkTg7sL4VDNimUm3S9Vi1i95esohXCF3wuKOE8c"", ""'CONSOLIDADO'!G5:AB""), 10, 0) &lt;&gt; 0, 
IFERROR(VLOOKUP($G50,IMPORTRANGE(""https://docs.google.com/spreadsheets/d/1Gpl6jkTg7sL4VDNimUm3"&amp;"S9Vi1i95esohXCF3wuKOE8c"", ""'CONSOLIDADO'!G5:AB""), 19, 0), ""-""),
""""
)"),"https://bucket-site-steck.s3.sa-east-1.amazonaws.com/ProductDocument/317.pdf")</f>
        <v>https://bucket-site-steck.s3.sa-east-1.amazonaws.com/ProductDocument/317.pdf</v>
      </c>
      <c r="W50" s="37" t="str">
        <f>IFERROR(__xludf.DUMMYFUNCTION("IFERROR(VLOOKUP(G50,IMPORTRANGE(""https://docs.google.com/spreadsheets/d/12RxCea4e5ggM7QGn1XE3FbLQa_-QbCNdBi90OdPjRqg"", ""'Plan de Compras'!D4:Q""), 12, 0), ""NO ESTÁ EN REQ"")"),"NO ESTÁ EN REQ")</f>
        <v>NO ESTÁ EN REQ</v>
      </c>
      <c r="X50" s="37" t="str">
        <f>IFERROR(__xludf.DUMMYFUNCTION("IFERROR(VLOOKUP(G50,IMPORTRANGE(""https://docs.google.com/spreadsheets/d/12RxCea4e5ggM7QGn1XE3FbLQa_-QbCNdBi90OdPjRqg"", ""'Plan de Compras'!D4:Q""), 13, 0), """")"),"")</f>
        <v/>
      </c>
      <c r="Y50" s="32" t="str">
        <f>IFERROR(__xludf.DUMMYFUNCTION("IFERROR(VLOOKUP(G50,IMPORTRANGE(""https://docs.google.com/spreadsheets/d/12RxCea4e5ggM7QGn1XE3FbLQa_-QbCNdBi90OdPjRqg"", ""'Plan de Compras'!D4:Q""), 14, 0), """")"),"")</f>
        <v/>
      </c>
      <c r="Z50" s="38" t="str">
        <f>IFERROR(__xludf.DUMMYFUNCTION("IFERROR(VLOOKUP(G50,IMPORTRANGE(""https://docs.google.com/spreadsheets/d/12RxCea4e5ggM7QGn1XE3FbLQa_-QbCNdBi90OdPjRqg"", ""'Plan de Compras'!D4:Q""), 4, 0), """")"),"")</f>
        <v/>
      </c>
      <c r="AA50" s="38"/>
      <c r="AB50" s="37" t="str">
        <f>IFERROR(__xludf.DUMMYFUNCTION("IFERROR(IF(OR(C50=TRUE,C50=""""),VLOOKUP(G50,IMPORTRANGE(""https://docs.google.com/spreadsheets/d/1z9A1Wq-kKrhRNG5RS2a2fKpY1wIhSVz2ZNmP2mOl588/edit?usp=sharing"",""REQ VF!E4:H""),4,0),""NO APLICA""),""GENERAR REQ"")"),"NO APLICA")</f>
        <v>NO APLICA</v>
      </c>
      <c r="AC50" s="37" t="str">
        <f>IFERROR(__xludf.DUMMYFUNCTION("IFERROR(QUERY(IMPORTRANGE(""https://docs.google.com/spreadsheets/d/1z9A1Wq-kKrhRNG5RS2a2fKpY1wIhSVz2ZNmP2mOl588/edit?usp=sharing"",""REQ VF!E4:Q""),""SELECT Col10, Col11, Col12 WHERE Col1 = '""&amp;G50&amp;""'"",0),""NO APLICA"")"),"NO APLICA")</f>
        <v>NO APLICA</v>
      </c>
      <c r="AD50" s="37"/>
      <c r="AE50" s="37"/>
      <c r="AF50" s="13"/>
      <c r="AG50" s="13"/>
    </row>
    <row r="51">
      <c r="A51" s="26"/>
      <c r="B51" s="26"/>
      <c r="C51" s="26" t="b">
        <v>1</v>
      </c>
      <c r="D51" s="26" t="s">
        <v>95</v>
      </c>
      <c r="E51" s="26" t="s">
        <v>36</v>
      </c>
      <c r="F51" s="27" t="s">
        <v>218</v>
      </c>
      <c r="G51" s="39" t="s">
        <v>222</v>
      </c>
      <c r="H51" s="40" t="s">
        <v>223</v>
      </c>
      <c r="I51" s="43">
        <f t="shared" ref="I51:I53" si="9">$I$50</f>
        <v>36</v>
      </c>
      <c r="J51" s="26">
        <f>IFERROR(__xludf.DUMMYFUNCTION("VLOOKUP(G51,IMPORTRANGE(""https://docs.google.com/spreadsheets/d/12RxCea4e5ggM7QGn1XE3FbLQa_-QbCNdBi90OdPjRqg/edit?gid=1692403370#gid=1692403370"", ""'Plan de Compras'!D4:2432""), 8,0)"),36.0)</f>
        <v>36</v>
      </c>
      <c r="K51" s="26" t="str">
        <f t="shared" si="1"/>
        <v>SI</v>
      </c>
      <c r="L51" s="26"/>
      <c r="M51" s="61"/>
      <c r="N51" s="26"/>
      <c r="O51" s="32"/>
      <c r="P51" s="32"/>
      <c r="Q51" s="41"/>
      <c r="R51" s="32"/>
      <c r="S51" s="34" t="b">
        <v>1</v>
      </c>
      <c r="T51" s="35" t="s">
        <v>224</v>
      </c>
      <c r="U51" s="35" t="s">
        <v>225</v>
      </c>
      <c r="V51" s="44"/>
      <c r="W51" s="37" t="str">
        <f>IFERROR(__xludf.DUMMYFUNCTION("IFERROR(VLOOKUP(G51,IMPORTRANGE(""https://docs.google.com/spreadsheets/d/12RxCea4e5ggM7QGn1XE3FbLQa_-QbCNdBi90OdPjRqg"", ""'Plan de Compras'!D4:Q""), 12, 0), ""NO ESTÁ EN REQ"")"),"Técnica")</f>
        <v>Técnica</v>
      </c>
      <c r="X51" s="37" t="str">
        <f>IFERROR(__xludf.DUMMYFUNCTION("IFERROR(VLOOKUP(G51,IMPORTRANGE(""https://docs.google.com/spreadsheets/d/12RxCea4e5ggM7QGn1XE3FbLQa_-QbCNdBi90OdPjRqg"", ""'Plan de Compras'!D4:Q""), 13, 0), """")"),"NACIONAL")</f>
        <v>NACIONAL</v>
      </c>
      <c r="Y51" s="32" t="str">
        <f>IFERROR(__xludf.DUMMYFUNCTION("IFERROR(VLOOKUP(G51,IMPORTRANGE(""https://docs.google.com/spreadsheets/d/12RxCea4e5ggM7QGn1XE3FbLQa_-QbCNdBi90OdPjRqg"", ""'Plan de Compras'!D4:Q""), 14, 0), """")"),"ALFIO")</f>
        <v>ALFIO</v>
      </c>
      <c r="Z51" s="38" t="str">
        <f>IFERROR(__xludf.DUMMYFUNCTION("IFERROR(VLOOKUP(G51,IMPORTRANGE(""https://docs.google.com/spreadsheets/d/12RxCea4e5ggM7QGn1XE3FbLQa_-QbCNdBi90OdPjRqg"", ""'Plan de Compras'!D4:Q""), 4, 0), """")"),"BOTÓN PULSADOR INDUSTRIAL VERDE (1 UND)")</f>
        <v>BOTÓN PULSADOR INDUSTRIAL VERDE (1 UND)</v>
      </c>
      <c r="AA51" s="38" t="str">
        <f t="shared" ref="AA51:AA53" si="10">IF(H51=Z51,"TRUE", "FALSE")</f>
        <v>TRUE</v>
      </c>
      <c r="AB51" s="37" t="str">
        <f>IFERROR(__xludf.DUMMYFUNCTION("IFERROR(IF(OR(C51=TRUE,C51=""""),VLOOKUP(G51,IMPORTRANGE(""https://docs.google.com/spreadsheets/d/1z9A1Wq-kKrhRNG5RS2a2fKpY1wIhSVz2ZNmP2mOl588/edit?usp=sharing"",""REQ VF!E4:H""),4,0),""NO APLICA""),""GENERAR REQ"")"),"GENERAR REQ")</f>
        <v>GENERAR REQ</v>
      </c>
      <c r="AC51" s="37" t="str">
        <f>IFERROR(__xludf.DUMMYFUNCTION("IFERROR(QUERY(IMPORTRANGE(""https://docs.google.com/spreadsheets/d/1z9A1Wq-kKrhRNG5RS2a2fKpY1wIhSVz2ZNmP2mOl588/edit?usp=sharing"",""REQ VF!E4:Q""),""SELECT Col10, Col11, Col12 WHERE Col1 = '""&amp;G51&amp;""'"",0),""NO APLICA"")"),"NO APLICA")</f>
        <v>NO APLICA</v>
      </c>
      <c r="AD51" s="37"/>
      <c r="AE51" s="37"/>
      <c r="AF51" s="13"/>
      <c r="AG51" s="13"/>
    </row>
    <row r="52">
      <c r="A52" s="26"/>
      <c r="B52" s="26"/>
      <c r="C52" s="26" t="b">
        <v>1</v>
      </c>
      <c r="D52" s="26" t="s">
        <v>95</v>
      </c>
      <c r="E52" s="26" t="s">
        <v>36</v>
      </c>
      <c r="F52" s="27" t="s">
        <v>218</v>
      </c>
      <c r="G52" s="39" t="s">
        <v>226</v>
      </c>
      <c r="H52" s="40" t="s">
        <v>227</v>
      </c>
      <c r="I52" s="43">
        <f t="shared" si="9"/>
        <v>36</v>
      </c>
      <c r="J52" s="26">
        <f>IFERROR(__xludf.DUMMYFUNCTION("VLOOKUP(G52,IMPORTRANGE(""https://docs.google.com/spreadsheets/d/12RxCea4e5ggM7QGn1XE3FbLQa_-QbCNdBi90OdPjRqg/edit?gid=1692403370#gid=1692403370"", ""'Plan de Compras'!D4:2432""), 8,0)"),36.0)</f>
        <v>36</v>
      </c>
      <c r="K52" s="26" t="str">
        <f t="shared" si="1"/>
        <v>SI</v>
      </c>
      <c r="L52" s="26"/>
      <c r="M52" s="61"/>
      <c r="N52" s="26"/>
      <c r="O52" s="32"/>
      <c r="P52" s="32"/>
      <c r="Q52" s="41"/>
      <c r="R52" s="32"/>
      <c r="S52" s="34" t="b">
        <v>1</v>
      </c>
      <c r="T52" s="35" t="s">
        <v>224</v>
      </c>
      <c r="U52" s="35" t="s">
        <v>228</v>
      </c>
      <c r="V52" s="44"/>
      <c r="W52" s="37" t="str">
        <f>IFERROR(__xludf.DUMMYFUNCTION("IFERROR(VLOOKUP(G52,IMPORTRANGE(""https://docs.google.com/spreadsheets/d/12RxCea4e5ggM7QGn1XE3FbLQa_-QbCNdBi90OdPjRqg"", ""'Plan de Compras'!D4:Q""), 12, 0), ""NO ESTÁ EN REQ"")"),"Técnica")</f>
        <v>Técnica</v>
      </c>
      <c r="X52" s="37" t="str">
        <f>IFERROR(__xludf.DUMMYFUNCTION("IFERROR(VLOOKUP(G52,IMPORTRANGE(""https://docs.google.com/spreadsheets/d/12RxCea4e5ggM7QGn1XE3FbLQa_-QbCNdBi90OdPjRqg"", ""'Plan de Compras'!D4:Q""), 13, 0), """")"),"NACIONAL")</f>
        <v>NACIONAL</v>
      </c>
      <c r="Y52" s="32" t="str">
        <f>IFERROR(__xludf.DUMMYFUNCTION("IFERROR(VLOOKUP(G52,IMPORTRANGE(""https://docs.google.com/spreadsheets/d/12RxCea4e5ggM7QGn1XE3FbLQa_-QbCNdBi90OdPjRqg"", ""'Plan de Compras'!D4:Q""), 14, 0), """")"),"ALFIO")</f>
        <v>ALFIO</v>
      </c>
      <c r="Z52" s="38" t="str">
        <f>IFERROR(__xludf.DUMMYFUNCTION("IFERROR(VLOOKUP(G52,IMPORTRANGE(""https://docs.google.com/spreadsheets/d/12RxCea4e5ggM7QGn1XE3FbLQa_-QbCNdBi90OdPjRqg"", ""'Plan de Compras'!D4:Q""), 4, 0), """")"),"BOTÓN PULSADOR INDUSTRIAL AMARILLO (1 UND)")</f>
        <v>BOTÓN PULSADOR INDUSTRIAL AMARILLO (1 UND)</v>
      </c>
      <c r="AA52" s="38" t="str">
        <f t="shared" si="10"/>
        <v>TRUE</v>
      </c>
      <c r="AB52" s="37" t="str">
        <f>IFERROR(__xludf.DUMMYFUNCTION("IFERROR(IF(OR(C52=TRUE,C52=""""),VLOOKUP(G52,IMPORTRANGE(""https://docs.google.com/spreadsheets/d/1z9A1Wq-kKrhRNG5RS2a2fKpY1wIhSVz2ZNmP2mOl588/edit?usp=sharing"",""REQ VF!E4:H""),4,0),""NO APLICA""),""GENERAR REQ"")"),"GENERAR REQ")</f>
        <v>GENERAR REQ</v>
      </c>
      <c r="AC52" s="37" t="str">
        <f>IFERROR(__xludf.DUMMYFUNCTION("IFERROR(QUERY(IMPORTRANGE(""https://docs.google.com/spreadsheets/d/1z9A1Wq-kKrhRNG5RS2a2fKpY1wIhSVz2ZNmP2mOl588/edit?usp=sharing"",""REQ VF!E4:Q""),""SELECT Col10, Col11, Col12 WHERE Col1 = '""&amp;G52&amp;""'"",0),""NO APLICA"")"),"NO APLICA")</f>
        <v>NO APLICA</v>
      </c>
      <c r="AD52" s="37"/>
      <c r="AE52" s="37"/>
      <c r="AF52" s="13"/>
      <c r="AG52" s="13"/>
    </row>
    <row r="53">
      <c r="A53" s="26"/>
      <c r="B53" s="26"/>
      <c r="C53" s="26" t="b">
        <v>1</v>
      </c>
      <c r="D53" s="26" t="s">
        <v>95</v>
      </c>
      <c r="E53" s="26" t="s">
        <v>36</v>
      </c>
      <c r="F53" s="27" t="s">
        <v>218</v>
      </c>
      <c r="G53" s="39" t="s">
        <v>229</v>
      </c>
      <c r="H53" s="40" t="s">
        <v>230</v>
      </c>
      <c r="I53" s="43">
        <f t="shared" si="9"/>
        <v>36</v>
      </c>
      <c r="J53" s="26">
        <f>IFERROR(__xludf.DUMMYFUNCTION("VLOOKUP(G53,IMPORTRANGE(""https://docs.google.com/spreadsheets/d/12RxCea4e5ggM7QGn1XE3FbLQa_-QbCNdBi90OdPjRqg/edit?gid=1692403370#gid=1692403370"", ""'Plan de Compras'!D4:2432""), 8,0)"),36.0)</f>
        <v>36</v>
      </c>
      <c r="K53" s="26" t="str">
        <f t="shared" si="1"/>
        <v>SI</v>
      </c>
      <c r="L53" s="26"/>
      <c r="M53" s="61"/>
      <c r="N53" s="26"/>
      <c r="O53" s="32"/>
      <c r="P53" s="32"/>
      <c r="Q53" s="41"/>
      <c r="R53" s="32"/>
      <c r="S53" s="34" t="b">
        <v>1</v>
      </c>
      <c r="T53" s="35" t="s">
        <v>224</v>
      </c>
      <c r="U53" s="35" t="s">
        <v>231</v>
      </c>
      <c r="V53" s="44"/>
      <c r="W53" s="37" t="str">
        <f>IFERROR(__xludf.DUMMYFUNCTION("IFERROR(VLOOKUP(G53,IMPORTRANGE(""https://docs.google.com/spreadsheets/d/12RxCea4e5ggM7QGn1XE3FbLQa_-QbCNdBi90OdPjRqg"", ""'Plan de Compras'!D4:Q""), 12, 0), ""NO ESTÁ EN REQ"")"),"Técnica")</f>
        <v>Técnica</v>
      </c>
      <c r="X53" s="37" t="str">
        <f>IFERROR(__xludf.DUMMYFUNCTION("IFERROR(VLOOKUP(G53,IMPORTRANGE(""https://docs.google.com/spreadsheets/d/12RxCea4e5ggM7QGn1XE3FbLQa_-QbCNdBi90OdPjRqg"", ""'Plan de Compras'!D4:Q""), 13, 0), """")"),"NACIONAL")</f>
        <v>NACIONAL</v>
      </c>
      <c r="Y53" s="32" t="str">
        <f>IFERROR(__xludf.DUMMYFUNCTION("IFERROR(VLOOKUP(G53,IMPORTRANGE(""https://docs.google.com/spreadsheets/d/12RxCea4e5ggM7QGn1XE3FbLQa_-QbCNdBi90OdPjRqg"", ""'Plan de Compras'!D4:Q""), 14, 0), """")"),"ALFIO")</f>
        <v>ALFIO</v>
      </c>
      <c r="Z53" s="38" t="str">
        <f>IFERROR(__xludf.DUMMYFUNCTION("IFERROR(VLOOKUP(G53,IMPORTRANGE(""https://docs.google.com/spreadsheets/d/12RxCea4e5ggM7QGn1XE3FbLQa_-QbCNdBi90OdPjRqg"", ""'Plan de Compras'!D4:Q""), 4, 0), """")"),"BOTÓN PULSADOR INDUSTRIAL ROJO (1 UND)")</f>
        <v>BOTÓN PULSADOR INDUSTRIAL ROJO (1 UND)</v>
      </c>
      <c r="AA53" s="38" t="str">
        <f t="shared" si="10"/>
        <v>TRUE</v>
      </c>
      <c r="AB53" s="37" t="str">
        <f>IFERROR(__xludf.DUMMYFUNCTION("IFERROR(IF(OR(C53=TRUE,C53=""""),VLOOKUP(G53,IMPORTRANGE(""https://docs.google.com/spreadsheets/d/1z9A1Wq-kKrhRNG5RS2a2fKpY1wIhSVz2ZNmP2mOl588/edit?usp=sharing"",""REQ VF!E4:H""),4,0),""NO APLICA""),""GENERAR REQ"")"),"GENERAR REQ")</f>
        <v>GENERAR REQ</v>
      </c>
      <c r="AC53" s="37" t="str">
        <f>IFERROR(__xludf.DUMMYFUNCTION("IFERROR(QUERY(IMPORTRANGE(""https://docs.google.com/spreadsheets/d/1z9A1Wq-kKrhRNG5RS2a2fKpY1wIhSVz2ZNmP2mOl588/edit?usp=sharing"",""REQ VF!E4:Q""),""SELECT Col10, Col11, Col12 WHERE Col1 = '""&amp;G53&amp;""'"",0),""NO APLICA"")"),"NO APLICA")</f>
        <v>NO APLICA</v>
      </c>
      <c r="AD53" s="37"/>
      <c r="AE53" s="37"/>
      <c r="AF53" s="13"/>
      <c r="AG53" s="13"/>
    </row>
    <row r="54">
      <c r="A54" s="26"/>
      <c r="B54" s="26"/>
      <c r="C54" s="26" t="b">
        <v>1</v>
      </c>
      <c r="D54" s="43" t="s">
        <v>95</v>
      </c>
      <c r="E54" s="43" t="s">
        <v>36</v>
      </c>
      <c r="F54" s="37" t="s">
        <v>218</v>
      </c>
      <c r="G54" s="39" t="s">
        <v>232</v>
      </c>
      <c r="H54" s="40" t="s">
        <v>233</v>
      </c>
      <c r="I54" s="43">
        <f>I50*3</f>
        <v>108</v>
      </c>
      <c r="J54" s="26">
        <f>IFERROR(__xludf.DUMMYFUNCTION("VLOOKUP(G54,IMPORTRANGE(""https://docs.google.com/spreadsheets/d/12RxCea4e5ggM7QGn1XE3FbLQa_-QbCNdBi90OdPjRqg/edit?gid=1692403370#gid=1692403370"", ""'Plan de Compras'!D4:2432""), 8,0)"),108.0)</f>
        <v>108</v>
      </c>
      <c r="K54" s="26" t="str">
        <f t="shared" si="1"/>
        <v>SI</v>
      </c>
      <c r="L54" s="26"/>
      <c r="M54" s="61"/>
      <c r="N54" s="26"/>
      <c r="O54" s="32"/>
      <c r="P54" s="32"/>
      <c r="Q54" s="41"/>
      <c r="R54" s="32"/>
      <c r="S54" s="34" t="b">
        <v>1</v>
      </c>
      <c r="T54" s="35" t="s">
        <v>224</v>
      </c>
      <c r="U54" s="35" t="s">
        <v>234</v>
      </c>
      <c r="V54" s="44"/>
      <c r="W54" s="37" t="str">
        <f>IFERROR(__xludf.DUMMYFUNCTION("IFERROR(VLOOKUP(G54,IMPORTRANGE(""https://docs.google.com/spreadsheets/d/12RxCea4e5ggM7QGn1XE3FbLQa_-QbCNdBi90OdPjRqg"", ""'Plan de Compras'!D4:Q""), 12, 0), ""NO ESTÁ EN REQ"")"),"Simple")</f>
        <v>Simple</v>
      </c>
      <c r="X54" s="37" t="str">
        <f>IFERROR(__xludf.DUMMYFUNCTION("IFERROR(VLOOKUP(G54,IMPORTRANGE(""https://docs.google.com/spreadsheets/d/12RxCea4e5ggM7QGn1XE3FbLQa_-QbCNdBi90OdPjRqg"", ""'Plan de Compras'!D4:Q""), 13, 0), """")"),"NACIONAL")</f>
        <v>NACIONAL</v>
      </c>
      <c r="Y54" s="32" t="str">
        <f>IFERROR(__xludf.DUMMYFUNCTION("IFERROR(VLOOKUP(G54,IMPORTRANGE(""https://docs.google.com/spreadsheets/d/12RxCea4e5ggM7QGn1XE3FbLQa_-QbCNdBi90OdPjRqg"", ""'Plan de Compras'!D4:Q""), 14, 0), """")"),"JESSICA")</f>
        <v>JESSICA</v>
      </c>
      <c r="Z54" s="38" t="str">
        <f>IFERROR(__xludf.DUMMYFUNCTION("IFERROR(VLOOKUP(G54,IMPORTRANGE(""https://docs.google.com/spreadsheets/d/12RxCea4e5ggM7QGn1XE3FbLQa_-QbCNdBi90OdPjRqg"", ""'Plan de Compras'!D4:Q""), 4, 0), """")"),"BLOQUE DE CONTACTO (3 UND)")</f>
        <v>BLOQUE DE CONTACTO (3 UND)</v>
      </c>
      <c r="AA54" s="38"/>
      <c r="AB54" s="37" t="str">
        <f>IFERROR(__xludf.DUMMYFUNCTION("IFERROR(IF(OR(C54=TRUE,C54=""""),VLOOKUP(G54,IMPORTRANGE(""https://docs.google.com/spreadsheets/d/1z9A1Wq-kKrhRNG5RS2a2fKpY1wIhSVz2ZNmP2mOl588/edit?usp=sharing"",""REQ VF!E4:H""),4,0),""NO APLICA""),""GENERAR REQ"")"),"GENERAR REQ")</f>
        <v>GENERAR REQ</v>
      </c>
      <c r="AC54" s="37" t="str">
        <f>IFERROR(__xludf.DUMMYFUNCTION("IFERROR(QUERY(IMPORTRANGE(""https://docs.google.com/spreadsheets/d/1z9A1Wq-kKrhRNG5RS2a2fKpY1wIhSVz2ZNmP2mOl588/edit?usp=sharing"",""REQ VF!E4:Q""),""SELECT Col10, Col11, Col12 WHERE Col1 = '""&amp;G54&amp;""'"",0),""NO APLICA"")"),"NO APLICA")</f>
        <v>NO APLICA</v>
      </c>
      <c r="AD54" s="37"/>
      <c r="AE54" s="37"/>
      <c r="AF54" s="13"/>
      <c r="AG54" s="13"/>
    </row>
    <row r="55">
      <c r="A55" s="26">
        <v>19.0</v>
      </c>
      <c r="B55" s="26" t="b">
        <v>1</v>
      </c>
      <c r="C55" s="26" t="b">
        <v>1</v>
      </c>
      <c r="D55" s="26" t="s">
        <v>35</v>
      </c>
      <c r="E55" s="26" t="s">
        <v>36</v>
      </c>
      <c r="F55" s="27" t="s">
        <v>235</v>
      </c>
      <c r="G55" s="37" t="s">
        <v>235</v>
      </c>
      <c r="H55" s="45" t="s">
        <v>236</v>
      </c>
      <c r="I55" s="26">
        <f>SUMIFS('Hoja 10'!$O:$O,'Hoja 10'!$F:$F,$G55)</f>
        <v>1</v>
      </c>
      <c r="J55" s="26">
        <f>IFERROR(__xludf.DUMMYFUNCTION("VLOOKUP(G55,IMPORTRANGE(""https://docs.google.com/spreadsheets/d/12RxCea4e5ggM7QGn1XE3FbLQa_-QbCNdBi90OdPjRqg/edit?gid=1692403370#gid=1692403370"", ""'Plan de Compras'!D4:2432""), 8,0)"),1.0)</f>
        <v>1</v>
      </c>
      <c r="K55" s="26" t="str">
        <f t="shared" si="1"/>
        <v>SI</v>
      </c>
      <c r="L55" s="29" t="s">
        <v>77</v>
      </c>
      <c r="M55" s="30" t="s">
        <v>78</v>
      </c>
      <c r="N55" s="26"/>
      <c r="O55" s="32" t="str">
        <f>VLOOKUP($G55,'Hoja 10'!$F$4:$AA478, 19,0)</f>
        <v>BOSCH</v>
      </c>
      <c r="P55" s="32" t="str">
        <f>VLOOKUP($G55,'Hoja 10'!$F$4:$AA478, 20,0)</f>
        <v>DIB091E50</v>
      </c>
      <c r="Q55" s="33" t="str">
        <f>VLOOKUP($G55,'Hoja 10'!$F$4:$AA478, 21,0)</f>
        <v>https://www.bosch-home.pe/electrodomesticos/DIB091E50#/Tabs=section-technicalspecs/Togglebox=manuals/</v>
      </c>
      <c r="R55" s="30" t="s">
        <v>237</v>
      </c>
      <c r="S55" s="34" t="b">
        <v>1</v>
      </c>
      <c r="T55" s="35" t="str">
        <f>IFERROR(__xludf.DUMMYFUNCTION(" IF
( VLOOKUP($G55,IMPORTRANGE(""https://docs.google.com/spreadsheets/d/1Gpl6jkTg7sL4VDNimUm3S9Vi1i95esohXCF3wuKOE8c"", ""'CONSOLIDADO'!G5:AB""), 10, 0) &lt;&gt; 0, 
IFERROR(VLOOKUP($G55,IMPORTRANGE(""https://docs.google.com/spreadsheets/d/1Gpl6jkTg7sL4VDNimUm3"&amp;"S9Vi1i95esohXCF3wuKOE8c"", ""'CONSOLIDADO'!G5:AB""), 17, 0), ""-""),
""""
)"),"TEKA")</f>
        <v>TEKA</v>
      </c>
      <c r="U55" s="35" t="str">
        <f>IFERROR(__xludf.DUMMYFUNCTION(" IF
( VLOOKUP($G55,IMPORTRANGE(""https://docs.google.com/spreadsheets/d/1Gpl6jkTg7sL4VDNimUm3S9Vi1i95esohXCF3wuKOE8c"", ""'CONSOLIDADO'!G5:AB""), 10, 0) &lt;&gt; 0, 
IFERROR(VLOOKUP($G55,IMPORTRANGE(""https://docs.google.com/spreadsheets/d/1Gpl6jkTg7sL4VDNimUm3"&amp;"S9Vi1i95esohXCF3wuKOE8c"", ""'CONSOLIDADO'!G5:AB""), 18, 0), ""-""),
""""
)"),"DPL Isla 1180")</f>
        <v>DPL Isla 1180</v>
      </c>
      <c r="V55" s="36" t="str">
        <f>IFERROR(__xludf.DUMMYFUNCTION(" IF
( VLOOKUP($G55,IMPORTRANGE(""https://docs.google.com/spreadsheets/d/1Gpl6jkTg7sL4VDNimUm3S9Vi1i95esohXCF3wuKOE8c"", ""'CONSOLIDADO'!G5:AB""), 10, 0) &lt;&gt; 0, 
IFERROR(VLOOKUP($G55,IMPORTRANGE(""https://docs.google.com/spreadsheets/d/1Gpl6jkTg7sL4VDNimUm3"&amp;"S9Vi1i95esohXCF3wuKOE8c"", ""'CONSOLIDADO'!G5:AB""), 19, 0), ""-""),
""""
)"),"https://www.teka.com/es-pe/producto/dpl-isla-1180_40483180/")</f>
        <v>https://www.teka.com/es-pe/producto/dpl-isla-1180_40483180/</v>
      </c>
      <c r="W55" s="37" t="str">
        <f>IFERROR(__xludf.DUMMYFUNCTION("IFERROR(VLOOKUP(G55,IMPORTRANGE(""https://docs.google.com/spreadsheets/d/12RxCea4e5ggM7QGn1XE3FbLQa_-QbCNdBi90OdPjRqg"", ""'Plan de Compras'!D4:Q""), 12, 0), ""NO ESTÁ EN REQ"")"),"Técnica")</f>
        <v>Técnica</v>
      </c>
      <c r="X55" s="37" t="str">
        <f>IFERROR(__xludf.DUMMYFUNCTION("IFERROR(VLOOKUP(G55,IMPORTRANGE(""https://docs.google.com/spreadsheets/d/12RxCea4e5ggM7QGn1XE3FbLQa_-QbCNdBi90OdPjRqg"", ""'Plan de Compras'!D4:Q""), 13, 0), """")"),"NACIONAL")</f>
        <v>NACIONAL</v>
      </c>
      <c r="Y55" s="32" t="str">
        <f>IFERROR(__xludf.DUMMYFUNCTION("IFERROR(VLOOKUP(G55,IMPORTRANGE(""https://docs.google.com/spreadsheets/d/12RxCea4e5ggM7QGn1XE3FbLQa_-QbCNdBi90OdPjRqg"", ""'Plan de Compras'!D4:Q""), 14, 0), """")"),"JESSICA")</f>
        <v>JESSICA</v>
      </c>
      <c r="Z55" s="38" t="str">
        <f>IFERROR(__xludf.DUMMYFUNCTION("IFERROR(VLOOKUP(G55,IMPORTRANGE(""https://docs.google.com/spreadsheets/d/12RxCea4e5ggM7QGn1XE3FbLQa_-QbCNdBi90OdPjRqg"", ""'Plan de Compras'!D4:Q""), 4, 0), """")"),"CAMPANA EXTRACTORA ISLA CON EQUIPOS DE EXTRACCIÓN")</f>
        <v>CAMPANA EXTRACTORA ISLA CON EQUIPOS DE EXTRACCIÓN</v>
      </c>
      <c r="AA55" s="38" t="str">
        <f>IF(H55=Z55,"TRUE", "FALSE")</f>
        <v>TRUE</v>
      </c>
      <c r="AB55" s="37" t="str">
        <f>IFERROR(__xludf.DUMMYFUNCTION("IFERROR(IF(OR(C55=TRUE,C55=""""),VLOOKUP(G55,IMPORTRANGE(""https://docs.google.com/spreadsheets/d/1z9A1Wq-kKrhRNG5RS2a2fKpY1wIhSVz2ZNmP2mOl588/edit?usp=sharing"",""REQ VF!E4:H""),4,0),""NO APLICA""),""GENERAR REQ"")"),"GENERAR REQ")</f>
        <v>GENERAR REQ</v>
      </c>
      <c r="AC55" s="37" t="str">
        <f>IFERROR(__xludf.DUMMYFUNCTION("IFERROR(QUERY(IMPORTRANGE(""https://docs.google.com/spreadsheets/d/1z9A1Wq-kKrhRNG5RS2a2fKpY1wIhSVz2ZNmP2mOl588/edit?usp=sharing"",""REQ VF!E4:Q""),""SELECT Col10, Col11, Col12 WHERE Col1 = '""&amp;G55&amp;""'"",0),""NO APLICA"")"),"NO APLICA")</f>
        <v>NO APLICA</v>
      </c>
      <c r="AD55" s="37"/>
      <c r="AE55" s="37"/>
      <c r="AF55" s="13"/>
      <c r="AG55" s="13"/>
    </row>
    <row r="56">
      <c r="A56" s="26"/>
      <c r="B56" s="26" t="b">
        <v>0</v>
      </c>
      <c r="C56" s="26" t="b">
        <v>1</v>
      </c>
      <c r="D56" s="26" t="s">
        <v>42</v>
      </c>
      <c r="E56" s="26"/>
      <c r="F56" s="27"/>
      <c r="G56" s="63" t="s">
        <v>238</v>
      </c>
      <c r="H56" s="64" t="s">
        <v>239</v>
      </c>
      <c r="I56" s="65">
        <v>1.0</v>
      </c>
      <c r="J56" s="26" t="str">
        <f>IFERROR(__xludf.DUMMYFUNCTION("VLOOKUP(G56,IMPORTRANGE(""https://docs.google.com/spreadsheets/d/12RxCea4e5ggM7QGn1XE3FbLQa_-QbCNdBi90OdPjRqg/edit?gid=1692403370#gid=1692403370"", ""'Plan de Compras'!D4:2432""), 8,0)"),"#N/A")</f>
        <v>#N/A</v>
      </c>
      <c r="K56" s="26" t="str">
        <f t="shared" si="1"/>
        <v>#N/A</v>
      </c>
      <c r="L56" s="29"/>
      <c r="M56" s="61"/>
      <c r="N56" s="26"/>
      <c r="O56" s="32"/>
      <c r="P56" s="32"/>
      <c r="Q56" s="41"/>
      <c r="R56" s="61"/>
      <c r="S56" s="34" t="b">
        <v>0</v>
      </c>
      <c r="T56" s="35"/>
      <c r="U56" s="35"/>
      <c r="V56" s="35"/>
      <c r="W56" s="37"/>
      <c r="X56" s="37"/>
      <c r="Y56" s="32"/>
      <c r="Z56" s="38"/>
      <c r="AA56" s="38"/>
      <c r="AB56" s="37"/>
      <c r="AC56" s="37"/>
      <c r="AD56" s="37"/>
      <c r="AE56" s="37"/>
      <c r="AF56" s="13"/>
      <c r="AG56" s="13"/>
    </row>
    <row r="57">
      <c r="A57" s="26">
        <v>20.0</v>
      </c>
      <c r="B57" s="26" t="b">
        <v>1</v>
      </c>
      <c r="C57" s="26" t="b">
        <v>1</v>
      </c>
      <c r="D57" s="26" t="s">
        <v>35</v>
      </c>
      <c r="E57" s="26" t="s">
        <v>36</v>
      </c>
      <c r="F57" s="27" t="s">
        <v>240</v>
      </c>
      <c r="G57" s="37" t="s">
        <v>240</v>
      </c>
      <c r="H57" s="45" t="s">
        <v>241</v>
      </c>
      <c r="I57" s="26">
        <f>SUMIFS('Hoja 10'!$O:$O,'Hoja 10'!$F:$F,$G57)</f>
        <v>4</v>
      </c>
      <c r="J57" s="26">
        <f>IFERROR(__xludf.DUMMYFUNCTION("VLOOKUP(G57,IMPORTRANGE(""https://docs.google.com/spreadsheets/d/12RxCea4e5ggM7QGn1XE3FbLQa_-QbCNdBi90OdPjRqg/edit?gid=1692403370#gid=1692403370"", ""'Plan de Compras'!D4:2432""), 8,0)"),4.0)</f>
        <v>4</v>
      </c>
      <c r="K57" s="26" t="str">
        <f t="shared" si="1"/>
        <v>SI</v>
      </c>
      <c r="L57" s="29" t="s">
        <v>122</v>
      </c>
      <c r="M57" s="30" t="s">
        <v>123</v>
      </c>
      <c r="N57" s="26"/>
      <c r="O57" s="32" t="str">
        <f>VLOOKUP($G57,'Hoja 10'!$F$4:$AA478, 19,0)</f>
        <v>B&amp;K Precision</v>
      </c>
      <c r="P57" s="32" t="str">
        <f>VLOOKUP($G57,'Hoja 10'!$F$4:$AA478, 20,0)</f>
        <v>879B</v>
      </c>
      <c r="Q57" s="33" t="str">
        <f>VLOOKUP($G57,'Hoja 10'!$F$4:$AA478, 21,0)</f>
        <v>https://www.bkprecision.com/products/component-testers/879B</v>
      </c>
      <c r="R57" s="30" t="s">
        <v>242</v>
      </c>
      <c r="S57" s="34" t="b">
        <v>1</v>
      </c>
      <c r="T57" s="35" t="str">
        <f>IFERROR(__xludf.DUMMYFUNCTION(" IF
( VLOOKUP($G57,IMPORTRANGE(""https://docs.google.com/spreadsheets/d/1Gpl6jkTg7sL4VDNimUm3S9Vi1i95esohXCF3wuKOE8c"", ""'CONSOLIDADO'!G5:AB""), 10, 0) &lt;&gt; 0, 
IFERROR(VLOOKUP($G57,IMPORTRANGE(""https://docs.google.com/spreadsheets/d/1Gpl6jkTg7sL4VDNimUm3"&amp;"S9Vi1i95esohXCF3wuKOE8c"", ""'CONSOLIDADO'!G5:AB""), 17, 0), ""-""),
""""
)"),"BK PRECISION")</f>
        <v>BK PRECISION</v>
      </c>
      <c r="U57" s="35">
        <f>IFERROR(__xludf.DUMMYFUNCTION(" IF
( VLOOKUP($G57,IMPORTRANGE(""https://docs.google.com/spreadsheets/d/1Gpl6jkTg7sL4VDNimUm3S9Vi1i95esohXCF3wuKOE8c"", ""'CONSOLIDADO'!G5:AB""), 10, 0) &lt;&gt; 0, 
IFERROR(VLOOKUP($G57,IMPORTRANGE(""https://docs.google.com/spreadsheets/d/1Gpl6jkTg7sL4VDNimUm3"&amp;"S9Vi1i95esohXCF3wuKOE8c"", ""'CONSOLIDADO'!G5:AB""), 18, 0), ""-""),
""""
)"),880.0)</f>
        <v>880</v>
      </c>
      <c r="V57" s="36" t="str">
        <f>IFERROR(__xludf.DUMMYFUNCTION(" IF
( VLOOKUP($G57,IMPORTRANGE(""https://docs.google.com/spreadsheets/d/1Gpl6jkTg7sL4VDNimUm3S9Vi1i95esohXCF3wuKOE8c"", ""'CONSOLIDADO'!G5:AB""), 10, 0) &lt;&gt; 0, 
IFERROR(VLOOKUP($G57,IMPORTRANGE(""https://docs.google.com/spreadsheets/d/1Gpl6jkTg7sL4VDNimUm3"&amp;"S9Vi1i95esohXCF3wuKOE8c"", ""'CONSOLIDADO'!G5:AB""), 19, 0), ""-""),
""""
)"),"https://cl.rsdelivers.com/product/bk-precision/bk880/medidor-lcr-bk-precision-de-mano-bk880-1000-h/20-mf/10-m%CF%89-frecuencia-max-100-khz/1752538")</f>
        <v>https://cl.rsdelivers.com/product/bk-precision/bk880/medidor-lcr-bk-precision-de-mano-bk880-1000-h/20-mf/10-m%CF%89-frecuencia-max-100-khz/1752538</v>
      </c>
      <c r="W57" s="37" t="str">
        <f>IFERROR(__xludf.DUMMYFUNCTION("IFERROR(VLOOKUP(G57,IMPORTRANGE(""https://docs.google.com/spreadsheets/d/12RxCea4e5ggM7QGn1XE3FbLQa_-QbCNdBi90OdPjRqg"", ""'Plan de Compras'!D4:Q""), 12, 0), ""NO ESTÁ EN REQ"")"),"Técnica")</f>
        <v>Técnica</v>
      </c>
      <c r="X57" s="37" t="str">
        <f>IFERROR(__xludf.DUMMYFUNCTION("IFERROR(VLOOKUP(G57,IMPORTRANGE(""https://docs.google.com/spreadsheets/d/12RxCea4e5ggM7QGn1XE3FbLQa_-QbCNdBi90OdPjRqg"", ""'Plan de Compras'!D4:Q""), 13, 0), """")"),"INTERNACIONAL")</f>
        <v>INTERNACIONAL</v>
      </c>
      <c r="Y57" s="32" t="str">
        <f>IFERROR(__xludf.DUMMYFUNCTION("IFERROR(VLOOKUP(G57,IMPORTRANGE(""https://docs.google.com/spreadsheets/d/12RxCea4e5ggM7QGn1XE3FbLQa_-QbCNdBi90OdPjRqg"", ""'Plan de Compras'!D4:Q""), 14, 0), """")"),"ALEJANDRA")</f>
        <v>ALEJANDRA</v>
      </c>
      <c r="Z57" s="38" t="str">
        <f>IFERROR(__xludf.DUMMYFUNCTION("IFERROR(VLOOKUP(G57,IMPORTRANGE(""https://docs.google.com/spreadsheets/d/12RxCea4e5ggM7QGn1XE3FbLQa_-QbCNdBi90OdPjRqg"", ""'Plan de Compras'!D4:Q""), 4, 0), """")"),"CAPACÍMETRO DIGITAL")</f>
        <v>CAPACÍMETRO DIGITAL</v>
      </c>
      <c r="AA57" s="38" t="str">
        <f t="shared" ref="AA57:AA86" si="11">IF(H57=Z57,"TRUE", "FALSE")</f>
        <v>TRUE</v>
      </c>
      <c r="AB57" s="37" t="str">
        <f>IFERROR(__xludf.DUMMYFUNCTION("IFERROR(IF(OR(C57=TRUE,C57=""""),VLOOKUP(G57,IMPORTRANGE(""https://docs.google.com/spreadsheets/d/1z9A1Wq-kKrhRNG5RS2a2fKpY1wIhSVz2ZNmP2mOl588/edit?usp=sharing"",""REQ VF!E4:H""),4,0),""NO APLICA""),""GENERAR REQ"")"),"GENERAR REQ")</f>
        <v>GENERAR REQ</v>
      </c>
      <c r="AC57" s="37" t="str">
        <f>IFERROR(__xludf.DUMMYFUNCTION("IFERROR(QUERY(IMPORTRANGE(""https://docs.google.com/spreadsheets/d/1z9A1Wq-kKrhRNG5RS2a2fKpY1wIhSVz2ZNmP2mOl588/edit?usp=sharing"",""REQ VF!E4:Q""),""SELECT Col10, Col11, Col12 WHERE Col1 = '""&amp;G57&amp;""'"",0),""NO APLICA"")"),"NO APLICA")</f>
        <v>NO APLICA</v>
      </c>
      <c r="AD57" s="37"/>
      <c r="AE57" s="37"/>
      <c r="AF57" s="13"/>
      <c r="AG57" s="13"/>
    </row>
    <row r="58">
      <c r="A58" s="26">
        <v>21.0</v>
      </c>
      <c r="B58" s="26" t="b">
        <v>1</v>
      </c>
      <c r="C58" s="26" t="b">
        <v>1</v>
      </c>
      <c r="D58" s="26" t="s">
        <v>35</v>
      </c>
      <c r="E58" s="26" t="s">
        <v>36</v>
      </c>
      <c r="F58" s="27" t="s">
        <v>243</v>
      </c>
      <c r="G58" s="37" t="s">
        <v>243</v>
      </c>
      <c r="H58" s="45" t="s">
        <v>244</v>
      </c>
      <c r="I58" s="26">
        <f>SUMIFS('Hoja 10'!$O:$O,'Hoja 10'!$F:$F,$G58)</f>
        <v>3</v>
      </c>
      <c r="J58" s="26">
        <f>IFERROR(__xludf.DUMMYFUNCTION("VLOOKUP(G58,IMPORTRANGE(""https://docs.google.com/spreadsheets/d/12RxCea4e5ggM7QGn1XE3FbLQa_-QbCNdBi90OdPjRqg/edit?gid=1692403370#gid=1692403370"", ""'Plan de Compras'!D4:2432""), 8,0)"),3.0)</f>
        <v>3</v>
      </c>
      <c r="K58" s="26" t="str">
        <f t="shared" si="1"/>
        <v>SI</v>
      </c>
      <c r="L58" s="29" t="s">
        <v>127</v>
      </c>
      <c r="M58" s="30" t="s">
        <v>105</v>
      </c>
      <c r="N58" s="26"/>
      <c r="O58" s="32" t="str">
        <f>VLOOKUP($G58,'Hoja 10'!$F$4:$AA478, 19,0)</f>
        <v>TELWIN</v>
      </c>
      <c r="P58" s="32" t="str">
        <f>VLOOKUP($G58,'Hoja 10'!$F$4:$AA478, 20,0)</f>
        <v>SPRINTER 4000 START 230V 12-24V		</v>
      </c>
      <c r="Q58" s="33" t="str">
        <f>VLOOKUP($G58,'Hoja 10'!$F$4:$AA478, 21,0)</f>
        <v>https://drive.google.com/file/d/1_jn_UgeZqoo6IhAYYliXXq72AL2uHU93/view?usp=sharing</v>
      </c>
      <c r="R58" s="30" t="s">
        <v>245</v>
      </c>
      <c r="S58" s="34" t="b">
        <v>1</v>
      </c>
      <c r="T58" s="35" t="str">
        <f>IFERROR(__xludf.DUMMYFUNCTION(" IF
( VLOOKUP($G58,IMPORTRANGE(""https://docs.google.com/spreadsheets/d/1Gpl6jkTg7sL4VDNimUm3S9Vi1i95esohXCF3wuKOE8c"", ""'CONSOLIDADO'!G5:AB""), 10, 0) &lt;&gt; 0, 
IFERROR(VLOOKUP($G58,IMPORTRANGE(""https://docs.google.com/spreadsheets/d/1Gpl6jkTg7sL4VDNimUm3"&amp;"S9Vi1i95esohXCF3wuKOE8c"", ""'CONSOLIDADO'!G5:AB""), 17, 0), ""-""),
""""
)"),"TELWIN")</f>
        <v>TELWIN</v>
      </c>
      <c r="U58" s="35" t="str">
        <f>IFERROR(__xludf.DUMMYFUNCTION(" IF
( VLOOKUP($G58,IMPORTRANGE(""https://docs.google.com/spreadsheets/d/1Gpl6jkTg7sL4VDNimUm3S9Vi1i95esohXCF3wuKOE8c"", ""'CONSOLIDADO'!G5:AB""), 10, 0) &lt;&gt; 0, 
IFERROR(VLOOKUP($G58,IMPORTRANGE(""https://docs.google.com/spreadsheets/d/1Gpl6jkTg7sL4VDNimUm3"&amp;"S9Vi1i95esohXCF3wuKOE8c"", ""'CONSOLIDADO'!G5:AB""), 18, 0), ""-""),
""""
)"),"SPRINTER 4000 START")</f>
        <v>SPRINTER 4000 START</v>
      </c>
      <c r="V58" s="36" t="str">
        <f>IFERROR(__xludf.DUMMYFUNCTION(" IF
( VLOOKUP($G58,IMPORTRANGE(""https://docs.google.com/spreadsheets/d/1Gpl6jkTg7sL4VDNimUm3S9Vi1i95esohXCF3wuKOE8c"", ""'CONSOLIDADO'!G5:AB""), 10, 0) &lt;&gt; 0, 
IFERROR(VLOOKUP($G58,IMPORTRANGE(""https://docs.google.com/spreadsheets/d/1Gpl6jkTg7sL4VDNimUm3"&amp;"S9Vi1i95esohXCF3wuKOE8c"", ""'CONSOLIDADO'!G5:AB""), 19, 0), ""-""),
""""
)"),"https://www.telwin.com/intl/es/productos/cargadores-de-bateria-y-arrancadores/829491")</f>
        <v>https://www.telwin.com/intl/es/productos/cargadores-de-bateria-y-arrancadores/829491</v>
      </c>
      <c r="W58" s="37" t="str">
        <f>IFERROR(__xludf.DUMMYFUNCTION("IFERROR(VLOOKUP(G58,IMPORTRANGE(""https://docs.google.com/spreadsheets/d/12RxCea4e5ggM7QGn1XE3FbLQa_-QbCNdBi90OdPjRqg"", ""'Plan de Compras'!D4:Q""), 12, 0), ""NO ESTÁ EN REQ"")"),"Técnica")</f>
        <v>Técnica</v>
      </c>
      <c r="X58" s="37" t="str">
        <f>IFERROR(__xludf.DUMMYFUNCTION("IFERROR(VLOOKUP(G58,IMPORTRANGE(""https://docs.google.com/spreadsheets/d/12RxCea4e5ggM7QGn1XE3FbLQa_-QbCNdBi90OdPjRqg"", ""'Plan de Compras'!D4:Q""), 13, 0), """")"),"NACIONAL")</f>
        <v>NACIONAL</v>
      </c>
      <c r="Y58" s="32" t="str">
        <f>IFERROR(__xludf.DUMMYFUNCTION("IFERROR(VLOOKUP(G58,IMPORTRANGE(""https://docs.google.com/spreadsheets/d/12RxCea4e5ggM7QGn1XE3FbLQa_-QbCNdBi90OdPjRqg"", ""'Plan de Compras'!D4:Q""), 14, 0), """")"),"ALFIO")</f>
        <v>ALFIO</v>
      </c>
      <c r="Z58" s="38" t="str">
        <f>IFERROR(__xludf.DUMMYFUNCTION("IFERROR(VLOOKUP(G58,IMPORTRANGE(""https://docs.google.com/spreadsheets/d/12RxCea4e5ggM7QGn1XE3FbLQa_-QbCNdBi90OdPjRqg"", ""'Plan de Compras'!D4:Q""), 4, 0), """")"),"CARGADOR DE BATERÍA")</f>
        <v>CARGADOR DE BATERÍA</v>
      </c>
      <c r="AA58" s="38" t="str">
        <f t="shared" si="11"/>
        <v>TRUE</v>
      </c>
      <c r="AB58" s="37" t="str">
        <f>IFERROR(__xludf.DUMMYFUNCTION("IFERROR(IF(OR(C58=TRUE,C58=""""),VLOOKUP(G58,IMPORTRANGE(""https://docs.google.com/spreadsheets/d/1z9A1Wq-kKrhRNG5RS2a2fKpY1wIhSVz2ZNmP2mOl588/edit?usp=sharing"",""REQ VF!E4:H""),4,0),""NO APLICA""),""GENERAR REQ"")"),"GENERAR REQ")</f>
        <v>GENERAR REQ</v>
      </c>
      <c r="AC58" s="37" t="str">
        <f>IFERROR(__xludf.DUMMYFUNCTION("IFERROR(QUERY(IMPORTRANGE(""https://docs.google.com/spreadsheets/d/1z9A1Wq-kKrhRNG5RS2a2fKpY1wIhSVz2ZNmP2mOl588/edit?usp=sharing"",""REQ VF!E4:Q""),""SELECT Col10, Col11, Col12 WHERE Col1 = '""&amp;G58&amp;""'"",0),""NO APLICA"")"),"NO APLICA")</f>
        <v>NO APLICA</v>
      </c>
      <c r="AD58" s="37"/>
      <c r="AE58" s="37"/>
      <c r="AF58" s="8" t="s">
        <v>52</v>
      </c>
      <c r="AG58" s="13"/>
    </row>
    <row r="59">
      <c r="A59" s="26">
        <v>22.0</v>
      </c>
      <c r="B59" s="26" t="b">
        <v>1</v>
      </c>
      <c r="C59" s="26" t="b">
        <v>1</v>
      </c>
      <c r="D59" s="26" t="s">
        <v>35</v>
      </c>
      <c r="E59" s="26" t="s">
        <v>36</v>
      </c>
      <c r="F59" s="27" t="s">
        <v>246</v>
      </c>
      <c r="G59" s="39" t="s">
        <v>246</v>
      </c>
      <c r="H59" s="40" t="s">
        <v>247</v>
      </c>
      <c r="I59" s="43">
        <f>SUMIFS('Hoja 10'!$O:$O,'Hoja 10'!$F:$F,$G59)</f>
        <v>4</v>
      </c>
      <c r="J59" s="26">
        <f>IFERROR(__xludf.DUMMYFUNCTION("VLOOKUP(G59,IMPORTRANGE(""https://docs.google.com/spreadsheets/d/12RxCea4e5ggM7QGn1XE3FbLQa_-QbCNdBi90OdPjRqg/edit?gid=1692403370#gid=1692403370"", ""'Plan de Compras'!D4:2432""), 8,0)"),4.0)</f>
        <v>4</v>
      </c>
      <c r="K59" s="26" t="str">
        <f t="shared" si="1"/>
        <v>SI</v>
      </c>
      <c r="L59" s="29" t="s">
        <v>122</v>
      </c>
      <c r="M59" s="30" t="s">
        <v>123</v>
      </c>
      <c r="N59" s="26"/>
      <c r="O59" s="32" t="str">
        <f>VLOOKUP($G59,'Hoja 10'!$F$4:$AA478, 19,0)</f>
        <v>Promatisa</v>
      </c>
      <c r="P59" s="32" t="str">
        <f>VLOOKUP($G59,'Hoja 10'!$F$4:$AA478, 20,0)</f>
        <v>Cautín eléctrico 220V – 30W tipo lapicero de madera</v>
      </c>
      <c r="Q59" s="33" t="str">
        <f>VLOOKUP($G59,'Hoja 10'!$F$4:$AA478, 21,0)</f>
        <v>https://www.promart.pe/cautin-electrico-220v-30w-t-lapicero-madera/p</v>
      </c>
      <c r="R59" s="30" t="s">
        <v>248</v>
      </c>
      <c r="S59" s="34" t="b">
        <v>1</v>
      </c>
      <c r="T59" s="35" t="s">
        <v>249</v>
      </c>
      <c r="U59" s="35" t="s">
        <v>250</v>
      </c>
      <c r="V59" s="36" t="s">
        <v>251</v>
      </c>
      <c r="W59" s="37" t="str">
        <f>IFERROR(__xludf.DUMMYFUNCTION("IFERROR(VLOOKUP(G59,IMPORTRANGE(""https://docs.google.com/spreadsheets/d/12RxCea4e5ggM7QGn1XE3FbLQa_-QbCNdBi90OdPjRqg"", ""'Plan de Compras'!D4:Q""), 12, 0), ""NO ESTÁ EN REQ"")"),"Simple")</f>
        <v>Simple</v>
      </c>
      <c r="X59" s="37" t="str">
        <f>IFERROR(__xludf.DUMMYFUNCTION("IFERROR(VLOOKUP(G59,IMPORTRANGE(""https://docs.google.com/spreadsheets/d/12RxCea4e5ggM7QGn1XE3FbLQa_-QbCNdBi90OdPjRqg"", ""'Plan de Compras'!D4:Q""), 13, 0), """")"),"NACIONAL")</f>
        <v>NACIONAL</v>
      </c>
      <c r="Y59" s="32" t="str">
        <f>IFERROR(__xludf.DUMMYFUNCTION("IFERROR(VLOOKUP(G59,IMPORTRANGE(""https://docs.google.com/spreadsheets/d/12RxCea4e5ggM7QGn1XE3FbLQa_-QbCNdBi90OdPjRqg"", ""'Plan de Compras'!D4:Q""), 14, 0), """")"),"OMAR")</f>
        <v>OMAR</v>
      </c>
      <c r="Z59" s="38" t="str">
        <f>IFERROR(__xludf.DUMMYFUNCTION("IFERROR(VLOOKUP(G59,IMPORTRANGE(""https://docs.google.com/spreadsheets/d/12RxCea4e5ggM7QGn1XE3FbLQa_-QbCNdBi90OdPjRqg"", ""'Plan de Compras'!D4:Q""), 4, 0), """")"),"CAUTÍN")</f>
        <v>CAUTÍN</v>
      </c>
      <c r="AA59" s="38" t="str">
        <f t="shared" si="11"/>
        <v>TRUE</v>
      </c>
      <c r="AB59" s="37" t="str">
        <f>IFERROR(__xludf.DUMMYFUNCTION("IFERROR(IF(OR(C59=TRUE,C59=""""),VLOOKUP(G59,IMPORTRANGE(""https://docs.google.com/spreadsheets/d/1z9A1Wq-kKrhRNG5RS2a2fKpY1wIhSVz2ZNmP2mOl588/edit?usp=sharing"",""REQ VF!E4:H""),4,0),""NO APLICA""),""GENERAR REQ"")"),"GENERAR REQ")</f>
        <v>GENERAR REQ</v>
      </c>
      <c r="AC59" s="37" t="str">
        <f>IFERROR(__xludf.DUMMYFUNCTION("IFERROR(QUERY(IMPORTRANGE(""https://docs.google.com/spreadsheets/d/1z9A1Wq-kKrhRNG5RS2a2fKpY1wIhSVz2ZNmP2mOl588/edit?usp=sharing"",""REQ VF!E4:Q""),""SELECT Col10, Col11, Col12 WHERE Col1 = '""&amp;G59&amp;""'"",0),""NO APLICA"")"),"NO APLICA")</f>
        <v>NO APLICA</v>
      </c>
      <c r="AD59" s="37"/>
      <c r="AE59" s="37"/>
      <c r="AF59" s="8" t="s">
        <v>52</v>
      </c>
      <c r="AG59" s="13"/>
    </row>
    <row r="60">
      <c r="A60" s="26"/>
      <c r="B60" s="26"/>
      <c r="C60" s="26" t="b">
        <v>1</v>
      </c>
      <c r="D60" s="26" t="s">
        <v>42</v>
      </c>
      <c r="E60" s="26" t="s">
        <v>36</v>
      </c>
      <c r="F60" s="27" t="s">
        <v>246</v>
      </c>
      <c r="G60" s="39" t="s">
        <v>252</v>
      </c>
      <c r="H60" s="40" t="s">
        <v>253</v>
      </c>
      <c r="I60" s="43">
        <f t="shared" ref="I60:I61" si="12">$I$59</f>
        <v>4</v>
      </c>
      <c r="J60" s="26">
        <f>IFERROR(__xludf.DUMMYFUNCTION("VLOOKUP(G60,IMPORTRANGE(""https://docs.google.com/spreadsheets/d/12RxCea4e5ggM7QGn1XE3FbLQa_-QbCNdBi90OdPjRqg/edit?gid=1692403370#gid=1692403370"", ""'Plan de Compras'!D4:2432""), 8,0)"),4.0)</f>
        <v>4</v>
      </c>
      <c r="K60" s="26" t="str">
        <f t="shared" si="1"/>
        <v>SI</v>
      </c>
      <c r="L60" s="26"/>
      <c r="M60" s="47"/>
      <c r="N60" s="26" t="s">
        <v>254</v>
      </c>
      <c r="O60" s="26"/>
      <c r="P60" s="26"/>
      <c r="Q60" s="55" t="s">
        <v>255</v>
      </c>
      <c r="R60" s="47"/>
      <c r="S60" s="34" t="b">
        <v>1</v>
      </c>
      <c r="T60" s="35" t="s">
        <v>256</v>
      </c>
      <c r="U60" s="35" t="s">
        <v>257</v>
      </c>
      <c r="V60" s="58" t="s">
        <v>258</v>
      </c>
      <c r="W60" s="37" t="str">
        <f>IFERROR(__xludf.DUMMYFUNCTION("IFERROR(VLOOKUP(G60,IMPORTRANGE(""https://docs.google.com/spreadsheets/d/12RxCea4e5ggM7QGn1XE3FbLQa_-QbCNdBi90OdPjRqg"", ""'Plan de Compras'!D4:Q""), 12, 0), ""NO ESTÁ EN REQ"")"),"Simple")</f>
        <v>Simple</v>
      </c>
      <c r="X60" s="37" t="str">
        <f>IFERROR(__xludf.DUMMYFUNCTION("IFERROR(VLOOKUP(G60,IMPORTRANGE(""https://docs.google.com/spreadsheets/d/12RxCea4e5ggM7QGn1XE3FbLQa_-QbCNdBi90OdPjRqg"", ""'Plan de Compras'!D4:Q""), 13, 0), """")"),"NACIONAL")</f>
        <v>NACIONAL</v>
      </c>
      <c r="Y60" s="32" t="str">
        <f>IFERROR(__xludf.DUMMYFUNCTION("IFERROR(VLOOKUP(G60,IMPORTRANGE(""https://docs.google.com/spreadsheets/d/12RxCea4e5ggM7QGn1XE3FbLQa_-QbCNdBi90OdPjRqg"", ""'Plan de Compras'!D4:Q""), 14, 0), """")"),"OMAR")</f>
        <v>OMAR</v>
      </c>
      <c r="Z60" s="38" t="str">
        <f>IFERROR(__xludf.DUMMYFUNCTION("IFERROR(VLOOKUP(G60,IMPORTRANGE(""https://docs.google.com/spreadsheets/d/12RxCea4e5ggM7QGn1XE3FbLQa_-QbCNdBi90OdPjRqg"", ""'Plan de Compras'!D4:Q""), 4, 0), """")"),"SOPORTE DE CAUTÍN (1 UND)")</f>
        <v>SOPORTE DE CAUTÍN (1 UND)</v>
      </c>
      <c r="AA60" s="38" t="str">
        <f t="shared" si="11"/>
        <v>TRUE</v>
      </c>
      <c r="AB60" s="37" t="str">
        <f>IFERROR(__xludf.DUMMYFUNCTION("IFERROR(IF(OR(C60=TRUE,C60=""""),VLOOKUP(G60,IMPORTRANGE(""https://docs.google.com/spreadsheets/d/1z9A1Wq-kKrhRNG5RS2a2fKpY1wIhSVz2ZNmP2mOl588/edit?usp=sharing"",""REQ VF!E4:H""),4,0),""NO APLICA""),""GENERAR REQ"")"),"GENERAR REQ")</f>
        <v>GENERAR REQ</v>
      </c>
      <c r="AC60" s="37" t="str">
        <f>IFERROR(__xludf.DUMMYFUNCTION("IFERROR(QUERY(IMPORTRANGE(""https://docs.google.com/spreadsheets/d/1z9A1Wq-kKrhRNG5RS2a2fKpY1wIhSVz2ZNmP2mOl588/edit?usp=sharing"",""REQ VF!E4:Q""),""SELECT Col10, Col11, Col12 WHERE Col1 = '""&amp;G60&amp;""'"",0),""NO APLICA"")"),"NO APLICA")</f>
        <v>NO APLICA</v>
      </c>
      <c r="AD60" s="37"/>
      <c r="AE60" s="37"/>
      <c r="AF60" s="8"/>
      <c r="AG60" s="13"/>
    </row>
    <row r="61">
      <c r="A61" s="26"/>
      <c r="B61" s="26"/>
      <c r="C61" s="26" t="b">
        <v>1</v>
      </c>
      <c r="D61" s="26" t="s">
        <v>42</v>
      </c>
      <c r="E61" s="26" t="s">
        <v>36</v>
      </c>
      <c r="F61" s="27" t="s">
        <v>246</v>
      </c>
      <c r="G61" s="39" t="s">
        <v>259</v>
      </c>
      <c r="H61" s="40" t="s">
        <v>260</v>
      </c>
      <c r="I61" s="43">
        <f t="shared" si="12"/>
        <v>4</v>
      </c>
      <c r="J61" s="26">
        <f>IFERROR(__xludf.DUMMYFUNCTION("VLOOKUP(G61,IMPORTRANGE(""https://docs.google.com/spreadsheets/d/12RxCea4e5ggM7QGn1XE3FbLQa_-QbCNdBi90OdPjRqg/edit?gid=1692403370#gid=1692403370"", ""'Plan de Compras'!D4:2432""), 8,0)"),4.0)</f>
        <v>4</v>
      </c>
      <c r="K61" s="26" t="str">
        <f t="shared" si="1"/>
        <v>SI</v>
      </c>
      <c r="L61" s="26"/>
      <c r="M61" s="47"/>
      <c r="N61" s="26" t="s">
        <v>261</v>
      </c>
      <c r="O61" s="26"/>
      <c r="P61" s="26"/>
      <c r="Q61" s="55" t="s">
        <v>262</v>
      </c>
      <c r="R61" s="47"/>
      <c r="S61" s="34" t="b">
        <v>1</v>
      </c>
      <c r="T61" s="35" t="s">
        <v>256</v>
      </c>
      <c r="U61" s="35" t="s">
        <v>263</v>
      </c>
      <c r="V61" s="56" t="s">
        <v>264</v>
      </c>
      <c r="W61" s="37" t="str">
        <f>IFERROR(__xludf.DUMMYFUNCTION("IFERROR(VLOOKUP(G61,IMPORTRANGE(""https://docs.google.com/spreadsheets/d/12RxCea4e5ggM7QGn1XE3FbLQa_-QbCNdBi90OdPjRqg"", ""'Plan de Compras'!D4:Q""), 12, 0), ""NO ESTÁ EN REQ"")"),"Simple")</f>
        <v>Simple</v>
      </c>
      <c r="X61" s="37" t="str">
        <f>IFERROR(__xludf.DUMMYFUNCTION("IFERROR(VLOOKUP(G61,IMPORTRANGE(""https://docs.google.com/spreadsheets/d/12RxCea4e5ggM7QGn1XE3FbLQa_-QbCNdBi90OdPjRqg"", ""'Plan de Compras'!D4:Q""), 13, 0), """")"),"NACIONAL")</f>
        <v>NACIONAL</v>
      </c>
      <c r="Y61" s="32" t="str">
        <f>IFERROR(__xludf.DUMMYFUNCTION("IFERROR(VLOOKUP(G61,IMPORTRANGE(""https://docs.google.com/spreadsheets/d/12RxCea4e5ggM7QGn1XE3FbLQa_-QbCNdBi90OdPjRqg"", ""'Plan de Compras'!D4:Q""), 14, 0), """")"),"OMAR")</f>
        <v>OMAR</v>
      </c>
      <c r="Z61" s="38" t="str">
        <f>IFERROR(__xludf.DUMMYFUNCTION("IFERROR(VLOOKUP(G61,IMPORTRANGE(""https://docs.google.com/spreadsheets/d/12RxCea4e5ggM7QGn1XE3FbLQa_-QbCNdBi90OdPjRqg"", ""'Plan de Compras'!D4:Q""), 4, 0), """")"),"LIMPIADOR DE PUNTA (1 UND)")</f>
        <v>LIMPIADOR DE PUNTA (1 UND)</v>
      </c>
      <c r="AA61" s="38" t="str">
        <f t="shared" si="11"/>
        <v>TRUE</v>
      </c>
      <c r="AB61" s="37" t="str">
        <f>IFERROR(__xludf.DUMMYFUNCTION("IFERROR(IF(OR(C61=TRUE,C61=""""),VLOOKUP(G61,IMPORTRANGE(""https://docs.google.com/spreadsheets/d/1z9A1Wq-kKrhRNG5RS2a2fKpY1wIhSVz2ZNmP2mOl588/edit?usp=sharing"",""REQ VF!E4:H""),4,0),""NO APLICA""),""GENERAR REQ"")"),"GENERAR REQ")</f>
        <v>GENERAR REQ</v>
      </c>
      <c r="AC61" s="37" t="str">
        <f>IFERROR(__xludf.DUMMYFUNCTION("IFERROR(QUERY(IMPORTRANGE(""https://docs.google.com/spreadsheets/d/1z9A1Wq-kKrhRNG5RS2a2fKpY1wIhSVz2ZNmP2mOl588/edit?usp=sharing"",""REQ VF!E4:Q""),""SELECT Col10, Col11, Col12 WHERE Col1 = '""&amp;G61&amp;""'"",0),""NO APLICA"")"),"NO APLICA")</f>
        <v>NO APLICA</v>
      </c>
      <c r="AD61" s="37"/>
      <c r="AE61" s="37"/>
      <c r="AF61" s="8"/>
      <c r="AG61" s="13"/>
    </row>
    <row r="62">
      <c r="A62" s="26">
        <v>23.0</v>
      </c>
      <c r="B62" s="26" t="b">
        <v>1</v>
      </c>
      <c r="C62" s="26" t="b">
        <v>1</v>
      </c>
      <c r="D62" s="26" t="s">
        <v>35</v>
      </c>
      <c r="E62" s="26" t="s">
        <v>36</v>
      </c>
      <c r="F62" s="27" t="s">
        <v>265</v>
      </c>
      <c r="G62" s="37" t="s">
        <v>265</v>
      </c>
      <c r="H62" s="45" t="s">
        <v>266</v>
      </c>
      <c r="I62" s="26">
        <f>SUMIFS('Hoja 10'!$O:$O,'Hoja 10'!$F:$F,$G62)</f>
        <v>1</v>
      </c>
      <c r="J62" s="26">
        <f>IFERROR(__xludf.DUMMYFUNCTION("VLOOKUP(G62,IMPORTRANGE(""https://docs.google.com/spreadsheets/d/12RxCea4e5ggM7QGn1XE3FbLQa_-QbCNdBi90OdPjRqg/edit?gid=1692403370#gid=1692403370"", ""'Plan de Compras'!D4:2432""), 8,0)"),1.0)</f>
        <v>1</v>
      </c>
      <c r="K62" s="26" t="str">
        <f t="shared" si="1"/>
        <v>SI</v>
      </c>
      <c r="L62" s="29" t="s">
        <v>91</v>
      </c>
      <c r="M62" s="30" t="s">
        <v>92</v>
      </c>
      <c r="N62" s="26"/>
      <c r="O62" s="32" t="str">
        <f>VLOOKUP($G62,'Hoja 10'!$F$4:$AA478, 19,0)</f>
        <v>METALLKRAFT</v>
      </c>
      <c r="P62" s="32" t="str">
        <f>VLOOKUP($G62,'Hoja 10'!$F$4:$AA478, 20,0)</f>
        <v>TBS 1051-20</v>
      </c>
      <c r="Q62" s="33" t="str">
        <f>VLOOKUP($G62,'Hoja 10'!$F$4:$AA478, 21,0)</f>
        <v>https://dimmtex.com/cizalla-manual-metal/cizalla-manual-tbs-1051-20.html</v>
      </c>
      <c r="R62" s="30" t="s">
        <v>267</v>
      </c>
      <c r="S62" s="34" t="b">
        <v>1</v>
      </c>
      <c r="T62" s="35" t="str">
        <f>IFERROR(__xludf.DUMMYFUNCTION(" IF
( VLOOKUP($G62,IMPORTRANGE(""https://docs.google.com/spreadsheets/d/1Gpl6jkTg7sL4VDNimUm3S9Vi1i95esohXCF3wuKOE8c"", ""'CONSOLIDADO'!G5:AB""), 10, 0) &lt;&gt; 0, 
IFERROR(VLOOKUP($G62,IMPORTRANGE(""https://docs.google.com/spreadsheets/d/1Gpl6jkTg7sL4VDNimUm3"&amp;"S9Vi1i95esohXCF3wuKOE8c"", ""'CONSOLIDADO'!G5:AB""), 17, 0), ""-""),
""""
)"),"METALLKRAFT")</f>
        <v>METALLKRAFT</v>
      </c>
      <c r="U62" s="35" t="str">
        <f>IFERROR(__xludf.DUMMYFUNCTION(" IF
( VLOOKUP($G62,IMPORTRANGE(""https://docs.google.com/spreadsheets/d/1Gpl6jkTg7sL4VDNimUm3S9Vi1i95esohXCF3wuKOE8c"", ""'CONSOLIDADO'!G5:AB""), 10, 0) &lt;&gt; 0, 
IFERROR(VLOOKUP($G62,IMPORTRANGE(""https://docs.google.com/spreadsheets/d/1Gpl6jkTg7sL4VDNimUm3"&amp;"S9Vi1i95esohXCF3wuKOE8c"", ""'CONSOLIDADO'!G5:AB""), 18, 0), ""-""),
""""
)"),"TBS 1051-20")</f>
        <v>TBS 1051-20</v>
      </c>
      <c r="V62" s="36" t="str">
        <f>IFERROR(__xludf.DUMMYFUNCTION(" IF
( VLOOKUP($G62,IMPORTRANGE(""https://docs.google.com/spreadsheets/d/1Gpl6jkTg7sL4VDNimUm3S9Vi1i95esohXCF3wuKOE8c"", ""'CONSOLIDADO'!G5:AB""), 10, 0) &lt;&gt; 0, 
IFERROR(VLOOKUP($G62,IMPORTRANGE(""https://docs.google.com/spreadsheets/d/1Gpl6jkTg7sL4VDNimUm3"&amp;"S9Vi1i95esohXCF3wuKOE8c"", ""'CONSOLIDADO'!G5:AB""), 19, 0), ""-""),
""""
)"),"https://dimmtex.com/cizalla-manual-metal/cizalla-manual-tbs-1051-20.html")</f>
        <v>https://dimmtex.com/cizalla-manual-metal/cizalla-manual-tbs-1051-20.html</v>
      </c>
      <c r="W62" s="37" t="str">
        <f>IFERROR(__xludf.DUMMYFUNCTION("IFERROR(VLOOKUP(G62,IMPORTRANGE(""https://docs.google.com/spreadsheets/d/12RxCea4e5ggM7QGn1XE3FbLQa_-QbCNdBi90OdPjRqg"", ""'Plan de Compras'!D4:Q""), 12, 0), ""NO ESTÁ EN REQ"")"),"Técnica")</f>
        <v>Técnica</v>
      </c>
      <c r="X62" s="37" t="str">
        <f>IFERROR(__xludf.DUMMYFUNCTION("IFERROR(VLOOKUP(G62,IMPORTRANGE(""https://docs.google.com/spreadsheets/d/12RxCea4e5ggM7QGn1XE3FbLQa_-QbCNdBi90OdPjRqg"", ""'Plan de Compras'!D4:Q""), 13, 0), """")"),"INTERNACIONAL")</f>
        <v>INTERNACIONAL</v>
      </c>
      <c r="Y62" s="32" t="str">
        <f>IFERROR(__xludf.DUMMYFUNCTION("IFERROR(VLOOKUP(G62,IMPORTRANGE(""https://docs.google.com/spreadsheets/d/12RxCea4e5ggM7QGn1XE3FbLQa_-QbCNdBi90OdPjRqg"", ""'Plan de Compras'!D4:Q""), 14, 0), """")"),"GEYDI")</f>
        <v>GEYDI</v>
      </c>
      <c r="Z62" s="38" t="str">
        <f>IFERROR(__xludf.DUMMYFUNCTION("IFERROR(VLOOKUP(G62,IMPORTRANGE(""https://docs.google.com/spreadsheets/d/12RxCea4e5ggM7QGn1XE3FbLQa_-QbCNdBi90OdPjRqg"", ""'Plan de Compras'!D4:Q""), 4, 0), """")"),"CIZALLA GUILLOTINA MECÁNICA")</f>
        <v>CIZALLA GUILLOTINA MECÁNICA</v>
      </c>
      <c r="AA62" s="38" t="str">
        <f t="shared" si="11"/>
        <v>TRUE</v>
      </c>
      <c r="AB62" s="37" t="str">
        <f>IFERROR(__xludf.DUMMYFUNCTION("IFERROR(IF(OR(C62=TRUE,C62=""""),VLOOKUP(G62,IMPORTRANGE(""https://docs.google.com/spreadsheets/d/1z9A1Wq-kKrhRNG5RS2a2fKpY1wIhSVz2ZNmP2mOl588/edit?usp=sharing"",""REQ VF!E4:H""),4,0),""NO APLICA""),""GENERAR REQ"")"),"GENERAR REQ")</f>
        <v>GENERAR REQ</v>
      </c>
      <c r="AC62" s="37" t="str">
        <f>IFERROR(__xludf.DUMMYFUNCTION("IFERROR(QUERY(IMPORTRANGE(""https://docs.google.com/spreadsheets/d/1z9A1Wq-kKrhRNG5RS2a2fKpY1wIhSVz2ZNmP2mOl588/edit?usp=sharing"",""REQ VF!E4:Q""),""SELECT Col10, Col11, Col12 WHERE Col1 = '""&amp;G62&amp;""'"",0),""NO APLICA"")"),"NO APLICA")</f>
        <v>NO APLICA</v>
      </c>
      <c r="AD62" s="37"/>
      <c r="AE62" s="37"/>
      <c r="AF62" s="8" t="s">
        <v>52</v>
      </c>
      <c r="AG62" s="13"/>
    </row>
    <row r="63">
      <c r="A63" s="26">
        <v>24.0</v>
      </c>
      <c r="B63" s="26" t="b">
        <v>1</v>
      </c>
      <c r="C63" s="26" t="b">
        <v>1</v>
      </c>
      <c r="D63" s="26" t="s">
        <v>35</v>
      </c>
      <c r="E63" s="26" t="s">
        <v>36</v>
      </c>
      <c r="F63" s="27" t="s">
        <v>268</v>
      </c>
      <c r="G63" s="37" t="s">
        <v>268</v>
      </c>
      <c r="H63" s="45" t="s">
        <v>269</v>
      </c>
      <c r="I63" s="26">
        <f>SUMIFS('Hoja 10'!$O:$O,'Hoja 10'!$F:$F,$G63)</f>
        <v>4</v>
      </c>
      <c r="J63" s="26">
        <f>IFERROR(__xludf.DUMMYFUNCTION("VLOOKUP(G63,IMPORTRANGE(""https://docs.google.com/spreadsheets/d/12RxCea4e5ggM7QGn1XE3FbLQa_-QbCNdBi90OdPjRqg/edit?gid=1692403370#gid=1692403370"", ""'Plan de Compras'!D4:2432""), 8,0)"),4.0)</f>
        <v>4</v>
      </c>
      <c r="K63" s="26" t="str">
        <f t="shared" si="1"/>
        <v>SI</v>
      </c>
      <c r="L63" s="29" t="s">
        <v>39</v>
      </c>
      <c r="M63" s="30" t="s">
        <v>40</v>
      </c>
      <c r="N63" s="26"/>
      <c r="O63" s="32" t="str">
        <f>VLOOKUP($G63,'Hoja 10'!$F$4:$AA478, 19,0)</f>
        <v>LINOX</v>
      </c>
      <c r="P63" s="32" t="str">
        <f>VLOOKUP($G63,'Hoja 10'!$F$4:$AA478, 20,0)</f>
        <v>Cocina Sobremesa Industrial de 1 Hornilla</v>
      </c>
      <c r="Q63" s="33" t="str">
        <f>VLOOKUP($G63,'Hoja 10'!$F$4:$AA478, 21,0)</f>
        <v>https://linoxperu.com/producto/cocina-sobremesa-industrial-de-1-hornilla/?utm_source=chatgpt.com</v>
      </c>
      <c r="R63" s="30" t="s">
        <v>270</v>
      </c>
      <c r="S63" s="34" t="b">
        <v>1</v>
      </c>
      <c r="T63" s="35" t="str">
        <f>IFERROR(__xludf.DUMMYFUNCTION(" IF
( VLOOKUP($G63,IMPORTRANGE(""https://docs.google.com/spreadsheets/d/1Gpl6jkTg7sL4VDNimUm3S9Vi1i95esohXCF3wuKOE8c"", ""'CONSOLIDADO'!G5:AB""), 10, 0) &lt;&gt; 0, 
IFERROR(VLOOKUP($G63,IMPORTRANGE(""https://docs.google.com/spreadsheets/d/1Gpl6jkTg7sL4VDNimUm3"&amp;"S9Vi1i95esohXCF3wuKOE8c"", ""'CONSOLIDADO'!G5:AB""), 17, 0), ""-""),
""""
)"),"LINOX")</f>
        <v>LINOX</v>
      </c>
      <c r="U63" s="35" t="str">
        <f>IFERROR(__xludf.DUMMYFUNCTION(" IF
( VLOOKUP($G63,IMPORTRANGE(""https://docs.google.com/spreadsheets/d/1Gpl6jkTg7sL4VDNimUm3S9Vi1i95esohXCF3wuKOE8c"", ""'CONSOLIDADO'!G5:AB""), 10, 0) &lt;&gt; 0, 
IFERROR(VLOOKUP($G63,IMPORTRANGE(""https://docs.google.com/spreadsheets/d/1Gpl6jkTg7sL4VDNimUm3"&amp;"S9Vi1i95esohXCF3wuKOE8c"", ""'CONSOLIDADO'!G5:AB""), 18, 0), ""-""),
""""
)"),"Cocina Sobremesa Industrial de 1 Hornilla")</f>
        <v>Cocina Sobremesa Industrial de 1 Hornilla</v>
      </c>
      <c r="V63" s="36" t="str">
        <f>IFERROR(__xludf.DUMMYFUNCTION(" IF
( VLOOKUP($G63,IMPORTRANGE(""https://docs.google.com/spreadsheets/d/1Gpl6jkTg7sL4VDNimUm3S9Vi1i95esohXCF3wuKOE8c"", ""'CONSOLIDADO'!G5:AB""), 10, 0) &lt;&gt; 0, 
IFERROR(VLOOKUP($G63,IMPORTRANGE(""https://docs.google.com/spreadsheets/d/1Gpl6jkTg7sL4VDNimUm3"&amp;"S9Vi1i95esohXCF3wuKOE8c"", ""'CONSOLIDADO'!G5:AB""), 19, 0), ""-""),
""""
)"),"https://linoxperu.com/producto/cocina-sobremesa-industrial-de-1-hornilla/?utm_source=chatgpt.com")</f>
        <v>https://linoxperu.com/producto/cocina-sobremesa-industrial-de-1-hornilla/?utm_source=chatgpt.com</v>
      </c>
      <c r="W63" s="37" t="str">
        <f>IFERROR(__xludf.DUMMYFUNCTION("IFERROR(VLOOKUP(G63,IMPORTRANGE(""https://docs.google.com/spreadsheets/d/12RxCea4e5ggM7QGn1XE3FbLQa_-QbCNdBi90OdPjRqg"", ""'Plan de Compras'!D4:Q""), 12, 0), ""NO ESTÁ EN REQ"")"),"Técnica")</f>
        <v>Técnica</v>
      </c>
      <c r="X63" s="37" t="str">
        <f>IFERROR(__xludf.DUMMYFUNCTION("IFERROR(VLOOKUP(G63,IMPORTRANGE(""https://docs.google.com/spreadsheets/d/12RxCea4e5ggM7QGn1XE3FbLQa_-QbCNdBi90OdPjRqg"", ""'Plan de Compras'!D4:Q""), 13, 0), """")"),"NACIONAL")</f>
        <v>NACIONAL</v>
      </c>
      <c r="Y63" s="32" t="str">
        <f>IFERROR(__xludf.DUMMYFUNCTION("IFERROR(VLOOKUP(G63,IMPORTRANGE(""https://docs.google.com/spreadsheets/d/12RxCea4e5ggM7QGn1XE3FbLQa_-QbCNdBi90OdPjRqg"", ""'Plan de Compras'!D4:Q""), 14, 0), """")"),"GEANFRANCO")</f>
        <v>GEANFRANCO</v>
      </c>
      <c r="Z63" s="38" t="str">
        <f>IFERROR(__xludf.DUMMYFUNCTION("IFERROR(VLOOKUP(G63,IMPORTRANGE(""https://docs.google.com/spreadsheets/d/12RxCea4e5ggM7QGn1XE3FbLQa_-QbCNdBi90OdPjRqg"", ""'Plan de Compras'!D4:Q""), 4, 0), """")"),"COCINA 1 HORNILLA A GAS")</f>
        <v>COCINA 1 HORNILLA A GAS</v>
      </c>
      <c r="AA63" s="38" t="str">
        <f t="shared" si="11"/>
        <v>TRUE</v>
      </c>
      <c r="AB63" s="37" t="str">
        <f>IFERROR(__xludf.DUMMYFUNCTION("IFERROR(IF(OR(C63=TRUE,C63=""""),VLOOKUP(G63,IMPORTRANGE(""https://docs.google.com/spreadsheets/d/1z9A1Wq-kKrhRNG5RS2a2fKpY1wIhSVz2ZNmP2mOl588/edit?usp=sharing"",""REQ VF!E4:H""),4,0),""NO APLICA""),""GENERAR REQ"")"),"GENERAR REQ")</f>
        <v>GENERAR REQ</v>
      </c>
      <c r="AC63" s="37" t="str">
        <f>IFERROR(__xludf.DUMMYFUNCTION("IFERROR(QUERY(IMPORTRANGE(""https://docs.google.com/spreadsheets/d/1z9A1Wq-kKrhRNG5RS2a2fKpY1wIhSVz2ZNmP2mOl588/edit?usp=sharing"",""REQ VF!E4:Q""),""SELECT Col10, Col11, Col12 WHERE Col1 = '""&amp;G63&amp;""'"",0),""NO APLICA"")"),"NO APLICA")</f>
        <v>NO APLICA</v>
      </c>
      <c r="AD63" s="37"/>
      <c r="AE63" s="37"/>
      <c r="AF63" s="13"/>
      <c r="AG63" s="13"/>
    </row>
    <row r="64">
      <c r="A64" s="26">
        <v>25.0</v>
      </c>
      <c r="B64" s="26" t="b">
        <v>1</v>
      </c>
      <c r="C64" s="26" t="b">
        <v>1</v>
      </c>
      <c r="D64" s="26" t="s">
        <v>35</v>
      </c>
      <c r="E64" s="26" t="s">
        <v>36</v>
      </c>
      <c r="F64" s="27" t="s">
        <v>271</v>
      </c>
      <c r="G64" s="37" t="s">
        <v>271</v>
      </c>
      <c r="H64" s="45" t="s">
        <v>272</v>
      </c>
      <c r="I64" s="26">
        <f>SUMIFS('Hoja 10'!$O:$O,'Hoja 10'!$F:$F,$G64)</f>
        <v>1</v>
      </c>
      <c r="J64" s="26">
        <f>IFERROR(__xludf.DUMMYFUNCTION("VLOOKUP(G64,IMPORTRANGE(""https://docs.google.com/spreadsheets/d/12RxCea4e5ggM7QGn1XE3FbLQa_-QbCNdBi90OdPjRqg/edit?gid=1692403370#gid=1692403370"", ""'Plan de Compras'!D4:2432""), 8,0)"),1.0)</f>
        <v>1</v>
      </c>
      <c r="K64" s="26" t="str">
        <f t="shared" si="1"/>
        <v>SI</v>
      </c>
      <c r="L64" s="29" t="s">
        <v>77</v>
      </c>
      <c r="M64" s="30" t="s">
        <v>78</v>
      </c>
      <c r="N64" s="26"/>
      <c r="O64" s="32" t="str">
        <f>VLOOKUP($G64,'Hoja 10'!$F$4:$AA478, 19,0)</f>
        <v>SMEG</v>
      </c>
      <c r="P64" s="32" t="str">
        <f>VLOOKUP($G64,'Hoja 10'!$F$4:$AA478, 20,0)</f>
        <v>Portofino CPF9IPOR</v>
      </c>
      <c r="Q64" s="33" t="str">
        <f>VLOOKUP($G64,'Hoja 10'!$F$4:$AA478, 21,0)</f>
        <v>https://www.smeguk.com/products/CPF9IPOR</v>
      </c>
      <c r="R64" s="30" t="s">
        <v>273</v>
      </c>
      <c r="S64" s="34" t="b">
        <v>1</v>
      </c>
      <c r="T64" s="35" t="str">
        <f>IFERROR(__xludf.DUMMYFUNCTION(" IF
( VLOOKUP($G64,IMPORTRANGE(""https://docs.google.com/spreadsheets/d/1Gpl6jkTg7sL4VDNimUm3S9Vi1i95esohXCF3wuKOE8c"", ""'CONSOLIDADO'!G5:AB""), 10, 0) &lt;&gt; 0, 
IFERROR(VLOOKUP($G64,IMPORTRANGE(""https://docs.google.com/spreadsheets/d/1Gpl6jkTg7sL4VDNimUm3"&amp;"S9Vi1i95esohXCF3wuKOE8c"", ""'CONSOLIDADO'!G5:AB""), 17, 0), ""-""),
""""
)"),"SMEG")</f>
        <v>SMEG</v>
      </c>
      <c r="U64" s="35" t="str">
        <f>IFERROR(__xludf.DUMMYFUNCTION(" IF
( VLOOKUP($G64,IMPORTRANGE(""https://docs.google.com/spreadsheets/d/1Gpl6jkTg7sL4VDNimUm3S9Vi1i95esohXCF3wuKOE8c"", ""'CONSOLIDADO'!G5:AB""), 10, 0) &lt;&gt; 0, 
IFERROR(VLOOKUP($G64,IMPORTRANGE(""https://docs.google.com/spreadsheets/d/1Gpl6jkTg7sL4VDNimUm3"&amp;"S9Vi1i95esohXCF3wuKOE8c"", ""'CONSOLIDADO'!G5:AB""), 18, 0), ""-""),
""""
)"),"Portofino CPF9IPOR")</f>
        <v>Portofino CPF9IPOR</v>
      </c>
      <c r="V64" s="36" t="str">
        <f>IFERROR(__xludf.DUMMYFUNCTION(" IF
( VLOOKUP($G64,IMPORTRANGE(""https://docs.google.com/spreadsheets/d/1Gpl6jkTg7sL4VDNimUm3S9Vi1i95esohXCF3wuKOE8c"", ""'CONSOLIDADO'!G5:AB""), 10, 0) &lt;&gt; 0, 
IFERROR(VLOOKUP($G64,IMPORTRANGE(""https://docs.google.com/spreadsheets/d/1Gpl6jkTg7sL4VDNimUm3"&amp;"S9Vi1i95esohXCF3wuKOE8c"", ""'CONSOLIDADO'!G5:AB""), 19, 0), ""-""),
""""
)"),"https://www.smeguk.com/products/CPF9IPOR")</f>
        <v>https://www.smeguk.com/products/CPF9IPOR</v>
      </c>
      <c r="W64" s="37" t="str">
        <f>IFERROR(__xludf.DUMMYFUNCTION("IFERROR(VLOOKUP(G64,IMPORTRANGE(""https://docs.google.com/spreadsheets/d/12RxCea4e5ggM7QGn1XE3FbLQa_-QbCNdBi90OdPjRqg"", ""'Plan de Compras'!D4:Q""), 12, 0), ""NO ESTÁ EN REQ"")"),"Técnica")</f>
        <v>Técnica</v>
      </c>
      <c r="X64" s="37" t="str">
        <f>IFERROR(__xludf.DUMMYFUNCTION("IFERROR(VLOOKUP(G64,IMPORTRANGE(""https://docs.google.com/spreadsheets/d/12RxCea4e5ggM7QGn1XE3FbLQa_-QbCNdBi90OdPjRqg"", ""'Plan de Compras'!D4:Q""), 13, 0), """")"),"INTERNACIONAL")</f>
        <v>INTERNACIONAL</v>
      </c>
      <c r="Y64" s="32" t="str">
        <f>IFERROR(__xludf.DUMMYFUNCTION("IFERROR(VLOOKUP(G64,IMPORTRANGE(""https://docs.google.com/spreadsheets/d/12RxCea4e5ggM7QGn1XE3FbLQa_-QbCNdBi90OdPjRqg"", ""'Plan de Compras'!D4:Q""), 14, 0), """")"),"GEYDI")</f>
        <v>GEYDI</v>
      </c>
      <c r="Z64" s="38" t="str">
        <f>IFERROR(__xludf.DUMMYFUNCTION("IFERROR(VLOOKUP(G64,IMPORTRANGE(""https://docs.google.com/spreadsheets/d/12RxCea4e5ggM7QGn1XE3FbLQa_-QbCNdBi90OdPjRqg"", ""'Plan de Compras'!D4:Q""), 4, 0), """")"),"COCINA DE INDUCCIÓN CON 5 ZONAS DE COCCIÓN Y CON HORNO MULTIFUNCIONAL")</f>
        <v>COCINA DE INDUCCIÓN CON 5 ZONAS DE COCCIÓN Y CON HORNO MULTIFUNCIONAL</v>
      </c>
      <c r="AA64" s="38" t="str">
        <f t="shared" si="11"/>
        <v>TRUE</v>
      </c>
      <c r="AB64" s="37" t="str">
        <f>IFERROR(__xludf.DUMMYFUNCTION("IFERROR(IF(OR(C64=TRUE,C64=""""),VLOOKUP(G64,IMPORTRANGE(""https://docs.google.com/spreadsheets/d/1z9A1Wq-kKrhRNG5RS2a2fKpY1wIhSVz2ZNmP2mOl588/edit?usp=sharing"",""REQ VF!E4:H""),4,0),""NO APLICA""),""GENERAR REQ"")"),"GENERAR REQ")</f>
        <v>GENERAR REQ</v>
      </c>
      <c r="AC64" s="37" t="str">
        <f>IFERROR(__xludf.DUMMYFUNCTION("IFERROR(QUERY(IMPORTRANGE(""https://docs.google.com/spreadsheets/d/1z9A1Wq-kKrhRNG5RS2a2fKpY1wIhSVz2ZNmP2mOl588/edit?usp=sharing"",""REQ VF!E4:Q""),""SELECT Col10, Col11, Col12 WHERE Col1 = '""&amp;G64&amp;""'"",0),""NO APLICA"")"),"NO APLICA")</f>
        <v>NO APLICA</v>
      </c>
      <c r="AD64" s="37"/>
      <c r="AE64" s="37"/>
      <c r="AF64" s="13"/>
      <c r="AG64" s="13"/>
    </row>
    <row r="65">
      <c r="A65" s="26"/>
      <c r="B65" s="26"/>
      <c r="C65" s="26" t="b">
        <v>1</v>
      </c>
      <c r="D65" s="26" t="s">
        <v>42</v>
      </c>
      <c r="E65" s="26" t="s">
        <v>36</v>
      </c>
      <c r="F65" s="27" t="s">
        <v>271</v>
      </c>
      <c r="G65" s="39" t="s">
        <v>274</v>
      </c>
      <c r="H65" s="66" t="str">
        <f>UPPER("Rascador (scrapper) (1 UND)")</f>
        <v>RASCADOR (SCRAPPER) (1 UND)</v>
      </c>
      <c r="I65" s="43">
        <f t="shared" ref="I65:I66" si="13">$I$64</f>
        <v>1</v>
      </c>
      <c r="J65" s="26">
        <f>IFERROR(__xludf.DUMMYFUNCTION("VLOOKUP(G65,IMPORTRANGE(""https://docs.google.com/spreadsheets/d/12RxCea4e5ggM7QGn1XE3FbLQa_-QbCNdBi90OdPjRqg/edit?gid=1692403370#gid=1692403370"", ""'Plan de Compras'!D4:2432""), 8,0)"),1.0)</f>
        <v>1</v>
      </c>
      <c r="K65" s="26" t="str">
        <f t="shared" si="1"/>
        <v>SI</v>
      </c>
      <c r="L65" s="26"/>
      <c r="M65" s="47"/>
      <c r="N65" s="26" t="s">
        <v>45</v>
      </c>
      <c r="O65" s="26"/>
      <c r="P65" s="26"/>
      <c r="Q65" s="57"/>
      <c r="R65" s="47"/>
      <c r="S65" s="34" t="b">
        <v>1</v>
      </c>
      <c r="T65" s="35" t="s">
        <v>275</v>
      </c>
      <c r="U65" s="35" t="s">
        <v>276</v>
      </c>
      <c r="V65" s="34" t="s">
        <v>277</v>
      </c>
      <c r="W65" s="37" t="str">
        <f>IFERROR(__xludf.DUMMYFUNCTION("IFERROR(VLOOKUP(G65,IMPORTRANGE(""https://docs.google.com/spreadsheets/d/12RxCea4e5ggM7QGn1XE3FbLQa_-QbCNdBi90OdPjRqg"", ""'Plan de Compras'!D4:Q""), 12, 0), ""NO ESTÁ EN REQ"")"),"Técnica")</f>
        <v>Técnica</v>
      </c>
      <c r="X65" s="37" t="str">
        <f>IFERROR(__xludf.DUMMYFUNCTION("IFERROR(VLOOKUP(G65,IMPORTRANGE(""https://docs.google.com/spreadsheets/d/12RxCea4e5ggM7QGn1XE3FbLQa_-QbCNdBi90OdPjRqg"", ""'Plan de Compras'!D4:Q""), 13, 0), """")"),"INTERNACIONAL")</f>
        <v>INTERNACIONAL</v>
      </c>
      <c r="Y65" s="32" t="str">
        <f>IFERROR(__xludf.DUMMYFUNCTION("IFERROR(VLOOKUP(G65,IMPORTRANGE(""https://docs.google.com/spreadsheets/d/12RxCea4e5ggM7QGn1XE3FbLQa_-QbCNdBi90OdPjRqg"", ""'Plan de Compras'!D4:Q""), 14, 0), """")"),"GEYDI")</f>
        <v>GEYDI</v>
      </c>
      <c r="Z65" s="38" t="str">
        <f>IFERROR(__xludf.DUMMYFUNCTION("IFERROR(VLOOKUP(G65,IMPORTRANGE(""https://docs.google.com/spreadsheets/d/12RxCea4e5ggM7QGn1XE3FbLQa_-QbCNdBi90OdPjRqg"", ""'Plan de Compras'!D4:Q""), 4, 0), """")"),"RASCADOR (SCRAPPER) (1 UND)")</f>
        <v>RASCADOR (SCRAPPER) (1 UND)</v>
      </c>
      <c r="AA65" s="38" t="str">
        <f t="shared" si="11"/>
        <v>TRUE</v>
      </c>
      <c r="AB65" s="37" t="str">
        <f>IFERROR(__xludf.DUMMYFUNCTION("IFERROR(IF(OR(C65=TRUE,C65=""""),VLOOKUP(G65,IMPORTRANGE(""https://docs.google.com/spreadsheets/d/1z9A1Wq-kKrhRNG5RS2a2fKpY1wIhSVz2ZNmP2mOl588/edit?usp=sharing"",""REQ VF!E4:H""),4,0),""NO APLICA""),""GENERAR REQ"")"),"GENERAR REQ")</f>
        <v>GENERAR REQ</v>
      </c>
      <c r="AC65" s="37" t="str">
        <f>IFERROR(__xludf.DUMMYFUNCTION("IFERROR(QUERY(IMPORTRANGE(""https://docs.google.com/spreadsheets/d/1z9A1Wq-kKrhRNG5RS2a2fKpY1wIhSVz2ZNmP2mOl588/edit?usp=sharing"",""REQ VF!E4:Q""),""SELECT Col10, Col11, Col12 WHERE Col1 = '""&amp;G65&amp;""'"",0),""NO APLICA"")"),"NO APLICA")</f>
        <v>NO APLICA</v>
      </c>
      <c r="AD65" s="37"/>
      <c r="AE65" s="37"/>
      <c r="AF65" s="13"/>
      <c r="AG65" s="13"/>
    </row>
    <row r="66">
      <c r="A66" s="26"/>
      <c r="B66" s="26"/>
      <c r="C66" s="26" t="b">
        <v>1</v>
      </c>
      <c r="D66" s="26" t="s">
        <v>42</v>
      </c>
      <c r="E66" s="26" t="s">
        <v>36</v>
      </c>
      <c r="F66" s="27" t="s">
        <v>271</v>
      </c>
      <c r="G66" s="39" t="s">
        <v>278</v>
      </c>
      <c r="H66" s="66" t="str">
        <f>UPPER("Asador (rotisserie) (1 UND)")</f>
        <v>ASADOR (ROTISSERIE) (1 UND)</v>
      </c>
      <c r="I66" s="43">
        <f t="shared" si="13"/>
        <v>1</v>
      </c>
      <c r="J66" s="26">
        <f>IFERROR(__xludf.DUMMYFUNCTION("VLOOKUP(G66,IMPORTRANGE(""https://docs.google.com/spreadsheets/d/12RxCea4e5ggM7QGn1XE3FbLQa_-QbCNdBi90OdPjRqg/edit?gid=1692403370#gid=1692403370"", ""'Plan de Compras'!D4:2432""), 8,0)"),1.0)</f>
        <v>1</v>
      </c>
      <c r="K66" s="26" t="str">
        <f t="shared" si="1"/>
        <v>SI</v>
      </c>
      <c r="L66" s="26"/>
      <c r="M66" s="47"/>
      <c r="N66" s="26" t="s">
        <v>45</v>
      </c>
      <c r="O66" s="26"/>
      <c r="P66" s="26"/>
      <c r="Q66" s="57"/>
      <c r="R66" s="47"/>
      <c r="S66" s="34" t="b">
        <v>1</v>
      </c>
      <c r="T66" s="35" t="s">
        <v>275</v>
      </c>
      <c r="U66" s="35" t="s">
        <v>279</v>
      </c>
      <c r="V66" s="34" t="s">
        <v>277</v>
      </c>
      <c r="W66" s="37" t="str">
        <f>IFERROR(__xludf.DUMMYFUNCTION("IFERROR(VLOOKUP(G66,IMPORTRANGE(""https://docs.google.com/spreadsheets/d/12RxCea4e5ggM7QGn1XE3FbLQa_-QbCNdBi90OdPjRqg"", ""'Plan de Compras'!D4:Q""), 12, 0), ""NO ESTÁ EN REQ"")"),"Técnica")</f>
        <v>Técnica</v>
      </c>
      <c r="X66" s="37" t="str">
        <f>IFERROR(__xludf.DUMMYFUNCTION("IFERROR(VLOOKUP(G66,IMPORTRANGE(""https://docs.google.com/spreadsheets/d/12RxCea4e5ggM7QGn1XE3FbLQa_-QbCNdBi90OdPjRqg"", ""'Plan de Compras'!D4:Q""), 13, 0), """")"),"INTERNACIONAL")</f>
        <v>INTERNACIONAL</v>
      </c>
      <c r="Y66" s="32" t="str">
        <f>IFERROR(__xludf.DUMMYFUNCTION("IFERROR(VLOOKUP(G66,IMPORTRANGE(""https://docs.google.com/spreadsheets/d/12RxCea4e5ggM7QGn1XE3FbLQa_-QbCNdBi90OdPjRqg"", ""'Plan de Compras'!D4:Q""), 14, 0), """")"),"GEYDI")</f>
        <v>GEYDI</v>
      </c>
      <c r="Z66" s="38" t="str">
        <f>IFERROR(__xludf.DUMMYFUNCTION("IFERROR(VLOOKUP(G66,IMPORTRANGE(""https://docs.google.com/spreadsheets/d/12RxCea4e5ggM7QGn1XE3FbLQa_-QbCNdBi90OdPjRqg"", ""'Plan de Compras'!D4:Q""), 4, 0), """")"),"ASADOR (ROTISSERIE) (1 UND)")</f>
        <v>ASADOR (ROTISSERIE) (1 UND)</v>
      </c>
      <c r="AA66" s="38" t="str">
        <f t="shared" si="11"/>
        <v>TRUE</v>
      </c>
      <c r="AB66" s="37" t="str">
        <f>IFERROR(__xludf.DUMMYFUNCTION("IFERROR(IF(OR(C66=TRUE,C66=""""),VLOOKUP(G66,IMPORTRANGE(""https://docs.google.com/spreadsheets/d/1z9A1Wq-kKrhRNG5RS2a2fKpY1wIhSVz2ZNmP2mOl588/edit?usp=sharing"",""REQ VF!E4:H""),4,0),""NO APLICA""),""GENERAR REQ"")"),"GENERAR REQ")</f>
        <v>GENERAR REQ</v>
      </c>
      <c r="AC66" s="37" t="str">
        <f>IFERROR(__xludf.DUMMYFUNCTION("IFERROR(QUERY(IMPORTRANGE(""https://docs.google.com/spreadsheets/d/1z9A1Wq-kKrhRNG5RS2a2fKpY1wIhSVz2ZNmP2mOl588/edit?usp=sharing"",""REQ VF!E4:Q""),""SELECT Col10, Col11, Col12 WHERE Col1 = '""&amp;G66&amp;""'"",0),""NO APLICA"")"),"NO APLICA")</f>
        <v>NO APLICA</v>
      </c>
      <c r="AD66" s="37"/>
      <c r="AE66" s="37"/>
      <c r="AF66" s="13"/>
      <c r="AG66" s="13"/>
    </row>
    <row r="67">
      <c r="A67" s="26"/>
      <c r="B67" s="26"/>
      <c r="C67" s="26" t="b">
        <v>1</v>
      </c>
      <c r="D67" s="43" t="s">
        <v>42</v>
      </c>
      <c r="E67" s="43" t="s">
        <v>36</v>
      </c>
      <c r="F67" s="37" t="s">
        <v>271</v>
      </c>
      <c r="G67" s="39" t="s">
        <v>280</v>
      </c>
      <c r="H67" s="40" t="s">
        <v>281</v>
      </c>
      <c r="I67" s="43">
        <v>1.0</v>
      </c>
      <c r="J67" s="26">
        <f>IFERROR(__xludf.DUMMYFUNCTION("VLOOKUP(G67,IMPORTRANGE(""https://docs.google.com/spreadsheets/d/12RxCea4e5ggM7QGn1XE3FbLQa_-QbCNdBi90OdPjRqg/edit?gid=1692403370#gid=1692403370"", ""'Plan de Compras'!D4:2432""), 8,0)"),1.0)</f>
        <v>1</v>
      </c>
      <c r="K67" s="26" t="str">
        <f t="shared" si="1"/>
        <v>SI</v>
      </c>
      <c r="L67" s="35"/>
      <c r="M67" s="32"/>
      <c r="N67" s="26" t="s">
        <v>45</v>
      </c>
      <c r="O67" s="61"/>
      <c r="P67" s="61"/>
      <c r="Q67" s="54"/>
      <c r="R67" s="32"/>
      <c r="S67" s="34" t="b">
        <v>1</v>
      </c>
      <c r="T67" s="35" t="s">
        <v>275</v>
      </c>
      <c r="U67" s="35" t="s">
        <v>282</v>
      </c>
      <c r="V67" s="35" t="s">
        <v>277</v>
      </c>
      <c r="W67" s="37" t="str">
        <f>IFERROR(__xludf.DUMMYFUNCTION("IFERROR(VLOOKUP(G67,IMPORTRANGE(""https://docs.google.com/spreadsheets/d/12RxCea4e5ggM7QGn1XE3FbLQa_-QbCNdBi90OdPjRqg"", ""'Plan de Compras'!D4:Q""), 12, 0), ""NO ESTÁ EN REQ"")"),"Técnica")</f>
        <v>Técnica</v>
      </c>
      <c r="X67" s="37" t="str">
        <f>IFERROR(__xludf.DUMMYFUNCTION("IFERROR(VLOOKUP(G67,IMPORTRANGE(""https://docs.google.com/spreadsheets/d/12RxCea4e5ggM7QGn1XE3FbLQa_-QbCNdBi90OdPjRqg"", ""'Plan de Compras'!D4:Q""), 13, 0), """")"),"INTERNACIONAL")</f>
        <v>INTERNACIONAL</v>
      </c>
      <c r="Y67" s="32" t="str">
        <f>IFERROR(__xludf.DUMMYFUNCTION("IFERROR(VLOOKUP(G67,IMPORTRANGE(""https://docs.google.com/spreadsheets/d/12RxCea4e5ggM7QGn1XE3FbLQa_-QbCNdBi90OdPjRqg"", ""'Plan de Compras'!D4:Q""), 14, 0), """")"),"GEYDI")</f>
        <v>GEYDI</v>
      </c>
      <c r="Z67" s="38" t="str">
        <f>IFERROR(__xludf.DUMMYFUNCTION("IFERROR(VLOOKUP(G67,IMPORTRANGE(""https://docs.google.com/spreadsheets/d/12RxCea4e5ggM7QGn1XE3FbLQa_-QbCNdBi90OdPjRqg"", ""'Plan de Compras'!D4:Q""), 4, 0), """")"),"BANDEJA PROFUNDA 40 MM")</f>
        <v>BANDEJA PROFUNDA 40 MM</v>
      </c>
      <c r="AA67" s="38" t="str">
        <f t="shared" si="11"/>
        <v>FALSE</v>
      </c>
      <c r="AB67" s="37" t="str">
        <f>IFERROR(__xludf.DUMMYFUNCTION("IFERROR(IF(OR(C67=TRUE,C67=""""),VLOOKUP(G67,IMPORTRANGE(""https://docs.google.com/spreadsheets/d/1z9A1Wq-kKrhRNG5RS2a2fKpY1wIhSVz2ZNmP2mOl588/edit?usp=sharing"",""REQ VF!E4:H""),4,0),""NO APLICA""),""GENERAR REQ"")"),"GENERAR REQ")</f>
        <v>GENERAR REQ</v>
      </c>
      <c r="AC67" s="37" t="str">
        <f>IFERROR(__xludf.DUMMYFUNCTION("IFERROR(QUERY(IMPORTRANGE(""https://docs.google.com/spreadsheets/d/1z9A1Wq-kKrhRNG5RS2a2fKpY1wIhSVz2ZNmP2mOl588/edit?usp=sharing"",""REQ VF!E4:Q""),""SELECT Col10, Col11, Col12 WHERE Col1 = '""&amp;G67&amp;""'"",0),""NO APLICA"")"),"NO APLICA")</f>
        <v>NO APLICA</v>
      </c>
      <c r="AD67" s="37"/>
      <c r="AE67" s="37"/>
      <c r="AF67" s="13"/>
      <c r="AG67" s="13"/>
    </row>
    <row r="68">
      <c r="A68" s="26"/>
      <c r="B68" s="26"/>
      <c r="C68" s="26" t="b">
        <v>1</v>
      </c>
      <c r="D68" s="43" t="s">
        <v>42</v>
      </c>
      <c r="E68" s="43" t="s">
        <v>36</v>
      </c>
      <c r="F68" s="37" t="s">
        <v>271</v>
      </c>
      <c r="G68" s="39" t="s">
        <v>283</v>
      </c>
      <c r="H68" s="40" t="s">
        <v>284</v>
      </c>
      <c r="I68" s="43">
        <v>1.0</v>
      </c>
      <c r="J68" s="26">
        <f>IFERROR(__xludf.DUMMYFUNCTION("VLOOKUP(G68,IMPORTRANGE(""https://docs.google.com/spreadsheets/d/12RxCea4e5ggM7QGn1XE3FbLQa_-QbCNdBi90OdPjRqg/edit?gid=1692403370#gid=1692403370"", ""'Plan de Compras'!D4:2432""), 8,0)"),1.0)</f>
        <v>1</v>
      </c>
      <c r="K68" s="26" t="str">
        <f t="shared" si="1"/>
        <v>SI</v>
      </c>
      <c r="L68" s="35"/>
      <c r="M68" s="32"/>
      <c r="N68" s="26" t="s">
        <v>45</v>
      </c>
      <c r="O68" s="61"/>
      <c r="P68" s="61"/>
      <c r="Q68" s="54"/>
      <c r="R68" s="32"/>
      <c r="S68" s="34" t="b">
        <v>1</v>
      </c>
      <c r="T68" s="35" t="s">
        <v>275</v>
      </c>
      <c r="U68" s="35" t="s">
        <v>285</v>
      </c>
      <c r="V68" s="35" t="s">
        <v>286</v>
      </c>
      <c r="W68" s="37" t="str">
        <f>IFERROR(__xludf.DUMMYFUNCTION("IFERROR(VLOOKUP(G68,IMPORTRANGE(""https://docs.google.com/spreadsheets/d/12RxCea4e5ggM7QGn1XE3FbLQa_-QbCNdBi90OdPjRqg"", ""'Plan de Compras'!D4:Q""), 12, 0), ""NO ESTÁ EN REQ"")"),"Técnica")</f>
        <v>Técnica</v>
      </c>
      <c r="X68" s="37" t="str">
        <f>IFERROR(__xludf.DUMMYFUNCTION("IFERROR(VLOOKUP(G68,IMPORTRANGE(""https://docs.google.com/spreadsheets/d/12RxCea4e5ggM7QGn1XE3FbLQa_-QbCNdBi90OdPjRqg"", ""'Plan de Compras'!D4:Q""), 13, 0), """")"),"INTERNACIONAL")</f>
        <v>INTERNACIONAL</v>
      </c>
      <c r="Y68" s="32" t="str">
        <f>IFERROR(__xludf.DUMMYFUNCTION("IFERROR(VLOOKUP(G68,IMPORTRANGE(""https://docs.google.com/spreadsheets/d/12RxCea4e5ggM7QGn1XE3FbLQa_-QbCNdBi90OdPjRqg"", ""'Plan de Compras'!D4:Q""), 14, 0), """")"),"GEYDI")</f>
        <v>GEYDI</v>
      </c>
      <c r="Z68" s="38" t="str">
        <f>IFERROR(__xludf.DUMMYFUNCTION("IFERROR(VLOOKUP(G68,IMPORTRANGE(""https://docs.google.com/spreadsheets/d/12RxCea4e5ggM7QGn1XE3FbLQa_-QbCNdBi90OdPjRqg"", ""'Plan de Compras'!D4:Q""), 4, 0), """")"),"REJILLA CON TOPES")</f>
        <v>REJILLA CON TOPES</v>
      </c>
      <c r="AA68" s="38" t="str">
        <f t="shared" si="11"/>
        <v>FALSE</v>
      </c>
      <c r="AB68" s="37" t="str">
        <f>IFERROR(__xludf.DUMMYFUNCTION("IFERROR(IF(OR(C68=TRUE,C68=""""),VLOOKUP(G68,IMPORTRANGE(""https://docs.google.com/spreadsheets/d/1z9A1Wq-kKrhRNG5RS2a2fKpY1wIhSVz2ZNmP2mOl588/edit?usp=sharing"",""REQ VF!E4:H""),4,0),""NO APLICA""),""GENERAR REQ"")"),"GENERAR REQ")</f>
        <v>GENERAR REQ</v>
      </c>
      <c r="AC68" s="37" t="str">
        <f>IFERROR(__xludf.DUMMYFUNCTION("IFERROR(QUERY(IMPORTRANGE(""https://docs.google.com/spreadsheets/d/1z9A1Wq-kKrhRNG5RS2a2fKpY1wIhSVz2ZNmP2mOl588/edit?usp=sharing"",""REQ VF!E4:Q""),""SELECT Col10, Col11, Col12 WHERE Col1 = '""&amp;G68&amp;""'"",0),""NO APLICA"")"),"NO APLICA")</f>
        <v>NO APLICA</v>
      </c>
      <c r="AD68" s="37"/>
      <c r="AE68" s="37"/>
      <c r="AF68" s="13"/>
      <c r="AG68" s="13"/>
    </row>
    <row r="69">
      <c r="A69" s="26">
        <v>26.0</v>
      </c>
      <c r="B69" s="26" t="b">
        <v>1</v>
      </c>
      <c r="C69" s="26" t="b">
        <v>1</v>
      </c>
      <c r="D69" s="26" t="s">
        <v>35</v>
      </c>
      <c r="E69" s="26" t="s">
        <v>36</v>
      </c>
      <c r="F69" s="27" t="s">
        <v>287</v>
      </c>
      <c r="G69" s="37" t="s">
        <v>288</v>
      </c>
      <c r="H69" s="45" t="s">
        <v>289</v>
      </c>
      <c r="I69" s="26">
        <f>SUMIFS('Hoja 10'!$O:$O,'Hoja 10'!$F:$F,$G69)</f>
        <v>1</v>
      </c>
      <c r="J69" s="26">
        <f>IFERROR(__xludf.DUMMYFUNCTION("VLOOKUP(G69,IMPORTRANGE(""https://docs.google.com/spreadsheets/d/12RxCea4e5ggM7QGn1XE3FbLQa_-QbCNdBi90OdPjRqg/edit?gid=1692403370#gid=1692403370"", ""'Plan de Compras'!D4:2432""), 8,0)"),1.0)</f>
        <v>1</v>
      </c>
      <c r="K69" s="26" t="str">
        <f t="shared" si="1"/>
        <v>SI</v>
      </c>
      <c r="L69" s="29" t="s">
        <v>77</v>
      </c>
      <c r="M69" s="30" t="s">
        <v>78</v>
      </c>
      <c r="N69" s="26"/>
      <c r="O69" s="32" t="str">
        <f>VLOOKUP($G69,'Hoja 10'!$F$4:$AA478, 19,0)</f>
        <v>LINOX</v>
      </c>
      <c r="P69" s="32" t="str">
        <f>VLOOKUP($G69,'Hoja 10'!$F$4:$AA478, 20,0)</f>
        <v>Cocina Industrial de 2 Hornillas</v>
      </c>
      <c r="Q69" s="33" t="str">
        <f>VLOOKUP($G69,'Hoja 10'!$F$4:$AA478, 21,0)</f>
        <v>https://linoxperu.com/producto/cocina-industrial-de-2-hornillas/?utm_source=chatgpt.com</v>
      </c>
      <c r="R69" s="30" t="s">
        <v>290</v>
      </c>
      <c r="S69" s="34" t="b">
        <v>1</v>
      </c>
      <c r="T69" s="35" t="str">
        <f>IFERROR(__xludf.DUMMYFUNCTION(" IF
( VLOOKUP($G69,IMPORTRANGE(""https://docs.google.com/spreadsheets/d/1Gpl6jkTg7sL4VDNimUm3S9Vi1i95esohXCF3wuKOE8c"", ""'CONSOLIDADO'!G5:AB""), 10, 0) &lt;&gt; 0, 
IFERROR(VLOOKUP($G69,IMPORTRANGE(""https://docs.google.com/spreadsheets/d/1Gpl6jkTg7sL4VDNimUm3"&amp;"S9Vi1i95esohXCF3wuKOE8c"", ""'CONSOLIDADO'!G5:AB""), 17, 0), ""-""),
""""
)"),"LINOX")</f>
        <v>LINOX</v>
      </c>
      <c r="U69" s="35" t="str">
        <f>IFERROR(__xludf.DUMMYFUNCTION(" IF
( VLOOKUP($G69,IMPORTRANGE(""https://docs.google.com/spreadsheets/d/1Gpl6jkTg7sL4VDNimUm3S9Vi1i95esohXCF3wuKOE8c"", ""'CONSOLIDADO'!G5:AB""), 10, 0) &lt;&gt; 0, 
IFERROR(VLOOKUP($G69,IMPORTRANGE(""https://docs.google.com/spreadsheets/d/1Gpl6jkTg7sL4VDNimUm3"&amp;"S9Vi1i95esohXCF3wuKOE8c"", ""'CONSOLIDADO'!G5:AB""), 18, 0), ""-""),
""""
)"),"A MEDIDA")</f>
        <v>A MEDIDA</v>
      </c>
      <c r="V69" s="36" t="str">
        <f>IFERROR(__xludf.DUMMYFUNCTION(" IF
( VLOOKUP($G69,IMPORTRANGE(""https://docs.google.com/spreadsheets/d/1Gpl6jkTg7sL4VDNimUm3S9Vi1i95esohXCF3wuKOE8c"", ""'CONSOLIDADO'!G5:AB""), 10, 0) &lt;&gt; 0, 
IFERROR(VLOOKUP($G69,IMPORTRANGE(""https://docs.google.com/spreadsheets/d/1Gpl6jkTg7sL4VDNimUm3"&amp;"S9Vi1i95esohXCF3wuKOE8c"", ""'CONSOLIDADO'!G5:AB""), 19, 0), ""-""),
""""
)"),"https://drive.google.com/file/d/1wD4owhuWxnyormBfDcxxUIkF3obARv5l/view?usp=drive_link")</f>
        <v>https://drive.google.com/file/d/1wD4owhuWxnyormBfDcxxUIkF3obARv5l/view?usp=drive_link</v>
      </c>
      <c r="W69" s="37" t="str">
        <f>IFERROR(__xludf.DUMMYFUNCTION("IFERROR(VLOOKUP(G69,IMPORTRANGE(""https://docs.google.com/spreadsheets/d/12RxCea4e5ggM7QGn1XE3FbLQa_-QbCNdBi90OdPjRqg"", ""'Plan de Compras'!D4:Q""), 12, 0), ""NO ESTÁ EN REQ"")"),"Técnica")</f>
        <v>Técnica</v>
      </c>
      <c r="X69" s="37" t="str">
        <f>IFERROR(__xludf.DUMMYFUNCTION("IFERROR(VLOOKUP(G69,IMPORTRANGE(""https://docs.google.com/spreadsheets/d/12RxCea4e5ggM7QGn1XE3FbLQa_-QbCNdBi90OdPjRqg"", ""'Plan de Compras'!D4:Q""), 13, 0), """")"),"NACIONAL")</f>
        <v>NACIONAL</v>
      </c>
      <c r="Y69" s="32" t="str">
        <f>IFERROR(__xludf.DUMMYFUNCTION("IFERROR(VLOOKUP(G69,IMPORTRANGE(""https://docs.google.com/spreadsheets/d/12RxCea4e5ggM7QGn1XE3FbLQa_-QbCNdBi90OdPjRqg"", ""'Plan de Compras'!D4:Q""), 14, 0), """")"),"GEANFRANCO")</f>
        <v>GEANFRANCO</v>
      </c>
      <c r="Z69" s="38" t="str">
        <f>IFERROR(__xludf.DUMMYFUNCTION("IFERROR(VLOOKUP(G69,IMPORTRANGE(""https://docs.google.com/spreadsheets/d/12RxCea4e5ggM7QGn1XE3FbLQa_-QbCNdBi90OdPjRqg"", ""'Plan de Compras'!D4:Q""), 4, 0), """")"),"COCINA SEMI INDUSTRIAL")</f>
        <v>COCINA SEMI INDUSTRIAL</v>
      </c>
      <c r="AA69" s="38" t="str">
        <f t="shared" si="11"/>
        <v>TRUE</v>
      </c>
      <c r="AB69" s="37" t="str">
        <f>IFERROR(__xludf.DUMMYFUNCTION("IFERROR(IF(OR(C69=TRUE,C69=""""),VLOOKUP(G69,IMPORTRANGE(""https://docs.google.com/spreadsheets/d/1z9A1Wq-kKrhRNG5RS2a2fKpY1wIhSVz2ZNmP2mOl588/edit?usp=sharing"",""REQ VF!E4:H""),4,0),""NO APLICA""),""GENERAR REQ"")"),"GENERAR REQ")</f>
        <v>GENERAR REQ</v>
      </c>
      <c r="AC69" s="37" t="str">
        <f>IFERROR(__xludf.DUMMYFUNCTION("IFERROR(QUERY(IMPORTRANGE(""https://docs.google.com/spreadsheets/d/1z9A1Wq-kKrhRNG5RS2a2fKpY1wIhSVz2ZNmP2mOl588/edit?usp=sharing"",""REQ VF!E4:Q""),""SELECT Col10, Col11, Col12 WHERE Col1 = '""&amp;G69&amp;""'"",0),""NO APLICA"")"),"NO APLICA")</f>
        <v>NO APLICA</v>
      </c>
      <c r="AD69" s="37"/>
      <c r="AE69" s="37"/>
      <c r="AF69" s="13"/>
      <c r="AG69" s="13"/>
    </row>
    <row r="70">
      <c r="A70" s="26">
        <v>27.0</v>
      </c>
      <c r="B70" s="26" t="b">
        <v>1</v>
      </c>
      <c r="C70" s="26" t="b">
        <v>1</v>
      </c>
      <c r="D70" s="26" t="s">
        <v>35</v>
      </c>
      <c r="E70" s="26" t="s">
        <v>36</v>
      </c>
      <c r="F70" s="27" t="s">
        <v>287</v>
      </c>
      <c r="G70" s="37" t="s">
        <v>291</v>
      </c>
      <c r="H70" s="45" t="s">
        <v>292</v>
      </c>
      <c r="I70" s="26">
        <f>SUMIFS('Hoja 10'!$O:$O,'Hoja 10'!$F:$F,$G70)</f>
        <v>8</v>
      </c>
      <c r="J70" s="26">
        <f>IFERROR(__xludf.DUMMYFUNCTION("VLOOKUP(G70,IMPORTRANGE(""https://docs.google.com/spreadsheets/d/12RxCea4e5ggM7QGn1XE3FbLQa_-QbCNdBi90OdPjRqg/edit?gid=1692403370#gid=1692403370"", ""'Plan de Compras'!D4:2432""), 8,0)"),8.0)</f>
        <v>8</v>
      </c>
      <c r="K70" s="26" t="str">
        <f t="shared" si="1"/>
        <v>SI</v>
      </c>
      <c r="L70" s="29" t="s">
        <v>39</v>
      </c>
      <c r="M70" s="30" t="s">
        <v>40</v>
      </c>
      <c r="N70" s="42"/>
      <c r="O70" s="32" t="str">
        <f>VLOOKUP($G70,'Hoja 10'!$F$4:$AA478, 19,0)</f>
        <v>DRACCO</v>
      </c>
      <c r="P70" s="32" t="str">
        <f>VLOOKUP($G70,'Hoja 10'!$F$4:$AA478, 20,0)</f>
        <v>CSI-2H</v>
      </c>
      <c r="Q70" s="33" t="str">
        <f>VLOOKUP($G70,'Hoja 10'!$F$4:$AA478, 21,0)</f>
        <v>https://drive.google.com/file/d/1L2xTfes6smSwtJk_Ok6YfxYiLIC_YUcY/view?usp=sharing</v>
      </c>
      <c r="R70" s="30" t="s">
        <v>293</v>
      </c>
      <c r="S70" s="34" t="b">
        <v>1</v>
      </c>
      <c r="T70" s="35" t="str">
        <f>IFERROR(__xludf.DUMMYFUNCTION(" IF
( VLOOKUP($G70,IMPORTRANGE(""https://docs.google.com/spreadsheets/d/1Gpl6jkTg7sL4VDNimUm3S9Vi1i95esohXCF3wuKOE8c"", ""'CONSOLIDADO'!G5:AB""), 10, 0) &lt;&gt; 0, 
IFERROR(VLOOKUP($G70,IMPORTRANGE(""https://docs.google.com/spreadsheets/d/1Gpl6jkTg7sL4VDNimUm3"&amp;"S9Vi1i95esohXCF3wuKOE8c"", ""'CONSOLIDADO'!G5:AB""), 17, 0), ""-""),
""""
)"),"LINOX")</f>
        <v>LINOX</v>
      </c>
      <c r="U70" s="35" t="str">
        <f>IFERROR(__xludf.DUMMYFUNCTION(" IF
( VLOOKUP($G70,IMPORTRANGE(""https://docs.google.com/spreadsheets/d/1Gpl6jkTg7sL4VDNimUm3S9Vi1i95esohXCF3wuKOE8c"", ""'CONSOLIDADO'!G5:AB""), 10, 0) &lt;&gt; 0, 
IFERROR(VLOOKUP($G70,IMPORTRANGE(""https://docs.google.com/spreadsheets/d/1Gpl6jkTg7sL4VDNimUm3"&amp;"S9Vi1i95esohXCF3wuKOE8c"", ""'CONSOLIDADO'!G5:AB""), 18, 0), ""-""),
""""
)"),"A MEDIDA")</f>
        <v>A MEDIDA</v>
      </c>
      <c r="V70" s="36" t="str">
        <f>IFERROR(__xludf.DUMMYFUNCTION(" IF
( VLOOKUP($G70,IMPORTRANGE(""https://docs.google.com/spreadsheets/d/1Gpl6jkTg7sL4VDNimUm3S9Vi1i95esohXCF3wuKOE8c"", ""'CONSOLIDADO'!G5:AB""), 10, 0) &lt;&gt; 0, 
IFERROR(VLOOKUP($G70,IMPORTRANGE(""https://docs.google.com/spreadsheets/d/1Gpl6jkTg7sL4VDNimUm3"&amp;"S9Vi1i95esohXCF3wuKOE8c"", ""'CONSOLIDADO'!G5:AB""), 19, 0), ""-""),
""""
)"),"https://drive.google.com/file/d/1OPcH9VfDuaJC5_ssSN_3kau8tNkJxgRp/view?usp=drive_link")</f>
        <v>https://drive.google.com/file/d/1OPcH9VfDuaJC5_ssSN_3kau8tNkJxgRp/view?usp=drive_link</v>
      </c>
      <c r="W70" s="37" t="str">
        <f>IFERROR(__xludf.DUMMYFUNCTION("IFERROR(VLOOKUP(G70,IMPORTRANGE(""https://docs.google.com/spreadsheets/d/12RxCea4e5ggM7QGn1XE3FbLQa_-QbCNdBi90OdPjRqg"", ""'Plan de Compras'!D4:Q""), 12, 0), ""NO ESTÁ EN REQ"")"),"Técnica")</f>
        <v>Técnica</v>
      </c>
      <c r="X70" s="37" t="str">
        <f>IFERROR(__xludf.DUMMYFUNCTION("IFERROR(VLOOKUP(G70,IMPORTRANGE(""https://docs.google.com/spreadsheets/d/12RxCea4e5ggM7QGn1XE3FbLQa_-QbCNdBi90OdPjRqg"", ""'Plan de Compras'!D4:Q""), 13, 0), """")"),"NACIONAL")</f>
        <v>NACIONAL</v>
      </c>
      <c r="Y70" s="32" t="str">
        <f>IFERROR(__xludf.DUMMYFUNCTION("IFERROR(VLOOKUP(G70,IMPORTRANGE(""https://docs.google.com/spreadsheets/d/12RxCea4e5ggM7QGn1XE3FbLQa_-QbCNdBi90OdPjRqg"", ""'Plan de Compras'!D4:Q""), 14, 0), """")"),"GEANFRANCO")</f>
        <v>GEANFRANCO</v>
      </c>
      <c r="Z70" s="38" t="str">
        <f>IFERROR(__xludf.DUMMYFUNCTION("IFERROR(VLOOKUP(G70,IMPORTRANGE(""https://docs.google.com/spreadsheets/d/12RxCea4e5ggM7QGn1XE3FbLQa_-QbCNdBi90OdPjRqg"", ""'Plan de Compras'!D4:Q""), 4, 0), """")"),"COCINA SEMI INDUSTRIAL A GAS")</f>
        <v>COCINA SEMI INDUSTRIAL A GAS</v>
      </c>
      <c r="AA70" s="38" t="str">
        <f t="shared" si="11"/>
        <v>TRUE</v>
      </c>
      <c r="AB70" s="37" t="str">
        <f>IFERROR(__xludf.DUMMYFUNCTION("IFERROR(IF(OR(C70=TRUE,C70=""""),VLOOKUP(G70,IMPORTRANGE(""https://docs.google.com/spreadsheets/d/1z9A1Wq-kKrhRNG5RS2a2fKpY1wIhSVz2ZNmP2mOl588/edit?usp=sharing"",""REQ VF!E4:H""),4,0),""NO APLICA""),""GENERAR REQ"")"),"GENERAR REQ")</f>
        <v>GENERAR REQ</v>
      </c>
      <c r="AC70" s="37" t="str">
        <f>IFERROR(__xludf.DUMMYFUNCTION("IFERROR(QUERY(IMPORTRANGE(""https://docs.google.com/spreadsheets/d/1z9A1Wq-kKrhRNG5RS2a2fKpY1wIhSVz2ZNmP2mOl588/edit?usp=sharing"",""REQ VF!E4:Q""),""SELECT Col10, Col11, Col12 WHERE Col1 = '""&amp;G70&amp;""'"",0),""NO APLICA"")"),"NO APLICA")</f>
        <v>NO APLICA</v>
      </c>
      <c r="AD70" s="37"/>
      <c r="AE70" s="37"/>
      <c r="AF70" s="13"/>
      <c r="AG70" s="13"/>
    </row>
    <row r="71">
      <c r="A71" s="26">
        <v>28.0</v>
      </c>
      <c r="B71" s="26" t="b">
        <v>1</v>
      </c>
      <c r="C71" s="26" t="b">
        <v>1</v>
      </c>
      <c r="D71" s="26" t="s">
        <v>35</v>
      </c>
      <c r="E71" s="26" t="s">
        <v>36</v>
      </c>
      <c r="F71" s="27" t="s">
        <v>294</v>
      </c>
      <c r="G71" s="37" t="s">
        <v>294</v>
      </c>
      <c r="H71" s="45" t="s">
        <v>295</v>
      </c>
      <c r="I71" s="26">
        <f>SUMIFS('Hoja 10'!$O:$O,'Hoja 10'!$F:$F,$G71)</f>
        <v>2</v>
      </c>
      <c r="J71" s="26">
        <f>IFERROR(__xludf.DUMMYFUNCTION("VLOOKUP(G71,IMPORTRANGE(""https://docs.google.com/spreadsheets/d/12RxCea4e5ggM7QGn1XE3FbLQa_-QbCNdBi90OdPjRqg/edit?gid=1692403370#gid=1692403370"", ""'Plan de Compras'!D4:2432""), 8,0)"),2.0)</f>
        <v>2</v>
      </c>
      <c r="K71" s="26" t="str">
        <f t="shared" si="1"/>
        <v>SI</v>
      </c>
      <c r="L71" s="29" t="s">
        <v>296</v>
      </c>
      <c r="M71" s="30" t="s">
        <v>297</v>
      </c>
      <c r="N71" s="42"/>
      <c r="O71" s="32" t="str">
        <f>VLOOKUP($G71,'Hoja 10'!$F$4:$AA478, 19,0)</f>
        <v>GOODYEAR</v>
      </c>
      <c r="P71" s="32" t="str">
        <f>VLOOKUP($G71,'Hoja 10'!$F$4:$AA478, 20,0)</f>
        <v>GY 351D</v>
      </c>
      <c r="Q71" s="33" t="str">
        <f>VLOOKUP($G71,'Hoja 10'!$F$4:$AA478, 21,0)</f>
        <v>https://www.leroymerlin.es/productos/compresor-goodyear-gy351d-3hp-50l-86538711.html</v>
      </c>
      <c r="R71" s="30" t="s">
        <v>298</v>
      </c>
      <c r="S71" s="34" t="b">
        <v>1</v>
      </c>
      <c r="T71" s="35" t="str">
        <f>IFERROR(__xludf.DUMMYFUNCTION(" IF
( VLOOKUP($G71,IMPORTRANGE(""https://docs.google.com/spreadsheets/d/1Gpl6jkTg7sL4VDNimUm3S9Vi1i95esohXCF3wuKOE8c"", ""'CONSOLIDADO'!G5:AB""), 10, 0) &lt;&gt; 0, 
IFERROR(VLOOKUP($G71,IMPORTRANGE(""https://docs.google.com/spreadsheets/d/1Gpl6jkTg7sL4VDNimUm3"&amp;"S9Vi1i95esohXCF3wuKOE8c"", ""'CONSOLIDADO'!G5:AB""), 17, 0), ""-""),
""""
)"),"GOODYEAR")</f>
        <v>GOODYEAR</v>
      </c>
      <c r="U71" s="35" t="str">
        <f>IFERROR(__xludf.DUMMYFUNCTION(" IF
( VLOOKUP($G71,IMPORTRANGE(""https://docs.google.com/spreadsheets/d/1Gpl6jkTg7sL4VDNimUm3S9Vi1i95esohXCF3wuKOE8c"", ""'CONSOLIDADO'!G5:AB""), 10, 0) &lt;&gt; 0, 
IFERROR(VLOOKUP($G71,IMPORTRANGE(""https://docs.google.com/spreadsheets/d/1Gpl6jkTg7sL4VDNimUm3"&amp;"S9Vi1i95esohXCF3wuKOE8c"", ""'CONSOLIDADO'!G5:AB""), 18, 0), ""-""),
""""
)"),"GY 351D")</f>
        <v>GY 351D</v>
      </c>
      <c r="V71" s="36" t="str">
        <f>IFERROR(__xludf.DUMMYFUNCTION(" IF
( VLOOKUP($G71,IMPORTRANGE(""https://docs.google.com/spreadsheets/d/1Gpl6jkTg7sL4VDNimUm3S9Vi1i95esohXCF3wuKOE8c"", ""'CONSOLIDADO'!G5:AB""), 10, 0) &lt;&gt; 0, 
IFERROR(VLOOKUP($G71,IMPORTRANGE(""https://docs.google.com/spreadsheets/d/1Gpl6jkTg7sL4VDNimUm3"&amp;"S9Vi1i95esohXCF3wuKOE8c"", ""'CONSOLIDADO'!G5:AB""), 19, 0), ""-""),
""""
)"),"https://www.leroymerlin.es/productos/compresor-goodyear-gy351d-3hp-50l-86538711.html")</f>
        <v>https://www.leroymerlin.es/productos/compresor-goodyear-gy351d-3hp-50l-86538711.html</v>
      </c>
      <c r="W71" s="37" t="str">
        <f>IFERROR(__xludf.DUMMYFUNCTION("IFERROR(VLOOKUP(G71,IMPORTRANGE(""https://docs.google.com/spreadsheets/d/12RxCea4e5ggM7QGn1XE3FbLQa_-QbCNdBi90OdPjRqg"", ""'Plan de Compras'!D4:Q""), 12, 0), ""NO ESTÁ EN REQ"")"),"Técnica")</f>
        <v>Técnica</v>
      </c>
      <c r="X71" s="37" t="str">
        <f>IFERROR(__xludf.DUMMYFUNCTION("IFERROR(VLOOKUP(G71,IMPORTRANGE(""https://docs.google.com/spreadsheets/d/12RxCea4e5ggM7QGn1XE3FbLQa_-QbCNdBi90OdPjRqg"", ""'Plan de Compras'!D4:Q""), 13, 0), """")"),"INTERNACIONAL")</f>
        <v>INTERNACIONAL</v>
      </c>
      <c r="Y71" s="32" t="str">
        <f>IFERROR(__xludf.DUMMYFUNCTION("IFERROR(VLOOKUP(G71,IMPORTRANGE(""https://docs.google.com/spreadsheets/d/12RxCea4e5ggM7QGn1XE3FbLQa_-QbCNdBi90OdPjRqg"", ""'Plan de Compras'!D4:Q""), 14, 0), """")"),"ALEJANDRA")</f>
        <v>ALEJANDRA</v>
      </c>
      <c r="Z71" s="38" t="str">
        <f>IFERROR(__xludf.DUMMYFUNCTION("IFERROR(VLOOKUP(G71,IMPORTRANGE(""https://docs.google.com/spreadsheets/d/12RxCea4e5ggM7QGn1XE3FbLQa_-QbCNdBi90OdPjRqg"", ""'Plan de Compras'!D4:Q""), 4, 0), """")"),"COMPRENSORA DE AIRE DE 50 LITROS")</f>
        <v>COMPRENSORA DE AIRE DE 50 LITROS</v>
      </c>
      <c r="AA71" s="38" t="str">
        <f t="shared" si="11"/>
        <v>TRUE</v>
      </c>
      <c r="AB71" s="37" t="str">
        <f>IFERROR(__xludf.DUMMYFUNCTION("IFERROR(IF(OR(C71=TRUE,C71=""""),VLOOKUP(G71,IMPORTRANGE(""https://docs.google.com/spreadsheets/d/1z9A1Wq-kKrhRNG5RS2a2fKpY1wIhSVz2ZNmP2mOl588/edit?usp=sharing"",""REQ VF!E4:H""),4,0),""NO APLICA""),""GENERAR REQ"")"),"GENERAR REQ")</f>
        <v>GENERAR REQ</v>
      </c>
      <c r="AC71" s="37" t="str">
        <f>IFERROR(__xludf.DUMMYFUNCTION("IFERROR(QUERY(IMPORTRANGE(""https://docs.google.com/spreadsheets/d/1z9A1Wq-kKrhRNG5RS2a2fKpY1wIhSVz2ZNmP2mOl588/edit?usp=sharing"",""REQ VF!E4:Q""),""SELECT Col10, Col11, Col12 WHERE Col1 = '""&amp;G71&amp;""'"",0),""NO APLICA"")"),"NO APLICA")</f>
        <v>NO APLICA</v>
      </c>
      <c r="AD71" s="37"/>
      <c r="AE71" s="37"/>
      <c r="AF71" s="8" t="s">
        <v>52</v>
      </c>
      <c r="AG71" s="13"/>
    </row>
    <row r="72">
      <c r="A72" s="26"/>
      <c r="B72" s="26"/>
      <c r="C72" s="26" t="b">
        <v>1</v>
      </c>
      <c r="D72" s="26" t="s">
        <v>42</v>
      </c>
      <c r="E72" s="26" t="s">
        <v>36</v>
      </c>
      <c r="F72" s="59" t="s">
        <v>294</v>
      </c>
      <c r="G72" s="39" t="s">
        <v>299</v>
      </c>
      <c r="H72" s="40" t="s">
        <v>300</v>
      </c>
      <c r="I72" s="43">
        <f t="shared" ref="I72:I73" si="14">$I$71</f>
        <v>2</v>
      </c>
      <c r="J72" s="26">
        <f>IFERROR(__xludf.DUMMYFUNCTION("VLOOKUP(G72,IMPORTRANGE(""https://docs.google.com/spreadsheets/d/12RxCea4e5ggM7QGn1XE3FbLQa_-QbCNdBi90OdPjRqg/edit?gid=1692403370#gid=1692403370"", ""'Plan de Compras'!D4:2432""), 8,0)"),2.0)</f>
        <v>2</v>
      </c>
      <c r="K72" s="26" t="str">
        <f t="shared" si="1"/>
        <v>SI</v>
      </c>
      <c r="L72" s="26"/>
      <c r="M72" s="47"/>
      <c r="N72" s="42"/>
      <c r="O72" s="26"/>
      <c r="P72" s="26" t="s">
        <v>301</v>
      </c>
      <c r="Q72" s="46" t="s">
        <v>302</v>
      </c>
      <c r="R72" s="47"/>
      <c r="S72" s="34" t="b">
        <v>1</v>
      </c>
      <c r="T72" s="35" t="s">
        <v>303</v>
      </c>
      <c r="U72" s="35">
        <v>19238.0</v>
      </c>
      <c r="V72" s="46" t="s">
        <v>302</v>
      </c>
      <c r="W72" s="37" t="str">
        <f>IFERROR(__xludf.DUMMYFUNCTION("IFERROR(VLOOKUP(G72,IMPORTRANGE(""https://docs.google.com/spreadsheets/d/12RxCea4e5ggM7QGn1XE3FbLQa_-QbCNdBi90OdPjRqg"", ""'Plan de Compras'!D4:Q""), 12, 0), ""NO ESTÁ EN REQ"")"),"Técnica")</f>
        <v>Técnica</v>
      </c>
      <c r="X72" s="37" t="str">
        <f>IFERROR(__xludf.DUMMYFUNCTION("IFERROR(VLOOKUP(G72,IMPORTRANGE(""https://docs.google.com/spreadsheets/d/12RxCea4e5ggM7QGn1XE3FbLQa_-QbCNdBi90OdPjRqg"", ""'Plan de Compras'!D4:Q""), 13, 0), """")"),"NACIONAL")</f>
        <v>NACIONAL</v>
      </c>
      <c r="Y72" s="32" t="str">
        <f>IFERROR(__xludf.DUMMYFUNCTION("IFERROR(VLOOKUP(G72,IMPORTRANGE(""https://docs.google.com/spreadsheets/d/12RxCea4e5ggM7QGn1XE3FbLQa_-QbCNdBi90OdPjRqg"", ""'Plan de Compras'!D4:Q""), 14, 0), """")"),"ANGIE")</f>
        <v>ANGIE</v>
      </c>
      <c r="Z72" s="38" t="str">
        <f>IFERROR(__xludf.DUMMYFUNCTION("IFERROR(VLOOKUP(G72,IMPORTRANGE(""https://docs.google.com/spreadsheets/d/12RxCea4e5ggM7QGn1XE3FbLQa_-QbCNdBi90OdPjRqg"", ""'Plan de Compras'!D4:Q""), 4, 0), """")"),"FILTRO Y REGULADOR DE AIRE (1 UND)")</f>
        <v>FILTRO Y REGULADOR DE AIRE (1 UND)</v>
      </c>
      <c r="AA72" s="38" t="str">
        <f t="shared" si="11"/>
        <v>TRUE</v>
      </c>
      <c r="AB72" s="37" t="str">
        <f>IFERROR(__xludf.DUMMYFUNCTION("IFERROR(IF(OR(C72=TRUE,C72=""""),VLOOKUP(G72,IMPORTRANGE(""https://docs.google.com/spreadsheets/d/1z9A1Wq-kKrhRNG5RS2a2fKpY1wIhSVz2ZNmP2mOl588/edit?usp=sharing"",""REQ VF!E4:H""),4,0),""NO APLICA""),""GENERAR REQ"")"),"GENERAR REQ")</f>
        <v>GENERAR REQ</v>
      </c>
      <c r="AC72" s="37" t="str">
        <f>IFERROR(__xludf.DUMMYFUNCTION("IFERROR(QUERY(IMPORTRANGE(""https://docs.google.com/spreadsheets/d/1z9A1Wq-kKrhRNG5RS2a2fKpY1wIhSVz2ZNmP2mOl588/edit?usp=sharing"",""REQ VF!E4:Q""),""SELECT Col10, Col11, Col12 WHERE Col1 = '""&amp;G72&amp;""'"",0),""NO APLICA"")"),"NO APLICA")</f>
        <v>NO APLICA</v>
      </c>
      <c r="AD72" s="37"/>
      <c r="AE72" s="37"/>
      <c r="AF72" s="13"/>
      <c r="AG72" s="13"/>
    </row>
    <row r="73">
      <c r="A73" s="26"/>
      <c r="B73" s="26"/>
      <c r="C73" s="26" t="b">
        <v>1</v>
      </c>
      <c r="D73" s="26" t="s">
        <v>42</v>
      </c>
      <c r="E73" s="26" t="s">
        <v>36</v>
      </c>
      <c r="F73" s="59" t="s">
        <v>294</v>
      </c>
      <c r="G73" s="39" t="s">
        <v>304</v>
      </c>
      <c r="H73" s="40" t="s">
        <v>305</v>
      </c>
      <c r="I73" s="43">
        <f t="shared" si="14"/>
        <v>2</v>
      </c>
      <c r="J73" s="26">
        <f>IFERROR(__xludf.DUMMYFUNCTION("VLOOKUP(G73,IMPORTRANGE(""https://docs.google.com/spreadsheets/d/12RxCea4e5ggM7QGn1XE3FbLQa_-QbCNdBi90OdPjRqg/edit?gid=1692403370#gid=1692403370"", ""'Plan de Compras'!D4:2432""), 8,0)"),2.0)</f>
        <v>2</v>
      </c>
      <c r="K73" s="26" t="str">
        <f t="shared" si="1"/>
        <v>SI</v>
      </c>
      <c r="L73" s="26"/>
      <c r="M73" s="47"/>
      <c r="N73" s="42"/>
      <c r="O73" s="26"/>
      <c r="P73" s="26" t="s">
        <v>306</v>
      </c>
      <c r="Q73" s="46" t="s">
        <v>307</v>
      </c>
      <c r="R73" s="47"/>
      <c r="S73" s="34" t="b">
        <v>1</v>
      </c>
      <c r="T73" s="35" t="s">
        <v>308</v>
      </c>
      <c r="U73" s="35" t="s">
        <v>309</v>
      </c>
      <c r="V73" s="46" t="s">
        <v>307</v>
      </c>
      <c r="W73" s="37" t="str">
        <f>IFERROR(__xludf.DUMMYFUNCTION("IFERROR(VLOOKUP(G73,IMPORTRANGE(""https://docs.google.com/spreadsheets/d/12RxCea4e5ggM7QGn1XE3FbLQa_-QbCNdBi90OdPjRqg"", ""'Plan de Compras'!D4:Q""), 12, 0), ""NO ESTÁ EN REQ"")"),"Técnica")</f>
        <v>Técnica</v>
      </c>
      <c r="X73" s="37" t="str">
        <f>IFERROR(__xludf.DUMMYFUNCTION("IFERROR(VLOOKUP(G73,IMPORTRANGE(""https://docs.google.com/spreadsheets/d/12RxCea4e5ggM7QGn1XE3FbLQa_-QbCNdBi90OdPjRqg"", ""'Plan de Compras'!D4:Q""), 13, 0), """")"),"NACIONAL")</f>
        <v>NACIONAL</v>
      </c>
      <c r="Y73" s="32" t="str">
        <f>IFERROR(__xludf.DUMMYFUNCTION("IFERROR(VLOOKUP(G73,IMPORTRANGE(""https://docs.google.com/spreadsheets/d/12RxCea4e5ggM7QGn1XE3FbLQa_-QbCNdBi90OdPjRqg"", ""'Plan de Compras'!D4:Q""), 14, 0), """")"),"ANGIE")</f>
        <v>ANGIE</v>
      </c>
      <c r="Z73" s="38" t="str">
        <f>IFERROR(__xludf.DUMMYFUNCTION("IFERROR(VLOOKUP(G73,IMPORTRANGE(""https://docs.google.com/spreadsheets/d/12RxCea4e5ggM7QGn1XE3FbLQa_-QbCNdBi90OdPjRqg"", ""'Plan de Compras'!D4:Q""), 4, 0), """")"),"KIT ACCESORIOS DE COMPRESOR AIRE (1 UND)")</f>
        <v>KIT ACCESORIOS DE COMPRESOR AIRE (1 UND)</v>
      </c>
      <c r="AA73" s="38" t="str">
        <f t="shared" si="11"/>
        <v>TRUE</v>
      </c>
      <c r="AB73" s="37" t="str">
        <f>IFERROR(__xludf.DUMMYFUNCTION("IFERROR(IF(OR(C73=TRUE,C73=""""),VLOOKUP(G73,IMPORTRANGE(""https://docs.google.com/spreadsheets/d/1z9A1Wq-kKrhRNG5RS2a2fKpY1wIhSVz2ZNmP2mOl588/edit?usp=sharing"",""REQ VF!E4:H""),4,0),""NO APLICA""),""GENERAR REQ"")"),"GENERAR REQ")</f>
        <v>GENERAR REQ</v>
      </c>
      <c r="AC73" s="37" t="str">
        <f>IFERROR(__xludf.DUMMYFUNCTION("IFERROR(QUERY(IMPORTRANGE(""https://docs.google.com/spreadsheets/d/1z9A1Wq-kKrhRNG5RS2a2fKpY1wIhSVz2ZNmP2mOl588/edit?usp=sharing"",""REQ VF!E4:Q""),""SELECT Col10, Col11, Col12 WHERE Col1 = '""&amp;G73&amp;""'"",0),""NO APLICA"")"),"NO APLICA")</f>
        <v>NO APLICA</v>
      </c>
      <c r="AD73" s="37"/>
      <c r="AE73" s="37"/>
      <c r="AF73" s="13"/>
      <c r="AG73" s="13"/>
    </row>
    <row r="74">
      <c r="A74" s="26"/>
      <c r="B74" s="26"/>
      <c r="C74" s="26" t="b">
        <v>0</v>
      </c>
      <c r="D74" s="26" t="s">
        <v>42</v>
      </c>
      <c r="E74" s="26" t="s">
        <v>36</v>
      </c>
      <c r="F74" s="59" t="s">
        <v>294</v>
      </c>
      <c r="G74" s="63" t="s">
        <v>310</v>
      </c>
      <c r="H74" s="64" t="s">
        <v>311</v>
      </c>
      <c r="I74" s="65">
        <v>2.0</v>
      </c>
      <c r="J74" s="26" t="str">
        <f>IFERROR(__xludf.DUMMYFUNCTION("VLOOKUP(G74,IMPORTRANGE(""https://docs.google.com/spreadsheets/d/12RxCea4e5ggM7QGn1XE3FbLQa_-QbCNdBi90OdPjRqg/edit?gid=1692403370#gid=1692403370"", ""'Plan de Compras'!D4:2432""), 8,0)"),"#N/A")</f>
        <v>#N/A</v>
      </c>
      <c r="K74" s="26" t="str">
        <f t="shared" si="1"/>
        <v>-</v>
      </c>
      <c r="L74" s="26"/>
      <c r="M74" s="47"/>
      <c r="N74" s="42"/>
      <c r="O74" s="26"/>
      <c r="P74" s="26"/>
      <c r="Q74" s="57"/>
      <c r="R74" s="47"/>
      <c r="S74" s="34" t="b">
        <v>0</v>
      </c>
      <c r="T74" s="35"/>
      <c r="U74" s="35"/>
      <c r="V74" s="57"/>
      <c r="W74" s="37"/>
      <c r="X74" s="37"/>
      <c r="Y74" s="32"/>
      <c r="Z74" s="38"/>
      <c r="AA74" s="38" t="str">
        <f t="shared" si="11"/>
        <v>FALSE</v>
      </c>
      <c r="AB74" s="37" t="str">
        <f>IFERROR(__xludf.DUMMYFUNCTION("IFERROR(IF(OR(C74=TRUE,C74=""""),VLOOKUP(G74,IMPORTRANGE(""https://docs.google.com/spreadsheets/d/1z9A1Wq-kKrhRNG5RS2a2fKpY1wIhSVz2ZNmP2mOl588/edit?usp=sharing"",""REQ VF!E4:H""),4,0),""NO APLICA""),""GENERAR REQ"")"),"NO APLICA")</f>
        <v>NO APLICA</v>
      </c>
      <c r="AC74" s="37" t="str">
        <f>IFERROR(__xludf.DUMMYFUNCTION("IFERROR(QUERY(IMPORTRANGE(""https://docs.google.com/spreadsheets/d/1z9A1Wq-kKrhRNG5RS2a2fKpY1wIhSVz2ZNmP2mOl588/edit?usp=sharing"",""REQ VF!E4:Q""),""SELECT Col10, Col11, Col12 WHERE Col1 = '""&amp;G74&amp;""'"",0),""NO APLICA"")"),"NO APLICA")</f>
        <v>NO APLICA</v>
      </c>
      <c r="AD74" s="37"/>
      <c r="AE74" s="37"/>
      <c r="AF74" s="13"/>
      <c r="AG74" s="13"/>
    </row>
    <row r="75">
      <c r="A75" s="26">
        <v>29.0</v>
      </c>
      <c r="B75" s="26" t="b">
        <v>1</v>
      </c>
      <c r="C75" s="26" t="b">
        <v>1</v>
      </c>
      <c r="D75" s="26" t="s">
        <v>35</v>
      </c>
      <c r="E75" s="26" t="s">
        <v>36</v>
      </c>
      <c r="F75" s="27" t="s">
        <v>312</v>
      </c>
      <c r="G75" s="37" t="s">
        <v>312</v>
      </c>
      <c r="H75" s="45" t="s">
        <v>313</v>
      </c>
      <c r="I75" s="26">
        <f>SUMIFS('Hoja 10'!$O:$O,'Hoja 10'!$F:$F,$G75)</f>
        <v>1</v>
      </c>
      <c r="J75" s="26">
        <f>IFERROR(__xludf.DUMMYFUNCTION("VLOOKUP(G75,IMPORTRANGE(""https://docs.google.com/spreadsheets/d/12RxCea4e5ggM7QGn1XE3FbLQa_-QbCNdBi90OdPjRqg/edit?gid=1692403370#gid=1692403370"", ""'Plan de Compras'!D4:2432""), 8,0)"),1.0)</f>
        <v>1</v>
      </c>
      <c r="K75" s="26" t="str">
        <f t="shared" si="1"/>
        <v>SI</v>
      </c>
      <c r="L75" s="29" t="s">
        <v>91</v>
      </c>
      <c r="M75" s="30" t="s">
        <v>92</v>
      </c>
      <c r="N75" s="42"/>
      <c r="O75" s="32" t="str">
        <f>VLOOKUP($G75,'Hoja 10'!$F$4:$AA478, 19,0)</f>
        <v>TRUPER</v>
      </c>
      <c r="P75" s="32" t="str">
        <f>VLOOKUP($G75,'Hoja 10'!$F$4:$AA478, 20,0)</f>
        <v>COMP-KIT50-260</v>
      </c>
      <c r="Q75" s="33" t="str">
        <f>VLOOKUP($G75,'Hoja 10'!$F$4:$AA478, 21,0)</f>
        <v>https://www.aibitech.com/herramientas-electricas/sierras/compresora-de-aire/compresora-de-aire-de-35-hp-50l-arranque-automatico-comp-50lt-260-11837-truper-16441.html?srsltid=AfmBOopR8FWY-1gVYn-_wN1--TVCWMoTpxXvVOxalx6Owo6EUWkqzOgQ</v>
      </c>
      <c r="R75" s="30" t="s">
        <v>314</v>
      </c>
      <c r="S75" s="34" t="b">
        <v>1</v>
      </c>
      <c r="T75" s="35" t="str">
        <f>IFERROR(__xludf.DUMMYFUNCTION(" IF
( VLOOKUP($G75,IMPORTRANGE(""https://docs.google.com/spreadsheets/d/1Gpl6jkTg7sL4VDNimUm3S9Vi1i95esohXCF3wuKOE8c"", ""'CONSOLIDADO'!G5:AB""), 10, 0) &lt;&gt; 0, 
IFERROR(VLOOKUP($G75,IMPORTRANGE(""https://docs.google.com/spreadsheets/d/1Gpl6jkTg7sL4VDNimUm3"&amp;"S9Vi1i95esohXCF3wuKOE8c"", ""'CONSOLIDADO'!G5:AB""), 17, 0), ""-""),
""""
)"),"TRUPER")</f>
        <v>TRUPER</v>
      </c>
      <c r="U75" s="35" t="str">
        <f>IFERROR(__xludf.DUMMYFUNCTION(" IF
( VLOOKUP($G75,IMPORTRANGE(""https://docs.google.com/spreadsheets/d/1Gpl6jkTg7sL4VDNimUm3S9Vi1i95esohXCF3wuKOE8c"", ""'CONSOLIDADO'!G5:AB""), 10, 0) &lt;&gt; 0, 
IFERROR(VLOOKUP($G75,IMPORTRANGE(""https://docs.google.com/spreadsheets/d/1Gpl6jkTg7sL4VDNimUm3"&amp;"S9Vi1i95esohXCF3wuKOE8c"", ""'CONSOLIDADO'!G5:AB""), 18, 0), ""-""),
""""
)"),"COMP-KIT50-260")</f>
        <v>COMP-KIT50-260</v>
      </c>
      <c r="V75" s="36" t="str">
        <f>IFERROR(__xludf.DUMMYFUNCTION(" IF
( VLOOKUP($G75,IMPORTRANGE(""https://docs.google.com/spreadsheets/d/1Gpl6jkTg7sL4VDNimUm3S9Vi1i95esohXCF3wuKOE8c"", ""'CONSOLIDADO'!G5:AB""), 10, 0) &lt;&gt; 0, 
IFERROR(VLOOKUP($G75,IMPORTRANGE(""https://docs.google.com/spreadsheets/d/1Gpl6jkTg7sL4VDNimUm3"&amp;"S9Vi1i95esohXCF3wuKOE8c"", ""'CONSOLIDADO'!G5:AB""), 19, 0), ""-""),
""""
)"),"https://www.indupartescorp.com/product/combo-compresora-50-litros-manguera-y-pistola-para-pintar-truper-101744?srsltid=AfmBOooJByXDjXWlbbiJ-6GBD7HGONzqyMUGcDpudIUPk2hGhzdUP23z")</f>
        <v>https://www.indupartescorp.com/product/combo-compresora-50-litros-manguera-y-pistola-para-pintar-truper-101744?srsltid=AfmBOooJByXDjXWlbbiJ-6GBD7HGONzqyMUGcDpudIUPk2hGhzdUP23z</v>
      </c>
      <c r="W75" s="37" t="str">
        <f>IFERROR(__xludf.DUMMYFUNCTION("IFERROR(VLOOKUP(G75,IMPORTRANGE(""https://docs.google.com/spreadsheets/d/12RxCea4e5ggM7QGn1XE3FbLQa_-QbCNdBi90OdPjRqg"", ""'Plan de Compras'!D4:Q""), 12, 0), ""NO ESTÁ EN REQ"")"),"Técnica")</f>
        <v>Técnica</v>
      </c>
      <c r="X75" s="37" t="str">
        <f>IFERROR(__xludf.DUMMYFUNCTION("IFERROR(VLOOKUP(G75,IMPORTRANGE(""https://docs.google.com/spreadsheets/d/12RxCea4e5ggM7QGn1XE3FbLQa_-QbCNdBi90OdPjRqg"", ""'Plan de Compras'!D4:Q""), 13, 0), """")"),"NACIONAL")</f>
        <v>NACIONAL</v>
      </c>
      <c r="Y75" s="32" t="str">
        <f>IFERROR(__xludf.DUMMYFUNCTION("IFERROR(VLOOKUP(G75,IMPORTRANGE(""https://docs.google.com/spreadsheets/d/12RxCea4e5ggM7QGn1XE3FbLQa_-QbCNdBi90OdPjRqg"", ""'Plan de Compras'!D4:Q""), 14, 0), """")"),"OMAR")</f>
        <v>OMAR</v>
      </c>
      <c r="Z75" s="38" t="str">
        <f>IFERROR(__xludf.DUMMYFUNCTION("IFERROR(VLOOKUP(G75,IMPORTRANGE(""https://docs.google.com/spreadsheets/d/12RxCea4e5ggM7QGn1XE3FbLQa_-QbCNdBi90OdPjRqg"", ""'Plan de Compras'!D4:Q""), 4, 0), """")"),"COMPRESORA DE AIRE (50L - 2HP)")</f>
        <v>COMPRESORA DE AIRE (50L - 2HP)</v>
      </c>
      <c r="AA75" s="38" t="str">
        <f t="shared" si="11"/>
        <v>TRUE</v>
      </c>
      <c r="AB75" s="37" t="str">
        <f>IFERROR(__xludf.DUMMYFUNCTION("IFERROR(IF(OR(C75=TRUE,C75=""""),VLOOKUP(G75,IMPORTRANGE(""https://docs.google.com/spreadsheets/d/1z9A1Wq-kKrhRNG5RS2a2fKpY1wIhSVz2ZNmP2mOl588/edit?usp=sharing"",""REQ VF!E4:H""),4,0),""NO APLICA""),""GENERAR REQ"")"),"GENERAR REQ")</f>
        <v>GENERAR REQ</v>
      </c>
      <c r="AC75" s="37" t="str">
        <f>IFERROR(__xludf.DUMMYFUNCTION("IFERROR(QUERY(IMPORTRANGE(""https://docs.google.com/spreadsheets/d/1z9A1Wq-kKrhRNG5RS2a2fKpY1wIhSVz2ZNmP2mOl588/edit?usp=sharing"",""REQ VF!E4:Q""),""SELECT Col10, Col11, Col12 WHERE Col1 = '""&amp;G75&amp;""'"",0),""NO APLICA"")"),"NO APLICA")</f>
        <v>NO APLICA</v>
      </c>
      <c r="AD75" s="37"/>
      <c r="AE75" s="37"/>
      <c r="AF75" s="8" t="s">
        <v>52</v>
      </c>
      <c r="AG75" s="13"/>
    </row>
    <row r="76">
      <c r="A76" s="26">
        <v>30.0</v>
      </c>
      <c r="B76" s="26" t="b">
        <v>1</v>
      </c>
      <c r="C76" s="26" t="b">
        <v>1</v>
      </c>
      <c r="D76" s="26" t="s">
        <v>35</v>
      </c>
      <c r="E76" s="26" t="s">
        <v>36</v>
      </c>
      <c r="F76" s="27" t="s">
        <v>315</v>
      </c>
      <c r="G76" s="37" t="s">
        <v>315</v>
      </c>
      <c r="H76" s="45" t="s">
        <v>316</v>
      </c>
      <c r="I76" s="26">
        <f>SUMIFS('Hoja 10'!$O:$O,'Hoja 10'!$F:$F,$G76)</f>
        <v>3</v>
      </c>
      <c r="J76" s="26">
        <f>IFERROR(__xludf.DUMMYFUNCTION("VLOOKUP(G76,IMPORTRANGE(""https://docs.google.com/spreadsheets/d/12RxCea4e5ggM7QGn1XE3FbLQa_-QbCNdBi90OdPjRqg/edit?gid=1692403370#gid=1692403370"", ""'Plan de Compras'!D4:2432""), 8,0)"),3.0)</f>
        <v>3</v>
      </c>
      <c r="K76" s="26" t="str">
        <f t="shared" si="1"/>
        <v>SI</v>
      </c>
      <c r="L76" s="29" t="s">
        <v>127</v>
      </c>
      <c r="M76" s="30" t="s">
        <v>105</v>
      </c>
      <c r="N76" s="26"/>
      <c r="O76" s="32" t="str">
        <f>VLOOKUP($G76,'Hoja 10'!$F$4:$AA478, 19,0)</f>
        <v>TRUPER</v>
      </c>
      <c r="P76" s="32" t="str">
        <f>VLOOKUP($G76,'Hoja 10'!$F$4:$AA478, 20,0)</f>
        <v>COMP-KIT50-260</v>
      </c>
      <c r="Q76" s="33" t="str">
        <f>VLOOKUP($G76,'Hoja 10'!$F$4:$AA478, 21,0)</f>
        <v>https://www.aibitech.com/herramientas-electricas/sierras/compresora-de-aire/compresora-de-aire-de-35-hp-50l-arranque-automatico-comp-50lt-260-11837-truper-16441.html?srsltid=AfmBOopR8FWY-1gVYn-_wN1--TVCWMoTpxXvVOxalx6Owo6EUWkqzOgQ</v>
      </c>
      <c r="R76" s="30" t="s">
        <v>317</v>
      </c>
      <c r="S76" s="34" t="b">
        <v>1</v>
      </c>
      <c r="T76" s="67" t="s">
        <v>318</v>
      </c>
      <c r="U76" s="67" t="s">
        <v>319</v>
      </c>
      <c r="V76" s="68" t="s">
        <v>320</v>
      </c>
      <c r="W76" s="37" t="str">
        <f>IFERROR(__xludf.DUMMYFUNCTION("IFERROR(VLOOKUP(G76,IMPORTRANGE(""https://docs.google.com/spreadsheets/d/12RxCea4e5ggM7QGn1XE3FbLQa_-QbCNdBi90OdPjRqg"", ""'Plan de Compras'!D4:Q""), 12, 0), ""NO ESTÁ EN REQ"")"),"Técnica")</f>
        <v>Técnica</v>
      </c>
      <c r="X76" s="37" t="str">
        <f>IFERROR(__xludf.DUMMYFUNCTION("IFERROR(VLOOKUP(G76,IMPORTRANGE(""https://docs.google.com/spreadsheets/d/12RxCea4e5ggM7QGn1XE3FbLQa_-QbCNdBi90OdPjRqg"", ""'Plan de Compras'!D4:Q""), 13, 0), """")"),"NACIONAL")</f>
        <v>NACIONAL</v>
      </c>
      <c r="Y76" s="32" t="str">
        <f>IFERROR(__xludf.DUMMYFUNCTION("IFERROR(VLOOKUP(G76,IMPORTRANGE(""https://docs.google.com/spreadsheets/d/12RxCea4e5ggM7QGn1XE3FbLQa_-QbCNdBi90OdPjRqg"", ""'Plan de Compras'!D4:Q""), 14, 0), """")"),"OMAR")</f>
        <v>OMAR</v>
      </c>
      <c r="Z76" s="38" t="str">
        <f>IFERROR(__xludf.DUMMYFUNCTION("IFERROR(VLOOKUP(G76,IMPORTRANGE(""https://docs.google.com/spreadsheets/d/12RxCea4e5ggM7QGn1XE3FbLQa_-QbCNdBi90OdPjRqg"", ""'Plan de Compras'!D4:Q""), 4, 0), """")"),"COMPRESORA DE AIRE (50L - 3HP)")</f>
        <v>COMPRESORA DE AIRE (50L - 3HP)</v>
      </c>
      <c r="AA76" s="38" t="str">
        <f t="shared" si="11"/>
        <v>TRUE</v>
      </c>
      <c r="AB76" s="37" t="str">
        <f>IFERROR(__xludf.DUMMYFUNCTION("IFERROR(IF(OR(C76=TRUE,C76=""""),VLOOKUP(G76,IMPORTRANGE(""https://docs.google.com/spreadsheets/d/1z9A1Wq-kKrhRNG5RS2a2fKpY1wIhSVz2ZNmP2mOl588/edit?usp=sharing"",""REQ VF!E4:H""),4,0),""NO APLICA""),""GENERAR REQ"")"),"GENERAR REQ")</f>
        <v>GENERAR REQ</v>
      </c>
      <c r="AC76" s="37" t="str">
        <f>IFERROR(__xludf.DUMMYFUNCTION("IFERROR(QUERY(IMPORTRANGE(""https://docs.google.com/spreadsheets/d/1z9A1Wq-kKrhRNG5RS2a2fKpY1wIhSVz2ZNmP2mOl588/edit?usp=sharing"",""REQ VF!E4:Q""),""SELECT Col10, Col11, Col12 WHERE Col1 = '""&amp;G76&amp;""'"",0),""NO APLICA"")"),"NO APLICA")</f>
        <v>NO APLICA</v>
      </c>
      <c r="AD76" s="37"/>
      <c r="AE76" s="37"/>
      <c r="AF76" s="8" t="s">
        <v>52</v>
      </c>
      <c r="AG76" s="13"/>
    </row>
    <row r="77">
      <c r="A77" s="26"/>
      <c r="B77" s="26"/>
      <c r="C77" s="26" t="b">
        <v>1</v>
      </c>
      <c r="D77" s="26" t="s">
        <v>42</v>
      </c>
      <c r="E77" s="26" t="s">
        <v>36</v>
      </c>
      <c r="F77" s="27" t="s">
        <v>315</v>
      </c>
      <c r="G77" s="39" t="s">
        <v>321</v>
      </c>
      <c r="H77" s="40" t="s">
        <v>322</v>
      </c>
      <c r="I77" s="43">
        <f>$I$76</f>
        <v>3</v>
      </c>
      <c r="J77" s="26" t="str">
        <f>IFERROR(__xludf.DUMMYFUNCTION("VLOOKUP(G77,IMPORTRANGE(""https://docs.google.com/spreadsheets/d/12RxCea4e5ggM7QGn1XE3FbLQa_-QbCNdBi90OdPjRqg/edit?gid=1692403370#gid=1692403370"", ""'Plan de Compras'!D4:2432""), 8,0)"),"#N/A")</f>
        <v>#N/A</v>
      </c>
      <c r="K77" s="26" t="str">
        <f t="shared" si="1"/>
        <v>#N/A</v>
      </c>
      <c r="L77" s="26"/>
      <c r="M77" s="41"/>
      <c r="N77" s="26" t="s">
        <v>323</v>
      </c>
      <c r="O77" s="26"/>
      <c r="P77" s="26"/>
      <c r="Q77" s="46" t="s">
        <v>324</v>
      </c>
      <c r="R77" s="41"/>
      <c r="S77" s="34" t="b">
        <v>1</v>
      </c>
      <c r="T77" s="67" t="s">
        <v>303</v>
      </c>
      <c r="U77" s="67" t="s">
        <v>325</v>
      </c>
      <c r="V77" s="69" t="s">
        <v>326</v>
      </c>
      <c r="W77" s="37" t="str">
        <f>IFERROR(__xludf.DUMMYFUNCTION("IFERROR(VLOOKUP(G77,IMPORTRANGE(""https://docs.google.com/spreadsheets/d/12RxCea4e5ggM7QGn1XE3FbLQa_-QbCNdBi90OdPjRqg"", ""'Plan de Compras'!D4:Q""), 12, 0), ""NO ESTÁ EN REQ"")"),"NO ESTÁ EN REQ")</f>
        <v>NO ESTÁ EN REQ</v>
      </c>
      <c r="X77" s="37" t="str">
        <f>IFERROR(__xludf.DUMMYFUNCTION("IFERROR(VLOOKUP(G77,IMPORTRANGE(""https://docs.google.com/spreadsheets/d/12RxCea4e5ggM7QGn1XE3FbLQa_-QbCNdBi90OdPjRqg"", ""'Plan de Compras'!D4:Q""), 13, 0), """")"),"")</f>
        <v/>
      </c>
      <c r="Y77" s="32" t="str">
        <f>IFERROR(__xludf.DUMMYFUNCTION("IFERROR(VLOOKUP(G77,IMPORTRANGE(""https://docs.google.com/spreadsheets/d/12RxCea4e5ggM7QGn1XE3FbLQa_-QbCNdBi90OdPjRqg"", ""'Plan de Compras'!D4:Q""), 14, 0), """")"),"")</f>
        <v/>
      </c>
      <c r="Z77" s="38" t="str">
        <f>IFERROR(__xludf.DUMMYFUNCTION("IFERROR(VLOOKUP(G77,IMPORTRANGE(""https://docs.google.com/spreadsheets/d/12RxCea4e5ggM7QGn1XE3FbLQa_-QbCNdBi90OdPjRqg"", ""'Plan de Compras'!D4:Q""), 4, 0), """")"),"")</f>
        <v/>
      </c>
      <c r="AA77" s="38" t="str">
        <f t="shared" si="11"/>
        <v>FALSE</v>
      </c>
      <c r="AB77" s="37" t="str">
        <f>IFERROR(__xludf.DUMMYFUNCTION("IFERROR(IF(OR(C77=TRUE,C77=""""),VLOOKUP(G77,IMPORTRANGE(""https://docs.google.com/spreadsheets/d/1z9A1Wq-kKrhRNG5RS2a2fKpY1wIhSVz2ZNmP2mOl588/edit?usp=sharing"",""REQ VF!E4:H""),4,0),""NO APLICA""),""GENERAR REQ"")"),"GENERAR REQ")</f>
        <v>GENERAR REQ</v>
      </c>
      <c r="AC77" s="37" t="str">
        <f>IFERROR(__xludf.DUMMYFUNCTION("IFERROR(QUERY(IMPORTRANGE(""https://docs.google.com/spreadsheets/d/1z9A1Wq-kKrhRNG5RS2a2fKpY1wIhSVz2ZNmP2mOl588/edit?usp=sharing"",""REQ VF!E4:Q""),""SELECT Col10, Col11, Col12 WHERE Col1 = '""&amp;G77&amp;""'"",0),""NO APLICA"")"),"NO APLICA")</f>
        <v>NO APLICA</v>
      </c>
      <c r="AD77" s="37"/>
      <c r="AE77" s="37"/>
      <c r="AF77" s="13"/>
      <c r="AG77" s="13"/>
    </row>
    <row r="78">
      <c r="A78" s="26">
        <v>31.0</v>
      </c>
      <c r="B78" s="26" t="b">
        <v>1</v>
      </c>
      <c r="C78" s="26" t="b">
        <v>1</v>
      </c>
      <c r="D78" s="26" t="s">
        <v>35</v>
      </c>
      <c r="E78" s="26" t="s">
        <v>36</v>
      </c>
      <c r="F78" s="27" t="s">
        <v>327</v>
      </c>
      <c r="G78" s="37" t="s">
        <v>327</v>
      </c>
      <c r="H78" s="45" t="s">
        <v>328</v>
      </c>
      <c r="I78" s="26">
        <f>SUMIFS('Hoja 10'!$O:$O,'Hoja 10'!$F:$F,$G78)</f>
        <v>3</v>
      </c>
      <c r="J78" s="26">
        <f>IFERROR(__xludf.DUMMYFUNCTION("VLOOKUP(G78,IMPORTRANGE(""https://docs.google.com/spreadsheets/d/12RxCea4e5ggM7QGn1XE3FbLQa_-QbCNdBi90OdPjRqg/edit?gid=1692403370#gid=1692403370"", ""'Plan de Compras'!D4:2432""), 8,0)"),3.0)</f>
        <v>3</v>
      </c>
      <c r="K78" s="26" t="str">
        <f t="shared" si="1"/>
        <v>SI</v>
      </c>
      <c r="L78" s="29" t="s">
        <v>127</v>
      </c>
      <c r="M78" s="30" t="s">
        <v>105</v>
      </c>
      <c r="N78" s="42"/>
      <c r="O78" s="32" t="str">
        <f>VLOOKUP($G78,'Hoja 10'!$F$4:$AA478, 19,0)</f>
        <v>JASTIND</v>
      </c>
      <c r="P78" s="32" t="str">
        <f>VLOOKUP($G78,'Hoja 10'!$F$4:$AA478, 20,0)</f>
        <v>Automotive Test Light</v>
      </c>
      <c r="Q78" s="33" t="str">
        <f>VLOOKUP($G78,'Hoja 10'!$F$4:$AA478, 21,0)</f>
        <v>https://www.amazon.com/-/es/JASTIND-Probador-retroiluminado-extendido-inoxidable/dp/B07PX16XDX</v>
      </c>
      <c r="R78" s="30" t="s">
        <v>329</v>
      </c>
      <c r="S78" s="34" t="b">
        <v>1</v>
      </c>
      <c r="T78" s="35" t="str">
        <f>IFERROR(__xludf.DUMMYFUNCTION(" IF
( VLOOKUP($G78,IMPORTRANGE(""https://docs.google.com/spreadsheets/d/1Gpl6jkTg7sL4VDNimUm3S9Vi1i95esohXCF3wuKOE8c"", ""'CONSOLIDADO'!G5:AB""), 10, 0) &lt;&gt; 0, 
IFERROR(VLOOKUP($G78,IMPORTRANGE(""https://docs.google.com/spreadsheets/d/1Gpl6jkTg7sL4VDNimUm3"&amp;"S9Vi1i95esohXCF3wuKOE8c"", ""'CONSOLIDADO'!G5:AB""), 17, 0), ""-""),
""""
)"),"QPKING")</f>
        <v>QPKING</v>
      </c>
      <c r="U78" s="35" t="str">
        <f>IFERROR(__xludf.DUMMYFUNCTION(" IF
( VLOOKUP($G78,IMPORTRANGE(""https://docs.google.com/spreadsheets/d/1Gpl6jkTg7sL4VDNimUm3S9Vi1i95esohXCF3wuKOE8c"", ""'CONSOLIDADO'!G5:AB""), 10, 0) &lt;&gt; 0, 
IFERROR(VLOOKUP($G78,IMPORTRANGE(""https://docs.google.com/spreadsheets/d/1Gpl6jkTg7sL4VDNimUm3"&amp;"S9Vi1i95esohXCF3wuKOE8c"", ""'CONSOLIDADO'!G5:AB""), 18, 0), ""-""),
""""
)"),"SPT360 ")</f>
        <v>SPT360 </v>
      </c>
      <c r="V78" s="36" t="str">
        <f>IFERROR(__xludf.DUMMYFUNCTION(" IF
( VLOOKUP($G78,IMPORTRANGE(""https://docs.google.com/spreadsheets/d/1Gpl6jkTg7sL4VDNimUm3S9Vi1i95esohXCF3wuKOE8c"", ""'CONSOLIDADO'!G5:AB""), 10, 0) &lt;&gt; 0, 
IFERROR(VLOOKUP($G78,IMPORTRANGE(""https://docs.google.com/spreadsheets/d/1Gpl6jkTg7sL4VDNimUm3"&amp;"S9Vi1i95esohXCF3wuKOE8c"", ""'CONSOLIDADO'!G5:AB""), 19, 0), ""-""),
""""
)"),"https://www.amazon.com.mx/SPT360-automotrices-herramientas-encendido-frecuencia/dp/B0CVVKJM72")</f>
        <v>https://www.amazon.com.mx/SPT360-automotrices-herramientas-encendido-frecuencia/dp/B0CVVKJM72</v>
      </c>
      <c r="W78" s="37" t="str">
        <f>IFERROR(__xludf.DUMMYFUNCTION("IFERROR(VLOOKUP(G78,IMPORTRANGE(""https://docs.google.com/spreadsheets/d/12RxCea4e5ggM7QGn1XE3FbLQa_-QbCNdBi90OdPjRqg"", ""'Plan de Compras'!D4:Q""), 12, 0), ""NO ESTÁ EN REQ"")"),"Técnica")</f>
        <v>Técnica</v>
      </c>
      <c r="X78" s="37" t="str">
        <f>IFERROR(__xludf.DUMMYFUNCTION("IFERROR(VLOOKUP(G78,IMPORTRANGE(""https://docs.google.com/spreadsheets/d/12RxCea4e5ggM7QGn1XE3FbLQa_-QbCNdBi90OdPjRqg"", ""'Plan de Compras'!D4:Q""), 13, 0), """")"),"INTERNACIONAL")</f>
        <v>INTERNACIONAL</v>
      </c>
      <c r="Y78" s="32" t="str">
        <f>IFERROR(__xludf.DUMMYFUNCTION("IFERROR(VLOOKUP(G78,IMPORTRANGE(""https://docs.google.com/spreadsheets/d/12RxCea4e5ggM7QGn1XE3FbLQa_-QbCNdBi90OdPjRqg"", ""'Plan de Compras'!D4:Q""), 14, 0), """")"),"ALEJANDRA")</f>
        <v>ALEJANDRA</v>
      </c>
      <c r="Z78" s="38" t="str">
        <f>IFERROR(__xludf.DUMMYFUNCTION("IFERROR(VLOOKUP(G78,IMPORTRANGE(""https://docs.google.com/spreadsheets/d/12RxCea4e5ggM7QGn1XE3FbLQa_-QbCNdBi90OdPjRqg"", ""'Plan de Compras'!D4:Q""), 4, 0), """")"),"COMPROBADORES DE ENCENDIDO")</f>
        <v>COMPROBADORES DE ENCENDIDO</v>
      </c>
      <c r="AA78" s="38" t="str">
        <f t="shared" si="11"/>
        <v>TRUE</v>
      </c>
      <c r="AB78" s="37" t="str">
        <f>IFERROR(__xludf.DUMMYFUNCTION("IFERROR(IF(OR(C78=TRUE,C78=""""),VLOOKUP(G78,IMPORTRANGE(""https://docs.google.com/spreadsheets/d/1z9A1Wq-kKrhRNG5RS2a2fKpY1wIhSVz2ZNmP2mOl588/edit?usp=sharing"",""REQ VF!E4:H""),4,0),""NO APLICA""),""GENERAR REQ"")"),"GENERAR REQ")</f>
        <v>GENERAR REQ</v>
      </c>
      <c r="AC78" s="37" t="str">
        <f>IFERROR(__xludf.DUMMYFUNCTION("IFERROR(QUERY(IMPORTRANGE(""https://docs.google.com/spreadsheets/d/1z9A1Wq-kKrhRNG5RS2a2fKpY1wIhSVz2ZNmP2mOl588/edit?usp=sharing"",""REQ VF!E4:Q""),""SELECT Col10, Col11, Col12 WHERE Col1 = '""&amp;G78&amp;""'"",0),""NO APLICA"")"),"NO APLICA")</f>
        <v>NO APLICA</v>
      </c>
      <c r="AD78" s="37"/>
      <c r="AE78" s="37"/>
      <c r="AF78" s="13"/>
      <c r="AG78" s="13"/>
    </row>
    <row r="79">
      <c r="A79" s="26">
        <v>32.0</v>
      </c>
      <c r="B79" s="26" t="b">
        <v>1</v>
      </c>
      <c r="C79" s="26" t="b">
        <v>1</v>
      </c>
      <c r="D79" s="26" t="s">
        <v>35</v>
      </c>
      <c r="E79" s="26" t="s">
        <v>36</v>
      </c>
      <c r="F79" s="27" t="s">
        <v>330</v>
      </c>
      <c r="G79" s="39" t="s">
        <v>331</v>
      </c>
      <c r="H79" s="45" t="s">
        <v>332</v>
      </c>
      <c r="I79" s="26">
        <f>SUMIFS('Hoja 10'!$O:$O,'Hoja 10'!$F:$F,$G79)</f>
        <v>1</v>
      </c>
      <c r="J79" s="26">
        <f>IFERROR(__xludf.DUMMYFUNCTION("VLOOKUP(G79,IMPORTRANGE(""https://docs.google.com/spreadsheets/d/12RxCea4e5ggM7QGn1XE3FbLQa_-QbCNdBi90OdPjRqg/edit?gid=1692403370#gid=1692403370"", ""'Plan de Compras'!D4:2432""), 8,0)"),1.0)</f>
        <v>1</v>
      </c>
      <c r="K79" s="26" t="str">
        <f t="shared" si="1"/>
        <v>SI</v>
      </c>
      <c r="L79" s="29" t="s">
        <v>77</v>
      </c>
      <c r="M79" s="30" t="s">
        <v>78</v>
      </c>
      <c r="N79" s="70"/>
      <c r="O79" s="32" t="str">
        <f>VLOOKUP($G79,'Hoja 10'!$F$4:$AA478, 19,0)</f>
        <v>SMAD</v>
      </c>
      <c r="P79" s="32" t="str">
        <f>VLOOKUP($G79,'Hoja 10'!$F$4:$AA478, 20,0)</f>
        <v>SD55</v>
      </c>
      <c r="Q79" s="33" t="str">
        <f>VLOOKUP($G79,'Hoja 10'!$F$4:$AA478, 21,0)</f>
        <v>https://spanish.alibaba.com/product-detail/Freezer-vertical-petty-ice-cream-display-300007542584.html</v>
      </c>
      <c r="R79" s="30" t="s">
        <v>333</v>
      </c>
      <c r="S79" s="34" t="b">
        <v>1</v>
      </c>
      <c r="T79" s="35" t="str">
        <f>IFERROR(__xludf.DUMMYFUNCTION(" IF
( VLOOKUP($G79,IMPORTRANGE(""https://docs.google.com/spreadsheets/d/1Gpl6jkTg7sL4VDNimUm3S9Vi1i95esohXCF3wuKOE8c"", ""'CONSOLIDADO'!G5:AB""), 10, 0) &lt;&gt; 0, 
IFERROR(VLOOKUP($G79,IMPORTRANGE(""https://docs.google.com/spreadsheets/d/1Gpl6jkTg7sL4VDNimUm3"&amp;"S9Vi1i95esohXCF3wuKOE8c"", ""'CONSOLIDADO'!G5:AB""), 17, 0), ""-""),
""""
)"),"SMAD")</f>
        <v>SMAD</v>
      </c>
      <c r="U79" s="35" t="str">
        <f>IFERROR(__xludf.DUMMYFUNCTION(" IF
( VLOOKUP($G79,IMPORTRANGE(""https://docs.google.com/spreadsheets/d/1Gpl6jkTg7sL4VDNimUm3S9Vi1i95esohXCF3wuKOE8c"", ""'CONSOLIDADO'!G5:AB""), 10, 0) &lt;&gt; 0, 
IFERROR(VLOOKUP($G79,IMPORTRANGE(""https://docs.google.com/spreadsheets/d/1Gpl6jkTg7sL4VDNimUm3"&amp;"S9Vi1i95esohXCF3wuKOE8c"", ""'CONSOLIDADO'!G5:AB""), 18, 0), ""-""),
""""
)"),"SD98 ")</f>
        <v>SD98 </v>
      </c>
      <c r="V79" s="36" t="str">
        <f>IFERROR(__xludf.DUMMYFUNCTION(" IF
( VLOOKUP($G79,IMPORTRANGE(""https://docs.google.com/spreadsheets/d/1Gpl6jkTg7sL4VDNimUm3S9Vi1i95esohXCF3wuKOE8c"", ""'CONSOLIDADO'!G5:AB""), 10, 0) &lt;&gt; 0, 
IFERROR(VLOOKUP($G79,IMPORTRANGE(""https://docs.google.com/spreadsheets/d/1Gpl6jkTg7sL4VDNimUm3"&amp;"S9Vi1i95esohXCF3wuKOE8c"", ""'CONSOLIDADO'!G5:AB""), 19, 0), ""-""),
""""
)"),"https://www.fridgechina.com/Mini-Fridge/Display-Freezer-SD98.html")</f>
        <v>https://www.fridgechina.com/Mini-Fridge/Display-Freezer-SD98.html</v>
      </c>
      <c r="W79" s="37" t="str">
        <f>IFERROR(__xludf.DUMMYFUNCTION("IFERROR(VLOOKUP(G79,IMPORTRANGE(""https://docs.google.com/spreadsheets/d/12RxCea4e5ggM7QGn1XE3FbLQa_-QbCNdBi90OdPjRqg"", ""'Plan de Compras'!D4:Q""), 12, 0), ""NO ESTÁ EN REQ"")"),"Técnica")</f>
        <v>Técnica</v>
      </c>
      <c r="X79" s="37" t="str">
        <f>IFERROR(__xludf.DUMMYFUNCTION("IFERROR(VLOOKUP(G79,IMPORTRANGE(""https://docs.google.com/spreadsheets/d/12RxCea4e5ggM7QGn1XE3FbLQa_-QbCNdBi90OdPjRqg"", ""'Plan de Compras'!D4:Q""), 13, 0), """")"),"INTERNACIONAL")</f>
        <v>INTERNACIONAL</v>
      </c>
      <c r="Y79" s="32" t="str">
        <f>IFERROR(__xludf.DUMMYFUNCTION("IFERROR(VLOOKUP(G79,IMPORTRANGE(""https://docs.google.com/spreadsheets/d/12RxCea4e5ggM7QGn1XE3FbLQa_-QbCNdBi90OdPjRqg"", ""'Plan de Compras'!D4:Q""), 14, 0), """")"),"GEYDI")</f>
        <v>GEYDI</v>
      </c>
      <c r="Z79" s="38" t="str">
        <f>IFERROR(__xludf.DUMMYFUNCTION("IFERROR(VLOOKUP(G79,IMPORTRANGE(""https://docs.google.com/spreadsheets/d/12RxCea4e5ggM7QGn1XE3FbLQa_-QbCNdBi90OdPjRqg"", ""'Plan de Compras'!D4:Q""), 4, 0), """")"),"CONSERVADORA / CONGELADORA PUERTA VIDRIO VERTICAL   55 LT DUAL")</f>
        <v>CONSERVADORA / CONGELADORA PUERTA VIDRIO VERTICAL   55 LT DUAL</v>
      </c>
      <c r="AA79" s="38" t="str">
        <f t="shared" si="11"/>
        <v>TRUE</v>
      </c>
      <c r="AB79" s="37" t="str">
        <f>IFERROR(__xludf.DUMMYFUNCTION("IFERROR(IF(OR(C79=TRUE,C79=""""),VLOOKUP(G79,IMPORTRANGE(""https://docs.google.com/spreadsheets/d/1z9A1Wq-kKrhRNG5RS2a2fKpY1wIhSVz2ZNmP2mOl588/edit?usp=sharing"",""REQ VF!E4:H""),4,0),""NO APLICA""),""GENERAR REQ"")"),"GENERAR REQ")</f>
        <v>GENERAR REQ</v>
      </c>
      <c r="AC79" s="37" t="str">
        <f>IFERROR(__xludf.DUMMYFUNCTION("IFERROR(QUERY(IMPORTRANGE(""https://docs.google.com/spreadsheets/d/1z9A1Wq-kKrhRNG5RS2a2fKpY1wIhSVz2ZNmP2mOl588/edit?usp=sharing"",""REQ VF!E4:Q""),""SELECT Col10, Col11, Col12 WHERE Col1 = '""&amp;G79&amp;""'"",0),""NO APLICA"")"),"NO APLICA")</f>
        <v>NO APLICA</v>
      </c>
      <c r="AD79" s="37"/>
      <c r="AE79" s="37"/>
      <c r="AF79" s="8" t="s">
        <v>52</v>
      </c>
      <c r="AG79" s="13"/>
    </row>
    <row r="80">
      <c r="A80" s="26">
        <v>33.0</v>
      </c>
      <c r="B80" s="26" t="b">
        <v>1</v>
      </c>
      <c r="C80" s="26" t="b">
        <v>1</v>
      </c>
      <c r="D80" s="26" t="s">
        <v>35</v>
      </c>
      <c r="E80" s="26" t="s">
        <v>36</v>
      </c>
      <c r="F80" s="27" t="s">
        <v>330</v>
      </c>
      <c r="G80" s="39" t="s">
        <v>334</v>
      </c>
      <c r="H80" s="45" t="s">
        <v>335</v>
      </c>
      <c r="I80" s="26">
        <f>SUMIFS('Hoja 10'!$O:$O,'Hoja 10'!$F:$F,$G80)</f>
        <v>4</v>
      </c>
      <c r="J80" s="26">
        <f>IFERROR(__xludf.DUMMYFUNCTION("VLOOKUP(G80,IMPORTRANGE(""https://docs.google.com/spreadsheets/d/12RxCea4e5ggM7QGn1XE3FbLQa_-QbCNdBi90OdPjRqg/edit?gid=1692403370#gid=1692403370"", ""'Plan de Compras'!D4:2432""), 8,0)"),4.0)</f>
        <v>4</v>
      </c>
      <c r="K80" s="26" t="str">
        <f t="shared" si="1"/>
        <v>SI</v>
      </c>
      <c r="L80" s="29" t="s">
        <v>39</v>
      </c>
      <c r="M80" s="30" t="s">
        <v>40</v>
      </c>
      <c r="N80" s="70"/>
      <c r="O80" s="32" t="str">
        <f>VLOOKUP($G80,'Hoja 10'!$F$4:$AA478, 19,0)</f>
        <v>SMAD</v>
      </c>
      <c r="P80" s="32" t="str">
        <f>VLOOKUP($G80,'Hoja 10'!$F$4:$AA478, 20,0)</f>
        <v>SD55</v>
      </c>
      <c r="Q80" s="33" t="str">
        <f>VLOOKUP($G80,'Hoja 10'!$F$4:$AA478, 21,0)</f>
        <v>https://spanish.alibaba.com/product-detail/Freezer-vertical-petty-ice-cream-display-300007542584.html</v>
      </c>
      <c r="R80" s="30" t="s">
        <v>336</v>
      </c>
      <c r="S80" s="34" t="b">
        <v>1</v>
      </c>
      <c r="T80" s="35" t="str">
        <f>IFERROR(__xludf.DUMMYFUNCTION(" IF
( VLOOKUP($G80,IMPORTRANGE(""https://docs.google.com/spreadsheets/d/1Gpl6jkTg7sL4VDNimUm3S9Vi1i95esohXCF3wuKOE8c"", ""'CONSOLIDADO'!G5:AB""), 10, 0) &lt;&gt; 0, 
IFERROR(VLOOKUP($G80,IMPORTRANGE(""https://docs.google.com/spreadsheets/d/1Gpl6jkTg7sL4VDNimUm3"&amp;"S9Vi1i95esohXCF3wuKOE8c"", ""'CONSOLIDADO'!G5:AB""), 17, 0), ""-""),
""""
)"),"SMAD")</f>
        <v>SMAD</v>
      </c>
      <c r="U80" s="35" t="str">
        <f>IFERROR(__xludf.DUMMYFUNCTION(" IF
( VLOOKUP($G80,IMPORTRANGE(""https://docs.google.com/spreadsheets/d/1Gpl6jkTg7sL4VDNimUm3S9Vi1i95esohXCF3wuKOE8c"", ""'CONSOLIDADO'!G5:AB""), 10, 0) &lt;&gt; 0, 
IFERROR(VLOOKUP($G80,IMPORTRANGE(""https://docs.google.com/spreadsheets/d/1Gpl6jkTg7sL4VDNimUm3"&amp;"S9Vi1i95esohXCF3wuKOE8c"", ""'CONSOLIDADO'!G5:AB""), 18, 0), ""-""),
""""
)"),"SD98 ")</f>
        <v>SD98 </v>
      </c>
      <c r="V80" s="36" t="str">
        <f>IFERROR(__xludf.DUMMYFUNCTION(" IF
( VLOOKUP($G80,IMPORTRANGE(""https://docs.google.com/spreadsheets/d/1Gpl6jkTg7sL4VDNimUm3S9Vi1i95esohXCF3wuKOE8c"", ""'CONSOLIDADO'!G5:AB""), 10, 0) &lt;&gt; 0, 
IFERROR(VLOOKUP($G80,IMPORTRANGE(""https://docs.google.com/spreadsheets/d/1Gpl6jkTg7sL4VDNimUm3"&amp;"S9Vi1i95esohXCF3wuKOE8c"", ""'CONSOLIDADO'!G5:AB""), 19, 0), ""-""),
""""
)"),"https://www.fridgechina.com/Mini-Fridge/Display-Freezer-SD98.html")</f>
        <v>https://www.fridgechina.com/Mini-Fridge/Display-Freezer-SD98.html</v>
      </c>
      <c r="W80" s="37" t="str">
        <f>IFERROR(__xludf.DUMMYFUNCTION("IFERROR(VLOOKUP(G80,IMPORTRANGE(""https://docs.google.com/spreadsheets/d/12RxCea4e5ggM7QGn1XE3FbLQa_-QbCNdBi90OdPjRqg"", ""'Plan de Compras'!D4:Q""), 12, 0), ""NO ESTÁ EN REQ"")"),"Técnica")</f>
        <v>Técnica</v>
      </c>
      <c r="X80" s="37" t="str">
        <f>IFERROR(__xludf.DUMMYFUNCTION("IFERROR(VLOOKUP(G80,IMPORTRANGE(""https://docs.google.com/spreadsheets/d/12RxCea4e5ggM7QGn1XE3FbLQa_-QbCNdBi90OdPjRqg"", ""'Plan de Compras'!D4:Q""), 13, 0), """")"),"INTERNACIONAL")</f>
        <v>INTERNACIONAL</v>
      </c>
      <c r="Y80" s="32" t="str">
        <f>IFERROR(__xludf.DUMMYFUNCTION("IFERROR(VLOOKUP(G80,IMPORTRANGE(""https://docs.google.com/spreadsheets/d/12RxCea4e5ggM7QGn1XE3FbLQa_-QbCNdBi90OdPjRqg"", ""'Plan de Compras'!D4:Q""), 14, 0), """")"),"GEYDI")</f>
        <v>GEYDI</v>
      </c>
      <c r="Z80" s="38" t="str">
        <f>IFERROR(__xludf.DUMMYFUNCTION("IFERROR(VLOOKUP(G80,IMPORTRANGE(""https://docs.google.com/spreadsheets/d/12RxCea4e5ggM7QGn1XE3FbLQa_-QbCNdBi90OdPjRqg"", ""'Plan de Compras'!D4:Q""), 4, 0), """")"),"CONSERVADORA / CONGELADORA PUERTA VIDRIO VERTICAL 55 LT DUA")</f>
        <v>CONSERVADORA / CONGELADORA PUERTA VIDRIO VERTICAL 55 LT DUA</v>
      </c>
      <c r="AA80" s="38" t="str">
        <f t="shared" si="11"/>
        <v>FALSE</v>
      </c>
      <c r="AB80" s="37" t="str">
        <f>IFERROR(__xludf.DUMMYFUNCTION("IFERROR(IF(OR(C80=TRUE,C80=""""),VLOOKUP(G80,IMPORTRANGE(""https://docs.google.com/spreadsheets/d/1z9A1Wq-kKrhRNG5RS2a2fKpY1wIhSVz2ZNmP2mOl588/edit?usp=sharing"",""REQ VF!E4:H""),4,0),""NO APLICA""),""GENERAR REQ"")"),"GENERAR REQ")</f>
        <v>GENERAR REQ</v>
      </c>
      <c r="AC80" s="37" t="str">
        <f>IFERROR(__xludf.DUMMYFUNCTION("IFERROR(QUERY(IMPORTRANGE(""https://docs.google.com/spreadsheets/d/1z9A1Wq-kKrhRNG5RS2a2fKpY1wIhSVz2ZNmP2mOl588/edit?usp=sharing"",""REQ VF!E4:Q""),""SELECT Col10, Col11, Col12 WHERE Col1 = '""&amp;G80&amp;""'"",0),""NO APLICA"")"),"NO APLICA")</f>
        <v>NO APLICA</v>
      </c>
      <c r="AD80" s="37"/>
      <c r="AE80" s="37"/>
      <c r="AF80" s="8" t="s">
        <v>52</v>
      </c>
      <c r="AG80" s="71"/>
    </row>
    <row r="81">
      <c r="A81" s="26">
        <v>34.0</v>
      </c>
      <c r="B81" s="26" t="b">
        <v>1</v>
      </c>
      <c r="C81" s="26" t="b">
        <v>1</v>
      </c>
      <c r="D81" s="26" t="s">
        <v>35</v>
      </c>
      <c r="E81" s="26" t="s">
        <v>36</v>
      </c>
      <c r="F81" s="27" t="s">
        <v>337</v>
      </c>
      <c r="G81" s="39" t="s">
        <v>337</v>
      </c>
      <c r="H81" s="45" t="s">
        <v>338</v>
      </c>
      <c r="I81" s="26">
        <f>SUMIFS('Hoja 10'!$O:$O,'Hoja 10'!$F:$F,$G81)</f>
        <v>4</v>
      </c>
      <c r="J81" s="26">
        <f>IFERROR(__xludf.DUMMYFUNCTION("VLOOKUP(G81,IMPORTRANGE(""https://docs.google.com/spreadsheets/d/12RxCea4e5ggM7QGn1XE3FbLQa_-QbCNdBi90OdPjRqg/edit?gid=1692403370#gid=1692403370"", ""'Plan de Compras'!D4:2432""), 8,0)"),4.0)</f>
        <v>4</v>
      </c>
      <c r="K81" s="26" t="str">
        <f t="shared" si="1"/>
        <v>SI</v>
      </c>
      <c r="L81" s="29" t="s">
        <v>339</v>
      </c>
      <c r="M81" s="30" t="s">
        <v>340</v>
      </c>
      <c r="N81" s="42"/>
      <c r="O81" s="32" t="str">
        <f>VLOOKUP($G81,'Hoja 10'!$F$4:$AA478, 19,0)</f>
        <v>SOOOM</v>
      </c>
      <c r="P81" s="32" t="str">
        <f>VLOOKUP($G81,'Hoja 10'!$F$4:$AA478, 20,0)</f>
        <v>MXB8</v>
      </c>
      <c r="Q81" s="33" t="str">
        <f>VLOOKUP($G81,'Hoja 10'!$F$4:$AA478, 21,0)</f>
        <v>https://insumosfirstpro.com/shop/computer-office/mezcladora-sooom-mxb8/</v>
      </c>
      <c r="R81" s="30" t="s">
        <v>341</v>
      </c>
      <c r="S81" s="44" t="b">
        <v>0</v>
      </c>
      <c r="T81" s="35" t="str">
        <f>IFERROR(__xludf.DUMMYFUNCTION(" IF
( VLOOKUP($G81,IMPORTRANGE(""https://docs.google.com/spreadsheets/d/1Gpl6jkTg7sL4VDNimUm3S9Vi1i95esohXCF3wuKOE8c"", ""'CONSOLIDADO'!G5:AB""), 10, 0) &lt;&gt; 0, 
IFERROR(VLOOKUP($G81,IMPORTRANGE(""https://docs.google.com/spreadsheets/d/1Gpl6jkTg7sL4VDNimUm3"&amp;"S9Vi1i95esohXCF3wuKOE8c"", ""'CONSOLIDADO'!G5:AB""), 17, 0), ""-""),
""""
)"),"NOVIK")</f>
        <v>NOVIK</v>
      </c>
      <c r="U81" s="35" t="str">
        <f>IFERROR(__xludf.DUMMYFUNCTION(" IF
( VLOOKUP($G81,IMPORTRANGE(""https://docs.google.com/spreadsheets/d/1Gpl6jkTg7sL4VDNimUm3S9Vi1i95esohXCF3wuKOE8c"", ""'CONSOLIDADO'!G5:AB""), 10, 0) &lt;&gt; 0, 
IFERROR(VLOOKUP($G81,IMPORTRANGE(""https://docs.google.com/spreadsheets/d/1Gpl6jkTg7sL4VDNimUm3"&amp;"S9Vi1i95esohXCF3wuKOE8c"", ""'CONSOLIDADO'!G5:AB""), 18, 0), ""-""),
""""
)"),"NVK- 800P MKII")</f>
        <v>NVK- 800P MKII</v>
      </c>
      <c r="V81" s="36" t="str">
        <f>IFERROR(__xludf.DUMMYFUNCTION(" IF
( VLOOKUP($G81,IMPORTRANGE(""https://docs.google.com/spreadsheets/d/1Gpl6jkTg7sL4VDNimUm3S9Vi1i95esohXCF3wuKOE8c"", ""'CONSOLIDADO'!G5:AB""), 10, 0) &lt;&gt; 0, 
IFERROR(VLOOKUP($G81,IMPORTRANGE(""https://docs.google.com/spreadsheets/d/1Gpl6jkTg7sL4VDNimUm3"&amp;"S9Vi1i95esohXCF3wuKOE8c"", ""'CONSOLIDADO'!G5:AB""), 19, 0), ""-""),
""""
)"),"https://novikneo.com/products/nvk-800p-mkii")</f>
        <v>https://novikneo.com/products/nvk-800p-mkii</v>
      </c>
      <c r="W81" s="37" t="str">
        <f>IFERROR(__xludf.DUMMYFUNCTION("IFERROR(VLOOKUP(G81,IMPORTRANGE(""https://docs.google.com/spreadsheets/d/12RxCea4e5ggM7QGn1XE3FbLQa_-QbCNdBi90OdPjRqg"", ""'Plan de Compras'!D4:Q""), 12, 0), ""NO ESTÁ EN REQ"")"),"Técnica")</f>
        <v>Técnica</v>
      </c>
      <c r="X81" s="37" t="str">
        <f>IFERROR(__xludf.DUMMYFUNCTION("IFERROR(VLOOKUP(G81,IMPORTRANGE(""https://docs.google.com/spreadsheets/d/12RxCea4e5ggM7QGn1XE3FbLQa_-QbCNdBi90OdPjRqg"", ""'Plan de Compras'!D4:Q""), 13, 0), """")"),"INTERNACIONAL")</f>
        <v>INTERNACIONAL</v>
      </c>
      <c r="Y81" s="32" t="str">
        <f>IFERROR(__xludf.DUMMYFUNCTION("IFERROR(VLOOKUP(G81,IMPORTRANGE(""https://docs.google.com/spreadsheets/d/12RxCea4e5ggM7QGn1XE3FbLQa_-QbCNdBi90OdPjRqg"", ""'Plan de Compras'!D4:Q""), 14, 0), """")"),"VICTOR")</f>
        <v>VICTOR</v>
      </c>
      <c r="Z81" s="38" t="str">
        <f>IFERROR(__xludf.DUMMYFUNCTION("IFERROR(VLOOKUP(G81,IMPORTRANGE(""https://docs.google.com/spreadsheets/d/12RxCea4e5ggM7QGn1XE3FbLQa_-QbCNdBi90OdPjRqg"", ""'Plan de Compras'!D4:Q""), 4, 0), """")"),"CONSOLA DE SONIDO")</f>
        <v>CONSOLA DE SONIDO</v>
      </c>
      <c r="AA81" s="38" t="str">
        <f t="shared" si="11"/>
        <v>TRUE</v>
      </c>
      <c r="AB81" s="37" t="str">
        <f>IFERROR(__xludf.DUMMYFUNCTION("IFERROR(IF(OR(C81=TRUE,C81=""""),VLOOKUP(G81,IMPORTRANGE(""https://docs.google.com/spreadsheets/d/1z9A1Wq-kKrhRNG5RS2a2fKpY1wIhSVz2ZNmP2mOl588/edit?usp=sharing"",""REQ VF!E4:H""),4,0),""NO APLICA""),""GENERAR REQ"")"),"GENERAR REQ")</f>
        <v>GENERAR REQ</v>
      </c>
      <c r="AC81" s="37" t="str">
        <f>IFERROR(__xludf.DUMMYFUNCTION("IFERROR(QUERY(IMPORTRANGE(""https://docs.google.com/spreadsheets/d/1z9A1Wq-kKrhRNG5RS2a2fKpY1wIhSVz2ZNmP2mOl588/edit?usp=sharing"",""REQ VF!E4:Q""),""SELECT Col10, Col11, Col12 WHERE Col1 = '""&amp;G81&amp;""'"",0),""NO APLICA"")"),"NO APLICA")</f>
        <v>NO APLICA</v>
      </c>
      <c r="AD81" s="37"/>
      <c r="AE81" s="37"/>
      <c r="AF81" s="13"/>
      <c r="AG81" s="13"/>
    </row>
    <row r="82">
      <c r="A82" s="26"/>
      <c r="B82" s="26"/>
      <c r="C82" s="26" t="b">
        <v>1</v>
      </c>
      <c r="D82" s="26" t="s">
        <v>42</v>
      </c>
      <c r="E82" s="26" t="s">
        <v>36</v>
      </c>
      <c r="F82" s="27" t="s">
        <v>337</v>
      </c>
      <c r="G82" s="39" t="s">
        <v>342</v>
      </c>
      <c r="H82" s="40" t="s">
        <v>343</v>
      </c>
      <c r="I82" s="43">
        <f t="shared" ref="I82:I84" si="15">$I$81*2</f>
        <v>8</v>
      </c>
      <c r="J82" s="26">
        <f>IFERROR(__xludf.DUMMYFUNCTION("VLOOKUP(G82,IMPORTRANGE(""https://docs.google.com/spreadsheets/d/12RxCea4e5ggM7QGn1XE3FbLQa_-QbCNdBi90OdPjRqg/edit?gid=1692403370#gid=1692403370"", ""'Plan de Compras'!D4:2432""), 8,0)"),8.0)</f>
        <v>8</v>
      </c>
      <c r="K82" s="26" t="str">
        <f t="shared" si="1"/>
        <v>SI</v>
      </c>
      <c r="L82" s="26"/>
      <c r="M82" s="41"/>
      <c r="N82" s="26" t="s">
        <v>344</v>
      </c>
      <c r="O82" s="26"/>
      <c r="P82" s="42"/>
      <c r="Q82" s="46" t="s">
        <v>345</v>
      </c>
      <c r="R82" s="41"/>
      <c r="S82" s="44" t="b">
        <v>0</v>
      </c>
      <c r="T82" s="72"/>
      <c r="U82" s="72"/>
      <c r="V82" s="44"/>
      <c r="W82" s="37" t="str">
        <f>IFERROR(__xludf.DUMMYFUNCTION("IFERROR(VLOOKUP(G82,IMPORTRANGE(""https://docs.google.com/spreadsheets/d/12RxCea4e5ggM7QGn1XE3FbLQa_-QbCNdBi90OdPjRqg"", ""'Plan de Compras'!D4:Q""), 12, 0), ""NO ESTÁ EN REQ"")"),"Simple")</f>
        <v>Simple</v>
      </c>
      <c r="X82" s="37" t="str">
        <f>IFERROR(__xludf.DUMMYFUNCTION("IFERROR(VLOOKUP(G82,IMPORTRANGE(""https://docs.google.com/spreadsheets/d/12RxCea4e5ggM7QGn1XE3FbLQa_-QbCNdBi90OdPjRqg"", ""'Plan de Compras'!D4:Q""), 13, 0), """")"),"NACIONAL")</f>
        <v>NACIONAL</v>
      </c>
      <c r="Y82" s="32" t="str">
        <f>IFERROR(__xludf.DUMMYFUNCTION("IFERROR(VLOOKUP(G82,IMPORTRANGE(""https://docs.google.com/spreadsheets/d/12RxCea4e5ggM7QGn1XE3FbLQa_-QbCNdBi90OdPjRqg"", ""'Plan de Compras'!D4:Q""), 14, 0), """")"),"ANGIE")</f>
        <v>ANGIE</v>
      </c>
      <c r="Z82" s="38" t="str">
        <f>IFERROR(__xludf.DUMMYFUNCTION("IFERROR(VLOOKUP(G82,IMPORTRANGE(""https://docs.google.com/spreadsheets/d/12RxCea4e5ggM7QGn1XE3FbLQa_-QbCNdBi90OdPjRqg"", ""'Plan de Compras'!D4:Q""), 4, 0), """")"),"CABLE XLR CON TERMINAL CANON (2 UND)")</f>
        <v>CABLE XLR CON TERMINAL CANON (2 UND)</v>
      </c>
      <c r="AA82" s="38" t="str">
        <f t="shared" si="11"/>
        <v>TRUE</v>
      </c>
      <c r="AB82" s="37" t="str">
        <f>IFERROR(__xludf.DUMMYFUNCTION("IFERROR(IF(OR(C82=TRUE,C82=""""),VLOOKUP(G82,IMPORTRANGE(""https://docs.google.com/spreadsheets/d/1z9A1Wq-kKrhRNG5RS2a2fKpY1wIhSVz2ZNmP2mOl588/edit?usp=sharing"",""REQ VF!E4:H""),4,0),""NO APLICA""),""GENERAR REQ"")"),"GENERAR REQ")</f>
        <v>GENERAR REQ</v>
      </c>
      <c r="AC82" s="37" t="str">
        <f>IFERROR(__xludf.DUMMYFUNCTION("IFERROR(QUERY(IMPORTRANGE(""https://docs.google.com/spreadsheets/d/1z9A1Wq-kKrhRNG5RS2a2fKpY1wIhSVz2ZNmP2mOl588/edit?usp=sharing"",""REQ VF!E4:Q""),""SELECT Col10, Col11, Col12 WHERE Col1 = '""&amp;G82&amp;""'"",0),""NO APLICA"")"),"NO APLICA")</f>
        <v>NO APLICA</v>
      </c>
      <c r="AD82" s="37"/>
      <c r="AE82" s="37"/>
      <c r="AF82" s="13"/>
      <c r="AG82" s="13"/>
    </row>
    <row r="83">
      <c r="A83" s="26"/>
      <c r="B83" s="26"/>
      <c r="C83" s="26" t="b">
        <v>1</v>
      </c>
      <c r="D83" s="26" t="s">
        <v>42</v>
      </c>
      <c r="E83" s="26" t="s">
        <v>36</v>
      </c>
      <c r="F83" s="27" t="s">
        <v>337</v>
      </c>
      <c r="G83" s="39" t="s">
        <v>346</v>
      </c>
      <c r="H83" s="40" t="s">
        <v>347</v>
      </c>
      <c r="I83" s="43">
        <f t="shared" si="15"/>
        <v>8</v>
      </c>
      <c r="J83" s="26">
        <f>IFERROR(__xludf.DUMMYFUNCTION("VLOOKUP(G83,IMPORTRANGE(""https://docs.google.com/spreadsheets/d/12RxCea4e5ggM7QGn1XE3FbLQa_-QbCNdBi90OdPjRqg/edit?gid=1692403370#gid=1692403370"", ""'Plan de Compras'!D4:2432""), 8,0)"),8.0)</f>
        <v>8</v>
      </c>
      <c r="K83" s="26" t="str">
        <f t="shared" si="1"/>
        <v>SI</v>
      </c>
      <c r="L83" s="26"/>
      <c r="M83" s="41"/>
      <c r="N83" s="26" t="s">
        <v>348</v>
      </c>
      <c r="O83" s="26"/>
      <c r="P83" s="42"/>
      <c r="Q83" s="46" t="s">
        <v>349</v>
      </c>
      <c r="R83" s="41"/>
      <c r="S83" s="44" t="b">
        <v>0</v>
      </c>
      <c r="T83" s="72"/>
      <c r="U83" s="72"/>
      <c r="V83" s="44"/>
      <c r="W83" s="37" t="str">
        <f>IFERROR(__xludf.DUMMYFUNCTION("IFERROR(VLOOKUP(G83,IMPORTRANGE(""https://docs.google.com/spreadsheets/d/12RxCea4e5ggM7QGn1XE3FbLQa_-QbCNdBi90OdPjRqg"", ""'Plan de Compras'!D4:Q""), 12, 0), ""NO ESTÁ EN REQ"")"),"Simple")</f>
        <v>Simple</v>
      </c>
      <c r="X83" s="37" t="str">
        <f>IFERROR(__xludf.DUMMYFUNCTION("IFERROR(VLOOKUP(G83,IMPORTRANGE(""https://docs.google.com/spreadsheets/d/12RxCea4e5ggM7QGn1XE3FbLQa_-QbCNdBi90OdPjRqg"", ""'Plan de Compras'!D4:Q""), 13, 0), """")"),"NACIONAL")</f>
        <v>NACIONAL</v>
      </c>
      <c r="Y83" s="32" t="str">
        <f>IFERROR(__xludf.DUMMYFUNCTION("IFERROR(VLOOKUP(G83,IMPORTRANGE(""https://docs.google.com/spreadsheets/d/12RxCea4e5ggM7QGn1XE3FbLQa_-QbCNdBi90OdPjRqg"", ""'Plan de Compras'!D4:Q""), 14, 0), """")"),"ANGIE")</f>
        <v>ANGIE</v>
      </c>
      <c r="Z83" s="38" t="str">
        <f>IFERROR(__xludf.DUMMYFUNCTION("IFERROR(VLOOKUP(G83,IMPORTRANGE(""https://docs.google.com/spreadsheets/d/12RxCea4e5ggM7QGn1XE3FbLQa_-QbCNdBi90OdPjRqg"", ""'Plan de Compras'!D4:Q""), 4, 0), """")"),"CABLE PARA AUDIO CON: 1 TERMINAL MINI PLUG, 2 TERMINALES PLUG O JACK (2 UND)")</f>
        <v>CABLE PARA AUDIO CON: 1 TERMINAL MINI PLUG, 2 TERMINALES PLUG O JACK (2 UND)</v>
      </c>
      <c r="AA83" s="38" t="str">
        <f t="shared" si="11"/>
        <v>TRUE</v>
      </c>
      <c r="AB83" s="37" t="str">
        <f>IFERROR(__xludf.DUMMYFUNCTION("IFERROR(IF(OR(C83=TRUE,C83=""""),VLOOKUP(G83,IMPORTRANGE(""https://docs.google.com/spreadsheets/d/1z9A1Wq-kKrhRNG5RS2a2fKpY1wIhSVz2ZNmP2mOl588/edit?usp=sharing"",""REQ VF!E4:H""),4,0),""NO APLICA""),""GENERAR REQ"")"),"GENERAR REQ")</f>
        <v>GENERAR REQ</v>
      </c>
      <c r="AC83" s="37" t="str">
        <f>IFERROR(__xludf.DUMMYFUNCTION("IFERROR(QUERY(IMPORTRANGE(""https://docs.google.com/spreadsheets/d/1z9A1Wq-kKrhRNG5RS2a2fKpY1wIhSVz2ZNmP2mOl588/edit?usp=sharing"",""REQ VF!E4:Q""),""SELECT Col10, Col11, Col12 WHERE Col1 = '""&amp;G83&amp;""'"",0),""NO APLICA"")"),"NO APLICA")</f>
        <v>NO APLICA</v>
      </c>
      <c r="AD83" s="37"/>
      <c r="AE83" s="37"/>
      <c r="AF83" s="13"/>
      <c r="AG83" s="13"/>
    </row>
    <row r="84">
      <c r="A84" s="26"/>
      <c r="B84" s="26"/>
      <c r="C84" s="26" t="b">
        <v>1</v>
      </c>
      <c r="D84" s="26" t="s">
        <v>42</v>
      </c>
      <c r="E84" s="26" t="s">
        <v>36</v>
      </c>
      <c r="F84" s="27" t="s">
        <v>337</v>
      </c>
      <c r="G84" s="39" t="s">
        <v>350</v>
      </c>
      <c r="H84" s="40" t="s">
        <v>351</v>
      </c>
      <c r="I84" s="43">
        <f t="shared" si="15"/>
        <v>8</v>
      </c>
      <c r="J84" s="26">
        <f>IFERROR(__xludf.DUMMYFUNCTION("VLOOKUP(G84,IMPORTRANGE(""https://docs.google.com/spreadsheets/d/12RxCea4e5ggM7QGn1XE3FbLQa_-QbCNdBi90OdPjRqg/edit?gid=1692403370#gid=1692403370"", ""'Plan de Compras'!D4:2432""), 8,0)"),8.0)</f>
        <v>8</v>
      </c>
      <c r="K84" s="26" t="str">
        <f t="shared" si="1"/>
        <v>SI</v>
      </c>
      <c r="L84" s="26"/>
      <c r="M84" s="41"/>
      <c r="N84" s="26" t="s">
        <v>352</v>
      </c>
      <c r="O84" s="26"/>
      <c r="P84" s="42"/>
      <c r="Q84" s="46" t="s">
        <v>353</v>
      </c>
      <c r="R84" s="41"/>
      <c r="S84" s="44" t="b">
        <v>0</v>
      </c>
      <c r="T84" s="72"/>
      <c r="U84" s="72"/>
      <c r="V84" s="44"/>
      <c r="W84" s="37" t="str">
        <f>IFERROR(__xludf.DUMMYFUNCTION("IFERROR(VLOOKUP(G84,IMPORTRANGE(""https://docs.google.com/spreadsheets/d/12RxCea4e5ggM7QGn1XE3FbLQa_-QbCNdBi90OdPjRqg"", ""'Plan de Compras'!D4:Q""), 12, 0), ""NO ESTÁ EN REQ"")"),"Simple")</f>
        <v>Simple</v>
      </c>
      <c r="X84" s="37" t="str">
        <f>IFERROR(__xludf.DUMMYFUNCTION("IFERROR(VLOOKUP(G84,IMPORTRANGE(""https://docs.google.com/spreadsheets/d/12RxCea4e5ggM7QGn1XE3FbLQa_-QbCNdBi90OdPjRqg"", ""'Plan de Compras'!D4:Q""), 13, 0), """")"),"NACIONAL")</f>
        <v>NACIONAL</v>
      </c>
      <c r="Y84" s="32" t="str">
        <f>IFERROR(__xludf.DUMMYFUNCTION("IFERROR(VLOOKUP(G84,IMPORTRANGE(""https://docs.google.com/spreadsheets/d/12RxCea4e5ggM7QGn1XE3FbLQa_-QbCNdBi90OdPjRqg"", ""'Plan de Compras'!D4:Q""), 14, 0), """")"),"ANGIE")</f>
        <v>ANGIE</v>
      </c>
      <c r="Z84" s="38" t="str">
        <f>IFERROR(__xludf.DUMMYFUNCTION("IFERROR(VLOOKUP(G84,IMPORTRANGE(""https://docs.google.com/spreadsheets/d/12RxCea4e5ggM7QGn1XE3FbLQa_-QbCNdBi90OdPjRqg"", ""'Plan de Compras'!D4:Q""), 4, 0), """")"),"CABLE PARA AUDIO CON: 1 TERMINAL MINI PLUG, 2 TERMINALES RCA (2 UND)")</f>
        <v>CABLE PARA AUDIO CON: 1 TERMINAL MINI PLUG, 2 TERMINALES RCA (2 UND)</v>
      </c>
      <c r="AA84" s="38" t="str">
        <f t="shared" si="11"/>
        <v>TRUE</v>
      </c>
      <c r="AB84" s="37" t="str">
        <f>IFERROR(__xludf.DUMMYFUNCTION("IFERROR(IF(OR(C84=TRUE,C84=""""),VLOOKUP(G84,IMPORTRANGE(""https://docs.google.com/spreadsheets/d/1z9A1Wq-kKrhRNG5RS2a2fKpY1wIhSVz2ZNmP2mOl588/edit?usp=sharing"",""REQ VF!E4:H""),4,0),""NO APLICA""),""GENERAR REQ"")"),"GENERAR REQ")</f>
        <v>GENERAR REQ</v>
      </c>
      <c r="AC84" s="37" t="str">
        <f>IFERROR(__xludf.DUMMYFUNCTION("IFERROR(QUERY(IMPORTRANGE(""https://docs.google.com/spreadsheets/d/1z9A1Wq-kKrhRNG5RS2a2fKpY1wIhSVz2ZNmP2mOl588/edit?usp=sharing"",""REQ VF!E4:Q""),""SELECT Col10, Col11, Col12 WHERE Col1 = '""&amp;G84&amp;""'"",0),""NO APLICA"")"),"NO APLICA")</f>
        <v>NO APLICA</v>
      </c>
      <c r="AD84" s="37"/>
      <c r="AE84" s="37"/>
      <c r="AF84" s="13"/>
      <c r="AG84" s="13"/>
    </row>
    <row r="85">
      <c r="A85" s="26"/>
      <c r="B85" s="26"/>
      <c r="C85" s="26" t="b">
        <v>1</v>
      </c>
      <c r="D85" s="26" t="s">
        <v>42</v>
      </c>
      <c r="E85" s="26" t="s">
        <v>36</v>
      </c>
      <c r="F85" s="27" t="s">
        <v>337</v>
      </c>
      <c r="G85" s="39" t="s">
        <v>354</v>
      </c>
      <c r="H85" s="40" t="s">
        <v>355</v>
      </c>
      <c r="I85" s="43">
        <f>$I$81</f>
        <v>4</v>
      </c>
      <c r="J85" s="26">
        <f>IFERROR(__xludf.DUMMYFUNCTION("VLOOKUP(G85,IMPORTRANGE(""https://docs.google.com/spreadsheets/d/12RxCea4e5ggM7QGn1XE3FbLQa_-QbCNdBi90OdPjRqg/edit?gid=1692403370#gid=1692403370"", ""'Plan de Compras'!D4:2432""), 8,0)"),4.0)</f>
        <v>4</v>
      </c>
      <c r="K85" s="26" t="str">
        <f t="shared" si="1"/>
        <v>SI</v>
      </c>
      <c r="L85" s="26"/>
      <c r="M85" s="41"/>
      <c r="N85" s="48" t="s">
        <v>356</v>
      </c>
      <c r="O85" s="26"/>
      <c r="P85" s="42"/>
      <c r="Q85" s="46" t="s">
        <v>357</v>
      </c>
      <c r="R85" s="41"/>
      <c r="S85" s="44" t="b">
        <v>0</v>
      </c>
      <c r="T85" s="72"/>
      <c r="U85" s="72"/>
      <c r="V85" s="44"/>
      <c r="W85" s="37" t="str">
        <f>IFERROR(__xludf.DUMMYFUNCTION("IFERROR(VLOOKUP(G85,IMPORTRANGE(""https://docs.google.com/spreadsheets/d/12RxCea4e5ggM7QGn1XE3FbLQa_-QbCNdBi90OdPjRqg"", ""'Plan de Compras'!D4:Q""), 12, 0), ""NO ESTÁ EN REQ"")"),"Simple")</f>
        <v>Simple</v>
      </c>
      <c r="X85" s="37" t="str">
        <f>IFERROR(__xludf.DUMMYFUNCTION("IFERROR(VLOOKUP(G85,IMPORTRANGE(""https://docs.google.com/spreadsheets/d/12RxCea4e5ggM7QGn1XE3FbLQa_-QbCNdBi90OdPjRqg"", ""'Plan de Compras'!D4:Q""), 13, 0), """")"),"NACIONAL")</f>
        <v>NACIONAL</v>
      </c>
      <c r="Y85" s="32" t="str">
        <f>IFERROR(__xludf.DUMMYFUNCTION("IFERROR(VLOOKUP(G85,IMPORTRANGE(""https://docs.google.com/spreadsheets/d/12RxCea4e5ggM7QGn1XE3FbLQa_-QbCNdBi90OdPjRqg"", ""'Plan de Compras'!D4:Q""), 14, 0), """")"),"ANGIE")</f>
        <v>ANGIE</v>
      </c>
      <c r="Z85" s="38" t="str">
        <f>IFERROR(__xludf.DUMMYFUNCTION("IFERROR(VLOOKUP(G85,IMPORTRANGE(""https://docs.google.com/spreadsheets/d/12RxCea4e5ggM7QGn1XE3FbLQa_-QbCNdBi90OdPjRqg"", ""'Plan de Compras'!D4:Q""), 4, 0), """")"),"CABLE USB PARA CONECTAR AL COMPUTADOR (1 UND)")</f>
        <v>CABLE USB PARA CONECTAR AL COMPUTADOR (1 UND)</v>
      </c>
      <c r="AA85" s="38" t="str">
        <f t="shared" si="11"/>
        <v>TRUE</v>
      </c>
      <c r="AB85" s="37" t="str">
        <f>IFERROR(__xludf.DUMMYFUNCTION("IFERROR(IF(OR(C85=TRUE,C85=""""),VLOOKUP(G85,IMPORTRANGE(""https://docs.google.com/spreadsheets/d/1z9A1Wq-kKrhRNG5RS2a2fKpY1wIhSVz2ZNmP2mOl588/edit?usp=sharing"",""REQ VF!E4:H""),4,0),""NO APLICA""),""GENERAR REQ"")"),"GENERAR REQ")</f>
        <v>GENERAR REQ</v>
      </c>
      <c r="AC85" s="37" t="str">
        <f>IFERROR(__xludf.DUMMYFUNCTION("IFERROR(QUERY(IMPORTRANGE(""https://docs.google.com/spreadsheets/d/1z9A1Wq-kKrhRNG5RS2a2fKpY1wIhSVz2ZNmP2mOl588/edit?usp=sharing"",""REQ VF!E4:Q""),""SELECT Col10, Col11, Col12 WHERE Col1 = '""&amp;G85&amp;""'"",0),""NO APLICA"")"),"NO APLICA")</f>
        <v>NO APLICA</v>
      </c>
      <c r="AD85" s="37"/>
      <c r="AE85" s="37"/>
      <c r="AF85" s="13"/>
      <c r="AG85" s="13"/>
    </row>
    <row r="86">
      <c r="A86" s="26"/>
      <c r="B86" s="26"/>
      <c r="C86" s="26" t="b">
        <v>1</v>
      </c>
      <c r="D86" s="26" t="s">
        <v>42</v>
      </c>
      <c r="E86" s="26" t="s">
        <v>36</v>
      </c>
      <c r="F86" s="27" t="s">
        <v>337</v>
      </c>
      <c r="G86" s="39" t="s">
        <v>358</v>
      </c>
      <c r="H86" s="40" t="s">
        <v>359</v>
      </c>
      <c r="I86" s="43">
        <f>$I$81*2</f>
        <v>8</v>
      </c>
      <c r="J86" s="26">
        <f>IFERROR(__xludf.DUMMYFUNCTION("VLOOKUP(G86,IMPORTRANGE(""https://docs.google.com/spreadsheets/d/12RxCea4e5ggM7QGn1XE3FbLQa_-QbCNdBi90OdPjRqg/edit?gid=1692403370#gid=1692403370"", ""'Plan de Compras'!D4:2432""), 8,0)"),8.0)</f>
        <v>8</v>
      </c>
      <c r="K86" s="26" t="str">
        <f t="shared" si="1"/>
        <v>SI</v>
      </c>
      <c r="L86" s="26"/>
      <c r="M86" s="41"/>
      <c r="N86" s="26" t="s">
        <v>360</v>
      </c>
      <c r="O86" s="26"/>
      <c r="P86" s="42"/>
      <c r="Q86" s="46" t="s">
        <v>361</v>
      </c>
      <c r="R86" s="41"/>
      <c r="S86" s="44" t="b">
        <v>0</v>
      </c>
      <c r="T86" s="72"/>
      <c r="U86" s="72"/>
      <c r="V86" s="44"/>
      <c r="W86" s="37" t="str">
        <f>IFERROR(__xludf.DUMMYFUNCTION("IFERROR(VLOOKUP(G86,IMPORTRANGE(""https://docs.google.com/spreadsheets/d/12RxCea4e5ggM7QGn1XE3FbLQa_-QbCNdBi90OdPjRqg"", ""'Plan de Compras'!D4:Q""), 12, 0), ""NO ESTÁ EN REQ"")"),"Simple")</f>
        <v>Simple</v>
      </c>
      <c r="X86" s="37" t="str">
        <f>IFERROR(__xludf.DUMMYFUNCTION("IFERROR(VLOOKUP(G86,IMPORTRANGE(""https://docs.google.com/spreadsheets/d/12RxCea4e5ggM7QGn1XE3FbLQa_-QbCNdBi90OdPjRqg"", ""'Plan de Compras'!D4:Q""), 13, 0), """")"),"NACIONAL")</f>
        <v>NACIONAL</v>
      </c>
      <c r="Y86" s="32" t="str">
        <f>IFERROR(__xludf.DUMMYFUNCTION("IFERROR(VLOOKUP(G86,IMPORTRANGE(""https://docs.google.com/spreadsheets/d/12RxCea4e5ggM7QGn1XE3FbLQa_-QbCNdBi90OdPjRqg"", ""'Plan de Compras'!D4:Q""), 14, 0), """")"),"ANGIE")</f>
        <v>ANGIE</v>
      </c>
      <c r="Z86" s="38" t="str">
        <f>IFERROR(__xludf.DUMMYFUNCTION("IFERROR(VLOOKUP(G86,IMPORTRANGE(""https://docs.google.com/spreadsheets/d/12RxCea4e5ggM7QGn1XE3FbLQa_-QbCNdBi90OdPjRqg"", ""'Plan de Compras'!D4:Q""), 4, 0), """")"),"CONECTORES PARA ADAPTARLOS TERMINALES RCA A PLUG (2 UND)")</f>
        <v>CONECTORES PARA ADAPTARLOS TERMINALES RCA A PLUG (2 UND)</v>
      </c>
      <c r="AA86" s="38" t="str">
        <f t="shared" si="11"/>
        <v>TRUE</v>
      </c>
      <c r="AB86" s="37" t="str">
        <f>IFERROR(__xludf.DUMMYFUNCTION("IFERROR(IF(OR(C86=TRUE,C86=""""),VLOOKUP(G86,IMPORTRANGE(""https://docs.google.com/spreadsheets/d/1z9A1Wq-kKrhRNG5RS2a2fKpY1wIhSVz2ZNmP2mOl588/edit?usp=sharing"",""REQ VF!E4:H""),4,0),""NO APLICA""),""GENERAR REQ"")"),"GENERAR REQ")</f>
        <v>GENERAR REQ</v>
      </c>
      <c r="AC86" s="37" t="str">
        <f>IFERROR(__xludf.DUMMYFUNCTION("IFERROR(QUERY(IMPORTRANGE(""https://docs.google.com/spreadsheets/d/1z9A1Wq-kKrhRNG5RS2a2fKpY1wIhSVz2ZNmP2mOl588/edit?usp=sharing"",""REQ VF!E4:Q""),""SELECT Col10, Col11, Col12 WHERE Col1 = '""&amp;G86&amp;""'"",0),""NO APLICA"")"),"NO APLICA")</f>
        <v>NO APLICA</v>
      </c>
      <c r="AD86" s="37"/>
      <c r="AE86" s="37"/>
      <c r="AF86" s="13"/>
      <c r="AG86" s="13"/>
    </row>
    <row r="87">
      <c r="A87" s="26"/>
      <c r="B87" s="26"/>
      <c r="C87" s="26" t="b">
        <v>1</v>
      </c>
      <c r="D87" s="26" t="s">
        <v>42</v>
      </c>
      <c r="E87" s="26"/>
      <c r="F87" s="27"/>
      <c r="G87" s="63" t="s">
        <v>362</v>
      </c>
      <c r="H87" s="64" t="s">
        <v>363</v>
      </c>
      <c r="I87" s="65">
        <v>8.0</v>
      </c>
      <c r="J87" s="26">
        <f>IFERROR(__xludf.DUMMYFUNCTION("VLOOKUP(G87,IMPORTRANGE(""https://docs.google.com/spreadsheets/d/12RxCea4e5ggM7QGn1XE3FbLQa_-QbCNdBi90OdPjRqg/edit?gid=1692403370#gid=1692403370"", ""'Plan de Compras'!D4:2432""), 8,0)"),8.0)</f>
        <v>8</v>
      </c>
      <c r="K87" s="26" t="str">
        <f t="shared" si="1"/>
        <v>SI</v>
      </c>
      <c r="L87" s="26"/>
      <c r="M87" s="41"/>
      <c r="N87" s="26"/>
      <c r="O87" s="26"/>
      <c r="P87" s="42"/>
      <c r="Q87" s="57"/>
      <c r="R87" s="41"/>
      <c r="S87" s="44" t="b">
        <v>0</v>
      </c>
      <c r="T87" s="72"/>
      <c r="U87" s="72"/>
      <c r="V87" s="44"/>
      <c r="W87" s="37"/>
      <c r="X87" s="37"/>
      <c r="Y87" s="32"/>
      <c r="Z87" s="38"/>
      <c r="AA87" s="38"/>
      <c r="AB87" s="37" t="str">
        <f>IFERROR(__xludf.DUMMYFUNCTION("IFERROR(IF(OR(C87=TRUE,C87=""""),VLOOKUP(G87,IMPORTRANGE(""https://docs.google.com/spreadsheets/d/1z9A1Wq-kKrhRNG5RS2a2fKpY1wIhSVz2ZNmP2mOl588/edit?usp=sharing"",""REQ VF!E4:H""),4,0),""NO APLICA""),""GENERAR REQ"")"),"GENERAR REQ")</f>
        <v>GENERAR REQ</v>
      </c>
      <c r="AC87" s="37" t="str">
        <f>IFERROR(__xludf.DUMMYFUNCTION("IFERROR(QUERY(IMPORTRANGE(""https://docs.google.com/spreadsheets/d/1z9A1Wq-kKrhRNG5RS2a2fKpY1wIhSVz2ZNmP2mOl588/edit?usp=sharing"",""REQ VF!E4:Q""),""SELECT Col10, Col11, Col12 WHERE Col1 = '""&amp;G87&amp;""'"",0),""NO APLICA"")"),"NO APLICA")</f>
        <v>NO APLICA</v>
      </c>
      <c r="AD87" s="37"/>
      <c r="AE87" s="37"/>
      <c r="AF87" s="13"/>
      <c r="AG87" s="13"/>
    </row>
    <row r="88">
      <c r="A88" s="26">
        <v>35.0</v>
      </c>
      <c r="B88" s="26" t="b">
        <v>1</v>
      </c>
      <c r="C88" s="26" t="b">
        <v>1</v>
      </c>
      <c r="D88" s="26" t="s">
        <v>35</v>
      </c>
      <c r="E88" s="26" t="s">
        <v>36</v>
      </c>
      <c r="F88" s="27" t="s">
        <v>364</v>
      </c>
      <c r="G88" s="39" t="s">
        <v>364</v>
      </c>
      <c r="H88" s="45" t="s">
        <v>365</v>
      </c>
      <c r="I88" s="26">
        <f>SUMIFS('Hoja 10'!$O:$O,'Hoja 10'!$F:$F,$G88)</f>
        <v>12</v>
      </c>
      <c r="J88" s="26">
        <f>IFERROR(__xludf.DUMMYFUNCTION("VLOOKUP(G88,IMPORTRANGE(""https://docs.google.com/spreadsheets/d/12RxCea4e5ggM7QGn1XE3FbLQa_-QbCNdBi90OdPjRqg/edit?gid=1692403370#gid=1692403370"", ""'Plan de Compras'!D4:2432""), 8,0)"),12.0)</f>
        <v>12</v>
      </c>
      <c r="K88" s="26" t="str">
        <f t="shared" si="1"/>
        <v>SI</v>
      </c>
      <c r="L88" s="29" t="s">
        <v>180</v>
      </c>
      <c r="M88" s="30" t="s">
        <v>181</v>
      </c>
      <c r="N88" s="42"/>
      <c r="O88" s="32" t="str">
        <f>VLOOKUP($G88,'Hoja 10'!$F$4:$AA478, 19,0)</f>
        <v>Schneider Electric</v>
      </c>
      <c r="P88" s="32" t="str">
        <f>VLOOKUP($G88,'Hoja 10'!$F$4:$AA478, 20,0)</f>
        <v>LC1D386M7</v>
      </c>
      <c r="Q88" s="33" t="str">
        <f>VLOOKUP($G88,'Hoja 10'!$F$4:$AA478, 21,0)</f>
        <v>https://www.se.com/es/es/product/LC1D386M7/contactor-tesys-d-3p3-na-ac3-440-v-38-a-220-v-ca-50-60-hz-bobina/?range=664-tesys-d-tesys-deca-control-tallas-1-2-y-3&amp;parent-subcategory-id=1510&amp;filter=business-1-automatizaci%C3%B3n-y-control-industrial&amp;selectedNodeId=12146440908</v>
      </c>
      <c r="R88" s="30" t="s">
        <v>366</v>
      </c>
      <c r="S88" s="34" t="b">
        <v>1</v>
      </c>
      <c r="T88" s="35" t="str">
        <f>IFERROR(__xludf.DUMMYFUNCTION(" IF
( VLOOKUP($G88,IMPORTRANGE(""https://docs.google.com/spreadsheets/d/1Gpl6jkTg7sL4VDNimUm3S9Vi1i95esohXCF3wuKOE8c"", ""'CONSOLIDADO'!G5:AB""), 10, 0) &lt;&gt; 0, 
IFERROR(VLOOKUP($G88,IMPORTRANGE(""https://docs.google.com/spreadsheets/d/1Gpl6jkTg7sL4VDNimUm3"&amp;"S9Vi1i95esohXCF3wuKOE8c"", ""'CONSOLIDADO'!G5:AB""), 17, 0), ""-""),
""""
)"),"SCHNEIDER ELECTRIC")</f>
        <v>SCHNEIDER ELECTRIC</v>
      </c>
      <c r="U88" s="35" t="str">
        <f>IFERROR(__xludf.DUMMYFUNCTION(" IF
( VLOOKUP($G88,IMPORTRANGE(""https://docs.google.com/spreadsheets/d/1Gpl6jkTg7sL4VDNimUm3S9Vi1i95esohXCF3wuKOE8c"", ""'CONSOLIDADO'!G5:AB""), 10, 0) &lt;&gt; 0, 
IFERROR(VLOOKUP($G88,IMPORTRANGE(""https://docs.google.com/spreadsheets/d/1Gpl6jkTg7sL4VDNimUm3"&amp;"S9Vi1i95esohXCF3wuKOE8c"", ""'CONSOLIDADO'!G5:AB""), 18, 0), ""-""),
""""
)"),"LC1D38M7")</f>
        <v>LC1D38M7</v>
      </c>
      <c r="V88" s="36" t="str">
        <f>IFERROR(__xludf.DUMMYFUNCTION(" IF
( VLOOKUP($G88,IMPORTRANGE(""https://docs.google.com/spreadsheets/d/1Gpl6jkTg7sL4VDNimUm3S9Vi1i95esohXCF3wuKOE8c"", ""'CONSOLIDADO'!G5:AB""), 10, 0) &lt;&gt; 0, 
IFERROR(VLOOKUP($G88,IMPORTRANGE(""https://docs.google.com/spreadsheets/d/1Gpl6jkTg7sL4VDNimUm3"&amp;"S9Vi1i95esohXCF3wuKOE8c"", ""'CONSOLIDADO'!G5:AB""), 19, 0), ""-""),
""""
)"),"https://www.se.com/pe/es/product/LC1D38M7/contactor-tesys-d-3p-ac3-440v-38a-bobina-220-vac/")</f>
        <v>https://www.se.com/pe/es/product/LC1D38M7/contactor-tesys-d-3p-ac3-440v-38a-bobina-220-vac/</v>
      </c>
      <c r="W88" s="37" t="str">
        <f>IFERROR(__xludf.DUMMYFUNCTION("IFERROR(VLOOKUP(G88,IMPORTRANGE(""https://docs.google.com/spreadsheets/d/12RxCea4e5ggM7QGn1XE3FbLQa_-QbCNdBi90OdPjRqg"", ""'Plan de Compras'!D4:Q""), 12, 0), ""NO ESTÁ EN REQ"")"),"Técnica")</f>
        <v>Técnica</v>
      </c>
      <c r="X88" s="37" t="str">
        <f>IFERROR(__xludf.DUMMYFUNCTION("IFERROR(VLOOKUP(G88,IMPORTRANGE(""https://docs.google.com/spreadsheets/d/12RxCea4e5ggM7QGn1XE3FbLQa_-QbCNdBi90OdPjRqg"", ""'Plan de Compras'!D4:Q""), 13, 0), """")"),"NACIONAL")</f>
        <v>NACIONAL</v>
      </c>
      <c r="Y88" s="32" t="str">
        <f>IFERROR(__xludf.DUMMYFUNCTION("IFERROR(VLOOKUP(G88,IMPORTRANGE(""https://docs.google.com/spreadsheets/d/12RxCea4e5ggM7QGn1XE3FbLQa_-QbCNdBi90OdPjRqg"", ""'Plan de Compras'!D4:Q""), 14, 0), """")"),"GEANFRANCO")</f>
        <v>GEANFRANCO</v>
      </c>
      <c r="Z88" s="38" t="str">
        <f>IFERROR(__xludf.DUMMYFUNCTION("IFERROR(VLOOKUP(G88,IMPORTRANGE(""https://docs.google.com/spreadsheets/d/12RxCea4e5ggM7QGn1XE3FbLQa_-QbCNdBi90OdPjRqg"", ""'Plan de Compras'!D4:Q""), 4, 0), """")"),"CONTACTOR TRIPOLAR")</f>
        <v>CONTACTOR TRIPOLAR</v>
      </c>
      <c r="AA88" s="38" t="str">
        <f t="shared" ref="AA88:AA432" si="16">IF(H88=Z88,"TRUE", "FALSE")</f>
        <v>TRUE</v>
      </c>
      <c r="AB88" s="37" t="str">
        <f>IFERROR(__xludf.DUMMYFUNCTION("IFERROR(IF(OR(C88=TRUE,C88=""""),VLOOKUP(G88,IMPORTRANGE(""https://docs.google.com/spreadsheets/d/1z9A1Wq-kKrhRNG5RS2a2fKpY1wIhSVz2ZNmP2mOl588/edit?usp=sharing"",""REQ VF!E4:H""),4,0),""NO APLICA""),""GENERAR REQ"")"),"GENERAR REQ")</f>
        <v>GENERAR REQ</v>
      </c>
      <c r="AC88" s="37" t="str">
        <f>IFERROR(__xludf.DUMMYFUNCTION("IFERROR(QUERY(IMPORTRANGE(""https://docs.google.com/spreadsheets/d/1z9A1Wq-kKrhRNG5RS2a2fKpY1wIhSVz2ZNmP2mOl588/edit?usp=sharing"",""REQ VF!E4:Q""),""SELECT Col10, Col11, Col12 WHERE Col1 = '""&amp;G88&amp;""'"",0),""NO APLICA"")"),"NO APLICA")</f>
        <v>NO APLICA</v>
      </c>
      <c r="AD88" s="37"/>
      <c r="AE88" s="37"/>
      <c r="AF88" s="13"/>
      <c r="AG88" s="13"/>
    </row>
    <row r="89">
      <c r="A89" s="26">
        <v>36.0</v>
      </c>
      <c r="B89" s="26" t="b">
        <v>1</v>
      </c>
      <c r="C89" s="26" t="b">
        <v>1</v>
      </c>
      <c r="D89" s="26" t="s">
        <v>35</v>
      </c>
      <c r="E89" s="26" t="s">
        <v>36</v>
      </c>
      <c r="F89" s="27" t="s">
        <v>367</v>
      </c>
      <c r="G89" s="37" t="s">
        <v>367</v>
      </c>
      <c r="H89" s="45" t="s">
        <v>368</v>
      </c>
      <c r="I89" s="26">
        <f>SUMIFS('Hoja 10'!$O:$O,'Hoja 10'!$F:$F,$G89)</f>
        <v>2</v>
      </c>
      <c r="J89" s="26">
        <f>IFERROR(__xludf.DUMMYFUNCTION("VLOOKUP(G89,IMPORTRANGE(""https://docs.google.com/spreadsheets/d/12RxCea4e5ggM7QGn1XE3FbLQa_-QbCNdBi90OdPjRqg/edit?gid=1692403370#gid=1692403370"", ""'Plan de Compras'!D4:2432""), 8,0)"),2.0)</f>
        <v>2</v>
      </c>
      <c r="K89" s="26" t="str">
        <f t="shared" si="1"/>
        <v>SI</v>
      </c>
      <c r="L89" s="29" t="s">
        <v>296</v>
      </c>
      <c r="M89" s="30" t="s">
        <v>297</v>
      </c>
      <c r="N89" s="42"/>
      <c r="O89" s="32" t="str">
        <f>VLOOKUP($G89,'Hoja 10'!$F$4:$AA478, 19,0)</f>
        <v>THUNDER LASER</v>
      </c>
      <c r="P89" s="32" t="str">
        <f>VLOOKUP($G89,'Hoja 10'!$F$4:$AA478, 20,0)</f>
        <v>TITAN PRO 51 CO2 120W</v>
      </c>
      <c r="Q89" s="33" t="str">
        <f>VLOOKUP($G89,'Hoja 10'!$F$4:$AA478, 21,0)</f>
        <v>https://www.thunderlaser.com/titan-series/</v>
      </c>
      <c r="R89" s="30" t="s">
        <v>369</v>
      </c>
      <c r="S89" s="34" t="b">
        <v>1</v>
      </c>
      <c r="T89" s="35" t="str">
        <f>IFERROR(__xludf.DUMMYFUNCTION(" IF
( VLOOKUP($G89,IMPORTRANGE(""https://docs.google.com/spreadsheets/d/1Gpl6jkTg7sL4VDNimUm3S9Vi1i95esohXCF3wuKOE8c"", ""'CONSOLIDADO'!G5:AB""), 10, 0) &lt;&gt; 0, 
IFERROR(VLOOKUP($G89,IMPORTRANGE(""https://docs.google.com/spreadsheets/d/1Gpl6jkTg7sL4VDNimUm3"&amp;"S9Vi1i95esohXCF3wuKOE8c"", ""'CONSOLIDADO'!G5:AB""), 17, 0), ""-""),
""""
)"),"DXTECH")</f>
        <v>DXTECH</v>
      </c>
      <c r="U89" s="35" t="str">
        <f>IFERROR(__xludf.DUMMYFUNCTION(" IF
( VLOOKUP($G89,IMPORTRANGE(""https://docs.google.com/spreadsheets/d/1Gpl6jkTg7sL4VDNimUm3S9Vi1i95esohXCF3wuKOE8c"", ""'CONSOLIDADO'!G5:AB""), 10, 0) &lt;&gt; 0, 
IFERROR(VLOOKUP($G89,IMPORTRANGE(""https://docs.google.com/spreadsheets/d/1Gpl6jkTg7sL4VDNimUm3"&amp;"S9Vi1i95esohXCF3wuKOE8c"", ""'CONSOLIDADO'!G5:AB""), 18, 0), ""-""),
""""
)"),"1390 CO2")</f>
        <v>1390 CO2</v>
      </c>
      <c r="V89" s="36" t="str">
        <f>IFERROR(__xludf.DUMMYFUNCTION(" IF
( VLOOKUP($G89,IMPORTRANGE(""https://docs.google.com/spreadsheets/d/1Gpl6jkTg7sL4VDNimUm3S9Vi1i95esohXCF3wuKOE8c"", ""'CONSOLIDADO'!G5:AB""), 10, 0) &lt;&gt; 0, 
IFERROR(VLOOKUP($G89,IMPORTRANGE(""https://docs.google.com/spreadsheets/d/1Gpl6jkTg7sL4VDNimUm3"&amp;"S9Vi1i95esohXCF3wuKOE8c"", ""'CONSOLIDADO'!G5:AB""), 19, 0), ""-""),
""""
)"),"https://www.alibaba.com/product-detail/C02-Laser-Cutter-1300x900-Lazer-Cut_1600313544851.html?utm_source=chatgpt.com")</f>
        <v>https://www.alibaba.com/product-detail/C02-Laser-Cutter-1300x900-Lazer-Cut_1600313544851.html?utm_source=chatgpt.com</v>
      </c>
      <c r="W89" s="37" t="str">
        <f>IFERROR(__xludf.DUMMYFUNCTION("IFERROR(VLOOKUP(G89,IMPORTRANGE(""https://docs.google.com/spreadsheets/d/12RxCea4e5ggM7QGn1XE3FbLQa_-QbCNdBi90OdPjRqg"", ""'Plan de Compras'!D4:Q""), 12, 0), ""NO ESTÁ EN REQ"")"),"Técnica")</f>
        <v>Técnica</v>
      </c>
      <c r="X89" s="37" t="str">
        <f>IFERROR(__xludf.DUMMYFUNCTION("IFERROR(VLOOKUP(G89,IMPORTRANGE(""https://docs.google.com/spreadsheets/d/12RxCea4e5ggM7QGn1XE3FbLQa_-QbCNdBi90OdPjRqg"", ""'Plan de Compras'!D4:Q""), 13, 0), """")"),"INTERNACIONAL")</f>
        <v>INTERNACIONAL</v>
      </c>
      <c r="Y89" s="32" t="str">
        <f>IFERROR(__xludf.DUMMYFUNCTION("IFERROR(VLOOKUP(G89,IMPORTRANGE(""https://docs.google.com/spreadsheets/d/12RxCea4e5ggM7QGn1XE3FbLQa_-QbCNdBi90OdPjRqg"", ""'Plan de Compras'!D4:Q""), 14, 0), """")"),"JIMENA")</f>
        <v>JIMENA</v>
      </c>
      <c r="Z89" s="38" t="str">
        <f>IFERROR(__xludf.DUMMYFUNCTION("IFERROR(VLOOKUP(G89,IMPORTRANGE(""https://docs.google.com/spreadsheets/d/12RxCea4e5ggM7QGn1XE3FbLQa_-QbCNdBi90OdPjRqg"", ""'Plan de Compras'!D4:Q""), 4, 0), """")"),"CORTADORA LÁSER CO2 (AREA DE TRABAJO MINIMO: 1300 X 900 MM)")</f>
        <v>CORTADORA LÁSER CO2 (AREA DE TRABAJO MINIMO: 1300 X 900 MM)</v>
      </c>
      <c r="AA89" s="38" t="str">
        <f t="shared" si="16"/>
        <v>TRUE</v>
      </c>
      <c r="AB89" s="37" t="str">
        <f>IFERROR(__xludf.DUMMYFUNCTION("IFERROR(IF(OR(C89=TRUE,C89=""""),VLOOKUP(G89,IMPORTRANGE(""https://docs.google.com/spreadsheets/d/1z9A1Wq-kKrhRNG5RS2a2fKpY1wIhSVz2ZNmP2mOl588/edit?usp=sharing"",""REQ VF!E4:H""),4,0),""NO APLICA""),""GENERAR REQ"")"),"GENERAR REQ")</f>
        <v>GENERAR REQ</v>
      </c>
      <c r="AC89" s="37" t="str">
        <f>IFERROR(__xludf.DUMMYFUNCTION("IFERROR(QUERY(IMPORTRANGE(""https://docs.google.com/spreadsheets/d/1z9A1Wq-kKrhRNG5RS2a2fKpY1wIhSVz2ZNmP2mOl588/edit?usp=sharing"",""REQ VF!E4:Q""),""SELECT Col10, Col11, Col12 WHERE Col1 = '""&amp;G89&amp;""'"",0),""NO APLICA"")"),"NO APLICA")</f>
        <v>NO APLICA</v>
      </c>
      <c r="AD89" s="37"/>
      <c r="AE89" s="37"/>
      <c r="AF89" s="13"/>
      <c r="AG89" s="13"/>
    </row>
    <row r="90">
      <c r="A90" s="26"/>
      <c r="B90" s="26" t="b">
        <v>0</v>
      </c>
      <c r="C90" s="26" t="b">
        <v>0</v>
      </c>
      <c r="D90" s="26" t="s">
        <v>42</v>
      </c>
      <c r="E90" s="26" t="s">
        <v>36</v>
      </c>
      <c r="F90" s="27" t="s">
        <v>367</v>
      </c>
      <c r="G90" s="39" t="s">
        <v>370</v>
      </c>
      <c r="H90" s="40" t="s">
        <v>371</v>
      </c>
      <c r="I90" s="26">
        <f>1*I89</f>
        <v>2</v>
      </c>
      <c r="J90" s="26" t="str">
        <f>IFERROR(__xludf.DUMMYFUNCTION("VLOOKUP(G90,IMPORTRANGE(""https://docs.google.com/spreadsheets/d/12RxCea4e5ggM7QGn1XE3FbLQa_-QbCNdBi90OdPjRqg/edit?gid=1692403370#gid=1692403370"", ""'Plan de Compras'!D4:2432""), 8,0)"),"#N/A")</f>
        <v>#N/A</v>
      </c>
      <c r="K90" s="26" t="str">
        <f t="shared" si="1"/>
        <v>-</v>
      </c>
      <c r="L90" s="29"/>
      <c r="M90" s="61"/>
      <c r="N90" s="42"/>
      <c r="O90" s="32"/>
      <c r="P90" s="32"/>
      <c r="Q90" s="41"/>
      <c r="R90" s="61"/>
      <c r="S90" s="34" t="b">
        <v>0</v>
      </c>
      <c r="T90" s="35"/>
      <c r="U90" s="35"/>
      <c r="V90" s="35"/>
      <c r="W90" s="37"/>
      <c r="X90" s="37"/>
      <c r="Y90" s="32"/>
      <c r="Z90" s="38"/>
      <c r="AA90" s="38" t="str">
        <f t="shared" si="16"/>
        <v>FALSE</v>
      </c>
      <c r="AB90" s="37" t="str">
        <f>IFERROR(__xludf.DUMMYFUNCTION("IFERROR(IF(OR(C90=TRUE,C90=""""),VLOOKUP(G90,IMPORTRANGE(""https://docs.google.com/spreadsheets/d/1z9A1Wq-kKrhRNG5RS2a2fKpY1wIhSVz2ZNmP2mOl588/edit?usp=sharing"",""REQ VF!E4:H""),4,0),""NO APLICA""),""GENERAR REQ"")"),"NO APLICA")</f>
        <v>NO APLICA</v>
      </c>
      <c r="AC90" s="37" t="str">
        <f>IFERROR(__xludf.DUMMYFUNCTION("IFERROR(QUERY(IMPORTRANGE(""https://docs.google.com/spreadsheets/d/1z9A1Wq-kKrhRNG5RS2a2fKpY1wIhSVz2ZNmP2mOl588/edit?usp=sharing"",""REQ VF!E4:Q""),""SELECT Col10, Col11, Col12 WHERE Col1 = '""&amp;G90&amp;""'"",0),""NO APLICA"")"),"NO APLICA")</f>
        <v>NO APLICA</v>
      </c>
      <c r="AD90" s="37"/>
      <c r="AE90" s="37"/>
      <c r="AF90" s="8"/>
      <c r="AG90" s="13"/>
    </row>
    <row r="91">
      <c r="A91" s="26">
        <v>37.0</v>
      </c>
      <c r="B91" s="26" t="b">
        <v>1</v>
      </c>
      <c r="C91" s="26" t="b">
        <v>1</v>
      </c>
      <c r="D91" s="26" t="s">
        <v>35</v>
      </c>
      <c r="E91" s="26" t="s">
        <v>36</v>
      </c>
      <c r="F91" s="59" t="s">
        <v>372</v>
      </c>
      <c r="G91" s="39" t="s">
        <v>373</v>
      </c>
      <c r="H91" s="45" t="s">
        <v>374</v>
      </c>
      <c r="I91" s="26">
        <f>SUMIFS('Hoja 10'!$O:$O,'Hoja 10'!$F:$F,$G91)</f>
        <v>3</v>
      </c>
      <c r="J91" s="26">
        <f>IFERROR(__xludf.DUMMYFUNCTION("VLOOKUP(G91,IMPORTRANGE(""https://docs.google.com/spreadsheets/d/12RxCea4e5ggM7QGn1XE3FbLQa_-QbCNdBi90OdPjRqg/edit?gid=1692403370#gid=1692403370"", ""'Plan de Compras'!D4:2432""), 8,0)"),3.0)</f>
        <v>3</v>
      </c>
      <c r="K91" s="26" t="str">
        <f t="shared" si="1"/>
        <v>SI</v>
      </c>
      <c r="L91" s="29" t="s">
        <v>375</v>
      </c>
      <c r="M91" s="30" t="s">
        <v>186</v>
      </c>
      <c r="N91" s="42"/>
      <c r="O91" s="32" t="str">
        <f>VLOOKUP($G91,'Hoja 10'!$F$4:$AA478, 19,0)</f>
        <v>THUNDER LASER</v>
      </c>
      <c r="P91" s="32" t="str">
        <f>VLOOKUP($G91,'Hoja 10'!$F$4:$AA478, 20,0)</f>
        <v>TITAN 35 CO2 100W</v>
      </c>
      <c r="Q91" s="33" t="str">
        <f>VLOOKUP($G91,'Hoja 10'!$F$4:$AA478, 21,0)</f>
        <v>https://www.thunderlaser.com/titan-series/</v>
      </c>
      <c r="R91" s="30" t="s">
        <v>376</v>
      </c>
      <c r="S91" s="34" t="b">
        <v>1</v>
      </c>
      <c r="T91" s="35" t="str">
        <f>IFERROR(__xludf.DUMMYFUNCTION(" IF
( VLOOKUP($G91,IMPORTRANGE(""https://docs.google.com/spreadsheets/d/1Gpl6jkTg7sL4VDNimUm3S9Vi1i95esohXCF3wuKOE8c"", ""'CONSOLIDADO'!G5:AB""), 10, 0) &lt;&gt; 0, 
IFERROR(VLOOKUP($G91,IMPORTRANGE(""https://docs.google.com/spreadsheets/d/1Gpl6jkTg7sL4VDNimUm3"&amp;"S9Vi1i95esohXCF3wuKOE8c"", ""'CONSOLIDADO'!G5:AB""), 17, 0), ""-""),
""""
)"),"TROTEC")</f>
        <v>TROTEC</v>
      </c>
      <c r="U91" s="35" t="str">
        <f>IFERROR(__xludf.DUMMYFUNCTION(" IF
( VLOOKUP($G91,IMPORTRANGE(""https://docs.google.com/spreadsheets/d/1Gpl6jkTg7sL4VDNimUm3S9Vi1i95esohXCF3wuKOE8c"", ""'CONSOLIDADO'!G5:AB""), 10, 0) &lt;&gt; 0, 
IFERROR(VLOOKUP($G91,IMPORTRANGE(""https://docs.google.com/spreadsheets/d/1Gpl6jkTg7sL4VDNimUm3"&amp;"S9Vi1i95esohXCF3wuKOE8c"", ""'CONSOLIDADO'!G5:AB""), 18, 0), ""-""),
""""
)"),"Q400")</f>
        <v>Q400</v>
      </c>
      <c r="V91" s="36" t="str">
        <f>IFERROR(__xludf.DUMMYFUNCTION(" IF
( VLOOKUP($G91,IMPORTRANGE(""https://docs.google.com/spreadsheets/d/1Gpl6jkTg7sL4VDNimUm3S9Vi1i95esohXCF3wuKOE8c"", ""'CONSOLIDADO'!G5:AB""), 10, 0) &lt;&gt; 0, 
IFERROR(VLOOKUP($G91,IMPORTRANGE(""https://docs.google.com/spreadsheets/d/1Gpl6jkTg7sL4VDNimUm3"&amp;"S9Vi1i95esohXCF3wuKOE8c"", ""'CONSOLIDADO'!G5:AB""), 19, 0), ""-""),
""""
)"),"https://drive.google.com/file/d/1cMC3miC1nmkt9A-HinrNRh42KCpbLELf/view")</f>
        <v>https://drive.google.com/file/d/1cMC3miC1nmkt9A-HinrNRh42KCpbLELf/view</v>
      </c>
      <c r="W91" s="37" t="str">
        <f>IFERROR(__xludf.DUMMYFUNCTION("IFERROR(VLOOKUP(G91,IMPORTRANGE(""https://docs.google.com/spreadsheets/d/12RxCea4e5ggM7QGn1XE3FbLQa_-QbCNdBi90OdPjRqg"", ""'Plan de Compras'!D4:Q""), 12, 0), ""NO ESTÁ EN REQ"")"),"Técnica")</f>
        <v>Técnica</v>
      </c>
      <c r="X91" s="37" t="str">
        <f>IFERROR(__xludf.DUMMYFUNCTION("IFERROR(VLOOKUP(G91,IMPORTRANGE(""https://docs.google.com/spreadsheets/d/12RxCea4e5ggM7QGn1XE3FbLQa_-QbCNdBi90OdPjRqg"", ""'Plan de Compras'!D4:Q""), 13, 0), """")"),"INTERNACIONAL")</f>
        <v>INTERNACIONAL</v>
      </c>
      <c r="Y91" s="32" t="str">
        <f>IFERROR(__xludf.DUMMYFUNCTION("IFERROR(VLOOKUP(G91,IMPORTRANGE(""https://docs.google.com/spreadsheets/d/12RxCea4e5ggM7QGn1XE3FbLQa_-QbCNdBi90OdPjRqg"", ""'Plan de Compras'!D4:Q""), 14, 0), """")"),"JIMENA")</f>
        <v>JIMENA</v>
      </c>
      <c r="Z91" s="38" t="str">
        <f>IFERROR(__xludf.DUMMYFUNCTION("IFERROR(VLOOKUP(G91,IMPORTRANGE(""https://docs.google.com/spreadsheets/d/12RxCea4e5ggM7QGn1XE3FbLQa_-QbCNdBi90OdPjRqg"", ""'Plan de Compras'!D4:Q""), 4, 0), """")"),"CORTADORA LÁSER CO2")</f>
        <v>CORTADORA LÁSER CO2</v>
      </c>
      <c r="AA91" s="38" t="str">
        <f t="shared" si="16"/>
        <v>TRUE</v>
      </c>
      <c r="AB91" s="37" t="str">
        <f>IFERROR(__xludf.DUMMYFUNCTION("IFERROR(IF(OR(C91=TRUE,C91=""""),VLOOKUP(G91,IMPORTRANGE(""https://docs.google.com/spreadsheets/d/1z9A1Wq-kKrhRNG5RS2a2fKpY1wIhSVz2ZNmP2mOl588/edit?usp=sharing"",""REQ VF!E4:H""),4,0),""NO APLICA""),""GENERAR REQ"")"),"GENERAR REQ")</f>
        <v>GENERAR REQ</v>
      </c>
      <c r="AC91" s="37" t="str">
        <f>IFERROR(__xludf.DUMMYFUNCTION("IFERROR(QUERY(IMPORTRANGE(""https://docs.google.com/spreadsheets/d/1z9A1Wq-kKrhRNG5RS2a2fKpY1wIhSVz2ZNmP2mOl588/edit?usp=sharing"",""REQ VF!E4:Q""),""SELECT Col10, Col11, Col12 WHERE Col1 = '""&amp;G91&amp;""'"",0),""NO APLICA"")"),"NO APLICA")</f>
        <v>NO APLICA</v>
      </c>
      <c r="AD91" s="37"/>
      <c r="AE91" s="37"/>
      <c r="AF91" s="8" t="s">
        <v>52</v>
      </c>
      <c r="AG91" s="13"/>
    </row>
    <row r="92">
      <c r="A92" s="26"/>
      <c r="B92" s="26" t="b">
        <v>0</v>
      </c>
      <c r="C92" s="26" t="b">
        <v>0</v>
      </c>
      <c r="D92" s="26" t="s">
        <v>42</v>
      </c>
      <c r="E92" s="26" t="s">
        <v>36</v>
      </c>
      <c r="F92" s="59" t="s">
        <v>372</v>
      </c>
      <c r="G92" s="39" t="s">
        <v>377</v>
      </c>
      <c r="H92" s="40" t="s">
        <v>371</v>
      </c>
      <c r="I92" s="26">
        <f>1*I91</f>
        <v>3</v>
      </c>
      <c r="J92" s="26" t="str">
        <f>IFERROR(__xludf.DUMMYFUNCTION("VLOOKUP(G92,IMPORTRANGE(""https://docs.google.com/spreadsheets/d/12RxCea4e5ggM7QGn1XE3FbLQa_-QbCNdBi90OdPjRqg/edit?gid=1692403370#gid=1692403370"", ""'Plan de Compras'!D4:2432""), 8,0)"),"#N/A")</f>
        <v>#N/A</v>
      </c>
      <c r="K92" s="26" t="str">
        <f t="shared" si="1"/>
        <v>-</v>
      </c>
      <c r="L92" s="29"/>
      <c r="M92" s="61"/>
      <c r="N92" s="42"/>
      <c r="O92" s="32"/>
      <c r="P92" s="32"/>
      <c r="Q92" s="41"/>
      <c r="R92" s="61"/>
      <c r="S92" s="34" t="b">
        <v>0</v>
      </c>
      <c r="T92" s="35" t="s">
        <v>378</v>
      </c>
      <c r="U92" s="35" t="s">
        <v>379</v>
      </c>
      <c r="V92" s="35"/>
      <c r="W92" s="37"/>
      <c r="X92" s="37"/>
      <c r="Y92" s="32"/>
      <c r="Z92" s="38"/>
      <c r="AA92" s="38" t="str">
        <f t="shared" si="16"/>
        <v>FALSE</v>
      </c>
      <c r="AB92" s="37" t="str">
        <f>IFERROR(__xludf.DUMMYFUNCTION("IFERROR(IF(OR(C92=TRUE,C92=""""),VLOOKUP(G92,IMPORTRANGE(""https://docs.google.com/spreadsheets/d/1z9A1Wq-kKrhRNG5RS2a2fKpY1wIhSVz2ZNmP2mOl588/edit?usp=sharing"",""REQ VF!E4:H""),4,0),""NO APLICA""),""GENERAR REQ"")"),"NO APLICA")</f>
        <v>NO APLICA</v>
      </c>
      <c r="AC92" s="37" t="str">
        <f>IFERROR(__xludf.DUMMYFUNCTION("IFERROR(QUERY(IMPORTRANGE(""https://docs.google.com/spreadsheets/d/1z9A1Wq-kKrhRNG5RS2a2fKpY1wIhSVz2ZNmP2mOl588/edit?usp=sharing"",""REQ VF!E4:Q""),""SELECT Col10, Col11, Col12 WHERE Col1 = '""&amp;G92&amp;""'"",0),""NO APLICA"")"),"NO APLICA")</f>
        <v>NO APLICA</v>
      </c>
      <c r="AD92" s="37"/>
      <c r="AE92" s="37"/>
      <c r="AF92" s="13"/>
      <c r="AG92" s="71"/>
    </row>
    <row r="93">
      <c r="A93" s="26">
        <v>38.0</v>
      </c>
      <c r="B93" s="26" t="b">
        <v>1</v>
      </c>
      <c r="C93" s="26" t="b">
        <v>1</v>
      </c>
      <c r="D93" s="26" t="s">
        <v>35</v>
      </c>
      <c r="E93" s="26" t="s">
        <v>36</v>
      </c>
      <c r="F93" s="59" t="s">
        <v>372</v>
      </c>
      <c r="G93" s="39" t="s">
        <v>380</v>
      </c>
      <c r="H93" s="45" t="s">
        <v>381</v>
      </c>
      <c r="I93" s="26">
        <f>SUMIFS('Hoja 10'!$O:$O,'Hoja 10'!$F:$F,$G93)</f>
        <v>1</v>
      </c>
      <c r="J93" s="26">
        <f>IFERROR(__xludf.DUMMYFUNCTION("VLOOKUP(G93,IMPORTRANGE(""https://docs.google.com/spreadsheets/d/12RxCea4e5ggM7QGn1XE3FbLQa_-QbCNdBi90OdPjRqg/edit?gid=1692403370#gid=1692403370"", ""'Plan de Compras'!D4:2432""), 8,0)"),1.0)</f>
        <v>1</v>
      </c>
      <c r="K93" s="26" t="str">
        <f t="shared" si="1"/>
        <v>SI</v>
      </c>
      <c r="L93" s="29" t="s">
        <v>296</v>
      </c>
      <c r="M93" s="30" t="s">
        <v>297</v>
      </c>
      <c r="N93" s="42"/>
      <c r="O93" s="32" t="str">
        <f>VLOOKUP($G93,'Hoja 10'!$F$4:$AA478, 19,0)</f>
        <v>THUNDER LASER</v>
      </c>
      <c r="P93" s="32" t="str">
        <f>VLOOKUP($G93,'Hoja 10'!$F$4:$AA478, 20,0)</f>
        <v>TITAN 27 CO2 120W</v>
      </c>
      <c r="Q93" s="33" t="str">
        <f>VLOOKUP($G93,'Hoja 10'!$F$4:$AA478, 21,0)</f>
        <v>https://www.thunderlaser.com/titan-series/</v>
      </c>
      <c r="R93" s="30" t="s">
        <v>382</v>
      </c>
      <c r="S93" s="34" t="b">
        <v>1</v>
      </c>
      <c r="T93" s="35" t="str">
        <f>IFERROR(__xludf.DUMMYFUNCTION(" IF
( VLOOKUP($G93,IMPORTRANGE(""https://docs.google.com/spreadsheets/d/1Gpl6jkTg7sL4VDNimUm3S9Vi1i95esohXCF3wuKOE8c"", ""'CONSOLIDADO'!G5:AB""), 10, 0) &lt;&gt; 0, 
IFERROR(VLOOKUP($G93,IMPORTRANGE(""https://docs.google.com/spreadsheets/d/1Gpl6jkTg7sL4VDNimUm3"&amp;"S9Vi1i95esohXCF3wuKOE8c"", ""'CONSOLIDADO'!G5:AB""), 17, 0), ""-""),
""""
)"),"THUNDER LASER")</f>
        <v>THUNDER LASER</v>
      </c>
      <c r="U93" s="35" t="str">
        <f>IFERROR(__xludf.DUMMYFUNCTION(" IF
( VLOOKUP($G93,IMPORTRANGE(""https://docs.google.com/spreadsheets/d/1Gpl6jkTg7sL4VDNimUm3S9Vi1i95esohXCF3wuKOE8c"", ""'CONSOLIDADO'!G5:AB""), 10, 0) &lt;&gt; 0, 
IFERROR(VLOOKUP($G93,IMPORTRANGE(""https://docs.google.com/spreadsheets/d/1Gpl6jkTg7sL4VDNimUm3"&amp;"S9Vi1i95esohXCF3wuKOE8c"", ""'CONSOLIDADO'!G5:AB""), 18, 0), ""-""),
""""
)"),"TITAN 27 CO2 120W")</f>
        <v>TITAN 27 CO2 120W</v>
      </c>
      <c r="V93" s="36" t="str">
        <f>IFERROR(__xludf.DUMMYFUNCTION(" IF
( VLOOKUP($G93,IMPORTRANGE(""https://docs.google.com/spreadsheets/d/1Gpl6jkTg7sL4VDNimUm3S9Vi1i95esohXCF3wuKOE8c"", ""'CONSOLIDADO'!G5:AB""), 10, 0) &lt;&gt; 0, 
IFERROR(VLOOKUP($G93,IMPORTRANGE(""https://docs.google.com/spreadsheets/d/1Gpl6jkTg7sL4VDNimUm3"&amp;"S9Vi1i95esohXCF3wuKOE8c"", ""'CONSOLIDADO'!G5:AB""), 19, 0), ""-""),
""""
)"),"https://www.thunderlaser.com/titan-series/")</f>
        <v>https://www.thunderlaser.com/titan-series/</v>
      </c>
      <c r="W93" s="37" t="str">
        <f>IFERROR(__xludf.DUMMYFUNCTION("IFERROR(VLOOKUP(G93,IMPORTRANGE(""https://docs.google.com/spreadsheets/d/12RxCea4e5ggM7QGn1XE3FbLQa_-QbCNdBi90OdPjRqg"", ""'Plan de Compras'!D4:Q""), 12, 0), ""NO ESTÁ EN REQ"")"),"Técnica")</f>
        <v>Técnica</v>
      </c>
      <c r="X93" s="37" t="str">
        <f>IFERROR(__xludf.DUMMYFUNCTION("IFERROR(VLOOKUP(G93,IMPORTRANGE(""https://docs.google.com/spreadsheets/d/12RxCea4e5ggM7QGn1XE3FbLQa_-QbCNdBi90OdPjRqg"", ""'Plan de Compras'!D4:Q""), 13, 0), """")"),"INTERNACIONAL")</f>
        <v>INTERNACIONAL</v>
      </c>
      <c r="Y93" s="32" t="str">
        <f>IFERROR(__xludf.DUMMYFUNCTION("IFERROR(VLOOKUP(G93,IMPORTRANGE(""https://docs.google.com/spreadsheets/d/12RxCea4e5ggM7QGn1XE3FbLQa_-QbCNdBi90OdPjRqg"", ""'Plan de Compras'!D4:Q""), 14, 0), """")"),"JIMENA")</f>
        <v>JIMENA</v>
      </c>
      <c r="Z93" s="38" t="str">
        <f>IFERROR(__xludf.DUMMYFUNCTION("IFERROR(VLOOKUP(G93,IMPORTRANGE(""https://docs.google.com/spreadsheets/d/12RxCea4e5ggM7QGn1XE3FbLQa_-QbCNdBi90OdPjRqg"", ""'Plan de Compras'!D4:Q""), 4, 0), """")"),"CORTADORA LÁSER CO2")</f>
        <v>CORTADORA LÁSER CO2</v>
      </c>
      <c r="AA93" s="38" t="str">
        <f t="shared" si="16"/>
        <v>FALSE</v>
      </c>
      <c r="AB93" s="37" t="str">
        <f>IFERROR(__xludf.DUMMYFUNCTION("IFERROR(IF(OR(C93=TRUE,C93=""""),VLOOKUP(G93,IMPORTRANGE(""https://docs.google.com/spreadsheets/d/1z9A1Wq-kKrhRNG5RS2a2fKpY1wIhSVz2ZNmP2mOl588/edit?usp=sharing"",""REQ VF!E4:H""),4,0),""NO APLICA""),""GENERAR REQ"")"),"GENERAR REQ")</f>
        <v>GENERAR REQ</v>
      </c>
      <c r="AC93" s="37" t="str">
        <f>IFERROR(__xludf.DUMMYFUNCTION("IFERROR(QUERY(IMPORTRANGE(""https://docs.google.com/spreadsheets/d/1z9A1Wq-kKrhRNG5RS2a2fKpY1wIhSVz2ZNmP2mOl588/edit?usp=sharing"",""REQ VF!E4:Q""),""SELECT Col10, Col11, Col12 WHERE Col1 = '""&amp;G93&amp;""'"",0),""NO APLICA"")"),"NO APLICA")</f>
        <v>NO APLICA</v>
      </c>
      <c r="AD93" s="37"/>
      <c r="AE93" s="37"/>
      <c r="AF93" s="13"/>
      <c r="AG93" s="71"/>
    </row>
    <row r="94">
      <c r="A94" s="26"/>
      <c r="B94" s="26" t="b">
        <v>0</v>
      </c>
      <c r="C94" s="26" t="b">
        <v>0</v>
      </c>
      <c r="D94" s="26" t="s">
        <v>42</v>
      </c>
      <c r="E94" s="26" t="s">
        <v>36</v>
      </c>
      <c r="F94" s="59" t="s">
        <v>372</v>
      </c>
      <c r="G94" s="39" t="s">
        <v>383</v>
      </c>
      <c r="H94" s="40" t="s">
        <v>371</v>
      </c>
      <c r="I94" s="26">
        <v>3.0</v>
      </c>
      <c r="J94" s="26" t="str">
        <f>IFERROR(__xludf.DUMMYFUNCTION("VLOOKUP(G94,IMPORTRANGE(""https://docs.google.com/spreadsheets/d/12RxCea4e5ggM7QGn1XE3FbLQa_-QbCNdBi90OdPjRqg/edit?gid=1692403370#gid=1692403370"", ""'Plan de Compras'!D4:2432""), 8,0)"),"#N/A")</f>
        <v>#N/A</v>
      </c>
      <c r="K94" s="26" t="str">
        <f t="shared" si="1"/>
        <v>-</v>
      </c>
      <c r="L94" s="29"/>
      <c r="M94" s="61"/>
      <c r="N94" s="42"/>
      <c r="O94" s="32"/>
      <c r="P94" s="32"/>
      <c r="Q94" s="41"/>
      <c r="R94" s="61"/>
      <c r="S94" s="34" t="b">
        <v>0</v>
      </c>
      <c r="T94" s="35" t="s">
        <v>378</v>
      </c>
      <c r="U94" s="35" t="s">
        <v>379</v>
      </c>
      <c r="V94" s="35"/>
      <c r="W94" s="37"/>
      <c r="X94" s="37"/>
      <c r="Y94" s="32"/>
      <c r="Z94" s="38"/>
      <c r="AA94" s="38" t="str">
        <f t="shared" si="16"/>
        <v>FALSE</v>
      </c>
      <c r="AB94" s="37" t="str">
        <f>IFERROR(__xludf.DUMMYFUNCTION("IFERROR(IF(OR(C94=TRUE,C94=""""),VLOOKUP(G94,IMPORTRANGE(""https://docs.google.com/spreadsheets/d/1z9A1Wq-kKrhRNG5RS2a2fKpY1wIhSVz2ZNmP2mOl588/edit?usp=sharing"",""REQ VF!E4:H""),4,0),""NO APLICA""),""GENERAR REQ"")"),"NO APLICA")</f>
        <v>NO APLICA</v>
      </c>
      <c r="AC94" s="37" t="str">
        <f>IFERROR(__xludf.DUMMYFUNCTION("IFERROR(QUERY(IMPORTRANGE(""https://docs.google.com/spreadsheets/d/1z9A1Wq-kKrhRNG5RS2a2fKpY1wIhSVz2ZNmP2mOl588/edit?usp=sharing"",""REQ VF!E4:Q""),""SELECT Col10, Col11, Col12 WHERE Col1 = '""&amp;G94&amp;""'"",0),""NO APLICA"")"),"NO APLICA")</f>
        <v>NO APLICA</v>
      </c>
      <c r="AD94" s="37"/>
      <c r="AE94" s="37"/>
      <c r="AF94" s="13"/>
      <c r="AG94" s="13"/>
    </row>
    <row r="95">
      <c r="A95" s="26">
        <v>39.0</v>
      </c>
      <c r="B95" s="26" t="b">
        <v>1</v>
      </c>
      <c r="C95" s="26" t="b">
        <v>1</v>
      </c>
      <c r="D95" s="26" t="s">
        <v>35</v>
      </c>
      <c r="E95" s="26" t="s">
        <v>36</v>
      </c>
      <c r="F95" s="27" t="s">
        <v>372</v>
      </c>
      <c r="G95" s="39" t="s">
        <v>384</v>
      </c>
      <c r="H95" s="45" t="s">
        <v>374</v>
      </c>
      <c r="I95" s="26">
        <f>SUMIFS('Hoja 10'!$O:$O,'Hoja 10'!$F:$F,$G95)</f>
        <v>2</v>
      </c>
      <c r="J95" s="26">
        <f>IFERROR(__xludf.DUMMYFUNCTION("VLOOKUP(G95,IMPORTRANGE(""https://docs.google.com/spreadsheets/d/12RxCea4e5ggM7QGn1XE3FbLQa_-QbCNdBi90OdPjRqg/edit?gid=1692403370#gid=1692403370"", ""'Plan de Compras'!D4:2432""), 8,0)"),2.0)</f>
        <v>2</v>
      </c>
      <c r="K95" s="26" t="str">
        <f t="shared" si="1"/>
        <v>SI</v>
      </c>
      <c r="L95" s="29" t="s">
        <v>91</v>
      </c>
      <c r="M95" s="30" t="s">
        <v>92</v>
      </c>
      <c r="N95" s="42"/>
      <c r="O95" s="32" t="str">
        <f>VLOOKUP($G95,'Hoja 10'!$F$4:$AA478, 19,0)</f>
        <v>THUNDER LASER</v>
      </c>
      <c r="P95" s="32" t="str">
        <f>VLOOKUP($G95,'Hoja 10'!$F$4:$AA478, 20,0)</f>
        <v>TITAN PRO 35 CO2 120W</v>
      </c>
      <c r="Q95" s="33" t="str">
        <f>VLOOKUP($G95,'Hoja 10'!$F$4:$AA478, 21,0)</f>
        <v>https://www.thunderlaser.com/titan-series/</v>
      </c>
      <c r="R95" s="30" t="s">
        <v>385</v>
      </c>
      <c r="S95" s="34" t="b">
        <v>1</v>
      </c>
      <c r="T95" s="35" t="str">
        <f>IFERROR(__xludf.DUMMYFUNCTION(" IF
( VLOOKUP($G95,IMPORTRANGE(""https://docs.google.com/spreadsheets/d/1Gpl6jkTg7sL4VDNimUm3S9Vi1i95esohXCF3wuKOE8c"", ""'CONSOLIDADO'!G5:AB""), 10, 0) &lt;&gt; 0, 
IFERROR(VLOOKUP($G95,IMPORTRANGE(""https://docs.google.com/spreadsheets/d/1Gpl6jkTg7sL4VDNimUm3"&amp;"S9Vi1i95esohXCF3wuKOE8c"", ""'CONSOLIDADO'!G5:AB""), 17, 0), ""-""),
""""
)"),"TROTEC")</f>
        <v>TROTEC</v>
      </c>
      <c r="U95" s="35" t="str">
        <f>IFERROR(__xludf.DUMMYFUNCTION(" IF
( VLOOKUP($G95,IMPORTRANGE(""https://docs.google.com/spreadsheets/d/1Gpl6jkTg7sL4VDNimUm3S9Vi1i95esohXCF3wuKOE8c"", ""'CONSOLIDADO'!G5:AB""), 10, 0) &lt;&gt; 0, 
IFERROR(VLOOKUP($G95,IMPORTRANGE(""https://docs.google.com/spreadsheets/d/1Gpl6jkTg7sL4VDNimUm3"&amp;"S9Vi1i95esohXCF3wuKOE8c"", ""'CONSOLIDADO'!G5:AB""), 18, 0), ""-""),
""""
)"),"SPEEDY 300")</f>
        <v>SPEEDY 300</v>
      </c>
      <c r="V95" s="36" t="str">
        <f>IFERROR(__xludf.DUMMYFUNCTION(" IF
( VLOOKUP($G95,IMPORTRANGE(""https://docs.google.com/spreadsheets/d/1Gpl6jkTg7sL4VDNimUm3S9Vi1i95esohXCF3wuKOE8c"", ""'CONSOLIDADO'!G5:AB""), 10, 0) &lt;&gt; 0, 
IFERROR(VLOOKUP($G95,IMPORTRANGE(""https://docs.google.com/spreadsheets/d/1Gpl6jkTg7sL4VDNimUm3"&amp;"S9Vi1i95esohXCF3wuKOE8c"", ""'CONSOLIDADO'!G5:AB""), 19, 0), ""-""),
""""
)"),"https://www.troteclaser.com/static/pdf/speedy-300/Ficha-tecnica-Speedy-300C-8084-es.pdf")</f>
        <v>https://www.troteclaser.com/static/pdf/speedy-300/Ficha-tecnica-Speedy-300C-8084-es.pdf</v>
      </c>
      <c r="W95" s="37" t="str">
        <f>IFERROR(__xludf.DUMMYFUNCTION("IFERROR(VLOOKUP(G95,IMPORTRANGE(""https://docs.google.com/spreadsheets/d/12RxCea4e5ggM7QGn1XE3FbLQa_-QbCNdBi90OdPjRqg"", ""'Plan de Compras'!D4:Q""), 12, 0), ""NO ESTÁ EN REQ"")"),"Técnica")</f>
        <v>Técnica</v>
      </c>
      <c r="X95" s="37" t="str">
        <f>IFERROR(__xludf.DUMMYFUNCTION("IFERROR(VLOOKUP(G95,IMPORTRANGE(""https://docs.google.com/spreadsheets/d/12RxCea4e5ggM7QGn1XE3FbLQa_-QbCNdBi90OdPjRqg"", ""'Plan de Compras'!D4:Q""), 13, 0), """")"),"INTERNACIONAL")</f>
        <v>INTERNACIONAL</v>
      </c>
      <c r="Y95" s="32" t="str">
        <f>IFERROR(__xludf.DUMMYFUNCTION("IFERROR(VLOOKUP(G95,IMPORTRANGE(""https://docs.google.com/spreadsheets/d/12RxCea4e5ggM7QGn1XE3FbLQa_-QbCNdBi90OdPjRqg"", ""'Plan de Compras'!D4:Q""), 14, 0), """")"),"JIMENA")</f>
        <v>JIMENA</v>
      </c>
      <c r="Z95" s="38" t="str">
        <f>IFERROR(__xludf.DUMMYFUNCTION("IFERROR(VLOOKUP(G95,IMPORTRANGE(""https://docs.google.com/spreadsheets/d/12RxCea4e5ggM7QGn1XE3FbLQa_-QbCNdBi90OdPjRqg"", ""'Plan de Compras'!D4:Q""), 4, 0), """")"),"CORTADORA LÁSER CO2")</f>
        <v>CORTADORA LÁSER CO2</v>
      </c>
      <c r="AA95" s="38" t="str">
        <f t="shared" si="16"/>
        <v>TRUE</v>
      </c>
      <c r="AB95" s="37" t="str">
        <f>IFERROR(__xludf.DUMMYFUNCTION("IFERROR(IF(OR(C95=TRUE,C95=""""),VLOOKUP(G95,IMPORTRANGE(""https://docs.google.com/spreadsheets/d/1z9A1Wq-kKrhRNG5RS2a2fKpY1wIhSVz2ZNmP2mOl588/edit?usp=sharing"",""REQ VF!E4:H""),4,0),""NO APLICA""),""GENERAR REQ"")"),"GENERAR REQ")</f>
        <v>GENERAR REQ</v>
      </c>
      <c r="AC95" s="37" t="str">
        <f>IFERROR(__xludf.DUMMYFUNCTION("IFERROR(QUERY(IMPORTRANGE(""https://docs.google.com/spreadsheets/d/1z9A1Wq-kKrhRNG5RS2a2fKpY1wIhSVz2ZNmP2mOl588/edit?usp=sharing"",""REQ VF!E4:Q""),""SELECT Col10, Col11, Col12 WHERE Col1 = '""&amp;G95&amp;""'"",0),""NO APLICA"")"),"NO APLICA")</f>
        <v>NO APLICA</v>
      </c>
      <c r="AD95" s="37"/>
      <c r="AE95" s="37"/>
      <c r="AF95" s="13"/>
      <c r="AG95" s="13"/>
    </row>
    <row r="96">
      <c r="A96" s="26">
        <v>40.0</v>
      </c>
      <c r="B96" s="26" t="b">
        <v>1</v>
      </c>
      <c r="C96" s="26" t="b">
        <v>1</v>
      </c>
      <c r="D96" s="26" t="s">
        <v>35</v>
      </c>
      <c r="E96" s="26" t="s">
        <v>36</v>
      </c>
      <c r="F96" s="27" t="s">
        <v>386</v>
      </c>
      <c r="G96" s="37" t="s">
        <v>386</v>
      </c>
      <c r="H96" s="45" t="s">
        <v>387</v>
      </c>
      <c r="I96" s="26">
        <f>SUMIFS('Hoja 10'!$O:$O,'Hoja 10'!$F:$F,$G96)</f>
        <v>1</v>
      </c>
      <c r="J96" s="26">
        <f>IFERROR(__xludf.DUMMYFUNCTION("VLOOKUP(G96,IMPORTRANGE(""https://docs.google.com/spreadsheets/d/12RxCea4e5ggM7QGn1XE3FbLQa_-QbCNdBi90OdPjRqg/edit?gid=1692403370#gid=1692403370"", ""'Plan de Compras'!D4:2432""), 8,0)"),1.0)</f>
        <v>1</v>
      </c>
      <c r="K96" s="26" t="str">
        <f t="shared" si="1"/>
        <v>SI</v>
      </c>
      <c r="L96" s="29" t="s">
        <v>91</v>
      </c>
      <c r="M96" s="30" t="s">
        <v>92</v>
      </c>
      <c r="N96" s="26" t="s">
        <v>388</v>
      </c>
      <c r="O96" s="32" t="str">
        <f>VLOOKUP($G96,'Hoja 10'!$F$4:$AA478, 19,0)</f>
        <v>NARGESA</v>
      </c>
      <c r="P96" s="32" t="str">
        <f>VLOOKUP($G96,'Hoja 10'!$F$4:$AA478, 20,0)</f>
        <v>MC200H</v>
      </c>
      <c r="Q96" s="33" t="str">
        <f>VLOOKUP($G96,'Hoja 10'!$F$4:$AA478, 21,0)</f>
        <v>https://nargesa.com/es/maquinaria-industrial/curvadora-de-tubos-perfiles-mc200h</v>
      </c>
      <c r="R96" s="30" t="s">
        <v>389</v>
      </c>
      <c r="S96" s="34" t="b">
        <v>1</v>
      </c>
      <c r="T96" s="35" t="str">
        <f>IFERROR(__xludf.DUMMYFUNCTION(" IF
( VLOOKUP($G96,IMPORTRANGE(""https://docs.google.com/spreadsheets/d/1Gpl6jkTg7sL4VDNimUm3S9Vi1i95esohXCF3wuKOE8c"", ""'CONSOLIDADO'!G5:AB""), 10, 0) &lt;&gt; 0, 
IFERROR(VLOOKUP($G96,IMPORTRANGE(""https://docs.google.com/spreadsheets/d/1Gpl6jkTg7sL4VDNimUm3"&amp;"S9Vi1i95esohXCF3wuKOE8c"", ""'CONSOLIDADO'!G5:AB""), 17, 0), ""-""),
""""
)"),"NARGESA")</f>
        <v>NARGESA</v>
      </c>
      <c r="U96" s="35" t="str">
        <f>IFERROR(__xludf.DUMMYFUNCTION(" IF
( VLOOKUP($G96,IMPORTRANGE(""https://docs.google.com/spreadsheets/d/1Gpl6jkTg7sL4VDNimUm3S9Vi1i95esohXCF3wuKOE8c"", ""'CONSOLIDADO'!G5:AB""), 10, 0) &lt;&gt; 0, 
IFERROR(VLOOKUP($G96,IMPORTRANGE(""https://docs.google.com/spreadsheets/d/1Gpl6jkTg7sL4VDNimUm3"&amp;"S9Vi1i95esohXCF3wuKOE8c"", ""'CONSOLIDADO'!G5:AB""), 18, 0), ""-""),
""""
)"),"MC200H")</f>
        <v>MC200H</v>
      </c>
      <c r="V96" s="36" t="str">
        <f>IFERROR(__xludf.DUMMYFUNCTION(" IF
( VLOOKUP($G96,IMPORTRANGE(""https://docs.google.com/spreadsheets/d/1Gpl6jkTg7sL4VDNimUm3S9Vi1i95esohXCF3wuKOE8c"", ""'CONSOLIDADO'!G5:AB""), 10, 0) &lt;&gt; 0, 
IFERROR(VLOOKUP($G96,IMPORTRANGE(""https://docs.google.com/spreadsheets/d/1Gpl6jkTg7sL4VDNimUm3"&amp;"S9Vi1i95esohXCF3wuKOE8c"", ""'CONSOLIDADO'!G5:AB""), 19, 0), ""-""),
""""
)"),"https://nargesa.com/es/maquinaria-industrial/curvadora-de-tubos-perfiles-mc200h")</f>
        <v>https://nargesa.com/es/maquinaria-industrial/curvadora-de-tubos-perfiles-mc200h</v>
      </c>
      <c r="W96" s="37" t="str">
        <f>IFERROR(__xludf.DUMMYFUNCTION("IFERROR(VLOOKUP(G96,IMPORTRANGE(""https://docs.google.com/spreadsheets/d/12RxCea4e5ggM7QGn1XE3FbLQa_-QbCNdBi90OdPjRqg"", ""'Plan de Compras'!D4:Q""), 12, 0), ""NO ESTÁ EN REQ"")"),"Técnica")</f>
        <v>Técnica</v>
      </c>
      <c r="X96" s="37" t="str">
        <f>IFERROR(__xludf.DUMMYFUNCTION("IFERROR(VLOOKUP(G96,IMPORTRANGE(""https://docs.google.com/spreadsheets/d/12RxCea4e5ggM7QGn1XE3FbLQa_-QbCNdBi90OdPjRqg"", ""'Plan de Compras'!D4:Q""), 13, 0), """")"),"INTERNACIONAL")</f>
        <v>INTERNACIONAL</v>
      </c>
      <c r="Y96" s="32" t="str">
        <f>IFERROR(__xludf.DUMMYFUNCTION("IFERROR(VLOOKUP(G96,IMPORTRANGE(""https://docs.google.com/spreadsheets/d/12RxCea4e5ggM7QGn1XE3FbLQa_-QbCNdBi90OdPjRqg"", ""'Plan de Compras'!D4:Q""), 14, 0), """")"),"JIMENA")</f>
        <v>JIMENA</v>
      </c>
      <c r="Z96" s="38" t="str">
        <f>IFERROR(__xludf.DUMMYFUNCTION("IFERROR(VLOOKUP(G96,IMPORTRANGE(""https://docs.google.com/spreadsheets/d/12RxCea4e5ggM7QGn1XE3FbLQa_-QbCNdBi90OdPjRqg"", ""'Plan de Compras'!D4:Q""), 4, 0), """")"),"CURVADORA DE TUBOS HIDRÁULICO")</f>
        <v>CURVADORA DE TUBOS HIDRÁULICO</v>
      </c>
      <c r="AA96" s="38" t="str">
        <f t="shared" si="16"/>
        <v>TRUE</v>
      </c>
      <c r="AB96" s="37" t="str">
        <f>IFERROR(__xludf.DUMMYFUNCTION("IFERROR(IF(OR(C96=TRUE,C96=""""),VLOOKUP(G96,IMPORTRANGE(""https://docs.google.com/spreadsheets/d/1z9A1Wq-kKrhRNG5RS2a2fKpY1wIhSVz2ZNmP2mOl588/edit?usp=sharing"",""REQ VF!E4:H""),4,0),""NO APLICA""),""GENERAR REQ"")"),"GENERAR REQ")</f>
        <v>GENERAR REQ</v>
      </c>
      <c r="AC96" s="37" t="str">
        <f>IFERROR(__xludf.DUMMYFUNCTION("IFERROR(QUERY(IMPORTRANGE(""https://docs.google.com/spreadsheets/d/1z9A1Wq-kKrhRNG5RS2a2fKpY1wIhSVz2ZNmP2mOl588/edit?usp=sharing"",""REQ VF!E4:Q""),""SELECT Col10, Col11, Col12 WHERE Col1 = '""&amp;G96&amp;""'"",0),""NO APLICA"")"),"NO APLICA")</f>
        <v>NO APLICA</v>
      </c>
      <c r="AD96" s="37"/>
      <c r="AE96" s="37"/>
      <c r="AF96" s="8" t="s">
        <v>52</v>
      </c>
      <c r="AG96" s="13"/>
    </row>
    <row r="97">
      <c r="A97" s="26">
        <v>41.0</v>
      </c>
      <c r="B97" s="26" t="b">
        <v>1</v>
      </c>
      <c r="C97" s="26" t="b">
        <v>1</v>
      </c>
      <c r="D97" s="26" t="s">
        <v>35</v>
      </c>
      <c r="E97" s="26" t="s">
        <v>36</v>
      </c>
      <c r="F97" s="27" t="s">
        <v>390</v>
      </c>
      <c r="G97" s="37" t="s">
        <v>390</v>
      </c>
      <c r="H97" s="45" t="s">
        <v>391</v>
      </c>
      <c r="I97" s="26">
        <f>SUMIFS('Hoja 10'!$O:$O,'Hoja 10'!$F:$F,$G97)</f>
        <v>4</v>
      </c>
      <c r="J97" s="26">
        <f>IFERROR(__xludf.DUMMYFUNCTION("VLOOKUP(G97,IMPORTRANGE(""https://docs.google.com/spreadsheets/d/12RxCea4e5ggM7QGn1XE3FbLQa_-QbCNdBi90OdPjRqg/edit?gid=1692403370#gid=1692403370"", ""'Plan de Compras'!D4:2432""), 8,0)"),4.0)</f>
        <v>4</v>
      </c>
      <c r="K97" s="26" t="str">
        <f t="shared" si="1"/>
        <v>SI</v>
      </c>
      <c r="L97" s="29" t="s">
        <v>39</v>
      </c>
      <c r="M97" s="30" t="s">
        <v>40</v>
      </c>
      <c r="N97" s="42"/>
      <c r="O97" s="32" t="str">
        <f>VLOOKUP($G97,'Hoja 10'!$F$4:$AA478, 19,0)</f>
        <v>MAQORITO</v>
      </c>
      <c r="P97" s="32" t="str">
        <f>VLOOKUP($G97,'Hoja 10'!$F$4:$AA478, 20,0)</f>
        <v>MQD12BD</v>
      </c>
      <c r="Q97" s="33" t="str">
        <f>VLOOKUP($G97,'Hoja 10'!$F$4:$AA478, 21,0)</f>
        <v>https://www.maqorito.com/deshidratadores-de-alimentos/351-maqorito-deshidratador-de-frutas-verduras-y-alimentos-12-bandejas-acero-inoxidable.html</v>
      </c>
      <c r="R97" s="30" t="s">
        <v>392</v>
      </c>
      <c r="S97" s="34" t="b">
        <v>1</v>
      </c>
      <c r="T97" s="35" t="str">
        <f>IFERROR(__xludf.DUMMYFUNCTION(" IF
( VLOOKUP($G97,IMPORTRANGE(""https://docs.google.com/spreadsheets/d/1Gpl6jkTg7sL4VDNimUm3S9Vi1i95esohXCF3wuKOE8c"", ""'CONSOLIDADO'!G5:AB""), 10, 0) &lt;&gt; 0, 
IFERROR(VLOOKUP($G97,IMPORTRANGE(""https://docs.google.com/spreadsheets/d/1Gpl6jkTg7sL4VDNimUm3"&amp;"S9Vi1i95esohXCF3wuKOE8c"", ""'CONSOLIDADO'!G5:AB""), 17, 0), ""-""),
""""
)"),"QDMECH")</f>
        <v>QDMECH</v>
      </c>
      <c r="U97" s="35" t="str">
        <f>IFERROR(__xludf.DUMMYFUNCTION(" IF
( VLOOKUP($G97,IMPORTRANGE(""https://docs.google.com/spreadsheets/d/1Gpl6jkTg7sL4VDNimUm3S9Vi1i95esohXCF3wuKOE8c"", ""'CONSOLIDADO'!G5:AB""), 10, 0) &lt;&gt; 0, 
IFERROR(VLOOKUP($G97,IMPORTRANGE(""https://docs.google.com/spreadsheets/d/1Gpl6jkTg7sL4VDNimUm3"&amp;"S9Vi1i95esohXCF3wuKOE8c"", ""'CONSOLIDADO'!G5:AB""), 18, 0), ""-""),
""""
)"),"SS-12H/12")</f>
        <v>SS-12H/12</v>
      </c>
      <c r="V97" s="36" t="str">
        <f>IFERROR(__xludf.DUMMYFUNCTION(" IF
( VLOOKUP($G97,IMPORTRANGE(""https://docs.google.com/spreadsheets/d/1Gpl6jkTg7sL4VDNimUm3S9Vi1i95esohXCF3wuKOE8c"", ""'CONSOLIDADO'!G5:AB""), 10, 0) &lt;&gt; 0, 
IFERROR(VLOOKUP($G97,IMPORTRANGE(""https://docs.google.com/spreadsheets/d/1Gpl6jkTg7sL4VDNimUm3"&amp;"S9Vi1i95esohXCF3wuKOE8c"", ""'CONSOLIDADO'!G5:AB""), 19, 0), ""-""),
""""
)"),"https://www.alibaba.com/product-detail/QDMECH-Dryer-Fish-Dry-Machine-Dehydrator_1601448607718.html?spm=a2700.details.you_may_like.3.57ac5e13bKOVuo")</f>
        <v>https://www.alibaba.com/product-detail/QDMECH-Dryer-Fish-Dry-Machine-Dehydrator_1601448607718.html?spm=a2700.details.you_may_like.3.57ac5e13bKOVuo</v>
      </c>
      <c r="W97" s="37" t="str">
        <f>IFERROR(__xludf.DUMMYFUNCTION("IFERROR(VLOOKUP(G97,IMPORTRANGE(""https://docs.google.com/spreadsheets/d/12RxCea4e5ggM7QGn1XE3FbLQa_-QbCNdBi90OdPjRqg"", ""'Plan de Compras'!D4:Q""), 12, 0), ""NO ESTÁ EN REQ"")"),"Técnica")</f>
        <v>Técnica</v>
      </c>
      <c r="X97" s="37" t="str">
        <f>IFERROR(__xludf.DUMMYFUNCTION("IFERROR(VLOOKUP(G97,IMPORTRANGE(""https://docs.google.com/spreadsheets/d/12RxCea4e5ggM7QGn1XE3FbLQa_-QbCNdBi90OdPjRqg"", ""'Plan de Compras'!D4:Q""), 13, 0), """")"),"INTERNACIONAL")</f>
        <v>INTERNACIONAL</v>
      </c>
      <c r="Y97" s="32" t="str">
        <f>IFERROR(__xludf.DUMMYFUNCTION("IFERROR(VLOOKUP(G97,IMPORTRANGE(""https://docs.google.com/spreadsheets/d/12RxCea4e5ggM7QGn1XE3FbLQa_-QbCNdBi90OdPjRqg"", ""'Plan de Compras'!D4:Q""), 14, 0), """")"),"ALEJANDRA")</f>
        <v>ALEJANDRA</v>
      </c>
      <c r="Z97" s="38" t="str">
        <f>IFERROR(__xludf.DUMMYFUNCTION("IFERROR(VLOOKUP(G97,IMPORTRANGE(""https://docs.google.com/spreadsheets/d/12RxCea4e5ggM7QGn1XE3FbLQa_-QbCNdBi90OdPjRqg"", ""'Plan de Compras'!D4:Q""), 4, 0), """")"),"DESHIDRATADORA")</f>
        <v>DESHIDRATADORA</v>
      </c>
      <c r="AA97" s="38" t="str">
        <f t="shared" si="16"/>
        <v>TRUE</v>
      </c>
      <c r="AB97" s="37" t="str">
        <f>IFERROR(__xludf.DUMMYFUNCTION("IFERROR(IF(OR(C97=TRUE,C97=""""),VLOOKUP(G97,IMPORTRANGE(""https://docs.google.com/spreadsheets/d/1z9A1Wq-kKrhRNG5RS2a2fKpY1wIhSVz2ZNmP2mOl588/edit?usp=sharing"",""REQ VF!E4:H""),4,0),""NO APLICA""),""GENERAR REQ"")"),"GENERAR REQ")</f>
        <v>GENERAR REQ</v>
      </c>
      <c r="AC97" s="37" t="str">
        <f>IFERROR(__xludf.DUMMYFUNCTION("IFERROR(QUERY(IMPORTRANGE(""https://docs.google.com/spreadsheets/d/1z9A1Wq-kKrhRNG5RS2a2fKpY1wIhSVz2ZNmP2mOl588/edit?usp=sharing"",""REQ VF!E4:Q""),""SELECT Col10, Col11, Col12 WHERE Col1 = '""&amp;G97&amp;""'"",0),""NO APLICA"")"),"NO APLICA")</f>
        <v>NO APLICA</v>
      </c>
      <c r="AD97" s="37"/>
      <c r="AE97" s="37"/>
      <c r="AF97" s="13"/>
      <c r="AG97" s="13"/>
    </row>
    <row r="98">
      <c r="A98" s="26"/>
      <c r="B98" s="26"/>
      <c r="C98" s="26" t="b">
        <v>1</v>
      </c>
      <c r="D98" s="26" t="s">
        <v>42</v>
      </c>
      <c r="E98" s="26" t="s">
        <v>36</v>
      </c>
      <c r="F98" s="59" t="s">
        <v>390</v>
      </c>
      <c r="G98" s="39" t="s">
        <v>393</v>
      </c>
      <c r="H98" s="40" t="s">
        <v>394</v>
      </c>
      <c r="I98" s="43">
        <f>$I$97</f>
        <v>4</v>
      </c>
      <c r="J98" s="26">
        <f>IFERROR(__xludf.DUMMYFUNCTION("VLOOKUP(G98,IMPORTRANGE(""https://docs.google.com/spreadsheets/d/12RxCea4e5ggM7QGn1XE3FbLQa_-QbCNdBi90OdPjRqg/edit?gid=1692403370#gid=1692403370"", ""'Plan de Compras'!D4:2432""), 8,0)"),4.0)</f>
        <v>4</v>
      </c>
      <c r="K98" s="26" t="str">
        <f t="shared" si="1"/>
        <v>SI</v>
      </c>
      <c r="L98" s="26"/>
      <c r="M98" s="47"/>
      <c r="N98" s="26" t="s">
        <v>45</v>
      </c>
      <c r="O98" s="42"/>
      <c r="P98" s="26" t="s">
        <v>395</v>
      </c>
      <c r="Q98" s="47"/>
      <c r="R98" s="47"/>
      <c r="S98" s="34" t="b">
        <v>1</v>
      </c>
      <c r="T98" s="35" t="s">
        <v>55</v>
      </c>
      <c r="U98" s="43" t="s">
        <v>396</v>
      </c>
      <c r="V98" s="44"/>
      <c r="W98" s="37" t="str">
        <f>IFERROR(__xludf.DUMMYFUNCTION("IFERROR(VLOOKUP(G98,IMPORTRANGE(""https://docs.google.com/spreadsheets/d/12RxCea4e5ggM7QGn1XE3FbLQa_-QbCNdBi90OdPjRqg"", ""'Plan de Compras'!D4:Q""), 12, 0), ""NO ESTÁ EN REQ"")"),"Simple")</f>
        <v>Simple</v>
      </c>
      <c r="X98" s="37" t="str">
        <f>IFERROR(__xludf.DUMMYFUNCTION("IFERROR(VLOOKUP(G98,IMPORTRANGE(""https://docs.google.com/spreadsheets/d/12RxCea4e5ggM7QGn1XE3FbLQa_-QbCNdBi90OdPjRqg"", ""'Plan de Compras'!D4:Q""), 13, 0), """")"),"NACIONAL")</f>
        <v>NACIONAL</v>
      </c>
      <c r="Y98" s="32" t="str">
        <f>IFERROR(__xludf.DUMMYFUNCTION("IFERROR(VLOOKUP(G98,IMPORTRANGE(""https://docs.google.com/spreadsheets/d/12RxCea4e5ggM7QGn1XE3FbLQa_-QbCNdBi90OdPjRqg"", ""'Plan de Compras'!D4:Q""), 14, 0), """")"),"ANGIE")</f>
        <v>ANGIE</v>
      </c>
      <c r="Z98" s="38" t="str">
        <f>IFERROR(__xludf.DUMMYFUNCTION("IFERROR(VLOOKUP(G98,IMPORTRANGE(""https://docs.google.com/spreadsheets/d/12RxCea4e5ggM7QGn1XE3FbLQa_-QbCNdBi90OdPjRqg"", ""'Plan de Compras'!D4:Q""), 4, 0), """")"),"FUNDA PROTECTORA IMPERNEABLE (1 UND)")</f>
        <v>FUNDA PROTECTORA IMPERNEABLE (1 UND)</v>
      </c>
      <c r="AA98" s="38" t="str">
        <f t="shared" si="16"/>
        <v>TRUE</v>
      </c>
      <c r="AB98" s="37" t="str">
        <f>IFERROR(__xludf.DUMMYFUNCTION("IFERROR(IF(OR(C98=TRUE,C98=""""),VLOOKUP(G98,IMPORTRANGE(""https://docs.google.com/spreadsheets/d/1z9A1Wq-kKrhRNG5RS2a2fKpY1wIhSVz2ZNmP2mOl588/edit?usp=sharing"",""REQ VF!E4:H""),4,0),""NO APLICA""),""GENERAR REQ"")"),"GENERAR REQ")</f>
        <v>GENERAR REQ</v>
      </c>
      <c r="AC98" s="37" t="str">
        <f>IFERROR(__xludf.DUMMYFUNCTION("IFERROR(QUERY(IMPORTRANGE(""https://docs.google.com/spreadsheets/d/1z9A1Wq-kKrhRNG5RS2a2fKpY1wIhSVz2ZNmP2mOl588/edit?usp=sharing"",""REQ VF!E4:Q""),""SELECT Col10, Col11, Col12 WHERE Col1 = '""&amp;G98&amp;""'"",0),""NO APLICA"")"),"NO APLICA")</f>
        <v>NO APLICA</v>
      </c>
      <c r="AD98" s="37"/>
      <c r="AE98" s="37"/>
      <c r="AF98" s="13"/>
      <c r="AG98" s="13"/>
    </row>
    <row r="99">
      <c r="A99" s="26">
        <v>42.0</v>
      </c>
      <c r="B99" s="26" t="b">
        <v>1</v>
      </c>
      <c r="C99" s="26" t="b">
        <v>1</v>
      </c>
      <c r="D99" s="26" t="s">
        <v>35</v>
      </c>
      <c r="E99" s="26" t="s">
        <v>36</v>
      </c>
      <c r="F99" s="27" t="s">
        <v>397</v>
      </c>
      <c r="G99" s="39" t="s">
        <v>398</v>
      </c>
      <c r="H99" s="45" t="s">
        <v>399</v>
      </c>
      <c r="I99" s="26">
        <f>SUMIFS('Hoja 10'!$O:$O,'Hoja 10'!$F:$F,$G99)</f>
        <v>12</v>
      </c>
      <c r="J99" s="26">
        <f>IFERROR(__xludf.DUMMYFUNCTION("VLOOKUP(G99,IMPORTRANGE(""https://docs.google.com/spreadsheets/d/12RxCea4e5ggM7QGn1XE3FbLQa_-QbCNdBi90OdPjRqg/edit?gid=1692403370#gid=1692403370"", ""'Plan de Compras'!D4:2432""), 8,0)"),12.0)</f>
        <v>12</v>
      </c>
      <c r="K99" s="26" t="str">
        <f t="shared" si="1"/>
        <v>SI</v>
      </c>
      <c r="L99" s="29" t="s">
        <v>180</v>
      </c>
      <c r="M99" s="30" t="s">
        <v>181</v>
      </c>
      <c r="N99" s="42"/>
      <c r="O99" s="32" t="str">
        <f>VLOOKUP($G99,'Hoja 10'!$F$4:$AA478, 19,0)</f>
        <v>Bosch</v>
      </c>
      <c r="P99" s="32" t="str">
        <f>VLOOKUP($G99,'Hoja 10'!$F$4:$AA478, 20,0)</f>
        <v>GSR 120-LI</v>
      </c>
      <c r="Q99" s="33" t="str">
        <f>VLOOKUP($G99,'Hoja 10'!$F$4:$AA478, 21,0)</f>
        <v>https://www.pe.tiendaboschonline.com/taladro-percutor-3-8-bosch-gsb-12v-30-12v-2-baterias-y-maletin/p</v>
      </c>
      <c r="R99" s="30" t="s">
        <v>400</v>
      </c>
      <c r="S99" s="34" t="b">
        <v>1</v>
      </c>
      <c r="T99" s="35" t="str">
        <f>IFERROR(__xludf.DUMMYFUNCTION(" IF
( VLOOKUP($G99,IMPORTRANGE(""https://docs.google.com/spreadsheets/d/1Gpl6jkTg7sL4VDNimUm3S9Vi1i95esohXCF3wuKOE8c"", ""'CONSOLIDADO'!G5:AB""), 10, 0) &lt;&gt; 0, 
IFERROR(VLOOKUP($G99,IMPORTRANGE(""https://docs.google.com/spreadsheets/d/1Gpl6jkTg7sL4VDNimUm3"&amp;"S9Vi1i95esohXCF3wuKOE8c"", ""'CONSOLIDADO'!G5:AB""), 17, 0), ""-""),
""""
)"),"BOSCH")</f>
        <v>BOSCH</v>
      </c>
      <c r="U99" s="35" t="str">
        <f>IFERROR(__xludf.DUMMYFUNCTION(" IF
( VLOOKUP($G99,IMPORTRANGE(""https://docs.google.com/spreadsheets/d/1Gpl6jkTg7sL4VDNimUm3S9Vi1i95esohXCF3wuKOE8c"", ""'CONSOLIDADO'!G5:AB""), 10, 0) &lt;&gt; 0, 
IFERROR(VLOOKUP($G99,IMPORTRANGE(""https://docs.google.com/spreadsheets/d/1Gpl6jkTg7sL4VDNimUm3"&amp;"S9Vi1i95esohXCF3wuKOE8c"", ""'CONSOLIDADO'!G5:AB""), 18, 0), ""-""),
""""
)"),"GSB 12V-30")</f>
        <v>GSB 12V-30</v>
      </c>
      <c r="V99" s="36" t="str">
        <f>IFERROR(__xludf.DUMMYFUNCTION(" IF
( VLOOKUP($G99,IMPORTRANGE(""https://docs.google.com/spreadsheets/d/1Gpl6jkTg7sL4VDNimUm3S9Vi1i95esohXCF3wuKOE8c"", ""'CONSOLIDADO'!G5:AB""), 10, 0) &lt;&gt; 0, 
IFERROR(VLOOKUP($G99,IMPORTRANGE(""https://docs.google.com/spreadsheets/d/1Gpl6jkTg7sL4VDNimUm3"&amp;"S9Vi1i95esohXCF3wuKOE8c"", ""'CONSOLIDADO'!G5:AB""), 19, 0), ""-""),
""""
)"),"https://www.bosch-professional.com/pe/es/products/gsb-12v-30-06019G91E0")</f>
        <v>https://www.bosch-professional.com/pe/es/products/gsb-12v-30-06019G91E0</v>
      </c>
      <c r="W99" s="37" t="str">
        <f>IFERROR(__xludf.DUMMYFUNCTION("IFERROR(VLOOKUP(G99,IMPORTRANGE(""https://docs.google.com/spreadsheets/d/12RxCea4e5ggM7QGn1XE3FbLQa_-QbCNdBi90OdPjRqg"", ""'Plan de Compras'!D4:Q""), 12, 0), ""NO ESTÁ EN REQ"")"),"Técnica")</f>
        <v>Técnica</v>
      </c>
      <c r="X99" s="37" t="str">
        <f>IFERROR(__xludf.DUMMYFUNCTION("IFERROR(VLOOKUP(G99,IMPORTRANGE(""https://docs.google.com/spreadsheets/d/12RxCea4e5ggM7QGn1XE3FbLQa_-QbCNdBi90OdPjRqg"", ""'Plan de Compras'!D4:Q""), 13, 0), """")"),"NACIONAL")</f>
        <v>NACIONAL</v>
      </c>
      <c r="Y99" s="32" t="str">
        <f>IFERROR(__xludf.DUMMYFUNCTION("IFERROR(VLOOKUP(G99,IMPORTRANGE(""https://docs.google.com/spreadsheets/d/12RxCea4e5ggM7QGn1XE3FbLQa_-QbCNdBi90OdPjRqg"", ""'Plan de Compras'!D4:Q""), 14, 0), """")"),"DIANA")</f>
        <v>DIANA</v>
      </c>
      <c r="Z99" s="38" t="str">
        <f>IFERROR(__xludf.DUMMYFUNCTION("IFERROR(VLOOKUP(G99,IMPORTRANGE(""https://docs.google.com/spreadsheets/d/12RxCea4e5ggM7QGn1XE3FbLQa_-QbCNdBi90OdPjRqg"", ""'Plan de Compras'!D4:Q""), 4, 0), """")"),"DESTORNILLADOR INALÁMBRICO")</f>
        <v>DESTORNILLADOR INALÁMBRICO</v>
      </c>
      <c r="AA99" s="38" t="str">
        <f t="shared" si="16"/>
        <v>TRUE</v>
      </c>
      <c r="AB99" s="37" t="str">
        <f>IFERROR(__xludf.DUMMYFUNCTION("IFERROR(IF(OR(C99=TRUE,C99=""""),VLOOKUP(G99,IMPORTRANGE(""https://docs.google.com/spreadsheets/d/1z9A1Wq-kKrhRNG5RS2a2fKpY1wIhSVz2ZNmP2mOl588/edit?usp=sharing"",""REQ VF!E4:H""),4,0),""NO APLICA""),""GENERAR REQ"")"),"GENERAR REQ")</f>
        <v>GENERAR REQ</v>
      </c>
      <c r="AC99" s="37" t="str">
        <f>IFERROR(__xludf.DUMMYFUNCTION("IFERROR(QUERY(IMPORTRANGE(""https://docs.google.com/spreadsheets/d/1z9A1Wq-kKrhRNG5RS2a2fKpY1wIhSVz2ZNmP2mOl588/edit?usp=sharing"",""REQ VF!E4:Q""),""SELECT Col10, Col11, Col12 WHERE Col1 = '""&amp;G99&amp;""'"",0),""NO APLICA"")"),"NO APLICA")</f>
        <v>NO APLICA</v>
      </c>
      <c r="AD99" s="37"/>
      <c r="AE99" s="37"/>
      <c r="AF99" s="8" t="s">
        <v>52</v>
      </c>
      <c r="AG99" s="13"/>
    </row>
    <row r="100">
      <c r="A100" s="26"/>
      <c r="B100" s="26"/>
      <c r="C100" s="26" t="b">
        <v>1</v>
      </c>
      <c r="D100" s="26" t="s">
        <v>42</v>
      </c>
      <c r="E100" s="26" t="s">
        <v>36</v>
      </c>
      <c r="F100" s="59" t="s">
        <v>397</v>
      </c>
      <c r="G100" s="39" t="s">
        <v>401</v>
      </c>
      <c r="H100" s="40" t="s">
        <v>402</v>
      </c>
      <c r="I100" s="43">
        <f t="shared" ref="I100:I101" si="17">$I$99</f>
        <v>12</v>
      </c>
      <c r="J100" s="26">
        <f>IFERROR(__xludf.DUMMYFUNCTION("VLOOKUP(G100,IMPORTRANGE(""https://docs.google.com/spreadsheets/d/12RxCea4e5ggM7QGn1XE3FbLQa_-QbCNdBi90OdPjRqg/edit?gid=1692403370#gid=1692403370"", ""'Plan de Compras'!D4:2432""), 8,0)"),12.0)</f>
        <v>12</v>
      </c>
      <c r="K100" s="26" t="str">
        <f t="shared" si="1"/>
        <v>SI</v>
      </c>
      <c r="L100" s="26"/>
      <c r="M100" s="41"/>
      <c r="N100" s="26" t="s">
        <v>149</v>
      </c>
      <c r="O100" s="42"/>
      <c r="P100" s="42"/>
      <c r="Q100" s="55" t="s">
        <v>150</v>
      </c>
      <c r="R100" s="41"/>
      <c r="S100" s="34" t="b">
        <v>1</v>
      </c>
      <c r="T100" s="35" t="s">
        <v>111</v>
      </c>
      <c r="U100" s="35" t="s">
        <v>403</v>
      </c>
      <c r="V100" s="58" t="s">
        <v>152</v>
      </c>
      <c r="W100" s="37" t="str">
        <f>IFERROR(__xludf.DUMMYFUNCTION("IFERROR(VLOOKUP(G100,IMPORTRANGE(""https://docs.google.com/spreadsheets/d/12RxCea4e5ggM7QGn1XE3FbLQa_-QbCNdBi90OdPjRqg"", ""'Plan de Compras'!D4:Q""), 12, 0), ""NO ESTÁ EN REQ"")"),"Técnica")</f>
        <v>Técnica</v>
      </c>
      <c r="X100" s="37" t="str">
        <f>IFERROR(__xludf.DUMMYFUNCTION("IFERROR(VLOOKUP(G100,IMPORTRANGE(""https://docs.google.com/spreadsheets/d/12RxCea4e5ggM7QGn1XE3FbLQa_-QbCNdBi90OdPjRqg"", ""'Plan de Compras'!D4:Q""), 13, 0), """")"),"NACIONAL")</f>
        <v>NACIONAL</v>
      </c>
      <c r="Y100" s="32" t="str">
        <f>IFERROR(__xludf.DUMMYFUNCTION("IFERROR(VLOOKUP(G100,IMPORTRANGE(""https://docs.google.com/spreadsheets/d/12RxCea4e5ggM7QGn1XE3FbLQa_-QbCNdBi90OdPjRqg"", ""'Plan de Compras'!D4:Q""), 14, 0), """")"),"DIANA")</f>
        <v>DIANA</v>
      </c>
      <c r="Z100" s="38" t="str">
        <f>IFERROR(__xludf.DUMMYFUNCTION("IFERROR(VLOOKUP(G100,IMPORTRANGE(""https://docs.google.com/spreadsheets/d/12RxCea4e5ggM7QGn1XE3FbLQa_-QbCNdBi90OdPjRqg"", ""'Plan de Compras'!D4:Q""), 4, 0), """")"),"SET 32 PIEZAS DE PUNTAS DIFERENTES PARA ATORNILLAR (1 UND)")</f>
        <v>SET 32 PIEZAS DE PUNTAS DIFERENTES PARA ATORNILLAR (1 UND)</v>
      </c>
      <c r="AA100" s="38" t="str">
        <f t="shared" si="16"/>
        <v>TRUE</v>
      </c>
      <c r="AB100" s="37" t="str">
        <f>IFERROR(__xludf.DUMMYFUNCTION("IFERROR(IF(OR(C100=TRUE,C100=""""),VLOOKUP(G100,IMPORTRANGE(""https://docs.google.com/spreadsheets/d/1z9A1Wq-kKrhRNG5RS2a2fKpY1wIhSVz2ZNmP2mOl588/edit?usp=sharing"",""REQ VF!E4:H""),4,0),""NO APLICA""),""GENERAR REQ"")"),"GENERAR REQ")</f>
        <v>GENERAR REQ</v>
      </c>
      <c r="AC100" s="37" t="str">
        <f>IFERROR(__xludf.DUMMYFUNCTION("IFERROR(QUERY(IMPORTRANGE(""https://docs.google.com/spreadsheets/d/1z9A1Wq-kKrhRNG5RS2a2fKpY1wIhSVz2ZNmP2mOl588/edit?usp=sharing"",""REQ VF!E4:Q""),""SELECT Col10, Col11, Col12 WHERE Col1 = '""&amp;G100&amp;""'"",0),""NO APLICA"")"),"NO APLICA")</f>
        <v>NO APLICA</v>
      </c>
      <c r="AD100" s="37"/>
      <c r="AE100" s="37"/>
      <c r="AF100" s="8"/>
      <c r="AG100" s="13"/>
    </row>
    <row r="101">
      <c r="A101" s="26"/>
      <c r="B101" s="26"/>
      <c r="C101" s="26" t="b">
        <v>1</v>
      </c>
      <c r="D101" s="26" t="s">
        <v>42</v>
      </c>
      <c r="E101" s="26" t="s">
        <v>36</v>
      </c>
      <c r="F101" s="59" t="s">
        <v>397</v>
      </c>
      <c r="G101" s="39" t="s">
        <v>404</v>
      </c>
      <c r="H101" s="66" t="str">
        <f>UPPER("Cuerda Elástica Retráctil (proteccion anti caidas) (1 UND)")</f>
        <v>CUERDA ELÁSTICA RETRÁCTIL (PROTECCION ANTI CAIDAS) (1 UND)</v>
      </c>
      <c r="I101" s="43">
        <f t="shared" si="17"/>
        <v>12</v>
      </c>
      <c r="J101" s="26">
        <f>IFERROR(__xludf.DUMMYFUNCTION("VLOOKUP(G101,IMPORTRANGE(""https://docs.google.com/spreadsheets/d/12RxCea4e5ggM7QGn1XE3FbLQa_-QbCNdBi90OdPjRqg/edit?gid=1692403370#gid=1692403370"", ""'Plan de Compras'!D4:2432""), 8,0)"),12.0)</f>
        <v>12</v>
      </c>
      <c r="K101" s="26" t="str">
        <f t="shared" si="1"/>
        <v>SI</v>
      </c>
      <c r="L101" s="26"/>
      <c r="M101" s="41"/>
      <c r="N101" s="26"/>
      <c r="O101" s="42"/>
      <c r="P101" s="42"/>
      <c r="Q101" s="55" t="s">
        <v>405</v>
      </c>
      <c r="R101" s="41"/>
      <c r="S101" s="34" t="b">
        <v>1</v>
      </c>
      <c r="T101" s="35" t="s">
        <v>406</v>
      </c>
      <c r="U101" s="35" t="s">
        <v>407</v>
      </c>
      <c r="V101" s="44"/>
      <c r="W101" s="37" t="str">
        <f>IFERROR(__xludf.DUMMYFUNCTION("IFERROR(VLOOKUP(G101,IMPORTRANGE(""https://docs.google.com/spreadsheets/d/12RxCea4e5ggM7QGn1XE3FbLQa_-QbCNdBi90OdPjRqg"", ""'Plan de Compras'!D4:Q""), 12, 0), ""NO ESTÁ EN REQ"")"),"Técnica")</f>
        <v>Técnica</v>
      </c>
      <c r="X101" s="37" t="str">
        <f>IFERROR(__xludf.DUMMYFUNCTION("IFERROR(VLOOKUP(G101,IMPORTRANGE(""https://docs.google.com/spreadsheets/d/12RxCea4e5ggM7QGn1XE3FbLQa_-QbCNdBi90OdPjRqg"", ""'Plan de Compras'!D4:Q""), 13, 0), """")"),"INTERNACIONAL")</f>
        <v>INTERNACIONAL</v>
      </c>
      <c r="Y101" s="32" t="str">
        <f>IFERROR(__xludf.DUMMYFUNCTION("IFERROR(VLOOKUP(G101,IMPORTRANGE(""https://docs.google.com/spreadsheets/d/12RxCea4e5ggM7QGn1XE3FbLQa_-QbCNdBi90OdPjRqg"", ""'Plan de Compras'!D4:Q""), 14, 0), """")"),"ALEJANDRA")</f>
        <v>ALEJANDRA</v>
      </c>
      <c r="Z101" s="38" t="str">
        <f>IFERROR(__xludf.DUMMYFUNCTION("IFERROR(VLOOKUP(G101,IMPORTRANGE(""https://docs.google.com/spreadsheets/d/12RxCea4e5ggM7QGn1XE3FbLQa_-QbCNdBi90OdPjRqg"", ""'Plan de Compras'!D4:Q""), 4, 0), """")"),"CUERDA ELÁSTICA RETRÁCTIL (PROTECCION ANTI CAIDAS) (1 UND)")</f>
        <v>CUERDA ELÁSTICA RETRÁCTIL (PROTECCION ANTI CAIDAS) (1 UND)</v>
      </c>
      <c r="AA101" s="38" t="str">
        <f t="shared" si="16"/>
        <v>TRUE</v>
      </c>
      <c r="AB101" s="37" t="str">
        <f>IFERROR(__xludf.DUMMYFUNCTION("IFERROR(IF(OR(C101=TRUE,C101=""""),VLOOKUP(G101,IMPORTRANGE(""https://docs.google.com/spreadsheets/d/1z9A1Wq-kKrhRNG5RS2a2fKpY1wIhSVz2ZNmP2mOl588/edit?usp=sharing"",""REQ VF!E4:H""),4,0),""NO APLICA""),""GENERAR REQ"")"),"GENERAR REQ")</f>
        <v>GENERAR REQ</v>
      </c>
      <c r="AC101" s="37" t="str">
        <f>IFERROR(__xludf.DUMMYFUNCTION("IFERROR(QUERY(IMPORTRANGE(""https://docs.google.com/spreadsheets/d/1z9A1Wq-kKrhRNG5RS2a2fKpY1wIhSVz2ZNmP2mOl588/edit?usp=sharing"",""REQ VF!E4:Q""),""SELECT Col10, Col11, Col12 WHERE Col1 = '""&amp;G101&amp;""'"",0),""NO APLICA"")"),"NO APLICA")</f>
        <v>NO APLICA</v>
      </c>
      <c r="AD101" s="37"/>
      <c r="AE101" s="37"/>
      <c r="AF101" s="8"/>
      <c r="AG101" s="13"/>
    </row>
    <row r="102">
      <c r="A102" s="26">
        <v>43.0</v>
      </c>
      <c r="B102" s="26" t="b">
        <v>1</v>
      </c>
      <c r="C102" s="26" t="b">
        <v>1</v>
      </c>
      <c r="D102" s="26" t="s">
        <v>35</v>
      </c>
      <c r="E102" s="26" t="s">
        <v>36</v>
      </c>
      <c r="F102" s="27" t="s">
        <v>397</v>
      </c>
      <c r="G102" s="39" t="s">
        <v>408</v>
      </c>
      <c r="H102" s="45" t="s">
        <v>399</v>
      </c>
      <c r="I102" s="26">
        <f>SUMIFS('Hoja 10'!$O:$O,'Hoja 10'!$F:$F,$G102)</f>
        <v>8</v>
      </c>
      <c r="J102" s="26">
        <f>IFERROR(__xludf.DUMMYFUNCTION("VLOOKUP(G102,IMPORTRANGE(""https://docs.google.com/spreadsheets/d/12RxCea4e5ggM7QGn1XE3FbLQa_-QbCNdBi90OdPjRqg/edit?gid=1692403370#gid=1692403370"", ""'Plan de Compras'!D4:2432""), 8,0)"),8.0)</f>
        <v>8</v>
      </c>
      <c r="K102" s="26" t="str">
        <f t="shared" si="1"/>
        <v>SI</v>
      </c>
      <c r="L102" s="29" t="s">
        <v>296</v>
      </c>
      <c r="M102" s="30" t="s">
        <v>297</v>
      </c>
      <c r="N102" s="42"/>
      <c r="O102" s="32" t="str">
        <f>VLOOKUP($G102,'Hoja 10'!$F$4:$AA478, 19,0)</f>
        <v>BOSCH</v>
      </c>
      <c r="P102" s="32" t="str">
        <f>VLOOKUP($G102,'Hoja 10'!$F$4:$AA478, 20,0)</f>
        <v>GSR 185-LI</v>
      </c>
      <c r="Q102" s="33" t="str">
        <f>VLOOKUP($G102,'Hoja 10'!$F$4:$AA478, 21,0)</f>
        <v>https://www.bosch-professional.com/cl/es/products/gsr-185-li-06019K30E0</v>
      </c>
      <c r="R102" s="30" t="s">
        <v>409</v>
      </c>
      <c r="S102" s="34" t="b">
        <v>1</v>
      </c>
      <c r="T102" s="35" t="str">
        <f>IFERROR(__xludf.DUMMYFUNCTION(" IF
( VLOOKUP($G102,IMPORTRANGE(""https://docs.google.com/spreadsheets/d/1Gpl6jkTg7sL4VDNimUm3S9Vi1i95esohXCF3wuKOE8c"", ""'CONSOLIDADO'!G5:AB""), 10, 0) &lt;&gt; 0, 
IFERROR(VLOOKUP($G102,IMPORTRANGE(""https://docs.google.com/spreadsheets/d/1Gpl6jkTg7sL4VDNimU"&amp;"m3S9Vi1i95esohXCF3wuKOE8c"", ""'CONSOLIDADO'!G5:AB""), 17, 0), ""-""),
""""
)"),"BOSCH")</f>
        <v>BOSCH</v>
      </c>
      <c r="U102" s="35" t="str">
        <f>IFERROR(__xludf.DUMMYFUNCTION(" IF
( VLOOKUP($G102,IMPORTRANGE(""https://docs.google.com/spreadsheets/d/1Gpl6jkTg7sL4VDNimUm3S9Vi1i95esohXCF3wuKOE8c"", ""'CONSOLIDADO'!G5:AB""), 10, 0) &lt;&gt; 0, 
IFERROR(VLOOKUP($G102,IMPORTRANGE(""https://docs.google.com/spreadsheets/d/1Gpl6jkTg7sL4VDNimU"&amp;"m3S9Vi1i95esohXCF3wuKOE8c"", ""'CONSOLIDADO'!G5:AB""), 18, 0), ""-""),
""""
)"),"GSR 185-LI")</f>
        <v>GSR 185-LI</v>
      </c>
      <c r="V102" s="36" t="str">
        <f>IFERROR(__xludf.DUMMYFUNCTION(" IF
( VLOOKUP($G102,IMPORTRANGE(""https://docs.google.com/spreadsheets/d/1Gpl6jkTg7sL4VDNimUm3S9Vi1i95esohXCF3wuKOE8c"", ""'CONSOLIDADO'!G5:AB""), 10, 0) &lt;&gt; 0, 
IFERROR(VLOOKUP($G102,IMPORTRANGE(""https://docs.google.com/spreadsheets/d/1Gpl6jkTg7sL4VDNimU"&amp;"m3S9Vi1i95esohXCF3wuKOE8c"", ""'CONSOLIDADO'!G5:AB""), 19, 0), ""-""),
""""
)"),"https://www.bosch-professional.com/cl/es/products/gsr-185-li-06019K30E0")</f>
        <v>https://www.bosch-professional.com/cl/es/products/gsr-185-li-06019K30E0</v>
      </c>
      <c r="W102" s="37" t="str">
        <f>IFERROR(__xludf.DUMMYFUNCTION("IFERROR(VLOOKUP(G102,IMPORTRANGE(""https://docs.google.com/spreadsheets/d/12RxCea4e5ggM7QGn1XE3FbLQa_-QbCNdBi90OdPjRqg"", ""'Plan de Compras'!D4:Q""), 12, 0), ""NO ESTÁ EN REQ"")"),"Técnica")</f>
        <v>Técnica</v>
      </c>
      <c r="X102" s="37" t="str">
        <f>IFERROR(__xludf.DUMMYFUNCTION("IFERROR(VLOOKUP(G102,IMPORTRANGE(""https://docs.google.com/spreadsheets/d/12RxCea4e5ggM7QGn1XE3FbLQa_-QbCNdBi90OdPjRqg"", ""'Plan de Compras'!D4:Q""), 13, 0), """")"),"NACIONAL")</f>
        <v>NACIONAL</v>
      </c>
      <c r="Y102" s="32" t="str">
        <f>IFERROR(__xludf.DUMMYFUNCTION("IFERROR(VLOOKUP(G102,IMPORTRANGE(""https://docs.google.com/spreadsheets/d/12RxCea4e5ggM7QGn1XE3FbLQa_-QbCNdBi90OdPjRqg"", ""'Plan de Compras'!D4:Q""), 14, 0), """")"),"DIANA")</f>
        <v>DIANA</v>
      </c>
      <c r="Z102" s="38" t="str">
        <f>IFERROR(__xludf.DUMMYFUNCTION("IFERROR(VLOOKUP(G102,IMPORTRANGE(""https://docs.google.com/spreadsheets/d/12RxCea4e5ggM7QGn1XE3FbLQa_-QbCNdBi90OdPjRqg"", ""'Plan de Compras'!D4:Q""), 4, 0), """")"),"DESTORNILLADOR INALÁMBRICO")</f>
        <v>DESTORNILLADOR INALÁMBRICO</v>
      </c>
      <c r="AA102" s="38" t="str">
        <f t="shared" si="16"/>
        <v>TRUE</v>
      </c>
      <c r="AB102" s="37" t="str">
        <f>IFERROR(__xludf.DUMMYFUNCTION("IFERROR(IF(OR(C102=TRUE,C102=""""),VLOOKUP(G102,IMPORTRANGE(""https://docs.google.com/spreadsheets/d/1z9A1Wq-kKrhRNG5RS2a2fKpY1wIhSVz2ZNmP2mOl588/edit?usp=sharing"",""REQ VF!E4:H""),4,0),""NO APLICA""),""GENERAR REQ"")"),"GENERAR REQ")</f>
        <v>GENERAR REQ</v>
      </c>
      <c r="AC102" s="37" t="str">
        <f>IFERROR(__xludf.DUMMYFUNCTION("IFERROR(QUERY(IMPORTRANGE(""https://docs.google.com/spreadsheets/d/1z9A1Wq-kKrhRNG5RS2a2fKpY1wIhSVz2ZNmP2mOl588/edit?usp=sharing"",""REQ VF!E4:Q""),""SELECT Col10, Col11, Col12 WHERE Col1 = '""&amp;G102&amp;""'"",0),""NO APLICA"")"),"NO APLICA")</f>
        <v>NO APLICA</v>
      </c>
      <c r="AD102" s="37"/>
      <c r="AE102" s="37"/>
      <c r="AF102" s="8" t="s">
        <v>52</v>
      </c>
      <c r="AG102" s="13"/>
    </row>
    <row r="103">
      <c r="A103" s="26"/>
      <c r="B103" s="26"/>
      <c r="C103" s="26" t="b">
        <v>1</v>
      </c>
      <c r="D103" s="26" t="s">
        <v>42</v>
      </c>
      <c r="E103" s="26" t="s">
        <v>36</v>
      </c>
      <c r="F103" s="59" t="s">
        <v>397</v>
      </c>
      <c r="G103" s="39" t="s">
        <v>410</v>
      </c>
      <c r="H103" s="40" t="s">
        <v>402</v>
      </c>
      <c r="I103" s="43">
        <f t="shared" ref="I103:I104" si="18">$I$102</f>
        <v>8</v>
      </c>
      <c r="J103" s="26">
        <f>IFERROR(__xludf.DUMMYFUNCTION("VLOOKUP(G103,IMPORTRANGE(""https://docs.google.com/spreadsheets/d/12RxCea4e5ggM7QGn1XE3FbLQa_-QbCNdBi90OdPjRqg/edit?gid=1692403370#gid=1692403370"", ""'Plan de Compras'!D4:2432""), 8,0)"),8.0)</f>
        <v>8</v>
      </c>
      <c r="K103" s="26" t="str">
        <f t="shared" si="1"/>
        <v>SI</v>
      </c>
      <c r="L103" s="26"/>
      <c r="M103" s="41"/>
      <c r="N103" s="26" t="s">
        <v>149</v>
      </c>
      <c r="O103" s="42"/>
      <c r="P103" s="42"/>
      <c r="Q103" s="55" t="s">
        <v>150</v>
      </c>
      <c r="R103" s="41"/>
      <c r="S103" s="34" t="b">
        <v>1</v>
      </c>
      <c r="T103" s="35" t="s">
        <v>111</v>
      </c>
      <c r="U103" s="35" t="s">
        <v>403</v>
      </c>
      <c r="V103" s="58" t="s">
        <v>152</v>
      </c>
      <c r="W103" s="37" t="str">
        <f>IFERROR(__xludf.DUMMYFUNCTION("IFERROR(VLOOKUP(G103,IMPORTRANGE(""https://docs.google.com/spreadsheets/d/12RxCea4e5ggM7QGn1XE3FbLQa_-QbCNdBi90OdPjRqg"", ""'Plan de Compras'!D4:Q""), 12, 0), ""NO ESTÁ EN REQ"")"),"Técnica")</f>
        <v>Técnica</v>
      </c>
      <c r="X103" s="37" t="str">
        <f>IFERROR(__xludf.DUMMYFUNCTION("IFERROR(VLOOKUP(G103,IMPORTRANGE(""https://docs.google.com/spreadsheets/d/12RxCea4e5ggM7QGn1XE3FbLQa_-QbCNdBi90OdPjRqg"", ""'Plan de Compras'!D4:Q""), 13, 0), """")"),"NACIONAL")</f>
        <v>NACIONAL</v>
      </c>
      <c r="Y103" s="32" t="str">
        <f>IFERROR(__xludf.DUMMYFUNCTION("IFERROR(VLOOKUP(G103,IMPORTRANGE(""https://docs.google.com/spreadsheets/d/12RxCea4e5ggM7QGn1XE3FbLQa_-QbCNdBi90OdPjRqg"", ""'Plan de Compras'!D4:Q""), 14, 0), """")"),"DIANA")</f>
        <v>DIANA</v>
      </c>
      <c r="Z103" s="38" t="str">
        <f>IFERROR(__xludf.DUMMYFUNCTION("IFERROR(VLOOKUP(G103,IMPORTRANGE(""https://docs.google.com/spreadsheets/d/12RxCea4e5ggM7QGn1XE3FbLQa_-QbCNdBi90OdPjRqg"", ""'Plan de Compras'!D4:Q""), 4, 0), """")"),"SET 32 PIEZAS DE PUNTAS DIFERENTES PARA ATORNILLAR (1 UND)")</f>
        <v>SET 32 PIEZAS DE PUNTAS DIFERENTES PARA ATORNILLAR (1 UND)</v>
      </c>
      <c r="AA103" s="38" t="str">
        <f t="shared" si="16"/>
        <v>TRUE</v>
      </c>
      <c r="AB103" s="37" t="str">
        <f>IFERROR(__xludf.DUMMYFUNCTION("IFERROR(IF(OR(C103=TRUE,C103=""""),VLOOKUP(G103,IMPORTRANGE(""https://docs.google.com/spreadsheets/d/1z9A1Wq-kKrhRNG5RS2a2fKpY1wIhSVz2ZNmP2mOl588/edit?usp=sharing"",""REQ VF!E4:H""),4,0),""NO APLICA""),""GENERAR REQ"")"),"GENERAR REQ")</f>
        <v>GENERAR REQ</v>
      </c>
      <c r="AC103" s="37" t="str">
        <f>IFERROR(__xludf.DUMMYFUNCTION("IFERROR(QUERY(IMPORTRANGE(""https://docs.google.com/spreadsheets/d/1z9A1Wq-kKrhRNG5RS2a2fKpY1wIhSVz2ZNmP2mOl588/edit?usp=sharing"",""REQ VF!E4:Q""),""SELECT Col10, Col11, Col12 WHERE Col1 = '""&amp;G103&amp;""'"",0),""NO APLICA"")"),"NO APLICA")</f>
        <v>NO APLICA</v>
      </c>
      <c r="AD103" s="37"/>
      <c r="AE103" s="37"/>
      <c r="AF103" s="8"/>
      <c r="AG103" s="13"/>
    </row>
    <row r="104">
      <c r="A104" s="26"/>
      <c r="B104" s="26"/>
      <c r="C104" s="26" t="b">
        <v>1</v>
      </c>
      <c r="D104" s="26" t="s">
        <v>42</v>
      </c>
      <c r="E104" s="26" t="s">
        <v>36</v>
      </c>
      <c r="F104" s="59" t="s">
        <v>397</v>
      </c>
      <c r="G104" s="39" t="s">
        <v>411</v>
      </c>
      <c r="H104" s="40" t="s">
        <v>412</v>
      </c>
      <c r="I104" s="43">
        <f t="shared" si="18"/>
        <v>8</v>
      </c>
      <c r="J104" s="26">
        <f>IFERROR(__xludf.DUMMYFUNCTION("VLOOKUP(G104,IMPORTRANGE(""https://docs.google.com/spreadsheets/d/12RxCea4e5ggM7QGn1XE3FbLQa_-QbCNdBi90OdPjRqg/edit?gid=1692403370#gid=1692403370"", ""'Plan de Compras'!D4:2432""), 8,0)"),8.0)</f>
        <v>8</v>
      </c>
      <c r="K104" s="26" t="str">
        <f t="shared" si="1"/>
        <v>SI</v>
      </c>
      <c r="L104" s="26"/>
      <c r="M104" s="41"/>
      <c r="N104" s="26"/>
      <c r="O104" s="42"/>
      <c r="P104" s="42"/>
      <c r="Q104" s="54"/>
      <c r="R104" s="41"/>
      <c r="S104" s="34" t="b">
        <v>1</v>
      </c>
      <c r="T104" s="35" t="s">
        <v>406</v>
      </c>
      <c r="U104" s="35" t="s">
        <v>407</v>
      </c>
      <c r="V104" s="44"/>
      <c r="W104" s="37" t="str">
        <f>IFERROR(__xludf.DUMMYFUNCTION("IFERROR(VLOOKUP(G104,IMPORTRANGE(""https://docs.google.com/spreadsheets/d/12RxCea4e5ggM7QGn1XE3FbLQa_-QbCNdBi90OdPjRqg"", ""'Plan de Compras'!D4:Q""), 12, 0), ""NO ESTÁ EN REQ"")"),"Técnica")</f>
        <v>Técnica</v>
      </c>
      <c r="X104" s="37" t="str">
        <f>IFERROR(__xludf.DUMMYFUNCTION("IFERROR(VLOOKUP(G104,IMPORTRANGE(""https://docs.google.com/spreadsheets/d/12RxCea4e5ggM7QGn1XE3FbLQa_-QbCNdBi90OdPjRqg"", ""'Plan de Compras'!D4:Q""), 13, 0), """")"),"INTERNACIONAL")</f>
        <v>INTERNACIONAL</v>
      </c>
      <c r="Y104" s="32" t="str">
        <f>IFERROR(__xludf.DUMMYFUNCTION("IFERROR(VLOOKUP(G104,IMPORTRANGE(""https://docs.google.com/spreadsheets/d/12RxCea4e5ggM7QGn1XE3FbLQa_-QbCNdBi90OdPjRqg"", ""'Plan de Compras'!D4:Q""), 14, 0), """")"),"ALEJANDRA")</f>
        <v>ALEJANDRA</v>
      </c>
      <c r="Z104" s="38" t="str">
        <f>IFERROR(__xludf.DUMMYFUNCTION("IFERROR(VLOOKUP(G104,IMPORTRANGE(""https://docs.google.com/spreadsheets/d/12RxCea4e5ggM7QGn1XE3FbLQa_-QbCNdBi90OdPjRqg"", ""'Plan de Compras'!D4:Q""), 4, 0), """")"),"CUERDA RETRACTIL")</f>
        <v>CUERDA RETRACTIL</v>
      </c>
      <c r="AA104" s="38" t="str">
        <f t="shared" si="16"/>
        <v>FALSE</v>
      </c>
      <c r="AB104" s="37" t="str">
        <f>IFERROR(__xludf.DUMMYFUNCTION("IFERROR(IF(OR(C104=TRUE,C104=""""),VLOOKUP(G104,IMPORTRANGE(""https://docs.google.com/spreadsheets/d/1z9A1Wq-kKrhRNG5RS2a2fKpY1wIhSVz2ZNmP2mOl588/edit?usp=sharing"",""REQ VF!E4:H""),4,0),""NO APLICA""),""GENERAR REQ"")"),"GENERAR REQ")</f>
        <v>GENERAR REQ</v>
      </c>
      <c r="AC104" s="37" t="str">
        <f>IFERROR(__xludf.DUMMYFUNCTION("IFERROR(QUERY(IMPORTRANGE(""https://docs.google.com/spreadsheets/d/1z9A1Wq-kKrhRNG5RS2a2fKpY1wIhSVz2ZNmP2mOl588/edit?usp=sharing"",""REQ VF!E4:Q""),""SELECT Col10, Col11, Col12 WHERE Col1 = '""&amp;G104&amp;""'"",0),""NO APLICA"")"),"NO APLICA")</f>
        <v>NO APLICA</v>
      </c>
      <c r="AD104" s="37"/>
      <c r="AE104" s="37"/>
      <c r="AF104" s="8"/>
      <c r="AG104" s="13"/>
    </row>
    <row r="105">
      <c r="A105" s="26">
        <v>44.0</v>
      </c>
      <c r="B105" s="26" t="b">
        <v>1</v>
      </c>
      <c r="C105" s="26" t="b">
        <v>1</v>
      </c>
      <c r="D105" s="26" t="s">
        <v>35</v>
      </c>
      <c r="E105" s="26" t="s">
        <v>36</v>
      </c>
      <c r="F105" s="27" t="s">
        <v>413</v>
      </c>
      <c r="G105" s="37" t="s">
        <v>413</v>
      </c>
      <c r="H105" s="45" t="s">
        <v>414</v>
      </c>
      <c r="I105" s="26">
        <f>SUMIFS('Hoja 10'!$O:$O,'Hoja 10'!$F:$F,$G105)</f>
        <v>4</v>
      </c>
      <c r="J105" s="26">
        <f>IFERROR(__xludf.DUMMYFUNCTION("VLOOKUP(G105,IMPORTRANGE(""https://docs.google.com/spreadsheets/d/12RxCea4e5ggM7QGn1XE3FbLQa_-QbCNdBi90OdPjRqg/edit?gid=1692403370#gid=1692403370"", ""'Plan de Compras'!D4:2432""), 8,0)"),4.0)</f>
        <v>4</v>
      </c>
      <c r="K105" s="26" t="str">
        <f t="shared" si="1"/>
        <v>SI</v>
      </c>
      <c r="L105" s="29" t="s">
        <v>39</v>
      </c>
      <c r="M105" s="30" t="s">
        <v>40</v>
      </c>
      <c r="N105" s="42"/>
      <c r="O105" s="32" t="str">
        <f>VLOOKUP($G105,'Hoja 10'!$F$4:$AA478, 19,0)</f>
        <v>INDUSTRIA CORTIJO</v>
      </c>
      <c r="P105" s="32" t="str">
        <f>VLOOKUP($G105,'Hoja 10'!$F$4:$AA478, 20,0)</f>
        <v>30C</v>
      </c>
      <c r="Q105" s="33" t="str">
        <f>VLOOKUP($G105,'Hoja 10'!$F$4:$AA478, 21,0)</f>
        <v>https://industriacortijo.com/producto/divisora-de-masa-30c/?srsltid=AfmBOopliGy3OEApBKKY5iTlH0ohCa6YEKXYtinLPwRHBRkekXBEeZ-K</v>
      </c>
      <c r="R105" s="61" t="s">
        <v>415</v>
      </c>
      <c r="S105" s="34" t="b">
        <v>1</v>
      </c>
      <c r="T105" s="35" t="str">
        <f>IFERROR(__xludf.DUMMYFUNCTION(" IF
( VLOOKUP($G105,IMPORTRANGE(""https://docs.google.com/spreadsheets/d/1Gpl6jkTg7sL4VDNimUm3S9Vi1i95esohXCF3wuKOE8c"", ""'CONSOLIDADO'!G5:AB""), 10, 0) &lt;&gt; 0, 
IFERROR(VLOOKUP($G105,IMPORTRANGE(""https://docs.google.com/spreadsheets/d/1Gpl6jkTg7sL4VDNimU"&amp;"m3S9Vi1i95esohXCF3wuKOE8c"", ""'CONSOLIDADO'!G5:AB""), 17, 0), ""-""),
""""
)"),"INDUSTRIA CORTIJO")</f>
        <v>INDUSTRIA CORTIJO</v>
      </c>
      <c r="U105" s="35" t="str">
        <f>IFERROR(__xludf.DUMMYFUNCTION(" IF
( VLOOKUP($G105,IMPORTRANGE(""https://docs.google.com/spreadsheets/d/1Gpl6jkTg7sL4VDNimUm3S9Vi1i95esohXCF3wuKOE8c"", ""'CONSOLIDADO'!G5:AB""), 10, 0) &lt;&gt; 0, 
IFERROR(VLOOKUP($G105,IMPORTRANGE(""https://docs.google.com/spreadsheets/d/1Gpl6jkTg7sL4VDNimU"&amp;"m3S9Vi1i95esohXCF3wuKOE8c"", ""'CONSOLIDADO'!G5:AB""), 18, 0), ""-""),
""""
)"),"30C")</f>
        <v>30C</v>
      </c>
      <c r="V105" s="36" t="str">
        <f>IFERROR(__xludf.DUMMYFUNCTION(" IF
( VLOOKUP($G105,IMPORTRANGE(""https://docs.google.com/spreadsheets/d/1Gpl6jkTg7sL4VDNimUm3S9Vi1i95esohXCF3wuKOE8c"", ""'CONSOLIDADO'!G5:AB""), 10, 0) &lt;&gt; 0, 
IFERROR(VLOOKUP($G105,IMPORTRANGE(""https://docs.google.com/spreadsheets/d/1Gpl6jkTg7sL4VDNimU"&amp;"m3S9Vi1i95esohXCF3wuKOE8c"", ""'CONSOLIDADO'!G5:AB""), 19, 0), ""-""),
""""
)"),"https://industriacortijo.com/producto/divisora-de-masa-30c/?srsltid=AfmBOopliGy3OEApBKKY5iTlH0ohCa6YEKXYtinLPwRHBRkekXBEeZ-K")</f>
        <v>https://industriacortijo.com/producto/divisora-de-masa-30c/?srsltid=AfmBOopliGy3OEApBKKY5iTlH0ohCa6YEKXYtinLPwRHBRkekXBEeZ-K</v>
      </c>
      <c r="W105" s="37" t="str">
        <f>IFERROR(__xludf.DUMMYFUNCTION("IFERROR(VLOOKUP(G105,IMPORTRANGE(""https://docs.google.com/spreadsheets/d/12RxCea4e5ggM7QGn1XE3FbLQa_-QbCNdBi90OdPjRqg"", ""'Plan de Compras'!D4:Q""), 12, 0), ""NO ESTÁ EN REQ"")"),"Técnica")</f>
        <v>Técnica</v>
      </c>
      <c r="X105" s="37" t="str">
        <f>IFERROR(__xludf.DUMMYFUNCTION("IFERROR(VLOOKUP(G105,IMPORTRANGE(""https://docs.google.com/spreadsheets/d/12RxCea4e5ggM7QGn1XE3FbLQa_-QbCNdBi90OdPjRqg"", ""'Plan de Compras'!D4:Q""), 13, 0), """")"),"NACIONAL")</f>
        <v>NACIONAL</v>
      </c>
      <c r="Y105" s="32" t="str">
        <f>IFERROR(__xludf.DUMMYFUNCTION("IFERROR(VLOOKUP(G105,IMPORTRANGE(""https://docs.google.com/spreadsheets/d/12RxCea4e5ggM7QGn1XE3FbLQa_-QbCNdBi90OdPjRqg"", ""'Plan de Compras'!D4:Q""), 14, 0), """")"),"GEANFRANCO")</f>
        <v>GEANFRANCO</v>
      </c>
      <c r="Z105" s="38" t="str">
        <f>IFERROR(__xludf.DUMMYFUNCTION("IFERROR(VLOOKUP(G105,IMPORTRANGE(""https://docs.google.com/spreadsheets/d/12RxCea4e5ggM7QGn1XE3FbLQa_-QbCNdBi90OdPjRqg"", ""'Plan de Compras'!D4:Q""), 4, 0), """")"),"DIVISORA DE PAN")</f>
        <v>DIVISORA DE PAN</v>
      </c>
      <c r="AA105" s="38" t="str">
        <f t="shared" si="16"/>
        <v>TRUE</v>
      </c>
      <c r="AB105" s="37" t="str">
        <f>IFERROR(__xludf.DUMMYFUNCTION("IFERROR(IF(OR(C105=TRUE,C105=""""),VLOOKUP(G105,IMPORTRANGE(""https://docs.google.com/spreadsheets/d/1z9A1Wq-kKrhRNG5RS2a2fKpY1wIhSVz2ZNmP2mOl588/edit?usp=sharing"",""REQ VF!E4:H""),4,0),""NO APLICA""),""GENERAR REQ"")"),"GENERAR REQ")</f>
        <v>GENERAR REQ</v>
      </c>
      <c r="AC105" s="37" t="str">
        <f>IFERROR(__xludf.DUMMYFUNCTION("IFERROR(QUERY(IMPORTRANGE(""https://docs.google.com/spreadsheets/d/1z9A1Wq-kKrhRNG5RS2a2fKpY1wIhSVz2ZNmP2mOl588/edit?usp=sharing"",""REQ VF!E4:Q""),""SELECT Col10, Col11, Col12 WHERE Col1 = '""&amp;G105&amp;""'"",0),""NO APLICA"")"),"NO APLICA")</f>
        <v>NO APLICA</v>
      </c>
      <c r="AD105" s="37"/>
      <c r="AE105" s="37"/>
      <c r="AF105" s="13"/>
      <c r="AG105" s="13"/>
    </row>
    <row r="106">
      <c r="A106" s="26"/>
      <c r="B106" s="26"/>
      <c r="C106" s="26" t="b">
        <v>1</v>
      </c>
      <c r="D106" s="26" t="s">
        <v>42</v>
      </c>
      <c r="E106" s="26" t="s">
        <v>36</v>
      </c>
      <c r="F106" s="59" t="s">
        <v>413</v>
      </c>
      <c r="G106" s="39" t="s">
        <v>416</v>
      </c>
      <c r="H106" s="40" t="s">
        <v>44</v>
      </c>
      <c r="I106" s="43">
        <f>$I$105</f>
        <v>4</v>
      </c>
      <c r="J106" s="26">
        <f>IFERROR(__xludf.DUMMYFUNCTION("VLOOKUP(G106,IMPORTRANGE(""https://docs.google.com/spreadsheets/d/12RxCea4e5ggM7QGn1XE3FbLQa_-QbCNdBi90OdPjRqg/edit?gid=1692403370#gid=1692403370"", ""'Plan de Compras'!D4:2432""), 8,0)"),4.0)</f>
        <v>4</v>
      </c>
      <c r="K106" s="26" t="str">
        <f t="shared" si="1"/>
        <v>SI</v>
      </c>
      <c r="L106" s="26"/>
      <c r="M106" s="47"/>
      <c r="N106" s="26" t="s">
        <v>45</v>
      </c>
      <c r="O106" s="42"/>
      <c r="P106" s="26" t="s">
        <v>417</v>
      </c>
      <c r="Q106" s="47"/>
      <c r="R106" s="47"/>
      <c r="S106" s="34" t="b">
        <v>1</v>
      </c>
      <c r="T106" s="35" t="s">
        <v>47</v>
      </c>
      <c r="U106" s="43" t="s">
        <v>418</v>
      </c>
      <c r="V106" s="44"/>
      <c r="W106" s="37" t="str">
        <f>IFERROR(__xludf.DUMMYFUNCTION("IFERROR(VLOOKUP(G106,IMPORTRANGE(""https://docs.google.com/spreadsheets/d/12RxCea4e5ggM7QGn1XE3FbLQa_-QbCNdBi90OdPjRqg"", ""'Plan de Compras'!D4:Q""), 12, 0), ""NO ESTÁ EN REQ"")"),"Simple")</f>
        <v>Simple</v>
      </c>
      <c r="X106" s="37" t="str">
        <f>IFERROR(__xludf.DUMMYFUNCTION("IFERROR(VLOOKUP(G106,IMPORTRANGE(""https://docs.google.com/spreadsheets/d/12RxCea4e5ggM7QGn1XE3FbLQa_-QbCNdBi90OdPjRqg"", ""'Plan de Compras'!D4:Q""), 13, 0), """")"),"NACIONAL")</f>
        <v>NACIONAL</v>
      </c>
      <c r="Y106" s="32" t="str">
        <f>IFERROR(__xludf.DUMMYFUNCTION("IFERROR(VLOOKUP(G106,IMPORTRANGE(""https://docs.google.com/spreadsheets/d/12RxCea4e5ggM7QGn1XE3FbLQa_-QbCNdBi90OdPjRqg"", ""'Plan de Compras'!D4:Q""), 14, 0), """")"),"ANGIE")</f>
        <v>ANGIE</v>
      </c>
      <c r="Z106" s="38" t="str">
        <f>IFERROR(__xludf.DUMMYFUNCTION("IFERROR(VLOOKUP(G106,IMPORTRANGE(""https://docs.google.com/spreadsheets/d/12RxCea4e5ggM7QGn1XE3FbLQa_-QbCNdBi90OdPjRqg"", ""'Plan de Compras'!D4:Q""), 4, 0), """")"),"FUNDA IMPERMEABLE (1 UND)")</f>
        <v>FUNDA IMPERMEABLE (1 UND)</v>
      </c>
      <c r="AA106" s="38" t="str">
        <f t="shared" si="16"/>
        <v>TRUE</v>
      </c>
      <c r="AB106" s="37" t="str">
        <f>IFERROR(__xludf.DUMMYFUNCTION("IFERROR(IF(OR(C106=TRUE,C106=""""),VLOOKUP(G106,IMPORTRANGE(""https://docs.google.com/spreadsheets/d/1z9A1Wq-kKrhRNG5RS2a2fKpY1wIhSVz2ZNmP2mOl588/edit?usp=sharing"",""REQ VF!E4:H""),4,0),""NO APLICA""),""GENERAR REQ"")"),"GENERAR REQ")</f>
        <v>GENERAR REQ</v>
      </c>
      <c r="AC106" s="37" t="str">
        <f>IFERROR(__xludf.DUMMYFUNCTION("IFERROR(QUERY(IMPORTRANGE(""https://docs.google.com/spreadsheets/d/1z9A1Wq-kKrhRNG5RS2a2fKpY1wIhSVz2ZNmP2mOl588/edit?usp=sharing"",""REQ VF!E4:Q""),""SELECT Col10, Col11, Col12 WHERE Col1 = '""&amp;G106&amp;""'"",0),""NO APLICA"")"),"NO APLICA")</f>
        <v>NO APLICA</v>
      </c>
      <c r="AD106" s="37"/>
      <c r="AE106" s="37"/>
      <c r="AF106" s="13"/>
      <c r="AG106" s="13"/>
    </row>
    <row r="107">
      <c r="A107" s="26">
        <v>45.0</v>
      </c>
      <c r="B107" s="26" t="b">
        <v>1</v>
      </c>
      <c r="C107" s="26" t="b">
        <v>1</v>
      </c>
      <c r="D107" s="26" t="s">
        <v>35</v>
      </c>
      <c r="E107" s="26" t="s">
        <v>36</v>
      </c>
      <c r="F107" s="27" t="s">
        <v>419</v>
      </c>
      <c r="G107" s="37" t="s">
        <v>419</v>
      </c>
      <c r="H107" s="45" t="s">
        <v>420</v>
      </c>
      <c r="I107" s="26">
        <f>SUMIFS('Hoja 10'!$O:$O,'Hoja 10'!$F:$F,$G107)</f>
        <v>1</v>
      </c>
      <c r="J107" s="26">
        <f>IFERROR(__xludf.DUMMYFUNCTION("VLOOKUP(G107,IMPORTRANGE(""https://docs.google.com/spreadsheets/d/12RxCea4e5ggM7QGn1XE3FbLQa_-QbCNdBi90OdPjRqg/edit?gid=1692403370#gid=1692403370"", ""'Plan de Compras'!D4:2432""), 8,0)"),1.0)</f>
        <v>1</v>
      </c>
      <c r="K107" s="26" t="str">
        <f t="shared" si="1"/>
        <v>SI</v>
      </c>
      <c r="L107" s="29" t="s">
        <v>127</v>
      </c>
      <c r="M107" s="30" t="s">
        <v>105</v>
      </c>
      <c r="N107" s="42"/>
      <c r="O107" s="32" t="str">
        <f>VLOOKUP($G107,'Hoja 10'!$F$4:$AA478, 19,0)</f>
        <v>LAUNCH</v>
      </c>
      <c r="P107" s="32" t="str">
        <f>VLOOKUP($G107,'Hoja 10'!$F$4:$AA478, 20,0)</f>
        <v>TLT440/455WA</v>
      </c>
      <c r="Q107" s="33" t="str">
        <f>VLOOKUP($G107,'Hoja 10'!$F$4:$AA478, 21,0)</f>
        <v>https://www.launchiberica.com/wp-content/uploads/2025/06/Familia-elevadores-TLT-LAUNCH-25.pdf</v>
      </c>
      <c r="R107" s="30" t="s">
        <v>421</v>
      </c>
      <c r="S107" s="34" t="b">
        <v>1</v>
      </c>
      <c r="T107" s="35" t="str">
        <f>IFERROR(__xludf.DUMMYFUNCTION(" IF
( VLOOKUP($G107,IMPORTRANGE(""https://docs.google.com/spreadsheets/d/1Gpl6jkTg7sL4VDNimUm3S9Vi1i95esohXCF3wuKOE8c"", ""'CONSOLIDADO'!G5:AB""), 10, 0) &lt;&gt; 0, 
IFERROR(VLOOKUP($G107,IMPORTRANGE(""https://docs.google.com/spreadsheets/d/1Gpl6jkTg7sL4VDNimU"&amp;"m3S9Vi1i95esohXCF3wuKOE8c"", ""'CONSOLIDADO'!G5:AB""), 17, 0), ""-""),
""""
)"),"TLAUNCH")</f>
        <v>TLAUNCH</v>
      </c>
      <c r="U107" s="35" t="str">
        <f>IFERROR(__xludf.DUMMYFUNCTION(" IF
( VLOOKUP($G107,IMPORTRANGE(""https://docs.google.com/spreadsheets/d/1Gpl6jkTg7sL4VDNimUm3S9Vi1i95esohXCF3wuKOE8c"", ""'CONSOLIDADO'!G5:AB""), 10, 0) &lt;&gt; 0, 
IFERROR(VLOOKUP($G107,IMPORTRANGE(""https://docs.google.com/spreadsheets/d/1Gpl6jkTg7sL4VDNimU"&amp;"m3S9Vi1i95esohXCF3wuKOE8c"", ""'CONSOLIDADO'!G5:AB""), 18, 0), ""-""),
""""
)"),"Tlt440")</f>
        <v>Tlt440</v>
      </c>
      <c r="V107" s="36" t="str">
        <f>IFERROR(__xludf.DUMMYFUNCTION(" IF
( VLOOKUP($G107,IMPORTRANGE(""https://docs.google.com/spreadsheets/d/1Gpl6jkTg7sL4VDNimUm3S9Vi1i95esohXCF3wuKOE8c"", ""'CONSOLIDADO'!G5:AB""), 10, 0) &lt;&gt; 0, 
IFERROR(VLOOKUP($G107,IMPORTRANGE(""https://docs.google.com/spreadsheets/d/1Gpl6jkTg7sL4VDNimU"&amp;"m3S9Vi1i95esohXCF3wuKOE8c"", ""'CONSOLIDADO'!G5:AB""), 19, 0), ""-""),
""""
)"),"https://www.made-in-china.com/showroom/huaishu1023/product-detailrSKJQnxuVMpN/China-Launch-Four-Post-Lift-Tlt440-Tlt440W.html?utm_source=chatgpt.com")</f>
        <v>https://www.made-in-china.com/showroom/huaishu1023/product-detailrSKJQnxuVMpN/China-Launch-Four-Post-Lift-Tlt440-Tlt440W.html?utm_source=chatgpt.com</v>
      </c>
      <c r="W107" s="37" t="str">
        <f>IFERROR(__xludf.DUMMYFUNCTION("IFERROR(VLOOKUP(G107,IMPORTRANGE(""https://docs.google.com/spreadsheets/d/12RxCea4e5ggM7QGn1XE3FbLQa_-QbCNdBi90OdPjRqg"", ""'Plan de Compras'!D4:Q""), 12, 0), ""NO ESTÁ EN REQ"")"),"Técnica")</f>
        <v>Técnica</v>
      </c>
      <c r="X107" s="37" t="str">
        <f>IFERROR(__xludf.DUMMYFUNCTION("IFERROR(VLOOKUP(G107,IMPORTRANGE(""https://docs.google.com/spreadsheets/d/12RxCea4e5ggM7QGn1XE3FbLQa_-QbCNdBi90OdPjRqg"", ""'Plan de Compras'!D4:Q""), 13, 0), """")"),"INTERNACIONAL")</f>
        <v>INTERNACIONAL</v>
      </c>
      <c r="Y107" s="32" t="str">
        <f>IFERROR(__xludf.DUMMYFUNCTION("IFERROR(VLOOKUP(G107,IMPORTRANGE(""https://docs.google.com/spreadsheets/d/12RxCea4e5ggM7QGn1XE3FbLQa_-QbCNdBi90OdPjRqg"", ""'Plan de Compras'!D4:Q""), 14, 0), """")"),"GEYDI")</f>
        <v>GEYDI</v>
      </c>
      <c r="Z107" s="38" t="str">
        <f>IFERROR(__xludf.DUMMYFUNCTION("IFERROR(VLOOKUP(G107,IMPORTRANGE(""https://docs.google.com/spreadsheets/d/12RxCea4e5ggM7QGn1XE3FbLQa_-QbCNdBi90OdPjRqg"", ""'Plan de Compras'!D4:Q""), 4, 0), """")"),"ELEVADOR DE COLUMNAS HIDRÁULICO")</f>
        <v>ELEVADOR DE COLUMNAS HIDRÁULICO</v>
      </c>
      <c r="AA107" s="38" t="str">
        <f t="shared" si="16"/>
        <v>TRUE</v>
      </c>
      <c r="AB107" s="37" t="str">
        <f>IFERROR(__xludf.DUMMYFUNCTION("IFERROR(IF(OR(C107=TRUE,C107=""""),VLOOKUP(G107,IMPORTRANGE(""https://docs.google.com/spreadsheets/d/1z9A1Wq-kKrhRNG5RS2a2fKpY1wIhSVz2ZNmP2mOl588/edit?usp=sharing"",""REQ VF!E4:H""),4,0),""NO APLICA""),""GENERAR REQ"")"),"GENERAR REQ")</f>
        <v>GENERAR REQ</v>
      </c>
      <c r="AC107" s="37" t="str">
        <f>IFERROR(__xludf.DUMMYFUNCTION("IFERROR(QUERY(IMPORTRANGE(""https://docs.google.com/spreadsheets/d/1z9A1Wq-kKrhRNG5RS2a2fKpY1wIhSVz2ZNmP2mOl588/edit?usp=sharing"",""REQ VF!E4:Q""),""SELECT Col10, Col11, Col12 WHERE Col1 = '""&amp;G107&amp;""'"",0),""NO APLICA"")"),"NO APLICA")</f>
        <v>NO APLICA</v>
      </c>
      <c r="AD107" s="37"/>
      <c r="AE107" s="37"/>
      <c r="AF107" s="8" t="s">
        <v>52</v>
      </c>
      <c r="AG107" s="13"/>
    </row>
    <row r="108">
      <c r="A108" s="26">
        <v>46.0</v>
      </c>
      <c r="B108" s="26" t="b">
        <v>1</v>
      </c>
      <c r="C108" s="26" t="b">
        <v>1</v>
      </c>
      <c r="D108" s="26" t="s">
        <v>35</v>
      </c>
      <c r="E108" s="26" t="s">
        <v>36</v>
      </c>
      <c r="F108" s="27" t="s">
        <v>422</v>
      </c>
      <c r="G108" s="37" t="s">
        <v>422</v>
      </c>
      <c r="H108" s="45" t="s">
        <v>423</v>
      </c>
      <c r="I108" s="26">
        <f>SUMIFS('Hoja 10'!$O:$O,'Hoja 10'!$F:$F,$G108)</f>
        <v>2</v>
      </c>
      <c r="J108" s="26">
        <f>IFERROR(__xludf.DUMMYFUNCTION("VLOOKUP(G108,IMPORTRANGE(""https://docs.google.com/spreadsheets/d/12RxCea4e5ggM7QGn1XE3FbLQa_-QbCNdBi90OdPjRqg/edit?gid=1692403370#gid=1692403370"", ""'Plan de Compras'!D4:2432""), 8,0)"),2.0)</f>
        <v>2</v>
      </c>
      <c r="K108" s="26" t="str">
        <f t="shared" si="1"/>
        <v>SI</v>
      </c>
      <c r="L108" s="29" t="s">
        <v>127</v>
      </c>
      <c r="M108" s="30" t="s">
        <v>105</v>
      </c>
      <c r="N108" s="42"/>
      <c r="O108" s="32" t="str">
        <f>VLOOKUP($G108,'Hoja 10'!$F$4:$AA478, 19,0)</f>
        <v>LAUNCH</v>
      </c>
      <c r="P108" s="32" t="str">
        <f>VLOOKUP($G108,'Hoja 10'!$F$4:$AA478, 20,0)</f>
        <v>TLT635AF</v>
      </c>
      <c r="Q108" s="33" t="str">
        <f>VLOOKUP($G108,'Hoja 10'!$F$4:$AA478, 21,0)</f>
        <v>https://www.launchiberica.com/wp-content/uploads/2025/06/Familia-elevadores-TLT-LAUNCH-25.pdf</v>
      </c>
      <c r="R108" s="30" t="s">
        <v>424</v>
      </c>
      <c r="S108" s="34" t="b">
        <v>1</v>
      </c>
      <c r="T108" s="35" t="str">
        <f>IFERROR(__xludf.DUMMYFUNCTION(" IF
( VLOOKUP($G108,IMPORTRANGE(""https://docs.google.com/spreadsheets/d/1Gpl6jkTg7sL4VDNimUm3S9Vi1i95esohXCF3wuKOE8c"", ""'CONSOLIDADO'!G5:AB""), 10, 0) &lt;&gt; 0, 
IFERROR(VLOOKUP($G108,IMPORTRANGE(""https://docs.google.com/spreadsheets/d/1Gpl6jkTg7sL4VDNimU"&amp;"m3S9Vi1i95esohXCF3wuKOE8c"", ""'CONSOLIDADO'!G5:AB""), 17, 0), ""-""),
""""
)"),"TLAUNCH")</f>
        <v>TLAUNCH</v>
      </c>
      <c r="U108" s="35" t="str">
        <f>IFERROR(__xludf.DUMMYFUNCTION(" IF
( VLOOKUP($G108,IMPORTRANGE(""https://docs.google.com/spreadsheets/d/1Gpl6jkTg7sL4VDNimUm3S9Vi1i95esohXCF3wuKOE8c"", ""'CONSOLIDADO'!G5:AB""), 10, 0) &lt;&gt; 0, 
IFERROR(VLOOKUP($G108,IMPORTRANGE(""https://docs.google.com/spreadsheets/d/1Gpl6jkTg7sL4VDNimU"&amp;"m3S9Vi1i95esohXCF3wuKOE8c"", ""'CONSOLIDADO'!G5:AB""), 18, 0), ""-""),
""""
)"),"TLT635AF")</f>
        <v>TLT635AF</v>
      </c>
      <c r="V108" s="36" t="str">
        <f>IFERROR(__xludf.DUMMYFUNCTION(" IF
( VLOOKUP($G108,IMPORTRANGE(""https://docs.google.com/spreadsheets/d/1Gpl6jkTg7sL4VDNimUm3S9Vi1i95esohXCF3wuKOE8c"", ""'CONSOLIDADO'!G5:AB""), 10, 0) &lt;&gt; 0, 
IFERROR(VLOOKUP($G108,IMPORTRANGE(""https://docs.google.com/spreadsheets/d/1Gpl6jkTg7sL4VDNimU"&amp;"m3S9Vi1i95esohXCF3wuKOE8c"", ""'CONSOLIDADO'!G5:AB""), 19, 0), ""-""),
""""
)"),"https://www.launchiberica.com/wp-content/uploads/2025/06/Familia-elevadores-TLT-LAUNCH-25.pdf")</f>
        <v>https://www.launchiberica.com/wp-content/uploads/2025/06/Familia-elevadores-TLT-LAUNCH-25.pdf</v>
      </c>
      <c r="W108" s="37" t="str">
        <f>IFERROR(__xludf.DUMMYFUNCTION("IFERROR(VLOOKUP(G108,IMPORTRANGE(""https://docs.google.com/spreadsheets/d/12RxCea4e5ggM7QGn1XE3FbLQa_-QbCNdBi90OdPjRqg"", ""'Plan de Compras'!D4:Q""), 12, 0), ""NO ESTÁ EN REQ"")"),"Técnica")</f>
        <v>Técnica</v>
      </c>
      <c r="X108" s="37" t="str">
        <f>IFERROR(__xludf.DUMMYFUNCTION("IFERROR(VLOOKUP(G108,IMPORTRANGE(""https://docs.google.com/spreadsheets/d/12RxCea4e5ggM7QGn1XE3FbLQa_-QbCNdBi90OdPjRqg"", ""'Plan de Compras'!D4:Q""), 13, 0), """")"),"INTERNACIONAL")</f>
        <v>INTERNACIONAL</v>
      </c>
      <c r="Y108" s="32" t="str">
        <f>IFERROR(__xludf.DUMMYFUNCTION("IFERROR(VLOOKUP(G108,IMPORTRANGE(""https://docs.google.com/spreadsheets/d/12RxCea4e5ggM7QGn1XE3FbLQa_-QbCNdBi90OdPjRqg"", ""'Plan de Compras'!D4:Q""), 14, 0), """")"),"GEYDI")</f>
        <v>GEYDI</v>
      </c>
      <c r="Z108" s="38" t="str">
        <f>IFERROR(__xludf.DUMMYFUNCTION("IFERROR(VLOOKUP(G108,IMPORTRANGE(""https://docs.google.com/spreadsheets/d/12RxCea4e5ggM7QGn1XE3FbLQa_-QbCNdBi90OdPjRqg"", ""'Plan de Compras'!D4:Q""), 4, 0), """")"),"ELEVADOR DE TIJERA")</f>
        <v>ELEVADOR DE TIJERA</v>
      </c>
      <c r="AA108" s="38" t="str">
        <f t="shared" si="16"/>
        <v>TRUE</v>
      </c>
      <c r="AB108" s="37" t="str">
        <f>IFERROR(__xludf.DUMMYFUNCTION("IFERROR(IF(OR(C108=TRUE,C108=""""),VLOOKUP(G108,IMPORTRANGE(""https://docs.google.com/spreadsheets/d/1z9A1Wq-kKrhRNG5RS2a2fKpY1wIhSVz2ZNmP2mOl588/edit?usp=sharing"",""REQ VF!E4:H""),4,0),""NO APLICA""),""GENERAR REQ"")"),"GENERAR REQ")</f>
        <v>GENERAR REQ</v>
      </c>
      <c r="AC108" s="37" t="str">
        <f>IFERROR(__xludf.DUMMYFUNCTION("IFERROR(QUERY(IMPORTRANGE(""https://docs.google.com/spreadsheets/d/1z9A1Wq-kKrhRNG5RS2a2fKpY1wIhSVz2ZNmP2mOl588/edit?usp=sharing"",""REQ VF!E4:Q""),""SELECT Col10, Col11, Col12 WHERE Col1 = '""&amp;G108&amp;""'"",0),""NO APLICA"")"),"NO APLICA")</f>
        <v>NO APLICA</v>
      </c>
      <c r="AD108" s="37"/>
      <c r="AE108" s="37"/>
      <c r="AF108" s="8" t="s">
        <v>52</v>
      </c>
      <c r="AG108" s="13"/>
    </row>
    <row r="109">
      <c r="A109" s="26">
        <v>47.0</v>
      </c>
      <c r="B109" s="26" t="b">
        <v>1</v>
      </c>
      <c r="C109" s="26" t="b">
        <v>1</v>
      </c>
      <c r="D109" s="26" t="s">
        <v>35</v>
      </c>
      <c r="E109" s="26" t="s">
        <v>36</v>
      </c>
      <c r="F109" s="27" t="s">
        <v>425</v>
      </c>
      <c r="G109" s="37" t="s">
        <v>425</v>
      </c>
      <c r="H109" s="45" t="s">
        <v>426</v>
      </c>
      <c r="I109" s="26">
        <f>SUMIFS('Hoja 10'!$O:$O,'Hoja 10'!$F:$F,$G109)</f>
        <v>2</v>
      </c>
      <c r="J109" s="26">
        <f>IFERROR(__xludf.DUMMYFUNCTION("VLOOKUP(G109,IMPORTRANGE(""https://docs.google.com/spreadsheets/d/12RxCea4e5ggM7QGn1XE3FbLQa_-QbCNdBi90OdPjRqg/edit?gid=1692403370#gid=1692403370"", ""'Plan de Compras'!D4:2432""), 8,0)"),2.0)</f>
        <v>2</v>
      </c>
      <c r="K109" s="26" t="str">
        <f t="shared" si="1"/>
        <v>SI</v>
      </c>
      <c r="L109" s="29" t="s">
        <v>296</v>
      </c>
      <c r="M109" s="30" t="s">
        <v>297</v>
      </c>
      <c r="N109" s="42"/>
      <c r="O109" s="32" t="str">
        <f>VLOOKUP($G109,'Hoja 10'!$F$4:$AA478, 19,0)</f>
        <v>FELDER</v>
      </c>
      <c r="P109" s="32" t="str">
        <f>VLOOKUP($G109,'Hoja 10'!$F$4:$AA478, 20,0)</f>
        <v>FORKA 300 S ECO (MONOFÁSICA - 220V)</v>
      </c>
      <c r="Q109" s="33" t="str">
        <f>VLOOKUP($G109,'Hoja 10'!$F$4:$AA478, 21,0)</f>
        <v>https://www.felder-group.com/es-es/productos/encoladoras-de-cantos-c1954/encoladora-de-cantos-forka-300-s-eco-p3204</v>
      </c>
      <c r="R109" s="30" t="s">
        <v>427</v>
      </c>
      <c r="S109" s="34" t="b">
        <v>1</v>
      </c>
      <c r="T109" s="35" t="str">
        <f>IFERROR(__xludf.DUMMYFUNCTION(" IF
( VLOOKUP($G109,IMPORTRANGE(""https://docs.google.com/spreadsheets/d/1Gpl6jkTg7sL4VDNimUm3S9Vi1i95esohXCF3wuKOE8c"", ""'CONSOLIDADO'!G5:AB""), 10, 0) &lt;&gt; 0, 
IFERROR(VLOOKUP($G109,IMPORTRANGE(""https://docs.google.com/spreadsheets/d/1Gpl6jkTg7sL4VDNimU"&amp;"m3S9Vi1i95esohXCF3wuKOE8c"", ""'CONSOLIDADO'!G5:AB""), 17, 0), ""-""),
""""
)"),"FELDER")</f>
        <v>FELDER</v>
      </c>
      <c r="U109" s="35" t="str">
        <f>IFERROR(__xludf.DUMMYFUNCTION(" IF
( VLOOKUP($G109,IMPORTRANGE(""https://docs.google.com/spreadsheets/d/1Gpl6jkTg7sL4VDNimUm3S9Vi1i95esohXCF3wuKOE8c"", ""'CONSOLIDADO'!G5:AB""), 10, 0) &lt;&gt; 0, 
IFERROR(VLOOKUP($G109,IMPORTRANGE(""https://docs.google.com/spreadsheets/d/1Gpl6jkTg7sL4VDNimU"&amp;"m3S9Vi1i95esohXCF3wuKOE8c"", ""'CONSOLIDADO'!G5:AB""), 18, 0), ""-""),
""""
)"),"FORKA 300 S ECO")</f>
        <v>FORKA 300 S ECO</v>
      </c>
      <c r="V109" s="36" t="str">
        <f>IFERROR(__xludf.DUMMYFUNCTION(" IF
( VLOOKUP($G109,IMPORTRANGE(""https://docs.google.com/spreadsheets/d/1Gpl6jkTg7sL4VDNimUm3S9Vi1i95esohXCF3wuKOE8c"", ""'CONSOLIDADO'!G5:AB""), 10, 0) &lt;&gt; 0, 
IFERROR(VLOOKUP($G109,IMPORTRANGE(""https://docs.google.com/spreadsheets/d/1Gpl6jkTg7sL4VDNimU"&amp;"m3S9Vi1i95esohXCF3wuKOE8c"", ""'CONSOLIDADO'!G5:AB""), 19, 0), ""-""),
""""
)"),"https://www.felder-group.com/es-es/productos/encoladoras-de-cantos-c1954/encoladora-de-cantos-forka-300-s-eco-p3204")</f>
        <v>https://www.felder-group.com/es-es/productos/encoladoras-de-cantos-c1954/encoladora-de-cantos-forka-300-s-eco-p3204</v>
      </c>
      <c r="W109" s="37" t="str">
        <f>IFERROR(__xludf.DUMMYFUNCTION("IFERROR(VLOOKUP(G109,IMPORTRANGE(""https://docs.google.com/spreadsheets/d/12RxCea4e5ggM7QGn1XE3FbLQa_-QbCNdBi90OdPjRqg"", ""'Plan de Compras'!D4:Q""), 12, 0), ""NO ESTÁ EN REQ"")"),"Técnica")</f>
        <v>Técnica</v>
      </c>
      <c r="X109" s="37" t="str">
        <f>IFERROR(__xludf.DUMMYFUNCTION("IFERROR(VLOOKUP(G109,IMPORTRANGE(""https://docs.google.com/spreadsheets/d/12RxCea4e5ggM7QGn1XE3FbLQa_-QbCNdBi90OdPjRqg"", ""'Plan de Compras'!D4:Q""), 13, 0), """")"),"INTERNACIONAL")</f>
        <v>INTERNACIONAL</v>
      </c>
      <c r="Y109" s="32" t="str">
        <f>IFERROR(__xludf.DUMMYFUNCTION("IFERROR(VLOOKUP(G109,IMPORTRANGE(""https://docs.google.com/spreadsheets/d/12RxCea4e5ggM7QGn1XE3FbLQa_-QbCNdBi90OdPjRqg"", ""'Plan de Compras'!D4:Q""), 14, 0), """")"),"JIMENA")</f>
        <v>JIMENA</v>
      </c>
      <c r="Z109" s="38" t="str">
        <f>IFERROR(__xludf.DUMMYFUNCTION("IFERROR(VLOOKUP(G109,IMPORTRANGE(""https://docs.google.com/spreadsheets/d/12RxCea4e5ggM7QGn1XE3FbLQa_-QbCNdBi90OdPjRqg"", ""'Plan de Compras'!D4:Q""), 4, 0), """")"),"ENCHAPADORA DE CANTOS CON DEPÓSITO DE COLA Y MESA ESTACIONARIA")</f>
        <v>ENCHAPADORA DE CANTOS CON DEPÓSITO DE COLA Y MESA ESTACIONARIA</v>
      </c>
      <c r="AA109" s="38" t="str">
        <f t="shared" si="16"/>
        <v>TRUE</v>
      </c>
      <c r="AB109" s="37" t="str">
        <f>IFERROR(__xludf.DUMMYFUNCTION("IFERROR(IF(OR(C109=TRUE,C109=""""),VLOOKUP(G109,IMPORTRANGE(""https://docs.google.com/spreadsheets/d/1z9A1Wq-kKrhRNG5RS2a2fKpY1wIhSVz2ZNmP2mOl588/edit?usp=sharing"",""REQ VF!E4:H""),4,0),""NO APLICA""),""GENERAR REQ"")"),"GENERAR REQ")</f>
        <v>GENERAR REQ</v>
      </c>
      <c r="AC109" s="37" t="str">
        <f>IFERROR(__xludf.DUMMYFUNCTION("IFERROR(QUERY(IMPORTRANGE(""https://docs.google.com/spreadsheets/d/1z9A1Wq-kKrhRNG5RS2a2fKpY1wIhSVz2ZNmP2mOl588/edit?usp=sharing"",""REQ VF!E4:Q""),""SELECT Col10, Col11, Col12 WHERE Col1 = '""&amp;G109&amp;""'"",0),""NO APLICA"")"),"NO APLICA")</f>
        <v>NO APLICA</v>
      </c>
      <c r="AD109" s="37"/>
      <c r="AE109" s="37"/>
      <c r="AF109" s="8" t="s">
        <v>52</v>
      </c>
      <c r="AG109" s="13"/>
    </row>
    <row r="110">
      <c r="A110" s="26"/>
      <c r="B110" s="26"/>
      <c r="C110" s="26" t="b">
        <v>1</v>
      </c>
      <c r="D110" s="26" t="s">
        <v>42</v>
      </c>
      <c r="E110" s="26" t="s">
        <v>36</v>
      </c>
      <c r="F110" s="27" t="s">
        <v>425</v>
      </c>
      <c r="G110" s="39" t="s">
        <v>428</v>
      </c>
      <c r="H110" s="66" t="s">
        <v>429</v>
      </c>
      <c r="I110" s="43">
        <v>2.0</v>
      </c>
      <c r="J110" s="26">
        <f>IFERROR(__xludf.DUMMYFUNCTION("VLOOKUP(G110,IMPORTRANGE(""https://docs.google.com/spreadsheets/d/12RxCea4e5ggM7QGn1XE3FbLQa_-QbCNdBi90OdPjRqg/edit?gid=1692403370#gid=1692403370"", ""'Plan de Compras'!D4:2432""), 8,0)"),2.0)</f>
        <v>2</v>
      </c>
      <c r="K110" s="26" t="str">
        <f t="shared" si="1"/>
        <v>SI</v>
      </c>
      <c r="L110" s="26"/>
      <c r="M110" s="41"/>
      <c r="N110" s="42"/>
      <c r="O110" s="42"/>
      <c r="P110" s="42"/>
      <c r="Q110" s="57"/>
      <c r="R110" s="41"/>
      <c r="S110" s="44" t="b">
        <v>0</v>
      </c>
      <c r="T110" s="35"/>
      <c r="U110" s="72"/>
      <c r="V110" s="44"/>
      <c r="W110" s="37" t="str">
        <f>IFERROR(__xludf.DUMMYFUNCTION("IFERROR(VLOOKUP(G110,IMPORTRANGE(""https://docs.google.com/spreadsheets/d/12RxCea4e5ggM7QGn1XE3FbLQa_-QbCNdBi90OdPjRqg"", ""'Plan de Compras'!D4:Q""), 12, 0), ""NO ESTÁ EN REQ"")"),"Técnica")</f>
        <v>Técnica</v>
      </c>
      <c r="X110" s="37" t="str">
        <f>IFERROR(__xludf.DUMMYFUNCTION("IFERROR(VLOOKUP(G110,IMPORTRANGE(""https://docs.google.com/spreadsheets/d/12RxCea4e5ggM7QGn1XE3FbLQa_-QbCNdBi90OdPjRqg"", ""'Plan de Compras'!D4:Q""), 13, 0), """")"),"INTERNACIONAL")</f>
        <v>INTERNACIONAL</v>
      </c>
      <c r="Y110" s="32" t="str">
        <f>IFERROR(__xludf.DUMMYFUNCTION("IFERROR(VLOOKUP(G110,IMPORTRANGE(""https://docs.google.com/spreadsheets/d/12RxCea4e5ggM7QGn1XE3FbLQa_-QbCNdBi90OdPjRqg"", ""'Plan de Compras'!D4:Q""), 14, 0), """")"),"JIMENA")</f>
        <v>JIMENA</v>
      </c>
      <c r="Z110" s="38" t="str">
        <f>IFERROR(__xludf.DUMMYFUNCTION("IFERROR(VLOOKUP(G110,IMPORTRANGE(""https://docs.google.com/spreadsheets/d/12RxCea4e5ggM7QGn1XE3FbLQa_-QbCNdBi90OdPjRqg"", ""'Plan de Compras'!D4:Q""), 4, 0), """")"),"ACCESORIOS PARA SU FUNCIONAMIENTO SEGÚN PROV (1 UND)")</f>
        <v>ACCESORIOS PARA SU FUNCIONAMIENTO SEGÚN PROV (1 UND)</v>
      </c>
      <c r="AA110" s="38" t="str">
        <f t="shared" si="16"/>
        <v>FALSE</v>
      </c>
      <c r="AB110" s="37" t="str">
        <f>IFERROR(__xludf.DUMMYFUNCTION("IFERROR(IF(OR(C110=TRUE,C110=""""),VLOOKUP(G110,IMPORTRANGE(""https://docs.google.com/spreadsheets/d/1z9A1Wq-kKrhRNG5RS2a2fKpY1wIhSVz2ZNmP2mOl588/edit?usp=sharing"",""REQ VF!E4:H""),4,0),""NO APLICA""),""GENERAR REQ"")"),"GENERAR REQ")</f>
        <v>GENERAR REQ</v>
      </c>
      <c r="AC110" s="37" t="str">
        <f>IFERROR(__xludf.DUMMYFUNCTION("IFERROR(QUERY(IMPORTRANGE(""https://docs.google.com/spreadsheets/d/1z9A1Wq-kKrhRNG5RS2a2fKpY1wIhSVz2ZNmP2mOl588/edit?usp=sharing"",""REQ VF!E4:Q""),""SELECT Col10, Col11, Col12 WHERE Col1 = '""&amp;G110&amp;""'"",0),""NO APLICA"")"),"NO APLICA")</f>
        <v>NO APLICA</v>
      </c>
      <c r="AD110" s="37"/>
      <c r="AE110" s="37"/>
      <c r="AF110" s="13"/>
      <c r="AG110" s="13"/>
    </row>
    <row r="111">
      <c r="A111" s="26">
        <v>48.0</v>
      </c>
      <c r="B111" s="26" t="b">
        <v>1</v>
      </c>
      <c r="C111" s="26" t="b">
        <v>1</v>
      </c>
      <c r="D111" s="26" t="s">
        <v>35</v>
      </c>
      <c r="E111" s="26" t="s">
        <v>36</v>
      </c>
      <c r="F111" s="27" t="s">
        <v>430</v>
      </c>
      <c r="G111" s="37" t="s">
        <v>430</v>
      </c>
      <c r="H111" s="45" t="s">
        <v>431</v>
      </c>
      <c r="I111" s="26">
        <f>SUMIFS('Hoja 10'!$O:$O,'Hoja 10'!$F:$F,$G111)</f>
        <v>4</v>
      </c>
      <c r="J111" s="26">
        <f>IFERROR(__xludf.DUMMYFUNCTION("VLOOKUP(G111,IMPORTRANGE(""https://docs.google.com/spreadsheets/d/12RxCea4e5ggM7QGn1XE3FbLQa_-QbCNdBi90OdPjRqg/edit?gid=1692403370#gid=1692403370"", ""'Plan de Compras'!D4:2432""), 8,0)"),4.0)</f>
        <v>4</v>
      </c>
      <c r="K111" s="26" t="str">
        <f t="shared" si="1"/>
        <v>SI</v>
      </c>
      <c r="L111" s="29" t="s">
        <v>339</v>
      </c>
      <c r="M111" s="30" t="s">
        <v>340</v>
      </c>
      <c r="N111" s="42"/>
      <c r="O111" s="32" t="str">
        <f>VLOOKUP($G111,'Hoja 10'!$F$4:$AA478, 19,0)</f>
        <v>LABTECH</v>
      </c>
      <c r="P111" s="32" t="str">
        <f>VLOOKUP($G111,'Hoja 10'!$F$4:$AA478, 20,0)</f>
        <v>CLP-PCN-1</v>
      </c>
      <c r="Q111" s="33" t="str">
        <f>VLOOKUP($G111,'Hoja 10'!$F$4:$AA478, 21,0)</f>
        <v>https://drive.google.com/file/d/1X70LaF7RqF7SoV2RK4MYqFx3rnQO6yLW/view?usp=sharing</v>
      </c>
      <c r="R111" s="30" t="s">
        <v>432</v>
      </c>
      <c r="S111" s="34" t="b">
        <v>1</v>
      </c>
      <c r="T111" s="35" t="str">
        <f>IFERROR(__xludf.DUMMYFUNCTION(" IF
( VLOOKUP($G111,IMPORTRANGE(""https://docs.google.com/spreadsheets/d/1Gpl6jkTg7sL4VDNimUm3S9Vi1i95esohXCF3wuKOE8c"", ""'CONSOLIDADO'!G5:AB""), 10, 0) &lt;&gt; 0, 
IFERROR(VLOOKUP($G111,IMPORTRANGE(""https://docs.google.com/spreadsheets/d/1Gpl6jkTg7sL4VDNimU"&amp;"m3S9Vi1i95esohXCF3wuKOE8c"", ""'CONSOLIDADO'!G5:AB""), 17, 0), ""-""),
""""
)"),"LABTECH")</f>
        <v>LABTECH</v>
      </c>
      <c r="U111" s="35" t="str">
        <f>IFERROR(__xludf.DUMMYFUNCTION(" IF
( VLOOKUP($G111,IMPORTRANGE(""https://docs.google.com/spreadsheets/d/1Gpl6jkTg7sL4VDNimUm3S9Vi1i95esohXCF3wuKOE8c"", ""'CONSOLIDADO'!G5:AB""), 10, 0) &lt;&gt; 0, 
IFERROR(VLOOKUP($G111,IMPORTRANGE(""https://docs.google.com/spreadsheets/d/1Gpl6jkTg7sL4VDNimU"&amp;"m3S9Vi1i95esohXCF3wuKOE8c"", ""'CONSOLIDADO'!G5:AB""), 18, 0), ""-""),
""""
)"),"CLP-PCN-1")</f>
        <v>CLP-PCN-1</v>
      </c>
      <c r="V111" s="36" t="str">
        <f>IFERROR(__xludf.DUMMYFUNCTION(" IF
( VLOOKUP($G111,IMPORTRANGE(""https://docs.google.com/spreadsheets/d/1Gpl6jkTg7sL4VDNimUm3S9Vi1i95esohXCF3wuKOE8c"", ""'CONSOLIDADO'!G5:AB""), 10, 0) &lt;&gt; 0, 
IFERROR(VLOOKUP($G111,IMPORTRANGE(""https://docs.google.com/spreadsheets/d/1Gpl6jkTg7sL4VDNimU"&amp;"m3S9Vi1i95esohXCF3wuKOE8c"", ""'CONSOLIDADO'!G5:AB""), 19, 0), ""-""),
""""
)"),"https://labtech.org/education/computer-info-systems/computer-lan-technician/")</f>
        <v>https://labtech.org/education/computer-info-systems/computer-lan-technician/</v>
      </c>
      <c r="W111" s="37" t="str">
        <f>IFERROR(__xludf.DUMMYFUNCTION("IFERROR(VLOOKUP(G111,IMPORTRANGE(""https://docs.google.com/spreadsheets/d/12RxCea4e5ggM7QGn1XE3FbLQa_-QbCNdBi90OdPjRqg"", ""'Plan de Compras'!D4:Q""), 12, 0), ""NO ESTÁ EN REQ"")"),"Técnica")</f>
        <v>Técnica</v>
      </c>
      <c r="X111" s="37" t="str">
        <f>IFERROR(__xludf.DUMMYFUNCTION("IFERROR(VLOOKUP(G111,IMPORTRANGE(""https://docs.google.com/spreadsheets/d/12RxCea4e5ggM7QGn1XE3FbLQa_-QbCNdBi90OdPjRqg"", ""'Plan de Compras'!D4:Q""), 13, 0), """")"),"INTERNACIONAL")</f>
        <v>INTERNACIONAL</v>
      </c>
      <c r="Y111" s="32" t="str">
        <f>IFERROR(__xludf.DUMMYFUNCTION("IFERROR(VLOOKUP(G111,IMPORTRANGE(""https://docs.google.com/spreadsheets/d/12RxCea4e5ggM7QGn1XE3FbLQa_-QbCNdBi90OdPjRqg"", ""'Plan de Compras'!D4:Q""), 14, 0), """")"),"JIMENA")</f>
        <v>JIMENA</v>
      </c>
      <c r="Z111" s="38" t="str">
        <f>IFERROR(__xludf.DUMMYFUNCTION("IFERROR(VLOOKUP(G111,IMPORTRANGE(""https://docs.google.com/spreadsheets/d/12RxCea4e5ggM7QGn1XE3FbLQa_-QbCNdBi90OdPjRqg"", ""'Plan de Compras'!D4:Q""), 4, 0), """")"),"KIT DE ENTRENADOR BÁSICO DE SISTEMA DE RED DE PC")</f>
        <v>KIT DE ENTRENADOR BÁSICO DE SISTEMA DE RED DE PC</v>
      </c>
      <c r="AA111" s="38" t="str">
        <f t="shared" si="16"/>
        <v>TRUE</v>
      </c>
      <c r="AB111" s="37" t="str">
        <f>IFERROR(__xludf.DUMMYFUNCTION("IFERROR(IF(OR(C111=TRUE,C111=""""),VLOOKUP(G111,IMPORTRANGE(""https://docs.google.com/spreadsheets/d/1z9A1Wq-kKrhRNG5RS2a2fKpY1wIhSVz2ZNmP2mOl588/edit?usp=sharing"",""REQ VF!E4:H""),4,0),""NO APLICA""),""GENERAR REQ"")"),"GENERAR REQ")</f>
        <v>GENERAR REQ</v>
      </c>
      <c r="AC111" s="37" t="str">
        <f>IFERROR(__xludf.DUMMYFUNCTION("IFERROR(QUERY(IMPORTRANGE(""https://docs.google.com/spreadsheets/d/1z9A1Wq-kKrhRNG5RS2a2fKpY1wIhSVz2ZNmP2mOl588/edit?usp=sharing"",""REQ VF!E4:Q""),""SELECT Col10, Col11, Col12 WHERE Col1 = '""&amp;G111&amp;""'"",0),""NO APLICA"")"),"NO APLICA")</f>
        <v>NO APLICA</v>
      </c>
      <c r="AD111" s="37"/>
      <c r="AE111" s="37"/>
      <c r="AF111" s="8" t="s">
        <v>52</v>
      </c>
      <c r="AG111" s="13"/>
    </row>
    <row r="112">
      <c r="A112" s="26"/>
      <c r="B112" s="26" t="b">
        <v>0</v>
      </c>
      <c r="C112" s="26" t="b">
        <v>0</v>
      </c>
      <c r="D112" s="26" t="s">
        <v>42</v>
      </c>
      <c r="E112" s="26" t="s">
        <v>36</v>
      </c>
      <c r="F112" s="27" t="s">
        <v>430</v>
      </c>
      <c r="G112" s="39" t="s">
        <v>433</v>
      </c>
      <c r="H112" s="40" t="s">
        <v>176</v>
      </c>
      <c r="I112" s="26">
        <f>1*I111</f>
        <v>4</v>
      </c>
      <c r="J112" s="26" t="str">
        <f>IFERROR(__xludf.DUMMYFUNCTION("VLOOKUP(G112,IMPORTRANGE(""https://docs.google.com/spreadsheets/d/12RxCea4e5ggM7QGn1XE3FbLQa_-QbCNdBi90OdPjRqg/edit?gid=1692403370#gid=1692403370"", ""'Plan de Compras'!D4:2432""), 8,0)"),"#N/A")</f>
        <v>#N/A</v>
      </c>
      <c r="K112" s="26" t="str">
        <f t="shared" si="1"/>
        <v>-</v>
      </c>
      <c r="L112" s="29"/>
      <c r="M112" s="61"/>
      <c r="N112" s="42"/>
      <c r="O112" s="32"/>
      <c r="P112" s="32"/>
      <c r="Q112" s="41"/>
      <c r="R112" s="61"/>
      <c r="S112" s="34" t="b">
        <v>0</v>
      </c>
      <c r="T112" s="35" t="s">
        <v>434</v>
      </c>
      <c r="U112" s="35" t="s">
        <v>435</v>
      </c>
      <c r="V112" s="35"/>
      <c r="W112" s="37"/>
      <c r="X112" s="37"/>
      <c r="Y112" s="32"/>
      <c r="Z112" s="38"/>
      <c r="AA112" s="38" t="str">
        <f t="shared" si="16"/>
        <v>FALSE</v>
      </c>
      <c r="AB112" s="37" t="str">
        <f>IFERROR(__xludf.DUMMYFUNCTION("IFERROR(IF(OR(C112=TRUE,C112=""""),VLOOKUP(G112,IMPORTRANGE(""https://docs.google.com/spreadsheets/d/1z9A1Wq-kKrhRNG5RS2a2fKpY1wIhSVz2ZNmP2mOl588/edit?usp=sharing"",""REQ VF!E4:H""),4,0),""NO APLICA""),""GENERAR REQ"")"),"NO APLICA")</f>
        <v>NO APLICA</v>
      </c>
      <c r="AC112" s="37" t="str">
        <f>IFERROR(__xludf.DUMMYFUNCTION("IFERROR(QUERY(IMPORTRANGE(""https://docs.google.com/spreadsheets/d/1z9A1Wq-kKrhRNG5RS2a2fKpY1wIhSVz2ZNmP2mOl588/edit?usp=sharing"",""REQ VF!E4:Q""),""SELECT Col10, Col11, Col12 WHERE Col1 = '""&amp;G112&amp;""'"",0),""NO APLICA"")"),"NO APLICA")</f>
        <v>NO APLICA</v>
      </c>
      <c r="AD112" s="37"/>
      <c r="AE112" s="37"/>
      <c r="AF112" s="8"/>
      <c r="AG112" s="13"/>
    </row>
    <row r="113">
      <c r="A113" s="26">
        <v>49.0</v>
      </c>
      <c r="B113" s="26" t="b">
        <v>1</v>
      </c>
      <c r="C113" s="26" t="b">
        <v>1</v>
      </c>
      <c r="D113" s="26" t="s">
        <v>35</v>
      </c>
      <c r="E113" s="26" t="s">
        <v>36</v>
      </c>
      <c r="F113" s="27" t="s">
        <v>436</v>
      </c>
      <c r="G113" s="37" t="s">
        <v>436</v>
      </c>
      <c r="H113" s="45" t="s">
        <v>437</v>
      </c>
      <c r="I113" s="26">
        <f>SUMIFS('Hoja 10'!$O:$O,'Hoja 10'!$F:$F,$G113)</f>
        <v>4</v>
      </c>
      <c r="J113" s="26">
        <f>IFERROR(__xludf.DUMMYFUNCTION("VLOOKUP(G113,IMPORTRANGE(""https://docs.google.com/spreadsheets/d/12RxCea4e5ggM7QGn1XE3FbLQa_-QbCNdBi90OdPjRqg/edit?gid=1692403370#gid=1692403370"", ""'Plan de Compras'!D4:2432""), 8,0)"),4.0)</f>
        <v>4</v>
      </c>
      <c r="K113" s="26" t="str">
        <f t="shared" si="1"/>
        <v>SI</v>
      </c>
      <c r="L113" s="29" t="s">
        <v>339</v>
      </c>
      <c r="M113" s="30" t="s">
        <v>340</v>
      </c>
      <c r="N113" s="42"/>
      <c r="O113" s="32" t="str">
        <f>VLOOKUP($G113,'Hoja 10'!$F$4:$AA478, 19,0)</f>
        <v>LABTECH</v>
      </c>
      <c r="P113" s="32" t="str">
        <f>VLOOKUP($G113,'Hoja 10'!$F$4:$AA478, 20,0)</f>
        <v>CLP-PCN-2</v>
      </c>
      <c r="Q113" s="33" t="str">
        <f>VLOOKUP($G113,'Hoja 10'!$F$4:$AA478, 21,0)</f>
        <v>https://drive.google.com/file/d/1OCbFNGZGK2T29DA6DWbu93qg2m8eEn0S/view</v>
      </c>
      <c r="R113" s="30" t="s">
        <v>438</v>
      </c>
      <c r="S113" s="34" t="b">
        <v>1</v>
      </c>
      <c r="T113" s="35" t="str">
        <f>IFERROR(__xludf.DUMMYFUNCTION(" IF
( VLOOKUP($G113,IMPORTRANGE(""https://docs.google.com/spreadsheets/d/1Gpl6jkTg7sL4VDNimUm3S9Vi1i95esohXCF3wuKOE8c"", ""'CONSOLIDADO'!G5:AB""), 10, 0) &lt;&gt; 0, 
IFERROR(VLOOKUP($G113,IMPORTRANGE(""https://docs.google.com/spreadsheets/d/1Gpl6jkTg7sL4VDNimU"&amp;"m3S9Vi1i95esohXCF3wuKOE8c"", ""'CONSOLIDADO'!G5:AB""), 17, 0), ""-""),
""""
)"),"LABTECH")</f>
        <v>LABTECH</v>
      </c>
      <c r="U113" s="35" t="str">
        <f>IFERROR(__xludf.DUMMYFUNCTION(" IF
( VLOOKUP($G113,IMPORTRANGE(""https://docs.google.com/spreadsheets/d/1Gpl6jkTg7sL4VDNimUm3S9Vi1i95esohXCF3wuKOE8c"", ""'CONSOLIDADO'!G5:AB""), 10, 0) &lt;&gt; 0, 
IFERROR(VLOOKUP($G113,IMPORTRANGE(""https://docs.google.com/spreadsheets/d/1Gpl6jkTg7sL4VDNimU"&amp;"m3S9Vi1i95esohXCF3wuKOE8c"", ""'CONSOLIDADO'!G5:AB""), 18, 0), ""-""),
""""
)"),"CLP-PCN-2")</f>
        <v>CLP-PCN-2</v>
      </c>
      <c r="V113" s="36" t="str">
        <f>IFERROR(__xludf.DUMMYFUNCTION(" IF
( VLOOKUP($G113,IMPORTRANGE(""https://docs.google.com/spreadsheets/d/1Gpl6jkTg7sL4VDNimUm3S9Vi1i95esohXCF3wuKOE8c"", ""'CONSOLIDADO'!G5:AB""), 10, 0) &lt;&gt; 0, 
IFERROR(VLOOKUP($G113,IMPORTRANGE(""https://docs.google.com/spreadsheets/d/1Gpl6jkTg7sL4VDNimU"&amp;"m3S9Vi1i95esohXCF3wuKOE8c"", ""'CONSOLIDADO'!G5:AB""), 19, 0), ""-""),
""""
)"),"https://labtech.org/education/computer-info-systems/computer-lan-technician/")</f>
        <v>https://labtech.org/education/computer-info-systems/computer-lan-technician/</v>
      </c>
      <c r="W113" s="37" t="str">
        <f>IFERROR(__xludf.DUMMYFUNCTION("IFERROR(VLOOKUP(G113,IMPORTRANGE(""https://docs.google.com/spreadsheets/d/12RxCea4e5ggM7QGn1XE3FbLQa_-QbCNdBi90OdPjRqg"", ""'Plan de Compras'!D4:Q""), 12, 0), ""NO ESTÁ EN REQ"")"),"Técnica")</f>
        <v>Técnica</v>
      </c>
      <c r="X113" s="37" t="str">
        <f>IFERROR(__xludf.DUMMYFUNCTION("IFERROR(VLOOKUP(G113,IMPORTRANGE(""https://docs.google.com/spreadsheets/d/12RxCea4e5ggM7QGn1XE3FbLQa_-QbCNdBi90OdPjRqg"", ""'Plan de Compras'!D4:Q""), 13, 0), """")"),"INTERNACIONAL")</f>
        <v>INTERNACIONAL</v>
      </c>
      <c r="Y113" s="32" t="str">
        <f>IFERROR(__xludf.DUMMYFUNCTION("IFERROR(VLOOKUP(G113,IMPORTRANGE(""https://docs.google.com/spreadsheets/d/12RxCea4e5ggM7QGn1XE3FbLQa_-QbCNdBi90OdPjRqg"", ""'Plan de Compras'!D4:Q""), 14, 0), """")"),"JIMENA")</f>
        <v>JIMENA</v>
      </c>
      <c r="Z113" s="38" t="str">
        <f>IFERROR(__xludf.DUMMYFUNCTION("IFERROR(VLOOKUP(G113,IMPORTRANGE(""https://docs.google.com/spreadsheets/d/12RxCea4e5ggM7QGn1XE3FbLQa_-QbCNdBi90OdPjRqg"", ""'Plan de Compras'!D4:Q""), 4, 0), """")"),"KIT DE ENTRENADOR DE REDES Y CABLEADO")</f>
        <v>KIT DE ENTRENADOR DE REDES Y CABLEADO</v>
      </c>
      <c r="AA113" s="38" t="str">
        <f t="shared" si="16"/>
        <v>TRUE</v>
      </c>
      <c r="AB113" s="37" t="str">
        <f>IFERROR(__xludf.DUMMYFUNCTION("IFERROR(IF(OR(C113=TRUE,C113=""""),VLOOKUP(G113,IMPORTRANGE(""https://docs.google.com/spreadsheets/d/1z9A1Wq-kKrhRNG5RS2a2fKpY1wIhSVz2ZNmP2mOl588/edit?usp=sharing"",""REQ VF!E4:H""),4,0),""NO APLICA""),""GENERAR REQ"")"),"GENERAR REQ")</f>
        <v>GENERAR REQ</v>
      </c>
      <c r="AC113" s="37" t="str">
        <f>IFERROR(__xludf.DUMMYFUNCTION("IFERROR(QUERY(IMPORTRANGE(""https://docs.google.com/spreadsheets/d/1z9A1Wq-kKrhRNG5RS2a2fKpY1wIhSVz2ZNmP2mOl588/edit?usp=sharing"",""REQ VF!E4:Q""),""SELECT Col10, Col11, Col12 WHERE Col1 = '""&amp;G113&amp;""'"",0),""NO APLICA"")"),"NO APLICA")</f>
        <v>NO APLICA</v>
      </c>
      <c r="AD113" s="37"/>
      <c r="AE113" s="37"/>
      <c r="AF113" s="8" t="s">
        <v>52</v>
      </c>
      <c r="AG113" s="13"/>
    </row>
    <row r="114">
      <c r="A114" s="26"/>
      <c r="B114" s="26" t="b">
        <v>0</v>
      </c>
      <c r="C114" s="26" t="b">
        <v>0</v>
      </c>
      <c r="D114" s="26" t="s">
        <v>42</v>
      </c>
      <c r="E114" s="26" t="s">
        <v>36</v>
      </c>
      <c r="F114" s="27" t="s">
        <v>436</v>
      </c>
      <c r="G114" s="39" t="s">
        <v>439</v>
      </c>
      <c r="H114" s="40" t="s">
        <v>118</v>
      </c>
      <c r="I114" s="26">
        <f t="shared" ref="I114:I115" si="19">1*I113</f>
        <v>4</v>
      </c>
      <c r="J114" s="26" t="str">
        <f>IFERROR(__xludf.DUMMYFUNCTION("VLOOKUP(G114,IMPORTRANGE(""https://docs.google.com/spreadsheets/d/12RxCea4e5ggM7QGn1XE3FbLQa_-QbCNdBi90OdPjRqg/edit?gid=1692403370#gid=1692403370"", ""'Plan de Compras'!D4:2432""), 8,0)"),"#N/A")</f>
        <v>#N/A</v>
      </c>
      <c r="K114" s="26" t="str">
        <f t="shared" si="1"/>
        <v>-</v>
      </c>
      <c r="L114" s="29"/>
      <c r="M114" s="61"/>
      <c r="N114" s="42"/>
      <c r="O114" s="32"/>
      <c r="P114" s="32"/>
      <c r="Q114" s="41"/>
      <c r="R114" s="61"/>
      <c r="S114" s="34" t="b">
        <v>0</v>
      </c>
      <c r="T114" s="35"/>
      <c r="U114" s="35"/>
      <c r="V114" s="35"/>
      <c r="W114" s="37"/>
      <c r="X114" s="37"/>
      <c r="Y114" s="32"/>
      <c r="Z114" s="38"/>
      <c r="AA114" s="38" t="str">
        <f t="shared" si="16"/>
        <v>FALSE</v>
      </c>
      <c r="AB114" s="37" t="str">
        <f>IFERROR(__xludf.DUMMYFUNCTION("IFERROR(IF(OR(C114=TRUE,C114=""""),VLOOKUP(G114,IMPORTRANGE(""https://docs.google.com/spreadsheets/d/1z9A1Wq-kKrhRNG5RS2a2fKpY1wIhSVz2ZNmP2mOl588/edit?usp=sharing"",""REQ VF!E4:H""),4,0),""NO APLICA""),""GENERAR REQ"")"),"NO APLICA")</f>
        <v>NO APLICA</v>
      </c>
      <c r="AC114" s="37" t="str">
        <f>IFERROR(__xludf.DUMMYFUNCTION("IFERROR(QUERY(IMPORTRANGE(""https://docs.google.com/spreadsheets/d/1z9A1Wq-kKrhRNG5RS2a2fKpY1wIhSVz2ZNmP2mOl588/edit?usp=sharing"",""REQ VF!E4:Q""),""SELECT Col10, Col11, Col12 WHERE Col1 = '""&amp;G114&amp;""'"",0),""NO APLICA"")"),"NO APLICA")</f>
        <v>NO APLICA</v>
      </c>
      <c r="AD114" s="37"/>
      <c r="AE114" s="37"/>
      <c r="AF114" s="8"/>
      <c r="AG114" s="13"/>
    </row>
    <row r="115">
      <c r="A115" s="26"/>
      <c r="B115" s="26" t="b">
        <v>0</v>
      </c>
      <c r="C115" s="26" t="b">
        <v>0</v>
      </c>
      <c r="D115" s="26" t="s">
        <v>42</v>
      </c>
      <c r="E115" s="26" t="s">
        <v>36</v>
      </c>
      <c r="F115" s="27" t="s">
        <v>440</v>
      </c>
      <c r="G115" s="73" t="s">
        <v>441</v>
      </c>
      <c r="H115" s="74" t="s">
        <v>371</v>
      </c>
      <c r="I115" s="75">
        <f t="shared" si="19"/>
        <v>4</v>
      </c>
      <c r="J115" s="26" t="str">
        <f>IFERROR(__xludf.DUMMYFUNCTION("VLOOKUP(G115,IMPORTRANGE(""https://docs.google.com/spreadsheets/d/12RxCea4e5ggM7QGn1XE3FbLQa_-QbCNdBi90OdPjRqg/edit?gid=1692403370#gid=1692403370"", ""'Plan de Compras'!D4:2432""), 8,0)"),"#N/A")</f>
        <v>#N/A</v>
      </c>
      <c r="K115" s="26" t="str">
        <f t="shared" si="1"/>
        <v>-</v>
      </c>
      <c r="L115" s="29"/>
      <c r="M115" s="61"/>
      <c r="N115" s="42"/>
      <c r="O115" s="32"/>
      <c r="P115" s="32"/>
      <c r="Q115" s="41"/>
      <c r="R115" s="61"/>
      <c r="S115" s="34" t="b">
        <v>0</v>
      </c>
      <c r="T115" s="35"/>
      <c r="U115" s="35"/>
      <c r="V115" s="35"/>
      <c r="W115" s="37"/>
      <c r="X115" s="37"/>
      <c r="Y115" s="32"/>
      <c r="Z115" s="38"/>
      <c r="AA115" s="38" t="str">
        <f t="shared" si="16"/>
        <v>FALSE</v>
      </c>
      <c r="AB115" s="37" t="str">
        <f>IFERROR(__xludf.DUMMYFUNCTION("IFERROR(IF(OR(C115=TRUE,C115=""""),VLOOKUP(G115,IMPORTRANGE(""https://docs.google.com/spreadsheets/d/1z9A1Wq-kKrhRNG5RS2a2fKpY1wIhSVz2ZNmP2mOl588/edit?usp=sharing"",""REQ VF!E4:H""),4,0),""NO APLICA""),""GENERAR REQ"")"),"NO APLICA")</f>
        <v>NO APLICA</v>
      </c>
      <c r="AC115" s="37" t="str">
        <f>IFERROR(__xludf.DUMMYFUNCTION("IFERROR(QUERY(IMPORTRANGE(""https://docs.google.com/spreadsheets/d/1z9A1Wq-kKrhRNG5RS2a2fKpY1wIhSVz2ZNmP2mOl588/edit?usp=sharing"",""REQ VF!E4:Q""),""SELECT Col10, Col11, Col12 WHERE Col1 = '""&amp;G115&amp;""'"",0),""NO APLICA"")"),"NO APLICA")</f>
        <v>NO APLICA</v>
      </c>
      <c r="AD115" s="37"/>
      <c r="AE115" s="37"/>
      <c r="AF115" s="8"/>
      <c r="AG115" s="13"/>
    </row>
    <row r="116">
      <c r="A116" s="26">
        <v>50.0</v>
      </c>
      <c r="B116" s="26" t="b">
        <v>1</v>
      </c>
      <c r="C116" s="26" t="b">
        <v>1</v>
      </c>
      <c r="D116" s="26" t="s">
        <v>35</v>
      </c>
      <c r="E116" s="26" t="s">
        <v>36</v>
      </c>
      <c r="F116" s="27" t="s">
        <v>440</v>
      </c>
      <c r="G116" s="37" t="s">
        <v>440</v>
      </c>
      <c r="H116" s="45" t="s">
        <v>442</v>
      </c>
      <c r="I116" s="26">
        <f>SUMIFS('Hoja 10'!$O:$O,'Hoja 10'!$F:$F,$G116)</f>
        <v>4</v>
      </c>
      <c r="J116" s="26">
        <f>IFERROR(__xludf.DUMMYFUNCTION("VLOOKUP(G116,IMPORTRANGE(""https://docs.google.com/spreadsheets/d/12RxCea4e5ggM7QGn1XE3FbLQa_-QbCNdBi90OdPjRqg/edit?gid=1692403370#gid=1692403370"", ""'Plan de Compras'!D4:2432""), 8,0)"),4.0)</f>
        <v>4</v>
      </c>
      <c r="K116" s="26" t="str">
        <f t="shared" si="1"/>
        <v>SI</v>
      </c>
      <c r="L116" s="29" t="s">
        <v>296</v>
      </c>
      <c r="M116" s="30" t="s">
        <v>297</v>
      </c>
      <c r="N116" s="42"/>
      <c r="O116" s="32" t="str">
        <f>VLOOKUP($G116,'Hoja 10'!$F$4:$AA478, 19,0)</f>
        <v>HOLZSTAR</v>
      </c>
      <c r="P116" s="32" t="str">
        <f>VLOOKUP($G116,'Hoja 10'!$F$4:$AA478, 20,0)</f>
        <v>SAA 2001 (230V)</v>
      </c>
      <c r="Q116" s="33" t="str">
        <f>VLOOKUP($G116,'Hoja 10'!$F$4:$AA478, 21,0)</f>
        <v>https://www.aslak.es/madera/5922201-sistema-de-aspiracion-saa-2001.html</v>
      </c>
      <c r="R116" s="30" t="s">
        <v>443</v>
      </c>
      <c r="S116" s="34" t="b">
        <v>1</v>
      </c>
      <c r="T116" s="35" t="str">
        <f>IFERROR(__xludf.DUMMYFUNCTION(" IF
( VLOOKUP($G116,IMPORTRANGE(""https://docs.google.com/spreadsheets/d/1Gpl6jkTg7sL4VDNimUm3S9Vi1i95esohXCF3wuKOE8c"", ""'CONSOLIDADO'!G5:AB""), 10, 0) &lt;&gt; 0, 
IFERROR(VLOOKUP($G116,IMPORTRANGE(""https://docs.google.com/spreadsheets/d/1Gpl6jkTg7sL4VDNimU"&amp;"m3S9Vi1i95esohXCF3wuKOE8c"", ""'CONSOLIDADO'!G5:AB""), 17, 0), ""-""),
""""
)"),"HOLZSTAR")</f>
        <v>HOLZSTAR</v>
      </c>
      <c r="U116" s="35" t="str">
        <f>IFERROR(__xludf.DUMMYFUNCTION(" IF
( VLOOKUP($G116,IMPORTRANGE(""https://docs.google.com/spreadsheets/d/1Gpl6jkTg7sL4VDNimUm3S9Vi1i95esohXCF3wuKOE8c"", ""'CONSOLIDADO'!G5:AB""), 10, 0) &lt;&gt; 0, 
IFERROR(VLOOKUP($G116,IMPORTRANGE(""https://docs.google.com/spreadsheets/d/1Gpl6jkTg7sL4VDNimU"&amp;"m3S9Vi1i95esohXCF3wuKOE8c"", ""'CONSOLIDADO'!G5:AB""), 18, 0), ""-""),
""""
)"),"SAA 2001 (230V)")</f>
        <v>SAA 2001 (230V)</v>
      </c>
      <c r="V116" s="36" t="str">
        <f>IFERROR(__xludf.DUMMYFUNCTION(" IF
( VLOOKUP($G116,IMPORTRANGE(""https://docs.google.com/spreadsheets/d/1Gpl6jkTg7sL4VDNimUm3S9Vi1i95esohXCF3wuKOE8c"", ""'CONSOLIDADO'!G5:AB""), 10, 0) &lt;&gt; 0, 
IFERROR(VLOOKUP($G116,IMPORTRANGE(""https://docs.google.com/spreadsheets/d/1Gpl6jkTg7sL4VDNimU"&amp;"m3S9Vi1i95esohXCF3wuKOE8c"", ""'CONSOLIDADO'!G5:AB""), 19, 0), ""-""),
""""
)"),"https://www.aslak.es/madera/5922201-sistema-de-aspiracion-saa-2001.html")</f>
        <v>https://www.aslak.es/madera/5922201-sistema-de-aspiracion-saa-2001.html</v>
      </c>
      <c r="W116" s="37" t="str">
        <f>IFERROR(__xludf.DUMMYFUNCTION("IFERROR(VLOOKUP(G116,IMPORTRANGE(""https://docs.google.com/spreadsheets/d/12RxCea4e5ggM7QGn1XE3FbLQa_-QbCNdBi90OdPjRqg"", ""'Plan de Compras'!D4:Q""), 12, 0), ""NO ESTÁ EN REQ"")"),"Técnica")</f>
        <v>Técnica</v>
      </c>
      <c r="X116" s="37" t="str">
        <f>IFERROR(__xludf.DUMMYFUNCTION("IFERROR(VLOOKUP(G116,IMPORTRANGE(""https://docs.google.com/spreadsheets/d/12RxCea4e5ggM7QGn1XE3FbLQa_-QbCNdBi90OdPjRqg"", ""'Plan de Compras'!D4:Q""), 13, 0), """")"),"INTERNACIONAL")</f>
        <v>INTERNACIONAL</v>
      </c>
      <c r="Y116" s="32" t="str">
        <f>IFERROR(__xludf.DUMMYFUNCTION("IFERROR(VLOOKUP(G116,IMPORTRANGE(""https://docs.google.com/spreadsheets/d/12RxCea4e5ggM7QGn1XE3FbLQa_-QbCNdBi90OdPjRqg"", ""'Plan de Compras'!D4:Q""), 14, 0), """")"),"GEYDI")</f>
        <v>GEYDI</v>
      </c>
      <c r="Z116" s="38" t="str">
        <f>IFERROR(__xludf.DUMMYFUNCTION("IFERROR(VLOOKUP(G116,IMPORTRANGE(""https://docs.google.com/spreadsheets/d/12RxCea4e5ggM7QGn1XE3FbLQa_-QbCNdBi90OdPjRqg"", ""'Plan de Compras'!D4:Q""), 4, 0), """")"),"EQUIPO DE ASPIRACIÓN")</f>
        <v>EQUIPO DE ASPIRACIÓN</v>
      </c>
      <c r="AA116" s="38" t="str">
        <f t="shared" si="16"/>
        <v>TRUE</v>
      </c>
      <c r="AB116" s="37" t="str">
        <f>IFERROR(__xludf.DUMMYFUNCTION("IFERROR(IF(OR(C116=TRUE,C116=""""),VLOOKUP(G116,IMPORTRANGE(""https://docs.google.com/spreadsheets/d/1z9A1Wq-kKrhRNG5RS2a2fKpY1wIhSVz2ZNmP2mOl588/edit?usp=sharing"",""REQ VF!E4:H""),4,0),""NO APLICA""),""GENERAR REQ"")"),"GENERAR REQ")</f>
        <v>GENERAR REQ</v>
      </c>
      <c r="AC116" s="37" t="str">
        <f>IFERROR(__xludf.DUMMYFUNCTION("IFERROR(QUERY(IMPORTRANGE(""https://docs.google.com/spreadsheets/d/1z9A1Wq-kKrhRNG5RS2a2fKpY1wIhSVz2ZNmP2mOl588/edit?usp=sharing"",""REQ VF!E4:Q""),""SELECT Col10, Col11, Col12 WHERE Col1 = '""&amp;G116&amp;""'"",0),""NO APLICA"")"),"NO APLICA")</f>
        <v>NO APLICA</v>
      </c>
      <c r="AD116" s="37"/>
      <c r="AE116" s="37"/>
      <c r="AF116" s="8" t="s">
        <v>52</v>
      </c>
      <c r="AG116" s="13"/>
    </row>
    <row r="117">
      <c r="A117" s="26"/>
      <c r="B117" s="26" t="b">
        <v>0</v>
      </c>
      <c r="C117" s="26" t="b">
        <v>1</v>
      </c>
      <c r="D117" s="26" t="s">
        <v>42</v>
      </c>
      <c r="E117" s="26" t="s">
        <v>36</v>
      </c>
      <c r="F117" s="27" t="s">
        <v>440</v>
      </c>
      <c r="G117" s="39" t="s">
        <v>444</v>
      </c>
      <c r="H117" s="40" t="s">
        <v>445</v>
      </c>
      <c r="I117" s="26">
        <v>4.0</v>
      </c>
      <c r="J117" s="26">
        <f>IFERROR(__xludf.DUMMYFUNCTION("VLOOKUP(G117,IMPORTRANGE(""https://docs.google.com/spreadsheets/d/12RxCea4e5ggM7QGn1XE3FbLQa_-QbCNdBi90OdPjRqg/edit?gid=1692403370#gid=1692403370"", ""'Plan de Compras'!D4:2432""), 8,0)"),4.0)</f>
        <v>4</v>
      </c>
      <c r="K117" s="26" t="str">
        <f t="shared" si="1"/>
        <v>SI</v>
      </c>
      <c r="L117" s="29"/>
      <c r="M117" s="61"/>
      <c r="N117" s="42"/>
      <c r="O117" s="32"/>
      <c r="P117" s="32"/>
      <c r="Q117" s="41"/>
      <c r="R117" s="61"/>
      <c r="S117" s="34" t="b">
        <v>1</v>
      </c>
      <c r="T117" s="35" t="s">
        <v>446</v>
      </c>
      <c r="U117" s="35">
        <v>5922201.0</v>
      </c>
      <c r="V117" s="36" t="s">
        <v>447</v>
      </c>
      <c r="W117" s="37" t="str">
        <f>IFERROR(__xludf.DUMMYFUNCTION("IFERROR(VLOOKUP(G117,IMPORTRANGE(""https://docs.google.com/spreadsheets/d/12RxCea4e5ggM7QGn1XE3FbLQa_-QbCNdBi90OdPjRqg"", ""'Plan de Compras'!D4:Q""), 12, 0), ""NO ESTÁ EN REQ"")"),"Simple")</f>
        <v>Simple</v>
      </c>
      <c r="X117" s="37" t="str">
        <f>IFERROR(__xludf.DUMMYFUNCTION("IFERROR(VLOOKUP(G117,IMPORTRANGE(""https://docs.google.com/spreadsheets/d/12RxCea4e5ggM7QGn1XE3FbLQa_-QbCNdBi90OdPjRqg"", ""'Plan de Compras'!D4:Q""), 13, 0), """")"),"INTERNACIONAL")</f>
        <v>INTERNACIONAL</v>
      </c>
      <c r="Y117" s="32" t="str">
        <f>IFERROR(__xludf.DUMMYFUNCTION("IFERROR(VLOOKUP(G117,IMPORTRANGE(""https://docs.google.com/spreadsheets/d/12RxCea4e5ggM7QGn1XE3FbLQa_-QbCNdBi90OdPjRqg"", ""'Plan de Compras'!D4:Q""), 14, 0), """")"),"GEYDI")</f>
        <v>GEYDI</v>
      </c>
      <c r="Z117" s="38"/>
      <c r="AA117" s="38" t="str">
        <f t="shared" si="16"/>
        <v>FALSE</v>
      </c>
      <c r="AB117" s="37" t="str">
        <f>IFERROR(__xludf.DUMMYFUNCTION("IFERROR(IF(OR(C117=TRUE,C117=""""),VLOOKUP(G117,IMPORTRANGE(""https://docs.google.com/spreadsheets/d/1z9A1Wq-kKrhRNG5RS2a2fKpY1wIhSVz2ZNmP2mOl588/edit?usp=sharing"",""REQ VF!E4:H""),4,0),""NO APLICA""),""GENERAR REQ"")"),"GENERAR REQ")</f>
        <v>GENERAR REQ</v>
      </c>
      <c r="AC117" s="37" t="str">
        <f>IFERROR(__xludf.DUMMYFUNCTION("IFERROR(QUERY(IMPORTRANGE(""https://docs.google.com/spreadsheets/d/1z9A1Wq-kKrhRNG5RS2a2fKpY1wIhSVz2ZNmP2mOl588/edit?usp=sharing"",""REQ VF!E4:Q""),""SELECT Col10, Col11, Col12 WHERE Col1 = '""&amp;G117&amp;""'"",0),""NO APLICA"")"),"NO APLICA")</f>
        <v>NO APLICA</v>
      </c>
      <c r="AD117" s="37"/>
      <c r="AE117" s="37"/>
      <c r="AF117" s="8"/>
      <c r="AG117" s="13"/>
    </row>
    <row r="118">
      <c r="A118" s="26">
        <v>51.0</v>
      </c>
      <c r="B118" s="26" t="b">
        <v>1</v>
      </c>
      <c r="C118" s="26" t="b">
        <v>1</v>
      </c>
      <c r="D118" s="26" t="s">
        <v>35</v>
      </c>
      <c r="E118" s="26" t="s">
        <v>36</v>
      </c>
      <c r="F118" s="27" t="s">
        <v>448</v>
      </c>
      <c r="G118" s="37" t="s">
        <v>448</v>
      </c>
      <c r="H118" s="45" t="s">
        <v>449</v>
      </c>
      <c r="I118" s="26">
        <f>SUMIFS('Hoja 10'!$O:$O,'Hoja 10'!$F:$F,$G118)</f>
        <v>4</v>
      </c>
      <c r="J118" s="26">
        <f>IFERROR(__xludf.DUMMYFUNCTION("VLOOKUP(G118,IMPORTRANGE(""https://docs.google.com/spreadsheets/d/12RxCea4e5ggM7QGn1XE3FbLQa_-QbCNdBi90OdPjRqg/edit?gid=1692403370#gid=1692403370"", ""'Plan de Compras'!D4:2432""), 8,0)"),4.0)</f>
        <v>4</v>
      </c>
      <c r="K118" s="26" t="str">
        <f t="shared" si="1"/>
        <v>SI</v>
      </c>
      <c r="L118" s="29" t="s">
        <v>39</v>
      </c>
      <c r="M118" s="30" t="s">
        <v>40</v>
      </c>
      <c r="N118" s="42"/>
      <c r="O118" s="32" t="str">
        <f>VLOOKUP($G118,'Hoja 10'!$F$4:$AA478, 19,0)</f>
        <v>DELANI</v>
      </c>
      <c r="P118" s="32" t="str">
        <f>VLOOKUP($G118,'Hoja 10'!$F$4:$AA478, 20,0)</f>
        <v>BEAN CLEANER 50</v>
      </c>
      <c r="Q118" s="33" t="str">
        <f>VLOOKUP($G118,'Hoja 10'!$F$4:$AA478, 21,0)</f>
        <v>https://delanitrading.com/producto/separador-de-piedras-e-impurezas-bean-cleaner/</v>
      </c>
      <c r="R118" s="30" t="s">
        <v>450</v>
      </c>
      <c r="S118" s="34" t="b">
        <v>1</v>
      </c>
      <c r="T118" s="35" t="str">
        <f>IFERROR(__xludf.DUMMYFUNCTION(" IF
( VLOOKUP($G118,IMPORTRANGE(""https://docs.google.com/spreadsheets/d/1Gpl6jkTg7sL4VDNimUm3S9Vi1i95esohXCF3wuKOE8c"", ""'CONSOLIDADO'!G5:AB""), 10, 0) &lt;&gt; 0, 
IFERROR(VLOOKUP($G118,IMPORTRANGE(""https://docs.google.com/spreadsheets/d/1Gpl6jkTg7sL4VDNimU"&amp;"m3S9Vi1i95esohXCF3wuKOE8c"", ""'CONSOLIDADO'!G5:AB""), 17, 0), ""-""),
""""
)"),"DELANI")</f>
        <v>DELANI</v>
      </c>
      <c r="U118" s="35" t="str">
        <f>IFERROR(__xludf.DUMMYFUNCTION(" IF
( VLOOKUP($G118,IMPORTRANGE(""https://docs.google.com/spreadsheets/d/1Gpl6jkTg7sL4VDNimUm3S9Vi1i95esohXCF3wuKOE8c"", ""'CONSOLIDADO'!G5:AB""), 10, 0) &lt;&gt; 0, 
IFERROR(VLOOKUP($G118,IMPORTRANGE(""https://docs.google.com/spreadsheets/d/1Gpl6jkTg7sL4VDNimU"&amp;"m3S9Vi1i95esohXCF3wuKOE8c"", ""'CONSOLIDADO'!G5:AB""), 18, 0), ""-""),
""""
)"),"BEAN CLEANER 50")</f>
        <v>BEAN CLEANER 50</v>
      </c>
      <c r="V118" s="36" t="str">
        <f>IFERROR(__xludf.DUMMYFUNCTION(" IF
( VLOOKUP($G118,IMPORTRANGE(""https://docs.google.com/spreadsheets/d/1Gpl6jkTg7sL4VDNimUm3S9Vi1i95esohXCF3wuKOE8c"", ""'CONSOLIDADO'!G5:AB""), 10, 0) &lt;&gt; 0, 
IFERROR(VLOOKUP($G118,IMPORTRANGE(""https://docs.google.com/spreadsheets/d/1Gpl6jkTg7sL4VDNimU"&amp;"m3S9Vi1i95esohXCF3wuKOE8c"", ""'CONSOLIDADO'!G5:AB""), 19, 0), ""-""),
""""
)"),"https://delanitrading.com/producto/separador-de-piedras-e-impurezas-bean-cleaner/")</f>
        <v>https://delanitrading.com/producto/separador-de-piedras-e-impurezas-bean-cleaner/</v>
      </c>
      <c r="W118" s="37" t="str">
        <f>IFERROR(__xludf.DUMMYFUNCTION("IFERROR(VLOOKUP(G118,IMPORTRANGE(""https://docs.google.com/spreadsheets/d/12RxCea4e5ggM7QGn1XE3FbLQa_-QbCNdBi90OdPjRqg"", ""'Plan de Compras'!D4:Q""), 12, 0), ""NO ESTÁ EN REQ"")"),"Técnica")</f>
        <v>Técnica</v>
      </c>
      <c r="X118" s="37" t="str">
        <f>IFERROR(__xludf.DUMMYFUNCTION("IFERROR(VLOOKUP(G118,IMPORTRANGE(""https://docs.google.com/spreadsheets/d/12RxCea4e5ggM7QGn1XE3FbLQa_-QbCNdBi90OdPjRqg"", ""'Plan de Compras'!D4:Q""), 13, 0), """")"),"NACIONAL")</f>
        <v>NACIONAL</v>
      </c>
      <c r="Y118" s="32" t="str">
        <f>IFERROR(__xludf.DUMMYFUNCTION("IFERROR(VLOOKUP(G118,IMPORTRANGE(""https://docs.google.com/spreadsheets/d/12RxCea4e5ggM7QGn1XE3FbLQa_-QbCNdBi90OdPjRqg"", ""'Plan de Compras'!D4:Q""), 14, 0), """")"),"JESSICA")</f>
        <v>JESSICA</v>
      </c>
      <c r="Z118" s="38" t="str">
        <f>IFERROR(__xludf.DUMMYFUNCTION("IFERROR(VLOOKUP(G118,IMPORTRANGE(""https://docs.google.com/spreadsheets/d/12RxCea4e5ggM7QGn1XE3FbLQa_-QbCNdBi90OdPjRqg"", ""'Plan de Compras'!D4:Q""), 4, 0), """")"),"EQUIPO DESPEDREGADORA")</f>
        <v>EQUIPO DESPEDREGADORA</v>
      </c>
      <c r="AA118" s="38" t="str">
        <f t="shared" si="16"/>
        <v>TRUE</v>
      </c>
      <c r="AB118" s="37" t="str">
        <f>IFERROR(__xludf.DUMMYFUNCTION("IFERROR(IF(OR(C118=TRUE,C118=""""),VLOOKUP(G118,IMPORTRANGE(""https://docs.google.com/spreadsheets/d/1z9A1Wq-kKrhRNG5RS2a2fKpY1wIhSVz2ZNmP2mOl588/edit?usp=sharing"",""REQ VF!E4:H""),4,0),""NO APLICA""),""GENERAR REQ"")"),"GENERAR REQ")</f>
        <v>GENERAR REQ</v>
      </c>
      <c r="AC118" s="37" t="str">
        <f>IFERROR(__xludf.DUMMYFUNCTION("IFERROR(QUERY(IMPORTRANGE(""https://docs.google.com/spreadsheets/d/1z9A1Wq-kKrhRNG5RS2a2fKpY1wIhSVz2ZNmP2mOl588/edit?usp=sharing"",""REQ VF!E4:Q""),""SELECT Col10, Col11, Col12 WHERE Col1 = '""&amp;G118&amp;""'"",0),""NO APLICA"")"),"NO APLICA")</f>
        <v>NO APLICA</v>
      </c>
      <c r="AD118" s="37"/>
      <c r="AE118" s="37"/>
      <c r="AF118" s="8" t="s">
        <v>52</v>
      </c>
      <c r="AG118" s="13"/>
    </row>
    <row r="119">
      <c r="A119" s="26"/>
      <c r="B119" s="26"/>
      <c r="C119" s="26" t="b">
        <v>1</v>
      </c>
      <c r="D119" s="26" t="s">
        <v>42</v>
      </c>
      <c r="E119" s="26" t="s">
        <v>36</v>
      </c>
      <c r="F119" s="59" t="s">
        <v>448</v>
      </c>
      <c r="G119" s="39" t="s">
        <v>451</v>
      </c>
      <c r="H119" s="40" t="s">
        <v>44</v>
      </c>
      <c r="I119" s="43">
        <f>$I$118</f>
        <v>4</v>
      </c>
      <c r="J119" s="26">
        <f>IFERROR(__xludf.DUMMYFUNCTION("VLOOKUP(G119,IMPORTRANGE(""https://docs.google.com/spreadsheets/d/12RxCea4e5ggM7QGn1XE3FbLQa_-QbCNdBi90OdPjRqg/edit?gid=1692403370#gid=1692403370"", ""'Plan de Compras'!D4:2432""), 8,0)"),4.0)</f>
        <v>4</v>
      </c>
      <c r="K119" s="26" t="str">
        <f t="shared" si="1"/>
        <v>SI</v>
      </c>
      <c r="L119" s="26"/>
      <c r="M119" s="41"/>
      <c r="N119" s="26" t="s">
        <v>45</v>
      </c>
      <c r="O119" s="42"/>
      <c r="P119" s="26" t="s">
        <v>452</v>
      </c>
      <c r="Q119" s="47"/>
      <c r="R119" s="41"/>
      <c r="S119" s="34" t="b">
        <v>1</v>
      </c>
      <c r="T119" s="35" t="s">
        <v>47</v>
      </c>
      <c r="U119" s="43" t="s">
        <v>453</v>
      </c>
      <c r="V119" s="44"/>
      <c r="W119" s="37" t="str">
        <f>IFERROR(__xludf.DUMMYFUNCTION("IFERROR(VLOOKUP(G119,IMPORTRANGE(""https://docs.google.com/spreadsheets/d/12RxCea4e5ggM7QGn1XE3FbLQa_-QbCNdBi90OdPjRqg"", ""'Plan de Compras'!D4:Q""), 12, 0), ""NO ESTÁ EN REQ"")"),"Simple")</f>
        <v>Simple</v>
      </c>
      <c r="X119" s="37" t="str">
        <f>IFERROR(__xludf.DUMMYFUNCTION("IFERROR(VLOOKUP(G119,IMPORTRANGE(""https://docs.google.com/spreadsheets/d/12RxCea4e5ggM7QGn1XE3FbLQa_-QbCNdBi90OdPjRqg"", ""'Plan de Compras'!D4:Q""), 13, 0), """")"),"NACIONAL")</f>
        <v>NACIONAL</v>
      </c>
      <c r="Y119" s="32" t="str">
        <f>IFERROR(__xludf.DUMMYFUNCTION("IFERROR(VLOOKUP(G119,IMPORTRANGE(""https://docs.google.com/spreadsheets/d/12RxCea4e5ggM7QGn1XE3FbLQa_-QbCNdBi90OdPjRqg"", ""'Plan de Compras'!D4:Q""), 14, 0), """")"),"ANGIE")</f>
        <v>ANGIE</v>
      </c>
      <c r="Z119" s="38" t="str">
        <f>IFERROR(__xludf.DUMMYFUNCTION("IFERROR(VLOOKUP(G119,IMPORTRANGE(""https://docs.google.com/spreadsheets/d/12RxCea4e5ggM7QGn1XE3FbLQa_-QbCNdBi90OdPjRqg"", ""'Plan de Compras'!D4:Q""), 4, 0), """")"),"FUNDA IMPERMEABLE (1 UND)")</f>
        <v>FUNDA IMPERMEABLE (1 UND)</v>
      </c>
      <c r="AA119" s="38" t="str">
        <f t="shared" si="16"/>
        <v>TRUE</v>
      </c>
      <c r="AB119" s="37" t="str">
        <f>IFERROR(__xludf.DUMMYFUNCTION("IFERROR(IF(OR(C119=TRUE,C119=""""),VLOOKUP(G119,IMPORTRANGE(""https://docs.google.com/spreadsheets/d/1z9A1Wq-kKrhRNG5RS2a2fKpY1wIhSVz2ZNmP2mOl588/edit?usp=sharing"",""REQ VF!E4:H""),4,0),""NO APLICA""),""GENERAR REQ"")"),"GENERAR REQ")</f>
        <v>GENERAR REQ</v>
      </c>
      <c r="AC119" s="37" t="str">
        <f>IFERROR(__xludf.DUMMYFUNCTION("IFERROR(QUERY(IMPORTRANGE(""https://docs.google.com/spreadsheets/d/1z9A1Wq-kKrhRNG5RS2a2fKpY1wIhSVz2ZNmP2mOl588/edit?usp=sharing"",""REQ VF!E4:Q""),""SELECT Col10, Col11, Col12 WHERE Col1 = '""&amp;G119&amp;""'"",0),""NO APLICA"")"),"NO APLICA")</f>
        <v>NO APLICA</v>
      </c>
      <c r="AD119" s="37"/>
      <c r="AE119" s="37"/>
      <c r="AF119" s="13"/>
      <c r="AG119" s="13"/>
    </row>
    <row r="120">
      <c r="A120" s="26">
        <v>52.0</v>
      </c>
      <c r="B120" s="26" t="b">
        <v>1</v>
      </c>
      <c r="C120" s="26" t="b">
        <v>0</v>
      </c>
      <c r="D120" s="26" t="s">
        <v>35</v>
      </c>
      <c r="E120" s="26" t="s">
        <v>36</v>
      </c>
      <c r="F120" s="27" t="s">
        <v>454</v>
      </c>
      <c r="G120" s="37" t="s">
        <v>454</v>
      </c>
      <c r="H120" s="45" t="s">
        <v>455</v>
      </c>
      <c r="I120" s="26">
        <f>SUMIFS('Hoja 10'!$O:$O,'Hoja 10'!$F:$F,$G120)</f>
        <v>2</v>
      </c>
      <c r="J120" s="26" t="str">
        <f>IFERROR(__xludf.DUMMYFUNCTION("VLOOKUP(G120,IMPORTRANGE(""https://docs.google.com/spreadsheets/d/12RxCea4e5ggM7QGn1XE3FbLQa_-QbCNdBi90OdPjRqg/edit?gid=1692403370#gid=1692403370"", ""'Plan de Compras'!D4:2432""), 8,0)"),"#N/A")</f>
        <v>#N/A</v>
      </c>
      <c r="K120" s="26" t="str">
        <f t="shared" si="1"/>
        <v>-</v>
      </c>
      <c r="L120" s="29" t="s">
        <v>91</v>
      </c>
      <c r="M120" s="30" t="s">
        <v>92</v>
      </c>
      <c r="N120" s="42"/>
      <c r="O120" s="32" t="str">
        <f>VLOOKUP($G120,'Hoja 10'!$F$4:$AA478, 19,0)</f>
        <v>TRUPER</v>
      </c>
      <c r="P120" s="32" t="str">
        <f>VLOOKUP($G120,'Hoja 10'!$F$4:$AA478, 20,0)</f>
        <v>PIPI-502 &amp; MAN-PI-5-1/4</v>
      </c>
      <c r="Q120" s="33" t="str">
        <f>VLOOKUP($G120,'Hoja 10'!$F$4:$AA478, 21,0)</f>
        <v>https://www.truper.com/CatVigente/Pistolas-de-aire-de-GRAVEDAD-hibridas-aerografo-y-mueble-exhibidor-TRUPER-103.html</v>
      </c>
      <c r="R120" s="30" t="s">
        <v>456</v>
      </c>
      <c r="S120" s="34" t="b">
        <v>1</v>
      </c>
      <c r="T120" s="35" t="str">
        <f>IFERROR(__xludf.DUMMYFUNCTION(" IF
( VLOOKUP($G120,IMPORTRANGE(""https://docs.google.com/spreadsheets/d/1Gpl6jkTg7sL4VDNimUm3S9Vi1i95esohXCF3wuKOE8c"", ""'CONSOLIDADO'!G5:AB""), 10, 0) &lt;&gt; 0, 
IFERROR(VLOOKUP($G120,IMPORTRANGE(""https://docs.google.com/spreadsheets/d/1Gpl6jkTg7sL4VDNimU"&amp;"m3S9Vi1i95esohXCF3wuKOE8c"", ""'CONSOLIDADO'!G5:AB""), 17, 0), ""-""),
""""
)"),"TRUPER")</f>
        <v>TRUPER</v>
      </c>
      <c r="U120" s="35" t="str">
        <f>IFERROR(__xludf.DUMMYFUNCTION(" IF
( VLOOKUP($G120,IMPORTRANGE(""https://docs.google.com/spreadsheets/d/1Gpl6jkTg7sL4VDNimUm3S9Vi1i95esohXCF3wuKOE8c"", ""'CONSOLIDADO'!G5:AB""), 10, 0) &lt;&gt; 0, 
IFERROR(VLOOKUP($G120,IMPORTRANGE(""https://docs.google.com/spreadsheets/d/1Gpl6jkTg7sL4VDNimU"&amp;"m3S9Vi1i95esohXCF3wuKOE8c"", ""'CONSOLIDADO'!G5:AB""), 18, 0), ""-""),
""""
)"),"PIPI-441 / MAN-HI-15-1/4	")</f>
        <v>PIPI-441 / MAN-HI-15-1/4	</v>
      </c>
      <c r="V120" s="35" t="str">
        <f>IFERROR(__xludf.DUMMYFUNCTION(" IF
( VLOOKUP($G120,IMPORTRANGE(""https://docs.google.com/spreadsheets/d/1Gpl6jkTg7sL4VDNimUm3S9Vi1i95esohXCF3wuKOE8c"", ""'CONSOLIDADO'!G5:AB""), 10, 0) &lt;&gt; 0, 
IFERROR(VLOOKUP($G120,IMPORTRANGE(""https://docs.google.com/spreadsheets/d/1Gpl6jkTg7sL4VDNimU"&amp;"m3S9Vi1i95esohXCF3wuKOE8c"", ""'CONSOLIDADO'!G5:AB""), 19, 0), ""-""),
""""
)"),"https://www.truper.com/ficha_tecnica/Pistola-p-pintar-gravedad-HVLP-vaso-plastico-boquilla-17mm-252814.html?code=12129 
https://www.truper.com/ficha_tecnica/Rollo-de-manguera-hibrida-1-4-para-compresor-15-m-Truper.html?code=102472 ")</f>
        <v>https://www.truper.com/ficha_tecnica/Pistola-p-pintar-gravedad-HVLP-vaso-plastico-boquilla-17mm-252814.html?code=12129 
https://www.truper.com/ficha_tecnica/Rollo-de-manguera-hibrida-1-4-para-compresor-15-m-Truper.html?code=102472 </v>
      </c>
      <c r="W120" s="37" t="str">
        <f>IFERROR(__xludf.DUMMYFUNCTION("IFERROR(VLOOKUP(G120,IMPORTRANGE(""https://docs.google.com/spreadsheets/d/12RxCea4e5ggM7QGn1XE3FbLQa_-QbCNdBi90OdPjRqg"", ""'Plan de Compras'!D4:Q""), 12, 0), ""NO ESTÁ EN REQ"")"),"NO ESTÁ EN REQ")</f>
        <v>NO ESTÁ EN REQ</v>
      </c>
      <c r="X120" s="37" t="str">
        <f>IFERROR(__xludf.DUMMYFUNCTION("IFERROR(VLOOKUP(G120,IMPORTRANGE(""https://docs.google.com/spreadsheets/d/12RxCea4e5ggM7QGn1XE3FbLQa_-QbCNdBi90OdPjRqg"", ""'Plan de Compras'!D4:Q""), 13, 0), """")"),"")</f>
        <v/>
      </c>
      <c r="Y120" s="32" t="str">
        <f>IFERROR(__xludf.DUMMYFUNCTION("IFERROR(VLOOKUP(G120,IMPORTRANGE(""https://docs.google.com/spreadsheets/d/12RxCea4e5ggM7QGn1XE3FbLQa_-QbCNdBi90OdPjRqg"", ""'Plan de Compras'!D4:Q""), 14, 0), """")"),"")</f>
        <v/>
      </c>
      <c r="Z120" s="38" t="str">
        <f>IFERROR(__xludf.DUMMYFUNCTION("IFERROR(VLOOKUP(G120,IMPORTRANGE(""https://docs.google.com/spreadsheets/d/12RxCea4e5ggM7QGn1XE3FbLQa_-QbCNdBi90OdPjRqg"", ""'Plan de Compras'!D4:Q""), 4, 0), """")"),"")</f>
        <v/>
      </c>
      <c r="AA120" s="38" t="str">
        <f t="shared" si="16"/>
        <v>FALSE</v>
      </c>
      <c r="AB120" s="37" t="str">
        <f>IFERROR(__xludf.DUMMYFUNCTION("IFERROR(IF(OR(C120=TRUE,C120=""""),VLOOKUP(G120,IMPORTRANGE(""https://docs.google.com/spreadsheets/d/1z9A1Wq-kKrhRNG5RS2a2fKpY1wIhSVz2ZNmP2mOl588/edit?usp=sharing"",""REQ VF!E4:H""),4,0),""NO APLICA""),""GENERAR REQ"")"),"NO APLICA")</f>
        <v>NO APLICA</v>
      </c>
      <c r="AC120" s="37" t="str">
        <f>IFERROR(__xludf.DUMMYFUNCTION("IFERROR(QUERY(IMPORTRANGE(""https://docs.google.com/spreadsheets/d/1z9A1Wq-kKrhRNG5RS2a2fKpY1wIhSVz2ZNmP2mOl588/edit?usp=sharing"",""REQ VF!E4:Q""),""SELECT Col10, Col11, Col12 WHERE Col1 = '""&amp;G120&amp;""'"",0),""NO APLICA"")"),"NO APLICA")</f>
        <v>NO APLICA</v>
      </c>
      <c r="AD120" s="37"/>
      <c r="AE120" s="37"/>
      <c r="AF120" s="13"/>
      <c r="AG120" s="13"/>
    </row>
    <row r="121">
      <c r="A121" s="26"/>
      <c r="B121" s="26"/>
      <c r="C121" s="26" t="b">
        <v>1</v>
      </c>
      <c r="D121" s="26" t="s">
        <v>95</v>
      </c>
      <c r="E121" s="26" t="s">
        <v>36</v>
      </c>
      <c r="F121" s="27" t="s">
        <v>454</v>
      </c>
      <c r="G121" s="39" t="s">
        <v>457</v>
      </c>
      <c r="H121" s="40" t="s">
        <v>458</v>
      </c>
      <c r="I121" s="43">
        <f>I120</f>
        <v>2</v>
      </c>
      <c r="J121" s="26">
        <f>IFERROR(__xludf.DUMMYFUNCTION("VLOOKUP(G121,IMPORTRANGE(""https://docs.google.com/spreadsheets/d/12RxCea4e5ggM7QGn1XE3FbLQa_-QbCNdBi90OdPjRqg/edit?gid=1692403370#gid=1692403370"", ""'Plan de Compras'!D4:2432""), 8,0)"),2.0)</f>
        <v>2</v>
      </c>
      <c r="K121" s="26" t="str">
        <f t="shared" si="1"/>
        <v>SI</v>
      </c>
      <c r="L121" s="29"/>
      <c r="M121" s="61"/>
      <c r="N121" s="42"/>
      <c r="O121" s="32"/>
      <c r="P121" s="32"/>
      <c r="Q121" s="41"/>
      <c r="R121" s="61"/>
      <c r="S121" s="34" t="b">
        <v>1</v>
      </c>
      <c r="T121" s="35" t="s">
        <v>303</v>
      </c>
      <c r="U121" s="35" t="s">
        <v>459</v>
      </c>
      <c r="V121" s="36" t="s">
        <v>460</v>
      </c>
      <c r="W121" s="37" t="str">
        <f>IFERROR(__xludf.DUMMYFUNCTION("IFERROR(VLOOKUP(G121,IMPORTRANGE(""https://docs.google.com/spreadsheets/d/12RxCea4e5ggM7QGn1XE3FbLQa_-QbCNdBi90OdPjRqg"", ""'Plan de Compras'!D4:Q""), 12, 0), ""NO ESTÁ EN REQ"")"),"Técnica")</f>
        <v>Técnica</v>
      </c>
      <c r="X121" s="37" t="str">
        <f>IFERROR(__xludf.DUMMYFUNCTION("IFERROR(VLOOKUP(G121,IMPORTRANGE(""https://docs.google.com/spreadsheets/d/12RxCea4e5ggM7QGn1XE3FbLQa_-QbCNdBi90OdPjRqg"", ""'Plan de Compras'!D4:Q""), 13, 0), """")"),"NACIONAL")</f>
        <v>NACIONAL</v>
      </c>
      <c r="Y121" s="32" t="str">
        <f>IFERROR(__xludf.DUMMYFUNCTION("IFERROR(VLOOKUP(G121,IMPORTRANGE(""https://docs.google.com/spreadsheets/d/12RxCea4e5ggM7QGn1XE3FbLQa_-QbCNdBi90OdPjRqg"", ""'Plan de Compras'!D4:Q""), 14, 0), """")"),"ALFIO")</f>
        <v>ALFIO</v>
      </c>
      <c r="Z121" s="38" t="str">
        <f>IFERROR(__xludf.DUMMYFUNCTION("IFERROR(VLOOKUP(G121,IMPORTRANGE(""https://docs.google.com/spreadsheets/d/12RxCea4e5ggM7QGn1XE3FbLQa_-QbCNdBi90OdPjRqg"", ""'Plan de Compras'!D4:Q""), 4, 0), """")"),"PISTOLA PARA PINTURA POR SPRAY (1 UND)")</f>
        <v>PISTOLA PARA PINTURA POR SPRAY (1 UND)</v>
      </c>
      <c r="AA121" s="38" t="str">
        <f t="shared" si="16"/>
        <v>TRUE</v>
      </c>
      <c r="AB121" s="37" t="str">
        <f>IFERROR(__xludf.DUMMYFUNCTION("IFERROR(IF(OR(C121=TRUE,C121=""""),VLOOKUP(G121,IMPORTRANGE(""https://docs.google.com/spreadsheets/d/1z9A1Wq-kKrhRNG5RS2a2fKpY1wIhSVz2ZNmP2mOl588/edit?usp=sharing"",""REQ VF!E4:H""),4,0),""NO APLICA""),""GENERAR REQ"")"),"GENERAR REQ")</f>
        <v>GENERAR REQ</v>
      </c>
      <c r="AC121" s="37" t="str">
        <f>IFERROR(__xludf.DUMMYFUNCTION("IFERROR(QUERY(IMPORTRANGE(""https://docs.google.com/spreadsheets/d/1z9A1Wq-kKrhRNG5RS2a2fKpY1wIhSVz2ZNmP2mOl588/edit?usp=sharing"",""REQ VF!E4:Q""),""SELECT Col10, Col11, Col12 WHERE Col1 = '""&amp;G121&amp;""'"",0),""NO APLICA"")"),"NO APLICA")</f>
        <v>NO APLICA</v>
      </c>
      <c r="AD121" s="37"/>
      <c r="AE121" s="37"/>
      <c r="AF121" s="13"/>
      <c r="AG121" s="13"/>
    </row>
    <row r="122">
      <c r="A122" s="26"/>
      <c r="B122" s="26"/>
      <c r="C122" s="26" t="b">
        <v>1</v>
      </c>
      <c r="D122" s="26" t="s">
        <v>95</v>
      </c>
      <c r="E122" s="26" t="s">
        <v>36</v>
      </c>
      <c r="F122" s="27" t="s">
        <v>454</v>
      </c>
      <c r="G122" s="39" t="s">
        <v>461</v>
      </c>
      <c r="H122" s="40" t="s">
        <v>462</v>
      </c>
      <c r="I122" s="43">
        <v>2.0</v>
      </c>
      <c r="J122" s="26">
        <f>IFERROR(__xludf.DUMMYFUNCTION("VLOOKUP(G122,IMPORTRANGE(""https://docs.google.com/spreadsheets/d/12RxCea4e5ggM7QGn1XE3FbLQa_-QbCNdBi90OdPjRqg/edit?gid=1692403370#gid=1692403370"", ""'Plan de Compras'!D4:2432""), 8,0)"),2.0)</f>
        <v>2</v>
      </c>
      <c r="K122" s="26" t="str">
        <f t="shared" si="1"/>
        <v>SI</v>
      </c>
      <c r="L122" s="29"/>
      <c r="M122" s="61"/>
      <c r="N122" s="42"/>
      <c r="O122" s="32"/>
      <c r="P122" s="32"/>
      <c r="Q122" s="41"/>
      <c r="R122" s="61"/>
      <c r="S122" s="34" t="b">
        <v>1</v>
      </c>
      <c r="T122" s="35" t="s">
        <v>303</v>
      </c>
      <c r="U122" s="35" t="s">
        <v>463</v>
      </c>
      <c r="V122" s="36" t="s">
        <v>464</v>
      </c>
      <c r="W122" s="37" t="str">
        <f>IFERROR(__xludf.DUMMYFUNCTION("IFERROR(VLOOKUP(G122,IMPORTRANGE(""https://docs.google.com/spreadsheets/d/12RxCea4e5ggM7QGn1XE3FbLQa_-QbCNdBi90OdPjRqg"", ""'Plan de Compras'!D4:Q""), 12, 0), ""NO ESTÁ EN REQ"")"),"Técnica")</f>
        <v>Técnica</v>
      </c>
      <c r="X122" s="37" t="str">
        <f>IFERROR(__xludf.DUMMYFUNCTION("IFERROR(VLOOKUP(G122,IMPORTRANGE(""https://docs.google.com/spreadsheets/d/12RxCea4e5ggM7QGn1XE3FbLQa_-QbCNdBi90OdPjRqg"", ""'Plan de Compras'!D4:Q""), 13, 0), """")"),"NACIONAL")</f>
        <v>NACIONAL</v>
      </c>
      <c r="Y122" s="32" t="str">
        <f>IFERROR(__xludf.DUMMYFUNCTION("IFERROR(VLOOKUP(G122,IMPORTRANGE(""https://docs.google.com/spreadsheets/d/12RxCea4e5ggM7QGn1XE3FbLQa_-QbCNdBi90OdPjRqg"", ""'Plan de Compras'!D4:Q""), 14, 0), """")"),"ALFIO")</f>
        <v>ALFIO</v>
      </c>
      <c r="Z122" s="38" t="str">
        <f>IFERROR(__xludf.DUMMYFUNCTION("IFERROR(VLOOKUP(G122,IMPORTRANGE(""https://docs.google.com/spreadsheets/d/12RxCea4e5ggM7QGn1XE3FbLQa_-QbCNdBi90OdPjRqg"", ""'Plan de Compras'!D4:Q""), 4, 0), """")"),"MANGUERA PARA EQUIPO DE PINTURA (1 UND)")</f>
        <v>MANGUERA PARA EQUIPO DE PINTURA (1 UND)</v>
      </c>
      <c r="AA122" s="38" t="str">
        <f t="shared" si="16"/>
        <v>TRUE</v>
      </c>
      <c r="AB122" s="37" t="str">
        <f>IFERROR(__xludf.DUMMYFUNCTION("IFERROR(IF(OR(C122=TRUE,C122=""""),VLOOKUP(G122,IMPORTRANGE(""https://docs.google.com/spreadsheets/d/1z9A1Wq-kKrhRNG5RS2a2fKpY1wIhSVz2ZNmP2mOl588/edit?usp=sharing"",""REQ VF!E4:H""),4,0),""NO APLICA""),""GENERAR REQ"")"),"GENERAR REQ")</f>
        <v>GENERAR REQ</v>
      </c>
      <c r="AC122" s="37" t="str">
        <f>IFERROR(__xludf.DUMMYFUNCTION("IFERROR(QUERY(IMPORTRANGE(""https://docs.google.com/spreadsheets/d/1z9A1Wq-kKrhRNG5RS2a2fKpY1wIhSVz2ZNmP2mOl588/edit?usp=sharing"",""REQ VF!E4:Q""),""SELECT Col10, Col11, Col12 WHERE Col1 = '""&amp;G122&amp;""'"",0),""NO APLICA"")"),"NO APLICA")</f>
        <v>NO APLICA</v>
      </c>
      <c r="AD122" s="37"/>
      <c r="AE122" s="37"/>
      <c r="AF122" s="13"/>
      <c r="AG122" s="13"/>
    </row>
    <row r="123">
      <c r="A123" s="26"/>
      <c r="B123" s="26"/>
      <c r="C123" s="26" t="b">
        <v>1</v>
      </c>
      <c r="D123" s="26" t="s">
        <v>95</v>
      </c>
      <c r="E123" s="26" t="s">
        <v>36</v>
      </c>
      <c r="F123" s="27" t="s">
        <v>454</v>
      </c>
      <c r="G123" s="39" t="s">
        <v>465</v>
      </c>
      <c r="H123" s="40" t="s">
        <v>466</v>
      </c>
      <c r="I123" s="43">
        <f>I120</f>
        <v>2</v>
      </c>
      <c r="J123" s="26">
        <f>IFERROR(__xludf.DUMMYFUNCTION("VLOOKUP(G123,IMPORTRANGE(""https://docs.google.com/spreadsheets/d/12RxCea4e5ggM7QGn1XE3FbLQa_-QbCNdBi90OdPjRqg/edit?gid=1692403370#gid=1692403370"", ""'Plan de Compras'!D4:2432""), 8,0)"),2.0)</f>
        <v>2</v>
      </c>
      <c r="K123" s="26" t="str">
        <f t="shared" si="1"/>
        <v>SI</v>
      </c>
      <c r="L123" s="29"/>
      <c r="M123" s="61"/>
      <c r="N123" s="42"/>
      <c r="O123" s="32"/>
      <c r="P123" s="32"/>
      <c r="Q123" s="41"/>
      <c r="R123" s="61"/>
      <c r="S123" s="34" t="b">
        <v>1</v>
      </c>
      <c r="T123" s="35"/>
      <c r="U123" s="35"/>
      <c r="V123" s="35"/>
      <c r="W123" s="37" t="str">
        <f>IFERROR(__xludf.DUMMYFUNCTION("IFERROR(VLOOKUP(G123,IMPORTRANGE(""https://docs.google.com/spreadsheets/d/12RxCea4e5ggM7QGn1XE3FbLQa_-QbCNdBi90OdPjRqg"", ""'Plan de Compras'!D4:Q""), 12, 0), ""NO ESTÁ EN REQ"")"),"Técnica")</f>
        <v>Técnica</v>
      </c>
      <c r="X123" s="37" t="str">
        <f>IFERROR(__xludf.DUMMYFUNCTION("IFERROR(VLOOKUP(G123,IMPORTRANGE(""https://docs.google.com/spreadsheets/d/12RxCea4e5ggM7QGn1XE3FbLQa_-QbCNdBi90OdPjRqg"", ""'Plan de Compras'!D4:Q""), 13, 0), """")"),"NACIONAL")</f>
        <v>NACIONAL</v>
      </c>
      <c r="Y123" s="32" t="str">
        <f>IFERROR(__xludf.DUMMYFUNCTION("IFERROR(VLOOKUP(G123,IMPORTRANGE(""https://docs.google.com/spreadsheets/d/12RxCea4e5ggM7QGn1XE3FbLQa_-QbCNdBi90OdPjRqg"", ""'Plan de Compras'!D4:Q""), 14, 0), """")"),"ALFIO")</f>
        <v>ALFIO</v>
      </c>
      <c r="Z123" s="38" t="str">
        <f>IFERROR(__xludf.DUMMYFUNCTION("IFERROR(VLOOKUP(G123,IMPORTRANGE(""https://docs.google.com/spreadsheets/d/12RxCea4e5ggM7QGn1XE3FbLQa_-QbCNdBi90OdPjRqg"", ""'Plan de Compras'!D4:Q""), 4, 0), """")"),"ADAPTADOR PARA PISTOLA Y MANGUERA (1 UND)")</f>
        <v>ADAPTADOR PARA PISTOLA Y MANGUERA (1 UND)</v>
      </c>
      <c r="AA123" s="38" t="str">
        <f t="shared" si="16"/>
        <v>TRUE</v>
      </c>
      <c r="AB123" s="37" t="str">
        <f>IFERROR(__xludf.DUMMYFUNCTION("IFERROR(IF(OR(C123=TRUE,C123=""""),VLOOKUP(G123,IMPORTRANGE(""https://docs.google.com/spreadsheets/d/1z9A1Wq-kKrhRNG5RS2a2fKpY1wIhSVz2ZNmP2mOl588/edit?usp=sharing"",""REQ VF!E4:H""),4,0),""NO APLICA""),""GENERAR REQ"")"),"GENERAR REQ")</f>
        <v>GENERAR REQ</v>
      </c>
      <c r="AC123" s="37" t="str">
        <f>IFERROR(__xludf.DUMMYFUNCTION("IFERROR(QUERY(IMPORTRANGE(""https://docs.google.com/spreadsheets/d/1z9A1Wq-kKrhRNG5RS2a2fKpY1wIhSVz2ZNmP2mOl588/edit?usp=sharing"",""REQ VF!E4:Q""),""SELECT Col10, Col11, Col12 WHERE Col1 = '""&amp;G123&amp;""'"",0),""NO APLICA"")"),"NO APLICA")</f>
        <v>NO APLICA</v>
      </c>
      <c r="AD123" s="37"/>
      <c r="AE123" s="37"/>
      <c r="AF123" s="13"/>
      <c r="AG123" s="13"/>
    </row>
    <row r="124">
      <c r="A124" s="26">
        <v>53.0</v>
      </c>
      <c r="B124" s="26" t="b">
        <v>1</v>
      </c>
      <c r="C124" s="26" t="b">
        <v>1</v>
      </c>
      <c r="D124" s="26" t="s">
        <v>35</v>
      </c>
      <c r="E124" s="26" t="s">
        <v>36</v>
      </c>
      <c r="F124" s="27" t="s">
        <v>467</v>
      </c>
      <c r="G124" s="37" t="s">
        <v>467</v>
      </c>
      <c r="H124" s="45" t="s">
        <v>468</v>
      </c>
      <c r="I124" s="26">
        <f>SUMIFS('Hoja 10'!$O:$O,'Hoja 10'!$F:$F,$G124)</f>
        <v>3</v>
      </c>
      <c r="J124" s="26">
        <f>IFERROR(__xludf.DUMMYFUNCTION("VLOOKUP(G124,IMPORTRANGE(""https://docs.google.com/spreadsheets/d/12RxCea4e5ggM7QGn1XE3FbLQa_-QbCNdBi90OdPjRqg/edit?gid=1692403370#gid=1692403370"", ""'Plan de Compras'!D4:2432""), 8,0)"),3.0)</f>
        <v>3</v>
      </c>
      <c r="K124" s="26" t="str">
        <f t="shared" si="1"/>
        <v>SI</v>
      </c>
      <c r="L124" s="29" t="s">
        <v>127</v>
      </c>
      <c r="M124" s="30" t="s">
        <v>105</v>
      </c>
      <c r="N124" s="42"/>
      <c r="O124" s="32" t="str">
        <f>VLOOKUP($G124,'Hoja 10'!$F$4:$AA478, 19,0)</f>
        <v>Autel</v>
      </c>
      <c r="P124" s="32" t="str">
        <f>VLOOKUP($G124,'Hoja 10'!$F$4:$AA478, 20,0)</f>
        <v>MaxiSys MS909</v>
      </c>
      <c r="Q124" s="33" t="str">
        <f>VLOOKUP($G124,'Hoja 10'!$F$4:$AA478, 21,0)</f>
        <v>https://www.autel.com/es/mk3/3769.jhtml</v>
      </c>
      <c r="R124" s="30" t="s">
        <v>469</v>
      </c>
      <c r="S124" s="34" t="b">
        <v>1</v>
      </c>
      <c r="T124" s="35" t="str">
        <f>IFERROR(__xludf.DUMMYFUNCTION(" IF
( VLOOKUP($G124,IMPORTRANGE(""https://docs.google.com/spreadsheets/d/1Gpl6jkTg7sL4VDNimUm3S9Vi1i95esohXCF3wuKOE8c"", ""'CONSOLIDADO'!G5:AB""), 10, 0) &lt;&gt; 0, 
IFERROR(VLOOKUP($G124,IMPORTRANGE(""https://docs.google.com/spreadsheets/d/1Gpl6jkTg7sL4VDNimU"&amp;"m3S9Vi1i95esohXCF3wuKOE8c"", ""'CONSOLIDADO'!G5:AB""), 17, 0), ""-""),
""""
)"),"LAUNCH")</f>
        <v>LAUNCH</v>
      </c>
      <c r="U124" s="35" t="str">
        <f>IFERROR(__xludf.DUMMYFUNCTION(" IF
( VLOOKUP($G124,IMPORTRANGE(""https://docs.google.com/spreadsheets/d/1Gpl6jkTg7sL4VDNimUm3S9Vi1i95esohXCF3wuKOE8c"", ""'CONSOLIDADO'!G5:AB""), 10, 0) &lt;&gt; 0, 
IFERROR(VLOOKUP($G124,IMPORTRANGE(""https://docs.google.com/spreadsheets/d/1Gpl6jkTg7sL4VDNimU"&amp;"m3S9Vi1i95esohXCF3wuKOE8c"", ""'CONSOLIDADO'!G5:AB""), 18, 0), ""-""),
""""
)")," X431 V 5ª generación Elite")</f>
        <v> X431 V 5ª generación Elite</v>
      </c>
      <c r="V124" s="36" t="str">
        <f>IFERROR(__xludf.DUMMYFUNCTION(" IF
( VLOOKUP($G124,IMPORTRANGE(""https://docs.google.com/spreadsheets/d/1Gpl6jkTg7sL4VDNimUm3S9Vi1i95esohXCF3wuKOE8c"", ""'CONSOLIDADO'!G5:AB""), 10, 0) &lt;&gt; 0, 
IFERROR(VLOOKUP($G124,IMPORTRANGE(""https://docs.google.com/spreadsheets/d/1Gpl6jkTg7sL4VDNimU"&amp;"m3S9Vi1i95esohXCF3wuKOE8c"", ""'CONSOLIDADO'!G5:AB""), 19, 0), ""-""),
""""
)"),"https://www.amazon.com/-/es/X431-generaci%C3%B3n-Pro-diagn%C3%B3stico-Bluetooth/dp/B01GRN4BRQ")</f>
        <v>https://www.amazon.com/-/es/X431-generaci%C3%B3n-Pro-diagn%C3%B3stico-Bluetooth/dp/B01GRN4BRQ</v>
      </c>
      <c r="W124" s="37" t="str">
        <f>IFERROR(__xludf.DUMMYFUNCTION("IFERROR(VLOOKUP(G124,IMPORTRANGE(""https://docs.google.com/spreadsheets/d/12RxCea4e5ggM7QGn1XE3FbLQa_-QbCNdBi90OdPjRqg"", ""'Plan de Compras'!D4:Q""), 12, 0), ""NO ESTÁ EN REQ"")"),"Técnica")</f>
        <v>Técnica</v>
      </c>
      <c r="X124" s="37" t="str">
        <f>IFERROR(__xludf.DUMMYFUNCTION("IFERROR(VLOOKUP(G124,IMPORTRANGE(""https://docs.google.com/spreadsheets/d/12RxCea4e5ggM7QGn1XE3FbLQa_-QbCNdBi90OdPjRqg"", ""'Plan de Compras'!D4:Q""), 13, 0), """")"),"INTERNACIONAL")</f>
        <v>INTERNACIONAL</v>
      </c>
      <c r="Y124" s="32" t="str">
        <f>IFERROR(__xludf.DUMMYFUNCTION("IFERROR(VLOOKUP(G124,IMPORTRANGE(""https://docs.google.com/spreadsheets/d/12RxCea4e5ggM7QGn1XE3FbLQa_-QbCNdBi90OdPjRqg"", ""'Plan de Compras'!D4:Q""), 14, 0), """")"),"ALEJANDRA")</f>
        <v>ALEJANDRA</v>
      </c>
      <c r="Z124" s="38" t="str">
        <f>IFERROR(__xludf.DUMMYFUNCTION("IFERROR(VLOOKUP(G124,IMPORTRANGE(""https://docs.google.com/spreadsheets/d/12RxCea4e5ggM7QGn1XE3FbLQa_-QbCNdBi90OdPjRqg"", ""'Plan de Compras'!D4:Q""), 4, 0), """")"),"ESCANER UNIVERSAL AUTOMOTRIZ")</f>
        <v>ESCANER UNIVERSAL AUTOMOTRIZ</v>
      </c>
      <c r="AA124" s="38" t="str">
        <f t="shared" si="16"/>
        <v>TRUE</v>
      </c>
      <c r="AB124" s="37" t="str">
        <f>IFERROR(__xludf.DUMMYFUNCTION("IFERROR(IF(OR(C124=TRUE,C124=""""),VLOOKUP(G124,IMPORTRANGE(""https://docs.google.com/spreadsheets/d/1z9A1Wq-kKrhRNG5RS2a2fKpY1wIhSVz2ZNmP2mOl588/edit?usp=sharing"",""REQ VF!E4:H""),4,0),""NO APLICA""),""GENERAR REQ"")"),"GENERAR REQ")</f>
        <v>GENERAR REQ</v>
      </c>
      <c r="AC124" s="37" t="str">
        <f>IFERROR(__xludf.DUMMYFUNCTION("IFERROR(QUERY(IMPORTRANGE(""https://docs.google.com/spreadsheets/d/1z9A1Wq-kKrhRNG5RS2a2fKpY1wIhSVz2ZNmP2mOl588/edit?usp=sharing"",""REQ VF!E4:Q""),""SELECT Col10, Col11, Col12 WHERE Col1 = '""&amp;G124&amp;""'"",0),""NO APLICA"")"),"NO APLICA")</f>
        <v>NO APLICA</v>
      </c>
      <c r="AD124" s="37"/>
      <c r="AE124" s="37"/>
      <c r="AF124" s="8" t="s">
        <v>52</v>
      </c>
      <c r="AG124" s="13"/>
    </row>
    <row r="125">
      <c r="A125" s="26">
        <v>54.0</v>
      </c>
      <c r="B125" s="26" t="b">
        <v>1</v>
      </c>
      <c r="C125" s="26" t="b">
        <v>1</v>
      </c>
      <c r="D125" s="26" t="s">
        <v>35</v>
      </c>
      <c r="E125" s="26" t="s">
        <v>36</v>
      </c>
      <c r="F125" s="27" t="s">
        <v>470</v>
      </c>
      <c r="G125" s="37" t="s">
        <v>471</v>
      </c>
      <c r="H125" s="45" t="s">
        <v>472</v>
      </c>
      <c r="I125" s="26">
        <f>SUMIFS('Hoja 10'!$O:$O,'Hoja 10'!$F:$F,$G125)</f>
        <v>2</v>
      </c>
      <c r="J125" s="26">
        <f>IFERROR(__xludf.DUMMYFUNCTION("VLOOKUP(G125,IMPORTRANGE(""https://docs.google.com/spreadsheets/d/12RxCea4e5ggM7QGn1XE3FbLQa_-QbCNdBi90OdPjRqg/edit?gid=1692403370#gid=1692403370"", ""'Plan de Compras'!D4:2432""), 8,0)"),2.0)</f>
        <v>2</v>
      </c>
      <c r="K125" s="26" t="str">
        <f t="shared" si="1"/>
        <v>SI</v>
      </c>
      <c r="L125" s="29" t="s">
        <v>296</v>
      </c>
      <c r="M125" s="30" t="s">
        <v>297</v>
      </c>
      <c r="N125" s="42"/>
      <c r="O125" s="32" t="str">
        <f>VLOOKUP($G125,'Hoja 10'!$F$4:$AA478, 19,0)</f>
        <v>scheppach</v>
      </c>
      <c r="P125" s="32" t="str">
        <f>VLOOKUP($G125,'Hoja 10'!$F$4:$AA478, 20,0)</f>
        <v>Tiger 2500</v>
      </c>
      <c r="Q125" s="33" t="str">
        <f>VLOOKUP($G125,'Hoja 10'!$F$4:$AA478, 21,0)</f>
        <v>https://shop.scheppach.com/en-GB/Whetstone-Bench-Grinder-Tiger-2500-200W-250mm-Leather-Honing-Wheel/5903202901-500 </v>
      </c>
      <c r="R125" s="30" t="s">
        <v>473</v>
      </c>
      <c r="S125" s="34" t="b">
        <v>1</v>
      </c>
      <c r="T125" s="35" t="str">
        <f>IFERROR(__xludf.DUMMYFUNCTION(" IF
( VLOOKUP($G125,IMPORTRANGE(""https://docs.google.com/spreadsheets/d/1Gpl6jkTg7sL4VDNimUm3S9Vi1i95esohXCF3wuKOE8c"", ""'CONSOLIDADO'!G5:AB""), 10, 0) &lt;&gt; 0, 
IFERROR(VLOOKUP($G125,IMPORTRANGE(""https://docs.google.com/spreadsheets/d/1Gpl6jkTg7sL4VDNimU"&amp;"m3S9Vi1i95esohXCF3wuKOE8c"", ""'CONSOLIDADO'!G5:AB""), 17, 0), ""-""),
""""
)"),"HOLZKRAFT")</f>
        <v>HOLZKRAFT</v>
      </c>
      <c r="U125" s="35" t="str">
        <f>IFERROR(__xludf.DUMMYFUNCTION(" IF
( VLOOKUP($G125,IMPORTRANGE(""https://docs.google.com/spreadsheets/d/1Gpl6jkTg7sL4VDNimUm3S9Vi1i95esohXCF3wuKOE8c"", ""'CONSOLIDADO'!G5:AB""), 10, 0) &lt;&gt; 0, 
IFERROR(VLOOKUP($G125,IMPORTRANGE(""https://docs.google.com/spreadsheets/d/1Gpl6jkTg7sL4VDNimU"&amp;"m3S9Vi1i95esohXCF3wuKOE8c"", ""'CONSOLIDADO'!G5:AB""), 18, 0), ""-""),
""""
)"),"NTS 256")</f>
        <v>NTS 256</v>
      </c>
      <c r="V125" s="36" t="str">
        <f>IFERROR(__xludf.DUMMYFUNCTION(" IF
( VLOOKUP($G125,IMPORTRANGE(""https://docs.google.com/spreadsheets/d/1Gpl6jkTg7sL4VDNimUm3S9Vi1i95esohXCF3wuKOE8c"", ""'CONSOLIDADO'!G5:AB""), 10, 0) &lt;&gt; 0, 
IFERROR(VLOOKUP($G125,IMPORTRANGE(""https://docs.google.com/spreadsheets/d/1Gpl6jkTg7sL4VDNimU"&amp;"m3S9Vi1i95esohXCF3wuKOE8c"", ""'CONSOLIDADO'!G5:AB""), 19, 0), ""-""),
""""
)"),"https://www.aslak.es/herramientas-electricas/afiladora-con-agua-universal-nts-256.html")</f>
        <v>https://www.aslak.es/herramientas-electricas/afiladora-con-agua-universal-nts-256.html</v>
      </c>
      <c r="W125" s="37" t="str">
        <f>IFERROR(__xludf.DUMMYFUNCTION("IFERROR(VLOOKUP(G125,IMPORTRANGE(""https://docs.google.com/spreadsheets/d/12RxCea4e5ggM7QGn1XE3FbLQa_-QbCNdBi90OdPjRqg"", ""'Plan de Compras'!D4:Q""), 12, 0), ""NO ESTÁ EN REQ"")"),"Técnica")</f>
        <v>Técnica</v>
      </c>
      <c r="X125" s="37" t="str">
        <f>IFERROR(__xludf.DUMMYFUNCTION("IFERROR(VLOOKUP(G125,IMPORTRANGE(""https://docs.google.com/spreadsheets/d/12RxCea4e5ggM7QGn1XE3FbLQa_-QbCNdBi90OdPjRqg"", ""'Plan de Compras'!D4:Q""), 13, 0), """")"),"INTERNACIONAL")</f>
        <v>INTERNACIONAL</v>
      </c>
      <c r="Y125" s="32" t="str">
        <f>IFERROR(__xludf.DUMMYFUNCTION("IFERROR(VLOOKUP(G125,IMPORTRANGE(""https://docs.google.com/spreadsheets/d/12RxCea4e5ggM7QGn1XE3FbLQa_-QbCNdBi90OdPjRqg"", ""'Plan de Compras'!D4:Q""), 14, 0), """")"),"GEYDI")</f>
        <v>GEYDI</v>
      </c>
      <c r="Z125" s="38" t="str">
        <f>IFERROR(__xludf.DUMMYFUNCTION("IFERROR(VLOOKUP(G125,IMPORTRANGE(""https://docs.google.com/spreadsheets/d/12RxCea4e5ggM7QGn1XE3FbLQa_-QbCNdBi90OdPjRqg"", ""'Plan de Compras'!D4:Q""), 4, 0), """")"),"ESMERIL DE BANCO")</f>
        <v>ESMERIL DE BANCO</v>
      </c>
      <c r="AA125" s="38" t="str">
        <f t="shared" si="16"/>
        <v>TRUE</v>
      </c>
      <c r="AB125" s="37" t="str">
        <f>IFERROR(__xludf.DUMMYFUNCTION("IFERROR(IF(OR(C125=TRUE,C125=""""),VLOOKUP(G125,IMPORTRANGE(""https://docs.google.com/spreadsheets/d/1z9A1Wq-kKrhRNG5RS2a2fKpY1wIhSVz2ZNmP2mOl588/edit?usp=sharing"",""REQ VF!E4:H""),4,0),""NO APLICA""),""GENERAR REQ"")"),"GENERAR REQ")</f>
        <v>GENERAR REQ</v>
      </c>
      <c r="AC125" s="37" t="str">
        <f>IFERROR(__xludf.DUMMYFUNCTION("IFERROR(QUERY(IMPORTRANGE(""https://docs.google.com/spreadsheets/d/1z9A1Wq-kKrhRNG5RS2a2fKpY1wIhSVz2ZNmP2mOl588/edit?usp=sharing"",""REQ VF!E4:Q""),""SELECT Col10, Col11, Col12 WHERE Col1 = '""&amp;G125&amp;""'"",0),""NO APLICA"")"),"NO APLICA")</f>
        <v>NO APLICA</v>
      </c>
      <c r="AD125" s="37"/>
      <c r="AE125" s="37"/>
      <c r="AF125" s="8" t="s">
        <v>52</v>
      </c>
      <c r="AG125" s="13"/>
    </row>
    <row r="126">
      <c r="A126" s="26"/>
      <c r="B126" s="26"/>
      <c r="C126" s="26" t="b">
        <v>1</v>
      </c>
      <c r="D126" s="26" t="s">
        <v>42</v>
      </c>
      <c r="E126" s="26" t="s">
        <v>36</v>
      </c>
      <c r="F126" s="59" t="s">
        <v>470</v>
      </c>
      <c r="G126" s="39" t="s">
        <v>474</v>
      </c>
      <c r="H126" s="40" t="s">
        <v>475</v>
      </c>
      <c r="I126" s="43">
        <f t="shared" ref="I126:I131" si="20">$I$125</f>
        <v>2</v>
      </c>
      <c r="J126" s="26">
        <f>IFERROR(__xludf.DUMMYFUNCTION("VLOOKUP(G126,IMPORTRANGE(""https://docs.google.com/spreadsheets/d/12RxCea4e5ggM7QGn1XE3FbLQa_-QbCNdBi90OdPjRqg/edit?gid=1692403370#gid=1692403370"", ""'Plan de Compras'!D4:2432""), 8,0)"),2.0)</f>
        <v>2</v>
      </c>
      <c r="K126" s="26" t="str">
        <f t="shared" si="1"/>
        <v>SI</v>
      </c>
      <c r="L126" s="26"/>
      <c r="M126" s="41"/>
      <c r="N126" s="26" t="s">
        <v>45</v>
      </c>
      <c r="O126" s="42"/>
      <c r="P126" s="26" t="s">
        <v>99</v>
      </c>
      <c r="Q126" s="47"/>
      <c r="R126" s="41"/>
      <c r="S126" s="34" t="b">
        <v>1</v>
      </c>
      <c r="T126" s="35" t="s">
        <v>476</v>
      </c>
      <c r="U126" s="35" t="s">
        <v>477</v>
      </c>
      <c r="V126" s="44"/>
      <c r="W126" s="37" t="str">
        <f>IFERROR(__xludf.DUMMYFUNCTION("IFERROR(VLOOKUP(G126,IMPORTRANGE(""https://docs.google.com/spreadsheets/d/12RxCea4e5ggM7QGn1XE3FbLQa_-QbCNdBi90OdPjRqg"", ""'Plan de Compras'!D4:Q""), 12, 0), ""NO ESTÁ EN REQ"")"),"Técnica")</f>
        <v>Técnica</v>
      </c>
      <c r="X126" s="37" t="str">
        <f>IFERROR(__xludf.DUMMYFUNCTION("IFERROR(VLOOKUP(G126,IMPORTRANGE(""https://docs.google.com/spreadsheets/d/12RxCea4e5ggM7QGn1XE3FbLQa_-QbCNdBi90OdPjRqg"", ""'Plan de Compras'!D4:Q""), 13, 0), """")"),"INTERNACIONAL")</f>
        <v>INTERNACIONAL</v>
      </c>
      <c r="Y126" s="32" t="str">
        <f>IFERROR(__xludf.DUMMYFUNCTION("IFERROR(VLOOKUP(G126,IMPORTRANGE(""https://docs.google.com/spreadsheets/d/12RxCea4e5ggM7QGn1XE3FbLQa_-QbCNdBi90OdPjRqg"", ""'Plan de Compras'!D4:Q""), 14, 0), """")"),"ALEJANDRA")</f>
        <v>ALEJANDRA</v>
      </c>
      <c r="Z126" s="38" t="str">
        <f>IFERROR(__xludf.DUMMYFUNCTION("IFERROR(VLOOKUP(G126,IMPORTRANGE(""https://docs.google.com/spreadsheets/d/12RxCea4e5ggM7QGn1XE3FbLQa_-QbCNdBi90OdPjRqg"", ""'Plan de Compras'!D4:Q""), 4, 0), """")"),"BANCO DE SOPORTE (1 UND)")</f>
        <v>BANCO DE SOPORTE (1 UND)</v>
      </c>
      <c r="AA126" s="38" t="str">
        <f t="shared" si="16"/>
        <v>TRUE</v>
      </c>
      <c r="AB126" s="37" t="str">
        <f>IFERROR(__xludf.DUMMYFUNCTION("IFERROR(IF(OR(C126=TRUE,C126=""""),VLOOKUP(G126,IMPORTRANGE(""https://docs.google.com/spreadsheets/d/1z9A1Wq-kKrhRNG5RS2a2fKpY1wIhSVz2ZNmP2mOl588/edit?usp=sharing"",""REQ VF!E4:H""),4,0),""NO APLICA""),""GENERAR REQ"")"),"GENERAR REQ")</f>
        <v>GENERAR REQ</v>
      </c>
      <c r="AC126" s="37" t="str">
        <f>IFERROR(__xludf.DUMMYFUNCTION("IFERROR(QUERY(IMPORTRANGE(""https://docs.google.com/spreadsheets/d/1z9A1Wq-kKrhRNG5RS2a2fKpY1wIhSVz2ZNmP2mOl588/edit?usp=sharing"",""REQ VF!E4:Q""),""SELECT Col10, Col11, Col12 WHERE Col1 = '""&amp;G126&amp;""'"",0),""NO APLICA"")"),"NO APLICA")</f>
        <v>NO APLICA</v>
      </c>
      <c r="AD126" s="37"/>
      <c r="AE126" s="37"/>
      <c r="AF126" s="8"/>
      <c r="AG126" s="13"/>
    </row>
    <row r="127">
      <c r="A127" s="26"/>
      <c r="B127" s="26"/>
      <c r="C127" s="26" t="b">
        <v>1</v>
      </c>
      <c r="D127" s="26" t="s">
        <v>42</v>
      </c>
      <c r="E127" s="26" t="s">
        <v>36</v>
      </c>
      <c r="F127" s="59" t="s">
        <v>470</v>
      </c>
      <c r="G127" s="39" t="s">
        <v>478</v>
      </c>
      <c r="H127" s="40" t="s">
        <v>479</v>
      </c>
      <c r="I127" s="43">
        <f t="shared" si="20"/>
        <v>2</v>
      </c>
      <c r="J127" s="26">
        <f>IFERROR(__xludf.DUMMYFUNCTION("VLOOKUP(G127,IMPORTRANGE(""https://docs.google.com/spreadsheets/d/12RxCea4e5ggM7QGn1XE3FbLQa_-QbCNdBi90OdPjRqg/edit?gid=1692403370#gid=1692403370"", ""'Plan de Compras'!D4:2432""), 8,0)"),2.0)</f>
        <v>2</v>
      </c>
      <c r="K127" s="26" t="str">
        <f t="shared" si="1"/>
        <v>SI</v>
      </c>
      <c r="L127" s="26"/>
      <c r="M127" s="41"/>
      <c r="N127" s="26" t="s">
        <v>480</v>
      </c>
      <c r="O127" s="42"/>
      <c r="P127" s="42"/>
      <c r="Q127" s="46" t="s">
        <v>481</v>
      </c>
      <c r="R127" s="41"/>
      <c r="S127" s="34" t="b">
        <v>1</v>
      </c>
      <c r="T127" s="35" t="s">
        <v>482</v>
      </c>
      <c r="U127" s="76" t="s">
        <v>483</v>
      </c>
      <c r="V127" s="34" t="s">
        <v>484</v>
      </c>
      <c r="W127" s="37" t="str">
        <f>IFERROR(__xludf.DUMMYFUNCTION("IFERROR(VLOOKUP(G127,IMPORTRANGE(""https://docs.google.com/spreadsheets/d/12RxCea4e5ggM7QGn1XE3FbLQa_-QbCNdBi90OdPjRqg"", ""'Plan de Compras'!D4:Q""), 12, 0), ""NO ESTÁ EN REQ"")"),"Técnica")</f>
        <v>Técnica</v>
      </c>
      <c r="X127" s="37" t="str">
        <f>IFERROR(__xludf.DUMMYFUNCTION("IFERROR(VLOOKUP(G127,IMPORTRANGE(""https://docs.google.com/spreadsheets/d/12RxCea4e5ggM7QGn1XE3FbLQa_-QbCNdBi90OdPjRqg"", ""'Plan de Compras'!D4:Q""), 13, 0), """")"),"INTERNACIONAL")</f>
        <v>INTERNACIONAL</v>
      </c>
      <c r="Y127" s="32" t="str">
        <f>IFERROR(__xludf.DUMMYFUNCTION("IFERROR(VLOOKUP(G127,IMPORTRANGE(""https://docs.google.com/spreadsheets/d/12RxCea4e5ggM7QGn1XE3FbLQa_-QbCNdBi90OdPjRqg"", ""'Plan de Compras'!D4:Q""), 14, 0), """")"),"GEYDI")</f>
        <v>GEYDI</v>
      </c>
      <c r="Z127" s="38" t="str">
        <f>IFERROR(__xludf.DUMMYFUNCTION("IFERROR(VLOOKUP(G127,IMPORTRANGE(""https://docs.google.com/spreadsheets/d/12RxCea4e5ggM7QGn1XE3FbLQa_-QbCNdBi90OdPjRqg"", ""'Plan de Compras'!D4:Q""), 4, 0), """")"),"PIEDRA DE AFILAR (1 UND)")</f>
        <v>PIEDRA DE AFILAR (1 UND)</v>
      </c>
      <c r="AA127" s="38" t="str">
        <f t="shared" si="16"/>
        <v>TRUE</v>
      </c>
      <c r="AB127" s="37" t="str">
        <f>IFERROR(__xludf.DUMMYFUNCTION("IFERROR(IF(OR(C127=TRUE,C127=""""),VLOOKUP(G127,IMPORTRANGE(""https://docs.google.com/spreadsheets/d/1z9A1Wq-kKrhRNG5RS2a2fKpY1wIhSVz2ZNmP2mOl588/edit?usp=sharing"",""REQ VF!E4:H""),4,0),""NO APLICA""),""GENERAR REQ"")"),"GENERAR REQ")</f>
        <v>GENERAR REQ</v>
      </c>
      <c r="AC127" s="37" t="str">
        <f>IFERROR(__xludf.DUMMYFUNCTION("IFERROR(QUERY(IMPORTRANGE(""https://docs.google.com/spreadsheets/d/1z9A1Wq-kKrhRNG5RS2a2fKpY1wIhSVz2ZNmP2mOl588/edit?usp=sharing"",""REQ VF!E4:Q""),""SELECT Col10, Col11, Col12 WHERE Col1 = '""&amp;G127&amp;""'"",0),""NO APLICA"")"),"NO APLICA")</f>
        <v>NO APLICA</v>
      </c>
      <c r="AD127" s="37"/>
      <c r="AE127" s="37"/>
      <c r="AF127" s="8"/>
      <c r="AG127" s="13"/>
    </row>
    <row r="128">
      <c r="A128" s="26"/>
      <c r="B128" s="26"/>
      <c r="C128" s="26" t="b">
        <v>1</v>
      </c>
      <c r="D128" s="26" t="s">
        <v>42</v>
      </c>
      <c r="E128" s="26" t="s">
        <v>36</v>
      </c>
      <c r="F128" s="59" t="s">
        <v>470</v>
      </c>
      <c r="G128" s="39" t="s">
        <v>485</v>
      </c>
      <c r="H128" s="40" t="s">
        <v>486</v>
      </c>
      <c r="I128" s="43">
        <f t="shared" si="20"/>
        <v>2</v>
      </c>
      <c r="J128" s="26">
        <f>IFERROR(__xludf.DUMMYFUNCTION("VLOOKUP(G128,IMPORTRANGE(""https://docs.google.com/spreadsheets/d/12RxCea4e5ggM7QGn1XE3FbLQa_-QbCNdBi90OdPjRqg/edit?gid=1692403370#gid=1692403370"", ""'Plan de Compras'!D4:2432""), 8,0)"),2.0)</f>
        <v>2</v>
      </c>
      <c r="K128" s="26" t="str">
        <f t="shared" si="1"/>
        <v>SI</v>
      </c>
      <c r="L128" s="26"/>
      <c r="M128" s="41"/>
      <c r="N128" s="26"/>
      <c r="O128" s="42"/>
      <c r="P128" s="42"/>
      <c r="Q128" s="57"/>
      <c r="R128" s="41"/>
      <c r="S128" s="34" t="b">
        <v>1</v>
      </c>
      <c r="T128" s="35" t="s">
        <v>482</v>
      </c>
      <c r="U128" s="36" t="s">
        <v>487</v>
      </c>
      <c r="V128" s="34" t="s">
        <v>488</v>
      </c>
      <c r="W128" s="37" t="str">
        <f>IFERROR(__xludf.DUMMYFUNCTION("IFERROR(VLOOKUP(G128,IMPORTRANGE(""https://docs.google.com/spreadsheets/d/12RxCea4e5ggM7QGn1XE3FbLQa_-QbCNdBi90OdPjRqg"", ""'Plan de Compras'!D4:Q""), 12, 0), ""NO ESTÁ EN REQ"")"),"Técnica")</f>
        <v>Técnica</v>
      </c>
      <c r="X128" s="37" t="str">
        <f>IFERROR(__xludf.DUMMYFUNCTION("IFERROR(VLOOKUP(G128,IMPORTRANGE(""https://docs.google.com/spreadsheets/d/12RxCea4e5ggM7QGn1XE3FbLQa_-QbCNdBi90OdPjRqg"", ""'Plan de Compras'!D4:Q""), 13, 0), """")"),"INTERNACIONAL")</f>
        <v>INTERNACIONAL</v>
      </c>
      <c r="Y128" s="32" t="str">
        <f>IFERROR(__xludf.DUMMYFUNCTION("IFERROR(VLOOKUP(G128,IMPORTRANGE(""https://docs.google.com/spreadsheets/d/12RxCea4e5ggM7QGn1XE3FbLQa_-QbCNdBi90OdPjRqg"", ""'Plan de Compras'!D4:Q""), 14, 0), """")"),"GEYDI")</f>
        <v>GEYDI</v>
      </c>
      <c r="Z128" s="38" t="str">
        <f>IFERROR(__xludf.DUMMYFUNCTION("IFERROR(VLOOKUP(G128,IMPORTRANGE(""https://docs.google.com/spreadsheets/d/12RxCea4e5ggM7QGn1XE3FbLQa_-QbCNdBi90OdPjRqg"", ""'Plan de Compras'!D4:Q""), 4, 0), """")"),"PIEDRA DE ASENTAR (1 UND)")</f>
        <v>PIEDRA DE ASENTAR (1 UND)</v>
      </c>
      <c r="AA128" s="38" t="str">
        <f t="shared" si="16"/>
        <v>TRUE</v>
      </c>
      <c r="AB128" s="37" t="str">
        <f>IFERROR(__xludf.DUMMYFUNCTION("IFERROR(IF(OR(C128=TRUE,C128=""""),VLOOKUP(G128,IMPORTRANGE(""https://docs.google.com/spreadsheets/d/1z9A1Wq-kKrhRNG5RS2a2fKpY1wIhSVz2ZNmP2mOl588/edit?usp=sharing"",""REQ VF!E4:H""),4,0),""NO APLICA""),""GENERAR REQ"")"),"GENERAR REQ")</f>
        <v>GENERAR REQ</v>
      </c>
      <c r="AC128" s="37" t="str">
        <f>IFERROR(__xludf.DUMMYFUNCTION("IFERROR(QUERY(IMPORTRANGE(""https://docs.google.com/spreadsheets/d/1z9A1Wq-kKrhRNG5RS2a2fKpY1wIhSVz2ZNmP2mOl588/edit?usp=sharing"",""REQ VF!E4:Q""),""SELECT Col10, Col11, Col12 WHERE Col1 = '""&amp;G128&amp;""'"",0),""NO APLICA"")"),"NO APLICA")</f>
        <v>NO APLICA</v>
      </c>
      <c r="AD128" s="37"/>
      <c r="AE128" s="37"/>
      <c r="AF128" s="8"/>
      <c r="AG128" s="13"/>
    </row>
    <row r="129">
      <c r="A129" s="26"/>
      <c r="B129" s="26"/>
      <c r="C129" s="26" t="b">
        <v>1</v>
      </c>
      <c r="D129" s="26" t="s">
        <v>42</v>
      </c>
      <c r="E129" s="26" t="s">
        <v>36</v>
      </c>
      <c r="F129" s="59" t="s">
        <v>470</v>
      </c>
      <c r="G129" s="39" t="s">
        <v>489</v>
      </c>
      <c r="H129" s="40" t="s">
        <v>490</v>
      </c>
      <c r="I129" s="43">
        <f t="shared" si="20"/>
        <v>2</v>
      </c>
      <c r="J129" s="26">
        <f>IFERROR(__xludf.DUMMYFUNCTION("VLOOKUP(G129,IMPORTRANGE(""https://docs.google.com/spreadsheets/d/12RxCea4e5ggM7QGn1XE3FbLQa_-QbCNdBi90OdPjRqg/edit?gid=1692403370#gid=1692403370"", ""'Plan de Compras'!D4:2432""), 8,0)"),2.0)</f>
        <v>2</v>
      </c>
      <c r="K129" s="26" t="str">
        <f t="shared" si="1"/>
        <v>SI</v>
      </c>
      <c r="L129" s="26"/>
      <c r="M129" s="41"/>
      <c r="N129" s="26"/>
      <c r="O129" s="42"/>
      <c r="P129" s="42"/>
      <c r="Q129" s="57"/>
      <c r="R129" s="41"/>
      <c r="S129" s="34" t="b">
        <v>1</v>
      </c>
      <c r="T129" s="35" t="s">
        <v>482</v>
      </c>
      <c r="U129" s="36" t="s">
        <v>491</v>
      </c>
      <c r="V129" s="34" t="s">
        <v>492</v>
      </c>
      <c r="W129" s="37" t="str">
        <f>IFERROR(__xludf.DUMMYFUNCTION("IFERROR(VLOOKUP(G129,IMPORTRANGE(""https://docs.google.com/spreadsheets/d/12RxCea4e5ggM7QGn1XE3FbLQa_-QbCNdBi90OdPjRqg"", ""'Plan de Compras'!D4:Q""), 12, 0), ""NO ESTÁ EN REQ"")"),"Técnica")</f>
        <v>Técnica</v>
      </c>
      <c r="X129" s="37" t="str">
        <f>IFERROR(__xludf.DUMMYFUNCTION("IFERROR(VLOOKUP(G129,IMPORTRANGE(""https://docs.google.com/spreadsheets/d/12RxCea4e5ggM7QGn1XE3FbLQa_-QbCNdBi90OdPjRqg"", ""'Plan de Compras'!D4:Q""), 13, 0), """")"),"INTERNACIONAL")</f>
        <v>INTERNACIONAL</v>
      </c>
      <c r="Y129" s="32" t="str">
        <f>IFERROR(__xludf.DUMMYFUNCTION("IFERROR(VLOOKUP(G129,IMPORTRANGE(""https://docs.google.com/spreadsheets/d/12RxCea4e5ggM7QGn1XE3FbLQa_-QbCNdBi90OdPjRqg"", ""'Plan de Compras'!D4:Q""), 14, 0), """")"),"GEYDI")</f>
        <v>GEYDI</v>
      </c>
      <c r="Z129" s="38" t="str">
        <f>IFERROR(__xludf.DUMMYFUNCTION("IFERROR(VLOOKUP(G129,IMPORTRANGE(""https://docs.google.com/spreadsheets/d/12RxCea4e5ggM7QGn1XE3FbLQa_-QbCNdBi90OdPjRqg"", ""'Plan de Compras'!D4:Q""), 4, 0), """")"),"DISPOSITIVO DE RECTIFICADO DE MUELA (1 UND)")</f>
        <v>DISPOSITIVO DE RECTIFICADO DE MUELA (1 UND)</v>
      </c>
      <c r="AA129" s="38" t="str">
        <f t="shared" si="16"/>
        <v>TRUE</v>
      </c>
      <c r="AB129" s="37" t="str">
        <f>IFERROR(__xludf.DUMMYFUNCTION("IFERROR(IF(OR(C129=TRUE,C129=""""),VLOOKUP(G129,IMPORTRANGE(""https://docs.google.com/spreadsheets/d/1z9A1Wq-kKrhRNG5RS2a2fKpY1wIhSVz2ZNmP2mOl588/edit?usp=sharing"",""REQ VF!E4:H""),4,0),""NO APLICA""),""GENERAR REQ"")"),"GENERAR REQ")</f>
        <v>GENERAR REQ</v>
      </c>
      <c r="AC129" s="37" t="str">
        <f>IFERROR(__xludf.DUMMYFUNCTION("IFERROR(QUERY(IMPORTRANGE(""https://docs.google.com/spreadsheets/d/1z9A1Wq-kKrhRNG5RS2a2fKpY1wIhSVz2ZNmP2mOl588/edit?usp=sharing"",""REQ VF!E4:Q""),""SELECT Col10, Col11, Col12 WHERE Col1 = '""&amp;G129&amp;""'"",0),""NO APLICA"")"),"NO APLICA")</f>
        <v>NO APLICA</v>
      </c>
      <c r="AD129" s="37"/>
      <c r="AE129" s="37"/>
      <c r="AF129" s="8"/>
      <c r="AG129" s="13"/>
    </row>
    <row r="130">
      <c r="A130" s="26"/>
      <c r="B130" s="26"/>
      <c r="C130" s="26" t="b">
        <v>1</v>
      </c>
      <c r="D130" s="26" t="s">
        <v>42</v>
      </c>
      <c r="E130" s="26" t="s">
        <v>36</v>
      </c>
      <c r="F130" s="59" t="s">
        <v>470</v>
      </c>
      <c r="G130" s="39" t="s">
        <v>493</v>
      </c>
      <c r="H130" s="40" t="s">
        <v>494</v>
      </c>
      <c r="I130" s="43">
        <f t="shared" si="20"/>
        <v>2</v>
      </c>
      <c r="J130" s="26">
        <f>IFERROR(__xludf.DUMMYFUNCTION("VLOOKUP(G130,IMPORTRANGE(""https://docs.google.com/spreadsheets/d/12RxCea4e5ggM7QGn1XE3FbLQa_-QbCNdBi90OdPjRqg/edit?gid=1692403370#gid=1692403370"", ""'Plan de Compras'!D4:2432""), 8,0)"),2.0)</f>
        <v>2</v>
      </c>
      <c r="K130" s="26" t="str">
        <f t="shared" si="1"/>
        <v>SI</v>
      </c>
      <c r="L130" s="26"/>
      <c r="M130" s="41"/>
      <c r="N130" s="26"/>
      <c r="O130" s="42"/>
      <c r="P130" s="42"/>
      <c r="Q130" s="57"/>
      <c r="R130" s="41"/>
      <c r="S130" s="34" t="b">
        <v>1</v>
      </c>
      <c r="T130" s="35" t="s">
        <v>482</v>
      </c>
      <c r="U130" s="36" t="s">
        <v>495</v>
      </c>
      <c r="V130" s="34" t="s">
        <v>496</v>
      </c>
      <c r="W130" s="37" t="str">
        <f>IFERROR(__xludf.DUMMYFUNCTION("IFERROR(VLOOKUP(G130,IMPORTRANGE(""https://docs.google.com/spreadsheets/d/12RxCea4e5ggM7QGn1XE3FbLQa_-QbCNdBi90OdPjRqg"", ""'Plan de Compras'!D4:Q""), 12, 0), ""NO ESTÁ EN REQ"")"),"Técnica")</f>
        <v>Técnica</v>
      </c>
      <c r="X130" s="37" t="str">
        <f>IFERROR(__xludf.DUMMYFUNCTION("IFERROR(VLOOKUP(G130,IMPORTRANGE(""https://docs.google.com/spreadsheets/d/12RxCea4e5ggM7QGn1XE3FbLQa_-QbCNdBi90OdPjRqg"", ""'Plan de Compras'!D4:Q""), 13, 0), """")"),"INTERNACIONAL")</f>
        <v>INTERNACIONAL</v>
      </c>
      <c r="Y130" s="32" t="str">
        <f>IFERROR(__xludf.DUMMYFUNCTION("IFERROR(VLOOKUP(G130,IMPORTRANGE(""https://docs.google.com/spreadsheets/d/12RxCea4e5ggM7QGn1XE3FbLQa_-QbCNdBi90OdPjRqg"", ""'Plan de Compras'!D4:Q""), 14, 0), """")"),"GEYDI")</f>
        <v>GEYDI</v>
      </c>
      <c r="Z130" s="38" t="str">
        <f>IFERROR(__xludf.DUMMYFUNCTION("IFERROR(VLOOKUP(G130,IMPORTRANGE(""https://docs.google.com/spreadsheets/d/12RxCea4e5ggM7QGn1XE3FbLQa_-QbCNdBi90OdPjRqg"", ""'Plan de Compras'!D4:Q""), 4, 0), """")"),"PASTA DE AFILADO (1 UND)")</f>
        <v>PASTA DE AFILADO (1 UND)</v>
      </c>
      <c r="AA130" s="38" t="str">
        <f t="shared" si="16"/>
        <v>TRUE</v>
      </c>
      <c r="AB130" s="37" t="str">
        <f>IFERROR(__xludf.DUMMYFUNCTION("IFERROR(IF(OR(C130=TRUE,C130=""""),VLOOKUP(G130,IMPORTRANGE(""https://docs.google.com/spreadsheets/d/1z9A1Wq-kKrhRNG5RS2a2fKpY1wIhSVz2ZNmP2mOl588/edit?usp=sharing"",""REQ VF!E4:H""),4,0),""NO APLICA""),""GENERAR REQ"")"),"GENERAR REQ")</f>
        <v>GENERAR REQ</v>
      </c>
      <c r="AC130" s="37" t="str">
        <f>IFERROR(__xludf.DUMMYFUNCTION("IFERROR(QUERY(IMPORTRANGE(""https://docs.google.com/spreadsheets/d/1z9A1Wq-kKrhRNG5RS2a2fKpY1wIhSVz2ZNmP2mOl588/edit?usp=sharing"",""REQ VF!E4:Q""),""SELECT Col10, Col11, Col12 WHERE Col1 = '""&amp;G130&amp;""'"",0),""NO APLICA"")"),"NO APLICA")</f>
        <v>NO APLICA</v>
      </c>
      <c r="AD130" s="37"/>
      <c r="AE130" s="37"/>
      <c r="AF130" s="8"/>
      <c r="AG130" s="13"/>
    </row>
    <row r="131">
      <c r="A131" s="26"/>
      <c r="B131" s="26"/>
      <c r="C131" s="26" t="b">
        <v>1</v>
      </c>
      <c r="D131" s="26" t="s">
        <v>42</v>
      </c>
      <c r="E131" s="26" t="s">
        <v>36</v>
      </c>
      <c r="F131" s="59" t="s">
        <v>470</v>
      </c>
      <c r="G131" s="39" t="s">
        <v>497</v>
      </c>
      <c r="H131" s="40" t="s">
        <v>498</v>
      </c>
      <c r="I131" s="43">
        <f t="shared" si="20"/>
        <v>2</v>
      </c>
      <c r="J131" s="26">
        <f>IFERROR(__xludf.DUMMYFUNCTION("VLOOKUP(G131,IMPORTRANGE(""https://docs.google.com/spreadsheets/d/12RxCea4e5ggM7QGn1XE3FbLQa_-QbCNdBi90OdPjRqg/edit?gid=1692403370#gid=1692403370"", ""'Plan de Compras'!D4:2432""), 8,0)"),2.0)</f>
        <v>2</v>
      </c>
      <c r="K131" s="26" t="str">
        <f t="shared" si="1"/>
        <v>SI</v>
      </c>
      <c r="L131" s="26"/>
      <c r="M131" s="41"/>
      <c r="N131" s="26"/>
      <c r="O131" s="42"/>
      <c r="P131" s="42"/>
      <c r="Q131" s="57"/>
      <c r="R131" s="41"/>
      <c r="S131" s="34" t="b">
        <v>1</v>
      </c>
      <c r="T131" s="35" t="s">
        <v>482</v>
      </c>
      <c r="U131" s="36" t="s">
        <v>499</v>
      </c>
      <c r="V131" s="34" t="s">
        <v>500</v>
      </c>
      <c r="W131" s="37" t="str">
        <f>IFERROR(__xludf.DUMMYFUNCTION("IFERROR(VLOOKUP(G131,IMPORTRANGE(""https://docs.google.com/spreadsheets/d/12RxCea4e5ggM7QGn1XE3FbLQa_-QbCNdBi90OdPjRqg"", ""'Plan de Compras'!D4:Q""), 12, 0), ""NO ESTÁ EN REQ"")"),"Técnica")</f>
        <v>Técnica</v>
      </c>
      <c r="X131" s="37" t="str">
        <f>IFERROR(__xludf.DUMMYFUNCTION("IFERROR(VLOOKUP(G131,IMPORTRANGE(""https://docs.google.com/spreadsheets/d/12RxCea4e5ggM7QGn1XE3FbLQa_-QbCNdBi90OdPjRqg"", ""'Plan de Compras'!D4:Q""), 13, 0), """")"),"INTERNACIONAL")</f>
        <v>INTERNACIONAL</v>
      </c>
      <c r="Y131" s="32" t="str">
        <f>IFERROR(__xludf.DUMMYFUNCTION("IFERROR(VLOOKUP(G131,IMPORTRANGE(""https://docs.google.com/spreadsheets/d/12RxCea4e5ggM7QGn1XE3FbLQa_-QbCNdBi90OdPjRqg"", ""'Plan de Compras'!D4:Q""), 14, 0), """")"),"GEYDI")</f>
        <v>GEYDI</v>
      </c>
      <c r="Z131" s="38" t="str">
        <f>IFERROR(__xludf.DUMMYFUNCTION("IFERROR(VLOOKUP(G131,IMPORTRANGE(""https://docs.google.com/spreadsheets/d/12RxCea4e5ggM7QGn1XE3FbLQa_-QbCNdBi90OdPjRqg"", ""'Plan de Compras'!D4:Q""), 4, 0), """")"),"DISPOSITIVO DE AFILADO UNIVERSAL (1 UND)")</f>
        <v>DISPOSITIVO DE AFILADO UNIVERSAL (1 UND)</v>
      </c>
      <c r="AA131" s="38" t="str">
        <f t="shared" si="16"/>
        <v>TRUE</v>
      </c>
      <c r="AB131" s="37" t="str">
        <f>IFERROR(__xludf.DUMMYFUNCTION("IFERROR(IF(OR(C131=TRUE,C131=""""),VLOOKUP(G131,IMPORTRANGE(""https://docs.google.com/spreadsheets/d/1z9A1Wq-kKrhRNG5RS2a2fKpY1wIhSVz2ZNmP2mOl588/edit?usp=sharing"",""REQ VF!E4:H""),4,0),""NO APLICA""),""GENERAR REQ"")"),"GENERAR REQ")</f>
        <v>GENERAR REQ</v>
      </c>
      <c r="AC131" s="37" t="str">
        <f>IFERROR(__xludf.DUMMYFUNCTION("IFERROR(QUERY(IMPORTRANGE(""https://docs.google.com/spreadsheets/d/1z9A1Wq-kKrhRNG5RS2a2fKpY1wIhSVz2ZNmP2mOl588/edit?usp=sharing"",""REQ VF!E4:Q""),""SELECT Col10, Col11, Col12 WHERE Col1 = '""&amp;G131&amp;""'"",0),""NO APLICA"")"),"NO APLICA")</f>
        <v>NO APLICA</v>
      </c>
      <c r="AD131" s="37"/>
      <c r="AE131" s="37"/>
      <c r="AF131" s="8"/>
      <c r="AG131" s="13"/>
    </row>
    <row r="132">
      <c r="A132" s="26">
        <v>55.0</v>
      </c>
      <c r="B132" s="26" t="b">
        <v>1</v>
      </c>
      <c r="C132" s="26" t="b">
        <v>1</v>
      </c>
      <c r="D132" s="26" t="s">
        <v>35</v>
      </c>
      <c r="E132" s="26" t="s">
        <v>36</v>
      </c>
      <c r="F132" s="27" t="s">
        <v>470</v>
      </c>
      <c r="G132" s="37" t="s">
        <v>501</v>
      </c>
      <c r="H132" s="45" t="s">
        <v>472</v>
      </c>
      <c r="I132" s="26">
        <f>SUMIFS('Hoja 10'!$O:$O,'Hoja 10'!$F:$F,$G132)</f>
        <v>1</v>
      </c>
      <c r="J132" s="26">
        <f>IFERROR(__xludf.DUMMYFUNCTION("VLOOKUP(G132,IMPORTRANGE(""https://docs.google.com/spreadsheets/d/12RxCea4e5ggM7QGn1XE3FbLQa_-QbCNdBi90OdPjRqg/edit?gid=1692403370#gid=1692403370"", ""'Plan de Compras'!D4:2432""), 8,0)"),1.0)</f>
        <v>1</v>
      </c>
      <c r="K132" s="26" t="str">
        <f t="shared" si="1"/>
        <v>SI</v>
      </c>
      <c r="L132" s="29" t="s">
        <v>91</v>
      </c>
      <c r="M132" s="30" t="s">
        <v>92</v>
      </c>
      <c r="N132" s="42"/>
      <c r="O132" s="32" t="str">
        <f>VLOOKUP($G132,'Hoja 10'!$F$4:$AA478, 19,0)</f>
        <v>STANLEY</v>
      </c>
      <c r="P132" s="32" t="str">
        <f>VLOOKUP($G132,'Hoja 10'!$F$4:$AA478, 20,0)</f>
        <v>STGB3715</v>
      </c>
      <c r="Q132" s="33" t="str">
        <f>VLOOKUP($G132,'Hoja 10'!$F$4:$AA478, 21,0)</f>
        <v>https://drive.google.com/file/d/1E3CKzA1bkip1VQS1CWffN492gl2sDrRt/view?usp=sharing</v>
      </c>
      <c r="R132" s="30" t="s">
        <v>502</v>
      </c>
      <c r="S132" s="34" t="b">
        <v>1</v>
      </c>
      <c r="T132" s="35" t="str">
        <f>IFERROR(__xludf.DUMMYFUNCTION(" IF
( VLOOKUP($G132,IMPORTRANGE(""https://docs.google.com/spreadsheets/d/1Gpl6jkTg7sL4VDNimUm3S9Vi1i95esohXCF3wuKOE8c"", ""'CONSOLIDADO'!G5:AB""), 10, 0) &lt;&gt; 0, 
IFERROR(VLOOKUP($G132,IMPORTRANGE(""https://docs.google.com/spreadsheets/d/1Gpl6jkTg7sL4VDNimU"&amp;"m3S9Vi1i95esohXCF3wuKOE8c"", ""'CONSOLIDADO'!G5:AB""), 17, 0), ""-""),
""""
)"),"STANLEY")</f>
        <v>STANLEY</v>
      </c>
      <c r="U132" s="35" t="str">
        <f>IFERROR(__xludf.DUMMYFUNCTION(" IF
( VLOOKUP($G132,IMPORTRANGE(""https://docs.google.com/spreadsheets/d/1Gpl6jkTg7sL4VDNimUm3S9Vi1i95esohXCF3wuKOE8c"", ""'CONSOLIDADO'!G5:AB""), 10, 0) &lt;&gt; 0, 
IFERROR(VLOOKUP($G132,IMPORTRANGE(""https://docs.google.com/spreadsheets/d/1Gpl6jkTg7sL4VDNimU"&amp;"m3S9Vi1i95esohXCF3wuKOE8c"", ""'CONSOLIDADO'!G5:AB""), 18, 0), ""-""),
""""
)"),"STGB3715")</f>
        <v>STGB3715</v>
      </c>
      <c r="V132" s="36" t="str">
        <f>IFERROR(__xludf.DUMMYFUNCTION(" IF
( VLOOKUP($G132,IMPORTRANGE(""https://docs.google.com/spreadsheets/d/1Gpl6jkTg7sL4VDNimUm3S9Vi1i95esohXCF3wuKOE8c"", ""'CONSOLIDADO'!G5:AB""), 10, 0) &lt;&gt; 0, 
IFERROR(VLOOKUP($G132,IMPORTRANGE(""https://docs.google.com/spreadsheets/d/1Gpl6jkTg7sL4VDNimU"&amp;"m3S9Vi1i95esohXCF3wuKOE8c"", ""'CONSOLIDADO'!G5:AB""), 19, 0), ""-""),
""""
)"),"https://pe.stanleytools.global/producto/stgb3715/esmeriladora-de-banco-de-6-152mm-de-12hp-373w")</f>
        <v>https://pe.stanleytools.global/producto/stgb3715/esmeriladora-de-banco-de-6-152mm-de-12hp-373w</v>
      </c>
      <c r="W132" s="37" t="str">
        <f>IFERROR(__xludf.DUMMYFUNCTION("IFERROR(VLOOKUP(G132,IMPORTRANGE(""https://docs.google.com/spreadsheets/d/12RxCea4e5ggM7QGn1XE3FbLQa_-QbCNdBi90OdPjRqg"", ""'Plan de Compras'!D4:Q""), 12, 0), ""NO ESTÁ EN REQ"")"),"Técnica")</f>
        <v>Técnica</v>
      </c>
      <c r="X132" s="37" t="str">
        <f>IFERROR(__xludf.DUMMYFUNCTION("IFERROR(VLOOKUP(G132,IMPORTRANGE(""https://docs.google.com/spreadsheets/d/12RxCea4e5ggM7QGn1XE3FbLQa_-QbCNdBi90OdPjRqg"", ""'Plan de Compras'!D4:Q""), 13, 0), """")"),"NACIONAL")</f>
        <v>NACIONAL</v>
      </c>
      <c r="Y132" s="32" t="str">
        <f>IFERROR(__xludf.DUMMYFUNCTION("IFERROR(VLOOKUP(G132,IMPORTRANGE(""https://docs.google.com/spreadsheets/d/12RxCea4e5ggM7QGn1XE3FbLQa_-QbCNdBi90OdPjRqg"", ""'Plan de Compras'!D4:Q""), 14, 0), """")"),"DIANA")</f>
        <v>DIANA</v>
      </c>
      <c r="Z132" s="38" t="str">
        <f>IFERROR(__xludf.DUMMYFUNCTION("IFERROR(VLOOKUP(G132,IMPORTRANGE(""https://docs.google.com/spreadsheets/d/12RxCea4e5ggM7QGn1XE3FbLQa_-QbCNdBi90OdPjRqg"", ""'Plan de Compras'!D4:Q""), 4, 0), """")"),"ESMERIL DE BANCO")</f>
        <v>ESMERIL DE BANCO</v>
      </c>
      <c r="AA132" s="38" t="str">
        <f t="shared" si="16"/>
        <v>TRUE</v>
      </c>
      <c r="AB132" s="37" t="str">
        <f>IFERROR(__xludf.DUMMYFUNCTION("IFERROR(IF(OR(C132=TRUE,C132=""""),VLOOKUP(G132,IMPORTRANGE(""https://docs.google.com/spreadsheets/d/1z9A1Wq-kKrhRNG5RS2a2fKpY1wIhSVz2ZNmP2mOl588/edit?usp=sharing"",""REQ VF!E4:H""),4,0),""NO APLICA""),""GENERAR REQ"")"),"GENERAR REQ")</f>
        <v>GENERAR REQ</v>
      </c>
      <c r="AC132" s="37" t="str">
        <f>IFERROR(__xludf.DUMMYFUNCTION("IFERROR(QUERY(IMPORTRANGE(""https://docs.google.com/spreadsheets/d/1z9A1Wq-kKrhRNG5RS2a2fKpY1wIhSVz2ZNmP2mOl588/edit?usp=sharing"",""REQ VF!E4:Q""),""SELECT Col10, Col11, Col12 WHERE Col1 = '""&amp;G132&amp;""'"",0),""NO APLICA"")"),"NO APLICA")</f>
        <v>NO APLICA</v>
      </c>
      <c r="AD132" s="37"/>
      <c r="AE132" s="37"/>
      <c r="AF132" s="8" t="s">
        <v>52</v>
      </c>
      <c r="AG132" s="13"/>
    </row>
    <row r="133">
      <c r="A133" s="26">
        <v>56.0</v>
      </c>
      <c r="B133" s="26" t="b">
        <v>1</v>
      </c>
      <c r="C133" s="26" t="b">
        <v>1</v>
      </c>
      <c r="D133" s="26" t="s">
        <v>35</v>
      </c>
      <c r="E133" s="26" t="s">
        <v>36</v>
      </c>
      <c r="F133" s="27" t="s">
        <v>503</v>
      </c>
      <c r="G133" s="37" t="s">
        <v>503</v>
      </c>
      <c r="H133" s="45" t="s">
        <v>504</v>
      </c>
      <c r="I133" s="26">
        <f>SUMIFS('Hoja 10'!$O:$O,'Hoja 10'!$F:$F,$G133)</f>
        <v>3</v>
      </c>
      <c r="J133" s="26">
        <f>IFERROR(__xludf.DUMMYFUNCTION("VLOOKUP(G133,IMPORTRANGE(""https://docs.google.com/spreadsheets/d/12RxCea4e5ggM7QGn1XE3FbLQa_-QbCNdBi90OdPjRqg/edit?gid=1692403370#gid=1692403370"", ""'Plan de Compras'!D4:2432""), 8,0)"),3.0)</f>
        <v>3</v>
      </c>
      <c r="K133" s="26" t="str">
        <f t="shared" si="1"/>
        <v>SI</v>
      </c>
      <c r="L133" s="29" t="s">
        <v>127</v>
      </c>
      <c r="M133" s="30" t="s">
        <v>105</v>
      </c>
      <c r="N133" s="42"/>
      <c r="O133" s="32" t="str">
        <f>VLOOKUP($G133,'Hoja 10'!$F$4:$AA478, 19,0)</f>
        <v>STANLEY</v>
      </c>
      <c r="P133" s="32" t="str">
        <f>VLOOKUP($G133,'Hoja 10'!$F$4:$AA478, 20,0)</f>
        <v>STGB3715</v>
      </c>
      <c r="Q133" s="33" t="str">
        <f>VLOOKUP($G133,'Hoja 10'!$F$4:$AA478, 21,0)</f>
        <v>https://drive.google.com/file/d/1E3CKzA1bkip1VQS1CWffN492gl2sDrRt/view?usp=sharing</v>
      </c>
      <c r="R133" s="30" t="s">
        <v>505</v>
      </c>
      <c r="S133" s="34" t="b">
        <v>1</v>
      </c>
      <c r="T133" s="35" t="str">
        <f>IFERROR(__xludf.DUMMYFUNCTION(" IF
( VLOOKUP($G133,IMPORTRANGE(""https://docs.google.com/spreadsheets/d/1Gpl6jkTg7sL4VDNimUm3S9Vi1i95esohXCF3wuKOE8c"", ""'CONSOLIDADO'!G5:AB""), 10, 0) &lt;&gt; 0, 
IFERROR(VLOOKUP($G133,IMPORTRANGE(""https://docs.google.com/spreadsheets/d/1Gpl6jkTg7sL4VDNimU"&amp;"m3S9Vi1i95esohXCF3wuKOE8c"", ""'CONSOLIDADO'!G5:AB""), 17, 0), ""-""),
""""
)"),"STANLEY")</f>
        <v>STANLEY</v>
      </c>
      <c r="U133" s="35" t="str">
        <f>IFERROR(__xludf.DUMMYFUNCTION(" IF
( VLOOKUP($G133,IMPORTRANGE(""https://docs.google.com/spreadsheets/d/1Gpl6jkTg7sL4VDNimUm3S9Vi1i95esohXCF3wuKOE8c"", ""'CONSOLIDADO'!G5:AB""), 10, 0) &lt;&gt; 0, 
IFERROR(VLOOKUP($G133,IMPORTRANGE(""https://docs.google.com/spreadsheets/d/1Gpl6jkTg7sL4VDNimU"&amp;"m3S9Vi1i95esohXCF3wuKOE8c"", ""'CONSOLIDADO'!G5:AB""), 18, 0), ""-""),
""""
)"),"STGB3715")</f>
        <v>STGB3715</v>
      </c>
      <c r="V133" s="36" t="str">
        <f>IFERROR(__xludf.DUMMYFUNCTION(" IF
( VLOOKUP($G133,IMPORTRANGE(""https://docs.google.com/spreadsheets/d/1Gpl6jkTg7sL4VDNimUm3S9Vi1i95esohXCF3wuKOE8c"", ""'CONSOLIDADO'!G5:AB""), 10, 0) &lt;&gt; 0, 
IFERROR(VLOOKUP($G133,IMPORTRANGE(""https://docs.google.com/spreadsheets/d/1Gpl6jkTg7sL4VDNimU"&amp;"m3S9Vi1i95esohXCF3wuKOE8c"", ""'CONSOLIDADO'!G5:AB""), 19, 0), ""-""),
""""
)"),"https://pe.stanleytools.global/producto/stgb3715/esmeriladora-de-banco-de-6-152mm-de-12hp-373w")</f>
        <v>https://pe.stanleytools.global/producto/stgb3715/esmeriladora-de-banco-de-6-152mm-de-12hp-373w</v>
      </c>
      <c r="W133" s="37" t="str">
        <f>IFERROR(__xludf.DUMMYFUNCTION("IFERROR(VLOOKUP(G133,IMPORTRANGE(""https://docs.google.com/spreadsheets/d/12RxCea4e5ggM7QGn1XE3FbLQa_-QbCNdBi90OdPjRqg"", ""'Plan de Compras'!D4:Q""), 12, 0), ""NO ESTÁ EN REQ"")"),"Técnica")</f>
        <v>Técnica</v>
      </c>
      <c r="X133" s="37" t="str">
        <f>IFERROR(__xludf.DUMMYFUNCTION("IFERROR(VLOOKUP(G133,IMPORTRANGE(""https://docs.google.com/spreadsheets/d/12RxCea4e5ggM7QGn1XE3FbLQa_-QbCNdBi90OdPjRqg"", ""'Plan de Compras'!D4:Q""), 13, 0), """")"),"NACIONAL")</f>
        <v>NACIONAL</v>
      </c>
      <c r="Y133" s="32" t="str">
        <f>IFERROR(__xludf.DUMMYFUNCTION("IFERROR(VLOOKUP(G133,IMPORTRANGE(""https://docs.google.com/spreadsheets/d/12RxCea4e5ggM7QGn1XE3FbLQa_-QbCNdBi90OdPjRqg"", ""'Plan de Compras'!D4:Q""), 14, 0), """")"),"DIANA")</f>
        <v>DIANA</v>
      </c>
      <c r="Z133" s="38" t="str">
        <f>IFERROR(__xludf.DUMMYFUNCTION("IFERROR(VLOOKUP(G133,IMPORTRANGE(""https://docs.google.com/spreadsheets/d/12RxCea4e5ggM7QGn1XE3FbLQa_-QbCNdBi90OdPjRqg"", ""'Plan de Compras'!D4:Q""), 4, 0), """")"),"ESMERIL DE BANCO (CON SOPORTE)")</f>
        <v>ESMERIL DE BANCO (CON SOPORTE)</v>
      </c>
      <c r="AA133" s="38" t="str">
        <f t="shared" si="16"/>
        <v>TRUE</v>
      </c>
      <c r="AB133" s="37" t="str">
        <f>IFERROR(__xludf.DUMMYFUNCTION("IFERROR(IF(OR(C133=TRUE,C133=""""),VLOOKUP(G133,IMPORTRANGE(""https://docs.google.com/spreadsheets/d/1z9A1Wq-kKrhRNG5RS2a2fKpY1wIhSVz2ZNmP2mOl588/edit?usp=sharing"",""REQ VF!E4:H""),4,0),""NO APLICA""),""GENERAR REQ"")"),"GENERAR REQ")</f>
        <v>GENERAR REQ</v>
      </c>
      <c r="AC133" s="37" t="str">
        <f>IFERROR(__xludf.DUMMYFUNCTION("IFERROR(QUERY(IMPORTRANGE(""https://docs.google.com/spreadsheets/d/1z9A1Wq-kKrhRNG5RS2a2fKpY1wIhSVz2ZNmP2mOl588/edit?usp=sharing"",""REQ VF!E4:Q""),""SELECT Col10, Col11, Col12 WHERE Col1 = '""&amp;G133&amp;""'"",0),""NO APLICA"")"),"NO APLICA")</f>
        <v>NO APLICA</v>
      </c>
      <c r="AD133" s="37"/>
      <c r="AE133" s="37"/>
      <c r="AF133" s="8" t="s">
        <v>52</v>
      </c>
      <c r="AG133" s="13"/>
    </row>
    <row r="134">
      <c r="A134" s="26"/>
      <c r="B134" s="26"/>
      <c r="C134" s="26" t="b">
        <v>1</v>
      </c>
      <c r="D134" s="26" t="s">
        <v>42</v>
      </c>
      <c r="E134" s="26" t="s">
        <v>36</v>
      </c>
      <c r="F134" s="59" t="s">
        <v>503</v>
      </c>
      <c r="G134" s="39" t="s">
        <v>506</v>
      </c>
      <c r="H134" s="40" t="s">
        <v>475</v>
      </c>
      <c r="I134" s="43">
        <f>$I$133</f>
        <v>3</v>
      </c>
      <c r="J134" s="26">
        <f>IFERROR(__xludf.DUMMYFUNCTION("VLOOKUP(G134,IMPORTRANGE(""https://docs.google.com/spreadsheets/d/12RxCea4e5ggM7QGn1XE3FbLQa_-QbCNdBi90OdPjRqg/edit?gid=1692403370#gid=1692403370"", ""'Plan de Compras'!D4:2432""), 8,0)"),3.0)</f>
        <v>3</v>
      </c>
      <c r="K134" s="26" t="str">
        <f t="shared" si="1"/>
        <v>SI</v>
      </c>
      <c r="L134" s="26"/>
      <c r="M134" s="47"/>
      <c r="N134" s="60" t="s">
        <v>166</v>
      </c>
      <c r="O134" s="42"/>
      <c r="P134" s="26" t="s">
        <v>99</v>
      </c>
      <c r="Q134" s="47"/>
      <c r="R134" s="47"/>
      <c r="S134" s="44" t="b">
        <v>0</v>
      </c>
      <c r="T134" s="72"/>
      <c r="U134" s="72"/>
      <c r="V134" s="44"/>
      <c r="W134" s="37" t="str">
        <f>IFERROR(__xludf.DUMMYFUNCTION("IFERROR(VLOOKUP(G134,IMPORTRANGE(""https://docs.google.com/spreadsheets/d/12RxCea4e5ggM7QGn1XE3FbLQa_-QbCNdBi90OdPjRqg"", ""'Plan de Compras'!D4:Q""), 12, 0), ""NO ESTÁ EN REQ"")"),"Técnica")</f>
        <v>Técnica</v>
      </c>
      <c r="X134" s="37" t="str">
        <f>IFERROR(__xludf.DUMMYFUNCTION("IFERROR(VLOOKUP(G134,IMPORTRANGE(""https://docs.google.com/spreadsheets/d/12RxCea4e5ggM7QGn1XE3FbLQa_-QbCNdBi90OdPjRqg"", ""'Plan de Compras'!D4:Q""), 13, 0), """")"),"INTERNACIONAL")</f>
        <v>INTERNACIONAL</v>
      </c>
      <c r="Y134" s="32" t="str">
        <f>IFERROR(__xludf.DUMMYFUNCTION("IFERROR(VLOOKUP(G134,IMPORTRANGE(""https://docs.google.com/spreadsheets/d/12RxCea4e5ggM7QGn1XE3FbLQa_-QbCNdBi90OdPjRqg"", ""'Plan de Compras'!D4:Q""), 14, 0), """")"),"ALEJANDRA")</f>
        <v>ALEJANDRA</v>
      </c>
      <c r="Z134" s="38" t="str">
        <f>IFERROR(__xludf.DUMMYFUNCTION("IFERROR(VLOOKUP(G134,IMPORTRANGE(""https://docs.google.com/spreadsheets/d/12RxCea4e5ggM7QGn1XE3FbLQa_-QbCNdBi90OdPjRqg"", ""'Plan de Compras'!D4:Q""), 4, 0), """")"),"BANCO DE SOPORTE (1 UND)")</f>
        <v>BANCO DE SOPORTE (1 UND)</v>
      </c>
      <c r="AA134" s="38" t="str">
        <f t="shared" si="16"/>
        <v>TRUE</v>
      </c>
      <c r="AB134" s="37" t="str">
        <f>IFERROR(__xludf.DUMMYFUNCTION("IFERROR(IF(OR(C134=TRUE,C134=""""),VLOOKUP(G134,IMPORTRANGE(""https://docs.google.com/spreadsheets/d/1z9A1Wq-kKrhRNG5RS2a2fKpY1wIhSVz2ZNmP2mOl588/edit?usp=sharing"",""REQ VF!E4:H""),4,0),""NO APLICA""),""GENERAR REQ"")"),"GENERAR REQ")</f>
        <v>GENERAR REQ</v>
      </c>
      <c r="AC134" s="37" t="str">
        <f>IFERROR(__xludf.DUMMYFUNCTION("IFERROR(QUERY(IMPORTRANGE(""https://docs.google.com/spreadsheets/d/1z9A1Wq-kKrhRNG5RS2a2fKpY1wIhSVz2ZNmP2mOl588/edit?usp=sharing"",""REQ VF!E4:Q""),""SELECT Col10, Col11, Col12 WHERE Col1 = '""&amp;G134&amp;""'"",0),""NO APLICA"")"),"NO APLICA")</f>
        <v>NO APLICA</v>
      </c>
      <c r="AD134" s="37"/>
      <c r="AE134" s="37"/>
      <c r="AF134" s="13"/>
      <c r="AG134" s="13"/>
    </row>
    <row r="135">
      <c r="A135" s="26">
        <v>57.0</v>
      </c>
      <c r="B135" s="26" t="b">
        <v>1</v>
      </c>
      <c r="C135" s="26" t="b">
        <v>1</v>
      </c>
      <c r="D135" s="26" t="s">
        <v>35</v>
      </c>
      <c r="E135" s="26" t="s">
        <v>36</v>
      </c>
      <c r="F135" s="27" t="s">
        <v>507</v>
      </c>
      <c r="G135" s="37" t="s">
        <v>507</v>
      </c>
      <c r="H135" s="45" t="s">
        <v>508</v>
      </c>
      <c r="I135" s="26">
        <f>SUMIFS('Hoja 10'!$O:$O,'Hoja 10'!$F:$F,$G135)</f>
        <v>12</v>
      </c>
      <c r="J135" s="26">
        <f>IFERROR(__xludf.DUMMYFUNCTION("VLOOKUP(G135,IMPORTRANGE(""https://docs.google.com/spreadsheets/d/12RxCea4e5ggM7QGn1XE3FbLQa_-QbCNdBi90OdPjRqg/edit?gid=1692403370#gid=1692403370"", ""'Plan de Compras'!D4:2432""), 8,0)"),12.0)</f>
        <v>12</v>
      </c>
      <c r="K135" s="26" t="str">
        <f t="shared" si="1"/>
        <v>SI</v>
      </c>
      <c r="L135" s="29" t="s">
        <v>180</v>
      </c>
      <c r="M135" s="30" t="s">
        <v>181</v>
      </c>
      <c r="N135" s="42"/>
      <c r="O135" s="32" t="str">
        <f>VLOOKUP($G135,'Hoja 10'!$F$4:$AA478, 19,0)</f>
        <v>ssedumachine</v>
      </c>
      <c r="P135" s="32" t="str">
        <f>VLOOKUP($G135,'Hoja 10'!$F$4:$AA478, 20,0)</f>
        <v>TB-230320-V-003</v>
      </c>
      <c r="Q135" s="33" t="str">
        <f>VLOOKUP($G135,'Hoja 10'!$F$4:$AA478, 21,0)</f>
        <v>https://www.ssedumachine.com/product/tb-230320-v-003-mobile-station-for-training-of-home-electrical-installations-teaching-equipment-electrical-laboratory-equipment/</v>
      </c>
      <c r="R135" s="30" t="s">
        <v>509</v>
      </c>
      <c r="S135" s="34" t="b">
        <v>1</v>
      </c>
      <c r="T135" s="35" t="str">
        <f>IFERROR(__xludf.DUMMYFUNCTION(" IF
( VLOOKUP($G135,IMPORTRANGE(""https://docs.google.com/spreadsheets/d/1Gpl6jkTg7sL4VDNimUm3S9Vi1i95esohXCF3wuKOE8c"", ""'CONSOLIDADO'!G5:AB""), 10, 0) &lt;&gt; 0, 
IFERROR(VLOOKUP($G135,IMPORTRANGE(""https://docs.google.com/spreadsheets/d/1Gpl6jkTg7sL4VDNimU"&amp;"m3S9Vi1i95esohXCF3wuKOE8c"", ""'CONSOLIDADO'!G5:AB""), 17, 0), ""-""),
""""
)"),"SHOULDSHINE")</f>
        <v>SHOULDSHINE</v>
      </c>
      <c r="U135" s="35" t="str">
        <f>IFERROR(__xludf.DUMMYFUNCTION(" IF
( VLOOKUP($G135,IMPORTRANGE(""https://docs.google.com/spreadsheets/d/1Gpl6jkTg7sL4VDNimUm3S9Vi1i95esohXCF3wuKOE8c"", ""'CONSOLIDADO'!G5:AB""), 10, 0) &lt;&gt; 0, 
IFERROR(VLOOKUP($G135,IMPORTRANGE(""https://docs.google.com/spreadsheets/d/1Gpl6jkTg7sL4VDNimU"&amp;"m3S9Vi1i95esohXCF3wuKOE8c"", ""'CONSOLIDADO'!G5:AB""), 18, 0), ""-""),
""""
)"),"TB-230320-V-003")</f>
        <v>TB-230320-V-003</v>
      </c>
      <c r="V135" s="36" t="str">
        <f>IFERROR(__xludf.DUMMYFUNCTION(" IF
( VLOOKUP($G135,IMPORTRANGE(""https://docs.google.com/spreadsheets/d/1Gpl6jkTg7sL4VDNimUm3S9Vi1i95esohXCF3wuKOE8c"", ""'CONSOLIDADO'!G5:AB""), 10, 0) &lt;&gt; 0, 
IFERROR(VLOOKUP($G135,IMPORTRANGE(""https://docs.google.com/spreadsheets/d/1Gpl6jkTg7sL4VDNimU"&amp;"m3S9Vi1i95esohXCF3wuKOE8c"", ""'CONSOLIDADO'!G5:AB""), 19, 0), ""-""),
""""
)"),"https://drive.google.com/file/d/1Gn1-Qkeo4spdhOphA80Bys3P0jIih-w6/view?usp=drive_link")</f>
        <v>https://drive.google.com/file/d/1Gn1-Qkeo4spdhOphA80Bys3P0jIih-w6/view?usp=drive_link</v>
      </c>
      <c r="W135" s="37" t="str">
        <f>IFERROR(__xludf.DUMMYFUNCTION("IFERROR(VLOOKUP(G135,IMPORTRANGE(""https://docs.google.com/spreadsheets/d/12RxCea4e5ggM7QGn1XE3FbLQa_-QbCNdBi90OdPjRqg"", ""'Plan de Compras'!D4:Q""), 12, 0), ""NO ESTÁ EN REQ"")"),"Técnica")</f>
        <v>Técnica</v>
      </c>
      <c r="X135" s="37" t="str">
        <f>IFERROR(__xludf.DUMMYFUNCTION("IFERROR(VLOOKUP(G135,IMPORTRANGE(""https://docs.google.com/spreadsheets/d/12RxCea4e5ggM7QGn1XE3FbLQa_-QbCNdBi90OdPjRqg"", ""'Plan de Compras'!D4:Q""), 13, 0), """")"),"INTERNACIONAL")</f>
        <v>INTERNACIONAL</v>
      </c>
      <c r="Y135" s="32" t="str">
        <f>IFERROR(__xludf.DUMMYFUNCTION("IFERROR(VLOOKUP(G135,IMPORTRANGE(""https://docs.google.com/spreadsheets/d/12RxCea4e5ggM7QGn1XE3FbLQa_-QbCNdBi90OdPjRqg"", ""'Plan de Compras'!D4:Q""), 14, 0), """")"),"JIMENA")</f>
        <v>JIMENA</v>
      </c>
      <c r="Z135" s="38" t="str">
        <f>IFERROR(__xludf.DUMMYFUNCTION("IFERROR(VLOOKUP(G135,IMPORTRANGE(""https://docs.google.com/spreadsheets/d/12RxCea4e5ggM7QGn1XE3FbLQa_-QbCNdBi90OdPjRqg"", ""'Plan de Compras'!D4:Q""), 4, 0), """")"),"ESTACIÓN MÓVIL PARA ENTRENAMIENTO DE INSTALACIONES ELÉCTRICA")</f>
        <v>ESTACIÓN MÓVIL PARA ENTRENAMIENTO DE INSTALACIONES ELÉCTRICA</v>
      </c>
      <c r="AA135" s="38" t="str">
        <f t="shared" si="16"/>
        <v>FALSE</v>
      </c>
      <c r="AB135" s="37" t="str">
        <f>IFERROR(__xludf.DUMMYFUNCTION("IFERROR(IF(OR(C135=TRUE,C135=""""),VLOOKUP(G135,IMPORTRANGE(""https://docs.google.com/spreadsheets/d/1z9A1Wq-kKrhRNG5RS2a2fKpY1wIhSVz2ZNmP2mOl588/edit?usp=sharing"",""REQ VF!E4:H""),4,0),""NO APLICA""),""GENERAR REQ"")"),"GENERAR REQ")</f>
        <v>GENERAR REQ</v>
      </c>
      <c r="AC135" s="37" t="str">
        <f>IFERROR(__xludf.DUMMYFUNCTION("IFERROR(QUERY(IMPORTRANGE(""https://docs.google.com/spreadsheets/d/1z9A1Wq-kKrhRNG5RS2a2fKpY1wIhSVz2ZNmP2mOl588/edit?usp=sharing"",""REQ VF!E4:Q""),""SELECT Col10, Col11, Col12 WHERE Col1 = '""&amp;G135&amp;""'"",0),""NO APLICA"")"),"NO APLICA")</f>
        <v>NO APLICA</v>
      </c>
      <c r="AD135" s="37"/>
      <c r="AE135" s="37"/>
      <c r="AF135" s="8" t="s">
        <v>52</v>
      </c>
      <c r="AG135" s="71"/>
    </row>
    <row r="136">
      <c r="A136" s="26">
        <v>58.0</v>
      </c>
      <c r="B136" s="26" t="b">
        <v>1</v>
      </c>
      <c r="C136" s="26" t="b">
        <v>1</v>
      </c>
      <c r="D136" s="26" t="s">
        <v>35</v>
      </c>
      <c r="E136" s="26" t="s">
        <v>36</v>
      </c>
      <c r="F136" s="27" t="s">
        <v>510</v>
      </c>
      <c r="G136" s="37" t="s">
        <v>510</v>
      </c>
      <c r="H136" s="45" t="s">
        <v>511</v>
      </c>
      <c r="I136" s="26">
        <f>SUMIFS('Hoja 10'!$O:$O,'Hoja 10'!$F:$F,$G136)</f>
        <v>3</v>
      </c>
      <c r="J136" s="26">
        <f>IFERROR(__xludf.DUMMYFUNCTION("VLOOKUP(G136,IMPORTRANGE(""https://docs.google.com/spreadsheets/d/12RxCea4e5ggM7QGn1XE3FbLQa_-QbCNdBi90OdPjRqg/edit?gid=1692403370#gid=1692403370"", ""'Plan de Compras'!D4:2432""), 8,0)"),3.0)</f>
        <v>3</v>
      </c>
      <c r="K136" s="26" t="str">
        <f t="shared" si="1"/>
        <v>SI</v>
      </c>
      <c r="L136" s="29" t="s">
        <v>127</v>
      </c>
      <c r="M136" s="30" t="s">
        <v>105</v>
      </c>
      <c r="N136" s="42"/>
      <c r="O136" s="32" t="str">
        <f>VLOOKUP($G136,'Hoja 10'!$F$4:$AA478, 19,0)</f>
        <v>AUTOLUMEN</v>
      </c>
      <c r="P136" s="32" t="str">
        <f>VLOOKUP($G136,'Hoja 10'!$F$4:$AA478, 20,0)</f>
        <v>AUTOMOTIVE STETHOSCOPE</v>
      </c>
      <c r="Q136" s="33" t="str">
        <f>VLOOKUP($G136,'Hoja 10'!$F$4:$AA478, 21,0)</f>
        <v>https://www.amazon.com/-/es/AUTOLUMEN-Estetoscopio-automotriz-profesional-motocicletas/dp/B0D62VS6HB#:~:text=El%20alcance%20extendido%20permite%20diagn%C3%B3sticos,de%20autom%C3%B3viles%20es%20nuestro%20enfoque.</v>
      </c>
      <c r="R136" s="30" t="s">
        <v>512</v>
      </c>
      <c r="S136" s="34" t="b">
        <v>1</v>
      </c>
      <c r="T136" s="35" t="str">
        <f>IFERROR(__xludf.DUMMYFUNCTION(" IF
( VLOOKUP($G136,IMPORTRANGE(""https://docs.google.com/spreadsheets/d/1Gpl6jkTg7sL4VDNimUm3S9Vi1i95esohXCF3wuKOE8c"", ""'CONSOLIDADO'!G5:AB""), 10, 0) &lt;&gt; 0, 
IFERROR(VLOOKUP($G136,IMPORTRANGE(""https://docs.google.com/spreadsheets/d/1Gpl6jkTg7sL4VDNimU"&amp;"m3S9Vi1i95esohXCF3wuKOE8c"", ""'CONSOLIDADO'!G5:AB""), 17, 0), ""-""),
""""
)"),"AUTOLUMEN")</f>
        <v>AUTOLUMEN</v>
      </c>
      <c r="U136" s="35" t="str">
        <f>IFERROR(__xludf.DUMMYFUNCTION(" IF
( VLOOKUP($G136,IMPORTRANGE(""https://docs.google.com/spreadsheets/d/1Gpl6jkTg7sL4VDNimUm3S9Vi1i95esohXCF3wuKOE8c"", ""'CONSOLIDADO'!G5:AB""), 10, 0) &lt;&gt; 0, 
IFERROR(VLOOKUP($G136,IMPORTRANGE(""https://docs.google.com/spreadsheets/d/1Gpl6jkTg7sL4VDNimU"&amp;"m3S9Vi1i95esohXCF3wuKOE8c"", ""'CONSOLIDADO'!G5:AB""), 18, 0), ""-""),
""""
)"),"AUTOMOTIVE STETHOSCOPE")</f>
        <v>AUTOMOTIVE STETHOSCOPE</v>
      </c>
      <c r="V136" s="36" t="str">
        <f>IFERROR(__xludf.DUMMYFUNCTION(" IF
( VLOOKUP($G136,IMPORTRANGE(""https://docs.google.com/spreadsheets/d/1Gpl6jkTg7sL4VDNimUm3S9Vi1i95esohXCF3wuKOE8c"", ""'CONSOLIDADO'!G5:AB""), 10, 0) &lt;&gt; 0, 
IFERROR(VLOOKUP($G136,IMPORTRANGE(""https://docs.google.com/spreadsheets/d/1Gpl6jkTg7sL4VDNimU"&amp;"m3S9Vi1i95esohXCF3wuKOE8c"", ""'CONSOLIDADO'!G5:AB""), 19, 0), ""-""),
""""
)"),"https://www.amazon.com/-/es/AUTOLUMEN-Estetoscopio-automotriz-profesional-motocicletas/dp/B0D62VS6HB#:~:text=El%20alcance%20extendido%20permite%20diagn%C3%B3sticos,de%20autom%C3%B3viles%20es%20nuestro%20enfoque")</f>
        <v>https://www.amazon.com/-/es/AUTOLUMEN-Estetoscopio-automotriz-profesional-motocicletas/dp/B0D62VS6HB#:~:text=El%20alcance%20extendido%20permite%20diagn%C3%B3sticos,de%20autom%C3%B3viles%20es%20nuestro%20enfoque</v>
      </c>
      <c r="W136" s="37" t="str">
        <f>IFERROR(__xludf.DUMMYFUNCTION("IFERROR(VLOOKUP(G136,IMPORTRANGE(""https://docs.google.com/spreadsheets/d/12RxCea4e5ggM7QGn1XE3FbLQa_-QbCNdBi90OdPjRqg"", ""'Plan de Compras'!D4:Q""), 12, 0), ""NO ESTÁ EN REQ"")"),"Técnica")</f>
        <v>Técnica</v>
      </c>
      <c r="X136" s="37" t="str">
        <f>IFERROR(__xludf.DUMMYFUNCTION("IFERROR(VLOOKUP(G136,IMPORTRANGE(""https://docs.google.com/spreadsheets/d/12RxCea4e5ggM7QGn1XE3FbLQa_-QbCNdBi90OdPjRqg"", ""'Plan de Compras'!D4:Q""), 13, 0), """")"),"INTERNACIONAL")</f>
        <v>INTERNACIONAL</v>
      </c>
      <c r="Y136" s="32" t="str">
        <f>IFERROR(__xludf.DUMMYFUNCTION("IFERROR(VLOOKUP(G136,IMPORTRANGE(""https://docs.google.com/spreadsheets/d/12RxCea4e5ggM7QGn1XE3FbLQa_-QbCNdBi90OdPjRqg"", ""'Plan de Compras'!D4:Q""), 14, 0), """")"),"DIEGO ")</f>
        <v>DIEGO </v>
      </c>
      <c r="Z136" s="38" t="str">
        <f>IFERROR(__xludf.DUMMYFUNCTION("IFERROR(VLOOKUP(G136,IMPORTRANGE(""https://docs.google.com/spreadsheets/d/12RxCea4e5ggM7QGn1XE3FbLQa_-QbCNdBi90OdPjRqg"", ""'Plan de Compras'!D4:Q""), 4, 0), """")"),"ESTETOSCOPIO DE MECÁNICO")</f>
        <v>ESTETOSCOPIO DE MECÁNICO</v>
      </c>
      <c r="AA136" s="38" t="str">
        <f t="shared" si="16"/>
        <v>TRUE</v>
      </c>
      <c r="AB136" s="37" t="str">
        <f>IFERROR(__xludf.DUMMYFUNCTION("IFERROR(IF(OR(C136=TRUE,C136=""""),VLOOKUP(G136,IMPORTRANGE(""https://docs.google.com/spreadsheets/d/1z9A1Wq-kKrhRNG5RS2a2fKpY1wIhSVz2ZNmP2mOl588/edit?usp=sharing"",""REQ VF!E4:H""),4,0),""NO APLICA""),""GENERAR REQ"")"),"GENERAR REQ")</f>
        <v>GENERAR REQ</v>
      </c>
      <c r="AC136" s="37" t="str">
        <f>IFERROR(__xludf.DUMMYFUNCTION("IFERROR(QUERY(IMPORTRANGE(""https://docs.google.com/spreadsheets/d/1z9A1Wq-kKrhRNG5RS2a2fKpY1wIhSVz2ZNmP2mOl588/edit?usp=sharing"",""REQ VF!E4:Q""),""SELECT Col10, Col11, Col12 WHERE Col1 = '""&amp;G136&amp;""'"",0),""NO APLICA"")"),"NO APLICA")</f>
        <v>NO APLICA</v>
      </c>
      <c r="AD136" s="37"/>
      <c r="AE136" s="37"/>
      <c r="AF136" s="8" t="s">
        <v>52</v>
      </c>
      <c r="AG136" s="13"/>
    </row>
    <row r="137">
      <c r="A137" s="26">
        <v>59.0</v>
      </c>
      <c r="B137" s="26" t="b">
        <v>1</v>
      </c>
      <c r="C137" s="26" t="b">
        <v>1</v>
      </c>
      <c r="D137" s="26" t="s">
        <v>35</v>
      </c>
      <c r="E137" s="26" t="s">
        <v>36</v>
      </c>
      <c r="F137" s="27" t="s">
        <v>513</v>
      </c>
      <c r="G137" s="37" t="s">
        <v>513</v>
      </c>
      <c r="H137" s="45" t="s">
        <v>514</v>
      </c>
      <c r="I137" s="26">
        <f>SUMIFS('Hoja 10'!$O:$O,'Hoja 10'!$F:$F,$G137)</f>
        <v>1</v>
      </c>
      <c r="J137" s="26">
        <f>IFERROR(__xludf.DUMMYFUNCTION("VLOOKUP(G137,IMPORTRANGE(""https://docs.google.com/spreadsheets/d/12RxCea4e5ggM7QGn1XE3FbLQa_-QbCNdBi90OdPjRqg/edit?gid=1692403370#gid=1692403370"", ""'Plan de Compras'!D4:2432""), 8,0)"),1.0)</f>
        <v>1</v>
      </c>
      <c r="K137" s="26" t="str">
        <f t="shared" si="1"/>
        <v>SI</v>
      </c>
      <c r="L137" s="29" t="s">
        <v>77</v>
      </c>
      <c r="M137" s="30" t="s">
        <v>78</v>
      </c>
      <c r="N137" s="42"/>
      <c r="O137" s="32" t="str">
        <f>VLOOKUP($G137,'Hoja 10'!$F$4:$AA478, 19,0)</f>
        <v>THOMAS</v>
      </c>
      <c r="P137" s="32" t="str">
        <f>VLOOKUP($G137,'Hoja 10'!$F$4:$AA478, 20,0)</f>
        <v>TH-2660I</v>
      </c>
      <c r="Q137" s="33" t="str">
        <f>VLOOKUP($G137,'Hoja 10'!$F$4:$AA478, 21,0)</f>
        <v>https://hiraoka.com.pe/extractor-de-jugo-thomas-th-2660i</v>
      </c>
      <c r="R137" s="30" t="s">
        <v>515</v>
      </c>
      <c r="S137" s="34" t="b">
        <v>1</v>
      </c>
      <c r="T137" s="35" t="str">
        <f>IFERROR(__xludf.DUMMYFUNCTION(" IF
( VLOOKUP($G137,IMPORTRANGE(""https://docs.google.com/spreadsheets/d/1Gpl6jkTg7sL4VDNimUm3S9Vi1i95esohXCF3wuKOE8c"", ""'CONSOLIDADO'!G5:AB""), 10, 0) &lt;&gt; 0, 
IFERROR(VLOOKUP($G137,IMPORTRANGE(""https://docs.google.com/spreadsheets/d/1Gpl6jkTg7sL4VDNimU"&amp;"m3S9Vi1i95esohXCF3wuKOE8c"", ""'CONSOLIDADO'!G5:AB""), 17, 0), ""-""),
""""
)"),"THOMAS")</f>
        <v>THOMAS</v>
      </c>
      <c r="U137" s="35" t="str">
        <f>IFERROR(__xludf.DUMMYFUNCTION(" IF
( VLOOKUP($G137,IMPORTRANGE(""https://docs.google.com/spreadsheets/d/1Gpl6jkTg7sL4VDNimUm3S9Vi1i95esohXCF3wuKOE8c"", ""'CONSOLIDADO'!G5:AB""), 10, 0) &lt;&gt; 0, 
IFERROR(VLOOKUP($G137,IMPORTRANGE(""https://docs.google.com/spreadsheets/d/1Gpl6jkTg7sL4VDNimU"&amp;"m3S9Vi1i95esohXCF3wuKOE8c"", ""'CONSOLIDADO'!G5:AB""), 18, 0), ""-""),
""""
)"),"TH-2660i")</f>
        <v>TH-2660i</v>
      </c>
      <c r="V137" s="36" t="str">
        <f>IFERROR(__xludf.DUMMYFUNCTION(" IF
( VLOOKUP($G137,IMPORTRANGE(""https://docs.google.com/spreadsheets/d/1Gpl6jkTg7sL4VDNimUm3S9Vi1i95esohXCF3wuKOE8c"", ""'CONSOLIDADO'!G5:AB""), 10, 0) &lt;&gt; 0, 
IFERROR(VLOOKUP($G137,IMPORTRANGE(""https://docs.google.com/spreadsheets/d/1Gpl6jkTg7sL4VDNimU"&amp;"m3S9Vi1i95esohXCF3wuKOE8c"", ""'CONSOLIDADO'!G5:AB""), 19, 0), ""-""),
""""
)"),"https://hiraoka.com.pe/extractor-de-jugo-thomas-th-2660i")</f>
        <v>https://hiraoka.com.pe/extractor-de-jugo-thomas-th-2660i</v>
      </c>
      <c r="W137" s="37" t="str">
        <f>IFERROR(__xludf.DUMMYFUNCTION("IFERROR(VLOOKUP(G137,IMPORTRANGE(""https://docs.google.com/spreadsheets/d/12RxCea4e5ggM7QGn1XE3FbLQa_-QbCNdBi90OdPjRqg"", ""'Plan de Compras'!D4:Q""), 12, 0), ""NO ESTÁ EN REQ"")"),"Técnica")</f>
        <v>Técnica</v>
      </c>
      <c r="X137" s="37" t="str">
        <f>IFERROR(__xludf.DUMMYFUNCTION("IFERROR(VLOOKUP(G137,IMPORTRANGE(""https://docs.google.com/spreadsheets/d/12RxCea4e5ggM7QGn1XE3FbLQa_-QbCNdBi90OdPjRqg"", ""'Plan de Compras'!D4:Q""), 13, 0), """")"),"NACIONAL")</f>
        <v>NACIONAL</v>
      </c>
      <c r="Y137" s="32" t="str">
        <f>IFERROR(__xludf.DUMMYFUNCTION("IFERROR(VLOOKUP(G137,IMPORTRANGE(""https://docs.google.com/spreadsheets/d/12RxCea4e5ggM7QGn1XE3FbLQa_-QbCNdBi90OdPjRqg"", ""'Plan de Compras'!D4:Q""), 14, 0), """")"),"JESSICA")</f>
        <v>JESSICA</v>
      </c>
      <c r="Z137" s="38" t="str">
        <f>IFERROR(__xludf.DUMMYFUNCTION("IFERROR(VLOOKUP(G137,IMPORTRANGE(""https://docs.google.com/spreadsheets/d/12RxCea4e5ggM7QGn1XE3FbLQa_-QbCNdBi90OdPjRqg"", ""'Plan de Compras'!D4:Q""), 4, 0), """")"),"EXTRACTOR")</f>
        <v>EXTRACTOR</v>
      </c>
      <c r="AA137" s="38" t="str">
        <f t="shared" si="16"/>
        <v>TRUE</v>
      </c>
      <c r="AB137" s="37" t="str">
        <f>IFERROR(__xludf.DUMMYFUNCTION("IFERROR(IF(OR(C137=TRUE,C137=""""),VLOOKUP(G137,IMPORTRANGE(""https://docs.google.com/spreadsheets/d/1z9A1Wq-kKrhRNG5RS2a2fKpY1wIhSVz2ZNmP2mOl588/edit?usp=sharing"",""REQ VF!E4:H""),4,0),""NO APLICA""),""GENERAR REQ"")"),"GENERAR REQ")</f>
        <v>GENERAR REQ</v>
      </c>
      <c r="AC137" s="37" t="str">
        <f>IFERROR(__xludf.DUMMYFUNCTION("IFERROR(QUERY(IMPORTRANGE(""https://docs.google.com/spreadsheets/d/1z9A1Wq-kKrhRNG5RS2a2fKpY1wIhSVz2ZNmP2mOl588/edit?usp=sharing"",""REQ VF!E4:Q""),""SELECT Col10, Col11, Col12 WHERE Col1 = '""&amp;G137&amp;""'"",0),""NO APLICA"")"),"NO APLICA")</f>
        <v>NO APLICA</v>
      </c>
      <c r="AD137" s="37"/>
      <c r="AE137" s="37"/>
      <c r="AF137" s="13"/>
      <c r="AG137" s="13"/>
    </row>
    <row r="138">
      <c r="A138" s="26">
        <v>60.0</v>
      </c>
      <c r="B138" s="26" t="b">
        <v>1</v>
      </c>
      <c r="C138" s="26" t="b">
        <v>1</v>
      </c>
      <c r="D138" s="26" t="s">
        <v>35</v>
      </c>
      <c r="E138" s="26" t="s">
        <v>36</v>
      </c>
      <c r="F138" s="27" t="s">
        <v>516</v>
      </c>
      <c r="G138" s="37" t="s">
        <v>516</v>
      </c>
      <c r="H138" s="45" t="s">
        <v>517</v>
      </c>
      <c r="I138" s="26">
        <f>SUMIFS('Hoja 10'!$O:$O,'Hoja 10'!$F:$F,$G138)</f>
        <v>5</v>
      </c>
      <c r="J138" s="26">
        <f>IFERROR(__xludf.DUMMYFUNCTION("VLOOKUP(G138,IMPORTRANGE(""https://docs.google.com/spreadsheets/d/12RxCea4e5ggM7QGn1XE3FbLQa_-QbCNdBi90OdPjRqg/edit?gid=1692403370#gid=1692403370"", ""'Plan de Compras'!D4:2432""), 8,0)"),5.0)</f>
        <v>5</v>
      </c>
      <c r="K138" s="26" t="str">
        <f t="shared" si="1"/>
        <v>SI</v>
      </c>
      <c r="L138" s="29" t="s">
        <v>91</v>
      </c>
      <c r="M138" s="30" t="s">
        <v>92</v>
      </c>
      <c r="N138" s="42"/>
      <c r="O138" s="32" t="str">
        <f>VLOOKUP($G138,'Hoja 10'!$F$4:$AA478, 19,0)</f>
        <v>DONALDSON</v>
      </c>
      <c r="P138" s="32" t="str">
        <f>VLOOKUP($G138,'Hoja 10'!$F$4:$AA478, 20,0)</f>
        <v>TORIT PORTA-TRUNK PT-1000 VERSIÓN CHINA 220/50/1 VAC</v>
      </c>
      <c r="Q138" s="33" t="str">
        <f>VLOOKUP($G138,'Hoja 10'!$F$4:$AA478, 21,0)</f>
        <v>https://www.donaldson.com/es-mx/industrial-dust-fume-mist/equipment/fume-collectors/easy-trunk-porta-trunk/#section-features_76258</v>
      </c>
      <c r="R138" s="30" t="s">
        <v>518</v>
      </c>
      <c r="S138" s="34" t="b">
        <v>1</v>
      </c>
      <c r="T138" s="35" t="str">
        <f>IFERROR(__xludf.DUMMYFUNCTION(" IF
( VLOOKUP($G138,IMPORTRANGE(""https://docs.google.com/spreadsheets/d/1Gpl6jkTg7sL4VDNimUm3S9Vi1i95esohXCF3wuKOE8c"", ""'CONSOLIDADO'!G5:AB""), 10, 0) &lt;&gt; 0, 
IFERROR(VLOOKUP($G138,IMPORTRANGE(""https://docs.google.com/spreadsheets/d/1Gpl6jkTg7sL4VDNimU"&amp;"m3S9Vi1i95esohXCF3wuKOE8c"", ""'CONSOLIDADO'!G5:AB""), 17, 0), ""-""),
""""
)"),"DONALDSON")</f>
        <v>DONALDSON</v>
      </c>
      <c r="U138" s="35" t="str">
        <f>IFERROR(__xludf.DUMMYFUNCTION(" IF
( VLOOKUP($G138,IMPORTRANGE(""https://docs.google.com/spreadsheets/d/1Gpl6jkTg7sL4VDNimUm3S9Vi1i95esohXCF3wuKOE8c"", ""'CONSOLIDADO'!G5:AB""), 10, 0) &lt;&gt; 0, 
IFERROR(VLOOKUP($G138,IMPORTRANGE(""https://docs.google.com/spreadsheets/d/1Gpl6jkTg7sL4VDNimU"&amp;"m3S9Vi1i95esohXCF3wuKOE8c"", ""'CONSOLIDADO'!G5:AB""), 18, 0), ""-""),
""""
)"),"TORIT PORTA-TRUNK")</f>
        <v>TORIT PORTA-TRUNK</v>
      </c>
      <c r="V138" s="36" t="str">
        <f>IFERROR(__xludf.DUMMYFUNCTION(" IF
( VLOOKUP($G138,IMPORTRANGE(""https://docs.google.com/spreadsheets/d/1Gpl6jkTg7sL4VDNimUm3S9Vi1i95esohXCF3wuKOE8c"", ""'CONSOLIDADO'!G5:AB""), 10, 0) &lt;&gt; 0, 
IFERROR(VLOOKUP($G138,IMPORTRANGE(""https://docs.google.com/spreadsheets/d/1Gpl6jkTg7sL4VDNimU"&amp;"m3S9Vi1i95esohXCF3wuKOE8c"", ""'CONSOLIDADO'!G5:AB""), 19, 0), ""-""),
""""
)"),"https://www.donaldson.com/es-mx/industrial-dust-fume-mist/equipment/fume-collectors/easy-trunk-porta-trunk/")</f>
        <v>https://www.donaldson.com/es-mx/industrial-dust-fume-mist/equipment/fume-collectors/easy-trunk-porta-trunk/</v>
      </c>
      <c r="W138" s="37" t="str">
        <f>IFERROR(__xludf.DUMMYFUNCTION("IFERROR(VLOOKUP(G138,IMPORTRANGE(""https://docs.google.com/spreadsheets/d/12RxCea4e5ggM7QGn1XE3FbLQa_-QbCNdBi90OdPjRqg"", ""'Plan de Compras'!D4:Q""), 12, 0), ""NO ESTÁ EN REQ"")"),"Técnica")</f>
        <v>Técnica</v>
      </c>
      <c r="X138" s="37" t="str">
        <f>IFERROR(__xludf.DUMMYFUNCTION("IFERROR(VLOOKUP(G138,IMPORTRANGE(""https://docs.google.com/spreadsheets/d/12RxCea4e5ggM7QGn1XE3FbLQa_-QbCNdBi90OdPjRqg"", ""'Plan de Compras'!D4:Q""), 13, 0), """")"),"INTERNACIONAL")</f>
        <v>INTERNACIONAL</v>
      </c>
      <c r="Y138" s="32" t="str">
        <f>IFERROR(__xludf.DUMMYFUNCTION("IFERROR(VLOOKUP(G138,IMPORTRANGE(""https://docs.google.com/spreadsheets/d/12RxCea4e5ggM7QGn1XE3FbLQa_-QbCNdBi90OdPjRqg"", ""'Plan de Compras'!D4:Q""), 14, 0), """")"),"JIMENA")</f>
        <v>JIMENA</v>
      </c>
      <c r="Z138" s="38" t="str">
        <f>IFERROR(__xludf.DUMMYFUNCTION("IFERROR(VLOOKUP(G138,IMPORTRANGE(""https://docs.google.com/spreadsheets/d/12RxCea4e5ggM7QGn1XE3FbLQa_-QbCNdBi90OdPjRqg"", ""'Plan de Compras'!D4:Q""), 4, 0), """")"),"EXTRACTOR DE HUMO")</f>
        <v>EXTRACTOR DE HUMO</v>
      </c>
      <c r="AA138" s="38" t="str">
        <f t="shared" si="16"/>
        <v>TRUE</v>
      </c>
      <c r="AB138" s="37" t="str">
        <f>IFERROR(__xludf.DUMMYFUNCTION("IFERROR(IF(OR(C138=TRUE,C138=""""),VLOOKUP(G138,IMPORTRANGE(""https://docs.google.com/spreadsheets/d/1z9A1Wq-kKrhRNG5RS2a2fKpY1wIhSVz2ZNmP2mOl588/edit?usp=sharing"",""REQ VF!E4:H""),4,0),""NO APLICA""),""GENERAR REQ"")"),"GENERAR REQ")</f>
        <v>GENERAR REQ</v>
      </c>
      <c r="AC138" s="37" t="str">
        <f>IFERROR(__xludf.DUMMYFUNCTION("IFERROR(QUERY(IMPORTRANGE(""https://docs.google.com/spreadsheets/d/1z9A1Wq-kKrhRNG5RS2a2fKpY1wIhSVz2ZNmP2mOl588/edit?usp=sharing"",""REQ VF!E4:Q""),""SELECT Col10, Col11, Col12 WHERE Col1 = '""&amp;G138&amp;""'"",0),""NO APLICA"")"),"NO APLICA")</f>
        <v>NO APLICA</v>
      </c>
      <c r="AD138" s="37"/>
      <c r="AE138" s="37"/>
      <c r="AF138" s="13"/>
      <c r="AG138" s="13"/>
    </row>
    <row r="139">
      <c r="A139" s="26">
        <v>61.0</v>
      </c>
      <c r="B139" s="26" t="b">
        <v>1</v>
      </c>
      <c r="C139" s="26" t="b">
        <v>1</v>
      </c>
      <c r="D139" s="26" t="s">
        <v>35</v>
      </c>
      <c r="E139" s="26" t="s">
        <v>36</v>
      </c>
      <c r="F139" s="27" t="s">
        <v>519</v>
      </c>
      <c r="G139" s="37" t="s">
        <v>519</v>
      </c>
      <c r="H139" s="45" t="s">
        <v>520</v>
      </c>
      <c r="I139" s="26">
        <f>SUMIFS('Hoja 10'!$O:$O,'Hoja 10'!$F:$F,$G139)</f>
        <v>4</v>
      </c>
      <c r="J139" s="26">
        <f>IFERROR(__xludf.DUMMYFUNCTION("VLOOKUP(G139,IMPORTRANGE(""https://docs.google.com/spreadsheets/d/12RxCea4e5ggM7QGn1XE3FbLQa_-QbCNdBi90OdPjRqg/edit?gid=1692403370#gid=1692403370"", ""'Plan de Compras'!D4:2432""), 8,0)"),4.0)</f>
        <v>4</v>
      </c>
      <c r="K139" s="26" t="str">
        <f t="shared" si="1"/>
        <v>SI</v>
      </c>
      <c r="L139" s="29" t="s">
        <v>122</v>
      </c>
      <c r="M139" s="30" t="s">
        <v>123</v>
      </c>
      <c r="N139" s="42"/>
      <c r="O139" s="32" t="str">
        <f>VLOOKUP($G139,'Hoja 10'!$F$4:$AA478, 19,0)</f>
        <v>Takema</v>
      </c>
      <c r="P139" s="32" t="str">
        <f>VLOOKUP($G139,'Hoja 10'!$F$4:$AA478, 20,0)</f>
        <v>ZD-192</v>
      </c>
      <c r="Q139" s="33" t="str">
        <f>VLOOKUP($G139,'Hoja 10'!$F$4:$AA478, 21,0)</f>
        <v>https://www.ebay.co.uk/itm/173860798799</v>
      </c>
      <c r="R139" s="30" t="s">
        <v>521</v>
      </c>
      <c r="S139" s="34" t="b">
        <v>1</v>
      </c>
      <c r="T139" s="35" t="str">
        <f>IFERROR(__xludf.DUMMYFUNCTION(" IF
( VLOOKUP($G139,IMPORTRANGE(""https://docs.google.com/spreadsheets/d/1Gpl6jkTg7sL4VDNimUm3S9Vi1i95esohXCF3wuKOE8c"", ""'CONSOLIDADO'!G5:AB""), 10, 0) &lt;&gt; 0, 
IFERROR(VLOOKUP($G139,IMPORTRANGE(""https://docs.google.com/spreadsheets/d/1Gpl6jkTg7sL4VDNimU"&amp;"m3S9Vi1i95esohXCF3wuKOE8c"", ""'CONSOLIDADO'!G5:AB""), 17, 0), ""-""),
""""
)"),"GOOT")</f>
        <v>GOOT</v>
      </c>
      <c r="U139" s="35" t="str">
        <f>IFERROR(__xludf.DUMMYFUNCTION(" IF
( VLOOKUP($G139,IMPORTRANGE(""https://docs.google.com/spreadsheets/d/1Gpl6jkTg7sL4VDNimUm3S9Vi1i95esohXCF3wuKOE8c"", ""'CONSOLIDADO'!G5:AB""), 10, 0) &lt;&gt; 0, 
IFERROR(VLOOKUP($G139,IMPORTRANGE(""https://docs.google.com/spreadsheets/d/1Gpl6jkTg7sL4VDNimU"&amp;"m3S9Vi1i95esohXCF3wuKOE8c"", ""'CONSOLIDADO'!G5:AB""), 18, 0), ""-""),
""""
)"),"GS-104")</f>
        <v>GS-104</v>
      </c>
      <c r="V139" s="36" t="str">
        <f>IFERROR(__xludf.DUMMYFUNCTION(" IF
( VLOOKUP($G139,IMPORTRANGE(""https://docs.google.com/spreadsheets/d/1Gpl6jkTg7sL4VDNimUm3S9Vi1i95esohXCF3wuKOE8c"", ""'CONSOLIDADO'!G5:AB""), 10, 0) &lt;&gt; 0, 
IFERROR(VLOOKUP($G139,IMPORTRANGE(""https://docs.google.com/spreadsheets/d/1Gpl6jkTg7sL4VDNimU"&amp;"m3S9Vi1i95esohXCF3wuKOE8c"", ""'CONSOLIDADO'!G5:AB""), 19, 0), ""-""),
""""
)"),"https://www.aliexpress.us/item/3256808536438539.html?")</f>
        <v>https://www.aliexpress.us/item/3256808536438539.html?</v>
      </c>
      <c r="W139" s="37" t="str">
        <f>IFERROR(__xludf.DUMMYFUNCTION("IFERROR(VLOOKUP(G139,IMPORTRANGE(""https://docs.google.com/spreadsheets/d/12RxCea4e5ggM7QGn1XE3FbLQa_-QbCNdBi90OdPjRqg"", ""'Plan de Compras'!D4:Q""), 12, 0), ""NO ESTÁ EN REQ"")"),"Técnica")</f>
        <v>Técnica</v>
      </c>
      <c r="X139" s="37" t="str">
        <f>IFERROR(__xludf.DUMMYFUNCTION("IFERROR(VLOOKUP(G139,IMPORTRANGE(""https://docs.google.com/spreadsheets/d/12RxCea4e5ggM7QGn1XE3FbLQa_-QbCNdBi90OdPjRqg"", ""'Plan de Compras'!D4:Q""), 13, 0), """")"),"INTERNACIONAL")</f>
        <v>INTERNACIONAL</v>
      </c>
      <c r="Y139" s="32" t="str">
        <f>IFERROR(__xludf.DUMMYFUNCTION("IFERROR(VLOOKUP(G139,IMPORTRANGE(""https://docs.google.com/spreadsheets/d/12RxCea4e5ggM7QGn1XE3FbLQa_-QbCNdBi90OdPjRqg"", ""'Plan de Compras'!D4:Q""), 14, 0), """")"),"ALEJANDRA")</f>
        <v>ALEJANDRA</v>
      </c>
      <c r="Z139" s="38" t="str">
        <f>IFERROR(__xludf.DUMMYFUNCTION("IFERROR(VLOOKUP(G139,IMPORTRANGE(""https://docs.google.com/spreadsheets/d/12RxCea4e5ggM7QGn1XE3FbLQa_-QbCNdBi90OdPjRqg"", ""'Plan de Compras'!D4:Q""), 4, 0), """")"),"EXTRACTOR DE SOLDADURA")</f>
        <v>EXTRACTOR DE SOLDADURA</v>
      </c>
      <c r="AA139" s="38" t="str">
        <f t="shared" si="16"/>
        <v>TRUE</v>
      </c>
      <c r="AB139" s="37" t="str">
        <f>IFERROR(__xludf.DUMMYFUNCTION("IFERROR(IF(OR(C139=TRUE,C139=""""),VLOOKUP(G139,IMPORTRANGE(""https://docs.google.com/spreadsheets/d/1z9A1Wq-kKrhRNG5RS2a2fKpY1wIhSVz2ZNmP2mOl588/edit?usp=sharing"",""REQ VF!E4:H""),4,0),""NO APLICA""),""GENERAR REQ"")"),"GENERAR REQ")</f>
        <v>GENERAR REQ</v>
      </c>
      <c r="AC139" s="37" t="str">
        <f>IFERROR(__xludf.DUMMYFUNCTION("IFERROR(QUERY(IMPORTRANGE(""https://docs.google.com/spreadsheets/d/1z9A1Wq-kKrhRNG5RS2a2fKpY1wIhSVz2ZNmP2mOl588/edit?usp=sharing"",""REQ VF!E4:Q""),""SELECT Col10, Col11, Col12 WHERE Col1 = '""&amp;G139&amp;""'"",0),""NO APLICA"")"),"NO APLICA")</f>
        <v>NO APLICA</v>
      </c>
      <c r="AD139" s="37"/>
      <c r="AE139" s="37"/>
      <c r="AF139" s="13"/>
      <c r="AG139" s="13"/>
    </row>
    <row r="140">
      <c r="A140" s="26">
        <v>62.0</v>
      </c>
      <c r="B140" s="26" t="b">
        <v>1</v>
      </c>
      <c r="C140" s="26" t="b">
        <v>1</v>
      </c>
      <c r="D140" s="26" t="s">
        <v>35</v>
      </c>
      <c r="E140" s="26" t="s">
        <v>36</v>
      </c>
      <c r="F140" s="27" t="s">
        <v>522</v>
      </c>
      <c r="G140" s="37" t="s">
        <v>522</v>
      </c>
      <c r="H140" s="45" t="s">
        <v>523</v>
      </c>
      <c r="I140" s="26">
        <f>SUMIFS('Hoja 10'!$O:$O,'Hoja 10'!$F:$F,$G140)</f>
        <v>3</v>
      </c>
      <c r="J140" s="26">
        <f>IFERROR(__xludf.DUMMYFUNCTION("VLOOKUP(G140,IMPORTRANGE(""https://docs.google.com/spreadsheets/d/12RxCea4e5ggM7QGn1XE3FbLQa_-QbCNdBi90OdPjRqg/edit?gid=1692403370#gid=1692403370"", ""'Plan de Compras'!D4:2432""), 8,0)"),3.0)</f>
        <v>3</v>
      </c>
      <c r="K140" s="26" t="str">
        <f t="shared" si="1"/>
        <v>SI</v>
      </c>
      <c r="L140" s="29" t="s">
        <v>127</v>
      </c>
      <c r="M140" s="30" t="s">
        <v>105</v>
      </c>
      <c r="N140" s="26"/>
      <c r="O140" s="32" t="str">
        <f>VLOOKUP($G140,'Hoja 10'!$F$4:$AA478, 19,0)</f>
        <v>AB Tools</v>
      </c>
      <c r="P140" s="41" t="str">
        <f>VLOOKUP($G140,'Hoja 10'!$F$4:$AA478, 20,0)</f>
        <v>Herramienta de reparación de compresor de resorte de válvula múltiple universal para motores OHC OHV CVH</v>
      </c>
      <c r="Q140" s="33" t="str">
        <f>VLOOKUP($G140,'Hoja 10'!$F$4:$AA478, 21,0)</f>
        <v>https://www.amazon.com/-/es/Herramienta-reparaci%C3%B3n-compresor-m%C3%BAltiple-universal/dp/B0BF5BLJXJ</v>
      </c>
      <c r="R140" s="30" t="s">
        <v>524</v>
      </c>
      <c r="S140" s="34" t="b">
        <v>1</v>
      </c>
      <c r="T140" s="35" t="str">
        <f>IFERROR(__xludf.DUMMYFUNCTION(" IF
( VLOOKUP($G140,IMPORTRANGE(""https://docs.google.com/spreadsheets/d/1Gpl6jkTg7sL4VDNimUm3S9Vi1i95esohXCF3wuKOE8c"", ""'CONSOLIDADO'!G5:AB""), 10, 0) &lt;&gt; 0, 
IFERROR(VLOOKUP($G140,IMPORTRANGE(""https://docs.google.com/spreadsheets/d/1Gpl6jkTg7sL4VDNimU"&amp;"m3S9Vi1i95esohXCF3wuKOE8c"", ""'CONSOLIDADO'!G5:AB""), 17, 0), ""-""),
""""
)"),"Laser")</f>
        <v>Laser</v>
      </c>
      <c r="U140" s="35">
        <f>IFERROR(__xludf.DUMMYFUNCTION(" IF
( VLOOKUP($G140,IMPORTRANGE(""https://docs.google.com/spreadsheets/d/1Gpl6jkTg7sL4VDNimUm3S9Vi1i95esohXCF3wuKOE8c"", ""'CONSOLIDADO'!G5:AB""), 10, 0) &lt;&gt; 0, 
IFERROR(VLOOKUP($G140,IMPORTRANGE(""https://docs.google.com/spreadsheets/d/1Gpl6jkTg7sL4VDNimU"&amp;"m3S9Vi1i95esohXCF3wuKOE8c"", ""'CONSOLIDADO'!G5:AB""), 18, 0), ""-""),
""""
)"),2609.0)</f>
        <v>2609</v>
      </c>
      <c r="V140" s="36" t="str">
        <f>IFERROR(__xludf.DUMMYFUNCTION(" IF
( VLOOKUP($G140,IMPORTRANGE(""https://docs.google.com/spreadsheets/d/1Gpl6jkTg7sL4VDNimUm3S9Vi1i95esohXCF3wuKOE8c"", ""'CONSOLIDADO'!G5:AB""), 10, 0) &lt;&gt; 0, 
IFERROR(VLOOKUP($G140,IMPORTRANGE(""https://docs.google.com/spreadsheets/d/1Gpl6jkTg7sL4VDNimU"&amp;"m3S9Vi1i95esohXCF3wuKOE8c"", ""'CONSOLIDADO'!G5:AB""), 19, 0), ""-""),
""""
)"),"https://www.lasertools.co.uk/Product/2609/Valve-Spring-Compressor-Dual-Size#online")</f>
        <v>https://www.lasertools.co.uk/Product/2609/Valve-Spring-Compressor-Dual-Size#online</v>
      </c>
      <c r="W140" s="37" t="str">
        <f>IFERROR(__xludf.DUMMYFUNCTION("IFERROR(VLOOKUP(G140,IMPORTRANGE(""https://docs.google.com/spreadsheets/d/12RxCea4e5ggM7QGn1XE3FbLQa_-QbCNdBi90OdPjRqg"", ""'Plan de Compras'!D4:Q""), 12, 0), ""NO ESTÁ EN REQ"")"),"Técnica")</f>
        <v>Técnica</v>
      </c>
      <c r="X140" s="37" t="str">
        <f>IFERROR(__xludf.DUMMYFUNCTION("IFERROR(VLOOKUP(G140,IMPORTRANGE(""https://docs.google.com/spreadsheets/d/12RxCea4e5ggM7QGn1XE3FbLQa_-QbCNdBi90OdPjRqg"", ""'Plan de Compras'!D4:Q""), 13, 0), """")"),"INTERNACIONAL")</f>
        <v>INTERNACIONAL</v>
      </c>
      <c r="Y140" s="32" t="str">
        <f>IFERROR(__xludf.DUMMYFUNCTION("IFERROR(VLOOKUP(G140,IMPORTRANGE(""https://docs.google.com/spreadsheets/d/12RxCea4e5ggM7QGn1XE3FbLQa_-QbCNdBi90OdPjRqg"", ""'Plan de Compras'!D4:Q""), 14, 0), """")"),"ALEJANDRA")</f>
        <v>ALEJANDRA</v>
      </c>
      <c r="Z140" s="38" t="str">
        <f>IFERROR(__xludf.DUMMYFUNCTION("IFERROR(VLOOKUP(G140,IMPORTRANGE(""https://docs.google.com/spreadsheets/d/12RxCea4e5ggM7QGn1XE3FbLQa_-QbCNdBi90OdPjRqg"", ""'Plan de Compras'!D4:Q""), 4, 0), """")"),"EXTRACTOR DE VÁLVULAS (COMPRESOR DE MUELLES DE VÁLVULAS UNIVERSAL TIPO ARCO)")</f>
        <v>EXTRACTOR DE VÁLVULAS (COMPRESOR DE MUELLES DE VÁLVULAS UNIVERSAL TIPO ARCO)</v>
      </c>
      <c r="AA140" s="38" t="str">
        <f t="shared" si="16"/>
        <v>TRUE</v>
      </c>
      <c r="AB140" s="37" t="str">
        <f>IFERROR(__xludf.DUMMYFUNCTION("IFERROR(IF(OR(C140=TRUE,C140=""""),VLOOKUP(G140,IMPORTRANGE(""https://docs.google.com/spreadsheets/d/1z9A1Wq-kKrhRNG5RS2a2fKpY1wIhSVz2ZNmP2mOl588/edit?usp=sharing"",""REQ VF!E4:H""),4,0),""NO APLICA""),""GENERAR REQ"")"),"GENERAR REQ")</f>
        <v>GENERAR REQ</v>
      </c>
      <c r="AC140" s="37" t="str">
        <f>IFERROR(__xludf.DUMMYFUNCTION("IFERROR(QUERY(IMPORTRANGE(""https://docs.google.com/spreadsheets/d/1z9A1Wq-kKrhRNG5RS2a2fKpY1wIhSVz2ZNmP2mOl588/edit?usp=sharing"",""REQ VF!E4:Q""),""SELECT Col10, Col11, Col12 WHERE Col1 = '""&amp;G140&amp;""'"",0),""NO APLICA"")"),"NO APLICA")</f>
        <v>NO APLICA</v>
      </c>
      <c r="AD140" s="37"/>
      <c r="AE140" s="37"/>
      <c r="AF140" s="13"/>
      <c r="AG140" s="13"/>
    </row>
    <row r="141">
      <c r="A141" s="26">
        <v>63.0</v>
      </c>
      <c r="B141" s="26" t="b">
        <v>1</v>
      </c>
      <c r="C141" s="26" t="b">
        <v>1</v>
      </c>
      <c r="D141" s="26" t="s">
        <v>35</v>
      </c>
      <c r="E141" s="26" t="s">
        <v>36</v>
      </c>
      <c r="F141" s="27" t="s">
        <v>525</v>
      </c>
      <c r="G141" s="37" t="s">
        <v>525</v>
      </c>
      <c r="H141" s="45" t="s">
        <v>526</v>
      </c>
      <c r="I141" s="26">
        <f>SUMIFS('Hoja 10'!$O:$O,'Hoja 10'!$F:$F,$G141)</f>
        <v>4</v>
      </c>
      <c r="J141" s="26">
        <f>IFERROR(__xludf.DUMMYFUNCTION("VLOOKUP(G141,IMPORTRANGE(""https://docs.google.com/spreadsheets/d/12RxCea4e5ggM7QGn1XE3FbLQa_-QbCNdBi90OdPjRqg/edit?gid=1692403370#gid=1692403370"", ""'Plan de Compras'!D4:2432""), 8,0)"),4.0)</f>
        <v>4</v>
      </c>
      <c r="K141" s="26" t="str">
        <f t="shared" si="1"/>
        <v>SI</v>
      </c>
      <c r="L141" s="29" t="s">
        <v>122</v>
      </c>
      <c r="M141" s="30" t="s">
        <v>123</v>
      </c>
      <c r="N141" s="42"/>
      <c r="O141" s="32" t="str">
        <f>VLOOKUP($G141,'Hoja 10'!$F$4:$AA478, 19,0)</f>
        <v>Promax</v>
      </c>
      <c r="P141" s="41" t="str">
        <f>VLOOKUP($G141,'Hoja 10'!$F$4:$AA478, 20,0)</f>
        <v>Digital frequency counter FD-252</v>
      </c>
      <c r="Q141" s="33" t="str">
        <f>VLOOKUP($G141,'Hoja 10'!$F$4:$AA478, 21,0)</f>
        <v>https://www.denver.es/producto/promaxfd252/</v>
      </c>
      <c r="R141" s="30" t="s">
        <v>527</v>
      </c>
      <c r="S141" s="34" t="b">
        <v>1</v>
      </c>
      <c r="T141" s="35" t="str">
        <f>IFERROR(__xludf.DUMMYFUNCTION(" IF
( VLOOKUP($G141,IMPORTRANGE(""https://docs.google.com/spreadsheets/d/1Gpl6jkTg7sL4VDNimUm3S9Vi1i95esohXCF3wuKOE8c"", ""'CONSOLIDADO'!G5:AB""), 10, 0) &lt;&gt; 0, 
IFERROR(VLOOKUP($G141,IMPORTRANGE(""https://docs.google.com/spreadsheets/d/1Gpl6jkTg7sL4VDNimU"&amp;"m3S9Vi1i95esohXCF3wuKOE8c"", ""'CONSOLIDADO'!G5:AB""), 17, 0), ""-""),
""""
)"),"SUIN")</f>
        <v>SUIN</v>
      </c>
      <c r="U141" s="35" t="str">
        <f>IFERROR(__xludf.DUMMYFUNCTION(" IF
( VLOOKUP($G141,IMPORTRANGE(""https://docs.google.com/spreadsheets/d/1Gpl6jkTg7sL4VDNimUm3S9Vi1i95esohXCF3wuKOE8c"", ""'CONSOLIDADO'!G5:AB""), 10, 0) &lt;&gt; 0, 
IFERROR(VLOOKUP($G141,IMPORTRANGE(""https://docs.google.com/spreadsheets/d/1Gpl6jkTg7sL4VDNimU"&amp;"m3S9Vi1i95esohXCF3wuKOE8c"", ""'CONSOLIDADO'!G5:AB""), 18, 0), ""-""),
""""
)"),"SS7200A")</f>
        <v>SS7200A</v>
      </c>
      <c r="V141" s="36" t="str">
        <f>IFERROR(__xludf.DUMMYFUNCTION(" IF
( VLOOKUP($G141,IMPORTRANGE(""https://docs.google.com/spreadsheets/d/1Gpl6jkTg7sL4VDNimUm3S9Vi1i95esohXCF3wuKOE8c"", ""'CONSOLIDADO'!G5:AB""), 10, 0) &lt;&gt; 0, 
IFERROR(VLOOKUP($G141,IMPORTRANGE(""https://docs.google.com/spreadsheets/d/1Gpl6jkTg7sL4VDNimU"&amp;"m3S9Vi1i95esohXCF3wuKOE8c"", ""'CONSOLIDADO'!G5:AB""), 19, 0), ""-""),
""""
)"),"https://www.alibaba.com/product-detail/Suin-SS7200A-Digital-Universal-Frequency-Counter_1600843809890.html")</f>
        <v>https://www.alibaba.com/product-detail/Suin-SS7200A-Digital-Universal-Frequency-Counter_1600843809890.html</v>
      </c>
      <c r="W141" s="37" t="str">
        <f>IFERROR(__xludf.DUMMYFUNCTION("IFERROR(VLOOKUP(G141,IMPORTRANGE(""https://docs.google.com/spreadsheets/d/12RxCea4e5ggM7QGn1XE3FbLQa_-QbCNdBi90OdPjRqg"", ""'Plan de Compras'!D4:Q""), 12, 0), ""NO ESTÁ EN REQ"")"),"Técnica")</f>
        <v>Técnica</v>
      </c>
      <c r="X141" s="37" t="str">
        <f>IFERROR(__xludf.DUMMYFUNCTION("IFERROR(VLOOKUP(G141,IMPORTRANGE(""https://docs.google.com/spreadsheets/d/12RxCea4e5ggM7QGn1XE3FbLQa_-QbCNdBi90OdPjRqg"", ""'Plan de Compras'!D4:Q""), 13, 0), """")"),"INTERNACIONAL")</f>
        <v>INTERNACIONAL</v>
      </c>
      <c r="Y141" s="32" t="str">
        <f>IFERROR(__xludf.DUMMYFUNCTION("IFERROR(VLOOKUP(G141,IMPORTRANGE(""https://docs.google.com/spreadsheets/d/12RxCea4e5ggM7QGn1XE3FbLQa_-QbCNdBi90OdPjRqg"", ""'Plan de Compras'!D4:Q""), 14, 0), """")"),"ALEJANDRA")</f>
        <v>ALEJANDRA</v>
      </c>
      <c r="Z141" s="38" t="str">
        <f>IFERROR(__xludf.DUMMYFUNCTION("IFERROR(VLOOKUP(G141,IMPORTRANGE(""https://docs.google.com/spreadsheets/d/12RxCea4e5ggM7QGn1XE3FbLQa_-QbCNdBi90OdPjRqg"", ""'Plan de Compras'!D4:Q""), 4, 0), """")"),"FRECUENCÍMETRO DIGITAL")</f>
        <v>FRECUENCÍMETRO DIGITAL</v>
      </c>
      <c r="AA141" s="38" t="str">
        <f t="shared" si="16"/>
        <v>TRUE</v>
      </c>
      <c r="AB141" s="37" t="str">
        <f>IFERROR(__xludf.DUMMYFUNCTION("IFERROR(IF(OR(C141=TRUE,C141=""""),VLOOKUP(G141,IMPORTRANGE(""https://docs.google.com/spreadsheets/d/1z9A1Wq-kKrhRNG5RS2a2fKpY1wIhSVz2ZNmP2mOl588/edit?usp=sharing"",""REQ VF!E4:H""),4,0),""NO APLICA""),""GENERAR REQ"")"),"GENERAR REQ")</f>
        <v>GENERAR REQ</v>
      </c>
      <c r="AC141" s="37" t="str">
        <f>IFERROR(__xludf.DUMMYFUNCTION("IFERROR(QUERY(IMPORTRANGE(""https://docs.google.com/spreadsheets/d/1z9A1Wq-kKrhRNG5RS2a2fKpY1wIhSVz2ZNmP2mOl588/edit?usp=sharing"",""REQ VF!E4:Q""),""SELECT Col10, Col11, Col12 WHERE Col1 = '""&amp;G141&amp;""'"",0),""NO APLICA"")"),"NO APLICA")</f>
        <v>NO APLICA</v>
      </c>
      <c r="AD141" s="37"/>
      <c r="AE141" s="37"/>
      <c r="AF141" s="13"/>
      <c r="AG141" s="13"/>
    </row>
    <row r="142">
      <c r="A142" s="26">
        <v>64.0</v>
      </c>
      <c r="B142" s="26" t="b">
        <v>1</v>
      </c>
      <c r="C142" s="26" t="b">
        <v>1</v>
      </c>
      <c r="D142" s="26" t="s">
        <v>35</v>
      </c>
      <c r="E142" s="26" t="s">
        <v>36</v>
      </c>
      <c r="F142" s="27" t="s">
        <v>528</v>
      </c>
      <c r="G142" s="37" t="s">
        <v>528</v>
      </c>
      <c r="H142" s="45" t="s">
        <v>529</v>
      </c>
      <c r="I142" s="26">
        <f>SUMIFS('Hoja 10'!$O:$O,'Hoja 10'!$F:$F,$G142)</f>
        <v>8</v>
      </c>
      <c r="J142" s="26">
        <f>IFERROR(__xludf.DUMMYFUNCTION("VLOOKUP(G142,IMPORTRANGE(""https://docs.google.com/spreadsheets/d/12RxCea4e5ggM7QGn1XE3FbLQa_-QbCNdBi90OdPjRqg/edit?gid=1692403370#gid=1692403370"", ""'Plan de Compras'!D4:2432""), 8,0)"),8.0)</f>
        <v>8</v>
      </c>
      <c r="K142" s="26" t="str">
        <f t="shared" si="1"/>
        <v>SI</v>
      </c>
      <c r="L142" s="29" t="s">
        <v>39</v>
      </c>
      <c r="M142" s="30" t="s">
        <v>40</v>
      </c>
      <c r="N142" s="42"/>
      <c r="O142" s="32" t="str">
        <f>VLOOKUP($G142,'Hoja 10'!$F$4:$AA478, 19,0)</f>
        <v>ADEXA</v>
      </c>
      <c r="P142" s="32" t="str">
        <f>VLOOKUP($G142,'Hoja 10'!$F$4:$AA478, 20,0)</f>
        <v>HDF8+8</v>
      </c>
      <c r="Q142" s="33" t="str">
        <f>VLOOKUP($G142,'Hoja 10'!$F$4:$AA478, 21,0)</f>
        <v>https://drive.google.com/file/d/1SgljCNAxUlKhIj76heM9BD89ZKv4R7b4/view</v>
      </c>
      <c r="R142" s="30" t="s">
        <v>530</v>
      </c>
      <c r="S142" s="34" t="b">
        <v>1</v>
      </c>
      <c r="T142" s="35" t="str">
        <f>IFERROR(__xludf.DUMMYFUNCTION(" IF
( VLOOKUP($G142,IMPORTRANGE(""https://docs.google.com/spreadsheets/d/1Gpl6jkTg7sL4VDNimUm3S9Vi1i95esohXCF3wuKOE8c"", ""'CONSOLIDADO'!G5:AB""), 10, 0) &lt;&gt; 0, 
IFERROR(VLOOKUP($G142,IMPORTRANGE(""https://docs.google.com/spreadsheets/d/1Gpl6jkTg7sL4VDNimU"&amp;"m3S9Vi1i95esohXCF3wuKOE8c"", ""'CONSOLIDADO'!G5:AB""), 17, 0), ""-""),
""""
)"),"Hualing")</f>
        <v>Hualing</v>
      </c>
      <c r="U142" s="35" t="str">
        <f>IFERROR(__xludf.DUMMYFUNCTION(" IF
( VLOOKUP($G142,IMPORTRANGE(""https://docs.google.com/spreadsheets/d/1Gpl6jkTg7sL4VDNimUm3S9Vi1i95esohXCF3wuKOE8c"", ""'CONSOLIDADO'!G5:AB""), 10, 0) &lt;&gt; 0, 
IFERROR(VLOOKUP($G142,IMPORTRANGE(""https://docs.google.com/spreadsheets/d/1Gpl6jkTg7sL4VDNimU"&amp;"m3S9Vi1i95esohXCF3wuKOE8c"", ""'CONSOLIDADO'!G5:AB""), 18, 0), ""-""),
""""
)"),"HDF8+8C")</f>
        <v>HDF8+8C</v>
      </c>
      <c r="V142" s="36" t="str">
        <f>IFERROR(__xludf.DUMMYFUNCTION(" IF
( VLOOKUP($G142,IMPORTRANGE(""https://docs.google.com/spreadsheets/d/1Gpl6jkTg7sL4VDNimUm3S9Vi1i95esohXCF3wuKOE8c"", ""'CONSOLIDADO'!G5:AB""), 10, 0) &lt;&gt; 0, 
IFERROR(VLOOKUP($G142,IMPORTRANGE(""https://docs.google.com/spreadsheets/d/1Gpl6jkTg7sL4VDNimU"&amp;"m3S9Vi1i95esohXCF3wuKOE8c"", ""'CONSOLIDADO'!G5:AB""), 19, 0), ""-""),
""""
)"),"https://spanish.alibaba.com/product-detail/HUALING-DEEP-FRYER-HDF8-HDF8-8-60253042416.html")</f>
        <v>https://spanish.alibaba.com/product-detail/HUALING-DEEP-FRYER-HDF8-HDF8-8-60253042416.html</v>
      </c>
      <c r="W142" s="37" t="str">
        <f>IFERROR(__xludf.DUMMYFUNCTION("IFERROR(VLOOKUP(G142,IMPORTRANGE(""https://docs.google.com/spreadsheets/d/12RxCea4e5ggM7QGn1XE3FbLQa_-QbCNdBi90OdPjRqg"", ""'Plan de Compras'!D4:Q""), 12, 0), ""NO ESTÁ EN REQ"")"),"Técnica")</f>
        <v>Técnica</v>
      </c>
      <c r="X142" s="37" t="str">
        <f>IFERROR(__xludf.DUMMYFUNCTION("IFERROR(VLOOKUP(G142,IMPORTRANGE(""https://docs.google.com/spreadsheets/d/12RxCea4e5ggM7QGn1XE3FbLQa_-QbCNdBi90OdPjRqg"", ""'Plan de Compras'!D4:Q""), 13, 0), """")"),"INTERNACIONAL")</f>
        <v>INTERNACIONAL</v>
      </c>
      <c r="Y142" s="32" t="str">
        <f>IFERROR(__xludf.DUMMYFUNCTION("IFERROR(VLOOKUP(G142,IMPORTRANGE(""https://docs.google.com/spreadsheets/d/12RxCea4e5ggM7QGn1XE3FbLQa_-QbCNdBi90OdPjRqg"", ""'Plan de Compras'!D4:Q""), 14, 0), """")"),"VICTOR")</f>
        <v>VICTOR</v>
      </c>
      <c r="Z142" s="38" t="str">
        <f>IFERROR(__xludf.DUMMYFUNCTION("IFERROR(VLOOKUP(G142,IMPORTRANGE(""https://docs.google.com/spreadsheets/d/12RxCea4e5ggM7QGn1XE3FbLQa_-QbCNdBi90OdPjRqg"", ""'Plan de Compras'!D4:Q""), 4, 0), """")"),"FREIDORA DE DOS BANDEJAS")</f>
        <v>FREIDORA DE DOS BANDEJAS</v>
      </c>
      <c r="AA142" s="38" t="str">
        <f t="shared" si="16"/>
        <v>TRUE</v>
      </c>
      <c r="AB142" s="37" t="str">
        <f>IFERROR(__xludf.DUMMYFUNCTION("IFERROR(IF(OR(C142=TRUE,C142=""""),VLOOKUP(G142,IMPORTRANGE(""https://docs.google.com/spreadsheets/d/1z9A1Wq-kKrhRNG5RS2a2fKpY1wIhSVz2ZNmP2mOl588/edit?usp=sharing"",""REQ VF!E4:H""),4,0),""NO APLICA""),""GENERAR REQ"")"),"GENERAR REQ")</f>
        <v>GENERAR REQ</v>
      </c>
      <c r="AC142" s="37" t="str">
        <f>IFERROR(__xludf.DUMMYFUNCTION("IFERROR(QUERY(IMPORTRANGE(""https://docs.google.com/spreadsheets/d/1z9A1Wq-kKrhRNG5RS2a2fKpY1wIhSVz2ZNmP2mOl588/edit?usp=sharing"",""REQ VF!E4:Q""),""SELECT Col10, Col11, Col12 WHERE Col1 = '""&amp;G142&amp;""'"",0),""NO APLICA"")"),"NO APLICA")</f>
        <v>NO APLICA</v>
      </c>
      <c r="AD142" s="37"/>
      <c r="AE142" s="37"/>
      <c r="AF142" s="13"/>
      <c r="AG142" s="13"/>
    </row>
    <row r="143">
      <c r="A143" s="26">
        <v>65.0</v>
      </c>
      <c r="B143" s="26" t="b">
        <v>1</v>
      </c>
      <c r="C143" s="26" t="b">
        <v>1</v>
      </c>
      <c r="D143" s="26" t="s">
        <v>35</v>
      </c>
      <c r="E143" s="26" t="s">
        <v>36</v>
      </c>
      <c r="F143" s="27" t="s">
        <v>531</v>
      </c>
      <c r="G143" s="37" t="s">
        <v>531</v>
      </c>
      <c r="H143" s="45" t="s">
        <v>532</v>
      </c>
      <c r="I143" s="26">
        <f>SUMIFS('Hoja 10'!$O:$O,'Hoja 10'!$F:$F,$G143)</f>
        <v>1</v>
      </c>
      <c r="J143" s="26">
        <f>IFERROR(__xludf.DUMMYFUNCTION("VLOOKUP(G143,IMPORTRANGE(""https://docs.google.com/spreadsheets/d/12RxCea4e5ggM7QGn1XE3FbLQa_-QbCNdBi90OdPjRqg/edit?gid=1692403370#gid=1692403370"", ""'Plan de Compras'!D4:2432""), 8,0)"),1.0)</f>
        <v>1</v>
      </c>
      <c r="K143" s="26" t="str">
        <f t="shared" si="1"/>
        <v>SI</v>
      </c>
      <c r="L143" s="29" t="s">
        <v>77</v>
      </c>
      <c r="M143" s="30" t="s">
        <v>78</v>
      </c>
      <c r="N143" s="42"/>
      <c r="O143" s="32" t="str">
        <f>VLOOKUP($G143,'Hoja 10'!$F$4:$AA478, 19,0)</f>
        <v>FRISTEEL</v>
      </c>
      <c r="P143" s="32" t="str">
        <f>VLOOKUP($G143,'Hoja 10'!$F$4:$AA478, 20,0)</f>
        <v>FRIN64</v>
      </c>
      <c r="Q143" s="41" t="str">
        <f>VLOOKUP($G143,'Hoja 10'!$F$4:$AA478, 21,0)</f>
        <v>https://hosteleriaservimovil.com/freidoras-industrial-gas-modular/freidora-a-gas-f-g6208-fagor/3662.html
https://hostelcol.com/freidora-a-gas-fg6-10-fagor</v>
      </c>
      <c r="R143" s="30" t="s">
        <v>533</v>
      </c>
      <c r="S143" s="34" t="b">
        <v>1</v>
      </c>
      <c r="T143" s="35" t="str">
        <f>IFERROR(__xludf.DUMMYFUNCTION(" IF
( VLOOKUP($G143,IMPORTRANGE(""https://docs.google.com/spreadsheets/d/1Gpl6jkTg7sL4VDNimUm3S9Vi1i95esohXCF3wuKOE8c"", ""'CONSOLIDADO'!G5:AB""), 10, 0) &lt;&gt; 0, 
IFERROR(VLOOKUP($G143,IMPORTRANGE(""https://docs.google.com/spreadsheets/d/1Gpl6jkTg7sL4VDNimU"&amp;"m3S9Vi1i95esohXCF3wuKOE8c"", ""'CONSOLIDADO'!G5:AB""), 17, 0), ""-""),
""""
)"),"FRISTEEL")</f>
        <v>FRISTEEL</v>
      </c>
      <c r="U143" s="35" t="str">
        <f>IFERROR(__xludf.DUMMYFUNCTION(" IF
( VLOOKUP($G143,IMPORTRANGE(""https://docs.google.com/spreadsheets/d/1Gpl6jkTg7sL4VDNimUm3S9Vi1i95esohXCF3wuKOE8c"", ""'CONSOLIDADO'!G5:AB""), 10, 0) &lt;&gt; 0, 
IFERROR(VLOOKUP($G143,IMPORTRANGE(""https://docs.google.com/spreadsheets/d/1Gpl6jkTg7sL4VDNimU"&amp;"m3S9Vi1i95esohXCF3wuKOE8c"", ""'CONSOLIDADO'!G5:AB""), 18, 0), ""-""),
""""
)"),"FR670P2-008")</f>
        <v>FR670P2-008</v>
      </c>
      <c r="V143" s="36" t="str">
        <f>IFERROR(__xludf.DUMMYFUNCTION(" IF
( VLOOKUP($G143,IMPORTRANGE(""https://docs.google.com/spreadsheets/d/1Gpl6jkTg7sL4VDNimUm3S9Vi1i95esohXCF3wuKOE8c"", ""'CONSOLIDADO'!G5:AB""), 10, 0) &lt;&gt; 0, 
IFERROR(VLOOKUP($G143,IMPORTRANGE(""https://docs.google.com/spreadsheets/d/1Gpl6jkTg7sL4VDNimU"&amp;"m3S9Vi1i95esohXCF3wuKOE8c"", ""'CONSOLIDADO'!G5:AB""), 19, 0), ""-""),
""""
)"),"https://drive.google.com/file/d/1iS2F-InMmw3O38Gi0L3OXHsomImopM5h/view?usp=sharing")</f>
        <v>https://drive.google.com/file/d/1iS2F-InMmw3O38Gi0L3OXHsomImopM5h/view?usp=sharing</v>
      </c>
      <c r="W143" s="37" t="str">
        <f>IFERROR(__xludf.DUMMYFUNCTION("IFERROR(VLOOKUP(G143,IMPORTRANGE(""https://docs.google.com/spreadsheets/d/12RxCea4e5ggM7QGn1XE3FbLQa_-QbCNdBi90OdPjRqg"", ""'Plan de Compras'!D4:Q""), 12, 0), ""NO ESTÁ EN REQ"")"),"Técnica")</f>
        <v>Técnica</v>
      </c>
      <c r="X143" s="37" t="str">
        <f>IFERROR(__xludf.DUMMYFUNCTION("IFERROR(VLOOKUP(G143,IMPORTRANGE(""https://docs.google.com/spreadsheets/d/12RxCea4e5ggM7QGn1XE3FbLQa_-QbCNdBi90OdPjRqg"", ""'Plan de Compras'!D4:Q""), 13, 0), """")"),"INTERNACIONAL")</f>
        <v>INTERNACIONAL</v>
      </c>
      <c r="Y143" s="32" t="str">
        <f>IFERROR(__xludf.DUMMYFUNCTION("IFERROR(VLOOKUP(G143,IMPORTRANGE(""https://docs.google.com/spreadsheets/d/12RxCea4e5ggM7QGn1XE3FbLQa_-QbCNdBi90OdPjRqg"", ""'Plan de Compras'!D4:Q""), 14, 0), """")"),"GIANFRANCO")</f>
        <v>GIANFRANCO</v>
      </c>
      <c r="Z143" s="38" t="str">
        <f>IFERROR(__xludf.DUMMYFUNCTION("IFERROR(VLOOKUP(G143,IMPORTRANGE(""https://docs.google.com/spreadsheets/d/12RxCea4e5ggM7QGn1XE3FbLQa_-QbCNdBi90OdPjRqg"", ""'Plan de Compras'!D4:Q""), 4, 0), """")"),"FREIDORA DE SOBREMESA A GAS")</f>
        <v>FREIDORA DE SOBREMESA A GAS</v>
      </c>
      <c r="AA143" s="38" t="str">
        <f t="shared" si="16"/>
        <v>TRUE</v>
      </c>
      <c r="AB143" s="37" t="str">
        <f>IFERROR(__xludf.DUMMYFUNCTION("IFERROR(IF(OR(C143=TRUE,C143=""""),VLOOKUP(G143,IMPORTRANGE(""https://docs.google.com/spreadsheets/d/1z9A1Wq-kKrhRNG5RS2a2fKpY1wIhSVz2ZNmP2mOl588/edit?usp=sharing"",""REQ VF!E4:H""),4,0),""NO APLICA""),""GENERAR REQ"")"),"GENERAR REQ")</f>
        <v>GENERAR REQ</v>
      </c>
      <c r="AC143" s="37" t="str">
        <f>IFERROR(__xludf.DUMMYFUNCTION("IFERROR(QUERY(IMPORTRANGE(""https://docs.google.com/spreadsheets/d/1z9A1Wq-kKrhRNG5RS2a2fKpY1wIhSVz2ZNmP2mOl588/edit?usp=sharing"",""REQ VF!E4:Q""),""SELECT Col10, Col11, Col12 WHERE Col1 = '""&amp;G143&amp;""'"",0),""NO APLICA"")"),"NO APLICA")</f>
        <v>NO APLICA</v>
      </c>
      <c r="AD143" s="37"/>
      <c r="AE143" s="37"/>
      <c r="AF143" s="13"/>
      <c r="AG143" s="13"/>
    </row>
    <row r="144">
      <c r="A144" s="26"/>
      <c r="B144" s="26"/>
      <c r="C144" s="26" t="b">
        <v>1</v>
      </c>
      <c r="D144" s="26" t="s">
        <v>42</v>
      </c>
      <c r="E144" s="26" t="s">
        <v>36</v>
      </c>
      <c r="F144" s="27" t="s">
        <v>531</v>
      </c>
      <c r="G144" s="39" t="s">
        <v>534</v>
      </c>
      <c r="H144" s="40" t="s">
        <v>535</v>
      </c>
      <c r="I144" s="43">
        <f>$I$143</f>
        <v>1</v>
      </c>
      <c r="J144" s="26">
        <f>IFERROR(__xludf.DUMMYFUNCTION("VLOOKUP(G144,IMPORTRANGE(""https://docs.google.com/spreadsheets/d/12RxCea4e5ggM7QGn1XE3FbLQa_-QbCNdBi90OdPjRqg/edit?gid=1692403370#gid=1692403370"", ""'Plan de Compras'!D4:2432""), 8,0)"),1.0)</f>
        <v>1</v>
      </c>
      <c r="K144" s="26" t="str">
        <f t="shared" si="1"/>
        <v>SI</v>
      </c>
      <c r="L144" s="26"/>
      <c r="M144" s="77"/>
      <c r="N144" s="26" t="s">
        <v>536</v>
      </c>
      <c r="O144" s="42"/>
      <c r="P144" s="42"/>
      <c r="Q144" s="47"/>
      <c r="R144" s="77"/>
      <c r="S144" s="34" t="b">
        <v>1</v>
      </c>
      <c r="T144" s="35" t="s">
        <v>537</v>
      </c>
      <c r="U144" s="35" t="s">
        <v>538</v>
      </c>
      <c r="V144" s="44"/>
      <c r="W144" s="37" t="str">
        <f>IFERROR(__xludf.DUMMYFUNCTION("IFERROR(VLOOKUP(G144,IMPORTRANGE(""https://docs.google.com/spreadsheets/d/12RxCea4e5ggM7QGn1XE3FbLQa_-QbCNdBi90OdPjRqg"", ""'Plan de Compras'!D4:Q""), 12, 0), ""NO ESTÁ EN REQ"")"),"Técnica")</f>
        <v>Técnica</v>
      </c>
      <c r="X144" s="37" t="str">
        <f>IFERROR(__xludf.DUMMYFUNCTION("IFERROR(VLOOKUP(G144,IMPORTRANGE(""https://docs.google.com/spreadsheets/d/12RxCea4e5ggM7QGn1XE3FbLQa_-QbCNdBi90OdPjRqg"", ""'Plan de Compras'!D4:Q""), 13, 0), """")"),"INTERNACIONAL")</f>
        <v>INTERNACIONAL</v>
      </c>
      <c r="Y144" s="32" t="str">
        <f>IFERROR(__xludf.DUMMYFUNCTION("IFERROR(VLOOKUP(G144,IMPORTRANGE(""https://docs.google.com/spreadsheets/d/12RxCea4e5ggM7QGn1XE3FbLQa_-QbCNdBi90OdPjRqg"", ""'Plan de Compras'!D4:Q""), 14, 0), """")"),"GIANFRANCO")</f>
        <v>GIANFRANCO</v>
      </c>
      <c r="Z144" s="38" t="str">
        <f>IFERROR(__xludf.DUMMYFUNCTION("IFERROR(VLOOKUP(G144,IMPORTRANGE(""https://docs.google.com/spreadsheets/d/12RxCea4e5ggM7QGn1XE3FbLQa_-QbCNdBi90OdPjRqg"", ""'Plan de Compras'!D4:Q""), 4, 0), """")"),"CUBETA FILTRO RECOGE-ACEITE (1 UND)")</f>
        <v>CUBETA FILTRO RECOGE-ACEITE (1 UND)</v>
      </c>
      <c r="AA144" s="38" t="str">
        <f t="shared" si="16"/>
        <v>TRUE</v>
      </c>
      <c r="AB144" s="37" t="str">
        <f>IFERROR(__xludf.DUMMYFUNCTION("IFERROR(IF(OR(C144=TRUE,C144=""""),VLOOKUP(G144,IMPORTRANGE(""https://docs.google.com/spreadsheets/d/1z9A1Wq-kKrhRNG5RS2a2fKpY1wIhSVz2ZNmP2mOl588/edit?usp=sharing"",""REQ VF!E4:H""),4,0),""NO APLICA""),""GENERAR REQ"")"),"GENERAR REQ")</f>
        <v>GENERAR REQ</v>
      </c>
      <c r="AC144" s="37" t="str">
        <f>IFERROR(__xludf.DUMMYFUNCTION("IFERROR(QUERY(IMPORTRANGE(""https://docs.google.com/spreadsheets/d/1z9A1Wq-kKrhRNG5RS2a2fKpY1wIhSVz2ZNmP2mOl588/edit?usp=sharing"",""REQ VF!E4:Q""),""SELECT Col10, Col11, Col12 WHERE Col1 = '""&amp;G144&amp;""'"",0),""NO APLICA"")"),"NO APLICA")</f>
        <v>NO APLICA</v>
      </c>
      <c r="AD144" s="37"/>
      <c r="AE144" s="37"/>
      <c r="AF144" s="13"/>
      <c r="AG144" s="13"/>
    </row>
    <row r="145">
      <c r="A145" s="26">
        <v>66.0</v>
      </c>
      <c r="B145" s="26" t="b">
        <v>1</v>
      </c>
      <c r="C145" s="26" t="b">
        <v>1</v>
      </c>
      <c r="D145" s="26" t="s">
        <v>35</v>
      </c>
      <c r="E145" s="26" t="s">
        <v>36</v>
      </c>
      <c r="F145" s="27" t="s">
        <v>539</v>
      </c>
      <c r="G145" s="39" t="s">
        <v>540</v>
      </c>
      <c r="H145" s="45" t="s">
        <v>541</v>
      </c>
      <c r="I145" s="26">
        <f>SUMIFS('Hoja 10'!$O:$O,'Hoja 10'!$F:$F,$G145)</f>
        <v>12</v>
      </c>
      <c r="J145" s="26">
        <f>IFERROR(__xludf.DUMMYFUNCTION("VLOOKUP(G145,IMPORTRANGE(""https://docs.google.com/spreadsheets/d/12RxCea4e5ggM7QGn1XE3FbLQa_-QbCNdBi90OdPjRqg/edit?gid=1692403370#gid=1692403370"", ""'Plan de Compras'!D4:2432""), 8,0)"),12.0)</f>
        <v>12</v>
      </c>
      <c r="K145" s="26" t="str">
        <f t="shared" si="1"/>
        <v>SI</v>
      </c>
      <c r="L145" s="29" t="s">
        <v>180</v>
      </c>
      <c r="M145" s="30" t="s">
        <v>181</v>
      </c>
      <c r="N145" s="70"/>
      <c r="O145" s="32" t="str">
        <f>VLOOKUP($G145,'Hoja 10'!$F$4:$AA478, 19,0)</f>
        <v>UNI-T</v>
      </c>
      <c r="P145" s="32" t="str">
        <f>VLOOKUP($G145,'Hoja 10'!$F$4:$AA478, 20,0)</f>
        <v>UTP3305-II</v>
      </c>
      <c r="Q145" s="33" t="str">
        <f>VLOOKUP($G145,'Hoja 10'!$F$4:$AA478, 21,0)</f>
        <v>https://instruments.uni-trend.com/products/dc-power-supplies/UTP3300-II</v>
      </c>
      <c r="R145" s="30" t="s">
        <v>542</v>
      </c>
      <c r="S145" s="34" t="b">
        <v>1</v>
      </c>
      <c r="T145" s="35" t="str">
        <f>IFERROR(__xludf.DUMMYFUNCTION(" IF
( VLOOKUP($G145,IMPORTRANGE(""https://docs.google.com/spreadsheets/d/1Gpl6jkTg7sL4VDNimUm3S9Vi1i95esohXCF3wuKOE8c"", ""'CONSOLIDADO'!G5:AB""), 10, 0) &lt;&gt; 0, 
IFERROR(VLOOKUP($G145,IMPORTRANGE(""https://docs.google.com/spreadsheets/d/1Gpl6jkTg7sL4VDNimU"&amp;"m3S9Vi1i95esohXCF3wuKOE8c"", ""'CONSOLIDADO'!G5:AB""), 17, 0), ""-""),
""""
)"),"UNI-T")</f>
        <v>UNI-T</v>
      </c>
      <c r="U145" s="35" t="str">
        <f>IFERROR(__xludf.DUMMYFUNCTION(" IF
( VLOOKUP($G145,IMPORTRANGE(""https://docs.google.com/spreadsheets/d/1Gpl6jkTg7sL4VDNimUm3S9Vi1i95esohXCF3wuKOE8c"", ""'CONSOLIDADO'!G5:AB""), 10, 0) &lt;&gt; 0, 
IFERROR(VLOOKUP($G145,IMPORTRANGE(""https://docs.google.com/spreadsheets/d/1Gpl6jkTg7sL4VDNimU"&amp;"m3S9Vi1i95esohXCF3wuKOE8c"", ""'CONSOLIDADO'!G5:AB""), 18, 0), ""-""),
""""
)"),"UT3305-II")</f>
        <v>UT3305-II</v>
      </c>
      <c r="V145" s="36" t="str">
        <f>IFERROR(__xludf.DUMMYFUNCTION(" IF
( VLOOKUP($G145,IMPORTRANGE(""https://docs.google.com/spreadsheets/d/1Gpl6jkTg7sL4VDNimUm3S9Vi1i95esohXCF3wuKOE8c"", ""'CONSOLIDADO'!G5:AB""), 10, 0) &lt;&gt; 0, 
IFERROR(VLOOKUP($G145,IMPORTRANGE(""https://docs.google.com/spreadsheets/d/1Gpl6jkTg7sL4VDNimU"&amp;"m3S9Vi1i95esohXCF3wuKOE8c"", ""'CONSOLIDADO'!G5:AB""), 19, 0), ""-""),
""""
)"),"https://instruments.uni-trend.com/products/dc-power-supplies/UTP3300-II")</f>
        <v>https://instruments.uni-trend.com/products/dc-power-supplies/UTP3300-II</v>
      </c>
      <c r="W145" s="37" t="str">
        <f>IFERROR(__xludf.DUMMYFUNCTION("IFERROR(VLOOKUP(G145,IMPORTRANGE(""https://docs.google.com/spreadsheets/d/12RxCea4e5ggM7QGn1XE3FbLQa_-QbCNdBi90OdPjRqg"", ""'Plan de Compras'!D4:Q""), 12, 0), ""NO ESTÁ EN REQ"")"),"Técnica")</f>
        <v>Técnica</v>
      </c>
      <c r="X145" s="37" t="str">
        <f>IFERROR(__xludf.DUMMYFUNCTION("IFERROR(VLOOKUP(G145,IMPORTRANGE(""https://docs.google.com/spreadsheets/d/12RxCea4e5ggM7QGn1XE3FbLQa_-QbCNdBi90OdPjRqg"", ""'Plan de Compras'!D4:Q""), 13, 0), """")"),"INTERNACIONAL")</f>
        <v>INTERNACIONAL</v>
      </c>
      <c r="Y145" s="32" t="str">
        <f>IFERROR(__xludf.DUMMYFUNCTION("IFERROR(VLOOKUP(G145,IMPORTRANGE(""https://docs.google.com/spreadsheets/d/12RxCea4e5ggM7QGn1XE3FbLQa_-QbCNdBi90OdPjRqg"", ""'Plan de Compras'!D4:Q""), 14, 0), """")"),"GEYDI")</f>
        <v>GEYDI</v>
      </c>
      <c r="Z145" s="38" t="str">
        <f>IFERROR(__xludf.DUMMYFUNCTION("IFERROR(VLOOKUP(G145,IMPORTRANGE(""https://docs.google.com/spreadsheets/d/12RxCea4e5ggM7QGn1XE3FbLQa_-QbCNdBi90OdPjRqg"", ""'Plan de Compras'!D4:Q""), 4, 0), """")"),"FUENTE DE ALIMENTACIÓN")</f>
        <v>FUENTE DE ALIMENTACIÓN</v>
      </c>
      <c r="AA145" s="38" t="str">
        <f t="shared" si="16"/>
        <v>TRUE</v>
      </c>
      <c r="AB145" s="37" t="str">
        <f>IFERROR(__xludf.DUMMYFUNCTION("IFERROR(IF(OR(C145=TRUE,C145=""""),VLOOKUP(G145,IMPORTRANGE(""https://docs.google.com/spreadsheets/d/1z9A1Wq-kKrhRNG5RS2a2fKpY1wIhSVz2ZNmP2mOl588/edit?usp=sharing"",""REQ VF!E4:H""),4,0),""NO APLICA""),""GENERAR REQ"")"),"GENERAR REQ")</f>
        <v>GENERAR REQ</v>
      </c>
      <c r="AC145" s="37" t="str">
        <f>IFERROR(__xludf.DUMMYFUNCTION("IFERROR(QUERY(IMPORTRANGE(""https://docs.google.com/spreadsheets/d/1z9A1Wq-kKrhRNG5RS2a2fKpY1wIhSVz2ZNmP2mOl588/edit?usp=sharing"",""REQ VF!E4:Q""),""SELECT Col10, Col11, Col12 WHERE Col1 = '""&amp;G145&amp;""'"",0),""NO APLICA"")"),"NO APLICA")</f>
        <v>NO APLICA</v>
      </c>
      <c r="AD145" s="37"/>
      <c r="AE145" s="37"/>
      <c r="AF145" s="8" t="s">
        <v>52</v>
      </c>
      <c r="AG145" s="13"/>
    </row>
    <row r="146">
      <c r="A146" s="26"/>
      <c r="B146" s="26"/>
      <c r="C146" s="26" t="b">
        <v>1</v>
      </c>
      <c r="D146" s="26" t="s">
        <v>42</v>
      </c>
      <c r="E146" s="26" t="s">
        <v>36</v>
      </c>
      <c r="F146" s="59" t="s">
        <v>539</v>
      </c>
      <c r="G146" s="39" t="s">
        <v>543</v>
      </c>
      <c r="H146" s="40" t="s">
        <v>544</v>
      </c>
      <c r="I146" s="43">
        <f t="shared" ref="I146:I147" si="21">$I$145</f>
        <v>12</v>
      </c>
      <c r="J146" s="26">
        <f>IFERROR(__xludf.DUMMYFUNCTION("VLOOKUP(G146,IMPORTRANGE(""https://docs.google.com/spreadsheets/d/12RxCea4e5ggM7QGn1XE3FbLQa_-QbCNdBi90OdPjRqg/edit?gid=1692403370#gid=1692403370"", ""'Plan de Compras'!D4:2432""), 8,0)"),12.0)</f>
        <v>12</v>
      </c>
      <c r="K146" s="26" t="str">
        <f t="shared" si="1"/>
        <v>SI</v>
      </c>
      <c r="L146" s="26"/>
      <c r="M146" s="61"/>
      <c r="N146" s="26" t="s">
        <v>536</v>
      </c>
      <c r="O146" s="32"/>
      <c r="P146" s="32"/>
      <c r="Q146" s="41"/>
      <c r="R146" s="32"/>
      <c r="S146" s="34" t="b">
        <v>1</v>
      </c>
      <c r="T146" s="35" t="s">
        <v>545</v>
      </c>
      <c r="U146" s="35" t="s">
        <v>546</v>
      </c>
      <c r="V146" s="78"/>
      <c r="W146" s="37" t="str">
        <f>IFERROR(__xludf.DUMMYFUNCTION("IFERROR(VLOOKUP(G146,IMPORTRANGE(""https://docs.google.com/spreadsheets/d/12RxCea4e5ggM7QGn1XE3FbLQa_-QbCNdBi90OdPjRqg"", ""'Plan de Compras'!D4:Q""), 12, 0), ""NO ESTÁ EN REQ"")"),"Técnica")</f>
        <v>Técnica</v>
      </c>
      <c r="X146" s="37" t="str">
        <f>IFERROR(__xludf.DUMMYFUNCTION("IFERROR(VLOOKUP(G146,IMPORTRANGE(""https://docs.google.com/spreadsheets/d/12RxCea4e5ggM7QGn1XE3FbLQa_-QbCNdBi90OdPjRqg"", ""'Plan de Compras'!D4:Q""), 13, 0), """")"),"INTERNACIONAL")</f>
        <v>INTERNACIONAL</v>
      </c>
      <c r="Y146" s="32" t="str">
        <f>IFERROR(__xludf.DUMMYFUNCTION("IFERROR(VLOOKUP(G146,IMPORTRANGE(""https://docs.google.com/spreadsheets/d/12RxCea4e5ggM7QGn1XE3FbLQa_-QbCNdBi90OdPjRqg"", ""'Plan de Compras'!D4:Q""), 14, 0), """")"),"GEYDI")</f>
        <v>GEYDI</v>
      </c>
      <c r="Z146" s="38" t="str">
        <f>IFERROR(__xludf.DUMMYFUNCTION("IFERROR(VLOOKUP(G146,IMPORTRANGE(""https://docs.google.com/spreadsheets/d/12RxCea4e5ggM7QGn1XE3FbLQa_-QbCNdBi90OdPjRqg"", ""'Plan de Compras'!D4:Q""), 4, 0), """")"),"MALETIN DE TRANSPORTE (1 UND)")</f>
        <v>MALETIN DE TRANSPORTE (1 UND)</v>
      </c>
      <c r="AA146" s="38" t="str">
        <f t="shared" si="16"/>
        <v>TRUE</v>
      </c>
      <c r="AB146" s="37" t="str">
        <f>IFERROR(__xludf.DUMMYFUNCTION("IFERROR(IF(OR(C146=TRUE,C146=""""),VLOOKUP(G146,IMPORTRANGE(""https://docs.google.com/spreadsheets/d/1z9A1Wq-kKrhRNG5RS2a2fKpY1wIhSVz2ZNmP2mOl588/edit?usp=sharing"",""REQ VF!E4:H""),4,0),""NO APLICA""),""GENERAR REQ"")"),"GENERAR REQ")</f>
        <v>GENERAR REQ</v>
      </c>
      <c r="AC146" s="37" t="str">
        <f>IFERROR(__xludf.DUMMYFUNCTION("IFERROR(QUERY(IMPORTRANGE(""https://docs.google.com/spreadsheets/d/1z9A1Wq-kKrhRNG5RS2a2fKpY1wIhSVz2ZNmP2mOl588/edit?usp=sharing"",""REQ VF!E4:Q""),""SELECT Col10, Col11, Col12 WHERE Col1 = '""&amp;G146&amp;""'"",0),""NO APLICA"")"),"NO APLICA")</f>
        <v>NO APLICA</v>
      </c>
      <c r="AD146" s="37"/>
      <c r="AE146" s="37"/>
      <c r="AF146" s="13"/>
      <c r="AG146" s="13"/>
    </row>
    <row r="147">
      <c r="A147" s="26"/>
      <c r="B147" s="26"/>
      <c r="C147" s="26" t="b">
        <v>1</v>
      </c>
      <c r="D147" s="43" t="s">
        <v>42</v>
      </c>
      <c r="E147" s="43" t="s">
        <v>36</v>
      </c>
      <c r="F147" s="39" t="s">
        <v>539</v>
      </c>
      <c r="G147" s="39" t="s">
        <v>547</v>
      </c>
      <c r="H147" s="40" t="s">
        <v>548</v>
      </c>
      <c r="I147" s="43">
        <f t="shared" si="21"/>
        <v>12</v>
      </c>
      <c r="J147" s="26">
        <f>IFERROR(__xludf.DUMMYFUNCTION("VLOOKUP(G147,IMPORTRANGE(""https://docs.google.com/spreadsheets/d/12RxCea4e5ggM7QGn1XE3FbLQa_-QbCNdBi90OdPjRqg/edit?gid=1692403370#gid=1692403370"", ""'Plan de Compras'!D4:2432""), 8,0)"),12.0)</f>
        <v>12</v>
      </c>
      <c r="K147" s="26" t="str">
        <f t="shared" si="1"/>
        <v>SI</v>
      </c>
      <c r="L147" s="26"/>
      <c r="M147" s="61"/>
      <c r="N147" s="26"/>
      <c r="O147" s="32"/>
      <c r="P147" s="79"/>
      <c r="Q147" s="41"/>
      <c r="R147" s="32"/>
      <c r="S147" s="34" t="b">
        <v>1</v>
      </c>
      <c r="T147" s="35" t="s">
        <v>549</v>
      </c>
      <c r="U147" s="35" t="s">
        <v>550</v>
      </c>
      <c r="V147" s="80" t="s">
        <v>551</v>
      </c>
      <c r="W147" s="37" t="str">
        <f>IFERROR(__xludf.DUMMYFUNCTION("IFERROR(VLOOKUP(G147,IMPORTRANGE(""https://docs.google.com/spreadsheets/d/12RxCea4e5ggM7QGn1XE3FbLQa_-QbCNdBi90OdPjRqg"", ""'Plan de Compras'!D4:Q""), 12, 0), ""NO ESTÁ EN REQ"")"),"Técnica")</f>
        <v>Técnica</v>
      </c>
      <c r="X147" s="37" t="str">
        <f>IFERROR(__xludf.DUMMYFUNCTION("IFERROR(VLOOKUP(G147,IMPORTRANGE(""https://docs.google.com/spreadsheets/d/12RxCea4e5ggM7QGn1XE3FbLQa_-QbCNdBi90OdPjRqg"", ""'Plan de Compras'!D4:Q""), 13, 0), """")"),"NACIONAL")</f>
        <v>NACIONAL</v>
      </c>
      <c r="Y147" s="32" t="str">
        <f>IFERROR(__xludf.DUMMYFUNCTION("IFERROR(VLOOKUP(G147,IMPORTRANGE(""https://docs.google.com/spreadsheets/d/12RxCea4e5ggM7QGn1XE3FbLQa_-QbCNdBi90OdPjRqg"", ""'Plan de Compras'!D4:Q""), 14, 0), """")"),"JESSICA")</f>
        <v>JESSICA</v>
      </c>
      <c r="Z147" s="38" t="str">
        <f>IFERROR(__xludf.DUMMYFUNCTION("IFERROR(VLOOKUP(G147,IMPORTRANGE(""https://docs.google.com/spreadsheets/d/12RxCea4e5ggM7QGn1XE3FbLQa_-QbCNdBi90OdPjRqg"", ""'Plan de Compras'!D4:Q""), 4, 0), """")"),"CABLE SILICONADO DE PRUEBA COCODRILO A PLUG BANANA 4MM J.70056C")</f>
        <v>CABLE SILICONADO DE PRUEBA COCODRILO A PLUG BANANA 4MM J.70056C</v>
      </c>
      <c r="AA147" s="38" t="str">
        <f t="shared" si="16"/>
        <v>FALSE</v>
      </c>
      <c r="AB147" s="37" t="str">
        <f>IFERROR(__xludf.DUMMYFUNCTION("IFERROR(IF(OR(C147=TRUE,C147=""""),VLOOKUP(G147,IMPORTRANGE(""https://docs.google.com/spreadsheets/d/1z9A1Wq-kKrhRNG5RS2a2fKpY1wIhSVz2ZNmP2mOl588/edit?usp=sharing"",""REQ VF!E4:H""),4,0),""NO APLICA""),""GENERAR REQ"")"),"GENERAR REQ")</f>
        <v>GENERAR REQ</v>
      </c>
      <c r="AC147" s="37" t="str">
        <f>IFERROR(__xludf.DUMMYFUNCTION("IFERROR(QUERY(IMPORTRANGE(""https://docs.google.com/spreadsheets/d/1z9A1Wq-kKrhRNG5RS2a2fKpY1wIhSVz2ZNmP2mOl588/edit?usp=sharing"",""REQ VF!E4:Q""),""SELECT Col10, Col11, Col12 WHERE Col1 = '""&amp;G147&amp;""'"",0),""NO APLICA"")"),"NO APLICA")</f>
        <v>NO APLICA</v>
      </c>
      <c r="AD147" s="37"/>
      <c r="AE147" s="37"/>
      <c r="AF147" s="13"/>
      <c r="AG147" s="13"/>
    </row>
    <row r="148">
      <c r="A148" s="26"/>
      <c r="B148" s="26"/>
      <c r="C148" s="26" t="b">
        <v>0</v>
      </c>
      <c r="D148" s="43" t="s">
        <v>42</v>
      </c>
      <c r="E148" s="43" t="s">
        <v>36</v>
      </c>
      <c r="F148" s="39" t="s">
        <v>539</v>
      </c>
      <c r="G148" s="39" t="s">
        <v>552</v>
      </c>
      <c r="H148" s="40" t="s">
        <v>553</v>
      </c>
      <c r="I148" s="43">
        <v>0.0</v>
      </c>
      <c r="J148" s="26" t="str">
        <f>IFERROR(__xludf.DUMMYFUNCTION("VLOOKUP(G148,IMPORTRANGE(""https://docs.google.com/spreadsheets/d/12RxCea4e5ggM7QGn1XE3FbLQa_-QbCNdBi90OdPjRqg/edit?gid=1692403370#gid=1692403370"", ""'Plan de Compras'!D4:2432""), 8,0)"),"#N/A")</f>
        <v>#N/A</v>
      </c>
      <c r="K148" s="26" t="str">
        <f t="shared" si="1"/>
        <v>-</v>
      </c>
      <c r="L148" s="26"/>
      <c r="M148" s="61"/>
      <c r="N148" s="26"/>
      <c r="O148" s="32"/>
      <c r="P148" s="32"/>
      <c r="Q148" s="41"/>
      <c r="R148" s="32"/>
      <c r="S148" s="34" t="b">
        <v>1</v>
      </c>
      <c r="T148" s="35" t="s">
        <v>545</v>
      </c>
      <c r="U148" s="35" t="s">
        <v>119</v>
      </c>
      <c r="V148" s="78"/>
      <c r="W148" s="37" t="str">
        <f>IFERROR(__xludf.DUMMYFUNCTION("IFERROR(VLOOKUP(G148,IMPORTRANGE(""https://docs.google.com/spreadsheets/d/12RxCea4e5ggM7QGn1XE3FbLQa_-QbCNdBi90OdPjRqg"", ""'Plan de Compras'!D4:Q""), 12, 0), ""NO ESTÁ EN REQ"")"),"NO ESTÁ EN REQ")</f>
        <v>NO ESTÁ EN REQ</v>
      </c>
      <c r="X148" s="37" t="str">
        <f>IFERROR(__xludf.DUMMYFUNCTION("IFERROR(VLOOKUP(G148,IMPORTRANGE(""https://docs.google.com/spreadsheets/d/12RxCea4e5ggM7QGn1XE3FbLQa_-QbCNdBi90OdPjRqg"", ""'Plan de Compras'!D4:Q""), 13, 0), """")"),"")</f>
        <v/>
      </c>
      <c r="Y148" s="32" t="str">
        <f>IFERROR(__xludf.DUMMYFUNCTION("IFERROR(VLOOKUP(G148,IMPORTRANGE(""https://docs.google.com/spreadsheets/d/12RxCea4e5ggM7QGn1XE3FbLQa_-QbCNdBi90OdPjRqg"", ""'Plan de Compras'!D4:Q""), 14, 0), """")"),"")</f>
        <v/>
      </c>
      <c r="Z148" s="38" t="str">
        <f>IFERROR(__xludf.DUMMYFUNCTION("IFERROR(VLOOKUP(G148,IMPORTRANGE(""https://docs.google.com/spreadsheets/d/12RxCea4e5ggM7QGn1XE3FbLQa_-QbCNdBi90OdPjRqg"", ""'Plan de Compras'!D4:Q""), 4, 0), """")"),"")</f>
        <v/>
      </c>
      <c r="AA148" s="38" t="str">
        <f t="shared" si="16"/>
        <v>FALSE</v>
      </c>
      <c r="AB148" s="37" t="str">
        <f>IFERROR(__xludf.DUMMYFUNCTION("IFERROR(IF(OR(C148=TRUE,C148=""""),VLOOKUP(G148,IMPORTRANGE(""https://docs.google.com/spreadsheets/d/1z9A1Wq-kKrhRNG5RS2a2fKpY1wIhSVz2ZNmP2mOl588/edit?usp=sharing"",""REQ VF!E4:H""),4,0),""NO APLICA""),""GENERAR REQ"")"),"NO APLICA")</f>
        <v>NO APLICA</v>
      </c>
      <c r="AC148" s="37" t="str">
        <f>IFERROR(__xludf.DUMMYFUNCTION("IFERROR(QUERY(IMPORTRANGE(""https://docs.google.com/spreadsheets/d/1z9A1Wq-kKrhRNG5RS2a2fKpY1wIhSVz2ZNmP2mOl588/edit?usp=sharing"",""REQ VF!E4:Q""),""SELECT Col10, Col11, Col12 WHERE Col1 = '""&amp;G148&amp;""'"",0),""NO APLICA"")"),"NO APLICA")</f>
        <v>NO APLICA</v>
      </c>
      <c r="AD148" s="37"/>
      <c r="AE148" s="37"/>
      <c r="AF148" s="13"/>
      <c r="AG148" s="13"/>
    </row>
    <row r="149">
      <c r="A149" s="26"/>
      <c r="B149" s="26" t="b">
        <v>0</v>
      </c>
      <c r="C149" s="26" t="b">
        <v>0</v>
      </c>
      <c r="D149" s="43" t="s">
        <v>42</v>
      </c>
      <c r="E149" s="43" t="s">
        <v>36</v>
      </c>
      <c r="F149" s="39" t="s">
        <v>554</v>
      </c>
      <c r="G149" s="39" t="s">
        <v>555</v>
      </c>
      <c r="H149" s="40" t="s">
        <v>118</v>
      </c>
      <c r="I149" s="26">
        <f>1*I145</f>
        <v>12</v>
      </c>
      <c r="J149" s="26" t="str">
        <f>IFERROR(__xludf.DUMMYFUNCTION("VLOOKUP(G149,IMPORTRANGE(""https://docs.google.com/spreadsheets/d/12RxCea4e5ggM7QGn1XE3FbLQa_-QbCNdBi90OdPjRqg/edit?gid=1692403370#gid=1692403370"", ""'Plan de Compras'!D4:2432""), 8,0)"),"#N/A")</f>
        <v>#N/A</v>
      </c>
      <c r="K149" s="26" t="str">
        <f t="shared" si="1"/>
        <v>-</v>
      </c>
      <c r="L149" s="29"/>
      <c r="M149" s="61"/>
      <c r="N149" s="70"/>
      <c r="O149" s="32"/>
      <c r="P149" s="32"/>
      <c r="Q149" s="41"/>
      <c r="R149" s="61"/>
      <c r="S149" s="34" t="b">
        <v>0</v>
      </c>
      <c r="T149" s="35"/>
      <c r="U149" s="35"/>
      <c r="V149" s="35"/>
      <c r="W149" s="37"/>
      <c r="X149" s="37"/>
      <c r="Y149" s="32"/>
      <c r="Z149" s="38"/>
      <c r="AA149" s="38" t="str">
        <f t="shared" si="16"/>
        <v>FALSE</v>
      </c>
      <c r="AB149" s="37" t="str">
        <f>IFERROR(__xludf.DUMMYFUNCTION("IFERROR(IF(OR(C149=TRUE,C149=""""),VLOOKUP(G149,IMPORTRANGE(""https://docs.google.com/spreadsheets/d/1z9A1Wq-kKrhRNG5RS2a2fKpY1wIhSVz2ZNmP2mOl588/edit?usp=sharing"",""REQ VF!E4:H""),4,0),""NO APLICA""),""GENERAR REQ"")"),"NO APLICA")</f>
        <v>NO APLICA</v>
      </c>
      <c r="AC149" s="37" t="str">
        <f>IFERROR(__xludf.DUMMYFUNCTION("IFERROR(QUERY(IMPORTRANGE(""https://docs.google.com/spreadsheets/d/1z9A1Wq-kKrhRNG5RS2a2fKpY1wIhSVz2ZNmP2mOl588/edit?usp=sharing"",""REQ VF!E4:Q""),""SELECT Col10, Col11, Col12 WHERE Col1 = '""&amp;G149&amp;""'"",0),""NO APLICA"")"),"NO APLICA")</f>
        <v>NO APLICA</v>
      </c>
      <c r="AD149" s="37"/>
      <c r="AE149" s="37"/>
      <c r="AF149" s="8"/>
      <c r="AG149" s="13"/>
    </row>
    <row r="150">
      <c r="A150" s="26">
        <v>67.0</v>
      </c>
      <c r="B150" s="26" t="b">
        <v>1</v>
      </c>
      <c r="C150" s="26" t="b">
        <v>1</v>
      </c>
      <c r="D150" s="26" t="s">
        <v>35</v>
      </c>
      <c r="E150" s="26" t="s">
        <v>36</v>
      </c>
      <c r="F150" s="27" t="s">
        <v>539</v>
      </c>
      <c r="G150" s="39" t="s">
        <v>556</v>
      </c>
      <c r="H150" s="45" t="s">
        <v>541</v>
      </c>
      <c r="I150" s="26">
        <f>SUMIFS('Hoja 10'!$O:$O,'Hoja 10'!$F:$F,$G150)</f>
        <v>4</v>
      </c>
      <c r="J150" s="26">
        <f>IFERROR(__xludf.DUMMYFUNCTION("VLOOKUP(G150,IMPORTRANGE(""https://docs.google.com/spreadsheets/d/12RxCea4e5ggM7QGn1XE3FbLQa_-QbCNdBi90OdPjRqg/edit?gid=1692403370#gid=1692403370"", ""'Plan de Compras'!D4:2432""), 8,0)"),4.0)</f>
        <v>4</v>
      </c>
      <c r="K150" s="26" t="str">
        <f t="shared" si="1"/>
        <v>SI</v>
      </c>
      <c r="L150" s="29" t="s">
        <v>122</v>
      </c>
      <c r="M150" s="30" t="s">
        <v>123</v>
      </c>
      <c r="N150" s="70"/>
      <c r="O150" s="32" t="str">
        <f>VLOOKUP($G150,'Hoja 10'!$F$4:$AA478, 19,0)</f>
        <v>UNI-T</v>
      </c>
      <c r="P150" s="32" t="str">
        <f>VLOOKUP($G150,'Hoja 10'!$F$4:$AA478, 20,0)</f>
        <v>UTP3305-II</v>
      </c>
      <c r="Q150" s="33" t="str">
        <f>VLOOKUP($G150,'Hoja 10'!$F$4:$AA478, 21,0)</f>
        <v>https://instruments.uni-trend.com/products/dc-power-supplies/UTP3300-II</v>
      </c>
      <c r="R150" s="30" t="s">
        <v>557</v>
      </c>
      <c r="S150" s="34" t="b">
        <v>1</v>
      </c>
      <c r="T150" s="35" t="str">
        <f>IFERROR(__xludf.DUMMYFUNCTION(" IF
( VLOOKUP($G150,IMPORTRANGE(""https://docs.google.com/spreadsheets/d/1Gpl6jkTg7sL4VDNimUm3S9Vi1i95esohXCF3wuKOE8c"", ""'CONSOLIDADO'!G5:AB""), 10, 0) &lt;&gt; 0, 
IFERROR(VLOOKUP($G150,IMPORTRANGE(""https://docs.google.com/spreadsheets/d/1Gpl6jkTg7sL4VDNimU"&amp;"m3S9Vi1i95esohXCF3wuKOE8c"", ""'CONSOLIDADO'!G5:AB""), 17, 0), ""-""),
""""
)"),"UNI-T")</f>
        <v>UNI-T</v>
      </c>
      <c r="U150" s="35" t="str">
        <f>IFERROR(__xludf.DUMMYFUNCTION(" IF
( VLOOKUP($G150,IMPORTRANGE(""https://docs.google.com/spreadsheets/d/1Gpl6jkTg7sL4VDNimUm3S9Vi1i95esohXCF3wuKOE8c"", ""'CONSOLIDADO'!G5:AB""), 10, 0) &lt;&gt; 0, 
IFERROR(VLOOKUP($G150,IMPORTRANGE(""https://docs.google.com/spreadsheets/d/1Gpl6jkTg7sL4VDNimU"&amp;"m3S9Vi1i95esohXCF3wuKOE8c"", ""'CONSOLIDADO'!G5:AB""), 18, 0), ""-""),
""""
)"),"UT3305-II")</f>
        <v>UT3305-II</v>
      </c>
      <c r="V150" s="36" t="str">
        <f>IFERROR(__xludf.DUMMYFUNCTION(" IF
( VLOOKUP($G150,IMPORTRANGE(""https://docs.google.com/spreadsheets/d/1Gpl6jkTg7sL4VDNimUm3S9Vi1i95esohXCF3wuKOE8c"", ""'CONSOLIDADO'!G5:AB""), 10, 0) &lt;&gt; 0, 
IFERROR(VLOOKUP($G150,IMPORTRANGE(""https://docs.google.com/spreadsheets/d/1Gpl6jkTg7sL4VDNimU"&amp;"m3S9Vi1i95esohXCF3wuKOE8c"", ""'CONSOLIDADO'!G5:AB""), 19, 0), ""-""),
""""
)"),"https://instruments.uni-trend.com/products/dc-power-supplies/UTP3300-II")</f>
        <v>https://instruments.uni-trend.com/products/dc-power-supplies/UTP3300-II</v>
      </c>
      <c r="W150" s="37" t="str">
        <f>IFERROR(__xludf.DUMMYFUNCTION("IFERROR(VLOOKUP(G150,IMPORTRANGE(""https://docs.google.com/spreadsheets/d/12RxCea4e5ggM7QGn1XE3FbLQa_-QbCNdBi90OdPjRqg"", ""'Plan de Compras'!D4:Q""), 12, 0), ""NO ESTÁ EN REQ"")"),"Técnica")</f>
        <v>Técnica</v>
      </c>
      <c r="X150" s="37" t="str">
        <f>IFERROR(__xludf.DUMMYFUNCTION("IFERROR(VLOOKUP(G150,IMPORTRANGE(""https://docs.google.com/spreadsheets/d/12RxCea4e5ggM7QGn1XE3FbLQa_-QbCNdBi90OdPjRqg"", ""'Plan de Compras'!D4:Q""), 13, 0), """")"),"INTERNACIONAL")</f>
        <v>INTERNACIONAL</v>
      </c>
      <c r="Y150" s="32" t="str">
        <f>IFERROR(__xludf.DUMMYFUNCTION("IFERROR(VLOOKUP(G150,IMPORTRANGE(""https://docs.google.com/spreadsheets/d/12RxCea4e5ggM7QGn1XE3FbLQa_-QbCNdBi90OdPjRqg"", ""'Plan de Compras'!D4:Q""), 14, 0), """")"),"GEYDI")</f>
        <v>GEYDI</v>
      </c>
      <c r="Z150" s="38" t="str">
        <f>IFERROR(__xludf.DUMMYFUNCTION("IFERROR(VLOOKUP(G150,IMPORTRANGE(""https://docs.google.com/spreadsheets/d/12RxCea4e5ggM7QGn1XE3FbLQa_-QbCNdBi90OdPjRqg"", ""'Plan de Compras'!D4:Q""), 4, 0), """")"),"FUENTE DE ALIMENTACIÓN")</f>
        <v>FUENTE DE ALIMENTACIÓN</v>
      </c>
      <c r="AA150" s="38" t="str">
        <f t="shared" si="16"/>
        <v>TRUE</v>
      </c>
      <c r="AB150" s="37" t="str">
        <f>IFERROR(__xludf.DUMMYFUNCTION("IFERROR(IF(OR(C150=TRUE,C150=""""),VLOOKUP(G150,IMPORTRANGE(""https://docs.google.com/spreadsheets/d/1z9A1Wq-kKrhRNG5RS2a2fKpY1wIhSVz2ZNmP2mOl588/edit?usp=sharing"",""REQ VF!E4:H""),4,0),""NO APLICA""),""GENERAR REQ"")"),"GENERAR REQ")</f>
        <v>GENERAR REQ</v>
      </c>
      <c r="AC150" s="37" t="str">
        <f>IFERROR(__xludf.DUMMYFUNCTION("IFERROR(QUERY(IMPORTRANGE(""https://docs.google.com/spreadsheets/d/1z9A1Wq-kKrhRNG5RS2a2fKpY1wIhSVz2ZNmP2mOl588/edit?usp=sharing"",""REQ VF!E4:Q""),""SELECT Col10, Col11, Col12 WHERE Col1 = '""&amp;G150&amp;""'"",0),""NO APLICA"")"),"NO APLICA")</f>
        <v>NO APLICA</v>
      </c>
      <c r="AD150" s="37"/>
      <c r="AE150" s="37"/>
      <c r="AF150" s="8" t="s">
        <v>52</v>
      </c>
      <c r="AG150" s="13"/>
    </row>
    <row r="151">
      <c r="A151" s="26"/>
      <c r="B151" s="26"/>
      <c r="C151" s="26" t="b">
        <v>0</v>
      </c>
      <c r="D151" s="43" t="s">
        <v>42</v>
      </c>
      <c r="E151" s="43" t="s">
        <v>36</v>
      </c>
      <c r="F151" s="39" t="s">
        <v>539</v>
      </c>
      <c r="G151" s="39" t="s">
        <v>558</v>
      </c>
      <c r="H151" s="40" t="s">
        <v>553</v>
      </c>
      <c r="I151" s="43">
        <v>0.0</v>
      </c>
      <c r="J151" s="26" t="str">
        <f>IFERROR(__xludf.DUMMYFUNCTION("VLOOKUP(G151,IMPORTRANGE(""https://docs.google.com/spreadsheets/d/12RxCea4e5ggM7QGn1XE3FbLQa_-QbCNdBi90OdPjRqg/edit?gid=1692403370#gid=1692403370"", ""'Plan de Compras'!D4:2432""), 8,0)"),"#N/A")</f>
        <v>#N/A</v>
      </c>
      <c r="K151" s="26" t="str">
        <f t="shared" si="1"/>
        <v>-</v>
      </c>
      <c r="L151" s="29"/>
      <c r="M151" s="61"/>
      <c r="N151" s="70"/>
      <c r="O151" s="32"/>
      <c r="P151" s="32"/>
      <c r="Q151" s="41"/>
      <c r="R151" s="61"/>
      <c r="S151" s="34" t="b">
        <v>1</v>
      </c>
      <c r="T151" s="35" t="s">
        <v>545</v>
      </c>
      <c r="U151" s="35" t="s">
        <v>119</v>
      </c>
      <c r="V151" s="35"/>
      <c r="W151" s="37" t="str">
        <f>IFERROR(__xludf.DUMMYFUNCTION("IFERROR(VLOOKUP(G151,IMPORTRANGE(""https://docs.google.com/spreadsheets/d/12RxCea4e5ggM7QGn1XE3FbLQa_-QbCNdBi90OdPjRqg"", ""'Plan de Compras'!D4:Q""), 12, 0), ""NO ESTÁ EN REQ"")"),"NO ESTÁ EN REQ")</f>
        <v>NO ESTÁ EN REQ</v>
      </c>
      <c r="X151" s="37" t="str">
        <f>IFERROR(__xludf.DUMMYFUNCTION("IFERROR(VLOOKUP(G151,IMPORTRANGE(""https://docs.google.com/spreadsheets/d/12RxCea4e5ggM7QGn1XE3FbLQa_-QbCNdBi90OdPjRqg"", ""'Plan de Compras'!D4:Q""), 13, 0), """")"),"")</f>
        <v/>
      </c>
      <c r="Y151" s="32" t="str">
        <f>IFERROR(__xludf.DUMMYFUNCTION("IFERROR(VLOOKUP(G151,IMPORTRANGE(""https://docs.google.com/spreadsheets/d/12RxCea4e5ggM7QGn1XE3FbLQa_-QbCNdBi90OdPjRqg"", ""'Plan de Compras'!D4:Q""), 14, 0), """")"),"")</f>
        <v/>
      </c>
      <c r="Z151" s="38" t="str">
        <f>IFERROR(__xludf.DUMMYFUNCTION("IFERROR(VLOOKUP(G151,IMPORTRANGE(""https://docs.google.com/spreadsheets/d/12RxCea4e5ggM7QGn1XE3FbLQa_-QbCNdBi90OdPjRqg"", ""'Plan de Compras'!D4:Q""), 4, 0), """")"),"")</f>
        <v/>
      </c>
      <c r="AA151" s="38" t="str">
        <f t="shared" si="16"/>
        <v>FALSE</v>
      </c>
      <c r="AB151" s="37" t="str">
        <f>IFERROR(__xludf.DUMMYFUNCTION("IFERROR(IF(OR(C151=TRUE,C151=""""),VLOOKUP(G151,IMPORTRANGE(""https://docs.google.com/spreadsheets/d/1z9A1Wq-kKrhRNG5RS2a2fKpY1wIhSVz2ZNmP2mOl588/edit?usp=sharing"",""REQ VF!E4:H""),4,0),""NO APLICA""),""GENERAR REQ"")"),"NO APLICA")</f>
        <v>NO APLICA</v>
      </c>
      <c r="AC151" s="37" t="str">
        <f>IFERROR(__xludf.DUMMYFUNCTION("IFERROR(QUERY(IMPORTRANGE(""https://docs.google.com/spreadsheets/d/1z9A1Wq-kKrhRNG5RS2a2fKpY1wIhSVz2ZNmP2mOl588/edit?usp=sharing"",""REQ VF!E4:Q""),""SELECT Col10, Col11, Col12 WHERE Col1 = '""&amp;G151&amp;""'"",0),""NO APLICA"")"),"NO APLICA")</f>
        <v>NO APLICA</v>
      </c>
      <c r="AD151" s="37"/>
      <c r="AE151" s="37"/>
      <c r="AF151" s="13"/>
      <c r="AG151" s="13"/>
    </row>
    <row r="152">
      <c r="A152" s="26">
        <v>68.0</v>
      </c>
      <c r="B152" s="26" t="b">
        <v>1</v>
      </c>
      <c r="C152" s="26" t="b">
        <v>1</v>
      </c>
      <c r="D152" s="26" t="s">
        <v>35</v>
      </c>
      <c r="E152" s="26" t="s">
        <v>36</v>
      </c>
      <c r="F152" s="27" t="s">
        <v>559</v>
      </c>
      <c r="G152" s="39" t="s">
        <v>559</v>
      </c>
      <c r="H152" s="45" t="s">
        <v>560</v>
      </c>
      <c r="I152" s="26">
        <f>SUMIFS('Hoja 10'!$O:$O,'Hoja 10'!$F:$F,$G152)</f>
        <v>12</v>
      </c>
      <c r="J152" s="26">
        <f>IFERROR(__xludf.DUMMYFUNCTION("VLOOKUP(G152,IMPORTRANGE(""https://docs.google.com/spreadsheets/d/12RxCea4e5ggM7QGn1XE3FbLQa_-QbCNdBi90OdPjRqg/edit?gid=1692403370#gid=1692403370"", ""'Plan de Compras'!D4:2432""), 8,0)"),12.0)</f>
        <v>12</v>
      </c>
      <c r="K152" s="26" t="str">
        <f t="shared" si="1"/>
        <v>SI</v>
      </c>
      <c r="L152" s="29" t="s">
        <v>127</v>
      </c>
      <c r="M152" s="30" t="s">
        <v>105</v>
      </c>
      <c r="N152" s="42"/>
      <c r="O152" s="32" t="str">
        <f>VLOOKUP($G152,'Hoja 10'!$F$4:$AA478, 19,0)</f>
        <v>TRUPER</v>
      </c>
      <c r="P152" s="32" t="str">
        <f>VLOOKUP($G152,'Hoja 10'!$F$4:$AA478, 20,0)</f>
        <v>GAPRO-3.5PB</v>
      </c>
      <c r="Q152" s="33" t="str">
        <f>VLOOKUP($G152,'Hoja 10'!$F$4:$AA478, 21,0)</f>
        <v>https://prosinfer.com.pe/wp-content/uploads/2022/06/14802.pdf</v>
      </c>
      <c r="R152" s="30" t="s">
        <v>561</v>
      </c>
      <c r="S152" s="34" t="b">
        <v>1</v>
      </c>
      <c r="T152" s="35" t="str">
        <f>IFERROR(__xludf.DUMMYFUNCTION(" IF
( VLOOKUP($G152,IMPORTRANGE(""https://docs.google.com/spreadsheets/d/1Gpl6jkTg7sL4VDNimUm3S9Vi1i95esohXCF3wuKOE8c"", ""'CONSOLIDADO'!G5:AB""), 10, 0) &lt;&gt; 0, 
IFERROR(VLOOKUP($G152,IMPORTRANGE(""https://docs.google.com/spreadsheets/d/1Gpl6jkTg7sL4VDNimU"&amp;"m3S9Vi1i95esohXCF3wuKOE8c"", ""'CONSOLIDADO'!G5:AB""), 17, 0), ""-""),
""""
)"),"TRUPER")</f>
        <v>TRUPER</v>
      </c>
      <c r="U152" s="35" t="str">
        <f>IFERROR(__xludf.DUMMYFUNCTION(" IF
( VLOOKUP($G152,IMPORTRANGE(""https://docs.google.com/spreadsheets/d/1Gpl6jkTg7sL4VDNimUm3S9Vi1i95esohXCF3wuKOE8c"", ""'CONSOLIDADO'!G5:AB""), 10, 0) &lt;&gt; 0, 
IFERROR(VLOOKUP($G152,IMPORTRANGE(""https://docs.google.com/spreadsheets/d/1Gpl6jkTg7sL4VDNimU"&amp;"m3S9Vi1i95esohXCF3wuKOE8c"", ""'CONSOLIDADO'!G5:AB""), 18, 0), ""-""),
""""
)"),"GAPRO-3.5PB")</f>
        <v>GAPRO-3.5PB</v>
      </c>
      <c r="V152" s="36" t="str">
        <f>IFERROR(__xludf.DUMMYFUNCTION(" IF
( VLOOKUP($G152,IMPORTRANGE(""https://docs.google.com/spreadsheets/d/1Gpl6jkTg7sL4VDNimUm3S9Vi1i95esohXCF3wuKOE8c"", ""'CONSOLIDADO'!G5:AB""), 10, 0) &lt;&gt; 0, 
IFERROR(VLOOKUP($G152,IMPORTRANGE(""https://docs.google.com/spreadsheets/d/1Gpl6jkTg7sL4VDNimU"&amp;"m3S9Vi1i95esohXCF3wuKOE8c"", ""'CONSOLIDADO'!G5:AB""), 19, 0), ""-""),
""""
)"),"https://www.truper.com/ficha_tecnica/Gato-de-patin-profesional-35-tons-elevacion-rapida-2358.html")</f>
        <v>https://www.truper.com/ficha_tecnica/Gato-de-patin-profesional-35-tons-elevacion-rapida-2358.html</v>
      </c>
      <c r="W152" s="37" t="str">
        <f>IFERROR(__xludf.DUMMYFUNCTION("IFERROR(VLOOKUP(G152,IMPORTRANGE(""https://docs.google.com/spreadsheets/d/12RxCea4e5ggM7QGn1XE3FbLQa_-QbCNdBi90OdPjRqg"", ""'Plan de Compras'!D4:Q""), 12, 0), ""NO ESTÁ EN REQ"")"),"Técnica")</f>
        <v>Técnica</v>
      </c>
      <c r="X152" s="37" t="str">
        <f>IFERROR(__xludf.DUMMYFUNCTION("IFERROR(VLOOKUP(G152,IMPORTRANGE(""https://docs.google.com/spreadsheets/d/12RxCea4e5ggM7QGn1XE3FbLQa_-QbCNdBi90OdPjRqg"", ""'Plan de Compras'!D4:Q""), 13, 0), """")"),"NACIONAL")</f>
        <v>NACIONAL</v>
      </c>
      <c r="Y152" s="32" t="str">
        <f>IFERROR(__xludf.DUMMYFUNCTION("IFERROR(VLOOKUP(G152,IMPORTRANGE(""https://docs.google.com/spreadsheets/d/12RxCea4e5ggM7QGn1XE3FbLQa_-QbCNdBi90OdPjRqg"", ""'Plan de Compras'!D4:Q""), 14, 0), """")"),"DIANA")</f>
        <v>DIANA</v>
      </c>
      <c r="Z152" s="38" t="str">
        <f>IFERROR(__xludf.DUMMYFUNCTION("IFERROR(VLOOKUP(G152,IMPORTRANGE(""https://docs.google.com/spreadsheets/d/12RxCea4e5ggM7QGn1XE3FbLQa_-QbCNdBi90OdPjRqg"", ""'Plan de Compras'!D4:Q""), 4, 0), """")"),"GATO HIDRÁULICO TIPO LAGARTO")</f>
        <v>GATO HIDRÁULICO TIPO LAGARTO</v>
      </c>
      <c r="AA152" s="38" t="str">
        <f t="shared" si="16"/>
        <v>TRUE</v>
      </c>
      <c r="AB152" s="37" t="str">
        <f>IFERROR(__xludf.DUMMYFUNCTION("IFERROR(IF(OR(C152=TRUE,C152=""""),VLOOKUP(G152,IMPORTRANGE(""https://docs.google.com/spreadsheets/d/1z9A1Wq-kKrhRNG5RS2a2fKpY1wIhSVz2ZNmP2mOl588/edit?usp=sharing"",""REQ VF!E4:H""),4,0),""NO APLICA""),""GENERAR REQ"")"),"GENERAR REQ")</f>
        <v>GENERAR REQ</v>
      </c>
      <c r="AC152" s="37" t="str">
        <f>IFERROR(__xludf.DUMMYFUNCTION("IFERROR(QUERY(IMPORTRANGE(""https://docs.google.com/spreadsheets/d/1z9A1Wq-kKrhRNG5RS2a2fKpY1wIhSVz2ZNmP2mOl588/edit?usp=sharing"",""REQ VF!E4:Q""),""SELECT Col10, Col11, Col12 WHERE Col1 = '""&amp;G152&amp;""'"",0),""NO APLICA"")"),"NO APLICA")</f>
        <v>NO APLICA</v>
      </c>
      <c r="AD152" s="37"/>
      <c r="AE152" s="37"/>
      <c r="AF152" s="8" t="s">
        <v>52</v>
      </c>
      <c r="AG152" s="13"/>
    </row>
    <row r="153">
      <c r="A153" s="26">
        <v>69.0</v>
      </c>
      <c r="B153" s="26" t="b">
        <v>1</v>
      </c>
      <c r="C153" s="26" t="b">
        <v>1</v>
      </c>
      <c r="D153" s="26" t="s">
        <v>35</v>
      </c>
      <c r="E153" s="26" t="s">
        <v>36</v>
      </c>
      <c r="F153" s="27" t="s">
        <v>562</v>
      </c>
      <c r="G153" s="39" t="s">
        <v>562</v>
      </c>
      <c r="H153" s="45" t="s">
        <v>563</v>
      </c>
      <c r="I153" s="26">
        <f>SUMIFS('Hoja 10'!$O:$O,'Hoja 10'!$F:$F,$G153)</f>
        <v>4</v>
      </c>
      <c r="J153" s="26">
        <f>IFERROR(__xludf.DUMMYFUNCTION("VLOOKUP(G153,IMPORTRANGE(""https://docs.google.com/spreadsheets/d/12RxCea4e5ggM7QGn1XE3FbLQa_-QbCNdBi90OdPjRqg/edit?gid=1692403370#gid=1692403370"", ""'Plan de Compras'!D4:2432""), 8,0)"),4.0)</f>
        <v>4</v>
      </c>
      <c r="K153" s="26" t="str">
        <f t="shared" si="1"/>
        <v>SI</v>
      </c>
      <c r="L153" s="29" t="s">
        <v>122</v>
      </c>
      <c r="M153" s="30" t="s">
        <v>123</v>
      </c>
      <c r="N153" s="42"/>
      <c r="O153" s="32" t="str">
        <f>VLOOKUP($G153,'Hoja 10'!$F$4:$AA478, 19,0)</f>
        <v>Owon</v>
      </c>
      <c r="P153" s="32" t="str">
        <f>VLOOKUP($G153,'Hoja 10'!$F$4:$AA478, 20,0)</f>
        <v>AG1012</v>
      </c>
      <c r="Q153" s="33" t="str">
        <f>VLOOKUP($G153,'Hoja 10'!$F$4:$AA478, 21,0)</f>
        <v>https://www.amazon.com/-/es/Generador-arbitraria-Frecuencia-muestreo-Longitud/dp/B0CL2LS689?th=1</v>
      </c>
      <c r="R153" s="30" t="s">
        <v>564</v>
      </c>
      <c r="S153" s="34" t="b">
        <v>1</v>
      </c>
      <c r="T153" s="67" t="s">
        <v>565</v>
      </c>
      <c r="U153" s="67" t="s">
        <v>566</v>
      </c>
      <c r="V153" s="68" t="s">
        <v>567</v>
      </c>
      <c r="W153" s="37" t="str">
        <f>IFERROR(__xludf.DUMMYFUNCTION("IFERROR(VLOOKUP(G153,IMPORTRANGE(""https://docs.google.com/spreadsheets/d/12RxCea4e5ggM7QGn1XE3FbLQa_-QbCNdBi90OdPjRqg"", ""'Plan de Compras'!D4:Q""), 12, 0), ""NO ESTÁ EN REQ"")"),"Técnica")</f>
        <v>Técnica</v>
      </c>
      <c r="X153" s="37" t="str">
        <f>IFERROR(__xludf.DUMMYFUNCTION("IFERROR(VLOOKUP(G153,IMPORTRANGE(""https://docs.google.com/spreadsheets/d/12RxCea4e5ggM7QGn1XE3FbLQa_-QbCNdBi90OdPjRqg"", ""'Plan de Compras'!D4:Q""), 13, 0), """")"),"INTERNACIONAL")</f>
        <v>INTERNACIONAL</v>
      </c>
      <c r="Y153" s="32" t="str">
        <f>IFERROR(__xludf.DUMMYFUNCTION("IFERROR(VLOOKUP(G153,IMPORTRANGE(""https://docs.google.com/spreadsheets/d/12RxCea4e5ggM7QGn1XE3FbLQa_-QbCNdBi90OdPjRqg"", ""'Plan de Compras'!D4:Q""), 14, 0), """")"),"GEYDI")</f>
        <v>GEYDI</v>
      </c>
      <c r="Z153" s="38" t="str">
        <f>IFERROR(__xludf.DUMMYFUNCTION("IFERROR(VLOOKUP(G153,IMPORTRANGE(""https://docs.google.com/spreadsheets/d/12RxCea4e5ggM7QGn1XE3FbLQa_-QbCNdBi90OdPjRqg"", ""'Plan de Compras'!D4:Q""), 4, 0), """")"),"GENERADOR DE SEÑALES ANALÓGICAS Y DIGITALES")</f>
        <v>GENERADOR DE SEÑALES ANALÓGICAS Y DIGITALES</v>
      </c>
      <c r="AA153" s="38" t="str">
        <f t="shared" si="16"/>
        <v>TRUE</v>
      </c>
      <c r="AB153" s="37" t="str">
        <f>IFERROR(__xludf.DUMMYFUNCTION("IFERROR(IF(OR(C153=TRUE,C153=""""),VLOOKUP(G153,IMPORTRANGE(""https://docs.google.com/spreadsheets/d/1z9A1Wq-kKrhRNG5RS2a2fKpY1wIhSVz2ZNmP2mOl588/edit?usp=sharing"",""REQ VF!E4:H""),4,0),""NO APLICA""),""GENERAR REQ"")"),"GENERAR REQ")</f>
        <v>GENERAR REQ</v>
      </c>
      <c r="AC153" s="37" t="str">
        <f>IFERROR(__xludf.DUMMYFUNCTION("IFERROR(QUERY(IMPORTRANGE(""https://docs.google.com/spreadsheets/d/1z9A1Wq-kKrhRNG5RS2a2fKpY1wIhSVz2ZNmP2mOl588/edit?usp=sharing"",""REQ VF!E4:Q""),""SELECT Col10, Col11, Col12 WHERE Col1 = '""&amp;G153&amp;""'"",0),""NO APLICA"")"),"NO APLICA")</f>
        <v>NO APLICA</v>
      </c>
      <c r="AD153" s="37"/>
      <c r="AE153" s="37"/>
      <c r="AF153" s="8" t="s">
        <v>52</v>
      </c>
      <c r="AG153" s="13"/>
    </row>
    <row r="154">
      <c r="A154" s="26">
        <v>70.0</v>
      </c>
      <c r="B154" s="26" t="b">
        <v>1</v>
      </c>
      <c r="C154" s="26" t="b">
        <v>1</v>
      </c>
      <c r="D154" s="26" t="s">
        <v>35</v>
      </c>
      <c r="E154" s="26" t="s">
        <v>36</v>
      </c>
      <c r="F154" s="27" t="s">
        <v>568</v>
      </c>
      <c r="G154" s="37" t="s">
        <v>568</v>
      </c>
      <c r="H154" s="45" t="s">
        <v>569</v>
      </c>
      <c r="I154" s="26">
        <f>SUMIFS('Hoja 10'!$O:$O,'Hoja 10'!$F:$F,$G154)</f>
        <v>1</v>
      </c>
      <c r="J154" s="26">
        <f>IFERROR(__xludf.DUMMYFUNCTION("VLOOKUP(G154,IMPORTRANGE(""https://docs.google.com/spreadsheets/d/12RxCea4e5ggM7QGn1XE3FbLQa_-QbCNdBi90OdPjRqg/edit?gid=1692403370#gid=1692403370"", ""'Plan de Compras'!D4:2432""), 8,0)"),1.0)</f>
        <v>1</v>
      </c>
      <c r="K154" s="26" t="str">
        <f t="shared" si="1"/>
        <v>SI</v>
      </c>
      <c r="L154" s="29" t="s">
        <v>77</v>
      </c>
      <c r="M154" s="30" t="s">
        <v>78</v>
      </c>
      <c r="N154" s="42"/>
      <c r="O154" s="32" t="str">
        <f>VLOOKUP($G154,'Hoja 10'!$F$4:$AA478, 19,0)</f>
        <v>IMPERIAL</v>
      </c>
      <c r="P154" s="32" t="str">
        <f>VLOOKUP($G154,'Hoja 10'!$F$4:$AA478, 20,0)</f>
        <v>ISB-36</v>
      </c>
      <c r="Q154" s="33" t="str">
        <f>VLOOKUP($G154,'Hoja 10'!$F$4:$AA478, 21,0)</f>
        <v>https://www.etundra.com/pdf/impisb36.30565.pdf?srsltid=AfmBOopOGYLgQ599wiBHhNyjemVCVLfmtWWKy0HNSO9RnWgME8UlJHLn</v>
      </c>
      <c r="R154" s="30" t="s">
        <v>570</v>
      </c>
      <c r="S154" s="34" t="b">
        <v>1</v>
      </c>
      <c r="T154" s="35" t="str">
        <f>IFERROR(__xludf.DUMMYFUNCTION(" IF
( VLOOKUP($G154,IMPORTRANGE(""https://docs.google.com/spreadsheets/d/1Gpl6jkTg7sL4VDNimUm3S9Vi1i95esohXCF3wuKOE8c"", ""'CONSOLIDADO'!G5:AB""), 10, 0) &lt;&gt; 0, 
IFERROR(VLOOKUP($G154,IMPORTRANGE(""https://docs.google.com/spreadsheets/d/1Gpl6jkTg7sL4VDNimU"&amp;"m3S9Vi1i95esohXCF3wuKOE8c"", ""'CONSOLIDADO'!G5:AB""), 17, 0), ""-""),
""""
)"),"CPG")</f>
        <v>CPG</v>
      </c>
      <c r="U154" s="35" t="str">
        <f>IFERROR(__xludf.DUMMYFUNCTION(" IF
( VLOOKUP($G154,IMPORTRANGE(""https://docs.google.com/spreadsheets/d/1Gpl6jkTg7sL4VDNimUm3S9Vi1i95esohXCF3wuKOE8c"", ""'CONSOLIDADO'!G5:AB""), 10, 0) &lt;&gt; 0, 
IFERROR(VLOOKUP($G154,IMPORTRANGE(""https://docs.google.com/spreadsheets/d/1Gpl6jkTg7sL4VDNimU"&amp;"m3S9Vi1i95esohXCF3wuKOE8c"", ""'CONSOLIDADO'!G5:AB""), 18, 0), ""-""),
""""
)"),"351S36SBL36K")</f>
        <v>351S36SBL36K</v>
      </c>
      <c r="V154" s="36" t="str">
        <f>IFERROR(__xludf.DUMMYFUNCTION(" IF
( VLOOKUP($G154,IMPORTRANGE(""https://docs.google.com/spreadsheets/d/1Gpl6jkTg7sL4VDNimUm3S9Vi1i95esohXCF3wuKOE8c"", ""'CONSOLIDADO'!G5:AB""), 10, 0) &lt;&gt; 0, 
IFERROR(VLOOKUP($G154,IMPORTRANGE(""https://docs.google.com/spreadsheets/d/1Gpl6jkTg7sL4VDNimU"&amp;"m3S9Vi1i95esohXCF3wuKOE8c"", ""'CONSOLIDADO'!G5:AB""), 19, 0), ""-""),
""""
)"),"https://www.cookingperformancegroup.com/product/351S36SBL36K/?utm_source=chatgpt.com")</f>
        <v>https://www.cookingperformancegroup.com/product/351S36SBL36K/?utm_source=chatgpt.com</v>
      </c>
      <c r="W154" s="37" t="str">
        <f>IFERROR(__xludf.DUMMYFUNCTION("IFERROR(VLOOKUP(G154,IMPORTRANGE(""https://docs.google.com/spreadsheets/d/12RxCea4e5ggM7QGn1XE3FbLQa_-QbCNdBi90OdPjRqg"", ""'Plan de Compras'!D4:Q""), 12, 0), ""NO ESTÁ EN REQ"")"),"Técnica")</f>
        <v>Técnica</v>
      </c>
      <c r="X154" s="37" t="str">
        <f>IFERROR(__xludf.DUMMYFUNCTION("IFERROR(VLOOKUP(G154,IMPORTRANGE(""https://docs.google.com/spreadsheets/d/12RxCea4e5ggM7QGn1XE3FbLQa_-QbCNdBi90OdPjRqg"", ""'Plan de Compras'!D4:Q""), 13, 0), """")"),"INTERNACIONAL")</f>
        <v>INTERNACIONAL</v>
      </c>
      <c r="Y154" s="32" t="str">
        <f>IFERROR(__xludf.DUMMYFUNCTION("IFERROR(VLOOKUP(G154,IMPORTRANGE(""https://docs.google.com/spreadsheets/d/12RxCea4e5ggM7QGn1XE3FbLQa_-QbCNdBi90OdPjRqg"", ""'Plan de Compras'!D4:Q""), 14, 0), """")"),"GIANFRANCO")</f>
        <v>GIANFRANCO</v>
      </c>
      <c r="Z154" s="38" t="str">
        <f>IFERROR(__xludf.DUMMYFUNCTION("IFERROR(VLOOKUP(G154,IMPORTRANGE(""https://docs.google.com/spreadsheets/d/12RxCea4e5ggM7QGn1XE3FbLQa_-QbCNdBi90OdPjRqg"", ""'Plan de Compras'!D4:Q""), 4, 0), """")"),"GRATINADOR")</f>
        <v>GRATINADOR</v>
      </c>
      <c r="AA154" s="38" t="str">
        <f t="shared" si="16"/>
        <v>TRUE</v>
      </c>
      <c r="AB154" s="37" t="str">
        <f>IFERROR(__xludf.DUMMYFUNCTION("IFERROR(IF(OR(C154=TRUE,C154=""""),VLOOKUP(G154,IMPORTRANGE(""https://docs.google.com/spreadsheets/d/1z9A1Wq-kKrhRNG5RS2a2fKpY1wIhSVz2ZNmP2mOl588/edit?usp=sharing"",""REQ VF!E4:H""),4,0),""NO APLICA""),""GENERAR REQ"")"),"GENERAR REQ")</f>
        <v>GENERAR REQ</v>
      </c>
      <c r="AC154" s="37" t="str">
        <f>IFERROR(__xludf.DUMMYFUNCTION("IFERROR(QUERY(IMPORTRANGE(""https://docs.google.com/spreadsheets/d/1z9A1Wq-kKrhRNG5RS2a2fKpY1wIhSVz2ZNmP2mOl588/edit?usp=sharing"",""REQ VF!E4:Q""),""SELECT Col10, Col11, Col12 WHERE Col1 = '""&amp;G154&amp;""'"",0),""NO APLICA"")"),"NO APLICA")</f>
        <v>NO APLICA</v>
      </c>
      <c r="AD154" s="37"/>
      <c r="AE154" s="37"/>
      <c r="AF154" s="8" t="s">
        <v>52</v>
      </c>
      <c r="AG154" s="13"/>
    </row>
    <row r="155">
      <c r="A155" s="26">
        <v>71.0</v>
      </c>
      <c r="B155" s="26" t="b">
        <v>1</v>
      </c>
      <c r="C155" s="26" t="b">
        <v>1</v>
      </c>
      <c r="D155" s="26" t="s">
        <v>35</v>
      </c>
      <c r="E155" s="26" t="s">
        <v>36</v>
      </c>
      <c r="F155" s="27" t="s">
        <v>571</v>
      </c>
      <c r="G155" s="37" t="s">
        <v>572</v>
      </c>
      <c r="H155" s="45" t="s">
        <v>573</v>
      </c>
      <c r="I155" s="26">
        <f>SUMIFS('Hoja 10'!$O:$O,'Hoja 10'!$F:$F,$G155)</f>
        <v>1</v>
      </c>
      <c r="J155" s="26">
        <f>IFERROR(__xludf.DUMMYFUNCTION("VLOOKUP(G155,IMPORTRANGE(""https://docs.google.com/spreadsheets/d/12RxCea4e5ggM7QGn1XE3FbLQa_-QbCNdBi90OdPjRqg/edit?gid=1692403370#gid=1692403370"", ""'Plan de Compras'!D4:2432""), 8,0)"),1.0)</f>
        <v>1</v>
      </c>
      <c r="K155" s="26" t="str">
        <f t="shared" si="1"/>
        <v>SI</v>
      </c>
      <c r="L155" s="29" t="s">
        <v>77</v>
      </c>
      <c r="M155" s="30" t="s">
        <v>78</v>
      </c>
      <c r="N155" s="42"/>
      <c r="O155" s="32" t="str">
        <f>VLOOKUP($G155,'Hoja 10'!$F$4:$AA478, 19,0)</f>
        <v>NOVA</v>
      </c>
      <c r="P155" s="32" t="str">
        <f>VLOOKUP($G155,'Hoja 10'!$F$4:$AA478, 20,0)</f>
        <v>MAXITO 6B ELÉCTRICO</v>
      </c>
      <c r="Q155" s="33" t="str">
        <f>VLOOKUP($G155,'Hoja 10'!$F$4:$AA478, 21,0)</f>
        <v>https://www.gruponova.pe/products/horno-nova-kit-horno-maxito-6b-electrico?srsltid=AfmBOooAmwSzicU5EeORaTQOP7zmi1c2fyupuVFZrPzL2TFBscLT28KG</v>
      </c>
      <c r="R155" s="30" t="s">
        <v>574</v>
      </c>
      <c r="S155" s="34" t="b">
        <v>1</v>
      </c>
      <c r="T155" s="35" t="str">
        <f>IFERROR(__xludf.DUMMYFUNCTION(" IF
( VLOOKUP($G155,IMPORTRANGE(""https://docs.google.com/spreadsheets/d/1Gpl6jkTg7sL4VDNimUm3S9Vi1i95esohXCF3wuKOE8c"", ""'CONSOLIDADO'!G5:AB""), 10, 0) &lt;&gt; 0, 
IFERROR(VLOOKUP($G155,IMPORTRANGE(""https://docs.google.com/spreadsheets/d/1Gpl6jkTg7sL4VDNimU"&amp;"m3S9Vi1i95esohXCF3wuKOE8c"", ""'CONSOLIDADO'!G5:AB""), 17, 0), ""-""),
""""
)"),"NOVA")</f>
        <v>NOVA</v>
      </c>
      <c r="U155" s="35" t="str">
        <f>IFERROR(__xludf.DUMMYFUNCTION(" IF
( VLOOKUP($G155,IMPORTRANGE(""https://docs.google.com/spreadsheets/d/1Gpl6jkTg7sL4VDNimUm3S9Vi1i95esohXCF3wuKOE8c"", ""'CONSOLIDADO'!G5:AB""), 10, 0) &lt;&gt; 0, 
IFERROR(VLOOKUP($G155,IMPORTRANGE(""https://docs.google.com/spreadsheets/d/1Gpl6jkTg7sL4VDNimU"&amp;"m3S9Vi1i95esohXCF3wuKOE8c"", ""'CONSOLIDADO'!G5:AB""), 18, 0), ""-""),
""""
)"),"MAXITO 6B ELÉCTRICO")</f>
        <v>MAXITO 6B ELÉCTRICO</v>
      </c>
      <c r="V155" s="36" t="str">
        <f>IFERROR(__xludf.DUMMYFUNCTION(" IF
( VLOOKUP($G155,IMPORTRANGE(""https://docs.google.com/spreadsheets/d/1Gpl6jkTg7sL4VDNimUm3S9Vi1i95esohXCF3wuKOE8c"", ""'CONSOLIDADO'!G5:AB""), 10, 0) &lt;&gt; 0, 
IFERROR(VLOOKUP($G155,IMPORTRANGE(""https://docs.google.com/spreadsheets/d/1Gpl6jkTg7sL4VDNimU"&amp;"m3S9Vi1i95esohXCF3wuKOE8c"", ""'CONSOLIDADO'!G5:AB""), 19, 0), ""-""),
""""
)"),"https://www.gruponova.pe/products/horno-nova-kit-horno-maxito-6b-electrico?srsltid=AfmBOooAmwSzicU5EeORaTQOP7zmi1c2fyupuVFZrPzL2TFBscLT28KG")</f>
        <v>https://www.gruponova.pe/products/horno-nova-kit-horno-maxito-6b-electrico?srsltid=AfmBOooAmwSzicU5EeORaTQOP7zmi1c2fyupuVFZrPzL2TFBscLT28KG</v>
      </c>
      <c r="W155" s="37" t="str">
        <f>IFERROR(__xludf.DUMMYFUNCTION("IFERROR(VLOOKUP(G155,IMPORTRANGE(""https://docs.google.com/spreadsheets/d/12RxCea4e5ggM7QGn1XE3FbLQa_-QbCNdBi90OdPjRqg"", ""'Plan de Compras'!D4:Q""), 12, 0), ""NO ESTÁ EN REQ"")"),"Técnica")</f>
        <v>Técnica</v>
      </c>
      <c r="X155" s="37" t="str">
        <f>IFERROR(__xludf.DUMMYFUNCTION("IFERROR(VLOOKUP(G155,IMPORTRANGE(""https://docs.google.com/spreadsheets/d/12RxCea4e5ggM7QGn1XE3FbLQa_-QbCNdBi90OdPjRqg"", ""'Plan de Compras'!D4:Q""), 13, 0), """")"),"NACIONAL")</f>
        <v>NACIONAL</v>
      </c>
      <c r="Y155" s="32" t="str">
        <f>IFERROR(__xludf.DUMMYFUNCTION("IFERROR(VLOOKUP(G155,IMPORTRANGE(""https://docs.google.com/spreadsheets/d/12RxCea4e5ggM7QGn1XE3FbLQa_-QbCNdBi90OdPjRqg"", ""'Plan de Compras'!D4:Q""), 14, 0), """")"),"GEANFRANCO")</f>
        <v>GEANFRANCO</v>
      </c>
      <c r="Z155" s="38" t="str">
        <f>IFERROR(__xludf.DUMMYFUNCTION("IFERROR(VLOOKUP(G155,IMPORTRANGE(""https://docs.google.com/spreadsheets/d/12RxCea4e5ggM7QGn1XE3FbLQa_-QbCNdBi90OdPjRqg"", ""'Plan de Compras'!D4:Q""), 4, 0), """")"),"HORNO PASTELERO")</f>
        <v>HORNO PASTELERO</v>
      </c>
      <c r="AA155" s="38" t="str">
        <f t="shared" si="16"/>
        <v>TRUE</v>
      </c>
      <c r="AB155" s="37" t="str">
        <f>IFERROR(__xludf.DUMMYFUNCTION("IFERROR(IF(OR(C155=TRUE,C155=""""),VLOOKUP(G155,IMPORTRANGE(""https://docs.google.com/spreadsheets/d/1z9A1Wq-kKrhRNG5RS2a2fKpY1wIhSVz2ZNmP2mOl588/edit?usp=sharing"",""REQ VF!E4:H""),4,0),""NO APLICA""),""GENERAR REQ"")"),"GENERAR REQ")</f>
        <v>GENERAR REQ</v>
      </c>
      <c r="AC155" s="37" t="str">
        <f>IFERROR(__xludf.DUMMYFUNCTION("IFERROR(QUERY(IMPORTRANGE(""https://docs.google.com/spreadsheets/d/1z9A1Wq-kKrhRNG5RS2a2fKpY1wIhSVz2ZNmP2mOl588/edit?usp=sharing"",""REQ VF!E4:Q""),""SELECT Col10, Col11, Col12 WHERE Col1 = '""&amp;G155&amp;""'"",0),""NO APLICA"")"),"NO APLICA")</f>
        <v>NO APLICA</v>
      </c>
      <c r="AD155" s="37"/>
      <c r="AE155" s="37"/>
      <c r="AF155" s="8" t="s">
        <v>52</v>
      </c>
      <c r="AG155" s="13"/>
    </row>
    <row r="156">
      <c r="A156" s="26">
        <v>72.0</v>
      </c>
      <c r="B156" s="26" t="b">
        <v>1</v>
      </c>
      <c r="C156" s="26" t="b">
        <v>1</v>
      </c>
      <c r="D156" s="26" t="s">
        <v>35</v>
      </c>
      <c r="E156" s="26" t="s">
        <v>36</v>
      </c>
      <c r="F156" s="27" t="s">
        <v>571</v>
      </c>
      <c r="G156" s="37" t="s">
        <v>575</v>
      </c>
      <c r="H156" s="45" t="s">
        <v>573</v>
      </c>
      <c r="I156" s="26">
        <f>SUMIFS('Hoja 10'!$O:$O,'Hoja 10'!$F:$F,$G156)</f>
        <v>4</v>
      </c>
      <c r="J156" s="26">
        <f>IFERROR(__xludf.DUMMYFUNCTION("VLOOKUP(G156,IMPORTRANGE(""https://docs.google.com/spreadsheets/d/12RxCea4e5ggM7QGn1XE3FbLQa_-QbCNdBi90OdPjRqg/edit?gid=1692403370#gid=1692403370"", ""'Plan de Compras'!D4:2432""), 8,0)"),4.0)</f>
        <v>4</v>
      </c>
      <c r="K156" s="26" t="str">
        <f t="shared" si="1"/>
        <v>SI</v>
      </c>
      <c r="L156" s="29" t="s">
        <v>39</v>
      </c>
      <c r="M156" s="30" t="s">
        <v>40</v>
      </c>
      <c r="N156" s="81"/>
      <c r="O156" s="32" t="str">
        <f>VLOOKUP($G156,'Hoja 10'!$F$4:$AA478, 19,0)</f>
        <v>FABRICAR A MEDIDA</v>
      </c>
      <c r="P156" s="32" t="str">
        <f>VLOOKUP($G156,'Hoja 10'!$F$4:$AA478, 20,0)</f>
        <v>FABRICAR A MEDIDA</v>
      </c>
      <c r="Q156" s="33" t="str">
        <f>VLOOKUP($G156,'Hoja 10'!$F$4:$AA478, 21,0)</f>
        <v>https://www.gruponova.pe/collections/hornos/products/horno-nova-kit-horno-maxito-6b-a-gas-1</v>
      </c>
      <c r="R156" s="30" t="s">
        <v>576</v>
      </c>
      <c r="S156" s="34" t="b">
        <v>1</v>
      </c>
      <c r="T156" s="35" t="str">
        <f>IFERROR(__xludf.DUMMYFUNCTION(" IF
( VLOOKUP($G156,IMPORTRANGE(""https://docs.google.com/spreadsheets/d/1Gpl6jkTg7sL4VDNimUm3S9Vi1i95esohXCF3wuKOE8c"", ""'CONSOLIDADO'!G5:AB""), 10, 0) &lt;&gt; 0, 
IFERROR(VLOOKUP($G156,IMPORTRANGE(""https://docs.google.com/spreadsheets/d/1Gpl6jkTg7sL4VDNimU"&amp;"m3S9Vi1i95esohXCF3wuKOE8c"", ""'CONSOLIDADO'!G5:AB""), 17, 0), ""-""),
""""
)"),"A MEDIDA")</f>
        <v>A MEDIDA</v>
      </c>
      <c r="U156" s="35" t="str">
        <f>IFERROR(__xludf.DUMMYFUNCTION(" IF
( VLOOKUP($G156,IMPORTRANGE(""https://docs.google.com/spreadsheets/d/1Gpl6jkTg7sL4VDNimUm3S9Vi1i95esohXCF3wuKOE8c"", ""'CONSOLIDADO'!G5:AB""), 10, 0) &lt;&gt; 0, 
IFERROR(VLOOKUP($G156,IMPORTRANGE(""https://docs.google.com/spreadsheets/d/1Gpl6jkTg7sL4VDNimU"&amp;"m3S9Vi1i95esohXCF3wuKOE8c"", ""'CONSOLIDADO'!G5:AB""), 18, 0), ""-""),
""""
)"),"A MEDIDA")</f>
        <v>A MEDIDA</v>
      </c>
      <c r="V156" s="35" t="str">
        <f>IFERROR(__xludf.DUMMYFUNCTION(" IF
( VLOOKUP($G156,IMPORTRANGE(""https://docs.google.com/spreadsheets/d/1Gpl6jkTg7sL4VDNimUm3S9Vi1i95esohXCF3wuKOE8c"", ""'CONSOLIDADO'!G5:AB""), 10, 0) &lt;&gt; 0, 
IFERROR(VLOOKUP($G156,IMPORTRANGE(""https://docs.google.com/spreadsheets/d/1Gpl6jkTg7sL4VDNimU"&amp;"m3S9Vi1i95esohXCF3wuKOE8c"", ""'CONSOLIDADO'!G5:AB""), 19, 0), ""-""),
""""
)"),"")</f>
        <v/>
      </c>
      <c r="W156" s="37" t="str">
        <f>IFERROR(__xludf.DUMMYFUNCTION("IFERROR(VLOOKUP(G156,IMPORTRANGE(""https://docs.google.com/spreadsheets/d/12RxCea4e5ggM7QGn1XE3FbLQa_-QbCNdBi90OdPjRqg"", ""'Plan de Compras'!D4:Q""), 12, 0), ""NO ESTÁ EN REQ"")"),"Técnica")</f>
        <v>Técnica</v>
      </c>
      <c r="X156" s="37" t="str">
        <f>IFERROR(__xludf.DUMMYFUNCTION("IFERROR(VLOOKUP(G156,IMPORTRANGE(""https://docs.google.com/spreadsheets/d/12RxCea4e5ggM7QGn1XE3FbLQa_-QbCNdBi90OdPjRqg"", ""'Plan de Compras'!D4:Q""), 13, 0), """")"),"NACIONAL")</f>
        <v>NACIONAL</v>
      </c>
      <c r="Y156" s="32" t="str">
        <f>IFERROR(__xludf.DUMMYFUNCTION("IFERROR(VLOOKUP(G156,IMPORTRANGE(""https://docs.google.com/spreadsheets/d/12RxCea4e5ggM7QGn1XE3FbLQa_-QbCNdBi90OdPjRqg"", ""'Plan de Compras'!D4:Q""), 14, 0), """")"),"GEANFRANCO")</f>
        <v>GEANFRANCO</v>
      </c>
      <c r="Z156" s="38" t="str">
        <f>IFERROR(__xludf.DUMMYFUNCTION("IFERROR(VLOOKUP(G156,IMPORTRANGE(""https://docs.google.com/spreadsheets/d/12RxCea4e5ggM7QGn1XE3FbLQa_-QbCNdBi90OdPjRqg"", ""'Plan de Compras'!D4:Q""), 4, 0), """")"),"HORNO PASTELERO")</f>
        <v>HORNO PASTELERO</v>
      </c>
      <c r="AA156" s="38" t="str">
        <f t="shared" si="16"/>
        <v>TRUE</v>
      </c>
      <c r="AB156" s="37" t="str">
        <f>IFERROR(__xludf.DUMMYFUNCTION("IFERROR(IF(OR(C156=TRUE,C156=""""),VLOOKUP(G156,IMPORTRANGE(""https://docs.google.com/spreadsheets/d/1z9A1Wq-kKrhRNG5RS2a2fKpY1wIhSVz2ZNmP2mOl588/edit?usp=sharing"",""REQ VF!E4:H""),4,0),""NO APLICA""),""GENERAR REQ"")"),"GENERAR REQ")</f>
        <v>GENERAR REQ</v>
      </c>
      <c r="AC156" s="37" t="str">
        <f>IFERROR(__xludf.DUMMYFUNCTION("IFERROR(QUERY(IMPORTRANGE(""https://docs.google.com/spreadsheets/d/1z9A1Wq-kKrhRNG5RS2a2fKpY1wIhSVz2ZNmP2mOl588/edit?usp=sharing"",""REQ VF!E4:Q""),""SELECT Col10, Col11, Col12 WHERE Col1 = '""&amp;G156&amp;""'"",0),""NO APLICA"")"),"NO APLICA")</f>
        <v>NO APLICA</v>
      </c>
      <c r="AD156" s="37"/>
      <c r="AE156" s="37"/>
      <c r="AF156" s="13"/>
      <c r="AG156" s="13"/>
    </row>
    <row r="157">
      <c r="A157" s="26">
        <v>73.0</v>
      </c>
      <c r="B157" s="26" t="b">
        <v>1</v>
      </c>
      <c r="C157" s="26" t="b">
        <v>1</v>
      </c>
      <c r="D157" s="26" t="s">
        <v>35</v>
      </c>
      <c r="E157" s="26" t="s">
        <v>36</v>
      </c>
      <c r="F157" s="27" t="s">
        <v>577</v>
      </c>
      <c r="G157" s="37" t="s">
        <v>577</v>
      </c>
      <c r="H157" s="45" t="s">
        <v>578</v>
      </c>
      <c r="I157" s="26">
        <f>SUMIFS('Hoja 10'!$O:$O,'Hoja 10'!$F:$F,$G157)</f>
        <v>4</v>
      </c>
      <c r="J157" s="26">
        <f>IFERROR(__xludf.DUMMYFUNCTION("VLOOKUP(G157,IMPORTRANGE(""https://docs.google.com/spreadsheets/d/12RxCea4e5ggM7QGn1XE3FbLQa_-QbCNdBi90OdPjRqg/edit?gid=1692403370#gid=1692403370"", ""'Plan de Compras'!D4:2432""), 8,0)"),4.0)</f>
        <v>4</v>
      </c>
      <c r="K157" s="26" t="str">
        <f t="shared" si="1"/>
        <v>SI</v>
      </c>
      <c r="L157" s="29" t="s">
        <v>39</v>
      </c>
      <c r="M157" s="30" t="s">
        <v>40</v>
      </c>
      <c r="N157" s="42"/>
      <c r="O157" s="32" t="str">
        <f>VLOOKUP($G157,'Hoja 10'!$F$4:$AA478, 19,0)</f>
        <v>YOSHAN</v>
      </c>
      <c r="P157" s="32" t="str">
        <f>VLOOKUP($G157,'Hoja 10'!$F$4:$AA478, 20,0)</f>
        <v>YS-2kg</v>
      </c>
      <c r="Q157" s="33" t="str">
        <f>VLOOKUP($G157,'Hoja 10'!$F$4:$AA478, 21,0)</f>
        <v>https://www.alibaba.com/product-detail/Yoshan-Coffee-Roaster-Gas-LPG-1_1600059378742.html</v>
      </c>
      <c r="R157" s="30" t="s">
        <v>579</v>
      </c>
      <c r="S157" s="34" t="b">
        <v>1</v>
      </c>
      <c r="T157" s="35" t="str">
        <f>IFERROR(__xludf.DUMMYFUNCTION(" IF
( VLOOKUP($G157,IMPORTRANGE(""https://docs.google.com/spreadsheets/d/1Gpl6jkTg7sL4VDNimUm3S9Vi1i95esohXCF3wuKOE8c"", ""'CONSOLIDADO'!G5:AB""), 10, 0) &lt;&gt; 0, 
IFERROR(VLOOKUP($G157,IMPORTRANGE(""https://docs.google.com/spreadsheets/d/1Gpl6jkTg7sL4VDNimU"&amp;"m3S9Vi1i95esohXCF3wuKOE8c"", ""'CONSOLIDADO'!G5:AB""), 17, 0), ""-""),
""""
)"),"DONGYI")</f>
        <v>DONGYI</v>
      </c>
      <c r="U157" s="35" t="str">
        <f>IFERROR(__xludf.DUMMYFUNCTION(" IF
( VLOOKUP($G157,IMPORTRANGE(""https://docs.google.com/spreadsheets/d/1Gpl6jkTg7sL4VDNimUm3S9Vi1i95esohXCF3wuKOE8c"", ""'CONSOLIDADO'!G5:AB""), 10, 0) &lt;&gt; 0, 
IFERROR(VLOOKUP($G157,IMPORTRANGE(""https://docs.google.com/spreadsheets/d/1Gpl6jkTg7sL4VDNimU"&amp;"m3S9Vi1i95esohXCF3wuKOE8c"", ""'CONSOLIDADO'!G5:AB""), 18, 0), ""-""),
""""
)"),"DY-3 coffee roaster")</f>
        <v>DY-3 coffee roaster</v>
      </c>
      <c r="V157" s="36" t="str">
        <f>IFERROR(__xludf.DUMMYFUNCTION(" IF
( VLOOKUP($G157,IMPORTRANGE(""https://docs.google.com/spreadsheets/d/1Gpl6jkTg7sL4VDNimUm3S9Vi1i95esohXCF3wuKOE8c"", ""'CONSOLIDADO'!G5:AB""), 10, 0) &lt;&gt; 0, 
IFERROR(VLOOKUP($G157,IMPORTRANGE(""https://docs.google.com/spreadsheets/d/1Gpl6jkTg7sL4VDNimU"&amp;"m3S9Vi1i95esohXCF3wuKOE8c"", ""'CONSOLIDADO'!G5:AB""), 19, 0), ""-""),
""""
)"),"https://dy-coffee.en.made-in-china.com/product/CvNEOshjQUYk/China-3kg-Coffee-Roaster-Electronic-Coffee-Roaster-Gas-Coffee-Roaster-.html?pv_id=1ja1lhj4iceb&amp;faw_id=1ja1li6d3f04&amp;bv_id=1ja1li6d4002")</f>
        <v>https://dy-coffee.en.made-in-china.com/product/CvNEOshjQUYk/China-3kg-Coffee-Roaster-Electronic-Coffee-Roaster-Gas-Coffee-Roaster-.html?pv_id=1ja1lhj4iceb&amp;faw_id=1ja1li6d3f04&amp;bv_id=1ja1li6d4002</v>
      </c>
      <c r="W157" s="37" t="str">
        <f>IFERROR(__xludf.DUMMYFUNCTION("IFERROR(VLOOKUP(G157,IMPORTRANGE(""https://docs.google.com/spreadsheets/d/12RxCea4e5ggM7QGn1XE3FbLQa_-QbCNdBi90OdPjRqg"", ""'Plan de Compras'!D4:Q""), 12, 0), ""NO ESTÁ EN REQ"")"),"Técnica")</f>
        <v>Técnica</v>
      </c>
      <c r="X157" s="37" t="str">
        <f>IFERROR(__xludf.DUMMYFUNCTION("IFERROR(VLOOKUP(G157,IMPORTRANGE(""https://docs.google.com/spreadsheets/d/12RxCea4e5ggM7QGn1XE3FbLQa_-QbCNdBi90OdPjRqg"", ""'Plan de Compras'!D4:Q""), 13, 0), """")"),"INTERNACIONAL")</f>
        <v>INTERNACIONAL</v>
      </c>
      <c r="Y157" s="32" t="str">
        <f>IFERROR(__xludf.DUMMYFUNCTION("IFERROR(VLOOKUP(G157,IMPORTRANGE(""https://docs.google.com/spreadsheets/d/12RxCea4e5ggM7QGn1XE3FbLQa_-QbCNdBi90OdPjRqg"", ""'Plan de Compras'!D4:Q""), 14, 0), """")"),"GEYDI")</f>
        <v>GEYDI</v>
      </c>
      <c r="Z157" s="38" t="str">
        <f>IFERROR(__xludf.DUMMYFUNCTION("IFERROR(VLOOKUP(G157,IMPORTRANGE(""https://docs.google.com/spreadsheets/d/12RxCea4e5ggM7QGn1XE3FbLQa_-QbCNdBi90OdPjRqg"", ""'Plan de Compras'!D4:Q""), 4, 0), """")"),"HORNO TOSTADOR")</f>
        <v>HORNO TOSTADOR</v>
      </c>
      <c r="AA157" s="38" t="str">
        <f t="shared" si="16"/>
        <v>TRUE</v>
      </c>
      <c r="AB157" s="37" t="str">
        <f>IFERROR(__xludf.DUMMYFUNCTION("IFERROR(IF(OR(C157=TRUE,C157=""""),VLOOKUP(G157,IMPORTRANGE(""https://docs.google.com/spreadsheets/d/1z9A1Wq-kKrhRNG5RS2a2fKpY1wIhSVz2ZNmP2mOl588/edit?usp=sharing"",""REQ VF!E4:H""),4,0),""NO APLICA""),""GENERAR REQ"")"),"GENERAR REQ")</f>
        <v>GENERAR REQ</v>
      </c>
      <c r="AC157" s="37" t="str">
        <f>IFERROR(__xludf.DUMMYFUNCTION("IFERROR(QUERY(IMPORTRANGE(""https://docs.google.com/spreadsheets/d/1z9A1Wq-kKrhRNG5RS2a2fKpY1wIhSVz2ZNmP2mOl588/edit?usp=sharing"",""REQ VF!E4:Q""),""SELECT Col10, Col11, Col12 WHERE Col1 = '""&amp;G157&amp;""'"",0),""NO APLICA"")"),"NO APLICA")</f>
        <v>NO APLICA</v>
      </c>
      <c r="AD157" s="37"/>
      <c r="AE157" s="37"/>
      <c r="AF157" s="8" t="s">
        <v>52</v>
      </c>
      <c r="AG157" s="13"/>
    </row>
    <row r="158">
      <c r="A158" s="26"/>
      <c r="B158" s="26"/>
      <c r="C158" s="26" t="b">
        <v>1</v>
      </c>
      <c r="D158" s="26" t="s">
        <v>42</v>
      </c>
      <c r="E158" s="26" t="s">
        <v>36</v>
      </c>
      <c r="F158" s="59" t="s">
        <v>577</v>
      </c>
      <c r="G158" s="39" t="s">
        <v>580</v>
      </c>
      <c r="H158" s="82" t="s">
        <v>44</v>
      </c>
      <c r="I158" s="43">
        <f>$I$157</f>
        <v>4</v>
      </c>
      <c r="J158" s="26">
        <f>IFERROR(__xludf.DUMMYFUNCTION("VLOOKUP(G158,IMPORTRANGE(""https://docs.google.com/spreadsheets/d/12RxCea4e5ggM7QGn1XE3FbLQa_-QbCNdBi90OdPjRqg/edit?gid=1692403370#gid=1692403370"", ""'Plan de Compras'!D4:2432""), 8,0)"),4.0)</f>
        <v>4</v>
      </c>
      <c r="K158" s="26" t="str">
        <f t="shared" si="1"/>
        <v>SI</v>
      </c>
      <c r="L158" s="26"/>
      <c r="M158" s="61"/>
      <c r="N158" s="42"/>
      <c r="O158" s="32"/>
      <c r="P158" s="32"/>
      <c r="Q158" s="41"/>
      <c r="R158" s="32"/>
      <c r="S158" s="34" t="b">
        <v>1</v>
      </c>
      <c r="T158" s="35" t="s">
        <v>47</v>
      </c>
      <c r="U158" s="43" t="s">
        <v>581</v>
      </c>
      <c r="V158" s="44"/>
      <c r="W158" s="37" t="str">
        <f>IFERROR(__xludf.DUMMYFUNCTION("IFERROR(VLOOKUP(G158,IMPORTRANGE(""https://docs.google.com/spreadsheets/d/12RxCea4e5ggM7QGn1XE3FbLQa_-QbCNdBi90OdPjRqg"", ""'Plan de Compras'!D4:Q""), 12, 0), ""NO ESTÁ EN REQ"")"),"Simple")</f>
        <v>Simple</v>
      </c>
      <c r="X158" s="37" t="str">
        <f>IFERROR(__xludf.DUMMYFUNCTION("IFERROR(VLOOKUP(G158,IMPORTRANGE(""https://docs.google.com/spreadsheets/d/12RxCea4e5ggM7QGn1XE3FbLQa_-QbCNdBi90OdPjRqg"", ""'Plan de Compras'!D4:Q""), 13, 0), """")"),"NACIONAL")</f>
        <v>NACIONAL</v>
      </c>
      <c r="Y158" s="32" t="str">
        <f>IFERROR(__xludf.DUMMYFUNCTION("IFERROR(VLOOKUP(G158,IMPORTRANGE(""https://docs.google.com/spreadsheets/d/12RxCea4e5ggM7QGn1XE3FbLQa_-QbCNdBi90OdPjRqg"", ""'Plan de Compras'!D4:Q""), 14, 0), """")"),"ANGIE")</f>
        <v>ANGIE</v>
      </c>
      <c r="Z158" s="38" t="str">
        <f>IFERROR(__xludf.DUMMYFUNCTION("IFERROR(VLOOKUP(G158,IMPORTRANGE(""https://docs.google.com/spreadsheets/d/12RxCea4e5ggM7QGn1XE3FbLQa_-QbCNdBi90OdPjRqg"", ""'Plan de Compras'!D4:Q""), 4, 0), """")"),"FUNDA IMPERMEABLE (1 UND)")</f>
        <v>FUNDA IMPERMEABLE (1 UND)</v>
      </c>
      <c r="AA158" s="38" t="str">
        <f t="shared" si="16"/>
        <v>TRUE</v>
      </c>
      <c r="AB158" s="37" t="str">
        <f>IFERROR(__xludf.DUMMYFUNCTION("IFERROR(IF(OR(C158=TRUE,C158=""""),VLOOKUP(G158,IMPORTRANGE(""https://docs.google.com/spreadsheets/d/1z9A1Wq-kKrhRNG5RS2a2fKpY1wIhSVz2ZNmP2mOl588/edit?usp=sharing"",""REQ VF!E4:H""),4,0),""NO APLICA""),""GENERAR REQ"")"),"GENERAR REQ")</f>
        <v>GENERAR REQ</v>
      </c>
      <c r="AC158" s="37" t="str">
        <f>IFERROR(__xludf.DUMMYFUNCTION("IFERROR(QUERY(IMPORTRANGE(""https://docs.google.com/spreadsheets/d/1z9A1Wq-kKrhRNG5RS2a2fKpY1wIhSVz2ZNmP2mOl588/edit?usp=sharing"",""REQ VF!E4:Q""),""SELECT Col10, Col11, Col12 WHERE Col1 = '""&amp;G158&amp;""'"",0),""NO APLICA"")"),"NO APLICA")</f>
        <v>NO APLICA</v>
      </c>
      <c r="AD158" s="37"/>
      <c r="AE158" s="37"/>
      <c r="AF158" s="13"/>
      <c r="AG158" s="13"/>
    </row>
    <row r="159">
      <c r="A159" s="26">
        <v>74.0</v>
      </c>
      <c r="B159" s="26" t="b">
        <v>1</v>
      </c>
      <c r="C159" s="26" t="b">
        <v>1</v>
      </c>
      <c r="D159" s="26" t="s">
        <v>35</v>
      </c>
      <c r="E159" s="26" t="s">
        <v>36</v>
      </c>
      <c r="F159" s="27" t="s">
        <v>582</v>
      </c>
      <c r="G159" s="39" t="s">
        <v>583</v>
      </c>
      <c r="H159" s="45" t="s">
        <v>584</v>
      </c>
      <c r="I159" s="26">
        <f>SUMIFS('Hoja 10'!$O:$O,'Hoja 10'!$F:$F,$G159)</f>
        <v>18</v>
      </c>
      <c r="J159" s="26">
        <f>IFERROR(__xludf.DUMMYFUNCTION("VLOOKUP(G159,IMPORTRANGE(""https://docs.google.com/spreadsheets/d/12RxCea4e5ggM7QGn1XE3FbLQa_-QbCNdBi90OdPjRqg/edit?gid=1692403370#gid=1692403370"", ""'Plan de Compras'!D4:2432""), 8,0)"),18.0)</f>
        <v>18</v>
      </c>
      <c r="K159" s="26" t="str">
        <f t="shared" si="1"/>
        <v>SI</v>
      </c>
      <c r="L159" s="29" t="s">
        <v>585</v>
      </c>
      <c r="M159" s="30" t="s">
        <v>105</v>
      </c>
      <c r="N159" s="70"/>
      <c r="O159" s="32" t="str">
        <f>VLOOKUP($G159,'Hoja 10'!$F$4:$AA478, 19,0)</f>
        <v>Creality</v>
      </c>
      <c r="P159" s="32" t="str">
        <f>VLOOKUP($G159,'Hoja 10'!$F$4:$AA478, 20,0)</f>
        <v>K1 SE</v>
      </c>
      <c r="Q159" s="33" t="str">
        <f>VLOOKUP($G159,'Hoja 10'!$F$4:$AA478, 21,0)</f>
        <v>https://store.creality.com/es/products/k1-se-impresora-3d</v>
      </c>
      <c r="R159" s="30" t="s">
        <v>586</v>
      </c>
      <c r="S159" s="34" t="b">
        <v>1</v>
      </c>
      <c r="T159" s="35" t="str">
        <f>IFERROR(__xludf.DUMMYFUNCTION(" IF
( VLOOKUP($G159,IMPORTRANGE(""https://docs.google.com/spreadsheets/d/1Gpl6jkTg7sL4VDNimUm3S9Vi1i95esohXCF3wuKOE8c"", ""'CONSOLIDADO'!G5:AB""), 10, 0) &lt;&gt; 0, 
IFERROR(VLOOKUP($G159,IMPORTRANGE(""https://docs.google.com/spreadsheets/d/1Gpl6jkTg7sL4VDNimU"&amp;"m3S9Vi1i95esohXCF3wuKOE8c"", ""'CONSOLIDADO'!G5:AB""), 17, 0), ""-""),
""""
)"),"CREALITY")</f>
        <v>CREALITY</v>
      </c>
      <c r="U159" s="35" t="str">
        <f>IFERROR(__xludf.DUMMYFUNCTION(" IF
( VLOOKUP($G159,IMPORTRANGE(""https://docs.google.com/spreadsheets/d/1Gpl6jkTg7sL4VDNimUm3S9Vi1i95esohXCF3wuKOE8c"", ""'CONSOLIDADO'!G5:AB""), 10, 0) &lt;&gt; 0, 
IFERROR(VLOOKUP($G159,IMPORTRANGE(""https://docs.google.com/spreadsheets/d/1Gpl6jkTg7sL4VDNimU"&amp;"m3S9Vi1i95esohXCF3wuKOE8c"", ""'CONSOLIDADO'!G5:AB""), 18, 0), ""-""),
""""
)"),"K1C")</f>
        <v>K1C</v>
      </c>
      <c r="V159" s="36" t="str">
        <f>IFERROR(__xludf.DUMMYFUNCTION(" IF
( VLOOKUP($G159,IMPORTRANGE(""https://docs.google.com/spreadsheets/d/1Gpl6jkTg7sL4VDNimUm3S9Vi1i95esohXCF3wuKOE8c"", ""'CONSOLIDADO'!G5:AB""), 10, 0) &lt;&gt; 0, 
IFERROR(VLOOKUP($G159,IMPORTRANGE(""https://docs.google.com/spreadsheets/d/1Gpl6jkTg7sL4VDNimU"&amp;"m3S9Vi1i95esohXCF3wuKOE8c"", ""'CONSOLIDADO'!G5:AB""), 19, 0), ""-""),
""""
)"),"https://store.creality.com/es/products/k1c-impresora-3d")</f>
        <v>https://store.creality.com/es/products/k1c-impresora-3d</v>
      </c>
      <c r="W159" s="37" t="str">
        <f>IFERROR(__xludf.DUMMYFUNCTION("IFERROR(VLOOKUP(G159,IMPORTRANGE(""https://docs.google.com/spreadsheets/d/12RxCea4e5ggM7QGn1XE3FbLQa_-QbCNdBi90OdPjRqg"", ""'Plan de Compras'!D4:Q""), 12, 0), ""NO ESTÁ EN REQ"")"),"Técnica")</f>
        <v>Técnica</v>
      </c>
      <c r="X159" s="37" t="str">
        <f>IFERROR(__xludf.DUMMYFUNCTION("IFERROR(VLOOKUP(G159,IMPORTRANGE(""https://docs.google.com/spreadsheets/d/12RxCea4e5ggM7QGn1XE3FbLQa_-QbCNdBi90OdPjRqg"", ""'Plan de Compras'!D4:Q""), 13, 0), """")"),"NACIONAL")</f>
        <v>NACIONAL</v>
      </c>
      <c r="Y159" s="32" t="str">
        <f>IFERROR(__xludf.DUMMYFUNCTION("IFERROR(VLOOKUP(G159,IMPORTRANGE(""https://docs.google.com/spreadsheets/d/12RxCea4e5ggM7QGn1XE3FbLQa_-QbCNdBi90OdPjRqg"", ""'Plan de Compras'!D4:Q""), 14, 0), """")"),"GEANFRANCO")</f>
        <v>GEANFRANCO</v>
      </c>
      <c r="Z159" s="38" t="str">
        <f>IFERROR(__xludf.DUMMYFUNCTION("IFERROR(VLOOKUP(G159,IMPORTRANGE(""https://docs.google.com/spreadsheets/d/12RxCea4e5ggM7QGn1XE3FbLQa_-QbCNdBi90OdPjRqg"", ""'Plan de Compras'!D4:Q""), 4, 0), """")"),"IMPRESORA 3D")</f>
        <v>IMPRESORA 3D</v>
      </c>
      <c r="AA159" s="38" t="str">
        <f t="shared" si="16"/>
        <v>TRUE</v>
      </c>
      <c r="AB159" s="37" t="str">
        <f>IFERROR(__xludf.DUMMYFUNCTION("IFERROR(IF(OR(C159=TRUE,C159=""""),VLOOKUP(G159,IMPORTRANGE(""https://docs.google.com/spreadsheets/d/1z9A1Wq-kKrhRNG5RS2a2fKpY1wIhSVz2ZNmP2mOl588/edit?usp=sharing"",""REQ VF!E4:H""),4,0),""NO APLICA""),""GENERAR REQ"")"),"GENERAR REQ")</f>
        <v>GENERAR REQ</v>
      </c>
      <c r="AC159" s="37" t="str">
        <f>IFERROR(__xludf.DUMMYFUNCTION("IFERROR(QUERY(IMPORTRANGE(""https://docs.google.com/spreadsheets/d/1z9A1Wq-kKrhRNG5RS2a2fKpY1wIhSVz2ZNmP2mOl588/edit?usp=sharing"",""REQ VF!E4:Q""),""SELECT Col10, Col11, Col12 WHERE Col1 = '""&amp;G159&amp;""'"",0),""NO APLICA"")"),"NO APLICA")</f>
        <v>NO APLICA</v>
      </c>
      <c r="AD159" s="37"/>
      <c r="AE159" s="37"/>
      <c r="AF159" s="8" t="s">
        <v>52</v>
      </c>
      <c r="AG159" s="13"/>
    </row>
    <row r="160">
      <c r="A160" s="26"/>
      <c r="B160" s="26"/>
      <c r="C160" s="26" t="b">
        <v>1</v>
      </c>
      <c r="D160" s="26" t="s">
        <v>42</v>
      </c>
      <c r="E160" s="26" t="s">
        <v>36</v>
      </c>
      <c r="F160" s="59" t="s">
        <v>582</v>
      </c>
      <c r="G160" s="39" t="s">
        <v>587</v>
      </c>
      <c r="H160" s="40" t="s">
        <v>588</v>
      </c>
      <c r="I160" s="43">
        <f>$I$159</f>
        <v>18</v>
      </c>
      <c r="J160" s="26">
        <f>IFERROR(__xludf.DUMMYFUNCTION("VLOOKUP(G160,IMPORTRANGE(""https://docs.google.com/spreadsheets/d/12RxCea4e5ggM7QGn1XE3FbLQa_-QbCNdBi90OdPjRqg/edit?gid=1692403370#gid=1692403370"", ""'Plan de Compras'!D4:2432""), 8,0)"),18.0)</f>
        <v>18</v>
      </c>
      <c r="K160" s="26" t="str">
        <f t="shared" si="1"/>
        <v>SI</v>
      </c>
      <c r="L160" s="26"/>
      <c r="M160" s="47"/>
      <c r="N160" s="26" t="s">
        <v>589</v>
      </c>
      <c r="O160" s="42"/>
      <c r="P160" s="42"/>
      <c r="Q160" s="46" t="s">
        <v>590</v>
      </c>
      <c r="R160" s="47"/>
      <c r="S160" s="44" t="b">
        <v>0</v>
      </c>
      <c r="T160" s="72"/>
      <c r="U160" s="72"/>
      <c r="V160" s="44"/>
      <c r="W160" s="37" t="str">
        <f>IFERROR(__xludf.DUMMYFUNCTION("IFERROR(VLOOKUP(G160,IMPORTRANGE(""https://docs.google.com/spreadsheets/d/12RxCea4e5ggM7QGn1XE3FbLQa_-QbCNdBi90OdPjRqg"", ""'Plan de Compras'!D4:Q""), 12, 0), ""NO ESTÁ EN REQ"")"),"Simple")</f>
        <v>Simple</v>
      </c>
      <c r="X160" s="37" t="str">
        <f>IFERROR(__xludf.DUMMYFUNCTION("IFERROR(VLOOKUP(G160,IMPORTRANGE(""https://docs.google.com/spreadsheets/d/12RxCea4e5ggM7QGn1XE3FbLQa_-QbCNdBi90OdPjRqg"", ""'Plan de Compras'!D4:Q""), 13, 0), """")"),"NACIONAL")</f>
        <v>NACIONAL</v>
      </c>
      <c r="Y160" s="32" t="str">
        <f>IFERROR(__xludf.DUMMYFUNCTION("IFERROR(VLOOKUP(G160,IMPORTRANGE(""https://docs.google.com/spreadsheets/d/12RxCea4e5ggM7QGn1XE3FbLQa_-QbCNdBi90OdPjRqg"", ""'Plan de Compras'!D4:Q""), 14, 0), """")"),"GEANFRANCO")</f>
        <v>GEANFRANCO</v>
      </c>
      <c r="Z160" s="38" t="str">
        <f>IFERROR(__xludf.DUMMYFUNCTION("IFERROR(VLOOKUP(G160,IMPORTRANGE(""https://docs.google.com/spreadsheets/d/12RxCea4e5ggM7QGn1XE3FbLQa_-QbCNdBi90OdPjRqg"", ""'Plan de Compras'!D4:Q""), 4, 0), """")"),"ROLLO DE FILAMENTO PLA (1 UND)")</f>
        <v>ROLLO DE FILAMENTO PLA (1 UND)</v>
      </c>
      <c r="AA160" s="38" t="str">
        <f t="shared" si="16"/>
        <v>TRUE</v>
      </c>
      <c r="AB160" s="37" t="str">
        <f>IFERROR(__xludf.DUMMYFUNCTION("IFERROR(IF(OR(C160=TRUE,C160=""""),VLOOKUP(G160,IMPORTRANGE(""https://docs.google.com/spreadsheets/d/1z9A1Wq-kKrhRNG5RS2a2fKpY1wIhSVz2ZNmP2mOl588/edit?usp=sharing"",""REQ VF!E4:H""),4,0),""NO APLICA""),""GENERAR REQ"")"),"GENERAR REQ")</f>
        <v>GENERAR REQ</v>
      </c>
      <c r="AC160" s="37" t="str">
        <f>IFERROR(__xludf.DUMMYFUNCTION("IFERROR(QUERY(IMPORTRANGE(""https://docs.google.com/spreadsheets/d/1z9A1Wq-kKrhRNG5RS2a2fKpY1wIhSVz2ZNmP2mOl588/edit?usp=sharing"",""REQ VF!E4:Q""),""SELECT Col10, Col11, Col12 WHERE Col1 = '""&amp;G160&amp;""'"",0),""NO APLICA"")"),"NO APLICA")</f>
        <v>NO APLICA</v>
      </c>
      <c r="AD160" s="37"/>
      <c r="AE160" s="37"/>
      <c r="AF160" s="13"/>
      <c r="AG160" s="13"/>
    </row>
    <row r="161">
      <c r="A161" s="26"/>
      <c r="B161" s="26" t="b">
        <v>0</v>
      </c>
      <c r="C161" s="26" t="b">
        <v>0</v>
      </c>
      <c r="D161" s="26" t="s">
        <v>42</v>
      </c>
      <c r="E161" s="26" t="s">
        <v>36</v>
      </c>
      <c r="F161" s="59" t="s">
        <v>582</v>
      </c>
      <c r="G161" s="39" t="s">
        <v>591</v>
      </c>
      <c r="H161" s="40" t="s">
        <v>118</v>
      </c>
      <c r="I161" s="26">
        <f>1*I159</f>
        <v>18</v>
      </c>
      <c r="J161" s="26" t="str">
        <f>IFERROR(__xludf.DUMMYFUNCTION("VLOOKUP(G161,IMPORTRANGE(""https://docs.google.com/spreadsheets/d/12RxCea4e5ggM7QGn1XE3FbLQa_-QbCNdBi90OdPjRqg/edit?gid=1692403370#gid=1692403370"", ""'Plan de Compras'!D4:2432""), 8,0)"),"#N/A")</f>
        <v>#N/A</v>
      </c>
      <c r="K161" s="26" t="str">
        <f t="shared" si="1"/>
        <v>-</v>
      </c>
      <c r="L161" s="29"/>
      <c r="M161" s="61"/>
      <c r="N161" s="70"/>
      <c r="O161" s="32"/>
      <c r="P161" s="32"/>
      <c r="Q161" s="41"/>
      <c r="R161" s="61"/>
      <c r="S161" s="34" t="b">
        <v>0</v>
      </c>
      <c r="T161" s="35" t="s">
        <v>592</v>
      </c>
      <c r="U161" s="35" t="s">
        <v>435</v>
      </c>
      <c r="V161" s="35"/>
      <c r="W161" s="37"/>
      <c r="X161" s="37"/>
      <c r="Y161" s="32"/>
      <c r="Z161" s="38"/>
      <c r="AA161" s="38" t="str">
        <f t="shared" si="16"/>
        <v>FALSE</v>
      </c>
      <c r="AB161" s="37" t="str">
        <f>IFERROR(__xludf.DUMMYFUNCTION("IFERROR(IF(OR(C161=TRUE,C161=""""),VLOOKUP(G161,IMPORTRANGE(""https://docs.google.com/spreadsheets/d/1z9A1Wq-kKrhRNG5RS2a2fKpY1wIhSVz2ZNmP2mOl588/edit?usp=sharing"",""REQ VF!E4:H""),4,0),""NO APLICA""),""GENERAR REQ"")"),"NO APLICA")</f>
        <v>NO APLICA</v>
      </c>
      <c r="AC161" s="37" t="str">
        <f>IFERROR(__xludf.DUMMYFUNCTION("IFERROR(QUERY(IMPORTRANGE(""https://docs.google.com/spreadsheets/d/1z9A1Wq-kKrhRNG5RS2a2fKpY1wIhSVz2ZNmP2mOl588/edit?usp=sharing"",""REQ VF!E4:Q""),""SELECT Col10, Col11, Col12 WHERE Col1 = '""&amp;G161&amp;""'"",0),""NO APLICA"")"),"NO APLICA")</f>
        <v>NO APLICA</v>
      </c>
      <c r="AD161" s="37"/>
      <c r="AE161" s="37"/>
      <c r="AF161" s="8"/>
      <c r="AG161" s="13"/>
    </row>
    <row r="162">
      <c r="A162" s="26"/>
      <c r="B162" s="26" t="b">
        <v>0</v>
      </c>
      <c r="C162" s="26" t="b">
        <v>0</v>
      </c>
      <c r="D162" s="26" t="s">
        <v>42</v>
      </c>
      <c r="E162" s="26" t="s">
        <v>36</v>
      </c>
      <c r="F162" s="59" t="s">
        <v>582</v>
      </c>
      <c r="G162" s="73" t="s">
        <v>593</v>
      </c>
      <c r="H162" s="74" t="s">
        <v>371</v>
      </c>
      <c r="I162" s="75">
        <f>1*I159</f>
        <v>18</v>
      </c>
      <c r="J162" s="26" t="str">
        <f>IFERROR(__xludf.DUMMYFUNCTION("VLOOKUP(G162,IMPORTRANGE(""https://docs.google.com/spreadsheets/d/12RxCea4e5ggM7QGn1XE3FbLQa_-QbCNdBi90OdPjRqg/edit?gid=1692403370#gid=1692403370"", ""'Plan de Compras'!D4:2432""), 8,0)"),"#N/A")</f>
        <v>#N/A</v>
      </c>
      <c r="K162" s="26" t="str">
        <f t="shared" si="1"/>
        <v>-</v>
      </c>
      <c r="L162" s="29"/>
      <c r="M162" s="61"/>
      <c r="N162" s="70"/>
      <c r="O162" s="32"/>
      <c r="P162" s="32"/>
      <c r="Q162" s="41"/>
      <c r="R162" s="61"/>
      <c r="S162" s="34" t="b">
        <v>0</v>
      </c>
      <c r="T162" s="35"/>
      <c r="U162" s="35"/>
      <c r="V162" s="35"/>
      <c r="W162" s="37"/>
      <c r="X162" s="37"/>
      <c r="Y162" s="32"/>
      <c r="Z162" s="38"/>
      <c r="AA162" s="38" t="str">
        <f t="shared" si="16"/>
        <v>FALSE</v>
      </c>
      <c r="AB162" s="37" t="str">
        <f>IFERROR(__xludf.DUMMYFUNCTION("IFERROR(IF(OR(C162=TRUE,C162=""""),VLOOKUP(G162,IMPORTRANGE(""https://docs.google.com/spreadsheets/d/1z9A1Wq-kKrhRNG5RS2a2fKpY1wIhSVz2ZNmP2mOl588/edit?usp=sharing"",""REQ VF!E4:H""),4,0),""NO APLICA""),""GENERAR REQ"")"),"NO APLICA")</f>
        <v>NO APLICA</v>
      </c>
      <c r="AC162" s="37" t="str">
        <f>IFERROR(__xludf.DUMMYFUNCTION("IFERROR(QUERY(IMPORTRANGE(""https://docs.google.com/spreadsheets/d/1z9A1Wq-kKrhRNG5RS2a2fKpY1wIhSVz2ZNmP2mOl588/edit?usp=sharing"",""REQ VF!E4:Q""),""SELECT Col10, Col11, Col12 WHERE Col1 = '""&amp;G162&amp;""'"",0),""NO APLICA"")"),"NO APLICA")</f>
        <v>NO APLICA</v>
      </c>
      <c r="AD162" s="37"/>
      <c r="AE162" s="37"/>
      <c r="AF162" s="8"/>
      <c r="AG162" s="13"/>
    </row>
    <row r="163">
      <c r="A163" s="26">
        <v>75.0</v>
      </c>
      <c r="B163" s="26" t="b">
        <v>1</v>
      </c>
      <c r="C163" s="26" t="b">
        <v>1</v>
      </c>
      <c r="D163" s="26" t="s">
        <v>35</v>
      </c>
      <c r="E163" s="26" t="s">
        <v>36</v>
      </c>
      <c r="F163" s="27" t="s">
        <v>582</v>
      </c>
      <c r="G163" s="39" t="s">
        <v>594</v>
      </c>
      <c r="H163" s="45" t="s">
        <v>584</v>
      </c>
      <c r="I163" s="26">
        <f>SUMIFS('Hoja 10'!$O:$O,'Hoja 10'!$F:$F,$G163)</f>
        <v>18</v>
      </c>
      <c r="J163" s="26">
        <f>IFERROR(__xludf.DUMMYFUNCTION("VLOOKUP(G163,IMPORTRANGE(""https://docs.google.com/spreadsheets/d/12RxCea4e5ggM7QGn1XE3FbLQa_-QbCNdBi90OdPjRqg/edit?gid=1692403370#gid=1692403370"", ""'Plan de Compras'!D4:2432""), 8,0)"),18.0)</f>
        <v>18</v>
      </c>
      <c r="K163" s="26" t="str">
        <f t="shared" si="1"/>
        <v>SI</v>
      </c>
      <c r="L163" s="29" t="s">
        <v>595</v>
      </c>
      <c r="M163" s="30" t="s">
        <v>78</v>
      </c>
      <c r="N163" s="70"/>
      <c r="O163" s="32" t="str">
        <f>VLOOKUP($G163,'Hoja 10'!$F$4:$AA478, 19,0)</f>
        <v>Creality</v>
      </c>
      <c r="P163" s="32" t="str">
        <f>VLOOKUP($G163,'Hoja 10'!$F$4:$AA478, 20,0)</f>
        <v>K1 SE</v>
      </c>
      <c r="Q163" s="33" t="str">
        <f>VLOOKUP($G163,'Hoja 10'!$F$4:$AA478, 21,0)</f>
        <v>https://store.creality.com/es/products/k1-se-impresora-3d</v>
      </c>
      <c r="R163" s="30" t="s">
        <v>596</v>
      </c>
      <c r="S163" s="34" t="b">
        <v>1</v>
      </c>
      <c r="T163" s="35" t="str">
        <f>IFERROR(__xludf.DUMMYFUNCTION(" IF
( VLOOKUP($G163,IMPORTRANGE(""https://docs.google.com/spreadsheets/d/1Gpl6jkTg7sL4VDNimUm3S9Vi1i95esohXCF3wuKOE8c"", ""'CONSOLIDADO'!G5:AB""), 10, 0) &lt;&gt; 0, 
IFERROR(VLOOKUP($G163,IMPORTRANGE(""https://docs.google.com/spreadsheets/d/1Gpl6jkTg7sL4VDNimU"&amp;"m3S9Vi1i95esohXCF3wuKOE8c"", ""'CONSOLIDADO'!G5:AB""), 17, 0), ""-""),
""""
)"),"CREALITY")</f>
        <v>CREALITY</v>
      </c>
      <c r="U163" s="35" t="str">
        <f>IFERROR(__xludf.DUMMYFUNCTION(" IF
( VLOOKUP($G163,IMPORTRANGE(""https://docs.google.com/spreadsheets/d/1Gpl6jkTg7sL4VDNimUm3S9Vi1i95esohXCF3wuKOE8c"", ""'CONSOLIDADO'!G5:AB""), 10, 0) &lt;&gt; 0, 
IFERROR(VLOOKUP($G163,IMPORTRANGE(""https://docs.google.com/spreadsheets/d/1Gpl6jkTg7sL4VDNimU"&amp;"m3S9Vi1i95esohXCF3wuKOE8c"", ""'CONSOLIDADO'!G5:AB""), 18, 0), ""-""),
""""
)"),"K1C")</f>
        <v>K1C</v>
      </c>
      <c r="V163" s="36" t="str">
        <f>IFERROR(__xludf.DUMMYFUNCTION(" IF
( VLOOKUP($G163,IMPORTRANGE(""https://docs.google.com/spreadsheets/d/1Gpl6jkTg7sL4VDNimUm3S9Vi1i95esohXCF3wuKOE8c"", ""'CONSOLIDADO'!G5:AB""), 10, 0) &lt;&gt; 0, 
IFERROR(VLOOKUP($G163,IMPORTRANGE(""https://docs.google.com/spreadsheets/d/1Gpl6jkTg7sL4VDNimU"&amp;"m3S9Vi1i95esohXCF3wuKOE8c"", ""'CONSOLIDADO'!G5:AB""), 19, 0), ""-""),
""""
)"),"https://store.creality.com/es/products/k1c-impresora-3d")</f>
        <v>https://store.creality.com/es/products/k1c-impresora-3d</v>
      </c>
      <c r="W163" s="37" t="str">
        <f>IFERROR(__xludf.DUMMYFUNCTION("IFERROR(VLOOKUP(G163,IMPORTRANGE(""https://docs.google.com/spreadsheets/d/12RxCea4e5ggM7QGn1XE3FbLQa_-QbCNdBi90OdPjRqg"", ""'Plan de Compras'!D4:Q""), 12, 0), ""NO ESTÁ EN REQ"")"),"Técnica")</f>
        <v>Técnica</v>
      </c>
      <c r="X163" s="37" t="str">
        <f>IFERROR(__xludf.DUMMYFUNCTION("IFERROR(VLOOKUP(G163,IMPORTRANGE(""https://docs.google.com/spreadsheets/d/12RxCea4e5ggM7QGn1XE3FbLQa_-QbCNdBi90OdPjRqg"", ""'Plan de Compras'!D4:Q""), 13, 0), """")"),"NACIONAL")</f>
        <v>NACIONAL</v>
      </c>
      <c r="Y163" s="32" t="str">
        <f>IFERROR(__xludf.DUMMYFUNCTION("IFERROR(VLOOKUP(G163,IMPORTRANGE(""https://docs.google.com/spreadsheets/d/12RxCea4e5ggM7QGn1XE3FbLQa_-QbCNdBi90OdPjRqg"", ""'Plan de Compras'!D4:Q""), 14, 0), """")"),"GEANFRANCO")</f>
        <v>GEANFRANCO</v>
      </c>
      <c r="Z163" s="38" t="str">
        <f>IFERROR(__xludf.DUMMYFUNCTION("IFERROR(VLOOKUP(G163,IMPORTRANGE(""https://docs.google.com/spreadsheets/d/12RxCea4e5ggM7QGn1XE3FbLQa_-QbCNdBi90OdPjRqg"", ""'Plan de Compras'!D4:Q""), 4, 0), """")"),"IMPRESORA 3D")</f>
        <v>IMPRESORA 3D</v>
      </c>
      <c r="AA163" s="38" t="str">
        <f t="shared" si="16"/>
        <v>TRUE</v>
      </c>
      <c r="AB163" s="37" t="str">
        <f>IFERROR(__xludf.DUMMYFUNCTION("IFERROR(IF(OR(C163=TRUE,C163=""""),VLOOKUP(G163,IMPORTRANGE(""https://docs.google.com/spreadsheets/d/1z9A1Wq-kKrhRNG5RS2a2fKpY1wIhSVz2ZNmP2mOl588/edit?usp=sharing"",""REQ VF!E4:H""),4,0),""NO APLICA""),""GENERAR REQ"")"),"GENERAR REQ")</f>
        <v>GENERAR REQ</v>
      </c>
      <c r="AC163" s="37" t="str">
        <f>IFERROR(__xludf.DUMMYFUNCTION("IFERROR(QUERY(IMPORTRANGE(""https://docs.google.com/spreadsheets/d/1z9A1Wq-kKrhRNG5RS2a2fKpY1wIhSVz2ZNmP2mOl588/edit?usp=sharing"",""REQ VF!E4:Q""),""SELECT Col10, Col11, Col12 WHERE Col1 = '""&amp;G163&amp;""'"",0),""NO APLICA"")"),"NO APLICA")</f>
        <v>NO APLICA</v>
      </c>
      <c r="AD163" s="37"/>
      <c r="AE163" s="37"/>
      <c r="AF163" s="8" t="s">
        <v>52</v>
      </c>
      <c r="AG163" s="13"/>
    </row>
    <row r="164">
      <c r="A164" s="83"/>
      <c r="B164" s="26"/>
      <c r="C164" s="26" t="b">
        <v>1</v>
      </c>
      <c r="D164" s="60" t="s">
        <v>42</v>
      </c>
      <c r="E164" s="60" t="s">
        <v>36</v>
      </c>
      <c r="F164" s="27" t="s">
        <v>582</v>
      </c>
      <c r="G164" s="39" t="s">
        <v>597</v>
      </c>
      <c r="H164" s="82" t="s">
        <v>588</v>
      </c>
      <c r="I164" s="43">
        <f>$I$163</f>
        <v>18</v>
      </c>
      <c r="J164" s="26">
        <f>IFERROR(__xludf.DUMMYFUNCTION("VLOOKUP(G164,IMPORTRANGE(""https://docs.google.com/spreadsheets/d/12RxCea4e5ggM7QGn1XE3FbLQa_-QbCNdBi90OdPjRqg/edit?gid=1692403370#gid=1692403370"", ""'Plan de Compras'!D4:2432""), 8,0)"),18.0)</f>
        <v>18</v>
      </c>
      <c r="K164" s="26" t="str">
        <f t="shared" si="1"/>
        <v>SI</v>
      </c>
      <c r="L164" s="60"/>
      <c r="M164" s="84"/>
      <c r="N164" s="42" t="s">
        <v>589</v>
      </c>
      <c r="O164" s="84"/>
      <c r="P164" s="84"/>
      <c r="Q164" s="85" t="s">
        <v>590</v>
      </c>
      <c r="R164" s="84"/>
      <c r="S164" s="44" t="b">
        <v>0</v>
      </c>
      <c r="T164" s="72"/>
      <c r="U164" s="72"/>
      <c r="V164" s="44"/>
      <c r="W164" s="37" t="str">
        <f>IFERROR(__xludf.DUMMYFUNCTION("IFERROR(VLOOKUP(G164,IMPORTRANGE(""https://docs.google.com/spreadsheets/d/12RxCea4e5ggM7QGn1XE3FbLQa_-QbCNdBi90OdPjRqg"", ""'Plan de Compras'!D4:Q""), 12, 0), ""NO ESTÁ EN REQ"")"),"Simple")</f>
        <v>Simple</v>
      </c>
      <c r="X164" s="37" t="str">
        <f>IFERROR(__xludf.DUMMYFUNCTION("IFERROR(VLOOKUP(G164,IMPORTRANGE(""https://docs.google.com/spreadsheets/d/12RxCea4e5ggM7QGn1XE3FbLQa_-QbCNdBi90OdPjRqg"", ""'Plan de Compras'!D4:Q""), 13, 0), """")"),"NACIONAL")</f>
        <v>NACIONAL</v>
      </c>
      <c r="Y164" s="32" t="str">
        <f>IFERROR(__xludf.DUMMYFUNCTION("IFERROR(VLOOKUP(G164,IMPORTRANGE(""https://docs.google.com/spreadsheets/d/12RxCea4e5ggM7QGn1XE3FbLQa_-QbCNdBi90OdPjRqg"", ""'Plan de Compras'!D4:Q""), 14, 0), """")"),"GEANFRANCO")</f>
        <v>GEANFRANCO</v>
      </c>
      <c r="Z164" s="38" t="str">
        <f>IFERROR(__xludf.DUMMYFUNCTION("IFERROR(VLOOKUP(G164,IMPORTRANGE(""https://docs.google.com/spreadsheets/d/12RxCea4e5ggM7QGn1XE3FbLQa_-QbCNdBi90OdPjRqg"", ""'Plan de Compras'!D4:Q""), 4, 0), """")"),"ROLLO DE FILAMENTO PLA (1 UND)")</f>
        <v>ROLLO DE FILAMENTO PLA (1 UND)</v>
      </c>
      <c r="AA164" s="38" t="str">
        <f t="shared" si="16"/>
        <v>TRUE</v>
      </c>
      <c r="AB164" s="37" t="str">
        <f>IFERROR(__xludf.DUMMYFUNCTION("IFERROR(IF(OR(C164=TRUE,C164=""""),VLOOKUP(G164,IMPORTRANGE(""https://docs.google.com/spreadsheets/d/1z9A1Wq-kKrhRNG5RS2a2fKpY1wIhSVz2ZNmP2mOl588/edit?usp=sharing"",""REQ VF!E4:H""),4,0),""NO APLICA""),""GENERAR REQ"")"),"GENERAR REQ")</f>
        <v>GENERAR REQ</v>
      </c>
      <c r="AC164" s="37" t="str">
        <f>IFERROR(__xludf.DUMMYFUNCTION("IFERROR(QUERY(IMPORTRANGE(""https://docs.google.com/spreadsheets/d/1z9A1Wq-kKrhRNG5RS2a2fKpY1wIhSVz2ZNmP2mOl588/edit?usp=sharing"",""REQ VF!E4:Q""),""SELECT Col10, Col11, Col12 WHERE Col1 = '""&amp;G164&amp;""'"",0),""NO APLICA"")"),"NO APLICA")</f>
        <v>NO APLICA</v>
      </c>
      <c r="AD164" s="37"/>
      <c r="AE164" s="37"/>
      <c r="AF164" s="13"/>
      <c r="AG164" s="13"/>
    </row>
    <row r="165">
      <c r="A165" s="26"/>
      <c r="B165" s="26" t="b">
        <v>0</v>
      </c>
      <c r="C165" s="26" t="b">
        <v>0</v>
      </c>
      <c r="D165" s="26" t="s">
        <v>42</v>
      </c>
      <c r="E165" s="26" t="s">
        <v>36</v>
      </c>
      <c r="F165" s="59" t="s">
        <v>582</v>
      </c>
      <c r="G165" s="39" t="s">
        <v>598</v>
      </c>
      <c r="H165" s="40" t="s">
        <v>118</v>
      </c>
      <c r="I165" s="26">
        <f>1*I163</f>
        <v>18</v>
      </c>
      <c r="J165" s="26" t="str">
        <f>IFERROR(__xludf.DUMMYFUNCTION("VLOOKUP(G165,IMPORTRANGE(""https://docs.google.com/spreadsheets/d/12RxCea4e5ggM7QGn1XE3FbLQa_-QbCNdBi90OdPjRqg/edit?gid=1692403370#gid=1692403370"", ""'Plan de Compras'!D4:2432""), 8,0)"),"#N/A")</f>
        <v>#N/A</v>
      </c>
      <c r="K165" s="26" t="str">
        <f t="shared" si="1"/>
        <v>-</v>
      </c>
      <c r="L165" s="29"/>
      <c r="M165" s="61"/>
      <c r="N165" s="70"/>
      <c r="O165" s="32"/>
      <c r="P165" s="32"/>
      <c r="Q165" s="41"/>
      <c r="R165" s="61"/>
      <c r="S165" s="34" t="b">
        <v>0</v>
      </c>
      <c r="T165" s="35" t="s">
        <v>592</v>
      </c>
      <c r="U165" s="35" t="s">
        <v>435</v>
      </c>
      <c r="V165" s="35"/>
      <c r="W165" s="37"/>
      <c r="X165" s="37"/>
      <c r="Y165" s="32"/>
      <c r="Z165" s="38"/>
      <c r="AA165" s="38" t="str">
        <f t="shared" si="16"/>
        <v>FALSE</v>
      </c>
      <c r="AB165" s="37" t="str">
        <f>IFERROR(__xludf.DUMMYFUNCTION("IFERROR(IF(OR(C165=TRUE,C165=""""),VLOOKUP(G165,IMPORTRANGE(""https://docs.google.com/spreadsheets/d/1z9A1Wq-kKrhRNG5RS2a2fKpY1wIhSVz2ZNmP2mOl588/edit?usp=sharing"",""REQ VF!E4:H""),4,0),""NO APLICA""),""GENERAR REQ"")"),"NO APLICA")</f>
        <v>NO APLICA</v>
      </c>
      <c r="AC165" s="37" t="str">
        <f>IFERROR(__xludf.DUMMYFUNCTION("IFERROR(QUERY(IMPORTRANGE(""https://docs.google.com/spreadsheets/d/1z9A1Wq-kKrhRNG5RS2a2fKpY1wIhSVz2ZNmP2mOl588/edit?usp=sharing"",""REQ VF!E4:Q""),""SELECT Col10, Col11, Col12 WHERE Col1 = '""&amp;G165&amp;""'"",0),""NO APLICA"")"),"NO APLICA")</f>
        <v>NO APLICA</v>
      </c>
      <c r="AD165" s="37"/>
      <c r="AE165" s="37"/>
      <c r="AF165" s="8"/>
      <c r="AG165" s="13"/>
    </row>
    <row r="166">
      <c r="A166" s="26"/>
      <c r="B166" s="26" t="b">
        <v>0</v>
      </c>
      <c r="C166" s="26" t="b">
        <v>0</v>
      </c>
      <c r="D166" s="26" t="s">
        <v>42</v>
      </c>
      <c r="E166" s="26" t="s">
        <v>36</v>
      </c>
      <c r="F166" s="59" t="s">
        <v>582</v>
      </c>
      <c r="G166" s="73" t="s">
        <v>599</v>
      </c>
      <c r="H166" s="74" t="s">
        <v>371</v>
      </c>
      <c r="I166" s="75">
        <f>1*I163</f>
        <v>18</v>
      </c>
      <c r="J166" s="26" t="str">
        <f>IFERROR(__xludf.DUMMYFUNCTION("VLOOKUP(G166,IMPORTRANGE(""https://docs.google.com/spreadsheets/d/12RxCea4e5ggM7QGn1XE3FbLQa_-QbCNdBi90OdPjRqg/edit?gid=1692403370#gid=1692403370"", ""'Plan de Compras'!D4:2432""), 8,0)"),"#N/A")</f>
        <v>#N/A</v>
      </c>
      <c r="K166" s="26" t="str">
        <f t="shared" si="1"/>
        <v>-</v>
      </c>
      <c r="L166" s="29"/>
      <c r="M166" s="61"/>
      <c r="N166" s="70"/>
      <c r="O166" s="32"/>
      <c r="P166" s="32"/>
      <c r="Q166" s="41"/>
      <c r="R166" s="61"/>
      <c r="S166" s="34" t="b">
        <v>0</v>
      </c>
      <c r="T166" s="35"/>
      <c r="U166" s="35"/>
      <c r="V166" s="35"/>
      <c r="W166" s="37"/>
      <c r="X166" s="37"/>
      <c r="Y166" s="32"/>
      <c r="Z166" s="38"/>
      <c r="AA166" s="38" t="str">
        <f t="shared" si="16"/>
        <v>FALSE</v>
      </c>
      <c r="AB166" s="37" t="str">
        <f>IFERROR(__xludf.DUMMYFUNCTION("IFERROR(IF(OR(C166=TRUE,C166=""""),VLOOKUP(G166,IMPORTRANGE(""https://docs.google.com/spreadsheets/d/1z9A1Wq-kKrhRNG5RS2a2fKpY1wIhSVz2ZNmP2mOl588/edit?usp=sharing"",""REQ VF!E4:H""),4,0),""NO APLICA""),""GENERAR REQ"")"),"NO APLICA")</f>
        <v>NO APLICA</v>
      </c>
      <c r="AC166" s="37" t="str">
        <f>IFERROR(__xludf.DUMMYFUNCTION("IFERROR(QUERY(IMPORTRANGE(""https://docs.google.com/spreadsheets/d/1z9A1Wq-kKrhRNG5RS2a2fKpY1wIhSVz2ZNmP2mOl588/edit?usp=sharing"",""REQ VF!E4:Q""),""SELECT Col10, Col11, Col12 WHERE Col1 = '""&amp;G166&amp;""'"",0),""NO APLICA"")"),"NO APLICA")</f>
        <v>NO APLICA</v>
      </c>
      <c r="AD166" s="37"/>
      <c r="AE166" s="37"/>
      <c r="AF166" s="8"/>
      <c r="AG166" s="13"/>
    </row>
    <row r="167">
      <c r="A167" s="26">
        <v>76.0</v>
      </c>
      <c r="B167" s="26" t="b">
        <v>1</v>
      </c>
      <c r="C167" s="26" t="b">
        <v>1</v>
      </c>
      <c r="D167" s="26" t="s">
        <v>35</v>
      </c>
      <c r="E167" s="26" t="s">
        <v>36</v>
      </c>
      <c r="F167" s="27" t="s">
        <v>582</v>
      </c>
      <c r="G167" s="39" t="s">
        <v>600</v>
      </c>
      <c r="H167" s="45" t="s">
        <v>584</v>
      </c>
      <c r="I167" s="26">
        <f>SUMIFS('Hoja 10'!$O:$O,'Hoja 10'!$F:$F,$G167)</f>
        <v>4</v>
      </c>
      <c r="J167" s="26">
        <f>IFERROR(__xludf.DUMMYFUNCTION("VLOOKUP(G167,IMPORTRANGE(""https://docs.google.com/spreadsheets/d/12RxCea4e5ggM7QGn1XE3FbLQa_-QbCNdBi90OdPjRqg/edit?gid=1692403370#gid=1692403370"", ""'Plan de Compras'!D4:2432""), 8,0)"),4.0)</f>
        <v>4</v>
      </c>
      <c r="K167" s="26" t="str">
        <f t="shared" si="1"/>
        <v>SI</v>
      </c>
      <c r="L167" s="29" t="s">
        <v>91</v>
      </c>
      <c r="M167" s="30" t="s">
        <v>92</v>
      </c>
      <c r="N167" s="70"/>
      <c r="O167" s="32" t="str">
        <f>VLOOKUP($G167,'Hoja 10'!$F$4:$AA478, 19,0)</f>
        <v>Creality</v>
      </c>
      <c r="P167" s="32" t="str">
        <f>VLOOKUP($G167,'Hoja 10'!$F$4:$AA478, 20,0)</f>
        <v>K1 Max</v>
      </c>
      <c r="Q167" s="33" t="str">
        <f>VLOOKUP($G167,'Hoja 10'!$F$4:$AA478, 21,0)</f>
        <v>https://store.creality.com/es/products/k1-se-impresora-3d</v>
      </c>
      <c r="R167" s="30" t="s">
        <v>601</v>
      </c>
      <c r="S167" s="34" t="b">
        <v>1</v>
      </c>
      <c r="T167" s="35" t="str">
        <f>IFERROR(__xludf.DUMMYFUNCTION(" IF
( VLOOKUP($G167,IMPORTRANGE(""https://docs.google.com/spreadsheets/d/1Gpl6jkTg7sL4VDNimUm3S9Vi1i95esohXCF3wuKOE8c"", ""'CONSOLIDADO'!G5:AB""), 10, 0) &lt;&gt; 0, 
IFERROR(VLOOKUP($G167,IMPORTRANGE(""https://docs.google.com/spreadsheets/d/1Gpl6jkTg7sL4VDNimU"&amp;"m3S9Vi1i95esohXCF3wuKOE8c"", ""'CONSOLIDADO'!G5:AB""), 17, 0), ""-""),
""""
)"),"CREALITY")</f>
        <v>CREALITY</v>
      </c>
      <c r="U167" s="35" t="str">
        <f>IFERROR(__xludf.DUMMYFUNCTION(" IF
( VLOOKUP($G167,IMPORTRANGE(""https://docs.google.com/spreadsheets/d/1Gpl6jkTg7sL4VDNimUm3S9Vi1i95esohXCF3wuKOE8c"", ""'CONSOLIDADO'!G5:AB""), 10, 0) &lt;&gt; 0, 
IFERROR(VLOOKUP($G167,IMPORTRANGE(""https://docs.google.com/spreadsheets/d/1Gpl6jkTg7sL4VDNimU"&amp;"m3S9Vi1i95esohXCF3wuKOE8c"", ""'CONSOLIDADO'!G5:AB""), 18, 0), ""-""),
""""
)"),"K1C")</f>
        <v>K1C</v>
      </c>
      <c r="V167" s="36" t="str">
        <f>IFERROR(__xludf.DUMMYFUNCTION(" IF
( VLOOKUP($G167,IMPORTRANGE(""https://docs.google.com/spreadsheets/d/1Gpl6jkTg7sL4VDNimUm3S9Vi1i95esohXCF3wuKOE8c"", ""'CONSOLIDADO'!G5:AB""), 10, 0) &lt;&gt; 0, 
IFERROR(VLOOKUP($G167,IMPORTRANGE(""https://docs.google.com/spreadsheets/d/1Gpl6jkTg7sL4VDNimU"&amp;"m3S9Vi1i95esohXCF3wuKOE8c"", ""'CONSOLIDADO'!G5:AB""), 19, 0), ""-""),
""""
)"),"https://store.creality.com/es/products/k1c-impresora-3d")</f>
        <v>https://store.creality.com/es/products/k1c-impresora-3d</v>
      </c>
      <c r="W167" s="37" t="str">
        <f>IFERROR(__xludf.DUMMYFUNCTION("IFERROR(VLOOKUP(G167,IMPORTRANGE(""https://docs.google.com/spreadsheets/d/12RxCea4e5ggM7QGn1XE3FbLQa_-QbCNdBi90OdPjRqg"", ""'Plan de Compras'!D4:Q""), 12, 0), ""NO ESTÁ EN REQ"")"),"Técnica")</f>
        <v>Técnica</v>
      </c>
      <c r="X167" s="37" t="str">
        <f>IFERROR(__xludf.DUMMYFUNCTION("IFERROR(VLOOKUP(G167,IMPORTRANGE(""https://docs.google.com/spreadsheets/d/12RxCea4e5ggM7QGn1XE3FbLQa_-QbCNdBi90OdPjRqg"", ""'Plan de Compras'!D4:Q""), 13, 0), """")"),"NACIONAL")</f>
        <v>NACIONAL</v>
      </c>
      <c r="Y167" s="32" t="str">
        <f>IFERROR(__xludf.DUMMYFUNCTION("IFERROR(VLOOKUP(G167,IMPORTRANGE(""https://docs.google.com/spreadsheets/d/12RxCea4e5ggM7QGn1XE3FbLQa_-QbCNdBi90OdPjRqg"", ""'Plan de Compras'!D4:Q""), 14, 0), """")"),"GEANFRANCO")</f>
        <v>GEANFRANCO</v>
      </c>
      <c r="Z167" s="38" t="str">
        <f>IFERROR(__xludf.DUMMYFUNCTION("IFERROR(VLOOKUP(G167,IMPORTRANGE(""https://docs.google.com/spreadsheets/d/12RxCea4e5ggM7QGn1XE3FbLQa_-QbCNdBi90OdPjRqg"", ""'Plan de Compras'!D4:Q""), 4, 0), """")"),"IMPRESORA 3D")</f>
        <v>IMPRESORA 3D</v>
      </c>
      <c r="AA167" s="38" t="str">
        <f t="shared" si="16"/>
        <v>TRUE</v>
      </c>
      <c r="AB167" s="37" t="str">
        <f>IFERROR(__xludf.DUMMYFUNCTION("IFERROR(IF(OR(C167=TRUE,C167=""""),VLOOKUP(G167,IMPORTRANGE(""https://docs.google.com/spreadsheets/d/1z9A1Wq-kKrhRNG5RS2a2fKpY1wIhSVz2ZNmP2mOl588/edit?usp=sharing"",""REQ VF!E4:H""),4,0),""NO APLICA""),""GENERAR REQ"")"),"GENERAR REQ")</f>
        <v>GENERAR REQ</v>
      </c>
      <c r="AC167" s="37" t="str">
        <f>IFERROR(__xludf.DUMMYFUNCTION("IFERROR(QUERY(IMPORTRANGE(""https://docs.google.com/spreadsheets/d/1z9A1Wq-kKrhRNG5RS2a2fKpY1wIhSVz2ZNmP2mOl588/edit?usp=sharing"",""REQ VF!E4:Q""),""SELECT Col10, Col11, Col12 WHERE Col1 = '""&amp;G167&amp;""'"",0),""NO APLICA"")"),"NO APLICA")</f>
        <v>NO APLICA</v>
      </c>
      <c r="AD167" s="37"/>
      <c r="AE167" s="37"/>
      <c r="AF167" s="8" t="s">
        <v>52</v>
      </c>
      <c r="AG167" s="13"/>
    </row>
    <row r="168">
      <c r="A168" s="83"/>
      <c r="B168" s="26"/>
      <c r="C168" s="26" t="b">
        <v>1</v>
      </c>
      <c r="D168" s="60" t="s">
        <v>42</v>
      </c>
      <c r="E168" s="60" t="s">
        <v>36</v>
      </c>
      <c r="F168" s="27" t="s">
        <v>582</v>
      </c>
      <c r="G168" s="39" t="s">
        <v>602</v>
      </c>
      <c r="H168" s="82" t="s">
        <v>588</v>
      </c>
      <c r="I168" s="43">
        <f>$I$167</f>
        <v>4</v>
      </c>
      <c r="J168" s="26">
        <f>IFERROR(__xludf.DUMMYFUNCTION("VLOOKUP(G168,IMPORTRANGE(""https://docs.google.com/spreadsheets/d/12RxCea4e5ggM7QGn1XE3FbLQa_-QbCNdBi90OdPjRqg/edit?gid=1692403370#gid=1692403370"", ""'Plan de Compras'!D4:2432""), 8,0)"),4.0)</f>
        <v>4</v>
      </c>
      <c r="K168" s="26" t="str">
        <f t="shared" si="1"/>
        <v>SI</v>
      </c>
      <c r="L168" s="60"/>
      <c r="M168" s="84"/>
      <c r="N168" s="42" t="s">
        <v>589</v>
      </c>
      <c r="O168" s="84"/>
      <c r="P168" s="84"/>
      <c r="Q168" s="85" t="s">
        <v>590</v>
      </c>
      <c r="R168" s="84"/>
      <c r="S168" s="44" t="b">
        <v>0</v>
      </c>
      <c r="T168" s="72"/>
      <c r="U168" s="72"/>
      <c r="V168" s="44"/>
      <c r="W168" s="37" t="str">
        <f>IFERROR(__xludf.DUMMYFUNCTION("IFERROR(VLOOKUP(G168,IMPORTRANGE(""https://docs.google.com/spreadsheets/d/12RxCea4e5ggM7QGn1XE3FbLQa_-QbCNdBi90OdPjRqg"", ""'Plan de Compras'!D4:Q""), 12, 0), ""NO ESTÁ EN REQ"")"),"Técnica")</f>
        <v>Técnica</v>
      </c>
      <c r="X168" s="37" t="str">
        <f>IFERROR(__xludf.DUMMYFUNCTION("IFERROR(VLOOKUP(G168,IMPORTRANGE(""https://docs.google.com/spreadsheets/d/12RxCea4e5ggM7QGn1XE3FbLQa_-QbCNdBi90OdPjRqg"", ""'Plan de Compras'!D4:Q""), 13, 0), """")"),"NACIONAL")</f>
        <v>NACIONAL</v>
      </c>
      <c r="Y168" s="32" t="str">
        <f>IFERROR(__xludf.DUMMYFUNCTION("IFERROR(VLOOKUP(G168,IMPORTRANGE(""https://docs.google.com/spreadsheets/d/12RxCea4e5ggM7QGn1XE3FbLQa_-QbCNdBi90OdPjRqg"", ""'Plan de Compras'!D4:Q""), 14, 0), """")"),"GEANFRANCO")</f>
        <v>GEANFRANCO</v>
      </c>
      <c r="Z168" s="38" t="str">
        <f>IFERROR(__xludf.DUMMYFUNCTION("IFERROR(VLOOKUP(G168,IMPORTRANGE(""https://docs.google.com/spreadsheets/d/12RxCea4e5ggM7QGn1XE3FbLQa_-QbCNdBi90OdPjRqg"", ""'Plan de Compras'!D4:Q""), 4, 0), """")"),"ROLLO DE FILAMENTO PLA (1 UND)")</f>
        <v>ROLLO DE FILAMENTO PLA (1 UND)</v>
      </c>
      <c r="AA168" s="38" t="str">
        <f t="shared" si="16"/>
        <v>TRUE</v>
      </c>
      <c r="AB168" s="37" t="str">
        <f>IFERROR(__xludf.DUMMYFUNCTION("IFERROR(IF(OR(C168=TRUE,C168=""""),VLOOKUP(G168,IMPORTRANGE(""https://docs.google.com/spreadsheets/d/1z9A1Wq-kKrhRNG5RS2a2fKpY1wIhSVz2ZNmP2mOl588/edit?usp=sharing"",""REQ VF!E4:H""),4,0),""NO APLICA""),""GENERAR REQ"")"),"GENERAR REQ")</f>
        <v>GENERAR REQ</v>
      </c>
      <c r="AC168" s="37" t="str">
        <f>IFERROR(__xludf.DUMMYFUNCTION("IFERROR(QUERY(IMPORTRANGE(""https://docs.google.com/spreadsheets/d/1z9A1Wq-kKrhRNG5RS2a2fKpY1wIhSVz2ZNmP2mOl588/edit?usp=sharing"",""REQ VF!E4:Q""),""SELECT Col10, Col11, Col12 WHERE Col1 = '""&amp;G168&amp;""'"",0),""NO APLICA"")"),"NO APLICA")</f>
        <v>NO APLICA</v>
      </c>
      <c r="AD168" s="37"/>
      <c r="AE168" s="37"/>
      <c r="AF168" s="13"/>
      <c r="AG168" s="13"/>
    </row>
    <row r="169">
      <c r="A169" s="26"/>
      <c r="B169" s="26" t="b">
        <v>0</v>
      </c>
      <c r="C169" s="26" t="b">
        <v>0</v>
      </c>
      <c r="D169" s="26" t="s">
        <v>42</v>
      </c>
      <c r="E169" s="26" t="s">
        <v>36</v>
      </c>
      <c r="F169" s="59" t="s">
        <v>582</v>
      </c>
      <c r="G169" s="39" t="s">
        <v>603</v>
      </c>
      <c r="H169" s="40" t="s">
        <v>118</v>
      </c>
      <c r="I169" s="26">
        <f>1*I167</f>
        <v>4</v>
      </c>
      <c r="J169" s="26" t="str">
        <f>IFERROR(__xludf.DUMMYFUNCTION("VLOOKUP(G169,IMPORTRANGE(""https://docs.google.com/spreadsheets/d/12RxCea4e5ggM7QGn1XE3FbLQa_-QbCNdBi90OdPjRqg/edit?gid=1692403370#gid=1692403370"", ""'Plan de Compras'!D4:2432""), 8,0)"),"#N/A")</f>
        <v>#N/A</v>
      </c>
      <c r="K169" s="26" t="str">
        <f t="shared" si="1"/>
        <v>-</v>
      </c>
      <c r="L169" s="29"/>
      <c r="M169" s="61"/>
      <c r="N169" s="70"/>
      <c r="O169" s="32"/>
      <c r="P169" s="32"/>
      <c r="Q169" s="41"/>
      <c r="R169" s="61"/>
      <c r="S169" s="34" t="b">
        <v>0</v>
      </c>
      <c r="T169" s="35" t="s">
        <v>604</v>
      </c>
      <c r="U169" s="35" t="s">
        <v>435</v>
      </c>
      <c r="V169" s="35"/>
      <c r="W169" s="37"/>
      <c r="X169" s="37"/>
      <c r="Y169" s="32"/>
      <c r="Z169" s="38"/>
      <c r="AA169" s="38" t="str">
        <f t="shared" si="16"/>
        <v>FALSE</v>
      </c>
      <c r="AB169" s="37" t="str">
        <f>IFERROR(__xludf.DUMMYFUNCTION("IFERROR(IF(OR(C169=TRUE,C169=""""),VLOOKUP(G169,IMPORTRANGE(""https://docs.google.com/spreadsheets/d/1z9A1Wq-kKrhRNG5RS2a2fKpY1wIhSVz2ZNmP2mOl588/edit?usp=sharing"",""REQ VF!E4:H""),4,0),""NO APLICA""),""GENERAR REQ"")"),"NO APLICA")</f>
        <v>NO APLICA</v>
      </c>
      <c r="AC169" s="37" t="str">
        <f>IFERROR(__xludf.DUMMYFUNCTION("IFERROR(QUERY(IMPORTRANGE(""https://docs.google.com/spreadsheets/d/1z9A1Wq-kKrhRNG5RS2a2fKpY1wIhSVz2ZNmP2mOl588/edit?usp=sharing"",""REQ VF!E4:Q""),""SELECT Col10, Col11, Col12 WHERE Col1 = '""&amp;G169&amp;""'"",0),""NO APLICA"")"),"NO APLICA")</f>
        <v>NO APLICA</v>
      </c>
      <c r="AD169" s="37"/>
      <c r="AE169" s="37"/>
      <c r="AF169" s="13"/>
      <c r="AG169" s="13"/>
    </row>
    <row r="170">
      <c r="A170" s="26"/>
      <c r="B170" s="26" t="b">
        <v>0</v>
      </c>
      <c r="C170" s="26" t="b">
        <v>0</v>
      </c>
      <c r="D170" s="26" t="s">
        <v>42</v>
      </c>
      <c r="E170" s="26" t="s">
        <v>36</v>
      </c>
      <c r="F170" s="59" t="s">
        <v>582</v>
      </c>
      <c r="G170" s="73" t="s">
        <v>605</v>
      </c>
      <c r="H170" s="74" t="s">
        <v>371</v>
      </c>
      <c r="I170" s="75">
        <f>1*I167</f>
        <v>4</v>
      </c>
      <c r="J170" s="26" t="str">
        <f>IFERROR(__xludf.DUMMYFUNCTION("VLOOKUP(G170,IMPORTRANGE(""https://docs.google.com/spreadsheets/d/12RxCea4e5ggM7QGn1XE3FbLQa_-QbCNdBi90OdPjRqg/edit?gid=1692403370#gid=1692403370"", ""'Plan de Compras'!D4:2432""), 8,0)"),"#N/A")</f>
        <v>#N/A</v>
      </c>
      <c r="K170" s="26" t="str">
        <f t="shared" si="1"/>
        <v>-</v>
      </c>
      <c r="L170" s="29"/>
      <c r="M170" s="61"/>
      <c r="N170" s="70"/>
      <c r="O170" s="32"/>
      <c r="P170" s="32"/>
      <c r="Q170" s="41"/>
      <c r="R170" s="61"/>
      <c r="S170" s="34" t="b">
        <v>0</v>
      </c>
      <c r="T170" s="35"/>
      <c r="U170" s="35"/>
      <c r="V170" s="35"/>
      <c r="W170" s="37"/>
      <c r="X170" s="37"/>
      <c r="Y170" s="32"/>
      <c r="Z170" s="38"/>
      <c r="AA170" s="38" t="str">
        <f t="shared" si="16"/>
        <v>FALSE</v>
      </c>
      <c r="AB170" s="37" t="str">
        <f>IFERROR(__xludf.DUMMYFUNCTION("IFERROR(IF(OR(C170=TRUE,C170=""""),VLOOKUP(G170,IMPORTRANGE(""https://docs.google.com/spreadsheets/d/1z9A1Wq-kKrhRNG5RS2a2fKpY1wIhSVz2ZNmP2mOl588/edit?usp=sharing"",""REQ VF!E4:H""),4,0),""NO APLICA""),""GENERAR REQ"")"),"NO APLICA")</f>
        <v>NO APLICA</v>
      </c>
      <c r="AC170" s="37" t="str">
        <f>IFERROR(__xludf.DUMMYFUNCTION("IFERROR(QUERY(IMPORTRANGE(""https://docs.google.com/spreadsheets/d/1z9A1Wq-kKrhRNG5RS2a2fKpY1wIhSVz2ZNmP2mOl588/edit?usp=sharing"",""REQ VF!E4:Q""),""SELECT Col10, Col11, Col12 WHERE Col1 = '""&amp;G170&amp;""'"",0),""NO APLICA"")"),"NO APLICA")</f>
        <v>NO APLICA</v>
      </c>
      <c r="AD170" s="37"/>
      <c r="AE170" s="37"/>
      <c r="AF170" s="13"/>
      <c r="AG170" s="13"/>
    </row>
    <row r="171">
      <c r="A171" s="26">
        <v>77.0</v>
      </c>
      <c r="B171" s="26" t="b">
        <v>1</v>
      </c>
      <c r="C171" s="26" t="b">
        <v>1</v>
      </c>
      <c r="D171" s="26" t="s">
        <v>35</v>
      </c>
      <c r="E171" s="26" t="s">
        <v>36</v>
      </c>
      <c r="F171" s="27" t="s">
        <v>606</v>
      </c>
      <c r="G171" s="39" t="s">
        <v>606</v>
      </c>
      <c r="H171" s="45" t="s">
        <v>607</v>
      </c>
      <c r="I171" s="26">
        <f>SUMIFS('Hoja 10'!$O:$O,'Hoja 10'!$F:$F,$G171)</f>
        <v>1</v>
      </c>
      <c r="J171" s="26">
        <f>IFERROR(__xludf.DUMMYFUNCTION("VLOOKUP(G171,IMPORTRANGE(""https://docs.google.com/spreadsheets/d/12RxCea4e5ggM7QGn1XE3FbLQa_-QbCNdBi90OdPjRqg/edit?gid=1692403370#gid=1692403370"", ""'Plan de Compras'!D4:2432""), 8,0)"),1.0)</f>
        <v>1</v>
      </c>
      <c r="K171" s="26" t="str">
        <f t="shared" si="1"/>
        <v>SI</v>
      </c>
      <c r="L171" s="29" t="s">
        <v>185</v>
      </c>
      <c r="M171" s="30" t="s">
        <v>186</v>
      </c>
      <c r="N171" s="42"/>
      <c r="O171" s="32" t="str">
        <f>VLOOKUP($G171,'Hoja 10'!$F$4:$AA478, 19,0)</f>
        <v>EPSON</v>
      </c>
      <c r="P171" s="32" t="str">
        <f>VLOOKUP($G171,'Hoja 10'!$F$4:$AA478, 20,0)</f>
        <v>SURECOLOR F2200</v>
      </c>
      <c r="Q171" s="33" t="str">
        <f>VLOOKUP($G171,'Hoja 10'!$F$4:$AA478, 21,0)</f>
        <v>https://drive.google.com/file/d/1cu00IYcXcPwzGin1xW1G7fuPLF8-snwa/view</v>
      </c>
      <c r="R171" s="30" t="s">
        <v>608</v>
      </c>
      <c r="S171" s="34" t="b">
        <v>1</v>
      </c>
      <c r="T171" s="35" t="str">
        <f>IFERROR(__xludf.DUMMYFUNCTION(" IF
( VLOOKUP($G171,IMPORTRANGE(""https://docs.google.com/spreadsheets/d/1Gpl6jkTg7sL4VDNimUm3S9Vi1i95esohXCF3wuKOE8c"", ""'CONSOLIDADO'!G5:AB""), 10, 0) &lt;&gt; 0, 
IFERROR(VLOOKUP($G171,IMPORTRANGE(""https://docs.google.com/spreadsheets/d/1Gpl6jkTg7sL4VDNimU"&amp;"m3S9Vi1i95esohXCF3wuKOE8c"", ""'CONSOLIDADO'!G5:AB""), 17, 0), ""-""),
""""
)"),"EPSON")</f>
        <v>EPSON</v>
      </c>
      <c r="U171" s="35" t="str">
        <f>IFERROR(__xludf.DUMMYFUNCTION(" IF
( VLOOKUP($G171,IMPORTRANGE(""https://docs.google.com/spreadsheets/d/1Gpl6jkTg7sL4VDNimUm3S9Vi1i95esohXCF3wuKOE8c"", ""'CONSOLIDADO'!G5:AB""), 10, 0) &lt;&gt; 0, 
IFERROR(VLOOKUP($G171,IMPORTRANGE(""https://docs.google.com/spreadsheets/d/1Gpl6jkTg7sL4VDNimU"&amp;"m3S9Vi1i95esohXCF3wuKOE8c"", ""'CONSOLIDADO'!G5:AB""), 18, 0), ""-""),
""""
)"),"SureColor F2200")</f>
        <v>SureColor F2200</v>
      </c>
      <c r="V171" s="36" t="str">
        <f>IFERROR(__xludf.DUMMYFUNCTION(" IF
( VLOOKUP($G171,IMPORTRANGE(""https://docs.google.com/spreadsheets/d/1Gpl6jkTg7sL4VDNimUm3S9Vi1i95esohXCF3wuKOE8c"", ""'CONSOLIDADO'!G5:AB""), 10, 0) &lt;&gt; 0, 
IFERROR(VLOOKUP($G171,IMPORTRANGE(""https://docs.google.com/spreadsheets/d/1Gpl6jkTg7sL4VDNimU"&amp;"m3S9Vi1i95esohXCF3wuKOE8c"", ""'CONSOLIDADO'!G5:AB""), 19, 0), ""-""),
""""
)"),"https://www.epson.es/es_ES/productos/impresoras/large-format/surecolor-sc-f2200/p/37975?pid=37975")</f>
        <v>https://www.epson.es/es_ES/productos/impresoras/large-format/surecolor-sc-f2200/p/37975?pid=37975</v>
      </c>
      <c r="W171" s="37" t="str">
        <f>IFERROR(__xludf.DUMMYFUNCTION("IFERROR(VLOOKUP(G171,IMPORTRANGE(""https://docs.google.com/spreadsheets/d/12RxCea4e5ggM7QGn1XE3FbLQa_-QbCNdBi90OdPjRqg"", ""'Plan de Compras'!D4:Q""), 12, 0), ""NO ESTÁ EN REQ"")"),"Técnica")</f>
        <v>Técnica</v>
      </c>
      <c r="X171" s="37" t="str">
        <f>IFERROR(__xludf.DUMMYFUNCTION("IFERROR(VLOOKUP(G171,IMPORTRANGE(""https://docs.google.com/spreadsheets/d/12RxCea4e5ggM7QGn1XE3FbLQa_-QbCNdBi90OdPjRqg"", ""'Plan de Compras'!D4:Q""), 13, 0), """")"),"INTERNACIONAL")</f>
        <v>INTERNACIONAL</v>
      </c>
      <c r="Y171" s="32" t="str">
        <f>IFERROR(__xludf.DUMMYFUNCTION("IFERROR(VLOOKUP(G171,IMPORTRANGE(""https://docs.google.com/spreadsheets/d/12RxCea4e5ggM7QGn1XE3FbLQa_-QbCNdBi90OdPjRqg"", ""'Plan de Compras'!D4:Q""), 14, 0), """")"),"GEYDI")</f>
        <v>GEYDI</v>
      </c>
      <c r="Z171" s="38" t="str">
        <f>IFERROR(__xludf.DUMMYFUNCTION("IFERROR(VLOOKUP(G171,IMPORTRANGE(""https://docs.google.com/spreadsheets/d/12RxCea4e5ggM7QGn1XE3FbLQa_-QbCNdBi90OdPjRqg"", ""'Plan de Compras'!D4:Q""), 4, 0), """")"),"IMPRESORA DIGITAL TEXTIL")</f>
        <v>IMPRESORA DIGITAL TEXTIL</v>
      </c>
      <c r="AA171" s="38" t="str">
        <f t="shared" si="16"/>
        <v>TRUE</v>
      </c>
      <c r="AB171" s="37" t="str">
        <f>IFERROR(__xludf.DUMMYFUNCTION("IFERROR(IF(OR(C171=TRUE,C171=""""),VLOOKUP(G171,IMPORTRANGE(""https://docs.google.com/spreadsheets/d/1z9A1Wq-kKrhRNG5RS2a2fKpY1wIhSVz2ZNmP2mOl588/edit?usp=sharing"",""REQ VF!E4:H""),4,0),""NO APLICA""),""GENERAR REQ"")"),"GENERAR REQ")</f>
        <v>GENERAR REQ</v>
      </c>
      <c r="AC171" s="37" t="str">
        <f>IFERROR(__xludf.DUMMYFUNCTION("IFERROR(QUERY(IMPORTRANGE(""https://docs.google.com/spreadsheets/d/1z9A1Wq-kKrhRNG5RS2a2fKpY1wIhSVz2ZNmP2mOl588/edit?usp=sharing"",""REQ VF!E4:Q""),""SELECT Col10, Col11, Col12 WHERE Col1 = '""&amp;G171&amp;""'"",0),""NO APLICA"")"),"NO APLICA")</f>
        <v>NO APLICA</v>
      </c>
      <c r="AD171" s="37"/>
      <c r="AE171" s="37"/>
      <c r="AF171" s="13"/>
      <c r="AG171" s="13"/>
    </row>
    <row r="172">
      <c r="A172" s="26">
        <v>78.0</v>
      </c>
      <c r="B172" s="26" t="b">
        <v>1</v>
      </c>
      <c r="C172" s="26" t="b">
        <v>1</v>
      </c>
      <c r="D172" s="26" t="s">
        <v>35</v>
      </c>
      <c r="E172" s="26" t="s">
        <v>36</v>
      </c>
      <c r="F172" s="27" t="s">
        <v>609</v>
      </c>
      <c r="G172" s="37" t="s">
        <v>609</v>
      </c>
      <c r="H172" s="45" t="s">
        <v>610</v>
      </c>
      <c r="I172" s="26">
        <f>SUMIFS('Hoja 10'!$O:$O,'Hoja 10'!$F:$F,$G172)</f>
        <v>4</v>
      </c>
      <c r="J172" s="26">
        <f>IFERROR(__xludf.DUMMYFUNCTION("VLOOKUP(G172,IMPORTRANGE(""https://docs.google.com/spreadsheets/d/12RxCea4e5ggM7QGn1XE3FbLQa_-QbCNdBi90OdPjRqg/edit?gid=1692403370#gid=1692403370"", ""'Plan de Compras'!D4:2432""), 8,0)"),4.0)</f>
        <v>4</v>
      </c>
      <c r="K172" s="26" t="str">
        <f t="shared" si="1"/>
        <v>SI</v>
      </c>
      <c r="L172" s="29" t="s">
        <v>339</v>
      </c>
      <c r="M172" s="30" t="s">
        <v>340</v>
      </c>
      <c r="N172" s="42"/>
      <c r="O172" s="32" t="str">
        <f>VLOOKUP($G172,'Hoja 10'!$F$4:$AA478, 19,0)</f>
        <v>EPSON</v>
      </c>
      <c r="P172" s="32" t="str">
        <f>VLOOKUP($G172,'Hoja 10'!$F$4:$AA478, 20,0)</f>
        <v>ECOTANK L1250</v>
      </c>
      <c r="Q172" s="33" t="str">
        <f>VLOOKUP($G172,'Hoja 10'!$F$4:$AA478, 21,0)</f>
        <v>https://epson.com.pe/Para-el-hogar/Impresoras/Inyecci%C3%B3n-de-tinta/Impresora-Inal%C3%A1mbrica-EcoTank-L1250/p/C11CJ71301</v>
      </c>
      <c r="R172" s="86" t="s">
        <v>611</v>
      </c>
      <c r="S172" s="34" t="b">
        <v>1</v>
      </c>
      <c r="T172" s="35" t="str">
        <f>IFERROR(__xludf.DUMMYFUNCTION(" IF
( VLOOKUP($G172,IMPORTRANGE(""https://docs.google.com/spreadsheets/d/1Gpl6jkTg7sL4VDNimUm3S9Vi1i95esohXCF3wuKOE8c"", ""'CONSOLIDADO'!G5:AB""), 10, 0) &lt;&gt; 0, 
IFERROR(VLOOKUP($G172,IMPORTRANGE(""https://docs.google.com/spreadsheets/d/1Gpl6jkTg7sL4VDNimU"&amp;"m3S9Vi1i95esohXCF3wuKOE8c"", ""'CONSOLIDADO'!G5:AB""), 17, 0), ""-""),
""""
)"),"EPSON")</f>
        <v>EPSON</v>
      </c>
      <c r="U172" s="35" t="str">
        <f>IFERROR(__xludf.DUMMYFUNCTION(" IF
( VLOOKUP($G172,IMPORTRANGE(""https://docs.google.com/spreadsheets/d/1Gpl6jkTg7sL4VDNimUm3S9Vi1i95esohXCF3wuKOE8c"", ""'CONSOLIDADO'!G5:AB""), 10, 0) &lt;&gt; 0, 
IFERROR(VLOOKUP($G172,IMPORTRANGE(""https://docs.google.com/spreadsheets/d/1Gpl6jkTg7sL4VDNimU"&amp;"m3S9Vi1i95esohXCF3wuKOE8c"", ""'CONSOLIDADO'!G5:AB""), 18, 0), ""-""),
""""
)"),"ECOTANK L1250")</f>
        <v>ECOTANK L1250</v>
      </c>
      <c r="V172" s="36" t="str">
        <f>IFERROR(__xludf.DUMMYFUNCTION(" IF
( VLOOKUP($G172,IMPORTRANGE(""https://docs.google.com/spreadsheets/d/1Gpl6jkTg7sL4VDNimUm3S9Vi1i95esohXCF3wuKOE8c"", ""'CONSOLIDADO'!G5:AB""), 10, 0) &lt;&gt; 0, 
IFERROR(VLOOKUP($G172,IMPORTRANGE(""https://docs.google.com/spreadsheets/d/1Gpl6jkTg7sL4VDNimU"&amp;"m3S9Vi1i95esohXCF3wuKOE8c"", ""'CONSOLIDADO'!G5:AB""), 19, 0), ""-""),
""""
)"),"https://epson.com.pe/Para-el-hogar/Impresoras/Inyecci%C3%B3n-de-tinta/Impresora-Inal%C3%A1mbrica-EcoTank-L1250/p/C11CJ71301")</f>
        <v>https://epson.com.pe/Para-el-hogar/Impresoras/Inyecci%C3%B3n-de-tinta/Impresora-Inal%C3%A1mbrica-EcoTank-L1250/p/C11CJ71301</v>
      </c>
      <c r="W172" s="37" t="str">
        <f>IFERROR(__xludf.DUMMYFUNCTION("IFERROR(VLOOKUP(G172,IMPORTRANGE(""https://docs.google.com/spreadsheets/d/12RxCea4e5ggM7QGn1XE3FbLQa_-QbCNdBi90OdPjRqg"", ""'Plan de Compras'!D4:Q""), 12, 0), ""NO ESTÁ EN REQ"")"),"Técnica")</f>
        <v>Técnica</v>
      </c>
      <c r="X172" s="37" t="str">
        <f>IFERROR(__xludf.DUMMYFUNCTION("IFERROR(VLOOKUP(G172,IMPORTRANGE(""https://docs.google.com/spreadsheets/d/12RxCea4e5ggM7QGn1XE3FbLQa_-QbCNdBi90OdPjRqg"", ""'Plan de Compras'!D4:Q""), 13, 0), """")"),"NACIONAL")</f>
        <v>NACIONAL</v>
      </c>
      <c r="Y172" s="32" t="str">
        <f>IFERROR(__xludf.DUMMYFUNCTION("IFERROR(VLOOKUP(G172,IMPORTRANGE(""https://docs.google.com/spreadsheets/d/12RxCea4e5ggM7QGn1XE3FbLQa_-QbCNdBi90OdPjRqg"", ""'Plan de Compras'!D4:Q""), 14, 0), """")"),"GEANFRANCO")</f>
        <v>GEANFRANCO</v>
      </c>
      <c r="Z172" s="38" t="str">
        <f>IFERROR(__xludf.DUMMYFUNCTION("IFERROR(VLOOKUP(G172,IMPORTRANGE(""https://docs.google.com/spreadsheets/d/12RxCea4e5ggM7QGn1XE3FbLQa_-QbCNdBi90OdPjRqg"", ""'Plan de Compras'!D4:Q""), 4, 0), """")"),"IMPRESORA PARA SUBLIMACIÓN")</f>
        <v>IMPRESORA PARA SUBLIMACIÓN</v>
      </c>
      <c r="AA172" s="38" t="str">
        <f t="shared" si="16"/>
        <v>TRUE</v>
      </c>
      <c r="AB172" s="37" t="str">
        <f>IFERROR(__xludf.DUMMYFUNCTION("IFERROR(IF(OR(C172=TRUE,C172=""""),VLOOKUP(G172,IMPORTRANGE(""https://docs.google.com/spreadsheets/d/1z9A1Wq-kKrhRNG5RS2a2fKpY1wIhSVz2ZNmP2mOl588/edit?usp=sharing"",""REQ VF!E4:H""),4,0),""NO APLICA""),""GENERAR REQ"")"),"GENERAR REQ")</f>
        <v>GENERAR REQ</v>
      </c>
      <c r="AC172" s="37" t="str">
        <f>IFERROR(__xludf.DUMMYFUNCTION("IFERROR(QUERY(IMPORTRANGE(""https://docs.google.com/spreadsheets/d/1z9A1Wq-kKrhRNG5RS2a2fKpY1wIhSVz2ZNmP2mOl588/edit?usp=sharing"",""REQ VF!E4:Q""),""SELECT Col10, Col11, Col12 WHERE Col1 = '""&amp;G172&amp;""'"",0),""NO APLICA"")"),"NO APLICA")</f>
        <v>NO APLICA</v>
      </c>
      <c r="AD172" s="37"/>
      <c r="AE172" s="37"/>
      <c r="AF172" s="8" t="s">
        <v>52</v>
      </c>
      <c r="AG172" s="13"/>
    </row>
    <row r="173">
      <c r="A173" s="26"/>
      <c r="B173" s="26"/>
      <c r="C173" s="26" t="b">
        <v>0</v>
      </c>
      <c r="D173" s="26" t="s">
        <v>42</v>
      </c>
      <c r="E173" s="26" t="s">
        <v>36</v>
      </c>
      <c r="F173" s="59" t="s">
        <v>609</v>
      </c>
      <c r="G173" s="39" t="s">
        <v>612</v>
      </c>
      <c r="H173" s="40" t="s">
        <v>613</v>
      </c>
      <c r="I173" s="43">
        <v>0.0</v>
      </c>
      <c r="J173" s="26" t="str">
        <f>IFERROR(__xludf.DUMMYFUNCTION("VLOOKUP(G173,IMPORTRANGE(""https://docs.google.com/spreadsheets/d/12RxCea4e5ggM7QGn1XE3FbLQa_-QbCNdBi90OdPjRqg/edit?gid=1692403370#gid=1692403370"", ""'Plan de Compras'!D4:2432""), 8,0)"),"#N/A")</f>
        <v>#N/A</v>
      </c>
      <c r="K173" s="26" t="str">
        <f t="shared" si="1"/>
        <v>-</v>
      </c>
      <c r="L173" s="26"/>
      <c r="M173" s="87"/>
      <c r="N173" s="60" t="s">
        <v>166</v>
      </c>
      <c r="O173" s="42"/>
      <c r="P173" s="42"/>
      <c r="Q173" s="85" t="s">
        <v>614</v>
      </c>
      <c r="R173" s="87"/>
      <c r="S173" s="34" t="b">
        <v>1</v>
      </c>
      <c r="T173" s="35" t="s">
        <v>615</v>
      </c>
      <c r="U173" s="35" t="s">
        <v>119</v>
      </c>
      <c r="V173" s="44"/>
      <c r="W173" s="37" t="str">
        <f>IFERROR(__xludf.DUMMYFUNCTION("IFERROR(VLOOKUP(G173,IMPORTRANGE(""https://docs.google.com/spreadsheets/d/12RxCea4e5ggM7QGn1XE3FbLQa_-QbCNdBi90OdPjRqg"", ""'Plan de Compras'!D4:Q""), 12, 0), ""NO ESTÁ EN REQ"")"),"NO ESTÁ EN REQ")</f>
        <v>NO ESTÁ EN REQ</v>
      </c>
      <c r="X173" s="37" t="str">
        <f>IFERROR(__xludf.DUMMYFUNCTION("IFERROR(VLOOKUP(G173,IMPORTRANGE(""https://docs.google.com/spreadsheets/d/12RxCea4e5ggM7QGn1XE3FbLQa_-QbCNdBi90OdPjRqg"", ""'Plan de Compras'!D4:Q""), 13, 0), """")"),"")</f>
        <v/>
      </c>
      <c r="Y173" s="32" t="str">
        <f>IFERROR(__xludf.DUMMYFUNCTION("IFERROR(VLOOKUP(G173,IMPORTRANGE(""https://docs.google.com/spreadsheets/d/12RxCea4e5ggM7QGn1XE3FbLQa_-QbCNdBi90OdPjRqg"", ""'Plan de Compras'!D4:Q""), 14, 0), """")"),"")</f>
        <v/>
      </c>
      <c r="Z173" s="38" t="str">
        <f>IFERROR(__xludf.DUMMYFUNCTION("IFERROR(VLOOKUP(G173,IMPORTRANGE(""https://docs.google.com/spreadsheets/d/12RxCea4e5ggM7QGn1XE3FbLQa_-QbCNdBi90OdPjRqg"", ""'Plan de Compras'!D4:Q""), 4, 0), """")"),"")</f>
        <v/>
      </c>
      <c r="AA173" s="38" t="str">
        <f t="shared" si="16"/>
        <v>FALSE</v>
      </c>
      <c r="AB173" s="37" t="str">
        <f>IFERROR(__xludf.DUMMYFUNCTION("IFERROR(IF(OR(C173=TRUE,C173=""""),VLOOKUP(G173,IMPORTRANGE(""https://docs.google.com/spreadsheets/d/1z9A1Wq-kKrhRNG5RS2a2fKpY1wIhSVz2ZNmP2mOl588/edit?usp=sharing"",""REQ VF!E4:H""),4,0),""NO APLICA""),""GENERAR REQ"")"),"NO APLICA")</f>
        <v>NO APLICA</v>
      </c>
      <c r="AC173" s="37" t="str">
        <f>IFERROR(__xludf.DUMMYFUNCTION("IFERROR(QUERY(IMPORTRANGE(""https://docs.google.com/spreadsheets/d/1z9A1Wq-kKrhRNG5RS2a2fKpY1wIhSVz2ZNmP2mOl588/edit?usp=sharing"",""REQ VF!E4:Q""),""SELECT Col10, Col11, Col12 WHERE Col1 = '""&amp;G173&amp;""'"",0),""NO APLICA"")"),"NO APLICA")</f>
        <v>NO APLICA</v>
      </c>
      <c r="AD173" s="37"/>
      <c r="AE173" s="37"/>
      <c r="AF173" s="13"/>
      <c r="AG173" s="13"/>
    </row>
    <row r="174">
      <c r="A174" s="26"/>
      <c r="B174" s="26"/>
      <c r="C174" s="26" t="b">
        <v>0</v>
      </c>
      <c r="D174" s="26" t="s">
        <v>42</v>
      </c>
      <c r="E174" s="26" t="s">
        <v>36</v>
      </c>
      <c r="F174" s="59" t="s">
        <v>609</v>
      </c>
      <c r="G174" s="39" t="s">
        <v>616</v>
      </c>
      <c r="H174" s="40" t="s">
        <v>617</v>
      </c>
      <c r="I174" s="43">
        <v>0.0</v>
      </c>
      <c r="J174" s="26" t="str">
        <f>IFERROR(__xludf.DUMMYFUNCTION("VLOOKUP(G174,IMPORTRANGE(""https://docs.google.com/spreadsheets/d/12RxCea4e5ggM7QGn1XE3FbLQa_-QbCNdBi90OdPjRqg/edit?gid=1692403370#gid=1692403370"", ""'Plan de Compras'!D4:2432""), 8,0)"),"#N/A")</f>
        <v>#N/A</v>
      </c>
      <c r="K174" s="26" t="str">
        <f t="shared" si="1"/>
        <v>-</v>
      </c>
      <c r="L174" s="26"/>
      <c r="M174" s="87"/>
      <c r="N174" s="60" t="s">
        <v>166</v>
      </c>
      <c r="O174" s="42"/>
      <c r="P174" s="42"/>
      <c r="Q174" s="85" t="s">
        <v>618</v>
      </c>
      <c r="R174" s="87"/>
      <c r="S174" s="34" t="b">
        <v>1</v>
      </c>
      <c r="T174" s="35" t="s">
        <v>615</v>
      </c>
      <c r="U174" s="35" t="s">
        <v>119</v>
      </c>
      <c r="V174" s="44"/>
      <c r="W174" s="37" t="str">
        <f>IFERROR(__xludf.DUMMYFUNCTION("IFERROR(VLOOKUP(G174,IMPORTRANGE(""https://docs.google.com/spreadsheets/d/12RxCea4e5ggM7QGn1XE3FbLQa_-QbCNdBi90OdPjRqg"", ""'Plan de Compras'!D4:Q""), 12, 0), ""NO ESTÁ EN REQ"")"),"NO ESTÁ EN REQ")</f>
        <v>NO ESTÁ EN REQ</v>
      </c>
      <c r="X174" s="37" t="str">
        <f>IFERROR(__xludf.DUMMYFUNCTION("IFERROR(VLOOKUP(G174,IMPORTRANGE(""https://docs.google.com/spreadsheets/d/12RxCea4e5ggM7QGn1XE3FbLQa_-QbCNdBi90OdPjRqg"", ""'Plan de Compras'!D4:Q""), 13, 0), """")"),"")</f>
        <v/>
      </c>
      <c r="Y174" s="32" t="str">
        <f>IFERROR(__xludf.DUMMYFUNCTION("IFERROR(VLOOKUP(G174,IMPORTRANGE(""https://docs.google.com/spreadsheets/d/12RxCea4e5ggM7QGn1XE3FbLQa_-QbCNdBi90OdPjRqg"", ""'Plan de Compras'!D4:Q""), 14, 0), """")"),"")</f>
        <v/>
      </c>
      <c r="Z174" s="38" t="str">
        <f>IFERROR(__xludf.DUMMYFUNCTION("IFERROR(VLOOKUP(G174,IMPORTRANGE(""https://docs.google.com/spreadsheets/d/12RxCea4e5ggM7QGn1XE3FbLQa_-QbCNdBi90OdPjRqg"", ""'Plan de Compras'!D4:Q""), 4, 0), """")"),"")</f>
        <v/>
      </c>
      <c r="AA174" s="38" t="str">
        <f t="shared" si="16"/>
        <v>FALSE</v>
      </c>
      <c r="AB174" s="37" t="str">
        <f>IFERROR(__xludf.DUMMYFUNCTION("IFERROR(IF(OR(C174=TRUE,C174=""""),VLOOKUP(G174,IMPORTRANGE(""https://docs.google.com/spreadsheets/d/1z9A1Wq-kKrhRNG5RS2a2fKpY1wIhSVz2ZNmP2mOl588/edit?usp=sharing"",""REQ VF!E4:H""),4,0),""NO APLICA""),""GENERAR REQ"")"),"NO APLICA")</f>
        <v>NO APLICA</v>
      </c>
      <c r="AC174" s="37" t="str">
        <f>IFERROR(__xludf.DUMMYFUNCTION("IFERROR(QUERY(IMPORTRANGE(""https://docs.google.com/spreadsheets/d/1z9A1Wq-kKrhRNG5RS2a2fKpY1wIhSVz2ZNmP2mOl588/edit?usp=sharing"",""REQ VF!E4:Q""),""SELECT Col10, Col11, Col12 WHERE Col1 = '""&amp;G174&amp;""'"",0),""NO APLICA"")"),"NO APLICA")</f>
        <v>NO APLICA</v>
      </c>
      <c r="AD174" s="37"/>
      <c r="AE174" s="37"/>
      <c r="AF174" s="13"/>
      <c r="AG174" s="13"/>
    </row>
    <row r="175">
      <c r="A175" s="26"/>
      <c r="B175" s="26"/>
      <c r="C175" s="26" t="b">
        <v>0</v>
      </c>
      <c r="D175" s="26" t="s">
        <v>42</v>
      </c>
      <c r="E175" s="26" t="s">
        <v>36</v>
      </c>
      <c r="F175" s="59" t="s">
        <v>609</v>
      </c>
      <c r="G175" s="39" t="s">
        <v>619</v>
      </c>
      <c r="H175" s="40" t="s">
        <v>620</v>
      </c>
      <c r="I175" s="43">
        <v>0.0</v>
      </c>
      <c r="J175" s="26" t="str">
        <f>IFERROR(__xludf.DUMMYFUNCTION("VLOOKUP(G175,IMPORTRANGE(""https://docs.google.com/spreadsheets/d/12RxCea4e5ggM7QGn1XE3FbLQa_-QbCNdBi90OdPjRqg/edit?gid=1692403370#gid=1692403370"", ""'Plan de Compras'!D4:2432""), 8,0)"),"#N/A")</f>
        <v>#N/A</v>
      </c>
      <c r="K175" s="26" t="str">
        <f t="shared" si="1"/>
        <v>-</v>
      </c>
      <c r="L175" s="26"/>
      <c r="M175" s="87"/>
      <c r="N175" s="60" t="s">
        <v>166</v>
      </c>
      <c r="O175" s="42"/>
      <c r="P175" s="42"/>
      <c r="Q175" s="85" t="s">
        <v>621</v>
      </c>
      <c r="R175" s="87"/>
      <c r="S175" s="34" t="b">
        <v>1</v>
      </c>
      <c r="T175" s="35" t="s">
        <v>615</v>
      </c>
      <c r="U175" s="35" t="s">
        <v>119</v>
      </c>
      <c r="V175" s="44"/>
      <c r="W175" s="37" t="str">
        <f>IFERROR(__xludf.DUMMYFUNCTION("IFERROR(VLOOKUP(G175,IMPORTRANGE(""https://docs.google.com/spreadsheets/d/12RxCea4e5ggM7QGn1XE3FbLQa_-QbCNdBi90OdPjRqg"", ""'Plan de Compras'!D4:Q""), 12, 0), ""NO ESTÁ EN REQ"")"),"NO ESTÁ EN REQ")</f>
        <v>NO ESTÁ EN REQ</v>
      </c>
      <c r="X175" s="37" t="str">
        <f>IFERROR(__xludf.DUMMYFUNCTION("IFERROR(VLOOKUP(G175,IMPORTRANGE(""https://docs.google.com/spreadsheets/d/12RxCea4e5ggM7QGn1XE3FbLQa_-QbCNdBi90OdPjRqg"", ""'Plan de Compras'!D4:Q""), 13, 0), """")"),"")</f>
        <v/>
      </c>
      <c r="Y175" s="32" t="str">
        <f>IFERROR(__xludf.DUMMYFUNCTION("IFERROR(VLOOKUP(G175,IMPORTRANGE(""https://docs.google.com/spreadsheets/d/12RxCea4e5ggM7QGn1XE3FbLQa_-QbCNdBi90OdPjRqg"", ""'Plan de Compras'!D4:Q""), 14, 0), """")"),"")</f>
        <v/>
      </c>
      <c r="Z175" s="38" t="str">
        <f>IFERROR(__xludf.DUMMYFUNCTION("IFERROR(VLOOKUP(G175,IMPORTRANGE(""https://docs.google.com/spreadsheets/d/12RxCea4e5ggM7QGn1XE3FbLQa_-QbCNdBi90OdPjRqg"", ""'Plan de Compras'!D4:Q""), 4, 0), """")"),"")</f>
        <v/>
      </c>
      <c r="AA175" s="38" t="str">
        <f t="shared" si="16"/>
        <v>FALSE</v>
      </c>
      <c r="AB175" s="37" t="str">
        <f>IFERROR(__xludf.DUMMYFUNCTION("IFERROR(IF(OR(C175=TRUE,C175=""""),VLOOKUP(G175,IMPORTRANGE(""https://docs.google.com/spreadsheets/d/1z9A1Wq-kKrhRNG5RS2a2fKpY1wIhSVz2ZNmP2mOl588/edit?usp=sharing"",""REQ VF!E4:H""),4,0),""NO APLICA""),""GENERAR REQ"")"),"NO APLICA")</f>
        <v>NO APLICA</v>
      </c>
      <c r="AC175" s="37" t="str">
        <f>IFERROR(__xludf.DUMMYFUNCTION("IFERROR(QUERY(IMPORTRANGE(""https://docs.google.com/spreadsheets/d/1z9A1Wq-kKrhRNG5RS2a2fKpY1wIhSVz2ZNmP2mOl588/edit?usp=sharing"",""REQ VF!E4:Q""),""SELECT Col10, Col11, Col12 WHERE Col1 = '""&amp;G175&amp;""'"",0),""NO APLICA"")"),"NO APLICA")</f>
        <v>NO APLICA</v>
      </c>
      <c r="AD175" s="37"/>
      <c r="AE175" s="37"/>
      <c r="AF175" s="13"/>
      <c r="AG175" s="13"/>
    </row>
    <row r="176">
      <c r="A176" s="26"/>
      <c r="B176" s="26"/>
      <c r="C176" s="26" t="b">
        <v>0</v>
      </c>
      <c r="D176" s="26" t="s">
        <v>42</v>
      </c>
      <c r="E176" s="26" t="s">
        <v>36</v>
      </c>
      <c r="F176" s="59" t="s">
        <v>609</v>
      </c>
      <c r="G176" s="39" t="s">
        <v>622</v>
      </c>
      <c r="H176" s="40" t="s">
        <v>623</v>
      </c>
      <c r="I176" s="43">
        <v>0.0</v>
      </c>
      <c r="J176" s="26" t="str">
        <f>IFERROR(__xludf.DUMMYFUNCTION("VLOOKUP(G176,IMPORTRANGE(""https://docs.google.com/spreadsheets/d/12RxCea4e5ggM7QGn1XE3FbLQa_-QbCNdBi90OdPjRqg/edit?gid=1692403370#gid=1692403370"", ""'Plan de Compras'!D4:2432""), 8,0)"),"#N/A")</f>
        <v>#N/A</v>
      </c>
      <c r="K176" s="26" t="str">
        <f t="shared" si="1"/>
        <v>-</v>
      </c>
      <c r="L176" s="26"/>
      <c r="M176" s="87"/>
      <c r="N176" s="60" t="s">
        <v>166</v>
      </c>
      <c r="O176" s="42"/>
      <c r="P176" s="42"/>
      <c r="Q176" s="85" t="s">
        <v>624</v>
      </c>
      <c r="R176" s="87"/>
      <c r="S176" s="34" t="b">
        <v>1</v>
      </c>
      <c r="T176" s="35" t="s">
        <v>615</v>
      </c>
      <c r="U176" s="35" t="s">
        <v>119</v>
      </c>
      <c r="V176" s="44"/>
      <c r="W176" s="37" t="str">
        <f>IFERROR(__xludf.DUMMYFUNCTION("IFERROR(VLOOKUP(G176,IMPORTRANGE(""https://docs.google.com/spreadsheets/d/12RxCea4e5ggM7QGn1XE3FbLQa_-QbCNdBi90OdPjRqg"", ""'Plan de Compras'!D4:Q""), 12, 0), ""NO ESTÁ EN REQ"")"),"NO ESTÁ EN REQ")</f>
        <v>NO ESTÁ EN REQ</v>
      </c>
      <c r="X176" s="37" t="str">
        <f>IFERROR(__xludf.DUMMYFUNCTION("IFERROR(VLOOKUP(G176,IMPORTRANGE(""https://docs.google.com/spreadsheets/d/12RxCea4e5ggM7QGn1XE3FbLQa_-QbCNdBi90OdPjRqg"", ""'Plan de Compras'!D4:Q""), 13, 0), """")"),"")</f>
        <v/>
      </c>
      <c r="Y176" s="32" t="str">
        <f>IFERROR(__xludf.DUMMYFUNCTION("IFERROR(VLOOKUP(G176,IMPORTRANGE(""https://docs.google.com/spreadsheets/d/12RxCea4e5ggM7QGn1XE3FbLQa_-QbCNdBi90OdPjRqg"", ""'Plan de Compras'!D4:Q""), 14, 0), """")"),"")</f>
        <v/>
      </c>
      <c r="Z176" s="38" t="str">
        <f>IFERROR(__xludf.DUMMYFUNCTION("IFERROR(VLOOKUP(G176,IMPORTRANGE(""https://docs.google.com/spreadsheets/d/12RxCea4e5ggM7QGn1XE3FbLQa_-QbCNdBi90OdPjRqg"", ""'Plan de Compras'!D4:Q""), 4, 0), """")"),"")</f>
        <v/>
      </c>
      <c r="AA176" s="38" t="str">
        <f t="shared" si="16"/>
        <v>FALSE</v>
      </c>
      <c r="AB176" s="37" t="str">
        <f>IFERROR(__xludf.DUMMYFUNCTION("IFERROR(IF(OR(C176=TRUE,C176=""""),VLOOKUP(G176,IMPORTRANGE(""https://docs.google.com/spreadsheets/d/1z9A1Wq-kKrhRNG5RS2a2fKpY1wIhSVz2ZNmP2mOl588/edit?usp=sharing"",""REQ VF!E4:H""),4,0),""NO APLICA""),""GENERAR REQ"")"),"NO APLICA")</f>
        <v>NO APLICA</v>
      </c>
      <c r="AC176" s="37" t="str">
        <f>IFERROR(__xludf.DUMMYFUNCTION("IFERROR(QUERY(IMPORTRANGE(""https://docs.google.com/spreadsheets/d/1z9A1Wq-kKrhRNG5RS2a2fKpY1wIhSVz2ZNmP2mOl588/edit?usp=sharing"",""REQ VF!E4:Q""),""SELECT Col10, Col11, Col12 WHERE Col1 = '""&amp;G176&amp;""'"",0),""NO APLICA"")"),"NO APLICA")</f>
        <v>NO APLICA</v>
      </c>
      <c r="AD176" s="37"/>
      <c r="AE176" s="37"/>
      <c r="AF176" s="13"/>
      <c r="AG176" s="13"/>
    </row>
    <row r="177">
      <c r="A177" s="26"/>
      <c r="B177" s="26"/>
      <c r="C177" s="26" t="b">
        <v>1</v>
      </c>
      <c r="D177" s="26" t="s">
        <v>42</v>
      </c>
      <c r="E177" s="26" t="s">
        <v>36</v>
      </c>
      <c r="F177" s="59" t="s">
        <v>609</v>
      </c>
      <c r="G177" s="39" t="s">
        <v>625</v>
      </c>
      <c r="H177" s="40" t="s">
        <v>626</v>
      </c>
      <c r="I177" s="43">
        <f t="shared" ref="I177:I178" si="22">$I$172</f>
        <v>4</v>
      </c>
      <c r="J177" s="26">
        <f>IFERROR(__xludf.DUMMYFUNCTION("VLOOKUP(G177,IMPORTRANGE(""https://docs.google.com/spreadsheets/d/12RxCea4e5ggM7QGn1XE3FbLQa_-QbCNdBi90OdPjRqg/edit?gid=1692403370#gid=1692403370"", ""'Plan de Compras'!D4:2432""), 8,0)"),4.0)</f>
        <v>4</v>
      </c>
      <c r="K177" s="26" t="str">
        <f t="shared" si="1"/>
        <v>SI</v>
      </c>
      <c r="L177" s="26"/>
      <c r="M177" s="87"/>
      <c r="N177" s="60" t="s">
        <v>166</v>
      </c>
      <c r="O177" s="42"/>
      <c r="P177" s="42"/>
      <c r="Q177" s="85" t="s">
        <v>627</v>
      </c>
      <c r="R177" s="87"/>
      <c r="S177" s="44" t="b">
        <v>0</v>
      </c>
      <c r="T177" s="72"/>
      <c r="U177" s="72"/>
      <c r="V177" s="44"/>
      <c r="W177" s="37" t="str">
        <f>IFERROR(__xludf.DUMMYFUNCTION("IFERROR(VLOOKUP(G177,IMPORTRANGE(""https://docs.google.com/spreadsheets/d/12RxCea4e5ggM7QGn1XE3FbLQa_-QbCNdBi90OdPjRqg"", ""'Plan de Compras'!D4:Q""), 12, 0), ""NO ESTÁ EN REQ"")"),"Técnica")</f>
        <v>Técnica</v>
      </c>
      <c r="X177" s="37" t="str">
        <f>IFERROR(__xludf.DUMMYFUNCTION("IFERROR(VLOOKUP(G177,IMPORTRANGE(""https://docs.google.com/spreadsheets/d/12RxCea4e5ggM7QGn1XE3FbLQa_-QbCNdBi90OdPjRqg"", ""'Plan de Compras'!D4:Q""), 13, 0), """")"),"NACIONAL")</f>
        <v>NACIONAL</v>
      </c>
      <c r="Y177" s="32" t="str">
        <f>IFERROR(__xludf.DUMMYFUNCTION("IFERROR(VLOOKUP(G177,IMPORTRANGE(""https://docs.google.com/spreadsheets/d/12RxCea4e5ggM7QGn1XE3FbLQa_-QbCNdBi90OdPjRqg"", ""'Plan de Compras'!D4:Q""), 14, 0), """")"),"GEANFRANCO")</f>
        <v>GEANFRANCO</v>
      </c>
      <c r="Z177" s="38" t="str">
        <f>IFERROR(__xludf.DUMMYFUNCTION("IFERROR(VLOOKUP(G177,IMPORTRANGE(""https://docs.google.com/spreadsheets/d/12RxCea4e5ggM7QGn1XE3FbLQa_-QbCNdBi90OdPjRqg"", ""'Plan de Compras'!D4:Q""), 4, 0), """")"),"PACK DE 100 HOJAS PARA SUBLIMACIÓN (1 UND)")</f>
        <v>PACK DE 100 HOJAS PARA SUBLIMACIÓN (1 UND)</v>
      </c>
      <c r="AA177" s="38" t="str">
        <f t="shared" si="16"/>
        <v>TRUE</v>
      </c>
      <c r="AB177" s="37" t="str">
        <f>IFERROR(__xludf.DUMMYFUNCTION("IFERROR(IF(OR(C177=TRUE,C177=""""),VLOOKUP(G177,IMPORTRANGE(""https://docs.google.com/spreadsheets/d/1z9A1Wq-kKrhRNG5RS2a2fKpY1wIhSVz2ZNmP2mOl588/edit?usp=sharing"",""REQ VF!E4:H""),4,0),""NO APLICA""),""GENERAR REQ"")"),"GENERAR REQ")</f>
        <v>GENERAR REQ</v>
      </c>
      <c r="AC177" s="37" t="str">
        <f>IFERROR(__xludf.DUMMYFUNCTION("IFERROR(QUERY(IMPORTRANGE(""https://docs.google.com/spreadsheets/d/1z9A1Wq-kKrhRNG5RS2a2fKpY1wIhSVz2ZNmP2mOl588/edit?usp=sharing"",""REQ VF!E4:Q""),""SELECT Col10, Col11, Col12 WHERE Col1 = '""&amp;G177&amp;""'"",0),""NO APLICA"")"),"NO APLICA")</f>
        <v>NO APLICA</v>
      </c>
      <c r="AD177" s="37"/>
      <c r="AE177" s="37"/>
      <c r="AF177" s="13"/>
      <c r="AG177" s="13"/>
    </row>
    <row r="178">
      <c r="A178" s="26"/>
      <c r="B178" s="26"/>
      <c r="C178" s="26" t="b">
        <v>1</v>
      </c>
      <c r="D178" s="43" t="s">
        <v>42</v>
      </c>
      <c r="E178" s="43" t="s">
        <v>36</v>
      </c>
      <c r="F178" s="39" t="s">
        <v>609</v>
      </c>
      <c r="G178" s="39" t="s">
        <v>628</v>
      </c>
      <c r="H178" s="40" t="s">
        <v>371</v>
      </c>
      <c r="I178" s="43">
        <f t="shared" si="22"/>
        <v>4</v>
      </c>
      <c r="J178" s="26">
        <f>IFERROR(__xludf.DUMMYFUNCTION("VLOOKUP(G178,IMPORTRANGE(""https://docs.google.com/spreadsheets/d/12RxCea4e5ggM7QGn1XE3FbLQa_-QbCNdBi90OdPjRqg/edit?gid=1692403370#gid=1692403370"", ""'Plan de Compras'!D4:2432""), 8,0)"),4.0)</f>
        <v>4</v>
      </c>
      <c r="K178" s="26" t="str">
        <f t="shared" si="1"/>
        <v>SI</v>
      </c>
      <c r="L178" s="26"/>
      <c r="M178" s="87"/>
      <c r="N178" s="26" t="s">
        <v>629</v>
      </c>
      <c r="O178" s="42"/>
      <c r="P178" s="42"/>
      <c r="Q178" s="88" t="s">
        <v>630</v>
      </c>
      <c r="R178" s="87"/>
      <c r="S178" s="44" t="b">
        <v>0</v>
      </c>
      <c r="T178" s="72"/>
      <c r="U178" s="72"/>
      <c r="V178" s="44"/>
      <c r="W178" s="37" t="str">
        <f>IFERROR(__xludf.DUMMYFUNCTION("IFERROR(VLOOKUP(G178,IMPORTRANGE(""https://docs.google.com/spreadsheets/d/12RxCea4e5ggM7QGn1XE3FbLQa_-QbCNdBi90OdPjRqg"", ""'Plan de Compras'!D4:Q""), 12, 0), ""NO ESTÁ EN REQ"")"),"Técnica")</f>
        <v>Técnica</v>
      </c>
      <c r="X178" s="37" t="str">
        <f>IFERROR(__xludf.DUMMYFUNCTION("IFERROR(VLOOKUP(G178,IMPORTRANGE(""https://docs.google.com/spreadsheets/d/12RxCea4e5ggM7QGn1XE3FbLQa_-QbCNdBi90OdPjRqg"", ""'Plan de Compras'!D4:Q""), 13, 0), """")"),"NACIONAL")</f>
        <v>NACIONAL</v>
      </c>
      <c r="Y178" s="32" t="str">
        <f>IFERROR(__xludf.DUMMYFUNCTION("IFERROR(VLOOKUP(G178,IMPORTRANGE(""https://docs.google.com/spreadsheets/d/12RxCea4e5ggM7QGn1XE3FbLQa_-QbCNdBi90OdPjRqg"", ""'Plan de Compras'!D4:Q""), 14, 0), """")"),"GEANFRANCO")</f>
        <v>GEANFRANCO</v>
      </c>
      <c r="Z178" s="38" t="str">
        <f>IFERROR(__xludf.DUMMYFUNCTION("IFERROR(VLOOKUP(G178,IMPORTRANGE(""https://docs.google.com/spreadsheets/d/12RxCea4e5ggM7QGn1XE3FbLQa_-QbCNdBi90OdPjRqg"", ""'Plan de Compras'!D4:Q""), 4, 0), """")"),"USB CON DRIVERS Y MANUALES (1 UND)")</f>
        <v>USB CON DRIVERS Y MANUALES (1 UND)</v>
      </c>
      <c r="AA178" s="38" t="str">
        <f t="shared" si="16"/>
        <v>FALSE</v>
      </c>
      <c r="AB178" s="37" t="str">
        <f>IFERROR(__xludf.DUMMYFUNCTION("IFERROR(IF(OR(C178=TRUE,C178=""""),VLOOKUP(G178,IMPORTRANGE(""https://docs.google.com/spreadsheets/d/1z9A1Wq-kKrhRNG5RS2a2fKpY1wIhSVz2ZNmP2mOl588/edit?usp=sharing"",""REQ VF!E4:H""),4,0),""NO APLICA""),""GENERAR REQ"")"),"GENERAR REQ")</f>
        <v>GENERAR REQ</v>
      </c>
      <c r="AC178" s="37" t="str">
        <f>IFERROR(__xludf.DUMMYFUNCTION("IFERROR(QUERY(IMPORTRANGE(""https://docs.google.com/spreadsheets/d/1z9A1Wq-kKrhRNG5RS2a2fKpY1wIhSVz2ZNmP2mOl588/edit?usp=sharing"",""REQ VF!E4:Q""),""SELECT Col10, Col11, Col12 WHERE Col1 = '""&amp;G178&amp;""'"",0),""NO APLICA"")"),"NO APLICA")</f>
        <v>NO APLICA</v>
      </c>
      <c r="AD178" s="37"/>
      <c r="AE178" s="37"/>
      <c r="AF178" s="13"/>
      <c r="AG178" s="13"/>
    </row>
    <row r="179">
      <c r="A179" s="26">
        <v>79.0</v>
      </c>
      <c r="B179" s="26" t="b">
        <v>1</v>
      </c>
      <c r="C179" s="26" t="b">
        <v>1</v>
      </c>
      <c r="D179" s="26" t="s">
        <v>35</v>
      </c>
      <c r="E179" s="26" t="s">
        <v>36</v>
      </c>
      <c r="F179" s="27" t="s">
        <v>631</v>
      </c>
      <c r="G179" s="37" t="s">
        <v>631</v>
      </c>
      <c r="H179" s="45" t="s">
        <v>632</v>
      </c>
      <c r="I179" s="26">
        <f>SUMIFS('Hoja 10'!$O:$O,'Hoja 10'!$F:$F,$G179)</f>
        <v>4</v>
      </c>
      <c r="J179" s="26">
        <f>IFERROR(__xludf.DUMMYFUNCTION("VLOOKUP(G179,IMPORTRANGE(""https://docs.google.com/spreadsheets/d/12RxCea4e5ggM7QGn1XE3FbLQa_-QbCNdBi90OdPjRqg/edit?gid=1692403370#gid=1692403370"", ""'Plan de Compras'!D4:2432""), 8,0)"),4.0)</f>
        <v>4</v>
      </c>
      <c r="K179" s="26" t="str">
        <f t="shared" si="1"/>
        <v>SI</v>
      </c>
      <c r="L179" s="29" t="s">
        <v>39</v>
      </c>
      <c r="M179" s="30" t="s">
        <v>40</v>
      </c>
      <c r="N179" s="42"/>
      <c r="O179" s="32" t="str">
        <f>VLOOKUP($G179,'Hoja 10'!$F$4:$AA478, 19,0)</f>
        <v>ZENITH LAB</v>
      </c>
      <c r="P179" s="32" t="str">
        <f>VLOOKUP($G179,'Hoja 10'!$F$4:$AA478, 20,0)</f>
        <v>DNP-9052A</v>
      </c>
      <c r="Q179" s="33" t="str">
        <f>VLOOKUP($G179,'Hoja 10'!$F$4:$AA478, 21,0)</f>
        <v>https://es.zenithlabo.com/laboratory-incubator/62102395.html</v>
      </c>
      <c r="R179" s="30" t="s">
        <v>633</v>
      </c>
      <c r="S179" s="34" t="b">
        <v>1</v>
      </c>
      <c r="T179" s="35" t="str">
        <f>IFERROR(__xludf.DUMMYFUNCTION(" IF
( VLOOKUP($G179,IMPORTRANGE(""https://docs.google.com/spreadsheets/d/1Gpl6jkTg7sL4VDNimUm3S9Vi1i95esohXCF3wuKOE8c"", ""'CONSOLIDADO'!G5:AB""), 10, 0) &lt;&gt; 0, 
IFERROR(VLOOKUP($G179,IMPORTRANGE(""https://docs.google.com/spreadsheets/d/1Gpl6jkTg7sL4VDNimU"&amp;"m3S9Vi1i95esohXCF3wuKOE8c"", ""'CONSOLIDADO'!G5:AB""), 17, 0), ""-""),
""""
)"),"ZENITH LAB")</f>
        <v>ZENITH LAB</v>
      </c>
      <c r="U179" s="35" t="str">
        <f>IFERROR(__xludf.DUMMYFUNCTION(" IF
( VLOOKUP($G179,IMPORTRANGE(""https://docs.google.com/spreadsheets/d/1Gpl6jkTg7sL4VDNimUm3S9Vi1i95esohXCF3wuKOE8c"", ""'CONSOLIDADO'!G5:AB""), 10, 0) &lt;&gt; 0, 
IFERROR(VLOOKUP($G179,IMPORTRANGE(""https://docs.google.com/spreadsheets/d/1Gpl6jkTg7sL4VDNimU"&amp;"m3S9Vi1i95esohXCF3wuKOE8c"", ""'CONSOLIDADO'!G5:AB""), 18, 0), ""-""),
""""
)"),"DNP-9052A")</f>
        <v>DNP-9052A</v>
      </c>
      <c r="V179" s="36" t="str">
        <f>IFERROR(__xludf.DUMMYFUNCTION(" IF
( VLOOKUP($G179,IMPORTRANGE(""https://docs.google.com/spreadsheets/d/1Gpl6jkTg7sL4VDNimUm3S9Vi1i95esohXCF3wuKOE8c"", ""'CONSOLIDADO'!G5:AB""), 10, 0) &lt;&gt; 0, 
IFERROR(VLOOKUP($G179,IMPORTRANGE(""https://docs.google.com/spreadsheets/d/1Gpl6jkTg7sL4VDNimU"&amp;"m3S9Vi1i95esohXCF3wuKOE8c"", ""'CONSOLIDADO'!G5:AB""), 19, 0), ""-""),
""""
)"),"https://es.zenithlabo.com/laboratory-incubator/62102395.html")</f>
        <v>https://es.zenithlabo.com/laboratory-incubator/62102395.html</v>
      </c>
      <c r="W179" s="37" t="str">
        <f>IFERROR(__xludf.DUMMYFUNCTION("IFERROR(VLOOKUP(G179,IMPORTRANGE(""https://docs.google.com/spreadsheets/d/12RxCea4e5ggM7QGn1XE3FbLQa_-QbCNdBi90OdPjRqg"", ""'Plan de Compras'!D4:Q""), 12, 0), ""NO ESTÁ EN REQ"")"),"Técnica")</f>
        <v>Técnica</v>
      </c>
      <c r="X179" s="37" t="str">
        <f>IFERROR(__xludf.DUMMYFUNCTION("IFERROR(VLOOKUP(G179,IMPORTRANGE(""https://docs.google.com/spreadsheets/d/12RxCea4e5ggM7QGn1XE3FbLQa_-QbCNdBi90OdPjRqg"", ""'Plan de Compras'!D4:Q""), 13, 0), """")"),"INTERNACIONAL")</f>
        <v>INTERNACIONAL</v>
      </c>
      <c r="Y179" s="32" t="str">
        <f>IFERROR(__xludf.DUMMYFUNCTION("IFERROR(VLOOKUP(G179,IMPORTRANGE(""https://docs.google.com/spreadsheets/d/12RxCea4e5ggM7QGn1XE3FbLQa_-QbCNdBi90OdPjRqg"", ""'Plan de Compras'!D4:Q""), 14, 0), """")"),"GIANFRANCO")</f>
        <v>GIANFRANCO</v>
      </c>
      <c r="Z179" s="38" t="str">
        <f>IFERROR(__xludf.DUMMYFUNCTION("IFERROR(VLOOKUP(G179,IMPORTRANGE(""https://docs.google.com/spreadsheets/d/12RxCea4e5ggM7QGn1XE3FbLQa_-QbCNdBi90OdPjRqg"", ""'Plan de Compras'!D4:Q""), 4, 0), """")"),"INCUBADORA PARA YOGURT")</f>
        <v>INCUBADORA PARA YOGURT</v>
      </c>
      <c r="AA179" s="38" t="str">
        <f t="shared" si="16"/>
        <v>TRUE</v>
      </c>
      <c r="AB179" s="37" t="str">
        <f>IFERROR(__xludf.DUMMYFUNCTION("IFERROR(IF(OR(C179=TRUE,C179=""""),VLOOKUP(G179,IMPORTRANGE(""https://docs.google.com/spreadsheets/d/1z9A1Wq-kKrhRNG5RS2a2fKpY1wIhSVz2ZNmP2mOl588/edit?usp=sharing"",""REQ VF!E4:H""),4,0),""NO APLICA""),""GENERAR REQ"")"),"GENERAR REQ")</f>
        <v>GENERAR REQ</v>
      </c>
      <c r="AC179" s="37" t="str">
        <f>IFERROR(__xludf.DUMMYFUNCTION("IFERROR(QUERY(IMPORTRANGE(""https://docs.google.com/spreadsheets/d/1z9A1Wq-kKrhRNG5RS2a2fKpY1wIhSVz2ZNmP2mOl588/edit?usp=sharing"",""REQ VF!E4:Q""),""SELECT Col10, Col11, Col12 WHERE Col1 = '""&amp;G179&amp;""'"",0),""NO APLICA"")"),"NO APLICA")</f>
        <v>NO APLICA</v>
      </c>
      <c r="AD179" s="37"/>
      <c r="AE179" s="37"/>
      <c r="AF179" s="8" t="s">
        <v>52</v>
      </c>
      <c r="AG179" s="13"/>
    </row>
    <row r="180">
      <c r="A180" s="26">
        <v>80.0</v>
      </c>
      <c r="B180" s="26" t="b">
        <v>1</v>
      </c>
      <c r="C180" s="26" t="b">
        <v>1</v>
      </c>
      <c r="D180" s="26" t="s">
        <v>35</v>
      </c>
      <c r="E180" s="26" t="s">
        <v>36</v>
      </c>
      <c r="F180" s="27" t="s">
        <v>634</v>
      </c>
      <c r="G180" s="37" t="s">
        <v>634</v>
      </c>
      <c r="H180" s="45" t="s">
        <v>635</v>
      </c>
      <c r="I180" s="26">
        <f>SUMIFS('Hoja 10'!$O:$O,'Hoja 10'!$F:$F,$G180)</f>
        <v>4</v>
      </c>
      <c r="J180" s="26">
        <f>IFERROR(__xludf.DUMMYFUNCTION("VLOOKUP(G180,IMPORTRANGE(""https://docs.google.com/spreadsheets/d/12RxCea4e5ggM7QGn1XE3FbLQa_-QbCNdBi90OdPjRqg/edit?gid=1692403370#gid=1692403370"", ""'Plan de Compras'!D4:2432""), 8,0)"),4.0)</f>
        <v>4</v>
      </c>
      <c r="K180" s="26" t="str">
        <f t="shared" si="1"/>
        <v>SI</v>
      </c>
      <c r="L180" s="29" t="s">
        <v>339</v>
      </c>
      <c r="M180" s="30" t="s">
        <v>340</v>
      </c>
      <c r="N180" s="42"/>
      <c r="O180" s="32" t="str">
        <f>VLOOKUP($G180,'Hoja 10'!$F$4:$AA478, 19,0)</f>
        <v>COMMSCOPE + PANDUIT</v>
      </c>
      <c r="P180" s="32" t="str">
        <f>VLOOKUP($G180,'Hoja 10'!$F$4:$AA478, 20,0)</f>
        <v>884047004/10 + PFL6X04WH-CEG</v>
      </c>
      <c r="Q180" s="33" t="str">
        <f>VLOOKUP($G180,'Hoja 10'!$F$4:$AA478, 21,0)</f>
        <v>https://www.commscope.com/product-type/cables/twisted-pair-cables/category-6a-cables/item884047004-10/</v>
      </c>
      <c r="R180" s="30" t="s">
        <v>636</v>
      </c>
      <c r="S180" s="34" t="b">
        <v>1</v>
      </c>
      <c r="T180" s="35" t="str">
        <f>IFERROR(__xludf.DUMMYFUNCTION(" IF
( VLOOKUP($G180,IMPORTRANGE(""https://docs.google.com/spreadsheets/d/1Gpl6jkTg7sL4VDNimUm3S9Vi1i95esohXCF3wuKOE8c"", ""'CONSOLIDADO'!G5:AB""), 10, 0) &lt;&gt; 0, 
IFERROR(VLOOKUP($G180,IMPORTRANGE(""https://docs.google.com/spreadsheets/d/1Gpl6jkTg7sL4VDNimU"&amp;"m3S9Vi1i95esohXCF3wuKOE8c"", ""'CONSOLIDADO'!G5:AB""), 17, 0), ""-""),
""""
)"),"DIXON")</f>
        <v>DIXON</v>
      </c>
      <c r="U180" s="35" t="str">
        <f>IFERROR(__xludf.DUMMYFUNCTION(" IF
( VLOOKUP($G180,IMPORTRANGE(""https://docs.google.com/spreadsheets/d/1Gpl6jkTg7sL4VDNimUm3S9Vi1i95esohXCF3wuKOE8c"", ""'CONSOLIDADO'!G5:AB""), 10, 0) &lt;&gt; 0, 
IFERROR(VLOOKUP($G180,IMPORTRANGE(""https://docs.google.com/spreadsheets/d/1Gpl6jkTg7sL4VDNimU"&amp;"m3S9Vi1i95esohXCF3wuKOE8c"", ""'CONSOLIDADO'!G5:AB""), 18, 0), ""-""),
""""
)"),"CABLE F/UTP CAT 6A SOLIDO LSZH DIXON 9061
CABLE UTP CAT 6 24AWG SOLIDO LSZH DIXON 9040")</f>
        <v>CABLE F/UTP CAT 6A SOLIDO LSZH DIXON 9061
CABLE UTP CAT 6 24AWG SOLIDO LSZH DIXON 9040</v>
      </c>
      <c r="V180" s="36" t="str">
        <f>IFERROR(__xludf.DUMMYFUNCTION(" IF
( VLOOKUP($G180,IMPORTRANGE(""https://docs.google.com/spreadsheets/d/1Gpl6jkTg7sL4VDNimUm3S9Vi1i95esohXCF3wuKOE8c"", ""'CONSOLIDADO'!G5:AB""), 10, 0) &lt;&gt; 0, 
IFERROR(VLOOKUP($G180,IMPORTRANGE(""https://docs.google.com/spreadsheets/d/1Gpl6jkTg7sL4VDNimU"&amp;"m3S9Vi1i95esohXCF3wuKOE8c"", ""'CONSOLIDADO'!G5:AB""), 19, 0), ""-""),
""""
)"),"https://irelectronics.pe/producto/cable-utp-cat-6-solido-lszh-dixon-9040/
https://irelectronics.pe/producto/cable-f-utp-cat-6a-solido-lszh-dixon-9061/")</f>
        <v>https://irelectronics.pe/producto/cable-utp-cat-6-solido-lszh-dixon-9040/
https://irelectronics.pe/producto/cable-f-utp-cat-6a-solido-lszh-dixon-9061/</v>
      </c>
      <c r="W180" s="37" t="str">
        <f>IFERROR(__xludf.DUMMYFUNCTION("IFERROR(VLOOKUP(G180,IMPORTRANGE(""https://docs.google.com/spreadsheets/d/12RxCea4e5ggM7QGn1XE3FbLQa_-QbCNdBi90OdPjRqg"", ""'Plan de Compras'!D4:Q""), 12, 0), ""NO ESTÁ EN REQ"")"),"Técnica")</f>
        <v>Técnica</v>
      </c>
      <c r="X180" s="37" t="str">
        <f>IFERROR(__xludf.DUMMYFUNCTION("IFERROR(VLOOKUP(G180,IMPORTRANGE(""https://docs.google.com/spreadsheets/d/12RxCea4e5ggM7QGn1XE3FbLQa_-QbCNdBi90OdPjRqg"", ""'Plan de Compras'!D4:Q""), 13, 0), """")"),"NACIONAL")</f>
        <v>NACIONAL</v>
      </c>
      <c r="Y180" s="32" t="str">
        <f>IFERROR(__xludf.DUMMYFUNCTION("IFERROR(VLOOKUP(G180,IMPORTRANGE(""https://docs.google.com/spreadsheets/d/12RxCea4e5ggM7QGn1XE3FbLQa_-QbCNdBi90OdPjRqg"", ""'Plan de Compras'!D4:Q""), 14, 0), """")"),"")</f>
        <v/>
      </c>
      <c r="Z180" s="38" t="str">
        <f>IFERROR(__xludf.DUMMYFUNCTION("IFERROR(VLOOKUP(G180,IMPORTRANGE(""https://docs.google.com/spreadsheets/d/12RxCea4e5ggM7QGn1XE3FbLQa_-QbCNdBi90OdPjRqg"", ""'Plan de Compras'!D4:Q""), 4, 0), """")"),"JUEGO DE CABLES UTP")</f>
        <v>JUEGO DE CABLES UTP</v>
      </c>
      <c r="AA180" s="38" t="str">
        <f t="shared" si="16"/>
        <v>TRUE</v>
      </c>
      <c r="AB180" s="37" t="str">
        <f>IFERROR(__xludf.DUMMYFUNCTION("IFERROR(IF(OR(C180=TRUE,C180=""""),VLOOKUP(G180,IMPORTRANGE(""https://docs.google.com/spreadsheets/d/1z9A1Wq-kKrhRNG5RS2a2fKpY1wIhSVz2ZNmP2mOl588/edit?usp=sharing"",""REQ VF!E4:H""),4,0),""NO APLICA""),""GENERAR REQ"")"),"GENERAR REQ")</f>
        <v>GENERAR REQ</v>
      </c>
      <c r="AC180" s="37" t="str">
        <f>IFERROR(__xludf.DUMMYFUNCTION("IFERROR(QUERY(IMPORTRANGE(""https://docs.google.com/spreadsheets/d/1z9A1Wq-kKrhRNG5RS2a2fKpY1wIhSVz2ZNmP2mOl588/edit?usp=sharing"",""REQ VF!E4:Q""),""SELECT Col10, Col11, Col12 WHERE Col1 = '""&amp;G180&amp;""'"",0),""NO APLICA"")"),"NO APLICA")</f>
        <v>NO APLICA</v>
      </c>
      <c r="AD180" s="37"/>
      <c r="AE180" s="37"/>
      <c r="AF180" s="13"/>
      <c r="AG180" s="13"/>
    </row>
    <row r="181">
      <c r="A181" s="26">
        <v>81.0</v>
      </c>
      <c r="B181" s="26" t="b">
        <v>1</v>
      </c>
      <c r="C181" s="26" t="b">
        <v>1</v>
      </c>
      <c r="D181" s="26" t="s">
        <v>35</v>
      </c>
      <c r="E181" s="26" t="s">
        <v>36</v>
      </c>
      <c r="F181" s="27" t="s">
        <v>637</v>
      </c>
      <c r="G181" s="37" t="s">
        <v>637</v>
      </c>
      <c r="H181" s="45" t="s">
        <v>638</v>
      </c>
      <c r="I181" s="26">
        <f>SUMIFS('Hoja 10'!$O:$O,'Hoja 10'!$F:$F,$G181)</f>
        <v>4</v>
      </c>
      <c r="J181" s="26">
        <f>IFERROR(__xludf.DUMMYFUNCTION("VLOOKUP(G181,IMPORTRANGE(""https://docs.google.com/spreadsheets/d/12RxCea4e5ggM7QGn1XE3FbLQa_-QbCNdBi90OdPjRqg/edit?gid=1692403370#gid=1692403370"", ""'Plan de Compras'!D4:2432""), 8,0)"),4.0)</f>
        <v>4</v>
      </c>
      <c r="K181" s="26" t="str">
        <f t="shared" si="1"/>
        <v>SI</v>
      </c>
      <c r="L181" s="29" t="s">
        <v>122</v>
      </c>
      <c r="M181" s="30" t="s">
        <v>123</v>
      </c>
      <c r="N181" s="42"/>
      <c r="O181" s="32" t="str">
        <f>VLOOKUP($G181,'Hoja 10'!$F$4:$AA478, 19,0)</f>
        <v>Labtech</v>
      </c>
      <c r="P181" s="32" t="str">
        <f>VLOOKUP($G181,'Hoja 10'!$F$4:$AA478, 20,0)</f>
        <v/>
      </c>
      <c r="Q181" s="33" t="str">
        <f>VLOOKUP($G181,'Hoja 10'!$F$4:$AA478, 21,0)</f>
        <v>https://drive.google.com/file/d/1VFyhOgA4N6Y5Dxsl3IyaY1tAsMmtjMK-/view</v>
      </c>
      <c r="R181" s="30" t="s">
        <v>639</v>
      </c>
      <c r="S181" s="34" t="b">
        <v>1</v>
      </c>
      <c r="T181" s="35" t="str">
        <f>IFERROR(__xludf.DUMMYFUNCTION(" IF
( VLOOKUP($G181,IMPORTRANGE(""https://docs.google.com/spreadsheets/d/1Gpl6jkTg7sL4VDNimUm3S9Vi1i95esohXCF3wuKOE8c"", ""'CONSOLIDADO'!G5:AB""), 10, 0) &lt;&gt; 0, 
IFERROR(VLOOKUP($G181,IMPORTRANGE(""https://docs.google.com/spreadsheets/d/1Gpl6jkTg7sL4VDNimU"&amp;"m3S9Vi1i95esohXCF3wuKOE8c"", ""'CONSOLIDADO'!G5:AB""), 17, 0), ""-""),
""""
)"),"Labtech")</f>
        <v>Labtech</v>
      </c>
      <c r="U181" s="35" t="str">
        <f>IFERROR(__xludf.DUMMYFUNCTION(" IF
( VLOOKUP($G181,IMPORTRANGE(""https://docs.google.com/spreadsheets/d/1Gpl6jkTg7sL4VDNimUm3S9Vi1i95esohXCF3wuKOE8c"", ""'CONSOLIDADO'!G5:AB""), 10, 0) &lt;&gt; 0, 
IFERROR(VLOOKUP($G181,IMPORTRANGE(""https://docs.google.com/spreadsheets/d/1Gpl6jkTg7sL4VDNimU"&amp;"m3S9Vi1i95esohXCF3wuKOE8c"", ""'CONSOLIDADO'!G5:AB""), 18, 0), ""-""),
""""
)"),"CMM-PIC-1")</f>
        <v>CMM-PIC-1</v>
      </c>
      <c r="V181" s="36" t="str">
        <f>IFERROR(__xludf.DUMMYFUNCTION(" IF
( VLOOKUP($G181,IMPORTRANGE(""https://docs.google.com/spreadsheets/d/1Gpl6jkTg7sL4VDNimUm3S9Vi1i95esohXCF3wuKOE8c"", ""'CONSOLIDADO'!G5:AB""), 10, 0) &lt;&gt; 0, 
IFERROR(VLOOKUP($G181,IMPORTRANGE(""https://docs.google.com/spreadsheets/d/1Gpl6jkTg7sL4VDNimU"&amp;"m3S9Vi1i95esohXCF3wuKOE8c"", ""'CONSOLIDADO'!G5:AB""), 19, 0), ""-""),
""""
)"),"https://drive.google.com/file/d/1VFyhOgA4N6Y5Dxsl3IyaY1tAsMmtjMK-/view")</f>
        <v>https://drive.google.com/file/d/1VFyhOgA4N6Y5Dxsl3IyaY1tAsMmtjMK-/view</v>
      </c>
      <c r="W181" s="37" t="str">
        <f>IFERROR(__xludf.DUMMYFUNCTION("IFERROR(VLOOKUP(G181,IMPORTRANGE(""https://docs.google.com/spreadsheets/d/12RxCea4e5ggM7QGn1XE3FbLQa_-QbCNdBi90OdPjRqg"", ""'Plan de Compras'!D4:Q""), 12, 0), ""NO ESTÁ EN REQ"")"),"Técnica")</f>
        <v>Técnica</v>
      </c>
      <c r="X181" s="37" t="str">
        <f>IFERROR(__xludf.DUMMYFUNCTION("IFERROR(VLOOKUP(G181,IMPORTRANGE(""https://docs.google.com/spreadsheets/d/12RxCea4e5ggM7QGn1XE3FbLQa_-QbCNdBi90OdPjRqg"", ""'Plan de Compras'!D4:Q""), 13, 0), """")"),"INTERNACIONAL")</f>
        <v>INTERNACIONAL</v>
      </c>
      <c r="Y181" s="32" t="str">
        <f>IFERROR(__xludf.DUMMYFUNCTION("IFERROR(VLOOKUP(G181,IMPORTRANGE(""https://docs.google.com/spreadsheets/d/12RxCea4e5ggM7QGn1XE3FbLQa_-QbCNdBi90OdPjRqg"", ""'Plan de Compras'!D4:Q""), 14, 0), """")"),"JIMENA")</f>
        <v>JIMENA</v>
      </c>
      <c r="Z181" s="38" t="str">
        <f>IFERROR(__xludf.DUMMYFUNCTION("IFERROR(VLOOKUP(G181,IMPORTRANGE(""https://docs.google.com/spreadsheets/d/12RxCea4e5ggM7QGn1XE3FbLQa_-QbCNdBi90OdPjRqg"", ""'Plan de Compras'!D4:Q""), 4, 0), """")"),"KIT COMPLETO DE INICIO PARA DESARROLLO DE ELECTRÓNICA CON MICROCONTROLADOR")</f>
        <v>KIT COMPLETO DE INICIO PARA DESARROLLO DE ELECTRÓNICA CON MICROCONTROLADOR</v>
      </c>
      <c r="AA181" s="38" t="str">
        <f t="shared" si="16"/>
        <v>TRUE</v>
      </c>
      <c r="AB181" s="37" t="str">
        <f>IFERROR(__xludf.DUMMYFUNCTION("IFERROR(IF(OR(C181=TRUE,C181=""""),VLOOKUP(G181,IMPORTRANGE(""https://docs.google.com/spreadsheets/d/1z9A1Wq-kKrhRNG5RS2a2fKpY1wIhSVz2ZNmP2mOl588/edit?usp=sharing"",""REQ VF!E4:H""),4,0),""NO APLICA""),""GENERAR REQ"")"),"GENERAR REQ")</f>
        <v>GENERAR REQ</v>
      </c>
      <c r="AC181" s="37" t="str">
        <f>IFERROR(__xludf.DUMMYFUNCTION("IFERROR(QUERY(IMPORTRANGE(""https://docs.google.com/spreadsheets/d/1z9A1Wq-kKrhRNG5RS2a2fKpY1wIhSVz2ZNmP2mOl588/edit?usp=sharing"",""REQ VF!E4:Q""),""SELECT Col10, Col11, Col12 WHERE Col1 = '""&amp;G181&amp;""'"",0),""NO APLICA"")"),"NO APLICA")</f>
        <v>NO APLICA</v>
      </c>
      <c r="AD181" s="37"/>
      <c r="AE181" s="37"/>
      <c r="AF181" s="8" t="s">
        <v>52</v>
      </c>
      <c r="AG181" s="13"/>
    </row>
    <row r="182">
      <c r="A182" s="26"/>
      <c r="B182" s="26"/>
      <c r="C182" s="26" t="b">
        <v>1</v>
      </c>
      <c r="D182" s="26" t="s">
        <v>42</v>
      </c>
      <c r="E182" s="26" t="s">
        <v>36</v>
      </c>
      <c r="F182" s="59" t="s">
        <v>637</v>
      </c>
      <c r="G182" s="39" t="s">
        <v>640</v>
      </c>
      <c r="H182" s="40" t="s">
        <v>641</v>
      </c>
      <c r="I182" s="43">
        <f>$I$181</f>
        <v>4</v>
      </c>
      <c r="J182" s="26">
        <f>IFERROR(__xludf.DUMMYFUNCTION("VLOOKUP(G182,IMPORTRANGE(""https://docs.google.com/spreadsheets/d/12RxCea4e5ggM7QGn1XE3FbLQa_-QbCNdBi90OdPjRqg/edit?gid=1692403370#gid=1692403370"", ""'Plan de Compras'!D4:2432""), 8,0)"),4.0)</f>
        <v>4</v>
      </c>
      <c r="K182" s="26" t="str">
        <f t="shared" si="1"/>
        <v>SI</v>
      </c>
      <c r="L182" s="26"/>
      <c r="M182" s="41"/>
      <c r="N182" s="42" t="s">
        <v>642</v>
      </c>
      <c r="O182" s="42"/>
      <c r="P182" s="26"/>
      <c r="Q182" s="46" t="s">
        <v>643</v>
      </c>
      <c r="R182" s="41"/>
      <c r="S182" s="34" t="b">
        <v>1</v>
      </c>
      <c r="T182" s="26" t="s">
        <v>55</v>
      </c>
      <c r="U182" s="43" t="s">
        <v>642</v>
      </c>
      <c r="V182" s="46" t="s">
        <v>643</v>
      </c>
      <c r="W182" s="37" t="str">
        <f>IFERROR(__xludf.DUMMYFUNCTION("IFERROR(VLOOKUP(G182,IMPORTRANGE(""https://docs.google.com/spreadsheets/d/12RxCea4e5ggM7QGn1XE3FbLQa_-QbCNdBi90OdPjRqg"", ""'Plan de Compras'!D4:Q""), 12, 0), ""NO ESTÁ EN REQ"")"),"Técnica")</f>
        <v>Técnica</v>
      </c>
      <c r="X182" s="37" t="str">
        <f>IFERROR(__xludf.DUMMYFUNCTION("IFERROR(VLOOKUP(G182,IMPORTRANGE(""https://docs.google.com/spreadsheets/d/12RxCea4e5ggM7QGn1XE3FbLQa_-QbCNdBi90OdPjRqg"", ""'Plan de Compras'!D4:Q""), 13, 0), """")"),"NACIONAL")</f>
        <v>NACIONAL</v>
      </c>
      <c r="Y182" s="32" t="str">
        <f>IFERROR(__xludf.DUMMYFUNCTION("IFERROR(VLOOKUP(G182,IMPORTRANGE(""https://docs.google.com/spreadsheets/d/12RxCea4e5ggM7QGn1XE3FbLQa_-QbCNdBi90OdPjRqg"", ""'Plan de Compras'!D4:Q""), 14, 0), """")"),"DIANA")</f>
        <v>DIANA</v>
      </c>
      <c r="Z182" s="38" t="str">
        <f>IFERROR(__xludf.DUMMYFUNCTION("IFERROR(VLOOKUP(G182,IMPORTRANGE(""https://docs.google.com/spreadsheets/d/12RxCea4e5ggM7QGn1XE3FbLQa_-QbCNdBi90OdPjRqg"", ""'Plan de Compras'!D4:Q""), 4, 0), """")"),"PROGRAMADOR DE PIC K150 ICSP CON ADAPTADOR UNIVERSAL (1 UND)")</f>
        <v>PROGRAMADOR DE PIC K150 ICSP CON ADAPTADOR UNIVERSAL (1 UND)</v>
      </c>
      <c r="AA182" s="38" t="str">
        <f t="shared" si="16"/>
        <v>TRUE</v>
      </c>
      <c r="AB182" s="37" t="str">
        <f>IFERROR(__xludf.DUMMYFUNCTION("IFERROR(IF(OR(C182=TRUE,C182=""""),VLOOKUP(G182,IMPORTRANGE(""https://docs.google.com/spreadsheets/d/1z9A1Wq-kKrhRNG5RS2a2fKpY1wIhSVz2ZNmP2mOl588/edit?usp=sharing"",""REQ VF!E4:H""),4,0),""NO APLICA""),""GENERAR REQ"")"),"GENERAR REQ")</f>
        <v>GENERAR REQ</v>
      </c>
      <c r="AC182" s="37" t="str">
        <f>IFERROR(__xludf.DUMMYFUNCTION("IFERROR(QUERY(IMPORTRANGE(""https://docs.google.com/spreadsheets/d/1z9A1Wq-kKrhRNG5RS2a2fKpY1wIhSVz2ZNmP2mOl588/edit?usp=sharing"",""REQ VF!E4:Q""),""SELECT Col10, Col11, Col12 WHERE Col1 = '""&amp;G182&amp;""'"",0),""NO APLICA"")"),"NO APLICA")</f>
        <v>NO APLICA</v>
      </c>
      <c r="AD182" s="37"/>
      <c r="AE182" s="37"/>
      <c r="AF182" s="13"/>
      <c r="AG182" s="13"/>
    </row>
    <row r="183">
      <c r="A183" s="26"/>
      <c r="B183" s="26"/>
      <c r="C183" s="26" t="b">
        <v>1</v>
      </c>
      <c r="D183" s="43" t="s">
        <v>42</v>
      </c>
      <c r="E183" s="43" t="s">
        <v>36</v>
      </c>
      <c r="F183" s="39" t="s">
        <v>637</v>
      </c>
      <c r="G183" s="39" t="s">
        <v>644</v>
      </c>
      <c r="H183" s="40" t="s">
        <v>645</v>
      </c>
      <c r="I183" s="43">
        <v>4.0</v>
      </c>
      <c r="J183" s="26" t="str">
        <f>IFERROR(__xludf.DUMMYFUNCTION("VLOOKUP(G183,IMPORTRANGE(""https://docs.google.com/spreadsheets/d/12RxCea4e5ggM7QGn1XE3FbLQa_-QbCNdBi90OdPjRqg/edit?gid=1692403370#gid=1692403370"", ""'Plan de Compras'!D4:2432""), 8,0)"),"#N/A")</f>
        <v>#N/A</v>
      </c>
      <c r="K183" s="26" t="str">
        <f t="shared" si="1"/>
        <v>#N/A</v>
      </c>
      <c r="L183" s="26"/>
      <c r="M183" s="41"/>
      <c r="N183" s="60" t="s">
        <v>166</v>
      </c>
      <c r="O183" s="42"/>
      <c r="P183" s="26"/>
      <c r="Q183" s="57"/>
      <c r="R183" s="41"/>
      <c r="S183" s="34" t="b">
        <v>0</v>
      </c>
      <c r="T183" s="29" t="s">
        <v>646</v>
      </c>
      <c r="U183" s="35" t="s">
        <v>119</v>
      </c>
      <c r="V183" s="89"/>
      <c r="W183" s="37" t="str">
        <f>IFERROR(__xludf.DUMMYFUNCTION("IFERROR(VLOOKUP(G183,IMPORTRANGE(""https://docs.google.com/spreadsheets/d/12RxCea4e5ggM7QGn1XE3FbLQa_-QbCNdBi90OdPjRqg"", ""'Plan de Compras'!D4:Q""), 12, 0), ""NO ESTÁ EN REQ"")"),"NO ESTÁ EN REQ")</f>
        <v>NO ESTÁ EN REQ</v>
      </c>
      <c r="X183" s="37" t="str">
        <f>IFERROR(__xludf.DUMMYFUNCTION("IFERROR(VLOOKUP(G183,IMPORTRANGE(""https://docs.google.com/spreadsheets/d/12RxCea4e5ggM7QGn1XE3FbLQa_-QbCNdBi90OdPjRqg"", ""'Plan de Compras'!D4:Q""), 13, 0), """")"),"")</f>
        <v/>
      </c>
      <c r="Y183" s="32" t="str">
        <f>IFERROR(__xludf.DUMMYFUNCTION("IFERROR(VLOOKUP(G183,IMPORTRANGE(""https://docs.google.com/spreadsheets/d/12RxCea4e5ggM7QGn1XE3FbLQa_-QbCNdBi90OdPjRqg"", ""'Plan de Compras'!D4:Q""), 14, 0), """")"),"")</f>
        <v/>
      </c>
      <c r="Z183" s="38" t="str">
        <f>IFERROR(__xludf.DUMMYFUNCTION("IFERROR(VLOOKUP(G183,IMPORTRANGE(""https://docs.google.com/spreadsheets/d/12RxCea4e5ggM7QGn1XE3FbLQa_-QbCNdBi90OdPjRqg"", ""'Plan de Compras'!D4:Q""), 4, 0), """")"),"")</f>
        <v/>
      </c>
      <c r="AA183" s="38" t="str">
        <f t="shared" si="16"/>
        <v>FALSE</v>
      </c>
      <c r="AB183" s="37" t="str">
        <f>IFERROR(__xludf.DUMMYFUNCTION("IFERROR(IF(OR(C183=TRUE,C183=""""),VLOOKUP(G183,IMPORTRANGE(""https://docs.google.com/spreadsheets/d/1z9A1Wq-kKrhRNG5RS2a2fKpY1wIhSVz2ZNmP2mOl588/edit?usp=sharing"",""REQ VF!E4:H""),4,0),""NO APLICA""),""GENERAR REQ"")"),"GENERAR REQ")</f>
        <v>GENERAR REQ</v>
      </c>
      <c r="AC183" s="37" t="str">
        <f>IFERROR(__xludf.DUMMYFUNCTION("IFERROR(QUERY(IMPORTRANGE(""https://docs.google.com/spreadsheets/d/1z9A1Wq-kKrhRNG5RS2a2fKpY1wIhSVz2ZNmP2mOl588/edit?usp=sharing"",""REQ VF!E4:Q""),""SELECT Col10, Col11, Col12 WHERE Col1 = '""&amp;G183&amp;""'"",0),""NO APLICA"")"),"NO APLICA")</f>
        <v>NO APLICA</v>
      </c>
      <c r="AD183" s="37"/>
      <c r="AE183" s="37"/>
      <c r="AF183" s="13"/>
      <c r="AG183" s="13"/>
    </row>
    <row r="184">
      <c r="A184" s="26"/>
      <c r="B184" s="26" t="b">
        <v>0</v>
      </c>
      <c r="C184" s="26" t="b">
        <v>1</v>
      </c>
      <c r="D184" s="43" t="s">
        <v>42</v>
      </c>
      <c r="E184" s="43" t="s">
        <v>36</v>
      </c>
      <c r="F184" s="39" t="s">
        <v>637</v>
      </c>
      <c r="G184" s="39" t="s">
        <v>647</v>
      </c>
      <c r="H184" s="40" t="s">
        <v>648</v>
      </c>
      <c r="I184" s="43">
        <f>1*I181</f>
        <v>4</v>
      </c>
      <c r="J184" s="26" t="str">
        <f>IFERROR(__xludf.DUMMYFUNCTION("VLOOKUP(G184,IMPORTRANGE(""https://docs.google.com/spreadsheets/d/12RxCea4e5ggM7QGn1XE3FbLQa_-QbCNdBi90OdPjRqg/edit?gid=1692403370#gid=1692403370"", ""'Plan de Compras'!D4:2432""), 8,0)"),"#N/A")</f>
        <v>#N/A</v>
      </c>
      <c r="K184" s="26" t="str">
        <f t="shared" si="1"/>
        <v>#N/A</v>
      </c>
      <c r="L184" s="29"/>
      <c r="M184" s="61"/>
      <c r="N184" s="42"/>
      <c r="O184" s="32"/>
      <c r="P184" s="32"/>
      <c r="Q184" s="41"/>
      <c r="R184" s="61"/>
      <c r="S184" s="34" t="b">
        <v>0</v>
      </c>
      <c r="T184" s="35" t="s">
        <v>649</v>
      </c>
      <c r="U184" s="35" t="s">
        <v>650</v>
      </c>
      <c r="V184" s="35"/>
      <c r="W184" s="37"/>
      <c r="X184" s="37"/>
      <c r="Y184" s="32"/>
      <c r="Z184" s="38"/>
      <c r="AA184" s="38" t="str">
        <f t="shared" si="16"/>
        <v>FALSE</v>
      </c>
      <c r="AB184" s="37" t="str">
        <f>IFERROR(__xludf.DUMMYFUNCTION("IFERROR(IF(OR(C184=TRUE,C184=""""),VLOOKUP(G184,IMPORTRANGE(""https://docs.google.com/spreadsheets/d/1z9A1Wq-kKrhRNG5RS2a2fKpY1wIhSVz2ZNmP2mOl588/edit?usp=sharing"",""REQ VF!E4:H""),4,0),""NO APLICA""),""GENERAR REQ"")"),"GENERAR REQ")</f>
        <v>GENERAR REQ</v>
      </c>
      <c r="AC184" s="37" t="str">
        <f>IFERROR(__xludf.DUMMYFUNCTION("IFERROR(QUERY(IMPORTRANGE(""https://docs.google.com/spreadsheets/d/1z9A1Wq-kKrhRNG5RS2a2fKpY1wIhSVz2ZNmP2mOl588/edit?usp=sharing"",""REQ VF!E4:Q""),""SELECT Col10, Col11, Col12 WHERE Col1 = '""&amp;G184&amp;""'"",0),""NO APLICA"")"),"NO APLICA")</f>
        <v>NO APLICA</v>
      </c>
      <c r="AD184" s="37"/>
      <c r="AE184" s="37"/>
      <c r="AF184" s="13"/>
      <c r="AG184" s="13"/>
    </row>
    <row r="185">
      <c r="A185" s="26"/>
      <c r="B185" s="26" t="b">
        <v>0</v>
      </c>
      <c r="C185" s="26" t="b">
        <v>1</v>
      </c>
      <c r="D185" s="43" t="s">
        <v>42</v>
      </c>
      <c r="E185" s="43" t="s">
        <v>36</v>
      </c>
      <c r="F185" s="39" t="s">
        <v>637</v>
      </c>
      <c r="G185" s="39" t="s">
        <v>651</v>
      </c>
      <c r="H185" s="40" t="s">
        <v>652</v>
      </c>
      <c r="I185" s="43">
        <v>4.0</v>
      </c>
      <c r="J185" s="26" t="str">
        <f>IFERROR(__xludf.DUMMYFUNCTION("VLOOKUP(G185,IMPORTRANGE(""https://docs.google.com/spreadsheets/d/12RxCea4e5ggM7QGn1XE3FbLQa_-QbCNdBi90OdPjRqg/edit?gid=1692403370#gid=1692403370"", ""'Plan de Compras'!D4:2432""), 8,0)"),"#N/A")</f>
        <v>#N/A</v>
      </c>
      <c r="K185" s="26" t="str">
        <f t="shared" si="1"/>
        <v>#N/A</v>
      </c>
      <c r="L185" s="29"/>
      <c r="M185" s="61"/>
      <c r="N185" s="42"/>
      <c r="O185" s="32"/>
      <c r="P185" s="32"/>
      <c r="Q185" s="41"/>
      <c r="R185" s="61"/>
      <c r="S185" s="34" t="b">
        <v>0</v>
      </c>
      <c r="T185" s="35"/>
      <c r="U185" s="35" t="s">
        <v>536</v>
      </c>
      <c r="V185" s="35"/>
      <c r="W185" s="37"/>
      <c r="X185" s="37"/>
      <c r="Y185" s="32"/>
      <c r="Z185" s="38"/>
      <c r="AA185" s="38" t="str">
        <f t="shared" si="16"/>
        <v>FALSE</v>
      </c>
      <c r="AB185" s="37" t="str">
        <f>IFERROR(__xludf.DUMMYFUNCTION("IFERROR(IF(OR(C185=TRUE,C185=""""),VLOOKUP(G185,IMPORTRANGE(""https://docs.google.com/spreadsheets/d/1z9A1Wq-kKrhRNG5RS2a2fKpY1wIhSVz2ZNmP2mOl588/edit?usp=sharing"",""REQ VF!E4:H""),4,0),""NO APLICA""),""GENERAR REQ"")"),"GENERAR REQ")</f>
        <v>GENERAR REQ</v>
      </c>
      <c r="AC185" s="37" t="str">
        <f>IFERROR(__xludf.DUMMYFUNCTION("IFERROR(QUERY(IMPORTRANGE(""https://docs.google.com/spreadsheets/d/1z9A1Wq-kKrhRNG5RS2a2fKpY1wIhSVz2ZNmP2mOl588/edit?usp=sharing"",""REQ VF!E4:Q""),""SELECT Col10, Col11, Col12 WHERE Col1 = '""&amp;G185&amp;""'"",0),""NO APLICA"")"),"NO APLICA")</f>
        <v>NO APLICA</v>
      </c>
      <c r="AD185" s="37"/>
      <c r="AE185" s="37"/>
      <c r="AF185" s="13"/>
      <c r="AG185" s="13"/>
    </row>
    <row r="186">
      <c r="A186" s="26">
        <v>82.0</v>
      </c>
      <c r="B186" s="26" t="b">
        <v>1</v>
      </c>
      <c r="C186" s="26" t="b">
        <v>1</v>
      </c>
      <c r="D186" s="26" t="s">
        <v>35</v>
      </c>
      <c r="E186" s="26" t="s">
        <v>36</v>
      </c>
      <c r="F186" s="27" t="s">
        <v>653</v>
      </c>
      <c r="G186" s="37" t="s">
        <v>653</v>
      </c>
      <c r="H186" s="45" t="s">
        <v>654</v>
      </c>
      <c r="I186" s="26">
        <f>SUMIFS('Hoja 10'!$O:$O,'Hoja 10'!$F:$F,$G186)</f>
        <v>12</v>
      </c>
      <c r="J186" s="26">
        <f>IFERROR(__xludf.DUMMYFUNCTION("VLOOKUP(G186,IMPORTRANGE(""https://docs.google.com/spreadsheets/d/12RxCea4e5ggM7QGn1XE3FbLQa_-QbCNdBi90OdPjRqg/edit?gid=1692403370#gid=1692403370"", ""'Plan de Compras'!D4:2432""), 8,0)"),12.0)</f>
        <v>12</v>
      </c>
      <c r="K186" s="26" t="str">
        <f t="shared" si="1"/>
        <v>SI</v>
      </c>
      <c r="L186" s="29" t="s">
        <v>180</v>
      </c>
      <c r="M186" s="30" t="s">
        <v>181</v>
      </c>
      <c r="N186" s="42"/>
      <c r="O186" s="32" t="str">
        <f>VLOOKUP($G186,'Hoja 10'!$F$4:$AA478, 19,0)</f>
        <v>MAXQI INTERNATIONAL COMPANY LIMITED</v>
      </c>
      <c r="P186" s="32" t="str">
        <f>VLOOKUP($G186,'Hoja 10'!$F$4:$AA478, 20,0)</f>
        <v>Varios</v>
      </c>
      <c r="Q186" s="33" t="str">
        <f>VLOOKUP($G186,'Hoja 10'!$F$4:$AA478, 21,0)</f>
        <v>https://drive.google.com/file/d/1pQU39LoIKEVnEm3gAc-pUJxuuoHdBGjz/view?usp=sharing</v>
      </c>
      <c r="R186" s="30" t="s">
        <v>655</v>
      </c>
      <c r="S186" s="34" t="b">
        <v>1</v>
      </c>
      <c r="T186" s="35" t="str">
        <f>IFERROR(__xludf.DUMMYFUNCTION(" IF
( VLOOKUP($G186,IMPORTRANGE(""https://docs.google.com/spreadsheets/d/1Gpl6jkTg7sL4VDNimUm3S9Vi1i95esohXCF3wuKOE8c"", ""'CONSOLIDADO'!G5:AB""), 10, 0) &lt;&gt; 0, 
IFERROR(VLOOKUP($G186,IMPORTRANGE(""https://docs.google.com/spreadsheets/d/1Gpl6jkTg7sL4VDNimU"&amp;"m3S9Vi1i95esohXCF3wuKOE8c"", ""'CONSOLIDADO'!G5:AB""), 17, 0), ""-""),
""""
)"),"MAXQI")</f>
        <v>MAXQI</v>
      </c>
      <c r="U186" s="35" t="str">
        <f>IFERROR(__xludf.DUMMYFUNCTION(" IF
( VLOOKUP($G186,IMPORTRANGE(""https://docs.google.com/spreadsheets/d/1Gpl6jkTg7sL4VDNimUm3S9Vi1i95esohXCF3wuKOE8c"", ""'CONSOLIDADO'!G5:AB""), 10, 0) &lt;&gt; 0, 
IFERROR(VLOOKUP($G186,IMPORTRANGE(""https://docs.google.com/spreadsheets/d/1Gpl6jkTg7sL4VDNimU"&amp;"m3S9Vi1i95esohXCF3wuKOE8c"", ""'CONSOLIDADO'!G5:AB""), 18, 0), ""-""),
""""
)"),"ESP-196 (22X12) COMPLEMENTARY COMPONENT KIT")</f>
        <v>ESP-196 (22X12) COMPLEMENTARY COMPONENT KIT</v>
      </c>
      <c r="V186" s="35" t="str">
        <f>IFERROR(__xludf.DUMMYFUNCTION(" IF
( VLOOKUP($G186,IMPORTRANGE(""https://docs.google.com/spreadsheets/d/1Gpl6jkTg7sL4VDNimUm3S9Vi1i95esohXCF3wuKOE8c"", ""'CONSOLIDADO'!G5:AB""), 10, 0) &lt;&gt; 0, 
IFERROR(VLOOKUP($G186,IMPORTRANGE(""https://docs.google.com/spreadsheets/d/1Gpl6jkTg7sL4VDNimU"&amp;"m3S9Vi1i95esohXCF3wuKOE8c"", ""'CONSOLIDADO'!G5:AB""), 19, 0), ""-""),
""""
)"),"-")</f>
        <v>-</v>
      </c>
      <c r="W186" s="37" t="str">
        <f>IFERROR(__xludf.DUMMYFUNCTION("IFERROR(VLOOKUP(G186,IMPORTRANGE(""https://docs.google.com/spreadsheets/d/12RxCea4e5ggM7QGn1XE3FbLQa_-QbCNdBi90OdPjRqg"", ""'Plan de Compras'!D4:Q""), 12, 0), ""NO ESTÁ EN REQ"")"),"Técnica")</f>
        <v>Técnica</v>
      </c>
      <c r="X186" s="37" t="str">
        <f>IFERROR(__xludf.DUMMYFUNCTION("IFERROR(VLOOKUP(G186,IMPORTRANGE(""https://docs.google.com/spreadsheets/d/12RxCea4e5ggM7QGn1XE3FbLQa_-QbCNdBi90OdPjRqg"", ""'Plan de Compras'!D4:Q""), 13, 0), """")"),"INTERNACIONAL")</f>
        <v>INTERNACIONAL</v>
      </c>
      <c r="Y186" s="32" t="str">
        <f>IFERROR(__xludf.DUMMYFUNCTION("IFERROR(VLOOKUP(G186,IMPORTRANGE(""https://docs.google.com/spreadsheets/d/12RxCea4e5ggM7QGn1XE3FbLQa_-QbCNdBi90OdPjRqg"", ""'Plan de Compras'!D4:Q""), 14, 0), """")"),"VICTOR")</f>
        <v>VICTOR</v>
      </c>
      <c r="Z186" s="38" t="str">
        <f>IFERROR(__xludf.DUMMYFUNCTION("IFERROR(VLOOKUP(G186,IMPORTRANGE(""https://docs.google.com/spreadsheets/d/12RxCea4e5ggM7QGn1XE3FbLQa_-QbCNdBi90OdPjRqg"", ""'Plan de Compras'!D4:Q""), 4, 0), """")"),"KIT DE COMPONENTES COMPLEMENTARIOS")</f>
        <v>KIT DE COMPONENTES COMPLEMENTARIOS</v>
      </c>
      <c r="AA186" s="38" t="str">
        <f t="shared" si="16"/>
        <v>TRUE</v>
      </c>
      <c r="AB186" s="37" t="str">
        <f>IFERROR(__xludf.DUMMYFUNCTION("IFERROR(IF(OR(C186=TRUE,C186=""""),VLOOKUP(G186,IMPORTRANGE(""https://docs.google.com/spreadsheets/d/1z9A1Wq-kKrhRNG5RS2a2fKpY1wIhSVz2ZNmP2mOl588/edit?usp=sharing"",""REQ VF!E4:H""),4,0),""NO APLICA""),""GENERAR REQ"")"),"GENERAR REQ")</f>
        <v>GENERAR REQ</v>
      </c>
      <c r="AC186" s="37" t="str">
        <f>IFERROR(__xludf.DUMMYFUNCTION("IFERROR(QUERY(IMPORTRANGE(""https://docs.google.com/spreadsheets/d/1z9A1Wq-kKrhRNG5RS2a2fKpY1wIhSVz2ZNmP2mOl588/edit?usp=sharing"",""REQ VF!E4:Q""),""SELECT Col10, Col11, Col12 WHERE Col1 = '""&amp;G186&amp;""'"",0),""NO APLICA"")"),"NO APLICA")</f>
        <v>NO APLICA</v>
      </c>
      <c r="AD186" s="37"/>
      <c r="AE186" s="37"/>
      <c r="AF186" s="13"/>
      <c r="AG186" s="13"/>
    </row>
    <row r="187">
      <c r="A187" s="26">
        <v>83.0</v>
      </c>
      <c r="B187" s="26" t="b">
        <v>1</v>
      </c>
      <c r="C187" s="26" t="b">
        <v>1</v>
      </c>
      <c r="D187" s="26" t="s">
        <v>35</v>
      </c>
      <c r="E187" s="26" t="s">
        <v>36</v>
      </c>
      <c r="F187" s="27" t="s">
        <v>656</v>
      </c>
      <c r="G187" s="37" t="s">
        <v>656</v>
      </c>
      <c r="H187" s="45" t="s">
        <v>657</v>
      </c>
      <c r="I187" s="26">
        <f>SUMIFS('Hoja 10'!$O:$O,'Hoja 10'!$F:$F,$G187)</f>
        <v>4</v>
      </c>
      <c r="J187" s="26">
        <f>IFERROR(__xludf.DUMMYFUNCTION("VLOOKUP(G187,IMPORTRANGE(""https://docs.google.com/spreadsheets/d/12RxCea4e5ggM7QGn1XE3FbLQa_-QbCNdBi90OdPjRqg/edit?gid=1692403370#gid=1692403370"", ""'Plan de Compras'!D4:2432""), 8,0)"),4.0)</f>
        <v>4</v>
      </c>
      <c r="K187" s="26" t="str">
        <f t="shared" si="1"/>
        <v>SI</v>
      </c>
      <c r="L187" s="29" t="s">
        <v>122</v>
      </c>
      <c r="M187" s="30" t="s">
        <v>123</v>
      </c>
      <c r="N187" s="90" t="s">
        <v>658</v>
      </c>
      <c r="O187" s="32" t="str">
        <f>VLOOKUP($G187,'Hoja 10'!$F$4:$AA478, 19,0)</f>
        <v>Maxqi</v>
      </c>
      <c r="P187" s="32" t="str">
        <f>VLOOKUP($G187,'Hoja 10'!$F$4:$AA478, 20,0)</f>
        <v/>
      </c>
      <c r="Q187" s="33" t="str">
        <f>VLOOKUP($G187,'Hoja 10'!$F$4:$AA478, 21,0)</f>
        <v>https://drive.google.com/file/d/1v1AAQsVeQrygASBK_3QSihfknX9G56Us/view</v>
      </c>
      <c r="R187" s="30" t="s">
        <v>659</v>
      </c>
      <c r="S187" s="34" t="b">
        <v>1</v>
      </c>
      <c r="T187" s="35" t="str">
        <f>IFERROR(__xludf.DUMMYFUNCTION(" IF
( VLOOKUP($G187,IMPORTRANGE(""https://docs.google.com/spreadsheets/d/1Gpl6jkTg7sL4VDNimUm3S9Vi1i95esohXCF3wuKOE8c"", ""'CONSOLIDADO'!G5:AB""), 10, 0) &lt;&gt; 0, 
IFERROR(VLOOKUP($G187,IMPORTRANGE(""https://docs.google.com/spreadsheets/d/1Gpl6jkTg7sL4VDNimU"&amp;"m3S9Vi1i95esohXCF3wuKOE8c"", ""'CONSOLIDADO'!G5:AB""), 17, 0), ""-""),
""""
)"),"MAXQUI")</f>
        <v>MAXQUI</v>
      </c>
      <c r="U187" s="35" t="str">
        <f>IFERROR(__xludf.DUMMYFUNCTION(" IF
( VLOOKUP($G187,IMPORTRANGE(""https://docs.google.com/spreadsheets/d/1Gpl6jkTg7sL4VDNimUm3S9Vi1i95esohXCF3wuKOE8c"", ""'CONSOLIDADO'!G5:AB""), 10, 0) &lt;&gt; 0, 
IFERROR(VLOOKUP($G187,IMPORTRANGE(""https://docs.google.com/spreadsheets/d/1Gpl6jkTg7sL4VDNimU"&amp;"m3S9Vi1i95esohXCF3wuKOE8c"", ""'CONSOLIDADO'!G5:AB""), 18, 0), ""-""),
""""
)"),"A MEDIDA 3")</f>
        <v>A MEDIDA 3</v>
      </c>
      <c r="V187" s="35" t="str">
        <f>IFERROR(__xludf.DUMMYFUNCTION(" IF
( VLOOKUP($G187,IMPORTRANGE(""https://docs.google.com/spreadsheets/d/1Gpl6jkTg7sL4VDNimUm3S9Vi1i95esohXCF3wuKOE8c"", ""'CONSOLIDADO'!G5:AB""), 10, 0) &lt;&gt; 0, 
IFERROR(VLOOKUP($G187,IMPORTRANGE(""https://docs.google.com/spreadsheets/d/1Gpl6jkTg7sL4VDNimU"&amp;"m3S9Vi1i95esohXCF3wuKOE8c"", ""'CONSOLIDADO'!G5:AB""), 19, 0), ""-""),
""""
)"),"A MEDIDA")</f>
        <v>A MEDIDA</v>
      </c>
      <c r="W187" s="37" t="str">
        <f>IFERROR(__xludf.DUMMYFUNCTION("IFERROR(VLOOKUP(G187,IMPORTRANGE(""https://docs.google.com/spreadsheets/d/12RxCea4e5ggM7QGn1XE3FbLQa_-QbCNdBi90OdPjRqg"", ""'Plan de Compras'!D4:Q""), 12, 0), ""NO ESTÁ EN REQ"")"),"Técnica")</f>
        <v>Técnica</v>
      </c>
      <c r="X187" s="37" t="str">
        <f>IFERROR(__xludf.DUMMYFUNCTION("IFERROR(VLOOKUP(G187,IMPORTRANGE(""https://docs.google.com/spreadsheets/d/12RxCea4e5ggM7QGn1XE3FbLQa_-QbCNdBi90OdPjRqg"", ""'Plan de Compras'!D4:Q""), 13, 0), """")"),"INTERNACIONAL")</f>
        <v>INTERNACIONAL</v>
      </c>
      <c r="Y187" s="32" t="str">
        <f>IFERROR(__xludf.DUMMYFUNCTION("IFERROR(VLOOKUP(G187,IMPORTRANGE(""https://docs.google.com/spreadsheets/d/12RxCea4e5ggM7QGn1XE3FbLQa_-QbCNdBi90OdPjRqg"", ""'Plan de Compras'!D4:Q""), 14, 0), """")"),"VICTOR")</f>
        <v>VICTOR</v>
      </c>
      <c r="Z187" s="38" t="str">
        <f>IFERROR(__xludf.DUMMYFUNCTION("IFERROR(VLOOKUP(G187,IMPORTRANGE(""https://docs.google.com/spreadsheets/d/12RxCea4e5ggM7QGn1XE3FbLQa_-QbCNdBi90OdPjRqg"", ""'Plan de Compras'!D4:Q""), 4, 0), """")"),"KIT DE PLATAFORMA ELECTRÓNICA DE CÓDIGO ABIERTO - TARJETA DE MEGA2560")</f>
        <v>KIT DE PLATAFORMA ELECTRÓNICA DE CÓDIGO ABIERTO - TARJETA DE MEGA2560</v>
      </c>
      <c r="AA187" s="38" t="str">
        <f t="shared" si="16"/>
        <v>TRUE</v>
      </c>
      <c r="AB187" s="37" t="str">
        <f>IFERROR(__xludf.DUMMYFUNCTION("IFERROR(IF(OR(C187=TRUE,C187=""""),VLOOKUP(G187,IMPORTRANGE(""https://docs.google.com/spreadsheets/d/1z9A1Wq-kKrhRNG5RS2a2fKpY1wIhSVz2ZNmP2mOl588/edit?usp=sharing"",""REQ VF!E4:H""),4,0),""NO APLICA""),""GENERAR REQ"")"),"GENERAR REQ")</f>
        <v>GENERAR REQ</v>
      </c>
      <c r="AC187" s="37" t="str">
        <f>IFERROR(__xludf.DUMMYFUNCTION("IFERROR(QUERY(IMPORTRANGE(""https://docs.google.com/spreadsheets/d/1z9A1Wq-kKrhRNG5RS2a2fKpY1wIhSVz2ZNmP2mOl588/edit?usp=sharing"",""REQ VF!E4:Q""),""SELECT Col10, Col11, Col12 WHERE Col1 = '""&amp;G187&amp;""'"",0),""NO APLICA"")"),"NO APLICA")</f>
        <v>NO APLICA</v>
      </c>
      <c r="AD187" s="37"/>
      <c r="AE187" s="37"/>
      <c r="AF187" s="13"/>
      <c r="AG187" s="13"/>
    </row>
    <row r="188">
      <c r="A188" s="26"/>
      <c r="B188" s="26"/>
      <c r="C188" s="26" t="b">
        <v>1</v>
      </c>
      <c r="D188" s="43" t="s">
        <v>42</v>
      </c>
      <c r="E188" s="43" t="s">
        <v>36</v>
      </c>
      <c r="F188" s="39" t="s">
        <v>656</v>
      </c>
      <c r="G188" s="39" t="s">
        <v>660</v>
      </c>
      <c r="H188" s="40" t="s">
        <v>661</v>
      </c>
      <c r="I188" s="43">
        <f>I187*1</f>
        <v>4</v>
      </c>
      <c r="J188" s="26">
        <f>IFERROR(__xludf.DUMMYFUNCTION("VLOOKUP(G188,IMPORTRANGE(""https://docs.google.com/spreadsheets/d/12RxCea4e5ggM7QGn1XE3FbLQa_-QbCNdBi90OdPjRqg/edit?gid=1692403370#gid=1692403370"", ""'Plan de Compras'!D4:2432""), 8,0)"),4.0)</f>
        <v>4</v>
      </c>
      <c r="K188" s="26" t="str">
        <f t="shared" si="1"/>
        <v>SI</v>
      </c>
      <c r="L188" s="26"/>
      <c r="M188" s="47"/>
      <c r="N188" s="26"/>
      <c r="O188" s="42"/>
      <c r="P188" s="42"/>
      <c r="Q188" s="57"/>
      <c r="R188" s="47"/>
      <c r="S188" s="44" t="b">
        <v>0</v>
      </c>
      <c r="T188" s="72"/>
      <c r="U188" s="72"/>
      <c r="V188" s="44"/>
      <c r="W188" s="37" t="str">
        <f>IFERROR(__xludf.DUMMYFUNCTION("IFERROR(VLOOKUP(G188,IMPORTRANGE(""https://docs.google.com/spreadsheets/d/12RxCea4e5ggM7QGn1XE3FbLQa_-QbCNdBi90OdPjRqg"", ""'Plan de Compras'!D4:Q""), 12, 0), ""NO ESTÁ EN REQ"")"),"Simple")</f>
        <v>Simple</v>
      </c>
      <c r="X188" s="37" t="str">
        <f>IFERROR(__xludf.DUMMYFUNCTION("IFERROR(VLOOKUP(G188,IMPORTRANGE(""https://docs.google.com/spreadsheets/d/12RxCea4e5ggM7QGn1XE3FbLQa_-QbCNdBi90OdPjRqg"", ""'Plan de Compras'!D4:Q""), 13, 0), """")"),"NACIONAL")</f>
        <v>NACIONAL</v>
      </c>
      <c r="Y188" s="32" t="str">
        <f>IFERROR(__xludf.DUMMYFUNCTION("IFERROR(VLOOKUP(G188,IMPORTRANGE(""https://docs.google.com/spreadsheets/d/12RxCea4e5ggM7QGn1XE3FbLQa_-QbCNdBi90OdPjRqg"", ""'Plan de Compras'!D4:Q""), 14, 0), """")"),"GEANFRANCO")</f>
        <v>GEANFRANCO</v>
      </c>
      <c r="Z188" s="38" t="str">
        <f>IFERROR(__xludf.DUMMYFUNCTION("IFERROR(VLOOKUP(G188,IMPORTRANGE(""https://docs.google.com/spreadsheets/d/12RxCea4e5ggM7QGn1XE3FbLQa_-QbCNdBi90OdPjRqg"", ""'Plan de Compras'!D4:Q""), 4, 0), """")"),"USB CON GUÍA/MANUAL DE ARDUINO")</f>
        <v>USB CON GUÍA/MANUAL DE ARDUINO</v>
      </c>
      <c r="AA188" s="38" t="str">
        <f t="shared" si="16"/>
        <v>FALSE</v>
      </c>
      <c r="AB188" s="37" t="str">
        <f>IFERROR(__xludf.DUMMYFUNCTION("IFERROR(IF(OR(C188=TRUE,C188=""""),VLOOKUP(G188,IMPORTRANGE(""https://docs.google.com/spreadsheets/d/1z9A1Wq-kKrhRNG5RS2a2fKpY1wIhSVz2ZNmP2mOl588/edit?usp=sharing"",""REQ VF!E4:H""),4,0),""NO APLICA""),""GENERAR REQ"")"),"GENERAR REQ")</f>
        <v>GENERAR REQ</v>
      </c>
      <c r="AC188" s="37" t="str">
        <f>IFERROR(__xludf.DUMMYFUNCTION("IFERROR(QUERY(IMPORTRANGE(""https://docs.google.com/spreadsheets/d/1z9A1Wq-kKrhRNG5RS2a2fKpY1wIhSVz2ZNmP2mOl588/edit?usp=sharing"",""REQ VF!E4:Q""),""SELECT Col10, Col11, Col12 WHERE Col1 = '""&amp;G188&amp;""'"",0),""NO APLICA"")"),"NO APLICA")</f>
        <v>NO APLICA</v>
      </c>
      <c r="AD188" s="37"/>
      <c r="AE188" s="37"/>
      <c r="AF188" s="13"/>
      <c r="AG188" s="13"/>
    </row>
    <row r="189">
      <c r="A189" s="26"/>
      <c r="B189" s="26"/>
      <c r="C189" s="26" t="b">
        <v>0</v>
      </c>
      <c r="D189" s="26" t="s">
        <v>42</v>
      </c>
      <c r="E189" s="26" t="s">
        <v>36</v>
      </c>
      <c r="F189" s="59" t="s">
        <v>656</v>
      </c>
      <c r="G189" s="39" t="s">
        <v>662</v>
      </c>
      <c r="H189" s="66" t="s">
        <v>663</v>
      </c>
      <c r="I189" s="43">
        <v>0.0</v>
      </c>
      <c r="J189" s="26" t="str">
        <f>IFERROR(__xludf.DUMMYFUNCTION("VLOOKUP(G189,IMPORTRANGE(""https://docs.google.com/spreadsheets/d/12RxCea4e5ggM7QGn1XE3FbLQa_-QbCNdBi90OdPjRqg/edit?gid=1692403370#gid=1692403370"", ""'Plan de Compras'!D4:2432""), 8,0)"),"#N/A")</f>
        <v>#N/A</v>
      </c>
      <c r="K189" s="26" t="str">
        <f t="shared" si="1"/>
        <v>-</v>
      </c>
      <c r="L189" s="26"/>
      <c r="M189" s="47"/>
      <c r="N189" s="26"/>
      <c r="O189" s="42"/>
      <c r="P189" s="42"/>
      <c r="Q189" s="57"/>
      <c r="R189" s="47"/>
      <c r="S189" s="44" t="b">
        <v>0</v>
      </c>
      <c r="T189" s="72"/>
      <c r="U189" s="72"/>
      <c r="V189" s="44"/>
      <c r="W189" s="37" t="str">
        <f>IFERROR(__xludf.DUMMYFUNCTION("IFERROR(VLOOKUP(G189,IMPORTRANGE(""https://docs.google.com/spreadsheets/d/12RxCea4e5ggM7QGn1XE3FbLQa_-QbCNdBi90OdPjRqg"", ""'Plan de Compras'!D4:Q""), 12, 0), ""NO ESTÁ EN REQ"")"),"NO ESTÁ EN REQ")</f>
        <v>NO ESTÁ EN REQ</v>
      </c>
      <c r="X189" s="37" t="str">
        <f>IFERROR(__xludf.DUMMYFUNCTION("IFERROR(VLOOKUP(G189,IMPORTRANGE(""https://docs.google.com/spreadsheets/d/12RxCea4e5ggM7QGn1XE3FbLQa_-QbCNdBi90OdPjRqg"", ""'Plan de Compras'!D4:Q""), 13, 0), """")"),"")</f>
        <v/>
      </c>
      <c r="Y189" s="32" t="str">
        <f>IFERROR(__xludf.DUMMYFUNCTION("IFERROR(VLOOKUP(G189,IMPORTRANGE(""https://docs.google.com/spreadsheets/d/12RxCea4e5ggM7QGn1XE3FbLQa_-QbCNdBi90OdPjRqg"", ""'Plan de Compras'!D4:Q""), 14, 0), """")"),"")</f>
        <v/>
      </c>
      <c r="Z189" s="38" t="str">
        <f>IFERROR(__xludf.DUMMYFUNCTION("IFERROR(VLOOKUP(G189,IMPORTRANGE(""https://docs.google.com/spreadsheets/d/12RxCea4e5ggM7QGn1XE3FbLQa_-QbCNdBi90OdPjRqg"", ""'Plan de Compras'!D4:Q""), 4, 0), """")"),"")</f>
        <v/>
      </c>
      <c r="AA189" s="38" t="str">
        <f t="shared" si="16"/>
        <v>FALSE</v>
      </c>
      <c r="AB189" s="37" t="str">
        <f>IFERROR(__xludf.DUMMYFUNCTION("IFERROR(IF(OR(C189=TRUE,C189=""""),VLOOKUP(G189,IMPORTRANGE(""https://docs.google.com/spreadsheets/d/1z9A1Wq-kKrhRNG5RS2a2fKpY1wIhSVz2ZNmP2mOl588/edit?usp=sharing"",""REQ VF!E4:H""),4,0),""NO APLICA""),""GENERAR REQ"")"),"NO APLICA")</f>
        <v>NO APLICA</v>
      </c>
      <c r="AC189" s="37" t="str">
        <f>IFERROR(__xludf.DUMMYFUNCTION("IFERROR(QUERY(IMPORTRANGE(""https://docs.google.com/spreadsheets/d/1z9A1Wq-kKrhRNG5RS2a2fKpY1wIhSVz2ZNmP2mOl588/edit?usp=sharing"",""REQ VF!E4:Q""),""SELECT Col10, Col11, Col12 WHERE Col1 = '""&amp;G189&amp;""'"",0),""NO APLICA"")"),"NO APLICA")</f>
        <v>NO APLICA</v>
      </c>
      <c r="AD189" s="37"/>
      <c r="AE189" s="37"/>
      <c r="AF189" s="13"/>
      <c r="AG189" s="13"/>
    </row>
    <row r="190">
      <c r="A190" s="26">
        <v>84.0</v>
      </c>
      <c r="B190" s="26" t="b">
        <v>1</v>
      </c>
      <c r="C190" s="26" t="b">
        <v>1</v>
      </c>
      <c r="D190" s="26" t="s">
        <v>35</v>
      </c>
      <c r="E190" s="26" t="s">
        <v>36</v>
      </c>
      <c r="F190" s="27" t="s">
        <v>664</v>
      </c>
      <c r="G190" s="37" t="s">
        <v>664</v>
      </c>
      <c r="H190" s="45" t="s">
        <v>665</v>
      </c>
      <c r="I190" s="26">
        <f>SUMIFS('Hoja 10'!$O:$O,'Hoja 10'!$F:$F,$G190)</f>
        <v>3</v>
      </c>
      <c r="J190" s="26">
        <f>IFERROR(__xludf.DUMMYFUNCTION("VLOOKUP(G190,IMPORTRANGE(""https://docs.google.com/spreadsheets/d/12RxCea4e5ggM7QGn1XE3FbLQa_-QbCNdBi90OdPjRqg/edit?gid=1692403370#gid=1692403370"", ""'Plan de Compras'!D4:2432""), 8,0)"),3.0)</f>
        <v>3</v>
      </c>
      <c r="K190" s="26" t="str">
        <f t="shared" si="1"/>
        <v>SI</v>
      </c>
      <c r="L190" s="29" t="s">
        <v>180</v>
      </c>
      <c r="M190" s="30" t="s">
        <v>181</v>
      </c>
      <c r="N190" s="42"/>
      <c r="O190" s="32" t="str">
        <f>VLOOKUP($G190,'Hoja 10'!$F$4:$AA478, 19,0)</f>
        <v>Shouldshine</v>
      </c>
      <c r="P190" s="32" t="str">
        <f>VLOOKUP($G190,'Hoja 10'!$F$4:$AA478, 20,0)</f>
        <v>TB-230320-V-002</v>
      </c>
      <c r="Q190" s="33" t="str">
        <f>VLOOKUP($G190,'Hoja 10'!$F$4:$AA478, 21,0)</f>
        <v>https://drive.google.com/file/d/1Rpx5Hb5uO-kjD-pziQ-XZD_MyKjqW8qJ/view?usp=sharing</v>
      </c>
      <c r="R190" s="30" t="s">
        <v>666</v>
      </c>
      <c r="S190" s="34" t="b">
        <v>1</v>
      </c>
      <c r="T190" s="35" t="str">
        <f>IFERROR(__xludf.DUMMYFUNCTION(" IF
( VLOOKUP($G190,IMPORTRANGE(""https://docs.google.com/spreadsheets/d/1Gpl6jkTg7sL4VDNimUm3S9Vi1i95esohXCF3wuKOE8c"", ""'CONSOLIDADO'!G5:AB""), 10, 0) &lt;&gt; 0, 
IFERROR(VLOOKUP($G190,IMPORTRANGE(""https://docs.google.com/spreadsheets/d/1Gpl6jkTg7sL4VDNimU"&amp;"m3S9Vi1i95esohXCF3wuKOE8c"", ""'CONSOLIDADO'!G5:AB""), 17, 0), ""-""),
""""
)"),"SHOULDSHINE")</f>
        <v>SHOULDSHINE</v>
      </c>
      <c r="U190" s="35" t="str">
        <f>IFERROR(__xludf.DUMMYFUNCTION(" IF
( VLOOKUP($G190,IMPORTRANGE(""https://docs.google.com/spreadsheets/d/1Gpl6jkTg7sL4VDNimUm3S9Vi1i95esohXCF3wuKOE8c"", ""'CONSOLIDADO'!G5:AB""), 10, 0) &lt;&gt; 0, 
IFERROR(VLOOKUP($G190,IMPORTRANGE(""https://docs.google.com/spreadsheets/d/1Gpl6jkTg7sL4VDNimU"&amp;"m3S9Vi1i95esohXCF3wuKOE8c"", ""'CONSOLIDADO'!G5:AB""), 18, 0), ""-""),
""""
)"),"TB-230320-V-002")</f>
        <v>TB-230320-V-002</v>
      </c>
      <c r="V190" s="36" t="str">
        <f>IFERROR(__xludf.DUMMYFUNCTION(" IF
( VLOOKUP($G190,IMPORTRANGE(""https://docs.google.com/spreadsheets/d/1Gpl6jkTg7sL4VDNimUm3S9Vi1i95esohXCF3wuKOE8c"", ""'CONSOLIDADO'!G5:AB""), 10, 0) &lt;&gt; 0, 
IFERROR(VLOOKUP($G190,IMPORTRANGE(""https://docs.google.com/spreadsheets/d/1Gpl6jkTg7sL4VDNimU"&amp;"m3S9Vi1i95esohXCF3wuKOE8c"", ""'CONSOLIDADO'!G5:AB""), 19, 0), ""-""),
""""
)"),"https://drive.google.com/file/d/1oQs00GnKqSJEGVURvd2c7xEbOd1KPEqy/view")</f>
        <v>https://drive.google.com/file/d/1oQs00GnKqSJEGVURvd2c7xEbOd1KPEqy/view</v>
      </c>
      <c r="W190" s="37" t="str">
        <f>IFERROR(__xludf.DUMMYFUNCTION("IFERROR(VLOOKUP(G190,IMPORTRANGE(""https://docs.google.com/spreadsheets/d/12RxCea4e5ggM7QGn1XE3FbLQa_-QbCNdBi90OdPjRqg"", ""'Plan de Compras'!D4:Q""), 12, 0), ""NO ESTÁ EN REQ"")"),"Técnica")</f>
        <v>Técnica</v>
      </c>
      <c r="X190" s="37" t="str">
        <f>IFERROR(__xludf.DUMMYFUNCTION("IFERROR(VLOOKUP(G190,IMPORTRANGE(""https://docs.google.com/spreadsheets/d/12RxCea4e5ggM7QGn1XE3FbLQa_-QbCNdBi90OdPjRqg"", ""'Plan de Compras'!D4:Q""), 13, 0), """")"),"INTERNACIONAL")</f>
        <v>INTERNACIONAL</v>
      </c>
      <c r="Y190" s="32" t="str">
        <f>IFERROR(__xludf.DUMMYFUNCTION("IFERROR(VLOOKUP(G190,IMPORTRANGE(""https://docs.google.com/spreadsheets/d/12RxCea4e5ggM7QGn1XE3FbLQa_-QbCNdBi90OdPjRqg"", ""'Plan de Compras'!D4:Q""), 14, 0), """")"),"JIMENA")</f>
        <v>JIMENA</v>
      </c>
      <c r="Z190" s="38" t="str">
        <f>IFERROR(__xludf.DUMMYFUNCTION("IFERROR(VLOOKUP(G190,IMPORTRANGE(""https://docs.google.com/spreadsheets/d/12RxCea4e5ggM7QGn1XE3FbLQa_-QbCNdBi90OdPjRqg"", ""'Plan de Compras'!D4:Q""), 4, 0), """")"),"KIT DE ELECTRICIDAD PARA EL APRENDIZAJE DE ELECTRICIDAD BÁSICA
(ELECTROMAGNETISMO, CIRCUITOS ELÉCTRICOS, MOTOR ELÉCTRICO)")</f>
        <v>KIT DE ELECTRICIDAD PARA EL APRENDIZAJE DE ELECTRICIDAD BÁSICA
(ELECTROMAGNETISMO, CIRCUITOS ELÉCTRICOS, MOTOR ELÉCTRICO)</v>
      </c>
      <c r="AA190" s="38" t="str">
        <f t="shared" si="16"/>
        <v>FALSE</v>
      </c>
      <c r="AB190" s="37" t="str">
        <f>IFERROR(__xludf.DUMMYFUNCTION("IFERROR(IF(OR(C190=TRUE,C190=""""),VLOOKUP(G190,IMPORTRANGE(""https://docs.google.com/spreadsheets/d/1z9A1Wq-kKrhRNG5RS2a2fKpY1wIhSVz2ZNmP2mOl588/edit?usp=sharing"",""REQ VF!E4:H""),4,0),""NO APLICA""),""GENERAR REQ"")"),"GENERAR REQ")</f>
        <v>GENERAR REQ</v>
      </c>
      <c r="AC190" s="37" t="str">
        <f>IFERROR(__xludf.DUMMYFUNCTION("IFERROR(QUERY(IMPORTRANGE(""https://docs.google.com/spreadsheets/d/1z9A1Wq-kKrhRNG5RS2a2fKpY1wIhSVz2ZNmP2mOl588/edit?usp=sharing"",""REQ VF!E4:Q""),""SELECT Col10, Col11, Col12 WHERE Col1 = '""&amp;G190&amp;""'"",0),""NO APLICA"")"),"NO APLICA")</f>
        <v>NO APLICA</v>
      </c>
      <c r="AD190" s="37"/>
      <c r="AE190" s="37"/>
      <c r="AF190" s="8" t="s">
        <v>52</v>
      </c>
      <c r="AG190" s="71"/>
    </row>
    <row r="191">
      <c r="A191" s="26">
        <v>85.0</v>
      </c>
      <c r="B191" s="26" t="b">
        <v>1</v>
      </c>
      <c r="C191" s="26" t="b">
        <v>1</v>
      </c>
      <c r="D191" s="26" t="s">
        <v>35</v>
      </c>
      <c r="E191" s="26" t="s">
        <v>36</v>
      </c>
      <c r="F191" s="27" t="s">
        <v>667</v>
      </c>
      <c r="G191" s="37" t="s">
        <v>667</v>
      </c>
      <c r="H191" s="45" t="s">
        <v>668</v>
      </c>
      <c r="I191" s="26">
        <f>SUMIFS('Hoja 10'!$O:$O,'Hoja 10'!$F:$F,$G191)</f>
        <v>4</v>
      </c>
      <c r="J191" s="26">
        <f>IFERROR(__xludf.DUMMYFUNCTION("VLOOKUP(G191,IMPORTRANGE(""https://docs.google.com/spreadsheets/d/12RxCea4e5ggM7QGn1XE3FbLQa_-QbCNdBi90OdPjRqg/edit?gid=1692403370#gid=1692403370"", ""'Plan de Compras'!D4:2432""), 8,0)"),4.0)</f>
        <v>4</v>
      </c>
      <c r="K191" s="26" t="str">
        <f t="shared" si="1"/>
        <v>SI</v>
      </c>
      <c r="L191" s="29" t="s">
        <v>122</v>
      </c>
      <c r="M191" s="30" t="s">
        <v>123</v>
      </c>
      <c r="N191" s="42"/>
      <c r="O191" s="32" t="str">
        <f>VLOOKUP($G191,'Hoja 10'!$F$4:$AA478, 19,0)</f>
        <v>KNOLEDGE AND HOPE</v>
      </c>
      <c r="P191" s="32" t="str">
        <f>VLOOKUP($G191,'Hoja 10'!$F$4:$AA478, 20,0)</f>
        <v>PE-5000</v>
      </c>
      <c r="Q191" s="33" t="str">
        <f>VLOOKUP($G191,'Hoja 10'!$F$4:$AA478, 21,0)</f>
        <v>https://www.kandh.com.tw/pe-5000-power-electronics-training-system-pe-5000.html</v>
      </c>
      <c r="R191" s="30" t="s">
        <v>669</v>
      </c>
      <c r="S191" s="34" t="b">
        <v>1</v>
      </c>
      <c r="T191" s="35" t="str">
        <f>IFERROR(__xludf.DUMMYFUNCTION(" IF
( VLOOKUP($G191,IMPORTRANGE(""https://docs.google.com/spreadsheets/d/1Gpl6jkTg7sL4VDNimUm3S9Vi1i95esohXCF3wuKOE8c"", ""'CONSOLIDADO'!G5:AB""), 10, 0) &lt;&gt; 0, 
IFERROR(VLOOKUP($G191,IMPORTRANGE(""https://docs.google.com/spreadsheets/d/1Gpl6jkTg7sL4VDNimU"&amp;"m3S9Vi1i95esohXCF3wuKOE8c"", ""'CONSOLIDADO'!G5:AB""), 17, 0), ""-""),
""""
)"),"SHOULDSHINE")</f>
        <v>SHOULDSHINE</v>
      </c>
      <c r="U191" s="35" t="str">
        <f>IFERROR(__xludf.DUMMYFUNCTION(" IF
( VLOOKUP($G191,IMPORTRANGE(""https://docs.google.com/spreadsheets/d/1Gpl6jkTg7sL4VDNimUm3S9Vi1i95esohXCF3wuKOE8c"", ""'CONSOLIDADO'!G5:AB""), 10, 0) &lt;&gt; 0, 
IFERROR(VLOOKUP($G191,IMPORTRANGE(""https://docs.google.com/spreadsheets/d/1Gpl6jkTg7sL4VDNimU"&amp;"m3S9Vi1i95esohXCF3wuKOE8c"", ""'CONSOLIDADO'!G5:AB""), 18, 0), ""-""),
""""
)"),"SS251217AI01")</f>
        <v>SS251217AI01</v>
      </c>
      <c r="V191" s="36" t="str">
        <f>IFERROR(__xludf.DUMMYFUNCTION(" IF
( VLOOKUP($G191,IMPORTRANGE(""https://docs.google.com/spreadsheets/d/1Gpl6jkTg7sL4VDNimUm3S9Vi1i95esohXCF3wuKOE8c"", ""'CONSOLIDADO'!G5:AB""), 10, 0) &lt;&gt; 0, 
IFERROR(VLOOKUP($G191,IMPORTRANGE(""https://docs.google.com/spreadsheets/d/1Gpl6jkTg7sL4VDNimU"&amp;"m3S9Vi1i95esohXCF3wuKOE8c"", ""'CONSOLIDADO'!G5:AB""), 19, 0), ""-""),
""""
)"),"https://drive.google.com/file/d/1Iz850-wG17Jorh5zkLNmJ9dMpdJjc_EM/view?usp=sharing")</f>
        <v>https://drive.google.com/file/d/1Iz850-wG17Jorh5zkLNmJ9dMpdJjc_EM/view?usp=sharing</v>
      </c>
      <c r="W191" s="37" t="str">
        <f>IFERROR(__xludf.DUMMYFUNCTION("IFERROR(VLOOKUP(G191,IMPORTRANGE(""https://docs.google.com/spreadsheets/d/12RxCea4e5ggM7QGn1XE3FbLQa_-QbCNdBi90OdPjRqg"", ""'Plan de Compras'!D4:Q""), 12, 0), ""NO ESTÁ EN REQ"")"),"Técnica")</f>
        <v>Técnica</v>
      </c>
      <c r="X191" s="37" t="str">
        <f>IFERROR(__xludf.DUMMYFUNCTION("IFERROR(VLOOKUP(G191,IMPORTRANGE(""https://docs.google.com/spreadsheets/d/12RxCea4e5ggM7QGn1XE3FbLQa_-QbCNdBi90OdPjRqg"", ""'Plan de Compras'!D4:Q""), 13, 0), """")"),"INTERNACIONAL")</f>
        <v>INTERNACIONAL</v>
      </c>
      <c r="Y191" s="32" t="str">
        <f>IFERROR(__xludf.DUMMYFUNCTION("IFERROR(VLOOKUP(G191,IMPORTRANGE(""https://docs.google.com/spreadsheets/d/12RxCea4e5ggM7QGn1XE3FbLQa_-QbCNdBi90OdPjRqg"", ""'Plan de Compras'!D4:Q""), 14, 0), """")"),"JIMENA")</f>
        <v>JIMENA</v>
      </c>
      <c r="Z191" s="38" t="str">
        <f>IFERROR(__xludf.DUMMYFUNCTION("IFERROR(VLOOKUP(G191,IMPORTRANGE(""https://docs.google.com/spreadsheets/d/12RxCea4e5ggM7QGn1XE3FbLQa_-QbCNdBi90OdPjRqg"", ""'Plan de Compras'!D4:Q""), 4, 0), """")"),"KIT DE ENTRENAMIENTO DE ELECTRÓNICA DE POTENCIA")</f>
        <v>KIT DE ENTRENAMIENTO DE ELECTRÓNICA DE POTENCIA</v>
      </c>
      <c r="AA191" s="38" t="str">
        <f t="shared" si="16"/>
        <v>TRUE</v>
      </c>
      <c r="AB191" s="37" t="str">
        <f>IFERROR(__xludf.DUMMYFUNCTION("IFERROR(IF(OR(C191=TRUE,C191=""""),VLOOKUP(G191,IMPORTRANGE(""https://docs.google.com/spreadsheets/d/1z9A1Wq-kKrhRNG5RS2a2fKpY1wIhSVz2ZNmP2mOl588/edit?usp=sharing"",""REQ VF!E4:H""),4,0),""NO APLICA""),""GENERAR REQ"")"),"GENERAR REQ")</f>
        <v>GENERAR REQ</v>
      </c>
      <c r="AC191" s="37" t="str">
        <f>IFERROR(__xludf.DUMMYFUNCTION("IFERROR(QUERY(IMPORTRANGE(""https://docs.google.com/spreadsheets/d/1z9A1Wq-kKrhRNG5RS2a2fKpY1wIhSVz2ZNmP2mOl588/edit?usp=sharing"",""REQ VF!E4:Q""),""SELECT Col10, Col11, Col12 WHERE Col1 = '""&amp;G191&amp;""'"",0),""NO APLICA"")"),"NO APLICA")</f>
        <v>NO APLICA</v>
      </c>
      <c r="AD191" s="37"/>
      <c r="AE191" s="37"/>
      <c r="AF191" s="13"/>
      <c r="AG191" s="13"/>
    </row>
    <row r="192">
      <c r="A192" s="26"/>
      <c r="B192" s="26"/>
      <c r="C192" s="26" t="b">
        <v>1</v>
      </c>
      <c r="D192" s="43" t="s">
        <v>42</v>
      </c>
      <c r="E192" s="43" t="s">
        <v>36</v>
      </c>
      <c r="F192" s="39" t="s">
        <v>667</v>
      </c>
      <c r="G192" s="39" t="s">
        <v>670</v>
      </c>
      <c r="H192" s="40" t="s">
        <v>671</v>
      </c>
      <c r="I192" s="43">
        <f>$I$191</f>
        <v>4</v>
      </c>
      <c r="J192" s="26">
        <f>IFERROR(__xludf.DUMMYFUNCTION("VLOOKUP(G192,IMPORTRANGE(""https://docs.google.com/spreadsheets/d/12RxCea4e5ggM7QGn1XE3FbLQa_-QbCNdBi90OdPjRqg/edit?gid=1692403370#gid=1692403370"", ""'Plan de Compras'!D4:2432""), 8,0)"),4.0)</f>
        <v>4</v>
      </c>
      <c r="K192" s="26" t="str">
        <f t="shared" si="1"/>
        <v>SI</v>
      </c>
      <c r="L192" s="26"/>
      <c r="M192" s="47"/>
      <c r="N192" s="26" t="s">
        <v>672</v>
      </c>
      <c r="O192" s="44"/>
      <c r="P192" s="42"/>
      <c r="Q192" s="47"/>
      <c r="R192" s="47"/>
      <c r="S192" s="34" t="b">
        <v>1</v>
      </c>
      <c r="T192" s="35" t="s">
        <v>98</v>
      </c>
      <c r="U192" s="35" t="s">
        <v>99</v>
      </c>
      <c r="V192" s="44"/>
      <c r="W192" s="37" t="str">
        <f>IFERROR(__xludf.DUMMYFUNCTION("IFERROR(VLOOKUP(G192,IMPORTRANGE(""https://docs.google.com/spreadsheets/d/12RxCea4e5ggM7QGn1XE3FbLQa_-QbCNdBi90OdPjRqg"", ""'Plan de Compras'!D4:Q""), 12, 0), ""NO ESTÁ EN REQ"")"),"Técnica")</f>
        <v>Técnica</v>
      </c>
      <c r="X192" s="37" t="str">
        <f>IFERROR(__xludf.DUMMYFUNCTION("IFERROR(VLOOKUP(G192,IMPORTRANGE(""https://docs.google.com/spreadsheets/d/12RxCea4e5ggM7QGn1XE3FbLQa_-QbCNdBi90OdPjRqg"", ""'Plan de Compras'!D4:Q""), 13, 0), """")"),"INTERNACIONAL")</f>
        <v>INTERNACIONAL</v>
      </c>
      <c r="Y192" s="32" t="str">
        <f>IFERROR(__xludf.DUMMYFUNCTION("IFERROR(VLOOKUP(G192,IMPORTRANGE(""https://docs.google.com/spreadsheets/d/12RxCea4e5ggM7QGn1XE3FbLQa_-QbCNdBi90OdPjRqg"", ""'Plan de Compras'!D4:Q""), 14, 0), """")"),"JIMENA")</f>
        <v>JIMENA</v>
      </c>
      <c r="Z192" s="38" t="str">
        <f>IFERROR(__xludf.DUMMYFUNCTION("IFERROR(VLOOKUP(G192,IMPORTRANGE(""https://docs.google.com/spreadsheets/d/12RxCea4e5ggM7QGn1XE3FbLQa_-QbCNdBi90OdPjRqg"", ""'Plan de Compras'!D4:Q""), 4, 0), """")"),"MESA DE SOPROTE (1UND)")</f>
        <v>MESA DE SOPROTE (1UND)</v>
      </c>
      <c r="AA192" s="38" t="str">
        <f t="shared" si="16"/>
        <v>FALSE</v>
      </c>
      <c r="AB192" s="37" t="str">
        <f>IFERROR(__xludf.DUMMYFUNCTION("IFERROR(IF(OR(C192=TRUE,C192=""""),VLOOKUP(G192,IMPORTRANGE(""https://docs.google.com/spreadsheets/d/1z9A1Wq-kKrhRNG5RS2a2fKpY1wIhSVz2ZNmP2mOl588/edit?usp=sharing"",""REQ VF!E4:H""),4,0),""NO APLICA""),""GENERAR REQ"")"),"GENERAR REQ")</f>
        <v>GENERAR REQ</v>
      </c>
      <c r="AC192" s="37" t="str">
        <f>IFERROR(__xludf.DUMMYFUNCTION("IFERROR(QUERY(IMPORTRANGE(""https://docs.google.com/spreadsheets/d/1z9A1Wq-kKrhRNG5RS2a2fKpY1wIhSVz2ZNmP2mOl588/edit?usp=sharing"",""REQ VF!E4:Q""),""SELECT Col10, Col11, Col12 WHERE Col1 = '""&amp;G192&amp;""'"",0),""NO APLICA"")"),"NO APLICA")</f>
        <v>NO APLICA</v>
      </c>
      <c r="AD192" s="37"/>
      <c r="AE192" s="37"/>
      <c r="AF192" s="13"/>
      <c r="AG192" s="13"/>
    </row>
    <row r="193">
      <c r="A193" s="26">
        <v>86.0</v>
      </c>
      <c r="B193" s="26" t="b">
        <v>1</v>
      </c>
      <c r="C193" s="26" t="b">
        <v>1</v>
      </c>
      <c r="D193" s="26" t="s">
        <v>35</v>
      </c>
      <c r="E193" s="26" t="s">
        <v>36</v>
      </c>
      <c r="F193" s="27" t="s">
        <v>673</v>
      </c>
      <c r="G193" s="37" t="s">
        <v>673</v>
      </c>
      <c r="H193" s="45" t="s">
        <v>674</v>
      </c>
      <c r="I193" s="26">
        <f>SUMIFS('Hoja 10'!$O:$O,'Hoja 10'!$F:$F,$G193)</f>
        <v>4</v>
      </c>
      <c r="J193" s="26">
        <f>IFERROR(__xludf.DUMMYFUNCTION("VLOOKUP(G193,IMPORTRANGE(""https://docs.google.com/spreadsheets/d/12RxCea4e5ggM7QGn1XE3FbLQa_-QbCNdBi90OdPjRqg/edit?gid=1692403370#gid=1692403370"", ""'Plan de Compras'!D4:2432""), 8,0)"),4.0)</f>
        <v>4</v>
      </c>
      <c r="K193" s="26" t="str">
        <f t="shared" si="1"/>
        <v>SI</v>
      </c>
      <c r="L193" s="29" t="s">
        <v>122</v>
      </c>
      <c r="M193" s="30" t="s">
        <v>123</v>
      </c>
      <c r="N193" s="42"/>
      <c r="O193" s="41" t="str">
        <f>VLOOKUP($G193,'Hoja 10'!$F$4:$AA478, 19,0)</f>
        <v>Shandong Xingke Intelligent Technology Co., Ltd.</v>
      </c>
      <c r="P193" s="32" t="str">
        <f>VLOOKUP($G193,'Hoja 10'!$F$4:$AA478, 20,0)</f>
        <v>XK-MCB2 Microcontroller Training Set</v>
      </c>
      <c r="Q193" s="33" t="str">
        <f>VLOOKUP($G193,'Hoja 10'!$F$4:$AA478, 21,0)</f>
        <v>https://drive.google.com/file/d/1kHuEvo-uqo09r2BdBlNWsTF2fzqVk0Lh/view</v>
      </c>
      <c r="R193" s="30" t="s">
        <v>675</v>
      </c>
      <c r="S193" s="34" t="b">
        <v>1</v>
      </c>
      <c r="T193" s="35" t="str">
        <f>IFERROR(__xludf.DUMMYFUNCTION(" IF
( VLOOKUP($G193,IMPORTRANGE(""https://docs.google.com/spreadsheets/d/1Gpl6jkTg7sL4VDNimUm3S9Vi1i95esohXCF3wuKOE8c"", ""'CONSOLIDADO'!G5:AB""), 10, 0) &lt;&gt; 0, 
IFERROR(VLOOKUP($G193,IMPORTRANGE(""https://docs.google.com/spreadsheets/d/1Gpl6jkTg7sL4VDNimU"&amp;"m3S9Vi1i95esohXCF3wuKOE8c"", ""'CONSOLIDADO'!G5:AB""), 17, 0), ""-""),
""""
)"),"Shandong Xingke Intelligent Technology Co., Ltd.")</f>
        <v>Shandong Xingke Intelligent Technology Co., Ltd.</v>
      </c>
      <c r="U193" s="35" t="str">
        <f>IFERROR(__xludf.DUMMYFUNCTION(" IF
( VLOOKUP($G193,IMPORTRANGE(""https://docs.google.com/spreadsheets/d/1Gpl6jkTg7sL4VDNimUm3S9Vi1i95esohXCF3wuKOE8c"", ""'CONSOLIDADO'!G5:AB""), 10, 0) &lt;&gt; 0, 
IFERROR(VLOOKUP($G193,IMPORTRANGE(""https://docs.google.com/spreadsheets/d/1Gpl6jkTg7sL4VDNimU"&amp;"m3S9Vi1i95esohXCF3wuKOE8c"", ""'CONSOLIDADO'!G5:AB""), 18, 0), ""-""),
""""
)"),"XK-MCB2 Microcontroller Training Set (PIC+STC51)")</f>
        <v>XK-MCB2 Microcontroller Training Set (PIC+STC51)</v>
      </c>
      <c r="V193" s="36" t="str">
        <f>IFERROR(__xludf.DUMMYFUNCTION(" IF
( VLOOKUP($G193,IMPORTRANGE(""https://docs.google.com/spreadsheets/d/1Gpl6jkTg7sL4VDNimUm3S9Vi1i95esohXCF3wuKOE8c"", ""'CONSOLIDADO'!G5:AB""), 10, 0) &lt;&gt; 0, 
IFERROR(VLOOKUP($G193,IMPORTRANGE(""https://docs.google.com/spreadsheets/d/1Gpl6jkTg7sL4VDNimU"&amp;"m3S9Vi1i95esohXCF3wuKOE8c"", ""'CONSOLIDADO'!G5:AB""), 19, 0), ""-""),
""""
)"),"https://spanish.alibaba.com/product-detail/XK-MCB2-AVR-PIC-MCS51-Microcontroller-60473074108.html")</f>
        <v>https://spanish.alibaba.com/product-detail/XK-MCB2-AVR-PIC-MCS51-Microcontroller-60473074108.html</v>
      </c>
      <c r="W193" s="37" t="str">
        <f>IFERROR(__xludf.DUMMYFUNCTION("IFERROR(VLOOKUP(G193,IMPORTRANGE(""https://docs.google.com/spreadsheets/d/12RxCea4e5ggM7QGn1XE3FbLQa_-QbCNdBi90OdPjRqg"", ""'Plan de Compras'!D4:Q""), 12, 0), ""NO ESTÁ EN REQ"")"),"Técnica")</f>
        <v>Técnica</v>
      </c>
      <c r="X193" s="37" t="str">
        <f>IFERROR(__xludf.DUMMYFUNCTION("IFERROR(VLOOKUP(G193,IMPORTRANGE(""https://docs.google.com/spreadsheets/d/12RxCea4e5ggM7QGn1XE3FbLQa_-QbCNdBi90OdPjRqg"", ""'Plan de Compras'!D4:Q""), 13, 0), """")"),"INTERNACIONAL")</f>
        <v>INTERNACIONAL</v>
      </c>
      <c r="Y193" s="32" t="str">
        <f>IFERROR(__xludf.DUMMYFUNCTION("IFERROR(VLOOKUP(G193,IMPORTRANGE(""https://docs.google.com/spreadsheets/d/12RxCea4e5ggM7QGn1XE3FbLQa_-QbCNdBi90OdPjRqg"", ""'Plan de Compras'!D4:Q""), 14, 0), """")"),"GEYDI")</f>
        <v>GEYDI</v>
      </c>
      <c r="Z193" s="38" t="str">
        <f>IFERROR(__xludf.DUMMYFUNCTION("IFERROR(VLOOKUP(G193,IMPORTRANGE(""https://docs.google.com/spreadsheets/d/12RxCea4e5ggM7QGn1XE3FbLQa_-QbCNdBi90OdPjRqg"", ""'Plan de Compras'!D4:Q""), 4, 0), """")"),"KIT DE ENTRENAMIENTO CON MICROCONTROLADORES")</f>
        <v>KIT DE ENTRENAMIENTO CON MICROCONTROLADORES</v>
      </c>
      <c r="AA193" s="38" t="str">
        <f t="shared" si="16"/>
        <v>TRUE</v>
      </c>
      <c r="AB193" s="37" t="str">
        <f>IFERROR(__xludf.DUMMYFUNCTION("IFERROR(IF(OR(C193=TRUE,C193=""""),VLOOKUP(G193,IMPORTRANGE(""https://docs.google.com/spreadsheets/d/1z9A1Wq-kKrhRNG5RS2a2fKpY1wIhSVz2ZNmP2mOl588/edit?usp=sharing"",""REQ VF!E4:H""),4,0),""NO APLICA""),""GENERAR REQ"")"),"GENERAR REQ")</f>
        <v>GENERAR REQ</v>
      </c>
      <c r="AC193" s="37" t="str">
        <f>IFERROR(__xludf.DUMMYFUNCTION("IFERROR(QUERY(IMPORTRANGE(""https://docs.google.com/spreadsheets/d/1z9A1Wq-kKrhRNG5RS2a2fKpY1wIhSVz2ZNmP2mOl588/edit?usp=sharing"",""REQ VF!E4:Q""),""SELECT Col10, Col11, Col12 WHERE Col1 = '""&amp;G193&amp;""'"",0),""NO APLICA"")"),"NO APLICA")</f>
        <v>NO APLICA</v>
      </c>
      <c r="AD193" s="37"/>
      <c r="AE193" s="37"/>
      <c r="AF193" s="13"/>
      <c r="AG193" s="13"/>
    </row>
    <row r="194">
      <c r="A194" s="26"/>
      <c r="B194" s="26"/>
      <c r="C194" s="26" t="b">
        <v>1</v>
      </c>
      <c r="D194" s="43" t="s">
        <v>42</v>
      </c>
      <c r="E194" s="43" t="s">
        <v>36</v>
      </c>
      <c r="F194" s="39" t="s">
        <v>673</v>
      </c>
      <c r="G194" s="39" t="s">
        <v>676</v>
      </c>
      <c r="H194" s="66" t="s">
        <v>677</v>
      </c>
      <c r="I194" s="43">
        <f>I193</f>
        <v>4</v>
      </c>
      <c r="J194" s="26">
        <f>IFERROR(__xludf.DUMMYFUNCTION("VLOOKUP(G194,IMPORTRANGE(""https://docs.google.com/spreadsheets/d/12RxCea4e5ggM7QGn1XE3FbLQa_-QbCNdBi90OdPjRqg/edit?gid=1692403370#gid=1692403370"", ""'Plan de Compras'!D4:2432""), 8,0)"),4.0)</f>
        <v>4</v>
      </c>
      <c r="K194" s="26" t="str">
        <f t="shared" si="1"/>
        <v>SI</v>
      </c>
      <c r="L194" s="26"/>
      <c r="M194" s="47"/>
      <c r="N194" s="91" t="s">
        <v>678</v>
      </c>
      <c r="O194" s="42"/>
      <c r="P194" s="42"/>
      <c r="Q194" s="46" t="s">
        <v>679</v>
      </c>
      <c r="R194" s="47"/>
      <c r="S194" s="34" t="b">
        <v>1</v>
      </c>
      <c r="T194" s="72"/>
      <c r="U194" s="35" t="s">
        <v>680</v>
      </c>
      <c r="V194" s="44"/>
      <c r="W194" s="37" t="str">
        <f>IFERROR(__xludf.DUMMYFUNCTION("IFERROR(VLOOKUP(G194,IMPORTRANGE(""https://docs.google.com/spreadsheets/d/12RxCea4e5ggM7QGn1XE3FbLQa_-QbCNdBi90OdPjRqg"", ""'Plan de Compras'!D4:Q""), 12, 0), ""NO ESTÁ EN REQ"")"),"Técnica")</f>
        <v>Técnica</v>
      </c>
      <c r="X194" s="37" t="str">
        <f>IFERROR(__xludf.DUMMYFUNCTION("IFERROR(VLOOKUP(G194,IMPORTRANGE(""https://docs.google.com/spreadsheets/d/12RxCea4e5ggM7QGn1XE3FbLQa_-QbCNdBi90OdPjRqg"", ""'Plan de Compras'!D4:Q""), 13, 0), """")"),"INTERNACIONAL")</f>
        <v>INTERNACIONAL</v>
      </c>
      <c r="Y194" s="32" t="str">
        <f>IFERROR(__xludf.DUMMYFUNCTION("IFERROR(VLOOKUP(G194,IMPORTRANGE(""https://docs.google.com/spreadsheets/d/12RxCea4e5ggM7QGn1XE3FbLQa_-QbCNdBi90OdPjRqg"", ""'Plan de Compras'!D4:Q""), 14, 0), """")"),"GEYDI")</f>
        <v>GEYDI</v>
      </c>
      <c r="Z194" s="38" t="str">
        <f>IFERROR(__xludf.DUMMYFUNCTION("IFERROR(VLOOKUP(G194,IMPORTRANGE(""https://docs.google.com/spreadsheets/d/12RxCea4e5ggM7QGn1XE3FbLQa_-QbCNdBi90OdPjRqg"", ""'Plan de Compras'!D4:Q""), 4, 0), """")"),"PICKIT3 (1 UND)")</f>
        <v>PICKIT3 (1 UND)</v>
      </c>
      <c r="AA194" s="38" t="str">
        <f t="shared" si="16"/>
        <v>TRUE</v>
      </c>
      <c r="AB194" s="37" t="str">
        <f>IFERROR(__xludf.DUMMYFUNCTION("IFERROR(IF(OR(C194=TRUE,C194=""""),VLOOKUP(G194,IMPORTRANGE(""https://docs.google.com/spreadsheets/d/1z9A1Wq-kKrhRNG5RS2a2fKpY1wIhSVz2ZNmP2mOl588/edit?usp=sharing"",""REQ VF!E4:H""),4,0),""NO APLICA""),""GENERAR REQ"")"),"GENERAR REQ")</f>
        <v>GENERAR REQ</v>
      </c>
      <c r="AC194" s="37" t="str">
        <f>IFERROR(__xludf.DUMMYFUNCTION("IFERROR(QUERY(IMPORTRANGE(""https://docs.google.com/spreadsheets/d/1z9A1Wq-kKrhRNG5RS2a2fKpY1wIhSVz2ZNmP2mOl588/edit?usp=sharing"",""REQ VF!E4:Q""),""SELECT Col10, Col11, Col12 WHERE Col1 = '""&amp;G194&amp;""'"",0),""NO APLICA"")"),"NO APLICA")</f>
        <v>NO APLICA</v>
      </c>
      <c r="AD194" s="37"/>
      <c r="AE194" s="37"/>
      <c r="AF194" s="13"/>
      <c r="AG194" s="13"/>
    </row>
    <row r="195">
      <c r="A195" s="26"/>
      <c r="B195" s="26" t="b">
        <v>0</v>
      </c>
      <c r="C195" s="26" t="b">
        <v>0</v>
      </c>
      <c r="D195" s="43" t="s">
        <v>42</v>
      </c>
      <c r="E195" s="43" t="s">
        <v>36</v>
      </c>
      <c r="F195" s="39" t="s">
        <v>673</v>
      </c>
      <c r="G195" s="39" t="s">
        <v>681</v>
      </c>
      <c r="H195" s="40" t="s">
        <v>118</v>
      </c>
      <c r="I195" s="26">
        <f>1*I193</f>
        <v>4</v>
      </c>
      <c r="J195" s="26" t="str">
        <f>IFERROR(__xludf.DUMMYFUNCTION("VLOOKUP(G195,IMPORTRANGE(""https://docs.google.com/spreadsheets/d/12RxCea4e5ggM7QGn1XE3FbLQa_-QbCNdBi90OdPjRqg/edit?gid=1692403370#gid=1692403370"", ""'Plan de Compras'!D4:2432""), 8,0)"),"#N/A")</f>
        <v>#N/A</v>
      </c>
      <c r="K195" s="26" t="str">
        <f t="shared" si="1"/>
        <v>-</v>
      </c>
      <c r="L195" s="29"/>
      <c r="M195" s="61"/>
      <c r="N195" s="42"/>
      <c r="O195" s="32"/>
      <c r="P195" s="32"/>
      <c r="Q195" s="41"/>
      <c r="R195" s="61"/>
      <c r="S195" s="34" t="b">
        <v>0</v>
      </c>
      <c r="T195" s="35" t="s">
        <v>682</v>
      </c>
      <c r="U195" s="35" t="s">
        <v>683</v>
      </c>
      <c r="V195" s="35"/>
      <c r="W195" s="37"/>
      <c r="X195" s="37"/>
      <c r="Y195" s="32"/>
      <c r="Z195" s="38"/>
      <c r="AA195" s="38" t="str">
        <f t="shared" si="16"/>
        <v>FALSE</v>
      </c>
      <c r="AB195" s="37" t="str">
        <f>IFERROR(__xludf.DUMMYFUNCTION("IFERROR(IF(OR(C195=TRUE,C195=""""),VLOOKUP(G195,IMPORTRANGE(""https://docs.google.com/spreadsheets/d/1z9A1Wq-kKrhRNG5RS2a2fKpY1wIhSVz2ZNmP2mOl588/edit?usp=sharing"",""REQ VF!E4:H""),4,0),""NO APLICA""),""GENERAR REQ"")"),"NO APLICA")</f>
        <v>NO APLICA</v>
      </c>
      <c r="AC195" s="37" t="str">
        <f>IFERROR(__xludf.DUMMYFUNCTION("IFERROR(QUERY(IMPORTRANGE(""https://docs.google.com/spreadsheets/d/1z9A1Wq-kKrhRNG5RS2a2fKpY1wIhSVz2ZNmP2mOl588/edit?usp=sharing"",""REQ VF!E4:Q""),""SELECT Col10, Col11, Col12 WHERE Col1 = '""&amp;G195&amp;""'"",0),""NO APLICA"")"),"NO APLICA")</f>
        <v>NO APLICA</v>
      </c>
      <c r="AD195" s="37"/>
      <c r="AE195" s="37"/>
      <c r="AF195" s="8"/>
      <c r="AG195" s="71"/>
    </row>
    <row r="196">
      <c r="A196" s="26">
        <v>87.0</v>
      </c>
      <c r="B196" s="26" t="b">
        <v>1</v>
      </c>
      <c r="C196" s="26" t="b">
        <v>1</v>
      </c>
      <c r="D196" s="26" t="s">
        <v>35</v>
      </c>
      <c r="E196" s="26" t="s">
        <v>36</v>
      </c>
      <c r="F196" s="27" t="s">
        <v>684</v>
      </c>
      <c r="G196" s="37" t="s">
        <v>684</v>
      </c>
      <c r="H196" s="45" t="s">
        <v>685</v>
      </c>
      <c r="I196" s="26">
        <f>SUMIFS('Hoja 10'!$O:$O,'Hoja 10'!$F:$F,$G196)</f>
        <v>3</v>
      </c>
      <c r="J196" s="26">
        <f>IFERROR(__xludf.DUMMYFUNCTION("VLOOKUP(G196,IMPORTRANGE(""https://docs.google.com/spreadsheets/d/12RxCea4e5ggM7QGn1XE3FbLQa_-QbCNdBi90OdPjRqg/edit?gid=1692403370#gid=1692403370"", ""'Plan de Compras'!D4:2432""), 8,0)"),3.0)</f>
        <v>3</v>
      </c>
      <c r="K196" s="26" t="str">
        <f t="shared" si="1"/>
        <v>SI</v>
      </c>
      <c r="L196" s="29" t="s">
        <v>180</v>
      </c>
      <c r="M196" s="30" t="s">
        <v>181</v>
      </c>
      <c r="N196" s="42"/>
      <c r="O196" s="32" t="str">
        <f>VLOOKUP($G196,'Hoja 10'!$F$4:$AA478, 19,0)</f>
        <v>Shouldshine</v>
      </c>
      <c r="P196" s="32" t="str">
        <f>VLOOKUP($G196,'Hoja 10'!$F$4:$AA478, 20,0)</f>
        <v>TB-230320-V-001</v>
      </c>
      <c r="Q196" s="33" t="str">
        <f>VLOOKUP($G196,'Hoja 10'!$F$4:$AA478, 21,0)</f>
        <v>https://drive.google.com/drive/search?q=KIT%20DE%20ENTRENAMIENTO%20EN%20LA%20GENERACI%C3%93N%20DE%20ELECTRICIDAD%20CON%20ENERG%C3%8DA%20RENOVABLE%20FOTOVOLTAICO%20Y%20E%C3%93LICO</v>
      </c>
      <c r="R196" s="30" t="s">
        <v>686</v>
      </c>
      <c r="S196" s="34" t="b">
        <v>1</v>
      </c>
      <c r="T196" s="35" t="str">
        <f>IFERROR(__xludf.DUMMYFUNCTION(" IF
( VLOOKUP($G196,IMPORTRANGE(""https://docs.google.com/spreadsheets/d/1Gpl6jkTg7sL4VDNimUm3S9Vi1i95esohXCF3wuKOE8c"", ""'CONSOLIDADO'!G5:AB""), 10, 0) &lt;&gt; 0, 
IFERROR(VLOOKUP($G196,IMPORTRANGE(""https://docs.google.com/spreadsheets/d/1Gpl6jkTg7sL4VDNimU"&amp;"m3S9Vi1i95esohXCF3wuKOE8c"", ""'CONSOLIDADO'!G5:AB""), 17, 0), ""-""),
""""
)"),"Shouldshine")</f>
        <v>Shouldshine</v>
      </c>
      <c r="U196" s="35" t="str">
        <f>IFERROR(__xludf.DUMMYFUNCTION(" IF
( VLOOKUP($G196,IMPORTRANGE(""https://docs.google.com/spreadsheets/d/1Gpl6jkTg7sL4VDNimUm3S9Vi1i95esohXCF3wuKOE8c"", ""'CONSOLIDADO'!G5:AB""), 10, 0) &lt;&gt; 0, 
IFERROR(VLOOKUP($G196,IMPORTRANGE(""https://docs.google.com/spreadsheets/d/1Gpl6jkTg7sL4VDNimU"&amp;"m3S9Vi1i95esohXCF3wuKOE8c"", ""'CONSOLIDADO'!G5:AB""), 18, 0), ""-""),
""""
)"),"TB-230320-V-001")</f>
        <v>TB-230320-V-001</v>
      </c>
      <c r="V196" s="36" t="str">
        <f>IFERROR(__xludf.DUMMYFUNCTION(" IF
( VLOOKUP($G196,IMPORTRANGE(""https://docs.google.com/spreadsheets/d/1Gpl6jkTg7sL4VDNimUm3S9Vi1i95esohXCF3wuKOE8c"", ""'CONSOLIDADO'!G5:AB""), 10, 0) &lt;&gt; 0, 
IFERROR(VLOOKUP($G196,IMPORTRANGE(""https://docs.google.com/spreadsheets/d/1Gpl6jkTg7sL4VDNimU"&amp;"m3S9Vi1i95esohXCF3wuKOE8c"", ""'CONSOLIDADO'!G5:AB""), 19, 0), ""-""),
""""
)"),"https://drive.google.com/drive/search?q=KIT%20DE%20ENTRENAMIENTO%20EN%20LA%20GENERACI%C3%93N%20DE%20ELECTRICIDAD%20CON%20ENERG%C3%8DA%20RENOVABLE%20FOTOVOLTAICO%20Y%20E%C3%93LICO")</f>
        <v>https://drive.google.com/drive/search?q=KIT%20DE%20ENTRENAMIENTO%20EN%20LA%20GENERACI%C3%93N%20DE%20ELECTRICIDAD%20CON%20ENERG%C3%8DA%20RENOVABLE%20FOTOVOLTAICO%20Y%20E%C3%93LICO</v>
      </c>
      <c r="W196" s="37" t="str">
        <f>IFERROR(__xludf.DUMMYFUNCTION("IFERROR(VLOOKUP(G196,IMPORTRANGE(""https://docs.google.com/spreadsheets/d/12RxCea4e5ggM7QGn1XE3FbLQa_-QbCNdBi90OdPjRqg"", ""'Plan de Compras'!D4:Q""), 12, 0), ""NO ESTÁ EN REQ"")"),"Técnica")</f>
        <v>Técnica</v>
      </c>
      <c r="X196" s="37" t="str">
        <f>IFERROR(__xludf.DUMMYFUNCTION("IFERROR(VLOOKUP(G196,IMPORTRANGE(""https://docs.google.com/spreadsheets/d/12RxCea4e5ggM7QGn1XE3FbLQa_-QbCNdBi90OdPjRqg"", ""'Plan de Compras'!D4:Q""), 13, 0), """")"),"INTERNACIONAL")</f>
        <v>INTERNACIONAL</v>
      </c>
      <c r="Y196" s="32" t="str">
        <f>IFERROR(__xludf.DUMMYFUNCTION("IFERROR(VLOOKUP(G196,IMPORTRANGE(""https://docs.google.com/spreadsheets/d/12RxCea4e5ggM7QGn1XE3FbLQa_-QbCNdBi90OdPjRqg"", ""'Plan de Compras'!D4:Q""), 14, 0), """")"),"JIMENA")</f>
        <v>JIMENA</v>
      </c>
      <c r="Z196" s="38" t="str">
        <f>IFERROR(__xludf.DUMMYFUNCTION("IFERROR(VLOOKUP(G196,IMPORTRANGE(""https://docs.google.com/spreadsheets/d/12RxCea4e5ggM7QGn1XE3FbLQa_-QbCNdBi90OdPjRqg"", ""'Plan de Compras'!D4:Q""), 4, 0), """")"),"KIT DE ENTRENAMIENTO EN LA GENERACIÓN DE ELECTRICIDAD CON ENERGÍA RENOVABLE FOTOVOLTAICO Y EÓLICO")</f>
        <v>KIT DE ENTRENAMIENTO EN LA GENERACIÓN DE ELECTRICIDAD CON ENERGÍA RENOVABLE FOTOVOLTAICO Y EÓLICO</v>
      </c>
      <c r="AA196" s="38" t="str">
        <f t="shared" si="16"/>
        <v>TRUE</v>
      </c>
      <c r="AB196" s="37" t="str">
        <f>IFERROR(__xludf.DUMMYFUNCTION("IFERROR(IF(OR(C196=TRUE,C196=""""),VLOOKUP(G196,IMPORTRANGE(""https://docs.google.com/spreadsheets/d/1z9A1Wq-kKrhRNG5RS2a2fKpY1wIhSVz2ZNmP2mOl588/edit?usp=sharing"",""REQ VF!E4:H""),4,0),""NO APLICA""),""GENERAR REQ"")"),"GENERAR REQ")</f>
        <v>GENERAR REQ</v>
      </c>
      <c r="AC196" s="37" t="str">
        <f>IFERROR(__xludf.DUMMYFUNCTION("IFERROR(QUERY(IMPORTRANGE(""https://docs.google.com/spreadsheets/d/1z9A1Wq-kKrhRNG5RS2a2fKpY1wIhSVz2ZNmP2mOl588/edit?usp=sharing"",""REQ VF!E4:Q""),""SELECT Col10, Col11, Col12 WHERE Col1 = '""&amp;G196&amp;""'"",0),""NO APLICA"")"),"NO APLICA")</f>
        <v>NO APLICA</v>
      </c>
      <c r="AD196" s="37"/>
      <c r="AE196" s="37"/>
      <c r="AF196" s="8" t="s">
        <v>52</v>
      </c>
      <c r="AG196" s="71"/>
    </row>
    <row r="197">
      <c r="A197" s="26"/>
      <c r="B197" s="26" t="b">
        <v>0</v>
      </c>
      <c r="C197" s="26" t="b">
        <v>0</v>
      </c>
      <c r="D197" s="26" t="s">
        <v>42</v>
      </c>
      <c r="E197" s="26" t="s">
        <v>36</v>
      </c>
      <c r="F197" s="27" t="s">
        <v>684</v>
      </c>
      <c r="G197" s="39" t="s">
        <v>687</v>
      </c>
      <c r="H197" s="40" t="s">
        <v>118</v>
      </c>
      <c r="I197" s="26"/>
      <c r="J197" s="26" t="str">
        <f>IFERROR(__xludf.DUMMYFUNCTION("VLOOKUP(G197,IMPORTRANGE(""https://docs.google.com/spreadsheets/d/12RxCea4e5ggM7QGn1XE3FbLQa_-QbCNdBi90OdPjRqg/edit?gid=1692403370#gid=1692403370"", ""'Plan de Compras'!D4:2432""), 8,0)"),"#N/A")</f>
        <v>#N/A</v>
      </c>
      <c r="K197" s="26" t="str">
        <f t="shared" si="1"/>
        <v>-</v>
      </c>
      <c r="L197" s="29"/>
      <c r="M197" s="61"/>
      <c r="N197" s="42"/>
      <c r="O197" s="32"/>
      <c r="P197" s="32"/>
      <c r="Q197" s="41"/>
      <c r="R197" s="61"/>
      <c r="S197" s="34" t="b">
        <v>0</v>
      </c>
      <c r="T197" s="35"/>
      <c r="U197" s="35"/>
      <c r="V197" s="35"/>
      <c r="W197" s="37"/>
      <c r="X197" s="37"/>
      <c r="Y197" s="32"/>
      <c r="Z197" s="38"/>
      <c r="AA197" s="38" t="str">
        <f t="shared" si="16"/>
        <v>FALSE</v>
      </c>
      <c r="AB197" s="37" t="str">
        <f>IFERROR(__xludf.DUMMYFUNCTION("IFERROR(IF(OR(C197=TRUE,C197=""""),VLOOKUP(G197,IMPORTRANGE(""https://docs.google.com/spreadsheets/d/1z9A1Wq-kKrhRNG5RS2a2fKpY1wIhSVz2ZNmP2mOl588/edit?usp=sharing"",""REQ VF!E4:H""),4,0),""NO APLICA""),""GENERAR REQ"")"),"NO APLICA")</f>
        <v>NO APLICA</v>
      </c>
      <c r="AC197" s="37" t="str">
        <f>IFERROR(__xludf.DUMMYFUNCTION("IFERROR(QUERY(IMPORTRANGE(""https://docs.google.com/spreadsheets/d/1z9A1Wq-kKrhRNG5RS2a2fKpY1wIhSVz2ZNmP2mOl588/edit?usp=sharing"",""REQ VF!E4:Q""),""SELECT Col10, Col11, Col12 WHERE Col1 = '""&amp;G197&amp;""'"",0),""NO APLICA"")"),"NO APLICA")</f>
        <v>NO APLICA</v>
      </c>
      <c r="AD197" s="37"/>
      <c r="AE197" s="37"/>
      <c r="AF197" s="13"/>
      <c r="AG197" s="13"/>
    </row>
    <row r="198">
      <c r="A198" s="26">
        <v>88.0</v>
      </c>
      <c r="B198" s="26" t="b">
        <v>1</v>
      </c>
      <c r="C198" s="26" t="b">
        <v>1</v>
      </c>
      <c r="D198" s="26" t="s">
        <v>35</v>
      </c>
      <c r="E198" s="26" t="s">
        <v>36</v>
      </c>
      <c r="F198" s="27" t="s">
        <v>688</v>
      </c>
      <c r="G198" s="37" t="s">
        <v>688</v>
      </c>
      <c r="H198" s="45" t="s">
        <v>689</v>
      </c>
      <c r="I198" s="26">
        <f>SUMIFS('Hoja 10'!$O:$O,'Hoja 10'!$F:$F,$G198)</f>
        <v>1</v>
      </c>
      <c r="J198" s="26">
        <f>IFERROR(__xludf.DUMMYFUNCTION("VLOOKUP(G198,IMPORTRANGE(""https://docs.google.com/spreadsheets/d/12RxCea4e5ggM7QGn1XE3FbLQa_-QbCNdBi90OdPjRqg/edit?gid=1692403370#gid=1692403370"", ""'Plan de Compras'!D4:2432""), 8,0)"),1.0)</f>
        <v>1</v>
      </c>
      <c r="K198" s="26" t="str">
        <f t="shared" si="1"/>
        <v>SI</v>
      </c>
      <c r="L198" s="29" t="s">
        <v>91</v>
      </c>
      <c r="M198" s="30" t="s">
        <v>92</v>
      </c>
      <c r="N198" s="42"/>
      <c r="O198" s="32" t="str">
        <f>VLOOKUP($G198,'Hoja 10'!$F$4:$AA478, 19,0)</f>
        <v>AGA</v>
      </c>
      <c r="P198" s="32" t="str">
        <f>VLOOKUP($G198,'Hoja 10'!$F$4:$AA478, 20,0)</f>
        <v>EQUIPO OXICORTE X21</v>
      </c>
      <c r="Q198" s="33" t="str">
        <f>VLOOKUP($G198,'Hoja 10'!$F$4:$AA478, 21,0)</f>
        <v>https://velponperu.com/producto/equipo-oxicorte-x21-aga/</v>
      </c>
      <c r="R198" s="30" t="s">
        <v>690</v>
      </c>
      <c r="S198" s="34" t="b">
        <v>1</v>
      </c>
      <c r="T198" s="35" t="str">
        <f>IFERROR(__xludf.DUMMYFUNCTION(" IF
( VLOOKUP($G198,IMPORTRANGE(""https://docs.google.com/spreadsheets/d/1Gpl6jkTg7sL4VDNimUm3S9Vi1i95esohXCF3wuKOE8c"", ""'CONSOLIDADO'!G5:AB""), 10, 0) &lt;&gt; 0, 
IFERROR(VLOOKUP($G198,IMPORTRANGE(""https://docs.google.com/spreadsheets/d/1Gpl6jkTg7sL4VDNimU"&amp;"m3S9Vi1i95esohXCF3wuKOE8c"", ""'CONSOLIDADO'!G5:AB""), 17, 0), ""-""),
""""
)"),"AGA")</f>
        <v>AGA</v>
      </c>
      <c r="U198" s="35" t="str">
        <f>IFERROR(__xludf.DUMMYFUNCTION(" IF
( VLOOKUP($G198,IMPORTRANGE(""https://docs.google.com/spreadsheets/d/1Gpl6jkTg7sL4VDNimUm3S9Vi1i95esohXCF3wuKOE8c"", ""'CONSOLIDADO'!G5:AB""), 10, 0) &lt;&gt; 0, 
IFERROR(VLOOKUP($G198,IMPORTRANGE(""https://docs.google.com/spreadsheets/d/1Gpl6jkTg7sL4VDNimU"&amp;"m3S9Vi1i95esohXCF3wuKOE8c"", ""'CONSOLIDADO'!G5:AB""), 18, 0), ""-""),
""""
)"),"EQUIPO OXICORTE X21")</f>
        <v>EQUIPO OXICORTE X21</v>
      </c>
      <c r="V198" s="36" t="str">
        <f>IFERROR(__xludf.DUMMYFUNCTION(" IF
( VLOOKUP($G198,IMPORTRANGE(""https://docs.google.com/spreadsheets/d/1Gpl6jkTg7sL4VDNimUm3S9Vi1i95esohXCF3wuKOE8c"", ""'CONSOLIDADO'!G5:AB""), 10, 0) &lt;&gt; 0, 
IFERROR(VLOOKUP($G198,IMPORTRANGE(""https://docs.google.com/spreadsheets/d/1Gpl6jkTg7sL4VDNimU"&amp;"m3S9Vi1i95esohXCF3wuKOE8c"", ""'CONSOLIDADO'!G5:AB""), 19, 0), ""-""),
""""
)"),"https://welderpower.com.pe/product/equipo-de-oxicorte-combijet-aga-x21/")</f>
        <v>https://welderpower.com.pe/product/equipo-de-oxicorte-combijet-aga-x21/</v>
      </c>
      <c r="W198" s="37" t="str">
        <f>IFERROR(__xludf.DUMMYFUNCTION("IFERROR(VLOOKUP(G198,IMPORTRANGE(""https://docs.google.com/spreadsheets/d/12RxCea4e5ggM7QGn1XE3FbLQa_-QbCNdBi90OdPjRqg"", ""'Plan de Compras'!D4:Q""), 12, 0), ""NO ESTÁ EN REQ"")"),"Técnica")</f>
        <v>Técnica</v>
      </c>
      <c r="X198" s="37" t="str">
        <f>IFERROR(__xludf.DUMMYFUNCTION("IFERROR(VLOOKUP(G198,IMPORTRANGE(""https://docs.google.com/spreadsheets/d/12RxCea4e5ggM7QGn1XE3FbLQa_-QbCNdBi90OdPjRqg"", ""'Plan de Compras'!D4:Q""), 13, 0), """")"),"NACIONAL")</f>
        <v>NACIONAL</v>
      </c>
      <c r="Y198" s="32" t="str">
        <f>IFERROR(__xludf.DUMMYFUNCTION("IFERROR(VLOOKUP(G198,IMPORTRANGE(""https://docs.google.com/spreadsheets/d/12RxCea4e5ggM7QGn1XE3FbLQa_-QbCNdBi90OdPjRqg"", ""'Plan de Compras'!D4:Q""), 14, 0), """")"),"DIANA")</f>
        <v>DIANA</v>
      </c>
      <c r="Z198" s="38" t="str">
        <f>IFERROR(__xludf.DUMMYFUNCTION("IFERROR(VLOOKUP(G198,IMPORTRANGE(""https://docs.google.com/spreadsheets/d/12RxCea4e5ggM7QGn1XE3FbLQa_-QbCNdBi90OdPjRqg"", ""'Plan de Compras'!D4:Q""), 4, 0), """")"),"KIT DE EQUIPO OXICORTE")</f>
        <v>KIT DE EQUIPO OXICORTE</v>
      </c>
      <c r="AA198" s="38" t="str">
        <f t="shared" si="16"/>
        <v>TRUE</v>
      </c>
      <c r="AB198" s="37" t="str">
        <f>IFERROR(__xludf.DUMMYFUNCTION("IFERROR(IF(OR(C198=TRUE,C198=""""),VLOOKUP(G198,IMPORTRANGE(""https://docs.google.com/spreadsheets/d/1z9A1Wq-kKrhRNG5RS2a2fKpY1wIhSVz2ZNmP2mOl588/edit?usp=sharing"",""REQ VF!E4:H""),4,0),""NO APLICA""),""GENERAR REQ"")"),"GENERAR REQ")</f>
        <v>GENERAR REQ</v>
      </c>
      <c r="AC198" s="37" t="str">
        <f>IFERROR(__xludf.DUMMYFUNCTION("IFERROR(QUERY(IMPORTRANGE(""https://docs.google.com/spreadsheets/d/1z9A1Wq-kKrhRNG5RS2a2fKpY1wIhSVz2ZNmP2mOl588/edit?usp=sharing"",""REQ VF!E4:Q""),""SELECT Col10, Col11, Col12 WHERE Col1 = '""&amp;G198&amp;""'"",0),""NO APLICA"")"),"NO APLICA")</f>
        <v>NO APLICA</v>
      </c>
      <c r="AD198" s="37"/>
      <c r="AE198" s="37"/>
      <c r="AF198" s="13"/>
      <c r="AG198" s="13"/>
    </row>
    <row r="199">
      <c r="A199" s="26"/>
      <c r="B199" s="26"/>
      <c r="C199" s="26" t="b">
        <v>1</v>
      </c>
      <c r="D199" s="43" t="s">
        <v>42</v>
      </c>
      <c r="E199" s="43" t="s">
        <v>36</v>
      </c>
      <c r="F199" s="39" t="s">
        <v>691</v>
      </c>
      <c r="G199" s="39" t="s">
        <v>691</v>
      </c>
      <c r="H199" s="40" t="s">
        <v>692</v>
      </c>
      <c r="I199" s="43">
        <v>1.0</v>
      </c>
      <c r="J199" s="26">
        <f>IFERROR(__xludf.DUMMYFUNCTION("VLOOKUP(G199,IMPORTRANGE(""https://docs.google.com/spreadsheets/d/12RxCea4e5ggM7QGn1XE3FbLQa_-QbCNdBi90OdPjRqg/edit?gid=1692403370#gid=1692403370"", ""'Plan de Compras'!D4:2432""), 8,0)"),1.0)</f>
        <v>1</v>
      </c>
      <c r="K199" s="26" t="str">
        <f t="shared" si="1"/>
        <v>SI</v>
      </c>
      <c r="L199" s="29"/>
      <c r="M199" s="61"/>
      <c r="N199" s="42"/>
      <c r="O199" s="32"/>
      <c r="P199" s="32"/>
      <c r="Q199" s="41"/>
      <c r="R199" s="61"/>
      <c r="S199" s="34" t="b">
        <v>1</v>
      </c>
      <c r="T199" s="35" t="s">
        <v>693</v>
      </c>
      <c r="U199" s="35" t="s">
        <v>694</v>
      </c>
      <c r="V199" s="35"/>
      <c r="W199" s="37" t="str">
        <f>IFERROR(__xludf.DUMMYFUNCTION("IFERROR(VLOOKUP(G199,IMPORTRANGE(""https://docs.google.com/spreadsheets/d/12RxCea4e5ggM7QGn1XE3FbLQa_-QbCNdBi90OdPjRqg"", ""'Plan de Compras'!D4:Q""), 12, 0), ""NO ESTÁ EN REQ"")"),"Simple")</f>
        <v>Simple</v>
      </c>
      <c r="X199" s="37" t="str">
        <f>IFERROR(__xludf.DUMMYFUNCTION("IFERROR(VLOOKUP(G199,IMPORTRANGE(""https://docs.google.com/spreadsheets/d/12RxCea4e5ggM7QGn1XE3FbLQa_-QbCNdBi90OdPjRqg"", ""'Plan de Compras'!D4:Q""), 13, 0), """")"),"NACIONAL")</f>
        <v>NACIONAL</v>
      </c>
      <c r="Y199" s="32" t="str">
        <f>IFERROR(__xludf.DUMMYFUNCTION("IFERROR(VLOOKUP(G199,IMPORTRANGE(""https://docs.google.com/spreadsheets/d/12RxCea4e5ggM7QGn1XE3FbLQa_-QbCNdBi90OdPjRqg"", ""'Plan de Compras'!D4:Q""), 14, 0), """")"),"DIANA")</f>
        <v>DIANA</v>
      </c>
      <c r="Z199" s="38" t="str">
        <f>IFERROR(__xludf.DUMMYFUNCTION("IFERROR(VLOOKUP(G199,IMPORTRANGE(""https://docs.google.com/spreadsheets/d/12RxCea4e5ggM7QGn1XE3FbLQa_-QbCNdBi90OdPjRqg"", ""'Plan de Compras'!D4:Q""), 4, 0), """")"),"BOQUILLAS DE CORTE OXÍGENO/ACETILENO N° 3  (1 UND)")</f>
        <v>BOQUILLAS DE CORTE OXÍGENO/ACETILENO N° 3  (1 UND)</v>
      </c>
      <c r="AA199" s="38" t="str">
        <f t="shared" si="16"/>
        <v>TRUE</v>
      </c>
      <c r="AB199" s="37" t="str">
        <f>IFERROR(__xludf.DUMMYFUNCTION("IFERROR(IF(OR(C199=TRUE,C199=""""),VLOOKUP(G199,IMPORTRANGE(""https://docs.google.com/spreadsheets/d/1z9A1Wq-kKrhRNG5RS2a2fKpY1wIhSVz2ZNmP2mOl588/edit?usp=sharing"",""REQ VF!E4:H""),4,0),""NO APLICA""),""GENERAR REQ"")"),"GENERAR REQ")</f>
        <v>GENERAR REQ</v>
      </c>
      <c r="AC199" s="37" t="str">
        <f>IFERROR(__xludf.DUMMYFUNCTION("IFERROR(QUERY(IMPORTRANGE(""https://docs.google.com/spreadsheets/d/1z9A1Wq-kKrhRNG5RS2a2fKpY1wIhSVz2ZNmP2mOl588/edit?usp=sharing"",""REQ VF!E4:Q""),""SELECT Col10, Col11, Col12 WHERE Col1 = '""&amp;G199&amp;""'"",0),""NO APLICA"")"),"NO APLICA")</f>
        <v>NO APLICA</v>
      </c>
      <c r="AD199" s="37"/>
      <c r="AE199" s="37"/>
      <c r="AF199" s="8"/>
      <c r="AG199" s="13"/>
    </row>
    <row r="200">
      <c r="A200" s="26"/>
      <c r="B200" s="26"/>
      <c r="C200" s="26" t="b">
        <v>1</v>
      </c>
      <c r="D200" s="43" t="s">
        <v>42</v>
      </c>
      <c r="E200" s="43" t="s">
        <v>36</v>
      </c>
      <c r="F200" s="39" t="s">
        <v>695</v>
      </c>
      <c r="G200" s="39" t="s">
        <v>695</v>
      </c>
      <c r="H200" s="40" t="s">
        <v>696</v>
      </c>
      <c r="I200" s="43">
        <v>1.0</v>
      </c>
      <c r="J200" s="26">
        <f>IFERROR(__xludf.DUMMYFUNCTION("VLOOKUP(G200,IMPORTRANGE(""https://docs.google.com/spreadsheets/d/12RxCea4e5ggM7QGn1XE3FbLQa_-QbCNdBi90OdPjRqg/edit?gid=1692403370#gid=1692403370"", ""'Plan de Compras'!D4:2432""), 8,0)"),1.0)</f>
        <v>1</v>
      </c>
      <c r="K200" s="26" t="str">
        <f t="shared" si="1"/>
        <v>SI</v>
      </c>
      <c r="L200" s="29"/>
      <c r="M200" s="61"/>
      <c r="N200" s="42"/>
      <c r="O200" s="32"/>
      <c r="P200" s="32"/>
      <c r="Q200" s="41"/>
      <c r="R200" s="61"/>
      <c r="S200" s="34" t="b">
        <v>1</v>
      </c>
      <c r="T200" s="35" t="s">
        <v>693</v>
      </c>
      <c r="U200" s="35" t="s">
        <v>697</v>
      </c>
      <c r="V200" s="35"/>
      <c r="W200" s="37" t="str">
        <f>IFERROR(__xludf.DUMMYFUNCTION("IFERROR(VLOOKUP(G200,IMPORTRANGE(""https://docs.google.com/spreadsheets/d/12RxCea4e5ggM7QGn1XE3FbLQa_-QbCNdBi90OdPjRqg"", ""'Plan de Compras'!D4:Q""), 12, 0), ""NO ESTÁ EN REQ"")"),"Simple")</f>
        <v>Simple</v>
      </c>
      <c r="X200" s="37" t="str">
        <f>IFERROR(__xludf.DUMMYFUNCTION("IFERROR(VLOOKUP(G200,IMPORTRANGE(""https://docs.google.com/spreadsheets/d/12RxCea4e5ggM7QGn1XE3FbLQa_-QbCNdBi90OdPjRqg"", ""'Plan de Compras'!D4:Q""), 13, 0), """")"),"NACIONAL")</f>
        <v>NACIONAL</v>
      </c>
      <c r="Y200" s="32" t="str">
        <f>IFERROR(__xludf.DUMMYFUNCTION("IFERROR(VLOOKUP(G200,IMPORTRANGE(""https://docs.google.com/spreadsheets/d/12RxCea4e5ggM7QGn1XE3FbLQa_-QbCNdBi90OdPjRqg"", ""'Plan de Compras'!D4:Q""), 14, 0), """")"),"DIANA")</f>
        <v>DIANA</v>
      </c>
      <c r="Z200" s="38" t="str">
        <f>IFERROR(__xludf.DUMMYFUNCTION("IFERROR(VLOOKUP(G200,IMPORTRANGE(""https://docs.google.com/spreadsheets/d/12RxCea4e5ggM7QGn1XE3FbLQa_-QbCNdBi90OdPjRqg"", ""'Plan de Compras'!D4:Q""), 4, 0), """")"),"BOQUILLAS DE CORTE OXÍGENO/ACETILENO  N° 4  (1 UND)")</f>
        <v>BOQUILLAS DE CORTE OXÍGENO/ACETILENO  N° 4  (1 UND)</v>
      </c>
      <c r="AA200" s="38" t="str">
        <f t="shared" si="16"/>
        <v>TRUE</v>
      </c>
      <c r="AB200" s="37" t="str">
        <f>IFERROR(__xludf.DUMMYFUNCTION("IFERROR(IF(OR(C200=TRUE,C200=""""),VLOOKUP(G200,IMPORTRANGE(""https://docs.google.com/spreadsheets/d/1z9A1Wq-kKrhRNG5RS2a2fKpY1wIhSVz2ZNmP2mOl588/edit?usp=sharing"",""REQ VF!E4:H""),4,0),""NO APLICA""),""GENERAR REQ"")"),"GENERAR REQ")</f>
        <v>GENERAR REQ</v>
      </c>
      <c r="AC200" s="37" t="str">
        <f>IFERROR(__xludf.DUMMYFUNCTION("IFERROR(QUERY(IMPORTRANGE(""https://docs.google.com/spreadsheets/d/1z9A1Wq-kKrhRNG5RS2a2fKpY1wIhSVz2ZNmP2mOl588/edit?usp=sharing"",""REQ VF!E4:Q""),""SELECT Col10, Col11, Col12 WHERE Col1 = '""&amp;G200&amp;""'"",0),""NO APLICA"")"),"NO APLICA")</f>
        <v>NO APLICA</v>
      </c>
      <c r="AD200" s="37"/>
      <c r="AE200" s="37"/>
      <c r="AF200" s="8"/>
      <c r="AG200" s="13"/>
    </row>
    <row r="201">
      <c r="A201" s="26"/>
      <c r="B201" s="26"/>
      <c r="C201" s="26" t="b">
        <v>1</v>
      </c>
      <c r="D201" s="43" t="s">
        <v>42</v>
      </c>
      <c r="E201" s="43" t="s">
        <v>36</v>
      </c>
      <c r="F201" s="39" t="s">
        <v>698</v>
      </c>
      <c r="G201" s="39" t="s">
        <v>698</v>
      </c>
      <c r="H201" s="40" t="s">
        <v>699</v>
      </c>
      <c r="I201" s="43">
        <v>1.0</v>
      </c>
      <c r="J201" s="26">
        <f>IFERROR(__xludf.DUMMYFUNCTION("VLOOKUP(G201,IMPORTRANGE(""https://docs.google.com/spreadsheets/d/12RxCea4e5ggM7QGn1XE3FbLQa_-QbCNdBi90OdPjRqg/edit?gid=1692403370#gid=1692403370"", ""'Plan de Compras'!D4:2432""), 8,0)"),1.0)</f>
        <v>1</v>
      </c>
      <c r="K201" s="26" t="str">
        <f t="shared" si="1"/>
        <v>SI</v>
      </c>
      <c r="L201" s="29"/>
      <c r="M201" s="61"/>
      <c r="N201" s="42"/>
      <c r="O201" s="32"/>
      <c r="P201" s="32"/>
      <c r="Q201" s="41"/>
      <c r="R201" s="61"/>
      <c r="S201" s="34" t="b">
        <v>1</v>
      </c>
      <c r="T201" s="35" t="s">
        <v>693</v>
      </c>
      <c r="U201" s="35" t="s">
        <v>700</v>
      </c>
      <c r="V201" s="35"/>
      <c r="W201" s="37" t="str">
        <f>IFERROR(__xludf.DUMMYFUNCTION("IFERROR(VLOOKUP(G201,IMPORTRANGE(""https://docs.google.com/spreadsheets/d/12RxCea4e5ggM7QGn1XE3FbLQa_-QbCNdBi90OdPjRqg"", ""'Plan de Compras'!D4:Q""), 12, 0), ""NO ESTÁ EN REQ"")"),"Simple")</f>
        <v>Simple</v>
      </c>
      <c r="X201" s="37" t="str">
        <f>IFERROR(__xludf.DUMMYFUNCTION("IFERROR(VLOOKUP(G201,IMPORTRANGE(""https://docs.google.com/spreadsheets/d/12RxCea4e5ggM7QGn1XE3FbLQa_-QbCNdBi90OdPjRqg"", ""'Plan de Compras'!D4:Q""), 13, 0), """")"),"NACIONAL")</f>
        <v>NACIONAL</v>
      </c>
      <c r="Y201" s="32" t="str">
        <f>IFERROR(__xludf.DUMMYFUNCTION("IFERROR(VLOOKUP(G201,IMPORTRANGE(""https://docs.google.com/spreadsheets/d/12RxCea4e5ggM7QGn1XE3FbLQa_-QbCNdBi90OdPjRqg"", ""'Plan de Compras'!D4:Q""), 14, 0), """")"),"DIANA")</f>
        <v>DIANA</v>
      </c>
      <c r="Z201" s="38" t="str">
        <f>IFERROR(__xludf.DUMMYFUNCTION("IFERROR(VLOOKUP(G201,IMPORTRANGE(""https://docs.google.com/spreadsheets/d/12RxCea4e5ggM7QGn1XE3FbLQa_-QbCNdBi90OdPjRqg"", ""'Plan de Compras'!D4:Q""), 4, 0), """")"),"BOQUILLAS DE CORTE OXÍGENO/ACETILENO N° 5  (1 UND)")</f>
        <v>BOQUILLAS DE CORTE OXÍGENO/ACETILENO N° 5  (1 UND)</v>
      </c>
      <c r="AA201" s="38" t="str">
        <f t="shared" si="16"/>
        <v>TRUE</v>
      </c>
      <c r="AB201" s="37" t="str">
        <f>IFERROR(__xludf.DUMMYFUNCTION("IFERROR(IF(OR(C201=TRUE,C201=""""),VLOOKUP(G201,IMPORTRANGE(""https://docs.google.com/spreadsheets/d/1z9A1Wq-kKrhRNG5RS2a2fKpY1wIhSVz2ZNmP2mOl588/edit?usp=sharing"",""REQ VF!E4:H""),4,0),""NO APLICA""),""GENERAR REQ"")"),"GENERAR REQ")</f>
        <v>GENERAR REQ</v>
      </c>
      <c r="AC201" s="37" t="str">
        <f>IFERROR(__xludf.DUMMYFUNCTION("IFERROR(QUERY(IMPORTRANGE(""https://docs.google.com/spreadsheets/d/1z9A1Wq-kKrhRNG5RS2a2fKpY1wIhSVz2ZNmP2mOl588/edit?usp=sharing"",""REQ VF!E4:Q""),""SELECT Col10, Col11, Col12 WHERE Col1 = '""&amp;G201&amp;""'"",0),""NO APLICA"")"),"NO APLICA")</f>
        <v>NO APLICA</v>
      </c>
      <c r="AD201" s="37"/>
      <c r="AE201" s="37"/>
      <c r="AF201" s="8"/>
      <c r="AG201" s="13"/>
    </row>
    <row r="202">
      <c r="A202" s="26"/>
      <c r="B202" s="26"/>
      <c r="C202" s="26" t="b">
        <v>0</v>
      </c>
      <c r="D202" s="43" t="s">
        <v>42</v>
      </c>
      <c r="E202" s="43" t="s">
        <v>36</v>
      </c>
      <c r="F202" s="39" t="s">
        <v>701</v>
      </c>
      <c r="G202" s="39" t="s">
        <v>701</v>
      </c>
      <c r="H202" s="40" t="s">
        <v>702</v>
      </c>
      <c r="I202" s="43">
        <v>0.0</v>
      </c>
      <c r="J202" s="26" t="str">
        <f>IFERROR(__xludf.DUMMYFUNCTION("VLOOKUP(G202,IMPORTRANGE(""https://docs.google.com/spreadsheets/d/12RxCea4e5ggM7QGn1XE3FbLQa_-QbCNdBi90OdPjRqg/edit?gid=1692403370#gid=1692403370"", ""'Plan de Compras'!D4:2432""), 8,0)"),"#N/A")</f>
        <v>#N/A</v>
      </c>
      <c r="K202" s="26" t="str">
        <f t="shared" si="1"/>
        <v>-</v>
      </c>
      <c r="L202" s="29"/>
      <c r="M202" s="61"/>
      <c r="N202" s="42"/>
      <c r="O202" s="32"/>
      <c r="P202" s="32"/>
      <c r="Q202" s="41"/>
      <c r="R202" s="61"/>
      <c r="S202" s="34" t="b">
        <v>1</v>
      </c>
      <c r="T202" s="35" t="s">
        <v>693</v>
      </c>
      <c r="U202" s="35" t="s">
        <v>119</v>
      </c>
      <c r="V202" s="35"/>
      <c r="W202" s="37" t="str">
        <f>IFERROR(__xludf.DUMMYFUNCTION("IFERROR(VLOOKUP(G202,IMPORTRANGE(""https://docs.google.com/spreadsheets/d/12RxCea4e5ggM7QGn1XE3FbLQa_-QbCNdBi90OdPjRqg"", ""'Plan de Compras'!D4:Q""), 12, 0), ""NO ESTÁ EN REQ"")"),"NO ESTÁ EN REQ")</f>
        <v>NO ESTÁ EN REQ</v>
      </c>
      <c r="X202" s="37" t="str">
        <f>IFERROR(__xludf.DUMMYFUNCTION("IFERROR(VLOOKUP(G202,IMPORTRANGE(""https://docs.google.com/spreadsheets/d/12RxCea4e5ggM7QGn1XE3FbLQa_-QbCNdBi90OdPjRqg"", ""'Plan de Compras'!D4:Q""), 13, 0), """")"),"")</f>
        <v/>
      </c>
      <c r="Y202" s="32" t="str">
        <f>IFERROR(__xludf.DUMMYFUNCTION("IFERROR(VLOOKUP(G202,IMPORTRANGE(""https://docs.google.com/spreadsheets/d/12RxCea4e5ggM7QGn1XE3FbLQa_-QbCNdBi90OdPjRqg"", ""'Plan de Compras'!D4:Q""), 14, 0), """")"),"")</f>
        <v/>
      </c>
      <c r="Z202" s="38" t="str">
        <f>IFERROR(__xludf.DUMMYFUNCTION("IFERROR(VLOOKUP(G202,IMPORTRANGE(""https://docs.google.com/spreadsheets/d/12RxCea4e5ggM7QGn1XE3FbLQa_-QbCNdBi90OdPjRqg"", ""'Plan de Compras'!D4:Q""), 4, 0), """")"),"")</f>
        <v/>
      </c>
      <c r="AA202" s="38" t="str">
        <f t="shared" si="16"/>
        <v>FALSE</v>
      </c>
      <c r="AB202" s="37" t="str">
        <f>IFERROR(__xludf.DUMMYFUNCTION("IFERROR(IF(OR(C202=TRUE,C202=""""),VLOOKUP(G202,IMPORTRANGE(""https://docs.google.com/spreadsheets/d/1z9A1Wq-kKrhRNG5RS2a2fKpY1wIhSVz2ZNmP2mOl588/edit?usp=sharing"",""REQ VF!E4:H""),4,0),""NO APLICA""),""GENERAR REQ"")"),"NO APLICA")</f>
        <v>NO APLICA</v>
      </c>
      <c r="AC202" s="37" t="str">
        <f>IFERROR(__xludf.DUMMYFUNCTION("IFERROR(QUERY(IMPORTRANGE(""https://docs.google.com/spreadsheets/d/1z9A1Wq-kKrhRNG5RS2a2fKpY1wIhSVz2ZNmP2mOl588/edit?usp=sharing"",""REQ VF!E4:Q""),""SELECT Col10, Col11, Col12 WHERE Col1 = '""&amp;G202&amp;""'"",0),""NO APLICA"")"),"NO APLICA")</f>
        <v>NO APLICA</v>
      </c>
      <c r="AD202" s="37"/>
      <c r="AE202" s="37"/>
      <c r="AF202" s="8"/>
      <c r="AG202" s="13"/>
    </row>
    <row r="203">
      <c r="A203" s="26"/>
      <c r="B203" s="26"/>
      <c r="C203" s="26" t="b">
        <v>0</v>
      </c>
      <c r="D203" s="43" t="s">
        <v>42</v>
      </c>
      <c r="E203" s="43" t="s">
        <v>36</v>
      </c>
      <c r="F203" s="39" t="s">
        <v>703</v>
      </c>
      <c r="G203" s="39" t="s">
        <v>703</v>
      </c>
      <c r="H203" s="40" t="s">
        <v>704</v>
      </c>
      <c r="I203" s="43">
        <v>0.0</v>
      </c>
      <c r="J203" s="26" t="str">
        <f>IFERROR(__xludf.DUMMYFUNCTION("VLOOKUP(G203,IMPORTRANGE(""https://docs.google.com/spreadsheets/d/12RxCea4e5ggM7QGn1XE3FbLQa_-QbCNdBi90OdPjRqg/edit?gid=1692403370#gid=1692403370"", ""'Plan de Compras'!D4:2432""), 8,0)"),"#N/A")</f>
        <v>#N/A</v>
      </c>
      <c r="K203" s="26" t="str">
        <f t="shared" si="1"/>
        <v>-</v>
      </c>
      <c r="L203" s="29"/>
      <c r="M203" s="61"/>
      <c r="N203" s="42"/>
      <c r="O203" s="32"/>
      <c r="P203" s="32"/>
      <c r="Q203" s="41"/>
      <c r="R203" s="61"/>
      <c r="S203" s="34" t="b">
        <v>1</v>
      </c>
      <c r="T203" s="35" t="s">
        <v>693</v>
      </c>
      <c r="U203" s="35" t="s">
        <v>119</v>
      </c>
      <c r="V203" s="35"/>
      <c r="W203" s="37" t="str">
        <f>IFERROR(__xludf.DUMMYFUNCTION("IFERROR(VLOOKUP(G203,IMPORTRANGE(""https://docs.google.com/spreadsheets/d/12RxCea4e5ggM7QGn1XE3FbLQa_-QbCNdBi90OdPjRqg"", ""'Plan de Compras'!D4:Q""), 12, 0), ""NO ESTÁ EN REQ"")"),"NO ESTÁ EN REQ")</f>
        <v>NO ESTÁ EN REQ</v>
      </c>
      <c r="X203" s="37" t="str">
        <f>IFERROR(__xludf.DUMMYFUNCTION("IFERROR(VLOOKUP(G203,IMPORTRANGE(""https://docs.google.com/spreadsheets/d/12RxCea4e5ggM7QGn1XE3FbLQa_-QbCNdBi90OdPjRqg"", ""'Plan de Compras'!D4:Q""), 13, 0), """")"),"")</f>
        <v/>
      </c>
      <c r="Y203" s="32" t="str">
        <f>IFERROR(__xludf.DUMMYFUNCTION("IFERROR(VLOOKUP(G203,IMPORTRANGE(""https://docs.google.com/spreadsheets/d/12RxCea4e5ggM7QGn1XE3FbLQa_-QbCNdBi90OdPjRqg"", ""'Plan de Compras'!D4:Q""), 14, 0), """")"),"")</f>
        <v/>
      </c>
      <c r="Z203" s="38" t="str">
        <f>IFERROR(__xludf.DUMMYFUNCTION("IFERROR(VLOOKUP(G203,IMPORTRANGE(""https://docs.google.com/spreadsheets/d/12RxCea4e5ggM7QGn1XE3FbLQa_-QbCNdBi90OdPjRqg"", ""'Plan de Compras'!D4:Q""), 4, 0), """")"),"")</f>
        <v/>
      </c>
      <c r="AA203" s="38" t="str">
        <f t="shared" si="16"/>
        <v>FALSE</v>
      </c>
      <c r="AB203" s="37" t="str">
        <f>IFERROR(__xludf.DUMMYFUNCTION("IFERROR(IF(OR(C203=TRUE,C203=""""),VLOOKUP(G203,IMPORTRANGE(""https://docs.google.com/spreadsheets/d/1z9A1Wq-kKrhRNG5RS2a2fKpY1wIhSVz2ZNmP2mOl588/edit?usp=sharing"",""REQ VF!E4:H""),4,0),""NO APLICA""),""GENERAR REQ"")"),"NO APLICA")</f>
        <v>NO APLICA</v>
      </c>
      <c r="AC203" s="37" t="str">
        <f>IFERROR(__xludf.DUMMYFUNCTION("IFERROR(QUERY(IMPORTRANGE(""https://docs.google.com/spreadsheets/d/1z9A1Wq-kKrhRNG5RS2a2fKpY1wIhSVz2ZNmP2mOl588/edit?usp=sharing"",""REQ VF!E4:Q""),""SELECT Col10, Col11, Col12 WHERE Col1 = '""&amp;G203&amp;""'"",0),""NO APLICA"")"),"NO APLICA")</f>
        <v>NO APLICA</v>
      </c>
      <c r="AD203" s="37"/>
      <c r="AE203" s="37"/>
      <c r="AF203" s="8"/>
      <c r="AG203" s="13"/>
    </row>
    <row r="204">
      <c r="A204" s="26">
        <v>89.0</v>
      </c>
      <c r="B204" s="26" t="b">
        <v>1</v>
      </c>
      <c r="C204" s="26" t="b">
        <v>1</v>
      </c>
      <c r="D204" s="26" t="s">
        <v>35</v>
      </c>
      <c r="E204" s="26" t="s">
        <v>36</v>
      </c>
      <c r="F204" s="27" t="s">
        <v>705</v>
      </c>
      <c r="G204" s="37" t="s">
        <v>705</v>
      </c>
      <c r="H204" s="45" t="s">
        <v>706</v>
      </c>
      <c r="I204" s="26">
        <f>SUMIFS('Hoja 10'!$O:$O,'Hoja 10'!$F:$F,$G204)</f>
        <v>11</v>
      </c>
      <c r="J204" s="26">
        <f>IFERROR(__xludf.DUMMYFUNCTION("VLOOKUP(G204,IMPORTRANGE(""https://docs.google.com/spreadsheets/d/12RxCea4e5ggM7QGn1XE3FbLQa_-QbCNdBi90OdPjRqg/edit?gid=1692403370#gid=1692403370"", ""'Plan de Compras'!D4:2432""), 8,0)"),11.0)</f>
        <v>11</v>
      </c>
      <c r="K204" s="26" t="str">
        <f t="shared" si="1"/>
        <v>SI</v>
      </c>
      <c r="L204" s="29" t="s">
        <v>180</v>
      </c>
      <c r="M204" s="30" t="s">
        <v>181</v>
      </c>
      <c r="N204" s="42"/>
      <c r="O204" s="32" t="str">
        <f>VLOOKUP($G204,'Hoja 10'!$F$4:$AA478, 19,0)</f>
        <v>Shouldshine</v>
      </c>
      <c r="P204" s="32" t="str">
        <f>VLOOKUP($G204,'Hoja 10'!$F$4:$AA478, 20,0)</f>
        <v>TB-230320-V-004</v>
      </c>
      <c r="Q204" s="33" t="str">
        <f>VLOOKUP($G204,'Hoja 10'!$F$4:$AA478, 21,0)</f>
        <v>https://drive.google.com/file/d/1Gn-fn_WN4ajeI_kpYMAVZmuMvl2aSkHx/view?usp=sharing</v>
      </c>
      <c r="R204" s="30" t="s">
        <v>707</v>
      </c>
      <c r="S204" s="34" t="b">
        <v>1</v>
      </c>
      <c r="T204" s="35" t="str">
        <f>IFERROR(__xludf.DUMMYFUNCTION(" IF
( VLOOKUP($G204,IMPORTRANGE(""https://docs.google.com/spreadsheets/d/1Gpl6jkTg7sL4VDNimUm3S9Vi1i95esohXCF3wuKOE8c"", ""'CONSOLIDADO'!G5:AB""), 10, 0) &lt;&gt; 0, 
IFERROR(VLOOKUP($G204,IMPORTRANGE(""https://docs.google.com/spreadsheets/d/1Gpl6jkTg7sL4VDNimU"&amp;"m3S9Vi1i95esohXCF3wuKOE8c"", ""'CONSOLIDADO'!G5:AB""), 17, 0), ""-""),
""""
)"),"SHOULDSHINE")</f>
        <v>SHOULDSHINE</v>
      </c>
      <c r="U204" s="35" t="str">
        <f>IFERROR(__xludf.DUMMYFUNCTION(" IF
( VLOOKUP($G204,IMPORTRANGE(""https://docs.google.com/spreadsheets/d/1Gpl6jkTg7sL4VDNimUm3S9Vi1i95esohXCF3wuKOE8c"", ""'CONSOLIDADO'!G5:AB""), 10, 0) &lt;&gt; 0, 
IFERROR(VLOOKUP($G204,IMPORTRANGE(""https://docs.google.com/spreadsheets/d/1Gpl6jkTg7sL4VDNimU"&amp;"m3S9Vi1i95esohXCF3wuKOE8c"", ""'CONSOLIDADO'!G5:AB""), 18, 0), ""-""),
""""
)"),"TB-230320-V-004")</f>
        <v>TB-230320-V-004</v>
      </c>
      <c r="V204" s="36" t="str">
        <f>IFERROR(__xludf.DUMMYFUNCTION(" IF
( VLOOKUP($G204,IMPORTRANGE(""https://docs.google.com/spreadsheets/d/1Gpl6jkTg7sL4VDNimUm3S9Vi1i95esohXCF3wuKOE8c"", ""'CONSOLIDADO'!G5:AB""), 10, 0) &lt;&gt; 0, 
IFERROR(VLOOKUP($G204,IMPORTRANGE(""https://docs.google.com/spreadsheets/d/1Gpl6jkTg7sL4VDNimU"&amp;"m3S9Vi1i95esohXCF3wuKOE8c"", ""'CONSOLIDADO'!G5:AB""), 19, 0), ""-""),
""""
)"),"https://drive.google.com/file/d/1LbGlld-5rf9qCxn_C6omFcEmwSj2Rcck/view?usp=drive_link")</f>
        <v>https://drive.google.com/file/d/1LbGlld-5rf9qCxn_C6omFcEmwSj2Rcck/view?usp=drive_link</v>
      </c>
      <c r="W204" s="37" t="str">
        <f>IFERROR(__xludf.DUMMYFUNCTION("IFERROR(VLOOKUP(G204,IMPORTRANGE(""https://docs.google.com/spreadsheets/d/12RxCea4e5ggM7QGn1XE3FbLQa_-QbCNdBi90OdPjRqg"", ""'Plan de Compras'!D4:Q""), 12, 0), ""NO ESTÁ EN REQ"")"),"Técnica")</f>
        <v>Técnica</v>
      </c>
      <c r="X204" s="37" t="str">
        <f>IFERROR(__xludf.DUMMYFUNCTION("IFERROR(VLOOKUP(G204,IMPORTRANGE(""https://docs.google.com/spreadsheets/d/12RxCea4e5ggM7QGn1XE3FbLQa_-QbCNdBi90OdPjRqg"", ""'Plan de Compras'!D4:Q""), 13, 0), """")"),"INTERNACIONAL")</f>
        <v>INTERNACIONAL</v>
      </c>
      <c r="Y204" s="32" t="str">
        <f>IFERROR(__xludf.DUMMYFUNCTION("IFERROR(VLOOKUP(G204,IMPORTRANGE(""https://docs.google.com/spreadsheets/d/12RxCea4e5ggM7QGn1XE3FbLQa_-QbCNdBi90OdPjRqg"", ""'Plan de Compras'!D4:Q""), 14, 0), """")"),"JIMENA")</f>
        <v>JIMENA</v>
      </c>
      <c r="Z204" s="38" t="str">
        <f>IFERROR(__xludf.DUMMYFUNCTION("IFERROR(VLOOKUP(G204,IMPORTRANGE(""https://docs.google.com/spreadsheets/d/12RxCea4e5ggM7QGn1XE3FbLQa_-QbCNdBi90OdPjRqg"", ""'Plan de Compras'!D4:Q""), 4, 0), """")"),"KIT DE ESTACIONES DE ENTRENAMIENTO DE INSTALACIONES DE SISTEMAS DE SEGURIDAD")</f>
        <v>KIT DE ESTACIONES DE ENTRENAMIENTO DE INSTALACIONES DE SISTEMAS DE SEGURIDAD</v>
      </c>
      <c r="AA204" s="38" t="str">
        <f t="shared" si="16"/>
        <v>TRUE</v>
      </c>
      <c r="AB204" s="37" t="str">
        <f>IFERROR(__xludf.DUMMYFUNCTION("IFERROR(IF(OR(C204=TRUE,C204=""""),VLOOKUP(G204,IMPORTRANGE(""https://docs.google.com/spreadsheets/d/1z9A1Wq-kKrhRNG5RS2a2fKpY1wIhSVz2ZNmP2mOl588/edit?usp=sharing"",""REQ VF!E4:H""),4,0),""NO APLICA""),""GENERAR REQ"")"),"GENERAR REQ")</f>
        <v>GENERAR REQ</v>
      </c>
      <c r="AC204" s="37" t="str">
        <f>IFERROR(__xludf.DUMMYFUNCTION("IFERROR(QUERY(IMPORTRANGE(""https://docs.google.com/spreadsheets/d/1z9A1Wq-kKrhRNG5RS2a2fKpY1wIhSVz2ZNmP2mOl588/edit?usp=sharing"",""REQ VF!E4:Q""),""SELECT Col10, Col11, Col12 WHERE Col1 = '""&amp;G204&amp;""'"",0),""NO APLICA"")"),"NO APLICA")</f>
        <v>NO APLICA</v>
      </c>
      <c r="AD204" s="37"/>
      <c r="AE204" s="37"/>
      <c r="AF204" s="8" t="s">
        <v>52</v>
      </c>
      <c r="AG204" s="13"/>
    </row>
    <row r="205">
      <c r="A205" s="26"/>
      <c r="B205" s="26" t="b">
        <v>0</v>
      </c>
      <c r="C205" s="26" t="b">
        <v>0</v>
      </c>
      <c r="D205" s="26" t="s">
        <v>42</v>
      </c>
      <c r="E205" s="26" t="s">
        <v>36</v>
      </c>
      <c r="F205" s="27" t="s">
        <v>705</v>
      </c>
      <c r="G205" s="39" t="s">
        <v>708</v>
      </c>
      <c r="H205" s="40" t="s">
        <v>118</v>
      </c>
      <c r="I205" s="26">
        <f>1*I204</f>
        <v>11</v>
      </c>
      <c r="J205" s="26" t="str">
        <f>IFERROR(__xludf.DUMMYFUNCTION("VLOOKUP(G205,IMPORTRANGE(""https://docs.google.com/spreadsheets/d/12RxCea4e5ggM7QGn1XE3FbLQa_-QbCNdBi90OdPjRqg/edit?gid=1692403370#gid=1692403370"", ""'Plan de Compras'!D4:2432""), 8,0)"),"#N/A")</f>
        <v>#N/A</v>
      </c>
      <c r="K205" s="26" t="str">
        <f t="shared" si="1"/>
        <v>-</v>
      </c>
      <c r="L205" s="29"/>
      <c r="M205" s="61"/>
      <c r="N205" s="42"/>
      <c r="O205" s="32"/>
      <c r="P205" s="32"/>
      <c r="Q205" s="41"/>
      <c r="R205" s="61"/>
      <c r="S205" s="34" t="b">
        <v>0</v>
      </c>
      <c r="T205" s="35"/>
      <c r="U205" s="35"/>
      <c r="V205" s="35"/>
      <c r="W205" s="37"/>
      <c r="X205" s="37"/>
      <c r="Y205" s="32"/>
      <c r="Z205" s="38"/>
      <c r="AA205" s="38" t="str">
        <f t="shared" si="16"/>
        <v>FALSE</v>
      </c>
      <c r="AB205" s="37" t="str">
        <f>IFERROR(__xludf.DUMMYFUNCTION("IFERROR(IF(OR(C205=TRUE,C205=""""),VLOOKUP(G205,IMPORTRANGE(""https://docs.google.com/spreadsheets/d/1z9A1Wq-kKrhRNG5RS2a2fKpY1wIhSVz2ZNmP2mOl588/edit?usp=sharing"",""REQ VF!E4:H""),4,0),""NO APLICA""),""GENERAR REQ"")"),"NO APLICA")</f>
        <v>NO APLICA</v>
      </c>
      <c r="AC205" s="37" t="str">
        <f>IFERROR(__xludf.DUMMYFUNCTION("IFERROR(QUERY(IMPORTRANGE(""https://docs.google.com/spreadsheets/d/1z9A1Wq-kKrhRNG5RS2a2fKpY1wIhSVz2ZNmP2mOl588/edit?usp=sharing"",""REQ VF!E4:Q""),""SELECT Col10, Col11, Col12 WHERE Col1 = '""&amp;G205&amp;""'"",0),""NO APLICA"")"),"NO APLICA")</f>
        <v>NO APLICA</v>
      </c>
      <c r="AD205" s="37"/>
      <c r="AE205" s="37"/>
      <c r="AF205" s="8"/>
      <c r="AG205" s="13"/>
    </row>
    <row r="206">
      <c r="A206" s="26">
        <v>90.0</v>
      </c>
      <c r="B206" s="26" t="b">
        <v>1</v>
      </c>
      <c r="C206" s="26" t="b">
        <v>1</v>
      </c>
      <c r="D206" s="26" t="s">
        <v>35</v>
      </c>
      <c r="E206" s="26" t="s">
        <v>36</v>
      </c>
      <c r="F206" s="27" t="s">
        <v>709</v>
      </c>
      <c r="G206" s="37" t="s">
        <v>709</v>
      </c>
      <c r="H206" s="45" t="s">
        <v>710</v>
      </c>
      <c r="I206" s="26">
        <f>SUMIFS('Hoja 10'!$O:$O,'Hoja 10'!$F:$F,$G206)</f>
        <v>4</v>
      </c>
      <c r="J206" s="26">
        <f>IFERROR(__xludf.DUMMYFUNCTION("VLOOKUP(G206,IMPORTRANGE(""https://docs.google.com/spreadsheets/d/12RxCea4e5ggM7QGn1XE3FbLQa_-QbCNdBi90OdPjRqg/edit?gid=1692403370#gid=1692403370"", ""'Plan de Compras'!D4:2432""), 8,0)"),4.0)</f>
        <v>4</v>
      </c>
      <c r="K206" s="26" t="str">
        <f t="shared" si="1"/>
        <v>SI</v>
      </c>
      <c r="L206" s="29" t="s">
        <v>122</v>
      </c>
      <c r="M206" s="30" t="s">
        <v>123</v>
      </c>
      <c r="N206" s="42"/>
      <c r="O206" s="32" t="str">
        <f>VLOOKUP($G206,'Hoja 10'!$F$4:$AA478, 19,0)</f>
        <v>VALEJAT</v>
      </c>
      <c r="P206" s="32" t="str">
        <f>VLOOKUP($G206,'Hoja 10'!$F$4:$AA478, 20,0)</f>
        <v>KIT K5</v>
      </c>
      <c r="Q206" s="33" t="str">
        <f>VLOOKUP($G206,'Hoja 10'!$F$4:$AA478, 21,0)</f>
        <v>https://drive.google.com/file/d/1gQJK-A3KLTqDAkQaglqmKwQFx193asH9/view</v>
      </c>
      <c r="R206" s="30" t="s">
        <v>711</v>
      </c>
      <c r="S206" s="34" t="b">
        <v>1</v>
      </c>
      <c r="T206" s="35" t="str">
        <f>IFERROR(__xludf.DUMMYFUNCTION(" IF
( VLOOKUP($G206,IMPORTRANGE(""https://docs.google.com/spreadsheets/d/1Gpl6jkTg7sL4VDNimUm3S9Vi1i95esohXCF3wuKOE8c"", ""'CONSOLIDADO'!G5:AB""), 10, 0) &lt;&gt; 0, 
IFERROR(VLOOKUP($G206,IMPORTRANGE(""https://docs.google.com/spreadsheets/d/1Gpl6jkTg7sL4VDNimU"&amp;"m3S9Vi1i95esohXCF3wuKOE8c"", ""'CONSOLIDADO'!G5:AB""), 17, 0), ""-""),
""""
)"),"MAXQUI")</f>
        <v>MAXQUI</v>
      </c>
      <c r="U206" s="35" t="str">
        <f>IFERROR(__xludf.DUMMYFUNCTION(" IF
( VLOOKUP($G206,IMPORTRANGE(""https://docs.google.com/spreadsheets/d/1Gpl6jkTg7sL4VDNimUm3S9Vi1i95esohXCF3wuKOE8c"", ""'CONSOLIDADO'!G5:AB""), 10, 0) &lt;&gt; 0, 
IFERROR(VLOOKUP($G206,IMPORTRANGE(""https://docs.google.com/spreadsheets/d/1Gpl6jkTg7sL4VDNimU"&amp;"m3S9Vi1i95esohXCF3wuKOE8c"", ""'CONSOLIDADO'!G5:AB""), 18, 0), ""-""),
""""
)"),"A MEDIDA 1")</f>
        <v>A MEDIDA 1</v>
      </c>
      <c r="V206" s="35" t="str">
        <f>IFERROR(__xludf.DUMMYFUNCTION(" IF
( VLOOKUP($G206,IMPORTRANGE(""https://docs.google.com/spreadsheets/d/1Gpl6jkTg7sL4VDNimUm3S9Vi1i95esohXCF3wuKOE8c"", ""'CONSOLIDADO'!G5:AB""), 10, 0) &lt;&gt; 0, 
IFERROR(VLOOKUP($G206,IMPORTRANGE(""https://docs.google.com/spreadsheets/d/1Gpl6jkTg7sL4VDNimU"&amp;"m3S9Vi1i95esohXCF3wuKOE8c"", ""'CONSOLIDADO'!G5:AB""), 19, 0), ""-""),
""""
)"),"A MEDIDA")</f>
        <v>A MEDIDA</v>
      </c>
      <c r="W206" s="37" t="str">
        <f>IFERROR(__xludf.DUMMYFUNCTION("IFERROR(VLOOKUP(G206,IMPORTRANGE(""https://docs.google.com/spreadsheets/d/12RxCea4e5ggM7QGn1XE3FbLQa_-QbCNdBi90OdPjRqg"", ""'Plan de Compras'!D4:Q""), 12, 0), ""NO ESTÁ EN REQ"")"),"Técnica")</f>
        <v>Técnica</v>
      </c>
      <c r="X206" s="37" t="str">
        <f>IFERROR(__xludf.DUMMYFUNCTION("IFERROR(VLOOKUP(G206,IMPORTRANGE(""https://docs.google.com/spreadsheets/d/12RxCea4e5ggM7QGn1XE3FbLQa_-QbCNdBi90OdPjRqg"", ""'Plan de Compras'!D4:Q""), 13, 0), """")"),"INTERNACIONAL")</f>
        <v>INTERNACIONAL</v>
      </c>
      <c r="Y206" s="32" t="str">
        <f>IFERROR(__xludf.DUMMYFUNCTION("IFERROR(VLOOKUP(G206,IMPORTRANGE(""https://docs.google.com/spreadsheets/d/12RxCea4e5ggM7QGn1XE3FbLQa_-QbCNdBi90OdPjRqg"", ""'Plan de Compras'!D4:Q""), 14, 0), """")"),"VICTOR")</f>
        <v>VICTOR</v>
      </c>
      <c r="Z206" s="38" t="str">
        <f>IFERROR(__xludf.DUMMYFUNCTION("IFERROR(VLOOKUP(G206,IMPORTRANGE(""https://docs.google.com/spreadsheets/d/12RxCea4e5ggM7QGn1XE3FbLQa_-QbCNdBi90OdPjRqg"", ""'Plan de Compras'!D4:Q""), 4, 0), """")"),"KIT DE INICIO DE ELECTRÓNICA BÁSICA (COMPONENTES DE ELECTRÓNICA BÁSICA)")</f>
        <v>KIT DE INICIO DE ELECTRÓNICA BÁSICA (COMPONENTES DE ELECTRÓNICA BÁSICA)</v>
      </c>
      <c r="AA206" s="38" t="str">
        <f t="shared" si="16"/>
        <v>TRUE</v>
      </c>
      <c r="AB206" s="37" t="str">
        <f>IFERROR(__xludf.DUMMYFUNCTION("IFERROR(IF(OR(C206=TRUE,C206=""""),VLOOKUP(G206,IMPORTRANGE(""https://docs.google.com/spreadsheets/d/1z9A1Wq-kKrhRNG5RS2a2fKpY1wIhSVz2ZNmP2mOl588/edit?usp=sharing"",""REQ VF!E4:H""),4,0),""NO APLICA""),""GENERAR REQ"")"),"GENERAR REQ")</f>
        <v>GENERAR REQ</v>
      </c>
      <c r="AC206" s="37" t="str">
        <f>IFERROR(__xludf.DUMMYFUNCTION("IFERROR(QUERY(IMPORTRANGE(""https://docs.google.com/spreadsheets/d/1z9A1Wq-kKrhRNG5RS2a2fKpY1wIhSVz2ZNmP2mOl588/edit?usp=sharing"",""REQ VF!E4:Q""),""SELECT Col10, Col11, Col12 WHERE Col1 = '""&amp;G206&amp;""'"",0),""NO APLICA"")"),"NO APLICA")</f>
        <v>NO APLICA</v>
      </c>
      <c r="AD206" s="37"/>
      <c r="AE206" s="37"/>
      <c r="AF206" s="8" t="s">
        <v>52</v>
      </c>
      <c r="AG206" s="13"/>
    </row>
    <row r="207">
      <c r="A207" s="26">
        <v>91.0</v>
      </c>
      <c r="B207" s="26" t="b">
        <v>1</v>
      </c>
      <c r="C207" s="26" t="b">
        <v>1</v>
      </c>
      <c r="D207" s="26" t="s">
        <v>35</v>
      </c>
      <c r="E207" s="26" t="s">
        <v>36</v>
      </c>
      <c r="F207" s="27" t="s">
        <v>712</v>
      </c>
      <c r="G207" s="37" t="s">
        <v>712</v>
      </c>
      <c r="H207" s="40" t="s">
        <v>713</v>
      </c>
      <c r="I207" s="26">
        <f>SUMIFS('Hoja 10'!$O:$O,'Hoja 10'!$F:$F,$G207)</f>
        <v>3</v>
      </c>
      <c r="J207" s="26">
        <f>IFERROR(__xludf.DUMMYFUNCTION("VLOOKUP(G207,IMPORTRANGE(""https://docs.google.com/spreadsheets/d/12RxCea4e5ggM7QGn1XE3FbLQa_-QbCNdBi90OdPjRqg/edit?gid=1692403370#gid=1692403370"", ""'Plan de Compras'!D4:2432""), 8,0)"),3.0)</f>
        <v>3</v>
      </c>
      <c r="K207" s="26" t="str">
        <f t="shared" si="1"/>
        <v>SI</v>
      </c>
      <c r="L207" s="29" t="s">
        <v>127</v>
      </c>
      <c r="M207" s="30" t="s">
        <v>105</v>
      </c>
      <c r="N207" s="42"/>
      <c r="O207" s="32" t="str">
        <f>VLOOKUP($G207,'Hoja 10'!$F$4:$AA478, 19,0)</f>
        <v>PlayZ</v>
      </c>
      <c r="P207" s="32" t="str">
        <f>VLOOKUP($G207,'Hoja 10'!$F$4:$AA478, 20,0)</f>
        <v>V8 Combustion Engine Model Kit		</v>
      </c>
      <c r="Q207" s="33" t="str">
        <f>VLOOKUP($G207,'Hoja 10'!$F$4:$AA478, 21,0)</f>
        <v>https://www.amazon.com/dp/B07QCQNKG7/ref=sspa_dk_detail_0?pd_rd_i=B07QCQNKG7&amp;pd_rd_w=dxRZL&amp;content-id=amzn1.sym.7446a9d1-25fe-4460-b135-a60336bad2c9&amp;pf_rd_p=7446a9d1-25fe-4460-b135-a60336bad2c9&amp;pf_rd_r=X6ZZPQ5R3S6K0V8JNHAX&amp;pd_rd_wg=ms3xd&amp;pd_rd_r=4b1e4abc-0f38-4f5d-907e-e7c631ab4d14&amp;sp_csd=d2lkZ2V0TmFtZT1zcF9kZXRhaWw&amp;th=1</v>
      </c>
      <c r="R207" s="30" t="s">
        <v>714</v>
      </c>
      <c r="S207" s="34" t="b">
        <v>1</v>
      </c>
      <c r="T207" s="35" t="str">
        <f>IFERROR(__xludf.DUMMYFUNCTION(" IF
( VLOOKUP($G207,IMPORTRANGE(""https://docs.google.com/spreadsheets/d/1Gpl6jkTg7sL4VDNimUm3S9Vi1i95esohXCF3wuKOE8c"", ""'CONSOLIDADO'!G5:AB""), 10, 0) &lt;&gt; 0, 
IFERROR(VLOOKUP($G207,IMPORTRANGE(""https://docs.google.com/spreadsheets/d/1Gpl6jkTg7sL4VDNimU"&amp;"m3S9Vi1i95esohXCF3wuKOE8c"", ""'CONSOLIDADO'!G5:AB""), 17, 0), ""-""),
""""
)"),"Playz")</f>
        <v>Playz</v>
      </c>
      <c r="U207" s="35" t="str">
        <f>IFERROR(__xludf.DUMMYFUNCTION(" IF
( VLOOKUP($G207,IMPORTRANGE(""https://docs.google.com/spreadsheets/d/1Gpl6jkTg7sL4VDNimUm3S9Vi1i95esohXCF3wuKOE8c"", ""'CONSOLIDADO'!G5:AB""), 10, 0) &lt;&gt; 0, 
IFERROR(VLOOKUP($G207,IMPORTRANGE(""https://docs.google.com/spreadsheets/d/1Gpl6jkTg7sL4VDNimU"&amp;"m3S9Vi1i95esohXCF3wuKOE8c"", ""'CONSOLIDADO'!G5:AB""), 18, 0), ""-""),
""""
)"),"V8 Combustion Engine Model Kit")</f>
        <v>V8 Combustion Engine Model Kit</v>
      </c>
      <c r="V207" s="36" t="str">
        <f>IFERROR(__xludf.DUMMYFUNCTION(" IF
( VLOOKUP($G207,IMPORTRANGE(""https://docs.google.com/spreadsheets/d/1Gpl6jkTg7sL4VDNimUm3S9Vi1i95esohXCF3wuKOE8c"", ""'CONSOLIDADO'!G5:AB""), 10, 0) &lt;&gt; 0, 
IFERROR(VLOOKUP($G207,IMPORTRANGE(""https://docs.google.com/spreadsheets/d/1Gpl6jkTg7sL4VDNimU"&amp;"m3S9Vi1i95esohXCF3wuKOE8c"", ""'CONSOLIDADO'!G5:AB""), 19, 0), ""-""),
""""
)"),"https://docs.google.com/spreadsheets/d/1lGF9RNXzb4Eu-aDuQlKdt2yByRdpGF9w3M_XDMhYh7s/edit?gid=0#gid=0")</f>
        <v>https://docs.google.com/spreadsheets/d/1lGF9RNXzb4Eu-aDuQlKdt2yByRdpGF9w3M_XDMhYh7s/edit?gid=0#gid=0</v>
      </c>
      <c r="W207" s="37" t="str">
        <f>IFERROR(__xludf.DUMMYFUNCTION("IFERROR(VLOOKUP(G207,IMPORTRANGE(""https://docs.google.com/spreadsheets/d/12RxCea4e5ggM7QGn1XE3FbLQa_-QbCNdBi90OdPjRqg"", ""'Plan de Compras'!D4:Q""), 12, 0), ""NO ESTÁ EN REQ"")"),"Técnica")</f>
        <v>Técnica</v>
      </c>
      <c r="X207" s="37" t="str">
        <f>IFERROR(__xludf.DUMMYFUNCTION("IFERROR(VLOOKUP(G207,IMPORTRANGE(""https://docs.google.com/spreadsheets/d/12RxCea4e5ggM7QGn1XE3FbLQa_-QbCNdBi90OdPjRqg"", ""'Plan de Compras'!D4:Q""), 13, 0), """")"),"INTERNACIONAL")</f>
        <v>INTERNACIONAL</v>
      </c>
      <c r="Y207" s="32" t="str">
        <f>IFERROR(__xludf.DUMMYFUNCTION("IFERROR(VLOOKUP(G207,IMPORTRANGE(""https://docs.google.com/spreadsheets/d/12RxCea4e5ggM7QGn1XE3FbLQa_-QbCNdBi90OdPjRqg"", ""'Plan de Compras'!D4:Q""), 14, 0), """")"),"ALEJANDRA")</f>
        <v>ALEJANDRA</v>
      </c>
      <c r="Z207" s="38" t="str">
        <f>IFERROR(__xludf.DUMMYFUNCTION("IFERROR(VLOOKUP(G207,IMPORTRANGE(""https://docs.google.com/spreadsheets/d/12RxCea4e5ggM7QGn1XE3FbLQa_-QbCNdBi90OdPjRqg"", ""'Plan de Compras'!D4:Q""), 4, 0), """")"),"KIT DE MOTOR DE COMBUSTIÓN INTERNA V8 DE MATERIAL SINTÉTICO, ARMABLE Y DESARMABL")</f>
        <v>KIT DE MOTOR DE COMBUSTIÓN INTERNA V8 DE MATERIAL SINTÉTICO, ARMABLE Y DESARMABL</v>
      </c>
      <c r="AA207" s="38" t="str">
        <f t="shared" si="16"/>
        <v>FALSE</v>
      </c>
      <c r="AB207" s="37" t="str">
        <f>IFERROR(__xludf.DUMMYFUNCTION("IFERROR(IF(OR(C207=TRUE,C207=""""),VLOOKUP(G207,IMPORTRANGE(""https://docs.google.com/spreadsheets/d/1z9A1Wq-kKrhRNG5RS2a2fKpY1wIhSVz2ZNmP2mOl588/edit?usp=sharing"",""REQ VF!E4:H""),4,0),""NO APLICA""),""GENERAR REQ"")"),"GENERAR REQ")</f>
        <v>GENERAR REQ</v>
      </c>
      <c r="AC207" s="37" t="str">
        <f>IFERROR(__xludf.DUMMYFUNCTION("IFERROR(QUERY(IMPORTRANGE(""https://docs.google.com/spreadsheets/d/1z9A1Wq-kKrhRNG5RS2a2fKpY1wIhSVz2ZNmP2mOl588/edit?usp=sharing"",""REQ VF!E4:Q""),""SELECT Col10, Col11, Col12 WHERE Col1 = '""&amp;G207&amp;""'"",0),""NO APLICA"")"),"NO APLICA")</f>
        <v>NO APLICA</v>
      </c>
      <c r="AD207" s="37"/>
      <c r="AE207" s="37"/>
      <c r="AF207" s="8" t="s">
        <v>52</v>
      </c>
      <c r="AG207" s="71"/>
    </row>
    <row r="208">
      <c r="A208" s="26"/>
      <c r="B208" s="26"/>
      <c r="C208" s="26" t="b">
        <v>1</v>
      </c>
      <c r="D208" s="26" t="s">
        <v>42</v>
      </c>
      <c r="E208" s="26" t="s">
        <v>36</v>
      </c>
      <c r="F208" s="59" t="s">
        <v>712</v>
      </c>
      <c r="G208" s="39" t="s">
        <v>715</v>
      </c>
      <c r="H208" s="40" t="s">
        <v>716</v>
      </c>
      <c r="I208" s="43">
        <f>$I$207</f>
        <v>3</v>
      </c>
      <c r="J208" s="26">
        <f>IFERROR(__xludf.DUMMYFUNCTION("VLOOKUP(G208,IMPORTRANGE(""https://docs.google.com/spreadsheets/d/12RxCea4e5ggM7QGn1XE3FbLQa_-QbCNdBi90OdPjRqg/edit?gid=1692403370#gid=1692403370"", ""'Plan de Compras'!D4:2432""), 8,0)"),3.0)</f>
        <v>3</v>
      </c>
      <c r="K208" s="26" t="str">
        <f t="shared" si="1"/>
        <v>SI</v>
      </c>
      <c r="L208" s="26"/>
      <c r="M208" s="47"/>
      <c r="N208" s="42"/>
      <c r="O208" s="42"/>
      <c r="P208" s="42"/>
      <c r="Q208" s="47"/>
      <c r="R208" s="47"/>
      <c r="S208" s="34" t="b">
        <v>1</v>
      </c>
      <c r="T208" s="35" t="s">
        <v>717</v>
      </c>
      <c r="U208" s="35" t="s">
        <v>717</v>
      </c>
      <c r="V208" s="44"/>
      <c r="W208" s="37" t="str">
        <f>IFERROR(__xludf.DUMMYFUNCTION("IFERROR(VLOOKUP(G208,IMPORTRANGE(""https://docs.google.com/spreadsheets/d/12RxCea4e5ggM7QGn1XE3FbLQa_-QbCNdBi90OdPjRqg"", ""'Plan de Compras'!D4:Q""), 12, 0), ""NO ESTÁ EN REQ"")"),"Técnica")</f>
        <v>Técnica</v>
      </c>
      <c r="X208" s="37" t="str">
        <f>IFERROR(__xludf.DUMMYFUNCTION("IFERROR(VLOOKUP(G208,IMPORTRANGE(""https://docs.google.com/spreadsheets/d/12RxCea4e5ggM7QGn1XE3FbLQa_-QbCNdBi90OdPjRqg"", ""'Plan de Compras'!D4:Q""), 13, 0), """")"),"NACIONAL")</f>
        <v>NACIONAL</v>
      </c>
      <c r="Y208" s="32" t="str">
        <f>IFERROR(__xludf.DUMMYFUNCTION("IFERROR(VLOOKUP(G208,IMPORTRANGE(""https://docs.google.com/spreadsheets/d/12RxCea4e5ggM7QGn1XE3FbLQa_-QbCNdBi90OdPjRqg"", ""'Plan de Compras'!D4:Q""), 14, 0), """")"),"ALFIO")</f>
        <v>ALFIO</v>
      </c>
      <c r="Z208" s="38" t="str">
        <f>IFERROR(__xludf.DUMMYFUNCTION("IFERROR(VLOOKUP(G208,IMPORTRANGE(""https://docs.google.com/spreadsheets/d/12RxCea4e5ggM7QGn1XE3FbLQa_-QbCNdBi90OdPjRqg"", ""'Plan de Compras'!D4:Q""), 4, 0), """")"),"PAQUETE DE 3 PILAS AA (1 UND)")</f>
        <v>PAQUETE DE 3 PILAS AA (1 UND)</v>
      </c>
      <c r="AA208" s="38" t="str">
        <f t="shared" si="16"/>
        <v>FALSE</v>
      </c>
      <c r="AB208" s="37" t="str">
        <f>IFERROR(__xludf.DUMMYFUNCTION("IFERROR(IF(OR(C208=TRUE,C208=""""),VLOOKUP(G208,IMPORTRANGE(""https://docs.google.com/spreadsheets/d/1z9A1Wq-kKrhRNG5RS2a2fKpY1wIhSVz2ZNmP2mOl588/edit?usp=sharing"",""REQ VF!E4:H""),4,0),""NO APLICA""),""GENERAR REQ"")"),"GENERAR REQ")</f>
        <v>GENERAR REQ</v>
      </c>
      <c r="AC208" s="37" t="str">
        <f>IFERROR(__xludf.DUMMYFUNCTION("IFERROR(QUERY(IMPORTRANGE(""https://docs.google.com/spreadsheets/d/1z9A1Wq-kKrhRNG5RS2a2fKpY1wIhSVz2ZNmP2mOl588/edit?usp=sharing"",""REQ VF!E4:Q""),""SELECT Col10, Col11, Col12 WHERE Col1 = '""&amp;G208&amp;""'"",0),""NO APLICA"")"),"NO APLICA")</f>
        <v>NO APLICA</v>
      </c>
      <c r="AD208" s="37"/>
      <c r="AE208" s="37"/>
      <c r="AF208" s="13"/>
      <c r="AG208" s="13"/>
    </row>
    <row r="209">
      <c r="A209" s="26"/>
      <c r="B209" s="26" t="b">
        <v>0</v>
      </c>
      <c r="C209" s="26" t="b">
        <v>0</v>
      </c>
      <c r="D209" s="26" t="s">
        <v>42</v>
      </c>
      <c r="E209" s="26" t="s">
        <v>36</v>
      </c>
      <c r="F209" s="59" t="s">
        <v>718</v>
      </c>
      <c r="G209" s="39" t="s">
        <v>719</v>
      </c>
      <c r="H209" s="40" t="s">
        <v>118</v>
      </c>
      <c r="I209" s="26"/>
      <c r="J209" s="26" t="str">
        <f>IFERROR(__xludf.DUMMYFUNCTION("VLOOKUP(G209,IMPORTRANGE(""https://docs.google.com/spreadsheets/d/12RxCea4e5ggM7QGn1XE3FbLQa_-QbCNdBi90OdPjRqg/edit?gid=1692403370#gid=1692403370"", ""'Plan de Compras'!D4:2432""), 8,0)"),"#N/A")</f>
        <v>#N/A</v>
      </c>
      <c r="K209" s="26" t="str">
        <f t="shared" si="1"/>
        <v>-</v>
      </c>
      <c r="L209" s="29"/>
      <c r="M209" s="61"/>
      <c r="N209" s="42"/>
      <c r="O209" s="32"/>
      <c r="P209" s="32"/>
      <c r="Q209" s="41"/>
      <c r="R209" s="61"/>
      <c r="S209" s="34" t="b">
        <v>0</v>
      </c>
      <c r="T209" s="35" t="s">
        <v>720</v>
      </c>
      <c r="U209" s="35" t="s">
        <v>435</v>
      </c>
      <c r="V209" s="35"/>
      <c r="W209" s="37"/>
      <c r="X209" s="37"/>
      <c r="Y209" s="32"/>
      <c r="Z209" s="38"/>
      <c r="AA209" s="38" t="str">
        <f t="shared" si="16"/>
        <v>FALSE</v>
      </c>
      <c r="AB209" s="37" t="str">
        <f>IFERROR(__xludf.DUMMYFUNCTION("IFERROR(IF(OR(C209=TRUE,C209=""""),VLOOKUP(G209,IMPORTRANGE(""https://docs.google.com/spreadsheets/d/1z9A1Wq-kKrhRNG5RS2a2fKpY1wIhSVz2ZNmP2mOl588/edit?usp=sharing"",""REQ VF!E4:H""),4,0),""NO APLICA""),""GENERAR REQ"")"),"NO APLICA")</f>
        <v>NO APLICA</v>
      </c>
      <c r="AC209" s="37" t="str">
        <f>IFERROR(__xludf.DUMMYFUNCTION("IFERROR(QUERY(IMPORTRANGE(""https://docs.google.com/spreadsheets/d/1z9A1Wq-kKrhRNG5RS2a2fKpY1wIhSVz2ZNmP2mOl588/edit?usp=sharing"",""REQ VF!E4:Q""),""SELECT Col10, Col11, Col12 WHERE Col1 = '""&amp;G209&amp;""'"",0),""NO APLICA"")"),"NO APLICA")</f>
        <v>NO APLICA</v>
      </c>
      <c r="AD209" s="37"/>
      <c r="AE209" s="37"/>
      <c r="AF209" s="8"/>
      <c r="AG209" s="13"/>
    </row>
    <row r="210">
      <c r="A210" s="26">
        <v>92.0</v>
      </c>
      <c r="B210" s="26" t="b">
        <v>1</v>
      </c>
      <c r="C210" s="26" t="b">
        <v>1</v>
      </c>
      <c r="D210" s="26" t="s">
        <v>35</v>
      </c>
      <c r="E210" s="26" t="s">
        <v>36</v>
      </c>
      <c r="F210" s="27" t="s">
        <v>718</v>
      </c>
      <c r="G210" s="37" t="s">
        <v>718</v>
      </c>
      <c r="H210" s="45" t="s">
        <v>721</v>
      </c>
      <c r="I210" s="26">
        <f>SUMIFS('Hoja 10'!$O:$O,'Hoja 10'!$F:$F,$G210)</f>
        <v>16</v>
      </c>
      <c r="J210" s="26">
        <f>IFERROR(__xludf.DUMMYFUNCTION("VLOOKUP(G210,IMPORTRANGE(""https://docs.google.com/spreadsheets/d/12RxCea4e5ggM7QGn1XE3FbLQa_-QbCNdBi90OdPjRqg/edit?gid=1692403370#gid=1692403370"", ""'Plan de Compras'!D4:2432""), 8,0)"),16.0)</f>
        <v>16</v>
      </c>
      <c r="K210" s="26" t="str">
        <f t="shared" si="1"/>
        <v>SI</v>
      </c>
      <c r="L210" s="29" t="s">
        <v>339</v>
      </c>
      <c r="M210" s="30" t="s">
        <v>340</v>
      </c>
      <c r="N210" s="42"/>
      <c r="O210" s="32" t="str">
        <f>VLOOKUP($G210,'Hoja 10'!$F$4:$AA478, 19,0)</f>
        <v>Genérico</v>
      </c>
      <c r="P210" s="32" t="str">
        <f>VLOOKUP($G210,'Hoja 10'!$F$4:$AA478, 20,0)</f>
        <v/>
      </c>
      <c r="Q210" s="33" t="str">
        <f>VLOOKUP($G210,'Hoja 10'!$F$4:$AA478, 21,0)</f>
        <v>https://drive.google.com/file/d/1hULvcmGAGtLWQHJmoHYIqoO9KfiCndmO/view</v>
      </c>
      <c r="R210" s="30" t="s">
        <v>722</v>
      </c>
      <c r="S210" s="34" t="b">
        <v>1</v>
      </c>
      <c r="T210" s="35" t="str">
        <f>IFERROR(__xludf.DUMMYFUNCTION(" IF
( VLOOKUP($G210,IMPORTRANGE(""https://docs.google.com/spreadsheets/d/1Gpl6jkTg7sL4VDNimUm3S9Vi1i95esohXCF3wuKOE8c"", ""'CONSOLIDADO'!G5:AB""), 10, 0) &lt;&gt; 0, 
IFERROR(VLOOKUP($G210,IMPORTRANGE(""https://docs.google.com/spreadsheets/d/1Gpl6jkTg7sL4VDNimU"&amp;"m3S9Vi1i95esohXCF3wuKOE8c"", ""'CONSOLIDADO'!G5:AB""), 17, 0), ""-""),
""""
)"),"MAXQUI")</f>
        <v>MAXQUI</v>
      </c>
      <c r="U210" s="35" t="str">
        <f>IFERROR(__xludf.DUMMYFUNCTION(" IF
( VLOOKUP($G210,IMPORTRANGE(""https://docs.google.com/spreadsheets/d/1Gpl6jkTg7sL4VDNimUm3S9Vi1i95esohXCF3wuKOE8c"", ""'CONSOLIDADO'!G5:AB""), 10, 0) &lt;&gt; 0, 
IFERROR(VLOOKUP($G210,IMPORTRANGE(""https://docs.google.com/spreadsheets/d/1Gpl6jkTg7sL4VDNimU"&amp;"m3S9Vi1i95esohXCF3wuKOE8c"", ""'CONSOLIDADO'!G5:AB""), 18, 0), ""-""),
""""
)"),"A MEDIDA 2")</f>
        <v>A MEDIDA 2</v>
      </c>
      <c r="V210" s="35" t="str">
        <f>IFERROR(__xludf.DUMMYFUNCTION(" IF
( VLOOKUP($G210,IMPORTRANGE(""https://docs.google.com/spreadsheets/d/1Gpl6jkTg7sL4VDNimUm3S9Vi1i95esohXCF3wuKOE8c"", ""'CONSOLIDADO'!G5:AB""), 10, 0) &lt;&gt; 0, 
IFERROR(VLOOKUP($G210,IMPORTRANGE(""https://docs.google.com/spreadsheets/d/1Gpl6jkTg7sL4VDNimU"&amp;"m3S9Vi1i95esohXCF3wuKOE8c"", ""'CONSOLIDADO'!G5:AB""), 19, 0), ""-""),
""""
)"),"A MEDIDA")</f>
        <v>A MEDIDA</v>
      </c>
      <c r="W210" s="37" t="str">
        <f>IFERROR(__xludf.DUMMYFUNCTION("IFERROR(VLOOKUP(G210,IMPORTRANGE(""https://docs.google.com/spreadsheets/d/12RxCea4e5ggM7QGn1XE3FbLQa_-QbCNdBi90OdPjRqg"", ""'Plan de Compras'!D4:Q""), 12, 0), ""NO ESTÁ EN REQ"")"),"Técnica")</f>
        <v>Técnica</v>
      </c>
      <c r="X210" s="37" t="str">
        <f>IFERROR(__xludf.DUMMYFUNCTION("IFERROR(VLOOKUP(G210,IMPORTRANGE(""https://docs.google.com/spreadsheets/d/12RxCea4e5ggM7QGn1XE3FbLQa_-QbCNdBi90OdPjRqg"", ""'Plan de Compras'!D4:Q""), 13, 0), """")"),"INTERNACIONAL")</f>
        <v>INTERNACIONAL</v>
      </c>
      <c r="Y210" s="32" t="str">
        <f>IFERROR(__xludf.DUMMYFUNCTION("IFERROR(VLOOKUP(G210,IMPORTRANGE(""https://docs.google.com/spreadsheets/d/12RxCea4e5ggM7QGn1XE3FbLQa_-QbCNdBi90OdPjRqg"", ""'Plan de Compras'!D4:Q""), 14, 0), """")"),"VICTOR")</f>
        <v>VICTOR</v>
      </c>
      <c r="Z210" s="38" t="str">
        <f>IFERROR(__xludf.DUMMYFUNCTION("IFERROR(VLOOKUP(G210,IMPORTRANGE(""https://docs.google.com/spreadsheets/d/12RxCea4e5ggM7QGn1XE3FbLQa_-QbCNdBi90OdPjRqg"", ""'Plan de Compras'!D4:Q""), 4, 0), """")"),"KIT DE ROBÓTICA PARA PLATAFORMA ELECTRÓNICA DE CÓDIGO ABIERTO")</f>
        <v>KIT DE ROBÓTICA PARA PLATAFORMA ELECTRÓNICA DE CÓDIGO ABIERTO</v>
      </c>
      <c r="AA210" s="38" t="str">
        <f t="shared" si="16"/>
        <v>TRUE</v>
      </c>
      <c r="AB210" s="37" t="str">
        <f>IFERROR(__xludf.DUMMYFUNCTION("IFERROR(IF(OR(C210=TRUE,C210=""""),VLOOKUP(G210,IMPORTRANGE(""https://docs.google.com/spreadsheets/d/1z9A1Wq-kKrhRNG5RS2a2fKpY1wIhSVz2ZNmP2mOl588/edit?usp=sharing"",""REQ VF!E4:H""),4,0),""NO APLICA""),""GENERAR REQ"")"),"GENERAR REQ")</f>
        <v>GENERAR REQ</v>
      </c>
      <c r="AC210" s="37" t="str">
        <f>IFERROR(__xludf.DUMMYFUNCTION("IFERROR(QUERY(IMPORTRANGE(""https://docs.google.com/spreadsheets/d/1z9A1Wq-kKrhRNG5RS2a2fKpY1wIhSVz2ZNmP2mOl588/edit?usp=sharing"",""REQ VF!E4:Q""),""SELECT Col10, Col11, Col12 WHERE Col1 = '""&amp;G210&amp;""'"",0),""NO APLICA"")"),"NO APLICA")</f>
        <v>NO APLICA</v>
      </c>
      <c r="AD210" s="37"/>
      <c r="AE210" s="37"/>
      <c r="AF210" s="8" t="s">
        <v>52</v>
      </c>
      <c r="AG210" s="13"/>
    </row>
    <row r="211">
      <c r="A211" s="26">
        <v>93.0</v>
      </c>
      <c r="B211" s="26" t="b">
        <v>1</v>
      </c>
      <c r="C211" s="26" t="b">
        <v>1</v>
      </c>
      <c r="D211" s="26" t="s">
        <v>35</v>
      </c>
      <c r="E211" s="26" t="s">
        <v>36</v>
      </c>
      <c r="F211" s="27" t="s">
        <v>723</v>
      </c>
      <c r="G211" s="37" t="s">
        <v>723</v>
      </c>
      <c r="H211" s="45" t="s">
        <v>724</v>
      </c>
      <c r="I211" s="26">
        <f>SUMIFS('Hoja 10'!$O:$O,'Hoja 10'!$F:$F,$G211)</f>
        <v>4</v>
      </c>
      <c r="J211" s="26">
        <f>IFERROR(__xludf.DUMMYFUNCTION("VLOOKUP(G211,IMPORTRANGE(""https://docs.google.com/spreadsheets/d/12RxCea4e5ggM7QGn1XE3FbLQa_-QbCNdBi90OdPjRqg/edit?gid=1692403370#gid=1692403370"", ""'Plan de Compras'!D4:2432""), 8,0)"),4.0)</f>
        <v>4</v>
      </c>
      <c r="K211" s="26" t="str">
        <f t="shared" si="1"/>
        <v>SI</v>
      </c>
      <c r="L211" s="29" t="s">
        <v>122</v>
      </c>
      <c r="M211" s="30" t="s">
        <v>123</v>
      </c>
      <c r="N211" s="42"/>
      <c r="O211" s="32" t="str">
        <f>VLOOKUP($G211,'Hoja 10'!$F$4:$AA478, 19,0)</f>
        <v>LeTkingok</v>
      </c>
      <c r="P211" s="32" t="str">
        <f>VLOOKUP($G211,'Hoja 10'!$F$4:$AA478, 20,0)</f>
        <v>KS8586</v>
      </c>
      <c r="Q211" s="33" t="str">
        <f>VLOOKUP($G211,'Hoja 10'!$F$4:$AA478, 21,0)</f>
        <v>https://www.amazon.es/COVVY-soldadura-temperatura-calefacci%C3%B3n-8586/dp/B0DBLJ157B/ref=sr_1_3?__mk_es_ES=%C3%85M%C3%85%C5%BD%C3%95%C3%91&amp;crid=1508W2FHUG0FE&amp;dib=eyJ2IjoiMSJ9.EwYqlY1V8WMa1J064N2n8TugHK8S0laCb_G5web3eIZFSKQTVGvgmUSfalIUKYQfV31LIhUJ-zePCn9-AWC3jFkmR8UiIE3o4TcQU1HTLmiatnTLRw_dnLGzmzrDWFEdJMX8rDOt1uB1xI2uwOLA1R7jYm5EMsfT2TJnf861g0-CSg6qnxYEarpK_wk4C0w2zNaPjX3kcvUiebiTs3SHXzQQYrnOmmHZr06ZJG3OLbXx5W2z3lm4kMRYcgUzU5J5BOmxXlGLduj-bYNpLG_zG_3kZ7UZs1ZCUaOiLbgGxiE.DmnjdAPw3djsxRJUKvolesBo1mTjbGttjsqGDT8fvyA&amp;dib_tag=se&amp;keywords=KS+8586&amp;qid=1756843129&amp;sprefix=ks+8586%2Caps%2C244&amp;sr=8-3</v>
      </c>
      <c r="R211" s="30" t="s">
        <v>725</v>
      </c>
      <c r="S211" s="34" t="b">
        <v>1</v>
      </c>
      <c r="T211" s="35" t="str">
        <f>IFERROR(__xludf.DUMMYFUNCTION(" IF
( VLOOKUP($G211,IMPORTRANGE(""https://docs.google.com/spreadsheets/d/1Gpl6jkTg7sL4VDNimUm3S9Vi1i95esohXCF3wuKOE8c"", ""'CONSOLIDADO'!G5:AB""), 10, 0) &lt;&gt; 0, 
IFERROR(VLOOKUP($G211,IMPORTRANGE(""https://docs.google.com/spreadsheets/d/1Gpl6jkTg7sL4VDNimU"&amp;"m3S9Vi1i95esohXCF3wuKOE8c"", ""'CONSOLIDADO'!G5:AB""), 17, 0), ""-""),
""""
)"),"LeTkingok")</f>
        <v>LeTkingok</v>
      </c>
      <c r="U211" s="35" t="str">
        <f>IFERROR(__xludf.DUMMYFUNCTION(" IF
( VLOOKUP($G211,IMPORTRANGE(""https://docs.google.com/spreadsheets/d/1Gpl6jkTg7sL4VDNimUm3S9Vi1i95esohXCF3wuKOE8c"", ""'CONSOLIDADO'!G5:AB""), 10, 0) &lt;&gt; 0, 
IFERROR(VLOOKUP($G211,IMPORTRANGE(""https://docs.google.com/spreadsheets/d/1Gpl6jkTg7sL4VDNimU"&amp;"m3S9Vi1i95esohXCF3wuKOE8c"", ""'CONSOLIDADO'!G5:AB""), 18, 0), ""-""),
""""
)"),"KS-8586")</f>
        <v>KS-8586</v>
      </c>
      <c r="V211" s="36" t="str">
        <f>IFERROR(__xludf.DUMMYFUNCTION(" IF
( VLOOKUP($G211,IMPORTRANGE(""https://docs.google.com/spreadsheets/d/1Gpl6jkTg7sL4VDNimUm3S9Vi1i95esohXCF3wuKOE8c"", ""'CONSOLIDADO'!G5:AB""), 10, 0) &lt;&gt; 0, 
IFERROR(VLOOKUP($G211,IMPORTRANGE(""https://docs.google.com/spreadsheets/d/1Gpl6jkTg7sL4VDNimU"&amp;"m3S9Vi1i95esohXCF3wuKOE8c"", ""'CONSOLIDADO'!G5:AB""), 19, 0), ""-""),
""""
)"),"https://www.amazon.com/-/es/LeTkingok-KS-8586-soldadura-Herramientas-reparaci%C3%B3n/dp/B07W1WQWCR")</f>
        <v>https://www.amazon.com/-/es/LeTkingok-KS-8586-soldadura-Herramientas-reparaci%C3%B3n/dp/B07W1WQWCR</v>
      </c>
      <c r="W211" s="37" t="str">
        <f>IFERROR(__xludf.DUMMYFUNCTION("IFERROR(VLOOKUP(G211,IMPORTRANGE(""https://docs.google.com/spreadsheets/d/12RxCea4e5ggM7QGn1XE3FbLQa_-QbCNdBi90OdPjRqg"", ""'Plan de Compras'!D4:Q""), 12, 0), ""NO ESTÁ EN REQ"")"),"Técnica")</f>
        <v>Técnica</v>
      </c>
      <c r="X211" s="37" t="str">
        <f>IFERROR(__xludf.DUMMYFUNCTION("IFERROR(VLOOKUP(G211,IMPORTRANGE(""https://docs.google.com/spreadsheets/d/12RxCea4e5ggM7QGn1XE3FbLQa_-QbCNdBi90OdPjRqg"", ""'Plan de Compras'!D4:Q""), 13, 0), """")"),"INTERNACIONAL")</f>
        <v>INTERNACIONAL</v>
      </c>
      <c r="Y211" s="32" t="str">
        <f>IFERROR(__xludf.DUMMYFUNCTION("IFERROR(VLOOKUP(G211,IMPORTRANGE(""https://docs.google.com/spreadsheets/d/12RxCea4e5ggM7QGn1XE3FbLQa_-QbCNdBi90OdPjRqg"", ""'Plan de Compras'!D4:Q""), 14, 0), """")"),"GIANFRANCO")</f>
        <v>GIANFRANCO</v>
      </c>
      <c r="Z211" s="38" t="str">
        <f>IFERROR(__xludf.DUMMYFUNCTION("IFERROR(VLOOKUP(G211,IMPORTRANGE(""https://docs.google.com/spreadsheets/d/12RxCea4e5ggM7QGn1XE3FbLQa_-QbCNdBi90OdPjRqg"", ""'Plan de Compras'!D4:Q""), 4, 0), """")"),"KIT DE SOLDADURA - ESTACIÓN DE CALOR")</f>
        <v>KIT DE SOLDADURA - ESTACIÓN DE CALOR</v>
      </c>
      <c r="AA211" s="38" t="str">
        <f t="shared" si="16"/>
        <v>TRUE</v>
      </c>
      <c r="AB211" s="37" t="str">
        <f>IFERROR(__xludf.DUMMYFUNCTION("IFERROR(IF(OR(C211=TRUE,C211=""""),VLOOKUP(G211,IMPORTRANGE(""https://docs.google.com/spreadsheets/d/1z9A1Wq-kKrhRNG5RS2a2fKpY1wIhSVz2ZNmP2mOl588/edit?usp=sharing"",""REQ VF!E4:H""),4,0),""NO APLICA""),""GENERAR REQ"")"),"GENERAR REQ")</f>
        <v>GENERAR REQ</v>
      </c>
      <c r="AC211" s="37" t="str">
        <f>IFERROR(__xludf.DUMMYFUNCTION("IFERROR(QUERY(IMPORTRANGE(""https://docs.google.com/spreadsheets/d/1z9A1Wq-kKrhRNG5RS2a2fKpY1wIhSVz2ZNmP2mOl588/edit?usp=sharing"",""REQ VF!E4:Q""),""SELECT Col10, Col11, Col12 WHERE Col1 = '""&amp;G211&amp;""'"",0),""NO APLICA"")"),"NO APLICA")</f>
        <v>NO APLICA</v>
      </c>
      <c r="AD211" s="37"/>
      <c r="AE211" s="37"/>
      <c r="AF211" s="13"/>
      <c r="AG211" s="13"/>
    </row>
    <row r="212">
      <c r="A212" s="26">
        <v>94.0</v>
      </c>
      <c r="B212" s="26" t="b">
        <v>1</v>
      </c>
      <c r="C212" s="26" t="b">
        <v>1</v>
      </c>
      <c r="D212" s="26" t="s">
        <v>35</v>
      </c>
      <c r="E212" s="26" t="s">
        <v>36</v>
      </c>
      <c r="F212" s="27" t="s">
        <v>726</v>
      </c>
      <c r="G212" s="37" t="s">
        <v>726</v>
      </c>
      <c r="H212" s="40" t="s">
        <v>727</v>
      </c>
      <c r="I212" s="26">
        <f>SUMIFS('Hoja 10'!$O:$O,'Hoja 10'!$F:$F,$G212)</f>
        <v>2</v>
      </c>
      <c r="J212" s="26">
        <f>IFERROR(__xludf.DUMMYFUNCTION("VLOOKUP(G212,IMPORTRANGE(""https://docs.google.com/spreadsheets/d/12RxCea4e5ggM7QGn1XE3FbLQa_-QbCNdBi90OdPjRqg/edit?gid=1692403370#gid=1692403370"", ""'Plan de Compras'!D4:2432""), 8,0)"),2.0)</f>
        <v>2</v>
      </c>
      <c r="K212" s="26" t="str">
        <f t="shared" si="1"/>
        <v>SI</v>
      </c>
      <c r="L212" s="29" t="s">
        <v>91</v>
      </c>
      <c r="M212" s="30" t="s">
        <v>92</v>
      </c>
      <c r="N212" s="42"/>
      <c r="O212" s="32" t="str">
        <f>VLOOKUP($G212,'Hoja 10'!$F$4:$AA478, 19,0)</f>
        <v>BOSCH</v>
      </c>
      <c r="P212" s="32" t="str">
        <f>VLOOKUP($G212,'Hoja 10'!$F$4:$AA478, 20,0)</f>
        <v>GSB 185-LI</v>
      </c>
      <c r="Q212" s="33" t="str">
        <f>VLOOKUP($G212,'Hoja 10'!$F$4:$AA478, 21,0)</f>
        <v>https://drive.google.com/file/d/14inIOihNd-TLYUTNnkD4Y1Yp4DnmYrHB/view?usp=drive_link</v>
      </c>
      <c r="R212" s="30" t="s">
        <v>728</v>
      </c>
      <c r="S212" s="34" t="b">
        <v>1</v>
      </c>
      <c r="T212" s="35" t="str">
        <f>IFERROR(__xludf.DUMMYFUNCTION(" IF
( VLOOKUP($G212,IMPORTRANGE(""https://docs.google.com/spreadsheets/d/1Gpl6jkTg7sL4VDNimUm3S9Vi1i95esohXCF3wuKOE8c"", ""'CONSOLIDADO'!G5:AB""), 10, 0) &lt;&gt; 0, 
IFERROR(VLOOKUP($G212,IMPORTRANGE(""https://docs.google.com/spreadsheets/d/1Gpl6jkTg7sL4VDNimU"&amp;"m3S9Vi1i95esohXCF3wuKOE8c"", ""'CONSOLIDADO'!G5:AB""), 17, 0), ""-""),
""""
)"),"BOSCH")</f>
        <v>BOSCH</v>
      </c>
      <c r="U212" s="35" t="str">
        <f>IFERROR(__xludf.DUMMYFUNCTION(" IF
( VLOOKUP($G212,IMPORTRANGE(""https://docs.google.com/spreadsheets/d/1Gpl6jkTg7sL4VDNimUm3S9Vi1i95esohXCF3wuKOE8c"", ""'CONSOLIDADO'!G5:AB""), 10, 0) &lt;&gt; 0, 
IFERROR(VLOOKUP($G212,IMPORTRANGE(""https://docs.google.com/spreadsheets/d/1Gpl6jkTg7sL4VDNimU"&amp;"m3S9Vi1i95esohXCF3wuKOE8c"", ""'CONSOLIDADO'!G5:AB""), 18, 0), ""-""),
""""
)"),"GSB 185-LI")</f>
        <v>GSB 185-LI</v>
      </c>
      <c r="V212" s="36" t="str">
        <f>IFERROR(__xludf.DUMMYFUNCTION(" IF
( VLOOKUP($G212,IMPORTRANGE(""https://docs.google.com/spreadsheets/d/1Gpl6jkTg7sL4VDNimUm3S9Vi1i95esohXCF3wuKOE8c"", ""'CONSOLIDADO'!G5:AB""), 10, 0) &lt;&gt; 0, 
IFERROR(VLOOKUP($G212,IMPORTRANGE(""https://docs.google.com/spreadsheets/d/1Gpl6jkTg7sL4VDNimU"&amp;"m3S9Vi1i95esohXCF3wuKOE8c"", ""'CONSOLIDADO'!G5:AB""), 19, 0), ""-""),
""""
)"),"https://www.bosch-professional.com/pe/es/products/gsb-185-li-06019K31E0")</f>
        <v>https://www.bosch-professional.com/pe/es/products/gsb-185-li-06019K31E0</v>
      </c>
      <c r="W212" s="37" t="str">
        <f>IFERROR(__xludf.DUMMYFUNCTION("IFERROR(VLOOKUP(G212,IMPORTRANGE(""https://docs.google.com/spreadsheets/d/12RxCea4e5ggM7QGn1XE3FbLQa_-QbCNdBi90OdPjRqg"", ""'Plan de Compras'!D4:Q""), 12, 0), ""NO ESTÁ EN REQ"")"),"Técnica")</f>
        <v>Técnica</v>
      </c>
      <c r="X212" s="37" t="str">
        <f>IFERROR(__xludf.DUMMYFUNCTION("IFERROR(VLOOKUP(G212,IMPORTRANGE(""https://docs.google.com/spreadsheets/d/12RxCea4e5ggM7QGn1XE3FbLQa_-QbCNdBi90OdPjRqg"", ""'Plan de Compras'!D4:Q""), 13, 0), """")"),"NACIONAL")</f>
        <v>NACIONAL</v>
      </c>
      <c r="Y212" s="32" t="str">
        <f>IFERROR(__xludf.DUMMYFUNCTION("IFERROR(VLOOKUP(G212,IMPORTRANGE(""https://docs.google.com/spreadsheets/d/12RxCea4e5ggM7QGn1XE3FbLQa_-QbCNdBi90OdPjRqg"", ""'Plan de Compras'!D4:Q""), 14, 0), """")"),"DIANA")</f>
        <v>DIANA</v>
      </c>
      <c r="Z212" s="38" t="str">
        <f>IFERROR(__xludf.DUMMYFUNCTION("IFERROR(VLOOKUP(G212,IMPORTRANGE(""https://docs.google.com/spreadsheets/d/12RxCea4e5ggM7QGn1XE3FbLQa_-QbCNdBi90OdPjRqg"", ""'Plan de Compras'!D4:Q""), 4, 0), """")"),"KIT DE TALADRO/DESTORNILLADOR INALÁMBRICO ")</f>
        <v>KIT DE TALADRO/DESTORNILLADOR INALÁMBRICO </v>
      </c>
      <c r="AA212" s="38" t="str">
        <f t="shared" si="16"/>
        <v>TRUE</v>
      </c>
      <c r="AB212" s="37" t="str">
        <f>IFERROR(__xludf.DUMMYFUNCTION("IFERROR(IF(OR(C212=TRUE,C212=""""),VLOOKUP(G212,IMPORTRANGE(""https://docs.google.com/spreadsheets/d/1z9A1Wq-kKrhRNG5RS2a2fKpY1wIhSVz2ZNmP2mOl588/edit?usp=sharing"",""REQ VF!E4:H""),4,0),""NO APLICA""),""GENERAR REQ"")"),"GENERAR REQ")</f>
        <v>GENERAR REQ</v>
      </c>
      <c r="AC212" s="37" t="str">
        <f>IFERROR(__xludf.DUMMYFUNCTION("IFERROR(QUERY(IMPORTRANGE(""https://docs.google.com/spreadsheets/d/1z9A1Wq-kKrhRNG5RS2a2fKpY1wIhSVz2ZNmP2mOl588/edit?usp=sharing"",""REQ VF!E4:Q""),""SELECT Col10, Col11, Col12 WHERE Col1 = '""&amp;G212&amp;""'"",0),""NO APLICA"")"),"NO APLICA")</f>
        <v>NO APLICA</v>
      </c>
      <c r="AD212" s="37"/>
      <c r="AE212" s="37"/>
      <c r="AF212" s="13"/>
      <c r="AG212" s="71"/>
    </row>
    <row r="213">
      <c r="A213" s="26">
        <v>95.0</v>
      </c>
      <c r="B213" s="26" t="b">
        <v>1</v>
      </c>
      <c r="C213" s="26" t="b">
        <v>1</v>
      </c>
      <c r="D213" s="26" t="s">
        <v>35</v>
      </c>
      <c r="E213" s="26" t="s">
        <v>36</v>
      </c>
      <c r="F213" s="27" t="s">
        <v>729</v>
      </c>
      <c r="G213" s="37" t="s">
        <v>729</v>
      </c>
      <c r="H213" s="45" t="s">
        <v>730</v>
      </c>
      <c r="I213" s="26">
        <f>SUMIFS('Hoja 10'!$O:$O,'Hoja 10'!$F:$F,$G213)</f>
        <v>4</v>
      </c>
      <c r="J213" s="26">
        <f>IFERROR(__xludf.DUMMYFUNCTION("VLOOKUP(G213,IMPORTRANGE(""https://docs.google.com/spreadsheets/d/12RxCea4e5ggM7QGn1XE3FbLQa_-QbCNdBi90OdPjRqg/edit?gid=1692403370#gid=1692403370"", ""'Plan de Compras'!D4:2432""), 8,0)"),4.0)</f>
        <v>4</v>
      </c>
      <c r="K213" s="26" t="str">
        <f t="shared" si="1"/>
        <v>SI</v>
      </c>
      <c r="L213" s="29" t="s">
        <v>122</v>
      </c>
      <c r="M213" s="30" t="s">
        <v>123</v>
      </c>
      <c r="N213" s="42"/>
      <c r="O213" s="32" t="str">
        <f>VLOOKUP($G213,'Hoja 10'!$F$4:$AA478, 19,0)</f>
        <v>MAKEBLOCK</v>
      </c>
      <c r="P213" s="32" t="str">
        <f>VLOOKUP($G213,'Hoja 10'!$F$4:$AA478, 20,0)</f>
        <v>2024 – 2025 MakeX Starter Educational Competition Kit</v>
      </c>
      <c r="Q213" s="33" t="str">
        <f>VLOOKUP($G213,'Hoja 10'!$F$4:$AA478, 21,0)</f>
        <v>https://www.engitronicperu.com/producto/2024-makex-starter-educational-competition-kit/</v>
      </c>
      <c r="R213" s="30" t="s">
        <v>731</v>
      </c>
      <c r="S213" s="34" t="b">
        <v>1</v>
      </c>
      <c r="T213" s="35" t="str">
        <f>IFERROR(__xludf.DUMMYFUNCTION(" IF
( VLOOKUP($G213,IMPORTRANGE(""https://docs.google.com/spreadsheets/d/1Gpl6jkTg7sL4VDNimUm3S9Vi1i95esohXCF3wuKOE8c"", ""'CONSOLIDADO'!G5:AB""), 10, 0) &lt;&gt; 0, 
IFERROR(VLOOKUP($G213,IMPORTRANGE(""https://docs.google.com/spreadsheets/d/1Gpl6jkTg7sL4VDNimU"&amp;"m3S9Vi1i95esohXCF3wuKOE8c"", ""'CONSOLIDADO'!G5:AB""), 17, 0), ""-""),
""""
)"),"MAKEBLOCK")</f>
        <v>MAKEBLOCK</v>
      </c>
      <c r="U213" s="35" t="str">
        <f>IFERROR(__xludf.DUMMYFUNCTION(" IF
( VLOOKUP($G213,IMPORTRANGE(""https://docs.google.com/spreadsheets/d/1Gpl6jkTg7sL4VDNimUm3S9Vi1i95esohXCF3wuKOE8c"", ""'CONSOLIDADO'!G5:AB""), 10, 0) &lt;&gt; 0, 
IFERROR(VLOOKUP($G213,IMPORTRANGE(""https://docs.google.com/spreadsheets/d/1Gpl6jkTg7sL4VDNimU"&amp;"m3S9Vi1i95esohXCF3wuKOE8c"", ""'CONSOLIDADO'!G5:AB""), 18, 0), ""-""),
""""
)"),"2026 MAKEX STARTER KIT")</f>
        <v>2026 MAKEX STARTER KIT</v>
      </c>
      <c r="V213" s="35" t="str">
        <f>IFERROR(__xludf.DUMMYFUNCTION(" IF
( VLOOKUP($G213,IMPORTRANGE(""https://docs.google.com/spreadsheets/d/1Gpl6jkTg7sL4VDNimUm3S9Vi1i95esohXCF3wuKOE8c"", ""'CONSOLIDADO'!G5:AB""), 10, 0) &lt;&gt; 0, 
IFERROR(VLOOKUP($G213,IMPORTRANGE(""https://docs.google.com/spreadsheets/d/1Gpl6jkTg7sL4VDNimU"&amp;"m3S9Vi1i95esohXCF3wuKOE8c"", ""'CONSOLIDADO'!G5:AB""), 19, 0), ""-""),
""""
)"),"")</f>
        <v/>
      </c>
      <c r="W213" s="37" t="str">
        <f>IFERROR(__xludf.DUMMYFUNCTION("IFERROR(VLOOKUP(G213,IMPORTRANGE(""https://docs.google.com/spreadsheets/d/12RxCea4e5ggM7QGn1XE3FbLQa_-QbCNdBi90OdPjRqg"", ""'Plan de Compras'!D4:Q""), 12, 0), ""NO ESTÁ EN REQ"")"),"Técnica")</f>
        <v>Técnica</v>
      </c>
      <c r="X213" s="37" t="str">
        <f>IFERROR(__xludf.DUMMYFUNCTION("IFERROR(VLOOKUP(G213,IMPORTRANGE(""https://docs.google.com/spreadsheets/d/12RxCea4e5ggM7QGn1XE3FbLQa_-QbCNdBi90OdPjRqg"", ""'Plan de Compras'!D4:Q""), 13, 0), """")"),"NACIONAL")</f>
        <v>NACIONAL</v>
      </c>
      <c r="Y213" s="32" t="str">
        <f>IFERROR(__xludf.DUMMYFUNCTION("IFERROR(VLOOKUP(G213,IMPORTRANGE(""https://docs.google.com/spreadsheets/d/12RxCea4e5ggM7QGn1XE3FbLQa_-QbCNdBi90OdPjRqg"", ""'Plan de Compras'!D4:Q""), 14, 0), """")"),"ALFIO")</f>
        <v>ALFIO</v>
      </c>
      <c r="Z213" s="38" t="str">
        <f>IFERROR(__xludf.DUMMYFUNCTION("IFERROR(VLOOKUP(G213,IMPORTRANGE(""https://docs.google.com/spreadsheets/d/12RxCea4e5ggM7QGn1XE3FbLQa_-QbCNdBi90OdPjRqg"", ""'Plan de Compras'!D4:Q""), 4, 0), """")"),"KITS DE ROBOTS ""NO ESTRUCTURADOS"": APLICACIONES A LA INDUSTRIA")</f>
        <v>KITS DE ROBOTS "NO ESTRUCTURADOS": APLICACIONES A LA INDUSTRIA</v>
      </c>
      <c r="AA213" s="38" t="str">
        <f t="shared" si="16"/>
        <v>TRUE</v>
      </c>
      <c r="AB213" s="37" t="str">
        <f>IFERROR(__xludf.DUMMYFUNCTION("IFERROR(IF(OR(C213=TRUE,C213=""""),VLOOKUP(G213,IMPORTRANGE(""https://docs.google.com/spreadsheets/d/1z9A1Wq-kKrhRNG5RS2a2fKpY1wIhSVz2ZNmP2mOl588/edit?usp=sharing"",""REQ VF!E4:H""),4,0),""NO APLICA""),""GENERAR REQ"")"),"GENERAR REQ")</f>
        <v>GENERAR REQ</v>
      </c>
      <c r="AC213" s="37" t="str">
        <f>IFERROR(__xludf.DUMMYFUNCTION("IFERROR(QUERY(IMPORTRANGE(""https://docs.google.com/spreadsheets/d/1z9A1Wq-kKrhRNG5RS2a2fKpY1wIhSVz2ZNmP2mOl588/edit?usp=sharing"",""REQ VF!E4:Q""),""SELECT Col10, Col11, Col12 WHERE Col1 = '""&amp;G213&amp;""'"",0),""NO APLICA"")"),"NO APLICA")</f>
        <v>NO APLICA</v>
      </c>
      <c r="AD213" s="37"/>
      <c r="AE213" s="37"/>
      <c r="AF213" s="13"/>
      <c r="AG213" s="13"/>
    </row>
    <row r="214">
      <c r="A214" s="26"/>
      <c r="B214" s="26"/>
      <c r="C214" s="26" t="b">
        <v>1</v>
      </c>
      <c r="D214" s="26" t="s">
        <v>42</v>
      </c>
      <c r="E214" s="26" t="s">
        <v>36</v>
      </c>
      <c r="F214" s="59" t="s">
        <v>729</v>
      </c>
      <c r="G214" s="39" t="s">
        <v>732</v>
      </c>
      <c r="H214" s="66" t="s">
        <v>733</v>
      </c>
      <c r="I214" s="43">
        <f>$I$213*20</f>
        <v>80</v>
      </c>
      <c r="J214" s="26">
        <f>IFERROR(__xludf.DUMMYFUNCTION("VLOOKUP(G214,IMPORTRANGE(""https://docs.google.com/spreadsheets/d/12RxCea4e5ggM7QGn1XE3FbLQa_-QbCNdBi90OdPjRqg/edit?gid=1692403370#gid=1692403370"", ""'Plan de Compras'!D4:2432""), 8,0)"),80.0)</f>
        <v>80</v>
      </c>
      <c r="K214" s="26" t="str">
        <f t="shared" si="1"/>
        <v>SI</v>
      </c>
      <c r="L214" s="26"/>
      <c r="M214" s="47"/>
      <c r="N214" s="26" t="s">
        <v>672</v>
      </c>
      <c r="O214" s="42"/>
      <c r="P214" s="42"/>
      <c r="Q214" s="41"/>
      <c r="R214" s="47"/>
      <c r="S214" s="44" t="b">
        <v>0</v>
      </c>
      <c r="T214" s="72"/>
      <c r="U214" s="72"/>
      <c r="V214" s="44"/>
      <c r="W214" s="37" t="str">
        <f>IFERROR(__xludf.DUMMYFUNCTION("IFERROR(VLOOKUP(G214,IMPORTRANGE(""https://docs.google.com/spreadsheets/d/12RxCea4e5ggM7QGn1XE3FbLQa_-QbCNdBi90OdPjRqg"", ""'Plan de Compras'!D4:Q""), 12, 0), ""NO ESTÁ EN REQ"")"),"Técnica")</f>
        <v>Técnica</v>
      </c>
      <c r="X214" s="37" t="str">
        <f>IFERROR(__xludf.DUMMYFUNCTION("IFERROR(VLOOKUP(G214,IMPORTRANGE(""https://docs.google.com/spreadsheets/d/12RxCea4e5ggM7QGn1XE3FbLQa_-QbCNdBi90OdPjRqg"", ""'Plan de Compras'!D4:Q""), 13, 0), """")"),"NACIONAL")</f>
        <v>NACIONAL</v>
      </c>
      <c r="Y214" s="32" t="str">
        <f>IFERROR(__xludf.DUMMYFUNCTION("IFERROR(VLOOKUP(G214,IMPORTRANGE(""https://docs.google.com/spreadsheets/d/12RxCea4e5ggM7QGn1XE3FbLQa_-QbCNdBi90OdPjRqg"", ""'Plan de Compras'!D4:Q""), 14, 0), """")"),"ALFIO")</f>
        <v>ALFIO</v>
      </c>
      <c r="Z214" s="38" t="str">
        <f>IFERROR(__xludf.DUMMYFUNCTION("IFERROR(VLOOKUP(G214,IMPORTRANGE(""https://docs.google.com/spreadsheets/d/12RxCea4e5ggM7QGn1XE3FbLQa_-QbCNdBi90OdPjRqg"", ""'Plan de Compras'!D4:Q""), 4, 0), """")"),"PIEZAS COMPATIBLES (20 UND)")</f>
        <v>PIEZAS COMPATIBLES (20 UND)</v>
      </c>
      <c r="AA214" s="38" t="str">
        <f t="shared" si="16"/>
        <v>TRUE</v>
      </c>
      <c r="AB214" s="37" t="str">
        <f>IFERROR(__xludf.DUMMYFUNCTION("IFERROR(IF(OR(C214=TRUE,C214=""""),VLOOKUP(G214,IMPORTRANGE(""https://docs.google.com/spreadsheets/d/1z9A1Wq-kKrhRNG5RS2a2fKpY1wIhSVz2ZNmP2mOl588/edit?usp=sharing"",""REQ VF!E4:H""),4,0),""NO APLICA""),""GENERAR REQ"")"),"GENERAR REQ")</f>
        <v>GENERAR REQ</v>
      </c>
      <c r="AC214" s="37" t="str">
        <f>IFERROR(__xludf.DUMMYFUNCTION("IFERROR(QUERY(IMPORTRANGE(""https://docs.google.com/spreadsheets/d/1z9A1Wq-kKrhRNG5RS2a2fKpY1wIhSVz2ZNmP2mOl588/edit?usp=sharing"",""REQ VF!E4:Q""),""SELECT Col10, Col11, Col12 WHERE Col1 = '""&amp;G214&amp;""'"",0),""NO APLICA"")"),"NO APLICA")</f>
        <v>NO APLICA</v>
      </c>
      <c r="AD214" s="37"/>
      <c r="AE214" s="37"/>
      <c r="AF214" s="13"/>
      <c r="AG214" s="13"/>
    </row>
    <row r="215">
      <c r="A215" s="26"/>
      <c r="B215" s="26"/>
      <c r="C215" s="26" t="b">
        <v>1</v>
      </c>
      <c r="D215" s="26" t="s">
        <v>42</v>
      </c>
      <c r="E215" s="26" t="s">
        <v>36</v>
      </c>
      <c r="F215" s="59" t="s">
        <v>729</v>
      </c>
      <c r="G215" s="39" t="s">
        <v>734</v>
      </c>
      <c r="H215" s="66" t="s">
        <v>735</v>
      </c>
      <c r="I215" s="43">
        <f>$I$213*400</f>
        <v>1600</v>
      </c>
      <c r="J215" s="26">
        <f>IFERROR(__xludf.DUMMYFUNCTION("VLOOKUP(G215,IMPORTRANGE(""https://docs.google.com/spreadsheets/d/12RxCea4e5ggM7QGn1XE3FbLQa_-QbCNdBi90OdPjRqg/edit?gid=1692403370#gid=1692403370"", ""'Plan de Compras'!D4:2432""), 8,0)"),1600.0)</f>
        <v>1600</v>
      </c>
      <c r="K215" s="26" t="str">
        <f t="shared" si="1"/>
        <v>SI</v>
      </c>
      <c r="L215" s="26"/>
      <c r="M215" s="47"/>
      <c r="N215" s="26" t="s">
        <v>672</v>
      </c>
      <c r="O215" s="42"/>
      <c r="P215" s="42"/>
      <c r="Q215" s="41"/>
      <c r="R215" s="47"/>
      <c r="S215" s="44" t="b">
        <v>0</v>
      </c>
      <c r="T215" s="72"/>
      <c r="U215" s="72"/>
      <c r="V215" s="44"/>
      <c r="W215" s="37" t="str">
        <f>IFERROR(__xludf.DUMMYFUNCTION("IFERROR(VLOOKUP(G215,IMPORTRANGE(""https://docs.google.com/spreadsheets/d/12RxCea4e5ggM7QGn1XE3FbLQa_-QbCNdBi90OdPjRqg"", ""'Plan de Compras'!D4:Q""), 12, 0), ""NO ESTÁ EN REQ"")"),"Técnica")</f>
        <v>Técnica</v>
      </c>
      <c r="X215" s="37" t="str">
        <f>IFERROR(__xludf.DUMMYFUNCTION("IFERROR(VLOOKUP(G215,IMPORTRANGE(""https://docs.google.com/spreadsheets/d/12RxCea4e5ggM7QGn1XE3FbLQa_-QbCNdBi90OdPjRqg"", ""'Plan de Compras'!D4:Q""), 13, 0), """")"),"NACIONAL")</f>
        <v>NACIONAL</v>
      </c>
      <c r="Y215" s="32" t="str">
        <f>IFERROR(__xludf.DUMMYFUNCTION("IFERROR(VLOOKUP(G215,IMPORTRANGE(""https://docs.google.com/spreadsheets/d/12RxCea4e5ggM7QGn1XE3FbLQa_-QbCNdBi90OdPjRqg"", ""'Plan de Compras'!D4:Q""), 14, 0), """")"),"ALFIO")</f>
        <v>ALFIO</v>
      </c>
      <c r="Z215" s="38" t="str">
        <f>IFERROR(__xludf.DUMMYFUNCTION("IFERROR(VLOOKUP(G215,IMPORTRANGE(""https://docs.google.com/spreadsheets/d/12RxCea4e5ggM7QGn1XE3FbLQa_-QbCNdBi90OdPjRqg"", ""'Plan de Compras'!D4:Q""), 4, 0), """")"),"ESTUCHES DE PLÁSTICO (400 UND)")</f>
        <v>ESTUCHES DE PLÁSTICO (400 UND)</v>
      </c>
      <c r="AA215" s="38" t="str">
        <f t="shared" si="16"/>
        <v>TRUE</v>
      </c>
      <c r="AB215" s="37" t="str">
        <f>IFERROR(__xludf.DUMMYFUNCTION("IFERROR(IF(OR(C215=TRUE,C215=""""),VLOOKUP(G215,IMPORTRANGE(""https://docs.google.com/spreadsheets/d/1z9A1Wq-kKrhRNG5RS2a2fKpY1wIhSVz2ZNmP2mOl588/edit?usp=sharing"",""REQ VF!E4:H""),4,0),""NO APLICA""),""GENERAR REQ"")"),"GENERAR REQ")</f>
        <v>GENERAR REQ</v>
      </c>
      <c r="AC215" s="37" t="str">
        <f>IFERROR(__xludf.DUMMYFUNCTION("IFERROR(QUERY(IMPORTRANGE(""https://docs.google.com/spreadsheets/d/1z9A1Wq-kKrhRNG5RS2a2fKpY1wIhSVz2ZNmP2mOl588/edit?usp=sharing"",""REQ VF!E4:Q""),""SELECT Col10, Col11, Col12 WHERE Col1 = '""&amp;G215&amp;""'"",0),""NO APLICA"")"),"NO APLICA")</f>
        <v>NO APLICA</v>
      </c>
      <c r="AD215" s="37"/>
      <c r="AE215" s="37"/>
      <c r="AF215" s="13"/>
      <c r="AG215" s="13"/>
    </row>
    <row r="216">
      <c r="A216" s="26"/>
      <c r="B216" s="26" t="b">
        <v>0</v>
      </c>
      <c r="C216" s="26" t="b">
        <v>0</v>
      </c>
      <c r="D216" s="26" t="s">
        <v>42</v>
      </c>
      <c r="E216" s="26" t="s">
        <v>36</v>
      </c>
      <c r="F216" s="59" t="s">
        <v>736</v>
      </c>
      <c r="G216" s="39" t="s">
        <v>737</v>
      </c>
      <c r="H216" s="40" t="s">
        <v>118</v>
      </c>
      <c r="I216" s="26">
        <f t="shared" ref="I216:I217" si="23">1*I213</f>
        <v>4</v>
      </c>
      <c r="J216" s="26" t="str">
        <f>IFERROR(__xludf.DUMMYFUNCTION("VLOOKUP(G216,IMPORTRANGE(""https://docs.google.com/spreadsheets/d/12RxCea4e5ggM7QGn1XE3FbLQa_-QbCNdBi90OdPjRqg/edit?gid=1692403370#gid=1692403370"", ""'Plan de Compras'!D4:2432""), 8,0)"),"#N/A")</f>
        <v>#N/A</v>
      </c>
      <c r="K216" s="26" t="str">
        <f t="shared" si="1"/>
        <v>-</v>
      </c>
      <c r="L216" s="29"/>
      <c r="M216" s="61"/>
      <c r="N216" s="70"/>
      <c r="O216" s="32"/>
      <c r="P216" s="32"/>
      <c r="Q216" s="41"/>
      <c r="R216" s="61"/>
      <c r="S216" s="34" t="b">
        <v>0</v>
      </c>
      <c r="T216" s="35"/>
      <c r="U216" s="35"/>
      <c r="V216" s="35"/>
      <c r="W216" s="37"/>
      <c r="X216" s="37"/>
      <c r="Y216" s="32"/>
      <c r="Z216" s="38"/>
      <c r="AA216" s="38" t="str">
        <f t="shared" si="16"/>
        <v>FALSE</v>
      </c>
      <c r="AB216" s="37" t="str">
        <f>IFERROR(__xludf.DUMMYFUNCTION("IFERROR(IF(OR(C216=TRUE,C216=""""),VLOOKUP(G216,IMPORTRANGE(""https://docs.google.com/spreadsheets/d/1z9A1Wq-kKrhRNG5RS2a2fKpY1wIhSVz2ZNmP2mOl588/edit?usp=sharing"",""REQ VF!E4:H""),4,0),""NO APLICA""),""GENERAR REQ"")"),"NO APLICA")</f>
        <v>NO APLICA</v>
      </c>
      <c r="AC216" s="37" t="str">
        <f>IFERROR(__xludf.DUMMYFUNCTION("IFERROR(QUERY(IMPORTRANGE(""https://docs.google.com/spreadsheets/d/1z9A1Wq-kKrhRNG5RS2a2fKpY1wIhSVz2ZNmP2mOl588/edit?usp=sharing"",""REQ VF!E4:Q""),""SELECT Col10, Col11, Col12 WHERE Col1 = '""&amp;G216&amp;""'"",0),""NO APLICA"")"),"NO APLICA")</f>
        <v>NO APLICA</v>
      </c>
      <c r="AD216" s="37"/>
      <c r="AE216" s="37"/>
      <c r="AF216" s="8"/>
      <c r="AG216" s="13"/>
    </row>
    <row r="217">
      <c r="A217" s="26"/>
      <c r="B217" s="26" t="b">
        <v>0</v>
      </c>
      <c r="C217" s="26" t="b">
        <v>0</v>
      </c>
      <c r="D217" s="26" t="s">
        <v>42</v>
      </c>
      <c r="E217" s="26" t="s">
        <v>36</v>
      </c>
      <c r="F217" s="59" t="s">
        <v>738</v>
      </c>
      <c r="G217" s="73" t="s">
        <v>739</v>
      </c>
      <c r="H217" s="74" t="s">
        <v>371</v>
      </c>
      <c r="I217" s="75">
        <f t="shared" si="23"/>
        <v>80</v>
      </c>
      <c r="J217" s="26" t="str">
        <f>IFERROR(__xludf.DUMMYFUNCTION("VLOOKUP(G217,IMPORTRANGE(""https://docs.google.com/spreadsheets/d/12RxCea4e5ggM7QGn1XE3FbLQa_-QbCNdBi90OdPjRqg/edit?gid=1692403370#gid=1692403370"", ""'Plan de Compras'!D4:2432""), 8,0)"),"#N/A")</f>
        <v>#N/A</v>
      </c>
      <c r="K217" s="26" t="str">
        <f t="shared" si="1"/>
        <v>-</v>
      </c>
      <c r="L217" s="29"/>
      <c r="M217" s="61"/>
      <c r="N217" s="70"/>
      <c r="O217" s="32"/>
      <c r="P217" s="32"/>
      <c r="Q217" s="41"/>
      <c r="R217" s="61"/>
      <c r="S217" s="34" t="b">
        <v>0</v>
      </c>
      <c r="T217" s="35"/>
      <c r="U217" s="35"/>
      <c r="V217" s="35"/>
      <c r="W217" s="37"/>
      <c r="X217" s="37"/>
      <c r="Y217" s="32"/>
      <c r="Z217" s="38"/>
      <c r="AA217" s="38" t="str">
        <f t="shared" si="16"/>
        <v>FALSE</v>
      </c>
      <c r="AB217" s="37" t="str">
        <f>IFERROR(__xludf.DUMMYFUNCTION("IFERROR(IF(OR(C217=TRUE,C217=""""),VLOOKUP(G217,IMPORTRANGE(""https://docs.google.com/spreadsheets/d/1z9A1Wq-kKrhRNG5RS2a2fKpY1wIhSVz2ZNmP2mOl588/edit?usp=sharing"",""REQ VF!E4:H""),4,0),""NO APLICA""),""GENERAR REQ"")"),"NO APLICA")</f>
        <v>NO APLICA</v>
      </c>
      <c r="AC217" s="37" t="str">
        <f>IFERROR(__xludf.DUMMYFUNCTION("IFERROR(QUERY(IMPORTRANGE(""https://docs.google.com/spreadsheets/d/1z9A1Wq-kKrhRNG5RS2a2fKpY1wIhSVz2ZNmP2mOl588/edit?usp=sharing"",""REQ VF!E4:Q""),""SELECT Col10, Col11, Col12 WHERE Col1 = '""&amp;G217&amp;""'"",0),""NO APLICA"")"),"NO APLICA")</f>
        <v>NO APLICA</v>
      </c>
      <c r="AD217" s="37"/>
      <c r="AE217" s="37"/>
      <c r="AF217" s="8"/>
      <c r="AG217" s="13"/>
    </row>
    <row r="218">
      <c r="A218" s="26">
        <v>96.0</v>
      </c>
      <c r="B218" s="26" t="b">
        <v>1</v>
      </c>
      <c r="C218" s="26" t="b">
        <v>1</v>
      </c>
      <c r="D218" s="26" t="s">
        <v>35</v>
      </c>
      <c r="E218" s="26" t="s">
        <v>36</v>
      </c>
      <c r="F218" s="27" t="s">
        <v>740</v>
      </c>
      <c r="G218" s="39" t="s">
        <v>741</v>
      </c>
      <c r="H218" s="45" t="s">
        <v>742</v>
      </c>
      <c r="I218" s="26">
        <f>SUMIFS('Hoja 10'!$O:$O,'Hoja 10'!$F:$F,$G218)</f>
        <v>1</v>
      </c>
      <c r="J218" s="26">
        <f>IFERROR(__xludf.DUMMYFUNCTION("VLOOKUP(G218,IMPORTRANGE(""https://docs.google.com/spreadsheets/d/12RxCea4e5ggM7QGn1XE3FbLQa_-QbCNdBi90OdPjRqg/edit?gid=1692403370#gid=1692403370"", ""'Plan de Compras'!D4:2432""), 8,0)"),1.0)</f>
        <v>1</v>
      </c>
      <c r="K218" s="26" t="str">
        <f t="shared" si="1"/>
        <v>SI</v>
      </c>
      <c r="L218" s="29" t="s">
        <v>77</v>
      </c>
      <c r="M218" s="30" t="s">
        <v>78</v>
      </c>
      <c r="N218" s="70"/>
      <c r="O218" s="32" t="str">
        <f>VLOOKUP($G218,'Hoja 10'!$F$4:$AA478, 19,0)</f>
        <v>SKYMSEM</v>
      </c>
      <c r="P218" s="32" t="str">
        <f>VLOOKUP($G218,'Hoja 10'!$F$4:$AA478, 20,0)</f>
        <v>L4</v>
      </c>
      <c r="Q218" s="33" t="str">
        <f>VLOOKUP($G218,'Hoja 10'!$F$4:$AA478, 21,0)</f>
        <v>https://www.skymsen.com/es/index.php/produtos/detalhe/709913</v>
      </c>
      <c r="R218" s="30" t="s">
        <v>743</v>
      </c>
      <c r="S218" s="34" t="b">
        <v>1</v>
      </c>
      <c r="T218" s="35" t="str">
        <f>IFERROR(__xludf.DUMMYFUNCTION(" IF
( VLOOKUP($G218,IMPORTRANGE(""https://docs.google.com/spreadsheets/d/1Gpl6jkTg7sL4VDNimUm3S9Vi1i95esohXCF3wuKOE8c"", ""'CONSOLIDADO'!G5:AB""), 10, 0) &lt;&gt; 0, 
IFERROR(VLOOKUP($G218,IMPORTRANGE(""https://docs.google.com/spreadsheets/d/1Gpl6jkTg7sL4VDNimU"&amp;"m3S9Vi1i95esohXCF3wuKOE8c"", ""'CONSOLIDADO'!G5:AB""), 17, 0), ""-""),
""""
)"),"SKYMSEN")</f>
        <v>SKYMSEN</v>
      </c>
      <c r="U218" s="35" t="str">
        <f>IFERROR(__xludf.DUMMYFUNCTION(" IF
( VLOOKUP($G218,IMPORTRANGE(""https://docs.google.com/spreadsheets/d/1Gpl6jkTg7sL4VDNimUm3S9Vi1i95esohXCF3wuKOE8c"", ""'CONSOLIDADO'!G5:AB""), 10, 0) &lt;&gt; 0, 
IFERROR(VLOOKUP($G218,IMPORTRANGE(""https://docs.google.com/spreadsheets/d/1Gpl6jkTg7sL4VDNimU"&amp;"m3S9Vi1i95esohXCF3wuKOE8c"", ""'CONSOLIDADO'!G5:AB""), 18, 0), ""-""),
""""
)"),"L4")</f>
        <v>L4</v>
      </c>
      <c r="V218" s="36" t="str">
        <f>IFERROR(__xludf.DUMMYFUNCTION(" IF
( VLOOKUP($G218,IMPORTRANGE(""https://docs.google.com/spreadsheets/d/1Gpl6jkTg7sL4VDNimUm3S9Vi1i95esohXCF3wuKOE8c"", ""'CONSOLIDADO'!G5:AB""), 10, 0) &lt;&gt; 0, 
IFERROR(VLOOKUP($G218,IMPORTRANGE(""https://docs.google.com/spreadsheets/d/1Gpl6jkTg7sL4VDNimU"&amp;"m3S9Vi1i95esohXCF3wuKOE8c"", ""'CONSOLIDADO'!G5:AB""), 19, 0), ""-""),
""""
)"),"https://www.skymsen.com/es/index.php/produtos/detalhe/709913")</f>
        <v>https://www.skymsen.com/es/index.php/produtos/detalhe/709913</v>
      </c>
      <c r="W218" s="37" t="str">
        <f>IFERROR(__xludf.DUMMYFUNCTION("IFERROR(VLOOKUP(G218,IMPORTRANGE(""https://docs.google.com/spreadsheets/d/12RxCea4e5ggM7QGn1XE3FbLQa_-QbCNdBi90OdPjRqg"", ""'Plan de Compras'!D4:Q""), 12, 0), ""NO ESTÁ EN REQ"")"),"Técnica")</f>
        <v>Técnica</v>
      </c>
      <c r="X218" s="37" t="str">
        <f>IFERROR(__xludf.DUMMYFUNCTION("IFERROR(VLOOKUP(G218,IMPORTRANGE(""https://docs.google.com/spreadsheets/d/12RxCea4e5ggM7QGn1XE3FbLQa_-QbCNdBi90OdPjRqg"", ""'Plan de Compras'!D4:Q""), 13, 0), """")"),"NACIONAL")</f>
        <v>NACIONAL</v>
      </c>
      <c r="Y218" s="32" t="str">
        <f>IFERROR(__xludf.DUMMYFUNCTION("IFERROR(VLOOKUP(G218,IMPORTRANGE(""https://docs.google.com/spreadsheets/d/12RxCea4e5ggM7QGn1XE3FbLQa_-QbCNdBi90OdPjRqg"", ""'Plan de Compras'!D4:Q""), 14, 0), """")"),"DIANA")</f>
        <v>DIANA</v>
      </c>
      <c r="Z218" s="38" t="str">
        <f>IFERROR(__xludf.DUMMYFUNCTION("IFERROR(VLOOKUP(G218,IMPORTRANGE(""https://docs.google.com/spreadsheets/d/12RxCea4e5ggM7QGn1XE3FbLQa_-QbCNdBi90OdPjRqg"", ""'Plan de Compras'!D4:Q""), 4, 0), """")"),"LICUADORA INDUSTRIAL")</f>
        <v>LICUADORA INDUSTRIAL</v>
      </c>
      <c r="AA218" s="38" t="str">
        <f t="shared" si="16"/>
        <v>TRUE</v>
      </c>
      <c r="AB218" s="37" t="str">
        <f>IFERROR(__xludf.DUMMYFUNCTION("IFERROR(IF(OR(C218=TRUE,C218=""""),VLOOKUP(G218,IMPORTRANGE(""https://docs.google.com/spreadsheets/d/1z9A1Wq-kKrhRNG5RS2a2fKpY1wIhSVz2ZNmP2mOl588/edit?usp=sharing"",""REQ VF!E4:H""),4,0),""NO APLICA""),""GENERAR REQ"")"),"GENERAR REQ")</f>
        <v>GENERAR REQ</v>
      </c>
      <c r="AC218" s="37" t="str">
        <f>IFERROR(__xludf.DUMMYFUNCTION("IFERROR(QUERY(IMPORTRANGE(""https://docs.google.com/spreadsheets/d/1z9A1Wq-kKrhRNG5RS2a2fKpY1wIhSVz2ZNmP2mOl588/edit?usp=sharing"",""REQ VF!E4:Q""),""SELECT Col10, Col11, Col12 WHERE Col1 = '""&amp;G218&amp;""'"",0),""NO APLICA"")"),"NO APLICA")</f>
        <v>NO APLICA</v>
      </c>
      <c r="AD218" s="37"/>
      <c r="AE218" s="37"/>
      <c r="AF218" s="8" t="s">
        <v>52</v>
      </c>
      <c r="AG218" s="13"/>
    </row>
    <row r="219">
      <c r="A219" s="26"/>
      <c r="B219" s="26"/>
      <c r="C219" s="26" t="b">
        <v>1</v>
      </c>
      <c r="D219" s="26" t="s">
        <v>42</v>
      </c>
      <c r="E219" s="26" t="s">
        <v>36</v>
      </c>
      <c r="F219" s="27" t="s">
        <v>740</v>
      </c>
      <c r="G219" s="39" t="s">
        <v>744</v>
      </c>
      <c r="H219" s="82" t="s">
        <v>44</v>
      </c>
      <c r="I219" s="43">
        <f>$I$218</f>
        <v>1</v>
      </c>
      <c r="J219" s="26">
        <f>IFERROR(__xludf.DUMMYFUNCTION("VLOOKUP(G219,IMPORTRANGE(""https://docs.google.com/spreadsheets/d/12RxCea4e5ggM7QGn1XE3FbLQa_-QbCNdBi90OdPjRqg/edit?gid=1692403370#gid=1692403370"", ""'Plan de Compras'!D4:2432""), 8,0)"),1.0)</f>
        <v>1</v>
      </c>
      <c r="K219" s="26" t="str">
        <f t="shared" si="1"/>
        <v>SI</v>
      </c>
      <c r="L219" s="26"/>
      <c r="M219" s="61"/>
      <c r="N219" s="70"/>
      <c r="O219" s="32"/>
      <c r="P219" s="32"/>
      <c r="Q219" s="41"/>
      <c r="R219" s="32"/>
      <c r="S219" s="34" t="b">
        <v>1</v>
      </c>
      <c r="T219" s="92" t="s">
        <v>47</v>
      </c>
      <c r="U219" s="48" t="s">
        <v>745</v>
      </c>
      <c r="V219" s="93"/>
      <c r="W219" s="37" t="str">
        <f>IFERROR(__xludf.DUMMYFUNCTION("IFERROR(VLOOKUP(G219,IMPORTRANGE(""https://docs.google.com/spreadsheets/d/12RxCea4e5ggM7QGn1XE3FbLQa_-QbCNdBi90OdPjRqg"", ""'Plan de Compras'!D4:Q""), 12, 0), ""NO ESTÁ EN REQ"")"),"Simple")</f>
        <v>Simple</v>
      </c>
      <c r="X219" s="37" t="str">
        <f>IFERROR(__xludf.DUMMYFUNCTION("IFERROR(VLOOKUP(G219,IMPORTRANGE(""https://docs.google.com/spreadsheets/d/12RxCea4e5ggM7QGn1XE3FbLQa_-QbCNdBi90OdPjRqg"", ""'Plan de Compras'!D4:Q""), 13, 0), """")"),"NACIONAL")</f>
        <v>NACIONAL</v>
      </c>
      <c r="Y219" s="32" t="str">
        <f>IFERROR(__xludf.DUMMYFUNCTION("IFERROR(VLOOKUP(G219,IMPORTRANGE(""https://docs.google.com/spreadsheets/d/12RxCea4e5ggM7QGn1XE3FbLQa_-QbCNdBi90OdPjRqg"", ""'Plan de Compras'!D4:Q""), 14, 0), """")"),"ANGIE")</f>
        <v>ANGIE</v>
      </c>
      <c r="Z219" s="38" t="str">
        <f>IFERROR(__xludf.DUMMYFUNCTION("IFERROR(VLOOKUP(G219,IMPORTRANGE(""https://docs.google.com/spreadsheets/d/12RxCea4e5ggM7QGn1XE3FbLQa_-QbCNdBi90OdPjRqg"", ""'Plan de Compras'!D4:Q""), 4, 0), """")"),"FUNDA IMPERMEABLE (1 UND)")</f>
        <v>FUNDA IMPERMEABLE (1 UND)</v>
      </c>
      <c r="AA219" s="38" t="str">
        <f t="shared" si="16"/>
        <v>TRUE</v>
      </c>
      <c r="AB219" s="37" t="str">
        <f>IFERROR(__xludf.DUMMYFUNCTION("IFERROR(IF(OR(C219=TRUE,C219=""""),VLOOKUP(G219,IMPORTRANGE(""https://docs.google.com/spreadsheets/d/1z9A1Wq-kKrhRNG5RS2a2fKpY1wIhSVz2ZNmP2mOl588/edit?usp=sharing"",""REQ VF!E4:H""),4,0),""NO APLICA""),""GENERAR REQ"")"),"GENERAR REQ")</f>
        <v>GENERAR REQ</v>
      </c>
      <c r="AC219" s="37" t="str">
        <f>IFERROR(__xludf.DUMMYFUNCTION("IFERROR(QUERY(IMPORTRANGE(""https://docs.google.com/spreadsheets/d/1z9A1Wq-kKrhRNG5RS2a2fKpY1wIhSVz2ZNmP2mOl588/edit?usp=sharing"",""REQ VF!E4:Q""),""SELECT Col10, Col11, Col12 WHERE Col1 = '""&amp;G219&amp;""'"",0),""NO APLICA"")"),"NO APLICA")</f>
        <v>NO APLICA</v>
      </c>
      <c r="AD219" s="37"/>
      <c r="AE219" s="37"/>
      <c r="AF219" s="13"/>
      <c r="AG219" s="13"/>
    </row>
    <row r="220">
      <c r="A220" s="26">
        <v>97.0</v>
      </c>
      <c r="B220" s="26" t="b">
        <v>1</v>
      </c>
      <c r="C220" s="26" t="b">
        <v>1</v>
      </c>
      <c r="D220" s="26" t="s">
        <v>35</v>
      </c>
      <c r="E220" s="26" t="s">
        <v>36</v>
      </c>
      <c r="F220" s="27" t="s">
        <v>740</v>
      </c>
      <c r="G220" s="39" t="s">
        <v>746</v>
      </c>
      <c r="H220" s="45" t="s">
        <v>742</v>
      </c>
      <c r="I220" s="26">
        <f>SUMIFS('Hoja 10'!$O:$O,'Hoja 10'!$F:$F,$G220)</f>
        <v>4</v>
      </c>
      <c r="J220" s="26">
        <f>IFERROR(__xludf.DUMMYFUNCTION("VLOOKUP(G220,IMPORTRANGE(""https://docs.google.com/spreadsheets/d/12RxCea4e5ggM7QGn1XE3FbLQa_-QbCNdBi90OdPjRqg/edit?gid=1692403370#gid=1692403370"", ""'Plan de Compras'!D4:2432""), 8,0)"),4.0)</f>
        <v>4</v>
      </c>
      <c r="K220" s="26" t="str">
        <f t="shared" si="1"/>
        <v>SI</v>
      </c>
      <c r="L220" s="29" t="s">
        <v>39</v>
      </c>
      <c r="M220" s="30" t="s">
        <v>40</v>
      </c>
      <c r="N220" s="70"/>
      <c r="O220" s="32" t="str">
        <f>VLOOKUP($G220,'Hoja 10'!$F$4:$AA478, 19,0)</f>
        <v>SKYMSEM</v>
      </c>
      <c r="P220" s="32" t="str">
        <f>VLOOKUP($G220,'Hoja 10'!$F$4:$AA478, 20,0)</f>
        <v>L4</v>
      </c>
      <c r="Q220" s="33" t="str">
        <f>VLOOKUP($G220,'Hoja 10'!$F$4:$AA478, 21,0)</f>
        <v>https://www.skymsen.com/es/index.php/produtos/detalhe/709913</v>
      </c>
      <c r="R220" s="30" t="s">
        <v>747</v>
      </c>
      <c r="S220" s="34" t="b">
        <v>1</v>
      </c>
      <c r="T220" s="35" t="str">
        <f>IFERROR(__xludf.DUMMYFUNCTION(" IF
( VLOOKUP($G220,IMPORTRANGE(""https://docs.google.com/spreadsheets/d/1Gpl6jkTg7sL4VDNimUm3S9Vi1i95esohXCF3wuKOE8c"", ""'CONSOLIDADO'!G5:AB""), 10, 0) &lt;&gt; 0, 
IFERROR(VLOOKUP($G220,IMPORTRANGE(""https://docs.google.com/spreadsheets/d/1Gpl6jkTg7sL4VDNimU"&amp;"m3S9Vi1i95esohXCF3wuKOE8c"", ""'CONSOLIDADO'!G5:AB""), 17, 0), ""-""),
""""
)"),"SKYMSEN")</f>
        <v>SKYMSEN</v>
      </c>
      <c r="U220" s="35" t="str">
        <f>IFERROR(__xludf.DUMMYFUNCTION(" IF
( VLOOKUP($G220,IMPORTRANGE(""https://docs.google.com/spreadsheets/d/1Gpl6jkTg7sL4VDNimUm3S9Vi1i95esohXCF3wuKOE8c"", ""'CONSOLIDADO'!G5:AB""), 10, 0) &lt;&gt; 0, 
IFERROR(VLOOKUP($G220,IMPORTRANGE(""https://docs.google.com/spreadsheets/d/1Gpl6jkTg7sL4VDNimU"&amp;"m3S9Vi1i95esohXCF3wuKOE8c"", ""'CONSOLIDADO'!G5:AB""), 18, 0), ""-""),
""""
)"),"L4")</f>
        <v>L4</v>
      </c>
      <c r="V220" s="36" t="str">
        <f>IFERROR(__xludf.DUMMYFUNCTION(" IF
( VLOOKUP($G220,IMPORTRANGE(""https://docs.google.com/spreadsheets/d/1Gpl6jkTg7sL4VDNimUm3S9Vi1i95esohXCF3wuKOE8c"", ""'CONSOLIDADO'!G5:AB""), 10, 0) &lt;&gt; 0, 
IFERROR(VLOOKUP($G220,IMPORTRANGE(""https://docs.google.com/spreadsheets/d/1Gpl6jkTg7sL4VDNimU"&amp;"m3S9Vi1i95esohXCF3wuKOE8c"", ""'CONSOLIDADO'!G5:AB""), 19, 0), ""-""),
""""
)"),"https://www.skymsen.com/es/index.php/produtos/detalhe/709913")</f>
        <v>https://www.skymsen.com/es/index.php/produtos/detalhe/709913</v>
      </c>
      <c r="W220" s="37" t="str">
        <f>IFERROR(__xludf.DUMMYFUNCTION("IFERROR(VLOOKUP(G220,IMPORTRANGE(""https://docs.google.com/spreadsheets/d/12RxCea4e5ggM7QGn1XE3FbLQa_-QbCNdBi90OdPjRqg"", ""'Plan de Compras'!D4:Q""), 12, 0), ""NO ESTÁ EN REQ"")"),"Técnica")</f>
        <v>Técnica</v>
      </c>
      <c r="X220" s="37" t="str">
        <f>IFERROR(__xludf.DUMMYFUNCTION("IFERROR(VLOOKUP(G220,IMPORTRANGE(""https://docs.google.com/spreadsheets/d/12RxCea4e5ggM7QGn1XE3FbLQa_-QbCNdBi90OdPjRqg"", ""'Plan de Compras'!D4:Q""), 13, 0), """")"),"NACIONAL")</f>
        <v>NACIONAL</v>
      </c>
      <c r="Y220" s="32" t="str">
        <f>IFERROR(__xludf.DUMMYFUNCTION("IFERROR(VLOOKUP(G220,IMPORTRANGE(""https://docs.google.com/spreadsheets/d/12RxCea4e5ggM7QGn1XE3FbLQa_-QbCNdBi90OdPjRqg"", ""'Plan de Compras'!D4:Q""), 14, 0), """")"),"DIANA")</f>
        <v>DIANA</v>
      </c>
      <c r="Z220" s="38" t="str">
        <f>IFERROR(__xludf.DUMMYFUNCTION("IFERROR(VLOOKUP(G220,IMPORTRANGE(""https://docs.google.com/spreadsheets/d/12RxCea4e5ggM7QGn1XE3FbLQa_-QbCNdBi90OdPjRqg"", ""'Plan de Compras'!D4:Q""), 4, 0), """")"),"LICUADORA INDUSTRIAL")</f>
        <v>LICUADORA INDUSTRIAL</v>
      </c>
      <c r="AA220" s="38" t="str">
        <f t="shared" si="16"/>
        <v>TRUE</v>
      </c>
      <c r="AB220" s="37" t="str">
        <f>IFERROR(__xludf.DUMMYFUNCTION("IFERROR(IF(OR(C220=TRUE,C220=""""),VLOOKUP(G220,IMPORTRANGE(""https://docs.google.com/spreadsheets/d/1z9A1Wq-kKrhRNG5RS2a2fKpY1wIhSVz2ZNmP2mOl588/edit?usp=sharing"",""REQ VF!E4:H""),4,0),""NO APLICA""),""GENERAR REQ"")"),"GENERAR REQ")</f>
        <v>GENERAR REQ</v>
      </c>
      <c r="AC220" s="37" t="str">
        <f>IFERROR(__xludf.DUMMYFUNCTION("IFERROR(QUERY(IMPORTRANGE(""https://docs.google.com/spreadsheets/d/1z9A1Wq-kKrhRNG5RS2a2fKpY1wIhSVz2ZNmP2mOl588/edit?usp=sharing"",""REQ VF!E4:Q""),""SELECT Col10, Col11, Col12 WHERE Col1 = '""&amp;G220&amp;""'"",0),""NO APLICA"")"),"NO APLICA")</f>
        <v>NO APLICA</v>
      </c>
      <c r="AD220" s="37"/>
      <c r="AE220" s="37"/>
      <c r="AF220" s="8" t="s">
        <v>52</v>
      </c>
      <c r="AG220" s="13"/>
    </row>
    <row r="221">
      <c r="A221" s="83"/>
      <c r="B221" s="26"/>
      <c r="C221" s="26" t="b">
        <v>1</v>
      </c>
      <c r="D221" s="60" t="s">
        <v>42</v>
      </c>
      <c r="E221" s="60" t="s">
        <v>36</v>
      </c>
      <c r="F221" s="94" t="s">
        <v>740</v>
      </c>
      <c r="G221" s="39" t="s">
        <v>748</v>
      </c>
      <c r="H221" s="82" t="s">
        <v>44</v>
      </c>
      <c r="I221" s="43">
        <f>$I$220</f>
        <v>4</v>
      </c>
      <c r="J221" s="26">
        <f>IFERROR(__xludf.DUMMYFUNCTION("VLOOKUP(G221,IMPORTRANGE(""https://docs.google.com/spreadsheets/d/12RxCea4e5ggM7QGn1XE3FbLQa_-QbCNdBi90OdPjRqg/edit?gid=1692403370#gid=1692403370"", ""'Plan de Compras'!D4:2432""), 8,0)"),4.0)</f>
        <v>4</v>
      </c>
      <c r="K221" s="26" t="str">
        <f t="shared" si="1"/>
        <v>SI</v>
      </c>
      <c r="L221" s="60"/>
      <c r="M221" s="84"/>
      <c r="N221" s="42" t="s">
        <v>45</v>
      </c>
      <c r="O221" s="84"/>
      <c r="P221" s="26" t="s">
        <v>749</v>
      </c>
      <c r="Q221" s="41"/>
      <c r="R221" s="84"/>
      <c r="S221" s="34" t="b">
        <v>1</v>
      </c>
      <c r="T221" s="92" t="s">
        <v>47</v>
      </c>
      <c r="U221" s="43" t="s">
        <v>745</v>
      </c>
      <c r="V221" s="44"/>
      <c r="W221" s="37" t="str">
        <f>IFERROR(__xludf.DUMMYFUNCTION("IFERROR(VLOOKUP(G221,IMPORTRANGE(""https://docs.google.com/spreadsheets/d/12RxCea4e5ggM7QGn1XE3FbLQa_-QbCNdBi90OdPjRqg"", ""'Plan de Compras'!D4:Q""), 12, 0), ""NO ESTÁ EN REQ"")"),"Simple")</f>
        <v>Simple</v>
      </c>
      <c r="X221" s="37" t="str">
        <f>IFERROR(__xludf.DUMMYFUNCTION("IFERROR(VLOOKUP(G221,IMPORTRANGE(""https://docs.google.com/spreadsheets/d/12RxCea4e5ggM7QGn1XE3FbLQa_-QbCNdBi90OdPjRqg"", ""'Plan de Compras'!D4:Q""), 13, 0), """")"),"NACIONAL")</f>
        <v>NACIONAL</v>
      </c>
      <c r="Y221" s="32" t="str">
        <f>IFERROR(__xludf.DUMMYFUNCTION("IFERROR(VLOOKUP(G221,IMPORTRANGE(""https://docs.google.com/spreadsheets/d/12RxCea4e5ggM7QGn1XE3FbLQa_-QbCNdBi90OdPjRqg"", ""'Plan de Compras'!D4:Q""), 14, 0), """")"),"ANGIE")</f>
        <v>ANGIE</v>
      </c>
      <c r="Z221" s="38" t="str">
        <f>IFERROR(__xludf.DUMMYFUNCTION("IFERROR(VLOOKUP(G221,IMPORTRANGE(""https://docs.google.com/spreadsheets/d/12RxCea4e5ggM7QGn1XE3FbLQa_-QbCNdBi90OdPjRqg"", ""'Plan de Compras'!D4:Q""), 4, 0), """")"),"FUNDA IMPERMEABLE (1 UND)")</f>
        <v>FUNDA IMPERMEABLE (1 UND)</v>
      </c>
      <c r="AA221" s="38" t="str">
        <f t="shared" si="16"/>
        <v>TRUE</v>
      </c>
      <c r="AB221" s="37" t="str">
        <f>IFERROR(__xludf.DUMMYFUNCTION("IFERROR(IF(OR(C221=TRUE,C221=""""),VLOOKUP(G221,IMPORTRANGE(""https://docs.google.com/spreadsheets/d/1z9A1Wq-kKrhRNG5RS2a2fKpY1wIhSVz2ZNmP2mOl588/edit?usp=sharing"",""REQ VF!E4:H""),4,0),""NO APLICA""),""GENERAR REQ"")"),"GENERAR REQ")</f>
        <v>GENERAR REQ</v>
      </c>
      <c r="AC221" s="37" t="str">
        <f>IFERROR(__xludf.DUMMYFUNCTION("IFERROR(QUERY(IMPORTRANGE(""https://docs.google.com/spreadsheets/d/1z9A1Wq-kKrhRNG5RS2a2fKpY1wIhSVz2ZNmP2mOl588/edit?usp=sharing"",""REQ VF!E4:Q""),""SELECT Col10, Col11, Col12 WHERE Col1 = '""&amp;G221&amp;""'"",0),""NO APLICA"")"),"NO APLICA")</f>
        <v>NO APLICA</v>
      </c>
      <c r="AD221" s="37"/>
      <c r="AE221" s="37"/>
      <c r="AF221" s="13"/>
      <c r="AG221" s="13"/>
    </row>
    <row r="222">
      <c r="A222" s="26">
        <v>98.0</v>
      </c>
      <c r="B222" s="26" t="b">
        <v>1</v>
      </c>
      <c r="C222" s="26" t="b">
        <v>1</v>
      </c>
      <c r="D222" s="26" t="s">
        <v>35</v>
      </c>
      <c r="E222" s="26" t="s">
        <v>36</v>
      </c>
      <c r="F222" s="27" t="s">
        <v>750</v>
      </c>
      <c r="G222" s="39" t="s">
        <v>750</v>
      </c>
      <c r="H222" s="45" t="s">
        <v>751</v>
      </c>
      <c r="I222" s="26">
        <f>SUMIFS('Hoja 10'!$O:$O,'Hoja 10'!$F:$F,$G222)</f>
        <v>2</v>
      </c>
      <c r="J222" s="26">
        <f>IFERROR(__xludf.DUMMYFUNCTION("VLOOKUP(G222,IMPORTRANGE(""https://docs.google.com/spreadsheets/d/12RxCea4e5ggM7QGn1XE3FbLQa_-QbCNdBi90OdPjRqg/edit?gid=1692403370#gid=1692403370"", ""'Plan de Compras'!D4:2432""), 8,0)"),2.0)</f>
        <v>2</v>
      </c>
      <c r="K222" s="26" t="str">
        <f t="shared" si="1"/>
        <v>SI</v>
      </c>
      <c r="L222" s="29" t="s">
        <v>296</v>
      </c>
      <c r="M222" s="30" t="s">
        <v>297</v>
      </c>
      <c r="N222" s="42"/>
      <c r="O222" s="32" t="str">
        <f>VLOOKUP($G222,'Hoja 10'!$F$4:$AA478, 19,0)</f>
        <v>HOLZSTAR</v>
      </c>
      <c r="P222" s="32" t="str">
        <f>VLOOKUP($G222,'Hoja 10'!$F$4:$AA478, 20,0)</f>
        <v>BTS 200</v>
      </c>
      <c r="Q222" s="33" t="str">
        <f>VLOOKUP($G222,'Hoja 10'!$F$4:$AA478, 21,0)</f>
        <v>https://www.aslak.es/madera/5902200-lijadora-con-brazo-inclinable-bts-200.html</v>
      </c>
      <c r="R222" s="30" t="s">
        <v>752</v>
      </c>
      <c r="S222" s="34" t="b">
        <v>1</v>
      </c>
      <c r="T222" s="35" t="str">
        <f>IFERROR(__xludf.DUMMYFUNCTION(" IF
( VLOOKUP($G222,IMPORTRANGE(""https://docs.google.com/spreadsheets/d/1Gpl6jkTg7sL4VDNimUm3S9Vi1i95esohXCF3wuKOE8c"", ""'CONSOLIDADO'!G5:AB""), 10, 0) &lt;&gt; 0, 
IFERROR(VLOOKUP($G222,IMPORTRANGE(""https://docs.google.com/spreadsheets/d/1Gpl6jkTg7sL4VDNimU"&amp;"m3S9Vi1i95esohXCF3wuKOE8c"", ""'CONSOLIDADO'!G5:AB""), 17, 0), ""-""),
""""
)"),"HOLZSTAR")</f>
        <v>HOLZSTAR</v>
      </c>
      <c r="U222" s="35" t="str">
        <f>IFERROR(__xludf.DUMMYFUNCTION(" IF
( VLOOKUP($G222,IMPORTRANGE(""https://docs.google.com/spreadsheets/d/1Gpl6jkTg7sL4VDNimUm3S9Vi1i95esohXCF3wuKOE8c"", ""'CONSOLIDADO'!G5:AB""), 10, 0) &lt;&gt; 0, 
IFERROR(VLOOKUP($G222,IMPORTRANGE(""https://docs.google.com/spreadsheets/d/1Gpl6jkTg7sL4VDNimU"&amp;"m3S9Vi1i95esohXCF3wuKOE8c"", ""'CONSOLIDADO'!G5:AB""), 18, 0), ""-""),
""""
)"),"BTS 201")</f>
        <v>BTS 201</v>
      </c>
      <c r="V222" s="36" t="str">
        <f>IFERROR(__xludf.DUMMYFUNCTION(" IF
( VLOOKUP($G222,IMPORTRANGE(""https://docs.google.com/spreadsheets/d/1Gpl6jkTg7sL4VDNimUm3S9Vi1i95esohXCF3wuKOE8c"", ""'CONSOLIDADO'!G5:AB""), 10, 0) &lt;&gt; 0, 
IFERROR(VLOOKUP($G222,IMPORTRANGE(""https://docs.google.com/spreadsheets/d/1Gpl6jkTg7sL4VDNimU"&amp;"m3S9Vi1i95esohXCF3wuKOE8c"", ""'CONSOLIDADO'!G5:AB""), 19, 0), ""-""),
""""
)"),"https://www.stuermer-machines.com/search/productdetail/?tx_stuermerprodukte_pi1%5Baction%5D=show&amp;tx_stuermerprodukte_pi1%5Bcontroller%5D=Produkt&amp;tx_stuermerprodukte_pi1%5Bprodukt%5D=5903201&amp;tx_stuermerprodukte_pi1%5Btaxo%5D=10006&amp;tx_stuermerprodukte_pi1%5"&amp;"Bsearch%5D=1&amp;tx_stuermerprodukte_pi1%5BL%5D=1&amp;cHash=b0757ee58159d1cfae7a7b08d3aa2b16#stp-product-rel-tools-assets")</f>
        <v>https://www.stuermer-machines.com/search/productdetail/?tx_stuermerprodukte_pi1%5Baction%5D=show&amp;tx_stuermerprodukte_pi1%5Bcontroller%5D=Produkt&amp;tx_stuermerprodukte_pi1%5Bprodukt%5D=5903201&amp;tx_stuermerprodukte_pi1%5Btaxo%5D=10006&amp;tx_stuermerprodukte_pi1%5Bsearch%5D=1&amp;tx_stuermerprodukte_pi1%5BL%5D=1&amp;cHash=b0757ee58159d1cfae7a7b08d3aa2b16#stp-product-rel-tools-assets</v>
      </c>
      <c r="W222" s="37" t="str">
        <f>IFERROR(__xludf.DUMMYFUNCTION("IFERROR(VLOOKUP(G222,IMPORTRANGE(""https://docs.google.com/spreadsheets/d/12RxCea4e5ggM7QGn1XE3FbLQa_-QbCNdBi90OdPjRqg"", ""'Plan de Compras'!D4:Q""), 12, 0), ""NO ESTÁ EN REQ"")"),"Técnica")</f>
        <v>Técnica</v>
      </c>
      <c r="X222" s="37" t="str">
        <f>IFERROR(__xludf.DUMMYFUNCTION("IFERROR(VLOOKUP(G222,IMPORTRANGE(""https://docs.google.com/spreadsheets/d/12RxCea4e5ggM7QGn1XE3FbLQa_-QbCNdBi90OdPjRqg"", ""'Plan de Compras'!D4:Q""), 13, 0), """")"),"INTERNACIONAL")</f>
        <v>INTERNACIONAL</v>
      </c>
      <c r="Y222" s="32" t="str">
        <f>IFERROR(__xludf.DUMMYFUNCTION("IFERROR(VLOOKUP(G222,IMPORTRANGE(""https://docs.google.com/spreadsheets/d/12RxCea4e5ggM7QGn1XE3FbLQa_-QbCNdBi90OdPjRqg"", ""'Plan de Compras'!D4:Q""), 14, 0), """")"),"GEYDI")</f>
        <v>GEYDI</v>
      </c>
      <c r="Z222" s="38" t="str">
        <f>IFERROR(__xludf.DUMMYFUNCTION("IFERROR(VLOOKUP(G222,IMPORTRANGE(""https://docs.google.com/spreadsheets/d/12RxCea4e5ggM7QGn1XE3FbLQa_-QbCNdBi90OdPjRqg"", ""'Plan de Compras'!D4:Q""), 4, 0), """")"),"LIJADORA DE BANDA Y DISCO DE MESA")</f>
        <v>LIJADORA DE BANDA Y DISCO DE MESA</v>
      </c>
      <c r="AA222" s="38" t="str">
        <f t="shared" si="16"/>
        <v>TRUE</v>
      </c>
      <c r="AB222" s="37" t="str">
        <f>IFERROR(__xludf.DUMMYFUNCTION("IFERROR(IF(OR(C222=TRUE,C222=""""),VLOOKUP(G222,IMPORTRANGE(""https://docs.google.com/spreadsheets/d/1z9A1Wq-kKrhRNG5RS2a2fKpY1wIhSVz2ZNmP2mOl588/edit?usp=sharing"",""REQ VF!E4:H""),4,0),""NO APLICA""),""GENERAR REQ"")"),"GENERAR REQ")</f>
        <v>GENERAR REQ</v>
      </c>
      <c r="AC222" s="37" t="str">
        <f>IFERROR(__xludf.DUMMYFUNCTION("IFERROR(QUERY(IMPORTRANGE(""https://docs.google.com/spreadsheets/d/1z9A1Wq-kKrhRNG5RS2a2fKpY1wIhSVz2ZNmP2mOl588/edit?usp=sharing"",""REQ VF!E4:Q""),""SELECT Col10, Col11, Col12 WHERE Col1 = '""&amp;G222&amp;""'"",0),""NO APLICA"")"),"NO APLICA")</f>
        <v>NO APLICA</v>
      </c>
      <c r="AD222" s="37"/>
      <c r="AE222" s="37"/>
      <c r="AF222" s="13"/>
      <c r="AG222" s="13"/>
    </row>
    <row r="223">
      <c r="A223" s="26">
        <v>99.0</v>
      </c>
      <c r="B223" s="26" t="b">
        <v>1</v>
      </c>
      <c r="C223" s="26" t="b">
        <v>1</v>
      </c>
      <c r="D223" s="26" t="s">
        <v>35</v>
      </c>
      <c r="E223" s="26" t="s">
        <v>36</v>
      </c>
      <c r="F223" s="27" t="s">
        <v>753</v>
      </c>
      <c r="G223" s="39" t="s">
        <v>753</v>
      </c>
      <c r="H223" s="45" t="s">
        <v>754</v>
      </c>
      <c r="I223" s="26">
        <f>SUMIFS('Hoja 10'!$O:$O,'Hoja 10'!$F:$F,$G223)</f>
        <v>8</v>
      </c>
      <c r="J223" s="26">
        <f>IFERROR(__xludf.DUMMYFUNCTION("VLOOKUP(G223,IMPORTRANGE(""https://docs.google.com/spreadsheets/d/12RxCea4e5ggM7QGn1XE3FbLQa_-QbCNdBi90OdPjRqg/edit?gid=1692403370#gid=1692403370"", ""'Plan de Compras'!D4:2432""), 8,0)"),8.0)</f>
        <v>8</v>
      </c>
      <c r="K223" s="26" t="str">
        <f t="shared" si="1"/>
        <v>SI</v>
      </c>
      <c r="L223" s="29" t="s">
        <v>296</v>
      </c>
      <c r="M223" s="30" t="s">
        <v>297</v>
      </c>
      <c r="N223" s="42"/>
      <c r="O223" s="32" t="str">
        <f>VLOOKUP($G223,'Hoja 10'!$F$4:$AA478, 19,0)</f>
        <v>MAKITA</v>
      </c>
      <c r="P223" s="32" t="str">
        <f>VLOOKUP($G223,'Hoja 10'!$F$4:$AA478, 20,0)</f>
        <v>BO3711</v>
      </c>
      <c r="Q223" s="33" t="str">
        <f>VLOOKUP($G223,'Hoja 10'!$F$4:$AA478, 21,0)</f>
        <v>https://www.makita.es/data/sr/productinfo/generated/bo3711_3.pdf</v>
      </c>
      <c r="R223" s="30" t="s">
        <v>755</v>
      </c>
      <c r="S223" s="34" t="b">
        <v>1</v>
      </c>
      <c r="T223" s="35" t="str">
        <f>IFERROR(__xludf.DUMMYFUNCTION(" IF
( VLOOKUP($G223,IMPORTRANGE(""https://docs.google.com/spreadsheets/d/1Gpl6jkTg7sL4VDNimUm3S9Vi1i95esohXCF3wuKOE8c"", ""'CONSOLIDADO'!G5:AB""), 10, 0) &lt;&gt; 0, 
IFERROR(VLOOKUP($G223,IMPORTRANGE(""https://docs.google.com/spreadsheets/d/1Gpl6jkTg7sL4VDNimU"&amp;"m3S9Vi1i95esohXCF3wuKOE8c"", ""'CONSOLIDADO'!G5:AB""), 17, 0), ""-""),
""""
)"),"MAKITA")</f>
        <v>MAKITA</v>
      </c>
      <c r="U223" s="35" t="str">
        <f>IFERROR(__xludf.DUMMYFUNCTION(" IF
( VLOOKUP($G223,IMPORTRANGE(""https://docs.google.com/spreadsheets/d/1Gpl6jkTg7sL4VDNimUm3S9Vi1i95esohXCF3wuKOE8c"", ""'CONSOLIDADO'!G5:AB""), 10, 0) &lt;&gt; 0, 
IFERROR(VLOOKUP($G223,IMPORTRANGE(""https://docs.google.com/spreadsheets/d/1Gpl6jkTg7sL4VDNimU"&amp;"m3S9Vi1i95esohXCF3wuKOE8c"", ""'CONSOLIDADO'!G5:AB""), 18, 0), ""-""),
""""
)"),"BO3711")</f>
        <v>BO3711</v>
      </c>
      <c r="V223" s="36" t="str">
        <f>IFERROR(__xludf.DUMMYFUNCTION(" IF
( VLOOKUP($G223,IMPORTRANGE(""https://docs.google.com/spreadsheets/d/1Gpl6jkTg7sL4VDNimUm3S9Vi1i95esohXCF3wuKOE8c"", ""'CONSOLIDADO'!G5:AB""), 10, 0) &lt;&gt; 0, 
IFERROR(VLOOKUP($G223,IMPORTRANGE(""https://docs.google.com/spreadsheets/d/1Gpl6jkTg7sL4VDNimU"&amp;"m3S9Vi1i95esohXCF3wuKOE8c"", ""'CONSOLIDADO'!G5:AB""), 19, 0), ""-""),
""""
)"),"https://www.makita.es/product/bo3711.html")</f>
        <v>https://www.makita.es/product/bo3711.html</v>
      </c>
      <c r="W223" s="37" t="str">
        <f>IFERROR(__xludf.DUMMYFUNCTION("IFERROR(VLOOKUP(G223,IMPORTRANGE(""https://docs.google.com/spreadsheets/d/12RxCea4e5ggM7QGn1XE3FbLQa_-QbCNdBi90OdPjRqg"", ""'Plan de Compras'!D4:Q""), 12, 0), ""NO ESTÁ EN REQ"")"),"Técnica")</f>
        <v>Técnica</v>
      </c>
      <c r="X223" s="37" t="str">
        <f>IFERROR(__xludf.DUMMYFUNCTION("IFERROR(VLOOKUP(G223,IMPORTRANGE(""https://docs.google.com/spreadsheets/d/12RxCea4e5ggM7QGn1XE3FbLQa_-QbCNdBi90OdPjRqg"", ""'Plan de Compras'!D4:Q""), 13, 0), """")"),"INTERNACIONAL")</f>
        <v>INTERNACIONAL</v>
      </c>
      <c r="Y223" s="32" t="str">
        <f>IFERROR(__xludf.DUMMYFUNCTION("IFERROR(VLOOKUP(G223,IMPORTRANGE(""https://docs.google.com/spreadsheets/d/12RxCea4e5ggM7QGn1XE3FbLQa_-QbCNdBi90OdPjRqg"", ""'Plan de Compras'!D4:Q""), 14, 0), """")"),"VICTOR")</f>
        <v>VICTOR</v>
      </c>
      <c r="Z223" s="38" t="str">
        <f>IFERROR(__xludf.DUMMYFUNCTION("IFERROR(VLOOKUP(G223,IMPORTRANGE(""https://docs.google.com/spreadsheets/d/12RxCea4e5ggM7QGn1XE3FbLQa_-QbCNdBi90OdPjRqg"", ""'Plan de Compras'!D4:Q""), 4, 0), """")"),"LIJADORA ORBITAL PORTÁTIL")</f>
        <v>LIJADORA ORBITAL PORTÁTIL</v>
      </c>
      <c r="AA223" s="38" t="str">
        <f t="shared" si="16"/>
        <v>TRUE</v>
      </c>
      <c r="AB223" s="37" t="str">
        <f>IFERROR(__xludf.DUMMYFUNCTION("IFERROR(IF(OR(C223=TRUE,C223=""""),VLOOKUP(G223,IMPORTRANGE(""https://docs.google.com/spreadsheets/d/1z9A1Wq-kKrhRNG5RS2a2fKpY1wIhSVz2ZNmP2mOl588/edit?usp=sharing"",""REQ VF!E4:H""),4,0),""NO APLICA""),""GENERAR REQ"")"),"GENERAR REQ")</f>
        <v>GENERAR REQ</v>
      </c>
      <c r="AC223" s="37" t="str">
        <f>IFERROR(__xludf.DUMMYFUNCTION("IFERROR(QUERY(IMPORTRANGE(""https://docs.google.com/spreadsheets/d/1z9A1Wq-kKrhRNG5RS2a2fKpY1wIhSVz2ZNmP2mOl588/edit?usp=sharing"",""REQ VF!E4:Q""),""SELECT Col10, Col11, Col12 WHERE Col1 = '""&amp;G223&amp;""'"",0),""NO APLICA"")"),"NO APLICA")</f>
        <v>NO APLICA</v>
      </c>
      <c r="AD223" s="37"/>
      <c r="AE223" s="37"/>
      <c r="AF223" s="8" t="s">
        <v>52</v>
      </c>
      <c r="AG223" s="13"/>
    </row>
    <row r="224">
      <c r="A224" s="26"/>
      <c r="B224" s="26"/>
      <c r="C224" s="26" t="b">
        <v>1</v>
      </c>
      <c r="D224" s="26" t="s">
        <v>42</v>
      </c>
      <c r="E224" s="26" t="s">
        <v>36</v>
      </c>
      <c r="F224" s="59" t="s">
        <v>753</v>
      </c>
      <c r="G224" s="39" t="s">
        <v>756</v>
      </c>
      <c r="H224" s="40" t="s">
        <v>757</v>
      </c>
      <c r="I224" s="43">
        <f t="shared" ref="I224:I226" si="24">$I$223</f>
        <v>8</v>
      </c>
      <c r="J224" s="26">
        <f>IFERROR(__xludf.DUMMYFUNCTION("VLOOKUP(G224,IMPORTRANGE(""https://docs.google.com/spreadsheets/d/12RxCea4e5ggM7QGn1XE3FbLQa_-QbCNdBi90OdPjRqg/edit?gid=1692403370#gid=1692403370"", ""'Plan de Compras'!D4:2432""), 8,0)"),8.0)</f>
        <v>8</v>
      </c>
      <c r="K224" s="26" t="str">
        <f t="shared" si="1"/>
        <v>SI</v>
      </c>
      <c r="L224" s="26"/>
      <c r="M224" s="47"/>
      <c r="N224" s="60" t="s">
        <v>166</v>
      </c>
      <c r="O224" s="42"/>
      <c r="P224" s="42"/>
      <c r="Q224" s="54" t="s">
        <v>758</v>
      </c>
      <c r="R224" s="47"/>
      <c r="S224" s="34" t="b">
        <v>1</v>
      </c>
      <c r="T224" s="35" t="s">
        <v>759</v>
      </c>
      <c r="U224" s="35" t="s">
        <v>760</v>
      </c>
      <c r="V224" s="44"/>
      <c r="W224" s="37" t="str">
        <f>IFERROR(__xludf.DUMMYFUNCTION("IFERROR(VLOOKUP(G224,IMPORTRANGE(""https://docs.google.com/spreadsheets/d/12RxCea4e5ggM7QGn1XE3FbLQa_-QbCNdBi90OdPjRqg"", ""'Plan de Compras'!D4:Q""), 12, 0), ""NO ESTÁ EN REQ"")"),"Técnica")</f>
        <v>Técnica</v>
      </c>
      <c r="X224" s="37" t="str">
        <f>IFERROR(__xludf.DUMMYFUNCTION("IFERROR(VLOOKUP(G224,IMPORTRANGE(""https://docs.google.com/spreadsheets/d/12RxCea4e5ggM7QGn1XE3FbLQa_-QbCNdBi90OdPjRqg"", ""'Plan de Compras'!D4:Q""), 13, 0), """")"),"INTERNACIONAL")</f>
        <v>INTERNACIONAL</v>
      </c>
      <c r="Y224" s="32" t="str">
        <f>IFERROR(__xludf.DUMMYFUNCTION("IFERROR(VLOOKUP(G224,IMPORTRANGE(""https://docs.google.com/spreadsheets/d/12RxCea4e5ggM7QGn1XE3FbLQa_-QbCNdBi90OdPjRqg"", ""'Plan de Compras'!D4:Q""), 14, 0), """")"),"VICTOR")</f>
        <v>VICTOR</v>
      </c>
      <c r="Z224" s="38" t="str">
        <f>IFERROR(__xludf.DUMMYFUNCTION("IFERROR(VLOOKUP(G224,IMPORTRANGE(""https://docs.google.com/spreadsheets/d/12RxCea4e5ggM7QGn1XE3FbLQa_-QbCNdBi90OdPjRqg"", ""'Plan de Compras'!D4:Q""), 4, 0), """")"),"PAPEL ABRASIVO (1 UND)")</f>
        <v>PAPEL ABRASIVO (1 UND)</v>
      </c>
      <c r="AA224" s="38" t="str">
        <f t="shared" si="16"/>
        <v>TRUE</v>
      </c>
      <c r="AB224" s="37" t="str">
        <f>IFERROR(__xludf.DUMMYFUNCTION("IFERROR(IF(OR(C224=TRUE,C224=""""),VLOOKUP(G224,IMPORTRANGE(""https://docs.google.com/spreadsheets/d/1z9A1Wq-kKrhRNG5RS2a2fKpY1wIhSVz2ZNmP2mOl588/edit?usp=sharing"",""REQ VF!E4:H""),4,0),""NO APLICA""),""GENERAR REQ"")"),"GENERAR REQ")</f>
        <v>GENERAR REQ</v>
      </c>
      <c r="AC224" s="37" t="str">
        <f>IFERROR(__xludf.DUMMYFUNCTION("IFERROR(QUERY(IMPORTRANGE(""https://docs.google.com/spreadsheets/d/1z9A1Wq-kKrhRNG5RS2a2fKpY1wIhSVz2ZNmP2mOl588/edit?usp=sharing"",""REQ VF!E4:Q""),""SELECT Col10, Col11, Col12 WHERE Col1 = '""&amp;G224&amp;""'"",0),""NO APLICA"")"),"NO APLICA")</f>
        <v>NO APLICA</v>
      </c>
      <c r="AD224" s="37"/>
      <c r="AE224" s="37"/>
      <c r="AF224" s="13"/>
      <c r="AG224" s="13"/>
    </row>
    <row r="225">
      <c r="A225" s="26"/>
      <c r="B225" s="26"/>
      <c r="C225" s="26" t="b">
        <v>1</v>
      </c>
      <c r="D225" s="26" t="s">
        <v>42</v>
      </c>
      <c r="E225" s="26" t="s">
        <v>36</v>
      </c>
      <c r="F225" s="59" t="s">
        <v>753</v>
      </c>
      <c r="G225" s="39" t="s">
        <v>761</v>
      </c>
      <c r="H225" s="40" t="s">
        <v>762</v>
      </c>
      <c r="I225" s="43">
        <f t="shared" si="24"/>
        <v>8</v>
      </c>
      <c r="J225" s="26">
        <f>IFERROR(__xludf.DUMMYFUNCTION("VLOOKUP(G225,IMPORTRANGE(""https://docs.google.com/spreadsheets/d/12RxCea4e5ggM7QGn1XE3FbLQa_-QbCNdBi90OdPjRqg/edit?gid=1692403370#gid=1692403370"", ""'Plan de Compras'!D4:2432""), 8,0)"),8.0)</f>
        <v>8</v>
      </c>
      <c r="K225" s="26" t="str">
        <f t="shared" si="1"/>
        <v>SI</v>
      </c>
      <c r="L225" s="26"/>
      <c r="M225" s="47"/>
      <c r="N225" s="60" t="s">
        <v>166</v>
      </c>
      <c r="O225" s="42"/>
      <c r="P225" s="42"/>
      <c r="Q225" s="54" t="s">
        <v>758</v>
      </c>
      <c r="R225" s="47"/>
      <c r="S225" s="34" t="b">
        <v>1</v>
      </c>
      <c r="T225" s="35" t="s">
        <v>759</v>
      </c>
      <c r="U225" s="35" t="s">
        <v>763</v>
      </c>
      <c r="V225" s="44"/>
      <c r="W225" s="37" t="str">
        <f>IFERROR(__xludf.DUMMYFUNCTION("IFERROR(VLOOKUP(G225,IMPORTRANGE(""https://docs.google.com/spreadsheets/d/12RxCea4e5ggM7QGn1XE3FbLQa_-QbCNdBi90OdPjRqg"", ""'Plan de Compras'!D4:Q""), 12, 0), ""NO ESTÁ EN REQ"")"),"Técnica")</f>
        <v>Técnica</v>
      </c>
      <c r="X225" s="37" t="str">
        <f>IFERROR(__xludf.DUMMYFUNCTION("IFERROR(VLOOKUP(G225,IMPORTRANGE(""https://docs.google.com/spreadsheets/d/12RxCea4e5ggM7QGn1XE3FbLQa_-QbCNdBi90OdPjRqg"", ""'Plan de Compras'!D4:Q""), 13, 0), """")"),"INTERNACIONAL")</f>
        <v>INTERNACIONAL</v>
      </c>
      <c r="Y225" s="32" t="str">
        <f>IFERROR(__xludf.DUMMYFUNCTION("IFERROR(VLOOKUP(G225,IMPORTRANGE(""https://docs.google.com/spreadsheets/d/12RxCea4e5ggM7QGn1XE3FbLQa_-QbCNdBi90OdPjRqg"", ""'Plan de Compras'!D4:Q""), 14, 0), """")"),"VICTOR")</f>
        <v>VICTOR</v>
      </c>
      <c r="Z225" s="38" t="str">
        <f>IFERROR(__xludf.DUMMYFUNCTION("IFERROR(VLOOKUP(G225,IMPORTRANGE(""https://docs.google.com/spreadsheets/d/12RxCea4e5ggM7QGn1XE3FbLQa_-QbCNdBi90OdPjRqg"", ""'Plan de Compras'!D4:Q""), 4, 0), """")"),"PAPEL ABRASIVO TIPO VELCRO (1 UND)")</f>
        <v>PAPEL ABRASIVO TIPO VELCRO (1 UND)</v>
      </c>
      <c r="AA225" s="38" t="str">
        <f t="shared" si="16"/>
        <v>TRUE</v>
      </c>
      <c r="AB225" s="37" t="str">
        <f>IFERROR(__xludf.DUMMYFUNCTION("IFERROR(IF(OR(C225=TRUE,C225=""""),VLOOKUP(G225,IMPORTRANGE(""https://docs.google.com/spreadsheets/d/1z9A1Wq-kKrhRNG5RS2a2fKpY1wIhSVz2ZNmP2mOl588/edit?usp=sharing"",""REQ VF!E4:H""),4,0),""NO APLICA""),""GENERAR REQ"")"),"GENERAR REQ")</f>
        <v>GENERAR REQ</v>
      </c>
      <c r="AC225" s="37" t="str">
        <f>IFERROR(__xludf.DUMMYFUNCTION("IFERROR(QUERY(IMPORTRANGE(""https://docs.google.com/spreadsheets/d/1z9A1Wq-kKrhRNG5RS2a2fKpY1wIhSVz2ZNmP2mOl588/edit?usp=sharing"",""REQ VF!E4:Q""),""SELECT Col10, Col11, Col12 WHERE Col1 = '""&amp;G225&amp;""'"",0),""NO APLICA"")"),"NO APLICA")</f>
        <v>NO APLICA</v>
      </c>
      <c r="AD225" s="37"/>
      <c r="AE225" s="37"/>
      <c r="AF225" s="13"/>
      <c r="AG225" s="13"/>
    </row>
    <row r="226">
      <c r="A226" s="26"/>
      <c r="B226" s="26"/>
      <c r="C226" s="26" t="b">
        <v>1</v>
      </c>
      <c r="D226" s="26" t="s">
        <v>42</v>
      </c>
      <c r="E226" s="26" t="s">
        <v>36</v>
      </c>
      <c r="F226" s="59" t="s">
        <v>753</v>
      </c>
      <c r="G226" s="39" t="s">
        <v>764</v>
      </c>
      <c r="H226" s="40" t="s">
        <v>765</v>
      </c>
      <c r="I226" s="43">
        <f t="shared" si="24"/>
        <v>8</v>
      </c>
      <c r="J226" s="26">
        <f>IFERROR(__xludf.DUMMYFUNCTION("VLOOKUP(G226,IMPORTRANGE(""https://docs.google.com/spreadsheets/d/12RxCea4e5ggM7QGn1XE3FbLQa_-QbCNdBi90OdPjRqg/edit?gid=1692403370#gid=1692403370"", ""'Plan de Compras'!D4:2432""), 8,0)"),8.0)</f>
        <v>8</v>
      </c>
      <c r="K226" s="26" t="str">
        <f t="shared" si="1"/>
        <v>SI</v>
      </c>
      <c r="L226" s="26"/>
      <c r="M226" s="47"/>
      <c r="N226" s="60" t="s">
        <v>166</v>
      </c>
      <c r="O226" s="42"/>
      <c r="P226" s="42"/>
      <c r="Q226" s="54" t="s">
        <v>758</v>
      </c>
      <c r="R226" s="47"/>
      <c r="S226" s="34" t="b">
        <v>1</v>
      </c>
      <c r="T226" s="35" t="s">
        <v>759</v>
      </c>
      <c r="U226" s="35" t="s">
        <v>766</v>
      </c>
      <c r="V226" s="44"/>
      <c r="W226" s="37" t="str">
        <f>IFERROR(__xludf.DUMMYFUNCTION("IFERROR(VLOOKUP(G226,IMPORTRANGE(""https://docs.google.com/spreadsheets/d/12RxCea4e5ggM7QGn1XE3FbLQa_-QbCNdBi90OdPjRqg"", ""'Plan de Compras'!D4:Q""), 12, 0), ""NO ESTÁ EN REQ"")"),"Técnica")</f>
        <v>Técnica</v>
      </c>
      <c r="X226" s="37" t="str">
        <f>IFERROR(__xludf.DUMMYFUNCTION("IFERROR(VLOOKUP(G226,IMPORTRANGE(""https://docs.google.com/spreadsheets/d/12RxCea4e5ggM7QGn1XE3FbLQa_-QbCNdBi90OdPjRqg"", ""'Plan de Compras'!D4:Q""), 13, 0), """")"),"INTERNACIONAL")</f>
        <v>INTERNACIONAL</v>
      </c>
      <c r="Y226" s="32" t="str">
        <f>IFERROR(__xludf.DUMMYFUNCTION("IFERROR(VLOOKUP(G226,IMPORTRANGE(""https://docs.google.com/spreadsheets/d/12RxCea4e5ggM7QGn1XE3FbLQa_-QbCNdBi90OdPjRqg"", ""'Plan de Compras'!D4:Q""), 14, 0), """")"),"VICTOR")</f>
        <v>VICTOR</v>
      </c>
      <c r="Z226" s="38" t="str">
        <f>IFERROR(__xludf.DUMMYFUNCTION("IFERROR(VLOOKUP(G226,IMPORTRANGE(""https://docs.google.com/spreadsheets/d/12RxCea4e5ggM7QGn1XE3FbLQa_-QbCNdBi90OdPjRqg"", ""'Plan de Compras'!D4:Q""), 4, 0), """")"),"PLACA PERFORADORA (1 UND)")</f>
        <v>PLACA PERFORADORA (1 UND)</v>
      </c>
      <c r="AA226" s="38" t="str">
        <f t="shared" si="16"/>
        <v>TRUE</v>
      </c>
      <c r="AB226" s="37" t="str">
        <f>IFERROR(__xludf.DUMMYFUNCTION("IFERROR(IF(OR(C226=TRUE,C226=""""),VLOOKUP(G226,IMPORTRANGE(""https://docs.google.com/spreadsheets/d/1z9A1Wq-kKrhRNG5RS2a2fKpY1wIhSVz2ZNmP2mOl588/edit?usp=sharing"",""REQ VF!E4:H""),4,0),""NO APLICA""),""GENERAR REQ"")"),"GENERAR REQ")</f>
        <v>GENERAR REQ</v>
      </c>
      <c r="AC226" s="37" t="str">
        <f>IFERROR(__xludf.DUMMYFUNCTION("IFERROR(QUERY(IMPORTRANGE(""https://docs.google.com/spreadsheets/d/1z9A1Wq-kKrhRNG5RS2a2fKpY1wIhSVz2ZNmP2mOl588/edit?usp=sharing"",""REQ VF!E4:Q""),""SELECT Col10, Col11, Col12 WHERE Col1 = '""&amp;G226&amp;""'"",0),""NO APLICA"")"),"NO APLICA")</f>
        <v>NO APLICA</v>
      </c>
      <c r="AD226" s="37"/>
      <c r="AE226" s="37"/>
      <c r="AF226" s="13"/>
      <c r="AG226" s="13"/>
    </row>
    <row r="227">
      <c r="A227" s="26"/>
      <c r="B227" s="26"/>
      <c r="C227" s="26" t="b">
        <v>1</v>
      </c>
      <c r="D227" s="26" t="s">
        <v>42</v>
      </c>
      <c r="E227" s="26" t="s">
        <v>36</v>
      </c>
      <c r="F227" s="59" t="s">
        <v>753</v>
      </c>
      <c r="G227" s="39" t="s">
        <v>767</v>
      </c>
      <c r="H227" s="40" t="s">
        <v>768</v>
      </c>
      <c r="I227" s="43">
        <f>$I$223*2</f>
        <v>16</v>
      </c>
      <c r="J227" s="26">
        <f>IFERROR(__xludf.DUMMYFUNCTION("VLOOKUP(G227,IMPORTRANGE(""https://docs.google.com/spreadsheets/d/12RxCea4e5ggM7QGn1XE3FbLQa_-QbCNdBi90OdPjRqg/edit?gid=1692403370#gid=1692403370"", ""'Plan de Compras'!D4:2432""), 8,0)"),16.0)</f>
        <v>16</v>
      </c>
      <c r="K227" s="26" t="str">
        <f t="shared" si="1"/>
        <v>SI</v>
      </c>
      <c r="L227" s="26"/>
      <c r="M227" s="47"/>
      <c r="N227" s="60" t="s">
        <v>166</v>
      </c>
      <c r="O227" s="42"/>
      <c r="P227" s="42"/>
      <c r="Q227" s="54" t="s">
        <v>758</v>
      </c>
      <c r="R227" s="47"/>
      <c r="S227" s="34" t="b">
        <v>1</v>
      </c>
      <c r="T227" s="35" t="s">
        <v>759</v>
      </c>
      <c r="U227" s="35" t="s">
        <v>769</v>
      </c>
      <c r="V227" s="44"/>
      <c r="W227" s="37" t="str">
        <f>IFERROR(__xludf.DUMMYFUNCTION("IFERROR(VLOOKUP(G227,IMPORTRANGE(""https://docs.google.com/spreadsheets/d/12RxCea4e5ggM7QGn1XE3FbLQa_-QbCNdBi90OdPjRqg"", ""'Plan de Compras'!D4:Q""), 12, 0), ""NO ESTÁ EN REQ"")"),"Técnica")</f>
        <v>Técnica</v>
      </c>
      <c r="X227" s="37" t="str">
        <f>IFERROR(__xludf.DUMMYFUNCTION("IFERROR(VLOOKUP(G227,IMPORTRANGE(""https://docs.google.com/spreadsheets/d/12RxCea4e5ggM7QGn1XE3FbLQa_-QbCNdBi90OdPjRqg"", ""'Plan de Compras'!D4:Q""), 13, 0), """")"),"INTERNACIONAL")</f>
        <v>INTERNACIONAL</v>
      </c>
      <c r="Y227" s="32" t="str">
        <f>IFERROR(__xludf.DUMMYFUNCTION("IFERROR(VLOOKUP(G227,IMPORTRANGE(""https://docs.google.com/spreadsheets/d/12RxCea4e5ggM7QGn1XE3FbLQa_-QbCNdBi90OdPjRqg"", ""'Plan de Compras'!D4:Q""), 14, 0), """")"),"VICTOR")</f>
        <v>VICTOR</v>
      </c>
      <c r="Z227" s="38" t="str">
        <f>IFERROR(__xludf.DUMMYFUNCTION("IFERROR(VLOOKUP(G227,IMPORTRANGE(""https://docs.google.com/spreadsheets/d/12RxCea4e5ggM7QGn1XE3FbLQa_-QbCNdBi90OdPjRqg"", ""'Plan de Compras'!D4:Q""), 4, 0), """")"),"ALMOHADILLAS DE RESPALDO (2 UND)")</f>
        <v>ALMOHADILLAS DE RESPALDO (2 UND)</v>
      </c>
      <c r="AA227" s="38" t="str">
        <f t="shared" si="16"/>
        <v>TRUE</v>
      </c>
      <c r="AB227" s="37" t="str">
        <f>IFERROR(__xludf.DUMMYFUNCTION("IFERROR(IF(OR(C227=TRUE,C227=""""),VLOOKUP(G227,IMPORTRANGE(""https://docs.google.com/spreadsheets/d/1z9A1Wq-kKrhRNG5RS2a2fKpY1wIhSVz2ZNmP2mOl588/edit?usp=sharing"",""REQ VF!E4:H""),4,0),""NO APLICA""),""GENERAR REQ"")"),"GENERAR REQ")</f>
        <v>GENERAR REQ</v>
      </c>
      <c r="AC227" s="37" t="str">
        <f>IFERROR(__xludf.DUMMYFUNCTION("IFERROR(QUERY(IMPORTRANGE(""https://docs.google.com/spreadsheets/d/1z9A1Wq-kKrhRNG5RS2a2fKpY1wIhSVz2ZNmP2mOl588/edit?usp=sharing"",""REQ VF!E4:Q""),""SELECT Col10, Col11, Col12 WHERE Col1 = '""&amp;G227&amp;""'"",0),""NO APLICA"")"),"NO APLICA")</f>
        <v>NO APLICA</v>
      </c>
      <c r="AD227" s="37"/>
      <c r="AE227" s="37"/>
      <c r="AF227" s="13"/>
      <c r="AG227" s="13"/>
    </row>
    <row r="228">
      <c r="A228" s="26"/>
      <c r="B228" s="26"/>
      <c r="C228" s="26" t="b">
        <v>1</v>
      </c>
      <c r="D228" s="26" t="s">
        <v>42</v>
      </c>
      <c r="E228" s="26" t="s">
        <v>36</v>
      </c>
      <c r="F228" s="59" t="s">
        <v>753</v>
      </c>
      <c r="G228" s="39" t="s">
        <v>770</v>
      </c>
      <c r="H228" s="40" t="s">
        <v>771</v>
      </c>
      <c r="I228" s="43">
        <f t="shared" ref="I228:I232" si="25">$I$223</f>
        <v>8</v>
      </c>
      <c r="J228" s="26">
        <f>IFERROR(__xludf.DUMMYFUNCTION("VLOOKUP(G228,IMPORTRANGE(""https://docs.google.com/spreadsheets/d/12RxCea4e5ggM7QGn1XE3FbLQa_-QbCNdBi90OdPjRqg/edit?gid=1692403370#gid=1692403370"", ""'Plan de Compras'!D4:2432""), 8,0)"),8.0)</f>
        <v>8</v>
      </c>
      <c r="K228" s="26" t="str">
        <f t="shared" si="1"/>
        <v>SI</v>
      </c>
      <c r="L228" s="26"/>
      <c r="M228" s="47"/>
      <c r="N228" s="60" t="s">
        <v>166</v>
      </c>
      <c r="O228" s="42"/>
      <c r="P228" s="42"/>
      <c r="Q228" s="54" t="s">
        <v>758</v>
      </c>
      <c r="R228" s="47"/>
      <c r="S228" s="34" t="b">
        <v>1</v>
      </c>
      <c r="T228" s="35" t="s">
        <v>759</v>
      </c>
      <c r="U228" s="35" t="s">
        <v>772</v>
      </c>
      <c r="V228" s="44"/>
      <c r="W228" s="37" t="str">
        <f>IFERROR(__xludf.DUMMYFUNCTION("IFERROR(VLOOKUP(G228,IMPORTRANGE(""https://docs.google.com/spreadsheets/d/12RxCea4e5ggM7QGn1XE3FbLQa_-QbCNdBi90OdPjRqg"", ""'Plan de Compras'!D4:Q""), 12, 0), ""NO ESTÁ EN REQ"")"),"Técnica")</f>
        <v>Técnica</v>
      </c>
      <c r="X228" s="37" t="str">
        <f>IFERROR(__xludf.DUMMYFUNCTION("IFERROR(VLOOKUP(G228,IMPORTRANGE(""https://docs.google.com/spreadsheets/d/12RxCea4e5ggM7QGn1XE3FbLQa_-QbCNdBi90OdPjRqg"", ""'Plan de Compras'!D4:Q""), 13, 0), """")"),"INTERNACIONAL")</f>
        <v>INTERNACIONAL</v>
      </c>
      <c r="Y228" s="32" t="str">
        <f>IFERROR(__xludf.DUMMYFUNCTION("IFERROR(VLOOKUP(G228,IMPORTRANGE(""https://docs.google.com/spreadsheets/d/12RxCea4e5ggM7QGn1XE3FbLQa_-QbCNdBi90OdPjRqg"", ""'Plan de Compras'!D4:Q""), 14, 0), """")"),"VICTOR")</f>
        <v>VICTOR</v>
      </c>
      <c r="Z228" s="38" t="str">
        <f>IFERROR(__xludf.DUMMYFUNCTION("IFERROR(VLOOKUP(G228,IMPORTRANGE(""https://docs.google.com/spreadsheets/d/12RxCea4e5ggM7QGn1XE3FbLQa_-QbCNdBi90OdPjRqg"", ""'Plan de Compras'!D4:Q""), 4, 0), """")"),"BOLSA COLECTORA DE POLVO (1 UND)")</f>
        <v>BOLSA COLECTORA DE POLVO (1 UND)</v>
      </c>
      <c r="AA228" s="38" t="str">
        <f t="shared" si="16"/>
        <v>TRUE</v>
      </c>
      <c r="AB228" s="37" t="str">
        <f>IFERROR(__xludf.DUMMYFUNCTION("IFERROR(IF(OR(C228=TRUE,C228=""""),VLOOKUP(G228,IMPORTRANGE(""https://docs.google.com/spreadsheets/d/1z9A1Wq-kKrhRNG5RS2a2fKpY1wIhSVz2ZNmP2mOl588/edit?usp=sharing"",""REQ VF!E4:H""),4,0),""NO APLICA""),""GENERAR REQ"")"),"GENERAR REQ")</f>
        <v>GENERAR REQ</v>
      </c>
      <c r="AC228" s="37" t="str">
        <f>IFERROR(__xludf.DUMMYFUNCTION("IFERROR(QUERY(IMPORTRANGE(""https://docs.google.com/spreadsheets/d/1z9A1Wq-kKrhRNG5RS2a2fKpY1wIhSVz2ZNmP2mOl588/edit?usp=sharing"",""REQ VF!E4:Q""),""SELECT Col10, Col11, Col12 WHERE Col1 = '""&amp;G228&amp;""'"",0),""NO APLICA"")"),"NO APLICA")</f>
        <v>NO APLICA</v>
      </c>
      <c r="AD228" s="37"/>
      <c r="AE228" s="37"/>
      <c r="AF228" s="13"/>
      <c r="AG228" s="13"/>
    </row>
    <row r="229">
      <c r="A229" s="26"/>
      <c r="B229" s="26"/>
      <c r="C229" s="26" t="b">
        <v>1</v>
      </c>
      <c r="D229" s="26" t="s">
        <v>42</v>
      </c>
      <c r="E229" s="26" t="s">
        <v>36</v>
      </c>
      <c r="F229" s="59" t="s">
        <v>753</v>
      </c>
      <c r="G229" s="39" t="s">
        <v>773</v>
      </c>
      <c r="H229" s="40" t="s">
        <v>774</v>
      </c>
      <c r="I229" s="43">
        <f t="shared" si="25"/>
        <v>8</v>
      </c>
      <c r="J229" s="26">
        <f>IFERROR(__xludf.DUMMYFUNCTION("VLOOKUP(G229,IMPORTRANGE(""https://docs.google.com/spreadsheets/d/12RxCea4e5ggM7QGn1XE3FbLQa_-QbCNdBi90OdPjRqg/edit?gid=1692403370#gid=1692403370"", ""'Plan de Compras'!D4:2432""), 8,0)"),8.0)</f>
        <v>8</v>
      </c>
      <c r="K229" s="26" t="str">
        <f t="shared" si="1"/>
        <v>SI</v>
      </c>
      <c r="L229" s="26"/>
      <c r="M229" s="47"/>
      <c r="N229" s="60" t="s">
        <v>166</v>
      </c>
      <c r="O229" s="42"/>
      <c r="P229" s="42"/>
      <c r="Q229" s="54" t="s">
        <v>758</v>
      </c>
      <c r="R229" s="47"/>
      <c r="S229" s="34" t="b">
        <v>1</v>
      </c>
      <c r="T229" s="35" t="s">
        <v>759</v>
      </c>
      <c r="U229" s="35" t="s">
        <v>775</v>
      </c>
      <c r="V229" s="44"/>
      <c r="W229" s="37" t="str">
        <f>IFERROR(__xludf.DUMMYFUNCTION("IFERROR(VLOOKUP(G229,IMPORTRANGE(""https://docs.google.com/spreadsheets/d/12RxCea4e5ggM7QGn1XE3FbLQa_-QbCNdBi90OdPjRqg"", ""'Plan de Compras'!D4:Q""), 12, 0), ""NO ESTÁ EN REQ"")"),"Técnica")</f>
        <v>Técnica</v>
      </c>
      <c r="X229" s="37" t="str">
        <f>IFERROR(__xludf.DUMMYFUNCTION("IFERROR(VLOOKUP(G229,IMPORTRANGE(""https://docs.google.com/spreadsheets/d/12RxCea4e5ggM7QGn1XE3FbLQa_-QbCNdBi90OdPjRqg"", ""'Plan de Compras'!D4:Q""), 13, 0), """")"),"INTERNACIONAL")</f>
        <v>INTERNACIONAL</v>
      </c>
      <c r="Y229" s="32" t="str">
        <f>IFERROR(__xludf.DUMMYFUNCTION("IFERROR(VLOOKUP(G229,IMPORTRANGE(""https://docs.google.com/spreadsheets/d/12RxCea4e5ggM7QGn1XE3FbLQa_-QbCNdBi90OdPjRqg"", ""'Plan de Compras'!D4:Q""), 14, 0), """")"),"VICTOR")</f>
        <v>VICTOR</v>
      </c>
      <c r="Z229" s="38" t="str">
        <f>IFERROR(__xludf.DUMMYFUNCTION("IFERROR(VLOOKUP(G229,IMPORTRANGE(""https://docs.google.com/spreadsheets/d/12RxCea4e5ggM7QGn1XE3FbLQa_-QbCNdBi90OdPjRqg"", ""'Plan de Compras'!D4:Q""), 4, 0), """")"),"CAJA DE POLVO (1 UND)")</f>
        <v>CAJA DE POLVO (1 UND)</v>
      </c>
      <c r="AA229" s="38" t="str">
        <f t="shared" si="16"/>
        <v>TRUE</v>
      </c>
      <c r="AB229" s="37" t="str">
        <f>IFERROR(__xludf.DUMMYFUNCTION("IFERROR(IF(OR(C229=TRUE,C229=""""),VLOOKUP(G229,IMPORTRANGE(""https://docs.google.com/spreadsheets/d/1z9A1Wq-kKrhRNG5RS2a2fKpY1wIhSVz2ZNmP2mOl588/edit?usp=sharing"",""REQ VF!E4:H""),4,0),""NO APLICA""),""GENERAR REQ"")"),"GENERAR REQ")</f>
        <v>GENERAR REQ</v>
      </c>
      <c r="AC229" s="37" t="str">
        <f>IFERROR(__xludf.DUMMYFUNCTION("IFERROR(QUERY(IMPORTRANGE(""https://docs.google.com/spreadsheets/d/1z9A1Wq-kKrhRNG5RS2a2fKpY1wIhSVz2ZNmP2mOl588/edit?usp=sharing"",""REQ VF!E4:Q""),""SELECT Col10, Col11, Col12 WHERE Col1 = '""&amp;G229&amp;""'"",0),""NO APLICA"")"),"NO APLICA")</f>
        <v>NO APLICA</v>
      </c>
      <c r="AD229" s="37"/>
      <c r="AE229" s="37"/>
      <c r="AF229" s="13"/>
      <c r="AG229" s="13"/>
    </row>
    <row r="230">
      <c r="A230" s="26"/>
      <c r="B230" s="26"/>
      <c r="C230" s="26" t="b">
        <v>1</v>
      </c>
      <c r="D230" s="26" t="s">
        <v>42</v>
      </c>
      <c r="E230" s="26" t="s">
        <v>36</v>
      </c>
      <c r="F230" s="59" t="s">
        <v>753</v>
      </c>
      <c r="G230" s="39" t="s">
        <v>776</v>
      </c>
      <c r="H230" s="40" t="s">
        <v>777</v>
      </c>
      <c r="I230" s="43">
        <f t="shared" si="25"/>
        <v>8</v>
      </c>
      <c r="J230" s="26">
        <f>IFERROR(__xludf.DUMMYFUNCTION("VLOOKUP(G230,IMPORTRANGE(""https://docs.google.com/spreadsheets/d/12RxCea4e5ggM7QGn1XE3FbLQa_-QbCNdBi90OdPjRqg/edit?gid=1692403370#gid=1692403370"", ""'Plan de Compras'!D4:2432""), 8,0)"),8.0)</f>
        <v>8</v>
      </c>
      <c r="K230" s="26" t="str">
        <f t="shared" si="1"/>
        <v>SI</v>
      </c>
      <c r="L230" s="26"/>
      <c r="M230" s="47"/>
      <c r="N230" s="60" t="s">
        <v>166</v>
      </c>
      <c r="O230" s="42"/>
      <c r="P230" s="42"/>
      <c r="Q230" s="54" t="s">
        <v>758</v>
      </c>
      <c r="R230" s="47"/>
      <c r="S230" s="34" t="b">
        <v>1</v>
      </c>
      <c r="T230" s="35" t="s">
        <v>759</v>
      </c>
      <c r="U230" s="35" t="s">
        <v>778</v>
      </c>
      <c r="V230" s="44"/>
      <c r="W230" s="37" t="str">
        <f>IFERROR(__xludf.DUMMYFUNCTION("IFERROR(VLOOKUP(G230,IMPORTRANGE(""https://docs.google.com/spreadsheets/d/12RxCea4e5ggM7QGn1XE3FbLQa_-QbCNdBi90OdPjRqg"", ""'Plan de Compras'!D4:Q""), 12, 0), ""NO ESTÁ EN REQ"")"),"Técnica")</f>
        <v>Técnica</v>
      </c>
      <c r="X230" s="37" t="str">
        <f>IFERROR(__xludf.DUMMYFUNCTION("IFERROR(VLOOKUP(G230,IMPORTRANGE(""https://docs.google.com/spreadsheets/d/12RxCea4e5ggM7QGn1XE3FbLQa_-QbCNdBi90OdPjRqg"", ""'Plan de Compras'!D4:Q""), 13, 0), """")"),"INTERNACIONAL")</f>
        <v>INTERNACIONAL</v>
      </c>
      <c r="Y230" s="32" t="str">
        <f>IFERROR(__xludf.DUMMYFUNCTION("IFERROR(VLOOKUP(G230,IMPORTRANGE(""https://docs.google.com/spreadsheets/d/12RxCea4e5ggM7QGn1XE3FbLQa_-QbCNdBi90OdPjRqg"", ""'Plan de Compras'!D4:Q""), 14, 0), """")"),"VICTOR")</f>
        <v>VICTOR</v>
      </c>
      <c r="Z230" s="38" t="str">
        <f>IFERROR(__xludf.DUMMYFUNCTION("IFERROR(VLOOKUP(G230,IMPORTRANGE(""https://docs.google.com/spreadsheets/d/12RxCea4e5ggM7QGn1XE3FbLQa_-QbCNdBi90OdPjRqg"", ""'Plan de Compras'!D4:Q""), 4, 0), """")"),"FILTRO (1 UND)")</f>
        <v>FILTRO (1 UND)</v>
      </c>
      <c r="AA230" s="38" t="str">
        <f t="shared" si="16"/>
        <v>TRUE</v>
      </c>
      <c r="AB230" s="37" t="str">
        <f>IFERROR(__xludf.DUMMYFUNCTION("IFERROR(IF(OR(C230=TRUE,C230=""""),VLOOKUP(G230,IMPORTRANGE(""https://docs.google.com/spreadsheets/d/1z9A1Wq-kKrhRNG5RS2a2fKpY1wIhSVz2ZNmP2mOl588/edit?usp=sharing"",""REQ VF!E4:H""),4,0),""NO APLICA""),""GENERAR REQ"")"),"GENERAR REQ")</f>
        <v>GENERAR REQ</v>
      </c>
      <c r="AC230" s="37" t="str">
        <f>IFERROR(__xludf.DUMMYFUNCTION("IFERROR(QUERY(IMPORTRANGE(""https://docs.google.com/spreadsheets/d/1z9A1Wq-kKrhRNG5RS2a2fKpY1wIhSVz2ZNmP2mOl588/edit?usp=sharing"",""REQ VF!E4:Q""),""SELECT Col10, Col11, Col12 WHERE Col1 = '""&amp;G230&amp;""'"",0),""NO APLICA"")"),"NO APLICA")</f>
        <v>NO APLICA</v>
      </c>
      <c r="AD230" s="37"/>
      <c r="AE230" s="37"/>
      <c r="AF230" s="13"/>
      <c r="AG230" s="13"/>
    </row>
    <row r="231">
      <c r="A231" s="26"/>
      <c r="B231" s="26"/>
      <c r="C231" s="26" t="b">
        <v>1</v>
      </c>
      <c r="D231" s="26" t="s">
        <v>42</v>
      </c>
      <c r="E231" s="26" t="s">
        <v>36</v>
      </c>
      <c r="F231" s="59" t="s">
        <v>753</v>
      </c>
      <c r="G231" s="39" t="s">
        <v>779</v>
      </c>
      <c r="H231" s="40" t="s">
        <v>780</v>
      </c>
      <c r="I231" s="43">
        <f t="shared" si="25"/>
        <v>8</v>
      </c>
      <c r="J231" s="26">
        <f>IFERROR(__xludf.DUMMYFUNCTION("VLOOKUP(G231,IMPORTRANGE(""https://docs.google.com/spreadsheets/d/12RxCea4e5ggM7QGn1XE3FbLQa_-QbCNdBi90OdPjRqg/edit?gid=1692403370#gid=1692403370"", ""'Plan de Compras'!D4:2432""), 8,0)"),8.0)</f>
        <v>8</v>
      </c>
      <c r="K231" s="26" t="str">
        <f t="shared" si="1"/>
        <v>SI</v>
      </c>
      <c r="L231" s="26"/>
      <c r="M231" s="47"/>
      <c r="N231" s="60" t="s">
        <v>166</v>
      </c>
      <c r="O231" s="42"/>
      <c r="P231" s="42"/>
      <c r="Q231" s="54" t="s">
        <v>758</v>
      </c>
      <c r="R231" s="47"/>
      <c r="S231" s="34" t="b">
        <v>1</v>
      </c>
      <c r="T231" s="35" t="s">
        <v>47</v>
      </c>
      <c r="U231" s="35" t="s">
        <v>781</v>
      </c>
      <c r="V231" s="44"/>
      <c r="W231" s="37" t="str">
        <f>IFERROR(__xludf.DUMMYFUNCTION("IFERROR(VLOOKUP(G231,IMPORTRANGE(""https://docs.google.com/spreadsheets/d/12RxCea4e5ggM7QGn1XE3FbLQa_-QbCNdBi90OdPjRqg"", ""'Plan de Compras'!D4:Q""), 12, 0), ""NO ESTÁ EN REQ"")"),"Técnica")</f>
        <v>Técnica</v>
      </c>
      <c r="X231" s="37" t="str">
        <f>IFERROR(__xludf.DUMMYFUNCTION("IFERROR(VLOOKUP(G231,IMPORTRANGE(""https://docs.google.com/spreadsheets/d/12RxCea4e5ggM7QGn1XE3FbLQa_-QbCNdBi90OdPjRqg"", ""'Plan de Compras'!D4:Q""), 13, 0), """")"),"NACIONAL")</f>
        <v>NACIONAL</v>
      </c>
      <c r="Y231" s="32" t="str">
        <f>IFERROR(__xludf.DUMMYFUNCTION("IFERROR(VLOOKUP(G231,IMPORTRANGE(""https://docs.google.com/spreadsheets/d/12RxCea4e5ggM7QGn1XE3FbLQa_-QbCNdBi90OdPjRqg"", ""'Plan de Compras'!D4:Q""), 14, 0), """")"),"OMAR")</f>
        <v>OMAR</v>
      </c>
      <c r="Z231" s="38" t="str">
        <f>IFERROR(__xludf.DUMMYFUNCTION("IFERROR(VLOOKUP(G231,IMPORTRANGE(""https://docs.google.com/spreadsheets/d/12RxCea4e5ggM7QGn1XE3FbLQa_-QbCNdBi90OdPjRqg"", ""'Plan de Compras'!D4:Q""), 4, 0), """")"),"MANGUERA (1 UND)")</f>
        <v>MANGUERA (1 UND)</v>
      </c>
      <c r="AA231" s="38" t="str">
        <f t="shared" si="16"/>
        <v>TRUE</v>
      </c>
      <c r="AB231" s="37" t="str">
        <f>IFERROR(__xludf.DUMMYFUNCTION("IFERROR(IF(OR(C231=TRUE,C231=""""),VLOOKUP(G231,IMPORTRANGE(""https://docs.google.com/spreadsheets/d/1z9A1Wq-kKrhRNG5RS2a2fKpY1wIhSVz2ZNmP2mOl588/edit?usp=sharing"",""REQ VF!E4:H""),4,0),""NO APLICA""),""GENERAR REQ"")"),"GENERAR REQ")</f>
        <v>GENERAR REQ</v>
      </c>
      <c r="AC231" s="37" t="str">
        <f>IFERROR(__xludf.DUMMYFUNCTION("IFERROR(QUERY(IMPORTRANGE(""https://docs.google.com/spreadsheets/d/1z9A1Wq-kKrhRNG5RS2a2fKpY1wIhSVz2ZNmP2mOl588/edit?usp=sharing"",""REQ VF!E4:Q""),""SELECT Col10, Col11, Col12 WHERE Col1 = '""&amp;G231&amp;""'"",0),""NO APLICA"")"),"NO APLICA")</f>
        <v>NO APLICA</v>
      </c>
      <c r="AD231" s="37"/>
      <c r="AE231" s="37"/>
      <c r="AF231" s="13"/>
      <c r="AG231" s="13"/>
    </row>
    <row r="232">
      <c r="A232" s="26"/>
      <c r="B232" s="26"/>
      <c r="C232" s="26" t="b">
        <v>1</v>
      </c>
      <c r="D232" s="26" t="s">
        <v>42</v>
      </c>
      <c r="E232" s="26" t="s">
        <v>36</v>
      </c>
      <c r="F232" s="59" t="s">
        <v>753</v>
      </c>
      <c r="G232" s="39" t="s">
        <v>782</v>
      </c>
      <c r="H232" s="40" t="s">
        <v>783</v>
      </c>
      <c r="I232" s="43">
        <f t="shared" si="25"/>
        <v>8</v>
      </c>
      <c r="J232" s="26">
        <f>IFERROR(__xludf.DUMMYFUNCTION("VLOOKUP(G232,IMPORTRANGE(""https://docs.google.com/spreadsheets/d/12RxCea4e5ggM7QGn1XE3FbLQa_-QbCNdBi90OdPjRqg/edit?gid=1692403370#gid=1692403370"", ""'Plan de Compras'!D4:2432""), 8,0)"),8.0)</f>
        <v>8</v>
      </c>
      <c r="K232" s="26" t="str">
        <f t="shared" si="1"/>
        <v>SI</v>
      </c>
      <c r="L232" s="26"/>
      <c r="M232" s="47"/>
      <c r="N232" s="60"/>
      <c r="O232" s="42"/>
      <c r="P232" s="42"/>
      <c r="Q232" s="54" t="s">
        <v>758</v>
      </c>
      <c r="R232" s="47"/>
      <c r="S232" s="34" t="b">
        <v>1</v>
      </c>
      <c r="T232" s="92" t="s">
        <v>47</v>
      </c>
      <c r="U232" s="43" t="s">
        <v>784</v>
      </c>
      <c r="V232" s="44"/>
      <c r="W232" s="37" t="str">
        <f>IFERROR(__xludf.DUMMYFUNCTION("IFERROR(VLOOKUP(G232,IMPORTRANGE(""https://docs.google.com/spreadsheets/d/12RxCea4e5ggM7QGn1XE3FbLQa_-QbCNdBi90OdPjRqg"", ""'Plan de Compras'!D4:Q""), 12, 0), ""NO ESTÁ EN REQ"")"),"Simple")</f>
        <v>Simple</v>
      </c>
      <c r="X232" s="37" t="str">
        <f>IFERROR(__xludf.DUMMYFUNCTION("IFERROR(VLOOKUP(G232,IMPORTRANGE(""https://docs.google.com/spreadsheets/d/12RxCea4e5ggM7QGn1XE3FbLQa_-QbCNdBi90OdPjRqg"", ""'Plan de Compras'!D4:Q""), 13, 0), """")"),"NACIONAL")</f>
        <v>NACIONAL</v>
      </c>
      <c r="Y232" s="32" t="str">
        <f>IFERROR(__xludf.DUMMYFUNCTION("IFERROR(VLOOKUP(G232,IMPORTRANGE(""https://docs.google.com/spreadsheets/d/12RxCea4e5ggM7QGn1XE3FbLQa_-QbCNdBi90OdPjRqg"", ""'Plan de Compras'!D4:Q""), 14, 0), """")"),"ANGIE")</f>
        <v>ANGIE</v>
      </c>
      <c r="Z232" s="38" t="str">
        <f>IFERROR(__xludf.DUMMYFUNCTION("IFERROR(VLOOKUP(G232,IMPORTRANGE(""https://docs.google.com/spreadsheets/d/12RxCea4e5ggM7QGn1XE3FbLQa_-QbCNdBi90OdPjRqg"", ""'Plan de Compras'!D4:Q""), 4, 0), """")"),"CARCASA O FUNDA DE POLIAMIDA (1 UND)")</f>
        <v>CARCASA O FUNDA DE POLIAMIDA (1 UND)</v>
      </c>
      <c r="AA232" s="38" t="str">
        <f t="shared" si="16"/>
        <v>TRUE</v>
      </c>
      <c r="AB232" s="37" t="str">
        <f>IFERROR(__xludf.DUMMYFUNCTION("IFERROR(IF(OR(C232=TRUE,C232=""""),VLOOKUP(G232,IMPORTRANGE(""https://docs.google.com/spreadsheets/d/1z9A1Wq-kKrhRNG5RS2a2fKpY1wIhSVz2ZNmP2mOl588/edit?usp=sharing"",""REQ VF!E4:H""),4,0),""NO APLICA""),""GENERAR REQ"")"),"GENERAR REQ")</f>
        <v>GENERAR REQ</v>
      </c>
      <c r="AC232" s="37" t="str">
        <f>IFERROR(__xludf.DUMMYFUNCTION("IFERROR(QUERY(IMPORTRANGE(""https://docs.google.com/spreadsheets/d/1z9A1Wq-kKrhRNG5RS2a2fKpY1wIhSVz2ZNmP2mOl588/edit?usp=sharing"",""REQ VF!E4:Q""),""SELECT Col10, Col11, Col12 WHERE Col1 = '""&amp;G232&amp;""'"",0),""NO APLICA"")"),"NO APLICA")</f>
        <v>NO APLICA</v>
      </c>
      <c r="AD232" s="37"/>
      <c r="AE232" s="37"/>
      <c r="AF232" s="13"/>
      <c r="AG232" s="13"/>
    </row>
    <row r="233">
      <c r="A233" s="26">
        <v>100.0</v>
      </c>
      <c r="B233" s="26" t="b">
        <v>1</v>
      </c>
      <c r="C233" s="26" t="b">
        <v>1</v>
      </c>
      <c r="D233" s="26" t="s">
        <v>35</v>
      </c>
      <c r="E233" s="26" t="s">
        <v>36</v>
      </c>
      <c r="F233" s="27" t="s">
        <v>785</v>
      </c>
      <c r="G233" s="37" t="s">
        <v>785</v>
      </c>
      <c r="H233" s="45" t="s">
        <v>786</v>
      </c>
      <c r="I233" s="26">
        <f>SUMIFS('Hoja 10'!$O:$O,'Hoja 10'!$F:$F,$G233)</f>
        <v>1</v>
      </c>
      <c r="J233" s="26">
        <f>IFERROR(__xludf.DUMMYFUNCTION("VLOOKUP(G233,IMPORTRANGE(""https://docs.google.com/spreadsheets/d/12RxCea4e5ggM7QGn1XE3FbLQa_-QbCNdBi90OdPjRqg/edit?gid=1692403370#gid=1692403370"", ""'Plan de Compras'!D4:2432""), 8,0)"),1.0)</f>
        <v>1</v>
      </c>
      <c r="K233" s="26" t="str">
        <f t="shared" si="1"/>
        <v>SI</v>
      </c>
      <c r="L233" s="29" t="s">
        <v>77</v>
      </c>
      <c r="M233" s="30" t="s">
        <v>78</v>
      </c>
      <c r="N233" s="42"/>
      <c r="O233" s="32" t="str">
        <f>VLOOKUP($G233,'Hoja 10'!$F$4:$AA478, 19,0)</f>
        <v>TWOTHOUSAND MACHINERY</v>
      </c>
      <c r="P233" s="32" t="str">
        <f>VLOOKUP($G233,'Hoja 10'!$F$4:$AA478, 20,0)</f>
        <v>TT-F60 (VC60MS)</v>
      </c>
      <c r="Q233" s="33" t="str">
        <f>VLOOKUP($G233,'Hoja 10'!$F$4:$AA478, 21,0)</f>
        <v>https://www.twothousand.com/550w-stainless-steel-base-ce-commercial-vegetable-slicer-chopper-tt-f60-vc60ms/</v>
      </c>
      <c r="R233" s="30" t="s">
        <v>787</v>
      </c>
      <c r="S233" s="34" t="b">
        <v>1</v>
      </c>
      <c r="T233" s="35" t="str">
        <f>IFERROR(__xludf.DUMMYFUNCTION(" IF
( VLOOKUP($G233,IMPORTRANGE(""https://docs.google.com/spreadsheets/d/1Gpl6jkTg7sL4VDNimUm3S9Vi1i95esohXCF3wuKOE8c"", ""'CONSOLIDADO'!G5:AB""), 10, 0) &lt;&gt; 0, 
IFERROR(VLOOKUP($G233,IMPORTRANGE(""https://docs.google.com/spreadsheets/d/1Gpl6jkTg7sL4VDNimU"&amp;"m3S9Vi1i95esohXCF3wuKOE8c"", ""'CONSOLIDADO'!G5:AB""), 17, 0), ""-""),
""""
)"),"SY")</f>
        <v>SY</v>
      </c>
      <c r="U233" s="35" t="str">
        <f>IFERROR(__xludf.DUMMYFUNCTION(" IF
( VLOOKUP($G233,IMPORTRANGE(""https://docs.google.com/spreadsheets/d/1Gpl6jkTg7sL4VDNimUm3S9Vi1i95esohXCF3wuKOE8c"", ""'CONSOLIDADO'!G5:AB""), 10, 0) &lt;&gt; 0, 
IFERROR(VLOOKUP($G233,IMPORTRANGE(""https://docs.google.com/spreadsheets/d/1Gpl6jkTg7sL4VDNimU"&amp;"m3S9Vi1i95esohXCF3wuKOE8c"", ""'CONSOLIDADO'!G5:AB""), 18, 0), ""-""),
""""
)"),"VC65MS (250 kg/h)")</f>
        <v>VC65MS (250 kg/h)</v>
      </c>
      <c r="V233" s="36" t="str">
        <f>IFERROR(__xludf.DUMMYFUNCTION(" IF
( VLOOKUP($G233,IMPORTRANGE(""https://docs.google.com/spreadsheets/d/1Gpl6jkTg7sL4VDNimUm3S9Vi1i95esohXCF3wuKOE8c"", ""'CONSOLIDADO'!G5:AB""), 10, 0) &lt;&gt; 0, 
IFERROR(VLOOKUP($G233,IMPORTRANGE(""https://docs.google.com/spreadsheets/d/1Gpl6jkTg7sL4VDNimU"&amp;"m3S9Vi1i95esohXCF3wuKOE8c"", ""'CONSOLIDADO'!G5:AB""), 19, 0), ""-""),
""""
)"),"https://www.alibaba.com/product-detail/Restaurant-Use-Carrot-Potato-Cucumber-Food_1601449741367.html?spm=a2756.trade-list-buyer.0.0.7fd076e9WiS8Go")</f>
        <v>https://www.alibaba.com/product-detail/Restaurant-Use-Carrot-Potato-Cucumber-Food_1601449741367.html?spm=a2756.trade-list-buyer.0.0.7fd076e9WiS8Go</v>
      </c>
      <c r="W233" s="37" t="str">
        <f>IFERROR(__xludf.DUMMYFUNCTION("IFERROR(VLOOKUP(G233,IMPORTRANGE(""https://docs.google.com/spreadsheets/d/12RxCea4e5ggM7QGn1XE3FbLQa_-QbCNdBi90OdPjRqg"", ""'Plan de Compras'!D4:Q""), 12, 0), ""NO ESTÁ EN REQ"")"),"Técnica")</f>
        <v>Técnica</v>
      </c>
      <c r="X233" s="37" t="str">
        <f>IFERROR(__xludf.DUMMYFUNCTION("IFERROR(VLOOKUP(G233,IMPORTRANGE(""https://docs.google.com/spreadsheets/d/12RxCea4e5ggM7QGn1XE3FbLQa_-QbCNdBi90OdPjRqg"", ""'Plan de Compras'!D4:Q""), 13, 0), """")"),"INTERNACIONAL")</f>
        <v>INTERNACIONAL</v>
      </c>
      <c r="Y233" s="32" t="str">
        <f>IFERROR(__xludf.DUMMYFUNCTION("IFERROR(VLOOKUP(G233,IMPORTRANGE(""https://docs.google.com/spreadsheets/d/12RxCea4e5ggM7QGn1XE3FbLQa_-QbCNdBi90OdPjRqg"", ""'Plan de Compras'!D4:Q""), 14, 0), """")"),"GIANFRANCO")</f>
        <v>GIANFRANCO</v>
      </c>
      <c r="Z233" s="38" t="str">
        <f>IFERROR(__xludf.DUMMYFUNCTION("IFERROR(VLOOKUP(G233,IMPORTRANGE(""https://docs.google.com/spreadsheets/d/12RxCea4e5ggM7QGn1XE3FbLQa_-QbCNdBi90OdPjRqg"", ""'Plan de Compras'!D4:Q""), 4, 0), """")"),"MANDOLINA ELÉCTRICA PARA COCINA")</f>
        <v>MANDOLINA ELÉCTRICA PARA COCINA</v>
      </c>
      <c r="AA233" s="38" t="str">
        <f t="shared" si="16"/>
        <v>TRUE</v>
      </c>
      <c r="AB233" s="37" t="str">
        <f>IFERROR(__xludf.DUMMYFUNCTION("IFERROR(IF(OR(C233=TRUE,C233=""""),VLOOKUP(G233,IMPORTRANGE(""https://docs.google.com/spreadsheets/d/1z9A1Wq-kKrhRNG5RS2a2fKpY1wIhSVz2ZNmP2mOl588/edit?usp=sharing"",""REQ VF!E4:H""),4,0),""NO APLICA""),""GENERAR REQ"")"),"GENERAR REQ")</f>
        <v>GENERAR REQ</v>
      </c>
      <c r="AC233" s="37" t="str">
        <f>IFERROR(__xludf.DUMMYFUNCTION("IFERROR(QUERY(IMPORTRANGE(""https://docs.google.com/spreadsheets/d/1z9A1Wq-kKrhRNG5RS2a2fKpY1wIhSVz2ZNmP2mOl588/edit?usp=sharing"",""REQ VF!E4:Q""),""SELECT Col10, Col11, Col12 WHERE Col1 = '""&amp;G233&amp;""'"",0),""NO APLICA"")"),"NO APLICA")</f>
        <v>NO APLICA</v>
      </c>
      <c r="AD233" s="37"/>
      <c r="AE233" s="37"/>
      <c r="AF233" s="8" t="s">
        <v>52</v>
      </c>
      <c r="AG233" s="13"/>
    </row>
    <row r="234">
      <c r="A234" s="26"/>
      <c r="B234" s="26"/>
      <c r="C234" s="26" t="b">
        <v>1</v>
      </c>
      <c r="D234" s="26" t="s">
        <v>42</v>
      </c>
      <c r="E234" s="26" t="s">
        <v>36</v>
      </c>
      <c r="F234" s="59" t="s">
        <v>788</v>
      </c>
      <c r="G234" s="39" t="s">
        <v>788</v>
      </c>
      <c r="H234" s="40" t="s">
        <v>789</v>
      </c>
      <c r="I234" s="43">
        <v>1.0</v>
      </c>
      <c r="J234" s="26">
        <f>IFERROR(__xludf.DUMMYFUNCTION("VLOOKUP(G234,IMPORTRANGE(""https://docs.google.com/spreadsheets/d/12RxCea4e5ggM7QGn1XE3FbLQa_-QbCNdBi90OdPjRqg/edit?gid=1692403370#gid=1692403370"", ""'Plan de Compras'!D4:2432""), 8,0)"),1.0)</f>
        <v>1</v>
      </c>
      <c r="K234" s="26" t="str">
        <f t="shared" si="1"/>
        <v>SI</v>
      </c>
      <c r="L234" s="29"/>
      <c r="M234" s="61"/>
      <c r="N234" s="42"/>
      <c r="O234" s="32"/>
      <c r="P234" s="32"/>
      <c r="Q234" s="41"/>
      <c r="R234" s="61"/>
      <c r="S234" s="34" t="b">
        <v>0</v>
      </c>
      <c r="T234" s="35"/>
      <c r="U234" s="35"/>
      <c r="V234" s="35"/>
      <c r="W234" s="37" t="str">
        <f>IFERROR(__xludf.DUMMYFUNCTION("IFERROR(VLOOKUP(G234,IMPORTRANGE(""https://docs.google.com/spreadsheets/d/12RxCea4e5ggM7QGn1XE3FbLQa_-QbCNdBi90OdPjRqg"", ""'Plan de Compras'!D4:Q""), 12, 0), ""NO ESTÁ EN REQ"")"),"Técnica")</f>
        <v>Técnica</v>
      </c>
      <c r="X234" s="37" t="str">
        <f>IFERROR(__xludf.DUMMYFUNCTION("IFERROR(VLOOKUP(G234,IMPORTRANGE(""https://docs.google.com/spreadsheets/d/12RxCea4e5ggM7QGn1XE3FbLQa_-QbCNdBi90OdPjRqg"", ""'Plan de Compras'!D4:Q""), 13, 0), """")"),"INTERNACIONAL")</f>
        <v>INTERNACIONAL</v>
      </c>
      <c r="Y234" s="32" t="str">
        <f>IFERROR(__xludf.DUMMYFUNCTION("IFERROR(VLOOKUP(G234,IMPORTRANGE(""https://docs.google.com/spreadsheets/d/12RxCea4e5ggM7QGn1XE3FbLQa_-QbCNdBi90OdPjRqg"", ""'Plan de Compras'!D4:Q""), 14, 0), """")"),"GIANFRANCO")</f>
        <v>GIANFRANCO</v>
      </c>
      <c r="Z234" s="38" t="str">
        <f>IFERROR(__xludf.DUMMYFUNCTION("IFERROR(VLOOKUP(G234,IMPORTRANGE(""https://docs.google.com/spreadsheets/d/12RxCea4e5ggM7QGn1XE3FbLQa_-QbCNdBi90OdPjRqg"", ""'Plan de Compras'!D4:Q""), 4, 0), """")"),"DISCO JULIENNE (1 UND)")</f>
        <v>DISCO JULIENNE (1 UND)</v>
      </c>
      <c r="AA234" s="38" t="str">
        <f t="shared" si="16"/>
        <v>TRUE</v>
      </c>
      <c r="AB234" s="37" t="str">
        <f>IFERROR(__xludf.DUMMYFUNCTION("IFERROR(IF(OR(C234=TRUE,C234=""""),VLOOKUP(G234,IMPORTRANGE(""https://docs.google.com/spreadsheets/d/1z9A1Wq-kKrhRNG5RS2a2fKpY1wIhSVz2ZNmP2mOl588/edit?usp=sharing"",""REQ VF!E4:H""),4,0),""NO APLICA""),""GENERAR REQ"")"),"GENERAR REQ")</f>
        <v>GENERAR REQ</v>
      </c>
      <c r="AC234" s="37" t="str">
        <f>IFERROR(__xludf.DUMMYFUNCTION("IFERROR(QUERY(IMPORTRANGE(""https://docs.google.com/spreadsheets/d/1z9A1Wq-kKrhRNG5RS2a2fKpY1wIhSVz2ZNmP2mOl588/edit?usp=sharing"",""REQ VF!E4:Q""),""SELECT Col10, Col11, Col12 WHERE Col1 = '""&amp;G234&amp;""'"",0),""NO APLICA"")"),"NO APLICA")</f>
        <v>NO APLICA</v>
      </c>
      <c r="AD234" s="37"/>
      <c r="AE234" s="37"/>
      <c r="AF234" s="8"/>
      <c r="AG234" s="13"/>
    </row>
    <row r="235">
      <c r="A235" s="26">
        <v>101.0</v>
      </c>
      <c r="B235" s="26" t="b">
        <v>1</v>
      </c>
      <c r="C235" s="26" t="b">
        <v>1</v>
      </c>
      <c r="D235" s="26" t="s">
        <v>35</v>
      </c>
      <c r="E235" s="26" t="s">
        <v>36</v>
      </c>
      <c r="F235" s="27" t="s">
        <v>790</v>
      </c>
      <c r="G235" s="37" t="s">
        <v>790</v>
      </c>
      <c r="H235" s="45" t="s">
        <v>791</v>
      </c>
      <c r="I235" s="26">
        <f>SUMIFS('Hoja 10'!$O:$O,'Hoja 10'!$F:$F,$G235)</f>
        <v>2</v>
      </c>
      <c r="J235" s="26">
        <f>IFERROR(__xludf.DUMMYFUNCTION("VLOOKUP(G235,IMPORTRANGE(""https://docs.google.com/spreadsheets/d/12RxCea4e5ggM7QGn1XE3FbLQa_-QbCNdBi90OdPjRqg/edit?gid=1692403370#gid=1692403370"", ""'Plan de Compras'!D4:2432""), 8,0)"),2.0)</f>
        <v>2</v>
      </c>
      <c r="K235" s="26" t="str">
        <f t="shared" si="1"/>
        <v>SI</v>
      </c>
      <c r="L235" s="29" t="s">
        <v>185</v>
      </c>
      <c r="M235" s="30" t="s">
        <v>186</v>
      </c>
      <c r="N235" s="42"/>
      <c r="O235" s="32" t="str">
        <f>VLOOKUP($G235,'Hoja 10'!$F$4:$AA478, 19,0)</f>
        <v>SIERRA TECH</v>
      </c>
      <c r="P235" s="32" t="str">
        <f>VLOOKUP($G235,'Hoja 10'!$F$4:$AA478, 20,0)</f>
        <v>ZMG JC-1501</v>
      </c>
      <c r="Q235" s="33" t="str">
        <f>VLOOKUP($G235,'Hoja 10'!$F$4:$AA478, 21,0)</f>
        <v>https://drive.google.com/file/d/1BZ2N5EASu7KqA43xkUocI7QoYhjba-W1/view</v>
      </c>
      <c r="R235" s="30" t="s">
        <v>792</v>
      </c>
      <c r="S235" s="34" t="b">
        <v>1</v>
      </c>
      <c r="T235" s="35" t="str">
        <f>IFERROR(__xludf.DUMMYFUNCTION(" IF
( VLOOKUP($G235,IMPORTRANGE(""https://docs.google.com/spreadsheets/d/1Gpl6jkTg7sL4VDNimUm3S9Vi1i95esohXCF3wuKOE8c"", ""'CONSOLIDADO'!G5:AB""), 10, 0) &lt;&gt; 0, 
IFERROR(VLOOKUP($G235,IMPORTRANGE(""https://docs.google.com/spreadsheets/d/1Gpl6jkTg7sL4VDNimU"&amp;"m3S9Vi1i95esohXCF3wuKOE8c"", ""'CONSOLIDADO'!G5:AB""), 17, 0), ""-""),
""""
)"),"SIERRA TECH")</f>
        <v>SIERRA TECH</v>
      </c>
      <c r="U235" s="35" t="str">
        <f>IFERROR(__xludf.DUMMYFUNCTION(" IF
( VLOOKUP($G235,IMPORTRANGE(""https://docs.google.com/spreadsheets/d/1Gpl6jkTg7sL4VDNimUm3S9Vi1i95esohXCF3wuKOE8c"", ""'CONSOLIDADO'!G5:AB""), 10, 0) &lt;&gt; 0, 
IFERROR(VLOOKUP($G235,IMPORTRANGE(""https://docs.google.com/spreadsheets/d/1Gpl6jkTg7sL4VDNimU"&amp;"m3S9Vi1i95esohXCF3wuKOE8c"", ""'CONSOLIDADO'!G5:AB""), 18, 0), ""-""),
""""
)"),"ZMG JC-1501")</f>
        <v>ZMG JC-1501</v>
      </c>
      <c r="V235" s="36" t="str">
        <f>IFERROR(__xludf.DUMMYFUNCTION(" IF
( VLOOKUP($G235,IMPORTRANGE(""https://docs.google.com/spreadsheets/d/1Gpl6jkTg7sL4VDNimUm3S9Vi1i95esohXCF3wuKOE8c"", ""'CONSOLIDADO'!G5:AB""), 10, 0) &lt;&gt; 0, 
IFERROR(VLOOKUP($G235,IMPORTRANGE(""https://docs.google.com/spreadsheets/d/1Gpl6jkTg7sL4VDNimU"&amp;"m3S9Vi1i95esohXCF3wuKOE8c"", ""'CONSOLIDADO'!G5:AB""), 19, 0), ""-""),
""""
)"),"https://sierratech.com.ar/web/bordadora-industrial-zgm-1501/")</f>
        <v>https://sierratech.com.ar/web/bordadora-industrial-zgm-1501/</v>
      </c>
      <c r="W235" s="37" t="str">
        <f>IFERROR(__xludf.DUMMYFUNCTION("IFERROR(VLOOKUP(G235,IMPORTRANGE(""https://docs.google.com/spreadsheets/d/12RxCea4e5ggM7QGn1XE3FbLQa_-QbCNdBi90OdPjRqg"", ""'Plan de Compras'!D4:Q""), 12, 0), ""NO ESTÁ EN REQ"")"),"Técnica")</f>
        <v>Técnica</v>
      </c>
      <c r="X235" s="37" t="str">
        <f>IFERROR(__xludf.DUMMYFUNCTION("IFERROR(VLOOKUP(G235,IMPORTRANGE(""https://docs.google.com/spreadsheets/d/12RxCea4e5ggM7QGn1XE3FbLQa_-QbCNdBi90OdPjRqg"", ""'Plan de Compras'!D4:Q""), 13, 0), """")"),"INTERNACIONAL")</f>
        <v>INTERNACIONAL</v>
      </c>
      <c r="Y235" s="32" t="str">
        <f>IFERROR(__xludf.DUMMYFUNCTION("IFERROR(VLOOKUP(G235,IMPORTRANGE(""https://docs.google.com/spreadsheets/d/12RxCea4e5ggM7QGn1XE3FbLQa_-QbCNdBi90OdPjRqg"", ""'Plan de Compras'!D4:Q""), 14, 0), """")"),"GEYDI")</f>
        <v>GEYDI</v>
      </c>
      <c r="Z235" s="38" t="str">
        <f>IFERROR(__xludf.DUMMYFUNCTION("IFERROR(VLOOKUP(G235,IMPORTRANGE(""https://docs.google.com/spreadsheets/d/12RxCea4e5ggM7QGn1XE3FbLQa_-QbCNdBi90OdPjRqg"", ""'Plan de Compras'!D4:Q""), 4, 0), """")"),"MÁQUINA BORDADORA SEMI INDUSTRIAL")</f>
        <v>MÁQUINA BORDADORA SEMI INDUSTRIAL</v>
      </c>
      <c r="AA235" s="38" t="str">
        <f t="shared" si="16"/>
        <v>TRUE</v>
      </c>
      <c r="AB235" s="37" t="str">
        <f>IFERROR(__xludf.DUMMYFUNCTION("IFERROR(IF(OR(C235=TRUE,C235=""""),VLOOKUP(G235,IMPORTRANGE(""https://docs.google.com/spreadsheets/d/1z9A1Wq-kKrhRNG5RS2a2fKpY1wIhSVz2ZNmP2mOl588/edit?usp=sharing"",""REQ VF!E4:H""),4,0),""NO APLICA""),""GENERAR REQ"")"),"GENERAR REQ")</f>
        <v>GENERAR REQ</v>
      </c>
      <c r="AC235" s="37" t="str">
        <f>IFERROR(__xludf.DUMMYFUNCTION("IFERROR(QUERY(IMPORTRANGE(""https://docs.google.com/spreadsheets/d/1z9A1Wq-kKrhRNG5RS2a2fKpY1wIhSVz2ZNmP2mOl588/edit?usp=sharing"",""REQ VF!E4:Q""),""SELECT Col10, Col11, Col12 WHERE Col1 = '""&amp;G235&amp;""'"",0),""NO APLICA"")"),"NO APLICA")</f>
        <v>NO APLICA</v>
      </c>
      <c r="AD235" s="37"/>
      <c r="AE235" s="37"/>
      <c r="AF235" s="8" t="s">
        <v>52</v>
      </c>
      <c r="AG235" s="13"/>
    </row>
    <row r="236">
      <c r="A236" s="26"/>
      <c r="B236" s="26"/>
      <c r="C236" s="26" t="b">
        <v>1</v>
      </c>
      <c r="D236" s="26" t="s">
        <v>42</v>
      </c>
      <c r="E236" s="26" t="s">
        <v>36</v>
      </c>
      <c r="F236" s="59" t="s">
        <v>790</v>
      </c>
      <c r="G236" s="39" t="s">
        <v>793</v>
      </c>
      <c r="H236" s="66" t="s">
        <v>794</v>
      </c>
      <c r="I236" s="43">
        <f>$I$235</f>
        <v>2</v>
      </c>
      <c r="J236" s="26">
        <f>IFERROR(__xludf.DUMMYFUNCTION("VLOOKUP(G236,IMPORTRANGE(""https://docs.google.com/spreadsheets/d/12RxCea4e5ggM7QGn1XE3FbLQa_-QbCNdBi90OdPjRqg/edit?gid=1692403370#gid=1692403370"", ""'Plan de Compras'!D4:2432""), 8,0)"),2.0)</f>
        <v>2</v>
      </c>
      <c r="K236" s="26" t="str">
        <f t="shared" si="1"/>
        <v>SI</v>
      </c>
      <c r="L236" s="26"/>
      <c r="M236" s="47"/>
      <c r="N236" s="60" t="s">
        <v>166</v>
      </c>
      <c r="O236" s="42"/>
      <c r="P236" s="42"/>
      <c r="Q236" s="41"/>
      <c r="R236" s="47"/>
      <c r="S236" s="34" t="b">
        <v>1</v>
      </c>
      <c r="T236" s="35" t="s">
        <v>795</v>
      </c>
      <c r="U236" s="35" t="s">
        <v>796</v>
      </c>
      <c r="V236" s="56" t="s">
        <v>797</v>
      </c>
      <c r="W236" s="37" t="str">
        <f>IFERROR(__xludf.DUMMYFUNCTION("IFERROR(VLOOKUP(G236,IMPORTRANGE(""https://docs.google.com/spreadsheets/d/12RxCea4e5ggM7QGn1XE3FbLQa_-QbCNdBi90OdPjRqg"", ""'Plan de Compras'!D4:Q""), 12, 0), ""NO ESTÁ EN REQ"")"),"Técnica")</f>
        <v>Técnica</v>
      </c>
      <c r="X236" s="37" t="str">
        <f>IFERROR(__xludf.DUMMYFUNCTION("IFERROR(VLOOKUP(G236,IMPORTRANGE(""https://docs.google.com/spreadsheets/d/12RxCea4e5ggM7QGn1XE3FbLQa_-QbCNdBi90OdPjRqg"", ""'Plan de Compras'!D4:Q""), 13, 0), """")"),"INTERNACIONAL")</f>
        <v>INTERNACIONAL</v>
      </c>
      <c r="Y236" s="32" t="str">
        <f>IFERROR(__xludf.DUMMYFUNCTION("IFERROR(VLOOKUP(G236,IMPORTRANGE(""https://docs.google.com/spreadsheets/d/12RxCea4e5ggM7QGn1XE3FbLQa_-QbCNdBi90OdPjRqg"", ""'Plan de Compras'!D4:Q""), 14, 0), """")"),"GEYDI")</f>
        <v>GEYDI</v>
      </c>
      <c r="Z236" s="38" t="str">
        <f>IFERROR(__xludf.DUMMYFUNCTION("IFERROR(VLOOKUP(G236,IMPORTRANGE(""https://docs.google.com/spreadsheets/d/12RxCea4e5ggM7QGn1XE3FbLQa_-QbCNdBi90OdPjRqg"", ""'Plan de Compras'!D4:Q""), 4, 0), """")"),"SOFTWARE DE DISEÑO CON LICENCIA PERMANENTE (1 UND)")</f>
        <v>SOFTWARE DE DISEÑO CON LICENCIA PERMANENTE (1 UND)</v>
      </c>
      <c r="AA236" s="38" t="str">
        <f t="shared" si="16"/>
        <v>TRUE</v>
      </c>
      <c r="AB236" s="37" t="str">
        <f>IFERROR(__xludf.DUMMYFUNCTION("IFERROR(IF(OR(C236=TRUE,C236=""""),VLOOKUP(G236,IMPORTRANGE(""https://docs.google.com/spreadsheets/d/1z9A1Wq-kKrhRNG5RS2a2fKpY1wIhSVz2ZNmP2mOl588/edit?usp=sharing"",""REQ VF!E4:H""),4,0),""NO APLICA""),""GENERAR REQ"")"),"GENERAR REQ")</f>
        <v>GENERAR REQ</v>
      </c>
      <c r="AC236" s="37" t="str">
        <f>IFERROR(__xludf.DUMMYFUNCTION("IFERROR(QUERY(IMPORTRANGE(""https://docs.google.com/spreadsheets/d/1z9A1Wq-kKrhRNG5RS2a2fKpY1wIhSVz2ZNmP2mOl588/edit?usp=sharing"",""REQ VF!E4:Q""),""SELECT Col10, Col11, Col12 WHERE Col1 = '""&amp;G236&amp;""'"",0),""NO APLICA"")"),"NO APLICA")</f>
        <v>NO APLICA</v>
      </c>
      <c r="AD236" s="37"/>
      <c r="AE236" s="37"/>
      <c r="AF236" s="13"/>
      <c r="AG236" s="13"/>
    </row>
    <row r="237">
      <c r="A237" s="26"/>
      <c r="B237" s="26"/>
      <c r="C237" s="26" t="b">
        <v>0</v>
      </c>
      <c r="D237" s="26" t="s">
        <v>42</v>
      </c>
      <c r="E237" s="26" t="s">
        <v>36</v>
      </c>
      <c r="F237" s="59" t="s">
        <v>790</v>
      </c>
      <c r="G237" s="39" t="s">
        <v>798</v>
      </c>
      <c r="H237" s="66" t="s">
        <v>799</v>
      </c>
      <c r="I237" s="43">
        <v>0.0</v>
      </c>
      <c r="J237" s="26" t="str">
        <f>IFERROR(__xludf.DUMMYFUNCTION("VLOOKUP(G237,IMPORTRANGE(""https://docs.google.com/spreadsheets/d/12RxCea4e5ggM7QGn1XE3FbLQa_-QbCNdBi90OdPjRqg/edit?gid=1692403370#gid=1692403370"", ""'Plan de Compras'!D4:2432""), 8,0)"),"#N/A")</f>
        <v>#N/A</v>
      </c>
      <c r="K237" s="26" t="str">
        <f t="shared" si="1"/>
        <v>-</v>
      </c>
      <c r="L237" s="26"/>
      <c r="M237" s="47"/>
      <c r="N237" s="60" t="s">
        <v>166</v>
      </c>
      <c r="O237" s="42"/>
      <c r="P237" s="42"/>
      <c r="Q237" s="41"/>
      <c r="R237" s="47"/>
      <c r="S237" s="34" t="b">
        <v>1</v>
      </c>
      <c r="T237" s="35" t="s">
        <v>795</v>
      </c>
      <c r="U237" s="35" t="s">
        <v>119</v>
      </c>
      <c r="V237" s="44"/>
      <c r="W237" s="37" t="str">
        <f>IFERROR(__xludf.DUMMYFUNCTION("IFERROR(VLOOKUP(G237,IMPORTRANGE(""https://docs.google.com/spreadsheets/d/12RxCea4e5ggM7QGn1XE3FbLQa_-QbCNdBi90OdPjRqg"", ""'Plan de Compras'!D4:Q""), 12, 0), ""NO ESTÁ EN REQ"")"),"NO ESTÁ EN REQ")</f>
        <v>NO ESTÁ EN REQ</v>
      </c>
      <c r="X237" s="37" t="str">
        <f>IFERROR(__xludf.DUMMYFUNCTION("IFERROR(VLOOKUP(G237,IMPORTRANGE(""https://docs.google.com/spreadsheets/d/12RxCea4e5ggM7QGn1XE3FbLQa_-QbCNdBi90OdPjRqg"", ""'Plan de Compras'!D4:Q""), 13, 0), """")"),"")</f>
        <v/>
      </c>
      <c r="Y237" s="32" t="str">
        <f>IFERROR(__xludf.DUMMYFUNCTION("IFERROR(VLOOKUP(G237,IMPORTRANGE(""https://docs.google.com/spreadsheets/d/12RxCea4e5ggM7QGn1XE3FbLQa_-QbCNdBi90OdPjRqg"", ""'Plan de Compras'!D4:Q""), 14, 0), """")"),"")</f>
        <v/>
      </c>
      <c r="Z237" s="38" t="str">
        <f>IFERROR(__xludf.DUMMYFUNCTION("IFERROR(VLOOKUP(G237,IMPORTRANGE(""https://docs.google.com/spreadsheets/d/12RxCea4e5ggM7QGn1XE3FbLQa_-QbCNdBi90OdPjRqg"", ""'Plan de Compras'!D4:Q""), 4, 0), """")"),"")</f>
        <v/>
      </c>
      <c r="AA237" s="38" t="str">
        <f t="shared" si="16"/>
        <v>FALSE</v>
      </c>
      <c r="AB237" s="37" t="str">
        <f>IFERROR(__xludf.DUMMYFUNCTION("IFERROR(IF(OR(C237=TRUE,C237=""""),VLOOKUP(G237,IMPORTRANGE(""https://docs.google.com/spreadsheets/d/1z9A1Wq-kKrhRNG5RS2a2fKpY1wIhSVz2ZNmP2mOl588/edit?usp=sharing"",""REQ VF!E4:H""),4,0),""NO APLICA""),""GENERAR REQ"")"),"NO APLICA")</f>
        <v>NO APLICA</v>
      </c>
      <c r="AC237" s="37" t="str">
        <f>IFERROR(__xludf.DUMMYFUNCTION("IFERROR(QUERY(IMPORTRANGE(""https://docs.google.com/spreadsheets/d/1z9A1Wq-kKrhRNG5RS2a2fKpY1wIhSVz2ZNmP2mOl588/edit?usp=sharing"",""REQ VF!E4:Q""),""SELECT Col10, Col11, Col12 WHERE Col1 = '""&amp;G237&amp;""'"",0),""NO APLICA"")"),"NO APLICA")</f>
        <v>NO APLICA</v>
      </c>
      <c r="AD237" s="37"/>
      <c r="AE237" s="37"/>
      <c r="AF237" s="13"/>
      <c r="AG237" s="13"/>
    </row>
    <row r="238">
      <c r="A238" s="26"/>
      <c r="B238" s="26"/>
      <c r="C238" s="26" t="b">
        <v>0</v>
      </c>
      <c r="D238" s="26" t="s">
        <v>42</v>
      </c>
      <c r="E238" s="26" t="s">
        <v>36</v>
      </c>
      <c r="F238" s="59" t="s">
        <v>790</v>
      </c>
      <c r="G238" s="39" t="s">
        <v>800</v>
      </c>
      <c r="H238" s="66" t="s">
        <v>801</v>
      </c>
      <c r="I238" s="43">
        <v>0.0</v>
      </c>
      <c r="J238" s="26" t="str">
        <f>IFERROR(__xludf.DUMMYFUNCTION("VLOOKUP(G238,IMPORTRANGE(""https://docs.google.com/spreadsheets/d/12RxCea4e5ggM7QGn1XE3FbLQa_-QbCNdBi90OdPjRqg/edit?gid=1692403370#gid=1692403370"", ""'Plan de Compras'!D4:2432""), 8,0)"),"#N/A")</f>
        <v>#N/A</v>
      </c>
      <c r="K238" s="26" t="str">
        <f t="shared" si="1"/>
        <v>-</v>
      </c>
      <c r="L238" s="26"/>
      <c r="M238" s="47"/>
      <c r="N238" s="60" t="s">
        <v>166</v>
      </c>
      <c r="O238" s="42"/>
      <c r="P238" s="42"/>
      <c r="Q238" s="41"/>
      <c r="R238" s="47"/>
      <c r="S238" s="34" t="b">
        <v>1</v>
      </c>
      <c r="T238" s="35" t="s">
        <v>795</v>
      </c>
      <c r="U238" s="35" t="s">
        <v>119</v>
      </c>
      <c r="V238" s="44"/>
      <c r="W238" s="37" t="str">
        <f>IFERROR(__xludf.DUMMYFUNCTION("IFERROR(VLOOKUP(G238,IMPORTRANGE(""https://docs.google.com/spreadsheets/d/12RxCea4e5ggM7QGn1XE3FbLQa_-QbCNdBi90OdPjRqg"", ""'Plan de Compras'!D4:Q""), 12, 0), ""NO ESTÁ EN REQ"")"),"NO ESTÁ EN REQ")</f>
        <v>NO ESTÁ EN REQ</v>
      </c>
      <c r="X238" s="37" t="str">
        <f>IFERROR(__xludf.DUMMYFUNCTION("IFERROR(VLOOKUP(G238,IMPORTRANGE(""https://docs.google.com/spreadsheets/d/12RxCea4e5ggM7QGn1XE3FbLQa_-QbCNdBi90OdPjRqg"", ""'Plan de Compras'!D4:Q""), 13, 0), """")"),"")</f>
        <v/>
      </c>
      <c r="Y238" s="32" t="str">
        <f>IFERROR(__xludf.DUMMYFUNCTION("IFERROR(VLOOKUP(G238,IMPORTRANGE(""https://docs.google.com/spreadsheets/d/12RxCea4e5ggM7QGn1XE3FbLQa_-QbCNdBi90OdPjRqg"", ""'Plan de Compras'!D4:Q""), 14, 0), """")"),"")</f>
        <v/>
      </c>
      <c r="Z238" s="38" t="str">
        <f>IFERROR(__xludf.DUMMYFUNCTION("IFERROR(VLOOKUP(G238,IMPORTRANGE(""https://docs.google.com/spreadsheets/d/12RxCea4e5ggM7QGn1XE3FbLQa_-QbCNdBi90OdPjRqg"", ""'Plan de Compras'!D4:Q""), 4, 0), """")"),"")</f>
        <v/>
      </c>
      <c r="AA238" s="38" t="str">
        <f t="shared" si="16"/>
        <v>FALSE</v>
      </c>
      <c r="AB238" s="37" t="str">
        <f>IFERROR(__xludf.DUMMYFUNCTION("IFERROR(IF(OR(C238=TRUE,C238=""""),VLOOKUP(G238,IMPORTRANGE(""https://docs.google.com/spreadsheets/d/1z9A1Wq-kKrhRNG5RS2a2fKpY1wIhSVz2ZNmP2mOl588/edit?usp=sharing"",""REQ VF!E4:H""),4,0),""NO APLICA""),""GENERAR REQ"")"),"NO APLICA")</f>
        <v>NO APLICA</v>
      </c>
      <c r="AC238" s="37" t="str">
        <f>IFERROR(__xludf.DUMMYFUNCTION("IFERROR(QUERY(IMPORTRANGE(""https://docs.google.com/spreadsheets/d/1z9A1Wq-kKrhRNG5RS2a2fKpY1wIhSVz2ZNmP2mOl588/edit?usp=sharing"",""REQ VF!E4:Q""),""SELECT Col10, Col11, Col12 WHERE Col1 = '""&amp;G238&amp;""'"",0),""NO APLICA"")"),"NO APLICA")</f>
        <v>NO APLICA</v>
      </c>
      <c r="AD238" s="37"/>
      <c r="AE238" s="37"/>
      <c r="AF238" s="13"/>
      <c r="AG238" s="13"/>
    </row>
    <row r="239">
      <c r="A239" s="26"/>
      <c r="B239" s="26"/>
      <c r="C239" s="26" t="b">
        <v>0</v>
      </c>
      <c r="D239" s="26" t="s">
        <v>42</v>
      </c>
      <c r="E239" s="26" t="s">
        <v>36</v>
      </c>
      <c r="F239" s="59" t="s">
        <v>790</v>
      </c>
      <c r="G239" s="39" t="s">
        <v>802</v>
      </c>
      <c r="H239" s="66" t="s">
        <v>803</v>
      </c>
      <c r="I239" s="43">
        <v>0.0</v>
      </c>
      <c r="J239" s="26" t="str">
        <f>IFERROR(__xludf.DUMMYFUNCTION("VLOOKUP(G239,IMPORTRANGE(""https://docs.google.com/spreadsheets/d/12RxCea4e5ggM7QGn1XE3FbLQa_-QbCNdBi90OdPjRqg/edit?gid=1692403370#gid=1692403370"", ""'Plan de Compras'!D4:2432""), 8,0)"),"#N/A")</f>
        <v>#N/A</v>
      </c>
      <c r="K239" s="26" t="str">
        <f t="shared" si="1"/>
        <v>-</v>
      </c>
      <c r="L239" s="26"/>
      <c r="M239" s="47"/>
      <c r="N239" s="60" t="s">
        <v>166</v>
      </c>
      <c r="O239" s="42"/>
      <c r="P239" s="42"/>
      <c r="Q239" s="41"/>
      <c r="R239" s="47"/>
      <c r="S239" s="34" t="b">
        <v>1</v>
      </c>
      <c r="T239" s="35" t="s">
        <v>795</v>
      </c>
      <c r="U239" s="35" t="s">
        <v>119</v>
      </c>
      <c r="V239" s="44"/>
      <c r="W239" s="37" t="str">
        <f>IFERROR(__xludf.DUMMYFUNCTION("IFERROR(VLOOKUP(G239,IMPORTRANGE(""https://docs.google.com/spreadsheets/d/12RxCea4e5ggM7QGn1XE3FbLQa_-QbCNdBi90OdPjRqg"", ""'Plan de Compras'!D4:Q""), 12, 0), ""NO ESTÁ EN REQ"")"),"NO ESTÁ EN REQ")</f>
        <v>NO ESTÁ EN REQ</v>
      </c>
      <c r="X239" s="37" t="str">
        <f>IFERROR(__xludf.DUMMYFUNCTION("IFERROR(VLOOKUP(G239,IMPORTRANGE(""https://docs.google.com/spreadsheets/d/12RxCea4e5ggM7QGn1XE3FbLQa_-QbCNdBi90OdPjRqg"", ""'Plan de Compras'!D4:Q""), 13, 0), """")"),"")</f>
        <v/>
      </c>
      <c r="Y239" s="32" t="str">
        <f>IFERROR(__xludf.DUMMYFUNCTION("IFERROR(VLOOKUP(G239,IMPORTRANGE(""https://docs.google.com/spreadsheets/d/12RxCea4e5ggM7QGn1XE3FbLQa_-QbCNdBi90OdPjRqg"", ""'Plan de Compras'!D4:Q""), 14, 0), """")"),"")</f>
        <v/>
      </c>
      <c r="Z239" s="38" t="str">
        <f>IFERROR(__xludf.DUMMYFUNCTION("IFERROR(VLOOKUP(G239,IMPORTRANGE(""https://docs.google.com/spreadsheets/d/12RxCea4e5ggM7QGn1XE3FbLQa_-QbCNdBi90OdPjRqg"", ""'Plan de Compras'!D4:Q""), 4, 0), """")"),"")</f>
        <v/>
      </c>
      <c r="AA239" s="38" t="str">
        <f t="shared" si="16"/>
        <v>FALSE</v>
      </c>
      <c r="AB239" s="37" t="str">
        <f>IFERROR(__xludf.DUMMYFUNCTION("IFERROR(IF(OR(C239=TRUE,C239=""""),VLOOKUP(G239,IMPORTRANGE(""https://docs.google.com/spreadsheets/d/1z9A1Wq-kKrhRNG5RS2a2fKpY1wIhSVz2ZNmP2mOl588/edit?usp=sharing"",""REQ VF!E4:H""),4,0),""NO APLICA""),""GENERAR REQ"")"),"NO APLICA")</f>
        <v>NO APLICA</v>
      </c>
      <c r="AC239" s="37" t="str">
        <f>IFERROR(__xludf.DUMMYFUNCTION("IFERROR(QUERY(IMPORTRANGE(""https://docs.google.com/spreadsheets/d/1z9A1Wq-kKrhRNG5RS2a2fKpY1wIhSVz2ZNmP2mOl588/edit?usp=sharing"",""REQ VF!E4:Q""),""SELECT Col10, Col11, Col12 WHERE Col1 = '""&amp;G239&amp;""'"",0),""NO APLICA"")"),"NO APLICA")</f>
        <v>NO APLICA</v>
      </c>
      <c r="AD239" s="37"/>
      <c r="AE239" s="37"/>
      <c r="AF239" s="13"/>
      <c r="AG239" s="13"/>
    </row>
    <row r="240">
      <c r="A240" s="26"/>
      <c r="B240" s="26"/>
      <c r="C240" s="26" t="b">
        <v>0</v>
      </c>
      <c r="D240" s="26" t="s">
        <v>42</v>
      </c>
      <c r="E240" s="26" t="s">
        <v>36</v>
      </c>
      <c r="F240" s="59" t="s">
        <v>790</v>
      </c>
      <c r="G240" s="39" t="s">
        <v>804</v>
      </c>
      <c r="H240" s="66" t="s">
        <v>805</v>
      </c>
      <c r="I240" s="43">
        <v>0.0</v>
      </c>
      <c r="J240" s="26" t="str">
        <f>IFERROR(__xludf.DUMMYFUNCTION("VLOOKUP(G240,IMPORTRANGE(""https://docs.google.com/spreadsheets/d/12RxCea4e5ggM7QGn1XE3FbLQa_-QbCNdBi90OdPjRqg/edit?gid=1692403370#gid=1692403370"", ""'Plan de Compras'!D4:2432""), 8,0)"),"#N/A")</f>
        <v>#N/A</v>
      </c>
      <c r="K240" s="26" t="str">
        <f t="shared" si="1"/>
        <v>-</v>
      </c>
      <c r="L240" s="26"/>
      <c r="M240" s="47"/>
      <c r="N240" s="60" t="s">
        <v>166</v>
      </c>
      <c r="O240" s="42"/>
      <c r="P240" s="42"/>
      <c r="Q240" s="41"/>
      <c r="R240" s="47"/>
      <c r="S240" s="34" t="b">
        <v>1</v>
      </c>
      <c r="T240" s="35" t="s">
        <v>795</v>
      </c>
      <c r="U240" s="35" t="s">
        <v>119</v>
      </c>
      <c r="V240" s="44"/>
      <c r="W240" s="37" t="str">
        <f>IFERROR(__xludf.DUMMYFUNCTION("IFERROR(VLOOKUP(G240,IMPORTRANGE(""https://docs.google.com/spreadsheets/d/12RxCea4e5ggM7QGn1XE3FbLQa_-QbCNdBi90OdPjRqg"", ""'Plan de Compras'!D4:Q""), 12, 0), ""NO ESTÁ EN REQ"")"),"NO ESTÁ EN REQ")</f>
        <v>NO ESTÁ EN REQ</v>
      </c>
      <c r="X240" s="37" t="str">
        <f>IFERROR(__xludf.DUMMYFUNCTION("IFERROR(VLOOKUP(G240,IMPORTRANGE(""https://docs.google.com/spreadsheets/d/12RxCea4e5ggM7QGn1XE3FbLQa_-QbCNdBi90OdPjRqg"", ""'Plan de Compras'!D4:Q""), 13, 0), """")"),"")</f>
        <v/>
      </c>
      <c r="Y240" s="32" t="str">
        <f>IFERROR(__xludf.DUMMYFUNCTION("IFERROR(VLOOKUP(G240,IMPORTRANGE(""https://docs.google.com/spreadsheets/d/12RxCea4e5ggM7QGn1XE3FbLQa_-QbCNdBi90OdPjRqg"", ""'Plan de Compras'!D4:Q""), 14, 0), """")"),"")</f>
        <v/>
      </c>
      <c r="Z240" s="38" t="str">
        <f>IFERROR(__xludf.DUMMYFUNCTION("IFERROR(VLOOKUP(G240,IMPORTRANGE(""https://docs.google.com/spreadsheets/d/12RxCea4e5ggM7QGn1XE3FbLQa_-QbCNdBi90OdPjRqg"", ""'Plan de Compras'!D4:Q""), 4, 0), """")"),"")</f>
        <v/>
      </c>
      <c r="AA240" s="38" t="str">
        <f t="shared" si="16"/>
        <v>FALSE</v>
      </c>
      <c r="AB240" s="37" t="str">
        <f>IFERROR(__xludf.DUMMYFUNCTION("IFERROR(IF(OR(C240=TRUE,C240=""""),VLOOKUP(G240,IMPORTRANGE(""https://docs.google.com/spreadsheets/d/1z9A1Wq-kKrhRNG5RS2a2fKpY1wIhSVz2ZNmP2mOl588/edit?usp=sharing"",""REQ VF!E4:H""),4,0),""NO APLICA""),""GENERAR REQ"")"),"NO APLICA")</f>
        <v>NO APLICA</v>
      </c>
      <c r="AC240" s="37" t="str">
        <f>IFERROR(__xludf.DUMMYFUNCTION("IFERROR(QUERY(IMPORTRANGE(""https://docs.google.com/spreadsheets/d/1z9A1Wq-kKrhRNG5RS2a2fKpY1wIhSVz2ZNmP2mOl588/edit?usp=sharing"",""REQ VF!E4:Q""),""SELECT Col10, Col11, Col12 WHERE Col1 = '""&amp;G240&amp;""'"",0),""NO APLICA"")"),"NO APLICA")</f>
        <v>NO APLICA</v>
      </c>
      <c r="AD240" s="37"/>
      <c r="AE240" s="37"/>
      <c r="AF240" s="13"/>
      <c r="AG240" s="13"/>
    </row>
    <row r="241">
      <c r="A241" s="26"/>
      <c r="B241" s="26"/>
      <c r="C241" s="26" t="b">
        <v>1</v>
      </c>
      <c r="D241" s="26" t="s">
        <v>42</v>
      </c>
      <c r="E241" s="26" t="s">
        <v>36</v>
      </c>
      <c r="F241" s="59" t="s">
        <v>790</v>
      </c>
      <c r="G241" s="39" t="s">
        <v>806</v>
      </c>
      <c r="H241" s="66" t="s">
        <v>807</v>
      </c>
      <c r="I241" s="43">
        <f t="shared" ref="I241:I242" si="26">$I$235</f>
        <v>2</v>
      </c>
      <c r="J241" s="26">
        <f>IFERROR(__xludf.DUMMYFUNCTION("VLOOKUP(G241,IMPORTRANGE(""https://docs.google.com/spreadsheets/d/12RxCea4e5ggM7QGn1XE3FbLQa_-QbCNdBi90OdPjRqg/edit?gid=1692403370#gid=1692403370"", ""'Plan de Compras'!D4:2432""), 8,0)"),2.0)</f>
        <v>2</v>
      </c>
      <c r="K241" s="26" t="str">
        <f t="shared" si="1"/>
        <v>SI</v>
      </c>
      <c r="L241" s="26"/>
      <c r="M241" s="47"/>
      <c r="N241" s="60" t="s">
        <v>166</v>
      </c>
      <c r="O241" s="42"/>
      <c r="P241" s="42"/>
      <c r="Q241" s="41"/>
      <c r="R241" s="47"/>
      <c r="S241" s="44" t="b">
        <v>0</v>
      </c>
      <c r="T241" s="35"/>
      <c r="U241" s="72"/>
      <c r="V241" s="44"/>
      <c r="W241" s="37" t="str">
        <f>IFERROR(__xludf.DUMMYFUNCTION("IFERROR(VLOOKUP(G241,IMPORTRANGE(""https://docs.google.com/spreadsheets/d/12RxCea4e5ggM7QGn1XE3FbLQa_-QbCNdBi90OdPjRqg"", ""'Plan de Compras'!D4:Q""), 12, 0), ""NO ESTÁ EN REQ"")"),"Técnica")</f>
        <v>Técnica</v>
      </c>
      <c r="X241" s="37" t="str">
        <f>IFERROR(__xludf.DUMMYFUNCTION("IFERROR(VLOOKUP(G241,IMPORTRANGE(""https://docs.google.com/spreadsheets/d/12RxCea4e5ggM7QGn1XE3FbLQa_-QbCNdBi90OdPjRqg"", ""'Plan de Compras'!D4:Q""), 13, 0), """")"),"NACIONAL")</f>
        <v>NACIONAL</v>
      </c>
      <c r="Y241" s="32" t="str">
        <f>IFERROR(__xludf.DUMMYFUNCTION("IFERROR(VLOOKUP(G241,IMPORTRANGE(""https://docs.google.com/spreadsheets/d/12RxCea4e5ggM7QGn1XE3FbLQa_-QbCNdBi90OdPjRqg"", ""'Plan de Compras'!D4:Q""), 14, 0), """")"),"JESSICA")</f>
        <v>JESSICA</v>
      </c>
      <c r="Z241" s="38" t="str">
        <f>IFERROR(__xludf.DUMMYFUNCTION("IFERROR(VLOOKUP(G241,IMPORTRANGE(""https://docs.google.com/spreadsheets/d/12RxCea4e5ggM7QGn1XE3FbLQa_-QbCNdBi90OdPjRqg"", ""'Plan de Compras'!D4:Q""), 4, 0), """")"),"100 AGUJAS PARA COSER N° 18 (1 UND)")</f>
        <v>100 AGUJAS PARA COSER N° 18 (1 UND)</v>
      </c>
      <c r="AA241" s="38" t="str">
        <f t="shared" si="16"/>
        <v>TRUE</v>
      </c>
      <c r="AB241" s="37" t="str">
        <f>IFERROR(__xludf.DUMMYFUNCTION("IFERROR(IF(OR(C241=TRUE,C241=""""),VLOOKUP(G241,IMPORTRANGE(""https://docs.google.com/spreadsheets/d/1z9A1Wq-kKrhRNG5RS2a2fKpY1wIhSVz2ZNmP2mOl588/edit?usp=sharing"",""REQ VF!E4:H""),4,0),""NO APLICA""),""GENERAR REQ"")"),"GENERAR REQ")</f>
        <v>GENERAR REQ</v>
      </c>
      <c r="AC241" s="37" t="str">
        <f>IFERROR(__xludf.DUMMYFUNCTION("IFERROR(QUERY(IMPORTRANGE(""https://docs.google.com/spreadsheets/d/1z9A1Wq-kKrhRNG5RS2a2fKpY1wIhSVz2ZNmP2mOl588/edit?usp=sharing"",""REQ VF!E4:Q""),""SELECT Col10, Col11, Col12 WHERE Col1 = '""&amp;G241&amp;""'"",0),""NO APLICA"")"),"NO APLICA")</f>
        <v>NO APLICA</v>
      </c>
      <c r="AD241" s="37"/>
      <c r="AE241" s="37"/>
      <c r="AF241" s="13"/>
      <c r="AG241" s="13"/>
    </row>
    <row r="242">
      <c r="A242" s="26"/>
      <c r="B242" s="26"/>
      <c r="C242" s="26" t="b">
        <v>1</v>
      </c>
      <c r="D242" s="26" t="s">
        <v>42</v>
      </c>
      <c r="E242" s="26" t="s">
        <v>36</v>
      </c>
      <c r="F242" s="59" t="s">
        <v>790</v>
      </c>
      <c r="G242" s="39" t="s">
        <v>808</v>
      </c>
      <c r="H242" s="66" t="s">
        <v>809</v>
      </c>
      <c r="I242" s="43">
        <f t="shared" si="26"/>
        <v>2</v>
      </c>
      <c r="J242" s="26">
        <f>IFERROR(__xludf.DUMMYFUNCTION("VLOOKUP(G242,IMPORTRANGE(""https://docs.google.com/spreadsheets/d/12RxCea4e5ggM7QGn1XE3FbLQa_-QbCNdBi90OdPjRqg/edit?gid=1692403370#gid=1692403370"", ""'Plan de Compras'!D4:2432""), 8,0)"),2.0)</f>
        <v>2</v>
      </c>
      <c r="K242" s="26" t="str">
        <f t="shared" si="1"/>
        <v>SI</v>
      </c>
      <c r="L242" s="26"/>
      <c r="M242" s="47"/>
      <c r="N242" s="60" t="s">
        <v>166</v>
      </c>
      <c r="O242" s="42"/>
      <c r="P242" s="42"/>
      <c r="Q242" s="41"/>
      <c r="R242" s="47"/>
      <c r="S242" s="44" t="b">
        <v>0</v>
      </c>
      <c r="T242" s="35"/>
      <c r="U242" s="72"/>
      <c r="V242" s="44"/>
      <c r="W242" s="37"/>
      <c r="X242" s="37"/>
      <c r="Y242" s="32"/>
      <c r="Z242" s="38"/>
      <c r="AA242" s="38" t="str">
        <f t="shared" si="16"/>
        <v>FALSE</v>
      </c>
      <c r="AB242" s="37" t="str">
        <f>IFERROR(__xludf.DUMMYFUNCTION("IFERROR(IF(OR(C242=TRUE,C242=""""),VLOOKUP(G242,IMPORTRANGE(""https://docs.google.com/spreadsheets/d/1z9A1Wq-kKrhRNG5RS2a2fKpY1wIhSVz2ZNmP2mOl588/edit?usp=sharing"",""REQ VF!E4:H""),4,0),""NO APLICA""),""GENERAR REQ"")"),"GENERAR REQ")</f>
        <v>GENERAR REQ</v>
      </c>
      <c r="AC242" s="37" t="str">
        <f>IFERROR(__xludf.DUMMYFUNCTION("IFERROR(QUERY(IMPORTRANGE(""https://docs.google.com/spreadsheets/d/1z9A1Wq-kKrhRNG5RS2a2fKpY1wIhSVz2ZNmP2mOl588/edit?usp=sharing"",""REQ VF!E4:Q""),""SELECT Col10, Col11, Col12 WHERE Col1 = '""&amp;G242&amp;""'"",0),""NO APLICA"")"),"NO APLICA")</f>
        <v>NO APLICA</v>
      </c>
      <c r="AD242" s="37"/>
      <c r="AE242" s="37"/>
      <c r="AF242" s="13"/>
      <c r="AG242" s="13"/>
    </row>
    <row r="243">
      <c r="A243" s="26">
        <v>102.0</v>
      </c>
      <c r="B243" s="26" t="b">
        <v>1</v>
      </c>
      <c r="C243" s="26" t="b">
        <v>1</v>
      </c>
      <c r="D243" s="26" t="s">
        <v>35</v>
      </c>
      <c r="E243" s="26" t="s">
        <v>36</v>
      </c>
      <c r="F243" s="27" t="s">
        <v>810</v>
      </c>
      <c r="G243" s="37" t="s">
        <v>810</v>
      </c>
      <c r="H243" s="45" t="s">
        <v>811</v>
      </c>
      <c r="I243" s="43">
        <f>SUMIFS('Hoja 10'!$O:$O,'Hoja 10'!$F:$F,$G243)</f>
        <v>4</v>
      </c>
      <c r="J243" s="26">
        <f>IFERROR(__xludf.DUMMYFUNCTION("VLOOKUP(G243,IMPORTRANGE(""https://docs.google.com/spreadsheets/d/12RxCea4e5ggM7QGn1XE3FbLQa_-QbCNdBi90OdPjRqg/edit?gid=1692403370#gid=1692403370"", ""'Plan de Compras'!D4:2432""), 8,0)"),4.0)</f>
        <v>4</v>
      </c>
      <c r="K243" s="26" t="str">
        <f t="shared" si="1"/>
        <v>SI</v>
      </c>
      <c r="L243" s="29" t="s">
        <v>185</v>
      </c>
      <c r="M243" s="30" t="s">
        <v>186</v>
      </c>
      <c r="N243" s="42"/>
      <c r="O243" s="32" t="str">
        <f>VLOOKUP($G243,'Hoja 10'!$F$4:$AA478, 19,0)</f>
        <v>RELIABLE</v>
      </c>
      <c r="P243" s="32" t="str">
        <f>VLOOKUP($G243,'Hoja 10'!$F$4:$AA478, 20,0)</f>
        <v>1500FR</v>
      </c>
      <c r="Q243" s="33" t="str">
        <f>VLOOKUP($G243,'Hoja 10'!$F$4:$AA478, 21,0)</f>
        <v>https://reliablecorporation.com/en-eu/products/1500fr-octogonal-cutting-machine</v>
      </c>
      <c r="R243" s="30" t="s">
        <v>812</v>
      </c>
      <c r="S243" s="34" t="b">
        <v>1</v>
      </c>
      <c r="T243" s="35" t="str">
        <f>IFERROR(__xludf.DUMMYFUNCTION(" IF
( VLOOKUP($G243,IMPORTRANGE(""https://docs.google.com/spreadsheets/d/1Gpl6jkTg7sL4VDNimUm3S9Vi1i95esohXCF3wuKOE8c"", ""'CONSOLIDADO'!G5:AB""), 10, 0) &lt;&gt; 0, 
IFERROR(VLOOKUP($G243,IMPORTRANGE(""https://docs.google.com/spreadsheets/d/1Gpl6jkTg7sL4VDNimU"&amp;"m3S9Vi1i95esohXCF3wuKOE8c"", ""'CONSOLIDADO'!G5:AB""), 17, 0), ""-""),
""""
)"),"CHOISE HIGH TECHNOLOGY")</f>
        <v>CHOISE HIGH TECHNOLOGY</v>
      </c>
      <c r="U243" s="35" t="str">
        <f>IFERROR(__xludf.DUMMYFUNCTION(" IF
( VLOOKUP($G243,IMPORTRANGE(""https://docs.google.com/spreadsheets/d/1Gpl6jkTg7sL4VDNimUm3S9Vi1i95esohXCF3wuKOE8c"", ""'CONSOLIDADO'!G5:AB""), 10, 0) &lt;&gt; 0, 
IFERROR(VLOOKUP($G243,IMPORTRANGE(""https://docs.google.com/spreadsheets/d/1Gpl6jkTg7sL4VDNimU"&amp;"m3S9Vi1i95esohXCF3wuKOE8c"", ""'CONSOLIDADO'!G5:AB""), 18, 0), ""-""),
""""
)"),"RC-90")</f>
        <v>RC-90</v>
      </c>
      <c r="V243" s="36" t="str">
        <f>IFERROR(__xludf.DUMMYFUNCTION(" IF
( VLOOKUP($G243,IMPORTRANGE(""https://docs.google.com/spreadsheets/d/1Gpl6jkTg7sL4VDNimUm3S9Vi1i95esohXCF3wuKOE8c"", ""'CONSOLIDADO'!G5:AB""), 10, 0) &lt;&gt; 0, 
IFERROR(VLOOKUP($G243,IMPORTRANGE(""https://docs.google.com/spreadsheets/d/1Gpl6jkTg7sL4VDNimU"&amp;"m3S9Vi1i95esohXCF3wuKOE8c"", ""'CONSOLIDADO'!G5:AB""), 19, 0), ""-""),
""""
)"),"https://spanish.alibaba.com/product-detail/RC-90-round-blade-garment-fabric-60608906072.html")</f>
        <v>https://spanish.alibaba.com/product-detail/RC-90-round-blade-garment-fabric-60608906072.html</v>
      </c>
      <c r="W243" s="37" t="str">
        <f>IFERROR(__xludf.DUMMYFUNCTION("IFERROR(VLOOKUP(G243,IMPORTRANGE(""https://docs.google.com/spreadsheets/d/12RxCea4e5ggM7QGn1XE3FbLQa_-QbCNdBi90OdPjRqg"", ""'Plan de Compras'!D4:Q""), 12, 0), ""NO ESTÁ EN REQ"")"),"Técnica")</f>
        <v>Técnica</v>
      </c>
      <c r="X243" s="37" t="str">
        <f>IFERROR(__xludf.DUMMYFUNCTION("IFERROR(VLOOKUP(G243,IMPORTRANGE(""https://docs.google.com/spreadsheets/d/12RxCea4e5ggM7QGn1XE3FbLQa_-QbCNdBi90OdPjRqg"", ""'Plan de Compras'!D4:Q""), 13, 0), """")"),"INTERNACIONAL")</f>
        <v>INTERNACIONAL</v>
      </c>
      <c r="Y243" s="32" t="str">
        <f>IFERROR(__xludf.DUMMYFUNCTION("IFERROR(VLOOKUP(G243,IMPORTRANGE(""https://docs.google.com/spreadsheets/d/12RxCea4e5ggM7QGn1XE3FbLQa_-QbCNdBi90OdPjRqg"", ""'Plan de Compras'!D4:Q""), 14, 0), """")"),"ALEJANDRA")</f>
        <v>ALEJANDRA</v>
      </c>
      <c r="Z243" s="38" t="str">
        <f>IFERROR(__xludf.DUMMYFUNCTION("IFERROR(VLOOKUP(G243,IMPORTRANGE(""https://docs.google.com/spreadsheets/d/12RxCea4e5ggM7QGn1XE3FbLQa_-QbCNdBi90OdPjRqg"", ""'Plan de Compras'!D4:Q""), 4, 0), """")"),"MÁQUINA CORTADORA MANUAL DE DISCO")</f>
        <v>MÁQUINA CORTADORA MANUAL DE DISCO</v>
      </c>
      <c r="AA243" s="38" t="str">
        <f t="shared" si="16"/>
        <v>TRUE</v>
      </c>
      <c r="AB243" s="37" t="str">
        <f>IFERROR(__xludf.DUMMYFUNCTION("IFERROR(IF(OR(C243=TRUE,C243=""""),VLOOKUP(G243,IMPORTRANGE(""https://docs.google.com/spreadsheets/d/1z9A1Wq-kKrhRNG5RS2a2fKpY1wIhSVz2ZNmP2mOl588/edit?usp=sharing"",""REQ VF!E4:H""),4,0),""NO APLICA""),""GENERAR REQ"")"),"GENERAR REQ")</f>
        <v>GENERAR REQ</v>
      </c>
      <c r="AC243" s="37" t="str">
        <f>IFERROR(__xludf.DUMMYFUNCTION("IFERROR(QUERY(IMPORTRANGE(""https://docs.google.com/spreadsheets/d/1z9A1Wq-kKrhRNG5RS2a2fKpY1wIhSVz2ZNmP2mOl588/edit?usp=sharing"",""REQ VF!E4:Q""),""SELECT Col10, Col11, Col12 WHERE Col1 = '""&amp;G243&amp;""'"",0),""NO APLICA"")"),"NO APLICA")</f>
        <v>NO APLICA</v>
      </c>
      <c r="AD243" s="37"/>
      <c r="AE243" s="37"/>
      <c r="AF243" s="8" t="s">
        <v>52</v>
      </c>
      <c r="AG243" s="13"/>
    </row>
    <row r="244">
      <c r="A244" s="26">
        <v>103.0</v>
      </c>
      <c r="B244" s="26" t="b">
        <v>1</v>
      </c>
      <c r="C244" s="26" t="b">
        <v>1</v>
      </c>
      <c r="D244" s="26" t="s">
        <v>35</v>
      </c>
      <c r="E244" s="26" t="s">
        <v>36</v>
      </c>
      <c r="F244" s="27" t="s">
        <v>813</v>
      </c>
      <c r="G244" s="37" t="s">
        <v>813</v>
      </c>
      <c r="H244" s="45" t="s">
        <v>814</v>
      </c>
      <c r="I244" s="26">
        <f>SUMIFS('Hoja 10'!$O:$O,'Hoja 10'!$F:$F,$G244)</f>
        <v>13</v>
      </c>
      <c r="J244" s="26">
        <f>IFERROR(__xludf.DUMMYFUNCTION("VLOOKUP(G244,IMPORTRANGE(""https://docs.google.com/spreadsheets/d/12RxCea4e5ggM7QGn1XE3FbLQa_-QbCNdBi90OdPjRqg/edit?gid=1692403370#gid=1692403370"", ""'Plan de Compras'!D4:2432""), 8,0)"),13.0)</f>
        <v>13</v>
      </c>
      <c r="K244" s="26" t="str">
        <f t="shared" si="1"/>
        <v>SI</v>
      </c>
      <c r="L244" s="29" t="s">
        <v>185</v>
      </c>
      <c r="M244" s="30" t="s">
        <v>186</v>
      </c>
      <c r="N244" s="26"/>
      <c r="O244" s="32" t="str">
        <f>VLOOKUP($G244,'Hoja 10'!$F$4:$AA478, 19,0)</f>
        <v>JANOME</v>
      </c>
      <c r="P244" s="32" t="str">
        <f>VLOOKUP($G244,'Hoja 10'!$F$4:$AA478, 20,0)</f>
        <v>MC6700P</v>
      </c>
      <c r="Q244" s="33" t="str">
        <f>VLOOKUP($G244,'Hoja 10'!$F$4:$AA478, 21,0)</f>
        <v>https://drive.google.com/file/d/1pr-p_4UQyf3qQt43Dds_N142IuFfCXDk/view</v>
      </c>
      <c r="R244" s="30" t="s">
        <v>815</v>
      </c>
      <c r="S244" s="34" t="b">
        <v>1</v>
      </c>
      <c r="T244" s="35" t="str">
        <f>IFERROR(__xludf.DUMMYFUNCTION(" IF
( VLOOKUP($G244,IMPORTRANGE(""https://docs.google.com/spreadsheets/d/1Gpl6jkTg7sL4VDNimUm3S9Vi1i95esohXCF3wuKOE8c"", ""'CONSOLIDADO'!G5:AB""), 10, 0) &lt;&gt; 0, 
IFERROR(VLOOKUP($G244,IMPORTRANGE(""https://docs.google.com/spreadsheets/d/1Gpl6jkTg7sL4VDNimU"&amp;"m3S9Vi1i95esohXCF3wuKOE8c"", ""'CONSOLIDADO'!G5:AB""), 17, 0), ""-""),
""""
)"),"JANOME")</f>
        <v>JANOME</v>
      </c>
      <c r="U244" s="35" t="str">
        <f>IFERROR(__xludf.DUMMYFUNCTION(" IF
( VLOOKUP($G244,IMPORTRANGE(""https://docs.google.com/spreadsheets/d/1Gpl6jkTg7sL4VDNimUm3S9Vi1i95esohXCF3wuKOE8c"", ""'CONSOLIDADO'!G5:AB""), 10, 0) &lt;&gt; 0, 
IFERROR(VLOOKUP($G244,IMPORTRANGE(""https://docs.google.com/spreadsheets/d/1Gpl6jkTg7sL4VDNimU"&amp;"m3S9Vi1i95esohXCF3wuKOE8c"", ""'CONSOLIDADO'!G5:AB""), 18, 0), ""-""),
""""
)"),"MC6700P")</f>
        <v>MC6700P</v>
      </c>
      <c r="V244" s="36" t="str">
        <f>IFERROR(__xludf.DUMMYFUNCTION(" IF
( VLOOKUP($G244,IMPORTRANGE(""https://docs.google.com/spreadsheets/d/1Gpl6jkTg7sL4VDNimUm3S9Vi1i95esohXCF3wuKOE8c"", ""'CONSOLIDADO'!G5:AB""), 10, 0) &lt;&gt; 0, 
IFERROR(VLOOKUP($G244,IMPORTRANGE(""https://docs.google.com/spreadsheets/d/1Gpl6jkTg7sL4VDNimU"&amp;"m3S9Vi1i95esohXCF3wuKOE8c"", ""'CONSOLIDADO'!G5:AB""), 19, 0), ""-""),
""""
)"),"https://www.janome.es/mc6700p")</f>
        <v>https://www.janome.es/mc6700p</v>
      </c>
      <c r="W244" s="37" t="str">
        <f>IFERROR(__xludf.DUMMYFUNCTION("IFERROR(VLOOKUP(G244,IMPORTRANGE(""https://docs.google.com/spreadsheets/d/12RxCea4e5ggM7QGn1XE3FbLQa_-QbCNdBi90OdPjRqg"", ""'Plan de Compras'!D4:Q""), 12, 0), ""NO ESTÁ EN REQ"")"),"Técnica")</f>
        <v>Técnica</v>
      </c>
      <c r="X244" s="37" t="str">
        <f>IFERROR(__xludf.DUMMYFUNCTION("IFERROR(VLOOKUP(G244,IMPORTRANGE(""https://docs.google.com/spreadsheets/d/12RxCea4e5ggM7QGn1XE3FbLQa_-QbCNdBi90OdPjRqg"", ""'Plan de Compras'!D4:Q""), 13, 0), """")"),"INTERNACIONAL")</f>
        <v>INTERNACIONAL</v>
      </c>
      <c r="Y244" s="32" t="str">
        <f>IFERROR(__xludf.DUMMYFUNCTION("IFERROR(VLOOKUP(G244,IMPORTRANGE(""https://docs.google.com/spreadsheets/d/12RxCea4e5ggM7QGn1XE3FbLQa_-QbCNdBi90OdPjRqg"", ""'Plan de Compras'!D4:Q""), 14, 0), """")"),"GEYDI")</f>
        <v>GEYDI</v>
      </c>
      <c r="Z244" s="38" t="str">
        <f>IFERROR(__xludf.DUMMYFUNCTION("IFERROR(VLOOKUP(G244,IMPORTRANGE(""https://docs.google.com/spreadsheets/d/12RxCea4e5ggM7QGn1XE3FbLQa_-QbCNdBi90OdPjRqg"", ""'Plan de Compras'!D4:Q""), 4, 0), """")"),"MÁQUINA DE COSER DOMÉSTICA ELECTRÓNICA DIGITAL 1200 PUNTADAS POR MINUTO")</f>
        <v>MÁQUINA DE COSER DOMÉSTICA ELECTRÓNICA DIGITAL 1200 PUNTADAS POR MINUTO</v>
      </c>
      <c r="AA244" s="38" t="str">
        <f t="shared" si="16"/>
        <v>TRUE</v>
      </c>
      <c r="AB244" s="37" t="str">
        <f>IFERROR(__xludf.DUMMYFUNCTION("IFERROR(IF(OR(C244=TRUE,C244=""""),VLOOKUP(G244,IMPORTRANGE(""https://docs.google.com/spreadsheets/d/1z9A1Wq-kKrhRNG5RS2a2fKpY1wIhSVz2ZNmP2mOl588/edit?usp=sharing"",""REQ VF!E4:H""),4,0),""NO APLICA""),""GENERAR REQ"")"),"GENERAR REQ")</f>
        <v>GENERAR REQ</v>
      </c>
      <c r="AC244" s="37" t="str">
        <f>IFERROR(__xludf.DUMMYFUNCTION("IFERROR(QUERY(IMPORTRANGE(""https://docs.google.com/spreadsheets/d/1z9A1Wq-kKrhRNG5RS2a2fKpY1wIhSVz2ZNmP2mOl588/edit?usp=sharing"",""REQ VF!E4:Q""),""SELECT Col10, Col11, Col12 WHERE Col1 = '""&amp;G244&amp;""'"",0),""NO APLICA"")"),"NO APLICA")</f>
        <v>NO APLICA</v>
      </c>
      <c r="AD244" s="37"/>
      <c r="AE244" s="37"/>
      <c r="AF244" s="8" t="s">
        <v>52</v>
      </c>
      <c r="AG244" s="71"/>
    </row>
    <row r="245">
      <c r="A245" s="26">
        <v>104.0</v>
      </c>
      <c r="B245" s="26" t="b">
        <v>1</v>
      </c>
      <c r="C245" s="26" t="b">
        <v>1</v>
      </c>
      <c r="D245" s="26" t="s">
        <v>35</v>
      </c>
      <c r="E245" s="26" t="s">
        <v>36</v>
      </c>
      <c r="F245" s="27" t="s">
        <v>816</v>
      </c>
      <c r="G245" s="37" t="s">
        <v>816</v>
      </c>
      <c r="H245" s="45" t="s">
        <v>817</v>
      </c>
      <c r="I245" s="26">
        <f>SUMIFS('Hoja 10'!$O:$O,'Hoja 10'!$F:$F,$G245)</f>
        <v>13</v>
      </c>
      <c r="J245" s="26">
        <f>IFERROR(__xludf.DUMMYFUNCTION("VLOOKUP(G245,IMPORTRANGE(""https://docs.google.com/spreadsheets/d/12RxCea4e5ggM7QGn1XE3FbLQa_-QbCNdBi90OdPjRqg/edit?gid=1692403370#gid=1692403370"", ""'Plan de Compras'!D4:2432""), 8,0)"),13.0)</f>
        <v>13</v>
      </c>
      <c r="K245" s="26" t="str">
        <f t="shared" si="1"/>
        <v>SI</v>
      </c>
      <c r="L245" s="29" t="s">
        <v>185</v>
      </c>
      <c r="M245" s="30" t="s">
        <v>186</v>
      </c>
      <c r="N245" s="42"/>
      <c r="O245" s="32" t="str">
        <f>VLOOKUP($G245,'Hoja 10'!$F$4:$AA478, 19,0)</f>
        <v>JANOME</v>
      </c>
      <c r="P245" s="32" t="str">
        <f>VLOOKUP($G245,'Hoja 10'!$F$4:$AA478, 20,0)</f>
        <v>MC 9850</v>
      </c>
      <c r="Q245" s="33" t="str">
        <f>VLOOKUP($G245,'Hoja 10'!$F$4:$AA478, 21,0)</f>
        <v>https://www.janome.com/product/memory-craft-9850/</v>
      </c>
      <c r="R245" s="30" t="s">
        <v>818</v>
      </c>
      <c r="S245" s="34" t="b">
        <v>1</v>
      </c>
      <c r="T245" s="35" t="str">
        <f>IFERROR(__xludf.DUMMYFUNCTION(" IF
( VLOOKUP($G245,IMPORTRANGE(""https://docs.google.com/spreadsheets/d/1Gpl6jkTg7sL4VDNimUm3S9Vi1i95esohXCF3wuKOE8c"", ""'CONSOLIDADO'!G5:AB""), 10, 0) &lt;&gt; 0, 
IFERROR(VLOOKUP($G245,IMPORTRANGE(""https://docs.google.com/spreadsheets/d/1Gpl6jkTg7sL4VDNimU"&amp;"m3S9Vi1i95esohXCF3wuKOE8c"", ""'CONSOLIDADO'!G5:AB""), 17, 0), ""-""),
""""
)"),"JANOME")</f>
        <v>JANOME</v>
      </c>
      <c r="U245" s="35" t="str">
        <f>IFERROR(__xludf.DUMMYFUNCTION(" IF
( VLOOKUP($G245,IMPORTRANGE(""https://docs.google.com/spreadsheets/d/1Gpl6jkTg7sL4VDNimUm3S9Vi1i95esohXCF3wuKOE8c"", ""'CONSOLIDADO'!G5:AB""), 10, 0) &lt;&gt; 0, 
IFERROR(VLOOKUP($G245,IMPORTRANGE(""https://docs.google.com/spreadsheets/d/1Gpl6jkTg7sL4VDNimU"&amp;"m3S9Vi1i95esohXCF3wuKOE8c"", ""'CONSOLIDADO'!G5:AB""), 18, 0), ""-""),
""""
)"),"MC 9850")</f>
        <v>MC 9850</v>
      </c>
      <c r="V245" s="36" t="str">
        <f>IFERROR(__xludf.DUMMYFUNCTION(" IF
( VLOOKUP($G245,IMPORTRANGE(""https://docs.google.com/spreadsheets/d/1Gpl6jkTg7sL4VDNimUm3S9Vi1i95esohXCF3wuKOE8c"", ""'CONSOLIDADO'!G5:AB""), 10, 0) &lt;&gt; 0, 
IFERROR(VLOOKUP($G245,IMPORTRANGE(""https://docs.google.com/spreadsheets/d/1Gpl6jkTg7sL4VDNimU"&amp;"m3S9Vi1i95esohXCF3wuKOE8c"", ""'CONSOLIDADO'!G5:AB""), 19, 0), ""-""),
""""
)"),"https://www.janome.com/product/memory-craft-9850/")</f>
        <v>https://www.janome.com/product/memory-craft-9850/</v>
      </c>
      <c r="W245" s="37" t="str">
        <f>IFERROR(__xludf.DUMMYFUNCTION("IFERROR(VLOOKUP(G245,IMPORTRANGE(""https://docs.google.com/spreadsheets/d/12RxCea4e5ggM7QGn1XE3FbLQa_-QbCNdBi90OdPjRqg"", ""'Plan de Compras'!D4:Q""), 12, 0), ""NO ESTÁ EN REQ"")"),"Técnica")</f>
        <v>Técnica</v>
      </c>
      <c r="X245" s="37" t="str">
        <f>IFERROR(__xludf.DUMMYFUNCTION("IFERROR(VLOOKUP(G245,IMPORTRANGE(""https://docs.google.com/spreadsheets/d/12RxCea4e5ggM7QGn1XE3FbLQa_-QbCNdBi90OdPjRqg"", ""'Plan de Compras'!D4:Q""), 13, 0), """")"),"INTERNACIONAL")</f>
        <v>INTERNACIONAL</v>
      </c>
      <c r="Y245" s="32" t="str">
        <f>IFERROR(__xludf.DUMMYFUNCTION("IFERROR(VLOOKUP(G245,IMPORTRANGE(""https://docs.google.com/spreadsheets/d/12RxCea4e5ggM7QGn1XE3FbLQa_-QbCNdBi90OdPjRqg"", ""'Plan de Compras'!D4:Q""), 14, 0), """")"),"GEYDI")</f>
        <v>GEYDI</v>
      </c>
      <c r="Z245" s="38" t="str">
        <f>IFERROR(__xludf.DUMMYFUNCTION("IFERROR(VLOOKUP(G245,IMPORTRANGE(""https://docs.google.com/spreadsheets/d/12RxCea4e5ggM7QGn1XE3FbLQa_-QbCNdBi90OdPjRqg"", ""'Plan de Compras'!D4:Q""), 4, 0), """")"),"MÁQUINA DE COSER SEMI INDUSTRIAL MECÁNICA")</f>
        <v>MÁQUINA DE COSER SEMI INDUSTRIAL MECÁNICA</v>
      </c>
      <c r="AA245" s="38" t="str">
        <f t="shared" si="16"/>
        <v>TRUE</v>
      </c>
      <c r="AB245" s="37" t="str">
        <f>IFERROR(__xludf.DUMMYFUNCTION("IFERROR(IF(OR(C245=TRUE,C245=""""),VLOOKUP(G245,IMPORTRANGE(""https://docs.google.com/spreadsheets/d/1z9A1Wq-kKrhRNG5RS2a2fKpY1wIhSVz2ZNmP2mOl588/edit?usp=sharing"",""REQ VF!E4:H""),4,0),""NO APLICA""),""GENERAR REQ"")"),"GENERAR REQ")</f>
        <v>GENERAR REQ</v>
      </c>
      <c r="AC245" s="37" t="str">
        <f>IFERROR(__xludf.DUMMYFUNCTION("IFERROR(QUERY(IMPORTRANGE(""https://docs.google.com/spreadsheets/d/1z9A1Wq-kKrhRNG5RS2a2fKpY1wIhSVz2ZNmP2mOl588/edit?usp=sharing"",""REQ VF!E4:Q""),""SELECT Col10, Col11, Col12 WHERE Col1 = '""&amp;G245&amp;""'"",0),""NO APLICA"")"),"NO APLICA")</f>
        <v>NO APLICA</v>
      </c>
      <c r="AD245" s="37"/>
      <c r="AE245" s="37"/>
      <c r="AF245" s="13"/>
      <c r="AG245" s="13"/>
    </row>
    <row r="246">
      <c r="A246" s="26">
        <v>105.0</v>
      </c>
      <c r="B246" s="26" t="b">
        <v>1</v>
      </c>
      <c r="C246" s="26" t="b">
        <v>1</v>
      </c>
      <c r="D246" s="26" t="s">
        <v>35</v>
      </c>
      <c r="E246" s="26" t="s">
        <v>36</v>
      </c>
      <c r="F246" s="27" t="s">
        <v>819</v>
      </c>
      <c r="G246" s="37" t="s">
        <v>819</v>
      </c>
      <c r="H246" s="45" t="s">
        <v>820</v>
      </c>
      <c r="I246" s="26">
        <f>SUMIFS('Hoja 10'!$O:$O,'Hoja 10'!$F:$F,$G246)</f>
        <v>13</v>
      </c>
      <c r="J246" s="26">
        <f>IFERROR(__xludf.DUMMYFUNCTION("VLOOKUP(G246,IMPORTRANGE(""https://docs.google.com/spreadsheets/d/12RxCea4e5ggM7QGn1XE3FbLQa_-QbCNdBi90OdPjRqg/edit?gid=1692403370#gid=1692403370"", ""'Plan de Compras'!D4:2432""), 8,0)"),13.0)</f>
        <v>13</v>
      </c>
      <c r="K246" s="26" t="str">
        <f t="shared" si="1"/>
        <v>SI</v>
      </c>
      <c r="L246" s="29" t="s">
        <v>185</v>
      </c>
      <c r="M246" s="30" t="s">
        <v>186</v>
      </c>
      <c r="N246" s="42"/>
      <c r="O246" s="32" t="str">
        <f>VLOOKUP($G246,'Hoja 10'!$F$4:$AA478, 19,0)</f>
        <v>JUKI</v>
      </c>
      <c r="P246" s="32" t="str">
        <f>VLOOKUP($G246,'Hoja 10'!$F$4:$AA478, 20,0)</f>
        <v>DDL-8700H</v>
      </c>
      <c r="Q246" s="33" t="str">
        <f>VLOOKUP($G246,'Hoja 10'!$F$4:$AA478, 21,0)</f>
        <v>https://famatex.pe/recta-juki-ddl-8700.php</v>
      </c>
      <c r="R246" s="30" t="s">
        <v>821</v>
      </c>
      <c r="S246" s="34" t="b">
        <v>1</v>
      </c>
      <c r="T246" s="35" t="str">
        <f>IFERROR(__xludf.DUMMYFUNCTION(" IF
( VLOOKUP($G246,IMPORTRANGE(""https://docs.google.com/spreadsheets/d/1Gpl6jkTg7sL4VDNimUm3S9Vi1i95esohXCF3wuKOE8c"", ""'CONSOLIDADO'!G5:AB""), 10, 0) &lt;&gt; 0, 
IFERROR(VLOOKUP($G246,IMPORTRANGE(""https://docs.google.com/spreadsheets/d/1Gpl6jkTg7sL4VDNimU"&amp;"m3S9Vi1i95esohXCF3wuKOE8c"", ""'CONSOLIDADO'!G5:AB""), 17, 0), ""-""),
""""
)"),"JUKI")</f>
        <v>JUKI</v>
      </c>
      <c r="U246" s="35" t="str">
        <f>IFERROR(__xludf.DUMMYFUNCTION(" IF
( VLOOKUP($G246,IMPORTRANGE(""https://docs.google.com/spreadsheets/d/1Gpl6jkTg7sL4VDNimUm3S9Vi1i95esohXCF3wuKOE8c"", ""'CONSOLIDADO'!G5:AB""), 10, 0) &lt;&gt; 0, 
IFERROR(VLOOKUP($G246,IMPORTRANGE(""https://docs.google.com/spreadsheets/d/1Gpl6jkTg7sL4VDNimU"&amp;"m3S9Vi1i95esohXCF3wuKOE8c"", ""'CONSOLIDADO'!G5:AB""), 18, 0), ""-""),
""""
)"),"DDL-8700")</f>
        <v>DDL-8700</v>
      </c>
      <c r="V246" s="36" t="str">
        <f>IFERROR(__xludf.DUMMYFUNCTION(" IF
( VLOOKUP($G246,IMPORTRANGE(""https://docs.google.com/spreadsheets/d/1Gpl6jkTg7sL4VDNimUm3S9Vi1i95esohXCF3wuKOE8c"", ""'CONSOLIDADO'!G5:AB""), 10, 0) &lt;&gt; 0, 
IFERROR(VLOOKUP($G246,IMPORTRANGE(""https://docs.google.com/spreadsheets/d/1Gpl6jkTg7sL4VDNimU"&amp;"m3S9Vi1i95esohXCF3wuKOE8c"", ""'CONSOLIDADO'!G5:AB""), 19, 0), ""-""),
""""
)"),"https://famatex.pe/recta-juki-ddl-8700.php")</f>
        <v>https://famatex.pe/recta-juki-ddl-8700.php</v>
      </c>
      <c r="W246" s="37" t="str">
        <f>IFERROR(__xludf.DUMMYFUNCTION("IFERROR(VLOOKUP(G246,IMPORTRANGE(""https://docs.google.com/spreadsheets/d/12RxCea4e5ggM7QGn1XE3FbLQa_-QbCNdBi90OdPjRqg"", ""'Plan de Compras'!D4:Q""), 12, 0), ""NO ESTÁ EN REQ"")"),"Técnica")</f>
        <v>Técnica</v>
      </c>
      <c r="X246" s="37" t="str">
        <f>IFERROR(__xludf.DUMMYFUNCTION("IFERROR(VLOOKUP(G246,IMPORTRANGE(""https://docs.google.com/spreadsheets/d/12RxCea4e5ggM7QGn1XE3FbLQa_-QbCNdBi90OdPjRqg"", ""'Plan de Compras'!D4:Q""), 13, 0), """")"),"INTERNACIONAL")</f>
        <v>INTERNACIONAL</v>
      </c>
      <c r="Y246" s="32" t="str">
        <f>IFERROR(__xludf.DUMMYFUNCTION("IFERROR(VLOOKUP(G246,IMPORTRANGE(""https://docs.google.com/spreadsheets/d/12RxCea4e5ggM7QGn1XE3FbLQa_-QbCNdBi90OdPjRqg"", ""'Plan de Compras'!D4:Q""), 14, 0), """")"),"GEYDI")</f>
        <v>GEYDI</v>
      </c>
      <c r="Z246" s="38" t="str">
        <f>IFERROR(__xludf.DUMMYFUNCTION("IFERROR(VLOOKUP(G246,IMPORTRANGE(""https://docs.google.com/spreadsheets/d/12RxCea4e5ggM7QGn1XE3FbLQa_-QbCNdBi90OdPjRqg"", ""'Plan de Compras'!D4:Q""), 4, 0), """")"),"MÁQUINA DE COSTURA RECTA INDUSTRIAL")</f>
        <v>MÁQUINA DE COSTURA RECTA INDUSTRIAL</v>
      </c>
      <c r="AA246" s="38" t="str">
        <f t="shared" si="16"/>
        <v>TRUE</v>
      </c>
      <c r="AB246" s="37" t="str">
        <f>IFERROR(__xludf.DUMMYFUNCTION("IFERROR(IF(OR(C246=TRUE,C246=""""),VLOOKUP(G246,IMPORTRANGE(""https://docs.google.com/spreadsheets/d/1z9A1Wq-kKrhRNG5RS2a2fKpY1wIhSVz2ZNmP2mOl588/edit?usp=sharing"",""REQ VF!E4:H""),4,0),""NO APLICA""),""GENERAR REQ"")"),"GENERAR REQ")</f>
        <v>GENERAR REQ</v>
      </c>
      <c r="AC246" s="37" t="str">
        <f>IFERROR(__xludf.DUMMYFUNCTION("IFERROR(QUERY(IMPORTRANGE(""https://docs.google.com/spreadsheets/d/1z9A1Wq-kKrhRNG5RS2a2fKpY1wIhSVz2ZNmP2mOl588/edit?usp=sharing"",""REQ VF!E4:Q""),""SELECT Col10, Col11, Col12 WHERE Col1 = '""&amp;G246&amp;""'"",0),""NO APLICA"")"),"NO APLICA")</f>
        <v>NO APLICA</v>
      </c>
      <c r="AD246" s="37"/>
      <c r="AE246" s="37"/>
      <c r="AF246" s="13"/>
      <c r="AG246" s="13"/>
    </row>
    <row r="247">
      <c r="A247" s="26"/>
      <c r="B247" s="26"/>
      <c r="C247" s="26" t="b">
        <v>0</v>
      </c>
      <c r="D247" s="26" t="s">
        <v>42</v>
      </c>
      <c r="E247" s="26" t="s">
        <v>36</v>
      </c>
      <c r="F247" s="27" t="s">
        <v>819</v>
      </c>
      <c r="G247" s="39" t="s">
        <v>822</v>
      </c>
      <c r="H247" s="66" t="s">
        <v>823</v>
      </c>
      <c r="I247" s="43">
        <v>0.0</v>
      </c>
      <c r="J247" s="26" t="str">
        <f>IFERROR(__xludf.DUMMYFUNCTION("VLOOKUP(G247,IMPORTRANGE(""https://docs.google.com/spreadsheets/d/12RxCea4e5ggM7QGn1XE3FbLQa_-QbCNdBi90OdPjRqg/edit?gid=1692403370#gid=1692403370"", ""'Plan de Compras'!D4:2432""), 8,0)"),"#N/A")</f>
        <v>#N/A</v>
      </c>
      <c r="K247" s="26" t="str">
        <f t="shared" si="1"/>
        <v>-</v>
      </c>
      <c r="L247" s="26"/>
      <c r="M247" s="41"/>
      <c r="N247" s="60" t="s">
        <v>166</v>
      </c>
      <c r="O247" s="42"/>
      <c r="P247" s="42"/>
      <c r="Q247" s="41"/>
      <c r="R247" s="41"/>
      <c r="S247" s="34" t="b">
        <v>1</v>
      </c>
      <c r="T247" s="35" t="s">
        <v>824</v>
      </c>
      <c r="U247" s="35" t="s">
        <v>435</v>
      </c>
      <c r="V247" s="44"/>
      <c r="W247" s="37" t="str">
        <f>IFERROR(__xludf.DUMMYFUNCTION("IFERROR(VLOOKUP(G247,IMPORTRANGE(""https://docs.google.com/spreadsheets/d/12RxCea4e5ggM7QGn1XE3FbLQa_-QbCNdBi90OdPjRqg"", ""'Plan de Compras'!D4:Q""), 12, 0), ""NO ESTÁ EN REQ"")"),"NO ESTÁ EN REQ")</f>
        <v>NO ESTÁ EN REQ</v>
      </c>
      <c r="X247" s="37" t="str">
        <f>IFERROR(__xludf.DUMMYFUNCTION("IFERROR(VLOOKUP(G247,IMPORTRANGE(""https://docs.google.com/spreadsheets/d/12RxCea4e5ggM7QGn1XE3FbLQa_-QbCNdBi90OdPjRqg"", ""'Plan de Compras'!D4:Q""), 13, 0), """")"),"")</f>
        <v/>
      </c>
      <c r="Y247" s="32" t="str">
        <f>IFERROR(__xludf.DUMMYFUNCTION("IFERROR(VLOOKUP(G247,IMPORTRANGE(""https://docs.google.com/spreadsheets/d/12RxCea4e5ggM7QGn1XE3FbLQa_-QbCNdBi90OdPjRqg"", ""'Plan de Compras'!D4:Q""), 14, 0), """")"),"")</f>
        <v/>
      </c>
      <c r="Z247" s="38" t="str">
        <f>IFERROR(__xludf.DUMMYFUNCTION("IFERROR(VLOOKUP(G247,IMPORTRANGE(""https://docs.google.com/spreadsheets/d/12RxCea4e5ggM7QGn1XE3FbLQa_-QbCNdBi90OdPjRqg"", ""'Plan de Compras'!D4:Q""), 4, 0), """")"),"")</f>
        <v/>
      </c>
      <c r="AA247" s="38" t="str">
        <f t="shared" si="16"/>
        <v>FALSE</v>
      </c>
      <c r="AB247" s="37" t="str">
        <f>IFERROR(__xludf.DUMMYFUNCTION("IFERROR(IF(OR(C247=TRUE,C247=""""),VLOOKUP(G247,IMPORTRANGE(""https://docs.google.com/spreadsheets/d/1z9A1Wq-kKrhRNG5RS2a2fKpY1wIhSVz2ZNmP2mOl588/edit?usp=sharing"",""REQ VF!E4:H""),4,0),""NO APLICA""),""GENERAR REQ"")"),"NO APLICA")</f>
        <v>NO APLICA</v>
      </c>
      <c r="AC247" s="37" t="str">
        <f>IFERROR(__xludf.DUMMYFUNCTION("IFERROR(QUERY(IMPORTRANGE(""https://docs.google.com/spreadsheets/d/1z9A1Wq-kKrhRNG5RS2a2fKpY1wIhSVz2ZNmP2mOl588/edit?usp=sharing"",""REQ VF!E4:Q""),""SELECT Col10, Col11, Col12 WHERE Col1 = '""&amp;G247&amp;""'"",0),""NO APLICA"")"),"NO APLICA")</f>
        <v>NO APLICA</v>
      </c>
      <c r="AD247" s="37"/>
      <c r="AE247" s="37"/>
      <c r="AF247" s="13"/>
      <c r="AG247" s="13"/>
    </row>
    <row r="248">
      <c r="A248" s="26"/>
      <c r="B248" s="26"/>
      <c r="C248" s="26" t="b">
        <v>0</v>
      </c>
      <c r="D248" s="26" t="s">
        <v>42</v>
      </c>
      <c r="E248" s="26" t="s">
        <v>36</v>
      </c>
      <c r="F248" s="27" t="s">
        <v>819</v>
      </c>
      <c r="G248" s="39" t="s">
        <v>825</v>
      </c>
      <c r="H248" s="66" t="s">
        <v>799</v>
      </c>
      <c r="I248" s="43">
        <v>0.0</v>
      </c>
      <c r="J248" s="26" t="str">
        <f>IFERROR(__xludf.DUMMYFUNCTION("VLOOKUP(G248,IMPORTRANGE(""https://docs.google.com/spreadsheets/d/12RxCea4e5ggM7QGn1XE3FbLQa_-QbCNdBi90OdPjRqg/edit?gid=1692403370#gid=1692403370"", ""'Plan de Compras'!D4:2432""), 8,0)"),"#N/A")</f>
        <v>#N/A</v>
      </c>
      <c r="K248" s="26" t="str">
        <f t="shared" si="1"/>
        <v>-</v>
      </c>
      <c r="L248" s="26"/>
      <c r="M248" s="41"/>
      <c r="N248" s="60" t="s">
        <v>166</v>
      </c>
      <c r="O248" s="42"/>
      <c r="P248" s="42"/>
      <c r="Q248" s="41"/>
      <c r="R248" s="41"/>
      <c r="S248" s="34" t="b">
        <v>1</v>
      </c>
      <c r="T248" s="35" t="s">
        <v>824</v>
      </c>
      <c r="U248" s="35" t="s">
        <v>435</v>
      </c>
      <c r="V248" s="44"/>
      <c r="W248" s="37" t="str">
        <f>IFERROR(__xludf.DUMMYFUNCTION("IFERROR(VLOOKUP(G248,IMPORTRANGE(""https://docs.google.com/spreadsheets/d/12RxCea4e5ggM7QGn1XE3FbLQa_-QbCNdBi90OdPjRqg"", ""'Plan de Compras'!D4:Q""), 12, 0), ""NO ESTÁ EN REQ"")"),"NO ESTÁ EN REQ")</f>
        <v>NO ESTÁ EN REQ</v>
      </c>
      <c r="X248" s="37" t="str">
        <f>IFERROR(__xludf.DUMMYFUNCTION("IFERROR(VLOOKUP(G248,IMPORTRANGE(""https://docs.google.com/spreadsheets/d/12RxCea4e5ggM7QGn1XE3FbLQa_-QbCNdBi90OdPjRqg"", ""'Plan de Compras'!D4:Q""), 13, 0), """")"),"")</f>
        <v/>
      </c>
      <c r="Y248" s="32" t="str">
        <f>IFERROR(__xludf.DUMMYFUNCTION("IFERROR(VLOOKUP(G248,IMPORTRANGE(""https://docs.google.com/spreadsheets/d/12RxCea4e5ggM7QGn1XE3FbLQa_-QbCNdBi90OdPjRqg"", ""'Plan de Compras'!D4:Q""), 14, 0), """")"),"")</f>
        <v/>
      </c>
      <c r="Z248" s="38" t="str">
        <f>IFERROR(__xludf.DUMMYFUNCTION("IFERROR(VLOOKUP(G248,IMPORTRANGE(""https://docs.google.com/spreadsheets/d/12RxCea4e5ggM7QGn1XE3FbLQa_-QbCNdBi90OdPjRqg"", ""'Plan de Compras'!D4:Q""), 4, 0), """")"),"")</f>
        <v/>
      </c>
      <c r="AA248" s="38" t="str">
        <f t="shared" si="16"/>
        <v>FALSE</v>
      </c>
      <c r="AB248" s="37" t="str">
        <f>IFERROR(__xludf.DUMMYFUNCTION("IFERROR(IF(OR(C248=TRUE,C248=""""),VLOOKUP(G248,IMPORTRANGE(""https://docs.google.com/spreadsheets/d/1z9A1Wq-kKrhRNG5RS2a2fKpY1wIhSVz2ZNmP2mOl588/edit?usp=sharing"",""REQ VF!E4:H""),4,0),""NO APLICA""),""GENERAR REQ"")"),"NO APLICA")</f>
        <v>NO APLICA</v>
      </c>
      <c r="AC248" s="37" t="str">
        <f>IFERROR(__xludf.DUMMYFUNCTION("IFERROR(QUERY(IMPORTRANGE(""https://docs.google.com/spreadsheets/d/1z9A1Wq-kKrhRNG5RS2a2fKpY1wIhSVz2ZNmP2mOl588/edit?usp=sharing"",""REQ VF!E4:Q""),""SELECT Col10, Col11, Col12 WHERE Col1 = '""&amp;G248&amp;""'"",0),""NO APLICA"")"),"NO APLICA")</f>
        <v>NO APLICA</v>
      </c>
      <c r="AD248" s="37"/>
      <c r="AE248" s="37"/>
      <c r="AF248" s="13"/>
      <c r="AG248" s="13"/>
    </row>
    <row r="249">
      <c r="A249" s="26"/>
      <c r="B249" s="26"/>
      <c r="C249" s="26" t="b">
        <v>0</v>
      </c>
      <c r="D249" s="26" t="s">
        <v>42</v>
      </c>
      <c r="E249" s="26" t="s">
        <v>36</v>
      </c>
      <c r="F249" s="27" t="s">
        <v>819</v>
      </c>
      <c r="G249" s="39" t="s">
        <v>826</v>
      </c>
      <c r="H249" s="66" t="s">
        <v>801</v>
      </c>
      <c r="I249" s="43">
        <v>0.0</v>
      </c>
      <c r="J249" s="26" t="str">
        <f>IFERROR(__xludf.DUMMYFUNCTION("VLOOKUP(G249,IMPORTRANGE(""https://docs.google.com/spreadsheets/d/12RxCea4e5ggM7QGn1XE3FbLQa_-QbCNdBi90OdPjRqg/edit?gid=1692403370#gid=1692403370"", ""'Plan de Compras'!D4:2432""), 8,0)"),"#N/A")</f>
        <v>#N/A</v>
      </c>
      <c r="K249" s="26" t="str">
        <f t="shared" si="1"/>
        <v>-</v>
      </c>
      <c r="L249" s="26"/>
      <c r="M249" s="41"/>
      <c r="N249" s="60" t="s">
        <v>166</v>
      </c>
      <c r="O249" s="42"/>
      <c r="P249" s="42"/>
      <c r="Q249" s="41"/>
      <c r="R249" s="41"/>
      <c r="S249" s="34" t="b">
        <v>1</v>
      </c>
      <c r="T249" s="35" t="s">
        <v>824</v>
      </c>
      <c r="U249" s="35" t="s">
        <v>435</v>
      </c>
      <c r="V249" s="44"/>
      <c r="W249" s="37" t="str">
        <f>IFERROR(__xludf.DUMMYFUNCTION("IFERROR(VLOOKUP(G249,IMPORTRANGE(""https://docs.google.com/spreadsheets/d/12RxCea4e5ggM7QGn1XE3FbLQa_-QbCNdBi90OdPjRqg"", ""'Plan de Compras'!D4:Q""), 12, 0), ""NO ESTÁ EN REQ"")"),"NO ESTÁ EN REQ")</f>
        <v>NO ESTÁ EN REQ</v>
      </c>
      <c r="X249" s="37" t="str">
        <f>IFERROR(__xludf.DUMMYFUNCTION("IFERROR(VLOOKUP(G249,IMPORTRANGE(""https://docs.google.com/spreadsheets/d/12RxCea4e5ggM7QGn1XE3FbLQa_-QbCNdBi90OdPjRqg"", ""'Plan de Compras'!D4:Q""), 13, 0), """")"),"")</f>
        <v/>
      </c>
      <c r="Y249" s="32" t="str">
        <f>IFERROR(__xludf.DUMMYFUNCTION("IFERROR(VLOOKUP(G249,IMPORTRANGE(""https://docs.google.com/spreadsheets/d/12RxCea4e5ggM7QGn1XE3FbLQa_-QbCNdBi90OdPjRqg"", ""'Plan de Compras'!D4:Q""), 14, 0), """")"),"")</f>
        <v/>
      </c>
      <c r="Z249" s="38" t="str">
        <f>IFERROR(__xludf.DUMMYFUNCTION("IFERROR(VLOOKUP(G249,IMPORTRANGE(""https://docs.google.com/spreadsheets/d/12RxCea4e5ggM7QGn1XE3FbLQa_-QbCNdBi90OdPjRqg"", ""'Plan de Compras'!D4:Q""), 4, 0), """")"),"")</f>
        <v/>
      </c>
      <c r="AA249" s="38" t="str">
        <f t="shared" si="16"/>
        <v>FALSE</v>
      </c>
      <c r="AB249" s="37" t="str">
        <f>IFERROR(__xludf.DUMMYFUNCTION("IFERROR(IF(OR(C249=TRUE,C249=""""),VLOOKUP(G249,IMPORTRANGE(""https://docs.google.com/spreadsheets/d/1z9A1Wq-kKrhRNG5RS2a2fKpY1wIhSVz2ZNmP2mOl588/edit?usp=sharing"",""REQ VF!E4:H""),4,0),""NO APLICA""),""GENERAR REQ"")"),"NO APLICA")</f>
        <v>NO APLICA</v>
      </c>
      <c r="AC249" s="37" t="str">
        <f>IFERROR(__xludf.DUMMYFUNCTION("IFERROR(QUERY(IMPORTRANGE(""https://docs.google.com/spreadsheets/d/1z9A1Wq-kKrhRNG5RS2a2fKpY1wIhSVz2ZNmP2mOl588/edit?usp=sharing"",""REQ VF!E4:Q""),""SELECT Col10, Col11, Col12 WHERE Col1 = '""&amp;G249&amp;""'"",0),""NO APLICA"")"),"NO APLICA")</f>
        <v>NO APLICA</v>
      </c>
      <c r="AD249" s="37"/>
      <c r="AE249" s="37"/>
      <c r="AF249" s="13"/>
      <c r="AG249" s="13"/>
    </row>
    <row r="250">
      <c r="A250" s="26"/>
      <c r="B250" s="26"/>
      <c r="C250" s="26" t="b">
        <v>0</v>
      </c>
      <c r="D250" s="26" t="s">
        <v>42</v>
      </c>
      <c r="E250" s="26" t="s">
        <v>36</v>
      </c>
      <c r="F250" s="27" t="s">
        <v>819</v>
      </c>
      <c r="G250" s="39" t="s">
        <v>827</v>
      </c>
      <c r="H250" s="66" t="s">
        <v>828</v>
      </c>
      <c r="I250" s="43">
        <v>0.0</v>
      </c>
      <c r="J250" s="26" t="str">
        <f>IFERROR(__xludf.DUMMYFUNCTION("VLOOKUP(G250,IMPORTRANGE(""https://docs.google.com/spreadsheets/d/12RxCea4e5ggM7QGn1XE3FbLQa_-QbCNdBi90OdPjRqg/edit?gid=1692403370#gid=1692403370"", ""'Plan de Compras'!D4:2432""), 8,0)"),"#N/A")</f>
        <v>#N/A</v>
      </c>
      <c r="K250" s="26" t="str">
        <f t="shared" si="1"/>
        <v>-</v>
      </c>
      <c r="L250" s="26"/>
      <c r="M250" s="41"/>
      <c r="N250" s="60" t="s">
        <v>166</v>
      </c>
      <c r="O250" s="42"/>
      <c r="P250" s="42"/>
      <c r="Q250" s="41"/>
      <c r="R250" s="41"/>
      <c r="S250" s="34" t="b">
        <v>1</v>
      </c>
      <c r="T250" s="35" t="s">
        <v>824</v>
      </c>
      <c r="U250" s="35" t="s">
        <v>435</v>
      </c>
      <c r="V250" s="44"/>
      <c r="W250" s="37" t="str">
        <f>IFERROR(__xludf.DUMMYFUNCTION("IFERROR(VLOOKUP(G250,IMPORTRANGE(""https://docs.google.com/spreadsheets/d/12RxCea4e5ggM7QGn1XE3FbLQa_-QbCNdBi90OdPjRqg"", ""'Plan de Compras'!D4:Q""), 12, 0), ""NO ESTÁ EN REQ"")"),"NO ESTÁ EN REQ")</f>
        <v>NO ESTÁ EN REQ</v>
      </c>
      <c r="X250" s="37" t="str">
        <f>IFERROR(__xludf.DUMMYFUNCTION("IFERROR(VLOOKUP(G250,IMPORTRANGE(""https://docs.google.com/spreadsheets/d/12RxCea4e5ggM7QGn1XE3FbLQa_-QbCNdBi90OdPjRqg"", ""'Plan de Compras'!D4:Q""), 13, 0), """")"),"")</f>
        <v/>
      </c>
      <c r="Y250" s="32" t="str">
        <f>IFERROR(__xludf.DUMMYFUNCTION("IFERROR(VLOOKUP(G250,IMPORTRANGE(""https://docs.google.com/spreadsheets/d/12RxCea4e5ggM7QGn1XE3FbLQa_-QbCNdBi90OdPjRqg"", ""'Plan de Compras'!D4:Q""), 14, 0), """")"),"")</f>
        <v/>
      </c>
      <c r="Z250" s="38" t="str">
        <f>IFERROR(__xludf.DUMMYFUNCTION("IFERROR(VLOOKUP(G250,IMPORTRANGE(""https://docs.google.com/spreadsheets/d/12RxCea4e5ggM7QGn1XE3FbLQa_-QbCNdBi90OdPjRqg"", ""'Plan de Compras'!D4:Q""), 4, 0), """")"),"")</f>
        <v/>
      </c>
      <c r="AA250" s="38" t="str">
        <f t="shared" si="16"/>
        <v>FALSE</v>
      </c>
      <c r="AB250" s="37" t="str">
        <f>IFERROR(__xludf.DUMMYFUNCTION("IFERROR(IF(OR(C250=TRUE,C250=""""),VLOOKUP(G250,IMPORTRANGE(""https://docs.google.com/spreadsheets/d/1z9A1Wq-kKrhRNG5RS2a2fKpY1wIhSVz2ZNmP2mOl588/edit?usp=sharing"",""REQ VF!E4:H""),4,0),""NO APLICA""),""GENERAR REQ"")"),"NO APLICA")</f>
        <v>NO APLICA</v>
      </c>
      <c r="AC250" s="37" t="str">
        <f>IFERROR(__xludf.DUMMYFUNCTION("IFERROR(QUERY(IMPORTRANGE(""https://docs.google.com/spreadsheets/d/1z9A1Wq-kKrhRNG5RS2a2fKpY1wIhSVz2ZNmP2mOl588/edit?usp=sharing"",""REQ VF!E4:Q""),""SELECT Col10, Col11, Col12 WHERE Col1 = '""&amp;G250&amp;""'"",0),""NO APLICA"")"),"NO APLICA")</f>
        <v>NO APLICA</v>
      </c>
      <c r="AD250" s="37"/>
      <c r="AE250" s="37"/>
      <c r="AF250" s="13"/>
      <c r="AG250" s="13"/>
    </row>
    <row r="251">
      <c r="A251" s="26"/>
      <c r="B251" s="26"/>
      <c r="C251" s="26" t="b">
        <v>0</v>
      </c>
      <c r="D251" s="26" t="s">
        <v>42</v>
      </c>
      <c r="E251" s="26" t="s">
        <v>36</v>
      </c>
      <c r="F251" s="27" t="s">
        <v>819</v>
      </c>
      <c r="G251" s="39" t="s">
        <v>829</v>
      </c>
      <c r="H251" s="66" t="s">
        <v>830</v>
      </c>
      <c r="I251" s="43">
        <v>0.0</v>
      </c>
      <c r="J251" s="26" t="str">
        <f>IFERROR(__xludf.DUMMYFUNCTION("VLOOKUP(G251,IMPORTRANGE(""https://docs.google.com/spreadsheets/d/12RxCea4e5ggM7QGn1XE3FbLQa_-QbCNdBi90OdPjRqg/edit?gid=1692403370#gid=1692403370"", ""'Plan de Compras'!D4:2432""), 8,0)"),"#N/A")</f>
        <v>#N/A</v>
      </c>
      <c r="K251" s="26" t="str">
        <f t="shared" si="1"/>
        <v>-</v>
      </c>
      <c r="L251" s="26"/>
      <c r="M251" s="41"/>
      <c r="N251" s="60" t="s">
        <v>166</v>
      </c>
      <c r="O251" s="42"/>
      <c r="P251" s="42"/>
      <c r="Q251" s="41"/>
      <c r="R251" s="41"/>
      <c r="S251" s="34" t="b">
        <v>1</v>
      </c>
      <c r="T251" s="35" t="s">
        <v>824</v>
      </c>
      <c r="U251" s="35" t="s">
        <v>435</v>
      </c>
      <c r="V251" s="44"/>
      <c r="W251" s="37" t="str">
        <f>IFERROR(__xludf.DUMMYFUNCTION("IFERROR(VLOOKUP(G251,IMPORTRANGE(""https://docs.google.com/spreadsheets/d/12RxCea4e5ggM7QGn1XE3FbLQa_-QbCNdBi90OdPjRqg"", ""'Plan de Compras'!D4:Q""), 12, 0), ""NO ESTÁ EN REQ"")"),"NO ESTÁ EN REQ")</f>
        <v>NO ESTÁ EN REQ</v>
      </c>
      <c r="X251" s="37" t="str">
        <f>IFERROR(__xludf.DUMMYFUNCTION("IFERROR(VLOOKUP(G251,IMPORTRANGE(""https://docs.google.com/spreadsheets/d/12RxCea4e5ggM7QGn1XE3FbLQa_-QbCNdBi90OdPjRqg"", ""'Plan de Compras'!D4:Q""), 13, 0), """")"),"")</f>
        <v/>
      </c>
      <c r="Y251" s="32" t="str">
        <f>IFERROR(__xludf.DUMMYFUNCTION("IFERROR(VLOOKUP(G251,IMPORTRANGE(""https://docs.google.com/spreadsheets/d/12RxCea4e5ggM7QGn1XE3FbLQa_-QbCNdBi90OdPjRqg"", ""'Plan de Compras'!D4:Q""), 14, 0), """")"),"")</f>
        <v/>
      </c>
      <c r="Z251" s="38" t="str">
        <f>IFERROR(__xludf.DUMMYFUNCTION("IFERROR(VLOOKUP(G251,IMPORTRANGE(""https://docs.google.com/spreadsheets/d/12RxCea4e5ggM7QGn1XE3FbLQa_-QbCNdBi90OdPjRqg"", ""'Plan de Compras'!D4:Q""), 4, 0), """")"),"")</f>
        <v/>
      </c>
      <c r="AA251" s="38" t="str">
        <f t="shared" si="16"/>
        <v>FALSE</v>
      </c>
      <c r="AB251" s="37" t="str">
        <f>IFERROR(__xludf.DUMMYFUNCTION("IFERROR(IF(OR(C251=TRUE,C251=""""),VLOOKUP(G251,IMPORTRANGE(""https://docs.google.com/spreadsheets/d/1z9A1Wq-kKrhRNG5RS2a2fKpY1wIhSVz2ZNmP2mOl588/edit?usp=sharing"",""REQ VF!E4:H""),4,0),""NO APLICA""),""GENERAR REQ"")"),"NO APLICA")</f>
        <v>NO APLICA</v>
      </c>
      <c r="AC251" s="37" t="str">
        <f>IFERROR(__xludf.DUMMYFUNCTION("IFERROR(QUERY(IMPORTRANGE(""https://docs.google.com/spreadsheets/d/1z9A1Wq-kKrhRNG5RS2a2fKpY1wIhSVz2ZNmP2mOl588/edit?usp=sharing"",""REQ VF!E4:Q""),""SELECT Col10, Col11, Col12 WHERE Col1 = '""&amp;G251&amp;""'"",0),""NO APLICA"")"),"NO APLICA")</f>
        <v>NO APLICA</v>
      </c>
      <c r="AD251" s="37"/>
      <c r="AE251" s="37"/>
      <c r="AF251" s="13"/>
      <c r="AG251" s="13"/>
    </row>
    <row r="252">
      <c r="A252" s="26"/>
      <c r="B252" s="26"/>
      <c r="C252" s="26" t="b">
        <v>0</v>
      </c>
      <c r="D252" s="26" t="s">
        <v>42</v>
      </c>
      <c r="E252" s="26" t="s">
        <v>36</v>
      </c>
      <c r="F252" s="27" t="s">
        <v>819</v>
      </c>
      <c r="G252" s="39" t="s">
        <v>831</v>
      </c>
      <c r="H252" s="66" t="s">
        <v>832</v>
      </c>
      <c r="I252" s="43">
        <v>0.0</v>
      </c>
      <c r="J252" s="26" t="str">
        <f>IFERROR(__xludf.DUMMYFUNCTION("VLOOKUP(G252,IMPORTRANGE(""https://docs.google.com/spreadsheets/d/12RxCea4e5ggM7QGn1XE3FbLQa_-QbCNdBi90OdPjRqg/edit?gid=1692403370#gid=1692403370"", ""'Plan de Compras'!D4:2432""), 8,0)"),"#N/A")</f>
        <v>#N/A</v>
      </c>
      <c r="K252" s="26" t="str">
        <f t="shared" si="1"/>
        <v>-</v>
      </c>
      <c r="L252" s="26"/>
      <c r="M252" s="41"/>
      <c r="N252" s="60" t="s">
        <v>166</v>
      </c>
      <c r="O252" s="42"/>
      <c r="P252" s="42"/>
      <c r="Q252" s="41"/>
      <c r="R252" s="41"/>
      <c r="S252" s="34" t="b">
        <v>1</v>
      </c>
      <c r="T252" s="35" t="s">
        <v>824</v>
      </c>
      <c r="U252" s="35" t="s">
        <v>435</v>
      </c>
      <c r="V252" s="44"/>
      <c r="W252" s="37" t="str">
        <f>IFERROR(__xludf.DUMMYFUNCTION("IFERROR(VLOOKUP(G252,IMPORTRANGE(""https://docs.google.com/spreadsheets/d/12RxCea4e5ggM7QGn1XE3FbLQa_-QbCNdBi90OdPjRqg"", ""'Plan de Compras'!D4:Q""), 12, 0), ""NO ESTÁ EN REQ"")"),"NO ESTÁ EN REQ")</f>
        <v>NO ESTÁ EN REQ</v>
      </c>
      <c r="X252" s="37" t="str">
        <f>IFERROR(__xludf.DUMMYFUNCTION("IFERROR(VLOOKUP(G252,IMPORTRANGE(""https://docs.google.com/spreadsheets/d/12RxCea4e5ggM7QGn1XE3FbLQa_-QbCNdBi90OdPjRqg"", ""'Plan de Compras'!D4:Q""), 13, 0), """")"),"")</f>
        <v/>
      </c>
      <c r="Y252" s="32" t="str">
        <f>IFERROR(__xludf.DUMMYFUNCTION("IFERROR(VLOOKUP(G252,IMPORTRANGE(""https://docs.google.com/spreadsheets/d/12RxCea4e5ggM7QGn1XE3FbLQa_-QbCNdBi90OdPjRqg"", ""'Plan de Compras'!D4:Q""), 14, 0), """")"),"")</f>
        <v/>
      </c>
      <c r="Z252" s="38" t="str">
        <f>IFERROR(__xludf.DUMMYFUNCTION("IFERROR(VLOOKUP(G252,IMPORTRANGE(""https://docs.google.com/spreadsheets/d/12RxCea4e5ggM7QGn1XE3FbLQa_-QbCNdBi90OdPjRqg"", ""'Plan de Compras'!D4:Q""), 4, 0), """")"),"")</f>
        <v/>
      </c>
      <c r="AA252" s="38" t="str">
        <f t="shared" si="16"/>
        <v>FALSE</v>
      </c>
      <c r="AB252" s="37" t="str">
        <f>IFERROR(__xludf.DUMMYFUNCTION("IFERROR(IF(OR(C252=TRUE,C252=""""),VLOOKUP(G252,IMPORTRANGE(""https://docs.google.com/spreadsheets/d/1z9A1Wq-kKrhRNG5RS2a2fKpY1wIhSVz2ZNmP2mOl588/edit?usp=sharing"",""REQ VF!E4:H""),4,0),""NO APLICA""),""GENERAR REQ"")"),"NO APLICA")</f>
        <v>NO APLICA</v>
      </c>
      <c r="AC252" s="37" t="str">
        <f>IFERROR(__xludf.DUMMYFUNCTION("IFERROR(QUERY(IMPORTRANGE(""https://docs.google.com/spreadsheets/d/1z9A1Wq-kKrhRNG5RS2a2fKpY1wIhSVz2ZNmP2mOl588/edit?usp=sharing"",""REQ VF!E4:Q""),""SELECT Col10, Col11, Col12 WHERE Col1 = '""&amp;G252&amp;""'"",0),""NO APLICA"")"),"NO APLICA")</f>
        <v>NO APLICA</v>
      </c>
      <c r="AD252" s="37"/>
      <c r="AE252" s="37"/>
      <c r="AF252" s="13"/>
      <c r="AG252" s="13"/>
    </row>
    <row r="253">
      <c r="A253" s="26"/>
      <c r="B253" s="26"/>
      <c r="C253" s="26" t="b">
        <v>1</v>
      </c>
      <c r="D253" s="26" t="s">
        <v>42</v>
      </c>
      <c r="E253" s="26" t="s">
        <v>36</v>
      </c>
      <c r="F253" s="27" t="s">
        <v>819</v>
      </c>
      <c r="G253" s="39" t="s">
        <v>833</v>
      </c>
      <c r="H253" s="66" t="s">
        <v>834</v>
      </c>
      <c r="I253" s="43">
        <f t="shared" ref="I253:I254" si="27">$I$246</f>
        <v>13</v>
      </c>
      <c r="J253" s="26">
        <f>IFERROR(__xludf.DUMMYFUNCTION("VLOOKUP(G253,IMPORTRANGE(""https://docs.google.com/spreadsheets/d/12RxCea4e5ggM7QGn1XE3FbLQa_-QbCNdBi90OdPjRqg/edit?gid=1692403370#gid=1692403370"", ""'Plan de Compras'!D4:2432""), 8,0)"),13.0)</f>
        <v>13</v>
      </c>
      <c r="K253" s="26" t="str">
        <f t="shared" si="1"/>
        <v>SI</v>
      </c>
      <c r="L253" s="26"/>
      <c r="M253" s="41"/>
      <c r="N253" s="60" t="s">
        <v>166</v>
      </c>
      <c r="O253" s="42"/>
      <c r="P253" s="42"/>
      <c r="Q253" s="41"/>
      <c r="R253" s="41"/>
      <c r="S253" s="44" t="b">
        <v>0</v>
      </c>
      <c r="T253" s="72"/>
      <c r="U253" s="72"/>
      <c r="V253" s="44"/>
      <c r="W253" s="37" t="str">
        <f>IFERROR(__xludf.DUMMYFUNCTION("IFERROR(VLOOKUP(G253,IMPORTRANGE(""https://docs.google.com/spreadsheets/d/12RxCea4e5ggM7QGn1XE3FbLQa_-QbCNdBi90OdPjRqg"", ""'Plan de Compras'!D4:Q""), 12, 0), ""NO ESTÁ EN REQ"")"),"Técnica")</f>
        <v>Técnica</v>
      </c>
      <c r="X253" s="37" t="str">
        <f>IFERROR(__xludf.DUMMYFUNCTION("IFERROR(VLOOKUP(G253,IMPORTRANGE(""https://docs.google.com/spreadsheets/d/12RxCea4e5ggM7QGn1XE3FbLQa_-QbCNdBi90OdPjRqg"", ""'Plan de Compras'!D4:Q""), 13, 0), """")"),"INTERNACIONAL")</f>
        <v>INTERNACIONAL</v>
      </c>
      <c r="Y253" s="32" t="str">
        <f>IFERROR(__xludf.DUMMYFUNCTION("IFERROR(VLOOKUP(G253,IMPORTRANGE(""https://docs.google.com/spreadsheets/d/12RxCea4e5ggM7QGn1XE3FbLQa_-QbCNdBi90OdPjRqg"", ""'Plan de Compras'!D4:Q""), 14, 0), """")"),"ALEJANDRA")</f>
        <v>ALEJANDRA</v>
      </c>
      <c r="Z253" s="38" t="str">
        <f>IFERROR(__xludf.DUMMYFUNCTION("IFERROR(VLOOKUP(G253,IMPORTRANGE(""https://docs.google.com/spreadsheets/d/12RxCea4e5ggM7QGn1XE3FbLQa_-QbCNdBi90OdPjRqg"", ""'Plan de Compras'!D4:Q""), 4, 0), """")"),"100 AGUJAS DE COSER N° 12 (1 UND)")</f>
        <v>100 AGUJAS DE COSER N° 12 (1 UND)</v>
      </c>
      <c r="AA253" s="38" t="str">
        <f t="shared" si="16"/>
        <v>TRUE</v>
      </c>
      <c r="AB253" s="37" t="str">
        <f>IFERROR(__xludf.DUMMYFUNCTION("IFERROR(IF(OR(C253=TRUE,C253=""""),VLOOKUP(G253,IMPORTRANGE(""https://docs.google.com/spreadsheets/d/1z9A1Wq-kKrhRNG5RS2a2fKpY1wIhSVz2ZNmP2mOl588/edit?usp=sharing"",""REQ VF!E4:H""),4,0),""NO APLICA""),""GENERAR REQ"")"),"GENERAR REQ")</f>
        <v>GENERAR REQ</v>
      </c>
      <c r="AC253" s="37" t="str">
        <f>IFERROR(__xludf.DUMMYFUNCTION("IFERROR(QUERY(IMPORTRANGE(""https://docs.google.com/spreadsheets/d/1z9A1Wq-kKrhRNG5RS2a2fKpY1wIhSVz2ZNmP2mOl588/edit?usp=sharing"",""REQ VF!E4:Q""),""SELECT Col10, Col11, Col12 WHERE Col1 = '""&amp;G253&amp;""'"",0),""NO APLICA"")"),"NO APLICA")</f>
        <v>NO APLICA</v>
      </c>
      <c r="AD253" s="37"/>
      <c r="AE253" s="37"/>
      <c r="AF253" s="13"/>
      <c r="AG253" s="13"/>
    </row>
    <row r="254">
      <c r="A254" s="26"/>
      <c r="B254" s="26"/>
      <c r="C254" s="26" t="b">
        <v>1</v>
      </c>
      <c r="D254" s="26" t="s">
        <v>42</v>
      </c>
      <c r="E254" s="26" t="s">
        <v>36</v>
      </c>
      <c r="F254" s="27" t="s">
        <v>819</v>
      </c>
      <c r="G254" s="39" t="s">
        <v>835</v>
      </c>
      <c r="H254" s="66" t="s">
        <v>836</v>
      </c>
      <c r="I254" s="43">
        <f t="shared" si="27"/>
        <v>13</v>
      </c>
      <c r="J254" s="26">
        <f>IFERROR(__xludf.DUMMYFUNCTION("VLOOKUP(G254,IMPORTRANGE(""https://docs.google.com/spreadsheets/d/12RxCea4e5ggM7QGn1XE3FbLQa_-QbCNdBi90OdPjRqg/edit?gid=1692403370#gid=1692403370"", ""'Plan de Compras'!D4:2432""), 8,0)"),13.0)</f>
        <v>13</v>
      </c>
      <c r="K254" s="26" t="str">
        <f t="shared" si="1"/>
        <v>SI</v>
      </c>
      <c r="L254" s="26"/>
      <c r="M254" s="41"/>
      <c r="N254" s="60" t="s">
        <v>166</v>
      </c>
      <c r="O254" s="42"/>
      <c r="P254" s="42"/>
      <c r="Q254" s="41"/>
      <c r="R254" s="41"/>
      <c r="S254" s="44" t="b">
        <v>0</v>
      </c>
      <c r="T254" s="72"/>
      <c r="U254" s="72"/>
      <c r="V254" s="44"/>
      <c r="W254" s="37" t="str">
        <f>IFERROR(__xludf.DUMMYFUNCTION("IFERROR(VLOOKUP(G254,IMPORTRANGE(""https://docs.google.com/spreadsheets/d/12RxCea4e5ggM7QGn1XE3FbLQa_-QbCNdBi90OdPjRqg"", ""'Plan de Compras'!D4:Q""), 12, 0), ""NO ESTÁ EN REQ"")"),"Técnica")</f>
        <v>Técnica</v>
      </c>
      <c r="X254" s="37" t="str">
        <f>IFERROR(__xludf.DUMMYFUNCTION("IFERROR(VLOOKUP(G254,IMPORTRANGE(""https://docs.google.com/spreadsheets/d/12RxCea4e5ggM7QGn1XE3FbLQa_-QbCNdBi90OdPjRqg"", ""'Plan de Compras'!D4:Q""), 13, 0), """")"),"NACIONAL")</f>
        <v>NACIONAL</v>
      </c>
      <c r="Y254" s="32" t="str">
        <f>IFERROR(__xludf.DUMMYFUNCTION("IFERROR(VLOOKUP(G254,IMPORTRANGE(""https://docs.google.com/spreadsheets/d/12RxCea4e5ggM7QGn1XE3FbLQa_-QbCNdBi90OdPjRqg"", ""'Plan de Compras'!D4:Q""), 14, 0), """")"),"GEANFRANCO")</f>
        <v>GEANFRANCO</v>
      </c>
      <c r="Z254" s="38" t="str">
        <f>IFERROR(__xludf.DUMMYFUNCTION("IFERROR(VLOOKUP(G254,IMPORTRANGE(""https://docs.google.com/spreadsheets/d/12RxCea4e5ggM7QGn1XE3FbLQa_-QbCNdBi90OdPjRqg"", ""'Plan de Compras'!D4:Q""), 4, 0), """")"),"100 AGUJAS DE COSER N° 14 (1 UND)")</f>
        <v>100 AGUJAS DE COSER N° 14 (1 UND)</v>
      </c>
      <c r="AA254" s="38" t="str">
        <f t="shared" si="16"/>
        <v>TRUE</v>
      </c>
      <c r="AB254" s="37" t="str">
        <f>IFERROR(__xludf.DUMMYFUNCTION("IFERROR(IF(OR(C254=TRUE,C254=""""),VLOOKUP(G254,IMPORTRANGE(""https://docs.google.com/spreadsheets/d/1z9A1Wq-kKrhRNG5RS2a2fKpY1wIhSVz2ZNmP2mOl588/edit?usp=sharing"",""REQ VF!E4:H""),4,0),""NO APLICA""),""GENERAR REQ"")"),"GENERAR REQ")</f>
        <v>GENERAR REQ</v>
      </c>
      <c r="AC254" s="37" t="str">
        <f>IFERROR(__xludf.DUMMYFUNCTION("IFERROR(QUERY(IMPORTRANGE(""https://docs.google.com/spreadsheets/d/1z9A1Wq-kKrhRNG5RS2a2fKpY1wIhSVz2ZNmP2mOl588/edit?usp=sharing"",""REQ VF!E4:Q""),""SELECT Col10, Col11, Col12 WHERE Col1 = '""&amp;G254&amp;""'"",0),""NO APLICA"")"),"NO APLICA")</f>
        <v>NO APLICA</v>
      </c>
      <c r="AD254" s="37"/>
      <c r="AE254" s="37"/>
      <c r="AF254" s="13"/>
      <c r="AG254" s="13"/>
    </row>
    <row r="255">
      <c r="A255" s="26">
        <v>106.0</v>
      </c>
      <c r="B255" s="26" t="b">
        <v>1</v>
      </c>
      <c r="C255" s="26" t="b">
        <v>1</v>
      </c>
      <c r="D255" s="26" t="s">
        <v>35</v>
      </c>
      <c r="E255" s="26" t="s">
        <v>36</v>
      </c>
      <c r="F255" s="27" t="s">
        <v>837</v>
      </c>
      <c r="G255" s="37" t="s">
        <v>837</v>
      </c>
      <c r="H255" s="45" t="s">
        <v>838</v>
      </c>
      <c r="I255" s="26">
        <f>SUMIFS('Hoja 10'!$O:$O,'Hoja 10'!$F:$F,$G255)</f>
        <v>4</v>
      </c>
      <c r="J255" s="26">
        <f>IFERROR(__xludf.DUMMYFUNCTION("VLOOKUP(G255,IMPORTRANGE(""https://docs.google.com/spreadsheets/d/12RxCea4e5ggM7QGn1XE3FbLQa_-QbCNdBi90OdPjRqg/edit?gid=1692403370#gid=1692403370"", ""'Plan de Compras'!D4:2432""), 8,0)"),4.0)</f>
        <v>4</v>
      </c>
      <c r="K255" s="26" t="str">
        <f t="shared" si="1"/>
        <v>SI</v>
      </c>
      <c r="L255" s="29" t="s">
        <v>39</v>
      </c>
      <c r="M255" s="30" t="s">
        <v>40</v>
      </c>
      <c r="N255" s="42"/>
      <c r="O255" s="32" t="str">
        <f>VLOOKUP($G255,'Hoja 10'!$F$4:$AA478, 19,0)</f>
        <v>PRINCESS</v>
      </c>
      <c r="P255" s="32">
        <f>VLOOKUP($G255,'Hoja 10'!$F$4:$AA478, 20,0)</f>
        <v>282605</v>
      </c>
      <c r="Q255" s="33" t="str">
        <f>VLOOKUP($G255,'Hoja 10'!$F$4:$AA478, 21,0)</f>
        <v>https://www.princesshome.eu/es-es/productos-princess/heladeras/princess-282605-heladera-01.282605.01.001</v>
      </c>
      <c r="R255" s="30" t="s">
        <v>839</v>
      </c>
      <c r="S255" s="34" t="b">
        <v>1</v>
      </c>
      <c r="T255" s="35" t="str">
        <f>IFERROR(__xludf.DUMMYFUNCTION(" IF
( VLOOKUP($G255,IMPORTRANGE(""https://docs.google.com/spreadsheets/d/1Gpl6jkTg7sL4VDNimUm3S9Vi1i95esohXCF3wuKOE8c"", ""'CONSOLIDADO'!G5:AB""), 10, 0) &lt;&gt; 0, 
IFERROR(VLOOKUP($G255,IMPORTRANGE(""https://docs.google.com/spreadsheets/d/1Gpl6jkTg7sL4VDNimU"&amp;"m3S9Vi1i95esohXCF3wuKOE8c"", ""'CONSOLIDADO'!G5:AB""), 17, 0), ""-""),
""""
)"),"PRINCESS")</f>
        <v>PRINCESS</v>
      </c>
      <c r="U255" s="35">
        <f>IFERROR(__xludf.DUMMYFUNCTION(" IF
( VLOOKUP($G255,IMPORTRANGE(""https://docs.google.com/spreadsheets/d/1Gpl6jkTg7sL4VDNimUm3S9Vi1i95esohXCF3wuKOE8c"", ""'CONSOLIDADO'!G5:AB""), 10, 0) &lt;&gt; 0, 
IFERROR(VLOOKUP($G255,IMPORTRANGE(""https://docs.google.com/spreadsheets/d/1Gpl6jkTg7sL4VDNimU"&amp;"m3S9Vi1i95esohXCF3wuKOE8c"", ""'CONSOLIDADO'!G5:AB""), 18, 0), ""-""),
""""
)"),282605.0)</f>
        <v>282605</v>
      </c>
      <c r="V255" s="36" t="str">
        <f>IFERROR(__xludf.DUMMYFUNCTION(" IF
( VLOOKUP($G255,IMPORTRANGE(""https://docs.google.com/spreadsheets/d/1Gpl6jkTg7sL4VDNimUm3S9Vi1i95esohXCF3wuKOE8c"", ""'CONSOLIDADO'!G5:AB""), 10, 0) &lt;&gt; 0, 
IFERROR(VLOOKUP($G255,IMPORTRANGE(""https://docs.google.com/spreadsheets/d/1Gpl6jkTg7sL4VDNimU"&amp;"m3S9Vi1i95esohXCF3wuKOE8c"", ""'CONSOLIDADO'!G5:AB""), 19, 0), ""-""),
""""
)"),"https://www.princesshome.eu/es-es/productos-princess/heladeras/princess-282605-heladera-01.282605.01.001")</f>
        <v>https://www.princesshome.eu/es-es/productos-princess/heladeras/princess-282605-heladera-01.282605.01.001</v>
      </c>
      <c r="W255" s="37" t="str">
        <f>IFERROR(__xludf.DUMMYFUNCTION("IFERROR(VLOOKUP(G255,IMPORTRANGE(""https://docs.google.com/spreadsheets/d/12RxCea4e5ggM7QGn1XE3FbLQa_-QbCNdBi90OdPjRqg"", ""'Plan de Compras'!D4:Q""), 12, 0), ""NO ESTÁ EN REQ"")"),"Técnica")</f>
        <v>Técnica</v>
      </c>
      <c r="X255" s="37" t="str">
        <f>IFERROR(__xludf.DUMMYFUNCTION("IFERROR(VLOOKUP(G255,IMPORTRANGE(""https://docs.google.com/spreadsheets/d/12RxCea4e5ggM7QGn1XE3FbLQa_-QbCNdBi90OdPjRqg"", ""'Plan de Compras'!D4:Q""), 13, 0), """")"),"INTERNACIONAL")</f>
        <v>INTERNACIONAL</v>
      </c>
      <c r="Y255" s="32" t="str">
        <f>IFERROR(__xludf.DUMMYFUNCTION("IFERROR(VLOOKUP(G255,IMPORTRANGE(""https://docs.google.com/spreadsheets/d/12RxCea4e5ggM7QGn1XE3FbLQa_-QbCNdBi90OdPjRqg"", ""'Plan de Compras'!D4:Q""), 14, 0), """")"),"GIANFRANCO")</f>
        <v>GIANFRANCO</v>
      </c>
      <c r="Z255" s="38" t="str">
        <f>IFERROR(__xludf.DUMMYFUNCTION("IFERROR(VLOOKUP(G255,IMPORTRANGE(""https://docs.google.com/spreadsheets/d/12RxCea4e5ggM7QGn1XE3FbLQa_-QbCNdBi90OdPjRqg"", ""'Plan de Compras'!D4:Q""), 4, 0), """")"),"MÁQUINA DE HELADOS CON TEMPORIZADOR")</f>
        <v>MÁQUINA DE HELADOS CON TEMPORIZADOR</v>
      </c>
      <c r="AA255" s="38" t="str">
        <f t="shared" si="16"/>
        <v>TRUE</v>
      </c>
      <c r="AB255" s="37" t="str">
        <f>IFERROR(__xludf.DUMMYFUNCTION("IFERROR(IF(OR(C255=TRUE,C255=""""),VLOOKUP(G255,IMPORTRANGE(""https://docs.google.com/spreadsheets/d/1z9A1Wq-kKrhRNG5RS2a2fKpY1wIhSVz2ZNmP2mOl588/edit?usp=sharing"",""REQ VF!E4:H""),4,0),""NO APLICA""),""GENERAR REQ"")"),"GENERAR REQ")</f>
        <v>GENERAR REQ</v>
      </c>
      <c r="AC255" s="37" t="str">
        <f>IFERROR(__xludf.DUMMYFUNCTION("IFERROR(QUERY(IMPORTRANGE(""https://docs.google.com/spreadsheets/d/1z9A1Wq-kKrhRNG5RS2a2fKpY1wIhSVz2ZNmP2mOl588/edit?usp=sharing"",""REQ VF!E4:Q""),""SELECT Col10, Col11, Col12 WHERE Col1 = '""&amp;G255&amp;""'"",0),""NO APLICA"")"),"NO APLICA")</f>
        <v>NO APLICA</v>
      </c>
      <c r="AD255" s="37"/>
      <c r="AE255" s="37"/>
      <c r="AF255" s="8" t="s">
        <v>52</v>
      </c>
      <c r="AG255" s="13"/>
    </row>
    <row r="256">
      <c r="A256" s="26"/>
      <c r="B256" s="26"/>
      <c r="C256" s="26" t="b">
        <v>1</v>
      </c>
      <c r="D256" s="26" t="s">
        <v>42</v>
      </c>
      <c r="E256" s="26" t="s">
        <v>36</v>
      </c>
      <c r="F256" s="59" t="s">
        <v>837</v>
      </c>
      <c r="G256" s="39" t="s">
        <v>840</v>
      </c>
      <c r="H256" s="40" t="s">
        <v>44</v>
      </c>
      <c r="I256" s="43">
        <f>$I$255</f>
        <v>4</v>
      </c>
      <c r="J256" s="26">
        <f>IFERROR(__xludf.DUMMYFUNCTION("VLOOKUP(G256,IMPORTRANGE(""https://docs.google.com/spreadsheets/d/12RxCea4e5ggM7QGn1XE3FbLQa_-QbCNdBi90OdPjRqg/edit?gid=1692403370#gid=1692403370"", ""'Plan de Compras'!D4:2432""), 8,0)"),4.0)</f>
        <v>4</v>
      </c>
      <c r="K256" s="26" t="str">
        <f t="shared" si="1"/>
        <v>SI</v>
      </c>
      <c r="L256" s="26"/>
      <c r="M256" s="41"/>
      <c r="N256" s="60" t="s">
        <v>166</v>
      </c>
      <c r="O256" s="42"/>
      <c r="P256" s="42"/>
      <c r="Q256" s="41"/>
      <c r="R256" s="41"/>
      <c r="S256" s="34" t="b">
        <v>1</v>
      </c>
      <c r="T256" s="35" t="s">
        <v>47</v>
      </c>
      <c r="U256" s="43" t="s">
        <v>841</v>
      </c>
      <c r="V256" s="44"/>
      <c r="W256" s="37" t="str">
        <f>IFERROR(__xludf.DUMMYFUNCTION("IFERROR(VLOOKUP(G256,IMPORTRANGE(""https://docs.google.com/spreadsheets/d/12RxCea4e5ggM7QGn1XE3FbLQa_-QbCNdBi90OdPjRqg"", ""'Plan de Compras'!D4:Q""), 12, 0), ""NO ESTÁ EN REQ"")"),"Simple")</f>
        <v>Simple</v>
      </c>
      <c r="X256" s="37" t="str">
        <f>IFERROR(__xludf.DUMMYFUNCTION("IFERROR(VLOOKUP(G256,IMPORTRANGE(""https://docs.google.com/spreadsheets/d/12RxCea4e5ggM7QGn1XE3FbLQa_-QbCNdBi90OdPjRqg"", ""'Plan de Compras'!D4:Q""), 13, 0), """")"),"NACIONAL")</f>
        <v>NACIONAL</v>
      </c>
      <c r="Y256" s="32" t="str">
        <f>IFERROR(__xludf.DUMMYFUNCTION("IFERROR(VLOOKUP(G256,IMPORTRANGE(""https://docs.google.com/spreadsheets/d/12RxCea4e5ggM7QGn1XE3FbLQa_-QbCNdBi90OdPjRqg"", ""'Plan de Compras'!D4:Q""), 14, 0), """")"),"ANGIE")</f>
        <v>ANGIE</v>
      </c>
      <c r="Z256" s="38" t="str">
        <f>IFERROR(__xludf.DUMMYFUNCTION("IFERROR(VLOOKUP(G256,IMPORTRANGE(""https://docs.google.com/spreadsheets/d/12RxCea4e5ggM7QGn1XE3FbLQa_-QbCNdBi90OdPjRqg"", ""'Plan de Compras'!D4:Q""), 4, 0), """")"),"FUNDA IMPERMEABLE (1 UND)")</f>
        <v>FUNDA IMPERMEABLE (1 UND)</v>
      </c>
      <c r="AA256" s="38" t="str">
        <f t="shared" si="16"/>
        <v>TRUE</v>
      </c>
      <c r="AB256" s="37" t="str">
        <f>IFERROR(__xludf.DUMMYFUNCTION("IFERROR(IF(OR(C256=TRUE,C256=""""),VLOOKUP(G256,IMPORTRANGE(""https://docs.google.com/spreadsheets/d/1z9A1Wq-kKrhRNG5RS2a2fKpY1wIhSVz2ZNmP2mOl588/edit?usp=sharing"",""REQ VF!E4:H""),4,0),""NO APLICA""),""GENERAR REQ"")"),"GENERAR REQ")</f>
        <v>GENERAR REQ</v>
      </c>
      <c r="AC256" s="37" t="str">
        <f>IFERROR(__xludf.DUMMYFUNCTION("IFERROR(QUERY(IMPORTRANGE(""https://docs.google.com/spreadsheets/d/1z9A1Wq-kKrhRNG5RS2a2fKpY1wIhSVz2ZNmP2mOl588/edit?usp=sharing"",""REQ VF!E4:Q""),""SELECT Col10, Col11, Col12 WHERE Col1 = '""&amp;G256&amp;""'"",0),""NO APLICA"")"),"NO APLICA")</f>
        <v>NO APLICA</v>
      </c>
      <c r="AD256" s="37"/>
      <c r="AE256" s="37"/>
      <c r="AF256" s="13"/>
      <c r="AG256" s="13"/>
    </row>
    <row r="257">
      <c r="A257" s="26">
        <v>107.0</v>
      </c>
      <c r="B257" s="26" t="b">
        <v>1</v>
      </c>
      <c r="C257" s="26" t="b">
        <v>1</v>
      </c>
      <c r="D257" s="26" t="s">
        <v>35</v>
      </c>
      <c r="E257" s="26" t="s">
        <v>36</v>
      </c>
      <c r="F257" s="27" t="s">
        <v>842</v>
      </c>
      <c r="G257" s="37" t="s">
        <v>842</v>
      </c>
      <c r="H257" s="45" t="s">
        <v>843</v>
      </c>
      <c r="I257" s="26">
        <f>SUMIFS('Hoja 10'!$O:$O,'Hoja 10'!$F:$F,$G257)</f>
        <v>4</v>
      </c>
      <c r="J257" s="26">
        <f>IFERROR(__xludf.DUMMYFUNCTION("VLOOKUP(G257,IMPORTRANGE(""https://docs.google.com/spreadsheets/d/12RxCea4e5ggM7QGn1XE3FbLQa_-QbCNdBi90OdPjRqg/edit?gid=1692403370#gid=1692403370"", ""'Plan de Compras'!D4:2432""), 8,0)"),4.0)</f>
        <v>4</v>
      </c>
      <c r="K257" s="26" t="str">
        <f t="shared" si="1"/>
        <v>SI</v>
      </c>
      <c r="L257" s="29" t="s">
        <v>91</v>
      </c>
      <c r="M257" s="30" t="s">
        <v>92</v>
      </c>
      <c r="N257" s="42"/>
      <c r="O257" s="32" t="str">
        <f>VLOOKUP($G257,'Hoja 10'!$F$4:$AA478, 19,0)</f>
        <v>ESAB</v>
      </c>
      <c r="P257" s="32" t="str">
        <f>VLOOKUP($G257,'Hoja 10'!$F$4:$AA478, 20,0)</f>
        <v>REBEL 235ic</v>
      </c>
      <c r="Q257" s="33" t="str">
        <f>VLOOKUP($G257,'Hoja 10'!$F$4:$AA478, 21,0)</f>
        <v>https://drive.google.com/file/d/1Fw7MBBw092VP42xf4J4mMf6JFfkrRHWd/view?usp=drive_link</v>
      </c>
      <c r="R257" s="30" t="s">
        <v>844</v>
      </c>
      <c r="S257" s="34" t="b">
        <v>1</v>
      </c>
      <c r="T257" s="35" t="str">
        <f>IFERROR(__xludf.DUMMYFUNCTION(" IF
( VLOOKUP($G257,IMPORTRANGE(""https://docs.google.com/spreadsheets/d/1Gpl6jkTg7sL4VDNimUm3S9Vi1i95esohXCF3wuKOE8c"", ""'CONSOLIDADO'!G5:AB""), 10, 0) &lt;&gt; 0, 
IFERROR(VLOOKUP($G257,IMPORTRANGE(""https://docs.google.com/spreadsheets/d/1Gpl6jkTg7sL4VDNimU"&amp;"m3S9Vi1i95esohXCF3wuKOE8c"", ""'CONSOLIDADO'!G5:AB""), 17, 0), ""-""),
""""
)"),"MILLER")</f>
        <v>MILLER</v>
      </c>
      <c r="U257" s="35" t="str">
        <f>IFERROR(__xludf.DUMMYFUNCTION(" IF
( VLOOKUP($G257,IMPORTRANGE(""https://docs.google.com/spreadsheets/d/1Gpl6jkTg7sL4VDNimUm3S9Vi1i95esohXCF3wuKOE8c"", ""'CONSOLIDADO'!G5:AB""), 10, 0) &lt;&gt; 0, 
IFERROR(VLOOKUP($G257,IMPORTRANGE(""https://docs.google.com/spreadsheets/d/1Gpl6jkTg7sL4VDNimU"&amp;"m3S9Vi1i95esohXCF3wuKOE8c"", ""'CONSOLIDADO'!G5:AB""), 18, 0), ""-""),
""""
)"),"MULTIMATIC 255")</f>
        <v>MULTIMATIC 255</v>
      </c>
      <c r="V257" s="36" t="str">
        <f>IFERROR(__xludf.DUMMYFUNCTION(" IF
( VLOOKUP($G257,IMPORTRANGE(""https://docs.google.com/spreadsheets/d/1Gpl6jkTg7sL4VDNimUm3S9Vi1i95esohXCF3wuKOE8c"", ""'CONSOLIDADO'!G5:AB""), 10, 0) &lt;&gt; 0, 
IFERROR(VLOOKUP($G257,IMPORTRANGE(""https://docs.google.com/spreadsheets/d/1Gpl6jkTg7sL4VDNimU"&amp;"m3S9Vi1i95esohXCF3wuKOE8c"", ""'CONSOLIDADO'!G5:AB""), 19, 0), ""-""),
""""
)"),"https://drive.google.com/file/d/1tSkS8KB8zmxZnYaY48LwnUokAQfQZOql/view")</f>
        <v>https://drive.google.com/file/d/1tSkS8KB8zmxZnYaY48LwnUokAQfQZOql/view</v>
      </c>
      <c r="W257" s="37" t="str">
        <f>IFERROR(__xludf.DUMMYFUNCTION("IFERROR(VLOOKUP(G257,IMPORTRANGE(""https://docs.google.com/spreadsheets/d/12RxCea4e5ggM7QGn1XE3FbLQa_-QbCNdBi90OdPjRqg"", ""'Plan de Compras'!D4:Q""), 12, 0), ""NO ESTÁ EN REQ"")"),"Técnica")</f>
        <v>Técnica</v>
      </c>
      <c r="X257" s="37" t="str">
        <f>IFERROR(__xludf.DUMMYFUNCTION("IFERROR(VLOOKUP(G257,IMPORTRANGE(""https://docs.google.com/spreadsheets/d/12RxCea4e5ggM7QGn1XE3FbLQa_-QbCNdBi90OdPjRqg"", ""'Plan de Compras'!D4:Q""), 13, 0), """")"),"NACIONAL")</f>
        <v>NACIONAL</v>
      </c>
      <c r="Y257" s="32" t="str">
        <f>IFERROR(__xludf.DUMMYFUNCTION("IFERROR(VLOOKUP(G257,IMPORTRANGE(""https://docs.google.com/spreadsheets/d/12RxCea4e5ggM7QGn1XE3FbLQa_-QbCNdBi90OdPjRqg"", ""'Plan de Compras'!D4:Q""), 14, 0), """")"),"GEANFRANCO")</f>
        <v>GEANFRANCO</v>
      </c>
      <c r="Z257" s="38" t="str">
        <f>IFERROR(__xludf.DUMMYFUNCTION("IFERROR(VLOOKUP(G257,IMPORTRANGE(""https://docs.google.com/spreadsheets/d/12RxCea4e5ggM7QGn1XE3FbLQa_-QbCNdBi90OdPjRqg"", ""'Plan de Compras'!D4:Q""), 4, 0), """")"),"MÁQUINA DE SOLDAR MULTIPROCESO")</f>
        <v>MÁQUINA DE SOLDAR MULTIPROCESO</v>
      </c>
      <c r="AA257" s="38" t="str">
        <f t="shared" si="16"/>
        <v>TRUE</v>
      </c>
      <c r="AB257" s="37" t="str">
        <f>IFERROR(__xludf.DUMMYFUNCTION("IFERROR(IF(OR(C257=TRUE,C257=""""),VLOOKUP(G257,IMPORTRANGE(""https://docs.google.com/spreadsheets/d/1z9A1Wq-kKrhRNG5RS2a2fKpY1wIhSVz2ZNmP2mOl588/edit?usp=sharing"",""REQ VF!E4:H""),4,0),""NO APLICA""),""GENERAR REQ"")"),"GENERAR REQ")</f>
        <v>GENERAR REQ</v>
      </c>
      <c r="AC257" s="37" t="str">
        <f>IFERROR(__xludf.DUMMYFUNCTION("IFERROR(QUERY(IMPORTRANGE(""https://docs.google.com/spreadsheets/d/1z9A1Wq-kKrhRNG5RS2a2fKpY1wIhSVz2ZNmP2mOl588/edit?usp=sharing"",""REQ VF!E4:Q""),""SELECT Col10, Col11, Col12 WHERE Col1 = '""&amp;G257&amp;""'"",0),""NO APLICA"")"),"NO APLICA")</f>
        <v>NO APLICA</v>
      </c>
      <c r="AD257" s="37"/>
      <c r="AE257" s="37"/>
      <c r="AF257" s="13"/>
      <c r="AG257" s="13"/>
    </row>
    <row r="258">
      <c r="A258" s="26"/>
      <c r="B258" s="26"/>
      <c r="C258" s="26" t="b">
        <v>1</v>
      </c>
      <c r="D258" s="43" t="s">
        <v>42</v>
      </c>
      <c r="E258" s="43" t="s">
        <v>36</v>
      </c>
      <c r="F258" s="37" t="s">
        <v>842</v>
      </c>
      <c r="G258" s="39" t="s">
        <v>845</v>
      </c>
      <c r="H258" s="40" t="s">
        <v>846</v>
      </c>
      <c r="I258" s="43">
        <f t="shared" ref="I258:I260" si="28">$I$257</f>
        <v>4</v>
      </c>
      <c r="J258" s="26">
        <f>IFERROR(__xludf.DUMMYFUNCTION("VLOOKUP(G258,IMPORTRANGE(""https://docs.google.com/spreadsheets/d/12RxCea4e5ggM7QGn1XE3FbLQa_-QbCNdBi90OdPjRqg/edit?gid=1692403370#gid=1692403370"", ""'Plan de Compras'!D4:2432""), 8,0)"),4.0)</f>
        <v>4</v>
      </c>
      <c r="K258" s="26" t="str">
        <f t="shared" si="1"/>
        <v>SI</v>
      </c>
      <c r="L258" s="26"/>
      <c r="M258" s="41"/>
      <c r="N258" s="60" t="s">
        <v>166</v>
      </c>
      <c r="O258" s="42"/>
      <c r="P258" s="42"/>
      <c r="Q258" s="41"/>
      <c r="R258" s="41"/>
      <c r="S258" s="44" t="b">
        <v>0</v>
      </c>
      <c r="T258" s="72"/>
      <c r="U258" s="72"/>
      <c r="V258" s="44"/>
      <c r="W258" s="37" t="str">
        <f>IFERROR(__xludf.DUMMYFUNCTION("IFERROR(VLOOKUP(G258,IMPORTRANGE(""https://docs.google.com/spreadsheets/d/12RxCea4e5ggM7QGn1XE3FbLQa_-QbCNdBi90OdPjRqg"", ""'Plan de Compras'!D4:Q""), 12, 0), ""NO ESTÁ EN REQ"")"),"Técnica")</f>
        <v>Técnica</v>
      </c>
      <c r="X258" s="37" t="str">
        <f>IFERROR(__xludf.DUMMYFUNCTION("IFERROR(VLOOKUP(G258,IMPORTRANGE(""https://docs.google.com/spreadsheets/d/12RxCea4e5ggM7QGn1XE3FbLQa_-QbCNdBi90OdPjRqg"", ""'Plan de Compras'!D4:Q""), 13, 0), """")"),"NACIONAL")</f>
        <v>NACIONAL</v>
      </c>
      <c r="Y258" s="32" t="str">
        <f>IFERROR(__xludf.DUMMYFUNCTION("IFERROR(VLOOKUP(G258,IMPORTRANGE(""https://docs.google.com/spreadsheets/d/12RxCea4e5ggM7QGn1XE3FbLQa_-QbCNdBi90OdPjRqg"", ""'Plan de Compras'!D4:Q""), 14, 0), """")"),"GEANFRANCO")</f>
        <v>GEANFRANCO</v>
      </c>
      <c r="Z258" s="38" t="str">
        <f>IFERROR(__xludf.DUMMYFUNCTION("IFERROR(VLOOKUP(G258,IMPORTRANGE(""https://docs.google.com/spreadsheets/d/12RxCea4e5ggM7QGn1XE3FbLQa_-QbCNdBi90OdPjRqg"", ""'Plan de Compras'!D4:Q""), 4, 0), """")"),"CARRETE PARA SOLDAR 0.100 MM (1 UND)")</f>
        <v>CARRETE PARA SOLDAR 0.100 MM (1 UND)</v>
      </c>
      <c r="AA258" s="38" t="str">
        <f t="shared" si="16"/>
        <v>FALSE</v>
      </c>
      <c r="AB258" s="37" t="str">
        <f>IFERROR(__xludf.DUMMYFUNCTION("IFERROR(IF(OR(C258=TRUE,C258=""""),VLOOKUP(G258,IMPORTRANGE(""https://docs.google.com/spreadsheets/d/1z9A1Wq-kKrhRNG5RS2a2fKpY1wIhSVz2ZNmP2mOl588/edit?usp=sharing"",""REQ VF!E4:H""),4,0),""NO APLICA""),""GENERAR REQ"")"),"GENERAR REQ")</f>
        <v>GENERAR REQ</v>
      </c>
      <c r="AC258" s="37" t="str">
        <f>IFERROR(__xludf.DUMMYFUNCTION("IFERROR(QUERY(IMPORTRANGE(""https://docs.google.com/spreadsheets/d/1z9A1Wq-kKrhRNG5RS2a2fKpY1wIhSVz2ZNmP2mOl588/edit?usp=sharing"",""REQ VF!E4:Q""),""SELECT Col10, Col11, Col12 WHERE Col1 = '""&amp;G258&amp;""'"",0),""NO APLICA"")"),"NO APLICA")</f>
        <v>NO APLICA</v>
      </c>
      <c r="AD258" s="37"/>
      <c r="AE258" s="37"/>
      <c r="AF258" s="13"/>
      <c r="AG258" s="13"/>
    </row>
    <row r="259">
      <c r="A259" s="26"/>
      <c r="B259" s="26"/>
      <c r="C259" s="26" t="b">
        <v>1</v>
      </c>
      <c r="D259" s="43" t="s">
        <v>42</v>
      </c>
      <c r="E259" s="43" t="s">
        <v>36</v>
      </c>
      <c r="F259" s="37" t="s">
        <v>842</v>
      </c>
      <c r="G259" s="39" t="s">
        <v>847</v>
      </c>
      <c r="H259" s="40" t="s">
        <v>848</v>
      </c>
      <c r="I259" s="43">
        <f t="shared" si="28"/>
        <v>4</v>
      </c>
      <c r="J259" s="26">
        <f>IFERROR(__xludf.DUMMYFUNCTION("VLOOKUP(G259,IMPORTRANGE(""https://docs.google.com/spreadsheets/d/12RxCea4e5ggM7QGn1XE3FbLQa_-QbCNdBi90OdPjRqg/edit?gid=1692403370#gid=1692403370"", ""'Plan de Compras'!D4:2432""), 8,0)"),4.0)</f>
        <v>4</v>
      </c>
      <c r="K259" s="26" t="str">
        <f t="shared" si="1"/>
        <v>SI</v>
      </c>
      <c r="L259" s="26"/>
      <c r="M259" s="41"/>
      <c r="N259" s="60" t="s">
        <v>166</v>
      </c>
      <c r="O259" s="42"/>
      <c r="P259" s="42"/>
      <c r="Q259" s="72"/>
      <c r="R259" s="41"/>
      <c r="S259" s="44" t="b">
        <v>0</v>
      </c>
      <c r="T259" s="72"/>
      <c r="V259" s="44"/>
      <c r="W259" s="37" t="str">
        <f>IFERROR(__xludf.DUMMYFUNCTION("IFERROR(VLOOKUP(G259,IMPORTRANGE(""https://docs.google.com/spreadsheets/d/12RxCea4e5ggM7QGn1XE3FbLQa_-QbCNdBi90OdPjRqg"", ""'Plan de Compras'!D4:Q""), 12, 0), ""NO ESTÁ EN REQ"")"),"Técnica")</f>
        <v>Técnica</v>
      </c>
      <c r="X259" s="37" t="str">
        <f>IFERROR(__xludf.DUMMYFUNCTION("IFERROR(VLOOKUP(G259,IMPORTRANGE(""https://docs.google.com/spreadsheets/d/12RxCea4e5ggM7QGn1XE3FbLQa_-QbCNdBi90OdPjRqg"", ""'Plan de Compras'!D4:Q""), 13, 0), """")"),"NACIONAL")</f>
        <v>NACIONAL</v>
      </c>
      <c r="Y259" s="32" t="str">
        <f>IFERROR(__xludf.DUMMYFUNCTION("IFERROR(VLOOKUP(G259,IMPORTRANGE(""https://docs.google.com/spreadsheets/d/12RxCea4e5ggM7QGn1XE3FbLQa_-QbCNdBi90OdPjRqg"", ""'Plan de Compras'!D4:Q""), 14, 0), """")"),"GEANFRANCO")</f>
        <v>GEANFRANCO</v>
      </c>
      <c r="Z259" s="38" t="str">
        <f>IFERROR(__xludf.DUMMYFUNCTION("IFERROR(VLOOKUP(G259,IMPORTRANGE(""https://docs.google.com/spreadsheets/d/12RxCea4e5ggM7QGn1XE3FbLQa_-QbCNdBi90OdPjRqg"", ""'Plan de Compras'!D4:Q""), 4, 0), """")"),"CARRETE PARA SOLDAR 0.200 MM (1 UND)")</f>
        <v>CARRETE PARA SOLDAR 0.200 MM (1 UND)</v>
      </c>
      <c r="AA259" s="38" t="str">
        <f t="shared" si="16"/>
        <v>FALSE</v>
      </c>
      <c r="AB259" s="37" t="str">
        <f>IFERROR(__xludf.DUMMYFUNCTION("IFERROR(IF(OR(C259=TRUE,C259=""""),VLOOKUP(G259,IMPORTRANGE(""https://docs.google.com/spreadsheets/d/1z9A1Wq-kKrhRNG5RS2a2fKpY1wIhSVz2ZNmP2mOl588/edit?usp=sharing"",""REQ VF!E4:H""),4,0),""NO APLICA""),""GENERAR REQ"")"),"GENERAR REQ")</f>
        <v>GENERAR REQ</v>
      </c>
      <c r="AC259" s="37" t="str">
        <f>IFERROR(__xludf.DUMMYFUNCTION("IFERROR(QUERY(IMPORTRANGE(""https://docs.google.com/spreadsheets/d/1z9A1Wq-kKrhRNG5RS2a2fKpY1wIhSVz2ZNmP2mOl588/edit?usp=sharing"",""REQ VF!E4:Q""),""SELECT Col10, Col11, Col12 WHERE Col1 = '""&amp;G259&amp;""'"",0),""NO APLICA"")"),"NO APLICA")</f>
        <v>NO APLICA</v>
      </c>
      <c r="AD259" s="37"/>
      <c r="AE259" s="37"/>
      <c r="AF259" s="13"/>
      <c r="AG259" s="13"/>
    </row>
    <row r="260">
      <c r="A260" s="26"/>
      <c r="B260" s="26"/>
      <c r="C260" s="26" t="b">
        <v>1</v>
      </c>
      <c r="D260" s="43" t="s">
        <v>42</v>
      </c>
      <c r="E260" s="43" t="s">
        <v>36</v>
      </c>
      <c r="F260" s="37" t="s">
        <v>842</v>
      </c>
      <c r="G260" s="39" t="s">
        <v>849</v>
      </c>
      <c r="H260" s="40" t="s">
        <v>850</v>
      </c>
      <c r="I260" s="43">
        <f t="shared" si="28"/>
        <v>4</v>
      </c>
      <c r="J260" s="26">
        <f>IFERROR(__xludf.DUMMYFUNCTION("VLOOKUP(G260,IMPORTRANGE(""https://docs.google.com/spreadsheets/d/12RxCea4e5ggM7QGn1XE3FbLQa_-QbCNdBi90OdPjRqg/edit?gid=1692403370#gid=1692403370"", ""'Plan de Compras'!D4:2432""), 8,0)"),4.0)</f>
        <v>4</v>
      </c>
      <c r="K260" s="26" t="str">
        <f t="shared" si="1"/>
        <v>SI</v>
      </c>
      <c r="L260" s="26"/>
      <c r="M260" s="41"/>
      <c r="N260" s="60" t="s">
        <v>166</v>
      </c>
      <c r="O260" s="42"/>
      <c r="P260" s="42"/>
      <c r="Q260" s="41"/>
      <c r="R260" s="41"/>
      <c r="S260" s="44" t="b">
        <v>0</v>
      </c>
      <c r="T260" s="72"/>
      <c r="U260" s="72"/>
      <c r="V260" s="44"/>
      <c r="W260" s="37" t="str">
        <f>IFERROR(__xludf.DUMMYFUNCTION("IFERROR(VLOOKUP(G260,IMPORTRANGE(""https://docs.google.com/spreadsheets/d/12RxCea4e5ggM7QGn1XE3FbLQa_-QbCNdBi90OdPjRqg"", ""'Plan de Compras'!D4:Q""), 12, 0), ""NO ESTÁ EN REQ"")"),"Técnica")</f>
        <v>Técnica</v>
      </c>
      <c r="X260" s="37" t="str">
        <f>IFERROR(__xludf.DUMMYFUNCTION("IFERROR(VLOOKUP(G260,IMPORTRANGE(""https://docs.google.com/spreadsheets/d/12RxCea4e5ggM7QGn1XE3FbLQa_-QbCNdBi90OdPjRqg"", ""'Plan de Compras'!D4:Q""), 13, 0), """")"),"NACIONAL")</f>
        <v>NACIONAL</v>
      </c>
      <c r="Y260" s="32" t="str">
        <f>IFERROR(__xludf.DUMMYFUNCTION("IFERROR(VLOOKUP(G260,IMPORTRANGE(""https://docs.google.com/spreadsheets/d/12RxCea4e5ggM7QGn1XE3FbLQa_-QbCNdBi90OdPjRqg"", ""'Plan de Compras'!D4:Q""), 14, 0), """")"),"GEANFRANCO")</f>
        <v>GEANFRANCO</v>
      </c>
      <c r="Z260" s="38" t="str">
        <f>IFERROR(__xludf.DUMMYFUNCTION("IFERROR(VLOOKUP(G260,IMPORTRANGE(""https://docs.google.com/spreadsheets/d/12RxCea4e5ggM7QGn1XE3FbLQa_-QbCNdBi90OdPjRqg"", ""'Plan de Compras'!D4:Q""), 4, 0), """")"),"CARRETE PARA SOLDAR 0.30 MM (1 UND)")</f>
        <v>CARRETE PARA SOLDAR 0.30 MM (1 UND)</v>
      </c>
      <c r="AA260" s="38" t="str">
        <f t="shared" si="16"/>
        <v>FALSE</v>
      </c>
      <c r="AB260" s="37" t="str">
        <f>IFERROR(__xludf.DUMMYFUNCTION("IFERROR(IF(OR(C260=TRUE,C260=""""),VLOOKUP(G260,IMPORTRANGE(""https://docs.google.com/spreadsheets/d/1z9A1Wq-kKrhRNG5RS2a2fKpY1wIhSVz2ZNmP2mOl588/edit?usp=sharing"",""REQ VF!E4:H""),4,0),""NO APLICA""),""GENERAR REQ"")"),"GENERAR REQ")</f>
        <v>GENERAR REQ</v>
      </c>
      <c r="AC260" s="37" t="str">
        <f>IFERROR(__xludf.DUMMYFUNCTION("IFERROR(QUERY(IMPORTRANGE(""https://docs.google.com/spreadsheets/d/1z9A1Wq-kKrhRNG5RS2a2fKpY1wIhSVz2ZNmP2mOl588/edit?usp=sharing"",""REQ VF!E4:Q""),""SELECT Col10, Col11, Col12 WHERE Col1 = '""&amp;G260&amp;""'"",0),""NO APLICA"")"),"NO APLICA")</f>
        <v>NO APLICA</v>
      </c>
      <c r="AD260" s="37"/>
      <c r="AE260" s="37"/>
      <c r="AF260" s="13"/>
      <c r="AG260" s="13"/>
    </row>
    <row r="261">
      <c r="A261" s="45"/>
      <c r="B261" s="26"/>
      <c r="C261" s="26" t="b">
        <v>1</v>
      </c>
      <c r="D261" s="43" t="s">
        <v>42</v>
      </c>
      <c r="E261" s="43" t="s">
        <v>36</v>
      </c>
      <c r="F261" s="37" t="s">
        <v>842</v>
      </c>
      <c r="G261" s="39" t="s">
        <v>851</v>
      </c>
      <c r="H261" s="40" t="s">
        <v>852</v>
      </c>
      <c r="I261" s="43">
        <f>1*I257</f>
        <v>4</v>
      </c>
      <c r="J261" s="26">
        <f>IFERROR(__xludf.DUMMYFUNCTION("VLOOKUP(G261,IMPORTRANGE(""https://docs.google.com/spreadsheets/d/12RxCea4e5ggM7QGn1XE3FbLQa_-QbCNdBi90OdPjRqg/edit?gid=1692403370#gid=1692403370"", ""'Plan de Compras'!D4:2432""), 8,0)"),4.0)</f>
        <v>4</v>
      </c>
      <c r="K261" s="26" t="str">
        <f t="shared" si="1"/>
        <v>SI</v>
      </c>
      <c r="L261" s="29"/>
      <c r="M261" s="61"/>
      <c r="N261" s="42"/>
      <c r="O261" s="32"/>
      <c r="P261" s="32"/>
      <c r="Q261" s="41"/>
      <c r="R261" s="61"/>
      <c r="S261" s="34" t="b">
        <v>1</v>
      </c>
      <c r="T261" s="35" t="s">
        <v>853</v>
      </c>
      <c r="U261" s="35" t="s">
        <v>854</v>
      </c>
      <c r="V261" s="95" t="s">
        <v>855</v>
      </c>
      <c r="W261" s="37" t="str">
        <f>IFERROR(__xludf.DUMMYFUNCTION("IFERROR(VLOOKUP(G261,IMPORTRANGE(""https://docs.google.com/spreadsheets/d/12RxCea4e5ggM7QGn1XE3FbLQa_-QbCNdBi90OdPjRqg"", ""'Plan de Compras'!D4:Q""), 12, 0), ""NO ESTÁ EN REQ"")"),"Técnica")</f>
        <v>Técnica</v>
      </c>
      <c r="X261" s="37" t="str">
        <f>IFERROR(__xludf.DUMMYFUNCTION("IFERROR(VLOOKUP(G261,IMPORTRANGE(""https://docs.google.com/spreadsheets/d/12RxCea4e5ggM7QGn1XE3FbLQa_-QbCNdBi90OdPjRqg"", ""'Plan de Compras'!D4:Q""), 13, 0), """")"),"NACIONAL")</f>
        <v>NACIONAL</v>
      </c>
      <c r="Y261" s="32" t="str">
        <f>IFERROR(__xludf.DUMMYFUNCTION("IFERROR(VLOOKUP(G261,IMPORTRANGE(""https://docs.google.com/spreadsheets/d/12RxCea4e5ggM7QGn1XE3FbLQa_-QbCNdBi90OdPjRqg"", ""'Plan de Compras'!D4:Q""), 14, 0), """")"),"GEANFRANCO")</f>
        <v>GEANFRANCO</v>
      </c>
      <c r="Z261" s="38" t="str">
        <f>IFERROR(__xludf.DUMMYFUNCTION("IFERROR(VLOOKUP(G261,IMPORTRANGE(""https://docs.google.com/spreadsheets/d/12RxCea4e5ggM7QGn1XE3FbLQa_-QbCNdBi90OdPjRqg"", ""'Plan de Compras'!D4:Q""), 4, 0), """")"),"PISTOLA PORTA-CARRETE (1 UND)")</f>
        <v>PISTOLA PORTA-CARRETE (1 UND)</v>
      </c>
      <c r="AA261" s="38" t="str">
        <f t="shared" si="16"/>
        <v>TRUE</v>
      </c>
      <c r="AB261" s="37" t="str">
        <f>IFERROR(__xludf.DUMMYFUNCTION("IFERROR(IF(OR(C261=TRUE,C261=""""),VLOOKUP(G261,IMPORTRANGE(""https://docs.google.com/spreadsheets/d/1z9A1Wq-kKrhRNG5RS2a2fKpY1wIhSVz2ZNmP2mOl588/edit?usp=sharing"",""REQ VF!E4:H""),4,0),""NO APLICA""),""GENERAR REQ"")"),"GENERAR REQ")</f>
        <v>GENERAR REQ</v>
      </c>
      <c r="AC261" s="37" t="str">
        <f>IFERROR(__xludf.DUMMYFUNCTION("IFERROR(QUERY(IMPORTRANGE(""https://docs.google.com/spreadsheets/d/1z9A1Wq-kKrhRNG5RS2a2fKpY1wIhSVz2ZNmP2mOl588/edit?usp=sharing"",""REQ VF!E4:Q""),""SELECT Col10, Col11, Col12 WHERE Col1 = '""&amp;G261&amp;""'"",0),""NO APLICA"")"),"NO APLICA")</f>
        <v>NO APLICA</v>
      </c>
      <c r="AD261" s="37"/>
      <c r="AE261" s="37"/>
      <c r="AF261" s="13"/>
      <c r="AG261" s="13"/>
    </row>
    <row r="262">
      <c r="A262" s="26">
        <v>108.0</v>
      </c>
      <c r="B262" s="26" t="b">
        <v>1</v>
      </c>
      <c r="C262" s="26" t="b">
        <v>1</v>
      </c>
      <c r="D262" s="26" t="s">
        <v>35</v>
      </c>
      <c r="E262" s="26" t="s">
        <v>36</v>
      </c>
      <c r="F262" s="27" t="s">
        <v>856</v>
      </c>
      <c r="G262" s="37" t="s">
        <v>856</v>
      </c>
      <c r="H262" s="45" t="s">
        <v>857</v>
      </c>
      <c r="I262" s="26">
        <f>SUMIFS('Hoja 10'!$O:$O,'Hoja 10'!$F:$F,$G262)</f>
        <v>3</v>
      </c>
      <c r="J262" s="26">
        <f>IFERROR(__xludf.DUMMYFUNCTION("VLOOKUP(G262,IMPORTRANGE(""https://docs.google.com/spreadsheets/d/12RxCea4e5ggM7QGn1XE3FbLQa_-QbCNdBi90OdPjRqg/edit?gid=1692403370#gid=1692403370"", ""'Plan de Compras'!D4:2432""), 8,0)"),3.0)</f>
        <v>3</v>
      </c>
      <c r="K262" s="26" t="str">
        <f t="shared" si="1"/>
        <v>SI</v>
      </c>
      <c r="L262" s="29" t="s">
        <v>127</v>
      </c>
      <c r="M262" s="30" t="s">
        <v>105</v>
      </c>
      <c r="N262" s="42"/>
      <c r="O262" s="32" t="str">
        <f>VLOOKUP($G262,'Hoja 10'!$F$4:$AA478, 19,0)</f>
        <v>ESAB</v>
      </c>
      <c r="P262" s="32" t="str">
        <f>VLOOKUP($G262,'Hoja 10'!$F$4:$AA478, 20,0)</f>
        <v>WarriorTM 350MV CC/CV</v>
      </c>
      <c r="Q262" s="33" t="str">
        <f>VLOOKUP($G262,'Hoja 10'!$F$4:$AA478, 21,0)</f>
        <v>https://drive.google.com/file/d/11NnGPL-rHW4IGl_acabYYZZVq8qNYqqK/view</v>
      </c>
      <c r="R262" s="30" t="s">
        <v>858</v>
      </c>
      <c r="S262" s="34" t="b">
        <v>1</v>
      </c>
      <c r="T262" s="35" t="str">
        <f>IFERROR(__xludf.DUMMYFUNCTION(" IF
( VLOOKUP($G262,IMPORTRANGE(""https://docs.google.com/spreadsheets/d/1Gpl6jkTg7sL4VDNimUm3S9Vi1i95esohXCF3wuKOE8c"", ""'CONSOLIDADO'!G5:AB""), 10, 0) &lt;&gt; 0, 
IFERROR(VLOOKUP($G262,IMPORTRANGE(""https://docs.google.com/spreadsheets/d/1Gpl6jkTg7sL4VDNimU"&amp;"m3S9Vi1i95esohXCF3wuKOE8c"", ""'CONSOLIDADO'!G5:AB""), 17, 0), ""-""),
""""
)"),"ESAB")</f>
        <v>ESAB</v>
      </c>
      <c r="U262" s="35" t="str">
        <f>IFERROR(__xludf.DUMMYFUNCTION(" IF
( VLOOKUP($G262,IMPORTRANGE(""https://docs.google.com/spreadsheets/d/1Gpl6jkTg7sL4VDNimUm3S9Vi1i95esohXCF3wuKOE8c"", ""'CONSOLIDADO'!G5:AB""), 10, 0) &lt;&gt; 0, 
IFERROR(VLOOKUP($G262,IMPORTRANGE(""https://docs.google.com/spreadsheets/d/1Gpl6jkTg7sL4VDNimU"&amp;"m3S9Vi1i95esohXCF3wuKOE8c"", ""'CONSOLIDADO'!G5:AB""), 18, 0), ""-""),
""""
)"),"WarriorTM 350MV CC/CV")</f>
        <v>WarriorTM 350MV CC/CV</v>
      </c>
      <c r="V262" s="36" t="str">
        <f>IFERROR(__xludf.DUMMYFUNCTION(" IF
( VLOOKUP($G262,IMPORTRANGE(""https://docs.google.com/spreadsheets/d/1Gpl6jkTg7sL4VDNimUm3S9Vi1i95esohXCF3wuKOE8c"", ""'CONSOLIDADO'!G5:AB""), 10, 0) &lt;&gt; 0, 
IFERROR(VLOOKUP($G262,IMPORTRANGE(""https://docs.google.com/spreadsheets/d/1Gpl6jkTg7sL4VDNimU"&amp;"m3S9Vi1i95esohXCF3wuKOE8c"", ""'CONSOLIDADO'!G5:AB""), 19, 0), ""-""),
""""
)"),"https://esab.com/pe/sam_es/products-solutions/product/welding-equipment/multi-process-welders/warrior-350i-mv/")</f>
        <v>https://esab.com/pe/sam_es/products-solutions/product/welding-equipment/multi-process-welders/warrior-350i-mv/</v>
      </c>
      <c r="W262" s="37" t="str">
        <f>IFERROR(__xludf.DUMMYFUNCTION("IFERROR(VLOOKUP(G262,IMPORTRANGE(""https://docs.google.com/spreadsheets/d/12RxCea4e5ggM7QGn1XE3FbLQa_-QbCNdBi90OdPjRqg"", ""'Plan de Compras'!D4:Q""), 12, 0), ""NO ESTÁ EN REQ"")"),"Técnica")</f>
        <v>Técnica</v>
      </c>
      <c r="X262" s="37" t="str">
        <f>IFERROR(__xludf.DUMMYFUNCTION("IFERROR(VLOOKUP(G262,IMPORTRANGE(""https://docs.google.com/spreadsheets/d/12RxCea4e5ggM7QGn1XE3FbLQa_-QbCNdBi90OdPjRqg"", ""'Plan de Compras'!D4:Q""), 13, 0), """")"),"NACIONAL")</f>
        <v>NACIONAL</v>
      </c>
      <c r="Y262" s="32" t="str">
        <f>IFERROR(__xludf.DUMMYFUNCTION("IFERROR(VLOOKUP(G262,IMPORTRANGE(""https://docs.google.com/spreadsheets/d/12RxCea4e5ggM7QGn1XE3FbLQa_-QbCNdBi90OdPjRqg"", ""'Plan de Compras'!D4:Q""), 14, 0), """")"),"GEANFRANCO")</f>
        <v>GEANFRANCO</v>
      </c>
      <c r="Z262" s="38" t="str">
        <f>IFERROR(__xludf.DUMMYFUNCTION("IFERROR(VLOOKUP(G262,IMPORTRANGE(""https://docs.google.com/spreadsheets/d/12RxCea4e5ggM7QGn1XE3FbLQa_-QbCNdBi90OdPjRqg"", ""'Plan de Compras'!D4:Q""), 4, 0), """")"),"MÁQUINA DE SOLDAR MULTIPROCESO CON CARRO DE TRANSPORTE")</f>
        <v>MÁQUINA DE SOLDAR MULTIPROCESO CON CARRO DE TRANSPORTE</v>
      </c>
      <c r="AA262" s="38" t="str">
        <f t="shared" si="16"/>
        <v>TRUE</v>
      </c>
      <c r="AB262" s="37" t="str">
        <f>IFERROR(__xludf.DUMMYFUNCTION("IFERROR(IF(OR(C262=TRUE,C262=""""),VLOOKUP(G262,IMPORTRANGE(""https://docs.google.com/spreadsheets/d/1z9A1Wq-kKrhRNG5RS2a2fKpY1wIhSVz2ZNmP2mOl588/edit?usp=sharing"",""REQ VF!E4:H""),4,0),""NO APLICA""),""GENERAR REQ"")"),"GENERAR REQ")</f>
        <v>GENERAR REQ</v>
      </c>
      <c r="AC262" s="37" t="str">
        <f>IFERROR(__xludf.DUMMYFUNCTION("IFERROR(QUERY(IMPORTRANGE(""https://docs.google.com/spreadsheets/d/1z9A1Wq-kKrhRNG5RS2a2fKpY1wIhSVz2ZNmP2mOl588/edit?usp=sharing"",""REQ VF!E4:Q""),""SELECT Col10, Col11, Col12 WHERE Col1 = '""&amp;G262&amp;""'"",0),""NO APLICA"")"),"NO APLICA")</f>
        <v>NO APLICA</v>
      </c>
      <c r="AD262" s="37"/>
      <c r="AE262" s="37"/>
      <c r="AF262" s="13"/>
      <c r="AG262" s="13"/>
    </row>
    <row r="263">
      <c r="A263" s="26"/>
      <c r="B263" s="26"/>
      <c r="C263" s="26" t="b">
        <v>1</v>
      </c>
      <c r="D263" s="26" t="s">
        <v>42</v>
      </c>
      <c r="E263" s="26" t="s">
        <v>36</v>
      </c>
      <c r="F263" s="27" t="s">
        <v>856</v>
      </c>
      <c r="G263" s="39" t="s">
        <v>859</v>
      </c>
      <c r="H263" s="40" t="s">
        <v>860</v>
      </c>
      <c r="I263" s="43">
        <f t="shared" ref="I263:I267" si="29">$I$262</f>
        <v>3</v>
      </c>
      <c r="J263" s="26">
        <f>IFERROR(__xludf.DUMMYFUNCTION("VLOOKUP(G263,IMPORTRANGE(""https://docs.google.com/spreadsheets/d/12RxCea4e5ggM7QGn1XE3FbLQa_-QbCNdBi90OdPjRqg/edit?gid=1692403370#gid=1692403370"", ""'Plan de Compras'!D4:2432""), 8,0)"),3.0)</f>
        <v>3</v>
      </c>
      <c r="K263" s="26" t="str">
        <f t="shared" si="1"/>
        <v>SI</v>
      </c>
      <c r="L263" s="26"/>
      <c r="M263" s="41"/>
      <c r="N263" s="60" t="s">
        <v>166</v>
      </c>
      <c r="O263" s="42"/>
      <c r="P263" s="42"/>
      <c r="Q263" s="41"/>
      <c r="R263" s="41"/>
      <c r="S263" s="34" t="b">
        <v>1</v>
      </c>
      <c r="T263" s="35" t="s">
        <v>861</v>
      </c>
      <c r="U263" s="35" t="s">
        <v>862</v>
      </c>
      <c r="V263" s="34"/>
      <c r="W263" s="37" t="str">
        <f>IFERROR(__xludf.DUMMYFUNCTION("IFERROR(VLOOKUP(G263,IMPORTRANGE(""https://docs.google.com/spreadsheets/d/12RxCea4e5ggM7QGn1XE3FbLQa_-QbCNdBi90OdPjRqg"", ""'Plan de Compras'!D4:Q""), 12, 0), ""NO ESTÁ EN REQ"")"),"Técnica")</f>
        <v>Técnica</v>
      </c>
      <c r="X263" s="37" t="str">
        <f>IFERROR(__xludf.DUMMYFUNCTION("IFERROR(VLOOKUP(G263,IMPORTRANGE(""https://docs.google.com/spreadsheets/d/12RxCea4e5ggM7QGn1XE3FbLQa_-QbCNdBi90OdPjRqg"", ""'Plan de Compras'!D4:Q""), 13, 0), """")"),"NACIONAL")</f>
        <v>NACIONAL</v>
      </c>
      <c r="Y263" s="32" t="str">
        <f>IFERROR(__xludf.DUMMYFUNCTION("IFERROR(VLOOKUP(G263,IMPORTRANGE(""https://docs.google.com/spreadsheets/d/12RxCea4e5ggM7QGn1XE3FbLQa_-QbCNdBi90OdPjRqg"", ""'Plan de Compras'!D4:Q""), 14, 0), """")"),"GEANFRANCO")</f>
        <v>GEANFRANCO</v>
      </c>
      <c r="Z263" s="38" t="str">
        <f>IFERROR(__xludf.DUMMYFUNCTION("IFERROR(VLOOKUP(G263,IMPORTRANGE(""https://docs.google.com/spreadsheets/d/12RxCea4e5ggM7QGn1XE3FbLQa_-QbCNdBi90OdPjRqg"", ""'Plan de Compras'!D4:Q""), 4, 0), """")"),"CARRO DE TRANSPORTE DE ACERO (1 UND)")</f>
        <v>CARRO DE TRANSPORTE DE ACERO (1 UND)</v>
      </c>
      <c r="AA263" s="38" t="str">
        <f t="shared" si="16"/>
        <v>TRUE</v>
      </c>
      <c r="AB263" s="37" t="str">
        <f>IFERROR(__xludf.DUMMYFUNCTION("IFERROR(IF(OR(C263=TRUE,C263=""""),VLOOKUP(G263,IMPORTRANGE(""https://docs.google.com/spreadsheets/d/1z9A1Wq-kKrhRNG5RS2a2fKpY1wIhSVz2ZNmP2mOl588/edit?usp=sharing"",""REQ VF!E4:H""),4,0),""NO APLICA""),""GENERAR REQ"")"),"GENERAR REQ")</f>
        <v>GENERAR REQ</v>
      </c>
      <c r="AC263" s="37" t="str">
        <f>IFERROR(__xludf.DUMMYFUNCTION("IFERROR(QUERY(IMPORTRANGE(""https://docs.google.com/spreadsheets/d/1z9A1Wq-kKrhRNG5RS2a2fKpY1wIhSVz2ZNmP2mOl588/edit?usp=sharing"",""REQ VF!E4:Q""),""SELECT Col10, Col11, Col12 WHERE Col1 = '""&amp;G263&amp;""'"",0),""NO APLICA"")"),"NO APLICA")</f>
        <v>NO APLICA</v>
      </c>
      <c r="AD263" s="37"/>
      <c r="AE263" s="37"/>
      <c r="AF263" s="13"/>
      <c r="AG263" s="13"/>
    </row>
    <row r="264">
      <c r="A264" s="26"/>
      <c r="B264" s="26"/>
      <c r="C264" s="26" t="b">
        <v>1</v>
      </c>
      <c r="D264" s="26" t="s">
        <v>42</v>
      </c>
      <c r="E264" s="26" t="s">
        <v>36</v>
      </c>
      <c r="F264" s="27" t="s">
        <v>856</v>
      </c>
      <c r="G264" s="39" t="s">
        <v>863</v>
      </c>
      <c r="H264" s="40" t="s">
        <v>864</v>
      </c>
      <c r="I264" s="43">
        <f t="shared" si="29"/>
        <v>3</v>
      </c>
      <c r="J264" s="26" t="str">
        <f>IFERROR(__xludf.DUMMYFUNCTION("VLOOKUP(G264,IMPORTRANGE(""https://docs.google.com/spreadsheets/d/12RxCea4e5ggM7QGn1XE3FbLQa_-QbCNdBi90OdPjRqg/edit?gid=1692403370#gid=1692403370"", ""'Plan de Compras'!D4:2432""), 8,0)"),"#N/A")</f>
        <v>#N/A</v>
      </c>
      <c r="K264" s="26" t="str">
        <f t="shared" si="1"/>
        <v>#N/A</v>
      </c>
      <c r="L264" s="26"/>
      <c r="M264" s="41"/>
      <c r="N264" s="60"/>
      <c r="O264" s="42"/>
      <c r="P264" s="42"/>
      <c r="Q264" s="41"/>
      <c r="R264" s="41"/>
      <c r="S264" s="34" t="b">
        <v>1</v>
      </c>
      <c r="T264" s="35" t="s">
        <v>861</v>
      </c>
      <c r="U264" s="35" t="s">
        <v>865</v>
      </c>
      <c r="V264" s="56" t="s">
        <v>866</v>
      </c>
      <c r="W264" s="37"/>
      <c r="X264" s="37"/>
      <c r="Y264" s="32"/>
      <c r="Z264" s="38"/>
      <c r="AA264" s="38" t="str">
        <f t="shared" si="16"/>
        <v>FALSE</v>
      </c>
      <c r="AB264" s="37" t="str">
        <f>IFERROR(__xludf.DUMMYFUNCTION("IFERROR(IF(OR(C264=TRUE,C264=""""),VLOOKUP(G264,IMPORTRANGE(""https://docs.google.com/spreadsheets/d/1z9A1Wq-kKrhRNG5RS2a2fKpY1wIhSVz2ZNmP2mOl588/edit?usp=sharing"",""REQ VF!E4:H""),4,0),""NO APLICA""),""GENERAR REQ"")"),"GENERAR REQ")</f>
        <v>GENERAR REQ</v>
      </c>
      <c r="AC264" s="37" t="str">
        <f>IFERROR(__xludf.DUMMYFUNCTION("IFERROR(QUERY(IMPORTRANGE(""https://docs.google.com/spreadsheets/d/1z9A1Wq-kKrhRNG5RS2a2fKpY1wIhSVz2ZNmP2mOl588/edit?usp=sharing"",""REQ VF!E4:Q""),""SELECT Col10, Col11, Col12 WHERE Col1 = '""&amp;G264&amp;""'"",0),""NO APLICA"")"),"NO APLICA")</f>
        <v>NO APLICA</v>
      </c>
      <c r="AD264" s="37"/>
      <c r="AE264" s="37"/>
      <c r="AF264" s="13"/>
      <c r="AG264" s="13"/>
    </row>
    <row r="265">
      <c r="A265" s="26"/>
      <c r="B265" s="26"/>
      <c r="C265" s="26" t="b">
        <v>1</v>
      </c>
      <c r="D265" s="26" t="s">
        <v>42</v>
      </c>
      <c r="E265" s="26" t="s">
        <v>36</v>
      </c>
      <c r="F265" s="27" t="s">
        <v>856</v>
      </c>
      <c r="G265" s="39" t="s">
        <v>867</v>
      </c>
      <c r="H265" s="40" t="s">
        <v>868</v>
      </c>
      <c r="I265" s="43">
        <f t="shared" si="29"/>
        <v>3</v>
      </c>
      <c r="J265" s="26" t="str">
        <f>IFERROR(__xludf.DUMMYFUNCTION("VLOOKUP(G265,IMPORTRANGE(""https://docs.google.com/spreadsheets/d/12RxCea4e5ggM7QGn1XE3FbLQa_-QbCNdBi90OdPjRqg/edit?gid=1692403370#gid=1692403370"", ""'Plan de Compras'!D4:2432""), 8,0)"),"#N/A")</f>
        <v>#N/A</v>
      </c>
      <c r="K265" s="26" t="str">
        <f t="shared" si="1"/>
        <v>#N/A</v>
      </c>
      <c r="L265" s="26"/>
      <c r="M265" s="41"/>
      <c r="N265" s="60"/>
      <c r="O265" s="42"/>
      <c r="P265" s="42"/>
      <c r="Q265" s="41"/>
      <c r="R265" s="41"/>
      <c r="S265" s="34" t="b">
        <v>1</v>
      </c>
      <c r="T265" s="35" t="s">
        <v>869</v>
      </c>
      <c r="U265" s="35" t="s">
        <v>870</v>
      </c>
      <c r="V265" s="56" t="s">
        <v>871</v>
      </c>
      <c r="W265" s="37"/>
      <c r="X265" s="37"/>
      <c r="Y265" s="32"/>
      <c r="Z265" s="38"/>
      <c r="AA265" s="38" t="str">
        <f t="shared" si="16"/>
        <v>FALSE</v>
      </c>
      <c r="AB265" s="37" t="str">
        <f>IFERROR(__xludf.DUMMYFUNCTION("IFERROR(IF(OR(C265=TRUE,C265=""""),VLOOKUP(G265,IMPORTRANGE(""https://docs.google.com/spreadsheets/d/1z9A1Wq-kKrhRNG5RS2a2fKpY1wIhSVz2ZNmP2mOl588/edit?usp=sharing"",""REQ VF!E4:H""),4,0),""NO APLICA""),""GENERAR REQ"")"),"GENERAR REQ")</f>
        <v>GENERAR REQ</v>
      </c>
      <c r="AC265" s="37" t="str">
        <f>IFERROR(__xludf.DUMMYFUNCTION("IFERROR(QUERY(IMPORTRANGE(""https://docs.google.com/spreadsheets/d/1z9A1Wq-kKrhRNG5RS2a2fKpY1wIhSVz2ZNmP2mOl588/edit?usp=sharing"",""REQ VF!E4:Q""),""SELECT Col10, Col11, Col12 WHERE Col1 = '""&amp;G265&amp;""'"",0),""NO APLICA"")"),"NO APLICA")</f>
        <v>NO APLICA</v>
      </c>
      <c r="AD265" s="37"/>
      <c r="AE265" s="37"/>
      <c r="AF265" s="13"/>
      <c r="AG265" s="13"/>
    </row>
    <row r="266">
      <c r="A266" s="26"/>
      <c r="B266" s="26"/>
      <c r="C266" s="26" t="b">
        <v>1</v>
      </c>
      <c r="D266" s="26" t="s">
        <v>42</v>
      </c>
      <c r="E266" s="26" t="s">
        <v>36</v>
      </c>
      <c r="F266" s="27" t="s">
        <v>856</v>
      </c>
      <c r="G266" s="39" t="s">
        <v>872</v>
      </c>
      <c r="H266" s="40" t="s">
        <v>873</v>
      </c>
      <c r="I266" s="43">
        <f t="shared" si="29"/>
        <v>3</v>
      </c>
      <c r="J266" s="26" t="str">
        <f>IFERROR(__xludf.DUMMYFUNCTION("VLOOKUP(G266,IMPORTRANGE(""https://docs.google.com/spreadsheets/d/12RxCea4e5ggM7QGn1XE3FbLQa_-QbCNdBi90OdPjRqg/edit?gid=1692403370#gid=1692403370"", ""'Plan de Compras'!D4:2432""), 8,0)"),"#N/A")</f>
        <v>#N/A</v>
      </c>
      <c r="K266" s="26" t="str">
        <f t="shared" si="1"/>
        <v>#N/A</v>
      </c>
      <c r="L266" s="26"/>
      <c r="M266" s="41"/>
      <c r="N266" s="60"/>
      <c r="O266" s="42"/>
      <c r="P266" s="42"/>
      <c r="Q266" s="41"/>
      <c r="R266" s="41"/>
      <c r="S266" s="34" t="b">
        <v>1</v>
      </c>
      <c r="T266" s="35" t="s">
        <v>874</v>
      </c>
      <c r="U266" s="35" t="s">
        <v>875</v>
      </c>
      <c r="V266" s="56" t="s">
        <v>876</v>
      </c>
      <c r="W266" s="37"/>
      <c r="X266" s="37"/>
      <c r="Y266" s="32"/>
      <c r="Z266" s="38"/>
      <c r="AA266" s="38" t="str">
        <f t="shared" si="16"/>
        <v>FALSE</v>
      </c>
      <c r="AB266" s="37" t="str">
        <f>IFERROR(__xludf.DUMMYFUNCTION("IFERROR(IF(OR(C266=TRUE,C266=""""),VLOOKUP(G266,IMPORTRANGE(""https://docs.google.com/spreadsheets/d/1z9A1Wq-kKrhRNG5RS2a2fKpY1wIhSVz2ZNmP2mOl588/edit?usp=sharing"",""REQ VF!E4:H""),4,0),""NO APLICA""),""GENERAR REQ"")"),"GENERAR REQ")</f>
        <v>GENERAR REQ</v>
      </c>
      <c r="AC266" s="37" t="str">
        <f>IFERROR(__xludf.DUMMYFUNCTION("IFERROR(QUERY(IMPORTRANGE(""https://docs.google.com/spreadsheets/d/1z9A1Wq-kKrhRNG5RS2a2fKpY1wIhSVz2ZNmP2mOl588/edit?usp=sharing"",""REQ VF!E4:Q""),""SELECT Col10, Col11, Col12 WHERE Col1 = '""&amp;G266&amp;""'"",0),""NO APLICA"")"),"NO APLICA")</f>
        <v>NO APLICA</v>
      </c>
      <c r="AD266" s="37"/>
      <c r="AE266" s="37"/>
      <c r="AF266" s="13"/>
      <c r="AG266" s="13"/>
    </row>
    <row r="267">
      <c r="A267" s="26"/>
      <c r="B267" s="26"/>
      <c r="C267" s="26" t="b">
        <v>1</v>
      </c>
      <c r="D267" s="26" t="s">
        <v>42</v>
      </c>
      <c r="E267" s="26" t="s">
        <v>36</v>
      </c>
      <c r="F267" s="27" t="s">
        <v>856</v>
      </c>
      <c r="G267" s="39" t="s">
        <v>877</v>
      </c>
      <c r="H267" s="40" t="s">
        <v>878</v>
      </c>
      <c r="I267" s="43">
        <f t="shared" si="29"/>
        <v>3</v>
      </c>
      <c r="J267" s="26" t="str">
        <f>IFERROR(__xludf.DUMMYFUNCTION("VLOOKUP(G267,IMPORTRANGE(""https://docs.google.com/spreadsheets/d/12RxCea4e5ggM7QGn1XE3FbLQa_-QbCNdBi90OdPjRqg/edit?gid=1692403370#gid=1692403370"", ""'Plan de Compras'!D4:2432""), 8,0)"),"#N/A")</f>
        <v>#N/A</v>
      </c>
      <c r="K267" s="26" t="str">
        <f t="shared" si="1"/>
        <v>#N/A</v>
      </c>
      <c r="L267" s="26"/>
      <c r="M267" s="41"/>
      <c r="N267" s="60"/>
      <c r="O267" s="42"/>
      <c r="P267" s="42"/>
      <c r="Q267" s="41"/>
      <c r="R267" s="41"/>
      <c r="S267" s="34" t="b">
        <v>1</v>
      </c>
      <c r="T267" s="35" t="s">
        <v>879</v>
      </c>
      <c r="U267" s="35" t="s">
        <v>880</v>
      </c>
      <c r="V267" s="56" t="s">
        <v>881</v>
      </c>
      <c r="W267" s="37"/>
      <c r="X267" s="37"/>
      <c r="Y267" s="32"/>
      <c r="Z267" s="38"/>
      <c r="AA267" s="38" t="str">
        <f t="shared" si="16"/>
        <v>FALSE</v>
      </c>
      <c r="AB267" s="37" t="str">
        <f>IFERROR(__xludf.DUMMYFUNCTION("IFERROR(IF(OR(C267=TRUE,C267=""""),VLOOKUP(G267,IMPORTRANGE(""https://docs.google.com/spreadsheets/d/1z9A1Wq-kKrhRNG5RS2a2fKpY1wIhSVz2ZNmP2mOl588/edit?usp=sharing"",""REQ VF!E4:H""),4,0),""NO APLICA""),""GENERAR REQ"")"),"GENERAR REQ")</f>
        <v>GENERAR REQ</v>
      </c>
      <c r="AC267" s="37" t="str">
        <f>IFERROR(__xludf.DUMMYFUNCTION("IFERROR(QUERY(IMPORTRANGE(""https://docs.google.com/spreadsheets/d/1z9A1Wq-kKrhRNG5RS2a2fKpY1wIhSVz2ZNmP2mOl588/edit?usp=sharing"",""REQ VF!E4:Q""),""SELECT Col10, Col11, Col12 WHERE Col1 = '""&amp;G267&amp;""'"",0),""NO APLICA"")"),"NO APLICA")</f>
        <v>NO APLICA</v>
      </c>
      <c r="AD267" s="37"/>
      <c r="AE267" s="37"/>
      <c r="AF267" s="13"/>
      <c r="AG267" s="13"/>
    </row>
    <row r="268">
      <c r="A268" s="26">
        <v>109.0</v>
      </c>
      <c r="B268" s="26" t="b">
        <v>1</v>
      </c>
      <c r="C268" s="26" t="b">
        <v>1</v>
      </c>
      <c r="D268" s="26" t="s">
        <v>35</v>
      </c>
      <c r="E268" s="26" t="s">
        <v>36</v>
      </c>
      <c r="F268" s="27" t="s">
        <v>882</v>
      </c>
      <c r="G268" s="37" t="s">
        <v>882</v>
      </c>
      <c r="H268" s="45" t="s">
        <v>883</v>
      </c>
      <c r="I268" s="43">
        <f>SUMIFS('Hoja 10'!$O:$O,'Hoja 10'!$F:$F,$G268)</f>
        <v>4</v>
      </c>
      <c r="J268" s="26">
        <f>IFERROR(__xludf.DUMMYFUNCTION("VLOOKUP(G268,IMPORTRANGE(""https://docs.google.com/spreadsheets/d/12RxCea4e5ggM7QGn1XE3FbLQa_-QbCNdBi90OdPjRqg/edit?gid=1692403370#gid=1692403370"", ""'Plan de Compras'!D4:2432""), 8,0)"),4.0)</f>
        <v>4</v>
      </c>
      <c r="K268" s="26" t="str">
        <f t="shared" si="1"/>
        <v>SI</v>
      </c>
      <c r="L268" s="29" t="s">
        <v>91</v>
      </c>
      <c r="M268" s="30" t="s">
        <v>92</v>
      </c>
      <c r="N268" s="42"/>
      <c r="O268" s="32" t="str">
        <f>VLOOKUP($G268,'Hoja 10'!$F$4:$AA478, 19,0)</f>
        <v>DAF</v>
      </c>
      <c r="P268" s="32" t="str">
        <f>VLOOKUP($G268,'Hoja 10'!$F$4:$AA478, 20,0)</f>
        <v>GMF 300ARC</v>
      </c>
      <c r="Q268" s="33" t="str">
        <f>VLOOKUP($G268,'Hoja 10'!$F$4:$AA478, 21,0)</f>
        <v>https://drive.google.com/file/d/1XzJ3vgKQLdWdAxVhXCHzZTAJw-7Fk-r2/view?usp=drive_link</v>
      </c>
      <c r="R268" s="30" t="s">
        <v>884</v>
      </c>
      <c r="S268" s="34" t="b">
        <v>1</v>
      </c>
      <c r="T268" s="35" t="str">
        <f>IFERROR(__xludf.DUMMYFUNCTION(" IF
( VLOOKUP($G268,IMPORTRANGE(""https://docs.google.com/spreadsheets/d/1Gpl6jkTg7sL4VDNimUm3S9Vi1i95esohXCF3wuKOE8c"", ""'CONSOLIDADO'!G5:AB""), 10, 0) &lt;&gt; 0, 
IFERROR(VLOOKUP($G268,IMPORTRANGE(""https://docs.google.com/spreadsheets/d/1Gpl6jkTg7sL4VDNimU"&amp;"m3S9Vi1i95esohXCF3wuKOE8c"", ""'CONSOLIDADO'!G5:AB""), 17, 0), ""-""),
""""
)"),"MILLER")</f>
        <v>MILLER</v>
      </c>
      <c r="U268" s="35" t="str">
        <f>IFERROR(__xludf.DUMMYFUNCTION(" IF
( VLOOKUP($G268,IMPORTRANGE(""https://docs.google.com/spreadsheets/d/1Gpl6jkTg7sL4VDNimUm3S9Vi1i95esohXCF3wuKOE8c"", ""'CONSOLIDADO'!G5:AB""), 10, 0) &lt;&gt; 0, 
IFERROR(VLOOKUP($G268,IMPORTRANGE(""https://docs.google.com/spreadsheets/d/1Gpl6jkTg7sL4VDNimU"&amp;"m3S9Vi1i95esohXCF3wuKOE8c"", ""'CONSOLIDADO'!G5:AB""), 18, 0), ""-""),
""""
)"),"Multimatic® 215")</f>
        <v>Multimatic® 215</v>
      </c>
      <c r="V268" s="36" t="str">
        <f>IFERROR(__xludf.DUMMYFUNCTION(" IF
( VLOOKUP($G268,IMPORTRANGE(""https://docs.google.com/spreadsheets/d/1Gpl6jkTg7sL4VDNimUm3S9Vi1i95esohXCF3wuKOE8c"", ""'CONSOLIDADO'!G5:AB""), 10, 0) &lt;&gt; 0, 
IFERROR(VLOOKUP($G268,IMPORTRANGE(""https://docs.google.com/spreadsheets/d/1Gpl6jkTg7sL4VDNimU"&amp;"m3S9Vi1i95esohXCF3wuKOE8c"", ""'CONSOLIDADO'!G5:AB""), 19, 0), ""-""),
""""
)"),"https://www.millerwelds.com/equipment/welders/multiprocess/multimatic-215-multiprocess-welder-m30090")</f>
        <v>https://www.millerwelds.com/equipment/welders/multiprocess/multimatic-215-multiprocess-welder-m30090</v>
      </c>
      <c r="W268" s="37" t="str">
        <f>IFERROR(__xludf.DUMMYFUNCTION("IFERROR(VLOOKUP(G268,IMPORTRANGE(""https://docs.google.com/spreadsheets/d/12RxCea4e5ggM7QGn1XE3FbLQa_-QbCNdBi90OdPjRqg"", ""'Plan de Compras'!D4:Q""), 12, 0), ""NO ESTÁ EN REQ"")"),"Técnica")</f>
        <v>Técnica</v>
      </c>
      <c r="X268" s="37" t="str">
        <f>IFERROR(__xludf.DUMMYFUNCTION("IFERROR(VLOOKUP(G268,IMPORTRANGE(""https://docs.google.com/spreadsheets/d/12RxCea4e5ggM7QGn1XE3FbLQa_-QbCNdBi90OdPjRqg"", ""'Plan de Compras'!D4:Q""), 13, 0), """")"),"NACIONAL")</f>
        <v>NACIONAL</v>
      </c>
      <c r="Y268" s="32" t="str">
        <f>IFERROR(__xludf.DUMMYFUNCTION("IFERROR(VLOOKUP(G268,IMPORTRANGE(""https://docs.google.com/spreadsheets/d/12RxCea4e5ggM7QGn1XE3FbLQa_-QbCNdBi90OdPjRqg"", ""'Plan de Compras'!D4:Q""), 14, 0), """")"),"GEANFRANCO")</f>
        <v>GEANFRANCO</v>
      </c>
      <c r="Z268" s="38" t="str">
        <f>IFERROR(__xludf.DUMMYFUNCTION("IFERROR(VLOOKUP(G268,IMPORTRANGE(""https://docs.google.com/spreadsheets/d/12RxCea4e5ggM7QGn1XE3FbLQa_-QbCNdBi90OdPjRqg"", ""'Plan de Compras'!D4:Q""), 4, 0), """")"),"MÁQUINA DE SOLDAR POR ELECTRODO O ARCO ELÉCTRICO")</f>
        <v>MÁQUINA DE SOLDAR POR ELECTRODO O ARCO ELÉCTRICO</v>
      </c>
      <c r="AA268" s="38" t="str">
        <f t="shared" si="16"/>
        <v>TRUE</v>
      </c>
      <c r="AB268" s="37" t="str">
        <f>IFERROR(__xludf.DUMMYFUNCTION("IFERROR(IF(OR(C268=TRUE,C268=""""),VLOOKUP(G268,IMPORTRANGE(""https://docs.google.com/spreadsheets/d/1z9A1Wq-kKrhRNG5RS2a2fKpY1wIhSVz2ZNmP2mOl588/edit?usp=sharing"",""REQ VF!E4:H""),4,0),""NO APLICA""),""GENERAR REQ"")"),"GENERAR REQ")</f>
        <v>GENERAR REQ</v>
      </c>
      <c r="AC268" s="37" t="str">
        <f>IFERROR(__xludf.DUMMYFUNCTION("IFERROR(QUERY(IMPORTRANGE(""https://docs.google.com/spreadsheets/d/1z9A1Wq-kKrhRNG5RS2a2fKpY1wIhSVz2ZNmP2mOl588/edit?usp=sharing"",""REQ VF!E4:Q""),""SELECT Col10, Col11, Col12 WHERE Col1 = '""&amp;G268&amp;""'"",0),""NO APLICA"")"),"NO APLICA")</f>
        <v>NO APLICA</v>
      </c>
      <c r="AD268" s="37"/>
      <c r="AE268" s="37"/>
      <c r="AF268" s="13"/>
      <c r="AG268" s="13"/>
    </row>
    <row r="269">
      <c r="A269" s="26">
        <v>110.0</v>
      </c>
      <c r="B269" s="26" t="b">
        <v>1</v>
      </c>
      <c r="C269" s="26" t="b">
        <v>1</v>
      </c>
      <c r="D269" s="26" t="s">
        <v>35</v>
      </c>
      <c r="E269" s="26" t="s">
        <v>36</v>
      </c>
      <c r="F269" s="27" t="s">
        <v>885</v>
      </c>
      <c r="G269" s="37" t="s">
        <v>885</v>
      </c>
      <c r="H269" s="45" t="s">
        <v>886</v>
      </c>
      <c r="I269" s="43">
        <f>SUMIFS('Hoja 10'!$O:$O,'Hoja 10'!$F:$F,$G269)</f>
        <v>4</v>
      </c>
      <c r="J269" s="26">
        <f>IFERROR(__xludf.DUMMYFUNCTION("VLOOKUP(G269,IMPORTRANGE(""https://docs.google.com/spreadsheets/d/12RxCea4e5ggM7QGn1XE3FbLQa_-QbCNdBi90OdPjRqg/edit?gid=1692403370#gid=1692403370"", ""'Plan de Compras'!D4:2432""), 8,0)"),4.0)</f>
        <v>4</v>
      </c>
      <c r="K269" s="26" t="str">
        <f t="shared" si="1"/>
        <v>SI</v>
      </c>
      <c r="L269" s="29" t="s">
        <v>185</v>
      </c>
      <c r="M269" s="30" t="s">
        <v>186</v>
      </c>
      <c r="N269" s="42"/>
      <c r="O269" s="32" t="str">
        <f>VLOOKUP($G269,'Hoja 10'!$F$4:$AA478, 19,0)</f>
        <v>BROTHER</v>
      </c>
      <c r="P269" s="32" t="str">
        <f>VLOOKUP($G269,'Hoja 10'!$F$4:$AA478, 20,0)</f>
        <v>CV3550</v>
      </c>
      <c r="Q269" s="33" t="str">
        <f>VLOOKUP($G269,'Hoja 10'!$F$4:$AA478, 21,0)</f>
        <v>https://drive.google.com/file/d/1O0MdC-jJ5YaA-92iz1RDQ8JYDmr8oXzl/view</v>
      </c>
      <c r="R269" s="30" t="s">
        <v>887</v>
      </c>
      <c r="S269" s="34" t="b">
        <v>1</v>
      </c>
      <c r="T269" s="35" t="str">
        <f>IFERROR(__xludf.DUMMYFUNCTION(" IF
( VLOOKUP($G269,IMPORTRANGE(""https://docs.google.com/spreadsheets/d/1Gpl6jkTg7sL4VDNimUm3S9Vi1i95esohXCF3wuKOE8c"", ""'CONSOLIDADO'!G5:AB""), 10, 0) &lt;&gt; 0, 
IFERROR(VLOOKUP($G269,IMPORTRANGE(""https://docs.google.com/spreadsheets/d/1Gpl6jkTg7sL4VDNimU"&amp;"m3S9Vi1i95esohXCF3wuKOE8c"", ""'CONSOLIDADO'!G5:AB""), 17, 0), ""-""),
""""
)"),"BROTHER")</f>
        <v>BROTHER</v>
      </c>
      <c r="U269" s="35" t="str">
        <f>IFERROR(__xludf.DUMMYFUNCTION(" IF
( VLOOKUP($G269,IMPORTRANGE(""https://docs.google.com/spreadsheets/d/1Gpl6jkTg7sL4VDNimUm3S9Vi1i95esohXCF3wuKOE8c"", ""'CONSOLIDADO'!G5:AB""), 10, 0) &lt;&gt; 0, 
IFERROR(VLOOKUP($G269,IMPORTRANGE(""https://docs.google.com/spreadsheets/d/1Gpl6jkTg7sL4VDNimU"&amp;"m3S9Vi1i95esohXCF3wuKOE8c"", ""'CONSOLIDADO'!G5:AB""), 18, 0), ""-""),
""""
)"),"CV3550")</f>
        <v>CV3550</v>
      </c>
      <c r="V269" s="36" t="str">
        <f>IFERROR(__xludf.DUMMYFUNCTION(" IF
( VLOOKUP($G269,IMPORTRANGE(""https://docs.google.com/spreadsheets/d/1Gpl6jkTg7sL4VDNimUm3S9Vi1i95esohXCF3wuKOE8c"", ""'CONSOLIDADO'!G5:AB""), 10, 0) &lt;&gt; 0, 
IFERROR(VLOOKUP($G269,IMPORTRANGE(""https://docs.google.com/spreadsheets/d/1Gpl6jkTg7sL4VDNimU"&amp;"m3S9Vi1i95esohXCF3wuKOE8c"", ""'CONSOLIDADO'!G5:AB""), 19, 0), ""-""),
""""
)"),"https://latinamerica.brother.com/products/cv3550")</f>
        <v>https://latinamerica.brother.com/products/cv3550</v>
      </c>
      <c r="W269" s="37" t="str">
        <f>IFERROR(__xludf.DUMMYFUNCTION("IFERROR(VLOOKUP(G269,IMPORTRANGE(""https://docs.google.com/spreadsheets/d/12RxCea4e5ggM7QGn1XE3FbLQa_-QbCNdBi90OdPjRqg"", ""'Plan de Compras'!D4:Q""), 12, 0), ""NO ESTÁ EN REQ"")"),"Técnica")</f>
        <v>Técnica</v>
      </c>
      <c r="X269" s="37" t="str">
        <f>IFERROR(__xludf.DUMMYFUNCTION("IFERROR(VLOOKUP(G269,IMPORTRANGE(""https://docs.google.com/spreadsheets/d/12RxCea4e5ggM7QGn1XE3FbLQa_-QbCNdBi90OdPjRqg"", ""'Plan de Compras'!D4:Q""), 13, 0), """")"),"INTERNACIONAL")</f>
        <v>INTERNACIONAL</v>
      </c>
      <c r="Y269" s="32" t="str">
        <f>IFERROR(__xludf.DUMMYFUNCTION("IFERROR(VLOOKUP(G269,IMPORTRANGE(""https://docs.google.com/spreadsheets/d/12RxCea4e5ggM7QGn1XE3FbLQa_-QbCNdBi90OdPjRqg"", ""'Plan de Compras'!D4:Q""), 14, 0), """")"),"GEYDI")</f>
        <v>GEYDI</v>
      </c>
      <c r="Z269" s="38" t="str">
        <f>IFERROR(__xludf.DUMMYFUNCTION("IFERROR(VLOOKUP(G269,IMPORTRANGE(""https://docs.google.com/spreadsheets/d/12RxCea4e5ggM7QGn1XE3FbLQa_-QbCNdBi90OdPjRqg"", ""'Plan de Compras'!D4:Q""), 4, 0), """")"),"MÁQUINA DOMÉSTICA RECUBRIDORA (COLLARETERA)")</f>
        <v>MÁQUINA DOMÉSTICA RECUBRIDORA (COLLARETERA)</v>
      </c>
      <c r="AA269" s="38" t="str">
        <f t="shared" si="16"/>
        <v>TRUE</v>
      </c>
      <c r="AB269" s="37" t="str">
        <f>IFERROR(__xludf.DUMMYFUNCTION("IFERROR(IF(OR(C269=TRUE,C269=""""),VLOOKUP(G269,IMPORTRANGE(""https://docs.google.com/spreadsheets/d/1z9A1Wq-kKrhRNG5RS2a2fKpY1wIhSVz2ZNmP2mOl588/edit?usp=sharing"",""REQ VF!E4:H""),4,0),""NO APLICA""),""GENERAR REQ"")"),"GENERAR REQ")</f>
        <v>GENERAR REQ</v>
      </c>
      <c r="AC269" s="37" t="str">
        <f>IFERROR(__xludf.DUMMYFUNCTION("IFERROR(QUERY(IMPORTRANGE(""https://docs.google.com/spreadsheets/d/1z9A1Wq-kKrhRNG5RS2a2fKpY1wIhSVz2ZNmP2mOl588/edit?usp=sharing"",""REQ VF!E4:Q""),""SELECT Col10, Col11, Col12 WHERE Col1 = '""&amp;G269&amp;""'"",0),""NO APLICA"")"),"NO APLICA")</f>
        <v>NO APLICA</v>
      </c>
      <c r="AD269" s="37"/>
      <c r="AE269" s="37"/>
      <c r="AF269" s="8" t="s">
        <v>52</v>
      </c>
      <c r="AG269" s="13"/>
    </row>
    <row r="270">
      <c r="A270" s="26">
        <v>111.0</v>
      </c>
      <c r="B270" s="26" t="b">
        <v>1</v>
      </c>
      <c r="C270" s="26" t="b">
        <v>1</v>
      </c>
      <c r="D270" s="26" t="s">
        <v>35</v>
      </c>
      <c r="E270" s="26" t="s">
        <v>36</v>
      </c>
      <c r="F270" s="27" t="s">
        <v>888</v>
      </c>
      <c r="G270" s="37" t="s">
        <v>888</v>
      </c>
      <c r="H270" s="45" t="s">
        <v>889</v>
      </c>
      <c r="I270" s="43">
        <f>SUMIFS('Hoja 10'!$O:$O,'Hoja 10'!$F:$F,$G270)</f>
        <v>13</v>
      </c>
      <c r="J270" s="26">
        <f>IFERROR(__xludf.DUMMYFUNCTION("VLOOKUP(G270,IMPORTRANGE(""https://docs.google.com/spreadsheets/d/12RxCea4e5ggM7QGn1XE3FbLQa_-QbCNdBi90OdPjRqg/edit?gid=1692403370#gid=1692403370"", ""'Plan de Compras'!D4:2432""), 8,0)"),13.0)</f>
        <v>13</v>
      </c>
      <c r="K270" s="26" t="str">
        <f t="shared" si="1"/>
        <v>SI</v>
      </c>
      <c r="L270" s="29" t="s">
        <v>185</v>
      </c>
      <c r="M270" s="30" t="s">
        <v>186</v>
      </c>
      <c r="N270" s="42"/>
      <c r="O270" s="32" t="str">
        <f>VLOOKUP($G270,'Hoja 10'!$F$4:$AA478, 19,0)</f>
        <v>JUKI</v>
      </c>
      <c r="P270" s="32" t="str">
        <f>VLOOKUP($G270,'Hoja 10'!$F$4:$AA478, 20,0)</f>
        <v>MO-80CB</v>
      </c>
      <c r="Q270" s="33" t="str">
        <f>VLOOKUP($G270,'Hoja 10'!$F$4:$AA478, 21,0)</f>
        <v>https://www.juki.co.jp/household_en/serger/pdf/MO-80CB_instruction.pdf</v>
      </c>
      <c r="R270" s="30" t="s">
        <v>890</v>
      </c>
      <c r="S270" s="34" t="b">
        <v>1</v>
      </c>
      <c r="T270" s="35" t="str">
        <f>IFERROR(__xludf.DUMMYFUNCTION(" IF
( VLOOKUP($G270,IMPORTRANGE(""https://docs.google.com/spreadsheets/d/1Gpl6jkTg7sL4VDNimUm3S9Vi1i95esohXCF3wuKOE8c"", ""'CONSOLIDADO'!G5:AB""), 10, 0) &lt;&gt; 0, 
IFERROR(VLOOKUP($G270,IMPORTRANGE(""https://docs.google.com/spreadsheets/d/1Gpl6jkTg7sL4VDNimU"&amp;"m3S9Vi1i95esohXCF3wuKOE8c"", ""'CONSOLIDADO'!G5:AB""), 17, 0), ""-""),
""""
)"),"JUKI")</f>
        <v>JUKI</v>
      </c>
      <c r="U270" s="35" t="str">
        <f>IFERROR(__xludf.DUMMYFUNCTION(" IF
( VLOOKUP($G270,IMPORTRANGE(""https://docs.google.com/spreadsheets/d/1Gpl6jkTg7sL4VDNimUm3S9Vi1i95esohXCF3wuKOE8c"", ""'CONSOLIDADO'!G5:AB""), 10, 0) &lt;&gt; 0, 
IFERROR(VLOOKUP($G270,IMPORTRANGE(""https://docs.google.com/spreadsheets/d/1Gpl6jkTg7sL4VDNimU"&amp;"m3S9Vi1i95esohXCF3wuKOE8c"", ""'CONSOLIDADO'!G5:AB""), 18, 0), ""-""),
""""
)"),"MO-80CB")</f>
        <v>MO-80CB</v>
      </c>
      <c r="V270" s="36" t="str">
        <f>IFERROR(__xludf.DUMMYFUNCTION(" IF
( VLOOKUP($G270,IMPORTRANGE(""https://docs.google.com/spreadsheets/d/1Gpl6jkTg7sL4VDNimUm3S9Vi1i95esohXCF3wuKOE8c"", ""'CONSOLIDADO'!G5:AB""), 10, 0) &lt;&gt; 0, 
IFERROR(VLOOKUP($G270,IMPORTRANGE(""https://docs.google.com/spreadsheets/d/1Gpl6jkTg7sL4VDNimU"&amp;"m3S9Vi1i95esohXCF3wuKOE8c"", ""'CONSOLIDADO'!G5:AB""), 19, 0), ""-""),
""""
)"),"https://www.juki.co.jp/household_en/serger/pdf/MO-80CB_instruction.pdf")</f>
        <v>https://www.juki.co.jp/household_en/serger/pdf/MO-80CB_instruction.pdf</v>
      </c>
      <c r="W270" s="37" t="str">
        <f>IFERROR(__xludf.DUMMYFUNCTION("IFERROR(VLOOKUP(G270,IMPORTRANGE(""https://docs.google.com/spreadsheets/d/12RxCea4e5ggM7QGn1XE3FbLQa_-QbCNdBi90OdPjRqg"", ""'Plan de Compras'!D4:Q""), 12, 0), ""NO ESTÁ EN REQ"")"),"Técnica")</f>
        <v>Técnica</v>
      </c>
      <c r="X270" s="37" t="str">
        <f>IFERROR(__xludf.DUMMYFUNCTION("IFERROR(VLOOKUP(G270,IMPORTRANGE(""https://docs.google.com/spreadsheets/d/12RxCea4e5ggM7QGn1XE3FbLQa_-QbCNdBi90OdPjRqg"", ""'Plan de Compras'!D4:Q""), 13, 0), """")"),"INTERNACIONAL")</f>
        <v>INTERNACIONAL</v>
      </c>
      <c r="Y270" s="32" t="str">
        <f>IFERROR(__xludf.DUMMYFUNCTION("IFERROR(VLOOKUP(G270,IMPORTRANGE(""https://docs.google.com/spreadsheets/d/12RxCea4e5ggM7QGn1XE3FbLQa_-QbCNdBi90OdPjRqg"", ""'Plan de Compras'!D4:Q""), 14, 0), """")"),"GEYDI")</f>
        <v>GEYDI</v>
      </c>
      <c r="Z270" s="38" t="str">
        <f>IFERROR(__xludf.DUMMYFUNCTION("IFERROR(VLOOKUP(G270,IMPORTRANGE(""https://docs.google.com/spreadsheets/d/12RxCea4e5ggM7QGn1XE3FbLQa_-QbCNdBi90OdPjRqg"", ""'Plan de Compras'!D4:Q""), 4, 0), """")"),"MÁQUINA DOMÉSTICA REMALLADORA (FILETEADORA)")</f>
        <v>MÁQUINA DOMÉSTICA REMALLADORA (FILETEADORA)</v>
      </c>
      <c r="AA270" s="38" t="str">
        <f t="shared" si="16"/>
        <v>TRUE</v>
      </c>
      <c r="AB270" s="37" t="str">
        <f>IFERROR(__xludf.DUMMYFUNCTION("IFERROR(IF(OR(C270=TRUE,C270=""""),VLOOKUP(G270,IMPORTRANGE(""https://docs.google.com/spreadsheets/d/1z9A1Wq-kKrhRNG5RS2a2fKpY1wIhSVz2ZNmP2mOl588/edit?usp=sharing"",""REQ VF!E4:H""),4,0),""NO APLICA""),""GENERAR REQ"")"),"GENERAR REQ")</f>
        <v>GENERAR REQ</v>
      </c>
      <c r="AC270" s="37" t="str">
        <f>IFERROR(__xludf.DUMMYFUNCTION("IFERROR(QUERY(IMPORTRANGE(""https://docs.google.com/spreadsheets/d/1z9A1Wq-kKrhRNG5RS2a2fKpY1wIhSVz2ZNmP2mOl588/edit?usp=sharing"",""REQ VF!E4:Q""),""SELECT Col10, Col11, Col12 WHERE Col1 = '""&amp;G270&amp;""'"",0),""NO APLICA"")"),"NO APLICA")</f>
        <v>NO APLICA</v>
      </c>
      <c r="AD270" s="37"/>
      <c r="AE270" s="37"/>
      <c r="AF270" s="13"/>
      <c r="AG270" s="13"/>
    </row>
    <row r="271">
      <c r="A271" s="26">
        <v>112.0</v>
      </c>
      <c r="B271" s="26" t="b">
        <v>1</v>
      </c>
      <c r="C271" s="26" t="b">
        <v>1</v>
      </c>
      <c r="D271" s="26" t="s">
        <v>35</v>
      </c>
      <c r="E271" s="26" t="s">
        <v>36</v>
      </c>
      <c r="F271" s="27" t="s">
        <v>891</v>
      </c>
      <c r="G271" s="37" t="s">
        <v>891</v>
      </c>
      <c r="H271" s="45" t="s">
        <v>892</v>
      </c>
      <c r="I271" s="26">
        <f>SUMIFS('Hoja 10'!$O:$O,'Hoja 10'!$F:$F,$G271)</f>
        <v>2</v>
      </c>
      <c r="J271" s="26">
        <f>IFERROR(__xludf.DUMMYFUNCTION("VLOOKUP(G271,IMPORTRANGE(""https://docs.google.com/spreadsheets/d/12RxCea4e5ggM7QGn1XE3FbLQa_-QbCNdBi90OdPjRqg/edit?gid=1692403370#gid=1692403370"", ""'Plan de Compras'!D4:2432""), 8,0)"),2.0)</f>
        <v>2</v>
      </c>
      <c r="K271" s="26" t="str">
        <f t="shared" si="1"/>
        <v>SI</v>
      </c>
      <c r="L271" s="29" t="s">
        <v>296</v>
      </c>
      <c r="M271" s="30" t="s">
        <v>297</v>
      </c>
      <c r="N271" s="42"/>
      <c r="O271" s="32" t="str">
        <f>VLOOKUP($G271,'Hoja 10'!$F$4:$AA478, 19,0)</f>
        <v>MAKITA</v>
      </c>
      <c r="P271" s="32" t="str">
        <f>VLOOKUP($G271,'Hoja 10'!$F$4:$AA478, 20,0)</f>
        <v>PJ7000</v>
      </c>
      <c r="Q271" s="33" t="str">
        <f>VLOOKUP($G271,'Hoja 10'!$F$4:$AA478, 21,0)</f>
        <v>https://www.makita.es/product/pj7000.html</v>
      </c>
      <c r="R271" s="30" t="s">
        <v>893</v>
      </c>
      <c r="S271" s="34" t="b">
        <v>1</v>
      </c>
      <c r="T271" s="35" t="str">
        <f>IFERROR(__xludf.DUMMYFUNCTION(" IF
( VLOOKUP($G271,IMPORTRANGE(""https://docs.google.com/spreadsheets/d/1Gpl6jkTg7sL4VDNimUm3S9Vi1i95esohXCF3wuKOE8c"", ""'CONSOLIDADO'!G5:AB""), 10, 0) &lt;&gt; 0, 
IFERROR(VLOOKUP($G271,IMPORTRANGE(""https://docs.google.com/spreadsheets/d/1Gpl6jkTg7sL4VDNimU"&amp;"m3S9Vi1i95esohXCF3wuKOE8c"", ""'CONSOLIDADO'!G5:AB""), 17, 0), ""-""),
""""
)"),"MAKITA")</f>
        <v>MAKITA</v>
      </c>
      <c r="U271" s="35" t="str">
        <f>IFERROR(__xludf.DUMMYFUNCTION(" IF
( VLOOKUP($G271,IMPORTRANGE(""https://docs.google.com/spreadsheets/d/1Gpl6jkTg7sL4VDNimUm3S9Vi1i95esohXCF3wuKOE8c"", ""'CONSOLIDADO'!G5:AB""), 10, 0) &lt;&gt; 0, 
IFERROR(VLOOKUP($G271,IMPORTRANGE(""https://docs.google.com/spreadsheets/d/1Gpl6jkTg7sL4VDNimU"&amp;"m3S9Vi1i95esohXCF3wuKOE8c"", ""'CONSOLIDADO'!G5:AB""), 18, 0), ""-""),
""""
)"),"PJ7000")</f>
        <v>PJ7000</v>
      </c>
      <c r="V271" s="36" t="str">
        <f>IFERROR(__xludf.DUMMYFUNCTION(" IF
( VLOOKUP($G271,IMPORTRANGE(""https://docs.google.com/spreadsheets/d/1Gpl6jkTg7sL4VDNimUm3S9Vi1i95esohXCF3wuKOE8c"", ""'CONSOLIDADO'!G5:AB""), 10, 0) &lt;&gt; 0, 
IFERROR(VLOOKUP($G271,IMPORTRANGE(""https://docs.google.com/spreadsheets/d/1Gpl6jkTg7sL4VDNimU"&amp;"m3S9Vi1i95esohXCF3wuKOE8c"", ""'CONSOLIDADO'!G5:AB""), 19, 0), ""-""),
""""
)"),"https://www.makita.es/product/pj7000.html")</f>
        <v>https://www.makita.es/product/pj7000.html</v>
      </c>
      <c r="W271" s="37" t="str">
        <f>IFERROR(__xludf.DUMMYFUNCTION("IFERROR(VLOOKUP(G271,IMPORTRANGE(""https://docs.google.com/spreadsheets/d/12RxCea4e5ggM7QGn1XE3FbLQa_-QbCNdBi90OdPjRqg"", ""'Plan de Compras'!D4:Q""), 12, 0), ""NO ESTÁ EN REQ"")"),"Técnica")</f>
        <v>Técnica</v>
      </c>
      <c r="X271" s="37" t="str">
        <f>IFERROR(__xludf.DUMMYFUNCTION("IFERROR(VLOOKUP(G271,IMPORTRANGE(""https://docs.google.com/spreadsheets/d/12RxCea4e5ggM7QGn1XE3FbLQa_-QbCNdBi90OdPjRqg"", ""'Plan de Compras'!D4:Q""), 13, 0), """")"),"INTERNACIONAL")</f>
        <v>INTERNACIONAL</v>
      </c>
      <c r="Y271" s="32" t="str">
        <f>IFERROR(__xludf.DUMMYFUNCTION("IFERROR(VLOOKUP(G271,IMPORTRANGE(""https://docs.google.com/spreadsheets/d/12RxCea4e5ggM7QGn1XE3FbLQa_-QbCNdBi90OdPjRqg"", ""'Plan de Compras'!D4:Q""), 14, 0), """")"),"VICTOR")</f>
        <v>VICTOR</v>
      </c>
      <c r="Z271" s="38" t="str">
        <f>IFERROR(__xludf.DUMMYFUNCTION("IFERROR(VLOOKUP(G271,IMPORTRANGE(""https://docs.google.com/spreadsheets/d/12RxCea4e5ggM7QGn1XE3FbLQa_-QbCNdBi90OdPjRqg"", ""'Plan de Compras'!D4:Q""), 4, 0), """")"),"MÁQUINA ENGALLETADORA")</f>
        <v>MÁQUINA ENGALLETADORA</v>
      </c>
      <c r="AA271" s="38" t="str">
        <f t="shared" si="16"/>
        <v>TRUE</v>
      </c>
      <c r="AB271" s="37" t="str">
        <f>IFERROR(__xludf.DUMMYFUNCTION("IFERROR(IF(OR(C271=TRUE,C271=""""),VLOOKUP(G271,IMPORTRANGE(""https://docs.google.com/spreadsheets/d/1z9A1Wq-kKrhRNG5RS2a2fKpY1wIhSVz2ZNmP2mOl588/edit?usp=sharing"",""REQ VF!E4:H""),4,0),""NO APLICA""),""GENERAR REQ"")"),"GENERAR REQ")</f>
        <v>GENERAR REQ</v>
      </c>
      <c r="AC271" s="37" t="str">
        <f>IFERROR(__xludf.DUMMYFUNCTION("IFERROR(QUERY(IMPORTRANGE(""https://docs.google.com/spreadsheets/d/1z9A1Wq-kKrhRNG5RS2a2fKpY1wIhSVz2ZNmP2mOl588/edit?usp=sharing"",""REQ VF!E4:Q""),""SELECT Col10, Col11, Col12 WHERE Col1 = '""&amp;G271&amp;""'"",0),""NO APLICA"")"),"NO APLICA")</f>
        <v>NO APLICA</v>
      </c>
      <c r="AD271" s="37"/>
      <c r="AE271" s="37"/>
      <c r="AF271" s="8" t="s">
        <v>52</v>
      </c>
      <c r="AG271" s="13"/>
    </row>
    <row r="272">
      <c r="A272" s="26">
        <v>113.0</v>
      </c>
      <c r="B272" s="26" t="b">
        <v>1</v>
      </c>
      <c r="C272" s="26" t="b">
        <v>1</v>
      </c>
      <c r="D272" s="26" t="s">
        <v>35</v>
      </c>
      <c r="E272" s="26" t="s">
        <v>36</v>
      </c>
      <c r="F272" s="27" t="s">
        <v>894</v>
      </c>
      <c r="G272" s="37" t="s">
        <v>894</v>
      </c>
      <c r="H272" s="45" t="s">
        <v>895</v>
      </c>
      <c r="I272" s="26">
        <f>SUMIFS('Hoja 10'!$O:$O,'Hoja 10'!$F:$F,$G272)</f>
        <v>2</v>
      </c>
      <c r="J272" s="26">
        <f>IFERROR(__xludf.DUMMYFUNCTION("VLOOKUP(G272,IMPORTRANGE(""https://docs.google.com/spreadsheets/d/12RxCea4e5ggM7QGn1XE3FbLQa_-QbCNdBi90OdPjRqg/edit?gid=1692403370#gid=1692403370"", ""'Plan de Compras'!D4:2432""), 8,0)"),2.0)</f>
        <v>2</v>
      </c>
      <c r="K272" s="26" t="str">
        <f t="shared" si="1"/>
        <v>SI</v>
      </c>
      <c r="L272" s="29" t="s">
        <v>296</v>
      </c>
      <c r="M272" s="30" t="s">
        <v>297</v>
      </c>
      <c r="N272" s="42"/>
      <c r="O272" s="32" t="str">
        <f>VLOOKUP($G272,'Hoja 10'!$F$4:$AA478, 19,0)</f>
        <v>BERNARDO</v>
      </c>
      <c r="P272" s="32" t="str">
        <f>VLOOKUP($G272,'Hoja 10'!$F$4:$AA478, 20,0)</f>
        <v>FS 310PS (230V)</v>
      </c>
      <c r="Q272" s="33" t="str">
        <f>VLOOKUP($G272,'Hoja 10'!$F$4:$AA478, 21,0)</f>
        <v>https://www.bernardo.at/es/shop/Cepilladora-y-regruesadora-FS-310-PS--230-V~p86126</v>
      </c>
      <c r="R272" s="30" t="s">
        <v>896</v>
      </c>
      <c r="S272" s="34" t="b">
        <v>1</v>
      </c>
      <c r="T272" s="35" t="str">
        <f>IFERROR(__xludf.DUMMYFUNCTION(" IF
( VLOOKUP($G272,IMPORTRANGE(""https://docs.google.com/spreadsheets/d/1Gpl6jkTg7sL4VDNimUm3S9Vi1i95esohXCF3wuKOE8c"", ""'CONSOLIDADO'!G5:AB""), 10, 0) &lt;&gt; 0, 
IFERROR(VLOOKUP($G272,IMPORTRANGE(""https://docs.google.com/spreadsheets/d/1Gpl6jkTg7sL4VDNimU"&amp;"m3S9Vi1i95esohXCF3wuKOE8c"", ""'CONSOLIDADO'!G5:AB""), 17, 0), ""-""),
""""
)"),"BERNARDO")</f>
        <v>BERNARDO</v>
      </c>
      <c r="U272" s="35" t="str">
        <f>IFERROR(__xludf.DUMMYFUNCTION(" IF
( VLOOKUP($G272,IMPORTRANGE(""https://docs.google.com/spreadsheets/d/1Gpl6jkTg7sL4VDNimUm3S9Vi1i95esohXCF3wuKOE8c"", ""'CONSOLIDADO'!G5:AB""), 10, 0) &lt;&gt; 0, 
IFERROR(VLOOKUP($G272,IMPORTRANGE(""https://docs.google.com/spreadsheets/d/1Gpl6jkTg7sL4VDNimU"&amp;"m3S9Vi1i95esohXCF3wuKOE8c"", ""'CONSOLIDADO'!G5:AB""), 18, 0), ""-""),
""""
)"),"FS 310PS (230V)")</f>
        <v>FS 310PS (230V)</v>
      </c>
      <c r="V272" s="36" t="str">
        <f>IFERROR(__xludf.DUMMYFUNCTION(" IF
( VLOOKUP($G272,IMPORTRANGE(""https://docs.google.com/spreadsheets/d/1Gpl6jkTg7sL4VDNimUm3S9Vi1i95esohXCF3wuKOE8c"", ""'CONSOLIDADO'!G5:AB""), 10, 0) &lt;&gt; 0, 
IFERROR(VLOOKUP($G272,IMPORTRANGE(""https://docs.google.com/spreadsheets/d/1Gpl6jkTg7sL4VDNimU"&amp;"m3S9Vi1i95esohXCF3wuKOE8c"", ""'CONSOLIDADO'!G5:AB""), 19, 0), ""-""),
""""
)"),"https://www.bernardo.at/es/shop/Cepilladora-y-regruesadora-FS-310-PS--230-V~p86126")</f>
        <v>https://www.bernardo.at/es/shop/Cepilladora-y-regruesadora-FS-310-PS--230-V~p86126</v>
      </c>
      <c r="W272" s="37" t="str">
        <f>IFERROR(__xludf.DUMMYFUNCTION("IFERROR(VLOOKUP(G272,IMPORTRANGE(""https://docs.google.com/spreadsheets/d/12RxCea4e5ggM7QGn1XE3FbLQa_-QbCNdBi90OdPjRqg"", ""'Plan de Compras'!D4:Q""), 12, 0), ""NO ESTÁ EN REQ"")"),"Técnica")</f>
        <v>Técnica</v>
      </c>
      <c r="X272" s="37" t="str">
        <f>IFERROR(__xludf.DUMMYFUNCTION("IFERROR(VLOOKUP(G272,IMPORTRANGE(""https://docs.google.com/spreadsheets/d/12RxCea4e5ggM7QGn1XE3FbLQa_-QbCNdBi90OdPjRqg"", ""'Plan de Compras'!D4:Q""), 13, 0), """")"),"INTERNACIONAL")</f>
        <v>INTERNACIONAL</v>
      </c>
      <c r="Y272" s="32" t="str">
        <f>IFERROR(__xludf.DUMMYFUNCTION("IFERROR(VLOOKUP(G272,IMPORTRANGE(""https://docs.google.com/spreadsheets/d/12RxCea4e5ggM7QGn1XE3FbLQa_-QbCNdBi90OdPjRqg"", ""'Plan de Compras'!D4:Q""), 14, 0), """")"),"GIANFRANCO")</f>
        <v>GIANFRANCO</v>
      </c>
      <c r="Z272" s="38" t="str">
        <f>IFERROR(__xludf.DUMMYFUNCTION("IFERROR(VLOOKUP(G272,IMPORTRANGE(""https://docs.google.com/spreadsheets/d/12RxCea4e5ggM7QGn1XE3FbLQa_-QbCNdBi90OdPjRqg"", ""'Plan de Compras'!D4:Q""), 4, 0), """")"),"MÁQUINA GARLOPA")</f>
        <v>MÁQUINA GARLOPA</v>
      </c>
      <c r="AA272" s="38" t="str">
        <f t="shared" si="16"/>
        <v>TRUE</v>
      </c>
      <c r="AB272" s="37" t="str">
        <f>IFERROR(__xludf.DUMMYFUNCTION("IFERROR(IF(OR(C272=TRUE,C272=""""),VLOOKUP(G272,IMPORTRANGE(""https://docs.google.com/spreadsheets/d/1z9A1Wq-kKrhRNG5RS2a2fKpY1wIhSVz2ZNmP2mOl588/edit?usp=sharing"",""REQ VF!E4:H""),4,0),""NO APLICA""),""GENERAR REQ"")"),"GENERAR REQ")</f>
        <v>GENERAR REQ</v>
      </c>
      <c r="AC272" s="37" t="str">
        <f>IFERROR(__xludf.DUMMYFUNCTION("IFERROR(QUERY(IMPORTRANGE(""https://docs.google.com/spreadsheets/d/1z9A1Wq-kKrhRNG5RS2a2fKpY1wIhSVz2ZNmP2mOl588/edit?usp=sharing"",""REQ VF!E4:Q""),""SELECT Col10, Col11, Col12 WHERE Col1 = '""&amp;G272&amp;""'"",0),""NO APLICA"")"),"NO APLICA")</f>
        <v>NO APLICA</v>
      </c>
      <c r="AD272" s="37"/>
      <c r="AE272" s="37"/>
      <c r="AF272" s="8" t="s">
        <v>52</v>
      </c>
      <c r="AG272" s="13"/>
    </row>
    <row r="273">
      <c r="A273" s="26">
        <v>114.0</v>
      </c>
      <c r="B273" s="26" t="b">
        <v>1</v>
      </c>
      <c r="C273" s="26" t="b">
        <v>1</v>
      </c>
      <c r="D273" s="26" t="s">
        <v>35</v>
      </c>
      <c r="E273" s="26" t="s">
        <v>36</v>
      </c>
      <c r="F273" s="27" t="s">
        <v>897</v>
      </c>
      <c r="G273" s="37" t="s">
        <v>897</v>
      </c>
      <c r="H273" s="45" t="s">
        <v>898</v>
      </c>
      <c r="I273" s="26">
        <f>SUMIFS('Hoja 10'!$O:$O,'Hoja 10'!$F:$F,$G273)</f>
        <v>1</v>
      </c>
      <c r="J273" s="26">
        <f>IFERROR(__xludf.DUMMYFUNCTION("VLOOKUP(G273,IMPORTRANGE(""https://docs.google.com/spreadsheets/d/12RxCea4e5ggM7QGn1XE3FbLQa_-QbCNdBi90OdPjRqg/edit?gid=1692403370#gid=1692403370"", ""'Plan de Compras'!D4:2432""), 8,0)"),1.0)</f>
        <v>1</v>
      </c>
      <c r="K273" s="26" t="str">
        <f t="shared" si="1"/>
        <v>SI</v>
      </c>
      <c r="L273" s="29" t="s">
        <v>122</v>
      </c>
      <c r="M273" s="30" t="s">
        <v>123</v>
      </c>
      <c r="N273" s="42"/>
      <c r="O273" s="32" t="str">
        <f>VLOOKUP($G273,'Hoja 10'!$F$4:$AA478, 19,0)</f>
        <v>Bungard</v>
      </c>
      <c r="P273" s="41" t="str">
        <f>VLOOKUP($G273,'Hoja 10'!$F$4:$AA478, 20,0)</f>
        <v>Splash Center/Splash Center</v>
      </c>
      <c r="Q273" s="33" t="str">
        <f>VLOOKUP($G273,'Hoja 10'!$F$4:$AA478, 21,0)</f>
        <v>https://www.bungard.de/en/machines/etching-developing-machines/splash-center</v>
      </c>
      <c r="R273" s="30" t="s">
        <v>899</v>
      </c>
      <c r="S273" s="34" t="b">
        <v>1</v>
      </c>
      <c r="T273" s="35" t="str">
        <f>IFERROR(__xludf.DUMMYFUNCTION(" IF
( VLOOKUP($G273,IMPORTRANGE(""https://docs.google.com/spreadsheets/d/1Gpl6jkTg7sL4VDNimUm3S9Vi1i95esohXCF3wuKOE8c"", ""'CONSOLIDADO'!G5:AB""), 10, 0) &lt;&gt; 0, 
IFERROR(VLOOKUP($G273,IMPORTRANGE(""https://docs.google.com/spreadsheets/d/1Gpl6jkTg7sL4VDNimU"&amp;"m3S9Vi1i95esohXCF3wuKOE8c"", ""'CONSOLIDADO'!G5:AB""), 17, 0), ""-""),
""""
)"),"BUNGARD")</f>
        <v>BUNGARD</v>
      </c>
      <c r="U273" s="35" t="str">
        <f>IFERROR(__xludf.DUMMYFUNCTION(" IF
( VLOOKUP($G273,IMPORTRANGE(""https://docs.google.com/spreadsheets/d/1Gpl6jkTg7sL4VDNimUm3S9Vi1i95esohXCF3wuKOE8c"", ""'CONSOLIDADO'!G5:AB""), 10, 0) &lt;&gt; 0, 
IFERROR(VLOOKUP($G273,IMPORTRANGE(""https://docs.google.com/spreadsheets/d/1Gpl6jkTg7sL4VDNimU"&amp;"m3S9Vi1i95esohXCF3wuKOE8c"", ""'CONSOLIDADO'!G5:AB""), 18, 0), ""-""),
""""
)"),"Splash Center")</f>
        <v>Splash Center</v>
      </c>
      <c r="V273" s="36" t="str">
        <f>IFERROR(__xludf.DUMMYFUNCTION(" IF
( VLOOKUP($G273,IMPORTRANGE(""https://docs.google.com/spreadsheets/d/1Gpl6jkTg7sL4VDNimUm3S9Vi1i95esohXCF3wuKOE8c"", ""'CONSOLIDADO'!G5:AB""), 10, 0) &lt;&gt; 0, 
IFERROR(VLOOKUP($G273,IMPORTRANGE(""https://docs.google.com/spreadsheets/d/1Gpl6jkTg7sL4VDNimU"&amp;"m3S9Vi1i95esohXCF3wuKOE8c"", ""'CONSOLIDADO'!G5:AB""), 19, 0), ""-""),
""""
)"),"https://www.bungard.de/en/machines/etching-developing-machines/splash-center")</f>
        <v>https://www.bungard.de/en/machines/etching-developing-machines/splash-center</v>
      </c>
      <c r="W273" s="37" t="str">
        <f>IFERROR(__xludf.DUMMYFUNCTION("IFERROR(VLOOKUP(G273,IMPORTRANGE(""https://docs.google.com/spreadsheets/d/12RxCea4e5ggM7QGn1XE3FbLQa_-QbCNdBi90OdPjRqg"", ""'Plan de Compras'!D4:Q""), 12, 0), ""NO ESTÁ EN REQ"")"),"Técnica")</f>
        <v>Técnica</v>
      </c>
      <c r="X273" s="37" t="str">
        <f>IFERROR(__xludf.DUMMYFUNCTION("IFERROR(VLOOKUP(G273,IMPORTRANGE(""https://docs.google.com/spreadsheets/d/12RxCea4e5ggM7QGn1XE3FbLQa_-QbCNdBi90OdPjRqg"", ""'Plan de Compras'!D4:Q""), 13, 0), """")"),"INTERNACIONAL")</f>
        <v>INTERNACIONAL</v>
      </c>
      <c r="Y273" s="32" t="str">
        <f>IFERROR(__xludf.DUMMYFUNCTION("IFERROR(VLOOKUP(G273,IMPORTRANGE(""https://docs.google.com/spreadsheets/d/12RxCea4e5ggM7QGn1XE3FbLQa_-QbCNdBi90OdPjRqg"", ""'Plan de Compras'!D4:Q""), 14, 0), """")"),"JIMENA")</f>
        <v>JIMENA</v>
      </c>
      <c r="Z273" s="38" t="str">
        <f>IFERROR(__xludf.DUMMYFUNCTION("IFERROR(VLOOKUP(G273,IMPORTRANGE(""https://docs.google.com/spreadsheets/d/12RxCea4e5ggM7QGn1XE3FbLQa_-QbCNdBi90OdPjRqg"", ""'Plan de Compras'!D4:Q""), 4, 0), """")"),"MÁQUINA PARA EL REVELADO POR INMERSIÓN")</f>
        <v>MÁQUINA PARA EL REVELADO POR INMERSIÓN</v>
      </c>
      <c r="AA273" s="38" t="str">
        <f t="shared" si="16"/>
        <v>TRUE</v>
      </c>
      <c r="AB273" s="37" t="str">
        <f>IFERROR(__xludf.DUMMYFUNCTION("IFERROR(IF(OR(C273=TRUE,C273=""""),VLOOKUP(G273,IMPORTRANGE(""https://docs.google.com/spreadsheets/d/1z9A1Wq-kKrhRNG5RS2a2fKpY1wIhSVz2ZNmP2mOl588/edit?usp=sharing"",""REQ VF!E4:H""),4,0),""NO APLICA""),""GENERAR REQ"")"),"GENERAR REQ")</f>
        <v>GENERAR REQ</v>
      </c>
      <c r="AC273" s="37" t="str">
        <f>IFERROR(__xludf.DUMMYFUNCTION("IFERROR(QUERY(IMPORTRANGE(""https://docs.google.com/spreadsheets/d/1z9A1Wq-kKrhRNG5RS2a2fKpY1wIhSVz2ZNmP2mOl588/edit?usp=sharing"",""REQ VF!E4:Q""),""SELECT Col10, Col11, Col12 WHERE Col1 = '""&amp;G273&amp;""'"",0),""NO APLICA"")"),"NO APLICA")</f>
        <v>NO APLICA</v>
      </c>
      <c r="AD273" s="37"/>
      <c r="AE273" s="37"/>
      <c r="AF273" s="8" t="s">
        <v>52</v>
      </c>
      <c r="AG273" s="13"/>
    </row>
    <row r="274">
      <c r="A274" s="26">
        <v>115.0</v>
      </c>
      <c r="B274" s="26" t="b">
        <v>1</v>
      </c>
      <c r="C274" s="26" t="b">
        <v>1</v>
      </c>
      <c r="D274" s="26" t="s">
        <v>35</v>
      </c>
      <c r="E274" s="26" t="s">
        <v>36</v>
      </c>
      <c r="F274" s="27" t="s">
        <v>900</v>
      </c>
      <c r="G274" s="37" t="s">
        <v>900</v>
      </c>
      <c r="H274" s="45" t="s">
        <v>901</v>
      </c>
      <c r="I274" s="26">
        <f>SUMIFS('Hoja 10'!$O:$O,'Hoja 10'!$F:$F,$G274)</f>
        <v>1</v>
      </c>
      <c r="J274" s="26">
        <f>IFERROR(__xludf.DUMMYFUNCTION("VLOOKUP(G274,IMPORTRANGE(""https://docs.google.com/spreadsheets/d/12RxCea4e5ggM7QGn1XE3FbLQa_-QbCNdBi90OdPjRqg/edit?gid=1692403370#gid=1692403370"", ""'Plan de Compras'!D4:2432""), 8,0)"),1.0)</f>
        <v>1</v>
      </c>
      <c r="K274" s="26" t="str">
        <f t="shared" si="1"/>
        <v>SI</v>
      </c>
      <c r="L274" s="29" t="s">
        <v>122</v>
      </c>
      <c r="M274" s="30" t="s">
        <v>123</v>
      </c>
      <c r="N274" s="42"/>
      <c r="O274" s="32" t="str">
        <f>VLOOKUP($G274,'Hoja 10'!$F$4:$AA478, 19,0)</f>
        <v>Bungard</v>
      </c>
      <c r="P274" s="32" t="str">
        <f>VLOOKUP($G274,'Hoja 10'!$F$4:$AA478, 20,0)</f>
        <v>CCD/2/ATC</v>
      </c>
      <c r="Q274" s="33" t="str">
        <f>VLOOKUP($G274,'Hoja 10'!$F$4:$AA478, 21,0)</f>
        <v>https://www.bungard.de/en/machines/cnc-machines/ccd-2-atc</v>
      </c>
      <c r="R274" s="30" t="s">
        <v>902</v>
      </c>
      <c r="S274" s="34" t="b">
        <v>1</v>
      </c>
      <c r="T274" s="35" t="str">
        <f>IFERROR(__xludf.DUMMYFUNCTION(" IF
( VLOOKUP($G274,IMPORTRANGE(""https://docs.google.com/spreadsheets/d/1Gpl6jkTg7sL4VDNimUm3S9Vi1i95esohXCF3wuKOE8c"", ""'CONSOLIDADO'!G5:AB""), 10, 0) &lt;&gt; 0, 
IFERROR(VLOOKUP($G274,IMPORTRANGE(""https://docs.google.com/spreadsheets/d/1Gpl6jkTg7sL4VDNimU"&amp;"m3S9Vi1i95esohXCF3wuKOE8c"", ""'CONSOLIDADO'!G5:AB""), 17, 0), ""-""),
""""
)"),"BUNGARD")</f>
        <v>BUNGARD</v>
      </c>
      <c r="U274" s="35" t="str">
        <f>IFERROR(__xludf.DUMMYFUNCTION(" IF
( VLOOKUP($G274,IMPORTRANGE(""https://docs.google.com/spreadsheets/d/1Gpl6jkTg7sL4VDNimUm3S9Vi1i95esohXCF3wuKOE8c"", ""'CONSOLIDADO'!G5:AB""), 10, 0) &lt;&gt; 0, 
IFERROR(VLOOKUP($G274,IMPORTRANGE(""https://docs.google.com/spreadsheets/d/1Gpl6jkTg7sL4VDNimU"&amp;"m3S9Vi1i95esohXCF3wuKOE8c"", ""'CONSOLIDADO'!G5:AB""), 18, 0), ""-""),
""""
)"),"CCD/2/MTC")</f>
        <v>CCD/2/MTC</v>
      </c>
      <c r="V274" s="36" t="str">
        <f>IFERROR(__xludf.DUMMYFUNCTION(" IF
( VLOOKUP($G274,IMPORTRANGE(""https://docs.google.com/spreadsheets/d/1Gpl6jkTg7sL4VDNimUm3S9Vi1i95esohXCF3wuKOE8c"", ""'CONSOLIDADO'!G5:AB""), 10, 0) &lt;&gt; 0, 
IFERROR(VLOOKUP($G274,IMPORTRANGE(""https://docs.google.com/spreadsheets/d/1Gpl6jkTg7sL4VDNimU"&amp;"m3S9Vi1i95esohXCF3wuKOE8c"", ""'CONSOLIDADO'!G5:AB""), 19, 0), ""-""),
""""
)"),"https://www.bungard.de/en/machines/cnc-machines/ccd-2-mtc")</f>
        <v>https://www.bungard.de/en/machines/cnc-machines/ccd-2-mtc</v>
      </c>
      <c r="W274" s="37" t="str">
        <f>IFERROR(__xludf.DUMMYFUNCTION("IFERROR(VLOOKUP(G274,IMPORTRANGE(""https://docs.google.com/spreadsheets/d/12RxCea4e5ggM7QGn1XE3FbLQa_-QbCNdBi90OdPjRqg"", ""'Plan de Compras'!D4:Q""), 12, 0), ""NO ESTÁ EN REQ"")"),"Técnica")</f>
        <v>Técnica</v>
      </c>
      <c r="X274" s="37" t="str">
        <f>IFERROR(__xludf.DUMMYFUNCTION("IFERROR(VLOOKUP(G274,IMPORTRANGE(""https://docs.google.com/spreadsheets/d/12RxCea4e5ggM7QGn1XE3FbLQa_-QbCNdBi90OdPjRqg"", ""'Plan de Compras'!D4:Q""), 13, 0), """")"),"INTERNACIONAL")</f>
        <v>INTERNACIONAL</v>
      </c>
      <c r="Y274" s="32" t="str">
        <f>IFERROR(__xludf.DUMMYFUNCTION("IFERROR(VLOOKUP(G274,IMPORTRANGE(""https://docs.google.com/spreadsheets/d/12RxCea4e5ggM7QGn1XE3FbLQa_-QbCNdBi90OdPjRqg"", ""'Plan de Compras'!D4:Q""), 14, 0), """")"),"JIMENA")</f>
        <v>JIMENA</v>
      </c>
      <c r="Z274" s="38" t="str">
        <f>IFERROR(__xludf.DUMMYFUNCTION("IFERROR(VLOOKUP(G274,IMPORTRANGE(""https://docs.google.com/spreadsheets/d/12RxCea4e5ggM7QGn1XE3FbLQa_-QbCNdBi90OdPjRqg"", ""'Plan de Compras'!D4:Q""), 4, 0), """")"),"MÁQUINA PARA EL RUTEADO DE CONTORNO Y PERFORADO")</f>
        <v>MÁQUINA PARA EL RUTEADO DE CONTORNO Y PERFORADO</v>
      </c>
      <c r="AA274" s="38" t="str">
        <f t="shared" si="16"/>
        <v>TRUE</v>
      </c>
      <c r="AB274" s="37" t="str">
        <f>IFERROR(__xludf.DUMMYFUNCTION("IFERROR(IF(OR(C274=TRUE,C274=""""),VLOOKUP(G274,IMPORTRANGE(""https://docs.google.com/spreadsheets/d/1z9A1Wq-kKrhRNG5RS2a2fKpY1wIhSVz2ZNmP2mOl588/edit?usp=sharing"",""REQ VF!E4:H""),4,0),""NO APLICA""),""GENERAR REQ"")"),"GENERAR REQ")</f>
        <v>GENERAR REQ</v>
      </c>
      <c r="AC274" s="37" t="str">
        <f>IFERROR(__xludf.DUMMYFUNCTION("IFERROR(QUERY(IMPORTRANGE(""https://docs.google.com/spreadsheets/d/1z9A1Wq-kKrhRNG5RS2a2fKpY1wIhSVz2ZNmP2mOl588/edit?usp=sharing"",""REQ VF!E4:Q""),""SELECT Col10, Col11, Col12 WHERE Col1 = '""&amp;G274&amp;""'"",0),""NO APLICA"")"),"NO APLICA")</f>
        <v>NO APLICA</v>
      </c>
      <c r="AD274" s="37"/>
      <c r="AE274" s="37"/>
      <c r="AF274" s="13"/>
      <c r="AG274" s="13"/>
    </row>
    <row r="275">
      <c r="A275" s="26"/>
      <c r="B275" s="26" t="b">
        <v>0</v>
      </c>
      <c r="C275" s="26" t="b">
        <v>1</v>
      </c>
      <c r="D275" s="26" t="s">
        <v>42</v>
      </c>
      <c r="E275" s="26" t="s">
        <v>36</v>
      </c>
      <c r="F275" s="27" t="s">
        <v>900</v>
      </c>
      <c r="G275" s="39" t="s">
        <v>903</v>
      </c>
      <c r="H275" s="40" t="s">
        <v>904</v>
      </c>
      <c r="I275" s="43">
        <v>1.0</v>
      </c>
      <c r="J275" s="26">
        <f>IFERROR(__xludf.DUMMYFUNCTION("VLOOKUP(G275,IMPORTRANGE(""https://docs.google.com/spreadsheets/d/12RxCea4e5ggM7QGn1XE3FbLQa_-QbCNdBi90OdPjRqg/edit?gid=1692403370#gid=1692403370"", ""'Plan de Compras'!D4:2432""), 8,0)"),1.0)</f>
        <v>1</v>
      </c>
      <c r="K275" s="26" t="str">
        <f t="shared" si="1"/>
        <v>SI</v>
      </c>
      <c r="L275" s="29"/>
      <c r="M275" s="61"/>
      <c r="N275" s="42"/>
      <c r="O275" s="32"/>
      <c r="P275" s="32"/>
      <c r="Q275" s="41"/>
      <c r="R275" s="61"/>
      <c r="S275" s="34" t="b">
        <v>0</v>
      </c>
      <c r="T275" s="35" t="s">
        <v>905</v>
      </c>
      <c r="U275" s="35" t="s">
        <v>906</v>
      </c>
      <c r="V275" s="36" t="s">
        <v>907</v>
      </c>
      <c r="W275" s="37"/>
      <c r="X275" s="37"/>
      <c r="Y275" s="32"/>
      <c r="Z275" s="38"/>
      <c r="AA275" s="38" t="str">
        <f t="shared" si="16"/>
        <v>FALSE</v>
      </c>
      <c r="AB275" s="37" t="str">
        <f>IFERROR(__xludf.DUMMYFUNCTION("IFERROR(IF(OR(C275=TRUE,C275=""""),VLOOKUP(G275,IMPORTRANGE(""https://docs.google.com/spreadsheets/d/1z9A1Wq-kKrhRNG5RS2a2fKpY1wIhSVz2ZNmP2mOl588/edit?usp=sharing"",""REQ VF!E4:H""),4,0),""NO APLICA""),""GENERAR REQ"")"),"GENERAR REQ")</f>
        <v>GENERAR REQ</v>
      </c>
      <c r="AC275" s="37" t="str">
        <f>IFERROR(__xludf.DUMMYFUNCTION("IFERROR(QUERY(IMPORTRANGE(""https://docs.google.com/spreadsheets/d/1z9A1Wq-kKrhRNG5RS2a2fKpY1wIhSVz2ZNmP2mOl588/edit?usp=sharing"",""REQ VF!E4:Q""),""SELECT Col10, Col11, Col12 WHERE Col1 = '""&amp;G275&amp;""'"",0),""NO APLICA"")"),"NO APLICA")</f>
        <v>NO APLICA</v>
      </c>
      <c r="AD275" s="37"/>
      <c r="AE275" s="37"/>
      <c r="AF275" s="8"/>
      <c r="AG275" s="13"/>
    </row>
    <row r="276">
      <c r="A276" s="26">
        <v>116.0</v>
      </c>
      <c r="B276" s="26" t="b">
        <v>1</v>
      </c>
      <c r="C276" s="26" t="b">
        <v>1</v>
      </c>
      <c r="D276" s="26" t="s">
        <v>35</v>
      </c>
      <c r="E276" s="26" t="s">
        <v>36</v>
      </c>
      <c r="F276" s="27" t="s">
        <v>908</v>
      </c>
      <c r="G276" s="37" t="s">
        <v>908</v>
      </c>
      <c r="H276" s="45" t="s">
        <v>909</v>
      </c>
      <c r="I276" s="43">
        <f>SUMIFS('Hoja 10'!$O:$O,'Hoja 10'!$F:$F,$G276)</f>
        <v>1</v>
      </c>
      <c r="J276" s="26">
        <f>IFERROR(__xludf.DUMMYFUNCTION("VLOOKUP(G276,IMPORTRANGE(""https://docs.google.com/spreadsheets/d/12RxCea4e5ggM7QGn1XE3FbLQa_-QbCNdBi90OdPjRqg/edit?gid=1692403370#gid=1692403370"", ""'Plan de Compras'!D4:2432""), 8,0)"),1.0)</f>
        <v>1</v>
      </c>
      <c r="K276" s="26" t="str">
        <f t="shared" si="1"/>
        <v>SI</v>
      </c>
      <c r="L276" s="29" t="s">
        <v>122</v>
      </c>
      <c r="M276" s="30" t="s">
        <v>123</v>
      </c>
      <c r="N276" s="42"/>
      <c r="O276" s="32" t="str">
        <f>VLOOKUP($G276,'Hoja 10'!$F$4:$AA478, 19,0)</f>
        <v>Bungard</v>
      </c>
      <c r="P276" s="32" t="str">
        <f>VLOOKUP($G276,'Hoja 10'!$F$4:$AA478, 20,0)</f>
        <v>Hellas double sided          </v>
      </c>
      <c r="Q276" s="33" t="str">
        <f>VLOOKUP($G276,'Hoja 10'!$F$4:$AA478, 21,0)</f>
        <v>https://www.bungard.de/en/machines/exposure-units/hellas</v>
      </c>
      <c r="R276" s="30" t="s">
        <v>910</v>
      </c>
      <c r="S276" s="34" t="b">
        <v>1</v>
      </c>
      <c r="T276" s="35" t="str">
        <f>IFERROR(__xludf.DUMMYFUNCTION(" IF
( VLOOKUP($G276,IMPORTRANGE(""https://docs.google.com/spreadsheets/d/1Gpl6jkTg7sL4VDNimUm3S9Vi1i95esohXCF3wuKOE8c"", ""'CONSOLIDADO'!G5:AB""), 10, 0) &lt;&gt; 0, 
IFERROR(VLOOKUP($G276,IMPORTRANGE(""https://docs.google.com/spreadsheets/d/1Gpl6jkTg7sL4VDNimU"&amp;"m3S9Vi1i95esohXCF3wuKOE8c"", ""'CONSOLIDADO'!G5:AB""), 17, 0), ""-""),
""""
)"),"BUNGARD")</f>
        <v>BUNGARD</v>
      </c>
      <c r="U276" s="35" t="str">
        <f>IFERROR(__xludf.DUMMYFUNCTION(" IF
( VLOOKUP($G276,IMPORTRANGE(""https://docs.google.com/spreadsheets/d/1Gpl6jkTg7sL4VDNimUm3S9Vi1i95esohXCF3wuKOE8c"", ""'CONSOLIDADO'!G5:AB""), 10, 0) &lt;&gt; 0, 
IFERROR(VLOOKUP($G276,IMPORTRANGE(""https://docs.google.com/spreadsheets/d/1Gpl6jkTg7sL4VDNimU"&amp;"m3S9Vi1i95esohXCF3wuKOE8c"", ""'CONSOLIDADO'!G5:AB""), 18, 0), ""-""),
""""
)"),"Hellas 2S")</f>
        <v>Hellas 2S</v>
      </c>
      <c r="V276" s="36" t="str">
        <f>IFERROR(__xludf.DUMMYFUNCTION(" IF
( VLOOKUP($G276,IMPORTRANGE(""https://docs.google.com/spreadsheets/d/1Gpl6jkTg7sL4VDNimUm3S9Vi1i95esohXCF3wuKOE8c"", ""'CONSOLIDADO'!G5:AB""), 10, 0) &lt;&gt; 0, 
IFERROR(VLOOKUP($G276,IMPORTRANGE(""https://docs.google.com/spreadsheets/d/1Gpl6jkTg7sL4VDNimU"&amp;"m3S9Vi1i95esohXCF3wuKOE8c"", ""'CONSOLIDADO'!G5:AB""), 19, 0), ""-""),
""""
)"),"https://drive.google.com/file/d/1gDq1Bid5UKiwCdzvvkrG1GOkty-i8K8n/view?usp=sharing")</f>
        <v>https://drive.google.com/file/d/1gDq1Bid5UKiwCdzvvkrG1GOkty-i8K8n/view?usp=sharing</v>
      </c>
      <c r="W276" s="37" t="str">
        <f>IFERROR(__xludf.DUMMYFUNCTION("IFERROR(VLOOKUP(G276,IMPORTRANGE(""https://docs.google.com/spreadsheets/d/12RxCea4e5ggM7QGn1XE3FbLQa_-QbCNdBi90OdPjRqg"", ""'Plan de Compras'!D4:Q""), 12, 0), ""NO ESTÁ EN REQ"")"),"Técnica")</f>
        <v>Técnica</v>
      </c>
      <c r="X276" s="37" t="str">
        <f>IFERROR(__xludf.DUMMYFUNCTION("IFERROR(VLOOKUP(G276,IMPORTRANGE(""https://docs.google.com/spreadsheets/d/12RxCea4e5ggM7QGn1XE3FbLQa_-QbCNdBi90OdPjRqg"", ""'Plan de Compras'!D4:Q""), 13, 0), """")"),"INTERNACIONAL")</f>
        <v>INTERNACIONAL</v>
      </c>
      <c r="Y276" s="32" t="str">
        <f>IFERROR(__xludf.DUMMYFUNCTION("IFERROR(VLOOKUP(G276,IMPORTRANGE(""https://docs.google.com/spreadsheets/d/12RxCea4e5ggM7QGn1XE3FbLQa_-QbCNdBi90OdPjRqg"", ""'Plan de Compras'!D4:Q""), 14, 0), """")"),"JIMENA")</f>
        <v>JIMENA</v>
      </c>
      <c r="Z276" s="38" t="str">
        <f>IFERROR(__xludf.DUMMYFUNCTION("IFERROR(VLOOKUP(G276,IMPORTRANGE(""https://docs.google.com/spreadsheets/d/12RxCea4e5ggM7QGn1XE3FbLQa_-QbCNdBi90OdPjRqg"", ""'Plan de Compras'!D4:Q""), 4, 0), """")"),"MÁQUINA PARA LA EXPOSICIÓN FOTOGRÁFICA")</f>
        <v>MÁQUINA PARA LA EXPOSICIÓN FOTOGRÁFICA</v>
      </c>
      <c r="AA276" s="38" t="str">
        <f t="shared" si="16"/>
        <v>TRUE</v>
      </c>
      <c r="AB276" s="37" t="str">
        <f>IFERROR(__xludf.DUMMYFUNCTION("IFERROR(IF(OR(C276=TRUE,C276=""""),VLOOKUP(G276,IMPORTRANGE(""https://docs.google.com/spreadsheets/d/1z9A1Wq-kKrhRNG5RS2a2fKpY1wIhSVz2ZNmP2mOl588/edit?usp=sharing"",""REQ VF!E4:H""),4,0),""NO APLICA""),""GENERAR REQ"")"),"GENERAR REQ")</f>
        <v>GENERAR REQ</v>
      </c>
      <c r="AC276" s="37" t="str">
        <f>IFERROR(__xludf.DUMMYFUNCTION("IFERROR(QUERY(IMPORTRANGE(""https://docs.google.com/spreadsheets/d/1z9A1Wq-kKrhRNG5RS2a2fKpY1wIhSVz2ZNmP2mOl588/edit?usp=sharing"",""REQ VF!E4:Q""),""SELECT Col10, Col11, Col12 WHERE Col1 = '""&amp;G276&amp;""'"",0),""NO APLICA"")"),"NO APLICA")</f>
        <v>NO APLICA</v>
      </c>
      <c r="AD276" s="37"/>
      <c r="AE276" s="37"/>
      <c r="AF276" s="8" t="s">
        <v>52</v>
      </c>
      <c r="AG276" s="13"/>
    </row>
    <row r="277">
      <c r="A277" s="26">
        <v>117.0</v>
      </c>
      <c r="B277" s="26" t="b">
        <v>1</v>
      </c>
      <c r="C277" s="26" t="b">
        <v>1</v>
      </c>
      <c r="D277" s="26" t="s">
        <v>35</v>
      </c>
      <c r="E277" s="26" t="s">
        <v>36</v>
      </c>
      <c r="F277" s="27" t="s">
        <v>911</v>
      </c>
      <c r="G277" s="37" t="s">
        <v>911</v>
      </c>
      <c r="H277" s="45" t="s">
        <v>912</v>
      </c>
      <c r="I277" s="43">
        <f>SUMIFS('Hoja 10'!$O:$O,'Hoja 10'!$F:$F,$G277)</f>
        <v>1</v>
      </c>
      <c r="J277" s="26">
        <f>IFERROR(__xludf.DUMMYFUNCTION("VLOOKUP(G277,IMPORTRANGE(""https://docs.google.com/spreadsheets/d/12RxCea4e5ggM7QGn1XE3FbLQa_-QbCNdBi90OdPjRqg/edit?gid=1692403370#gid=1692403370"", ""'Plan de Compras'!D4:2432""), 8,0)"),1.0)</f>
        <v>1</v>
      </c>
      <c r="K277" s="26" t="str">
        <f t="shared" si="1"/>
        <v>SI</v>
      </c>
      <c r="L277" s="29" t="s">
        <v>122</v>
      </c>
      <c r="M277" s="30" t="s">
        <v>123</v>
      </c>
      <c r="N277" s="42"/>
      <c r="O277" s="32" t="str">
        <f>VLOOKUP($G277,'Hoja 10'!$F$4:$AA478, 19,0)</f>
        <v>Bungard</v>
      </c>
      <c r="P277" s="32" t="str">
        <f>VLOOKUP($G277,'Hoja 10'!$F$4:$AA478, 20,0)</f>
        <v>Favorit</v>
      </c>
      <c r="Q277" s="33" t="str">
        <f>VLOOKUP($G277,'Hoja 10'!$F$4:$AA478, 21,0)</f>
        <v>https://www.bungard.de/en/machines/through-hole-plating/favorit</v>
      </c>
      <c r="R277" s="30" t="s">
        <v>913</v>
      </c>
      <c r="S277" s="34" t="b">
        <v>1</v>
      </c>
      <c r="T277" s="35" t="str">
        <f>IFERROR(__xludf.DUMMYFUNCTION(" IF
( VLOOKUP($G277,IMPORTRANGE(""https://docs.google.com/spreadsheets/d/1Gpl6jkTg7sL4VDNimUm3S9Vi1i95esohXCF3wuKOE8c"", ""'CONSOLIDADO'!G5:AB""), 10, 0) &lt;&gt; 0, 
IFERROR(VLOOKUP($G277,IMPORTRANGE(""https://docs.google.com/spreadsheets/d/1Gpl6jkTg7sL4VDNimU"&amp;"m3S9Vi1i95esohXCF3wuKOE8c"", ""'CONSOLIDADO'!G5:AB""), 17, 0), ""-""),
""""
)"),"BUNGARD")</f>
        <v>BUNGARD</v>
      </c>
      <c r="U277" s="35" t="str">
        <f>IFERROR(__xludf.DUMMYFUNCTION(" IF
( VLOOKUP($G277,IMPORTRANGE(""https://docs.google.com/spreadsheets/d/1Gpl6jkTg7sL4VDNimUm3S9Vi1i95esohXCF3wuKOE8c"", ""'CONSOLIDADO'!G5:AB""), 10, 0) &lt;&gt; 0, 
IFERROR(VLOOKUP($G277,IMPORTRANGE(""https://docs.google.com/spreadsheets/d/1Gpl6jkTg7sL4VDNimU"&amp;"m3S9Vi1i95esohXCF3wuKOE8c"", ""'CONSOLIDADO'!G5:AB""), 18, 0), ""-""),
""""
)"),"FAVORIT")</f>
        <v>FAVORIT</v>
      </c>
      <c r="V277" s="36" t="str">
        <f>IFERROR(__xludf.DUMMYFUNCTION(" IF
( VLOOKUP($G277,IMPORTRANGE(""https://docs.google.com/spreadsheets/d/1Gpl6jkTg7sL4VDNimUm3S9Vi1i95esohXCF3wuKOE8c"", ""'CONSOLIDADO'!G5:AB""), 10, 0) &lt;&gt; 0, 
IFERROR(VLOOKUP($G277,IMPORTRANGE(""https://docs.google.com/spreadsheets/d/1Gpl6jkTg7sL4VDNimU"&amp;"m3S9Vi1i95esohXCF3wuKOE8c"", ""'CONSOLIDADO'!G5:AB""), 19, 0), ""-""),
""""
)"),"https://www.bungard.de/en/machines/through-hole-plating/favorit")</f>
        <v>https://www.bungard.de/en/machines/through-hole-plating/favorit</v>
      </c>
      <c r="W277" s="37" t="str">
        <f>IFERROR(__xludf.DUMMYFUNCTION("IFERROR(VLOOKUP(G277,IMPORTRANGE(""https://docs.google.com/spreadsheets/d/12RxCea4e5ggM7QGn1XE3FbLQa_-QbCNdBi90OdPjRqg"", ""'Plan de Compras'!D4:Q""), 12, 0), ""NO ESTÁ EN REQ"")"),"Técnica")</f>
        <v>Técnica</v>
      </c>
      <c r="X277" s="37" t="str">
        <f>IFERROR(__xludf.DUMMYFUNCTION("IFERROR(VLOOKUP(G277,IMPORTRANGE(""https://docs.google.com/spreadsheets/d/12RxCea4e5ggM7QGn1XE3FbLQa_-QbCNdBi90OdPjRqg"", ""'Plan de Compras'!D4:Q""), 13, 0), """")"),"INTERNACIONAL")</f>
        <v>INTERNACIONAL</v>
      </c>
      <c r="Y277" s="32" t="str">
        <f>IFERROR(__xludf.DUMMYFUNCTION("IFERROR(VLOOKUP(G277,IMPORTRANGE(""https://docs.google.com/spreadsheets/d/12RxCea4e5ggM7QGn1XE3FbLQa_-QbCNdBi90OdPjRqg"", ""'Plan de Compras'!D4:Q""), 14, 0), """")"),"JIMENA")</f>
        <v>JIMENA</v>
      </c>
      <c r="Z277" s="38" t="str">
        <f>IFERROR(__xludf.DUMMYFUNCTION("IFERROR(VLOOKUP(G277,IMPORTRANGE(""https://docs.google.com/spreadsheets/d/12RxCea4e5ggM7QGn1XE3FbLQa_-QbCNdBi90OdPjRqg"", ""'Plan de Compras'!D4:Q""), 4, 0), """")"),"MÁQUINA PARA LA PREPARACIÓN DE OJALILLOS")</f>
        <v>MÁQUINA PARA LA PREPARACIÓN DE OJALILLOS</v>
      </c>
      <c r="AA277" s="38" t="str">
        <f t="shared" si="16"/>
        <v>TRUE</v>
      </c>
      <c r="AB277" s="37" t="str">
        <f>IFERROR(__xludf.DUMMYFUNCTION("IFERROR(IF(OR(C277=TRUE,C277=""""),VLOOKUP(G277,IMPORTRANGE(""https://docs.google.com/spreadsheets/d/1z9A1Wq-kKrhRNG5RS2a2fKpY1wIhSVz2ZNmP2mOl588/edit?usp=sharing"",""REQ VF!E4:H""),4,0),""NO APLICA""),""GENERAR REQ"")"),"GENERAR REQ")</f>
        <v>GENERAR REQ</v>
      </c>
      <c r="AC277" s="37" t="str">
        <f>IFERROR(__xludf.DUMMYFUNCTION("IFERROR(QUERY(IMPORTRANGE(""https://docs.google.com/spreadsheets/d/1z9A1Wq-kKrhRNG5RS2a2fKpY1wIhSVz2ZNmP2mOl588/edit?usp=sharing"",""REQ VF!E4:Q""),""SELECT Col10, Col11, Col12 WHERE Col1 = '""&amp;G277&amp;""'"",0),""NO APLICA"")"),"NO APLICA")</f>
        <v>NO APLICA</v>
      </c>
      <c r="AD277" s="37"/>
      <c r="AE277" s="37"/>
      <c r="AF277" s="13"/>
      <c r="AG277" s="13"/>
    </row>
    <row r="278">
      <c r="A278" s="26">
        <v>118.0</v>
      </c>
      <c r="B278" s="26" t="b">
        <v>1</v>
      </c>
      <c r="C278" s="26" t="b">
        <v>1</v>
      </c>
      <c r="D278" s="26" t="s">
        <v>35</v>
      </c>
      <c r="E278" s="26" t="s">
        <v>36</v>
      </c>
      <c r="F278" s="27" t="s">
        <v>914</v>
      </c>
      <c r="G278" s="37" t="s">
        <v>914</v>
      </c>
      <c r="H278" s="45" t="s">
        <v>915</v>
      </c>
      <c r="I278" s="26">
        <f>SUMIFS('Hoja 10'!$O:$O,'Hoja 10'!$F:$F,$G278)</f>
        <v>2</v>
      </c>
      <c r="J278" s="26">
        <f>IFERROR(__xludf.DUMMYFUNCTION("VLOOKUP(G278,IMPORTRANGE(""https://docs.google.com/spreadsheets/d/12RxCea4e5ggM7QGn1XE3FbLQa_-QbCNdBi90OdPjRqg/edit?gid=1692403370#gid=1692403370"", ""'Plan de Compras'!D4:2432""), 8,0)"),2.0)</f>
        <v>2</v>
      </c>
      <c r="K278" s="26" t="str">
        <f t="shared" si="1"/>
        <v>SI</v>
      </c>
      <c r="L278" s="29" t="s">
        <v>185</v>
      </c>
      <c r="M278" s="30" t="s">
        <v>186</v>
      </c>
      <c r="N278" s="42"/>
      <c r="O278" s="32" t="str">
        <f>VLOOKUP($G278,'Hoja 10'!$F$4:$AA478, 19,0)</f>
        <v>DOCEPRINT</v>
      </c>
      <c r="P278" s="32" t="str">
        <f>VLOOKUP($G278,'Hoja 10'!$F$4:$AA478, 20,0)</f>
        <v>MÁQUINA DE GORRAS</v>
      </c>
      <c r="Q278" s="33" t="str">
        <f>VLOOKUP($G278,'Hoja 10'!$F$4:$AA478, 21,0)</f>
        <v>https://drive.google.com/file/d/1Lnbof1hrsNcq-qhUnqeuQChl9Xo1FObH/view</v>
      </c>
      <c r="R278" s="30" t="s">
        <v>916</v>
      </c>
      <c r="S278" s="34" t="b">
        <v>1</v>
      </c>
      <c r="T278" s="35" t="str">
        <f>IFERROR(__xludf.DUMMYFUNCTION(" IF
( VLOOKUP($G278,IMPORTRANGE(""https://docs.google.com/spreadsheets/d/1Gpl6jkTg7sL4VDNimUm3S9Vi1i95esohXCF3wuKOE8c"", ""'CONSOLIDADO'!G5:AB""), 10, 0) &lt;&gt; 0, 
IFERROR(VLOOKUP($G278,IMPORTRANGE(""https://docs.google.com/spreadsheets/d/1Gpl6jkTg7sL4VDNimU"&amp;"m3S9Vi1i95esohXCF3wuKOE8c"", ""'CONSOLIDADO'!G5:AB""), 17, 0), ""-""),
""""
)"),"BESTSUB")</f>
        <v>BESTSUB</v>
      </c>
      <c r="U278" s="35" t="str">
        <f>IFERROR(__xludf.DUMMYFUNCTION(" IF
( VLOOKUP($G278,IMPORTRANGE(""https://docs.google.com/spreadsheets/d/1Gpl6jkTg7sL4VDNimUm3S9Vi1i95esohXCF3wuKOE8c"", ""'CONSOLIDADO'!G5:AB""), 10, 0) &lt;&gt; 0, 
IFERROR(VLOOKUP($G278,IMPORTRANGE(""https://docs.google.com/spreadsheets/d/1Gpl6jkTg7sL4VDNimU"&amp;"m3S9Vi1i95esohXCF3wuKOE8c"", ""'CONSOLIDADO'!G5:AB""), 18, 0), ""-""),
""""
)"),"CE-CPLBNM")</f>
        <v>CE-CPLBNM</v>
      </c>
      <c r="V278" s="36" t="str">
        <f>IFERROR(__xludf.DUMMYFUNCTION(" IF
( VLOOKUP($G278,IMPORTRANGE(""https://docs.google.com/spreadsheets/d/1Gpl6jkTg7sL4VDNimUm3S9Vi1i95esohXCF3wuKOE8c"", ""'CONSOLIDADO'!G5:AB""), 10, 0) &lt;&gt; 0, 
IFERROR(VLOOKUP($G278,IMPORTRANGE(""https://docs.google.com/spreadsheets/d/1Gpl6jkTg7sL4VDNimU"&amp;"m3S9Vi1i95esohXCF3wuKOE8c"", ""'CONSOLIDADO'!G5:AB""), 19, 0), ""-""),
""""
)"),"https://spanish.alibaba.com/product-detail/BestSub-Manual-Hat-Press-Cap-Heat-1601072323996.html?chatToken=U1ZkdVJIVkhVRXB3VVd0MVF6QnFTSEJEV21jNE1uTkhkamt4TVhoMVlWbFhkME5JVTIxeFoyaE1PRmQ1TlVjellXVXpXbTFxWkc5VllYUXljWGhZVUhSeE16SmxXbGhMT1RGMVdYRlBWM1JLY1hGU"&amp;"2RIYzVWWGxFUmsxV2JteDJWSGxhWWxBMWFIUjVaVWxWVlhWalYyaGtSMkozV1RkTlFVZExaVUpHV0ZvPSZ2ZXJzaW9uPTIuMC4w&amp;encryptTargetLoginId=8pctgRBMALNcjopL32pY4NPijUQSzMMv")</f>
        <v>https://spanish.alibaba.com/product-detail/BestSub-Manual-Hat-Press-Cap-Heat-1601072323996.html?chatToken=U1ZkdVJIVkhVRXB3VVd0MVF6QnFTSEJEV21jNE1uTkhkamt4TVhoMVlWbFhkME5JVTIxeFoyaE1PRmQ1TlVjellXVXpXbTFxWkc5VllYUXljWGhZVUhSeE16SmxXbGhMT1RGMVdYRlBWM1JLY1hGU2RIYzVWWGxFUmsxV2JteDJWSGxhWWxBMWFIUjVaVWxWVlhWalYyaGtSMkozV1RkTlFVZExaVUpHV0ZvPSZ2ZXJzaW9uPTIuMC4w&amp;encryptTargetLoginId=8pctgRBMALNcjopL32pY4NPijUQSzMMv</v>
      </c>
      <c r="W278" s="37" t="str">
        <f>IFERROR(__xludf.DUMMYFUNCTION("IFERROR(VLOOKUP(G278,IMPORTRANGE(""https://docs.google.com/spreadsheets/d/12RxCea4e5ggM7QGn1XE3FbLQa_-QbCNdBi90OdPjRqg"", ""'Plan de Compras'!D4:Q""), 12, 0), ""NO ESTÁ EN REQ"")"),"Técnica")</f>
        <v>Técnica</v>
      </c>
      <c r="X278" s="37" t="str">
        <f>IFERROR(__xludf.DUMMYFUNCTION("IFERROR(VLOOKUP(G278,IMPORTRANGE(""https://docs.google.com/spreadsheets/d/12RxCea4e5ggM7QGn1XE3FbLQa_-QbCNdBi90OdPjRqg"", ""'Plan de Compras'!D4:Q""), 13, 0), """")"),"INTERNACIONAL")</f>
        <v>INTERNACIONAL</v>
      </c>
      <c r="Y278" s="32" t="str">
        <f>IFERROR(__xludf.DUMMYFUNCTION("IFERROR(VLOOKUP(G278,IMPORTRANGE(""https://docs.google.com/spreadsheets/d/12RxCea4e5ggM7QGn1XE3FbLQa_-QbCNdBi90OdPjRqg"", ""'Plan de Compras'!D4:Q""), 14, 0), """")"),"DIEGO ")</f>
        <v>DIEGO </v>
      </c>
      <c r="Z278" s="38" t="str">
        <f>IFERROR(__xludf.DUMMYFUNCTION("IFERROR(VLOOKUP(G278,IMPORTRANGE(""https://docs.google.com/spreadsheets/d/12RxCea4e5ggM7QGn1XE3FbLQa_-QbCNdBi90OdPjRqg"", ""'Plan de Compras'!D4:Q""), 4, 0), """")"),"MÁQUINA TRANSFER BASE CURVA DIGITAL")</f>
        <v>MÁQUINA TRANSFER BASE CURVA DIGITAL</v>
      </c>
      <c r="AA278" s="38" t="str">
        <f t="shared" si="16"/>
        <v>TRUE</v>
      </c>
      <c r="AB278" s="37" t="str">
        <f>IFERROR(__xludf.DUMMYFUNCTION("IFERROR(IF(OR(C278=TRUE,C278=""""),VLOOKUP(G278,IMPORTRANGE(""https://docs.google.com/spreadsheets/d/1z9A1Wq-kKrhRNG5RS2a2fKpY1wIhSVz2ZNmP2mOl588/edit?usp=sharing"",""REQ VF!E4:H""),4,0),""NO APLICA""),""GENERAR REQ"")"),"GENERAR REQ")</f>
        <v>GENERAR REQ</v>
      </c>
      <c r="AC278" s="37" t="str">
        <f>IFERROR(__xludf.DUMMYFUNCTION("IFERROR(QUERY(IMPORTRANGE(""https://docs.google.com/spreadsheets/d/1z9A1Wq-kKrhRNG5RS2a2fKpY1wIhSVz2ZNmP2mOl588/edit?usp=sharing"",""REQ VF!E4:Q""),""SELECT Col10, Col11, Col12 WHERE Col1 = '""&amp;G278&amp;""'"",0),""NO APLICA"")"),"NO APLICA")</f>
        <v>NO APLICA</v>
      </c>
      <c r="AD278" s="37"/>
      <c r="AE278" s="37"/>
      <c r="AF278" s="8" t="s">
        <v>52</v>
      </c>
      <c r="AG278" s="13"/>
    </row>
    <row r="279">
      <c r="A279" s="26">
        <v>119.0</v>
      </c>
      <c r="B279" s="26" t="b">
        <v>1</v>
      </c>
      <c r="C279" s="26" t="b">
        <v>1</v>
      </c>
      <c r="D279" s="26" t="s">
        <v>35</v>
      </c>
      <c r="E279" s="26" t="s">
        <v>36</v>
      </c>
      <c r="F279" s="27" t="s">
        <v>917</v>
      </c>
      <c r="G279" s="37" t="s">
        <v>917</v>
      </c>
      <c r="H279" s="45" t="s">
        <v>918</v>
      </c>
      <c r="I279" s="26">
        <f>SUMIFS('Hoja 10'!$O:$O,'Hoja 10'!$F:$F,$G279)</f>
        <v>2</v>
      </c>
      <c r="J279" s="26">
        <f>IFERROR(__xludf.DUMMYFUNCTION("VLOOKUP(G279,IMPORTRANGE(""https://docs.google.com/spreadsheets/d/12RxCea4e5ggM7QGn1XE3FbLQa_-QbCNdBi90OdPjRqg/edit?gid=1692403370#gid=1692403370"", ""'Plan de Compras'!D4:2432""), 8,0)"),2.0)</f>
        <v>2</v>
      </c>
      <c r="K279" s="26" t="str">
        <f t="shared" si="1"/>
        <v>SI</v>
      </c>
      <c r="L279" s="29" t="s">
        <v>185</v>
      </c>
      <c r="M279" s="30" t="s">
        <v>186</v>
      </c>
      <c r="N279" s="42"/>
      <c r="O279" s="32" t="str">
        <f>VLOOKUP($G279,'Hoja 10'!$F$4:$AA478, 19,0)</f>
        <v>IMPORTECDIGITAL</v>
      </c>
      <c r="P279" s="32" t="str">
        <f>VLOOKUP($G279,'Hoja 10'!$F$4:$AA478, 20,0)</f>
        <v>Plancha Plana con apertura Automatica medida 40x60cm</v>
      </c>
      <c r="Q279" s="33" t="str">
        <f>VLOOKUP($G279,'Hoja 10'!$F$4:$AA478, 21,0)</f>
        <v>https://drive.google.com/file/d/1exMBFhzf-zOtwPGEUQx0NZFWfp_qYKrM/view?usp=sharing</v>
      </c>
      <c r="R279" s="30" t="s">
        <v>919</v>
      </c>
      <c r="S279" s="34" t="b">
        <v>1</v>
      </c>
      <c r="T279" s="35" t="str">
        <f>IFERROR(__xludf.DUMMYFUNCTION(" IF
( VLOOKUP($G279,IMPORTRANGE(""https://docs.google.com/spreadsheets/d/1Gpl6jkTg7sL4VDNimUm3S9Vi1i95esohXCF3wuKOE8c"", ""'CONSOLIDADO'!G5:AB""), 10, 0) &lt;&gt; 0, 
IFERROR(VLOOKUP($G279,IMPORTRANGE(""https://docs.google.com/spreadsheets/d/1Gpl6jkTg7sL4VDNimU"&amp;"m3S9Vi1i95esohXCF3wuKOE8c"", ""'CONSOLIDADO'!G5:AB""), 17, 0), ""-""),
""""
)"),"IMPORTECDIGITAL")</f>
        <v>IMPORTECDIGITAL</v>
      </c>
      <c r="U279" s="35" t="str">
        <f>IFERROR(__xludf.DUMMYFUNCTION(" IF
( VLOOKUP($G279,IMPORTRANGE(""https://docs.google.com/spreadsheets/d/1Gpl6jkTg7sL4VDNimUm3S9Vi1i95esohXCF3wuKOE8c"", ""'CONSOLIDADO'!G5:AB""), 10, 0) &lt;&gt; 0, 
IFERROR(VLOOKUP($G279,IMPORTRANGE(""https://docs.google.com/spreadsheets/d/1Gpl6jkTg7sL4VDNimU"&amp;"m3S9Vi1i95esohXCF3wuKOE8c"", ""'CONSOLIDADO'!G5:AB""), 18, 0), ""-""),
""""
)"),"Plancha Plana con apertura Automatica medida 40x60cm")</f>
        <v>Plancha Plana con apertura Automatica medida 40x60cm</v>
      </c>
      <c r="V279" s="36" t="str">
        <f>IFERROR(__xludf.DUMMYFUNCTION(" IF
( VLOOKUP($G279,IMPORTRANGE(""https://docs.google.com/spreadsheets/d/1Gpl6jkTg7sL4VDNimUm3S9Vi1i95esohXCF3wuKOE8c"", ""'CONSOLIDADO'!G5:AB""), 10, 0) &lt;&gt; 0, 
IFERROR(VLOOKUP($G279,IMPORTRANGE(""https://docs.google.com/spreadsheets/d/1Gpl6jkTg7sL4VDNimU"&amp;"m3S9Vi1i95esohXCF3wuKOE8c"", ""'CONSOLIDADO'!G5:AB""), 19, 0), ""-""),
""""
)"),"https://www.importecdigital.com.pe/products/plancha-plana-con-apertura-automatica-medida-40x60cm-con-panel-tactil-y-bandeja-deslizable")</f>
        <v>https://www.importecdigital.com.pe/products/plancha-plana-con-apertura-automatica-medida-40x60cm-con-panel-tactil-y-bandeja-deslizable</v>
      </c>
      <c r="W279" s="37" t="str">
        <f>IFERROR(__xludf.DUMMYFUNCTION("IFERROR(VLOOKUP(G279,IMPORTRANGE(""https://docs.google.com/spreadsheets/d/12RxCea4e5ggM7QGn1XE3FbLQa_-QbCNdBi90OdPjRqg"", ""'Plan de Compras'!D4:Q""), 12, 0), ""NO ESTÁ EN REQ"")"),"Técnica")</f>
        <v>Técnica</v>
      </c>
      <c r="X279" s="37" t="str">
        <f>IFERROR(__xludf.DUMMYFUNCTION("IFERROR(VLOOKUP(G279,IMPORTRANGE(""https://docs.google.com/spreadsheets/d/12RxCea4e5ggM7QGn1XE3FbLQa_-QbCNdBi90OdPjRqg"", ""'Plan de Compras'!D4:Q""), 13, 0), """")"),"NACIONAL")</f>
        <v>NACIONAL</v>
      </c>
      <c r="Y279" s="32" t="str">
        <f>IFERROR(__xludf.DUMMYFUNCTION("IFERROR(VLOOKUP(G279,IMPORTRANGE(""https://docs.google.com/spreadsheets/d/12RxCea4e5ggM7QGn1XE3FbLQa_-QbCNdBi90OdPjRqg"", ""'Plan de Compras'!D4:Q""), 14, 0), """")"),"JESSICA")</f>
        <v>JESSICA</v>
      </c>
      <c r="Z279" s="38" t="str">
        <f>IFERROR(__xludf.DUMMYFUNCTION("IFERROR(VLOOKUP(G279,IMPORTRANGE(""https://docs.google.com/spreadsheets/d/12RxCea4e5ggM7QGn1XE3FbLQa_-QbCNdBi90OdPjRqg"", ""'Plan de Compras'!D4:Q""), 4, 0), """")"),"MÁQUINA TRANSFER BASE PLANA DIGITAL")</f>
        <v>MÁQUINA TRANSFER BASE PLANA DIGITAL</v>
      </c>
      <c r="AA279" s="38" t="str">
        <f t="shared" si="16"/>
        <v>TRUE</v>
      </c>
      <c r="AB279" s="37" t="str">
        <f>IFERROR(__xludf.DUMMYFUNCTION("IFERROR(IF(OR(C279=TRUE,C279=""""),VLOOKUP(G279,IMPORTRANGE(""https://docs.google.com/spreadsheets/d/1z9A1Wq-kKrhRNG5RS2a2fKpY1wIhSVz2ZNmP2mOl588/edit?usp=sharing"",""REQ VF!E4:H""),4,0),""NO APLICA""),""GENERAR REQ"")"),"GENERAR REQ")</f>
        <v>GENERAR REQ</v>
      </c>
      <c r="AC279" s="37" t="str">
        <f>IFERROR(__xludf.DUMMYFUNCTION("IFERROR(QUERY(IMPORTRANGE(""https://docs.google.com/spreadsheets/d/1z9A1Wq-kKrhRNG5RS2a2fKpY1wIhSVz2ZNmP2mOl588/edit?usp=sharing"",""REQ VF!E4:Q""),""SELECT Col10, Col11, Col12 WHERE Col1 = '""&amp;G279&amp;""'"",0),""NO APLICA"")"),"NO APLICA")</f>
        <v>NO APLICA</v>
      </c>
      <c r="AD279" s="37"/>
      <c r="AE279" s="37"/>
      <c r="AF279" s="8" t="s">
        <v>52</v>
      </c>
      <c r="AG279" s="13"/>
    </row>
    <row r="280">
      <c r="A280" s="26">
        <v>120.0</v>
      </c>
      <c r="B280" s="26" t="b">
        <v>1</v>
      </c>
      <c r="C280" s="26" t="b">
        <v>1</v>
      </c>
      <c r="D280" s="26" t="s">
        <v>35</v>
      </c>
      <c r="E280" s="26" t="s">
        <v>36</v>
      </c>
      <c r="F280" s="27" t="s">
        <v>920</v>
      </c>
      <c r="G280" s="37" t="s">
        <v>920</v>
      </c>
      <c r="H280" s="45" t="s">
        <v>921</v>
      </c>
      <c r="I280" s="26">
        <f>SUMIFS('Hoja 10'!$O:$O,'Hoja 10'!$F:$F,$G280)</f>
        <v>4</v>
      </c>
      <c r="J280" s="26">
        <f>IFERROR(__xludf.DUMMYFUNCTION("VLOOKUP(G280,IMPORTRANGE(""https://docs.google.com/spreadsheets/d/12RxCea4e5ggM7QGn1XE3FbLQa_-QbCNdBi90OdPjRqg/edit?gid=1692403370#gid=1692403370"", ""'Plan de Compras'!D4:2432""), 8,0)"),4.0)</f>
        <v>4</v>
      </c>
      <c r="K280" s="26" t="str">
        <f t="shared" si="1"/>
        <v>SI</v>
      </c>
      <c r="L280" s="29" t="s">
        <v>339</v>
      </c>
      <c r="M280" s="30" t="s">
        <v>340</v>
      </c>
      <c r="N280" s="42"/>
      <c r="O280" s="32" t="str">
        <f>VLOOKUP($G280,'Hoja 10'!$F$4:$AA478, 19,0)</f>
        <v>Sunmeta Digital Graphic Co., Ltd</v>
      </c>
      <c r="P280" s="32" t="str">
        <f>VLOOKUP($G280,'Hoja 10'!$F$4:$AA478, 20,0)</f>
        <v>SB-400E</v>
      </c>
      <c r="Q280" s="41" t="str">
        <f>VLOOKUP($G280,'Hoja 10'!$F$4:$AA478, 21,0)</f>
        <v>EPT GENERAL</v>
      </c>
      <c r="R280" s="30" t="s">
        <v>922</v>
      </c>
      <c r="S280" s="34" t="b">
        <v>1</v>
      </c>
      <c r="T280" s="35" t="str">
        <f>IFERROR(__xludf.DUMMYFUNCTION(" IF
( VLOOKUP($G280,IMPORTRANGE(""https://docs.google.com/spreadsheets/d/1Gpl6jkTg7sL4VDNimUm3S9Vi1i95esohXCF3wuKOE8c"", ""'CONSOLIDADO'!G5:AB""), 10, 0) &lt;&gt; 0, 
IFERROR(VLOOKUP($G280,IMPORTRANGE(""https://docs.google.com/spreadsheets/d/1Gpl6jkTg7sL4VDNimU"&amp;"m3S9Vi1i95esohXCF3wuKOE8c"", ""'CONSOLIDADO'!G5:AB""), 17, 0), ""-""),
""""
)"),"Auolex")</f>
        <v>Auolex</v>
      </c>
      <c r="U280" s="35" t="str">
        <f>IFERROR(__xludf.DUMMYFUNCTION(" IF
( VLOOKUP($G280,IMPORTRANGE(""https://docs.google.com/spreadsheets/d/1Gpl6jkTg7sL4VDNimUm3S9Vi1i95esohXCF3wuKOE8c"", ""'CONSOLIDADO'!G5:AB""), 10, 0) &lt;&gt; 0, 
IFERROR(VLOOKUP($G280,IMPORTRANGE(""https://docs.google.com/spreadsheets/d/1Gpl6jkTg7sL4VDNimU"&amp;"m3S9Vi1i95esohXCF3wuKOE8c"", ""'CONSOLIDADO'!G5:AB""), 18, 0), ""-""),
""""
)"),"HP8in1-3")</f>
        <v>HP8in1-3</v>
      </c>
      <c r="V280" s="36" t="str">
        <f>IFERROR(__xludf.DUMMYFUNCTION(" IF
( VLOOKUP($G280,IMPORTRANGE(""https://docs.google.com/spreadsheets/d/1Gpl6jkTg7sL4VDNimUm3S9Vi1i95esohXCF3wuKOE8c"", ""'CONSOLIDADO'!G5:AB""), 10, 0) &lt;&gt; 0, 
IFERROR(VLOOKUP($G280,IMPORTRANGE(""https://docs.google.com/spreadsheets/d/1Gpl6jkTg7sL4VDNimU"&amp;"m3S9Vi1i95esohXCF3wuKOE8c"", ""'CONSOLIDADO'!G5:AB""), 19, 0), ""-""),
""""
)"),"https://www.alibaba.com/product-detail/Sublimation-Heat-Press-Machine-8-in_1600782472732.html?spm=a2700.details.you_may_like.6.7cba4f272anccX")</f>
        <v>https://www.alibaba.com/product-detail/Sublimation-Heat-Press-Machine-8-in_1600782472732.html?spm=a2700.details.you_may_like.6.7cba4f272anccX</v>
      </c>
      <c r="W280" s="37" t="str">
        <f>IFERROR(__xludf.DUMMYFUNCTION("IFERROR(VLOOKUP(G280,IMPORTRANGE(""https://docs.google.com/spreadsheets/d/12RxCea4e5ggM7QGn1XE3FbLQa_-QbCNdBi90OdPjRqg"", ""'Plan de Compras'!D4:Q""), 12, 0), ""NO ESTÁ EN REQ"")"),"Técnica")</f>
        <v>Técnica</v>
      </c>
      <c r="X280" s="37" t="str">
        <f>IFERROR(__xludf.DUMMYFUNCTION("IFERROR(VLOOKUP(G280,IMPORTRANGE(""https://docs.google.com/spreadsheets/d/12RxCea4e5ggM7QGn1XE3FbLQa_-QbCNdBi90OdPjRqg"", ""'Plan de Compras'!D4:Q""), 13, 0), """")"),"INTERNACIONAL")</f>
        <v>INTERNACIONAL</v>
      </c>
      <c r="Y280" s="32" t="str">
        <f>IFERROR(__xludf.DUMMYFUNCTION("IFERROR(VLOOKUP(G280,IMPORTRANGE(""https://docs.google.com/spreadsheets/d/12RxCea4e5ggM7QGn1XE3FbLQa_-QbCNdBi90OdPjRqg"", ""'Plan de Compras'!D4:Q""), 14, 0), """")"),"GIANFRANCO")</f>
        <v>GIANFRANCO</v>
      </c>
      <c r="Z280" s="38" t="str">
        <f>IFERROR(__xludf.DUMMYFUNCTION("IFERROR(VLOOKUP(G280,IMPORTRANGE(""https://docs.google.com/spreadsheets/d/12RxCea4e5ggM7QGn1XE3FbLQa_-QbCNdBi90OdPjRqg"", ""'Plan de Compras'!D4:Q""), 4, 0), """")"),"MÁQUINA TRANSFER DIGITAL CON ACCESORIOS PARA PRENDAS, GORRO, PLATOS, TAZAS,")</f>
        <v>MÁQUINA TRANSFER DIGITAL CON ACCESORIOS PARA PRENDAS, GORRO, PLATOS, TAZAS,</v>
      </c>
      <c r="AA280" s="38" t="str">
        <f t="shared" si="16"/>
        <v>FALSE</v>
      </c>
      <c r="AB280" s="37" t="str">
        <f>IFERROR(__xludf.DUMMYFUNCTION("IFERROR(IF(OR(C280=TRUE,C280=""""),VLOOKUP(G280,IMPORTRANGE(""https://docs.google.com/spreadsheets/d/1z9A1Wq-kKrhRNG5RS2a2fKpY1wIhSVz2ZNmP2mOl588/edit?usp=sharing"",""REQ VF!E4:H""),4,0),""NO APLICA""),""GENERAR REQ"")"),"GENERAR REQ")</f>
        <v>GENERAR REQ</v>
      </c>
      <c r="AC280" s="37" t="str">
        <f>IFERROR(__xludf.DUMMYFUNCTION("IFERROR(QUERY(IMPORTRANGE(""https://docs.google.com/spreadsheets/d/1z9A1Wq-kKrhRNG5RS2a2fKpY1wIhSVz2ZNmP2mOl588/edit?usp=sharing"",""REQ VF!E4:Q""),""SELECT Col10, Col11, Col12 WHERE Col1 = '""&amp;G280&amp;""'"",0),""NO APLICA"")"),"NO APLICA")</f>
        <v>NO APLICA</v>
      </c>
      <c r="AD280" s="37"/>
      <c r="AE280" s="37"/>
      <c r="AF280" s="13"/>
      <c r="AG280" s="71"/>
    </row>
    <row r="281" ht="15.0" customHeight="1">
      <c r="A281" s="26">
        <v>121.0</v>
      </c>
      <c r="B281" s="26" t="b">
        <v>1</v>
      </c>
      <c r="C281" s="26" t="b">
        <v>1</v>
      </c>
      <c r="D281" s="26" t="s">
        <v>35</v>
      </c>
      <c r="E281" s="26" t="s">
        <v>36</v>
      </c>
      <c r="F281" s="27" t="s">
        <v>923</v>
      </c>
      <c r="G281" s="37" t="s">
        <v>923</v>
      </c>
      <c r="H281" s="45" t="s">
        <v>924</v>
      </c>
      <c r="I281" s="26">
        <f>SUMIFS('Hoja 10'!$O:$O,'Hoja 10'!$F:$F,$G281)</f>
        <v>2</v>
      </c>
      <c r="J281" s="26">
        <f>IFERROR(__xludf.DUMMYFUNCTION("VLOOKUP(G281,IMPORTRANGE(""https://docs.google.com/spreadsheets/d/12RxCea4e5ggM7QGn1XE3FbLQa_-QbCNdBi90OdPjRqg/edit?gid=1692403370#gid=1692403370"", ""'Plan de Compras'!D4:2432""), 8,0)"),2.0)</f>
        <v>2</v>
      </c>
      <c r="K281" s="26" t="str">
        <f t="shared" si="1"/>
        <v>SI</v>
      </c>
      <c r="L281" s="29" t="s">
        <v>185</v>
      </c>
      <c r="M281" s="30" t="s">
        <v>186</v>
      </c>
      <c r="N281" s="42"/>
      <c r="O281" s="32" t="str">
        <f>VLOOKUP($G281,'Hoja 10'!$F$4:$AA478, 19,0)</f>
        <v>JUKI</v>
      </c>
      <c r="P281" s="32" t="str">
        <f>VLOOKUP($G281,'Hoja 10'!$F$4:$AA478, 20,0)</f>
        <v>LZ-2284A</v>
      </c>
      <c r="Q281" s="33" t="str">
        <f>VLOOKUP($G281,'Hoja 10'!$F$4:$AA478, 21,0)</f>
        <v>https://www.juki.co.jp/industrial_e/products_e/apparel_e/zigzag_e/detail.php?cd=LZ-2284A-7_LZ-2284A_E</v>
      </c>
      <c r="R281" s="30" t="s">
        <v>925</v>
      </c>
      <c r="S281" s="34" t="b">
        <v>1</v>
      </c>
      <c r="T281" s="35" t="str">
        <f>IFERROR(__xludf.DUMMYFUNCTION(" IF
( VLOOKUP($G281,IMPORTRANGE(""https://docs.google.com/spreadsheets/d/1Gpl6jkTg7sL4VDNimUm3S9Vi1i95esohXCF3wuKOE8c"", ""'CONSOLIDADO'!G5:AB""), 10, 0) &lt;&gt; 0, 
IFERROR(VLOOKUP($G281,IMPORTRANGE(""https://docs.google.com/spreadsheets/d/1Gpl6jkTg7sL4VDNimU"&amp;"m3S9Vi1i95esohXCF3wuKOE8c"", ""'CONSOLIDADO'!G5:AB""), 17, 0), ""-""),
""""
)"),"JUKI")</f>
        <v>JUKI</v>
      </c>
      <c r="U281" s="35" t="str">
        <f>IFERROR(__xludf.DUMMYFUNCTION(" IF
( VLOOKUP($G281,IMPORTRANGE(""https://docs.google.com/spreadsheets/d/1Gpl6jkTg7sL4VDNimUm3S9Vi1i95esohXCF3wuKOE8c"", ""'CONSOLIDADO'!G5:AB""), 10, 0) &lt;&gt; 0, 
IFERROR(VLOOKUP($G281,IMPORTRANGE(""https://docs.google.com/spreadsheets/d/1Gpl6jkTg7sL4VDNimU"&amp;"m3S9Vi1i95esohXCF3wuKOE8c"", ""'CONSOLIDADO'!G5:AB""), 18, 0), ""-""),
""""
)"),"LZ-2284A")</f>
        <v>LZ-2284A</v>
      </c>
      <c r="V281" s="36" t="str">
        <f>IFERROR(__xludf.DUMMYFUNCTION(" IF
( VLOOKUP($G281,IMPORTRANGE(""https://docs.google.com/spreadsheets/d/1Gpl6jkTg7sL4VDNimUm3S9Vi1i95esohXCF3wuKOE8c"", ""'CONSOLIDADO'!G5:AB""), 10, 0) &lt;&gt; 0, 
IFERROR(VLOOKUP($G281,IMPORTRANGE(""https://docs.google.com/spreadsheets/d/1Gpl6jkTg7sL4VDNimU"&amp;"m3S9Vi1i95esohXCF3wuKOE8c"", ""'CONSOLIDADO'!G5:AB""), 19, 0), ""-""),
""""
)"),"https://www.juki.co.jp/industrial_e/products_e/apparel_e/zigzag_e/detail.php?cd=LZ-2284A-7_LZ-2284A_E")</f>
        <v>https://www.juki.co.jp/industrial_e/products_e/apparel_e/zigzag_e/detail.php?cd=LZ-2284A-7_LZ-2284A_E</v>
      </c>
      <c r="W281" s="37" t="str">
        <f>IFERROR(__xludf.DUMMYFUNCTION("IFERROR(VLOOKUP(G281,IMPORTRANGE(""https://docs.google.com/spreadsheets/d/12RxCea4e5ggM7QGn1XE3FbLQa_-QbCNdBi90OdPjRqg"", ""'Plan de Compras'!D4:Q""), 12, 0), ""NO ESTÁ EN REQ"")"),"Técnica")</f>
        <v>Técnica</v>
      </c>
      <c r="X281" s="37" t="str">
        <f>IFERROR(__xludf.DUMMYFUNCTION("IFERROR(VLOOKUP(G281,IMPORTRANGE(""https://docs.google.com/spreadsheets/d/12RxCea4e5ggM7QGn1XE3FbLQa_-QbCNdBi90OdPjRqg"", ""'Plan de Compras'!D4:Q""), 13, 0), """")"),"INTERNACIONAL")</f>
        <v>INTERNACIONAL</v>
      </c>
      <c r="Y281" s="32" t="str">
        <f>IFERROR(__xludf.DUMMYFUNCTION("IFERROR(VLOOKUP(G281,IMPORTRANGE(""https://docs.google.com/spreadsheets/d/12RxCea4e5ggM7QGn1XE3FbLQa_-QbCNdBi90OdPjRqg"", ""'Plan de Compras'!D4:Q""), 14, 0), """")"),"GEYDI")</f>
        <v>GEYDI</v>
      </c>
      <c r="Z281" s="38" t="str">
        <f>IFERROR(__xludf.DUMMYFUNCTION("IFERROR(VLOOKUP(G281,IMPORTRANGE(""https://docs.google.com/spreadsheets/d/12RxCea4e5ggM7QGn1XE3FbLQa_-QbCNdBi90OdPjRqg"", ""'Plan de Compras'!D4:Q""), 4, 0), """")"),"MÁQUINA TRICOTERA INDUSTRIAL")</f>
        <v>MÁQUINA TRICOTERA INDUSTRIAL</v>
      </c>
      <c r="AA281" s="38" t="str">
        <f t="shared" si="16"/>
        <v>TRUE</v>
      </c>
      <c r="AB281" s="37" t="str">
        <f>IFERROR(__xludf.DUMMYFUNCTION("IFERROR(IF(OR(C281=TRUE,C281=""""),VLOOKUP(G281,IMPORTRANGE(""https://docs.google.com/spreadsheets/d/1z9A1Wq-kKrhRNG5RS2a2fKpY1wIhSVz2ZNmP2mOl588/edit?usp=sharing"",""REQ VF!E4:H""),4,0),""NO APLICA""),""GENERAR REQ"")"),"GENERAR REQ")</f>
        <v>GENERAR REQ</v>
      </c>
      <c r="AC281" s="37" t="str">
        <f>IFERROR(__xludf.DUMMYFUNCTION("IFERROR(QUERY(IMPORTRANGE(""https://docs.google.com/spreadsheets/d/1z9A1Wq-kKrhRNG5RS2a2fKpY1wIhSVz2ZNmP2mOl588/edit?usp=sharing"",""REQ VF!E4:Q""),""SELECT Col10, Col11, Col12 WHERE Col1 = '""&amp;G281&amp;""'"",0),""NO APLICA"")"),"NO APLICA")</f>
        <v>NO APLICA</v>
      </c>
      <c r="AD281" s="37"/>
      <c r="AE281" s="37"/>
      <c r="AF281" s="8" t="s">
        <v>52</v>
      </c>
      <c r="AG281" s="13"/>
    </row>
    <row r="282">
      <c r="A282" s="26"/>
      <c r="B282" s="26"/>
      <c r="C282" s="26" t="b">
        <v>0</v>
      </c>
      <c r="D282" s="26" t="s">
        <v>42</v>
      </c>
      <c r="E282" s="26" t="s">
        <v>36</v>
      </c>
      <c r="F282" s="59" t="s">
        <v>923</v>
      </c>
      <c r="G282" s="39" t="s">
        <v>926</v>
      </c>
      <c r="H282" s="40" t="s">
        <v>799</v>
      </c>
      <c r="I282" s="43">
        <v>0.0</v>
      </c>
      <c r="J282" s="26" t="str">
        <f>IFERROR(__xludf.DUMMYFUNCTION("VLOOKUP(G282,IMPORTRANGE(""https://docs.google.com/spreadsheets/d/12RxCea4e5ggM7QGn1XE3FbLQa_-QbCNdBi90OdPjRqg/edit?gid=1692403370#gid=1692403370"", ""'Plan de Compras'!D4:2432""), 8,0)"),"#N/A")</f>
        <v>#N/A</v>
      </c>
      <c r="K282" s="26" t="str">
        <f t="shared" si="1"/>
        <v>-</v>
      </c>
      <c r="L282" s="26"/>
      <c r="M282" s="47"/>
      <c r="N282" s="60" t="s">
        <v>166</v>
      </c>
      <c r="O282" s="42"/>
      <c r="P282" s="42"/>
      <c r="Q282" s="41"/>
      <c r="R282" s="47"/>
      <c r="S282" s="34" t="b">
        <v>1</v>
      </c>
      <c r="T282" s="35" t="s">
        <v>824</v>
      </c>
      <c r="U282" s="35" t="s">
        <v>435</v>
      </c>
      <c r="V282" s="44"/>
      <c r="W282" s="37" t="str">
        <f>IFERROR(__xludf.DUMMYFUNCTION("IFERROR(VLOOKUP(G282,IMPORTRANGE(""https://docs.google.com/spreadsheets/d/12RxCea4e5ggM7QGn1XE3FbLQa_-QbCNdBi90OdPjRqg"", ""'Plan de Compras'!D4:Q""), 12, 0), ""NO ESTÁ EN REQ"")"),"NO ESTÁ EN REQ")</f>
        <v>NO ESTÁ EN REQ</v>
      </c>
      <c r="X282" s="37" t="str">
        <f>IFERROR(__xludf.DUMMYFUNCTION("IFERROR(VLOOKUP(G282,IMPORTRANGE(""https://docs.google.com/spreadsheets/d/12RxCea4e5ggM7QGn1XE3FbLQa_-QbCNdBi90OdPjRqg"", ""'Plan de Compras'!D4:Q""), 13, 0), """")"),"")</f>
        <v/>
      </c>
      <c r="Y282" s="32" t="str">
        <f>IFERROR(__xludf.DUMMYFUNCTION("IFERROR(VLOOKUP(G282,IMPORTRANGE(""https://docs.google.com/spreadsheets/d/12RxCea4e5ggM7QGn1XE3FbLQa_-QbCNdBi90OdPjRqg"", ""'Plan de Compras'!D4:Q""), 14, 0), """")"),"")</f>
        <v/>
      </c>
      <c r="Z282" s="38" t="str">
        <f>IFERROR(__xludf.DUMMYFUNCTION("IFERROR(VLOOKUP(G282,IMPORTRANGE(""https://docs.google.com/spreadsheets/d/12RxCea4e5ggM7QGn1XE3FbLQa_-QbCNdBi90OdPjRqg"", ""'Plan de Compras'!D4:Q""), 4, 0), """")"),"")</f>
        <v/>
      </c>
      <c r="AA282" s="38" t="str">
        <f t="shared" si="16"/>
        <v>FALSE</v>
      </c>
      <c r="AB282" s="37" t="str">
        <f>IFERROR(__xludf.DUMMYFUNCTION("IFERROR(IF(OR(C282=TRUE,C282=""""),VLOOKUP(G282,IMPORTRANGE(""https://docs.google.com/spreadsheets/d/1z9A1Wq-kKrhRNG5RS2a2fKpY1wIhSVz2ZNmP2mOl588/edit?usp=sharing"",""REQ VF!E4:H""),4,0),""NO APLICA""),""GENERAR REQ"")"),"NO APLICA")</f>
        <v>NO APLICA</v>
      </c>
      <c r="AC282" s="37" t="str">
        <f>IFERROR(__xludf.DUMMYFUNCTION("IFERROR(QUERY(IMPORTRANGE(""https://docs.google.com/spreadsheets/d/1z9A1Wq-kKrhRNG5RS2a2fKpY1wIhSVz2ZNmP2mOl588/edit?usp=sharing"",""REQ VF!E4:Q""),""SELECT Col10, Col11, Col12 WHERE Col1 = '""&amp;G282&amp;""'"",0),""NO APLICA"")"),"NO APLICA")</f>
        <v>NO APLICA</v>
      </c>
      <c r="AD282" s="37"/>
      <c r="AE282" s="37"/>
      <c r="AF282" s="13"/>
      <c r="AG282" s="13"/>
    </row>
    <row r="283">
      <c r="A283" s="26"/>
      <c r="B283" s="26"/>
      <c r="C283" s="26" t="b">
        <v>0</v>
      </c>
      <c r="D283" s="26" t="s">
        <v>42</v>
      </c>
      <c r="E283" s="26" t="s">
        <v>36</v>
      </c>
      <c r="F283" s="59" t="s">
        <v>923</v>
      </c>
      <c r="G283" s="39" t="s">
        <v>927</v>
      </c>
      <c r="H283" s="40" t="s">
        <v>801</v>
      </c>
      <c r="I283" s="43">
        <v>0.0</v>
      </c>
      <c r="J283" s="26" t="str">
        <f>IFERROR(__xludf.DUMMYFUNCTION("VLOOKUP(G283,IMPORTRANGE(""https://docs.google.com/spreadsheets/d/12RxCea4e5ggM7QGn1XE3FbLQa_-QbCNdBi90OdPjRqg/edit?gid=1692403370#gid=1692403370"", ""'Plan de Compras'!D4:2432""), 8,0)"),"#N/A")</f>
        <v>#N/A</v>
      </c>
      <c r="K283" s="26" t="str">
        <f t="shared" si="1"/>
        <v>-</v>
      </c>
      <c r="L283" s="26"/>
      <c r="M283" s="47"/>
      <c r="N283" s="60" t="s">
        <v>166</v>
      </c>
      <c r="O283" s="42"/>
      <c r="P283" s="42"/>
      <c r="Q283" s="41"/>
      <c r="R283" s="47"/>
      <c r="S283" s="34" t="b">
        <v>1</v>
      </c>
      <c r="T283" s="35" t="s">
        <v>824</v>
      </c>
      <c r="U283" s="35" t="s">
        <v>435</v>
      </c>
      <c r="V283" s="44"/>
      <c r="W283" s="37" t="str">
        <f>IFERROR(__xludf.DUMMYFUNCTION("IFERROR(VLOOKUP(G283,IMPORTRANGE(""https://docs.google.com/spreadsheets/d/12RxCea4e5ggM7QGn1XE3FbLQa_-QbCNdBi90OdPjRqg"", ""'Plan de Compras'!D4:Q""), 12, 0), ""NO ESTÁ EN REQ"")"),"NO ESTÁ EN REQ")</f>
        <v>NO ESTÁ EN REQ</v>
      </c>
      <c r="X283" s="37" t="str">
        <f>IFERROR(__xludf.DUMMYFUNCTION("IFERROR(VLOOKUP(G283,IMPORTRANGE(""https://docs.google.com/spreadsheets/d/12RxCea4e5ggM7QGn1XE3FbLQa_-QbCNdBi90OdPjRqg"", ""'Plan de Compras'!D4:Q""), 13, 0), """")"),"")</f>
        <v/>
      </c>
      <c r="Y283" s="32" t="str">
        <f>IFERROR(__xludf.DUMMYFUNCTION("IFERROR(VLOOKUP(G283,IMPORTRANGE(""https://docs.google.com/spreadsheets/d/12RxCea4e5ggM7QGn1XE3FbLQa_-QbCNdBi90OdPjRqg"", ""'Plan de Compras'!D4:Q""), 14, 0), """")"),"")</f>
        <v/>
      </c>
      <c r="Z283" s="38" t="str">
        <f>IFERROR(__xludf.DUMMYFUNCTION("IFERROR(VLOOKUP(G283,IMPORTRANGE(""https://docs.google.com/spreadsheets/d/12RxCea4e5ggM7QGn1XE3FbLQa_-QbCNdBi90OdPjRqg"", ""'Plan de Compras'!D4:Q""), 4, 0), """")"),"")</f>
        <v/>
      </c>
      <c r="AA283" s="38" t="str">
        <f t="shared" si="16"/>
        <v>FALSE</v>
      </c>
      <c r="AB283" s="37" t="str">
        <f>IFERROR(__xludf.DUMMYFUNCTION("IFERROR(IF(OR(C283=TRUE,C283=""""),VLOOKUP(G283,IMPORTRANGE(""https://docs.google.com/spreadsheets/d/1z9A1Wq-kKrhRNG5RS2a2fKpY1wIhSVz2ZNmP2mOl588/edit?usp=sharing"",""REQ VF!E4:H""),4,0),""NO APLICA""),""GENERAR REQ"")"),"NO APLICA")</f>
        <v>NO APLICA</v>
      </c>
      <c r="AC283" s="37" t="str">
        <f>IFERROR(__xludf.DUMMYFUNCTION("IFERROR(QUERY(IMPORTRANGE(""https://docs.google.com/spreadsheets/d/1z9A1Wq-kKrhRNG5RS2a2fKpY1wIhSVz2ZNmP2mOl588/edit?usp=sharing"",""REQ VF!E4:Q""),""SELECT Col10, Col11, Col12 WHERE Col1 = '""&amp;G283&amp;""'"",0),""NO APLICA"")"),"NO APLICA")</f>
        <v>NO APLICA</v>
      </c>
      <c r="AD283" s="37"/>
      <c r="AE283" s="37"/>
      <c r="AF283" s="13"/>
      <c r="AG283" s="13"/>
    </row>
    <row r="284">
      <c r="A284" s="26"/>
      <c r="B284" s="26"/>
      <c r="C284" s="26" t="b">
        <v>0</v>
      </c>
      <c r="D284" s="26" t="s">
        <v>42</v>
      </c>
      <c r="E284" s="26" t="s">
        <v>36</v>
      </c>
      <c r="F284" s="59" t="s">
        <v>923</v>
      </c>
      <c r="G284" s="39" t="s">
        <v>928</v>
      </c>
      <c r="H284" s="40" t="s">
        <v>828</v>
      </c>
      <c r="I284" s="43">
        <v>0.0</v>
      </c>
      <c r="J284" s="26" t="str">
        <f>IFERROR(__xludf.DUMMYFUNCTION("VLOOKUP(G284,IMPORTRANGE(""https://docs.google.com/spreadsheets/d/12RxCea4e5ggM7QGn1XE3FbLQa_-QbCNdBi90OdPjRqg/edit?gid=1692403370#gid=1692403370"", ""'Plan de Compras'!D4:2432""), 8,0)"),"#N/A")</f>
        <v>#N/A</v>
      </c>
      <c r="K284" s="26" t="str">
        <f t="shared" si="1"/>
        <v>-</v>
      </c>
      <c r="L284" s="26"/>
      <c r="M284" s="47"/>
      <c r="N284" s="60" t="s">
        <v>166</v>
      </c>
      <c r="O284" s="42"/>
      <c r="P284" s="42"/>
      <c r="Q284" s="41"/>
      <c r="R284" s="47"/>
      <c r="S284" s="34" t="b">
        <v>1</v>
      </c>
      <c r="T284" s="35" t="s">
        <v>824</v>
      </c>
      <c r="U284" s="35" t="s">
        <v>435</v>
      </c>
      <c r="V284" s="44"/>
      <c r="W284" s="37" t="str">
        <f>IFERROR(__xludf.DUMMYFUNCTION("IFERROR(VLOOKUP(G284,IMPORTRANGE(""https://docs.google.com/spreadsheets/d/12RxCea4e5ggM7QGn1XE3FbLQa_-QbCNdBi90OdPjRqg"", ""'Plan de Compras'!D4:Q""), 12, 0), ""NO ESTÁ EN REQ"")"),"NO ESTÁ EN REQ")</f>
        <v>NO ESTÁ EN REQ</v>
      </c>
      <c r="X284" s="37" t="str">
        <f>IFERROR(__xludf.DUMMYFUNCTION("IFERROR(VLOOKUP(G284,IMPORTRANGE(""https://docs.google.com/spreadsheets/d/12RxCea4e5ggM7QGn1XE3FbLQa_-QbCNdBi90OdPjRqg"", ""'Plan de Compras'!D4:Q""), 13, 0), """")"),"")</f>
        <v/>
      </c>
      <c r="Y284" s="32" t="str">
        <f>IFERROR(__xludf.DUMMYFUNCTION("IFERROR(VLOOKUP(G284,IMPORTRANGE(""https://docs.google.com/spreadsheets/d/12RxCea4e5ggM7QGn1XE3FbLQa_-QbCNdBi90OdPjRqg"", ""'Plan de Compras'!D4:Q""), 14, 0), """")"),"")</f>
        <v/>
      </c>
      <c r="Z284" s="38" t="str">
        <f>IFERROR(__xludf.DUMMYFUNCTION("IFERROR(VLOOKUP(G284,IMPORTRANGE(""https://docs.google.com/spreadsheets/d/12RxCea4e5ggM7QGn1XE3FbLQa_-QbCNdBi90OdPjRqg"", ""'Plan de Compras'!D4:Q""), 4, 0), """")"),"")</f>
        <v/>
      </c>
      <c r="AA284" s="38" t="str">
        <f t="shared" si="16"/>
        <v>FALSE</v>
      </c>
      <c r="AB284" s="37" t="str">
        <f>IFERROR(__xludf.DUMMYFUNCTION("IFERROR(IF(OR(C284=TRUE,C284=""""),VLOOKUP(G284,IMPORTRANGE(""https://docs.google.com/spreadsheets/d/1z9A1Wq-kKrhRNG5RS2a2fKpY1wIhSVz2ZNmP2mOl588/edit?usp=sharing"",""REQ VF!E4:H""),4,0),""NO APLICA""),""GENERAR REQ"")"),"NO APLICA")</f>
        <v>NO APLICA</v>
      </c>
      <c r="AC284" s="37" t="str">
        <f>IFERROR(__xludf.DUMMYFUNCTION("IFERROR(QUERY(IMPORTRANGE(""https://docs.google.com/spreadsheets/d/1z9A1Wq-kKrhRNG5RS2a2fKpY1wIhSVz2ZNmP2mOl588/edit?usp=sharing"",""REQ VF!E4:Q""),""SELECT Col10, Col11, Col12 WHERE Col1 = '""&amp;G284&amp;""'"",0),""NO APLICA"")"),"NO APLICA")</f>
        <v>NO APLICA</v>
      </c>
      <c r="AD284" s="37"/>
      <c r="AE284" s="37"/>
      <c r="AF284" s="13"/>
      <c r="AG284" s="13"/>
    </row>
    <row r="285">
      <c r="A285" s="26"/>
      <c r="B285" s="26"/>
      <c r="C285" s="26" t="b">
        <v>0</v>
      </c>
      <c r="D285" s="26" t="s">
        <v>42</v>
      </c>
      <c r="E285" s="26" t="s">
        <v>36</v>
      </c>
      <c r="F285" s="59" t="s">
        <v>923</v>
      </c>
      <c r="G285" s="39" t="s">
        <v>929</v>
      </c>
      <c r="H285" s="40" t="s">
        <v>830</v>
      </c>
      <c r="I285" s="43">
        <v>0.0</v>
      </c>
      <c r="J285" s="26" t="str">
        <f>IFERROR(__xludf.DUMMYFUNCTION("VLOOKUP(G285,IMPORTRANGE(""https://docs.google.com/spreadsheets/d/12RxCea4e5ggM7QGn1XE3FbLQa_-QbCNdBi90OdPjRqg/edit?gid=1692403370#gid=1692403370"", ""'Plan de Compras'!D4:2432""), 8,0)"),"#N/A")</f>
        <v>#N/A</v>
      </c>
      <c r="K285" s="26" t="str">
        <f t="shared" si="1"/>
        <v>-</v>
      </c>
      <c r="L285" s="26"/>
      <c r="M285" s="47"/>
      <c r="N285" s="60" t="s">
        <v>166</v>
      </c>
      <c r="O285" s="42"/>
      <c r="P285" s="42"/>
      <c r="Q285" s="41"/>
      <c r="R285" s="47"/>
      <c r="S285" s="34" t="b">
        <v>1</v>
      </c>
      <c r="T285" s="35" t="s">
        <v>824</v>
      </c>
      <c r="U285" s="35" t="s">
        <v>435</v>
      </c>
      <c r="V285" s="44"/>
      <c r="W285" s="37" t="str">
        <f>IFERROR(__xludf.DUMMYFUNCTION("IFERROR(VLOOKUP(G285,IMPORTRANGE(""https://docs.google.com/spreadsheets/d/12RxCea4e5ggM7QGn1XE3FbLQa_-QbCNdBi90OdPjRqg"", ""'Plan de Compras'!D4:Q""), 12, 0), ""NO ESTÁ EN REQ"")"),"NO ESTÁ EN REQ")</f>
        <v>NO ESTÁ EN REQ</v>
      </c>
      <c r="X285" s="37" t="str">
        <f>IFERROR(__xludf.DUMMYFUNCTION("IFERROR(VLOOKUP(G285,IMPORTRANGE(""https://docs.google.com/spreadsheets/d/12RxCea4e5ggM7QGn1XE3FbLQa_-QbCNdBi90OdPjRqg"", ""'Plan de Compras'!D4:Q""), 13, 0), """")"),"")</f>
        <v/>
      </c>
      <c r="Y285" s="32" t="str">
        <f>IFERROR(__xludf.DUMMYFUNCTION("IFERROR(VLOOKUP(G285,IMPORTRANGE(""https://docs.google.com/spreadsheets/d/12RxCea4e5ggM7QGn1XE3FbLQa_-QbCNdBi90OdPjRqg"", ""'Plan de Compras'!D4:Q""), 14, 0), """")"),"")</f>
        <v/>
      </c>
      <c r="Z285" s="38" t="str">
        <f>IFERROR(__xludf.DUMMYFUNCTION("IFERROR(VLOOKUP(G285,IMPORTRANGE(""https://docs.google.com/spreadsheets/d/12RxCea4e5ggM7QGn1XE3FbLQa_-QbCNdBi90OdPjRqg"", ""'Plan de Compras'!D4:Q""), 4, 0), """")"),"")</f>
        <v/>
      </c>
      <c r="AA285" s="38" t="str">
        <f t="shared" si="16"/>
        <v>FALSE</v>
      </c>
      <c r="AB285" s="37" t="str">
        <f>IFERROR(__xludf.DUMMYFUNCTION("IFERROR(IF(OR(C285=TRUE,C285=""""),VLOOKUP(G285,IMPORTRANGE(""https://docs.google.com/spreadsheets/d/1z9A1Wq-kKrhRNG5RS2a2fKpY1wIhSVz2ZNmP2mOl588/edit?usp=sharing"",""REQ VF!E4:H""),4,0),""NO APLICA""),""GENERAR REQ"")"),"NO APLICA")</f>
        <v>NO APLICA</v>
      </c>
      <c r="AC285" s="37" t="str">
        <f>IFERROR(__xludf.DUMMYFUNCTION("IFERROR(QUERY(IMPORTRANGE(""https://docs.google.com/spreadsheets/d/1z9A1Wq-kKrhRNG5RS2a2fKpY1wIhSVz2ZNmP2mOl588/edit?usp=sharing"",""REQ VF!E4:Q""),""SELECT Col10, Col11, Col12 WHERE Col1 = '""&amp;G285&amp;""'"",0),""NO APLICA"")"),"NO APLICA")</f>
        <v>NO APLICA</v>
      </c>
      <c r="AD285" s="37"/>
      <c r="AE285" s="37"/>
      <c r="AF285" s="13"/>
      <c r="AG285" s="13"/>
    </row>
    <row r="286">
      <c r="A286" s="26">
        <v>122.0</v>
      </c>
      <c r="B286" s="26" t="b">
        <v>1</v>
      </c>
      <c r="C286" s="26" t="b">
        <v>1</v>
      </c>
      <c r="D286" s="26" t="s">
        <v>35</v>
      </c>
      <c r="E286" s="26" t="s">
        <v>36</v>
      </c>
      <c r="F286" s="27" t="s">
        <v>930</v>
      </c>
      <c r="G286" s="37" t="s">
        <v>930</v>
      </c>
      <c r="H286" s="45" t="s">
        <v>931</v>
      </c>
      <c r="I286" s="26">
        <f>SUMIFS('Hoja 10'!$O:$O,'Hoja 10'!$F:$F,$G286)</f>
        <v>4</v>
      </c>
      <c r="J286" s="26">
        <f>IFERROR(__xludf.DUMMYFUNCTION("VLOOKUP(G286,IMPORTRANGE(""https://docs.google.com/spreadsheets/d/12RxCea4e5ggM7QGn1XE3FbLQa_-QbCNdBi90OdPjRqg/edit?gid=1692403370#gid=1692403370"", ""'Plan de Compras'!D4:2432""), 8,0)"),4.0)</f>
        <v>4</v>
      </c>
      <c r="K286" s="26" t="str">
        <f t="shared" si="1"/>
        <v>SI</v>
      </c>
      <c r="L286" s="29" t="s">
        <v>39</v>
      </c>
      <c r="M286" s="30" t="s">
        <v>40</v>
      </c>
      <c r="N286" s="42"/>
      <c r="O286" s="32" t="str">
        <f>VLOOKUP($G286,'Hoja 10'!$F$4:$AA478, 19,0)</f>
        <v>ILUMI</v>
      </c>
      <c r="P286" s="32" t="str">
        <f>VLOOKUP($G286,'Hoja 10'!$F$4:$AA478, 20,0)</f>
        <v>OM-10LGLP</v>
      </c>
      <c r="Q286" s="33" t="str">
        <f>VLOOKUP($G286,'Hoja 10'!$F$4:$AA478, 21,0)</f>
        <v>https://ilumiperu.com/products/olla-mezcladora-de-10-litros-a-gas?srsltid=AfmBOooCoSfQ4gh3knnXma2z7Ruhq7UYYwNbKyLnB_jLRSSMHNOtSSJg</v>
      </c>
      <c r="R286" s="30" t="s">
        <v>932</v>
      </c>
      <c r="S286" s="34" t="b">
        <v>1</v>
      </c>
      <c r="T286" s="35" t="str">
        <f>IFERROR(__xludf.DUMMYFUNCTION(" IF
( VLOOKUP($G286,IMPORTRANGE(""https://docs.google.com/spreadsheets/d/1Gpl6jkTg7sL4VDNimUm3S9Vi1i95esohXCF3wuKOE8c"", ""'CONSOLIDADO'!G5:AB""), 10, 0) &lt;&gt; 0, 
IFERROR(VLOOKUP($G286,IMPORTRANGE(""https://docs.google.com/spreadsheets/d/1Gpl6jkTg7sL4VDNimU"&amp;"m3S9Vi1i95esohXCF3wuKOE8c"", ""'CONSOLIDADO'!G5:AB""), 17, 0), ""-""),
""""
)"),"INOXOR")</f>
        <v>INOXOR</v>
      </c>
      <c r="U286" s="35" t="str">
        <f>IFERROR(__xludf.DUMMYFUNCTION(" IF
( VLOOKUP($G286,IMPORTRANGE(""https://docs.google.com/spreadsheets/d/1Gpl6jkTg7sL4VDNimUm3S9Vi1i95esohXCF3wuKOE8c"", ""'CONSOLIDADO'!G5:AB""), 10, 0) &lt;&gt; 0, 
IFERROR(VLOOKUP($G286,IMPORTRANGE(""https://docs.google.com/spreadsheets/d/1Gpl6jkTg7sL4VDNimU"&amp;"m3S9Vi1i95esohXCF3wuKOE8c"", ""'CONSOLIDADO'!G5:AB""), 18, 0), ""-""),
""""
)"),"MT-10")</f>
        <v>MT-10</v>
      </c>
      <c r="V286" s="36" t="str">
        <f>IFERROR(__xludf.DUMMYFUNCTION(" IF
( VLOOKUP($G286,IMPORTRANGE(""https://docs.google.com/spreadsheets/d/1Gpl6jkTg7sL4VDNimUm3S9Vi1i95esohXCF3wuKOE8c"", ""'CONSOLIDADO'!G5:AB""), 10, 0) &lt;&gt; 0, 
IFERROR(VLOOKUP($G286,IMPORTRANGE(""https://docs.google.com/spreadsheets/d/1Gpl6jkTg7sL4VDNimU"&amp;"m3S9Vi1i95esohXCF3wuKOE8c"", ""'CONSOLIDADO'!G5:AB""), 19, 0), ""-""),
""""
)"),"https://drive.google.com/file/d/1vhgVwEMII-As5GkQoPtiUwrvsVaHJVes/view")</f>
        <v>https://drive.google.com/file/d/1vhgVwEMII-As5GkQoPtiUwrvsVaHJVes/view</v>
      </c>
      <c r="W286" s="37" t="str">
        <f>IFERROR(__xludf.DUMMYFUNCTION("IFERROR(VLOOKUP(G286,IMPORTRANGE(""https://docs.google.com/spreadsheets/d/12RxCea4e5ggM7QGn1XE3FbLQa_-QbCNdBi90OdPjRqg"", ""'Plan de Compras'!D4:Q""), 12, 0), ""NO ESTÁ EN REQ"")"),"Técnica")</f>
        <v>Técnica</v>
      </c>
      <c r="X286" s="37" t="str">
        <f>IFERROR(__xludf.DUMMYFUNCTION("IFERROR(VLOOKUP(G286,IMPORTRANGE(""https://docs.google.com/spreadsheets/d/12RxCea4e5ggM7QGn1XE3FbLQa_-QbCNdBi90OdPjRqg"", ""'Plan de Compras'!D4:Q""), 13, 0), """")"),"NACIONAL")</f>
        <v>NACIONAL</v>
      </c>
      <c r="Y286" s="32" t="str">
        <f>IFERROR(__xludf.DUMMYFUNCTION("IFERROR(VLOOKUP(G286,IMPORTRANGE(""https://docs.google.com/spreadsheets/d/12RxCea4e5ggM7QGn1XE3FbLQa_-QbCNdBi90OdPjRqg"", ""'Plan de Compras'!D4:Q""), 14, 0), """")"),"ALFIO")</f>
        <v>ALFIO</v>
      </c>
      <c r="Z286" s="38" t="str">
        <f>IFERROR(__xludf.DUMMYFUNCTION("IFERROR(VLOOKUP(G286,IMPORTRANGE(""https://docs.google.com/spreadsheets/d/12RxCea4e5ggM7QGn1XE3FbLQa_-QbCNdBi90OdPjRqg"", ""'Plan de Compras'!D4:Q""), 4, 0), """")"),"MARMITA A GAS DE 10 LITROS")</f>
        <v>MARMITA A GAS DE 10 LITROS</v>
      </c>
      <c r="AA286" s="38" t="str">
        <f t="shared" si="16"/>
        <v>TRUE</v>
      </c>
      <c r="AB286" s="37" t="str">
        <f>IFERROR(__xludf.DUMMYFUNCTION("IFERROR(IF(OR(C286=TRUE,C286=""""),VLOOKUP(G286,IMPORTRANGE(""https://docs.google.com/spreadsheets/d/1z9A1Wq-kKrhRNG5RS2a2fKpY1wIhSVz2ZNmP2mOl588/edit?usp=sharing"",""REQ VF!E4:H""),4,0),""NO APLICA""),""GENERAR REQ"")"),"GENERAR REQ")</f>
        <v>GENERAR REQ</v>
      </c>
      <c r="AC286" s="37" t="str">
        <f>IFERROR(__xludf.DUMMYFUNCTION("IFERROR(QUERY(IMPORTRANGE(""https://docs.google.com/spreadsheets/d/1z9A1Wq-kKrhRNG5RS2a2fKpY1wIhSVz2ZNmP2mOl588/edit?usp=sharing"",""REQ VF!E4:Q""),""SELECT Col10, Col11, Col12 WHERE Col1 = '""&amp;G286&amp;""'"",0),""NO APLICA"")"),"NO APLICA")</f>
        <v>NO APLICA</v>
      </c>
      <c r="AD286" s="37"/>
      <c r="AE286" s="37"/>
      <c r="AF286" s="8" t="s">
        <v>52</v>
      </c>
      <c r="AG286" s="13"/>
    </row>
    <row r="287">
      <c r="A287" s="26">
        <v>123.0</v>
      </c>
      <c r="B287" s="26" t="b">
        <v>1</v>
      </c>
      <c r="C287" s="26" t="b">
        <v>1</v>
      </c>
      <c r="D287" s="26" t="s">
        <v>35</v>
      </c>
      <c r="E287" s="26" t="s">
        <v>36</v>
      </c>
      <c r="F287" s="27" t="s">
        <v>933</v>
      </c>
      <c r="G287" s="37" t="s">
        <v>933</v>
      </c>
      <c r="H287" s="40" t="s">
        <v>934</v>
      </c>
      <c r="I287" s="26">
        <f>SUMIFS('Hoja 10'!$O:$O,'Hoja 10'!$F:$F,$G287)</f>
        <v>12</v>
      </c>
      <c r="J287" s="26">
        <f>IFERROR(__xludf.DUMMYFUNCTION("VLOOKUP(G287,IMPORTRANGE(""https://docs.google.com/spreadsheets/d/12RxCea4e5ggM7QGn1XE3FbLQa_-QbCNdBi90OdPjRqg/edit?gid=1692403370#gid=1692403370"", ""'Plan de Compras'!D4:2432""), 8,0)"),12.0)</f>
        <v>12</v>
      </c>
      <c r="K287" s="26" t="str">
        <f t="shared" si="1"/>
        <v>SI</v>
      </c>
      <c r="L287" s="29" t="s">
        <v>180</v>
      </c>
      <c r="M287" s="30" t="s">
        <v>181</v>
      </c>
      <c r="N287" s="42"/>
      <c r="O287" s="32" t="str">
        <f>VLOOKUP($G287,'Hoja 10'!$F$4:$AA478, 19,0)</f>
        <v>UNI-T</v>
      </c>
      <c r="P287" s="32" t="str">
        <f>VLOOKUP($G287,'Hoja 10'!$F$4:$AA478, 20,0)</f>
        <v>UT230B-EU</v>
      </c>
      <c r="Q287" s="33" t="str">
        <f>VLOOKUP($G287,'Hoja 10'!$F$4:$AA478, 21,0)</f>
        <v>https://irelectronics.pe/producto/tomacorriente-medidor-de-parametros-electricos-uni-t-ut-230b-us/</v>
      </c>
      <c r="R287" s="30" t="s">
        <v>935</v>
      </c>
      <c r="S287" s="34" t="b">
        <v>1</v>
      </c>
      <c r="T287" s="35" t="str">
        <f>IFERROR(__xludf.DUMMYFUNCTION(" IF
( VLOOKUP($G287,IMPORTRANGE(""https://docs.google.com/spreadsheets/d/1Gpl6jkTg7sL4VDNimUm3S9Vi1i95esohXCF3wuKOE8c"", ""'CONSOLIDADO'!G5:AB""), 10, 0) &lt;&gt; 0, 
IFERROR(VLOOKUP($G287,IMPORTRANGE(""https://docs.google.com/spreadsheets/d/1Gpl6jkTg7sL4VDNimU"&amp;"m3S9Vi1i95esohXCF3wuKOE8c"", ""'CONSOLIDADO'!G5:AB""), 17, 0), ""-""),
""""
)"),"UNI-T")</f>
        <v>UNI-T</v>
      </c>
      <c r="U287" s="35" t="str">
        <f>IFERROR(__xludf.DUMMYFUNCTION(" IF
( VLOOKUP($G287,IMPORTRANGE(""https://docs.google.com/spreadsheets/d/1Gpl6jkTg7sL4VDNimUm3S9Vi1i95esohXCF3wuKOE8c"", ""'CONSOLIDADO'!G5:AB""), 10, 0) &lt;&gt; 0, 
IFERROR(VLOOKUP($G287,IMPORTRANGE(""https://docs.google.com/spreadsheets/d/1Gpl6jkTg7sL4VDNimU"&amp;"m3S9Vi1i95esohXCF3wuKOE8c"", ""'CONSOLIDADO'!G5:AB""), 18, 0), ""-""),
""""
)"),"UT230B-EU")</f>
        <v>UT230B-EU</v>
      </c>
      <c r="V287" s="36" t="str">
        <f>IFERROR(__xludf.DUMMYFUNCTION(" IF
( VLOOKUP($G287,IMPORTRANGE(""https://docs.google.com/spreadsheets/d/1Gpl6jkTg7sL4VDNimUm3S9Vi1i95esohXCF3wuKOE8c"", ""'CONSOLIDADO'!G5:AB""), 10, 0) &lt;&gt; 0, 
IFERROR(VLOOKUP($G287,IMPORTRANGE(""https://docs.google.com/spreadsheets/d/1Gpl6jkTg7sL4VDNimU"&amp;"m3S9Vi1i95esohXCF3wuKOE8c"", ""'CONSOLIDADO'!G5:AB""), 19, 0), ""-""),
""""
)"),"https://meters.uni-trend.com/product/ut230b-eu/")</f>
        <v>https://meters.uni-trend.com/product/ut230b-eu/</v>
      </c>
      <c r="W287" s="37" t="str">
        <f>IFERROR(__xludf.DUMMYFUNCTION("IFERROR(VLOOKUP(G287,IMPORTRANGE(""https://docs.google.com/spreadsheets/d/12RxCea4e5ggM7QGn1XE3FbLQa_-QbCNdBi90OdPjRqg"", ""'Plan de Compras'!D4:Q""), 12, 0), ""NO ESTÁ EN REQ"")"),"Técnica")</f>
        <v>Técnica</v>
      </c>
      <c r="X287" s="37" t="str">
        <f>IFERROR(__xludf.DUMMYFUNCTION("IFERROR(VLOOKUP(G287,IMPORTRANGE(""https://docs.google.com/spreadsheets/d/12RxCea4e5ggM7QGn1XE3FbLQa_-QbCNdBi90OdPjRqg"", ""'Plan de Compras'!D4:Q""), 13, 0), """")"),"INTERNACIONAL")</f>
        <v>INTERNACIONAL</v>
      </c>
      <c r="Y287" s="32" t="str">
        <f>IFERROR(__xludf.DUMMYFUNCTION("IFERROR(VLOOKUP(G287,IMPORTRANGE(""https://docs.google.com/spreadsheets/d/12RxCea4e5ggM7QGn1XE3FbLQa_-QbCNdBi90OdPjRqg"", ""'Plan de Compras'!D4:Q""), 14, 0), """")"),"GIANFRANCO")</f>
        <v>GIANFRANCO</v>
      </c>
      <c r="Z287" s="38" t="str">
        <f>IFERROR(__xludf.DUMMYFUNCTION("IFERROR(VLOOKUP(G287,IMPORTRANGE(""https://docs.google.com/spreadsheets/d/12RxCea4e5ggM7QGn1XE3FbLQa_-QbCNdBi90OdPjRqg"", ""'Plan de Compras'!D4:Q""), 4, 0), """")"),"MEDIDOR DE ENERGÍA ACTIVA MONOFÁSICO Y TRIFÁSICO")</f>
        <v>MEDIDOR DE ENERGÍA ACTIVA MONOFÁSICO Y TRIFÁSICO</v>
      </c>
      <c r="AA287" s="38" t="str">
        <f t="shared" si="16"/>
        <v>FALSE</v>
      </c>
      <c r="AB287" s="37" t="str">
        <f>IFERROR(__xludf.DUMMYFUNCTION("IFERROR(IF(OR(C287=TRUE,C287=""""),VLOOKUP(G287,IMPORTRANGE(""https://docs.google.com/spreadsheets/d/1z9A1Wq-kKrhRNG5RS2a2fKpY1wIhSVz2ZNmP2mOl588/edit?usp=sharing"",""REQ VF!E4:H""),4,0),""NO APLICA""),""GENERAR REQ"")"),"GENERAR REQ")</f>
        <v>GENERAR REQ</v>
      </c>
      <c r="AC287" s="37" t="str">
        <f>IFERROR(__xludf.DUMMYFUNCTION("IFERROR(QUERY(IMPORTRANGE(""https://docs.google.com/spreadsheets/d/1z9A1Wq-kKrhRNG5RS2a2fKpY1wIhSVz2ZNmP2mOl588/edit?usp=sharing"",""REQ VF!E4:Q""),""SELECT Col10, Col11, Col12 WHERE Col1 = '""&amp;G287&amp;""'"",0),""NO APLICA"")"),"NO APLICA")</f>
        <v>NO APLICA</v>
      </c>
      <c r="AD287" s="37"/>
      <c r="AE287" s="37"/>
      <c r="AF287" s="8" t="s">
        <v>52</v>
      </c>
      <c r="AG287" s="13"/>
    </row>
    <row r="288">
      <c r="A288" s="26"/>
      <c r="B288" s="26"/>
      <c r="C288" s="26" t="b">
        <v>1</v>
      </c>
      <c r="D288" s="26" t="s">
        <v>42</v>
      </c>
      <c r="E288" s="26" t="s">
        <v>36</v>
      </c>
      <c r="F288" s="59" t="s">
        <v>933</v>
      </c>
      <c r="G288" s="39" t="s">
        <v>936</v>
      </c>
      <c r="H288" s="40" t="s">
        <v>937</v>
      </c>
      <c r="I288" s="43">
        <f>$I$287</f>
        <v>12</v>
      </c>
      <c r="J288" s="26">
        <f>IFERROR(__xludf.DUMMYFUNCTION("VLOOKUP(G288,IMPORTRANGE(""https://docs.google.com/spreadsheets/d/12RxCea4e5ggM7QGn1XE3FbLQa_-QbCNdBi90OdPjRqg/edit?gid=1692403370#gid=1692403370"", ""'Plan de Compras'!D4:2432""), 8,0)"),12.0)</f>
        <v>12</v>
      </c>
      <c r="K288" s="26" t="str">
        <f t="shared" si="1"/>
        <v>SI</v>
      </c>
      <c r="L288" s="26"/>
      <c r="M288" s="47"/>
      <c r="N288" s="28" t="s">
        <v>938</v>
      </c>
      <c r="O288" s="42"/>
      <c r="P288" s="42"/>
      <c r="Q288" s="55" t="s">
        <v>939</v>
      </c>
      <c r="R288" s="47"/>
      <c r="S288" s="34" t="b">
        <v>1</v>
      </c>
      <c r="T288" s="35" t="s">
        <v>940</v>
      </c>
      <c r="U288" s="35" t="s">
        <v>941</v>
      </c>
      <c r="V288" s="44"/>
      <c r="W288" s="37" t="str">
        <f>IFERROR(__xludf.DUMMYFUNCTION("IFERROR(VLOOKUP(G288,IMPORTRANGE(""https://docs.google.com/spreadsheets/d/12RxCea4e5ggM7QGn1XE3FbLQa_-QbCNdBi90OdPjRqg"", ""'Plan de Compras'!D4:Q""), 12, 0), ""NO ESTÁ EN REQ"")"),"Técnica")</f>
        <v>Técnica</v>
      </c>
      <c r="X288" s="37" t="str">
        <f>IFERROR(__xludf.DUMMYFUNCTION("IFERROR(VLOOKUP(G288,IMPORTRANGE(""https://docs.google.com/spreadsheets/d/12RxCea4e5ggM7QGn1XE3FbLQa_-QbCNdBi90OdPjRqg"", ""'Plan de Compras'!D4:Q""), 13, 0), """")"),"NACIONAL")</f>
        <v>NACIONAL</v>
      </c>
      <c r="Y288" s="32" t="str">
        <f>IFERROR(__xludf.DUMMYFUNCTION("IFERROR(VLOOKUP(G288,IMPORTRANGE(""https://docs.google.com/spreadsheets/d/12RxCea4e5ggM7QGn1XE3FbLQa_-QbCNdBi90OdPjRqg"", ""'Plan de Compras'!D4:Q""), 14, 0), """")"),"ALFIO")</f>
        <v>ALFIO</v>
      </c>
      <c r="Z288" s="38" t="str">
        <f>IFERROR(__xludf.DUMMYFUNCTION("IFERROR(VLOOKUP(G288,IMPORTRANGE(""https://docs.google.com/spreadsheets/d/12RxCea4e5ggM7QGn1XE3FbLQa_-QbCNdBi90OdPjRqg"", ""'Plan de Compras'!D4:Q""), 4, 0), """")"),"PILA DE BOTÓN DE 3 V (1 UND)")</f>
        <v>PILA DE BOTÓN DE 3 V (1 UND)</v>
      </c>
      <c r="AA288" s="38" t="str">
        <f t="shared" si="16"/>
        <v>TRUE</v>
      </c>
      <c r="AB288" s="37" t="str">
        <f>IFERROR(__xludf.DUMMYFUNCTION("IFERROR(IF(OR(C288=TRUE,C288=""""),VLOOKUP(G288,IMPORTRANGE(""https://docs.google.com/spreadsheets/d/1z9A1Wq-kKrhRNG5RS2a2fKpY1wIhSVz2ZNmP2mOl588/edit?usp=sharing"",""REQ VF!E4:H""),4,0),""NO APLICA""),""GENERAR REQ"")"),"GENERAR REQ")</f>
        <v>GENERAR REQ</v>
      </c>
      <c r="AC288" s="37" t="str">
        <f>IFERROR(__xludf.DUMMYFUNCTION("IFERROR(QUERY(IMPORTRANGE(""https://docs.google.com/spreadsheets/d/1z9A1Wq-kKrhRNG5RS2a2fKpY1wIhSVz2ZNmP2mOl588/edit?usp=sharing"",""REQ VF!E4:Q""),""SELECT Col10, Col11, Col12 WHERE Col1 = '""&amp;G288&amp;""'"",0),""NO APLICA"")"),"NO APLICA")</f>
        <v>NO APLICA</v>
      </c>
      <c r="AD288" s="37"/>
      <c r="AE288" s="37"/>
      <c r="AF288" s="13"/>
      <c r="AG288" s="13"/>
    </row>
    <row r="289">
      <c r="A289" s="26">
        <v>124.0</v>
      </c>
      <c r="B289" s="26" t="b">
        <v>1</v>
      </c>
      <c r="C289" s="26" t="b">
        <v>1</v>
      </c>
      <c r="D289" s="26" t="s">
        <v>35</v>
      </c>
      <c r="E289" s="26" t="s">
        <v>36</v>
      </c>
      <c r="F289" s="27" t="s">
        <v>942</v>
      </c>
      <c r="G289" s="37" t="s">
        <v>942</v>
      </c>
      <c r="H289" s="45" t="s">
        <v>943</v>
      </c>
      <c r="I289" s="26">
        <f>SUMIFS('Hoja 10'!$O:$O,'Hoja 10'!$F:$F,$G289)</f>
        <v>12</v>
      </c>
      <c r="J289" s="26">
        <f>IFERROR(__xludf.DUMMYFUNCTION("VLOOKUP(G289,IMPORTRANGE(""https://docs.google.com/spreadsheets/d/12RxCea4e5ggM7QGn1XE3FbLQa_-QbCNdBi90OdPjRqg/edit?gid=1692403370#gid=1692403370"", ""'Plan de Compras'!D4:2432""), 8,0)"),12.0)</f>
        <v>12</v>
      </c>
      <c r="K289" s="26" t="str">
        <f t="shared" si="1"/>
        <v>SI</v>
      </c>
      <c r="L289" s="29" t="s">
        <v>180</v>
      </c>
      <c r="M289" s="30" t="s">
        <v>181</v>
      </c>
      <c r="N289" s="42"/>
      <c r="O289" s="32" t="str">
        <f>VLOOKUP($G289,'Hoja 10'!$F$4:$AA478, 19,0)</f>
        <v>UNI-T</v>
      </c>
      <c r="P289" s="32" t="str">
        <f>VLOOKUP($G289,'Hoja 10'!$F$4:$AA478, 20,0)</f>
        <v>UT501B</v>
      </c>
      <c r="Q289" s="33" t="str">
        <f>VLOOKUP($G289,'Hoja 10'!$F$4:$AA478, 21,0)</f>
        <v>https://irelectronics.pe/producto/megometro-digital-1000v-uni-t-ut-501b/
https://meters.uni-trend.com/download/ut501a-ut501b-ut502a-flyer/#</v>
      </c>
      <c r="R289" s="30" t="s">
        <v>944</v>
      </c>
      <c r="S289" s="34" t="b">
        <v>1</v>
      </c>
      <c r="T289" s="35" t="str">
        <f>IFERROR(__xludf.DUMMYFUNCTION(" IF
( VLOOKUP($G289,IMPORTRANGE(""https://docs.google.com/spreadsheets/d/1Gpl6jkTg7sL4VDNimUm3S9Vi1i95esohXCF3wuKOE8c"", ""'CONSOLIDADO'!G5:AB""), 10, 0) &lt;&gt; 0, 
IFERROR(VLOOKUP($G289,IMPORTRANGE(""https://docs.google.com/spreadsheets/d/1Gpl6jkTg7sL4VDNimU"&amp;"m3S9Vi1i95esohXCF3wuKOE8c"", ""'CONSOLIDADO'!G5:AB""), 17, 0), ""-""),
""""
)"),"UNI-T")</f>
        <v>UNI-T</v>
      </c>
      <c r="U289" s="35" t="str">
        <f>IFERROR(__xludf.DUMMYFUNCTION(" IF
( VLOOKUP($G289,IMPORTRANGE(""https://docs.google.com/spreadsheets/d/1Gpl6jkTg7sL4VDNimUm3S9Vi1i95esohXCF3wuKOE8c"", ""'CONSOLIDADO'!G5:AB""), 10, 0) &lt;&gt; 0, 
IFERROR(VLOOKUP($G289,IMPORTRANGE(""https://docs.google.com/spreadsheets/d/1Gpl6jkTg7sL4VDNimU"&amp;"m3S9Vi1i95esohXCF3wuKOE8c"", ""'CONSOLIDADO'!G5:AB""), 18, 0), ""-""),
""""
)"),"UT505A")</f>
        <v>UT505A</v>
      </c>
      <c r="V289" s="36" t="str">
        <f>IFERROR(__xludf.DUMMYFUNCTION(" IF
( VLOOKUP($G289,IMPORTRANGE(""https://docs.google.com/spreadsheets/d/1Gpl6jkTg7sL4VDNimUm3S9Vi1i95esohXCF3wuKOE8c"", ""'CONSOLIDADO'!G5:AB""), 10, 0) &lt;&gt; 0, 
IFERROR(VLOOKUP($G289,IMPORTRANGE(""https://docs.google.com/spreadsheets/d/1Gpl6jkTg7sL4VDNimU"&amp;"m3S9Vi1i95esohXCF3wuKOE8c"", ""'CONSOLIDADO'!G5:AB""), 19, 0), ""-""),
""""
)"),"https://uni-trendus.com/products/ut505a-basic-insulation-resistance-dmm")</f>
        <v>https://uni-trendus.com/products/ut505a-basic-insulation-resistance-dmm</v>
      </c>
      <c r="W289" s="37" t="str">
        <f>IFERROR(__xludf.DUMMYFUNCTION("IFERROR(VLOOKUP(G289,IMPORTRANGE(""https://docs.google.com/spreadsheets/d/12RxCea4e5ggM7QGn1XE3FbLQa_-QbCNdBi90OdPjRqg"", ""'Plan de Compras'!D4:Q""), 12, 0), ""NO ESTÁ EN REQ"")"),"Técnica")</f>
        <v>Técnica</v>
      </c>
      <c r="X289" s="37" t="str">
        <f>IFERROR(__xludf.DUMMYFUNCTION("IFERROR(VLOOKUP(G289,IMPORTRANGE(""https://docs.google.com/spreadsheets/d/12RxCea4e5ggM7QGn1XE3FbLQa_-QbCNdBi90OdPjRqg"", ""'Plan de Compras'!D4:Q""), 13, 0), """")"),"INTERNACIONAL")</f>
        <v>INTERNACIONAL</v>
      </c>
      <c r="Y289" s="32" t="str">
        <f>IFERROR(__xludf.DUMMYFUNCTION("IFERROR(VLOOKUP(G289,IMPORTRANGE(""https://docs.google.com/spreadsheets/d/12RxCea4e5ggM7QGn1XE3FbLQa_-QbCNdBi90OdPjRqg"", ""'Plan de Compras'!D4:Q""), 14, 0), """")"),"GEYDI")</f>
        <v>GEYDI</v>
      </c>
      <c r="Z289" s="38" t="str">
        <f>IFERROR(__xludf.DUMMYFUNCTION("IFERROR(VLOOKUP(G289,IMPORTRANGE(""https://docs.google.com/spreadsheets/d/12RxCea4e5ggM7QGn1XE3FbLQa_-QbCNdBi90OdPjRqg"", ""'Plan de Compras'!D4:Q""), 4, 0), """")"),"MEGÓMETRO DIGITAL")</f>
        <v>MEGÓMETRO DIGITAL</v>
      </c>
      <c r="AA289" s="38" t="str">
        <f t="shared" si="16"/>
        <v>TRUE</v>
      </c>
      <c r="AB289" s="37" t="str">
        <f>IFERROR(__xludf.DUMMYFUNCTION("IFERROR(IF(OR(C289=TRUE,C289=""""),VLOOKUP(G289,IMPORTRANGE(""https://docs.google.com/spreadsheets/d/1z9A1Wq-kKrhRNG5RS2a2fKpY1wIhSVz2ZNmP2mOl588/edit?usp=sharing"",""REQ VF!E4:H""),4,0),""NO APLICA""),""GENERAR REQ"")"),"GENERAR REQ")</f>
        <v>GENERAR REQ</v>
      </c>
      <c r="AC289" s="37" t="str">
        <f>IFERROR(__xludf.DUMMYFUNCTION("IFERROR(QUERY(IMPORTRANGE(""https://docs.google.com/spreadsheets/d/1z9A1Wq-kKrhRNG5RS2a2fKpY1wIhSVz2ZNmP2mOl588/edit?usp=sharing"",""REQ VF!E4:Q""),""SELECT Col10, Col11, Col12 WHERE Col1 = '""&amp;G289&amp;""'"",0),""NO APLICA"")"),"NO APLICA")</f>
        <v>NO APLICA</v>
      </c>
      <c r="AD289" s="37"/>
      <c r="AE289" s="37"/>
      <c r="AF289" s="8" t="s">
        <v>52</v>
      </c>
      <c r="AG289" s="13"/>
    </row>
    <row r="290">
      <c r="A290" s="26"/>
      <c r="B290" s="26"/>
      <c r="C290" s="26" t="b">
        <v>1</v>
      </c>
      <c r="D290" s="43" t="s">
        <v>42</v>
      </c>
      <c r="E290" s="43" t="s">
        <v>36</v>
      </c>
      <c r="F290" s="39" t="s">
        <v>942</v>
      </c>
      <c r="G290" s="39" t="s">
        <v>945</v>
      </c>
      <c r="H290" s="40" t="s">
        <v>946</v>
      </c>
      <c r="I290" s="43">
        <v>72.0</v>
      </c>
      <c r="J290" s="26">
        <f>IFERROR(__xludf.DUMMYFUNCTION("VLOOKUP(G290,IMPORTRANGE(""https://docs.google.com/spreadsheets/d/12RxCea4e5ggM7QGn1XE3FbLQa_-QbCNdBi90OdPjRqg/edit?gid=1692403370#gid=1692403370"", ""'Plan de Compras'!D4:2432""), 8,0)"),72.0)</f>
        <v>72</v>
      </c>
      <c r="K290" s="26" t="str">
        <f t="shared" si="1"/>
        <v>SI</v>
      </c>
      <c r="L290" s="26"/>
      <c r="M290" s="47"/>
      <c r="N290" s="28" t="s">
        <v>947</v>
      </c>
      <c r="O290" s="42"/>
      <c r="P290" s="42"/>
      <c r="Q290" s="55" t="s">
        <v>948</v>
      </c>
      <c r="R290" s="47"/>
      <c r="S290" s="34" t="b">
        <v>1</v>
      </c>
      <c r="T290" s="35" t="s">
        <v>717</v>
      </c>
      <c r="U290" s="35" t="s">
        <v>949</v>
      </c>
      <c r="V290" s="44"/>
      <c r="W290" s="37" t="str">
        <f>IFERROR(__xludf.DUMMYFUNCTION("IFERROR(VLOOKUP(G290,IMPORTRANGE(""https://docs.google.com/spreadsheets/d/12RxCea4e5ggM7QGn1XE3FbLQa_-QbCNdBi90OdPjRqg"", ""'Plan de Compras'!D4:Q""), 12, 0), ""NO ESTÁ EN REQ"")"),"Técnica")</f>
        <v>Técnica</v>
      </c>
      <c r="X290" s="37" t="str">
        <f>IFERROR(__xludf.DUMMYFUNCTION("IFERROR(VLOOKUP(G290,IMPORTRANGE(""https://docs.google.com/spreadsheets/d/12RxCea4e5ggM7QGn1XE3FbLQa_-QbCNdBi90OdPjRqg"", ""'Plan de Compras'!D4:Q""), 13, 0), """")"),"NACIONAL")</f>
        <v>NACIONAL</v>
      </c>
      <c r="Y290" s="32" t="str">
        <f>IFERROR(__xludf.DUMMYFUNCTION("IFERROR(VLOOKUP(G290,IMPORTRANGE(""https://docs.google.com/spreadsheets/d/12RxCea4e5ggM7QGn1XE3FbLQa_-QbCNdBi90OdPjRqg"", ""'Plan de Compras'!D4:Q""), 14, 0), """")"),"ALFIO")</f>
        <v>ALFIO</v>
      </c>
      <c r="Z290" s="38" t="str">
        <f>IFERROR(__xludf.DUMMYFUNCTION("IFERROR(VLOOKUP(G290,IMPORTRANGE(""https://docs.google.com/spreadsheets/d/12RxCea4e5ggM7QGn1XE3FbLQa_-QbCNdBi90OdPjRqg"", ""'Plan de Compras'!D4:Q""), 4, 0), """")"),"PILAS 1.5V BATERÍAS AA (LR6)  (6 UND)")</f>
        <v>PILAS 1.5V BATERÍAS AA (LR6)  (6 UND)</v>
      </c>
      <c r="AA290" s="38" t="str">
        <f t="shared" si="16"/>
        <v>FALSE</v>
      </c>
      <c r="AB290" s="37" t="str">
        <f>IFERROR(__xludf.DUMMYFUNCTION("IFERROR(IF(OR(C290=TRUE,C290=""""),VLOOKUP(G290,IMPORTRANGE(""https://docs.google.com/spreadsheets/d/1z9A1Wq-kKrhRNG5RS2a2fKpY1wIhSVz2ZNmP2mOl588/edit?usp=sharing"",""REQ VF!E4:H""),4,0),""NO APLICA""),""GENERAR REQ"")"),"GENERAR REQ")</f>
        <v>GENERAR REQ</v>
      </c>
      <c r="AC290" s="37" t="str">
        <f>IFERROR(__xludf.DUMMYFUNCTION("IFERROR(QUERY(IMPORTRANGE(""https://docs.google.com/spreadsheets/d/1z9A1Wq-kKrhRNG5RS2a2fKpY1wIhSVz2ZNmP2mOl588/edit?usp=sharing"",""REQ VF!E4:Q""),""SELECT Col10, Col11, Col12 WHERE Col1 = '""&amp;G290&amp;""'"",0),""NO APLICA"")"),"NO APLICA")</f>
        <v>NO APLICA</v>
      </c>
      <c r="AD290" s="37"/>
      <c r="AE290" s="37"/>
      <c r="AF290" s="13"/>
      <c r="AG290" s="13"/>
    </row>
    <row r="291">
      <c r="A291" s="26"/>
      <c r="B291" s="26" t="b">
        <v>0</v>
      </c>
      <c r="C291" s="26" t="b">
        <v>0</v>
      </c>
      <c r="D291" s="26" t="s">
        <v>42</v>
      </c>
      <c r="E291" s="26" t="s">
        <v>36</v>
      </c>
      <c r="F291" s="59" t="s">
        <v>942</v>
      </c>
      <c r="G291" s="39" t="s">
        <v>950</v>
      </c>
      <c r="H291" s="40" t="s">
        <v>118</v>
      </c>
      <c r="I291" s="26">
        <f>1*I289</f>
        <v>12</v>
      </c>
      <c r="J291" s="26" t="str">
        <f>IFERROR(__xludf.DUMMYFUNCTION("VLOOKUP(G291,IMPORTRANGE(""https://docs.google.com/spreadsheets/d/12RxCea4e5ggM7QGn1XE3FbLQa_-QbCNdBi90OdPjRqg/edit?gid=1692403370#gid=1692403370"", ""'Plan de Compras'!D4:2432""), 8,0)"),"#N/A")</f>
        <v>#N/A</v>
      </c>
      <c r="K291" s="26" t="str">
        <f t="shared" si="1"/>
        <v>-</v>
      </c>
      <c r="L291" s="29"/>
      <c r="M291" s="61"/>
      <c r="N291" s="70"/>
      <c r="O291" s="32"/>
      <c r="P291" s="32"/>
      <c r="Q291" s="41"/>
      <c r="R291" s="61"/>
      <c r="S291" s="34" t="b">
        <v>0</v>
      </c>
      <c r="T291" s="35" t="s">
        <v>545</v>
      </c>
      <c r="U291" s="35" t="s">
        <v>951</v>
      </c>
      <c r="V291" s="35"/>
      <c r="W291" s="37"/>
      <c r="X291" s="37"/>
      <c r="Y291" s="32"/>
      <c r="Z291" s="38"/>
      <c r="AA291" s="38" t="str">
        <f t="shared" si="16"/>
        <v>FALSE</v>
      </c>
      <c r="AB291" s="37" t="str">
        <f>IFERROR(__xludf.DUMMYFUNCTION("IFERROR(IF(OR(C291=TRUE,C291=""""),VLOOKUP(G291,IMPORTRANGE(""https://docs.google.com/spreadsheets/d/1z9A1Wq-kKrhRNG5RS2a2fKpY1wIhSVz2ZNmP2mOl588/edit?usp=sharing"",""REQ VF!E4:H""),4,0),""NO APLICA""),""GENERAR REQ"")"),"NO APLICA")</f>
        <v>NO APLICA</v>
      </c>
      <c r="AC291" s="37" t="str">
        <f>IFERROR(__xludf.DUMMYFUNCTION("IFERROR(QUERY(IMPORTRANGE(""https://docs.google.com/spreadsheets/d/1z9A1Wq-kKrhRNG5RS2a2fKpY1wIhSVz2ZNmP2mOl588/edit?usp=sharing"",""REQ VF!E4:Q""),""SELECT Col10, Col11, Col12 WHERE Col1 = '""&amp;G291&amp;""'"",0),""NO APLICA"")"),"NO APLICA")</f>
        <v>NO APLICA</v>
      </c>
      <c r="AD291" s="37"/>
      <c r="AE291" s="37"/>
      <c r="AF291" s="8"/>
      <c r="AG291" s="13"/>
    </row>
    <row r="292">
      <c r="A292" s="26">
        <v>125.0</v>
      </c>
      <c r="B292" s="26" t="b">
        <v>1</v>
      </c>
      <c r="C292" s="26" t="b">
        <v>1</v>
      </c>
      <c r="D292" s="26" t="s">
        <v>35</v>
      </c>
      <c r="E292" s="26" t="s">
        <v>36</v>
      </c>
      <c r="F292" s="27" t="s">
        <v>952</v>
      </c>
      <c r="G292" s="39" t="s">
        <v>952</v>
      </c>
      <c r="H292" s="45" t="s">
        <v>953</v>
      </c>
      <c r="I292" s="26">
        <f>SUMIFS('Hoja 10'!$O:$O,'Hoja 10'!$F:$F,$G292)</f>
        <v>12</v>
      </c>
      <c r="J292" s="26">
        <f>IFERROR(__xludf.DUMMYFUNCTION("VLOOKUP(G292,IMPORTRANGE(""https://docs.google.com/spreadsheets/d/12RxCea4e5ggM7QGn1XE3FbLQa_-QbCNdBi90OdPjRqg/edit?gid=1692403370#gid=1692403370"", ""'Plan de Compras'!D4:2432""), 8,0)"),12.0)</f>
        <v>12</v>
      </c>
      <c r="K292" s="26" t="str">
        <f t="shared" si="1"/>
        <v>SI</v>
      </c>
      <c r="L292" s="29" t="s">
        <v>339</v>
      </c>
      <c r="M292" s="30" t="s">
        <v>340</v>
      </c>
      <c r="N292" s="70"/>
      <c r="O292" s="32" t="str">
        <f>VLOOKUP($G292,'Hoja 10'!$F$4:$AA478, 19,0)</f>
        <v>BLUE (LOGITECH)</v>
      </c>
      <c r="P292" s="32" t="str">
        <f>VLOOKUP($G292,'Hoja 10'!$F$4:$AA478, 20,0)</f>
        <v>YETI NANO</v>
      </c>
      <c r="Q292" s="33" t="str">
        <f>VLOOKUP($G292,'Hoja 10'!$F$4:$AA478, 21,0)</f>
        <v>https://www.logitechg.com/en-us/shop/p/yeti-nano-usb-microphone.988-000088</v>
      </c>
      <c r="R292" s="30" t="s">
        <v>954</v>
      </c>
      <c r="S292" s="34" t="b">
        <v>1</v>
      </c>
      <c r="T292" s="35" t="str">
        <f>IFERROR(__xludf.DUMMYFUNCTION(" IF
( VLOOKUP($G292,IMPORTRANGE(""https://docs.google.com/spreadsheets/d/1Gpl6jkTg7sL4VDNimUm3S9Vi1i95esohXCF3wuKOE8c"", ""'CONSOLIDADO'!G5:AB""), 10, 0) &lt;&gt; 0, 
IFERROR(VLOOKUP($G292,IMPORTRANGE(""https://docs.google.com/spreadsheets/d/1Gpl6jkTg7sL4VDNimU"&amp;"m3S9Vi1i95esohXCF3wuKOE8c"", ""'CONSOLIDADO'!G5:AB""), 17, 0), ""-""),
""""
)"),"AROZZI")</f>
        <v>AROZZI</v>
      </c>
      <c r="U292" s="35" t="str">
        <f>IFERROR(__xludf.DUMMYFUNCTION(" IF
( VLOOKUP($G292,IMPORTRANGE(""https://docs.google.com/spreadsheets/d/1Gpl6jkTg7sL4VDNimUm3S9Vi1i95esohXCF3wuKOE8c"", ""'CONSOLIDADO'!G5:AB""), 10, 0) &lt;&gt; 0, 
IFERROR(VLOOKUP($G292,IMPORTRANGE(""https://docs.google.com/spreadsheets/d/1Gpl6jkTg7sL4VDNimU"&amp;"m3S9Vi1i95esohXCF3wuKOE8c"", ""'CONSOLIDADO'!G5:AB""), 18, 0), ""-""),
""""
)"),"MICROFONO COLONNA")</f>
        <v>MICROFONO COLONNA</v>
      </c>
      <c r="V292" s="36" t="str">
        <f>IFERROR(__xludf.DUMMYFUNCTION(" IF
( VLOOKUP($G292,IMPORTRANGE(""https://docs.google.com/spreadsheets/d/1Gpl6jkTg7sL4VDNimUm3S9Vi1i95esohXCF3wuKOE8c"", ""'CONSOLIDADO'!G5:AB""), 10, 0) &lt;&gt; 0, 
IFERROR(VLOOKUP($G292,IMPORTRANGE(""https://docs.google.com/spreadsheets/d/1Gpl6jkTg7sL4VDNimU"&amp;"m3S9Vi1i95esohXCF3wuKOE8c"", ""'CONSOLIDADO'!G5:AB""), 19, 0), ""-""),
""""
)"),"https://arozzi.com/es/products/colonna-microphone")</f>
        <v>https://arozzi.com/es/products/colonna-microphone</v>
      </c>
      <c r="W292" s="37" t="str">
        <f>IFERROR(__xludf.DUMMYFUNCTION("IFERROR(VLOOKUP(G292,IMPORTRANGE(""https://docs.google.com/spreadsheets/d/12RxCea4e5ggM7QGn1XE3FbLQa_-QbCNdBi90OdPjRqg"", ""'Plan de Compras'!D4:Q""), 12, 0), ""NO ESTÁ EN REQ"")"),"Técnica")</f>
        <v>Técnica</v>
      </c>
      <c r="X292" s="37" t="str">
        <f>IFERROR(__xludf.DUMMYFUNCTION("IFERROR(VLOOKUP(G292,IMPORTRANGE(""https://docs.google.com/spreadsheets/d/12RxCea4e5ggM7QGn1XE3FbLQa_-QbCNdBi90OdPjRqg"", ""'Plan de Compras'!D4:Q""), 13, 0), """")"),"INTERNACIONAL")</f>
        <v>INTERNACIONAL</v>
      </c>
      <c r="Y292" s="32" t="str">
        <f>IFERROR(__xludf.DUMMYFUNCTION("IFERROR(VLOOKUP(G292,IMPORTRANGE(""https://docs.google.com/spreadsheets/d/12RxCea4e5ggM7QGn1XE3FbLQa_-QbCNdBi90OdPjRqg"", ""'Plan de Compras'!D4:Q""), 14, 0), """")"),"DIEGO ")</f>
        <v>DIEGO </v>
      </c>
      <c r="Z292" s="38" t="str">
        <f>IFERROR(__xludf.DUMMYFUNCTION("IFERROR(VLOOKUP(G292,IMPORTRANGE(""https://docs.google.com/spreadsheets/d/12RxCea4e5ggM7QGn1XE3FbLQa_-QbCNdBi90OdPjRqg"", ""'Plan de Compras'!D4:Q""), 4, 0), """")"),"MICRÓFONO CONDENSADOR PARA ESTUDIO")</f>
        <v>MICRÓFONO CONDENSADOR PARA ESTUDIO</v>
      </c>
      <c r="AA292" s="38" t="str">
        <f t="shared" si="16"/>
        <v>TRUE</v>
      </c>
      <c r="AB292" s="37" t="str">
        <f>IFERROR(__xludf.DUMMYFUNCTION("IFERROR(IF(OR(C292=TRUE,C292=""""),VLOOKUP(G292,IMPORTRANGE(""https://docs.google.com/spreadsheets/d/1z9A1Wq-kKrhRNG5RS2a2fKpY1wIhSVz2ZNmP2mOl588/edit?usp=sharing"",""REQ VF!E4:H""),4,0),""NO APLICA""),""GENERAR REQ"")"),"GENERAR REQ")</f>
        <v>GENERAR REQ</v>
      </c>
      <c r="AC292" s="37" t="str">
        <f>IFERROR(__xludf.DUMMYFUNCTION("IFERROR(QUERY(IMPORTRANGE(""https://docs.google.com/spreadsheets/d/1z9A1Wq-kKrhRNG5RS2a2fKpY1wIhSVz2ZNmP2mOl588/edit?usp=sharing"",""REQ VF!E4:Q""),""SELECT Col10, Col11, Col12 WHERE Col1 = '""&amp;G292&amp;""'"",0),""NO APLICA"")"),"NO APLICA")</f>
        <v>NO APLICA</v>
      </c>
      <c r="AD292" s="37"/>
      <c r="AE292" s="37"/>
      <c r="AF292" s="8" t="s">
        <v>52</v>
      </c>
      <c r="AG292" s="13"/>
    </row>
    <row r="293">
      <c r="A293" s="26"/>
      <c r="B293" s="26"/>
      <c r="C293" s="26" t="b">
        <v>1</v>
      </c>
      <c r="D293" s="26" t="s">
        <v>42</v>
      </c>
      <c r="E293" s="26" t="s">
        <v>36</v>
      </c>
      <c r="F293" s="59" t="s">
        <v>955</v>
      </c>
      <c r="G293" s="39" t="s">
        <v>956</v>
      </c>
      <c r="H293" s="40" t="s">
        <v>957</v>
      </c>
      <c r="I293" s="43">
        <v>12.0</v>
      </c>
      <c r="J293" s="26">
        <f>IFERROR(__xludf.DUMMYFUNCTION("VLOOKUP(G293,IMPORTRANGE(""https://docs.google.com/spreadsheets/d/12RxCea4e5ggM7QGn1XE3FbLQa_-QbCNdBi90OdPjRqg/edit?gid=1692403370#gid=1692403370"", ""'Plan de Compras'!D4:2432""), 8,0)"),12.0)</f>
        <v>12</v>
      </c>
      <c r="K293" s="26" t="str">
        <f t="shared" si="1"/>
        <v>SI</v>
      </c>
      <c r="L293" s="29"/>
      <c r="M293" s="61"/>
      <c r="N293" s="42"/>
      <c r="O293" s="32"/>
      <c r="P293" s="32"/>
      <c r="Q293" s="41"/>
      <c r="R293" s="61"/>
      <c r="S293" s="34" t="b">
        <v>1</v>
      </c>
      <c r="T293" s="35"/>
      <c r="U293" s="35"/>
      <c r="V293" s="36" t="s">
        <v>958</v>
      </c>
      <c r="W293" s="37" t="str">
        <f>IFERROR(__xludf.DUMMYFUNCTION("IFERROR(VLOOKUP(G293,IMPORTRANGE(""https://docs.google.com/spreadsheets/d/12RxCea4e5ggM7QGn1XE3FbLQa_-QbCNdBi90OdPjRqg"", ""'Plan de Compras'!D4:Q""), 12, 0), ""NO ESTÁ EN REQ"")"),"Técnica")</f>
        <v>Técnica</v>
      </c>
      <c r="X293" s="37" t="str">
        <f>IFERROR(__xludf.DUMMYFUNCTION("IFERROR(VLOOKUP(G293,IMPORTRANGE(""https://docs.google.com/spreadsheets/d/12RxCea4e5ggM7QGn1XE3FbLQa_-QbCNdBi90OdPjRqg"", ""'Plan de Compras'!D4:Q""), 13, 0), """")"),"INTERNACIONAL")</f>
        <v>INTERNACIONAL</v>
      </c>
      <c r="Y293" s="32" t="str">
        <f>IFERROR(__xludf.DUMMYFUNCTION("IFERROR(VLOOKUP(G293,IMPORTRANGE(""https://docs.google.com/spreadsheets/d/12RxCea4e5ggM7QGn1XE3FbLQa_-QbCNdBi90OdPjRqg"", ""'Plan de Compras'!D4:Q""), 14, 0), """")"),"DIEGO ")</f>
        <v>DIEGO </v>
      </c>
      <c r="Z293" s="38" t="str">
        <f>IFERROR(__xludf.DUMMYFUNCTION("IFERROR(VLOOKUP(G293,IMPORTRANGE(""https://docs.google.com/spreadsheets/d/12RxCea4e5ggM7QGn1XE3FbLQa_-QbCNdBi90OdPjRqg"", ""'Plan de Compras'!D4:Q""), 4, 0), """")"),"BRAZO ARTICULADO ACOPLABLE (5/8"")")</f>
        <v>BRAZO ARTICULADO ACOPLABLE (5/8")</v>
      </c>
      <c r="AA293" s="38" t="str">
        <f t="shared" si="16"/>
        <v>TRUE</v>
      </c>
      <c r="AB293" s="37" t="str">
        <f>IFERROR(__xludf.DUMMYFUNCTION("IFERROR(IF(OR(C293=TRUE,C293=""""),VLOOKUP(G293,IMPORTRANGE(""https://docs.google.com/spreadsheets/d/1z9A1Wq-kKrhRNG5RS2a2fKpY1wIhSVz2ZNmP2mOl588/edit?usp=sharing"",""REQ VF!E4:H""),4,0),""NO APLICA""),""GENERAR REQ"")"),"GENERAR REQ")</f>
        <v>GENERAR REQ</v>
      </c>
      <c r="AC293" s="37" t="str">
        <f>IFERROR(__xludf.DUMMYFUNCTION("IFERROR(QUERY(IMPORTRANGE(""https://docs.google.com/spreadsheets/d/1z9A1Wq-kKrhRNG5RS2a2fKpY1wIhSVz2ZNmP2mOl588/edit?usp=sharing"",""REQ VF!E4:Q""),""SELECT Col10, Col11, Col12 WHERE Col1 = '""&amp;G293&amp;""'"",0),""NO APLICA"")"),"NO APLICA")</f>
        <v>NO APLICA</v>
      </c>
      <c r="AD293" s="37"/>
      <c r="AE293" s="37"/>
      <c r="AF293" s="13"/>
      <c r="AG293" s="13"/>
    </row>
    <row r="294">
      <c r="A294" s="26">
        <v>126.0</v>
      </c>
      <c r="B294" s="26" t="b">
        <v>1</v>
      </c>
      <c r="C294" s="26" t="b">
        <v>1</v>
      </c>
      <c r="D294" s="26" t="s">
        <v>35</v>
      </c>
      <c r="E294" s="26" t="s">
        <v>36</v>
      </c>
      <c r="F294" s="27" t="s">
        <v>959</v>
      </c>
      <c r="G294" s="39" t="s">
        <v>959</v>
      </c>
      <c r="H294" s="45" t="s">
        <v>960</v>
      </c>
      <c r="I294" s="26">
        <f>SUMIFS('Hoja 10'!$O:$O,'Hoja 10'!$F:$F,$G294)</f>
        <v>1</v>
      </c>
      <c r="J294" s="26">
        <f>IFERROR(__xludf.DUMMYFUNCTION("VLOOKUP(G294,IMPORTRANGE(""https://docs.google.com/spreadsheets/d/12RxCea4e5ggM7QGn1XE3FbLQa_-QbCNdBi90OdPjRqg/edit?gid=1692403370#gid=1692403370"", ""'Plan de Compras'!D4:2432""), 8,0)"),1.0)</f>
        <v>1</v>
      </c>
      <c r="K294" s="26" t="str">
        <f t="shared" si="1"/>
        <v>SI</v>
      </c>
      <c r="L294" s="29" t="s">
        <v>77</v>
      </c>
      <c r="M294" s="30" t="s">
        <v>78</v>
      </c>
      <c r="N294" s="42"/>
      <c r="O294" s="32" t="str">
        <f>VLOOKUP($G294,'Hoja 10'!$F$4:$AA478, 19,0)</f>
        <v>LG</v>
      </c>
      <c r="P294" s="32" t="str">
        <f>VLOOKUP($G294,'Hoja 10'!$F$4:$AA478, 20,0)</f>
        <v>MH6535GIS</v>
      </c>
      <c r="Q294" s="33" t="str">
        <f>VLOOKUP($G294,'Hoja 10'!$F$4:$AA478, 21,0)</f>
        <v>https://www.lg.com/eastafrica/microwaves/lg-MH6535GIS</v>
      </c>
      <c r="R294" s="30" t="s">
        <v>961</v>
      </c>
      <c r="S294" s="34" t="b">
        <v>1</v>
      </c>
      <c r="T294" s="35" t="str">
        <f>IFERROR(__xludf.DUMMYFUNCTION(" IF
( VLOOKUP($G294,IMPORTRANGE(""https://docs.google.com/spreadsheets/d/1Gpl6jkTg7sL4VDNimUm3S9Vi1i95esohXCF3wuKOE8c"", ""'CONSOLIDADO'!G5:AB""), 10, 0) &lt;&gt; 0, 
IFERROR(VLOOKUP($G294,IMPORTRANGE(""https://docs.google.com/spreadsheets/d/1Gpl6jkTg7sL4VDNimU"&amp;"m3S9Vi1i95esohXCF3wuKOE8c"", ""'CONSOLIDADO'!G5:AB""), 17, 0), ""-""),
""""
)"),"LG")</f>
        <v>LG</v>
      </c>
      <c r="U294" s="35" t="str">
        <f>IFERROR(__xludf.DUMMYFUNCTION(" IF
( VLOOKUP($G294,IMPORTRANGE(""https://docs.google.com/spreadsheets/d/1Gpl6jkTg7sL4VDNimUm3S9Vi1i95esohXCF3wuKOE8c"", ""'CONSOLIDADO'!G5:AB""), 10, 0) &lt;&gt; 0, 
IFERROR(VLOOKUP($G294,IMPORTRANGE(""https://docs.google.com/spreadsheets/d/1Gpl6jkTg7sL4VDNimU"&amp;"m3S9Vi1i95esohXCF3wuKOE8c"", ""'CONSOLIDADO'!G5:AB""), 18, 0), ""-""),
""""
)"),"25L con Dorador y EasyClean")</f>
        <v>25L con Dorador y EasyClean</v>
      </c>
      <c r="V294" s="36" t="str">
        <f>IFERROR(__xludf.DUMMYFUNCTION(" IF
( VLOOKUP($G294,IMPORTRANGE(""https://docs.google.com/spreadsheets/d/1Gpl6jkTg7sL4VDNimUm3S9Vi1i95esohXCF3wuKOE8c"", ""'CONSOLIDADO'!G5:AB""), 10, 0) &lt;&gt; 0, 
IFERROR(VLOOKUP($G294,IMPORTRANGE(""https://docs.google.com/spreadsheets/d/1Gpl6jkTg7sL4VDNimU"&amp;"m3S9Vi1i95esohXCF3wuKOE8c"", ""'CONSOLIDADO'!G5:AB""), 19, 0), ""-""),
""""
)"),"https://hiraoka.com.pe/horno-microonda-lg-mh6536gis?srsltid=AfmBOorVoxxqgQTBSfkQMQ6GmL63W3F1NEiIisd3FKq3MITQ1yqCy1vV")</f>
        <v>https://hiraoka.com.pe/horno-microonda-lg-mh6536gis?srsltid=AfmBOorVoxxqgQTBSfkQMQ6GmL63W3F1NEiIisd3FKq3MITQ1yqCy1vV</v>
      </c>
      <c r="W294" s="37" t="str">
        <f>IFERROR(__xludf.DUMMYFUNCTION("IFERROR(VLOOKUP(G294,IMPORTRANGE(""https://docs.google.com/spreadsheets/d/12RxCea4e5ggM7QGn1XE3FbLQa_-QbCNdBi90OdPjRqg"", ""'Plan de Compras'!D4:Q""), 12, 0), ""NO ESTÁ EN REQ"")"),"Técnica")</f>
        <v>Técnica</v>
      </c>
      <c r="X294" s="37" t="str">
        <f>IFERROR(__xludf.DUMMYFUNCTION("IFERROR(VLOOKUP(G294,IMPORTRANGE(""https://docs.google.com/spreadsheets/d/12RxCea4e5ggM7QGn1XE3FbLQa_-QbCNdBi90OdPjRqg"", ""'Plan de Compras'!D4:Q""), 13, 0), """")"),"NACIONAL")</f>
        <v>NACIONAL</v>
      </c>
      <c r="Y294" s="32" t="str">
        <f>IFERROR(__xludf.DUMMYFUNCTION("IFERROR(VLOOKUP(G294,IMPORTRANGE(""https://docs.google.com/spreadsheets/d/12RxCea4e5ggM7QGn1XE3FbLQa_-QbCNdBi90OdPjRqg"", ""'Plan de Compras'!D4:Q""), 14, 0), """")"),"ANGIE")</f>
        <v>ANGIE</v>
      </c>
      <c r="Z294" s="38" t="str">
        <f>IFERROR(__xludf.DUMMYFUNCTION("IFERROR(VLOOKUP(G294,IMPORTRANGE(""https://docs.google.com/spreadsheets/d/12RxCea4e5ggM7QGn1XE3FbLQa_-QbCNdBi90OdPjRqg"", ""'Plan de Compras'!D4:Q""), 4, 0), """")"),"MICROONDAS")</f>
        <v>MICROONDAS</v>
      </c>
      <c r="AA294" s="38" t="str">
        <f t="shared" si="16"/>
        <v>TRUE</v>
      </c>
      <c r="AB294" s="37" t="str">
        <f>IFERROR(__xludf.DUMMYFUNCTION("IFERROR(IF(OR(C294=TRUE,C294=""""),VLOOKUP(G294,IMPORTRANGE(""https://docs.google.com/spreadsheets/d/1z9A1Wq-kKrhRNG5RS2a2fKpY1wIhSVz2ZNmP2mOl588/edit?usp=sharing"",""REQ VF!E4:H""),4,0),""NO APLICA""),""GENERAR REQ"")"),"GENERAR REQ")</f>
        <v>GENERAR REQ</v>
      </c>
      <c r="AC294" s="37" t="str">
        <f>IFERROR(__xludf.DUMMYFUNCTION("IFERROR(QUERY(IMPORTRANGE(""https://docs.google.com/spreadsheets/d/1z9A1Wq-kKrhRNG5RS2a2fKpY1wIhSVz2ZNmP2mOl588/edit?usp=sharing"",""REQ VF!E4:Q""),""SELECT Col10, Col11, Col12 WHERE Col1 = '""&amp;G294&amp;""'"",0),""NO APLICA"")"),"NO APLICA")</f>
        <v>NO APLICA</v>
      </c>
      <c r="AD294" s="37"/>
      <c r="AE294" s="37"/>
      <c r="AF294" s="13"/>
      <c r="AG294" s="13"/>
    </row>
    <row r="295">
      <c r="A295" s="26">
        <v>127.0</v>
      </c>
      <c r="B295" s="26" t="b">
        <v>1</v>
      </c>
      <c r="C295" s="26" t="b">
        <v>1</v>
      </c>
      <c r="D295" s="26" t="s">
        <v>35</v>
      </c>
      <c r="E295" s="26" t="s">
        <v>36</v>
      </c>
      <c r="F295" s="27" t="s">
        <v>962</v>
      </c>
      <c r="G295" s="39" t="s">
        <v>962</v>
      </c>
      <c r="H295" s="45" t="s">
        <v>963</v>
      </c>
      <c r="I295" s="26">
        <f>SUMIFS('Hoja 10'!$O:$O,'Hoja 10'!$F:$F,$G295)</f>
        <v>4</v>
      </c>
      <c r="J295" s="26">
        <f>IFERROR(__xludf.DUMMYFUNCTION("VLOOKUP(G295,IMPORTRANGE(""https://docs.google.com/spreadsheets/d/12RxCea4e5ggM7QGn1XE3FbLQa_-QbCNdBi90OdPjRqg/edit?gid=1692403370#gid=1692403370"", ""'Plan de Compras'!D4:2432""), 8,0)"),4.0)</f>
        <v>4</v>
      </c>
      <c r="K295" s="26" t="str">
        <f t="shared" si="1"/>
        <v>SI</v>
      </c>
      <c r="L295" s="29" t="s">
        <v>339</v>
      </c>
      <c r="M295" s="30" t="s">
        <v>340</v>
      </c>
      <c r="N295" s="70"/>
      <c r="O295" s="32" t="str">
        <f>VLOOKUP($G295,'Hoja 10'!$F$4:$AA478, 19,0)</f>
        <v>BLUE (LOGITECH)</v>
      </c>
      <c r="P295" s="32" t="str">
        <f>VLOOKUP($G295,'Hoja 10'!$F$4:$AA478, 20,0)</f>
        <v>YETI NANO</v>
      </c>
      <c r="Q295" s="33" t="str">
        <f>VLOOKUP($G295,'Hoja 10'!$F$4:$AA478, 21,0)</f>
        <v>https://www.logitechg.com/en-us/shop/p/yeti-nano-usb-microphone.988-000088</v>
      </c>
      <c r="R295" s="30" t="s">
        <v>964</v>
      </c>
      <c r="S295" s="34" t="b">
        <v>1</v>
      </c>
      <c r="T295" s="35" t="str">
        <f>IFERROR(__xludf.DUMMYFUNCTION(" IF
( VLOOKUP($G295,IMPORTRANGE(""https://docs.google.com/spreadsheets/d/1Gpl6jkTg7sL4VDNimUm3S9Vi1i95esohXCF3wuKOE8c"", ""'CONSOLIDADO'!G5:AB""), 10, 0) &lt;&gt; 0, 
IFERROR(VLOOKUP($G295,IMPORTRANGE(""https://docs.google.com/spreadsheets/d/1Gpl6jkTg7sL4VDNimU"&amp;"m3S9Vi1i95esohXCF3wuKOE8c"", ""'CONSOLIDADO'!G5:AB""), 17, 0), ""-""),
""""
)"),"AROZZI")</f>
        <v>AROZZI</v>
      </c>
      <c r="U295" s="35" t="str">
        <f>IFERROR(__xludf.DUMMYFUNCTION(" IF
( VLOOKUP($G295,IMPORTRANGE(""https://docs.google.com/spreadsheets/d/1Gpl6jkTg7sL4VDNimUm3S9Vi1i95esohXCF3wuKOE8c"", ""'CONSOLIDADO'!G5:AB""), 10, 0) &lt;&gt; 0, 
IFERROR(VLOOKUP($G295,IMPORTRANGE(""https://docs.google.com/spreadsheets/d/1Gpl6jkTg7sL4VDNimU"&amp;"m3S9Vi1i95esohXCF3wuKOE8c"", ""'CONSOLIDADO'!G5:AB""), 18, 0), ""-""),
""""
)"),"MICROFONO COLONNA")</f>
        <v>MICROFONO COLONNA</v>
      </c>
      <c r="V295" s="36" t="str">
        <f>IFERROR(__xludf.DUMMYFUNCTION(" IF
( VLOOKUP($G295,IMPORTRANGE(""https://docs.google.com/spreadsheets/d/1Gpl6jkTg7sL4VDNimUm3S9Vi1i95esohXCF3wuKOE8c"", ""'CONSOLIDADO'!G5:AB""), 10, 0) &lt;&gt; 0, 
IFERROR(VLOOKUP($G295,IMPORTRANGE(""https://docs.google.com/spreadsheets/d/1Gpl6jkTg7sL4VDNimU"&amp;"m3S9Vi1i95esohXCF3wuKOE8c"", ""'CONSOLIDADO'!G5:AB""), 19, 0), ""-""),
""""
)"),"https://arozzi.com/es/products/colonna-microphone")</f>
        <v>https://arozzi.com/es/products/colonna-microphone</v>
      </c>
      <c r="W295" s="37" t="str">
        <f>IFERROR(__xludf.DUMMYFUNCTION("IFERROR(VLOOKUP(G295,IMPORTRANGE(""https://docs.google.com/spreadsheets/d/12RxCea4e5ggM7QGn1XE3FbLQa_-QbCNdBi90OdPjRqg"", ""'Plan de Compras'!D4:Q""), 12, 0), ""NO ESTÁ EN REQ"")"),"Técnica")</f>
        <v>Técnica</v>
      </c>
      <c r="X295" s="37" t="str">
        <f>IFERROR(__xludf.DUMMYFUNCTION("IFERROR(VLOOKUP(G295,IMPORTRANGE(""https://docs.google.com/spreadsheets/d/12RxCea4e5ggM7QGn1XE3FbLQa_-QbCNdBi90OdPjRqg"", ""'Plan de Compras'!D4:Q""), 13, 0), """")"),"INTERNACIONAL")</f>
        <v>INTERNACIONAL</v>
      </c>
      <c r="Y295" s="32" t="str">
        <f>IFERROR(__xludf.DUMMYFUNCTION("IFERROR(VLOOKUP(G295,IMPORTRANGE(""https://docs.google.com/spreadsheets/d/12RxCea4e5ggM7QGn1XE3FbLQa_-QbCNdBi90OdPjRqg"", ""'Plan de Compras'!D4:Q""), 14, 0), """")"),"DIEGO ")</f>
        <v>DIEGO </v>
      </c>
      <c r="Z295" s="38" t="str">
        <f>IFERROR(__xludf.DUMMYFUNCTION("IFERROR(VLOOKUP(G295,IMPORTRANGE(""https://docs.google.com/spreadsheets/d/12RxCea4e5ggM7QGn1XE3FbLQa_-QbCNdBi90OdPjRqg"", ""'Plan de Compras'!D4:Q""), 4, 0), """")"),"MICRÓFONO DINÁMICO")</f>
        <v>MICRÓFONO DINÁMICO</v>
      </c>
      <c r="AA295" s="38" t="str">
        <f t="shared" si="16"/>
        <v>TRUE</v>
      </c>
      <c r="AB295" s="37" t="str">
        <f>IFERROR(__xludf.DUMMYFUNCTION("IFERROR(IF(OR(C295=TRUE,C295=""""),VLOOKUP(G295,IMPORTRANGE(""https://docs.google.com/spreadsheets/d/1z9A1Wq-kKrhRNG5RS2a2fKpY1wIhSVz2ZNmP2mOl588/edit?usp=sharing"",""REQ VF!E4:H""),4,0),""NO APLICA""),""GENERAR REQ"")"),"GENERAR REQ")</f>
        <v>GENERAR REQ</v>
      </c>
      <c r="AC295" s="37" t="str">
        <f>IFERROR(__xludf.DUMMYFUNCTION("IFERROR(QUERY(IMPORTRANGE(""https://docs.google.com/spreadsheets/d/1z9A1Wq-kKrhRNG5RS2a2fKpY1wIhSVz2ZNmP2mOl588/edit?usp=sharing"",""REQ VF!E4:Q""),""SELECT Col10, Col11, Col12 WHERE Col1 = '""&amp;G295&amp;""'"",0),""NO APLICA"")"),"NO APLICA")</f>
        <v>NO APLICA</v>
      </c>
      <c r="AD295" s="37"/>
      <c r="AE295" s="37"/>
      <c r="AF295" s="13"/>
      <c r="AG295" s="13"/>
    </row>
    <row r="296">
      <c r="A296" s="26"/>
      <c r="B296" s="26"/>
      <c r="C296" s="26" t="b">
        <v>1</v>
      </c>
      <c r="D296" s="26" t="s">
        <v>42</v>
      </c>
      <c r="E296" s="26" t="s">
        <v>36</v>
      </c>
      <c r="F296" s="59" t="s">
        <v>965</v>
      </c>
      <c r="G296" s="39" t="s">
        <v>965</v>
      </c>
      <c r="H296" s="40" t="s">
        <v>957</v>
      </c>
      <c r="I296" s="43">
        <v>4.0</v>
      </c>
      <c r="J296" s="26">
        <f>IFERROR(__xludf.DUMMYFUNCTION("VLOOKUP(G296,IMPORTRANGE(""https://docs.google.com/spreadsheets/d/12RxCea4e5ggM7QGn1XE3FbLQa_-QbCNdBi90OdPjRqg/edit?gid=1692403370#gid=1692403370"", ""'Plan de Compras'!D4:2432""), 8,0)"),4.0)</f>
        <v>4</v>
      </c>
      <c r="K296" s="26" t="str">
        <f t="shared" si="1"/>
        <v>SI</v>
      </c>
      <c r="L296" s="29"/>
      <c r="M296" s="61"/>
      <c r="N296" s="42"/>
      <c r="O296" s="32"/>
      <c r="P296" s="32"/>
      <c r="Q296" s="41"/>
      <c r="R296" s="61"/>
      <c r="S296" s="34" t="b">
        <v>1</v>
      </c>
      <c r="T296" s="35"/>
      <c r="U296" s="35"/>
      <c r="V296" s="36" t="s">
        <v>958</v>
      </c>
      <c r="W296" s="37" t="str">
        <f>IFERROR(__xludf.DUMMYFUNCTION("IFERROR(VLOOKUP(G296,IMPORTRANGE(""https://docs.google.com/spreadsheets/d/12RxCea4e5ggM7QGn1XE3FbLQa_-QbCNdBi90OdPjRqg"", ""'Plan de Compras'!D4:Q""), 12, 0), ""NO ESTÁ EN REQ"")"),"Técnica")</f>
        <v>Técnica</v>
      </c>
      <c r="X296" s="37" t="str">
        <f>IFERROR(__xludf.DUMMYFUNCTION("IFERROR(VLOOKUP(G296,IMPORTRANGE(""https://docs.google.com/spreadsheets/d/12RxCea4e5ggM7QGn1XE3FbLQa_-QbCNdBi90OdPjRqg"", ""'Plan de Compras'!D4:Q""), 13, 0), """")"),"INTERNACIONAL")</f>
        <v>INTERNACIONAL</v>
      </c>
      <c r="Y296" s="32" t="str">
        <f>IFERROR(__xludf.DUMMYFUNCTION("IFERROR(VLOOKUP(G296,IMPORTRANGE(""https://docs.google.com/spreadsheets/d/12RxCea4e5ggM7QGn1XE3FbLQa_-QbCNdBi90OdPjRqg"", ""'Plan de Compras'!D4:Q""), 14, 0), """")"),"DIEGO ")</f>
        <v>DIEGO </v>
      </c>
      <c r="Z296" s="38" t="str">
        <f>IFERROR(__xludf.DUMMYFUNCTION("IFERROR(VLOOKUP(G296,IMPORTRANGE(""https://docs.google.com/spreadsheets/d/12RxCea4e5ggM7QGn1XE3FbLQa_-QbCNdBi90OdPjRqg"", ""'Plan de Compras'!D4:Q""), 4, 0), """")"),"BRAZO ARTICULADO ACOPLABLE (5/8"")")</f>
        <v>BRAZO ARTICULADO ACOPLABLE (5/8")</v>
      </c>
      <c r="AA296" s="38" t="str">
        <f t="shared" si="16"/>
        <v>TRUE</v>
      </c>
      <c r="AB296" s="37" t="str">
        <f>IFERROR(__xludf.DUMMYFUNCTION("IFERROR(IF(OR(C296=TRUE,C296=""""),VLOOKUP(G296,IMPORTRANGE(""https://docs.google.com/spreadsheets/d/1z9A1Wq-kKrhRNG5RS2a2fKpY1wIhSVz2ZNmP2mOl588/edit?usp=sharing"",""REQ VF!E4:H""),4,0),""NO APLICA""),""GENERAR REQ"")"),"GENERAR REQ")</f>
        <v>GENERAR REQ</v>
      </c>
      <c r="AC296" s="37" t="str">
        <f>IFERROR(__xludf.DUMMYFUNCTION("IFERROR(QUERY(IMPORTRANGE(""https://docs.google.com/spreadsheets/d/1z9A1Wq-kKrhRNG5RS2a2fKpY1wIhSVz2ZNmP2mOl588/edit?usp=sharing"",""REQ VF!E4:Q""),""SELECT Col10, Col11, Col12 WHERE Col1 = '""&amp;G296&amp;""'"",0),""NO APLICA"")"),"NO APLICA")</f>
        <v>NO APLICA</v>
      </c>
      <c r="AD296" s="37"/>
      <c r="AE296" s="37"/>
      <c r="AF296" s="13"/>
      <c r="AG296" s="13"/>
    </row>
    <row r="297">
      <c r="A297" s="26">
        <v>128.0</v>
      </c>
      <c r="B297" s="26" t="b">
        <v>1</v>
      </c>
      <c r="C297" s="26" t="b">
        <v>1</v>
      </c>
      <c r="D297" s="26" t="s">
        <v>35</v>
      </c>
      <c r="E297" s="26" t="s">
        <v>36</v>
      </c>
      <c r="F297" s="27" t="s">
        <v>966</v>
      </c>
      <c r="G297" s="39" t="s">
        <v>966</v>
      </c>
      <c r="H297" s="45" t="s">
        <v>967</v>
      </c>
      <c r="I297" s="26">
        <f>SUMIFS('Hoja 10'!$O:$O,'Hoja 10'!$F:$F,$G297)</f>
        <v>4</v>
      </c>
      <c r="J297" s="26">
        <f>IFERROR(__xludf.DUMMYFUNCTION("VLOOKUP(G297,IMPORTRANGE(""https://docs.google.com/spreadsheets/d/12RxCea4e5ggM7QGn1XE3FbLQa_-QbCNdBi90OdPjRqg/edit?gid=1692403370#gid=1692403370"", ""'Plan de Compras'!D4:2432""), 8,0)"),4.0)</f>
        <v>4</v>
      </c>
      <c r="K297" s="26" t="str">
        <f t="shared" si="1"/>
        <v>SI</v>
      </c>
      <c r="L297" s="29" t="s">
        <v>122</v>
      </c>
      <c r="M297" s="30" t="s">
        <v>123</v>
      </c>
      <c r="N297" s="42"/>
      <c r="O297" s="32" t="str">
        <f>VLOOKUP($G297,'Hoja 10'!$F$4:$AA478, 19,0)</f>
        <v>TOTAL TOOLS</v>
      </c>
      <c r="P297" s="32" t="str">
        <f>VLOOKUP($G297,'Hoja 10'!$F$4:$AA478, 20,0)</f>
        <v>TG501032</v>
      </c>
      <c r="Q297" s="33" t="str">
        <f>VLOOKUP($G297,'Hoja 10'!$F$4:$AA478, 21,0)</f>
        <v>https://www.totalbusiness.com/product/mini-grinder/TG501032</v>
      </c>
      <c r="R297" s="30" t="s">
        <v>968</v>
      </c>
      <c r="S297" s="34" t="b">
        <v>1</v>
      </c>
      <c r="T297" s="35" t="str">
        <f>IFERROR(__xludf.DUMMYFUNCTION(" IF
( VLOOKUP($G297,IMPORTRANGE(""https://docs.google.com/spreadsheets/d/1Gpl6jkTg7sL4VDNimUm3S9Vi1i95esohXCF3wuKOE8c"", ""'CONSOLIDADO'!G5:AB""), 10, 0) &lt;&gt; 0, 
IFERROR(VLOOKUP($G297,IMPORTRANGE(""https://docs.google.com/spreadsheets/d/1Gpl6jkTg7sL4VDNimU"&amp;"m3S9Vi1i95esohXCF3wuKOE8c"", ""'CONSOLIDADO'!G5:AB""), 17, 0), ""-""),
""""
)"),"TOTAL")</f>
        <v>TOTAL</v>
      </c>
      <c r="U297" s="35" t="str">
        <f>IFERROR(__xludf.DUMMYFUNCTION(" IF
( VLOOKUP($G297,IMPORTRANGE(""https://docs.google.com/spreadsheets/d/1Gpl6jkTg7sL4VDNimUm3S9Vi1i95esohXCF3wuKOE8c"", ""'CONSOLIDADO'!G5:AB""), 10, 0) &lt;&gt; 0, 
IFERROR(VLOOKUP($G297,IMPORTRANGE(""https://docs.google.com/spreadsheets/d/1Gpl6jkTg7sL4VDNimU"&amp;"m3S9Vi1i95esohXCF3wuKOE8c"", ""'CONSOLIDADO'!G5:AB""), 18, 0), ""-""),
""""
)"),"TG513326")</f>
        <v>TG513326</v>
      </c>
      <c r="V297" s="36" t="str">
        <f>IFERROR(__xludf.DUMMYFUNCTION(" IF
( VLOOKUP($G297,IMPORTRANGE(""https://docs.google.com/spreadsheets/d/1Gpl6jkTg7sL4VDNimUm3S9Vi1i95esohXCF3wuKOE8c"", ""'CONSOLIDADO'!G5:AB""), 10, 0) &lt;&gt; 0, 
IFERROR(VLOOKUP($G297,IMPORTRANGE(""https://docs.google.com/spreadsheets/d/1Gpl6jkTg7sL4VDNimU"&amp;"m3S9Vi1i95esohXCF3wuKOE8c"", ""'CONSOLIDADO'!G5:AB""), 19, 0), ""-""),
""""
)"),"https://www.totalbusiness.com/pe/product/mini-grinder/TG501032")</f>
        <v>https://www.totalbusiness.com/pe/product/mini-grinder/TG501032</v>
      </c>
      <c r="W297" s="37" t="str">
        <f>IFERROR(__xludf.DUMMYFUNCTION("IFERROR(VLOOKUP(G297,IMPORTRANGE(""https://docs.google.com/spreadsheets/d/12RxCea4e5ggM7QGn1XE3FbLQa_-QbCNdBi90OdPjRqg"", ""'Plan de Compras'!D4:Q""), 12, 0), ""NO ESTÁ EN REQ"")"),"Técnica")</f>
        <v>Técnica</v>
      </c>
      <c r="X297" s="37" t="str">
        <f>IFERROR(__xludf.DUMMYFUNCTION("IFERROR(VLOOKUP(G297,IMPORTRANGE(""https://docs.google.com/spreadsheets/d/12RxCea4e5ggM7QGn1XE3FbLQa_-QbCNdBi90OdPjRqg"", ""'Plan de Compras'!D4:Q""), 13, 0), """")"),"NACIONAL")</f>
        <v>NACIONAL</v>
      </c>
      <c r="Y297" s="32" t="str">
        <f>IFERROR(__xludf.DUMMYFUNCTION("IFERROR(VLOOKUP(G297,IMPORTRANGE(""https://docs.google.com/spreadsheets/d/12RxCea4e5ggM7QGn1XE3FbLQa_-QbCNdBi90OdPjRqg"", ""'Plan de Compras'!D4:Q""), 14, 0), """")"),"GEANFRANCO")</f>
        <v>GEANFRANCO</v>
      </c>
      <c r="Z297" s="38" t="str">
        <f>IFERROR(__xludf.DUMMYFUNCTION("IFERROR(VLOOKUP(G297,IMPORTRANGE(""https://docs.google.com/spreadsheets/d/12RxCea4e5ggM7QGn1XE3FbLQa_-QbCNdBi90OdPjRqg"", ""'Plan de Compras'!D4:Q""), 4, 0), """")"),"MINITALADRO PORTATIL")</f>
        <v>MINITALADRO PORTATIL</v>
      </c>
      <c r="AA297" s="38" t="str">
        <f t="shared" si="16"/>
        <v>TRUE</v>
      </c>
      <c r="AB297" s="37" t="str">
        <f>IFERROR(__xludf.DUMMYFUNCTION("IFERROR(IF(OR(C297=TRUE,C297=""""),VLOOKUP(G297,IMPORTRANGE(""https://docs.google.com/spreadsheets/d/1z9A1Wq-kKrhRNG5RS2a2fKpY1wIhSVz2ZNmP2mOl588/edit?usp=sharing"",""REQ VF!E4:H""),4,0),""NO APLICA""),""GENERAR REQ"")"),"GENERAR REQ")</f>
        <v>GENERAR REQ</v>
      </c>
      <c r="AC297" s="37" t="str">
        <f>IFERROR(__xludf.DUMMYFUNCTION("IFERROR(QUERY(IMPORTRANGE(""https://docs.google.com/spreadsheets/d/1z9A1Wq-kKrhRNG5RS2a2fKpY1wIhSVz2ZNmP2mOl588/edit?usp=sharing"",""REQ VF!E4:Q""),""SELECT Col10, Col11, Col12 WHERE Col1 = '""&amp;G297&amp;""'"",0),""NO APLICA"")"),"NO APLICA")</f>
        <v>NO APLICA</v>
      </c>
      <c r="AD297" s="37"/>
      <c r="AE297" s="37"/>
      <c r="AF297" s="13"/>
      <c r="AG297" s="13"/>
    </row>
    <row r="298">
      <c r="A298" s="26">
        <v>129.0</v>
      </c>
      <c r="B298" s="26" t="b">
        <v>1</v>
      </c>
      <c r="C298" s="26" t="b">
        <v>1</v>
      </c>
      <c r="D298" s="26" t="s">
        <v>35</v>
      </c>
      <c r="E298" s="26" t="s">
        <v>36</v>
      </c>
      <c r="F298" s="27" t="s">
        <v>969</v>
      </c>
      <c r="G298" s="37" t="s">
        <v>969</v>
      </c>
      <c r="H298" s="45" t="s">
        <v>970</v>
      </c>
      <c r="I298" s="43">
        <f>SUMIFS('Hoja 10'!$O:$O,'Hoja 10'!$F:$F,$G298)</f>
        <v>12</v>
      </c>
      <c r="J298" s="26">
        <f>IFERROR(__xludf.DUMMYFUNCTION("VLOOKUP(G298,IMPORTRANGE(""https://docs.google.com/spreadsheets/d/12RxCea4e5ggM7QGn1XE3FbLQa_-QbCNdBi90OdPjRqg/edit?gid=1692403370#gid=1692403370"", ""'Plan de Compras'!D4:2432""), 8,0)"),12.0)</f>
        <v>12</v>
      </c>
      <c r="K298" s="26" t="str">
        <f t="shared" si="1"/>
        <v>SI</v>
      </c>
      <c r="L298" s="29" t="s">
        <v>180</v>
      </c>
      <c r="M298" s="30" t="s">
        <v>181</v>
      </c>
      <c r="N298" s="42"/>
      <c r="O298" s="32" t="str">
        <f>VLOOKUP($G298,'Hoja 10'!$F$4:$AA478, 19,0)</f>
        <v>Genérico</v>
      </c>
      <c r="P298" s="32" t="str">
        <f>VLOOKUP($G298,'Hoja 10'!$F$4:$AA478, 20,0)</f>
        <v>HC-05</v>
      </c>
      <c r="Q298" s="33" t="str">
        <f>VLOOKUP($G298,'Hoja 10'!$F$4:$AA478, 21,0)</f>
        <v>https://naylampmechatronics.com/inalambrico/43-modulo-bluetooth-hc05.html</v>
      </c>
      <c r="R298" s="30" t="s">
        <v>971</v>
      </c>
      <c r="S298" s="34" t="b">
        <v>1</v>
      </c>
      <c r="T298" s="35" t="str">
        <f>IFERROR(__xludf.DUMMYFUNCTION(" IF
( VLOOKUP($G298,IMPORTRANGE(""https://docs.google.com/spreadsheets/d/1Gpl6jkTg7sL4VDNimUm3S9Vi1i95esohXCF3wuKOE8c"", ""'CONSOLIDADO'!G5:AB""), 10, 0) &lt;&gt; 0, 
IFERROR(VLOOKUP($G298,IMPORTRANGE(""https://docs.google.com/spreadsheets/d/1Gpl6jkTg7sL4VDNimU"&amp;"m3S9Vi1i95esohXCF3wuKOE8c"", ""'CONSOLIDADO'!G5:AB""), 17, 0), ""-""),
""""
)"),"SINGAPUR ELECTRONICS")</f>
        <v>SINGAPUR ELECTRONICS</v>
      </c>
      <c r="U298" s="35" t="str">
        <f>IFERROR(__xludf.DUMMYFUNCTION(" IF
( VLOOKUP($G298,IMPORTRANGE(""https://docs.google.com/spreadsheets/d/1Gpl6jkTg7sL4VDNimUm3S9Vi1i95esohXCF3wuKOE8c"", ""'CONSOLIDADO'!G5:AB""), 10, 0) &lt;&gt; 0, 
IFERROR(VLOOKUP($G298,IMPORTRANGE(""https://docs.google.com/spreadsheets/d/1Gpl6jkTg7sL4VDNimU"&amp;"m3S9Vi1i95esohXCF3wuKOE8c"", ""'CONSOLIDADO'!G5:AB""), 18, 0), ""-""),
""""
)"),"HC-05")</f>
        <v>HC-05</v>
      </c>
      <c r="V298" s="36" t="str">
        <f>IFERROR(__xludf.DUMMYFUNCTION(" IF
( VLOOKUP($G298,IMPORTRANGE(""https://docs.google.com/spreadsheets/d/1Gpl6jkTg7sL4VDNimUm3S9Vi1i95esohXCF3wuKOE8c"", ""'CONSOLIDADO'!G5:AB""), 10, 0) &lt;&gt; 0, 
IFERROR(VLOOKUP($G298,IMPORTRANGE(""https://docs.google.com/spreadsheets/d/1Gpl6jkTg7sL4VDNimU"&amp;"m3S9Vi1i95esohXCF3wuKOE8c"", ""'CONSOLIDADO'!G5:AB""), 19, 0), ""-""),
""""
)"),"https://naylampmechatronics.com/inalambrico/43-modulo-bluetooth-hc05.html")</f>
        <v>https://naylampmechatronics.com/inalambrico/43-modulo-bluetooth-hc05.html</v>
      </c>
      <c r="W298" s="37" t="str">
        <f>IFERROR(__xludf.DUMMYFUNCTION("IFERROR(VLOOKUP(G298,IMPORTRANGE(""https://docs.google.com/spreadsheets/d/12RxCea4e5ggM7QGn1XE3FbLQa_-QbCNdBi90OdPjRqg"", ""'Plan de Compras'!D4:Q""), 12, 0), ""NO ESTÁ EN REQ"")"),"Técnica")</f>
        <v>Técnica</v>
      </c>
      <c r="X298" s="37" t="str">
        <f>IFERROR(__xludf.DUMMYFUNCTION("IFERROR(VLOOKUP(G298,IMPORTRANGE(""https://docs.google.com/spreadsheets/d/12RxCea4e5ggM7QGn1XE3FbLQa_-QbCNdBi90OdPjRqg"", ""'Plan de Compras'!D4:Q""), 13, 0), """")"),"NACIONAL")</f>
        <v>NACIONAL</v>
      </c>
      <c r="Y298" s="32" t="str">
        <f>IFERROR(__xludf.DUMMYFUNCTION("IFERROR(VLOOKUP(G298,IMPORTRANGE(""https://docs.google.com/spreadsheets/d/12RxCea4e5ggM7QGn1XE3FbLQa_-QbCNdBi90OdPjRqg"", ""'Plan de Compras'!D4:Q""), 14, 0), """")"),"ALFIO")</f>
        <v>ALFIO</v>
      </c>
      <c r="Z298" s="38" t="str">
        <f>IFERROR(__xludf.DUMMYFUNCTION("IFERROR(VLOOKUP(G298,IMPORTRANGE(""https://docs.google.com/spreadsheets/d/12RxCea4e5ggM7QGn1XE3FbLQa_-QbCNdBi90OdPjRqg"", ""'Plan de Compras'!D4:Q""), 4, 0), """")"),"MÓDULO DE BLUETOOTH TIPO HC-05 PARA PLATAFORMA ELECTRÓNICA")</f>
        <v>MÓDULO DE BLUETOOTH TIPO HC-05 PARA PLATAFORMA ELECTRÓNICA</v>
      </c>
      <c r="AA298" s="38" t="str">
        <f t="shared" si="16"/>
        <v>FALSE</v>
      </c>
      <c r="AB298" s="37" t="str">
        <f>IFERROR(__xludf.DUMMYFUNCTION("IFERROR(IF(OR(C298=TRUE,C298=""""),VLOOKUP(G298,IMPORTRANGE(""https://docs.google.com/spreadsheets/d/1z9A1Wq-kKrhRNG5RS2a2fKpY1wIhSVz2ZNmP2mOl588/edit?usp=sharing"",""REQ VF!E4:H""),4,0),""NO APLICA""),""GENERAR REQ"")"),"GENERAR REQ")</f>
        <v>GENERAR REQ</v>
      </c>
      <c r="AC298" s="37" t="str">
        <f>IFERROR(__xludf.DUMMYFUNCTION("IFERROR(QUERY(IMPORTRANGE(""https://docs.google.com/spreadsheets/d/1z9A1Wq-kKrhRNG5RS2a2fKpY1wIhSVz2ZNmP2mOl588/edit?usp=sharing"",""REQ VF!E4:Q""),""SELECT Col10, Col11, Col12 WHERE Col1 = '""&amp;G298&amp;""'"",0),""NO APLICA"")"),"NO APLICA")</f>
        <v>NO APLICA</v>
      </c>
      <c r="AD298" s="37"/>
      <c r="AE298" s="37"/>
      <c r="AF298" s="8" t="s">
        <v>52</v>
      </c>
      <c r="AG298" s="71"/>
    </row>
    <row r="299">
      <c r="A299" s="26">
        <v>130.0</v>
      </c>
      <c r="B299" s="26" t="b">
        <v>1</v>
      </c>
      <c r="C299" s="26" t="b">
        <v>1</v>
      </c>
      <c r="D299" s="26" t="s">
        <v>35</v>
      </c>
      <c r="E299" s="26" t="s">
        <v>36</v>
      </c>
      <c r="F299" s="27" t="s">
        <v>972</v>
      </c>
      <c r="G299" s="37" t="s">
        <v>972</v>
      </c>
      <c r="H299" s="45" t="s">
        <v>973</v>
      </c>
      <c r="I299" s="43">
        <f>SUMIFS('Hoja 10'!$O:$O,'Hoja 10'!$F:$F,$G299)</f>
        <v>12</v>
      </c>
      <c r="J299" s="26">
        <f>IFERROR(__xludf.DUMMYFUNCTION("VLOOKUP(G299,IMPORTRANGE(""https://docs.google.com/spreadsheets/d/12RxCea4e5ggM7QGn1XE3FbLQa_-QbCNdBi90OdPjRqg/edit?gid=1692403370#gid=1692403370"", ""'Plan de Compras'!D4:2432""), 8,0)"),12.0)</f>
        <v>12</v>
      </c>
      <c r="K299" s="26" t="str">
        <f t="shared" si="1"/>
        <v>SI</v>
      </c>
      <c r="L299" s="29" t="s">
        <v>180</v>
      </c>
      <c r="M299" s="30" t="s">
        <v>181</v>
      </c>
      <c r="N299" s="42"/>
      <c r="O299" s="32" t="str">
        <f>VLOOKUP($G299,'Hoja 10'!$F$4:$AA478, 19,0)</f>
        <v>Genérico</v>
      </c>
      <c r="P299" s="32" t="str">
        <f>VLOOKUP($G299,'Hoja 10'!$F$4:$AA478, 20,0)</f>
        <v>HC06</v>
      </c>
      <c r="Q299" s="33" t="str">
        <f>VLOOKUP($G299,'Hoja 10'!$F$4:$AA478, 21,0)</f>
        <v>https://naylampmechatronics.com/inalambrico/24-modulo-bluetooth-hc06.html</v>
      </c>
      <c r="R299" s="30" t="s">
        <v>974</v>
      </c>
      <c r="S299" s="34" t="b">
        <v>1</v>
      </c>
      <c r="T299" s="35" t="str">
        <f>IFERROR(__xludf.DUMMYFUNCTION(" IF
( VLOOKUP($G299,IMPORTRANGE(""https://docs.google.com/spreadsheets/d/1Gpl6jkTg7sL4VDNimUm3S9Vi1i95esohXCF3wuKOE8c"", ""'CONSOLIDADO'!G5:AB""), 10, 0) &lt;&gt; 0, 
IFERROR(VLOOKUP($G299,IMPORTRANGE(""https://docs.google.com/spreadsheets/d/1Gpl6jkTg7sL4VDNimU"&amp;"m3S9Vi1i95esohXCF3wuKOE8c"", ""'CONSOLIDADO'!G5:AB""), 17, 0), ""-""),
""""
)"),"SINGAPUR ELECTRONICS")</f>
        <v>SINGAPUR ELECTRONICS</v>
      </c>
      <c r="U299" s="35" t="str">
        <f>IFERROR(__xludf.DUMMYFUNCTION(" IF
( VLOOKUP($G299,IMPORTRANGE(""https://docs.google.com/spreadsheets/d/1Gpl6jkTg7sL4VDNimUm3S9Vi1i95esohXCF3wuKOE8c"", ""'CONSOLIDADO'!G5:AB""), 10, 0) &lt;&gt; 0, 
IFERROR(VLOOKUP($G299,IMPORTRANGE(""https://docs.google.com/spreadsheets/d/1Gpl6jkTg7sL4VDNimU"&amp;"m3S9Vi1i95esohXCF3wuKOE8c"", ""'CONSOLIDADO'!G5:AB""), 18, 0), ""-""),
""""
)"),"HC-06")</f>
        <v>HC-06</v>
      </c>
      <c r="V299" s="36" t="str">
        <f>IFERROR(__xludf.DUMMYFUNCTION(" IF
( VLOOKUP($G299,IMPORTRANGE(""https://docs.google.com/spreadsheets/d/1Gpl6jkTg7sL4VDNimUm3S9Vi1i95esohXCF3wuKOE8c"", ""'CONSOLIDADO'!G5:AB""), 10, 0) &lt;&gt; 0, 
IFERROR(VLOOKUP($G299,IMPORTRANGE(""https://docs.google.com/spreadsheets/d/1Gpl6jkTg7sL4VDNimU"&amp;"m3S9Vi1i95esohXCF3wuKOE8c"", ""'CONSOLIDADO'!G5:AB""), 19, 0), ""-""),
""""
)"),"https://naylampmechatronics.com/inalambrico/24-modulo-bluetooth-hc06.html")</f>
        <v>https://naylampmechatronics.com/inalambrico/24-modulo-bluetooth-hc06.html</v>
      </c>
      <c r="W299" s="37" t="str">
        <f>IFERROR(__xludf.DUMMYFUNCTION("IFERROR(VLOOKUP(G299,IMPORTRANGE(""https://docs.google.com/spreadsheets/d/12RxCea4e5ggM7QGn1XE3FbLQa_-QbCNdBi90OdPjRqg"", ""'Plan de Compras'!D4:Q""), 12, 0), ""NO ESTÁ EN REQ"")"),"Técnica")</f>
        <v>Técnica</v>
      </c>
      <c r="X299" s="37" t="str">
        <f>IFERROR(__xludf.DUMMYFUNCTION("IFERROR(VLOOKUP(G299,IMPORTRANGE(""https://docs.google.com/spreadsheets/d/12RxCea4e5ggM7QGn1XE3FbLQa_-QbCNdBi90OdPjRqg"", ""'Plan de Compras'!D4:Q""), 13, 0), """")"),"NACIONAL")</f>
        <v>NACIONAL</v>
      </c>
      <c r="Y299" s="32" t="str">
        <f>IFERROR(__xludf.DUMMYFUNCTION("IFERROR(VLOOKUP(G299,IMPORTRANGE(""https://docs.google.com/spreadsheets/d/12RxCea4e5ggM7QGn1XE3FbLQa_-QbCNdBi90OdPjRqg"", ""'Plan de Compras'!D4:Q""), 14, 0), """")"),"ALFIO")</f>
        <v>ALFIO</v>
      </c>
      <c r="Z299" s="38" t="str">
        <f>IFERROR(__xludf.DUMMYFUNCTION("IFERROR(VLOOKUP(G299,IMPORTRANGE(""https://docs.google.com/spreadsheets/d/12RxCea4e5ggM7QGn1XE3FbLQa_-QbCNdBi90OdPjRqg"", ""'Plan de Compras'!D4:Q""), 4, 0), """")"),"MÓDULO DE BLUETOOTH TIPO HC-06 PARA PLATAFORMA ELECTRÓNICA")</f>
        <v>MÓDULO DE BLUETOOTH TIPO HC-06 PARA PLATAFORMA ELECTRÓNICA</v>
      </c>
      <c r="AA299" s="38" t="str">
        <f t="shared" si="16"/>
        <v>FALSE</v>
      </c>
      <c r="AB299" s="37" t="str">
        <f>IFERROR(__xludf.DUMMYFUNCTION("IFERROR(IF(OR(C299=TRUE,C299=""""),VLOOKUP(G299,IMPORTRANGE(""https://docs.google.com/spreadsheets/d/1z9A1Wq-kKrhRNG5RS2a2fKpY1wIhSVz2ZNmP2mOl588/edit?usp=sharing"",""REQ VF!E4:H""),4,0),""NO APLICA""),""GENERAR REQ"")"),"GENERAR REQ")</f>
        <v>GENERAR REQ</v>
      </c>
      <c r="AC299" s="37" t="str">
        <f>IFERROR(__xludf.DUMMYFUNCTION("IFERROR(QUERY(IMPORTRANGE(""https://docs.google.com/spreadsheets/d/1z9A1Wq-kKrhRNG5RS2a2fKpY1wIhSVz2ZNmP2mOl588/edit?usp=sharing"",""REQ VF!E4:Q""),""SELECT Col10, Col11, Col12 WHERE Col1 = '""&amp;G299&amp;""'"",0),""NO APLICA"")"),"NO APLICA")</f>
        <v>NO APLICA</v>
      </c>
      <c r="AD299" s="37"/>
      <c r="AE299" s="37"/>
      <c r="AF299" s="8" t="s">
        <v>52</v>
      </c>
      <c r="AG299" s="71"/>
    </row>
    <row r="300">
      <c r="A300" s="26">
        <v>131.0</v>
      </c>
      <c r="B300" s="26" t="b">
        <v>1</v>
      </c>
      <c r="C300" s="26" t="b">
        <v>1</v>
      </c>
      <c r="D300" s="26" t="s">
        <v>35</v>
      </c>
      <c r="E300" s="26" t="s">
        <v>36</v>
      </c>
      <c r="F300" s="27" t="s">
        <v>975</v>
      </c>
      <c r="G300" s="37" t="s">
        <v>975</v>
      </c>
      <c r="H300" s="45" t="s">
        <v>976</v>
      </c>
      <c r="I300" s="43">
        <f>SUMIFS('Hoja 10'!$O:$O,'Hoja 10'!$F:$F,$G300)</f>
        <v>4</v>
      </c>
      <c r="J300" s="26">
        <f>IFERROR(__xludf.DUMMYFUNCTION("VLOOKUP(G300,IMPORTRANGE(""https://docs.google.com/spreadsheets/d/12RxCea4e5ggM7QGn1XE3FbLQa_-QbCNdBi90OdPjRqg/edit?gid=1692403370#gid=1692403370"", ""'Plan de Compras'!D4:2432""), 8,0)"),4.0)</f>
        <v>4</v>
      </c>
      <c r="K300" s="26" t="str">
        <f t="shared" si="1"/>
        <v>SI</v>
      </c>
      <c r="L300" s="29" t="s">
        <v>122</v>
      </c>
      <c r="M300" s="30" t="s">
        <v>123</v>
      </c>
      <c r="N300" s="42"/>
      <c r="O300" s="32" t="str">
        <f>VLOOKUP($G300,'Hoja 10'!$F$4:$AA478, 19,0)</f>
        <v>K&amp;H</v>
      </c>
      <c r="P300" s="32" t="str">
        <f>VLOOKUP($G300,'Hoja 10'!$F$4:$AA478, 20,0)</f>
        <v>ETS-7000B Digital-Analog Training System</v>
      </c>
      <c r="Q300" s="33" t="str">
        <f>VLOOKUP($G300,'Hoja 10'!$F$4:$AA478, 21,0)</f>
        <v>https://es.kandh.com.tw/ets-7000b-digital-analog-training-system-ets-7000b.html</v>
      </c>
      <c r="R300" s="30" t="s">
        <v>977</v>
      </c>
      <c r="S300" s="34" t="b">
        <v>1</v>
      </c>
      <c r="T300" s="35" t="str">
        <f>IFERROR(__xludf.DUMMYFUNCTION(" IF
( VLOOKUP($G300,IMPORTRANGE(""https://docs.google.com/spreadsheets/d/1Gpl6jkTg7sL4VDNimUm3S9Vi1i95esohXCF3wuKOE8c"", ""'CONSOLIDADO'!G5:AB""), 10, 0) &lt;&gt; 0, 
IFERROR(VLOOKUP($G300,IMPORTRANGE(""https://docs.google.com/spreadsheets/d/1Gpl6jkTg7sL4VDNimU"&amp;"m3S9Vi1i95esohXCF3wuKOE8c"", ""'CONSOLIDADO'!G5:AB""), 17, 0), ""-""),
""""
)"),"K&amp;H")</f>
        <v>K&amp;H</v>
      </c>
      <c r="U300" s="35" t="str">
        <f>IFERROR(__xludf.DUMMYFUNCTION(" IF
( VLOOKUP($G300,IMPORTRANGE(""https://docs.google.com/spreadsheets/d/1Gpl6jkTg7sL4VDNimUm3S9Vi1i95esohXCF3wuKOE8c"", ""'CONSOLIDADO'!G5:AB""), 10, 0) &lt;&gt; 0, 
IFERROR(VLOOKUP($G300,IMPORTRANGE(""https://docs.google.com/spreadsheets/d/1Gpl6jkTg7sL4VDNimU"&amp;"m3S9Vi1i95esohXCF3wuKOE8c"", ""'CONSOLIDADO'!G5:AB""), 18, 0), ""-""),
""""
)"),"ETS-7000B Digital-Analog Training System")</f>
        <v>ETS-7000B Digital-Analog Training System</v>
      </c>
      <c r="V300" s="36" t="str">
        <f>IFERROR(__xludf.DUMMYFUNCTION(" IF
( VLOOKUP($G300,IMPORTRANGE(""https://docs.google.com/spreadsheets/d/1Gpl6jkTg7sL4VDNimUm3S9Vi1i95esohXCF3wuKOE8c"", ""'CONSOLIDADO'!G5:AB""), 10, 0) &lt;&gt; 0, 
IFERROR(VLOOKUP($G300,IMPORTRANGE(""https://docs.google.com/spreadsheets/d/1Gpl6jkTg7sL4VDNimU"&amp;"m3S9Vi1i95esohXCF3wuKOE8c"", ""'CONSOLIDADO'!G5:AB""), 19, 0), ""-""),
""""
)"),"https://es.kandh.com.tw/ets-7000b-digital-analog-training-system-ets-7000b.html")</f>
        <v>https://es.kandh.com.tw/ets-7000b-digital-analog-training-system-ets-7000b.html</v>
      </c>
      <c r="W300" s="37" t="str">
        <f>IFERROR(__xludf.DUMMYFUNCTION("IFERROR(VLOOKUP(G300,IMPORTRANGE(""https://docs.google.com/spreadsheets/d/12RxCea4e5ggM7QGn1XE3FbLQa_-QbCNdBi90OdPjRqg"", ""'Plan de Compras'!D4:Q""), 12, 0), ""NO ESTÁ EN REQ"")"),"Técnica")</f>
        <v>Técnica</v>
      </c>
      <c r="X300" s="37" t="str">
        <f>IFERROR(__xludf.DUMMYFUNCTION("IFERROR(VLOOKUP(G300,IMPORTRANGE(""https://docs.google.com/spreadsheets/d/12RxCea4e5ggM7QGn1XE3FbLQa_-QbCNdBi90OdPjRqg"", ""'Plan de Compras'!D4:Q""), 13, 0), """")"),"INTERNACIONAL")</f>
        <v>INTERNACIONAL</v>
      </c>
      <c r="Y300" s="32" t="str">
        <f>IFERROR(__xludf.DUMMYFUNCTION("IFERROR(VLOOKUP(G300,IMPORTRANGE(""https://docs.google.com/spreadsheets/d/12RxCea4e5ggM7QGn1XE3FbLQa_-QbCNdBi90OdPjRqg"", ""'Plan de Compras'!D4:Q""), 14, 0), """")"),"JIMENA")</f>
        <v>JIMENA</v>
      </c>
      <c r="Z300" s="38" t="str">
        <f>IFERROR(__xludf.DUMMYFUNCTION("IFERROR(VLOOKUP(G300,IMPORTRANGE(""https://docs.google.com/spreadsheets/d/12RxCea4e5ggM7QGn1XE3FbLQa_-QbCNdBi90OdPjRqg"", ""'Plan de Compras'!D4:Q""), 4, 0), """")"),"MÓDULO DE ENTRENAMIENTO PARA EL DESARROLLO DE CIRCUITOS ELECTRÓNICOS ANALÓGICOS Y DIGITALES")</f>
        <v>MÓDULO DE ENTRENAMIENTO PARA EL DESARROLLO DE CIRCUITOS ELECTRÓNICOS ANALÓGICOS Y DIGITALES</v>
      </c>
      <c r="AA300" s="38" t="str">
        <f t="shared" si="16"/>
        <v>TRUE</v>
      </c>
      <c r="AB300" s="37" t="str">
        <f>IFERROR(__xludf.DUMMYFUNCTION("IFERROR(IF(OR(C300=TRUE,C300=""""),VLOOKUP(G300,IMPORTRANGE(""https://docs.google.com/spreadsheets/d/1z9A1Wq-kKrhRNG5RS2a2fKpY1wIhSVz2ZNmP2mOl588/edit?usp=sharing"",""REQ VF!E4:H""),4,0),""NO APLICA""),""GENERAR REQ"")"),"GENERAR REQ")</f>
        <v>GENERAR REQ</v>
      </c>
      <c r="AC300" s="37" t="str">
        <f>IFERROR(__xludf.DUMMYFUNCTION("IFERROR(QUERY(IMPORTRANGE(""https://docs.google.com/spreadsheets/d/1z9A1Wq-kKrhRNG5RS2a2fKpY1wIhSVz2ZNmP2mOl588/edit?usp=sharing"",""REQ VF!E4:Q""),""SELECT Col10, Col11, Col12 WHERE Col1 = '""&amp;G300&amp;""'"",0),""NO APLICA"")"),"NO APLICA")</f>
        <v>NO APLICA</v>
      </c>
      <c r="AD300" s="37"/>
      <c r="AE300" s="37"/>
      <c r="AF300" s="8" t="s">
        <v>52</v>
      </c>
      <c r="AG300" s="13"/>
    </row>
    <row r="301">
      <c r="A301" s="26">
        <v>132.0</v>
      </c>
      <c r="B301" s="26" t="b">
        <v>1</v>
      </c>
      <c r="C301" s="26" t="b">
        <v>1</v>
      </c>
      <c r="D301" s="26" t="s">
        <v>35</v>
      </c>
      <c r="E301" s="26" t="s">
        <v>36</v>
      </c>
      <c r="F301" s="27" t="s">
        <v>978</v>
      </c>
      <c r="G301" s="37" t="s">
        <v>978</v>
      </c>
      <c r="H301" s="45" t="s">
        <v>979</v>
      </c>
      <c r="I301" s="43">
        <f>SUMIFS('Hoja 10'!$O:$O,'Hoja 10'!$F:$F,$G301)</f>
        <v>12</v>
      </c>
      <c r="J301" s="26">
        <f>IFERROR(__xludf.DUMMYFUNCTION("VLOOKUP(G301,IMPORTRANGE(""https://docs.google.com/spreadsheets/d/12RxCea4e5ggM7QGn1XE3FbLQa_-QbCNdBi90OdPjRqg/edit?gid=1692403370#gid=1692403370"", ""'Plan de Compras'!D4:2432""), 8,0)"),12.0)</f>
        <v>12</v>
      </c>
      <c r="K301" s="26" t="str">
        <f t="shared" si="1"/>
        <v>SI</v>
      </c>
      <c r="L301" s="29" t="s">
        <v>180</v>
      </c>
      <c r="M301" s="30" t="s">
        <v>181</v>
      </c>
      <c r="N301" s="42"/>
      <c r="O301" s="32" t="str">
        <f>VLOOKUP($G301,'Hoja 10'!$F$4:$AA478, 19,0)</f>
        <v>Schneider Electric</v>
      </c>
      <c r="P301" s="32" t="str">
        <f>VLOOKUP($G301,'Hoja 10'!$F$4:$AA478, 20,0)</f>
        <v>SR3B261BD</v>
      </c>
      <c r="Q301" s="33" t="str">
        <f>VLOOKUP($G301,'Hoja 10'!$F$4:$AA478, 21,0)</f>
        <v>https://www.se.com/cl/es/product/SR3B261BD/rele-zelio-16-entradas-10-salidas-con-reloj-24v-dc-con-display/</v>
      </c>
      <c r="R301" s="30" t="s">
        <v>980</v>
      </c>
      <c r="S301" s="34" t="b">
        <v>1</v>
      </c>
      <c r="T301" s="35" t="str">
        <f>IFERROR(__xludf.DUMMYFUNCTION(" IF
( VLOOKUP($G301,IMPORTRANGE(""https://docs.google.com/spreadsheets/d/1Gpl6jkTg7sL4VDNimUm3S9Vi1i95esohXCF3wuKOE8c"", ""'CONSOLIDADO'!G5:AB""), 10, 0) &lt;&gt; 0, 
IFERROR(VLOOKUP($G301,IMPORTRANGE(""https://docs.google.com/spreadsheets/d/1Gpl6jkTg7sL4VDNimU"&amp;"m3S9Vi1i95esohXCF3wuKOE8c"", ""'CONSOLIDADO'!G5:AB""), 17, 0), ""-""),
""""
)"),"SCHNEIDER ELECTRIC")</f>
        <v>SCHNEIDER ELECTRIC</v>
      </c>
      <c r="U301" s="35" t="str">
        <f>IFERROR(__xludf.DUMMYFUNCTION(" IF
( VLOOKUP($G301,IMPORTRANGE(""https://docs.google.com/spreadsheets/d/1Gpl6jkTg7sL4VDNimUm3S9Vi1i95esohXCF3wuKOE8c"", ""'CONSOLIDADO'!G5:AB""), 10, 0) &lt;&gt; 0, 
IFERROR(VLOOKUP($G301,IMPORTRANGE(""https://docs.google.com/spreadsheets/d/1Gpl6jkTg7sL4VDNimU"&amp;"m3S9Vi1i95esohXCF3wuKOE8c"", ""'CONSOLIDADO'!G5:AB""), 18, 0), ""-""),
""""
)"),"Rele Zelio")</f>
        <v>Rele Zelio</v>
      </c>
      <c r="V301" s="36" t="str">
        <f>IFERROR(__xludf.DUMMYFUNCTION(" IF
( VLOOKUP($G301,IMPORTRANGE(""https://docs.google.com/spreadsheets/d/1Gpl6jkTg7sL4VDNimUm3S9Vi1i95esohXCF3wuKOE8c"", ""'CONSOLIDADO'!G5:AB""), 10, 0) &lt;&gt; 0, 
IFERROR(VLOOKUP($G301,IMPORTRANGE(""https://docs.google.com/spreadsheets/d/1Gpl6jkTg7sL4VDNimU"&amp;"m3S9Vi1i95esohXCF3wuKOE8c"", ""'CONSOLIDADO'!G5:AB""), 19, 0), ""-""),
""""
)"),"https://www.se.com/cl/es/product/SR3B261BD/rele-zelio-16-entradas-10-salidas-con-reloj-24v-dc-con-display/")</f>
        <v>https://www.se.com/cl/es/product/SR3B261BD/rele-zelio-16-entradas-10-salidas-con-reloj-24v-dc-con-display/</v>
      </c>
      <c r="W301" s="37" t="str">
        <f>IFERROR(__xludf.DUMMYFUNCTION("IFERROR(VLOOKUP(G301,IMPORTRANGE(""https://docs.google.com/spreadsheets/d/12RxCea4e5ggM7QGn1XE3FbLQa_-QbCNdBi90OdPjRqg"", ""'Plan de Compras'!D4:Q""), 12, 0), ""NO ESTÁ EN REQ"")"),"Técnica")</f>
        <v>Técnica</v>
      </c>
      <c r="X301" s="37" t="str">
        <f>IFERROR(__xludf.DUMMYFUNCTION("IFERROR(VLOOKUP(G301,IMPORTRANGE(""https://docs.google.com/spreadsheets/d/12RxCea4e5ggM7QGn1XE3FbLQa_-QbCNdBi90OdPjRqg"", ""'Plan de Compras'!D4:Q""), 13, 0), """")"),"INTERNACIONAL")</f>
        <v>INTERNACIONAL</v>
      </c>
      <c r="Y301" s="32" t="str">
        <f>IFERROR(__xludf.DUMMYFUNCTION("IFERROR(VLOOKUP(G301,IMPORTRANGE(""https://docs.google.com/spreadsheets/d/12RxCea4e5ggM7QGn1XE3FbLQa_-QbCNdBi90OdPjRqg"", ""'Plan de Compras'!D4:Q""), 14, 0), """")"),"JIMENA")</f>
        <v>JIMENA</v>
      </c>
      <c r="Z301" s="38" t="str">
        <f>IFERROR(__xludf.DUMMYFUNCTION("IFERROR(VLOOKUP(G301,IMPORTRANGE(""https://docs.google.com/spreadsheets/d/12RxCea4e5ggM7QGn1XE3FbLQa_-QbCNdBi90OdPjRqg"", ""'Plan de Compras'!D4:Q""), 4, 0), """")"),"MÓDULO DE PLC")</f>
        <v>MÓDULO DE PLC</v>
      </c>
      <c r="AA301" s="38" t="str">
        <f t="shared" si="16"/>
        <v>TRUE</v>
      </c>
      <c r="AB301" s="37" t="str">
        <f>IFERROR(__xludf.DUMMYFUNCTION("IFERROR(IF(OR(C301=TRUE,C301=""""),VLOOKUP(G301,IMPORTRANGE(""https://docs.google.com/spreadsheets/d/1z9A1Wq-kKrhRNG5RS2a2fKpY1wIhSVz2ZNmP2mOl588/edit?usp=sharing"",""REQ VF!E4:H""),4,0),""NO APLICA""),""GENERAR REQ"")"),"GENERAR REQ")</f>
        <v>GENERAR REQ</v>
      </c>
      <c r="AC301" s="37" t="str">
        <f>IFERROR(__xludf.DUMMYFUNCTION("IFERROR(QUERY(IMPORTRANGE(""https://docs.google.com/spreadsheets/d/1z9A1Wq-kKrhRNG5RS2a2fKpY1wIhSVz2ZNmP2mOl588/edit?usp=sharing"",""REQ VF!E4:Q""),""SELECT Col10, Col11, Col12 WHERE Col1 = '""&amp;G301&amp;""'"",0),""NO APLICA"")"),"NO APLICA")</f>
        <v>NO APLICA</v>
      </c>
      <c r="AD301" s="37"/>
      <c r="AE301" s="37"/>
      <c r="AF301" s="8" t="s">
        <v>52</v>
      </c>
      <c r="AG301" s="13"/>
    </row>
    <row r="302">
      <c r="A302" s="26"/>
      <c r="B302" s="26"/>
      <c r="C302" s="26" t="b">
        <v>1</v>
      </c>
      <c r="D302" s="26" t="s">
        <v>42</v>
      </c>
      <c r="E302" s="26" t="s">
        <v>36</v>
      </c>
      <c r="F302" s="59" t="s">
        <v>978</v>
      </c>
      <c r="G302" s="39" t="s">
        <v>981</v>
      </c>
      <c r="H302" s="40" t="s">
        <v>982</v>
      </c>
      <c r="I302" s="43">
        <f>$I$301</f>
        <v>12</v>
      </c>
      <c r="J302" s="26">
        <f>IFERROR(__xludf.DUMMYFUNCTION("VLOOKUP(G302,IMPORTRANGE(""https://docs.google.com/spreadsheets/d/12RxCea4e5ggM7QGn1XE3FbLQa_-QbCNdBi90OdPjRqg/edit?gid=1692403370#gid=1692403370"", ""'Plan de Compras'!D4:2432""), 8,0)"),12.0)</f>
        <v>12</v>
      </c>
      <c r="K302" s="26" t="str">
        <f t="shared" si="1"/>
        <v>SI</v>
      </c>
      <c r="L302" s="26"/>
      <c r="M302" s="47"/>
      <c r="N302" s="28" t="s">
        <v>983</v>
      </c>
      <c r="O302" s="42"/>
      <c r="P302" s="26"/>
      <c r="Q302" s="55" t="s">
        <v>984</v>
      </c>
      <c r="R302" s="47"/>
      <c r="S302" s="44" t="b">
        <v>0</v>
      </c>
      <c r="T302" s="72"/>
      <c r="U302" s="72"/>
      <c r="V302" s="44"/>
      <c r="W302" s="37" t="str">
        <f>IFERROR(__xludf.DUMMYFUNCTION("IFERROR(VLOOKUP(G302,IMPORTRANGE(""https://docs.google.com/spreadsheets/d/12RxCea4e5ggM7QGn1XE3FbLQa_-QbCNdBi90OdPjRqg"", ""'Plan de Compras'!D4:Q""), 12, 0), ""NO ESTÁ EN REQ"")"),"Técnica")</f>
        <v>Técnica</v>
      </c>
      <c r="X302" s="37" t="str">
        <f>IFERROR(__xludf.DUMMYFUNCTION("IFERROR(VLOOKUP(G302,IMPORTRANGE(""https://docs.google.com/spreadsheets/d/12RxCea4e5ggM7QGn1XE3FbLQa_-QbCNdBi90OdPjRqg"", ""'Plan de Compras'!D4:Q""), 13, 0), """")"),"INTERNACIONAL")</f>
        <v>INTERNACIONAL</v>
      </c>
      <c r="Y302" s="32" t="str">
        <f>IFERROR(__xludf.DUMMYFUNCTION("IFERROR(VLOOKUP(G302,IMPORTRANGE(""https://docs.google.com/spreadsheets/d/12RxCea4e5ggM7QGn1XE3FbLQa_-QbCNdBi90OdPjRqg"", ""'Plan de Compras'!D4:Q""), 14, 0), """")"),"JIMENA")</f>
        <v>JIMENA</v>
      </c>
      <c r="Z302" s="38" t="str">
        <f>IFERROR(__xludf.DUMMYFUNCTION("IFERROR(VLOOKUP(G302,IMPORTRANGE(""https://docs.google.com/spreadsheets/d/12RxCea4e5ggM7QGn1XE3FbLQa_-QbCNdBi90OdPjRqg"", ""'Plan de Compras'!D4:Q""), 4, 0), """")"),"SOFTWARE DE PROGRAMACIÓN PARA EL PLC (1 UND)")</f>
        <v>SOFTWARE DE PROGRAMACIÓN PARA EL PLC (1 UND)</v>
      </c>
      <c r="AA302" s="38" t="str">
        <f t="shared" si="16"/>
        <v>TRUE</v>
      </c>
      <c r="AB302" s="37" t="str">
        <f>IFERROR(__xludf.DUMMYFUNCTION("IFERROR(IF(OR(C302=TRUE,C302=""""),VLOOKUP(G302,IMPORTRANGE(""https://docs.google.com/spreadsheets/d/1z9A1Wq-kKrhRNG5RS2a2fKpY1wIhSVz2ZNmP2mOl588/edit?usp=sharing"",""REQ VF!E4:H""),4,0),""NO APLICA""),""GENERAR REQ"")"),"GENERAR REQ")</f>
        <v>GENERAR REQ</v>
      </c>
      <c r="AC302" s="37" t="str">
        <f>IFERROR(__xludf.DUMMYFUNCTION("IFERROR(QUERY(IMPORTRANGE(""https://docs.google.com/spreadsheets/d/1z9A1Wq-kKrhRNG5RS2a2fKpY1wIhSVz2ZNmP2mOl588/edit?usp=sharing"",""REQ VF!E4:Q""),""SELECT Col10, Col11, Col12 WHERE Col1 = '""&amp;G302&amp;""'"",0),""NO APLICA"")"),"NO APLICA")</f>
        <v>NO APLICA</v>
      </c>
      <c r="AD302" s="37"/>
      <c r="AE302" s="37"/>
      <c r="AF302" s="13"/>
      <c r="AG302" s="13"/>
    </row>
    <row r="303">
      <c r="A303" s="26"/>
      <c r="B303" s="26"/>
      <c r="C303" s="26" t="b">
        <v>1</v>
      </c>
      <c r="D303" s="43" t="s">
        <v>42</v>
      </c>
      <c r="E303" s="43" t="s">
        <v>36</v>
      </c>
      <c r="F303" s="39" t="s">
        <v>978</v>
      </c>
      <c r="G303" s="39" t="s">
        <v>985</v>
      </c>
      <c r="H303" s="40" t="s">
        <v>986</v>
      </c>
      <c r="I303" s="43">
        <v>12.0</v>
      </c>
      <c r="J303" s="26">
        <f>IFERROR(__xludf.DUMMYFUNCTION("VLOOKUP(G303,IMPORTRANGE(""https://docs.google.com/spreadsheets/d/12RxCea4e5ggM7QGn1XE3FbLQa_-QbCNdBi90OdPjRqg/edit?gid=1692403370#gid=1692403370"", ""'Plan de Compras'!D4:2432""), 8,0)"),12.0)</f>
        <v>12</v>
      </c>
      <c r="K303" s="26" t="str">
        <f t="shared" si="1"/>
        <v>SI</v>
      </c>
      <c r="L303" s="35"/>
      <c r="M303" s="32"/>
      <c r="N303" s="42" t="s">
        <v>983</v>
      </c>
      <c r="O303" s="32"/>
      <c r="P303" s="61"/>
      <c r="Q303" s="54" t="s">
        <v>984</v>
      </c>
      <c r="R303" s="32"/>
      <c r="S303" s="34" t="b">
        <v>1</v>
      </c>
      <c r="T303" s="35" t="s">
        <v>987</v>
      </c>
      <c r="U303" s="35" t="s">
        <v>988</v>
      </c>
      <c r="V303" s="72"/>
      <c r="W303" s="37" t="str">
        <f>IFERROR(__xludf.DUMMYFUNCTION("IFERROR(VLOOKUP(G303,IMPORTRANGE(""https://docs.google.com/spreadsheets/d/12RxCea4e5ggM7QGn1XE3FbLQa_-QbCNdBi90OdPjRqg"", ""'Plan de Compras'!D4:Q""), 12, 0), ""NO ESTÁ EN REQ"")"),"Técnica")</f>
        <v>Técnica</v>
      </c>
      <c r="X303" s="37" t="str">
        <f>IFERROR(__xludf.DUMMYFUNCTION("IFERROR(VLOOKUP(G303,IMPORTRANGE(""https://docs.google.com/spreadsheets/d/12RxCea4e5ggM7QGn1XE3FbLQa_-QbCNdBi90OdPjRqg"", ""'Plan de Compras'!D4:Q""), 13, 0), """")"),"INTERNACIONAL")</f>
        <v>INTERNACIONAL</v>
      </c>
      <c r="Y303" s="32" t="str">
        <f>IFERROR(__xludf.DUMMYFUNCTION("IFERROR(VLOOKUP(G303,IMPORTRANGE(""https://docs.google.com/spreadsheets/d/12RxCea4e5ggM7QGn1XE3FbLQa_-QbCNdBi90OdPjRqg"", ""'Plan de Compras'!D4:Q""), 14, 0), """")"),"JIMENA")</f>
        <v>JIMENA</v>
      </c>
      <c r="Z303" s="38" t="str">
        <f>IFERROR(__xludf.DUMMYFUNCTION("IFERROR(VLOOKUP(G303,IMPORTRANGE(""https://docs.google.com/spreadsheets/d/12RxCea4e5ggM7QGn1XE3FbLQa_-QbCNdBi90OdPjRqg"", ""'Plan de Compras'!D4:Q""), 4, 0), """")"),"MODULO DE EXTENSION")</f>
        <v>MODULO DE EXTENSION</v>
      </c>
      <c r="AA303" s="38" t="str">
        <f t="shared" si="16"/>
        <v>FALSE</v>
      </c>
      <c r="AB303" s="37" t="str">
        <f>IFERROR(__xludf.DUMMYFUNCTION("IFERROR(IF(OR(C303=TRUE,C303=""""),VLOOKUP(G303,IMPORTRANGE(""https://docs.google.com/spreadsheets/d/1z9A1Wq-kKrhRNG5RS2a2fKpY1wIhSVz2ZNmP2mOl588/edit?usp=sharing"",""REQ VF!E4:H""),4,0),""NO APLICA""),""GENERAR REQ"")"),"GENERAR REQ")</f>
        <v>GENERAR REQ</v>
      </c>
      <c r="AC303" s="37" t="str">
        <f>IFERROR(__xludf.DUMMYFUNCTION("IFERROR(QUERY(IMPORTRANGE(""https://docs.google.com/spreadsheets/d/1z9A1Wq-kKrhRNG5RS2a2fKpY1wIhSVz2ZNmP2mOl588/edit?usp=sharing"",""REQ VF!E4:Q""),""SELECT Col10, Col11, Col12 WHERE Col1 = '""&amp;G303&amp;""'"",0),""NO APLICA"")"),"NO APLICA")</f>
        <v>NO APLICA</v>
      </c>
      <c r="AD303" s="37"/>
      <c r="AE303" s="37"/>
      <c r="AF303" s="11"/>
      <c r="AG303" s="13"/>
    </row>
    <row r="304">
      <c r="A304" s="26"/>
      <c r="B304" s="26"/>
      <c r="C304" s="26" t="b">
        <v>1</v>
      </c>
      <c r="D304" s="43" t="s">
        <v>42</v>
      </c>
      <c r="E304" s="43" t="s">
        <v>36</v>
      </c>
      <c r="F304" s="39" t="s">
        <v>978</v>
      </c>
      <c r="G304" s="73" t="s">
        <v>989</v>
      </c>
      <c r="H304" s="74" t="s">
        <v>990</v>
      </c>
      <c r="I304" s="75">
        <v>3.0</v>
      </c>
      <c r="J304" s="26" t="str">
        <f>IFERROR(__xludf.DUMMYFUNCTION("VLOOKUP(G304,IMPORTRANGE(""https://docs.google.com/spreadsheets/d/12RxCea4e5ggM7QGn1XE3FbLQa_-QbCNdBi90OdPjRqg/edit?gid=1692403370#gid=1692403370"", ""'Plan de Compras'!D4:2432""), 8,0)"),"#N/A")</f>
        <v>#N/A</v>
      </c>
      <c r="K304" s="26" t="str">
        <f t="shared" si="1"/>
        <v>#N/A</v>
      </c>
      <c r="L304" s="35"/>
      <c r="M304" s="32"/>
      <c r="N304" s="42"/>
      <c r="O304" s="32"/>
      <c r="P304" s="61"/>
      <c r="Q304" s="54"/>
      <c r="R304" s="32"/>
      <c r="S304" s="34" t="b">
        <v>0</v>
      </c>
      <c r="T304" s="35" t="s">
        <v>991</v>
      </c>
      <c r="U304" s="35"/>
      <c r="V304" s="72"/>
      <c r="W304" s="37"/>
      <c r="X304" s="37"/>
      <c r="Y304" s="32"/>
      <c r="Z304" s="38"/>
      <c r="AA304" s="38" t="str">
        <f t="shared" si="16"/>
        <v>FALSE</v>
      </c>
      <c r="AB304" s="37" t="str">
        <f>IFERROR(__xludf.DUMMYFUNCTION("IFERROR(IF(OR(C304=TRUE,C304=""""),VLOOKUP(G304,IMPORTRANGE(""https://docs.google.com/spreadsheets/d/1z9A1Wq-kKrhRNG5RS2a2fKpY1wIhSVz2ZNmP2mOl588/edit?usp=sharing"",""REQ VF!E4:H""),4,0),""NO APLICA""),""GENERAR REQ"")"),"GENERAR REQ")</f>
        <v>GENERAR REQ</v>
      </c>
      <c r="AC304" s="37" t="str">
        <f>IFERROR(__xludf.DUMMYFUNCTION("IFERROR(QUERY(IMPORTRANGE(""https://docs.google.com/spreadsheets/d/1z9A1Wq-kKrhRNG5RS2a2fKpY1wIhSVz2ZNmP2mOl588/edit?usp=sharing"",""REQ VF!E4:Q""),""SELECT Col10, Col11, Col12 WHERE Col1 = '""&amp;G304&amp;""'"",0),""NO APLICA"")"),"NO APLICA")</f>
        <v>NO APLICA</v>
      </c>
      <c r="AD304" s="37"/>
      <c r="AE304" s="37"/>
      <c r="AF304" s="11"/>
      <c r="AG304" s="13"/>
    </row>
    <row r="305">
      <c r="A305" s="26">
        <v>133.0</v>
      </c>
      <c r="B305" s="26" t="b">
        <v>1</v>
      </c>
      <c r="C305" s="26" t="b">
        <v>1</v>
      </c>
      <c r="D305" s="26" t="s">
        <v>35</v>
      </c>
      <c r="E305" s="26" t="s">
        <v>36</v>
      </c>
      <c r="F305" s="27" t="s">
        <v>992</v>
      </c>
      <c r="G305" s="37" t="s">
        <v>992</v>
      </c>
      <c r="H305" s="45" t="s">
        <v>993</v>
      </c>
      <c r="I305" s="43">
        <f>SUMIFS('Hoja 10'!$O:$O,'Hoja 10'!$F:$F,$G305)</f>
        <v>3</v>
      </c>
      <c r="J305" s="26">
        <f>IFERROR(__xludf.DUMMYFUNCTION("VLOOKUP(G305,IMPORTRANGE(""https://docs.google.com/spreadsheets/d/12RxCea4e5ggM7QGn1XE3FbLQa_-QbCNdBi90OdPjRqg/edit?gid=1692403370#gid=1692403370"", ""'Plan de Compras'!D4:2432""), 8,0)"),3.0)</f>
        <v>3</v>
      </c>
      <c r="K305" s="26" t="str">
        <f t="shared" si="1"/>
        <v>SI</v>
      </c>
      <c r="L305" s="29" t="s">
        <v>127</v>
      </c>
      <c r="M305" s="30" t="s">
        <v>105</v>
      </c>
      <c r="N305" s="42"/>
      <c r="O305" s="32" t="str">
        <f>VLOOKUP($G305,'Hoja 10'!$F$4:$AA478, 19,0)</f>
        <v>Beifang</v>
      </c>
      <c r="P305" s="32" t="str">
        <f>VLOOKUP($G305,'Hoja 10'!$F$4:$AA478, 20,0)</f>
        <v>EDUCATIONAL MODULE OF DIESEL ENGINE SYSTEM</v>
      </c>
      <c r="Q305" s="33" t="str">
        <f>VLOOKUP($G305,'Hoja 10'!$F$4:$AA478, 21,0)</f>
        <v>https://drive.google.com/file/d/15uhOh9fV1PZ6woac35Zpgp2RQaeWya_U/view</v>
      </c>
      <c r="R305" s="30" t="s">
        <v>994</v>
      </c>
      <c r="S305" s="34" t="b">
        <v>1</v>
      </c>
      <c r="T305" s="35" t="str">
        <f>IFERROR(__xludf.DUMMYFUNCTION(" IF
( VLOOKUP($G305,IMPORTRANGE(""https://docs.google.com/spreadsheets/d/1Gpl6jkTg7sL4VDNimUm3S9Vi1i95esohXCF3wuKOE8c"", ""'CONSOLIDADO'!G5:AB""), 10, 0) &lt;&gt; 0, 
IFERROR(VLOOKUP($G305,IMPORTRANGE(""https://docs.google.com/spreadsheets/d/1Gpl6jkTg7sL4VDNimU"&amp;"m3S9Vi1i95esohXCF3wuKOE8c"", ""'CONSOLIDADO'!G5:AB""), 17, 0), ""-""),
""""
)"),"GTEE")</f>
        <v>GTEE</v>
      </c>
      <c r="U305" s="35" t="str">
        <f>IFERROR(__xludf.DUMMYFUNCTION(" IF
( VLOOKUP($G305,IMPORTRANGE(""https://docs.google.com/spreadsheets/d/1Gpl6jkTg7sL4VDNimUm3S9Vi1i95esohXCF3wuKOE8c"", ""'CONSOLIDADO'!G5:AB""), 10, 0) &lt;&gt; 0, 
IFERROR(VLOOKUP($G305,IMPORTRANGE(""https://docs.google.com/spreadsheets/d/1Gpl6jkTg7sL4VDNimU"&amp;"m3S9Vi1i95esohXCF3wuKOE8c"", ""'CONSOLIDADO'!G5:AB""), 18, 0), ""-""),
""""
)"),"ME-06")</f>
        <v>ME-06</v>
      </c>
      <c r="V305" s="36" t="str">
        <f>IFERROR(__xludf.DUMMYFUNCTION(" IF
( VLOOKUP($G305,IMPORTRANGE(""https://docs.google.com/spreadsheets/d/1Gpl6jkTg7sL4VDNimUm3S9Vi1i95esohXCF3wuKOE8c"", ""'CONSOLIDADO'!G5:AB""), 10, 0) &lt;&gt; 0, 
IFERROR(VLOOKUP($G305,IMPORTRANGE(""https://docs.google.com/spreadsheets/d/1Gpl6jkTg7sL4VDNimU"&amp;"m3S9Vi1i95esohXCF3wuKOE8c"", ""'CONSOLIDADO'!G5:AB""), 19, 0), ""-""),
""""
)"),"https://drive.google.com/file/d/1JwGXnuGKKOYuIyBRjfLaff89DK2teRXY/view?usp=sharing")</f>
        <v>https://drive.google.com/file/d/1JwGXnuGKKOYuIyBRjfLaff89DK2teRXY/view?usp=sharing</v>
      </c>
      <c r="W305" s="37" t="str">
        <f>IFERROR(__xludf.DUMMYFUNCTION("IFERROR(VLOOKUP(G305,IMPORTRANGE(""https://docs.google.com/spreadsheets/d/12RxCea4e5ggM7QGn1XE3FbLQa_-QbCNdBi90OdPjRqg"", ""'Plan de Compras'!D4:Q""), 12, 0), ""NO ESTÁ EN REQ"")"),"Técnica")</f>
        <v>Técnica</v>
      </c>
      <c r="X305" s="37" t="str">
        <f>IFERROR(__xludf.DUMMYFUNCTION("IFERROR(VLOOKUP(G305,IMPORTRANGE(""https://docs.google.com/spreadsheets/d/12RxCea4e5ggM7QGn1XE3FbLQa_-QbCNdBi90OdPjRqg"", ""'Plan de Compras'!D4:Q""), 13, 0), """")"),"INTERNACIONAL")</f>
        <v>INTERNACIONAL</v>
      </c>
      <c r="Y305" s="32" t="str">
        <f>IFERROR(__xludf.DUMMYFUNCTION("IFERROR(VLOOKUP(G305,IMPORTRANGE(""https://docs.google.com/spreadsheets/d/12RxCea4e5ggM7QGn1XE3FbLQa_-QbCNdBi90OdPjRqg"", ""'Plan de Compras'!D4:Q""), 14, 0), """")"),"JIMENA")</f>
        <v>JIMENA</v>
      </c>
      <c r="Z305" s="38" t="str">
        <f>IFERROR(__xludf.DUMMYFUNCTION("IFERROR(VLOOKUP(G305,IMPORTRANGE(""https://docs.google.com/spreadsheets/d/12RxCea4e5ggM7QGn1XE3FbLQa_-QbCNdBi90OdPjRqg"", ""'Plan de Compras'!D4:Q""), 4, 0), """")"),"MÓDULO DE SISTEMA EDUCATIVO DE MOTOR DIESEL (ELECTRÓNICO)")</f>
        <v>MÓDULO DE SISTEMA EDUCATIVO DE MOTOR DIESEL (ELECTRÓNICO)</v>
      </c>
      <c r="AA305" s="38" t="str">
        <f t="shared" si="16"/>
        <v>TRUE</v>
      </c>
      <c r="AB305" s="37" t="str">
        <f>IFERROR(__xludf.DUMMYFUNCTION("IFERROR(IF(OR(C305=TRUE,C305=""""),VLOOKUP(G305,IMPORTRANGE(""https://docs.google.com/spreadsheets/d/1z9A1Wq-kKrhRNG5RS2a2fKpY1wIhSVz2ZNmP2mOl588/edit?usp=sharing"",""REQ VF!E4:H""),4,0),""NO APLICA""),""GENERAR REQ"")"),"GENERAR REQ")</f>
        <v>GENERAR REQ</v>
      </c>
      <c r="AC305" s="37" t="str">
        <f>IFERROR(__xludf.DUMMYFUNCTION("IFERROR(QUERY(IMPORTRANGE(""https://docs.google.com/spreadsheets/d/1z9A1Wq-kKrhRNG5RS2a2fKpY1wIhSVz2ZNmP2mOl588/edit?usp=sharing"",""REQ VF!E4:Q""),""SELECT Col10, Col11, Col12 WHERE Col1 = '""&amp;G305&amp;""'"",0),""NO APLICA"")"),"NO APLICA")</f>
        <v>NO APLICA</v>
      </c>
      <c r="AD305" s="37"/>
      <c r="AE305" s="37"/>
      <c r="AF305" s="8" t="s">
        <v>52</v>
      </c>
      <c r="AG305" s="13"/>
    </row>
    <row r="306">
      <c r="A306" s="26">
        <v>134.0</v>
      </c>
      <c r="B306" s="26" t="b">
        <v>1</v>
      </c>
      <c r="C306" s="26" t="b">
        <v>1</v>
      </c>
      <c r="D306" s="26" t="s">
        <v>35</v>
      </c>
      <c r="E306" s="26" t="s">
        <v>36</v>
      </c>
      <c r="F306" s="27" t="s">
        <v>995</v>
      </c>
      <c r="G306" s="37" t="s">
        <v>995</v>
      </c>
      <c r="H306" s="45" t="s">
        <v>996</v>
      </c>
      <c r="I306" s="43">
        <f>SUMIFS('Hoja 10'!$O:$O,'Hoja 10'!$F:$F,$G306)</f>
        <v>3</v>
      </c>
      <c r="J306" s="26">
        <f>IFERROR(__xludf.DUMMYFUNCTION("VLOOKUP(G306,IMPORTRANGE(""https://docs.google.com/spreadsheets/d/12RxCea4e5ggM7QGn1XE3FbLQa_-QbCNdBi90OdPjRqg/edit?gid=1692403370#gid=1692403370"", ""'Plan de Compras'!D4:2432""), 8,0)"),3.0)</f>
        <v>3</v>
      </c>
      <c r="K306" s="26" t="str">
        <f t="shared" si="1"/>
        <v>SI</v>
      </c>
      <c r="L306" s="29" t="s">
        <v>127</v>
      </c>
      <c r="M306" s="30" t="s">
        <v>105</v>
      </c>
      <c r="N306" s="42"/>
      <c r="O306" s="32" t="str">
        <f>VLOOKUP($G306,'Hoja 10'!$F$4:$AA478, 19,0)</f>
        <v>Beifang</v>
      </c>
      <c r="P306" s="32" t="str">
        <f>VLOOKUP($G306,'Hoja 10'!$F$4:$AA478, 20,0)</f>
        <v>HV ECU HYBRID SYSTEM MODULE</v>
      </c>
      <c r="Q306" s="33" t="str">
        <f>VLOOKUP($G306,'Hoja 10'!$F$4:$AA478, 21,0)</f>
        <v>https://drive.google.com/file/d/12poicxbxDCjQS1AHgrbLwI0LW7NDnRWf/view?usp=sharing</v>
      </c>
      <c r="R306" s="30" t="s">
        <v>997</v>
      </c>
      <c r="S306" s="34" t="b">
        <v>1</v>
      </c>
      <c r="T306" s="35" t="str">
        <f>IFERROR(__xludf.DUMMYFUNCTION(" IF
( VLOOKUP($G306,IMPORTRANGE(""https://docs.google.com/spreadsheets/d/1Gpl6jkTg7sL4VDNimUm3S9Vi1i95esohXCF3wuKOE8c"", ""'CONSOLIDADO'!G5:AB""), 10, 0) &lt;&gt; 0, 
IFERROR(VLOOKUP($G306,IMPORTRANGE(""https://docs.google.com/spreadsheets/d/1Gpl6jkTg7sL4VDNimU"&amp;"m3S9Vi1i95esohXCF3wuKOE8c"", ""'CONSOLIDADO'!G5:AB""), 17, 0), ""-""),
""""
)"),"BEIFANG")</f>
        <v>BEIFANG</v>
      </c>
      <c r="U306" s="35" t="str">
        <f>IFERROR(__xludf.DUMMYFUNCTION(" IF
( VLOOKUP($G306,IMPORTRANGE(""https://docs.google.com/spreadsheets/d/1Gpl6jkTg7sL4VDNimUm3S9Vi1i95esohXCF3wuKOE8c"", ""'CONSOLIDADO'!G5:AB""), 10, 0) &lt;&gt; 0, 
IFERROR(VLOOKUP($G306,IMPORTRANGE(""https://docs.google.com/spreadsheets/d/1Gpl6jkTg7sL4VDNimU"&amp;"m3S9Vi1i95esohXCF3wuKOE8c"", ""'CONSOLIDADO'!G5:AB""), 18, 0), ""-""),
""""
)"),"ME-12")</f>
        <v>ME-12</v>
      </c>
      <c r="V306" s="36" t="str">
        <f>IFERROR(__xludf.DUMMYFUNCTION(" IF
( VLOOKUP($G306,IMPORTRANGE(""https://docs.google.com/spreadsheets/d/1Gpl6jkTg7sL4VDNimUm3S9Vi1i95esohXCF3wuKOE8c"", ""'CONSOLIDADO'!G5:AB""), 10, 0) &lt;&gt; 0, 
IFERROR(VLOOKUP($G306,IMPORTRANGE(""https://docs.google.com/spreadsheets/d/1Gpl6jkTg7sL4VDNimU"&amp;"m3S9Vi1i95esohXCF3wuKOE8c"", ""'CONSOLIDADO'!G5:AB""), 19, 0), ""-""),
""""
)"),"https://drive.google.com/file/d/1UjRiJa4O15LxvIDJxwRKlngDW7g1alAx/view?usp=sharing")</f>
        <v>https://drive.google.com/file/d/1UjRiJa4O15LxvIDJxwRKlngDW7g1alAx/view?usp=sharing</v>
      </c>
      <c r="W306" s="37" t="str">
        <f>IFERROR(__xludf.DUMMYFUNCTION("IFERROR(VLOOKUP(G306,IMPORTRANGE(""https://docs.google.com/spreadsheets/d/12RxCea4e5ggM7QGn1XE3FbLQa_-QbCNdBi90OdPjRqg"", ""'Plan de Compras'!D4:Q""), 12, 0), ""NO ESTÁ EN REQ"")"),"Técnica")</f>
        <v>Técnica</v>
      </c>
      <c r="X306" s="37" t="str">
        <f>IFERROR(__xludf.DUMMYFUNCTION("IFERROR(VLOOKUP(G306,IMPORTRANGE(""https://docs.google.com/spreadsheets/d/12RxCea4e5ggM7QGn1XE3FbLQa_-QbCNdBi90OdPjRqg"", ""'Plan de Compras'!D4:Q""), 13, 0), """")"),"INTERNACIONAL")</f>
        <v>INTERNACIONAL</v>
      </c>
      <c r="Y306" s="32" t="str">
        <f>IFERROR(__xludf.DUMMYFUNCTION("IFERROR(VLOOKUP(G306,IMPORTRANGE(""https://docs.google.com/spreadsheets/d/12RxCea4e5ggM7QGn1XE3FbLQa_-QbCNdBi90OdPjRqg"", ""'Plan de Compras'!D4:Q""), 14, 0), """")"),"JIMENA")</f>
        <v>JIMENA</v>
      </c>
      <c r="Z306" s="38" t="str">
        <f>IFERROR(__xludf.DUMMYFUNCTION("IFERROR(VLOOKUP(G306,IMPORTRANGE(""https://docs.google.com/spreadsheets/d/12RxCea4e5ggM7QGn1XE3FbLQa_-QbCNdBi90OdPjRqg"", ""'Plan de Compras'!D4:Q""), 4, 0), """")"),"MÓDULO DE SISTEMA HÍBRIDO ECU HV")</f>
        <v>MÓDULO DE SISTEMA HÍBRIDO ECU HV</v>
      </c>
      <c r="AA306" s="38" t="str">
        <f t="shared" si="16"/>
        <v>TRUE</v>
      </c>
      <c r="AB306" s="37" t="str">
        <f>IFERROR(__xludf.DUMMYFUNCTION("IFERROR(IF(OR(C306=TRUE,C306=""""),VLOOKUP(G306,IMPORTRANGE(""https://docs.google.com/spreadsheets/d/1z9A1Wq-kKrhRNG5RS2a2fKpY1wIhSVz2ZNmP2mOl588/edit?usp=sharing"",""REQ VF!E4:H""),4,0),""NO APLICA""),""GENERAR REQ"")"),"GENERAR REQ")</f>
        <v>GENERAR REQ</v>
      </c>
      <c r="AC306" s="37" t="str">
        <f>IFERROR(__xludf.DUMMYFUNCTION("IFERROR(QUERY(IMPORTRANGE(""https://docs.google.com/spreadsheets/d/1z9A1Wq-kKrhRNG5RS2a2fKpY1wIhSVz2ZNmP2mOl588/edit?usp=sharing"",""REQ VF!E4:Q""),""SELECT Col10, Col11, Col12 WHERE Col1 = '""&amp;G306&amp;""'"",0),""NO APLICA"")"),"NO APLICA")</f>
        <v>NO APLICA</v>
      </c>
      <c r="AD306" s="37"/>
      <c r="AE306" s="37"/>
      <c r="AF306" s="8" t="s">
        <v>52</v>
      </c>
      <c r="AG306" s="71"/>
    </row>
    <row r="307">
      <c r="A307" s="26">
        <v>135.0</v>
      </c>
      <c r="B307" s="26" t="b">
        <v>1</v>
      </c>
      <c r="C307" s="26" t="b">
        <v>1</v>
      </c>
      <c r="D307" s="26" t="s">
        <v>35</v>
      </c>
      <c r="E307" s="26" t="s">
        <v>36</v>
      </c>
      <c r="F307" s="27" t="s">
        <v>998</v>
      </c>
      <c r="G307" s="37" t="s">
        <v>998</v>
      </c>
      <c r="H307" s="45" t="s">
        <v>999</v>
      </c>
      <c r="I307" s="43">
        <f>SUMIFS('Hoja 10'!$O:$O,'Hoja 10'!$F:$F,$G307)</f>
        <v>3</v>
      </c>
      <c r="J307" s="26">
        <f>IFERROR(__xludf.DUMMYFUNCTION("VLOOKUP(G307,IMPORTRANGE(""https://docs.google.com/spreadsheets/d/12RxCea4e5ggM7QGn1XE3FbLQa_-QbCNdBi90OdPjRqg/edit?gid=1692403370#gid=1692403370"", ""'Plan de Compras'!D4:2432""), 8,0)"),3.0)</f>
        <v>3</v>
      </c>
      <c r="K307" s="26" t="str">
        <f t="shared" si="1"/>
        <v>SI</v>
      </c>
      <c r="L307" s="29" t="s">
        <v>127</v>
      </c>
      <c r="M307" s="30" t="s">
        <v>105</v>
      </c>
      <c r="N307" s="42"/>
      <c r="O307" s="32" t="str">
        <f>VLOOKUP($G307,'Hoja 10'!$F$4:$AA478, 19,0)</f>
        <v>GTEE</v>
      </c>
      <c r="P307" s="42" t="str">
        <f>VLOOKUP($G307,'Hoja 10'!$F$4:$AA478, 20,0)</f>
        <v>GTAT-1007  Gasoline engine disassembling trainer</v>
      </c>
      <c r="Q307" s="33" t="str">
        <f>VLOOKUP($G307,'Hoja 10'!$F$4:$AA478, 21,0)</f>
        <v>https://www.alibaba.com/product-detail/Vocational-Training-Equipment-Engine-Trainer-Gasoline_1574225789.html</v>
      </c>
      <c r="R307" s="90" t="s">
        <v>1000</v>
      </c>
      <c r="S307" s="34" t="b">
        <v>1</v>
      </c>
      <c r="T307" s="35" t="str">
        <f>IFERROR(__xludf.DUMMYFUNCTION(" IF
( VLOOKUP($G307,IMPORTRANGE(""https://docs.google.com/spreadsheets/d/1Gpl6jkTg7sL4VDNimUm3S9Vi1i95esohXCF3wuKOE8c"", ""'CONSOLIDADO'!G5:AB""), 10, 0) &lt;&gt; 0, 
IFERROR(VLOOKUP($G307,IMPORTRANGE(""https://docs.google.com/spreadsheets/d/1Gpl6jkTg7sL4VDNimU"&amp;"m3S9Vi1i95esohXCF3wuKOE8c"", ""'CONSOLIDADO'!G5:AB""), 17, 0), ""-""),
""""
)"),"GTEE")</f>
        <v>GTEE</v>
      </c>
      <c r="U307" s="35" t="str">
        <f>IFERROR(__xludf.DUMMYFUNCTION(" IF
( VLOOKUP($G307,IMPORTRANGE(""https://docs.google.com/spreadsheets/d/1Gpl6jkTg7sL4VDNimUm3S9Vi1i95esohXCF3wuKOE8c"", ""'CONSOLIDADO'!G5:AB""), 10, 0) &lt;&gt; 0, 
IFERROR(VLOOKUP($G307,IMPORTRANGE(""https://docs.google.com/spreadsheets/d/1Gpl6jkTg7sL4VDNimU"&amp;"m3S9Vi1i95esohXCF3wuKOE8c"", ""'CONSOLIDADO'!G5:AB""), 18, 0), ""-""),
""""
)"),"ME-04")</f>
        <v>ME-04</v>
      </c>
      <c r="V307" s="36" t="str">
        <f>IFERROR(__xludf.DUMMYFUNCTION(" IF
( VLOOKUP($G307,IMPORTRANGE(""https://docs.google.com/spreadsheets/d/1Gpl6jkTg7sL4VDNimUm3S9Vi1i95esohXCF3wuKOE8c"", ""'CONSOLIDADO'!G5:AB""), 10, 0) &lt;&gt; 0, 
IFERROR(VLOOKUP($G307,IMPORTRANGE(""https://docs.google.com/spreadsheets/d/1Gpl6jkTg7sL4VDNimU"&amp;"m3S9Vi1i95esohXCF3wuKOE8c"", ""'CONSOLIDADO'!G5:AB""), 19, 0), ""-""),
""""
)"),"https://drive.google.com/file/d/1hF1UO-v-qfLvYujT3IIFEg_u0Ym7m_AK/view?usp=sharing")</f>
        <v>https://drive.google.com/file/d/1hF1UO-v-qfLvYujT3IIFEg_u0Ym7m_AK/view?usp=sharing</v>
      </c>
      <c r="W307" s="37" t="str">
        <f>IFERROR(__xludf.DUMMYFUNCTION("IFERROR(VLOOKUP(G307,IMPORTRANGE(""https://docs.google.com/spreadsheets/d/12RxCea4e5ggM7QGn1XE3FbLQa_-QbCNdBi90OdPjRqg"", ""'Plan de Compras'!D4:Q""), 12, 0), ""NO ESTÁ EN REQ"")"),"Técnica")</f>
        <v>Técnica</v>
      </c>
      <c r="X307" s="37" t="str">
        <f>IFERROR(__xludf.DUMMYFUNCTION("IFERROR(VLOOKUP(G307,IMPORTRANGE(""https://docs.google.com/spreadsheets/d/12RxCea4e5ggM7QGn1XE3FbLQa_-QbCNdBi90OdPjRqg"", ""'Plan de Compras'!D4:Q""), 13, 0), """")"),"INTERNACIONAL")</f>
        <v>INTERNACIONAL</v>
      </c>
      <c r="Y307" s="32" t="str">
        <f>IFERROR(__xludf.DUMMYFUNCTION("IFERROR(VLOOKUP(G307,IMPORTRANGE(""https://docs.google.com/spreadsheets/d/12RxCea4e5ggM7QGn1XE3FbLQa_-QbCNdBi90OdPjRqg"", ""'Plan de Compras'!D4:Q""), 14, 0), """")"),"JIMENA")</f>
        <v>JIMENA</v>
      </c>
      <c r="Z307" s="38" t="str">
        <f>IFERROR(__xludf.DUMMYFUNCTION("IFERROR(VLOOKUP(G307,IMPORTRANGE(""https://docs.google.com/spreadsheets/d/12RxCea4e5ggM7QGn1XE3FbLQa_-QbCNdBi90OdPjRqg"", ""'Plan de Compras'!D4:Q""), 4, 0), """")"),"MÓDULO EDUCATIVO DE MONTAJE Y DESMONTAJE DE MOTOR DE GASOLINA")</f>
        <v>MÓDULO EDUCATIVO DE MONTAJE Y DESMONTAJE DE MOTOR DE GASOLINA</v>
      </c>
      <c r="AA307" s="38" t="str">
        <f t="shared" si="16"/>
        <v>TRUE</v>
      </c>
      <c r="AB307" s="37" t="str">
        <f>IFERROR(__xludf.DUMMYFUNCTION("IFERROR(IF(OR(C307=TRUE,C307=""""),VLOOKUP(G307,IMPORTRANGE(""https://docs.google.com/spreadsheets/d/1z9A1Wq-kKrhRNG5RS2a2fKpY1wIhSVz2ZNmP2mOl588/edit?usp=sharing"",""REQ VF!E4:H""),4,0),""NO APLICA""),""GENERAR REQ"")"),"GENERAR REQ")</f>
        <v>GENERAR REQ</v>
      </c>
      <c r="AC307" s="37" t="str">
        <f>IFERROR(__xludf.DUMMYFUNCTION("IFERROR(QUERY(IMPORTRANGE(""https://docs.google.com/spreadsheets/d/1z9A1Wq-kKrhRNG5RS2a2fKpY1wIhSVz2ZNmP2mOl588/edit?usp=sharing"",""REQ VF!E4:Q""),""SELECT Col10, Col11, Col12 WHERE Col1 = '""&amp;G307&amp;""'"",0),""NO APLICA"")"),"NO APLICA")</f>
        <v>NO APLICA</v>
      </c>
      <c r="AD307" s="37"/>
      <c r="AE307" s="37"/>
      <c r="AF307" s="8" t="s">
        <v>52</v>
      </c>
      <c r="AG307" s="13"/>
    </row>
    <row r="308">
      <c r="A308" s="26">
        <v>136.0</v>
      </c>
      <c r="B308" s="26" t="b">
        <v>1</v>
      </c>
      <c r="C308" s="26" t="b">
        <v>1</v>
      </c>
      <c r="D308" s="26" t="s">
        <v>35</v>
      </c>
      <c r="E308" s="26" t="s">
        <v>36</v>
      </c>
      <c r="F308" s="27" t="s">
        <v>1001</v>
      </c>
      <c r="G308" s="37" t="s">
        <v>1001</v>
      </c>
      <c r="H308" s="45" t="s">
        <v>1002</v>
      </c>
      <c r="I308" s="43">
        <f>SUMIFS('Hoja 10'!$O:$O,'Hoja 10'!$F:$F,$G308)</f>
        <v>3</v>
      </c>
      <c r="J308" s="26">
        <f>IFERROR(__xludf.DUMMYFUNCTION("VLOOKUP(G308,IMPORTRANGE(""https://docs.google.com/spreadsheets/d/12RxCea4e5ggM7QGn1XE3FbLQa_-QbCNdBi90OdPjRqg/edit?gid=1692403370#gid=1692403370"", ""'Plan de Compras'!D4:2432""), 8,0)"),3.0)</f>
        <v>3</v>
      </c>
      <c r="K308" s="26" t="str">
        <f t="shared" si="1"/>
        <v>SI</v>
      </c>
      <c r="L308" s="29" t="s">
        <v>127</v>
      </c>
      <c r="M308" s="30" t="s">
        <v>105</v>
      </c>
      <c r="N308" s="42"/>
      <c r="O308" s="32" t="str">
        <f>VLOOKUP($G308,'Hoja 10'!$F$4:$AA478, 19,0)</f>
        <v>Beifang</v>
      </c>
      <c r="P308" s="32" t="str">
        <f>VLOOKUP($G308,'Hoja 10'!$F$4:$AA478, 20,0)</f>
        <v>MODULE FOR EDUCATIONAL SIMULATION OF GASOLINE ENGINE</v>
      </c>
      <c r="Q308" s="33" t="str">
        <f>VLOOKUP($G308,'Hoja 10'!$F$4:$AA478, 21,0)</f>
        <v>https://spanish.alibaba.com/product-detail/Gasoline-Engine-Simulator-Educational-Module-Didactic-11000024944641.html</v>
      </c>
      <c r="R308" s="30" t="s">
        <v>1003</v>
      </c>
      <c r="S308" s="34" t="b">
        <v>1</v>
      </c>
      <c r="T308" s="35" t="str">
        <f>IFERROR(__xludf.DUMMYFUNCTION(" IF
( VLOOKUP($G308,IMPORTRANGE(""https://docs.google.com/spreadsheets/d/1Gpl6jkTg7sL4VDNimUm3S9Vi1i95esohXCF3wuKOE8c"", ""'CONSOLIDADO'!G5:AB""), 10, 0) &lt;&gt; 0, 
IFERROR(VLOOKUP($G308,IMPORTRANGE(""https://docs.google.com/spreadsheets/d/1Gpl6jkTg7sL4VDNimU"&amp;"m3S9Vi1i95esohXCF3wuKOE8c"", ""'CONSOLIDADO'!G5:AB""), 17, 0), ""-""),
""""
)"),"BEIFANG")</f>
        <v>BEIFANG</v>
      </c>
      <c r="U308" s="35" t="str">
        <f>IFERROR(__xludf.DUMMYFUNCTION(" IF
( VLOOKUP($G308,IMPORTRANGE(""https://docs.google.com/spreadsheets/d/1Gpl6jkTg7sL4VDNimUm3S9Vi1i95esohXCF3wuKOE8c"", ""'CONSOLIDADO'!G5:AB""), 10, 0) &lt;&gt; 0, 
IFERROR(VLOOKUP($G308,IMPORTRANGE(""https://docs.google.com/spreadsheets/d/1Gpl6jkTg7sL4VDNimU"&amp;"m3S9Vi1i95esohXCF3wuKOE8c"", ""'CONSOLIDADO'!G5:AB""), 18, 0), ""-""),
""""
)"),"ME-03")</f>
        <v>ME-03</v>
      </c>
      <c r="V308" s="36" t="str">
        <f>IFERROR(__xludf.DUMMYFUNCTION(" IF
( VLOOKUP($G308,IMPORTRANGE(""https://docs.google.com/spreadsheets/d/1Gpl6jkTg7sL4VDNimUm3S9Vi1i95esohXCF3wuKOE8c"", ""'CONSOLIDADO'!G5:AB""), 10, 0) &lt;&gt; 0, 
IFERROR(VLOOKUP($G308,IMPORTRANGE(""https://docs.google.com/spreadsheets/d/1Gpl6jkTg7sL4VDNimU"&amp;"m3S9Vi1i95esohXCF3wuKOE8c"", ""'CONSOLIDADO'!G5:AB""), 19, 0), ""-""),
""""
)"),"https://drive.google.com/file/d/1UjRiJa4O15LxvIDJxwRKlngDW7g1alAx/view?usp=sharing")</f>
        <v>https://drive.google.com/file/d/1UjRiJa4O15LxvIDJxwRKlngDW7g1alAx/view?usp=sharing</v>
      </c>
      <c r="W308" s="37" t="str">
        <f>IFERROR(__xludf.DUMMYFUNCTION("IFERROR(VLOOKUP(G308,IMPORTRANGE(""https://docs.google.com/spreadsheets/d/12RxCea4e5ggM7QGn1XE3FbLQa_-QbCNdBi90OdPjRqg"", ""'Plan de Compras'!D4:Q""), 12, 0), ""NO ESTÁ EN REQ"")"),"Técnica")</f>
        <v>Técnica</v>
      </c>
      <c r="X308" s="37" t="str">
        <f>IFERROR(__xludf.DUMMYFUNCTION("IFERROR(VLOOKUP(G308,IMPORTRANGE(""https://docs.google.com/spreadsheets/d/12RxCea4e5ggM7QGn1XE3FbLQa_-QbCNdBi90OdPjRqg"", ""'Plan de Compras'!D4:Q""), 13, 0), """")"),"INTERNACIONAL")</f>
        <v>INTERNACIONAL</v>
      </c>
      <c r="Y308" s="32" t="str">
        <f>IFERROR(__xludf.DUMMYFUNCTION("IFERROR(VLOOKUP(G308,IMPORTRANGE(""https://docs.google.com/spreadsheets/d/12RxCea4e5ggM7QGn1XE3FbLQa_-QbCNdBi90OdPjRqg"", ""'Plan de Compras'!D4:Q""), 14, 0), """")"),"JIMENA")</f>
        <v>JIMENA</v>
      </c>
      <c r="Z308" s="38" t="str">
        <f>IFERROR(__xludf.DUMMYFUNCTION("IFERROR(VLOOKUP(G308,IMPORTRANGE(""https://docs.google.com/spreadsheets/d/12RxCea4e5ggM7QGn1XE3FbLQa_-QbCNdBi90OdPjRqg"", ""'Plan de Compras'!D4:Q""), 4, 0), """")"),"MÓDULO EDUCATIVO DE SIMULACIÓN DE MOTOR DE GASOLINA (ENTRENADOR EDUCATIVO DE")</f>
        <v>MÓDULO EDUCATIVO DE SIMULACIÓN DE MOTOR DE GASOLINA (ENTRENADOR EDUCATIVO DE</v>
      </c>
      <c r="AA308" s="38" t="str">
        <f t="shared" si="16"/>
        <v>FALSE</v>
      </c>
      <c r="AB308" s="37" t="str">
        <f>IFERROR(__xludf.DUMMYFUNCTION("IFERROR(IF(OR(C308=TRUE,C308=""""),VLOOKUP(G308,IMPORTRANGE(""https://docs.google.com/spreadsheets/d/1z9A1Wq-kKrhRNG5RS2a2fKpY1wIhSVz2ZNmP2mOl588/edit?usp=sharing"",""REQ VF!E4:H""),4,0),""NO APLICA""),""GENERAR REQ"")"),"GENERAR REQ")</f>
        <v>GENERAR REQ</v>
      </c>
      <c r="AC308" s="37" t="str">
        <f>IFERROR(__xludf.DUMMYFUNCTION("IFERROR(QUERY(IMPORTRANGE(""https://docs.google.com/spreadsheets/d/1z9A1Wq-kKrhRNG5RS2a2fKpY1wIhSVz2ZNmP2mOl588/edit?usp=sharing"",""REQ VF!E4:Q""),""SELECT Col10, Col11, Col12 WHERE Col1 = '""&amp;G308&amp;""'"",0),""NO APLICA"")"),"NO APLICA")</f>
        <v>NO APLICA</v>
      </c>
      <c r="AD308" s="37"/>
      <c r="AE308" s="37"/>
      <c r="AF308" s="8" t="s">
        <v>52</v>
      </c>
      <c r="AG308" s="71"/>
    </row>
    <row r="309">
      <c r="A309" s="26">
        <v>137.0</v>
      </c>
      <c r="B309" s="26" t="b">
        <v>1</v>
      </c>
      <c r="C309" s="26" t="b">
        <v>1</v>
      </c>
      <c r="D309" s="26" t="s">
        <v>35</v>
      </c>
      <c r="E309" s="26" t="s">
        <v>36</v>
      </c>
      <c r="F309" s="27" t="s">
        <v>1004</v>
      </c>
      <c r="G309" s="37" t="s">
        <v>1004</v>
      </c>
      <c r="H309" s="45" t="s">
        <v>1005</v>
      </c>
      <c r="I309" s="43">
        <f>SUMIFS('Hoja 10'!$O:$O,'Hoja 10'!$F:$F,$G309)</f>
        <v>3</v>
      </c>
      <c r="J309" s="26">
        <f>IFERROR(__xludf.DUMMYFUNCTION("VLOOKUP(G309,IMPORTRANGE(""https://docs.google.com/spreadsheets/d/12RxCea4e5ggM7QGn1XE3FbLQa_-QbCNdBi90OdPjRqg/edit?gid=1692403370#gid=1692403370"", ""'Plan de Compras'!D4:2432""), 8,0)"),3.0)</f>
        <v>3</v>
      </c>
      <c r="K309" s="26" t="str">
        <f t="shared" si="1"/>
        <v>SI</v>
      </c>
      <c r="L309" s="29" t="s">
        <v>127</v>
      </c>
      <c r="M309" s="30" t="s">
        <v>105</v>
      </c>
      <c r="N309" s="42"/>
      <c r="O309" s="32" t="str">
        <f>VLOOKUP($G309,'Hoja 10'!$F$4:$AA478, 19,0)</f>
        <v>GTEE</v>
      </c>
      <c r="P309" s="42" t="str">
        <f>VLOOKUP($G309,'Hoja 10'!$F$4:$AA478, 20,0)</f>
        <v/>
      </c>
      <c r="Q309" s="33" t="str">
        <f>VLOOKUP($G309,'Hoja 10'!$F$4:$AA478, 21,0)</f>
        <v>https://drive.google.com/file/d/1QV_FVQn5ptq-pTURyhFFwgqVE19xOKAu/view</v>
      </c>
      <c r="R309" s="90" t="s">
        <v>1006</v>
      </c>
      <c r="S309" s="34" t="b">
        <v>1</v>
      </c>
      <c r="T309" s="35" t="str">
        <f>IFERROR(__xludf.DUMMYFUNCTION(" IF
( VLOOKUP($G309,IMPORTRANGE(""https://docs.google.com/spreadsheets/d/1Gpl6jkTg7sL4VDNimUm3S9Vi1i95esohXCF3wuKOE8c"", ""'CONSOLIDADO'!G5:AB""), 10, 0) &lt;&gt; 0, 
IFERROR(VLOOKUP($G309,IMPORTRANGE(""https://docs.google.com/spreadsheets/d/1Gpl6jkTg7sL4VDNimU"&amp;"m3S9Vi1i95esohXCF3wuKOE8c"", ""'CONSOLIDADO'!G5:AB""), 17, 0), ""-""),
""""
)"),"BEIFANG")</f>
        <v>BEIFANG</v>
      </c>
      <c r="U309" s="35" t="str">
        <f>IFERROR(__xludf.DUMMYFUNCTION(" IF
( VLOOKUP($G309,IMPORTRANGE(""https://docs.google.com/spreadsheets/d/1Gpl6jkTg7sL4VDNimUm3S9Vi1i95esohXCF3wuKOE8c"", ""'CONSOLIDADO'!G5:AB""), 10, 0) &lt;&gt; 0, 
IFERROR(VLOOKUP($G309,IMPORTRANGE(""https://docs.google.com/spreadsheets/d/1Gpl6jkTg7sL4VDNimU"&amp;"m3S9Vi1i95esohXCF3wuKOE8c"", ""'CONSOLIDADO'!G5:AB""), 18, 0), ""-""),
""""
)"),"ME-09")</f>
        <v>ME-09</v>
      </c>
      <c r="V309" s="36" t="str">
        <f>IFERROR(__xludf.DUMMYFUNCTION(" IF
( VLOOKUP($G309,IMPORTRANGE(""https://docs.google.com/spreadsheets/d/1Gpl6jkTg7sL4VDNimUm3S9Vi1i95esohXCF3wuKOE8c"", ""'CONSOLIDADO'!G5:AB""), 10, 0) &lt;&gt; 0, 
IFERROR(VLOOKUP($G309,IMPORTRANGE(""https://docs.google.com/spreadsheets/d/1Gpl6jkTg7sL4VDNimU"&amp;"m3S9Vi1i95esohXCF3wuKOE8c"", ""'CONSOLIDADO'!G5:AB""), 19, 0), ""-""),
""""
)"),"https://drive.google.com/file/d/1UjRiJa4O15LxvIDJxwRKlngDW7g1alAx/view?usp=sharing")</f>
        <v>https://drive.google.com/file/d/1UjRiJa4O15LxvIDJxwRKlngDW7g1alAx/view?usp=sharing</v>
      </c>
      <c r="W309" s="37" t="str">
        <f>IFERROR(__xludf.DUMMYFUNCTION("IFERROR(VLOOKUP(G309,IMPORTRANGE(""https://docs.google.com/spreadsheets/d/12RxCea4e5ggM7QGn1XE3FbLQa_-QbCNdBi90OdPjRqg"", ""'Plan de Compras'!D4:Q""), 12, 0), ""NO ESTÁ EN REQ"")"),"Técnica")</f>
        <v>Técnica</v>
      </c>
      <c r="X309" s="37" t="str">
        <f>IFERROR(__xludf.DUMMYFUNCTION("IFERROR(VLOOKUP(G309,IMPORTRANGE(""https://docs.google.com/spreadsheets/d/12RxCea4e5ggM7QGn1XE3FbLQa_-QbCNdBi90OdPjRqg"", ""'Plan de Compras'!D4:Q""), 13, 0), """")"),"INTERNACIONAL")</f>
        <v>INTERNACIONAL</v>
      </c>
      <c r="Y309" s="32" t="str">
        <f>IFERROR(__xludf.DUMMYFUNCTION("IFERROR(VLOOKUP(G309,IMPORTRANGE(""https://docs.google.com/spreadsheets/d/12RxCea4e5ggM7QGn1XE3FbLQa_-QbCNdBi90OdPjRqg"", ""'Plan de Compras'!D4:Q""), 14, 0), """")"),"JIMENA")</f>
        <v>JIMENA</v>
      </c>
      <c r="Z309" s="38" t="str">
        <f>IFERROR(__xludf.DUMMYFUNCTION("IFERROR(VLOOKUP(G309,IMPORTRANGE(""https://docs.google.com/spreadsheets/d/12RxCea4e5ggM7QGn1XE3FbLQa_-QbCNdBi90OdPjRqg"", ""'Plan de Compras'!D4:Q""), 4, 0), """")"),"MÓDULO EDUCATIVO DE SIMULACIÓN DE TRANSMISIÓN DE POTENCIA")</f>
        <v>MÓDULO EDUCATIVO DE SIMULACIÓN DE TRANSMISIÓN DE POTENCIA</v>
      </c>
      <c r="AA309" s="38" t="str">
        <f t="shared" si="16"/>
        <v>TRUE</v>
      </c>
      <c r="AB309" s="37" t="str">
        <f>IFERROR(__xludf.DUMMYFUNCTION("IFERROR(IF(OR(C309=TRUE,C309=""""),VLOOKUP(G309,IMPORTRANGE(""https://docs.google.com/spreadsheets/d/1z9A1Wq-kKrhRNG5RS2a2fKpY1wIhSVz2ZNmP2mOl588/edit?usp=sharing"",""REQ VF!E4:H""),4,0),""NO APLICA""),""GENERAR REQ"")"),"GENERAR REQ")</f>
        <v>GENERAR REQ</v>
      </c>
      <c r="AC309" s="37" t="str">
        <f>IFERROR(__xludf.DUMMYFUNCTION("IFERROR(QUERY(IMPORTRANGE(""https://docs.google.com/spreadsheets/d/1z9A1Wq-kKrhRNG5RS2a2fKpY1wIhSVz2ZNmP2mOl588/edit?usp=sharing"",""REQ VF!E4:Q""),""SELECT Col10, Col11, Col12 WHERE Col1 = '""&amp;G309&amp;""'"",0),""NO APLICA"")"),"NO APLICA")</f>
        <v>NO APLICA</v>
      </c>
      <c r="AD309" s="37"/>
      <c r="AE309" s="37"/>
      <c r="AF309" s="8" t="s">
        <v>52</v>
      </c>
      <c r="AG309" s="13"/>
    </row>
    <row r="310">
      <c r="A310" s="26">
        <v>138.0</v>
      </c>
      <c r="B310" s="26" t="b">
        <v>1</v>
      </c>
      <c r="C310" s="26" t="b">
        <v>1</v>
      </c>
      <c r="D310" s="26" t="s">
        <v>35</v>
      </c>
      <c r="E310" s="26" t="s">
        <v>36</v>
      </c>
      <c r="F310" s="27" t="s">
        <v>1007</v>
      </c>
      <c r="G310" s="37" t="s">
        <v>1007</v>
      </c>
      <c r="H310" s="45" t="s">
        <v>1008</v>
      </c>
      <c r="I310" s="43">
        <f>SUMIFS('Hoja 10'!$O:$O,'Hoja 10'!$F:$F,$G310)</f>
        <v>3</v>
      </c>
      <c r="J310" s="26">
        <f>IFERROR(__xludf.DUMMYFUNCTION("VLOOKUP(G310,IMPORTRANGE(""https://docs.google.com/spreadsheets/d/12RxCea4e5ggM7QGn1XE3FbLQa_-QbCNdBi90OdPjRqg/edit?gid=1692403370#gid=1692403370"", ""'Plan de Compras'!D4:2432""), 8,0)"),3.0)</f>
        <v>3</v>
      </c>
      <c r="K310" s="26" t="str">
        <f t="shared" si="1"/>
        <v>SI</v>
      </c>
      <c r="L310" s="29" t="s">
        <v>127</v>
      </c>
      <c r="M310" s="30" t="s">
        <v>105</v>
      </c>
      <c r="N310" s="42"/>
      <c r="O310" s="32" t="str">
        <f>VLOOKUP($G310,'Hoja 10'!$F$4:$AA478, 19,0)</f>
        <v>GTEE</v>
      </c>
      <c r="P310" s="42" t="str">
        <f>VLOOKUP($G310,'Hoja 10'!$F$4:$AA478, 20,0)</f>
        <v>GTAT-4007  Automotive starting system training board</v>
      </c>
      <c r="Q310" s="33" t="str">
        <f>VLOOKUP($G310,'Hoja 10'!$F$4:$AA478, 21,0)</f>
        <v>https://www.gteecn.com/automotive-starting-system-training-board.html</v>
      </c>
      <c r="R310" s="90" t="s">
        <v>1009</v>
      </c>
      <c r="S310" s="34" t="b">
        <v>1</v>
      </c>
      <c r="T310" s="35" t="str">
        <f>IFERROR(__xludf.DUMMYFUNCTION(" IF
( VLOOKUP($G310,IMPORTRANGE(""https://docs.google.com/spreadsheets/d/1Gpl6jkTg7sL4VDNimUm3S9Vi1i95esohXCF3wuKOE8c"", ""'CONSOLIDADO'!G5:AB""), 10, 0) &lt;&gt; 0, 
IFERROR(VLOOKUP($G310,IMPORTRANGE(""https://docs.google.com/spreadsheets/d/1Gpl6jkTg7sL4VDNimU"&amp;"m3S9Vi1i95esohXCF3wuKOE8c"", ""'CONSOLIDADO'!G5:AB""), 17, 0), ""-""),
""""
)"),"BEIFANG")</f>
        <v>BEIFANG</v>
      </c>
      <c r="U310" s="35" t="str">
        <f>IFERROR(__xludf.DUMMYFUNCTION(" IF
( VLOOKUP($G310,IMPORTRANGE(""https://docs.google.com/spreadsheets/d/1Gpl6jkTg7sL4VDNimUm3S9Vi1i95esohXCF3wuKOE8c"", ""'CONSOLIDADO'!G5:AB""), 10, 0) &lt;&gt; 0, 
IFERROR(VLOOKUP($G310,IMPORTRANGE(""https://docs.google.com/spreadsheets/d/1Gpl6jkTg7sL4VDNimU"&amp;"m3S9Vi1i95esohXCF3wuKOE8c"", ""'CONSOLIDADO'!G5:AB""), 18, 0), ""-""),
""""
)"),"ME-05")</f>
        <v>ME-05</v>
      </c>
      <c r="V310" s="36" t="str">
        <f>IFERROR(__xludf.DUMMYFUNCTION(" IF
( VLOOKUP($G310,IMPORTRANGE(""https://docs.google.com/spreadsheets/d/1Gpl6jkTg7sL4VDNimUm3S9Vi1i95esohXCF3wuKOE8c"", ""'CONSOLIDADO'!G5:AB""), 10, 0) &lt;&gt; 0, 
IFERROR(VLOOKUP($G310,IMPORTRANGE(""https://docs.google.com/spreadsheets/d/1Gpl6jkTg7sL4VDNimU"&amp;"m3S9Vi1i95esohXCF3wuKOE8c"", ""'CONSOLIDADO'!G5:AB""), 19, 0), ""-""),
""""
)"),"https://drive.google.com/file/d/1UjRiJa4O15LxvIDJxwRKlngDW7g1alAx/view?usp=sharing")</f>
        <v>https://drive.google.com/file/d/1UjRiJa4O15LxvIDJxwRKlngDW7g1alAx/view?usp=sharing</v>
      </c>
      <c r="W310" s="37" t="str">
        <f>IFERROR(__xludf.DUMMYFUNCTION("IFERROR(VLOOKUP(G310,IMPORTRANGE(""https://docs.google.com/spreadsheets/d/12RxCea4e5ggM7QGn1XE3FbLQa_-QbCNdBi90OdPjRqg"", ""'Plan de Compras'!D4:Q""), 12, 0), ""NO ESTÁ EN REQ"")"),"Técnica")</f>
        <v>Técnica</v>
      </c>
      <c r="X310" s="37" t="str">
        <f>IFERROR(__xludf.DUMMYFUNCTION("IFERROR(VLOOKUP(G310,IMPORTRANGE(""https://docs.google.com/spreadsheets/d/12RxCea4e5ggM7QGn1XE3FbLQa_-QbCNdBi90OdPjRqg"", ""'Plan de Compras'!D4:Q""), 13, 0), """")"),"INTERNACIONAL")</f>
        <v>INTERNACIONAL</v>
      </c>
      <c r="Y310" s="32" t="str">
        <f>IFERROR(__xludf.DUMMYFUNCTION("IFERROR(VLOOKUP(G310,IMPORTRANGE(""https://docs.google.com/spreadsheets/d/12RxCea4e5ggM7QGn1XE3FbLQa_-QbCNdBi90OdPjRqg"", ""'Plan de Compras'!D4:Q""), 14, 0), """")"),"JIMENA")</f>
        <v>JIMENA</v>
      </c>
      <c r="Z310" s="38" t="str">
        <f>IFERROR(__xludf.DUMMYFUNCTION("IFERROR(VLOOKUP(G310,IMPORTRANGE(""https://docs.google.com/spreadsheets/d/12RxCea4e5ggM7QGn1XE3FbLQa_-QbCNdBi90OdPjRqg"", ""'Plan de Compras'!D4:Q""), 4, 0), """")"),"MÓDULO EDUCATIVO DE SISTEMA CARGA Y ARRANQUE")</f>
        <v>MÓDULO EDUCATIVO DE SISTEMA CARGA Y ARRANQUE</v>
      </c>
      <c r="AA310" s="38" t="str">
        <f t="shared" si="16"/>
        <v>TRUE</v>
      </c>
      <c r="AB310" s="37" t="str">
        <f>IFERROR(__xludf.DUMMYFUNCTION("IFERROR(IF(OR(C310=TRUE,C310=""""),VLOOKUP(G310,IMPORTRANGE(""https://docs.google.com/spreadsheets/d/1z9A1Wq-kKrhRNG5RS2a2fKpY1wIhSVz2ZNmP2mOl588/edit?usp=sharing"",""REQ VF!E4:H""),4,0),""NO APLICA""),""GENERAR REQ"")"),"GENERAR REQ")</f>
        <v>GENERAR REQ</v>
      </c>
      <c r="AC310" s="37" t="str">
        <f>IFERROR(__xludf.DUMMYFUNCTION("IFERROR(QUERY(IMPORTRANGE(""https://docs.google.com/spreadsheets/d/1z9A1Wq-kKrhRNG5RS2a2fKpY1wIhSVz2ZNmP2mOl588/edit?usp=sharing"",""REQ VF!E4:Q""),""SELECT Col10, Col11, Col12 WHERE Col1 = '""&amp;G310&amp;""'"",0),""NO APLICA"")"),"NO APLICA")</f>
        <v>NO APLICA</v>
      </c>
      <c r="AD310" s="37"/>
      <c r="AE310" s="37"/>
      <c r="AF310" s="8" t="s">
        <v>52</v>
      </c>
      <c r="AG310" s="13"/>
    </row>
    <row r="311">
      <c r="A311" s="26">
        <v>139.0</v>
      </c>
      <c r="B311" s="26" t="b">
        <v>1</v>
      </c>
      <c r="C311" s="26" t="b">
        <v>1</v>
      </c>
      <c r="D311" s="26" t="s">
        <v>35</v>
      </c>
      <c r="E311" s="26" t="s">
        <v>36</v>
      </c>
      <c r="F311" s="27" t="s">
        <v>1010</v>
      </c>
      <c r="G311" s="37" t="s">
        <v>1010</v>
      </c>
      <c r="H311" s="45" t="s">
        <v>1011</v>
      </c>
      <c r="I311" s="43">
        <f>SUMIFS('Hoja 10'!$O:$O,'Hoja 10'!$F:$F,$G311)</f>
        <v>3</v>
      </c>
      <c r="J311" s="26">
        <f>IFERROR(__xludf.DUMMYFUNCTION("VLOOKUP(G311,IMPORTRANGE(""https://docs.google.com/spreadsheets/d/12RxCea4e5ggM7QGn1XE3FbLQa_-QbCNdBi90OdPjRqg/edit?gid=1692403370#gid=1692403370"", ""'Plan de Compras'!D4:2432""), 8,0)"),3.0)</f>
        <v>3</v>
      </c>
      <c r="K311" s="26" t="str">
        <f t="shared" si="1"/>
        <v>SI</v>
      </c>
      <c r="L311" s="29" t="s">
        <v>127</v>
      </c>
      <c r="M311" s="30" t="s">
        <v>105</v>
      </c>
      <c r="N311" s="42"/>
      <c r="O311" s="32" t="str">
        <f>VLOOKUP($G311,'Hoja 10'!$F$4:$AA478, 19,0)</f>
        <v>GTEE</v>
      </c>
      <c r="P311" s="42" t="str">
        <f>VLOOKUP($G311,'Hoja 10'!$F$4:$AA478, 20,0)</f>
        <v> GTAT-4006 Automotive six type ignition systems training board</v>
      </c>
      <c r="Q311" s="33" t="str">
        <f>VLOOKUP($G311,'Hoja 10'!$F$4:$AA478, 21,0)</f>
        <v>https://drive.google.com/file/d/1r84Ajbk72bxQAFjmoLslzXXUG9dcYk8X/view</v>
      </c>
      <c r="R311" s="90" t="s">
        <v>1012</v>
      </c>
      <c r="S311" s="34" t="b">
        <v>1</v>
      </c>
      <c r="T311" s="35" t="str">
        <f>IFERROR(__xludf.DUMMYFUNCTION(" IF
( VLOOKUP($G311,IMPORTRANGE(""https://docs.google.com/spreadsheets/d/1Gpl6jkTg7sL4VDNimUm3S9Vi1i95esohXCF3wuKOE8c"", ""'CONSOLIDADO'!G5:AB""), 10, 0) &lt;&gt; 0, 
IFERROR(VLOOKUP($G311,IMPORTRANGE(""https://docs.google.com/spreadsheets/d/1Gpl6jkTg7sL4VDNimU"&amp;"m3S9Vi1i95esohXCF3wuKOE8c"", ""'CONSOLIDADO'!G5:AB""), 17, 0), ""-""),
""""
)"),"GTEE")</f>
        <v>GTEE</v>
      </c>
      <c r="U311" s="35" t="str">
        <f>IFERROR(__xludf.DUMMYFUNCTION(" IF
( VLOOKUP($G311,IMPORTRANGE(""https://docs.google.com/spreadsheets/d/1Gpl6jkTg7sL4VDNimUm3S9Vi1i95esohXCF3wuKOE8c"", ""'CONSOLIDADO'!G5:AB""), 10, 0) &lt;&gt; 0, 
IFERROR(VLOOKUP($G311,IMPORTRANGE(""https://docs.google.com/spreadsheets/d/1Gpl6jkTg7sL4VDNimU"&amp;"m3S9Vi1i95esohXCF3wuKOE8c"", ""'CONSOLIDADO'!G5:AB""), 18, 0), ""-""),
""""
)"),"ME-07")</f>
        <v>ME-07</v>
      </c>
      <c r="V311" s="36" t="str">
        <f>IFERROR(__xludf.DUMMYFUNCTION(" IF
( VLOOKUP($G311,IMPORTRANGE(""https://docs.google.com/spreadsheets/d/1Gpl6jkTg7sL4VDNimUm3S9Vi1i95esohXCF3wuKOE8c"", ""'CONSOLIDADO'!G5:AB""), 10, 0) &lt;&gt; 0, 
IFERROR(VLOOKUP($G311,IMPORTRANGE(""https://docs.google.com/spreadsheets/d/1Gpl6jkTg7sL4VDNimU"&amp;"m3S9Vi1i95esohXCF3wuKOE8c"", ""'CONSOLIDADO'!G5:AB""), 19, 0), ""-""),
""""
)"),"https://drive.google.com/file/d/1ffY9WETmYkNom5x0fDEvayjcYCNRDPlW/view?usp=sharing")</f>
        <v>https://drive.google.com/file/d/1ffY9WETmYkNom5x0fDEvayjcYCNRDPlW/view?usp=sharing</v>
      </c>
      <c r="W311" s="37" t="str">
        <f>IFERROR(__xludf.DUMMYFUNCTION("IFERROR(VLOOKUP(G311,IMPORTRANGE(""https://docs.google.com/spreadsheets/d/12RxCea4e5ggM7QGn1XE3FbLQa_-QbCNdBi90OdPjRqg"", ""'Plan de Compras'!D4:Q""), 12, 0), ""NO ESTÁ EN REQ"")"),"Técnica")</f>
        <v>Técnica</v>
      </c>
      <c r="X311" s="37" t="str">
        <f>IFERROR(__xludf.DUMMYFUNCTION("IFERROR(VLOOKUP(G311,IMPORTRANGE(""https://docs.google.com/spreadsheets/d/12RxCea4e5ggM7QGn1XE3FbLQa_-QbCNdBi90OdPjRqg"", ""'Plan de Compras'!D4:Q""), 13, 0), """")"),"INTERNACIONAL")</f>
        <v>INTERNACIONAL</v>
      </c>
      <c r="Y311" s="32" t="str">
        <f>IFERROR(__xludf.DUMMYFUNCTION("IFERROR(VLOOKUP(G311,IMPORTRANGE(""https://docs.google.com/spreadsheets/d/12RxCea4e5ggM7QGn1XE3FbLQa_-QbCNdBi90OdPjRqg"", ""'Plan de Compras'!D4:Q""), 14, 0), """")"),"JIMENA")</f>
        <v>JIMENA</v>
      </c>
      <c r="Z311" s="38" t="str">
        <f>IFERROR(__xludf.DUMMYFUNCTION("IFERROR(VLOOKUP(G311,IMPORTRANGE(""https://docs.google.com/spreadsheets/d/12RxCea4e5ggM7QGn1XE3FbLQa_-QbCNdBi90OdPjRqg"", ""'Plan de Compras'!D4:Q""), 4, 0), """")"),"MÓDULO EDUCATIVO DE SISTEMA DE ENCENDIDO (ELECTRÓNICO)")</f>
        <v>MÓDULO EDUCATIVO DE SISTEMA DE ENCENDIDO (ELECTRÓNICO)</v>
      </c>
      <c r="AA311" s="38" t="str">
        <f t="shared" si="16"/>
        <v>TRUE</v>
      </c>
      <c r="AB311" s="37" t="str">
        <f>IFERROR(__xludf.DUMMYFUNCTION("IFERROR(IF(OR(C311=TRUE,C311=""""),VLOOKUP(G311,IMPORTRANGE(""https://docs.google.com/spreadsheets/d/1z9A1Wq-kKrhRNG5RS2a2fKpY1wIhSVz2ZNmP2mOl588/edit?usp=sharing"",""REQ VF!E4:H""),4,0),""NO APLICA""),""GENERAR REQ"")"),"GENERAR REQ")</f>
        <v>GENERAR REQ</v>
      </c>
      <c r="AC311" s="37" t="str">
        <f>IFERROR(__xludf.DUMMYFUNCTION("IFERROR(QUERY(IMPORTRANGE(""https://docs.google.com/spreadsheets/d/1z9A1Wq-kKrhRNG5RS2a2fKpY1wIhSVz2ZNmP2mOl588/edit?usp=sharing"",""REQ VF!E4:Q""),""SELECT Col10, Col11, Col12 WHERE Col1 = '""&amp;G311&amp;""'"",0),""NO APLICA"")"),"NO APLICA")</f>
        <v>NO APLICA</v>
      </c>
      <c r="AD311" s="37"/>
      <c r="AE311" s="37"/>
      <c r="AF311" s="8" t="s">
        <v>52</v>
      </c>
      <c r="AG311" s="13"/>
    </row>
    <row r="312">
      <c r="A312" s="26">
        <v>140.0</v>
      </c>
      <c r="B312" s="26" t="b">
        <v>1</v>
      </c>
      <c r="C312" s="26" t="b">
        <v>1</v>
      </c>
      <c r="D312" s="26" t="s">
        <v>35</v>
      </c>
      <c r="E312" s="26" t="s">
        <v>36</v>
      </c>
      <c r="F312" s="27" t="s">
        <v>1013</v>
      </c>
      <c r="G312" s="37" t="s">
        <v>1013</v>
      </c>
      <c r="H312" s="45" t="s">
        <v>1014</v>
      </c>
      <c r="I312" s="43">
        <f>SUMIFS('Hoja 10'!$O:$O,'Hoja 10'!$F:$F,$G312)</f>
        <v>3</v>
      </c>
      <c r="J312" s="26">
        <f>IFERROR(__xludf.DUMMYFUNCTION("VLOOKUP(G312,IMPORTRANGE(""https://docs.google.com/spreadsheets/d/12RxCea4e5ggM7QGn1XE3FbLQa_-QbCNdBi90OdPjRqg/edit?gid=1692403370#gid=1692403370"", ""'Plan de Compras'!D4:2432""), 8,0)"),3.0)</f>
        <v>3</v>
      </c>
      <c r="K312" s="26" t="str">
        <f t="shared" si="1"/>
        <v>SI</v>
      </c>
      <c r="L312" s="29" t="s">
        <v>127</v>
      </c>
      <c r="M312" s="30" t="s">
        <v>105</v>
      </c>
      <c r="N312" s="42"/>
      <c r="O312" s="32" t="str">
        <f>VLOOKUP($G312,'Hoja 10'!$F$4:$AA478, 19,0)</f>
        <v>GTEE</v>
      </c>
      <c r="P312" s="42" t="str">
        <f>VLOOKUP($G312,'Hoja 10'!$F$4:$AA478, 20,0)</f>
        <v>GTAT-4009 Automotive lighting system training board</v>
      </c>
      <c r="Q312" s="33" t="str">
        <f>VLOOKUP($G312,'Hoja 10'!$F$4:$AA478, 21,0)</f>
        <v>https://drive.google.com/file/d/13P1nOQsNR-S0l7BqD7iYctEteibbuiED/view</v>
      </c>
      <c r="R312" s="90" t="s">
        <v>1015</v>
      </c>
      <c r="S312" s="34" t="b">
        <v>1</v>
      </c>
      <c r="T312" s="35" t="str">
        <f>IFERROR(__xludf.DUMMYFUNCTION(" IF
( VLOOKUP($G312,IMPORTRANGE(""https://docs.google.com/spreadsheets/d/1Gpl6jkTg7sL4VDNimUm3S9Vi1i95esohXCF3wuKOE8c"", ""'CONSOLIDADO'!G5:AB""), 10, 0) &lt;&gt; 0, 
IFERROR(VLOOKUP($G312,IMPORTRANGE(""https://docs.google.com/spreadsheets/d/1Gpl6jkTg7sL4VDNimU"&amp;"m3S9Vi1i95esohXCF3wuKOE8c"", ""'CONSOLIDADO'!G5:AB""), 17, 0), ""-""),
""""
)"),"BEIFANG")</f>
        <v>BEIFANG</v>
      </c>
      <c r="U312" s="35" t="str">
        <f>IFERROR(__xludf.DUMMYFUNCTION(" IF
( VLOOKUP($G312,IMPORTRANGE(""https://docs.google.com/spreadsheets/d/1Gpl6jkTg7sL4VDNimUm3S9Vi1i95esohXCF3wuKOE8c"", ""'CONSOLIDADO'!G5:AB""), 10, 0) &lt;&gt; 0, 
IFERROR(VLOOKUP($G312,IMPORTRANGE(""https://docs.google.com/spreadsheets/d/1Gpl6jkTg7sL4VDNimU"&amp;"m3S9Vi1i95esohXCF3wuKOE8c"", ""'CONSOLIDADO'!G5:AB""), 18, 0), ""-""),
""""
)"),"ME-01")</f>
        <v>ME-01</v>
      </c>
      <c r="V312" s="36" t="str">
        <f>IFERROR(__xludf.DUMMYFUNCTION(" IF
( VLOOKUP($G312,IMPORTRANGE(""https://docs.google.com/spreadsheets/d/1Gpl6jkTg7sL4VDNimUm3S9Vi1i95esohXCF3wuKOE8c"", ""'CONSOLIDADO'!G5:AB""), 10, 0) &lt;&gt; 0, 
IFERROR(VLOOKUP($G312,IMPORTRANGE(""https://docs.google.com/spreadsheets/d/1Gpl6jkTg7sL4VDNimU"&amp;"m3S9Vi1i95esohXCF3wuKOE8c"", ""'CONSOLIDADO'!G5:AB""), 19, 0), ""-""),
""""
)"),"https://drive.google.com/file/d/1UjRiJa4O15LxvIDJxwRKlngDW7g1alAx/view?usp=sharing")</f>
        <v>https://drive.google.com/file/d/1UjRiJa4O15LxvIDJxwRKlngDW7g1alAx/view?usp=sharing</v>
      </c>
      <c r="W312" s="37" t="str">
        <f>IFERROR(__xludf.DUMMYFUNCTION("IFERROR(VLOOKUP(G312,IMPORTRANGE(""https://docs.google.com/spreadsheets/d/12RxCea4e5ggM7QGn1XE3FbLQa_-QbCNdBi90OdPjRqg"", ""'Plan de Compras'!D4:Q""), 12, 0), ""NO ESTÁ EN REQ"")"),"Técnica")</f>
        <v>Técnica</v>
      </c>
      <c r="X312" s="37" t="str">
        <f>IFERROR(__xludf.DUMMYFUNCTION("IFERROR(VLOOKUP(G312,IMPORTRANGE(""https://docs.google.com/spreadsheets/d/12RxCea4e5ggM7QGn1XE3FbLQa_-QbCNdBi90OdPjRqg"", ""'Plan de Compras'!D4:Q""), 13, 0), """")"),"INTERNACIONAL")</f>
        <v>INTERNACIONAL</v>
      </c>
      <c r="Y312" s="32" t="str">
        <f>IFERROR(__xludf.DUMMYFUNCTION("IFERROR(VLOOKUP(G312,IMPORTRANGE(""https://docs.google.com/spreadsheets/d/12RxCea4e5ggM7QGn1XE3FbLQa_-QbCNdBi90OdPjRqg"", ""'Plan de Compras'!D4:Q""), 14, 0), """")"),"JIMENA")</f>
        <v>JIMENA</v>
      </c>
      <c r="Z312" s="38" t="str">
        <f>IFERROR(__xludf.DUMMYFUNCTION("IFERROR(VLOOKUP(G312,IMPORTRANGE(""https://docs.google.com/spreadsheets/d/12RxCea4e5ggM7QGn1XE3FbLQa_-QbCNdBi90OdPjRqg"", ""'Plan de Compras'!D4:Q""), 4, 0), """")"),"MÓDULO EDUCATIVO DE SISTEMA DE LUCES")</f>
        <v>MÓDULO EDUCATIVO DE SISTEMA DE LUCES</v>
      </c>
      <c r="AA312" s="38" t="str">
        <f t="shared" si="16"/>
        <v>TRUE</v>
      </c>
      <c r="AB312" s="37" t="str">
        <f>IFERROR(__xludf.DUMMYFUNCTION("IFERROR(IF(OR(C312=TRUE,C312=""""),VLOOKUP(G312,IMPORTRANGE(""https://docs.google.com/spreadsheets/d/1z9A1Wq-kKrhRNG5RS2a2fKpY1wIhSVz2ZNmP2mOl588/edit?usp=sharing"",""REQ VF!E4:H""),4,0),""NO APLICA""),""GENERAR REQ"")"),"GENERAR REQ")</f>
        <v>GENERAR REQ</v>
      </c>
      <c r="AC312" s="37" t="str">
        <f>IFERROR(__xludf.DUMMYFUNCTION("IFERROR(QUERY(IMPORTRANGE(""https://docs.google.com/spreadsheets/d/1z9A1Wq-kKrhRNG5RS2a2fKpY1wIhSVz2ZNmP2mOl588/edit?usp=sharing"",""REQ VF!E4:Q""),""SELECT Col10, Col11, Col12 WHERE Col1 = '""&amp;G312&amp;""'"",0),""NO APLICA"")"),"NO APLICA")</f>
        <v>NO APLICA</v>
      </c>
      <c r="AD312" s="37"/>
      <c r="AE312" s="37"/>
      <c r="AF312" s="8" t="s">
        <v>52</v>
      </c>
      <c r="AG312" s="13"/>
    </row>
    <row r="313">
      <c r="A313" s="26">
        <v>141.0</v>
      </c>
      <c r="B313" s="26" t="b">
        <v>1</v>
      </c>
      <c r="C313" s="26" t="b">
        <v>1</v>
      </c>
      <c r="D313" s="26" t="s">
        <v>35</v>
      </c>
      <c r="E313" s="26" t="s">
        <v>36</v>
      </c>
      <c r="F313" s="27" t="s">
        <v>1016</v>
      </c>
      <c r="G313" s="37" t="s">
        <v>1016</v>
      </c>
      <c r="H313" s="45" t="s">
        <v>1017</v>
      </c>
      <c r="I313" s="43">
        <f>SUMIFS('Hoja 10'!$O:$O,'Hoja 10'!$F:$F,$G313)</f>
        <v>3</v>
      </c>
      <c r="J313" s="26">
        <f>IFERROR(__xludf.DUMMYFUNCTION("VLOOKUP(G313,IMPORTRANGE(""https://docs.google.com/spreadsheets/d/12RxCea4e5ggM7QGn1XE3FbLQa_-QbCNdBi90OdPjRqg/edit?gid=1692403370#gid=1692403370"", ""'Plan de Compras'!D4:2432""), 8,0)"),3.0)</f>
        <v>3</v>
      </c>
      <c r="K313" s="26" t="str">
        <f t="shared" si="1"/>
        <v>SI</v>
      </c>
      <c r="L313" s="29" t="s">
        <v>127</v>
      </c>
      <c r="M313" s="30" t="s">
        <v>105</v>
      </c>
      <c r="N313" s="42"/>
      <c r="O313" s="32" t="str">
        <f>VLOOKUP($G313,'Hoja 10'!$F$4:$AA478, 19,0)</f>
        <v>Beifang</v>
      </c>
      <c r="P313" s="32" t="str">
        <f>VLOOKUP($G313,'Hoja 10'!$F$4:$AA478, 20,0)</f>
        <v>COMPUTERIZED ELECTRICAL EDUCATIONAL MODULE</v>
      </c>
      <c r="Q313" s="33" t="str">
        <f>VLOOKUP($G313,'Hoja 10'!$F$4:$AA478, 21,0)</f>
        <v>https://drive.google.com/file/d/1LuVwLMnmPPsANbLTrvXmtZYO0lEkGO4E/view</v>
      </c>
      <c r="R313" s="30" t="s">
        <v>1018</v>
      </c>
      <c r="S313" s="34" t="b">
        <v>1</v>
      </c>
      <c r="T313" s="35" t="str">
        <f>IFERROR(__xludf.DUMMYFUNCTION(" IF
( VLOOKUP($G313,IMPORTRANGE(""https://docs.google.com/spreadsheets/d/1Gpl6jkTg7sL4VDNimUm3S9Vi1i95esohXCF3wuKOE8c"", ""'CONSOLIDADO'!G5:AB""), 10, 0) &lt;&gt; 0, 
IFERROR(VLOOKUP($G313,IMPORTRANGE(""https://docs.google.com/spreadsheets/d/1Gpl6jkTg7sL4VDNimU"&amp;"m3S9Vi1i95esohXCF3wuKOE8c"", ""'CONSOLIDADO'!G5:AB""), 17, 0), ""-""),
""""
)"),"BEIFANG")</f>
        <v>BEIFANG</v>
      </c>
      <c r="U313" s="35" t="str">
        <f>IFERROR(__xludf.DUMMYFUNCTION(" IF
( VLOOKUP($G313,IMPORTRANGE(""https://docs.google.com/spreadsheets/d/1Gpl6jkTg7sL4VDNimUm3S9Vi1i95esohXCF3wuKOE8c"", ""'CONSOLIDADO'!G5:AB""), 10, 0) &lt;&gt; 0, 
IFERROR(VLOOKUP($G313,IMPORTRANGE(""https://docs.google.com/spreadsheets/d/1Gpl6jkTg7sL4VDNimU"&amp;"m3S9Vi1i95esohXCF3wuKOE8c"", ""'CONSOLIDADO'!G5:AB""), 18, 0), ""-""),
""""
)"),"ME-02")</f>
        <v>ME-02</v>
      </c>
      <c r="V313" s="36" t="str">
        <f>IFERROR(__xludf.DUMMYFUNCTION(" IF
( VLOOKUP($G313,IMPORTRANGE(""https://docs.google.com/spreadsheets/d/1Gpl6jkTg7sL4VDNimUm3S9Vi1i95esohXCF3wuKOE8c"", ""'CONSOLIDADO'!G5:AB""), 10, 0) &lt;&gt; 0, 
IFERROR(VLOOKUP($G313,IMPORTRANGE(""https://docs.google.com/spreadsheets/d/1Gpl6jkTg7sL4VDNimU"&amp;"m3S9Vi1i95esohXCF3wuKOE8c"", ""'CONSOLIDADO'!G5:AB""), 19, 0), ""-""),
""""
)"),"https://drive.google.com/file/d/1UjRiJa4O15LxvIDJxwRKlngDW7g1alAx/view?usp=sharing")</f>
        <v>https://drive.google.com/file/d/1UjRiJa4O15LxvIDJxwRKlngDW7g1alAx/view?usp=sharing</v>
      </c>
      <c r="W313" s="37" t="str">
        <f>IFERROR(__xludf.DUMMYFUNCTION("IFERROR(VLOOKUP(G313,IMPORTRANGE(""https://docs.google.com/spreadsheets/d/12RxCea4e5ggM7QGn1XE3FbLQa_-QbCNdBi90OdPjRqg"", ""'Plan de Compras'!D4:Q""), 12, 0), ""NO ESTÁ EN REQ"")"),"Técnica")</f>
        <v>Técnica</v>
      </c>
      <c r="X313" s="37" t="str">
        <f>IFERROR(__xludf.DUMMYFUNCTION("IFERROR(VLOOKUP(G313,IMPORTRANGE(""https://docs.google.com/spreadsheets/d/12RxCea4e5ggM7QGn1XE3FbLQa_-QbCNdBi90OdPjRqg"", ""'Plan de Compras'!D4:Q""), 13, 0), """")"),"INTERNACIONAL")</f>
        <v>INTERNACIONAL</v>
      </c>
      <c r="Y313" s="32" t="str">
        <f>IFERROR(__xludf.DUMMYFUNCTION("IFERROR(VLOOKUP(G313,IMPORTRANGE(""https://docs.google.com/spreadsheets/d/12RxCea4e5ggM7QGn1XE3FbLQa_-QbCNdBi90OdPjRqg"", ""'Plan de Compras'!D4:Q""), 14, 0), """")"),"JIMENA")</f>
        <v>JIMENA</v>
      </c>
      <c r="Z313" s="38" t="str">
        <f>IFERROR(__xludf.DUMMYFUNCTION("IFERROR(VLOOKUP(G313,IMPORTRANGE(""https://docs.google.com/spreadsheets/d/12RxCea4e5ggM7QGn1XE3FbLQa_-QbCNdBi90OdPjRqg"", ""'Plan de Compras'!D4:Q""), 4, 0), """")"),"MÓDULO EDUCATIVO DE SISTEMA ELÉCTRICO ELECTRÓNICO COMPUTARIZADO")</f>
        <v>MÓDULO EDUCATIVO DE SISTEMA ELÉCTRICO ELECTRÓNICO COMPUTARIZADO</v>
      </c>
      <c r="AA313" s="38" t="str">
        <f t="shared" si="16"/>
        <v>TRUE</v>
      </c>
      <c r="AB313" s="37" t="str">
        <f>IFERROR(__xludf.DUMMYFUNCTION("IFERROR(IF(OR(C313=TRUE,C313=""""),VLOOKUP(G313,IMPORTRANGE(""https://docs.google.com/spreadsheets/d/1z9A1Wq-kKrhRNG5RS2a2fKpY1wIhSVz2ZNmP2mOl588/edit?usp=sharing"",""REQ VF!E4:H""),4,0),""NO APLICA""),""GENERAR REQ"")"),"GENERAR REQ")</f>
        <v>GENERAR REQ</v>
      </c>
      <c r="AC313" s="37" t="str">
        <f>IFERROR(__xludf.DUMMYFUNCTION("IFERROR(QUERY(IMPORTRANGE(""https://docs.google.com/spreadsheets/d/1z9A1Wq-kKrhRNG5RS2a2fKpY1wIhSVz2ZNmP2mOl588/edit?usp=sharing"",""REQ VF!E4:Q""),""SELECT Col10, Col11, Col12 WHERE Col1 = '""&amp;G313&amp;""'"",0),""NO APLICA"")"),"NO APLICA")</f>
        <v>NO APLICA</v>
      </c>
      <c r="AD313" s="37"/>
      <c r="AE313" s="37"/>
      <c r="AF313" s="8" t="s">
        <v>52</v>
      </c>
      <c r="AG313" s="13"/>
    </row>
    <row r="314">
      <c r="A314" s="26">
        <v>142.0</v>
      </c>
      <c r="B314" s="26" t="b">
        <v>1</v>
      </c>
      <c r="C314" s="26" t="b">
        <v>1</v>
      </c>
      <c r="D314" s="26" t="s">
        <v>35</v>
      </c>
      <c r="E314" s="26" t="s">
        <v>36</v>
      </c>
      <c r="F314" s="27" t="s">
        <v>1019</v>
      </c>
      <c r="G314" s="37" t="s">
        <v>1019</v>
      </c>
      <c r="H314" s="45" t="s">
        <v>1020</v>
      </c>
      <c r="I314" s="43">
        <f>SUMIFS('Hoja 10'!$O:$O,'Hoja 10'!$F:$F,$G314)</f>
        <v>2</v>
      </c>
      <c r="J314" s="26">
        <f>IFERROR(__xludf.DUMMYFUNCTION("VLOOKUP(G314,IMPORTRANGE(""https://docs.google.com/spreadsheets/d/12RxCea4e5ggM7QGn1XE3FbLQa_-QbCNdBi90OdPjRqg/edit?gid=1692403370#gid=1692403370"", ""'Plan de Compras'!D4:2432""), 8,0)"),2.0)</f>
        <v>2</v>
      </c>
      <c r="K314" s="26" t="str">
        <f t="shared" si="1"/>
        <v>SI</v>
      </c>
      <c r="L314" s="29" t="s">
        <v>127</v>
      </c>
      <c r="M314" s="30" t="s">
        <v>105</v>
      </c>
      <c r="N314" s="42"/>
      <c r="O314" s="32" t="str">
        <f>VLOOKUP($G314,'Hoja 10'!$F$4:$AA478, 19,0)</f>
        <v>GTEE</v>
      </c>
      <c r="P314" s="42" t="str">
        <f>VLOOKUP($G314,'Hoja 10'!$F$4:$AA478, 20,0)</f>
        <v>GTAT-2019  Four wheel power steering trainer</v>
      </c>
      <c r="Q314" s="33" t="str">
        <f>VLOOKUP($G314,'Hoja 10'!$F$4:$AA478, 21,0)</f>
        <v>https://docs.google.com/spreadsheets/d/1ZbJwCNKfEnpacrUjWzwIuLTtr0-inU9Fa_KHBY0AHGk/edit?gid=0#gid=0</v>
      </c>
      <c r="R314" s="90" t="s">
        <v>1021</v>
      </c>
      <c r="S314" s="34" t="b">
        <v>1</v>
      </c>
      <c r="T314" s="35" t="str">
        <f>IFERROR(__xludf.DUMMYFUNCTION(" IF
( VLOOKUP($G314,IMPORTRANGE(""https://docs.google.com/spreadsheets/d/1Gpl6jkTg7sL4VDNimUm3S9Vi1i95esohXCF3wuKOE8c"", ""'CONSOLIDADO'!G5:AB""), 10, 0) &lt;&gt; 0, 
IFERROR(VLOOKUP($G314,IMPORTRANGE(""https://docs.google.com/spreadsheets/d/1Gpl6jkTg7sL4VDNimU"&amp;"m3S9Vi1i95esohXCF3wuKOE8c"", ""'CONSOLIDADO'!G5:AB""), 17, 0), ""-""),
""""
)"),"BEIFANG")</f>
        <v>BEIFANG</v>
      </c>
      <c r="U314" s="35" t="str">
        <f>IFERROR(__xludf.DUMMYFUNCTION(" IF
( VLOOKUP($G314,IMPORTRANGE(""https://docs.google.com/spreadsheets/d/1Gpl6jkTg7sL4VDNimUm3S9Vi1i95esohXCF3wuKOE8c"", ""'CONSOLIDADO'!G5:AB""), 10, 0) &lt;&gt; 0, 
IFERROR(VLOOKUP($G314,IMPORTRANGE(""https://docs.google.com/spreadsheets/d/1Gpl6jkTg7sL4VDNimU"&amp;"m3S9Vi1i95esohXCF3wuKOE8c"", ""'CONSOLIDADO'!G5:AB""), 18, 0), ""-""),
""""
)"),"ME-10")</f>
        <v>ME-10</v>
      </c>
      <c r="V314" s="36" t="str">
        <f>IFERROR(__xludf.DUMMYFUNCTION(" IF
( VLOOKUP($G314,IMPORTRANGE(""https://docs.google.com/spreadsheets/d/1Gpl6jkTg7sL4VDNimUm3S9Vi1i95esohXCF3wuKOE8c"", ""'CONSOLIDADO'!G5:AB""), 10, 0) &lt;&gt; 0, 
IFERROR(VLOOKUP($G314,IMPORTRANGE(""https://docs.google.com/spreadsheets/d/1Gpl6jkTg7sL4VDNimU"&amp;"m3S9Vi1i95esohXCF3wuKOE8c"", ""'CONSOLIDADO'!G5:AB""), 19, 0), ""-""),
""""
)"),"https://drive.google.com/file/d/1UjRiJa4O15LxvIDJxwRKlngDW7g1alAx/view?usp=sharing")</f>
        <v>https://drive.google.com/file/d/1UjRiJa4O15LxvIDJxwRKlngDW7g1alAx/view?usp=sharing</v>
      </c>
      <c r="W314" s="37" t="str">
        <f>IFERROR(__xludf.DUMMYFUNCTION("IFERROR(VLOOKUP(G314,IMPORTRANGE(""https://docs.google.com/spreadsheets/d/12RxCea4e5ggM7QGn1XE3FbLQa_-QbCNdBi90OdPjRqg"", ""'Plan de Compras'!D4:Q""), 12, 0), ""NO ESTÁ EN REQ"")"),"Técnica")</f>
        <v>Técnica</v>
      </c>
      <c r="X314" s="37" t="str">
        <f>IFERROR(__xludf.DUMMYFUNCTION("IFERROR(VLOOKUP(G314,IMPORTRANGE(""https://docs.google.com/spreadsheets/d/12RxCea4e5ggM7QGn1XE3FbLQa_-QbCNdBi90OdPjRqg"", ""'Plan de Compras'!D4:Q""), 13, 0), """")"),"INTERNACIONAL")</f>
        <v>INTERNACIONAL</v>
      </c>
      <c r="Y314" s="32" t="str">
        <f>IFERROR(__xludf.DUMMYFUNCTION("IFERROR(VLOOKUP(G314,IMPORTRANGE(""https://docs.google.com/spreadsheets/d/12RxCea4e5ggM7QGn1XE3FbLQa_-QbCNdBi90OdPjRqg"", ""'Plan de Compras'!D4:Q""), 14, 0), """")"),"JIMENA")</f>
        <v>JIMENA</v>
      </c>
      <c r="Z314" s="38" t="str">
        <f>IFERROR(__xludf.DUMMYFUNCTION("IFERROR(VLOOKUP(G314,IMPORTRANGE(""https://docs.google.com/spreadsheets/d/12RxCea4e5ggM7QGn1XE3FbLQa_-QbCNdBi90OdPjRqg"", ""'Plan de Compras'!D4:Q""), 4, 0), """")"),"MÓDULO EDUCATIVO DE SUSPENSIÓN, DIRECCIÓN Y FRENOS")</f>
        <v>MÓDULO EDUCATIVO DE SUSPENSIÓN, DIRECCIÓN Y FRENOS</v>
      </c>
      <c r="AA314" s="38" t="str">
        <f t="shared" si="16"/>
        <v>TRUE</v>
      </c>
      <c r="AB314" s="37" t="str">
        <f>IFERROR(__xludf.DUMMYFUNCTION("IFERROR(IF(OR(C314=TRUE,C314=""""),VLOOKUP(G314,IMPORTRANGE(""https://docs.google.com/spreadsheets/d/1z9A1Wq-kKrhRNG5RS2a2fKpY1wIhSVz2ZNmP2mOl588/edit?usp=sharing"",""REQ VF!E4:H""),4,0),""NO APLICA""),""GENERAR REQ"")"),"GENERAR REQ")</f>
        <v>GENERAR REQ</v>
      </c>
      <c r="AC314" s="37" t="str">
        <f>IFERROR(__xludf.DUMMYFUNCTION("IFERROR(QUERY(IMPORTRANGE(""https://docs.google.com/spreadsheets/d/1z9A1Wq-kKrhRNG5RS2a2fKpY1wIhSVz2ZNmP2mOl588/edit?usp=sharing"",""REQ VF!E4:Q""),""SELECT Col10, Col11, Col12 WHERE Col1 = '""&amp;G314&amp;""'"",0),""NO APLICA"")"),"NO APLICA")</f>
        <v>NO APLICA</v>
      </c>
      <c r="AD314" s="37"/>
      <c r="AE314" s="37"/>
      <c r="AF314" s="8" t="s">
        <v>52</v>
      </c>
      <c r="AG314" s="13"/>
    </row>
    <row r="315">
      <c r="A315" s="26">
        <v>143.0</v>
      </c>
      <c r="B315" s="26" t="b">
        <v>1</v>
      </c>
      <c r="C315" s="26" t="b">
        <v>1</v>
      </c>
      <c r="D315" s="26" t="s">
        <v>35</v>
      </c>
      <c r="E315" s="26" t="s">
        <v>36</v>
      </c>
      <c r="F315" s="27" t="s">
        <v>1022</v>
      </c>
      <c r="G315" s="37" t="s">
        <v>1022</v>
      </c>
      <c r="H315" s="45" t="s">
        <v>1023</v>
      </c>
      <c r="I315" s="43">
        <f>SUMIFS('Hoja 10'!$O:$O,'Hoja 10'!$F:$F,$G315)</f>
        <v>3</v>
      </c>
      <c r="J315" s="26">
        <f>IFERROR(__xludf.DUMMYFUNCTION("VLOOKUP(G315,IMPORTRANGE(""https://docs.google.com/spreadsheets/d/12RxCea4e5ggM7QGn1XE3FbLQa_-QbCNdBi90OdPjRqg/edit?gid=1692403370#gid=1692403370"", ""'Plan de Compras'!D4:2432""), 8,0)"),3.0)</f>
        <v>3</v>
      </c>
      <c r="K315" s="26" t="str">
        <f t="shared" si="1"/>
        <v>SI</v>
      </c>
      <c r="L315" s="29" t="s">
        <v>127</v>
      </c>
      <c r="M315" s="30" t="s">
        <v>105</v>
      </c>
      <c r="N315" s="42"/>
      <c r="O315" s="32" t="str">
        <f>VLOOKUP($G315,'Hoja 10'!$F$4:$AA478, 19,0)</f>
        <v>GTE/BEIFANG</v>
      </c>
      <c r="P315" s="32" t="str">
        <f>VLOOKUP($G315,'Hoja 10'!$F$4:$AA478, 20,0)</f>
        <v/>
      </c>
      <c r="Q315" s="33" t="str">
        <f>VLOOKUP($G315,'Hoja 10'!$F$4:$AA478, 21,0)</f>
        <v>https://drive.google.com/file/d/1AIVHeRGhe00m9JHSKLG1x7P_mwCLC4Cc/view</v>
      </c>
      <c r="R315" s="90" t="s">
        <v>1024</v>
      </c>
      <c r="S315" s="34" t="b">
        <v>1</v>
      </c>
      <c r="T315" s="35" t="str">
        <f>IFERROR(__xludf.DUMMYFUNCTION(" IF
( VLOOKUP($G315,IMPORTRANGE(""https://docs.google.com/spreadsheets/d/1Gpl6jkTg7sL4VDNimUm3S9Vi1i95esohXCF3wuKOE8c"", ""'CONSOLIDADO'!G5:AB""), 10, 0) &lt;&gt; 0, 
IFERROR(VLOOKUP($G315,IMPORTRANGE(""https://docs.google.com/spreadsheets/d/1Gpl6jkTg7sL4VDNimU"&amp;"m3S9Vi1i95esohXCF3wuKOE8c"", ""'CONSOLIDADO'!G5:AB""), 17, 0), ""-""),
""""
)"),"BEIFANG")</f>
        <v>BEIFANG</v>
      </c>
      <c r="U315" s="35" t="str">
        <f>IFERROR(__xludf.DUMMYFUNCTION(" IF
( VLOOKUP($G315,IMPORTRANGE(""https://docs.google.com/spreadsheets/d/1Gpl6jkTg7sL4VDNimUm3S9Vi1i95esohXCF3wuKOE8c"", ""'CONSOLIDADO'!G5:AB""), 10, 0) &lt;&gt; 0, 
IFERROR(VLOOKUP($G315,IMPORTRANGE(""https://docs.google.com/spreadsheets/d/1Gpl6jkTg7sL4VDNimU"&amp;"m3S9Vi1i95esohXCF3wuKOE8c"", ""'CONSOLIDADO'!G5:AB""), 18, 0), ""-""),
""""
)"),"ME-08")</f>
        <v>ME-08</v>
      </c>
      <c r="V315" s="36" t="str">
        <f>IFERROR(__xludf.DUMMYFUNCTION(" IF
( VLOOKUP($G315,IMPORTRANGE(""https://docs.google.com/spreadsheets/d/1Gpl6jkTg7sL4VDNimUm3S9Vi1i95esohXCF3wuKOE8c"", ""'CONSOLIDADO'!G5:AB""), 10, 0) &lt;&gt; 0, 
IFERROR(VLOOKUP($G315,IMPORTRANGE(""https://docs.google.com/spreadsheets/d/1Gpl6jkTg7sL4VDNimU"&amp;"m3S9Vi1i95esohXCF3wuKOE8c"", ""'CONSOLIDADO'!G5:AB""), 19, 0), ""-""),
""""
)"),"https://drive.google.com/file/d/1UjRiJa4O15LxvIDJxwRKlngDW7g1alAx/view?usp=sharing")</f>
        <v>https://drive.google.com/file/d/1UjRiJa4O15LxvIDJxwRKlngDW7g1alAx/view?usp=sharing</v>
      </c>
      <c r="W315" s="37" t="str">
        <f>IFERROR(__xludf.DUMMYFUNCTION("IFERROR(VLOOKUP(G315,IMPORTRANGE(""https://docs.google.com/spreadsheets/d/12RxCea4e5ggM7QGn1XE3FbLQa_-QbCNdBi90OdPjRqg"", ""'Plan de Compras'!D4:Q""), 12, 0), ""NO ESTÁ EN REQ"")"),"Técnica")</f>
        <v>Técnica</v>
      </c>
      <c r="X315" s="37" t="str">
        <f>IFERROR(__xludf.DUMMYFUNCTION("IFERROR(VLOOKUP(G315,IMPORTRANGE(""https://docs.google.com/spreadsheets/d/12RxCea4e5ggM7QGn1XE3FbLQa_-QbCNdBi90OdPjRqg"", ""'Plan de Compras'!D4:Q""), 13, 0), """")"),"INTERNACIONAL")</f>
        <v>INTERNACIONAL</v>
      </c>
      <c r="Y315" s="32" t="str">
        <f>IFERROR(__xludf.DUMMYFUNCTION("IFERROR(VLOOKUP(G315,IMPORTRANGE(""https://docs.google.com/spreadsheets/d/12RxCea4e5ggM7QGn1XE3FbLQa_-QbCNdBi90OdPjRqg"", ""'Plan de Compras'!D4:Q""), 14, 0), """")"),"JIMENA")</f>
        <v>JIMENA</v>
      </c>
      <c r="Z315" s="38" t="str">
        <f>IFERROR(__xludf.DUMMYFUNCTION("IFERROR(VLOOKUP(G315,IMPORTRANGE(""https://docs.google.com/spreadsheets/d/12RxCea4e5ggM7QGn1XE3FbLQa_-QbCNdBi90OdPjRqg"", ""'Plan de Compras'!D4:Q""), 4, 0), """")"),"MÓDULO EDUCATIVO Y SIMULADOR DE SISTEMA DE FRENOS ABS Y TCS CONTROL DE TRACCIÓ")</f>
        <v>MÓDULO EDUCATIVO Y SIMULADOR DE SISTEMA DE FRENOS ABS Y TCS CONTROL DE TRACCIÓ</v>
      </c>
      <c r="AA315" s="38" t="str">
        <f t="shared" si="16"/>
        <v>FALSE</v>
      </c>
      <c r="AB315" s="37" t="str">
        <f>IFERROR(__xludf.DUMMYFUNCTION("IFERROR(IF(OR(C315=TRUE,C315=""""),VLOOKUP(G315,IMPORTRANGE(""https://docs.google.com/spreadsheets/d/1z9A1Wq-kKrhRNG5RS2a2fKpY1wIhSVz2ZNmP2mOl588/edit?usp=sharing"",""REQ VF!E4:H""),4,0),""NO APLICA""),""GENERAR REQ"")"),"GENERAR REQ")</f>
        <v>GENERAR REQ</v>
      </c>
      <c r="AC315" s="37" t="str">
        <f>IFERROR(__xludf.DUMMYFUNCTION("IFERROR(QUERY(IMPORTRANGE(""https://docs.google.com/spreadsheets/d/1z9A1Wq-kKrhRNG5RS2a2fKpY1wIhSVz2ZNmP2mOl588/edit?usp=sharing"",""REQ VF!E4:Q""),""SELECT Col10, Col11, Col12 WHERE Col1 = '""&amp;G315&amp;""'"",0),""NO APLICA"")"),"NO APLICA")</f>
        <v>NO APLICA</v>
      </c>
      <c r="AD315" s="37"/>
      <c r="AE315" s="37"/>
      <c r="AF315" s="8" t="s">
        <v>52</v>
      </c>
      <c r="AG315" s="71"/>
    </row>
    <row r="316">
      <c r="A316" s="26">
        <v>144.0</v>
      </c>
      <c r="B316" s="26" t="b">
        <v>1</v>
      </c>
      <c r="C316" s="26" t="b">
        <v>1</v>
      </c>
      <c r="D316" s="26" t="s">
        <v>35</v>
      </c>
      <c r="E316" s="26" t="s">
        <v>36</v>
      </c>
      <c r="F316" s="27" t="s">
        <v>1025</v>
      </c>
      <c r="G316" s="39" t="s">
        <v>1025</v>
      </c>
      <c r="H316" s="45" t="s">
        <v>1026</v>
      </c>
      <c r="I316" s="43">
        <f>SUMIFS('Hoja 10'!$O:$O,'Hoja 10'!$F:$F,$G316)</f>
        <v>4</v>
      </c>
      <c r="J316" s="26">
        <f>IFERROR(__xludf.DUMMYFUNCTION("VLOOKUP(G316,IMPORTRANGE(""https://docs.google.com/spreadsheets/d/12RxCea4e5ggM7QGn1XE3FbLQa_-QbCNdBi90OdPjRqg/edit?gid=1692403370#gid=1692403370"", ""'Plan de Compras'!D4:2432""), 8,0)"),4.0)</f>
        <v>4</v>
      </c>
      <c r="K316" s="26" t="str">
        <f t="shared" si="1"/>
        <v>SI</v>
      </c>
      <c r="L316" s="29" t="s">
        <v>39</v>
      </c>
      <c r="M316" s="30" t="s">
        <v>40</v>
      </c>
      <c r="N316" s="70"/>
      <c r="O316" s="32" t="str">
        <f>VLOOKUP($G316,'Hoja 10'!$F$4:$AA478, 19,0)</f>
        <v>Foshan City Shunde AIMC Electrical Appliances Co., Ltd.</v>
      </c>
      <c r="P316" s="32" t="str">
        <f>VLOOKUP($G316,'Hoja 10'!$F$4:$AA478, 20,0)</f>
        <v>1000G</v>
      </c>
      <c r="Q316" s="33" t="str">
        <f>VLOOKUP($G316,'Hoja 10'!$F$4:$AA478, 21,0)</f>
        <v>https://drive.google.com/file/d/13XGaIKl-Sp6bbN4PtfDbSEI-iN4wre_o/view?usp=sharing</v>
      </c>
      <c r="R316" s="30" t="s">
        <v>1027</v>
      </c>
      <c r="S316" s="34" t="b">
        <v>1</v>
      </c>
      <c r="T316" s="35" t="str">
        <f>IFERROR(__xludf.DUMMYFUNCTION(" IF
( VLOOKUP($G316,IMPORTRANGE(""https://docs.google.com/spreadsheets/d/1Gpl6jkTg7sL4VDNimUm3S9Vi1i95esohXCF3wuKOE8c"", ""'CONSOLIDADO'!G5:AB""), 10, 0) &lt;&gt; 0, 
IFERROR(VLOOKUP($G316,IMPORTRANGE(""https://docs.google.com/spreadsheets/d/1Gpl6jkTg7sL4VDNimU"&amp;"m3S9Vi1i95esohXCF3wuKOE8c"", ""'CONSOLIDADO'!G5:AB""), 17, 0), ""-""),
""""
)"),"Foshan City Shunde AIMC Electrical Appliances Co., Ltd.")</f>
        <v>Foshan City Shunde AIMC Electrical Appliances Co., Ltd.</v>
      </c>
      <c r="U316" s="35" t="str">
        <f>IFERROR(__xludf.DUMMYFUNCTION(" IF
( VLOOKUP($G316,IMPORTRANGE(""https://docs.google.com/spreadsheets/d/1Gpl6jkTg7sL4VDNimUm3S9Vi1i95esohXCF3wuKOE8c"", ""'CONSOLIDADO'!G5:AB""), 10, 0) &lt;&gt; 0, 
IFERROR(VLOOKUP($G316,IMPORTRANGE(""https://docs.google.com/spreadsheets/d/1Gpl6jkTg7sL4VDNimU"&amp;"m3S9Vi1i95esohXCF3wuKOE8c"", ""'CONSOLIDADO'!G5:AB""), 18, 0), ""-""),
""""
)"),"1000G")</f>
        <v>1000G</v>
      </c>
      <c r="V316" s="36" t="str">
        <f>IFERROR(__xludf.DUMMYFUNCTION(" IF
( VLOOKUP($G316,IMPORTRANGE(""https://docs.google.com/spreadsheets/d/1Gpl6jkTg7sL4VDNimUm3S9Vi1i95esohXCF3wuKOE8c"", ""'CONSOLIDADO'!G5:AB""), 10, 0) &lt;&gt; 0, 
IFERROR(VLOOKUP($G316,IMPORTRANGE(""https://docs.google.com/spreadsheets/d/1Gpl6jkTg7sL4VDNimU"&amp;"m3S9Vi1i95esohXCF3wuKOE8c"", ""'CONSOLIDADO'!G5:AB""), 19, 0), ""-""),
""""
)"),"https://drive.google.com/file/d/1byA_73UIjPIjgUYo9ggvcuXUqvJoo8mm/view")</f>
        <v>https://drive.google.com/file/d/1byA_73UIjPIjgUYo9ggvcuXUqvJoo8mm/view</v>
      </c>
      <c r="W316" s="37" t="str">
        <f>IFERROR(__xludf.DUMMYFUNCTION("IFERROR(VLOOKUP(G316,IMPORTRANGE(""https://docs.google.com/spreadsheets/d/12RxCea4e5ggM7QGn1XE3FbLQa_-QbCNdBi90OdPjRqg"", ""'Plan de Compras'!D4:Q""), 12, 0), ""NO ESTÁ EN REQ"")"),"Técnica")</f>
        <v>Técnica</v>
      </c>
      <c r="X316" s="37" t="str">
        <f>IFERROR(__xludf.DUMMYFUNCTION("IFERROR(VLOOKUP(G316,IMPORTRANGE(""https://docs.google.com/spreadsheets/d/12RxCea4e5ggM7QGn1XE3FbLQa_-QbCNdBi90OdPjRqg"", ""'Plan de Compras'!D4:Q""), 13, 0), """")"),"INTERNACIONAL")</f>
        <v>INTERNACIONAL</v>
      </c>
      <c r="Y316" s="32" t="str">
        <f>IFERROR(__xludf.DUMMYFUNCTION("IFERROR(VLOOKUP(G316,IMPORTRANGE(""https://docs.google.com/spreadsheets/d/12RxCea4e5ggM7QGn1XE3FbLQa_-QbCNdBi90OdPjRqg"", ""'Plan de Compras'!D4:Q""), 14, 0), """")"),"GEYDI")</f>
        <v>GEYDI</v>
      </c>
      <c r="Z316" s="38" t="str">
        <f>IFERROR(__xludf.DUMMYFUNCTION("IFERROR(VLOOKUP(G316,IMPORTRANGE(""https://docs.google.com/spreadsheets/d/12RxCea4e5ggM7QGn1XE3FbLQa_-QbCNdBi90OdPjRqg"", ""'Plan de Compras'!D4:Q""), 4, 0), """")"),"MOLINO ELÉCTRICO")</f>
        <v>MOLINO ELÉCTRICO</v>
      </c>
      <c r="AA316" s="38" t="str">
        <f t="shared" si="16"/>
        <v>TRUE</v>
      </c>
      <c r="AB316" s="37" t="str">
        <f>IFERROR(__xludf.DUMMYFUNCTION("IFERROR(IF(OR(C316=TRUE,C316=""""),VLOOKUP(G316,IMPORTRANGE(""https://docs.google.com/spreadsheets/d/1z9A1Wq-kKrhRNG5RS2a2fKpY1wIhSVz2ZNmP2mOl588/edit?usp=sharing"",""REQ VF!E4:H""),4,0),""NO APLICA""),""GENERAR REQ"")"),"GENERAR REQ")</f>
        <v>GENERAR REQ</v>
      </c>
      <c r="AC316" s="37" t="str">
        <f>IFERROR(__xludf.DUMMYFUNCTION("IFERROR(QUERY(IMPORTRANGE(""https://docs.google.com/spreadsheets/d/1z9A1Wq-kKrhRNG5RS2a2fKpY1wIhSVz2ZNmP2mOl588/edit?usp=sharing"",""REQ VF!E4:Q""),""SELECT Col10, Col11, Col12 WHERE Col1 = '""&amp;G316&amp;""'"",0),""NO APLICA"")"),"NO APLICA")</f>
        <v>NO APLICA</v>
      </c>
      <c r="AD316" s="37"/>
      <c r="AE316" s="37"/>
      <c r="AF316" s="8" t="s">
        <v>52</v>
      </c>
      <c r="AG316" s="13"/>
    </row>
    <row r="317">
      <c r="A317" s="83"/>
      <c r="B317" s="26"/>
      <c r="C317" s="26" t="b">
        <v>1</v>
      </c>
      <c r="D317" s="60" t="s">
        <v>42</v>
      </c>
      <c r="E317" s="60" t="s">
        <v>36</v>
      </c>
      <c r="F317" s="94" t="s">
        <v>1025</v>
      </c>
      <c r="G317" s="39" t="s">
        <v>1028</v>
      </c>
      <c r="H317" s="82" t="s">
        <v>44</v>
      </c>
      <c r="I317" s="43">
        <f>$I$316</f>
        <v>4</v>
      </c>
      <c r="J317" s="26">
        <f>IFERROR(__xludf.DUMMYFUNCTION("VLOOKUP(G317,IMPORTRANGE(""https://docs.google.com/spreadsheets/d/12RxCea4e5ggM7QGn1XE3FbLQa_-QbCNdBi90OdPjRqg/edit?gid=1692403370#gid=1692403370"", ""'Plan de Compras'!D4:2432""), 8,0)"),4.0)</f>
        <v>4</v>
      </c>
      <c r="K317" s="26" t="str">
        <f t="shared" si="1"/>
        <v>SI</v>
      </c>
      <c r="L317" s="60"/>
      <c r="M317" s="84"/>
      <c r="N317" s="42" t="s">
        <v>45</v>
      </c>
      <c r="O317" s="84"/>
      <c r="P317" s="26" t="s">
        <v>1029</v>
      </c>
      <c r="Q317" s="41"/>
      <c r="R317" s="84"/>
      <c r="S317" s="34" t="b">
        <v>1</v>
      </c>
      <c r="T317" s="35" t="s">
        <v>47</v>
      </c>
      <c r="U317" s="43" t="s">
        <v>1030</v>
      </c>
      <c r="V317" s="44"/>
      <c r="W317" s="37" t="str">
        <f>IFERROR(__xludf.DUMMYFUNCTION("IFERROR(VLOOKUP(G317,IMPORTRANGE(""https://docs.google.com/spreadsheets/d/12RxCea4e5ggM7QGn1XE3FbLQa_-QbCNdBi90OdPjRqg"", ""'Plan de Compras'!D4:Q""), 12, 0), ""NO ESTÁ EN REQ"")"),"Simple")</f>
        <v>Simple</v>
      </c>
      <c r="X317" s="37" t="str">
        <f>IFERROR(__xludf.DUMMYFUNCTION("IFERROR(VLOOKUP(G317,IMPORTRANGE(""https://docs.google.com/spreadsheets/d/12RxCea4e5ggM7QGn1XE3FbLQa_-QbCNdBi90OdPjRqg"", ""'Plan de Compras'!D4:Q""), 13, 0), """")"),"NACIONAL")</f>
        <v>NACIONAL</v>
      </c>
      <c r="Y317" s="32" t="str">
        <f>IFERROR(__xludf.DUMMYFUNCTION("IFERROR(VLOOKUP(G317,IMPORTRANGE(""https://docs.google.com/spreadsheets/d/12RxCea4e5ggM7QGn1XE3FbLQa_-QbCNdBi90OdPjRqg"", ""'Plan de Compras'!D4:Q""), 14, 0), """")"),"ANGIE")</f>
        <v>ANGIE</v>
      </c>
      <c r="Z317" s="38" t="str">
        <f>IFERROR(__xludf.DUMMYFUNCTION("IFERROR(VLOOKUP(G317,IMPORTRANGE(""https://docs.google.com/spreadsheets/d/12RxCea4e5ggM7QGn1XE3FbLQa_-QbCNdBi90OdPjRqg"", ""'Plan de Compras'!D4:Q""), 4, 0), """")"),"FUNDA IMPERMEABLE (1 UND)")</f>
        <v>FUNDA IMPERMEABLE (1 UND)</v>
      </c>
      <c r="AA317" s="38" t="str">
        <f t="shared" si="16"/>
        <v>TRUE</v>
      </c>
      <c r="AB317" s="37" t="str">
        <f>IFERROR(__xludf.DUMMYFUNCTION("IFERROR(IF(OR(C317=TRUE,C317=""""),VLOOKUP(G317,IMPORTRANGE(""https://docs.google.com/spreadsheets/d/1z9A1Wq-kKrhRNG5RS2a2fKpY1wIhSVz2ZNmP2mOl588/edit?usp=sharing"",""REQ VF!E4:H""),4,0),""NO APLICA""),""GENERAR REQ"")"),"GENERAR REQ")</f>
        <v>GENERAR REQ</v>
      </c>
      <c r="AC317" s="37" t="str">
        <f>IFERROR(__xludf.DUMMYFUNCTION("IFERROR(QUERY(IMPORTRANGE(""https://docs.google.com/spreadsheets/d/1z9A1Wq-kKrhRNG5RS2a2fKpY1wIhSVz2ZNmP2mOl588/edit?usp=sharing"",""REQ VF!E4:Q""),""SELECT Col10, Col11, Col12 WHERE Col1 = '""&amp;G317&amp;""'"",0),""NO APLICA"")"),"NO APLICA")</f>
        <v>NO APLICA</v>
      </c>
      <c r="AD317" s="37"/>
      <c r="AE317" s="37"/>
      <c r="AF317" s="13"/>
      <c r="AG317" s="13"/>
    </row>
    <row r="318">
      <c r="A318" s="26">
        <v>145.0</v>
      </c>
      <c r="B318" s="26" t="b">
        <v>1</v>
      </c>
      <c r="C318" s="26" t="b">
        <v>1</v>
      </c>
      <c r="D318" s="26" t="s">
        <v>35</v>
      </c>
      <c r="E318" s="26" t="s">
        <v>36</v>
      </c>
      <c r="F318" s="27" t="s">
        <v>1031</v>
      </c>
      <c r="G318" s="39" t="s">
        <v>1031</v>
      </c>
      <c r="H318" s="45" t="s">
        <v>1032</v>
      </c>
      <c r="I318" s="43">
        <f>SUMIFS('Hoja 10'!$O:$O,'Hoja 10'!$F:$F,$G318)</f>
        <v>4</v>
      </c>
      <c r="J318" s="26">
        <f>IFERROR(__xludf.DUMMYFUNCTION("VLOOKUP(G318,IMPORTRANGE(""https://docs.google.com/spreadsheets/d/12RxCea4e5ggM7QGn1XE3FbLQa_-QbCNdBi90OdPjRqg/edit?gid=1692403370#gid=1692403370"", ""'Plan de Compras'!D4:2432""), 8,0)"),4.0)</f>
        <v>4</v>
      </c>
      <c r="K318" s="26" t="str">
        <f t="shared" si="1"/>
        <v>SI</v>
      </c>
      <c r="L318" s="29" t="s">
        <v>39</v>
      </c>
      <c r="M318" s="30" t="s">
        <v>40</v>
      </c>
      <c r="N318" s="70"/>
      <c r="O318" s="32" t="str">
        <f>VLOOKUP($G318,'Hoja 10'!$F$4:$AA478, 19,0)</f>
        <v>Foshan City Shunde AIMC Electrical Appliances Co., Ltd.</v>
      </c>
      <c r="P318" s="32" t="str">
        <f>VLOOKUP($G318,'Hoja 10'!$F$4:$AA478, 20,0)</f>
        <v>1000G</v>
      </c>
      <c r="Q318" s="33" t="str">
        <f>VLOOKUP($G318,'Hoja 10'!$F$4:$AA478, 21,0)</f>
        <v>https://drive.google.com/file/d/13XGaIKl-Sp6bbN4PtfDbSEI-iN4wre_o/view?usp=sharing</v>
      </c>
      <c r="R318" s="30" t="s">
        <v>1033</v>
      </c>
      <c r="S318" s="34" t="b">
        <v>1</v>
      </c>
      <c r="T318" s="35" t="str">
        <f>IFERROR(__xludf.DUMMYFUNCTION(" IF
( VLOOKUP($G318,IMPORTRANGE(""https://docs.google.com/spreadsheets/d/1Gpl6jkTg7sL4VDNimUm3S9Vi1i95esohXCF3wuKOE8c"", ""'CONSOLIDADO'!G5:AB""), 10, 0) &lt;&gt; 0, 
IFERROR(VLOOKUP($G318,IMPORTRANGE(""https://docs.google.com/spreadsheets/d/1Gpl6jkTg7sL4VDNimU"&amp;"m3S9Vi1i95esohXCF3wuKOE8c"", ""'CONSOLIDADO'!G5:AB""), 17, 0), ""-""),
""""
)"),"Foshan City Shunde AIMC Electrical Appliances Co., Ltd.")</f>
        <v>Foshan City Shunde AIMC Electrical Appliances Co., Ltd.</v>
      </c>
      <c r="U318" s="35" t="str">
        <f>IFERROR(__xludf.DUMMYFUNCTION(" IF
( VLOOKUP($G318,IMPORTRANGE(""https://docs.google.com/spreadsheets/d/1Gpl6jkTg7sL4VDNimUm3S9Vi1i95esohXCF3wuKOE8c"", ""'CONSOLIDADO'!G5:AB""), 10, 0) &lt;&gt; 0, 
IFERROR(VLOOKUP($G318,IMPORTRANGE(""https://docs.google.com/spreadsheets/d/1Gpl6jkTg7sL4VDNimU"&amp;"m3S9Vi1i95esohXCF3wuKOE8c"", ""'CONSOLIDADO'!G5:AB""), 18, 0), ""-""),
""""
)"),"1000G")</f>
        <v>1000G</v>
      </c>
      <c r="V318" s="36" t="str">
        <f>IFERROR(__xludf.DUMMYFUNCTION(" IF
( VLOOKUP($G318,IMPORTRANGE(""https://docs.google.com/spreadsheets/d/1Gpl6jkTg7sL4VDNimUm3S9Vi1i95esohXCF3wuKOE8c"", ""'CONSOLIDADO'!G5:AB""), 10, 0) &lt;&gt; 0, 
IFERROR(VLOOKUP($G318,IMPORTRANGE(""https://docs.google.com/spreadsheets/d/1Gpl6jkTg7sL4VDNimU"&amp;"m3S9Vi1i95esohXCF3wuKOE8c"", ""'CONSOLIDADO'!G5:AB""), 19, 0), ""-""),
""""
)"),"https://drive.google.com/file/d/1byA_73UIjPIjgUYo9ggvcuXUqvJoo8mm/view")</f>
        <v>https://drive.google.com/file/d/1byA_73UIjPIjgUYo9ggvcuXUqvJoo8mm/view</v>
      </c>
      <c r="W318" s="37" t="str">
        <f>IFERROR(__xludf.DUMMYFUNCTION("IFERROR(VLOOKUP(G318,IMPORTRANGE(""https://docs.google.com/spreadsheets/d/12RxCea4e5ggM7QGn1XE3FbLQa_-QbCNdBi90OdPjRqg"", ""'Plan de Compras'!D4:Q""), 12, 0), ""NO ESTÁ EN REQ"")"),"Técnica")</f>
        <v>Técnica</v>
      </c>
      <c r="X318" s="37" t="str">
        <f>IFERROR(__xludf.DUMMYFUNCTION("IFERROR(VLOOKUP(G318,IMPORTRANGE(""https://docs.google.com/spreadsheets/d/12RxCea4e5ggM7QGn1XE3FbLQa_-QbCNdBi90OdPjRqg"", ""'Plan de Compras'!D4:Q""), 13, 0), """")"),"INTERNACIONAL")</f>
        <v>INTERNACIONAL</v>
      </c>
      <c r="Y318" s="32" t="str">
        <f>IFERROR(__xludf.DUMMYFUNCTION("IFERROR(VLOOKUP(G318,IMPORTRANGE(""https://docs.google.com/spreadsheets/d/12RxCea4e5ggM7QGn1XE3FbLQa_-QbCNdBi90OdPjRqg"", ""'Plan de Compras'!D4:Q""), 14, 0), """")"),"GEYDI")</f>
        <v>GEYDI</v>
      </c>
      <c r="Z318" s="38" t="str">
        <f>IFERROR(__xludf.DUMMYFUNCTION("IFERROR(VLOOKUP(G318,IMPORTRANGE(""https://docs.google.com/spreadsheets/d/12RxCea4e5ggM7QGn1XE3FbLQa_-QbCNdBi90OdPjRqg"", ""'Plan de Compras'!D4:Q""), 4, 0), """")"),"MOLINO ELÉCTRICO PULVERIZADOR DE HIERBAS Y GRANOS")</f>
        <v>MOLINO ELÉCTRICO PULVERIZADOR DE HIERBAS Y GRANOS</v>
      </c>
      <c r="AA318" s="38" t="str">
        <f t="shared" si="16"/>
        <v>TRUE</v>
      </c>
      <c r="AB318" s="37" t="str">
        <f>IFERROR(__xludf.DUMMYFUNCTION("IFERROR(IF(OR(C318=TRUE,C318=""""),VLOOKUP(G318,IMPORTRANGE(""https://docs.google.com/spreadsheets/d/1z9A1Wq-kKrhRNG5RS2a2fKpY1wIhSVz2ZNmP2mOl588/edit?usp=sharing"",""REQ VF!E4:H""),4,0),""NO APLICA""),""GENERAR REQ"")"),"GENERAR REQ")</f>
        <v>GENERAR REQ</v>
      </c>
      <c r="AC318" s="37" t="str">
        <f>IFERROR(__xludf.DUMMYFUNCTION("IFERROR(QUERY(IMPORTRANGE(""https://docs.google.com/spreadsheets/d/1z9A1Wq-kKrhRNG5RS2a2fKpY1wIhSVz2ZNmP2mOl588/edit?usp=sharing"",""REQ VF!E4:Q""),""SELECT Col10, Col11, Col12 WHERE Col1 = '""&amp;G318&amp;""'"",0),""NO APLICA"")"),"NO APLICA")</f>
        <v>NO APLICA</v>
      </c>
      <c r="AD318" s="37"/>
      <c r="AE318" s="37"/>
      <c r="AF318" s="8" t="s">
        <v>52</v>
      </c>
      <c r="AG318" s="13"/>
    </row>
    <row r="319">
      <c r="A319" s="83"/>
      <c r="B319" s="26"/>
      <c r="C319" s="26" t="b">
        <v>1</v>
      </c>
      <c r="D319" s="60" t="s">
        <v>42</v>
      </c>
      <c r="E319" s="60" t="s">
        <v>36</v>
      </c>
      <c r="F319" s="96" t="s">
        <v>1031</v>
      </c>
      <c r="G319" s="39" t="s">
        <v>1034</v>
      </c>
      <c r="H319" s="82" t="s">
        <v>44</v>
      </c>
      <c r="I319" s="43">
        <f>$I$318</f>
        <v>4</v>
      </c>
      <c r="J319" s="26">
        <f>IFERROR(__xludf.DUMMYFUNCTION("VLOOKUP(G319,IMPORTRANGE(""https://docs.google.com/spreadsheets/d/12RxCea4e5ggM7QGn1XE3FbLQa_-QbCNdBi90OdPjRqg/edit?gid=1692403370#gid=1692403370"", ""'Plan de Compras'!D4:2432""), 8,0)"),4.0)</f>
        <v>4</v>
      </c>
      <c r="K319" s="26" t="str">
        <f t="shared" si="1"/>
        <v>SI</v>
      </c>
      <c r="L319" s="60"/>
      <c r="M319" s="84"/>
      <c r="N319" s="42" t="s">
        <v>45</v>
      </c>
      <c r="O319" s="84"/>
      <c r="P319" s="26" t="s">
        <v>1029</v>
      </c>
      <c r="Q319" s="41"/>
      <c r="R319" s="84"/>
      <c r="S319" s="34" t="b">
        <v>1</v>
      </c>
      <c r="T319" s="35" t="s">
        <v>47</v>
      </c>
      <c r="U319" s="43" t="s">
        <v>1035</v>
      </c>
      <c r="V319" s="44"/>
      <c r="W319" s="37" t="str">
        <f>IFERROR(__xludf.DUMMYFUNCTION("IFERROR(VLOOKUP(G319,IMPORTRANGE(""https://docs.google.com/spreadsheets/d/12RxCea4e5ggM7QGn1XE3FbLQa_-QbCNdBi90OdPjRqg"", ""'Plan de Compras'!D4:Q""), 12, 0), ""NO ESTÁ EN REQ"")"),"Simple")</f>
        <v>Simple</v>
      </c>
      <c r="X319" s="37" t="str">
        <f>IFERROR(__xludf.DUMMYFUNCTION("IFERROR(VLOOKUP(G319,IMPORTRANGE(""https://docs.google.com/spreadsheets/d/12RxCea4e5ggM7QGn1XE3FbLQa_-QbCNdBi90OdPjRqg"", ""'Plan de Compras'!D4:Q""), 13, 0), """")"),"NACIONAL")</f>
        <v>NACIONAL</v>
      </c>
      <c r="Y319" s="32" t="str">
        <f>IFERROR(__xludf.DUMMYFUNCTION("IFERROR(VLOOKUP(G319,IMPORTRANGE(""https://docs.google.com/spreadsheets/d/12RxCea4e5ggM7QGn1XE3FbLQa_-QbCNdBi90OdPjRqg"", ""'Plan de Compras'!D4:Q""), 14, 0), """")"),"ANGIE")</f>
        <v>ANGIE</v>
      </c>
      <c r="Z319" s="38" t="str">
        <f>IFERROR(__xludf.DUMMYFUNCTION("IFERROR(VLOOKUP(G319,IMPORTRANGE(""https://docs.google.com/spreadsheets/d/12RxCea4e5ggM7QGn1XE3FbLQa_-QbCNdBi90OdPjRqg"", ""'Plan de Compras'!D4:Q""), 4, 0), """")"),"FUNDA IMPERMEABLE (1 UND)")</f>
        <v>FUNDA IMPERMEABLE (1 UND)</v>
      </c>
      <c r="AA319" s="38" t="str">
        <f t="shared" si="16"/>
        <v>TRUE</v>
      </c>
      <c r="AB319" s="37" t="str">
        <f>IFERROR(__xludf.DUMMYFUNCTION("IFERROR(IF(OR(C319=TRUE,C319=""""),VLOOKUP(G319,IMPORTRANGE(""https://docs.google.com/spreadsheets/d/1z9A1Wq-kKrhRNG5RS2a2fKpY1wIhSVz2ZNmP2mOl588/edit?usp=sharing"",""REQ VF!E4:H""),4,0),""NO APLICA""),""GENERAR REQ"")"),"GENERAR REQ")</f>
        <v>GENERAR REQ</v>
      </c>
      <c r="AC319" s="37" t="str">
        <f>IFERROR(__xludf.DUMMYFUNCTION("IFERROR(QUERY(IMPORTRANGE(""https://docs.google.com/spreadsheets/d/1z9A1Wq-kKrhRNG5RS2a2fKpY1wIhSVz2ZNmP2mOl588/edit?usp=sharing"",""REQ VF!E4:Q""),""SELECT Col10, Col11, Col12 WHERE Col1 = '""&amp;G319&amp;""'"",0),""NO APLICA"")"),"NO APLICA")</f>
        <v>NO APLICA</v>
      </c>
      <c r="AD319" s="37"/>
      <c r="AE319" s="37"/>
      <c r="AF319" s="13"/>
      <c r="AG319" s="13"/>
    </row>
    <row r="320">
      <c r="A320" s="26">
        <v>146.0</v>
      </c>
      <c r="B320" s="26" t="b">
        <v>1</v>
      </c>
      <c r="C320" s="26" t="b">
        <v>1</v>
      </c>
      <c r="D320" s="26" t="s">
        <v>35</v>
      </c>
      <c r="E320" s="26" t="s">
        <v>36</v>
      </c>
      <c r="F320" s="27" t="s">
        <v>1036</v>
      </c>
      <c r="G320" s="39" t="s">
        <v>1036</v>
      </c>
      <c r="H320" s="45" t="s">
        <v>1037</v>
      </c>
      <c r="I320" s="43">
        <f>SUMIFS('Hoja 10'!$O:$O,'Hoja 10'!$F:$F,$G320)</f>
        <v>4</v>
      </c>
      <c r="J320" s="26">
        <f>IFERROR(__xludf.DUMMYFUNCTION("VLOOKUP(G320,IMPORTRANGE(""https://docs.google.com/spreadsheets/d/12RxCea4e5ggM7QGn1XE3FbLQa_-QbCNdBi90OdPjRqg/edit?gid=1692403370#gid=1692403370"", ""'Plan de Compras'!D4:2432""), 8,0)"),4.0)</f>
        <v>4</v>
      </c>
      <c r="K320" s="26" t="str">
        <f t="shared" si="1"/>
        <v>SI</v>
      </c>
      <c r="L320" s="29" t="s">
        <v>39</v>
      </c>
      <c r="M320" s="30" t="s">
        <v>40</v>
      </c>
      <c r="N320" s="42"/>
      <c r="O320" s="32" t="str">
        <f>VLOOKUP($G320,'Hoja 10'!$F$4:$AA478, 19,0)</f>
        <v>Zhengzhou Thrive Trade Co., Limited</v>
      </c>
      <c r="P320" s="32" t="str">
        <f>VLOOKUP($G320,'Hoja 10'!$F$4:$AA478, 20,0)</f>
        <v>TH-860</v>
      </c>
      <c r="Q320" s="33" t="str">
        <f>VLOOKUP($G320,'Hoja 10'!$F$4:$AA478, 21,0)</f>
        <v>https://drive.google.com/file/d/1NIRYs4rZoOmyRtDuwdu3zEt6nlSHYkcK/view</v>
      </c>
      <c r="R320" s="30" t="s">
        <v>1038</v>
      </c>
      <c r="S320" s="34" t="b">
        <v>1</v>
      </c>
      <c r="T320" s="35" t="str">
        <f>IFERROR(__xludf.DUMMYFUNCTION(" IF
( VLOOKUP($G320,IMPORTRANGE(""https://docs.google.com/spreadsheets/d/1Gpl6jkTg7sL4VDNimUm3S9Vi1i95esohXCF3wuKOE8c"", ""'CONSOLIDADO'!G5:AB""), 10, 0) &lt;&gt; 0, 
IFERROR(VLOOKUP($G320,IMPORTRANGE(""https://docs.google.com/spreadsheets/d/1Gpl6jkTg7sL4VDNimU"&amp;"m3S9Vi1i95esohXCF3wuKOE8c"", ""'CONSOLIDADO'!G5:AB""), 17, 0), ""-""),
""""
)"),"Zhengzhou Thrive Trade Co., Limited")</f>
        <v>Zhengzhou Thrive Trade Co., Limited</v>
      </c>
      <c r="U320" s="35" t="str">
        <f>IFERROR(__xludf.DUMMYFUNCTION(" IF
( VLOOKUP($G320,IMPORTRANGE(""https://docs.google.com/spreadsheets/d/1Gpl6jkTg7sL4VDNimUm3S9Vi1i95esohXCF3wuKOE8c"", ""'CONSOLIDADO'!G5:AB""), 10, 0) &lt;&gt; 0, 
IFERROR(VLOOKUP($G320,IMPORTRANGE(""https://docs.google.com/spreadsheets/d/1Gpl6jkTg7sL4VDNimU"&amp;"m3S9Vi1i95esohXCF3wuKOE8c"", ""'CONSOLIDADO'!G5:AB""), 18, 0), ""-""),
""""
)"),"TH-860")</f>
        <v>TH-860</v>
      </c>
      <c r="V320" s="36" t="str">
        <f>IFERROR(__xludf.DUMMYFUNCTION(" IF
( VLOOKUP($G320,IMPORTRANGE(""https://docs.google.com/spreadsheets/d/1Gpl6jkTg7sL4VDNimUm3S9Vi1i95esohXCF3wuKOE8c"", ""'CONSOLIDADO'!G5:AB""), 10, 0) &lt;&gt; 0, 
IFERROR(VLOOKUP($G320,IMPORTRANGE(""https://docs.google.com/spreadsheets/d/1Gpl6jkTg7sL4VDNimU"&amp;"m3S9Vi1i95esohXCF3wuKOE8c"", ""'CONSOLIDADO'!G5:AB""), 19, 0), ""-""),
""""
)"),"https://drive.google.com/file/d/1NIRYs4rZoOmyRtDuwdu3zEt6nlSHYkcK/view")</f>
        <v>https://drive.google.com/file/d/1NIRYs4rZoOmyRtDuwdu3zEt6nlSHYkcK/view</v>
      </c>
      <c r="W320" s="37" t="str">
        <f>IFERROR(__xludf.DUMMYFUNCTION("IFERROR(VLOOKUP(G320,IMPORTRANGE(""https://docs.google.com/spreadsheets/d/12RxCea4e5ggM7QGn1XE3FbLQa_-QbCNdBi90OdPjRqg"", ""'Plan de Compras'!D4:Q""), 12, 0), ""NO ESTÁ EN REQ"")"),"Técnica")</f>
        <v>Técnica</v>
      </c>
      <c r="X320" s="37" t="str">
        <f>IFERROR(__xludf.DUMMYFUNCTION("IFERROR(VLOOKUP(G320,IMPORTRANGE(""https://docs.google.com/spreadsheets/d/12RxCea4e5ggM7QGn1XE3FbLQa_-QbCNdBi90OdPjRqg"", ""'Plan de Compras'!D4:Q""), 13, 0), """")"),"INTERNACIONAL")</f>
        <v>INTERNACIONAL</v>
      </c>
      <c r="Y320" s="32" t="str">
        <f>IFERROR(__xludf.DUMMYFUNCTION("IFERROR(VLOOKUP(G320,IMPORTRANGE(""https://docs.google.com/spreadsheets/d/12RxCea4e5ggM7QGn1XE3FbLQa_-QbCNdBi90OdPjRqg"", ""'Plan de Compras'!D4:Q""), 14, 0), """")"),"GEYDI")</f>
        <v>GEYDI</v>
      </c>
      <c r="Z320" s="38" t="str">
        <f>IFERROR(__xludf.DUMMYFUNCTION("IFERROR(VLOOKUP(G320,IMPORTRANGE(""https://docs.google.com/spreadsheets/d/12RxCea4e5ggM7QGn1XE3FbLQa_-QbCNdBi90OdPjRqg"", ""'Plan de Compras'!D4:Q""), 4, 0), """")"),"MOLINO PASTA DE CACAO")</f>
        <v>MOLINO PASTA DE CACAO</v>
      </c>
      <c r="AA320" s="38" t="str">
        <f t="shared" si="16"/>
        <v>TRUE</v>
      </c>
      <c r="AB320" s="37" t="str">
        <f>IFERROR(__xludf.DUMMYFUNCTION("IFERROR(IF(OR(C320=TRUE,C320=""""),VLOOKUP(G320,IMPORTRANGE(""https://docs.google.com/spreadsheets/d/1z9A1Wq-kKrhRNG5RS2a2fKpY1wIhSVz2ZNmP2mOl588/edit?usp=sharing"",""REQ VF!E4:H""),4,0),""NO APLICA""),""GENERAR REQ"")"),"GENERAR REQ")</f>
        <v>GENERAR REQ</v>
      </c>
      <c r="AC320" s="37" t="str">
        <f>IFERROR(__xludf.DUMMYFUNCTION("IFERROR(QUERY(IMPORTRANGE(""https://docs.google.com/spreadsheets/d/1z9A1Wq-kKrhRNG5RS2a2fKpY1wIhSVz2ZNmP2mOl588/edit?usp=sharing"",""REQ VF!E4:Q""),""SELECT Col10, Col11, Col12 WHERE Col1 = '""&amp;G320&amp;""'"",0),""NO APLICA"")"),"NO APLICA")</f>
        <v>NO APLICA</v>
      </c>
      <c r="AD320" s="37"/>
      <c r="AE320" s="37"/>
      <c r="AF320" s="8" t="s">
        <v>52</v>
      </c>
      <c r="AG320" s="13"/>
    </row>
    <row r="321">
      <c r="A321" s="83"/>
      <c r="B321" s="26"/>
      <c r="C321" s="26" t="b">
        <v>1</v>
      </c>
      <c r="D321" s="60" t="s">
        <v>42</v>
      </c>
      <c r="E321" s="60" t="s">
        <v>36</v>
      </c>
      <c r="F321" s="27" t="s">
        <v>1036</v>
      </c>
      <c r="G321" s="39" t="s">
        <v>1039</v>
      </c>
      <c r="H321" s="82" t="s">
        <v>44</v>
      </c>
      <c r="I321" s="43">
        <f>$I$320</f>
        <v>4</v>
      </c>
      <c r="J321" s="26">
        <f>IFERROR(__xludf.DUMMYFUNCTION("VLOOKUP(G321,IMPORTRANGE(""https://docs.google.com/spreadsheets/d/12RxCea4e5ggM7QGn1XE3FbLQa_-QbCNdBi90OdPjRqg/edit?gid=1692403370#gid=1692403370"", ""'Plan de Compras'!D4:2432""), 8,0)"),4.0)</f>
        <v>4</v>
      </c>
      <c r="K321" s="26" t="str">
        <f t="shared" si="1"/>
        <v>SI</v>
      </c>
      <c r="L321" s="60"/>
      <c r="M321" s="84"/>
      <c r="N321" s="42" t="s">
        <v>45</v>
      </c>
      <c r="O321" s="84"/>
      <c r="P321" s="26" t="s">
        <v>1040</v>
      </c>
      <c r="Q321" s="41"/>
      <c r="R321" s="84"/>
      <c r="S321" s="34" t="b">
        <v>1</v>
      </c>
      <c r="T321" s="35" t="s">
        <v>47</v>
      </c>
      <c r="U321" s="43" t="s">
        <v>1041</v>
      </c>
      <c r="V321" s="44"/>
      <c r="W321" s="37" t="str">
        <f>IFERROR(__xludf.DUMMYFUNCTION("IFERROR(VLOOKUP(G321,IMPORTRANGE(""https://docs.google.com/spreadsheets/d/12RxCea4e5ggM7QGn1XE3FbLQa_-QbCNdBi90OdPjRqg"", ""'Plan de Compras'!D4:Q""), 12, 0), ""NO ESTÁ EN REQ"")"),"Simple")</f>
        <v>Simple</v>
      </c>
      <c r="X321" s="37" t="str">
        <f>IFERROR(__xludf.DUMMYFUNCTION("IFERROR(VLOOKUP(G321,IMPORTRANGE(""https://docs.google.com/spreadsheets/d/12RxCea4e5ggM7QGn1XE3FbLQa_-QbCNdBi90OdPjRqg"", ""'Plan de Compras'!D4:Q""), 13, 0), """")"),"NACIONAL")</f>
        <v>NACIONAL</v>
      </c>
      <c r="Y321" s="32" t="str">
        <f>IFERROR(__xludf.DUMMYFUNCTION("IFERROR(VLOOKUP(G321,IMPORTRANGE(""https://docs.google.com/spreadsheets/d/12RxCea4e5ggM7QGn1XE3FbLQa_-QbCNdBi90OdPjRqg"", ""'Plan de Compras'!D4:Q""), 14, 0), """")"),"ANGIE")</f>
        <v>ANGIE</v>
      </c>
      <c r="Z321" s="38" t="str">
        <f>IFERROR(__xludf.DUMMYFUNCTION("IFERROR(VLOOKUP(G321,IMPORTRANGE(""https://docs.google.com/spreadsheets/d/12RxCea4e5ggM7QGn1XE3FbLQa_-QbCNdBi90OdPjRqg"", ""'Plan de Compras'!D4:Q""), 4, 0), """")"),"FUNDA IMPERMEABLE (1 UND)")</f>
        <v>FUNDA IMPERMEABLE (1 UND)</v>
      </c>
      <c r="AA321" s="38" t="str">
        <f t="shared" si="16"/>
        <v>TRUE</v>
      </c>
      <c r="AB321" s="37" t="str">
        <f>IFERROR(__xludf.DUMMYFUNCTION("IFERROR(IF(OR(C321=TRUE,C321=""""),VLOOKUP(G321,IMPORTRANGE(""https://docs.google.com/spreadsheets/d/1z9A1Wq-kKrhRNG5RS2a2fKpY1wIhSVz2ZNmP2mOl588/edit?usp=sharing"",""REQ VF!E4:H""),4,0),""NO APLICA""),""GENERAR REQ"")"),"GENERAR REQ")</f>
        <v>GENERAR REQ</v>
      </c>
      <c r="AC321" s="37" t="str">
        <f>IFERROR(__xludf.DUMMYFUNCTION("IFERROR(QUERY(IMPORTRANGE(""https://docs.google.com/spreadsheets/d/1z9A1Wq-kKrhRNG5RS2a2fKpY1wIhSVz2ZNmP2mOl588/edit?usp=sharing"",""REQ VF!E4:Q""),""SELECT Col10, Col11, Col12 WHERE Col1 = '""&amp;G321&amp;""'"",0),""NO APLICA"")"),"NO APLICA")</f>
        <v>NO APLICA</v>
      </c>
      <c r="AD321" s="37"/>
      <c r="AE321" s="37"/>
      <c r="AF321" s="13"/>
      <c r="AG321" s="13"/>
    </row>
    <row r="322">
      <c r="A322" s="26">
        <v>147.0</v>
      </c>
      <c r="B322" s="26" t="b">
        <v>1</v>
      </c>
      <c r="C322" s="26" t="b">
        <v>1</v>
      </c>
      <c r="D322" s="26" t="s">
        <v>35</v>
      </c>
      <c r="E322" s="26" t="s">
        <v>36</v>
      </c>
      <c r="F322" s="27" t="s">
        <v>1042</v>
      </c>
      <c r="G322" s="39" t="s">
        <v>1042</v>
      </c>
      <c r="H322" s="45" t="s">
        <v>1043</v>
      </c>
      <c r="I322" s="43">
        <f>SUMIFS('Hoja 10'!$O:$O,'Hoja 10'!$F:$F,$G322)</f>
        <v>12</v>
      </c>
      <c r="J322" s="26">
        <f>IFERROR(__xludf.DUMMYFUNCTION("VLOOKUP(G322,IMPORTRANGE(""https://docs.google.com/spreadsheets/d/12RxCea4e5ggM7QGn1XE3FbLQa_-QbCNdBi90OdPjRqg/edit?gid=1692403370#gid=1692403370"", ""'Plan de Compras'!D4:2432""), 8,0)"),12.0)</f>
        <v>12</v>
      </c>
      <c r="K322" s="26" t="str">
        <f t="shared" si="1"/>
        <v>SI</v>
      </c>
      <c r="L322" s="29" t="s">
        <v>180</v>
      </c>
      <c r="M322" s="30" t="s">
        <v>181</v>
      </c>
      <c r="N322" s="42"/>
      <c r="O322" s="32" t="str">
        <f>VLOOKUP($G322,'Hoja 10'!$F$4:$AA478, 19,0)</f>
        <v>BERKLIN</v>
      </c>
      <c r="P322" s="32" t="str">
        <f>VLOOKUP($G322,'Hoja 10'!$F$4:$AA478, 20,0)</f>
        <v>        YC80A-4</v>
      </c>
      <c r="Q322" s="33" t="str">
        <f>VLOOKUP($G322,'Hoja 10'!$F$4:$AA478, 21,0)</f>
        <v>https://www.sodimac.com.pe/sodimac-pe/articulo/118344563/MOTOR-ELECTRICO-MONOFASICO-DE-0.5-HP-1750RPM/118344564</v>
      </c>
      <c r="R322" s="30" t="s">
        <v>1044</v>
      </c>
      <c r="S322" s="34" t="b">
        <v>1</v>
      </c>
      <c r="T322" s="35" t="str">
        <f>IFERROR(__xludf.DUMMYFUNCTION(" IF
( VLOOKUP($G322,IMPORTRANGE(""https://docs.google.com/spreadsheets/d/1Gpl6jkTg7sL4VDNimUm3S9Vi1i95esohXCF3wuKOE8c"", ""'CONSOLIDADO'!G5:AB""), 10, 0) &lt;&gt; 0, 
IFERROR(VLOOKUP($G322,IMPORTRANGE(""https://docs.google.com/spreadsheets/d/1Gpl6jkTg7sL4VDNimU"&amp;"m3S9Vi1i95esohXCF3wuKOE8c"", ""'CONSOLIDADO'!G5:AB""), 17, 0), ""-""),
""""
)"),"BERKLIN")</f>
        <v>BERKLIN</v>
      </c>
      <c r="U322" s="35" t="str">
        <f>IFERROR(__xludf.DUMMYFUNCTION(" IF
( VLOOKUP($G322,IMPORTRANGE(""https://docs.google.com/spreadsheets/d/1Gpl6jkTg7sL4VDNimUm3S9Vi1i95esohXCF3wuKOE8c"", ""'CONSOLIDADO'!G5:AB""), 10, 0) &lt;&gt; 0, 
IFERROR(VLOOKUP($G322,IMPORTRANGE(""https://docs.google.com/spreadsheets/d/1Gpl6jkTg7sL4VDNimU"&amp;"m3S9Vi1i95esohXCF3wuKOE8c"", ""'CONSOLIDADO'!G5:AB""), 18, 0), ""-""),
""""
)"),"YC80A-4")</f>
        <v>YC80A-4</v>
      </c>
      <c r="V322" s="36" t="str">
        <f>IFERROR(__xludf.DUMMYFUNCTION(" IF
( VLOOKUP($G322,IMPORTRANGE(""https://docs.google.com/spreadsheets/d/1Gpl6jkTg7sL4VDNimUm3S9Vi1i95esohXCF3wuKOE8c"", ""'CONSOLIDADO'!G5:AB""), 10, 0) &lt;&gt; 0, 
IFERROR(VLOOKUP($G322,IMPORTRANGE(""https://docs.google.com/spreadsheets/d/1Gpl6jkTg7sL4VDNimU"&amp;"m3S9Vi1i95esohXCF3wuKOE8c"", ""'CONSOLIDADO'!G5:AB""), 19, 0), ""-""),
""""
)"),"https://berklin.com.pe/products/motor-electrico-monofasico-de-0-5hp-1750rpm?_pos=1&amp;_sid=8676ac1a5&amp;_ss=r")</f>
        <v>https://berklin.com.pe/products/motor-electrico-monofasico-de-0-5hp-1750rpm?_pos=1&amp;_sid=8676ac1a5&amp;_ss=r</v>
      </c>
      <c r="W322" s="37" t="str">
        <f>IFERROR(__xludf.DUMMYFUNCTION("IFERROR(VLOOKUP(G322,IMPORTRANGE(""https://docs.google.com/spreadsheets/d/12RxCea4e5ggM7QGn1XE3FbLQa_-QbCNdBi90OdPjRqg"", ""'Plan de Compras'!D4:Q""), 12, 0), ""NO ESTÁ EN REQ"")"),"Técnica")</f>
        <v>Técnica</v>
      </c>
      <c r="X322" s="37" t="str">
        <f>IFERROR(__xludf.DUMMYFUNCTION("IFERROR(VLOOKUP(G322,IMPORTRANGE(""https://docs.google.com/spreadsheets/d/12RxCea4e5ggM7QGn1XE3FbLQa_-QbCNdBi90OdPjRqg"", ""'Plan de Compras'!D4:Q""), 13, 0), """")"),"NACIONAL")</f>
        <v>NACIONAL</v>
      </c>
      <c r="Y322" s="32" t="str">
        <f>IFERROR(__xludf.DUMMYFUNCTION("IFERROR(VLOOKUP(G322,IMPORTRANGE(""https://docs.google.com/spreadsheets/d/12RxCea4e5ggM7QGn1XE3FbLQa_-QbCNdBi90OdPjRqg"", ""'Plan de Compras'!D4:Q""), 14, 0), """")"),"ANGIE")</f>
        <v>ANGIE</v>
      </c>
      <c r="Z322" s="38" t="str">
        <f>IFERROR(__xludf.DUMMYFUNCTION("IFERROR(VLOOKUP(G322,IMPORTRANGE(""https://docs.google.com/spreadsheets/d/12RxCea4e5ggM7QGn1XE3FbLQa_-QbCNdBi90OdPjRqg"", ""'Plan de Compras'!D4:Q""), 4, 0), """")"),"MOTOR ELÉCTRICO MONOFÁSICO")</f>
        <v>MOTOR ELÉCTRICO MONOFÁSICO</v>
      </c>
      <c r="AA322" s="38" t="str">
        <f t="shared" si="16"/>
        <v>TRUE</v>
      </c>
      <c r="AB322" s="37" t="str">
        <f>IFERROR(__xludf.DUMMYFUNCTION("IFERROR(IF(OR(C322=TRUE,C322=""""),VLOOKUP(G322,IMPORTRANGE(""https://docs.google.com/spreadsheets/d/1z9A1Wq-kKrhRNG5RS2a2fKpY1wIhSVz2ZNmP2mOl588/edit?usp=sharing"",""REQ VF!E4:H""),4,0),""NO APLICA""),""GENERAR REQ"")"),"GENERAR REQ")</f>
        <v>GENERAR REQ</v>
      </c>
      <c r="AC322" s="37" t="str">
        <f>IFERROR(__xludf.DUMMYFUNCTION("IFERROR(QUERY(IMPORTRANGE(""https://docs.google.com/spreadsheets/d/1z9A1Wq-kKrhRNG5RS2a2fKpY1wIhSVz2ZNmP2mOl588/edit?usp=sharing"",""REQ VF!E4:Q""),""SELECT Col10, Col11, Col12 WHERE Col1 = '""&amp;G322&amp;""'"",0),""NO APLICA"")"),"NO APLICA")</f>
        <v>NO APLICA</v>
      </c>
      <c r="AD322" s="37"/>
      <c r="AE322" s="37"/>
      <c r="AF322" s="13"/>
      <c r="AG322" s="13"/>
    </row>
    <row r="323">
      <c r="A323" s="26">
        <v>148.0</v>
      </c>
      <c r="B323" s="26" t="b">
        <v>1</v>
      </c>
      <c r="C323" s="26" t="b">
        <v>1</v>
      </c>
      <c r="D323" s="26" t="s">
        <v>35</v>
      </c>
      <c r="E323" s="26" t="s">
        <v>36</v>
      </c>
      <c r="F323" s="27" t="s">
        <v>1045</v>
      </c>
      <c r="G323" s="39" t="s">
        <v>1045</v>
      </c>
      <c r="H323" s="45" t="s">
        <v>1046</v>
      </c>
      <c r="I323" s="43">
        <f>SUMIFS('Hoja 10'!$O:$O,'Hoja 10'!$F:$F,$G323)</f>
        <v>12</v>
      </c>
      <c r="J323" s="26">
        <f>IFERROR(__xludf.DUMMYFUNCTION("VLOOKUP(G323,IMPORTRANGE(""https://docs.google.com/spreadsheets/d/12RxCea4e5ggM7QGn1XE3FbLQa_-QbCNdBi90OdPjRqg/edit?gid=1692403370#gid=1692403370"", ""'Plan de Compras'!D4:2432""), 8,0)"),12.0)</f>
        <v>12</v>
      </c>
      <c r="K323" s="26" t="str">
        <f t="shared" si="1"/>
        <v>SI</v>
      </c>
      <c r="L323" s="29" t="s">
        <v>180</v>
      </c>
      <c r="M323" s="30" t="s">
        <v>181</v>
      </c>
      <c r="N323" s="42"/>
      <c r="O323" s="32" t="str">
        <f>VLOOKUP($G323,'Hoja 10'!$F$4:$AA478, 19,0)</f>
        <v>Delcrosa</v>
      </c>
      <c r="P323" s="32" t="str">
        <f>VLOOKUP($G323,'Hoja 10'!$F$4:$AA478, 20,0)</f>
        <v>YD 80 A4</v>
      </c>
      <c r="Q323" s="33" t="str">
        <f>VLOOKUP($G323,'Hoja 10'!$F$4:$AA478, 21,0)</f>
        <v>https://www.delcrosa.com.pe/es/productos/accionamientos/motores_electricos/motores_trifasicos_iec_serie_yd</v>
      </c>
      <c r="R323" s="30" t="s">
        <v>1047</v>
      </c>
      <c r="S323" s="34" t="b">
        <v>1</v>
      </c>
      <c r="T323" s="35" t="str">
        <f>IFERROR(__xludf.DUMMYFUNCTION(" IF
( VLOOKUP($G323,IMPORTRANGE(""https://docs.google.com/spreadsheets/d/1Gpl6jkTg7sL4VDNimUm3S9Vi1i95esohXCF3wuKOE8c"", ""'CONSOLIDADO'!G5:AB""), 10, 0) &lt;&gt; 0, 
IFERROR(VLOOKUP($G323,IMPORTRANGE(""https://docs.google.com/spreadsheets/d/1Gpl6jkTg7sL4VDNimU"&amp;"m3S9Vi1i95esohXCF3wuKOE8c"", ""'CONSOLIDADO'!G5:AB""), 17, 0), ""-""),
""""
)"),"DELCROSA")</f>
        <v>DELCROSA</v>
      </c>
      <c r="U323" s="35" t="str">
        <f>IFERROR(__xludf.DUMMYFUNCTION(" IF
( VLOOKUP($G323,IMPORTRANGE(""https://docs.google.com/spreadsheets/d/1Gpl6jkTg7sL4VDNimUm3S9Vi1i95esohXCF3wuKOE8c"", ""'CONSOLIDADO'!G5:AB""), 10, 0) &lt;&gt; 0, 
IFERROR(VLOOKUP($G323,IMPORTRANGE(""https://docs.google.com/spreadsheets/d/1Gpl6jkTg7sL4VDNimU"&amp;"m3S9Vi1i95esohXCF3wuKOE8c"", ""'CONSOLIDADO'!G5:AB""), 18, 0), ""-""),
""""
)"),"YD80A4")</f>
        <v>YD80A4</v>
      </c>
      <c r="V323" s="36" t="str">
        <f>IFERROR(__xludf.DUMMYFUNCTION(" IF
( VLOOKUP($G323,IMPORTRANGE(""https://docs.google.com/spreadsheets/d/1Gpl6jkTg7sL4VDNimUm3S9Vi1i95esohXCF3wuKOE8c"", ""'CONSOLIDADO'!G5:AB""), 10, 0) &lt;&gt; 0, 
IFERROR(VLOOKUP($G323,IMPORTRANGE(""https://docs.google.com/spreadsheets/d/1Gpl6jkTg7sL4VDNimU"&amp;"m3S9Vi1i95esohXCF3wuKOE8c"", ""'CONSOLIDADO'!G5:AB""), 19, 0), ""-""),
""""
)"),"https://www.delcrosa.com.pe/app/assets/files/15052025104818446727.pdf")</f>
        <v>https://www.delcrosa.com.pe/app/assets/files/15052025104818446727.pdf</v>
      </c>
      <c r="W323" s="37" t="str">
        <f>IFERROR(__xludf.DUMMYFUNCTION("IFERROR(VLOOKUP(G323,IMPORTRANGE(""https://docs.google.com/spreadsheets/d/12RxCea4e5ggM7QGn1XE3FbLQa_-QbCNdBi90OdPjRqg"", ""'Plan de Compras'!D4:Q""), 12, 0), ""NO ESTÁ EN REQ"")"),"Técnica")</f>
        <v>Técnica</v>
      </c>
      <c r="X323" s="37" t="str">
        <f>IFERROR(__xludf.DUMMYFUNCTION("IFERROR(VLOOKUP(G323,IMPORTRANGE(""https://docs.google.com/spreadsheets/d/12RxCea4e5ggM7QGn1XE3FbLQa_-QbCNdBi90OdPjRqg"", ""'Plan de Compras'!D4:Q""), 13, 0), """")"),"NACIONAL")</f>
        <v>NACIONAL</v>
      </c>
      <c r="Y323" s="32" t="str">
        <f>IFERROR(__xludf.DUMMYFUNCTION("IFERROR(VLOOKUP(G323,IMPORTRANGE(""https://docs.google.com/spreadsheets/d/12RxCea4e5ggM7QGn1XE3FbLQa_-QbCNdBi90OdPjRqg"", ""'Plan de Compras'!D4:Q""), 14, 0), """")"),"ANGIE")</f>
        <v>ANGIE</v>
      </c>
      <c r="Z323" s="38" t="str">
        <f>IFERROR(__xludf.DUMMYFUNCTION("IFERROR(VLOOKUP(G323,IMPORTRANGE(""https://docs.google.com/spreadsheets/d/12RxCea4e5ggM7QGn1XE3FbLQa_-QbCNdBi90OdPjRqg"", ""'Plan de Compras'!D4:Q""), 4, 0), """")"),"MOTOR ELÉCTRICO TRIFÁSICO DE 12 TERMINALES")</f>
        <v>MOTOR ELÉCTRICO TRIFÁSICO DE 12 TERMINALES</v>
      </c>
      <c r="AA323" s="38" t="str">
        <f t="shared" si="16"/>
        <v>TRUE</v>
      </c>
      <c r="AB323" s="37" t="str">
        <f>IFERROR(__xludf.DUMMYFUNCTION("IFERROR(IF(OR(C323=TRUE,C323=""""),VLOOKUP(G323,IMPORTRANGE(""https://docs.google.com/spreadsheets/d/1z9A1Wq-kKrhRNG5RS2a2fKpY1wIhSVz2ZNmP2mOl588/edit?usp=sharing"",""REQ VF!E4:H""),4,0),""NO APLICA""),""GENERAR REQ"")"),"GENERAR REQ")</f>
        <v>GENERAR REQ</v>
      </c>
      <c r="AC323" s="37" t="str">
        <f>IFERROR(__xludf.DUMMYFUNCTION("IFERROR(QUERY(IMPORTRANGE(""https://docs.google.com/spreadsheets/d/1z9A1Wq-kKrhRNG5RS2a2fKpY1wIhSVz2ZNmP2mOl588/edit?usp=sharing"",""REQ VF!E4:Q""),""SELECT Col10, Col11, Col12 WHERE Col1 = '""&amp;G323&amp;""'"",0),""NO APLICA"")"),"NO APLICA")</f>
        <v>NO APLICA</v>
      </c>
      <c r="AD323" s="37"/>
      <c r="AE323" s="37"/>
      <c r="AF323" s="13"/>
      <c r="AG323" s="13"/>
    </row>
    <row r="324">
      <c r="A324" s="26">
        <v>149.0</v>
      </c>
      <c r="B324" s="26" t="b">
        <v>1</v>
      </c>
      <c r="C324" s="26" t="b">
        <v>1</v>
      </c>
      <c r="D324" s="26" t="s">
        <v>35</v>
      </c>
      <c r="E324" s="26" t="s">
        <v>36</v>
      </c>
      <c r="F324" s="27" t="s">
        <v>1048</v>
      </c>
      <c r="G324" s="39" t="s">
        <v>1048</v>
      </c>
      <c r="H324" s="45" t="s">
        <v>1049</v>
      </c>
      <c r="I324" s="43">
        <f>SUMIFS('Hoja 10'!$O:$O,'Hoja 10'!$F:$F,$G324)</f>
        <v>12</v>
      </c>
      <c r="J324" s="26">
        <f>IFERROR(__xludf.DUMMYFUNCTION("VLOOKUP(G324,IMPORTRANGE(""https://docs.google.com/spreadsheets/d/12RxCea4e5ggM7QGn1XE3FbLQa_-QbCNdBi90OdPjRqg/edit?gid=1692403370#gid=1692403370"", ""'Plan de Compras'!D4:2432""), 8,0)"),12.0)</f>
        <v>12</v>
      </c>
      <c r="K324" s="26" t="str">
        <f t="shared" si="1"/>
        <v>SI</v>
      </c>
      <c r="L324" s="29" t="s">
        <v>180</v>
      </c>
      <c r="M324" s="30" t="s">
        <v>181</v>
      </c>
      <c r="N324" s="42"/>
      <c r="O324" s="32" t="str">
        <f>VLOOKUP($G324,'Hoja 10'!$F$4:$AA478, 19,0)</f>
        <v>ABB</v>
      </c>
      <c r="P324" s="32" t="str">
        <f>VLOOKUP($G324,'Hoja 10'!$F$4:$AA478, 20,0)</f>
        <v>M2BAX 90SLA 6</v>
      </c>
      <c r="Q324" s="33" t="str">
        <f>VLOOKUP($G324,'Hoja 10'!$F$4:$AA478, 21,0)</f>
        <v>https://inducom.com.pe/producto/motor-electrico-trifasico-de-alta-eficencia-ie3/</v>
      </c>
      <c r="R324" s="30" t="s">
        <v>1050</v>
      </c>
      <c r="S324" s="34" t="b">
        <v>1</v>
      </c>
      <c r="T324" s="35" t="str">
        <f>IFERROR(__xludf.DUMMYFUNCTION(" IF
( VLOOKUP($G324,IMPORTRANGE(""https://docs.google.com/spreadsheets/d/1Gpl6jkTg7sL4VDNimUm3S9Vi1i95esohXCF3wuKOE8c"", ""'CONSOLIDADO'!G5:AB""), 10, 0) &lt;&gt; 0, 
IFERROR(VLOOKUP($G324,IMPORTRANGE(""https://docs.google.com/spreadsheets/d/1Gpl6jkTg7sL4VDNimU"&amp;"m3S9Vi1i95esohXCF3wuKOE8c"", ""'CONSOLIDADO'!G5:AB""), 17, 0), ""-""),
""""
)"),"GLONG")</f>
        <v>GLONG</v>
      </c>
      <c r="U324" s="35" t="str">
        <f>IFERROR(__xludf.DUMMYFUNCTION(" IF
( VLOOKUP($G324,IMPORTRANGE(""https://docs.google.com/spreadsheets/d/1Gpl6jkTg7sL4VDNimUm3S9Vi1i95esohXCF3wuKOE8c"", ""'CONSOLIDADO'!G5:AB""), 10, 0) &lt;&gt; 0, 
IFERROR(VLOOKUP($G324,IMPORTRANGE(""https://docs.google.com/spreadsheets/d/1Gpl6jkTg7sL4VDNimU"&amp;"m3S9Vi1i95esohXCF3wuKOE8c"", ""'CONSOLIDADO'!G5:AB""), 18, 0), ""-""),
""""
)"),"MS802-4 B3")</f>
        <v>MS802-4 B3</v>
      </c>
      <c r="V324" s="36" t="str">
        <f>IFERROR(__xludf.DUMMYFUNCTION(" IF
( VLOOKUP($G324,IMPORTRANGE(""https://docs.google.com/spreadsheets/d/1Gpl6jkTg7sL4VDNimUm3S9Vi1i95esohXCF3wuKOE8c"", ""'CONSOLIDADO'!G5:AB""), 10, 0) &lt;&gt; 0, 
IFERROR(VLOOKUP($G324,IMPORTRANGE(""https://docs.google.com/spreadsheets/d/1Gpl6jkTg7sL4VDNimU"&amp;"m3S9Vi1i95esohXCF3wuKOE8c"", ""'CONSOLIDADO'!G5:AB""), 19, 0), ""-""),
""""
)"),"https://oemcontrols.com.pe/producto/motor-electrico-1hp-monofasico-1750rpm-glong/?srsltid=AfmBOoppwQk4REYY-j3HYf60zxtesczdkj5BJY9ACLEvL3ZQojKUuGlj")</f>
        <v>https://oemcontrols.com.pe/producto/motor-electrico-1hp-monofasico-1750rpm-glong/?srsltid=AfmBOoppwQk4REYY-j3HYf60zxtesczdkj5BJY9ACLEvL3ZQojKUuGlj</v>
      </c>
      <c r="W324" s="37" t="str">
        <f>IFERROR(__xludf.DUMMYFUNCTION("IFERROR(VLOOKUP(G324,IMPORTRANGE(""https://docs.google.com/spreadsheets/d/12RxCea4e5ggM7QGn1XE3FbLQa_-QbCNdBi90OdPjRqg"", ""'Plan de Compras'!D4:Q""), 12, 0), ""NO ESTÁ EN REQ"")"),"Técnica")</f>
        <v>Técnica</v>
      </c>
      <c r="X324" s="37" t="str">
        <f>IFERROR(__xludf.DUMMYFUNCTION("IFERROR(VLOOKUP(G324,IMPORTRANGE(""https://docs.google.com/spreadsheets/d/12RxCea4e5ggM7QGn1XE3FbLQa_-QbCNdBi90OdPjRqg"", ""'Plan de Compras'!D4:Q""), 13, 0), """")"),"NACIONAL")</f>
        <v>NACIONAL</v>
      </c>
      <c r="Y324" s="32" t="str">
        <f>IFERROR(__xludf.DUMMYFUNCTION("IFERROR(VLOOKUP(G324,IMPORTRANGE(""https://docs.google.com/spreadsheets/d/12RxCea4e5ggM7QGn1XE3FbLQa_-QbCNdBi90OdPjRqg"", ""'Plan de Compras'!D4:Q""), 14, 0), """")"),"ANGIE")</f>
        <v>ANGIE</v>
      </c>
      <c r="Z324" s="38" t="str">
        <f>IFERROR(__xludf.DUMMYFUNCTION("IFERROR(VLOOKUP(G324,IMPORTRANGE(""https://docs.google.com/spreadsheets/d/12RxCea4e5ggM7QGn1XE3FbLQa_-QbCNdBi90OdPjRqg"", ""'Plan de Compras'!D4:Q""), 4, 0), """")"),"MOTOR ELÉCTRICO TRIFÁSICO DE 6 TERMINALES")</f>
        <v>MOTOR ELÉCTRICO TRIFÁSICO DE 6 TERMINALES</v>
      </c>
      <c r="AA324" s="38" t="str">
        <f t="shared" si="16"/>
        <v>TRUE</v>
      </c>
      <c r="AB324" s="37" t="str">
        <f>IFERROR(__xludf.DUMMYFUNCTION("IFERROR(IF(OR(C324=TRUE,C324=""""),VLOOKUP(G324,IMPORTRANGE(""https://docs.google.com/spreadsheets/d/1z9A1Wq-kKrhRNG5RS2a2fKpY1wIhSVz2ZNmP2mOl588/edit?usp=sharing"",""REQ VF!E4:H""),4,0),""NO APLICA""),""GENERAR REQ"")"),"GENERAR REQ")</f>
        <v>GENERAR REQ</v>
      </c>
      <c r="AC324" s="37" t="str">
        <f>IFERROR(__xludf.DUMMYFUNCTION("IFERROR(QUERY(IMPORTRANGE(""https://docs.google.com/spreadsheets/d/1z9A1Wq-kKrhRNG5RS2a2fKpY1wIhSVz2ZNmP2mOl588/edit?usp=sharing"",""REQ VF!E4:Q""),""SELECT Col10, Col11, Col12 WHERE Col1 = '""&amp;G324&amp;""'"",0),""NO APLICA"")"),"NO APLICA")</f>
        <v>NO APLICA</v>
      </c>
      <c r="AD324" s="37"/>
      <c r="AE324" s="37"/>
      <c r="AF324" s="13"/>
      <c r="AG324" s="13"/>
    </row>
    <row r="325">
      <c r="A325" s="26">
        <v>150.0</v>
      </c>
      <c r="B325" s="26" t="b">
        <v>1</v>
      </c>
      <c r="C325" s="26" t="b">
        <v>1</v>
      </c>
      <c r="D325" s="26" t="s">
        <v>35</v>
      </c>
      <c r="E325" s="26" t="s">
        <v>36</v>
      </c>
      <c r="F325" s="27" t="s">
        <v>1051</v>
      </c>
      <c r="G325" s="39" t="s">
        <v>1052</v>
      </c>
      <c r="H325" s="45" t="s">
        <v>1053</v>
      </c>
      <c r="I325" s="43">
        <f>SUMIFS('Hoja 10'!$O:$O,'Hoja 10'!$F:$F,$G325)</f>
        <v>16</v>
      </c>
      <c r="J325" s="26">
        <f>IFERROR(__xludf.DUMMYFUNCTION("VLOOKUP(G325,IMPORTRANGE(""https://docs.google.com/spreadsheets/d/12RxCea4e5ggM7QGn1XE3FbLQa_-QbCNdBi90OdPjRqg/edit?gid=1692403370#gid=1692403370"", ""'Plan de Compras'!D4:2432""), 8,0)"),16.0)</f>
        <v>16</v>
      </c>
      <c r="K325" s="26" t="str">
        <f t="shared" si="1"/>
        <v>SI</v>
      </c>
      <c r="L325" s="29" t="s">
        <v>339</v>
      </c>
      <c r="M325" s="30" t="s">
        <v>340</v>
      </c>
      <c r="N325" s="70"/>
      <c r="O325" s="32" t="str">
        <f>VLOOKUP($G325,'Hoja 10'!$F$4:$AA478, 19,0)</f>
        <v>UNI-T</v>
      </c>
      <c r="P325" s="32" t="str">
        <f>VLOOKUP($G325,'Hoja 10'!$F$4:$AA478, 20,0)</f>
        <v>UT61E+</v>
      </c>
      <c r="Q325" s="33" t="str">
        <f>VLOOKUP($G325,'Hoja 10'!$F$4:$AA478, 21,0)</f>
        <v>https://meters.uni-trend.com/product/ut61plus-series/</v>
      </c>
      <c r="R325" s="30" t="s">
        <v>1054</v>
      </c>
      <c r="S325" s="34" t="b">
        <v>1</v>
      </c>
      <c r="T325" s="35" t="str">
        <f>IFERROR(__xludf.DUMMYFUNCTION(" IF
( VLOOKUP($G325,IMPORTRANGE(""https://docs.google.com/spreadsheets/d/1Gpl6jkTg7sL4VDNimUm3S9Vi1i95esohXCF3wuKOE8c"", ""'CONSOLIDADO'!G5:AB""), 10, 0) &lt;&gt; 0, 
IFERROR(VLOOKUP($G325,IMPORTRANGE(""https://docs.google.com/spreadsheets/d/1Gpl6jkTg7sL4VDNimU"&amp;"m3S9Vi1i95esohXCF3wuKOE8c"", ""'CONSOLIDADO'!G5:AB""), 17, 0), ""-""),
""""
)"),"UNI-T")</f>
        <v>UNI-T</v>
      </c>
      <c r="U325" s="35" t="str">
        <f>IFERROR(__xludf.DUMMYFUNCTION(" IF
( VLOOKUP($G325,IMPORTRANGE(""https://docs.google.com/spreadsheets/d/1Gpl6jkTg7sL4VDNimUm3S9Vi1i95esohXCF3wuKOE8c"", ""'CONSOLIDADO'!G5:AB""), 10, 0) &lt;&gt; 0, 
IFERROR(VLOOKUP($G325,IMPORTRANGE(""https://docs.google.com/spreadsheets/d/1Gpl6jkTg7sL4VDNimU"&amp;"m3S9Vi1i95esohXCF3wuKOE8c"", ""'CONSOLIDADO'!G5:AB""), 18, 0), ""-""),
""""
)"),"UT61E+")</f>
        <v>UT61E+</v>
      </c>
      <c r="V325" s="36" t="str">
        <f>IFERROR(__xludf.DUMMYFUNCTION(" IF
( VLOOKUP($G325,IMPORTRANGE(""https://docs.google.com/spreadsheets/d/1Gpl6jkTg7sL4VDNimUm3S9Vi1i95esohXCF3wuKOE8c"", ""'CONSOLIDADO'!G5:AB""), 10, 0) &lt;&gt; 0, 
IFERROR(VLOOKUP($G325,IMPORTRANGE(""https://docs.google.com/spreadsheets/d/1Gpl6jkTg7sL4VDNimU"&amp;"m3S9Vi1i95esohXCF3wuKOE8c"", ""'CONSOLIDADO'!G5:AB""), 19, 0), ""-""),
""""
)"),"https://mitiendaunit.com/producto/uni-t-ut61e-multimetro-digital-usb/")</f>
        <v>https://mitiendaunit.com/producto/uni-t-ut61e-multimetro-digital-usb/</v>
      </c>
      <c r="W325" s="37" t="str">
        <f>IFERROR(__xludf.DUMMYFUNCTION("IFERROR(VLOOKUP(G325,IMPORTRANGE(""https://docs.google.com/spreadsheets/d/12RxCea4e5ggM7QGn1XE3FbLQa_-QbCNdBi90OdPjRqg"", ""'Plan de Compras'!D4:Q""), 12, 0), ""NO ESTÁ EN REQ"")"),"Técnica")</f>
        <v>Técnica</v>
      </c>
      <c r="X325" s="37" t="str">
        <f>IFERROR(__xludf.DUMMYFUNCTION("IFERROR(VLOOKUP(G325,IMPORTRANGE(""https://docs.google.com/spreadsheets/d/12RxCea4e5ggM7QGn1XE3FbLQa_-QbCNdBi90OdPjRqg"", ""'Plan de Compras'!D4:Q""), 13, 0), """")"),"INTERNACIONAL")</f>
        <v>INTERNACIONAL</v>
      </c>
      <c r="Y325" s="32" t="str">
        <f>IFERROR(__xludf.DUMMYFUNCTION("IFERROR(VLOOKUP(G325,IMPORTRANGE(""https://docs.google.com/spreadsheets/d/12RxCea4e5ggM7QGn1XE3FbLQa_-QbCNdBi90OdPjRqg"", ""'Plan de Compras'!D4:Q""), 14, 0), """")"),"GEYDI")</f>
        <v>GEYDI</v>
      </c>
      <c r="Z325" s="38" t="str">
        <f>IFERROR(__xludf.DUMMYFUNCTION("IFERROR(VLOOKUP(G325,IMPORTRANGE(""https://docs.google.com/spreadsheets/d/12RxCea4e5ggM7QGn1XE3FbLQa_-QbCNdBi90OdPjRqg"", ""'Plan de Compras'!D4:Q""), 4, 0), """")"),"MULTÍMETRO DIGITAL")</f>
        <v>MULTÍMETRO DIGITAL</v>
      </c>
      <c r="AA325" s="38" t="str">
        <f t="shared" si="16"/>
        <v>TRUE</v>
      </c>
      <c r="AB325" s="37" t="str">
        <f>IFERROR(__xludf.DUMMYFUNCTION("IFERROR(IF(OR(C325=TRUE,C325=""""),VLOOKUP(G325,IMPORTRANGE(""https://docs.google.com/spreadsheets/d/1z9A1Wq-kKrhRNG5RS2a2fKpY1wIhSVz2ZNmP2mOl588/edit?usp=sharing"",""REQ VF!E4:H""),4,0),""NO APLICA""),""GENERAR REQ"")"),"GENERAR REQ")</f>
        <v>GENERAR REQ</v>
      </c>
      <c r="AC325" s="37" t="str">
        <f>IFERROR(__xludf.DUMMYFUNCTION("IFERROR(QUERY(IMPORTRANGE(""https://docs.google.com/spreadsheets/d/1z9A1Wq-kKrhRNG5RS2a2fKpY1wIhSVz2ZNmP2mOl588/edit?usp=sharing"",""REQ VF!E4:Q""),""SELECT Col10, Col11, Col12 WHERE Col1 = '""&amp;G325&amp;""'"",0),""NO APLICA"")"),"NO APLICA")</f>
        <v>NO APLICA</v>
      </c>
      <c r="AD325" s="37"/>
      <c r="AE325" s="37"/>
      <c r="AF325" s="8" t="s">
        <v>52</v>
      </c>
      <c r="AG325" s="13"/>
    </row>
    <row r="326">
      <c r="A326" s="26"/>
      <c r="B326" s="26"/>
      <c r="C326" s="26" t="b">
        <v>1</v>
      </c>
      <c r="D326" s="60" t="s">
        <v>42</v>
      </c>
      <c r="E326" s="26" t="s">
        <v>36</v>
      </c>
      <c r="F326" s="27" t="s">
        <v>1051</v>
      </c>
      <c r="G326" s="39" t="s">
        <v>1055</v>
      </c>
      <c r="H326" s="40" t="s">
        <v>1056</v>
      </c>
      <c r="I326" s="43">
        <f>I325</f>
        <v>16</v>
      </c>
      <c r="J326" s="26">
        <f>IFERROR(__xludf.DUMMYFUNCTION("VLOOKUP(G326,IMPORTRANGE(""https://docs.google.com/spreadsheets/d/12RxCea4e5ggM7QGn1XE3FbLQa_-QbCNdBi90OdPjRqg/edit?gid=1692403370#gid=1692403370"", ""'Plan de Compras'!D4:2432""), 8,0)"),16.0)</f>
        <v>16</v>
      </c>
      <c r="K326" s="26" t="str">
        <f t="shared" si="1"/>
        <v>SI</v>
      </c>
      <c r="L326" s="29"/>
      <c r="M326" s="61"/>
      <c r="N326" s="70"/>
      <c r="O326" s="32"/>
      <c r="P326" s="32"/>
      <c r="Q326" s="41"/>
      <c r="R326" s="61"/>
      <c r="S326" s="44" t="b">
        <v>0</v>
      </c>
      <c r="T326" s="35"/>
      <c r="U326" s="35"/>
      <c r="V326" s="35"/>
      <c r="W326" s="37" t="str">
        <f>IFERROR(__xludf.DUMMYFUNCTION("IFERROR(VLOOKUP(G326,IMPORTRANGE(""https://docs.google.com/spreadsheets/d/12RxCea4e5ggM7QGn1XE3FbLQa_-QbCNdBi90OdPjRqg"", ""'Plan de Compras'!D4:Q""), 12, 0), ""NO ESTÁ EN REQ"")"),"Simple")</f>
        <v>Simple</v>
      </c>
      <c r="X326" s="37" t="str">
        <f>IFERROR(__xludf.DUMMYFUNCTION("IFERROR(VLOOKUP(G326,IMPORTRANGE(""https://docs.google.com/spreadsheets/d/12RxCea4e5ggM7QGn1XE3FbLQa_-QbCNdBi90OdPjRqg"", ""'Plan de Compras'!D4:Q""), 13, 0), """")"),"NACIONAL")</f>
        <v>NACIONAL</v>
      </c>
      <c r="Y326" s="32" t="str">
        <f>IFERROR(__xludf.DUMMYFUNCTION("IFERROR(VLOOKUP(G326,IMPORTRANGE(""https://docs.google.com/spreadsheets/d/12RxCea4e5ggM7QGn1XE3FbLQa_-QbCNdBi90OdPjRqg"", ""'Plan de Compras'!D4:Q""), 14, 0), """")"),"ALFIO")</f>
        <v>ALFIO</v>
      </c>
      <c r="Z326" s="38" t="str">
        <f>IFERROR(__xludf.DUMMYFUNCTION("IFERROR(VLOOKUP(G326,IMPORTRANGE(""https://docs.google.com/spreadsheets/d/12RxCea4e5ggM7QGn1XE3FbLQa_-QbCNdBi90OdPjRqg"", ""'Plan de Compras'!D4:Q""), 4, 0), """")"),"PACK DE 4 PILAS 1.5V AAA (1 UND)")</f>
        <v>PACK DE 4 PILAS 1.5V AAA (1 UND)</v>
      </c>
      <c r="AA326" s="38" t="str">
        <f t="shared" si="16"/>
        <v>TRUE</v>
      </c>
      <c r="AB326" s="37" t="str">
        <f>IFERROR(__xludf.DUMMYFUNCTION("IFERROR(IF(OR(C326=TRUE,C326=""""),VLOOKUP(G326,IMPORTRANGE(""https://docs.google.com/spreadsheets/d/1z9A1Wq-kKrhRNG5RS2a2fKpY1wIhSVz2ZNmP2mOl588/edit?usp=sharing"",""REQ VF!E4:H""),4,0),""NO APLICA""),""GENERAR REQ"")"),"GENERAR REQ")</f>
        <v>GENERAR REQ</v>
      </c>
      <c r="AC326" s="37" t="str">
        <f>IFERROR(__xludf.DUMMYFUNCTION("IFERROR(QUERY(IMPORTRANGE(""https://docs.google.com/spreadsheets/d/1z9A1Wq-kKrhRNG5RS2a2fKpY1wIhSVz2ZNmP2mOl588/edit?usp=sharing"",""REQ VF!E4:Q""),""SELECT Col10, Col11, Col12 WHERE Col1 = '""&amp;G326&amp;""'"",0),""NO APLICA"")"),"NO APLICA")</f>
        <v>NO APLICA</v>
      </c>
      <c r="AD326" s="37"/>
      <c r="AE326" s="37"/>
      <c r="AF326" s="13"/>
      <c r="AG326" s="13"/>
    </row>
    <row r="327">
      <c r="A327" s="26">
        <v>151.0</v>
      </c>
      <c r="B327" s="26" t="b">
        <v>1</v>
      </c>
      <c r="C327" s="26" t="b">
        <v>1</v>
      </c>
      <c r="D327" s="26" t="s">
        <v>35</v>
      </c>
      <c r="E327" s="26" t="s">
        <v>36</v>
      </c>
      <c r="F327" s="27" t="s">
        <v>1051</v>
      </c>
      <c r="G327" s="39" t="s">
        <v>1057</v>
      </c>
      <c r="H327" s="45" t="s">
        <v>1053</v>
      </c>
      <c r="I327" s="43">
        <f>SUMIFS('Hoja 10'!$O:$O,'Hoja 10'!$F:$F,$G327)</f>
        <v>12</v>
      </c>
      <c r="J327" s="26">
        <f>IFERROR(__xludf.DUMMYFUNCTION("VLOOKUP(G327,IMPORTRANGE(""https://docs.google.com/spreadsheets/d/12RxCea4e5ggM7QGn1XE3FbLQa_-QbCNdBi90OdPjRqg/edit?gid=1692403370#gid=1692403370"", ""'Plan de Compras'!D4:2432""), 8,0)"),12.0)</f>
        <v>12</v>
      </c>
      <c r="K327" s="26" t="str">
        <f t="shared" si="1"/>
        <v>SI</v>
      </c>
      <c r="L327" s="29" t="s">
        <v>180</v>
      </c>
      <c r="M327" s="30" t="s">
        <v>181</v>
      </c>
      <c r="N327" s="70"/>
      <c r="O327" s="32" t="str">
        <f>VLOOKUP($G327,'Hoja 10'!$F$4:$AA478, 19,0)</f>
        <v>UNI-T</v>
      </c>
      <c r="P327" s="32" t="str">
        <f>VLOOKUP($G327,'Hoja 10'!$F$4:$AA478, 20,0)</f>
        <v>UT61E+</v>
      </c>
      <c r="Q327" s="33" t="str">
        <f>VLOOKUP($G327,'Hoja 10'!$F$4:$AA478, 21,0)</f>
        <v>https://meters.uni-trend.com/product/ut61plus-series/</v>
      </c>
      <c r="R327" s="30" t="s">
        <v>1058</v>
      </c>
      <c r="S327" s="34" t="b">
        <v>1</v>
      </c>
      <c r="T327" s="35" t="str">
        <f>IFERROR(__xludf.DUMMYFUNCTION(" IF
( VLOOKUP($G327,IMPORTRANGE(""https://docs.google.com/spreadsheets/d/1Gpl6jkTg7sL4VDNimUm3S9Vi1i95esohXCF3wuKOE8c"", ""'CONSOLIDADO'!G5:AB""), 10, 0) &lt;&gt; 0, 
IFERROR(VLOOKUP($G327,IMPORTRANGE(""https://docs.google.com/spreadsheets/d/1Gpl6jkTg7sL4VDNimU"&amp;"m3S9Vi1i95esohXCF3wuKOE8c"", ""'CONSOLIDADO'!G5:AB""), 17, 0), ""-""),
""""
)"),"UNI-T")</f>
        <v>UNI-T</v>
      </c>
      <c r="U327" s="35" t="str">
        <f>IFERROR(__xludf.DUMMYFUNCTION(" IF
( VLOOKUP($G327,IMPORTRANGE(""https://docs.google.com/spreadsheets/d/1Gpl6jkTg7sL4VDNimUm3S9Vi1i95esohXCF3wuKOE8c"", ""'CONSOLIDADO'!G5:AB""), 10, 0) &lt;&gt; 0, 
IFERROR(VLOOKUP($G327,IMPORTRANGE(""https://docs.google.com/spreadsheets/d/1Gpl6jkTg7sL4VDNimU"&amp;"m3S9Vi1i95esohXCF3wuKOE8c"", ""'CONSOLIDADO'!G5:AB""), 18, 0), ""-""),
""""
)"),"UT61E+")</f>
        <v>UT61E+</v>
      </c>
      <c r="V327" s="36" t="str">
        <f>IFERROR(__xludf.DUMMYFUNCTION(" IF
( VLOOKUP($G327,IMPORTRANGE(""https://docs.google.com/spreadsheets/d/1Gpl6jkTg7sL4VDNimUm3S9Vi1i95esohXCF3wuKOE8c"", ""'CONSOLIDADO'!G5:AB""), 10, 0) &lt;&gt; 0, 
IFERROR(VLOOKUP($G327,IMPORTRANGE(""https://docs.google.com/spreadsheets/d/1Gpl6jkTg7sL4VDNimU"&amp;"m3S9Vi1i95esohXCF3wuKOE8c"", ""'CONSOLIDADO'!G5:AB""), 19, 0), ""-""),
""""
)"),"https://mitiendaunit.com/producto/uni-t-ut61e-multimetro-digital-usb/")</f>
        <v>https://mitiendaunit.com/producto/uni-t-ut61e-multimetro-digital-usb/</v>
      </c>
      <c r="W327" s="37" t="str">
        <f>IFERROR(__xludf.DUMMYFUNCTION("IFERROR(VLOOKUP(G327,IMPORTRANGE(""https://docs.google.com/spreadsheets/d/12RxCea4e5ggM7QGn1XE3FbLQa_-QbCNdBi90OdPjRqg"", ""'Plan de Compras'!D4:Q""), 12, 0), ""NO ESTÁ EN REQ"")"),"Técnica")</f>
        <v>Técnica</v>
      </c>
      <c r="X327" s="37" t="str">
        <f>IFERROR(__xludf.DUMMYFUNCTION("IFERROR(VLOOKUP(G327,IMPORTRANGE(""https://docs.google.com/spreadsheets/d/12RxCea4e5ggM7QGn1XE3FbLQa_-QbCNdBi90OdPjRqg"", ""'Plan de Compras'!D4:Q""), 13, 0), """")"),"INTERNACIONAL")</f>
        <v>INTERNACIONAL</v>
      </c>
      <c r="Y327" s="32" t="str">
        <f>IFERROR(__xludf.DUMMYFUNCTION("IFERROR(VLOOKUP(G327,IMPORTRANGE(""https://docs.google.com/spreadsheets/d/12RxCea4e5ggM7QGn1XE3FbLQa_-QbCNdBi90OdPjRqg"", ""'Plan de Compras'!D4:Q""), 14, 0), """")"),"GEYDI")</f>
        <v>GEYDI</v>
      </c>
      <c r="Z327" s="38" t="str">
        <f>IFERROR(__xludf.DUMMYFUNCTION("IFERROR(VLOOKUP(G327,IMPORTRANGE(""https://docs.google.com/spreadsheets/d/12RxCea4e5ggM7QGn1XE3FbLQa_-QbCNdBi90OdPjRqg"", ""'Plan de Compras'!D4:Q""), 4, 0), """")"),"MULTÍMETRO DIGITAL")</f>
        <v>MULTÍMETRO DIGITAL</v>
      </c>
      <c r="AA327" s="38" t="str">
        <f t="shared" si="16"/>
        <v>TRUE</v>
      </c>
      <c r="AB327" s="37" t="str">
        <f>IFERROR(__xludf.DUMMYFUNCTION("IFERROR(IF(OR(C327=TRUE,C327=""""),VLOOKUP(G327,IMPORTRANGE(""https://docs.google.com/spreadsheets/d/1z9A1Wq-kKrhRNG5RS2a2fKpY1wIhSVz2ZNmP2mOl588/edit?usp=sharing"",""REQ VF!E4:H""),4,0),""NO APLICA""),""GENERAR REQ"")"),"GENERAR REQ")</f>
        <v>GENERAR REQ</v>
      </c>
      <c r="AC327" s="37" t="str">
        <f>IFERROR(__xludf.DUMMYFUNCTION("IFERROR(QUERY(IMPORTRANGE(""https://docs.google.com/spreadsheets/d/1z9A1Wq-kKrhRNG5RS2a2fKpY1wIhSVz2ZNmP2mOl588/edit?usp=sharing"",""REQ VF!E4:Q""),""SELECT Col10, Col11, Col12 WHERE Col1 = '""&amp;G327&amp;""'"",0),""NO APLICA"")"),"NO APLICA")</f>
        <v>NO APLICA</v>
      </c>
      <c r="AD327" s="37"/>
      <c r="AE327" s="37"/>
      <c r="AF327" s="8" t="s">
        <v>52</v>
      </c>
      <c r="AG327" s="13"/>
    </row>
    <row r="328">
      <c r="A328" s="26"/>
      <c r="B328" s="26"/>
      <c r="C328" s="26" t="b">
        <v>1</v>
      </c>
      <c r="D328" s="60" t="s">
        <v>42</v>
      </c>
      <c r="E328" s="26" t="s">
        <v>36</v>
      </c>
      <c r="F328" s="27" t="s">
        <v>1051</v>
      </c>
      <c r="G328" s="39" t="s">
        <v>1059</v>
      </c>
      <c r="H328" s="40" t="s">
        <v>1056</v>
      </c>
      <c r="I328" s="43">
        <f>I327</f>
        <v>12</v>
      </c>
      <c r="J328" s="26">
        <f>IFERROR(__xludf.DUMMYFUNCTION("VLOOKUP(G328,IMPORTRANGE(""https://docs.google.com/spreadsheets/d/12RxCea4e5ggM7QGn1XE3FbLQa_-QbCNdBi90OdPjRqg/edit?gid=1692403370#gid=1692403370"", ""'Plan de Compras'!D4:2432""), 8,0)"),12.0)</f>
        <v>12</v>
      </c>
      <c r="K328" s="26" t="str">
        <f t="shared" si="1"/>
        <v>SI</v>
      </c>
      <c r="L328" s="29"/>
      <c r="M328" s="61"/>
      <c r="N328" s="70"/>
      <c r="O328" s="32"/>
      <c r="P328" s="32"/>
      <c r="Q328" s="41"/>
      <c r="R328" s="61"/>
      <c r="S328" s="44" t="b">
        <v>0</v>
      </c>
      <c r="T328" s="35"/>
      <c r="U328" s="35"/>
      <c r="V328" s="35"/>
      <c r="W328" s="37" t="str">
        <f>IFERROR(__xludf.DUMMYFUNCTION("IFERROR(VLOOKUP(G328,IMPORTRANGE(""https://docs.google.com/spreadsheets/d/12RxCea4e5ggM7QGn1XE3FbLQa_-QbCNdBi90OdPjRqg"", ""'Plan de Compras'!D4:Q""), 12, 0), ""NO ESTÁ EN REQ"")"),"Simple")</f>
        <v>Simple</v>
      </c>
      <c r="X328" s="37" t="str">
        <f>IFERROR(__xludf.DUMMYFUNCTION("IFERROR(VLOOKUP(G328,IMPORTRANGE(""https://docs.google.com/spreadsheets/d/12RxCea4e5ggM7QGn1XE3FbLQa_-QbCNdBi90OdPjRqg"", ""'Plan de Compras'!D4:Q""), 13, 0), """")"),"NACIONAL")</f>
        <v>NACIONAL</v>
      </c>
      <c r="Y328" s="32" t="str">
        <f>IFERROR(__xludf.DUMMYFUNCTION("IFERROR(VLOOKUP(G328,IMPORTRANGE(""https://docs.google.com/spreadsheets/d/12RxCea4e5ggM7QGn1XE3FbLQa_-QbCNdBi90OdPjRqg"", ""'Plan de Compras'!D4:Q""), 14, 0), """")"),"ALFIO")</f>
        <v>ALFIO</v>
      </c>
      <c r="Z328" s="38" t="str">
        <f>IFERROR(__xludf.DUMMYFUNCTION("IFERROR(VLOOKUP(G328,IMPORTRANGE(""https://docs.google.com/spreadsheets/d/12RxCea4e5ggM7QGn1XE3FbLQa_-QbCNdBi90OdPjRqg"", ""'Plan de Compras'!D4:Q""), 4, 0), """")"),"PACK DE 4 PILAS 1.5V AAA (1 UND)")</f>
        <v>PACK DE 4 PILAS 1.5V AAA (1 UND)</v>
      </c>
      <c r="AA328" s="38" t="str">
        <f t="shared" si="16"/>
        <v>TRUE</v>
      </c>
      <c r="AB328" s="37" t="str">
        <f>IFERROR(__xludf.DUMMYFUNCTION("IFERROR(IF(OR(C328=TRUE,C328=""""),VLOOKUP(G328,IMPORTRANGE(""https://docs.google.com/spreadsheets/d/1z9A1Wq-kKrhRNG5RS2a2fKpY1wIhSVz2ZNmP2mOl588/edit?usp=sharing"",""REQ VF!E4:H""),4,0),""NO APLICA""),""GENERAR REQ"")"),"GENERAR REQ")</f>
        <v>GENERAR REQ</v>
      </c>
      <c r="AC328" s="37" t="str">
        <f>IFERROR(__xludf.DUMMYFUNCTION("IFERROR(QUERY(IMPORTRANGE(""https://docs.google.com/spreadsheets/d/1z9A1Wq-kKrhRNG5RS2a2fKpY1wIhSVz2ZNmP2mOl588/edit?usp=sharing"",""REQ VF!E4:Q""),""SELECT Col10, Col11, Col12 WHERE Col1 = '""&amp;G328&amp;""'"",0),""NO APLICA"")"),"NO APLICA")</f>
        <v>NO APLICA</v>
      </c>
      <c r="AD328" s="37"/>
      <c r="AE328" s="37"/>
      <c r="AF328" s="13"/>
      <c r="AG328" s="13"/>
    </row>
    <row r="329">
      <c r="A329" s="26">
        <v>152.0</v>
      </c>
      <c r="B329" s="26" t="b">
        <v>1</v>
      </c>
      <c r="C329" s="26" t="b">
        <v>1</v>
      </c>
      <c r="D329" s="26" t="s">
        <v>35</v>
      </c>
      <c r="E329" s="26" t="s">
        <v>36</v>
      </c>
      <c r="F329" s="27" t="s">
        <v>1051</v>
      </c>
      <c r="G329" s="39" t="s">
        <v>1060</v>
      </c>
      <c r="H329" s="45" t="s">
        <v>1053</v>
      </c>
      <c r="I329" s="43">
        <f>SUMIFS('Hoja 10'!$O:$O,'Hoja 10'!$F:$F,$G329)</f>
        <v>4</v>
      </c>
      <c r="J329" s="26">
        <f>IFERROR(__xludf.DUMMYFUNCTION("VLOOKUP(G329,IMPORTRANGE(""https://docs.google.com/spreadsheets/d/12RxCea4e5ggM7QGn1XE3FbLQa_-QbCNdBi90OdPjRqg/edit?gid=1692403370#gid=1692403370"", ""'Plan de Compras'!D4:2432""), 8,0)"),4.0)</f>
        <v>4</v>
      </c>
      <c r="K329" s="26" t="str">
        <f t="shared" si="1"/>
        <v>SI</v>
      </c>
      <c r="L329" s="29" t="s">
        <v>122</v>
      </c>
      <c r="M329" s="30" t="s">
        <v>123</v>
      </c>
      <c r="N329" s="70"/>
      <c r="O329" s="32" t="str">
        <f>VLOOKUP($G329,'Hoja 10'!$F$4:$AA478, 19,0)</f>
        <v>UNI-T</v>
      </c>
      <c r="P329" s="32" t="str">
        <f>VLOOKUP($G329,'Hoja 10'!$F$4:$AA478, 20,0)</f>
        <v>UT61E+</v>
      </c>
      <c r="Q329" s="33" t="str">
        <f>VLOOKUP($G329,'Hoja 10'!$F$4:$AA478, 21,0)</f>
        <v>https://drive.google.com/file/d/1yV7qR0ghv-zvg3H7GGZsFkisjvTeTVH9/view</v>
      </c>
      <c r="R329" s="30" t="s">
        <v>1061</v>
      </c>
      <c r="S329" s="34" t="b">
        <v>1</v>
      </c>
      <c r="T329" s="35" t="str">
        <f>IFERROR(__xludf.DUMMYFUNCTION(" IF
( VLOOKUP($G329,IMPORTRANGE(""https://docs.google.com/spreadsheets/d/1Gpl6jkTg7sL4VDNimUm3S9Vi1i95esohXCF3wuKOE8c"", ""'CONSOLIDADO'!G5:AB""), 10, 0) &lt;&gt; 0, 
IFERROR(VLOOKUP($G329,IMPORTRANGE(""https://docs.google.com/spreadsheets/d/1Gpl6jkTg7sL4VDNimU"&amp;"m3S9Vi1i95esohXCF3wuKOE8c"", ""'CONSOLIDADO'!G5:AB""), 17, 0), ""-""),
""""
)"),"UNI-T")</f>
        <v>UNI-T</v>
      </c>
      <c r="U329" s="35" t="str">
        <f>IFERROR(__xludf.DUMMYFUNCTION(" IF
( VLOOKUP($G329,IMPORTRANGE(""https://docs.google.com/spreadsheets/d/1Gpl6jkTg7sL4VDNimUm3S9Vi1i95esohXCF3wuKOE8c"", ""'CONSOLIDADO'!G5:AB""), 10, 0) &lt;&gt; 0, 
IFERROR(VLOOKUP($G329,IMPORTRANGE(""https://docs.google.com/spreadsheets/d/1Gpl6jkTg7sL4VDNimU"&amp;"m3S9Vi1i95esohXCF3wuKOE8c"", ""'CONSOLIDADO'!G5:AB""), 18, 0), ""-""),
""""
)"),"UT61E+")</f>
        <v>UT61E+</v>
      </c>
      <c r="V329" s="36" t="str">
        <f>IFERROR(__xludf.DUMMYFUNCTION(" IF
( VLOOKUP($G329,IMPORTRANGE(""https://docs.google.com/spreadsheets/d/1Gpl6jkTg7sL4VDNimUm3S9Vi1i95esohXCF3wuKOE8c"", ""'CONSOLIDADO'!G5:AB""), 10, 0) &lt;&gt; 0, 
IFERROR(VLOOKUP($G329,IMPORTRANGE(""https://docs.google.com/spreadsheets/d/1Gpl6jkTg7sL4VDNimU"&amp;"m3S9Vi1i95esohXCF3wuKOE8c"", ""'CONSOLIDADO'!G5:AB""), 19, 0), ""-""),
""""
)"),"https://mitiendaunit.com/producto/uni-t-ut61e-multimetro-digital-usb/")</f>
        <v>https://mitiendaunit.com/producto/uni-t-ut61e-multimetro-digital-usb/</v>
      </c>
      <c r="W329" s="37" t="str">
        <f>IFERROR(__xludf.DUMMYFUNCTION("IFERROR(VLOOKUP(G329,IMPORTRANGE(""https://docs.google.com/spreadsheets/d/12RxCea4e5ggM7QGn1XE3FbLQa_-QbCNdBi90OdPjRqg"", ""'Plan de Compras'!D4:Q""), 12, 0), ""NO ESTÁ EN REQ"")"),"Técnica")</f>
        <v>Técnica</v>
      </c>
      <c r="X329" s="37" t="str">
        <f>IFERROR(__xludf.DUMMYFUNCTION("IFERROR(VLOOKUP(G329,IMPORTRANGE(""https://docs.google.com/spreadsheets/d/12RxCea4e5ggM7QGn1XE3FbLQa_-QbCNdBi90OdPjRqg"", ""'Plan de Compras'!D4:Q""), 13, 0), """")"),"INTERNACIONAL")</f>
        <v>INTERNACIONAL</v>
      </c>
      <c r="Y329" s="32" t="str">
        <f>IFERROR(__xludf.DUMMYFUNCTION("IFERROR(VLOOKUP(G329,IMPORTRANGE(""https://docs.google.com/spreadsheets/d/12RxCea4e5ggM7QGn1XE3FbLQa_-QbCNdBi90OdPjRqg"", ""'Plan de Compras'!D4:Q""), 14, 0), """")"),"GEYDI")</f>
        <v>GEYDI</v>
      </c>
      <c r="Z329" s="38" t="str">
        <f>IFERROR(__xludf.DUMMYFUNCTION("IFERROR(VLOOKUP(G329,IMPORTRANGE(""https://docs.google.com/spreadsheets/d/12RxCea4e5ggM7QGn1XE3FbLQa_-QbCNdBi90OdPjRqg"", ""'Plan de Compras'!D4:Q""), 4, 0), """")"),"MULTÍMETRO DIGITAL")</f>
        <v>MULTÍMETRO DIGITAL</v>
      </c>
      <c r="AA329" s="38" t="str">
        <f t="shared" si="16"/>
        <v>TRUE</v>
      </c>
      <c r="AB329" s="37" t="str">
        <f>IFERROR(__xludf.DUMMYFUNCTION("IFERROR(IF(OR(C329=TRUE,C329=""""),VLOOKUP(G329,IMPORTRANGE(""https://docs.google.com/spreadsheets/d/1z9A1Wq-kKrhRNG5RS2a2fKpY1wIhSVz2ZNmP2mOl588/edit?usp=sharing"",""REQ VF!E4:H""),4,0),""NO APLICA""),""GENERAR REQ"")"),"GENERAR REQ")</f>
        <v>GENERAR REQ</v>
      </c>
      <c r="AC329" s="37" t="str">
        <f>IFERROR(__xludf.DUMMYFUNCTION("IFERROR(QUERY(IMPORTRANGE(""https://docs.google.com/spreadsheets/d/1z9A1Wq-kKrhRNG5RS2a2fKpY1wIhSVz2ZNmP2mOl588/edit?usp=sharing"",""REQ VF!E4:Q""),""SELECT Col10, Col11, Col12 WHERE Col1 = '""&amp;G329&amp;""'"",0),""NO APLICA"")"),"NO APLICA")</f>
        <v>NO APLICA</v>
      </c>
      <c r="AD329" s="37"/>
      <c r="AE329" s="37"/>
      <c r="AF329" s="8" t="s">
        <v>52</v>
      </c>
      <c r="AG329" s="13"/>
    </row>
    <row r="330">
      <c r="A330" s="26"/>
      <c r="B330" s="26"/>
      <c r="C330" s="26" t="b">
        <v>1</v>
      </c>
      <c r="D330" s="60" t="s">
        <v>42</v>
      </c>
      <c r="E330" s="26" t="s">
        <v>36</v>
      </c>
      <c r="F330" s="27" t="s">
        <v>1051</v>
      </c>
      <c r="G330" s="39" t="s">
        <v>1062</v>
      </c>
      <c r="H330" s="40" t="s">
        <v>1056</v>
      </c>
      <c r="I330" s="43">
        <f>I329</f>
        <v>4</v>
      </c>
      <c r="J330" s="26">
        <f>IFERROR(__xludf.DUMMYFUNCTION("VLOOKUP(G330,IMPORTRANGE(""https://docs.google.com/spreadsheets/d/12RxCea4e5ggM7QGn1XE3FbLQa_-QbCNdBi90OdPjRqg/edit?gid=1692403370#gid=1692403370"", ""'Plan de Compras'!D4:2432""), 8,0)"),4.0)</f>
        <v>4</v>
      </c>
      <c r="K330" s="26" t="str">
        <f t="shared" si="1"/>
        <v>SI</v>
      </c>
      <c r="L330" s="29"/>
      <c r="M330" s="61"/>
      <c r="N330" s="70"/>
      <c r="O330" s="32"/>
      <c r="P330" s="32"/>
      <c r="Q330" s="41"/>
      <c r="R330" s="61"/>
      <c r="S330" s="44" t="b">
        <v>0</v>
      </c>
      <c r="T330" s="35"/>
      <c r="U330" s="35"/>
      <c r="V330" s="35"/>
      <c r="W330" s="37" t="str">
        <f>IFERROR(__xludf.DUMMYFUNCTION("IFERROR(VLOOKUP(G330,IMPORTRANGE(""https://docs.google.com/spreadsheets/d/12RxCea4e5ggM7QGn1XE3FbLQa_-QbCNdBi90OdPjRqg"", ""'Plan de Compras'!D4:Q""), 12, 0), ""NO ESTÁ EN REQ"")"),"Simple")</f>
        <v>Simple</v>
      </c>
      <c r="X330" s="37" t="str">
        <f>IFERROR(__xludf.DUMMYFUNCTION("IFERROR(VLOOKUP(G330,IMPORTRANGE(""https://docs.google.com/spreadsheets/d/12RxCea4e5ggM7QGn1XE3FbLQa_-QbCNdBi90OdPjRqg"", ""'Plan de Compras'!D4:Q""), 13, 0), """")"),"NACIONAL")</f>
        <v>NACIONAL</v>
      </c>
      <c r="Y330" s="32" t="str">
        <f>IFERROR(__xludf.DUMMYFUNCTION("IFERROR(VLOOKUP(G330,IMPORTRANGE(""https://docs.google.com/spreadsheets/d/12RxCea4e5ggM7QGn1XE3FbLQa_-QbCNdBi90OdPjRqg"", ""'Plan de Compras'!D4:Q""), 14, 0), """")"),"ALFIO")</f>
        <v>ALFIO</v>
      </c>
      <c r="Z330" s="38" t="str">
        <f>IFERROR(__xludf.DUMMYFUNCTION("IFERROR(VLOOKUP(G330,IMPORTRANGE(""https://docs.google.com/spreadsheets/d/12RxCea4e5ggM7QGn1XE3FbLQa_-QbCNdBi90OdPjRqg"", ""'Plan de Compras'!D4:Q""), 4, 0), """")"),"PACK DE 4 PILAS 1.5V AAA (1 UND)")</f>
        <v>PACK DE 4 PILAS 1.5V AAA (1 UND)</v>
      </c>
      <c r="AA330" s="38" t="str">
        <f t="shared" si="16"/>
        <v>TRUE</v>
      </c>
      <c r="AB330" s="37" t="str">
        <f>IFERROR(__xludf.DUMMYFUNCTION("IFERROR(IF(OR(C330=TRUE,C330=""""),VLOOKUP(G330,IMPORTRANGE(""https://docs.google.com/spreadsheets/d/1z9A1Wq-kKrhRNG5RS2a2fKpY1wIhSVz2ZNmP2mOl588/edit?usp=sharing"",""REQ VF!E4:H""),4,0),""NO APLICA""),""GENERAR REQ"")"),"GENERAR REQ")</f>
        <v>GENERAR REQ</v>
      </c>
      <c r="AC330" s="37" t="str">
        <f>IFERROR(__xludf.DUMMYFUNCTION("IFERROR(QUERY(IMPORTRANGE(""https://docs.google.com/spreadsheets/d/1z9A1Wq-kKrhRNG5RS2a2fKpY1wIhSVz2ZNmP2mOl588/edit?usp=sharing"",""REQ VF!E4:Q""),""SELECT Col10, Col11, Col12 WHERE Col1 = '""&amp;G330&amp;""'"",0),""NO APLICA"")"),"NO APLICA")</f>
        <v>NO APLICA</v>
      </c>
      <c r="AD330" s="37"/>
      <c r="AE330" s="37"/>
      <c r="AF330" s="13"/>
      <c r="AG330" s="13"/>
    </row>
    <row r="331">
      <c r="A331" s="26">
        <v>153.0</v>
      </c>
      <c r="B331" s="26" t="b">
        <v>1</v>
      </c>
      <c r="C331" s="26" t="b">
        <v>1</v>
      </c>
      <c r="D331" s="26" t="s">
        <v>35</v>
      </c>
      <c r="E331" s="26" t="s">
        <v>36</v>
      </c>
      <c r="F331" s="27" t="s">
        <v>1063</v>
      </c>
      <c r="G331" s="39" t="s">
        <v>1064</v>
      </c>
      <c r="H331" s="45" t="s">
        <v>1065</v>
      </c>
      <c r="I331" s="43">
        <f>SUMIFS('Hoja 10'!$O:$O,'Hoja 10'!$F:$F,$G331)</f>
        <v>1</v>
      </c>
      <c r="J331" s="26">
        <f>IFERROR(__xludf.DUMMYFUNCTION("VLOOKUP(G331,IMPORTRANGE(""https://docs.google.com/spreadsheets/d/12RxCea4e5ggM7QGn1XE3FbLQa_-QbCNdBi90OdPjRqg/edit?gid=1692403370#gid=1692403370"", ""'Plan de Compras'!D4:2432""), 8,0)"),1.0)</f>
        <v>1</v>
      </c>
      <c r="K331" s="26" t="str">
        <f t="shared" si="1"/>
        <v>SI</v>
      </c>
      <c r="L331" s="29" t="s">
        <v>77</v>
      </c>
      <c r="M331" s="30" t="s">
        <v>78</v>
      </c>
      <c r="N331" s="42"/>
      <c r="O331" s="32" t="str">
        <f>VLOOKUP($G331,'Hoja 10'!$F$4:$AA478, 19,0)</f>
        <v>THOMAS</v>
      </c>
      <c r="P331" s="32" t="str">
        <f>VLOOKUP($G331,'Hoja 10'!$F$4:$AA478, 20,0)</f>
        <v>TH-9170B</v>
      </c>
      <c r="Q331" s="33" t="str">
        <f>VLOOKUP($G331,'Hoja 10'!$F$4:$AA478, 21,0)</f>
        <v>https://hiraoka.com.pe/procesador-de-alimentos-thomas-th-9170b?utm_id=22793891402&amp;gad_source=1&amp;gad_campaignid=22793891402&amp;gbraid=0AAAAACkNDqlI27oXl0JzAfOGWgXAVYofQ&amp;gclid=CjwKCAjwq9rFBhAIEiwAGVAZP_pbszxa8uaJt_9XtoWcJZZgbTfjzivkM156ChhvNRJ9kQ5tB65O-RoC4I4QAvD_BwE</v>
      </c>
      <c r="R331" s="30" t="s">
        <v>1066</v>
      </c>
      <c r="S331" s="34" t="b">
        <v>1</v>
      </c>
      <c r="T331" s="35" t="str">
        <f>IFERROR(__xludf.DUMMYFUNCTION(" IF
( VLOOKUP($G331,IMPORTRANGE(""https://docs.google.com/spreadsheets/d/1Gpl6jkTg7sL4VDNimUm3S9Vi1i95esohXCF3wuKOE8c"", ""'CONSOLIDADO'!G5:AB""), 10, 0) &lt;&gt; 0, 
IFERROR(VLOOKUP($G331,IMPORTRANGE(""https://docs.google.com/spreadsheets/d/1Gpl6jkTg7sL4VDNimU"&amp;"m3S9Vi1i95esohXCF3wuKOE8c"", ""'CONSOLIDADO'!G5:AB""), 17, 0), ""-""),
""""
)"),"THOMAS")</f>
        <v>THOMAS</v>
      </c>
      <c r="U331" s="35" t="str">
        <f>IFERROR(__xludf.DUMMYFUNCTION(" IF
( VLOOKUP($G331,IMPORTRANGE(""https://docs.google.com/spreadsheets/d/1Gpl6jkTg7sL4VDNimUm3S9Vi1i95esohXCF3wuKOE8c"", ""'CONSOLIDADO'!G5:AB""), 10, 0) &lt;&gt; 0, 
IFERROR(VLOOKUP($G331,IMPORTRANGE(""https://docs.google.com/spreadsheets/d/1Gpl6jkTg7sL4VDNimU"&amp;"m3S9Vi1i95esohXCF3wuKOE8c"", ""'CONSOLIDADO'!G5:AB""), 18, 0), ""-""),
""""
)"),"TH-9170B")</f>
        <v>TH-9170B</v>
      </c>
      <c r="V331" s="36" t="str">
        <f>IFERROR(__xludf.DUMMYFUNCTION(" IF
( VLOOKUP($G331,IMPORTRANGE(""https://docs.google.com/spreadsheets/d/1Gpl6jkTg7sL4VDNimUm3S9Vi1i95esohXCF3wuKOE8c"", ""'CONSOLIDADO'!G5:AB""), 10, 0) &lt;&gt; 0, 
IFERROR(VLOOKUP($G331,IMPORTRANGE(""https://docs.google.com/spreadsheets/d/1Gpl6jkTg7sL4VDNimU"&amp;"m3S9Vi1i95esohXCF3wuKOE8c"", ""'CONSOLIDADO'!G5:AB""), 19, 0), ""-""),
""""
)"),"https://www.thomas.com.pe/thomaspe/pe-procesadora-th-9170b.html?srsltid=AfmBOorWRTwpiqeFDtTfZh7_-jV_kTBHDscr1NBDGbenjxg5XdoTFUyD")</f>
        <v>https://www.thomas.com.pe/thomaspe/pe-procesadora-th-9170b.html?srsltid=AfmBOorWRTwpiqeFDtTfZh7_-jV_kTBHDscr1NBDGbenjxg5XdoTFUyD</v>
      </c>
      <c r="W331" s="37" t="str">
        <f>IFERROR(__xludf.DUMMYFUNCTION("IFERROR(VLOOKUP(G331,IMPORTRANGE(""https://docs.google.com/spreadsheets/d/12RxCea4e5ggM7QGn1XE3FbLQa_-QbCNdBi90OdPjRqg"", ""'Plan de Compras'!D4:Q""), 12, 0), ""NO ESTÁ EN REQ"")"),"Técnica")</f>
        <v>Técnica</v>
      </c>
      <c r="X331" s="37" t="str">
        <f>IFERROR(__xludf.DUMMYFUNCTION("IFERROR(VLOOKUP(G331,IMPORTRANGE(""https://docs.google.com/spreadsheets/d/12RxCea4e5ggM7QGn1XE3FbLQa_-QbCNdBi90OdPjRqg"", ""'Plan de Compras'!D4:Q""), 13, 0), """")"),"NACIONAL")</f>
        <v>NACIONAL</v>
      </c>
      <c r="Y331" s="32" t="str">
        <f>IFERROR(__xludf.DUMMYFUNCTION("IFERROR(VLOOKUP(G331,IMPORTRANGE(""https://docs.google.com/spreadsheets/d/12RxCea4e5ggM7QGn1XE3FbLQa_-QbCNdBi90OdPjRqg"", ""'Plan de Compras'!D4:Q""), 14, 0), """")"),"DIANA")</f>
        <v>DIANA</v>
      </c>
      <c r="Z331" s="38" t="str">
        <f>IFERROR(__xludf.DUMMYFUNCTION("IFERROR(VLOOKUP(G331,IMPORTRANGE(""https://docs.google.com/spreadsheets/d/12RxCea4e5ggM7QGn1XE3FbLQa_-QbCNdBi90OdPjRqg"", ""'Plan de Compras'!D4:Q""), 4, 0), """")"),"MULTIPROCESADOR ALIMENTOS ROBOV")</f>
        <v>MULTIPROCESADOR ALIMENTOS ROBOV</v>
      </c>
      <c r="AA331" s="38" t="str">
        <f t="shared" si="16"/>
        <v>TRUE</v>
      </c>
      <c r="AB331" s="37" t="str">
        <f>IFERROR(__xludf.DUMMYFUNCTION("IFERROR(IF(OR(C331=TRUE,C331=""""),VLOOKUP(G331,IMPORTRANGE(""https://docs.google.com/spreadsheets/d/1z9A1Wq-kKrhRNG5RS2a2fKpY1wIhSVz2ZNmP2mOl588/edit?usp=sharing"",""REQ VF!E4:H""),4,0),""NO APLICA""),""GENERAR REQ"")"),"GENERAR REQ")</f>
        <v>GENERAR REQ</v>
      </c>
      <c r="AC331" s="37" t="str">
        <f>IFERROR(__xludf.DUMMYFUNCTION("IFERROR(QUERY(IMPORTRANGE(""https://docs.google.com/spreadsheets/d/1z9A1Wq-kKrhRNG5RS2a2fKpY1wIhSVz2ZNmP2mOl588/edit?usp=sharing"",""REQ VF!E4:Q""),""SELECT Col10, Col11, Col12 WHERE Col1 = '""&amp;G331&amp;""'"",0),""NO APLICA"")"),"NO APLICA")</f>
        <v>NO APLICA</v>
      </c>
      <c r="AD331" s="37"/>
      <c r="AE331" s="37"/>
      <c r="AF331" s="8" t="s">
        <v>52</v>
      </c>
      <c r="AG331" s="13"/>
    </row>
    <row r="332">
      <c r="A332" s="26">
        <v>154.0</v>
      </c>
      <c r="B332" s="26" t="b">
        <v>1</v>
      </c>
      <c r="C332" s="26" t="b">
        <v>1</v>
      </c>
      <c r="D332" s="26" t="s">
        <v>35</v>
      </c>
      <c r="E332" s="26" t="s">
        <v>36</v>
      </c>
      <c r="F332" s="27" t="s">
        <v>1063</v>
      </c>
      <c r="G332" s="39" t="s">
        <v>1067</v>
      </c>
      <c r="H332" s="45" t="s">
        <v>1065</v>
      </c>
      <c r="I332" s="43">
        <f>SUMIFS('Hoja 10'!$O:$O,'Hoja 10'!$F:$F,$G332)</f>
        <v>8</v>
      </c>
      <c r="J332" s="26">
        <f>IFERROR(__xludf.DUMMYFUNCTION("VLOOKUP(G332,IMPORTRANGE(""https://docs.google.com/spreadsheets/d/12RxCea4e5ggM7QGn1XE3FbLQa_-QbCNdBi90OdPjRqg/edit?gid=1692403370#gid=1692403370"", ""'Plan de Compras'!D4:2432""), 8,0)"),8.0)</f>
        <v>8</v>
      </c>
      <c r="K332" s="26" t="str">
        <f t="shared" si="1"/>
        <v>SI</v>
      </c>
      <c r="L332" s="29" t="s">
        <v>39</v>
      </c>
      <c r="M332" s="30" t="s">
        <v>40</v>
      </c>
      <c r="N332" s="42"/>
      <c r="O332" s="32" t="str">
        <f>VLOOKUP($G332,'Hoja 10'!$F$4:$AA478, 19,0)</f>
        <v>BOSCH</v>
      </c>
      <c r="P332" s="32" t="str">
        <f>VLOOKUP($G332,'Hoja 10'!$F$4:$AA478, 20,0)</f>
        <v>MCM3501M</v>
      </c>
      <c r="Q332" s="33" t="str">
        <f>VLOOKUP($G332,'Hoja 10'!$F$4:$AA478, 21,0)</f>
        <v>https://www.bosch-home.pe/electrodomesticos/MCM3501M#/Tabs=section-technicalspecs/Togglebox=manuals/Togglebox=accessories/</v>
      </c>
      <c r="R332" s="30" t="s">
        <v>1068</v>
      </c>
      <c r="S332" s="34" t="b">
        <v>1</v>
      </c>
      <c r="T332" s="35" t="str">
        <f>IFERROR(__xludf.DUMMYFUNCTION(" IF
( VLOOKUP($G332,IMPORTRANGE(""https://docs.google.com/spreadsheets/d/1Gpl6jkTg7sL4VDNimUm3S9Vi1i95esohXCF3wuKOE8c"", ""'CONSOLIDADO'!G5:AB""), 10, 0) &lt;&gt; 0, 
IFERROR(VLOOKUP($G332,IMPORTRANGE(""https://docs.google.com/spreadsheets/d/1Gpl6jkTg7sL4VDNimU"&amp;"m3S9Vi1i95esohXCF3wuKOE8c"", ""'CONSOLIDADO'!G5:AB""), 17, 0), ""-""),
""""
)"),"THOMAS")</f>
        <v>THOMAS</v>
      </c>
      <c r="U332" s="35" t="str">
        <f>IFERROR(__xludf.DUMMYFUNCTION(" IF
( VLOOKUP($G332,IMPORTRANGE(""https://docs.google.com/spreadsheets/d/1Gpl6jkTg7sL4VDNimUm3S9Vi1i95esohXCF3wuKOE8c"", ""'CONSOLIDADO'!G5:AB""), 10, 0) &lt;&gt; 0, 
IFERROR(VLOOKUP($G332,IMPORTRANGE(""https://docs.google.com/spreadsheets/d/1Gpl6jkTg7sL4VDNimU"&amp;"m3S9Vi1i95esohXCF3wuKOE8c"", ""'CONSOLIDADO'!G5:AB""), 18, 0), ""-""),
""""
)"),"TH-9170B")</f>
        <v>TH-9170B</v>
      </c>
      <c r="V332" s="36" t="str">
        <f>IFERROR(__xludf.DUMMYFUNCTION(" IF
( VLOOKUP($G332,IMPORTRANGE(""https://docs.google.com/spreadsheets/d/1Gpl6jkTg7sL4VDNimUm3S9Vi1i95esohXCF3wuKOE8c"", ""'CONSOLIDADO'!G5:AB""), 10, 0) &lt;&gt; 0, 
IFERROR(VLOOKUP($G332,IMPORTRANGE(""https://docs.google.com/spreadsheets/d/1Gpl6jkTg7sL4VDNimU"&amp;"m3S9Vi1i95esohXCF3wuKOE8c"", ""'CONSOLIDADO'!G5:AB""), 19, 0), ""-""),
""""
)"),"https://www.thomas.com.pe/thomaspe/pe-procesadora-th-9170b.html?srsltid=AfmBOorWRTwpiqeFDtTfZh7_-jV_kTBHDscr1NBDGbenjxg5XdoTFUyD")</f>
        <v>https://www.thomas.com.pe/thomaspe/pe-procesadora-th-9170b.html?srsltid=AfmBOorWRTwpiqeFDtTfZh7_-jV_kTBHDscr1NBDGbenjxg5XdoTFUyD</v>
      </c>
      <c r="W332" s="37" t="str">
        <f>IFERROR(__xludf.DUMMYFUNCTION("IFERROR(VLOOKUP(G332,IMPORTRANGE(""https://docs.google.com/spreadsheets/d/12RxCea4e5ggM7QGn1XE3FbLQa_-QbCNdBi90OdPjRqg"", ""'Plan de Compras'!D4:Q""), 12, 0), ""NO ESTÁ EN REQ"")"),"Técnica")</f>
        <v>Técnica</v>
      </c>
      <c r="X332" s="37" t="str">
        <f>IFERROR(__xludf.DUMMYFUNCTION("IFERROR(VLOOKUP(G332,IMPORTRANGE(""https://docs.google.com/spreadsheets/d/12RxCea4e5ggM7QGn1XE3FbLQa_-QbCNdBi90OdPjRqg"", ""'Plan de Compras'!D4:Q""), 13, 0), """")"),"NACIONAL")</f>
        <v>NACIONAL</v>
      </c>
      <c r="Y332" s="32" t="str">
        <f>IFERROR(__xludf.DUMMYFUNCTION("IFERROR(VLOOKUP(G332,IMPORTRANGE(""https://docs.google.com/spreadsheets/d/12RxCea4e5ggM7QGn1XE3FbLQa_-QbCNdBi90OdPjRqg"", ""'Plan de Compras'!D4:Q""), 14, 0), """")"),"DIANA")</f>
        <v>DIANA</v>
      </c>
      <c r="Z332" s="38" t="str">
        <f>IFERROR(__xludf.DUMMYFUNCTION("IFERROR(VLOOKUP(G332,IMPORTRANGE(""https://docs.google.com/spreadsheets/d/12RxCea4e5ggM7QGn1XE3FbLQa_-QbCNdBi90OdPjRqg"", ""'Plan de Compras'!D4:Q""), 4, 0), """")"),"MULTIPROCESADOR ALIMENTOS ROBOV")</f>
        <v>MULTIPROCESADOR ALIMENTOS ROBOV</v>
      </c>
      <c r="AA332" s="38" t="str">
        <f t="shared" si="16"/>
        <v>TRUE</v>
      </c>
      <c r="AB332" s="37" t="str">
        <f>IFERROR(__xludf.DUMMYFUNCTION("IFERROR(IF(OR(C332=TRUE,C332=""""),VLOOKUP(G332,IMPORTRANGE(""https://docs.google.com/spreadsheets/d/1z9A1Wq-kKrhRNG5RS2a2fKpY1wIhSVz2ZNmP2mOl588/edit?usp=sharing"",""REQ VF!E4:H""),4,0),""NO APLICA""),""GENERAR REQ"")"),"GENERAR REQ")</f>
        <v>GENERAR REQ</v>
      </c>
      <c r="AC332" s="37" t="str">
        <f>IFERROR(__xludf.DUMMYFUNCTION("IFERROR(QUERY(IMPORTRANGE(""https://docs.google.com/spreadsheets/d/1z9A1Wq-kKrhRNG5RS2a2fKpY1wIhSVz2ZNmP2mOl588/edit?usp=sharing"",""REQ VF!E4:Q""),""SELECT Col10, Col11, Col12 WHERE Col1 = '""&amp;G332&amp;""'"",0),""NO APLICA"")"),"NO APLICA")</f>
        <v>NO APLICA</v>
      </c>
      <c r="AD332" s="37"/>
      <c r="AE332" s="37"/>
      <c r="AF332" s="8" t="s">
        <v>52</v>
      </c>
      <c r="AG332" s="13"/>
    </row>
    <row r="333">
      <c r="A333" s="83"/>
      <c r="B333" s="26"/>
      <c r="C333" s="26" t="b">
        <v>1</v>
      </c>
      <c r="D333" s="60" t="s">
        <v>42</v>
      </c>
      <c r="E333" s="60" t="s">
        <v>36</v>
      </c>
      <c r="F333" s="59" t="s">
        <v>1063</v>
      </c>
      <c r="G333" s="39" t="s">
        <v>1069</v>
      </c>
      <c r="H333" s="82" t="s">
        <v>44</v>
      </c>
      <c r="I333" s="43">
        <f>$I$332</f>
        <v>8</v>
      </c>
      <c r="J333" s="26">
        <f>IFERROR(__xludf.DUMMYFUNCTION("VLOOKUP(G333,IMPORTRANGE(""https://docs.google.com/spreadsheets/d/12RxCea4e5ggM7QGn1XE3FbLQa_-QbCNdBi90OdPjRqg/edit?gid=1692403370#gid=1692403370"", ""'Plan de Compras'!D4:2432""), 8,0)"),8.0)</f>
        <v>8</v>
      </c>
      <c r="K333" s="26" t="str">
        <f t="shared" si="1"/>
        <v>SI</v>
      </c>
      <c r="L333" s="60"/>
      <c r="M333" s="84"/>
      <c r="N333" s="42" t="s">
        <v>45</v>
      </c>
      <c r="O333" s="84"/>
      <c r="P333" s="26" t="s">
        <v>1070</v>
      </c>
      <c r="Q333" s="41"/>
      <c r="R333" s="84"/>
      <c r="S333" s="34" t="b">
        <v>1</v>
      </c>
      <c r="T333" s="35" t="s">
        <v>1071</v>
      </c>
      <c r="U333" s="43" t="s">
        <v>1072</v>
      </c>
      <c r="V333" s="44"/>
      <c r="W333" s="37" t="str">
        <f>IFERROR(__xludf.DUMMYFUNCTION("IFERROR(VLOOKUP(G333,IMPORTRANGE(""https://docs.google.com/spreadsheets/d/12RxCea4e5ggM7QGn1XE3FbLQa_-QbCNdBi90OdPjRqg"", ""'Plan de Compras'!D4:Q""), 12, 0), ""NO ESTÁ EN REQ"")"),"Simple")</f>
        <v>Simple</v>
      </c>
      <c r="X333" s="37" t="str">
        <f>IFERROR(__xludf.DUMMYFUNCTION("IFERROR(VLOOKUP(G333,IMPORTRANGE(""https://docs.google.com/spreadsheets/d/12RxCea4e5ggM7QGn1XE3FbLQa_-QbCNdBi90OdPjRqg"", ""'Plan de Compras'!D4:Q""), 13, 0), """")"),"NACIONAL")</f>
        <v>NACIONAL</v>
      </c>
      <c r="Y333" s="32" t="str">
        <f>IFERROR(__xludf.DUMMYFUNCTION("IFERROR(VLOOKUP(G333,IMPORTRANGE(""https://docs.google.com/spreadsheets/d/12RxCea4e5ggM7QGn1XE3FbLQa_-QbCNdBi90OdPjRqg"", ""'Plan de Compras'!D4:Q""), 14, 0), """")"),"ANGIE")</f>
        <v>ANGIE</v>
      </c>
      <c r="Z333" s="38" t="str">
        <f>IFERROR(__xludf.DUMMYFUNCTION("IFERROR(VLOOKUP(G333,IMPORTRANGE(""https://docs.google.com/spreadsheets/d/12RxCea4e5ggM7QGn1XE3FbLQa_-QbCNdBi90OdPjRqg"", ""'Plan de Compras'!D4:Q""), 4, 0), """")"),"FUNDA IMPERMEABLE (1 UND)")</f>
        <v>FUNDA IMPERMEABLE (1 UND)</v>
      </c>
      <c r="AA333" s="38" t="str">
        <f t="shared" si="16"/>
        <v>TRUE</v>
      </c>
      <c r="AB333" s="37" t="str">
        <f>IFERROR(__xludf.DUMMYFUNCTION("IFERROR(IF(OR(C333=TRUE,C333=""""),VLOOKUP(G333,IMPORTRANGE(""https://docs.google.com/spreadsheets/d/1z9A1Wq-kKrhRNG5RS2a2fKpY1wIhSVz2ZNmP2mOl588/edit?usp=sharing"",""REQ VF!E4:H""),4,0),""NO APLICA""),""GENERAR REQ"")"),"GENERAR REQ")</f>
        <v>GENERAR REQ</v>
      </c>
      <c r="AC333" s="37" t="str">
        <f>IFERROR(__xludf.DUMMYFUNCTION("IFERROR(QUERY(IMPORTRANGE(""https://docs.google.com/spreadsheets/d/1z9A1Wq-kKrhRNG5RS2a2fKpY1wIhSVz2ZNmP2mOl588/edit?usp=sharing"",""REQ VF!E4:Q""),""SELECT Col10, Col11, Col12 WHERE Col1 = '""&amp;G333&amp;""'"",0),""NO APLICA"")"),"NO APLICA")</f>
        <v>NO APLICA</v>
      </c>
      <c r="AD333" s="37"/>
      <c r="AE333" s="37"/>
      <c r="AF333" s="13"/>
      <c r="AG333" s="13"/>
    </row>
    <row r="334">
      <c r="A334" s="26">
        <v>155.0</v>
      </c>
      <c r="B334" s="26" t="b">
        <v>1</v>
      </c>
      <c r="C334" s="26" t="b">
        <v>1</v>
      </c>
      <c r="D334" s="26" t="s">
        <v>35</v>
      </c>
      <c r="E334" s="26" t="s">
        <v>36</v>
      </c>
      <c r="F334" s="27" t="s">
        <v>1073</v>
      </c>
      <c r="G334" s="39" t="s">
        <v>1074</v>
      </c>
      <c r="H334" s="45" t="s">
        <v>1075</v>
      </c>
      <c r="I334" s="43">
        <f>SUMIFS('Hoja 10'!$O:$O,'Hoja 10'!$F:$F,$G334)</f>
        <v>12</v>
      </c>
      <c r="J334" s="26">
        <f>IFERROR(__xludf.DUMMYFUNCTION("VLOOKUP(G334,IMPORTRANGE(""https://docs.google.com/spreadsheets/d/12RxCea4e5ggM7QGn1XE3FbLQa_-QbCNdBi90OdPjRqg/edit?gid=1692403370#gid=1692403370"", ""'Plan de Compras'!D4:2432""), 8,0)"),12.0)</f>
        <v>12</v>
      </c>
      <c r="K334" s="26" t="str">
        <f t="shared" si="1"/>
        <v>SI</v>
      </c>
      <c r="L334" s="29" t="s">
        <v>127</v>
      </c>
      <c r="M334" s="30" t="s">
        <v>105</v>
      </c>
      <c r="N334" s="70"/>
      <c r="O334" s="32" t="str">
        <f>VLOOKUP($G334,'Hoja 10'!$F$4:$AA478, 19,0)</f>
        <v>UNI-T</v>
      </c>
      <c r="P334" s="32" t="str">
        <f>VLOOKUP($G334,'Hoja 10'!$F$4:$AA478, 20,0)</f>
        <v>UT61E+</v>
      </c>
      <c r="Q334" s="33" t="str">
        <f>VLOOKUP($G334,'Hoja 10'!$F$4:$AA478, 21,0)</f>
        <v>https://meters.uni-trend.com/product/ut61plus-series/</v>
      </c>
      <c r="R334" s="30" t="s">
        <v>1076</v>
      </c>
      <c r="S334" s="34" t="b">
        <v>1</v>
      </c>
      <c r="T334" s="35" t="str">
        <f>IFERROR(__xludf.DUMMYFUNCTION(" IF
( VLOOKUP($G334,IMPORTRANGE(""https://docs.google.com/spreadsheets/d/1Gpl6jkTg7sL4VDNimUm3S9Vi1i95esohXCF3wuKOE8c"", ""'CONSOLIDADO'!G5:AB""), 10, 0) &lt;&gt; 0, 
IFERROR(VLOOKUP($G334,IMPORTRANGE(""https://docs.google.com/spreadsheets/d/1Gpl6jkTg7sL4VDNimU"&amp;"m3S9Vi1i95esohXCF3wuKOE8c"", ""'CONSOLIDADO'!G5:AB""), 17, 0), ""-""),
""""
)"),"UNI-T")</f>
        <v>UNI-T</v>
      </c>
      <c r="U334" s="35" t="str">
        <f>IFERROR(__xludf.DUMMYFUNCTION(" IF
( VLOOKUP($G334,IMPORTRANGE(""https://docs.google.com/spreadsheets/d/1Gpl6jkTg7sL4VDNimUm3S9Vi1i95esohXCF3wuKOE8c"", ""'CONSOLIDADO'!G5:AB""), 10, 0) &lt;&gt; 0, 
IFERROR(VLOOKUP($G334,IMPORTRANGE(""https://docs.google.com/spreadsheets/d/1Gpl6jkTg7sL4VDNimU"&amp;"m3S9Vi1i95esohXCF3wuKOE8c"", ""'CONSOLIDADO'!G5:AB""), 18, 0), ""-""),
""""
)"),"UT61E+")</f>
        <v>UT61E+</v>
      </c>
      <c r="V334" s="36" t="str">
        <f>IFERROR(__xludf.DUMMYFUNCTION(" IF
( VLOOKUP($G334,IMPORTRANGE(""https://docs.google.com/spreadsheets/d/1Gpl6jkTg7sL4VDNimUm3S9Vi1i95esohXCF3wuKOE8c"", ""'CONSOLIDADO'!G5:AB""), 10, 0) &lt;&gt; 0, 
IFERROR(VLOOKUP($G334,IMPORTRANGE(""https://docs.google.com/spreadsheets/d/1Gpl6jkTg7sL4VDNimU"&amp;"m3S9Vi1i95esohXCF3wuKOE8c"", ""'CONSOLIDADO'!G5:AB""), 19, 0), ""-""),
""""
)"),"https://meters.uni-trend.com/product/ut61plus-series/")</f>
        <v>https://meters.uni-trend.com/product/ut61plus-series/</v>
      </c>
      <c r="W334" s="37" t="str">
        <f>IFERROR(__xludf.DUMMYFUNCTION("IFERROR(VLOOKUP(G334,IMPORTRANGE(""https://docs.google.com/spreadsheets/d/12RxCea4e5ggM7QGn1XE3FbLQa_-QbCNdBi90OdPjRqg"", ""'Plan de Compras'!D4:Q""), 12, 0), ""NO ESTÁ EN REQ"")"),"Técnica")</f>
        <v>Técnica</v>
      </c>
      <c r="X334" s="37" t="str">
        <f>IFERROR(__xludf.DUMMYFUNCTION("IFERROR(VLOOKUP(G334,IMPORTRANGE(""https://docs.google.com/spreadsheets/d/12RxCea4e5ggM7QGn1XE3FbLQa_-QbCNdBi90OdPjRqg"", ""'Plan de Compras'!D4:Q""), 13, 0), """")"),"INTERNACIONAL")</f>
        <v>INTERNACIONAL</v>
      </c>
      <c r="Y334" s="32" t="str">
        <f>IFERROR(__xludf.DUMMYFUNCTION("IFERROR(VLOOKUP(G334,IMPORTRANGE(""https://docs.google.com/spreadsheets/d/12RxCea4e5ggM7QGn1XE3FbLQa_-QbCNdBi90OdPjRqg"", ""'Plan de Compras'!D4:Q""), 14, 0), """")"),"GEYDI")</f>
        <v>GEYDI</v>
      </c>
      <c r="Z334" s="38" t="str">
        <f>IFERROR(__xludf.DUMMYFUNCTION("IFERROR(VLOOKUP(G334,IMPORTRANGE(""https://docs.google.com/spreadsheets/d/12RxCea4e5ggM7QGn1XE3FbLQa_-QbCNdBi90OdPjRqg"", ""'Plan de Compras'!D4:Q""), 4, 0), """")"),"MULTITESTER")</f>
        <v>MULTITESTER</v>
      </c>
      <c r="AA334" s="38" t="str">
        <f t="shared" si="16"/>
        <v>TRUE</v>
      </c>
      <c r="AB334" s="37" t="str">
        <f>IFERROR(__xludf.DUMMYFUNCTION("IFERROR(IF(OR(C334=TRUE,C334=""""),VLOOKUP(G334,IMPORTRANGE(""https://docs.google.com/spreadsheets/d/1z9A1Wq-kKrhRNG5RS2a2fKpY1wIhSVz2ZNmP2mOl588/edit?usp=sharing"",""REQ VF!E4:H""),4,0),""NO APLICA""),""GENERAR REQ"")"),"GENERAR REQ")</f>
        <v>GENERAR REQ</v>
      </c>
      <c r="AC334" s="37" t="str">
        <f>IFERROR(__xludf.DUMMYFUNCTION("IFERROR(QUERY(IMPORTRANGE(""https://docs.google.com/spreadsheets/d/1z9A1Wq-kKrhRNG5RS2a2fKpY1wIhSVz2ZNmP2mOl588/edit?usp=sharing"",""REQ VF!E4:Q""),""SELECT Col10, Col11, Col12 WHERE Col1 = '""&amp;G334&amp;""'"",0),""NO APLICA"")"),"NO APLICA")</f>
        <v>NO APLICA</v>
      </c>
      <c r="AD334" s="37"/>
      <c r="AE334" s="37"/>
      <c r="AF334" s="8" t="s">
        <v>52</v>
      </c>
      <c r="AG334" s="13"/>
    </row>
    <row r="335">
      <c r="A335" s="26"/>
      <c r="B335" s="26" t="b">
        <v>0</v>
      </c>
      <c r="C335" s="26" t="b">
        <v>0</v>
      </c>
      <c r="D335" s="60" t="s">
        <v>42</v>
      </c>
      <c r="E335" s="60" t="s">
        <v>36</v>
      </c>
      <c r="F335" s="59" t="s">
        <v>1073</v>
      </c>
      <c r="G335" s="73" t="s">
        <v>1077</v>
      </c>
      <c r="H335" s="74" t="s">
        <v>1056</v>
      </c>
      <c r="I335" s="75">
        <f>1*I334</f>
        <v>12</v>
      </c>
      <c r="J335" s="26" t="str">
        <f>IFERROR(__xludf.DUMMYFUNCTION("VLOOKUP(G335,IMPORTRANGE(""https://docs.google.com/spreadsheets/d/12RxCea4e5ggM7QGn1XE3FbLQa_-QbCNdBi90OdPjRqg/edit?gid=1692403370#gid=1692403370"", ""'Plan de Compras'!D4:2432""), 8,0)"),"#N/A")</f>
        <v>#N/A</v>
      </c>
      <c r="K335" s="26" t="str">
        <f t="shared" si="1"/>
        <v>-</v>
      </c>
      <c r="L335" s="29"/>
      <c r="M335" s="61"/>
      <c r="N335" s="70"/>
      <c r="O335" s="32"/>
      <c r="P335" s="32"/>
      <c r="Q335" s="41"/>
      <c r="R335" s="61"/>
      <c r="S335" s="34" t="b">
        <v>0</v>
      </c>
      <c r="T335" s="35"/>
      <c r="U335" s="35"/>
      <c r="V335" s="35"/>
      <c r="W335" s="37"/>
      <c r="X335" s="37"/>
      <c r="Y335" s="32"/>
      <c r="Z335" s="38"/>
      <c r="AA335" s="38" t="str">
        <f t="shared" si="16"/>
        <v>FALSE</v>
      </c>
      <c r="AB335" s="37" t="str">
        <f>IFERROR(__xludf.DUMMYFUNCTION("IFERROR(IF(OR(C335=TRUE,C335=""""),VLOOKUP(G335,IMPORTRANGE(""https://docs.google.com/spreadsheets/d/1z9A1Wq-kKrhRNG5RS2a2fKpY1wIhSVz2ZNmP2mOl588/edit?usp=sharing"",""REQ VF!E4:H""),4,0),""NO APLICA""),""GENERAR REQ"")"),"NO APLICA")</f>
        <v>NO APLICA</v>
      </c>
      <c r="AC335" s="37" t="str">
        <f>IFERROR(__xludf.DUMMYFUNCTION("IFERROR(QUERY(IMPORTRANGE(""https://docs.google.com/spreadsheets/d/1z9A1Wq-kKrhRNG5RS2a2fKpY1wIhSVz2ZNmP2mOl588/edit?usp=sharing"",""REQ VF!E4:Q""),""SELECT Col10, Col11, Col12 WHERE Col1 = '""&amp;G335&amp;""'"",0),""NO APLICA"")"),"NO APLICA")</f>
        <v>NO APLICA</v>
      </c>
      <c r="AD335" s="37"/>
      <c r="AE335" s="37"/>
      <c r="AF335" s="8"/>
      <c r="AG335" s="13"/>
    </row>
    <row r="336">
      <c r="A336" s="26">
        <v>156.0</v>
      </c>
      <c r="B336" s="26" t="b">
        <v>1</v>
      </c>
      <c r="C336" s="26" t="b">
        <v>1</v>
      </c>
      <c r="D336" s="26" t="s">
        <v>35</v>
      </c>
      <c r="E336" s="26" t="s">
        <v>36</v>
      </c>
      <c r="F336" s="27" t="s">
        <v>1073</v>
      </c>
      <c r="G336" s="39" t="s">
        <v>1078</v>
      </c>
      <c r="H336" s="45" t="s">
        <v>1075</v>
      </c>
      <c r="I336" s="43">
        <f>SUMIFS('Hoja 10'!$O:$O,'Hoja 10'!$F:$F,$G336)</f>
        <v>2</v>
      </c>
      <c r="J336" s="26">
        <f>IFERROR(__xludf.DUMMYFUNCTION("VLOOKUP(G336,IMPORTRANGE(""https://docs.google.com/spreadsheets/d/12RxCea4e5ggM7QGn1XE3FbLQa_-QbCNdBi90OdPjRqg/edit?gid=1692403370#gid=1692403370"", ""'Plan de Compras'!D4:2432""), 8,0)"),2.0)</f>
        <v>2</v>
      </c>
      <c r="K336" s="26" t="str">
        <f t="shared" si="1"/>
        <v>SI</v>
      </c>
      <c r="L336" s="29" t="s">
        <v>296</v>
      </c>
      <c r="M336" s="30" t="s">
        <v>297</v>
      </c>
      <c r="N336" s="70"/>
      <c r="O336" s="32" t="str">
        <f>VLOOKUP($G336,'Hoja 10'!$F$4:$AA478, 19,0)</f>
        <v>UNI-T</v>
      </c>
      <c r="P336" s="32" t="str">
        <f>VLOOKUP($G336,'Hoja 10'!$F$4:$AA478, 20,0)</f>
        <v>UT61E+</v>
      </c>
      <c r="Q336" s="33" t="str">
        <f>VLOOKUP($G336,'Hoja 10'!$F$4:$AA478, 21,0)</f>
        <v>https://meters.uni-trend.com/product/ut61plus-series/</v>
      </c>
      <c r="R336" s="30" t="s">
        <v>1079</v>
      </c>
      <c r="S336" s="34" t="b">
        <v>1</v>
      </c>
      <c r="T336" s="35" t="str">
        <f>IFERROR(__xludf.DUMMYFUNCTION(" IF
( VLOOKUP($G336,IMPORTRANGE(""https://docs.google.com/spreadsheets/d/1Gpl6jkTg7sL4VDNimUm3S9Vi1i95esohXCF3wuKOE8c"", ""'CONSOLIDADO'!G5:AB""), 10, 0) &lt;&gt; 0, 
IFERROR(VLOOKUP($G336,IMPORTRANGE(""https://docs.google.com/spreadsheets/d/1Gpl6jkTg7sL4VDNimU"&amp;"m3S9Vi1i95esohXCF3wuKOE8c"", ""'CONSOLIDADO'!G5:AB""), 17, 0), ""-""),
""""
)"),"UNI-T")</f>
        <v>UNI-T</v>
      </c>
      <c r="U336" s="35" t="str">
        <f>IFERROR(__xludf.DUMMYFUNCTION(" IF
( VLOOKUP($G336,IMPORTRANGE(""https://docs.google.com/spreadsheets/d/1Gpl6jkTg7sL4VDNimUm3S9Vi1i95esohXCF3wuKOE8c"", ""'CONSOLIDADO'!G5:AB""), 10, 0) &lt;&gt; 0, 
IFERROR(VLOOKUP($G336,IMPORTRANGE(""https://docs.google.com/spreadsheets/d/1Gpl6jkTg7sL4VDNimU"&amp;"m3S9Vi1i95esohXCF3wuKOE8c"", ""'CONSOLIDADO'!G5:AB""), 18, 0), ""-""),
""""
)"),"UT61E+")</f>
        <v>UT61E+</v>
      </c>
      <c r="V336" s="36" t="str">
        <f>IFERROR(__xludf.DUMMYFUNCTION(" IF
( VLOOKUP($G336,IMPORTRANGE(""https://docs.google.com/spreadsheets/d/1Gpl6jkTg7sL4VDNimUm3S9Vi1i95esohXCF3wuKOE8c"", ""'CONSOLIDADO'!G5:AB""), 10, 0) &lt;&gt; 0, 
IFERROR(VLOOKUP($G336,IMPORTRANGE(""https://docs.google.com/spreadsheets/d/1Gpl6jkTg7sL4VDNimU"&amp;"m3S9Vi1i95esohXCF3wuKOE8c"", ""'CONSOLIDADO'!G5:AB""), 19, 0), ""-""),
""""
)"),"https://meters.uni-trend.com/product/ut61plus-series/")</f>
        <v>https://meters.uni-trend.com/product/ut61plus-series/</v>
      </c>
      <c r="W336" s="37" t="str">
        <f>IFERROR(__xludf.DUMMYFUNCTION("IFERROR(VLOOKUP(G336,IMPORTRANGE(""https://docs.google.com/spreadsheets/d/12RxCea4e5ggM7QGn1XE3FbLQa_-QbCNdBi90OdPjRqg"", ""'Plan de Compras'!D4:Q""), 12, 0), ""NO ESTÁ EN REQ"")"),"Técnica")</f>
        <v>Técnica</v>
      </c>
      <c r="X336" s="37" t="str">
        <f>IFERROR(__xludf.DUMMYFUNCTION("IFERROR(VLOOKUP(G336,IMPORTRANGE(""https://docs.google.com/spreadsheets/d/12RxCea4e5ggM7QGn1XE3FbLQa_-QbCNdBi90OdPjRqg"", ""'Plan de Compras'!D4:Q""), 13, 0), """")"),"INTERNACIONAL")</f>
        <v>INTERNACIONAL</v>
      </c>
      <c r="Y336" s="32" t="str">
        <f>IFERROR(__xludf.DUMMYFUNCTION("IFERROR(VLOOKUP(G336,IMPORTRANGE(""https://docs.google.com/spreadsheets/d/12RxCea4e5ggM7QGn1XE3FbLQa_-QbCNdBi90OdPjRqg"", ""'Plan de Compras'!D4:Q""), 14, 0), """")"),"GEYDI")</f>
        <v>GEYDI</v>
      </c>
      <c r="Z336" s="38" t="str">
        <f>IFERROR(__xludf.DUMMYFUNCTION("IFERROR(VLOOKUP(G336,IMPORTRANGE(""https://docs.google.com/spreadsheets/d/12RxCea4e5ggM7QGn1XE3FbLQa_-QbCNdBi90OdPjRqg"", ""'Plan de Compras'!D4:Q""), 4, 0), """")"),"MULTITESTER")</f>
        <v>MULTITESTER</v>
      </c>
      <c r="AA336" s="38" t="str">
        <f t="shared" si="16"/>
        <v>TRUE</v>
      </c>
      <c r="AB336" s="37" t="str">
        <f>IFERROR(__xludf.DUMMYFUNCTION("IFERROR(IF(OR(C336=TRUE,C336=""""),VLOOKUP(G336,IMPORTRANGE(""https://docs.google.com/spreadsheets/d/1z9A1Wq-kKrhRNG5RS2a2fKpY1wIhSVz2ZNmP2mOl588/edit?usp=sharing"",""REQ VF!E4:H""),4,0),""NO APLICA""),""GENERAR REQ"")"),"GENERAR REQ")</f>
        <v>GENERAR REQ</v>
      </c>
      <c r="AC336" s="37" t="str">
        <f>IFERROR(__xludf.DUMMYFUNCTION("IFERROR(QUERY(IMPORTRANGE(""https://docs.google.com/spreadsheets/d/1z9A1Wq-kKrhRNG5RS2a2fKpY1wIhSVz2ZNmP2mOl588/edit?usp=sharing"",""REQ VF!E4:Q""),""SELECT Col10, Col11, Col12 WHERE Col1 = '""&amp;G336&amp;""'"",0),""NO APLICA"")"),"NO APLICA")</f>
        <v>NO APLICA</v>
      </c>
      <c r="AD336" s="37"/>
      <c r="AE336" s="37"/>
      <c r="AF336" s="8" t="s">
        <v>52</v>
      </c>
      <c r="AG336" s="13"/>
    </row>
    <row r="337">
      <c r="A337" s="26"/>
      <c r="B337" s="26" t="b">
        <v>0</v>
      </c>
      <c r="C337" s="26" t="b">
        <v>0</v>
      </c>
      <c r="D337" s="60" t="s">
        <v>42</v>
      </c>
      <c r="E337" s="60" t="s">
        <v>36</v>
      </c>
      <c r="F337" s="27" t="s">
        <v>1073</v>
      </c>
      <c r="G337" s="73" t="s">
        <v>1080</v>
      </c>
      <c r="H337" s="74" t="s">
        <v>1056</v>
      </c>
      <c r="I337" s="75">
        <f>1*I336</f>
        <v>2</v>
      </c>
      <c r="J337" s="26" t="str">
        <f>IFERROR(__xludf.DUMMYFUNCTION("VLOOKUP(G337,IMPORTRANGE(""https://docs.google.com/spreadsheets/d/12RxCea4e5ggM7QGn1XE3FbLQa_-QbCNdBi90OdPjRqg/edit?gid=1692403370#gid=1692403370"", ""'Plan de Compras'!D4:2432""), 8,0)"),"#N/A")</f>
        <v>#N/A</v>
      </c>
      <c r="K337" s="26" t="str">
        <f t="shared" si="1"/>
        <v>-</v>
      </c>
      <c r="L337" s="29"/>
      <c r="M337" s="61"/>
      <c r="N337" s="42"/>
      <c r="O337" s="32"/>
      <c r="P337" s="32"/>
      <c r="Q337" s="41"/>
      <c r="R337" s="61"/>
      <c r="S337" s="34" t="b">
        <v>0</v>
      </c>
      <c r="T337" s="35"/>
      <c r="U337" s="35"/>
      <c r="V337" s="35"/>
      <c r="W337" s="37"/>
      <c r="X337" s="37"/>
      <c r="Y337" s="32"/>
      <c r="Z337" s="38"/>
      <c r="AA337" s="38" t="str">
        <f t="shared" si="16"/>
        <v>FALSE</v>
      </c>
      <c r="AB337" s="37" t="str">
        <f>IFERROR(__xludf.DUMMYFUNCTION("IFERROR(IF(OR(C337=TRUE,C337=""""),VLOOKUP(G337,IMPORTRANGE(""https://docs.google.com/spreadsheets/d/1z9A1Wq-kKrhRNG5RS2a2fKpY1wIhSVz2ZNmP2mOl588/edit?usp=sharing"",""REQ VF!E4:H""),4,0),""NO APLICA""),""GENERAR REQ"")"),"NO APLICA")</f>
        <v>NO APLICA</v>
      </c>
      <c r="AC337" s="37" t="str">
        <f>IFERROR(__xludf.DUMMYFUNCTION("IFERROR(QUERY(IMPORTRANGE(""https://docs.google.com/spreadsheets/d/1z9A1Wq-kKrhRNG5RS2a2fKpY1wIhSVz2ZNmP2mOl588/edit?usp=sharing"",""REQ VF!E4:Q""),""SELECT Col10, Col11, Col12 WHERE Col1 = '""&amp;G337&amp;""'"",0),""NO APLICA"")"),"NO APLICA")</f>
        <v>NO APLICA</v>
      </c>
      <c r="AD337" s="37"/>
      <c r="AE337" s="37"/>
      <c r="AF337" s="13"/>
      <c r="AG337" s="13"/>
    </row>
    <row r="338">
      <c r="A338" s="26">
        <v>157.0</v>
      </c>
      <c r="B338" s="26" t="b">
        <v>1</v>
      </c>
      <c r="C338" s="26" t="b">
        <v>1</v>
      </c>
      <c r="D338" s="26" t="s">
        <v>35</v>
      </c>
      <c r="E338" s="26" t="s">
        <v>36</v>
      </c>
      <c r="F338" s="27" t="s">
        <v>1081</v>
      </c>
      <c r="G338" s="39" t="s">
        <v>1081</v>
      </c>
      <c r="H338" s="45" t="s">
        <v>1082</v>
      </c>
      <c r="I338" s="43">
        <f>SUMIFS('Hoja 10'!$O:$O,'Hoja 10'!$F:$F,$G338)</f>
        <v>8</v>
      </c>
      <c r="J338" s="26">
        <f>IFERROR(__xludf.DUMMYFUNCTION("VLOOKUP(G338,IMPORTRANGE(""https://docs.google.com/spreadsheets/d/12RxCea4e5ggM7QGn1XE3FbLQa_-QbCNdBi90OdPjRqg/edit?gid=1692403370#gid=1692403370"", ""'Plan de Compras'!D4:2432""), 8,0)"),8.0)</f>
        <v>8</v>
      </c>
      <c r="K338" s="26" t="str">
        <f t="shared" si="1"/>
        <v>SI</v>
      </c>
      <c r="L338" s="29" t="s">
        <v>39</v>
      </c>
      <c r="M338" s="30" t="s">
        <v>40</v>
      </c>
      <c r="N338" s="42"/>
      <c r="O338" s="32" t="str">
        <f>VLOOKUP($G338,'Hoja 10'!$F$4:$AA478, 19,0)</f>
        <v>OSTER</v>
      </c>
      <c r="P338" s="32" t="str">
        <f>VLOOKUP($G338,'Hoja 10'!$F$4:$AA478, 20,0)</f>
        <v>4793-013</v>
      </c>
      <c r="Q338" s="33" t="str">
        <f>VLOOKUP($G338,'Hoja 10'!$F$4:$AA478, 21,0)</f>
        <v>https://lavictoria.ec/producto/olla-de-presion-de-9-litros-oster-4793/?srsltid=AfmBOorjdgupuTEsjSuwHJJadiC_CWMCEgb_79M8Bqoja5csSlGeQ1d9</v>
      </c>
      <c r="R338" s="30" t="s">
        <v>1083</v>
      </c>
      <c r="S338" s="34" t="b">
        <v>1</v>
      </c>
      <c r="T338" s="35" t="str">
        <f>IFERROR(__xludf.DUMMYFUNCTION(" IF
( VLOOKUP($G338,IMPORTRANGE(""https://docs.google.com/spreadsheets/d/1Gpl6jkTg7sL4VDNimUm3S9Vi1i95esohXCF3wuKOE8c"", ""'CONSOLIDADO'!G5:AB""), 10, 0) &lt;&gt; 0, 
IFERROR(VLOOKUP($G338,IMPORTRANGE(""https://docs.google.com/spreadsheets/d/1Gpl6jkTg7sL4VDNimU"&amp;"m3S9Vi1i95esohXCF3wuKOE8c"", ""'CONSOLIDADO'!G5:AB""), 17, 0), ""-""),
""""
)"),"OSTER")</f>
        <v>OSTER</v>
      </c>
      <c r="U338" s="35" t="str">
        <f>IFERROR(__xludf.DUMMYFUNCTION(" IF
( VLOOKUP($G338,IMPORTRANGE(""https://docs.google.com/spreadsheets/d/1Gpl6jkTg7sL4VDNimUm3S9Vi1i95esohXCF3wuKOE8c"", ""'CONSOLIDADO'!G5:AB""), 10, 0) &lt;&gt; 0, 
IFERROR(VLOOKUP($G338,IMPORTRANGE(""https://docs.google.com/spreadsheets/d/1Gpl6jkTg7sL4VDNimU"&amp;"m3S9Vi1i95esohXCF3wuKOE8c"", ""'CONSOLIDADO'!G5:AB""), 18, 0), ""-""),
""""
)"),"CKSTPC4693")</f>
        <v>CKSTPC4693</v>
      </c>
      <c r="V338" s="36" t="str">
        <f>IFERROR(__xludf.DUMMYFUNCTION(" IF
( VLOOKUP($G338,IMPORTRANGE(""https://docs.google.com/spreadsheets/d/1Gpl6jkTg7sL4VDNimUm3S9Vi1i95esohXCF3wuKOE8c"", ""'CONSOLIDADO'!G5:AB""), 10, 0) &lt;&gt; 0, 
IFERROR(VLOOKUP($G338,IMPORTRANGE(""https://docs.google.com/spreadsheets/d/1Gpl6jkTg7sL4VDNimU"&amp;"m3S9Vi1i95esohXCF3wuKOE8c"", ""'CONSOLIDADO'!G5:AB""), 19, 0), ""-""),
""""
)"),"https://lavictoria.ec/producto/olla-de-presion-de-9-litros-oster-4793/?srsltid=AfmBOorjdgupuTEsjSuwHJJadiC_CWMCEgb_79M8Bqoja5csSlGeQ1d9")</f>
        <v>https://lavictoria.ec/producto/olla-de-presion-de-9-litros-oster-4793/?srsltid=AfmBOorjdgupuTEsjSuwHJJadiC_CWMCEgb_79M8Bqoja5csSlGeQ1d9</v>
      </c>
      <c r="W338" s="37" t="str">
        <f>IFERROR(__xludf.DUMMYFUNCTION("IFERROR(VLOOKUP(G338,IMPORTRANGE(""https://docs.google.com/spreadsheets/d/12RxCea4e5ggM7QGn1XE3FbLQa_-QbCNdBi90OdPjRqg"", ""'Plan de Compras'!D4:Q""), 12, 0), ""NO ESTÁ EN REQ"")"),"Técnica")</f>
        <v>Técnica</v>
      </c>
      <c r="X338" s="37" t="str">
        <f>IFERROR(__xludf.DUMMYFUNCTION("IFERROR(VLOOKUP(G338,IMPORTRANGE(""https://docs.google.com/spreadsheets/d/12RxCea4e5ggM7QGn1XE3FbLQa_-QbCNdBi90OdPjRqg"", ""'Plan de Compras'!D4:Q""), 13, 0), """")"),"NACIONAL")</f>
        <v>NACIONAL</v>
      </c>
      <c r="Y338" s="32" t="str">
        <f>IFERROR(__xludf.DUMMYFUNCTION("IFERROR(VLOOKUP(G338,IMPORTRANGE(""https://docs.google.com/spreadsheets/d/12RxCea4e5ggM7QGn1XE3FbLQa_-QbCNdBi90OdPjRqg"", ""'Plan de Compras'!D4:Q""), 14, 0), """")"),"JESSICA")</f>
        <v>JESSICA</v>
      </c>
      <c r="Z338" s="38" t="str">
        <f>IFERROR(__xludf.DUMMYFUNCTION("IFERROR(VLOOKUP(G338,IMPORTRANGE(""https://docs.google.com/spreadsheets/d/12RxCea4e5ggM7QGn1XE3FbLQa_-QbCNdBi90OdPjRqg"", ""'Plan de Compras'!D4:Q""), 4, 0), """")"),"OLLA A PRESIÓN 9 LITROS")</f>
        <v>OLLA A PRESIÓN 9 LITROS</v>
      </c>
      <c r="AA338" s="38" t="str">
        <f t="shared" si="16"/>
        <v>TRUE</v>
      </c>
      <c r="AB338" s="37" t="str">
        <f>IFERROR(__xludf.DUMMYFUNCTION("IFERROR(IF(OR(C338=TRUE,C338=""""),VLOOKUP(G338,IMPORTRANGE(""https://docs.google.com/spreadsheets/d/1z9A1Wq-kKrhRNG5RS2a2fKpY1wIhSVz2ZNmP2mOl588/edit?usp=sharing"",""REQ VF!E4:H""),4,0),""NO APLICA""),""GENERAR REQ"")"),"GENERAR REQ")</f>
        <v>GENERAR REQ</v>
      </c>
      <c r="AC338" s="37" t="str">
        <f>IFERROR(__xludf.DUMMYFUNCTION("IFERROR(QUERY(IMPORTRANGE(""https://docs.google.com/spreadsheets/d/1z9A1Wq-kKrhRNG5RS2a2fKpY1wIhSVz2ZNmP2mOl588/edit?usp=sharing"",""REQ VF!E4:Q""),""SELECT Col10, Col11, Col12 WHERE Col1 = '""&amp;G338&amp;""'"",0),""NO APLICA"")"),"NO APLICA")</f>
        <v>NO APLICA</v>
      </c>
      <c r="AD338" s="37"/>
      <c r="AE338" s="37"/>
      <c r="AF338" s="13"/>
      <c r="AG338" s="13"/>
    </row>
    <row r="339">
      <c r="A339" s="26">
        <v>158.0</v>
      </c>
      <c r="B339" s="26" t="b">
        <v>1</v>
      </c>
      <c r="C339" s="26" t="b">
        <v>1</v>
      </c>
      <c r="D339" s="26" t="s">
        <v>35</v>
      </c>
      <c r="E339" s="26" t="s">
        <v>36</v>
      </c>
      <c r="F339" s="27" t="s">
        <v>1084</v>
      </c>
      <c r="G339" s="39" t="s">
        <v>1084</v>
      </c>
      <c r="H339" s="45" t="s">
        <v>1085</v>
      </c>
      <c r="I339" s="43">
        <f>SUMIFS('Hoja 10'!$O:$O,'Hoja 10'!$F:$F,$G339)</f>
        <v>4</v>
      </c>
      <c r="J339" s="26">
        <f>IFERROR(__xludf.DUMMYFUNCTION("VLOOKUP(G339,IMPORTRANGE(""https://docs.google.com/spreadsheets/d/12RxCea4e5ggM7QGn1XE3FbLQa_-QbCNdBi90OdPjRqg/edit?gid=1692403370#gid=1692403370"", ""'Plan de Compras'!D4:2432""), 8,0)"),4.0)</f>
        <v>4</v>
      </c>
      <c r="K339" s="26" t="str">
        <f t="shared" si="1"/>
        <v>SI</v>
      </c>
      <c r="L339" s="29" t="s">
        <v>77</v>
      </c>
      <c r="M339" s="30" t="s">
        <v>78</v>
      </c>
      <c r="N339" s="42"/>
      <c r="O339" s="32" t="str">
        <f>VLOOKUP($G339,'Hoja 10'!$F$4:$AA478, 19,0)</f>
        <v>THOMAS</v>
      </c>
      <c r="P339" s="32" t="str">
        <f>VLOOKUP($G339,'Hoja 10'!$F$4:$AA478, 20,0)</f>
        <v>TH-45P</v>
      </c>
      <c r="Q339" s="33" t="str">
        <f>VLOOKUP($G339,'Hoja 10'!$F$4:$AA478, 21,0)</f>
        <v>https://www.thomas.com.pe/thomaspe/olla-th-45p.html?srsltid=AfmBOopEU_oBNR6bPTretuKfqyJtcV1RPlYQblsWPXwSYZrJazarDUG2</v>
      </c>
      <c r="R339" s="30" t="s">
        <v>1086</v>
      </c>
      <c r="S339" s="34" t="b">
        <v>1</v>
      </c>
      <c r="T339" s="35" t="s">
        <v>1087</v>
      </c>
      <c r="U339" s="35" t="s">
        <v>1088</v>
      </c>
      <c r="V339" s="36" t="s">
        <v>1089</v>
      </c>
      <c r="W339" s="37" t="str">
        <f>IFERROR(__xludf.DUMMYFUNCTION("IFERROR(VLOOKUP(G339,IMPORTRANGE(""https://docs.google.com/spreadsheets/d/12RxCea4e5ggM7QGn1XE3FbLQa_-QbCNdBi90OdPjRqg"", ""'Plan de Compras'!D4:Q""), 12, 0), ""NO ESTÁ EN REQ"")"),"Simple")</f>
        <v>Simple</v>
      </c>
      <c r="X339" s="37" t="str">
        <f>IFERROR(__xludf.DUMMYFUNCTION("IFERROR(VLOOKUP(G339,IMPORTRANGE(""https://docs.google.com/spreadsheets/d/12RxCea4e5ggM7QGn1XE3FbLQa_-QbCNdBi90OdPjRqg"", ""'Plan de Compras'!D4:Q""), 13, 0), """")"),"NACIONAL")</f>
        <v>NACIONAL</v>
      </c>
      <c r="Y339" s="32" t="str">
        <f>IFERROR(__xludf.DUMMYFUNCTION("IFERROR(VLOOKUP(G339,IMPORTRANGE(""https://docs.google.com/spreadsheets/d/12RxCea4e5ggM7QGn1XE3FbLQa_-QbCNdBi90OdPjRqg"", ""'Plan de Compras'!D4:Q""), 14, 0), """")"),"JESSICA")</f>
        <v>JESSICA</v>
      </c>
      <c r="Z339" s="38" t="str">
        <f>IFERROR(__xludf.DUMMYFUNCTION("IFERROR(VLOOKUP(G339,IMPORTRANGE(""https://docs.google.com/spreadsheets/d/12RxCea4e5ggM7QGn1XE3FbLQa_-QbCNdBi90OdPjRqg"", ""'Plan de Compras'!D4:Q""), 4, 0), """")"),"OLLA ARROCERA")</f>
        <v>OLLA ARROCERA</v>
      </c>
      <c r="AA339" s="38" t="str">
        <f t="shared" si="16"/>
        <v>TRUE</v>
      </c>
      <c r="AB339" s="37" t="str">
        <f>IFERROR(__xludf.DUMMYFUNCTION("IFERROR(IF(OR(C339=TRUE,C339=""""),VLOOKUP(G339,IMPORTRANGE(""https://docs.google.com/spreadsheets/d/1z9A1Wq-kKrhRNG5RS2a2fKpY1wIhSVz2ZNmP2mOl588/edit?usp=sharing"",""REQ VF!E4:H""),4,0),""NO APLICA""),""GENERAR REQ"")"),"GENERAR REQ")</f>
        <v>GENERAR REQ</v>
      </c>
      <c r="AC339" s="37" t="str">
        <f>IFERROR(__xludf.DUMMYFUNCTION("IFERROR(QUERY(IMPORTRANGE(""https://docs.google.com/spreadsheets/d/1z9A1Wq-kKrhRNG5RS2a2fKpY1wIhSVz2ZNmP2mOl588/edit?usp=sharing"",""REQ VF!E4:Q""),""SELECT Col10, Col11, Col12 WHERE Col1 = '""&amp;G339&amp;""'"",0),""NO APLICA"")"),"NO APLICA")</f>
        <v>NO APLICA</v>
      </c>
      <c r="AD339" s="37"/>
      <c r="AE339" s="37"/>
      <c r="AF339" s="8" t="s">
        <v>52</v>
      </c>
      <c r="AG339" s="13"/>
    </row>
    <row r="340">
      <c r="A340" s="26"/>
      <c r="B340" s="26"/>
      <c r="C340" s="26" t="b">
        <v>1</v>
      </c>
      <c r="D340" s="26" t="s">
        <v>42</v>
      </c>
      <c r="E340" s="26" t="s">
        <v>36</v>
      </c>
      <c r="F340" s="27" t="s">
        <v>1084</v>
      </c>
      <c r="G340" s="39" t="s">
        <v>1090</v>
      </c>
      <c r="H340" s="40" t="s">
        <v>1091</v>
      </c>
      <c r="I340" s="43">
        <f t="shared" ref="I340:I341" si="30">$I$339</f>
        <v>4</v>
      </c>
      <c r="J340" s="26">
        <f>IFERROR(__xludf.DUMMYFUNCTION("VLOOKUP(G340,IMPORTRANGE(""https://docs.google.com/spreadsheets/d/12RxCea4e5ggM7QGn1XE3FbLQa_-QbCNdBi90OdPjRqg/edit?gid=1692403370#gid=1692403370"", ""'Plan de Compras'!D4:2432""), 8,0)"),4.0)</f>
        <v>4</v>
      </c>
      <c r="K340" s="26" t="str">
        <f t="shared" si="1"/>
        <v>SI</v>
      </c>
      <c r="L340" s="26"/>
      <c r="M340" s="61"/>
      <c r="N340" s="42"/>
      <c r="O340" s="32"/>
      <c r="P340" s="32"/>
      <c r="Q340" s="41"/>
      <c r="R340" s="32"/>
      <c r="S340" s="44" t="b">
        <v>0</v>
      </c>
      <c r="T340" s="72"/>
      <c r="U340" s="72"/>
      <c r="V340" s="44"/>
      <c r="W340" s="37" t="str">
        <f>IFERROR(__xludf.DUMMYFUNCTION("IFERROR(VLOOKUP(G340,IMPORTRANGE(""https://docs.google.com/spreadsheets/d/12RxCea4e5ggM7QGn1XE3FbLQa_-QbCNdBi90OdPjRqg"", ""'Plan de Compras'!D4:Q""), 12, 0), ""NO ESTÁ EN REQ"")"),"Simple")</f>
        <v>Simple</v>
      </c>
      <c r="X340" s="37" t="str">
        <f>IFERROR(__xludf.DUMMYFUNCTION("IFERROR(VLOOKUP(G340,IMPORTRANGE(""https://docs.google.com/spreadsheets/d/12RxCea4e5ggM7QGn1XE3FbLQa_-QbCNdBi90OdPjRqg"", ""'Plan de Compras'!D4:Q""), 13, 0), """")"),"INTERNACIONAL")</f>
        <v>INTERNACIONAL</v>
      </c>
      <c r="Y340" s="32" t="str">
        <f>IFERROR(__xludf.DUMMYFUNCTION("IFERROR(VLOOKUP(G340,IMPORTRANGE(""https://docs.google.com/spreadsheets/d/12RxCea4e5ggM7QGn1XE3FbLQa_-QbCNdBi90OdPjRqg"", ""'Plan de Compras'!D4:Q""), 14, 0), """")"),"VICTOR/ JIMENA")</f>
        <v>VICTOR/ JIMENA</v>
      </c>
      <c r="Z340" s="38" t="str">
        <f>IFERROR(__xludf.DUMMYFUNCTION("IFERROR(VLOOKUP(G340,IMPORTRANGE(""https://docs.google.com/spreadsheets/d/12RxCea4e5ggM7QGn1XE3FbLQa_-QbCNdBi90OdPjRqg"", ""'Plan de Compras'!D4:Q""), 4, 0), """")"),"REMO (1 UND)")</f>
        <v>REMO (1 UND)</v>
      </c>
      <c r="AA340" s="38" t="str">
        <f t="shared" si="16"/>
        <v>TRUE</v>
      </c>
      <c r="AB340" s="37" t="str">
        <f>IFERROR(__xludf.DUMMYFUNCTION("IFERROR(IF(OR(C340=TRUE,C340=""""),VLOOKUP(G340,IMPORTRANGE(""https://docs.google.com/spreadsheets/d/1z9A1Wq-kKrhRNG5RS2a2fKpY1wIhSVz2ZNmP2mOl588/edit?usp=sharing"",""REQ VF!E4:H""),4,0),""NO APLICA""),""GENERAR REQ"")"),"GENERAR REQ")</f>
        <v>GENERAR REQ</v>
      </c>
      <c r="AC340" s="37" t="str">
        <f>IFERROR(__xludf.DUMMYFUNCTION("IFERROR(QUERY(IMPORTRANGE(""https://docs.google.com/spreadsheets/d/1z9A1Wq-kKrhRNG5RS2a2fKpY1wIhSVz2ZNmP2mOl588/edit?usp=sharing"",""REQ VF!E4:Q""),""SELECT Col10, Col11, Col12 WHERE Col1 = '""&amp;G340&amp;""'"",0),""NO APLICA"")"),"NO APLICA")</f>
        <v>NO APLICA</v>
      </c>
      <c r="AD340" s="37"/>
      <c r="AE340" s="37"/>
      <c r="AF340" s="13"/>
      <c r="AG340" s="13"/>
    </row>
    <row r="341">
      <c r="A341" s="26"/>
      <c r="B341" s="26"/>
      <c r="C341" s="26" t="b">
        <v>1</v>
      </c>
      <c r="D341" s="26" t="s">
        <v>42</v>
      </c>
      <c r="E341" s="26" t="s">
        <v>36</v>
      </c>
      <c r="F341" s="27" t="s">
        <v>1084</v>
      </c>
      <c r="G341" s="39" t="s">
        <v>1092</v>
      </c>
      <c r="H341" s="40" t="s">
        <v>1093</v>
      </c>
      <c r="I341" s="43">
        <f t="shared" si="30"/>
        <v>4</v>
      </c>
      <c r="J341" s="26">
        <f>IFERROR(__xludf.DUMMYFUNCTION("VLOOKUP(G341,IMPORTRANGE(""https://docs.google.com/spreadsheets/d/12RxCea4e5ggM7QGn1XE3FbLQa_-QbCNdBi90OdPjRqg/edit?gid=1692403370#gid=1692403370"", ""'Plan de Compras'!D4:2432""), 8,0)"),4.0)</f>
        <v>4</v>
      </c>
      <c r="K341" s="26" t="str">
        <f t="shared" si="1"/>
        <v>SI</v>
      </c>
      <c r="L341" s="26"/>
      <c r="M341" s="61"/>
      <c r="N341" s="42"/>
      <c r="O341" s="32"/>
      <c r="P341" s="32"/>
      <c r="Q341" s="41"/>
      <c r="R341" s="32"/>
      <c r="S341" s="44" t="b">
        <v>0</v>
      </c>
      <c r="T341" s="72"/>
      <c r="U341" s="72"/>
      <c r="V341" s="44"/>
      <c r="W341" s="37" t="str">
        <f>IFERROR(__xludf.DUMMYFUNCTION("IFERROR(VLOOKUP(G341,IMPORTRANGE(""https://docs.google.com/spreadsheets/d/12RxCea4e5ggM7QGn1XE3FbLQa_-QbCNdBi90OdPjRqg"", ""'Plan de Compras'!D4:Q""), 12, 0), ""NO ESTÁ EN REQ"")"),"Simple")</f>
        <v>Simple</v>
      </c>
      <c r="X341" s="37" t="str">
        <f>IFERROR(__xludf.DUMMYFUNCTION("IFERROR(VLOOKUP(G341,IMPORTRANGE(""https://docs.google.com/spreadsheets/d/12RxCea4e5ggM7QGn1XE3FbLQa_-QbCNdBi90OdPjRqg"", ""'Plan de Compras'!D4:Q""), 13, 0), """")"),"NACIONAL")</f>
        <v>NACIONAL</v>
      </c>
      <c r="Y341" s="32" t="str">
        <f>IFERROR(__xludf.DUMMYFUNCTION("IFERROR(VLOOKUP(G341,IMPORTRANGE(""https://docs.google.com/spreadsheets/d/12RxCea4e5ggM7QGn1XE3FbLQa_-QbCNdBi90OdPjRqg"", ""'Plan de Compras'!D4:Q""), 14, 0), """")"),"JESSICA")</f>
        <v>JESSICA</v>
      </c>
      <c r="Z341" s="38" t="str">
        <f>IFERROR(__xludf.DUMMYFUNCTION("IFERROR(VLOOKUP(G341,IMPORTRANGE(""https://docs.google.com/spreadsheets/d/12RxCea4e5ggM7QGn1XE3FbLQa_-QbCNdBi90OdPjRqg"", ""'Plan de Compras'!D4:Q""), 4, 0), """")"),"VAPORERA DE BAMBÚ (1 UND)")</f>
        <v>VAPORERA DE BAMBÚ (1 UND)</v>
      </c>
      <c r="AA341" s="38" t="str">
        <f t="shared" si="16"/>
        <v>TRUE</v>
      </c>
      <c r="AB341" s="37" t="str">
        <f>IFERROR(__xludf.DUMMYFUNCTION("IFERROR(IF(OR(C341=TRUE,C341=""""),VLOOKUP(G341,IMPORTRANGE(""https://docs.google.com/spreadsheets/d/1z9A1Wq-kKrhRNG5RS2a2fKpY1wIhSVz2ZNmP2mOl588/edit?usp=sharing"",""REQ VF!E4:H""),4,0),""NO APLICA""),""GENERAR REQ"")"),"GENERAR REQ")</f>
        <v>GENERAR REQ</v>
      </c>
      <c r="AC341" s="37" t="str">
        <f>IFERROR(__xludf.DUMMYFUNCTION("IFERROR(QUERY(IMPORTRANGE(""https://docs.google.com/spreadsheets/d/1z9A1Wq-kKrhRNG5RS2a2fKpY1wIhSVz2ZNmP2mOl588/edit?usp=sharing"",""REQ VF!E4:Q""),""SELECT Col10, Col11, Col12 WHERE Col1 = '""&amp;G341&amp;""'"",0),""NO APLICA"")"),"NO APLICA")</f>
        <v>NO APLICA</v>
      </c>
      <c r="AD341" s="37"/>
      <c r="AE341" s="37"/>
      <c r="AF341" s="13"/>
      <c r="AG341" s="13"/>
    </row>
    <row r="342">
      <c r="A342" s="26">
        <v>159.0</v>
      </c>
      <c r="B342" s="26" t="b">
        <v>1</v>
      </c>
      <c r="C342" s="26" t="b">
        <v>1</v>
      </c>
      <c r="D342" s="26" t="s">
        <v>35</v>
      </c>
      <c r="E342" s="26" t="s">
        <v>36</v>
      </c>
      <c r="F342" s="27" t="s">
        <v>1094</v>
      </c>
      <c r="G342" s="39" t="s">
        <v>1094</v>
      </c>
      <c r="H342" s="45" t="s">
        <v>1095</v>
      </c>
      <c r="I342" s="43">
        <f>SUMIFS('Hoja 10'!$O:$O,'Hoja 10'!$F:$F,$G342)</f>
        <v>3</v>
      </c>
      <c r="J342" s="26">
        <f>IFERROR(__xludf.DUMMYFUNCTION("VLOOKUP(G342,IMPORTRANGE(""https://docs.google.com/spreadsheets/d/12RxCea4e5ggM7QGn1XE3FbLQa_-QbCNdBi90OdPjRqg/edit?gid=1692403370#gid=1692403370"", ""'Plan de Compras'!D4:2432""), 8,0)"),3.0)</f>
        <v>3</v>
      </c>
      <c r="K342" s="26" t="str">
        <f t="shared" si="1"/>
        <v>SI</v>
      </c>
      <c r="L342" s="29" t="s">
        <v>127</v>
      </c>
      <c r="M342" s="30" t="s">
        <v>105</v>
      </c>
      <c r="N342" s="42"/>
      <c r="O342" s="32" t="str">
        <f>VLOOKUP($G342,'Hoja 10'!$F$4:$AA478, 19,0)</f>
        <v>BRAIN BEE</v>
      </c>
      <c r="P342" s="32" t="str">
        <f>VLOOKUP($G342,'Hoja 10'!$F$4:$AA478, 20,0)</f>
        <v>OPA-100</v>
      </c>
      <c r="Q342" s="33" t="str">
        <f>VLOOKUP($G342,'Hoja 10'!$F$4:$AA478, 21,0)</f>
        <v>https://www.brainbee.mahle.com/media/brainbee/product-lines/emission/depliant/es_brain-bee-emission-line.pdf</v>
      </c>
      <c r="R342" s="30" t="s">
        <v>1096</v>
      </c>
      <c r="S342" s="34" t="b">
        <v>1</v>
      </c>
      <c r="T342" s="35" t="str">
        <f>IFERROR(__xludf.DUMMYFUNCTION(" IF
( VLOOKUP($G342,IMPORTRANGE(""https://docs.google.com/spreadsheets/d/1Gpl6jkTg7sL4VDNimUm3S9Vi1i95esohXCF3wuKOE8c"", ""'CONSOLIDADO'!G5:AB""), 10, 0) &lt;&gt; 0, 
IFERROR(VLOOKUP($G342,IMPORTRANGE(""https://docs.google.com/spreadsheets/d/1Gpl6jkTg7sL4VDNimU"&amp;"m3S9Vi1i95esohXCF3wuKOE8c"", ""'CONSOLIDADO'!G5:AB""), 17, 0), ""-""),
""""
)"),"MAHLE")</f>
        <v>MAHLE</v>
      </c>
      <c r="U342" s="35" t="str">
        <f>IFERROR(__xludf.DUMMYFUNCTION(" IF
( VLOOKUP($G342,IMPORTRANGE(""https://docs.google.com/spreadsheets/d/1Gpl6jkTg7sL4VDNimUm3S9Vi1i95esohXCF3wuKOE8c"", ""'CONSOLIDADO'!G5:AB""), 10, 0) &lt;&gt; 0, 
IFERROR(VLOOKUP($G342,IMPORTRANGE(""https://docs.google.com/spreadsheets/d/1Gpl6jkTg7sL4VDNimU"&amp;"m3S9Vi1i95esohXCF3wuKOE8c"", ""'CONSOLIDADO'!G5:AB""), 18, 0), ""-""),
""""
)"),"DMU 100")</f>
        <v>DMU 100</v>
      </c>
      <c r="V342" s="36" t="str">
        <f>IFERROR(__xludf.DUMMYFUNCTION(" IF
( VLOOKUP($G342,IMPORTRANGE(""https://docs.google.com/spreadsheets/d/1Gpl6jkTg7sL4VDNimUm3S9Vi1i95esohXCF3wuKOE8c"", ""'CONSOLIDADO'!G5:AB""), 10, 0) &lt;&gt; 0, 
IFERROR(VLOOKUP($G342,IMPORTRANGE(""https://docs.google.com/spreadsheets/d/1Gpl6jkTg7sL4VDNimU"&amp;"m3S9Vi1i95esohXCF3wuKOE8c"", ""'CONSOLIDADO'!G5:AB""), 19, 0), ""-""),
""""
)"),"https://www.servicesolutions.mahle.com/eu/es/product-lines/emissionpro/dmu-100/")</f>
        <v>https://www.servicesolutions.mahle.com/eu/es/product-lines/emissionpro/dmu-100/</v>
      </c>
      <c r="W342" s="37" t="str">
        <f>IFERROR(__xludf.DUMMYFUNCTION("IFERROR(VLOOKUP(G342,IMPORTRANGE(""https://docs.google.com/spreadsheets/d/12RxCea4e5ggM7QGn1XE3FbLQa_-QbCNdBi90OdPjRqg"", ""'Plan de Compras'!D4:Q""), 12, 0), ""NO ESTÁ EN REQ"")"),"Técnica")</f>
        <v>Técnica</v>
      </c>
      <c r="X342" s="37" t="str">
        <f>IFERROR(__xludf.DUMMYFUNCTION("IFERROR(VLOOKUP(G342,IMPORTRANGE(""https://docs.google.com/spreadsheets/d/12RxCea4e5ggM7QGn1XE3FbLQa_-QbCNdBi90OdPjRqg"", ""'Plan de Compras'!D4:Q""), 13, 0), """")"),"INTERNACIONAL")</f>
        <v>INTERNACIONAL</v>
      </c>
      <c r="Y342" s="32" t="str">
        <f>IFERROR(__xludf.DUMMYFUNCTION("IFERROR(VLOOKUP(G342,IMPORTRANGE(""https://docs.google.com/spreadsheets/d/12RxCea4e5ggM7QGn1XE3FbLQa_-QbCNdBi90OdPjRqg"", ""'Plan de Compras'!D4:Q""), 14, 0), """")"),"VICTOR")</f>
        <v>VICTOR</v>
      </c>
      <c r="Z342" s="38" t="str">
        <f>IFERROR(__xludf.DUMMYFUNCTION("IFERROR(VLOOKUP(G342,IMPORTRANGE(""https://docs.google.com/spreadsheets/d/12RxCea4e5ggM7QGn1XE3FbLQa_-QbCNdBi90OdPjRqg"", ""'Plan de Compras'!D4:Q""), 4, 0), """")"),"OPACÍMETRO")</f>
        <v>OPACÍMETRO</v>
      </c>
      <c r="AA342" s="38" t="str">
        <f t="shared" si="16"/>
        <v>TRUE</v>
      </c>
      <c r="AB342" s="37" t="str">
        <f>IFERROR(__xludf.DUMMYFUNCTION("IFERROR(IF(OR(C342=TRUE,C342=""""),VLOOKUP(G342,IMPORTRANGE(""https://docs.google.com/spreadsheets/d/1z9A1Wq-kKrhRNG5RS2a2fKpY1wIhSVz2ZNmP2mOl588/edit?usp=sharing"",""REQ VF!E4:H""),4,0),""NO APLICA""),""GENERAR REQ"")"),"GENERAR REQ")</f>
        <v>GENERAR REQ</v>
      </c>
      <c r="AC342" s="37" t="str">
        <f>IFERROR(__xludf.DUMMYFUNCTION("IFERROR(QUERY(IMPORTRANGE(""https://docs.google.com/spreadsheets/d/1z9A1Wq-kKrhRNG5RS2a2fKpY1wIhSVz2ZNmP2mOl588/edit?usp=sharing"",""REQ VF!E4:Q""),""SELECT Col10, Col11, Col12 WHERE Col1 = '""&amp;G342&amp;""'"",0),""NO APLICA"")"),"NO APLICA")</f>
        <v>NO APLICA</v>
      </c>
      <c r="AD342" s="37"/>
      <c r="AE342" s="37"/>
      <c r="AF342" s="8" t="s">
        <v>52</v>
      </c>
      <c r="AG342" s="13"/>
    </row>
    <row r="343">
      <c r="A343" s="26">
        <v>160.0</v>
      </c>
      <c r="B343" s="26" t="b">
        <v>1</v>
      </c>
      <c r="C343" s="26" t="b">
        <v>1</v>
      </c>
      <c r="D343" s="26" t="s">
        <v>35</v>
      </c>
      <c r="E343" s="26" t="s">
        <v>36</v>
      </c>
      <c r="F343" s="27" t="s">
        <v>1097</v>
      </c>
      <c r="G343" s="39" t="s">
        <v>1098</v>
      </c>
      <c r="H343" s="45" t="s">
        <v>1099</v>
      </c>
      <c r="I343" s="43">
        <f>SUMIFS('Hoja 10'!$O:$O,'Hoja 10'!$F:$F,$G343)</f>
        <v>15</v>
      </c>
      <c r="J343" s="26">
        <f>IFERROR(__xludf.DUMMYFUNCTION("VLOOKUP(G343,IMPORTRANGE(""https://docs.google.com/spreadsheets/d/12RxCea4e5ggM7QGn1XE3FbLQa_-QbCNdBi90OdPjRqg/edit?gid=1692403370#gid=1692403370"", ""'Plan de Compras'!D4:2432""), 8,0)"),15.0)</f>
        <v>15</v>
      </c>
      <c r="K343" s="26" t="str">
        <f t="shared" si="1"/>
        <v>SI</v>
      </c>
      <c r="L343" s="29" t="s">
        <v>127</v>
      </c>
      <c r="M343" s="30" t="s">
        <v>105</v>
      </c>
      <c r="N343" s="51"/>
      <c r="O343" s="32" t="str">
        <f>VLOOKUP($G343,'Hoja 10'!$F$4:$AA478, 19,0)</f>
        <v>PeakTech</v>
      </c>
      <c r="P343" s="32" t="str">
        <f>VLOOKUP($G343,'Hoja 10'!$F$4:$AA478, 20,0)</f>
        <v>P-1270</v>
      </c>
      <c r="Q343" s="33" t="str">
        <f>VLOOKUP($G343,'Hoja 10'!$F$4:$AA478, 21,0)</f>
        <v>https://www.inladsac.com/producto/osciloscopio-digital-300mhz-2-canales-peaktech-p-1270/?srsltid=AfmBOop6NmqKkL_XddfuNHqyVGwajh9p81Omw946mCTP4lCwp6QwTC-4</v>
      </c>
      <c r="R343" s="30" t="s">
        <v>1100</v>
      </c>
      <c r="S343" s="34" t="b">
        <v>1</v>
      </c>
      <c r="T343" s="35" t="str">
        <f>IFERROR(__xludf.DUMMYFUNCTION(" IF
( VLOOKUP($G343,IMPORTRANGE(""https://docs.google.com/spreadsheets/d/1Gpl6jkTg7sL4VDNimUm3S9Vi1i95esohXCF3wuKOE8c"", ""'CONSOLIDADO'!G5:AB""), 10, 0) &lt;&gt; 0, 
IFERROR(VLOOKUP($G343,IMPORTRANGE(""https://docs.google.com/spreadsheets/d/1Gpl6jkTg7sL4VDNimU"&amp;"m3S9Vi1i95esohXCF3wuKOE8c"", ""'CONSOLIDADO'!G5:AB""), 17, 0), ""-""),
""""
)"),"OWON")</f>
        <v>OWON</v>
      </c>
      <c r="U343" s="35" t="str">
        <f>IFERROR(__xludf.DUMMYFUNCTION(" IF
( VLOOKUP($G343,IMPORTRANGE(""https://docs.google.com/spreadsheets/d/1Gpl6jkTg7sL4VDNimUm3S9Vi1i95esohXCF3wuKOE8c"", ""'CONSOLIDADO'!G5:AB""), 10, 0) &lt;&gt; 0, 
IFERROR(VLOOKUP($G343,IMPORTRANGE(""https://docs.google.com/spreadsheets/d/1Gpl6jkTg7sL4VDNimU"&amp;"m3S9Vi1i95esohXCF3wuKOE8c"", ""'CONSOLIDADO'!G5:AB""), 18, 0), ""-""),
""""
)"),"ADS3202")</f>
        <v>ADS3202</v>
      </c>
      <c r="V343" s="36" t="str">
        <f>IFERROR(__xludf.DUMMYFUNCTION(" IF
( VLOOKUP($G343,IMPORTRANGE(""https://docs.google.com/spreadsheets/d/1Gpl6jkTg7sL4VDNimUm3S9Vi1i95esohXCF3wuKOE8c"", ""'CONSOLIDADO'!G5:AB""), 10, 0) &lt;&gt; 0, 
IFERROR(VLOOKUP($G343,IMPORTRANGE(""https://docs.google.com/spreadsheets/d/1Gpl6jkTg7sL4VDNimU"&amp;"m3S9Vi1i95esohXCF3wuKOE8c"", ""'CONSOLIDADO'!G5:AB""), 19, 0), ""-""),
""""
)"),"https://www.owon.com.hk/products_ads3000_series_4th-generation_multifunction_digital_oscilloscope")</f>
        <v>https://www.owon.com.hk/products_ads3000_series_4th-generation_multifunction_digital_oscilloscope</v>
      </c>
      <c r="W343" s="37" t="str">
        <f>IFERROR(__xludf.DUMMYFUNCTION("IFERROR(VLOOKUP(G343,IMPORTRANGE(""https://docs.google.com/spreadsheets/d/12RxCea4e5ggM7QGn1XE3FbLQa_-QbCNdBi90OdPjRqg"", ""'Plan de Compras'!D4:Q""), 12, 0), ""NO ESTÁ EN REQ"")"),"Técnica")</f>
        <v>Técnica</v>
      </c>
      <c r="X343" s="37" t="str">
        <f>IFERROR(__xludf.DUMMYFUNCTION("IFERROR(VLOOKUP(G343,IMPORTRANGE(""https://docs.google.com/spreadsheets/d/12RxCea4e5ggM7QGn1XE3FbLQa_-QbCNdBi90OdPjRqg"", ""'Plan de Compras'!D4:Q""), 13, 0), """")"),"INTERNACIONAL")</f>
        <v>INTERNACIONAL</v>
      </c>
      <c r="Y343" s="32" t="str">
        <f>IFERROR(__xludf.DUMMYFUNCTION("IFERROR(VLOOKUP(G343,IMPORTRANGE(""https://docs.google.com/spreadsheets/d/12RxCea4e5ggM7QGn1XE3FbLQa_-QbCNdBi90OdPjRqg"", ""'Plan de Compras'!D4:Q""), 14, 0), """")"),"GEYDI")</f>
        <v>GEYDI</v>
      </c>
      <c r="Z343" s="38" t="str">
        <f>IFERROR(__xludf.DUMMYFUNCTION("IFERROR(VLOOKUP(G343,IMPORTRANGE(""https://docs.google.com/spreadsheets/d/12RxCea4e5ggM7QGn1XE3FbLQa_-QbCNdBi90OdPjRqg"", ""'Plan de Compras'!D4:Q""), 4, 0), """")"),"OSCILOSCOPIO DIGITAL")</f>
        <v>OSCILOSCOPIO DIGITAL</v>
      </c>
      <c r="AA343" s="38" t="str">
        <f t="shared" si="16"/>
        <v>TRUE</v>
      </c>
      <c r="AB343" s="37" t="str">
        <f>IFERROR(__xludf.DUMMYFUNCTION("IFERROR(IF(OR(C343=TRUE,C343=""""),VLOOKUP(G343,IMPORTRANGE(""https://docs.google.com/spreadsheets/d/1z9A1Wq-kKrhRNG5RS2a2fKpY1wIhSVz2ZNmP2mOl588/edit?usp=sharing"",""REQ VF!E4:H""),4,0),""NO APLICA""),""GENERAR REQ"")"),"GENERAR REQ")</f>
        <v>GENERAR REQ</v>
      </c>
      <c r="AC343" s="37" t="str">
        <f>IFERROR(__xludf.DUMMYFUNCTION("IFERROR(QUERY(IMPORTRANGE(""https://docs.google.com/spreadsheets/d/1z9A1Wq-kKrhRNG5RS2a2fKpY1wIhSVz2ZNmP2mOl588/edit?usp=sharing"",""REQ VF!E4:Q""),""SELECT Col10, Col11, Col12 WHERE Col1 = '""&amp;G343&amp;""'"",0),""NO APLICA"")"),"NO APLICA")</f>
        <v>NO APLICA</v>
      </c>
      <c r="AD343" s="37"/>
      <c r="AE343" s="37"/>
      <c r="AF343" s="8" t="s">
        <v>52</v>
      </c>
      <c r="AG343" s="13"/>
    </row>
    <row r="344">
      <c r="A344" s="26">
        <v>161.0</v>
      </c>
      <c r="B344" s="26" t="b">
        <v>1</v>
      </c>
      <c r="C344" s="26" t="b">
        <v>1</v>
      </c>
      <c r="D344" s="26" t="s">
        <v>35</v>
      </c>
      <c r="E344" s="26" t="s">
        <v>36</v>
      </c>
      <c r="F344" s="27" t="s">
        <v>1097</v>
      </c>
      <c r="G344" s="39" t="s">
        <v>1101</v>
      </c>
      <c r="H344" s="45" t="s">
        <v>1099</v>
      </c>
      <c r="I344" s="43">
        <f>SUMIFS('Hoja 10'!$O:$O,'Hoja 10'!$F:$F,$G344)</f>
        <v>12</v>
      </c>
      <c r="J344" s="26">
        <f>IFERROR(__xludf.DUMMYFUNCTION("VLOOKUP(G344,IMPORTRANGE(""https://docs.google.com/spreadsheets/d/12RxCea4e5ggM7QGn1XE3FbLQa_-QbCNdBi90OdPjRqg/edit?gid=1692403370#gid=1692403370"", ""'Plan de Compras'!D4:2432""), 8,0)"),12.0)</f>
        <v>12</v>
      </c>
      <c r="K344" s="26" t="str">
        <f t="shared" si="1"/>
        <v>SI</v>
      </c>
      <c r="L344" s="29" t="s">
        <v>180</v>
      </c>
      <c r="M344" s="30" t="s">
        <v>181</v>
      </c>
      <c r="N344" s="70"/>
      <c r="O344" s="32" t="str">
        <f>VLOOKUP($G344,'Hoja 10'!$F$4:$AA478, 19,0)</f>
        <v>Owon </v>
      </c>
      <c r="P344" s="32" t="str">
        <f>VLOOKUP($G344,'Hoja 10'!$F$4:$AA478, 20,0)</f>
        <v>SDS8201</v>
      </c>
      <c r="Q344" s="33" t="str">
        <f>VLOOKUP($G344,'Hoja 10'!$F$4:$AA478, 21,0)</f>
        <v>https://www.batronix.com/shop/oscilloscopes/Owon-SDS8202.html</v>
      </c>
      <c r="R344" s="30" t="s">
        <v>1102</v>
      </c>
      <c r="S344" s="34" t="b">
        <v>1</v>
      </c>
      <c r="T344" s="35" t="str">
        <f>IFERROR(__xludf.DUMMYFUNCTION(" IF
( VLOOKUP($G344,IMPORTRANGE(""https://docs.google.com/spreadsheets/d/1Gpl6jkTg7sL4VDNimUm3S9Vi1i95esohXCF3wuKOE8c"", ""'CONSOLIDADO'!G5:AB""), 10, 0) &lt;&gt; 0, 
IFERROR(VLOOKUP($G344,IMPORTRANGE(""https://docs.google.com/spreadsheets/d/1Gpl6jkTg7sL4VDNimU"&amp;"m3S9Vi1i95esohXCF3wuKOE8c"", ""'CONSOLIDADO'!G5:AB""), 17, 0), ""-""),
""""
)"),"OWON")</f>
        <v>OWON</v>
      </c>
      <c r="U344" s="35" t="str">
        <f>IFERROR(__xludf.DUMMYFUNCTION(" IF
( VLOOKUP($G344,IMPORTRANGE(""https://docs.google.com/spreadsheets/d/1Gpl6jkTg7sL4VDNimUm3S9Vi1i95esohXCF3wuKOE8c"", ""'CONSOLIDADO'!G5:AB""), 10, 0) &lt;&gt; 0, 
IFERROR(VLOOKUP($G344,IMPORTRANGE(""https://docs.google.com/spreadsheets/d/1Gpl6jkTg7sL4VDNimU"&amp;"m3S9Vi1i95esohXCF3wuKOE8c"", ""'CONSOLIDADO'!G5:AB""), 18, 0), ""-""),
""""
)"),"SDS8202")</f>
        <v>SDS8202</v>
      </c>
      <c r="V344" s="36" t="str">
        <f>IFERROR(__xludf.DUMMYFUNCTION(" IF
( VLOOKUP($G344,IMPORTRANGE(""https://docs.google.com/spreadsheets/d/1Gpl6jkTg7sL4VDNimUm3S9Vi1i95esohXCF3wuKOE8c"", ""'CONSOLIDADO'!G5:AB""), 10, 0) &lt;&gt; 0, 
IFERROR(VLOOKUP($G344,IMPORTRANGE(""https://docs.google.com/spreadsheets/d/1Gpl6jkTg7sL4VDNimU"&amp;"m3S9Vi1i95esohXCF3wuKOE8c"", ""'CONSOLIDADO'!G5:AB""), 19, 0), ""-""),
""""
)"),"https://www.batronix.com/shop/oscilloscopes/Owon-SDS8202.html")</f>
        <v>https://www.batronix.com/shop/oscilloscopes/Owon-SDS8202.html</v>
      </c>
      <c r="W344" s="37" t="str">
        <f>IFERROR(__xludf.DUMMYFUNCTION("IFERROR(VLOOKUP(G344,IMPORTRANGE(""https://docs.google.com/spreadsheets/d/12RxCea4e5ggM7QGn1XE3FbLQa_-QbCNdBi90OdPjRqg"", ""'Plan de Compras'!D4:Q""), 12, 0), ""NO ESTÁ EN REQ"")"),"Técnica")</f>
        <v>Técnica</v>
      </c>
      <c r="X344" s="37" t="str">
        <f>IFERROR(__xludf.DUMMYFUNCTION("IFERROR(VLOOKUP(G344,IMPORTRANGE(""https://docs.google.com/spreadsheets/d/12RxCea4e5ggM7QGn1XE3FbLQa_-QbCNdBi90OdPjRqg"", ""'Plan de Compras'!D4:Q""), 13, 0), """")"),"INTERNACIONAL")</f>
        <v>INTERNACIONAL</v>
      </c>
      <c r="Y344" s="32" t="str">
        <f>IFERROR(__xludf.DUMMYFUNCTION("IFERROR(VLOOKUP(G344,IMPORTRANGE(""https://docs.google.com/spreadsheets/d/12RxCea4e5ggM7QGn1XE3FbLQa_-QbCNdBi90OdPjRqg"", ""'Plan de Compras'!D4:Q""), 14, 0), """")"),"GEYDI")</f>
        <v>GEYDI</v>
      </c>
      <c r="Z344" s="38" t="str">
        <f>IFERROR(__xludf.DUMMYFUNCTION("IFERROR(VLOOKUP(G344,IMPORTRANGE(""https://docs.google.com/spreadsheets/d/12RxCea4e5ggM7QGn1XE3FbLQa_-QbCNdBi90OdPjRqg"", ""'Plan de Compras'!D4:Q""), 4, 0), """")"),"OSCILOSCOPIO DIGITAL")</f>
        <v>OSCILOSCOPIO DIGITAL</v>
      </c>
      <c r="AA344" s="38" t="str">
        <f t="shared" si="16"/>
        <v>TRUE</v>
      </c>
      <c r="AB344" s="37" t="str">
        <f>IFERROR(__xludf.DUMMYFUNCTION("IFERROR(IF(OR(C344=TRUE,C344=""""),VLOOKUP(G344,IMPORTRANGE(""https://docs.google.com/spreadsheets/d/1z9A1Wq-kKrhRNG5RS2a2fKpY1wIhSVz2ZNmP2mOl588/edit?usp=sharing"",""REQ VF!E4:H""),4,0),""NO APLICA""),""GENERAR REQ"")"),"GENERAR REQ")</f>
        <v>GENERAR REQ</v>
      </c>
      <c r="AC344" s="37" t="str">
        <f>IFERROR(__xludf.DUMMYFUNCTION("IFERROR(QUERY(IMPORTRANGE(""https://docs.google.com/spreadsheets/d/1z9A1Wq-kKrhRNG5RS2a2fKpY1wIhSVz2ZNmP2mOl588/edit?usp=sharing"",""REQ VF!E4:Q""),""SELECT Col10, Col11, Col12 WHERE Col1 = '""&amp;G344&amp;""'"",0),""NO APLICA"")"),"NO APLICA")</f>
        <v>NO APLICA</v>
      </c>
      <c r="AD344" s="37"/>
      <c r="AE344" s="37"/>
      <c r="AF344" s="8" t="s">
        <v>52</v>
      </c>
      <c r="AG344" s="13"/>
    </row>
    <row r="345">
      <c r="A345" s="48"/>
      <c r="B345" s="26"/>
      <c r="C345" s="26" t="b">
        <v>1</v>
      </c>
      <c r="D345" s="48" t="s">
        <v>42</v>
      </c>
      <c r="E345" s="48" t="s">
        <v>36</v>
      </c>
      <c r="F345" s="94" t="s">
        <v>1097</v>
      </c>
      <c r="G345" s="97" t="s">
        <v>1103</v>
      </c>
      <c r="H345" s="49" t="s">
        <v>1104</v>
      </c>
      <c r="I345" s="98">
        <f t="shared" ref="I345:I348" si="31">$I$344</f>
        <v>12</v>
      </c>
      <c r="J345" s="26">
        <f>IFERROR(__xludf.DUMMYFUNCTION("VLOOKUP(G345,IMPORTRANGE(""https://docs.google.com/spreadsheets/d/12RxCea4e5ggM7QGn1XE3FbLQa_-QbCNdBi90OdPjRqg/edit?gid=1692403370#gid=1692403370"", ""'Plan de Compras'!D4:2432""), 8,0)"),12.0)</f>
        <v>12</v>
      </c>
      <c r="K345" s="26" t="str">
        <f t="shared" si="1"/>
        <v>SI</v>
      </c>
      <c r="L345" s="48"/>
      <c r="M345" s="99"/>
      <c r="N345" s="51" t="s">
        <v>1105</v>
      </c>
      <c r="O345" s="51"/>
      <c r="P345" s="48"/>
      <c r="Q345" s="100" t="s">
        <v>1106</v>
      </c>
      <c r="R345" s="99"/>
      <c r="S345" s="44" t="b">
        <v>0</v>
      </c>
      <c r="T345" s="52" t="s">
        <v>1107</v>
      </c>
      <c r="U345" s="52" t="s">
        <v>1107</v>
      </c>
      <c r="V345" s="53"/>
      <c r="W345" s="37" t="str">
        <f>IFERROR(__xludf.DUMMYFUNCTION("IFERROR(VLOOKUP(G345,IMPORTRANGE(""https://docs.google.com/spreadsheets/d/12RxCea4e5ggM7QGn1XE3FbLQa_-QbCNdBi90OdPjRqg"", ""'Plan de Compras'!D4:Q""), 12, 0), ""NO ESTÁ EN REQ"")"),"Técnica")</f>
        <v>Técnica</v>
      </c>
      <c r="X345" s="37" t="str">
        <f>IFERROR(__xludf.DUMMYFUNCTION("IFERROR(VLOOKUP(G345,IMPORTRANGE(""https://docs.google.com/spreadsheets/d/12RxCea4e5ggM7QGn1XE3FbLQa_-QbCNdBi90OdPjRqg"", ""'Plan de Compras'!D4:Q""), 13, 0), """")"),"NACIONAL")</f>
        <v>NACIONAL</v>
      </c>
      <c r="Y345" s="32" t="str">
        <f>IFERROR(__xludf.DUMMYFUNCTION("IFERROR(VLOOKUP(G345,IMPORTRANGE(""https://docs.google.com/spreadsheets/d/12RxCea4e5ggM7QGn1XE3FbLQa_-QbCNdBi90OdPjRqg"", ""'Plan de Compras'!D4:Q""), 14, 0), """")"),"OMAR")</f>
        <v>OMAR</v>
      </c>
      <c r="Z345" s="38" t="str">
        <f>IFERROR(__xludf.DUMMYFUNCTION("IFERROR(VLOOKUP(G345,IMPORTRANGE(""https://docs.google.com/spreadsheets/d/12RxCea4e5ggM7QGn1XE3FbLQa_-QbCNdBi90OdPjRqg"", ""'Plan de Compras'!D4:Q""), 4, 0), """")"),"CARRO PORTAHERRAMIENTAS CON 2 BANDEJAS (1 UND)")</f>
        <v>CARRO PORTAHERRAMIENTAS CON 2 BANDEJAS (1 UND)</v>
      </c>
      <c r="AA345" s="38" t="str">
        <f t="shared" si="16"/>
        <v>TRUE</v>
      </c>
      <c r="AB345" s="37" t="str">
        <f>IFERROR(__xludf.DUMMYFUNCTION("IFERROR(IF(OR(C345=TRUE,C345=""""),VLOOKUP(G345,IMPORTRANGE(""https://docs.google.com/spreadsheets/d/1z9A1Wq-kKrhRNG5RS2a2fKpY1wIhSVz2ZNmP2mOl588/edit?usp=sharing"",""REQ VF!E4:H""),4,0),""NO APLICA""),""GENERAR REQ"")"),"GENERAR REQ")</f>
        <v>GENERAR REQ</v>
      </c>
      <c r="AC345" s="37" t="str">
        <f>IFERROR(__xludf.DUMMYFUNCTION("IFERROR(QUERY(IMPORTRANGE(""https://docs.google.com/spreadsheets/d/1z9A1Wq-kKrhRNG5RS2a2fKpY1wIhSVz2ZNmP2mOl588/edit?usp=sharing"",""REQ VF!E4:Q""),""SELECT Col10, Col11, Col12 WHERE Col1 = '""&amp;G345&amp;""'"",0),""NO APLICA"")"),"NO APLICA")</f>
        <v>NO APLICA</v>
      </c>
      <c r="AD345" s="37"/>
      <c r="AE345" s="37"/>
      <c r="AF345" s="13"/>
      <c r="AG345" s="13"/>
    </row>
    <row r="346">
      <c r="A346" s="48"/>
      <c r="B346" s="26"/>
      <c r="C346" s="26" t="b">
        <v>1</v>
      </c>
      <c r="D346" s="48" t="s">
        <v>42</v>
      </c>
      <c r="E346" s="48" t="s">
        <v>36</v>
      </c>
      <c r="F346" s="94" t="s">
        <v>1097</v>
      </c>
      <c r="G346" s="97" t="s">
        <v>1108</v>
      </c>
      <c r="H346" s="49" t="s">
        <v>1109</v>
      </c>
      <c r="I346" s="98">
        <f t="shared" si="31"/>
        <v>12</v>
      </c>
      <c r="J346" s="26">
        <f>IFERROR(__xludf.DUMMYFUNCTION("VLOOKUP(G346,IMPORTRANGE(""https://docs.google.com/spreadsheets/d/12RxCea4e5ggM7QGn1XE3FbLQa_-QbCNdBi90OdPjRqg/edit?gid=1692403370#gid=1692403370"", ""'Plan de Compras'!D4:2432""), 8,0)"),12.0)</f>
        <v>12</v>
      </c>
      <c r="K346" s="26" t="str">
        <f t="shared" si="1"/>
        <v>SI</v>
      </c>
      <c r="L346" s="48"/>
      <c r="M346" s="99"/>
      <c r="N346" s="51" t="s">
        <v>1110</v>
      </c>
      <c r="O346" s="51"/>
      <c r="P346" s="48"/>
      <c r="Q346" s="101" t="s">
        <v>1111</v>
      </c>
      <c r="R346" s="99"/>
      <c r="S346" s="44" t="b">
        <v>0</v>
      </c>
      <c r="T346" s="102"/>
      <c r="U346" s="102"/>
      <c r="V346" s="53"/>
      <c r="W346" s="37" t="str">
        <f>IFERROR(__xludf.DUMMYFUNCTION("IFERROR(VLOOKUP(G346,IMPORTRANGE(""https://docs.google.com/spreadsheets/d/12RxCea4e5ggM7QGn1XE3FbLQa_-QbCNdBi90OdPjRqg"", ""'Plan de Compras'!D4:Q""), 12, 0), ""NO ESTÁ EN REQ"")"),"Técnica")</f>
        <v>Técnica</v>
      </c>
      <c r="X346" s="37" t="str">
        <f>IFERROR(__xludf.DUMMYFUNCTION("IFERROR(VLOOKUP(G346,IMPORTRANGE(""https://docs.google.com/spreadsheets/d/12RxCea4e5ggM7QGn1XE3FbLQa_-QbCNdBi90OdPjRqg"", ""'Plan de Compras'!D4:Q""), 13, 0), """")"),"INTERNACIONAL")</f>
        <v>INTERNACIONAL</v>
      </c>
      <c r="Y346" s="32" t="str">
        <f>IFERROR(__xludf.DUMMYFUNCTION("IFERROR(VLOOKUP(G346,IMPORTRANGE(""https://docs.google.com/spreadsheets/d/12RxCea4e5ggM7QGn1XE3FbLQa_-QbCNdBi90OdPjRqg"", ""'Plan de Compras'!D4:Q""), 14, 0), """")"),"GEYDI")</f>
        <v>GEYDI</v>
      </c>
      <c r="Z346" s="38" t="str">
        <f>IFERROR(__xludf.DUMMYFUNCTION("IFERROR(VLOOKUP(G346,IMPORTRANGE(""https://docs.google.com/spreadsheets/d/12RxCea4e5ggM7QGn1XE3FbLQa_-QbCNdBi90OdPjRqg"", ""'Plan de Compras'!D4:Q""), 4, 0), """")"),"MALETÍN DE TRANSPORTE (1 UND)")</f>
        <v>MALETÍN DE TRANSPORTE (1 UND)</v>
      </c>
      <c r="AA346" s="38" t="str">
        <f t="shared" si="16"/>
        <v>TRUE</v>
      </c>
      <c r="AB346" s="37" t="str">
        <f>IFERROR(__xludf.DUMMYFUNCTION("IFERROR(IF(OR(C346=TRUE,C346=""""),VLOOKUP(G346,IMPORTRANGE(""https://docs.google.com/spreadsheets/d/1z9A1Wq-kKrhRNG5RS2a2fKpY1wIhSVz2ZNmP2mOl588/edit?usp=sharing"",""REQ VF!E4:H""),4,0),""NO APLICA""),""GENERAR REQ"")"),"GENERAR REQ")</f>
        <v>GENERAR REQ</v>
      </c>
      <c r="AC346" s="37" t="str">
        <f>IFERROR(__xludf.DUMMYFUNCTION("IFERROR(QUERY(IMPORTRANGE(""https://docs.google.com/spreadsheets/d/1z9A1Wq-kKrhRNG5RS2a2fKpY1wIhSVz2ZNmP2mOl588/edit?usp=sharing"",""REQ VF!E4:Q""),""SELECT Col10, Col11, Col12 WHERE Col1 = '""&amp;G346&amp;""'"",0),""NO APLICA"")"),"NO APLICA")</f>
        <v>NO APLICA</v>
      </c>
      <c r="AD346" s="37"/>
      <c r="AE346" s="37"/>
      <c r="AF346" s="13"/>
      <c r="AG346" s="13"/>
    </row>
    <row r="347">
      <c r="A347" s="48"/>
      <c r="B347" s="26"/>
      <c r="C347" s="26" t="b">
        <v>1</v>
      </c>
      <c r="D347" s="48" t="s">
        <v>42</v>
      </c>
      <c r="E347" s="48" t="s">
        <v>36</v>
      </c>
      <c r="F347" s="94" t="s">
        <v>1097</v>
      </c>
      <c r="G347" s="97" t="s">
        <v>1112</v>
      </c>
      <c r="H347" s="49" t="s">
        <v>1113</v>
      </c>
      <c r="I347" s="98">
        <f t="shared" si="31"/>
        <v>12</v>
      </c>
      <c r="J347" s="26">
        <f>IFERROR(__xludf.DUMMYFUNCTION("VLOOKUP(G347,IMPORTRANGE(""https://docs.google.com/spreadsheets/d/12RxCea4e5ggM7QGn1XE3FbLQa_-QbCNdBi90OdPjRqg/edit?gid=1692403370#gid=1692403370"", ""'Plan de Compras'!D4:2432""), 8,0)"),12.0)</f>
        <v>12</v>
      </c>
      <c r="K347" s="26" t="str">
        <f t="shared" si="1"/>
        <v>SI</v>
      </c>
      <c r="L347" s="48"/>
      <c r="M347" s="99"/>
      <c r="N347" s="51" t="s">
        <v>1114</v>
      </c>
      <c r="O347" s="51"/>
      <c r="P347" s="48"/>
      <c r="Q347" s="101" t="s">
        <v>1115</v>
      </c>
      <c r="R347" s="99"/>
      <c r="S347" s="44" t="b">
        <v>0</v>
      </c>
      <c r="T347" s="102"/>
      <c r="U347" s="102"/>
      <c r="V347" s="53"/>
      <c r="W347" s="37" t="str">
        <f>IFERROR(__xludf.DUMMYFUNCTION("IFERROR(VLOOKUP(G347,IMPORTRANGE(""https://docs.google.com/spreadsheets/d/12RxCea4e5ggM7QGn1XE3FbLQa_-QbCNdBi90OdPjRqg"", ""'Plan de Compras'!D4:Q""), 12, 0), ""NO ESTÁ EN REQ"")"),"Técnica")</f>
        <v>Técnica</v>
      </c>
      <c r="X347" s="37" t="str">
        <f>IFERROR(__xludf.DUMMYFUNCTION("IFERROR(VLOOKUP(G347,IMPORTRANGE(""https://docs.google.com/spreadsheets/d/12RxCea4e5ggM7QGn1XE3FbLQa_-QbCNdBi90OdPjRqg"", ""'Plan de Compras'!D4:Q""), 13, 0), """")"),"INTERNACIONAL")</f>
        <v>INTERNACIONAL</v>
      </c>
      <c r="Y347" s="32" t="str">
        <f>IFERROR(__xludf.DUMMYFUNCTION("IFERROR(VLOOKUP(G347,IMPORTRANGE(""https://docs.google.com/spreadsheets/d/12RxCea4e5ggM7QGn1XE3FbLQa_-QbCNdBi90OdPjRqg"", ""'Plan de Compras'!D4:Q""), 14, 0), """")"),"GEYDI")</f>
        <v>GEYDI</v>
      </c>
      <c r="Z347" s="38" t="str">
        <f>IFERROR(__xludf.DUMMYFUNCTION("IFERROR(VLOOKUP(G347,IMPORTRANGE(""https://docs.google.com/spreadsheets/d/12RxCea4e5ggM7QGn1XE3FbLQa_-QbCNdBi90OdPjRqg"", ""'Plan de Compras'!D4:Q""), 4, 0), """")"),"PILAS O BATERÍAS (1 UND)")</f>
        <v>PILAS O BATERÍAS (1 UND)</v>
      </c>
      <c r="AA347" s="38" t="str">
        <f t="shared" si="16"/>
        <v>TRUE</v>
      </c>
      <c r="AB347" s="37" t="str">
        <f>IFERROR(__xludf.DUMMYFUNCTION("IFERROR(IF(OR(C347=TRUE,C347=""""),VLOOKUP(G347,IMPORTRANGE(""https://docs.google.com/spreadsheets/d/1z9A1Wq-kKrhRNG5RS2a2fKpY1wIhSVz2ZNmP2mOl588/edit?usp=sharing"",""REQ VF!E4:H""),4,0),""NO APLICA""),""GENERAR REQ"")"),"GENERAR REQ")</f>
        <v>GENERAR REQ</v>
      </c>
      <c r="AC347" s="37" t="str">
        <f>IFERROR(__xludf.DUMMYFUNCTION("IFERROR(QUERY(IMPORTRANGE(""https://docs.google.com/spreadsheets/d/1z9A1Wq-kKrhRNG5RS2a2fKpY1wIhSVz2ZNmP2mOl588/edit?usp=sharing"",""REQ VF!E4:Q""),""SELECT Col10, Col11, Col12 WHERE Col1 = '""&amp;G347&amp;""'"",0),""NO APLICA"")"),"NO APLICA")</f>
        <v>NO APLICA</v>
      </c>
      <c r="AD347" s="37"/>
      <c r="AE347" s="37"/>
      <c r="AF347" s="13"/>
      <c r="AG347" s="13"/>
    </row>
    <row r="348">
      <c r="A348" s="48"/>
      <c r="B348" s="26"/>
      <c r="C348" s="26" t="b">
        <v>1</v>
      </c>
      <c r="D348" s="48" t="s">
        <v>42</v>
      </c>
      <c r="E348" s="48" t="s">
        <v>36</v>
      </c>
      <c r="F348" s="94" t="s">
        <v>1097</v>
      </c>
      <c r="G348" s="97" t="s">
        <v>1116</v>
      </c>
      <c r="H348" s="49" t="s">
        <v>1117</v>
      </c>
      <c r="I348" s="98">
        <f t="shared" si="31"/>
        <v>12</v>
      </c>
      <c r="J348" s="26">
        <f>IFERROR(__xludf.DUMMYFUNCTION("VLOOKUP(G348,IMPORTRANGE(""https://docs.google.com/spreadsheets/d/12RxCea4e5ggM7QGn1XE3FbLQa_-QbCNdBi90OdPjRqg/edit?gid=1692403370#gid=1692403370"", ""'Plan de Compras'!D4:2432""), 8,0)"),12.0)</f>
        <v>12</v>
      </c>
      <c r="K348" s="26" t="str">
        <f t="shared" si="1"/>
        <v>SI</v>
      </c>
      <c r="L348" s="48"/>
      <c r="M348" s="99"/>
      <c r="N348" s="51" t="s">
        <v>1118</v>
      </c>
      <c r="O348" s="51"/>
      <c r="P348" s="48"/>
      <c r="Q348" s="100" t="s">
        <v>1119</v>
      </c>
      <c r="R348" s="99"/>
      <c r="S348" s="34" t="b">
        <v>1</v>
      </c>
      <c r="T348" s="52" t="s">
        <v>1120</v>
      </c>
      <c r="U348" s="52" t="s">
        <v>1121</v>
      </c>
      <c r="V348" s="103" t="s">
        <v>1122</v>
      </c>
      <c r="W348" s="37" t="str">
        <f>IFERROR(__xludf.DUMMYFUNCTION("IFERROR(VLOOKUP(G348,IMPORTRANGE(""https://docs.google.com/spreadsheets/d/12RxCea4e5ggM7QGn1XE3FbLQa_-QbCNdBi90OdPjRqg"", ""'Plan de Compras'!D4:Q""), 12, 0), ""NO ESTÁ EN REQ"")"),"Técnica")</f>
        <v>Técnica</v>
      </c>
      <c r="X348" s="37" t="str">
        <f>IFERROR(__xludf.DUMMYFUNCTION("IFERROR(VLOOKUP(G348,IMPORTRANGE(""https://docs.google.com/spreadsheets/d/12RxCea4e5ggM7QGn1XE3FbLQa_-QbCNdBi90OdPjRqg"", ""'Plan de Compras'!D4:Q""), 13, 0), """")"),"NACIONAL")</f>
        <v>NACIONAL</v>
      </c>
      <c r="Y348" s="32" t="str">
        <f>IFERROR(__xludf.DUMMYFUNCTION("IFERROR(VLOOKUP(G348,IMPORTRANGE(""https://docs.google.com/spreadsheets/d/12RxCea4e5ggM7QGn1XE3FbLQa_-QbCNdBi90OdPjRqg"", ""'Plan de Compras'!D4:Q""), 14, 0), """")"),"DIANA")</f>
        <v>DIANA</v>
      </c>
      <c r="Z348" s="38" t="str">
        <f>IFERROR(__xludf.DUMMYFUNCTION("IFERROR(VLOOKUP(G348,IMPORTRANGE(""https://docs.google.com/spreadsheets/d/12RxCea4e5ggM7QGn1XE3FbLQa_-QbCNdBi90OdPjRqg"", ""'Plan de Compras'!D4:Q""), 4, 0), """")"),"LAZOS DE SEGURIDAD (1 UND)")</f>
        <v>LAZOS DE SEGURIDAD (1 UND)</v>
      </c>
      <c r="AA348" s="38" t="str">
        <f t="shared" si="16"/>
        <v>TRUE</v>
      </c>
      <c r="AB348" s="37" t="str">
        <f>IFERROR(__xludf.DUMMYFUNCTION("IFERROR(IF(OR(C348=TRUE,C348=""""),VLOOKUP(G348,IMPORTRANGE(""https://docs.google.com/spreadsheets/d/1z9A1Wq-kKrhRNG5RS2a2fKpY1wIhSVz2ZNmP2mOl588/edit?usp=sharing"",""REQ VF!E4:H""),4,0),""NO APLICA""),""GENERAR REQ"")"),"GENERAR REQ")</f>
        <v>GENERAR REQ</v>
      </c>
      <c r="AC348" s="37" t="str">
        <f>IFERROR(__xludf.DUMMYFUNCTION("IFERROR(QUERY(IMPORTRANGE(""https://docs.google.com/spreadsheets/d/1z9A1Wq-kKrhRNG5RS2a2fKpY1wIhSVz2ZNmP2mOl588/edit?usp=sharing"",""REQ VF!E4:Q""),""SELECT Col10, Col11, Col12 WHERE Col1 = '""&amp;G348&amp;""'"",0),""NO APLICA"")"),"NO APLICA")</f>
        <v>NO APLICA</v>
      </c>
      <c r="AD348" s="37"/>
      <c r="AE348" s="37"/>
      <c r="AF348" s="13"/>
      <c r="AG348" s="13"/>
    </row>
    <row r="349">
      <c r="A349" s="26"/>
      <c r="B349" s="26" t="b">
        <v>0</v>
      </c>
      <c r="C349" s="26" t="b">
        <v>0</v>
      </c>
      <c r="D349" s="26" t="s">
        <v>42</v>
      </c>
      <c r="E349" s="26" t="s">
        <v>36</v>
      </c>
      <c r="F349" s="59" t="s">
        <v>1097</v>
      </c>
      <c r="G349" s="97" t="s">
        <v>1123</v>
      </c>
      <c r="H349" s="40" t="s">
        <v>118</v>
      </c>
      <c r="I349" s="43">
        <f t="shared" ref="I349:I350" si="32">1*I344</f>
        <v>12</v>
      </c>
      <c r="J349" s="26" t="str">
        <f>IFERROR(__xludf.DUMMYFUNCTION("VLOOKUP(G349,IMPORTRANGE(""https://docs.google.com/spreadsheets/d/12RxCea4e5ggM7QGn1XE3FbLQa_-QbCNdBi90OdPjRqg/edit?gid=1692403370#gid=1692403370"", ""'Plan de Compras'!D4:2432""), 8,0)"),"#N/A")</f>
        <v>#N/A</v>
      </c>
      <c r="K349" s="26" t="str">
        <f t="shared" si="1"/>
        <v>-</v>
      </c>
      <c r="L349" s="29"/>
      <c r="M349" s="61"/>
      <c r="N349" s="70"/>
      <c r="O349" s="32"/>
      <c r="P349" s="32"/>
      <c r="Q349" s="41"/>
      <c r="R349" s="61"/>
      <c r="S349" s="34" t="b">
        <v>0</v>
      </c>
      <c r="T349" s="35"/>
      <c r="U349" s="35"/>
      <c r="V349" s="35"/>
      <c r="W349" s="37"/>
      <c r="X349" s="37"/>
      <c r="Y349" s="32"/>
      <c r="Z349" s="38"/>
      <c r="AA349" s="38" t="str">
        <f t="shared" si="16"/>
        <v>FALSE</v>
      </c>
      <c r="AB349" s="37" t="str">
        <f>IFERROR(__xludf.DUMMYFUNCTION("IFERROR(IF(OR(C349=TRUE,C349=""""),VLOOKUP(G349,IMPORTRANGE(""https://docs.google.com/spreadsheets/d/1z9A1Wq-kKrhRNG5RS2a2fKpY1wIhSVz2ZNmP2mOl588/edit?usp=sharing"",""REQ VF!E4:H""),4,0),""NO APLICA""),""GENERAR REQ"")"),"NO APLICA")</f>
        <v>NO APLICA</v>
      </c>
      <c r="AC349" s="37" t="str">
        <f>IFERROR(__xludf.DUMMYFUNCTION("IFERROR(QUERY(IMPORTRANGE(""https://docs.google.com/spreadsheets/d/1z9A1Wq-kKrhRNG5RS2a2fKpY1wIhSVz2ZNmP2mOl588/edit?usp=sharing"",""REQ VF!E4:Q""),""SELECT Col10, Col11, Col12 WHERE Col1 = '""&amp;G349&amp;""'"",0),""NO APLICA"")"),"NO APLICA")</f>
        <v>NO APLICA</v>
      </c>
      <c r="AD349" s="37"/>
      <c r="AE349" s="37"/>
      <c r="AF349" s="8"/>
      <c r="AG349" s="13"/>
    </row>
    <row r="350">
      <c r="A350" s="26"/>
      <c r="B350" s="26" t="b">
        <v>0</v>
      </c>
      <c r="C350" s="26" t="b">
        <v>0</v>
      </c>
      <c r="D350" s="26" t="s">
        <v>42</v>
      </c>
      <c r="E350" s="26" t="s">
        <v>36</v>
      </c>
      <c r="F350" s="59" t="s">
        <v>1097</v>
      </c>
      <c r="G350" s="97" t="s">
        <v>1124</v>
      </c>
      <c r="H350" s="40" t="s">
        <v>1125</v>
      </c>
      <c r="I350" s="43">
        <f t="shared" si="32"/>
        <v>12</v>
      </c>
      <c r="J350" s="26" t="str">
        <f>IFERROR(__xludf.DUMMYFUNCTION("VLOOKUP(G350,IMPORTRANGE(""https://docs.google.com/spreadsheets/d/12RxCea4e5ggM7QGn1XE3FbLQa_-QbCNdBi90OdPjRqg/edit?gid=1692403370#gid=1692403370"", ""'Plan de Compras'!D4:2432""), 8,0)"),"#N/A")</f>
        <v>#N/A</v>
      </c>
      <c r="K350" s="26" t="str">
        <f t="shared" si="1"/>
        <v>-</v>
      </c>
      <c r="L350" s="29"/>
      <c r="M350" s="61"/>
      <c r="N350" s="70"/>
      <c r="O350" s="32"/>
      <c r="P350" s="32"/>
      <c r="Q350" s="41"/>
      <c r="R350" s="61"/>
      <c r="S350" s="34" t="b">
        <v>0</v>
      </c>
      <c r="T350" s="35"/>
      <c r="U350" s="35"/>
      <c r="V350" s="35"/>
      <c r="W350" s="37"/>
      <c r="X350" s="37"/>
      <c r="Y350" s="32"/>
      <c r="Z350" s="38"/>
      <c r="AA350" s="38" t="str">
        <f t="shared" si="16"/>
        <v>FALSE</v>
      </c>
      <c r="AB350" s="37" t="str">
        <f>IFERROR(__xludf.DUMMYFUNCTION("IFERROR(IF(OR(C350=TRUE,C350=""""),VLOOKUP(G350,IMPORTRANGE(""https://docs.google.com/spreadsheets/d/1z9A1Wq-kKrhRNG5RS2a2fKpY1wIhSVz2ZNmP2mOl588/edit?usp=sharing"",""REQ VF!E4:H""),4,0),""NO APLICA""),""GENERAR REQ"")"),"NO APLICA")</f>
        <v>NO APLICA</v>
      </c>
      <c r="AC350" s="37" t="str">
        <f>IFERROR(__xludf.DUMMYFUNCTION("IFERROR(QUERY(IMPORTRANGE(""https://docs.google.com/spreadsheets/d/1z9A1Wq-kKrhRNG5RS2a2fKpY1wIhSVz2ZNmP2mOl588/edit?usp=sharing"",""REQ VF!E4:Q""),""SELECT Col10, Col11, Col12 WHERE Col1 = '""&amp;G350&amp;""'"",0),""NO APLICA"")"),"NO APLICA")</f>
        <v>NO APLICA</v>
      </c>
      <c r="AD350" s="37"/>
      <c r="AE350" s="37"/>
      <c r="AF350" s="8"/>
      <c r="AG350" s="13"/>
    </row>
    <row r="351">
      <c r="A351" s="26">
        <v>162.0</v>
      </c>
      <c r="B351" s="26" t="b">
        <v>1</v>
      </c>
      <c r="C351" s="26" t="b">
        <v>1</v>
      </c>
      <c r="D351" s="26" t="s">
        <v>35</v>
      </c>
      <c r="E351" s="26" t="s">
        <v>36</v>
      </c>
      <c r="F351" s="27" t="s">
        <v>1097</v>
      </c>
      <c r="G351" s="39" t="s">
        <v>1126</v>
      </c>
      <c r="H351" s="45" t="s">
        <v>1099</v>
      </c>
      <c r="I351" s="43">
        <f>SUMIFS('Hoja 10'!$O:$O,'Hoja 10'!$F:$F,$G351)</f>
        <v>4</v>
      </c>
      <c r="J351" s="26">
        <f>IFERROR(__xludf.DUMMYFUNCTION("VLOOKUP(G351,IMPORTRANGE(""https://docs.google.com/spreadsheets/d/12RxCea4e5ggM7QGn1XE3FbLQa_-QbCNdBi90OdPjRqg/edit?gid=1692403370#gid=1692403370"", ""'Plan de Compras'!D4:2432""), 8,0)"),4.0)</f>
        <v>4</v>
      </c>
      <c r="K351" s="26" t="str">
        <f t="shared" si="1"/>
        <v>SI</v>
      </c>
      <c r="L351" s="29" t="s">
        <v>122</v>
      </c>
      <c r="M351" s="30" t="s">
        <v>123</v>
      </c>
      <c r="N351" s="70"/>
      <c r="O351" s="32" t="str">
        <f>VLOOKUP($G351,'Hoja 10'!$F$4:$AA478, 19,0)</f>
        <v>Owon </v>
      </c>
      <c r="P351" s="32" t="str">
        <f>VLOOKUP($G351,'Hoja 10'!$F$4:$AA478, 20,0)</f>
        <v>SDS8201</v>
      </c>
      <c r="Q351" s="33" t="str">
        <f>VLOOKUP($G351,'Hoja 10'!$F$4:$AA478, 21,0)</f>
        <v>https://www.owon.com.hk/products_owon_smartds_series_digital_oscilloscope</v>
      </c>
      <c r="R351" s="30" t="s">
        <v>1127</v>
      </c>
      <c r="S351" s="34" t="b">
        <v>1</v>
      </c>
      <c r="T351" s="35" t="str">
        <f>IFERROR(__xludf.DUMMYFUNCTION(" IF
( VLOOKUP($G351,IMPORTRANGE(""https://docs.google.com/spreadsheets/d/1Gpl6jkTg7sL4VDNimUm3S9Vi1i95esohXCF3wuKOE8c"", ""'CONSOLIDADO'!G5:AB""), 10, 0) &lt;&gt; 0, 
IFERROR(VLOOKUP($G351,IMPORTRANGE(""https://docs.google.com/spreadsheets/d/1Gpl6jkTg7sL4VDNimU"&amp;"m3S9Vi1i95esohXCF3wuKOE8c"", ""'CONSOLIDADO'!G5:AB""), 17, 0), ""-""),
""""
)"),"OWON")</f>
        <v>OWON</v>
      </c>
      <c r="U351" s="35" t="str">
        <f>IFERROR(__xludf.DUMMYFUNCTION(" IF
( VLOOKUP($G351,IMPORTRANGE(""https://docs.google.com/spreadsheets/d/1Gpl6jkTg7sL4VDNimUm3S9Vi1i95esohXCF3wuKOE8c"", ""'CONSOLIDADO'!G5:AB""), 10, 0) &lt;&gt; 0, 
IFERROR(VLOOKUP($G351,IMPORTRANGE(""https://docs.google.com/spreadsheets/d/1Gpl6jkTg7sL4VDNimU"&amp;"m3S9Vi1i95esohXCF3wuKOE8c"", ""'CONSOLIDADO'!G5:AB""), 18, 0), ""-""),
""""
)"),"ADS922A")</f>
        <v>ADS922A</v>
      </c>
      <c r="V351" s="36" t="str">
        <f>IFERROR(__xludf.DUMMYFUNCTION(" IF
( VLOOKUP($G351,IMPORTRANGE(""https://docs.google.com/spreadsheets/d/1Gpl6jkTg7sL4VDNimUm3S9Vi1i95esohXCF3wuKOE8c"", ""'CONSOLIDADO'!G5:AB""), 10, 0) &lt;&gt; 0, 
IFERROR(VLOOKUP($G351,IMPORTRANGE(""https://docs.google.com/spreadsheets/d/1Gpl6jkTg7sL4VDNimU"&amp;"m3S9Vi1i95esohXCF3wuKOE8c"", ""'CONSOLIDADO'!G5:AB""), 19, 0), ""-""),
""""
)"),"https://www.owon.com.hk/products_ads900a_series_12bits_multifunction_digital_oscilloscope")</f>
        <v>https://www.owon.com.hk/products_ads900a_series_12bits_multifunction_digital_oscilloscope</v>
      </c>
      <c r="W351" s="37" t="str">
        <f>IFERROR(__xludf.DUMMYFUNCTION("IFERROR(VLOOKUP(G351,IMPORTRANGE(""https://docs.google.com/spreadsheets/d/12RxCea4e5ggM7QGn1XE3FbLQa_-QbCNdBi90OdPjRqg"", ""'Plan de Compras'!D4:Q""), 12, 0), ""NO ESTÁ EN REQ"")"),"Técnica")</f>
        <v>Técnica</v>
      </c>
      <c r="X351" s="37" t="str">
        <f>IFERROR(__xludf.DUMMYFUNCTION("IFERROR(VLOOKUP(G351,IMPORTRANGE(""https://docs.google.com/spreadsheets/d/12RxCea4e5ggM7QGn1XE3FbLQa_-QbCNdBi90OdPjRqg"", ""'Plan de Compras'!D4:Q""), 13, 0), """")"),"INTERNACIONAL")</f>
        <v>INTERNACIONAL</v>
      </c>
      <c r="Y351" s="32" t="str">
        <f>IFERROR(__xludf.DUMMYFUNCTION("IFERROR(VLOOKUP(G351,IMPORTRANGE(""https://docs.google.com/spreadsheets/d/12RxCea4e5ggM7QGn1XE3FbLQa_-QbCNdBi90OdPjRqg"", ""'Plan de Compras'!D4:Q""), 14, 0), """")"),"GEYDI")</f>
        <v>GEYDI</v>
      </c>
      <c r="Z351" s="38" t="str">
        <f>IFERROR(__xludf.DUMMYFUNCTION("IFERROR(VLOOKUP(G351,IMPORTRANGE(""https://docs.google.com/spreadsheets/d/12RxCea4e5ggM7QGn1XE3FbLQa_-QbCNdBi90OdPjRqg"", ""'Plan de Compras'!D4:Q""), 4, 0), """")"),"OSCILOSCOPIO DIGITAL")</f>
        <v>OSCILOSCOPIO DIGITAL</v>
      </c>
      <c r="AA351" s="38" t="str">
        <f t="shared" si="16"/>
        <v>TRUE</v>
      </c>
      <c r="AB351" s="37" t="str">
        <f>IFERROR(__xludf.DUMMYFUNCTION("IFERROR(IF(OR(C351=TRUE,C351=""""),VLOOKUP(G351,IMPORTRANGE(""https://docs.google.com/spreadsheets/d/1z9A1Wq-kKrhRNG5RS2a2fKpY1wIhSVz2ZNmP2mOl588/edit?usp=sharing"",""REQ VF!E4:H""),4,0),""NO APLICA""),""GENERAR REQ"")"),"GENERAR REQ")</f>
        <v>GENERAR REQ</v>
      </c>
      <c r="AC351" s="37" t="str">
        <f>IFERROR(__xludf.DUMMYFUNCTION("IFERROR(QUERY(IMPORTRANGE(""https://docs.google.com/spreadsheets/d/1z9A1Wq-kKrhRNG5RS2a2fKpY1wIhSVz2ZNmP2mOl588/edit?usp=sharing"",""REQ VF!E4:Q""),""SELECT Col10, Col11, Col12 WHERE Col1 = '""&amp;G351&amp;""'"",0),""NO APLICA"")"),"NO APLICA")</f>
        <v>NO APLICA</v>
      </c>
      <c r="AD351" s="37"/>
      <c r="AE351" s="37"/>
      <c r="AF351" s="8" t="s">
        <v>52</v>
      </c>
      <c r="AG351" s="13"/>
    </row>
    <row r="352">
      <c r="A352" s="26">
        <v>163.0</v>
      </c>
      <c r="B352" s="26" t="b">
        <v>1</v>
      </c>
      <c r="C352" s="26" t="b">
        <v>1</v>
      </c>
      <c r="D352" s="26" t="s">
        <v>35</v>
      </c>
      <c r="E352" s="26" t="s">
        <v>36</v>
      </c>
      <c r="F352" s="27" t="s">
        <v>1128</v>
      </c>
      <c r="G352" s="39" t="s">
        <v>1128</v>
      </c>
      <c r="H352" s="45" t="s">
        <v>1129</v>
      </c>
      <c r="I352" s="43">
        <f>SUMIFS('Hoja 10'!$O:$O,'Hoja 10'!$F:$F,$G352)</f>
        <v>10</v>
      </c>
      <c r="J352" s="26">
        <f>IFERROR(__xludf.DUMMYFUNCTION("VLOOKUP(G352,IMPORTRANGE(""https://docs.google.com/spreadsheets/d/12RxCea4e5ggM7QGn1XE3FbLQa_-QbCNdBi90OdPjRqg/edit?gid=1692403370#gid=1692403370"", ""'Plan de Compras'!D4:2432""), 8,0)"),10.0)</f>
        <v>10</v>
      </c>
      <c r="K352" s="26" t="str">
        <f t="shared" si="1"/>
        <v>SI</v>
      </c>
      <c r="L352" s="29" t="s">
        <v>39</v>
      </c>
      <c r="M352" s="30" t="s">
        <v>40</v>
      </c>
      <c r="N352" s="42"/>
      <c r="O352" s="32" t="str">
        <f>VLOOKUP($G352,'Hoja 10'!$F$4:$AA478, 19,0)</f>
        <v>MILKY</v>
      </c>
      <c r="P352" s="32" t="str">
        <f>VLOOKUP($G352,'Hoja 10'!$F$4:$AA478, 20,0)</f>
        <v>FJ 15</v>
      </c>
      <c r="Q352" s="33" t="str">
        <f>VLOOKUP($G352,'Hoja 10'!$F$4:$AA478, 21,0)</f>
        <v>https://milkyday.es/producto/small-milk-pasteurizer-machine-milky-fj-15-230v/</v>
      </c>
      <c r="R352" s="30" t="s">
        <v>1130</v>
      </c>
      <c r="S352" s="34" t="b">
        <v>1</v>
      </c>
      <c r="T352" s="35" t="str">
        <f>IFERROR(__xludf.DUMMYFUNCTION(" IF
( VLOOKUP($G352,IMPORTRANGE(""https://docs.google.com/spreadsheets/d/1Gpl6jkTg7sL4VDNimUm3S9Vi1i95esohXCF3wuKOE8c"", ""'CONSOLIDADO'!G5:AB""), 10, 0) &lt;&gt; 0, 
IFERROR(VLOOKUP($G352,IMPORTRANGE(""https://docs.google.com/spreadsheets/d/1Gpl6jkTg7sL4VDNimU"&amp;"m3S9Vi1i95esohXCF3wuKOE8c"", ""'CONSOLIDADO'!G5:AB""), 17, 0), ""-""),
""""
)"),"MILKY")</f>
        <v>MILKY</v>
      </c>
      <c r="U352" s="35" t="str">
        <f>IFERROR(__xludf.DUMMYFUNCTION(" IF
( VLOOKUP($G352,IMPORTRANGE(""https://docs.google.com/spreadsheets/d/1Gpl6jkTg7sL4VDNimUm3S9Vi1i95esohXCF3wuKOE8c"", ""'CONSOLIDADO'!G5:AB""), 10, 0) &lt;&gt; 0, 
IFERROR(VLOOKUP($G352,IMPORTRANGE(""https://docs.google.com/spreadsheets/d/1Gpl6jkTg7sL4VDNimU"&amp;"m3S9Vi1i95esohXCF3wuKOE8c"", ""'CONSOLIDADO'!G5:AB""), 18, 0), ""-""),
""""
)"),"MINI PASTEURIZADOR, HERVIDOR DE QUESO Y YOGUR FJ 15")</f>
        <v>MINI PASTEURIZADOR, HERVIDOR DE QUESO Y YOGUR FJ 15</v>
      </c>
      <c r="V352" s="36" t="str">
        <f>IFERROR(__xludf.DUMMYFUNCTION(" IF
( VLOOKUP($G352,IMPORTRANGE(""https://docs.google.com/spreadsheets/d/1Gpl6jkTg7sL4VDNimUm3S9Vi1i95esohXCF3wuKOE8c"", ""'CONSOLIDADO'!G5:AB""), 10, 0) &lt;&gt; 0, 
IFERROR(VLOOKUP($G352,IMPORTRANGE(""https://docs.google.com/spreadsheets/d/1Gpl6jkTg7sL4VDNimU"&amp;"m3S9Vi1i95esohXCF3wuKOE8c"", ""'CONSOLIDADO'!G5:AB""), 19, 0), ""-""),
""""
)"),"https://milkyday.es/producto/small-milk-pasteurizer-machine-milky-fj-15-230v/")</f>
        <v>https://milkyday.es/producto/small-milk-pasteurizer-machine-milky-fj-15-230v/</v>
      </c>
      <c r="W352" s="37" t="str">
        <f>IFERROR(__xludf.DUMMYFUNCTION("IFERROR(VLOOKUP(G352,IMPORTRANGE(""https://docs.google.com/spreadsheets/d/12RxCea4e5ggM7QGn1XE3FbLQa_-QbCNdBi90OdPjRqg"", ""'Plan de Compras'!D4:Q""), 12, 0), ""NO ESTÁ EN REQ"")"),"Técnica")</f>
        <v>Técnica</v>
      </c>
      <c r="X352" s="37" t="str">
        <f>IFERROR(__xludf.DUMMYFUNCTION("IFERROR(VLOOKUP(G352,IMPORTRANGE(""https://docs.google.com/spreadsheets/d/12RxCea4e5ggM7QGn1XE3FbLQa_-QbCNdBi90OdPjRqg"", ""'Plan de Compras'!D4:Q""), 13, 0), """")"),"INTERNACIONAL")</f>
        <v>INTERNACIONAL</v>
      </c>
      <c r="Y352" s="32" t="str">
        <f>IFERROR(__xludf.DUMMYFUNCTION("IFERROR(VLOOKUP(G352,IMPORTRANGE(""https://docs.google.com/spreadsheets/d/12RxCea4e5ggM7QGn1XE3FbLQa_-QbCNdBi90OdPjRqg"", ""'Plan de Compras'!D4:Q""), 14, 0), """")"),"GEYDI")</f>
        <v>GEYDI</v>
      </c>
      <c r="Z352" s="38" t="str">
        <f>IFERROR(__xludf.DUMMYFUNCTION("IFERROR(VLOOKUP(G352,IMPORTRANGE(""https://docs.google.com/spreadsheets/d/12RxCea4e5ggM7QGn1XE3FbLQa_-QbCNdBi90OdPjRqg"", ""'Plan de Compras'!D4:Q""), 4, 0), """")"),"PASTEURIZACIÓN DOMÉSTICO 15 LITROS")</f>
        <v>PASTEURIZACIÓN DOMÉSTICO 15 LITROS</v>
      </c>
      <c r="AA352" s="38" t="str">
        <f t="shared" si="16"/>
        <v>TRUE</v>
      </c>
      <c r="AB352" s="37" t="str">
        <f>IFERROR(__xludf.DUMMYFUNCTION("IFERROR(IF(OR(C352=TRUE,C352=""""),VLOOKUP(G352,IMPORTRANGE(""https://docs.google.com/spreadsheets/d/1z9A1Wq-kKrhRNG5RS2a2fKpY1wIhSVz2ZNmP2mOl588/edit?usp=sharing"",""REQ VF!E4:H""),4,0),""NO APLICA""),""GENERAR REQ"")"),"GENERAR REQ")</f>
        <v>GENERAR REQ</v>
      </c>
      <c r="AC352" s="37" t="str">
        <f>IFERROR(__xludf.DUMMYFUNCTION("IFERROR(QUERY(IMPORTRANGE(""https://docs.google.com/spreadsheets/d/1z9A1Wq-kKrhRNG5RS2a2fKpY1wIhSVz2ZNmP2mOl588/edit?usp=sharing"",""REQ VF!E4:Q""),""SELECT Col10, Col11, Col12 WHERE Col1 = '""&amp;G352&amp;""'"",0),""NO APLICA"")"),"NO APLICA")</f>
        <v>NO APLICA</v>
      </c>
      <c r="AD352" s="37"/>
      <c r="AE352" s="37"/>
      <c r="AF352" s="8" t="s">
        <v>52</v>
      </c>
      <c r="AG352" s="13"/>
    </row>
    <row r="353">
      <c r="A353" s="83"/>
      <c r="B353" s="26"/>
      <c r="C353" s="26" t="b">
        <v>1</v>
      </c>
      <c r="D353" s="60" t="s">
        <v>42</v>
      </c>
      <c r="E353" s="60" t="s">
        <v>36</v>
      </c>
      <c r="F353" s="59" t="s">
        <v>1128</v>
      </c>
      <c r="G353" s="39" t="s">
        <v>1131</v>
      </c>
      <c r="H353" s="82" t="s">
        <v>44</v>
      </c>
      <c r="I353" s="43">
        <f>$I$352</f>
        <v>10</v>
      </c>
      <c r="J353" s="26">
        <f>IFERROR(__xludf.DUMMYFUNCTION("VLOOKUP(G353,IMPORTRANGE(""https://docs.google.com/spreadsheets/d/12RxCea4e5ggM7QGn1XE3FbLQa_-QbCNdBi90OdPjRqg/edit?gid=1692403370#gid=1692403370"", ""'Plan de Compras'!D4:2432""), 8,0)"),10.0)</f>
        <v>10</v>
      </c>
      <c r="K353" s="26" t="str">
        <f t="shared" si="1"/>
        <v>SI</v>
      </c>
      <c r="L353" s="60"/>
      <c r="M353" s="84"/>
      <c r="N353" s="42" t="s">
        <v>45</v>
      </c>
      <c r="O353" s="84"/>
      <c r="P353" s="26" t="s">
        <v>1132</v>
      </c>
      <c r="Q353" s="41"/>
      <c r="R353" s="84"/>
      <c r="S353" s="34" t="b">
        <v>1</v>
      </c>
      <c r="T353" s="35" t="s">
        <v>47</v>
      </c>
      <c r="U353" s="43" t="s">
        <v>1133</v>
      </c>
      <c r="V353" s="44"/>
      <c r="W353" s="37" t="str">
        <f>IFERROR(__xludf.DUMMYFUNCTION("IFERROR(VLOOKUP(G353,IMPORTRANGE(""https://docs.google.com/spreadsheets/d/12RxCea4e5ggM7QGn1XE3FbLQa_-QbCNdBi90OdPjRqg"", ""'Plan de Compras'!D4:Q""), 12, 0), ""NO ESTÁ EN REQ"")"),"Simple")</f>
        <v>Simple</v>
      </c>
      <c r="X353" s="37" t="str">
        <f>IFERROR(__xludf.DUMMYFUNCTION("IFERROR(VLOOKUP(G353,IMPORTRANGE(""https://docs.google.com/spreadsheets/d/12RxCea4e5ggM7QGn1XE3FbLQa_-QbCNdBi90OdPjRqg"", ""'Plan de Compras'!D4:Q""), 13, 0), """")"),"NACIONAL")</f>
        <v>NACIONAL</v>
      </c>
      <c r="Y353" s="32" t="str">
        <f>IFERROR(__xludf.DUMMYFUNCTION("IFERROR(VLOOKUP(G353,IMPORTRANGE(""https://docs.google.com/spreadsheets/d/12RxCea4e5ggM7QGn1XE3FbLQa_-QbCNdBi90OdPjRqg"", ""'Plan de Compras'!D4:Q""), 14, 0), """")"),"ANGIE")</f>
        <v>ANGIE</v>
      </c>
      <c r="Z353" s="38" t="str">
        <f>IFERROR(__xludf.DUMMYFUNCTION("IFERROR(VLOOKUP(G353,IMPORTRANGE(""https://docs.google.com/spreadsheets/d/12RxCea4e5ggM7QGn1XE3FbLQa_-QbCNdBi90OdPjRqg"", ""'Plan de Compras'!D4:Q""), 4, 0), """")"),"FUNDA IMPERMEABLE (1 UND)")</f>
        <v>FUNDA IMPERMEABLE (1 UND)</v>
      </c>
      <c r="AA353" s="38" t="str">
        <f t="shared" si="16"/>
        <v>TRUE</v>
      </c>
      <c r="AB353" s="37" t="str">
        <f>IFERROR(__xludf.DUMMYFUNCTION("IFERROR(IF(OR(C353=TRUE,C353=""""),VLOOKUP(G353,IMPORTRANGE(""https://docs.google.com/spreadsheets/d/1z9A1Wq-kKrhRNG5RS2a2fKpY1wIhSVz2ZNmP2mOl588/edit?usp=sharing"",""REQ VF!E4:H""),4,0),""NO APLICA""),""GENERAR REQ"")"),"GENERAR REQ")</f>
        <v>GENERAR REQ</v>
      </c>
      <c r="AC353" s="37" t="str">
        <f>IFERROR(__xludf.DUMMYFUNCTION("IFERROR(QUERY(IMPORTRANGE(""https://docs.google.com/spreadsheets/d/1z9A1Wq-kKrhRNG5RS2a2fKpY1wIhSVz2ZNmP2mOl588/edit?usp=sharing"",""REQ VF!E4:Q""),""SELECT Col10, Col11, Col12 WHERE Col1 = '""&amp;G353&amp;""'"",0),""NO APLICA"")"),"NO APLICA")</f>
        <v>NO APLICA</v>
      </c>
      <c r="AD353" s="37"/>
      <c r="AE353" s="37"/>
      <c r="AF353" s="13"/>
      <c r="AG353" s="13"/>
    </row>
    <row r="354">
      <c r="A354" s="26">
        <v>164.0</v>
      </c>
      <c r="B354" s="26" t="b">
        <v>1</v>
      </c>
      <c r="C354" s="26" t="b">
        <v>0</v>
      </c>
      <c r="D354" s="26" t="s">
        <v>35</v>
      </c>
      <c r="E354" s="26" t="s">
        <v>36</v>
      </c>
      <c r="F354" s="27" t="s">
        <v>1134</v>
      </c>
      <c r="G354" s="39" t="s">
        <v>1134</v>
      </c>
      <c r="H354" s="45" t="s">
        <v>1135</v>
      </c>
      <c r="I354" s="43">
        <f>SUMIFS('Hoja 10'!$O:$O,'Hoja 10'!$F:$F,$G354)</f>
        <v>60</v>
      </c>
      <c r="J354" s="26" t="str">
        <f>IFERROR(__xludf.DUMMYFUNCTION("VLOOKUP(G354,IMPORTRANGE(""https://docs.google.com/spreadsheets/d/12RxCea4e5ggM7QGn1XE3FbLQa_-QbCNdBi90OdPjRqg/edit?gid=1692403370#gid=1692403370"", ""'Plan de Compras'!D4:2432""), 8,0)"),"#N/A")</f>
        <v>#N/A</v>
      </c>
      <c r="K354" s="26" t="str">
        <f t="shared" si="1"/>
        <v>-</v>
      </c>
      <c r="L354" s="29" t="s">
        <v>180</v>
      </c>
      <c r="M354" s="30" t="s">
        <v>181</v>
      </c>
      <c r="N354" s="42"/>
      <c r="O354" s="32" t="str">
        <f>VLOOKUP($G354,'Hoja 10'!$F$4:$AA478, 19,0)</f>
        <v>Schneider Electric</v>
      </c>
      <c r="P354" s="32" t="str">
        <f>VLOOKUP($G354,'Hoja 10'!$F$4:$AA478, 20,0)</f>
        <v>Harmony XB4</v>
      </c>
      <c r="Q354" s="33" t="str">
        <f>VLOOKUP($G354,'Hoja 10'!$F$4:$AA478, 21,0)</f>
        <v>https://www.se.com/pe/es/product/XB4BVM4/luz-piloto-metalico-%C3%B8-22mm-rojo-led-integrado-230-240v-ca/</v>
      </c>
      <c r="R354" s="30" t="s">
        <v>1136</v>
      </c>
      <c r="S354" s="34" t="b">
        <v>1</v>
      </c>
      <c r="T354" s="35" t="str">
        <f>IFERROR(__xludf.DUMMYFUNCTION(" IF
( VLOOKUP($G354,IMPORTRANGE(""https://docs.google.com/spreadsheets/d/1Gpl6jkTg7sL4VDNimUm3S9Vi1i95esohXCF3wuKOE8c"", ""'CONSOLIDADO'!G5:AB""), 10, 0) &lt;&gt; 0, 
IFERROR(VLOOKUP($G354,IMPORTRANGE(""https://docs.google.com/spreadsheets/d/1Gpl6jkTg7sL4VDNimU"&amp;"m3S9Vi1i95esohXCF3wuKOE8c"", ""'CONSOLIDADO'!G5:AB""), 17, 0), ""-""),
""""
)"),"SCHNEIDER ELECTRIC")</f>
        <v>SCHNEIDER ELECTRIC</v>
      </c>
      <c r="U354" s="35" t="s">
        <v>1137</v>
      </c>
      <c r="V354" s="36" t="str">
        <f>IFERROR(__xludf.DUMMYFUNCTION(" IF
( VLOOKUP($G354,IMPORTRANGE(""https://docs.google.com/spreadsheets/d/1Gpl6jkTg7sL4VDNimUm3S9Vi1i95esohXCF3wuKOE8c"", ""'CONSOLIDADO'!G5:AB""), 10, 0) &lt;&gt; 0, 
IFERROR(VLOOKUP($G354,IMPORTRANGE(""https://docs.google.com/spreadsheets/d/1Gpl6jkTg7sL4VDNimU"&amp;"m3S9Vi1i95esohXCF3wuKOE8c"", ""'CONSOLIDADO'!G5:AB""), 19, 0), ""-""),
""""
)"),"https://www.se.com/ar/es/product/XB7EV06MP/piloto-luminoso-azul-led-230vca/
https://www.se.com/es/es/product/XB7EV06BP/piloto-led-azul-24v-ac-dc-ip65/")</f>
        <v>https://www.se.com/ar/es/product/XB7EV06MP/piloto-luminoso-azul-led-230vca/
https://www.se.com/es/es/product/XB7EV06BP/piloto-led-azul-24v-ac-dc-ip65/</v>
      </c>
      <c r="W354" s="37" t="str">
        <f>IFERROR(__xludf.DUMMYFUNCTION("IFERROR(VLOOKUP(G354,IMPORTRANGE(""https://docs.google.com/spreadsheets/d/12RxCea4e5ggM7QGn1XE3FbLQa_-QbCNdBi90OdPjRqg"", ""'Plan de Compras'!D4:Q""), 12, 0), ""NO ESTÁ EN REQ"")"),"NO ESTÁ EN REQ")</f>
        <v>NO ESTÁ EN REQ</v>
      </c>
      <c r="X354" s="37" t="str">
        <f>IFERROR(__xludf.DUMMYFUNCTION("IFERROR(VLOOKUP(G354,IMPORTRANGE(""https://docs.google.com/spreadsheets/d/12RxCea4e5ggM7QGn1XE3FbLQa_-QbCNdBi90OdPjRqg"", ""'Plan de Compras'!D4:Q""), 13, 0), """")"),"")</f>
        <v/>
      </c>
      <c r="Y354" s="32" t="str">
        <f>IFERROR(__xludf.DUMMYFUNCTION("IFERROR(VLOOKUP(G354,IMPORTRANGE(""https://docs.google.com/spreadsheets/d/12RxCea4e5ggM7QGn1XE3FbLQa_-QbCNdBi90OdPjRqg"", ""'Plan de Compras'!D4:Q""), 14, 0), """")"),"")</f>
        <v/>
      </c>
      <c r="Z354" s="38" t="str">
        <f>IFERROR(__xludf.DUMMYFUNCTION("IFERROR(VLOOKUP(G354,IMPORTRANGE(""https://docs.google.com/spreadsheets/d/12RxCea4e5ggM7QGn1XE3FbLQa_-QbCNdBi90OdPjRqg"", ""'Plan de Compras'!D4:Q""), 4, 0), """")"),"")</f>
        <v/>
      </c>
      <c r="AA354" s="38" t="str">
        <f t="shared" si="16"/>
        <v>FALSE</v>
      </c>
      <c r="AB354" s="37" t="str">
        <f>IFERROR(__xludf.DUMMYFUNCTION("IFERROR(IF(OR(C354=TRUE,C354=""""),VLOOKUP(G354,IMPORTRANGE(""https://docs.google.com/spreadsheets/d/1z9A1Wq-kKrhRNG5RS2a2fKpY1wIhSVz2ZNmP2mOl588/edit?usp=sharing"",""REQ VF!E4:H""),4,0),""NO APLICA""),""GENERAR REQ"")"),"NO APLICA")</f>
        <v>NO APLICA</v>
      </c>
      <c r="AC354" s="37" t="str">
        <f>IFERROR(__xludf.DUMMYFUNCTION("IFERROR(QUERY(IMPORTRANGE(""https://docs.google.com/spreadsheets/d/1z9A1Wq-kKrhRNG5RS2a2fKpY1wIhSVz2ZNmP2mOl588/edit?usp=sharing"",""REQ VF!E4:Q""),""SELECT Col10, Col11, Col12 WHERE Col1 = '""&amp;G354&amp;""'"",0),""NO APLICA"")"),"NO APLICA")</f>
        <v>NO APLICA</v>
      </c>
      <c r="AD354" s="37"/>
      <c r="AE354" s="37"/>
      <c r="AF354" s="8" t="s">
        <v>52</v>
      </c>
      <c r="AG354" s="71"/>
    </row>
    <row r="355">
      <c r="A355" s="26"/>
      <c r="B355" s="26" t="b">
        <v>0</v>
      </c>
      <c r="C355" s="26" t="b">
        <v>1</v>
      </c>
      <c r="D355" s="26" t="s">
        <v>95</v>
      </c>
      <c r="E355" s="26"/>
      <c r="F355" s="27"/>
      <c r="G355" s="39" t="s">
        <v>1138</v>
      </c>
      <c r="H355" s="40" t="s">
        <v>1139</v>
      </c>
      <c r="I355" s="43">
        <v>60.0</v>
      </c>
      <c r="J355" s="26">
        <f>IFERROR(__xludf.DUMMYFUNCTION("VLOOKUP(G355,IMPORTRANGE(""https://docs.google.com/spreadsheets/d/12RxCea4e5ggM7QGn1XE3FbLQa_-QbCNdBi90OdPjRqg/edit?gid=1692403370#gid=1692403370"", ""'Plan de Compras'!D4:2432""), 8,0)"),60.0)</f>
        <v>60</v>
      </c>
      <c r="K355" s="26" t="str">
        <f t="shared" si="1"/>
        <v>SI</v>
      </c>
      <c r="L355" s="29"/>
      <c r="M355" s="61"/>
      <c r="N355" s="42"/>
      <c r="O355" s="32"/>
      <c r="P355" s="32"/>
      <c r="Q355" s="41"/>
      <c r="R355" s="61"/>
      <c r="S355" s="34" t="b">
        <v>1</v>
      </c>
      <c r="T355" s="35" t="s">
        <v>987</v>
      </c>
      <c r="U355" s="35"/>
      <c r="V355" s="35"/>
      <c r="W355" s="37"/>
      <c r="X355" s="37"/>
      <c r="Y355" s="32"/>
      <c r="Z355" s="38"/>
      <c r="AA355" s="38" t="str">
        <f t="shared" si="16"/>
        <v>FALSE</v>
      </c>
      <c r="AB355" s="37" t="str">
        <f>IFERROR(__xludf.DUMMYFUNCTION("IFERROR(IF(OR(C355=TRUE,C355=""""),VLOOKUP(G355,IMPORTRANGE(""https://docs.google.com/spreadsheets/d/1z9A1Wq-kKrhRNG5RS2a2fKpY1wIhSVz2ZNmP2mOl588/edit?usp=sharing"",""REQ VF!E4:H""),4,0),""NO APLICA""),""GENERAR REQ"")"),"GENERAR REQ")</f>
        <v>GENERAR REQ</v>
      </c>
      <c r="AC355" s="37" t="str">
        <f>IFERROR(__xludf.DUMMYFUNCTION("IFERROR(QUERY(IMPORTRANGE(""https://docs.google.com/spreadsheets/d/1z9A1Wq-kKrhRNG5RS2a2fKpY1wIhSVz2ZNmP2mOl588/edit?usp=sharing"",""REQ VF!E4:Q""),""SELECT Col10, Col11, Col12 WHERE Col1 = '""&amp;G355&amp;""'"",0),""NO APLICA"")"),"NO APLICA")</f>
        <v>NO APLICA</v>
      </c>
      <c r="AD355" s="37"/>
      <c r="AE355" s="37"/>
      <c r="AF355" s="8"/>
      <c r="AG355" s="71"/>
    </row>
    <row r="356">
      <c r="A356" s="26"/>
      <c r="B356" s="26" t="b">
        <v>0</v>
      </c>
      <c r="C356" s="26" t="b">
        <v>1</v>
      </c>
      <c r="D356" s="26" t="s">
        <v>95</v>
      </c>
      <c r="E356" s="26"/>
      <c r="F356" s="27"/>
      <c r="G356" s="39" t="s">
        <v>1140</v>
      </c>
      <c r="H356" s="40" t="s">
        <v>1141</v>
      </c>
      <c r="I356" s="43">
        <v>60.0</v>
      </c>
      <c r="J356" s="26">
        <f>IFERROR(__xludf.DUMMYFUNCTION("VLOOKUP(G356,IMPORTRANGE(""https://docs.google.com/spreadsheets/d/12RxCea4e5ggM7QGn1XE3FbLQa_-QbCNdBi90OdPjRqg/edit?gid=1692403370#gid=1692403370"", ""'Plan de Compras'!D4:2432""), 8,0)"),60.0)</f>
        <v>60</v>
      </c>
      <c r="K356" s="26" t="str">
        <f t="shared" si="1"/>
        <v>SI</v>
      </c>
      <c r="L356" s="29"/>
      <c r="M356" s="61"/>
      <c r="N356" s="42"/>
      <c r="O356" s="32"/>
      <c r="P356" s="32"/>
      <c r="Q356" s="41"/>
      <c r="R356" s="61"/>
      <c r="S356" s="34" t="b">
        <v>1</v>
      </c>
      <c r="T356" s="35" t="s">
        <v>987</v>
      </c>
      <c r="U356" s="35"/>
      <c r="V356" s="35"/>
      <c r="W356" s="37"/>
      <c r="X356" s="37"/>
      <c r="Y356" s="32"/>
      <c r="Z356" s="38"/>
      <c r="AA356" s="38" t="str">
        <f t="shared" si="16"/>
        <v>FALSE</v>
      </c>
      <c r="AB356" s="37" t="str">
        <f>IFERROR(__xludf.DUMMYFUNCTION("IFERROR(IF(OR(C356=TRUE,C356=""""),VLOOKUP(G356,IMPORTRANGE(""https://docs.google.com/spreadsheets/d/1z9A1Wq-kKrhRNG5RS2a2fKpY1wIhSVz2ZNmP2mOl588/edit?usp=sharing"",""REQ VF!E4:H""),4,0),""NO APLICA""),""GENERAR REQ"")"),"GENERAR REQ")</f>
        <v>GENERAR REQ</v>
      </c>
      <c r="AC356" s="37" t="str">
        <f>IFERROR(__xludf.DUMMYFUNCTION("IFERROR(QUERY(IMPORTRANGE(""https://docs.google.com/spreadsheets/d/1z9A1Wq-kKrhRNG5RS2a2fKpY1wIhSVz2ZNmP2mOl588/edit?usp=sharing"",""REQ VF!E4:Q""),""SELECT Col10, Col11, Col12 WHERE Col1 = '""&amp;G356&amp;""'"",0),""NO APLICA"")"),"NO APLICA")</f>
        <v>NO APLICA</v>
      </c>
      <c r="AD356" s="37"/>
      <c r="AE356" s="37"/>
      <c r="AF356" s="8"/>
      <c r="AG356" s="71"/>
    </row>
    <row r="357">
      <c r="A357" s="26"/>
      <c r="B357" s="26" t="b">
        <v>0</v>
      </c>
      <c r="C357" s="26" t="b">
        <v>1</v>
      </c>
      <c r="D357" s="26" t="s">
        <v>95</v>
      </c>
      <c r="E357" s="26"/>
      <c r="F357" s="27"/>
      <c r="G357" s="39" t="s">
        <v>1142</v>
      </c>
      <c r="H357" s="40" t="s">
        <v>1143</v>
      </c>
      <c r="I357" s="43">
        <v>60.0</v>
      </c>
      <c r="J357" s="26">
        <f>IFERROR(__xludf.DUMMYFUNCTION("VLOOKUP(G357,IMPORTRANGE(""https://docs.google.com/spreadsheets/d/12RxCea4e5ggM7QGn1XE3FbLQa_-QbCNdBi90OdPjRqg/edit?gid=1692403370#gid=1692403370"", ""'Plan de Compras'!D4:2432""), 8,0)"),60.0)</f>
        <v>60</v>
      </c>
      <c r="K357" s="26" t="str">
        <f t="shared" si="1"/>
        <v>SI</v>
      </c>
      <c r="L357" s="29"/>
      <c r="M357" s="61"/>
      <c r="N357" s="42"/>
      <c r="O357" s="32"/>
      <c r="P357" s="32"/>
      <c r="Q357" s="41"/>
      <c r="R357" s="61"/>
      <c r="S357" s="34" t="b">
        <v>1</v>
      </c>
      <c r="T357" s="35" t="s">
        <v>987</v>
      </c>
      <c r="U357" s="35"/>
      <c r="V357" s="35"/>
      <c r="W357" s="37"/>
      <c r="X357" s="37"/>
      <c r="Y357" s="32"/>
      <c r="Z357" s="38"/>
      <c r="AA357" s="38" t="str">
        <f t="shared" si="16"/>
        <v>FALSE</v>
      </c>
      <c r="AB357" s="37" t="str">
        <f>IFERROR(__xludf.DUMMYFUNCTION("IFERROR(IF(OR(C357=TRUE,C357=""""),VLOOKUP(G357,IMPORTRANGE(""https://docs.google.com/spreadsheets/d/1z9A1Wq-kKrhRNG5RS2a2fKpY1wIhSVz2ZNmP2mOl588/edit?usp=sharing"",""REQ VF!E4:H""),4,0),""NO APLICA""),""GENERAR REQ"")"),"GENERAR REQ")</f>
        <v>GENERAR REQ</v>
      </c>
      <c r="AC357" s="37" t="str">
        <f>IFERROR(__xludf.DUMMYFUNCTION("IFERROR(QUERY(IMPORTRANGE(""https://docs.google.com/spreadsheets/d/1z9A1Wq-kKrhRNG5RS2a2fKpY1wIhSVz2ZNmP2mOl588/edit?usp=sharing"",""REQ VF!E4:Q""),""SELECT Col10, Col11, Col12 WHERE Col1 = '""&amp;G357&amp;""'"",0),""NO APLICA"")"),"NO APLICA")</f>
        <v>NO APLICA</v>
      </c>
      <c r="AD357" s="37"/>
      <c r="AE357" s="37"/>
      <c r="AF357" s="8"/>
      <c r="AG357" s="71"/>
    </row>
    <row r="358">
      <c r="A358" s="26"/>
      <c r="B358" s="26" t="b">
        <v>0</v>
      </c>
      <c r="C358" s="26" t="b">
        <v>1</v>
      </c>
      <c r="D358" s="26" t="s">
        <v>95</v>
      </c>
      <c r="E358" s="26"/>
      <c r="F358" s="27"/>
      <c r="G358" s="39" t="s">
        <v>1144</v>
      </c>
      <c r="H358" s="40" t="s">
        <v>1145</v>
      </c>
      <c r="I358" s="43">
        <v>60.0</v>
      </c>
      <c r="J358" s="26">
        <f>IFERROR(__xludf.DUMMYFUNCTION("VLOOKUP(G358,IMPORTRANGE(""https://docs.google.com/spreadsheets/d/12RxCea4e5ggM7QGn1XE3FbLQa_-QbCNdBi90OdPjRqg/edit?gid=1692403370#gid=1692403370"", ""'Plan de Compras'!D4:2432""), 8,0)"),60.0)</f>
        <v>60</v>
      </c>
      <c r="K358" s="26" t="str">
        <f t="shared" si="1"/>
        <v>SI</v>
      </c>
      <c r="L358" s="29"/>
      <c r="M358" s="61"/>
      <c r="N358" s="42"/>
      <c r="O358" s="32"/>
      <c r="P358" s="32"/>
      <c r="Q358" s="41"/>
      <c r="R358" s="61"/>
      <c r="S358" s="34" t="b">
        <v>1</v>
      </c>
      <c r="T358" s="35" t="s">
        <v>987</v>
      </c>
      <c r="U358" s="35"/>
      <c r="V358" s="35"/>
      <c r="W358" s="37"/>
      <c r="X358" s="37"/>
      <c r="Y358" s="32"/>
      <c r="Z358" s="38"/>
      <c r="AA358" s="38" t="str">
        <f t="shared" si="16"/>
        <v>FALSE</v>
      </c>
      <c r="AB358" s="37" t="str">
        <f>IFERROR(__xludf.DUMMYFUNCTION("IFERROR(IF(OR(C358=TRUE,C358=""""),VLOOKUP(G358,IMPORTRANGE(""https://docs.google.com/spreadsheets/d/1z9A1Wq-kKrhRNG5RS2a2fKpY1wIhSVz2ZNmP2mOl588/edit?usp=sharing"",""REQ VF!E4:H""),4,0),""NO APLICA""),""GENERAR REQ"")"),"GENERAR REQ")</f>
        <v>GENERAR REQ</v>
      </c>
      <c r="AC358" s="37" t="str">
        <f>IFERROR(__xludf.DUMMYFUNCTION("IFERROR(QUERY(IMPORTRANGE(""https://docs.google.com/spreadsheets/d/1z9A1Wq-kKrhRNG5RS2a2fKpY1wIhSVz2ZNmP2mOl588/edit?usp=sharing"",""REQ VF!E4:Q""),""SELECT Col10, Col11, Col12 WHERE Col1 = '""&amp;G358&amp;""'"",0),""NO APLICA"")"),"NO APLICA")</f>
        <v>NO APLICA</v>
      </c>
      <c r="AD358" s="37"/>
      <c r="AE358" s="37"/>
      <c r="AF358" s="8"/>
      <c r="AG358" s="71"/>
    </row>
    <row r="359">
      <c r="A359" s="26"/>
      <c r="B359" s="26" t="b">
        <v>0</v>
      </c>
      <c r="C359" s="26" t="b">
        <v>1</v>
      </c>
      <c r="D359" s="26" t="s">
        <v>95</v>
      </c>
      <c r="E359" s="26"/>
      <c r="F359" s="27"/>
      <c r="G359" s="39" t="s">
        <v>1146</v>
      </c>
      <c r="H359" s="40" t="s">
        <v>1147</v>
      </c>
      <c r="I359" s="43">
        <v>60.0</v>
      </c>
      <c r="J359" s="26">
        <f>IFERROR(__xludf.DUMMYFUNCTION("VLOOKUP(G359,IMPORTRANGE(""https://docs.google.com/spreadsheets/d/12RxCea4e5ggM7QGn1XE3FbLQa_-QbCNdBi90OdPjRqg/edit?gid=1692403370#gid=1692403370"", ""'Plan de Compras'!D4:2432""), 8,0)"),60.0)</f>
        <v>60</v>
      </c>
      <c r="K359" s="26" t="str">
        <f t="shared" si="1"/>
        <v>SI</v>
      </c>
      <c r="L359" s="29"/>
      <c r="M359" s="61"/>
      <c r="N359" s="42"/>
      <c r="O359" s="32"/>
      <c r="P359" s="32"/>
      <c r="Q359" s="41"/>
      <c r="R359" s="61"/>
      <c r="S359" s="34" t="b">
        <v>1</v>
      </c>
      <c r="T359" s="35" t="s">
        <v>987</v>
      </c>
      <c r="U359" s="35"/>
      <c r="V359" s="35"/>
      <c r="W359" s="37"/>
      <c r="X359" s="37"/>
      <c r="Y359" s="32"/>
      <c r="Z359" s="38"/>
      <c r="AA359" s="38" t="str">
        <f t="shared" si="16"/>
        <v>FALSE</v>
      </c>
      <c r="AB359" s="37" t="str">
        <f>IFERROR(__xludf.DUMMYFUNCTION("IFERROR(IF(OR(C359=TRUE,C359=""""),VLOOKUP(G359,IMPORTRANGE(""https://docs.google.com/spreadsheets/d/1z9A1Wq-kKrhRNG5RS2a2fKpY1wIhSVz2ZNmP2mOl588/edit?usp=sharing"",""REQ VF!E4:H""),4,0),""NO APLICA""),""GENERAR REQ"")"),"GENERAR REQ")</f>
        <v>GENERAR REQ</v>
      </c>
      <c r="AC359" s="37" t="str">
        <f>IFERROR(__xludf.DUMMYFUNCTION("IFERROR(QUERY(IMPORTRANGE(""https://docs.google.com/spreadsheets/d/1z9A1Wq-kKrhRNG5RS2a2fKpY1wIhSVz2ZNmP2mOl588/edit?usp=sharing"",""REQ VF!E4:Q""),""SELECT Col10, Col11, Col12 WHERE Col1 = '""&amp;G359&amp;""'"",0),""NO APLICA"")"),"NO APLICA")</f>
        <v>NO APLICA</v>
      </c>
      <c r="AD359" s="37"/>
      <c r="AE359" s="37"/>
      <c r="AF359" s="8"/>
      <c r="AG359" s="71"/>
    </row>
    <row r="360">
      <c r="A360" s="26"/>
      <c r="B360" s="26" t="b">
        <v>0</v>
      </c>
      <c r="C360" s="26" t="b">
        <v>1</v>
      </c>
      <c r="D360" s="26" t="s">
        <v>95</v>
      </c>
      <c r="E360" s="26"/>
      <c r="F360" s="27"/>
      <c r="G360" s="39" t="s">
        <v>1148</v>
      </c>
      <c r="H360" s="40" t="s">
        <v>1149</v>
      </c>
      <c r="I360" s="43">
        <v>60.0</v>
      </c>
      <c r="J360" s="26">
        <f>IFERROR(__xludf.DUMMYFUNCTION("VLOOKUP(G360,IMPORTRANGE(""https://docs.google.com/spreadsheets/d/12RxCea4e5ggM7QGn1XE3FbLQa_-QbCNdBi90OdPjRqg/edit?gid=1692403370#gid=1692403370"", ""'Plan de Compras'!D4:2432""), 8,0)"),60.0)</f>
        <v>60</v>
      </c>
      <c r="K360" s="26" t="str">
        <f t="shared" si="1"/>
        <v>SI</v>
      </c>
      <c r="L360" s="29"/>
      <c r="M360" s="61"/>
      <c r="N360" s="42"/>
      <c r="O360" s="32"/>
      <c r="P360" s="32"/>
      <c r="Q360" s="41"/>
      <c r="R360" s="61"/>
      <c r="S360" s="34" t="b">
        <v>1</v>
      </c>
      <c r="T360" s="35" t="s">
        <v>987</v>
      </c>
      <c r="U360" s="35"/>
      <c r="V360" s="35"/>
      <c r="W360" s="37"/>
      <c r="X360" s="37"/>
      <c r="Y360" s="32"/>
      <c r="Z360" s="38"/>
      <c r="AA360" s="38" t="str">
        <f t="shared" si="16"/>
        <v>FALSE</v>
      </c>
      <c r="AB360" s="37" t="str">
        <f>IFERROR(__xludf.DUMMYFUNCTION("IFERROR(IF(OR(C360=TRUE,C360=""""),VLOOKUP(G360,IMPORTRANGE(""https://docs.google.com/spreadsheets/d/1z9A1Wq-kKrhRNG5RS2a2fKpY1wIhSVz2ZNmP2mOl588/edit?usp=sharing"",""REQ VF!E4:H""),4,0),""NO APLICA""),""GENERAR REQ"")"),"GENERAR REQ")</f>
        <v>GENERAR REQ</v>
      </c>
      <c r="AC360" s="37" t="str">
        <f>IFERROR(__xludf.DUMMYFUNCTION("IFERROR(QUERY(IMPORTRANGE(""https://docs.google.com/spreadsheets/d/1z9A1Wq-kKrhRNG5RS2a2fKpY1wIhSVz2ZNmP2mOl588/edit?usp=sharing"",""REQ VF!E4:Q""),""SELECT Col10, Col11, Col12 WHERE Col1 = '""&amp;G360&amp;""'"",0),""NO APLICA"")"),"NO APLICA")</f>
        <v>NO APLICA</v>
      </c>
      <c r="AD360" s="37"/>
      <c r="AE360" s="37"/>
      <c r="AF360" s="8"/>
      <c r="AG360" s="71"/>
    </row>
    <row r="361">
      <c r="A361" s="26"/>
      <c r="B361" s="26" t="b">
        <v>0</v>
      </c>
      <c r="C361" s="26" t="b">
        <v>1</v>
      </c>
      <c r="D361" s="26" t="s">
        <v>95</v>
      </c>
      <c r="E361" s="26"/>
      <c r="F361" s="27"/>
      <c r="G361" s="39" t="s">
        <v>1150</v>
      </c>
      <c r="H361" s="40" t="s">
        <v>1151</v>
      </c>
      <c r="I361" s="43">
        <v>60.0</v>
      </c>
      <c r="J361" s="26">
        <f>IFERROR(__xludf.DUMMYFUNCTION("VLOOKUP(G361,IMPORTRANGE(""https://docs.google.com/spreadsheets/d/12RxCea4e5ggM7QGn1XE3FbLQa_-QbCNdBi90OdPjRqg/edit?gid=1692403370#gid=1692403370"", ""'Plan de Compras'!D4:2432""), 8,0)"),60.0)</f>
        <v>60</v>
      </c>
      <c r="K361" s="26" t="str">
        <f t="shared" si="1"/>
        <v>SI</v>
      </c>
      <c r="L361" s="29"/>
      <c r="M361" s="61"/>
      <c r="N361" s="42"/>
      <c r="O361" s="32"/>
      <c r="P361" s="32"/>
      <c r="Q361" s="41"/>
      <c r="R361" s="61"/>
      <c r="S361" s="34" t="b">
        <v>1</v>
      </c>
      <c r="T361" s="35" t="s">
        <v>987</v>
      </c>
      <c r="U361" s="35"/>
      <c r="V361" s="35"/>
      <c r="W361" s="37"/>
      <c r="X361" s="37"/>
      <c r="Y361" s="32"/>
      <c r="Z361" s="38"/>
      <c r="AA361" s="38" t="str">
        <f t="shared" si="16"/>
        <v>FALSE</v>
      </c>
      <c r="AB361" s="37" t="str">
        <f>IFERROR(__xludf.DUMMYFUNCTION("IFERROR(IF(OR(C361=TRUE,C361=""""),VLOOKUP(G361,IMPORTRANGE(""https://docs.google.com/spreadsheets/d/1z9A1Wq-kKrhRNG5RS2a2fKpY1wIhSVz2ZNmP2mOl588/edit?usp=sharing"",""REQ VF!E4:H""),4,0),""NO APLICA""),""GENERAR REQ"")"),"GENERAR REQ")</f>
        <v>GENERAR REQ</v>
      </c>
      <c r="AC361" s="37" t="str">
        <f>IFERROR(__xludf.DUMMYFUNCTION("IFERROR(QUERY(IMPORTRANGE(""https://docs.google.com/spreadsheets/d/1z9A1Wq-kKrhRNG5RS2a2fKpY1wIhSVz2ZNmP2mOl588/edit?usp=sharing"",""REQ VF!E4:Q""),""SELECT Col10, Col11, Col12 WHERE Col1 = '""&amp;G361&amp;""'"",0),""NO APLICA"")"),"NO APLICA")</f>
        <v>NO APLICA</v>
      </c>
      <c r="AD361" s="37"/>
      <c r="AE361" s="37"/>
      <c r="AF361" s="8"/>
      <c r="AG361" s="71"/>
    </row>
    <row r="362">
      <c r="A362" s="26"/>
      <c r="B362" s="26" t="b">
        <v>0</v>
      </c>
      <c r="C362" s="26" t="b">
        <v>1</v>
      </c>
      <c r="D362" s="26" t="s">
        <v>95</v>
      </c>
      <c r="E362" s="26"/>
      <c r="F362" s="27"/>
      <c r="G362" s="39" t="s">
        <v>1152</v>
      </c>
      <c r="H362" s="40" t="s">
        <v>1153</v>
      </c>
      <c r="I362" s="43">
        <v>60.0</v>
      </c>
      <c r="J362" s="26">
        <f>IFERROR(__xludf.DUMMYFUNCTION("VLOOKUP(G362,IMPORTRANGE(""https://docs.google.com/spreadsheets/d/12RxCea4e5ggM7QGn1XE3FbLQa_-QbCNdBi90OdPjRqg/edit?gid=1692403370#gid=1692403370"", ""'Plan de Compras'!D4:2432""), 8,0)"),60.0)</f>
        <v>60</v>
      </c>
      <c r="K362" s="26" t="str">
        <f t="shared" si="1"/>
        <v>SI</v>
      </c>
      <c r="L362" s="29"/>
      <c r="M362" s="61"/>
      <c r="N362" s="42"/>
      <c r="O362" s="32"/>
      <c r="P362" s="32"/>
      <c r="Q362" s="41"/>
      <c r="R362" s="61"/>
      <c r="S362" s="34" t="b">
        <v>1</v>
      </c>
      <c r="T362" s="35" t="s">
        <v>987</v>
      </c>
      <c r="U362" s="35"/>
      <c r="V362" s="35"/>
      <c r="W362" s="37"/>
      <c r="X362" s="37"/>
      <c r="Y362" s="32"/>
      <c r="Z362" s="38"/>
      <c r="AA362" s="38" t="str">
        <f t="shared" si="16"/>
        <v>FALSE</v>
      </c>
      <c r="AB362" s="37" t="str">
        <f>IFERROR(__xludf.DUMMYFUNCTION("IFERROR(IF(OR(C362=TRUE,C362=""""),VLOOKUP(G362,IMPORTRANGE(""https://docs.google.com/spreadsheets/d/1z9A1Wq-kKrhRNG5RS2a2fKpY1wIhSVz2ZNmP2mOl588/edit?usp=sharing"",""REQ VF!E4:H""),4,0),""NO APLICA""),""GENERAR REQ"")"),"GENERAR REQ")</f>
        <v>GENERAR REQ</v>
      </c>
      <c r="AC362" s="37" t="str">
        <f>IFERROR(__xludf.DUMMYFUNCTION("IFERROR(QUERY(IMPORTRANGE(""https://docs.google.com/spreadsheets/d/1z9A1Wq-kKrhRNG5RS2a2fKpY1wIhSVz2ZNmP2mOl588/edit?usp=sharing"",""REQ VF!E4:Q""),""SELECT Col10, Col11, Col12 WHERE Col1 = '""&amp;G362&amp;""'"",0),""NO APLICA"")"),"NO APLICA")</f>
        <v>NO APLICA</v>
      </c>
      <c r="AD362" s="37"/>
      <c r="AE362" s="37"/>
      <c r="AF362" s="8"/>
      <c r="AG362" s="71"/>
    </row>
    <row r="363">
      <c r="A363" s="26"/>
      <c r="B363" s="26" t="b">
        <v>0</v>
      </c>
      <c r="C363" s="26" t="b">
        <v>1</v>
      </c>
      <c r="D363" s="26" t="s">
        <v>95</v>
      </c>
      <c r="E363" s="26"/>
      <c r="F363" s="27"/>
      <c r="G363" s="39" t="s">
        <v>1154</v>
      </c>
      <c r="H363" s="40" t="s">
        <v>1155</v>
      </c>
      <c r="I363" s="43">
        <v>60.0</v>
      </c>
      <c r="J363" s="26">
        <f>IFERROR(__xludf.DUMMYFUNCTION("VLOOKUP(G363,IMPORTRANGE(""https://docs.google.com/spreadsheets/d/12RxCea4e5ggM7QGn1XE3FbLQa_-QbCNdBi90OdPjRqg/edit?gid=1692403370#gid=1692403370"", ""'Plan de Compras'!D4:2432""), 8,0)"),60.0)</f>
        <v>60</v>
      </c>
      <c r="K363" s="26" t="str">
        <f t="shared" si="1"/>
        <v>SI</v>
      </c>
      <c r="L363" s="29"/>
      <c r="M363" s="61"/>
      <c r="N363" s="42"/>
      <c r="O363" s="32"/>
      <c r="P363" s="32"/>
      <c r="Q363" s="41"/>
      <c r="R363" s="61"/>
      <c r="S363" s="34" t="b">
        <v>1</v>
      </c>
      <c r="T363" s="35" t="s">
        <v>987</v>
      </c>
      <c r="U363" s="35"/>
      <c r="V363" s="35"/>
      <c r="W363" s="37"/>
      <c r="X363" s="37"/>
      <c r="Y363" s="32"/>
      <c r="Z363" s="38"/>
      <c r="AA363" s="38" t="str">
        <f t="shared" si="16"/>
        <v>FALSE</v>
      </c>
      <c r="AB363" s="37" t="str">
        <f>IFERROR(__xludf.DUMMYFUNCTION("IFERROR(IF(OR(C363=TRUE,C363=""""),VLOOKUP(G363,IMPORTRANGE(""https://docs.google.com/spreadsheets/d/1z9A1Wq-kKrhRNG5RS2a2fKpY1wIhSVz2ZNmP2mOl588/edit?usp=sharing"",""REQ VF!E4:H""),4,0),""NO APLICA""),""GENERAR REQ"")"),"GENERAR REQ")</f>
        <v>GENERAR REQ</v>
      </c>
      <c r="AC363" s="37" t="str">
        <f>IFERROR(__xludf.DUMMYFUNCTION("IFERROR(QUERY(IMPORTRANGE(""https://docs.google.com/spreadsheets/d/1z9A1Wq-kKrhRNG5RS2a2fKpY1wIhSVz2ZNmP2mOl588/edit?usp=sharing"",""REQ VF!E4:Q""),""SELECT Col10, Col11, Col12 WHERE Col1 = '""&amp;G363&amp;""'"",0),""NO APLICA"")"),"NO APLICA")</f>
        <v>NO APLICA</v>
      </c>
      <c r="AD363" s="37"/>
      <c r="AE363" s="37"/>
      <c r="AF363" s="8"/>
      <c r="AG363" s="71"/>
    </row>
    <row r="364">
      <c r="A364" s="26"/>
      <c r="B364" s="26" t="b">
        <v>0</v>
      </c>
      <c r="C364" s="26" t="b">
        <v>1</v>
      </c>
      <c r="D364" s="26" t="s">
        <v>95</v>
      </c>
      <c r="E364" s="26"/>
      <c r="F364" s="27"/>
      <c r="G364" s="39" t="s">
        <v>1156</v>
      </c>
      <c r="H364" s="40" t="s">
        <v>1157</v>
      </c>
      <c r="I364" s="43">
        <v>60.0</v>
      </c>
      <c r="J364" s="26">
        <f>IFERROR(__xludf.DUMMYFUNCTION("VLOOKUP(G364,IMPORTRANGE(""https://docs.google.com/spreadsheets/d/12RxCea4e5ggM7QGn1XE3FbLQa_-QbCNdBi90OdPjRqg/edit?gid=1692403370#gid=1692403370"", ""'Plan de Compras'!D4:2432""), 8,0)"),60.0)</f>
        <v>60</v>
      </c>
      <c r="K364" s="26" t="str">
        <f t="shared" si="1"/>
        <v>SI</v>
      </c>
      <c r="L364" s="29"/>
      <c r="M364" s="61"/>
      <c r="N364" s="42"/>
      <c r="O364" s="32"/>
      <c r="P364" s="32"/>
      <c r="Q364" s="41"/>
      <c r="R364" s="61"/>
      <c r="S364" s="34" t="b">
        <v>1</v>
      </c>
      <c r="T364" s="35" t="s">
        <v>987</v>
      </c>
      <c r="U364" s="35"/>
      <c r="V364" s="35"/>
      <c r="W364" s="37"/>
      <c r="X364" s="37"/>
      <c r="Y364" s="32"/>
      <c r="Z364" s="38"/>
      <c r="AA364" s="38" t="str">
        <f t="shared" si="16"/>
        <v>FALSE</v>
      </c>
      <c r="AB364" s="37" t="str">
        <f>IFERROR(__xludf.DUMMYFUNCTION("IFERROR(IF(OR(C364=TRUE,C364=""""),VLOOKUP(G364,IMPORTRANGE(""https://docs.google.com/spreadsheets/d/1z9A1Wq-kKrhRNG5RS2a2fKpY1wIhSVz2ZNmP2mOl588/edit?usp=sharing"",""REQ VF!E4:H""),4,0),""NO APLICA""),""GENERAR REQ"")"),"GENERAR REQ")</f>
        <v>GENERAR REQ</v>
      </c>
      <c r="AC364" s="37" t="str">
        <f>IFERROR(__xludf.DUMMYFUNCTION("IFERROR(QUERY(IMPORTRANGE(""https://docs.google.com/spreadsheets/d/1z9A1Wq-kKrhRNG5RS2a2fKpY1wIhSVz2ZNmP2mOl588/edit?usp=sharing"",""REQ VF!E4:Q""),""SELECT Col10, Col11, Col12 WHERE Col1 = '""&amp;G364&amp;""'"",0),""NO APLICA"")"),"NO APLICA")</f>
        <v>NO APLICA</v>
      </c>
      <c r="AD364" s="37"/>
      <c r="AE364" s="37"/>
      <c r="AF364" s="8"/>
      <c r="AG364" s="71"/>
    </row>
    <row r="365">
      <c r="A365" s="26">
        <v>165.0</v>
      </c>
      <c r="B365" s="26" t="b">
        <v>1</v>
      </c>
      <c r="C365" s="26" t="b">
        <v>1</v>
      </c>
      <c r="D365" s="26" t="s">
        <v>35</v>
      </c>
      <c r="E365" s="26" t="s">
        <v>36</v>
      </c>
      <c r="F365" s="27" t="s">
        <v>1158</v>
      </c>
      <c r="G365" s="39" t="s">
        <v>1159</v>
      </c>
      <c r="H365" s="45" t="s">
        <v>1160</v>
      </c>
      <c r="I365" s="43">
        <f>SUMIFS('Hoja 10'!$O:$O,'Hoja 10'!$F:$F,$G365)</f>
        <v>12</v>
      </c>
      <c r="J365" s="26">
        <f>IFERROR(__xludf.DUMMYFUNCTION("VLOOKUP(G365,IMPORTRANGE(""https://docs.google.com/spreadsheets/d/12RxCea4e5ggM7QGn1XE3FbLQa_-QbCNdBi90OdPjRqg/edit?gid=1692403370#gid=1692403370"", ""'Plan de Compras'!D4:2432""), 8,0)"),12.0)</f>
        <v>12</v>
      </c>
      <c r="K365" s="26" t="str">
        <f t="shared" si="1"/>
        <v>SI</v>
      </c>
      <c r="L365" s="29" t="s">
        <v>180</v>
      </c>
      <c r="M365" s="30" t="s">
        <v>181</v>
      </c>
      <c r="N365" s="42"/>
      <c r="O365" s="32" t="str">
        <f>VLOOKUP($G365,'Hoja 10'!$F$4:$AA478, 19,0)</f>
        <v>Klein Tools</v>
      </c>
      <c r="P365" s="32" t="str">
        <f>VLOOKUP($G365,'Hoja 10'!$F$4:$AA478, 20,0)</f>
        <v>CL120KIT</v>
      </c>
      <c r="Q365" s="33" t="str">
        <f>VLOOKUP($G365,'Hoja 10'!$F$4:$AA478, 21,0)</f>
        <v>https://www.amazon.com/Klein-Tools-CL120KIT-Electrical-Auto-Ranging/dp/B08DSX4B27</v>
      </c>
      <c r="R365" s="30" t="s">
        <v>1161</v>
      </c>
      <c r="S365" s="34" t="b">
        <v>1</v>
      </c>
      <c r="T365" s="35" t="str">
        <f>IFERROR(__xludf.DUMMYFUNCTION(" IF
( VLOOKUP($G365,IMPORTRANGE(""https://docs.google.com/spreadsheets/d/1Gpl6jkTg7sL4VDNimUm3S9Vi1i95esohXCF3wuKOE8c"", ""'CONSOLIDADO'!G5:AB""), 10, 0) &lt;&gt; 0, 
IFERROR(VLOOKUP($G365,IMPORTRANGE(""https://docs.google.com/spreadsheets/d/1Gpl6jkTg7sL4VDNimU"&amp;"m3S9Vi1i95esohXCF3wuKOE8c"", ""'CONSOLIDADO'!G5:AB""), 17, 0), ""-""),
""""
)"),"Klein Tools")</f>
        <v>Klein Tools</v>
      </c>
      <c r="U365" s="35" t="str">
        <f>IFERROR(__xludf.DUMMYFUNCTION(" IF
( VLOOKUP($G365,IMPORTRANGE(""https://docs.google.com/spreadsheets/d/1Gpl6jkTg7sL4VDNimUm3S9Vi1i95esohXCF3wuKOE8c"", ""'CONSOLIDADO'!G5:AB""), 10, 0) &lt;&gt; 0, 
IFERROR(VLOOKUP($G365,IMPORTRANGE(""https://docs.google.com/spreadsheets/d/1Gpl6jkTg7sL4VDNimU"&amp;"m3S9Vi1i95esohXCF3wuKOE8c"", ""'CONSOLIDADO'!G5:AB""), 18, 0), ""-""),
""""
)"),"CL120KIT")</f>
        <v>CL120KIT</v>
      </c>
      <c r="V365" s="36" t="str">
        <f>IFERROR(__xludf.DUMMYFUNCTION(" IF
( VLOOKUP($G365,IMPORTRANGE(""https://docs.google.com/spreadsheets/d/1Gpl6jkTg7sL4VDNimUm3S9Vi1i95esohXCF3wuKOE8c"", ""'CONSOLIDADO'!G5:AB""), 10, 0) &lt;&gt; 0, 
IFERROR(VLOOKUP($G365,IMPORTRANGE(""https://docs.google.com/spreadsheets/d/1Gpl6jkTg7sL4VDNimU"&amp;"m3S9Vi1i95esohXCF3wuKOE8c"", ""'CONSOLIDADO'!G5:AB""), 19, 0), ""-""),
""""
)"),"https://www.amazon.com/Klein-Tools-CL120KIT-Electrical-Auto-Ranging/dp/B08DSX4B27")</f>
        <v>https://www.amazon.com/Klein-Tools-CL120KIT-Electrical-Auto-Ranging/dp/B08DSX4B27</v>
      </c>
      <c r="W365" s="37" t="str">
        <f>IFERROR(__xludf.DUMMYFUNCTION("IFERROR(VLOOKUP(G365,IMPORTRANGE(""https://docs.google.com/spreadsheets/d/12RxCea4e5ggM7QGn1XE3FbLQa_-QbCNdBi90OdPjRqg"", ""'Plan de Compras'!D4:Q""), 12, 0), ""NO ESTÁ EN REQ"")"),"Técnica")</f>
        <v>Técnica</v>
      </c>
      <c r="X365" s="37" t="str">
        <f>IFERROR(__xludf.DUMMYFUNCTION("IFERROR(VLOOKUP(G365,IMPORTRANGE(""https://docs.google.com/spreadsheets/d/12RxCea4e5ggM7QGn1XE3FbLQa_-QbCNdBi90OdPjRqg"", ""'Plan de Compras'!D4:Q""), 13, 0), """")"),"INTERNACIONAL")</f>
        <v>INTERNACIONAL</v>
      </c>
      <c r="Y365" s="32" t="str">
        <f>IFERROR(__xludf.DUMMYFUNCTION("IFERROR(VLOOKUP(G365,IMPORTRANGE(""https://docs.google.com/spreadsheets/d/12RxCea4e5ggM7QGn1XE3FbLQa_-QbCNdBi90OdPjRqg"", ""'Plan de Compras'!D4:Q""), 14, 0), """")"),"GEYDI")</f>
        <v>GEYDI</v>
      </c>
      <c r="Z365" s="38" t="str">
        <f>IFERROR(__xludf.DUMMYFUNCTION("IFERROR(VLOOKUP(G365,IMPORTRANGE(""https://docs.google.com/spreadsheets/d/12RxCea4e5ggM7QGn1XE3FbLQa_-QbCNdBi90OdPjRqg"", ""'Plan de Compras'!D4:Q""), 4, 0), """")"),"PINZA AMPERIMÉTRICA")</f>
        <v>PINZA AMPERIMÉTRICA</v>
      </c>
      <c r="AA365" s="38" t="str">
        <f t="shared" si="16"/>
        <v>TRUE</v>
      </c>
      <c r="AB365" s="37" t="str">
        <f>IFERROR(__xludf.DUMMYFUNCTION("IFERROR(IF(OR(C365=TRUE,C365=""""),VLOOKUP(G365,IMPORTRANGE(""https://docs.google.com/spreadsheets/d/1z9A1Wq-kKrhRNG5RS2a2fKpY1wIhSVz2ZNmP2mOl588/edit?usp=sharing"",""REQ VF!E4:H""),4,0),""NO APLICA""),""GENERAR REQ"")"),"GENERAR REQ")</f>
        <v>GENERAR REQ</v>
      </c>
      <c r="AC365" s="37" t="str">
        <f>IFERROR(__xludf.DUMMYFUNCTION("IFERROR(QUERY(IMPORTRANGE(""https://docs.google.com/spreadsheets/d/1z9A1Wq-kKrhRNG5RS2a2fKpY1wIhSVz2ZNmP2mOl588/edit?usp=sharing"",""REQ VF!E4:Q""),""SELECT Col10, Col11, Col12 WHERE Col1 = '""&amp;G365&amp;""'"",0),""NO APLICA"")"),"NO APLICA")</f>
        <v>NO APLICA</v>
      </c>
      <c r="AD365" s="37"/>
      <c r="AE365" s="37"/>
      <c r="AF365" s="8" t="s">
        <v>52</v>
      </c>
      <c r="AG365" s="13"/>
    </row>
    <row r="366">
      <c r="A366" s="26"/>
      <c r="B366" s="26"/>
      <c r="C366" s="26" t="b">
        <v>1</v>
      </c>
      <c r="D366" s="43" t="s">
        <v>42</v>
      </c>
      <c r="E366" s="43" t="s">
        <v>36</v>
      </c>
      <c r="F366" s="37" t="s">
        <v>1158</v>
      </c>
      <c r="G366" s="39" t="s">
        <v>1162</v>
      </c>
      <c r="H366" s="66" t="s">
        <v>1163</v>
      </c>
      <c r="I366" s="43">
        <v>36.0</v>
      </c>
      <c r="J366" s="26">
        <f>IFERROR(__xludf.DUMMYFUNCTION("VLOOKUP(G366,IMPORTRANGE(""https://docs.google.com/spreadsheets/d/12RxCea4e5ggM7QGn1XE3FbLQa_-QbCNdBi90OdPjRqg/edit?gid=1692403370#gid=1692403370"", ""'Plan de Compras'!D4:2432""), 8,0)"),36.0)</f>
        <v>36</v>
      </c>
      <c r="K366" s="26" t="str">
        <f t="shared" si="1"/>
        <v>SI</v>
      </c>
      <c r="L366" s="26"/>
      <c r="M366" s="47"/>
      <c r="N366" s="104" t="s">
        <v>1164</v>
      </c>
      <c r="O366" s="42"/>
      <c r="P366" s="42"/>
      <c r="Q366" s="105" t="s">
        <v>1165</v>
      </c>
      <c r="R366" s="47"/>
      <c r="S366" s="34" t="b">
        <v>1</v>
      </c>
      <c r="T366" s="35" t="s">
        <v>1166</v>
      </c>
      <c r="U366" s="35" t="s">
        <v>1167</v>
      </c>
      <c r="V366" s="44"/>
      <c r="W366" s="37" t="str">
        <f>IFERROR(__xludf.DUMMYFUNCTION("IFERROR(VLOOKUP(G366,IMPORTRANGE(""https://docs.google.com/spreadsheets/d/12RxCea4e5ggM7QGn1XE3FbLQa_-QbCNdBi90OdPjRqg"", ""'Plan de Compras'!D4:Q""), 12, 0), ""NO ESTÁ EN REQ"")"),"Técnica")</f>
        <v>Técnica</v>
      </c>
      <c r="X366" s="37" t="str">
        <f>IFERROR(__xludf.DUMMYFUNCTION("IFERROR(VLOOKUP(G366,IMPORTRANGE(""https://docs.google.com/spreadsheets/d/12RxCea4e5ggM7QGn1XE3FbLQa_-QbCNdBi90OdPjRqg"", ""'Plan de Compras'!D4:Q""), 13, 0), """")"),"NACIONAL")</f>
        <v>NACIONAL</v>
      </c>
      <c r="Y366" s="32" t="str">
        <f>IFERROR(__xludf.DUMMYFUNCTION("IFERROR(VLOOKUP(G366,IMPORTRANGE(""https://docs.google.com/spreadsheets/d/12RxCea4e5ggM7QGn1XE3FbLQa_-QbCNdBi90OdPjRqg"", ""'Plan de Compras'!D4:Q""), 14, 0), """")"),"ALFIO")</f>
        <v>ALFIO</v>
      </c>
      <c r="Z366" s="38" t="str">
        <f>IFERROR(__xludf.DUMMYFUNCTION("IFERROR(VLOOKUP(G366,IMPORTRANGE(""https://docs.google.com/spreadsheets/d/12RxCea4e5ggM7QGn1XE3FbLQa_-QbCNdBi90OdPjRqg"", ""'Plan de Compras'!D4:Q""), 4, 0), """")"),"PAQUETE DE 3 PILAS  AAA (3 UND)")</f>
        <v>PAQUETE DE 3 PILAS  AAA (3 UND)</v>
      </c>
      <c r="AA366" s="38" t="str">
        <f t="shared" si="16"/>
        <v>FALSE</v>
      </c>
      <c r="AB366" s="37" t="str">
        <f>IFERROR(__xludf.DUMMYFUNCTION("IFERROR(IF(OR(C366=TRUE,C366=""""),VLOOKUP(G366,IMPORTRANGE(""https://docs.google.com/spreadsheets/d/1z9A1Wq-kKrhRNG5RS2a2fKpY1wIhSVz2ZNmP2mOl588/edit?usp=sharing"",""REQ VF!E4:H""),4,0),""NO APLICA""),""GENERAR REQ"")"),"GENERAR REQ")</f>
        <v>GENERAR REQ</v>
      </c>
      <c r="AC366" s="37" t="str">
        <f>IFERROR(__xludf.DUMMYFUNCTION("IFERROR(QUERY(IMPORTRANGE(""https://docs.google.com/spreadsheets/d/1z9A1Wq-kKrhRNG5RS2a2fKpY1wIhSVz2ZNmP2mOl588/edit?usp=sharing"",""REQ VF!E4:Q""),""SELECT Col10, Col11, Col12 WHERE Col1 = '""&amp;G366&amp;""'"",0),""NO APLICA"")"),"NO APLICA")</f>
        <v>NO APLICA</v>
      </c>
      <c r="AD366" s="37"/>
      <c r="AE366" s="37"/>
      <c r="AF366" s="13"/>
      <c r="AG366" s="13"/>
    </row>
    <row r="367">
      <c r="A367" s="26"/>
      <c r="B367" s="26" t="b">
        <v>0</v>
      </c>
      <c r="C367" s="26" t="b">
        <v>0</v>
      </c>
      <c r="D367" s="26" t="s">
        <v>42</v>
      </c>
      <c r="E367" s="26" t="s">
        <v>36</v>
      </c>
      <c r="F367" s="27" t="s">
        <v>1158</v>
      </c>
      <c r="G367" s="39" t="s">
        <v>1168</v>
      </c>
      <c r="H367" s="40" t="s">
        <v>176</v>
      </c>
      <c r="I367" s="43"/>
      <c r="J367" s="26" t="str">
        <f>IFERROR(__xludf.DUMMYFUNCTION("VLOOKUP(G367,IMPORTRANGE(""https://docs.google.com/spreadsheets/d/12RxCea4e5ggM7QGn1XE3FbLQa_-QbCNdBi90OdPjRqg/edit?gid=1692403370#gid=1692403370"", ""'Plan de Compras'!D4:2432""), 8,0)"),"#N/A")</f>
        <v>#N/A</v>
      </c>
      <c r="K367" s="26" t="str">
        <f t="shared" si="1"/>
        <v>-</v>
      </c>
      <c r="L367" s="29"/>
      <c r="M367" s="61"/>
      <c r="N367" s="42"/>
      <c r="O367" s="32"/>
      <c r="P367" s="32"/>
      <c r="Q367" s="41"/>
      <c r="R367" s="61"/>
      <c r="S367" s="34" t="b">
        <v>0</v>
      </c>
      <c r="T367" s="35"/>
      <c r="U367" s="35"/>
      <c r="V367" s="35"/>
      <c r="W367" s="37"/>
      <c r="X367" s="37"/>
      <c r="Y367" s="32"/>
      <c r="Z367" s="38"/>
      <c r="AA367" s="38" t="str">
        <f t="shared" si="16"/>
        <v>FALSE</v>
      </c>
      <c r="AB367" s="37" t="str">
        <f>IFERROR(__xludf.DUMMYFUNCTION("IFERROR(IF(OR(C367=TRUE,C367=""""),VLOOKUP(G367,IMPORTRANGE(""https://docs.google.com/spreadsheets/d/1z9A1Wq-kKrhRNG5RS2a2fKpY1wIhSVz2ZNmP2mOl588/edit?usp=sharing"",""REQ VF!E4:H""),4,0),""NO APLICA""),""GENERAR REQ"")"),"NO APLICA")</f>
        <v>NO APLICA</v>
      </c>
      <c r="AC367" s="37" t="str">
        <f>IFERROR(__xludf.DUMMYFUNCTION("IFERROR(QUERY(IMPORTRANGE(""https://docs.google.com/spreadsheets/d/1z9A1Wq-kKrhRNG5RS2a2fKpY1wIhSVz2ZNmP2mOl588/edit?usp=sharing"",""REQ VF!E4:Q""),""SELECT Col10, Col11, Col12 WHERE Col1 = '""&amp;G367&amp;""'"",0),""NO APLICA"")"),"NO APLICA")</f>
        <v>NO APLICA</v>
      </c>
      <c r="AD367" s="37"/>
      <c r="AE367" s="37"/>
      <c r="AF367" s="8"/>
      <c r="AG367" s="13"/>
    </row>
    <row r="368">
      <c r="A368" s="26">
        <v>166.0</v>
      </c>
      <c r="B368" s="26" t="b">
        <v>1</v>
      </c>
      <c r="C368" s="26" t="b">
        <v>1</v>
      </c>
      <c r="D368" s="26" t="s">
        <v>35</v>
      </c>
      <c r="E368" s="26" t="s">
        <v>36</v>
      </c>
      <c r="F368" s="27" t="s">
        <v>1158</v>
      </c>
      <c r="G368" s="39" t="s">
        <v>1169</v>
      </c>
      <c r="H368" s="45" t="s">
        <v>1160</v>
      </c>
      <c r="I368" s="43">
        <f>SUMIFS('Hoja 10'!$O:$O,'Hoja 10'!$F:$F,$G368)</f>
        <v>6</v>
      </c>
      <c r="J368" s="26">
        <f>IFERROR(__xludf.DUMMYFUNCTION("VLOOKUP(G368,IMPORTRANGE(""https://docs.google.com/spreadsheets/d/12RxCea4e5ggM7QGn1XE3FbLQa_-QbCNdBi90OdPjRqg/edit?gid=1692403370#gid=1692403370"", ""'Plan de Compras'!D4:2432""), 8,0)"),6.0)</f>
        <v>6</v>
      </c>
      <c r="K368" s="26" t="str">
        <f t="shared" si="1"/>
        <v>SI</v>
      </c>
      <c r="L368" s="29" t="s">
        <v>127</v>
      </c>
      <c r="M368" s="30" t="s">
        <v>105</v>
      </c>
      <c r="N368" s="42"/>
      <c r="O368" s="32" t="str">
        <f>VLOOKUP($G368,'Hoja 10'!$F$4:$AA478, 19,0)</f>
        <v>HABOTEST</v>
      </c>
      <c r="P368" s="32" t="str">
        <f>VLOOKUP($G368,'Hoja 10'!$F$4:$AA478, 20,0)</f>
        <v>HT208D</v>
      </c>
      <c r="Q368" s="33" t="str">
        <f>VLOOKUP($G368,'Hoja 10'!$F$4:$AA478, 21,0)</f>
        <v>https://www.kusitest.pe/pinza-amperimetrica-true-rms-1000a-acdc-ncv-auto-rango-habotest-ht208d</v>
      </c>
      <c r="R368" s="30" t="s">
        <v>1170</v>
      </c>
      <c r="S368" s="34" t="b">
        <v>1</v>
      </c>
      <c r="T368" s="35" t="str">
        <f>IFERROR(__xludf.DUMMYFUNCTION(" IF
( VLOOKUP($G368,IMPORTRANGE(""https://docs.google.com/spreadsheets/d/1Gpl6jkTg7sL4VDNimUm3S9Vi1i95esohXCF3wuKOE8c"", ""'CONSOLIDADO'!G5:AB""), 10, 0) &lt;&gt; 0, 
IFERROR(VLOOKUP($G368,IMPORTRANGE(""https://docs.google.com/spreadsheets/d/1Gpl6jkTg7sL4VDNimU"&amp;"m3S9Vi1i95esohXCF3wuKOE8c"", ""'CONSOLIDADO'!G5:AB""), 17, 0), ""-""),
""""
)"),"HABOTEST")</f>
        <v>HABOTEST</v>
      </c>
      <c r="U368" s="35" t="str">
        <f>IFERROR(__xludf.DUMMYFUNCTION(" IF
( VLOOKUP($G368,IMPORTRANGE(""https://docs.google.com/spreadsheets/d/1Gpl6jkTg7sL4VDNimUm3S9Vi1i95esohXCF3wuKOE8c"", ""'CONSOLIDADO'!G5:AB""), 10, 0) &lt;&gt; 0, 
IFERROR(VLOOKUP($G368,IMPORTRANGE(""https://docs.google.com/spreadsheets/d/1Gpl6jkTg7sL4VDNimU"&amp;"m3S9Vi1i95esohXCF3wuKOE8c"", ""'CONSOLIDADO'!G5:AB""), 18, 0), ""-""),
""""
)"),"HT208D")</f>
        <v>HT208D</v>
      </c>
      <c r="V368" s="36" t="str">
        <f>IFERROR(__xludf.DUMMYFUNCTION(" IF
( VLOOKUP($G368,IMPORTRANGE(""https://docs.google.com/spreadsheets/d/1Gpl6jkTg7sL4VDNimUm3S9Vi1i95esohXCF3wuKOE8c"", ""'CONSOLIDADO'!G5:AB""), 10, 0) &lt;&gt; 0, 
IFERROR(VLOOKUP($G368,IMPORTRANGE(""https://docs.google.com/spreadsheets/d/1Gpl6jkTg7sL4VDNimU"&amp;"m3S9Vi1i95esohXCF3wuKOE8c"", ""'CONSOLIDADO'!G5:AB""), 19, 0), ""-""),
""""
)"),"https://www.kusitest.pe/pinza-amperimetrica-true-rms-1000a-acdc-ncv-auto-rango-habotest-ht208d")</f>
        <v>https://www.kusitest.pe/pinza-amperimetrica-true-rms-1000a-acdc-ncv-auto-rango-habotest-ht208d</v>
      </c>
      <c r="W368" s="37" t="str">
        <f>IFERROR(__xludf.DUMMYFUNCTION("IFERROR(VLOOKUP(G368,IMPORTRANGE(""https://docs.google.com/spreadsheets/d/12RxCea4e5ggM7QGn1XE3FbLQa_-QbCNdBi90OdPjRqg"", ""'Plan de Compras'!D4:Q""), 12, 0), ""NO ESTÁ EN REQ"")"),"Técnica")</f>
        <v>Técnica</v>
      </c>
      <c r="X368" s="37" t="str">
        <f>IFERROR(__xludf.DUMMYFUNCTION("IFERROR(VLOOKUP(G368,IMPORTRANGE(""https://docs.google.com/spreadsheets/d/12RxCea4e5ggM7QGn1XE3FbLQa_-QbCNdBi90OdPjRqg"", ""'Plan de Compras'!D4:Q""), 13, 0), """")"),"INTERNACIONAL")</f>
        <v>INTERNACIONAL</v>
      </c>
      <c r="Y368" s="32" t="str">
        <f>IFERROR(__xludf.DUMMYFUNCTION("IFERROR(VLOOKUP(G368,IMPORTRANGE(""https://docs.google.com/spreadsheets/d/12RxCea4e5ggM7QGn1XE3FbLQa_-QbCNdBi90OdPjRqg"", ""'Plan de Compras'!D4:Q""), 14, 0), """")"),"DIEGO ")</f>
        <v>DIEGO </v>
      </c>
      <c r="Z368" s="38" t="str">
        <f>IFERROR(__xludf.DUMMYFUNCTION("IFERROR(VLOOKUP(G368,IMPORTRANGE(""https://docs.google.com/spreadsheets/d/12RxCea4e5ggM7QGn1XE3FbLQa_-QbCNdBi90OdPjRqg"", ""'Plan de Compras'!D4:Q""), 4, 0), """")"),"PINZA AMPERIMÉTRICA")</f>
        <v>PINZA AMPERIMÉTRICA</v>
      </c>
      <c r="AA368" s="38" t="str">
        <f t="shared" si="16"/>
        <v>TRUE</v>
      </c>
      <c r="AB368" s="37" t="str">
        <f>IFERROR(__xludf.DUMMYFUNCTION("IFERROR(IF(OR(C368=TRUE,C368=""""),VLOOKUP(G368,IMPORTRANGE(""https://docs.google.com/spreadsheets/d/1z9A1Wq-kKrhRNG5RS2a2fKpY1wIhSVz2ZNmP2mOl588/edit?usp=sharing"",""REQ VF!E4:H""),4,0),""NO APLICA""),""GENERAR REQ"")"),"GENERAR REQ")</f>
        <v>GENERAR REQ</v>
      </c>
      <c r="AC368" s="37" t="str">
        <f>IFERROR(__xludf.DUMMYFUNCTION("IFERROR(QUERY(IMPORTRANGE(""https://docs.google.com/spreadsheets/d/1z9A1Wq-kKrhRNG5RS2a2fKpY1wIhSVz2ZNmP2mOl588/edit?usp=sharing"",""REQ VF!E4:Q""),""SELECT Col10, Col11, Col12 WHERE Col1 = '""&amp;G368&amp;""'"",0),""NO APLICA"")"),"NO APLICA")</f>
        <v>NO APLICA</v>
      </c>
      <c r="AD368" s="37"/>
      <c r="AE368" s="37"/>
      <c r="AF368" s="8" t="s">
        <v>52</v>
      </c>
      <c r="AG368" s="13"/>
    </row>
    <row r="369">
      <c r="A369" s="26">
        <v>167.0</v>
      </c>
      <c r="B369" s="26" t="b">
        <v>1</v>
      </c>
      <c r="C369" s="26" t="b">
        <v>1</v>
      </c>
      <c r="D369" s="26" t="s">
        <v>35</v>
      </c>
      <c r="E369" s="26" t="s">
        <v>36</v>
      </c>
      <c r="F369" s="27" t="s">
        <v>1171</v>
      </c>
      <c r="G369" s="39" t="s">
        <v>1171</v>
      </c>
      <c r="H369" s="45" t="s">
        <v>1172</v>
      </c>
      <c r="I369" s="43">
        <f>SUMIFS('Hoja 10'!$O:$O,'Hoja 10'!$F:$F,$G369)</f>
        <v>4</v>
      </c>
      <c r="J369" s="26">
        <f>IFERROR(__xludf.DUMMYFUNCTION("VLOOKUP(G369,IMPORTRANGE(""https://docs.google.com/spreadsheets/d/12RxCea4e5ggM7QGn1XE3FbLQa_-QbCNdBi90OdPjRqg/edit?gid=1692403370#gid=1692403370"", ""'Plan de Compras'!D4:2432""), 8,0)"),4.0)</f>
        <v>4</v>
      </c>
      <c r="K369" s="26" t="str">
        <f t="shared" si="1"/>
        <v>SI</v>
      </c>
      <c r="L369" s="29" t="s">
        <v>122</v>
      </c>
      <c r="M369" s="30" t="s">
        <v>123</v>
      </c>
      <c r="N369" s="42"/>
      <c r="O369" s="32" t="str">
        <f>VLOOKUP($G369,'Hoja 10'!$F$4:$AA478, 19,0)</f>
        <v>HABOTEST</v>
      </c>
      <c r="P369" s="32" t="str">
        <f>VLOOKUP($G369,'Hoja 10'!$F$4:$AA478, 20,0)</f>
        <v>HT208D</v>
      </c>
      <c r="Q369" s="33" t="str">
        <f>VLOOKUP($G369,'Hoja 10'!$F$4:$AA478, 21,0)</f>
        <v>https://www.habotest.com/sale-13562580-digital-clamp-meter-ht208d-6000counts-habotest-voltage-1000v-ohm-hz-temperature-ncv-vfd-current-duty.html</v>
      </c>
      <c r="R369" s="30" t="s">
        <v>1173</v>
      </c>
      <c r="S369" s="34" t="b">
        <v>1</v>
      </c>
      <c r="T369" s="35" t="str">
        <f>IFERROR(__xludf.DUMMYFUNCTION(" IF
( VLOOKUP($G369,IMPORTRANGE(""https://docs.google.com/spreadsheets/d/1Gpl6jkTg7sL4VDNimUm3S9Vi1i95esohXCF3wuKOE8c"", ""'CONSOLIDADO'!G5:AB""), 10, 0) &lt;&gt; 0, 
IFERROR(VLOOKUP($G369,IMPORTRANGE(""https://docs.google.com/spreadsheets/d/1Gpl6jkTg7sL4VDNimU"&amp;"m3S9Vi1i95esohXCF3wuKOE8c"", ""'CONSOLIDADO'!G5:AB""), 17, 0), ""-""),
""""
)"),"HABOTEST")</f>
        <v>HABOTEST</v>
      </c>
      <c r="U369" s="35" t="str">
        <f>IFERROR(__xludf.DUMMYFUNCTION(" IF
( VLOOKUP($G369,IMPORTRANGE(""https://docs.google.com/spreadsheets/d/1Gpl6jkTg7sL4VDNimUm3S9Vi1i95esohXCF3wuKOE8c"", ""'CONSOLIDADO'!G5:AB""), 10, 0) &lt;&gt; 0, 
IFERROR(VLOOKUP($G369,IMPORTRANGE(""https://docs.google.com/spreadsheets/d/1Gpl6jkTg7sL4VDNimU"&amp;"m3S9Vi1i95esohXCF3wuKOE8c"", ""'CONSOLIDADO'!G5:AB""), 18, 0), ""-""),
""""
)"),"HT208D")</f>
        <v>HT208D</v>
      </c>
      <c r="V369" s="36" t="str">
        <f>IFERROR(__xludf.DUMMYFUNCTION(" IF
( VLOOKUP($G369,IMPORTRANGE(""https://docs.google.com/spreadsheets/d/1Gpl6jkTg7sL4VDNimUm3S9Vi1i95esohXCF3wuKOE8c"", ""'CONSOLIDADO'!G5:AB""), 10, 0) &lt;&gt; 0, 
IFERROR(VLOOKUP($G369,IMPORTRANGE(""https://docs.google.com/spreadsheets/d/1Gpl6jkTg7sL4VDNimU"&amp;"m3S9Vi1i95esohXCF3wuKOE8c"", ""'CONSOLIDADO'!G5:AB""), 19, 0), ""-""),
""""
)"),"https://www.habotest.com/sale-13562580-digital-clamp-meter-ht208d-6000counts-habotest-voltage-1000v-ohm-hz-temperature-ncv-vfd-current-duty.html")</f>
        <v>https://www.habotest.com/sale-13562580-digital-clamp-meter-ht208d-6000counts-habotest-voltage-1000v-ohm-hz-temperature-ncv-vfd-current-duty.html</v>
      </c>
      <c r="W369" s="37" t="str">
        <f>IFERROR(__xludf.DUMMYFUNCTION("IFERROR(VLOOKUP(G369,IMPORTRANGE(""https://docs.google.com/spreadsheets/d/12RxCea4e5ggM7QGn1XE3FbLQa_-QbCNdBi90OdPjRqg"", ""'Plan de Compras'!D4:Q""), 12, 0), ""NO ESTÁ EN REQ"")"),"Técnica")</f>
        <v>Técnica</v>
      </c>
      <c r="X369" s="37" t="str">
        <f>IFERROR(__xludf.DUMMYFUNCTION("IFERROR(VLOOKUP(G369,IMPORTRANGE(""https://docs.google.com/spreadsheets/d/12RxCea4e5ggM7QGn1XE3FbLQa_-QbCNdBi90OdPjRqg"", ""'Plan de Compras'!D4:Q""), 13, 0), """")"),"INTERNACIONAL")</f>
        <v>INTERNACIONAL</v>
      </c>
      <c r="Y369" s="32" t="str">
        <f>IFERROR(__xludf.DUMMYFUNCTION("IFERROR(VLOOKUP(G369,IMPORTRANGE(""https://docs.google.com/spreadsheets/d/12RxCea4e5ggM7QGn1XE3FbLQa_-QbCNdBi90OdPjRqg"", ""'Plan de Compras'!D4:Q""), 14, 0), """")"),"DIEGO ")</f>
        <v>DIEGO </v>
      </c>
      <c r="Z369" s="38" t="str">
        <f>IFERROR(__xludf.DUMMYFUNCTION("IFERROR(VLOOKUP(G369,IMPORTRANGE(""https://docs.google.com/spreadsheets/d/12RxCea4e5ggM7QGn1XE3FbLQa_-QbCNdBi90OdPjRqg"", ""'Plan de Compras'!D4:Q""), 4, 0), """")"),"PINZA VOLTAMPERIMÉTRICA")</f>
        <v>PINZA VOLTAMPERIMÉTRICA</v>
      </c>
      <c r="AA369" s="38" t="str">
        <f t="shared" si="16"/>
        <v>TRUE</v>
      </c>
      <c r="AB369" s="37" t="str">
        <f>IFERROR(__xludf.DUMMYFUNCTION("IFERROR(IF(OR(C369=TRUE,C369=""""),VLOOKUP(G369,IMPORTRANGE(""https://docs.google.com/spreadsheets/d/1z9A1Wq-kKrhRNG5RS2a2fKpY1wIhSVz2ZNmP2mOl588/edit?usp=sharing"",""REQ VF!E4:H""),4,0),""NO APLICA""),""GENERAR REQ"")"),"GENERAR REQ")</f>
        <v>GENERAR REQ</v>
      </c>
      <c r="AC369" s="37" t="str">
        <f>IFERROR(__xludf.DUMMYFUNCTION("IFERROR(QUERY(IMPORTRANGE(""https://docs.google.com/spreadsheets/d/1z9A1Wq-kKrhRNG5RS2a2fKpY1wIhSVz2ZNmP2mOl588/edit?usp=sharing"",""REQ VF!E4:Q""),""SELECT Col10, Col11, Col12 WHERE Col1 = '""&amp;G369&amp;""'"",0),""NO APLICA"")"),"NO APLICA")</f>
        <v>NO APLICA</v>
      </c>
      <c r="AD369" s="37"/>
      <c r="AE369" s="37"/>
      <c r="AF369" s="8" t="s">
        <v>52</v>
      </c>
      <c r="AG369" s="13"/>
    </row>
    <row r="370">
      <c r="A370" s="26">
        <v>168.0</v>
      </c>
      <c r="B370" s="26" t="b">
        <v>1</v>
      </c>
      <c r="C370" s="26" t="b">
        <v>0</v>
      </c>
      <c r="D370" s="26" t="s">
        <v>35</v>
      </c>
      <c r="E370" s="26" t="s">
        <v>36</v>
      </c>
      <c r="F370" s="27" t="s">
        <v>1174</v>
      </c>
      <c r="G370" s="37" t="s">
        <v>1174</v>
      </c>
      <c r="H370" s="45" t="s">
        <v>1175</v>
      </c>
      <c r="I370" s="43">
        <f>SUMIFS('Hoja 10'!$O:$O,'Hoja 10'!$F:$F,$G370)</f>
        <v>4</v>
      </c>
      <c r="J370" s="26" t="str">
        <f>IFERROR(__xludf.DUMMYFUNCTION("VLOOKUP(G370,IMPORTRANGE(""https://docs.google.com/spreadsheets/d/12RxCea4e5ggM7QGn1XE3FbLQa_-QbCNdBi90OdPjRqg/edit?gid=1692403370#gid=1692403370"", ""'Plan de Compras'!D4:2432""), 8,0)"),"#N/A")</f>
        <v>#N/A</v>
      </c>
      <c r="K370" s="26" t="str">
        <f t="shared" si="1"/>
        <v>-</v>
      </c>
      <c r="L370" s="29" t="s">
        <v>296</v>
      </c>
      <c r="M370" s="30" t="s">
        <v>297</v>
      </c>
      <c r="N370" s="42"/>
      <c r="O370" s="32" t="str">
        <f>VLOOKUP($G370,'Hoja 10'!$F$4:$AA478, 19,0)</f>
        <v>TRUPER</v>
      </c>
      <c r="P370" s="32" t="str">
        <f>VLOOKUP($G370,'Hoja 10'!$F$4:$AA478, 20,0)</f>
        <v>11095 + 14037</v>
      </c>
      <c r="Q370" s="41" t="str">
        <f>VLOOKUP($G370,'Hoja 10'!$F$4:$AA478, 21,0)</f>
        <v>https://cahema.pe/pistolas-de-pintar/15598-pistola-de-gravedad-uso-general-11095-truper-7506240653929.html
https://www.promart.pe/pistola-para-pintar-de-baja-presion-entrada-inferior-truper-14037-1000496276/p</v>
      </c>
      <c r="R370" s="30" t="s">
        <v>1176</v>
      </c>
      <c r="S370" s="34" t="b">
        <v>1</v>
      </c>
      <c r="T370" s="35" t="str">
        <f>IFERROR(__xludf.DUMMYFUNCTION(" IF
( VLOOKUP($G370,IMPORTRANGE(""https://docs.google.com/spreadsheets/d/1Gpl6jkTg7sL4VDNimUm3S9Vi1i95esohXCF3wuKOE8c"", ""'CONSOLIDADO'!G5:AB""), 10, 0) &lt;&gt; 0, 
IFERROR(VLOOKUP($G370,IMPORTRANGE(""https://docs.google.com/spreadsheets/d/1Gpl6jkTg7sL4VDNimU"&amp;"m3S9Vi1i95esohXCF3wuKOE8c"", ""'CONSOLIDADO'!G5:AB""), 17, 0), ""-""),
""""
)"),"TRUPER")</f>
        <v>TRUPER</v>
      </c>
      <c r="U370" s="35" t="str">
        <f>IFERROR(__xludf.DUMMYFUNCTION(" IF
( VLOOKUP($G370,IMPORTRANGE(""https://docs.google.com/spreadsheets/d/1Gpl6jkTg7sL4VDNimUm3S9Vi1i95esohXCF3wuKOE8c"", ""'CONSOLIDADO'!G5:AB""), 10, 0) &lt;&gt; 0, 
IFERROR(VLOOKUP($G370,IMPORTRANGE(""https://docs.google.com/spreadsheets/d/1Gpl6jkTg7sL4VDNimU"&amp;"m3S9Vi1i95esohXCF3wuKOE8c"", ""'CONSOLIDADO'!G5:AB""), 18, 0), ""-""),
""""
)"),"11095 / 14037")</f>
        <v>11095 / 14037</v>
      </c>
      <c r="V370" s="36" t="str">
        <f>IFERROR(__xludf.DUMMYFUNCTION(" IF
( VLOOKUP($G370,IMPORTRANGE(""https://docs.google.com/spreadsheets/d/1Gpl6jkTg7sL4VDNimUm3S9Vi1i95esohXCF3wuKOE8c"", ""'CONSOLIDADO'!G5:AB""), 10, 0) &lt;&gt; 0, 
IFERROR(VLOOKUP($G370,IMPORTRANGE(""https://docs.google.com/spreadsheets/d/1Gpl6jkTg7sL4VDNimU"&amp;"m3S9Vi1i95esohXCF3wuKOE8c"", ""'CONSOLIDADO'!G5:AB""), 19, 0), ""-""),
""""
)"),"https://www.truper.com/ficha_tecnica/Pistola-de-aire-SERIE-400-de-gravedadvaso-multiposicion.html?code=11095")</f>
        <v>https://www.truper.com/ficha_tecnica/Pistola-de-aire-SERIE-400-de-gravedadvaso-multiposicion.html?code=11095</v>
      </c>
      <c r="W370" s="37" t="str">
        <f>IFERROR(__xludf.DUMMYFUNCTION("IFERROR(VLOOKUP(G370,IMPORTRANGE(""https://docs.google.com/spreadsheets/d/12RxCea4e5ggM7QGn1XE3FbLQa_-QbCNdBi90OdPjRqg"", ""'Plan de Compras'!D4:Q""), 12, 0), ""NO ESTÁ EN REQ"")"),"NO ESTÁ EN REQ")</f>
        <v>NO ESTÁ EN REQ</v>
      </c>
      <c r="X370" s="37" t="str">
        <f>IFERROR(__xludf.DUMMYFUNCTION("IFERROR(VLOOKUP(G370,IMPORTRANGE(""https://docs.google.com/spreadsheets/d/12RxCea4e5ggM7QGn1XE3FbLQa_-QbCNdBi90OdPjRqg"", ""'Plan de Compras'!D4:Q""), 13, 0), """")"),"")</f>
        <v/>
      </c>
      <c r="Y370" s="32" t="str">
        <f>IFERROR(__xludf.DUMMYFUNCTION("IFERROR(VLOOKUP(G370,IMPORTRANGE(""https://docs.google.com/spreadsheets/d/12RxCea4e5ggM7QGn1XE3FbLQa_-QbCNdBi90OdPjRqg"", ""'Plan de Compras'!D4:Q""), 14, 0), """")"),"")</f>
        <v/>
      </c>
      <c r="Z370" s="38" t="str">
        <f>IFERROR(__xludf.DUMMYFUNCTION("IFERROR(VLOOKUP(G370,IMPORTRANGE(""https://docs.google.com/spreadsheets/d/12RxCea4e5ggM7QGn1XE3FbLQa_-QbCNdBi90OdPjRqg"", ""'Plan de Compras'!D4:Q""), 4, 0), """")"),"")</f>
        <v/>
      </c>
      <c r="AA370" s="38" t="str">
        <f t="shared" si="16"/>
        <v>FALSE</v>
      </c>
      <c r="AB370" s="37" t="str">
        <f>IFERROR(__xludf.DUMMYFUNCTION("IFERROR(IF(OR(C370=TRUE,C370=""""),VLOOKUP(G370,IMPORTRANGE(""https://docs.google.com/spreadsheets/d/1z9A1Wq-kKrhRNG5RS2a2fKpY1wIhSVz2ZNmP2mOl588/edit?usp=sharing"",""REQ VF!E4:H""),4,0),""NO APLICA""),""GENERAR REQ"")"),"NO APLICA")</f>
        <v>NO APLICA</v>
      </c>
      <c r="AC370" s="37" t="str">
        <f>IFERROR(__xludf.DUMMYFUNCTION("IFERROR(QUERY(IMPORTRANGE(""https://docs.google.com/spreadsheets/d/1z9A1Wq-kKrhRNG5RS2a2fKpY1wIhSVz2ZNmP2mOl588/edit?usp=sharing"",""REQ VF!E4:Q""),""SELECT Col10, Col11, Col12 WHERE Col1 = '""&amp;G370&amp;""'"",0),""NO APLICA"")"),"NO APLICA")</f>
        <v>NO APLICA</v>
      </c>
      <c r="AD370" s="37"/>
      <c r="AE370" s="37"/>
      <c r="AF370" s="13"/>
      <c r="AG370" s="13"/>
    </row>
    <row r="371">
      <c r="A371" s="26"/>
      <c r="B371" s="26"/>
      <c r="C371" s="26" t="b">
        <v>1</v>
      </c>
      <c r="D371" s="26" t="s">
        <v>42</v>
      </c>
      <c r="E371" s="26" t="s">
        <v>36</v>
      </c>
      <c r="F371" s="59" t="s">
        <v>1174</v>
      </c>
      <c r="G371" s="39" t="s">
        <v>1177</v>
      </c>
      <c r="H371" s="40" t="s">
        <v>1178</v>
      </c>
      <c r="I371" s="43">
        <f t="shared" ref="I371:I372" si="33">$I$370</f>
        <v>4</v>
      </c>
      <c r="J371" s="26">
        <f>IFERROR(__xludf.DUMMYFUNCTION("VLOOKUP(G371,IMPORTRANGE(""https://docs.google.com/spreadsheets/d/12RxCea4e5ggM7QGn1XE3FbLQa_-QbCNdBi90OdPjRqg/edit?gid=1692403370#gid=1692403370"", ""'Plan de Compras'!D4:2432""), 8,0)"),4.0)</f>
        <v>4</v>
      </c>
      <c r="K371" s="26" t="str">
        <f t="shared" si="1"/>
        <v>SI</v>
      </c>
      <c r="L371" s="26"/>
      <c r="M371" s="47"/>
      <c r="N371" s="106" t="s">
        <v>1179</v>
      </c>
      <c r="O371" s="42"/>
      <c r="P371" s="42"/>
      <c r="Q371" s="55" t="s">
        <v>1180</v>
      </c>
      <c r="R371" s="47"/>
      <c r="S371" s="44" t="b">
        <v>0</v>
      </c>
      <c r="T371" s="35" t="s">
        <v>1181</v>
      </c>
      <c r="U371" s="35">
        <v>19013.0</v>
      </c>
      <c r="V371" s="56" t="s">
        <v>1180</v>
      </c>
      <c r="W371" s="37" t="str">
        <f>IFERROR(__xludf.DUMMYFUNCTION("IFERROR(VLOOKUP(G371,IMPORTRANGE(""https://docs.google.com/spreadsheets/d/12RxCea4e5ggM7QGn1XE3FbLQa_-QbCNdBi90OdPjRqg"", ""'Plan de Compras'!D4:Q""), 12, 0), ""NO ESTÁ EN REQ"")"),"Técnica")</f>
        <v>Técnica</v>
      </c>
      <c r="X371" s="37" t="str">
        <f>IFERROR(__xludf.DUMMYFUNCTION("IFERROR(VLOOKUP(G371,IMPORTRANGE(""https://docs.google.com/spreadsheets/d/12RxCea4e5ggM7QGn1XE3FbLQa_-QbCNdBi90OdPjRqg"", ""'Plan de Compras'!D4:Q""), 13, 0), """")"),"NACIONAL")</f>
        <v>NACIONAL</v>
      </c>
      <c r="Y371" s="32" t="str">
        <f>IFERROR(__xludf.DUMMYFUNCTION("IFERROR(VLOOKUP(G371,IMPORTRANGE(""https://docs.google.com/spreadsheets/d/12RxCea4e5ggM7QGn1XE3FbLQa_-QbCNdBi90OdPjRqg"", ""'Plan de Compras'!D4:Q""), 14, 0), """")"),"DIANA")</f>
        <v>DIANA</v>
      </c>
      <c r="Z371" s="38" t="str">
        <f>IFERROR(__xludf.DUMMYFUNCTION("IFERROR(VLOOKUP(G371,IMPORTRANGE(""https://docs.google.com/spreadsheets/d/12RxCea4e5ggM7QGn1XE3FbLQa_-QbCNdBi90OdPjRqg"", ""'Plan de Compras'!D4:Q""), 4, 0), """")"),"MANGUERA 5M (1 UND)")</f>
        <v>MANGUERA 5M (1 UND)</v>
      </c>
      <c r="AA371" s="38" t="str">
        <f t="shared" si="16"/>
        <v>TRUE</v>
      </c>
      <c r="AB371" s="37" t="str">
        <f>IFERROR(__xludf.DUMMYFUNCTION("IFERROR(IF(OR(C371=TRUE,C371=""""),VLOOKUP(G371,IMPORTRANGE(""https://docs.google.com/spreadsheets/d/1z9A1Wq-kKrhRNG5RS2a2fKpY1wIhSVz2ZNmP2mOl588/edit?usp=sharing"",""REQ VF!E4:H""),4,0),""NO APLICA""),""GENERAR REQ"")"),"GENERAR REQ")</f>
        <v>GENERAR REQ</v>
      </c>
      <c r="AC371" s="37" t="str">
        <f>IFERROR(__xludf.DUMMYFUNCTION("IFERROR(QUERY(IMPORTRANGE(""https://docs.google.com/spreadsheets/d/1z9A1Wq-kKrhRNG5RS2a2fKpY1wIhSVz2ZNmP2mOl588/edit?usp=sharing"",""REQ VF!E4:Q""),""SELECT Col10, Col11, Col12 WHERE Col1 = '""&amp;G371&amp;""'"",0),""NO APLICA"")"),"NO APLICA")</f>
        <v>NO APLICA</v>
      </c>
      <c r="AD371" s="37"/>
      <c r="AE371" s="37"/>
      <c r="AF371" s="13"/>
      <c r="AG371" s="13"/>
    </row>
    <row r="372">
      <c r="A372" s="26"/>
      <c r="B372" s="26"/>
      <c r="C372" s="26" t="b">
        <v>1</v>
      </c>
      <c r="D372" s="26" t="s">
        <v>42</v>
      </c>
      <c r="E372" s="26" t="s">
        <v>36</v>
      </c>
      <c r="F372" s="59" t="s">
        <v>1174</v>
      </c>
      <c r="G372" s="39" t="s">
        <v>1182</v>
      </c>
      <c r="H372" s="40" t="s">
        <v>1183</v>
      </c>
      <c r="I372" s="43">
        <f t="shared" si="33"/>
        <v>4</v>
      </c>
      <c r="J372" s="26">
        <f>IFERROR(__xludf.DUMMYFUNCTION("VLOOKUP(G372,IMPORTRANGE(""https://docs.google.com/spreadsheets/d/12RxCea4e5ggM7QGn1XE3FbLQa_-QbCNdBi90OdPjRqg/edit?gid=1692403370#gid=1692403370"", ""'Plan de Compras'!D4:2432""), 8,0)"),4.0)</f>
        <v>4</v>
      </c>
      <c r="K372" s="26" t="str">
        <f t="shared" si="1"/>
        <v>SI</v>
      </c>
      <c r="L372" s="26"/>
      <c r="M372" s="47"/>
      <c r="N372" s="106" t="s">
        <v>1184</v>
      </c>
      <c r="O372" s="42"/>
      <c r="P372" s="42"/>
      <c r="Q372" s="55" t="s">
        <v>1185</v>
      </c>
      <c r="R372" s="47"/>
      <c r="S372" s="34" t="b">
        <v>1</v>
      </c>
      <c r="T372" s="35" t="s">
        <v>1181</v>
      </c>
      <c r="U372" s="35">
        <v>19080.0</v>
      </c>
      <c r="V372" s="58" t="s">
        <v>1185</v>
      </c>
      <c r="W372" s="37" t="str">
        <f>IFERROR(__xludf.DUMMYFUNCTION("IFERROR(VLOOKUP(G372,IMPORTRANGE(""https://docs.google.com/spreadsheets/d/12RxCea4e5ggM7QGn1XE3FbLQa_-QbCNdBi90OdPjRqg"", ""'Plan de Compras'!D4:Q""), 12, 0), ""NO ESTÁ EN REQ"")"),"Técnica")</f>
        <v>Técnica</v>
      </c>
      <c r="X372" s="37" t="str">
        <f>IFERROR(__xludf.DUMMYFUNCTION("IFERROR(VLOOKUP(G372,IMPORTRANGE(""https://docs.google.com/spreadsheets/d/12RxCea4e5ggM7QGn1XE3FbLQa_-QbCNdBi90OdPjRqg"", ""'Plan de Compras'!D4:Q""), 13, 0), """")"),"NACIONAL")</f>
        <v>NACIONAL</v>
      </c>
      <c r="Y372" s="32" t="str">
        <f>IFERROR(__xludf.DUMMYFUNCTION("IFERROR(VLOOKUP(G372,IMPORTRANGE(""https://docs.google.com/spreadsheets/d/12RxCea4e5ggM7QGn1XE3FbLQa_-QbCNdBi90OdPjRqg"", ""'Plan de Compras'!D4:Q""), 14, 0), """")"),"DIANA")</f>
        <v>DIANA</v>
      </c>
      <c r="Z372" s="38" t="str">
        <f>IFERROR(__xludf.DUMMYFUNCTION("IFERROR(VLOOKUP(G372,IMPORTRANGE(""https://docs.google.com/spreadsheets/d/12RxCea4e5ggM7QGn1XE3FbLQa_-QbCNdBi90OdPjRqg"", ""'Plan de Compras'!D4:Q""), 4, 0), """")"),"CONECTORES RÁPIDOS (1 UND)")</f>
        <v>CONECTORES RÁPIDOS (1 UND)</v>
      </c>
      <c r="AA372" s="38" t="str">
        <f t="shared" si="16"/>
        <v>TRUE</v>
      </c>
      <c r="AB372" s="37" t="str">
        <f>IFERROR(__xludf.DUMMYFUNCTION("IFERROR(IF(OR(C372=TRUE,C372=""""),VLOOKUP(G372,IMPORTRANGE(""https://docs.google.com/spreadsheets/d/1z9A1Wq-kKrhRNG5RS2a2fKpY1wIhSVz2ZNmP2mOl588/edit?usp=sharing"",""REQ VF!E4:H""),4,0),""NO APLICA""),""GENERAR REQ"")"),"GENERAR REQ")</f>
        <v>GENERAR REQ</v>
      </c>
      <c r="AC372" s="37" t="str">
        <f>IFERROR(__xludf.DUMMYFUNCTION("IFERROR(QUERY(IMPORTRANGE(""https://docs.google.com/spreadsheets/d/1z9A1Wq-kKrhRNG5RS2a2fKpY1wIhSVz2ZNmP2mOl588/edit?usp=sharing"",""REQ VF!E4:Q""),""SELECT Col10, Col11, Col12 WHERE Col1 = '""&amp;G372&amp;""'"",0),""NO APLICA"")"),"NO APLICA")</f>
        <v>NO APLICA</v>
      </c>
      <c r="AD372" s="37"/>
      <c r="AE372" s="37"/>
      <c r="AF372" s="13"/>
      <c r="AG372" s="13"/>
    </row>
    <row r="373">
      <c r="A373" s="26"/>
      <c r="B373" s="26"/>
      <c r="C373" s="26" t="b">
        <v>1</v>
      </c>
      <c r="D373" s="26" t="s">
        <v>95</v>
      </c>
      <c r="E373" s="26" t="s">
        <v>36</v>
      </c>
      <c r="F373" s="59" t="s">
        <v>1174</v>
      </c>
      <c r="G373" s="39" t="s">
        <v>1186</v>
      </c>
      <c r="H373" s="66" t="s">
        <v>1187</v>
      </c>
      <c r="I373" s="43">
        <f>I370</f>
        <v>4</v>
      </c>
      <c r="J373" s="26">
        <f>IFERROR(__xludf.DUMMYFUNCTION("VLOOKUP(G373,IMPORTRANGE(""https://docs.google.com/spreadsheets/d/12RxCea4e5ggM7QGn1XE3FbLQa_-QbCNdBi90OdPjRqg/edit?gid=1692403370#gid=1692403370"", ""'Plan de Compras'!D4:2432""), 8,0)"),4.0)</f>
        <v>4</v>
      </c>
      <c r="K373" s="26" t="str">
        <f t="shared" si="1"/>
        <v>SI</v>
      </c>
      <c r="L373" s="26"/>
      <c r="M373" s="47"/>
      <c r="N373" s="106"/>
      <c r="O373" s="42"/>
      <c r="P373" s="42"/>
      <c r="Q373" s="54"/>
      <c r="R373" s="47"/>
      <c r="S373" s="34" t="b">
        <v>1</v>
      </c>
      <c r="T373" s="35" t="s">
        <v>303</v>
      </c>
      <c r="U373" s="35">
        <v>11095.0</v>
      </c>
      <c r="V373" s="44"/>
      <c r="W373" s="37" t="str">
        <f>IFERROR(__xludf.DUMMYFUNCTION("IFERROR(VLOOKUP(G373,IMPORTRANGE(""https://docs.google.com/spreadsheets/d/12RxCea4e5ggM7QGn1XE3FbLQa_-QbCNdBi90OdPjRqg"", ""'Plan de Compras'!D4:Q""), 12, 0), ""NO ESTÁ EN REQ"")"),"Técnica")</f>
        <v>Técnica</v>
      </c>
      <c r="X373" s="37" t="str">
        <f>IFERROR(__xludf.DUMMYFUNCTION("IFERROR(VLOOKUP(G373,IMPORTRANGE(""https://docs.google.com/spreadsheets/d/12RxCea4e5ggM7QGn1XE3FbLQa_-QbCNdBi90OdPjRqg"", ""'Plan de Compras'!D4:Q""), 13, 0), """")"),"NACIONAL")</f>
        <v>NACIONAL</v>
      </c>
      <c r="Y373" s="32" t="str">
        <f>IFERROR(__xludf.DUMMYFUNCTION("IFERROR(VLOOKUP(G373,IMPORTRANGE(""https://docs.google.com/spreadsheets/d/12RxCea4e5ggM7QGn1XE3FbLQa_-QbCNdBi90OdPjRqg"", ""'Plan de Compras'!D4:Q""), 14, 0), """")"),"DIANA")</f>
        <v>DIANA</v>
      </c>
      <c r="Z373" s="38" t="str">
        <f>IFERROR(__xludf.DUMMYFUNCTION("IFERROR(VLOOKUP(G373,IMPORTRANGE(""https://docs.google.com/spreadsheets/d/12RxCea4e5ggM7QGn1XE3FbLQa_-QbCNdBi90OdPjRqg"", ""'Plan de Compras'!D4:Q""), 4, 0), """")"),"PISTOLA PARA PINTAR VASO ALUMINIO (1 UND)")</f>
        <v>PISTOLA PARA PINTAR VASO ALUMINIO (1 UND)</v>
      </c>
      <c r="AA373" s="38" t="str">
        <f t="shared" si="16"/>
        <v>TRUE</v>
      </c>
      <c r="AB373" s="37" t="str">
        <f>IFERROR(__xludf.DUMMYFUNCTION("IFERROR(IF(OR(C373=TRUE,C373=""""),VLOOKUP(G373,IMPORTRANGE(""https://docs.google.com/spreadsheets/d/1z9A1Wq-kKrhRNG5RS2a2fKpY1wIhSVz2ZNmP2mOl588/edit?usp=sharing"",""REQ VF!E4:H""),4,0),""NO APLICA""),""GENERAR REQ"")"),"GENERAR REQ")</f>
        <v>GENERAR REQ</v>
      </c>
      <c r="AC373" s="37" t="str">
        <f>IFERROR(__xludf.DUMMYFUNCTION("IFERROR(QUERY(IMPORTRANGE(""https://docs.google.com/spreadsheets/d/1z9A1Wq-kKrhRNG5RS2a2fKpY1wIhSVz2ZNmP2mOl588/edit?usp=sharing"",""REQ VF!E4:Q""),""SELECT Col10, Col11, Col12 WHERE Col1 = '""&amp;G373&amp;""'"",0),""NO APLICA"")"),"NO APLICA")</f>
        <v>NO APLICA</v>
      </c>
      <c r="AD373" s="37"/>
      <c r="AE373" s="37"/>
      <c r="AF373" s="13"/>
      <c r="AG373" s="13"/>
    </row>
    <row r="374">
      <c r="A374" s="26"/>
      <c r="B374" s="26"/>
      <c r="C374" s="26" t="b">
        <v>1</v>
      </c>
      <c r="D374" s="26" t="s">
        <v>95</v>
      </c>
      <c r="E374" s="26" t="s">
        <v>36</v>
      </c>
      <c r="F374" s="59" t="s">
        <v>1174</v>
      </c>
      <c r="G374" s="39" t="s">
        <v>1188</v>
      </c>
      <c r="H374" s="66" t="s">
        <v>1189</v>
      </c>
      <c r="I374" s="43">
        <f>I370</f>
        <v>4</v>
      </c>
      <c r="J374" s="26">
        <f>IFERROR(__xludf.DUMMYFUNCTION("VLOOKUP(G374,IMPORTRANGE(""https://docs.google.com/spreadsheets/d/12RxCea4e5ggM7QGn1XE3FbLQa_-QbCNdBi90OdPjRqg/edit?gid=1692403370#gid=1692403370"", ""'Plan de Compras'!D4:2432""), 8,0)"),4.0)</f>
        <v>4</v>
      </c>
      <c r="K374" s="26" t="str">
        <f t="shared" si="1"/>
        <v>SI</v>
      </c>
      <c r="L374" s="26"/>
      <c r="M374" s="47"/>
      <c r="N374" s="106"/>
      <c r="O374" s="42"/>
      <c r="P374" s="42"/>
      <c r="Q374" s="54"/>
      <c r="R374" s="47"/>
      <c r="S374" s="34" t="b">
        <v>1</v>
      </c>
      <c r="T374" s="35" t="s">
        <v>303</v>
      </c>
      <c r="U374" s="35">
        <v>14037.0</v>
      </c>
      <c r="V374" s="44"/>
      <c r="W374" s="37" t="str">
        <f>IFERROR(__xludf.DUMMYFUNCTION("IFERROR(VLOOKUP(G374,IMPORTRANGE(""https://docs.google.com/spreadsheets/d/12RxCea4e5ggM7QGn1XE3FbLQa_-QbCNdBi90OdPjRqg"", ""'Plan de Compras'!D4:Q""), 12, 0), ""NO ESTÁ EN REQ"")"),"Técnica")</f>
        <v>Técnica</v>
      </c>
      <c r="X374" s="37" t="str">
        <f>IFERROR(__xludf.DUMMYFUNCTION("IFERROR(VLOOKUP(G374,IMPORTRANGE(""https://docs.google.com/spreadsheets/d/12RxCea4e5ggM7QGn1XE3FbLQa_-QbCNdBi90OdPjRqg"", ""'Plan de Compras'!D4:Q""), 13, 0), """")"),"NACIONAL")</f>
        <v>NACIONAL</v>
      </c>
      <c r="Y374" s="32" t="str">
        <f>IFERROR(__xludf.DUMMYFUNCTION("IFERROR(VLOOKUP(G374,IMPORTRANGE(""https://docs.google.com/spreadsheets/d/12RxCea4e5ggM7QGn1XE3FbLQa_-QbCNdBi90OdPjRqg"", ""'Plan de Compras'!D4:Q""), 14, 0), """")"),"DIANA")</f>
        <v>DIANA</v>
      </c>
      <c r="Z374" s="38" t="str">
        <f>IFERROR(__xludf.DUMMYFUNCTION("IFERROR(VLOOKUP(G374,IMPORTRANGE(""https://docs.google.com/spreadsheets/d/12RxCea4e5ggM7QGn1XE3FbLQa_-QbCNdBi90OdPjRqg"", ""'Plan de Compras'!D4:Q""), 4, 0), """")"),"PISTOLA PARA PINTAS BAJA PRESIÓN (1 UND)")</f>
        <v>PISTOLA PARA PINTAS BAJA PRESIÓN (1 UND)</v>
      </c>
      <c r="AA374" s="38" t="str">
        <f t="shared" si="16"/>
        <v>TRUE</v>
      </c>
      <c r="AB374" s="37" t="str">
        <f>IFERROR(__xludf.DUMMYFUNCTION("IFERROR(IF(OR(C374=TRUE,C374=""""),VLOOKUP(G374,IMPORTRANGE(""https://docs.google.com/spreadsheets/d/1z9A1Wq-kKrhRNG5RS2a2fKpY1wIhSVz2ZNmP2mOl588/edit?usp=sharing"",""REQ VF!E4:H""),4,0),""NO APLICA""),""GENERAR REQ"")"),"GENERAR REQ")</f>
        <v>GENERAR REQ</v>
      </c>
      <c r="AC374" s="37" t="str">
        <f>IFERROR(__xludf.DUMMYFUNCTION("IFERROR(QUERY(IMPORTRANGE(""https://docs.google.com/spreadsheets/d/1z9A1Wq-kKrhRNG5RS2a2fKpY1wIhSVz2ZNmP2mOl588/edit?usp=sharing"",""REQ VF!E4:Q""),""SELECT Col10, Col11, Col12 WHERE Col1 = '""&amp;G374&amp;""'"",0),""NO APLICA"")"),"NO APLICA")</f>
        <v>NO APLICA</v>
      </c>
      <c r="AD374" s="37"/>
      <c r="AE374" s="37"/>
      <c r="AF374" s="13"/>
      <c r="AG374" s="13"/>
    </row>
    <row r="375">
      <c r="A375" s="26">
        <v>169.0</v>
      </c>
      <c r="B375" s="26" t="b">
        <v>1</v>
      </c>
      <c r="C375" s="26" t="b">
        <v>1</v>
      </c>
      <c r="D375" s="26" t="s">
        <v>35</v>
      </c>
      <c r="E375" s="26" t="s">
        <v>36</v>
      </c>
      <c r="F375" s="27" t="s">
        <v>1190</v>
      </c>
      <c r="G375" s="37" t="s">
        <v>1190</v>
      </c>
      <c r="H375" s="45" t="s">
        <v>1191</v>
      </c>
      <c r="I375" s="43">
        <f>SUMIFS('Hoja 10'!$O:$O,'Hoja 10'!$F:$F,$G375)</f>
        <v>4</v>
      </c>
      <c r="J375" s="26">
        <f>IFERROR(__xludf.DUMMYFUNCTION("VLOOKUP(G375,IMPORTRANGE(""https://docs.google.com/spreadsheets/d/12RxCea4e5ggM7QGn1XE3FbLQa_-QbCNdBi90OdPjRqg/edit?gid=1692403370#gid=1692403370"", ""'Plan de Compras'!D4:2432""), 8,0)"),4.0)</f>
        <v>4</v>
      </c>
      <c r="K375" s="26" t="str">
        <f t="shared" si="1"/>
        <v>SI</v>
      </c>
      <c r="L375" s="29" t="s">
        <v>122</v>
      </c>
      <c r="M375" s="30" t="s">
        <v>123</v>
      </c>
      <c r="N375" s="42"/>
      <c r="O375" s="32" t="str">
        <f>VLOOKUP($G375,'Hoja 10'!$F$4:$AA478, 19,0)</f>
        <v>Weller</v>
      </c>
      <c r="P375" s="32" t="str">
        <f>VLOOKUP($G375,'Hoja 10'!$F$4:$AA478, 20,0)</f>
        <v>8200D</v>
      </c>
      <c r="Q375" s="33" t="str">
        <f>VLOOKUP($G375,'Hoja 10'!$F$4:$AA478, 21,0)</f>
        <v>https://articulo.mercadolibre.com.pe/MPE-627995224-pistola-de-soldar-weller-de-140100w-original-220v-_JM#polycard_client=recommendations_pdp-v2p&amp;reco_backend=ranker_retrieval_system_org&amp;reco_model=rk_ent_v3_retsys_org&amp;reco_client=pdp-v2p&amp;reco_item_pos=1&amp;reco_backend_type=low_level&amp;reco_id=649f934d-03ee-44e9-a165-6f3e2277ef6b&amp;wid=MPE627995224&amp;sid=recos</v>
      </c>
      <c r="R375" s="30" t="s">
        <v>1192</v>
      </c>
      <c r="S375" s="34" t="b">
        <v>1</v>
      </c>
      <c r="T375" s="35" t="str">
        <f>IFERROR(__xludf.DUMMYFUNCTION(" IF
( VLOOKUP($G375,IMPORTRANGE(""https://docs.google.com/spreadsheets/d/1Gpl6jkTg7sL4VDNimUm3S9Vi1i95esohXCF3wuKOE8c"", ""'CONSOLIDADO'!G5:AB""), 10, 0) &lt;&gt; 0, 
IFERROR(VLOOKUP($G375,IMPORTRANGE(""https://docs.google.com/spreadsheets/d/1Gpl6jkTg7sL4VDNimU"&amp;"m3S9Vi1i95esohXCF3wuKOE8c"", ""'CONSOLIDADO'!G5:AB""), 17, 0), ""-""),
""""
)"),"WELLER")</f>
        <v>WELLER</v>
      </c>
      <c r="U375" s="35" t="str">
        <f>IFERROR(__xludf.DUMMYFUNCTION(" IF
( VLOOKUP($G375,IMPORTRANGE(""https://docs.google.com/spreadsheets/d/1Gpl6jkTg7sL4VDNimUm3S9Vi1i95esohXCF3wuKOE8c"", ""'CONSOLIDADO'!G5:AB""), 10, 0) &lt;&gt; 0, 
IFERROR(VLOOKUP($G375,IMPORTRANGE(""https://docs.google.com/spreadsheets/d/1Gpl6jkTg7sL4VDNimU"&amp;"m3S9Vi1i95esohXCF3wuKOE8c"", ""'CONSOLIDADO'!G5:AB""), 18, 0), ""-""),
""""
)"),"8200D")</f>
        <v>8200D</v>
      </c>
      <c r="V375" s="35" t="str">
        <f>IFERROR(__xludf.DUMMYFUNCTION(" IF
( VLOOKUP($G375,IMPORTRANGE(""https://docs.google.com/spreadsheets/d/1Gpl6jkTg7sL4VDNimUm3S9Vi1i95esohXCF3wuKOE8c"", ""'CONSOLIDADO'!G5:AB""), 10, 0) &lt;&gt; 0, 
IFERROR(VLOOKUP($G375,IMPORTRANGE(""https://docs.google.com/spreadsheets/d/1Gpl6jkTg7sL4VDNimU"&amp;"m3S9Vi1i95esohXCF3wuKOE8c"", ""'CONSOLIDADO'!G5:AB""), 19, 0), ""-""),
""""
)"),"https://docs.galco.com/techdoc/welr/solder_guns_7200~8200_cp.pdf
https://www.grainger.com.mx/static/ft/20023858_TD.PDF?srsltid=AfmBOooKitPpczPMD7uV_7P8D6nrS_vUkspTDCxtPAMcNm8O0NnCNwnD")</f>
        <v>https://docs.galco.com/techdoc/welr/solder_guns_7200~8200_cp.pdf
https://www.grainger.com.mx/static/ft/20023858_TD.PDF?srsltid=AfmBOooKitPpczPMD7uV_7P8D6nrS_vUkspTDCxtPAMcNm8O0NnCNwnD</v>
      </c>
      <c r="W375" s="37" t="str">
        <f>IFERROR(__xludf.DUMMYFUNCTION("IFERROR(VLOOKUP(G375,IMPORTRANGE(""https://docs.google.com/spreadsheets/d/12RxCea4e5ggM7QGn1XE3FbLQa_-QbCNdBi90OdPjRqg"", ""'Plan de Compras'!D4:Q""), 12, 0), ""NO ESTÁ EN REQ"")"),"Técnica")</f>
        <v>Técnica</v>
      </c>
      <c r="X375" s="37" t="str">
        <f>IFERROR(__xludf.DUMMYFUNCTION("IFERROR(VLOOKUP(G375,IMPORTRANGE(""https://docs.google.com/spreadsheets/d/12RxCea4e5ggM7QGn1XE3FbLQa_-QbCNdBi90OdPjRqg"", ""'Plan de Compras'!D4:Q""), 13, 0), """")"),"NACIONAL")</f>
        <v>NACIONAL</v>
      </c>
      <c r="Y375" s="32" t="str">
        <f>IFERROR(__xludf.DUMMYFUNCTION("IFERROR(VLOOKUP(G375,IMPORTRANGE(""https://docs.google.com/spreadsheets/d/12RxCea4e5ggM7QGn1XE3FbLQa_-QbCNdBi90OdPjRqg"", ""'Plan de Compras'!D4:Q""), 14, 0), """")"),"GEANFRANCO")</f>
        <v>GEANFRANCO</v>
      </c>
      <c r="Z375" s="38" t="str">
        <f>IFERROR(__xludf.DUMMYFUNCTION("IFERROR(VLOOKUP(G375,IMPORTRANGE(""https://docs.google.com/spreadsheets/d/12RxCea4e5ggM7QGn1XE3FbLQa_-QbCNdBi90OdPjRqg"", ""'Plan de Compras'!D4:Q""), 4, 0), """")"),"PISTOLA DE SOLDAR")</f>
        <v>PISTOLA DE SOLDAR</v>
      </c>
      <c r="AA375" s="38" t="str">
        <f t="shared" si="16"/>
        <v>TRUE</v>
      </c>
      <c r="AB375" s="37" t="str">
        <f>IFERROR(__xludf.DUMMYFUNCTION("IFERROR(IF(OR(C375=TRUE,C375=""""),VLOOKUP(G375,IMPORTRANGE(""https://docs.google.com/spreadsheets/d/1z9A1Wq-kKrhRNG5RS2a2fKpY1wIhSVz2ZNmP2mOl588/edit?usp=sharing"",""REQ VF!E4:H""),4,0),""NO APLICA""),""GENERAR REQ"")"),"GENERAR REQ")</f>
        <v>GENERAR REQ</v>
      </c>
      <c r="AC375" s="37" t="str">
        <f>IFERROR(__xludf.DUMMYFUNCTION("IFERROR(QUERY(IMPORTRANGE(""https://docs.google.com/spreadsheets/d/1z9A1Wq-kKrhRNG5RS2a2fKpY1wIhSVz2ZNmP2mOl588/edit?usp=sharing"",""REQ VF!E4:Q""),""SELECT Col10, Col11, Col12 WHERE Col1 = '""&amp;G375&amp;""'"",0),""NO APLICA"")"),"NO APLICA")</f>
        <v>NO APLICA</v>
      </c>
      <c r="AD375" s="37"/>
      <c r="AE375" s="37"/>
      <c r="AF375" s="13"/>
      <c r="AG375" s="13"/>
    </row>
    <row r="376">
      <c r="A376" s="26"/>
      <c r="B376" s="26"/>
      <c r="C376" s="26" t="b">
        <v>1</v>
      </c>
      <c r="D376" s="26" t="s">
        <v>42</v>
      </c>
      <c r="E376" s="26" t="s">
        <v>36</v>
      </c>
      <c r="F376" s="59" t="s">
        <v>1190</v>
      </c>
      <c r="G376" s="39" t="s">
        <v>1193</v>
      </c>
      <c r="H376" s="40" t="s">
        <v>1194</v>
      </c>
      <c r="I376" s="43">
        <f t="shared" ref="I376:I377" si="34">$I$375</f>
        <v>4</v>
      </c>
      <c r="J376" s="26">
        <f>IFERROR(__xludf.DUMMYFUNCTION("VLOOKUP(G376,IMPORTRANGE(""https://docs.google.com/spreadsheets/d/12RxCea4e5ggM7QGn1XE3FbLQa_-QbCNdBi90OdPjRqg/edit?gid=1692403370#gid=1692403370"", ""'Plan de Compras'!D4:2432""), 8,0)"),4.0)</f>
        <v>4</v>
      </c>
      <c r="K376" s="26" t="str">
        <f t="shared" si="1"/>
        <v>SI</v>
      </c>
      <c r="L376" s="26"/>
      <c r="M376" s="47"/>
      <c r="N376" s="28" t="s">
        <v>1195</v>
      </c>
      <c r="O376" s="42"/>
      <c r="P376" s="42"/>
      <c r="Q376" s="55" t="s">
        <v>255</v>
      </c>
      <c r="R376" s="47"/>
      <c r="S376" s="34" t="b">
        <v>1</v>
      </c>
      <c r="T376" s="35" t="s">
        <v>256</v>
      </c>
      <c r="U376" s="35" t="s">
        <v>1196</v>
      </c>
      <c r="V376" s="58" t="s">
        <v>255</v>
      </c>
      <c r="W376" s="37" t="str">
        <f>IFERROR(__xludf.DUMMYFUNCTION("IFERROR(VLOOKUP(G376,IMPORTRANGE(""https://docs.google.com/spreadsheets/d/12RxCea4e5ggM7QGn1XE3FbLQa_-QbCNdBi90OdPjRqg"", ""'Plan de Compras'!D4:Q""), 12, 0), ""NO ESTÁ EN REQ"")"),"Técnica")</f>
        <v>Técnica</v>
      </c>
      <c r="X376" s="37" t="str">
        <f>IFERROR(__xludf.DUMMYFUNCTION("IFERROR(VLOOKUP(G376,IMPORTRANGE(""https://docs.google.com/spreadsheets/d/12RxCea4e5ggM7QGn1XE3FbLQa_-QbCNdBi90OdPjRqg"", ""'Plan de Compras'!D4:Q""), 13, 0), """")"),"NACIONAL")</f>
        <v>NACIONAL</v>
      </c>
      <c r="Y376" s="32" t="str">
        <f>IFERROR(__xludf.DUMMYFUNCTION("IFERROR(VLOOKUP(G376,IMPORTRANGE(""https://docs.google.com/spreadsheets/d/12RxCea4e5ggM7QGn1XE3FbLQa_-QbCNdBi90OdPjRqg"", ""'Plan de Compras'!D4:Q""), 14, 0), """")"),"GEANFRANCO")</f>
        <v>GEANFRANCO</v>
      </c>
      <c r="Z376" s="38" t="str">
        <f>IFERROR(__xludf.DUMMYFUNCTION("IFERROR(VLOOKUP(G376,IMPORTRANGE(""https://docs.google.com/spreadsheets/d/12RxCea4e5ggM7QGn1XE3FbLQa_-QbCNdBi90OdPjRqg"", ""'Plan de Compras'!D4:Q""), 4, 0), """")"),"SOPORTE (1 UND)")</f>
        <v>SOPORTE (1 UND)</v>
      </c>
      <c r="AA376" s="38" t="str">
        <f t="shared" si="16"/>
        <v>TRUE</v>
      </c>
      <c r="AB376" s="37" t="str">
        <f>IFERROR(__xludf.DUMMYFUNCTION("IFERROR(IF(OR(C376=TRUE,C376=""""),VLOOKUP(G376,IMPORTRANGE(""https://docs.google.com/spreadsheets/d/1z9A1Wq-kKrhRNG5RS2a2fKpY1wIhSVz2ZNmP2mOl588/edit?usp=sharing"",""REQ VF!E4:H""),4,0),""NO APLICA""),""GENERAR REQ"")"),"GENERAR REQ")</f>
        <v>GENERAR REQ</v>
      </c>
      <c r="AC376" s="37" t="str">
        <f>IFERROR(__xludf.DUMMYFUNCTION("IFERROR(QUERY(IMPORTRANGE(""https://docs.google.com/spreadsheets/d/1z9A1Wq-kKrhRNG5RS2a2fKpY1wIhSVz2ZNmP2mOl588/edit?usp=sharing"",""REQ VF!E4:Q""),""SELECT Col10, Col11, Col12 WHERE Col1 = '""&amp;G376&amp;""'"",0),""NO APLICA"")"),"NO APLICA")</f>
        <v>NO APLICA</v>
      </c>
      <c r="AD376" s="37"/>
      <c r="AE376" s="37"/>
      <c r="AF376" s="13"/>
      <c r="AG376" s="13"/>
    </row>
    <row r="377">
      <c r="A377" s="26"/>
      <c r="B377" s="26"/>
      <c r="C377" s="26" t="b">
        <v>1</v>
      </c>
      <c r="D377" s="26" t="s">
        <v>42</v>
      </c>
      <c r="E377" s="26" t="s">
        <v>36</v>
      </c>
      <c r="F377" s="59" t="s">
        <v>1190</v>
      </c>
      <c r="G377" s="39" t="s">
        <v>1197</v>
      </c>
      <c r="H377" s="40" t="s">
        <v>260</v>
      </c>
      <c r="I377" s="43">
        <f t="shared" si="34"/>
        <v>4</v>
      </c>
      <c r="J377" s="26">
        <f>IFERROR(__xludf.DUMMYFUNCTION("VLOOKUP(G377,IMPORTRANGE(""https://docs.google.com/spreadsheets/d/12RxCea4e5ggM7QGn1XE3FbLQa_-QbCNdBi90OdPjRqg/edit?gid=1692403370#gid=1692403370"", ""'Plan de Compras'!D4:2432""), 8,0)"),4.0)</f>
        <v>4</v>
      </c>
      <c r="K377" s="26" t="str">
        <f t="shared" si="1"/>
        <v>SI</v>
      </c>
      <c r="L377" s="26"/>
      <c r="M377" s="47"/>
      <c r="N377" s="28" t="s">
        <v>1198</v>
      </c>
      <c r="O377" s="42"/>
      <c r="P377" s="42"/>
      <c r="Q377" s="55" t="s">
        <v>262</v>
      </c>
      <c r="R377" s="47"/>
      <c r="S377" s="34" t="b">
        <v>1</v>
      </c>
      <c r="T377" s="35" t="s">
        <v>1199</v>
      </c>
      <c r="U377" s="35" t="s">
        <v>263</v>
      </c>
      <c r="V377" s="58" t="s">
        <v>262</v>
      </c>
      <c r="W377" s="37" t="str">
        <f>IFERROR(__xludf.DUMMYFUNCTION("IFERROR(VLOOKUP(G377,IMPORTRANGE(""https://docs.google.com/spreadsheets/d/12RxCea4e5ggM7QGn1XE3FbLQa_-QbCNdBi90OdPjRqg"", ""'Plan de Compras'!D4:Q""), 12, 0), ""NO ESTÁ EN REQ"")"),"Técnica")</f>
        <v>Técnica</v>
      </c>
      <c r="X377" s="37" t="str">
        <f>IFERROR(__xludf.DUMMYFUNCTION("IFERROR(VLOOKUP(G377,IMPORTRANGE(""https://docs.google.com/spreadsheets/d/12RxCea4e5ggM7QGn1XE3FbLQa_-QbCNdBi90OdPjRqg"", ""'Plan de Compras'!D4:Q""), 13, 0), """")"),"NACIONAL")</f>
        <v>NACIONAL</v>
      </c>
      <c r="Y377" s="32" t="str">
        <f>IFERROR(__xludf.DUMMYFUNCTION("IFERROR(VLOOKUP(G377,IMPORTRANGE(""https://docs.google.com/spreadsheets/d/12RxCea4e5ggM7QGn1XE3FbLQa_-QbCNdBi90OdPjRqg"", ""'Plan de Compras'!D4:Q""), 14, 0), """")"),"GEANFRANCO")</f>
        <v>GEANFRANCO</v>
      </c>
      <c r="Z377" s="38" t="str">
        <f>IFERROR(__xludf.DUMMYFUNCTION("IFERROR(VLOOKUP(G377,IMPORTRANGE(""https://docs.google.com/spreadsheets/d/12RxCea4e5ggM7QGn1XE3FbLQa_-QbCNdBi90OdPjRqg"", ""'Plan de Compras'!D4:Q""), 4, 0), """")"),"LIMPIADOR DE PUNTA (1 UND)")</f>
        <v>LIMPIADOR DE PUNTA (1 UND)</v>
      </c>
      <c r="AA377" s="38" t="str">
        <f t="shared" si="16"/>
        <v>TRUE</v>
      </c>
      <c r="AB377" s="37" t="str">
        <f>IFERROR(__xludf.DUMMYFUNCTION("IFERROR(IF(OR(C377=TRUE,C377=""""),VLOOKUP(G377,IMPORTRANGE(""https://docs.google.com/spreadsheets/d/1z9A1Wq-kKrhRNG5RS2a2fKpY1wIhSVz2ZNmP2mOl588/edit?usp=sharing"",""REQ VF!E4:H""),4,0),""NO APLICA""),""GENERAR REQ"")"),"GENERAR REQ")</f>
        <v>GENERAR REQ</v>
      </c>
      <c r="AC377" s="37" t="str">
        <f>IFERROR(__xludf.DUMMYFUNCTION("IFERROR(QUERY(IMPORTRANGE(""https://docs.google.com/spreadsheets/d/1z9A1Wq-kKrhRNG5RS2a2fKpY1wIhSVz2ZNmP2mOl588/edit?usp=sharing"",""REQ VF!E4:Q""),""SELECT Col10, Col11, Col12 WHERE Col1 = '""&amp;G377&amp;""'"",0),""NO APLICA"")"),"NO APLICA")</f>
        <v>NO APLICA</v>
      </c>
      <c r="AD377" s="37"/>
      <c r="AE377" s="37"/>
      <c r="AF377" s="13"/>
      <c r="AG377" s="13"/>
    </row>
    <row r="378">
      <c r="A378" s="26">
        <v>170.0</v>
      </c>
      <c r="B378" s="26" t="b">
        <v>1</v>
      </c>
      <c r="C378" s="26" t="b">
        <v>1</v>
      </c>
      <c r="D378" s="26" t="s">
        <v>35</v>
      </c>
      <c r="E378" s="26" t="s">
        <v>36</v>
      </c>
      <c r="F378" s="27" t="s">
        <v>1200</v>
      </c>
      <c r="G378" s="37" t="s">
        <v>1200</v>
      </c>
      <c r="H378" s="45" t="s">
        <v>1201</v>
      </c>
      <c r="I378" s="43">
        <f>SUMIFS('Hoja 10'!$O:$O,'Hoja 10'!$F:$F,$G378)</f>
        <v>2</v>
      </c>
      <c r="J378" s="26">
        <f>IFERROR(__xludf.DUMMYFUNCTION("VLOOKUP(G378,IMPORTRANGE(""https://docs.google.com/spreadsheets/d/12RxCea4e5ggM7QGn1XE3FbLQa_-QbCNdBi90OdPjRqg/edit?gid=1692403370#gid=1692403370"", ""'Plan de Compras'!D4:2432""), 8,0)"),2.0)</f>
        <v>2</v>
      </c>
      <c r="K378" s="26" t="str">
        <f t="shared" si="1"/>
        <v>SI</v>
      </c>
      <c r="L378" s="29" t="s">
        <v>296</v>
      </c>
      <c r="M378" s="30" t="s">
        <v>297</v>
      </c>
      <c r="N378" s="42"/>
      <c r="O378" s="32" t="str">
        <f>VLOOKUP($G378,'Hoja 10'!$F$4:$AA478, 19,0)</f>
        <v>COLORFIT</v>
      </c>
      <c r="P378" s="32" t="str">
        <f>VLOOKUP($G378,'Hoja 10'!$F$4:$AA478, 20,0)</f>
        <v>S-148TC</v>
      </c>
      <c r="Q378" s="33" t="str">
        <f>VLOOKUP($G378,'Hoja 10'!$F$4:$AA478, 21,0)</f>
        <v>https://miltonindustries.com/collections/air-blow-guns/products/colorfitr-by-milton-s-148tc-1-4-npt-lever-blow-gun-tool-rubber-tip-nozzle-blue?_pos=3&amp;_fid=511a843e2&amp;_ss=c</v>
      </c>
      <c r="R378" s="30" t="s">
        <v>1202</v>
      </c>
      <c r="S378" s="34" t="b">
        <v>1</v>
      </c>
      <c r="T378" s="35" t="str">
        <f>IFERROR(__xludf.DUMMYFUNCTION(" IF
( VLOOKUP($G378,IMPORTRANGE(""https://docs.google.com/spreadsheets/d/1Gpl6jkTg7sL4VDNimUm3S9Vi1i95esohXCF3wuKOE8c"", ""'CONSOLIDADO'!G5:AB""), 10, 0) &lt;&gt; 0, 
IFERROR(VLOOKUP($G378,IMPORTRANGE(""https://docs.google.com/spreadsheets/d/1Gpl6jkTg7sL4VDNimU"&amp;"m3S9Vi1i95esohXCF3wuKOE8c"", ""'CONSOLIDADO'!G5:AB""), 17, 0), ""-""),
""""
)"),"COLORFIT")</f>
        <v>COLORFIT</v>
      </c>
      <c r="U378" s="35" t="str">
        <f>IFERROR(__xludf.DUMMYFUNCTION(" IF
( VLOOKUP($G378,IMPORTRANGE(""https://docs.google.com/spreadsheets/d/1Gpl6jkTg7sL4VDNimUm3S9Vi1i95esohXCF3wuKOE8c"", ""'CONSOLIDADO'!G5:AB""), 10, 0) &lt;&gt; 0, 
IFERROR(VLOOKUP($G378,IMPORTRANGE(""https://docs.google.com/spreadsheets/d/1Gpl6jkTg7sL4VDNimU"&amp;"m3S9Vi1i95esohXCF3wuKOE8c"", ""'CONSOLIDADO'!G5:AB""), 18, 0), ""-""),
""""
)"),"S-148TC")</f>
        <v>S-148TC</v>
      </c>
      <c r="V378" s="36" t="str">
        <f>IFERROR(__xludf.DUMMYFUNCTION(" IF
( VLOOKUP($G378,IMPORTRANGE(""https://docs.google.com/spreadsheets/d/1Gpl6jkTg7sL4VDNimUm3S9Vi1i95esohXCF3wuKOE8c"", ""'CONSOLIDADO'!G5:AB""), 10, 0) &lt;&gt; 0, 
IFERROR(VLOOKUP($G378,IMPORTRANGE(""https://docs.google.com/spreadsheets/d/1Gpl6jkTg7sL4VDNimU"&amp;"m3S9Vi1i95esohXCF3wuKOE8c"", ""'CONSOLIDADO'!G5:AB""), 19, 0), ""-""),
""""
)"),"https://miltonindustries.com/collections/air-blow-guns/products/colorfitr-by-milton-s-148tc-1-4-npt-lever-blow-gun-tool-rubber-tip-nozzle-blue?_pos=3&amp;_fid=511a843e2&amp;_ss=c")</f>
        <v>https://miltonindustries.com/collections/air-blow-guns/products/colorfitr-by-milton-s-148tc-1-4-npt-lever-blow-gun-tool-rubber-tip-nozzle-blue?_pos=3&amp;_fid=511a843e2&amp;_ss=c</v>
      </c>
      <c r="W378" s="37" t="str">
        <f>IFERROR(__xludf.DUMMYFUNCTION("IFERROR(VLOOKUP(G378,IMPORTRANGE(""https://docs.google.com/spreadsheets/d/12RxCea4e5ggM7QGn1XE3FbLQa_-QbCNdBi90OdPjRqg"", ""'Plan de Compras'!D4:Q""), 12, 0), ""NO ESTÁ EN REQ"")"),"Técnica")</f>
        <v>Técnica</v>
      </c>
      <c r="X378" s="37" t="str">
        <f>IFERROR(__xludf.DUMMYFUNCTION("IFERROR(VLOOKUP(G378,IMPORTRANGE(""https://docs.google.com/spreadsheets/d/12RxCea4e5ggM7QGn1XE3FbLQa_-QbCNdBi90OdPjRqg"", ""'Plan de Compras'!D4:Q""), 13, 0), """")"),"INTERNACIONAL")</f>
        <v>INTERNACIONAL</v>
      </c>
      <c r="Y378" s="32" t="str">
        <f>IFERROR(__xludf.DUMMYFUNCTION("IFERROR(VLOOKUP(G378,IMPORTRANGE(""https://docs.google.com/spreadsheets/d/12RxCea4e5ggM7QGn1XE3FbLQa_-QbCNdBi90OdPjRqg"", ""'Plan de Compras'!D4:Q""), 14, 0), """")"),"ALEJANDRA")</f>
        <v>ALEJANDRA</v>
      </c>
      <c r="Z378" s="38" t="str">
        <f>IFERROR(__xludf.DUMMYFUNCTION("IFERROR(VLOOKUP(G378,IMPORTRANGE(""https://docs.google.com/spreadsheets/d/12RxCea4e5ggM7QGn1XE3FbLQa_-QbCNdBi90OdPjRqg"", ""'Plan de Compras'!D4:Q""), 4, 0), """")"),"PISTOLA SOPLADORA DE AIRE")</f>
        <v>PISTOLA SOPLADORA DE AIRE</v>
      </c>
      <c r="AA378" s="38" t="str">
        <f t="shared" si="16"/>
        <v>TRUE</v>
      </c>
      <c r="AB378" s="37" t="str">
        <f>IFERROR(__xludf.DUMMYFUNCTION("IFERROR(IF(OR(C378=TRUE,C378=""""),VLOOKUP(G378,IMPORTRANGE(""https://docs.google.com/spreadsheets/d/1z9A1Wq-kKrhRNG5RS2a2fKpY1wIhSVz2ZNmP2mOl588/edit?usp=sharing"",""REQ VF!E4:H""),4,0),""NO APLICA""),""GENERAR REQ"")"),"GENERAR REQ")</f>
        <v>GENERAR REQ</v>
      </c>
      <c r="AC378" s="37" t="str">
        <f>IFERROR(__xludf.DUMMYFUNCTION("IFERROR(QUERY(IMPORTRANGE(""https://docs.google.com/spreadsheets/d/1z9A1Wq-kKrhRNG5RS2a2fKpY1wIhSVz2ZNmP2mOl588/edit?usp=sharing"",""REQ VF!E4:Q""),""SELECT Col10, Col11, Col12 WHERE Col1 = '""&amp;G378&amp;""'"",0),""NO APLICA"")"),"NO APLICA")</f>
        <v>NO APLICA</v>
      </c>
      <c r="AD378" s="37"/>
      <c r="AE378" s="37"/>
      <c r="AF378" s="8" t="s">
        <v>52</v>
      </c>
      <c r="AG378" s="13"/>
    </row>
    <row r="379">
      <c r="A379" s="26"/>
      <c r="B379" s="26"/>
      <c r="C379" s="26" t="b">
        <v>1</v>
      </c>
      <c r="D379" s="26" t="s">
        <v>42</v>
      </c>
      <c r="E379" s="26" t="s">
        <v>36</v>
      </c>
      <c r="F379" s="59" t="s">
        <v>1200</v>
      </c>
      <c r="G379" s="39" t="s">
        <v>1203</v>
      </c>
      <c r="H379" s="40" t="s">
        <v>1204</v>
      </c>
      <c r="I379" s="43">
        <f>$I$378</f>
        <v>2</v>
      </c>
      <c r="J379" s="26">
        <f>IFERROR(__xludf.DUMMYFUNCTION("VLOOKUP(G379,IMPORTRANGE(""https://docs.google.com/spreadsheets/d/12RxCea4e5ggM7QGn1XE3FbLQa_-QbCNdBi90OdPjRqg/edit?gid=1692403370#gid=1692403370"", ""'Plan de Compras'!D4:2432""), 8,0)"),2.0)</f>
        <v>2</v>
      </c>
      <c r="K379" s="26" t="str">
        <f t="shared" si="1"/>
        <v>SI</v>
      </c>
      <c r="L379" s="26"/>
      <c r="M379" s="41"/>
      <c r="N379" s="106" t="s">
        <v>1205</v>
      </c>
      <c r="O379" s="42"/>
      <c r="P379" s="42"/>
      <c r="Q379" s="55" t="s">
        <v>1206</v>
      </c>
      <c r="R379" s="41"/>
      <c r="S379" s="34" t="b">
        <v>1</v>
      </c>
      <c r="T379" s="35" t="s">
        <v>1207</v>
      </c>
      <c r="U379" s="35">
        <v>27023.0</v>
      </c>
      <c r="V379" s="55" t="s">
        <v>1206</v>
      </c>
      <c r="W379" s="37" t="str">
        <f>IFERROR(__xludf.DUMMYFUNCTION("IFERROR(VLOOKUP(G379,IMPORTRANGE(""https://docs.google.com/spreadsheets/d/12RxCea4e5ggM7QGn1XE3FbLQa_-QbCNdBi90OdPjRqg"", ""'Plan de Compras'!D4:Q""), 12, 0), ""NO ESTÁ EN REQ"")"),"Técnica")</f>
        <v>Técnica</v>
      </c>
      <c r="X379" s="37" t="str">
        <f>IFERROR(__xludf.DUMMYFUNCTION("IFERROR(VLOOKUP(G379,IMPORTRANGE(""https://docs.google.com/spreadsheets/d/12RxCea4e5ggM7QGn1XE3FbLQa_-QbCNdBi90OdPjRqg"", ""'Plan de Compras'!D4:Q""), 13, 0), """")"),"NACIONAL")</f>
        <v>NACIONAL</v>
      </c>
      <c r="Y379" s="32" t="str">
        <f>IFERROR(__xludf.DUMMYFUNCTION("IFERROR(VLOOKUP(G379,IMPORTRANGE(""https://docs.google.com/spreadsheets/d/12RxCea4e5ggM7QGn1XE3FbLQa_-QbCNdBi90OdPjRqg"", ""'Plan de Compras'!D4:Q""), 14, 0), """")"),"ANGIE")</f>
        <v>ANGIE</v>
      </c>
      <c r="Z379" s="38" t="str">
        <f>IFERROR(__xludf.DUMMYFUNCTION("IFERROR(VLOOKUP(G379,IMPORTRANGE(""https://docs.google.com/spreadsheets/d/12RxCea4e5ggM7QGn1XE3FbLQa_-QbCNdBi90OdPjRqg"", ""'Plan de Compras'!D4:Q""), 4, 0), """")"),"CONECTOR RÁPIDO DE 1/4"" MACHO - 27023 PRETUL (1 UND)")</f>
        <v>CONECTOR RÁPIDO DE 1/4" MACHO - 27023 PRETUL (1 UND)</v>
      </c>
      <c r="AA379" s="38" t="str">
        <f t="shared" si="16"/>
        <v>TRUE</v>
      </c>
      <c r="AB379" s="37" t="str">
        <f>IFERROR(__xludf.DUMMYFUNCTION("IFERROR(IF(OR(C379=TRUE,C379=""""),VLOOKUP(G379,IMPORTRANGE(""https://docs.google.com/spreadsheets/d/1z9A1Wq-kKrhRNG5RS2a2fKpY1wIhSVz2ZNmP2mOl588/edit?usp=sharing"",""REQ VF!E4:H""),4,0),""NO APLICA""),""GENERAR REQ"")"),"GENERAR REQ")</f>
        <v>GENERAR REQ</v>
      </c>
      <c r="AC379" s="37" t="str">
        <f>IFERROR(__xludf.DUMMYFUNCTION("IFERROR(QUERY(IMPORTRANGE(""https://docs.google.com/spreadsheets/d/1z9A1Wq-kKrhRNG5RS2a2fKpY1wIhSVz2ZNmP2mOl588/edit?usp=sharing"",""REQ VF!E4:Q""),""SELECT Col10, Col11, Col12 WHERE Col1 = '""&amp;G379&amp;""'"",0),""NO APLICA"")"),"NO APLICA")</f>
        <v>NO APLICA</v>
      </c>
      <c r="AD379" s="37"/>
      <c r="AE379" s="37"/>
      <c r="AF379" s="13"/>
      <c r="AG379" s="13"/>
    </row>
    <row r="380">
      <c r="A380" s="26">
        <v>171.0</v>
      </c>
      <c r="B380" s="26" t="b">
        <v>1</v>
      </c>
      <c r="C380" s="26" t="b">
        <v>1</v>
      </c>
      <c r="D380" s="26" t="s">
        <v>35</v>
      </c>
      <c r="E380" s="26" t="s">
        <v>36</v>
      </c>
      <c r="F380" s="27" t="s">
        <v>1208</v>
      </c>
      <c r="G380" s="37" t="s">
        <v>1208</v>
      </c>
      <c r="H380" s="45" t="s">
        <v>1209</v>
      </c>
      <c r="I380" s="43">
        <f>SUMIFS('Hoja 10'!$O:$O,'Hoja 10'!$F:$F,$G380)</f>
        <v>4</v>
      </c>
      <c r="J380" s="26">
        <f>IFERROR(__xludf.DUMMYFUNCTION("VLOOKUP(G380,IMPORTRANGE(""https://docs.google.com/spreadsheets/d/12RxCea4e5ggM7QGn1XE3FbLQa_-QbCNdBi90OdPjRqg/edit?gid=1692403370#gid=1692403370"", ""'Plan de Compras'!D4:2432""), 8,0)"),4.0)</f>
        <v>4</v>
      </c>
      <c r="K380" s="26" t="str">
        <f t="shared" si="1"/>
        <v>SI</v>
      </c>
      <c r="L380" s="29" t="s">
        <v>185</v>
      </c>
      <c r="M380" s="30" t="s">
        <v>186</v>
      </c>
      <c r="N380" s="42"/>
      <c r="O380" s="32" t="str">
        <f>VLOOKUP($G380,'Hoja 10'!$F$4:$AA478, 19,0)</f>
        <v>PHILIPS</v>
      </c>
      <c r="P380" s="32" t="str">
        <f>VLOOKUP($G380,'Hoja 10'!$F$4:$AA478, 20,0)</f>
        <v>GC1750/20</v>
      </c>
      <c r="Q380" s="33" t="str">
        <f>VLOOKUP($G380,'Hoja 10'!$F$4:$AA478, 21,0)</f>
        <v>https://drive.google.com/file/d/1g2d9B4aEMaxZIWhRWarKX1XIR3xUvXe9/view</v>
      </c>
      <c r="R380" s="30" t="s">
        <v>1210</v>
      </c>
      <c r="S380" s="34" t="b">
        <v>1</v>
      </c>
      <c r="T380" s="35" t="s">
        <v>1211</v>
      </c>
      <c r="U380" s="35" t="s">
        <v>1212</v>
      </c>
      <c r="V380" s="36" t="str">
        <f>IFERROR(__xludf.DUMMYFUNCTION(" IF
( VLOOKUP($G380,IMPORTRANGE(""https://docs.google.com/spreadsheets/d/1Gpl6jkTg7sL4VDNimUm3S9Vi1i95esohXCF3wuKOE8c"", ""'CONSOLIDADO'!G5:AB""), 10, 0) &lt;&gt; 0, 
IFERROR(VLOOKUP($G380,IMPORTRANGE(""https://docs.google.com/spreadsheets/d/1Gpl6jkTg7sL4VDNimU"&amp;"m3S9Vi1i95esohXCF3wuKOE8c"", ""'CONSOLIDADO'!G5:AB""), 19, 0), ""-""),
""""
)"),"https://www.oster.com.pe/plancha-de-vapor-oster-con-tecnologia-aeroceramica-gcstac6901/p?idsku=536&amp;gad_source=1&amp;gad_campaignid=22455841652&amp;gbraid=0AAAAA_KB7OJYHrhH6LsmykGC2WYGDxyTN&amp;gclid=Cj0KCQiA6Y7KBhCkARIsAOxhqtNKlcO4SQ6mvs7Z-xAt85CqdsmO5Jok4IAo2KisJ1vq"&amp;"tSxbfuvr_0caAssyEALw_wcB")</f>
        <v>https://www.oster.com.pe/plancha-de-vapor-oster-con-tecnologia-aeroceramica-gcstac6901/p?idsku=536&amp;gad_source=1&amp;gad_campaignid=22455841652&amp;gbraid=0AAAAA_KB7OJYHrhH6LsmykGC2WYGDxyTN&amp;gclid=Cj0KCQiA6Y7KBhCkARIsAOxhqtNKlcO4SQ6mvs7Z-xAt85CqdsmO5Jok4IAo2KisJ1vqtSxbfuvr_0caAssyEALw_wcB</v>
      </c>
      <c r="W380" s="37" t="str">
        <f>IFERROR(__xludf.DUMMYFUNCTION("IFERROR(VLOOKUP(G380,IMPORTRANGE(""https://docs.google.com/spreadsheets/d/12RxCea4e5ggM7QGn1XE3FbLQa_-QbCNdBi90OdPjRqg"", ""'Plan de Compras'!D4:Q""), 12, 0), ""NO ESTÁ EN REQ"")"),"Técnica")</f>
        <v>Técnica</v>
      </c>
      <c r="X380" s="37" t="str">
        <f>IFERROR(__xludf.DUMMYFUNCTION("IFERROR(VLOOKUP(G380,IMPORTRANGE(""https://docs.google.com/spreadsheets/d/12RxCea4e5ggM7QGn1XE3FbLQa_-QbCNdBi90OdPjRqg"", ""'Plan de Compras'!D4:Q""), 13, 0), """")"),"NACIONAL")</f>
        <v>NACIONAL</v>
      </c>
      <c r="Y380" s="32" t="str">
        <f>IFERROR(__xludf.DUMMYFUNCTION("IFERROR(VLOOKUP(G380,IMPORTRANGE(""https://docs.google.com/spreadsheets/d/12RxCea4e5ggM7QGn1XE3FbLQa_-QbCNdBi90OdPjRqg"", ""'Plan de Compras'!D4:Q""), 14, 0), """")"),"DIANA")</f>
        <v>DIANA</v>
      </c>
      <c r="Z380" s="38" t="str">
        <f>IFERROR(__xludf.DUMMYFUNCTION("IFERROR(VLOOKUP(G380,IMPORTRANGE(""https://docs.google.com/spreadsheets/d/12RxCea4e5ggM7QGn1XE3FbLQa_-QbCNdBi90OdPjRqg"", ""'Plan de Compras'!D4:Q""), 4, 0), """")"),"PLANCHA A VAPOR")</f>
        <v>PLANCHA A VAPOR</v>
      </c>
      <c r="AA380" s="38" t="str">
        <f t="shared" si="16"/>
        <v>TRUE</v>
      </c>
      <c r="AB380" s="37" t="str">
        <f>IFERROR(__xludf.DUMMYFUNCTION("IFERROR(IF(OR(C380=TRUE,C380=""""),VLOOKUP(G380,IMPORTRANGE(""https://docs.google.com/spreadsheets/d/1z9A1Wq-kKrhRNG5RS2a2fKpY1wIhSVz2ZNmP2mOl588/edit?usp=sharing"",""REQ VF!E4:H""),4,0),""NO APLICA""),""GENERAR REQ"")"),"GENERAR REQ")</f>
        <v>GENERAR REQ</v>
      </c>
      <c r="AC380" s="37" t="str">
        <f>IFERROR(__xludf.DUMMYFUNCTION("IFERROR(QUERY(IMPORTRANGE(""https://docs.google.com/spreadsheets/d/1z9A1Wq-kKrhRNG5RS2a2fKpY1wIhSVz2ZNmP2mOl588/edit?usp=sharing"",""REQ VF!E4:Q""),""SELECT Col10, Col11, Col12 WHERE Col1 = '""&amp;G380&amp;""'"",0),""NO APLICA"")"),"NO APLICA")</f>
        <v>NO APLICA</v>
      </c>
      <c r="AD380" s="37"/>
      <c r="AE380" s="37"/>
      <c r="AF380" s="13"/>
      <c r="AG380" s="13"/>
    </row>
    <row r="381">
      <c r="A381" s="26">
        <v>172.0</v>
      </c>
      <c r="B381" s="26" t="b">
        <v>1</v>
      </c>
      <c r="C381" s="26" t="b">
        <v>1</v>
      </c>
      <c r="D381" s="26" t="s">
        <v>35</v>
      </c>
      <c r="E381" s="26" t="s">
        <v>36</v>
      </c>
      <c r="F381" s="27" t="s">
        <v>1213</v>
      </c>
      <c r="G381" s="37" t="s">
        <v>1213</v>
      </c>
      <c r="H381" s="45" t="s">
        <v>1214</v>
      </c>
      <c r="I381" s="43">
        <f>SUMIFS('Hoja 10'!$O:$O,'Hoja 10'!$F:$F,$G381)</f>
        <v>2</v>
      </c>
      <c r="J381" s="26">
        <f>IFERROR(__xludf.DUMMYFUNCTION("VLOOKUP(G381,IMPORTRANGE(""https://docs.google.com/spreadsheets/d/12RxCea4e5ggM7QGn1XE3FbLQa_-QbCNdBi90OdPjRqg/edit?gid=1692403370#gid=1692403370"", ""'Plan de Compras'!D4:2432""), 8,0)"),2.0)</f>
        <v>2</v>
      </c>
      <c r="K381" s="26" t="str">
        <f t="shared" si="1"/>
        <v>SI</v>
      </c>
      <c r="L381" s="29" t="s">
        <v>185</v>
      </c>
      <c r="M381" s="30" t="s">
        <v>186</v>
      </c>
      <c r="N381" s="42"/>
      <c r="O381" s="32" t="str">
        <f>VLOOKUP($G381,'Hoja 10'!$F$4:$AA478, 19,0)</f>
        <v>PHILIPS</v>
      </c>
      <c r="P381" s="32" t="str">
        <f>VLOOKUP($G381,'Hoja 10'!$F$4:$AA478, 20,0)</f>
        <v>GC484</v>
      </c>
      <c r="Q381" s="33" t="str">
        <f>VLOOKUP($G381,'Hoja 10'!$F$4:$AA478, 21,0)</f>
        <v>https://www.philips.com.pe/c-p/GC484_40/easy-touch-stand-steamer</v>
      </c>
      <c r="R381" s="30" t="s">
        <v>1215</v>
      </c>
      <c r="S381" s="34" t="b">
        <v>1</v>
      </c>
      <c r="T381" s="35" t="str">
        <f>IFERROR(__xludf.DUMMYFUNCTION(" IF
( VLOOKUP($G381,IMPORTRANGE(""https://docs.google.com/spreadsheets/d/1Gpl6jkTg7sL4VDNimUm3S9Vi1i95esohXCF3wuKOE8c"", ""'CONSOLIDADO'!G5:AB""), 10, 0) &lt;&gt; 0, 
IFERROR(VLOOKUP($G381,IMPORTRANGE(""https://docs.google.com/spreadsheets/d/1Gpl6jkTg7sL4VDNimU"&amp;"m3S9Vi1i95esohXCF3wuKOE8c"", ""'CONSOLIDADO'!G5:AB""), 17, 0), ""-""),
""""
)"),"PHILIPS")</f>
        <v>PHILIPS</v>
      </c>
      <c r="U381" s="35" t="str">
        <f>IFERROR(__xludf.DUMMYFUNCTION(" IF
( VLOOKUP($G381,IMPORTRANGE(""https://docs.google.com/spreadsheets/d/1Gpl6jkTg7sL4VDNimUm3S9Vi1i95esohXCF3wuKOE8c"", ""'CONSOLIDADO'!G5:AB""), 10, 0) &lt;&gt; 0, 
IFERROR(VLOOKUP($G381,IMPORTRANGE(""https://docs.google.com/spreadsheets/d/1Gpl6jkTg7sL4VDNimU"&amp;"m3S9Vi1i95esohXCF3wuKOE8c"", ""'CONSOLIDADO'!G5:AB""), 18, 0), ""-""),
""""
)"),"GC484")</f>
        <v>GC484</v>
      </c>
      <c r="V381" s="36" t="str">
        <f>IFERROR(__xludf.DUMMYFUNCTION(" IF
( VLOOKUP($G381,IMPORTRANGE(""https://docs.google.com/spreadsheets/d/1Gpl6jkTg7sL4VDNimUm3S9Vi1i95esohXCF3wuKOE8c"", ""'CONSOLIDADO'!G5:AB""), 10, 0) &lt;&gt; 0, 
IFERROR(VLOOKUP($G381,IMPORTRANGE(""https://docs.google.com/spreadsheets/d/1Gpl6jkTg7sL4VDNimU"&amp;"m3S9Vi1i95esohXCF3wuKOE8c"", ""'CONSOLIDADO'!G5:AB""), 19, 0), ""-""),
""""
)"),"https://hiraoka.com.pe/vaporizador-de-prendas-philips-gg484-40")</f>
        <v>https://hiraoka.com.pe/vaporizador-de-prendas-philips-gg484-40</v>
      </c>
      <c r="W381" s="37" t="str">
        <f>IFERROR(__xludf.DUMMYFUNCTION("IFERROR(VLOOKUP(G381,IMPORTRANGE(""https://docs.google.com/spreadsheets/d/12RxCea4e5ggM7QGn1XE3FbLQa_-QbCNdBi90OdPjRqg"", ""'Plan de Compras'!D4:Q""), 12, 0), ""NO ESTÁ EN REQ"")"),"Técnica")</f>
        <v>Técnica</v>
      </c>
      <c r="X381" s="37" t="str">
        <f>IFERROR(__xludf.DUMMYFUNCTION("IFERROR(VLOOKUP(G381,IMPORTRANGE(""https://docs.google.com/spreadsheets/d/12RxCea4e5ggM7QGn1XE3FbLQa_-QbCNdBi90OdPjRqg"", ""'Plan de Compras'!D4:Q""), 13, 0), """")"),"NACIONAL")</f>
        <v>NACIONAL</v>
      </c>
      <c r="Y381" s="32" t="str">
        <f>IFERROR(__xludf.DUMMYFUNCTION("IFERROR(VLOOKUP(G381,IMPORTRANGE(""https://docs.google.com/spreadsheets/d/12RxCea4e5ggM7QGn1XE3FbLQa_-QbCNdBi90OdPjRqg"", ""'Plan de Compras'!D4:Q""), 14, 0), """")"),"ANGIE")</f>
        <v>ANGIE</v>
      </c>
      <c r="Z381" s="38" t="str">
        <f>IFERROR(__xludf.DUMMYFUNCTION("IFERROR(VLOOKUP(G381,IMPORTRANGE(""https://docs.google.com/spreadsheets/d/12RxCea4e5ggM7QGn1XE3FbLQa_-QbCNdBi90OdPjRqg"", ""'Plan de Compras'!D4:Q""), 4, 0), """")"),"PLANCHA A VAPOR VERTICAL")</f>
        <v>PLANCHA A VAPOR VERTICAL</v>
      </c>
      <c r="AA381" s="38" t="str">
        <f t="shared" si="16"/>
        <v>TRUE</v>
      </c>
      <c r="AB381" s="37" t="str">
        <f>IFERROR(__xludf.DUMMYFUNCTION("IFERROR(IF(OR(C381=TRUE,C381=""""),VLOOKUP(G381,IMPORTRANGE(""https://docs.google.com/spreadsheets/d/1z9A1Wq-kKrhRNG5RS2a2fKpY1wIhSVz2ZNmP2mOl588/edit?usp=sharing"",""REQ VF!E4:H""),4,0),""NO APLICA""),""GENERAR REQ"")"),"GENERAR REQ")</f>
        <v>GENERAR REQ</v>
      </c>
      <c r="AC381" s="37" t="str">
        <f>IFERROR(__xludf.DUMMYFUNCTION("IFERROR(QUERY(IMPORTRANGE(""https://docs.google.com/spreadsheets/d/1z9A1Wq-kKrhRNG5RS2a2fKpY1wIhSVz2ZNmP2mOl588/edit?usp=sharing"",""REQ VF!E4:Q""),""SELECT Col10, Col11, Col12 WHERE Col1 = '""&amp;G381&amp;""'"",0),""NO APLICA"")"),"NO APLICA")</f>
        <v>NO APLICA</v>
      </c>
      <c r="AD381" s="37"/>
      <c r="AE381" s="37"/>
      <c r="AF381" s="8" t="s">
        <v>52</v>
      </c>
      <c r="AG381" s="13"/>
    </row>
    <row r="382">
      <c r="A382" s="26">
        <v>173.0</v>
      </c>
      <c r="B382" s="26" t="b">
        <v>1</v>
      </c>
      <c r="C382" s="26" t="b">
        <v>1</v>
      </c>
      <c r="D382" s="26" t="s">
        <v>35</v>
      </c>
      <c r="E382" s="26" t="s">
        <v>36</v>
      </c>
      <c r="F382" s="27" t="s">
        <v>1216</v>
      </c>
      <c r="G382" s="37" t="s">
        <v>1216</v>
      </c>
      <c r="H382" s="45" t="s">
        <v>1217</v>
      </c>
      <c r="I382" s="43">
        <f>SUMIFS('Hoja 10'!$O:$O,'Hoja 10'!$F:$F,$G382)</f>
        <v>1</v>
      </c>
      <c r="J382" s="26">
        <f>IFERROR(__xludf.DUMMYFUNCTION("VLOOKUP(G382,IMPORTRANGE(""https://docs.google.com/spreadsheets/d/12RxCea4e5ggM7QGn1XE3FbLQa_-QbCNdBi90OdPjRqg/edit?gid=1692403370#gid=1692403370"", ""'Plan de Compras'!D4:2432""), 8,0)"),1.0)</f>
        <v>1</v>
      </c>
      <c r="K382" s="26" t="str">
        <f t="shared" si="1"/>
        <v>SI</v>
      </c>
      <c r="L382" s="29" t="s">
        <v>77</v>
      </c>
      <c r="M382" s="30" t="s">
        <v>78</v>
      </c>
      <c r="N382" s="42"/>
      <c r="O382" s="32" t="str">
        <f>VLOOKUP($G382,'Hoja 10'!$F$4:$AA478, 19,0)</f>
        <v>LICCNOX</v>
      </c>
      <c r="P382" s="32" t="str">
        <f>VLOOKUP($G382,'Hoja 10'!$F$4:$AA478, 20,0)</f>
        <v>GL-P60</v>
      </c>
      <c r="Q382" s="33" t="str">
        <f>VLOOKUP($G382,'Hoja 10'!$F$4:$AA478, 21,0)</f>
        <v>https://drive.google.com/file/d/1IcHy16s2wbkJLph8wKhs2jLlok4biAzo/view</v>
      </c>
      <c r="R382" s="30" t="s">
        <v>1218</v>
      </c>
      <c r="S382" s="34" t="b">
        <v>1</v>
      </c>
      <c r="T382" s="35" t="str">
        <f>IFERROR(__xludf.DUMMYFUNCTION(" IF
( VLOOKUP($G382,IMPORTRANGE(""https://docs.google.com/spreadsheets/d/1Gpl6jkTg7sL4VDNimUm3S9Vi1i95esohXCF3wuKOE8c"", ""'CONSOLIDADO'!G5:AB""), 10, 0) &lt;&gt; 0, 
IFERROR(VLOOKUP($G382,IMPORTRANGE(""https://docs.google.com/spreadsheets/d/1Gpl6jkTg7sL4VDNimU"&amp;"m3S9Vi1i95esohXCF3wuKOE8c"", ""'CONSOLIDADO'!G5:AB""), 17, 0), ""-""),
""""
)"),"LICCNOX")</f>
        <v>LICCNOX</v>
      </c>
      <c r="U382" s="35" t="str">
        <f>IFERROR(__xludf.DUMMYFUNCTION(" IF
( VLOOKUP($G382,IMPORTRANGE(""https://docs.google.com/spreadsheets/d/1Gpl6jkTg7sL4VDNimUm3S9Vi1i95esohXCF3wuKOE8c"", ""'CONSOLIDADO'!G5:AB""), 10, 0) &lt;&gt; 0, 
IFERROR(VLOOKUP($G382,IMPORTRANGE(""https://docs.google.com/spreadsheets/d/1Gpl6jkTg7sL4VDNimU"&amp;"m3S9Vi1i95esohXCF3wuKOE8c"", ""'CONSOLIDADO'!G5:AB""), 18, 0), ""-""),
""""
)"),"GL-P60")</f>
        <v>GL-P60</v>
      </c>
      <c r="V382" s="36" t="str">
        <f>IFERROR(__xludf.DUMMYFUNCTION(" IF
( VLOOKUP($G382,IMPORTRANGE(""https://docs.google.com/spreadsheets/d/1Gpl6jkTg7sL4VDNimUm3S9Vi1i95esohXCF3wuKOE8c"", ""'CONSOLIDADO'!G5:AB""), 10, 0) &lt;&gt; 0, 
IFERROR(VLOOKUP($G382,IMPORTRANGE(""https://docs.google.com/spreadsheets/d/1Gpl6jkTg7sL4VDNimU"&amp;"m3S9Vi1i95esohXCF3wuKOE8c"", ""'CONSOLIDADO'!G5:AB""), 19, 0), ""-""),
""""
)"),"https://drive.google.com/file/d/1IcHy16s2wbkJLph8wKhs2jLlok4biAzo/view")</f>
        <v>https://drive.google.com/file/d/1IcHy16s2wbkJLph8wKhs2jLlok4biAzo/view</v>
      </c>
      <c r="W382" s="37" t="str">
        <f>IFERROR(__xludf.DUMMYFUNCTION("IFERROR(VLOOKUP(G382,IMPORTRANGE(""https://docs.google.com/spreadsheets/d/12RxCea4e5ggM7QGn1XE3FbLQa_-QbCNdBi90OdPjRqg"", ""'Plan de Compras'!D4:Q""), 12, 0), ""NO ESTÁ EN REQ"")"),"Técnica")</f>
        <v>Técnica</v>
      </c>
      <c r="X382" s="37" t="str">
        <f>IFERROR(__xludf.DUMMYFUNCTION("IFERROR(VLOOKUP(G382,IMPORTRANGE(""https://docs.google.com/spreadsheets/d/12RxCea4e5ggM7QGn1XE3FbLQa_-QbCNdBi90OdPjRqg"", ""'Plan de Compras'!D4:Q""), 13, 0), """")"),"NACIONAL")</f>
        <v>NACIONAL</v>
      </c>
      <c r="Y382" s="32" t="str">
        <f>IFERROR(__xludf.DUMMYFUNCTION("IFERROR(VLOOKUP(G382,IMPORTRANGE(""https://docs.google.com/spreadsheets/d/12RxCea4e5ggM7QGn1XE3FbLQa_-QbCNdBi90OdPjRqg"", ""'Plan de Compras'!D4:Q""), 14, 0), """")"),"JESSICA")</f>
        <v>JESSICA</v>
      </c>
      <c r="Z382" s="38" t="str">
        <f>IFERROR(__xludf.DUMMYFUNCTION("IFERROR(VLOOKUP(G382,IMPORTRANGE(""https://docs.google.com/spreadsheets/d/12RxCea4e5ggM7QGn1XE3FbLQa_-QbCNdBi90OdPjRqg"", ""'Plan de Compras'!D4:Q""), 4, 0), """")"),"PLANCHA DE SOBREMESA A GAS")</f>
        <v>PLANCHA DE SOBREMESA A GAS</v>
      </c>
      <c r="AA382" s="38" t="str">
        <f t="shared" si="16"/>
        <v>TRUE</v>
      </c>
      <c r="AB382" s="37" t="str">
        <f>IFERROR(__xludf.DUMMYFUNCTION("IFERROR(IF(OR(C382=TRUE,C382=""""),VLOOKUP(G382,IMPORTRANGE(""https://docs.google.com/spreadsheets/d/1z9A1Wq-kKrhRNG5RS2a2fKpY1wIhSVz2ZNmP2mOl588/edit?usp=sharing"",""REQ VF!E4:H""),4,0),""NO APLICA""),""GENERAR REQ"")"),"GENERAR REQ")</f>
        <v>GENERAR REQ</v>
      </c>
      <c r="AC382" s="37" t="str">
        <f>IFERROR(__xludf.DUMMYFUNCTION("IFERROR(QUERY(IMPORTRANGE(""https://docs.google.com/spreadsheets/d/1z9A1Wq-kKrhRNG5RS2a2fKpY1wIhSVz2ZNmP2mOl588/edit?usp=sharing"",""REQ VF!E4:Q""),""SELECT Col10, Col11, Col12 WHERE Col1 = '""&amp;G382&amp;""'"",0),""NO APLICA"")"),"NO APLICA")</f>
        <v>NO APLICA</v>
      </c>
      <c r="AD382" s="37"/>
      <c r="AE382" s="37"/>
      <c r="AF382" s="13"/>
      <c r="AG382" s="13"/>
    </row>
    <row r="383">
      <c r="A383" s="26">
        <v>174.0</v>
      </c>
      <c r="B383" s="26" t="b">
        <v>1</v>
      </c>
      <c r="C383" s="26" t="b">
        <v>1</v>
      </c>
      <c r="D383" s="26" t="s">
        <v>35</v>
      </c>
      <c r="E383" s="26" t="s">
        <v>36</v>
      </c>
      <c r="F383" s="27" t="s">
        <v>1219</v>
      </c>
      <c r="G383" s="37" t="s">
        <v>1219</v>
      </c>
      <c r="H383" s="45" t="s">
        <v>1220</v>
      </c>
      <c r="I383" s="43">
        <f>SUMIFS('Hoja 10'!$O:$O,'Hoja 10'!$F:$F,$G383)</f>
        <v>1</v>
      </c>
      <c r="J383" s="26">
        <f>IFERROR(__xludf.DUMMYFUNCTION("VLOOKUP(G383,IMPORTRANGE(""https://docs.google.com/spreadsheets/d/12RxCea4e5ggM7QGn1XE3FbLQa_-QbCNdBi90OdPjRqg/edit?gid=1692403370#gid=1692403370"", ""'Plan de Compras'!D4:2432""), 8,0)"),1.0)</f>
        <v>1</v>
      </c>
      <c r="K383" s="26" t="str">
        <f t="shared" si="1"/>
        <v>SI</v>
      </c>
      <c r="L383" s="29" t="s">
        <v>91</v>
      </c>
      <c r="M383" s="30" t="s">
        <v>92</v>
      </c>
      <c r="N383" s="42"/>
      <c r="O383" s="32" t="str">
        <f>VLOOKUP($G383,'Hoja 10'!$F$4:$AA478, 19,0)</f>
        <v>TTMC</v>
      </c>
      <c r="P383" s="32" t="str">
        <f>VLOOKUP($G383,'Hoja 10'!$F$4:$AA478, 20,0)</f>
        <v>SKY 371008 (3-IN-1/1320X1,5)</v>
      </c>
      <c r="Q383" s="33" t="str">
        <f>VLOOKUP($G383,'Hoja 10'!$F$4:$AA478, 21,0)</f>
        <v>https://www.alibaba.com/product-detail/3-IN-1-1320X1-5-TTMC_1024519964.html</v>
      </c>
      <c r="R383" s="30" t="s">
        <v>1221</v>
      </c>
      <c r="S383" s="34" t="b">
        <v>1</v>
      </c>
      <c r="T383" s="35" t="str">
        <f>IFERROR(__xludf.DUMMYFUNCTION(" IF
( VLOOKUP($G383,IMPORTRANGE(""https://docs.google.com/spreadsheets/d/1Gpl6jkTg7sL4VDNimUm3S9Vi1i95esohXCF3wuKOE8c"", ""'CONSOLIDADO'!G5:AB""), 10, 0) &lt;&gt; 0, 
IFERROR(VLOOKUP($G383,IMPORTRANGE(""https://docs.google.com/spreadsheets/d/1Gpl6jkTg7sL4VDNimU"&amp;"m3S9Vi1i95esohXCF3wuKOE8c"", ""'CONSOLIDADO'!G5:AB""), 17, 0), ""-""),
""""
)"),"TTMC")</f>
        <v>TTMC</v>
      </c>
      <c r="U383" s="35" t="str">
        <f>IFERROR(__xludf.DUMMYFUNCTION(" IF
( VLOOKUP($G383,IMPORTRANGE(""https://docs.google.com/spreadsheets/d/1Gpl6jkTg7sL4VDNimUm3S9Vi1i95esohXCF3wuKOE8c"", ""'CONSOLIDADO'!G5:AB""), 10, 0) &lt;&gt; 0, 
IFERROR(VLOOKUP($G383,IMPORTRANGE(""https://docs.google.com/spreadsheets/d/1Gpl6jkTg7sL4VDNimU"&amp;"m3S9Vi1i95esohXCF3wuKOE8c"", ""'CONSOLIDADO'!G5:AB""), 18, 0), ""-""),
""""
)"),"W1.5X1220Z")</f>
        <v>W1.5X1220Z</v>
      </c>
      <c r="V383" s="36" t="str">
        <f>IFERROR(__xludf.DUMMYFUNCTION(" IF
( VLOOKUP($G383,IMPORTRANGE(""https://docs.google.com/spreadsheets/d/1Gpl6jkTg7sL4VDNimUm3S9Vi1i95esohXCF3wuKOE8c"", ""'CONSOLIDADO'!G5:AB""), 10, 0) &lt;&gt; 0, 
IFERROR(VLOOKUP($G383,IMPORTRANGE(""https://docs.google.com/spreadsheets/d/1Gpl6jkTg7sL4VDNimU"&amp;"m3S9Vi1i95esohXCF3wuKOE8c"", ""'CONSOLIDADO'!G5:AB""), 19, 0), ""-""),
""""
)"),"https://ttmc.cn/product/W1_5X1220Z_Pan_Box_Brake")</f>
        <v>https://ttmc.cn/product/W1_5X1220Z_Pan_Box_Brake</v>
      </c>
      <c r="W383" s="37" t="str">
        <f>IFERROR(__xludf.DUMMYFUNCTION("IFERROR(VLOOKUP(G383,IMPORTRANGE(""https://docs.google.com/spreadsheets/d/12RxCea4e5ggM7QGn1XE3FbLQa_-QbCNdBi90OdPjRqg"", ""'Plan de Compras'!D4:Q""), 12, 0), ""NO ESTÁ EN REQ"")"),"Técnica")</f>
        <v>Técnica</v>
      </c>
      <c r="X383" s="37" t="str">
        <f>IFERROR(__xludf.DUMMYFUNCTION("IFERROR(VLOOKUP(G383,IMPORTRANGE(""https://docs.google.com/spreadsheets/d/12RxCea4e5ggM7QGn1XE3FbLQa_-QbCNdBi90OdPjRqg"", ""'Plan de Compras'!D4:Q""), 13, 0), """")"),"INTERNACIONAL")</f>
        <v>INTERNACIONAL</v>
      </c>
      <c r="Y383" s="32" t="str">
        <f>IFERROR(__xludf.DUMMYFUNCTION("IFERROR(VLOOKUP(G383,IMPORTRANGE(""https://docs.google.com/spreadsheets/d/12RxCea4e5ggM7QGn1XE3FbLQa_-QbCNdBi90OdPjRqg"", ""'Plan de Compras'!D4:Q""), 14, 0), """")"),"GEYDI")</f>
        <v>GEYDI</v>
      </c>
      <c r="Z383" s="38" t="str">
        <f>IFERROR(__xludf.DUMMYFUNCTION("IFERROR(VLOOKUP(G383,IMPORTRANGE(""https://docs.google.com/spreadsheets/d/12RxCea4e5ggM7QGn1XE3FbLQa_-QbCNdBi90OdPjRqg"", ""'Plan de Compras'!D4:Q""), 4, 0), """")"),"PLEGADORA DE PLANCHA MANUAL")</f>
        <v>PLEGADORA DE PLANCHA MANUAL</v>
      </c>
      <c r="AA383" s="38" t="str">
        <f t="shared" si="16"/>
        <v>TRUE</v>
      </c>
      <c r="AB383" s="37" t="str">
        <f>IFERROR(__xludf.DUMMYFUNCTION("IFERROR(IF(OR(C383=TRUE,C383=""""),VLOOKUP(G383,IMPORTRANGE(""https://docs.google.com/spreadsheets/d/1z9A1Wq-kKrhRNG5RS2a2fKpY1wIhSVz2ZNmP2mOl588/edit?usp=sharing"",""REQ VF!E4:H""),4,0),""NO APLICA""),""GENERAR REQ"")"),"GENERAR REQ")</f>
        <v>GENERAR REQ</v>
      </c>
      <c r="AC383" s="37" t="str">
        <f>IFERROR(__xludf.DUMMYFUNCTION("IFERROR(QUERY(IMPORTRANGE(""https://docs.google.com/spreadsheets/d/1z9A1Wq-kKrhRNG5RS2a2fKpY1wIhSVz2ZNmP2mOl588/edit?usp=sharing"",""REQ VF!E4:Q""),""SELECT Col10, Col11, Col12 WHERE Col1 = '""&amp;G383&amp;""'"",0),""NO APLICA"")"),"NO APLICA")</f>
        <v>NO APLICA</v>
      </c>
      <c r="AD383" s="37"/>
      <c r="AE383" s="37"/>
      <c r="AF383" s="8" t="s">
        <v>52</v>
      </c>
      <c r="AG383" s="13"/>
    </row>
    <row r="384">
      <c r="A384" s="26">
        <v>175.0</v>
      </c>
      <c r="B384" s="26" t="b">
        <v>1</v>
      </c>
      <c r="C384" s="26" t="b">
        <v>1</v>
      </c>
      <c r="D384" s="26" t="s">
        <v>35</v>
      </c>
      <c r="E384" s="26" t="s">
        <v>36</v>
      </c>
      <c r="F384" s="27" t="s">
        <v>1222</v>
      </c>
      <c r="G384" s="37" t="s">
        <v>1222</v>
      </c>
      <c r="H384" s="45" t="s">
        <v>1223</v>
      </c>
      <c r="I384" s="43">
        <f>SUMIFS('Hoja 10'!$O:$O,'Hoja 10'!$F:$F,$G384)</f>
        <v>4</v>
      </c>
      <c r="J384" s="26">
        <f>IFERROR(__xludf.DUMMYFUNCTION("VLOOKUP(G384,IMPORTRANGE(""https://docs.google.com/spreadsheets/d/12RxCea4e5ggM7QGn1XE3FbLQa_-QbCNdBi90OdPjRqg/edit?gid=1692403370#gid=1692403370"", ""'Plan de Compras'!D4:2432""), 8,0)"),4.0)</f>
        <v>4</v>
      </c>
      <c r="K384" s="26" t="str">
        <f t="shared" si="1"/>
        <v>SI</v>
      </c>
      <c r="L384" s="29" t="s">
        <v>339</v>
      </c>
      <c r="M384" s="30" t="s">
        <v>340</v>
      </c>
      <c r="N384" s="42"/>
      <c r="O384" s="32" t="str">
        <f>VLOOKUP($G384,'Hoja 10'!$F$4:$AA478, 19,0)</f>
        <v>HP</v>
      </c>
      <c r="P384" s="32" t="str">
        <f>VLOOKUP($G384,'Hoja 10'!$F$4:$AA478, 20,0)</f>
        <v>DesignJet T650 de 36" (5HB10D)</v>
      </c>
      <c r="Q384" s="33" t="str">
        <f>VLOOKUP($G384,'Hoja 10'!$F$4:$AA478, 21,0)</f>
        <v>https://www.hp.com/pe-es/shop/impresora-hp-designjet-t650-de-36-5hb10d.html</v>
      </c>
      <c r="R384" s="30" t="s">
        <v>1224</v>
      </c>
      <c r="S384" s="34" t="b">
        <v>1</v>
      </c>
      <c r="T384" s="35" t="str">
        <f>IFERROR(__xludf.DUMMYFUNCTION(" IF
( VLOOKUP($G384,IMPORTRANGE(""https://docs.google.com/spreadsheets/d/1Gpl6jkTg7sL4VDNimUm3S9Vi1i95esohXCF3wuKOE8c"", ""'CONSOLIDADO'!G5:AB""), 10, 0) &lt;&gt; 0, 
IFERROR(VLOOKUP($G384,IMPORTRANGE(""https://docs.google.com/spreadsheets/d/1Gpl6jkTg7sL4VDNimU"&amp;"m3S9Vi1i95esohXCF3wuKOE8c"", ""'CONSOLIDADO'!G5:AB""), 17, 0), ""-""),
""""
)"),"HP")</f>
        <v>HP</v>
      </c>
      <c r="U384" s="35" t="str">
        <f>IFERROR(__xludf.DUMMYFUNCTION(" IF
( VLOOKUP($G384,IMPORTRANGE(""https://docs.google.com/spreadsheets/d/1Gpl6jkTg7sL4VDNimUm3S9Vi1i95esohXCF3wuKOE8c"", ""'CONSOLIDADO'!G5:AB""), 10, 0) &lt;&gt; 0, 
IFERROR(VLOOKUP($G384,IMPORTRANGE(""https://docs.google.com/spreadsheets/d/1Gpl6jkTg7sL4VDNimU"&amp;"m3S9Vi1i95esohXCF3wuKOE8c"", ""'CONSOLIDADO'!G5:AB""), 18, 0), ""-""),
""""
)"),"DesignJet T650 36")</f>
        <v>DesignJet T650 36</v>
      </c>
      <c r="V384" s="36" t="str">
        <f>IFERROR(__xludf.DUMMYFUNCTION(" IF
( VLOOKUP($G384,IMPORTRANGE(""https://docs.google.com/spreadsheets/d/1Gpl6jkTg7sL4VDNimUm3S9Vi1i95esohXCF3wuKOE8c"", ""'CONSOLIDADO'!G5:AB""), 10, 0) &lt;&gt; 0, 
IFERROR(VLOOKUP($G384,IMPORTRANGE(""https://docs.google.com/spreadsheets/d/1Gpl6jkTg7sL4VDNimU"&amp;"m3S9Vi1i95esohXCF3wuKOE8c"", ""'CONSOLIDADO'!G5:AB""), 19, 0), ""-""),
""""
)"),"https://www.hp.com/pe-es/shop/impresora-hp-designjet-t650-de-36-5hb10d.html")</f>
        <v>https://www.hp.com/pe-es/shop/impresora-hp-designjet-t650-de-36-5hb10d.html</v>
      </c>
      <c r="W384" s="37" t="str">
        <f>IFERROR(__xludf.DUMMYFUNCTION("IFERROR(VLOOKUP(G384,IMPORTRANGE(""https://docs.google.com/spreadsheets/d/12RxCea4e5ggM7QGn1XE3FbLQa_-QbCNdBi90OdPjRqg"", ""'Plan de Compras'!D4:Q""), 12, 0), ""NO ESTÁ EN REQ"")"),"Técnica")</f>
        <v>Técnica</v>
      </c>
      <c r="X384" s="37" t="str">
        <f>IFERROR(__xludf.DUMMYFUNCTION("IFERROR(VLOOKUP(G384,IMPORTRANGE(""https://docs.google.com/spreadsheets/d/12RxCea4e5ggM7QGn1XE3FbLQa_-QbCNdBi90OdPjRqg"", ""'Plan de Compras'!D4:Q""), 13, 0), """")"),"NACIONAL")</f>
        <v>NACIONAL</v>
      </c>
      <c r="Y384" s="32" t="str">
        <f>IFERROR(__xludf.DUMMYFUNCTION("IFERROR(VLOOKUP(G384,IMPORTRANGE(""https://docs.google.com/spreadsheets/d/12RxCea4e5ggM7QGn1XE3FbLQa_-QbCNdBi90OdPjRqg"", ""'Plan de Compras'!D4:Q""), 14, 0), """")"),"GEANFRANCO")</f>
        <v>GEANFRANCO</v>
      </c>
      <c r="Z384" s="38" t="str">
        <f>IFERROR(__xludf.DUMMYFUNCTION("IFERROR(VLOOKUP(G384,IMPORTRANGE(""https://docs.google.com/spreadsheets/d/12RxCea4e5ggM7QGn1XE3FbLQa_-QbCNdBi90OdPjRqg"", ""'Plan de Compras'!D4:Q""), 4, 0), """")"),"PLOTTER")</f>
        <v>PLOTTER</v>
      </c>
      <c r="AA384" s="38" t="str">
        <f t="shared" si="16"/>
        <v>TRUE</v>
      </c>
      <c r="AB384" s="37" t="str">
        <f>IFERROR(__xludf.DUMMYFUNCTION("IFERROR(IF(OR(C384=TRUE,C384=""""),VLOOKUP(G384,IMPORTRANGE(""https://docs.google.com/spreadsheets/d/1z9A1Wq-kKrhRNG5RS2a2fKpY1wIhSVz2ZNmP2mOl588/edit?usp=sharing"",""REQ VF!E4:H""),4,0),""NO APLICA""),""GENERAR REQ"")"),"GENERAR REQ")</f>
        <v>GENERAR REQ</v>
      </c>
      <c r="AC384" s="37" t="str">
        <f>IFERROR(__xludf.DUMMYFUNCTION("IFERROR(QUERY(IMPORTRANGE(""https://docs.google.com/spreadsheets/d/1z9A1Wq-kKrhRNG5RS2a2fKpY1wIhSVz2ZNmP2mOl588/edit?usp=sharing"",""REQ VF!E4:Q""),""SELECT Col10, Col11, Col12 WHERE Col1 = '""&amp;G384&amp;""'"",0),""NO APLICA"")"),"NO APLICA")</f>
        <v>NO APLICA</v>
      </c>
      <c r="AD384" s="37"/>
      <c r="AE384" s="37"/>
      <c r="AF384" s="8" t="s">
        <v>52</v>
      </c>
      <c r="AG384" s="13"/>
    </row>
    <row r="385">
      <c r="A385" s="26"/>
      <c r="B385" s="26" t="b">
        <v>0</v>
      </c>
      <c r="C385" s="26" t="b">
        <v>0</v>
      </c>
      <c r="D385" s="26" t="s">
        <v>42</v>
      </c>
      <c r="E385" s="26" t="s">
        <v>36</v>
      </c>
      <c r="F385" s="27" t="s">
        <v>1222</v>
      </c>
      <c r="G385" s="39" t="s">
        <v>1225</v>
      </c>
      <c r="H385" s="40" t="s">
        <v>118</v>
      </c>
      <c r="I385" s="43">
        <f>1*I384</f>
        <v>4</v>
      </c>
      <c r="J385" s="26" t="str">
        <f>IFERROR(__xludf.DUMMYFUNCTION("VLOOKUP(G385,IMPORTRANGE(""https://docs.google.com/spreadsheets/d/12RxCea4e5ggM7QGn1XE3FbLQa_-QbCNdBi90OdPjRqg/edit?gid=1692403370#gid=1692403370"", ""'Plan de Compras'!D4:2432""), 8,0)"),"#N/A")</f>
        <v>#N/A</v>
      </c>
      <c r="K385" s="26" t="str">
        <f t="shared" si="1"/>
        <v>-</v>
      </c>
      <c r="L385" s="29"/>
      <c r="M385" s="61"/>
      <c r="N385" s="42"/>
      <c r="O385" s="32"/>
      <c r="P385" s="32"/>
      <c r="Q385" s="41"/>
      <c r="R385" s="61"/>
      <c r="S385" s="34" t="b">
        <v>1</v>
      </c>
      <c r="T385" s="35" t="s">
        <v>1226</v>
      </c>
      <c r="U385" s="35" t="s">
        <v>119</v>
      </c>
      <c r="V385" s="35"/>
      <c r="W385" s="37"/>
      <c r="X385" s="37"/>
      <c r="Y385" s="32"/>
      <c r="Z385" s="38"/>
      <c r="AA385" s="38" t="str">
        <f t="shared" si="16"/>
        <v>FALSE</v>
      </c>
      <c r="AB385" s="37" t="str">
        <f>IFERROR(__xludf.DUMMYFUNCTION("IFERROR(IF(OR(C385=TRUE,C385=""""),VLOOKUP(G385,IMPORTRANGE(""https://docs.google.com/spreadsheets/d/1z9A1Wq-kKrhRNG5RS2a2fKpY1wIhSVz2ZNmP2mOl588/edit?usp=sharing"",""REQ VF!E4:H""),4,0),""NO APLICA""),""GENERAR REQ"")"),"NO APLICA")</f>
        <v>NO APLICA</v>
      </c>
      <c r="AC385" s="37" t="str">
        <f>IFERROR(__xludf.DUMMYFUNCTION("IFERROR(QUERY(IMPORTRANGE(""https://docs.google.com/spreadsheets/d/1z9A1Wq-kKrhRNG5RS2a2fKpY1wIhSVz2ZNmP2mOl588/edit?usp=sharing"",""REQ VF!E4:Q""),""SELECT Col10, Col11, Col12 WHERE Col1 = '""&amp;G385&amp;""'"",0),""NO APLICA"")"),"NO APLICA")</f>
        <v>NO APLICA</v>
      </c>
      <c r="AD385" s="37"/>
      <c r="AE385" s="37"/>
      <c r="AF385" s="13"/>
      <c r="AG385" s="13"/>
    </row>
    <row r="386">
      <c r="A386" s="26">
        <v>176.0</v>
      </c>
      <c r="B386" s="26" t="b">
        <v>1</v>
      </c>
      <c r="C386" s="26" t="b">
        <v>1</v>
      </c>
      <c r="D386" s="26" t="s">
        <v>35</v>
      </c>
      <c r="E386" s="26" t="s">
        <v>36</v>
      </c>
      <c r="F386" s="27" t="s">
        <v>1227</v>
      </c>
      <c r="G386" s="37" t="s">
        <v>1227</v>
      </c>
      <c r="H386" s="45" t="s">
        <v>1228</v>
      </c>
      <c r="I386" s="43">
        <f>SUMIFS('Hoja 10'!$O:$O,'Hoja 10'!$F:$F,$G386)</f>
        <v>3</v>
      </c>
      <c r="J386" s="26">
        <f>IFERROR(__xludf.DUMMYFUNCTION("VLOOKUP(G386,IMPORTRANGE(""https://docs.google.com/spreadsheets/d/12RxCea4e5ggM7QGn1XE3FbLQa_-QbCNdBi90OdPjRqg/edit?gid=1692403370#gid=1692403370"", ""'Plan de Compras'!D4:2432""), 8,0)"),3.0)</f>
        <v>3</v>
      </c>
      <c r="K386" s="26" t="str">
        <f t="shared" si="1"/>
        <v>SI</v>
      </c>
      <c r="L386" s="29" t="s">
        <v>339</v>
      </c>
      <c r="M386" s="30" t="s">
        <v>340</v>
      </c>
      <c r="N386" s="42"/>
      <c r="O386" s="32" t="str">
        <f>VLOOKUP($G386,'Hoja 10'!$F$4:$AA478, 19,0)</f>
        <v>ROLAND DGA</v>
      </c>
      <c r="P386" s="32" t="str">
        <f>VLOOKUP($G386,'Hoja 10'!$F$4:$AA478, 20,0)</f>
        <v>VERSASTUDIO GS2-24</v>
      </c>
      <c r="Q386" s="33" t="str">
        <f>VLOOKUP($G386,'Hoja 10'!$F$4:$AA478, 21,0)</f>
        <v>https://www.rolanddga.com/es-la/productos/plotter-de-corte/cortadora-de-vinilo-de-sobremesa-versastudio-gs2-24</v>
      </c>
      <c r="R386" s="30" t="s">
        <v>1229</v>
      </c>
      <c r="S386" s="34" t="b">
        <v>1</v>
      </c>
      <c r="T386" s="35" t="str">
        <f>IFERROR(__xludf.DUMMYFUNCTION(" IF
( VLOOKUP($G386,IMPORTRANGE(""https://docs.google.com/spreadsheets/d/1Gpl6jkTg7sL4VDNimUm3S9Vi1i95esohXCF3wuKOE8c"", ""'CONSOLIDADO'!G5:AB""), 10, 0) &lt;&gt; 0, 
IFERROR(VLOOKUP($G386,IMPORTRANGE(""https://docs.google.com/spreadsheets/d/1Gpl6jkTg7sL4VDNimU"&amp;"m3S9Vi1i95esohXCF3wuKOE8c"", ""'CONSOLIDADO'!G5:AB""), 17, 0), ""-""),
""""
)"),"ROLAND")</f>
        <v>ROLAND</v>
      </c>
      <c r="U386" s="35" t="str">
        <f>IFERROR(__xludf.DUMMYFUNCTION(" IF
( VLOOKUP($G386,IMPORTRANGE(""https://docs.google.com/spreadsheets/d/1Gpl6jkTg7sL4VDNimUm3S9Vi1i95esohXCF3wuKOE8c"", ""'CONSOLIDADO'!G5:AB""), 10, 0) &lt;&gt; 0, 
IFERROR(VLOOKUP($G386,IMPORTRANGE(""https://docs.google.com/spreadsheets/d/1Gpl6jkTg7sL4VDNimU"&amp;"m3S9Vi1i95esohXCF3wuKOE8c"", ""'CONSOLIDADO'!G5:AB""), 18, 0), ""-""),
""""
)"),"VERSASTUDIO GS2-24")</f>
        <v>VERSASTUDIO GS2-24</v>
      </c>
      <c r="V386" s="36" t="str">
        <f>IFERROR(__xludf.DUMMYFUNCTION(" IF
( VLOOKUP($G386,IMPORTRANGE(""https://docs.google.com/spreadsheets/d/1Gpl6jkTg7sL4VDNimUm3S9Vi1i95esohXCF3wuKOE8c"", ""'CONSOLIDADO'!G5:AB""), 10, 0) &lt;&gt; 0, 
IFERROR(VLOOKUP($G386,IMPORTRANGE(""https://docs.google.com/spreadsheets/d/1Gpl6jkTg7sL4VDNimU"&amp;"m3S9Vi1i95esohXCF3wuKOE8c"", ""'CONSOLIDADO'!G5:AB""), 19, 0), ""-""),
""""
)"),"https://www.rolanddga.com/es-la/productos/plotter-de-corte/cortadora-de-vinilo-de-sobremesa-versastudio-gs2-24")</f>
        <v>https://www.rolanddga.com/es-la/productos/plotter-de-corte/cortadora-de-vinilo-de-sobremesa-versastudio-gs2-24</v>
      </c>
      <c r="W386" s="37" t="str">
        <f>IFERROR(__xludf.DUMMYFUNCTION("IFERROR(VLOOKUP(G386,IMPORTRANGE(""https://docs.google.com/spreadsheets/d/12RxCea4e5ggM7QGn1XE3FbLQa_-QbCNdBi90OdPjRqg"", ""'Plan de Compras'!D4:Q""), 12, 0), ""NO ESTÁ EN REQ"")"),"Técnica")</f>
        <v>Técnica</v>
      </c>
      <c r="X386" s="37" t="str">
        <f>IFERROR(__xludf.DUMMYFUNCTION("IFERROR(VLOOKUP(G386,IMPORTRANGE(""https://docs.google.com/spreadsheets/d/12RxCea4e5ggM7QGn1XE3FbLQa_-QbCNdBi90OdPjRqg"", ""'Plan de Compras'!D4:Q""), 13, 0), """")"),"INTERNACIONAL")</f>
        <v>INTERNACIONAL</v>
      </c>
      <c r="Y386" s="32" t="str">
        <f>IFERROR(__xludf.DUMMYFUNCTION("IFERROR(VLOOKUP(G386,IMPORTRANGE(""https://docs.google.com/spreadsheets/d/12RxCea4e5ggM7QGn1XE3FbLQa_-QbCNdBi90OdPjRqg"", ""'Plan de Compras'!D4:Q""), 14, 0), """")"),"DIEGO ")</f>
        <v>DIEGO </v>
      </c>
      <c r="Z386" s="38" t="str">
        <f>IFERROR(__xludf.DUMMYFUNCTION("IFERROR(VLOOKUP(G386,IMPORTRANGE(""https://docs.google.com/spreadsheets/d/12RxCea4e5ggM7QGn1XE3FbLQa_-QbCNdBi90OdPjRqg"", ""'Plan de Compras'!D4:Q""), 4, 0), """")"),"PLOTTER DE CORTE")</f>
        <v>PLOTTER DE CORTE</v>
      </c>
      <c r="AA386" s="38" t="str">
        <f t="shared" si="16"/>
        <v>TRUE</v>
      </c>
      <c r="AB386" s="37" t="str">
        <f>IFERROR(__xludf.DUMMYFUNCTION("IFERROR(IF(OR(C386=TRUE,C386=""""),VLOOKUP(G386,IMPORTRANGE(""https://docs.google.com/spreadsheets/d/1z9A1Wq-kKrhRNG5RS2a2fKpY1wIhSVz2ZNmP2mOl588/edit?usp=sharing"",""REQ VF!E4:H""),4,0),""NO APLICA""),""GENERAR REQ"")"),"GENERAR REQ")</f>
        <v>GENERAR REQ</v>
      </c>
      <c r="AC386" s="37" t="str">
        <f>IFERROR(__xludf.DUMMYFUNCTION("IFERROR(QUERY(IMPORTRANGE(""https://docs.google.com/spreadsheets/d/1z9A1Wq-kKrhRNG5RS2a2fKpY1wIhSVz2ZNmP2mOl588/edit?usp=sharing"",""REQ VF!E4:Q""),""SELECT Col10, Col11, Col12 WHERE Col1 = '""&amp;G386&amp;""'"",0),""NO APLICA"")"),"NO APLICA")</f>
        <v>NO APLICA</v>
      </c>
      <c r="AD386" s="37"/>
      <c r="AE386" s="37"/>
      <c r="AF386" s="13"/>
      <c r="AG386" s="13"/>
    </row>
    <row r="387">
      <c r="A387" s="26"/>
      <c r="B387" s="26" t="b">
        <v>0</v>
      </c>
      <c r="C387" s="26" t="b">
        <v>0</v>
      </c>
      <c r="D387" s="26" t="s">
        <v>42</v>
      </c>
      <c r="E387" s="26" t="s">
        <v>36</v>
      </c>
      <c r="F387" s="27" t="s">
        <v>1227</v>
      </c>
      <c r="G387" s="39" t="s">
        <v>1230</v>
      </c>
      <c r="H387" s="40" t="s">
        <v>118</v>
      </c>
      <c r="I387" s="43">
        <f t="shared" ref="I387:I388" si="35">1*I386</f>
        <v>3</v>
      </c>
      <c r="J387" s="26" t="str">
        <f>IFERROR(__xludf.DUMMYFUNCTION("VLOOKUP(G387,IMPORTRANGE(""https://docs.google.com/spreadsheets/d/12RxCea4e5ggM7QGn1XE3FbLQa_-QbCNdBi90OdPjRqg/edit?gid=1692403370#gid=1692403370"", ""'Plan de Compras'!D4:2432""), 8,0)"),"#N/A")</f>
        <v>#N/A</v>
      </c>
      <c r="K387" s="26" t="str">
        <f t="shared" si="1"/>
        <v>-</v>
      </c>
      <c r="L387" s="29"/>
      <c r="M387" s="61"/>
      <c r="N387" s="42"/>
      <c r="O387" s="32"/>
      <c r="P387" s="32"/>
      <c r="Q387" s="41"/>
      <c r="R387" s="61"/>
      <c r="S387" s="34" t="b">
        <v>0</v>
      </c>
      <c r="T387" s="35"/>
      <c r="U387" s="35"/>
      <c r="V387" s="35"/>
      <c r="W387" s="37"/>
      <c r="X387" s="37"/>
      <c r="Y387" s="32"/>
      <c r="Z387" s="38"/>
      <c r="AA387" s="38" t="str">
        <f t="shared" si="16"/>
        <v>FALSE</v>
      </c>
      <c r="AB387" s="37" t="str">
        <f>IFERROR(__xludf.DUMMYFUNCTION("IFERROR(IF(OR(C387=TRUE,C387=""""),VLOOKUP(G387,IMPORTRANGE(""https://docs.google.com/spreadsheets/d/1z9A1Wq-kKrhRNG5RS2a2fKpY1wIhSVz2ZNmP2mOl588/edit?usp=sharing"",""REQ VF!E4:H""),4,0),""NO APLICA""),""GENERAR REQ"")"),"NO APLICA")</f>
        <v>NO APLICA</v>
      </c>
      <c r="AC387" s="37" t="str">
        <f>IFERROR(__xludf.DUMMYFUNCTION("IFERROR(QUERY(IMPORTRANGE(""https://docs.google.com/spreadsheets/d/1z9A1Wq-kKrhRNG5RS2a2fKpY1wIhSVz2ZNmP2mOl588/edit?usp=sharing"",""REQ VF!E4:Q""),""SELECT Col10, Col11, Col12 WHERE Col1 = '""&amp;G387&amp;""'"",0),""NO APLICA"")"),"NO APLICA")</f>
        <v>NO APLICA</v>
      </c>
      <c r="AD387" s="37"/>
      <c r="AE387" s="37"/>
      <c r="AF387" s="8"/>
      <c r="AG387" s="13"/>
    </row>
    <row r="388">
      <c r="A388" s="26"/>
      <c r="B388" s="26" t="b">
        <v>0</v>
      </c>
      <c r="C388" s="26" t="b">
        <v>0</v>
      </c>
      <c r="D388" s="26" t="s">
        <v>42</v>
      </c>
      <c r="E388" s="26" t="s">
        <v>36</v>
      </c>
      <c r="F388" s="27" t="s">
        <v>1227</v>
      </c>
      <c r="G388" s="39" t="s">
        <v>1231</v>
      </c>
      <c r="H388" s="40" t="s">
        <v>371</v>
      </c>
      <c r="I388" s="43">
        <f t="shared" si="35"/>
        <v>3</v>
      </c>
      <c r="J388" s="26" t="str">
        <f>IFERROR(__xludf.DUMMYFUNCTION("VLOOKUP(G388,IMPORTRANGE(""https://docs.google.com/spreadsheets/d/12RxCea4e5ggM7QGn1XE3FbLQa_-QbCNdBi90OdPjRqg/edit?gid=1692403370#gid=1692403370"", ""'Plan de Compras'!D4:2432""), 8,0)"),"#N/A")</f>
        <v>#N/A</v>
      </c>
      <c r="K388" s="26" t="str">
        <f t="shared" si="1"/>
        <v>-</v>
      </c>
      <c r="L388" s="29"/>
      <c r="M388" s="61"/>
      <c r="N388" s="42"/>
      <c r="O388" s="32"/>
      <c r="P388" s="32"/>
      <c r="Q388" s="41"/>
      <c r="R388" s="61"/>
      <c r="S388" s="34" t="b">
        <v>0</v>
      </c>
      <c r="T388" s="35"/>
      <c r="U388" s="35"/>
      <c r="V388" s="35"/>
      <c r="W388" s="37"/>
      <c r="X388" s="37"/>
      <c r="Y388" s="32"/>
      <c r="Z388" s="38"/>
      <c r="AA388" s="38" t="str">
        <f t="shared" si="16"/>
        <v>FALSE</v>
      </c>
      <c r="AB388" s="37" t="str">
        <f>IFERROR(__xludf.DUMMYFUNCTION("IFERROR(IF(OR(C388=TRUE,C388=""""),VLOOKUP(G388,IMPORTRANGE(""https://docs.google.com/spreadsheets/d/1z9A1Wq-kKrhRNG5RS2a2fKpY1wIhSVz2ZNmP2mOl588/edit?usp=sharing"",""REQ VF!E4:H""),4,0),""NO APLICA""),""GENERAR REQ"")"),"NO APLICA")</f>
        <v>NO APLICA</v>
      </c>
      <c r="AC388" s="37" t="str">
        <f>IFERROR(__xludf.DUMMYFUNCTION("IFERROR(QUERY(IMPORTRANGE(""https://docs.google.com/spreadsheets/d/1z9A1Wq-kKrhRNG5RS2a2fKpY1wIhSVz2ZNmP2mOl588/edit?usp=sharing"",""REQ VF!E4:Q""),""SELECT Col10, Col11, Col12 WHERE Col1 = '""&amp;G388&amp;""'"",0),""NO APLICA"")"),"NO APLICA")</f>
        <v>NO APLICA</v>
      </c>
      <c r="AD388" s="37"/>
      <c r="AE388" s="37"/>
      <c r="AF388" s="8"/>
      <c r="AG388" s="13"/>
    </row>
    <row r="389">
      <c r="A389" s="26">
        <v>177.0</v>
      </c>
      <c r="B389" s="26" t="b">
        <v>1</v>
      </c>
      <c r="C389" s="26" t="b">
        <v>1</v>
      </c>
      <c r="D389" s="26" t="s">
        <v>35</v>
      </c>
      <c r="E389" s="26" t="s">
        <v>36</v>
      </c>
      <c r="F389" s="27" t="s">
        <v>1232</v>
      </c>
      <c r="G389" s="37" t="s">
        <v>1232</v>
      </c>
      <c r="H389" s="45" t="s">
        <v>1233</v>
      </c>
      <c r="I389" s="43">
        <f>SUMIFS('Hoja 10'!$O:$O,'Hoja 10'!$F:$F,$G389)</f>
        <v>2</v>
      </c>
      <c r="J389" s="26">
        <f>IFERROR(__xludf.DUMMYFUNCTION("VLOOKUP(G389,IMPORTRANGE(""https://docs.google.com/spreadsheets/d/12RxCea4e5ggM7QGn1XE3FbLQa_-QbCNdBi90OdPjRqg/edit?gid=1692403370#gid=1692403370"", ""'Plan de Compras'!D4:2432""), 8,0)"),2.0)</f>
        <v>2</v>
      </c>
      <c r="K389" s="26" t="str">
        <f t="shared" si="1"/>
        <v>SI</v>
      </c>
      <c r="L389" s="29" t="s">
        <v>127</v>
      </c>
      <c r="M389" s="30" t="s">
        <v>105</v>
      </c>
      <c r="N389" s="42"/>
      <c r="O389" s="32" t="str">
        <f>VLOOKUP($G389,'Hoja 10'!$F$4:$AA478, 19,0)</f>
        <v>TRUPER</v>
      </c>
      <c r="P389" s="32" t="str">
        <f>VLOOKUP($G389,'Hoja 10'!$F$4:$AA478, 20,0)</f>
        <v>PHF-2</v>
      </c>
      <c r="Q389" s="33" t="str">
        <f>VLOOKUP($G389,'Hoja 10'!$F$4:$AA478, 21,0)</f>
        <v>https://www.truper.com/ficha_merca/ficha-print.php?code=12888</v>
      </c>
      <c r="R389" s="30" t="s">
        <v>1234</v>
      </c>
      <c r="S389" s="34" t="b">
        <v>1</v>
      </c>
      <c r="T389" s="35" t="str">
        <f>IFERROR(__xludf.DUMMYFUNCTION(" IF
( VLOOKUP($G389,IMPORTRANGE(""https://docs.google.com/spreadsheets/d/1Gpl6jkTg7sL4VDNimUm3S9Vi1i95esohXCF3wuKOE8c"", ""'CONSOLIDADO'!G5:AB""), 10, 0) &lt;&gt; 0, 
IFERROR(VLOOKUP($G389,IMPORTRANGE(""https://docs.google.com/spreadsheets/d/1Gpl6jkTg7sL4VDNimU"&amp;"m3S9Vi1i95esohXCF3wuKOE8c"", ""'CONSOLIDADO'!G5:AB""), 17, 0), ""-""),
""""
)"),"Truper")</f>
        <v>Truper</v>
      </c>
      <c r="U389" s="35" t="str">
        <f>IFERROR(__xludf.DUMMYFUNCTION(" IF
( VLOOKUP($G389,IMPORTRANGE(""https://docs.google.com/spreadsheets/d/1Gpl6jkTg7sL4VDNimUm3S9Vi1i95esohXCF3wuKOE8c"", ""'CONSOLIDADO'!G5:AB""), 10, 0) &lt;&gt; 0, 
IFERROR(VLOOKUP($G389,IMPORTRANGE(""https://docs.google.com/spreadsheets/d/1Gpl6jkTg7sL4VDNimU"&amp;"m3S9Vi1i95esohXCF3wuKOE8c"", ""'CONSOLIDADO'!G5:AB""), 18, 0), ""-""),
""""
)"),"PHF-2")</f>
        <v>PHF-2</v>
      </c>
      <c r="V389" s="36" t="str">
        <f>IFERROR(__xludf.DUMMYFUNCTION(" IF
( VLOOKUP($G389,IMPORTRANGE(""https://docs.google.com/spreadsheets/d/1Gpl6jkTg7sL4VDNimUm3S9Vi1i95esohXCF3wuKOE8c"", ""'CONSOLIDADO'!G5:AB""), 10, 0) &lt;&gt; 0, 
IFERROR(VLOOKUP($G389,IMPORTRANGE(""https://docs.google.com/spreadsheets/d/1Gpl6jkTg7sL4VDNimU"&amp;"m3S9Vi1i95esohXCF3wuKOE8c"", ""'CONSOLIDADO'!G5:AB""), 19, 0), ""-""),
""""
)"),"https://obrasferretero.com/producto/pluma-hidraulica-2-toneladas-plegable-truper/")</f>
        <v>https://obrasferretero.com/producto/pluma-hidraulica-2-toneladas-plegable-truper/</v>
      </c>
      <c r="W389" s="37" t="str">
        <f>IFERROR(__xludf.DUMMYFUNCTION("IFERROR(VLOOKUP(G389,IMPORTRANGE(""https://docs.google.com/spreadsheets/d/12RxCea4e5ggM7QGn1XE3FbLQa_-QbCNdBi90OdPjRqg"", ""'Plan de Compras'!D4:Q""), 12, 0), ""NO ESTÁ EN REQ"")"),"Técnica")</f>
        <v>Técnica</v>
      </c>
      <c r="X389" s="37" t="str">
        <f>IFERROR(__xludf.DUMMYFUNCTION("IFERROR(VLOOKUP(G389,IMPORTRANGE(""https://docs.google.com/spreadsheets/d/12RxCea4e5ggM7QGn1XE3FbLQa_-QbCNdBi90OdPjRqg"", ""'Plan de Compras'!D4:Q""), 13, 0), """")"),"NACIONAL")</f>
        <v>NACIONAL</v>
      </c>
      <c r="Y389" s="32" t="str">
        <f>IFERROR(__xludf.DUMMYFUNCTION("IFERROR(VLOOKUP(G389,IMPORTRANGE(""https://docs.google.com/spreadsheets/d/12RxCea4e5ggM7QGn1XE3FbLQa_-QbCNdBi90OdPjRqg"", ""'Plan de Compras'!D4:Q""), 14, 0), """")"),"DIANA")</f>
        <v>DIANA</v>
      </c>
      <c r="Z389" s="38" t="str">
        <f>IFERROR(__xludf.DUMMYFUNCTION("IFERROR(VLOOKUP(G389,IMPORTRANGE(""https://docs.google.com/spreadsheets/d/12RxCea4e5ggM7QGn1XE3FbLQa_-QbCNdBi90OdPjRqg"", ""'Plan de Compras'!D4:Q""), 4, 0), """")"),"PLUMA HIDRÁULICA")</f>
        <v>PLUMA HIDRÁULICA</v>
      </c>
      <c r="AA389" s="38" t="str">
        <f t="shared" si="16"/>
        <v>TRUE</v>
      </c>
      <c r="AB389" s="37" t="str">
        <f>IFERROR(__xludf.DUMMYFUNCTION("IFERROR(IF(OR(C389=TRUE,C389=""""),VLOOKUP(G389,IMPORTRANGE(""https://docs.google.com/spreadsheets/d/1z9A1Wq-kKrhRNG5RS2a2fKpY1wIhSVz2ZNmP2mOl588/edit?usp=sharing"",""REQ VF!E4:H""),4,0),""NO APLICA""),""GENERAR REQ"")"),"GENERAR REQ")</f>
        <v>GENERAR REQ</v>
      </c>
      <c r="AC389" s="37" t="str">
        <f>IFERROR(__xludf.DUMMYFUNCTION("IFERROR(QUERY(IMPORTRANGE(""https://docs.google.com/spreadsheets/d/1z9A1Wq-kKrhRNG5RS2a2fKpY1wIhSVz2ZNmP2mOl588/edit?usp=sharing"",""REQ VF!E4:Q""),""SELECT Col10, Col11, Col12 WHERE Col1 = '""&amp;G389&amp;""'"",0),""NO APLICA"")"),"NO APLICA")</f>
        <v>NO APLICA</v>
      </c>
      <c r="AD389" s="37"/>
      <c r="AE389" s="37"/>
      <c r="AF389" s="8" t="s">
        <v>52</v>
      </c>
      <c r="AG389" s="13"/>
    </row>
    <row r="390">
      <c r="A390" s="26">
        <v>178.0</v>
      </c>
      <c r="B390" s="26" t="b">
        <v>1</v>
      </c>
      <c r="C390" s="26" t="b">
        <v>1</v>
      </c>
      <c r="D390" s="26" t="s">
        <v>35</v>
      </c>
      <c r="E390" s="26" t="s">
        <v>36</v>
      </c>
      <c r="F390" s="27" t="s">
        <v>1235</v>
      </c>
      <c r="G390" s="37" t="s">
        <v>1235</v>
      </c>
      <c r="H390" s="45" t="s">
        <v>1236</v>
      </c>
      <c r="I390" s="43">
        <f>SUMIFS('Hoja 10'!$O:$O,'Hoja 10'!$F:$F,$G390)</f>
        <v>3</v>
      </c>
      <c r="J390" s="26">
        <f>IFERROR(__xludf.DUMMYFUNCTION("VLOOKUP(G390,IMPORTRANGE(""https://docs.google.com/spreadsheets/d/12RxCea4e5ggM7QGn1XE3FbLQa_-QbCNdBi90OdPjRqg/edit?gid=1692403370#gid=1692403370"", ""'Plan de Compras'!D4:2432""), 8,0)"),3.0)</f>
        <v>3</v>
      </c>
      <c r="K390" s="26" t="str">
        <f t="shared" si="1"/>
        <v>SI</v>
      </c>
      <c r="L390" s="29" t="s">
        <v>127</v>
      </c>
      <c r="M390" s="30" t="s">
        <v>105</v>
      </c>
      <c r="N390" s="42"/>
      <c r="O390" s="32" t="str">
        <f>VLOOKUP($G390,'Hoja 10'!$F$4:$AA478, 19,0)</f>
        <v>TRUPER</v>
      </c>
      <c r="P390" s="32" t="str">
        <f>VLOOKUP($G390,'Hoja 10'!$F$4:$AA478, 20,0)</f>
        <v>PREH-20</v>
      </c>
      <c r="Q390" s="33" t="str">
        <f>VLOOKUP($G390,'Hoja 10'!$F$4:$AA478, 21,0)</f>
        <v>https://www.truper.com/ficha_merca/ficha-print.php?code=17685</v>
      </c>
      <c r="R390" s="30" t="s">
        <v>1237</v>
      </c>
      <c r="S390" s="34" t="b">
        <v>1</v>
      </c>
      <c r="T390" s="35" t="str">
        <f>IFERROR(__xludf.DUMMYFUNCTION(" IF
( VLOOKUP($G390,IMPORTRANGE(""https://docs.google.com/spreadsheets/d/1Gpl6jkTg7sL4VDNimUm3S9Vi1i95esohXCF3wuKOE8c"", ""'CONSOLIDADO'!G5:AB""), 10, 0) &lt;&gt; 0, 
IFERROR(VLOOKUP($G390,IMPORTRANGE(""https://docs.google.com/spreadsheets/d/1Gpl6jkTg7sL4VDNimU"&amp;"m3S9Vi1i95esohXCF3wuKOE8c"", ""'CONSOLIDADO'!G5:AB""), 17, 0), ""-""),
""""
)"),"Truper")</f>
        <v>Truper</v>
      </c>
      <c r="U390" s="35" t="str">
        <f>IFERROR(__xludf.DUMMYFUNCTION(" IF
( VLOOKUP($G390,IMPORTRANGE(""https://docs.google.com/spreadsheets/d/1Gpl6jkTg7sL4VDNimUm3S9Vi1i95esohXCF3wuKOE8c"", ""'CONSOLIDADO'!G5:AB""), 10, 0) &lt;&gt; 0, 
IFERROR(VLOOKUP($G390,IMPORTRANGE(""https://docs.google.com/spreadsheets/d/1Gpl6jkTg7sL4VDNimU"&amp;"m3S9Vi1i95esohXCF3wuKOE8c"", ""'CONSOLIDADO'!G5:AB""), 18, 0), ""-""),
""""
)"),"PREH-20")</f>
        <v>PREH-20</v>
      </c>
      <c r="V390" s="36" t="str">
        <f>IFERROR(__xludf.DUMMYFUNCTION(" IF
( VLOOKUP($G390,IMPORTRANGE(""https://docs.google.com/spreadsheets/d/1Gpl6jkTg7sL4VDNimUm3S9Vi1i95esohXCF3wuKOE8c"", ""'CONSOLIDADO'!G5:AB""), 10, 0) &lt;&gt; 0, 
IFERROR(VLOOKUP($G390,IMPORTRANGE(""https://docs.google.com/spreadsheets/d/1Gpl6jkTg7sL4VDNimU"&amp;"m3S9Vi1i95esohXCF3wuKOE8c"", ""'CONSOLIDADO'!G5:AB""), 19, 0), ""-""),
""""
)"),"https://www.truper.com/ficha_merca/ficha-print.php?code=17685")</f>
        <v>https://www.truper.com/ficha_merca/ficha-print.php?code=17685</v>
      </c>
      <c r="W390" s="37" t="str">
        <f>IFERROR(__xludf.DUMMYFUNCTION("IFERROR(VLOOKUP(G390,IMPORTRANGE(""https://docs.google.com/spreadsheets/d/12RxCea4e5ggM7QGn1XE3FbLQa_-QbCNdBi90OdPjRqg"", ""'Plan de Compras'!D4:Q""), 12, 0), ""NO ESTÁ EN REQ"")"),"Técnica")</f>
        <v>Técnica</v>
      </c>
      <c r="X390" s="37" t="str">
        <f>IFERROR(__xludf.DUMMYFUNCTION("IFERROR(VLOOKUP(G390,IMPORTRANGE(""https://docs.google.com/spreadsheets/d/12RxCea4e5ggM7QGn1XE3FbLQa_-QbCNdBi90OdPjRqg"", ""'Plan de Compras'!D4:Q""), 13, 0), """")"),"INTERNACIONAL")</f>
        <v>INTERNACIONAL</v>
      </c>
      <c r="Y390" s="32" t="str">
        <f>IFERROR(__xludf.DUMMYFUNCTION("IFERROR(VLOOKUP(G390,IMPORTRANGE(""https://docs.google.com/spreadsheets/d/12RxCea4e5ggM7QGn1XE3FbLQa_-QbCNdBi90OdPjRqg"", ""'Plan de Compras'!D4:Q""), 14, 0), """")"),"JIMENA")</f>
        <v>JIMENA</v>
      </c>
      <c r="Z390" s="38" t="str">
        <f>IFERROR(__xludf.DUMMYFUNCTION("IFERROR(VLOOKUP(G390,IMPORTRANGE(""https://docs.google.com/spreadsheets/d/12RxCea4e5ggM7QGn1XE3FbLQa_-QbCNdBi90OdPjRqg"", ""'Plan de Compras'!D4:Q""), 4, 0), """")"),"PRENSA HIDRÁULICA")</f>
        <v>PRENSA HIDRÁULICA</v>
      </c>
      <c r="AA390" s="38" t="str">
        <f t="shared" si="16"/>
        <v>TRUE</v>
      </c>
      <c r="AB390" s="37" t="str">
        <f>IFERROR(__xludf.DUMMYFUNCTION("IFERROR(IF(OR(C390=TRUE,C390=""""),VLOOKUP(G390,IMPORTRANGE(""https://docs.google.com/spreadsheets/d/1z9A1Wq-kKrhRNG5RS2a2fKpY1wIhSVz2ZNmP2mOl588/edit?usp=sharing"",""REQ VF!E4:H""),4,0),""NO APLICA""),""GENERAR REQ"")"),"GENERAR REQ")</f>
        <v>GENERAR REQ</v>
      </c>
      <c r="AC390" s="37" t="str">
        <f>IFERROR(__xludf.DUMMYFUNCTION("IFERROR(QUERY(IMPORTRANGE(""https://docs.google.com/spreadsheets/d/1z9A1Wq-kKrhRNG5RS2a2fKpY1wIhSVz2ZNmP2mOl588/edit?usp=sharing"",""REQ VF!E4:Q""),""SELECT Col10, Col11, Col12 WHERE Col1 = '""&amp;G390&amp;""'"",0),""NO APLICA"")"),"NO APLICA")</f>
        <v>NO APLICA</v>
      </c>
      <c r="AD390" s="37"/>
      <c r="AE390" s="37"/>
      <c r="AF390" s="8" t="s">
        <v>52</v>
      </c>
      <c r="AG390" s="13"/>
    </row>
    <row r="391">
      <c r="A391" s="26">
        <v>179.0</v>
      </c>
      <c r="B391" s="26" t="b">
        <v>1</v>
      </c>
      <c r="C391" s="26" t="b">
        <v>1</v>
      </c>
      <c r="D391" s="48" t="s">
        <v>35</v>
      </c>
      <c r="E391" s="48" t="s">
        <v>36</v>
      </c>
      <c r="F391" s="96" t="s">
        <v>1238</v>
      </c>
      <c r="G391" s="107" t="s">
        <v>1238</v>
      </c>
      <c r="H391" s="108" t="s">
        <v>1239</v>
      </c>
      <c r="I391" s="43">
        <f>SUMIFS('Hoja 10'!$O:$O,'Hoja 10'!$F:$F,$G391)</f>
        <v>16</v>
      </c>
      <c r="J391" s="26">
        <f>IFERROR(__xludf.DUMMYFUNCTION("VLOOKUP(G391,IMPORTRANGE(""https://docs.google.com/spreadsheets/d/12RxCea4e5ggM7QGn1XE3FbLQa_-QbCNdBi90OdPjRqg/edit?gid=1692403370#gid=1692403370"", ""'Plan de Compras'!D4:2432""), 8,0)"),16.0)</f>
        <v>16</v>
      </c>
      <c r="K391" s="26" t="str">
        <f t="shared" si="1"/>
        <v>SI</v>
      </c>
      <c r="L391" s="29" t="s">
        <v>339</v>
      </c>
      <c r="M391" s="30" t="s">
        <v>340</v>
      </c>
      <c r="N391" s="51"/>
      <c r="O391" s="32" t="str">
        <f>VLOOKUP($G391,'Hoja 10'!$F$4:$AA478, 19,0)</f>
        <v>NEXXT</v>
      </c>
      <c r="P391" s="32" t="str">
        <f>VLOOKUP($G391,'Hoja 10'!$F$4:$AA478, 20,0)</f>
        <v>AW250NXT03</v>
      </c>
      <c r="Q391" s="33" t="str">
        <f>VLOOKUP($G391,'Hoja 10'!$F$4:$AA478, 21,0)</f>
        <v>https://www.nexxtsolutions.com/es/infraestructura/interna-productos/AW250NXT03-es</v>
      </c>
      <c r="R391" s="30" t="s">
        <v>1240</v>
      </c>
      <c r="S391" s="34" t="b">
        <v>1</v>
      </c>
      <c r="T391" s="35" t="str">
        <f>IFERROR(__xludf.DUMMYFUNCTION(" IF
( VLOOKUP($G391,IMPORTRANGE(""https://docs.google.com/spreadsheets/d/1Gpl6jkTg7sL4VDNimUm3S9Vi1i95esohXCF3wuKOE8c"", ""'CONSOLIDADO'!G5:AB""), 10, 0) &lt;&gt; 0, 
IFERROR(VLOOKUP($G391,IMPORTRANGE(""https://docs.google.com/spreadsheets/d/1Gpl6jkTg7sL4VDNimU"&amp;"m3S9Vi1i95esohXCF3wuKOE8c"", ""'CONSOLIDADO'!G5:AB""), 17, 0), ""-""),
""""
)"),"NEXXT SOLUTIONS")</f>
        <v>NEXXT SOLUTIONS</v>
      </c>
      <c r="U391" s="35" t="str">
        <f>IFERROR(__xludf.DUMMYFUNCTION(" IF
( VLOOKUP($G391,IMPORTRANGE(""https://docs.google.com/spreadsheets/d/1Gpl6jkTg7sL4VDNimUm3S9Vi1i95esohXCF3wuKOE8c"", ""'CONSOLIDADO'!G5:AB""), 10, 0) &lt;&gt; 0, 
IFERROR(VLOOKUP($G391,IMPORTRANGE(""https://docs.google.com/spreadsheets/d/1Gpl6jkTg7sL4VDNimU"&amp;"m3S9Vi1i95esohXCF3wuKOE8c"", ""'CONSOLIDADO'!G5:AB""), 18, 0), ""-""),
""""
)"),"AW250NXT03")</f>
        <v>AW250NXT03</v>
      </c>
      <c r="V391" s="36" t="str">
        <f>IFERROR(__xludf.DUMMYFUNCTION(" IF
( VLOOKUP($G391,IMPORTRANGE(""https://docs.google.com/spreadsheets/d/1Gpl6jkTg7sL4VDNimUm3S9Vi1i95esohXCF3wuKOE8c"", ""'CONSOLIDADO'!G5:AB""), 10, 0) &lt;&gt; 0, 
IFERROR(VLOOKUP($G391,IMPORTRANGE(""https://docs.google.com/spreadsheets/d/1Gpl6jkTg7sL4VDNimU"&amp;"m3S9Vi1i95esohXCF3wuKOE8c"", ""'CONSOLIDADO'!G5:AB""), 19, 0), ""-""),
""""
)"),"https://www.nexxtsolutions.com/es/infraestructura/interna-productos/AW250NXT03-es")</f>
        <v>https://www.nexxtsolutions.com/es/infraestructura/interna-productos/AW250NXT03-es</v>
      </c>
      <c r="W391" s="37" t="str">
        <f>IFERROR(__xludf.DUMMYFUNCTION("IFERROR(VLOOKUP(G391,IMPORTRANGE(""https://docs.google.com/spreadsheets/d/12RxCea4e5ggM7QGn1XE3FbLQa_-QbCNdBi90OdPjRqg"", ""'Plan de Compras'!D4:Q""), 12, 0), ""NO ESTÁ EN REQ"")"),"Técnica")</f>
        <v>Técnica</v>
      </c>
      <c r="X391" s="37" t="str">
        <f>IFERROR(__xludf.DUMMYFUNCTION("IFERROR(VLOOKUP(G391,IMPORTRANGE(""https://docs.google.com/spreadsheets/d/12RxCea4e5ggM7QGn1XE3FbLQa_-QbCNdBi90OdPjRqg"", ""'Plan de Compras'!D4:Q""), 13, 0), """")"),"INTERNACIONAL")</f>
        <v>INTERNACIONAL</v>
      </c>
      <c r="Y391" s="32" t="str">
        <f>IFERROR(__xludf.DUMMYFUNCTION("IFERROR(VLOOKUP(G391,IMPORTRANGE(""https://docs.google.com/spreadsheets/d/12RxCea4e5ggM7QGn1XE3FbLQa_-QbCNdBi90OdPjRqg"", ""'Plan de Compras'!D4:Q""), 14, 0), """")"),"VICTOR")</f>
        <v>VICTOR</v>
      </c>
      <c r="Z391" s="38" t="str">
        <f>IFERROR(__xludf.DUMMYFUNCTION("IFERROR(VLOOKUP(G391,IMPORTRANGE(""https://docs.google.com/spreadsheets/d/12RxCea4e5ggM7QGn1XE3FbLQa_-QbCNdBi90OdPjRqg"", ""'Plan de Compras'!D4:Q""), 4, 0), """")"),"PROBADOR DE CABLES DE RED")</f>
        <v>PROBADOR DE CABLES DE RED</v>
      </c>
      <c r="AA391" s="38" t="str">
        <f t="shared" si="16"/>
        <v>TRUE</v>
      </c>
      <c r="AB391" s="37" t="str">
        <f>IFERROR(__xludf.DUMMYFUNCTION("IFERROR(IF(OR(C391=TRUE,C391=""""),VLOOKUP(G391,IMPORTRANGE(""https://docs.google.com/spreadsheets/d/1z9A1Wq-kKrhRNG5RS2a2fKpY1wIhSVz2ZNmP2mOl588/edit?usp=sharing"",""REQ VF!E4:H""),4,0),""NO APLICA""),""GENERAR REQ"")"),"GENERAR REQ")</f>
        <v>GENERAR REQ</v>
      </c>
      <c r="AC391" s="37" t="str">
        <f>IFERROR(__xludf.DUMMYFUNCTION("IFERROR(QUERY(IMPORTRANGE(""https://docs.google.com/spreadsheets/d/1z9A1Wq-kKrhRNG5RS2a2fKpY1wIhSVz2ZNmP2mOl588/edit?usp=sharing"",""REQ VF!E4:Q""),""SELECT Col10, Col11, Col12 WHERE Col1 = '""&amp;G391&amp;""'"",0),""NO APLICA"")"),"NO APLICA")</f>
        <v>NO APLICA</v>
      </c>
      <c r="AD391" s="37"/>
      <c r="AE391" s="37"/>
      <c r="AF391" s="13"/>
      <c r="AG391" s="13"/>
    </row>
    <row r="392">
      <c r="A392" s="26">
        <v>180.0</v>
      </c>
      <c r="B392" s="26" t="b">
        <v>1</v>
      </c>
      <c r="C392" s="26" t="b">
        <v>1</v>
      </c>
      <c r="D392" s="26" t="s">
        <v>35</v>
      </c>
      <c r="E392" s="26" t="s">
        <v>36</v>
      </c>
      <c r="F392" s="27" t="s">
        <v>1241</v>
      </c>
      <c r="G392" s="37" t="s">
        <v>1241</v>
      </c>
      <c r="H392" s="45" t="s">
        <v>1242</v>
      </c>
      <c r="I392" s="43">
        <f>SUMIFS('Hoja 10'!$O:$O,'Hoja 10'!$F:$F,$G392)</f>
        <v>3</v>
      </c>
      <c r="J392" s="26">
        <f>IFERROR(__xludf.DUMMYFUNCTION("VLOOKUP(G392,IMPORTRANGE(""https://docs.google.com/spreadsheets/d/12RxCea4e5ggM7QGn1XE3FbLQa_-QbCNdBi90OdPjRqg/edit?gid=1692403370#gid=1692403370"", ""'Plan de Compras'!D4:2432""), 8,0)"),3.0)</f>
        <v>3</v>
      </c>
      <c r="K392" s="26" t="str">
        <f t="shared" si="1"/>
        <v>SI</v>
      </c>
      <c r="L392" s="29" t="s">
        <v>127</v>
      </c>
      <c r="M392" s="30" t="s">
        <v>105</v>
      </c>
      <c r="N392" s="42"/>
      <c r="O392" s="32" t="str">
        <f>VLOOKUP($G392,'Hoja 10'!$F$4:$AA478, 19,0)</f>
        <v>Autel</v>
      </c>
      <c r="P392" s="32" t="str">
        <f>VLOOKUP($G392,'Hoja 10'!$F$4:$AA478, 20,0)</f>
        <v>PowerScan PS102</v>
      </c>
      <c r="Q392" s="33" t="str">
        <f>VLOOKUP($G392,'Hoja 10'!$F$4:$AA478, 21,0)</f>
        <v>https://www.amazon.com/Autel-PowerScan-PS100-alimentaci%C3%B3n-cortocircuito/dp/B0BW48DKFG</v>
      </c>
      <c r="R392" s="30" t="s">
        <v>1243</v>
      </c>
      <c r="S392" s="34" t="b">
        <v>1</v>
      </c>
      <c r="T392" s="35" t="str">
        <f>IFERROR(__xludf.DUMMYFUNCTION(" IF
( VLOOKUP($G392,IMPORTRANGE(""https://docs.google.com/spreadsheets/d/1Gpl6jkTg7sL4VDNimUm3S9Vi1i95esohXCF3wuKOE8c"", ""'CONSOLIDADO'!G5:AB""), 10, 0) &lt;&gt; 0, 
IFERROR(VLOOKUP($G392,IMPORTRANGE(""https://docs.google.com/spreadsheets/d/1Gpl6jkTg7sL4VDNimU"&amp;"m3S9Vi1i95esohXCF3wuKOE8c"", ""'CONSOLIDADO'!G5:AB""), 17, 0), ""-""),
""""
)"),"Autel")</f>
        <v>Autel</v>
      </c>
      <c r="U392" s="35" t="str">
        <f>IFERROR(__xludf.DUMMYFUNCTION(" IF
( VLOOKUP($G392,IMPORTRANGE(""https://docs.google.com/spreadsheets/d/1Gpl6jkTg7sL4VDNimUm3S9Vi1i95esohXCF3wuKOE8c"", ""'CONSOLIDADO'!G5:AB""), 10, 0) &lt;&gt; 0, 
IFERROR(VLOOKUP($G392,IMPORTRANGE(""https://docs.google.com/spreadsheets/d/1Gpl6jkTg7sL4VDNimU"&amp;"m3S9Vi1i95esohXCF3wuKOE8c"", ""'CONSOLIDADO'!G5:AB""), 18, 0), ""-""),
""""
)"),"PowerScan PS100")</f>
        <v>PowerScan PS100</v>
      </c>
      <c r="V392" s="36" t="str">
        <f>IFERROR(__xludf.DUMMYFUNCTION(" IF
( VLOOKUP($G392,IMPORTRANGE(""https://docs.google.com/spreadsheets/d/1Gpl6jkTg7sL4VDNimUm3S9Vi1i95esohXCF3wuKOE8c"", ""'CONSOLIDADO'!G5:AB""), 10, 0) &lt;&gt; 0, 
IFERROR(VLOOKUP($G392,IMPORTRANGE(""https://docs.google.com/spreadsheets/d/1Gpl6jkTg7sL4VDNimU"&amp;"m3S9Vi1i95esohXCF3wuKOE8c"", ""'CONSOLIDADO'!G5:AB""), 19, 0), ""-""),
""""
)"),"https://www.amazon.com/Autel-PowerScan-PS100-alimentaci%C3%B3n-cortocircuito/dp/B0BW48DKFG/")</f>
        <v>https://www.amazon.com/Autel-PowerScan-PS100-alimentaci%C3%B3n-cortocircuito/dp/B0BW48DKFG/</v>
      </c>
      <c r="W392" s="37" t="str">
        <f>IFERROR(__xludf.DUMMYFUNCTION("IFERROR(VLOOKUP(G392,IMPORTRANGE(""https://docs.google.com/spreadsheets/d/12RxCea4e5ggM7QGn1XE3FbLQa_-QbCNdBi90OdPjRqg"", ""'Plan de Compras'!D4:Q""), 12, 0), ""NO ESTÁ EN REQ"")"),"Técnica")</f>
        <v>Técnica</v>
      </c>
      <c r="X392" s="37" t="str">
        <f>IFERROR(__xludf.DUMMYFUNCTION("IFERROR(VLOOKUP(G392,IMPORTRANGE(""https://docs.google.com/spreadsheets/d/12RxCea4e5ggM7QGn1XE3FbLQa_-QbCNdBi90OdPjRqg"", ""'Plan de Compras'!D4:Q""), 13, 0), """")"),"INTERNACIONAL")</f>
        <v>INTERNACIONAL</v>
      </c>
      <c r="Y392" s="32" t="str">
        <f>IFERROR(__xludf.DUMMYFUNCTION("IFERROR(VLOOKUP(G392,IMPORTRANGE(""https://docs.google.com/spreadsheets/d/12RxCea4e5ggM7QGn1XE3FbLQa_-QbCNdBi90OdPjRqg"", ""'Plan de Compras'!D4:Q""), 14, 0), """")"),"GEYDI")</f>
        <v>GEYDI</v>
      </c>
      <c r="Z392" s="38" t="str">
        <f>IFERROR(__xludf.DUMMYFUNCTION("IFERROR(VLOOKUP(G392,IMPORTRANGE(""https://docs.google.com/spreadsheets/d/12RxCea4e5ggM7QGn1XE3FbLQa_-QbCNdBi90OdPjRqg"", ""'Plan de Compras'!D4:Q""), 4, 0), """")"),"PROBADOR DE CABLES ELÉCTRICOS")</f>
        <v>PROBADOR DE CABLES ELÉCTRICOS</v>
      </c>
      <c r="AA392" s="38" t="str">
        <f t="shared" si="16"/>
        <v>TRUE</v>
      </c>
      <c r="AB392" s="37" t="str">
        <f>IFERROR(__xludf.DUMMYFUNCTION("IFERROR(IF(OR(C392=TRUE,C392=""""),VLOOKUP(G392,IMPORTRANGE(""https://docs.google.com/spreadsheets/d/1z9A1Wq-kKrhRNG5RS2a2fKpY1wIhSVz2ZNmP2mOl588/edit?usp=sharing"",""REQ VF!E4:H""),4,0),""NO APLICA""),""GENERAR REQ"")"),"GENERAR REQ")</f>
        <v>GENERAR REQ</v>
      </c>
      <c r="AC392" s="37" t="str">
        <f>IFERROR(__xludf.DUMMYFUNCTION("IFERROR(QUERY(IMPORTRANGE(""https://docs.google.com/spreadsheets/d/1z9A1Wq-kKrhRNG5RS2a2fKpY1wIhSVz2ZNmP2mOl588/edit?usp=sharing"",""REQ VF!E4:Q""),""SELECT Col10, Col11, Col12 WHERE Col1 = '""&amp;G392&amp;""'"",0),""NO APLICA"")"),"NO APLICA")</f>
        <v>NO APLICA</v>
      </c>
      <c r="AD392" s="37"/>
      <c r="AE392" s="37"/>
      <c r="AF392" s="8" t="s">
        <v>52</v>
      </c>
      <c r="AG392" s="13"/>
    </row>
    <row r="393">
      <c r="A393" s="26">
        <v>181.0</v>
      </c>
      <c r="B393" s="26" t="b">
        <v>1</v>
      </c>
      <c r="C393" s="26" t="b">
        <v>1</v>
      </c>
      <c r="D393" s="26" t="s">
        <v>35</v>
      </c>
      <c r="E393" s="26" t="s">
        <v>36</v>
      </c>
      <c r="F393" s="27" t="s">
        <v>1244</v>
      </c>
      <c r="G393" s="37" t="s">
        <v>1244</v>
      </c>
      <c r="H393" s="45" t="s">
        <v>1245</v>
      </c>
      <c r="I393" s="43">
        <f>SUMIFS('Hoja 10'!$O:$O,'Hoja 10'!$F:$F,$G393)</f>
        <v>3</v>
      </c>
      <c r="J393" s="26">
        <f>IFERROR(__xludf.DUMMYFUNCTION("VLOOKUP(G393,IMPORTRANGE(""https://docs.google.com/spreadsheets/d/12RxCea4e5ggM7QGn1XE3FbLQa_-QbCNdBi90OdPjRqg/edit?gid=1692403370#gid=1692403370"", ""'Plan de Compras'!D4:2432""), 8,0)"),3.0)</f>
        <v>3</v>
      </c>
      <c r="K393" s="26" t="str">
        <f t="shared" si="1"/>
        <v>SI</v>
      </c>
      <c r="L393" s="29" t="s">
        <v>127</v>
      </c>
      <c r="M393" s="30" t="s">
        <v>105</v>
      </c>
      <c r="N393" s="42"/>
      <c r="O393" s="32" t="str">
        <f>VLOOKUP($G393,'Hoja 10'!$F$4:$AA478, 19,0)</f>
        <v>Genérico</v>
      </c>
      <c r="P393" s="32" t="str">
        <f>VLOOKUP($G393,'Hoja 10'!$F$4:$AA478, 20,0)</f>
        <v>7005 - MEDIDOR DE PRESIÓN DE BOMBA DE GASOLINA COMPLETO</v>
      </c>
      <c r="Q393" s="41" t="str">
        <f>VLOOKUP($G393,'Hoja 10'!$F$4:$AA478, 21,0)</f>
        <v>https://www.edipesa.com.pe/tienda/taller-automotriz/big-red-medidor-presion-trhs-a1011/
https://www.pronellomaquinarias.com/product-page/medidor-de-presi%C3%B3n-de-bomba-de-gasolinacompleto?srsltid=AfmBOorT8npyLD9QgkxG4dX6RG5IlfDGNUXSOfeiyvAzFL2oihdl9L80</v>
      </c>
      <c r="R393" s="30" t="s">
        <v>1246</v>
      </c>
      <c r="S393" s="34" t="b">
        <v>1</v>
      </c>
      <c r="T393" s="35" t="str">
        <f>IFERROR(__xludf.DUMMYFUNCTION(" IF
( VLOOKUP($G393,IMPORTRANGE(""https://docs.google.com/spreadsheets/d/1Gpl6jkTg7sL4VDNimUm3S9Vi1i95esohXCF3wuKOE8c"", ""'CONSOLIDADO'!G5:AB""), 10, 0) &lt;&gt; 0, 
IFERROR(VLOOKUP($G393,IMPORTRANGE(""https://docs.google.com/spreadsheets/d/1Gpl6jkTg7sL4VDNimU"&amp;"m3S9Vi1i95esohXCF3wuKOE8c"", ""'CONSOLIDADO'!G5:AB""), 17, 0), ""-""),
""""
)"),"Shenzhen Talentcar Electronic Co., Ltd")</f>
        <v>Shenzhen Talentcar Electronic Co., Ltd</v>
      </c>
      <c r="U393" s="35" t="str">
        <f>IFERROR(__xludf.DUMMYFUNCTION(" IF
( VLOOKUP($G393,IMPORTRANGE(""https://docs.google.com/spreadsheets/d/1Gpl6jkTg7sL4VDNimUm3S9Vi1i95esohXCF3wuKOE8c"", ""'CONSOLIDADO'!G5:AB""), 10, 0) &lt;&gt; 0, 
IFERROR(VLOOKUP($G393,IMPORTRANGE(""https://docs.google.com/spreadsheets/d/1Gpl6jkTg7sL4VDNimU"&amp;"m3S9Vi1i95esohXCF3wuKOE8c"", ""'CONSOLIDADO'!G5:AB""), 18, 0), ""-""),
""""
)"),"TU-443")</f>
        <v>TU-443</v>
      </c>
      <c r="V393" s="36" t="str">
        <f>IFERROR(__xludf.DUMMYFUNCTION(" IF
( VLOOKUP($G393,IMPORTRANGE(""https://docs.google.com/spreadsheets/d/1Gpl6jkTg7sL4VDNimUm3S9Vi1i95esohXCF3wuKOE8c"", ""'CONSOLIDADO'!G5:AB""), 10, 0) &lt;&gt; 0, 
IFERROR(VLOOKUP($G393,IMPORTRANGE(""https://docs.google.com/spreadsheets/d/1Gpl6jkTg7sL4VDNimU"&amp;"m3S9Vi1i95esohXCF3wuKOE8c"", ""'CONSOLIDADO'!G5:AB""), 19, 0), ""-""),
""""
)"),"https://es.aliexpress.com/item/32337919271.html ")</f>
        <v>https://es.aliexpress.com/item/32337919271.html </v>
      </c>
      <c r="W393" s="37" t="str">
        <f>IFERROR(__xludf.DUMMYFUNCTION("IFERROR(VLOOKUP(G393,IMPORTRANGE(""https://docs.google.com/spreadsheets/d/12RxCea4e5ggM7QGn1XE3FbLQa_-QbCNdBi90OdPjRqg"", ""'Plan de Compras'!D4:Q""), 12, 0), ""NO ESTÁ EN REQ"")"),"Técnica")</f>
        <v>Técnica</v>
      </c>
      <c r="X393" s="37" t="str">
        <f>IFERROR(__xludf.DUMMYFUNCTION("IFERROR(VLOOKUP(G393,IMPORTRANGE(""https://docs.google.com/spreadsheets/d/12RxCea4e5ggM7QGn1XE3FbLQa_-QbCNdBi90OdPjRqg"", ""'Plan de Compras'!D4:Q""), 13, 0), """")"),"NACIONAL")</f>
        <v>NACIONAL</v>
      </c>
      <c r="Y393" s="32" t="str">
        <f>IFERROR(__xludf.DUMMYFUNCTION("IFERROR(VLOOKUP(G393,IMPORTRANGE(""https://docs.google.com/spreadsheets/d/12RxCea4e5ggM7QGn1XE3FbLQa_-QbCNdBi90OdPjRqg"", ""'Plan de Compras'!D4:Q""), 14, 0), """")"),"JESSICA")</f>
        <v>JESSICA</v>
      </c>
      <c r="Z393" s="38" t="str">
        <f>IFERROR(__xludf.DUMMYFUNCTION("IFERROR(VLOOKUP(G393,IMPORTRANGE(""https://docs.google.com/spreadsheets/d/12RxCea4e5ggM7QGn1XE3FbLQa_-QbCNdBi90OdPjRqg"", ""'Plan de Compras'!D4:Q""), 4, 0), """")"),"PROBADOR DE PRESIÓN DE COMBUSTIBLE")</f>
        <v>PROBADOR DE PRESIÓN DE COMBUSTIBLE</v>
      </c>
      <c r="AA393" s="38" t="str">
        <f t="shared" si="16"/>
        <v>TRUE</v>
      </c>
      <c r="AB393" s="37" t="str">
        <f>IFERROR(__xludf.DUMMYFUNCTION("IFERROR(IF(OR(C393=TRUE,C393=""""),VLOOKUP(G393,IMPORTRANGE(""https://docs.google.com/spreadsheets/d/1z9A1Wq-kKrhRNG5RS2a2fKpY1wIhSVz2ZNmP2mOl588/edit?usp=sharing"",""REQ VF!E4:H""),4,0),""NO APLICA""),""GENERAR REQ"")"),"GENERAR REQ")</f>
        <v>GENERAR REQ</v>
      </c>
      <c r="AC393" s="37" t="str">
        <f>IFERROR(__xludf.DUMMYFUNCTION("IFERROR(QUERY(IMPORTRANGE(""https://docs.google.com/spreadsheets/d/1z9A1Wq-kKrhRNG5RS2a2fKpY1wIhSVz2ZNmP2mOl588/edit?usp=sharing"",""REQ VF!E4:Q""),""SELECT Col10, Col11, Col12 WHERE Col1 = '""&amp;G393&amp;""'"",0),""NO APLICA"")"),"NO APLICA")</f>
        <v>NO APLICA</v>
      </c>
      <c r="AD393" s="37"/>
      <c r="AE393" s="37"/>
      <c r="AF393" s="8" t="s">
        <v>52</v>
      </c>
      <c r="AG393" s="13"/>
    </row>
    <row r="394">
      <c r="A394" s="26">
        <v>182.0</v>
      </c>
      <c r="B394" s="26" t="b">
        <v>1</v>
      </c>
      <c r="C394" s="26" t="b">
        <v>1</v>
      </c>
      <c r="D394" s="48" t="s">
        <v>35</v>
      </c>
      <c r="E394" s="48" t="s">
        <v>36</v>
      </c>
      <c r="F394" s="96" t="s">
        <v>1247</v>
      </c>
      <c r="G394" s="107" t="s">
        <v>1247</v>
      </c>
      <c r="H394" s="108" t="s">
        <v>1248</v>
      </c>
      <c r="I394" s="43">
        <f>SUMIFS('Hoja 10'!$O:$O,'Hoja 10'!$F:$F,$G394)</f>
        <v>3</v>
      </c>
      <c r="J394" s="26">
        <f>IFERROR(__xludf.DUMMYFUNCTION("VLOOKUP(G394,IMPORTRANGE(""https://docs.google.com/spreadsheets/d/12RxCea4e5ggM7QGn1XE3FbLQa_-QbCNdBi90OdPjRqg/edit?gid=1692403370#gid=1692403370"", ""'Plan de Compras'!D4:2432""), 8,0)"),3.0)</f>
        <v>3</v>
      </c>
      <c r="K394" s="26" t="str">
        <f t="shared" si="1"/>
        <v>SI</v>
      </c>
      <c r="L394" s="29" t="s">
        <v>127</v>
      </c>
      <c r="M394" s="30" t="s">
        <v>105</v>
      </c>
      <c r="N394" s="51"/>
      <c r="O394" s="32" t="str">
        <f>VLOOKUP($G394,'Hoja 10'!$F$4:$AA478, 19,0)</f>
        <v>OTC</v>
      </c>
      <c r="P394" s="32" t="str">
        <f>VLOOKUP($G394,'Hoja 10'!$F$4:$AA478, 20,0)</f>
        <v>MANOMERO DE VACÍO/ PRESIÓN</v>
      </c>
      <c r="Q394" s="33" t="str">
        <f>VLOOKUP($G394,'Hoja 10'!$F$4:$AA478, 21,0)</f>
        <v>https://tesinperu.com/product/manometro-de-vacio-presion-b3-5613/</v>
      </c>
      <c r="R394" s="30" t="s">
        <v>1249</v>
      </c>
      <c r="S394" s="34" t="b">
        <v>1</v>
      </c>
      <c r="T394" s="35" t="str">
        <f>IFERROR(__xludf.DUMMYFUNCTION(" IF
( VLOOKUP($G394,IMPORTRANGE(""https://docs.google.com/spreadsheets/d/1Gpl6jkTg7sL4VDNimUm3S9Vi1i95esohXCF3wuKOE8c"", ""'CONSOLIDADO'!G5:AB""), 10, 0) &lt;&gt; 0, 
IFERROR(VLOOKUP($G394,IMPORTRANGE(""https://docs.google.com/spreadsheets/d/1Gpl6jkTg7sL4VDNimU"&amp;"m3S9Vi1i95esohXCF3wuKOE8c"", ""'CONSOLIDADO'!G5:AB""), 17, 0), ""-""),
""""
)"),"OTC")</f>
        <v>OTC</v>
      </c>
      <c r="U394" s="35">
        <f>IFERROR(__xludf.DUMMYFUNCTION(" IF
( VLOOKUP($G394,IMPORTRANGE(""https://docs.google.com/spreadsheets/d/1Gpl6jkTg7sL4VDNimUm3S9Vi1i95esohXCF3wuKOE8c"", ""'CONSOLIDADO'!G5:AB""), 10, 0) &lt;&gt; 0, 
IFERROR(VLOOKUP($G394,IMPORTRANGE(""https://docs.google.com/spreadsheets/d/1Gpl6jkTg7sL4VDNimU"&amp;"m3S9Vi1i95esohXCF3wuKOE8c"", ""'CONSOLIDADO'!G5:AB""), 18, 0), ""-""),
""""
)"),5613.0)</f>
        <v>5613</v>
      </c>
      <c r="V394" s="36" t="str">
        <f>IFERROR(__xludf.DUMMYFUNCTION(" IF
( VLOOKUP($G394,IMPORTRANGE(""https://docs.google.com/spreadsheets/d/1Gpl6jkTg7sL4VDNimUm3S9Vi1i95esohXCF3wuKOE8c"", ""'CONSOLIDADO'!G5:AB""), 10, 0) &lt;&gt; 0, 
IFERROR(VLOOKUP($G394,IMPORTRANGE(""https://docs.google.com/spreadsheets/d/1Gpl6jkTg7sL4VDNimU"&amp;"m3S9Vi1i95esohXCF3wuKOE8c"", ""'CONSOLIDADO'!G5:AB""), 19, 0), ""-""),
""""
)"),"https://tesinperu.com/product/manometro-de-vacio-presion-b3-5613/")</f>
        <v>https://tesinperu.com/product/manometro-de-vacio-presion-b3-5613/</v>
      </c>
      <c r="W394" s="37" t="str">
        <f>IFERROR(__xludf.DUMMYFUNCTION("IFERROR(VLOOKUP(G394,IMPORTRANGE(""https://docs.google.com/spreadsheets/d/12RxCea4e5ggM7QGn1XE3FbLQa_-QbCNdBi90OdPjRqg"", ""'Plan de Compras'!D4:Q""), 12, 0), ""NO ESTÁ EN REQ"")"),"Técnica")</f>
        <v>Técnica</v>
      </c>
      <c r="X394" s="37" t="str">
        <f>IFERROR(__xludf.DUMMYFUNCTION("IFERROR(VLOOKUP(G394,IMPORTRANGE(""https://docs.google.com/spreadsheets/d/12RxCea4e5ggM7QGn1XE3FbLQa_-QbCNdBi90OdPjRqg"", ""'Plan de Compras'!D4:Q""), 13, 0), """")"),"NACIONAL")</f>
        <v>NACIONAL</v>
      </c>
      <c r="Y394" s="32" t="str">
        <f>IFERROR(__xludf.DUMMYFUNCTION("IFERROR(VLOOKUP(G394,IMPORTRANGE(""https://docs.google.com/spreadsheets/d/12RxCea4e5ggM7QGn1XE3FbLQa_-QbCNdBi90OdPjRqg"", ""'Plan de Compras'!D4:Q""), 14, 0), """")"),"JESSICA")</f>
        <v>JESSICA</v>
      </c>
      <c r="Z394" s="38" t="str">
        <f>IFERROR(__xludf.DUMMYFUNCTION("IFERROR(VLOOKUP(G394,IMPORTRANGE(""https://docs.google.com/spreadsheets/d/12RxCea4e5ggM7QGn1XE3FbLQa_-QbCNdBi90OdPjRqg"", ""'Plan de Compras'!D4:Q""), 4, 0), """")"),"PROBADORES DE PRESIÓN Y VACÍO")</f>
        <v>PROBADORES DE PRESIÓN Y VACÍO</v>
      </c>
      <c r="AA394" s="38" t="str">
        <f t="shared" si="16"/>
        <v>TRUE</v>
      </c>
      <c r="AB394" s="37" t="str">
        <f>IFERROR(__xludf.DUMMYFUNCTION("IFERROR(IF(OR(C394=TRUE,C394=""""),VLOOKUP(G394,IMPORTRANGE(""https://docs.google.com/spreadsheets/d/1z9A1Wq-kKrhRNG5RS2a2fKpY1wIhSVz2ZNmP2mOl588/edit?usp=sharing"",""REQ VF!E4:H""),4,0),""NO APLICA""),""GENERAR REQ"")"),"GENERAR REQ")</f>
        <v>GENERAR REQ</v>
      </c>
      <c r="AC394" s="37" t="str">
        <f>IFERROR(__xludf.DUMMYFUNCTION("IFERROR(QUERY(IMPORTRANGE(""https://docs.google.com/spreadsheets/d/1z9A1Wq-kKrhRNG5RS2a2fKpY1wIhSVz2ZNmP2mOl588/edit?usp=sharing"",""REQ VF!E4:Q""),""SELECT Col10, Col11, Col12 WHERE Col1 = '""&amp;G394&amp;""'"",0),""NO APLICA"")"),"NO APLICA")</f>
        <v>NO APLICA</v>
      </c>
      <c r="AD394" s="37"/>
      <c r="AE394" s="37"/>
      <c r="AF394" s="8" t="s">
        <v>52</v>
      </c>
      <c r="AG394" s="13"/>
    </row>
    <row r="395">
      <c r="A395" s="26">
        <v>183.0</v>
      </c>
      <c r="B395" s="26" t="b">
        <v>1</v>
      </c>
      <c r="C395" s="26" t="b">
        <v>1</v>
      </c>
      <c r="D395" s="26" t="s">
        <v>35</v>
      </c>
      <c r="E395" s="26" t="s">
        <v>36</v>
      </c>
      <c r="F395" s="27" t="s">
        <v>1250</v>
      </c>
      <c r="G395" s="37" t="s">
        <v>1250</v>
      </c>
      <c r="H395" s="45" t="s">
        <v>1251</v>
      </c>
      <c r="I395" s="43">
        <f>SUMIFS('Hoja 10'!$O:$O,'Hoja 10'!$F:$F,$G395)</f>
        <v>4</v>
      </c>
      <c r="J395" s="26">
        <f>IFERROR(__xludf.DUMMYFUNCTION("VLOOKUP(G395,IMPORTRANGE(""https://docs.google.com/spreadsheets/d/12RxCea4e5ggM7QGn1XE3FbLQa_-QbCNdBi90OdPjRqg/edit?gid=1692403370#gid=1692403370"", ""'Plan de Compras'!D4:2432""), 8,0)"),4.0)</f>
        <v>4</v>
      </c>
      <c r="K395" s="26" t="str">
        <f t="shared" si="1"/>
        <v>SI</v>
      </c>
      <c r="L395" s="29" t="s">
        <v>122</v>
      </c>
      <c r="M395" s="30" t="s">
        <v>123</v>
      </c>
      <c r="N395" s="42"/>
      <c r="O395" s="32" t="str">
        <f>VLOOKUP($G395,'Hoja 10'!$F$4:$AA478, 19,0)</f>
        <v>WanJie</v>
      </c>
      <c r="P395" s="32" t="str">
        <f>VLOOKUP($G395,'Hoja 10'!$F$4:$AA478, 20,0)</f>
        <v> PR-4T7D-02</v>
      </c>
      <c r="Q395" s="33" t="str">
        <f>VLOOKUP($G395,'Hoja 10'!$F$4:$AA478, 21,0)</f>
        <v>https://naylampmechatronics.com/protoboard/623-protoboard-premium-con-base-pr-4t7d-02.html</v>
      </c>
      <c r="R395" s="30" t="s">
        <v>1252</v>
      </c>
      <c r="S395" s="34" t="b">
        <v>1</v>
      </c>
      <c r="T395" s="35" t="str">
        <f>IFERROR(__xludf.DUMMYFUNCTION(" IF
( VLOOKUP($G395,IMPORTRANGE(""https://docs.google.com/spreadsheets/d/1Gpl6jkTg7sL4VDNimUm3S9Vi1i95esohXCF3wuKOE8c"", ""'CONSOLIDADO'!G5:AB""), 10, 0) &lt;&gt; 0, 
IFERROR(VLOOKUP($G395,IMPORTRANGE(""https://docs.google.com/spreadsheets/d/1Gpl6jkTg7sL4VDNimU"&amp;"m3S9Vi1i95esohXCF3wuKOE8c"", ""'CONSOLIDADO'!G5:AB""), 17, 0), ""-""),
""""
)"),"E-CALL")</f>
        <v>E-CALL</v>
      </c>
      <c r="U395" s="35" t="str">
        <f>IFERROR(__xludf.DUMMYFUNCTION(" IF
( VLOOKUP($G395,IMPORTRANGE(""https://docs.google.com/spreadsheets/d/1Gpl6jkTg7sL4VDNimUm3S9Vi1i95esohXCF3wuKOE8c"", ""'CONSOLIDADO'!G5:AB""), 10, 0) &lt;&gt; 0, 
IFERROR(VLOOKUP($G395,IMPORTRANGE(""https://docs.google.com/spreadsheets/d/1Gpl6jkTg7sL4VDNimU"&amp;"m3S9Vi1i95esohXCF3wuKOE8c"", ""'CONSOLIDADO'!G5:AB""), 18, 0), ""-""),
""""
)"),"EIC-408")</f>
        <v>EIC-408</v>
      </c>
      <c r="V395" s="36" t="str">
        <f>IFERROR(__xludf.DUMMYFUNCTION(" IF
( VLOOKUP($G395,IMPORTRANGE(""https://docs.google.com/spreadsheets/d/1Gpl6jkTg7sL4VDNimUm3S9Vi1i95esohXCF3wuKOE8c"", ""'CONSOLIDADO'!G5:AB""), 10, 0) &lt;&gt; 0, 
IFERROR(VLOOKUP($G395,IMPORTRANGE(""https://docs.google.com/spreadsheets/d/1Gpl6jkTg7sL4VDNimU"&amp;"m3S9Vi1i95esohXCF3wuKOE8c"", ""'CONSOLIDADO'!G5:AB""), 19, 0), ""-""),
""""
)"),"https://nyabbycorp.com/producto/protoboard-de-3320-puntos-base-negra-de-metal-blanco/")</f>
        <v>https://nyabbycorp.com/producto/protoboard-de-3320-puntos-base-negra-de-metal-blanco/</v>
      </c>
      <c r="W395" s="37" t="str">
        <f>IFERROR(__xludf.DUMMYFUNCTION("IFERROR(VLOOKUP(G395,IMPORTRANGE(""https://docs.google.com/spreadsheets/d/12RxCea4e5ggM7QGn1XE3FbLQa_-QbCNdBi90OdPjRqg"", ""'Plan de Compras'!D4:Q""), 12, 0), ""NO ESTÁ EN REQ"")"),"Técnica")</f>
        <v>Técnica</v>
      </c>
      <c r="X395" s="37" t="str">
        <f>IFERROR(__xludf.DUMMYFUNCTION("IFERROR(VLOOKUP(G395,IMPORTRANGE(""https://docs.google.com/spreadsheets/d/12RxCea4e5ggM7QGn1XE3FbLQa_-QbCNdBi90OdPjRqg"", ""'Plan de Compras'!D4:Q""), 13, 0), """")"),"NACIONAL")</f>
        <v>NACIONAL</v>
      </c>
      <c r="Y395" s="32" t="str">
        <f>IFERROR(__xludf.DUMMYFUNCTION("IFERROR(VLOOKUP(G395,IMPORTRANGE(""https://docs.google.com/spreadsheets/d/12RxCea4e5ggM7QGn1XE3FbLQa_-QbCNdBi90OdPjRqg"", ""'Plan de Compras'!D4:Q""), 14, 0), """")"),"JESSICA")</f>
        <v>JESSICA</v>
      </c>
      <c r="Z395" s="38" t="str">
        <f>IFERROR(__xludf.DUMMYFUNCTION("IFERROR(VLOOKUP(G395,IMPORTRANGE(""https://docs.google.com/spreadsheets/d/12RxCea4e5ggM7QGn1XE3FbLQa_-QbCNdBi90OdPjRqg"", ""'Plan de Compras'!D4:Q""), 4, 0), """")"),"PROTOBOARD: PLACA DE PRUEBAS")</f>
        <v>PROTOBOARD: PLACA DE PRUEBAS</v>
      </c>
      <c r="AA395" s="38" t="str">
        <f t="shared" si="16"/>
        <v>TRUE</v>
      </c>
      <c r="AB395" s="37" t="str">
        <f>IFERROR(__xludf.DUMMYFUNCTION("IFERROR(IF(OR(C395=TRUE,C395=""""),VLOOKUP(G395,IMPORTRANGE(""https://docs.google.com/spreadsheets/d/1z9A1Wq-kKrhRNG5RS2a2fKpY1wIhSVz2ZNmP2mOl588/edit?usp=sharing"",""REQ VF!E4:H""),4,0),""NO APLICA""),""GENERAR REQ"")"),"GENERAR REQ")</f>
        <v>GENERAR REQ</v>
      </c>
      <c r="AC395" s="37" t="str">
        <f>IFERROR(__xludf.DUMMYFUNCTION("IFERROR(QUERY(IMPORTRANGE(""https://docs.google.com/spreadsheets/d/1z9A1Wq-kKrhRNG5RS2a2fKpY1wIhSVz2ZNmP2mOl588/edit?usp=sharing"",""REQ VF!E4:Q""),""SELECT Col10, Col11, Col12 WHERE Col1 = '""&amp;G395&amp;""'"",0),""NO APLICA"")"),"NO APLICA")</f>
        <v>NO APLICA</v>
      </c>
      <c r="AD395" s="37"/>
      <c r="AE395" s="37"/>
      <c r="AF395" s="13"/>
      <c r="AG395" s="13"/>
    </row>
    <row r="396">
      <c r="A396" s="26"/>
      <c r="B396" s="26"/>
      <c r="C396" s="26" t="b">
        <v>1</v>
      </c>
      <c r="D396" s="26" t="s">
        <v>42</v>
      </c>
      <c r="E396" s="26" t="s">
        <v>36</v>
      </c>
      <c r="F396" s="59" t="s">
        <v>1250</v>
      </c>
      <c r="G396" s="39" t="s">
        <v>1253</v>
      </c>
      <c r="H396" s="40" t="s">
        <v>1254</v>
      </c>
      <c r="I396" s="43">
        <f t="shared" ref="I396:I397" si="36">$I$395*20</f>
        <v>80</v>
      </c>
      <c r="J396" s="26">
        <f>IFERROR(__xludf.DUMMYFUNCTION("VLOOKUP(G396,IMPORTRANGE(""https://docs.google.com/spreadsheets/d/12RxCea4e5ggM7QGn1XE3FbLQa_-QbCNdBi90OdPjRqg/edit?gid=1692403370#gid=1692403370"", ""'Plan de Compras'!D4:2432""), 8,0)"),80.0)</f>
        <v>80</v>
      </c>
      <c r="K396" s="26" t="str">
        <f t="shared" si="1"/>
        <v>SI</v>
      </c>
      <c r="L396" s="26"/>
      <c r="M396" s="47"/>
      <c r="N396" s="26" t="s">
        <v>1255</v>
      </c>
      <c r="O396" s="42"/>
      <c r="P396" s="42"/>
      <c r="Q396" s="55" t="s">
        <v>1256</v>
      </c>
      <c r="R396" s="47"/>
      <c r="S396" s="34" t="b">
        <v>1</v>
      </c>
      <c r="T396" s="35" t="s">
        <v>1257</v>
      </c>
      <c r="U396" s="72"/>
      <c r="V396" s="44"/>
      <c r="W396" s="37" t="str">
        <f>IFERROR(__xludf.DUMMYFUNCTION("IFERROR(VLOOKUP(G396,IMPORTRANGE(""https://docs.google.com/spreadsheets/d/12RxCea4e5ggM7QGn1XE3FbLQa_-QbCNdBi90OdPjRqg"", ""'Plan de Compras'!D4:Q""), 12, 0), ""NO ESTÁ EN REQ"")"),"Técnica")</f>
        <v>Técnica</v>
      </c>
      <c r="X396" s="37" t="str">
        <f>IFERROR(__xludf.DUMMYFUNCTION("IFERROR(VLOOKUP(G396,IMPORTRANGE(""https://docs.google.com/spreadsheets/d/12RxCea4e5ggM7QGn1XE3FbLQa_-QbCNdBi90OdPjRqg"", ""'Plan de Compras'!D4:Q""), 13, 0), """")"),"NACIONAL")</f>
        <v>NACIONAL</v>
      </c>
      <c r="Y396" s="32" t="str">
        <f>IFERROR(__xludf.DUMMYFUNCTION("IFERROR(VLOOKUP(G396,IMPORTRANGE(""https://docs.google.com/spreadsheets/d/12RxCea4e5ggM7QGn1XE3FbLQa_-QbCNdBi90OdPjRqg"", ""'Plan de Compras'!D4:Q""), 14, 0), """")"),"JESSICA")</f>
        <v>JESSICA</v>
      </c>
      <c r="Z396" s="38" t="str">
        <f>IFERROR(__xludf.DUMMYFUNCTION("IFERROR(VLOOKUP(G396,IMPORTRANGE(""https://docs.google.com/spreadsheets/d/12RxCea4e5ggM7QGn1XE3FbLQa_-QbCNdBi90OdPjRqg"", ""'Plan de Compras'!D4:Q""), 4, 0), """")"),"CABLES DE CONEXIÓN PARA LOS PUNTOS DE CONTACTO (20 UND)")</f>
        <v>CABLES DE CONEXIÓN PARA LOS PUNTOS DE CONTACTO (20 UND)</v>
      </c>
      <c r="AA396" s="38" t="str">
        <f t="shared" si="16"/>
        <v>TRUE</v>
      </c>
      <c r="AB396" s="37" t="str">
        <f>IFERROR(__xludf.DUMMYFUNCTION("IFERROR(IF(OR(C396=TRUE,C396=""""),VLOOKUP(G396,IMPORTRANGE(""https://docs.google.com/spreadsheets/d/1z9A1Wq-kKrhRNG5RS2a2fKpY1wIhSVz2ZNmP2mOl588/edit?usp=sharing"",""REQ VF!E4:H""),4,0),""NO APLICA""),""GENERAR REQ"")"),"GENERAR REQ")</f>
        <v>GENERAR REQ</v>
      </c>
      <c r="AC396" s="37" t="str">
        <f>IFERROR(__xludf.DUMMYFUNCTION("IFERROR(QUERY(IMPORTRANGE(""https://docs.google.com/spreadsheets/d/1z9A1Wq-kKrhRNG5RS2a2fKpY1wIhSVz2ZNmP2mOl588/edit?usp=sharing"",""REQ VF!E4:Q""),""SELECT Col10, Col11, Col12 WHERE Col1 = '""&amp;G396&amp;""'"",0),""NO APLICA"")"),"NO APLICA")</f>
        <v>NO APLICA</v>
      </c>
      <c r="AD396" s="37"/>
      <c r="AE396" s="37"/>
      <c r="AF396" s="13"/>
      <c r="AG396" s="13"/>
    </row>
    <row r="397">
      <c r="A397" s="26"/>
      <c r="B397" s="26"/>
      <c r="C397" s="26" t="b">
        <v>1</v>
      </c>
      <c r="D397" s="26" t="s">
        <v>42</v>
      </c>
      <c r="E397" s="26" t="s">
        <v>36</v>
      </c>
      <c r="F397" s="59" t="s">
        <v>1250</v>
      </c>
      <c r="G397" s="39" t="s">
        <v>1258</v>
      </c>
      <c r="H397" s="40" t="s">
        <v>1259</v>
      </c>
      <c r="I397" s="43">
        <f t="shared" si="36"/>
        <v>80</v>
      </c>
      <c r="J397" s="26">
        <f>IFERROR(__xludf.DUMMYFUNCTION("VLOOKUP(G397,IMPORTRANGE(""https://docs.google.com/spreadsheets/d/12RxCea4e5ggM7QGn1XE3FbLQa_-QbCNdBi90OdPjRqg/edit?gid=1692403370#gid=1692403370"", ""'Plan de Compras'!D4:2432""), 8,0)"),80.0)</f>
        <v>80</v>
      </c>
      <c r="K397" s="26" t="str">
        <f t="shared" si="1"/>
        <v>SI</v>
      </c>
      <c r="L397" s="26"/>
      <c r="M397" s="47"/>
      <c r="N397" s="26" t="s">
        <v>1260</v>
      </c>
      <c r="O397" s="42"/>
      <c r="P397" s="42"/>
      <c r="Q397" s="55" t="s">
        <v>1261</v>
      </c>
      <c r="R397" s="47"/>
      <c r="S397" s="34" t="b">
        <v>1</v>
      </c>
      <c r="T397" s="35" t="s">
        <v>1257</v>
      </c>
      <c r="U397" s="72"/>
      <c r="V397" s="44"/>
      <c r="W397" s="37" t="str">
        <f>IFERROR(__xludf.DUMMYFUNCTION("IFERROR(VLOOKUP(G397,IMPORTRANGE(""https://docs.google.com/spreadsheets/d/12RxCea4e5ggM7QGn1XE3FbLQa_-QbCNdBi90OdPjRqg"", ""'Plan de Compras'!D4:Q""), 12, 0), ""NO ESTÁ EN REQ"")"),"Técnica")</f>
        <v>Técnica</v>
      </c>
      <c r="X397" s="37" t="str">
        <f>IFERROR(__xludf.DUMMYFUNCTION("IFERROR(VLOOKUP(G397,IMPORTRANGE(""https://docs.google.com/spreadsheets/d/12RxCea4e5ggM7QGn1XE3FbLQa_-QbCNdBi90OdPjRqg"", ""'Plan de Compras'!D4:Q""), 13, 0), """")"),"NACIONAL")</f>
        <v>NACIONAL</v>
      </c>
      <c r="Y397" s="32" t="str">
        <f>IFERROR(__xludf.DUMMYFUNCTION("IFERROR(VLOOKUP(G397,IMPORTRANGE(""https://docs.google.com/spreadsheets/d/12RxCea4e5ggM7QGn1XE3FbLQa_-QbCNdBi90OdPjRqg"", ""'Plan de Compras'!D4:Q""), 14, 0), """")"),"JESSICA")</f>
        <v>JESSICA</v>
      </c>
      <c r="Z397" s="38" t="str">
        <f>IFERROR(__xludf.DUMMYFUNCTION("IFERROR(VLOOKUP(G397,IMPORTRANGE(""https://docs.google.com/spreadsheets/d/12RxCea4e5ggM7QGn1XE3FbLQa_-QbCNdBi90OdPjRqg"", ""'Plan de Compras'!D4:Q""), 4, 0), """")"),"CABLES PARA CONEXIÓN ENTRE PUNTOS (20 UND)")</f>
        <v>CABLES PARA CONEXIÓN ENTRE PUNTOS (20 UND)</v>
      </c>
      <c r="AA397" s="38" t="str">
        <f t="shared" si="16"/>
        <v>TRUE</v>
      </c>
      <c r="AB397" s="37" t="str">
        <f>IFERROR(__xludf.DUMMYFUNCTION("IFERROR(IF(OR(C397=TRUE,C397=""""),VLOOKUP(G397,IMPORTRANGE(""https://docs.google.com/spreadsheets/d/1z9A1Wq-kKrhRNG5RS2a2fKpY1wIhSVz2ZNmP2mOl588/edit?usp=sharing"",""REQ VF!E4:H""),4,0),""NO APLICA""),""GENERAR REQ"")"),"GENERAR REQ")</f>
        <v>GENERAR REQ</v>
      </c>
      <c r="AC397" s="37" t="str">
        <f>IFERROR(__xludf.DUMMYFUNCTION("IFERROR(QUERY(IMPORTRANGE(""https://docs.google.com/spreadsheets/d/1z9A1Wq-kKrhRNG5RS2a2fKpY1wIhSVz2ZNmP2mOl588/edit?usp=sharing"",""REQ VF!E4:Q""),""SELECT Col10, Col11, Col12 WHERE Col1 = '""&amp;G397&amp;""'"",0),""NO APLICA"")"),"NO APLICA")</f>
        <v>NO APLICA</v>
      </c>
      <c r="AD397" s="37"/>
      <c r="AE397" s="37"/>
      <c r="AF397" s="13"/>
      <c r="AG397" s="13"/>
    </row>
    <row r="398">
      <c r="A398" s="26">
        <v>184.0</v>
      </c>
      <c r="B398" s="26" t="b">
        <v>1</v>
      </c>
      <c r="C398" s="26" t="b">
        <v>1</v>
      </c>
      <c r="D398" s="26" t="s">
        <v>35</v>
      </c>
      <c r="E398" s="26" t="s">
        <v>36</v>
      </c>
      <c r="F398" s="27" t="s">
        <v>1262</v>
      </c>
      <c r="G398" s="37" t="s">
        <v>1262</v>
      </c>
      <c r="H398" s="45" t="s">
        <v>1263</v>
      </c>
      <c r="I398" s="43">
        <f>SUMIFS('Hoja 10'!$O:$O,'Hoja 10'!$F:$F,$G398)</f>
        <v>12</v>
      </c>
      <c r="J398" s="26">
        <f>IFERROR(__xludf.DUMMYFUNCTION("VLOOKUP(G398,IMPORTRANGE(""https://docs.google.com/spreadsheets/d/12RxCea4e5ggM7QGn1XE3FbLQa_-QbCNdBi90OdPjRqg/edit?gid=1692403370#gid=1692403370"", ""'Plan de Compras'!D4:2432""), 8,0)"),12.0)</f>
        <v>12</v>
      </c>
      <c r="K398" s="26" t="str">
        <f t="shared" si="1"/>
        <v>SI</v>
      </c>
      <c r="L398" s="29" t="s">
        <v>127</v>
      </c>
      <c r="M398" s="30" t="s">
        <v>105</v>
      </c>
      <c r="N398" s="42"/>
      <c r="O398" s="32" t="str">
        <f>VLOOKUP($G398,'Hoja 10'!$F$4:$AA478, 19,0)</f>
        <v>OTC</v>
      </c>
      <c r="P398" s="32" t="str">
        <f>VLOOKUP($G398,'Hoja 10'!$F$4:$AA478, 20,0)</f>
        <v>B3.3631</v>
      </c>
      <c r="Q398" s="33" t="str">
        <f>VLOOKUP($G398,'Hoja 10'!$F$4:$AA478, 21,0)</f>
        <v>https://tesinperu.com/product/punta-logica-b3-3631/</v>
      </c>
      <c r="R398" s="30" t="s">
        <v>1264</v>
      </c>
      <c r="S398" s="34" t="b">
        <v>1</v>
      </c>
      <c r="T398" s="72"/>
      <c r="U398" s="35" t="str">
        <f>IFERROR(__xludf.DUMMYFUNCTION(" IF
( VLOOKUP($G398,IMPORTRANGE(""https://docs.google.com/spreadsheets/d/1Gpl6jkTg7sL4VDNimUm3S9Vi1i95esohXCF3wuKOE8c"", ""'CONSOLIDADO'!G5:AB""), 10, 0) &lt;&gt; 0, 
IFERROR(VLOOKUP($G398,IMPORTRANGE(""https://docs.google.com/spreadsheets/d/1Gpl6jkTg7sL4VDNimU"&amp;"m3S9Vi1i95esohXCF3wuKOE8c"", ""'CONSOLIDADO'!G5:AB""), 18, 0), ""-""),
""""
)"),"B3.3631")</f>
        <v>B3.3631</v>
      </c>
      <c r="V398" s="36" t="str">
        <f>IFERROR(__xludf.DUMMYFUNCTION(" IF
( VLOOKUP($G398,IMPORTRANGE(""https://docs.google.com/spreadsheets/d/1Gpl6jkTg7sL4VDNimUm3S9Vi1i95esohXCF3wuKOE8c"", ""'CONSOLIDADO'!G5:AB""), 10, 0) &lt;&gt; 0, 
IFERROR(VLOOKUP($G398,IMPORTRANGE(""https://docs.google.com/spreadsheets/d/1Gpl6jkTg7sL4VDNimU"&amp;"m3S9Vi1i95esohXCF3wuKOE8c"", ""'CONSOLIDADO'!G5:AB""), 19, 0), ""-""),
""""
)"),"https://tesinperu.com/product/punta-logica-b3-3631/")</f>
        <v>https://tesinperu.com/product/punta-logica-b3-3631/</v>
      </c>
      <c r="W398" s="37" t="str">
        <f>IFERROR(__xludf.DUMMYFUNCTION("IFERROR(VLOOKUP(G398,IMPORTRANGE(""https://docs.google.com/spreadsheets/d/12RxCea4e5ggM7QGn1XE3FbLQa_-QbCNdBi90OdPjRqg"", ""'Plan de Compras'!D4:Q""), 12, 0), ""NO ESTÁ EN REQ"")"),"Técnica")</f>
        <v>Técnica</v>
      </c>
      <c r="X398" s="37" t="str">
        <f>IFERROR(__xludf.DUMMYFUNCTION("IFERROR(VLOOKUP(G398,IMPORTRANGE(""https://docs.google.com/spreadsheets/d/12RxCea4e5ggM7QGn1XE3FbLQa_-QbCNdBi90OdPjRqg"", ""'Plan de Compras'!D4:Q""), 13, 0), """")"),"NACIONAL")</f>
        <v>NACIONAL</v>
      </c>
      <c r="Y398" s="32" t="str">
        <f>IFERROR(__xludf.DUMMYFUNCTION("IFERROR(VLOOKUP(G398,IMPORTRANGE(""https://docs.google.com/spreadsheets/d/12RxCea4e5ggM7QGn1XE3FbLQa_-QbCNdBi90OdPjRqg"", ""'Plan de Compras'!D4:Q""), 14, 0), """")"),"ANGIE")</f>
        <v>ANGIE</v>
      </c>
      <c r="Z398" s="38" t="str">
        <f>IFERROR(__xludf.DUMMYFUNCTION("IFERROR(VLOOKUP(G398,IMPORTRANGE(""https://docs.google.com/spreadsheets/d/12RxCea4e5ggM7QGn1XE3FbLQa_-QbCNdBi90OdPjRqg"", ""'Plan de Compras'!D4:Q""), 4, 0), """")"),"PUNTA LÓGICA AUTOMOTOR")</f>
        <v>PUNTA LÓGICA AUTOMOTOR</v>
      </c>
      <c r="AA398" s="38" t="str">
        <f t="shared" si="16"/>
        <v>TRUE</v>
      </c>
      <c r="AB398" s="37" t="str">
        <f>IFERROR(__xludf.DUMMYFUNCTION("IFERROR(IF(OR(C398=TRUE,C398=""""),VLOOKUP(G398,IMPORTRANGE(""https://docs.google.com/spreadsheets/d/1z9A1Wq-kKrhRNG5RS2a2fKpY1wIhSVz2ZNmP2mOl588/edit?usp=sharing"",""REQ VF!E4:H""),4,0),""NO APLICA""),""GENERAR REQ"")"),"GENERAR REQ")</f>
        <v>GENERAR REQ</v>
      </c>
      <c r="AC398" s="37" t="str">
        <f>IFERROR(__xludf.DUMMYFUNCTION("IFERROR(QUERY(IMPORTRANGE(""https://docs.google.com/spreadsheets/d/1z9A1Wq-kKrhRNG5RS2a2fKpY1wIhSVz2ZNmP2mOl588/edit?usp=sharing"",""REQ VF!E4:Q""),""SELECT Col10, Col11, Col12 WHERE Col1 = '""&amp;G398&amp;""'"",0),""NO APLICA"")"),"NO APLICA")</f>
        <v>NO APLICA</v>
      </c>
      <c r="AD398" s="37"/>
      <c r="AE398" s="37"/>
      <c r="AF398" s="8" t="s">
        <v>52</v>
      </c>
      <c r="AG398" s="13"/>
    </row>
    <row r="399">
      <c r="A399" s="26">
        <v>185.0</v>
      </c>
      <c r="B399" s="26" t="b">
        <v>1</v>
      </c>
      <c r="C399" s="26" t="b">
        <v>1</v>
      </c>
      <c r="D399" s="26" t="s">
        <v>35</v>
      </c>
      <c r="E399" s="26" t="s">
        <v>36</v>
      </c>
      <c r="F399" s="27" t="s">
        <v>1265</v>
      </c>
      <c r="G399" s="37" t="s">
        <v>1265</v>
      </c>
      <c r="H399" s="45" t="s">
        <v>1266</v>
      </c>
      <c r="I399" s="43">
        <f>SUMIFS('Hoja 10'!$O:$O,'Hoja 10'!$F:$F,$G399)</f>
        <v>4</v>
      </c>
      <c r="J399" s="26">
        <f>IFERROR(__xludf.DUMMYFUNCTION("VLOOKUP(G399,IMPORTRANGE(""https://docs.google.com/spreadsheets/d/12RxCea4e5ggM7QGn1XE3FbLQa_-QbCNdBi90OdPjRqg/edit?gid=1692403370#gid=1692403370"", ""'Plan de Compras'!D4:2432""), 8,0)"),4.0)</f>
        <v>4</v>
      </c>
      <c r="K399" s="26" t="str">
        <f t="shared" si="1"/>
        <v>SI</v>
      </c>
      <c r="L399" s="29" t="s">
        <v>39</v>
      </c>
      <c r="M399" s="30" t="s">
        <v>40</v>
      </c>
      <c r="N399" s="42"/>
      <c r="O399" s="32" t="str">
        <f>VLOOKUP($G399,'Hoja 10'!$F$4:$AA478, 19,0)</f>
        <v>GABARRO</v>
      </c>
      <c r="P399" s="32" t="str">
        <f>VLOOKUP($G399,'Hoja 10'!$F$4:$AA478, 20,0)</f>
        <v>TP-30</v>
      </c>
      <c r="Q399" s="33" t="str">
        <f>VLOOKUP($G399,'Hoja 10'!$F$4:$AA478, 21,0)</f>
        <v>http://www.egabarro.com/tp.html</v>
      </c>
      <c r="R399" s="30" t="s">
        <v>1267</v>
      </c>
      <c r="S399" s="34" t="b">
        <v>1</v>
      </c>
      <c r="T399" s="35" t="str">
        <f>IFERROR(__xludf.DUMMYFUNCTION(" IF
( VLOOKUP($G399,IMPORTRANGE(""https://docs.google.com/spreadsheets/d/1Gpl6jkTg7sL4VDNimUm3S9Vi1i95esohXCF3wuKOE8c"", ""'CONSOLIDADO'!G5:AB""), 10, 0) &lt;&gt; 0, 
IFERROR(VLOOKUP($G399,IMPORTRANGE(""https://docs.google.com/spreadsheets/d/1Gpl6jkTg7sL4VDNimU"&amp;"m3S9Vi1i95esohXCF3wuKOE8c"", ""'CONSOLIDADO'!G5:AB""), 17, 0), ""-""),
""""
)"),"GABARRO")</f>
        <v>GABARRO</v>
      </c>
      <c r="U399" s="35" t="str">
        <f>IFERROR(__xludf.DUMMYFUNCTION(" IF
( VLOOKUP($G399,IMPORTRANGE(""https://docs.google.com/spreadsheets/d/1Gpl6jkTg7sL4VDNimUm3S9Vi1i95esohXCF3wuKOE8c"", ""'CONSOLIDADO'!G5:AB""), 10, 0) &lt;&gt; 0, 
IFERROR(VLOOKUP($G399,IMPORTRANGE(""https://docs.google.com/spreadsheets/d/1Gpl6jkTg7sL4VDNimU"&amp;"m3S9Vi1i95esohXCF3wuKOE8c"", ""'CONSOLIDADO'!G5:AB""), 18, 0), ""-""),
""""
)"),"TP-30")</f>
        <v>TP-30</v>
      </c>
      <c r="V399" s="36" t="str">
        <f>IFERROR(__xludf.DUMMYFUNCTION(" IF
( VLOOKUP($G399,IMPORTRANGE(""https://docs.google.com/spreadsheets/d/1Gpl6jkTg7sL4VDNimUm3S9Vi1i95esohXCF3wuKOE8c"", ""'CONSOLIDADO'!G5:AB""), 10, 0) &lt;&gt; 0, 
IFERROR(VLOOKUP($G399,IMPORTRANGE(""https://docs.google.com/spreadsheets/d/1Gpl6jkTg7sL4VDNimU"&amp;"m3S9Vi1i95esohXCF3wuKOE8c"", ""'CONSOLIDADO'!G5:AB""), 19, 0), ""-""),
""""
)"),"https://www.expomaquinaria.es/cortadora-de-pan/2975-cortadora-pan-eutvi-vertical-electrica.html?srsltid=AfmBOor-MsnShL984Eox02ywbuzsJrsfTr72K8wShMTlKesLsNaoGoi6")</f>
        <v>https://www.expomaquinaria.es/cortadora-de-pan/2975-cortadora-pan-eutvi-vertical-electrica.html?srsltid=AfmBOor-MsnShL984Eox02ywbuzsJrsfTr72K8wShMTlKesLsNaoGoi6</v>
      </c>
      <c r="W399" s="37" t="str">
        <f>IFERROR(__xludf.DUMMYFUNCTION("IFERROR(VLOOKUP(G399,IMPORTRANGE(""https://docs.google.com/spreadsheets/d/12RxCea4e5ggM7QGn1XE3FbLQa_-QbCNdBi90OdPjRqg"", ""'Plan de Compras'!D4:Q""), 12, 0), ""NO ESTÁ EN REQ"")"),"Técnica")</f>
        <v>Técnica</v>
      </c>
      <c r="X399" s="37" t="str">
        <f>IFERROR(__xludf.DUMMYFUNCTION("IFERROR(VLOOKUP(G399,IMPORTRANGE(""https://docs.google.com/spreadsheets/d/12RxCea4e5ggM7QGn1XE3FbLQa_-QbCNdBi90OdPjRqg"", ""'Plan de Compras'!D4:Q""), 13, 0), """")"),"INTERNACIONAL")</f>
        <v>INTERNACIONAL</v>
      </c>
      <c r="Y399" s="32" t="str">
        <f>IFERROR(__xludf.DUMMYFUNCTION("IFERROR(VLOOKUP(G399,IMPORTRANGE(""https://docs.google.com/spreadsheets/d/12RxCea4e5ggM7QGn1XE3FbLQa_-QbCNdBi90OdPjRqg"", ""'Plan de Compras'!D4:Q""), 14, 0), """")"),"JIMENA")</f>
        <v>JIMENA</v>
      </c>
      <c r="Z399" s="38" t="str">
        <f>IFERROR(__xludf.DUMMYFUNCTION("IFERROR(VLOOKUP(G399,IMPORTRANGE(""https://docs.google.com/spreadsheets/d/12RxCea4e5ggM7QGn1XE3FbLQa_-QbCNdBi90OdPjRqg"", ""'Plan de Compras'!D4:Q""), 4, 0), """")"),"REBANADORA DE PAN")</f>
        <v>REBANADORA DE PAN</v>
      </c>
      <c r="AA399" s="38" t="str">
        <f t="shared" si="16"/>
        <v>TRUE</v>
      </c>
      <c r="AB399" s="37" t="str">
        <f>IFERROR(__xludf.DUMMYFUNCTION("IFERROR(IF(OR(C399=TRUE,C399=""""),VLOOKUP(G399,IMPORTRANGE(""https://docs.google.com/spreadsheets/d/1z9A1Wq-kKrhRNG5RS2a2fKpY1wIhSVz2ZNmP2mOl588/edit?usp=sharing"",""REQ VF!E4:H""),4,0),""NO APLICA""),""GENERAR REQ"")"),"GENERAR REQ")</f>
        <v>GENERAR REQ</v>
      </c>
      <c r="AC399" s="37" t="str">
        <f>IFERROR(__xludf.DUMMYFUNCTION("IFERROR(QUERY(IMPORTRANGE(""https://docs.google.com/spreadsheets/d/1z9A1Wq-kKrhRNG5RS2a2fKpY1wIhSVz2ZNmP2mOl588/edit?usp=sharing"",""REQ VF!E4:Q""),""SELECT Col10, Col11, Col12 WHERE Col1 = '""&amp;G399&amp;""'"",0),""NO APLICA"")"),"NO APLICA")</f>
        <v>NO APLICA</v>
      </c>
      <c r="AD399" s="37"/>
      <c r="AE399" s="37"/>
      <c r="AF399" s="13"/>
      <c r="AG399" s="13"/>
    </row>
    <row r="400">
      <c r="A400" s="26">
        <v>186.0</v>
      </c>
      <c r="B400" s="26" t="b">
        <v>1</v>
      </c>
      <c r="C400" s="26" t="b">
        <v>1</v>
      </c>
      <c r="D400" s="26" t="s">
        <v>35</v>
      </c>
      <c r="E400" s="26" t="s">
        <v>36</v>
      </c>
      <c r="F400" s="27" t="s">
        <v>1268</v>
      </c>
      <c r="G400" s="37" t="s">
        <v>1268</v>
      </c>
      <c r="H400" s="45" t="s">
        <v>1269</v>
      </c>
      <c r="I400" s="43">
        <f>SUMIFS('Hoja 10'!$O:$O,'Hoja 10'!$F:$F,$G400)</f>
        <v>1</v>
      </c>
      <c r="J400" s="26">
        <f>IFERROR(__xludf.DUMMYFUNCTION("VLOOKUP(G400,IMPORTRANGE(""https://docs.google.com/spreadsheets/d/12RxCea4e5ggM7QGn1XE3FbLQa_-QbCNdBi90OdPjRqg/edit?gid=1692403370#gid=1692403370"", ""'Plan de Compras'!D4:2432""), 8,0)"),1.0)</f>
        <v>1</v>
      </c>
      <c r="K400" s="26" t="str">
        <f t="shared" si="1"/>
        <v>SI</v>
      </c>
      <c r="L400" s="29" t="s">
        <v>77</v>
      </c>
      <c r="M400" s="30" t="s">
        <v>78</v>
      </c>
      <c r="N400" s="42"/>
      <c r="O400" s="32" t="str">
        <f>VLOOKUP($G400,'Hoja 10'!$F$4:$AA478, 19,0)</f>
        <v>DAKOTA</v>
      </c>
      <c r="P400" s="32" t="str">
        <f>VLOOKUP($G400,'Hoja 10'!$F$4:$AA478, 20,0)</f>
        <v>RDK-182</v>
      </c>
      <c r="Q400" s="33" t="str">
        <f>VLOOKUP($G400,'Hoja 10'!$F$4:$AA478, 21,0)</f>
        <v>https://www.electrogarline.com/linea-fria/refresqueras/refresquera-2-tolvas-18-litros-dakota.html?srsltid=AfmBOor2WRl3GAZXrUeN8pP4pwC8fbSVr31VOM06af_msJgrbsn-MXXI</v>
      </c>
      <c r="R400" s="30" t="s">
        <v>1270</v>
      </c>
      <c r="S400" s="34" t="b">
        <v>1</v>
      </c>
      <c r="T400" s="35" t="str">
        <f>IFERROR(__xludf.DUMMYFUNCTION(" IF
( VLOOKUP($G400,IMPORTRANGE(""https://docs.google.com/spreadsheets/d/1Gpl6jkTg7sL4VDNimUm3S9Vi1i95esohXCF3wuKOE8c"", ""'CONSOLIDADO'!G5:AB""), 10, 0) &lt;&gt; 0, 
IFERROR(VLOOKUP($G400,IMPORTRANGE(""https://docs.google.com/spreadsheets/d/1Gpl6jkTg7sL4VDNimU"&amp;"m3S9Vi1i95esohXCF3wuKOE8c"", ""'CONSOLIDADO'!G5:AB""), 17, 0), ""-""),
""""
)"),"DAKOTA")</f>
        <v>DAKOTA</v>
      </c>
      <c r="U400" s="35" t="str">
        <f>IFERROR(__xludf.DUMMYFUNCTION(" IF
( VLOOKUP($G400,IMPORTRANGE(""https://docs.google.com/spreadsheets/d/1Gpl6jkTg7sL4VDNimUm3S9Vi1i95esohXCF3wuKOE8c"", ""'CONSOLIDADO'!G5:AB""), 10, 0) &lt;&gt; 0, 
IFERROR(VLOOKUP($G400,IMPORTRANGE(""https://docs.google.com/spreadsheets/d/1Gpl6jkTg7sL4VDNimU"&amp;"m3S9Vi1i95esohXCF3wuKOE8c"", ""'CONSOLIDADO'!G5:AB""), 18, 0), ""-""),
""""
)"),"RDK-182")</f>
        <v>RDK-182</v>
      </c>
      <c r="V400" s="36" t="str">
        <f>IFERROR(__xludf.DUMMYFUNCTION(" IF
( VLOOKUP($G400,IMPORTRANGE(""https://docs.google.com/spreadsheets/d/1Gpl6jkTg7sL4VDNimUm3S9Vi1i95esohXCF3wuKOE8c"", ""'CONSOLIDADO'!G5:AB""), 10, 0) &lt;&gt; 0, 
IFERROR(VLOOKUP($G400,IMPORTRANGE(""https://docs.google.com/spreadsheets/d/1Gpl6jkTg7sL4VDNimU"&amp;"m3S9Vi1i95esohXCF3wuKOE8c"", ""'CONSOLIDADO'!G5:AB""), 19, 0), ""-""),
""""
)"),"https://www.electrogarline.com/linea-fria/refresqueras/refresquera-2-tolvas-18-litros-dakota.html?srsltid=AfmBOor2WRl3GAZXrUeN8pP4pwC8fbSVr31VOM06af_msJgrbsn-MXXI")</f>
        <v>https://www.electrogarline.com/linea-fria/refresqueras/refresquera-2-tolvas-18-litros-dakota.html?srsltid=AfmBOor2WRl3GAZXrUeN8pP4pwC8fbSVr31VOM06af_msJgrbsn-MXXI</v>
      </c>
      <c r="W400" s="37" t="str">
        <f>IFERROR(__xludf.DUMMYFUNCTION("IFERROR(VLOOKUP(G400,IMPORTRANGE(""https://docs.google.com/spreadsheets/d/12RxCea4e5ggM7QGn1XE3FbLQa_-QbCNdBi90OdPjRqg"", ""'Plan de Compras'!D4:Q""), 12, 0), ""NO ESTÁ EN REQ"")"),"Técnica")</f>
        <v>Técnica</v>
      </c>
      <c r="X400" s="37" t="str">
        <f>IFERROR(__xludf.DUMMYFUNCTION("IFERROR(VLOOKUP(G400,IMPORTRANGE(""https://docs.google.com/spreadsheets/d/12RxCea4e5ggM7QGn1XE3FbLQa_-QbCNdBi90OdPjRqg"", ""'Plan de Compras'!D4:Q""), 13, 0), """")"),"NACIONAL")</f>
        <v>NACIONAL</v>
      </c>
      <c r="Y400" s="32" t="str">
        <f>IFERROR(__xludf.DUMMYFUNCTION("IFERROR(VLOOKUP(G400,IMPORTRANGE(""https://docs.google.com/spreadsheets/d/12RxCea4e5ggM7QGn1XE3FbLQa_-QbCNdBi90OdPjRqg"", ""'Plan de Compras'!D4:Q""), 14, 0), """")"),"ANGIE")</f>
        <v>ANGIE</v>
      </c>
      <c r="Z400" s="38" t="str">
        <f>IFERROR(__xludf.DUMMYFUNCTION("IFERROR(VLOOKUP(G400,IMPORTRANGE(""https://docs.google.com/spreadsheets/d/12RxCea4e5ggM7QGn1XE3FbLQa_-QbCNdBi90OdPjRqg"", ""'Plan de Compras'!D4:Q""), 4, 0), """")"),"REFRESQUERA ENFRIADOR DE BEBIDAS")</f>
        <v>REFRESQUERA ENFRIADOR DE BEBIDAS</v>
      </c>
      <c r="AA400" s="38" t="str">
        <f t="shared" si="16"/>
        <v>TRUE</v>
      </c>
      <c r="AB400" s="37" t="str">
        <f>IFERROR(__xludf.DUMMYFUNCTION("IFERROR(IF(OR(C400=TRUE,C400=""""),VLOOKUP(G400,IMPORTRANGE(""https://docs.google.com/spreadsheets/d/1z9A1Wq-kKrhRNG5RS2a2fKpY1wIhSVz2ZNmP2mOl588/edit?usp=sharing"",""REQ VF!E4:H""),4,0),""NO APLICA""),""GENERAR REQ"")"),"GENERAR REQ")</f>
        <v>GENERAR REQ</v>
      </c>
      <c r="AC400" s="37" t="str">
        <f>IFERROR(__xludf.DUMMYFUNCTION("IFERROR(QUERY(IMPORTRANGE(""https://docs.google.com/spreadsheets/d/1z9A1Wq-kKrhRNG5RS2a2fKpY1wIhSVz2ZNmP2mOl588/edit?usp=sharing"",""REQ VF!E4:Q""),""SELECT Col10, Col11, Col12 WHERE Col1 = '""&amp;G400&amp;""'"",0),""NO APLICA"")"),"NO APLICA")</f>
        <v>NO APLICA</v>
      </c>
      <c r="AD400" s="37"/>
      <c r="AE400" s="37"/>
      <c r="AF400" s="8" t="s">
        <v>52</v>
      </c>
      <c r="AG400" s="13"/>
    </row>
    <row r="401">
      <c r="A401" s="26">
        <v>187.0</v>
      </c>
      <c r="B401" s="26" t="b">
        <v>1</v>
      </c>
      <c r="C401" s="26" t="b">
        <v>1</v>
      </c>
      <c r="D401" s="26" t="s">
        <v>35</v>
      </c>
      <c r="E401" s="26" t="s">
        <v>36</v>
      </c>
      <c r="F401" s="27" t="s">
        <v>1271</v>
      </c>
      <c r="G401" s="37" t="s">
        <v>1271</v>
      </c>
      <c r="H401" s="45" t="s">
        <v>1272</v>
      </c>
      <c r="I401" s="43">
        <f>SUMIFS('Hoja 10'!$O:$O,'Hoja 10'!$F:$F,$G401)</f>
        <v>4</v>
      </c>
      <c r="J401" s="26">
        <f>IFERROR(__xludf.DUMMYFUNCTION("VLOOKUP(G401,IMPORTRANGE(""https://docs.google.com/spreadsheets/d/12RxCea4e5ggM7QGn1XE3FbLQa_-QbCNdBi90OdPjRqg/edit?gid=1692403370#gid=1692403370"", ""'Plan de Compras'!D4:2432""), 8,0)"),4.0)</f>
        <v>4</v>
      </c>
      <c r="K401" s="26" t="str">
        <f t="shared" si="1"/>
        <v>SI</v>
      </c>
      <c r="L401" s="29" t="s">
        <v>39</v>
      </c>
      <c r="M401" s="30" t="s">
        <v>40</v>
      </c>
      <c r="N401" s="42"/>
      <c r="O401" s="32" t="str">
        <f>VLOOKUP($G401,'Hoja 10'!$F$4:$AA478, 19,0)</f>
        <v>LG</v>
      </c>
      <c r="P401" s="32" t="str">
        <f>VLOOKUP($G401,'Hoja 10'!$F$4:$AA478, 20,0)</f>
        <v>LG GT22BPPD No Frost 187L</v>
      </c>
      <c r="Q401" s="33" t="str">
        <f>VLOOKUP($G401,'Hoja 10'!$F$4:$AA478, 21,0)</f>
        <v>https://hiraoka.com.pe/refrigeradora-lg-gt22bppd-no-frost-187l?srsltid=AfmBOooLyaSV_z87Gv-0KPBcGt1a63-eSfCbVfR4SdN5Nlw-O3HmoYl9bandeja</v>
      </c>
      <c r="R401" s="30" t="s">
        <v>1273</v>
      </c>
      <c r="S401" s="34" t="b">
        <v>1</v>
      </c>
      <c r="T401" s="35" t="str">
        <f>IFERROR(__xludf.DUMMYFUNCTION(" IF
( VLOOKUP($G401,IMPORTRANGE(""https://docs.google.com/spreadsheets/d/1Gpl6jkTg7sL4VDNimUm3S9Vi1i95esohXCF3wuKOE8c"", ""'CONSOLIDADO'!G5:AB""), 10, 0) &lt;&gt; 0, 
IFERROR(VLOOKUP($G401,IMPORTRANGE(""https://docs.google.com/spreadsheets/d/1Gpl6jkTg7sL4VDNimU"&amp;"m3S9Vi1i95esohXCF3wuKOE8c"", ""'CONSOLIDADO'!G5:AB""), 17, 0), ""-""),
""""
)"),"LG")</f>
        <v>LG</v>
      </c>
      <c r="U401" s="35" t="str">
        <f>IFERROR(__xludf.DUMMYFUNCTION(" IF
( VLOOKUP($G401,IMPORTRANGE(""https://docs.google.com/spreadsheets/d/1Gpl6jkTg7sL4VDNimUm3S9Vi1i95esohXCF3wuKOE8c"", ""'CONSOLIDADO'!G5:AB""), 10, 0) &lt;&gt; 0, 
IFERROR(VLOOKUP($G401,IMPORTRANGE(""https://docs.google.com/spreadsheets/d/1Gpl6jkTg7sL4VDNimU"&amp;"m3S9Vi1i95esohXCF3wuKOE8c"", ""'CONSOLIDADO'!G5:AB""), 18, 0), ""-""),
""""
)"),"VT24BPY")</f>
        <v>VT24BPY</v>
      </c>
      <c r="V401" s="36" t="str">
        <f>IFERROR(__xludf.DUMMYFUNCTION(" IF
( VLOOKUP($G401,IMPORTRANGE(""https://docs.google.com/spreadsheets/d/1Gpl6jkTg7sL4VDNimUm3S9Vi1i95esohXCF3wuKOE8c"", ""'CONSOLIDADO'!G5:AB""), 10, 0) &lt;&gt; 0, 
IFERROR(VLOOKUP($G401,IMPORTRANGE(""https://docs.google.com/spreadsheets/d/1Gpl6jkTg7sL4VDNimU"&amp;"m3S9Vi1i95esohXCF3wuKOE8c"", ""'CONSOLIDADO'!G5:AB""), 19, 0), ""-""),
""""
)"),"https://hiraoka.com.pe/refrigeradora-lg-top-freezer-vt24bpy-doorcooling-241l?srsltid=AfmBOopCEKCEBOmsciuKRZoeEJjc1qtAQfBLYsl03ZdLv9-Yvkwz8ERB")</f>
        <v>https://hiraoka.com.pe/refrigeradora-lg-top-freezer-vt24bpy-doorcooling-241l?srsltid=AfmBOopCEKCEBOmsciuKRZoeEJjc1qtAQfBLYsl03ZdLv9-Yvkwz8ERB</v>
      </c>
      <c r="W401" s="37" t="str">
        <f>IFERROR(__xludf.DUMMYFUNCTION("IFERROR(VLOOKUP(G401,IMPORTRANGE(""https://docs.google.com/spreadsheets/d/12RxCea4e5ggM7QGn1XE3FbLQa_-QbCNdBi90OdPjRqg"", ""'Plan de Compras'!D4:Q""), 12, 0), ""NO ESTÁ EN REQ"")"),"Técnica")</f>
        <v>Técnica</v>
      </c>
      <c r="X401" s="37" t="str">
        <f>IFERROR(__xludf.DUMMYFUNCTION("IFERROR(VLOOKUP(G401,IMPORTRANGE(""https://docs.google.com/spreadsheets/d/12RxCea4e5ggM7QGn1XE3FbLQa_-QbCNdBi90OdPjRqg"", ""'Plan de Compras'!D4:Q""), 13, 0), """")"),"NACIONAL")</f>
        <v>NACIONAL</v>
      </c>
      <c r="Y401" s="32" t="str">
        <f>IFERROR(__xludf.DUMMYFUNCTION("IFERROR(VLOOKUP(G401,IMPORTRANGE(""https://docs.google.com/spreadsheets/d/12RxCea4e5ggM7QGn1XE3FbLQa_-QbCNdBi90OdPjRqg"", ""'Plan de Compras'!D4:Q""), 14, 0), """")"),"ANGIE")</f>
        <v>ANGIE</v>
      </c>
      <c r="Z401" s="38" t="str">
        <f>IFERROR(__xludf.DUMMYFUNCTION("IFERROR(VLOOKUP(G401,IMPORTRANGE(""https://docs.google.com/spreadsheets/d/12RxCea4e5ggM7QGn1XE3FbLQa_-QbCNdBi90OdPjRqg"", ""'Plan de Compras'!D4:Q""), 4, 0), """")"),"REFRIGERADORA (CAPACIDAD 187L)")</f>
        <v>REFRIGERADORA (CAPACIDAD 187L)</v>
      </c>
      <c r="AA401" s="38" t="str">
        <f t="shared" si="16"/>
        <v>TRUE</v>
      </c>
      <c r="AB401" s="37" t="str">
        <f>IFERROR(__xludf.DUMMYFUNCTION("IFERROR(IF(OR(C401=TRUE,C401=""""),VLOOKUP(G401,IMPORTRANGE(""https://docs.google.com/spreadsheets/d/1z9A1Wq-kKrhRNG5RS2a2fKpY1wIhSVz2ZNmP2mOl588/edit?usp=sharing"",""REQ VF!E4:H""),4,0),""NO APLICA""),""GENERAR REQ"")"),"GENERAR REQ")</f>
        <v>GENERAR REQ</v>
      </c>
      <c r="AC401" s="37" t="str">
        <f>IFERROR(__xludf.DUMMYFUNCTION("IFERROR(QUERY(IMPORTRANGE(""https://docs.google.com/spreadsheets/d/1z9A1Wq-kKrhRNG5RS2a2fKpY1wIhSVz2ZNmP2mOl588/edit?usp=sharing"",""REQ VF!E4:Q""),""SELECT Col10, Col11, Col12 WHERE Col1 = '""&amp;G401&amp;""'"",0),""NO APLICA"")"),"NO APLICA")</f>
        <v>NO APLICA</v>
      </c>
      <c r="AD401" s="37"/>
      <c r="AE401" s="37"/>
      <c r="AF401" s="13"/>
      <c r="AG401" s="13"/>
    </row>
    <row r="402">
      <c r="A402" s="26"/>
      <c r="B402" s="26"/>
      <c r="C402" s="26" t="b">
        <v>1</v>
      </c>
      <c r="D402" s="43" t="s">
        <v>42</v>
      </c>
      <c r="E402" s="40" t="s">
        <v>36</v>
      </c>
      <c r="F402" s="37" t="s">
        <v>1271</v>
      </c>
      <c r="G402" s="39" t="s">
        <v>1274</v>
      </c>
      <c r="H402" s="45" t="str">
        <f>UPPER("Bandejas de vidrio templado (3 UND)")</f>
        <v>BANDEJAS DE VIDRIO TEMPLADO (3 UND)</v>
      </c>
      <c r="I402" s="43">
        <f>1*I401</f>
        <v>4</v>
      </c>
      <c r="J402" s="26">
        <f>IFERROR(__xludf.DUMMYFUNCTION("VLOOKUP(G402,IMPORTRANGE(""https://docs.google.com/spreadsheets/d/12RxCea4e5ggM7QGn1XE3FbLQa_-QbCNdBi90OdPjRqg/edit?gid=1692403370#gid=1692403370"", ""'Plan de Compras'!D4:2432""), 8,0)"),4.0)</f>
        <v>4</v>
      </c>
      <c r="K402" s="26" t="str">
        <f t="shared" si="1"/>
        <v>SI</v>
      </c>
      <c r="L402" s="29"/>
      <c r="M402" s="61"/>
      <c r="N402" s="42"/>
      <c r="O402" s="61" t="s">
        <v>47</v>
      </c>
      <c r="P402" s="61" t="s">
        <v>1275</v>
      </c>
      <c r="Q402" s="55" t="s">
        <v>1276</v>
      </c>
      <c r="R402" s="61"/>
      <c r="S402" s="34" t="b">
        <v>1</v>
      </c>
      <c r="T402" s="61" t="s">
        <v>47</v>
      </c>
      <c r="U402" s="61" t="s">
        <v>1275</v>
      </c>
      <c r="V402" s="55" t="s">
        <v>1276</v>
      </c>
      <c r="W402" s="37" t="str">
        <f>IFERROR(__xludf.DUMMYFUNCTION("IFERROR(VLOOKUP(G402,IMPORTRANGE(""https://docs.google.com/spreadsheets/d/12RxCea4e5ggM7QGn1XE3FbLQa_-QbCNdBi90OdPjRqg"", ""'Plan de Compras'!D4:Q""), 12, 0), ""NO ESTÁ EN REQ"")"),"Técnica")</f>
        <v>Técnica</v>
      </c>
      <c r="X402" s="37" t="str">
        <f>IFERROR(__xludf.DUMMYFUNCTION("IFERROR(VLOOKUP(G402,IMPORTRANGE(""https://docs.google.com/spreadsheets/d/12RxCea4e5ggM7QGn1XE3FbLQa_-QbCNdBi90OdPjRqg"", ""'Plan de Compras'!D4:Q""), 13, 0), """")"),"NACIONAL")</f>
        <v>NACIONAL</v>
      </c>
      <c r="Y402" s="32" t="str">
        <f>IFERROR(__xludf.DUMMYFUNCTION("IFERROR(VLOOKUP(G402,IMPORTRANGE(""https://docs.google.com/spreadsheets/d/12RxCea4e5ggM7QGn1XE3FbLQa_-QbCNdBi90OdPjRqg"", ""'Plan de Compras'!D4:Q""), 14, 0), """")"),"ANGIE")</f>
        <v>ANGIE</v>
      </c>
      <c r="Z402" s="38" t="str">
        <f>IFERROR(__xludf.DUMMYFUNCTION("IFERROR(VLOOKUP(G402,IMPORTRANGE(""https://docs.google.com/spreadsheets/d/12RxCea4e5ggM7QGn1XE3FbLQa_-QbCNdBi90OdPjRqg"", ""'Plan de Compras'!D4:Q""), 4, 0), """")"),"BANDEJAS DE VIDRIO TEMPLADO (3 UND)")</f>
        <v>BANDEJAS DE VIDRIO TEMPLADO (3 UND)</v>
      </c>
      <c r="AA402" s="38" t="str">
        <f t="shared" si="16"/>
        <v>TRUE</v>
      </c>
      <c r="AB402" s="37" t="str">
        <f>IFERROR(__xludf.DUMMYFUNCTION("IFERROR(IF(OR(C402=TRUE,C402=""""),VLOOKUP(G402,IMPORTRANGE(""https://docs.google.com/spreadsheets/d/1z9A1Wq-kKrhRNG5RS2a2fKpY1wIhSVz2ZNmP2mOl588/edit?usp=sharing"",""REQ VF!E4:H""),4,0),""NO APLICA""),""GENERAR REQ"")"),"GENERAR REQ")</f>
        <v>GENERAR REQ</v>
      </c>
      <c r="AC402" s="37" t="str">
        <f>IFERROR(__xludf.DUMMYFUNCTION("IFERROR(QUERY(IMPORTRANGE(""https://docs.google.com/spreadsheets/d/1z9A1Wq-kKrhRNG5RS2a2fKpY1wIhSVz2ZNmP2mOl588/edit?usp=sharing"",""REQ VF!E4:Q""),""SELECT Col10, Col11, Col12 WHERE Col1 = '""&amp;G402&amp;""'"",0),""NO APLICA"")"),"NO APLICA")</f>
        <v>NO APLICA</v>
      </c>
      <c r="AD402" s="37"/>
      <c r="AE402" s="37"/>
      <c r="AF402" s="8"/>
      <c r="AG402" s="13"/>
    </row>
    <row r="403">
      <c r="A403" s="26">
        <v>188.0</v>
      </c>
      <c r="B403" s="26" t="b">
        <v>1</v>
      </c>
      <c r="C403" s="26" t="b">
        <v>1</v>
      </c>
      <c r="D403" s="26" t="s">
        <v>35</v>
      </c>
      <c r="E403" s="26" t="s">
        <v>36</v>
      </c>
      <c r="F403" s="27" t="s">
        <v>1277</v>
      </c>
      <c r="G403" s="37" t="s">
        <v>1277</v>
      </c>
      <c r="H403" s="45" t="s">
        <v>1278</v>
      </c>
      <c r="I403" s="43">
        <f>SUMIFS('Hoja 10'!$O:$O,'Hoja 10'!$F:$F,$G403)</f>
        <v>4</v>
      </c>
      <c r="J403" s="26">
        <f>IFERROR(__xludf.DUMMYFUNCTION("VLOOKUP(G403,IMPORTRANGE(""https://docs.google.com/spreadsheets/d/12RxCea4e5ggM7QGn1XE3FbLQa_-QbCNdBi90OdPjRqg/edit?gid=1692403370#gid=1692403370"", ""'Plan de Compras'!D4:2432""), 8,0)"),4.0)</f>
        <v>4</v>
      </c>
      <c r="K403" s="26" t="str">
        <f t="shared" si="1"/>
        <v>SI</v>
      </c>
      <c r="L403" s="29" t="s">
        <v>39</v>
      </c>
      <c r="M403" s="30" t="s">
        <v>40</v>
      </c>
      <c r="N403" s="42"/>
      <c r="O403" s="32" t="str">
        <f>VLOOKUP($G403,'Hoja 10'!$F$4:$AA478, 19,0)</f>
        <v>SAMSUNG</v>
      </c>
      <c r="P403" s="32" t="str">
        <f>VLOOKUP($G403,'Hoja 10'!$F$4:$AA478, 20,0)</f>
        <v>RT25FARADS8/PE</v>
      </c>
      <c r="Q403" s="33" t="str">
        <f>VLOOKUP($G403,'Hoja 10'!$F$4:$AA478, 21,0)</f>
        <v>https://www.falabella.com.pe/falabella-pe/product/146506074/REFRIGERADORA-SAMSUNG-RT25FARADS8-255Lt-SILVER/146506075?kid=shopp44fc&amp;gclsrc=aw.ds&amp;gad_source=1&amp;gad_campaignid=20114538213&amp;gbraid=0AAAAADs9MO2mPk77cdzCkqFHvUwFqJRv7&amp;gclid=Cj0KCQjwovPGBhDxARIsAFhgkwQtYMX2q9mOYzyto5cNkVdQXxEvtQLEwn_f5CFAEJtFdUhuDPjGNQUaAhOrEALw_wcB</v>
      </c>
      <c r="R403" s="30" t="s">
        <v>1279</v>
      </c>
      <c r="S403" s="34" t="b">
        <v>1</v>
      </c>
      <c r="T403" s="35" t="str">
        <f>IFERROR(__xludf.DUMMYFUNCTION(" IF
( VLOOKUP($G403,IMPORTRANGE(""https://docs.google.com/spreadsheets/d/1Gpl6jkTg7sL4VDNimUm3S9Vi1i95esohXCF3wuKOE8c"", ""'CONSOLIDADO'!G5:AB""), 10, 0) &lt;&gt; 0, 
IFERROR(VLOOKUP($G403,IMPORTRANGE(""https://docs.google.com/spreadsheets/d/1Gpl6jkTg7sL4VDNimU"&amp;"m3S9Vi1i95esohXCF3wuKOE8c"", ""'CONSOLIDADO'!G5:AB""), 17, 0), ""-""),
""""
)"),"SAMSUNG")</f>
        <v>SAMSUNG</v>
      </c>
      <c r="U403" s="35" t="str">
        <f>IFERROR(__xludf.DUMMYFUNCTION(" IF
( VLOOKUP($G403,IMPORTRANGE(""https://docs.google.com/spreadsheets/d/1Gpl6jkTg7sL4VDNimUm3S9Vi1i95esohXCF3wuKOE8c"", ""'CONSOLIDADO'!G5:AB""), 10, 0) &lt;&gt; 0, 
IFERROR(VLOOKUP($G403,IMPORTRANGE(""https://docs.google.com/spreadsheets/d/1Gpl6jkTg7sL4VDNimU"&amp;"m3S9Vi1i95esohXCF3wuKOE8c"", ""'CONSOLIDADO'!G5:AB""), 18, 0), ""-""),
""""
)"),"RT25FARADS8/PE")</f>
        <v>RT25FARADS8/PE</v>
      </c>
      <c r="V403" s="36" t="str">
        <f>IFERROR(__xludf.DUMMYFUNCTION(" IF
( VLOOKUP($G403,IMPORTRANGE(""https://docs.google.com/spreadsheets/d/1Gpl6jkTg7sL4VDNimUm3S9Vi1i95esohXCF3wuKOE8c"", ""'CONSOLIDADO'!G5:AB""), 10, 0) &lt;&gt; 0, 
IFERROR(VLOOKUP($G403,IMPORTRANGE(""https://docs.google.com/spreadsheets/d/1Gpl6jkTg7sL4VDNimU"&amp;"m3S9Vi1i95esohXCF3wuKOE8c"", ""'CONSOLIDADO'!G5:AB""), 19, 0), ""-""),
""""
)"),"https://www.samsung.com/pe/refrigerators/top-mount-freezer/255l-elegant-inox-rt25farads8-pe/")</f>
        <v>https://www.samsung.com/pe/refrigerators/top-mount-freezer/255l-elegant-inox-rt25farads8-pe/</v>
      </c>
      <c r="W403" s="37" t="str">
        <f>IFERROR(__xludf.DUMMYFUNCTION("IFERROR(VLOOKUP(G403,IMPORTRANGE(""https://docs.google.com/spreadsheets/d/12RxCea4e5ggM7QGn1XE3FbLQa_-QbCNdBi90OdPjRqg"", ""'Plan de Compras'!D4:Q""), 12, 0), ""NO ESTÁ EN REQ"")"),"Técnica")</f>
        <v>Técnica</v>
      </c>
      <c r="X403" s="37" t="str">
        <f>IFERROR(__xludf.DUMMYFUNCTION("IFERROR(VLOOKUP(G403,IMPORTRANGE(""https://docs.google.com/spreadsheets/d/12RxCea4e5ggM7QGn1XE3FbLQa_-QbCNdBi90OdPjRqg"", ""'Plan de Compras'!D4:Q""), 13, 0), """")"),"NACIONAL")</f>
        <v>NACIONAL</v>
      </c>
      <c r="Y403" s="32" t="str">
        <f>IFERROR(__xludf.DUMMYFUNCTION("IFERROR(VLOOKUP(G403,IMPORTRANGE(""https://docs.google.com/spreadsheets/d/12RxCea4e5ggM7QGn1XE3FbLQa_-QbCNdBi90OdPjRqg"", ""'Plan de Compras'!D4:Q""), 14, 0), """")"),"ANGIE")</f>
        <v>ANGIE</v>
      </c>
      <c r="Z403" s="38" t="str">
        <f>IFERROR(__xludf.DUMMYFUNCTION("IFERROR(VLOOKUP(G403,IMPORTRANGE(""https://docs.google.com/spreadsheets/d/12RxCea4e5ggM7QGn1XE3FbLQa_-QbCNdBi90OdPjRqg"", ""'Plan de Compras'!D4:Q""), 4, 0), """")"),"REFRIGERADORA (CAPACIDAD 255L)")</f>
        <v>REFRIGERADORA (CAPACIDAD 255L)</v>
      </c>
      <c r="AA403" s="38" t="str">
        <f t="shared" si="16"/>
        <v>TRUE</v>
      </c>
      <c r="AB403" s="37" t="str">
        <f>IFERROR(__xludf.DUMMYFUNCTION("IFERROR(IF(OR(C403=TRUE,C403=""""),VLOOKUP(G403,IMPORTRANGE(""https://docs.google.com/spreadsheets/d/1z9A1Wq-kKrhRNG5RS2a2fKpY1wIhSVz2ZNmP2mOl588/edit?usp=sharing"",""REQ VF!E4:H""),4,0),""NO APLICA""),""GENERAR REQ"")"),"GENERAR REQ")</f>
        <v>GENERAR REQ</v>
      </c>
      <c r="AC403" s="37" t="str">
        <f>IFERROR(__xludf.DUMMYFUNCTION("IFERROR(QUERY(IMPORTRANGE(""https://docs.google.com/spreadsheets/d/1z9A1Wq-kKrhRNG5RS2a2fKpY1wIhSVz2ZNmP2mOl588/edit?usp=sharing"",""REQ VF!E4:Q""),""SELECT Col10, Col11, Col12 WHERE Col1 = '""&amp;G403&amp;""'"",0),""NO APLICA"")"),"NO APLICA")</f>
        <v>NO APLICA</v>
      </c>
      <c r="AD403" s="37"/>
      <c r="AE403" s="37"/>
      <c r="AF403" s="8" t="s">
        <v>52</v>
      </c>
      <c r="AG403" s="13"/>
    </row>
    <row r="404">
      <c r="A404" s="26">
        <v>189.0</v>
      </c>
      <c r="B404" s="26" t="b">
        <v>1</v>
      </c>
      <c r="C404" s="26" t="b">
        <v>1</v>
      </c>
      <c r="D404" s="26" t="s">
        <v>35</v>
      </c>
      <c r="E404" s="26" t="s">
        <v>36</v>
      </c>
      <c r="F404" s="27" t="s">
        <v>1280</v>
      </c>
      <c r="G404" s="37" t="s">
        <v>1280</v>
      </c>
      <c r="H404" s="45" t="s">
        <v>1281</v>
      </c>
      <c r="I404" s="43">
        <f>SUMIFS('Hoja 10'!$O:$O,'Hoja 10'!$F:$F,$G404)</f>
        <v>1</v>
      </c>
      <c r="J404" s="26">
        <f>IFERROR(__xludf.DUMMYFUNCTION("VLOOKUP(G404,IMPORTRANGE(""https://docs.google.com/spreadsheets/d/12RxCea4e5ggM7QGn1XE3FbLQa_-QbCNdBi90OdPjRqg/edit?gid=1692403370#gid=1692403370"", ""'Plan de Compras'!D4:2432""), 8,0)"),1.0)</f>
        <v>1</v>
      </c>
      <c r="K404" s="26" t="str">
        <f t="shared" si="1"/>
        <v>SI</v>
      </c>
      <c r="L404" s="29" t="s">
        <v>77</v>
      </c>
      <c r="M404" s="30" t="s">
        <v>78</v>
      </c>
      <c r="N404" s="42"/>
      <c r="O404" s="32" t="str">
        <f>VLOOKUP($G404,'Hoja 10'!$F$4:$AA478, 19,0)</f>
        <v>LG</v>
      </c>
      <c r="P404" s="32" t="str">
        <f>VLOOKUP($G404,'Hoja 10'!$F$4:$AA478, 20,0)</f>
        <v>GS66SXN</v>
      </c>
      <c r="Q404" s="33" t="str">
        <f>VLOOKUP($G404,'Hoja 10'!$F$4:$AA478, 21,0)</f>
        <v>https://hiraoka.com.pe/refrigeradora-lg-side-by-side-gs66sxn-instaview-617l</v>
      </c>
      <c r="R404" s="30" t="s">
        <v>1282</v>
      </c>
      <c r="S404" s="34" t="b">
        <v>1</v>
      </c>
      <c r="T404" s="35" t="str">
        <f>IFERROR(__xludf.DUMMYFUNCTION(" IF
( VLOOKUP($G404,IMPORTRANGE(""https://docs.google.com/spreadsheets/d/1Gpl6jkTg7sL4VDNimUm3S9Vi1i95esohXCF3wuKOE8c"", ""'CONSOLIDADO'!G5:AB""), 10, 0) &lt;&gt; 0, 
IFERROR(VLOOKUP($G404,IMPORTRANGE(""https://docs.google.com/spreadsheets/d/1Gpl6jkTg7sL4VDNimU"&amp;"m3S9Vi1i95esohXCF3wuKOE8c"", ""'CONSOLIDADO'!G5:AB""), 17, 0), ""-""),
""""
)"),"LG ")</f>
        <v>LG </v>
      </c>
      <c r="U404" s="35" t="str">
        <f>IFERROR(__xludf.DUMMYFUNCTION(" IF
( VLOOKUP($G404,IMPORTRANGE(""https://docs.google.com/spreadsheets/d/1Gpl6jkTg7sL4VDNimUm3S9Vi1i95esohXCF3wuKOE8c"", ""'CONSOLIDADO'!G5:AB""), 10, 0) &lt;&gt; 0, 
IFERROR(VLOOKUP($G404,IMPORTRANGE(""https://docs.google.com/spreadsheets/d/1Gpl6jkTg7sL4VDNimU"&amp;"m3S9Vi1i95esohXCF3wuKOE8c"", ""'CONSOLIDADO'!G5:AB""), 18, 0), ""-""),
""""
)"),"GS66SXN")</f>
        <v>GS66SXN</v>
      </c>
      <c r="V404" s="36" t="str">
        <f>IFERROR(__xludf.DUMMYFUNCTION(" IF
( VLOOKUP($G404,IMPORTRANGE(""https://docs.google.com/spreadsheets/d/1Gpl6jkTg7sL4VDNimUm3S9Vi1i95esohXCF3wuKOE8c"", ""'CONSOLIDADO'!G5:AB""), 10, 0) &lt;&gt; 0, 
IFERROR(VLOOKUP($G404,IMPORTRANGE(""https://docs.google.com/spreadsheets/d/1Gpl6jkTg7sL4VDNimU"&amp;"m3S9Vi1i95esohXCF3wuKOE8c"", ""'CONSOLIDADO'!G5:AB""), 19, 0), ""-""),
""""
)"),"https://hiraoka.com.pe/refrigeradora-lg-side-by-side-gs66sxn-instaview-617l")</f>
        <v>https://hiraoka.com.pe/refrigeradora-lg-side-by-side-gs66sxn-instaview-617l</v>
      </c>
      <c r="W404" s="37" t="str">
        <f>IFERROR(__xludf.DUMMYFUNCTION("IFERROR(VLOOKUP(G404,IMPORTRANGE(""https://docs.google.com/spreadsheets/d/12RxCea4e5ggM7QGn1XE3FbLQa_-QbCNdBi90OdPjRqg"", ""'Plan de Compras'!D4:Q""), 12, 0), ""NO ESTÁ EN REQ"")"),"Técnica")</f>
        <v>Técnica</v>
      </c>
      <c r="X404" s="37" t="str">
        <f>IFERROR(__xludf.DUMMYFUNCTION("IFERROR(VLOOKUP(G404,IMPORTRANGE(""https://docs.google.com/spreadsheets/d/12RxCea4e5ggM7QGn1XE3FbLQa_-QbCNdBi90OdPjRqg"", ""'Plan de Compras'!D4:Q""), 13, 0), """")"),"NACIONAL")</f>
        <v>NACIONAL</v>
      </c>
      <c r="Y404" s="32" t="str">
        <f>IFERROR(__xludf.DUMMYFUNCTION("IFERROR(VLOOKUP(G404,IMPORTRANGE(""https://docs.google.com/spreadsheets/d/12RxCea4e5ggM7QGn1XE3FbLQa_-QbCNdBi90OdPjRqg"", ""'Plan de Compras'!D4:Q""), 14, 0), """")"),"ANGIE")</f>
        <v>ANGIE</v>
      </c>
      <c r="Z404" s="38" t="str">
        <f>IFERROR(__xludf.DUMMYFUNCTION("IFERROR(VLOOKUP(G404,IMPORTRANGE(""https://docs.google.com/spreadsheets/d/12RxCea4e5ggM7QGn1XE3FbLQa_-QbCNdBi90OdPjRqg"", ""'Plan de Compras'!D4:Q""), 4, 0), """")"),"REFRIGERADORA (CAPACIDAD 617L)")</f>
        <v>REFRIGERADORA (CAPACIDAD 617L)</v>
      </c>
      <c r="AA404" s="38" t="str">
        <f t="shared" si="16"/>
        <v>TRUE</v>
      </c>
      <c r="AB404" s="37" t="str">
        <f>IFERROR(__xludf.DUMMYFUNCTION("IFERROR(IF(OR(C404=TRUE,C404=""""),VLOOKUP(G404,IMPORTRANGE(""https://docs.google.com/spreadsheets/d/1z9A1Wq-kKrhRNG5RS2a2fKpY1wIhSVz2ZNmP2mOl588/edit?usp=sharing"",""REQ VF!E4:H""),4,0),""NO APLICA""),""GENERAR REQ"")"),"GENERAR REQ")</f>
        <v>GENERAR REQ</v>
      </c>
      <c r="AC404" s="37" t="str">
        <f>IFERROR(__xludf.DUMMYFUNCTION("IFERROR(QUERY(IMPORTRANGE(""https://docs.google.com/spreadsheets/d/1z9A1Wq-kKrhRNG5RS2a2fKpY1wIhSVz2ZNmP2mOl588/edit?usp=sharing"",""REQ VF!E4:Q""),""SELECT Col10, Col11, Col12 WHERE Col1 = '""&amp;G404&amp;""'"",0),""NO APLICA"")"),"NO APLICA")</f>
        <v>NO APLICA</v>
      </c>
      <c r="AD404" s="37"/>
      <c r="AE404" s="37"/>
      <c r="AF404" s="8" t="s">
        <v>52</v>
      </c>
      <c r="AG404" s="13"/>
    </row>
    <row r="405">
      <c r="A405" s="26">
        <v>190.0</v>
      </c>
      <c r="B405" s="26" t="b">
        <v>1</v>
      </c>
      <c r="C405" s="26" t="b">
        <v>1</v>
      </c>
      <c r="D405" s="26" t="s">
        <v>35</v>
      </c>
      <c r="E405" s="26" t="s">
        <v>36</v>
      </c>
      <c r="F405" s="27" t="s">
        <v>1283</v>
      </c>
      <c r="G405" s="37" t="s">
        <v>1283</v>
      </c>
      <c r="H405" s="45" t="s">
        <v>1284</v>
      </c>
      <c r="I405" s="43">
        <f>SUMIFS('Hoja 10'!$O:$O,'Hoja 10'!$F:$F,$G405)</f>
        <v>2</v>
      </c>
      <c r="J405" s="26">
        <f>IFERROR(__xludf.DUMMYFUNCTION("VLOOKUP(G405,IMPORTRANGE(""https://docs.google.com/spreadsheets/d/12RxCea4e5ggM7QGn1XE3FbLQa_-QbCNdBi90OdPjRqg/edit?gid=1692403370#gid=1692403370"", ""'Plan de Compras'!D4:2432""), 8,0)"),2.0)</f>
        <v>2</v>
      </c>
      <c r="K405" s="26" t="str">
        <f t="shared" si="1"/>
        <v>SI</v>
      </c>
      <c r="L405" s="29" t="s">
        <v>296</v>
      </c>
      <c r="M405" s="30" t="s">
        <v>297</v>
      </c>
      <c r="N405" s="42"/>
      <c r="O405" s="32" t="str">
        <f>VLOOKUP($G405,'Hoja 10'!$F$4:$AA478, 19,0)</f>
        <v>SCM</v>
      </c>
      <c r="P405" s="32" t="str">
        <f>VLOOKUP($G405,'Hoja 10'!$F$4:$AA478, 20,0)</f>
        <v>MINIMAX S 41 ES (230V MONOFÁSICA)</v>
      </c>
      <c r="Q405" s="33" t="str">
        <f>VLOOKUP($G405,'Hoja 10'!$F$4:$AA478, 21,0)</f>
        <v>https://www.makxilia.biz/es/producto/maquinas-transformacion-madera/regruesadora/cepilladora-scm-group-mod-minimax-s41-es-ce/</v>
      </c>
      <c r="R405" s="30" t="s">
        <v>1285</v>
      </c>
      <c r="S405" s="34" t="b">
        <v>1</v>
      </c>
      <c r="T405" s="35" t="str">
        <f>IFERROR(__xludf.DUMMYFUNCTION(" IF
( VLOOKUP($G405,IMPORTRANGE(""https://docs.google.com/spreadsheets/d/1Gpl6jkTg7sL4VDNimUm3S9Vi1i95esohXCF3wuKOE8c"", ""'CONSOLIDADO'!G5:AB""), 10, 0) &lt;&gt; 0, 
IFERROR(VLOOKUP($G405,IMPORTRANGE(""https://docs.google.com/spreadsheets/d/1Gpl6jkTg7sL4VDNimU"&amp;"m3S9Vi1i95esohXCF3wuKOE8c"", ""'CONSOLIDADO'!G5:AB""), 17, 0), ""-""),
""""
)"),"SCM")</f>
        <v>SCM</v>
      </c>
      <c r="U405" s="35" t="str">
        <f>IFERROR(__xludf.DUMMYFUNCTION(" IF
( VLOOKUP($G405,IMPORTRANGE(""https://docs.google.com/spreadsheets/d/1Gpl6jkTg7sL4VDNimUm3S9Vi1i95esohXCF3wuKOE8c"", ""'CONSOLIDADO'!G5:AB""), 10, 0) &lt;&gt; 0, 
IFERROR(VLOOKUP($G405,IMPORTRANGE(""https://docs.google.com/spreadsheets/d/1Gpl6jkTg7sL4VDNimU"&amp;"m3S9Vi1i95esohXCF3wuKOE8c"", ""'CONSOLIDADO'!G5:AB""), 18, 0), ""-""),
""""
)"),"MINIMAX S 41 ES (230V MONOFÁSICA)")</f>
        <v>MINIMAX S 41 ES (230V MONOFÁSICA)</v>
      </c>
      <c r="V405" s="36" t="str">
        <f>IFERROR(__xludf.DUMMYFUNCTION(" IF
( VLOOKUP($G405,IMPORTRANGE(""https://docs.google.com/spreadsheets/d/1Gpl6jkTg7sL4VDNimUm3S9Vi1i95esohXCF3wuKOE8c"", ""'CONSOLIDADO'!G5:AB""), 10, 0) &lt;&gt; 0, 
IFERROR(VLOOKUP($G405,IMPORTRANGE(""https://docs.google.com/spreadsheets/d/1Gpl6jkTg7sL4VDNimU"&amp;"m3S9Vi1i95esohXCF3wuKOE8c"", ""'CONSOLIDADO'!G5:AB""), 19, 0), ""-""),
""""
)"),"https://www.scmgroup.com/es_PE/scmwood/products/maquinas-para-carpinteria.c884/thicknessers-planers.973/minimax-s-41es.667")</f>
        <v>https://www.scmgroup.com/es_PE/scmwood/products/maquinas-para-carpinteria.c884/thicknessers-planers.973/minimax-s-41es.667</v>
      </c>
      <c r="W405" s="37" t="str">
        <f>IFERROR(__xludf.DUMMYFUNCTION("IFERROR(VLOOKUP(G405,IMPORTRANGE(""https://docs.google.com/spreadsheets/d/12RxCea4e5ggM7QGn1XE3FbLQa_-QbCNdBi90OdPjRqg"", ""'Plan de Compras'!D4:Q""), 12, 0), ""NO ESTÁ EN REQ"")"),"Técnica")</f>
        <v>Técnica</v>
      </c>
      <c r="X405" s="37" t="str">
        <f>IFERROR(__xludf.DUMMYFUNCTION("IFERROR(VLOOKUP(G405,IMPORTRANGE(""https://docs.google.com/spreadsheets/d/12RxCea4e5ggM7QGn1XE3FbLQa_-QbCNdBi90OdPjRqg"", ""'Plan de Compras'!D4:Q""), 13, 0), """")"),"INTERNACIONAL")</f>
        <v>INTERNACIONAL</v>
      </c>
      <c r="Y405" s="32" t="str">
        <f>IFERROR(__xludf.DUMMYFUNCTION("IFERROR(VLOOKUP(G405,IMPORTRANGE(""https://docs.google.com/spreadsheets/d/12RxCea4e5ggM7QGn1XE3FbLQa_-QbCNdBi90OdPjRqg"", ""'Plan de Compras'!D4:Q""), 14, 0), """")"),"JIMENA")</f>
        <v>JIMENA</v>
      </c>
      <c r="Z405" s="38" t="str">
        <f>IFERROR(__xludf.DUMMYFUNCTION("IFERROR(VLOOKUP(G405,IMPORTRANGE(""https://docs.google.com/spreadsheets/d/12RxCea4e5ggM7QGn1XE3FbLQa_-QbCNdBi90OdPjRqg"", ""'Plan de Compras'!D4:Q""), 4, 0), """")"),"REGRUESADORA (DE MESA)")</f>
        <v>REGRUESADORA (DE MESA)</v>
      </c>
      <c r="AA405" s="38" t="str">
        <f t="shared" si="16"/>
        <v>TRUE</v>
      </c>
      <c r="AB405" s="37" t="str">
        <f>IFERROR(__xludf.DUMMYFUNCTION("IFERROR(IF(OR(C405=TRUE,C405=""""),VLOOKUP(G405,IMPORTRANGE(""https://docs.google.com/spreadsheets/d/1z9A1Wq-kKrhRNG5RS2a2fKpY1wIhSVz2ZNmP2mOl588/edit?usp=sharing"",""REQ VF!E4:H""),4,0),""NO APLICA""),""GENERAR REQ"")"),"GENERAR REQ")</f>
        <v>GENERAR REQ</v>
      </c>
      <c r="AC405" s="37" t="str">
        <f>IFERROR(__xludf.DUMMYFUNCTION("IFERROR(QUERY(IMPORTRANGE(""https://docs.google.com/spreadsheets/d/1z9A1Wq-kKrhRNG5RS2a2fKpY1wIhSVz2ZNmP2mOl588/edit?usp=sharing"",""REQ VF!E4:Q""),""SELECT Col10, Col11, Col12 WHERE Col1 = '""&amp;G405&amp;""'"",0),""NO APLICA"")"),"NO APLICA")</f>
        <v>NO APLICA</v>
      </c>
      <c r="AD405" s="37"/>
      <c r="AE405" s="37"/>
      <c r="AF405" s="13"/>
      <c r="AG405" s="13"/>
    </row>
    <row r="406">
      <c r="A406" s="26">
        <v>191.0</v>
      </c>
      <c r="B406" s="26" t="b">
        <v>1</v>
      </c>
      <c r="C406" s="26" t="b">
        <v>1</v>
      </c>
      <c r="D406" s="26" t="s">
        <v>35</v>
      </c>
      <c r="E406" s="26" t="s">
        <v>36</v>
      </c>
      <c r="F406" s="27" t="s">
        <v>1286</v>
      </c>
      <c r="G406" s="37" t="s">
        <v>1286</v>
      </c>
      <c r="H406" s="45" t="s">
        <v>1287</v>
      </c>
      <c r="I406" s="43">
        <f>SUMIFS('Hoja 10'!$O:$O,'Hoja 10'!$F:$F,$G406)</f>
        <v>12</v>
      </c>
      <c r="J406" s="26">
        <f>IFERROR(__xludf.DUMMYFUNCTION("VLOOKUP(G406,IMPORTRANGE(""https://docs.google.com/spreadsheets/d/12RxCea4e5ggM7QGn1XE3FbLQa_-QbCNdBi90OdPjRqg/edit?gid=1692403370#gid=1692403370"", ""'Plan de Compras'!D4:2432""), 8,0)"),12.0)</f>
        <v>12</v>
      </c>
      <c r="K406" s="26" t="str">
        <f t="shared" si="1"/>
        <v>SI</v>
      </c>
      <c r="L406" s="29" t="s">
        <v>180</v>
      </c>
      <c r="M406" s="30" t="s">
        <v>181</v>
      </c>
      <c r="N406" s="42"/>
      <c r="O406" s="32" t="str">
        <f>VLOOKUP($G406,'Hoja 10'!$F$4:$AA478, 19,0)</f>
        <v>Siemens </v>
      </c>
      <c r="P406" s="32" t="str">
        <f>VLOOKUP($G406,'Hoja 10'!$F$4:$AA478, 20,0)</f>
        <v>6ED1052-1MD08-0BA2</v>
      </c>
      <c r="Q406" s="33" t="str">
        <f>VLOOKUP($G406,'Hoja 10'!$F$4:$AA478, 21,0)</f>
        <v>https://mall.industry.siemens.com/mall/es/ms/Catalog/Product/6ED1052-1MD08-0BA2</v>
      </c>
      <c r="R406" s="30" t="s">
        <v>1288</v>
      </c>
      <c r="S406" s="34" t="b">
        <v>1</v>
      </c>
      <c r="T406" s="35" t="str">
        <f>IFERROR(__xludf.DUMMYFUNCTION(" IF
( VLOOKUP($G406,IMPORTRANGE(""https://docs.google.com/spreadsheets/d/1Gpl6jkTg7sL4VDNimUm3S9Vi1i95esohXCF3wuKOE8c"", ""'CONSOLIDADO'!G5:AB""), 10, 0) &lt;&gt; 0, 
IFERROR(VLOOKUP($G406,IMPORTRANGE(""https://docs.google.com/spreadsheets/d/1Gpl6jkTg7sL4VDNimU"&amp;"m3S9Vi1i95esohXCF3wuKOE8c"", ""'CONSOLIDADO'!G5:AB""), 17, 0), ""-""),
""""
)"),"SIEMENS")</f>
        <v>SIEMENS</v>
      </c>
      <c r="U406" s="35" t="str">
        <f>IFERROR(__xludf.DUMMYFUNCTION(" IF
( VLOOKUP($G406,IMPORTRANGE(""https://docs.google.com/spreadsheets/d/1Gpl6jkTg7sL4VDNimUm3S9Vi1i95esohXCF3wuKOE8c"", ""'CONSOLIDADO'!G5:AB""), 10, 0) &lt;&gt; 0, 
IFERROR(VLOOKUP($G406,IMPORTRANGE(""https://docs.google.com/spreadsheets/d/1Gpl6jkTg7sL4VDNimU"&amp;"m3S9Vi1i95esohXCF3wuKOE8c"", ""'CONSOLIDADO'!G5:AB""), 18, 0), ""-""),
""""
)"),"6ED1052-1MD08-0BA2")</f>
        <v>6ED1052-1MD08-0BA2</v>
      </c>
      <c r="V406" s="36" t="str">
        <f>IFERROR(__xludf.DUMMYFUNCTION(" IF
( VLOOKUP($G406,IMPORTRANGE(""https://docs.google.com/spreadsheets/d/1Gpl6jkTg7sL4VDNimUm3S9Vi1i95esohXCF3wuKOE8c"", ""'CONSOLIDADO'!G5:AB""), 10, 0) &lt;&gt; 0, 
IFERROR(VLOOKUP($G406,IMPORTRANGE(""https://docs.google.com/spreadsheets/d/1Gpl6jkTg7sL4VDNimU"&amp;"m3S9Vi1i95esohXCF3wuKOE8c"", ""'CONSOLIDADO'!G5:AB""), 19, 0), ""-""),
""""
)"),"https://sieportal.siemens.com/es-ww/products-services/detail/6ED1052-1MD08-0BA2")</f>
        <v>https://sieportal.siemens.com/es-ww/products-services/detail/6ED1052-1MD08-0BA2</v>
      </c>
      <c r="W406" s="37" t="str">
        <f>IFERROR(__xludf.DUMMYFUNCTION("IFERROR(VLOOKUP(G406,IMPORTRANGE(""https://docs.google.com/spreadsheets/d/12RxCea4e5ggM7QGn1XE3FbLQa_-QbCNdBi90OdPjRqg"", ""'Plan de Compras'!D4:Q""), 12, 0), ""NO ESTÁ EN REQ"")"),"Técnica")</f>
        <v>Técnica</v>
      </c>
      <c r="X406" s="37" t="str">
        <f>IFERROR(__xludf.DUMMYFUNCTION("IFERROR(VLOOKUP(G406,IMPORTRANGE(""https://docs.google.com/spreadsheets/d/12RxCea4e5ggM7QGn1XE3FbLQa_-QbCNdBi90OdPjRqg"", ""'Plan de Compras'!D4:Q""), 13, 0), """")"),"INTERNACIONAL")</f>
        <v>INTERNACIONAL</v>
      </c>
      <c r="Y406" s="32" t="str">
        <f>IFERROR(__xludf.DUMMYFUNCTION("IFERROR(VLOOKUP(G406,IMPORTRANGE(""https://docs.google.com/spreadsheets/d/12RxCea4e5ggM7QGn1XE3FbLQa_-QbCNdBi90OdPjRqg"", ""'Plan de Compras'!D4:Q""), 14, 0), """")"),"GIANFRANCO")</f>
        <v>GIANFRANCO</v>
      </c>
      <c r="Z406" s="38" t="str">
        <f>IFERROR(__xludf.DUMMYFUNCTION("IFERROR(VLOOKUP(G406,IMPORTRANGE(""https://docs.google.com/spreadsheets/d/12RxCea4e5ggM7QGn1XE3FbLQa_-QbCNdBi90OdPjRqg"", ""'Plan de Compras'!D4:Q""), 4, 0), """")"),"RELÉ PROGRAMABLE")</f>
        <v>RELÉ PROGRAMABLE</v>
      </c>
      <c r="AA406" s="38" t="str">
        <f t="shared" si="16"/>
        <v>TRUE</v>
      </c>
      <c r="AB406" s="37" t="str">
        <f>IFERROR(__xludf.DUMMYFUNCTION("IFERROR(IF(OR(C406=TRUE,C406=""""),VLOOKUP(G406,IMPORTRANGE(""https://docs.google.com/spreadsheets/d/1z9A1Wq-kKrhRNG5RS2a2fKpY1wIhSVz2ZNmP2mOl588/edit?usp=sharing"",""REQ VF!E4:H""),4,0),""NO APLICA""),""GENERAR REQ"")"),"GENERAR REQ")</f>
        <v>GENERAR REQ</v>
      </c>
      <c r="AC406" s="37" t="str">
        <f>IFERROR(__xludf.DUMMYFUNCTION("IFERROR(QUERY(IMPORTRANGE(""https://docs.google.com/spreadsheets/d/1z9A1Wq-kKrhRNG5RS2a2fKpY1wIhSVz2ZNmP2mOl588/edit?usp=sharing"",""REQ VF!E4:Q""),""SELECT Col10, Col11, Col12 WHERE Col1 = '""&amp;G406&amp;""'"",0),""NO APLICA"")"),"NO APLICA")</f>
        <v>NO APLICA</v>
      </c>
      <c r="AD406" s="37"/>
      <c r="AE406" s="37"/>
      <c r="AF406" s="8" t="s">
        <v>52</v>
      </c>
      <c r="AG406" s="13"/>
    </row>
    <row r="407" ht="23.25" customHeight="1">
      <c r="A407" s="26">
        <v>192.0</v>
      </c>
      <c r="B407" s="26" t="b">
        <v>1</v>
      </c>
      <c r="C407" s="26" t="b">
        <v>1</v>
      </c>
      <c r="D407" s="26" t="s">
        <v>35</v>
      </c>
      <c r="E407" s="26" t="s">
        <v>36</v>
      </c>
      <c r="F407" s="27" t="s">
        <v>1289</v>
      </c>
      <c r="G407" s="37" t="s">
        <v>1289</v>
      </c>
      <c r="H407" s="45" t="s">
        <v>1290</v>
      </c>
      <c r="I407" s="43">
        <f>SUMIFS('Hoja 10'!$O:$O,'Hoja 10'!$F:$F,$G407)</f>
        <v>2</v>
      </c>
      <c r="J407" s="26">
        <f>IFERROR(__xludf.DUMMYFUNCTION("VLOOKUP(G407,IMPORTRANGE(""https://docs.google.com/spreadsheets/d/12RxCea4e5ggM7QGn1XE3FbLQa_-QbCNdBi90OdPjRqg/edit?gid=1692403370#gid=1692403370"", ""'Plan de Compras'!D4:2432""), 8,0)"),2.0)</f>
        <v>2</v>
      </c>
      <c r="K407" s="26" t="str">
        <f t="shared" si="1"/>
        <v>SI</v>
      </c>
      <c r="L407" s="29" t="s">
        <v>296</v>
      </c>
      <c r="M407" s="30" t="s">
        <v>297</v>
      </c>
      <c r="N407" s="42"/>
      <c r="O407" s="32" t="str">
        <f>VLOOKUP($G407,'Hoja 10'!$F$4:$AA478, 19,0)</f>
        <v>BOSCH</v>
      </c>
      <c r="P407" s="32" t="str">
        <f>VLOOKUP($G407,'Hoja 10'!$F$4:$AA478, 20,0)</f>
        <v>GOF 1600 CE</v>
      </c>
      <c r="Q407" s="33" t="str">
        <f>VLOOKUP($G407,'Hoja 10'!$F$4:$AA478, 21,0)</f>
        <v>https://www.mercadolibre.cl/fresadora-bosch-gof-1600-ce-1600w-guia-llave/p/MLC13832787</v>
      </c>
      <c r="R407" s="30" t="s">
        <v>1291</v>
      </c>
      <c r="S407" s="34" t="b">
        <v>1</v>
      </c>
      <c r="T407" s="35" t="str">
        <f>IFERROR(__xludf.DUMMYFUNCTION(" IF
( VLOOKUP($G407,IMPORTRANGE(""https://docs.google.com/spreadsheets/d/1Gpl6jkTg7sL4VDNimUm3S9Vi1i95esohXCF3wuKOE8c"", ""'CONSOLIDADO'!G5:AB""), 10, 0) &lt;&gt; 0, 
IFERROR(VLOOKUP($G407,IMPORTRANGE(""https://docs.google.com/spreadsheets/d/1Gpl6jkTg7sL4VDNimU"&amp;"m3S9Vi1i95esohXCF3wuKOE8c"", ""'CONSOLIDADO'!G5:AB""), 17, 0), ""-""),
""""
)"),"BOSCH")</f>
        <v>BOSCH</v>
      </c>
      <c r="U407" s="35" t="str">
        <f>IFERROR(__xludf.DUMMYFUNCTION(" IF
( VLOOKUP($G407,IMPORTRANGE(""https://docs.google.com/spreadsheets/d/1Gpl6jkTg7sL4VDNimUm3S9Vi1i95esohXCF3wuKOE8c"", ""'CONSOLIDADO'!G5:AB""), 10, 0) &lt;&gt; 0, 
IFERROR(VLOOKUP($G407,IMPORTRANGE(""https://docs.google.com/spreadsheets/d/1Gpl6jkTg7sL4VDNimU"&amp;"m3S9Vi1i95esohXCF3wuKOE8c"", ""'CONSOLIDADO'!G5:AB""), 18, 0), ""-""),
""""
)"),"GOF 1600 CE")</f>
        <v>GOF 1600 CE</v>
      </c>
      <c r="V407" s="36" t="str">
        <f>IFERROR(__xludf.DUMMYFUNCTION(" IF
( VLOOKUP($G407,IMPORTRANGE(""https://docs.google.com/spreadsheets/d/1Gpl6jkTg7sL4VDNimUm3S9Vi1i95esohXCF3wuKOE8c"", ""'CONSOLIDADO'!G5:AB""), 10, 0) &lt;&gt; 0, 
IFERROR(VLOOKUP($G407,IMPORTRANGE(""https://docs.google.com/spreadsheets/d/1Gpl6jkTg7sL4VDNimU"&amp;"m3S9Vi1i95esohXCF3wuKOE8c"", ""'CONSOLIDADO'!G5:AB""), 19, 0), ""-""),
""""
)"),"https://www.bosch-professional.com/pe/es/products/gof-1600-ce-06016240E0")</f>
        <v>https://www.bosch-professional.com/pe/es/products/gof-1600-ce-06016240E0</v>
      </c>
      <c r="W407" s="37" t="str">
        <f>IFERROR(__xludf.DUMMYFUNCTION("IFERROR(VLOOKUP(G407,IMPORTRANGE(""https://docs.google.com/spreadsheets/d/12RxCea4e5ggM7QGn1XE3FbLQa_-QbCNdBi90OdPjRqg"", ""'Plan de Compras'!D4:Q""), 12, 0), ""NO ESTÁ EN REQ"")"),"Técnica")</f>
        <v>Técnica</v>
      </c>
      <c r="X407" s="37" t="str">
        <f>IFERROR(__xludf.DUMMYFUNCTION("IFERROR(VLOOKUP(G407,IMPORTRANGE(""https://docs.google.com/spreadsheets/d/12RxCea4e5ggM7QGn1XE3FbLQa_-QbCNdBi90OdPjRqg"", ""'Plan de Compras'!D4:Q""), 13, 0), """")"),"NACIONAL")</f>
        <v>NACIONAL</v>
      </c>
      <c r="Y407" s="32" t="str">
        <f>IFERROR(__xludf.DUMMYFUNCTION("IFERROR(VLOOKUP(G407,IMPORTRANGE(""https://docs.google.com/spreadsheets/d/12RxCea4e5ggM7QGn1XE3FbLQa_-QbCNdBi90OdPjRqg"", ""'Plan de Compras'!D4:Q""), 14, 0), """")"),"DIANA")</f>
        <v>DIANA</v>
      </c>
      <c r="Z407" s="38" t="str">
        <f>IFERROR(__xludf.DUMMYFUNCTION("IFERROR(VLOOKUP(G407,IMPORTRANGE(""https://docs.google.com/spreadsheets/d/12RxCea4e5ggM7QGn1XE3FbLQa_-QbCNdBi90OdPjRqg"", ""'Plan de Compras'!D4:Q""), 4, 0), """")"),"RUTEADORA  PORTATIL")</f>
        <v>RUTEADORA  PORTATIL</v>
      </c>
      <c r="AA407" s="38" t="str">
        <f t="shared" si="16"/>
        <v>TRUE</v>
      </c>
      <c r="AB407" s="37" t="str">
        <f>IFERROR(__xludf.DUMMYFUNCTION("IFERROR(IF(OR(C407=TRUE,C407=""""),VLOOKUP(G407,IMPORTRANGE(""https://docs.google.com/spreadsheets/d/1z9A1Wq-kKrhRNG5RS2a2fKpY1wIhSVz2ZNmP2mOl588/edit?usp=sharing"",""REQ VF!E4:H""),4,0),""NO APLICA""),""GENERAR REQ"")"),"GENERAR REQ")</f>
        <v>GENERAR REQ</v>
      </c>
      <c r="AC407" s="37" t="str">
        <f>IFERROR(__xludf.DUMMYFUNCTION("IFERROR(QUERY(IMPORTRANGE(""https://docs.google.com/spreadsheets/d/1z9A1Wq-kKrhRNG5RS2a2fKpY1wIhSVz2ZNmP2mOl588/edit?usp=sharing"",""REQ VF!E4:Q""),""SELECT Col10, Col11, Col12 WHERE Col1 = '""&amp;G407&amp;""'"",0),""NO APLICA"")"),"NO APLICA")</f>
        <v>NO APLICA</v>
      </c>
      <c r="AD407" s="37"/>
      <c r="AE407" s="37"/>
      <c r="AF407" s="8" t="s">
        <v>52</v>
      </c>
      <c r="AG407" s="13"/>
    </row>
    <row r="408">
      <c r="A408" s="26"/>
      <c r="B408" s="26"/>
      <c r="C408" s="26" t="b">
        <v>1</v>
      </c>
      <c r="D408" s="26" t="s">
        <v>42</v>
      </c>
      <c r="E408" s="26" t="s">
        <v>36</v>
      </c>
      <c r="F408" s="59" t="s">
        <v>1289</v>
      </c>
      <c r="G408" s="39" t="s">
        <v>1292</v>
      </c>
      <c r="H408" s="40" t="s">
        <v>1293</v>
      </c>
      <c r="I408" s="43">
        <f>$I$407</f>
        <v>2</v>
      </c>
      <c r="J408" s="26">
        <f>IFERROR(__xludf.DUMMYFUNCTION("VLOOKUP(G408,IMPORTRANGE(""https://docs.google.com/spreadsheets/d/12RxCea4e5ggM7QGn1XE3FbLQa_-QbCNdBi90OdPjRqg/edit?gid=1692403370#gid=1692403370"", ""'Plan de Compras'!D4:2432""), 8,0)"),2.0)</f>
        <v>2</v>
      </c>
      <c r="K408" s="26" t="str">
        <f t="shared" si="1"/>
        <v>SI</v>
      </c>
      <c r="L408" s="26"/>
      <c r="M408" s="47"/>
      <c r="N408" s="28" t="s">
        <v>1294</v>
      </c>
      <c r="O408" s="42"/>
      <c r="P408" s="42"/>
      <c r="Q408" s="55" t="s">
        <v>1295</v>
      </c>
      <c r="R408" s="47"/>
      <c r="S408" s="34" t="b">
        <v>1</v>
      </c>
      <c r="T408" s="35" t="s">
        <v>1296</v>
      </c>
      <c r="U408" s="35" t="s">
        <v>1297</v>
      </c>
      <c r="V408" s="58" t="s">
        <v>1295</v>
      </c>
      <c r="W408" s="37" t="str">
        <f>IFERROR(__xludf.DUMMYFUNCTION("IFERROR(VLOOKUP(G408,IMPORTRANGE(""https://docs.google.com/spreadsheets/d/12RxCea4e5ggM7QGn1XE3FbLQa_-QbCNdBi90OdPjRqg"", ""'Plan de Compras'!D4:Q""), 12, 0), ""NO ESTÁ EN REQ"")"),"Técnica")</f>
        <v>Técnica</v>
      </c>
      <c r="X408" s="37" t="str">
        <f>IFERROR(__xludf.DUMMYFUNCTION("IFERROR(VLOOKUP(G408,IMPORTRANGE(""https://docs.google.com/spreadsheets/d/12RxCea4e5ggM7QGn1XE3FbLQa_-QbCNdBi90OdPjRqg"", ""'Plan de Compras'!D4:Q""), 13, 0), """")"),"NACIONAL")</f>
        <v>NACIONAL</v>
      </c>
      <c r="Y408" s="32" t="str">
        <f>IFERROR(__xludf.DUMMYFUNCTION("IFERROR(VLOOKUP(G408,IMPORTRANGE(""https://docs.google.com/spreadsheets/d/12RxCea4e5ggM7QGn1XE3FbLQa_-QbCNdBi90OdPjRqg"", ""'Plan de Compras'!D4:Q""), 14, 0), """")"),"DIANA")</f>
        <v>DIANA</v>
      </c>
      <c r="Z408" s="38" t="str">
        <f>IFERROR(__xludf.DUMMYFUNCTION("IFERROR(VLOOKUP(G408,IMPORTRANGE(""https://docs.google.com/spreadsheets/d/12RxCea4e5ggM7QGn1XE3FbLQa_-QbCNdBi90OdPjRqg"", ""'Plan de Compras'!D4:Q""), 4, 0), """")"),"JUEGO DE 12 FRESAS CON INSERCIÓN DE 8 MM (1 UND)")</f>
        <v>JUEGO DE 12 FRESAS CON INSERCIÓN DE 8 MM (1 UND)</v>
      </c>
      <c r="AA408" s="38" t="str">
        <f t="shared" si="16"/>
        <v>TRUE</v>
      </c>
      <c r="AB408" s="37" t="str">
        <f>IFERROR(__xludf.DUMMYFUNCTION("IFERROR(IF(OR(C408=TRUE,C408=""""),VLOOKUP(G408,IMPORTRANGE(""https://docs.google.com/spreadsheets/d/1z9A1Wq-kKrhRNG5RS2a2fKpY1wIhSVz2ZNmP2mOl588/edit?usp=sharing"",""REQ VF!E4:H""),4,0),""NO APLICA""),""GENERAR REQ"")"),"GENERAR REQ")</f>
        <v>GENERAR REQ</v>
      </c>
      <c r="AC408" s="37" t="str">
        <f>IFERROR(__xludf.DUMMYFUNCTION("IFERROR(QUERY(IMPORTRANGE(""https://docs.google.com/spreadsheets/d/1z9A1Wq-kKrhRNG5RS2a2fKpY1wIhSVz2ZNmP2mOl588/edit?usp=sharing"",""REQ VF!E4:Q""),""SELECT Col10, Col11, Col12 WHERE Col1 = '""&amp;G408&amp;""'"",0),""NO APLICA"")"),"NO APLICA")</f>
        <v>NO APLICA</v>
      </c>
      <c r="AD408" s="37"/>
      <c r="AE408" s="37"/>
      <c r="AF408" s="13"/>
      <c r="AG408" s="13"/>
    </row>
    <row r="409">
      <c r="A409" s="26">
        <v>193.0</v>
      </c>
      <c r="B409" s="26" t="b">
        <v>1</v>
      </c>
      <c r="C409" s="26" t="b">
        <v>1</v>
      </c>
      <c r="D409" s="48" t="s">
        <v>35</v>
      </c>
      <c r="E409" s="48" t="s">
        <v>36</v>
      </c>
      <c r="F409" s="96" t="s">
        <v>1298</v>
      </c>
      <c r="G409" s="107" t="s">
        <v>1298</v>
      </c>
      <c r="H409" s="108" t="s">
        <v>1299</v>
      </c>
      <c r="I409" s="43">
        <f>SUMIFS('Hoja 10'!$O:$O,'Hoja 10'!$F:$F,$G409)</f>
        <v>2</v>
      </c>
      <c r="J409" s="26">
        <f>IFERROR(__xludf.DUMMYFUNCTION("VLOOKUP(G409,IMPORTRANGE(""https://docs.google.com/spreadsheets/d/12RxCea4e5ggM7QGn1XE3FbLQa_-QbCNdBi90OdPjRqg/edit?gid=1692403370#gid=1692403370"", ""'Plan de Compras'!D4:2432""), 8,0)"),2.0)</f>
        <v>2</v>
      </c>
      <c r="K409" s="26" t="str">
        <f t="shared" si="1"/>
        <v>SI</v>
      </c>
      <c r="L409" s="29" t="s">
        <v>296</v>
      </c>
      <c r="M409" s="30" t="s">
        <v>297</v>
      </c>
      <c r="N409" s="51"/>
      <c r="O409" s="32" t="str">
        <f>VLOOKUP($G409,'Hoja 10'!$F$4:$AA478, 19,0)</f>
        <v>OPENBUILDS</v>
      </c>
      <c r="P409" s="32" t="str">
        <f>VLOOKUP($G409,'Hoja 10'!$F$4:$AA478, 20,0)</f>
        <v>LEAD 1010</v>
      </c>
      <c r="Q409" s="33" t="str">
        <f>VLOOKUP($G409,'Hoja 10'!$F$4:$AA478, 21,0)</f>
        <v>https://us.openbuilds.com/lead-cnc-machine-1010-40-x-40/</v>
      </c>
      <c r="R409" s="30" t="s">
        <v>1300</v>
      </c>
      <c r="S409" s="34" t="b">
        <v>1</v>
      </c>
      <c r="T409" s="35" t="str">
        <f>IFERROR(__xludf.DUMMYFUNCTION(" IF
( VLOOKUP($G409,IMPORTRANGE(""https://docs.google.com/spreadsheets/d/1Gpl6jkTg7sL4VDNimUm3S9Vi1i95esohXCF3wuKOE8c"", ""'CONSOLIDADO'!G5:AB""), 10, 0) &lt;&gt; 0, 
IFERROR(VLOOKUP($G409,IMPORTRANGE(""https://docs.google.com/spreadsheets/d/1Gpl6jkTg7sL4VDNimU"&amp;"m3S9Vi1i95esohXCF3wuKOE8c"", ""'CONSOLIDADO'!G5:AB""), 17, 0), ""-""),
""""
)"),"CARBIDE 3D")</f>
        <v>CARBIDE 3D</v>
      </c>
      <c r="U409" s="35" t="str">
        <f>IFERROR(__xludf.DUMMYFUNCTION(" IF
( VLOOKUP($G409,IMPORTRANGE(""https://docs.google.com/spreadsheets/d/1Gpl6jkTg7sL4VDNimUm3S9Vi1i95esohXCF3wuKOE8c"", ""'CONSOLIDADO'!G5:AB""), 10, 0) &lt;&gt; 0, 
IFERROR(VLOOKUP($G409,IMPORTRANGE(""https://docs.google.com/spreadsheets/d/1Gpl6jkTg7sL4VDNimU"&amp;"m3S9Vi1i95esohXCF3wuKOE8c"", ""'CONSOLIDADO'!G5:AB""), 18, 0), ""-""),
""""
)"),"SHAPEOKO 4 XXL")</f>
        <v>SHAPEOKO 4 XXL</v>
      </c>
      <c r="V409" s="36" t="str">
        <f>IFERROR(__xludf.DUMMYFUNCTION(" IF
( VLOOKUP($G409,IMPORTRANGE(""https://docs.google.com/spreadsheets/d/1Gpl6jkTg7sL4VDNimUm3S9Vi1i95esohXCF3wuKOE8c"", ""'CONSOLIDADO'!G5:AB""), 10, 0) &lt;&gt; 0, 
IFERROR(VLOOKUP($G409,IMPORTRANGE(""https://docs.google.com/spreadsheets/d/1Gpl6jkTg7sL4VDNimU"&amp;"m3S9Vi1i95esohXCF3wuKOE8c"", ""'CONSOLIDADO'!G5:AB""), 19, 0), ""-""),
""""
)"),"https://shop.carbide3d.com/products/shapeoko4?variant=33051555987517")</f>
        <v>https://shop.carbide3d.com/products/shapeoko4?variant=33051555987517</v>
      </c>
      <c r="W409" s="37" t="str">
        <f>IFERROR(__xludf.DUMMYFUNCTION("IFERROR(VLOOKUP(G409,IMPORTRANGE(""https://docs.google.com/spreadsheets/d/12RxCea4e5ggM7QGn1XE3FbLQa_-QbCNdBi90OdPjRqg"", ""'Plan de Compras'!D4:Q""), 12, 0), ""NO ESTÁ EN REQ"")"),"Técnica")</f>
        <v>Técnica</v>
      </c>
      <c r="X409" s="37" t="str">
        <f>IFERROR(__xludf.DUMMYFUNCTION("IFERROR(VLOOKUP(G409,IMPORTRANGE(""https://docs.google.com/spreadsheets/d/12RxCea4e5ggM7QGn1XE3FbLQa_-QbCNdBi90OdPjRqg"", ""'Plan de Compras'!D4:Q""), 13, 0), """")"),"INTERNACIONAL")</f>
        <v>INTERNACIONAL</v>
      </c>
      <c r="Y409" s="32" t="str">
        <f>IFERROR(__xludf.DUMMYFUNCTION("IFERROR(VLOOKUP(G409,IMPORTRANGE(""https://docs.google.com/spreadsheets/d/12RxCea4e5ggM7QGn1XE3FbLQa_-QbCNdBi90OdPjRqg"", ""'Plan de Compras'!D4:Q""), 14, 0), """")"),"JIMENA")</f>
        <v>JIMENA</v>
      </c>
      <c r="Z409" s="38" t="str">
        <f>IFERROR(__xludf.DUMMYFUNCTION("IFERROR(VLOOKUP(G409,IMPORTRANGE(""https://docs.google.com/spreadsheets/d/12RxCea4e5ggM7QGn1XE3FbLQa_-QbCNdBi90OdPjRqg"", ""'Plan de Compras'!D4:Q""), 4, 0), """")"),"RUTEADORA CNC")</f>
        <v>RUTEADORA CNC</v>
      </c>
      <c r="AA409" s="38" t="str">
        <f t="shared" si="16"/>
        <v>TRUE</v>
      </c>
      <c r="AB409" s="37" t="str">
        <f>IFERROR(__xludf.DUMMYFUNCTION("IFERROR(IF(OR(C409=TRUE,C409=""""),VLOOKUP(G409,IMPORTRANGE(""https://docs.google.com/spreadsheets/d/1z9A1Wq-kKrhRNG5RS2a2fKpY1wIhSVz2ZNmP2mOl588/edit?usp=sharing"",""REQ VF!E4:H""),4,0),""NO APLICA""),""GENERAR REQ"")"),"GENERAR REQ")</f>
        <v>GENERAR REQ</v>
      </c>
      <c r="AC409" s="37" t="str">
        <f>IFERROR(__xludf.DUMMYFUNCTION("IFERROR(QUERY(IMPORTRANGE(""https://docs.google.com/spreadsheets/d/1z9A1Wq-kKrhRNG5RS2a2fKpY1wIhSVz2ZNmP2mOl588/edit?usp=sharing"",""REQ VF!E4:Q""),""SELECT Col10, Col11, Col12 WHERE Col1 = '""&amp;G409&amp;""'"",0),""NO APLICA"")"),"NO APLICA")</f>
        <v>NO APLICA</v>
      </c>
      <c r="AD409" s="37"/>
      <c r="AE409" s="37"/>
      <c r="AF409" s="13"/>
      <c r="AG409" s="13"/>
    </row>
    <row r="410">
      <c r="A410" s="48"/>
      <c r="B410" s="26"/>
      <c r="C410" s="26" t="b">
        <v>1</v>
      </c>
      <c r="D410" s="48" t="s">
        <v>42</v>
      </c>
      <c r="E410" s="48" t="s">
        <v>36</v>
      </c>
      <c r="F410" s="94" t="s">
        <v>1298</v>
      </c>
      <c r="G410" s="97" t="s">
        <v>1301</v>
      </c>
      <c r="H410" s="49" t="s">
        <v>1302</v>
      </c>
      <c r="I410" s="43">
        <f>$I$409</f>
        <v>2</v>
      </c>
      <c r="J410" s="26">
        <f>IFERROR(__xludf.DUMMYFUNCTION("VLOOKUP(G410,IMPORTRANGE(""https://docs.google.com/spreadsheets/d/12RxCea4e5ggM7QGn1XE3FbLQa_-QbCNdBi90OdPjRqg/edit?gid=1692403370#gid=1692403370"", ""'Plan de Compras'!D4:2432""), 8,0)"),2.0)</f>
        <v>2</v>
      </c>
      <c r="K410" s="26" t="str">
        <f t="shared" si="1"/>
        <v>SI</v>
      </c>
      <c r="L410" s="48"/>
      <c r="M410" s="99"/>
      <c r="N410" s="26" t="s">
        <v>45</v>
      </c>
      <c r="O410" s="51"/>
      <c r="P410" s="48" t="s">
        <v>1303</v>
      </c>
      <c r="Q410" s="109"/>
      <c r="R410" s="99"/>
      <c r="S410" s="34" t="b">
        <v>1</v>
      </c>
      <c r="T410" s="102"/>
      <c r="U410" s="102"/>
      <c r="V410" s="53"/>
      <c r="W410" s="37" t="str">
        <f>IFERROR(__xludf.DUMMYFUNCTION("IFERROR(VLOOKUP(G410,IMPORTRANGE(""https://docs.google.com/spreadsheets/d/12RxCea4e5ggM7QGn1XE3FbLQa_-QbCNdBi90OdPjRqg"", ""'Plan de Compras'!D4:Q""), 12, 0), ""NO ESTÁ EN REQ"")"),"Técnica")</f>
        <v>Técnica</v>
      </c>
      <c r="X410" s="37" t="str">
        <f>IFERROR(__xludf.DUMMYFUNCTION("IFERROR(VLOOKUP(G410,IMPORTRANGE(""https://docs.google.com/spreadsheets/d/12RxCea4e5ggM7QGn1XE3FbLQa_-QbCNdBi90OdPjRqg"", ""'Plan de Compras'!D4:Q""), 13, 0), """")"),"NACIONAL")</f>
        <v>NACIONAL</v>
      </c>
      <c r="Y410" s="32" t="str">
        <f>IFERROR(__xludf.DUMMYFUNCTION("IFERROR(VLOOKUP(G410,IMPORTRANGE(""https://docs.google.com/spreadsheets/d/12RxCea4e5ggM7QGn1XE3FbLQa_-QbCNdBi90OdPjRqg"", ""'Plan de Compras'!D4:Q""), 14, 0), """")"),"OMAR")</f>
        <v>OMAR</v>
      </c>
      <c r="Z410" s="38" t="str">
        <f>IFERROR(__xludf.DUMMYFUNCTION("IFERROR(VLOOKUP(G410,IMPORTRANGE(""https://docs.google.com/spreadsheets/d/12RxCea4e5ggM7QGn1XE3FbLQa_-QbCNdBi90OdPjRqg"", ""'Plan de Compras'!D4:Q""), 4, 0), """")"),"MESA PARA RUTEADORA CNC - ESTRUCTURA")</f>
        <v>MESA PARA RUTEADORA CNC - ESTRUCTURA</v>
      </c>
      <c r="AA410" s="38" t="str">
        <f t="shared" si="16"/>
        <v>FALSE</v>
      </c>
      <c r="AB410" s="37" t="str">
        <f>IFERROR(__xludf.DUMMYFUNCTION("IFERROR(IF(OR(C410=TRUE,C410=""""),VLOOKUP(G410,IMPORTRANGE(""https://docs.google.com/spreadsheets/d/1z9A1Wq-kKrhRNG5RS2a2fKpY1wIhSVz2ZNmP2mOl588/edit?usp=sharing"",""REQ VF!E4:H""),4,0),""NO APLICA""),""GENERAR REQ"")"),"GENERAR REQ")</f>
        <v>GENERAR REQ</v>
      </c>
      <c r="AC410" s="37" t="str">
        <f>IFERROR(__xludf.DUMMYFUNCTION("IFERROR(QUERY(IMPORTRANGE(""https://docs.google.com/spreadsheets/d/1z9A1Wq-kKrhRNG5RS2a2fKpY1wIhSVz2ZNmP2mOl588/edit?usp=sharing"",""REQ VF!E4:Q""),""SELECT Col10, Col11, Col12 WHERE Col1 = '""&amp;G410&amp;""'"",0),""NO APLICA"")"),"NO APLICA")</f>
        <v>NO APLICA</v>
      </c>
      <c r="AD410" s="37"/>
      <c r="AE410" s="37"/>
      <c r="AF410" s="13"/>
      <c r="AG410" s="13"/>
    </row>
    <row r="411">
      <c r="A411" s="48"/>
      <c r="B411" s="26"/>
      <c r="C411" s="26" t="b">
        <v>1</v>
      </c>
      <c r="D411" s="48" t="s">
        <v>42</v>
      </c>
      <c r="E411" s="48" t="s">
        <v>36</v>
      </c>
      <c r="F411" s="94" t="s">
        <v>1298</v>
      </c>
      <c r="G411" s="97" t="s">
        <v>1304</v>
      </c>
      <c r="H411" s="49" t="s">
        <v>1305</v>
      </c>
      <c r="I411" s="43">
        <f>I409</f>
        <v>2</v>
      </c>
      <c r="J411" s="26">
        <f>IFERROR(__xludf.DUMMYFUNCTION("VLOOKUP(G411,IMPORTRANGE(""https://docs.google.com/spreadsheets/d/12RxCea4e5ggM7QGn1XE3FbLQa_-QbCNdBi90OdPjRqg/edit?gid=1692403370#gid=1692403370"", ""'Plan de Compras'!D4:2432""), 8,0)"),2.0)</f>
        <v>2</v>
      </c>
      <c r="K411" s="26" t="str">
        <f t="shared" si="1"/>
        <v>SI</v>
      </c>
      <c r="L411" s="48"/>
      <c r="M411" s="99"/>
      <c r="N411" s="26"/>
      <c r="O411" s="51"/>
      <c r="P411" s="48"/>
      <c r="Q411" s="109"/>
      <c r="R411" s="99"/>
      <c r="S411" s="34" t="b">
        <v>0</v>
      </c>
      <c r="T411" s="102"/>
      <c r="U411" s="102"/>
      <c r="V411" s="53"/>
      <c r="W411" s="37" t="str">
        <f>IFERROR(__xludf.DUMMYFUNCTION("IFERROR(VLOOKUP(G411,IMPORTRANGE(""https://docs.google.com/spreadsheets/d/12RxCea4e5ggM7QGn1XE3FbLQa_-QbCNdBi90OdPjRqg"", ""'Plan de Compras'!D4:Q""), 12, 0), ""NO ESTÁ EN REQ"")"),"Simple")</f>
        <v>Simple</v>
      </c>
      <c r="X411" s="37" t="str">
        <f>IFERROR(__xludf.DUMMYFUNCTION("IFERROR(VLOOKUP(G411,IMPORTRANGE(""https://docs.google.com/spreadsheets/d/12RxCea4e5ggM7QGn1XE3FbLQa_-QbCNdBi90OdPjRqg"", ""'Plan de Compras'!D4:Q""), 13, 0), """")"),"NACIONAL")</f>
        <v>NACIONAL</v>
      </c>
      <c r="Y411" s="32" t="str">
        <f>IFERROR(__xludf.DUMMYFUNCTION("IFERROR(VLOOKUP(G411,IMPORTRANGE(""https://docs.google.com/spreadsheets/d/12RxCea4e5ggM7QGn1XE3FbLQa_-QbCNdBi90OdPjRqg"", ""'Plan de Compras'!D4:Q""), 14, 0), """")"),"GEANFRANCO")</f>
        <v>GEANFRANCO</v>
      </c>
      <c r="Z411" s="38" t="str">
        <f>IFERROR(__xludf.DUMMYFUNCTION("IFERROR(VLOOKUP(G411,IMPORTRANGE(""https://docs.google.com/spreadsheets/d/12RxCea4e5ggM7QGn1XE3FbLQa_-QbCNdBi90OdPjRqg"", ""'Plan de Compras'!D4:Q""), 4, 0), """")"),"LAPTOP (1UND)")</f>
        <v>LAPTOP (1UND)</v>
      </c>
      <c r="AA411" s="38" t="str">
        <f t="shared" si="16"/>
        <v>TRUE</v>
      </c>
      <c r="AB411" s="37" t="str">
        <f>IFERROR(__xludf.DUMMYFUNCTION("IFERROR(IF(OR(C411=TRUE,C411=""""),VLOOKUP(G411,IMPORTRANGE(""https://docs.google.com/spreadsheets/d/1z9A1Wq-kKrhRNG5RS2a2fKpY1wIhSVz2ZNmP2mOl588/edit?usp=sharing"",""REQ VF!E4:H""),4,0),""NO APLICA""),""GENERAR REQ"")"),"GENERAR REQ")</f>
        <v>GENERAR REQ</v>
      </c>
      <c r="AC411" s="37" t="str">
        <f>IFERROR(__xludf.DUMMYFUNCTION("IFERROR(QUERY(IMPORTRANGE(""https://docs.google.com/spreadsheets/d/1z9A1Wq-kKrhRNG5RS2a2fKpY1wIhSVz2ZNmP2mOl588/edit?usp=sharing"",""REQ VF!E4:Q""),""SELECT Col10, Col11, Col12 WHERE Col1 = '""&amp;G411&amp;""'"",0),""NO APLICA"")"),"NO APLICA")</f>
        <v>NO APLICA</v>
      </c>
      <c r="AD411" s="37"/>
      <c r="AE411" s="37"/>
      <c r="AF411" s="13"/>
      <c r="AG411" s="13"/>
    </row>
    <row r="412">
      <c r="A412" s="48"/>
      <c r="B412" s="26"/>
      <c r="C412" s="26" t="b">
        <v>1</v>
      </c>
      <c r="D412" s="98" t="s">
        <v>42</v>
      </c>
      <c r="E412" s="98" t="s">
        <v>36</v>
      </c>
      <c r="F412" s="97" t="s">
        <v>1298</v>
      </c>
      <c r="G412" s="97" t="s">
        <v>1306</v>
      </c>
      <c r="H412" s="49" t="s">
        <v>1307</v>
      </c>
      <c r="I412" s="43">
        <v>2.0</v>
      </c>
      <c r="J412" s="26">
        <f>IFERROR(__xludf.DUMMYFUNCTION("VLOOKUP(G412,IMPORTRANGE(""https://docs.google.com/spreadsheets/d/12RxCea4e5ggM7QGn1XE3FbLQa_-QbCNdBi90OdPjRqg/edit?gid=1692403370#gid=1692403370"", ""'Plan de Compras'!D4:2432""), 8,0)"),2.0)</f>
        <v>2</v>
      </c>
      <c r="K412" s="26" t="str">
        <f t="shared" si="1"/>
        <v>SI</v>
      </c>
      <c r="L412" s="48"/>
      <c r="M412" s="99"/>
      <c r="N412" s="26"/>
      <c r="O412" s="51"/>
      <c r="P412" s="48"/>
      <c r="Q412" s="109"/>
      <c r="R412" s="99"/>
      <c r="S412" s="34" t="b">
        <v>0</v>
      </c>
      <c r="T412" s="102"/>
      <c r="U412" s="102"/>
      <c r="V412" s="53"/>
      <c r="W412" s="37" t="str">
        <f>IFERROR(__xludf.DUMMYFUNCTION("IFERROR(VLOOKUP(G412,IMPORTRANGE(""https://docs.google.com/spreadsheets/d/12RxCea4e5ggM7QGn1XE3FbLQa_-QbCNdBi90OdPjRqg"", ""'Plan de Compras'!D4:Q""), 12, 0), ""NO ESTÁ EN REQ"")"),"Simple")</f>
        <v>Simple</v>
      </c>
      <c r="X412" s="37" t="str">
        <f>IFERROR(__xludf.DUMMYFUNCTION("IFERROR(VLOOKUP(G412,IMPORTRANGE(""https://docs.google.com/spreadsheets/d/12RxCea4e5ggM7QGn1XE3FbLQa_-QbCNdBi90OdPjRqg"", ""'Plan de Compras'!D4:Q""), 13, 0), """")"),"NACIONAL")</f>
        <v>NACIONAL</v>
      </c>
      <c r="Y412" s="32" t="str">
        <f>IFERROR(__xludf.DUMMYFUNCTION("IFERROR(VLOOKUP(G412,IMPORTRANGE(""https://docs.google.com/spreadsheets/d/12RxCea4e5ggM7QGn1XE3FbLQa_-QbCNdBi90OdPjRqg"", ""'Plan de Compras'!D4:Q""), 14, 0), """")"),"GEANFRANCO")</f>
        <v>GEANFRANCO</v>
      </c>
      <c r="Z412" s="38" t="str">
        <f>IFERROR(__xludf.DUMMYFUNCTION("IFERROR(VLOOKUP(G412,IMPORTRANGE(""https://docs.google.com/spreadsheets/d/12RxCea4e5ggM7QGn1XE3FbLQa_-QbCNdBi90OdPjRqg"", ""'Plan de Compras'!D4:Q""), 4, 0), """")"),"ESTABILIZADOR PARA LAPTOP (1 UND)")</f>
        <v>ESTABILIZADOR PARA LAPTOP (1 UND)</v>
      </c>
      <c r="AA412" s="38" t="str">
        <f t="shared" si="16"/>
        <v>TRUE</v>
      </c>
      <c r="AB412" s="37" t="str">
        <f>IFERROR(__xludf.DUMMYFUNCTION("IFERROR(IF(OR(C412=TRUE,C412=""""),VLOOKUP(G412,IMPORTRANGE(""https://docs.google.com/spreadsheets/d/1z9A1Wq-kKrhRNG5RS2a2fKpY1wIhSVz2ZNmP2mOl588/edit?usp=sharing"",""REQ VF!E4:H""),4,0),""NO APLICA""),""GENERAR REQ"")"),"GENERAR REQ")</f>
        <v>GENERAR REQ</v>
      </c>
      <c r="AC412" s="37" t="str">
        <f>IFERROR(__xludf.DUMMYFUNCTION("IFERROR(QUERY(IMPORTRANGE(""https://docs.google.com/spreadsheets/d/1z9A1Wq-kKrhRNG5RS2a2fKpY1wIhSVz2ZNmP2mOl588/edit?usp=sharing"",""REQ VF!E4:Q""),""SELECT Col10, Col11, Col12 WHERE Col1 = '""&amp;G412&amp;""'"",0),""NO APLICA"")"),"NO APLICA")</f>
        <v>NO APLICA</v>
      </c>
      <c r="AD412" s="37"/>
      <c r="AE412" s="37"/>
      <c r="AF412" s="13"/>
      <c r="AG412" s="13"/>
    </row>
    <row r="413">
      <c r="A413" s="48"/>
      <c r="B413" s="26"/>
      <c r="C413" s="26" t="b">
        <v>1</v>
      </c>
      <c r="D413" s="98" t="s">
        <v>42</v>
      </c>
      <c r="E413" s="98" t="s">
        <v>36</v>
      </c>
      <c r="F413" s="97" t="s">
        <v>1298</v>
      </c>
      <c r="G413" s="98" t="s">
        <v>1308</v>
      </c>
      <c r="H413" s="49" t="s">
        <v>1309</v>
      </c>
      <c r="I413" s="43">
        <v>2.0</v>
      </c>
      <c r="J413" s="26">
        <f>IFERROR(__xludf.DUMMYFUNCTION("VLOOKUP(G413,IMPORTRANGE(""https://docs.google.com/spreadsheets/d/12RxCea4e5ggM7QGn1XE3FbLQa_-QbCNdBi90OdPjRqg/edit?gid=1692403370#gid=1692403370"", ""'Plan de Compras'!D4:2432""), 8,0)"),2.0)</f>
        <v>2</v>
      </c>
      <c r="K413" s="26" t="str">
        <f t="shared" si="1"/>
        <v>SI</v>
      </c>
      <c r="L413" s="48"/>
      <c r="M413" s="99"/>
      <c r="N413" s="26"/>
      <c r="O413" s="51"/>
      <c r="P413" s="48"/>
      <c r="Q413" s="109"/>
      <c r="R413" s="99"/>
      <c r="S413" s="34" t="b">
        <v>1</v>
      </c>
      <c r="T413" s="52" t="s">
        <v>1310</v>
      </c>
      <c r="U413" s="52" t="s">
        <v>1311</v>
      </c>
      <c r="V413" s="103" t="s">
        <v>1312</v>
      </c>
      <c r="W413" s="37" t="str">
        <f>IFERROR(__xludf.DUMMYFUNCTION("IFERROR(VLOOKUP(G413,IMPORTRANGE(""https://docs.google.com/spreadsheets/d/12RxCea4e5ggM7QGn1XE3FbLQa_-QbCNdBi90OdPjRqg"", ""'Plan de Compras'!D4:Q""), 12, 0), ""NO ESTÁ EN REQ"")"),"Simple")</f>
        <v>Simple</v>
      </c>
      <c r="X413" s="37" t="str">
        <f>IFERROR(__xludf.DUMMYFUNCTION("IFERROR(VLOOKUP(G413,IMPORTRANGE(""https://docs.google.com/spreadsheets/d/12RxCea4e5ggM7QGn1XE3FbLQa_-QbCNdBi90OdPjRqg"", ""'Plan de Compras'!D4:Q""), 13, 0), """")"),"INTERNACIONAL")</f>
        <v>INTERNACIONAL</v>
      </c>
      <c r="Y413" s="32" t="str">
        <f>IFERROR(__xludf.DUMMYFUNCTION("IFERROR(VLOOKUP(G413,IMPORTRANGE(""https://docs.google.com/spreadsheets/d/12RxCea4e5ggM7QGn1XE3FbLQa_-QbCNdBi90OdPjRqg"", ""'Plan de Compras'!D4:Q""), 14, 0), """")"),"JIMENA")</f>
        <v>JIMENA</v>
      </c>
      <c r="Z413" s="38" t="str">
        <f>IFERROR(__xludf.DUMMYFUNCTION("IFERROR(VLOOKUP(G413,IMPORTRANGE(""https://docs.google.com/spreadsheets/d/12RxCea4e5ggM7QGn1XE3FbLQa_-QbCNdBi90OdPjRqg"", ""'Plan de Compras'!D4:Q""), 4, 0), """")"),"HUSILLO 900W (1 UND)")</f>
        <v>HUSILLO 900W (1 UND)</v>
      </c>
      <c r="AA413" s="38" t="str">
        <f t="shared" si="16"/>
        <v>TRUE</v>
      </c>
      <c r="AB413" s="37" t="str">
        <f>IFERROR(__xludf.DUMMYFUNCTION("IFERROR(IF(OR(C413=TRUE,C413=""""),VLOOKUP(G413,IMPORTRANGE(""https://docs.google.com/spreadsheets/d/1z9A1Wq-kKrhRNG5RS2a2fKpY1wIhSVz2ZNmP2mOl588/edit?usp=sharing"",""REQ VF!E4:H""),4,0),""NO APLICA""),""GENERAR REQ"")"),"GENERAR REQ")</f>
        <v>GENERAR REQ</v>
      </c>
      <c r="AC413" s="37" t="str">
        <f>IFERROR(__xludf.DUMMYFUNCTION("IFERROR(QUERY(IMPORTRANGE(""https://docs.google.com/spreadsheets/d/1z9A1Wq-kKrhRNG5RS2a2fKpY1wIhSVz2ZNmP2mOl588/edit?usp=sharing"",""REQ VF!E4:Q""),""SELECT Col10, Col11, Col12 WHERE Col1 = '""&amp;G413&amp;""'"",0),""NO APLICA"")"),"NO APLICA")</f>
        <v>NO APLICA</v>
      </c>
      <c r="AD413" s="37"/>
      <c r="AE413" s="37"/>
      <c r="AF413" s="13"/>
      <c r="AG413" s="13"/>
    </row>
    <row r="414">
      <c r="A414" s="26">
        <v>194.0</v>
      </c>
      <c r="B414" s="26" t="b">
        <v>1</v>
      </c>
      <c r="C414" s="26" t="b">
        <v>1</v>
      </c>
      <c r="D414" s="26" t="s">
        <v>35</v>
      </c>
      <c r="E414" s="26" t="s">
        <v>36</v>
      </c>
      <c r="F414" s="27" t="s">
        <v>1313</v>
      </c>
      <c r="G414" s="37" t="s">
        <v>1313</v>
      </c>
      <c r="H414" s="45" t="s">
        <v>1314</v>
      </c>
      <c r="I414" s="43">
        <f>SUMIFS('Hoja 10'!$O:$O,'Hoja 10'!$F:$F,$G414)</f>
        <v>4</v>
      </c>
      <c r="J414" s="26">
        <f>IFERROR(__xludf.DUMMYFUNCTION("VLOOKUP(G414,IMPORTRANGE(""https://docs.google.com/spreadsheets/d/12RxCea4e5ggM7QGn1XE3FbLQa_-QbCNdBi90OdPjRqg/edit?gid=1692403370#gid=1692403370"", ""'Plan de Compras'!D4:2432""), 8,0)"),4.0)</f>
        <v>4</v>
      </c>
      <c r="K414" s="26" t="str">
        <f t="shared" si="1"/>
        <v>SI</v>
      </c>
      <c r="L414" s="29" t="s">
        <v>39</v>
      </c>
      <c r="M414" s="30" t="s">
        <v>40</v>
      </c>
      <c r="N414" s="42"/>
      <c r="O414" s="32" t="str">
        <f>VLOOKUP($G414,'Hoja 10'!$F$4:$AA478, 19,0)</f>
        <v>QDMECH</v>
      </c>
      <c r="P414" s="32" t="str">
        <f>VLOOKUP($G414,'Hoja 10'!$F$4:$AA478, 20,0)</f>
        <v>QDG-145</v>
      </c>
      <c r="Q414" s="33" t="str">
        <f>VLOOKUP($G414,'Hoja 10'!$F$4:$AA478, 21,0)</f>
        <v>https://spanish.alibaba.com/product-detail/QDMECH-High-Capacity-Industrial-Commercial-Food-1601445359936.html</v>
      </c>
      <c r="R414" s="30" t="s">
        <v>1315</v>
      </c>
      <c r="S414" s="34" t="b">
        <v>1</v>
      </c>
      <c r="T414" s="35" t="str">
        <f>IFERROR(__xludf.DUMMYFUNCTION(" IF
( VLOOKUP($G414,IMPORTRANGE(""https://docs.google.com/spreadsheets/d/1Gpl6jkTg7sL4VDNimUm3S9Vi1i95esohXCF3wuKOE8c"", ""'CONSOLIDADO'!G5:AB""), 10, 0) &lt;&gt; 0, 
IFERROR(VLOOKUP($G414,IMPORTRANGE(""https://docs.google.com/spreadsheets/d/1Gpl6jkTg7sL4VDNimU"&amp;"m3S9Vi1i95esohXCF3wuKOE8c"", ""'CONSOLIDADO'!G5:AB""), 17, 0), ""-""),
""""
)"),"QDMECH")</f>
        <v>QDMECH</v>
      </c>
      <c r="U414" s="35" t="str">
        <f>IFERROR(__xludf.DUMMYFUNCTION(" IF
( VLOOKUP($G414,IMPORTRANGE(""https://docs.google.com/spreadsheets/d/1Gpl6jkTg7sL4VDNimUm3S9Vi1i95esohXCF3wuKOE8c"", ""'CONSOLIDADO'!G5:AB""), 10, 0) &lt;&gt; 0, 
IFERROR(VLOOKUP($G414,IMPORTRANGE(""https://docs.google.com/spreadsheets/d/1Gpl6jkTg7sL4VDNimU"&amp;"m3S9Vi1i95esohXCF3wuKOE8c"", ""'CONSOLIDADO'!G5:AB""), 18, 0), ""-""),
""""
)"),"QDG-145-10")</f>
        <v>QDG-145-10</v>
      </c>
      <c r="V414" s="36" t="str">
        <f>IFERROR(__xludf.DUMMYFUNCTION(" IF
( VLOOKUP($G414,IMPORTRANGE(""https://docs.google.com/spreadsheets/d/1Gpl6jkTg7sL4VDNimUm3S9Vi1i95esohXCF3wuKOE8c"", ""'CONSOLIDADO'!G5:AB""), 10, 0) &lt;&gt; 0, 
IFERROR(VLOOKUP($G414,IMPORTRANGE(""https://docs.google.com/spreadsheets/d/1Gpl6jkTg7sL4VDNimU"&amp;"m3S9Vi1i95esohXCF3wuKOE8c"", ""'CONSOLIDADO'!G5:AB""), 19, 0), ""-""),
""""
)"),"https://spanish.alibaba.com/product-detail/QDMECH-High-Capacity-Industrial-Commercial-Food-1601445359936.html")</f>
        <v>https://spanish.alibaba.com/product-detail/QDMECH-High-Capacity-Industrial-Commercial-Food-1601445359936.html</v>
      </c>
      <c r="W414" s="37" t="str">
        <f>IFERROR(__xludf.DUMMYFUNCTION("IFERROR(VLOOKUP(G414,IMPORTRANGE(""https://docs.google.com/spreadsheets/d/12RxCea4e5ggM7QGn1XE3FbLQa_-QbCNdBi90OdPjRqg"", ""'Plan de Compras'!D4:Q""), 12, 0), ""NO ESTÁ EN REQ"")"),"Técnica")</f>
        <v>Técnica</v>
      </c>
      <c r="X414" s="37" t="str">
        <f>IFERROR(__xludf.DUMMYFUNCTION("IFERROR(VLOOKUP(G414,IMPORTRANGE(""https://docs.google.com/spreadsheets/d/12RxCea4e5ggM7QGn1XE3FbLQa_-QbCNdBi90OdPjRqg"", ""'Plan de Compras'!D4:Q""), 13, 0), """")"),"INTERNACIONAL")</f>
        <v>INTERNACIONAL</v>
      </c>
      <c r="Y414" s="32" t="str">
        <f>IFERROR(__xludf.DUMMYFUNCTION("IFERROR(VLOOKUP(G414,IMPORTRANGE(""https://docs.google.com/spreadsheets/d/12RxCea4e5ggM7QGn1XE3FbLQa_-QbCNdBi90OdPjRqg"", ""'Plan de Compras'!D4:Q""), 14, 0), """")"),"ALEJANDRA")</f>
        <v>ALEJANDRA</v>
      </c>
      <c r="Z414" s="38" t="str">
        <f>IFERROR(__xludf.DUMMYFUNCTION("IFERROR(VLOOKUP(G414,IMPORTRANGE(""https://docs.google.com/spreadsheets/d/12RxCea4e5ggM7QGn1XE3FbLQa_-QbCNdBi90OdPjRqg"", ""'Plan de Compras'!D4:Q""), 4, 0), """")"),"SECADOR DE CÁMARA VERTICAL")</f>
        <v>SECADOR DE CÁMARA VERTICAL</v>
      </c>
      <c r="AA414" s="38" t="str">
        <f t="shared" si="16"/>
        <v>TRUE</v>
      </c>
      <c r="AB414" s="37" t="str">
        <f>IFERROR(__xludf.DUMMYFUNCTION("IFERROR(IF(OR(C414=TRUE,C414=""""),VLOOKUP(G414,IMPORTRANGE(""https://docs.google.com/spreadsheets/d/1z9A1Wq-kKrhRNG5RS2a2fKpY1wIhSVz2ZNmP2mOl588/edit?usp=sharing"",""REQ VF!E4:H""),4,0),""NO APLICA""),""GENERAR REQ"")"),"GENERAR REQ")</f>
        <v>GENERAR REQ</v>
      </c>
      <c r="AC414" s="37" t="str">
        <f>IFERROR(__xludf.DUMMYFUNCTION("IFERROR(QUERY(IMPORTRANGE(""https://docs.google.com/spreadsheets/d/1z9A1Wq-kKrhRNG5RS2a2fKpY1wIhSVz2ZNmP2mOl588/edit?usp=sharing"",""REQ VF!E4:Q""),""SELECT Col10, Col11, Col12 WHERE Col1 = '""&amp;G414&amp;""'"",0),""NO APLICA"")"),"NO APLICA")</f>
        <v>NO APLICA</v>
      </c>
      <c r="AD414" s="37"/>
      <c r="AE414" s="37"/>
      <c r="AF414" s="8" t="s">
        <v>52</v>
      </c>
      <c r="AG414" s="13"/>
    </row>
    <row r="415">
      <c r="A415" s="26">
        <v>195.0</v>
      </c>
      <c r="B415" s="26" t="b">
        <v>1</v>
      </c>
      <c r="C415" s="26" t="b">
        <v>1</v>
      </c>
      <c r="D415" s="26" t="s">
        <v>35</v>
      </c>
      <c r="E415" s="26" t="s">
        <v>36</v>
      </c>
      <c r="F415" s="27" t="s">
        <v>1316</v>
      </c>
      <c r="G415" s="37" t="s">
        <v>1316</v>
      </c>
      <c r="H415" s="45" t="s">
        <v>1317</v>
      </c>
      <c r="I415" s="43">
        <f>SUMIFS('Hoja 10'!$O:$O,'Hoja 10'!$F:$F,$G415)</f>
        <v>4</v>
      </c>
      <c r="J415" s="26">
        <f>IFERROR(__xludf.DUMMYFUNCTION("VLOOKUP(G415,IMPORTRANGE(""https://docs.google.com/spreadsheets/d/12RxCea4e5ggM7QGn1XE3FbLQa_-QbCNdBi90OdPjRqg/edit?gid=1692403370#gid=1692403370"", ""'Plan de Compras'!D4:2432""), 8,0)"),4.0)</f>
        <v>4</v>
      </c>
      <c r="K415" s="26" t="str">
        <f t="shared" si="1"/>
        <v>SI</v>
      </c>
      <c r="L415" s="29" t="s">
        <v>39</v>
      </c>
      <c r="M415" s="30" t="s">
        <v>40</v>
      </c>
      <c r="N415" s="42"/>
      <c r="O415" s="32" t="str">
        <f>VLOOKUP($G415,'Hoja 10'!$F$4:$AA478, 19,0)</f>
        <v>DAHAN VIBRATING MACHINERY</v>
      </c>
      <c r="P415" s="32" t="str">
        <f>VLOOKUP($G415,'Hoja 10'!$F$4:$AA478, 20,0)</f>
        <v>DH-600-4S</v>
      </c>
      <c r="Q415" s="41" t="str">
        <f>VLOOKUP($G415,'Hoja 10'!$F$4:$AA478, 21,0)</f>
        <v>Se debe solicitar modelo acorde.</v>
      </c>
      <c r="R415" s="30" t="s">
        <v>1318</v>
      </c>
      <c r="S415" s="34" t="b">
        <v>1</v>
      </c>
      <c r="T415" s="35" t="str">
        <f>IFERROR(__xludf.DUMMYFUNCTION(" IF
( VLOOKUP($G415,IMPORTRANGE(""https://docs.google.com/spreadsheets/d/1Gpl6jkTg7sL4VDNimUm3S9Vi1i95esohXCF3wuKOE8c"", ""'CONSOLIDADO'!G5:AB""), 10, 0) &lt;&gt; 0, 
IFERROR(VLOOKUP($G415,IMPORTRANGE(""https://docs.google.com/spreadsheets/d/1Gpl6jkTg7sL4VDNimU"&amp;"m3S9Vi1i95esohXCF3wuKOE8c"", ""'CONSOLIDADO'!G5:AB""), 17, 0), ""-""),
""""
)"),"DAHAN VIBRATING MACHINERY")</f>
        <v>DAHAN VIBRATING MACHINERY</v>
      </c>
      <c r="U415" s="35" t="str">
        <f>IFERROR(__xludf.DUMMYFUNCTION(" IF
( VLOOKUP($G415,IMPORTRANGE(""https://docs.google.com/spreadsheets/d/1Gpl6jkTg7sL4VDNimUm3S9Vi1i95esohXCF3wuKOE8c"", ""'CONSOLIDADO'!G5:AB""), 10, 0) &lt;&gt; 0, 
IFERROR(VLOOKUP($G415,IMPORTRANGE(""https://docs.google.com/spreadsheets/d/1Gpl6jkTg7sL4VDNimU"&amp;"m3S9Vi1i95esohXCF3wuKOE8c"", ""'CONSOLIDADO'!G5:AB""), 18, 0), ""-""),
""""
)"),"DH-600-4S")</f>
        <v>DH-600-4S</v>
      </c>
      <c r="V415" s="36" t="str">
        <f>IFERROR(__xludf.DUMMYFUNCTION(" IF
( VLOOKUP($G415,IMPORTRANGE(""https://docs.google.com/spreadsheets/d/1Gpl6jkTg7sL4VDNimUm3S9Vi1i95esohXCF3wuKOE8c"", ""'CONSOLIDADO'!G5:AB""), 10, 0) &lt;&gt; 0, 
IFERROR(VLOOKUP($G415,IMPORTRANGE(""https://docs.google.com/spreadsheets/d/1Gpl6jkTg7sL4VDNimU"&amp;"m3S9Vi1i95esohXCF3wuKOE8c"", ""'CONSOLIDADO'!G5:AB""), 19, 0), ""-""),
""""
)"),"https://drive.google.com/file/d/1JO5fLE5MZEvDJgYuOb4KYQnyz_yOAH-5/view")</f>
        <v>https://drive.google.com/file/d/1JO5fLE5MZEvDJgYuOb4KYQnyz_yOAH-5/view</v>
      </c>
      <c r="W415" s="37" t="str">
        <f>IFERROR(__xludf.DUMMYFUNCTION("IFERROR(VLOOKUP(G415,IMPORTRANGE(""https://docs.google.com/spreadsheets/d/12RxCea4e5ggM7QGn1XE3FbLQa_-QbCNdBi90OdPjRqg"", ""'Plan de Compras'!D4:Q""), 12, 0), ""NO ESTÁ EN REQ"")"),"Técnica")</f>
        <v>Técnica</v>
      </c>
      <c r="X415" s="37" t="str">
        <f>IFERROR(__xludf.DUMMYFUNCTION("IFERROR(VLOOKUP(G415,IMPORTRANGE(""https://docs.google.com/spreadsheets/d/12RxCea4e5ggM7QGn1XE3FbLQa_-QbCNdBi90OdPjRqg"", ""'Plan de Compras'!D4:Q""), 13, 0), """")"),"INTERNACIONAL")</f>
        <v>INTERNACIONAL</v>
      </c>
      <c r="Y415" s="32" t="str">
        <f>IFERROR(__xludf.DUMMYFUNCTION("IFERROR(VLOOKUP(G415,IMPORTRANGE(""https://docs.google.com/spreadsheets/d/12RxCea4e5ggM7QGn1XE3FbLQa_-QbCNdBi90OdPjRqg"", ""'Plan de Compras'!D4:Q""), 14, 0), """")"),"VICTOR")</f>
        <v>VICTOR</v>
      </c>
      <c r="Z415" s="38" t="str">
        <f>IFERROR(__xludf.DUMMYFUNCTION("IFERROR(VLOOKUP(G415,IMPORTRANGE(""https://docs.google.com/spreadsheets/d/12RxCea4e5ggM7QGn1XE3FbLQa_-QbCNdBi90OdPjRqg"", ""'Plan de Compras'!D4:Q""), 4, 0), """")"),"SELECCIONADORA DE ZARANDA")</f>
        <v>SELECCIONADORA DE ZARANDA</v>
      </c>
      <c r="AA415" s="38" t="str">
        <f t="shared" si="16"/>
        <v>TRUE</v>
      </c>
      <c r="AB415" s="37" t="str">
        <f>IFERROR(__xludf.DUMMYFUNCTION("IFERROR(IF(OR(C415=TRUE,C415=""""),VLOOKUP(G415,IMPORTRANGE(""https://docs.google.com/spreadsheets/d/1z9A1Wq-kKrhRNG5RS2a2fKpY1wIhSVz2ZNmP2mOl588/edit?usp=sharing"",""REQ VF!E4:H""),4,0),""NO APLICA""),""GENERAR REQ"")"),"GENERAR REQ")</f>
        <v>GENERAR REQ</v>
      </c>
      <c r="AC415" s="37" t="str">
        <f>IFERROR(__xludf.DUMMYFUNCTION("IFERROR(QUERY(IMPORTRANGE(""https://docs.google.com/spreadsheets/d/1z9A1Wq-kKrhRNG5RS2a2fKpY1wIhSVz2ZNmP2mOl588/edit?usp=sharing"",""REQ VF!E4:Q""),""SELECT Col10, Col11, Col12 WHERE Col1 = '""&amp;G415&amp;""'"",0),""NO APLICA"")"),"NO APLICA")</f>
        <v>NO APLICA</v>
      </c>
      <c r="AD415" s="37"/>
      <c r="AE415" s="37"/>
      <c r="AF415" s="8" t="s">
        <v>52</v>
      </c>
      <c r="AG415" s="13"/>
    </row>
    <row r="416">
      <c r="A416" s="26"/>
      <c r="B416" s="26"/>
      <c r="C416" s="26" t="b">
        <v>1</v>
      </c>
      <c r="D416" s="26" t="s">
        <v>42</v>
      </c>
      <c r="E416" s="26" t="b">
        <v>0</v>
      </c>
      <c r="F416" s="59" t="s">
        <v>1316</v>
      </c>
      <c r="G416" s="39" t="s">
        <v>1319</v>
      </c>
      <c r="H416" s="40" t="s">
        <v>44</v>
      </c>
      <c r="I416" s="43">
        <f>I415</f>
        <v>4</v>
      </c>
      <c r="J416" s="26">
        <f>IFERROR(__xludf.DUMMYFUNCTION("VLOOKUP(G416,IMPORTRANGE(""https://docs.google.com/spreadsheets/d/12RxCea4e5ggM7QGn1XE3FbLQa_-QbCNdBi90OdPjRqg/edit?gid=1692403370#gid=1692403370"", ""'Plan de Compras'!D4:2432""), 8,0)"),4.0)</f>
        <v>4</v>
      </c>
      <c r="K416" s="26" t="str">
        <f t="shared" si="1"/>
        <v>SI</v>
      </c>
      <c r="L416" s="26"/>
      <c r="M416" s="41"/>
      <c r="N416" s="26" t="s">
        <v>45</v>
      </c>
      <c r="O416" s="42"/>
      <c r="P416" s="26" t="s">
        <v>1320</v>
      </c>
      <c r="Q416" s="47"/>
      <c r="R416" s="41"/>
      <c r="S416" s="34" t="b">
        <v>1</v>
      </c>
      <c r="T416" s="35" t="s">
        <v>55</v>
      </c>
      <c r="U416" s="43" t="s">
        <v>1321</v>
      </c>
      <c r="V416" s="44"/>
      <c r="W416" s="37" t="str">
        <f>IFERROR(__xludf.DUMMYFUNCTION("IFERROR(VLOOKUP(G416,IMPORTRANGE(""https://docs.google.com/spreadsheets/d/12RxCea4e5ggM7QGn1XE3FbLQa_-QbCNdBi90OdPjRqg"", ""'Plan de Compras'!D4:Q""), 12, 0), ""NO ESTÁ EN REQ"")"),"Simple")</f>
        <v>Simple</v>
      </c>
      <c r="X416" s="37" t="str">
        <f>IFERROR(__xludf.DUMMYFUNCTION("IFERROR(VLOOKUP(G416,IMPORTRANGE(""https://docs.google.com/spreadsheets/d/12RxCea4e5ggM7QGn1XE3FbLQa_-QbCNdBi90OdPjRqg"", ""'Plan de Compras'!D4:Q""), 13, 0), """")"),"NACIONAL")</f>
        <v>NACIONAL</v>
      </c>
      <c r="Y416" s="32" t="str">
        <f>IFERROR(__xludf.DUMMYFUNCTION("IFERROR(VLOOKUP(G416,IMPORTRANGE(""https://docs.google.com/spreadsheets/d/12RxCea4e5ggM7QGn1XE3FbLQa_-QbCNdBi90OdPjRqg"", ""'Plan de Compras'!D4:Q""), 14, 0), """")"),"ANGIE")</f>
        <v>ANGIE</v>
      </c>
      <c r="Z416" s="38" t="str">
        <f>IFERROR(__xludf.DUMMYFUNCTION("IFERROR(VLOOKUP(G416,IMPORTRANGE(""https://docs.google.com/spreadsheets/d/12RxCea4e5ggM7QGn1XE3FbLQa_-QbCNdBi90OdPjRqg"", ""'Plan de Compras'!D4:Q""), 4, 0), """")"),"FUNDA IMPERMEABLE (1 UND)")</f>
        <v>FUNDA IMPERMEABLE (1 UND)</v>
      </c>
      <c r="AA416" s="38" t="str">
        <f t="shared" si="16"/>
        <v>TRUE</v>
      </c>
      <c r="AB416" s="37" t="str">
        <f>IFERROR(__xludf.DUMMYFUNCTION("IFERROR(IF(OR(C416=TRUE,C416=""""),VLOOKUP(G416,IMPORTRANGE(""https://docs.google.com/spreadsheets/d/1z9A1Wq-kKrhRNG5RS2a2fKpY1wIhSVz2ZNmP2mOl588/edit?usp=sharing"",""REQ VF!E4:H""),4,0),""NO APLICA""),""GENERAR REQ"")"),"GENERAR REQ")</f>
        <v>GENERAR REQ</v>
      </c>
      <c r="AC416" s="37" t="str">
        <f>IFERROR(__xludf.DUMMYFUNCTION("IFERROR(QUERY(IMPORTRANGE(""https://docs.google.com/spreadsheets/d/1z9A1Wq-kKrhRNG5RS2a2fKpY1wIhSVz2ZNmP2mOl588/edit?usp=sharing"",""REQ VF!E4:Q""),""SELECT Col10, Col11, Col12 WHERE Col1 = '""&amp;G416&amp;""'"",0),""NO APLICA"")"),"NO APLICA")</f>
        <v>NO APLICA</v>
      </c>
      <c r="AD416" s="37"/>
      <c r="AE416" s="37"/>
      <c r="AF416" s="13"/>
      <c r="AG416" s="13"/>
    </row>
    <row r="417">
      <c r="A417" s="26">
        <v>196.0</v>
      </c>
      <c r="B417" s="26" t="b">
        <v>1</v>
      </c>
      <c r="C417" s="26" t="b">
        <v>1</v>
      </c>
      <c r="D417" s="26" t="s">
        <v>35</v>
      </c>
      <c r="E417" s="26" t="s">
        <v>36</v>
      </c>
      <c r="F417" s="27" t="s">
        <v>1322</v>
      </c>
      <c r="G417" s="37" t="s">
        <v>1322</v>
      </c>
      <c r="H417" s="45" t="s">
        <v>1323</v>
      </c>
      <c r="I417" s="43">
        <f>SUMIFS('Hoja 10'!$O:$O,'Hoja 10'!$F:$F,$G417)</f>
        <v>4</v>
      </c>
      <c r="J417" s="26">
        <f>IFERROR(__xludf.DUMMYFUNCTION("VLOOKUP(G417,IMPORTRANGE(""https://docs.google.com/spreadsheets/d/12RxCea4e5ggM7QGn1XE3FbLQa_-QbCNdBi90OdPjRqg/edit?gid=1692403370#gid=1692403370"", ""'Plan de Compras'!D4:2432""), 8,0)"),4.0)</f>
        <v>4</v>
      </c>
      <c r="K417" s="26" t="str">
        <f t="shared" si="1"/>
        <v>SI</v>
      </c>
      <c r="L417" s="29" t="s">
        <v>39</v>
      </c>
      <c r="M417" s="30" t="s">
        <v>40</v>
      </c>
      <c r="N417" s="42"/>
      <c r="O417" s="32" t="str">
        <f>VLOOKUP($G417,'Hoja 10'!$F$4:$AA478, 19,0)</f>
        <v>GRONDOY</v>
      </c>
      <c r="P417" s="32" t="str">
        <f>VLOOKUP($G417,'Hoja 10'!$F$4:$AA478, 20,0)</f>
        <v>EV28</v>
      </c>
      <c r="Q417" s="33" t="str">
        <f>VLOOKUP($G417,'Hoja 10'!$F$4:$AA478, 21,0)</f>
        <v>https://grondoy.com/productos/Empacadoras/empacadora-selladora-al-vacio-de-01-sello-de-28cm-en-acero-inoxidable?srsltid=AfmBOopMoapn6qungdjgKvIGOPK8u1OD9bN7hZlgZp3MOThjpwZr6eyZ</v>
      </c>
      <c r="R417" s="30" t="s">
        <v>1324</v>
      </c>
      <c r="S417" s="34" t="b">
        <v>1</v>
      </c>
      <c r="T417" s="35" t="str">
        <f>IFERROR(__xludf.DUMMYFUNCTION(" IF
( VLOOKUP($G417,IMPORTRANGE(""https://docs.google.com/spreadsheets/d/1Gpl6jkTg7sL4VDNimUm3S9Vi1i95esohXCF3wuKOE8c"", ""'CONSOLIDADO'!G5:AB""), 10, 0) &lt;&gt; 0, 
IFERROR(VLOOKUP($G417,IMPORTRANGE(""https://docs.google.com/spreadsheets/d/1Gpl6jkTg7sL4VDNimU"&amp;"m3S9Vi1i95esohXCF3wuKOE8c"", ""'CONSOLIDADO'!G5:AB""), 17, 0), ""-""),
""""
)"),"GRONDOY")</f>
        <v>GRONDOY</v>
      </c>
      <c r="U417" s="35" t="str">
        <f>IFERROR(__xludf.DUMMYFUNCTION(" IF
( VLOOKUP($G417,IMPORTRANGE(""https://docs.google.com/spreadsheets/d/1Gpl6jkTg7sL4VDNimUm3S9Vi1i95esohXCF3wuKOE8c"", ""'CONSOLIDADO'!G5:AB""), 10, 0) &lt;&gt; 0, 
IFERROR(VLOOKUP($G417,IMPORTRANGE(""https://docs.google.com/spreadsheets/d/1Gpl6jkTg7sL4VDNimU"&amp;"m3S9Vi1i95esohXCF3wuKOE8c"", ""'CONSOLIDADO'!G5:AB""), 18, 0), ""-""),
""""
)"),"EV28")</f>
        <v>EV28</v>
      </c>
      <c r="V417" s="36" t="str">
        <f>IFERROR(__xludf.DUMMYFUNCTION(" IF
( VLOOKUP($G417,IMPORTRANGE(""https://docs.google.com/spreadsheets/d/1Gpl6jkTg7sL4VDNimUm3S9Vi1i95esohXCF3wuKOE8c"", ""'CONSOLIDADO'!G5:AB""), 10, 0) &lt;&gt; 0, 
IFERROR(VLOOKUP($G417,IMPORTRANGE(""https://docs.google.com/spreadsheets/d/1Gpl6jkTg7sL4VDNimU"&amp;"m3S9Vi1i95esohXCF3wuKOE8c"", ""'CONSOLIDADO'!G5:AB""), 19, 0), ""-""),
""""
)"),"https://grondoy.com/productos/Empacadoras/empacadora-selladora-al-vacio-de-01-sello-de-28cm-en-acero-inoxidable?srsltid=AfmBOopMoapn6qungdjgKvIGOPK8u1OD9bN7hZlgZp3MOThjpwZr6eyZ")</f>
        <v>https://grondoy.com/productos/Empacadoras/empacadora-selladora-al-vacio-de-01-sello-de-28cm-en-acero-inoxidable?srsltid=AfmBOopMoapn6qungdjgKvIGOPK8u1OD9bN7hZlgZp3MOThjpwZr6eyZ</v>
      </c>
      <c r="W417" s="37" t="str">
        <f>IFERROR(__xludf.DUMMYFUNCTION("IFERROR(VLOOKUP(G417,IMPORTRANGE(""https://docs.google.com/spreadsheets/d/12RxCea4e5ggM7QGn1XE3FbLQa_-QbCNdBi90OdPjRqg"", ""'Plan de Compras'!D4:Q""), 12, 0), ""NO ESTÁ EN REQ"")"),"Técnica")</f>
        <v>Técnica</v>
      </c>
      <c r="X417" s="37" t="str">
        <f>IFERROR(__xludf.DUMMYFUNCTION("IFERROR(VLOOKUP(G417,IMPORTRANGE(""https://docs.google.com/spreadsheets/d/12RxCea4e5ggM7QGn1XE3FbLQa_-QbCNdBi90OdPjRqg"", ""'Plan de Compras'!D4:Q""), 13, 0), """")"),"NACIONAL")</f>
        <v>NACIONAL</v>
      </c>
      <c r="Y417" s="32" t="str">
        <f>IFERROR(__xludf.DUMMYFUNCTION("IFERROR(VLOOKUP(G417,IMPORTRANGE(""https://docs.google.com/spreadsheets/d/12RxCea4e5ggM7QGn1XE3FbLQa_-QbCNdBi90OdPjRqg"", ""'Plan de Compras'!D4:Q""), 14, 0), """")"),"ANGIE")</f>
        <v>ANGIE</v>
      </c>
      <c r="Z417" s="38" t="str">
        <f>IFERROR(__xludf.DUMMYFUNCTION("IFERROR(VLOOKUP(G417,IMPORTRANGE(""https://docs.google.com/spreadsheets/d/12RxCea4e5ggM7QGn1XE3FbLQa_-QbCNdBi90OdPjRqg"", ""'Plan de Compras'!D4:Q""), 4, 0), """")"),"SELLADORA AL VACÍO")</f>
        <v>SELLADORA AL VACÍO</v>
      </c>
      <c r="AA417" s="38" t="str">
        <f t="shared" si="16"/>
        <v>TRUE</v>
      </c>
      <c r="AB417" s="37" t="str">
        <f>IFERROR(__xludf.DUMMYFUNCTION("IFERROR(IF(OR(C417=TRUE,C417=""""),VLOOKUP(G417,IMPORTRANGE(""https://docs.google.com/spreadsheets/d/1z9A1Wq-kKrhRNG5RS2a2fKpY1wIhSVz2ZNmP2mOl588/edit?usp=sharing"",""REQ VF!E4:H""),4,0),""NO APLICA""),""GENERAR REQ"")"),"GENERAR REQ")</f>
        <v>GENERAR REQ</v>
      </c>
      <c r="AC417" s="37" t="str">
        <f>IFERROR(__xludf.DUMMYFUNCTION("IFERROR(QUERY(IMPORTRANGE(""https://docs.google.com/spreadsheets/d/1z9A1Wq-kKrhRNG5RS2a2fKpY1wIhSVz2ZNmP2mOl588/edit?usp=sharing"",""REQ VF!E4:Q""),""SELECT Col10, Col11, Col12 WHERE Col1 = '""&amp;G417&amp;""'"",0),""NO APLICA"")"),"NO APLICA")</f>
        <v>NO APLICA</v>
      </c>
      <c r="AD417" s="37"/>
      <c r="AE417" s="37"/>
      <c r="AF417" s="8" t="s">
        <v>52</v>
      </c>
      <c r="AG417" s="13"/>
    </row>
    <row r="418">
      <c r="A418" s="26">
        <v>197.0</v>
      </c>
      <c r="B418" s="26" t="b">
        <v>1</v>
      </c>
      <c r="C418" s="26" t="b">
        <v>1</v>
      </c>
      <c r="D418" s="26" t="s">
        <v>35</v>
      </c>
      <c r="E418" s="26" t="s">
        <v>36</v>
      </c>
      <c r="F418" s="27" t="s">
        <v>1325</v>
      </c>
      <c r="G418" s="37" t="s">
        <v>1325</v>
      </c>
      <c r="H418" s="45" t="s">
        <v>1326</v>
      </c>
      <c r="I418" s="43">
        <f>SUMIFS('Hoja 10'!$O:$O,'Hoja 10'!$F:$F,$G418)</f>
        <v>6</v>
      </c>
      <c r="J418" s="26">
        <f>IFERROR(__xludf.DUMMYFUNCTION("VLOOKUP(G418,IMPORTRANGE(""https://docs.google.com/spreadsheets/d/12RxCea4e5ggM7QGn1XE3FbLQa_-QbCNdBi90OdPjRqg/edit?gid=1692403370#gid=1692403370"", ""'Plan de Compras'!D4:2432""), 8,0)"),6.0)</f>
        <v>6</v>
      </c>
      <c r="K418" s="26" t="str">
        <f t="shared" si="1"/>
        <v>SI</v>
      </c>
      <c r="L418" s="29" t="s">
        <v>39</v>
      </c>
      <c r="M418" s="30" t="s">
        <v>40</v>
      </c>
      <c r="N418" s="42"/>
      <c r="O418" s="32" t="str">
        <f>VLOOKUP($G418,'Hoja 10'!$F$4:$AA478, 19,0)</f>
        <v>RYU</v>
      </c>
      <c r="P418" s="32" t="str">
        <f>VLOOKUP($G418,'Hoja 10'!$F$4:$AA478, 20,0)</f>
        <v>SBM-30</v>
      </c>
      <c r="Q418" s="33" t="str">
        <f>VLOOKUP($G418,'Hoja 10'!$F$4:$AA478, 21,0)</f>
        <v>https://www.ryu.com.pe/p/selladora-bolsas-manual/</v>
      </c>
      <c r="R418" s="30" t="s">
        <v>1327</v>
      </c>
      <c r="S418" s="34" t="b">
        <v>1</v>
      </c>
      <c r="T418" s="35" t="str">
        <f>IFERROR(__xludf.DUMMYFUNCTION(" IF
( VLOOKUP($G418,IMPORTRANGE(""https://docs.google.com/spreadsheets/d/1Gpl6jkTg7sL4VDNimUm3S9Vi1i95esohXCF3wuKOE8c"", ""'CONSOLIDADO'!G5:AB""), 10, 0) &lt;&gt; 0, 
IFERROR(VLOOKUP($G418,IMPORTRANGE(""https://docs.google.com/spreadsheets/d/1Gpl6jkTg7sL4VDNimU"&amp;"m3S9Vi1i95esohXCF3wuKOE8c"", ""'CONSOLIDADO'!G5:AB""), 17, 0), ""-""),
""""
)"),"RYU")</f>
        <v>RYU</v>
      </c>
      <c r="U418" s="35" t="str">
        <f>IFERROR(__xludf.DUMMYFUNCTION(" IF
( VLOOKUP($G418,IMPORTRANGE(""https://docs.google.com/spreadsheets/d/1Gpl6jkTg7sL4VDNimUm3S9Vi1i95esohXCF3wuKOE8c"", ""'CONSOLIDADO'!G5:AB""), 10, 0) &lt;&gt; 0, 
IFERROR(VLOOKUP($G418,IMPORTRANGE(""https://docs.google.com/spreadsheets/d/1Gpl6jkTg7sL4VDNimU"&amp;"m3S9Vi1i95esohXCF3wuKOE8c"", ""'CONSOLIDADO'!G5:AB""), 18, 0), ""-""),
""""
)"),"PFS-300")</f>
        <v>PFS-300</v>
      </c>
      <c r="V418" s="36" t="str">
        <f>IFERROR(__xludf.DUMMYFUNCTION(" IF
( VLOOKUP($G418,IMPORTRANGE(""https://docs.google.com/spreadsheets/d/1Gpl6jkTg7sL4VDNimUm3S9Vi1i95esohXCF3wuKOE8c"", ""'CONSOLIDADO'!G5:AB""), 10, 0) &lt;&gt; 0, 
IFERROR(VLOOKUP($G418,IMPORTRANGE(""https://docs.google.com/spreadsheets/d/1Gpl6jkTg7sL4VDNimU"&amp;"m3S9Vi1i95esohXCF3wuKOE8c"", ""'CONSOLIDADO'!G5:AB""), 19, 0), ""-""),
""""
)"),"https://www.ryu.com.pe/p/selladora-bolsas-manual/")</f>
        <v>https://www.ryu.com.pe/p/selladora-bolsas-manual/</v>
      </c>
      <c r="W418" s="37" t="str">
        <f>IFERROR(__xludf.DUMMYFUNCTION("IFERROR(VLOOKUP(G418,IMPORTRANGE(""https://docs.google.com/spreadsheets/d/12RxCea4e5ggM7QGn1XE3FbLQa_-QbCNdBi90OdPjRqg"", ""'Plan de Compras'!D4:Q""), 12, 0), ""NO ESTÁ EN REQ"")"),"Técnica")</f>
        <v>Técnica</v>
      </c>
      <c r="X418" s="37" t="str">
        <f>IFERROR(__xludf.DUMMYFUNCTION("IFERROR(VLOOKUP(G418,IMPORTRANGE(""https://docs.google.com/spreadsheets/d/12RxCea4e5ggM7QGn1XE3FbLQa_-QbCNdBi90OdPjRqg"", ""'Plan de Compras'!D4:Q""), 13, 0), """")"),"NACIONAL")</f>
        <v>NACIONAL</v>
      </c>
      <c r="Y418" s="32" t="str">
        <f>IFERROR(__xludf.DUMMYFUNCTION("IFERROR(VLOOKUP(G418,IMPORTRANGE(""https://docs.google.com/spreadsheets/d/12RxCea4e5ggM7QGn1XE3FbLQa_-QbCNdBi90OdPjRqg"", ""'Plan de Compras'!D4:Q""), 14, 0), """")"),"ANGIE")</f>
        <v>ANGIE</v>
      </c>
      <c r="Z418" s="38" t="str">
        <f>IFERROR(__xludf.DUMMYFUNCTION("IFERROR(VLOOKUP(G418,IMPORTRANGE(""https://docs.google.com/spreadsheets/d/12RxCea4e5ggM7QGn1XE3FbLQa_-QbCNdBi90OdPjRqg"", ""'Plan de Compras'!D4:Q""), 4, 0), """")"),"SELLADORA DE BOLSAS PLÁSTICAS")</f>
        <v>SELLADORA DE BOLSAS PLÁSTICAS</v>
      </c>
      <c r="AA418" s="38" t="str">
        <f t="shared" si="16"/>
        <v>TRUE</v>
      </c>
      <c r="AB418" s="37" t="str">
        <f>IFERROR(__xludf.DUMMYFUNCTION("IFERROR(IF(OR(C418=TRUE,C418=""""),VLOOKUP(G418,IMPORTRANGE(""https://docs.google.com/spreadsheets/d/1z9A1Wq-kKrhRNG5RS2a2fKpY1wIhSVz2ZNmP2mOl588/edit?usp=sharing"",""REQ VF!E4:H""),4,0),""NO APLICA""),""GENERAR REQ"")"),"GENERAR REQ")</f>
        <v>GENERAR REQ</v>
      </c>
      <c r="AC418" s="37" t="str">
        <f>IFERROR(__xludf.DUMMYFUNCTION("IFERROR(QUERY(IMPORTRANGE(""https://docs.google.com/spreadsheets/d/1z9A1Wq-kKrhRNG5RS2a2fKpY1wIhSVz2ZNmP2mOl588/edit?usp=sharing"",""REQ VF!E4:Q""),""SELECT Col10, Col11, Col12 WHERE Col1 = '""&amp;G418&amp;""'"",0),""NO APLICA"")"),"NO APLICA")</f>
        <v>NO APLICA</v>
      </c>
      <c r="AD418" s="37"/>
      <c r="AE418" s="37"/>
      <c r="AF418" s="13"/>
      <c r="AG418" s="13"/>
    </row>
    <row r="419">
      <c r="A419" s="26">
        <v>198.0</v>
      </c>
      <c r="B419" s="26" t="b">
        <v>1</v>
      </c>
      <c r="C419" s="26" t="b">
        <v>0</v>
      </c>
      <c r="D419" s="26" t="s">
        <v>35</v>
      </c>
      <c r="E419" s="26" t="s">
        <v>36</v>
      </c>
      <c r="F419" s="27" t="s">
        <v>1328</v>
      </c>
      <c r="G419" s="37" t="s">
        <v>1328</v>
      </c>
      <c r="H419" s="45" t="s">
        <v>1329</v>
      </c>
      <c r="I419" s="43">
        <f>SUMIFS('Hoja 10'!$O:$O,'Hoja 10'!$F:$F,$G419)</f>
        <v>12</v>
      </c>
      <c r="J419" s="26" t="str">
        <f>IFERROR(__xludf.DUMMYFUNCTION("VLOOKUP(G419,IMPORTRANGE(""https://docs.google.com/spreadsheets/d/12RxCea4e5ggM7QGn1XE3FbLQa_-QbCNdBi90OdPjRqg/edit?gid=1692403370#gid=1692403370"", ""'Plan de Compras'!D4:2432""), 8,0)"),"#N/A")</f>
        <v>#N/A</v>
      </c>
      <c r="K419" s="26" t="str">
        <f t="shared" si="1"/>
        <v>-</v>
      </c>
      <c r="L419" s="29" t="s">
        <v>180</v>
      </c>
      <c r="M419" s="30" t="s">
        <v>181</v>
      </c>
      <c r="N419" s="42"/>
      <c r="O419" s="32" t="str">
        <f>VLOOKUP($G419,'Hoja 10'!$F$4:$AA478, 19,0)</f>
        <v>Autonics </v>
      </c>
      <c r="P419" s="32" t="str">
        <f>VLOOKUP($G419,'Hoja 10'!$F$4:$AA478, 20,0)</f>
        <v>CR30-15DN</v>
      </c>
      <c r="Q419" s="41" t="str">
        <f>VLOOKUP($G419,'Hoja 10'!$F$4:$AA478, 21,0)</f>
        <v>Sensor de proximidad capacitivos_FT.pdf</v>
      </c>
      <c r="R419" s="30" t="s">
        <v>1330</v>
      </c>
      <c r="S419" s="34" t="b">
        <v>1</v>
      </c>
      <c r="T419" s="35" t="str">
        <f>IFERROR(__xludf.DUMMYFUNCTION(" IF
( VLOOKUP($G419,IMPORTRANGE(""https://docs.google.com/spreadsheets/d/1Gpl6jkTg7sL4VDNimUm3S9Vi1i95esohXCF3wuKOE8c"", ""'CONSOLIDADO'!G5:AB""), 10, 0) &lt;&gt; 0, 
IFERROR(VLOOKUP($G419,IMPORTRANGE(""https://docs.google.com/spreadsheets/d/1Gpl6jkTg7sL4VDNimU"&amp;"m3S9Vi1i95esohXCF3wuKOE8c"", ""'CONSOLIDADO'!G5:AB""), 17, 0), ""-""),
""""
)"),"AUTONICS")</f>
        <v>AUTONICS</v>
      </c>
      <c r="U419" s="35" t="str">
        <f>IFERROR(__xludf.DUMMYFUNCTION(" IF
( VLOOKUP($G419,IMPORTRANGE(""https://docs.google.com/spreadsheets/d/1Gpl6jkTg7sL4VDNimUm3S9Vi1i95esohXCF3wuKOE8c"", ""'CONSOLIDADO'!G5:AB""), 10, 0) &lt;&gt; 0, 
IFERROR(VLOOKUP($G419,IMPORTRANGE(""https://docs.google.com/spreadsheets/d/1Gpl6jkTg7sL4VDNimU"&amp;"m3S9Vi1i95esohXCF3wuKOE8c"", ""'CONSOLIDADO'!G5:AB""), 18, 0), ""-""),
""""
)"),"CR30-15DN / CR30-15DP")</f>
        <v>CR30-15DN / CR30-15DP</v>
      </c>
      <c r="V419" s="36" t="str">
        <f>IFERROR(__xludf.DUMMYFUNCTION(" IF
( VLOOKUP($G419,IMPORTRANGE(""https://docs.google.com/spreadsheets/d/1Gpl6jkTg7sL4VDNimUm3S9Vi1i95esohXCF3wuKOE8c"", ""'CONSOLIDADO'!G5:AB""), 10, 0) &lt;&gt; 0, 
IFERROR(VLOOKUP($G419,IMPORTRANGE(""https://docs.google.com/spreadsheets/d/1Gpl6jkTg7sL4VDNimU"&amp;"m3S9Vi1i95esohXCF3wuKOE8c"", ""'CONSOLIDADO'!G5:AB""), 19, 0), ""-""),
""""
)"),"https://www.autonics.com/pe/model/CR30-15DN
https://www.autonics.com/pe/model/CR30-15Dp")</f>
        <v>https://www.autonics.com/pe/model/CR30-15DN
https://www.autonics.com/pe/model/CR30-15Dp</v>
      </c>
      <c r="W419" s="37" t="str">
        <f>IFERROR(__xludf.DUMMYFUNCTION("IFERROR(VLOOKUP(G419,IMPORTRANGE(""https://docs.google.com/spreadsheets/d/12RxCea4e5ggM7QGn1XE3FbLQa_-QbCNdBi90OdPjRqg"", ""'Plan de Compras'!D4:Q""), 12, 0), ""NO ESTÁ EN REQ"")"),"NO ESTÁ EN REQ")</f>
        <v>NO ESTÁ EN REQ</v>
      </c>
      <c r="X419" s="37" t="str">
        <f>IFERROR(__xludf.DUMMYFUNCTION("IFERROR(VLOOKUP(G419,IMPORTRANGE(""https://docs.google.com/spreadsheets/d/12RxCea4e5ggM7QGn1XE3FbLQa_-QbCNdBi90OdPjRqg"", ""'Plan de Compras'!D4:Q""), 13, 0), """")"),"")</f>
        <v/>
      </c>
      <c r="Y419" s="32" t="str">
        <f>IFERROR(__xludf.DUMMYFUNCTION("IFERROR(VLOOKUP(G419,IMPORTRANGE(""https://docs.google.com/spreadsheets/d/12RxCea4e5ggM7QGn1XE3FbLQa_-QbCNdBi90OdPjRqg"", ""'Plan de Compras'!D4:Q""), 14, 0), """")"),"")</f>
        <v/>
      </c>
      <c r="Z419" s="38" t="str">
        <f>IFERROR(__xludf.DUMMYFUNCTION("IFERROR(VLOOKUP(G419,IMPORTRANGE(""https://docs.google.com/spreadsheets/d/12RxCea4e5ggM7QGn1XE3FbLQa_-QbCNdBi90OdPjRqg"", ""'Plan de Compras'!D4:Q""), 4, 0), """")"),"")</f>
        <v/>
      </c>
      <c r="AA419" s="38" t="str">
        <f t="shared" si="16"/>
        <v>FALSE</v>
      </c>
      <c r="AB419" s="37" t="str">
        <f>IFERROR(__xludf.DUMMYFUNCTION("IFERROR(IF(OR(C419=TRUE,C419=""""),VLOOKUP(G419,IMPORTRANGE(""https://docs.google.com/spreadsheets/d/1z9A1Wq-kKrhRNG5RS2a2fKpY1wIhSVz2ZNmP2mOl588/edit?usp=sharing"",""REQ VF!E4:H""),4,0),""NO APLICA""),""GENERAR REQ"")"),"NO APLICA")</f>
        <v>NO APLICA</v>
      </c>
      <c r="AC419" s="37" t="str">
        <f>IFERROR(__xludf.DUMMYFUNCTION("IFERROR(QUERY(IMPORTRANGE(""https://docs.google.com/spreadsheets/d/1z9A1Wq-kKrhRNG5RS2a2fKpY1wIhSVz2ZNmP2mOl588/edit?usp=sharing"",""REQ VF!E4:Q""),""SELECT Col10, Col11, Col12 WHERE Col1 = '""&amp;G419&amp;""'"",0),""NO APLICA"")"),"NO APLICA")</f>
        <v>NO APLICA</v>
      </c>
      <c r="AD419" s="37"/>
      <c r="AE419" s="37"/>
      <c r="AF419" s="13"/>
      <c r="AG419" s="13"/>
    </row>
    <row r="420">
      <c r="A420" s="26"/>
      <c r="B420" s="26"/>
      <c r="C420" s="26" t="b">
        <v>1</v>
      </c>
      <c r="D420" s="26" t="s">
        <v>95</v>
      </c>
      <c r="E420" s="26" t="b">
        <v>0</v>
      </c>
      <c r="F420" s="27" t="s">
        <v>1328</v>
      </c>
      <c r="G420" s="37" t="s">
        <v>1331</v>
      </c>
      <c r="H420" s="110" t="s">
        <v>1332</v>
      </c>
      <c r="I420" s="43">
        <f>I419</f>
        <v>12</v>
      </c>
      <c r="J420" s="26">
        <f>IFERROR(__xludf.DUMMYFUNCTION("VLOOKUP(G420,IMPORTRANGE(""https://docs.google.com/spreadsheets/d/12RxCea4e5ggM7QGn1XE3FbLQa_-QbCNdBi90OdPjRqg/edit?gid=1692403370#gid=1692403370"", ""'Plan de Compras'!D4:2432""), 8,0)"),12.0)</f>
        <v>12</v>
      </c>
      <c r="K420" s="26" t="str">
        <f t="shared" si="1"/>
        <v>SI</v>
      </c>
      <c r="L420" s="29"/>
      <c r="M420" s="61"/>
      <c r="N420" s="42"/>
      <c r="O420" s="32"/>
      <c r="P420" s="32"/>
      <c r="Q420" s="41"/>
      <c r="R420" s="61"/>
      <c r="S420" s="34" t="b">
        <v>1</v>
      </c>
      <c r="T420" s="35" t="s">
        <v>1333</v>
      </c>
      <c r="U420" s="35" t="s">
        <v>1334</v>
      </c>
      <c r="V420" s="76" t="s">
        <v>1335</v>
      </c>
      <c r="W420" s="37" t="str">
        <f>IFERROR(__xludf.DUMMYFUNCTION("IFERROR(VLOOKUP(G420,IMPORTRANGE(""https://docs.google.com/spreadsheets/d/12RxCea4e5ggM7QGn1XE3FbLQa_-QbCNdBi90OdPjRqg"", ""'Plan de Compras'!D4:Q""), 12, 0), ""NO ESTÁ EN REQ"")"),"Técnica")</f>
        <v>Técnica</v>
      </c>
      <c r="X420" s="37" t="str">
        <f>IFERROR(__xludf.DUMMYFUNCTION("IFERROR(VLOOKUP(G420,IMPORTRANGE(""https://docs.google.com/spreadsheets/d/12RxCea4e5ggM7QGn1XE3FbLQa_-QbCNdBi90OdPjRqg"", ""'Plan de Compras'!D4:Q""), 13, 0), """")"),"NACIONAL")</f>
        <v>NACIONAL</v>
      </c>
      <c r="Y420" s="32" t="str">
        <f>IFERROR(__xludf.DUMMYFUNCTION("IFERROR(VLOOKUP(G420,IMPORTRANGE(""https://docs.google.com/spreadsheets/d/12RxCea4e5ggM7QGn1XE3FbLQa_-QbCNdBi90OdPjRqg"", ""'Plan de Compras'!D4:Q""), 14, 0), """")"),"GEANFRANCO")</f>
        <v>GEANFRANCO</v>
      </c>
      <c r="Z420" s="38" t="str">
        <f>IFERROR(__xludf.DUMMYFUNCTION("IFERROR(VLOOKUP(G420,IMPORTRANGE(""https://docs.google.com/spreadsheets/d/12RxCea4e5ggM7QGn1XE3FbLQa_-QbCNdBi90OdPjRqg"", ""'Plan de Compras'!D4:Q""), 4, 0), """")"),"SENSOR DE PROXIMIDAD CAPACITIVOS PNP")</f>
        <v>SENSOR DE PROXIMIDAD CAPACITIVOS PNP</v>
      </c>
      <c r="AA420" s="38" t="str">
        <f t="shared" si="16"/>
        <v>FALSE</v>
      </c>
      <c r="AB420" s="37" t="str">
        <f>IFERROR(__xludf.DUMMYFUNCTION("IFERROR(IF(OR(C420=TRUE,C420=""""),VLOOKUP(G420,IMPORTRANGE(""https://docs.google.com/spreadsheets/d/1z9A1Wq-kKrhRNG5RS2a2fKpY1wIhSVz2ZNmP2mOl588/edit?usp=sharing"",""REQ VF!E4:H""),4,0),""NO APLICA""),""GENERAR REQ"")"),"GENERAR REQ")</f>
        <v>GENERAR REQ</v>
      </c>
      <c r="AC420" s="37" t="str">
        <f>IFERROR(__xludf.DUMMYFUNCTION("IFERROR(QUERY(IMPORTRANGE(""https://docs.google.com/spreadsheets/d/1z9A1Wq-kKrhRNG5RS2a2fKpY1wIhSVz2ZNmP2mOl588/edit?usp=sharing"",""REQ VF!E4:Q""),""SELECT Col10, Col11, Col12 WHERE Col1 = '""&amp;G420&amp;""'"",0),""NO APLICA"")"),"NO APLICA")</f>
        <v>NO APLICA</v>
      </c>
      <c r="AD420" s="37"/>
      <c r="AE420" s="37"/>
      <c r="AF420" s="13"/>
      <c r="AG420" s="13"/>
    </row>
    <row r="421">
      <c r="A421" s="26"/>
      <c r="B421" s="26"/>
      <c r="C421" s="26" t="b">
        <v>1</v>
      </c>
      <c r="D421" s="26" t="s">
        <v>95</v>
      </c>
      <c r="E421" s="26" t="b">
        <v>0</v>
      </c>
      <c r="F421" s="27" t="s">
        <v>1328</v>
      </c>
      <c r="G421" s="39" t="s">
        <v>1336</v>
      </c>
      <c r="H421" s="40" t="s">
        <v>1337</v>
      </c>
      <c r="I421" s="43">
        <f>I419</f>
        <v>12</v>
      </c>
      <c r="J421" s="26">
        <f>IFERROR(__xludf.DUMMYFUNCTION("VLOOKUP(G421,IMPORTRANGE(""https://docs.google.com/spreadsheets/d/12RxCea4e5ggM7QGn1XE3FbLQa_-QbCNdBi90OdPjRqg/edit?gid=1692403370#gid=1692403370"", ""'Plan de Compras'!D4:2432""), 8,0)"),12.0)</f>
        <v>12</v>
      </c>
      <c r="K421" s="26" t="str">
        <f t="shared" si="1"/>
        <v>SI</v>
      </c>
      <c r="L421" s="29"/>
      <c r="M421" s="61"/>
      <c r="N421" s="42"/>
      <c r="O421" s="32"/>
      <c r="P421" s="32"/>
      <c r="Q421" s="41"/>
      <c r="R421" s="61"/>
      <c r="S421" s="34" t="b">
        <v>1</v>
      </c>
      <c r="T421" s="35" t="s">
        <v>1333</v>
      </c>
      <c r="U421" s="35" t="s">
        <v>1338</v>
      </c>
      <c r="V421" s="36" t="s">
        <v>1339</v>
      </c>
      <c r="W421" s="37" t="str">
        <f>IFERROR(__xludf.DUMMYFUNCTION("IFERROR(VLOOKUP(G421,IMPORTRANGE(""https://docs.google.com/spreadsheets/d/12RxCea4e5ggM7QGn1XE3FbLQa_-QbCNdBi90OdPjRqg"", ""'Plan de Compras'!D4:Q""), 12, 0), ""NO ESTÁ EN REQ"")"),"Técnica")</f>
        <v>Técnica</v>
      </c>
      <c r="X421" s="37" t="str">
        <f>IFERROR(__xludf.DUMMYFUNCTION("IFERROR(VLOOKUP(G421,IMPORTRANGE(""https://docs.google.com/spreadsheets/d/12RxCea4e5ggM7QGn1XE3FbLQa_-QbCNdBi90OdPjRqg"", ""'Plan de Compras'!D4:Q""), 13, 0), """")"),"NACIONAL")</f>
        <v>NACIONAL</v>
      </c>
      <c r="Y421" s="32" t="str">
        <f>IFERROR(__xludf.DUMMYFUNCTION("IFERROR(VLOOKUP(G421,IMPORTRANGE(""https://docs.google.com/spreadsheets/d/12RxCea4e5ggM7QGn1XE3FbLQa_-QbCNdBi90OdPjRqg"", ""'Plan de Compras'!D4:Q""), 14, 0), """")"),"GEANFRANCO")</f>
        <v>GEANFRANCO</v>
      </c>
      <c r="Z421" s="38" t="str">
        <f>IFERROR(__xludf.DUMMYFUNCTION("IFERROR(VLOOKUP(G421,IMPORTRANGE(""https://docs.google.com/spreadsheets/d/12RxCea4e5ggM7QGn1XE3FbLQa_-QbCNdBi90OdPjRqg"", ""'Plan de Compras'!D4:Q""), 4, 0), """")"),"SENSOR DE PROXIMIDAD CAPACITIVOS NPN")</f>
        <v>SENSOR DE PROXIMIDAD CAPACITIVOS NPN</v>
      </c>
      <c r="AA421" s="38" t="str">
        <f t="shared" si="16"/>
        <v>FALSE</v>
      </c>
      <c r="AB421" s="37" t="str">
        <f>IFERROR(__xludf.DUMMYFUNCTION("IFERROR(IF(OR(C421=TRUE,C421=""""),VLOOKUP(G421,IMPORTRANGE(""https://docs.google.com/spreadsheets/d/1z9A1Wq-kKrhRNG5RS2a2fKpY1wIhSVz2ZNmP2mOl588/edit?usp=sharing"",""REQ VF!E4:H""),4,0),""NO APLICA""),""GENERAR REQ"")"),"GENERAR REQ")</f>
        <v>GENERAR REQ</v>
      </c>
      <c r="AC421" s="37" t="str">
        <f>IFERROR(__xludf.DUMMYFUNCTION("IFERROR(QUERY(IMPORTRANGE(""https://docs.google.com/spreadsheets/d/1z9A1Wq-kKrhRNG5RS2a2fKpY1wIhSVz2ZNmP2mOl588/edit?usp=sharing"",""REQ VF!E4:Q""),""SELECT Col10, Col11, Col12 WHERE Col1 = '""&amp;G421&amp;""'"",0),""NO APLICA"")"),"NO APLICA")</f>
        <v>NO APLICA</v>
      </c>
      <c r="AD421" s="37"/>
      <c r="AE421" s="37"/>
      <c r="AF421" s="13"/>
      <c r="AG421" s="13"/>
    </row>
    <row r="422">
      <c r="A422" s="26">
        <v>199.0</v>
      </c>
      <c r="B422" s="26" t="b">
        <v>1</v>
      </c>
      <c r="C422" s="26" t="b">
        <v>0</v>
      </c>
      <c r="D422" s="26" t="s">
        <v>35</v>
      </c>
      <c r="E422" s="26" t="s">
        <v>36</v>
      </c>
      <c r="F422" s="27" t="s">
        <v>1340</v>
      </c>
      <c r="G422" s="37" t="s">
        <v>1340</v>
      </c>
      <c r="H422" s="45" t="s">
        <v>1341</v>
      </c>
      <c r="I422" s="43">
        <f>SUMIFS('Hoja 10'!$O:$O,'Hoja 10'!$F:$F,$G422)</f>
        <v>12</v>
      </c>
      <c r="J422" s="26" t="str">
        <f>IFERROR(__xludf.DUMMYFUNCTION("VLOOKUP(G422,IMPORTRANGE(""https://docs.google.com/spreadsheets/d/12RxCea4e5ggM7QGn1XE3FbLQa_-QbCNdBi90OdPjRqg/edit?gid=1692403370#gid=1692403370"", ""'Plan de Compras'!D4:2432""), 8,0)"),"#N/A")</f>
        <v>#N/A</v>
      </c>
      <c r="K422" s="26" t="str">
        <f t="shared" si="1"/>
        <v>-</v>
      </c>
      <c r="L422" s="29" t="s">
        <v>180</v>
      </c>
      <c r="M422" s="30" t="s">
        <v>181</v>
      </c>
      <c r="N422" s="42"/>
      <c r="O422" s="32" t="str">
        <f>VLOOKUP($G422,'Hoja 10'!$F$4:$AA478, 19,0)</f>
        <v>IME		</v>
      </c>
      <c r="P422" s="32" t="str">
        <f>VLOOKUP($G422,'Hoja 10'!$F$4:$AA478, 20,0)</f>
        <v> Sensor inductivo M30 </v>
      </c>
      <c r="Q422" s="41" t="str">
        <f>VLOOKUP($G422,'Hoja 10'!$F$4:$AA478, 21,0)</f>
        <v>Sensor de proximidad inductivos_FT.pdf</v>
      </c>
      <c r="R422" s="30" t="s">
        <v>1342</v>
      </c>
      <c r="S422" s="34" t="b">
        <v>1</v>
      </c>
      <c r="T422" s="35" t="str">
        <f>IFERROR(__xludf.DUMMYFUNCTION(" IF
( VLOOKUP($G422,IMPORTRANGE(""https://docs.google.com/spreadsheets/d/1Gpl6jkTg7sL4VDNimUm3S9Vi1i95esohXCF3wuKOE8c"", ""'CONSOLIDADO'!G5:AB""), 10, 0) &lt;&gt; 0, 
IFERROR(VLOOKUP($G422,IMPORTRANGE(""https://docs.google.com/spreadsheets/d/1Gpl6jkTg7sL4VDNimU"&amp;"m3S9Vi1i95esohXCF3wuKOE8c"", ""'CONSOLIDADO'!G5:AB""), 17, 0), ""-""),
""""
)"),"IME")</f>
        <v>IME</v>
      </c>
      <c r="U422" s="35" t="str">
        <f>IFERROR(__xludf.DUMMYFUNCTION(" IF
( VLOOKUP($G422,IMPORTRANGE(""https://docs.google.com/spreadsheets/d/1Gpl6jkTg7sL4VDNimUm3S9Vi1i95esohXCF3wuKOE8c"", ""'CONSOLIDADO'!G5:AB""), 10, 0) &lt;&gt; 0, 
IFERROR(VLOOKUP($G422,IMPORTRANGE(""https://docs.google.com/spreadsheets/d/1Gpl6jkTg7sL4VDNimU"&amp;"m3S9Vi1i95esohXCF3wuKOE8c"", ""'CONSOLIDADO'!G5:AB""), 18, 0), ""-""),
""""
)"),"SICK IME30-15BNOZW2S
SICK IME30-15BPOZW2S")</f>
        <v>SICK IME30-15BNOZW2S
SICK IME30-15BPOZW2S</v>
      </c>
      <c r="V422" s="36" t="str">
        <f>IFERROR(__xludf.DUMMYFUNCTION(" IF
( VLOOKUP($G422,IMPORTRANGE(""https://docs.google.com/spreadsheets/d/1Gpl6jkTg7sL4VDNimUm3S9Vi1i95esohXCF3wuKOE8c"", ""'CONSOLIDADO'!G5:AB""), 10, 0) &lt;&gt; 0, 
IFERROR(VLOOKUP($G422,IMPORTRANGE(""https://docs.google.com/spreadsheets/d/1Gpl6jkTg7sL4VDNimU"&amp;"m3S9Vi1i95esohXCF3wuKOE8c"", ""'CONSOLIDADO'!G5:AB""), 19, 0), ""-""),
""""
)"),"https://www.sick.com/media/pdf/9/49/649/dataSheet_IME30-15BPOZW2S_1041036_es.pdf")</f>
        <v>https://www.sick.com/media/pdf/9/49/649/dataSheet_IME30-15BPOZW2S_1041036_es.pdf</v>
      </c>
      <c r="W422" s="37" t="str">
        <f>IFERROR(__xludf.DUMMYFUNCTION("IFERROR(VLOOKUP(G422,IMPORTRANGE(""https://docs.google.com/spreadsheets/d/12RxCea4e5ggM7QGn1XE3FbLQa_-QbCNdBi90OdPjRqg"", ""'Plan de Compras'!D4:Q""), 12, 0), ""NO ESTÁ EN REQ"")"),"NO ESTÁ EN REQ")</f>
        <v>NO ESTÁ EN REQ</v>
      </c>
      <c r="X422" s="37" t="str">
        <f>IFERROR(__xludf.DUMMYFUNCTION("IFERROR(VLOOKUP(G422,IMPORTRANGE(""https://docs.google.com/spreadsheets/d/12RxCea4e5ggM7QGn1XE3FbLQa_-QbCNdBi90OdPjRqg"", ""'Plan de Compras'!D4:Q""), 13, 0), """")"),"")</f>
        <v/>
      </c>
      <c r="Y422" s="32" t="str">
        <f>IFERROR(__xludf.DUMMYFUNCTION("IFERROR(VLOOKUP(G422,IMPORTRANGE(""https://docs.google.com/spreadsheets/d/12RxCea4e5ggM7QGn1XE3FbLQa_-QbCNdBi90OdPjRqg"", ""'Plan de Compras'!D4:Q""), 14, 0), """")"),"")</f>
        <v/>
      </c>
      <c r="Z422" s="38" t="str">
        <f>IFERROR(__xludf.DUMMYFUNCTION("IFERROR(VLOOKUP(G422,IMPORTRANGE(""https://docs.google.com/spreadsheets/d/12RxCea4e5ggM7QGn1XE3FbLQa_-QbCNdBi90OdPjRqg"", ""'Plan de Compras'!D4:Q""), 4, 0), """")"),"")</f>
        <v/>
      </c>
      <c r="AA422" s="38" t="str">
        <f t="shared" si="16"/>
        <v>FALSE</v>
      </c>
      <c r="AB422" s="37" t="str">
        <f>IFERROR(__xludf.DUMMYFUNCTION("IFERROR(IF(OR(C422=TRUE,C422=""""),VLOOKUP(G422,IMPORTRANGE(""https://docs.google.com/spreadsheets/d/1z9A1Wq-kKrhRNG5RS2a2fKpY1wIhSVz2ZNmP2mOl588/edit?usp=sharing"",""REQ VF!E4:H""),4,0),""NO APLICA""),""GENERAR REQ"")"),"NO APLICA")</f>
        <v>NO APLICA</v>
      </c>
      <c r="AC422" s="37" t="str">
        <f>IFERROR(__xludf.DUMMYFUNCTION("IFERROR(QUERY(IMPORTRANGE(""https://docs.google.com/spreadsheets/d/1z9A1Wq-kKrhRNG5RS2a2fKpY1wIhSVz2ZNmP2mOl588/edit?usp=sharing"",""REQ VF!E4:Q""),""SELECT Col10, Col11, Col12 WHERE Col1 = '""&amp;G422&amp;""'"",0),""NO APLICA"")"),"NO APLICA")</f>
        <v>NO APLICA</v>
      </c>
      <c r="AD422" s="37"/>
      <c r="AE422" s="37"/>
      <c r="AF422" s="13"/>
      <c r="AG422" s="13"/>
    </row>
    <row r="423">
      <c r="A423" s="26"/>
      <c r="B423" s="26"/>
      <c r="C423" s="26" t="b">
        <v>1</v>
      </c>
      <c r="D423" s="26" t="s">
        <v>42</v>
      </c>
      <c r="E423" s="26" t="s">
        <v>36</v>
      </c>
      <c r="F423" s="59" t="s">
        <v>1340</v>
      </c>
      <c r="G423" s="37" t="s">
        <v>1343</v>
      </c>
      <c r="H423" s="45" t="s">
        <v>1344</v>
      </c>
      <c r="I423" s="43">
        <f>$I$422</f>
        <v>12</v>
      </c>
      <c r="J423" s="26">
        <f>IFERROR(__xludf.DUMMYFUNCTION("VLOOKUP(G423,IMPORTRANGE(""https://docs.google.com/spreadsheets/d/12RxCea4e5ggM7QGn1XE3FbLQa_-QbCNdBi90OdPjRqg/edit?gid=1692403370#gid=1692403370"", ""'Plan de Compras'!D4:2432""), 8,0)"),12.0)</f>
        <v>12</v>
      </c>
      <c r="K423" s="26" t="str">
        <f t="shared" si="1"/>
        <v>SI</v>
      </c>
      <c r="L423" s="26"/>
      <c r="M423" s="41"/>
      <c r="N423" s="26" t="s">
        <v>1345</v>
      </c>
      <c r="O423" s="42"/>
      <c r="P423" s="42"/>
      <c r="Q423" s="55" t="s">
        <v>1346</v>
      </c>
      <c r="R423" s="41"/>
      <c r="S423" s="44" t="b">
        <v>0</v>
      </c>
      <c r="T423" s="72"/>
      <c r="U423" s="72"/>
      <c r="V423" s="44"/>
      <c r="W423" s="37" t="str">
        <f>IFERROR(__xludf.DUMMYFUNCTION("IFERROR(VLOOKUP(G423,IMPORTRANGE(""https://docs.google.com/spreadsheets/d/12RxCea4e5ggM7QGn1XE3FbLQa_-QbCNdBi90OdPjRqg"", ""'Plan de Compras'!D4:Q""), 12, 0), ""NO ESTÁ EN REQ"")"),"Técnica")</f>
        <v>Técnica</v>
      </c>
      <c r="X423" s="37" t="str">
        <f>IFERROR(__xludf.DUMMYFUNCTION("IFERROR(VLOOKUP(G423,IMPORTRANGE(""https://docs.google.com/spreadsheets/d/12RxCea4e5ggM7QGn1XE3FbLQa_-QbCNdBi90OdPjRqg"", ""'Plan de Compras'!D4:Q""), 13, 0), """")"),"NACIONAL")</f>
        <v>NACIONAL</v>
      </c>
      <c r="Y423" s="32" t="str">
        <f>IFERROR(__xludf.DUMMYFUNCTION("IFERROR(VLOOKUP(G423,IMPORTRANGE(""https://docs.google.com/spreadsheets/d/12RxCea4e5ggM7QGn1XE3FbLQa_-QbCNdBi90OdPjRqg"", ""'Plan de Compras'!D4:Q""), 14, 0), """")"),"GEANFRANCO")</f>
        <v>GEANFRANCO</v>
      </c>
      <c r="Z423" s="38" t="str">
        <f>IFERROR(__xludf.DUMMYFUNCTION("IFERROR(VLOOKUP(G423,IMPORTRANGE(""https://docs.google.com/spreadsheets/d/12RxCea4e5ggM7QGn1XE3FbLQa_-QbCNdBi90OdPjRqg"", ""'Plan de Compras'!D4:Q""), 4, 0), """")"),"TURCK RKC4T-2/TEL (1 UND)")</f>
        <v>TURCK RKC4T-2/TEL (1 UND)</v>
      </c>
      <c r="AA423" s="38" t="str">
        <f t="shared" si="16"/>
        <v>TRUE</v>
      </c>
      <c r="AB423" s="37" t="str">
        <f>IFERROR(__xludf.DUMMYFUNCTION("IFERROR(IF(OR(C423=TRUE,C423=""""),VLOOKUP(G423,IMPORTRANGE(""https://docs.google.com/spreadsheets/d/1z9A1Wq-kKrhRNG5RS2a2fKpY1wIhSVz2ZNmP2mOl588/edit?usp=sharing"",""REQ VF!E4:H""),4,0),""NO APLICA""),""GENERAR REQ"")"),"GENERAR REQ")</f>
        <v>GENERAR REQ</v>
      </c>
      <c r="AC423" s="37" t="str">
        <f>IFERROR(__xludf.DUMMYFUNCTION("IFERROR(QUERY(IMPORTRANGE(""https://docs.google.com/spreadsheets/d/1z9A1Wq-kKrhRNG5RS2a2fKpY1wIhSVz2ZNmP2mOl588/edit?usp=sharing"",""REQ VF!E4:Q""),""SELECT Col10, Col11, Col12 WHERE Col1 = '""&amp;G423&amp;""'"",0),""NO APLICA"")"),"NO APLICA")</f>
        <v>NO APLICA</v>
      </c>
      <c r="AD423" s="37"/>
      <c r="AE423" s="37"/>
      <c r="AF423" s="13"/>
      <c r="AG423" s="13"/>
    </row>
    <row r="424">
      <c r="A424" s="26"/>
      <c r="B424" s="26"/>
      <c r="C424" s="26" t="b">
        <v>1</v>
      </c>
      <c r="D424" s="26" t="s">
        <v>95</v>
      </c>
      <c r="E424" s="26" t="s">
        <v>36</v>
      </c>
      <c r="F424" s="59" t="s">
        <v>1340</v>
      </c>
      <c r="G424" s="37" t="s">
        <v>1347</v>
      </c>
      <c r="H424" s="40" t="s">
        <v>1348</v>
      </c>
      <c r="I424" s="43">
        <v>12.0</v>
      </c>
      <c r="J424" s="26">
        <f>IFERROR(__xludf.DUMMYFUNCTION("VLOOKUP(G424,IMPORTRANGE(""https://docs.google.com/spreadsheets/d/12RxCea4e5ggM7QGn1XE3FbLQa_-QbCNdBi90OdPjRqg/edit?gid=1692403370#gid=1692403370"", ""'Plan de Compras'!D4:2432""), 8,0)"),12.0)</f>
        <v>12</v>
      </c>
      <c r="K424" s="26" t="str">
        <f t="shared" si="1"/>
        <v>SI</v>
      </c>
      <c r="L424" s="26"/>
      <c r="M424" s="41"/>
      <c r="N424" s="26"/>
      <c r="O424" s="42"/>
      <c r="P424" s="42"/>
      <c r="Q424" s="54"/>
      <c r="R424" s="41"/>
      <c r="S424" s="34" t="b">
        <v>1</v>
      </c>
      <c r="T424" s="35" t="s">
        <v>1349</v>
      </c>
      <c r="U424" s="35" t="s">
        <v>1350</v>
      </c>
      <c r="V424" s="44"/>
      <c r="W424" s="37" t="str">
        <f>IFERROR(__xludf.DUMMYFUNCTION("IFERROR(VLOOKUP(G424,IMPORTRANGE(""https://docs.google.com/spreadsheets/d/12RxCea4e5ggM7QGn1XE3FbLQa_-QbCNdBi90OdPjRqg"", ""'Plan de Compras'!D4:Q""), 12, 0), ""NO ESTÁ EN REQ"")"),"Técnica")</f>
        <v>Técnica</v>
      </c>
      <c r="X424" s="37" t="str">
        <f>IFERROR(__xludf.DUMMYFUNCTION("IFERROR(VLOOKUP(G424,IMPORTRANGE(""https://docs.google.com/spreadsheets/d/12RxCea4e5ggM7QGn1XE3FbLQa_-QbCNdBi90OdPjRqg"", ""'Plan de Compras'!D4:Q""), 13, 0), """")"),"NACIONAL")</f>
        <v>NACIONAL</v>
      </c>
      <c r="Y424" s="32" t="str">
        <f>IFERROR(__xludf.DUMMYFUNCTION("IFERROR(VLOOKUP(G424,IMPORTRANGE(""https://docs.google.com/spreadsheets/d/12RxCea4e5ggM7QGn1XE3FbLQa_-QbCNdBi90OdPjRqg"", ""'Plan de Compras'!D4:Q""), 14, 0), """")"),"GEANFRANCO")</f>
        <v>GEANFRANCO</v>
      </c>
      <c r="Z424" s="38" t="str">
        <f>IFERROR(__xludf.DUMMYFUNCTION("IFERROR(VLOOKUP(G424,IMPORTRANGE(""https://docs.google.com/spreadsheets/d/12RxCea4e5ggM7QGn1XE3FbLQa_-QbCNdBi90OdPjRqg"", ""'Plan de Compras'!D4:Q""), 4, 0), """")"),"SENSOR DE PROXIMIDAD INDUCTIVOS NPN")</f>
        <v>SENSOR DE PROXIMIDAD INDUCTIVOS NPN</v>
      </c>
      <c r="AA424" s="38" t="str">
        <f t="shared" si="16"/>
        <v>FALSE</v>
      </c>
      <c r="AB424" s="37" t="str">
        <f>IFERROR(__xludf.DUMMYFUNCTION("IFERROR(IF(OR(C424=TRUE,C424=""""),VLOOKUP(G424,IMPORTRANGE(""https://docs.google.com/spreadsheets/d/1z9A1Wq-kKrhRNG5RS2a2fKpY1wIhSVz2ZNmP2mOl588/edit?usp=sharing"",""REQ VF!E4:H""),4,0),""NO APLICA""),""GENERAR REQ"")"),"GENERAR REQ")</f>
        <v>GENERAR REQ</v>
      </c>
      <c r="AC424" s="37" t="str">
        <f>IFERROR(__xludf.DUMMYFUNCTION("IFERROR(QUERY(IMPORTRANGE(""https://docs.google.com/spreadsheets/d/1z9A1Wq-kKrhRNG5RS2a2fKpY1wIhSVz2ZNmP2mOl588/edit?usp=sharing"",""REQ VF!E4:Q""),""SELECT Col10, Col11, Col12 WHERE Col1 = '""&amp;G424&amp;""'"",0),""NO APLICA"")"),"NO APLICA")</f>
        <v>NO APLICA</v>
      </c>
      <c r="AD424" s="37"/>
      <c r="AE424" s="37"/>
      <c r="AF424" s="13"/>
      <c r="AG424" s="13"/>
    </row>
    <row r="425">
      <c r="A425" s="26"/>
      <c r="B425" s="26"/>
      <c r="C425" s="26" t="b">
        <v>1</v>
      </c>
      <c r="D425" s="26" t="s">
        <v>95</v>
      </c>
      <c r="E425" s="26" t="s">
        <v>36</v>
      </c>
      <c r="F425" s="59" t="s">
        <v>1340</v>
      </c>
      <c r="G425" s="37" t="s">
        <v>1351</v>
      </c>
      <c r="H425" s="40" t="s">
        <v>1352</v>
      </c>
      <c r="I425" s="43">
        <v>12.0</v>
      </c>
      <c r="J425" s="26">
        <f>IFERROR(__xludf.DUMMYFUNCTION("VLOOKUP(G425,IMPORTRANGE(""https://docs.google.com/spreadsheets/d/12RxCea4e5ggM7QGn1XE3FbLQa_-QbCNdBi90OdPjRqg/edit?gid=1692403370#gid=1692403370"", ""'Plan de Compras'!D4:2432""), 8,0)"),12.0)</f>
        <v>12</v>
      </c>
      <c r="K425" s="26" t="str">
        <f t="shared" si="1"/>
        <v>SI</v>
      </c>
      <c r="L425" s="26"/>
      <c r="M425" s="41"/>
      <c r="N425" s="26"/>
      <c r="O425" s="42"/>
      <c r="P425" s="42"/>
      <c r="Q425" s="54"/>
      <c r="R425" s="41"/>
      <c r="S425" s="34" t="b">
        <v>1</v>
      </c>
      <c r="T425" s="35" t="s">
        <v>1349</v>
      </c>
      <c r="U425" s="35" t="s">
        <v>1353</v>
      </c>
      <c r="V425" s="44"/>
      <c r="W425" s="37" t="str">
        <f>IFERROR(__xludf.DUMMYFUNCTION("IFERROR(VLOOKUP(G425,IMPORTRANGE(""https://docs.google.com/spreadsheets/d/12RxCea4e5ggM7QGn1XE3FbLQa_-QbCNdBi90OdPjRqg"", ""'Plan de Compras'!D4:Q""), 12, 0), ""NO ESTÁ EN REQ"")"),"Técnica")</f>
        <v>Técnica</v>
      </c>
      <c r="X425" s="37" t="str">
        <f>IFERROR(__xludf.DUMMYFUNCTION("IFERROR(VLOOKUP(G425,IMPORTRANGE(""https://docs.google.com/spreadsheets/d/12RxCea4e5ggM7QGn1XE3FbLQa_-QbCNdBi90OdPjRqg"", ""'Plan de Compras'!D4:Q""), 13, 0), """")"),"NACIONAL")</f>
        <v>NACIONAL</v>
      </c>
      <c r="Y425" s="32" t="str">
        <f>IFERROR(__xludf.DUMMYFUNCTION("IFERROR(VLOOKUP(G425,IMPORTRANGE(""https://docs.google.com/spreadsheets/d/12RxCea4e5ggM7QGn1XE3FbLQa_-QbCNdBi90OdPjRqg"", ""'Plan de Compras'!D4:Q""), 14, 0), """")"),"GEANFRANCO")</f>
        <v>GEANFRANCO</v>
      </c>
      <c r="Z425" s="38" t="str">
        <f>IFERROR(__xludf.DUMMYFUNCTION("IFERROR(VLOOKUP(G425,IMPORTRANGE(""https://docs.google.com/spreadsheets/d/12RxCea4e5ggM7QGn1XE3FbLQa_-QbCNdBi90OdPjRqg"", ""'Plan de Compras'!D4:Q""), 4, 0), """")"),"SENSOR DE PROXIMIDAD INDUCTIVOS PNP")</f>
        <v>SENSOR DE PROXIMIDAD INDUCTIVOS PNP</v>
      </c>
      <c r="AA425" s="38" t="str">
        <f t="shared" si="16"/>
        <v>FALSE</v>
      </c>
      <c r="AB425" s="37" t="str">
        <f>IFERROR(__xludf.DUMMYFUNCTION("IFERROR(IF(OR(C425=TRUE,C425=""""),VLOOKUP(G425,IMPORTRANGE(""https://docs.google.com/spreadsheets/d/1z9A1Wq-kKrhRNG5RS2a2fKpY1wIhSVz2ZNmP2mOl588/edit?usp=sharing"",""REQ VF!E4:H""),4,0),""NO APLICA""),""GENERAR REQ"")"),"GENERAR REQ")</f>
        <v>GENERAR REQ</v>
      </c>
      <c r="AC425" s="37" t="str">
        <f>IFERROR(__xludf.DUMMYFUNCTION("IFERROR(QUERY(IMPORTRANGE(""https://docs.google.com/spreadsheets/d/1z9A1Wq-kKrhRNG5RS2a2fKpY1wIhSVz2ZNmP2mOl588/edit?usp=sharing"",""REQ VF!E4:Q""),""SELECT Col10, Col11, Col12 WHERE Col1 = '""&amp;G425&amp;""'"",0),""NO APLICA"")"),"NO APLICA")</f>
        <v>NO APLICA</v>
      </c>
      <c r="AD425" s="37"/>
      <c r="AE425" s="37"/>
      <c r="AF425" s="13"/>
      <c r="AG425" s="13"/>
    </row>
    <row r="426">
      <c r="A426" s="26">
        <v>200.0</v>
      </c>
      <c r="B426" s="26" t="b">
        <v>1</v>
      </c>
      <c r="C426" s="26" t="b">
        <v>1</v>
      </c>
      <c r="D426" s="26" t="s">
        <v>35</v>
      </c>
      <c r="E426" s="26" t="s">
        <v>36</v>
      </c>
      <c r="F426" s="27" t="s">
        <v>1354</v>
      </c>
      <c r="G426" s="37" t="s">
        <v>1354</v>
      </c>
      <c r="H426" s="45" t="s">
        <v>1355</v>
      </c>
      <c r="I426" s="43">
        <f>SUMIFS('Hoja 10'!$O:$O,'Hoja 10'!$F:$F,$G426)</f>
        <v>12</v>
      </c>
      <c r="J426" s="26">
        <f>IFERROR(__xludf.DUMMYFUNCTION("VLOOKUP(G426,IMPORTRANGE(""https://docs.google.com/spreadsheets/d/12RxCea4e5ggM7QGn1XE3FbLQa_-QbCNdBi90OdPjRqg/edit?gid=1692403370#gid=1692403370"", ""'Plan de Compras'!D4:2432""), 8,0)"),12.0)</f>
        <v>12</v>
      </c>
      <c r="K426" s="26" t="str">
        <f t="shared" si="1"/>
        <v>SI</v>
      </c>
      <c r="L426" s="29" t="s">
        <v>180</v>
      </c>
      <c r="M426" s="30" t="s">
        <v>181</v>
      </c>
      <c r="N426" s="42"/>
      <c r="O426" s="32" t="str">
        <f>VLOOKUP($G426,'Hoja 10'!$F$4:$AA478, 19,0)</f>
        <v>Pepperl+Fuchs</v>
      </c>
      <c r="P426" s="32" t="str">
        <f>VLOOKUP($G426,'Hoja 10'!$F$4:$AA478, 20,0)</f>
        <v>OBR12M-R101-2EP-IO-V31-L</v>
      </c>
      <c r="Q426" s="41" t="str">
        <f>VLOOKUP($G426,'Hoja 10'!$F$4:$AA478, 21,0)</f>
        <v>SENSORES FOTOELÉCTRICOS_FT.pdf</v>
      </c>
      <c r="R426" s="30" t="s">
        <v>1356</v>
      </c>
      <c r="S426" s="34" t="b">
        <v>1</v>
      </c>
      <c r="T426" s="35" t="str">
        <f>IFERROR(__xludf.DUMMYFUNCTION(" IF
( VLOOKUP($G426,IMPORTRANGE(""https://docs.google.com/spreadsheets/d/1Gpl6jkTg7sL4VDNimUm3S9Vi1i95esohXCF3wuKOE8c"", ""'CONSOLIDADO'!G5:AB""), 10, 0) &lt;&gt; 0, 
IFERROR(VLOOKUP($G426,IMPORTRANGE(""https://docs.google.com/spreadsheets/d/1Gpl6jkTg7sL4VDNimU"&amp;"m3S9Vi1i95esohXCF3wuKOE8c"", ""'CONSOLIDADO'!G5:AB""), 17, 0), ""-""),
""""
)"),"PEPPERL+FUCHS")</f>
        <v>PEPPERL+FUCHS</v>
      </c>
      <c r="U426" s="35" t="str">
        <f>IFERROR(__xludf.DUMMYFUNCTION(" IF
( VLOOKUP($G426,IMPORTRANGE(""https://docs.google.com/spreadsheets/d/1Gpl6jkTg7sL4VDNimUm3S9Vi1i95esohXCF3wuKOE8c"", ""'CONSOLIDADO'!G5:AB""), 10, 0) &lt;&gt; 0, 
IFERROR(VLOOKUP($G426,IMPORTRANGE(""https://docs.google.com/spreadsheets/d/1Gpl6jkTg7sL4VDNimU"&amp;"m3S9Vi1i95esohXCF3wuKOE8c"", ""'CONSOLIDADO'!G5:AB""), 18, 0), ""-""),
""""
)"),"OBR12M-R101-2EP-IO-V31-L")</f>
        <v>OBR12M-R101-2EP-IO-V31-L</v>
      </c>
      <c r="V426" s="36" t="str">
        <f>IFERROR(__xludf.DUMMYFUNCTION(" IF
( VLOOKUP($G426,IMPORTRANGE(""https://docs.google.com/spreadsheets/d/1Gpl6jkTg7sL4VDNimUm3S9Vi1i95esohXCF3wuKOE8c"", ""'CONSOLIDADO'!G5:AB""), 10, 0) &lt;&gt; 0, 
IFERROR(VLOOKUP($G426,IMPORTRANGE(""https://docs.google.com/spreadsheets/d/1Gpl6jkTg7sL4VDNimU"&amp;"m3S9Vi1i95esohXCF3wuKOE8c"", ""'CONSOLIDADO'!G5:AB""), 19, 0), ""-""),
""""
)"),"https://www.pepperl-fuchs.com/es/products-gp25581/69879")</f>
        <v>https://www.pepperl-fuchs.com/es/products-gp25581/69879</v>
      </c>
      <c r="W426" s="37" t="str">
        <f>IFERROR(__xludf.DUMMYFUNCTION("IFERROR(VLOOKUP(G426,IMPORTRANGE(""https://docs.google.com/spreadsheets/d/12RxCea4e5ggM7QGn1XE3FbLQa_-QbCNdBi90OdPjRqg"", ""'Plan de Compras'!D4:Q""), 12, 0), ""NO ESTÁ EN REQ"")"),"Técnica")</f>
        <v>Técnica</v>
      </c>
      <c r="X426" s="37" t="str">
        <f>IFERROR(__xludf.DUMMYFUNCTION("IFERROR(VLOOKUP(G426,IMPORTRANGE(""https://docs.google.com/spreadsheets/d/12RxCea4e5ggM7QGn1XE3FbLQa_-QbCNdBi90OdPjRqg"", ""'Plan de Compras'!D4:Q""), 13, 0), """")"),"INTERNACIONAL")</f>
        <v>INTERNACIONAL</v>
      </c>
      <c r="Y426" s="32" t="str">
        <f>IFERROR(__xludf.DUMMYFUNCTION("IFERROR(VLOOKUP(G426,IMPORTRANGE(""https://docs.google.com/spreadsheets/d/12RxCea4e5ggM7QGn1XE3FbLQa_-QbCNdBi90OdPjRqg"", ""'Plan de Compras'!D4:Q""), 14, 0), """")"),"GIANFRANCO")</f>
        <v>GIANFRANCO</v>
      </c>
      <c r="Z426" s="38" t="str">
        <f>IFERROR(__xludf.DUMMYFUNCTION("IFERROR(VLOOKUP(G426,IMPORTRANGE(""https://docs.google.com/spreadsheets/d/12RxCea4e5ggM7QGn1XE3FbLQa_-QbCNdBi90OdPjRqg"", ""'Plan de Compras'!D4:Q""), 4, 0), """")"),"SENSORES FOTOELÉCTRICOS")</f>
        <v>SENSORES FOTOELÉCTRICOS</v>
      </c>
      <c r="AA426" s="38" t="str">
        <f t="shared" si="16"/>
        <v>TRUE</v>
      </c>
      <c r="AB426" s="37" t="str">
        <f>IFERROR(__xludf.DUMMYFUNCTION("IFERROR(IF(OR(C426=TRUE,C426=""""),VLOOKUP(G426,IMPORTRANGE(""https://docs.google.com/spreadsheets/d/1z9A1Wq-kKrhRNG5RS2a2fKpY1wIhSVz2ZNmP2mOl588/edit?usp=sharing"",""REQ VF!E4:H""),4,0),""NO APLICA""),""GENERAR REQ"")"),"GENERAR REQ")</f>
        <v>GENERAR REQ</v>
      </c>
      <c r="AC426" s="37" t="str">
        <f>IFERROR(__xludf.DUMMYFUNCTION("IFERROR(QUERY(IMPORTRANGE(""https://docs.google.com/spreadsheets/d/1z9A1Wq-kKrhRNG5RS2a2fKpY1wIhSVz2ZNmP2mOl588/edit?usp=sharing"",""REQ VF!E4:Q""),""SELECT Col10, Col11, Col12 WHERE Col1 = '""&amp;G426&amp;""'"",0),""NO APLICA"")"),"NO APLICA")</f>
        <v>NO APLICA</v>
      </c>
      <c r="AD426" s="37"/>
      <c r="AE426" s="37"/>
      <c r="AF426" s="8" t="s">
        <v>52</v>
      </c>
      <c r="AG426" s="13"/>
    </row>
    <row r="427">
      <c r="A427" s="26">
        <v>201.0</v>
      </c>
      <c r="B427" s="26" t="b">
        <v>1</v>
      </c>
      <c r="C427" s="26" t="b">
        <v>1</v>
      </c>
      <c r="D427" s="26" t="s">
        <v>35</v>
      </c>
      <c r="E427" s="26" t="s">
        <v>36</v>
      </c>
      <c r="F427" s="27" t="s">
        <v>1357</v>
      </c>
      <c r="G427" s="37" t="s">
        <v>1357</v>
      </c>
      <c r="H427" s="45" t="s">
        <v>1358</v>
      </c>
      <c r="I427" s="43">
        <f>SUMIFS('Hoja 10'!$O:$O,'Hoja 10'!$F:$F,$G427)</f>
        <v>2</v>
      </c>
      <c r="J427" s="26">
        <f>IFERROR(__xludf.DUMMYFUNCTION("VLOOKUP(G427,IMPORTRANGE(""https://docs.google.com/spreadsheets/d/12RxCea4e5ggM7QGn1XE3FbLQa_-QbCNdBi90OdPjRqg/edit?gid=1692403370#gid=1692403370"", ""'Plan de Compras'!D4:2432""), 8,0)"),2.0)</f>
        <v>2</v>
      </c>
      <c r="K427" s="26" t="str">
        <f t="shared" si="1"/>
        <v>SI</v>
      </c>
      <c r="L427" s="29" t="s">
        <v>296</v>
      </c>
      <c r="M427" s="30" t="s">
        <v>297</v>
      </c>
      <c r="N427" s="42"/>
      <c r="O427" s="32" t="str">
        <f>VLOOKUP($G427,'Hoja 10'!$F$4:$AA478, 19,0)</f>
        <v>BOSCH</v>
      </c>
      <c r="P427" s="32" t="str">
        <f>VLOOKUP($G427,'Hoja 10'!$F$4:$AA478, 20,0)</f>
        <v>GST 90 BE PROFESSIONAL</v>
      </c>
      <c r="Q427" s="33" t="str">
        <f>VLOOKUP($G427,'Hoja 10'!$F$4:$AA478, 21,0)</f>
        <v>https://www.bosch-professional.com/binary/manualsmedia/o224152v21_1_609_92A_2BZ_1406.pdf</v>
      </c>
      <c r="R427" s="30" t="s">
        <v>1359</v>
      </c>
      <c r="S427" s="34" t="b">
        <v>1</v>
      </c>
      <c r="T427" s="35" t="str">
        <f>IFERROR(__xludf.DUMMYFUNCTION(" IF
( VLOOKUP($G427,IMPORTRANGE(""https://docs.google.com/spreadsheets/d/1Gpl6jkTg7sL4VDNimUm3S9Vi1i95esohXCF3wuKOE8c"", ""'CONSOLIDADO'!G5:AB""), 10, 0) &lt;&gt; 0, 
IFERROR(VLOOKUP($G427,IMPORTRANGE(""https://docs.google.com/spreadsheets/d/1Gpl6jkTg7sL4VDNimU"&amp;"m3S9Vi1i95esohXCF3wuKOE8c"", ""'CONSOLIDADO'!G5:AB""), 17, 0), ""-""),
""""
)"),"BOSCH")</f>
        <v>BOSCH</v>
      </c>
      <c r="U427" s="35" t="str">
        <f>IFERROR(__xludf.DUMMYFUNCTION(" IF
( VLOOKUP($G427,IMPORTRANGE(""https://docs.google.com/spreadsheets/d/1Gpl6jkTg7sL4VDNimUm3S9Vi1i95esohXCF3wuKOE8c"", ""'CONSOLIDADO'!G5:AB""), 10, 0) &lt;&gt; 0, 
IFERROR(VLOOKUP($G427,IMPORTRANGE(""https://docs.google.com/spreadsheets/d/1Gpl6jkTg7sL4VDNimU"&amp;"m3S9Vi1i95esohXCF3wuKOE8c"", ""'CONSOLIDADO'!G5:AB""), 18, 0), ""-""),
""""
)"),"GST 90 BE PROFESSIONAL")</f>
        <v>GST 90 BE PROFESSIONAL</v>
      </c>
      <c r="V427" s="36" t="str">
        <f>IFERROR(__xludf.DUMMYFUNCTION(" IF
( VLOOKUP($G427,IMPORTRANGE(""https://docs.google.com/spreadsheets/d/1Gpl6jkTg7sL4VDNimUm3S9Vi1i95esohXCF3wuKOE8c"", ""'CONSOLIDADO'!G5:AB""), 10, 0) &lt;&gt; 0, 
IFERROR(VLOOKUP($G427,IMPORTRANGE(""https://docs.google.com/spreadsheets/d/1Gpl6jkTg7sL4VDNimU"&amp;"m3S9Vi1i95esohXCF3wuKOE8c"", ""'CONSOLIDADO'!G5:AB""), 19, 0), ""-""),
""""
)"),"https://www.bosch-professional.com/pe/es/products/gst-90-be-060158F0E0")</f>
        <v>https://www.bosch-professional.com/pe/es/products/gst-90-be-060158F0E0</v>
      </c>
      <c r="W427" s="37" t="str">
        <f>IFERROR(__xludf.DUMMYFUNCTION("IFERROR(VLOOKUP(G427,IMPORTRANGE(""https://docs.google.com/spreadsheets/d/12RxCea4e5ggM7QGn1XE3FbLQa_-QbCNdBi90OdPjRqg"", ""'Plan de Compras'!D4:Q""), 12, 0), ""NO ESTÁ EN REQ"")"),"Técnica")</f>
        <v>Técnica</v>
      </c>
      <c r="X427" s="37" t="str">
        <f>IFERROR(__xludf.DUMMYFUNCTION("IFERROR(VLOOKUP(G427,IMPORTRANGE(""https://docs.google.com/spreadsheets/d/12RxCea4e5ggM7QGn1XE3FbLQa_-QbCNdBi90OdPjRqg"", ""'Plan de Compras'!D4:Q""), 13, 0), """")"),"NACIONAL")</f>
        <v>NACIONAL</v>
      </c>
      <c r="Y427" s="32" t="str">
        <f>IFERROR(__xludf.DUMMYFUNCTION("IFERROR(VLOOKUP(G427,IMPORTRANGE(""https://docs.google.com/spreadsheets/d/12RxCea4e5ggM7QGn1XE3FbLQa_-QbCNdBi90OdPjRqg"", ""'Plan de Compras'!D4:Q""), 14, 0), """")"),"DIANA")</f>
        <v>DIANA</v>
      </c>
      <c r="Z427" s="38" t="str">
        <f>IFERROR(__xludf.DUMMYFUNCTION("IFERROR(VLOOKUP(G427,IMPORTRANGE(""https://docs.google.com/spreadsheets/d/12RxCea4e5ggM7QGn1XE3FbLQa_-QbCNdBi90OdPjRqg"", ""'Plan de Compras'!D4:Q""), 4, 0), """")"),"SIERRA CALADORA")</f>
        <v>SIERRA CALADORA</v>
      </c>
      <c r="AA427" s="38" t="str">
        <f t="shared" si="16"/>
        <v>TRUE</v>
      </c>
      <c r="AB427" s="37" t="str">
        <f>IFERROR(__xludf.DUMMYFUNCTION("IFERROR(IF(OR(C427=TRUE,C427=""""),VLOOKUP(G427,IMPORTRANGE(""https://docs.google.com/spreadsheets/d/1z9A1Wq-kKrhRNG5RS2a2fKpY1wIhSVz2ZNmP2mOl588/edit?usp=sharing"",""REQ VF!E4:H""),4,0),""NO APLICA""),""GENERAR REQ"")"),"GENERAR REQ")</f>
        <v>GENERAR REQ</v>
      </c>
      <c r="AC427" s="37" t="str">
        <f>IFERROR(__xludf.DUMMYFUNCTION("IFERROR(QUERY(IMPORTRANGE(""https://docs.google.com/spreadsheets/d/1z9A1Wq-kKrhRNG5RS2a2fKpY1wIhSVz2ZNmP2mOl588/edit?usp=sharing"",""REQ VF!E4:Q""),""SELECT Col10, Col11, Col12 WHERE Col1 = '""&amp;G427&amp;""'"",0),""NO APLICA"")"),"NO APLICA")</f>
        <v>NO APLICA</v>
      </c>
      <c r="AD427" s="37"/>
      <c r="AE427" s="37"/>
      <c r="AF427" s="8" t="s">
        <v>52</v>
      </c>
      <c r="AG427" s="13"/>
    </row>
    <row r="428">
      <c r="A428" s="26">
        <v>202.0</v>
      </c>
      <c r="B428" s="26" t="b">
        <v>1</v>
      </c>
      <c r="C428" s="26" t="b">
        <v>1</v>
      </c>
      <c r="D428" s="26" t="s">
        <v>35</v>
      </c>
      <c r="E428" s="26" t="s">
        <v>36</v>
      </c>
      <c r="F428" s="27" t="s">
        <v>1360</v>
      </c>
      <c r="G428" s="37" t="s">
        <v>1360</v>
      </c>
      <c r="H428" s="45" t="s">
        <v>1361</v>
      </c>
      <c r="I428" s="43">
        <f>SUMIFS('Hoja 10'!$O:$O,'Hoja 10'!$F:$F,$G428)</f>
        <v>2</v>
      </c>
      <c r="J428" s="26">
        <f>IFERROR(__xludf.DUMMYFUNCTION("VLOOKUP(G428,IMPORTRANGE(""https://docs.google.com/spreadsheets/d/12RxCea4e5ggM7QGn1XE3FbLQa_-QbCNdBi90OdPjRqg/edit?gid=1692403370#gid=1692403370"", ""'Plan de Compras'!D4:2432""), 8,0)"),2.0)</f>
        <v>2</v>
      </c>
      <c r="K428" s="26" t="str">
        <f t="shared" si="1"/>
        <v>SI</v>
      </c>
      <c r="L428" s="29" t="s">
        <v>296</v>
      </c>
      <c r="M428" s="30" t="s">
        <v>297</v>
      </c>
      <c r="N428" s="42"/>
      <c r="O428" s="32" t="str">
        <f>VLOOKUP($G428,'Hoja 10'!$F$4:$AA478, 19,0)</f>
        <v>HOLZKRAFT</v>
      </c>
      <c r="P428" s="32" t="str">
        <f>VLOOKUP($G428,'Hoja 10'!$F$4:$AA478, 20,0)</f>
        <v>HBS 431 (IE2) - 230V</v>
      </c>
      <c r="Q428" s="33" t="str">
        <f>VLOOKUP($G428,'Hoja 10'!$F$4:$AA478, 21,0)</f>
        <v>https://www.aslak.es/herramientas-electricas/sierra-de-cinta-hbs-431-ie2-230-v.html</v>
      </c>
      <c r="R428" s="30" t="s">
        <v>1362</v>
      </c>
      <c r="S428" s="34" t="b">
        <v>1</v>
      </c>
      <c r="T428" s="35" t="str">
        <f>IFERROR(__xludf.DUMMYFUNCTION(" IF
( VLOOKUP($G428,IMPORTRANGE(""https://docs.google.com/spreadsheets/d/1Gpl6jkTg7sL4VDNimUm3S9Vi1i95esohXCF3wuKOE8c"", ""'CONSOLIDADO'!G5:AB""), 10, 0) &lt;&gt; 0, 
IFERROR(VLOOKUP($G428,IMPORTRANGE(""https://docs.google.com/spreadsheets/d/1Gpl6jkTg7sL4VDNimU"&amp;"m3S9Vi1i95esohXCF3wuKOE8c"", ""'CONSOLIDADO'!G5:AB""), 17, 0), ""-""),
""""
)"),"HOLZKRAFT")</f>
        <v>HOLZKRAFT</v>
      </c>
      <c r="U428" s="35" t="str">
        <f>IFERROR(__xludf.DUMMYFUNCTION(" IF
( VLOOKUP($G428,IMPORTRANGE(""https://docs.google.com/spreadsheets/d/1Gpl6jkTg7sL4VDNimUm3S9Vi1i95esohXCF3wuKOE8c"", ""'CONSOLIDADO'!G5:AB""), 10, 0) &lt;&gt; 0, 
IFERROR(VLOOKUP($G428,IMPORTRANGE(""https://docs.google.com/spreadsheets/d/1Gpl6jkTg7sL4VDNimU"&amp;"m3S9Vi1i95esohXCF3wuKOE8c"", ""'CONSOLIDADO'!G5:AB""), 18, 0), ""-""),
""""
)"),"HBS 431 (IE2) - 230V")</f>
        <v>HBS 431 (IE2) - 230V</v>
      </c>
      <c r="V428" s="36" t="str">
        <f>IFERROR(__xludf.DUMMYFUNCTION(" IF
( VLOOKUP($G428,IMPORTRANGE(""https://docs.google.com/spreadsheets/d/1Gpl6jkTg7sL4VDNimUm3S9Vi1i95esohXCF3wuKOE8c"", ""'CONSOLIDADO'!G5:AB""), 10, 0) &lt;&gt; 0, 
IFERROR(VLOOKUP($G428,IMPORTRANGE(""https://docs.google.com/spreadsheets/d/1Gpl6jkTg7sL4VDNimU"&amp;"m3S9Vi1i95esohXCF3wuKOE8c"", ""'CONSOLIDADO'!G5:AB""), 19, 0), ""-""),
""""
)"),"https://www.aslak.es/herramientas-electricas/sierra-de-cinta-hbs-431-ie2-230-v.html")</f>
        <v>https://www.aslak.es/herramientas-electricas/sierra-de-cinta-hbs-431-ie2-230-v.html</v>
      </c>
      <c r="W428" s="37" t="str">
        <f>IFERROR(__xludf.DUMMYFUNCTION("IFERROR(VLOOKUP(G428,IMPORTRANGE(""https://docs.google.com/spreadsheets/d/12RxCea4e5ggM7QGn1XE3FbLQa_-QbCNdBi90OdPjRqg"", ""'Plan de Compras'!D4:Q""), 12, 0), ""NO ESTÁ EN REQ"")"),"Técnica")</f>
        <v>Técnica</v>
      </c>
      <c r="X428" s="37" t="str">
        <f>IFERROR(__xludf.DUMMYFUNCTION("IFERROR(VLOOKUP(G428,IMPORTRANGE(""https://docs.google.com/spreadsheets/d/12RxCea4e5ggM7QGn1XE3FbLQa_-QbCNdBi90OdPjRqg"", ""'Plan de Compras'!D4:Q""), 13, 0), """")"),"INTERNACIONAL")</f>
        <v>INTERNACIONAL</v>
      </c>
      <c r="Y428" s="32" t="str">
        <f>IFERROR(__xludf.DUMMYFUNCTION("IFERROR(VLOOKUP(G428,IMPORTRANGE(""https://docs.google.com/spreadsheets/d/12RxCea4e5ggM7QGn1XE3FbLQa_-QbCNdBi90OdPjRqg"", ""'Plan de Compras'!D4:Q""), 14, 0), """")"),"GEYDI")</f>
        <v>GEYDI</v>
      </c>
      <c r="Z428" s="38" t="str">
        <f>IFERROR(__xludf.DUMMYFUNCTION("IFERROR(VLOOKUP(G428,IMPORTRANGE(""https://docs.google.com/spreadsheets/d/12RxCea4e5ggM7QGn1XE3FbLQa_-QbCNdBi90OdPjRqg"", ""'Plan de Compras'!D4:Q""), 4, 0), """")"),"SIERRA CINTA")</f>
        <v>SIERRA CINTA</v>
      </c>
      <c r="AA428" s="38" t="str">
        <f t="shared" si="16"/>
        <v>TRUE</v>
      </c>
      <c r="AB428" s="37" t="str">
        <f>IFERROR(__xludf.DUMMYFUNCTION("IFERROR(IF(OR(C428=TRUE,C428=""""),VLOOKUP(G428,IMPORTRANGE(""https://docs.google.com/spreadsheets/d/1z9A1Wq-kKrhRNG5RS2a2fKpY1wIhSVz2ZNmP2mOl588/edit?usp=sharing"",""REQ VF!E4:H""),4,0),""NO APLICA""),""GENERAR REQ"")"),"GENERAR REQ")</f>
        <v>GENERAR REQ</v>
      </c>
      <c r="AC428" s="37" t="str">
        <f>IFERROR(__xludf.DUMMYFUNCTION("IFERROR(QUERY(IMPORTRANGE(""https://docs.google.com/spreadsheets/d/1z9A1Wq-kKrhRNG5RS2a2fKpY1wIhSVz2ZNmP2mOl588/edit?usp=sharing"",""REQ VF!E4:Q""),""SELECT Col10, Col11, Col12 WHERE Col1 = '""&amp;G428&amp;""'"",0),""NO APLICA"")"),"NO APLICA")</f>
        <v>NO APLICA</v>
      </c>
      <c r="AD428" s="37"/>
      <c r="AE428" s="37"/>
      <c r="AF428" s="8" t="s">
        <v>52</v>
      </c>
      <c r="AG428" s="13"/>
    </row>
    <row r="429">
      <c r="A429" s="26">
        <v>203.0</v>
      </c>
      <c r="B429" s="26" t="b">
        <v>1</v>
      </c>
      <c r="C429" s="26" t="b">
        <v>1</v>
      </c>
      <c r="D429" s="48" t="s">
        <v>35</v>
      </c>
      <c r="E429" s="48" t="s">
        <v>36</v>
      </c>
      <c r="F429" s="96" t="s">
        <v>1363</v>
      </c>
      <c r="G429" s="107" t="s">
        <v>1363</v>
      </c>
      <c r="H429" s="108" t="s">
        <v>1364</v>
      </c>
      <c r="I429" s="43">
        <f>SUMIFS('Hoja 10'!$O:$O,'Hoja 10'!$F:$F,$G429)</f>
        <v>2</v>
      </c>
      <c r="J429" s="26">
        <f>IFERROR(__xludf.DUMMYFUNCTION("VLOOKUP(G429,IMPORTRANGE(""https://docs.google.com/spreadsheets/d/12RxCea4e5ggM7QGn1XE3FbLQa_-QbCNdBi90OdPjRqg/edit?gid=1692403370#gid=1692403370"", ""'Plan de Compras'!D4:2432""), 8,0)"),2.0)</f>
        <v>2</v>
      </c>
      <c r="K429" s="26" t="str">
        <f t="shared" si="1"/>
        <v>SI</v>
      </c>
      <c r="L429" s="29" t="s">
        <v>296</v>
      </c>
      <c r="M429" s="30" t="s">
        <v>297</v>
      </c>
      <c r="N429" s="48" t="s">
        <v>1365</v>
      </c>
      <c r="O429" s="32" t="str">
        <f>VLOOKUP($G429,'Hoja 10'!$F$4:$AA478, 19,0)</f>
        <v>HAMMER</v>
      </c>
      <c r="P429" s="32" t="str">
        <f>VLOOKUP($G429,'Hoja 10'!$F$4:$AA478, 20,0)</f>
        <v>K3 BASIC</v>
      </c>
      <c r="Q429" s="33" t="str">
        <f>VLOOKUP($G429,'Hoja 10'!$F$4:$AA478, 21,0)</f>
        <v>https://www.felder-group.com/es-es/productos/sierras-circulares-y-escuadradoras-c1947/escuadradora-k3-p144077?vid=3054</v>
      </c>
      <c r="R429" s="30" t="s">
        <v>1366</v>
      </c>
      <c r="S429" s="34" t="b">
        <v>1</v>
      </c>
      <c r="T429" s="35" t="str">
        <f>IFERROR(__xludf.DUMMYFUNCTION(" IF
( VLOOKUP($G429,IMPORTRANGE(""https://docs.google.com/spreadsheets/d/1Gpl6jkTg7sL4VDNimUm3S9Vi1i95esohXCF3wuKOE8c"", ""'CONSOLIDADO'!G5:AB""), 10, 0) &lt;&gt; 0, 
IFERROR(VLOOKUP($G429,IMPORTRANGE(""https://docs.google.com/spreadsheets/d/1Gpl6jkTg7sL4VDNimU"&amp;"m3S9Vi1i95esohXCF3wuKOE8c"", ""'CONSOLIDADO'!G5:AB""), 17, 0), ""-""),
""""
)"),"FELDER")</f>
        <v>FELDER</v>
      </c>
      <c r="U429" s="35" t="str">
        <f>IFERROR(__xludf.DUMMYFUNCTION(" IF
( VLOOKUP($G429,IMPORTRANGE(""https://docs.google.com/spreadsheets/d/1Gpl6jkTg7sL4VDNimUm3S9Vi1i95esohXCF3wuKOE8c"", ""'CONSOLIDADO'!G5:AB""), 10, 0) &lt;&gt; 0, 
IFERROR(VLOOKUP($G429,IMPORTRANGE(""https://docs.google.com/spreadsheets/d/1Gpl6jkTg7sL4VDNimU"&amp;"m3S9Vi1i95esohXCF3wuKOE8c"", ""'CONSOLIDADO'!G5:AB""), 18, 0), ""-""),
""""
)"),"K3 BASIC")</f>
        <v>K3 BASIC</v>
      </c>
      <c r="V429" s="36" t="str">
        <f>IFERROR(__xludf.DUMMYFUNCTION(" IF
( VLOOKUP($G429,IMPORTRANGE(""https://docs.google.com/spreadsheets/d/1Gpl6jkTg7sL4VDNimUm3S9Vi1i95esohXCF3wuKOE8c"", ""'CONSOLIDADO'!G5:AB""), 10, 0) &lt;&gt; 0, 
IFERROR(VLOOKUP($G429,IMPORTRANGE(""https://docs.google.com/spreadsheets/d/1Gpl6jkTg7sL4VDNimU"&amp;"m3S9Vi1i95esohXCF3wuKOE8c"", ""'CONSOLIDADO'!G5:AB""), 19, 0), ""-""),
""""
)"),"https://www.felder-group.com/WEB/Machines/Manuals/K3/503010-902_02_2211_HA_BA_K3_basic_winner_ENG_Lo.pdf")</f>
        <v>https://www.felder-group.com/WEB/Machines/Manuals/K3/503010-902_02_2211_HA_BA_K3_basic_winner_ENG_Lo.pdf</v>
      </c>
      <c r="W429" s="37" t="str">
        <f>IFERROR(__xludf.DUMMYFUNCTION("IFERROR(VLOOKUP(G429,IMPORTRANGE(""https://docs.google.com/spreadsheets/d/12RxCea4e5ggM7QGn1XE3FbLQa_-QbCNdBi90OdPjRqg"", ""'Plan de Compras'!D4:Q""), 12, 0), ""NO ESTÁ EN REQ"")"),"Técnica")</f>
        <v>Técnica</v>
      </c>
      <c r="X429" s="37" t="str">
        <f>IFERROR(__xludf.DUMMYFUNCTION("IFERROR(VLOOKUP(G429,IMPORTRANGE(""https://docs.google.com/spreadsheets/d/12RxCea4e5ggM7QGn1XE3FbLQa_-QbCNdBi90OdPjRqg"", ""'Plan de Compras'!D4:Q""), 13, 0), """")"),"INTERNACIONAL")</f>
        <v>INTERNACIONAL</v>
      </c>
      <c r="Y429" s="32" t="str">
        <f>IFERROR(__xludf.DUMMYFUNCTION("IFERROR(VLOOKUP(G429,IMPORTRANGE(""https://docs.google.com/spreadsheets/d/12RxCea4e5ggM7QGn1XE3FbLQa_-QbCNdBi90OdPjRqg"", ""'Plan de Compras'!D4:Q""), 14, 0), """")"),"JIMENA")</f>
        <v>JIMENA</v>
      </c>
      <c r="Z429" s="38" t="str">
        <f>IFERROR(__xludf.DUMMYFUNCTION("IFERROR(VLOOKUP(G429,IMPORTRANGE(""https://docs.google.com/spreadsheets/d/12RxCea4e5ggM7QGn1XE3FbLQa_-QbCNdBi90OdPjRqg"", ""'Plan de Compras'!D4:Q""), 4, 0), """")"),"SIERRA CIRCULAR")</f>
        <v>SIERRA CIRCULAR</v>
      </c>
      <c r="AA429" s="38" t="str">
        <f t="shared" si="16"/>
        <v>TRUE</v>
      </c>
      <c r="AB429" s="37" t="str">
        <f>IFERROR(__xludf.DUMMYFUNCTION("IFERROR(IF(OR(C429=TRUE,C429=""""),VLOOKUP(G429,IMPORTRANGE(""https://docs.google.com/spreadsheets/d/1z9A1Wq-kKrhRNG5RS2a2fKpY1wIhSVz2ZNmP2mOl588/edit?usp=sharing"",""REQ VF!E4:H""),4,0),""NO APLICA""),""GENERAR REQ"")"),"GENERAR REQ")</f>
        <v>GENERAR REQ</v>
      </c>
      <c r="AC429" s="37" t="str">
        <f>IFERROR(__xludf.DUMMYFUNCTION("IFERROR(QUERY(IMPORTRANGE(""https://docs.google.com/spreadsheets/d/1z9A1Wq-kKrhRNG5RS2a2fKpY1wIhSVz2ZNmP2mOl588/edit?usp=sharing"",""REQ VF!E4:Q""),""SELECT Col10, Col11, Col12 WHERE Col1 = '""&amp;G429&amp;""'"",0),""NO APLICA"")"),"NO APLICA")</f>
        <v>NO APLICA</v>
      </c>
      <c r="AD429" s="37"/>
      <c r="AE429" s="37"/>
      <c r="AF429" s="13"/>
      <c r="AG429" s="13"/>
    </row>
    <row r="430">
      <c r="A430" s="26">
        <v>204.0</v>
      </c>
      <c r="B430" s="26" t="b">
        <v>1</v>
      </c>
      <c r="C430" s="26" t="b">
        <v>1</v>
      </c>
      <c r="D430" s="26" t="s">
        <v>35</v>
      </c>
      <c r="E430" s="26" t="s">
        <v>36</v>
      </c>
      <c r="F430" s="27" t="s">
        <v>1367</v>
      </c>
      <c r="G430" s="37" t="s">
        <v>1367</v>
      </c>
      <c r="H430" s="45" t="s">
        <v>1368</v>
      </c>
      <c r="I430" s="43">
        <f>SUMIFS('Hoja 10'!$O:$O,'Hoja 10'!$F:$F,$G430)</f>
        <v>2</v>
      </c>
      <c r="J430" s="26">
        <f>IFERROR(__xludf.DUMMYFUNCTION("VLOOKUP(G430,IMPORTRANGE(""https://docs.google.com/spreadsheets/d/12RxCea4e5ggM7QGn1XE3FbLQa_-QbCNdBi90OdPjRqg/edit?gid=1692403370#gid=1692403370"", ""'Plan de Compras'!D4:2432""), 8,0)"),2.0)</f>
        <v>2</v>
      </c>
      <c r="K430" s="26" t="str">
        <f t="shared" si="1"/>
        <v>SI</v>
      </c>
      <c r="L430" s="29" t="s">
        <v>296</v>
      </c>
      <c r="M430" s="30" t="s">
        <v>297</v>
      </c>
      <c r="N430" s="42"/>
      <c r="O430" s="32" t="str">
        <f>VLOOKUP($G430,'Hoja 10'!$F$4:$AA478, 19,0)</f>
        <v>DEWALT</v>
      </c>
      <c r="P430" s="32" t="str">
        <f>VLOOKUP($G430,'Hoja 10'!$F$4:$AA478, 20,0)</f>
        <v>DW721KN-QS</v>
      </c>
      <c r="Q430" s="33" t="str">
        <f>VLOOKUP($G430,'Hoja 10'!$F$4:$AA478, 21,0)</f>
        <v>https://www.dewalt.es/producto/dw721kn-qs/sierra-de-brazo-radial-2000w-2-hp-o300mm-monofasica-prof-90mm</v>
      </c>
      <c r="R430" s="30" t="s">
        <v>1369</v>
      </c>
      <c r="S430" s="34" t="b">
        <v>1</v>
      </c>
      <c r="T430" s="35" t="str">
        <f>IFERROR(__xludf.DUMMYFUNCTION(" IF
( VLOOKUP($G430,IMPORTRANGE(""https://docs.google.com/spreadsheets/d/1Gpl6jkTg7sL4VDNimUm3S9Vi1i95esohXCF3wuKOE8c"", ""'CONSOLIDADO'!G5:AB""), 10, 0) &lt;&gt; 0, 
IFERROR(VLOOKUP($G430,IMPORTRANGE(""https://docs.google.com/spreadsheets/d/1Gpl6jkTg7sL4VDNimU"&amp;"m3S9Vi1i95esohXCF3wuKOE8c"", ""'CONSOLIDADO'!G5:AB""), 17, 0), ""-""),
""""
)"),"DEWALT")</f>
        <v>DEWALT</v>
      </c>
      <c r="U430" s="35" t="str">
        <f>IFERROR(__xludf.DUMMYFUNCTION(" IF
( VLOOKUP($G430,IMPORTRANGE(""https://docs.google.com/spreadsheets/d/1Gpl6jkTg7sL4VDNimUm3S9Vi1i95esohXCF3wuKOE8c"", ""'CONSOLIDADO'!G5:AB""), 10, 0) &lt;&gt; 0, 
IFERROR(VLOOKUP($G430,IMPORTRANGE(""https://docs.google.com/spreadsheets/d/1Gpl6jkTg7sL4VDNimU"&amp;"m3S9Vi1i95esohXCF3wuKOE8c"", ""'CONSOLIDADO'!G5:AB""), 18, 0), ""-""),
""""
)"),"DW721KN-QS")</f>
        <v>DW721KN-QS</v>
      </c>
      <c r="V430" s="36" t="str">
        <f>IFERROR(__xludf.DUMMYFUNCTION(" IF
( VLOOKUP($G430,IMPORTRANGE(""https://docs.google.com/spreadsheets/d/1Gpl6jkTg7sL4VDNimUm3S9Vi1i95esohXCF3wuKOE8c"", ""'CONSOLIDADO'!G5:AB""), 10, 0) &lt;&gt; 0, 
IFERROR(VLOOKUP($G430,IMPORTRANGE(""https://docs.google.com/spreadsheets/d/1Gpl6jkTg7sL4VDNimU"&amp;"m3S9Vi1i95esohXCF3wuKOE8c"", ""'CONSOLIDADO'!G5:AB""), 19, 0), ""-""),
""""
)"),"https://www.dewalt.es/producto/dw721kn-qs/sierra-de-brazo-radial-2000w-2-hp-o300mm-monofasica-prof-90mm")</f>
        <v>https://www.dewalt.es/producto/dw721kn-qs/sierra-de-brazo-radial-2000w-2-hp-o300mm-monofasica-prof-90mm</v>
      </c>
      <c r="W430" s="37" t="str">
        <f>IFERROR(__xludf.DUMMYFUNCTION("IFERROR(VLOOKUP(G430,IMPORTRANGE(""https://docs.google.com/spreadsheets/d/12RxCea4e5ggM7QGn1XE3FbLQa_-QbCNdBi90OdPjRqg"", ""'Plan de Compras'!D4:Q""), 12, 0), ""NO ESTÁ EN REQ"")"),"Técnica")</f>
        <v>Técnica</v>
      </c>
      <c r="X430" s="37" t="str">
        <f>IFERROR(__xludf.DUMMYFUNCTION("IFERROR(VLOOKUP(G430,IMPORTRANGE(""https://docs.google.com/spreadsheets/d/12RxCea4e5ggM7QGn1XE3FbLQa_-QbCNdBi90OdPjRqg"", ""'Plan de Compras'!D4:Q""), 13, 0), """")"),"INTERNACIONAL")</f>
        <v>INTERNACIONAL</v>
      </c>
      <c r="Y430" s="32" t="str">
        <f>IFERROR(__xludf.DUMMYFUNCTION("IFERROR(VLOOKUP(G430,IMPORTRANGE(""https://docs.google.com/spreadsheets/d/12RxCea4e5ggM7QGn1XE3FbLQa_-QbCNdBi90OdPjRqg"", ""'Plan de Compras'!D4:Q""), 14, 0), """")"),"GEYDI")</f>
        <v>GEYDI</v>
      </c>
      <c r="Z430" s="38" t="str">
        <f>IFERROR(__xludf.DUMMYFUNCTION("IFERROR(VLOOKUP(G430,IMPORTRANGE(""https://docs.google.com/spreadsheets/d/12RxCea4e5ggM7QGn1XE3FbLQa_-QbCNdBi90OdPjRqg"", ""'Plan de Compras'!D4:Q""), 4, 0), """")"),"SIERRA RADIAL")</f>
        <v>SIERRA RADIAL</v>
      </c>
      <c r="AA430" s="38" t="str">
        <f t="shared" si="16"/>
        <v>TRUE</v>
      </c>
      <c r="AB430" s="37" t="str">
        <f>IFERROR(__xludf.DUMMYFUNCTION("IFERROR(IF(OR(C430=TRUE,C430=""""),VLOOKUP(G430,IMPORTRANGE(""https://docs.google.com/spreadsheets/d/1z9A1Wq-kKrhRNG5RS2a2fKpY1wIhSVz2ZNmP2mOl588/edit?usp=sharing"",""REQ VF!E4:H""),4,0),""NO APLICA""),""GENERAR REQ"")"),"GENERAR REQ")</f>
        <v>GENERAR REQ</v>
      </c>
      <c r="AC430" s="37" t="str">
        <f>IFERROR(__xludf.DUMMYFUNCTION("IFERROR(QUERY(IMPORTRANGE(""https://docs.google.com/spreadsheets/d/1z9A1Wq-kKrhRNG5RS2a2fKpY1wIhSVz2ZNmP2mOl588/edit?usp=sharing"",""REQ VF!E4:Q""),""SELECT Col10, Col11, Col12 WHERE Col1 = '""&amp;G430&amp;""'"",0),""NO APLICA"")"),"NO APLICA")</f>
        <v>NO APLICA</v>
      </c>
      <c r="AD430" s="37"/>
      <c r="AE430" s="37"/>
      <c r="AF430" s="13"/>
      <c r="AG430" s="13"/>
    </row>
    <row r="431">
      <c r="A431" s="26">
        <v>205.0</v>
      </c>
      <c r="B431" s="26" t="b">
        <v>1</v>
      </c>
      <c r="C431" s="26" t="b">
        <v>1</v>
      </c>
      <c r="D431" s="26" t="s">
        <v>35</v>
      </c>
      <c r="E431" s="26" t="s">
        <v>36</v>
      </c>
      <c r="F431" s="27" t="s">
        <v>1370</v>
      </c>
      <c r="G431" s="37" t="s">
        <v>1370</v>
      </c>
      <c r="H431" s="45" t="s">
        <v>1371</v>
      </c>
      <c r="I431" s="43">
        <f>SUMIFS('Hoja 10'!$O:$O,'Hoja 10'!$F:$F,$G431)</f>
        <v>1</v>
      </c>
      <c r="J431" s="26">
        <f>IFERROR(__xludf.DUMMYFUNCTION("VLOOKUP(G431,IMPORTRANGE(""https://docs.google.com/spreadsheets/d/12RxCea4e5ggM7QGn1XE3FbLQa_-QbCNdBi90OdPjRqg/edit?gid=1692403370#gid=1692403370"", ""'Plan de Compras'!D4:2432""), 8,0)"),1.0)</f>
        <v>1</v>
      </c>
      <c r="K431" s="26" t="str">
        <f t="shared" si="1"/>
        <v>SI</v>
      </c>
      <c r="L431" s="29" t="s">
        <v>91</v>
      </c>
      <c r="M431" s="30" t="s">
        <v>92</v>
      </c>
      <c r="N431" s="42"/>
      <c r="O431" s="32" t="str">
        <f>VLOOKUP($G431,'Hoja 10'!$F$4:$AA478, 19,0)</f>
        <v>ONEW</v>
      </c>
      <c r="P431" s="32" t="str">
        <f>VLOOKUP($G431,'Hoja 10'!$F$4:$AA478, 20,0)</f>
        <v>360-MINI</v>
      </c>
      <c r="Q431" s="33" t="str">
        <f>VLOOKUP($G431,'Hoja 10'!$F$4:$AA478, 21,0)</f>
        <v>https://drive.google.com/file/d/1V-xxSieO1pqnE7qQj8dp361-peNNC8P8/view?usp=drive_link</v>
      </c>
      <c r="R431" s="30" t="s">
        <v>1372</v>
      </c>
      <c r="S431" s="34" t="b">
        <v>1</v>
      </c>
      <c r="T431" s="111" t="str">
        <f>IFERROR(__xludf.DUMMYFUNCTION(" IF
( VLOOKUP($G431,IMPORTRANGE(""https://docs.google.com/spreadsheets/d/1Gpl6jkTg7sL4VDNimUm3S9Vi1i95esohXCF3wuKOE8c"", ""'CONSOLIDADO'!G5:AB""), 10, 0) &lt;&gt; 0, 
IFERROR(VLOOKUP($G431,IMPORTRANGE(""https://docs.google.com/spreadsheets/d/1Gpl6jkTg7sL4VDNimU"&amp;"m3S9Vi1i95esohXCF3wuKOE8c"", ""'CONSOLIDADO'!G5:AB""), 17, 0), ""-""),
""""
)"),"SEABERY")</f>
        <v>SEABERY</v>
      </c>
      <c r="U431" s="111" t="str">
        <f>IFERROR(__xludf.DUMMYFUNCTION(" IF
( VLOOKUP($G431,IMPORTRANGE(""https://docs.google.com/spreadsheets/d/1Gpl6jkTg7sL4VDNimUm3S9Vi1i95esohXCF3wuKOE8c"", ""'CONSOLIDADO'!G5:AB""), 10, 0) &lt;&gt; 0, 
IFERROR(VLOOKUP($G431,IMPORTRANGE(""https://docs.google.com/spreadsheets/d/1Gpl6jkTg7sL4VDNimU"&amp;"m3S9Vi1i95esohXCF3wuKOE8c"", ""'CONSOLIDADO'!G5:AB""), 18, 0), ""-""),
""""
)"),"Soldamatic AR Welding Simulator")</f>
        <v>Soldamatic AR Welding Simulator</v>
      </c>
      <c r="V431" s="36" t="str">
        <f>IFERROR(__xludf.DUMMYFUNCTION(" IF
( VLOOKUP($G431,IMPORTRANGE(""https://docs.google.com/spreadsheets/d/1Gpl6jkTg7sL4VDNimUm3S9Vi1i95esohXCF3wuKOE8c"", ""'CONSOLIDADO'!G5:AB""), 10, 0) &lt;&gt; 0, 
IFERROR(VLOOKUP($G431,IMPORTRANGE(""https://docs.google.com/spreadsheets/d/1Gpl6jkTg7sL4VDNimU"&amp;"m3S9Vi1i95esohXCF3wuKOE8c"", ""'CONSOLIDADO'!G5:AB""), 19, 0), ""-""),
""""
)"),"https://www.flamefast.co.uk/soldamatic-virtual-augmented-welding-simulator.html")</f>
        <v>https://www.flamefast.co.uk/soldamatic-virtual-augmented-welding-simulator.html</v>
      </c>
      <c r="W431" s="37" t="str">
        <f>IFERROR(__xludf.DUMMYFUNCTION("IFERROR(VLOOKUP(G431,IMPORTRANGE(""https://docs.google.com/spreadsheets/d/12RxCea4e5ggM7QGn1XE3FbLQa_-QbCNdBi90OdPjRqg"", ""'Plan de Compras'!D4:Q""), 12, 0), ""NO ESTÁ EN REQ"")"),"Técnica")</f>
        <v>Técnica</v>
      </c>
      <c r="X431" s="37" t="str">
        <f>IFERROR(__xludf.DUMMYFUNCTION("IFERROR(VLOOKUP(G431,IMPORTRANGE(""https://docs.google.com/spreadsheets/d/12RxCea4e5ggM7QGn1XE3FbLQa_-QbCNdBi90OdPjRqg"", ""'Plan de Compras'!D4:Q""), 13, 0), """")"),"INTERNACIONAL")</f>
        <v>INTERNACIONAL</v>
      </c>
      <c r="Y431" s="32" t="str">
        <f>IFERROR(__xludf.DUMMYFUNCTION("IFERROR(VLOOKUP(G431,IMPORTRANGE(""https://docs.google.com/spreadsheets/d/12RxCea4e5ggM7QGn1XE3FbLQa_-QbCNdBi90OdPjRqg"", ""'Plan de Compras'!D4:Q""), 14, 0), """")"),"GEYDI")</f>
        <v>GEYDI</v>
      </c>
      <c r="Z431" s="38" t="str">
        <f>IFERROR(__xludf.DUMMYFUNCTION("IFERROR(VLOOKUP(G431,IMPORTRANGE(""https://docs.google.com/spreadsheets/d/12RxCea4e5ggM7QGn1XE3FbLQa_-QbCNdBi90OdPjRqg"", ""'Plan de Compras'!D4:Q""), 4, 0), """")"),"SIMULADOR DE SOLDADURA")</f>
        <v>SIMULADOR DE SOLDADURA</v>
      </c>
      <c r="AA431" s="38" t="str">
        <f t="shared" si="16"/>
        <v>TRUE</v>
      </c>
      <c r="AB431" s="37" t="str">
        <f>IFERROR(__xludf.DUMMYFUNCTION("IFERROR(IF(OR(C431=TRUE,C431=""""),VLOOKUP(G431,IMPORTRANGE(""https://docs.google.com/spreadsheets/d/1z9A1Wq-kKrhRNG5RS2a2fKpY1wIhSVz2ZNmP2mOl588/edit?usp=sharing"",""REQ VF!E4:H""),4,0),""NO APLICA""),""GENERAR REQ"")"),"GENERAR REQ")</f>
        <v>GENERAR REQ</v>
      </c>
      <c r="AC431" s="37" t="str">
        <f>IFERROR(__xludf.DUMMYFUNCTION("IFERROR(QUERY(IMPORTRANGE(""https://docs.google.com/spreadsheets/d/1z9A1Wq-kKrhRNG5RS2a2fKpY1wIhSVz2ZNmP2mOl588/edit?usp=sharing"",""REQ VF!E4:Q""),""SELECT Col10, Col11, Col12 WHERE Col1 = '""&amp;G431&amp;""'"",0),""NO APLICA"")"),"NO APLICA")</f>
        <v>NO APLICA</v>
      </c>
      <c r="AD431" s="37"/>
      <c r="AE431" s="37"/>
      <c r="AF431" s="13"/>
      <c r="AG431" s="13"/>
    </row>
    <row r="432">
      <c r="A432" s="26">
        <v>206.0</v>
      </c>
      <c r="B432" s="26" t="b">
        <v>1</v>
      </c>
      <c r="C432" s="26" t="b">
        <v>1</v>
      </c>
      <c r="D432" s="26" t="s">
        <v>35</v>
      </c>
      <c r="E432" s="26" t="s">
        <v>36</v>
      </c>
      <c r="F432" s="27" t="s">
        <v>1373</v>
      </c>
      <c r="G432" s="37" t="s">
        <v>1373</v>
      </c>
      <c r="H432" s="45" t="s">
        <v>1374</v>
      </c>
      <c r="I432" s="43">
        <f>SUMIFS('Hoja 10'!$O:$O,'Hoja 10'!$F:$F,$G432)</f>
        <v>3</v>
      </c>
      <c r="J432" s="26">
        <f>IFERROR(__xludf.DUMMYFUNCTION("VLOOKUP(G432,IMPORTRANGE(""https://docs.google.com/spreadsheets/d/12RxCea4e5ggM7QGn1XE3FbLQa_-QbCNdBi90OdPjRqg/edit?gid=1692403370#gid=1692403370"", ""'Plan de Compras'!D4:2432""), 8,0)"),3.0)</f>
        <v>3</v>
      </c>
      <c r="K432" s="26" t="str">
        <f t="shared" si="1"/>
        <v>SI</v>
      </c>
      <c r="L432" s="29" t="s">
        <v>127</v>
      </c>
      <c r="M432" s="30" t="s">
        <v>105</v>
      </c>
      <c r="N432" s="42"/>
      <c r="O432" s="32" t="str">
        <f>VLOOKUP($G432,'Hoja 10'!$F$4:$AA478, 19,0)</f>
        <v/>
      </c>
      <c r="P432" s="32" t="str">
        <f>VLOOKUP($G432,'Hoja 10'!$F$4:$AA478, 20,0)</f>
        <v>DT2236B </v>
      </c>
      <c r="Q432" s="33" t="str">
        <f>VLOOKUP($G432,'Hoja 10'!$F$4:$AA478, 21,0)</f>
        <v>https://www.amazon.com/-/es/Tac%C3%B3metro-Contacto-Handhold-Medici%C3%B3n-Veloc%C3%ADmetro/dp/B08MPLCNPH/ref=sr_1_4?__mk_es_US=%C3%85M%C3%85%C5%BD%C3%95%C3%91&amp;crid=VP94G1LLMQI1&amp;dib=eyJ2IjoiMSJ9.DdlLTGJyL8pJmrahA1c2raWG9zcNTcPbY3B6phitJ_MNenNqezvXkDMYnl_X4XOgIrGMs6lFUY1jWIMkYOCVsuL_8FIZ8W7G52DNVhST1gw.vXHczq_f1mB9hu6PaO8TqiZg-WXU0BC5dKteohdEWfA&amp;dib_tag=se&amp;keywords=DT2236B&amp;qid=1759337521&amp;s=industrial&amp;sprefix=dt2236b%2Cindustrial%2C246&amp;sr=1-4</v>
      </c>
      <c r="R432" s="30" t="s">
        <v>1375</v>
      </c>
      <c r="S432" s="34" t="b">
        <v>1</v>
      </c>
      <c r="T432" s="35" t="str">
        <f>IFERROR(__xludf.DUMMYFUNCTION(" IF
( VLOOKUP($G432,IMPORTRANGE(""https://docs.google.com/spreadsheets/d/1Gpl6jkTg7sL4VDNimUm3S9Vi1i95esohXCF3wuKOE8c"", ""'CONSOLIDADO'!G5:AB""), 10, 0) &lt;&gt; 0, 
IFERROR(VLOOKUP($G432,IMPORTRANGE(""https://docs.google.com/spreadsheets/d/1Gpl6jkTg7sL4VDNimU"&amp;"m3S9Vi1i95esohXCF3wuKOE8c"", ""'CONSOLIDADO'!G5:AB""), 17, 0), ""-""),
""""
)"),"Ecymeter")</f>
        <v>Ecymeter</v>
      </c>
      <c r="U432" s="35" t="str">
        <f>IFERROR(__xludf.DUMMYFUNCTION(" IF
( VLOOKUP($G432,IMPORTRANGE(""https://docs.google.com/spreadsheets/d/1Gpl6jkTg7sL4VDNimUm3S9Vi1i95esohXCF3wuKOE8c"", ""'CONSOLIDADO'!G5:AB""), 10, 0) &lt;&gt; 0, 
IFERROR(VLOOKUP($G432,IMPORTRANGE(""https://docs.google.com/spreadsheets/d/1Gpl6jkTg7sL4VDNimU"&amp;"m3S9Vi1i95esohXCF3wuKOE8c"", ""'CONSOLIDADO'!G5:AB""), 18, 0), ""-""),
""""
)"),"DT2236B")</f>
        <v>DT2236B</v>
      </c>
      <c r="V432" s="36" t="str">
        <f>IFERROR(__xludf.DUMMYFUNCTION(" IF
( VLOOKUP($G432,IMPORTRANGE(""https://docs.google.com/spreadsheets/d/1Gpl6jkTg7sL4VDNimUm3S9Vi1i95esohXCF3wuKOE8c"", ""'CONSOLIDADO'!G5:AB""), 10, 0) &lt;&gt; 0, 
IFERROR(VLOOKUP($G432,IMPORTRANGE(""https://docs.google.com/spreadsheets/d/1Gpl6jkTg7sL4VDNimU"&amp;"m3S9Vi1i95esohXCF3wuKOE8c"", ""'CONSOLIDADO'!G5:AB""), 19, 0), ""-""),
""""
)"),"https://www.amazon.com/-/es/Oumefar-DT2236B-Tach%C3%B3metro-profesional-inspecci%C3%B3n/dp/B08F9HXLR5/ref=sr_1_1?crid=33Y7765YS6KYC&amp;dib=eyJ2IjoiMSJ9.JszGgYJ1R9YsyrGikZBbRQI3NgEXPTVlBXiu6Cx0YD-ijhe5dLLNFeSb-aCT4avnbPZ0cqtYJYMEy7Y_r4cDi4UnyOR8iswL16s3cIpY8V"&amp;"o.8aQHmVNJY6fno6xlstBcPIMgTLwdzagwLUbLHikATx8&amp;dib_tag=se&amp;keywords=DT2236B&amp;qid=1763583786&amp;sprefix=dt2236b+%2Caps%2C190&amp;sr=8-1")</f>
        <v>https://www.amazon.com/-/es/Oumefar-DT2236B-Tach%C3%B3metro-profesional-inspecci%C3%B3n/dp/B08F9HXLR5/ref=sr_1_1?crid=33Y7765YS6KYC&amp;dib=eyJ2IjoiMSJ9.JszGgYJ1R9YsyrGikZBbRQI3NgEXPTVlBXiu6Cx0YD-ijhe5dLLNFeSb-aCT4avnbPZ0cqtYJYMEy7Y_r4cDi4UnyOR8iswL16s3cIpY8Vo.8aQHmVNJY6fno6xlstBcPIMgTLwdzagwLUbLHikATx8&amp;dib_tag=se&amp;keywords=DT2236B&amp;qid=1763583786&amp;sprefix=dt2236b+%2Caps%2C190&amp;sr=8-1</v>
      </c>
      <c r="W432" s="37" t="str">
        <f>IFERROR(__xludf.DUMMYFUNCTION("IFERROR(VLOOKUP(G432,IMPORTRANGE(""https://docs.google.com/spreadsheets/d/12RxCea4e5ggM7QGn1XE3FbLQa_-QbCNdBi90OdPjRqg"", ""'Plan de Compras'!D4:Q""), 12, 0), ""NO ESTÁ EN REQ"")"),"Técnica")</f>
        <v>Técnica</v>
      </c>
      <c r="X432" s="37" t="str">
        <f>IFERROR(__xludf.DUMMYFUNCTION("IFERROR(VLOOKUP(G432,IMPORTRANGE(""https://docs.google.com/spreadsheets/d/12RxCea4e5ggM7QGn1XE3FbLQa_-QbCNdBi90OdPjRqg"", ""'Plan de Compras'!D4:Q""), 13, 0), """")"),"INTERNACIONAL")</f>
        <v>INTERNACIONAL</v>
      </c>
      <c r="Y432" s="32" t="str">
        <f>IFERROR(__xludf.DUMMYFUNCTION("IFERROR(VLOOKUP(G432,IMPORTRANGE(""https://docs.google.com/spreadsheets/d/12RxCea4e5ggM7QGn1XE3FbLQa_-QbCNdBi90OdPjRqg"", ""'Plan de Compras'!D4:Q""), 14, 0), """")"),"GIANFRANCO")</f>
        <v>GIANFRANCO</v>
      </c>
      <c r="Z432" s="38" t="str">
        <f>IFERROR(__xludf.DUMMYFUNCTION("IFERROR(VLOOKUP(G432,IMPORTRANGE(""https://docs.google.com/spreadsheets/d/12RxCea4e5ggM7QGn1XE3FbLQa_-QbCNdBi90OdPjRqg"", ""'Plan de Compras'!D4:Q""), 4, 0), """")"),"TACÓMETRO")</f>
        <v>TACÓMETRO</v>
      </c>
      <c r="AA432" s="38" t="str">
        <f t="shared" si="16"/>
        <v>TRUE</v>
      </c>
      <c r="AB432" s="37" t="str">
        <f>IFERROR(__xludf.DUMMYFUNCTION("IFERROR(IF(OR(C432=TRUE,C432=""""),VLOOKUP(G432,IMPORTRANGE(""https://docs.google.com/spreadsheets/d/1z9A1Wq-kKrhRNG5RS2a2fKpY1wIhSVz2ZNmP2mOl588/edit?usp=sharing"",""REQ VF!E4:H""),4,0),""NO APLICA""),""GENERAR REQ"")"),"GENERAR REQ")</f>
        <v>GENERAR REQ</v>
      </c>
      <c r="AC432" s="37" t="str">
        <f>IFERROR(__xludf.DUMMYFUNCTION("IFERROR(QUERY(IMPORTRANGE(""https://docs.google.com/spreadsheets/d/1z9A1Wq-kKrhRNG5RS2a2fKpY1wIhSVz2ZNmP2mOl588/edit?usp=sharing"",""REQ VF!E4:Q""),""SELECT Col10, Col11, Col12 WHERE Col1 = '""&amp;G432&amp;""'"",0),""NO APLICA"")"),"NO APLICA")</f>
        <v>NO APLICA</v>
      </c>
      <c r="AD432" s="37"/>
      <c r="AE432" s="37"/>
      <c r="AF432" s="8" t="s">
        <v>52</v>
      </c>
      <c r="AG432" s="13"/>
    </row>
    <row r="433">
      <c r="A433" s="26"/>
      <c r="B433" s="26" t="b">
        <v>0</v>
      </c>
      <c r="C433" s="26" t="b">
        <v>1</v>
      </c>
      <c r="D433" s="26" t="s">
        <v>42</v>
      </c>
      <c r="E433" s="26"/>
      <c r="F433" s="27"/>
      <c r="G433" s="39" t="s">
        <v>1376</v>
      </c>
      <c r="H433" s="40" t="s">
        <v>1377</v>
      </c>
      <c r="I433" s="43">
        <v>3.0</v>
      </c>
      <c r="J433" s="26" t="str">
        <f>IFERROR(__xludf.DUMMYFUNCTION("VLOOKUP(G433,IMPORTRANGE(""https://docs.google.com/spreadsheets/d/12RxCea4e5ggM7QGn1XE3FbLQa_-QbCNdBi90OdPjRqg/edit?gid=1692403370#gid=1692403370"", ""'Plan de Compras'!D4:2432""), 8,0)"),"#N/A")</f>
        <v>#N/A</v>
      </c>
      <c r="K433" s="26" t="str">
        <f t="shared" si="1"/>
        <v>#N/A</v>
      </c>
      <c r="L433" s="29"/>
      <c r="M433" s="61"/>
      <c r="N433" s="42"/>
      <c r="O433" s="32"/>
      <c r="P433" s="32"/>
      <c r="Q433" s="41"/>
      <c r="R433" s="61"/>
      <c r="S433" s="44" t="b">
        <v>0</v>
      </c>
      <c r="T433" s="35"/>
      <c r="U433" s="35"/>
      <c r="V433" s="35"/>
      <c r="W433" s="37"/>
      <c r="X433" s="37"/>
      <c r="Y433" s="32"/>
      <c r="Z433" s="38"/>
      <c r="AA433" s="38"/>
      <c r="AB433" s="37" t="str">
        <f>IFERROR(__xludf.DUMMYFUNCTION("IFERROR(IF(OR(C433=TRUE,C433=""""),VLOOKUP(G433,IMPORTRANGE(""https://docs.google.com/spreadsheets/d/1z9A1Wq-kKrhRNG5RS2a2fKpY1wIhSVz2ZNmP2mOl588/edit?usp=sharing"",""REQ VF!E4:H""),4,0),""NO APLICA""),""GENERAR REQ"")"),"GENERAR REQ")</f>
        <v>GENERAR REQ</v>
      </c>
      <c r="AC433" s="37" t="str">
        <f>IFERROR(__xludf.DUMMYFUNCTION("IFERROR(QUERY(IMPORTRANGE(""https://docs.google.com/spreadsheets/d/1z9A1Wq-kKrhRNG5RS2a2fKpY1wIhSVz2ZNmP2mOl588/edit?usp=sharing"",""REQ VF!E4:Q""),""SELECT Col10, Col11, Col12 WHERE Col1 = '""&amp;G433&amp;""'"",0),""NO APLICA"")"),"NO APLICA")</f>
        <v>NO APLICA</v>
      </c>
      <c r="AD433" s="37"/>
      <c r="AE433" s="37"/>
      <c r="AF433" s="13"/>
      <c r="AG433" s="13"/>
    </row>
    <row r="434">
      <c r="A434" s="26">
        <v>207.0</v>
      </c>
      <c r="B434" s="26" t="b">
        <v>1</v>
      </c>
      <c r="C434" s="26" t="b">
        <v>1</v>
      </c>
      <c r="D434" s="26" t="s">
        <v>35</v>
      </c>
      <c r="E434" s="26" t="s">
        <v>36</v>
      </c>
      <c r="F434" s="27" t="s">
        <v>1378</v>
      </c>
      <c r="G434" s="39" t="s">
        <v>1379</v>
      </c>
      <c r="H434" s="45" t="s">
        <v>1380</v>
      </c>
      <c r="I434" s="43">
        <f>SUMIFS('Hoja 10'!$O:$O,'Hoja 10'!$F:$F,$G434)</f>
        <v>1</v>
      </c>
      <c r="J434" s="26">
        <f>IFERROR(__xludf.DUMMYFUNCTION("VLOOKUP(G434,IMPORTRANGE(""https://docs.google.com/spreadsheets/d/12RxCea4e5ggM7QGn1XE3FbLQa_-QbCNdBi90OdPjRqg/edit?gid=1692403370#gid=1692403370"", ""'Plan de Compras'!D4:2432""), 8,0)"),1.0)</f>
        <v>1</v>
      </c>
      <c r="K434" s="26" t="str">
        <f t="shared" si="1"/>
        <v>SI</v>
      </c>
      <c r="L434" s="29" t="s">
        <v>91</v>
      </c>
      <c r="M434" s="30" t="s">
        <v>92</v>
      </c>
      <c r="N434" s="42"/>
      <c r="O434" s="32" t="str">
        <f>VLOOKUP($G434,'Hoja 10'!$F$4:$AA478, 19,0)</f>
        <v>KAILI</v>
      </c>
      <c r="P434" s="32" t="str">
        <f>VLOOKUP($G434,'Hoja 10'!$F$4:$AA478, 20,0)</f>
        <v>KL837 TB4120P</v>
      </c>
      <c r="Q434" s="33" t="str">
        <f>VLOOKUP($G434,'Hoja 10'!$F$4:$AA478, 21,0)</f>
        <v>https://prosinfer.pe/product/taladro-de-banco-3-4-1hp-tb4120p-kaili-kl835/ </v>
      </c>
      <c r="R434" s="30" t="s">
        <v>1381</v>
      </c>
      <c r="S434" s="44" t="b">
        <v>0</v>
      </c>
      <c r="T434" s="35" t="str">
        <f>IFERROR(__xludf.DUMMYFUNCTION(" IF
( VLOOKUP($G434,IMPORTRANGE(""https://docs.google.com/spreadsheets/d/1Gpl6jkTg7sL4VDNimUm3S9Vi1i95esohXCF3wuKOE8c"", ""'CONSOLIDADO'!G5:AB""), 10, 0) &lt;&gt; 0, 
IFERROR(VLOOKUP($G434,IMPORTRANGE(""https://docs.google.com/spreadsheets/d/1Gpl6jkTg7sL4VDNimU"&amp;"m3S9Vi1i95esohXCF3wuKOE8c"", ""'CONSOLIDADO'!G5:AB""), 17, 0), ""-""),
""""
)"),"KAILI")</f>
        <v>KAILI</v>
      </c>
      <c r="U434" s="35" t="str">
        <f>IFERROR(__xludf.DUMMYFUNCTION(" IF
( VLOOKUP($G434,IMPORTRANGE(""https://docs.google.com/spreadsheets/d/1Gpl6jkTg7sL4VDNimUm3S9Vi1i95esohXCF3wuKOE8c"", ""'CONSOLIDADO'!G5:AB""), 10, 0) &lt;&gt; 0, 
IFERROR(VLOOKUP($G434,IMPORTRANGE(""https://docs.google.com/spreadsheets/d/1Gpl6jkTg7sL4VDNimU"&amp;"m3S9Vi1i95esohXCF3wuKOE8c"", ""'CONSOLIDADO'!G5:AB""), 18, 0), ""-""),
""""
)"),"KL839")</f>
        <v>KL839</v>
      </c>
      <c r="V434" s="36" t="str">
        <f>IFERROR(__xludf.DUMMYFUNCTION(" IF
( VLOOKUP($G434,IMPORTRANGE(""https://docs.google.com/spreadsheets/d/1Gpl6jkTg7sL4VDNimUm3S9Vi1i95esohXCF3wuKOE8c"", ""'CONSOLIDADO'!G5:AB""), 10, 0) &lt;&gt; 0, 
IFERROR(VLOOKUP($G434,IMPORTRANGE(""https://docs.google.com/spreadsheets/d/1Gpl6jkTg7sL4VDNimU"&amp;"m3S9Vi1i95esohXCF3wuKOE8c"", ""'CONSOLIDADO'!G5:AB""), 19, 0), ""-""),
""""
)"),"https://prosinfer.pe/product/taladro-de-banco-3-4-1-5hp-con-laser-tb5120-kaili-kl839/")</f>
        <v>https://prosinfer.pe/product/taladro-de-banco-3-4-1-5hp-con-laser-tb5120-kaili-kl839/</v>
      </c>
      <c r="W434" s="37" t="str">
        <f>IFERROR(__xludf.DUMMYFUNCTION("IFERROR(VLOOKUP(G434,IMPORTRANGE(""https://docs.google.com/spreadsheets/d/12RxCea4e5ggM7QGn1XE3FbLQa_-QbCNdBi90OdPjRqg"", ""'Plan de Compras'!D4:Q""), 12, 0), ""NO ESTÁ EN REQ"")"),"Técnica")</f>
        <v>Técnica</v>
      </c>
      <c r="X434" s="37" t="str">
        <f>IFERROR(__xludf.DUMMYFUNCTION("IFERROR(VLOOKUP(G434,IMPORTRANGE(""https://docs.google.com/spreadsheets/d/12RxCea4e5ggM7QGn1XE3FbLQa_-QbCNdBi90OdPjRqg"", ""'Plan de Compras'!D4:Q""), 13, 0), """")"),"NACIONAL")</f>
        <v>NACIONAL</v>
      </c>
      <c r="Y434" s="32" t="str">
        <f>IFERROR(__xludf.DUMMYFUNCTION("IFERROR(VLOOKUP(G434,IMPORTRANGE(""https://docs.google.com/spreadsheets/d/12RxCea4e5ggM7QGn1XE3FbLQa_-QbCNdBi90OdPjRqg"", ""'Plan de Compras'!D4:Q""), 14, 0), """")"),"DIANA")</f>
        <v>DIANA</v>
      </c>
      <c r="Z434" s="38" t="str">
        <f>IFERROR(__xludf.DUMMYFUNCTION("IFERROR(VLOOKUP(G434,IMPORTRANGE(""https://docs.google.com/spreadsheets/d/12RxCea4e5ggM7QGn1XE3FbLQa_-QbCNdBi90OdPjRqg"", ""'Plan de Compras'!D4:Q""), 4, 0), """")"),"TALADRO DE COLUMNA")</f>
        <v>TALADRO DE COLUMNA</v>
      </c>
      <c r="AA434" s="38" t="str">
        <f t="shared" ref="AA434:AA478" si="37">IF(H434=Z434,"TRUE", "FALSE")</f>
        <v>TRUE</v>
      </c>
      <c r="AB434" s="37" t="str">
        <f>IFERROR(__xludf.DUMMYFUNCTION("IFERROR(IF(OR(C434=TRUE,C434=""""),VLOOKUP(G434,IMPORTRANGE(""https://docs.google.com/spreadsheets/d/1z9A1Wq-kKrhRNG5RS2a2fKpY1wIhSVz2ZNmP2mOl588/edit?usp=sharing"",""REQ VF!E4:H""),4,0),""NO APLICA""),""GENERAR REQ"")"),"GENERAR REQ")</f>
        <v>GENERAR REQ</v>
      </c>
      <c r="AC434" s="37" t="str">
        <f>IFERROR(__xludf.DUMMYFUNCTION("IFERROR(QUERY(IMPORTRANGE(""https://docs.google.com/spreadsheets/d/1z9A1Wq-kKrhRNG5RS2a2fKpY1wIhSVz2ZNmP2mOl588/edit?usp=sharing"",""REQ VF!E4:Q""),""SELECT Col10, Col11, Col12 WHERE Col1 = '""&amp;G434&amp;""'"",0),""NO APLICA"")"),"NO APLICA")</f>
        <v>NO APLICA</v>
      </c>
      <c r="AD434" s="37"/>
      <c r="AE434" s="37"/>
      <c r="AF434" s="13"/>
      <c r="AG434" s="13"/>
    </row>
    <row r="435">
      <c r="A435" s="26">
        <v>208.0</v>
      </c>
      <c r="B435" s="26" t="b">
        <v>1</v>
      </c>
      <c r="C435" s="26" t="b">
        <v>1</v>
      </c>
      <c r="D435" s="26" t="s">
        <v>35</v>
      </c>
      <c r="E435" s="26" t="s">
        <v>36</v>
      </c>
      <c r="F435" s="27" t="s">
        <v>1378</v>
      </c>
      <c r="G435" s="39" t="s">
        <v>1382</v>
      </c>
      <c r="H435" s="45" t="s">
        <v>1380</v>
      </c>
      <c r="I435" s="43">
        <f>SUMIFS('Hoja 10'!$O:$O,'Hoja 10'!$F:$F,$G435)</f>
        <v>3</v>
      </c>
      <c r="J435" s="26">
        <f>IFERROR(__xludf.DUMMYFUNCTION("VLOOKUP(G435,IMPORTRANGE(""https://docs.google.com/spreadsheets/d/12RxCea4e5ggM7QGn1XE3FbLQa_-QbCNdBi90OdPjRqg/edit?gid=1692403370#gid=1692403370"", ""'Plan de Compras'!D4:2432""), 8,0)"),3.0)</f>
        <v>3</v>
      </c>
      <c r="K435" s="26" t="str">
        <f t="shared" si="1"/>
        <v>SI</v>
      </c>
      <c r="L435" s="29" t="s">
        <v>127</v>
      </c>
      <c r="M435" s="30" t="s">
        <v>105</v>
      </c>
      <c r="N435" s="70"/>
      <c r="O435" s="32" t="str">
        <f>VLOOKUP($G435,'Hoja 10'!$F$4:$AA478, 19,0)</f>
        <v>OPTIMUM</v>
      </c>
      <c r="P435" s="32" t="str">
        <f>VLOOKUP($G435,'Hoja 10'!$F$4:$AA478, 20,0)</f>
        <v>OPTIDRILL D 26 PRO</v>
      </c>
      <c r="Q435" s="33" t="str">
        <f>VLOOKUP($G435,'Hoja 10'!$F$4:$AA478, 21,0)</f>
        <v>https://www.aslak.es/herramientas-electricas/taladro-de-columna-optidrill-d-26pro-230v-1ph-optidrill-d-26pro-230v-1ph.html</v>
      </c>
      <c r="R435" s="30" t="s">
        <v>1383</v>
      </c>
      <c r="S435" s="34" t="b">
        <v>1</v>
      </c>
      <c r="T435" s="35" t="str">
        <f>IFERROR(__xludf.DUMMYFUNCTION(" IF
( VLOOKUP($G435,IMPORTRANGE(""https://docs.google.com/spreadsheets/d/1Gpl6jkTg7sL4VDNimUm3S9Vi1i95esohXCF3wuKOE8c"", ""'CONSOLIDADO'!G5:AB""), 10, 0) &lt;&gt; 0, 
IFERROR(VLOOKUP($G435,IMPORTRANGE(""https://docs.google.com/spreadsheets/d/1Gpl6jkTg7sL4VDNimU"&amp;"m3S9Vi1i95esohXCF3wuKOE8c"", ""'CONSOLIDADO'!G5:AB""), 17, 0), ""-""),
""""
)"),"OPTIMUM")</f>
        <v>OPTIMUM</v>
      </c>
      <c r="U435" s="35" t="str">
        <f>IFERROR(__xludf.DUMMYFUNCTION(" IF
( VLOOKUP($G435,IMPORTRANGE(""https://docs.google.com/spreadsheets/d/1Gpl6jkTg7sL4VDNimUm3S9Vi1i95esohXCF3wuKOE8c"", ""'CONSOLIDADO'!G5:AB""), 10, 0) &lt;&gt; 0, 
IFERROR(VLOOKUP($G435,IMPORTRANGE(""https://docs.google.com/spreadsheets/d/1Gpl6jkTg7sL4VDNimU"&amp;"m3S9Vi1i95esohXCF3wuKOE8c"", ""'CONSOLIDADO'!G5:AB""), 18, 0), ""-""),
""""
)"),"OPTIDRILL D 26PRO")</f>
        <v>OPTIDRILL D 26PRO</v>
      </c>
      <c r="V435" s="36" t="str">
        <f>IFERROR(__xludf.DUMMYFUNCTION(" IF
( VLOOKUP($G435,IMPORTRANGE(""https://docs.google.com/spreadsheets/d/1Gpl6jkTg7sL4VDNimUm3S9Vi1i95esohXCF3wuKOE8c"", ""'CONSOLIDADO'!G5:AB""), 10, 0) &lt;&gt; 0, 
IFERROR(VLOOKUP($G435,IMPORTRANGE(""https://docs.google.com/spreadsheets/d/1Gpl6jkTg7sL4VDNimU"&amp;"m3S9Vi1i95esohXCF3wuKOE8c"", ""'CONSOLIDADO'!G5:AB""), 19, 0), ""-""),
""""
)"),"https://www.aslak.es/herramientas-electricas/taladro-de-columna-optidrill-d-26pro-230v-1ph-optidrill-d-26pro-230v-1ph.html")</f>
        <v>https://www.aslak.es/herramientas-electricas/taladro-de-columna-optidrill-d-26pro-230v-1ph-optidrill-d-26pro-230v-1ph.html</v>
      </c>
      <c r="W435" s="37" t="str">
        <f>IFERROR(__xludf.DUMMYFUNCTION("IFERROR(VLOOKUP(G435,IMPORTRANGE(""https://docs.google.com/spreadsheets/d/12RxCea4e5ggM7QGn1XE3FbLQa_-QbCNdBi90OdPjRqg"", ""'Plan de Compras'!D4:Q""), 12, 0), ""NO ESTÁ EN REQ"")"),"Técnica")</f>
        <v>Técnica</v>
      </c>
      <c r="X435" s="37" t="str">
        <f>IFERROR(__xludf.DUMMYFUNCTION("IFERROR(VLOOKUP(G435,IMPORTRANGE(""https://docs.google.com/spreadsheets/d/12RxCea4e5ggM7QGn1XE3FbLQa_-QbCNdBi90OdPjRqg"", ""'Plan de Compras'!D4:Q""), 13, 0), """")"),"INTERNACIONAL")</f>
        <v>INTERNACIONAL</v>
      </c>
      <c r="Y435" s="32" t="str">
        <f>IFERROR(__xludf.DUMMYFUNCTION("IFERROR(VLOOKUP(G435,IMPORTRANGE(""https://docs.google.com/spreadsheets/d/12RxCea4e5ggM7QGn1XE3FbLQa_-QbCNdBi90OdPjRqg"", ""'Plan de Compras'!D4:Q""), 14, 0), """")"),"GEYDI")</f>
        <v>GEYDI</v>
      </c>
      <c r="Z435" s="38" t="str">
        <f>IFERROR(__xludf.DUMMYFUNCTION("IFERROR(VLOOKUP(G435,IMPORTRANGE(""https://docs.google.com/spreadsheets/d/12RxCea4e5ggM7QGn1XE3FbLQa_-QbCNdBi90OdPjRqg"", ""'Plan de Compras'!D4:Q""), 4, 0), """")"),"TALADRO DE COLUMNA")</f>
        <v>TALADRO DE COLUMNA</v>
      </c>
      <c r="AA435" s="38" t="str">
        <f t="shared" si="37"/>
        <v>TRUE</v>
      </c>
      <c r="AB435" s="37" t="str">
        <f>IFERROR(__xludf.DUMMYFUNCTION("IFERROR(IF(OR(C435=TRUE,C435=""""),VLOOKUP(G435,IMPORTRANGE(""https://docs.google.com/spreadsheets/d/1z9A1Wq-kKrhRNG5RS2a2fKpY1wIhSVz2ZNmP2mOl588/edit?usp=sharing"",""REQ VF!E4:H""),4,0),""NO APLICA""),""GENERAR REQ"")"),"GENERAR REQ")</f>
        <v>GENERAR REQ</v>
      </c>
      <c r="AC435" s="37" t="str">
        <f>IFERROR(__xludf.DUMMYFUNCTION("IFERROR(QUERY(IMPORTRANGE(""https://docs.google.com/spreadsheets/d/1z9A1Wq-kKrhRNG5RS2a2fKpY1wIhSVz2ZNmP2mOl588/edit?usp=sharing"",""REQ VF!E4:Q""),""SELECT Col10, Col11, Col12 WHERE Col1 = '""&amp;G435&amp;""'"",0),""NO APLICA"")"),"NO APLICA")</f>
        <v>NO APLICA</v>
      </c>
      <c r="AD435" s="37"/>
      <c r="AE435" s="37"/>
      <c r="AF435" s="8" t="s">
        <v>52</v>
      </c>
      <c r="AG435" s="13"/>
    </row>
    <row r="436">
      <c r="A436" s="26"/>
      <c r="B436" s="26"/>
      <c r="C436" s="26" t="b">
        <v>1</v>
      </c>
      <c r="D436" s="26" t="s">
        <v>42</v>
      </c>
      <c r="E436" s="26" t="s">
        <v>36</v>
      </c>
      <c r="F436" s="27" t="s">
        <v>1378</v>
      </c>
      <c r="G436" s="39" t="s">
        <v>1384</v>
      </c>
      <c r="H436" s="82" t="s">
        <v>1385</v>
      </c>
      <c r="I436" s="43">
        <f t="shared" ref="I436:I439" si="38">$I$435</f>
        <v>3</v>
      </c>
      <c r="J436" s="26">
        <f>IFERROR(__xludf.DUMMYFUNCTION("VLOOKUP(G436,IMPORTRANGE(""https://docs.google.com/spreadsheets/d/12RxCea4e5ggM7QGn1XE3FbLQa_-QbCNdBi90OdPjRqg/edit?gid=1692403370#gid=1692403370"", ""'Plan de Compras'!D4:2432""), 8,0)"),3.0)</f>
        <v>3</v>
      </c>
      <c r="K436" s="26" t="str">
        <f t="shared" si="1"/>
        <v>SI</v>
      </c>
      <c r="L436" s="26"/>
      <c r="M436" s="61"/>
      <c r="N436" s="70"/>
      <c r="O436" s="32"/>
      <c r="P436" s="32"/>
      <c r="Q436" s="85" t="s">
        <v>1386</v>
      </c>
      <c r="R436" s="32"/>
      <c r="S436" s="44" t="b">
        <v>0</v>
      </c>
      <c r="T436" s="79"/>
      <c r="U436" s="79"/>
      <c r="V436" s="78"/>
      <c r="W436" s="37" t="str">
        <f>IFERROR(__xludf.DUMMYFUNCTION("IFERROR(VLOOKUP(G436,IMPORTRANGE(""https://docs.google.com/spreadsheets/d/12RxCea4e5ggM7QGn1XE3FbLQa_-QbCNdBi90OdPjRqg"", ""'Plan de Compras'!D4:Q""), 12, 0), ""NO ESTÁ EN REQ"")"),"Técnica")</f>
        <v>Técnica</v>
      </c>
      <c r="X436" s="37" t="str">
        <f>IFERROR(__xludf.DUMMYFUNCTION("IFERROR(VLOOKUP(G436,IMPORTRANGE(""https://docs.google.com/spreadsheets/d/12RxCea4e5ggM7QGn1XE3FbLQa_-QbCNdBi90OdPjRqg"", ""'Plan de Compras'!D4:Q""), 13, 0), """")"),"INTERNACIONAL")</f>
        <v>INTERNACIONAL</v>
      </c>
      <c r="Y436" s="32" t="str">
        <f>IFERROR(__xludf.DUMMYFUNCTION("IFERROR(VLOOKUP(G436,IMPORTRANGE(""https://docs.google.com/spreadsheets/d/12RxCea4e5ggM7QGn1XE3FbLQa_-QbCNdBi90OdPjRqg"", ""'Plan de Compras'!D4:Q""), 14, 0), """")"),"GIANFRANCO")</f>
        <v>GIANFRANCO</v>
      </c>
      <c r="Z436" s="38" t="str">
        <f>IFERROR(__xludf.DUMMYFUNCTION("IFERROR(VLOOKUP(G436,IMPORTRANGE(""https://docs.google.com/spreadsheets/d/12RxCea4e5ggM7QGn1XE3FbLQa_-QbCNdBi90OdPjRqg"", ""'Plan de Compras'!D4:Q""), 4, 0), """")"),"TORNILLO DE BANCO PARA LA MESA DE TRABAJO DEL TALADRO, CON MÍNIMO ANCHO DE MANDÍBULA DE 100 MM (1 UND)")</f>
        <v>TORNILLO DE BANCO PARA LA MESA DE TRABAJO DEL TALADRO, CON MÍNIMO ANCHO DE MANDÍBULA DE 100 MM (1 UND)</v>
      </c>
      <c r="AA436" s="38" t="str">
        <f t="shared" si="37"/>
        <v>TRUE</v>
      </c>
      <c r="AB436" s="37" t="str">
        <f>IFERROR(__xludf.DUMMYFUNCTION("IFERROR(IF(OR(C436=TRUE,C436=""""),VLOOKUP(G436,IMPORTRANGE(""https://docs.google.com/spreadsheets/d/1z9A1Wq-kKrhRNG5RS2a2fKpY1wIhSVz2ZNmP2mOl588/edit?usp=sharing"",""REQ VF!E4:H""),4,0),""NO APLICA""),""GENERAR REQ"")"),"GENERAR REQ")</f>
        <v>GENERAR REQ</v>
      </c>
      <c r="AC436" s="37" t="str">
        <f>IFERROR(__xludf.DUMMYFUNCTION("IFERROR(QUERY(IMPORTRANGE(""https://docs.google.com/spreadsheets/d/1z9A1Wq-kKrhRNG5RS2a2fKpY1wIhSVz2ZNmP2mOl588/edit?usp=sharing"",""REQ VF!E4:Q""),""SELECT Col10, Col11, Col12 WHERE Col1 = '""&amp;G436&amp;""'"",0),""NO APLICA"")"),"NO APLICA")</f>
        <v>NO APLICA</v>
      </c>
      <c r="AD436" s="37"/>
      <c r="AE436" s="37"/>
      <c r="AF436" s="13"/>
      <c r="AG436" s="13"/>
    </row>
    <row r="437">
      <c r="A437" s="26"/>
      <c r="B437" s="26"/>
      <c r="C437" s="26" t="b">
        <v>1</v>
      </c>
      <c r="D437" s="26" t="s">
        <v>42</v>
      </c>
      <c r="E437" s="26" t="s">
        <v>36</v>
      </c>
      <c r="F437" s="27" t="s">
        <v>1378</v>
      </c>
      <c r="G437" s="39" t="s">
        <v>1387</v>
      </c>
      <c r="H437" s="82" t="s">
        <v>1388</v>
      </c>
      <c r="I437" s="43">
        <f t="shared" si="38"/>
        <v>3</v>
      </c>
      <c r="J437" s="26">
        <f>IFERROR(__xludf.DUMMYFUNCTION("VLOOKUP(G437,IMPORTRANGE(""https://docs.google.com/spreadsheets/d/12RxCea4e5ggM7QGn1XE3FbLQa_-QbCNdBi90OdPjRqg/edit?gid=1692403370#gid=1692403370"", ""'Plan de Compras'!D4:2432""), 8,0)"),3.0)</f>
        <v>3</v>
      </c>
      <c r="K437" s="26" t="str">
        <f t="shared" si="1"/>
        <v>SI</v>
      </c>
      <c r="L437" s="26"/>
      <c r="M437" s="61"/>
      <c r="N437" s="70"/>
      <c r="O437" s="32"/>
      <c r="P437" s="32"/>
      <c r="Q437" s="46" t="s">
        <v>1389</v>
      </c>
      <c r="R437" s="32"/>
      <c r="S437" s="44" t="b">
        <v>0</v>
      </c>
      <c r="T437" s="79"/>
      <c r="U437" s="79"/>
      <c r="V437" s="78"/>
      <c r="W437" s="37" t="str">
        <f>IFERROR(__xludf.DUMMYFUNCTION("IFERROR(VLOOKUP(G437,IMPORTRANGE(""https://docs.google.com/spreadsheets/d/12RxCea4e5ggM7QGn1XE3FbLQa_-QbCNdBi90OdPjRqg"", ""'Plan de Compras'!D4:Q""), 12, 0), ""NO ESTÁ EN REQ"")"),"Técnica")</f>
        <v>Técnica</v>
      </c>
      <c r="X437" s="37" t="str">
        <f>IFERROR(__xludf.DUMMYFUNCTION("IFERROR(VLOOKUP(G437,IMPORTRANGE(""https://docs.google.com/spreadsheets/d/12RxCea4e5ggM7QGn1XE3FbLQa_-QbCNdBi90OdPjRqg"", ""'Plan de Compras'!D4:Q""), 13, 0), """")"),"INTERNACIONAL")</f>
        <v>INTERNACIONAL</v>
      </c>
      <c r="Y437" s="32" t="str">
        <f>IFERROR(__xludf.DUMMYFUNCTION("IFERROR(VLOOKUP(G437,IMPORTRANGE(""https://docs.google.com/spreadsheets/d/12RxCea4e5ggM7QGn1XE3FbLQa_-QbCNdBi90OdPjRqg"", ""'Plan de Compras'!D4:Q""), 14, 0), """")"),"GEYDI")</f>
        <v>GEYDI</v>
      </c>
      <c r="Z437" s="38" t="str">
        <f>IFERROR(__xludf.DUMMYFUNCTION("IFERROR(VLOOKUP(G437,IMPORTRANGE(""https://docs.google.com/spreadsheets/d/12RxCea4e5ggM7QGn1XE3FbLQa_-QbCNdBi90OdPjRqg"", ""'Plan de Compras'!D4:Q""), 4, 0), """")"),"INCLUYE: JUEGO DE BROCAS DE TITANIO DE MÍNIMO 25 UNIDADES DE BROCAS PARA METAL, DE DIÁMETROS ENTRE 1 MM A 13 MM (1 UND)")</f>
        <v>INCLUYE: JUEGO DE BROCAS DE TITANIO DE MÍNIMO 25 UNIDADES DE BROCAS PARA METAL, DE DIÁMETROS ENTRE 1 MM A 13 MM (1 UND)</v>
      </c>
      <c r="AA437" s="38" t="str">
        <f t="shared" si="37"/>
        <v>TRUE</v>
      </c>
      <c r="AB437" s="37" t="str">
        <f>IFERROR(__xludf.DUMMYFUNCTION("IFERROR(IF(OR(C437=TRUE,C437=""""),VLOOKUP(G437,IMPORTRANGE(""https://docs.google.com/spreadsheets/d/1z9A1Wq-kKrhRNG5RS2a2fKpY1wIhSVz2ZNmP2mOl588/edit?usp=sharing"",""REQ VF!E4:H""),4,0),""NO APLICA""),""GENERAR REQ"")"),"GENERAR REQ")</f>
        <v>GENERAR REQ</v>
      </c>
      <c r="AC437" s="37" t="str">
        <f>IFERROR(__xludf.DUMMYFUNCTION("IFERROR(QUERY(IMPORTRANGE(""https://docs.google.com/spreadsheets/d/1z9A1Wq-kKrhRNG5RS2a2fKpY1wIhSVz2ZNmP2mOl588/edit?usp=sharing"",""REQ VF!E4:Q""),""SELECT Col10, Col11, Col12 WHERE Col1 = '""&amp;G437&amp;""'"",0),""NO APLICA"")"),"NO APLICA")</f>
        <v>NO APLICA</v>
      </c>
      <c r="AD437" s="37"/>
      <c r="AE437" s="37"/>
      <c r="AF437" s="13"/>
      <c r="AG437" s="13"/>
    </row>
    <row r="438">
      <c r="A438" s="26"/>
      <c r="B438" s="26"/>
      <c r="C438" s="26" t="b">
        <v>1</v>
      </c>
      <c r="D438" s="26" t="s">
        <v>42</v>
      </c>
      <c r="E438" s="26" t="s">
        <v>36</v>
      </c>
      <c r="F438" s="27" t="s">
        <v>1378</v>
      </c>
      <c r="G438" s="39" t="s">
        <v>1390</v>
      </c>
      <c r="H438" s="82" t="s">
        <v>1391</v>
      </c>
      <c r="I438" s="43">
        <f t="shared" si="38"/>
        <v>3</v>
      </c>
      <c r="J438" s="26">
        <f>IFERROR(__xludf.DUMMYFUNCTION("VLOOKUP(G438,IMPORTRANGE(""https://docs.google.com/spreadsheets/d/12RxCea4e5ggM7QGn1XE3FbLQa_-QbCNdBi90OdPjRqg/edit?gid=1692403370#gid=1692403370"", ""'Plan de Compras'!D4:2432""), 8,0)"),3.0)</f>
        <v>3</v>
      </c>
      <c r="K438" s="26" t="str">
        <f t="shared" si="1"/>
        <v>SI</v>
      </c>
      <c r="L438" s="26"/>
      <c r="M438" s="61"/>
      <c r="N438" s="70"/>
      <c r="O438" s="32"/>
      <c r="P438" s="32"/>
      <c r="Q438" s="85" t="s">
        <v>1392</v>
      </c>
      <c r="R438" s="32"/>
      <c r="S438" s="44" t="b">
        <v>0</v>
      </c>
      <c r="T438" s="79"/>
      <c r="U438" s="79"/>
      <c r="V438" s="78"/>
      <c r="W438" s="37" t="str">
        <f>IFERROR(__xludf.DUMMYFUNCTION("IFERROR(VLOOKUP(G438,IMPORTRANGE(""https://docs.google.com/spreadsheets/d/12RxCea4e5ggM7QGn1XE3FbLQa_-QbCNdBi90OdPjRqg"", ""'Plan de Compras'!D4:Q""), 12, 0), ""NO ESTÁ EN REQ"")"),"Técnica")</f>
        <v>Técnica</v>
      </c>
      <c r="X438" s="37" t="str">
        <f>IFERROR(__xludf.DUMMYFUNCTION("IFERROR(VLOOKUP(G438,IMPORTRANGE(""https://docs.google.com/spreadsheets/d/12RxCea4e5ggM7QGn1XE3FbLQa_-QbCNdBi90OdPjRqg"", ""'Plan de Compras'!D4:Q""), 13, 0), """")"),"INTERNACIONAL")</f>
        <v>INTERNACIONAL</v>
      </c>
      <c r="Y438" s="32" t="str">
        <f>IFERROR(__xludf.DUMMYFUNCTION("IFERROR(VLOOKUP(G438,IMPORTRANGE(""https://docs.google.com/spreadsheets/d/12RxCea4e5ggM7QGn1XE3FbLQa_-QbCNdBi90OdPjRqg"", ""'Plan de Compras'!D4:Q""), 14, 0), """")"),"ALEJANDRA")</f>
        <v>ALEJANDRA</v>
      </c>
      <c r="Z438" s="38" t="str">
        <f>IFERROR(__xludf.DUMMYFUNCTION("IFERROR(VLOOKUP(G438,IMPORTRANGE(""https://docs.google.com/spreadsheets/d/12RxCea4e5ggM7QGn1XE3FbLQa_-QbCNdBi90OdPjRqg"", ""'Plan de Compras'!D4:Q""), 4, 0), """")"),"JUEGO DE BROCAS PARA METAL, ENTRE: 14 MM A 20 MM DE DIÁMETRO. (1 UND)")</f>
        <v>JUEGO DE BROCAS PARA METAL, ENTRE: 14 MM A 20 MM DE DIÁMETRO. (1 UND)</v>
      </c>
      <c r="AA438" s="38" t="str">
        <f t="shared" si="37"/>
        <v>TRUE</v>
      </c>
      <c r="AB438" s="37" t="str">
        <f>IFERROR(__xludf.DUMMYFUNCTION("IFERROR(IF(OR(C438=TRUE,C438=""""),VLOOKUP(G438,IMPORTRANGE(""https://docs.google.com/spreadsheets/d/1z9A1Wq-kKrhRNG5RS2a2fKpY1wIhSVz2ZNmP2mOl588/edit?usp=sharing"",""REQ VF!E4:H""),4,0),""NO APLICA""),""GENERAR REQ"")"),"GENERAR REQ")</f>
        <v>GENERAR REQ</v>
      </c>
      <c r="AC438" s="37" t="str">
        <f>IFERROR(__xludf.DUMMYFUNCTION("IFERROR(QUERY(IMPORTRANGE(""https://docs.google.com/spreadsheets/d/1z9A1Wq-kKrhRNG5RS2a2fKpY1wIhSVz2ZNmP2mOl588/edit?usp=sharing"",""REQ VF!E4:Q""),""SELECT Col10, Col11, Col12 WHERE Col1 = '""&amp;G438&amp;""'"",0),""NO APLICA"")"),"NO APLICA")</f>
        <v>NO APLICA</v>
      </c>
      <c r="AD438" s="37"/>
      <c r="AE438" s="37"/>
      <c r="AF438" s="13"/>
      <c r="AG438" s="13"/>
    </row>
    <row r="439">
      <c r="A439" s="26"/>
      <c r="B439" s="26"/>
      <c r="C439" s="26" t="b">
        <v>1</v>
      </c>
      <c r="D439" s="26" t="s">
        <v>42</v>
      </c>
      <c r="E439" s="26" t="s">
        <v>36</v>
      </c>
      <c r="F439" s="27" t="s">
        <v>1378</v>
      </c>
      <c r="G439" s="39" t="s">
        <v>1393</v>
      </c>
      <c r="H439" s="82" t="s">
        <v>1394</v>
      </c>
      <c r="I439" s="43">
        <f t="shared" si="38"/>
        <v>3</v>
      </c>
      <c r="J439" s="26">
        <f>IFERROR(__xludf.DUMMYFUNCTION("VLOOKUP(G439,IMPORTRANGE(""https://docs.google.com/spreadsheets/d/12RxCea4e5ggM7QGn1XE3FbLQa_-QbCNdBi90OdPjRqg/edit?gid=1692403370#gid=1692403370"", ""'Plan de Compras'!D4:2432""), 8,0)"),3.0)</f>
        <v>3</v>
      </c>
      <c r="K439" s="26" t="str">
        <f t="shared" si="1"/>
        <v>SI</v>
      </c>
      <c r="L439" s="26"/>
      <c r="M439" s="61"/>
      <c r="N439" s="70"/>
      <c r="O439" s="32"/>
      <c r="P439" s="32"/>
      <c r="Q439" s="85" t="s">
        <v>1395</v>
      </c>
      <c r="R439" s="32"/>
      <c r="S439" s="44" t="b">
        <v>0</v>
      </c>
      <c r="T439" s="79"/>
      <c r="U439" s="79"/>
      <c r="V439" s="78"/>
      <c r="W439" s="37" t="str">
        <f>IFERROR(__xludf.DUMMYFUNCTION("IFERROR(VLOOKUP(G439,IMPORTRANGE(""https://docs.google.com/spreadsheets/d/12RxCea4e5ggM7QGn1XE3FbLQa_-QbCNdBi90OdPjRqg"", ""'Plan de Compras'!D4:Q""), 12, 0), ""NO ESTÁ EN REQ"")"),"Técnica")</f>
        <v>Técnica</v>
      </c>
      <c r="X439" s="37" t="str">
        <f>IFERROR(__xludf.DUMMYFUNCTION("IFERROR(VLOOKUP(G439,IMPORTRANGE(""https://docs.google.com/spreadsheets/d/12RxCea4e5ggM7QGn1XE3FbLQa_-QbCNdBi90OdPjRqg"", ""'Plan de Compras'!D4:Q""), 13, 0), """")"),"INTERNACIONAL")</f>
        <v>INTERNACIONAL</v>
      </c>
      <c r="Y439" s="32" t="str">
        <f>IFERROR(__xludf.DUMMYFUNCTION("IFERROR(VLOOKUP(G439,IMPORTRANGE(""https://docs.google.com/spreadsheets/d/12RxCea4e5ggM7QGn1XE3FbLQa_-QbCNdBi90OdPjRqg"", ""'Plan de Compras'!D4:Q""), 14, 0), """")"),"ALEJANDRA")</f>
        <v>ALEJANDRA</v>
      </c>
      <c r="Z439" s="38" t="str">
        <f>IFERROR(__xludf.DUMMYFUNCTION("IFERROR(VLOOKUP(G439,IMPORTRANGE(""https://docs.google.com/spreadsheets/d/12RxCea4e5ggM7QGn1XE3FbLQa_-QbCNdBi90OdPjRqg"", ""'Plan de Compras'!D4:Q""), 4, 0), """")"),"JUEGO DE BROCAS PARA METAL, ENTRE: 22 MM A 25 MM DE DIÁMETRO. (1 UND)")</f>
        <v>JUEGO DE BROCAS PARA METAL, ENTRE: 22 MM A 25 MM DE DIÁMETRO. (1 UND)</v>
      </c>
      <c r="AA439" s="38" t="str">
        <f t="shared" si="37"/>
        <v>TRUE</v>
      </c>
      <c r="AB439" s="37" t="str">
        <f>IFERROR(__xludf.DUMMYFUNCTION("IFERROR(IF(OR(C439=TRUE,C439=""""),VLOOKUP(G439,IMPORTRANGE(""https://docs.google.com/spreadsheets/d/1z9A1Wq-kKrhRNG5RS2a2fKpY1wIhSVz2ZNmP2mOl588/edit?usp=sharing"",""REQ VF!E4:H""),4,0),""NO APLICA""),""GENERAR REQ"")"),"GENERAR REQ")</f>
        <v>GENERAR REQ</v>
      </c>
      <c r="AC439" s="37" t="str">
        <f>IFERROR(__xludf.DUMMYFUNCTION("IFERROR(QUERY(IMPORTRANGE(""https://docs.google.com/spreadsheets/d/1z9A1Wq-kKrhRNG5RS2a2fKpY1wIhSVz2ZNmP2mOl588/edit?usp=sharing"",""REQ VF!E4:Q""),""SELECT Col10, Col11, Col12 WHERE Col1 = '""&amp;G439&amp;""'"",0),""NO APLICA"")"),"NO APLICA")</f>
        <v>NO APLICA</v>
      </c>
      <c r="AD439" s="37"/>
      <c r="AE439" s="37"/>
      <c r="AF439" s="13"/>
      <c r="AG439" s="13"/>
    </row>
    <row r="440">
      <c r="A440" s="26">
        <v>209.0</v>
      </c>
      <c r="B440" s="26" t="b">
        <v>1</v>
      </c>
      <c r="C440" s="26" t="b">
        <v>1</v>
      </c>
      <c r="D440" s="26" t="s">
        <v>35</v>
      </c>
      <c r="E440" s="26" t="s">
        <v>36</v>
      </c>
      <c r="F440" s="27" t="s">
        <v>1396</v>
      </c>
      <c r="G440" s="39" t="s">
        <v>1396</v>
      </c>
      <c r="H440" s="45" t="s">
        <v>1397</v>
      </c>
      <c r="I440" s="43">
        <f>SUMIFS('Hoja 10'!$O:$O,'Hoja 10'!$F:$F,$G440)</f>
        <v>2</v>
      </c>
      <c r="J440" s="26">
        <f>IFERROR(__xludf.DUMMYFUNCTION("VLOOKUP(G440,IMPORTRANGE(""https://docs.google.com/spreadsheets/d/12RxCea4e5ggM7QGn1XE3FbLQa_-QbCNdBi90OdPjRqg/edit?gid=1692403370#gid=1692403370"", ""'Plan de Compras'!D4:2432""), 8,0)"),2.0)</f>
        <v>2</v>
      </c>
      <c r="K440" s="26" t="str">
        <f t="shared" si="1"/>
        <v>SI</v>
      </c>
      <c r="L440" s="29" t="s">
        <v>296</v>
      </c>
      <c r="M440" s="30" t="s">
        <v>297</v>
      </c>
      <c r="N440" s="70"/>
      <c r="O440" s="32" t="str">
        <f>VLOOKUP($G440,'Hoja 10'!$F$4:$AA478, 19,0)</f>
        <v>OPTIMUM</v>
      </c>
      <c r="P440" s="32" t="str">
        <f>VLOOKUP($G440,'Hoja 10'!$F$4:$AA478, 20,0)</f>
        <v>OPTIDRILL D 26 PRO - 230V 1 HP</v>
      </c>
      <c r="Q440" s="33" t="str">
        <f>VLOOKUP($G440,'Hoja 10'!$F$4:$AA478, 21,0)</f>
        <v>https://www.aslak.es/herramientas-electricas/taladro-de-columna-optidrill-d-26pro-230v-1ph-optidrill-d-26pro-230v-1ph.html</v>
      </c>
      <c r="R440" s="30" t="s">
        <v>1398</v>
      </c>
      <c r="S440" s="34" t="b">
        <v>1</v>
      </c>
      <c r="T440" s="35" t="str">
        <f>IFERROR(__xludf.DUMMYFUNCTION(" IF
( VLOOKUP($G440,IMPORTRANGE(""https://docs.google.com/spreadsheets/d/1Gpl6jkTg7sL4VDNimUm3S9Vi1i95esohXCF3wuKOE8c"", ""'CONSOLIDADO'!G5:AB""), 10, 0) &lt;&gt; 0, 
IFERROR(VLOOKUP($G440,IMPORTRANGE(""https://docs.google.com/spreadsheets/d/1Gpl6jkTg7sL4VDNimU"&amp;"m3S9Vi1i95esohXCF3wuKOE8c"", ""'CONSOLIDADO'!G5:AB""), 17, 0), ""-""),
""""
)"),"OPTIMUM")</f>
        <v>OPTIMUM</v>
      </c>
      <c r="U440" s="35" t="str">
        <f>IFERROR(__xludf.DUMMYFUNCTION(" IF
( VLOOKUP($G440,IMPORTRANGE(""https://docs.google.com/spreadsheets/d/1Gpl6jkTg7sL4VDNimUm3S9Vi1i95esohXCF3wuKOE8c"", ""'CONSOLIDADO'!G5:AB""), 10, 0) &lt;&gt; 0, 
IFERROR(VLOOKUP($G440,IMPORTRANGE(""https://docs.google.com/spreadsheets/d/1Gpl6jkTg7sL4VDNimU"&amp;"m3S9Vi1i95esohXCF3wuKOE8c"", ""'CONSOLIDADO'!G5:AB""), 18, 0), ""-""),
""""
)"),"OPTIDRILL D 26PRO")</f>
        <v>OPTIDRILL D 26PRO</v>
      </c>
      <c r="V440" s="36" t="str">
        <f>IFERROR(__xludf.DUMMYFUNCTION(" IF
( VLOOKUP($G440,IMPORTRANGE(""https://docs.google.com/spreadsheets/d/1Gpl6jkTg7sL4VDNimUm3S9Vi1i95esohXCF3wuKOE8c"", ""'CONSOLIDADO'!G5:AB""), 10, 0) &lt;&gt; 0, 
IFERROR(VLOOKUP($G440,IMPORTRANGE(""https://docs.google.com/spreadsheets/d/1Gpl6jkTg7sL4VDNimU"&amp;"m3S9Vi1i95esohXCF3wuKOE8c"", ""'CONSOLIDADO'!G5:AB""), 19, 0), ""-""),
""""
)"),"https://www.aslak.es/herramientas-electricas/taladro-de-columna-optidrill-d-26pro-230v-1ph-optidrill-d-26pro-230v-1ph.html")</f>
        <v>https://www.aslak.es/herramientas-electricas/taladro-de-columna-optidrill-d-26pro-230v-1ph-optidrill-d-26pro-230v-1ph.html</v>
      </c>
      <c r="W440" s="37" t="str">
        <f>IFERROR(__xludf.DUMMYFUNCTION("IFERROR(VLOOKUP(G440,IMPORTRANGE(""https://docs.google.com/spreadsheets/d/12RxCea4e5ggM7QGn1XE3FbLQa_-QbCNdBi90OdPjRqg"", ""'Plan de Compras'!D4:Q""), 12, 0), ""NO ESTÁ EN REQ"")"),"Técnica")</f>
        <v>Técnica</v>
      </c>
      <c r="X440" s="37" t="str">
        <f>IFERROR(__xludf.DUMMYFUNCTION("IFERROR(VLOOKUP(G440,IMPORTRANGE(""https://docs.google.com/spreadsheets/d/12RxCea4e5ggM7QGn1XE3FbLQa_-QbCNdBi90OdPjRqg"", ""'Plan de Compras'!D4:Q""), 13, 0), """")"),"INTERNACIONAL")</f>
        <v>INTERNACIONAL</v>
      </c>
      <c r="Y440" s="32" t="str">
        <f>IFERROR(__xludf.DUMMYFUNCTION("IFERROR(VLOOKUP(G440,IMPORTRANGE(""https://docs.google.com/spreadsheets/d/12RxCea4e5ggM7QGn1XE3FbLQa_-QbCNdBi90OdPjRqg"", ""'Plan de Compras'!D4:Q""), 14, 0), """")"),"GEYDI")</f>
        <v>GEYDI</v>
      </c>
      <c r="Z440" s="38" t="str">
        <f>IFERROR(__xludf.DUMMYFUNCTION("IFERROR(VLOOKUP(G440,IMPORTRANGE(""https://docs.google.com/spreadsheets/d/12RxCea4e5ggM7QGn1XE3FbLQa_-QbCNdBi90OdPjRqg"", ""'Plan de Compras'!D4:Q""), 4, 0), """")"),"TALADRO DE COLUMNA DE MESA")</f>
        <v>TALADRO DE COLUMNA DE MESA</v>
      </c>
      <c r="AA440" s="38" t="str">
        <f t="shared" si="37"/>
        <v>TRUE</v>
      </c>
      <c r="AB440" s="37" t="str">
        <f>IFERROR(__xludf.DUMMYFUNCTION("IFERROR(IF(OR(C440=TRUE,C440=""""),VLOOKUP(G440,IMPORTRANGE(""https://docs.google.com/spreadsheets/d/1z9A1Wq-kKrhRNG5RS2a2fKpY1wIhSVz2ZNmP2mOl588/edit?usp=sharing"",""REQ VF!E4:H""),4,0),""NO APLICA""),""GENERAR REQ"")"),"GENERAR REQ")</f>
        <v>GENERAR REQ</v>
      </c>
      <c r="AC440" s="37" t="str">
        <f>IFERROR(__xludf.DUMMYFUNCTION("IFERROR(QUERY(IMPORTRANGE(""https://docs.google.com/spreadsheets/d/1z9A1Wq-kKrhRNG5RS2a2fKpY1wIhSVz2ZNmP2mOl588/edit?usp=sharing"",""REQ VF!E4:Q""),""SELECT Col10, Col11, Col12 WHERE Col1 = '""&amp;G440&amp;""'"",0),""NO APLICA"")"),"NO APLICA")</f>
        <v>NO APLICA</v>
      </c>
      <c r="AD440" s="37"/>
      <c r="AE440" s="37"/>
      <c r="AF440" s="8" t="s">
        <v>52</v>
      </c>
      <c r="AG440" s="13"/>
    </row>
    <row r="441">
      <c r="A441" s="26"/>
      <c r="B441" s="26"/>
      <c r="C441" s="26" t="b">
        <v>1</v>
      </c>
      <c r="D441" s="26" t="s">
        <v>42</v>
      </c>
      <c r="E441" s="26" t="s">
        <v>36</v>
      </c>
      <c r="F441" s="27" t="s">
        <v>1396</v>
      </c>
      <c r="G441" s="39" t="s">
        <v>1399</v>
      </c>
      <c r="H441" s="45" t="s">
        <v>1385</v>
      </c>
      <c r="I441" s="43">
        <f t="shared" ref="I441:I448" si="39">$I$440</f>
        <v>2</v>
      </c>
      <c r="J441" s="26">
        <f>IFERROR(__xludf.DUMMYFUNCTION("VLOOKUP(G441,IMPORTRANGE(""https://docs.google.com/spreadsheets/d/12RxCea4e5ggM7QGn1XE3FbLQa_-QbCNdBi90OdPjRqg/edit?gid=1692403370#gid=1692403370"", ""'Plan de Compras'!D4:2432""), 8,0)"),2.0)</f>
        <v>2</v>
      </c>
      <c r="K441" s="26" t="str">
        <f t="shared" si="1"/>
        <v>SI</v>
      </c>
      <c r="L441" s="26"/>
      <c r="M441" s="41"/>
      <c r="N441" s="42"/>
      <c r="O441" s="42"/>
      <c r="P441" s="26"/>
      <c r="Q441" s="46" t="s">
        <v>1386</v>
      </c>
      <c r="R441" s="41"/>
      <c r="S441" s="44" t="b">
        <v>0</v>
      </c>
      <c r="T441" s="72"/>
      <c r="U441" s="72"/>
      <c r="V441" s="44"/>
      <c r="W441" s="37" t="str">
        <f>IFERROR(__xludf.DUMMYFUNCTION("IFERROR(VLOOKUP(G441,IMPORTRANGE(""https://docs.google.com/spreadsheets/d/12RxCea4e5ggM7QGn1XE3FbLQa_-QbCNdBi90OdPjRqg"", ""'Plan de Compras'!D4:Q""), 12, 0), ""NO ESTÁ EN REQ"")"),"Técnica")</f>
        <v>Técnica</v>
      </c>
      <c r="X441" s="37" t="str">
        <f>IFERROR(__xludf.DUMMYFUNCTION("IFERROR(VLOOKUP(G441,IMPORTRANGE(""https://docs.google.com/spreadsheets/d/12RxCea4e5ggM7QGn1XE3FbLQa_-QbCNdBi90OdPjRqg"", ""'Plan de Compras'!D4:Q""), 13, 0), """")"),"INTERNACIONAL")</f>
        <v>INTERNACIONAL</v>
      </c>
      <c r="Y441" s="32" t="str">
        <f>IFERROR(__xludf.DUMMYFUNCTION("IFERROR(VLOOKUP(G441,IMPORTRANGE(""https://docs.google.com/spreadsheets/d/12RxCea4e5ggM7QGn1XE3FbLQa_-QbCNdBi90OdPjRqg"", ""'Plan de Compras'!D4:Q""), 14, 0), """")"),"GEYDI")</f>
        <v>GEYDI</v>
      </c>
      <c r="Z441" s="38" t="str">
        <f>IFERROR(__xludf.DUMMYFUNCTION("IFERROR(VLOOKUP(G441,IMPORTRANGE(""https://docs.google.com/spreadsheets/d/12RxCea4e5ggM7QGn1XE3FbLQa_-QbCNdBi90OdPjRqg"", ""'Plan de Compras'!D4:Q""), 4, 0), """")"),"TORNILLO DE BANCO PARA LA MESA DE TRABAJO DEL TALADRO, CON MÍNIMO ANCHO DE MANDÍBULA DE 100 MM (1 UND)")</f>
        <v>TORNILLO DE BANCO PARA LA MESA DE TRABAJO DEL TALADRO, CON MÍNIMO ANCHO DE MANDÍBULA DE 100 MM (1 UND)</v>
      </c>
      <c r="AA441" s="38" t="str">
        <f t="shared" si="37"/>
        <v>TRUE</v>
      </c>
      <c r="AB441" s="37" t="str">
        <f>IFERROR(__xludf.DUMMYFUNCTION("IFERROR(IF(OR(C441=TRUE,C441=""""),VLOOKUP(G441,IMPORTRANGE(""https://docs.google.com/spreadsheets/d/1z9A1Wq-kKrhRNG5RS2a2fKpY1wIhSVz2ZNmP2mOl588/edit?usp=sharing"",""REQ VF!E4:H""),4,0),""NO APLICA""),""GENERAR REQ"")"),"GENERAR REQ")</f>
        <v>GENERAR REQ</v>
      </c>
      <c r="AC441" s="37" t="str">
        <f>IFERROR(__xludf.DUMMYFUNCTION("IFERROR(QUERY(IMPORTRANGE(""https://docs.google.com/spreadsheets/d/1z9A1Wq-kKrhRNG5RS2a2fKpY1wIhSVz2ZNmP2mOl588/edit?usp=sharing"",""REQ VF!E4:Q""),""SELECT Col10, Col11, Col12 WHERE Col1 = '""&amp;G441&amp;""'"",0),""NO APLICA"")"),"NO APLICA")</f>
        <v>NO APLICA</v>
      </c>
      <c r="AD441" s="37"/>
      <c r="AE441" s="37"/>
      <c r="AF441" s="13"/>
      <c r="AG441" s="13"/>
    </row>
    <row r="442">
      <c r="A442" s="26"/>
      <c r="B442" s="26"/>
      <c r="C442" s="26" t="b">
        <v>1</v>
      </c>
      <c r="D442" s="26" t="s">
        <v>42</v>
      </c>
      <c r="E442" s="26" t="s">
        <v>36</v>
      </c>
      <c r="F442" s="27" t="s">
        <v>1396</v>
      </c>
      <c r="G442" s="39" t="s">
        <v>1400</v>
      </c>
      <c r="H442" s="40" t="s">
        <v>1401</v>
      </c>
      <c r="I442" s="43">
        <f t="shared" si="39"/>
        <v>2</v>
      </c>
      <c r="J442" s="26">
        <f>IFERROR(__xludf.DUMMYFUNCTION("VLOOKUP(G442,IMPORTRANGE(""https://docs.google.com/spreadsheets/d/12RxCea4e5ggM7QGn1XE3FbLQa_-QbCNdBi90OdPjRqg/edit?gid=1692403370#gid=1692403370"", ""'Plan de Compras'!D4:2432""), 8,0)"),2.0)</f>
        <v>2</v>
      </c>
      <c r="K442" s="26" t="str">
        <f t="shared" si="1"/>
        <v>SI</v>
      </c>
      <c r="L442" s="26"/>
      <c r="M442" s="41"/>
      <c r="N442" s="42"/>
      <c r="O442" s="42"/>
      <c r="P442" s="26"/>
      <c r="Q442" s="46" t="s">
        <v>1402</v>
      </c>
      <c r="R442" s="41"/>
      <c r="S442" s="44" t="b">
        <v>0</v>
      </c>
      <c r="T442" s="72"/>
      <c r="U442" s="72"/>
      <c r="V442" s="44"/>
      <c r="W442" s="37" t="str">
        <f>IFERROR(__xludf.DUMMYFUNCTION("IFERROR(VLOOKUP(G442,IMPORTRANGE(""https://docs.google.com/spreadsheets/d/12RxCea4e5ggM7QGn1XE3FbLQa_-QbCNdBi90OdPjRqg"", ""'Plan de Compras'!D4:Q""), 12, 0), ""NO ESTÁ EN REQ"")"),"Técnica")</f>
        <v>Técnica</v>
      </c>
      <c r="X442" s="37" t="str">
        <f>IFERROR(__xludf.DUMMYFUNCTION("IFERROR(VLOOKUP(G442,IMPORTRANGE(""https://docs.google.com/spreadsheets/d/12RxCea4e5ggM7QGn1XE3FbLQa_-QbCNdBi90OdPjRqg"", ""'Plan de Compras'!D4:Q""), 13, 0), """")"),"INTERNACIONAL")</f>
        <v>INTERNACIONAL</v>
      </c>
      <c r="Y442" s="32" t="str">
        <f>IFERROR(__xludf.DUMMYFUNCTION("IFERROR(VLOOKUP(G442,IMPORTRANGE(""https://docs.google.com/spreadsheets/d/12RxCea4e5ggM7QGn1XE3FbLQa_-QbCNdBi90OdPjRqg"", ""'Plan de Compras'!D4:Q""), 14, 0), """")"),"GEYDI")</f>
        <v>GEYDI</v>
      </c>
      <c r="Z442" s="38" t="str">
        <f>IFERROR(__xludf.DUMMYFUNCTION("IFERROR(VLOOKUP(G442,IMPORTRANGE(""https://docs.google.com/spreadsheets/d/12RxCea4e5ggM7QGn1XE3FbLQa_-QbCNdBi90OdPjRqg"", ""'Plan de Compras'!D4:Q""), 4, 0), """")"),"JUEGO DE BROCAS HSS DE TRES PUNTAS (DIÁMETROS: 3 MM, 4 MM, 5 MM, 6 MM, 7 MM, 8 MM, 9 MM, 10 MM, 11 MM, 12 MM, 13 MM) (1 UND)")</f>
        <v>JUEGO DE BROCAS HSS DE TRES PUNTAS (DIÁMETROS: 3 MM, 4 MM, 5 MM, 6 MM, 7 MM, 8 MM, 9 MM, 10 MM, 11 MM, 12 MM, 13 MM) (1 UND)</v>
      </c>
      <c r="AA442" s="38" t="str">
        <f t="shared" si="37"/>
        <v>TRUE</v>
      </c>
      <c r="AB442" s="37" t="str">
        <f>IFERROR(__xludf.DUMMYFUNCTION("IFERROR(IF(OR(C442=TRUE,C442=""""),VLOOKUP(G442,IMPORTRANGE(""https://docs.google.com/spreadsheets/d/1z9A1Wq-kKrhRNG5RS2a2fKpY1wIhSVz2ZNmP2mOl588/edit?usp=sharing"",""REQ VF!E4:H""),4,0),""NO APLICA""),""GENERAR REQ"")"),"GENERAR REQ")</f>
        <v>GENERAR REQ</v>
      </c>
      <c r="AC442" s="37" t="str">
        <f>IFERROR(__xludf.DUMMYFUNCTION("IFERROR(QUERY(IMPORTRANGE(""https://docs.google.com/spreadsheets/d/1z9A1Wq-kKrhRNG5RS2a2fKpY1wIhSVz2ZNmP2mOl588/edit?usp=sharing"",""REQ VF!E4:Q""),""SELECT Col10, Col11, Col12 WHERE Col1 = '""&amp;G442&amp;""'"",0),""NO APLICA"")"),"NO APLICA")</f>
        <v>NO APLICA</v>
      </c>
      <c r="AD442" s="37"/>
      <c r="AE442" s="37"/>
      <c r="AF442" s="13"/>
      <c r="AG442" s="13"/>
    </row>
    <row r="443">
      <c r="A443" s="26"/>
      <c r="B443" s="26"/>
      <c r="C443" s="26" t="b">
        <v>1</v>
      </c>
      <c r="D443" s="26" t="s">
        <v>42</v>
      </c>
      <c r="E443" s="26" t="s">
        <v>36</v>
      </c>
      <c r="F443" s="27" t="s">
        <v>1396</v>
      </c>
      <c r="G443" s="39" t="s">
        <v>1403</v>
      </c>
      <c r="H443" s="40" t="s">
        <v>1404</v>
      </c>
      <c r="I443" s="43">
        <f t="shared" si="39"/>
        <v>2</v>
      </c>
      <c r="J443" s="26">
        <f>IFERROR(__xludf.DUMMYFUNCTION("VLOOKUP(G443,IMPORTRANGE(""https://docs.google.com/spreadsheets/d/12RxCea4e5ggM7QGn1XE3FbLQa_-QbCNdBi90OdPjRqg/edit?gid=1692403370#gid=1692403370"", ""'Plan de Compras'!D4:2432""), 8,0)"),2.0)</f>
        <v>2</v>
      </c>
      <c r="K443" s="26" t="str">
        <f t="shared" si="1"/>
        <v>SI</v>
      </c>
      <c r="L443" s="26"/>
      <c r="M443" s="41"/>
      <c r="N443" s="42"/>
      <c r="O443" s="42"/>
      <c r="P443" s="26"/>
      <c r="Q443" s="46" t="s">
        <v>1405</v>
      </c>
      <c r="R443" s="41"/>
      <c r="S443" s="44" t="b">
        <v>0</v>
      </c>
      <c r="T443" s="72"/>
      <c r="U443" s="72"/>
      <c r="V443" s="44"/>
      <c r="W443" s="37" t="str">
        <f>IFERROR(__xludf.DUMMYFUNCTION("IFERROR(VLOOKUP(G443,IMPORTRANGE(""https://docs.google.com/spreadsheets/d/12RxCea4e5ggM7QGn1XE3FbLQa_-QbCNdBi90OdPjRqg"", ""'Plan de Compras'!D4:Q""), 12, 0), ""NO ESTÁ EN REQ"")"),"Técnica")</f>
        <v>Técnica</v>
      </c>
      <c r="X443" s="37" t="str">
        <f>IFERROR(__xludf.DUMMYFUNCTION("IFERROR(VLOOKUP(G443,IMPORTRANGE(""https://docs.google.com/spreadsheets/d/12RxCea4e5ggM7QGn1XE3FbLQa_-QbCNdBi90OdPjRqg"", ""'Plan de Compras'!D4:Q""), 13, 0), """")"),"INTERNACIONAL")</f>
        <v>INTERNACIONAL</v>
      </c>
      <c r="Y443" s="32" t="str">
        <f>IFERROR(__xludf.DUMMYFUNCTION("IFERROR(VLOOKUP(G443,IMPORTRANGE(""https://docs.google.com/spreadsheets/d/12RxCea4e5ggM7QGn1XE3FbLQa_-QbCNdBi90OdPjRqg"", ""'Plan de Compras'!D4:Q""), 14, 0), """")"),"GEYDI")</f>
        <v>GEYDI</v>
      </c>
      <c r="Z443" s="38" t="str">
        <f>IFERROR(__xludf.DUMMYFUNCTION("IFERROR(VLOOKUP(G443,IMPORTRANGE(""https://docs.google.com/spreadsheets/d/12RxCea4e5ggM7QGn1XE3FbLQa_-QbCNdBi90OdPjRqg"", ""'Plan de Compras'!D4:Q""), 4, 0), """")"),"JUEGO DE BROCAS HSS DE TRES PUNTAS DIÁMETRO 14 MM (1 UND)")</f>
        <v>JUEGO DE BROCAS HSS DE TRES PUNTAS DIÁMETRO 14 MM (1 UND)</v>
      </c>
      <c r="AA443" s="38" t="str">
        <f t="shared" si="37"/>
        <v>TRUE</v>
      </c>
      <c r="AB443" s="37" t="str">
        <f>IFERROR(__xludf.DUMMYFUNCTION("IFERROR(IF(OR(C443=TRUE,C443=""""),VLOOKUP(G443,IMPORTRANGE(""https://docs.google.com/spreadsheets/d/1z9A1Wq-kKrhRNG5RS2a2fKpY1wIhSVz2ZNmP2mOl588/edit?usp=sharing"",""REQ VF!E4:H""),4,0),""NO APLICA""),""GENERAR REQ"")"),"GENERAR REQ")</f>
        <v>GENERAR REQ</v>
      </c>
      <c r="AC443" s="37" t="str">
        <f>IFERROR(__xludf.DUMMYFUNCTION("IFERROR(QUERY(IMPORTRANGE(""https://docs.google.com/spreadsheets/d/1z9A1Wq-kKrhRNG5RS2a2fKpY1wIhSVz2ZNmP2mOl588/edit?usp=sharing"",""REQ VF!E4:Q""),""SELECT Col10, Col11, Col12 WHERE Col1 = '""&amp;G443&amp;""'"",0),""NO APLICA"")"),"NO APLICA")</f>
        <v>NO APLICA</v>
      </c>
      <c r="AD443" s="37"/>
      <c r="AE443" s="37"/>
      <c r="AF443" s="13"/>
      <c r="AG443" s="13"/>
    </row>
    <row r="444">
      <c r="A444" s="26"/>
      <c r="B444" s="26"/>
      <c r="C444" s="26" t="b">
        <v>1</v>
      </c>
      <c r="D444" s="26" t="s">
        <v>42</v>
      </c>
      <c r="E444" s="26" t="s">
        <v>36</v>
      </c>
      <c r="F444" s="27" t="s">
        <v>1396</v>
      </c>
      <c r="G444" s="39" t="s">
        <v>1406</v>
      </c>
      <c r="H444" s="40" t="s">
        <v>1407</v>
      </c>
      <c r="I444" s="43">
        <f t="shared" si="39"/>
        <v>2</v>
      </c>
      <c r="J444" s="26">
        <f>IFERROR(__xludf.DUMMYFUNCTION("VLOOKUP(G444,IMPORTRANGE(""https://docs.google.com/spreadsheets/d/12RxCea4e5ggM7QGn1XE3FbLQa_-QbCNdBi90OdPjRqg/edit?gid=1692403370#gid=1692403370"", ""'Plan de Compras'!D4:2432""), 8,0)"),2.0)</f>
        <v>2</v>
      </c>
      <c r="K444" s="26" t="str">
        <f t="shared" si="1"/>
        <v>SI</v>
      </c>
      <c r="L444" s="26"/>
      <c r="M444" s="41"/>
      <c r="N444" s="42"/>
      <c r="O444" s="42"/>
      <c r="P444" s="26"/>
      <c r="Q444" s="46" t="s">
        <v>1408</v>
      </c>
      <c r="R444" s="41"/>
      <c r="S444" s="44" t="b">
        <v>0</v>
      </c>
      <c r="T444" s="72"/>
      <c r="U444" s="72"/>
      <c r="V444" s="44"/>
      <c r="W444" s="37" t="str">
        <f>IFERROR(__xludf.DUMMYFUNCTION("IFERROR(VLOOKUP(G444,IMPORTRANGE(""https://docs.google.com/spreadsheets/d/12RxCea4e5ggM7QGn1XE3FbLQa_-QbCNdBi90OdPjRqg"", ""'Plan de Compras'!D4:Q""), 12, 0), ""NO ESTÁ EN REQ"")"),"Técnica")</f>
        <v>Técnica</v>
      </c>
      <c r="X444" s="37" t="str">
        <f>IFERROR(__xludf.DUMMYFUNCTION("IFERROR(VLOOKUP(G444,IMPORTRANGE(""https://docs.google.com/spreadsheets/d/12RxCea4e5ggM7QGn1XE3FbLQa_-QbCNdBi90OdPjRqg"", ""'Plan de Compras'!D4:Q""), 13, 0), """")"),"INTERNACIONAL")</f>
        <v>INTERNACIONAL</v>
      </c>
      <c r="Y444" s="32" t="str">
        <f>IFERROR(__xludf.DUMMYFUNCTION("IFERROR(VLOOKUP(G444,IMPORTRANGE(""https://docs.google.com/spreadsheets/d/12RxCea4e5ggM7QGn1XE3FbLQa_-QbCNdBi90OdPjRqg"", ""'Plan de Compras'!D4:Q""), 14, 0), """")"),"GEYDI")</f>
        <v>GEYDI</v>
      </c>
      <c r="Z444" s="38" t="str">
        <f>IFERROR(__xludf.DUMMYFUNCTION("IFERROR(VLOOKUP(G444,IMPORTRANGE(""https://docs.google.com/spreadsheets/d/12RxCea4e5ggM7QGn1XE3FbLQa_-QbCNdBi90OdPjRqg"", ""'Plan de Compras'!D4:Q""), 4, 0), """")"),"JUEGO DE BROCAS HSS DE TRES PUNTAS DIÁMETRO15 MM (1 UND)")</f>
        <v>JUEGO DE BROCAS HSS DE TRES PUNTAS DIÁMETRO15 MM (1 UND)</v>
      </c>
      <c r="AA444" s="38" t="str">
        <f t="shared" si="37"/>
        <v>TRUE</v>
      </c>
      <c r="AB444" s="37" t="str">
        <f>IFERROR(__xludf.DUMMYFUNCTION("IFERROR(IF(OR(C444=TRUE,C444=""""),VLOOKUP(G444,IMPORTRANGE(""https://docs.google.com/spreadsheets/d/1z9A1Wq-kKrhRNG5RS2a2fKpY1wIhSVz2ZNmP2mOl588/edit?usp=sharing"",""REQ VF!E4:H""),4,0),""NO APLICA""),""GENERAR REQ"")"),"GENERAR REQ")</f>
        <v>GENERAR REQ</v>
      </c>
      <c r="AC444" s="37" t="str">
        <f>IFERROR(__xludf.DUMMYFUNCTION("IFERROR(QUERY(IMPORTRANGE(""https://docs.google.com/spreadsheets/d/1z9A1Wq-kKrhRNG5RS2a2fKpY1wIhSVz2ZNmP2mOl588/edit?usp=sharing"",""REQ VF!E4:Q""),""SELECT Col10, Col11, Col12 WHERE Col1 = '""&amp;G444&amp;""'"",0),""NO APLICA"")"),"NO APLICA")</f>
        <v>NO APLICA</v>
      </c>
      <c r="AD444" s="37"/>
      <c r="AE444" s="37"/>
      <c r="AF444" s="13"/>
      <c r="AG444" s="13"/>
    </row>
    <row r="445">
      <c r="A445" s="26"/>
      <c r="B445" s="26"/>
      <c r="C445" s="26" t="b">
        <v>1</v>
      </c>
      <c r="D445" s="26" t="s">
        <v>42</v>
      </c>
      <c r="E445" s="26" t="s">
        <v>36</v>
      </c>
      <c r="F445" s="27" t="s">
        <v>1396</v>
      </c>
      <c r="G445" s="39" t="s">
        <v>1409</v>
      </c>
      <c r="H445" s="40" t="s">
        <v>1410</v>
      </c>
      <c r="I445" s="43">
        <f t="shared" si="39"/>
        <v>2</v>
      </c>
      <c r="J445" s="26">
        <f>IFERROR(__xludf.DUMMYFUNCTION("VLOOKUP(G445,IMPORTRANGE(""https://docs.google.com/spreadsheets/d/12RxCea4e5ggM7QGn1XE3FbLQa_-QbCNdBi90OdPjRqg/edit?gid=1692403370#gid=1692403370"", ""'Plan de Compras'!D4:2432""), 8,0)"),2.0)</f>
        <v>2</v>
      </c>
      <c r="K445" s="26" t="str">
        <f t="shared" si="1"/>
        <v>SI</v>
      </c>
      <c r="L445" s="26"/>
      <c r="M445" s="41"/>
      <c r="N445" s="42"/>
      <c r="O445" s="42"/>
      <c r="P445" s="26"/>
      <c r="Q445" s="46" t="s">
        <v>1411</v>
      </c>
      <c r="R445" s="41"/>
      <c r="S445" s="44" t="b">
        <v>0</v>
      </c>
      <c r="T445" s="72"/>
      <c r="U445" s="72"/>
      <c r="V445" s="44"/>
      <c r="W445" s="37" t="str">
        <f>IFERROR(__xludf.DUMMYFUNCTION("IFERROR(VLOOKUP(G445,IMPORTRANGE(""https://docs.google.com/spreadsheets/d/12RxCea4e5ggM7QGn1XE3FbLQa_-QbCNdBi90OdPjRqg"", ""'Plan de Compras'!D4:Q""), 12, 0), ""NO ESTÁ EN REQ"")"),"Técnica")</f>
        <v>Técnica</v>
      </c>
      <c r="X445" s="37" t="str">
        <f>IFERROR(__xludf.DUMMYFUNCTION("IFERROR(VLOOKUP(G445,IMPORTRANGE(""https://docs.google.com/spreadsheets/d/12RxCea4e5ggM7QGn1XE3FbLQa_-QbCNdBi90OdPjRqg"", ""'Plan de Compras'!D4:Q""), 13, 0), """")"),"INTERNACIONAL")</f>
        <v>INTERNACIONAL</v>
      </c>
      <c r="Y445" s="32" t="str">
        <f>IFERROR(__xludf.DUMMYFUNCTION("IFERROR(VLOOKUP(G445,IMPORTRANGE(""https://docs.google.com/spreadsheets/d/12RxCea4e5ggM7QGn1XE3FbLQa_-QbCNdBi90OdPjRqg"", ""'Plan de Compras'!D4:Q""), 14, 0), """")"),"GEYDI")</f>
        <v>GEYDI</v>
      </c>
      <c r="Z445" s="38" t="str">
        <f>IFERROR(__xludf.DUMMYFUNCTION("IFERROR(VLOOKUP(G445,IMPORTRANGE(""https://docs.google.com/spreadsheets/d/12RxCea4e5ggM7QGn1XE3FbLQa_-QbCNdBi90OdPjRqg"", ""'Plan de Compras'!D4:Q""), 4, 0), """")"),"JUEGO DE BROCAS HSS DE TRES PUNTAS DIÁMETRO 16 MM (1 UND)")</f>
        <v>JUEGO DE BROCAS HSS DE TRES PUNTAS DIÁMETRO 16 MM (1 UND)</v>
      </c>
      <c r="AA445" s="38" t="str">
        <f t="shared" si="37"/>
        <v>TRUE</v>
      </c>
      <c r="AB445" s="37" t="str">
        <f>IFERROR(__xludf.DUMMYFUNCTION("IFERROR(IF(OR(C445=TRUE,C445=""""),VLOOKUP(G445,IMPORTRANGE(""https://docs.google.com/spreadsheets/d/1z9A1Wq-kKrhRNG5RS2a2fKpY1wIhSVz2ZNmP2mOl588/edit?usp=sharing"",""REQ VF!E4:H""),4,0),""NO APLICA""),""GENERAR REQ"")"),"GENERAR REQ")</f>
        <v>GENERAR REQ</v>
      </c>
      <c r="AC445" s="37" t="str">
        <f>IFERROR(__xludf.DUMMYFUNCTION("IFERROR(QUERY(IMPORTRANGE(""https://docs.google.com/spreadsheets/d/1z9A1Wq-kKrhRNG5RS2a2fKpY1wIhSVz2ZNmP2mOl588/edit?usp=sharing"",""REQ VF!E4:Q""),""SELECT Col10, Col11, Col12 WHERE Col1 = '""&amp;G445&amp;""'"",0),""NO APLICA"")"),"NO APLICA")</f>
        <v>NO APLICA</v>
      </c>
      <c r="AD445" s="37"/>
      <c r="AE445" s="37"/>
      <c r="AF445" s="13"/>
      <c r="AG445" s="13"/>
    </row>
    <row r="446">
      <c r="A446" s="26"/>
      <c r="B446" s="26"/>
      <c r="C446" s="26" t="b">
        <v>1</v>
      </c>
      <c r="D446" s="26" t="s">
        <v>42</v>
      </c>
      <c r="E446" s="26" t="s">
        <v>36</v>
      </c>
      <c r="F446" s="27" t="s">
        <v>1396</v>
      </c>
      <c r="G446" s="39" t="s">
        <v>1412</v>
      </c>
      <c r="H446" s="40" t="s">
        <v>1413</v>
      </c>
      <c r="I446" s="43">
        <f t="shared" si="39"/>
        <v>2</v>
      </c>
      <c r="J446" s="26">
        <f>IFERROR(__xludf.DUMMYFUNCTION("VLOOKUP(G446,IMPORTRANGE(""https://docs.google.com/spreadsheets/d/12RxCea4e5ggM7QGn1XE3FbLQa_-QbCNdBi90OdPjRqg/edit?gid=1692403370#gid=1692403370"", ""'Plan de Compras'!D4:2432""), 8,0)"),2.0)</f>
        <v>2</v>
      </c>
      <c r="K446" s="26" t="str">
        <f t="shared" si="1"/>
        <v>SI</v>
      </c>
      <c r="L446" s="26"/>
      <c r="M446" s="41"/>
      <c r="N446" s="42"/>
      <c r="O446" s="42"/>
      <c r="P446" s="26"/>
      <c r="Q446" s="46" t="s">
        <v>1389</v>
      </c>
      <c r="R446" s="41"/>
      <c r="S446" s="44" t="b">
        <v>0</v>
      </c>
      <c r="T446" s="72"/>
      <c r="U446" s="72"/>
      <c r="V446" s="44"/>
      <c r="W446" s="37" t="str">
        <f>IFERROR(__xludf.DUMMYFUNCTION("IFERROR(VLOOKUP(G446,IMPORTRANGE(""https://docs.google.com/spreadsheets/d/12RxCea4e5ggM7QGn1XE3FbLQa_-QbCNdBi90OdPjRqg"", ""'Plan de Compras'!D4:Q""), 12, 0), ""NO ESTÁ EN REQ"")"),"Técnica")</f>
        <v>Técnica</v>
      </c>
      <c r="X446" s="37" t="str">
        <f>IFERROR(__xludf.DUMMYFUNCTION("IFERROR(VLOOKUP(G446,IMPORTRANGE(""https://docs.google.com/spreadsheets/d/12RxCea4e5ggM7QGn1XE3FbLQa_-QbCNdBi90OdPjRqg"", ""'Plan de Compras'!D4:Q""), 13, 0), """")"),"INTERNACIONAL")</f>
        <v>INTERNACIONAL</v>
      </c>
      <c r="Y446" s="32" t="str">
        <f>IFERROR(__xludf.DUMMYFUNCTION("IFERROR(VLOOKUP(G446,IMPORTRANGE(""https://docs.google.com/spreadsheets/d/12RxCea4e5ggM7QGn1XE3FbLQa_-QbCNdBi90OdPjRqg"", ""'Plan de Compras'!D4:Q""), 14, 0), """")"),"GEYDI")</f>
        <v>GEYDI</v>
      </c>
      <c r="Z446" s="38" t="str">
        <f>IFERROR(__xludf.DUMMYFUNCTION("IFERROR(VLOOKUP(G446,IMPORTRANGE(""https://docs.google.com/spreadsheets/d/12RxCea4e5ggM7QGn1XE3FbLQa_-QbCNdBi90OdPjRqg"", ""'Plan de Compras'!D4:Q""), 4, 0), """")"),"JUEGO DE BROCAS DE TITANIO (DIÁMETROS: 1 MM A 13 MM) (1 UND)")</f>
        <v>JUEGO DE BROCAS DE TITANIO (DIÁMETROS: 1 MM A 13 MM) (1 UND)</v>
      </c>
      <c r="AA446" s="38" t="str">
        <f t="shared" si="37"/>
        <v>TRUE</v>
      </c>
      <c r="AB446" s="37" t="str">
        <f>IFERROR(__xludf.DUMMYFUNCTION("IFERROR(IF(OR(C446=TRUE,C446=""""),VLOOKUP(G446,IMPORTRANGE(""https://docs.google.com/spreadsheets/d/1z9A1Wq-kKrhRNG5RS2a2fKpY1wIhSVz2ZNmP2mOl588/edit?usp=sharing"",""REQ VF!E4:H""),4,0),""NO APLICA""),""GENERAR REQ"")"),"GENERAR REQ")</f>
        <v>GENERAR REQ</v>
      </c>
      <c r="AC446" s="37" t="str">
        <f>IFERROR(__xludf.DUMMYFUNCTION("IFERROR(QUERY(IMPORTRANGE(""https://docs.google.com/spreadsheets/d/1z9A1Wq-kKrhRNG5RS2a2fKpY1wIhSVz2ZNmP2mOl588/edit?usp=sharing"",""REQ VF!E4:Q""),""SELECT Col10, Col11, Col12 WHERE Col1 = '""&amp;G446&amp;""'"",0),""NO APLICA"")"),"NO APLICA")</f>
        <v>NO APLICA</v>
      </c>
      <c r="AD446" s="37"/>
      <c r="AE446" s="37"/>
      <c r="AF446" s="13"/>
      <c r="AG446" s="13"/>
    </row>
    <row r="447">
      <c r="A447" s="26"/>
      <c r="B447" s="26"/>
      <c r="C447" s="26" t="b">
        <v>1</v>
      </c>
      <c r="D447" s="26" t="s">
        <v>42</v>
      </c>
      <c r="E447" s="26" t="s">
        <v>36</v>
      </c>
      <c r="F447" s="27" t="s">
        <v>1396</v>
      </c>
      <c r="G447" s="39" t="s">
        <v>1414</v>
      </c>
      <c r="H447" s="40" t="s">
        <v>1391</v>
      </c>
      <c r="I447" s="43">
        <f t="shared" si="39"/>
        <v>2</v>
      </c>
      <c r="J447" s="26">
        <f>IFERROR(__xludf.DUMMYFUNCTION("VLOOKUP(G447,IMPORTRANGE(""https://docs.google.com/spreadsheets/d/12RxCea4e5ggM7QGn1XE3FbLQa_-QbCNdBi90OdPjRqg/edit?gid=1692403370#gid=1692403370"", ""'Plan de Compras'!D4:2432""), 8,0)"),2.0)</f>
        <v>2</v>
      </c>
      <c r="K447" s="26" t="str">
        <f t="shared" si="1"/>
        <v>SI</v>
      </c>
      <c r="L447" s="26"/>
      <c r="M447" s="41"/>
      <c r="N447" s="42"/>
      <c r="O447" s="42"/>
      <c r="P447" s="26"/>
      <c r="Q447" s="46" t="s">
        <v>1392</v>
      </c>
      <c r="R447" s="41"/>
      <c r="S447" s="44" t="b">
        <v>0</v>
      </c>
      <c r="T447" s="72"/>
      <c r="U447" s="72"/>
      <c r="V447" s="44"/>
      <c r="W447" s="37" t="str">
        <f>IFERROR(__xludf.DUMMYFUNCTION("IFERROR(VLOOKUP(G447,IMPORTRANGE(""https://docs.google.com/spreadsheets/d/12RxCea4e5ggM7QGn1XE3FbLQa_-QbCNdBi90OdPjRqg"", ""'Plan de Compras'!D4:Q""), 12, 0), ""NO ESTÁ EN REQ"")"),"Técnica")</f>
        <v>Técnica</v>
      </c>
      <c r="X447" s="37" t="str">
        <f>IFERROR(__xludf.DUMMYFUNCTION("IFERROR(VLOOKUP(G447,IMPORTRANGE(""https://docs.google.com/spreadsheets/d/12RxCea4e5ggM7QGn1XE3FbLQa_-QbCNdBi90OdPjRqg"", ""'Plan de Compras'!D4:Q""), 13, 0), """")"),"INTERNACIONAL")</f>
        <v>INTERNACIONAL</v>
      </c>
      <c r="Y447" s="32" t="str">
        <f>IFERROR(__xludf.DUMMYFUNCTION("IFERROR(VLOOKUP(G447,IMPORTRANGE(""https://docs.google.com/spreadsheets/d/12RxCea4e5ggM7QGn1XE3FbLQa_-QbCNdBi90OdPjRqg"", ""'Plan de Compras'!D4:Q""), 14, 0), """")"),"ALEJANDRA")</f>
        <v>ALEJANDRA</v>
      </c>
      <c r="Z447" s="38" t="str">
        <f>IFERROR(__xludf.DUMMYFUNCTION("IFERROR(VLOOKUP(G447,IMPORTRANGE(""https://docs.google.com/spreadsheets/d/12RxCea4e5ggM7QGn1XE3FbLQa_-QbCNdBi90OdPjRqg"", ""'Plan de Compras'!D4:Q""), 4, 0), """")"),"JUEGO DE BROCAS PARA METAL, ENTRE: 14 MM A 20 MM DE DIÁMETRO. (1 UND)")</f>
        <v>JUEGO DE BROCAS PARA METAL, ENTRE: 14 MM A 20 MM DE DIÁMETRO. (1 UND)</v>
      </c>
      <c r="AA447" s="38" t="str">
        <f t="shared" si="37"/>
        <v>TRUE</v>
      </c>
      <c r="AB447" s="37" t="str">
        <f>IFERROR(__xludf.DUMMYFUNCTION("IFERROR(IF(OR(C447=TRUE,C447=""""),VLOOKUP(G447,IMPORTRANGE(""https://docs.google.com/spreadsheets/d/1z9A1Wq-kKrhRNG5RS2a2fKpY1wIhSVz2ZNmP2mOl588/edit?usp=sharing"",""REQ VF!E4:H""),4,0),""NO APLICA""),""GENERAR REQ"")"),"GENERAR REQ")</f>
        <v>GENERAR REQ</v>
      </c>
      <c r="AC447" s="37" t="str">
        <f>IFERROR(__xludf.DUMMYFUNCTION("IFERROR(QUERY(IMPORTRANGE(""https://docs.google.com/spreadsheets/d/1z9A1Wq-kKrhRNG5RS2a2fKpY1wIhSVz2ZNmP2mOl588/edit?usp=sharing"",""REQ VF!E4:Q""),""SELECT Col10, Col11, Col12 WHERE Col1 = '""&amp;G447&amp;""'"",0),""NO APLICA"")"),"NO APLICA")</f>
        <v>NO APLICA</v>
      </c>
      <c r="AD447" s="37"/>
      <c r="AE447" s="37"/>
      <c r="AF447" s="13"/>
      <c r="AG447" s="13"/>
    </row>
    <row r="448">
      <c r="A448" s="26"/>
      <c r="B448" s="26"/>
      <c r="C448" s="26" t="b">
        <v>1</v>
      </c>
      <c r="D448" s="26" t="s">
        <v>42</v>
      </c>
      <c r="E448" s="26" t="s">
        <v>36</v>
      </c>
      <c r="F448" s="27" t="s">
        <v>1396</v>
      </c>
      <c r="G448" s="39" t="s">
        <v>1415</v>
      </c>
      <c r="H448" s="40" t="s">
        <v>1394</v>
      </c>
      <c r="I448" s="43">
        <f t="shared" si="39"/>
        <v>2</v>
      </c>
      <c r="J448" s="26">
        <f>IFERROR(__xludf.DUMMYFUNCTION("VLOOKUP(G448,IMPORTRANGE(""https://docs.google.com/spreadsheets/d/12RxCea4e5ggM7QGn1XE3FbLQa_-QbCNdBi90OdPjRqg/edit?gid=1692403370#gid=1692403370"", ""'Plan de Compras'!D4:2432""), 8,0)"),2.0)</f>
        <v>2</v>
      </c>
      <c r="K448" s="26" t="str">
        <f t="shared" si="1"/>
        <v>SI</v>
      </c>
      <c r="L448" s="26"/>
      <c r="M448" s="41"/>
      <c r="N448" s="42"/>
      <c r="O448" s="42"/>
      <c r="P448" s="26"/>
      <c r="Q448" s="46" t="s">
        <v>1395</v>
      </c>
      <c r="R448" s="41"/>
      <c r="S448" s="44" t="b">
        <v>0</v>
      </c>
      <c r="T448" s="72"/>
      <c r="U448" s="72"/>
      <c r="V448" s="44"/>
      <c r="W448" s="37" t="str">
        <f>IFERROR(__xludf.DUMMYFUNCTION("IFERROR(VLOOKUP(G448,IMPORTRANGE(""https://docs.google.com/spreadsheets/d/12RxCea4e5ggM7QGn1XE3FbLQa_-QbCNdBi90OdPjRqg"", ""'Plan de Compras'!D4:Q""), 12, 0), ""NO ESTÁ EN REQ"")"),"Técnica")</f>
        <v>Técnica</v>
      </c>
      <c r="X448" s="37" t="str">
        <f>IFERROR(__xludf.DUMMYFUNCTION("IFERROR(VLOOKUP(G448,IMPORTRANGE(""https://docs.google.com/spreadsheets/d/12RxCea4e5ggM7QGn1XE3FbLQa_-QbCNdBi90OdPjRqg"", ""'Plan de Compras'!D4:Q""), 13, 0), """")"),"INTERNACIONAL")</f>
        <v>INTERNACIONAL</v>
      </c>
      <c r="Y448" s="32" t="str">
        <f>IFERROR(__xludf.DUMMYFUNCTION("IFERROR(VLOOKUP(G448,IMPORTRANGE(""https://docs.google.com/spreadsheets/d/12RxCea4e5ggM7QGn1XE3FbLQa_-QbCNdBi90OdPjRqg"", ""'Plan de Compras'!D4:Q""), 14, 0), """")"),"ALEJANDRA")</f>
        <v>ALEJANDRA</v>
      </c>
      <c r="Z448" s="38" t="str">
        <f>IFERROR(__xludf.DUMMYFUNCTION("IFERROR(VLOOKUP(G448,IMPORTRANGE(""https://docs.google.com/spreadsheets/d/12RxCea4e5ggM7QGn1XE3FbLQa_-QbCNdBi90OdPjRqg"", ""'Plan de Compras'!D4:Q""), 4, 0), """")"),"JUEGO DE BROCAS PARA METAL, ENTRE: 22 MM A 25 MM DE DIÁMETRO. (1 UND)")</f>
        <v>JUEGO DE BROCAS PARA METAL, ENTRE: 22 MM A 25 MM DE DIÁMETRO. (1 UND)</v>
      </c>
      <c r="AA448" s="38" t="str">
        <f t="shared" si="37"/>
        <v>TRUE</v>
      </c>
      <c r="AB448" s="37" t="str">
        <f>IFERROR(__xludf.DUMMYFUNCTION("IFERROR(IF(OR(C448=TRUE,C448=""""),VLOOKUP(G448,IMPORTRANGE(""https://docs.google.com/spreadsheets/d/1z9A1Wq-kKrhRNG5RS2a2fKpY1wIhSVz2ZNmP2mOl588/edit?usp=sharing"",""REQ VF!E4:H""),4,0),""NO APLICA""),""GENERAR REQ"")"),"GENERAR REQ")</f>
        <v>GENERAR REQ</v>
      </c>
      <c r="AC448" s="37" t="str">
        <f>IFERROR(__xludf.DUMMYFUNCTION("IFERROR(QUERY(IMPORTRANGE(""https://docs.google.com/spreadsheets/d/1z9A1Wq-kKrhRNG5RS2a2fKpY1wIhSVz2ZNmP2mOl588/edit?usp=sharing"",""REQ VF!E4:Q""),""SELECT Col10, Col11, Col12 WHERE Col1 = '""&amp;G448&amp;""'"",0),""NO APLICA"")"),"NO APLICA")</f>
        <v>NO APLICA</v>
      </c>
      <c r="AD448" s="37"/>
      <c r="AE448" s="37"/>
      <c r="AF448" s="13"/>
      <c r="AG448" s="13"/>
    </row>
    <row r="449">
      <c r="A449" s="26">
        <v>210.0</v>
      </c>
      <c r="B449" s="26" t="b">
        <v>1</v>
      </c>
      <c r="C449" s="26" t="b">
        <v>1</v>
      </c>
      <c r="D449" s="26" t="s">
        <v>35</v>
      </c>
      <c r="E449" s="26" t="s">
        <v>36</v>
      </c>
      <c r="F449" s="27" t="s">
        <v>1416</v>
      </c>
      <c r="G449" s="39" t="s">
        <v>1416</v>
      </c>
      <c r="H449" s="45" t="s">
        <v>1417</v>
      </c>
      <c r="I449" s="43">
        <f>SUMIFS('Hoja 10'!$O:$O,'Hoja 10'!$F:$F,$G449)</f>
        <v>2</v>
      </c>
      <c r="J449" s="26">
        <f>IFERROR(__xludf.DUMMYFUNCTION("VLOOKUP(G449,IMPORTRANGE(""https://docs.google.com/spreadsheets/d/12RxCea4e5ggM7QGn1XE3FbLQa_-QbCNdBi90OdPjRqg/edit?gid=1692403370#gid=1692403370"", ""'Plan de Compras'!D4:2432""), 8,0)"),2.0)</f>
        <v>2</v>
      </c>
      <c r="K449" s="26" t="str">
        <f t="shared" si="1"/>
        <v>SI</v>
      </c>
      <c r="L449" s="29" t="s">
        <v>296</v>
      </c>
      <c r="M449" s="30" t="s">
        <v>297</v>
      </c>
      <c r="N449" s="42"/>
      <c r="O449" s="32" t="str">
        <f>VLOOKUP($G449,'Hoja 10'!$F$4:$AA478, 19,0)</f>
        <v>HOLZMANN</v>
      </c>
      <c r="P449" s="32" t="str">
        <f>VLOOKUP($G449,'Hoja 10'!$F$4:$AA478, 20,0)</f>
        <v>LBM290_230V</v>
      </c>
      <c r="Q449" s="33" t="str">
        <f>VLOOKUP($G449,'Hoja 10'!$F$4:$AA478, 21,0)</f>
        <v>https://www.holzmann-maschinen.at/ES/Mortajadora-horizontal-845</v>
      </c>
      <c r="R449" s="30" t="s">
        <v>1418</v>
      </c>
      <c r="S449" s="34" t="b">
        <v>1</v>
      </c>
      <c r="T449" s="35" t="str">
        <f>IFERROR(__xludf.DUMMYFUNCTION(" IF
( VLOOKUP($G449,IMPORTRANGE(""https://docs.google.com/spreadsheets/d/1Gpl6jkTg7sL4VDNimUm3S9Vi1i95esohXCF3wuKOE8c"", ""'CONSOLIDADO'!G5:AB""), 10, 0) &lt;&gt; 0, 
IFERROR(VLOOKUP($G449,IMPORTRANGE(""https://docs.google.com/spreadsheets/d/1Gpl6jkTg7sL4VDNimU"&amp;"m3S9Vi1i95esohXCF3wuKOE8c"", ""'CONSOLIDADO'!G5:AB""), 17, 0), ""-""),
""""
)"),"HOLZMANN")</f>
        <v>HOLZMANN</v>
      </c>
      <c r="U449" s="35" t="str">
        <f>IFERROR(__xludf.DUMMYFUNCTION(" IF
( VLOOKUP($G449,IMPORTRANGE(""https://docs.google.com/spreadsheets/d/1Gpl6jkTg7sL4VDNimUm3S9Vi1i95esohXCF3wuKOE8c"", ""'CONSOLIDADO'!G5:AB""), 10, 0) &lt;&gt; 0, 
IFERROR(VLOOKUP($G449,IMPORTRANGE(""https://docs.google.com/spreadsheets/d/1Gpl6jkTg7sL4VDNimU"&amp;"m3S9Vi1i95esohXCF3wuKOE8c"", ""'CONSOLIDADO'!G5:AB""), 18, 0), ""-""),
""""
)"),"LBM290 230V")</f>
        <v>LBM290 230V</v>
      </c>
      <c r="V449" s="36" t="str">
        <f>IFERROR(__xludf.DUMMYFUNCTION(" IF
( VLOOKUP($G449,IMPORTRANGE(""https://docs.google.com/spreadsheets/d/1Gpl6jkTg7sL4VDNimUm3S9Vi1i95esohXCF3wuKOE8c"", ""'CONSOLIDADO'!G5:AB""), 10, 0) &lt;&gt; 0, 
IFERROR(VLOOKUP($G449,IMPORTRANGE(""https://docs.google.com/spreadsheets/d/1Gpl6jkTg7sL4VDNimU"&amp;"m3S9Vi1i95esohXCF3wuKOE8c"", ""'CONSOLIDADO'!G5:AB""), 19, 0), ""-""),
""""
)"),"https://www.holzmann-maschinen.at/ES/Mortajadora-horizontal-845")</f>
        <v>https://www.holzmann-maschinen.at/ES/Mortajadora-horizontal-845</v>
      </c>
      <c r="W449" s="37" t="str">
        <f>IFERROR(__xludf.DUMMYFUNCTION("IFERROR(VLOOKUP(G449,IMPORTRANGE(""https://docs.google.com/spreadsheets/d/12RxCea4e5ggM7QGn1XE3FbLQa_-QbCNdBi90OdPjRqg"", ""'Plan de Compras'!D4:Q""), 12, 0), ""NO ESTÁ EN REQ"")"),"Técnica")</f>
        <v>Técnica</v>
      </c>
      <c r="X449" s="37" t="str">
        <f>IFERROR(__xludf.DUMMYFUNCTION("IFERROR(VLOOKUP(G449,IMPORTRANGE(""https://docs.google.com/spreadsheets/d/12RxCea4e5ggM7QGn1XE3FbLQa_-QbCNdBi90OdPjRqg"", ""'Plan de Compras'!D4:Q""), 13, 0), """")"),"INTERNACIONAL")</f>
        <v>INTERNACIONAL</v>
      </c>
      <c r="Y449" s="32" t="str">
        <f>IFERROR(__xludf.DUMMYFUNCTION("IFERROR(VLOOKUP(G449,IMPORTRANGE(""https://docs.google.com/spreadsheets/d/12RxCea4e5ggM7QGn1XE3FbLQa_-QbCNdBi90OdPjRqg"", ""'Plan de Compras'!D4:Q""), 14, 0), """")"),"GIANFRANCO")</f>
        <v>GIANFRANCO</v>
      </c>
      <c r="Z449" s="38" t="str">
        <f>IFERROR(__xludf.DUMMYFUNCTION("IFERROR(VLOOKUP(G449,IMPORTRANGE(""https://docs.google.com/spreadsheets/d/12RxCea4e5ggM7QGn1XE3FbLQa_-QbCNdBi90OdPjRqg"", ""'Plan de Compras'!D4:Q""), 4, 0), """")"),"TALADRO HORIZONTAL / ESCOPLEADORA")</f>
        <v>TALADRO HORIZONTAL / ESCOPLEADORA</v>
      </c>
      <c r="AA449" s="38" t="str">
        <f t="shared" si="37"/>
        <v>TRUE</v>
      </c>
      <c r="AB449" s="37" t="str">
        <f>IFERROR(__xludf.DUMMYFUNCTION("IFERROR(IF(OR(C449=TRUE,C449=""""),VLOOKUP(G449,IMPORTRANGE(""https://docs.google.com/spreadsheets/d/1z9A1Wq-kKrhRNG5RS2a2fKpY1wIhSVz2ZNmP2mOl588/edit?usp=sharing"",""REQ VF!E4:H""),4,0),""NO APLICA""),""GENERAR REQ"")"),"GENERAR REQ")</f>
        <v>GENERAR REQ</v>
      </c>
      <c r="AC449" s="37" t="str">
        <f>IFERROR(__xludf.DUMMYFUNCTION("IFERROR(QUERY(IMPORTRANGE(""https://docs.google.com/spreadsheets/d/1z9A1Wq-kKrhRNG5RS2a2fKpY1wIhSVz2ZNmP2mOl588/edit?usp=sharing"",""REQ VF!E4:Q""),""SELECT Col10, Col11, Col12 WHERE Col1 = '""&amp;G449&amp;""'"",0),""NO APLICA"")"),"NO APLICA")</f>
        <v>NO APLICA</v>
      </c>
      <c r="AD449" s="37"/>
      <c r="AE449" s="37"/>
      <c r="AF449" s="8" t="s">
        <v>52</v>
      </c>
      <c r="AG449" s="13"/>
    </row>
    <row r="450">
      <c r="A450" s="26"/>
      <c r="B450" s="26"/>
      <c r="C450" s="26" t="b">
        <v>1</v>
      </c>
      <c r="D450" s="26" t="s">
        <v>42</v>
      </c>
      <c r="E450" s="26" t="s">
        <v>36</v>
      </c>
      <c r="F450" s="27" t="s">
        <v>1416</v>
      </c>
      <c r="G450" s="39" t="s">
        <v>1419</v>
      </c>
      <c r="H450" s="45" t="s">
        <v>1420</v>
      </c>
      <c r="I450" s="43">
        <f>$I$449</f>
        <v>2</v>
      </c>
      <c r="J450" s="26">
        <f>IFERROR(__xludf.DUMMYFUNCTION("VLOOKUP(G450,IMPORTRANGE(""https://docs.google.com/spreadsheets/d/12RxCea4e5ggM7QGn1XE3FbLQa_-QbCNdBi90OdPjRqg/edit?gid=1692403370#gid=1692403370"", ""'Plan de Compras'!D4:2432""), 8,0)"),2.0)</f>
        <v>2</v>
      </c>
      <c r="K450" s="26" t="str">
        <f t="shared" si="1"/>
        <v>SI</v>
      </c>
      <c r="L450" s="26"/>
      <c r="M450" s="44"/>
      <c r="N450" s="42"/>
      <c r="O450" s="42"/>
      <c r="P450" s="26"/>
      <c r="Q450" s="46" t="s">
        <v>1421</v>
      </c>
      <c r="R450" s="44"/>
      <c r="S450" s="44" t="b">
        <v>0</v>
      </c>
      <c r="T450" s="72"/>
      <c r="U450" s="72"/>
      <c r="V450" s="44"/>
      <c r="W450" s="37" t="str">
        <f>IFERROR(__xludf.DUMMYFUNCTION("IFERROR(VLOOKUP(G450,IMPORTRANGE(""https://docs.google.com/spreadsheets/d/12RxCea4e5ggM7QGn1XE3FbLQa_-QbCNdBi90OdPjRqg"", ""'Plan de Compras'!D4:Q""), 12, 0), ""NO ESTÁ EN REQ"")"),"Técnica")</f>
        <v>Técnica</v>
      </c>
      <c r="X450" s="37" t="str">
        <f>IFERROR(__xludf.DUMMYFUNCTION("IFERROR(VLOOKUP(G450,IMPORTRANGE(""https://docs.google.com/spreadsheets/d/12RxCea4e5ggM7QGn1XE3FbLQa_-QbCNdBi90OdPjRqg"", ""'Plan de Compras'!D4:Q""), 13, 0), """")"),"INTERNACIONAL")</f>
        <v>INTERNACIONAL</v>
      </c>
      <c r="Y450" s="32" t="str">
        <f>IFERROR(__xludf.DUMMYFUNCTION("IFERROR(VLOOKUP(G450,IMPORTRANGE(""https://docs.google.com/spreadsheets/d/12RxCea4e5ggM7QGn1XE3FbLQa_-QbCNdBi90OdPjRqg"", ""'Plan de Compras'!D4:Q""), 14, 0), """")"),"GIANFRANCO")</f>
        <v>GIANFRANCO</v>
      </c>
      <c r="Z450" s="38" t="str">
        <f>IFERROR(__xludf.DUMMYFUNCTION("IFERROR(VLOOKUP(G450,IMPORTRANGE(""https://docs.google.com/spreadsheets/d/12RxCea4e5ggM7QGn1XE3FbLQa_-QbCNdBi90OdPjRqg"", ""'Plan de Compras'!D4:Q""), 4, 0), """")"),"JUEGO DE 6 BROCAS DE ORIFICIO LARGO, DIÁMETROS ENTRE: 6 - 16 MM (1 UND)")</f>
        <v>JUEGO DE 6 BROCAS DE ORIFICIO LARGO, DIÁMETROS ENTRE: 6 - 16 MM (1 UND)</v>
      </c>
      <c r="AA450" s="38" t="str">
        <f t="shared" si="37"/>
        <v>TRUE</v>
      </c>
      <c r="AB450" s="37" t="str">
        <f>IFERROR(__xludf.DUMMYFUNCTION("IFERROR(IF(OR(C450=TRUE,C450=""""),VLOOKUP(G450,IMPORTRANGE(""https://docs.google.com/spreadsheets/d/1z9A1Wq-kKrhRNG5RS2a2fKpY1wIhSVz2ZNmP2mOl588/edit?usp=sharing"",""REQ VF!E4:H""),4,0),""NO APLICA""),""GENERAR REQ"")"),"GENERAR REQ")</f>
        <v>GENERAR REQ</v>
      </c>
      <c r="AC450" s="37" t="str">
        <f>IFERROR(__xludf.DUMMYFUNCTION("IFERROR(QUERY(IMPORTRANGE(""https://docs.google.com/spreadsheets/d/1z9A1Wq-kKrhRNG5RS2a2fKpY1wIhSVz2ZNmP2mOl588/edit?usp=sharing"",""REQ VF!E4:Q""),""SELECT Col10, Col11, Col12 WHERE Col1 = '""&amp;G450&amp;""'"",0),""NO APLICA"")"),"NO APLICA")</f>
        <v>NO APLICA</v>
      </c>
      <c r="AD450" s="37"/>
      <c r="AE450" s="37"/>
      <c r="AF450" s="13"/>
      <c r="AG450" s="13"/>
    </row>
    <row r="451">
      <c r="A451" s="26">
        <v>211.0</v>
      </c>
      <c r="B451" s="26" t="b">
        <v>1</v>
      </c>
      <c r="C451" s="26" t="b">
        <v>1</v>
      </c>
      <c r="D451" s="26" t="s">
        <v>35</v>
      </c>
      <c r="E451" s="26" t="s">
        <v>36</v>
      </c>
      <c r="F451" s="27" t="s">
        <v>1422</v>
      </c>
      <c r="G451" s="39" t="s">
        <v>1422</v>
      </c>
      <c r="H451" s="45" t="s">
        <v>1423</v>
      </c>
      <c r="I451" s="43">
        <f>SUMIFS('Hoja 10'!$O:$O,'Hoja 10'!$F:$F,$G451)</f>
        <v>1</v>
      </c>
      <c r="J451" s="26">
        <f>IFERROR(__xludf.DUMMYFUNCTION("VLOOKUP(G451,IMPORTRANGE(""https://docs.google.com/spreadsheets/d/12RxCea4e5ggM7QGn1XE3FbLQa_-QbCNdBi90OdPjRqg/edit?gid=1692403370#gid=1692403370"", ""'Plan de Compras'!D4:2432""), 8,0)"),1.0)</f>
        <v>1</v>
      </c>
      <c r="K451" s="26" t="str">
        <f t="shared" si="1"/>
        <v>SI</v>
      </c>
      <c r="L451" s="29" t="s">
        <v>91</v>
      </c>
      <c r="M451" s="30" t="s">
        <v>92</v>
      </c>
      <c r="N451" s="70"/>
      <c r="O451" s="32" t="str">
        <f>VLOOKUP($G451,'Hoja 10'!$F$4:$AA478, 19,0)</f>
        <v>BOSCH</v>
      </c>
      <c r="P451" s="32" t="str">
        <f>VLOOKUP($G451,'Hoja 10'!$F$4:$AA478, 20,0)</f>
        <v>GSB 16 RE Professional</v>
      </c>
      <c r="Q451" s="33" t="str">
        <f>VLOOKUP($G451,'Hoja 10'!$F$4:$AA478, 21,0)</f>
        <v>https://www.bosch-professional.com/pe/es/products/gsb-16-re-060114E500</v>
      </c>
      <c r="R451" s="30" t="s">
        <v>1424</v>
      </c>
      <c r="S451" s="34" t="b">
        <v>1</v>
      </c>
      <c r="T451" s="35" t="str">
        <f>IFERROR(__xludf.DUMMYFUNCTION(" IF
( VLOOKUP($G451,IMPORTRANGE(""https://docs.google.com/spreadsheets/d/1Gpl6jkTg7sL4VDNimUm3S9Vi1i95esohXCF3wuKOE8c"", ""'CONSOLIDADO'!G5:AB""), 10, 0) &lt;&gt; 0, 
IFERROR(VLOOKUP($G451,IMPORTRANGE(""https://docs.google.com/spreadsheets/d/1Gpl6jkTg7sL4VDNimU"&amp;"m3S9Vi1i95esohXCF3wuKOE8c"", ""'CONSOLIDADO'!G5:AB""), 17, 0), ""-""),
""""
)"),"BOSCH")</f>
        <v>BOSCH</v>
      </c>
      <c r="U451" s="35" t="str">
        <f>IFERROR(__xludf.DUMMYFUNCTION(" IF
( VLOOKUP($G451,IMPORTRANGE(""https://docs.google.com/spreadsheets/d/1Gpl6jkTg7sL4VDNimUm3S9Vi1i95esohXCF3wuKOE8c"", ""'CONSOLIDADO'!G5:AB""), 10, 0) &lt;&gt; 0, 
IFERROR(VLOOKUP($G451,IMPORTRANGE(""https://docs.google.com/spreadsheets/d/1Gpl6jkTg7sL4VDNimU"&amp;"m3S9Vi1i95esohXCF3wuKOE8c"", ""'CONSOLIDADO'!G5:AB""), 18, 0), ""-""),
""""
)"),"GSB 16RE MALETÍN
0 601 2B9 0E1")</f>
        <v>GSB 16RE MALETÍN
0 601 2B9 0E1</v>
      </c>
      <c r="V451" s="36" t="str">
        <f>IFERROR(__xludf.DUMMYFUNCTION(" IF
( VLOOKUP($G451,IMPORTRANGE(""https://docs.google.com/spreadsheets/d/1Gpl6jkTg7sL4VDNimUm3S9Vi1i95esohXCF3wuKOE8c"", ""'CONSOLIDADO'!G5:AB""), 10, 0) &lt;&gt; 0, 
IFERROR(VLOOKUP($G451,IMPORTRANGE(""https://docs.google.com/spreadsheets/d/1Gpl6jkTg7sL4VDNimU"&amp;"m3S9Vi1i95esohXCF3wuKOE8c"", ""'CONSOLIDADO'!G5:AB""), 19, 0), ""-""),
""""
)"),"https://www.bosch-professional.com/cl/es/products/gsb-16re-maletin-06012B90E1")</f>
        <v>https://www.bosch-professional.com/cl/es/products/gsb-16re-maletin-06012B90E1</v>
      </c>
      <c r="W451" s="37" t="str">
        <f>IFERROR(__xludf.DUMMYFUNCTION("IFERROR(VLOOKUP(G451,IMPORTRANGE(""https://docs.google.com/spreadsheets/d/12RxCea4e5ggM7QGn1XE3FbLQa_-QbCNdBi90OdPjRqg"", ""'Plan de Compras'!D4:Q""), 12, 0), ""NO ESTÁ EN REQ"")"),"Técnica")</f>
        <v>Técnica</v>
      </c>
      <c r="X451" s="37" t="str">
        <f>IFERROR(__xludf.DUMMYFUNCTION("IFERROR(VLOOKUP(G451,IMPORTRANGE(""https://docs.google.com/spreadsheets/d/12RxCea4e5ggM7QGn1XE3FbLQa_-QbCNdBi90OdPjRqg"", ""'Plan de Compras'!D4:Q""), 13, 0), """")"),"NACIONAL")</f>
        <v>NACIONAL</v>
      </c>
      <c r="Y451" s="32" t="str">
        <f>IFERROR(__xludf.DUMMYFUNCTION("IFERROR(VLOOKUP(G451,IMPORTRANGE(""https://docs.google.com/spreadsheets/d/12RxCea4e5ggM7QGn1XE3FbLQa_-QbCNdBi90OdPjRqg"", ""'Plan de Compras'!D4:Q""), 14, 0), """")"),"DIANA")</f>
        <v>DIANA</v>
      </c>
      <c r="Z451" s="38" t="str">
        <f>IFERROR(__xludf.DUMMYFUNCTION("IFERROR(VLOOKUP(G451,IMPORTRANGE(""https://docs.google.com/spreadsheets/d/12RxCea4e5ggM7QGn1XE3FbLQa_-QbCNdBi90OdPjRqg"", ""'Plan de Compras'!D4:Q""), 4, 0), """")"),"TALADRO PERCUTOR PORTÁTIL")</f>
        <v>TALADRO PERCUTOR PORTÁTIL</v>
      </c>
      <c r="AA451" s="38" t="str">
        <f t="shared" si="37"/>
        <v>TRUE</v>
      </c>
      <c r="AB451" s="37" t="str">
        <f>IFERROR(__xludf.DUMMYFUNCTION("IFERROR(IF(OR(C451=TRUE,C451=""""),VLOOKUP(G451,IMPORTRANGE(""https://docs.google.com/spreadsheets/d/1z9A1Wq-kKrhRNG5RS2a2fKpY1wIhSVz2ZNmP2mOl588/edit?usp=sharing"",""REQ VF!E4:H""),4,0),""NO APLICA""),""GENERAR REQ"")"),"GENERAR REQ")</f>
        <v>GENERAR REQ</v>
      </c>
      <c r="AC451" s="37" t="str">
        <f>IFERROR(__xludf.DUMMYFUNCTION("IFERROR(QUERY(IMPORTRANGE(""https://docs.google.com/spreadsheets/d/1z9A1Wq-kKrhRNG5RS2a2fKpY1wIhSVz2ZNmP2mOl588/edit?usp=sharing"",""REQ VF!E4:Q""),""SELECT Col10, Col11, Col12 WHERE Col1 = '""&amp;G451&amp;""'"",0),""NO APLICA"")"),"NO APLICA")</f>
        <v>NO APLICA</v>
      </c>
      <c r="AD451" s="37"/>
      <c r="AE451" s="37"/>
      <c r="AF451" s="8" t="s">
        <v>52</v>
      </c>
      <c r="AG451" s="13"/>
    </row>
    <row r="452" ht="25.5" customHeight="1">
      <c r="A452" s="26">
        <v>212.0</v>
      </c>
      <c r="B452" s="26" t="b">
        <v>1</v>
      </c>
      <c r="C452" s="26" t="b">
        <v>1</v>
      </c>
      <c r="D452" s="26" t="s">
        <v>35</v>
      </c>
      <c r="E452" s="26" t="s">
        <v>36</v>
      </c>
      <c r="F452" s="27" t="s">
        <v>1425</v>
      </c>
      <c r="G452" s="39" t="s">
        <v>1426</v>
      </c>
      <c r="H452" s="45" t="s">
        <v>1427</v>
      </c>
      <c r="I452" s="43">
        <f>SUMIFS('Hoja 10'!$O:$O,'Hoja 10'!$F:$F,$G452)</f>
        <v>4</v>
      </c>
      <c r="J452" s="26">
        <f>IFERROR(__xludf.DUMMYFUNCTION("VLOOKUP(G452,IMPORTRANGE(""https://docs.google.com/spreadsheets/d/12RxCea4e5ggM7QGn1XE3FbLQa_-QbCNdBi90OdPjRqg/edit?gid=1692403370#gid=1692403370"", ""'Plan de Compras'!D4:2432""), 8,0)"),4.0)</f>
        <v>4</v>
      </c>
      <c r="K452" s="26" t="str">
        <f t="shared" si="1"/>
        <v>SI</v>
      </c>
      <c r="L452" s="29" t="s">
        <v>339</v>
      </c>
      <c r="M452" s="30" t="s">
        <v>340</v>
      </c>
      <c r="N452" s="70"/>
      <c r="O452" s="32" t="str">
        <f>VLOOKUP($G452,'Hoja 10'!$F$4:$AA478, 19,0)</f>
        <v>BOSCH</v>
      </c>
      <c r="P452" s="32" t="str">
        <f>VLOOKUP($G452,'Hoja 10'!$F$4:$AA478, 20,0)</f>
        <v>GSB 16 RE Professional</v>
      </c>
      <c r="Q452" s="33" t="str">
        <f>VLOOKUP($G452,'Hoja 10'!$F$4:$AA478, 21,0)</f>
        <v>https://www.bosch-professional.com/pe/es/products/gsb-16-re-060114E500</v>
      </c>
      <c r="R452" s="30" t="s">
        <v>1428</v>
      </c>
      <c r="S452" s="34" t="b">
        <v>1</v>
      </c>
      <c r="T452" s="35" t="str">
        <f>IFERROR(__xludf.DUMMYFUNCTION(" IF
( VLOOKUP($G452,IMPORTRANGE(""https://docs.google.com/spreadsheets/d/1Gpl6jkTg7sL4VDNimUm3S9Vi1i95esohXCF3wuKOE8c"", ""'CONSOLIDADO'!G5:AB""), 10, 0) &lt;&gt; 0, 
IFERROR(VLOOKUP($G452,IMPORTRANGE(""https://docs.google.com/spreadsheets/d/1Gpl6jkTg7sL4VDNimU"&amp;"m3S9Vi1i95esohXCF3wuKOE8c"", ""'CONSOLIDADO'!G5:AB""), 17, 0), ""-""),
""""
)"),"BOSCH")</f>
        <v>BOSCH</v>
      </c>
      <c r="U452" s="35" t="str">
        <f>IFERROR(__xludf.DUMMYFUNCTION(" IF
( VLOOKUP($G452,IMPORTRANGE(""https://docs.google.com/spreadsheets/d/1Gpl6jkTg7sL4VDNimUm3S9Vi1i95esohXCF3wuKOE8c"", ""'CONSOLIDADO'!G5:AB""), 10, 0) &lt;&gt; 0, 
IFERROR(VLOOKUP($G452,IMPORTRANGE(""https://docs.google.com/spreadsheets/d/1Gpl6jkTg7sL4VDNimU"&amp;"m3S9Vi1i95esohXCF3wuKOE8c"", ""'CONSOLIDADO'!G5:AB""), 18, 0), ""-""),
""""
)"),"GSB 16 RE
0 601 14E 500")</f>
        <v>GSB 16 RE
0 601 14E 500</v>
      </c>
      <c r="V452" s="36" t="str">
        <f>IFERROR(__xludf.DUMMYFUNCTION(" IF
( VLOOKUP($G452,IMPORTRANGE(""https://docs.google.com/spreadsheets/d/1Gpl6jkTg7sL4VDNimUm3S9Vi1i95esohXCF3wuKOE8c"", ""'CONSOLIDADO'!G5:AB""), 10, 0) &lt;&gt; 0, 
IFERROR(VLOOKUP($G452,IMPORTRANGE(""https://docs.google.com/spreadsheets/d/1Gpl6jkTg7sL4VDNimU"&amp;"m3S9Vi1i95esohXCF3wuKOE8c"", ""'CONSOLIDADO'!G5:AB""), 19, 0), ""-""),
""""
)"),"https://docs.google.com/spreadsheets/d/1w2Soqgpp-UNY3Onqy78_JmDsFa_CpNfhVoNlwWZvbNo/edit?gid=0#gid=0")</f>
        <v>https://docs.google.com/spreadsheets/d/1w2Soqgpp-UNY3Onqy78_JmDsFa_CpNfhVoNlwWZvbNo/edit?gid=0#gid=0</v>
      </c>
      <c r="W452" s="37" t="str">
        <f>IFERROR(__xludf.DUMMYFUNCTION("IFERROR(VLOOKUP(G452,IMPORTRANGE(""https://docs.google.com/spreadsheets/d/12RxCea4e5ggM7QGn1XE3FbLQa_-QbCNdBi90OdPjRqg"", ""'Plan de Compras'!D4:Q""), 12, 0), ""NO ESTÁ EN REQ"")"),"Técnica")</f>
        <v>Técnica</v>
      </c>
      <c r="X452" s="37" t="str">
        <f>IFERROR(__xludf.DUMMYFUNCTION("IFERROR(VLOOKUP(G452,IMPORTRANGE(""https://docs.google.com/spreadsheets/d/12RxCea4e5ggM7QGn1XE3FbLQa_-QbCNdBi90OdPjRqg"", ""'Plan de Compras'!D4:Q""), 13, 0), """")"),"NACIONAL")</f>
        <v>NACIONAL</v>
      </c>
      <c r="Y452" s="32" t="str">
        <f>IFERROR(__xludf.DUMMYFUNCTION("IFERROR(VLOOKUP(G452,IMPORTRANGE(""https://docs.google.com/spreadsheets/d/12RxCea4e5ggM7QGn1XE3FbLQa_-QbCNdBi90OdPjRqg"", ""'Plan de Compras'!D4:Q""), 14, 0), """")"),"DIANA")</f>
        <v>DIANA</v>
      </c>
      <c r="Z452" s="38" t="str">
        <f>IFERROR(__xludf.DUMMYFUNCTION("IFERROR(VLOOKUP(G452,IMPORTRANGE(""https://docs.google.com/spreadsheets/d/12RxCea4e5ggM7QGn1XE3FbLQa_-QbCNdBi90OdPjRqg"", ""'Plan de Compras'!D4:Q""), 4, 0), """")"),"TALADRO PORTÁTIL")</f>
        <v>TALADRO PORTÁTIL</v>
      </c>
      <c r="AA452" s="38" t="str">
        <f t="shared" si="37"/>
        <v>TRUE</v>
      </c>
      <c r="AB452" s="37" t="str">
        <f>IFERROR(__xludf.DUMMYFUNCTION("IFERROR(IF(OR(C452=TRUE,C452=""""),VLOOKUP(G452,IMPORTRANGE(""https://docs.google.com/spreadsheets/d/1z9A1Wq-kKrhRNG5RS2a2fKpY1wIhSVz2ZNmP2mOl588/edit?usp=sharing"",""REQ VF!E4:H""),4,0),""NO APLICA""),""GENERAR REQ"")"),"GENERAR REQ")</f>
        <v>GENERAR REQ</v>
      </c>
      <c r="AC452" s="37" t="str">
        <f>IFERROR(__xludf.DUMMYFUNCTION("IFERROR(QUERY(IMPORTRANGE(""https://docs.google.com/spreadsheets/d/1z9A1Wq-kKrhRNG5RS2a2fKpY1wIhSVz2ZNmP2mOl588/edit?usp=sharing"",""REQ VF!E4:Q""),""SELECT Col10, Col11, Col12 WHERE Col1 = '""&amp;G452&amp;""'"",0),""NO APLICA"")"),"NO APLICA")</f>
        <v>NO APLICA</v>
      </c>
      <c r="AD452" s="37"/>
      <c r="AE452" s="37"/>
      <c r="AF452" s="8" t="s">
        <v>52</v>
      </c>
      <c r="AG452" s="13"/>
    </row>
    <row r="453" ht="25.5" customHeight="1">
      <c r="A453" s="26"/>
      <c r="B453" s="26"/>
      <c r="C453" s="26" t="b">
        <v>1</v>
      </c>
      <c r="D453" s="48" t="s">
        <v>42</v>
      </c>
      <c r="E453" s="48" t="s">
        <v>36</v>
      </c>
      <c r="F453" s="94" t="s">
        <v>1425</v>
      </c>
      <c r="G453" s="97" t="s">
        <v>1429</v>
      </c>
      <c r="H453" s="49" t="s">
        <v>1430</v>
      </c>
      <c r="I453" s="43">
        <f t="shared" ref="I453:I454" si="40">$I$452</f>
        <v>4</v>
      </c>
      <c r="J453" s="26">
        <f>IFERROR(__xludf.DUMMYFUNCTION("VLOOKUP(G453,IMPORTRANGE(""https://docs.google.com/spreadsheets/d/12RxCea4e5ggM7QGn1XE3FbLQa_-QbCNdBi90OdPjRqg/edit?gid=1692403370#gid=1692403370"", ""'Plan de Compras'!D4:2432""), 8,0)"),4.0)</f>
        <v>4</v>
      </c>
      <c r="K453" s="26" t="str">
        <f t="shared" si="1"/>
        <v>SI</v>
      </c>
      <c r="L453" s="48"/>
      <c r="M453" s="61"/>
      <c r="N453" s="70"/>
      <c r="O453" s="32"/>
      <c r="P453" s="32"/>
      <c r="Q453" s="101" t="s">
        <v>1431</v>
      </c>
      <c r="R453" s="32"/>
      <c r="S453" s="34" t="b">
        <v>1</v>
      </c>
      <c r="T453" s="35" t="s">
        <v>1432</v>
      </c>
      <c r="U453" s="35" t="s">
        <v>1433</v>
      </c>
      <c r="V453" s="36" t="s">
        <v>1431</v>
      </c>
      <c r="W453" s="37" t="str">
        <f>IFERROR(__xludf.DUMMYFUNCTION("IFERROR(VLOOKUP(G453,IMPORTRANGE(""https://docs.google.com/spreadsheets/d/12RxCea4e5ggM7QGn1XE3FbLQa_-QbCNdBi90OdPjRqg"", ""'Plan de Compras'!D4:Q""), 12, 0), ""NO ESTÁ EN REQ"")"),"Técnica")</f>
        <v>Técnica</v>
      </c>
      <c r="X453" s="37" t="str">
        <f>IFERROR(__xludf.DUMMYFUNCTION("IFERROR(VLOOKUP(G453,IMPORTRANGE(""https://docs.google.com/spreadsheets/d/12RxCea4e5ggM7QGn1XE3FbLQa_-QbCNdBi90OdPjRqg"", ""'Plan de Compras'!D4:Q""), 13, 0), """")"),"INTERNACIONAL")</f>
        <v>INTERNACIONAL</v>
      </c>
      <c r="Y453" s="32" t="str">
        <f>IFERROR(__xludf.DUMMYFUNCTION("IFERROR(VLOOKUP(G453,IMPORTRANGE(""https://docs.google.com/spreadsheets/d/12RxCea4e5ggM7QGn1XE3FbLQa_-QbCNdBi90OdPjRqg"", ""'Plan de Compras'!D4:Q""), 14, 0), """")"),"GIANFRANCO")</f>
        <v>GIANFRANCO</v>
      </c>
      <c r="Z453" s="38" t="str">
        <f>IFERROR(__xludf.DUMMYFUNCTION("IFERROR(VLOOKUP(G453,IMPORTRANGE(""https://docs.google.com/spreadsheets/d/12RxCea4e5ggM7QGn1XE3FbLQa_-QbCNdBi90OdPjRqg"", ""'Plan de Compras'!D4:Q""), 4, 0), """")"),"SET DE BROCAS DIAMANTADAS, MÍNIMO 20 UNIDADES, DIÁMETRO ENTRE 1 MM - 4 MM (1 UND)")</f>
        <v>SET DE BROCAS DIAMANTADAS, MÍNIMO 20 UNIDADES, DIÁMETRO ENTRE 1 MM - 4 MM (1 UND)</v>
      </c>
      <c r="AA453" s="38" t="str">
        <f t="shared" si="37"/>
        <v>TRUE</v>
      </c>
      <c r="AB453" s="37" t="str">
        <f>IFERROR(__xludf.DUMMYFUNCTION("IFERROR(IF(OR(C453=TRUE,C453=""""),VLOOKUP(G453,IMPORTRANGE(""https://docs.google.com/spreadsheets/d/1z9A1Wq-kKrhRNG5RS2a2fKpY1wIhSVz2ZNmP2mOl588/edit?usp=sharing"",""REQ VF!E4:H""),4,0),""NO APLICA""),""GENERAR REQ"")"),"GENERAR REQ")</f>
        <v>GENERAR REQ</v>
      </c>
      <c r="AC453" s="37" t="str">
        <f>IFERROR(__xludf.DUMMYFUNCTION("IFERROR(QUERY(IMPORTRANGE(""https://docs.google.com/spreadsheets/d/1z9A1Wq-kKrhRNG5RS2a2fKpY1wIhSVz2ZNmP2mOl588/edit?usp=sharing"",""REQ VF!E4:Q""),""SELECT Col10, Col11, Col12 WHERE Col1 = '""&amp;G453&amp;""'"",0),""NO APLICA"")"),"NO APLICA")</f>
        <v>NO APLICA</v>
      </c>
      <c r="AD453" s="37"/>
      <c r="AE453" s="37"/>
      <c r="AF453" s="13"/>
      <c r="AG453" s="13"/>
    </row>
    <row r="454" ht="25.5" customHeight="1">
      <c r="A454" s="26"/>
      <c r="B454" s="26"/>
      <c r="C454" s="26" t="b">
        <v>1</v>
      </c>
      <c r="D454" s="48" t="s">
        <v>42</v>
      </c>
      <c r="E454" s="48" t="s">
        <v>36</v>
      </c>
      <c r="F454" s="94" t="s">
        <v>1425</v>
      </c>
      <c r="G454" s="97" t="s">
        <v>1434</v>
      </c>
      <c r="H454" s="49" t="s">
        <v>1435</v>
      </c>
      <c r="I454" s="43">
        <f t="shared" si="40"/>
        <v>4</v>
      </c>
      <c r="J454" s="26">
        <f>IFERROR(__xludf.DUMMYFUNCTION("VLOOKUP(G454,IMPORTRANGE(""https://docs.google.com/spreadsheets/d/12RxCea4e5ggM7QGn1XE3FbLQa_-QbCNdBi90OdPjRqg/edit?gid=1692403370#gid=1692403370"", ""'Plan de Compras'!D4:2432""), 8,0)"),4.0)</f>
        <v>4</v>
      </c>
      <c r="K454" s="26" t="str">
        <f t="shared" si="1"/>
        <v>SI</v>
      </c>
      <c r="L454" s="48"/>
      <c r="M454" s="61"/>
      <c r="N454" s="70"/>
      <c r="O454" s="32"/>
      <c r="P454" s="32"/>
      <c r="Q454" s="88" t="s">
        <v>1436</v>
      </c>
      <c r="R454" s="32"/>
      <c r="S454" s="34" t="b">
        <v>1</v>
      </c>
      <c r="T454" s="35" t="s">
        <v>1437</v>
      </c>
      <c r="U454" s="35" t="s">
        <v>1438</v>
      </c>
      <c r="V454" s="36" t="s">
        <v>1439</v>
      </c>
      <c r="W454" s="37" t="str">
        <f>IFERROR(__xludf.DUMMYFUNCTION("IFERROR(VLOOKUP(G454,IMPORTRANGE(""https://docs.google.com/spreadsheets/d/12RxCea4e5ggM7QGn1XE3FbLQa_-QbCNdBi90OdPjRqg"", ""'Plan de Compras'!D4:Q""), 12, 0), ""NO ESTÁ EN REQ"")"),"Técnica")</f>
        <v>Técnica</v>
      </c>
      <c r="X454" s="37" t="str">
        <f>IFERROR(__xludf.DUMMYFUNCTION("IFERROR(VLOOKUP(G454,IMPORTRANGE(""https://docs.google.com/spreadsheets/d/12RxCea4e5ggM7QGn1XE3FbLQa_-QbCNdBi90OdPjRqg"", ""'Plan de Compras'!D4:Q""), 13, 0), """")"),"INTERNACIONAL")</f>
        <v>INTERNACIONAL</v>
      </c>
      <c r="Y454" s="32" t="str">
        <f>IFERROR(__xludf.DUMMYFUNCTION("IFERROR(VLOOKUP(G454,IMPORTRANGE(""https://docs.google.com/spreadsheets/d/12RxCea4e5ggM7QGn1XE3FbLQa_-QbCNdBi90OdPjRqg"", ""'Plan de Compras'!D4:Q""), 14, 0), """")"),"GIANFRANCO")</f>
        <v>GIANFRANCO</v>
      </c>
      <c r="Z454" s="38" t="str">
        <f>IFERROR(__xludf.DUMMYFUNCTION("IFERROR(VLOOKUP(G454,IMPORTRANGE(""https://docs.google.com/spreadsheets/d/12RxCea4e5ggM7QGn1XE3FbLQa_-QbCNdBi90OdPjRqg"", ""'Plan de Compras'!D4:Q""), 4, 0), """")"),"SET DE BROCAS DIAMANTADAS, DIÁMETRO ENTRE 4 MM - 13 MM (1 UND)")</f>
        <v>SET DE BROCAS DIAMANTADAS, DIÁMETRO ENTRE 4 MM - 13 MM (1 UND)</v>
      </c>
      <c r="AA454" s="38" t="str">
        <f t="shared" si="37"/>
        <v>TRUE</v>
      </c>
      <c r="AB454" s="37" t="str">
        <f>IFERROR(__xludf.DUMMYFUNCTION("IFERROR(IF(OR(C454=TRUE,C454=""""),VLOOKUP(G454,IMPORTRANGE(""https://docs.google.com/spreadsheets/d/1z9A1Wq-kKrhRNG5RS2a2fKpY1wIhSVz2ZNmP2mOl588/edit?usp=sharing"",""REQ VF!E4:H""),4,0),""NO APLICA""),""GENERAR REQ"")"),"GENERAR REQ")</f>
        <v>GENERAR REQ</v>
      </c>
      <c r="AC454" s="37" t="str">
        <f>IFERROR(__xludf.DUMMYFUNCTION("IFERROR(QUERY(IMPORTRANGE(""https://docs.google.com/spreadsheets/d/1z9A1Wq-kKrhRNG5RS2a2fKpY1wIhSVz2ZNmP2mOl588/edit?usp=sharing"",""REQ VF!E4:Q""),""SELECT Col10, Col11, Col12 WHERE Col1 = '""&amp;G454&amp;""'"",0),""NO APLICA"")"),"NO APLICA")</f>
        <v>NO APLICA</v>
      </c>
      <c r="AD454" s="37"/>
      <c r="AE454" s="37"/>
      <c r="AF454" s="13"/>
      <c r="AG454" s="13"/>
    </row>
    <row r="455" ht="25.5" customHeight="1">
      <c r="A455" s="26">
        <v>213.0</v>
      </c>
      <c r="B455" s="26" t="b">
        <v>1</v>
      </c>
      <c r="C455" s="26" t="b">
        <v>1</v>
      </c>
      <c r="D455" s="26" t="s">
        <v>35</v>
      </c>
      <c r="E455" s="26" t="s">
        <v>36</v>
      </c>
      <c r="F455" s="27" t="s">
        <v>1425</v>
      </c>
      <c r="G455" s="39" t="s">
        <v>1440</v>
      </c>
      <c r="H455" s="45" t="s">
        <v>1427</v>
      </c>
      <c r="I455" s="43">
        <f>SUMIFS('Hoja 10'!$O:$O,'Hoja 10'!$F:$F,$G455)</f>
        <v>3</v>
      </c>
      <c r="J455" s="26">
        <f>IFERROR(__xludf.DUMMYFUNCTION("VLOOKUP(G455,IMPORTRANGE(""https://docs.google.com/spreadsheets/d/12RxCea4e5ggM7QGn1XE3FbLQa_-QbCNdBi90OdPjRqg/edit?gid=1692403370#gid=1692403370"", ""'Plan de Compras'!D4:2432""), 8,0)"),3.0)</f>
        <v>3</v>
      </c>
      <c r="K455" s="26" t="str">
        <f t="shared" si="1"/>
        <v>SI</v>
      </c>
      <c r="L455" s="29" t="s">
        <v>122</v>
      </c>
      <c r="M455" s="30" t="s">
        <v>123</v>
      </c>
      <c r="N455" s="70"/>
      <c r="O455" s="32" t="str">
        <f>VLOOKUP($G455,'Hoja 10'!$F$4:$AA478, 19,0)</f>
        <v>BOSCH</v>
      </c>
      <c r="P455" s="32" t="str">
        <f>VLOOKUP($G455,'Hoja 10'!$F$4:$AA478, 20,0)</f>
        <v>GSB 16RE MALETÍN Professional</v>
      </c>
      <c r="Q455" s="33" t="str">
        <f>VLOOKUP($G455,'Hoja 10'!$F$4:$AA478, 21,0)</f>
        <v>https://www.bosch-professional.com/cl/es/products/gsb-16re-maletin-06012B90E1</v>
      </c>
      <c r="R455" s="30" t="s">
        <v>1441</v>
      </c>
      <c r="S455" s="34" t="b">
        <v>1</v>
      </c>
      <c r="T455" s="35" t="str">
        <f>IFERROR(__xludf.DUMMYFUNCTION(" IF
( VLOOKUP($G455,IMPORTRANGE(""https://docs.google.com/spreadsheets/d/1Gpl6jkTg7sL4VDNimUm3S9Vi1i95esohXCF3wuKOE8c"", ""'CONSOLIDADO'!G5:AB""), 10, 0) &lt;&gt; 0, 
IFERROR(VLOOKUP($G455,IMPORTRANGE(""https://docs.google.com/spreadsheets/d/1Gpl6jkTg7sL4VDNimU"&amp;"m3S9Vi1i95esohXCF3wuKOE8c"", ""'CONSOLIDADO'!G5:AB""), 17, 0), ""-""),
""""
)"),"BOSCH")</f>
        <v>BOSCH</v>
      </c>
      <c r="U455" s="35" t="str">
        <f>IFERROR(__xludf.DUMMYFUNCTION(" IF
( VLOOKUP($G455,IMPORTRANGE(""https://docs.google.com/spreadsheets/d/1Gpl6jkTg7sL4VDNimUm3S9Vi1i95esohXCF3wuKOE8c"", ""'CONSOLIDADO'!G5:AB""), 10, 0) &lt;&gt; 0, 
IFERROR(VLOOKUP($G455,IMPORTRANGE(""https://docs.google.com/spreadsheets/d/1Gpl6jkTg7sL4VDNimU"&amp;"m3S9Vi1i95esohXCF3wuKOE8c"", ""'CONSOLIDADO'!G5:AB""), 18, 0), ""-""),
""""
)"),"GSB 16RE MALETÍN
0 601 2B9 0E1")</f>
        <v>GSB 16RE MALETÍN
0 601 2B9 0E1</v>
      </c>
      <c r="V455" s="36" t="str">
        <f>IFERROR(__xludf.DUMMYFUNCTION(" IF
( VLOOKUP($G455,IMPORTRANGE(""https://docs.google.com/spreadsheets/d/1Gpl6jkTg7sL4VDNimUm3S9Vi1i95esohXCF3wuKOE8c"", ""'CONSOLIDADO'!G5:AB""), 10, 0) &lt;&gt; 0, 
IFERROR(VLOOKUP($G455,IMPORTRANGE(""https://docs.google.com/spreadsheets/d/1Gpl6jkTg7sL4VDNimU"&amp;"m3S9Vi1i95esohXCF3wuKOE8c"", ""'CONSOLIDADO'!G5:AB""), 19, 0), ""-""),
""""
)"),"https://www.bosch-professional.com/cl/es/products/gsb-16re-maletin-06012B90E1")</f>
        <v>https://www.bosch-professional.com/cl/es/products/gsb-16re-maletin-06012B90E1</v>
      </c>
      <c r="W455" s="37" t="str">
        <f>IFERROR(__xludf.DUMMYFUNCTION("IFERROR(VLOOKUP(G455,IMPORTRANGE(""https://docs.google.com/spreadsheets/d/12RxCea4e5ggM7QGn1XE3FbLQa_-QbCNdBi90OdPjRqg"", ""'Plan de Compras'!D4:Q""), 12, 0), ""NO ESTÁ EN REQ"")"),"Técnica")</f>
        <v>Técnica</v>
      </c>
      <c r="X455" s="37" t="str">
        <f>IFERROR(__xludf.DUMMYFUNCTION("IFERROR(VLOOKUP(G455,IMPORTRANGE(""https://docs.google.com/spreadsheets/d/12RxCea4e5ggM7QGn1XE3FbLQa_-QbCNdBi90OdPjRqg"", ""'Plan de Compras'!D4:Q""), 13, 0), """")"),"NACIONAL")</f>
        <v>NACIONAL</v>
      </c>
      <c r="Y455" s="32" t="str">
        <f>IFERROR(__xludf.DUMMYFUNCTION("IFERROR(VLOOKUP(G455,IMPORTRANGE(""https://docs.google.com/spreadsheets/d/12RxCea4e5ggM7QGn1XE3FbLQa_-QbCNdBi90OdPjRqg"", ""'Plan de Compras'!D4:Q""), 14, 0), """")"),"DIANA")</f>
        <v>DIANA</v>
      </c>
      <c r="Z455" s="38" t="str">
        <f>IFERROR(__xludf.DUMMYFUNCTION("IFERROR(VLOOKUP(G455,IMPORTRANGE(""https://docs.google.com/spreadsheets/d/12RxCea4e5ggM7QGn1XE3FbLQa_-QbCNdBi90OdPjRqg"", ""'Plan de Compras'!D4:Q""), 4, 0), """")"),"TALADRO PORTÁTIL")</f>
        <v>TALADRO PORTÁTIL</v>
      </c>
      <c r="AA455" s="38" t="str">
        <f t="shared" si="37"/>
        <v>TRUE</v>
      </c>
      <c r="AB455" s="37" t="str">
        <f>IFERROR(__xludf.DUMMYFUNCTION("IFERROR(IF(OR(C455=TRUE,C455=""""),VLOOKUP(G455,IMPORTRANGE(""https://docs.google.com/spreadsheets/d/1z9A1Wq-kKrhRNG5RS2a2fKpY1wIhSVz2ZNmP2mOl588/edit?usp=sharing"",""REQ VF!E4:H""),4,0),""NO APLICA""),""GENERAR REQ"")"),"GENERAR REQ")</f>
        <v>GENERAR REQ</v>
      </c>
      <c r="AC455" s="37" t="str">
        <f>IFERROR(__xludf.DUMMYFUNCTION("IFERROR(QUERY(IMPORTRANGE(""https://docs.google.com/spreadsheets/d/1z9A1Wq-kKrhRNG5RS2a2fKpY1wIhSVz2ZNmP2mOl588/edit?usp=sharing"",""REQ VF!E4:Q""),""SELECT Col10, Col11, Col12 WHERE Col1 = '""&amp;G455&amp;""'"",0),""NO APLICA"")"),"NO APLICA")</f>
        <v>NO APLICA</v>
      </c>
      <c r="AD455" s="37"/>
      <c r="AE455" s="37"/>
      <c r="AF455" s="8" t="s">
        <v>52</v>
      </c>
      <c r="AG455" s="13"/>
    </row>
    <row r="456" ht="21.0" customHeight="1">
      <c r="A456" s="48"/>
      <c r="B456" s="26"/>
      <c r="C456" s="26" t="b">
        <v>1</v>
      </c>
      <c r="D456" s="48" t="s">
        <v>42</v>
      </c>
      <c r="E456" s="48" t="s">
        <v>36</v>
      </c>
      <c r="F456" s="94" t="s">
        <v>1425</v>
      </c>
      <c r="G456" s="97" t="s">
        <v>1442</v>
      </c>
      <c r="H456" s="49" t="s">
        <v>1430</v>
      </c>
      <c r="I456" s="43">
        <f t="shared" ref="I456:I458" si="41">$I$455</f>
        <v>3</v>
      </c>
      <c r="J456" s="26">
        <f>IFERROR(__xludf.DUMMYFUNCTION("VLOOKUP(G456,IMPORTRANGE(""https://docs.google.com/spreadsheets/d/12RxCea4e5ggM7QGn1XE3FbLQa_-QbCNdBi90OdPjRqg/edit?gid=1692403370#gid=1692403370"", ""'Plan de Compras'!D4:2432""), 8,0)"),3.0)</f>
        <v>3</v>
      </c>
      <c r="K456" s="26" t="str">
        <f t="shared" si="1"/>
        <v>SI</v>
      </c>
      <c r="L456" s="48"/>
      <c r="M456" s="50"/>
      <c r="N456" s="51"/>
      <c r="O456" s="51"/>
      <c r="P456" s="48"/>
      <c r="Q456" s="101" t="s">
        <v>1431</v>
      </c>
      <c r="R456" s="50"/>
      <c r="S456" s="34" t="b">
        <v>1</v>
      </c>
      <c r="T456" s="35" t="s">
        <v>1432</v>
      </c>
      <c r="U456" s="35" t="s">
        <v>1433</v>
      </c>
      <c r="V456" s="36" t="s">
        <v>1431</v>
      </c>
      <c r="W456" s="37" t="str">
        <f>IFERROR(__xludf.DUMMYFUNCTION("IFERROR(VLOOKUP(G456,IMPORTRANGE(""https://docs.google.com/spreadsheets/d/12RxCea4e5ggM7QGn1XE3FbLQa_-QbCNdBi90OdPjRqg"", ""'Plan de Compras'!D4:Q""), 12, 0), ""NO ESTÁ EN REQ"")"),"Técnica")</f>
        <v>Técnica</v>
      </c>
      <c r="X456" s="37" t="str">
        <f>IFERROR(__xludf.DUMMYFUNCTION("IFERROR(VLOOKUP(G456,IMPORTRANGE(""https://docs.google.com/spreadsheets/d/12RxCea4e5ggM7QGn1XE3FbLQa_-QbCNdBi90OdPjRqg"", ""'Plan de Compras'!D4:Q""), 13, 0), """")"),"INTERNACIONAL")</f>
        <v>INTERNACIONAL</v>
      </c>
      <c r="Y456" s="32" t="str">
        <f>IFERROR(__xludf.DUMMYFUNCTION("IFERROR(VLOOKUP(G456,IMPORTRANGE(""https://docs.google.com/spreadsheets/d/12RxCea4e5ggM7QGn1XE3FbLQa_-QbCNdBi90OdPjRqg"", ""'Plan de Compras'!D4:Q""), 14, 0), """")"),"GIANFRANCO")</f>
        <v>GIANFRANCO</v>
      </c>
      <c r="Z456" s="38" t="str">
        <f>IFERROR(__xludf.DUMMYFUNCTION("IFERROR(VLOOKUP(G456,IMPORTRANGE(""https://docs.google.com/spreadsheets/d/12RxCea4e5ggM7QGn1XE3FbLQa_-QbCNdBi90OdPjRqg"", ""'Plan de Compras'!D4:Q""), 4, 0), """")"),"SET DE BROCAS DIAMANTADAS, MÍNIMO 20 UNIDADES, DIÁMETRO ENTRE 1 MM - 4 MM (1 UND)")</f>
        <v>SET DE BROCAS DIAMANTADAS, MÍNIMO 20 UNIDADES, DIÁMETRO ENTRE 1 MM - 4 MM (1 UND)</v>
      </c>
      <c r="AA456" s="38" t="str">
        <f t="shared" si="37"/>
        <v>TRUE</v>
      </c>
      <c r="AB456" s="37" t="str">
        <f>IFERROR(__xludf.DUMMYFUNCTION("IFERROR(IF(OR(C456=TRUE,C456=""""),VLOOKUP(G456,IMPORTRANGE(""https://docs.google.com/spreadsheets/d/1z9A1Wq-kKrhRNG5RS2a2fKpY1wIhSVz2ZNmP2mOl588/edit?usp=sharing"",""REQ VF!E4:H""),4,0),""NO APLICA""),""GENERAR REQ"")"),"GENERAR REQ")</f>
        <v>GENERAR REQ</v>
      </c>
      <c r="AC456" s="37" t="str">
        <f>IFERROR(__xludf.DUMMYFUNCTION("IFERROR(QUERY(IMPORTRANGE(""https://docs.google.com/spreadsheets/d/1z9A1Wq-kKrhRNG5RS2a2fKpY1wIhSVz2ZNmP2mOl588/edit?usp=sharing"",""REQ VF!E4:Q""),""SELECT Col10, Col11, Col12 WHERE Col1 = '""&amp;G456&amp;""'"",0),""NO APLICA"")"),"NO APLICA")</f>
        <v>NO APLICA</v>
      </c>
      <c r="AD456" s="37"/>
      <c r="AE456" s="37"/>
      <c r="AF456" s="13"/>
      <c r="AG456" s="13"/>
    </row>
    <row r="457" ht="24.75" customHeight="1">
      <c r="A457" s="48"/>
      <c r="B457" s="26"/>
      <c r="C457" s="26" t="b">
        <v>1</v>
      </c>
      <c r="D457" s="48" t="s">
        <v>42</v>
      </c>
      <c r="E457" s="48" t="s">
        <v>36</v>
      </c>
      <c r="F457" s="94" t="s">
        <v>1425</v>
      </c>
      <c r="G457" s="97" t="s">
        <v>1443</v>
      </c>
      <c r="H457" s="49" t="s">
        <v>1435</v>
      </c>
      <c r="I457" s="43">
        <f t="shared" si="41"/>
        <v>3</v>
      </c>
      <c r="J457" s="26">
        <f>IFERROR(__xludf.DUMMYFUNCTION("VLOOKUP(G457,IMPORTRANGE(""https://docs.google.com/spreadsheets/d/12RxCea4e5ggM7QGn1XE3FbLQa_-QbCNdBi90OdPjRqg/edit?gid=1692403370#gid=1692403370"", ""'Plan de Compras'!D4:2432""), 8,0)"),3.0)</f>
        <v>3</v>
      </c>
      <c r="K457" s="26" t="str">
        <f t="shared" si="1"/>
        <v>SI</v>
      </c>
      <c r="L457" s="48"/>
      <c r="M457" s="50"/>
      <c r="N457" s="51"/>
      <c r="O457" s="51"/>
      <c r="P457" s="48"/>
      <c r="Q457" s="88" t="s">
        <v>1436</v>
      </c>
      <c r="R457" s="50"/>
      <c r="S457" s="34" t="b">
        <v>1</v>
      </c>
      <c r="T457" s="35" t="s">
        <v>1437</v>
      </c>
      <c r="U457" s="35" t="s">
        <v>1438</v>
      </c>
      <c r="V457" s="36" t="s">
        <v>1439</v>
      </c>
      <c r="W457" s="37" t="str">
        <f>IFERROR(__xludf.DUMMYFUNCTION("IFERROR(VLOOKUP(G457,IMPORTRANGE(""https://docs.google.com/spreadsheets/d/12RxCea4e5ggM7QGn1XE3FbLQa_-QbCNdBi90OdPjRqg"", ""'Plan de Compras'!D4:Q""), 12, 0), ""NO ESTÁ EN REQ"")"),"Técnica")</f>
        <v>Técnica</v>
      </c>
      <c r="X457" s="37" t="str">
        <f>IFERROR(__xludf.DUMMYFUNCTION("IFERROR(VLOOKUP(G457,IMPORTRANGE(""https://docs.google.com/spreadsheets/d/12RxCea4e5ggM7QGn1XE3FbLQa_-QbCNdBi90OdPjRqg"", ""'Plan de Compras'!D4:Q""), 13, 0), """")"),"INTERNACIONAL")</f>
        <v>INTERNACIONAL</v>
      </c>
      <c r="Y457" s="32" t="str">
        <f>IFERROR(__xludf.DUMMYFUNCTION("IFERROR(VLOOKUP(G457,IMPORTRANGE(""https://docs.google.com/spreadsheets/d/12RxCea4e5ggM7QGn1XE3FbLQa_-QbCNdBi90OdPjRqg"", ""'Plan de Compras'!D4:Q""), 14, 0), """")"),"GIANFRANCO")</f>
        <v>GIANFRANCO</v>
      </c>
      <c r="Z457" s="38" t="str">
        <f>IFERROR(__xludf.DUMMYFUNCTION("IFERROR(VLOOKUP(G457,IMPORTRANGE(""https://docs.google.com/spreadsheets/d/12RxCea4e5ggM7QGn1XE3FbLQa_-QbCNdBi90OdPjRqg"", ""'Plan de Compras'!D4:Q""), 4, 0), """")"),"SET DE BROCAS DIAMANTADAS, DIÁMETRO ENTRE 4 MM - 13 MM (1 UND)")</f>
        <v>SET DE BROCAS DIAMANTADAS, DIÁMETRO ENTRE 4 MM - 13 MM (1 UND)</v>
      </c>
      <c r="AA457" s="38" t="str">
        <f t="shared" si="37"/>
        <v>TRUE</v>
      </c>
      <c r="AB457" s="37" t="str">
        <f>IFERROR(__xludf.DUMMYFUNCTION("IFERROR(IF(OR(C457=TRUE,C457=""""),VLOOKUP(G457,IMPORTRANGE(""https://docs.google.com/spreadsheets/d/1z9A1Wq-kKrhRNG5RS2a2fKpY1wIhSVz2ZNmP2mOl588/edit?usp=sharing"",""REQ VF!E4:H""),4,0),""NO APLICA""),""GENERAR REQ"")"),"GENERAR REQ")</f>
        <v>GENERAR REQ</v>
      </c>
      <c r="AC457" s="37" t="str">
        <f>IFERROR(__xludf.DUMMYFUNCTION("IFERROR(QUERY(IMPORTRANGE(""https://docs.google.com/spreadsheets/d/1z9A1Wq-kKrhRNG5RS2a2fKpY1wIhSVz2ZNmP2mOl588/edit?usp=sharing"",""REQ VF!E4:Q""),""SELECT Col10, Col11, Col12 WHERE Col1 = '""&amp;G457&amp;""'"",0),""NO APLICA"")"),"NO APLICA")</f>
        <v>NO APLICA</v>
      </c>
      <c r="AD457" s="37"/>
      <c r="AE457" s="37"/>
      <c r="AF457" s="13"/>
      <c r="AG457" s="13"/>
    </row>
    <row r="458" ht="21.0" customHeight="1">
      <c r="A458" s="48"/>
      <c r="B458" s="26"/>
      <c r="C458" s="26" t="b">
        <v>1</v>
      </c>
      <c r="D458" s="48" t="s">
        <v>42</v>
      </c>
      <c r="E458" s="48" t="s">
        <v>36</v>
      </c>
      <c r="F458" s="94" t="s">
        <v>1425</v>
      </c>
      <c r="G458" s="97" t="s">
        <v>1444</v>
      </c>
      <c r="H458" s="49" t="s">
        <v>1445</v>
      </c>
      <c r="I458" s="43">
        <f t="shared" si="41"/>
        <v>3</v>
      </c>
      <c r="J458" s="26">
        <f>IFERROR(__xludf.DUMMYFUNCTION("VLOOKUP(G458,IMPORTRANGE(""https://docs.google.com/spreadsheets/d/12RxCea4e5ggM7QGn1XE3FbLQa_-QbCNdBi90OdPjRqg/edit?gid=1692403370#gid=1692403370"", ""'Plan de Compras'!D4:2432""), 8,0)"),3.0)</f>
        <v>3</v>
      </c>
      <c r="K458" s="26" t="str">
        <f t="shared" si="1"/>
        <v>SI</v>
      </c>
      <c r="L458" s="48"/>
      <c r="M458" s="50"/>
      <c r="N458" s="51"/>
      <c r="O458" s="51"/>
      <c r="P458" s="48"/>
      <c r="Q458" s="101" t="s">
        <v>1446</v>
      </c>
      <c r="R458" s="50"/>
      <c r="S458" s="34" t="b">
        <v>1</v>
      </c>
      <c r="T458" s="35" t="s">
        <v>1447</v>
      </c>
      <c r="U458" s="35" t="s">
        <v>1448</v>
      </c>
      <c r="V458" s="36" t="s">
        <v>1446</v>
      </c>
      <c r="W458" s="37" t="str">
        <f>IFERROR(__xludf.DUMMYFUNCTION("IFERROR(VLOOKUP(G458,IMPORTRANGE(""https://docs.google.com/spreadsheets/d/12RxCea4e5ggM7QGn1XE3FbLQa_-QbCNdBi90OdPjRqg"", ""'Plan de Compras'!D4:Q""), 12, 0), ""NO ESTÁ EN REQ"")"),"Técnica")</f>
        <v>Técnica</v>
      </c>
      <c r="X458" s="37" t="str">
        <f>IFERROR(__xludf.DUMMYFUNCTION("IFERROR(VLOOKUP(G458,IMPORTRANGE(""https://docs.google.com/spreadsheets/d/12RxCea4e5ggM7QGn1XE3FbLQa_-QbCNdBi90OdPjRqg"", ""'Plan de Compras'!D4:Q""), 13, 0), """")"),"NACIONAL")</f>
        <v>NACIONAL</v>
      </c>
      <c r="Y458" s="32" t="str">
        <f>IFERROR(__xludf.DUMMYFUNCTION("IFERROR(VLOOKUP(G458,IMPORTRANGE(""https://docs.google.com/spreadsheets/d/12RxCea4e5ggM7QGn1XE3FbLQa_-QbCNdBi90OdPjRqg"", ""'Plan de Compras'!D4:Q""), 14, 0), """")"),"DIANA")</f>
        <v>DIANA</v>
      </c>
      <c r="Z458" s="38" t="str">
        <f>IFERROR(__xludf.DUMMYFUNCTION("IFERROR(VLOOKUP(G458,IMPORTRANGE(""https://docs.google.com/spreadsheets/d/12RxCea4e5ggM7QGn1XE3FbLQa_-QbCNdBi90OdPjRqg"", ""'Plan de Compras'!D4:Q""), 4, 0), """")"),"LUZ LED RECARGABLE (1 UND)")</f>
        <v>LUZ LED RECARGABLE (1 UND)</v>
      </c>
      <c r="AA458" s="38" t="str">
        <f t="shared" si="37"/>
        <v>TRUE</v>
      </c>
      <c r="AB458" s="37" t="str">
        <f>IFERROR(__xludf.DUMMYFUNCTION("IFERROR(IF(OR(C458=TRUE,C458=""""),VLOOKUP(G458,IMPORTRANGE(""https://docs.google.com/spreadsheets/d/1z9A1Wq-kKrhRNG5RS2a2fKpY1wIhSVz2ZNmP2mOl588/edit?usp=sharing"",""REQ VF!E4:H""),4,0),""NO APLICA""),""GENERAR REQ"")"),"GENERAR REQ")</f>
        <v>GENERAR REQ</v>
      </c>
      <c r="AC458" s="37" t="str">
        <f>IFERROR(__xludf.DUMMYFUNCTION("IFERROR(QUERY(IMPORTRANGE(""https://docs.google.com/spreadsheets/d/1z9A1Wq-kKrhRNG5RS2a2fKpY1wIhSVz2ZNmP2mOl588/edit?usp=sharing"",""REQ VF!E4:Q""),""SELECT Col10, Col11, Col12 WHERE Col1 = '""&amp;G458&amp;""'"",0),""NO APLICA"")"),"NO APLICA")</f>
        <v>NO APLICA</v>
      </c>
      <c r="AD458" s="37"/>
      <c r="AE458" s="37"/>
      <c r="AF458" s="13"/>
      <c r="AG458" s="13"/>
    </row>
    <row r="459" ht="21.0" customHeight="1">
      <c r="A459" s="26">
        <v>214.0</v>
      </c>
      <c r="B459" s="26" t="b">
        <v>1</v>
      </c>
      <c r="C459" s="26" t="b">
        <v>1</v>
      </c>
      <c r="D459" s="26" t="s">
        <v>35</v>
      </c>
      <c r="E459" s="26" t="s">
        <v>36</v>
      </c>
      <c r="F459" s="27" t="s">
        <v>1449</v>
      </c>
      <c r="G459" s="39" t="s">
        <v>1449</v>
      </c>
      <c r="H459" s="45" t="s">
        <v>1427</v>
      </c>
      <c r="I459" s="43">
        <f>SUMIFS('Hoja 10'!$O:$O,'Hoja 10'!$F:$F,$G459)</f>
        <v>8</v>
      </c>
      <c r="J459" s="26">
        <f>IFERROR(__xludf.DUMMYFUNCTION("VLOOKUP(G459,IMPORTRANGE(""https://docs.google.com/spreadsheets/d/12RxCea4e5ggM7QGn1XE3FbLQa_-QbCNdBi90OdPjRqg/edit?gid=1692403370#gid=1692403370"", ""'Plan de Compras'!D4:2432""), 8,0)"),8.0)</f>
        <v>8</v>
      </c>
      <c r="K459" s="26" t="str">
        <f t="shared" si="1"/>
        <v>SI</v>
      </c>
      <c r="L459" s="29" t="s">
        <v>296</v>
      </c>
      <c r="M459" s="30" t="s">
        <v>297</v>
      </c>
      <c r="N459" s="70"/>
      <c r="O459" s="32" t="str">
        <f>VLOOKUP($G459,'Hoja 10'!$F$4:$AA478, 19,0)</f>
        <v>BOSCH</v>
      </c>
      <c r="P459" s="32" t="str">
        <f>VLOOKUP($G459,'Hoja 10'!$F$4:$AA478, 20,0)</f>
        <v>GSB 16 RE Professional</v>
      </c>
      <c r="Q459" s="33" t="str">
        <f>VLOOKUP($G459,'Hoja 10'!$F$4:$AA478, 21,0)</f>
        <v>https://www.bosch-professional.com/pe/es/products/gsb-16-re-060114E500</v>
      </c>
      <c r="R459" s="30" t="s">
        <v>1450</v>
      </c>
      <c r="S459" s="34" t="b">
        <v>1</v>
      </c>
      <c r="T459" s="35" t="str">
        <f>IFERROR(__xludf.DUMMYFUNCTION(" IF
( VLOOKUP($G459,IMPORTRANGE(""https://docs.google.com/spreadsheets/d/1Gpl6jkTg7sL4VDNimUm3S9Vi1i95esohXCF3wuKOE8c"", ""'CONSOLIDADO'!G5:AB""), 10, 0) &lt;&gt; 0, 
IFERROR(VLOOKUP($G459,IMPORTRANGE(""https://docs.google.com/spreadsheets/d/1Gpl6jkTg7sL4VDNimU"&amp;"m3S9Vi1i95esohXCF3wuKOE8c"", ""'CONSOLIDADO'!G5:AB""), 17, 0), ""-""),
""""
)"),"BOSCH")</f>
        <v>BOSCH</v>
      </c>
      <c r="U459" s="35" t="str">
        <f>IFERROR(__xludf.DUMMYFUNCTION(" IF
( VLOOKUP($G459,IMPORTRANGE(""https://docs.google.com/spreadsheets/d/1Gpl6jkTg7sL4VDNimUm3S9Vi1i95esohXCF3wuKOE8c"", ""'CONSOLIDADO'!G5:AB""), 10, 0) &lt;&gt; 0, 
IFERROR(VLOOKUP($G459,IMPORTRANGE(""https://docs.google.com/spreadsheets/d/1Gpl6jkTg7sL4VDNimU"&amp;"m3S9Vi1i95esohXCF3wuKOE8c"", ""'CONSOLIDADO'!G5:AB""), 18, 0), ""-""),
""""
)"),"GSB 16 RE
0 601 14E 500")</f>
        <v>GSB 16 RE
0 601 14E 500</v>
      </c>
      <c r="V459" s="36" t="str">
        <f>IFERROR(__xludf.DUMMYFUNCTION(" IF
( VLOOKUP($G459,IMPORTRANGE(""https://docs.google.com/spreadsheets/d/1Gpl6jkTg7sL4VDNimUm3S9Vi1i95esohXCF3wuKOE8c"", ""'CONSOLIDADO'!G5:AB""), 10, 0) &lt;&gt; 0, 
IFERROR(VLOOKUP($G459,IMPORTRANGE(""https://docs.google.com/spreadsheets/d/1Gpl6jkTg7sL4VDNimU"&amp;"m3S9Vi1i95esohXCF3wuKOE8c"", ""'CONSOLIDADO'!G5:AB""), 19, 0), ""-""),
""""
)"),"https://docs.google.com/spreadsheets/d/1w2Soqgpp-UNY3Onqy78_JmDsFa_CpNfhVoNlwWZvbNo/edit?gid=0#gid=0")</f>
        <v>https://docs.google.com/spreadsheets/d/1w2Soqgpp-UNY3Onqy78_JmDsFa_CpNfhVoNlwWZvbNo/edit?gid=0#gid=0</v>
      </c>
      <c r="W459" s="37" t="str">
        <f>IFERROR(__xludf.DUMMYFUNCTION("IFERROR(VLOOKUP(G459,IMPORTRANGE(""https://docs.google.com/spreadsheets/d/12RxCea4e5ggM7QGn1XE3FbLQa_-QbCNdBi90OdPjRqg"", ""'Plan de Compras'!D4:Q""), 12, 0), ""NO ESTÁ EN REQ"")"),"Técnica")</f>
        <v>Técnica</v>
      </c>
      <c r="X459" s="37" t="str">
        <f>IFERROR(__xludf.DUMMYFUNCTION("IFERROR(VLOOKUP(G459,IMPORTRANGE(""https://docs.google.com/spreadsheets/d/12RxCea4e5ggM7QGn1XE3FbLQa_-QbCNdBi90OdPjRqg"", ""'Plan de Compras'!D4:Q""), 13, 0), """")"),"NACIONAL")</f>
        <v>NACIONAL</v>
      </c>
      <c r="Y459" s="32" t="str">
        <f>IFERROR(__xludf.DUMMYFUNCTION("IFERROR(VLOOKUP(G459,IMPORTRANGE(""https://docs.google.com/spreadsheets/d/12RxCea4e5ggM7QGn1XE3FbLQa_-QbCNdBi90OdPjRqg"", ""'Plan de Compras'!D4:Q""), 14, 0), """")"),"DIANA")</f>
        <v>DIANA</v>
      </c>
      <c r="Z459" s="38" t="str">
        <f>IFERROR(__xludf.DUMMYFUNCTION("IFERROR(VLOOKUP(G459,IMPORTRANGE(""https://docs.google.com/spreadsheets/d/12RxCea4e5ggM7QGn1XE3FbLQa_-QbCNdBi90OdPjRqg"", ""'Plan de Compras'!D4:Q""), 4, 0), """")"),"TALADRO PORTÁTIL")</f>
        <v>TALADRO PORTÁTIL</v>
      </c>
      <c r="AA459" s="38" t="str">
        <f t="shared" si="37"/>
        <v>TRUE</v>
      </c>
      <c r="AB459" s="37" t="str">
        <f>IFERROR(__xludf.DUMMYFUNCTION("IFERROR(IF(OR(C459=TRUE,C459=""""),VLOOKUP(G459,IMPORTRANGE(""https://docs.google.com/spreadsheets/d/1z9A1Wq-kKrhRNG5RS2a2fKpY1wIhSVz2ZNmP2mOl588/edit?usp=sharing"",""REQ VF!E4:H""),4,0),""NO APLICA""),""GENERAR REQ"")"),"GENERAR REQ")</f>
        <v>GENERAR REQ</v>
      </c>
      <c r="AC459" s="37" t="str">
        <f>IFERROR(__xludf.DUMMYFUNCTION("IFERROR(QUERY(IMPORTRANGE(""https://docs.google.com/spreadsheets/d/1z9A1Wq-kKrhRNG5RS2a2fKpY1wIhSVz2ZNmP2mOl588/edit?usp=sharing"",""REQ VF!E4:Q""),""SELECT Col10, Col11, Col12 WHERE Col1 = '""&amp;G459&amp;""'"",0),""NO APLICA"")"),"NO APLICA")</f>
        <v>NO APLICA</v>
      </c>
      <c r="AD459" s="37"/>
      <c r="AE459" s="37"/>
      <c r="AF459" s="8" t="s">
        <v>52</v>
      </c>
      <c r="AG459" s="13"/>
    </row>
    <row r="460" ht="21.0" customHeight="1">
      <c r="A460" s="26"/>
      <c r="B460" s="26"/>
      <c r="C460" s="26" t="b">
        <v>1</v>
      </c>
      <c r="D460" s="98" t="s">
        <v>42</v>
      </c>
      <c r="E460" s="98" t="s">
        <v>36</v>
      </c>
      <c r="F460" s="37" t="s">
        <v>1449</v>
      </c>
      <c r="G460" s="39" t="s">
        <v>1451</v>
      </c>
      <c r="H460" s="40" t="s">
        <v>1452</v>
      </c>
      <c r="I460" s="43">
        <f t="shared" ref="I460:I461" si="42">$I$459</f>
        <v>8</v>
      </c>
      <c r="J460" s="26">
        <f>IFERROR(__xludf.DUMMYFUNCTION("VLOOKUP(G460,IMPORTRANGE(""https://docs.google.com/spreadsheets/d/12RxCea4e5ggM7QGn1XE3FbLQa_-QbCNdBi90OdPjRqg/edit?gid=1692403370#gid=1692403370"", ""'Plan de Compras'!D4:2432""), 8,0)"),8.0)</f>
        <v>8</v>
      </c>
      <c r="K460" s="26" t="str">
        <f t="shared" si="1"/>
        <v>SI</v>
      </c>
      <c r="L460" s="48"/>
      <c r="M460" s="61"/>
      <c r="N460" s="70"/>
      <c r="O460" s="32"/>
      <c r="P460" s="32"/>
      <c r="Q460" s="41"/>
      <c r="R460" s="61"/>
      <c r="S460" s="34" t="b">
        <v>1</v>
      </c>
      <c r="T460" s="35" t="s">
        <v>1453</v>
      </c>
      <c r="U460" s="35" t="s">
        <v>1454</v>
      </c>
      <c r="V460" s="36" t="s">
        <v>1455</v>
      </c>
      <c r="W460" s="37" t="str">
        <f>IFERROR(__xludf.DUMMYFUNCTION("IFERROR(VLOOKUP(G460,IMPORTRANGE(""https://docs.google.com/spreadsheets/d/12RxCea4e5ggM7QGn1XE3FbLQa_-QbCNdBi90OdPjRqg"", ""'Plan de Compras'!D4:Q""), 12, 0), ""NO ESTÁ EN REQ"")"),"Técnica")</f>
        <v>Técnica</v>
      </c>
      <c r="X460" s="37" t="str">
        <f>IFERROR(__xludf.DUMMYFUNCTION("IFERROR(VLOOKUP(G460,IMPORTRANGE(""https://docs.google.com/spreadsheets/d/12RxCea4e5ggM7QGn1XE3FbLQa_-QbCNdBi90OdPjRqg"", ""'Plan de Compras'!D4:Q""), 13, 0), """")"),"NACIONAL")</f>
        <v>NACIONAL</v>
      </c>
      <c r="Y460" s="32" t="str">
        <f>IFERROR(__xludf.DUMMYFUNCTION("IFERROR(VLOOKUP(G460,IMPORTRANGE(""https://docs.google.com/spreadsheets/d/12RxCea4e5ggM7QGn1XE3FbLQa_-QbCNdBi90OdPjRqg"", ""'Plan de Compras'!D4:Q""), 14, 0), """")"),"ANGIE")</f>
        <v>ANGIE</v>
      </c>
      <c r="Z460" s="38" t="str">
        <f>IFERROR(__xludf.DUMMYFUNCTION("IFERROR(VLOOKUP(G460,IMPORTRANGE(""https://docs.google.com/spreadsheets/d/12RxCea4e5ggM7QGn1XE3FbLQa_-QbCNdBi90OdPjRqg"", ""'Plan de Compras'!D4:Q""), 4, 0), """")"),"SET DE BROCAS SIERRA CORONA x6 UNIDADES")</f>
        <v>SET DE BROCAS SIERRA CORONA x6 UNIDADES</v>
      </c>
      <c r="AA460" s="38" t="str">
        <f t="shared" si="37"/>
        <v>FALSE</v>
      </c>
      <c r="AB460" s="37" t="str">
        <f>IFERROR(__xludf.DUMMYFUNCTION("IFERROR(IF(OR(C460=TRUE,C460=""""),VLOOKUP(G460,IMPORTRANGE(""https://docs.google.com/spreadsheets/d/1z9A1Wq-kKrhRNG5RS2a2fKpY1wIhSVz2ZNmP2mOl588/edit?usp=sharing"",""REQ VF!E4:H""),4,0),""NO APLICA""),""GENERAR REQ"")"),"GENERAR REQ")</f>
        <v>GENERAR REQ</v>
      </c>
      <c r="AC460" s="37" t="str">
        <f>IFERROR(__xludf.DUMMYFUNCTION("IFERROR(QUERY(IMPORTRANGE(""https://docs.google.com/spreadsheets/d/1z9A1Wq-kKrhRNG5RS2a2fKpY1wIhSVz2ZNmP2mOl588/edit?usp=sharing"",""REQ VF!E4:Q""),""SELECT Col10, Col11, Col12 WHERE Col1 = '""&amp;G460&amp;""'"",0),""NO APLICA"")"),"NO APLICA")</f>
        <v>NO APLICA</v>
      </c>
      <c r="AD460" s="37"/>
      <c r="AE460" s="37"/>
      <c r="AF460" s="13"/>
      <c r="AG460" s="13"/>
    </row>
    <row r="461" ht="21.0" customHeight="1">
      <c r="A461" s="26"/>
      <c r="B461" s="40" t="s">
        <v>1456</v>
      </c>
      <c r="C461" s="26" t="b">
        <v>1</v>
      </c>
      <c r="D461" s="98" t="s">
        <v>42</v>
      </c>
      <c r="E461" s="98" t="s">
        <v>36</v>
      </c>
      <c r="F461" s="37" t="s">
        <v>1449</v>
      </c>
      <c r="G461" s="39" t="s">
        <v>1457</v>
      </c>
      <c r="H461" s="40" t="s">
        <v>1456</v>
      </c>
      <c r="I461" s="43">
        <f t="shared" si="42"/>
        <v>8</v>
      </c>
      <c r="J461" s="26">
        <f>IFERROR(__xludf.DUMMYFUNCTION("VLOOKUP(G461,IMPORTRANGE(""https://docs.google.com/spreadsheets/d/12RxCea4e5ggM7QGn1XE3FbLQa_-QbCNdBi90OdPjRqg/edit?gid=1692403370#gid=1692403370"", ""'Plan de Compras'!D4:2432""), 8,0)"),8.0)</f>
        <v>8</v>
      </c>
      <c r="K461" s="26" t="str">
        <f t="shared" si="1"/>
        <v>SI</v>
      </c>
      <c r="L461" s="48"/>
      <c r="M461" s="61"/>
      <c r="N461" s="70"/>
      <c r="O461" s="32"/>
      <c r="P461" s="32"/>
      <c r="Q461" s="41"/>
      <c r="R461" s="61"/>
      <c r="S461" s="34" t="b">
        <v>1</v>
      </c>
      <c r="T461" s="35" t="s">
        <v>1458</v>
      </c>
      <c r="U461" s="35" t="s">
        <v>1459</v>
      </c>
      <c r="V461" s="112" t="s">
        <v>1402</v>
      </c>
      <c r="W461" s="37" t="str">
        <f>IFERROR(__xludf.DUMMYFUNCTION("IFERROR(VLOOKUP(G461,IMPORTRANGE(""https://docs.google.com/spreadsheets/d/12RxCea4e5ggM7QGn1XE3FbLQa_-QbCNdBi90OdPjRqg"", ""'Plan de Compras'!D4:Q""), 12, 0), ""NO ESTÁ EN REQ"")"),"Técnica")</f>
        <v>Técnica</v>
      </c>
      <c r="X461" s="37" t="str">
        <f>IFERROR(__xludf.DUMMYFUNCTION("IFERROR(VLOOKUP(G461,IMPORTRANGE(""https://docs.google.com/spreadsheets/d/12RxCea4e5ggM7QGn1XE3FbLQa_-QbCNdBi90OdPjRqg"", ""'Plan de Compras'!D4:Q""), 13, 0), """")"),"INTERNACIONAL")</f>
        <v>INTERNACIONAL</v>
      </c>
      <c r="Y461" s="32" t="str">
        <f>IFERROR(__xludf.DUMMYFUNCTION("IFERROR(VLOOKUP(G461,IMPORTRANGE(""https://docs.google.com/spreadsheets/d/12RxCea4e5ggM7QGn1XE3FbLQa_-QbCNdBi90OdPjRqg"", ""'Plan de Compras'!D4:Q""), 14, 0), """")"),"GEYDI")</f>
        <v>GEYDI</v>
      </c>
      <c r="Z461" s="38" t="str">
        <f>IFERROR(__xludf.DUMMYFUNCTION("IFERROR(VLOOKUP(G461,IMPORTRANGE(""https://docs.google.com/spreadsheets/d/12RxCea4e5ggM7QGn1XE3FbLQa_-QbCNdBi90OdPjRqg"", ""'Plan de Compras'!D4:Q""), 4, 0), """")"),"SET DE BROCAS  DE TITANIO x15 UNIDADES")</f>
        <v>SET DE BROCAS  DE TITANIO x15 UNIDADES</v>
      </c>
      <c r="AA461" s="38" t="str">
        <f t="shared" si="37"/>
        <v>FALSE</v>
      </c>
      <c r="AB461" s="37" t="str">
        <f>IFERROR(__xludf.DUMMYFUNCTION("IFERROR(IF(OR(C461=TRUE,C461=""""),VLOOKUP(G461,IMPORTRANGE(""https://docs.google.com/spreadsheets/d/1z9A1Wq-kKrhRNG5RS2a2fKpY1wIhSVz2ZNmP2mOl588/edit?usp=sharing"",""REQ VF!E4:H""),4,0),""NO APLICA""),""GENERAR REQ"")"),"GENERAR REQ")</f>
        <v>GENERAR REQ</v>
      </c>
      <c r="AC461" s="37" t="str">
        <f>IFERROR(__xludf.DUMMYFUNCTION("IFERROR(QUERY(IMPORTRANGE(""https://docs.google.com/spreadsheets/d/1z9A1Wq-kKrhRNG5RS2a2fKpY1wIhSVz2ZNmP2mOl588/edit?usp=sharing"",""REQ VF!E4:Q""),""SELECT Col10, Col11, Col12 WHERE Col1 = '""&amp;G461&amp;""'"",0),""NO APLICA"")"),"NO APLICA")</f>
        <v>NO APLICA</v>
      </c>
      <c r="AD461" s="37"/>
      <c r="AE461" s="37"/>
      <c r="AF461" s="13"/>
      <c r="AG461" s="13"/>
    </row>
    <row r="462">
      <c r="A462" s="26">
        <v>215.0</v>
      </c>
      <c r="B462" s="26" t="b">
        <v>1</v>
      </c>
      <c r="C462" s="26" t="b">
        <v>1</v>
      </c>
      <c r="D462" s="26" t="s">
        <v>35</v>
      </c>
      <c r="E462" s="26" t="s">
        <v>36</v>
      </c>
      <c r="F462" s="27" t="s">
        <v>1460</v>
      </c>
      <c r="G462" s="37" t="s">
        <v>1460</v>
      </c>
      <c r="H462" s="45" t="s">
        <v>1461</v>
      </c>
      <c r="I462" s="43">
        <f>SUMIFS('Hoja 10'!$O:$O,'Hoja 10'!$F:$F,$G462)</f>
        <v>12</v>
      </c>
      <c r="J462" s="26">
        <f>IFERROR(__xludf.DUMMYFUNCTION("VLOOKUP(G462,IMPORTRANGE(""https://docs.google.com/spreadsheets/d/12RxCea4e5ggM7QGn1XE3FbLQa_-QbCNdBi90OdPjRqg/edit?gid=1692403370#gid=1692403370"", ""'Plan de Compras'!D4:2432""), 8,0)"),12.0)</f>
        <v>12</v>
      </c>
      <c r="K462" s="26" t="str">
        <f t="shared" si="1"/>
        <v>SI</v>
      </c>
      <c r="L462" s="29" t="s">
        <v>180</v>
      </c>
      <c r="M462" s="30" t="s">
        <v>181</v>
      </c>
      <c r="N462" s="42"/>
      <c r="O462" s="32" t="str">
        <f>VLOOKUP($G462,'Hoja 10'!$F$4:$AA478, 19,0)</f>
        <v>BOSCH</v>
      </c>
      <c r="P462" s="32" t="str">
        <f>VLOOKUP($G462,'Hoja 10'!$F$4:$AA478, 20,0)</f>
        <v>GSB 185-LI</v>
      </c>
      <c r="Q462" s="41" t="str">
        <f>VLOOKUP($G462,'Hoja 10'!$F$4:$AA478, 21,0)</f>
        <v>KIT DE TALADRO DESTORNILLADOR INALÁMBRICO - FT.pdf</v>
      </c>
      <c r="R462" s="30" t="s">
        <v>1462</v>
      </c>
      <c r="S462" s="34" t="b">
        <v>1</v>
      </c>
      <c r="T462" s="35" t="str">
        <f>IFERROR(__xludf.DUMMYFUNCTION(" IF
( VLOOKUP($G462,IMPORTRANGE(""https://docs.google.com/spreadsheets/d/1Gpl6jkTg7sL4VDNimUm3S9Vi1i95esohXCF3wuKOE8c"", ""'CONSOLIDADO'!G5:AB""), 10, 0) &lt;&gt; 0, 
IFERROR(VLOOKUP($G462,IMPORTRANGE(""https://docs.google.com/spreadsheets/d/1Gpl6jkTg7sL4VDNimU"&amp;"m3S9Vi1i95esohXCF3wuKOE8c"", ""'CONSOLIDADO'!G5:AB""), 17, 0), ""-""),
""""
)"),"BOSCH")</f>
        <v>BOSCH</v>
      </c>
      <c r="U462" s="35" t="str">
        <f>IFERROR(__xludf.DUMMYFUNCTION(" IF
( VLOOKUP($G462,IMPORTRANGE(""https://docs.google.com/spreadsheets/d/1Gpl6jkTg7sL4VDNimUm3S9Vi1i95esohXCF3wuKOE8c"", ""'CONSOLIDADO'!G5:AB""), 10, 0) &lt;&gt; 0, 
IFERROR(VLOOKUP($G462,IMPORTRANGE(""https://docs.google.com/spreadsheets/d/1Gpl6jkTg7sL4VDNimU"&amp;"m3S9Vi1i95esohXCF3wuKOE8c"", ""'CONSOLIDADO'!G5:AB""), 18, 0), ""-""),
""""
)"),"GSB 185-LI")</f>
        <v>GSB 185-LI</v>
      </c>
      <c r="V462" s="36" t="str">
        <f>IFERROR(__xludf.DUMMYFUNCTION(" IF
( VLOOKUP($G462,IMPORTRANGE(""https://docs.google.com/spreadsheets/d/1Gpl6jkTg7sL4VDNimUm3S9Vi1i95esohXCF3wuKOE8c"", ""'CONSOLIDADO'!G5:AB""), 10, 0) &lt;&gt; 0, 
IFERROR(VLOOKUP($G462,IMPORTRANGE(""https://docs.google.com/spreadsheets/d/1Gpl6jkTg7sL4VDNimU"&amp;"m3S9Vi1i95esohXCF3wuKOE8c"", ""'CONSOLIDADO'!G5:AB""), 19, 0), ""-""),
""""
)"),"https://www.bosch-professional.com/pe/es/products/gsb-185-li-06019K31E0")</f>
        <v>https://www.bosch-professional.com/pe/es/products/gsb-185-li-06019K31E0</v>
      </c>
      <c r="W462" s="37" t="str">
        <f>IFERROR(__xludf.DUMMYFUNCTION("IFERROR(VLOOKUP(G462,IMPORTRANGE(""https://docs.google.com/spreadsheets/d/12RxCea4e5ggM7QGn1XE3FbLQa_-QbCNdBi90OdPjRqg"", ""'Plan de Compras'!D4:Q""), 12, 0), ""NO ESTÁ EN REQ"")"),"Técnica")</f>
        <v>Técnica</v>
      </c>
      <c r="X462" s="37" t="str">
        <f>IFERROR(__xludf.DUMMYFUNCTION("IFERROR(VLOOKUP(G462,IMPORTRANGE(""https://docs.google.com/spreadsheets/d/12RxCea4e5ggM7QGn1XE3FbLQa_-QbCNdBi90OdPjRqg"", ""'Plan de Compras'!D4:Q""), 13, 0), """")"),"NACIONAL")</f>
        <v>NACIONAL</v>
      </c>
      <c r="Y462" s="32" t="str">
        <f>IFERROR(__xludf.DUMMYFUNCTION("IFERROR(VLOOKUP(G462,IMPORTRANGE(""https://docs.google.com/spreadsheets/d/12RxCea4e5ggM7QGn1XE3FbLQa_-QbCNdBi90OdPjRqg"", ""'Plan de Compras'!D4:Q""), 14, 0), """")"),"DIANA")</f>
        <v>DIANA</v>
      </c>
      <c r="Z462" s="38" t="str">
        <f>IFERROR(__xludf.DUMMYFUNCTION("IFERROR(VLOOKUP(G462,IMPORTRANGE(""https://docs.google.com/spreadsheets/d/12RxCea4e5ggM7QGn1XE3FbLQa_-QbCNdBi90OdPjRqg"", ""'Plan de Compras'!D4:Q""), 4, 0), """")"),"TALADRO PORTÁTIL INALÁMBRICO CON SET DE BROCAS")</f>
        <v>TALADRO PORTÁTIL INALÁMBRICO CON SET DE BROCAS</v>
      </c>
      <c r="AA462" s="38" t="str">
        <f t="shared" si="37"/>
        <v>TRUE</v>
      </c>
      <c r="AB462" s="37" t="str">
        <f>IFERROR(__xludf.DUMMYFUNCTION("IFERROR(IF(OR(C462=TRUE,C462=""""),VLOOKUP(G462,IMPORTRANGE(""https://docs.google.com/spreadsheets/d/1z9A1Wq-kKrhRNG5RS2a2fKpY1wIhSVz2ZNmP2mOl588/edit?usp=sharing"",""REQ VF!E4:H""),4,0),""NO APLICA""),""GENERAR REQ"")"),"GENERAR REQ")</f>
        <v>GENERAR REQ</v>
      </c>
      <c r="AC462" s="37" t="str">
        <f>IFERROR(__xludf.DUMMYFUNCTION("IFERROR(QUERY(IMPORTRANGE(""https://docs.google.com/spreadsheets/d/1z9A1Wq-kKrhRNG5RS2a2fKpY1wIhSVz2ZNmP2mOl588/edit?usp=sharing"",""REQ VF!E4:Q""),""SELECT Col10, Col11, Col12 WHERE Col1 = '""&amp;G462&amp;""'"",0),""NO APLICA"")"),"NO APLICA")</f>
        <v>NO APLICA</v>
      </c>
      <c r="AD462" s="37"/>
      <c r="AE462" s="37"/>
      <c r="AF462" s="8" t="s">
        <v>52</v>
      </c>
      <c r="AG462" s="13"/>
    </row>
    <row r="463">
      <c r="A463" s="26">
        <v>216.0</v>
      </c>
      <c r="B463" s="26" t="b">
        <v>1</v>
      </c>
      <c r="C463" s="26" t="b">
        <v>1</v>
      </c>
      <c r="D463" s="26" t="s">
        <v>35</v>
      </c>
      <c r="E463" s="26" t="s">
        <v>36</v>
      </c>
      <c r="F463" s="27" t="s">
        <v>1463</v>
      </c>
      <c r="G463" s="37" t="s">
        <v>1463</v>
      </c>
      <c r="H463" s="45" t="s">
        <v>1464</v>
      </c>
      <c r="I463" s="43">
        <f>SUMIFS('Hoja 10'!$O:$O,'Hoja 10'!$F:$F,$G463)</f>
        <v>12</v>
      </c>
      <c r="J463" s="26">
        <f>IFERROR(__xludf.DUMMYFUNCTION("VLOOKUP(G463,IMPORTRANGE(""https://docs.google.com/spreadsheets/d/12RxCea4e5ggM7QGn1XE3FbLQa_-QbCNdBi90OdPjRqg/edit?gid=1692403370#gid=1692403370"", ""'Plan de Compras'!D4:2432""), 8,0)"),12.0)</f>
        <v>12</v>
      </c>
      <c r="K463" s="26" t="str">
        <f t="shared" si="1"/>
        <v>SI</v>
      </c>
      <c r="L463" s="29" t="s">
        <v>180</v>
      </c>
      <c r="M463" s="30" t="s">
        <v>181</v>
      </c>
      <c r="N463" s="42"/>
      <c r="O463" s="32" t="str">
        <f>VLOOKUP($G463,'Hoja 10'!$F$4:$AA478, 19,0)</f>
        <v>ARDUINO</v>
      </c>
      <c r="P463" s="32" t="str">
        <f>VLOOKUP($G463,'Hoja 10'!$F$4:$AA478, 20,0)</f>
        <v>UNO</v>
      </c>
      <c r="Q463" s="41" t="str">
        <f>VLOOKUP($G463,'Hoja 10'!$F$4:$AA478, 21,0)</f>
        <v>TARJETA O PLATAFORMA DE ELECTRONICA DE CODIGO ABIERTO.pdf</v>
      </c>
      <c r="R463" s="30" t="s">
        <v>1465</v>
      </c>
      <c r="S463" s="34" t="b">
        <v>1</v>
      </c>
      <c r="T463" s="35" t="str">
        <f>IFERROR(__xludf.DUMMYFUNCTION(" IF
( VLOOKUP($G463,IMPORTRANGE(""https://docs.google.com/spreadsheets/d/1Gpl6jkTg7sL4VDNimUm3S9Vi1i95esohXCF3wuKOE8c"", ""'CONSOLIDADO'!G5:AB""), 10, 0) &lt;&gt; 0, 
IFERROR(VLOOKUP($G463,IMPORTRANGE(""https://docs.google.com/spreadsheets/d/1Gpl6jkTg7sL4VDNimU"&amp;"m3S9Vi1i95esohXCF3wuKOE8c"", ""'CONSOLIDADO'!G5:AB""), 17, 0), ""-""),
""""
)"),"ARDUINO")</f>
        <v>ARDUINO</v>
      </c>
      <c r="U463" s="35" t="str">
        <f>IFERROR(__xludf.DUMMYFUNCTION(" IF
( VLOOKUP($G463,IMPORTRANGE(""https://docs.google.com/spreadsheets/d/1Gpl6jkTg7sL4VDNimUm3S9Vi1i95esohXCF3wuKOE8c"", ""'CONSOLIDADO'!G5:AB""), 10, 0) &lt;&gt; 0, 
IFERROR(VLOOKUP($G463,IMPORTRANGE(""https://docs.google.com/spreadsheets/d/1Gpl6jkTg7sL4VDNimU"&amp;"m3S9Vi1i95esohXCF3wuKOE8c"", ""'CONSOLIDADO'!G5:AB""), 18, 0), ""-""),
""""
)"),"UNO R3 ATMEGA328P")</f>
        <v>UNO R3 ATMEGA328P</v>
      </c>
      <c r="V463" s="36" t="str">
        <f>IFERROR(__xludf.DUMMYFUNCTION(" IF
( VLOOKUP($G463,IMPORTRANGE(""https://docs.google.com/spreadsheets/d/1Gpl6jkTg7sL4VDNimUm3S9Vi1i95esohXCF3wuKOE8c"", ""'CONSOLIDADO'!G5:AB""), 10, 0) &lt;&gt; 0, 
IFERROR(VLOOKUP($G463,IMPORTRANGE(""https://docs.google.com/spreadsheets/d/1Gpl6jkTg7sL4VDNimU"&amp;"m3S9Vi1i95esohXCF3wuKOE8c"", ""'CONSOLIDADO'!G5:AB""), 19, 0), ""-""),
""""
)"),"https://docs.arduino.cc/hardware/uno-rev3/#features")</f>
        <v>https://docs.arduino.cc/hardware/uno-rev3/#features</v>
      </c>
      <c r="W463" s="37" t="str">
        <f>IFERROR(__xludf.DUMMYFUNCTION("IFERROR(VLOOKUP(G463,IMPORTRANGE(""https://docs.google.com/spreadsheets/d/12RxCea4e5ggM7QGn1XE3FbLQa_-QbCNdBi90OdPjRqg"", ""'Plan de Compras'!D4:Q""), 12, 0), ""NO ESTÁ EN REQ"")"),"Técnica")</f>
        <v>Técnica</v>
      </c>
      <c r="X463" s="37" t="str">
        <f>IFERROR(__xludf.DUMMYFUNCTION("IFERROR(VLOOKUP(G463,IMPORTRANGE(""https://docs.google.com/spreadsheets/d/12RxCea4e5ggM7QGn1XE3FbLQa_-QbCNdBi90OdPjRqg"", ""'Plan de Compras'!D4:Q""), 13, 0), """")"),"INTERNACIONAL")</f>
        <v>INTERNACIONAL</v>
      </c>
      <c r="Y463" s="32" t="str">
        <f>IFERROR(__xludf.DUMMYFUNCTION("IFERROR(VLOOKUP(G463,IMPORTRANGE(""https://docs.google.com/spreadsheets/d/12RxCea4e5ggM7QGn1XE3FbLQa_-QbCNdBi90OdPjRqg"", ""'Plan de Compras'!D4:Q""), 14, 0), """")"),"VICTOR")</f>
        <v>VICTOR</v>
      </c>
      <c r="Z463" s="38" t="str">
        <f>IFERROR(__xludf.DUMMYFUNCTION("IFERROR(VLOOKUP(G463,IMPORTRANGE(""https://docs.google.com/spreadsheets/d/12RxCea4e5ggM7QGn1XE3FbLQa_-QbCNdBi90OdPjRqg"", ""'Plan de Compras'!D4:Q""), 4, 0), """")"),"TARJETA O PLATAFORMA DE ELECTRÓNICA DE CÓDIGO ABIERTO")</f>
        <v>TARJETA O PLATAFORMA DE ELECTRÓNICA DE CÓDIGO ABIERTO</v>
      </c>
      <c r="AA463" s="38" t="str">
        <f t="shared" si="37"/>
        <v>TRUE</v>
      </c>
      <c r="AB463" s="37" t="str">
        <f>IFERROR(__xludf.DUMMYFUNCTION("IFERROR(IF(OR(C463=TRUE,C463=""""),VLOOKUP(G463,IMPORTRANGE(""https://docs.google.com/spreadsheets/d/1z9A1Wq-kKrhRNG5RS2a2fKpY1wIhSVz2ZNmP2mOl588/edit?usp=sharing"",""REQ VF!E4:H""),4,0),""NO APLICA""),""GENERAR REQ"")"),"GENERAR REQ")</f>
        <v>GENERAR REQ</v>
      </c>
      <c r="AC463" s="37" t="str">
        <f>IFERROR(__xludf.DUMMYFUNCTION("IFERROR(QUERY(IMPORTRANGE(""https://docs.google.com/spreadsheets/d/1z9A1Wq-kKrhRNG5RS2a2fKpY1wIhSVz2ZNmP2mOl588/edit?usp=sharing"",""REQ VF!E4:Q""),""SELECT Col10, Col11, Col12 WHERE Col1 = '""&amp;G463&amp;""'"",0),""NO APLICA"")"),"NO APLICA")</f>
        <v>NO APLICA</v>
      </c>
      <c r="AD463" s="37"/>
      <c r="AE463" s="37"/>
      <c r="AF463" s="13"/>
      <c r="AG463" s="13"/>
    </row>
    <row r="464">
      <c r="A464" s="26">
        <v>217.0</v>
      </c>
      <c r="B464" s="26" t="b">
        <v>1</v>
      </c>
      <c r="C464" s="26" t="b">
        <v>1</v>
      </c>
      <c r="D464" s="26" t="s">
        <v>35</v>
      </c>
      <c r="E464" s="26" t="s">
        <v>36</v>
      </c>
      <c r="F464" s="27" t="s">
        <v>1466</v>
      </c>
      <c r="G464" s="37" t="s">
        <v>1466</v>
      </c>
      <c r="H464" s="45" t="s">
        <v>1467</v>
      </c>
      <c r="I464" s="43">
        <f>SUMIFS('Hoja 10'!$O:$O,'Hoja 10'!$F:$F,$G464)</f>
        <v>12</v>
      </c>
      <c r="J464" s="26">
        <f>IFERROR(__xludf.DUMMYFUNCTION("VLOOKUP(G464,IMPORTRANGE(""https://docs.google.com/spreadsheets/d/12RxCea4e5ggM7QGn1XE3FbLQa_-QbCNdBi90OdPjRqg/edit?gid=1692403370#gid=1692403370"", ""'Plan de Compras'!D4:2432""), 8,0)"),12.0)</f>
        <v>12</v>
      </c>
      <c r="K464" s="26" t="str">
        <f t="shared" si="1"/>
        <v>SI</v>
      </c>
      <c r="L464" s="29" t="s">
        <v>180</v>
      </c>
      <c r="M464" s="30" t="s">
        <v>181</v>
      </c>
      <c r="N464" s="42"/>
      <c r="O464" s="32" t="str">
        <f>VLOOKUP($G464,'Hoja 10'!$F$4:$AA478, 19,0)</f>
        <v>SEW</v>
      </c>
      <c r="P464" s="32" t="str">
        <f>VLOOKUP($G464,'Hoja 10'!$F$4:$AA478, 20,0)</f>
        <v> 4235 ES</v>
      </c>
      <c r="Q464" s="33" t="str">
        <f>VLOOKUP($G464,'Hoja 10'!$F$4:$AA478, 21,0)</f>
        <v>https://radiosurtidora.com/products/medidor-de-resistencia-de-tierras-sew-4235-er</v>
      </c>
      <c r="R464" s="30" t="s">
        <v>1468</v>
      </c>
      <c r="S464" s="34" t="b">
        <v>1</v>
      </c>
      <c r="T464" s="35" t="str">
        <f>IFERROR(__xludf.DUMMYFUNCTION(" IF
( VLOOKUP($G464,IMPORTRANGE(""https://docs.google.com/spreadsheets/d/1Gpl6jkTg7sL4VDNimUm3S9Vi1i95esohXCF3wuKOE8c"", ""'CONSOLIDADO'!G5:AB""), 10, 0) &lt;&gt; 0, 
IFERROR(VLOOKUP($G464,IMPORTRANGE(""https://docs.google.com/spreadsheets/d/1Gpl6jkTg7sL4VDNimU"&amp;"m3S9Vi1i95esohXCF3wuKOE8c"", ""'CONSOLIDADO'!G5:AB""), 17, 0), ""-""),
""""
)"),"SEW")</f>
        <v>SEW</v>
      </c>
      <c r="U464" s="35" t="str">
        <f>IFERROR(__xludf.DUMMYFUNCTION(" IF
( VLOOKUP($G464,IMPORTRANGE(""https://docs.google.com/spreadsheets/d/1Gpl6jkTg7sL4VDNimUm3S9Vi1i95esohXCF3wuKOE8c"", ""'CONSOLIDADO'!G5:AB""), 10, 0) &lt;&gt; 0, 
IFERROR(VLOOKUP($G464,IMPORTRANGE(""https://docs.google.com/spreadsheets/d/1Gpl6jkTg7sL4VDNimU"&amp;"m3S9Vi1i95esohXCF3wuKOE8c"", ""'CONSOLIDADO'!G5:AB""), 18, 0), ""-""),
""""
)"),"4236 ER")</f>
        <v>4236 ER</v>
      </c>
      <c r="V464" s="36" t="str">
        <f>IFERROR(__xludf.DUMMYFUNCTION(" IF
( VLOOKUP($G464,IMPORTRANGE(""https://docs.google.com/spreadsheets/d/1Gpl6jkTg7sL4VDNimUm3S9Vi1i95esohXCF3wuKOE8c"", ""'CONSOLIDADO'!G5:AB""), 10, 0) &lt;&gt; 0, 
IFERROR(VLOOKUP($G464,IMPORTRANGE(""https://docs.google.com/spreadsheets/d/1Gpl6jkTg7sL4VDNimU"&amp;"m3S9Vi1i95esohXCF3wuKOE8c"", ""'CONSOLIDADO'!G5:AB""), 19, 0), ""-""),
""""
)"),"https://www.sew.com.tw/m/2001-1971-202436,c6681-1.php?Lang=en")</f>
        <v>https://www.sew.com.tw/m/2001-1971-202436,c6681-1.php?Lang=en</v>
      </c>
      <c r="W464" s="37" t="str">
        <f>IFERROR(__xludf.DUMMYFUNCTION("IFERROR(VLOOKUP(G464,IMPORTRANGE(""https://docs.google.com/spreadsheets/d/12RxCea4e5ggM7QGn1XE3FbLQa_-QbCNdBi90OdPjRqg"", ""'Plan de Compras'!D4:Q""), 12, 0), ""NO ESTÁ EN REQ"")"),"Técnica")</f>
        <v>Técnica</v>
      </c>
      <c r="X464" s="37" t="str">
        <f>IFERROR(__xludf.DUMMYFUNCTION("IFERROR(VLOOKUP(G464,IMPORTRANGE(""https://docs.google.com/spreadsheets/d/12RxCea4e5ggM7QGn1XE3FbLQa_-QbCNdBi90OdPjRqg"", ""'Plan de Compras'!D4:Q""), 13, 0), """")"),"INTERNACIONAL")</f>
        <v>INTERNACIONAL</v>
      </c>
      <c r="Y464" s="32" t="str">
        <f>IFERROR(__xludf.DUMMYFUNCTION("IFERROR(VLOOKUP(G464,IMPORTRANGE(""https://docs.google.com/spreadsheets/d/12RxCea4e5ggM7QGn1XE3FbLQa_-QbCNdBi90OdPjRqg"", ""'Plan de Compras'!D4:Q""), 14, 0), """")"),"DIEGO ")</f>
        <v>DIEGO </v>
      </c>
      <c r="Z464" s="38" t="str">
        <f>IFERROR(__xludf.DUMMYFUNCTION("IFERROR(VLOOKUP(G464,IMPORTRANGE(""https://docs.google.com/spreadsheets/d/12RxCea4e5ggM7QGn1XE3FbLQa_-QbCNdBi90OdPjRqg"", ""'Plan de Compras'!D4:Q""), 4, 0), """")"),"TELURÓMETRO DIGITAL")</f>
        <v>TELURÓMETRO DIGITAL</v>
      </c>
      <c r="AA464" s="38" t="str">
        <f t="shared" si="37"/>
        <v>TRUE</v>
      </c>
      <c r="AB464" s="37" t="str">
        <f>IFERROR(__xludf.DUMMYFUNCTION("IFERROR(IF(OR(C464=TRUE,C464=""""),VLOOKUP(G464,IMPORTRANGE(""https://docs.google.com/spreadsheets/d/1z9A1Wq-kKrhRNG5RS2a2fKpY1wIhSVz2ZNmP2mOl588/edit?usp=sharing"",""REQ VF!E4:H""),4,0),""NO APLICA""),""GENERAR REQ"")"),"GENERAR REQ")</f>
        <v>GENERAR REQ</v>
      </c>
      <c r="AC464" s="37" t="str">
        <f>IFERROR(__xludf.DUMMYFUNCTION("IFERROR(QUERY(IMPORTRANGE(""https://docs.google.com/spreadsheets/d/1z9A1Wq-kKrhRNG5RS2a2fKpY1wIhSVz2ZNmP2mOl588/edit?usp=sharing"",""REQ VF!E4:Q""),""SELECT Col10, Col11, Col12 WHERE Col1 = '""&amp;G464&amp;""'"",0),""NO APLICA"")"),"NO APLICA")</f>
        <v>NO APLICA</v>
      </c>
      <c r="AD464" s="37"/>
      <c r="AE464" s="37"/>
      <c r="AF464" s="13"/>
      <c r="AG464" s="13"/>
    </row>
    <row r="465">
      <c r="A465" s="26"/>
      <c r="B465" s="26"/>
      <c r="C465" s="26" t="b">
        <v>1</v>
      </c>
      <c r="D465" s="98" t="s">
        <v>42</v>
      </c>
      <c r="E465" s="98" t="s">
        <v>36</v>
      </c>
      <c r="F465" s="107" t="s">
        <v>1466</v>
      </c>
      <c r="G465" s="39" t="s">
        <v>1469</v>
      </c>
      <c r="H465" s="49" t="s">
        <v>1470</v>
      </c>
      <c r="I465" s="43">
        <f>1*I464</f>
        <v>12</v>
      </c>
      <c r="J465" s="26">
        <f>IFERROR(__xludf.DUMMYFUNCTION("VLOOKUP(G465,IMPORTRANGE(""https://docs.google.com/spreadsheets/d/12RxCea4e5ggM7QGn1XE3FbLQa_-QbCNdBi90OdPjRqg/edit?gid=1692403370#gid=1692403370"", ""'Plan de Compras'!D4:2432""), 8,0)"),12.0)</f>
        <v>12</v>
      </c>
      <c r="K465" s="26" t="str">
        <f t="shared" si="1"/>
        <v>SI</v>
      </c>
      <c r="L465" s="29"/>
      <c r="M465" s="61"/>
      <c r="N465" s="51"/>
      <c r="O465" s="32"/>
      <c r="P465" s="32"/>
      <c r="Q465" s="41"/>
      <c r="R465" s="61"/>
      <c r="S465" s="34" t="b">
        <v>0</v>
      </c>
      <c r="T465" s="35"/>
      <c r="U465" s="35"/>
      <c r="V465" s="35"/>
      <c r="W465" s="37" t="str">
        <f>IFERROR(__xludf.DUMMYFUNCTION("IFERROR(VLOOKUP(G465,IMPORTRANGE(""https://docs.google.com/spreadsheets/d/12RxCea4e5ggM7QGn1XE3FbLQa_-QbCNdBi90OdPjRqg"", ""'Plan de Compras'!D4:Q""), 12, 0), ""NO ESTÁ EN REQ"")"),"Técnica")</f>
        <v>Técnica</v>
      </c>
      <c r="X465" s="37" t="str">
        <f>IFERROR(__xludf.DUMMYFUNCTION("IFERROR(VLOOKUP(G465,IMPORTRANGE(""https://docs.google.com/spreadsheets/d/12RxCea4e5ggM7QGn1XE3FbLQa_-QbCNdBi90OdPjRqg"", ""'Plan de Compras'!D4:Q""), 13, 0), """")"),"NACIONAL")</f>
        <v>NACIONAL</v>
      </c>
      <c r="Y465" s="32" t="str">
        <f>IFERROR(__xludf.DUMMYFUNCTION("IFERROR(VLOOKUP(G465,IMPORTRANGE(""https://docs.google.com/spreadsheets/d/12RxCea4e5ggM7QGn1XE3FbLQa_-QbCNdBi90OdPjRqg"", ""'Plan de Compras'!D4:Q""), 14, 0), """")"),"DEYANIRA")</f>
        <v>DEYANIRA</v>
      </c>
      <c r="Z465" s="38" t="str">
        <f>IFERROR(__xludf.DUMMYFUNCTION("IFERROR(VLOOKUP(G465,IMPORTRANGE(""https://docs.google.com/spreadsheets/d/12RxCea4e5ggM7QGn1XE3FbLQa_-QbCNdBi90OdPjRqg"", ""'Plan de Compras'!D4:Q""), 4, 0), """")"),"SOPORTE INCLINADO (1 UND)")</f>
        <v>SOPORTE INCLINADO (1 UND)</v>
      </c>
      <c r="AA465" s="38" t="str">
        <f t="shared" si="37"/>
        <v>TRUE</v>
      </c>
      <c r="AB465" s="37" t="str">
        <f>IFERROR(__xludf.DUMMYFUNCTION("IFERROR(IF(OR(C465=TRUE,C465=""""),VLOOKUP(G465,IMPORTRANGE(""https://docs.google.com/spreadsheets/d/1z9A1Wq-kKrhRNG5RS2a2fKpY1wIhSVz2ZNmP2mOl588/edit?usp=sharing"",""REQ VF!E4:H""),4,0),""NO APLICA""),""GENERAR REQ"")"),"GENERAR REQ")</f>
        <v>GENERAR REQ</v>
      </c>
      <c r="AC465" s="37" t="str">
        <f>IFERROR(__xludf.DUMMYFUNCTION("IFERROR(QUERY(IMPORTRANGE(""https://docs.google.com/spreadsheets/d/1z9A1Wq-kKrhRNG5RS2a2fKpY1wIhSVz2ZNmP2mOl588/edit?usp=sharing"",""REQ VF!E4:Q""),""SELECT Col10, Col11, Col12 WHERE Col1 = '""&amp;G465&amp;""'"",0),""NO APLICA"")"),"NO APLICA")</f>
        <v>NO APLICA</v>
      </c>
      <c r="AD465" s="37"/>
      <c r="AE465" s="37"/>
      <c r="AF465" s="8"/>
      <c r="AG465" s="13"/>
    </row>
    <row r="466">
      <c r="A466" s="26"/>
      <c r="B466" s="26" t="b">
        <v>0</v>
      </c>
      <c r="C466" s="26" t="b">
        <v>0</v>
      </c>
      <c r="D466" s="98" t="s">
        <v>42</v>
      </c>
      <c r="E466" s="98" t="s">
        <v>36</v>
      </c>
      <c r="F466" s="107" t="s">
        <v>1471</v>
      </c>
      <c r="G466" s="39" t="s">
        <v>1472</v>
      </c>
      <c r="H466" s="49" t="s">
        <v>176</v>
      </c>
      <c r="I466" s="43">
        <f>1*I464</f>
        <v>12</v>
      </c>
      <c r="J466" s="26" t="str">
        <f>IFERROR(__xludf.DUMMYFUNCTION("VLOOKUP(G466,IMPORTRANGE(""https://docs.google.com/spreadsheets/d/12RxCea4e5ggM7QGn1XE3FbLQa_-QbCNdBi90OdPjRqg/edit?gid=1692403370#gid=1692403370"", ""'Plan de Compras'!D4:2432""), 8,0)"),"#N/A")</f>
        <v>#N/A</v>
      </c>
      <c r="K466" s="26" t="str">
        <f t="shared" si="1"/>
        <v>-</v>
      </c>
      <c r="L466" s="29"/>
      <c r="M466" s="61"/>
      <c r="N466" s="51"/>
      <c r="O466" s="32"/>
      <c r="P466" s="32"/>
      <c r="Q466" s="41"/>
      <c r="R466" s="61"/>
      <c r="S466" s="34" t="b">
        <v>0</v>
      </c>
      <c r="T466" s="35"/>
      <c r="U466" s="35"/>
      <c r="V466" s="35"/>
      <c r="W466" s="37"/>
      <c r="X466" s="37"/>
      <c r="Y466" s="32"/>
      <c r="Z466" s="38"/>
      <c r="AA466" s="38" t="str">
        <f t="shared" si="37"/>
        <v>FALSE</v>
      </c>
      <c r="AB466" s="37" t="str">
        <f>IFERROR(__xludf.DUMMYFUNCTION("IFERROR(IF(OR(C466=TRUE,C466=""""),VLOOKUP(G466,IMPORTRANGE(""https://docs.google.com/spreadsheets/d/1z9A1Wq-kKrhRNG5RS2a2fKpY1wIhSVz2ZNmP2mOl588/edit?usp=sharing"",""REQ VF!E4:H""),4,0),""NO APLICA""),""GENERAR REQ"")"),"NO APLICA")</f>
        <v>NO APLICA</v>
      </c>
      <c r="AC466" s="37" t="str">
        <f>IFERROR(__xludf.DUMMYFUNCTION("IFERROR(QUERY(IMPORTRANGE(""https://docs.google.com/spreadsheets/d/1z9A1Wq-kKrhRNG5RS2a2fKpY1wIhSVz2ZNmP2mOl588/edit?usp=sharing"",""REQ VF!E4:Q""),""SELECT Col10, Col11, Col12 WHERE Col1 = '""&amp;G466&amp;""'"",0),""NO APLICA"")"),"NO APLICA")</f>
        <v>NO APLICA</v>
      </c>
      <c r="AD466" s="37"/>
      <c r="AE466" s="37"/>
      <c r="AF466" s="8"/>
      <c r="AG466" s="13"/>
    </row>
    <row r="467">
      <c r="A467" s="26">
        <v>218.0</v>
      </c>
      <c r="B467" s="26" t="b">
        <v>1</v>
      </c>
      <c r="C467" s="26" t="b">
        <v>1</v>
      </c>
      <c r="D467" s="48" t="s">
        <v>35</v>
      </c>
      <c r="E467" s="48" t="s">
        <v>36</v>
      </c>
      <c r="F467" s="96" t="s">
        <v>1473</v>
      </c>
      <c r="G467" s="107" t="s">
        <v>1473</v>
      </c>
      <c r="H467" s="108" t="s">
        <v>1474</v>
      </c>
      <c r="I467" s="43">
        <f>SUMIFS('Hoja 10'!$O:$O,'Hoja 10'!$F:$F,$G467)</f>
        <v>4</v>
      </c>
      <c r="J467" s="26">
        <f>IFERROR(__xludf.DUMMYFUNCTION("VLOOKUP(G467,IMPORTRANGE(""https://docs.google.com/spreadsheets/d/12RxCea4e5ggM7QGn1XE3FbLQa_-QbCNdBi90OdPjRqg/edit?gid=1692403370#gid=1692403370"", ""'Plan de Compras'!D4:2432""), 8,0)"),4.0)</f>
        <v>4</v>
      </c>
      <c r="K467" s="26" t="str">
        <f t="shared" si="1"/>
        <v>SI</v>
      </c>
      <c r="L467" s="29" t="s">
        <v>39</v>
      </c>
      <c r="M467" s="30" t="s">
        <v>40</v>
      </c>
      <c r="N467" s="51"/>
      <c r="O467" s="32" t="str">
        <f>VLOOKUP($G467,'Hoja 10'!$F$4:$AA478, 19,0)</f>
        <v>INOXOR</v>
      </c>
      <c r="P467" s="32" t="str">
        <f>VLOOKUP($G467,'Hoja 10'!$F$4:$AA478, 20,0)</f>
        <v>TQ-30</v>
      </c>
      <c r="Q467" s="41" t="str">
        <f>VLOOKUP($G467,'Hoja 10'!$F$4:$AA478, 21,0)</f>
        <v>TINA QUESERA A GAS_FT.pdf</v>
      </c>
      <c r="R467" s="30" t="s">
        <v>1475</v>
      </c>
      <c r="S467" s="34" t="b">
        <v>1</v>
      </c>
      <c r="T467" s="35" t="str">
        <f>IFERROR(__xludf.DUMMYFUNCTION(" IF
( VLOOKUP($G467,IMPORTRANGE(""https://docs.google.com/spreadsheets/d/1Gpl6jkTg7sL4VDNimUm3S9Vi1i95esohXCF3wuKOE8c"", ""'CONSOLIDADO'!G5:AB""), 10, 0) &lt;&gt; 0, 
IFERROR(VLOOKUP($G467,IMPORTRANGE(""https://docs.google.com/spreadsheets/d/1Gpl6jkTg7sL4VDNimU"&amp;"m3S9Vi1i95esohXCF3wuKOE8c"", ""'CONSOLIDADO'!G5:AB""), 17, 0), ""-""),
""""
)"),"INOXOR")</f>
        <v>INOXOR</v>
      </c>
      <c r="U467" s="35" t="str">
        <f>IFERROR(__xludf.DUMMYFUNCTION(" IF
( VLOOKUP($G467,IMPORTRANGE(""https://docs.google.com/spreadsheets/d/1Gpl6jkTg7sL4VDNimUm3S9Vi1i95esohXCF3wuKOE8c"", ""'CONSOLIDADO'!G5:AB""), 10, 0) &lt;&gt; 0, 
IFERROR(VLOOKUP($G467,IMPORTRANGE(""https://docs.google.com/spreadsheets/d/1Gpl6jkTg7sL4VDNimU"&amp;"m3S9Vi1i95esohXCF3wuKOE8c"", ""'CONSOLIDADO'!G5:AB""), 18, 0), ""-""),
""""
)"),"TQ-30")</f>
        <v>TQ-30</v>
      </c>
      <c r="V467" s="36" t="str">
        <f>IFERROR(__xludf.DUMMYFUNCTION(" IF
( VLOOKUP($G467,IMPORTRANGE(""https://docs.google.com/spreadsheets/d/1Gpl6jkTg7sL4VDNimUm3S9Vi1i95esohXCF3wuKOE8c"", ""'CONSOLIDADO'!G5:AB""), 10, 0) &lt;&gt; 0, 
IFERROR(VLOOKUP($G467,IMPORTRANGE(""https://docs.google.com/spreadsheets/d/1Gpl6jkTg7sL4VDNimU"&amp;"m3S9Vi1i95esohXCF3wuKOE8c"", ""'CONSOLIDADO'!G5:AB""), 19, 0), ""-""),
""""
)"),"https://drive.google.com/file/d/1eIXLDuAmX5Mk0XGOd6I8j7LXhu6Tggto/view?usp=sharing")</f>
        <v>https://drive.google.com/file/d/1eIXLDuAmX5Mk0XGOd6I8j7LXhu6Tggto/view?usp=sharing</v>
      </c>
      <c r="W467" s="37" t="str">
        <f>IFERROR(__xludf.DUMMYFUNCTION("IFERROR(VLOOKUP(G467,IMPORTRANGE(""https://docs.google.com/spreadsheets/d/12RxCea4e5ggM7QGn1XE3FbLQa_-QbCNdBi90OdPjRqg"", ""'Plan de Compras'!D4:Q""), 12, 0), ""NO ESTÁ EN REQ"")"),"Técnica")</f>
        <v>Técnica</v>
      </c>
      <c r="X467" s="37" t="str">
        <f>IFERROR(__xludf.DUMMYFUNCTION("IFERROR(VLOOKUP(G467,IMPORTRANGE(""https://docs.google.com/spreadsheets/d/12RxCea4e5ggM7QGn1XE3FbLQa_-QbCNdBi90OdPjRqg"", ""'Plan de Compras'!D4:Q""), 13, 0), """")"),"NACIONAL")</f>
        <v>NACIONAL</v>
      </c>
      <c r="Y467" s="32" t="str">
        <f>IFERROR(__xludf.DUMMYFUNCTION("IFERROR(VLOOKUP(G467,IMPORTRANGE(""https://docs.google.com/spreadsheets/d/12RxCea4e5ggM7QGn1XE3FbLQa_-QbCNdBi90OdPjRqg"", ""'Plan de Compras'!D4:Q""), 14, 0), """")"),"ALFIO")</f>
        <v>ALFIO</v>
      </c>
      <c r="Z467" s="38" t="str">
        <f>IFERROR(__xludf.DUMMYFUNCTION("IFERROR(VLOOKUP(G467,IMPORTRANGE(""https://docs.google.com/spreadsheets/d/12RxCea4e5ggM7QGn1XE3FbLQa_-QbCNdBi90OdPjRqg"", ""'Plan de Compras'!D4:Q""), 4, 0), """")"),"TINA QUESERA A GAS")</f>
        <v>TINA QUESERA A GAS</v>
      </c>
      <c r="AA467" s="38" t="str">
        <f t="shared" si="37"/>
        <v>TRUE</v>
      </c>
      <c r="AB467" s="37" t="str">
        <f>IFERROR(__xludf.DUMMYFUNCTION("IFERROR(IF(OR(C467=TRUE,C467=""""),VLOOKUP(G467,IMPORTRANGE(""https://docs.google.com/spreadsheets/d/1z9A1Wq-kKrhRNG5RS2a2fKpY1wIhSVz2ZNmP2mOl588/edit?usp=sharing"",""REQ VF!E4:H""),4,0),""NO APLICA""),""GENERAR REQ"")"),"GENERAR REQ")</f>
        <v>GENERAR REQ</v>
      </c>
      <c r="AC467" s="37" t="str">
        <f>IFERROR(__xludf.DUMMYFUNCTION("IFERROR(QUERY(IMPORTRANGE(""https://docs.google.com/spreadsheets/d/1z9A1Wq-kKrhRNG5RS2a2fKpY1wIhSVz2ZNmP2mOl588/edit?usp=sharing"",""REQ VF!E4:Q""),""SELECT Col10, Col11, Col12 WHERE Col1 = '""&amp;G467&amp;""'"",0),""NO APLICA"")"),"NO APLICA")</f>
        <v>NO APLICA</v>
      </c>
      <c r="AD467" s="37"/>
      <c r="AE467" s="37"/>
      <c r="AF467" s="8" t="s">
        <v>52</v>
      </c>
      <c r="AG467" s="13"/>
    </row>
    <row r="468">
      <c r="A468" s="26">
        <v>219.0</v>
      </c>
      <c r="B468" s="26" t="b">
        <v>1</v>
      </c>
      <c r="C468" s="26" t="b">
        <v>1</v>
      </c>
      <c r="D468" s="26" t="s">
        <v>35</v>
      </c>
      <c r="E468" s="26" t="s">
        <v>36</v>
      </c>
      <c r="F468" s="27" t="s">
        <v>1476</v>
      </c>
      <c r="G468" s="37" t="s">
        <v>1476</v>
      </c>
      <c r="H468" s="45" t="s">
        <v>1477</v>
      </c>
      <c r="I468" s="43">
        <f>SUMIFS('Hoja 10'!$O:$O,'Hoja 10'!$F:$F,$G468)</f>
        <v>5</v>
      </c>
      <c r="J468" s="26">
        <f>IFERROR(__xludf.DUMMYFUNCTION("VLOOKUP(G468,IMPORTRANGE(""https://docs.google.com/spreadsheets/d/12RxCea4e5ggM7QGn1XE3FbLQa_-QbCNdBi90OdPjRqg/edit?gid=1692403370#gid=1692403370"", ""'Plan de Compras'!D4:2432""), 8,0)"),5.0)</f>
        <v>5</v>
      </c>
      <c r="K468" s="26" t="str">
        <f t="shared" si="1"/>
        <v>SI</v>
      </c>
      <c r="L468" s="29" t="s">
        <v>296</v>
      </c>
      <c r="M468" s="30" t="s">
        <v>297</v>
      </c>
      <c r="N468" s="42"/>
      <c r="O468" s="32" t="str">
        <f>VLOOKUP($G468,'Hoja 10'!$F$4:$AA478, 19,0)</f>
        <v>HOLZSTAR</v>
      </c>
      <c r="P468" s="32" t="str">
        <f>VLOOKUP($G468,'Hoja 10'!$F$4:$AA478, 20,0)</f>
        <v>DB 900</v>
      </c>
      <c r="Q468" s="33" t="str">
        <f>VLOOKUP($G468,'Hoja 10'!$F$4:$AA478, 21,0)</f>
        <v>https://www.aslak.es/madera/5920900-torno-para-madera-db-900.html</v>
      </c>
      <c r="R468" s="30" t="s">
        <v>1478</v>
      </c>
      <c r="S468" s="34" t="b">
        <v>1</v>
      </c>
      <c r="T468" s="35" t="str">
        <f>IFERROR(__xludf.DUMMYFUNCTION(" IF
( VLOOKUP($G468,IMPORTRANGE(""https://docs.google.com/spreadsheets/d/1Gpl6jkTg7sL4VDNimUm3S9Vi1i95esohXCF3wuKOE8c"", ""'CONSOLIDADO'!G5:AB""), 10, 0) &lt;&gt; 0, 
IFERROR(VLOOKUP($G468,IMPORTRANGE(""https://docs.google.com/spreadsheets/d/1Gpl6jkTg7sL4VDNimU"&amp;"m3S9Vi1i95esohXCF3wuKOE8c"", ""'CONSOLIDADO'!G5:AB""), 17, 0), ""-""),
""""
)"),"HOLZSTAR")</f>
        <v>HOLZSTAR</v>
      </c>
      <c r="U468" s="35" t="str">
        <f>IFERROR(__xludf.DUMMYFUNCTION(" IF
( VLOOKUP($G468,IMPORTRANGE(""https://docs.google.com/spreadsheets/d/1Gpl6jkTg7sL4VDNimUm3S9Vi1i95esohXCF3wuKOE8c"", ""'CONSOLIDADO'!G5:AB""), 10, 0) &lt;&gt; 0, 
IFERROR(VLOOKUP($G468,IMPORTRANGE(""https://docs.google.com/spreadsheets/d/1Gpl6jkTg7sL4VDNimU"&amp;"m3S9Vi1i95esohXCF3wuKOE8c"", ""'CONSOLIDADO'!G5:AB""), 18, 0), ""-""),
""""
)"),"DB 900")</f>
        <v>DB 900</v>
      </c>
      <c r="V468" s="36" t="str">
        <f>IFERROR(__xludf.DUMMYFUNCTION(" IF
( VLOOKUP($G468,IMPORTRANGE(""https://docs.google.com/spreadsheets/d/1Gpl6jkTg7sL4VDNimUm3S9Vi1i95esohXCF3wuKOE8c"", ""'CONSOLIDADO'!G5:AB""), 10, 0) &lt;&gt; 0, 
IFERROR(VLOOKUP($G468,IMPORTRANGE(""https://docs.google.com/spreadsheets/d/1Gpl6jkTg7sL4VDNimU"&amp;"m3S9Vi1i95esohXCF3wuKOE8c"", ""'CONSOLIDADO'!G5:AB""), 19, 0), ""-""),
""""
)"),"https://www.aslak.es/madera/5920900-torno-para-madera-db-900.html")</f>
        <v>https://www.aslak.es/madera/5920900-torno-para-madera-db-900.html</v>
      </c>
      <c r="W468" s="37" t="str">
        <f>IFERROR(__xludf.DUMMYFUNCTION("IFERROR(VLOOKUP(G468,IMPORTRANGE(""https://docs.google.com/spreadsheets/d/12RxCea4e5ggM7QGn1XE3FbLQa_-QbCNdBi90OdPjRqg"", ""'Plan de Compras'!D4:Q""), 12, 0), ""NO ESTÁ EN REQ"")"),"Técnica")</f>
        <v>Técnica</v>
      </c>
      <c r="X468" s="37" t="str">
        <f>IFERROR(__xludf.DUMMYFUNCTION("IFERROR(VLOOKUP(G468,IMPORTRANGE(""https://docs.google.com/spreadsheets/d/12RxCea4e5ggM7QGn1XE3FbLQa_-QbCNdBi90OdPjRqg"", ""'Plan de Compras'!D4:Q""), 13, 0), """")"),"INTERNACIONAL")</f>
        <v>INTERNACIONAL</v>
      </c>
      <c r="Y468" s="32" t="str">
        <f>IFERROR(__xludf.DUMMYFUNCTION("IFERROR(VLOOKUP(G468,IMPORTRANGE(""https://docs.google.com/spreadsheets/d/12RxCea4e5ggM7QGn1XE3FbLQa_-QbCNdBi90OdPjRqg"", ""'Plan de Compras'!D4:Q""), 14, 0), """")"),"GEYDI")</f>
        <v>GEYDI</v>
      </c>
      <c r="Z468" s="38" t="str">
        <f>IFERROR(__xludf.DUMMYFUNCTION("IFERROR(VLOOKUP(G468,IMPORTRANGE(""https://docs.google.com/spreadsheets/d/12RxCea4e5ggM7QGn1XE3FbLQa_-QbCNdBi90OdPjRqg"", ""'Plan de Compras'!D4:Q""), 4, 0), """")"),"TORNO DE MADERA DE 90 CM ENTRE PUNTAS")</f>
        <v>TORNO DE MADERA DE 90 CM ENTRE PUNTAS</v>
      </c>
      <c r="AA468" s="38" t="str">
        <f t="shared" si="37"/>
        <v>TRUE</v>
      </c>
      <c r="AB468" s="37" t="str">
        <f>IFERROR(__xludf.DUMMYFUNCTION("IFERROR(IF(OR(C468=TRUE,C468=""""),VLOOKUP(G468,IMPORTRANGE(""https://docs.google.com/spreadsheets/d/1z9A1Wq-kKrhRNG5RS2a2fKpY1wIhSVz2ZNmP2mOl588/edit?usp=sharing"",""REQ VF!E4:H""),4,0),""NO APLICA""),""GENERAR REQ"")"),"GENERAR REQ")</f>
        <v>GENERAR REQ</v>
      </c>
      <c r="AC468" s="37" t="str">
        <f>IFERROR(__xludf.DUMMYFUNCTION("IFERROR(QUERY(IMPORTRANGE(""https://docs.google.com/spreadsheets/d/1z9A1Wq-kKrhRNG5RS2a2fKpY1wIhSVz2ZNmP2mOl588/edit?usp=sharing"",""REQ VF!E4:Q""),""SELECT Col10, Col11, Col12 WHERE Col1 = '""&amp;G468&amp;""'"",0),""NO APLICA"")"),"NO APLICA")</f>
        <v>NO APLICA</v>
      </c>
      <c r="AD468" s="37"/>
      <c r="AE468" s="37"/>
      <c r="AF468" s="8" t="s">
        <v>52</v>
      </c>
      <c r="AG468" s="13"/>
    </row>
    <row r="469">
      <c r="A469" s="26"/>
      <c r="B469" s="26"/>
      <c r="C469" s="26" t="b">
        <v>1</v>
      </c>
      <c r="D469" s="26" t="s">
        <v>42</v>
      </c>
      <c r="E469" s="26" t="s">
        <v>36</v>
      </c>
      <c r="F469" s="27" t="s">
        <v>1476</v>
      </c>
      <c r="G469" s="39" t="s">
        <v>1479</v>
      </c>
      <c r="H469" s="40" t="s">
        <v>1480</v>
      </c>
      <c r="I469" s="43">
        <f>$I$468</f>
        <v>5</v>
      </c>
      <c r="J469" s="26">
        <f>IFERROR(__xludf.DUMMYFUNCTION("VLOOKUP(G469,IMPORTRANGE(""https://docs.google.com/spreadsheets/d/12RxCea4e5ggM7QGn1XE3FbLQa_-QbCNdBi90OdPjRqg/edit?gid=1692403370#gid=1692403370"", ""'Plan de Compras'!D4:2432""), 8,0)"),5.0)</f>
        <v>5</v>
      </c>
      <c r="K469" s="26" t="str">
        <f t="shared" si="1"/>
        <v>SI</v>
      </c>
      <c r="L469" s="26"/>
      <c r="M469" s="41"/>
      <c r="N469" s="42"/>
      <c r="O469" s="42"/>
      <c r="P469" s="26"/>
      <c r="Q469" s="46" t="s">
        <v>1481</v>
      </c>
      <c r="R469" s="41"/>
      <c r="S469" s="44" t="b">
        <v>0</v>
      </c>
      <c r="T469" s="72"/>
      <c r="U469" s="72"/>
      <c r="V469" s="44"/>
      <c r="W469" s="37" t="str">
        <f>IFERROR(__xludf.DUMMYFUNCTION("IFERROR(VLOOKUP(G469,IMPORTRANGE(""https://docs.google.com/spreadsheets/d/12RxCea4e5ggM7QGn1XE3FbLQa_-QbCNdBi90OdPjRqg"", ""'Plan de Compras'!D4:Q""), 12, 0), ""NO ESTÁ EN REQ"")"),"Técnica")</f>
        <v>Técnica</v>
      </c>
      <c r="X469" s="37" t="str">
        <f>IFERROR(__xludf.DUMMYFUNCTION("IFERROR(VLOOKUP(G469,IMPORTRANGE(""https://docs.google.com/spreadsheets/d/12RxCea4e5ggM7QGn1XE3FbLQa_-QbCNdBi90OdPjRqg"", ""'Plan de Compras'!D4:Q""), 13, 0), """")"),"INTERNACIONAL")</f>
        <v>INTERNACIONAL</v>
      </c>
      <c r="Y469" s="32" t="str">
        <f>IFERROR(__xludf.DUMMYFUNCTION("IFERROR(VLOOKUP(G469,IMPORTRANGE(""https://docs.google.com/spreadsheets/d/12RxCea4e5ggM7QGn1XE3FbLQa_-QbCNdBi90OdPjRqg"", ""'Plan de Compras'!D4:Q""), 14, 0), """")"),"GEYDI")</f>
        <v>GEYDI</v>
      </c>
      <c r="Z469" s="38" t="str">
        <f>IFERROR(__xludf.DUMMYFUNCTION("IFERROR(VLOOKUP(G469,IMPORTRANGE(""https://docs.google.com/spreadsheets/d/12RxCea4e5ggM7QGn1XE3FbLQa_-QbCNdBi90OdPjRqg"", ""'Plan de Compras'!D4:Q""), 4, 0), """")"),"PLATO DE 4 GARRAS PARA TORNO DE MADERA DIAM. 100 MM - M33X3,5 (1 UND)")</f>
        <v>PLATO DE 4 GARRAS PARA TORNO DE MADERA DIAM. 100 MM - M33X3,5 (1 UND)</v>
      </c>
      <c r="AA469" s="38" t="str">
        <f t="shared" si="37"/>
        <v>TRUE</v>
      </c>
      <c r="AB469" s="37" t="str">
        <f>IFERROR(__xludf.DUMMYFUNCTION("IFERROR(IF(OR(C469=TRUE,C469=""""),VLOOKUP(G469,IMPORTRANGE(""https://docs.google.com/spreadsheets/d/1z9A1Wq-kKrhRNG5RS2a2fKpY1wIhSVz2ZNmP2mOl588/edit?usp=sharing"",""REQ VF!E4:H""),4,0),""NO APLICA""),""GENERAR REQ"")"),"GENERAR REQ")</f>
        <v>GENERAR REQ</v>
      </c>
      <c r="AC469" s="37" t="str">
        <f>IFERROR(__xludf.DUMMYFUNCTION("IFERROR(QUERY(IMPORTRANGE(""https://docs.google.com/spreadsheets/d/1z9A1Wq-kKrhRNG5RS2a2fKpY1wIhSVz2ZNmP2mOl588/edit?usp=sharing"",""REQ VF!E4:Q""),""SELECT Col10, Col11, Col12 WHERE Col1 = '""&amp;G469&amp;""'"",0),""NO APLICA"")"),"NO APLICA")</f>
        <v>NO APLICA</v>
      </c>
      <c r="AD469" s="37"/>
      <c r="AE469" s="37"/>
      <c r="AF469" s="13"/>
      <c r="AG469" s="13"/>
    </row>
    <row r="470">
      <c r="A470" s="26">
        <v>220.0</v>
      </c>
      <c r="B470" s="26" t="b">
        <v>1</v>
      </c>
      <c r="C470" s="26" t="b">
        <v>1</v>
      </c>
      <c r="D470" s="26" t="s">
        <v>35</v>
      </c>
      <c r="E470" s="26" t="s">
        <v>36</v>
      </c>
      <c r="F470" s="27" t="s">
        <v>1482</v>
      </c>
      <c r="G470" s="37" t="s">
        <v>1482</v>
      </c>
      <c r="H470" s="45" t="s">
        <v>1483</v>
      </c>
      <c r="I470" s="43">
        <f>SUMIFS('Hoja 10'!$O:$O,'Hoja 10'!$F:$F,$G470)</f>
        <v>1</v>
      </c>
      <c r="J470" s="26">
        <f>IFERROR(__xludf.DUMMYFUNCTION("VLOOKUP(G470,IMPORTRANGE(""https://docs.google.com/spreadsheets/d/12RxCea4e5ggM7QGn1XE3FbLQa_-QbCNdBi90OdPjRqg/edit?gid=1692403370#gid=1692403370"", ""'Plan de Compras'!D4:2432""), 8,0)"),1.0)</f>
        <v>1</v>
      </c>
      <c r="K470" s="26" t="str">
        <f t="shared" si="1"/>
        <v>SI</v>
      </c>
      <c r="L470" s="29" t="s">
        <v>91</v>
      </c>
      <c r="M470" s="30" t="s">
        <v>92</v>
      </c>
      <c r="N470" s="42"/>
      <c r="O470" s="32" t="str">
        <f>VLOOKUP($G470,'Hoja 10'!$F$4:$AA478, 19,0)</f>
        <v>DeWalt</v>
      </c>
      <c r="P470" s="32" t="str">
        <f>VLOOKUP($G470,'Hoja 10'!$F$4:$AA478, 20,0)</f>
        <v>D28730-B2</v>
      </c>
      <c r="Q470" s="33" t="str">
        <f>VLOOKUP($G470,'Hoja 10'!$F$4:$AA478, 21,0)</f>
        <v>https://www.maqcenter.pe/product/tronzadora-de-metales-14-2300w-dewalt-d28730-b2</v>
      </c>
      <c r="R470" s="30" t="s">
        <v>1484</v>
      </c>
      <c r="S470" s="34" t="b">
        <v>1</v>
      </c>
      <c r="T470" s="35" t="str">
        <f>IFERROR(__xludf.DUMMYFUNCTION(" IF
( VLOOKUP($G470,IMPORTRANGE(""https://docs.google.com/spreadsheets/d/1Gpl6jkTg7sL4VDNimUm3S9Vi1i95esohXCF3wuKOE8c"", ""'CONSOLIDADO'!G5:AB""), 10, 0) &lt;&gt; 0, 
IFERROR(VLOOKUP($G470,IMPORTRANGE(""https://docs.google.com/spreadsheets/d/1Gpl6jkTg7sL4VDNimU"&amp;"m3S9Vi1i95esohXCF3wuKOE8c"", ""'CONSOLIDADO'!G5:AB""), 17, 0), ""-""),
""""
)"),"DEWALT")</f>
        <v>DEWALT</v>
      </c>
      <c r="U470" s="35" t="str">
        <f>IFERROR(__xludf.DUMMYFUNCTION(" IF
( VLOOKUP($G470,IMPORTRANGE(""https://docs.google.com/spreadsheets/d/1Gpl6jkTg7sL4VDNimUm3S9Vi1i95esohXCF3wuKOE8c"", ""'CONSOLIDADO'!G5:AB""), 10, 0) &lt;&gt; 0, 
IFERROR(VLOOKUP($G470,IMPORTRANGE(""https://docs.google.com/spreadsheets/d/1Gpl6jkTg7sL4VDNimU"&amp;"m3S9Vi1i95esohXCF3wuKOE8c"", ""'CONSOLIDADO'!G5:AB""), 18, 0), ""-""),
""""
)"),"D28730-B2")</f>
        <v>D28730-B2</v>
      </c>
      <c r="V470" s="36" t="str">
        <f>IFERROR(__xludf.DUMMYFUNCTION(" IF
( VLOOKUP($G470,IMPORTRANGE(""https://docs.google.com/spreadsheets/d/1Gpl6jkTg7sL4VDNimUm3S9Vi1i95esohXCF3wuKOE8c"", ""'CONSOLIDADO'!G5:AB""), 10, 0) &lt;&gt; 0, 
IFERROR(VLOOKUP($G470,IMPORTRANGE(""https://docs.google.com/spreadsheets/d/1Gpl6jkTg7sL4VDNimU"&amp;"m3S9Vi1i95esohXCF3wuKOE8c"", ""'CONSOLIDADO'!G5:AB""), 19, 0), ""-""),
""""
)"),"https://www.maqcenter.pe/product/tronzadora-de-metales-14-2300w-dewalt-d28730-b2")</f>
        <v>https://www.maqcenter.pe/product/tronzadora-de-metales-14-2300w-dewalt-d28730-b2</v>
      </c>
      <c r="W470" s="37" t="str">
        <f>IFERROR(__xludf.DUMMYFUNCTION("IFERROR(VLOOKUP(G470,IMPORTRANGE(""https://docs.google.com/spreadsheets/d/12RxCea4e5ggM7QGn1XE3FbLQa_-QbCNdBi90OdPjRqg"", ""'Plan de Compras'!D4:Q""), 12, 0), ""NO ESTÁ EN REQ"")"),"Técnica")</f>
        <v>Técnica</v>
      </c>
      <c r="X470" s="37" t="str">
        <f>IFERROR(__xludf.DUMMYFUNCTION("IFERROR(VLOOKUP(G470,IMPORTRANGE(""https://docs.google.com/spreadsheets/d/12RxCea4e5ggM7QGn1XE3FbLQa_-QbCNdBi90OdPjRqg"", ""'Plan de Compras'!D4:Q""), 13, 0), """")"),"NACIONAL")</f>
        <v>NACIONAL</v>
      </c>
      <c r="Y470" s="32" t="str">
        <f>IFERROR(__xludf.DUMMYFUNCTION("IFERROR(VLOOKUP(G470,IMPORTRANGE(""https://docs.google.com/spreadsheets/d/12RxCea4e5ggM7QGn1XE3FbLQa_-QbCNdBi90OdPjRqg"", ""'Plan de Compras'!D4:Q""), 14, 0), """")"),"DIANA")</f>
        <v>DIANA</v>
      </c>
      <c r="Z470" s="38" t="str">
        <f>IFERROR(__xludf.DUMMYFUNCTION("IFERROR(VLOOKUP(G470,IMPORTRANGE(""https://docs.google.com/spreadsheets/d/12RxCea4e5ggM7QGn1XE3FbLQa_-QbCNdBi90OdPjRqg"", ""'Plan de Compras'!D4:Q""), 4, 0), """")"),"TRONZADORA DE METAL")</f>
        <v>TRONZADORA DE METAL</v>
      </c>
      <c r="AA470" s="38" t="str">
        <f t="shared" si="37"/>
        <v>TRUE</v>
      </c>
      <c r="AB470" s="37" t="str">
        <f>IFERROR(__xludf.DUMMYFUNCTION("IFERROR(IF(OR(C470=TRUE,C470=""""),VLOOKUP(G470,IMPORTRANGE(""https://docs.google.com/spreadsheets/d/1z9A1Wq-kKrhRNG5RS2a2fKpY1wIhSVz2ZNmP2mOl588/edit?usp=sharing"",""REQ VF!E4:H""),4,0),""NO APLICA""),""GENERAR REQ"")"),"GENERAR REQ")</f>
        <v>GENERAR REQ</v>
      </c>
      <c r="AC470" s="37" t="str">
        <f>IFERROR(__xludf.DUMMYFUNCTION("IFERROR(QUERY(IMPORTRANGE(""https://docs.google.com/spreadsheets/d/1z9A1Wq-kKrhRNG5RS2a2fKpY1wIhSVz2ZNmP2mOl588/edit?usp=sharing"",""REQ VF!E4:Q""),""SELECT Col10, Col11, Col12 WHERE Col1 = '""&amp;G470&amp;""'"",0),""NO APLICA"")"),"NO APLICA")</f>
        <v>NO APLICA</v>
      </c>
      <c r="AD470" s="37"/>
      <c r="AE470" s="37"/>
      <c r="AF470" s="8" t="s">
        <v>52</v>
      </c>
      <c r="AG470" s="13"/>
    </row>
    <row r="471">
      <c r="A471" s="26">
        <v>221.0</v>
      </c>
      <c r="B471" s="26" t="b">
        <v>1</v>
      </c>
      <c r="C471" s="26" t="b">
        <v>1</v>
      </c>
      <c r="D471" s="26" t="s">
        <v>35</v>
      </c>
      <c r="E471" s="26" t="s">
        <v>36</v>
      </c>
      <c r="F471" s="27" t="s">
        <v>1485</v>
      </c>
      <c r="G471" s="37" t="s">
        <v>1485</v>
      </c>
      <c r="H471" s="45" t="s">
        <v>1486</v>
      </c>
      <c r="I471" s="43">
        <f>SUMIFS('Hoja 10'!$O:$O,'Hoja 10'!$F:$F,$G471)</f>
        <v>12</v>
      </c>
      <c r="J471" s="26">
        <f>IFERROR(__xludf.DUMMYFUNCTION("VLOOKUP(G471,IMPORTRANGE(""https://docs.google.com/spreadsheets/d/12RxCea4e5ggM7QGn1XE3FbLQa_-QbCNdBi90OdPjRqg/edit?gid=1692403370#gid=1692403370"", ""'Plan de Compras'!D4:2432""), 8,0)"),12.0)</f>
        <v>12</v>
      </c>
      <c r="K471" s="26" t="str">
        <f t="shared" si="1"/>
        <v>SI</v>
      </c>
      <c r="L471" s="29" t="s">
        <v>180</v>
      </c>
      <c r="M471" s="30" t="s">
        <v>181</v>
      </c>
      <c r="N471" s="42"/>
      <c r="O471" s="32" t="str">
        <f>VLOOKUP($G471,'Hoja 10'!$F$4:$AA478, 19,0)</f>
        <v>Siemens</v>
      </c>
      <c r="P471" s="32" t="str">
        <f>VLOOKUP($G471,'Hoja 10'!$F$4:$AA478, 20,0)</f>
        <v>V20</v>
      </c>
      <c r="Q471" s="33" t="str">
        <f>VLOOKUP($G471,'Hoja 10'!$F$4:$AA478, 21,0)</f>
        <v>https://hken.rs-online.com/web/p/inverter-drives/7840751</v>
      </c>
      <c r="R471" s="30" t="s">
        <v>1487</v>
      </c>
      <c r="S471" s="34" t="b">
        <v>1</v>
      </c>
      <c r="T471" s="35" t="str">
        <f>IFERROR(__xludf.DUMMYFUNCTION(" IF
( VLOOKUP($G471,IMPORTRANGE(""https://docs.google.com/spreadsheets/d/1Gpl6jkTg7sL4VDNimUm3S9Vi1i95esohXCF3wuKOE8c"", ""'CONSOLIDADO'!G5:AB""), 10, 0) &lt;&gt; 0, 
IFERROR(VLOOKUP($G471,IMPORTRANGE(""https://docs.google.com/spreadsheets/d/1Gpl6jkTg7sL4VDNimU"&amp;"m3S9Vi1i95esohXCF3wuKOE8c"", ""'CONSOLIDADO'!G5:AB""), 17, 0), ""-""),
""""
)"),"PEACO")</f>
        <v>PEACO</v>
      </c>
      <c r="U471" s="35" t="str">
        <f>IFERROR(__xludf.DUMMYFUNCTION(" IF
( VLOOKUP($G471,IMPORTRANGE(""https://docs.google.com/spreadsheets/d/1Gpl6jkTg7sL4VDNimUm3S9Vi1i95esohXCF3wuKOE8c"", ""'CONSOLIDADO'!G5:AB""), 10, 0) &lt;&gt; 0, 
IFERROR(VLOOKUP($G471,IMPORTRANGE(""https://docs.google.com/spreadsheets/d/1Gpl6jkTg7sL4VDNimU"&amp;"m3S9Vi1i95esohXCF3wuKOE8c"", ""'CONSOLIDADO'!G5:AB""), 18, 0), ""-""),
""""
)"),"FC110-2S/4T-0.75G")</f>
        <v>FC110-2S/4T-0.75G</v>
      </c>
      <c r="V471" s="36" t="str">
        <f>IFERROR(__xludf.DUMMYFUNCTION(" IF
( VLOOKUP($G471,IMPORTRANGE(""https://docs.google.com/spreadsheets/d/1Gpl6jkTg7sL4VDNimUm3S9Vi1i95esohXCF3wuKOE8c"", ""'CONSOLIDADO'!G5:AB""), 10, 0) &lt;&gt; 0, 
IFERROR(VLOOKUP($G471,IMPORTRANGE(""https://docs.google.com/spreadsheets/d/1Gpl6jkTg7sL4VDNimU"&amp;"m3S9Vi1i95esohXCF3wuKOE8c"", ""'CONSOLIDADO'!G5:AB""), 19, 0), ""-""),
""""
)"),"https://drive.google.com/file/d/1L6aG1VUfR43A6uRr11eDT6Ul54-qp0l2/view?usp=drive_link")</f>
        <v>https://drive.google.com/file/d/1L6aG1VUfR43A6uRr11eDT6Ul54-qp0l2/view?usp=drive_link</v>
      </c>
      <c r="W471" s="37" t="str">
        <f>IFERROR(__xludf.DUMMYFUNCTION("IFERROR(VLOOKUP(G471,IMPORTRANGE(""https://docs.google.com/spreadsheets/d/12RxCea4e5ggM7QGn1XE3FbLQa_-QbCNdBi90OdPjRqg"", ""'Plan de Compras'!D4:Q""), 12, 0), ""NO ESTÁ EN REQ"")"),"Técnica")</f>
        <v>Técnica</v>
      </c>
      <c r="X471" s="37" t="str">
        <f>IFERROR(__xludf.DUMMYFUNCTION("IFERROR(VLOOKUP(G471,IMPORTRANGE(""https://docs.google.com/spreadsheets/d/12RxCea4e5ggM7QGn1XE3FbLQa_-QbCNdBi90OdPjRqg"", ""'Plan de Compras'!D4:Q""), 13, 0), """")"),"INTERNACIONAL")</f>
        <v>INTERNACIONAL</v>
      </c>
      <c r="Y471" s="32" t="str">
        <f>IFERROR(__xludf.DUMMYFUNCTION("IFERROR(VLOOKUP(G471,IMPORTRANGE(""https://docs.google.com/spreadsheets/d/12RxCea4e5ggM7QGn1XE3FbLQa_-QbCNdBi90OdPjRqg"", ""'Plan de Compras'!D4:Q""), 14, 0), """")"),"GIANFRANCO")</f>
        <v>GIANFRANCO</v>
      </c>
      <c r="Z471" s="38" t="str">
        <f>IFERROR(__xludf.DUMMYFUNCTION("IFERROR(VLOOKUP(G471,IMPORTRANGE(""https://docs.google.com/spreadsheets/d/12RxCea4e5ggM7QGn1XE3FbLQa_-QbCNdBi90OdPjRqg"", ""'Plan de Compras'!D4:Q""), 4, 0), """")"),"VARIADOR DE FRECUENCIA (MONOFÁSICO A TRIFÁSICO)")</f>
        <v>VARIADOR DE FRECUENCIA (MONOFÁSICO A TRIFÁSICO)</v>
      </c>
      <c r="AA471" s="38" t="str">
        <f t="shared" si="37"/>
        <v>TRUE</v>
      </c>
      <c r="AB471" s="37" t="str">
        <f>IFERROR(__xludf.DUMMYFUNCTION("IFERROR(IF(OR(C471=TRUE,C471=""""),VLOOKUP(G471,IMPORTRANGE(""https://docs.google.com/spreadsheets/d/1z9A1Wq-kKrhRNG5RS2a2fKpY1wIhSVz2ZNmP2mOl588/edit?usp=sharing"",""REQ VF!E4:H""),4,0),""NO APLICA""),""GENERAR REQ"")"),"GENERAR REQ")</f>
        <v>GENERAR REQ</v>
      </c>
      <c r="AC471" s="37" t="str">
        <f>IFERROR(__xludf.DUMMYFUNCTION("IFERROR(QUERY(IMPORTRANGE(""https://docs.google.com/spreadsheets/d/1z9A1Wq-kKrhRNG5RS2a2fKpY1wIhSVz2ZNmP2mOl588/edit?usp=sharing"",""REQ VF!E4:Q""),""SELECT Col10, Col11, Col12 WHERE Col1 = '""&amp;G471&amp;""'"",0),""NO APLICA"")"),"NO APLICA")</f>
        <v>NO APLICA</v>
      </c>
      <c r="AD471" s="37"/>
      <c r="AE471" s="37"/>
      <c r="AF471" s="8" t="s">
        <v>52</v>
      </c>
      <c r="AG471" s="13"/>
    </row>
    <row r="472">
      <c r="A472" s="26">
        <v>222.0</v>
      </c>
      <c r="B472" s="26" t="b">
        <v>1</v>
      </c>
      <c r="C472" s="26" t="b">
        <v>1</v>
      </c>
      <c r="D472" s="26" t="s">
        <v>35</v>
      </c>
      <c r="E472" s="26" t="s">
        <v>36</v>
      </c>
      <c r="F472" s="27" t="s">
        <v>1488</v>
      </c>
      <c r="G472" s="37" t="s">
        <v>1488</v>
      </c>
      <c r="H472" s="45" t="s">
        <v>1489</v>
      </c>
      <c r="I472" s="43">
        <f>SUMIFS('Hoja 10'!$O:$O,'Hoja 10'!$F:$F,$G472)</f>
        <v>12</v>
      </c>
      <c r="J472" s="26">
        <f>IFERROR(__xludf.DUMMYFUNCTION("VLOOKUP(G472,IMPORTRANGE(""https://docs.google.com/spreadsheets/d/12RxCea4e5ggM7QGn1XE3FbLQa_-QbCNdBi90OdPjRqg/edit?gid=1692403370#gid=1692403370"", ""'Plan de Compras'!D4:2432""), 8,0)"),12.0)</f>
        <v>12</v>
      </c>
      <c r="K472" s="26" t="str">
        <f t="shared" si="1"/>
        <v>SI</v>
      </c>
      <c r="L472" s="29" t="s">
        <v>180</v>
      </c>
      <c r="M472" s="30" t="s">
        <v>181</v>
      </c>
      <c r="N472" s="42"/>
      <c r="O472" s="32" t="str">
        <f>VLOOKUP($G472,'Hoja 10'!$F$4:$AA478, 19,0)</f>
        <v>ETCR</v>
      </c>
      <c r="P472" s="32" t="str">
        <f>VLOOKUP($G472,'Hoja 10'!$F$4:$AA478, 20,0)</f>
        <v>ETCR4300</v>
      </c>
      <c r="Q472" s="33" t="str">
        <f>VLOOKUP($G472,'Hoja 10'!$F$4:$AA478, 21,0)</f>
        <v>https://www.amazon.com/ETCR-Three-Phase-Voltammeter-0-0mA-20-0A-0-0-360-0%C2%B0/dp/B0CXMBSWJH</v>
      </c>
      <c r="R472" s="30" t="s">
        <v>1490</v>
      </c>
      <c r="S472" s="34" t="b">
        <v>1</v>
      </c>
      <c r="T472" s="35" t="str">
        <f>IFERROR(__xludf.DUMMYFUNCTION(" IF
( VLOOKUP($G472,IMPORTRANGE(""https://docs.google.com/spreadsheets/d/1Gpl6jkTg7sL4VDNimUm3S9Vi1i95esohXCF3wuKOE8c"", ""'CONSOLIDADO'!G5:AB""), 10, 0) &lt;&gt; 0, 
IFERROR(VLOOKUP($G472,IMPORTRANGE(""https://docs.google.com/spreadsheets/d/1Gpl6jkTg7sL4VDNimU"&amp;"m3S9Vi1i95esohXCF3wuKOE8c"", ""'CONSOLIDADO'!G5:AB""), 17, 0), ""-""),
""""
)"),"ETCR")</f>
        <v>ETCR</v>
      </c>
      <c r="U472" s="35" t="str">
        <f>IFERROR(__xludf.DUMMYFUNCTION(" IF
( VLOOKUP($G472,IMPORTRANGE(""https://docs.google.com/spreadsheets/d/1Gpl6jkTg7sL4VDNimUm3S9Vi1i95esohXCF3wuKOE8c"", ""'CONSOLIDADO'!G5:AB""), 10, 0) &lt;&gt; 0, 
IFERROR(VLOOKUP($G472,IMPORTRANGE(""https://docs.google.com/spreadsheets/d/1Gpl6jkTg7sL4VDNimU"&amp;"m3S9Vi1i95esohXCF3wuKOE8c"", ""'CONSOLIDADO'!G5:AB""), 18, 0), ""-""),
""""
)"),"ETCR4300")</f>
        <v>ETCR4300</v>
      </c>
      <c r="V472" s="36" t="str">
        <f>IFERROR(__xludf.DUMMYFUNCTION(" IF
( VLOOKUP($G472,IMPORTRANGE(""https://docs.google.com/spreadsheets/d/1Gpl6jkTg7sL4VDNimUm3S9Vi1i95esohXCF3wuKOE8c"", ""'CONSOLIDADO'!G5:AB""), 10, 0) &lt;&gt; 0, 
IFERROR(VLOOKUP($G472,IMPORTRANGE(""https://docs.google.com/spreadsheets/d/1Gpl6jkTg7sL4VDNimU"&amp;"m3S9Vi1i95esohXCF3wuKOE8c"", ""'CONSOLIDADO'!G5:AB""), 19, 0), ""-""),
""""
)"),"https://www.amazon.com/ETCR4300-Volt%E2%80%91Ampere-Tester-Sequence-Testing/dp/B09K6DS24G")</f>
        <v>https://www.amazon.com/ETCR4300-Volt%E2%80%91Ampere-Tester-Sequence-Testing/dp/B09K6DS24G</v>
      </c>
      <c r="W472" s="37" t="str">
        <f>IFERROR(__xludf.DUMMYFUNCTION("IFERROR(VLOOKUP(G472,IMPORTRANGE(""https://docs.google.com/spreadsheets/d/12RxCea4e5ggM7QGn1XE3FbLQa_-QbCNdBi90OdPjRqg"", ""'Plan de Compras'!D4:Q""), 12, 0), ""NO ESTÁ EN REQ"")"),"Técnica")</f>
        <v>Técnica</v>
      </c>
      <c r="X472" s="37" t="str">
        <f>IFERROR(__xludf.DUMMYFUNCTION("IFERROR(VLOOKUP(G472,IMPORTRANGE(""https://docs.google.com/spreadsheets/d/12RxCea4e5ggM7QGn1XE3FbLQa_-QbCNdBi90OdPjRqg"", ""'Plan de Compras'!D4:Q""), 13, 0), """")"),"INTERNACIONAL")</f>
        <v>INTERNACIONAL</v>
      </c>
      <c r="Y472" s="32" t="str">
        <f>IFERROR(__xludf.DUMMYFUNCTION("IFERROR(VLOOKUP(G472,IMPORTRANGE(""https://docs.google.com/spreadsheets/d/12RxCea4e5ggM7QGn1XE3FbLQa_-QbCNdBi90OdPjRqg"", ""'Plan de Compras'!D4:Q""), 14, 0), """")"),"DIEGO ")</f>
        <v>DIEGO </v>
      </c>
      <c r="Z472" s="38" t="str">
        <f>IFERROR(__xludf.DUMMYFUNCTION("IFERROR(VLOOKUP(G472,IMPORTRANGE(""https://docs.google.com/spreadsheets/d/12RxCea4e5ggM7QGn1XE3FbLQa_-QbCNdBi90OdPjRqg"", ""'Plan de Compras'!D4:Q""), 4, 0), """")"),"VATÍMETRO DIGITAL")</f>
        <v>VATÍMETRO DIGITAL</v>
      </c>
      <c r="AA472" s="38" t="str">
        <f t="shared" si="37"/>
        <v>TRUE</v>
      </c>
      <c r="AB472" s="37" t="str">
        <f>IFERROR(__xludf.DUMMYFUNCTION("IFERROR(IF(OR(C472=TRUE,C472=""""),VLOOKUP(G472,IMPORTRANGE(""https://docs.google.com/spreadsheets/d/1z9A1Wq-kKrhRNG5RS2a2fKpY1wIhSVz2ZNmP2mOl588/edit?usp=sharing"",""REQ VF!E4:H""),4,0),""NO APLICA""),""GENERAR REQ"")"),"GENERAR REQ")</f>
        <v>GENERAR REQ</v>
      </c>
      <c r="AC472" s="37" t="str">
        <f>IFERROR(__xludf.DUMMYFUNCTION("IFERROR(QUERY(IMPORTRANGE(""https://docs.google.com/spreadsheets/d/1z9A1Wq-kKrhRNG5RS2a2fKpY1wIhSVz2ZNmP2mOl588/edit?usp=sharing"",""REQ VF!E4:Q""),""SELECT Col10, Col11, Col12 WHERE Col1 = '""&amp;G472&amp;""'"",0),""NO APLICA"")"),"NO APLICA")</f>
        <v>NO APLICA</v>
      </c>
      <c r="AD472" s="37"/>
      <c r="AE472" s="37"/>
      <c r="AF472" s="8" t="s">
        <v>52</v>
      </c>
      <c r="AG472" s="13"/>
    </row>
    <row r="473">
      <c r="A473" s="26"/>
      <c r="B473" s="26"/>
      <c r="C473" s="26" t="b">
        <v>1</v>
      </c>
      <c r="D473" s="26" t="s">
        <v>42</v>
      </c>
      <c r="E473" s="26" t="s">
        <v>36</v>
      </c>
      <c r="F473" s="27" t="s">
        <v>1488</v>
      </c>
      <c r="G473" s="39" t="s">
        <v>1491</v>
      </c>
      <c r="H473" s="40" t="s">
        <v>1492</v>
      </c>
      <c r="I473" s="43">
        <f>I472</f>
        <v>12</v>
      </c>
      <c r="J473" s="26">
        <f>IFERROR(__xludf.DUMMYFUNCTION("VLOOKUP(G473,IMPORTRANGE(""https://docs.google.com/spreadsheets/d/12RxCea4e5ggM7QGn1XE3FbLQa_-QbCNdBi90OdPjRqg/edit?gid=1692403370#gid=1692403370"", ""'Plan de Compras'!D4:2432""), 8,0)"),12.0)</f>
        <v>12</v>
      </c>
      <c r="K473" s="26" t="str">
        <f t="shared" si="1"/>
        <v>SI</v>
      </c>
      <c r="L473" s="29"/>
      <c r="M473" s="61"/>
      <c r="N473" s="42"/>
      <c r="O473" s="32"/>
      <c r="P473" s="32"/>
      <c r="Q473" s="41"/>
      <c r="R473" s="61"/>
      <c r="S473" s="34" t="b">
        <v>0</v>
      </c>
      <c r="T473" s="35"/>
      <c r="U473" s="35"/>
      <c r="V473" s="35"/>
      <c r="W473" s="37" t="str">
        <f>IFERROR(__xludf.DUMMYFUNCTION("IFERROR(VLOOKUP(G473,IMPORTRANGE(""https://docs.google.com/spreadsheets/d/12RxCea4e5ggM7QGn1XE3FbLQa_-QbCNdBi90OdPjRqg"", ""'Plan de Compras'!D4:Q""), 12, 0), ""NO ESTÁ EN REQ"")"),"Simple")</f>
        <v>Simple</v>
      </c>
      <c r="X473" s="37" t="str">
        <f>IFERROR(__xludf.DUMMYFUNCTION("IFERROR(VLOOKUP(G473,IMPORTRANGE(""https://docs.google.com/spreadsheets/d/12RxCea4e5ggM7QGn1XE3FbLQa_-QbCNdBi90OdPjRqg"", ""'Plan de Compras'!D4:Q""), 13, 0), """")"),"NACIONAL")</f>
        <v>NACIONAL</v>
      </c>
      <c r="Y473" s="32" t="str">
        <f>IFERROR(__xludf.DUMMYFUNCTION("IFERROR(VLOOKUP(G473,IMPORTRANGE(""https://docs.google.com/spreadsheets/d/12RxCea4e5ggM7QGn1XE3FbLQa_-QbCNdBi90OdPjRqg"", ""'Plan de Compras'!D4:Q""), 14, 0), """")"),"ALFIO")</f>
        <v>ALFIO</v>
      </c>
      <c r="Z473" s="38" t="str">
        <f>IFERROR(__xludf.DUMMYFUNCTION("IFERROR(VLOOKUP(G473,IMPORTRANGE(""https://docs.google.com/spreadsheets/d/12RxCea4e5ggM7QGn1XE3FbLQa_-QbCNdBi90OdPjRqg"", ""'Plan de Compras'!D4:Q""), 4, 0), """")"),"PACK DE 6 PILAS AA 1,5V (1 UND)")</f>
        <v>PACK DE 6 PILAS AA 1,5V (1 UND)</v>
      </c>
      <c r="AA473" s="38" t="str">
        <f t="shared" si="37"/>
        <v>TRUE</v>
      </c>
      <c r="AB473" s="37" t="str">
        <f>IFERROR(__xludf.DUMMYFUNCTION("IFERROR(IF(OR(C473=TRUE,C473=""""),VLOOKUP(G473,IMPORTRANGE(""https://docs.google.com/spreadsheets/d/1z9A1Wq-kKrhRNG5RS2a2fKpY1wIhSVz2ZNmP2mOl588/edit?usp=sharing"",""REQ VF!E4:H""),4,0),""NO APLICA""),""GENERAR REQ"")"),"GENERAR REQ")</f>
        <v>GENERAR REQ</v>
      </c>
      <c r="AC473" s="37" t="str">
        <f>IFERROR(__xludf.DUMMYFUNCTION("IFERROR(QUERY(IMPORTRANGE(""https://docs.google.com/spreadsheets/d/1z9A1Wq-kKrhRNG5RS2a2fKpY1wIhSVz2ZNmP2mOl588/edit?usp=sharing"",""REQ VF!E4:Q""),""SELECT Col10, Col11, Col12 WHERE Col1 = '""&amp;G473&amp;""'"",0),""NO APLICA"")"),"NO APLICA")</f>
        <v>NO APLICA</v>
      </c>
      <c r="AD473" s="37"/>
      <c r="AE473" s="37"/>
      <c r="AF473" s="13"/>
      <c r="AG473" s="13"/>
    </row>
    <row r="474">
      <c r="A474" s="26"/>
      <c r="B474" s="26" t="b">
        <v>0</v>
      </c>
      <c r="C474" s="26" t="b">
        <v>0</v>
      </c>
      <c r="D474" s="26" t="s">
        <v>42</v>
      </c>
      <c r="E474" s="26" t="s">
        <v>36</v>
      </c>
      <c r="F474" s="27" t="s">
        <v>1493</v>
      </c>
      <c r="G474" s="39" t="s">
        <v>1494</v>
      </c>
      <c r="H474" s="40" t="s">
        <v>118</v>
      </c>
      <c r="I474" s="43">
        <f>1*I472</f>
        <v>12</v>
      </c>
      <c r="J474" s="26" t="str">
        <f>IFERROR(__xludf.DUMMYFUNCTION("VLOOKUP(G474,IMPORTRANGE(""https://docs.google.com/spreadsheets/d/12RxCea4e5ggM7QGn1XE3FbLQa_-QbCNdBi90OdPjRqg/edit?gid=1692403370#gid=1692403370"", ""'Plan de Compras'!D4:2432""), 8,0)"),"#N/A")</f>
        <v>#N/A</v>
      </c>
      <c r="K474" s="26" t="str">
        <f t="shared" si="1"/>
        <v>-</v>
      </c>
      <c r="L474" s="29"/>
      <c r="M474" s="61"/>
      <c r="N474" s="42"/>
      <c r="O474" s="32"/>
      <c r="P474" s="32"/>
      <c r="Q474" s="41"/>
      <c r="R474" s="61"/>
      <c r="S474" s="34" t="b">
        <v>0</v>
      </c>
      <c r="T474" s="35"/>
      <c r="U474" s="35"/>
      <c r="V474" s="35"/>
      <c r="W474" s="37"/>
      <c r="X474" s="37"/>
      <c r="Y474" s="32"/>
      <c r="Z474" s="38"/>
      <c r="AA474" s="38" t="str">
        <f t="shared" si="37"/>
        <v>FALSE</v>
      </c>
      <c r="AB474" s="37" t="str">
        <f>IFERROR(__xludf.DUMMYFUNCTION("IFERROR(IF(OR(C474=TRUE,C474=""""),VLOOKUP(G474,IMPORTRANGE(""https://docs.google.com/spreadsheets/d/1z9A1Wq-kKrhRNG5RS2a2fKpY1wIhSVz2ZNmP2mOl588/edit?usp=sharing"",""REQ VF!E4:H""),4,0),""NO APLICA""),""GENERAR REQ"")"),"NO APLICA")</f>
        <v>NO APLICA</v>
      </c>
      <c r="AC474" s="37" t="str">
        <f>IFERROR(__xludf.DUMMYFUNCTION("IFERROR(QUERY(IMPORTRANGE(""https://docs.google.com/spreadsheets/d/1z9A1Wq-kKrhRNG5RS2a2fKpY1wIhSVz2ZNmP2mOl588/edit?usp=sharing"",""REQ VF!E4:Q""),""SELECT Col10, Col11, Col12 WHERE Col1 = '""&amp;G474&amp;""'"",0),""NO APLICA"")"),"NO APLICA")</f>
        <v>NO APLICA</v>
      </c>
      <c r="AD474" s="37"/>
      <c r="AE474" s="37"/>
      <c r="AF474" s="13"/>
      <c r="AG474" s="13"/>
    </row>
    <row r="475">
      <c r="A475" s="26"/>
      <c r="B475" s="26" t="b">
        <v>0</v>
      </c>
      <c r="C475" s="26" t="b">
        <v>0</v>
      </c>
      <c r="D475" s="26" t="s">
        <v>42</v>
      </c>
      <c r="E475" s="26" t="s">
        <v>36</v>
      </c>
      <c r="F475" s="27" t="s">
        <v>1495</v>
      </c>
      <c r="G475" s="73" t="s">
        <v>1496</v>
      </c>
      <c r="H475" s="74" t="s">
        <v>371</v>
      </c>
      <c r="I475" s="75">
        <f>1*I472</f>
        <v>12</v>
      </c>
      <c r="J475" s="26" t="str">
        <f>IFERROR(__xludf.DUMMYFUNCTION("VLOOKUP(G475,IMPORTRANGE(""https://docs.google.com/spreadsheets/d/12RxCea4e5ggM7QGn1XE3FbLQa_-QbCNdBi90OdPjRqg/edit?gid=1692403370#gid=1692403370"", ""'Plan de Compras'!D4:2432""), 8,0)"),"#N/A")</f>
        <v>#N/A</v>
      </c>
      <c r="K475" s="26" t="str">
        <f t="shared" si="1"/>
        <v>-</v>
      </c>
      <c r="L475" s="29"/>
      <c r="M475" s="61"/>
      <c r="N475" s="42"/>
      <c r="O475" s="32"/>
      <c r="P475" s="32"/>
      <c r="Q475" s="41"/>
      <c r="R475" s="61"/>
      <c r="S475" s="34" t="b">
        <v>0</v>
      </c>
      <c r="T475" s="35"/>
      <c r="U475" s="35"/>
      <c r="V475" s="35"/>
      <c r="W475" s="37"/>
      <c r="X475" s="37"/>
      <c r="Y475" s="32"/>
      <c r="Z475" s="38"/>
      <c r="AA475" s="38" t="str">
        <f t="shared" si="37"/>
        <v>FALSE</v>
      </c>
      <c r="AB475" s="37" t="str">
        <f>IFERROR(__xludf.DUMMYFUNCTION("IFERROR(IF(OR(C475=TRUE,C475=""""),VLOOKUP(G475,IMPORTRANGE(""https://docs.google.com/spreadsheets/d/1z9A1Wq-kKrhRNG5RS2a2fKpY1wIhSVz2ZNmP2mOl588/edit?usp=sharing"",""REQ VF!E4:H""),4,0),""NO APLICA""),""GENERAR REQ"")"),"NO APLICA")</f>
        <v>NO APLICA</v>
      </c>
      <c r="AC475" s="37" t="str">
        <f>IFERROR(__xludf.DUMMYFUNCTION("IFERROR(QUERY(IMPORTRANGE(""https://docs.google.com/spreadsheets/d/1z9A1Wq-kKrhRNG5RS2a2fKpY1wIhSVz2ZNmP2mOl588/edit?usp=sharing"",""REQ VF!E4:Q""),""SELECT Col10, Col11, Col12 WHERE Col1 = '""&amp;G475&amp;""'"",0),""NO APLICA"")"),"NO APLICA")</f>
        <v>NO APLICA</v>
      </c>
      <c r="AD475" s="37"/>
      <c r="AE475" s="37"/>
      <c r="AF475" s="13"/>
      <c r="AG475" s="13"/>
    </row>
    <row r="476">
      <c r="A476" s="26">
        <v>223.0</v>
      </c>
      <c r="B476" s="26" t="b">
        <v>1</v>
      </c>
      <c r="C476" s="26" t="b">
        <v>1</v>
      </c>
      <c r="D476" s="26" t="s">
        <v>35</v>
      </c>
      <c r="E476" s="26" t="s">
        <v>36</v>
      </c>
      <c r="F476" s="27" t="s">
        <v>1493</v>
      </c>
      <c r="G476" s="37" t="s">
        <v>1493</v>
      </c>
      <c r="H476" s="45" t="s">
        <v>1497</v>
      </c>
      <c r="I476" s="43">
        <f>SUMIFS('Hoja 10'!$O:$O,'Hoja 10'!$F:$F,$G476)</f>
        <v>2</v>
      </c>
      <c r="J476" s="26">
        <f>IFERROR(__xludf.DUMMYFUNCTION("VLOOKUP(G476,IMPORTRANGE(""https://docs.google.com/spreadsheets/d/12RxCea4e5ggM7QGn1XE3FbLQa_-QbCNdBi90OdPjRqg/edit?gid=1692403370#gid=1692403370"", ""'Plan de Compras'!D4:2432""), 8,0)"),2.0)</f>
        <v>2</v>
      </c>
      <c r="K476" s="26" t="str">
        <f t="shared" si="1"/>
        <v>SI</v>
      </c>
      <c r="L476" s="29" t="s">
        <v>122</v>
      </c>
      <c r="M476" s="30" t="s">
        <v>123</v>
      </c>
      <c r="N476" s="42"/>
      <c r="O476" s="32" t="str">
        <f>VLOOKUP($G476,'Hoja 10'!$F$4:$AA478, 19,0)</f>
        <v>AEA Technology</v>
      </c>
      <c r="P476" s="32" t="str">
        <f>VLOOKUP($G476,'Hoja 10'!$F$4:$AA478, 20,0)</f>
        <v>VNA Site Analyzer </v>
      </c>
      <c r="Q476" s="33" t="str">
        <f>VLOOKUP($G476,'Hoja 10'!$F$4:$AA478, 21,0)</f>
        <v>https://www.aeatechnology.com/new-vna-and-swr-site-analyzer</v>
      </c>
      <c r="R476" s="30" t="s">
        <v>1498</v>
      </c>
      <c r="S476" s="34" t="b">
        <v>1</v>
      </c>
      <c r="T476" s="35" t="str">
        <f>IFERROR(__xludf.DUMMYFUNCTION(" IF
( VLOOKUP($G476,IMPORTRANGE(""https://docs.google.com/spreadsheets/d/1Gpl6jkTg7sL4VDNimUm3S9Vi1i95esohXCF3wuKOE8c"", ""'CONSOLIDADO'!G5:AB""), 10, 0) &lt;&gt; 0, 
IFERROR(VLOOKUP($G476,IMPORTRANGE(""https://docs.google.com/spreadsheets/d/1Gpl6jkTg7sL4VDNimU"&amp;"m3S9Vi1i95esohXCF3wuKOE8c"", ""'CONSOLIDADO'!G5:AB""), 17, 0), ""-""),
""""
)"),"AEA Technology")</f>
        <v>AEA Technology</v>
      </c>
      <c r="U476" s="35" t="str">
        <f>IFERROR(__xludf.DUMMYFUNCTION(" IF
( VLOOKUP($G476,IMPORTRANGE(""https://docs.google.com/spreadsheets/d/1Gpl6jkTg7sL4VDNimUm3S9Vi1i95esohXCF3wuKOE8c"", ""'CONSOLIDADO'!G5:AB""), 10, 0) &lt;&gt; 0, 
IFERROR(VLOOKUP($G476,IMPORTRANGE(""https://docs.google.com/spreadsheets/d/1Gpl6jkTg7sL4VDNimU"&amp;"m3S9Vi1i95esohXCF3wuKOE8c"", ""'CONSOLIDADO'!G5:AB""), 18, 0), ""-""),
""""
)"),"6050-5100")</f>
        <v>6050-5100</v>
      </c>
      <c r="V476" s="36" t="str">
        <f>IFERROR(__xludf.DUMMYFUNCTION(" IF
( VLOOKUP($G476,IMPORTRANGE(""https://docs.google.com/spreadsheets/d/1Gpl6jkTg7sL4VDNimUm3S9Vi1i95esohXCF3wuKOE8c"", ""'CONSOLIDADO'!G5:AB""), 10, 0) &lt;&gt; 0, 
IFERROR(VLOOKUP($G476,IMPORTRANGE(""https://docs.google.com/spreadsheets/d/1Gpl6jkTg7sL4VDNimU"&amp;"m3S9Vi1i95esohXCF3wuKOE8c"", ""'CONSOLIDADO'!G5:AB""), 19, 0), ""-""),
""""
)"),"https://www.aeatechnology.com/new-vna-and-swr-site-analyzer")</f>
        <v>https://www.aeatechnology.com/new-vna-and-swr-site-analyzer</v>
      </c>
      <c r="W476" s="37" t="str">
        <f>IFERROR(__xludf.DUMMYFUNCTION("IFERROR(VLOOKUP(G476,IMPORTRANGE(""https://docs.google.com/spreadsheets/d/12RxCea4e5ggM7QGn1XE3FbLQa_-QbCNdBi90OdPjRqg"", ""'Plan de Compras'!D4:Q""), 12, 0), ""NO ESTÁ EN REQ"")"),"Técnica")</f>
        <v>Técnica</v>
      </c>
      <c r="X476" s="37" t="str">
        <f>IFERROR(__xludf.DUMMYFUNCTION("IFERROR(VLOOKUP(G476,IMPORTRANGE(""https://docs.google.com/spreadsheets/d/12RxCea4e5ggM7QGn1XE3FbLQa_-QbCNdBi90OdPjRqg"", ""'Plan de Compras'!D4:Q""), 13, 0), """")"),"INTERNACIONAL")</f>
        <v>INTERNACIONAL</v>
      </c>
      <c r="Y476" s="32" t="str">
        <f>IFERROR(__xludf.DUMMYFUNCTION("IFERROR(VLOOKUP(G476,IMPORTRANGE(""https://docs.google.com/spreadsheets/d/12RxCea4e5ggM7QGn1XE3FbLQa_-QbCNdBi90OdPjRqg"", ""'Plan de Compras'!D4:Q""), 14, 0), """")"),"GIANFRANCO")</f>
        <v>GIANFRANCO</v>
      </c>
      <c r="Z476" s="38" t="str">
        <f>IFERROR(__xludf.DUMMYFUNCTION("IFERROR(VLOOKUP(G476,IMPORTRANGE(""https://docs.google.com/spreadsheets/d/12RxCea4e5ggM7QGn1XE3FbLQa_-QbCNdBi90OdPjRqg"", ""'Plan de Compras'!D4:Q""), 4, 0), """")"),"VECTOR ANALIZADOR DE REDES")</f>
        <v>VECTOR ANALIZADOR DE REDES</v>
      </c>
      <c r="AA476" s="38" t="str">
        <f t="shared" si="37"/>
        <v>TRUE</v>
      </c>
      <c r="AB476" s="37" t="str">
        <f>IFERROR(__xludf.DUMMYFUNCTION("IFERROR(IF(OR(C476=TRUE,C476=""""),VLOOKUP(G476,IMPORTRANGE(""https://docs.google.com/spreadsheets/d/1z9A1Wq-kKrhRNG5RS2a2fKpY1wIhSVz2ZNmP2mOl588/edit?usp=sharing"",""REQ VF!E4:H""),4,0),""NO APLICA""),""GENERAR REQ"")"),"GENERAR REQ")</f>
        <v>GENERAR REQ</v>
      </c>
      <c r="AC476" s="37" t="str">
        <f>IFERROR(__xludf.DUMMYFUNCTION("IFERROR(QUERY(IMPORTRANGE(""https://docs.google.com/spreadsheets/d/1z9A1Wq-kKrhRNG5RS2a2fKpY1wIhSVz2ZNmP2mOl588/edit?usp=sharing"",""REQ VF!E4:Q""),""SELECT Col10, Col11, Col12 WHERE Col1 = '""&amp;G476&amp;""'"",0),""NO APLICA"")"),"NO APLICA")</f>
        <v>NO APLICA</v>
      </c>
      <c r="AD476" s="37"/>
      <c r="AE476" s="37"/>
      <c r="AF476" s="13"/>
      <c r="AG476" s="13"/>
    </row>
    <row r="477">
      <c r="A477" s="26"/>
      <c r="B477" s="26"/>
      <c r="C477" s="26" t="b">
        <v>0</v>
      </c>
      <c r="D477" s="43" t="s">
        <v>42</v>
      </c>
      <c r="E477" s="43" t="s">
        <v>36</v>
      </c>
      <c r="F477" s="37" t="s">
        <v>1493</v>
      </c>
      <c r="G477" s="39" t="s">
        <v>1499</v>
      </c>
      <c r="H477" s="40" t="s">
        <v>61</v>
      </c>
      <c r="I477" s="43">
        <v>0.0</v>
      </c>
      <c r="J477" s="26">
        <f>IFERROR(__xludf.DUMMYFUNCTION("VLOOKUP(G477,IMPORTRANGE(""https://docs.google.com/spreadsheets/d/12RxCea4e5ggM7QGn1XE3FbLQa_-QbCNdBi90OdPjRqg/edit?gid=1692403370#gid=1692403370"", ""'Plan de Compras'!D4:2432""), 8,0)"),2.0)</f>
        <v>2</v>
      </c>
      <c r="K477" s="26" t="str">
        <f t="shared" si="1"/>
        <v>-</v>
      </c>
      <c r="L477" s="26"/>
      <c r="M477" s="41"/>
      <c r="N477" s="42"/>
      <c r="O477" s="32"/>
      <c r="P477" s="32"/>
      <c r="Q477" s="46" t="s">
        <v>1500</v>
      </c>
      <c r="R477" s="41"/>
      <c r="S477" s="34" t="b">
        <v>0</v>
      </c>
      <c r="T477" s="35" t="s">
        <v>1501</v>
      </c>
      <c r="U477" s="35" t="s">
        <v>65</v>
      </c>
      <c r="V477" s="56" t="s">
        <v>1502</v>
      </c>
      <c r="W477" s="37" t="str">
        <f>IFERROR(__xludf.DUMMYFUNCTION("IFERROR(VLOOKUP(G477,IMPORTRANGE(""https://docs.google.com/spreadsheets/d/12RxCea4e5ggM7QGn1XE3FbLQa_-QbCNdBi90OdPjRqg"", ""'Plan de Compras'!D4:Q""), 12, 0), ""NO ESTÁ EN REQ"")"),"Técnica")</f>
        <v>Técnica</v>
      </c>
      <c r="X477" s="37" t="str">
        <f>IFERROR(__xludf.DUMMYFUNCTION("IFERROR(VLOOKUP(G477,IMPORTRANGE(""https://docs.google.com/spreadsheets/d/12RxCea4e5ggM7QGn1XE3FbLQa_-QbCNdBi90OdPjRqg"", ""'Plan de Compras'!D4:Q""), 13, 0), """")"),"NACIONAL")</f>
        <v>NACIONAL</v>
      </c>
      <c r="Y477" s="32" t="str">
        <f>IFERROR(__xludf.DUMMYFUNCTION("IFERROR(VLOOKUP(G477,IMPORTRANGE(""https://docs.google.com/spreadsheets/d/12RxCea4e5ggM7QGn1XE3FbLQa_-QbCNdBi90OdPjRqg"", ""'Plan de Compras'!D4:Q""), 14, 0), """")"),"ALFIO")</f>
        <v>ALFIO</v>
      </c>
      <c r="Z477" s="38" t="str">
        <f>IFERROR(__xludf.DUMMYFUNCTION("IFERROR(VLOOKUP(G477,IMPORTRANGE(""https://docs.google.com/spreadsheets/d/12RxCea4e5ggM7QGn1XE3FbLQa_-QbCNdBi90OdPjRqg"", ""'Plan de Compras'!D4:Q""), 4, 0), """")"),"CARGADOR DE BATERÍAS 8 AA NiMH (1  UND)")</f>
        <v>CARGADOR DE BATERÍAS 8 AA NiMH (1  UND)</v>
      </c>
      <c r="AA477" s="38" t="str">
        <f t="shared" si="37"/>
        <v>FALSE</v>
      </c>
      <c r="AB477" s="37" t="str">
        <f>IFERROR(__xludf.DUMMYFUNCTION("IFERROR(IF(OR(C477=TRUE,C477=""""),VLOOKUP(G477,IMPORTRANGE(""https://docs.google.com/spreadsheets/d/1z9A1Wq-kKrhRNG5RS2a2fKpY1wIhSVz2ZNmP2mOl588/edit?usp=sharing"",""REQ VF!E4:H""),4,0),""NO APLICA""),""GENERAR REQ"")"),"NO APLICA")</f>
        <v>NO APLICA</v>
      </c>
      <c r="AC477" s="37" t="str">
        <f>IFERROR(__xludf.DUMMYFUNCTION("IFERROR(QUERY(IMPORTRANGE(""https://docs.google.com/spreadsheets/d/1z9A1Wq-kKrhRNG5RS2a2fKpY1wIhSVz2ZNmP2mOl588/edit?usp=sharing"",""REQ VF!E4:Q""),""SELECT Col10, Col11, Col12 WHERE Col1 = '""&amp;G477&amp;""'"",0),""NO APLICA"")"),"NO APLICA")</f>
        <v>NO APLICA</v>
      </c>
      <c r="AD477" s="37"/>
      <c r="AE477" s="37"/>
      <c r="AF477" s="13"/>
      <c r="AG477" s="13"/>
    </row>
    <row r="478">
      <c r="A478" s="26">
        <v>224.0</v>
      </c>
      <c r="B478" s="26" t="b">
        <v>1</v>
      </c>
      <c r="C478" s="26" t="b">
        <v>1</v>
      </c>
      <c r="D478" s="26" t="s">
        <v>35</v>
      </c>
      <c r="E478" s="26" t="s">
        <v>36</v>
      </c>
      <c r="F478" s="27" t="s">
        <v>1503</v>
      </c>
      <c r="G478" s="37" t="s">
        <v>1503</v>
      </c>
      <c r="H478" s="40" t="s">
        <v>1504</v>
      </c>
      <c r="I478" s="43">
        <f>SUMIFS('Hoja 10'!$O:$O,'Hoja 10'!$F:$F,$G478)</f>
        <v>2</v>
      </c>
      <c r="J478" s="26">
        <f>IFERROR(__xludf.DUMMYFUNCTION("VLOOKUP(G478,IMPORTRANGE(""https://docs.google.com/spreadsheets/d/12RxCea4e5ggM7QGn1XE3FbLQa_-QbCNdBi90OdPjRqg/edit?gid=1692403370#gid=1692403370"", ""'Plan de Compras'!D4:2432""), 8,0)"),2.0)</f>
        <v>2</v>
      </c>
      <c r="K478" s="26" t="str">
        <f t="shared" si="1"/>
        <v>SI</v>
      </c>
      <c r="L478" s="29" t="s">
        <v>296</v>
      </c>
      <c r="M478" s="30" t="s">
        <v>297</v>
      </c>
      <c r="N478" s="42"/>
      <c r="O478" s="32"/>
      <c r="P478" s="32"/>
      <c r="Q478" s="41"/>
      <c r="R478" s="30" t="s">
        <v>1505</v>
      </c>
      <c r="S478" s="34" t="b">
        <v>1</v>
      </c>
      <c r="T478" s="35" t="str">
        <f>IFERROR(__xludf.DUMMYFUNCTION(" IF
( VLOOKUP($G478,IMPORTRANGE(""https://docs.google.com/spreadsheets/d/1Gpl6jkTg7sL4VDNimUm3S9Vi1i95esohXCF3wuKOE8c"", ""'CONSOLIDADO'!G5:AB""), 10, 0) &lt;&gt; 0, 
IFERROR(VLOOKUP($G478,IMPORTRANGE(""https://docs.google.com/spreadsheets/d/1Gpl6jkTg7sL4VDNimU"&amp;"m3S9Vi1i95esohXCF3wuKOE8c"", ""'CONSOLIDADO'!G5:AB""), 17, 0), ""-""),
""""
)"),"WOLFCRAFT")</f>
        <v>WOLFCRAFT</v>
      </c>
      <c r="U478" s="35">
        <f>IFERROR(__xludf.DUMMYFUNCTION(" IF
( VLOOKUP($G478,IMPORTRANGE(""https://docs.google.com/spreadsheets/d/1Gpl6jkTg7sL4VDNimUm3S9Vi1i95esohXCF3wuKOE8c"", ""'CONSOLIDADO'!G5:AB""), 10, 0) &lt;&gt; 0, 
IFERROR(VLOOKUP($G478,IMPORTRANGE(""https://docs.google.com/spreadsheets/d/1Gpl6jkTg7sL4VDNimU"&amp;"m3S9Vi1i95esohXCF3wuKOE8c"", ""'CONSOLIDADO'!G5:AB""), 18, 0), ""-""),
""""
)"),6197000.0)</f>
        <v>6197000</v>
      </c>
      <c r="V478" s="36" t="str">
        <f>IFERROR(__xludf.DUMMYFUNCTION(" IF
( VLOOKUP($G478,IMPORTRANGE(""https://docs.google.com/spreadsheets/d/1Gpl6jkTg7sL4VDNimUm3S9Vi1i95esohXCF3wuKOE8c"", ""'CONSOLIDADO'!G5:AB""), 10, 0) &lt;&gt; 0, 
IFERROR(VLOOKUP($G478,IMPORTRANGE(""https://docs.google.com/spreadsheets/d/1Gpl6jkTg7sL4VDNimU"&amp;"m3S9Vi1i95esohXCF3wuKOE8c"", ""'CONSOLIDADO'!G5:AB""), 19, 0), ""-""),
""""
)"),"https://www.wolfcraft-prod.de/products/wolfcraft/es/EUR/Productos/Cabezales-para-m%C3%A1quinas/Mesas-para-sierras-de-calar/Mesa-para-sierra-de-calar/p/P_6197")</f>
        <v>https://www.wolfcraft-prod.de/products/wolfcraft/es/EUR/Productos/Cabezales-para-m%C3%A1quinas/Mesas-para-sierras-de-calar/Mesa-para-sierra-de-calar/p/P_6197</v>
      </c>
      <c r="W478" s="37" t="str">
        <f>IFERROR(__xludf.DUMMYFUNCTION("IFERROR(VLOOKUP(G478,IMPORTRANGE(""https://docs.google.com/spreadsheets/d/12RxCea4e5ggM7QGn1XE3FbLQa_-QbCNdBi90OdPjRqg"", ""'Plan de Compras'!D4:Q""), 12, 0), ""NO ESTÁ EN REQ"")"),"Técnica")</f>
        <v>Técnica</v>
      </c>
      <c r="X478" s="37" t="str">
        <f>IFERROR(__xludf.DUMMYFUNCTION("IFERROR(VLOOKUP(G478,IMPORTRANGE(""https://docs.google.com/spreadsheets/d/12RxCea4e5ggM7QGn1XE3FbLQa_-QbCNdBi90OdPjRqg"", ""'Plan de Compras'!D4:Q""), 13, 0), """")"),"INTERNACIONAL")</f>
        <v>INTERNACIONAL</v>
      </c>
      <c r="Y478" s="32" t="str">
        <f>IFERROR(__xludf.DUMMYFUNCTION("IFERROR(VLOOKUP(G478,IMPORTRANGE(""https://docs.google.com/spreadsheets/d/12RxCea4e5ggM7QGn1XE3FbLQa_-QbCNdBi90OdPjRqg"", ""'Plan de Compras'!D4:Q""), 14, 0), """")"),"ALEJANDRA")</f>
        <v>ALEJANDRA</v>
      </c>
      <c r="Z478" s="38" t="str">
        <f>IFERROR(__xludf.DUMMYFUNCTION("IFERROR(VLOOKUP(G478,IMPORTRANGE(""https://docs.google.com/spreadsheets/d/12RxCea4e5ggM7QGn1XE3FbLQa_-QbCNdBi90OdPjRqg"", ""'Plan de Compras'!D4:Q""), 4, 0), """")"),"MESA GUIA PARA SIERRA CALADORA")</f>
        <v>MESA GUIA PARA SIERRA CALADORA</v>
      </c>
      <c r="AA478" s="38" t="str">
        <f t="shared" si="37"/>
        <v>FALSE</v>
      </c>
      <c r="AB478" s="37" t="str">
        <f>IFERROR(__xludf.DUMMYFUNCTION("IFERROR(IF(OR(C478=TRUE,C478=""""),VLOOKUP(G478,IMPORTRANGE(""https://docs.google.com/spreadsheets/d/1z9A1Wq-kKrhRNG5RS2a2fKpY1wIhSVz2ZNmP2mOl588/edit?usp=sharing"",""REQ VF!E4:H""),4,0),""NO APLICA""),""GENERAR REQ"")"),"GENERAR REQ")</f>
        <v>GENERAR REQ</v>
      </c>
      <c r="AC478" s="37" t="str">
        <f>IFERROR(__xludf.DUMMYFUNCTION("IFERROR(QUERY(IMPORTRANGE(""https://docs.google.com/spreadsheets/d/1z9A1Wq-kKrhRNG5RS2a2fKpY1wIhSVz2ZNmP2mOl588/edit?usp=sharing"",""REQ VF!E4:Q""),""SELECT Col10, Col11, Col12 WHERE Col1 = '""&amp;G478&amp;""'"",0),""NO APLICA"")"),"NO APLICA")</f>
        <v>NO APLICA</v>
      </c>
      <c r="AD478" s="37"/>
      <c r="AE478" s="37"/>
      <c r="AF478" s="13"/>
      <c r="AG478" s="13"/>
    </row>
  </sheetData>
  <customSheetViews>
    <customSheetView guid="{F29BA64D-6D8B-466D-B4A9-31AC8CC58543}" filter="1" showAutoFilter="1">
      <autoFilter ref="$A$4:$AG$478">
        <filterColumn colId="10">
          <filters>
            <filter val="#N/A"/>
          </filters>
        </filterColumn>
      </autoFilter>
    </customSheetView>
    <customSheetView guid="{CB52A3D9-ADCF-4B05-883D-992D19BB0D23}" filter="1" showAutoFilter="1">
      <autoFilter ref="$A$4:$AG$478"/>
    </customSheetView>
    <customSheetView guid="{4F12B303-AC9E-4A7C-B080-DEF39684F26A}" filter="1" showAutoFilter="1">
      <autoFilter ref="$A$4:$AG$478">
        <filterColumn colId="3">
          <filters>
            <filter val="COMPONENTE"/>
            <filter val="BIEN"/>
          </filters>
        </filterColumn>
        <filterColumn colId="19">
          <filters>
            <filter val="SINGAPUR ELECTRONICS"/>
            <filter val="DURACELL"/>
            <filter val="COMEX"/>
            <filter val="TRUPER"/>
            <filter val="FELDER"/>
            <filter val="MAXQI"/>
            <filter val="DELANI"/>
            <filter val="NOVA"/>
            <filter val="HP"/>
            <filter val="LeTkingok"/>
            <filter val="LUXIV"/>
            <filter val="DAKOTA"/>
            <filter val="DONGYI"/>
            <filter val="Duracell"/>
            <filter val="VELAURS"/>
            <filter val="EPSON"/>
            <filter val="WERKEN"/>
            <filter val="Genérico"/>
            <filter val="OSTER"/>
            <filter val="NEXXT SOLUTIONS"/>
            <filter val="HYMNORQ"/>
            <filter val="IMPORTECDIGITAL"/>
            <filter val="SUIN"/>
            <filter val="DXTECH"/>
            <filter val="BEIFANG"/>
            <filter val="BIOLOMIX"/>
            <filter val="Auolex"/>
            <filter val="DEWALT"/>
            <filter val="GENÉRICO"/>
            <filter val="SAMSUNG"/>
            <filter val="JANOME"/>
            <filter val="TTMC"/>
            <filter val="INOXOR"/>
            <filter val="DONALDSON"/>
            <filter val="SIERRA TECH"/>
            <filter val="Hualing"/>
            <filter val="CHOISE HIGH TECHNOLOGY"/>
            <filter val="TROTEC"/>
            <filter val="POWERTEC"/>
            <filter val="Playz"/>
            <filter val="ARDUINO"/>
            <filter val="LICCNOX"/>
            <filter val="MILLER"/>
            <filter val="SEW"/>
            <filter val="UNI-T"/>
            <filter val="STANLEY"/>
            <filter val="BK PRECISION"/>
            <filter val="PROMATISA"/>
            <filter val="LINOX"/>
            <filter val="BOSCH"/>
            <filter val="GOODYEAR"/>
            <filter val="GLONG"/>
            <filter val="KAILI"/>
            <filter val="GABARRO"/>
            <filter val="Shenzhen Talentcar Electronic Co., Ltd"/>
            <filter val="TAKEMA"/>
            <filter val="FRISTEEL"/>
            <filter val="SMEG"/>
            <filter val="OHAUS"/>
            <filter val="A MEDIDA"/>
            <filter val="Camelion"/>
            <filter val="METALLKRAFT"/>
            <filter val="Precisur"/>
            <filter val="SY"/>
            <filter val="DELCROSA"/>
            <filter val="BROTHER"/>
            <filter val="VIKALE"/>
            <filter val="EINHELL"/>
            <filter val="K&amp;H"/>
            <filter val="GTEE"/>
            <filter val="BESTSUB"/>
            <filter val="ESAB"/>
            <filter val="SEABERY"/>
            <filter val="PRINCESS"/>
            <filter val="DIXON"/>
            <filter val="HABOTEST"/>
            <filter val="PEPPERL+FUCHS"/>
            <filter val="A MEDIDA&#10;HUGO"/>
            <filter val="Zhengzhou Thrive Trade Co., Limited"/>
            <filter val="THOMAS"/>
            <filter val="CPG"/>
            <filter val="LG"/>
            <filter val="DAHAN VIBRATING MACHINERY"/>
            <filter val="ETCR"/>
            <filter val="HOLZMANN"/>
            <filter val="TW"/>
            <filter val="ZENITH LAB"/>
            <filter val="AEA Technology"/>
            <filter val="THUNDER LASER"/>
            <filter val="Beston"/>
            <filter val="MAKEBLOCK"/>
            <filter val="CAJA CHICA"/>
            <filter val="QDMECH"/>
            <filter val="Ecymeter"/>
            <filter val="HOLZSTAR"/>
            <filter val="KAMASA"/>
            <filter val="Autel"/>
            <filter val="LABTECH"/>
            <filter val="WOLFCRAFT"/>
            <filter val="Shandong Xingke Intelligent Technology Co., Ltd."/>
            <filter val="TARGUS"/>
            <filter val="Foshan City Shunde AIMC Electrical Appliances Co., Ltd."/>
            <filter val="HONOSON"/>
            <filter val="TOOLCARFT"/>
            <filter val="HUGO"/>
            <filter val="Panasonic"/>
            <filter val="AROZZI"/>
            <filter val="TBI"/>
            <filter val="Takema"/>
            <filter val="OPTIMUM"/>
            <filter val="NARGESA"/>
            <filter val="WELLER"/>
            <filter val="NACIONALES"/>
            <filter val="TEKA"/>
            <filter val="IME"/>
            <filter val="GRONDOY"/>
            <filter val="HOLZKRAFT"/>
            <filter val="Shouldshine"/>
            <filter val="TELWIN"/>
            <filter val="Torrey"/>
            <filter val="SCHNEIDER ELECTRIC"/>
            <filter val="SIEMENS"/>
            <filter val="CREALITY"/>
            <filter val="VE"/>
            <filter val="PRETUL"/>
            <filter val="SINMAG"/>
            <filter val="E-CALL"/>
            <filter val="TOTAL TOOLS"/>
            <filter val="BUNGARD"/>
            <filter val="Klein Tools"/>
            <filter val="KELING"/>
            <filter val="SHOULDSHINE"/>
            <filter val="MILKY"/>
            <filter val="Owon"/>
            <filter val="ROLAND"/>
            <filter val="MAXQUI"/>
            <filter val="MAKITA"/>
            <filter val="BERNARDO"/>
            <filter val="JUKI"/>
            <filter val="GW INSTEK"/>
            <filter val="CARBIDE 3D"/>
            <filter val="STECK"/>
            <filter val="SMAD"/>
            <filter val="AGA"/>
            <filter val="LAUNCH"/>
            <filter val="PEACO"/>
            <filter val="TOTAL"/>
            <filter val="OWON"/>
            <filter val="COLORFIT"/>
            <filter val="PHILIPS"/>
            <filter val="NOVIK"/>
            <filter val="AUTONICS"/>
            <filter val="TEDLAR"/>
            <filter val="AUTOLUMEN"/>
            <filter val="GOOT"/>
            <filter val="RYU"/>
            <filter val="TLAUNCH"/>
            <filter val="BRACSAN"/>
            <filter val="Truper"/>
            <filter val="QPKING"/>
            <filter val="INDUSTRIA CORTIJO"/>
            <filter val="Creality"/>
            <filter val="BERKLIN"/>
            <filter val="GENERICO"/>
            <filter val="MAHLE"/>
            <filter val="Laser"/>
            <filter val="Labtech"/>
            <filter val="SKYMSEN"/>
            <filter val="SCM"/>
            <filter val="OTC"/>
          </filters>
        </filterColumn>
        <filterColumn colId="22">
          <filters blank="1">
            <filter val="Técnica"/>
          </filters>
        </filterColumn>
        <filterColumn colId="18">
          <filters>
            <filter val="FALSE"/>
          </filters>
        </filterColumn>
      </autoFilter>
    </customSheetView>
    <customSheetView guid="{9085AB6F-8037-4797-9FB0-505AE80C8ECD}" filter="1" showAutoFilter="1">
      <autoFilter ref="$A$4:$AG$478">
        <filterColumn colId="22">
          <filters>
            <filter val="Técnica"/>
          </filters>
        </filterColumn>
        <filterColumn colId="19">
          <filters>
            <filter val="SINGAPUR ELECTRONICS"/>
            <filter val="DURACELL"/>
            <filter val="COMEX"/>
            <filter val="TRUPER"/>
            <filter val="FELDER"/>
            <filter val="MAXQI"/>
            <filter val="DELANI"/>
            <filter val="NOVA"/>
            <filter val="HP"/>
            <filter val="LeTkingok"/>
            <filter val="LUXIV"/>
            <filter val="DAKOTA"/>
            <filter val="DONGYI"/>
            <filter val="Duracell"/>
            <filter val="VELAURS"/>
            <filter val="EPSON"/>
            <filter val="WERKEN"/>
            <filter val="Genérico"/>
            <filter val="OSTER"/>
            <filter val="NEXXT SOLUTIONS"/>
            <filter val="HYMNORQ"/>
            <filter val="IMPORTECDIGITAL"/>
            <filter val="SUIN"/>
            <filter val="DXTECH"/>
            <filter val="BEIFANG"/>
            <filter val="BIOLOMIX"/>
            <filter val="Auolex"/>
            <filter val="DEWALT"/>
            <filter val="GENÉRICO"/>
            <filter val="SAMSUNG"/>
            <filter val="JANOME"/>
            <filter val="TTMC"/>
            <filter val="INOXOR"/>
            <filter val="DONALDSON"/>
            <filter val="SIERRA TECH"/>
            <filter val="Hualing"/>
            <filter val="CHOISE HIGH TECHNOLOGY"/>
            <filter val="TROTEC"/>
            <filter val="POWERTEC"/>
            <filter val="Playz"/>
            <filter val="ARDUINO"/>
            <filter val="LICCNOX"/>
            <filter val="MILLER"/>
            <filter val="SEW"/>
            <filter val="UNI-T"/>
            <filter val="STANLEY"/>
            <filter val="BK PRECISION"/>
            <filter val="PROMATISA"/>
            <filter val="LINOX"/>
            <filter val="BOSCH"/>
            <filter val="GOODYEAR"/>
            <filter val="GLONG"/>
            <filter val="KAILI"/>
            <filter val="GABARRO"/>
            <filter val="Shenzhen Talentcar Electronic Co., Ltd"/>
            <filter val="TAKEMA"/>
            <filter val="FRISTEEL"/>
            <filter val="SMEG"/>
            <filter val="OHAUS"/>
            <filter val="A MEDIDA"/>
            <filter val="Camelion"/>
            <filter val="METALLKRAFT"/>
            <filter val="Precisur"/>
            <filter val="SY"/>
            <filter val="DELCROSA"/>
            <filter val="BROTHER"/>
            <filter val="VIKALE"/>
            <filter val="EINHELL"/>
            <filter val="K&amp;H"/>
            <filter val="GTEE"/>
            <filter val="BESTSUB"/>
            <filter val="ESAB"/>
            <filter val="SEABERY"/>
            <filter val="PRINCESS"/>
            <filter val="DIXON"/>
            <filter val="HABOTEST"/>
            <filter val="PEPPERL+FUCHS"/>
            <filter val="A MEDIDA&#10;HUGO"/>
            <filter val="Zhengzhou Thrive Trade Co., Limited"/>
            <filter val="THOMAS"/>
            <filter val="CPG"/>
            <filter val="LG"/>
            <filter val="DAHAN VIBRATING MACHINERY"/>
            <filter val="ETCR"/>
            <filter val="HOLZMANN"/>
            <filter val="TW"/>
            <filter val="ZENITH LAB"/>
            <filter val="AEA Technology"/>
            <filter val="THUNDER LASER"/>
            <filter val="Beston"/>
            <filter val="MAKEBLOCK"/>
            <filter val="CAJA CHICA"/>
            <filter val="QDMECH"/>
            <filter val="Ecymeter"/>
            <filter val="HOLZSTAR"/>
            <filter val="KAMASA"/>
            <filter val="Autel"/>
            <filter val="LABTECH"/>
            <filter val="WOLFCRAFT"/>
            <filter val="Shandong Xingke Intelligent Technology Co., Ltd."/>
            <filter val="TARGUS"/>
            <filter val="Foshan City Shunde AIMC Electrical Appliances Co., Ltd."/>
            <filter val="HONOSON"/>
            <filter val="TOOLCARFT"/>
            <filter val="HUGO"/>
            <filter val="Panasonic"/>
            <filter val="AROZZI"/>
            <filter val="TBI"/>
            <filter val="Takema"/>
            <filter val="OPTIMUM"/>
            <filter val="NARGESA"/>
            <filter val="WELLER"/>
            <filter val="NACIONALES"/>
            <filter val="TEKA"/>
            <filter val="IME"/>
            <filter val="GRONDOY"/>
            <filter val="HOLZKRAFT"/>
            <filter val="Shouldshine"/>
            <filter val="TELWIN"/>
            <filter val="Torrey"/>
            <filter val="SCHNEIDER ELECTRIC"/>
            <filter val="SIEMENS"/>
            <filter val="CREALITY"/>
            <filter val="VE"/>
            <filter val="PRETUL"/>
            <filter val="SINMAG"/>
            <filter val="E-CALL"/>
            <filter val="TOTAL TOOLS"/>
            <filter val="BUNGARD"/>
            <filter val="Klein Tools"/>
            <filter val="KELING"/>
            <filter val="SHOULDSHINE"/>
            <filter val="MILKY"/>
            <filter val="Owon"/>
            <filter val="ROLAND"/>
            <filter val="MAXQUI"/>
            <filter val="MAKITA"/>
            <filter val="BERNARDO"/>
            <filter val="JUKI"/>
            <filter val="GW INSTEK"/>
            <filter val="CARBIDE 3D"/>
            <filter val="STECK"/>
            <filter val="SMAD"/>
            <filter val="AGA"/>
            <filter val="LAUNCH"/>
            <filter val="PEACO"/>
            <filter val="TOTAL"/>
            <filter val="OWON"/>
            <filter val="COLORFIT"/>
            <filter val="PHILIPS"/>
            <filter val="NOVIK"/>
            <filter val="AUTONICS"/>
            <filter val="TEDLAR"/>
            <filter val="AUTOLUMEN"/>
            <filter val="GOOT"/>
            <filter val="RYU"/>
            <filter val="TLAUNCH"/>
            <filter val="BRACSAN"/>
            <filter val="Truper"/>
            <filter val="QPKING"/>
            <filter val="INDUSTRIA CORTIJO"/>
            <filter val="Creality"/>
            <filter val="BERKLIN"/>
            <filter val="GENERICO"/>
            <filter val="MAHLE"/>
            <filter val="Laser"/>
            <filter val="Labtech"/>
            <filter val="SKYMSEN"/>
            <filter val="SCM"/>
            <filter val="OTC"/>
          </filters>
        </filterColumn>
      </autoFilter>
    </customSheetView>
    <customSheetView guid="{85DD4B17-26C7-4760-B02A-4CCDDCE525FE}" filter="1" showAutoFilter="1">
      <autoFilter ref="$A$4:$Z$5"/>
    </customSheetView>
    <customSheetView guid="{9063AE3F-660D-4527-A33A-71BB884ED82B}" filter="1" showAutoFilter="1">
      <autoFilter ref="$A$4:$AC$477">
        <filterColumn colId="3">
          <filters>
            <filter val="BIEN"/>
          </filters>
        </filterColumn>
        <filterColumn colId="22">
          <filters blank="1">
            <filter val="Técnica"/>
          </filters>
        </filterColumn>
        <sortState ref="A4:AC477">
          <sortCondition ref="G4:G477"/>
        </sortState>
      </autoFilter>
    </customSheetView>
  </customSheetViews>
  <mergeCells count="6">
    <mergeCell ref="B2:G2"/>
    <mergeCell ref="N2:Q2"/>
    <mergeCell ref="S2:V2"/>
    <mergeCell ref="N3:Q3"/>
    <mergeCell ref="S3:V3"/>
    <mergeCell ref="W3:Z3"/>
  </mergeCells>
  <conditionalFormatting sqref="A5:G478 H5:H419 I5:L478 H421:H478">
    <cfRule type="expression" dxfId="0" priority="1">
      <formula>IF( AND ( IF(COUNTIF($G5, "*.*") &gt; 0, FALSE, TRUE), $G5 &lt;&gt; "" ), TRUE, FALSE)</formula>
    </cfRule>
  </conditionalFormatting>
  <dataValidations>
    <dataValidation type="list" allowBlank="1" showErrorMessage="1" sqref="L6 L8 L10:L12 L14 L16 L19:L20 L22:L24 L27:L31 L33 L35 L38 L40 L44:L49 L51:L54 L60:L61 L65:L66 L72:L74 L77 L82:L87 L98 L100:L101 L103:L104 L106 L110 L119 L126:L131 L134 L144 L146:L148 L158 L160 L164 L168 L173:L178 L182:L183 L192 L194 L208 L214:L215 L219 L221 L224:L232 L236:L242 L247:L254 L256 L258:L260 L263:L267 L282:L285 L288 L290 L302 L317 L319 L321 L333 L340:L341 L345:L348 L353 L366 L371:L374 L376:L377 L379 L396:L397 L408 L410:L413 L416 L423:L425 L436:L439 L441:L448 L450 L453:L454 L456:L458 L460:L461 L469 L477 D5:D478">
      <formula1>"ACCESORIO,BIEN,COMPONENTE"</formula1>
    </dataValidation>
    <dataValidation type="list" allowBlank="1" showErrorMessage="1" sqref="X5:X478">
      <formula1>"NACIONAL,INTERNACIONAL,INT/NAC"</formula1>
    </dataValidation>
    <dataValidation type="list" allowBlank="1" showErrorMessage="1" sqref="L5 L7 L9 L13 L15 L17:L18 L21 L25:L26 L32 L34 L36:L37 L39 L41:L43 L50 L55:L59 L62:L64 L67:L71 L75:L76 L78:L81 L88:L97 L99 L102 L105 L107:L109 L111:L118 L120:L125 L132:L133 L135:L143 L145 L149:L157 L159 L161:L163 L165:L167 L169:L172 L179:L181 L184:L191 L193 L195:L207 L209:L213 L216:L218 L220 L222:L223 L233:L235 L243:L246 L255 L257 L261:L262 L268:L281 L286:L287 L289 L291:L301 L303:L316 L318 L320 L322:L332 L334:L339 L342:L344 L349:L352 L354:L365 L367:L370 L375 L378 L380:L395 L398:L407 L409 L414:L415 L417:L422 L426:L435 L440 L449 L451:L452 L455 L459 L462:L468 L470:L472 L474:L476 L478">
      <formula1>"COCINA Y REPOSTERÍA,COMPUTACIÓN E INFORMÁTICA,CONSTRUCCIONES METÁLICAS,EBANISTERÍA,ELECTRICIDAD,ELECTRÓNICA,INDUSTRIA ALIMENTARIA,INDUSTRIA DEL VESTIDO,MECÁNICA AUTOMOTRÍZ"</formula1>
    </dataValidation>
    <dataValidation type="list" allowBlank="1" showErrorMessage="1" sqref="W5:W478">
      <formula1>"Técnica,Simple,Hugo,Camila,NO ESTÁ EN REQ"</formula1>
    </dataValidation>
  </dataValidations>
  <hyperlinks>
    <hyperlink r:id="rId2" ref="M5"/>
    <hyperlink r:id="rId3" location="gid=0" ref="R5"/>
    <hyperlink r:id="rId4" ref="M7"/>
    <hyperlink r:id="rId5" location="gid=0" ref="R7"/>
    <hyperlink r:id="rId6" ref="M9"/>
    <hyperlink r:id="rId7" location="gid=0" ref="R9"/>
    <hyperlink r:id="rId8" ref="Q10"/>
    <hyperlink r:id="rId9" ref="Q11"/>
    <hyperlink r:id="rId10" ref="M13"/>
    <hyperlink r:id="rId11" location="gid=0" ref="R13"/>
    <hyperlink r:id="rId12" ref="M15"/>
    <hyperlink r:id="rId13" location="gid=0" ref="R15"/>
    <hyperlink r:id="rId14" ref="M17"/>
    <hyperlink r:id="rId15" location="gid=0" ref="R17"/>
    <hyperlink r:id="rId16" ref="M18"/>
    <hyperlink r:id="rId17" ref="R18"/>
    <hyperlink r:id="rId18" ref="M21"/>
    <hyperlink r:id="rId19" location="gid=0" ref="R21"/>
    <hyperlink r:id="rId20" ref="Q22"/>
    <hyperlink r:id="rId21" ref="V22"/>
    <hyperlink r:id="rId22" ref="M25"/>
    <hyperlink r:id="rId23" location="gid=0" ref="R25"/>
    <hyperlink r:id="rId24" ref="M26"/>
    <hyperlink r:id="rId25" ref="R26"/>
    <hyperlink r:id="rId26" ref="M32"/>
    <hyperlink r:id="rId27" location="gid=0" ref="R32"/>
    <hyperlink r:id="rId28" ref="Q33"/>
    <hyperlink r:id="rId29" ref="V33"/>
    <hyperlink r:id="rId30" ref="M34"/>
    <hyperlink r:id="rId31" location="gid=0" ref="R34"/>
    <hyperlink r:id="rId32" ref="M36"/>
    <hyperlink r:id="rId33" ref="R36"/>
    <hyperlink r:id="rId34" ref="M37"/>
    <hyperlink r:id="rId35" location="gid=0" ref="R37"/>
    <hyperlink r:id="rId36" ref="M39"/>
    <hyperlink r:id="rId37" location="gid=0" ref="R39"/>
    <hyperlink r:id="rId38" ref="M42"/>
    <hyperlink r:id="rId39" location="gid=0" ref="R42"/>
    <hyperlink r:id="rId40" ref="M43"/>
    <hyperlink r:id="rId41" location="gid=0" ref="R43"/>
    <hyperlink r:id="rId42" ref="Q44"/>
    <hyperlink r:id="rId43" ref="Q46"/>
    <hyperlink r:id="rId44" ref="Q47"/>
    <hyperlink r:id="rId45" ref="Q48"/>
    <hyperlink r:id="rId46" ref="Q49"/>
    <hyperlink r:id="rId47" ref="M50"/>
    <hyperlink r:id="rId48" location="gid=0" ref="R50"/>
    <hyperlink r:id="rId49" ref="M55"/>
    <hyperlink r:id="rId50" ref="R55"/>
    <hyperlink r:id="rId51" ref="M57"/>
    <hyperlink r:id="rId52" location="gid=0" ref="R57"/>
    <hyperlink r:id="rId53" ref="M58"/>
    <hyperlink r:id="rId54" ref="R58"/>
    <hyperlink r:id="rId55" ref="M59"/>
    <hyperlink r:id="rId56" location="gid=0" ref="R59"/>
    <hyperlink r:id="rId57" ref="V59"/>
    <hyperlink r:id="rId58" ref="Q60"/>
    <hyperlink r:id="rId59" ref="V60"/>
    <hyperlink r:id="rId60" location="polycard_client=search-nordic&amp;search_layout=grid&amp;position=3&amp;type=product&amp;tracking_id=b698c16e-d0c3-44e1-afb3-1f63d512b4de&amp;wid=MPE622495745&amp;sid=search" ref="Q61"/>
    <hyperlink r:id="rId61" ref="V61"/>
    <hyperlink r:id="rId62" ref="M62"/>
    <hyperlink r:id="rId63" ref="R62"/>
    <hyperlink r:id="rId64" ref="M63"/>
    <hyperlink r:id="rId65" location="gid=0" ref="R63"/>
    <hyperlink r:id="rId66" ref="M64"/>
    <hyperlink r:id="rId67" ref="R64"/>
    <hyperlink r:id="rId68" ref="M69"/>
    <hyperlink r:id="rId69" ref="R69"/>
    <hyperlink r:id="rId70" ref="M70"/>
    <hyperlink r:id="rId71" location="gid=0" ref="R70"/>
    <hyperlink r:id="rId72" ref="M71"/>
    <hyperlink r:id="rId73" location="gid=1163844916" ref="R71"/>
    <hyperlink r:id="rId74" ref="Q72"/>
    <hyperlink r:id="rId75" ref="V72"/>
    <hyperlink r:id="rId76" ref="Q73"/>
    <hyperlink r:id="rId77" ref="V73"/>
    <hyperlink r:id="rId78" ref="M75"/>
    <hyperlink r:id="rId79" location="gid=0" ref="R75"/>
    <hyperlink r:id="rId80" ref="M76"/>
    <hyperlink r:id="rId81" ref="R76"/>
    <hyperlink r:id="rId82" location="gid=0" ref="V76"/>
    <hyperlink r:id="rId83" ref="Q77"/>
    <hyperlink r:id="rId84" ref="V77"/>
    <hyperlink r:id="rId85" ref="M78"/>
    <hyperlink r:id="rId86" ref="R78"/>
    <hyperlink r:id="rId87" ref="M79"/>
    <hyperlink r:id="rId88" ref="R79"/>
    <hyperlink r:id="rId89" ref="M80"/>
    <hyperlink r:id="rId90" ref="R80"/>
    <hyperlink r:id="rId91" ref="M81"/>
    <hyperlink r:id="rId92" ref="R81"/>
    <hyperlink r:id="rId93" ref="Q82"/>
    <hyperlink r:id="rId94" ref="Q83"/>
    <hyperlink r:id="rId95" ref="Q84"/>
    <hyperlink r:id="rId96" ref="Q85"/>
    <hyperlink r:id="rId97" ref="Q86"/>
    <hyperlink r:id="rId98" ref="M88"/>
    <hyperlink r:id="rId99" location="gid=0" ref="R88"/>
    <hyperlink r:id="rId100" ref="M89"/>
    <hyperlink r:id="rId101" location="gid=0" ref="R89"/>
    <hyperlink r:id="rId102" ref="M91"/>
    <hyperlink r:id="rId103" location="gid=0" ref="R91"/>
    <hyperlink r:id="rId104" ref="M93"/>
    <hyperlink r:id="rId105" location="gid=0" ref="R93"/>
    <hyperlink r:id="rId106" ref="M95"/>
    <hyperlink r:id="rId107" location="gid=0" ref="R95"/>
    <hyperlink r:id="rId108" ref="M96"/>
    <hyperlink r:id="rId109" location="gid=0" ref="R96"/>
    <hyperlink r:id="rId110" ref="M97"/>
    <hyperlink r:id="rId111" location="gid=0" ref="R97"/>
    <hyperlink r:id="rId112" ref="M99"/>
    <hyperlink r:id="rId113" ref="R99"/>
    <hyperlink r:id="rId114" ref="Q100"/>
    <hyperlink r:id="rId115" ref="V100"/>
    <hyperlink r:id="rId116" ref="Q101"/>
    <hyperlink r:id="rId117" ref="M102"/>
    <hyperlink r:id="rId118" ref="R102"/>
    <hyperlink r:id="rId119" ref="Q103"/>
    <hyperlink r:id="rId120" ref="V103"/>
    <hyperlink r:id="rId121" ref="M105"/>
    <hyperlink r:id="rId122" ref="M107"/>
    <hyperlink r:id="rId123" ref="R107"/>
    <hyperlink r:id="rId124" ref="M108"/>
    <hyperlink r:id="rId125" ref="R108"/>
    <hyperlink r:id="rId126" ref="M109"/>
    <hyperlink r:id="rId127" ref="R109"/>
    <hyperlink r:id="rId128" ref="M111"/>
    <hyperlink r:id="rId129" ref="R111"/>
    <hyperlink r:id="rId130" ref="M113"/>
    <hyperlink r:id="rId131" ref="R113"/>
    <hyperlink r:id="rId132" ref="M116"/>
    <hyperlink r:id="rId133" ref="R116"/>
    <hyperlink r:id="rId134" ref="V117"/>
    <hyperlink r:id="rId135" ref="M118"/>
    <hyperlink r:id="rId136" location="gid=0" ref="R118"/>
    <hyperlink r:id="rId137" ref="M120"/>
    <hyperlink r:id="rId138" ref="R120"/>
    <hyperlink r:id="rId139" ref="V121"/>
    <hyperlink r:id="rId140" ref="V122"/>
    <hyperlink r:id="rId141" ref="M124"/>
    <hyperlink r:id="rId142" ref="R124"/>
    <hyperlink r:id="rId143" ref="M125"/>
    <hyperlink r:id="rId144" location="gid=0" ref="R125"/>
    <hyperlink r:id="rId145" ref="Q127"/>
    <hyperlink r:id="rId146" ref="U127"/>
    <hyperlink r:id="rId147" ref="U128"/>
    <hyperlink r:id="rId148" ref="U129"/>
    <hyperlink r:id="rId149" ref="U130"/>
    <hyperlink r:id="rId150" ref="U131"/>
    <hyperlink r:id="rId151" ref="M132"/>
    <hyperlink r:id="rId152" location="gid=0" ref="R132"/>
    <hyperlink r:id="rId153" ref="M133"/>
    <hyperlink r:id="rId154" ref="R133"/>
    <hyperlink r:id="rId155" ref="M135"/>
    <hyperlink r:id="rId156" location="gid=0" ref="R135"/>
    <hyperlink r:id="rId157" ref="M136"/>
    <hyperlink r:id="rId158" ref="R136"/>
    <hyperlink r:id="rId159" ref="M137"/>
    <hyperlink r:id="rId160" ref="R137"/>
    <hyperlink r:id="rId161" ref="M138"/>
    <hyperlink r:id="rId162" ref="R138"/>
    <hyperlink r:id="rId163" ref="M139"/>
    <hyperlink r:id="rId164" location="gid=0" ref="R139"/>
    <hyperlink r:id="rId165" ref="M140"/>
    <hyperlink r:id="rId166" location="gid=0" ref="R140"/>
    <hyperlink r:id="rId167" ref="M141"/>
    <hyperlink r:id="rId168" location="gid=0" ref="R141"/>
    <hyperlink r:id="rId169" ref="M142"/>
    <hyperlink r:id="rId170" location="gid=0" ref="R142"/>
    <hyperlink r:id="rId171" ref="M143"/>
    <hyperlink r:id="rId172" ref="R143"/>
    <hyperlink r:id="rId173" ref="M145"/>
    <hyperlink r:id="rId174" location="gid=0" ref="R145"/>
    <hyperlink r:id="rId175" ref="V147"/>
    <hyperlink r:id="rId176" ref="M150"/>
    <hyperlink r:id="rId177" location="gid=0" ref="R150"/>
    <hyperlink r:id="rId178" ref="M152"/>
    <hyperlink r:id="rId179" ref="R152"/>
    <hyperlink r:id="rId180" ref="M153"/>
    <hyperlink r:id="rId181" location="gid=0" ref="R153"/>
    <hyperlink r:id="rId182" ref="V153"/>
    <hyperlink r:id="rId183" ref="M154"/>
    <hyperlink r:id="rId184" ref="R154"/>
    <hyperlink r:id="rId185" ref="M155"/>
    <hyperlink r:id="rId186" ref="R155"/>
    <hyperlink r:id="rId187" ref="M156"/>
    <hyperlink r:id="rId188" location="gid=0" ref="R156"/>
    <hyperlink r:id="rId189" ref="M157"/>
    <hyperlink r:id="rId190" location="gid=0" ref="R157"/>
    <hyperlink r:id="rId191" ref="M159"/>
    <hyperlink r:id="rId192" location="gid=0" ref="R159"/>
    <hyperlink r:id="rId193" ref="Q160"/>
    <hyperlink r:id="rId194" ref="M163"/>
    <hyperlink r:id="rId195" location="gid=0" ref="R163"/>
    <hyperlink r:id="rId196" ref="Q164"/>
    <hyperlink r:id="rId197" ref="M167"/>
    <hyperlink r:id="rId198" location="gid=0" ref="R167"/>
    <hyperlink r:id="rId199" ref="Q168"/>
    <hyperlink r:id="rId200" ref="M171"/>
    <hyperlink r:id="rId201" location="gid=0" ref="R171"/>
    <hyperlink r:id="rId202" ref="M172"/>
    <hyperlink r:id="rId203" ref="R172"/>
    <hyperlink r:id="rId204" location="/42-color-cyan" ref="Q173"/>
    <hyperlink r:id="rId205" location="/44-color-yellow" ref="Q174"/>
    <hyperlink r:id="rId206" location="/43-color-magenta" ref="Q175"/>
    <hyperlink r:id="rId207" location="/45-color-black" ref="Q176"/>
    <hyperlink r:id="rId208" location="/34-formato-a4" ref="Q177"/>
    <hyperlink r:id="rId209" ref="Q178"/>
    <hyperlink r:id="rId210" ref="M179"/>
    <hyperlink r:id="rId211" location="gid=0" ref="R179"/>
    <hyperlink r:id="rId212" ref="M180"/>
    <hyperlink r:id="rId213" location="gid=0" ref="R180"/>
    <hyperlink r:id="rId214" ref="M181"/>
    <hyperlink r:id="rId215" location="gid=0" ref="R181"/>
    <hyperlink r:id="rId216" ref="Q182"/>
    <hyperlink r:id="rId217" ref="V182"/>
    <hyperlink r:id="rId218" ref="M186"/>
    <hyperlink r:id="rId219" ref="R186"/>
    <hyperlink r:id="rId220" ref="M187"/>
    <hyperlink r:id="rId221" ref="N187"/>
    <hyperlink r:id="rId222" location="gid=0" ref="R187"/>
    <hyperlink r:id="rId223" ref="M190"/>
    <hyperlink r:id="rId224" ref="R190"/>
    <hyperlink r:id="rId225" ref="M191"/>
    <hyperlink r:id="rId226" location="gid=0" ref="R191"/>
    <hyperlink r:id="rId227" ref="M193"/>
    <hyperlink r:id="rId228" location="gid=0" ref="R193"/>
    <hyperlink r:id="rId229" ref="Q194"/>
    <hyperlink r:id="rId230" ref="M196"/>
    <hyperlink r:id="rId231" ref="R196"/>
    <hyperlink r:id="rId232" ref="M198"/>
    <hyperlink r:id="rId233" ref="R198"/>
    <hyperlink r:id="rId234" ref="M204"/>
    <hyperlink r:id="rId235" location="gid=0" ref="R204"/>
    <hyperlink r:id="rId236" ref="M206"/>
    <hyperlink r:id="rId237" location="gid=0" ref="R206"/>
    <hyperlink r:id="rId238" ref="M207"/>
    <hyperlink r:id="rId239" ref="R207"/>
    <hyperlink r:id="rId240" ref="M210"/>
    <hyperlink r:id="rId241" location="gid=0" ref="R210"/>
    <hyperlink r:id="rId242" ref="M211"/>
    <hyperlink r:id="rId243" location="gid=0" ref="R211"/>
    <hyperlink r:id="rId244" ref="M212"/>
    <hyperlink r:id="rId245" location="gid=0" ref="R212"/>
    <hyperlink r:id="rId246" ref="M213"/>
    <hyperlink r:id="rId247" location="gid=0" ref="R213"/>
    <hyperlink r:id="rId248" ref="M218"/>
    <hyperlink r:id="rId249" location="gid=1163844916" ref="R218"/>
    <hyperlink r:id="rId250" ref="M220"/>
    <hyperlink r:id="rId251" location="gid=0" ref="R220"/>
    <hyperlink r:id="rId252" ref="M222"/>
    <hyperlink r:id="rId253" ref="R222"/>
    <hyperlink r:id="rId254" ref="M223"/>
    <hyperlink r:id="rId255" ref="R223"/>
    <hyperlink r:id="rId256" ref="M233"/>
    <hyperlink r:id="rId257" ref="R233"/>
    <hyperlink r:id="rId258" ref="M235"/>
    <hyperlink r:id="rId259" location="gid=0" ref="R235"/>
    <hyperlink r:id="rId260" ref="V236"/>
    <hyperlink r:id="rId261" ref="M243"/>
    <hyperlink r:id="rId262" location="gid=0" ref="R243"/>
    <hyperlink r:id="rId263" ref="M244"/>
    <hyperlink r:id="rId264" location="gid=0" ref="R244"/>
    <hyperlink r:id="rId265" ref="M245"/>
    <hyperlink r:id="rId266" location="gid=0" ref="R245"/>
    <hyperlink r:id="rId267" ref="M246"/>
    <hyperlink r:id="rId268" location="gid=0" ref="R246"/>
    <hyperlink r:id="rId269" ref="M255"/>
    <hyperlink r:id="rId270" location="gid=0" ref="R255"/>
    <hyperlink r:id="rId271" ref="M257"/>
    <hyperlink r:id="rId272" location="gid=0" ref="R257"/>
    <hyperlink r:id="rId273" ref="V261"/>
    <hyperlink r:id="rId274" ref="M262"/>
    <hyperlink r:id="rId275" location="gid=0" ref="R262"/>
    <hyperlink r:id="rId276" ref="V264"/>
    <hyperlink r:id="rId277" ref="V265"/>
    <hyperlink r:id="rId278" ref="V266"/>
    <hyperlink r:id="rId279" ref="V267"/>
    <hyperlink r:id="rId280" ref="M268"/>
    <hyperlink r:id="rId281" ref="R268"/>
    <hyperlink r:id="rId282" ref="M269"/>
    <hyperlink r:id="rId283" location="gid=0" ref="R269"/>
    <hyperlink r:id="rId284" ref="M270"/>
    <hyperlink r:id="rId285" location="gid=0" ref="R270"/>
    <hyperlink r:id="rId286" ref="M271"/>
    <hyperlink r:id="rId287" ref="R271"/>
    <hyperlink r:id="rId288" ref="M272"/>
    <hyperlink r:id="rId289" ref="R272"/>
    <hyperlink r:id="rId290" ref="M273"/>
    <hyperlink r:id="rId291" location="gid=0" ref="R273"/>
    <hyperlink r:id="rId292" ref="M274"/>
    <hyperlink r:id="rId293" location="gid=0" ref="R274"/>
    <hyperlink r:id="rId294" ref="V275"/>
    <hyperlink r:id="rId295" ref="M276"/>
    <hyperlink r:id="rId296" location="gid=0" ref="R276"/>
    <hyperlink r:id="rId297" ref="M277"/>
    <hyperlink r:id="rId298" location="gid=0" ref="R277"/>
    <hyperlink r:id="rId299" ref="M278"/>
    <hyperlink r:id="rId300" location="gid=0" ref="R278"/>
    <hyperlink r:id="rId301" ref="M279"/>
    <hyperlink r:id="rId302" location="gid=0" ref="R279"/>
    <hyperlink r:id="rId303" ref="M280"/>
    <hyperlink r:id="rId304" location="gid=2" ref="R280"/>
    <hyperlink r:id="rId305" ref="M281"/>
    <hyperlink r:id="rId306" location="gid=0" ref="R281"/>
    <hyperlink r:id="rId307" ref="M286"/>
    <hyperlink r:id="rId308" location="gid=0" ref="R286"/>
    <hyperlink r:id="rId309" ref="M287"/>
    <hyperlink r:id="rId310" location="gid=0" ref="R287"/>
    <hyperlink r:id="rId311" ref="Q288"/>
    <hyperlink r:id="rId312" ref="M289"/>
    <hyperlink r:id="rId313" location="gid=0" ref="R289"/>
    <hyperlink r:id="rId314" ref="Q290"/>
    <hyperlink r:id="rId315" ref="M292"/>
    <hyperlink r:id="rId316" ref="R292"/>
    <hyperlink r:id="rId317" ref="V293"/>
    <hyperlink r:id="rId318" ref="M294"/>
    <hyperlink r:id="rId319" location="gid=763252401" ref="R294"/>
    <hyperlink r:id="rId320" ref="M295"/>
    <hyperlink r:id="rId321" ref="R295"/>
    <hyperlink r:id="rId322" ref="V296"/>
    <hyperlink r:id="rId323" ref="M297"/>
    <hyperlink r:id="rId324" location="gid=0" ref="R297"/>
    <hyperlink r:id="rId325" ref="M298"/>
    <hyperlink r:id="rId326" location="gid=0" ref="R298"/>
    <hyperlink r:id="rId327" ref="M299"/>
    <hyperlink r:id="rId328" location="gid=1" ref="R299"/>
    <hyperlink r:id="rId329" ref="M300"/>
    <hyperlink r:id="rId330" location="gid=0" ref="R300"/>
    <hyperlink r:id="rId331" ref="M301"/>
    <hyperlink r:id="rId332" location="gid=0" ref="R301"/>
    <hyperlink r:id="rId333" location="overview" ref="Q302"/>
    <hyperlink r:id="rId334" ref="M305"/>
    <hyperlink r:id="rId335" location="gid=0" ref="R305"/>
    <hyperlink r:id="rId336" ref="M306"/>
    <hyperlink r:id="rId337" location="gid=0" ref="R306"/>
    <hyperlink r:id="rId338" ref="M307"/>
    <hyperlink r:id="rId339" location="gid=0" ref="R307"/>
    <hyperlink r:id="rId340" ref="M308"/>
    <hyperlink r:id="rId341" location="gid=1" ref="R308"/>
    <hyperlink r:id="rId342" ref="M309"/>
    <hyperlink r:id="rId343" location="gid=0" ref="R309"/>
    <hyperlink r:id="rId344" ref="M310"/>
    <hyperlink r:id="rId345" location="gid=0" ref="R310"/>
    <hyperlink r:id="rId346" ref="M311"/>
    <hyperlink r:id="rId347" location="gid=0" ref="R311"/>
    <hyperlink r:id="rId348" ref="M312"/>
    <hyperlink r:id="rId349" location="gid=0" ref="R312"/>
    <hyperlink r:id="rId350" ref="M313"/>
    <hyperlink r:id="rId351" location="gid=0" ref="R313"/>
    <hyperlink r:id="rId352" ref="M314"/>
    <hyperlink r:id="rId353" location="gid=0" ref="R314"/>
    <hyperlink r:id="rId354" ref="M315"/>
    <hyperlink r:id="rId355" location="gid=1" ref="R315"/>
    <hyperlink r:id="rId356" ref="M316"/>
    <hyperlink r:id="rId357" location="gid=0" ref="R316"/>
    <hyperlink r:id="rId358" ref="M318"/>
    <hyperlink r:id="rId359" location="gid=0" ref="R318"/>
    <hyperlink r:id="rId360" ref="M320"/>
    <hyperlink r:id="rId361" location="gid=0" ref="R320"/>
    <hyperlink r:id="rId362" ref="M322"/>
    <hyperlink r:id="rId363" location="gid=0" ref="R322"/>
    <hyperlink r:id="rId364" ref="M323"/>
    <hyperlink r:id="rId365" location="gid=0" ref="R323"/>
    <hyperlink r:id="rId366" ref="M324"/>
    <hyperlink r:id="rId367" location="gid=0" ref="R324"/>
    <hyperlink r:id="rId368" ref="M325"/>
    <hyperlink r:id="rId369" ref="R325"/>
    <hyperlink r:id="rId370" ref="M327"/>
    <hyperlink r:id="rId371" location="gid=0" ref="R327"/>
    <hyperlink r:id="rId372" ref="M329"/>
    <hyperlink r:id="rId373" location="gid=0" ref="R329"/>
    <hyperlink r:id="rId374" ref="M331"/>
    <hyperlink r:id="rId375" location="gid=1150693014" ref="R331"/>
    <hyperlink r:id="rId376" ref="M332"/>
    <hyperlink r:id="rId377" location="gid=0" ref="R332"/>
    <hyperlink r:id="rId378" ref="M334"/>
    <hyperlink r:id="rId379" ref="R334"/>
    <hyperlink r:id="rId380" ref="M336"/>
    <hyperlink r:id="rId381" ref="R336"/>
    <hyperlink r:id="rId382" ref="M338"/>
    <hyperlink r:id="rId383" location="gid=0" ref="R338"/>
    <hyperlink r:id="rId384" ref="M339"/>
    <hyperlink r:id="rId385" location="gid=1488611104" ref="R339"/>
    <hyperlink r:id="rId386" ref="V339"/>
    <hyperlink r:id="rId387" ref="M342"/>
    <hyperlink r:id="rId388" location="gid=0" ref="R342"/>
    <hyperlink r:id="rId389" ref="M343"/>
    <hyperlink r:id="rId390" location="gid=0" ref="R343"/>
    <hyperlink r:id="rId391" ref="M344"/>
    <hyperlink r:id="rId392" location="gid=0" ref="R344"/>
    <hyperlink r:id="rId393" ref="Q345"/>
    <hyperlink r:id="rId394" ref="Q346"/>
    <hyperlink r:id="rId395" ref="Q347"/>
    <hyperlink r:id="rId396" ref="Q348"/>
    <hyperlink r:id="rId397" ref="V348"/>
    <hyperlink r:id="rId398" ref="M351"/>
    <hyperlink r:id="rId399" location="gid=0" ref="R351"/>
    <hyperlink r:id="rId400" ref="M352"/>
    <hyperlink r:id="rId401" ref="R352"/>
    <hyperlink r:id="rId402" ref="M354"/>
    <hyperlink r:id="rId403" location="gid=0" ref="R354"/>
    <hyperlink r:id="rId404" ref="M365"/>
    <hyperlink r:id="rId405" ref="R365"/>
    <hyperlink r:id="rId406" ref="Q366"/>
    <hyperlink r:id="rId407" ref="M368"/>
    <hyperlink r:id="rId408" location="gid=0" ref="R368"/>
    <hyperlink r:id="rId409" ref="M369"/>
    <hyperlink r:id="rId410" location="gid=0" ref="R369"/>
    <hyperlink r:id="rId411" ref="M370"/>
    <hyperlink r:id="rId412" ref="R370"/>
    <hyperlink r:id="rId413" ref="Q371"/>
    <hyperlink r:id="rId414" ref="V371"/>
    <hyperlink r:id="rId415" ref="Q372"/>
    <hyperlink r:id="rId416" ref="V372"/>
    <hyperlink r:id="rId417" ref="M375"/>
    <hyperlink r:id="rId418" location="gid=0" ref="R375"/>
    <hyperlink r:id="rId419" ref="Q376"/>
    <hyperlink r:id="rId420" ref="V376"/>
    <hyperlink r:id="rId421" location="polycard_client=search-nordic&amp;search_layout=grid&amp;position=3&amp;type=product&amp;tracking_id=b698c16e-d0c3-44e1-afb3-1f63d512b4de&amp;wid=MPE622495745&amp;sid=search" ref="Q377"/>
    <hyperlink r:id="rId422" location="polycard_client=search-nordic&amp;search_layout=grid&amp;position=3&amp;type=product&amp;tracking_id=b698c16e-d0c3-44e1-afb3-1f63d512b4de&amp;wid=MPE622495745&amp;sid=search" ref="V377"/>
    <hyperlink r:id="rId423" ref="M378"/>
    <hyperlink r:id="rId424" ref="R378"/>
    <hyperlink r:id="rId425" ref="Q379"/>
    <hyperlink r:id="rId426" ref="V379"/>
    <hyperlink r:id="rId427" ref="M380"/>
    <hyperlink r:id="rId428" location="gid=0" ref="R380"/>
    <hyperlink r:id="rId429" ref="M381"/>
    <hyperlink r:id="rId430" location="gid=0" ref="R381"/>
    <hyperlink r:id="rId431" ref="M382"/>
    <hyperlink r:id="rId432" ref="R382"/>
    <hyperlink r:id="rId433" ref="M383"/>
    <hyperlink r:id="rId434" ref="R383"/>
    <hyperlink r:id="rId435" ref="M384"/>
    <hyperlink r:id="rId436" ref="R384"/>
    <hyperlink r:id="rId437" ref="M386"/>
    <hyperlink r:id="rId438" ref="R386"/>
    <hyperlink r:id="rId439" ref="M389"/>
    <hyperlink r:id="rId440" ref="R389"/>
    <hyperlink r:id="rId441" ref="M390"/>
    <hyperlink r:id="rId442" location="gid=0" ref="R390"/>
    <hyperlink r:id="rId443" ref="M391"/>
    <hyperlink r:id="rId444" location="gid=0" ref="R391"/>
    <hyperlink r:id="rId445" ref="M392"/>
    <hyperlink r:id="rId446" location="gid=0" ref="R392"/>
    <hyperlink r:id="rId447" ref="M393"/>
    <hyperlink r:id="rId448" location="gid=0" ref="R393"/>
    <hyperlink r:id="rId449" ref="M394"/>
    <hyperlink r:id="rId450" location="gid=0" ref="R394"/>
    <hyperlink r:id="rId451" ref="M395"/>
    <hyperlink r:id="rId452" location="gid=0" ref="R395"/>
    <hyperlink r:id="rId453" ref="Q396"/>
    <hyperlink r:id="rId454" ref="Q397"/>
    <hyperlink r:id="rId455" ref="M398"/>
    <hyperlink r:id="rId456" location="gid=0" ref="R398"/>
    <hyperlink r:id="rId457" ref="M399"/>
    <hyperlink r:id="rId458" location="gid=0" ref="R399"/>
    <hyperlink r:id="rId459" ref="M400"/>
    <hyperlink r:id="rId460" location="gid=973807555" ref="R400"/>
    <hyperlink r:id="rId461" ref="M401"/>
    <hyperlink r:id="rId462" ref="R401"/>
    <hyperlink r:id="rId463" ref="Q402"/>
    <hyperlink r:id="rId464" ref="V402"/>
    <hyperlink r:id="rId465" ref="M403"/>
    <hyperlink r:id="rId466" ref="R403"/>
    <hyperlink r:id="rId467" ref="M404"/>
    <hyperlink r:id="rId468" location="gid=133262527" ref="R404"/>
    <hyperlink r:id="rId469" ref="M405"/>
    <hyperlink r:id="rId470" location="gid=0" ref="R405"/>
    <hyperlink r:id="rId471" ref="M406"/>
    <hyperlink r:id="rId472" ref="R406"/>
    <hyperlink r:id="rId473" ref="M407"/>
    <hyperlink r:id="rId474" location="gid=0" ref="R407"/>
    <hyperlink r:id="rId475" ref="Q408"/>
    <hyperlink r:id="rId476" ref="V408"/>
    <hyperlink r:id="rId477" ref="M409"/>
    <hyperlink r:id="rId478" location="gid=0" ref="R409"/>
    <hyperlink r:id="rId479" ref="V413"/>
    <hyperlink r:id="rId480" ref="M414"/>
    <hyperlink r:id="rId481" location="gid=0" ref="R414"/>
    <hyperlink r:id="rId482" ref="M415"/>
    <hyperlink r:id="rId483" location="gid=0" ref="R415"/>
    <hyperlink r:id="rId484" ref="M417"/>
    <hyperlink r:id="rId485" location="gid=0" ref="R417"/>
    <hyperlink r:id="rId486" ref="M418"/>
    <hyperlink r:id="rId487" location="gid=0" ref="R418"/>
    <hyperlink r:id="rId488" ref="M419"/>
    <hyperlink r:id="rId489" ref="R419"/>
    <hyperlink r:id="rId490" ref="V420"/>
    <hyperlink r:id="rId491" ref="V421"/>
    <hyperlink r:id="rId492" ref="M422"/>
    <hyperlink r:id="rId493" location="gid=1527760384" ref="R422"/>
    <hyperlink r:id="rId494" ref="Q423"/>
    <hyperlink r:id="rId495" ref="M426"/>
    <hyperlink r:id="rId496" location="gid=1700508860" ref="R426"/>
    <hyperlink r:id="rId497" ref="M427"/>
    <hyperlink r:id="rId498" location="gid=0" ref="R427"/>
    <hyperlink r:id="rId499" ref="M428"/>
    <hyperlink r:id="rId500" location="gid=0" ref="R428"/>
    <hyperlink r:id="rId501" ref="M429"/>
    <hyperlink r:id="rId502" location="gid=0" ref="R429"/>
    <hyperlink r:id="rId503" ref="M430"/>
    <hyperlink r:id="rId504" location="gid=0" ref="R430"/>
    <hyperlink r:id="rId505" ref="M431"/>
    <hyperlink r:id="rId506" ref="R431"/>
    <hyperlink r:id="rId507" ref="M432"/>
    <hyperlink r:id="rId508" location="gid=0" ref="R432"/>
    <hyperlink r:id="rId509" ref="M434"/>
    <hyperlink r:id="rId510" location="gid=0" ref="R434"/>
    <hyperlink r:id="rId511" ref="M435"/>
    <hyperlink r:id="rId512" ref="R435"/>
    <hyperlink r:id="rId513" ref="Q436"/>
    <hyperlink r:id="rId514" ref="Q437"/>
    <hyperlink r:id="rId515" ref="Q438"/>
    <hyperlink r:id="rId516" ref="Q439"/>
    <hyperlink r:id="rId517" ref="M440"/>
    <hyperlink r:id="rId518" location="gid=0" ref="R440"/>
    <hyperlink r:id="rId519" ref="Q441"/>
    <hyperlink r:id="rId520" ref="Q442"/>
    <hyperlink r:id="rId521" ref="Q443"/>
    <hyperlink r:id="rId522" ref="Q444"/>
    <hyperlink r:id="rId523" ref="Q445"/>
    <hyperlink r:id="rId524" ref="Q446"/>
    <hyperlink r:id="rId525" ref="Q447"/>
    <hyperlink r:id="rId526" ref="Q448"/>
    <hyperlink r:id="rId527" ref="M449"/>
    <hyperlink r:id="rId528" location="gid=0" ref="R449"/>
    <hyperlink r:id="rId529" ref="Q450"/>
    <hyperlink r:id="rId530" ref="M451"/>
    <hyperlink r:id="rId531" location="gid=0" ref="R451"/>
    <hyperlink r:id="rId532" ref="M452"/>
    <hyperlink r:id="rId533" location="gid=0" ref="R452"/>
    <hyperlink r:id="rId534" ref="Q453"/>
    <hyperlink r:id="rId535" ref="V453"/>
    <hyperlink r:id="rId536" ref="Q454"/>
    <hyperlink r:id="rId537" ref="V454"/>
    <hyperlink r:id="rId538" ref="M455"/>
    <hyperlink r:id="rId539" location="gid=0" ref="R455"/>
    <hyperlink r:id="rId540" ref="Q456"/>
    <hyperlink r:id="rId541" ref="V456"/>
    <hyperlink r:id="rId542" ref="Q457"/>
    <hyperlink r:id="rId543" ref="V457"/>
    <hyperlink r:id="rId544" ref="Q458"/>
    <hyperlink r:id="rId545" ref="V458"/>
    <hyperlink r:id="rId546" ref="M459"/>
    <hyperlink r:id="rId547" location="gid=0" ref="R459"/>
    <hyperlink r:id="rId548" ref="V460"/>
    <hyperlink r:id="rId549" ref="V461"/>
    <hyperlink r:id="rId550" ref="M462"/>
    <hyperlink r:id="rId551" location="gid=0" ref="R462"/>
    <hyperlink r:id="rId552" ref="M463"/>
    <hyperlink r:id="rId553" location="gid=0" ref="R463"/>
    <hyperlink r:id="rId554" ref="M464"/>
    <hyperlink r:id="rId555" location="gid=0" ref="R464"/>
    <hyperlink r:id="rId556" ref="M467"/>
    <hyperlink r:id="rId557" location="gid=0" ref="R467"/>
    <hyperlink r:id="rId558" ref="M468"/>
    <hyperlink r:id="rId559" location="gid=0" ref="R468"/>
    <hyperlink r:id="rId560" ref="Q469"/>
    <hyperlink r:id="rId561" ref="M470"/>
    <hyperlink r:id="rId562" location="gid=0" ref="R470"/>
    <hyperlink r:id="rId563" ref="M471"/>
    <hyperlink r:id="rId564" location="gid=0" ref="R471"/>
    <hyperlink r:id="rId565" ref="M472"/>
    <hyperlink r:id="rId566" ref="R472"/>
    <hyperlink r:id="rId567" ref="M476"/>
    <hyperlink r:id="rId568" location="gid=0" ref="R476"/>
    <hyperlink r:id="rId569" ref="Q477"/>
    <hyperlink r:id="rId570" ref="V477"/>
    <hyperlink r:id="rId571" ref="M478"/>
    <hyperlink r:id="rId572" location="gid=0" ref="R478"/>
  </hyperlinks>
  <drawing r:id="rId573"/>
  <legacyDrawing r:id="rId5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9BCB8"/>
    <outlinePr summaryBelow="0" summaryRight="0"/>
  </sheetPr>
  <sheetViews>
    <sheetView showGridLines="0" workbookViewId="0">
      <pane xSplit="9.0" ySplit="4.0" topLeftCell="J5" activePane="bottomRight" state="frozen"/>
      <selection activeCell="J1" sqref="J1" pane="topRight"/>
      <selection activeCell="A5" sqref="A5" pane="bottomLeft"/>
      <selection activeCell="J5" sqref="J5" pane="bottomRight"/>
    </sheetView>
  </sheetViews>
  <sheetFormatPr customHeight="1" defaultColWidth="12.63" defaultRowHeight="15.75" outlineLevelCol="1"/>
  <cols>
    <col customWidth="1" min="1" max="1" width="3.88"/>
    <col customWidth="1" hidden="1" min="2" max="2" width="10.13"/>
    <col customWidth="1" min="3" max="3" width="10.13"/>
    <col collapsed="1" customWidth="1" min="4" max="4" width="12.63"/>
    <col customWidth="1" hidden="1" min="5" max="6" width="12.63" outlineLevel="1"/>
    <col customWidth="1" min="7" max="7" width="12.63"/>
    <col customWidth="1" min="8" max="8" width="37.63"/>
    <col customWidth="1" min="9" max="10" width="9.5"/>
    <col collapsed="1" customWidth="1" min="11" max="11" width="9.5"/>
    <col customWidth="1" hidden="1" min="12" max="12" width="25.13" outlineLevel="1"/>
    <col customWidth="1" hidden="1" min="13" max="13" width="18.88" outlineLevel="1"/>
    <col customWidth="1" hidden="1" min="14" max="15" width="18.63" outlineLevel="1"/>
    <col customWidth="1" hidden="1" min="16" max="16" width="12.63" outlineLevel="1"/>
    <col customWidth="1" hidden="1" min="17" max="17" width="14.63" outlineLevel="1"/>
    <col customWidth="1" min="18" max="18" width="18.88"/>
    <col customWidth="1" min="19" max="19" width="11.13"/>
    <col customWidth="1" min="20" max="20" width="18.88"/>
    <col customWidth="1" min="21" max="21" width="37.75"/>
    <col customWidth="1" min="22" max="24" width="18.88"/>
    <col customWidth="1" min="25" max="25" width="12.63"/>
    <col customWidth="1" min="26" max="28" width="15.13"/>
    <col customWidth="1" min="29" max="29" width="47.75"/>
    <col customWidth="1" min="30" max="31" width="12.63"/>
    <col customWidth="1" min="32" max="32" width="48.38"/>
    <col customWidth="1" min="33" max="35" width="12.63"/>
  </cols>
  <sheetData>
    <row r="1" hidden="1">
      <c r="A1" s="2"/>
      <c r="B1" s="2"/>
      <c r="C1" s="2"/>
      <c r="D1" s="2"/>
      <c r="E1" s="2"/>
      <c r="F1" s="2"/>
      <c r="G1" s="2"/>
      <c r="H1" s="3"/>
      <c r="I1" s="3"/>
      <c r="J1" s="3"/>
      <c r="K1" s="3"/>
      <c r="L1" s="5"/>
      <c r="M1" s="13"/>
      <c r="N1" s="13"/>
      <c r="O1" s="4"/>
      <c r="P1" s="4"/>
      <c r="Q1" s="10"/>
      <c r="R1" s="13"/>
      <c r="S1" s="8"/>
      <c r="T1" s="8"/>
      <c r="U1" s="8"/>
      <c r="V1" s="8"/>
      <c r="W1" s="8"/>
      <c r="X1" s="8"/>
      <c r="Y1" s="113"/>
      <c r="Z1" s="13"/>
      <c r="AA1" s="13"/>
      <c r="AB1" s="13"/>
      <c r="AC1" s="13"/>
      <c r="AD1" s="71"/>
      <c r="AE1" s="13"/>
      <c r="AF1" s="13"/>
      <c r="AG1" s="13"/>
      <c r="AH1" s="8"/>
      <c r="AI1" s="8"/>
    </row>
    <row r="2" hidden="1">
      <c r="B2" s="12" t="s">
        <v>1506</v>
      </c>
      <c r="H2" s="3"/>
      <c r="I2" s="3"/>
      <c r="J2" s="3"/>
      <c r="K2" s="3"/>
      <c r="L2" s="114"/>
      <c r="M2" s="13"/>
      <c r="N2" s="3" t="s">
        <v>1</v>
      </c>
      <c r="R2" s="13"/>
      <c r="S2" s="8" t="s">
        <v>2</v>
      </c>
      <c r="Z2" s="13"/>
      <c r="AA2" s="13"/>
      <c r="AB2" s="13"/>
      <c r="AC2" s="13"/>
      <c r="AD2" s="71"/>
      <c r="AE2" s="13"/>
      <c r="AF2" s="13"/>
      <c r="AG2" s="13"/>
      <c r="AH2" s="8"/>
      <c r="AI2" s="8"/>
    </row>
    <row r="3">
      <c r="A3" s="1"/>
      <c r="B3" s="2"/>
      <c r="C3" s="2"/>
      <c r="D3" s="2"/>
      <c r="E3" s="2"/>
      <c r="F3" s="2"/>
      <c r="G3" s="2"/>
      <c r="H3" s="13"/>
      <c r="I3" s="4">
        <f>SUBTOTAL(9,I5:I1057)</f>
        <v>8707</v>
      </c>
      <c r="J3" s="4"/>
      <c r="K3" s="4"/>
      <c r="L3" s="5"/>
      <c r="M3" s="3"/>
      <c r="N3" s="14" t="s">
        <v>3</v>
      </c>
      <c r="O3" s="15"/>
      <c r="P3" s="15"/>
      <c r="Q3" s="16"/>
      <c r="R3" s="3"/>
      <c r="S3" s="17" t="s">
        <v>4</v>
      </c>
      <c r="T3" s="15"/>
      <c r="U3" s="15"/>
      <c r="V3" s="15"/>
      <c r="W3" s="15"/>
      <c r="X3" s="15"/>
      <c r="Y3" s="16"/>
      <c r="Z3" s="18" t="s">
        <v>5</v>
      </c>
      <c r="AA3" s="15"/>
      <c r="AB3" s="15"/>
      <c r="AC3" s="16"/>
      <c r="AD3" s="3"/>
      <c r="AE3" s="3"/>
      <c r="AF3" s="3"/>
      <c r="AG3" s="3"/>
      <c r="AH3" s="8"/>
      <c r="AI3" s="8"/>
    </row>
    <row r="4">
      <c r="A4" s="20" t="s">
        <v>6</v>
      </c>
      <c r="B4" s="20" t="s">
        <v>7</v>
      </c>
      <c r="C4" s="20" t="s">
        <v>8</v>
      </c>
      <c r="D4" s="20" t="s">
        <v>9</v>
      </c>
      <c r="E4" s="20" t="s">
        <v>10</v>
      </c>
      <c r="F4" s="20" t="s">
        <v>11</v>
      </c>
      <c r="G4" s="20" t="s">
        <v>12</v>
      </c>
      <c r="H4" s="20" t="s">
        <v>13</v>
      </c>
      <c r="I4" s="20" t="s">
        <v>14</v>
      </c>
      <c r="J4" s="20" t="s">
        <v>15</v>
      </c>
      <c r="K4" s="20" t="s">
        <v>16</v>
      </c>
      <c r="L4" s="20" t="s">
        <v>17</v>
      </c>
      <c r="M4" s="20" t="s">
        <v>18</v>
      </c>
      <c r="N4" s="21" t="s">
        <v>19</v>
      </c>
      <c r="O4" s="21" t="s">
        <v>20</v>
      </c>
      <c r="P4" s="21" t="s">
        <v>21</v>
      </c>
      <c r="Q4" s="115" t="s">
        <v>22</v>
      </c>
      <c r="R4" s="20" t="s">
        <v>23</v>
      </c>
      <c r="S4" s="22" t="s">
        <v>24</v>
      </c>
      <c r="T4" s="22" t="s">
        <v>20</v>
      </c>
      <c r="U4" s="22" t="s">
        <v>21</v>
      </c>
      <c r="V4" s="116" t="s">
        <v>1507</v>
      </c>
      <c r="W4" s="116" t="s">
        <v>1508</v>
      </c>
      <c r="X4" s="116" t="s">
        <v>1509</v>
      </c>
      <c r="Y4" s="22" t="s">
        <v>25</v>
      </c>
      <c r="Z4" s="24" t="s">
        <v>26</v>
      </c>
      <c r="AA4" s="24" t="s">
        <v>27</v>
      </c>
      <c r="AB4" s="24" t="s">
        <v>28</v>
      </c>
      <c r="AC4" s="24" t="s">
        <v>29</v>
      </c>
      <c r="AD4" s="25" t="s">
        <v>30</v>
      </c>
      <c r="AE4" s="25" t="s">
        <v>31</v>
      </c>
      <c r="AF4" s="25" t="s">
        <v>32</v>
      </c>
      <c r="AG4" s="25" t="s">
        <v>33</v>
      </c>
      <c r="AH4" s="8" t="s">
        <v>34</v>
      </c>
      <c r="AI4" s="8"/>
    </row>
    <row r="5">
      <c r="A5" s="117">
        <v>1.0</v>
      </c>
      <c r="B5" s="43" t="b">
        <v>1</v>
      </c>
      <c r="C5" s="118" t="b">
        <v>1</v>
      </c>
      <c r="D5" s="26" t="s">
        <v>35</v>
      </c>
      <c r="E5" s="26" t="s">
        <v>1510</v>
      </c>
      <c r="F5" s="59" t="s">
        <v>1511</v>
      </c>
      <c r="G5" s="27" t="s">
        <v>1511</v>
      </c>
      <c r="H5" s="119" t="s">
        <v>1512</v>
      </c>
      <c r="I5" s="26">
        <f>SUMIFS('Hoja 10'!$O:$O,'Hoja 10'!$F:$F,$G5)</f>
        <v>20</v>
      </c>
      <c r="J5" s="26">
        <f>IFERROR(__xludf.DUMMYFUNCTION("VLOOKUP(G5,IMPORTRANGE(""https://docs.google.com/spreadsheets/d/12RxCea4e5ggM7QGn1XE3FbLQa_-QbCNdBi90OdPjRqg/edit?gid=1692403370#gid=1692403370"", ""'Plan de Compras'!D4:2432""), 8,0)"),20.0)</f>
        <v>20</v>
      </c>
      <c r="K5" s="26" t="str">
        <f t="shared" ref="K5:K150" si="1"> IF( C5=TRUE, IF(I5=J5,"SI","NO"), "-")</f>
        <v>SI</v>
      </c>
      <c r="L5" s="29" t="s">
        <v>185</v>
      </c>
      <c r="M5" s="30" t="s">
        <v>186</v>
      </c>
      <c r="N5" s="32"/>
      <c r="O5" s="32" t="str">
        <f>VLOOKUP($G5,'Hoja 10'!$F$4:$AA1057, 19,0)</f>
        <v>GAMY</v>
      </c>
      <c r="P5" s="32" t="str">
        <f>VLOOKUP($G5,'Hoja 10'!$F$4:$AA1057, 20,0)</f>
        <v>ABRE OJAL 8.7CM</v>
      </c>
      <c r="Q5" s="33" t="str">
        <f>VLOOKUP($G5,'Hoja 10'!$F$4:$AA1057, 21,0)</f>
        <v>https://gamypasamaneria.com/products/abre-ojal?srsltid=AfmBOooYEvFFR1U7-RAUbn9NMRSAeWHLCISh3wsH42p8MKxVN1l-nOSQ</v>
      </c>
      <c r="R5" s="30" t="s">
        <v>1513</v>
      </c>
      <c r="S5" s="34" t="b">
        <v>1</v>
      </c>
      <c r="T5" s="39" t="str">
        <f>IFERROR(__xludf.DUMMYFUNCTION(" IF
( VLOOKUP($G5,IMPORTRANGE(""https://docs.google.com/spreadsheets/d/1Gpl6jkTg7sL4VDNimUm3S9Vi1i95esohXCF3wuKOE8c"", ""'CONSOLIDADO'!G5:AB""), 10, 0) &lt;&gt; 0, 
IFERROR(VLOOKUP($G5,IMPORTRANGE(""https://docs.google.com/spreadsheets/d/1Gpl6jkTg7sL4VDNimUm3S9"&amp;"Vi1i95esohXCF3wuKOE8c"", ""'CONSOLIDADO'!G5:AB""), 17, 0), ""-""),
""""
)"),"GAMY")</f>
        <v>GAMY</v>
      </c>
      <c r="U5" s="39" t="str">
        <f>IFERROR(__xludf.DUMMYFUNCTION(" IF
( VLOOKUP($G5,IMPORTRANGE(""https://docs.google.com/spreadsheets/d/1Gpl6jkTg7sL4VDNimUm3S9Vi1i95esohXCF3wuKOE8c"", ""'CONSOLIDADO'!G5:AB""), 10, 0) &lt;&gt; 0, 
IFERROR(VLOOKUP($G5,IMPORTRANGE(""https://docs.google.com/spreadsheets/d/1Gpl6jkTg7sL4VDNimUm3S9"&amp;"Vi1i95esohXCF3wuKOE8c"", ""'CONSOLIDADO'!G5:AB""), 18, 0), ""-""),
""""
)"),"ABRE OJAL 8.7CM")</f>
        <v>ABRE OJAL 8.7CM</v>
      </c>
      <c r="V5" s="39" t="str">
        <f>IFERROR(__xludf.DUMMYFUNCTION(" IF
( VLOOKUP($G5,IMPORTRANGE(""https://docs.google.com/spreadsheets/d/1Gpl6jkTg7sL4VDNimUm3S9Vi1i95esohXCF3wuKOE8c"", ""'CONSOLIDADO'!G5:AB""), 10, 0) &lt;&gt; 0, 
IFERROR(VLOOKUP($G5,IMPORTRANGE(""https://docs.google.com/spreadsheets/d/1Gpl6jkTg7sL4VDNimUm3S9"&amp;"Vi1i95esohXCF3wuKOE8c"", ""'CONSOLIDADO'!G5:AB""), 17, 0), ""-""),
""""
)"),"GAMY")</f>
        <v>GAMY</v>
      </c>
      <c r="W5" s="39" t="str">
        <f>IFERROR(__xludf.DUMMYFUNCTION(" IF
( VLOOKUP($G5,IMPORTRANGE(""https://docs.google.com/spreadsheets/d/1Gpl6jkTg7sL4VDNimUm3S9Vi1i95esohXCF3wuKOE8c"", ""'CONSOLIDADO'!G5:AB""), 10, 0) &lt;&gt; 0, 
IFERROR(VLOOKUP($G5,IMPORTRANGE(""https://docs.google.com/spreadsheets/d/1Gpl6jkTg7sL4VDNimUm3S9"&amp;"Vi1i95esohXCF3wuKOE8c"", ""'CONSOLIDADO'!G5:AB""), 18, 0), ""-""),
""""
)"),"ABRE OJAL 8.7CM")</f>
        <v>ABRE OJAL 8.7CM</v>
      </c>
      <c r="X5" s="39" t="b">
        <f t="shared" ref="X5:X17" si="2">IF(AND(T5=V5,W5=U5),TRUE,FALSE)</f>
        <v>1</v>
      </c>
      <c r="Y5" s="120" t="str">
        <f>IFERROR(__xludf.DUMMYFUNCTION(" IF
( VLOOKUP($G5,IMPORTRANGE(""https://docs.google.com/spreadsheets/d/1Gpl6jkTg7sL4VDNimUm3S9Vi1i95esohXCF3wuKOE8c"", ""'CONSOLIDADO'!G5:AB""), 10, 0) &lt;&gt; 0, 
IFERROR(VLOOKUP($G5,IMPORTRANGE(""https://docs.google.com/spreadsheets/d/1Gpl6jkTg7sL4VDNimUm3S9"&amp;"Vi1i95esohXCF3wuKOE8c"", ""'CONSOLIDADO'!G5:AB""), 19, 0), ""-""),
""""
)"),"https://gamypasamaneria.com/products/abre-ojal?srsltid=AfmBOooYEvFFR1U7-RAUbn9NMRSAeWHLCISh3wsH42p8MKxVN1l-nOSQ")</f>
        <v>https://gamypasamaneria.com/products/abre-ojal?srsltid=AfmBOooYEvFFR1U7-RAUbn9NMRSAeWHLCISh3wsH42p8MKxVN1l-nOSQ</v>
      </c>
      <c r="Z5" s="37" t="str">
        <f>IFERROR(__xludf.DUMMYFUNCTION("IFERROR(VLOOKUP(G5,IMPORTRANGE(""https://docs.google.com/spreadsheets/d/12RxCea4e5ggM7QGn1XE3FbLQa_-QbCNdBi90OdPjRqg"", ""'Plan de Compras'!D4:Q""), 12, 0), ""NO ESTÁ EN REQ"")"),"Simple")</f>
        <v>Simple</v>
      </c>
      <c r="AA5" s="37" t="str">
        <f>IFERROR(__xludf.DUMMYFUNCTION("IFERROR(VLOOKUP(G5,IMPORTRANGE(""https://docs.google.com/spreadsheets/d/12RxCea4e5ggM7QGn1XE3FbLQa_-QbCNdBi90OdPjRqg"", ""'Plan de Compras'!D4:Q""), 13, 0), """")"),"NACIONAL")</f>
        <v>NACIONAL</v>
      </c>
      <c r="AB5" s="32" t="str">
        <f>IFERROR(__xludf.DUMMYFUNCTION("IFERROR(VLOOKUP(G5,IMPORTRANGE(""https://docs.google.com/spreadsheets/d/12RxCea4e5ggM7QGn1XE3FbLQa_-QbCNdBi90OdPjRqg"", ""'Plan de Compras'!D4:Q""), 14, 0), """")"),"JESSICA")</f>
        <v>JESSICA</v>
      </c>
      <c r="AC5" s="72" t="str">
        <f>IFERROR(__xludf.DUMMYFUNCTION("IFERROR(VLOOKUP(G5,IMPORTRANGE(""https://docs.google.com/spreadsheets/d/12RxCea4e5ggM7QGn1XE3FbLQa_-QbCNdBi90OdPjRqg"", ""'Plan de Compras'!D4:Q""), 4, 0), """")"),"ABREOJALES")</f>
        <v>ABREOJALES</v>
      </c>
      <c r="AD5" s="37" t="str">
        <f>IFERROR(__xludf.DUMMYFUNCTION("IFERROR(IF(OR(C5=TRUE,C5=""""),VLOOKUP(G5,IMPORTRANGE(""https://docs.google.com/spreadsheets/d/1z9A1Wq-kKrhRNG5RS2a2fKpY1wIhSVz2ZNmP2mOl588/edit?usp=sharing"",""REQ VF!E4:H""),4,0),""NO APLICA""),""GENERAR REQ"")"),"GENERAR REQ")</f>
        <v>GENERAR REQ</v>
      </c>
      <c r="AE5" s="32" t="str">
        <f>IFERROR(__xludf.DUMMYFUNCTION("IFERROR(QUERY(IMPORTRANGE(""https://docs.google.com/spreadsheets/d/1z9A1Wq-kKrhRNG5RS2a2fKpY1wIhSVz2ZNmP2mOl588/edit?usp=sharing"",""REQ VF!E4:Q""),""SELECT Col10, Col11, Col12 WHERE Col1 = '""&amp;G5&amp;""'"",0),""NO APLICA"")"),"NO APLICA")</f>
        <v>NO APLICA</v>
      </c>
      <c r="AF5" s="32"/>
      <c r="AG5" s="32"/>
      <c r="AH5" s="13"/>
      <c r="AI5" s="13"/>
    </row>
    <row r="6">
      <c r="A6" s="121">
        <v>2.0</v>
      </c>
      <c r="B6" s="43" t="b">
        <v>1</v>
      </c>
      <c r="C6" s="118" t="b">
        <v>1</v>
      </c>
      <c r="D6" s="26" t="s">
        <v>35</v>
      </c>
      <c r="E6" s="26" t="s">
        <v>1510</v>
      </c>
      <c r="F6" s="59" t="s">
        <v>1514</v>
      </c>
      <c r="G6" s="59" t="s">
        <v>1515</v>
      </c>
      <c r="H6" s="119" t="s">
        <v>1516</v>
      </c>
      <c r="I6" s="26">
        <f>SUMIFS('Hoja 10'!$O:$O,'Hoja 10'!$F:$F,$G6)</f>
        <v>10</v>
      </c>
      <c r="J6" s="26">
        <f>IFERROR(__xludf.DUMMYFUNCTION("VLOOKUP(G6,IMPORTRANGE(""https://docs.google.com/spreadsheets/d/12RxCea4e5ggM7QGn1XE3FbLQa_-QbCNdBi90OdPjRqg/edit?gid=1692403370#gid=1692403370"", ""'Plan de Compras'!D4:2432""), 8,0)"),10.0)</f>
        <v>10</v>
      </c>
      <c r="K6" s="26" t="str">
        <f t="shared" si="1"/>
        <v>SI</v>
      </c>
      <c r="L6" s="29" t="s">
        <v>91</v>
      </c>
      <c r="M6" s="30" t="s">
        <v>92</v>
      </c>
      <c r="N6" s="32"/>
      <c r="O6" s="32" t="str">
        <f>VLOOKUP($G6,'Hoja 10'!$F$4:$AA1057, 19,0)</f>
        <v>SAMOA</v>
      </c>
      <c r="P6" s="32" t="str">
        <f>VLOOKUP($G6,'Hoja 10'!$F$4:$AA1057, 20,0)</f>
        <v> MSM-500</v>
      </c>
      <c r="Q6" s="33" t="str">
        <f>VLOOKUP($G6,'Hoja 10'!$F$4:$AA1057, 21,0)</f>
        <v>https://rodavigo.net/es/p/aceitera-metalica-msm-500-cc-ref-samoa-175250/294175250</v>
      </c>
      <c r="R6" s="30" t="s">
        <v>1517</v>
      </c>
      <c r="S6" s="44" t="b">
        <v>1</v>
      </c>
      <c r="T6" s="39" t="str">
        <f>IFERROR(__xludf.DUMMYFUNCTION(" IF
( VLOOKUP($G6,IMPORTRANGE(""https://docs.google.com/spreadsheets/d/1Gpl6jkTg7sL4VDNimUm3S9Vi1i95esohXCF3wuKOE8c"", ""'CONSOLIDADO'!G5:AB""), 10, 0) &lt;&gt; 0, 
IFERROR(VLOOKUP($G6,IMPORTRANGE(""https://docs.google.com/spreadsheets/d/1Gpl6jkTg7sL4VDNimUm3S9"&amp;"Vi1i95esohXCF3wuKOE8c"", ""'CONSOLIDADO'!G5:AB""), 17, 0), ""-""),
""""
)"),"TRUPER ")</f>
        <v>TRUPER </v>
      </c>
      <c r="U6" s="39">
        <f>IFERROR(__xludf.DUMMYFUNCTION(" IF
( VLOOKUP($G6,IMPORTRANGE(""https://docs.google.com/spreadsheets/d/1Gpl6jkTg7sL4VDNimUm3S9Vi1i95esohXCF3wuKOE8c"", ""'CONSOLIDADO'!G5:AB""), 10, 0) &lt;&gt; 0, 
IFERROR(VLOOKUP($G6,IMPORTRANGE(""https://docs.google.com/spreadsheets/d/1Gpl6jkTg7sL4VDNimUm3S9"&amp;"Vi1i95esohXCF3wuKOE8c"", ""'CONSOLIDADO'!G5:AB""), 18, 0), ""-""),
""""
)"),14874.0)</f>
        <v>14874</v>
      </c>
      <c r="V6" s="39" t="str">
        <f>IFERROR(__xludf.DUMMYFUNCTION(" IF
( VLOOKUP($G6,IMPORTRANGE(""https://docs.google.com/spreadsheets/d/1Gpl6jkTg7sL4VDNimUm3S9Vi1i95esohXCF3wuKOE8c"", ""'CONSOLIDADO'!G5:AB""), 10, 0) &lt;&gt; 0, 
IFERROR(VLOOKUP($G6,IMPORTRANGE(""https://docs.google.com/spreadsheets/d/1Gpl6jkTg7sL4VDNimUm3S9"&amp;"Vi1i95esohXCF3wuKOE8c"", ""'CONSOLIDADO'!G5:AB""), 17, 0), ""-""),
""""
)"),"TRUPER ")</f>
        <v>TRUPER </v>
      </c>
      <c r="W6" s="39">
        <f>IFERROR(__xludf.DUMMYFUNCTION(" IF
( VLOOKUP($G6,IMPORTRANGE(""https://docs.google.com/spreadsheets/d/1Gpl6jkTg7sL4VDNimUm3S9Vi1i95esohXCF3wuKOE8c"", ""'CONSOLIDADO'!G5:AB""), 10, 0) &lt;&gt; 0, 
IFERROR(VLOOKUP($G6,IMPORTRANGE(""https://docs.google.com/spreadsheets/d/1Gpl6jkTg7sL4VDNimUm3S9"&amp;"Vi1i95esohXCF3wuKOE8c"", ""'CONSOLIDADO'!G5:AB""), 18, 0), ""-""),
""""
)"),14874.0)</f>
        <v>14874</v>
      </c>
      <c r="X6" s="39" t="b">
        <f t="shared" si="2"/>
        <v>1</v>
      </c>
      <c r="Y6" s="120" t="str">
        <f>IFERROR(__xludf.DUMMYFUNCTION(" IF
( VLOOKUP($G6,IMPORTRANGE(""https://docs.google.com/spreadsheets/d/1Gpl6jkTg7sL4VDNimUm3S9Vi1i95esohXCF3wuKOE8c"", ""'CONSOLIDADO'!G5:AB""), 10, 0) &lt;&gt; 0, 
IFERROR(VLOOKUP($G6,IMPORTRANGE(""https://docs.google.com/spreadsheets/d/1Gpl6jkTg7sL4VDNimUm3S9"&amp;"Vi1i95esohXCF3wuKOE8c"", ""'CONSOLIDADO'!G5:AB""), 19, 0), ""-""),
""""
)"),"https://drive.google.com/drive/folders/1Q6KY0XfHbVu-HqzDMNEnR9FPIyB6K_X8")</f>
        <v>https://drive.google.com/drive/folders/1Q6KY0XfHbVu-HqzDMNEnR9FPIyB6K_X8</v>
      </c>
      <c r="Z6" s="37" t="str">
        <f>IFERROR(__xludf.DUMMYFUNCTION("IFERROR(VLOOKUP(G6,IMPORTRANGE(""https://docs.google.com/spreadsheets/d/12RxCea4e5ggM7QGn1XE3FbLQa_-QbCNdBi90OdPjRqg"", ""'Plan de Compras'!D4:Q""), 12, 0), ""NO ESTÁ EN REQ"")"),"Simple")</f>
        <v>Simple</v>
      </c>
      <c r="AA6" s="37" t="str">
        <f>IFERROR(__xludf.DUMMYFUNCTION("IFERROR(VLOOKUP(G6,IMPORTRANGE(""https://docs.google.com/spreadsheets/d/12RxCea4e5ggM7QGn1XE3FbLQa_-QbCNdBi90OdPjRqg"", ""'Plan de Compras'!D4:Q""), 13, 0), """")"),"NACIONAL")</f>
        <v>NACIONAL</v>
      </c>
      <c r="AB6" s="32" t="str">
        <f>IFERROR(__xludf.DUMMYFUNCTION("IFERROR(VLOOKUP(G6,IMPORTRANGE(""https://docs.google.com/spreadsheets/d/12RxCea4e5ggM7QGn1XE3FbLQa_-QbCNdBi90OdPjRqg"", ""'Plan de Compras'!D4:Q""), 14, 0), """")"),"DIANA")</f>
        <v>DIANA</v>
      </c>
      <c r="AC6" s="72" t="str">
        <f>IFERROR(__xludf.DUMMYFUNCTION("IFERROR(VLOOKUP(G6,IMPORTRANGE(""https://docs.google.com/spreadsheets/d/12RxCea4e5ggM7QGn1XE3FbLQa_-QbCNdBi90OdPjRqg"", ""'Plan de Compras'!D4:Q""), 4, 0), """")"),"ACEITERA")</f>
        <v>ACEITERA</v>
      </c>
      <c r="AD6" s="37" t="str">
        <f>IFERROR(__xludf.DUMMYFUNCTION("IFERROR(IF(OR(C6=TRUE,C6=""""),VLOOKUP(G6,IMPORTRANGE(""https://docs.google.com/spreadsheets/d/1z9A1Wq-kKrhRNG5RS2a2fKpY1wIhSVz2ZNmP2mOl588/edit?usp=sharing"",""REQ VF!E4:H""),4,0),""NO APLICA""),""GENERAR REQ"")"),"GENERAR REQ")</f>
        <v>GENERAR REQ</v>
      </c>
      <c r="AE6" s="32" t="str">
        <f>IFERROR(__xludf.DUMMYFUNCTION("IFERROR(QUERY(IMPORTRANGE(""https://docs.google.com/spreadsheets/d/1z9A1Wq-kKrhRNG5RS2a2fKpY1wIhSVz2ZNmP2mOl588/edit?usp=sharing"",""REQ VF!E4:Q""),""SELECT Col10, Col11, Col12 WHERE Col1 = '""&amp;G6&amp;""'"",0),""NO APLICA"")"),"NO APLICA")</f>
        <v>NO APLICA</v>
      </c>
      <c r="AF6" s="32"/>
      <c r="AG6" s="32"/>
      <c r="AH6" s="8" t="s">
        <v>52</v>
      </c>
      <c r="AI6" s="13"/>
    </row>
    <row r="7">
      <c r="A7" s="121">
        <v>3.0</v>
      </c>
      <c r="B7" s="43" t="b">
        <v>1</v>
      </c>
      <c r="C7" s="118" t="b">
        <v>1</v>
      </c>
      <c r="D7" s="26" t="s">
        <v>35</v>
      </c>
      <c r="E7" s="26" t="s">
        <v>1510</v>
      </c>
      <c r="F7" s="59" t="s">
        <v>1514</v>
      </c>
      <c r="G7" s="59" t="s">
        <v>1518</v>
      </c>
      <c r="H7" s="119" t="s">
        <v>1516</v>
      </c>
      <c r="I7" s="26">
        <f>SUMIFS('Hoja 10'!$O:$O,'Hoja 10'!$F:$F,$G7)</f>
        <v>2</v>
      </c>
      <c r="J7" s="26">
        <f>IFERROR(__xludf.DUMMYFUNCTION("VLOOKUP(G7,IMPORTRANGE(""https://docs.google.com/spreadsheets/d/12RxCea4e5ggM7QGn1XE3FbLQa_-QbCNdBi90OdPjRqg/edit?gid=1692403370#gid=1692403370"", ""'Plan de Compras'!D4:2432""), 8,0)"),2.0)</f>
        <v>2</v>
      </c>
      <c r="K7" s="26" t="str">
        <f t="shared" si="1"/>
        <v>SI</v>
      </c>
      <c r="L7" s="29" t="s">
        <v>296</v>
      </c>
      <c r="M7" s="30" t="s">
        <v>297</v>
      </c>
      <c r="N7" s="32"/>
      <c r="O7" s="32" t="str">
        <f>VLOOKUP($G7,'Hoja 10'!$F$4:$AA1057, 19,0)</f>
        <v>SAMOA</v>
      </c>
      <c r="P7" s="32" t="str">
        <f>VLOOKUP($G7,'Hoja 10'!$F$4:$AA1057, 20,0)</f>
        <v> MSM-500</v>
      </c>
      <c r="Q7" s="33" t="str">
        <f>VLOOKUP($G7,'Hoja 10'!$F$4:$AA1057, 21,0)</f>
        <v>https://rodavigo.net/es/p/aceitera-metalica-msm-500-cc-ref-samoa-175250/294175250</v>
      </c>
      <c r="R7" s="30" t="s">
        <v>1519</v>
      </c>
      <c r="S7" s="34" t="b">
        <v>1</v>
      </c>
      <c r="T7" s="39" t="str">
        <f>IFERROR(__xludf.DUMMYFUNCTION(" IF
( VLOOKUP($G7,IMPORTRANGE(""https://docs.google.com/spreadsheets/d/1Gpl6jkTg7sL4VDNimUm3S9Vi1i95esohXCF3wuKOE8c"", ""'CONSOLIDADO'!G5:AB""), 10, 0) &lt;&gt; 0, 
IFERROR(VLOOKUP($G7,IMPORTRANGE(""https://docs.google.com/spreadsheets/d/1Gpl6jkTg7sL4VDNimUm3S9"&amp;"Vi1i95esohXCF3wuKOE8c"", ""'CONSOLIDADO'!G5:AB""), 17, 0), ""-""),
""""
)"),"SAMOA")</f>
        <v>SAMOA</v>
      </c>
      <c r="U7" s="39" t="str">
        <f>IFERROR(__xludf.DUMMYFUNCTION(" IF
( VLOOKUP($G7,IMPORTRANGE(""https://docs.google.com/spreadsheets/d/1Gpl6jkTg7sL4VDNimUm3S9Vi1i95esohXCF3wuKOE8c"", ""'CONSOLIDADO'!G5:AB""), 10, 0) &lt;&gt; 0, 
IFERROR(VLOOKUP($G7,IMPORTRANGE(""https://docs.google.com/spreadsheets/d/1Gpl6jkTg7sL4VDNimUm3S9"&amp;"Vi1i95esohXCF3wuKOE8c"", ""'CONSOLIDADO'!G5:AB""), 18, 0), ""-""),
""""
)"),"MSM-500")</f>
        <v>MSM-500</v>
      </c>
      <c r="V7" s="39" t="str">
        <f>IFERROR(__xludf.DUMMYFUNCTION(" IF
( VLOOKUP($G7,IMPORTRANGE(""https://docs.google.com/spreadsheets/d/1Gpl6jkTg7sL4VDNimUm3S9Vi1i95esohXCF3wuKOE8c"", ""'CONSOLIDADO'!G5:AB""), 10, 0) &lt;&gt; 0, 
IFERROR(VLOOKUP($G7,IMPORTRANGE(""https://docs.google.com/spreadsheets/d/1Gpl6jkTg7sL4VDNimUm3S9"&amp;"Vi1i95esohXCF3wuKOE8c"", ""'CONSOLIDADO'!G5:AB""), 17, 0), ""-""),
""""
)"),"SAMOA")</f>
        <v>SAMOA</v>
      </c>
      <c r="W7" s="39" t="str">
        <f>IFERROR(__xludf.DUMMYFUNCTION(" IF
( VLOOKUP($G7,IMPORTRANGE(""https://docs.google.com/spreadsheets/d/1Gpl6jkTg7sL4VDNimUm3S9Vi1i95esohXCF3wuKOE8c"", ""'CONSOLIDADO'!G5:AB""), 10, 0) &lt;&gt; 0, 
IFERROR(VLOOKUP($G7,IMPORTRANGE(""https://docs.google.com/spreadsheets/d/1Gpl6jkTg7sL4VDNimUm3S9"&amp;"Vi1i95esohXCF3wuKOE8c"", ""'CONSOLIDADO'!G5:AB""), 18, 0), ""-""),
""""
)"),"MSM-500")</f>
        <v>MSM-500</v>
      </c>
      <c r="X7" s="39" t="b">
        <f t="shared" si="2"/>
        <v>1</v>
      </c>
      <c r="Y7" s="120" t="str">
        <f>IFERROR(__xludf.DUMMYFUNCTION(" IF
( VLOOKUP($G7,IMPORTRANGE(""https://docs.google.com/spreadsheets/d/1Gpl6jkTg7sL4VDNimUm3S9Vi1i95esohXCF3wuKOE8c"", ""'CONSOLIDADO'!G5:AB""), 10, 0) &lt;&gt; 0, 
IFERROR(VLOOKUP($G7,IMPORTRANGE(""https://docs.google.com/spreadsheets/d/1Gpl6jkTg7sL4VDNimUm3S9"&amp;"Vi1i95esohXCF3wuKOE8c"", ""'CONSOLIDADO'!G5:AB""), 19, 0), ""-""),
""""
)"),"https://rodavigo.net/es/p/aceitera-metalica-msm-500-cc-ref-samoa-175250/294175250")</f>
        <v>https://rodavigo.net/es/p/aceitera-metalica-msm-500-cc-ref-samoa-175250/294175250</v>
      </c>
      <c r="Z7" s="37" t="str">
        <f>IFERROR(__xludf.DUMMYFUNCTION("IFERROR(VLOOKUP(G7,IMPORTRANGE(""https://docs.google.com/spreadsheets/d/12RxCea4e5ggM7QGn1XE3FbLQa_-QbCNdBi90OdPjRqg"", ""'Plan de Compras'!D4:Q""), 12, 0), ""NO ESTÁ EN REQ"")"),"Simple")</f>
        <v>Simple</v>
      </c>
      <c r="AA7" s="37" t="str">
        <f>IFERROR(__xludf.DUMMYFUNCTION("IFERROR(VLOOKUP(G7,IMPORTRANGE(""https://docs.google.com/spreadsheets/d/12RxCea4e5ggM7QGn1XE3FbLQa_-QbCNdBi90OdPjRqg"", ""'Plan de Compras'!D4:Q""), 13, 0), """")"),"INTERNACIONAL")</f>
        <v>INTERNACIONAL</v>
      </c>
      <c r="AB7" s="32" t="str">
        <f>IFERROR(__xludf.DUMMYFUNCTION("IFERROR(VLOOKUP(G7,IMPORTRANGE(""https://docs.google.com/spreadsheets/d/12RxCea4e5ggM7QGn1XE3FbLQa_-QbCNdBi90OdPjRqg"", ""'Plan de Compras'!D4:Q""), 14, 0), """")"),"GIANFRANCO")</f>
        <v>GIANFRANCO</v>
      </c>
      <c r="AC7" s="72" t="str">
        <f>IFERROR(__xludf.DUMMYFUNCTION("IFERROR(VLOOKUP(G7,IMPORTRANGE(""https://docs.google.com/spreadsheets/d/12RxCea4e5ggM7QGn1XE3FbLQa_-QbCNdBi90OdPjRqg"", ""'Plan de Compras'!D4:Q""), 4, 0), """")"),"ACEITERA")</f>
        <v>ACEITERA</v>
      </c>
      <c r="AD7" s="37" t="str">
        <f>IFERROR(__xludf.DUMMYFUNCTION("IFERROR(IF(OR(C7=TRUE,C7=""""),VLOOKUP(G7,IMPORTRANGE(""https://docs.google.com/spreadsheets/d/1z9A1Wq-kKrhRNG5RS2a2fKpY1wIhSVz2ZNmP2mOl588/edit?usp=sharing"",""REQ VF!E4:H""),4,0),""NO APLICA""),""GENERAR REQ"")"),"GENERAR REQ")</f>
        <v>GENERAR REQ</v>
      </c>
      <c r="AE7" s="32" t="str">
        <f>IFERROR(__xludf.DUMMYFUNCTION("IFERROR(QUERY(IMPORTRANGE(""https://docs.google.com/spreadsheets/d/1z9A1Wq-kKrhRNG5RS2a2fKpY1wIhSVz2ZNmP2mOl588/edit?usp=sharing"",""REQ VF!E4:Q""),""SELECT Col10, Col11, Col12 WHERE Col1 = '""&amp;G7&amp;""'"",0),""NO APLICA"")"),"NO APLICA")</f>
        <v>NO APLICA</v>
      </c>
      <c r="AF7" s="32"/>
      <c r="AG7" s="32"/>
      <c r="AH7" s="13"/>
      <c r="AI7" s="13"/>
    </row>
    <row r="8">
      <c r="A8" s="121">
        <v>4.0</v>
      </c>
      <c r="B8" s="43" t="b">
        <v>1</v>
      </c>
      <c r="C8" s="118" t="b">
        <v>1</v>
      </c>
      <c r="D8" s="26" t="s">
        <v>35</v>
      </c>
      <c r="E8" s="26" t="s">
        <v>1510</v>
      </c>
      <c r="F8" s="59" t="s">
        <v>1514</v>
      </c>
      <c r="G8" s="39" t="s">
        <v>1520</v>
      </c>
      <c r="H8" s="82" t="s">
        <v>1516</v>
      </c>
      <c r="I8" s="43">
        <f>SUMIFS('Hoja 10'!$O:$O,'Hoja 10'!$F:$F,$G8)</f>
        <v>3</v>
      </c>
      <c r="J8" s="26">
        <f>IFERROR(__xludf.DUMMYFUNCTION("VLOOKUP(G8,IMPORTRANGE(""https://docs.google.com/spreadsheets/d/12RxCea4e5ggM7QGn1XE3FbLQa_-QbCNdBi90OdPjRqg/edit?gid=1692403370#gid=1692403370"", ""'Plan de Compras'!D4:2432""), 8,0)"),3.0)</f>
        <v>3</v>
      </c>
      <c r="K8" s="26" t="str">
        <f t="shared" si="1"/>
        <v>SI</v>
      </c>
      <c r="L8" s="29" t="s">
        <v>127</v>
      </c>
      <c r="M8" s="30" t="s">
        <v>105</v>
      </c>
      <c r="N8" s="32"/>
      <c r="O8" s="32" t="str">
        <f>VLOOKUP($G8,'Hoja 10'!$F$4:$AA1057, 19,0)</f>
        <v>SAMOA</v>
      </c>
      <c r="P8" s="32" t="str">
        <f>VLOOKUP($G8,'Hoja 10'!$F$4:$AA1057, 20,0)</f>
        <v> MSM-500</v>
      </c>
      <c r="Q8" s="33" t="str">
        <f>VLOOKUP($G8,'Hoja 10'!$F$4:$AA1057, 21,0)</f>
        <v>https://rodavigo.net/es/p/aceitera-metalica-msm-500-cc-ref-samoa-175250/294175250</v>
      </c>
      <c r="R8" s="30" t="s">
        <v>1521</v>
      </c>
      <c r="S8" s="34" t="b">
        <v>1</v>
      </c>
      <c r="T8" s="39" t="str">
        <f>IFERROR(__xludf.DUMMYFUNCTION(" IF
( VLOOKUP($G8,IMPORTRANGE(""https://docs.google.com/spreadsheets/d/1Gpl6jkTg7sL4VDNimUm3S9Vi1i95esohXCF3wuKOE8c"", ""'CONSOLIDADO'!G5:AB""), 10, 0) &lt;&gt; 0, 
IFERROR(VLOOKUP($G8,IMPORTRANGE(""https://docs.google.com/spreadsheets/d/1Gpl6jkTg7sL4VDNimUm3S9"&amp;"Vi1i95esohXCF3wuKOE8c"", ""'CONSOLIDADO'!G5:AB""), 17, 0), ""-""),
""""
)"),"SAMOA")</f>
        <v>SAMOA</v>
      </c>
      <c r="U8" s="39" t="str">
        <f>IFERROR(__xludf.DUMMYFUNCTION(" IF
( VLOOKUP($G8,IMPORTRANGE(""https://docs.google.com/spreadsheets/d/1Gpl6jkTg7sL4VDNimUm3S9Vi1i95esohXCF3wuKOE8c"", ""'CONSOLIDADO'!G5:AB""), 10, 0) &lt;&gt; 0, 
IFERROR(VLOOKUP($G8,IMPORTRANGE(""https://docs.google.com/spreadsheets/d/1Gpl6jkTg7sL4VDNimUm3S9"&amp;"Vi1i95esohXCF3wuKOE8c"", ""'CONSOLIDADO'!G5:AB""), 18, 0), ""-""),
""""
)"),"MSM-500")</f>
        <v>MSM-500</v>
      </c>
      <c r="V8" s="39" t="str">
        <f>IFERROR(__xludf.DUMMYFUNCTION(" IF
( VLOOKUP($G8,IMPORTRANGE(""https://docs.google.com/spreadsheets/d/1Gpl6jkTg7sL4VDNimUm3S9Vi1i95esohXCF3wuKOE8c"", ""'CONSOLIDADO'!G5:AB""), 10, 0) &lt;&gt; 0, 
IFERROR(VLOOKUP($G8,IMPORTRANGE(""https://docs.google.com/spreadsheets/d/1Gpl6jkTg7sL4VDNimUm3S9"&amp;"Vi1i95esohXCF3wuKOE8c"", ""'CONSOLIDADO'!G5:AB""), 17, 0), ""-""),
""""
)"),"SAMOA")</f>
        <v>SAMOA</v>
      </c>
      <c r="W8" s="39" t="str">
        <f>IFERROR(__xludf.DUMMYFUNCTION(" IF
( VLOOKUP($G8,IMPORTRANGE(""https://docs.google.com/spreadsheets/d/1Gpl6jkTg7sL4VDNimUm3S9Vi1i95esohXCF3wuKOE8c"", ""'CONSOLIDADO'!G5:AB""), 10, 0) &lt;&gt; 0, 
IFERROR(VLOOKUP($G8,IMPORTRANGE(""https://docs.google.com/spreadsheets/d/1Gpl6jkTg7sL4VDNimUm3S9"&amp;"Vi1i95esohXCF3wuKOE8c"", ""'CONSOLIDADO'!G5:AB""), 18, 0), ""-""),
""""
)"),"MSM-500")</f>
        <v>MSM-500</v>
      </c>
      <c r="X8" s="39" t="b">
        <f t="shared" si="2"/>
        <v>1</v>
      </c>
      <c r="Y8" s="120" t="str">
        <f>IFERROR(__xludf.DUMMYFUNCTION(" IF
( VLOOKUP($G8,IMPORTRANGE(""https://docs.google.com/spreadsheets/d/1Gpl6jkTg7sL4VDNimUm3S9Vi1i95esohXCF3wuKOE8c"", ""'CONSOLIDADO'!G5:AB""), 10, 0) &lt;&gt; 0, 
IFERROR(VLOOKUP($G8,IMPORTRANGE(""https://docs.google.com/spreadsheets/d/1Gpl6jkTg7sL4VDNimUm3S9"&amp;"Vi1i95esohXCF3wuKOE8c"", ""'CONSOLIDADO'!G5:AB""), 19, 0), ""-""),
""""
)"),"https://rodavigo.net/es/p/aceitera-metalica-msm-500-cc-ref-samoa-175250/294175250")</f>
        <v>https://rodavigo.net/es/p/aceitera-metalica-msm-500-cc-ref-samoa-175250/294175250</v>
      </c>
      <c r="Z8" s="37" t="str">
        <f>IFERROR(__xludf.DUMMYFUNCTION("IFERROR(VLOOKUP(G8,IMPORTRANGE(""https://docs.google.com/spreadsheets/d/12RxCea4e5ggM7QGn1XE3FbLQa_-QbCNdBi90OdPjRqg"", ""'Plan de Compras'!D4:Q""), 12, 0), ""NO ESTÁ EN REQ"")"),"Simple")</f>
        <v>Simple</v>
      </c>
      <c r="AA8" s="37" t="str">
        <f>IFERROR(__xludf.DUMMYFUNCTION("IFERROR(VLOOKUP(G8,IMPORTRANGE(""https://docs.google.com/spreadsheets/d/12RxCea4e5ggM7QGn1XE3FbLQa_-QbCNdBi90OdPjRqg"", ""'Plan de Compras'!D4:Q""), 13, 0), """")"),"INTERNACIONAL")</f>
        <v>INTERNACIONAL</v>
      </c>
      <c r="AB8" s="32" t="str">
        <f>IFERROR(__xludf.DUMMYFUNCTION("IFERROR(VLOOKUP(G8,IMPORTRANGE(""https://docs.google.com/spreadsheets/d/12RxCea4e5ggM7QGn1XE3FbLQa_-QbCNdBi90OdPjRqg"", ""'Plan de Compras'!D4:Q""), 14, 0), """")"),"GIANFRANCO")</f>
        <v>GIANFRANCO</v>
      </c>
      <c r="AC8" s="72" t="str">
        <f>IFERROR(__xludf.DUMMYFUNCTION("IFERROR(VLOOKUP(G8,IMPORTRANGE(""https://docs.google.com/spreadsheets/d/12RxCea4e5ggM7QGn1XE3FbLQa_-QbCNdBi90OdPjRqg"", ""'Plan de Compras'!D4:Q""), 4, 0), """")"),"ACEITERA")</f>
        <v>ACEITERA</v>
      </c>
      <c r="AD8" s="37" t="str">
        <f>IFERROR(__xludf.DUMMYFUNCTION("IFERROR(IF(OR(C8=TRUE,C8=""""),VLOOKUP(G8,IMPORTRANGE(""https://docs.google.com/spreadsheets/d/1z9A1Wq-kKrhRNG5RS2a2fKpY1wIhSVz2ZNmP2mOl588/edit?usp=sharing"",""REQ VF!E4:H""),4,0),""NO APLICA""),""GENERAR REQ"")"),"GENERAR REQ")</f>
        <v>GENERAR REQ</v>
      </c>
      <c r="AE8" s="32" t="str">
        <f>IFERROR(__xludf.DUMMYFUNCTION("IFERROR(QUERY(IMPORTRANGE(""https://docs.google.com/spreadsheets/d/1z9A1Wq-kKrhRNG5RS2a2fKpY1wIhSVz2ZNmP2mOl588/edit?usp=sharing"",""REQ VF!E4:Q""),""SELECT Col10, Col11, Col12 WHERE Col1 = '""&amp;G8&amp;""'"",0),""NO APLICA"")"),"NO APLICA")</f>
        <v>NO APLICA</v>
      </c>
      <c r="AF8" s="32"/>
      <c r="AG8" s="32"/>
      <c r="AH8" s="13"/>
      <c r="AI8" s="13"/>
    </row>
    <row r="9">
      <c r="A9" s="117">
        <v>5.0</v>
      </c>
      <c r="B9" s="43" t="b">
        <v>1</v>
      </c>
      <c r="C9" s="118" t="b">
        <v>1</v>
      </c>
      <c r="D9" s="26" t="s">
        <v>35</v>
      </c>
      <c r="E9" s="26" t="s">
        <v>1510</v>
      </c>
      <c r="F9" s="59" t="s">
        <v>1514</v>
      </c>
      <c r="G9" s="39" t="s">
        <v>1522</v>
      </c>
      <c r="H9" s="82" t="s">
        <v>1516</v>
      </c>
      <c r="I9" s="43">
        <f>SUMIFS('Hoja 10'!$O:$O,'Hoja 10'!$F:$F,$G9)</f>
        <v>10</v>
      </c>
      <c r="J9" s="26">
        <f>IFERROR(__xludf.DUMMYFUNCTION("VLOOKUP(G9,IMPORTRANGE(""https://docs.google.com/spreadsheets/d/12RxCea4e5ggM7QGn1XE3FbLQa_-QbCNdBi90OdPjRqg/edit?gid=1692403370#gid=1692403370"", ""'Plan de Compras'!D4:2432""), 8,0)"),10.0)</f>
        <v>10</v>
      </c>
      <c r="K9" s="26" t="str">
        <f t="shared" si="1"/>
        <v>SI</v>
      </c>
      <c r="L9" s="29" t="s">
        <v>185</v>
      </c>
      <c r="M9" s="30" t="s">
        <v>186</v>
      </c>
      <c r="N9" s="32"/>
      <c r="O9" s="32" t="str">
        <f>VLOOKUP($G9,'Hoja 10'!$F$4:$AA1057, 19,0)</f>
        <v>TRUPER</v>
      </c>
      <c r="P9" s="32" t="str">
        <f>VLOOKUP($G9,'Hoja 10'!$F$4:$AA1057, 20,0)</f>
        <v>ACEF-180</v>
      </c>
      <c r="Q9" s="33" t="str">
        <f>VLOOKUP($G9,'Hoja 10'!$F$4:$AA1057, 21,0)</f>
        <v>https://www.promart.pe/aceitera-con-pico-flecible-180-ml/p</v>
      </c>
      <c r="R9" s="30" t="s">
        <v>1523</v>
      </c>
      <c r="S9" s="44" t="b">
        <v>1</v>
      </c>
      <c r="T9" s="39" t="str">
        <f>IFERROR(__xludf.DUMMYFUNCTION(" IF
( VLOOKUP($G9,IMPORTRANGE(""https://docs.google.com/spreadsheets/d/1Gpl6jkTg7sL4VDNimUm3S9Vi1i95esohXCF3wuKOE8c"", ""'CONSOLIDADO'!G5:AB""), 10, 0) &lt;&gt; 0, 
IFERROR(VLOOKUP($G9,IMPORTRANGE(""https://docs.google.com/spreadsheets/d/1Gpl6jkTg7sL4VDNimUm3S9"&amp;"Vi1i95esohXCF3wuKOE8c"", ""'CONSOLIDADO'!G5:AB""), 17, 0), ""-""),
""""
)"),"TRUPER ")</f>
        <v>TRUPER </v>
      </c>
      <c r="U9" s="39">
        <f>IFERROR(__xludf.DUMMYFUNCTION(" IF
( VLOOKUP($G9,IMPORTRANGE(""https://docs.google.com/spreadsheets/d/1Gpl6jkTg7sL4VDNimUm3S9Vi1i95esohXCF3wuKOE8c"", ""'CONSOLIDADO'!G5:AB""), 10, 0) &lt;&gt; 0, 
IFERROR(VLOOKUP($G9,IMPORTRANGE(""https://docs.google.com/spreadsheets/d/1Gpl6jkTg7sL4VDNimUm3S9"&amp;"Vi1i95esohXCF3wuKOE8c"", ""'CONSOLIDADO'!G5:AB""), 18, 0), ""-""),
""""
)"),14874.0)</f>
        <v>14874</v>
      </c>
      <c r="V9" s="39" t="str">
        <f>IFERROR(__xludf.DUMMYFUNCTION(" IF
( VLOOKUP($G9,IMPORTRANGE(""https://docs.google.com/spreadsheets/d/1Gpl6jkTg7sL4VDNimUm3S9Vi1i95esohXCF3wuKOE8c"", ""'CONSOLIDADO'!G5:AB""), 10, 0) &lt;&gt; 0, 
IFERROR(VLOOKUP($G9,IMPORTRANGE(""https://docs.google.com/spreadsheets/d/1Gpl6jkTg7sL4VDNimUm3S9"&amp;"Vi1i95esohXCF3wuKOE8c"", ""'CONSOLIDADO'!G5:AB""), 17, 0), ""-""),
""""
)"),"TRUPER ")</f>
        <v>TRUPER </v>
      </c>
      <c r="W9" s="39">
        <f>IFERROR(__xludf.DUMMYFUNCTION(" IF
( VLOOKUP($G9,IMPORTRANGE(""https://docs.google.com/spreadsheets/d/1Gpl6jkTg7sL4VDNimUm3S9Vi1i95esohXCF3wuKOE8c"", ""'CONSOLIDADO'!G5:AB""), 10, 0) &lt;&gt; 0, 
IFERROR(VLOOKUP($G9,IMPORTRANGE(""https://docs.google.com/spreadsheets/d/1Gpl6jkTg7sL4VDNimUm3S9"&amp;"Vi1i95esohXCF3wuKOE8c"", ""'CONSOLIDADO'!G5:AB""), 18, 0), ""-""),
""""
)"),14874.0)</f>
        <v>14874</v>
      </c>
      <c r="X9" s="39" t="b">
        <f t="shared" si="2"/>
        <v>1</v>
      </c>
      <c r="Y9" s="120" t="str">
        <f>IFERROR(__xludf.DUMMYFUNCTION(" IF
( VLOOKUP($G9,IMPORTRANGE(""https://docs.google.com/spreadsheets/d/1Gpl6jkTg7sL4VDNimUm3S9Vi1i95esohXCF3wuKOE8c"", ""'CONSOLIDADO'!G5:AB""), 10, 0) &lt;&gt; 0, 
IFERROR(VLOOKUP($G9,IMPORTRANGE(""https://docs.google.com/spreadsheets/d/1Gpl6jkTg7sL4VDNimUm3S9"&amp;"Vi1i95esohXCF3wuKOE8c"", ""'CONSOLIDADO'!G5:AB""), 19, 0), ""-""),
""""
)"),"https://drive.google.com/drive/folders/1Q6KY0XfHbVu-HqzDMNEnR9FPIyB6K_X8")</f>
        <v>https://drive.google.com/drive/folders/1Q6KY0XfHbVu-HqzDMNEnR9FPIyB6K_X8</v>
      </c>
      <c r="Z9" s="37" t="str">
        <f>IFERROR(__xludf.DUMMYFUNCTION("IFERROR(VLOOKUP(G9,IMPORTRANGE(""https://docs.google.com/spreadsheets/d/12RxCea4e5ggM7QGn1XE3FbLQa_-QbCNdBi90OdPjRqg"", ""'Plan de Compras'!D4:Q""), 12, 0), ""NO ESTÁ EN REQ"")"),"Simple")</f>
        <v>Simple</v>
      </c>
      <c r="AA9" s="37" t="str">
        <f>IFERROR(__xludf.DUMMYFUNCTION("IFERROR(VLOOKUP(G9,IMPORTRANGE(""https://docs.google.com/spreadsheets/d/12RxCea4e5ggM7QGn1XE3FbLQa_-QbCNdBi90OdPjRqg"", ""'Plan de Compras'!D4:Q""), 13, 0), """")"),"NACIONAL")</f>
        <v>NACIONAL</v>
      </c>
      <c r="AB9" s="32" t="str">
        <f>IFERROR(__xludf.DUMMYFUNCTION("IFERROR(VLOOKUP(G9,IMPORTRANGE(""https://docs.google.com/spreadsheets/d/12RxCea4e5ggM7QGn1XE3FbLQa_-QbCNdBi90OdPjRqg"", ""'Plan de Compras'!D4:Q""), 14, 0), """")"),"DIANA")</f>
        <v>DIANA</v>
      </c>
      <c r="AC9" s="72" t="str">
        <f>IFERROR(__xludf.DUMMYFUNCTION("IFERROR(VLOOKUP(G9,IMPORTRANGE(""https://docs.google.com/spreadsheets/d/12RxCea4e5ggM7QGn1XE3FbLQa_-QbCNdBi90OdPjRqg"", ""'Plan de Compras'!D4:Q""), 4, 0), """")"),"ACEITERA")</f>
        <v>ACEITERA</v>
      </c>
      <c r="AD9" s="37" t="str">
        <f>IFERROR(__xludf.DUMMYFUNCTION("IFERROR(IF(OR(C9=TRUE,C9=""""),VLOOKUP(G9,IMPORTRANGE(""https://docs.google.com/spreadsheets/d/1z9A1Wq-kKrhRNG5RS2a2fKpY1wIhSVz2ZNmP2mOl588/edit?usp=sharing"",""REQ VF!E4:H""),4,0),""NO APLICA""),""GENERAR REQ"")"),"GENERAR REQ")</f>
        <v>GENERAR REQ</v>
      </c>
      <c r="AE9" s="32" t="str">
        <f>IFERROR(__xludf.DUMMYFUNCTION("IFERROR(QUERY(IMPORTRANGE(""https://docs.google.com/spreadsheets/d/1z9A1Wq-kKrhRNG5RS2a2fKpY1wIhSVz2ZNmP2mOl588/edit?usp=sharing"",""REQ VF!E4:Q""),""SELECT Col10, Col11, Col12 WHERE Col1 = '""&amp;G9&amp;""'"",0),""NO APLICA"")"),"NO APLICA")</f>
        <v>NO APLICA</v>
      </c>
      <c r="AF9" s="32"/>
      <c r="AG9" s="32"/>
      <c r="AH9" s="8" t="s">
        <v>52</v>
      </c>
      <c r="AI9" s="13"/>
    </row>
    <row r="10">
      <c r="A10" s="117">
        <v>6.0</v>
      </c>
      <c r="B10" s="43" t="b">
        <v>1</v>
      </c>
      <c r="C10" s="26" t="b">
        <v>1</v>
      </c>
      <c r="D10" s="26" t="s">
        <v>35</v>
      </c>
      <c r="E10" s="26" t="s">
        <v>1510</v>
      </c>
      <c r="F10" s="59" t="s">
        <v>1524</v>
      </c>
      <c r="G10" s="37" t="s">
        <v>1524</v>
      </c>
      <c r="H10" s="82" t="s">
        <v>1525</v>
      </c>
      <c r="I10" s="43">
        <f>SUMIFS('Hoja 10'!$O:$O,'Hoja 10'!$F:$F,$G10)</f>
        <v>8</v>
      </c>
      <c r="J10" s="26">
        <f>IFERROR(__xludf.DUMMYFUNCTION("VLOOKUP(G10,IMPORTRANGE(""https://docs.google.com/spreadsheets/d/12RxCea4e5ggM7QGn1XE3FbLQa_-QbCNdBi90OdPjRqg/edit?gid=1692403370#gid=1692403370"", ""'Plan de Compras'!D4:2432""), 8,0)"),8.0)</f>
        <v>8</v>
      </c>
      <c r="K10" s="26" t="str">
        <f t="shared" si="1"/>
        <v>SI</v>
      </c>
      <c r="L10" s="29" t="s">
        <v>296</v>
      </c>
      <c r="M10" s="30" t="s">
        <v>297</v>
      </c>
      <c r="N10" s="32"/>
      <c r="O10" s="32" t="str">
        <f>VLOOKUP($G10,'Hoja 10'!$F$4:$AA1057, 19,0)</f>
        <v>TOPTUL</v>
      </c>
      <c r="P10" s="32" t="str">
        <f>VLOOKUP($G10,'Hoja 10'!$F$4:$AA1057, 20,0)</f>
        <v>‎TT0A0808</v>
      </c>
      <c r="Q10" s="33" t="str">
        <f>VLOOKUP($G10,'Hoja 10'!$F$4:$AA1057, 21,0)</f>
        <v>https://www.sip-scootershop.com/es/product/portapuntas-toptul-1-4-hexagonal_TT0A0808?q=TT0A0808</v>
      </c>
      <c r="R10" s="30" t="s">
        <v>1526</v>
      </c>
      <c r="S10" s="44" t="b">
        <v>1</v>
      </c>
      <c r="T10" s="39" t="str">
        <f>IFERROR(__xludf.DUMMYFUNCTION(" IF
( VLOOKUP($G10,IMPORTRANGE(""https://docs.google.com/spreadsheets/d/1Gpl6jkTg7sL4VDNimUm3S9Vi1i95esohXCF3wuKOE8c"", ""'CONSOLIDADO'!G5:AB""), 10, 0) &lt;&gt; 0, 
IFERROR(VLOOKUP($G10,IMPORTRANGE(""https://docs.google.com/spreadsheets/d/1Gpl6jkTg7sL4VDNimUm3"&amp;"S9Vi1i95esohXCF3wuKOE8c"", ""'CONSOLIDADO'!G5:AB""), 17, 0), ""-""),
""""
)"),"DOITOOL")</f>
        <v>DOITOOL</v>
      </c>
      <c r="U10" s="39" t="str">
        <f>IFERROR(__xludf.DUMMYFUNCTION(" IF
( VLOOKUP($G10,IMPORTRANGE(""https://docs.google.com/spreadsheets/d/1Gpl6jkTg7sL4VDNimUm3S9Vi1i95esohXCF3wuKOE8c"", ""'CONSOLIDADO'!G5:AB""), 10, 0) &lt;&gt; 0, 
IFERROR(VLOOKUP($G10,IMPORTRANGE(""https://docs.google.com/spreadsheets/d/1Gpl6jkTg7sL4VDNimUm3"&amp;"S9Vi1i95esohXCF3wuKOE8c"", ""'CONSOLIDADO'!G5:AB""), 18, 0), ""-""),
""""
)"),"05IM7S1722CXXB7")</f>
        <v>05IM7S1722CXXB7</v>
      </c>
      <c r="V10" s="39" t="str">
        <f>IFERROR(__xludf.DUMMYFUNCTION(" IF
( VLOOKUP($G10,IMPORTRANGE(""https://docs.google.com/spreadsheets/d/1Gpl6jkTg7sL4VDNimUm3S9Vi1i95esohXCF3wuKOE8c"", ""'CONSOLIDADO'!G5:AB""), 10, 0) &lt;&gt; 0, 
IFERROR(VLOOKUP($G10,IMPORTRANGE(""https://docs.google.com/spreadsheets/d/1Gpl6jkTg7sL4VDNimUm3"&amp;"S9Vi1i95esohXCF3wuKOE8c"", ""'CONSOLIDADO'!G5:AB""), 17, 0), ""-""),
""""
)"),"DOITOOL")</f>
        <v>DOITOOL</v>
      </c>
      <c r="W10" s="39" t="str">
        <f>IFERROR(__xludf.DUMMYFUNCTION(" IF
( VLOOKUP($G10,IMPORTRANGE(""https://docs.google.com/spreadsheets/d/1Gpl6jkTg7sL4VDNimUm3S9Vi1i95esohXCF3wuKOE8c"", ""'CONSOLIDADO'!G5:AB""), 10, 0) &lt;&gt; 0, 
IFERROR(VLOOKUP($G10,IMPORTRANGE(""https://docs.google.com/spreadsheets/d/1Gpl6jkTg7sL4VDNimUm3"&amp;"S9Vi1i95esohXCF3wuKOE8c"", ""'CONSOLIDADO'!G5:AB""), 18, 0), ""-""),
""""
)"),"05IM7S1722CXXB7")</f>
        <v>05IM7S1722CXXB7</v>
      </c>
      <c r="X10" s="39" t="b">
        <f t="shared" si="2"/>
        <v>1</v>
      </c>
      <c r="Y10" s="120" t="str">
        <f>IFERROR(__xludf.DUMMYFUNCTION(" IF
( VLOOKUP($G10,IMPORTRANGE(""https://docs.google.com/spreadsheets/d/1Gpl6jkTg7sL4VDNimUm3S9Vi1i95esohXCF3wuKOE8c"", ""'CONSOLIDADO'!G5:AB""), 10, 0) &lt;&gt; 0, 
IFERROR(VLOOKUP($G10,IMPORTRANGE(""https://docs.google.com/spreadsheets/d/1Gpl6jkTg7sL4VDNimUm3"&amp;"S9Vi1i95esohXCF3wuKOE8c"", ""'CONSOLIDADO'!G5:AB""), 19, 0), ""-""),
""""
)"),"https://www.amazon.com/DOITOOL-Magnetic-Extension-Compatible-Professional/dp/B0F4PZ6YGV?utm_source=chatgpt.com&amp;th=1")</f>
        <v>https://www.amazon.com/DOITOOL-Magnetic-Extension-Compatible-Professional/dp/B0F4PZ6YGV?utm_source=chatgpt.com&amp;th=1</v>
      </c>
      <c r="Z10" s="37" t="str">
        <f>IFERROR(__xludf.DUMMYFUNCTION("IFERROR(VLOOKUP(G10,IMPORTRANGE(""https://docs.google.com/spreadsheets/d/12RxCea4e5ggM7QGn1XE3FbLQa_-QbCNdBi90OdPjRqg"", ""'Plan de Compras'!D4:Q""), 12, 0), ""NO ESTÁ EN REQ"")"),"Técnica")</f>
        <v>Técnica</v>
      </c>
      <c r="AA10" s="37" t="str">
        <f>IFERROR(__xludf.DUMMYFUNCTION("IFERROR(VLOOKUP(G10,IMPORTRANGE(""https://docs.google.com/spreadsheets/d/12RxCea4e5ggM7QGn1XE3FbLQa_-QbCNdBi90OdPjRqg"", ""'Plan de Compras'!D4:Q""), 13, 0), """")"),"INTERNACIONAL")</f>
        <v>INTERNACIONAL</v>
      </c>
      <c r="AB10" s="32" t="str">
        <f>IFERROR(__xludf.DUMMYFUNCTION("IFERROR(VLOOKUP(G10,IMPORTRANGE(""https://docs.google.com/spreadsheets/d/12RxCea4e5ggM7QGn1XE3FbLQa_-QbCNdBi90OdPjRqg"", ""'Plan de Compras'!D4:Q""), 14, 0), """")"),"GEYDI")</f>
        <v>GEYDI</v>
      </c>
      <c r="AC10" s="72" t="str">
        <f>IFERROR(__xludf.DUMMYFUNCTION("IFERROR(VLOOKUP(G10,IMPORTRANGE(""https://docs.google.com/spreadsheets/d/12RxCea4e5ggM7QGn1XE3FbLQa_-QbCNdBi90OdPjRqg"", ""'Plan de Compras'!D4:Q""), 4, 0), """")"),"ADAPTADOR MAGNETICO PARA PUNTAS")</f>
        <v>ADAPTADOR MAGNETICO PARA PUNTAS</v>
      </c>
      <c r="AD10" s="37" t="str">
        <f>IFERROR(__xludf.DUMMYFUNCTION("IFERROR(IF(OR(C10=TRUE,C10=""""),VLOOKUP(G10,IMPORTRANGE(""https://docs.google.com/spreadsheets/d/1z9A1Wq-kKrhRNG5RS2a2fKpY1wIhSVz2ZNmP2mOl588/edit?usp=sharing"",""REQ VF!E4:H""),4,0),""NO APLICA""),""GENERAR REQ"")"),"GENERAR REQ")</f>
        <v>GENERAR REQ</v>
      </c>
      <c r="AE10" s="32" t="str">
        <f>IFERROR(__xludf.DUMMYFUNCTION("IFERROR(QUERY(IMPORTRANGE(""https://docs.google.com/spreadsheets/d/1z9A1Wq-kKrhRNG5RS2a2fKpY1wIhSVz2ZNmP2mOl588/edit?usp=sharing"",""REQ VF!E4:Q""),""SELECT Col10, Col11, Col12 WHERE Col1 = '""&amp;G10&amp;""'"",0),""NO APLICA"")"),"NO APLICA")</f>
        <v>NO APLICA</v>
      </c>
      <c r="AF10" s="32"/>
      <c r="AG10" s="32"/>
      <c r="AH10" s="8" t="s">
        <v>52</v>
      </c>
      <c r="AI10" s="13"/>
    </row>
    <row r="11">
      <c r="A11" s="121">
        <v>7.0</v>
      </c>
      <c r="B11" s="43" t="b">
        <v>1</v>
      </c>
      <c r="C11" s="26" t="b">
        <v>1</v>
      </c>
      <c r="D11" s="26" t="s">
        <v>35</v>
      </c>
      <c r="E11" s="26" t="s">
        <v>1510</v>
      </c>
      <c r="F11" s="59" t="s">
        <v>1527</v>
      </c>
      <c r="G11" s="37" t="s">
        <v>1527</v>
      </c>
      <c r="H11" s="82" t="s">
        <v>1528</v>
      </c>
      <c r="I11" s="43">
        <f>SUMIFS('Hoja 10'!$O:$O,'Hoja 10'!$F:$F,$G11)</f>
        <v>20</v>
      </c>
      <c r="J11" s="26">
        <f>IFERROR(__xludf.DUMMYFUNCTION("VLOOKUP(G11,IMPORTRANGE(""https://docs.google.com/spreadsheets/d/12RxCea4e5ggM7QGn1XE3FbLQa_-QbCNdBi90OdPjRqg/edit?gid=1692403370#gid=1692403370"", ""'Plan de Compras'!D4:2432""), 8,0)"),20.0)</f>
        <v>20</v>
      </c>
      <c r="K11" s="26" t="str">
        <f t="shared" si="1"/>
        <v>SI</v>
      </c>
      <c r="L11" s="29" t="s">
        <v>1529</v>
      </c>
      <c r="M11" s="30" t="s">
        <v>78</v>
      </c>
      <c r="N11" s="32"/>
      <c r="O11" s="32" t="str">
        <f>VLOOKUP($G11,'Hoja 10'!$F$4:$AA1057, 19,0)</f>
        <v>Winco</v>
      </c>
      <c r="P11" s="32" t="str">
        <f>VLOOKUP($G11,'Hoja 10'!$F$4:$AA1057, 20,0)</f>
        <v>Soporte para tarta de 13 pulgadas, Acero inoxidable</v>
      </c>
      <c r="Q11" s="33" t="str">
        <f>VLOOKUP($G11,'Hoja 10'!$F$4:$AA1057, 21,0)</f>
        <v>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v>
      </c>
      <c r="R11" s="30" t="s">
        <v>1530</v>
      </c>
      <c r="S11" s="44" t="b">
        <v>0</v>
      </c>
      <c r="T11" s="39" t="str">
        <f>IFERROR(__xludf.DUMMYFUNCTION(" IF
( VLOOKUP($G11,IMPORTRANGE(""https://docs.google.com/spreadsheets/d/1Gpl6jkTg7sL4VDNimUm3S9Vi1i95esohXCF3wuKOE8c"", ""'CONSOLIDADO'!G5:AB""), 10, 0) &lt;&gt; 0, 
IFERROR(VLOOKUP($G11,IMPORTRANGE(""https://docs.google.com/spreadsheets/d/1Gpl6jkTg7sL4VDNimUm3"&amp;"S9Vi1i95esohXCF3wuKOE8c"", ""'CONSOLIDADO'!G5:AB""), 17, 0), ""-""),
""""
)"),"Winco")</f>
        <v>Winco</v>
      </c>
      <c r="U11" s="39" t="str">
        <f>IFERROR(__xludf.DUMMYFUNCTION(" IF
( VLOOKUP($G11,IMPORTRANGE(""https://docs.google.com/spreadsheets/d/1Gpl6jkTg7sL4VDNimUm3S9Vi1i95esohXCF3wuKOE8c"", ""'CONSOLIDADO'!G5:AB""), 10, 0) &lt;&gt; 0, 
IFERROR(VLOOKUP($G11,IMPORTRANGE(""https://docs.google.com/spreadsheets/d/1Gpl6jkTg7sL4VDNimUm3"&amp;"S9Vi1i95esohXCF3wuKOE8c"", ""'CONSOLIDADO'!G5:AB""), 18, 0), ""-""),
""""
)"),"Soporte para tarta de 13 pulgadas, Acero inoxidable")</f>
        <v>Soporte para tarta de 13 pulgadas, Acero inoxidable</v>
      </c>
      <c r="V11" s="39" t="str">
        <f>IFERROR(__xludf.DUMMYFUNCTION(" IF
( VLOOKUP($G11,IMPORTRANGE(""https://docs.google.com/spreadsheets/d/1Gpl6jkTg7sL4VDNimUm3S9Vi1i95esohXCF3wuKOE8c"", ""'CONSOLIDADO'!G5:AB""), 10, 0) &lt;&gt; 0, 
IFERROR(VLOOKUP($G11,IMPORTRANGE(""https://docs.google.com/spreadsheets/d/1Gpl6jkTg7sL4VDNimUm3"&amp;"S9Vi1i95esohXCF3wuKOE8c"", ""'CONSOLIDADO'!G5:AB""), 17, 0), ""-""),
""""
)"),"Winco")</f>
        <v>Winco</v>
      </c>
      <c r="W11" s="39" t="str">
        <f>IFERROR(__xludf.DUMMYFUNCTION(" IF
( VLOOKUP($G11,IMPORTRANGE(""https://docs.google.com/spreadsheets/d/1Gpl6jkTg7sL4VDNimUm3S9Vi1i95esohXCF3wuKOE8c"", ""'CONSOLIDADO'!G5:AB""), 10, 0) &lt;&gt; 0, 
IFERROR(VLOOKUP($G11,IMPORTRANGE(""https://docs.google.com/spreadsheets/d/1Gpl6jkTg7sL4VDNimUm3"&amp;"S9Vi1i95esohXCF3wuKOE8c"", ""'CONSOLIDADO'!G5:AB""), 18, 0), ""-""),
""""
)"),"Soporte para tarta de 13 pulgadas, Acero inoxidable")</f>
        <v>Soporte para tarta de 13 pulgadas, Acero inoxidable</v>
      </c>
      <c r="X11" s="39" t="b">
        <f t="shared" si="2"/>
        <v>1</v>
      </c>
      <c r="Y11" s="120" t="str">
        <f>IFERROR(__xludf.DUMMYFUNCTION(" IF
( VLOOKUP($G11,IMPORTRANGE(""https://docs.google.com/spreadsheets/d/1Gpl6jkTg7sL4VDNimUm3S9Vi1i95esohXCF3wuKOE8c"", ""'CONSOLIDADO'!G5:AB""), 10, 0) &lt;&gt; 0, 
IFERROR(VLOOKUP($G11,IMPORTRANGE(""https://docs.google.com/spreadsheets/d/1Gpl6jkTg7sL4VDNimUm3"&amp;"S9Vi1i95esohXCF3wuKOE8c"", ""'CONSOLIDADO'!G5:AB""), 19, 0), ""-""),
""""
)"),"https://www.amazon.com/-/es/Soporte-tarta-pulgadas-Acero-inoxidable/dp/B007D0CDOG/ref=sr_1_5?__mk_es_US=%C3%85M%C3%85%C5%BD%C3%95%C3%91&amp;crid=11T5CJIGGA98H&amp;dib=eyJ2IjoiMSJ9.NPKc2Ocb6jch6NYQZyXWHHFoBqAwSC6KJsmYsTYdhlWpemKJbY1SO51-K7Kht8zC-C1c2Vem1bjJAvmgoNN"&amp;"1gbeCafdxxPn4L8PsSmezuuGUife0Yk9iJSuE4shRLKgs_j2hbV2Onc0AVgs2QeuxPOkgBUf_fYJGwIP0iPxCPs4HVbHT0HUnuYUf_tFVYGBjdwcsS5OLbiILbYJaTOZ2Lvj4YSII7tnoSwJ9QoQ679_BGXkxydfwXWdbC3nUn4k4IAEoM4qbYkj5J1_ksQE21MZpfirYTIv9g7r54i2LQxk.LLynjlCsWFrJysvuO7pUPvvAx6kc-UbrOUfLdY"&amp;"XMeoA&amp;dib_tag=se&amp;keywords=soporte%2Bpara%2Btarta%2Bacero%2Binoxidable&amp;qid=1761342085&amp;sprefix=soporte%2Bpara%2Btarta%2Bacero%2Binxidable%2Caps%2C178&amp;sr=8-5&amp;th=1")</f>
        <v>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v>
      </c>
      <c r="Z11" s="37" t="str">
        <f>IFERROR(__xludf.DUMMYFUNCTION("IFERROR(VLOOKUP(G11,IMPORTRANGE(""https://docs.google.com/spreadsheets/d/12RxCea4e5ggM7QGn1XE3FbLQa_-QbCNdBi90OdPjRqg"", ""'Plan de Compras'!D4:Q""), 12, 0), ""NO ESTÁ EN REQ"")"),"Simple")</f>
        <v>Simple</v>
      </c>
      <c r="AA11" s="37" t="str">
        <f>IFERROR(__xludf.DUMMYFUNCTION("IFERROR(VLOOKUP(G11,IMPORTRANGE(""https://docs.google.com/spreadsheets/d/12RxCea4e5ggM7QGn1XE3FbLQa_-QbCNdBi90OdPjRqg"", ""'Plan de Compras'!D4:Q""), 13, 0), """")"),"INTERNACIONAL")</f>
        <v>INTERNACIONAL</v>
      </c>
      <c r="AB11" s="32" t="str">
        <f>IFERROR(__xludf.DUMMYFUNCTION("IFERROR(VLOOKUP(G11,IMPORTRANGE(""https://docs.google.com/spreadsheets/d/12RxCea4e5ggM7QGn1XE3FbLQa_-QbCNdBi90OdPjRqg"", ""'Plan de Compras'!D4:Q""), 14, 0), """")"),"DIEGO ")</f>
        <v>DIEGO </v>
      </c>
      <c r="AC11" s="72" t="str">
        <f>IFERROR(__xludf.DUMMYFUNCTION("IFERROR(VLOOKUP(G11,IMPORTRANGE(""https://docs.google.com/spreadsheets/d/12RxCea4e5ggM7QGn1XE3FbLQa_-QbCNdBi90OdPjRqg"", ""'Plan de Compras'!D4:Q""), 4, 0), """")"),"BAILARINA METÁLICA")</f>
        <v>BAILARINA METÁLICA</v>
      </c>
      <c r="AD11" s="37" t="str">
        <f>IFERROR(__xludf.DUMMYFUNCTION("IFERROR(IF(OR(C11=TRUE,C11=""""),VLOOKUP(G11,IMPORTRANGE(""https://docs.google.com/spreadsheets/d/1z9A1Wq-kKrhRNG5RS2a2fKpY1wIhSVz2ZNmP2mOl588/edit?usp=sharing"",""REQ VF!E4:H""),4,0),""NO APLICA""),""GENERAR REQ"")"),"GENERAR REQ")</f>
        <v>GENERAR REQ</v>
      </c>
      <c r="AE11" s="32" t="str">
        <f>IFERROR(__xludf.DUMMYFUNCTION("IFERROR(QUERY(IMPORTRANGE(""https://docs.google.com/spreadsheets/d/1z9A1Wq-kKrhRNG5RS2a2fKpY1wIhSVz2ZNmP2mOl588/edit?usp=sharing"",""REQ VF!E4:Q""),""SELECT Col10, Col11, Col12 WHERE Col1 = '""&amp;G11&amp;""'"",0),""NO APLICA"")"),"NO APLICA")</f>
        <v>NO APLICA</v>
      </c>
      <c r="AF11" s="61"/>
      <c r="AG11" s="32"/>
      <c r="AH11" s="13"/>
      <c r="AI11" s="13"/>
    </row>
    <row r="12">
      <c r="A12" s="121">
        <v>8.0</v>
      </c>
      <c r="B12" s="43" t="b">
        <v>1</v>
      </c>
      <c r="C12" s="26" t="b">
        <v>1</v>
      </c>
      <c r="D12" s="26" t="s">
        <v>35</v>
      </c>
      <c r="E12" s="26" t="s">
        <v>1510</v>
      </c>
      <c r="F12" s="59" t="s">
        <v>1531</v>
      </c>
      <c r="G12" s="37" t="s">
        <v>1531</v>
      </c>
      <c r="H12" s="82" t="s">
        <v>1532</v>
      </c>
      <c r="I12" s="43">
        <f>SUMIFS('Hoja 10'!$O:$O,'Hoja 10'!$F:$F,$G12)</f>
        <v>12</v>
      </c>
      <c r="J12" s="26">
        <f>IFERROR(__xludf.DUMMYFUNCTION("VLOOKUP(G12,IMPORTRANGE(""https://docs.google.com/spreadsheets/d/12RxCea4e5ggM7QGn1XE3FbLQa_-QbCNdBi90OdPjRqg/edit?gid=1692403370#gid=1692403370"", ""'Plan de Compras'!D4:2432""), 8,0)"),12.0)</f>
        <v>12</v>
      </c>
      <c r="K12" s="26" t="str">
        <f t="shared" si="1"/>
        <v>SI</v>
      </c>
      <c r="L12" s="29" t="s">
        <v>127</v>
      </c>
      <c r="M12" s="30" t="s">
        <v>105</v>
      </c>
      <c r="N12" s="32"/>
      <c r="O12" s="32" t="str">
        <f>VLOOKUP($G12,'Hoja 10'!$F$4:$AA1057, 19,0)</f>
        <v>GENERICO</v>
      </c>
      <c r="P12" s="32" t="str">
        <f>VLOOKUP($G12,'Hoja 10'!$F$4:$AA1057, 20,0)</f>
        <v>BT10733</v>
      </c>
      <c r="Q12" s="33" t="str">
        <f>VLOOKUP($G12,'Hoja 10'!$F$4:$AA1057, 21,0)</f>
        <v>https://www.bt-ingenieros.com/bandejas-vaciado-aceite/733-bandeja-recogedora-de-aceite-16-litros.html?srsltid=AfmBOoqpJPLJ-mNGsXyfwiuKfmUkRj3zXtkFVCEC4g_IWkkIwPvG-Bhm&amp;utm_source=chatgpt.com</v>
      </c>
      <c r="R12" s="30" t="s">
        <v>1533</v>
      </c>
      <c r="S12" s="44" t="b">
        <v>1</v>
      </c>
      <c r="T12" s="39" t="str">
        <f>IFERROR(__xludf.DUMMYFUNCTION(" IF
( VLOOKUP($G12,IMPORTRANGE(""https://docs.google.com/spreadsheets/d/1Gpl6jkTg7sL4VDNimUm3S9Vi1i95esohXCF3wuKOE8c"", ""'CONSOLIDADO'!G5:AB""), 10, 0) &lt;&gt; 0, 
IFERROR(VLOOKUP($G12,IMPORTRANGE(""https://docs.google.com/spreadsheets/d/1Gpl6jkTg7sL4VDNimUm3"&amp;"S9Vi1i95esohXCF3wuKOE8c"", ""'CONSOLIDADO'!G5:AB""), 17, 0), ""-""),
""""
)"),"NEIKO")</f>
        <v>NEIKO</v>
      </c>
      <c r="U12" s="39" t="str">
        <f>IFERROR(__xludf.DUMMYFUNCTION(" IF
( VLOOKUP($G12,IMPORTRANGE(""https://docs.google.com/spreadsheets/d/1Gpl6jkTg7sL4VDNimUm3S9Vi1i95esohXCF3wuKOE8c"", ""'CONSOLIDADO'!G5:AB""), 10, 0) &lt;&gt; 0, 
IFERROR(VLOOKUP($G12,IMPORTRANGE(""https://docs.google.com/spreadsheets/d/1Gpl6jkTg7sL4VDNimUm3"&amp;"S9Vi1i95esohXCF3wuKOE8c"", ""'CONSOLIDADO'!G5:AB""), 18, 0), ""-""),
""""
)"),"20760A")</f>
        <v>20760A</v>
      </c>
      <c r="V12" s="39" t="str">
        <f>IFERROR(__xludf.DUMMYFUNCTION(" IF
( VLOOKUP($G12,IMPORTRANGE(""https://docs.google.com/spreadsheets/d/1Gpl6jkTg7sL4VDNimUm3S9Vi1i95esohXCF3wuKOE8c"", ""'CONSOLIDADO'!G5:AB""), 10, 0) &lt;&gt; 0, 
IFERROR(VLOOKUP($G12,IMPORTRANGE(""https://docs.google.com/spreadsheets/d/1Gpl6jkTg7sL4VDNimUm3"&amp;"S9Vi1i95esohXCF3wuKOE8c"", ""'CONSOLIDADO'!G5:AB""), 17, 0), ""-""),
""""
)"),"NEIKO")</f>
        <v>NEIKO</v>
      </c>
      <c r="W12" s="39" t="str">
        <f>IFERROR(__xludf.DUMMYFUNCTION(" IF
( VLOOKUP($G12,IMPORTRANGE(""https://docs.google.com/spreadsheets/d/1Gpl6jkTg7sL4VDNimUm3S9Vi1i95esohXCF3wuKOE8c"", ""'CONSOLIDADO'!G5:AB""), 10, 0) &lt;&gt; 0, 
IFERROR(VLOOKUP($G12,IMPORTRANGE(""https://docs.google.com/spreadsheets/d/1Gpl6jkTg7sL4VDNimUm3"&amp;"S9Vi1i95esohXCF3wuKOE8c"", ""'CONSOLIDADO'!G5:AB""), 18, 0), ""-""),
""""
)"),"20760A")</f>
        <v>20760A</v>
      </c>
      <c r="X12" s="39" t="b">
        <f t="shared" si="2"/>
        <v>1</v>
      </c>
      <c r="Y12" s="120" t="str">
        <f>IFERROR(__xludf.DUMMYFUNCTION(" IF
( VLOOKUP($G12,IMPORTRANGE(""https://docs.google.com/spreadsheets/d/1Gpl6jkTg7sL4VDNimUm3S9Vi1i95esohXCF3wuKOE8c"", ""'CONSOLIDADO'!G5:AB""), 10, 0) &lt;&gt; 0, 
IFERROR(VLOOKUP($G12,IMPORTRANGE(""https://docs.google.com/spreadsheets/d/1Gpl6jkTg7sL4VDNimUm3"&amp;"S9Vi1i95esohXCF3wuKOE8c"", ""'CONSOLIDADO'!G5:AB""), 19, 0), ""-""),
""""
)"),"https://www.amazon.com/-/es/20760A-capacidad-antisalpicaduras-pl%C3%A1stico-colectora/dp/B081TR34C6/ref=sr_1_1?crid=27NC9CSID0IHO&amp;dib=ey...&amp;th=1")</f>
        <v>https://www.amazon.com/-/es/20760A-capacidad-antisalpicaduras-pl%C3%A1stico-colectora/dp/B081TR34C6/ref=sr_1_1?crid=27NC9CSID0IHO&amp;dib=ey...&amp;th=1</v>
      </c>
      <c r="Z12" s="37" t="str">
        <f>IFERROR(__xludf.DUMMYFUNCTION("IFERROR(VLOOKUP(G12,IMPORTRANGE(""https://docs.google.com/spreadsheets/d/12RxCea4e5ggM7QGn1XE3FbLQa_-QbCNdBi90OdPjRqg"", ""'Plan de Compras'!D4:Q""), 12, 0), ""NO ESTÁ EN REQ"")"),"Técnica")</f>
        <v>Técnica</v>
      </c>
      <c r="AA12" s="37" t="str">
        <f>IFERROR(__xludf.DUMMYFUNCTION("IFERROR(VLOOKUP(G12,IMPORTRANGE(""https://docs.google.com/spreadsheets/d/12RxCea4e5ggM7QGn1XE3FbLQa_-QbCNdBi90OdPjRqg"", ""'Plan de Compras'!D4:Q""), 13, 0), """")"),"INTERNACIONAL")</f>
        <v>INTERNACIONAL</v>
      </c>
      <c r="AB12" s="32" t="str">
        <f>IFERROR(__xludf.DUMMYFUNCTION("IFERROR(VLOOKUP(G12,IMPORTRANGE(""https://docs.google.com/spreadsheets/d/12RxCea4e5ggM7QGn1XE3FbLQa_-QbCNdBi90OdPjRqg"", ""'Plan de Compras'!D4:Q""), 14, 0), """")"),"DIEGO ")</f>
        <v>DIEGO </v>
      </c>
      <c r="AC12" s="72" t="str">
        <f>IFERROR(__xludf.DUMMYFUNCTION("IFERROR(VLOOKUP(G12,IMPORTRANGE(""https://docs.google.com/spreadsheets/d/12RxCea4e5ggM7QGn1XE3FbLQa_-QbCNdBi90OdPjRqg"", ""'Plan de Compras'!D4:Q""), 4, 0), """")"),"BANDEJA PARA RECOLECTAR ACEITE.")</f>
        <v>BANDEJA PARA RECOLECTAR ACEITE.</v>
      </c>
      <c r="AD12" s="37" t="str">
        <f>IFERROR(__xludf.DUMMYFUNCTION("IFERROR(IF(OR(C12=TRUE,C12=""""),VLOOKUP(G12,IMPORTRANGE(""https://docs.google.com/spreadsheets/d/1z9A1Wq-kKrhRNG5RS2a2fKpY1wIhSVz2ZNmP2mOl588/edit?usp=sharing"",""REQ VF!E4:H""),4,0),""NO APLICA""),""GENERAR REQ"")"),"GENERAR REQ")</f>
        <v>GENERAR REQ</v>
      </c>
      <c r="AE12" s="32" t="str">
        <f>IFERROR(__xludf.DUMMYFUNCTION("IFERROR(QUERY(IMPORTRANGE(""https://docs.google.com/spreadsheets/d/1z9A1Wq-kKrhRNG5RS2a2fKpY1wIhSVz2ZNmP2mOl588/edit?usp=sharing"",""REQ VF!E4:Q""),""SELECT Col10, Col11, Col12 WHERE Col1 = '""&amp;G12&amp;""'"",0),""NO APLICA"")"),"NO APLICA")</f>
        <v>NO APLICA</v>
      </c>
      <c r="AF12" s="32"/>
      <c r="AG12" s="32"/>
      <c r="AH12" s="8" t="s">
        <v>52</v>
      </c>
      <c r="AI12" s="13"/>
    </row>
    <row r="13">
      <c r="A13" s="121">
        <v>9.0</v>
      </c>
      <c r="B13" s="43" t="b">
        <v>1</v>
      </c>
      <c r="C13" s="26" t="b">
        <v>1</v>
      </c>
      <c r="D13" s="26" t="s">
        <v>35</v>
      </c>
      <c r="E13" s="26" t="s">
        <v>1510</v>
      </c>
      <c r="F13" s="59" t="s">
        <v>1534</v>
      </c>
      <c r="G13" s="37" t="s">
        <v>1534</v>
      </c>
      <c r="H13" s="82" t="s">
        <v>1535</v>
      </c>
      <c r="I13" s="43">
        <f>SUMIFS('Hoja 10'!$O:$O,'Hoja 10'!$F:$F,$G13)</f>
        <v>20</v>
      </c>
      <c r="J13" s="26">
        <f>IFERROR(__xludf.DUMMYFUNCTION("VLOOKUP(G13,IMPORTRANGE(""https://docs.google.com/spreadsheets/d/12RxCea4e5ggM7QGn1XE3FbLQa_-QbCNdBi90OdPjRqg/edit?gid=1692403370#gid=1692403370"", ""'Plan de Compras'!D4:2432""), 8,0)"),20.0)</f>
        <v>20</v>
      </c>
      <c r="K13" s="26" t="str">
        <f t="shared" si="1"/>
        <v>SI</v>
      </c>
      <c r="L13" s="29" t="s">
        <v>39</v>
      </c>
      <c r="M13" s="30" t="s">
        <v>40</v>
      </c>
      <c r="N13" s="32"/>
      <c r="O13" s="32" t="str">
        <f>VLOOKUP($G13,'Hoja 10'!$F$4:$AA1057, 19,0)</f>
        <v>Grupo Nova</v>
      </c>
      <c r="P13" s="32" t="str">
        <f>VLOOKUP($G13,'Hoja 10'!$F$4:$AA1057, 20,0)</f>
        <v>Bandeja Baguetera 65x45 Cm Aluminio 1.0 Mm</v>
      </c>
      <c r="Q13" s="33" t="str">
        <f>VLOOKUP($G13,'Hoja 10'!$F$4:$AA1057, 21,0)</f>
        <v>https://www.gruponova.pe/products/bandeja-baguetera-65-x-45-cm-aluminio-1-0-mm?srsltid=AfmBOoqOwV7_WIbUufTObIZ8D2cjVsg3Rb8rq9_NE7ZV8Lr0Oxj6_bjO</v>
      </c>
      <c r="R13" s="30" t="s">
        <v>1536</v>
      </c>
      <c r="S13" s="44" t="b">
        <v>1</v>
      </c>
      <c r="T13" s="39" t="str">
        <f>IFERROR(__xludf.DUMMYFUNCTION(" IF
( VLOOKUP($G13,IMPORTRANGE(""https://docs.google.com/spreadsheets/d/1Gpl6jkTg7sL4VDNimUm3S9Vi1i95esohXCF3wuKOE8c"", ""'CONSOLIDADO'!G5:AB""), 10, 0) &lt;&gt; 0, 
IFERROR(VLOOKUP($G13,IMPORTRANGE(""https://docs.google.com/spreadsheets/d/1Gpl6jkTg7sL4VDNimUm3"&amp;"S9Vi1i95esohXCF3wuKOE8c"", ""'CONSOLIDADO'!G5:AB""), 17, 0), ""-""),
""""
)"),"NOVA")</f>
        <v>NOVA</v>
      </c>
      <c r="U13" s="39">
        <f>IFERROR(__xludf.DUMMYFUNCTION(" IF
( VLOOKUP($G13,IMPORTRANGE(""https://docs.google.com/spreadsheets/d/1Gpl6jkTg7sL4VDNimUm3S9Vi1i95esohXCF3wuKOE8c"", ""'CONSOLIDADO'!G5:AB""), 10, 0) &lt;&gt; 0, 
IFERROR(VLOOKUP($G13,IMPORTRANGE(""https://docs.google.com/spreadsheets/d/1Gpl6jkTg7sL4VDNimUm3"&amp;"S9Vi1i95esohXCF3wuKOE8c"", ""'CONSOLIDADO'!G5:AB""), 18, 0), ""-""),
""""
)"),2.001200001E9)</f>
        <v>2001200001</v>
      </c>
      <c r="V13" s="39" t="str">
        <f>IFERROR(__xludf.DUMMYFUNCTION(" IF
( VLOOKUP($G13,IMPORTRANGE(""https://docs.google.com/spreadsheets/d/1Gpl6jkTg7sL4VDNimUm3S9Vi1i95esohXCF3wuKOE8c"", ""'CONSOLIDADO'!G5:AB""), 10, 0) &lt;&gt; 0, 
IFERROR(VLOOKUP($G13,IMPORTRANGE(""https://docs.google.com/spreadsheets/d/1Gpl6jkTg7sL4VDNimUm3"&amp;"S9Vi1i95esohXCF3wuKOE8c"", ""'CONSOLIDADO'!G5:AB""), 17, 0), ""-""),
""""
)"),"NOVA")</f>
        <v>NOVA</v>
      </c>
      <c r="W13" s="39">
        <f>IFERROR(__xludf.DUMMYFUNCTION(" IF
( VLOOKUP($G13,IMPORTRANGE(""https://docs.google.com/spreadsheets/d/1Gpl6jkTg7sL4VDNimUm3S9Vi1i95esohXCF3wuKOE8c"", ""'CONSOLIDADO'!G5:AB""), 10, 0) &lt;&gt; 0, 
IFERROR(VLOOKUP($G13,IMPORTRANGE(""https://docs.google.com/spreadsheets/d/1Gpl6jkTg7sL4VDNimUm3"&amp;"S9Vi1i95esohXCF3wuKOE8c"", ""'CONSOLIDADO'!G5:AB""), 18, 0), ""-""),
""""
)"),2.001200001E9)</f>
        <v>2001200001</v>
      </c>
      <c r="X13" s="39" t="b">
        <f t="shared" si="2"/>
        <v>1</v>
      </c>
      <c r="Y13" s="120" t="str">
        <f>IFERROR(__xludf.DUMMYFUNCTION(" IF
( VLOOKUP($G13,IMPORTRANGE(""https://docs.google.com/spreadsheets/d/1Gpl6jkTg7sL4VDNimUm3S9Vi1i95esohXCF3wuKOE8c"", ""'CONSOLIDADO'!G5:AB""), 10, 0) &lt;&gt; 0, 
IFERROR(VLOOKUP($G13,IMPORTRANGE(""https://docs.google.com/spreadsheets/d/1Gpl6jkTg7sL4VDNimUm3"&amp;"S9Vi1i95esohXCF3wuKOE8c"", ""'CONSOLIDADO'!G5:AB""), 19, 0), ""-""),
""""
)"),"https://drive.google.com/file/d/11TdKrrIE65wBqnpWx9EKyy0pmm6TreuR/view?usp=drive_link")</f>
        <v>https://drive.google.com/file/d/11TdKrrIE65wBqnpWx9EKyy0pmm6TreuR/view?usp=drive_link</v>
      </c>
      <c r="Z13" s="37" t="str">
        <f>IFERROR(__xludf.DUMMYFUNCTION("IFERROR(VLOOKUP(G13,IMPORTRANGE(""https://docs.google.com/spreadsheets/d/12RxCea4e5ggM7QGn1XE3FbLQa_-QbCNdBi90OdPjRqg"", ""'Plan de Compras'!D4:Q""), 12, 0), ""NO ESTÁ EN REQ"")"),"Simple")</f>
        <v>Simple</v>
      </c>
      <c r="AA13" s="37" t="str">
        <f>IFERROR(__xludf.DUMMYFUNCTION("IFERROR(VLOOKUP(G13,IMPORTRANGE(""https://docs.google.com/spreadsheets/d/12RxCea4e5ggM7QGn1XE3FbLQa_-QbCNdBi90OdPjRqg"", ""'Plan de Compras'!D4:Q""), 13, 0), """")"),"NACIONAL")</f>
        <v>NACIONAL</v>
      </c>
      <c r="AB13" s="32" t="str">
        <f>IFERROR(__xludf.DUMMYFUNCTION("IFERROR(VLOOKUP(G13,IMPORTRANGE(""https://docs.google.com/spreadsheets/d/12RxCea4e5ggM7QGn1XE3FbLQa_-QbCNdBi90OdPjRqg"", ""'Plan de Compras'!D4:Q""), 14, 0), """")"),"GEANFRANCO")</f>
        <v>GEANFRANCO</v>
      </c>
      <c r="AC13" s="72" t="str">
        <f>IFERROR(__xludf.DUMMYFUNCTION("IFERROR(VLOOKUP(G13,IMPORTRANGE(""https://docs.google.com/spreadsheets/d/12RxCea4e5ggM7QGn1XE3FbLQa_-QbCNdBi90OdPjRqg"", ""'Plan de Compras'!D4:Q""), 4, 0), """")"),"BANDEJA BAGUETERA")</f>
        <v>BANDEJA BAGUETERA</v>
      </c>
      <c r="AD13" s="37" t="str">
        <f>IFERROR(__xludf.DUMMYFUNCTION("IFERROR(IF(OR(C13=TRUE,C13=""""),VLOOKUP(G13,IMPORTRANGE(""https://docs.google.com/spreadsheets/d/1z9A1Wq-kKrhRNG5RS2a2fKpY1wIhSVz2ZNmP2mOl588/edit?usp=sharing"",""REQ VF!E4:H""),4,0),""NO APLICA""),""GENERAR REQ"")"),"GENERAR REQ")</f>
        <v>GENERAR REQ</v>
      </c>
      <c r="AE13" s="32" t="str">
        <f>IFERROR(__xludf.DUMMYFUNCTION("IFERROR(QUERY(IMPORTRANGE(""https://docs.google.com/spreadsheets/d/1z9A1Wq-kKrhRNG5RS2a2fKpY1wIhSVz2ZNmP2mOl588/edit?usp=sharing"",""REQ VF!E4:Q""),""SELECT Col10, Col11, Col12 WHERE Col1 = '""&amp;G13&amp;""'"",0),""NO APLICA"")"),"NO APLICA")</f>
        <v>NO APLICA</v>
      </c>
      <c r="AF13" s="32"/>
      <c r="AG13" s="32"/>
      <c r="AH13" s="8" t="s">
        <v>52</v>
      </c>
      <c r="AI13" s="13"/>
    </row>
    <row r="14">
      <c r="A14" s="117">
        <v>10.0</v>
      </c>
      <c r="B14" s="43" t="b">
        <v>1</v>
      </c>
      <c r="C14" s="26" t="b">
        <v>1</v>
      </c>
      <c r="D14" s="26" t="s">
        <v>35</v>
      </c>
      <c r="E14" s="26" t="s">
        <v>1510</v>
      </c>
      <c r="F14" s="59" t="s">
        <v>1537</v>
      </c>
      <c r="G14" s="37" t="s">
        <v>1537</v>
      </c>
      <c r="H14" s="82" t="s">
        <v>1538</v>
      </c>
      <c r="I14" s="43">
        <f>SUMIFS('Hoja 10'!$O:$O,'Hoja 10'!$F:$F,$G14)</f>
        <v>20</v>
      </c>
      <c r="J14" s="26">
        <f>IFERROR(__xludf.DUMMYFUNCTION("VLOOKUP(G14,IMPORTRANGE(""https://docs.google.com/spreadsheets/d/12RxCea4e5ggM7QGn1XE3FbLQa_-QbCNdBi90OdPjRqg/edit?gid=1692403370#gid=1692403370"", ""'Plan de Compras'!D4:2432""), 8,0)"),20.0)</f>
        <v>20</v>
      </c>
      <c r="K14" s="26" t="str">
        <f t="shared" si="1"/>
        <v>SI</v>
      </c>
      <c r="L14" s="29" t="s">
        <v>39</v>
      </c>
      <c r="M14" s="30" t="s">
        <v>40</v>
      </c>
      <c r="N14" s="32"/>
      <c r="O14" s="32" t="str">
        <f>VLOOKUP($G14,'Hoja 10'!$F$4:$AA1057, 19,0)</f>
        <v>Grupo Nova</v>
      </c>
      <c r="P14" s="32" t="str">
        <f>VLOOKUP($G14,'Hoja 10'!$F$4:$AA1057, 20,0)</f>
        <v>Bandeja Lisa 65x45 Cm Aluminio 1.2 Mm</v>
      </c>
      <c r="Q14" s="33" t="str">
        <f>VLOOKUP($G14,'Hoja 10'!$F$4:$AA1057, 21,0)</f>
        <v>https://www.gruponova.pe/products/bandeja-lisa-53-x-32-5-cm-aluminio-gn-1-1?srsltid=AfmBOooyI3NpdPvdiqZyovJpsOyk-2LxuyNFKNCAcrHwYuHEynUd1rJO</v>
      </c>
      <c r="R14" s="30" t="s">
        <v>1539</v>
      </c>
      <c r="S14" s="44" t="b">
        <v>1</v>
      </c>
      <c r="T14" s="39" t="str">
        <f>IFERROR(__xludf.DUMMYFUNCTION(" IF
( VLOOKUP($G14,IMPORTRANGE(""https://docs.google.com/spreadsheets/d/1Gpl6jkTg7sL4VDNimUm3S9Vi1i95esohXCF3wuKOE8c"", ""'CONSOLIDADO'!G5:AB""), 10, 0) &lt;&gt; 0, 
IFERROR(VLOOKUP($G14,IMPORTRANGE(""https://docs.google.com/spreadsheets/d/1Gpl6jkTg7sL4VDNimUm3"&amp;"S9Vi1i95esohXCF3wuKOE8c"", ""'CONSOLIDADO'!G5:AB""), 17, 0), ""-""),
""""
)"),"NOVA")</f>
        <v>NOVA</v>
      </c>
      <c r="U14" s="39">
        <f>IFERROR(__xludf.DUMMYFUNCTION(" IF
( VLOOKUP($G14,IMPORTRANGE(""https://docs.google.com/spreadsheets/d/1Gpl6jkTg7sL4VDNimUm3S9Vi1i95esohXCF3wuKOE8c"", ""'CONSOLIDADO'!G5:AB""), 10, 0) &lt;&gt; 0, 
IFERROR(VLOOKUP($G14,IMPORTRANGE(""https://docs.google.com/spreadsheets/d/1Gpl6jkTg7sL4VDNimUm3"&amp;"S9Vi1i95esohXCF3wuKOE8c"", ""'CONSOLIDADO'!G5:AB""), 18, 0), ""-""),
""""
)"),2.101800062E9)</f>
        <v>2101800062</v>
      </c>
      <c r="V14" s="39" t="str">
        <f>IFERROR(__xludf.DUMMYFUNCTION(" IF
( VLOOKUP($G14,IMPORTRANGE(""https://docs.google.com/spreadsheets/d/1Gpl6jkTg7sL4VDNimUm3S9Vi1i95esohXCF3wuKOE8c"", ""'CONSOLIDADO'!G5:AB""), 10, 0) &lt;&gt; 0, 
IFERROR(VLOOKUP($G14,IMPORTRANGE(""https://docs.google.com/spreadsheets/d/1Gpl6jkTg7sL4VDNimUm3"&amp;"S9Vi1i95esohXCF3wuKOE8c"", ""'CONSOLIDADO'!G5:AB""), 17, 0), ""-""),
""""
)"),"NOVA")</f>
        <v>NOVA</v>
      </c>
      <c r="W14" s="39">
        <f>IFERROR(__xludf.DUMMYFUNCTION(" IF
( VLOOKUP($G14,IMPORTRANGE(""https://docs.google.com/spreadsheets/d/1Gpl6jkTg7sL4VDNimUm3S9Vi1i95esohXCF3wuKOE8c"", ""'CONSOLIDADO'!G5:AB""), 10, 0) &lt;&gt; 0, 
IFERROR(VLOOKUP($G14,IMPORTRANGE(""https://docs.google.com/spreadsheets/d/1Gpl6jkTg7sL4VDNimUm3"&amp;"S9Vi1i95esohXCF3wuKOE8c"", ""'CONSOLIDADO'!G5:AB""), 18, 0), ""-""),
""""
)"),2.101800062E9)</f>
        <v>2101800062</v>
      </c>
      <c r="X14" s="39" t="b">
        <f t="shared" si="2"/>
        <v>1</v>
      </c>
      <c r="Y14" s="120" t="str">
        <f>IFERROR(__xludf.DUMMYFUNCTION(" IF
( VLOOKUP($G14,IMPORTRANGE(""https://docs.google.com/spreadsheets/d/1Gpl6jkTg7sL4VDNimUm3S9Vi1i95esohXCF3wuKOE8c"", ""'CONSOLIDADO'!G5:AB""), 10, 0) &lt;&gt; 0, 
IFERROR(VLOOKUP($G14,IMPORTRANGE(""https://docs.google.com/spreadsheets/d/1Gpl6jkTg7sL4VDNimUm3"&amp;"S9Vi1i95esohXCF3wuKOE8c"", ""'CONSOLIDADO'!G5:AB""), 19, 0), ""-""),
""""
)"),"https://drive.google.com/file/d/1xdI-oAAL-_14kBqYSzIVH6wMNGT4LOzz/view?usp=drive_link")</f>
        <v>https://drive.google.com/file/d/1xdI-oAAL-_14kBqYSzIVH6wMNGT4LOzz/view?usp=drive_link</v>
      </c>
      <c r="Z14" s="37" t="str">
        <f>IFERROR(__xludf.DUMMYFUNCTION("IFERROR(VLOOKUP(G14,IMPORTRANGE(""https://docs.google.com/spreadsheets/d/12RxCea4e5ggM7QGn1XE3FbLQa_-QbCNdBi90OdPjRqg"", ""'Plan de Compras'!D4:Q""), 12, 0), ""NO ESTÁ EN REQ"")"),"Simple")</f>
        <v>Simple</v>
      </c>
      <c r="AA14" s="37" t="str">
        <f>IFERROR(__xludf.DUMMYFUNCTION("IFERROR(VLOOKUP(G14,IMPORTRANGE(""https://docs.google.com/spreadsheets/d/12RxCea4e5ggM7QGn1XE3FbLQa_-QbCNdBi90OdPjRqg"", ""'Plan de Compras'!D4:Q""), 13, 0), """")"),"NACIONAL")</f>
        <v>NACIONAL</v>
      </c>
      <c r="AB14" s="32" t="str">
        <f>IFERROR(__xludf.DUMMYFUNCTION("IFERROR(VLOOKUP(G14,IMPORTRANGE(""https://docs.google.com/spreadsheets/d/12RxCea4e5ggM7QGn1XE3FbLQa_-QbCNdBi90OdPjRqg"", ""'Plan de Compras'!D4:Q""), 14, 0), """")"),"GEANFRANCO")</f>
        <v>GEANFRANCO</v>
      </c>
      <c r="AC14" s="72" t="str">
        <f>IFERROR(__xludf.DUMMYFUNCTION("IFERROR(VLOOKUP(G14,IMPORTRANGE(""https://docs.google.com/spreadsheets/d/12RxCea4e5ggM7QGn1XE3FbLQa_-QbCNdBi90OdPjRqg"", ""'Plan de Compras'!D4:Q""), 4, 0), """")"),"BANDEJA LISA")</f>
        <v>BANDEJA LISA</v>
      </c>
      <c r="AD14" s="37" t="str">
        <f>IFERROR(__xludf.DUMMYFUNCTION("IFERROR(IF(OR(C14=TRUE,C14=""""),VLOOKUP(G14,IMPORTRANGE(""https://docs.google.com/spreadsheets/d/1z9A1Wq-kKrhRNG5RS2a2fKpY1wIhSVz2ZNmP2mOl588/edit?usp=sharing"",""REQ VF!E4:H""),4,0),""NO APLICA""),""GENERAR REQ"")"),"GENERAR REQ")</f>
        <v>GENERAR REQ</v>
      </c>
      <c r="AE14" s="32" t="str">
        <f>IFERROR(__xludf.DUMMYFUNCTION("IFERROR(QUERY(IMPORTRANGE(""https://docs.google.com/spreadsheets/d/1z9A1Wq-kKrhRNG5RS2a2fKpY1wIhSVz2ZNmP2mOl588/edit?usp=sharing"",""REQ VF!E4:Q""),""SELECT Col10, Col11, Col12 WHERE Col1 = '""&amp;G14&amp;""'"",0),""NO APLICA"")"),"NO APLICA")</f>
        <v>NO APLICA</v>
      </c>
      <c r="AF14" s="32"/>
      <c r="AG14" s="32"/>
      <c r="AH14" s="8" t="s">
        <v>52</v>
      </c>
      <c r="AI14" s="13"/>
    </row>
    <row r="15">
      <c r="A15" s="117">
        <v>11.0</v>
      </c>
      <c r="B15" s="43" t="b">
        <v>1</v>
      </c>
      <c r="C15" s="26" t="b">
        <v>1</v>
      </c>
      <c r="D15" s="26" t="s">
        <v>35</v>
      </c>
      <c r="E15" s="26" t="s">
        <v>1510</v>
      </c>
      <c r="F15" s="59" t="s">
        <v>1540</v>
      </c>
      <c r="G15" s="37" t="s">
        <v>1540</v>
      </c>
      <c r="H15" s="82" t="s">
        <v>1541</v>
      </c>
      <c r="I15" s="43">
        <f>SUMIFS('Hoja 10'!$O:$O,'Hoja 10'!$F:$F,$G15)</f>
        <v>20</v>
      </c>
      <c r="J15" s="26">
        <f>IFERROR(__xludf.DUMMYFUNCTION("VLOOKUP(G15,IMPORTRANGE(""https://docs.google.com/spreadsheets/d/12RxCea4e5ggM7QGn1XE3FbLQa_-QbCNdBi90OdPjRqg/edit?gid=1692403370#gid=1692403370"", ""'Plan de Compras'!D4:2432""), 8,0)"),20.0)</f>
        <v>20</v>
      </c>
      <c r="K15" s="26" t="str">
        <f t="shared" si="1"/>
        <v>SI</v>
      </c>
      <c r="L15" s="29" t="s">
        <v>39</v>
      </c>
      <c r="M15" s="30" t="s">
        <v>40</v>
      </c>
      <c r="N15" s="32"/>
      <c r="O15" s="32" t="str">
        <f>VLOOKUP($G15,'Hoja 10'!$F$4:$AA1057, 19,0)</f>
        <v>Grupo Nova</v>
      </c>
      <c r="P15" s="32" t="str">
        <f>VLOOKUP($G15,'Hoja 10'!$F$4:$AA1057, 20,0)</f>
        <v>Bandeja Perforada 65x45 cm Aluminio 1.2 Mm</v>
      </c>
      <c r="Q15" s="33" t="str">
        <f>VLOOKUP($G15,'Hoja 10'!$F$4:$AA1057, 21,0)</f>
        <v>https://www.gruponova.pe/products/bandeja-perforada-60-x-40-cm-aluminio-1-2-mm</v>
      </c>
      <c r="R15" s="30" t="s">
        <v>1542</v>
      </c>
      <c r="S15" s="44" t="b">
        <v>1</v>
      </c>
      <c r="T15" s="39" t="str">
        <f>IFERROR(__xludf.DUMMYFUNCTION(" IF
( VLOOKUP($G15,IMPORTRANGE(""https://docs.google.com/spreadsheets/d/1Gpl6jkTg7sL4VDNimUm3S9Vi1i95esohXCF3wuKOE8c"", ""'CONSOLIDADO'!G5:AB""), 10, 0) &lt;&gt; 0, 
IFERROR(VLOOKUP($G15,IMPORTRANGE(""https://docs.google.com/spreadsheets/d/1Gpl6jkTg7sL4VDNimUm3"&amp;"S9Vi1i95esohXCF3wuKOE8c"", ""'CONSOLIDADO'!G5:AB""), 17, 0), ""-""),
""""
)"),"NOVA")</f>
        <v>NOVA</v>
      </c>
      <c r="U15" s="39">
        <f>IFERROR(__xludf.DUMMYFUNCTION(" IF
( VLOOKUP($G15,IMPORTRANGE(""https://docs.google.com/spreadsheets/d/1Gpl6jkTg7sL4VDNimUm3S9Vi1i95esohXCF3wuKOE8c"", ""'CONSOLIDADO'!G5:AB""), 10, 0) &lt;&gt; 0, 
IFERROR(VLOOKUP($G15,IMPORTRANGE(""https://docs.google.com/spreadsheets/d/1Gpl6jkTg7sL4VDNimUm3"&amp;"S9Vi1i95esohXCF3wuKOE8c"", ""'CONSOLIDADO'!G5:AB""), 18, 0), ""-""),
""""
)"),2.101800068E9)</f>
        <v>2101800068</v>
      </c>
      <c r="V15" s="39" t="str">
        <f>IFERROR(__xludf.DUMMYFUNCTION(" IF
( VLOOKUP($G15,IMPORTRANGE(""https://docs.google.com/spreadsheets/d/1Gpl6jkTg7sL4VDNimUm3S9Vi1i95esohXCF3wuKOE8c"", ""'CONSOLIDADO'!G5:AB""), 10, 0) &lt;&gt; 0, 
IFERROR(VLOOKUP($G15,IMPORTRANGE(""https://docs.google.com/spreadsheets/d/1Gpl6jkTg7sL4VDNimUm3"&amp;"S9Vi1i95esohXCF3wuKOE8c"", ""'CONSOLIDADO'!G5:AB""), 17, 0), ""-""),
""""
)"),"NOVA")</f>
        <v>NOVA</v>
      </c>
      <c r="W15" s="39">
        <f>IFERROR(__xludf.DUMMYFUNCTION(" IF
( VLOOKUP($G15,IMPORTRANGE(""https://docs.google.com/spreadsheets/d/1Gpl6jkTg7sL4VDNimUm3S9Vi1i95esohXCF3wuKOE8c"", ""'CONSOLIDADO'!G5:AB""), 10, 0) &lt;&gt; 0, 
IFERROR(VLOOKUP($G15,IMPORTRANGE(""https://docs.google.com/spreadsheets/d/1Gpl6jkTg7sL4VDNimUm3"&amp;"S9Vi1i95esohXCF3wuKOE8c"", ""'CONSOLIDADO'!G5:AB""), 18, 0), ""-""),
""""
)"),2.101800068E9)</f>
        <v>2101800068</v>
      </c>
      <c r="X15" s="39" t="b">
        <f t="shared" si="2"/>
        <v>1</v>
      </c>
      <c r="Y15" s="120" t="str">
        <f>IFERROR(__xludf.DUMMYFUNCTION(" IF
( VLOOKUP($G15,IMPORTRANGE(""https://docs.google.com/spreadsheets/d/1Gpl6jkTg7sL4VDNimUm3S9Vi1i95esohXCF3wuKOE8c"", ""'CONSOLIDADO'!G5:AB""), 10, 0) &lt;&gt; 0, 
IFERROR(VLOOKUP($G15,IMPORTRANGE(""https://docs.google.com/spreadsheets/d/1Gpl6jkTg7sL4VDNimUm3"&amp;"S9Vi1i95esohXCF3wuKOE8c"", ""'CONSOLIDADO'!G5:AB""), 19, 0), ""-""),
""""
)"),"https://drive.google.com/file/d/1GBHvAzAItp_e6my_Sma04wE-e4XKRi7T/view?usp=drive_link")</f>
        <v>https://drive.google.com/file/d/1GBHvAzAItp_e6my_Sma04wE-e4XKRi7T/view?usp=drive_link</v>
      </c>
      <c r="Z15" s="37" t="str">
        <f>IFERROR(__xludf.DUMMYFUNCTION("IFERROR(VLOOKUP(G15,IMPORTRANGE(""https://docs.google.com/spreadsheets/d/12RxCea4e5ggM7QGn1XE3FbLQa_-QbCNdBi90OdPjRqg"", ""'Plan de Compras'!D4:Q""), 12, 0), ""NO ESTÁ EN REQ"")"),"Simple")</f>
        <v>Simple</v>
      </c>
      <c r="AA15" s="37" t="str">
        <f>IFERROR(__xludf.DUMMYFUNCTION("IFERROR(VLOOKUP(G15,IMPORTRANGE(""https://docs.google.com/spreadsheets/d/12RxCea4e5ggM7QGn1XE3FbLQa_-QbCNdBi90OdPjRqg"", ""'Plan de Compras'!D4:Q""), 13, 0), """")"),"NACIONAL")</f>
        <v>NACIONAL</v>
      </c>
      <c r="AB15" s="32" t="str">
        <f>IFERROR(__xludf.DUMMYFUNCTION("IFERROR(VLOOKUP(G15,IMPORTRANGE(""https://docs.google.com/spreadsheets/d/12RxCea4e5ggM7QGn1XE3FbLQa_-QbCNdBi90OdPjRqg"", ""'Plan de Compras'!D4:Q""), 14, 0), """")"),"GEANFRANCO")</f>
        <v>GEANFRANCO</v>
      </c>
      <c r="AC15" s="72" t="str">
        <f>IFERROR(__xludf.DUMMYFUNCTION("IFERROR(VLOOKUP(G15,IMPORTRANGE(""https://docs.google.com/spreadsheets/d/12RxCea4e5ggM7QGn1XE3FbLQa_-QbCNdBi90OdPjRqg"", ""'Plan de Compras'!D4:Q""), 4, 0), """")"),"BANDEJA PERFORADA")</f>
        <v>BANDEJA PERFORADA</v>
      </c>
      <c r="AD15" s="37" t="str">
        <f>IFERROR(__xludf.DUMMYFUNCTION("IFERROR(IF(OR(C15=TRUE,C15=""""),VLOOKUP(G15,IMPORTRANGE(""https://docs.google.com/spreadsheets/d/1z9A1Wq-kKrhRNG5RS2a2fKpY1wIhSVz2ZNmP2mOl588/edit?usp=sharing"",""REQ VF!E4:H""),4,0),""NO APLICA""),""GENERAR REQ"")"),"GENERAR REQ")</f>
        <v>GENERAR REQ</v>
      </c>
      <c r="AE15" s="32" t="str">
        <f>IFERROR(__xludf.DUMMYFUNCTION("IFERROR(QUERY(IMPORTRANGE(""https://docs.google.com/spreadsheets/d/1z9A1Wq-kKrhRNG5RS2a2fKpY1wIhSVz2ZNmP2mOl588/edit?usp=sharing"",""REQ VF!E4:Q""),""SELECT Col10, Col11, Col12 WHERE Col1 = '""&amp;G15&amp;""'"",0),""NO APLICA"")"),"NO APLICA")</f>
        <v>NO APLICA</v>
      </c>
      <c r="AF15" s="32"/>
      <c r="AG15" s="32"/>
      <c r="AH15" s="8" t="s">
        <v>52</v>
      </c>
      <c r="AI15" s="13"/>
    </row>
    <row r="16">
      <c r="A16" s="121">
        <v>12.0</v>
      </c>
      <c r="B16" s="43" t="b">
        <v>1</v>
      </c>
      <c r="C16" s="26" t="b">
        <v>1</v>
      </c>
      <c r="D16" s="26" t="s">
        <v>35</v>
      </c>
      <c r="E16" s="26" t="s">
        <v>1510</v>
      </c>
      <c r="F16" s="59" t="s">
        <v>1543</v>
      </c>
      <c r="G16" s="37" t="s">
        <v>1543</v>
      </c>
      <c r="H16" s="82" t="s">
        <v>1544</v>
      </c>
      <c r="I16" s="43">
        <f>SUMIFS('Hoja 10'!$O:$O,'Hoja 10'!$F:$F,$G16)</f>
        <v>4</v>
      </c>
      <c r="J16" s="26">
        <f>IFERROR(__xludf.DUMMYFUNCTION("VLOOKUP(G16,IMPORTRANGE(""https://docs.google.com/spreadsheets/d/12RxCea4e5ggM7QGn1XE3FbLQa_-QbCNdBi90OdPjRqg/edit?gid=1692403370#gid=1692403370"", ""'Plan de Compras'!D4:2432""), 8,0)"),4.0)</f>
        <v>4</v>
      </c>
      <c r="K16" s="26" t="str">
        <f t="shared" si="1"/>
        <v>SI</v>
      </c>
      <c r="L16" s="29" t="s">
        <v>77</v>
      </c>
      <c r="M16" s="30" t="s">
        <v>78</v>
      </c>
      <c r="N16" s="32"/>
      <c r="O16" s="32" t="str">
        <f>VLOOKUP($G16,'Hoja 10'!$F$4:$AA1057, 19,0)</f>
        <v>morteroypiedra</v>
      </c>
      <c r="P16" s="32" t="str">
        <f>VLOOKUP($G16,'Hoja 10'!$F$4:$AA1057, 20,0)</f>
        <v>Mini Batan de cocina</v>
      </c>
      <c r="Q16" s="33" t="str">
        <f>VLOOKUP($G16,'Hoja 10'!$F$4:$AA1057, 21,0)</f>
        <v>https://morteroypiedra.mobirisesite.com/</v>
      </c>
      <c r="R16" s="30" t="s">
        <v>1545</v>
      </c>
      <c r="S16" s="34" t="b">
        <v>1</v>
      </c>
      <c r="T16" s="39" t="str">
        <f>IFERROR(__xludf.DUMMYFUNCTION(" IF
( VLOOKUP($G16,IMPORTRANGE(""https://docs.google.com/spreadsheets/d/1Gpl6jkTg7sL4VDNimUm3S9Vi1i95esohXCF3wuKOE8c"", ""'CONSOLIDADO'!G5:AB""), 10, 0) &lt;&gt; 0, 
IFERROR(VLOOKUP($G16,IMPORTRANGE(""https://docs.google.com/spreadsheets/d/1Gpl6jkTg7sL4VDNimUm3"&amp;"S9Vi1i95esohXCF3wuKOE8c"", ""'CONSOLIDADO'!G5:AB""), 17, 0), ""-""),
""""
)"),"BESTAR STUDIO SAC")</f>
        <v>BESTAR STUDIO SAC</v>
      </c>
      <c r="U16" s="39" t="str">
        <f>IFERROR(__xludf.DUMMYFUNCTION(" IF
( VLOOKUP($G16,IMPORTRANGE(""https://docs.google.com/spreadsheets/d/1Gpl6jkTg7sL4VDNimUm3S9Vi1i95esohXCF3wuKOE8c"", ""'CONSOLIDADO'!G5:AB""), 10, 0) &lt;&gt; 0, 
IFERROR(VLOOKUP($G16,IMPORTRANGE(""https://docs.google.com/spreadsheets/d/1Gpl6jkTg7sL4VDNimUm3"&amp;"S9Vi1i95esohXCF3wuKOE8c"", ""'CONSOLIDADO'!G5:AB""), 18, 0), ""-""),
""""
)"),"BATANES DE PIEDRA NATURAL (GRANITO) 30 CM X 18 CM H 6 CM. TALLADOS A MANO Y PULIDOS ")</f>
        <v>BATANES DE PIEDRA NATURAL (GRANITO) 30 CM X 18 CM H 6 CM. TALLADOS A MANO Y PULIDOS </v>
      </c>
      <c r="V16" s="39" t="str">
        <f>IFERROR(__xludf.DUMMYFUNCTION(" IF
( VLOOKUP($G16,IMPORTRANGE(""https://docs.google.com/spreadsheets/d/1Gpl6jkTg7sL4VDNimUm3S9Vi1i95esohXCF3wuKOE8c"", ""'CONSOLIDADO'!G5:AB""), 10, 0) &lt;&gt; 0, 
IFERROR(VLOOKUP($G16,IMPORTRANGE(""https://docs.google.com/spreadsheets/d/1Gpl6jkTg7sL4VDNimUm3"&amp;"S9Vi1i95esohXCF3wuKOE8c"", ""'CONSOLIDADO'!G5:AB""), 17, 0), ""-""),
""""
)"),"BESTAR STUDIO SAC")</f>
        <v>BESTAR STUDIO SAC</v>
      </c>
      <c r="W16" s="39" t="str">
        <f>IFERROR(__xludf.DUMMYFUNCTION(" IF
( VLOOKUP($G16,IMPORTRANGE(""https://docs.google.com/spreadsheets/d/1Gpl6jkTg7sL4VDNimUm3S9Vi1i95esohXCF3wuKOE8c"", ""'CONSOLIDADO'!G5:AB""), 10, 0) &lt;&gt; 0, 
IFERROR(VLOOKUP($G16,IMPORTRANGE(""https://docs.google.com/spreadsheets/d/1Gpl6jkTg7sL4VDNimUm3"&amp;"S9Vi1i95esohXCF3wuKOE8c"", ""'CONSOLIDADO'!G5:AB""), 18, 0), ""-""),
""""
)"),"BATANES DE PIEDRA NATURAL (GRANITO) 30 CM X 18 CM H 6 CM. TALLADOS A MANO Y PULIDOS ")</f>
        <v>BATANES DE PIEDRA NATURAL (GRANITO) 30 CM X 18 CM H 6 CM. TALLADOS A MANO Y PULIDOS </v>
      </c>
      <c r="X16" s="39" t="b">
        <f t="shared" si="2"/>
        <v>1</v>
      </c>
      <c r="Y16" s="110" t="str">
        <f>IFERROR(__xludf.DUMMYFUNCTION(" IF
( VLOOKUP($G16,IMPORTRANGE(""https://docs.google.com/spreadsheets/d/1Gpl6jkTg7sL4VDNimUm3S9Vi1i95esohXCF3wuKOE8c"", ""'CONSOLIDADO'!G5:AB""), 10, 0) &lt;&gt; 0, 
IFERROR(VLOOKUP($G16,IMPORTRANGE(""https://docs.google.com/spreadsheets/d/1Gpl6jkTg7sL4VDNimUm3"&amp;"S9Vi1i95esohXCF3wuKOE8c"", ""'CONSOLIDADO'!G5:AB""), 19, 0), ""-""),
""""
)"),"SOLICITAR FICHA")</f>
        <v>SOLICITAR FICHA</v>
      </c>
      <c r="Z16" s="37" t="str">
        <f>IFERROR(__xludf.DUMMYFUNCTION("IFERROR(VLOOKUP(G16,IMPORTRANGE(""https://docs.google.com/spreadsheets/d/12RxCea4e5ggM7QGn1XE3FbLQa_-QbCNdBi90OdPjRqg"", ""'Plan de Compras'!D4:Q""), 12, 0), ""NO ESTÁ EN REQ"")"),"Simple")</f>
        <v>Simple</v>
      </c>
      <c r="AA16" s="37" t="str">
        <f>IFERROR(__xludf.DUMMYFUNCTION("IFERROR(VLOOKUP(G16,IMPORTRANGE(""https://docs.google.com/spreadsheets/d/12RxCea4e5ggM7QGn1XE3FbLQa_-QbCNdBi90OdPjRqg"", ""'Plan de Compras'!D4:Q""), 13, 0), """")"),"NACIONAL")</f>
        <v>NACIONAL</v>
      </c>
      <c r="AB16" s="32" t="str">
        <f>IFERROR(__xludf.DUMMYFUNCTION("IFERROR(VLOOKUP(G16,IMPORTRANGE(""https://docs.google.com/spreadsheets/d/12RxCea4e5ggM7QGn1XE3FbLQa_-QbCNdBi90OdPjRqg"", ""'Plan de Compras'!D4:Q""), 14, 0), """")"),"DIANA")</f>
        <v>DIANA</v>
      </c>
      <c r="AC16" s="72" t="str">
        <f>IFERROR(__xludf.DUMMYFUNCTION("IFERROR(VLOOKUP(G16,IMPORTRANGE(""https://docs.google.com/spreadsheets/d/12RxCea4e5ggM7QGn1XE3FbLQa_-QbCNdBi90OdPjRqg"", ""'Plan de Compras'!D4:Q""), 4, 0), """")"),"BATAN")</f>
        <v>BATAN</v>
      </c>
      <c r="AD16" s="37" t="str">
        <f>IFERROR(__xludf.DUMMYFUNCTION("IFERROR(IF(OR(C16=TRUE,C16=""""),VLOOKUP(G16,IMPORTRANGE(""https://docs.google.com/spreadsheets/d/1z9A1Wq-kKrhRNG5RS2a2fKpY1wIhSVz2ZNmP2mOl588/edit?usp=sharing"",""REQ VF!E4:H""),4,0),""NO APLICA""),""GENERAR REQ"")"),"GENERAR REQ")</f>
        <v>GENERAR REQ</v>
      </c>
      <c r="AE16" s="32" t="str">
        <f>IFERROR(__xludf.DUMMYFUNCTION("IFERROR(QUERY(IMPORTRANGE(""https://docs.google.com/spreadsheets/d/1z9A1Wq-kKrhRNG5RS2a2fKpY1wIhSVz2ZNmP2mOl588/edit?usp=sharing"",""REQ VF!E4:Q""),""SELECT Col10, Col11, Col12 WHERE Col1 = '""&amp;G16&amp;""'"",0),""NO APLICA"")"),"NO APLICA")</f>
        <v>NO APLICA</v>
      </c>
      <c r="AF16" s="32"/>
      <c r="AG16" s="32"/>
      <c r="AH16" s="13"/>
      <c r="AI16" s="13"/>
    </row>
    <row r="17">
      <c r="A17" s="121">
        <v>13.0</v>
      </c>
      <c r="B17" s="43" t="b">
        <v>1</v>
      </c>
      <c r="C17" s="26" t="b">
        <v>0</v>
      </c>
      <c r="D17" s="26" t="s">
        <v>35</v>
      </c>
      <c r="E17" s="26" t="s">
        <v>1510</v>
      </c>
      <c r="F17" s="59" t="s">
        <v>1546</v>
      </c>
      <c r="G17" s="37" t="s">
        <v>1546</v>
      </c>
      <c r="H17" s="122" t="s">
        <v>1547</v>
      </c>
      <c r="I17" s="43">
        <f>SUMIFS('Hoja 10'!$O:$O,'Hoja 10'!$F:$F,$G17)</f>
        <v>4</v>
      </c>
      <c r="J17" s="26" t="str">
        <f>IFERROR(__xludf.DUMMYFUNCTION("VLOOKUP(G17,IMPORTRANGE(""https://docs.google.com/spreadsheets/d/12RxCea4e5ggM7QGn1XE3FbLQa_-QbCNdBi90OdPjRqg/edit?gid=1692403370#gid=1692403370"", ""'Plan de Compras'!D4:2432""), 8,0)"),"#N/A")</f>
        <v>#N/A</v>
      </c>
      <c r="K17" s="26" t="str">
        <f t="shared" si="1"/>
        <v>-</v>
      </c>
      <c r="L17" s="29" t="s">
        <v>77</v>
      </c>
      <c r="M17" s="30" t="s">
        <v>78</v>
      </c>
      <c r="N17" s="32"/>
      <c r="O17" s="32" t="str">
        <f>VLOOKUP($G17,'Hoja 10'!$F$4:$AA1057, 19,0)</f>
        <v>NORDIC WARE</v>
      </c>
      <c r="P17" s="32" t="str">
        <f>VLOOKUP($G17,'Hoja 10'!$F$4:$AA1057, 20,0)</f>
        <v>130332765 / 130332769</v>
      </c>
      <c r="Q17" s="33" t="str">
        <f>VLOOKUP($G17,'Hoja 10'!$F$4:$AA1057, 21,0)</f>
        <v>https://www.sodimac.com.pe/sodimac-pe/articulo/130332764/Bandeja-para-hornear-Eighth-de-aluminio-de-24cm-x-16cm/130332765</v>
      </c>
      <c r="R17" s="30" t="s">
        <v>1548</v>
      </c>
      <c r="S17" s="34" t="b">
        <v>1</v>
      </c>
      <c r="T17" s="39" t="s">
        <v>1549</v>
      </c>
      <c r="U17" s="39" t="str">
        <f>IFERROR(__xludf.DUMMYFUNCTION(" IF
( VLOOKUP($G17,IMPORTRANGE(""https://docs.google.com/spreadsheets/d/1Gpl6jkTg7sL4VDNimUm3S9Vi1i95esohXCF3wuKOE8c"", ""'CONSOLIDADO'!G5:AB""), 10, 0) &lt;&gt; 0, 
IFERROR(VLOOKUP($G17,IMPORTRANGE(""https://docs.google.com/spreadsheets/d/1Gpl6jkTg7sL4VDNimUm3"&amp;"S9Vi1i95esohXCF3wuKOE8c"", ""'CONSOLIDADO'!G5:AB""), 18, 0), ""-""),
""""
)"),"38cm x 27cm / 16 x 25 cm")</f>
        <v>38cm x 27cm / 16 x 25 cm</v>
      </c>
      <c r="V17" s="39" t="str">
        <f>IFERROR(__xludf.DUMMYFUNCTION(" IF
( VLOOKUP($G17,IMPORTRANGE(""https://docs.google.com/spreadsheets/d/1Gpl6jkTg7sL4VDNimUm3S9Vi1i95esohXCF3wuKOE8c"", ""'CONSOLIDADO'!G5:AB""), 10, 0) &lt;&gt; 0, 
IFERROR(VLOOKUP($G17,IMPORTRANGE(""https://docs.google.com/spreadsheets/d/1Gpl6jkTg7sL4VDNimUm3"&amp;"S9Vi1i95esohXCF3wuKOE8c"", ""'CONSOLIDADO'!G5:AB""), 17, 0), ""-""),
""""
)"),"NORDIC WARE")</f>
        <v>NORDIC WARE</v>
      </c>
      <c r="W17" s="39" t="str">
        <f>IFERROR(__xludf.DUMMYFUNCTION(" IF
( VLOOKUP($G17,IMPORTRANGE(""https://docs.google.com/spreadsheets/d/1Gpl6jkTg7sL4VDNimUm3S9Vi1i95esohXCF3wuKOE8c"", ""'CONSOLIDADO'!G5:AB""), 10, 0) &lt;&gt; 0, 
IFERROR(VLOOKUP($G17,IMPORTRANGE(""https://docs.google.com/spreadsheets/d/1Gpl6jkTg7sL4VDNimUm3"&amp;"S9Vi1i95esohXCF3wuKOE8c"", ""'CONSOLIDADO'!G5:AB""), 18, 0), ""-""),
""""
)"),"38cm x 27cm / 16 x 25 cm")</f>
        <v>38cm x 27cm / 16 x 25 cm</v>
      </c>
      <c r="X17" s="39" t="b">
        <f t="shared" si="2"/>
        <v>1</v>
      </c>
      <c r="Y17" s="120" t="str">
        <f>IFERROR(__xludf.DUMMYFUNCTION(" IF
( VLOOKUP($G17,IMPORTRANGE(""https://docs.google.com/spreadsheets/d/1Gpl6jkTg7sL4VDNimUm3S9Vi1i95esohXCF3wuKOE8c"", ""'CONSOLIDADO'!G5:AB""), 10, 0) &lt;&gt; 0, 
IFERROR(VLOOKUP($G17,IMPORTRANGE(""https://docs.google.com/spreadsheets/d/1Gpl6jkTg7sL4VDNimUm3"&amp;"S9Vi1i95esohXCF3wuKOE8c"", ""'CONSOLIDADO'!G5:AB""), 19, 0), ""-""),
""""
)"),"https://www.sodimac.com.pe/sodimac-pe/articulo/130332764/Bandeja-para-hornear-Eighth-de-aluminio-de-24cm-x-16cm/130332765
https://www.sodimac.com.pe/sodimac-pe/articulo/130332768/Bandeja-para-hornear-Jelly-Roll-de-aluminio-de-38cm-x-27cm/130332769")</f>
        <v>https://www.sodimac.com.pe/sodimac-pe/articulo/130332764/Bandeja-para-hornear-Eighth-de-aluminio-de-24cm-x-16cm/130332765
https://www.sodimac.com.pe/sodimac-pe/articulo/130332768/Bandeja-para-hornear-Jelly-Roll-de-aluminio-de-38cm-x-27cm/130332769</v>
      </c>
      <c r="Z17" s="37" t="str">
        <f>IFERROR(__xludf.DUMMYFUNCTION("IFERROR(VLOOKUP(G17,IMPORTRANGE(""https://docs.google.com/spreadsheets/d/12RxCea4e5ggM7QGn1XE3FbLQa_-QbCNdBi90OdPjRqg"", ""'Plan de Compras'!D4:Q""), 12, 0), ""NO ESTÁ EN REQ"")"),"NO ESTÁ EN REQ")</f>
        <v>NO ESTÁ EN REQ</v>
      </c>
      <c r="AA17" s="37" t="str">
        <f>IFERROR(__xludf.DUMMYFUNCTION("IFERROR(VLOOKUP(G17,IMPORTRANGE(""https://docs.google.com/spreadsheets/d/12RxCea4e5ggM7QGn1XE3FbLQa_-QbCNdBi90OdPjRqg"", ""'Plan de Compras'!D4:Q""), 13, 0), """")"),"")</f>
        <v/>
      </c>
      <c r="AB17" s="32" t="str">
        <f>IFERROR(__xludf.DUMMYFUNCTION("IFERROR(VLOOKUP(G17,IMPORTRANGE(""https://docs.google.com/spreadsheets/d/12RxCea4e5ggM7QGn1XE3FbLQa_-QbCNdBi90OdPjRqg"", ""'Plan de Compras'!D4:Q""), 14, 0), """")"),"")</f>
        <v/>
      </c>
      <c r="AC17" s="72" t="str">
        <f>IFERROR(__xludf.DUMMYFUNCTION("IFERROR(VLOOKUP(G17,IMPORTRANGE(""https://docs.google.com/spreadsheets/d/12RxCea4e5ggM7QGn1XE3FbLQa_-QbCNdBi90OdPjRqg"", ""'Plan de Compras'!D4:Q""), 4, 0), """")"),"")</f>
        <v/>
      </c>
      <c r="AD17" s="37" t="str">
        <f>IFERROR(__xludf.DUMMYFUNCTION("IFERROR(IF(OR(C17=TRUE,C17=""""),VLOOKUP(G17,IMPORTRANGE(""https://docs.google.com/spreadsheets/d/1z9A1Wq-kKrhRNG5RS2a2fKpY1wIhSVz2ZNmP2mOl588/edit?usp=sharing"",""REQ VF!E4:H""),4,0),""NO APLICA""),""GENERAR REQ"")"),"NO APLICA")</f>
        <v>NO APLICA</v>
      </c>
      <c r="AE17" s="32" t="str">
        <f>IFERROR(__xludf.DUMMYFUNCTION("IFERROR(QUERY(IMPORTRANGE(""https://docs.google.com/spreadsheets/d/1z9A1Wq-kKrhRNG5RS2a2fKpY1wIhSVz2ZNmP2mOl588/edit?usp=sharing"",""REQ VF!E4:Q""),""SELECT Col10, Col11, Col12 WHERE Col1 = '""&amp;G17&amp;""'"",0),""NO APLICA"")"),"NO APLICA")</f>
        <v>NO APLICA</v>
      </c>
      <c r="AF17" s="32"/>
      <c r="AG17" s="32"/>
      <c r="AH17" s="13"/>
      <c r="AI17" s="13"/>
    </row>
    <row r="18">
      <c r="A18" s="43"/>
      <c r="B18" s="43"/>
      <c r="C18" s="26" t="b">
        <v>1</v>
      </c>
      <c r="D18" s="26" t="s">
        <v>95</v>
      </c>
      <c r="E18" s="26" t="s">
        <v>1510</v>
      </c>
      <c r="F18" s="59" t="s">
        <v>1546</v>
      </c>
      <c r="G18" s="39" t="s">
        <v>1550</v>
      </c>
      <c r="H18" s="66" t="s">
        <v>1551</v>
      </c>
      <c r="I18" s="43">
        <f>I17*2</f>
        <v>8</v>
      </c>
      <c r="J18" s="26">
        <f>IFERROR(__xludf.DUMMYFUNCTION("VLOOKUP(G18,IMPORTRANGE(""https://docs.google.com/spreadsheets/d/12RxCea4e5ggM7QGn1XE3FbLQa_-QbCNdBi90OdPjRqg/edit?gid=1692403370#gid=1692403370"", ""'Plan de Compras'!D4:2432""), 8,0)"),8.0)</f>
        <v>8</v>
      </c>
      <c r="K18" s="26" t="str">
        <f t="shared" si="1"/>
        <v>SI</v>
      </c>
      <c r="L18" s="26"/>
      <c r="M18" s="32"/>
      <c r="N18" s="32"/>
      <c r="O18" s="32" t="s">
        <v>1549</v>
      </c>
      <c r="P18" s="32">
        <v>1.30332769E8</v>
      </c>
      <c r="Q18" s="33" t="s">
        <v>1552</v>
      </c>
      <c r="R18" s="32"/>
      <c r="S18" s="34" t="b">
        <v>1</v>
      </c>
      <c r="T18" s="61" t="s">
        <v>1549</v>
      </c>
      <c r="U18" s="61" t="s">
        <v>1553</v>
      </c>
      <c r="V18" s="32"/>
      <c r="W18" s="32"/>
      <c r="X18" s="32"/>
      <c r="Y18" s="33" t="s">
        <v>1552</v>
      </c>
      <c r="Z18" s="37" t="str">
        <f>IFERROR(__xludf.DUMMYFUNCTION("IFERROR(VLOOKUP(G18,IMPORTRANGE(""https://docs.google.com/spreadsheets/d/12RxCea4e5ggM7QGn1XE3FbLQa_-QbCNdBi90OdPjRqg"", ""'Plan de Compras'!D4:Q""), 12, 0), ""NO ESTÁ EN REQ"")"),"Simple")</f>
        <v>Simple</v>
      </c>
      <c r="AA18" s="37" t="str">
        <f>IFERROR(__xludf.DUMMYFUNCTION("IFERROR(VLOOKUP(G18,IMPORTRANGE(""https://docs.google.com/spreadsheets/d/12RxCea4e5ggM7QGn1XE3FbLQa_-QbCNdBi90OdPjRqg"", ""'Plan de Compras'!D4:Q""), 13, 0), """")"),"NACIONAL")</f>
        <v>NACIONAL</v>
      </c>
      <c r="AB18" s="32" t="str">
        <f>IFERROR(__xludf.DUMMYFUNCTION("IFERROR(VLOOKUP(G18,IMPORTRANGE(""https://docs.google.com/spreadsheets/d/12RxCea4e5ggM7QGn1XE3FbLQa_-QbCNdBi90OdPjRqg"", ""'Plan de Compras'!D4:Q""), 14, 0), """")"),"DIANA")</f>
        <v>DIANA</v>
      </c>
      <c r="AC18" s="72" t="str">
        <f>IFERROR(__xludf.DUMMYFUNCTION("IFERROR(VLOOKUP(G18,IMPORTRANGE(""https://docs.google.com/spreadsheets/d/12RxCea4e5ggM7QGn1XE3FbLQa_-QbCNdBi90OdPjRqg"", ""'Plan de Compras'!D4:Q""), 4, 0), """")"),"BRACERA ROSTICERA 10 X 15 '' (2 UND) ")</f>
        <v>BRACERA ROSTICERA 10 X 15 '' (2 UND) </v>
      </c>
      <c r="AD18" s="37" t="str">
        <f>IFERROR(__xludf.DUMMYFUNCTION("IFERROR(IF(OR(C18=TRUE,C18=""""),VLOOKUP(G18,IMPORTRANGE(""https://docs.google.com/spreadsheets/d/1z9A1Wq-kKrhRNG5RS2a2fKpY1wIhSVz2ZNmP2mOl588/edit?usp=sharing"",""REQ VF!E4:H""),4,0),""NO APLICA""),""GENERAR REQ"")"),"GENERAR REQ")</f>
        <v>GENERAR REQ</v>
      </c>
      <c r="AE18" s="32" t="str">
        <f>IFERROR(__xludf.DUMMYFUNCTION("IFERROR(QUERY(IMPORTRANGE(""https://docs.google.com/spreadsheets/d/1z9A1Wq-kKrhRNG5RS2a2fKpY1wIhSVz2ZNmP2mOl588/edit?usp=sharing"",""REQ VF!E4:Q""),""SELECT Col10, Col11, Col12 WHERE Col1 = '""&amp;G18&amp;""'"",0),""NO APLICA"")"),"NO APLICA")</f>
        <v>NO APLICA</v>
      </c>
      <c r="AF18" s="32"/>
      <c r="AG18" s="32"/>
      <c r="AH18" s="13"/>
      <c r="AI18" s="13"/>
    </row>
    <row r="19">
      <c r="A19" s="43"/>
      <c r="B19" s="43"/>
      <c r="C19" s="26" t="b">
        <v>1</v>
      </c>
      <c r="D19" s="26" t="s">
        <v>95</v>
      </c>
      <c r="E19" s="26" t="s">
        <v>1510</v>
      </c>
      <c r="F19" s="59" t="s">
        <v>1546</v>
      </c>
      <c r="G19" s="39" t="s">
        <v>1554</v>
      </c>
      <c r="H19" s="66" t="s">
        <v>1555</v>
      </c>
      <c r="I19" s="43">
        <f>I17*3</f>
        <v>12</v>
      </c>
      <c r="J19" s="26">
        <f>IFERROR(__xludf.DUMMYFUNCTION("VLOOKUP(G19,IMPORTRANGE(""https://docs.google.com/spreadsheets/d/12RxCea4e5ggM7QGn1XE3FbLQa_-QbCNdBi90OdPjRqg/edit?gid=1692403370#gid=1692403370"", ""'Plan de Compras'!D4:2432""), 8,0)"),12.0)</f>
        <v>12</v>
      </c>
      <c r="K19" s="26" t="str">
        <f t="shared" si="1"/>
        <v>SI</v>
      </c>
      <c r="L19" s="26"/>
      <c r="M19" s="32"/>
      <c r="N19" s="32"/>
      <c r="O19" s="32" t="s">
        <v>1549</v>
      </c>
      <c r="P19" s="32">
        <v>1.30332765E8</v>
      </c>
      <c r="Q19" s="33" t="s">
        <v>1556</v>
      </c>
      <c r="R19" s="32"/>
      <c r="S19" s="34" t="b">
        <v>1</v>
      </c>
      <c r="T19" s="61" t="s">
        <v>1549</v>
      </c>
      <c r="U19" s="61" t="s">
        <v>1557</v>
      </c>
      <c r="V19" s="32"/>
      <c r="W19" s="32"/>
      <c r="X19" s="32"/>
      <c r="Y19" s="41"/>
      <c r="Z19" s="37" t="str">
        <f>IFERROR(__xludf.DUMMYFUNCTION("IFERROR(VLOOKUP(G19,IMPORTRANGE(""https://docs.google.com/spreadsheets/d/12RxCea4e5ggM7QGn1XE3FbLQa_-QbCNdBi90OdPjRqg"", ""'Plan de Compras'!D4:Q""), 12, 0), ""NO ESTÁ EN REQ"")"),"Simple")</f>
        <v>Simple</v>
      </c>
      <c r="AA19" s="37" t="str">
        <f>IFERROR(__xludf.DUMMYFUNCTION("IFERROR(VLOOKUP(G19,IMPORTRANGE(""https://docs.google.com/spreadsheets/d/12RxCea4e5ggM7QGn1XE3FbLQa_-QbCNdBi90OdPjRqg"", ""'Plan de Compras'!D4:Q""), 13, 0), """")"),"NACIONAL")</f>
        <v>NACIONAL</v>
      </c>
      <c r="AB19" s="32" t="str">
        <f>IFERROR(__xludf.DUMMYFUNCTION("IFERROR(VLOOKUP(G19,IMPORTRANGE(""https://docs.google.com/spreadsheets/d/12RxCea4e5ggM7QGn1XE3FbLQa_-QbCNdBi90OdPjRqg"", ""'Plan de Compras'!D4:Q""), 14, 0), """")"),"DEYANIRA")</f>
        <v>DEYANIRA</v>
      </c>
      <c r="AC19" s="72" t="str">
        <f>IFERROR(__xludf.DUMMYFUNCTION("IFERROR(VLOOKUP(G19,IMPORTRANGE(""https://docs.google.com/spreadsheets/d/12RxCea4e5ggM7QGn1XE3FbLQa_-QbCNdBi90OdPjRqg"", ""'Plan de Compras'!D4:Q""), 4, 0), """")"),"BRACERA ROSTICERA 9 X 5 '' (3 UND)")</f>
        <v>BRACERA ROSTICERA 9 X 5 '' (3 UND)</v>
      </c>
      <c r="AD19" s="37" t="str">
        <f>IFERROR(__xludf.DUMMYFUNCTION("IFERROR(IF(OR(C19=TRUE,C19=""""),VLOOKUP(G19,IMPORTRANGE(""https://docs.google.com/spreadsheets/d/1z9A1Wq-kKrhRNG5RS2a2fKpY1wIhSVz2ZNmP2mOl588/edit?usp=sharing"",""REQ VF!E4:H""),4,0),""NO APLICA""),""GENERAR REQ"")"),"GENERAR REQ")</f>
        <v>GENERAR REQ</v>
      </c>
      <c r="AE19" s="32" t="str">
        <f>IFERROR(__xludf.DUMMYFUNCTION("IFERROR(QUERY(IMPORTRANGE(""https://docs.google.com/spreadsheets/d/1z9A1Wq-kKrhRNG5RS2a2fKpY1wIhSVz2ZNmP2mOl588/edit?usp=sharing"",""REQ VF!E4:Q""),""SELECT Col10, Col11, Col12 WHERE Col1 = '""&amp;G19&amp;""'"",0),""NO APLICA"")"),"NO APLICA")</f>
        <v>NO APLICA</v>
      </c>
      <c r="AF19" s="32"/>
      <c r="AG19" s="32"/>
      <c r="AH19" s="13"/>
      <c r="AI19" s="13"/>
    </row>
    <row r="20">
      <c r="A20" s="121">
        <v>14.0</v>
      </c>
      <c r="B20" s="43" t="b">
        <v>1</v>
      </c>
      <c r="C20" s="26" t="b">
        <v>1</v>
      </c>
      <c r="D20" s="26" t="s">
        <v>35</v>
      </c>
      <c r="E20" s="26" t="s">
        <v>1510</v>
      </c>
      <c r="F20" s="59" t="s">
        <v>1558</v>
      </c>
      <c r="G20" s="37" t="s">
        <v>1558</v>
      </c>
      <c r="H20" s="82" t="s">
        <v>1559</v>
      </c>
      <c r="I20" s="43">
        <f>SUMIFS('Hoja 10'!$O:$O,'Hoja 10'!$F:$F,$G20)</f>
        <v>4</v>
      </c>
      <c r="J20" s="26">
        <f>IFERROR(__xludf.DUMMYFUNCTION("VLOOKUP(G20,IMPORTRANGE(""https://docs.google.com/spreadsheets/d/12RxCea4e5ggM7QGn1XE3FbLQa_-QbCNdBi90OdPjRqg/edit?gid=1692403370#gid=1692403370"", ""'Plan de Compras'!D4:2432""), 8,0)"),4.0)</f>
        <v>4</v>
      </c>
      <c r="K20" s="26" t="str">
        <f t="shared" si="1"/>
        <v>SI</v>
      </c>
      <c r="L20" s="29" t="s">
        <v>296</v>
      </c>
      <c r="M20" s="30" t="s">
        <v>297</v>
      </c>
      <c r="N20" s="32"/>
      <c r="O20" s="32" t="str">
        <f>VLOOKUP($G20,'Hoja 10'!$F$4:$AA1057, 19,0)</f>
        <v>Diager</v>
      </c>
      <c r="P20" s="32" t="str">
        <f>VLOOKUP($G20,'Hoja 10'!$F$4:$AA1057, 20,0)</f>
        <v>940D</v>
      </c>
      <c r="Q20" s="33" t="str">
        <f>VLOOKUP($G20,'Hoja 10'!$F$4:$AA1057, 21,0)</f>
        <v>https://www.diager.com/en/catalogue/forstner-woodmax-940d/</v>
      </c>
      <c r="R20" s="30" t="s">
        <v>1560</v>
      </c>
      <c r="S20" s="44" t="b">
        <v>1</v>
      </c>
      <c r="T20" s="39" t="str">
        <f>IFERROR(__xludf.DUMMYFUNCTION(" IF
( VLOOKUP($G20,IMPORTRANGE(""https://docs.google.com/spreadsheets/d/1Gpl6jkTg7sL4VDNimUm3S9Vi1i95esohXCF3wuKOE8c"", ""'CONSOLIDADO'!G5:AB""), 10, 0) &lt;&gt; 0, 
IFERROR(VLOOKUP($G20,IMPORTRANGE(""https://docs.google.com/spreadsheets/d/1Gpl6jkTg7sL4VDNimUm3"&amp;"S9Vi1i95esohXCF3wuKOE8c"", ""'CONSOLIDADO'!G5:AB""), 17, 0), ""-""),
""""
)"),"Diager")</f>
        <v>Diager</v>
      </c>
      <c r="U20" s="39" t="str">
        <f>IFERROR(__xludf.DUMMYFUNCTION(" IF
( VLOOKUP($G20,IMPORTRANGE(""https://docs.google.com/spreadsheets/d/1Gpl6jkTg7sL4VDNimUm3S9Vi1i95esohXCF3wuKOE8c"", ""'CONSOLIDADO'!G5:AB""), 10, 0) &lt;&gt; 0, 
IFERROR(VLOOKUP($G20,IMPORTRANGE(""https://docs.google.com/spreadsheets/d/1Gpl6jkTg7sL4VDNimUm3"&amp;"S9Vi1i95esohXCF3wuKOE8c"", ""'CONSOLIDADO'!G5:AB""), 18, 0), ""-""),
""""
)"),"940D")</f>
        <v>940D</v>
      </c>
      <c r="V20" s="39" t="str">
        <f>IFERROR(__xludf.DUMMYFUNCTION(" IF
( VLOOKUP($G20,IMPORTRANGE(""https://docs.google.com/spreadsheets/d/1Gpl6jkTg7sL4VDNimUm3S9Vi1i95esohXCF3wuKOE8c"", ""'CONSOLIDADO'!G5:AB""), 10, 0) &lt;&gt; 0, 
IFERROR(VLOOKUP($G20,IMPORTRANGE(""https://docs.google.com/spreadsheets/d/1Gpl6jkTg7sL4VDNimUm3"&amp;"S9Vi1i95esohXCF3wuKOE8c"", ""'CONSOLIDADO'!G5:AB""), 17, 0), ""-""),
""""
)"),"Diager")</f>
        <v>Diager</v>
      </c>
      <c r="W20" s="39" t="str">
        <f>IFERROR(__xludf.DUMMYFUNCTION(" IF
( VLOOKUP($G20,IMPORTRANGE(""https://docs.google.com/spreadsheets/d/1Gpl6jkTg7sL4VDNimUm3S9Vi1i95esohXCF3wuKOE8c"", ""'CONSOLIDADO'!G5:AB""), 10, 0) &lt;&gt; 0, 
IFERROR(VLOOKUP($G20,IMPORTRANGE(""https://docs.google.com/spreadsheets/d/1Gpl6jkTg7sL4VDNimUm3"&amp;"S9Vi1i95esohXCF3wuKOE8c"", ""'CONSOLIDADO'!G5:AB""), 18, 0), ""-""),
""""
)"),"940D")</f>
        <v>940D</v>
      </c>
      <c r="X20" s="39" t="b">
        <f t="shared" ref="X20:X29" si="3">IF(AND(T20=V20,W20=U20),TRUE,FALSE)</f>
        <v>1</v>
      </c>
      <c r="Y20" s="120" t="str">
        <f>IFERROR(__xludf.DUMMYFUNCTION(" IF
( VLOOKUP($G20,IMPORTRANGE(""https://docs.google.com/spreadsheets/d/1Gpl6jkTg7sL4VDNimUm3S9Vi1i95esohXCF3wuKOE8c"", ""'CONSOLIDADO'!G5:AB""), 10, 0) &lt;&gt; 0, 
IFERROR(VLOOKUP($G20,IMPORTRANGE(""https://docs.google.com/spreadsheets/d/1Gpl6jkTg7sL4VDNimUm3"&amp;"S9Vi1i95esohXCF3wuKOE8c"", ""'CONSOLIDADO'!G5:AB""), 19, 0), ""-""),
""""
)"),"https://mistermateriaux.com/produit/foret-bois/4twvjb")</f>
        <v>https://mistermateriaux.com/produit/foret-bois/4twvjb</v>
      </c>
      <c r="Z20" s="37" t="str">
        <f>IFERROR(__xludf.DUMMYFUNCTION("IFERROR(VLOOKUP(G20,IMPORTRANGE(""https://docs.google.com/spreadsheets/d/12RxCea4e5ggM7QGn1XE3FbLQa_-QbCNdBi90OdPjRqg"", ""'Plan de Compras'!D4:Q""), 12, 0), ""NO ESTÁ EN REQ"")"),"Técnica")</f>
        <v>Técnica</v>
      </c>
      <c r="AA20" s="37" t="str">
        <f>IFERROR(__xludf.DUMMYFUNCTION("IFERROR(VLOOKUP(G20,IMPORTRANGE(""https://docs.google.com/spreadsheets/d/12RxCea4e5ggM7QGn1XE3FbLQa_-QbCNdBi90OdPjRqg"", ""'Plan de Compras'!D4:Q""), 13, 0), """")"),"NACIONAL")</f>
        <v>NACIONAL</v>
      </c>
      <c r="AB20" s="32" t="str">
        <f>IFERROR(__xludf.DUMMYFUNCTION("IFERROR(VLOOKUP(G20,IMPORTRANGE(""https://docs.google.com/spreadsheets/d/12RxCea4e5ggM7QGn1XE3FbLQa_-QbCNdBi90OdPjRqg"", ""'Plan de Compras'!D4:Q""), 14, 0), """")"),"DIANA")</f>
        <v>DIANA</v>
      </c>
      <c r="AC20" s="72" t="str">
        <f>IFERROR(__xludf.DUMMYFUNCTION("IFERROR(VLOOKUP(G20,IMPORTRANGE(""https://docs.google.com/spreadsheets/d/12RxCea4e5ggM7QGn1XE3FbLQa_-QbCNdBi90OdPjRqg"", ""'Plan de Compras'!D4:Q""), 4, 0), """")"),"JUEGO DE BROCAS PARA BISAGRA DE CANGREJO")</f>
        <v>JUEGO DE BROCAS PARA BISAGRA DE CANGREJO</v>
      </c>
      <c r="AD20" s="37" t="str">
        <f>IFERROR(__xludf.DUMMYFUNCTION("IFERROR(IF(OR(C20=TRUE,C20=""""),VLOOKUP(G20,IMPORTRANGE(""https://docs.google.com/spreadsheets/d/1z9A1Wq-kKrhRNG5RS2a2fKpY1wIhSVz2ZNmP2mOl588/edit?usp=sharing"",""REQ VF!E4:H""),4,0),""NO APLICA""),""GENERAR REQ"")"),"GENERAR REQ")</f>
        <v>GENERAR REQ</v>
      </c>
      <c r="AE20" s="32" t="str">
        <f>IFERROR(__xludf.DUMMYFUNCTION("IFERROR(QUERY(IMPORTRANGE(""https://docs.google.com/spreadsheets/d/1z9A1Wq-kKrhRNG5RS2a2fKpY1wIhSVz2ZNmP2mOl588/edit?usp=sharing"",""REQ VF!E4:Q""),""SELECT Col10, Col11, Col12 WHERE Col1 = '""&amp;G20&amp;""'"",0),""NO APLICA"")"),"NO APLICA")</f>
        <v>NO APLICA</v>
      </c>
      <c r="AF20" s="32"/>
      <c r="AG20" s="32"/>
      <c r="AH20" s="8" t="s">
        <v>52</v>
      </c>
      <c r="AI20" s="13"/>
    </row>
    <row r="21">
      <c r="A21" s="117">
        <v>15.0</v>
      </c>
      <c r="B21" s="43" t="b">
        <v>1</v>
      </c>
      <c r="C21" s="26" t="b">
        <v>1</v>
      </c>
      <c r="D21" s="26" t="s">
        <v>35</v>
      </c>
      <c r="E21" s="26" t="s">
        <v>1510</v>
      </c>
      <c r="F21" s="59" t="s">
        <v>1561</v>
      </c>
      <c r="G21" s="37" t="s">
        <v>1561</v>
      </c>
      <c r="H21" s="82" t="s">
        <v>1562</v>
      </c>
      <c r="I21" s="43">
        <f>SUMIFS('Hoja 10'!$O:$O,'Hoja 10'!$F:$F,$G21)</f>
        <v>6</v>
      </c>
      <c r="J21" s="26" t="str">
        <f>IFERROR(__xludf.DUMMYFUNCTION("VLOOKUP(G21,IMPORTRANGE(""https://docs.google.com/spreadsheets/d/12RxCea4e5ggM7QGn1XE3FbLQa_-QbCNdBi90OdPjRqg/edit?gid=1692403370#gid=1692403370"", ""'Plan de Compras'!D4:2432""), 8,0)"),"")</f>
        <v/>
      </c>
      <c r="K21" s="26" t="str">
        <f t="shared" si="1"/>
        <v>NO</v>
      </c>
      <c r="L21" s="29" t="s">
        <v>296</v>
      </c>
      <c r="M21" s="30" t="s">
        <v>297</v>
      </c>
      <c r="N21" s="32"/>
      <c r="O21" s="32" t="str">
        <f>VLOOKUP($G21,'Hoja 10'!$F$4:$AA1057, 19,0)</f>
        <v>ASLAK</v>
      </c>
      <c r="P21" s="32" t="str">
        <f>VLOOKUP($G21,'Hoja 10'!$F$4:$AA1057, 20,0)</f>
        <v>TAB 1300</v>
      </c>
      <c r="Q21" s="33" t="str">
        <f>VLOOKUP($G21,'Hoja 10'!$F$4:$AA1057, 21,0)</f>
        <v>https://www.aslak.es/madera/5900007-caballete-extensible-tab-1300.htmL  </v>
      </c>
      <c r="R21" s="30" t="s">
        <v>1563</v>
      </c>
      <c r="S21" s="44" t="b">
        <v>1</v>
      </c>
      <c r="T21" s="39" t="str">
        <f>IFERROR(__xludf.DUMMYFUNCTION(" IF
( VLOOKUP($G21,IMPORTRANGE(""https://docs.google.com/spreadsheets/d/1Gpl6jkTg7sL4VDNimUm3S9Vi1i95esohXCF3wuKOE8c"", ""'CONSOLIDADO'!G5:AB""), 10, 0) &lt;&gt; 0, 
IFERROR(VLOOKUP($G21,IMPORTRANGE(""https://docs.google.com/spreadsheets/d/1Gpl6jkTg7sL4VDNimUm3"&amp;"S9Vi1i95esohXCF3wuKOE8c"", ""'CONSOLIDADO'!G5:AB""), 17, 0), ""-""),
""""
)"),"ASLAK")</f>
        <v>ASLAK</v>
      </c>
      <c r="U21" s="39" t="str">
        <f>IFERROR(__xludf.DUMMYFUNCTION(" IF
( VLOOKUP($G21,IMPORTRANGE(""https://docs.google.com/spreadsheets/d/1Gpl6jkTg7sL4VDNimUm3S9Vi1i95esohXCF3wuKOE8c"", ""'CONSOLIDADO'!G5:AB""), 10, 0) &lt;&gt; 0, 
IFERROR(VLOOKUP($G21,IMPORTRANGE(""https://docs.google.com/spreadsheets/d/1Gpl6jkTg7sL4VDNimUm3"&amp;"S9Vi1i95esohXCF3wuKOE8c"", ""'CONSOLIDADO'!G5:AB""), 18, 0), ""-""),
""""
)"),"TAB 1300")</f>
        <v>TAB 1300</v>
      </c>
      <c r="V21" s="39" t="str">
        <f>IFERROR(__xludf.DUMMYFUNCTION(" IF
( VLOOKUP($G21,IMPORTRANGE(""https://docs.google.com/spreadsheets/d/1Gpl6jkTg7sL4VDNimUm3S9Vi1i95esohXCF3wuKOE8c"", ""'CONSOLIDADO'!G5:AB""), 10, 0) &lt;&gt; 0, 
IFERROR(VLOOKUP($G21,IMPORTRANGE(""https://docs.google.com/spreadsheets/d/1Gpl6jkTg7sL4VDNimUm3"&amp;"S9Vi1i95esohXCF3wuKOE8c"", ""'CONSOLIDADO'!G5:AB""), 17, 0), ""-""),
""""
)"),"ASLAK")</f>
        <v>ASLAK</v>
      </c>
      <c r="W21" s="39" t="str">
        <f>IFERROR(__xludf.DUMMYFUNCTION(" IF
( VLOOKUP($G21,IMPORTRANGE(""https://docs.google.com/spreadsheets/d/1Gpl6jkTg7sL4VDNimUm3S9Vi1i95esohXCF3wuKOE8c"", ""'CONSOLIDADO'!G5:AB""), 10, 0) &lt;&gt; 0, 
IFERROR(VLOOKUP($G21,IMPORTRANGE(""https://docs.google.com/spreadsheets/d/1Gpl6jkTg7sL4VDNimUm3"&amp;"S9Vi1i95esohXCF3wuKOE8c"", ""'CONSOLIDADO'!G5:AB""), 18, 0), ""-""),
""""
)"),"TAB 1300")</f>
        <v>TAB 1300</v>
      </c>
      <c r="X21" s="39" t="b">
        <f t="shared" si="3"/>
        <v>1</v>
      </c>
      <c r="Y21" s="120" t="str">
        <f>IFERROR(__xludf.DUMMYFUNCTION(" IF
( VLOOKUP($G21,IMPORTRANGE(""https://docs.google.com/spreadsheets/d/1Gpl6jkTg7sL4VDNimUm3S9Vi1i95esohXCF3wuKOE8c"", ""'CONSOLIDADO'!G5:AB""), 10, 0) &lt;&gt; 0, 
IFERROR(VLOOKUP($G21,IMPORTRANGE(""https://docs.google.com/spreadsheets/d/1Gpl6jkTg7sL4VDNimUm3"&amp;"S9Vi1i95esohXCF3wuKOE8c"", ""'CONSOLIDADO'!G5:AB""), 19, 0), ""-""),
""""
)"),"https://www.aslak.es/madera/5900007-caballete-extensible-tab-1300.html")</f>
        <v>https://www.aslak.es/madera/5900007-caballete-extensible-tab-1300.html</v>
      </c>
      <c r="Z21" s="37" t="str">
        <f>IFERROR(__xludf.DUMMYFUNCTION("IFERROR(VLOOKUP(G21,IMPORTRANGE(""https://docs.google.com/spreadsheets/d/12RxCea4e5ggM7QGn1XE3FbLQa_-QbCNdBi90OdPjRqg"", ""'Plan de Compras'!D4:Q""), 12, 0), ""NO ESTÁ EN REQ"")"),"Técnica")</f>
        <v>Técnica</v>
      </c>
      <c r="AA21" s="37" t="str">
        <f>IFERROR(__xludf.DUMMYFUNCTION("IFERROR(VLOOKUP(G21,IMPORTRANGE(""https://docs.google.com/spreadsheets/d/12RxCea4e5ggM7QGn1XE3FbLQa_-QbCNdBi90OdPjRqg"", ""'Plan de Compras'!D4:Q""), 13, 0), """")"),"INTERNACIONAL")</f>
        <v>INTERNACIONAL</v>
      </c>
      <c r="AB21" s="32" t="str">
        <f>IFERROR(__xludf.DUMMYFUNCTION("IFERROR(VLOOKUP(G21,IMPORTRANGE(""https://docs.google.com/spreadsheets/d/12RxCea4e5ggM7QGn1XE3FbLQa_-QbCNdBi90OdPjRqg"", ""'Plan de Compras'!D4:Q""), 14, 0), """")"),"GEYDI")</f>
        <v>GEYDI</v>
      </c>
      <c r="AC21" s="72" t="str">
        <f>IFERROR(__xludf.DUMMYFUNCTION("IFERROR(VLOOKUP(G21,IMPORTRANGE(""https://docs.google.com/spreadsheets/d/12RxCea4e5ggM7QGn1XE3FbLQa_-QbCNdBi90OdPjRqg"", ""'Plan de Compras'!D4:Q""), 4, 0), """")"),"CABALLETES")</f>
        <v>CABALLETES</v>
      </c>
      <c r="AD21" s="37" t="str">
        <f>IFERROR(__xludf.DUMMYFUNCTION("IFERROR(IF(OR(C21=TRUE,C21=""""),VLOOKUP(G21,IMPORTRANGE(""https://docs.google.com/spreadsheets/d/1z9A1Wq-kKrhRNG5RS2a2fKpY1wIhSVz2ZNmP2mOl588/edit?usp=sharing"",""REQ VF!E4:H""),4,0),""NO APLICA""),""GENERAR REQ"")"),"GENERAR REQ")</f>
        <v>GENERAR REQ</v>
      </c>
      <c r="AE21" s="32" t="str">
        <f>IFERROR(__xludf.DUMMYFUNCTION("IFERROR(QUERY(IMPORTRANGE(""https://docs.google.com/spreadsheets/d/1z9A1Wq-kKrhRNG5RS2a2fKpY1wIhSVz2ZNmP2mOl588/edit?usp=sharing"",""REQ VF!E4:Q""),""SELECT Col10, Col11, Col12 WHERE Col1 = '""&amp;G21&amp;""'"",0),""NO APLICA"")"),"NO APLICA")</f>
        <v>NO APLICA</v>
      </c>
      <c r="AF21" s="32"/>
      <c r="AG21" s="32"/>
      <c r="AH21" s="8" t="s">
        <v>52</v>
      </c>
      <c r="AI21" s="8"/>
    </row>
    <row r="22">
      <c r="A22" s="117">
        <v>16.0</v>
      </c>
      <c r="B22" s="43" t="b">
        <v>1</v>
      </c>
      <c r="C22" s="26" t="b">
        <v>1</v>
      </c>
      <c r="D22" s="26" t="s">
        <v>35</v>
      </c>
      <c r="E22" s="26" t="s">
        <v>1510</v>
      </c>
      <c r="F22" s="123" t="s">
        <v>1564</v>
      </c>
      <c r="G22" s="37" t="s">
        <v>1564</v>
      </c>
      <c r="H22" s="82" t="s">
        <v>1565</v>
      </c>
      <c r="I22" s="43">
        <f>SUMIFS('Hoja 10'!$O:$O,'Hoja 10'!$F:$F,$G22)</f>
        <v>10</v>
      </c>
      <c r="J22" s="26">
        <f>IFERROR(__xludf.DUMMYFUNCTION("VLOOKUP(G22,IMPORTRANGE(""https://docs.google.com/spreadsheets/d/12RxCea4e5ggM7QGn1XE3FbLQa_-QbCNdBi90OdPjRqg/edit?gid=1692403370#gid=1692403370"", ""'Plan de Compras'!D4:2432""), 8,0)"),10.0)</f>
        <v>10</v>
      </c>
      <c r="K22" s="26" t="str">
        <f t="shared" si="1"/>
        <v>SI</v>
      </c>
      <c r="L22" s="29" t="s">
        <v>91</v>
      </c>
      <c r="M22" s="30" t="s">
        <v>92</v>
      </c>
      <c r="N22" s="32"/>
      <c r="O22" s="32" t="str">
        <f>VLOOKUP($G22,'Hoja 10'!$F$4:$AA1057, 19,0)</f>
        <v>TRUPER</v>
      </c>
      <c r="P22" s="32" t="str">
        <f>VLOOKUP($G22,'Hoja 10'!$F$4:$AA1057, 20,0)</f>
        <v>CAL-6MP</v>
      </c>
      <c r="Q22" s="33" t="str">
        <f>VLOOKUP($G22,'Hoja 10'!$F$4:$AA1057, 21,0)</f>
        <v>https://www.agrobesser.com/calibradores/calibrador-analogico-pulgadas-y-milimetros-6-o-150mm-en-acero-inoxidable-cal-6mp-14394-truper-1256.html?utm_source=chatgpt.com?utm_source=chatgpt.com</v>
      </c>
      <c r="R22" s="30" t="s">
        <v>1566</v>
      </c>
      <c r="S22" s="44" t="b">
        <v>1</v>
      </c>
      <c r="T22" s="39" t="str">
        <f>IFERROR(__xludf.DUMMYFUNCTION(" IF
( VLOOKUP($G22,IMPORTRANGE(""https://docs.google.com/spreadsheets/d/1Gpl6jkTg7sL4VDNimUm3S9Vi1i95esohXCF3wuKOE8c"", ""'CONSOLIDADO'!G5:AB""), 10, 0) &lt;&gt; 0, 
IFERROR(VLOOKUP($G22,IMPORTRANGE(""https://docs.google.com/spreadsheets/d/1Gpl6jkTg7sL4VDNimUm3"&amp;"S9Vi1i95esohXCF3wuKOE8c"", ""'CONSOLIDADO'!G5:AB""), 17, 0), ""-""),
""""
)"),"TRUPER ")</f>
        <v>TRUPER </v>
      </c>
      <c r="U22" s="39" t="str">
        <f>IFERROR(__xludf.DUMMYFUNCTION(" IF
( VLOOKUP($G22,IMPORTRANGE(""https://docs.google.com/spreadsheets/d/1Gpl6jkTg7sL4VDNimUm3S9Vi1i95esohXCF3wuKOE8c"", ""'CONSOLIDADO'!G5:AB""), 10, 0) &lt;&gt; 0, 
IFERROR(VLOOKUP($G22,IMPORTRANGE(""https://docs.google.com/spreadsheets/d/1Gpl6jkTg7sL4VDNimUm3"&amp;"S9Vi1i95esohXCF3wuKOE8c"", ""'CONSOLIDADO'!G5:AB""), 18, 0), ""-""),
""""
)"),"CAL-6MP")</f>
        <v>CAL-6MP</v>
      </c>
      <c r="V22" s="39" t="str">
        <f>IFERROR(__xludf.DUMMYFUNCTION(" IF
( VLOOKUP($G22,IMPORTRANGE(""https://docs.google.com/spreadsheets/d/1Gpl6jkTg7sL4VDNimUm3S9Vi1i95esohXCF3wuKOE8c"", ""'CONSOLIDADO'!G5:AB""), 10, 0) &lt;&gt; 0, 
IFERROR(VLOOKUP($G22,IMPORTRANGE(""https://docs.google.com/spreadsheets/d/1Gpl6jkTg7sL4VDNimUm3"&amp;"S9Vi1i95esohXCF3wuKOE8c"", ""'CONSOLIDADO'!G5:AB""), 17, 0), ""-""),
""""
)"),"TRUPER ")</f>
        <v>TRUPER </v>
      </c>
      <c r="W22" s="39" t="str">
        <f>IFERROR(__xludf.DUMMYFUNCTION(" IF
( VLOOKUP($G22,IMPORTRANGE(""https://docs.google.com/spreadsheets/d/1Gpl6jkTg7sL4VDNimUm3S9Vi1i95esohXCF3wuKOE8c"", ""'CONSOLIDADO'!G5:AB""), 10, 0) &lt;&gt; 0, 
IFERROR(VLOOKUP($G22,IMPORTRANGE(""https://docs.google.com/spreadsheets/d/1Gpl6jkTg7sL4VDNimUm3"&amp;"S9Vi1i95esohXCF3wuKOE8c"", ""'CONSOLIDADO'!G5:AB""), 18, 0), ""-""),
""""
)"),"CAL-6MP")</f>
        <v>CAL-6MP</v>
      </c>
      <c r="X22" s="39" t="b">
        <f t="shared" si="3"/>
        <v>1</v>
      </c>
      <c r="Y22" s="120" t="str">
        <f>IFERROR(__xludf.DUMMYFUNCTION(" IF
( VLOOKUP($G22,IMPORTRANGE(""https://docs.google.com/spreadsheets/d/1Gpl6jkTg7sL4VDNimUm3S9Vi1i95esohXCF3wuKOE8c"", ""'CONSOLIDADO'!G5:AB""), 10, 0) &lt;&gt; 0, 
IFERROR(VLOOKUP($G22,IMPORTRANGE(""https://docs.google.com/spreadsheets/d/1Gpl6jkTg7sL4VDNimUm3"&amp;"S9Vi1i95esohXCF3wuKOE8c"", ""'CONSOLIDADO'!G5:AB""), 19, 0), ""-""),
""""
)"),"https://www.agrobesser.com/calibradores/calibrador-analogico-pulgadas-y-milimetros-6-o-150mm-en-acero-inoxidable-cal-6mp-14394-truper-1256.html?utm_source=chatgpt.com?utm_source=chatgpt.com")</f>
        <v>https://www.agrobesser.com/calibradores/calibrador-analogico-pulgadas-y-milimetros-6-o-150mm-en-acero-inoxidable-cal-6mp-14394-truper-1256.html?utm_source=chatgpt.com?utm_source=chatgpt.com</v>
      </c>
      <c r="Z22" s="37" t="str">
        <f>IFERROR(__xludf.DUMMYFUNCTION("IFERROR(VLOOKUP(G22,IMPORTRANGE(""https://docs.google.com/spreadsheets/d/12RxCea4e5ggM7QGn1XE3FbLQa_-QbCNdBi90OdPjRqg"", ""'Plan de Compras'!D4:Q""), 12, 0), ""NO ESTÁ EN REQ"")"),"Técnica")</f>
        <v>Técnica</v>
      </c>
      <c r="AA22" s="37" t="str">
        <f>IFERROR(__xludf.DUMMYFUNCTION("IFERROR(VLOOKUP(G22,IMPORTRANGE(""https://docs.google.com/spreadsheets/d/12RxCea4e5ggM7QGn1XE3FbLQa_-QbCNdBi90OdPjRqg"", ""'Plan de Compras'!D4:Q""), 13, 0), """")"),"NACIONAL")</f>
        <v>NACIONAL</v>
      </c>
      <c r="AB22" s="32" t="str">
        <f>IFERROR(__xludf.DUMMYFUNCTION("IFERROR(VLOOKUP(G22,IMPORTRANGE(""https://docs.google.com/spreadsheets/d/12RxCea4e5ggM7QGn1XE3FbLQa_-QbCNdBi90OdPjRqg"", ""'Plan de Compras'!D4:Q""), 14, 0), """")"),"JESSICA")</f>
        <v>JESSICA</v>
      </c>
      <c r="AC22" s="72" t="str">
        <f>IFERROR(__xludf.DUMMYFUNCTION("IFERROR(VLOOKUP(G22,IMPORTRANGE(""https://docs.google.com/spreadsheets/d/12RxCea4e5ggM7QGn1XE3FbLQa_-QbCNdBi90OdPjRqg"", ""'Plan de Compras'!D4:Q""), 4, 0), """")"),"CALIBRADOR ANALÓGICO")</f>
        <v>CALIBRADOR ANALÓGICO</v>
      </c>
      <c r="AD22" s="37" t="str">
        <f>IFERROR(__xludf.DUMMYFUNCTION("IFERROR(IF(OR(C22=TRUE,C22=""""),VLOOKUP(G22,IMPORTRANGE(""https://docs.google.com/spreadsheets/d/1z9A1Wq-kKrhRNG5RS2a2fKpY1wIhSVz2ZNmP2mOl588/edit?usp=sharing"",""REQ VF!E4:H""),4,0),""NO APLICA""),""GENERAR REQ"")"),"GENERAR REQ")</f>
        <v>GENERAR REQ</v>
      </c>
      <c r="AE22" s="32" t="str">
        <f>IFERROR(__xludf.DUMMYFUNCTION("IFERROR(QUERY(IMPORTRANGE(""https://docs.google.com/spreadsheets/d/1z9A1Wq-kKrhRNG5RS2a2fKpY1wIhSVz2ZNmP2mOl588/edit?usp=sharing"",""REQ VF!E4:Q""),""SELECT Col10, Col11, Col12 WHERE Col1 = '""&amp;G22&amp;""'"",0),""NO APLICA"")"),"NO APLICA")</f>
        <v>NO APLICA</v>
      </c>
      <c r="AF22" s="32"/>
      <c r="AG22" s="32"/>
      <c r="AH22" s="13"/>
      <c r="AI22" s="13"/>
    </row>
    <row r="23">
      <c r="A23" s="121">
        <v>17.0</v>
      </c>
      <c r="B23" s="43" t="b">
        <v>1</v>
      </c>
      <c r="C23" s="26" t="b">
        <v>1</v>
      </c>
      <c r="D23" s="26" t="s">
        <v>35</v>
      </c>
      <c r="E23" s="26" t="s">
        <v>1510</v>
      </c>
      <c r="F23" s="59" t="s">
        <v>1567</v>
      </c>
      <c r="G23" s="37" t="s">
        <v>1567</v>
      </c>
      <c r="H23" s="82" t="s">
        <v>1568</v>
      </c>
      <c r="I23" s="43">
        <f>SUMIFS('Hoja 10'!$O:$O,'Hoja 10'!$F:$F,$G23)</f>
        <v>16</v>
      </c>
      <c r="J23" s="26">
        <f>IFERROR(__xludf.DUMMYFUNCTION("VLOOKUP(G23,IMPORTRANGE(""https://docs.google.com/spreadsheets/d/12RxCea4e5ggM7QGn1XE3FbLQa_-QbCNdBi90OdPjRqg/edit?gid=1692403370#gid=1692403370"", ""'Plan de Compras'!D4:2432""), 8,0)"),16.0)</f>
        <v>16</v>
      </c>
      <c r="K23" s="26" t="str">
        <f t="shared" si="1"/>
        <v>SI</v>
      </c>
      <c r="L23" s="29" t="s">
        <v>1569</v>
      </c>
      <c r="M23" s="30" t="s">
        <v>181</v>
      </c>
      <c r="N23" s="32"/>
      <c r="O23" s="32" t="str">
        <f>VLOOKUP($G23,'Hoja 10'!$F$4:$AA1057, 19,0)</f>
        <v>EROPOO</v>
      </c>
      <c r="P23" s="32" t="str">
        <f>VLOOKUP($G23,'Hoja 10'!$F$4:$AA1057, 20,0)</f>
        <v>HFG29</v>
      </c>
      <c r="Q23" s="33" t="str">
        <f>VLOOKUP($G23,'Hoja 10'!$F$4:$AA1057, 21,0)</f>
        <v>https://spanish.alibaba.com/product-detail/winding-wire-gauge-precision-wire-sheet-1947040513.html</v>
      </c>
      <c r="R23" s="30" t="s">
        <v>1570</v>
      </c>
      <c r="S23" s="44" t="b">
        <v>1</v>
      </c>
      <c r="T23" s="39" t="str">
        <f>IFERROR(__xludf.DUMMYFUNCTION(" IF
( VLOOKUP($G23,IMPORTRANGE(""https://docs.google.com/spreadsheets/d/1Gpl6jkTg7sL4VDNimUm3S9Vi1i95esohXCF3wuKOE8c"", ""'CONSOLIDADO'!G5:AB""), 10, 0) &lt;&gt; 0, 
IFERROR(VLOOKUP($G23,IMPORTRANGE(""https://docs.google.com/spreadsheets/d/1Gpl6jkTg7sL4VDNimUm3"&amp;"S9Vi1i95esohXCF3wuKOE8c"", ""'CONSOLIDADO'!G5:AB""), 17, 0), ""-""),
""""
)"),"EROPOO")</f>
        <v>EROPOO</v>
      </c>
      <c r="U23" s="39" t="str">
        <f>IFERROR(__xludf.DUMMYFUNCTION(" IF
( VLOOKUP($G23,IMPORTRANGE(""https://docs.google.com/spreadsheets/d/1Gpl6jkTg7sL4VDNimUm3S9Vi1i95esohXCF3wuKOE8c"", ""'CONSOLIDADO'!G5:AB""), 10, 0) &lt;&gt; 0, 
IFERROR(VLOOKUP($G23,IMPORTRANGE(""https://docs.google.com/spreadsheets/d/1Gpl6jkTg7sL4VDNimUm3"&amp;"S9Vi1i95esohXCF3wuKOE8c"", ""'CONSOLIDADO'!G5:AB""), 18, 0), ""-""),
""""
)"),"HFG29")</f>
        <v>HFG29</v>
      </c>
      <c r="V23" s="39" t="str">
        <f>IFERROR(__xludf.DUMMYFUNCTION(" IF
( VLOOKUP($G23,IMPORTRANGE(""https://docs.google.com/spreadsheets/d/1Gpl6jkTg7sL4VDNimUm3S9Vi1i95esohXCF3wuKOE8c"", ""'CONSOLIDADO'!G5:AB""), 10, 0) &lt;&gt; 0, 
IFERROR(VLOOKUP($G23,IMPORTRANGE(""https://docs.google.com/spreadsheets/d/1Gpl6jkTg7sL4VDNimUm3"&amp;"S9Vi1i95esohXCF3wuKOE8c"", ""'CONSOLIDADO'!G5:AB""), 17, 0), ""-""),
""""
)"),"EROPOO")</f>
        <v>EROPOO</v>
      </c>
      <c r="W23" s="39" t="str">
        <f>IFERROR(__xludf.DUMMYFUNCTION(" IF
( VLOOKUP($G23,IMPORTRANGE(""https://docs.google.com/spreadsheets/d/1Gpl6jkTg7sL4VDNimUm3S9Vi1i95esohXCF3wuKOE8c"", ""'CONSOLIDADO'!G5:AB""), 10, 0) &lt;&gt; 0, 
IFERROR(VLOOKUP($G23,IMPORTRANGE(""https://docs.google.com/spreadsheets/d/1Gpl6jkTg7sL4VDNimUm3"&amp;"S9Vi1i95esohXCF3wuKOE8c"", ""'CONSOLIDADO'!G5:AB""), 18, 0), ""-""),
""""
)"),"HFG29")</f>
        <v>HFG29</v>
      </c>
      <c r="X23" s="39" t="b">
        <f t="shared" si="3"/>
        <v>1</v>
      </c>
      <c r="Y23" s="120" t="str">
        <f>IFERROR(__xludf.DUMMYFUNCTION(" IF
( VLOOKUP($G23,IMPORTRANGE(""https://docs.google.com/spreadsheets/d/1Gpl6jkTg7sL4VDNimUm3S9Vi1i95esohXCF3wuKOE8c"", ""'CONSOLIDADO'!G5:AB""), 10, 0) &lt;&gt; 0, 
IFERROR(VLOOKUP($G23,IMPORTRANGE(""https://docs.google.com/spreadsheets/d/1Gpl6jkTg7sL4VDNimUm3"&amp;"S9Vi1i95esohXCF3wuKOE8c"", ""'CONSOLIDADO'!G5:AB""), 19, 0), ""-""),
""""
)"),"https://spanish.alibaba.com/product-detail/winding-wire-gauge-precision-wire-sheet-1947040513.html")</f>
        <v>https://spanish.alibaba.com/product-detail/winding-wire-gauge-precision-wire-sheet-1947040513.html</v>
      </c>
      <c r="Z23" s="37" t="str">
        <f>IFERROR(__xludf.DUMMYFUNCTION("IFERROR(VLOOKUP(G23,IMPORTRANGE(""https://docs.google.com/spreadsheets/d/12RxCea4e5ggM7QGn1XE3FbLQa_-QbCNdBi90OdPjRqg"", ""'Plan de Compras'!D4:Q""), 12, 0), ""NO ESTÁ EN REQ"")"),"Técnica")</f>
        <v>Técnica</v>
      </c>
      <c r="AA23" s="37" t="str">
        <f>IFERROR(__xludf.DUMMYFUNCTION("IFERROR(VLOOKUP(G23,IMPORTRANGE(""https://docs.google.com/spreadsheets/d/12RxCea4e5ggM7QGn1XE3FbLQa_-QbCNdBi90OdPjRqg"", ""'Plan de Compras'!D4:Q""), 13, 0), """")"),"INTERNACIONAL")</f>
        <v>INTERNACIONAL</v>
      </c>
      <c r="AB23" s="32" t="str">
        <f>IFERROR(__xludf.DUMMYFUNCTION("IFERROR(VLOOKUP(G23,IMPORTRANGE(""https://docs.google.com/spreadsheets/d/12RxCea4e5ggM7QGn1XE3FbLQa_-QbCNdBi90OdPjRqg"", ""'Plan de Compras'!D4:Q""), 14, 0), """")"),"DIEGO ")</f>
        <v>DIEGO </v>
      </c>
      <c r="AC23" s="72" t="str">
        <f>IFERROR(__xludf.DUMMYFUNCTION("IFERROR(VLOOKUP(G23,IMPORTRANGE(""https://docs.google.com/spreadsheets/d/12RxCea4e5ggM7QGn1XE3FbLQa_-QbCNdBi90OdPjRqg"", ""'Plan de Compras'!D4:Q""), 4, 0), """")"),"CALIBRADOR DE CONDUCTORES ELÉCTRICOS AWG")</f>
        <v>CALIBRADOR DE CONDUCTORES ELÉCTRICOS AWG</v>
      </c>
      <c r="AD23" s="37" t="str">
        <f>IFERROR(__xludf.DUMMYFUNCTION("IFERROR(IF(OR(C23=TRUE,C23=""""),VLOOKUP(G23,IMPORTRANGE(""https://docs.google.com/spreadsheets/d/1z9A1Wq-kKrhRNG5RS2a2fKpY1wIhSVz2ZNmP2mOl588/edit?usp=sharing"",""REQ VF!E4:H""),4,0),""NO APLICA""),""GENERAR REQ"")"),"GENERAR REQ")</f>
        <v>GENERAR REQ</v>
      </c>
      <c r="AE23" s="32" t="str">
        <f>IFERROR(__xludf.DUMMYFUNCTION("IFERROR(QUERY(IMPORTRANGE(""https://docs.google.com/spreadsheets/d/1z9A1Wq-kKrhRNG5RS2a2fKpY1wIhSVz2ZNmP2mOl588/edit?usp=sharing"",""REQ VF!E4:Q""),""SELECT Col10, Col11, Col12 WHERE Col1 = '""&amp;G23&amp;""'"",0),""NO APLICA"")"),"NO APLICA")</f>
        <v>NO APLICA</v>
      </c>
      <c r="AF23" s="32"/>
      <c r="AG23" s="32"/>
      <c r="AH23" s="8" t="s">
        <v>52</v>
      </c>
      <c r="AI23" s="13"/>
    </row>
    <row r="24">
      <c r="A24" s="121">
        <v>18.0</v>
      </c>
      <c r="B24" s="43" t="b">
        <v>1</v>
      </c>
      <c r="C24" s="26" t="b">
        <v>1</v>
      </c>
      <c r="D24" s="26" t="s">
        <v>35</v>
      </c>
      <c r="E24" s="26" t="s">
        <v>1510</v>
      </c>
      <c r="F24" s="59" t="s">
        <v>1571</v>
      </c>
      <c r="G24" s="39" t="s">
        <v>1572</v>
      </c>
      <c r="H24" s="82" t="s">
        <v>1573</v>
      </c>
      <c r="I24" s="43">
        <f>SUMIFS('Hoja 10'!$O:$O,'Hoja 10'!$F:$F,$G24)</f>
        <v>8</v>
      </c>
      <c r="J24" s="26">
        <f>IFERROR(__xludf.DUMMYFUNCTION("VLOOKUP(G24,IMPORTRANGE(""https://docs.google.com/spreadsheets/d/12RxCea4e5ggM7QGn1XE3FbLQa_-QbCNdBi90OdPjRqg/edit?gid=1692403370#gid=1692403370"", ""'Plan de Compras'!D4:2432""), 8,0)"),8.0)</f>
        <v>8</v>
      </c>
      <c r="K24" s="26" t="str">
        <f t="shared" si="1"/>
        <v>SI</v>
      </c>
      <c r="L24" s="29" t="s">
        <v>296</v>
      </c>
      <c r="M24" s="30" t="s">
        <v>297</v>
      </c>
      <c r="N24" s="32"/>
      <c r="O24" s="32" t="str">
        <f>VLOOKUP($G24,'Hoja 10'!$F$4:$AA1057, 19,0)</f>
        <v>VOGEL GERMANY</v>
      </c>
      <c r="P24" s="32" t="str">
        <f>VLOOKUP($G24,'Hoja 10'!$F$4:$AA1057, 20,0)</f>
        <v>IP54 – 202161-2</v>
      </c>
      <c r="Q24" s="33" t="str">
        <f>VLOOKUP($G24,'Hoja 10'!$F$4:$AA1057, 21,0)</f>
        <v>https://store.ferrindustrial.com.pe/producto/calibrador-pie-de-rey-digital-ip54-de-8-200mm-202161-2-vogel-germany/</v>
      </c>
      <c r="R24" s="30" t="s">
        <v>1574</v>
      </c>
      <c r="S24" s="44" t="b">
        <v>1</v>
      </c>
      <c r="T24" s="39" t="str">
        <f>IFERROR(__xludf.DUMMYFUNCTION(" IF
( VLOOKUP($G24,IMPORTRANGE(""https://docs.google.com/spreadsheets/d/1Gpl6jkTg7sL4VDNimUm3S9Vi1i95esohXCF3wuKOE8c"", ""'CONSOLIDADO'!G5:AB""), 10, 0) &lt;&gt; 0, 
IFERROR(VLOOKUP($G24,IMPORTRANGE(""https://docs.google.com/spreadsheets/d/1Gpl6jkTg7sL4VDNimUm3"&amp;"S9Vi1i95esohXCF3wuKOE8c"", ""'CONSOLIDADO'!G5:AB""), 17, 0), ""-""),
""""
)"),"TRUPER ")</f>
        <v>TRUPER </v>
      </c>
      <c r="U24" s="39">
        <f>IFERROR(__xludf.DUMMYFUNCTION(" IF
( VLOOKUP($G24,IMPORTRANGE(""https://docs.google.com/spreadsheets/d/1Gpl6jkTg7sL4VDNimUm3S9Vi1i95esohXCF3wuKOE8c"", ""'CONSOLIDADO'!G5:AB""), 10, 0) &lt;&gt; 0, 
IFERROR(VLOOKUP($G24,IMPORTRANGE(""https://docs.google.com/spreadsheets/d/1Gpl6jkTg7sL4VDNimUm3"&amp;"S9Vi1i95esohXCF3wuKOE8c"", ""'CONSOLIDADO'!G5:AB""), 18, 0), ""-""),
""""
)"),14388.0)</f>
        <v>14388</v>
      </c>
      <c r="V24" s="39" t="str">
        <f>IFERROR(__xludf.DUMMYFUNCTION(" IF
( VLOOKUP($G24,IMPORTRANGE(""https://docs.google.com/spreadsheets/d/1Gpl6jkTg7sL4VDNimUm3S9Vi1i95esohXCF3wuKOE8c"", ""'CONSOLIDADO'!G5:AB""), 10, 0) &lt;&gt; 0, 
IFERROR(VLOOKUP($G24,IMPORTRANGE(""https://docs.google.com/spreadsheets/d/1Gpl6jkTg7sL4VDNimUm3"&amp;"S9Vi1i95esohXCF3wuKOE8c"", ""'CONSOLIDADO'!G5:AB""), 17, 0), ""-""),
""""
)"),"TRUPER ")</f>
        <v>TRUPER </v>
      </c>
      <c r="W24" s="39">
        <f>IFERROR(__xludf.DUMMYFUNCTION(" IF
( VLOOKUP($G24,IMPORTRANGE(""https://docs.google.com/spreadsheets/d/1Gpl6jkTg7sL4VDNimUm3S9Vi1i95esohXCF3wuKOE8c"", ""'CONSOLIDADO'!G5:AB""), 10, 0) &lt;&gt; 0, 
IFERROR(VLOOKUP($G24,IMPORTRANGE(""https://docs.google.com/spreadsheets/d/1Gpl6jkTg7sL4VDNimUm3"&amp;"S9Vi1i95esohXCF3wuKOE8c"", ""'CONSOLIDADO'!G5:AB""), 18, 0), ""-""),
""""
)"),14388.0)</f>
        <v>14388</v>
      </c>
      <c r="X24" s="39" t="b">
        <f t="shared" si="3"/>
        <v>1</v>
      </c>
      <c r="Y24" s="120" t="str">
        <f>IFERROR(__xludf.DUMMYFUNCTION(" IF
( VLOOKUP($G24,IMPORTRANGE(""https://docs.google.com/spreadsheets/d/1Gpl6jkTg7sL4VDNimUm3S9Vi1i95esohXCF3wuKOE8c"", ""'CONSOLIDADO'!G5:AB""), 10, 0) &lt;&gt; 0, 
IFERROR(VLOOKUP($G24,IMPORTRANGE(""https://docs.google.com/spreadsheets/d/1Gpl6jkTg7sL4VDNimUm3"&amp;"S9Vi1i95esohXCF3wuKOE8c"", ""'CONSOLIDADO'!G5:AB""), 19, 0), ""-""),
""""
)"),"https://www.truper.com/ficha_tecnica/Calibrador-digital-de-6-milimetrico-y-standard-688.html?code=14388")</f>
        <v>https://www.truper.com/ficha_tecnica/Calibrador-digital-de-6-milimetrico-y-standard-688.html?code=14388</v>
      </c>
      <c r="Z24" s="37" t="str">
        <f>IFERROR(__xludf.DUMMYFUNCTION("IFERROR(VLOOKUP(G24,IMPORTRANGE(""https://docs.google.com/spreadsheets/d/12RxCea4e5ggM7QGn1XE3FbLQa_-QbCNdBi90OdPjRqg"", ""'Plan de Compras'!D4:Q""), 12, 0), ""NO ESTÁ EN REQ"")"),"Técnica")</f>
        <v>Técnica</v>
      </c>
      <c r="AA24" s="37" t="str">
        <f>IFERROR(__xludf.DUMMYFUNCTION("IFERROR(VLOOKUP(G24,IMPORTRANGE(""https://docs.google.com/spreadsheets/d/12RxCea4e5ggM7QGn1XE3FbLQa_-QbCNdBi90OdPjRqg"", ""'Plan de Compras'!D4:Q""), 13, 0), """")"),"NACIONAL")</f>
        <v>NACIONAL</v>
      </c>
      <c r="AB24" s="32" t="str">
        <f>IFERROR(__xludf.DUMMYFUNCTION("IFERROR(VLOOKUP(G24,IMPORTRANGE(""https://docs.google.com/spreadsheets/d/12RxCea4e5ggM7QGn1XE3FbLQa_-QbCNdBi90OdPjRqg"", ""'Plan de Compras'!D4:Q""), 14, 0), """")"),"JESSICA")</f>
        <v>JESSICA</v>
      </c>
      <c r="AC24" s="72" t="str">
        <f>IFERROR(__xludf.DUMMYFUNCTION("IFERROR(VLOOKUP(G24,IMPORTRANGE(""https://docs.google.com/spreadsheets/d/12RxCea4e5ggM7QGn1XE3FbLQa_-QbCNdBi90OdPjRqg"", ""'Plan de Compras'!D4:Q""), 4, 0), """")"),"CALIBRADOR DIGITAL")</f>
        <v>CALIBRADOR DIGITAL</v>
      </c>
      <c r="AD24" s="37" t="str">
        <f>IFERROR(__xludf.DUMMYFUNCTION("IFERROR(IF(OR(C24=TRUE,C24=""""),VLOOKUP(G24,IMPORTRANGE(""https://docs.google.com/spreadsheets/d/1z9A1Wq-kKrhRNG5RS2a2fKpY1wIhSVz2ZNmP2mOl588/edit?usp=sharing"",""REQ VF!E4:H""),4,0),""NO APLICA""),""GENERAR REQ"")"),"GENERAR REQ")</f>
        <v>GENERAR REQ</v>
      </c>
      <c r="AE24" s="32" t="str">
        <f>IFERROR(__xludf.DUMMYFUNCTION("IFERROR(QUERY(IMPORTRANGE(""https://docs.google.com/spreadsheets/d/1z9A1Wq-kKrhRNG5RS2a2fKpY1wIhSVz2ZNmP2mOl588/edit?usp=sharing"",""REQ VF!E4:Q""),""SELECT Col10, Col11, Col12 WHERE Col1 = '""&amp;G24&amp;""'"",0),""NO APLICA"")"),"NO APLICA")</f>
        <v>NO APLICA</v>
      </c>
      <c r="AF24" s="32"/>
      <c r="AG24" s="32"/>
      <c r="AH24" s="13"/>
      <c r="AI24" s="13"/>
    </row>
    <row r="25">
      <c r="A25" s="121">
        <v>19.0</v>
      </c>
      <c r="B25" s="43" t="b">
        <v>1</v>
      </c>
      <c r="C25" s="26" t="b">
        <v>1</v>
      </c>
      <c r="D25" s="26" t="s">
        <v>35</v>
      </c>
      <c r="E25" s="26" t="s">
        <v>1510</v>
      </c>
      <c r="F25" s="59" t="s">
        <v>1571</v>
      </c>
      <c r="G25" s="37" t="s">
        <v>1575</v>
      </c>
      <c r="H25" s="82" t="s">
        <v>1573</v>
      </c>
      <c r="I25" s="43">
        <f>SUMIFS('Hoja 10'!$O:$O,'Hoja 10'!$F:$F,$G25)</f>
        <v>4</v>
      </c>
      <c r="J25" s="26">
        <f>IFERROR(__xludf.DUMMYFUNCTION("VLOOKUP(G25,IMPORTRANGE(""https://docs.google.com/spreadsheets/d/12RxCea4e5ggM7QGn1XE3FbLQa_-QbCNdBi90OdPjRqg/edit?gid=1692403370#gid=1692403370"", ""'Plan de Compras'!D4:2432""), 8,0)"),4.0)</f>
        <v>4</v>
      </c>
      <c r="K25" s="26" t="str">
        <f t="shared" si="1"/>
        <v>SI</v>
      </c>
      <c r="L25" s="29" t="s">
        <v>122</v>
      </c>
      <c r="M25" s="30" t="s">
        <v>123</v>
      </c>
      <c r="N25" s="32"/>
      <c r="O25" s="32" t="str">
        <f>VLOOKUP($G25,'Hoja 10'!$F$4:$AA1057, 19,0)</f>
        <v>VOGEL GERMANY</v>
      </c>
      <c r="P25" s="32" t="str">
        <f>VLOOKUP($G25,'Hoja 10'!$F$4:$AA1057, 20,0)</f>
        <v>IP54 – 202161-2</v>
      </c>
      <c r="Q25" s="33" t="str">
        <f>VLOOKUP($G25,'Hoja 10'!$F$4:$AA1057, 21,0)</f>
        <v>https://store.ferrindustrial.com.pe/producto/calibrador-pie-de-rey-digital-ip54-de-8-200mm-202161-2-vogel-germany/</v>
      </c>
      <c r="R25" s="30" t="s">
        <v>1576</v>
      </c>
      <c r="S25" s="44" t="b">
        <v>1</v>
      </c>
      <c r="T25" s="39" t="str">
        <f>IFERROR(__xludf.DUMMYFUNCTION(" IF
( VLOOKUP($G25,IMPORTRANGE(""https://docs.google.com/spreadsheets/d/1Gpl6jkTg7sL4VDNimUm3S9Vi1i95esohXCF3wuKOE8c"", ""'CONSOLIDADO'!G5:AB""), 10, 0) &lt;&gt; 0, 
IFERROR(VLOOKUP($G25,IMPORTRANGE(""https://docs.google.com/spreadsheets/d/1Gpl6jkTg7sL4VDNimUm3"&amp;"S9Vi1i95esohXCF3wuKOE8c"", ""'CONSOLIDADO'!G5:AB""), 17, 0), ""-""),
""""
)"),"TRUPER ")</f>
        <v>TRUPER </v>
      </c>
      <c r="U25" s="39">
        <f>IFERROR(__xludf.DUMMYFUNCTION(" IF
( VLOOKUP($G25,IMPORTRANGE(""https://docs.google.com/spreadsheets/d/1Gpl6jkTg7sL4VDNimUm3S9Vi1i95esohXCF3wuKOE8c"", ""'CONSOLIDADO'!G5:AB""), 10, 0) &lt;&gt; 0, 
IFERROR(VLOOKUP($G25,IMPORTRANGE(""https://docs.google.com/spreadsheets/d/1Gpl6jkTg7sL4VDNimUm3"&amp;"S9Vi1i95esohXCF3wuKOE8c"", ""'CONSOLIDADO'!G5:AB""), 18, 0), ""-""),
""""
)"),14388.0)</f>
        <v>14388</v>
      </c>
      <c r="V25" s="39" t="str">
        <f>IFERROR(__xludf.DUMMYFUNCTION(" IF
( VLOOKUP($G25,IMPORTRANGE(""https://docs.google.com/spreadsheets/d/1Gpl6jkTg7sL4VDNimUm3S9Vi1i95esohXCF3wuKOE8c"", ""'CONSOLIDADO'!G5:AB""), 10, 0) &lt;&gt; 0, 
IFERROR(VLOOKUP($G25,IMPORTRANGE(""https://docs.google.com/spreadsheets/d/1Gpl6jkTg7sL4VDNimUm3"&amp;"S9Vi1i95esohXCF3wuKOE8c"", ""'CONSOLIDADO'!G5:AB""), 17, 0), ""-""),
""""
)"),"TRUPER ")</f>
        <v>TRUPER </v>
      </c>
      <c r="W25" s="39">
        <f>IFERROR(__xludf.DUMMYFUNCTION(" IF
( VLOOKUP($G25,IMPORTRANGE(""https://docs.google.com/spreadsheets/d/1Gpl6jkTg7sL4VDNimUm3S9Vi1i95esohXCF3wuKOE8c"", ""'CONSOLIDADO'!G5:AB""), 10, 0) &lt;&gt; 0, 
IFERROR(VLOOKUP($G25,IMPORTRANGE(""https://docs.google.com/spreadsheets/d/1Gpl6jkTg7sL4VDNimUm3"&amp;"S9Vi1i95esohXCF3wuKOE8c"", ""'CONSOLIDADO'!G5:AB""), 18, 0), ""-""),
""""
)"),14388.0)</f>
        <v>14388</v>
      </c>
      <c r="X25" s="39" t="b">
        <f t="shared" si="3"/>
        <v>1</v>
      </c>
      <c r="Y25" s="120" t="str">
        <f>IFERROR(__xludf.DUMMYFUNCTION(" IF
( VLOOKUP($G25,IMPORTRANGE(""https://docs.google.com/spreadsheets/d/1Gpl6jkTg7sL4VDNimUm3S9Vi1i95esohXCF3wuKOE8c"", ""'CONSOLIDADO'!G5:AB""), 10, 0) &lt;&gt; 0, 
IFERROR(VLOOKUP($G25,IMPORTRANGE(""https://docs.google.com/spreadsheets/d/1Gpl6jkTg7sL4VDNimUm3"&amp;"S9Vi1i95esohXCF3wuKOE8c"", ""'CONSOLIDADO'!G5:AB""), 19, 0), ""-""),
""""
)"),"https://www.truper.com/ficha_tecnica/Calibrador-digital-de-6-milimetrico-y-standard-688.html?code=14389")</f>
        <v>https://www.truper.com/ficha_tecnica/Calibrador-digital-de-6-milimetrico-y-standard-688.html?code=14389</v>
      </c>
      <c r="Z25" s="37" t="str">
        <f>IFERROR(__xludf.DUMMYFUNCTION("IFERROR(VLOOKUP(G25,IMPORTRANGE(""https://docs.google.com/spreadsheets/d/12RxCea4e5ggM7QGn1XE3FbLQa_-QbCNdBi90OdPjRqg"", ""'Plan de Compras'!D4:Q""), 12, 0), ""NO ESTÁ EN REQ"")"),"Técnica")</f>
        <v>Técnica</v>
      </c>
      <c r="AA25" s="37" t="str">
        <f>IFERROR(__xludf.DUMMYFUNCTION("IFERROR(VLOOKUP(G25,IMPORTRANGE(""https://docs.google.com/spreadsheets/d/12RxCea4e5ggM7QGn1XE3FbLQa_-QbCNdBi90OdPjRqg"", ""'Plan de Compras'!D4:Q""), 13, 0), """")"),"NACIONAL")</f>
        <v>NACIONAL</v>
      </c>
      <c r="AB25" s="32" t="str">
        <f>IFERROR(__xludf.DUMMYFUNCTION("IFERROR(VLOOKUP(G25,IMPORTRANGE(""https://docs.google.com/spreadsheets/d/12RxCea4e5ggM7QGn1XE3FbLQa_-QbCNdBi90OdPjRqg"", ""'Plan de Compras'!D4:Q""), 14, 0), """")"),"JESSICA")</f>
        <v>JESSICA</v>
      </c>
      <c r="AC25" s="72" t="str">
        <f>IFERROR(__xludf.DUMMYFUNCTION("IFERROR(VLOOKUP(G25,IMPORTRANGE(""https://docs.google.com/spreadsheets/d/12RxCea4e5ggM7QGn1XE3FbLQa_-QbCNdBi90OdPjRqg"", ""'Plan de Compras'!D4:Q""), 4, 0), """")"),"CALIBRADOR DIGITAL")</f>
        <v>CALIBRADOR DIGITAL</v>
      </c>
      <c r="AD25" s="37" t="str">
        <f>IFERROR(__xludf.DUMMYFUNCTION("IFERROR(IF(OR(C25=TRUE,C25=""""),VLOOKUP(G25,IMPORTRANGE(""https://docs.google.com/spreadsheets/d/1z9A1Wq-kKrhRNG5RS2a2fKpY1wIhSVz2ZNmP2mOl588/edit?usp=sharing"",""REQ VF!E4:H""),4,0),""NO APLICA""),""GENERAR REQ"")"),"GENERAR REQ")</f>
        <v>GENERAR REQ</v>
      </c>
      <c r="AE25" s="32" t="str">
        <f>IFERROR(__xludf.DUMMYFUNCTION("IFERROR(QUERY(IMPORTRANGE(""https://docs.google.com/spreadsheets/d/1z9A1Wq-kKrhRNG5RS2a2fKpY1wIhSVz2ZNmP2mOl588/edit?usp=sharing"",""REQ VF!E4:Q""),""SELECT Col10, Col11, Col12 WHERE Col1 = '""&amp;G25&amp;""'"",0),""NO APLICA"")"),"NO APLICA")</f>
        <v>NO APLICA</v>
      </c>
      <c r="AF25" s="32"/>
      <c r="AG25" s="32"/>
      <c r="AH25" s="13"/>
      <c r="AI25" s="13"/>
    </row>
    <row r="26">
      <c r="A26" s="117">
        <v>20.0</v>
      </c>
      <c r="B26" s="43" t="b">
        <v>1</v>
      </c>
      <c r="C26" s="26" t="b">
        <v>1</v>
      </c>
      <c r="D26" s="26" t="s">
        <v>35</v>
      </c>
      <c r="E26" s="26" t="s">
        <v>1510</v>
      </c>
      <c r="F26" s="59" t="s">
        <v>1571</v>
      </c>
      <c r="G26" s="39" t="s">
        <v>1577</v>
      </c>
      <c r="H26" s="82" t="s">
        <v>1573</v>
      </c>
      <c r="I26" s="43">
        <f>SUMIFS('Hoja 10'!$O:$O,'Hoja 10'!$F:$F,$G26)</f>
        <v>3</v>
      </c>
      <c r="J26" s="26">
        <f>IFERROR(__xludf.DUMMYFUNCTION("VLOOKUP(G26,IMPORTRANGE(""https://docs.google.com/spreadsheets/d/12RxCea4e5ggM7QGn1XE3FbLQa_-QbCNdBi90OdPjRqg/edit?gid=1692403370#gid=1692403370"", ""'Plan de Compras'!D4:2432""), 8,0)"),3.0)</f>
        <v>3</v>
      </c>
      <c r="K26" s="26" t="str">
        <f t="shared" si="1"/>
        <v>SI</v>
      </c>
      <c r="L26" s="29" t="s">
        <v>127</v>
      </c>
      <c r="M26" s="30" t="s">
        <v>105</v>
      </c>
      <c r="N26" s="32"/>
      <c r="O26" s="32" t="str">
        <f>VLOOKUP($G26,'Hoja 10'!$F$4:$AA1057, 19,0)</f>
        <v>VOGEL GERMANY</v>
      </c>
      <c r="P26" s="32" t="str">
        <f>VLOOKUP($G26,'Hoja 10'!$F$4:$AA1057, 20,0)</f>
        <v>IP54 – 202161-2</v>
      </c>
      <c r="Q26" s="33" t="str">
        <f>VLOOKUP($G26,'Hoja 10'!$F$4:$AA1057, 21,0)</f>
        <v>https://store.ferrindustrial.com.pe/producto/calibrador-pie-de-rey-digital-ip54-de-8-200mm-202161-2-vogel-germany/</v>
      </c>
      <c r="R26" s="30" t="s">
        <v>1578</v>
      </c>
      <c r="S26" s="44" t="b">
        <v>1</v>
      </c>
      <c r="T26" s="39" t="str">
        <f>IFERROR(__xludf.DUMMYFUNCTION(" IF
( VLOOKUP($G26,IMPORTRANGE(""https://docs.google.com/spreadsheets/d/1Gpl6jkTg7sL4VDNimUm3S9Vi1i95esohXCF3wuKOE8c"", ""'CONSOLIDADO'!G5:AB""), 10, 0) &lt;&gt; 0, 
IFERROR(VLOOKUP($G26,IMPORTRANGE(""https://docs.google.com/spreadsheets/d/1Gpl6jkTg7sL4VDNimUm3"&amp;"S9Vi1i95esohXCF3wuKOE8c"", ""'CONSOLIDADO'!G5:AB""), 17, 0), ""-""),
""""
)"),"TRUPER ")</f>
        <v>TRUPER </v>
      </c>
      <c r="U26" s="39">
        <f>IFERROR(__xludf.DUMMYFUNCTION(" IF
( VLOOKUP($G26,IMPORTRANGE(""https://docs.google.com/spreadsheets/d/1Gpl6jkTg7sL4VDNimUm3S9Vi1i95esohXCF3wuKOE8c"", ""'CONSOLIDADO'!G5:AB""), 10, 0) &lt;&gt; 0, 
IFERROR(VLOOKUP($G26,IMPORTRANGE(""https://docs.google.com/spreadsheets/d/1Gpl6jkTg7sL4VDNimUm3"&amp;"S9Vi1i95esohXCF3wuKOE8c"", ""'CONSOLIDADO'!G5:AB""), 18, 0), ""-""),
""""
)"),14388.0)</f>
        <v>14388</v>
      </c>
      <c r="V26" s="39" t="str">
        <f>IFERROR(__xludf.DUMMYFUNCTION(" IF
( VLOOKUP($G26,IMPORTRANGE(""https://docs.google.com/spreadsheets/d/1Gpl6jkTg7sL4VDNimUm3S9Vi1i95esohXCF3wuKOE8c"", ""'CONSOLIDADO'!G5:AB""), 10, 0) &lt;&gt; 0, 
IFERROR(VLOOKUP($G26,IMPORTRANGE(""https://docs.google.com/spreadsheets/d/1Gpl6jkTg7sL4VDNimUm3"&amp;"S9Vi1i95esohXCF3wuKOE8c"", ""'CONSOLIDADO'!G5:AB""), 17, 0), ""-""),
""""
)"),"TRUPER ")</f>
        <v>TRUPER </v>
      </c>
      <c r="W26" s="39">
        <f>IFERROR(__xludf.DUMMYFUNCTION(" IF
( VLOOKUP($G26,IMPORTRANGE(""https://docs.google.com/spreadsheets/d/1Gpl6jkTg7sL4VDNimUm3S9Vi1i95esohXCF3wuKOE8c"", ""'CONSOLIDADO'!G5:AB""), 10, 0) &lt;&gt; 0, 
IFERROR(VLOOKUP($G26,IMPORTRANGE(""https://docs.google.com/spreadsheets/d/1Gpl6jkTg7sL4VDNimUm3"&amp;"S9Vi1i95esohXCF3wuKOE8c"", ""'CONSOLIDADO'!G5:AB""), 18, 0), ""-""),
""""
)"),14388.0)</f>
        <v>14388</v>
      </c>
      <c r="X26" s="39" t="b">
        <f t="shared" si="3"/>
        <v>1</v>
      </c>
      <c r="Y26" s="120" t="str">
        <f>IFERROR(__xludf.DUMMYFUNCTION(" IF
( VLOOKUP($G26,IMPORTRANGE(""https://docs.google.com/spreadsheets/d/1Gpl6jkTg7sL4VDNimUm3S9Vi1i95esohXCF3wuKOE8c"", ""'CONSOLIDADO'!G5:AB""), 10, 0) &lt;&gt; 0, 
IFERROR(VLOOKUP($G26,IMPORTRANGE(""https://docs.google.com/spreadsheets/d/1Gpl6jkTg7sL4VDNimUm3"&amp;"S9Vi1i95esohXCF3wuKOE8c"", ""'CONSOLIDADO'!G5:AB""), 19, 0), ""-""),
""""
)"),"https://www.truper.com/ficha_tecnica/Calibrador-digital-de-6-milimetrico-y-standard-688.html?code=14390")</f>
        <v>https://www.truper.com/ficha_tecnica/Calibrador-digital-de-6-milimetrico-y-standard-688.html?code=14390</v>
      </c>
      <c r="Z26" s="37" t="str">
        <f>IFERROR(__xludf.DUMMYFUNCTION("IFERROR(VLOOKUP(G26,IMPORTRANGE(""https://docs.google.com/spreadsheets/d/12RxCea4e5ggM7QGn1XE3FbLQa_-QbCNdBi90OdPjRqg"", ""'Plan de Compras'!D4:Q""), 12, 0), ""NO ESTÁ EN REQ"")"),"Técnica")</f>
        <v>Técnica</v>
      </c>
      <c r="AA26" s="37" t="str">
        <f>IFERROR(__xludf.DUMMYFUNCTION("IFERROR(VLOOKUP(G26,IMPORTRANGE(""https://docs.google.com/spreadsheets/d/12RxCea4e5ggM7QGn1XE3FbLQa_-QbCNdBi90OdPjRqg"", ""'Plan de Compras'!D4:Q""), 13, 0), """")"),"NACIONAL")</f>
        <v>NACIONAL</v>
      </c>
      <c r="AB26" s="32" t="str">
        <f>IFERROR(__xludf.DUMMYFUNCTION("IFERROR(VLOOKUP(G26,IMPORTRANGE(""https://docs.google.com/spreadsheets/d/12RxCea4e5ggM7QGn1XE3FbLQa_-QbCNdBi90OdPjRqg"", ""'Plan de Compras'!D4:Q""), 14, 0), """")"),"JESSICA")</f>
        <v>JESSICA</v>
      </c>
      <c r="AC26" s="72" t="str">
        <f>IFERROR(__xludf.DUMMYFUNCTION("IFERROR(VLOOKUP(G26,IMPORTRANGE(""https://docs.google.com/spreadsheets/d/12RxCea4e5ggM7QGn1XE3FbLQa_-QbCNdBi90OdPjRqg"", ""'Plan de Compras'!D4:Q""), 4, 0), """")"),"CALIBRADOR DIGITAL")</f>
        <v>CALIBRADOR DIGITAL</v>
      </c>
      <c r="AD26" s="37" t="str">
        <f>IFERROR(__xludf.DUMMYFUNCTION("IFERROR(IF(OR(C26=TRUE,C26=""""),VLOOKUP(G26,IMPORTRANGE(""https://docs.google.com/spreadsheets/d/1z9A1Wq-kKrhRNG5RS2a2fKpY1wIhSVz2ZNmP2mOl588/edit?usp=sharing"",""REQ VF!E4:H""),4,0),""NO APLICA""),""GENERAR REQ"")"),"GENERAR REQ")</f>
        <v>GENERAR REQ</v>
      </c>
      <c r="AE26" s="32" t="str">
        <f>IFERROR(__xludf.DUMMYFUNCTION("IFERROR(QUERY(IMPORTRANGE(""https://docs.google.com/spreadsheets/d/1z9A1Wq-kKrhRNG5RS2a2fKpY1wIhSVz2ZNmP2mOl588/edit?usp=sharing"",""REQ VF!E4:Q""),""SELECT Col10, Col11, Col12 WHERE Col1 = '""&amp;G26&amp;""'"",0),""NO APLICA"")"),"NO APLICA")</f>
        <v>NO APLICA</v>
      </c>
      <c r="AF26" s="32"/>
      <c r="AG26" s="32"/>
      <c r="AH26" s="13"/>
      <c r="AI26" s="13"/>
    </row>
    <row r="27">
      <c r="A27" s="117">
        <v>21.0</v>
      </c>
      <c r="B27" s="43" t="b">
        <v>1</v>
      </c>
      <c r="C27" s="26" t="b">
        <v>1</v>
      </c>
      <c r="D27" s="26" t="s">
        <v>35</v>
      </c>
      <c r="E27" s="26" t="s">
        <v>1510</v>
      </c>
      <c r="F27" s="59" t="s">
        <v>1571</v>
      </c>
      <c r="G27" s="37" t="s">
        <v>1579</v>
      </c>
      <c r="H27" s="82" t="s">
        <v>1573</v>
      </c>
      <c r="I27" s="43">
        <f>SUMIFS('Hoja 10'!$O:$O,'Hoja 10'!$F:$F,$G27)</f>
        <v>5</v>
      </c>
      <c r="J27" s="26">
        <f>IFERROR(__xludf.DUMMYFUNCTION("VLOOKUP(G27,IMPORTRANGE(""https://docs.google.com/spreadsheets/d/12RxCea4e5ggM7QGn1XE3FbLQa_-QbCNdBi90OdPjRqg/edit?gid=1692403370#gid=1692403370"", ""'Plan de Compras'!D4:2432""), 8,0)"),5.0)</f>
        <v>5</v>
      </c>
      <c r="K27" s="26" t="str">
        <f t="shared" si="1"/>
        <v>SI</v>
      </c>
      <c r="L27" s="29" t="s">
        <v>91</v>
      </c>
      <c r="M27" s="30" t="s">
        <v>92</v>
      </c>
      <c r="N27" s="32"/>
      <c r="O27" s="32" t="str">
        <f>VLOOKUP($G27,'Hoja 10'!$F$4:$AA1057, 19,0)</f>
        <v>MITUTOYO</v>
      </c>
      <c r="P27" s="32" t="str">
        <f>VLOOKUP($G27,'Hoja 10'!$F$4:$AA1057, 20,0)</f>
        <v>500-196-30</v>
      </c>
      <c r="Q27" s="33" t="str">
        <f>VLOOKUP($G27,'Hoja 10'!$F$4:$AA1057, 21,0)</f>
        <v>https://es.rs-online.com/web/p/calibres/2455676</v>
      </c>
      <c r="R27" s="30" t="s">
        <v>1580</v>
      </c>
      <c r="S27" s="44" t="b">
        <v>1</v>
      </c>
      <c r="T27" s="39" t="str">
        <f>IFERROR(__xludf.DUMMYFUNCTION(" IF
( VLOOKUP($G27,IMPORTRANGE(""https://docs.google.com/spreadsheets/d/1Gpl6jkTg7sL4VDNimUm3S9Vi1i95esohXCF3wuKOE8c"", ""'CONSOLIDADO'!G5:AB""), 10, 0) &lt;&gt; 0, 
IFERROR(VLOOKUP($G27,IMPORTRANGE(""https://docs.google.com/spreadsheets/d/1Gpl6jkTg7sL4VDNimUm3"&amp;"S9Vi1i95esohXCF3wuKOE8c"", ""'CONSOLIDADO'!G5:AB""), 17, 0), ""-""),
""""
)"),"QFUN")</f>
        <v>QFUN</v>
      </c>
      <c r="U27" s="39" t="str">
        <f>IFERROR(__xludf.DUMMYFUNCTION(" IF
( VLOOKUP($G27,IMPORTRANGE(""https://docs.google.com/spreadsheets/d/1Gpl6jkTg7sL4VDNimUm3S9Vi1i95esohXCF3wuKOE8c"", ""'CONSOLIDADO'!G5:AB""), 10, 0) &lt;&gt; 0, 
IFERROR(VLOOKUP($G27,IMPORTRANGE(""https://docs.google.com/spreadsheets/d/1Gpl6jkTg7sL4VDNimUm3"&amp;"S9Vi1i95esohXCF3wuKOE8c"", ""'CONSOLIDADO'!G5:AB""), 18, 0), ""-""),
""""
)"),"FRACTION")</f>
        <v>FRACTION</v>
      </c>
      <c r="V27" s="39" t="str">
        <f>IFERROR(__xludf.DUMMYFUNCTION(" IF
( VLOOKUP($G27,IMPORTRANGE(""https://docs.google.com/spreadsheets/d/1Gpl6jkTg7sL4VDNimUm3S9Vi1i95esohXCF3wuKOE8c"", ""'CONSOLIDADO'!G5:AB""), 10, 0) &lt;&gt; 0, 
IFERROR(VLOOKUP($G27,IMPORTRANGE(""https://docs.google.com/spreadsheets/d/1Gpl6jkTg7sL4VDNimUm3"&amp;"S9Vi1i95esohXCF3wuKOE8c"", ""'CONSOLIDADO'!G5:AB""), 17, 0), ""-""),
""""
)"),"QFUN")</f>
        <v>QFUN</v>
      </c>
      <c r="W27" s="39" t="str">
        <f>IFERROR(__xludf.DUMMYFUNCTION(" IF
( VLOOKUP($G27,IMPORTRANGE(""https://docs.google.com/spreadsheets/d/1Gpl6jkTg7sL4VDNimUm3S9Vi1i95esohXCF3wuKOE8c"", ""'CONSOLIDADO'!G5:AB""), 10, 0) &lt;&gt; 0, 
IFERROR(VLOOKUP($G27,IMPORTRANGE(""https://docs.google.com/spreadsheets/d/1Gpl6jkTg7sL4VDNimUm3"&amp;"S9Vi1i95esohXCF3wuKOE8c"", ""'CONSOLIDADO'!G5:AB""), 18, 0), ""-""),
""""
)"),"FRACTION")</f>
        <v>FRACTION</v>
      </c>
      <c r="X27" s="39" t="b">
        <f t="shared" si="3"/>
        <v>1</v>
      </c>
      <c r="Y27" s="120" t="str">
        <f>IFERROR(__xludf.DUMMYFUNCTION(" IF
( VLOOKUP($G27,IMPORTRANGE(""https://docs.google.com/spreadsheets/d/1Gpl6jkTg7sL4VDNimUm3S9Vi1i95esohXCF3wuKOE8c"", ""'CONSOLIDADO'!G5:AB""), 10, 0) &lt;&gt; 0, 
IFERROR(VLOOKUP($G27,IMPORTRANGE(""https://docs.google.com/spreadsheets/d/1Gpl6jkTg7sL4VDNimUm3"&amp;"S9Vi1i95esohXCF3wuKOE8c"", ""'CONSOLIDADO'!G5:AB""), 19, 0), ""-""),
""""
)"),"https://www.amazon.com/-/es/Calibrador-electr%C3%B3nico-herramienta-calibrador-micr%C3%B3metro/dp/B09CL2HZQM?th=1")</f>
        <v>https://www.amazon.com/-/es/Calibrador-electr%C3%B3nico-herramienta-calibrador-micr%C3%B3metro/dp/B09CL2HZQM?th=1</v>
      </c>
      <c r="Z27" s="37" t="str">
        <f>IFERROR(__xludf.DUMMYFUNCTION("IFERROR(VLOOKUP(G27,IMPORTRANGE(""https://docs.google.com/spreadsheets/d/12RxCea4e5ggM7QGn1XE3FbLQa_-QbCNdBi90OdPjRqg"", ""'Plan de Compras'!D4:Q""), 12, 0), ""NO ESTÁ EN REQ"")"),"Técnica")</f>
        <v>Técnica</v>
      </c>
      <c r="AA27" s="37" t="str">
        <f>IFERROR(__xludf.DUMMYFUNCTION("IFERROR(VLOOKUP(G27,IMPORTRANGE(""https://docs.google.com/spreadsheets/d/12RxCea4e5ggM7QGn1XE3FbLQa_-QbCNdBi90OdPjRqg"", ""'Plan de Compras'!D4:Q""), 13, 0), """")"),"INTERNACIONAL")</f>
        <v>INTERNACIONAL</v>
      </c>
      <c r="AB27" s="32" t="str">
        <f>IFERROR(__xludf.DUMMYFUNCTION("IFERROR(VLOOKUP(G27,IMPORTRANGE(""https://docs.google.com/spreadsheets/d/12RxCea4e5ggM7QGn1XE3FbLQa_-QbCNdBi90OdPjRqg"", ""'Plan de Compras'!D4:Q""), 14, 0), """")"),"GIANFRANCO")</f>
        <v>GIANFRANCO</v>
      </c>
      <c r="AC27" s="72" t="str">
        <f>IFERROR(__xludf.DUMMYFUNCTION("IFERROR(VLOOKUP(G27,IMPORTRANGE(""https://docs.google.com/spreadsheets/d/12RxCea4e5ggM7QGn1XE3FbLQa_-QbCNdBi90OdPjRqg"", ""'Plan de Compras'!D4:Q""), 4, 0), """")"),"CALIBRADOR DIGITAL")</f>
        <v>CALIBRADOR DIGITAL</v>
      </c>
      <c r="AD27" s="37" t="str">
        <f>IFERROR(__xludf.DUMMYFUNCTION("IFERROR(IF(OR(C27=TRUE,C27=""""),VLOOKUP(G27,IMPORTRANGE(""https://docs.google.com/spreadsheets/d/1z9A1Wq-kKrhRNG5RS2a2fKpY1wIhSVz2ZNmP2mOl588/edit?usp=sharing"",""REQ VF!E4:H""),4,0),""NO APLICA""),""GENERAR REQ"")"),"GENERAR REQ")</f>
        <v>GENERAR REQ</v>
      </c>
      <c r="AE27" s="32" t="str">
        <f>IFERROR(__xludf.DUMMYFUNCTION("IFERROR(QUERY(IMPORTRANGE(""https://docs.google.com/spreadsheets/d/1z9A1Wq-kKrhRNG5RS2a2fKpY1wIhSVz2ZNmP2mOl588/edit?usp=sharing"",""REQ VF!E4:Q""),""SELECT Col10, Col11, Col12 WHERE Col1 = '""&amp;G27&amp;""'"",0),""NO APLICA"")"),"NO APLICA")</f>
        <v>NO APLICA</v>
      </c>
      <c r="AF27" s="32"/>
      <c r="AG27" s="32"/>
      <c r="AH27" s="13"/>
      <c r="AI27" s="13"/>
    </row>
    <row r="28">
      <c r="A28" s="121">
        <v>22.0</v>
      </c>
      <c r="B28" s="43" t="b">
        <v>1</v>
      </c>
      <c r="C28" s="26" t="b">
        <v>1</v>
      </c>
      <c r="D28" s="26" t="s">
        <v>35</v>
      </c>
      <c r="E28" s="26" t="s">
        <v>1510</v>
      </c>
      <c r="F28" s="59" t="s">
        <v>1581</v>
      </c>
      <c r="G28" s="37" t="s">
        <v>1581</v>
      </c>
      <c r="H28" s="82" t="s">
        <v>1582</v>
      </c>
      <c r="I28" s="43">
        <f>SUMIFS('Hoja 10'!$O:$O,'Hoja 10'!$F:$F,$G28)</f>
        <v>20</v>
      </c>
      <c r="J28" s="26">
        <f>IFERROR(__xludf.DUMMYFUNCTION("VLOOKUP(G28,IMPORTRANGE(""https://docs.google.com/spreadsheets/d/12RxCea4e5ggM7QGn1XE3FbLQa_-QbCNdBi90OdPjRqg/edit?gid=1692403370#gid=1692403370"", ""'Plan de Compras'!D4:2432""), 8,0)"),20.0)</f>
        <v>20</v>
      </c>
      <c r="K28" s="26" t="str">
        <f t="shared" si="1"/>
        <v>SI</v>
      </c>
      <c r="L28" s="29" t="s">
        <v>91</v>
      </c>
      <c r="M28" s="30" t="s">
        <v>92</v>
      </c>
      <c r="N28" s="32"/>
      <c r="O28" s="32" t="str">
        <f>VLOOKUP($G28,'Hoja 10'!$F$4:$AA1057, 19,0)</f>
        <v>SELLSTROM</v>
      </c>
      <c r="P28" s="32" t="str">
        <f>VLOOKUP($G28,'Hoja 10'!$F$4:$AA1057, 20,0)</f>
        <v>WHP4000</v>
      </c>
      <c r="Q28" s="33" t="str">
        <f>VLOOKUP($G28,'Hoja 10'!$F$4:$AA1057, 21,0)</f>
        <v>https://www.cimasafety.com/careta-para-soldar-sellstrom-whp4000-adf-5-13--det--SEL-S26400</v>
      </c>
      <c r="R28" s="30" t="s">
        <v>1583</v>
      </c>
      <c r="S28" s="44" t="b">
        <v>1</v>
      </c>
      <c r="T28" s="39" t="str">
        <f>IFERROR(__xludf.DUMMYFUNCTION(" IF
( VLOOKUP($G28,IMPORTRANGE(""https://docs.google.com/spreadsheets/d/1Gpl6jkTg7sL4VDNimUm3S9Vi1i95esohXCF3wuKOE8c"", ""'CONSOLIDADO'!G5:AB""), 10, 0) &lt;&gt; 0, 
IFERROR(VLOOKUP($G28,IMPORTRANGE(""https://docs.google.com/spreadsheets/d/1Gpl6jkTg7sL4VDNimUm3"&amp;"S9Vi1i95esohXCF3wuKOE8c"", ""'CONSOLIDADO'!G5:AB""), 17, 0), ""-""),
""""
)"),"SELLSTROM")</f>
        <v>SELLSTROM</v>
      </c>
      <c r="U28" s="39" t="str">
        <f>IFERROR(__xludf.DUMMYFUNCTION(" IF
( VLOOKUP($G28,IMPORTRANGE(""https://docs.google.com/spreadsheets/d/1Gpl6jkTg7sL4VDNimUm3S9Vi1i95esohXCF3wuKOE8c"", ""'CONSOLIDADO'!G5:AB""), 10, 0) &lt;&gt; 0, 
IFERROR(VLOOKUP($G28,IMPORTRANGE(""https://docs.google.com/spreadsheets/d/1Gpl6jkTg7sL4VDNimUm3"&amp;"S9Vi1i95esohXCF3wuKOE8c"", ""'CONSOLIDADO'!G5:AB""), 18, 0), ""-""),
""""
)"),"WHP4000")</f>
        <v>WHP4000</v>
      </c>
      <c r="V28" s="39" t="str">
        <f>IFERROR(__xludf.DUMMYFUNCTION(" IF
( VLOOKUP($G28,IMPORTRANGE(""https://docs.google.com/spreadsheets/d/1Gpl6jkTg7sL4VDNimUm3S9Vi1i95esohXCF3wuKOE8c"", ""'CONSOLIDADO'!G5:AB""), 10, 0) &lt;&gt; 0, 
IFERROR(VLOOKUP($G28,IMPORTRANGE(""https://docs.google.com/spreadsheets/d/1Gpl6jkTg7sL4VDNimUm3"&amp;"S9Vi1i95esohXCF3wuKOE8c"", ""'CONSOLIDADO'!G5:AB""), 17, 0), ""-""),
""""
)"),"SELLSTROM")</f>
        <v>SELLSTROM</v>
      </c>
      <c r="W28" s="39" t="str">
        <f>IFERROR(__xludf.DUMMYFUNCTION(" IF
( VLOOKUP($G28,IMPORTRANGE(""https://docs.google.com/spreadsheets/d/1Gpl6jkTg7sL4VDNimUm3S9Vi1i95esohXCF3wuKOE8c"", ""'CONSOLIDADO'!G5:AB""), 10, 0) &lt;&gt; 0, 
IFERROR(VLOOKUP($G28,IMPORTRANGE(""https://docs.google.com/spreadsheets/d/1Gpl6jkTg7sL4VDNimUm3"&amp;"S9Vi1i95esohXCF3wuKOE8c"", ""'CONSOLIDADO'!G5:AB""), 18, 0), ""-""),
""""
)"),"WHP4000")</f>
        <v>WHP4000</v>
      </c>
      <c r="X28" s="39" t="b">
        <f t="shared" si="3"/>
        <v>1</v>
      </c>
      <c r="Y28" s="120" t="str">
        <f>IFERROR(__xludf.DUMMYFUNCTION(" IF
( VLOOKUP($G28,IMPORTRANGE(""https://docs.google.com/spreadsheets/d/1Gpl6jkTg7sL4VDNimUm3S9Vi1i95esohXCF3wuKOE8c"", ""'CONSOLIDADO'!G5:AB""), 10, 0) &lt;&gt; 0, 
IFERROR(VLOOKUP($G28,IMPORTRANGE(""https://docs.google.com/spreadsheets/d/1Gpl6jkTg7sL4VDNimUm3"&amp;"S9Vi1i95esohXCF3wuKOE8c"", ""'CONSOLIDADO'!G5:AB""), 19, 0), ""-""),
""""
)"),"https://www.cimasafety.com/careta-para-soldar-sellstrom-whp4000-adf-5-13--det--SEL-S26400")</f>
        <v>https://www.cimasafety.com/careta-para-soldar-sellstrom-whp4000-adf-5-13--det--SEL-S26400</v>
      </c>
      <c r="Z28" s="37" t="str">
        <f>IFERROR(__xludf.DUMMYFUNCTION("IFERROR(VLOOKUP(G28,IMPORTRANGE(""https://docs.google.com/spreadsheets/d/12RxCea4e5ggM7QGn1XE3FbLQa_-QbCNdBi90OdPjRqg"", ""'Plan de Compras'!D4:Q""), 12, 0), ""NO ESTÁ EN REQ"")"),"Técnica")</f>
        <v>Técnica</v>
      </c>
      <c r="AA28" s="37" t="str">
        <f>IFERROR(__xludf.DUMMYFUNCTION("IFERROR(VLOOKUP(G28,IMPORTRANGE(""https://docs.google.com/spreadsheets/d/12RxCea4e5ggM7QGn1XE3FbLQa_-QbCNdBi90OdPjRqg"", ""'Plan de Compras'!D4:Q""), 13, 0), """")"),"INTERNACIONAL")</f>
        <v>INTERNACIONAL</v>
      </c>
      <c r="AB28" s="32" t="str">
        <f>IFERROR(__xludf.DUMMYFUNCTION("IFERROR(VLOOKUP(G28,IMPORTRANGE(""https://docs.google.com/spreadsheets/d/12RxCea4e5ggM7QGn1XE3FbLQa_-QbCNdBi90OdPjRqg"", ""'Plan de Compras'!D4:Q""), 14, 0), """")"),"DIEGO ")</f>
        <v>DIEGO </v>
      </c>
      <c r="AC28" s="72" t="str">
        <f>IFERROR(__xludf.DUMMYFUNCTION("IFERROR(VLOOKUP(G28,IMPORTRANGE(""https://docs.google.com/spreadsheets/d/12RxCea4e5ggM7QGn1XE3FbLQa_-QbCNdBi90OdPjRqg"", ""'Plan de Compras'!D4:Q""), 4, 0), """")"),"CARETA DE SOLDAR FOTOSENSIBLE")</f>
        <v>CARETA DE SOLDAR FOTOSENSIBLE</v>
      </c>
      <c r="AD28" s="37" t="str">
        <f>IFERROR(__xludf.DUMMYFUNCTION("IFERROR(IF(OR(C28=TRUE,C28=""""),VLOOKUP(G28,IMPORTRANGE(""https://docs.google.com/spreadsheets/d/1z9A1Wq-kKrhRNG5RS2a2fKpY1wIhSVz2ZNmP2mOl588/edit?usp=sharing"",""REQ VF!E4:H""),4,0),""NO APLICA""),""GENERAR REQ"")"),"GENERAR REQ")</f>
        <v>GENERAR REQ</v>
      </c>
      <c r="AE28" s="32" t="str">
        <f>IFERROR(__xludf.DUMMYFUNCTION("IFERROR(QUERY(IMPORTRANGE(""https://docs.google.com/spreadsheets/d/1z9A1Wq-kKrhRNG5RS2a2fKpY1wIhSVz2ZNmP2mOl588/edit?usp=sharing"",""REQ VF!E4:Q""),""SELECT Col10, Col11, Col12 WHERE Col1 = '""&amp;G28&amp;""'"",0),""NO APLICA"")"),"NO APLICA")</f>
        <v>NO APLICA</v>
      </c>
      <c r="AF28" s="32"/>
      <c r="AG28" s="32"/>
      <c r="AH28" s="13"/>
      <c r="AI28" s="13"/>
    </row>
    <row r="29">
      <c r="A29" s="121">
        <v>23.0</v>
      </c>
      <c r="B29" s="43" t="b">
        <v>1</v>
      </c>
      <c r="C29" s="26" t="b">
        <v>0</v>
      </c>
      <c r="D29" s="26" t="s">
        <v>35</v>
      </c>
      <c r="E29" s="26" t="s">
        <v>1510</v>
      </c>
      <c r="F29" s="59" t="s">
        <v>1584</v>
      </c>
      <c r="G29" s="37" t="s">
        <v>1584</v>
      </c>
      <c r="H29" s="82" t="s">
        <v>1585</v>
      </c>
      <c r="I29" s="43">
        <f>SUMIFS('Hoja 10'!$O:$O,'Hoja 10'!$F:$F,$G29)</f>
        <v>6</v>
      </c>
      <c r="J29" s="26" t="str">
        <f>IFERROR(__xludf.DUMMYFUNCTION("VLOOKUP(G29,IMPORTRANGE(""https://docs.google.com/spreadsheets/d/12RxCea4e5ggM7QGn1XE3FbLQa_-QbCNdBi90OdPjRqg/edit?gid=1692403370#gid=1692403370"", ""'Plan de Compras'!D4:2432""), 8,0)"),"#N/A")</f>
        <v>#N/A</v>
      </c>
      <c r="K29" s="26" t="str">
        <f t="shared" si="1"/>
        <v>-</v>
      </c>
      <c r="L29" s="29" t="s">
        <v>296</v>
      </c>
      <c r="M29" s="30" t="s">
        <v>297</v>
      </c>
      <c r="N29" s="32"/>
      <c r="O29" s="32" t="str">
        <f>VLOOKUP($G29,'Hoja 10'!$F$4:$AA1057, 19,0)</f>
        <v>VAN OMMEN</v>
      </c>
      <c r="P29" s="32" t="str">
        <f>VLOOKUP($G29,'Hoja 10'!$F$4:$AA1057, 20,0)</f>
        <v>V66.450.193345 / V66.450.283540 / V66.460.344315</v>
      </c>
      <c r="Q29" s="33" t="str">
        <f>VLOOKUP($G29,'Hoja 10'!$F$4:$AA1057, 21,0)</f>
        <v>https://www.wikus.de/es/productos/hojas-de-sierra-de-cinta/hojas-de-sierra-de-cinta-bimetalicas/proflex-m42</v>
      </c>
      <c r="R29" s="30" t="s">
        <v>1586</v>
      </c>
      <c r="S29" s="34" t="b">
        <v>1</v>
      </c>
      <c r="T29" s="39" t="str">
        <f>IFERROR(__xludf.DUMMYFUNCTION(" IF
( VLOOKUP($G29,IMPORTRANGE(""https://docs.google.com/spreadsheets/d/1Gpl6jkTg7sL4VDNimUm3S9Vi1i95esohXCF3wuKOE8c"", ""'CONSOLIDADO'!G5:AB""), 10, 0) &lt;&gt; 0, 
IFERROR(VLOOKUP($G29,IMPORTRANGE(""https://docs.google.com/spreadsheets/d/1Gpl6jkTg7sL4VDNimUm3"&amp;"S9Vi1i95esohXCF3wuKOE8c"", ""'CONSOLIDADO'!G5:AB""), 17, 0), ""-""),
""""
)"),"VARIOS")</f>
        <v>VARIOS</v>
      </c>
      <c r="U29" s="39" t="str">
        <f>IFERROR(__xludf.DUMMYFUNCTION(" IF
( VLOOKUP($G29,IMPORTRANGE(""https://docs.google.com/spreadsheets/d/1Gpl6jkTg7sL4VDNimUm3S9Vi1i95esohXCF3wuKOE8c"", ""'CONSOLIDADO'!G5:AB""), 10, 0) &lt;&gt; 0, 
IFERROR(VLOOKUP($G29,IMPORTRANGE(""https://docs.google.com/spreadsheets/d/1Gpl6jkTg7sL4VDNimUm3"&amp;"S9Vi1i95esohXCF3wuKOE8c"", ""'CONSOLIDADO'!G5:AB""), 18, 0), ""-""),
""""
)"),"VARIOS")</f>
        <v>VARIOS</v>
      </c>
      <c r="V29" s="39" t="str">
        <f>IFERROR(__xludf.DUMMYFUNCTION(" IF
( VLOOKUP($G29,IMPORTRANGE(""https://docs.google.com/spreadsheets/d/1Gpl6jkTg7sL4VDNimUm3S9Vi1i95esohXCF3wuKOE8c"", ""'CONSOLIDADO'!G5:AB""), 10, 0) &lt;&gt; 0, 
IFERROR(VLOOKUP($G29,IMPORTRANGE(""https://docs.google.com/spreadsheets/d/1Gpl6jkTg7sL4VDNimUm3"&amp;"S9Vi1i95esohXCF3wuKOE8c"", ""'CONSOLIDADO'!G5:AB""), 17, 0), ""-""),
""""
)"),"VARIOS")</f>
        <v>VARIOS</v>
      </c>
      <c r="W29" s="39" t="str">
        <f>IFERROR(__xludf.DUMMYFUNCTION(" IF
( VLOOKUP($G29,IMPORTRANGE(""https://docs.google.com/spreadsheets/d/1Gpl6jkTg7sL4VDNimUm3S9Vi1i95esohXCF3wuKOE8c"", ""'CONSOLIDADO'!G5:AB""), 10, 0) &lt;&gt; 0, 
IFERROR(VLOOKUP($G29,IMPORTRANGE(""https://docs.google.com/spreadsheets/d/1Gpl6jkTg7sL4VDNimUm3"&amp;"S9Vi1i95esohXCF3wuKOE8c"", ""'CONSOLIDADO'!G5:AB""), 18, 0), ""-""),
""""
)"),"VARIOS")</f>
        <v>VARIOS</v>
      </c>
      <c r="X29" s="39" t="b">
        <f t="shared" si="3"/>
        <v>1</v>
      </c>
      <c r="Y29" s="120" t="str">
        <f>IFERROR(__xludf.DUMMYFUNCTION(" IF
( VLOOKUP($G29,IMPORTRANGE(""https://docs.google.com/spreadsheets/d/1Gpl6jkTg7sL4VDNimUm3S9Vi1i95esohXCF3wuKOE8c"", ""'CONSOLIDADO'!G5:AB""), 10, 0) &lt;&gt; 0, 
IFERROR(VLOOKUP($G29,IMPORTRANGE(""https://docs.google.com/spreadsheets/d/1Gpl6jkTg7sL4VDNimUm3"&amp;"S9Vi1i95esohXCF3wuKOE8c"", ""'CONSOLIDADO'!G5:AB""), 19, 0), ""-""),
""""
)"),"https://www.wikus.de/es/productos/hojas-de-sierra-de-cinta/hojas-de-sierra-de-cinta-bimetalicas/proflex-m42")</f>
        <v>https://www.wikus.de/es/productos/hojas-de-sierra-de-cinta/hojas-de-sierra-de-cinta-bimetalicas/proflex-m42</v>
      </c>
      <c r="Z29" s="37" t="str">
        <f>IFERROR(__xludf.DUMMYFUNCTION("IFERROR(VLOOKUP(G29,IMPORTRANGE(""https://docs.google.com/spreadsheets/d/12RxCea4e5ggM7QGn1XE3FbLQa_-QbCNdBi90OdPjRqg"", ""'Plan de Compras'!D4:Q""), 12, 0), ""NO ESTÁ EN REQ"")"),"NO ESTÁ EN REQ")</f>
        <v>NO ESTÁ EN REQ</v>
      </c>
      <c r="AA29" s="37" t="str">
        <f>IFERROR(__xludf.DUMMYFUNCTION("IFERROR(VLOOKUP(G29,IMPORTRANGE(""https://docs.google.com/spreadsheets/d/12RxCea4e5ggM7QGn1XE3FbLQa_-QbCNdBi90OdPjRqg"", ""'Plan de Compras'!D4:Q""), 13, 0), """")"),"")</f>
        <v/>
      </c>
      <c r="AB29" s="32" t="str">
        <f>IFERROR(__xludf.DUMMYFUNCTION("IFERROR(VLOOKUP(G29,IMPORTRANGE(""https://docs.google.com/spreadsheets/d/12RxCea4e5ggM7QGn1XE3FbLQa_-QbCNdBi90OdPjRqg"", ""'Plan de Compras'!D4:Q""), 14, 0), """")"),"")</f>
        <v/>
      </c>
      <c r="AC29" s="72" t="str">
        <f>IFERROR(__xludf.DUMMYFUNCTION("IFERROR(VLOOKUP(G29,IMPORTRANGE(""https://docs.google.com/spreadsheets/d/12RxCea4e5ggM7QGn1XE3FbLQa_-QbCNdBi90OdPjRqg"", ""'Plan de Compras'!D4:Q""), 4, 0), """")"),"")</f>
        <v/>
      </c>
      <c r="AD29" s="37" t="str">
        <f>IFERROR(__xludf.DUMMYFUNCTION("IFERROR(IF(OR(C29=TRUE,C29=""""),VLOOKUP(G29,IMPORTRANGE(""https://docs.google.com/spreadsheets/d/1z9A1Wq-kKrhRNG5RS2a2fKpY1wIhSVz2ZNmP2mOl588/edit?usp=sharing"",""REQ VF!E4:H""),4,0),""NO APLICA""),""GENERAR REQ"")"),"NO APLICA")</f>
        <v>NO APLICA</v>
      </c>
      <c r="AE29" s="32" t="str">
        <f>IFERROR(__xludf.DUMMYFUNCTION("IFERROR(QUERY(IMPORTRANGE(""https://docs.google.com/spreadsheets/d/1z9A1Wq-kKrhRNG5RS2a2fKpY1wIhSVz2ZNmP2mOl588/edit?usp=sharing"",""REQ VF!E4:Q""),""SELECT Col10, Col11, Col12 WHERE Col1 = '""&amp;G29&amp;""'"",0),""NO APLICA"")"),"NO APLICA")</f>
        <v>NO APLICA</v>
      </c>
      <c r="AF29" s="32"/>
      <c r="AG29" s="32"/>
      <c r="AH29" s="13"/>
      <c r="AI29" s="13"/>
    </row>
    <row r="30">
      <c r="A30" s="43"/>
      <c r="B30" s="43"/>
      <c r="C30" s="26" t="b">
        <v>1</v>
      </c>
      <c r="D30" s="26" t="s">
        <v>95</v>
      </c>
      <c r="E30" s="26" t="s">
        <v>1510</v>
      </c>
      <c r="F30" s="59" t="s">
        <v>1584</v>
      </c>
      <c r="G30" s="39" t="s">
        <v>1587</v>
      </c>
      <c r="H30" s="82" t="s">
        <v>1588</v>
      </c>
      <c r="I30" s="43">
        <v>6.0</v>
      </c>
      <c r="J30" s="26">
        <f>IFERROR(__xludf.DUMMYFUNCTION("VLOOKUP(G30,IMPORTRANGE(""https://docs.google.com/spreadsheets/d/12RxCea4e5ggM7QGn1XE3FbLQa_-QbCNdBi90OdPjRqg/edit?gid=1692403370#gid=1692403370"", ""'Plan de Compras'!D4:2432""), 8,0)"),6.0)</f>
        <v>6</v>
      </c>
      <c r="K30" s="26" t="str">
        <f t="shared" si="1"/>
        <v>SI</v>
      </c>
      <c r="L30" s="26"/>
      <c r="M30" s="32"/>
      <c r="N30" s="32"/>
      <c r="O30" s="32" t="s">
        <v>1589</v>
      </c>
      <c r="P30" s="32" t="s">
        <v>1590</v>
      </c>
      <c r="Q30" s="33" t="s">
        <v>1591</v>
      </c>
      <c r="R30" s="32"/>
      <c r="S30" s="34" t="b">
        <v>1</v>
      </c>
      <c r="T30" s="39" t="s">
        <v>1592</v>
      </c>
      <c r="U30" s="39" t="s">
        <v>99</v>
      </c>
      <c r="V30" s="39"/>
      <c r="W30" s="39"/>
      <c r="X30" s="39"/>
      <c r="Y30" s="124"/>
      <c r="Z30" s="37" t="str">
        <f>IFERROR(__xludf.DUMMYFUNCTION("IFERROR(VLOOKUP(G30,IMPORTRANGE(""https://docs.google.com/spreadsheets/d/12RxCea4e5ggM7QGn1XE3FbLQa_-QbCNdBi90OdPjRqg"", ""'Plan de Compras'!D4:Q""), 12, 0), ""NO ESTÁ EN REQ"")"),"Técnica")</f>
        <v>Técnica</v>
      </c>
      <c r="AA30" s="37" t="str">
        <f>IFERROR(__xludf.DUMMYFUNCTION("IFERROR(VLOOKUP(G30,IMPORTRANGE(""https://docs.google.com/spreadsheets/d/12RxCea4e5ggM7QGn1XE3FbLQa_-QbCNdBi90OdPjRqg"", ""'Plan de Compras'!D4:Q""), 13, 0), """")"),"INTERNACIONAL")</f>
        <v>INTERNACIONAL</v>
      </c>
      <c r="AB30" s="32" t="str">
        <f>IFERROR(__xludf.DUMMYFUNCTION("IFERROR(VLOOKUP(G30,IMPORTRANGE(""https://docs.google.com/spreadsheets/d/12RxCea4e5ggM7QGn1XE3FbLQa_-QbCNdBi90OdPjRqg"", ""'Plan de Compras'!D4:Q""), 14, 0), """")"),"GIANFRANCO")</f>
        <v>GIANFRANCO</v>
      </c>
      <c r="AC30" s="72" t="str">
        <f>IFERROR(__xludf.DUMMYFUNCTION("IFERROR(VLOOKUP(G30,IMPORTRANGE(""https://docs.google.com/spreadsheets/d/12RxCea4e5ggM7QGn1XE3FbLQa_-QbCNdBi90OdPjRqg"", ""'Plan de Compras'!D4:Q""), 4, 0), """")"),"CINTA DENTADA 13 MM X 0.65 MM (1 UND)")</f>
        <v>CINTA DENTADA 13 MM X 0.65 MM (1 UND)</v>
      </c>
      <c r="AD30" s="37" t="str">
        <f>IFERROR(__xludf.DUMMYFUNCTION("IFERROR(IF(OR(C30=TRUE,C30=""""),VLOOKUP(G30,IMPORTRANGE(""https://docs.google.com/spreadsheets/d/1z9A1Wq-kKrhRNG5RS2a2fKpY1wIhSVz2ZNmP2mOl588/edit?usp=sharing"",""REQ VF!E4:H""),4,0),""NO APLICA""),""GENERAR REQ"")"),"GENERAR REQ")</f>
        <v>GENERAR REQ</v>
      </c>
      <c r="AE30" s="32" t="str">
        <f>IFERROR(__xludf.DUMMYFUNCTION("IFERROR(QUERY(IMPORTRANGE(""https://docs.google.com/spreadsheets/d/1z9A1Wq-kKrhRNG5RS2a2fKpY1wIhSVz2ZNmP2mOl588/edit?usp=sharing"",""REQ VF!E4:Q""),""SELECT Col10, Col11, Col12 WHERE Col1 = '""&amp;G30&amp;""'"",0),""NO APLICA"")"),"NO APLICA")</f>
        <v>NO APLICA</v>
      </c>
      <c r="AF30" s="32"/>
      <c r="AG30" s="32"/>
      <c r="AH30" s="13"/>
      <c r="AI30" s="13"/>
    </row>
    <row r="31">
      <c r="A31" s="43"/>
      <c r="B31" s="43"/>
      <c r="C31" s="26" t="b">
        <v>1</v>
      </c>
      <c r="D31" s="26" t="s">
        <v>95</v>
      </c>
      <c r="E31" s="26" t="s">
        <v>1510</v>
      </c>
      <c r="F31" s="59" t="s">
        <v>1584</v>
      </c>
      <c r="G31" s="39" t="s">
        <v>1593</v>
      </c>
      <c r="H31" s="82" t="s">
        <v>1594</v>
      </c>
      <c r="I31" s="43">
        <v>6.0</v>
      </c>
      <c r="J31" s="26">
        <f>IFERROR(__xludf.DUMMYFUNCTION("VLOOKUP(G31,IMPORTRANGE(""https://docs.google.com/spreadsheets/d/12RxCea4e5ggM7QGn1XE3FbLQa_-QbCNdBi90OdPjRqg/edit?gid=1692403370#gid=1692403370"", ""'Plan de Compras'!D4:2432""), 8,0)"),6.0)</f>
        <v>6</v>
      </c>
      <c r="K31" s="26" t="str">
        <f t="shared" si="1"/>
        <v>SI</v>
      </c>
      <c r="L31" s="26"/>
      <c r="M31" s="32"/>
      <c r="N31" s="32"/>
      <c r="O31" s="32" t="s">
        <v>1589</v>
      </c>
      <c r="P31" s="32" t="s">
        <v>1595</v>
      </c>
      <c r="Q31" s="33" t="s">
        <v>1596</v>
      </c>
      <c r="R31" s="32"/>
      <c r="S31" s="34" t="b">
        <v>1</v>
      </c>
      <c r="T31" s="39" t="s">
        <v>1597</v>
      </c>
      <c r="U31" s="39">
        <v>5160433.0</v>
      </c>
      <c r="V31" s="39"/>
      <c r="W31" s="39"/>
      <c r="X31" s="39"/>
      <c r="Y31" s="125" t="s">
        <v>1598</v>
      </c>
      <c r="Z31" s="37" t="str">
        <f>IFERROR(__xludf.DUMMYFUNCTION("IFERROR(VLOOKUP(G31,IMPORTRANGE(""https://docs.google.com/spreadsheets/d/12RxCea4e5ggM7QGn1XE3FbLQa_-QbCNdBi90OdPjRqg"", ""'Plan de Compras'!D4:Q""), 12, 0), ""NO ESTÁ EN REQ"")"),"Técnica")</f>
        <v>Técnica</v>
      </c>
      <c r="AA31" s="37" t="str">
        <f>IFERROR(__xludf.DUMMYFUNCTION("IFERROR(VLOOKUP(G31,IMPORTRANGE(""https://docs.google.com/spreadsheets/d/12RxCea4e5ggM7QGn1XE3FbLQa_-QbCNdBi90OdPjRqg"", ""'Plan de Compras'!D4:Q""), 13, 0), """")"),"INTERNACIONAL")</f>
        <v>INTERNACIONAL</v>
      </c>
      <c r="AB31" s="32" t="str">
        <f>IFERROR(__xludf.DUMMYFUNCTION("IFERROR(VLOOKUP(G31,IMPORTRANGE(""https://docs.google.com/spreadsheets/d/12RxCea4e5ggM7QGn1XE3FbLQa_-QbCNdBi90OdPjRqg"", ""'Plan de Compras'!D4:Q""), 14, 0), """")"),"GIANFRANCO")</f>
        <v>GIANFRANCO</v>
      </c>
      <c r="AC31" s="72" t="str">
        <f>IFERROR(__xludf.DUMMYFUNCTION("IFERROR(VLOOKUP(G31,IMPORTRANGE(""https://docs.google.com/spreadsheets/d/12RxCea4e5ggM7QGn1XE3FbLQa_-QbCNdBi90OdPjRqg"", ""'Plan de Compras'!D4:Q""), 4, 0), """")"),"CINTA DENTADA 16 MM X 0.8 MM (1 UND)")</f>
        <v>CINTA DENTADA 16 MM X 0.8 MM (1 UND)</v>
      </c>
      <c r="AD31" s="37" t="str">
        <f>IFERROR(__xludf.DUMMYFUNCTION("IFERROR(IF(OR(C31=TRUE,C31=""""),VLOOKUP(G31,IMPORTRANGE(""https://docs.google.com/spreadsheets/d/1z9A1Wq-kKrhRNG5RS2a2fKpY1wIhSVz2ZNmP2mOl588/edit?usp=sharing"",""REQ VF!E4:H""),4,0),""NO APLICA""),""GENERAR REQ"")"),"GENERAR REQ")</f>
        <v>GENERAR REQ</v>
      </c>
      <c r="AE31" s="32" t="str">
        <f>IFERROR(__xludf.DUMMYFUNCTION("IFERROR(QUERY(IMPORTRANGE(""https://docs.google.com/spreadsheets/d/1z9A1Wq-kKrhRNG5RS2a2fKpY1wIhSVz2ZNmP2mOl588/edit?usp=sharing"",""REQ VF!E4:Q""),""SELECT Col10, Col11, Col12 WHERE Col1 = '""&amp;G31&amp;""'"",0),""NO APLICA"")"),"NO APLICA")</f>
        <v>NO APLICA</v>
      </c>
      <c r="AF31" s="32"/>
      <c r="AG31" s="32"/>
      <c r="AH31" s="13"/>
      <c r="AI31" s="13"/>
    </row>
    <row r="32">
      <c r="A32" s="43"/>
      <c r="B32" s="43"/>
      <c r="C32" s="26" t="b">
        <v>1</v>
      </c>
      <c r="D32" s="26" t="s">
        <v>95</v>
      </c>
      <c r="E32" s="26" t="s">
        <v>1510</v>
      </c>
      <c r="F32" s="59" t="s">
        <v>1584</v>
      </c>
      <c r="G32" s="39" t="s">
        <v>1599</v>
      </c>
      <c r="H32" s="82" t="s">
        <v>1600</v>
      </c>
      <c r="I32" s="43">
        <v>6.0</v>
      </c>
      <c r="J32" s="26">
        <f>IFERROR(__xludf.DUMMYFUNCTION("VLOOKUP(G32,IMPORTRANGE(""https://docs.google.com/spreadsheets/d/12RxCea4e5ggM7QGn1XE3FbLQa_-QbCNdBi90OdPjRqg/edit?gid=1692403370#gid=1692403370"", ""'Plan de Compras'!D4:2432""), 8,0)"),6.0)</f>
        <v>6</v>
      </c>
      <c r="K32" s="26" t="str">
        <f t="shared" si="1"/>
        <v>SI</v>
      </c>
      <c r="L32" s="26"/>
      <c r="M32" s="32"/>
      <c r="N32" s="32"/>
      <c r="O32" s="32" t="s">
        <v>1589</v>
      </c>
      <c r="P32" s="32" t="s">
        <v>1601</v>
      </c>
      <c r="Q32" s="33" t="s">
        <v>1602</v>
      </c>
      <c r="R32" s="32"/>
      <c r="S32" s="34" t="b">
        <v>1</v>
      </c>
      <c r="T32" s="39" t="s">
        <v>1597</v>
      </c>
      <c r="U32" s="39">
        <v>5160435.0</v>
      </c>
      <c r="V32" s="39"/>
      <c r="W32" s="39"/>
      <c r="X32" s="39"/>
      <c r="Y32" s="125" t="s">
        <v>1603</v>
      </c>
      <c r="Z32" s="37" t="str">
        <f>IFERROR(__xludf.DUMMYFUNCTION("IFERROR(VLOOKUP(G32,IMPORTRANGE(""https://docs.google.com/spreadsheets/d/12RxCea4e5ggM7QGn1XE3FbLQa_-QbCNdBi90OdPjRqg"", ""'Plan de Compras'!D4:Q""), 12, 0), ""NO ESTÁ EN REQ"")"),"Técnica")</f>
        <v>Técnica</v>
      </c>
      <c r="AA32" s="37" t="str">
        <f>IFERROR(__xludf.DUMMYFUNCTION("IFERROR(VLOOKUP(G32,IMPORTRANGE(""https://docs.google.com/spreadsheets/d/12RxCea4e5ggM7QGn1XE3FbLQa_-QbCNdBi90OdPjRqg"", ""'Plan de Compras'!D4:Q""), 13, 0), """")"),"INTERNACIONAL")</f>
        <v>INTERNACIONAL</v>
      </c>
      <c r="AB32" s="32" t="str">
        <f>IFERROR(__xludf.DUMMYFUNCTION("IFERROR(VLOOKUP(G32,IMPORTRANGE(""https://docs.google.com/spreadsheets/d/12RxCea4e5ggM7QGn1XE3FbLQa_-QbCNdBi90OdPjRqg"", ""'Plan de Compras'!D4:Q""), 14, 0), """")"),"GIANFRANCO")</f>
        <v>GIANFRANCO</v>
      </c>
      <c r="AC32" s="72" t="str">
        <f>IFERROR(__xludf.DUMMYFUNCTION("IFERROR(VLOOKUP(G32,IMPORTRANGE(""https://docs.google.com/spreadsheets/d/12RxCea4e5ggM7QGn1XE3FbLQa_-QbCNdBi90OdPjRqg"", ""'Plan de Compras'!D4:Q""), 4, 0), """")"),"CINTA DENTADA 25 MM X 0.5 MM (1 UND)")</f>
        <v>CINTA DENTADA 25 MM X 0.5 MM (1 UND)</v>
      </c>
      <c r="AD32" s="37" t="str">
        <f>IFERROR(__xludf.DUMMYFUNCTION("IFERROR(IF(OR(C32=TRUE,C32=""""),VLOOKUP(G32,IMPORTRANGE(""https://docs.google.com/spreadsheets/d/1z9A1Wq-kKrhRNG5RS2a2fKpY1wIhSVz2ZNmP2mOl588/edit?usp=sharing"",""REQ VF!E4:H""),4,0),""NO APLICA""),""GENERAR REQ"")"),"GENERAR REQ")</f>
        <v>GENERAR REQ</v>
      </c>
      <c r="AE32" s="32" t="str">
        <f>IFERROR(__xludf.DUMMYFUNCTION("IFERROR(QUERY(IMPORTRANGE(""https://docs.google.com/spreadsheets/d/1z9A1Wq-kKrhRNG5RS2a2fKpY1wIhSVz2ZNmP2mOl588/edit?usp=sharing"",""REQ VF!E4:Q""),""SELECT Col10, Col11, Col12 WHERE Col1 = '""&amp;G32&amp;""'"",0),""NO APLICA"")"),"NO APLICA")</f>
        <v>NO APLICA</v>
      </c>
      <c r="AF32" s="32"/>
      <c r="AG32" s="32"/>
      <c r="AH32" s="13"/>
      <c r="AI32" s="13"/>
    </row>
    <row r="33">
      <c r="A33" s="121">
        <v>24.0</v>
      </c>
      <c r="B33" s="43" t="b">
        <v>1</v>
      </c>
      <c r="C33" s="26" t="b">
        <v>1</v>
      </c>
      <c r="D33" s="26" t="s">
        <v>35</v>
      </c>
      <c r="E33" s="26" t="s">
        <v>1510</v>
      </c>
      <c r="F33" s="59" t="s">
        <v>1604</v>
      </c>
      <c r="G33" s="37" t="s">
        <v>1604</v>
      </c>
      <c r="H33" s="82" t="s">
        <v>1605</v>
      </c>
      <c r="I33" s="43">
        <f>SUMIFS('Hoja 10'!$O:$O,'Hoja 10'!$F:$F,$G33)</f>
        <v>4</v>
      </c>
      <c r="J33" s="26">
        <f>IFERROR(__xludf.DUMMYFUNCTION("VLOOKUP(G33,IMPORTRANGE(""https://docs.google.com/spreadsheets/d/12RxCea4e5ggM7QGn1XE3FbLQa_-QbCNdBi90OdPjRqg/edit?gid=1692403370#gid=1692403370"", ""'Plan de Compras'!D4:2432""), 8,0)"),4.0)</f>
        <v>4</v>
      </c>
      <c r="K33" s="26" t="str">
        <f t="shared" si="1"/>
        <v>SI</v>
      </c>
      <c r="L33" s="29" t="s">
        <v>339</v>
      </c>
      <c r="M33" s="30" t="s">
        <v>340</v>
      </c>
      <c r="N33" s="32"/>
      <c r="O33" s="32" t="str">
        <f>VLOOKUP($G33,'Hoja 10'!$F$4:$AA1057, 19,0)</f>
        <v>RAZER</v>
      </c>
      <c r="P33" s="32" t="str">
        <f>VLOOKUP($G33,'Hoja 10'!$F$4:$AA1057, 20,0)</f>
        <v>RAZER</v>
      </c>
      <c r="Q33" s="33" t="str">
        <f>VLOOKUP($G33,'Hoja 10'!$F$4:$AA1057, 21,0)</f>
        <v>https://www.falabella.com.pe/falabella-pe/product/136016854/Guillotina-A4-Oficio-Razer-Yide-color-azul-10-hojas/136016855</v>
      </c>
      <c r="R33" s="30" t="s">
        <v>1606</v>
      </c>
      <c r="S33" s="44" t="b">
        <v>1</v>
      </c>
      <c r="T33" s="39" t="str">
        <f>IFERROR(__xludf.DUMMYFUNCTION(" IF
( VLOOKUP($G33,IMPORTRANGE(""https://docs.google.com/spreadsheets/d/1Gpl6jkTg7sL4VDNimUm3S9Vi1i95esohXCF3wuKOE8c"", ""'CONSOLIDADO'!G5:AB""), 10, 0) &lt;&gt; 0, 
IFERROR(VLOOKUP($G33,IMPORTRANGE(""https://docs.google.com/spreadsheets/d/1Gpl6jkTg7sL4VDNimUm3"&amp;"S9Vi1i95esohXCF3wuKOE8c"", ""'CONSOLIDADO'!G5:AB""), 17, 0), ""-""),
""""
)"),"RAZER")</f>
        <v>RAZER</v>
      </c>
      <c r="U33" s="39" t="str">
        <f>IFERROR(__xludf.DUMMYFUNCTION(" IF
( VLOOKUP($G33,IMPORTRANGE(""https://docs.google.com/spreadsheets/d/1Gpl6jkTg7sL4VDNimUm3S9Vi1i95esohXCF3wuKOE8c"", ""'CONSOLIDADO'!G5:AB""), 10, 0) &lt;&gt; 0, 
IFERROR(VLOOKUP($G33,IMPORTRANGE(""https://docs.google.com/spreadsheets/d/1Gpl6jkTg7sL4VDNimUm3"&amp;"S9Vi1i95esohXCF3wuKOE8c"", ""'CONSOLIDADO'!G5:AB""), 18, 0), ""-""),
""""
)"),"800 COLOR AZUL")</f>
        <v>800 COLOR AZUL</v>
      </c>
      <c r="V33" s="39" t="str">
        <f>IFERROR(__xludf.DUMMYFUNCTION(" IF
( VLOOKUP($G33,IMPORTRANGE(""https://docs.google.com/spreadsheets/d/1Gpl6jkTg7sL4VDNimUm3S9Vi1i95esohXCF3wuKOE8c"", ""'CONSOLIDADO'!G5:AB""), 10, 0) &lt;&gt; 0, 
IFERROR(VLOOKUP($G33,IMPORTRANGE(""https://docs.google.com/spreadsheets/d/1Gpl6jkTg7sL4VDNimUm3"&amp;"S9Vi1i95esohXCF3wuKOE8c"", ""'CONSOLIDADO'!G5:AB""), 17, 0), ""-""),
""""
)"),"RAZER")</f>
        <v>RAZER</v>
      </c>
      <c r="W33" s="39" t="str">
        <f>IFERROR(__xludf.DUMMYFUNCTION(" IF
( VLOOKUP($G33,IMPORTRANGE(""https://docs.google.com/spreadsheets/d/1Gpl6jkTg7sL4VDNimUm3S9Vi1i95esohXCF3wuKOE8c"", ""'CONSOLIDADO'!G5:AB""), 10, 0) &lt;&gt; 0, 
IFERROR(VLOOKUP($G33,IMPORTRANGE(""https://docs.google.com/spreadsheets/d/1Gpl6jkTg7sL4VDNimUm3"&amp;"S9Vi1i95esohXCF3wuKOE8c"", ""'CONSOLIDADO'!G5:AB""), 18, 0), ""-""),
""""
)"),"800 COLOR AZUL")</f>
        <v>800 COLOR AZUL</v>
      </c>
      <c r="X33" s="39" t="b">
        <f t="shared" ref="X33:X34" si="4">IF(AND(T33=V33,W33=U33),TRUE,FALSE)</f>
        <v>1</v>
      </c>
      <c r="Y33" s="120" t="str">
        <f>IFERROR(__xludf.DUMMYFUNCTION(" IF
( VLOOKUP($G33,IMPORTRANGE(""https://docs.google.com/spreadsheets/d/1Gpl6jkTg7sL4VDNimUm3S9Vi1i95esohXCF3wuKOE8c"", ""'CONSOLIDADO'!G5:AB""), 10, 0) &lt;&gt; 0, 
IFERROR(VLOOKUP($G33,IMPORTRANGE(""https://docs.google.com/spreadsheets/d/1Gpl6jkTg7sL4VDNimUm3"&amp;"S9Vi1i95esohXCF3wuKOE8c"", ""'CONSOLIDADO'!G5:AB""), 19, 0), ""-""),
""""
)"),"https://durangoperu.online/guillotina-de-papel/guillotina-b4-oficio-razer-modelo-800-color-azul/?srsltid=AfmBOopTKp5tFKBw4ykpvyuhAmHD-wComUATbB7OlTkUAywTKxRZkdT1")</f>
        <v>https://durangoperu.online/guillotina-de-papel/guillotina-b4-oficio-razer-modelo-800-color-azul/?srsltid=AfmBOopTKp5tFKBw4ykpvyuhAmHD-wComUATbB7OlTkUAywTKxRZkdT1</v>
      </c>
      <c r="Z33" s="37" t="str">
        <f>IFERROR(__xludf.DUMMYFUNCTION("IFERROR(VLOOKUP(G33,IMPORTRANGE(""https://docs.google.com/spreadsheets/d/12RxCea4e5ggM7QGn1XE3FbLQa_-QbCNdBi90OdPjRqg"", ""'Plan de Compras'!D4:Q""), 12, 0), ""NO ESTÁ EN REQ"")"),"Simple")</f>
        <v>Simple</v>
      </c>
      <c r="AA33" s="37" t="str">
        <f>IFERROR(__xludf.DUMMYFUNCTION("IFERROR(VLOOKUP(G33,IMPORTRANGE(""https://docs.google.com/spreadsheets/d/12RxCea4e5ggM7QGn1XE3FbLQa_-QbCNdBi90OdPjRqg"", ""'Plan de Compras'!D4:Q""), 13, 0), """")"),"NACIONAL")</f>
        <v>NACIONAL</v>
      </c>
      <c r="AB33" s="32" t="str">
        <f>IFERROR(__xludf.DUMMYFUNCTION("IFERROR(VLOOKUP(G33,IMPORTRANGE(""https://docs.google.com/spreadsheets/d/12RxCea4e5ggM7QGn1XE3FbLQa_-QbCNdBi90OdPjRqg"", ""'Plan de Compras'!D4:Q""), 14, 0), """")"),"OMAR")</f>
        <v>OMAR</v>
      </c>
      <c r="AC33" s="72" t="str">
        <f>IFERROR(__xludf.DUMMYFUNCTION("IFERROR(VLOOKUP(G33,IMPORTRANGE(""https://docs.google.com/spreadsheets/d/12RxCea4e5ggM7QGn1XE3FbLQa_-QbCNdBi90OdPjRqg"", ""'Plan de Compras'!D4:Q""), 4, 0), """")"),"CIZALLA")</f>
        <v>CIZALLA</v>
      </c>
      <c r="AD33" s="37" t="str">
        <f>IFERROR(__xludf.DUMMYFUNCTION("IFERROR(IF(OR(C33=TRUE,C33=""""),VLOOKUP(G33,IMPORTRANGE(""https://docs.google.com/spreadsheets/d/1z9A1Wq-kKrhRNG5RS2a2fKpY1wIhSVz2ZNmP2mOl588/edit?usp=sharing"",""REQ VF!E4:H""),4,0),""NO APLICA""),""GENERAR REQ"")"),"GENERAR REQ")</f>
        <v>GENERAR REQ</v>
      </c>
      <c r="AE33" s="32" t="str">
        <f>IFERROR(__xludf.DUMMYFUNCTION("IFERROR(QUERY(IMPORTRANGE(""https://docs.google.com/spreadsheets/d/1z9A1Wq-kKrhRNG5RS2a2fKpY1wIhSVz2ZNmP2mOl588/edit?usp=sharing"",""REQ VF!E4:Q""),""SELECT Col10, Col11, Col12 WHERE Col1 = '""&amp;G33&amp;""'"",0),""NO APLICA"")"),"NO APLICA")</f>
        <v>NO APLICA</v>
      </c>
      <c r="AF33" s="32"/>
      <c r="AG33" s="32"/>
      <c r="AH33" s="8" t="s">
        <v>52</v>
      </c>
      <c r="AI33" s="13"/>
    </row>
    <row r="34">
      <c r="A34" s="117">
        <v>25.0</v>
      </c>
      <c r="B34" s="43" t="b">
        <v>1</v>
      </c>
      <c r="C34" s="26" t="b">
        <v>0</v>
      </c>
      <c r="D34" s="26" t="s">
        <v>35</v>
      </c>
      <c r="E34" s="26" t="s">
        <v>1510</v>
      </c>
      <c r="F34" s="59" t="s">
        <v>1607</v>
      </c>
      <c r="G34" s="37" t="s">
        <v>1607</v>
      </c>
      <c r="H34" s="82" t="s">
        <v>1608</v>
      </c>
      <c r="I34" s="43">
        <f>SUMIFS('Hoja 10'!$O:$O,'Hoja 10'!$F:$F,$G34)</f>
        <v>3</v>
      </c>
      <c r="J34" s="26" t="str">
        <f>IFERROR(__xludf.DUMMYFUNCTION("VLOOKUP(G34,IMPORTRANGE(""https://docs.google.com/spreadsheets/d/12RxCea4e5ggM7QGn1XE3FbLQa_-QbCNdBi90OdPjRqg/edit?gid=1692403370#gid=1692403370"", ""'Plan de Compras'!D4:2432""), 8,0)"),"#N/A")</f>
        <v>#N/A</v>
      </c>
      <c r="K34" s="26" t="str">
        <f t="shared" si="1"/>
        <v>-</v>
      </c>
      <c r="L34" s="29" t="s">
        <v>91</v>
      </c>
      <c r="M34" s="30" t="s">
        <v>92</v>
      </c>
      <c r="N34" s="32"/>
      <c r="O34" s="32" t="str">
        <f>VLOOKUP($G34,'Hoja 10'!$F$4:$AA1057, 19,0)</f>
        <v>Vogel</v>
      </c>
      <c r="P34" s="32">
        <f>VLOOKUP($G34,'Hoja 10'!$F$4:$AA1057, 20,0)</f>
        <v>302465</v>
      </c>
      <c r="Q34" s="33" t="str">
        <f>VLOOKUP($G34,'Hoja 10'!$F$4:$AA1057, 21,0)</f>
        <v>https://drive.google.com/file/d/1NuFXtOcMT9i5W5OnCzQ-7zV6qPyyioJT/view</v>
      </c>
      <c r="R34" s="30" t="s">
        <v>1609</v>
      </c>
      <c r="S34" s="34" t="b">
        <v>1</v>
      </c>
      <c r="T34" s="39" t="str">
        <f>IFERROR(__xludf.DUMMYFUNCTION(" IF
( VLOOKUP($G34,IMPORTRANGE(""https://docs.google.com/spreadsheets/d/1Gpl6jkTg7sL4VDNimUm3S9Vi1i95esohXCF3wuKOE8c"", ""'CONSOLIDADO'!G5:AB""), 10, 0) &lt;&gt; 0, 
IFERROR(VLOOKUP($G34,IMPORTRANGE(""https://docs.google.com/spreadsheets/d/1Gpl6jkTg7sL4VDNimUm3"&amp;"S9Vi1i95esohXCF3wuKOE8c"", ""'CONSOLIDADO'!G5:AB""), 17, 0), ""-""),
""""
)"),"VALSUR")</f>
        <v>VALSUR</v>
      </c>
      <c r="U34" s="39" t="str">
        <f>IFERROR(__xludf.DUMMYFUNCTION(" IF
( VLOOKUP($G34,IMPORTRANGE(""https://docs.google.com/spreadsheets/d/1Gpl6jkTg7sL4VDNimUm3S9Vi1i95esohXCF3wuKOE8c"", ""'CONSOLIDADO'!G5:AB""), 10, 0) &lt;&gt; 0, 
IFERROR(VLOOKUP($G34,IMPORTRANGE(""https://docs.google.com/spreadsheets/d/1Gpl6jkTg7sL4VDNimUm3"&amp;"S9Vi1i95esohXCF3wuKOE8c"", ""'CONSOLIDADO'!G5:AB""), 18, 0), ""-""),
""""
)"),"104535 / 
104532")</f>
        <v>104535 / 
104532</v>
      </c>
      <c r="V34" s="39" t="str">
        <f>IFERROR(__xludf.DUMMYFUNCTION(" IF
( VLOOKUP($G34,IMPORTRANGE(""https://docs.google.com/spreadsheets/d/1Gpl6jkTg7sL4VDNimUm3S9Vi1i95esohXCF3wuKOE8c"", ""'CONSOLIDADO'!G5:AB""), 10, 0) &lt;&gt; 0, 
IFERROR(VLOOKUP($G34,IMPORTRANGE(""https://docs.google.com/spreadsheets/d/1Gpl6jkTg7sL4VDNimUm3"&amp;"S9Vi1i95esohXCF3wuKOE8c"", ""'CONSOLIDADO'!G5:AB""), 17, 0), ""-""),
""""
)"),"VALSUR")</f>
        <v>VALSUR</v>
      </c>
      <c r="W34" s="39" t="str">
        <f>IFERROR(__xludf.DUMMYFUNCTION(" IF
( VLOOKUP($G34,IMPORTRANGE(""https://docs.google.com/spreadsheets/d/1Gpl6jkTg7sL4VDNimUm3S9Vi1i95esohXCF3wuKOE8c"", ""'CONSOLIDADO'!G5:AB""), 10, 0) &lt;&gt; 0, 
IFERROR(VLOOKUP($G34,IMPORTRANGE(""https://docs.google.com/spreadsheets/d/1Gpl6jkTg7sL4VDNimUm3"&amp;"S9Vi1i95esohXCF3wuKOE8c"", ""'CONSOLIDADO'!G5:AB""), 18, 0), ""-""),
""""
)"),"104535 / 
104532")</f>
        <v>104535 / 
104532</v>
      </c>
      <c r="X34" s="39" t="b">
        <f t="shared" si="4"/>
        <v>1</v>
      </c>
      <c r="Y34" s="120" t="str">
        <f>IFERROR(__xludf.DUMMYFUNCTION(" IF
( VLOOKUP($G34,IMPORTRANGE(""https://docs.google.com/spreadsheets/d/1Gpl6jkTg7sL4VDNimUm3S9Vi1i95esohXCF3wuKOE8c"", ""'CONSOLIDADO'!G5:AB""), 10, 0) &lt;&gt; 0, 
IFERROR(VLOOKUP($G34,IMPORTRANGE(""https://docs.google.com/spreadsheets/d/1Gpl6jkTg7sL4VDNimUm3"&amp;"S9Vi1i95esohXCF3wuKOE8c"", ""'CONSOLIDADO'!G5:AB""), 19, 0), ""-""),
""""
)"),"https://valsur.com/productos/medicion-y-control/herramientas-de-medicion/compases-y-transportadores-de-angulo/compas-plano-punt-acha?srsltid=AfmBOoqJJAg2x4nAghNecM8lKGfl12GAuxFpu7i64GXvptapJa5WJtdO&amp;utm_source=chatgpt.com")</f>
        <v>https://valsur.com/productos/medicion-y-control/herramientas-de-medicion/compases-y-transportadores-de-angulo/compas-plano-punt-acha?srsltid=AfmBOoqJJAg2x4nAghNecM8lKGfl12GAuxFpu7i64GXvptapJa5WJtdO&amp;utm_source=chatgpt.com</v>
      </c>
      <c r="Z34" s="37" t="str">
        <f>IFERROR(__xludf.DUMMYFUNCTION("IFERROR(VLOOKUP(G34,IMPORTRANGE(""https://docs.google.com/spreadsheets/d/12RxCea4e5ggM7QGn1XE3FbLQa_-QbCNdBi90OdPjRqg"", ""'Plan de Compras'!D4:Q""), 12, 0), ""NO ESTÁ EN REQ"")"),"NO ESTÁ EN REQ")</f>
        <v>NO ESTÁ EN REQ</v>
      </c>
      <c r="AA34" s="37" t="str">
        <f>IFERROR(__xludf.DUMMYFUNCTION("IFERROR(VLOOKUP(G34,IMPORTRANGE(""https://docs.google.com/spreadsheets/d/12RxCea4e5ggM7QGn1XE3FbLQa_-QbCNdBi90OdPjRqg"", ""'Plan de Compras'!D4:Q""), 13, 0), """")"),"")</f>
        <v/>
      </c>
      <c r="AB34" s="32" t="str">
        <f>IFERROR(__xludf.DUMMYFUNCTION("IFERROR(VLOOKUP(G34,IMPORTRANGE(""https://docs.google.com/spreadsheets/d/12RxCea4e5ggM7QGn1XE3FbLQa_-QbCNdBi90OdPjRqg"", ""'Plan de Compras'!D4:Q""), 14, 0), """")"),"")</f>
        <v/>
      </c>
      <c r="AC34" s="72" t="str">
        <f>IFERROR(__xludf.DUMMYFUNCTION("IFERROR(VLOOKUP(G34,IMPORTRANGE(""https://docs.google.com/spreadsheets/d/12RxCea4e5ggM7QGn1XE3FbLQa_-QbCNdBi90OdPjRqg"", ""'Plan de Compras'!D4:Q""), 4, 0), """")"),"")</f>
        <v/>
      </c>
      <c r="AD34" s="37" t="str">
        <f>IFERROR(__xludf.DUMMYFUNCTION("IFERROR(IF(OR(C34=TRUE,C34=""""),VLOOKUP(G34,IMPORTRANGE(""https://docs.google.com/spreadsheets/d/1z9A1Wq-kKrhRNG5RS2a2fKpY1wIhSVz2ZNmP2mOl588/edit?usp=sharing"",""REQ VF!E4:H""),4,0),""NO APLICA""),""GENERAR REQ"")"),"NO APLICA")</f>
        <v>NO APLICA</v>
      </c>
      <c r="AE34" s="32" t="str">
        <f>IFERROR(__xludf.DUMMYFUNCTION("IFERROR(QUERY(IMPORTRANGE(""https://docs.google.com/spreadsheets/d/1z9A1Wq-kKrhRNG5RS2a2fKpY1wIhSVz2ZNmP2mOl588/edit?usp=sharing"",""REQ VF!E4:Q""),""SELECT Col10, Col11, Col12 WHERE Col1 = '""&amp;G34&amp;""'"",0),""NO APLICA"")"),"NO APLICA")</f>
        <v>NO APLICA</v>
      </c>
      <c r="AF34" s="32"/>
      <c r="AG34" s="32"/>
      <c r="AH34" s="13"/>
      <c r="AI34" s="13"/>
    </row>
    <row r="35">
      <c r="A35" s="43"/>
      <c r="B35" s="43"/>
      <c r="C35" s="26" t="b">
        <v>1</v>
      </c>
      <c r="D35" s="26" t="s">
        <v>95</v>
      </c>
      <c r="E35" s="26" t="s">
        <v>1510</v>
      </c>
      <c r="F35" s="59" t="s">
        <v>1607</v>
      </c>
      <c r="G35" s="39" t="s">
        <v>1610</v>
      </c>
      <c r="H35" s="66" t="s">
        <v>1611</v>
      </c>
      <c r="I35" s="43">
        <v>3.0</v>
      </c>
      <c r="J35" s="26">
        <f>IFERROR(__xludf.DUMMYFUNCTION("VLOOKUP(G35,IMPORTRANGE(""https://docs.google.com/spreadsheets/d/12RxCea4e5ggM7QGn1XE3FbLQa_-QbCNdBi90OdPjRqg/edit?gid=1692403370#gid=1692403370"", ""'Plan de Compras'!D4:2432""), 8,0)"),3.0)</f>
        <v>3</v>
      </c>
      <c r="K35" s="26" t="str">
        <f t="shared" si="1"/>
        <v>SI</v>
      </c>
      <c r="L35" s="26"/>
      <c r="M35" s="32"/>
      <c r="N35" s="32" t="s">
        <v>1612</v>
      </c>
      <c r="O35" s="32" t="s">
        <v>1613</v>
      </c>
      <c r="P35" s="32">
        <v>302445.0</v>
      </c>
      <c r="Q35" s="46" t="s">
        <v>1614</v>
      </c>
      <c r="R35" s="32"/>
      <c r="S35" s="44" t="b">
        <v>1</v>
      </c>
      <c r="T35" s="39" t="s">
        <v>1615</v>
      </c>
      <c r="U35" s="39">
        <v>104535.0</v>
      </c>
      <c r="V35" s="39"/>
      <c r="W35" s="39"/>
      <c r="X35" s="39"/>
      <c r="Y35" s="125" t="s">
        <v>1616</v>
      </c>
      <c r="Z35" s="37" t="str">
        <f>IFERROR(__xludf.DUMMYFUNCTION("IFERROR(VLOOKUP(G35,IMPORTRANGE(""https://docs.google.com/spreadsheets/d/12RxCea4e5ggM7QGn1XE3FbLQa_-QbCNdBi90OdPjRqg"", ""'Plan de Compras'!D4:Q""), 12, 0), ""NO ESTÁ EN REQ"")"),"Técnica")</f>
        <v>Técnica</v>
      </c>
      <c r="AA35" s="37" t="str">
        <f>IFERROR(__xludf.DUMMYFUNCTION("IFERROR(VLOOKUP(G35,IMPORTRANGE(""https://docs.google.com/spreadsheets/d/12RxCea4e5ggM7QGn1XE3FbLQa_-QbCNdBi90OdPjRqg"", ""'Plan de Compras'!D4:Q""), 13, 0), """")"),"INTERNACIONAL")</f>
        <v>INTERNACIONAL</v>
      </c>
      <c r="AB35" s="32" t="str">
        <f>IFERROR(__xludf.DUMMYFUNCTION("IFERROR(VLOOKUP(G35,IMPORTRANGE(""https://docs.google.com/spreadsheets/d/12RxCea4e5ggM7QGn1XE3FbLQa_-QbCNdBi90OdPjRqg"", ""'Plan de Compras'!D4:Q""), 14, 0), """")"),"GIANFRANCO")</f>
        <v>GIANFRANCO</v>
      </c>
      <c r="AC35" s="72" t="str">
        <f>IFERROR(__xludf.DUMMYFUNCTION("IFERROR(VLOOKUP(G35,IMPORTRANGE(""https://docs.google.com/spreadsheets/d/12RxCea4e5ggM7QGn1XE3FbLQa_-QbCNdBi90OdPjRqg"", ""'Plan de Compras'!D4:Q""), 4, 0), """")"),"PUNTA PARA MEDIDA INTERIOR (1 UND)")</f>
        <v>PUNTA PARA MEDIDA INTERIOR (1 UND)</v>
      </c>
      <c r="AD35" s="37" t="str">
        <f>IFERROR(__xludf.DUMMYFUNCTION("IFERROR(IF(OR(C35=TRUE,C35=""""),VLOOKUP(G35,IMPORTRANGE(""https://docs.google.com/spreadsheets/d/1z9A1Wq-kKrhRNG5RS2a2fKpY1wIhSVz2ZNmP2mOl588/edit?usp=sharing"",""REQ VF!E4:H""),4,0),""NO APLICA""),""GENERAR REQ"")"),"GENERAR REQ")</f>
        <v>GENERAR REQ</v>
      </c>
      <c r="AE35" s="32" t="str">
        <f>IFERROR(__xludf.DUMMYFUNCTION("IFERROR(QUERY(IMPORTRANGE(""https://docs.google.com/spreadsheets/d/1z9A1Wq-kKrhRNG5RS2a2fKpY1wIhSVz2ZNmP2mOl588/edit?usp=sharing"",""REQ VF!E4:Q""),""SELECT Col10, Col11, Col12 WHERE Col1 = '""&amp;G35&amp;""'"",0),""NO APLICA"")"),"NO APLICA")</f>
        <v>NO APLICA</v>
      </c>
      <c r="AF35" s="32"/>
      <c r="AG35" s="32"/>
      <c r="AH35" s="13"/>
      <c r="AI35" s="13"/>
    </row>
    <row r="36">
      <c r="A36" s="43"/>
      <c r="B36" s="43"/>
      <c r="C36" s="26" t="b">
        <v>1</v>
      </c>
      <c r="D36" s="26" t="s">
        <v>95</v>
      </c>
      <c r="E36" s="26" t="s">
        <v>1510</v>
      </c>
      <c r="F36" s="59" t="s">
        <v>1607</v>
      </c>
      <c r="G36" s="39" t="s">
        <v>1617</v>
      </c>
      <c r="H36" s="66" t="s">
        <v>1618</v>
      </c>
      <c r="I36" s="43">
        <v>3.0</v>
      </c>
      <c r="J36" s="26">
        <f>IFERROR(__xludf.DUMMYFUNCTION("VLOOKUP(G36,IMPORTRANGE(""https://docs.google.com/spreadsheets/d/12RxCea4e5ggM7QGn1XE3FbLQa_-QbCNdBi90OdPjRqg/edit?gid=1692403370#gid=1692403370"", ""'Plan de Compras'!D4:2432""), 8,0)"),3.0)</f>
        <v>3</v>
      </c>
      <c r="K36" s="26" t="str">
        <f t="shared" si="1"/>
        <v>SI</v>
      </c>
      <c r="L36" s="26"/>
      <c r="M36" s="32"/>
      <c r="N36" s="32" t="s">
        <v>1619</v>
      </c>
      <c r="O36" s="32" t="s">
        <v>1613</v>
      </c>
      <c r="P36" s="32">
        <v>302465.0</v>
      </c>
      <c r="Q36" s="46" t="s">
        <v>1620</v>
      </c>
      <c r="R36" s="32"/>
      <c r="S36" s="44" t="b">
        <v>1</v>
      </c>
      <c r="T36" s="39" t="s">
        <v>1615</v>
      </c>
      <c r="U36" s="39">
        <v>104532.0</v>
      </c>
      <c r="V36" s="39"/>
      <c r="W36" s="39"/>
      <c r="X36" s="39"/>
      <c r="Y36" s="126" t="s">
        <v>1621</v>
      </c>
      <c r="Z36" s="37" t="str">
        <f>IFERROR(__xludf.DUMMYFUNCTION("IFERROR(VLOOKUP(G36,IMPORTRANGE(""https://docs.google.com/spreadsheets/d/12RxCea4e5ggM7QGn1XE3FbLQa_-QbCNdBi90OdPjRqg"", ""'Plan de Compras'!D4:Q""), 12, 0), ""NO ESTÁ EN REQ"")"),"Técnica")</f>
        <v>Técnica</v>
      </c>
      <c r="AA36" s="37" t="str">
        <f>IFERROR(__xludf.DUMMYFUNCTION("IFERROR(VLOOKUP(G36,IMPORTRANGE(""https://docs.google.com/spreadsheets/d/12RxCea4e5ggM7QGn1XE3FbLQa_-QbCNdBi90OdPjRqg"", ""'Plan de Compras'!D4:Q""), 13, 0), """")"),"INTERNACIONAL")</f>
        <v>INTERNACIONAL</v>
      </c>
      <c r="AB36" s="32" t="str">
        <f>IFERROR(__xludf.DUMMYFUNCTION("IFERROR(VLOOKUP(G36,IMPORTRANGE(""https://docs.google.com/spreadsheets/d/12RxCea4e5ggM7QGn1XE3FbLQa_-QbCNdBi90OdPjRqg"", ""'Plan de Compras'!D4:Q""), 14, 0), """")"),"GIANFRANCO")</f>
        <v>GIANFRANCO</v>
      </c>
      <c r="AC36" s="72" t="str">
        <f>IFERROR(__xludf.DUMMYFUNCTION("IFERROR(VLOOKUP(G36,IMPORTRANGE(""https://docs.google.com/spreadsheets/d/12RxCea4e5ggM7QGn1XE3FbLQa_-QbCNdBi90OdPjRqg"", ""'Plan de Compras'!D4:Q""), 4, 0), """")"),"PUNTA PARA MEDIDA EXTERIOR (1 UND)")</f>
        <v>PUNTA PARA MEDIDA EXTERIOR (1 UND)</v>
      </c>
      <c r="AD36" s="37" t="str">
        <f>IFERROR(__xludf.DUMMYFUNCTION("IFERROR(IF(OR(C36=TRUE,C36=""""),VLOOKUP(G36,IMPORTRANGE(""https://docs.google.com/spreadsheets/d/1z9A1Wq-kKrhRNG5RS2a2fKpY1wIhSVz2ZNmP2mOl588/edit?usp=sharing"",""REQ VF!E4:H""),4,0),""NO APLICA""),""GENERAR REQ"")"),"GENERAR REQ")</f>
        <v>GENERAR REQ</v>
      </c>
      <c r="AE36" s="32" t="str">
        <f>IFERROR(__xludf.DUMMYFUNCTION("IFERROR(QUERY(IMPORTRANGE(""https://docs.google.com/spreadsheets/d/1z9A1Wq-kKrhRNG5RS2a2fKpY1wIhSVz2ZNmP2mOl588/edit?usp=sharing"",""REQ VF!E4:Q""),""SELECT Col10, Col11, Col12 WHERE Col1 = '""&amp;G36&amp;""'"",0),""NO APLICA"")"),"NO APLICA")</f>
        <v>NO APLICA</v>
      </c>
      <c r="AF36" s="32"/>
      <c r="AG36" s="32"/>
      <c r="AH36" s="13"/>
      <c r="AI36" s="13"/>
    </row>
    <row r="37">
      <c r="A37" s="117">
        <v>26.0</v>
      </c>
      <c r="B37" s="43" t="b">
        <v>1</v>
      </c>
      <c r="C37" s="26" t="b">
        <v>1</v>
      </c>
      <c r="D37" s="26" t="s">
        <v>35</v>
      </c>
      <c r="E37" s="26" t="s">
        <v>1510</v>
      </c>
      <c r="F37" s="59" t="s">
        <v>1622</v>
      </c>
      <c r="G37" s="37" t="s">
        <v>1622</v>
      </c>
      <c r="H37" s="82" t="s">
        <v>1623</v>
      </c>
      <c r="I37" s="43">
        <f>SUMIFS('Hoja 10'!$O:$O,'Hoja 10'!$F:$F,$G37)</f>
        <v>3</v>
      </c>
      <c r="J37" s="26">
        <f>IFERROR(__xludf.DUMMYFUNCTION("VLOOKUP(G37,IMPORTRANGE(""https://docs.google.com/spreadsheets/d/12RxCea4e5ggM7QGn1XE3FbLQa_-QbCNdBi90OdPjRqg/edit?gid=1692403370#gid=1692403370"", ""'Plan de Compras'!D4:2432""), 8,0)"),3.0)</f>
        <v>3</v>
      </c>
      <c r="K37" s="26" t="str">
        <f t="shared" si="1"/>
        <v>SI</v>
      </c>
      <c r="L37" s="29" t="s">
        <v>127</v>
      </c>
      <c r="M37" s="30" t="s">
        <v>105</v>
      </c>
      <c r="N37" s="32"/>
      <c r="O37" s="32" t="str">
        <f>VLOOKUP($G37,'Hoja 10'!$F$4:$AA1057, 19,0)</f>
        <v>BGS technic KG</v>
      </c>
      <c r="P37" s="32" t="str">
        <f>VLOOKUP($G37,'Hoja 10'!$F$4:$AA1057, 20,0)</f>
        <v>T-582740</v>
      </c>
      <c r="Q37" s="33" t="str">
        <f>VLOOKUP($G37,'Hoja 10'!$F$4:$AA1057, 21,0)</f>
        <v>https://www.toolteam.com/en-GB/bgs-piston-ring-compressor-set-1890-t-582740-4026947018904</v>
      </c>
      <c r="R37" s="30" t="s">
        <v>1624</v>
      </c>
      <c r="S37" s="44" t="b">
        <v>1</v>
      </c>
      <c r="T37" s="39" t="str">
        <f>IFERROR(__xludf.DUMMYFUNCTION(" IF
( VLOOKUP($G37,IMPORTRANGE(""https://docs.google.com/spreadsheets/d/1Gpl6jkTg7sL4VDNimUm3S9Vi1i95esohXCF3wuKOE8c"", ""'CONSOLIDADO'!G5:AB""), 10, 0) &lt;&gt; 0, 
IFERROR(VLOOKUP($G37,IMPORTRANGE(""https://docs.google.com/spreadsheets/d/1Gpl6jkTg7sL4VDNimUm3"&amp;"S9Vi1i95esohXCF3wuKOE8c"", ""'CONSOLIDADO'!G5:AB""), 17, 0), ""-""),
""""
)"),"BGS")</f>
        <v>BGS</v>
      </c>
      <c r="U37" s="39">
        <f>IFERROR(__xludf.DUMMYFUNCTION(" IF
( VLOOKUP($G37,IMPORTRANGE(""https://docs.google.com/spreadsheets/d/1Gpl6jkTg7sL4VDNimUm3S9Vi1i95esohXCF3wuKOE8c"", ""'CONSOLIDADO'!G5:AB""), 10, 0) &lt;&gt; 0, 
IFERROR(VLOOKUP($G37,IMPORTRANGE(""https://docs.google.com/spreadsheets/d/1Gpl6jkTg7sL4VDNimUm3"&amp;"S9Vi1i95esohXCF3wuKOE8c"", ""'CONSOLIDADO'!G5:AB""), 18, 0), ""-""),
""""
)"),1890.0)</f>
        <v>1890</v>
      </c>
      <c r="V37" s="39" t="str">
        <f>IFERROR(__xludf.DUMMYFUNCTION(" IF
( VLOOKUP($G37,IMPORTRANGE(""https://docs.google.com/spreadsheets/d/1Gpl6jkTg7sL4VDNimUm3S9Vi1i95esohXCF3wuKOE8c"", ""'CONSOLIDADO'!G5:AB""), 10, 0) &lt;&gt; 0, 
IFERROR(VLOOKUP($G37,IMPORTRANGE(""https://docs.google.com/spreadsheets/d/1Gpl6jkTg7sL4VDNimUm3"&amp;"S9Vi1i95esohXCF3wuKOE8c"", ""'CONSOLIDADO'!G5:AB""), 17, 0), ""-""),
""""
)"),"BGS")</f>
        <v>BGS</v>
      </c>
      <c r="W37" s="39">
        <f>IFERROR(__xludf.DUMMYFUNCTION(" IF
( VLOOKUP($G37,IMPORTRANGE(""https://docs.google.com/spreadsheets/d/1Gpl6jkTg7sL4VDNimUm3S9Vi1i95esohXCF3wuKOE8c"", ""'CONSOLIDADO'!G5:AB""), 10, 0) &lt;&gt; 0, 
IFERROR(VLOOKUP($G37,IMPORTRANGE(""https://docs.google.com/spreadsheets/d/1Gpl6jkTg7sL4VDNimUm3"&amp;"S9Vi1i95esohXCF3wuKOE8c"", ""'CONSOLIDADO'!G5:AB""), 18, 0), ""-""),
""""
)"),1890.0)</f>
        <v>1890</v>
      </c>
      <c r="X37" s="39" t="b">
        <f t="shared" ref="X37:X40" si="5">IF(AND(T37=V37,W37=U37),TRUE,FALSE)</f>
        <v>1</v>
      </c>
      <c r="Y37" s="120" t="str">
        <f>IFERROR(__xludf.DUMMYFUNCTION(" IF
( VLOOKUP($G37,IMPORTRANGE(""https://docs.google.com/spreadsheets/d/1Gpl6jkTg7sL4VDNimUm3S9Vi1i95esohXCF3wuKOE8c"", ""'CONSOLIDADO'!G5:AB""), 10, 0) &lt;&gt; 0, 
IFERROR(VLOOKUP($G37,IMPORTRANGE(""https://docs.google.com/spreadsheets/d/1Gpl6jkTg7sL4VDNimUm3"&amp;"S9Vi1i95esohXCF3wuKOE8c"", ""'CONSOLIDADO'!G5:AB""), 19, 0), ""-""),
""""
)"),"https://www.toolteam.com/en-GB/bgs-piston-ring-compressor-set-1890-t-582740-4026947018904")</f>
        <v>https://www.toolteam.com/en-GB/bgs-piston-ring-compressor-set-1890-t-582740-4026947018904</v>
      </c>
      <c r="Z37" s="37" t="str">
        <f>IFERROR(__xludf.DUMMYFUNCTION("IFERROR(VLOOKUP(G37,IMPORTRANGE(""https://docs.google.com/spreadsheets/d/12RxCea4e5ggM7QGn1XE3FbLQa_-QbCNdBi90OdPjRqg"", ""'Plan de Compras'!D4:Q""), 12, 0), ""NO ESTÁ EN REQ"")"),"Técnica")</f>
        <v>Técnica</v>
      </c>
      <c r="AA37" s="37" t="str">
        <f>IFERROR(__xludf.DUMMYFUNCTION("IFERROR(VLOOKUP(G37,IMPORTRANGE(""https://docs.google.com/spreadsheets/d/12RxCea4e5ggM7QGn1XE3FbLQa_-QbCNdBi90OdPjRqg"", ""'Plan de Compras'!D4:Q""), 13, 0), """")"),"INTERNACIONAL")</f>
        <v>INTERNACIONAL</v>
      </c>
      <c r="AB37" s="32" t="str">
        <f>IFERROR(__xludf.DUMMYFUNCTION("IFERROR(VLOOKUP(G37,IMPORTRANGE(""https://docs.google.com/spreadsheets/d/12RxCea4e5ggM7QGn1XE3FbLQa_-QbCNdBi90OdPjRqg"", ""'Plan de Compras'!D4:Q""), 14, 0), """")"),"GEYDI")</f>
        <v>GEYDI</v>
      </c>
      <c r="AC37" s="72" t="str">
        <f>IFERROR(__xludf.DUMMYFUNCTION("IFERROR(VLOOKUP(G37,IMPORTRANGE(""https://docs.google.com/spreadsheets/d/12RxCea4e5ggM7QGn1XE3FbLQa_-QbCNdBi90OdPjRqg"", ""'Plan de Compras'!D4:Q""), 4, 0), """")"),"COMPRESÍMETRO DE ANILLOS")</f>
        <v>COMPRESÍMETRO DE ANILLOS</v>
      </c>
      <c r="AD37" s="37" t="str">
        <f>IFERROR(__xludf.DUMMYFUNCTION("IFERROR(IF(OR(C37=TRUE,C37=""""),VLOOKUP(G37,IMPORTRANGE(""https://docs.google.com/spreadsheets/d/1z9A1Wq-kKrhRNG5RS2a2fKpY1wIhSVz2ZNmP2mOl588/edit?usp=sharing"",""REQ VF!E4:H""),4,0),""NO APLICA""),""GENERAR REQ"")"),"GENERAR REQ")</f>
        <v>GENERAR REQ</v>
      </c>
      <c r="AE37" s="32" t="str">
        <f>IFERROR(__xludf.DUMMYFUNCTION("IFERROR(QUERY(IMPORTRANGE(""https://docs.google.com/spreadsheets/d/1z9A1Wq-kKrhRNG5RS2a2fKpY1wIhSVz2ZNmP2mOl588/edit?usp=sharing"",""REQ VF!E4:Q""),""SELECT Col10, Col11, Col12 WHERE Col1 = '""&amp;G37&amp;""'"",0),""NO APLICA"")"),"NO APLICA")</f>
        <v>NO APLICA</v>
      </c>
      <c r="AF37" s="32"/>
      <c r="AG37" s="32"/>
      <c r="AH37" s="13"/>
      <c r="AI37" s="13"/>
    </row>
    <row r="38">
      <c r="A38" s="121">
        <v>27.0</v>
      </c>
      <c r="B38" s="43" t="b">
        <v>1</v>
      </c>
      <c r="C38" s="26" t="b">
        <v>1</v>
      </c>
      <c r="D38" s="26" t="s">
        <v>35</v>
      </c>
      <c r="E38" s="26" t="s">
        <v>1510</v>
      </c>
      <c r="F38" s="59" t="s">
        <v>1625</v>
      </c>
      <c r="G38" s="37" t="s">
        <v>1625</v>
      </c>
      <c r="H38" s="82" t="s">
        <v>1626</v>
      </c>
      <c r="I38" s="43">
        <f>SUMIFS('Hoja 10'!$O:$O,'Hoja 10'!$F:$F,$G38)</f>
        <v>1</v>
      </c>
      <c r="J38" s="26">
        <f>IFERROR(__xludf.DUMMYFUNCTION("VLOOKUP(G38,IMPORTRANGE(""https://docs.google.com/spreadsheets/d/12RxCea4e5ggM7QGn1XE3FbLQa_-QbCNdBi90OdPjRqg/edit?gid=1692403370#gid=1692403370"", ""'Plan de Compras'!D4:2432""), 8,0)"),1.0)</f>
        <v>1</v>
      </c>
      <c r="K38" s="26" t="str">
        <f t="shared" si="1"/>
        <v>SI</v>
      </c>
      <c r="L38" s="29" t="s">
        <v>77</v>
      </c>
      <c r="M38" s="30" t="s">
        <v>78</v>
      </c>
      <c r="N38" s="32"/>
      <c r="O38" s="32" t="str">
        <f>VLOOKUP($G38,'Hoja 10'!$F$4:$AA1057, 19,0)</f>
        <v>FACUSA</v>
      </c>
      <c r="P38" s="32">
        <f>VLOOKUP($G38,'Hoja 10'!$F$4:$AA1057, 20,0)</f>
        <v>133001007</v>
      </c>
      <c r="Q38" s="33" t="str">
        <f>VLOOKUP($G38,'Hoja 10'!$F$4:$AA1057, 21,0)</f>
        <v>https://www.facusa.com.pe/accesorios-de-cocina/579-cortador-de-huevos.html?srsltid=AfmBOooh8JUgXIR_3aJBL-0NPgCvNow2HnBgb4uX1LIRxggET9YUnCKO</v>
      </c>
      <c r="R38" s="30" t="s">
        <v>1627</v>
      </c>
      <c r="S38" s="34" t="b">
        <v>1</v>
      </c>
      <c r="T38" s="39" t="str">
        <f>IFERROR(__xludf.DUMMYFUNCTION(" IF
( VLOOKUP($G38,IMPORTRANGE(""https://docs.google.com/spreadsheets/d/1Gpl6jkTg7sL4VDNimUm3S9Vi1i95esohXCF3wuKOE8c"", ""'CONSOLIDADO'!G5:AB""), 10, 0) &lt;&gt; 0, 
IFERROR(VLOOKUP($G38,IMPORTRANGE(""https://docs.google.com/spreadsheets/d/1Gpl6jkTg7sL4VDNimUm3"&amp;"S9Vi1i95esohXCF3wuKOE8c"", ""'CONSOLIDADO'!G5:AB""), 17, 0), ""-""),
""""
)"),"FACUSA")</f>
        <v>FACUSA</v>
      </c>
      <c r="U38" s="39">
        <f>IFERROR(__xludf.DUMMYFUNCTION(" IF
( VLOOKUP($G38,IMPORTRANGE(""https://docs.google.com/spreadsheets/d/1Gpl6jkTg7sL4VDNimUm3S9Vi1i95esohXCF3wuKOE8c"", ""'CONSOLIDADO'!G5:AB""), 10, 0) &lt;&gt; 0, 
IFERROR(VLOOKUP($G38,IMPORTRANGE(""https://docs.google.com/spreadsheets/d/1Gpl6jkTg7sL4VDNimUm3"&amp;"S9Vi1i95esohXCF3wuKOE8c"", ""'CONSOLIDADO'!G5:AB""), 18, 0), ""-""),
""""
)"),1.33001007E8)</f>
        <v>133001007</v>
      </c>
      <c r="V38" s="39" t="str">
        <f>IFERROR(__xludf.DUMMYFUNCTION(" IF
( VLOOKUP($G38,IMPORTRANGE(""https://docs.google.com/spreadsheets/d/1Gpl6jkTg7sL4VDNimUm3S9Vi1i95esohXCF3wuKOE8c"", ""'CONSOLIDADO'!G5:AB""), 10, 0) &lt;&gt; 0, 
IFERROR(VLOOKUP($G38,IMPORTRANGE(""https://docs.google.com/spreadsheets/d/1Gpl6jkTg7sL4VDNimUm3"&amp;"S9Vi1i95esohXCF3wuKOE8c"", ""'CONSOLIDADO'!G5:AB""), 17, 0), ""-""),
""""
)"),"FACUSA")</f>
        <v>FACUSA</v>
      </c>
      <c r="W38" s="39">
        <f>IFERROR(__xludf.DUMMYFUNCTION(" IF
( VLOOKUP($G38,IMPORTRANGE(""https://docs.google.com/spreadsheets/d/1Gpl6jkTg7sL4VDNimUm3S9Vi1i95esohXCF3wuKOE8c"", ""'CONSOLIDADO'!G5:AB""), 10, 0) &lt;&gt; 0, 
IFERROR(VLOOKUP($G38,IMPORTRANGE(""https://docs.google.com/spreadsheets/d/1Gpl6jkTg7sL4VDNimUm3"&amp;"S9Vi1i95esohXCF3wuKOE8c"", ""'CONSOLIDADO'!G5:AB""), 18, 0), ""-""),
""""
)"),1.33001007E8)</f>
        <v>133001007</v>
      </c>
      <c r="X38" s="39" t="b">
        <f t="shared" si="5"/>
        <v>1</v>
      </c>
      <c r="Y38" s="120" t="str">
        <f>IFERROR(__xludf.DUMMYFUNCTION(" IF
( VLOOKUP($G38,IMPORTRANGE(""https://docs.google.com/spreadsheets/d/1Gpl6jkTg7sL4VDNimUm3S9Vi1i95esohXCF3wuKOE8c"", ""'CONSOLIDADO'!G5:AB""), 10, 0) &lt;&gt; 0, 
IFERROR(VLOOKUP($G38,IMPORTRANGE(""https://docs.google.com/spreadsheets/d/1Gpl6jkTg7sL4VDNimUm3"&amp;"S9Vi1i95esohXCF3wuKOE8c"", ""'CONSOLIDADO'!G5:AB""), 19, 0), ""-""),
""""
)"),"https://drive.google.com/file/d/1ZtNWZEcp90O-zJHZQYVuLfXXwpIdcZrC/view?usp=sharing ")</f>
        <v>https://drive.google.com/file/d/1ZtNWZEcp90O-zJHZQYVuLfXXwpIdcZrC/view?usp=sharing </v>
      </c>
      <c r="Z38" s="37" t="str">
        <f>IFERROR(__xludf.DUMMYFUNCTION("IFERROR(VLOOKUP(G38,IMPORTRANGE(""https://docs.google.com/spreadsheets/d/12RxCea4e5ggM7QGn1XE3FbLQa_-QbCNdBi90OdPjRqg"", ""'Plan de Compras'!D4:Q""), 12, 0), ""NO ESTÁ EN REQ"")"),"Simple")</f>
        <v>Simple</v>
      </c>
      <c r="AA38" s="37" t="str">
        <f>IFERROR(__xludf.DUMMYFUNCTION("IFERROR(VLOOKUP(G38,IMPORTRANGE(""https://docs.google.com/spreadsheets/d/12RxCea4e5ggM7QGn1XE3FbLQa_-QbCNdBi90OdPjRqg"", ""'Plan de Compras'!D4:Q""), 13, 0), """")"),"NACIONAL")</f>
        <v>NACIONAL</v>
      </c>
      <c r="AB38" s="32" t="str">
        <f>IFERROR(__xludf.DUMMYFUNCTION("IFERROR(VLOOKUP(G38,IMPORTRANGE(""https://docs.google.com/spreadsheets/d/12RxCea4e5ggM7QGn1XE3FbLQa_-QbCNdBi90OdPjRqg"", ""'Plan de Compras'!D4:Q""), 14, 0), """")"),"JESSICA")</f>
        <v>JESSICA</v>
      </c>
      <c r="AC38" s="72" t="str">
        <f>IFERROR(__xludf.DUMMYFUNCTION("IFERROR(VLOOKUP(G38,IMPORTRANGE(""https://docs.google.com/spreadsheets/d/12RxCea4e5ggM7QGn1XE3FbLQa_-QbCNdBi90OdPjRqg"", ""'Plan de Compras'!D4:Q""), 4, 0), """")"),"CORTADOR DE HUEVOS")</f>
        <v>CORTADOR DE HUEVOS</v>
      </c>
      <c r="AD38" s="37" t="str">
        <f>IFERROR(__xludf.DUMMYFUNCTION("IFERROR(IF(OR(C38=TRUE,C38=""""),VLOOKUP(G38,IMPORTRANGE(""https://docs.google.com/spreadsheets/d/1z9A1Wq-kKrhRNG5RS2a2fKpY1wIhSVz2ZNmP2mOl588/edit?usp=sharing"",""REQ VF!E4:H""),4,0),""NO APLICA""),""GENERAR REQ"")"),"GENERAR REQ")</f>
        <v>GENERAR REQ</v>
      </c>
      <c r="AE38" s="32" t="str">
        <f>IFERROR(__xludf.DUMMYFUNCTION("IFERROR(QUERY(IMPORTRANGE(""https://docs.google.com/spreadsheets/d/1z9A1Wq-kKrhRNG5RS2a2fKpY1wIhSVz2ZNmP2mOl588/edit?usp=sharing"",""REQ VF!E4:Q""),""SELECT Col10, Col11, Col12 WHERE Col1 = '""&amp;G38&amp;""'"",0),""NO APLICA"")"),"NO APLICA")</f>
        <v>NO APLICA</v>
      </c>
      <c r="AF38" s="32"/>
      <c r="AG38" s="32"/>
      <c r="AH38" s="13"/>
      <c r="AI38" s="13"/>
    </row>
    <row r="39">
      <c r="A39" s="121">
        <v>28.0</v>
      </c>
      <c r="B39" s="43" t="b">
        <v>1</v>
      </c>
      <c r="C39" s="26" t="b">
        <v>1</v>
      </c>
      <c r="D39" s="26" t="s">
        <v>35</v>
      </c>
      <c r="E39" s="26" t="s">
        <v>1510</v>
      </c>
      <c r="F39" s="59" t="s">
        <v>1628</v>
      </c>
      <c r="G39" s="37" t="s">
        <v>1628</v>
      </c>
      <c r="H39" s="82" t="s">
        <v>1629</v>
      </c>
      <c r="I39" s="43">
        <f>SUMIFS('Hoja 10'!$O:$O,'Hoja 10'!$F:$F,$G39)</f>
        <v>1</v>
      </c>
      <c r="J39" s="26">
        <f>IFERROR(__xludf.DUMMYFUNCTION("VLOOKUP(G39,IMPORTRANGE(""https://docs.google.com/spreadsheets/d/12RxCea4e5ggM7QGn1XE3FbLQa_-QbCNdBi90OdPjRqg/edit?gid=1692403370#gid=1692403370"", ""'Plan de Compras'!D4:2432""), 8,0)"),1.0)</f>
        <v>1</v>
      </c>
      <c r="K39" s="26" t="str">
        <f t="shared" si="1"/>
        <v>SI</v>
      </c>
      <c r="L39" s="29" t="s">
        <v>77</v>
      </c>
      <c r="M39" s="30" t="s">
        <v>78</v>
      </c>
      <c r="N39" s="32"/>
      <c r="O39" s="32" t="str">
        <f>VLOOKUP($G39,'Hoja 10'!$F$4:$AA1057, 19,0)</f>
        <v>New Star Foodservice</v>
      </c>
      <c r="P39" s="32">
        <f>VLOOKUP($G39,'Hoja 10'!$F$4:$AA1057, 20,0)</f>
        <v>37357</v>
      </c>
      <c r="Q39" s="33" t="str">
        <f>VLOOKUP($G39,'Hoja 10'!$F$4:$AA1057, 21,0)</f>
        <v>https://es.made-in-china.com/co_ipsp-chn/product_Cast-Aluminum-Potato-Chips-Cutting-Machine_hoysyoniu.html</v>
      </c>
      <c r="R39" s="30" t="s">
        <v>1630</v>
      </c>
      <c r="S39" s="44" t="b">
        <v>1</v>
      </c>
      <c r="T39" s="39" t="str">
        <f>IFERROR(__xludf.DUMMYFUNCTION(" IF
( VLOOKUP($G39,IMPORTRANGE(""https://docs.google.com/spreadsheets/d/1Gpl6jkTg7sL4VDNimUm3S9Vi1i95esohXCF3wuKOE8c"", ""'CONSOLIDADO'!G5:AB""), 10, 0) &lt;&gt; 0, 
IFERROR(VLOOKUP($G39,IMPORTRANGE(""https://docs.google.com/spreadsheets/d/1Gpl6jkTg7sL4VDNimUm3"&amp;"S9Vi1i95esohXCF3wuKOE8c"", ""'CONSOLIDADO'!G5:AB""), 17, 0), ""-""),
""""
)"),"New Star Foodservice")</f>
        <v>New Star Foodservice</v>
      </c>
      <c r="U39" s="39">
        <f>IFERROR(__xludf.DUMMYFUNCTION(" IF
( VLOOKUP($G39,IMPORTRANGE(""https://docs.google.com/spreadsheets/d/1Gpl6jkTg7sL4VDNimUm3S9Vi1i95esohXCF3wuKOE8c"", ""'CONSOLIDADO'!G5:AB""), 10, 0) &lt;&gt; 0, 
IFERROR(VLOOKUP($G39,IMPORTRANGE(""https://docs.google.com/spreadsheets/d/1Gpl6jkTg7sL4VDNimUm3"&amp;"S9Vi1i95esohXCF3wuKOE8c"", ""'CONSOLIDADO'!G5:AB""), 18, 0), ""-""),
""""
)"),37357.0)</f>
        <v>37357</v>
      </c>
      <c r="V39" s="39" t="str">
        <f>IFERROR(__xludf.DUMMYFUNCTION(" IF
( VLOOKUP($G39,IMPORTRANGE(""https://docs.google.com/spreadsheets/d/1Gpl6jkTg7sL4VDNimUm3S9Vi1i95esohXCF3wuKOE8c"", ""'CONSOLIDADO'!G5:AB""), 10, 0) &lt;&gt; 0, 
IFERROR(VLOOKUP($G39,IMPORTRANGE(""https://docs.google.com/spreadsheets/d/1Gpl6jkTg7sL4VDNimUm3"&amp;"S9Vi1i95esohXCF3wuKOE8c"", ""'CONSOLIDADO'!G5:AB""), 17, 0), ""-""),
""""
)"),"New Star Foodservice")</f>
        <v>New Star Foodservice</v>
      </c>
      <c r="W39" s="39">
        <f>IFERROR(__xludf.DUMMYFUNCTION(" IF
( VLOOKUP($G39,IMPORTRANGE(""https://docs.google.com/spreadsheets/d/1Gpl6jkTg7sL4VDNimUm3S9Vi1i95esohXCF3wuKOE8c"", ""'CONSOLIDADO'!G5:AB""), 10, 0) &lt;&gt; 0, 
IFERROR(VLOOKUP($G39,IMPORTRANGE(""https://docs.google.com/spreadsheets/d/1Gpl6jkTg7sL4VDNimUm3"&amp;"S9Vi1i95esohXCF3wuKOE8c"", ""'CONSOLIDADO'!G5:AB""), 18, 0), ""-""),
""""
)"),37357.0)</f>
        <v>37357</v>
      </c>
      <c r="X39" s="39" t="b">
        <f t="shared" si="5"/>
        <v>1</v>
      </c>
      <c r="Y39" s="120" t="str">
        <f>IFERROR(__xludf.DUMMYFUNCTION(" IF
( VLOOKUP($G39,IMPORTRANGE(""https://docs.google.com/spreadsheets/d/1Gpl6jkTg7sL4VDNimUm3S9Vi1i95esohXCF3wuKOE8c"", ""'CONSOLIDADO'!G5:AB""), 10, 0) &lt;&gt; 0, 
IFERROR(VLOOKUP($G39,IMPORTRANGE(""https://docs.google.com/spreadsheets/d/1Gpl6jkTg7sL4VDNimUm3"&amp;"S9Vi1i95esohXCF3wuKOE8c"", ""'CONSOLIDADO'!G5:AB""), 19, 0), ""-""),
""""
)"),"https://www.amazon.com/dp/B00GXJCQAE/ref=sspa_dk_hqp_detail_aax_0?sp_csd=d2lkZ2V0TmFtZT1zcF9ocXBfc2hhcmVk&amp;th=1")</f>
        <v>https://www.amazon.com/dp/B00GXJCQAE/ref=sspa_dk_hqp_detail_aax_0?sp_csd=d2lkZ2V0TmFtZT1zcF9ocXBfc2hhcmVk&amp;th=1</v>
      </c>
      <c r="Z39" s="37" t="str">
        <f>IFERROR(__xludf.DUMMYFUNCTION("IFERROR(VLOOKUP(G39,IMPORTRANGE(""https://docs.google.com/spreadsheets/d/12RxCea4e5ggM7QGn1XE3FbLQa_-QbCNdBi90OdPjRqg"", ""'Plan de Compras'!D4:Q""), 12, 0), ""NO ESTÁ EN REQ"")"),"Técnica")</f>
        <v>Técnica</v>
      </c>
      <c r="AA39" s="37" t="str">
        <f>IFERROR(__xludf.DUMMYFUNCTION("IFERROR(VLOOKUP(G39,IMPORTRANGE(""https://docs.google.com/spreadsheets/d/12RxCea4e5ggM7QGn1XE3FbLQa_-QbCNdBi90OdPjRqg"", ""'Plan de Compras'!D4:Q""), 13, 0), """")"),"INTERNACIONAL")</f>
        <v>INTERNACIONAL</v>
      </c>
      <c r="AB39" s="32" t="str">
        <f>IFERROR(__xludf.DUMMYFUNCTION("IFERROR(VLOOKUP(G39,IMPORTRANGE(""https://docs.google.com/spreadsheets/d/12RxCea4e5ggM7QGn1XE3FbLQa_-QbCNdBi90OdPjRqg"", ""'Plan de Compras'!D4:Q""), 14, 0), """")"),"GEYDI")</f>
        <v>GEYDI</v>
      </c>
      <c r="AC39" s="72" t="str">
        <f>IFERROR(__xludf.DUMMYFUNCTION("IFERROR(VLOOKUP(G39,IMPORTRANGE(""https://docs.google.com/spreadsheets/d/12RxCea4e5ggM7QGn1XE3FbLQa_-QbCNdBi90OdPjRqg"", ""'Plan de Compras'!D4:Q""), 4, 0), """")"),"CORTADOR DE PATATAS DE PALANCA")</f>
        <v>CORTADOR DE PATATAS DE PALANCA</v>
      </c>
      <c r="AD39" s="37" t="str">
        <f>IFERROR(__xludf.DUMMYFUNCTION("IFERROR(IF(OR(C39=TRUE,C39=""""),VLOOKUP(G39,IMPORTRANGE(""https://docs.google.com/spreadsheets/d/1z9A1Wq-kKrhRNG5RS2a2fKpY1wIhSVz2ZNmP2mOl588/edit?usp=sharing"",""REQ VF!E4:H""),4,0),""NO APLICA""),""GENERAR REQ"")"),"GENERAR REQ")</f>
        <v>GENERAR REQ</v>
      </c>
      <c r="AE39" s="32" t="str">
        <f>IFERROR(__xludf.DUMMYFUNCTION("IFERROR(QUERY(IMPORTRANGE(""https://docs.google.com/spreadsheets/d/1z9A1Wq-kKrhRNG5RS2a2fKpY1wIhSVz2ZNmP2mOl588/edit?usp=sharing"",""REQ VF!E4:Q""),""SELECT Col10, Col11, Col12 WHERE Col1 = '""&amp;G39&amp;""'"",0),""NO APLICA"")"),"NO APLICA")</f>
        <v>NO APLICA</v>
      </c>
      <c r="AF39" s="32"/>
      <c r="AG39" s="32"/>
      <c r="AH39" s="8" t="s">
        <v>52</v>
      </c>
      <c r="AI39" s="8"/>
    </row>
    <row r="40">
      <c r="A40" s="121">
        <v>29.0</v>
      </c>
      <c r="B40" s="43" t="b">
        <v>1</v>
      </c>
      <c r="C40" s="26" t="b">
        <v>1</v>
      </c>
      <c r="D40" s="26" t="s">
        <v>35</v>
      </c>
      <c r="E40" s="26" t="s">
        <v>1510</v>
      </c>
      <c r="F40" s="59" t="s">
        <v>1631</v>
      </c>
      <c r="G40" s="37" t="s">
        <v>1631</v>
      </c>
      <c r="H40" s="82" t="s">
        <v>1632</v>
      </c>
      <c r="I40" s="43">
        <f>SUMIFS('Hoja 10'!$O:$O,'Hoja 10'!$F:$F,$G40)</f>
        <v>12</v>
      </c>
      <c r="J40" s="26">
        <f>IFERROR(__xludf.DUMMYFUNCTION("VLOOKUP(G40,IMPORTRANGE(""https://docs.google.com/spreadsheets/d/12RxCea4e5ggM7QGn1XE3FbLQa_-QbCNdBi90OdPjRqg/edit?gid=1692403370#gid=1692403370"", ""'Plan de Compras'!D4:2432""), 8,0)"),12.0)</f>
        <v>12</v>
      </c>
      <c r="K40" s="26" t="str">
        <f t="shared" si="1"/>
        <v>SI</v>
      </c>
      <c r="L40" s="29" t="s">
        <v>127</v>
      </c>
      <c r="M40" s="30" t="s">
        <v>105</v>
      </c>
      <c r="N40" s="32"/>
      <c r="O40" s="32" t="str">
        <f>VLOOKUP($G40,'Hoja 10'!$F$4:$AA1057, 19,0)</f>
        <v>CASOMAN</v>
      </c>
      <c r="P40" s="32" t="str">
        <f>VLOOKUP($G40,'Hoja 10'!$F$4:$AA1057, 20,0)</f>
        <v>CS384</v>
      </c>
      <c r="Q40" s="33" t="str">
        <f>VLOOKUP($G40,'Hoja 10'!$F$4:$AA1057, 21,0)</f>
        <v>https://www.amazon.com/-/es/CASOMAN-pulgadas-incluye-extensi%C3%B3n-universal/dp/B0C9HZKW3Q?th=1</v>
      </c>
      <c r="R40" s="30" t="s">
        <v>1633</v>
      </c>
      <c r="S40" s="44" t="b">
        <v>1</v>
      </c>
      <c r="T40" s="39" t="str">
        <f>IFERROR(__xludf.DUMMYFUNCTION(" IF
( VLOOKUP($G40,IMPORTRANGE(""https://docs.google.com/spreadsheets/d/1Gpl6jkTg7sL4VDNimUm3S9Vi1i95esohXCF3wuKOE8c"", ""'CONSOLIDADO'!G5:AB""), 10, 0) &lt;&gt; 0, 
IFERROR(VLOOKUP($G40,IMPORTRANGE(""https://docs.google.com/spreadsheets/d/1Gpl6jkTg7sL4VDNimUm3"&amp;"S9Vi1i95esohXCF3wuKOE8c"", ""'CONSOLIDADO'!G5:AB""), 17, 0), ""-""),
""""
)"),"CASOMAN")</f>
        <v>CASOMAN</v>
      </c>
      <c r="U40" s="39" t="str">
        <f>IFERROR(__xludf.DUMMYFUNCTION(" IF
( VLOOKUP($G40,IMPORTRANGE(""https://docs.google.com/spreadsheets/d/1Gpl6jkTg7sL4VDNimUm3S9Vi1i95esohXCF3wuKOE8c"", ""'CONSOLIDADO'!G5:AB""), 10, 0) &lt;&gt; 0, 
IFERROR(VLOOKUP($G40,IMPORTRANGE(""https://docs.google.com/spreadsheets/d/1Gpl6jkTg7sL4VDNimUm3"&amp;"S9Vi1i95esohXCF3wuKOE8c"", ""'CONSOLIDADO'!G5:AB""), 18, 0), ""-""),
""""
)")," ‎CS053")</f>
        <v> ‎CS053</v>
      </c>
      <c r="V40" s="39" t="str">
        <f>IFERROR(__xludf.DUMMYFUNCTION(" IF
( VLOOKUP($G40,IMPORTRANGE(""https://docs.google.com/spreadsheets/d/1Gpl6jkTg7sL4VDNimUm3S9Vi1i95esohXCF3wuKOE8c"", ""'CONSOLIDADO'!G5:AB""), 10, 0) &lt;&gt; 0, 
IFERROR(VLOOKUP($G40,IMPORTRANGE(""https://docs.google.com/spreadsheets/d/1Gpl6jkTg7sL4VDNimUm3"&amp;"S9Vi1i95esohXCF3wuKOE8c"", ""'CONSOLIDADO'!G5:AB""), 17, 0), ""-""),
""""
)"),"CASOMAN")</f>
        <v>CASOMAN</v>
      </c>
      <c r="W40" s="39" t="str">
        <f>IFERROR(__xludf.DUMMYFUNCTION(" IF
( VLOOKUP($G40,IMPORTRANGE(""https://docs.google.com/spreadsheets/d/1Gpl6jkTg7sL4VDNimUm3S9Vi1i95esohXCF3wuKOE8c"", ""'CONSOLIDADO'!G5:AB""), 10, 0) &lt;&gt; 0, 
IFERROR(VLOOKUP($G40,IMPORTRANGE(""https://docs.google.com/spreadsheets/d/1Gpl6jkTg7sL4VDNimUm3"&amp;"S9Vi1i95esohXCF3wuKOE8c"", ""'CONSOLIDADO'!G5:AB""), 18, 0), ""-""),
""""
)")," ‎CS053")</f>
        <v> ‎CS053</v>
      </c>
      <c r="X40" s="39" t="b">
        <f t="shared" si="5"/>
        <v>1</v>
      </c>
      <c r="Y40" s="120" t="str">
        <f>IFERROR(__xludf.DUMMYFUNCTION(" IF
( VLOOKUP($G40,IMPORTRANGE(""https://docs.google.com/spreadsheets/d/1Gpl6jkTg7sL4VDNimUm3S9Vi1i95esohXCF3wuKOE8c"", ""'CONSOLIDADO'!G5:AB""), 10, 0) &lt;&gt; 0, 
IFERROR(VLOOKUP($G40,IMPORTRANGE(""https://docs.google.com/spreadsheets/d/1Gpl6jkTg7sL4VDNimUm3"&amp;"S9Vi1i95esohXCF3wuKOE8c"", ""'CONSOLIDADO'!G5:AB""), 19, 0), ""-""),
""""
)"),"https://www.amazon.com/-/es/CASOMAN-pulgadas-incluye-extensi%C3%B3n-universal/dp/B07XZGMX8T?th=1")</f>
        <v>https://www.amazon.com/-/es/CASOMAN-pulgadas-incluye-extensi%C3%B3n-universal/dp/B07XZGMX8T?th=1</v>
      </c>
      <c r="Z40" s="37" t="str">
        <f>IFERROR(__xludf.DUMMYFUNCTION("IFERROR(VLOOKUP(G40,IMPORTRANGE(""https://docs.google.com/spreadsheets/d/12RxCea4e5ggM7QGn1XE3FbLQa_-QbCNdBi90OdPjRqg"", ""'Plan de Compras'!D4:Q""), 12, 0), ""NO ESTÁ EN REQ"")"),"Técnica")</f>
        <v>Técnica</v>
      </c>
      <c r="AA40" s="37" t="str">
        <f>IFERROR(__xludf.DUMMYFUNCTION("IFERROR(VLOOKUP(G40,IMPORTRANGE(""https://docs.google.com/spreadsheets/d/12RxCea4e5ggM7QGn1XE3FbLQa_-QbCNdBi90OdPjRqg"", ""'Plan de Compras'!D4:Q""), 13, 0), """")"),"INTERNACIONAL")</f>
        <v>INTERNACIONAL</v>
      </c>
      <c r="AB40" s="32" t="str">
        <f>IFERROR(__xludf.DUMMYFUNCTION("IFERROR(VLOOKUP(G40,IMPORTRANGE(""https://docs.google.com/spreadsheets/d/12RxCea4e5ggM7QGn1XE3FbLQa_-QbCNdBi90OdPjRqg"", ""'Plan de Compras'!D4:Q""), 14, 0), """")"),"GIANFRANCO")</f>
        <v>GIANFRANCO</v>
      </c>
      <c r="AC40" s="72" t="str">
        <f>IFERROR(__xludf.DUMMYFUNCTION("IFERROR(VLOOKUP(G40,IMPORTRANGE(""https://docs.google.com/spreadsheets/d/12RxCea4e5ggM7QGn1XE3FbLQa_-QbCNdBi90OdPjRqg"", ""'Plan de Compras'!D4:Q""), 4, 0), """")"),"JUEGO DE DADOS PARA BUJÍAS")</f>
        <v>JUEGO DE DADOS PARA BUJÍAS</v>
      </c>
      <c r="AD40" s="37" t="str">
        <f>IFERROR(__xludf.DUMMYFUNCTION("IFERROR(IF(OR(C40=TRUE,C40=""""),VLOOKUP(G40,IMPORTRANGE(""https://docs.google.com/spreadsheets/d/1z9A1Wq-kKrhRNG5RS2a2fKpY1wIhSVz2ZNmP2mOl588/edit?usp=sharing"",""REQ VF!E4:H""),4,0),""NO APLICA""),""GENERAR REQ"")"),"GENERAR REQ")</f>
        <v>GENERAR REQ</v>
      </c>
      <c r="AE40" s="32" t="str">
        <f>IFERROR(__xludf.DUMMYFUNCTION("IFERROR(QUERY(IMPORTRANGE(""https://docs.google.com/spreadsheets/d/1z9A1Wq-kKrhRNG5RS2a2fKpY1wIhSVz2ZNmP2mOl588/edit?usp=sharing"",""REQ VF!E4:Q""),""SELECT Col10, Col11, Col12 WHERE Col1 = '""&amp;G40&amp;""'"",0),""NO APLICA"")"),"NO APLICA")</f>
        <v>NO APLICA</v>
      </c>
      <c r="AF40" s="32"/>
      <c r="AG40" s="32"/>
      <c r="AH40" s="13"/>
      <c r="AI40" s="13"/>
    </row>
    <row r="41">
      <c r="A41" s="43"/>
      <c r="B41" s="43"/>
      <c r="C41" s="26" t="b">
        <v>1</v>
      </c>
      <c r="D41" s="26" t="s">
        <v>42</v>
      </c>
      <c r="E41" s="26" t="s">
        <v>1510</v>
      </c>
      <c r="F41" s="59" t="s">
        <v>1631</v>
      </c>
      <c r="G41" s="39" t="s">
        <v>1634</v>
      </c>
      <c r="H41" s="66" t="s">
        <v>1635</v>
      </c>
      <c r="I41" s="43">
        <v>12.0</v>
      </c>
      <c r="J41" s="26">
        <f>IFERROR(__xludf.DUMMYFUNCTION("VLOOKUP(G41,IMPORTRANGE(""https://docs.google.com/spreadsheets/d/12RxCea4e5ggM7QGn1XE3FbLQa_-QbCNdBi90OdPjRqg/edit?gid=1692403370#gid=1692403370"", ""'Plan de Compras'!D4:2432""), 8,0)"),12.0)</f>
        <v>12</v>
      </c>
      <c r="K41" s="26" t="str">
        <f t="shared" si="1"/>
        <v>SI</v>
      </c>
      <c r="L41" s="29"/>
      <c r="M41" s="61"/>
      <c r="N41" s="32"/>
      <c r="O41" s="32"/>
      <c r="P41" s="32"/>
      <c r="Q41" s="41"/>
      <c r="R41" s="32"/>
      <c r="S41" s="44" t="b">
        <v>1</v>
      </c>
      <c r="T41" s="39" t="s">
        <v>1207</v>
      </c>
      <c r="U41" s="39" t="s">
        <v>1636</v>
      </c>
      <c r="V41" s="39"/>
      <c r="W41" s="39"/>
      <c r="X41" s="39"/>
      <c r="Y41" s="120" t="s">
        <v>1637</v>
      </c>
      <c r="Z41" s="37" t="str">
        <f>IFERROR(__xludf.DUMMYFUNCTION("IFERROR(VLOOKUP(G41,IMPORTRANGE(""https://docs.google.com/spreadsheets/d/12RxCea4e5ggM7QGn1XE3FbLQa_-QbCNdBi90OdPjRqg"", ""'Plan de Compras'!D4:Q""), 12, 0), ""NO ESTÁ EN REQ"")"),"Simple")</f>
        <v>Simple</v>
      </c>
      <c r="AA41" s="37" t="str">
        <f>IFERROR(__xludf.DUMMYFUNCTION("IFERROR(VLOOKUP(G41,IMPORTRANGE(""https://docs.google.com/spreadsheets/d/12RxCea4e5ggM7QGn1XE3FbLQa_-QbCNdBi90OdPjRqg"", ""'Plan de Compras'!D4:Q""), 13, 0), """")"),"NACIONAL")</f>
        <v>NACIONAL</v>
      </c>
      <c r="AB41" s="32" t="str">
        <f>IFERROR(__xludf.DUMMYFUNCTION("IFERROR(VLOOKUP(G41,IMPORTRANGE(""https://docs.google.com/spreadsheets/d/12RxCea4e5ggM7QGn1XE3FbLQa_-QbCNdBi90OdPjRqg"", ""'Plan de Compras'!D4:Q""), 14, 0), """")"),"DIANA")</f>
        <v>DIANA</v>
      </c>
      <c r="AC41" s="72" t="str">
        <f>IFERROR(__xludf.DUMMYFUNCTION("IFERROR(VLOOKUP(G41,IMPORTRANGE(""https://docs.google.com/spreadsheets/d/12RxCea4e5ggM7QGn1XE3FbLQa_-QbCNdBi90OdPjRqg"", ""'Plan de Compras'!D4:Q""), 4, 0), """")"),"ENCASTE DE 1/2""")</f>
        <v>ENCASTE DE 1/2"</v>
      </c>
      <c r="AD41" s="37" t="str">
        <f>IFERROR(__xludf.DUMMYFUNCTION("IFERROR(IF(OR(C41=TRUE,C41=""""),VLOOKUP(G41,IMPORTRANGE(""https://docs.google.com/spreadsheets/d/1z9A1Wq-kKrhRNG5RS2a2fKpY1wIhSVz2ZNmP2mOl588/edit?usp=sharing"",""REQ VF!E4:H""),4,0),""NO APLICA""),""GENERAR REQ"")"),"GENERAR REQ")</f>
        <v>GENERAR REQ</v>
      </c>
      <c r="AE41" s="32" t="str">
        <f>IFERROR(__xludf.DUMMYFUNCTION("IFERROR(QUERY(IMPORTRANGE(""https://docs.google.com/spreadsheets/d/1z9A1Wq-kKrhRNG5RS2a2fKpY1wIhSVz2ZNmP2mOl588/edit?usp=sharing"",""REQ VF!E4:Q""),""SELECT Col10, Col11, Col12 WHERE Col1 = '""&amp;G41&amp;""'"",0),""NO APLICA"")"),"NO APLICA")</f>
        <v>NO APLICA</v>
      </c>
      <c r="AF41" s="32"/>
      <c r="AG41" s="32"/>
      <c r="AH41" s="13"/>
      <c r="AI41" s="13"/>
    </row>
    <row r="42">
      <c r="A42" s="43"/>
      <c r="B42" s="43"/>
      <c r="C42" s="26" t="b">
        <v>1</v>
      </c>
      <c r="D42" s="26" t="s">
        <v>42</v>
      </c>
      <c r="E42" s="26" t="s">
        <v>1510</v>
      </c>
      <c r="F42" s="59" t="s">
        <v>1631</v>
      </c>
      <c r="G42" s="39" t="s">
        <v>1638</v>
      </c>
      <c r="H42" s="66" t="s">
        <v>1639</v>
      </c>
      <c r="I42" s="43">
        <v>24.0</v>
      </c>
      <c r="J42" s="26">
        <f>IFERROR(__xludf.DUMMYFUNCTION("VLOOKUP(G42,IMPORTRANGE(""https://docs.google.com/spreadsheets/d/12RxCea4e5ggM7QGn1XE3FbLQa_-QbCNdBi90OdPjRqg/edit?gid=1692403370#gid=1692403370"", ""'Plan de Compras'!D4:2432""), 8,0)"),24.0)</f>
        <v>24</v>
      </c>
      <c r="K42" s="26" t="str">
        <f t="shared" si="1"/>
        <v>SI</v>
      </c>
      <c r="L42" s="29"/>
      <c r="M42" s="61"/>
      <c r="N42" s="32"/>
      <c r="O42" s="32"/>
      <c r="P42" s="32"/>
      <c r="Q42" s="41"/>
      <c r="R42" s="32"/>
      <c r="S42" s="34" t="b">
        <v>1</v>
      </c>
      <c r="T42" s="39" t="s">
        <v>303</v>
      </c>
      <c r="U42" s="39">
        <v>13422.0</v>
      </c>
      <c r="V42" s="39"/>
      <c r="W42" s="39"/>
      <c r="X42" s="39"/>
      <c r="Y42" s="120" t="s">
        <v>1640</v>
      </c>
      <c r="Z42" s="37" t="str">
        <f>IFERROR(__xludf.DUMMYFUNCTION("IFERROR(VLOOKUP(G42,IMPORTRANGE(""https://docs.google.com/spreadsheets/d/12RxCea4e5ggM7QGn1XE3FbLQa_-QbCNdBi90OdPjRqg"", ""'Plan de Compras'!D4:Q""), 12, 0), ""NO ESTÁ EN REQ"")"),"Simple")</f>
        <v>Simple</v>
      </c>
      <c r="AA42" s="37" t="str">
        <f>IFERROR(__xludf.DUMMYFUNCTION("IFERROR(VLOOKUP(G42,IMPORTRANGE(""https://docs.google.com/spreadsheets/d/12RxCea4e5ggM7QGn1XE3FbLQa_-QbCNdBi90OdPjRqg"", ""'Plan de Compras'!D4:Q""), 13, 0), """")"),"NACIONAL")</f>
        <v>NACIONAL</v>
      </c>
      <c r="AB42" s="32" t="str">
        <f>IFERROR(__xludf.DUMMYFUNCTION("IFERROR(VLOOKUP(G42,IMPORTRANGE(""https://docs.google.com/spreadsheets/d/12RxCea4e5ggM7QGn1XE3FbLQa_-QbCNdBi90OdPjRqg"", ""'Plan de Compras'!D4:Q""), 14, 0), """")"),"JESSICA")</f>
        <v>JESSICA</v>
      </c>
      <c r="AC42" s="72" t="str">
        <f>IFERROR(__xludf.DUMMYFUNCTION("IFERROR(VLOOKUP(G42,IMPORTRANGE(""https://docs.google.com/spreadsheets/d/12RxCea4e5ggM7QGn1XE3FbLQa_-QbCNdBi90OdPjRqg"", ""'Plan de Compras'!D4:Q""), 4, 0), """")"),"ADAPTADOR DE ENCASTE 3/4"" A 1/2""")</f>
        <v>ADAPTADOR DE ENCASTE 3/4" A 1/2"</v>
      </c>
      <c r="AD42" s="37" t="str">
        <f>IFERROR(__xludf.DUMMYFUNCTION("IFERROR(IF(OR(C42=TRUE,C42=""""),VLOOKUP(G42,IMPORTRANGE(""https://docs.google.com/spreadsheets/d/1z9A1Wq-kKrhRNG5RS2a2fKpY1wIhSVz2ZNmP2mOl588/edit?usp=sharing"",""REQ VF!E4:H""),4,0),""NO APLICA""),""GENERAR REQ"")"),"GENERAR REQ")</f>
        <v>GENERAR REQ</v>
      </c>
      <c r="AE42" s="32" t="str">
        <f>IFERROR(__xludf.DUMMYFUNCTION("IFERROR(QUERY(IMPORTRANGE(""https://docs.google.com/spreadsheets/d/1z9A1Wq-kKrhRNG5RS2a2fKpY1wIhSVz2ZNmP2mOl588/edit?usp=sharing"",""REQ VF!E4:Q""),""SELECT Col10, Col11, Col12 WHERE Col1 = '""&amp;G42&amp;""'"",0),""NO APLICA"")"),"NO APLICA")</f>
        <v>NO APLICA</v>
      </c>
      <c r="AF42" s="32"/>
      <c r="AG42" s="32"/>
      <c r="AH42" s="13"/>
      <c r="AI42" s="13"/>
    </row>
    <row r="43">
      <c r="A43" s="117">
        <v>30.0</v>
      </c>
      <c r="B43" s="43" t="b">
        <v>1</v>
      </c>
      <c r="C43" s="26" t="b">
        <v>1</v>
      </c>
      <c r="D43" s="26" t="s">
        <v>35</v>
      </c>
      <c r="E43" s="26" t="s">
        <v>1510</v>
      </c>
      <c r="F43" s="59" t="s">
        <v>1641</v>
      </c>
      <c r="G43" s="37" t="s">
        <v>1641</v>
      </c>
      <c r="H43" s="82" t="s">
        <v>1642</v>
      </c>
      <c r="I43" s="43">
        <f>SUMIFS('Hoja 10'!$O:$O,'Hoja 10'!$F:$F,$G43)</f>
        <v>4</v>
      </c>
      <c r="J43" s="26">
        <f>IFERROR(__xludf.DUMMYFUNCTION("VLOOKUP(G43,IMPORTRANGE(""https://docs.google.com/spreadsheets/d/12RxCea4e5ggM7QGn1XE3FbLQa_-QbCNdBi90OdPjRqg/edit?gid=1692403370#gid=1692403370"", ""'Plan de Compras'!D4:2432""), 8,0)"),4.0)</f>
        <v>4</v>
      </c>
      <c r="K43" s="26" t="str">
        <f t="shared" si="1"/>
        <v>SI</v>
      </c>
      <c r="L43" s="29" t="s">
        <v>39</v>
      </c>
      <c r="M43" s="30" t="s">
        <v>40</v>
      </c>
      <c r="N43" s="32"/>
      <c r="O43" s="32" t="str">
        <f>VLOOKUP($G43,'Hoja 10'!$F$4:$AA1057, 19,0)</f>
        <v>INDPOOOR</v>
      </c>
      <c r="P43" s="32" t="str">
        <f>VLOOKUP($G43,'Hoja 10'!$F$4:$AA1057, 20,0)</f>
        <v>Molinillo de grano manual profesional, Molino de grano de manivela manual, Molinillo de trigo de acero inoxidable 304, Molinillo de maíz de mango de madera, Molinillo de café manual</v>
      </c>
      <c r="Q43" s="33" t="str">
        <f>VLOOKUP($G43,'Hoja 10'!$F$4:$AA1057, 21,0)</f>
        <v>https://www.amazon.com/-/es/INDPOOOR-Molinillo-profesional-manivela-inoxidable/dp/B0B65KJJSV</v>
      </c>
      <c r="R43" s="30" t="s">
        <v>1643</v>
      </c>
      <c r="S43" s="34" t="b">
        <v>1</v>
      </c>
      <c r="T43" s="39" t="str">
        <f>IFERROR(__xludf.DUMMYFUNCTION(" IF
( VLOOKUP($G43,IMPORTRANGE(""https://docs.google.com/spreadsheets/d/1Gpl6jkTg7sL4VDNimUm3S9Vi1i95esohXCF3wuKOE8c"", ""'CONSOLIDADO'!G5:AB""), 10, 0) &lt;&gt; 0, 
IFERROR(VLOOKUP($G43,IMPORTRANGE(""https://docs.google.com/spreadsheets/d/1Gpl6jkTg7sL4VDNimUm3"&amp;"S9Vi1i95esohXCF3wuKOE8c"", ""'CONSOLIDADO'!G5:AB""), 17, 0), ""-""),
""""
)"),"CORONA")</f>
        <v>CORONA</v>
      </c>
      <c r="U43" s="39" t="str">
        <f>IFERROR(__xludf.DUMMYFUNCTION(" IF
( VLOOKUP($G43,IMPORTRANGE(""https://docs.google.com/spreadsheets/d/1Gpl6jkTg7sL4VDNimUm3S9Vi1i95esohXCF3wuKOE8c"", ""'CONSOLIDADO'!G5:AB""), 10, 0) &lt;&gt; 0, 
IFERROR(VLOOKUP($G43,IMPORTRANGE(""https://docs.google.com/spreadsheets/d/1Gpl6jkTg7sL4VDNimUm3"&amp;"S9Vi1i95esohXCF3wuKOE8c"", ""'CONSOLIDADO'!G5:AB""), 18, 0), ""-""),
""""
)"),"Molino Corona para granos tolva alta")</f>
        <v>Molino Corona para granos tolva alta</v>
      </c>
      <c r="V43" s="39" t="str">
        <f>IFERROR(__xludf.DUMMYFUNCTION(" IF
( VLOOKUP($G43,IMPORTRANGE(""https://docs.google.com/spreadsheets/d/1Gpl6jkTg7sL4VDNimUm3S9Vi1i95esohXCF3wuKOE8c"", ""'CONSOLIDADO'!G5:AB""), 10, 0) &lt;&gt; 0, 
IFERROR(VLOOKUP($G43,IMPORTRANGE(""https://docs.google.com/spreadsheets/d/1Gpl6jkTg7sL4VDNimUm3"&amp;"S9Vi1i95esohXCF3wuKOE8c"", ""'CONSOLIDADO'!G5:AB""), 17, 0), ""-""),
""""
)"),"CORONA")</f>
        <v>CORONA</v>
      </c>
      <c r="W43" s="39" t="str">
        <f>IFERROR(__xludf.DUMMYFUNCTION(" IF
( VLOOKUP($G43,IMPORTRANGE(""https://docs.google.com/spreadsheets/d/1Gpl6jkTg7sL4VDNimUm3S9Vi1i95esohXCF3wuKOE8c"", ""'CONSOLIDADO'!G5:AB""), 10, 0) &lt;&gt; 0, 
IFERROR(VLOOKUP($G43,IMPORTRANGE(""https://docs.google.com/spreadsheets/d/1Gpl6jkTg7sL4VDNimUm3"&amp;"S9Vi1i95esohXCF3wuKOE8c"", ""'CONSOLIDADO'!G5:AB""), 18, 0), ""-""),
""""
)"),"Molino Corona para granos tolva alta")</f>
        <v>Molino Corona para granos tolva alta</v>
      </c>
      <c r="X43" s="39" t="b">
        <f>IF(AND(T43=V43,W43=U43),TRUE,FALSE)</f>
        <v>1</v>
      </c>
      <c r="Y43" s="120" t="str">
        <f>IFERROR(__xludf.DUMMYFUNCTION(" IF
( VLOOKUP($G43,IMPORTRANGE(""https://docs.google.com/spreadsheets/d/1Gpl6jkTg7sL4VDNimUm3S9Vi1i95esohXCF3wuKOE8c"", ""'CONSOLIDADO'!G5:AB""), 10, 0) &lt;&gt; 0, 
IFERROR(VLOOKUP($G43,IMPORTRANGE(""https://docs.google.com/spreadsheets/d/1Gpl6jkTg7sL4VDNimUm3"&amp;"S9Vi1i95esohXCF3wuKOE8c"", ""'CONSOLIDADO'!G5:AB""), 19, 0), ""-""),
""""
)"),"https://www.sodimac.com.pe/sodimac-pe/articulo/139703373/MOLEDORA-Molino-Corona-para-granos-tolva-alta-ACERO-INOXIDABLE/139703374?kid=goosho_669251&amp;shop=googleShopping&amp;gad_source=1&amp;gad_campaignid=21524729896&amp;gbraid=0AAAAADOx_1_Hy1GeQttYGYROJP_RczuWw&amp;gclid"&amp;"=Cj0KCQiA9OnJBhD-ARIsAPV51xMmNeGneGHblgiuAD1iM_hpClOyUHHSfa32wHOhms_OfvRpoAQO_uAaAuRzEALw_wcB")</f>
        <v>https://www.sodimac.com.pe/sodimac-pe/articulo/139703373/MOLEDORA-Molino-Corona-para-granos-tolva-alta-ACERO-INOXIDABLE/139703374?kid=goosho_669251&amp;shop=googleShopping&amp;gad_source=1&amp;gad_campaignid=21524729896&amp;gbraid=0AAAAADOx_1_Hy1GeQttYGYROJP_RczuWw&amp;gclid=Cj0KCQiA9OnJBhD-ARIsAPV51xMmNeGneGHblgiuAD1iM_hpClOyUHHSfa32wHOhms_OfvRpoAQO_uAaAuRzEALw_wcB</v>
      </c>
      <c r="Z43" s="37" t="str">
        <f>IFERROR(__xludf.DUMMYFUNCTION("IFERROR(VLOOKUP(G43,IMPORTRANGE(""https://docs.google.com/spreadsheets/d/12RxCea4e5ggM7QGn1XE3FbLQa_-QbCNdBi90OdPjRqg"", ""'Plan de Compras'!D4:Q""), 12, 0), ""NO ESTÁ EN REQ"")"),"Técnica")</f>
        <v>Técnica</v>
      </c>
      <c r="AA43" s="37" t="str">
        <f>IFERROR(__xludf.DUMMYFUNCTION("IFERROR(VLOOKUP(G43,IMPORTRANGE(""https://docs.google.com/spreadsheets/d/12RxCea4e5ggM7QGn1XE3FbLQa_-QbCNdBi90OdPjRqg"", ""'Plan de Compras'!D4:Q""), 13, 0), """")"),"NACIONAL")</f>
        <v>NACIONAL</v>
      </c>
      <c r="AB43" s="32" t="str">
        <f>IFERROR(__xludf.DUMMYFUNCTION("IFERROR(VLOOKUP(G43,IMPORTRANGE(""https://docs.google.com/spreadsheets/d/12RxCea4e5ggM7QGn1XE3FbLQa_-QbCNdBi90OdPjRqg"", ""'Plan de Compras'!D4:Q""), 14, 0), """")"),"JESSICA")</f>
        <v>JESSICA</v>
      </c>
      <c r="AC43" s="72" t="str">
        <f>IFERROR(__xludf.DUMMYFUNCTION("IFERROR(VLOOKUP(G43,IMPORTRANGE(""https://docs.google.com/spreadsheets/d/12RxCea4e5ggM7QGn1XE3FbLQa_-QbCNdBi90OdPjRqg"", ""'Plan de Compras'!D4:Q""), 4, 0), """")"),"DESCASCARILLADOR")</f>
        <v>DESCASCARILLADOR</v>
      </c>
      <c r="AD43" s="37" t="str">
        <f>IFERROR(__xludf.DUMMYFUNCTION("IFERROR(IF(OR(C43=TRUE,C43=""""),VLOOKUP(G43,IMPORTRANGE(""https://docs.google.com/spreadsheets/d/1z9A1Wq-kKrhRNG5RS2a2fKpY1wIhSVz2ZNmP2mOl588/edit?usp=sharing"",""REQ VF!E4:H""),4,0),""NO APLICA""),""GENERAR REQ"")"),"GENERAR REQ")</f>
        <v>GENERAR REQ</v>
      </c>
      <c r="AE43" s="32" t="str">
        <f>IFERROR(__xludf.DUMMYFUNCTION("IFERROR(QUERY(IMPORTRANGE(""https://docs.google.com/spreadsheets/d/1z9A1Wq-kKrhRNG5RS2a2fKpY1wIhSVz2ZNmP2mOl588/edit?usp=sharing"",""REQ VF!E4:Q""),""SELECT Col10, Col11, Col12 WHERE Col1 = '""&amp;G43&amp;""'"",0),""NO APLICA"")"),"NO APLICA")</f>
        <v>NO APLICA</v>
      </c>
      <c r="AF43" s="32"/>
      <c r="AG43" s="32"/>
      <c r="AH43" s="13"/>
      <c r="AI43" s="13"/>
    </row>
    <row r="44">
      <c r="A44" s="43"/>
      <c r="B44" s="43"/>
      <c r="C44" s="26" t="b">
        <v>1</v>
      </c>
      <c r="D44" s="26" t="s">
        <v>42</v>
      </c>
      <c r="E44" s="26" t="s">
        <v>1510</v>
      </c>
      <c r="F44" s="59" t="s">
        <v>1641</v>
      </c>
      <c r="G44" s="39" t="s">
        <v>1644</v>
      </c>
      <c r="H44" s="40" t="s">
        <v>44</v>
      </c>
      <c r="I44" s="43">
        <v>4.0</v>
      </c>
      <c r="J44" s="26">
        <f>IFERROR(__xludf.DUMMYFUNCTION("VLOOKUP(G44,IMPORTRANGE(""https://docs.google.com/spreadsheets/d/12RxCea4e5ggM7QGn1XE3FbLQa_-QbCNdBi90OdPjRqg/edit?gid=1692403370#gid=1692403370"", ""'Plan de Compras'!D4:2432""), 8,0)"),4.0)</f>
        <v>4</v>
      </c>
      <c r="K44" s="26" t="str">
        <f t="shared" si="1"/>
        <v>SI</v>
      </c>
      <c r="L44" s="26"/>
      <c r="M44" s="32"/>
      <c r="N44" s="32" t="s">
        <v>166</v>
      </c>
      <c r="O44" s="32" t="s">
        <v>99</v>
      </c>
      <c r="P44" s="32" t="s">
        <v>1645</v>
      </c>
      <c r="Q44" s="41" t="s">
        <v>99</v>
      </c>
      <c r="R44" s="32"/>
      <c r="S44" s="34" t="b">
        <v>1</v>
      </c>
      <c r="T44" s="39" t="s">
        <v>47</v>
      </c>
      <c r="U44" s="43" t="s">
        <v>1646</v>
      </c>
      <c r="V44" s="39"/>
      <c r="W44" s="39"/>
      <c r="X44" s="39"/>
      <c r="Y44" s="124"/>
      <c r="Z44" s="37" t="str">
        <f>IFERROR(__xludf.DUMMYFUNCTION("IFERROR(VLOOKUP(G44,IMPORTRANGE(""https://docs.google.com/spreadsheets/d/12RxCea4e5ggM7QGn1XE3FbLQa_-QbCNdBi90OdPjRqg"", ""'Plan de Compras'!D4:Q""), 12, 0), ""NO ESTÁ EN REQ"")"),"Simple")</f>
        <v>Simple</v>
      </c>
      <c r="AA44" s="37" t="str">
        <f>IFERROR(__xludf.DUMMYFUNCTION("IFERROR(VLOOKUP(G44,IMPORTRANGE(""https://docs.google.com/spreadsheets/d/12RxCea4e5ggM7QGn1XE3FbLQa_-QbCNdBi90OdPjRqg"", ""'Plan de Compras'!D4:Q""), 13, 0), """")"),"NACIONAL")</f>
        <v>NACIONAL</v>
      </c>
      <c r="AB44" s="32" t="str">
        <f>IFERROR(__xludf.DUMMYFUNCTION("IFERROR(VLOOKUP(G44,IMPORTRANGE(""https://docs.google.com/spreadsheets/d/12RxCea4e5ggM7QGn1XE3FbLQa_-QbCNdBi90OdPjRqg"", ""'Plan de Compras'!D4:Q""), 14, 0), """")"),"ANGIE")</f>
        <v>ANGIE</v>
      </c>
      <c r="AC44" s="72" t="str">
        <f>IFERROR(__xludf.DUMMYFUNCTION("IFERROR(VLOOKUP(G44,IMPORTRANGE(""https://docs.google.com/spreadsheets/d/12RxCea4e5ggM7QGn1XE3FbLQa_-QbCNdBi90OdPjRqg"", ""'Plan de Compras'!D4:Q""), 4, 0), """")"),"FUNDA IMPERMEABLE (1 UND)")</f>
        <v>FUNDA IMPERMEABLE (1 UND)</v>
      </c>
      <c r="AD44" s="37" t="str">
        <f>IFERROR(__xludf.DUMMYFUNCTION("IFERROR(IF(OR(C44=TRUE,C44=""""),VLOOKUP(G44,IMPORTRANGE(""https://docs.google.com/spreadsheets/d/1z9A1Wq-kKrhRNG5RS2a2fKpY1wIhSVz2ZNmP2mOl588/edit?usp=sharing"",""REQ VF!E4:H""),4,0),""NO APLICA""),""GENERAR REQ"")"),"GENERAR REQ")</f>
        <v>GENERAR REQ</v>
      </c>
      <c r="AE44" s="32" t="str">
        <f>IFERROR(__xludf.DUMMYFUNCTION("IFERROR(QUERY(IMPORTRANGE(""https://docs.google.com/spreadsheets/d/1z9A1Wq-kKrhRNG5RS2a2fKpY1wIhSVz2ZNmP2mOl588/edit?usp=sharing"",""REQ VF!E4:Q""),""SELECT Col10, Col11, Col12 WHERE Col1 = '""&amp;G44&amp;""'"",0),""NO APLICA"")"),"NO APLICA")</f>
        <v>NO APLICA</v>
      </c>
      <c r="AF44" s="32"/>
      <c r="AG44" s="32"/>
      <c r="AH44" s="13"/>
      <c r="AI44" s="13"/>
    </row>
    <row r="45">
      <c r="A45" s="43"/>
      <c r="B45" s="43"/>
      <c r="C45" s="26" t="b">
        <v>0</v>
      </c>
      <c r="D45" s="26" t="s">
        <v>42</v>
      </c>
      <c r="E45" s="43" t="s">
        <v>1510</v>
      </c>
      <c r="F45" s="39" t="s">
        <v>1641</v>
      </c>
      <c r="G45" s="39" t="s">
        <v>1647</v>
      </c>
      <c r="H45" s="40" t="s">
        <v>1648</v>
      </c>
      <c r="I45" s="43">
        <v>0.0</v>
      </c>
      <c r="J45" s="26" t="str">
        <f>IFERROR(__xludf.DUMMYFUNCTION("VLOOKUP(G45,IMPORTRANGE(""https://docs.google.com/spreadsheets/d/12RxCea4e5ggM7QGn1XE3FbLQa_-QbCNdBi90OdPjRqg/edit?gid=1692403370#gid=1692403370"", ""'Plan de Compras'!D4:2432""), 8,0)"),"#N/A")</f>
        <v>#N/A</v>
      </c>
      <c r="K45" s="26" t="str">
        <f t="shared" si="1"/>
        <v>-</v>
      </c>
      <c r="L45" s="26"/>
      <c r="M45" s="32"/>
      <c r="N45" s="32"/>
      <c r="O45" s="32"/>
      <c r="P45" s="32"/>
      <c r="Q45" s="41"/>
      <c r="R45" s="32"/>
      <c r="S45" s="34" t="b">
        <v>1</v>
      </c>
      <c r="T45" s="39" t="s">
        <v>1649</v>
      </c>
      <c r="U45" s="39" t="s">
        <v>119</v>
      </c>
      <c r="V45" s="39"/>
      <c r="W45" s="39"/>
      <c r="X45" s="39"/>
      <c r="Y45" s="124"/>
      <c r="Z45" s="37" t="str">
        <f>IFERROR(__xludf.DUMMYFUNCTION("IFERROR(VLOOKUP(G45,IMPORTRANGE(""https://docs.google.com/spreadsheets/d/12RxCea4e5ggM7QGn1XE3FbLQa_-QbCNdBi90OdPjRqg"", ""'Plan de Compras'!D4:Q""), 12, 0), ""NO ESTÁ EN REQ"")"),"NO ESTÁ EN REQ")</f>
        <v>NO ESTÁ EN REQ</v>
      </c>
      <c r="AA45" s="37" t="str">
        <f>IFERROR(__xludf.DUMMYFUNCTION("IFERROR(VLOOKUP(G45,IMPORTRANGE(""https://docs.google.com/spreadsheets/d/12RxCea4e5ggM7QGn1XE3FbLQa_-QbCNdBi90OdPjRqg"", ""'Plan de Compras'!D4:Q""), 13, 0), """")"),"")</f>
        <v/>
      </c>
      <c r="AB45" s="32" t="str">
        <f>IFERROR(__xludf.DUMMYFUNCTION("IFERROR(VLOOKUP(G45,IMPORTRANGE(""https://docs.google.com/spreadsheets/d/12RxCea4e5ggM7QGn1XE3FbLQa_-QbCNdBi90OdPjRqg"", ""'Plan de Compras'!D4:Q""), 14, 0), """")"),"")</f>
        <v/>
      </c>
      <c r="AC45" s="72" t="str">
        <f>IFERROR(__xludf.DUMMYFUNCTION("IFERROR(VLOOKUP(G45,IMPORTRANGE(""https://docs.google.com/spreadsheets/d/12RxCea4e5ggM7QGn1XE3FbLQa_-QbCNdBi90OdPjRqg"", ""'Plan de Compras'!D4:Q""), 4, 0), """")"),"")</f>
        <v/>
      </c>
      <c r="AD45" s="37" t="str">
        <f>IFERROR(__xludf.DUMMYFUNCTION("IFERROR(IF(OR(C45=TRUE,C45=""""),VLOOKUP(G45,IMPORTRANGE(""https://docs.google.com/spreadsheets/d/1z9A1Wq-kKrhRNG5RS2a2fKpY1wIhSVz2ZNmP2mOl588/edit?usp=sharing"",""REQ VF!E4:H""),4,0),""NO APLICA""),""GENERAR REQ"")"),"NO APLICA")</f>
        <v>NO APLICA</v>
      </c>
      <c r="AE45" s="32" t="str">
        <f>IFERROR(__xludf.DUMMYFUNCTION("IFERROR(QUERY(IMPORTRANGE(""https://docs.google.com/spreadsheets/d/1z9A1Wq-kKrhRNG5RS2a2fKpY1wIhSVz2ZNmP2mOl588/edit?usp=sharing"",""REQ VF!E4:Q""),""SELECT Col10, Col11, Col12 WHERE Col1 = '""&amp;G45&amp;""'"",0),""NO APLICA"")"),"NO APLICA")</f>
        <v>NO APLICA</v>
      </c>
      <c r="AF45" s="32"/>
      <c r="AG45" s="32"/>
      <c r="AH45" s="13"/>
      <c r="AI45" s="13"/>
    </row>
    <row r="46">
      <c r="A46" s="117">
        <v>31.0</v>
      </c>
      <c r="B46" s="43" t="b">
        <v>1</v>
      </c>
      <c r="C46" s="26" t="b">
        <v>1</v>
      </c>
      <c r="D46" s="26" t="s">
        <v>35</v>
      </c>
      <c r="E46" s="26" t="s">
        <v>36</v>
      </c>
      <c r="F46" s="59" t="s">
        <v>1650</v>
      </c>
      <c r="G46" s="37" t="s">
        <v>1650</v>
      </c>
      <c r="H46" s="82" t="s">
        <v>1651</v>
      </c>
      <c r="I46" s="43">
        <f>SUMIFS('Hoja 10'!$O:$O,'Hoja 10'!$F:$F,$G46)</f>
        <v>4</v>
      </c>
      <c r="J46" s="26">
        <f>IFERROR(__xludf.DUMMYFUNCTION("VLOOKUP(G46,IMPORTRANGE(""https://docs.google.com/spreadsheets/d/12RxCea4e5ggM7QGn1XE3FbLQa_-QbCNdBi90OdPjRqg/edit?gid=1692403370#gid=1692403370"", ""'Plan de Compras'!D4:2432""), 8,0)"),4.0)</f>
        <v>4</v>
      </c>
      <c r="K46" s="26" t="str">
        <f t="shared" si="1"/>
        <v>SI</v>
      </c>
      <c r="L46" s="29" t="s">
        <v>39</v>
      </c>
      <c r="M46" s="30" t="s">
        <v>40</v>
      </c>
      <c r="N46" s="32"/>
      <c r="O46" s="32" t="str">
        <f>VLOOKUP($G46,'Hoja 10'!$F$4:$AA1057, 19,0)</f>
        <v>SICH</v>
      </c>
      <c r="P46" s="32" t="str">
        <f>VLOOKUP($G46,'Hoja 10'!$F$4:$AA1057, 20,0)</f>
        <v>SCM-80</v>
      </c>
      <c r="Q46" s="33" t="str">
        <f>VLOOKUP($G46,'Hoja 10'!$F$4:$AA1057, 21,0)</f>
        <v>https://boxa.com.pe/lacteos/descremador-de-leche-electrica-de-110-litros/</v>
      </c>
      <c r="R46" s="30" t="s">
        <v>1652</v>
      </c>
      <c r="S46" s="44" t="b">
        <v>1</v>
      </c>
      <c r="T46" s="39" t="str">
        <f>IFERROR(__xludf.DUMMYFUNCTION(" IF
( VLOOKUP($G46,IMPORTRANGE(""https://docs.google.com/spreadsheets/d/1Gpl6jkTg7sL4VDNimUm3S9Vi1i95esohXCF3wuKOE8c"", ""'CONSOLIDADO'!G5:AB""), 10, 0) &lt;&gt; 0, 
IFERROR(VLOOKUP($G46,IMPORTRANGE(""https://docs.google.com/spreadsheets/d/1Gpl6jkTg7sL4VDNimUm3"&amp;"S9Vi1i95esohXCF3wuKOE8c"", ""'CONSOLIDADO'!G5:AB""), 17, 0), ""-""),
""""
)"),"BOXA")</f>
        <v>BOXA</v>
      </c>
      <c r="U46" s="39" t="str">
        <f>IFERROR(__xludf.DUMMYFUNCTION(" IF
( VLOOKUP($G46,IMPORTRANGE(""https://docs.google.com/spreadsheets/d/1Gpl6jkTg7sL4VDNimUm3S9Vi1i95esohXCF3wuKOE8c"", ""'CONSOLIDADO'!G5:AB""), 10, 0) &lt;&gt; 0, 
IFERROR(VLOOKUP($G46,IMPORTRANGE(""https://docs.google.com/spreadsheets/d/1Gpl6jkTg7sL4VDNimUm3"&amp;"S9Vi1i95esohXCF3wuKOE8c"", ""'CONSOLIDADO'!G5:AB""), 18, 0), ""-""),
""""
)"),"SCMR-80")</f>
        <v>SCMR-80</v>
      </c>
      <c r="V46" s="39" t="str">
        <f>IFERROR(__xludf.DUMMYFUNCTION(" IF
( VLOOKUP($G46,IMPORTRANGE(""https://docs.google.com/spreadsheets/d/1Gpl6jkTg7sL4VDNimUm3S9Vi1i95esohXCF3wuKOE8c"", ""'CONSOLIDADO'!G5:AB""), 10, 0) &lt;&gt; 0, 
IFERROR(VLOOKUP($G46,IMPORTRANGE(""https://docs.google.com/spreadsheets/d/1Gpl6jkTg7sL4VDNimUm3"&amp;"S9Vi1i95esohXCF3wuKOE8c"", ""'CONSOLIDADO'!G5:AB""), 17, 0), ""-""),
""""
)"),"BOXA")</f>
        <v>BOXA</v>
      </c>
      <c r="W46" s="39" t="str">
        <f>IFERROR(__xludf.DUMMYFUNCTION(" IF
( VLOOKUP($G46,IMPORTRANGE(""https://docs.google.com/spreadsheets/d/1Gpl6jkTg7sL4VDNimUm3S9Vi1i95esohXCF3wuKOE8c"", ""'CONSOLIDADO'!G5:AB""), 10, 0) &lt;&gt; 0, 
IFERROR(VLOOKUP($G46,IMPORTRANGE(""https://docs.google.com/spreadsheets/d/1Gpl6jkTg7sL4VDNimUm3"&amp;"S9Vi1i95esohXCF3wuKOE8c"", ""'CONSOLIDADO'!G5:AB""), 18, 0), ""-""),
""""
)"),"SCMR-80")</f>
        <v>SCMR-80</v>
      </c>
      <c r="X46" s="39" t="b">
        <f>IF(AND(T46=V46,W46=U46),TRUE,FALSE)</f>
        <v>1</v>
      </c>
      <c r="Y46" s="120" t="str">
        <f>IFERROR(__xludf.DUMMYFUNCTION(" IF
( VLOOKUP($G46,IMPORTRANGE(""https://docs.google.com/spreadsheets/d/1Gpl6jkTg7sL4VDNimUm3S9Vi1i95esohXCF3wuKOE8c"", ""'CONSOLIDADO'!G5:AB""), 10, 0) &lt;&gt; 0, 
IFERROR(VLOOKUP($G46,IMPORTRANGE(""https://docs.google.com/spreadsheets/d/1Gpl6jkTg7sL4VDNimUm3"&amp;"S9Vi1i95esohXCF3wuKOE8c"", ""'CONSOLIDADO'!G5:AB""), 19, 0), ""-""),
""""
)"),"https://boxa.com.pe/lacteos/descremador-de-leche-manual-de-80-100-litros/")</f>
        <v>https://boxa.com.pe/lacteos/descremador-de-leche-manual-de-80-100-litros/</v>
      </c>
      <c r="Z46" s="37" t="str">
        <f>IFERROR(__xludf.DUMMYFUNCTION("IFERROR(VLOOKUP(G46,IMPORTRANGE(""https://docs.google.com/spreadsheets/d/12RxCea4e5ggM7QGn1XE3FbLQa_-QbCNdBi90OdPjRqg"", ""'Plan de Compras'!D4:Q""), 12, 0), ""NO ESTÁ EN REQ"")"),"Técnica")</f>
        <v>Técnica</v>
      </c>
      <c r="AA46" s="37" t="str">
        <f>IFERROR(__xludf.DUMMYFUNCTION("IFERROR(VLOOKUP(G46,IMPORTRANGE(""https://docs.google.com/spreadsheets/d/12RxCea4e5ggM7QGn1XE3FbLQa_-QbCNdBi90OdPjRqg"", ""'Plan de Compras'!D4:Q""), 13, 0), """")"),"NACIONAL")</f>
        <v>NACIONAL</v>
      </c>
      <c r="AB46" s="32" t="str">
        <f>IFERROR(__xludf.DUMMYFUNCTION("IFERROR(VLOOKUP(G46,IMPORTRANGE(""https://docs.google.com/spreadsheets/d/12RxCea4e5ggM7QGn1XE3FbLQa_-QbCNdBi90OdPjRqg"", ""'Plan de Compras'!D4:Q""), 14, 0), """")"),"ANGIE")</f>
        <v>ANGIE</v>
      </c>
      <c r="AC46" s="72" t="str">
        <f>IFERROR(__xludf.DUMMYFUNCTION("IFERROR(VLOOKUP(G46,IMPORTRANGE(""https://docs.google.com/spreadsheets/d/12RxCea4e5ggM7QGn1XE3FbLQa_-QbCNdBi90OdPjRqg"", ""'Plan de Compras'!D4:Q""), 4, 0), """")"),"DESCREMADORA MANUAL")</f>
        <v>DESCREMADORA MANUAL</v>
      </c>
      <c r="AD46" s="37" t="str">
        <f>IFERROR(__xludf.DUMMYFUNCTION("IFERROR(IF(OR(C46=TRUE,C46=""""),VLOOKUP(G46,IMPORTRANGE(""https://docs.google.com/spreadsheets/d/1z9A1Wq-kKrhRNG5RS2a2fKpY1wIhSVz2ZNmP2mOl588/edit?usp=sharing"",""REQ VF!E4:H""),4,0),""NO APLICA""),""GENERAR REQ"")"),"GENERAR REQ")</f>
        <v>GENERAR REQ</v>
      </c>
      <c r="AE46" s="32" t="str">
        <f>IFERROR(__xludf.DUMMYFUNCTION("IFERROR(QUERY(IMPORTRANGE(""https://docs.google.com/spreadsheets/d/1z9A1Wq-kKrhRNG5RS2a2fKpY1wIhSVz2ZNmP2mOl588/edit?usp=sharing"",""REQ VF!E4:Q""),""SELECT Col10, Col11, Col12 WHERE Col1 = '""&amp;G46&amp;""'"",0),""NO APLICA"")"),"NO APLICA")</f>
        <v>NO APLICA</v>
      </c>
      <c r="AF46" s="32"/>
      <c r="AG46" s="32"/>
      <c r="AH46" s="13"/>
      <c r="AI46" s="13"/>
    </row>
    <row r="47">
      <c r="A47" s="43"/>
      <c r="B47" s="43"/>
      <c r="C47" s="26" t="b">
        <v>1</v>
      </c>
      <c r="D47" s="26" t="s">
        <v>42</v>
      </c>
      <c r="E47" s="26" t="s">
        <v>36</v>
      </c>
      <c r="F47" s="59" t="s">
        <v>1650</v>
      </c>
      <c r="G47" s="39" t="s">
        <v>1653</v>
      </c>
      <c r="H47" s="40" t="s">
        <v>44</v>
      </c>
      <c r="I47" s="43">
        <v>4.0</v>
      </c>
      <c r="J47" s="26">
        <f>IFERROR(__xludf.DUMMYFUNCTION("VLOOKUP(G47,IMPORTRANGE(""https://docs.google.com/spreadsheets/d/12RxCea4e5ggM7QGn1XE3FbLQa_-QbCNdBi90OdPjRqg/edit?gid=1692403370#gid=1692403370"", ""'Plan de Compras'!D4:2432""), 8,0)"),4.0)</f>
        <v>4</v>
      </c>
      <c r="K47" s="26" t="str">
        <f t="shared" si="1"/>
        <v>SI</v>
      </c>
      <c r="L47" s="26"/>
      <c r="M47" s="32"/>
      <c r="N47" s="32" t="s">
        <v>166</v>
      </c>
      <c r="O47" s="32" t="s">
        <v>99</v>
      </c>
      <c r="P47" s="32" t="s">
        <v>1654</v>
      </c>
      <c r="Q47" s="33" t="s">
        <v>1655</v>
      </c>
      <c r="R47" s="32"/>
      <c r="S47" s="34" t="b">
        <v>1</v>
      </c>
      <c r="T47" s="39" t="s">
        <v>47</v>
      </c>
      <c r="U47" s="43" t="s">
        <v>1656</v>
      </c>
      <c r="V47" s="39"/>
      <c r="W47" s="39"/>
      <c r="X47" s="39"/>
      <c r="Y47" s="124"/>
      <c r="Z47" s="37" t="str">
        <f>IFERROR(__xludf.DUMMYFUNCTION("IFERROR(VLOOKUP(G47,IMPORTRANGE(""https://docs.google.com/spreadsheets/d/12RxCea4e5ggM7QGn1XE3FbLQa_-QbCNdBi90OdPjRqg"", ""'Plan de Compras'!D4:Q""), 12, 0), ""NO ESTÁ EN REQ"")"),"Técnica")</f>
        <v>Técnica</v>
      </c>
      <c r="AA47" s="37" t="str">
        <f>IFERROR(__xludf.DUMMYFUNCTION("IFERROR(VLOOKUP(G47,IMPORTRANGE(""https://docs.google.com/spreadsheets/d/12RxCea4e5ggM7QGn1XE3FbLQa_-QbCNdBi90OdPjRqg"", ""'Plan de Compras'!D4:Q""), 13, 0), """")"),"NACIONAL")</f>
        <v>NACIONAL</v>
      </c>
      <c r="AB47" s="32" t="str">
        <f>IFERROR(__xludf.DUMMYFUNCTION("IFERROR(VLOOKUP(G47,IMPORTRANGE(""https://docs.google.com/spreadsheets/d/12RxCea4e5ggM7QGn1XE3FbLQa_-QbCNdBi90OdPjRqg"", ""'Plan de Compras'!D4:Q""), 14, 0), """")"),"ANGIE")</f>
        <v>ANGIE</v>
      </c>
      <c r="AC47" s="72" t="str">
        <f>IFERROR(__xludf.DUMMYFUNCTION("IFERROR(VLOOKUP(G47,IMPORTRANGE(""https://docs.google.com/spreadsheets/d/12RxCea4e5ggM7QGn1XE3FbLQa_-QbCNdBi90OdPjRqg"", ""'Plan de Compras'!D4:Q""), 4, 0), """")"),"FUNDA IMPERMEABLE (1 UND)")</f>
        <v>FUNDA IMPERMEABLE (1 UND)</v>
      </c>
      <c r="AD47" s="37" t="str">
        <f>IFERROR(__xludf.DUMMYFUNCTION("IFERROR(IF(OR(C47=TRUE,C47=""""),VLOOKUP(G47,IMPORTRANGE(""https://docs.google.com/spreadsheets/d/1z9A1Wq-kKrhRNG5RS2a2fKpY1wIhSVz2ZNmP2mOl588/edit?usp=sharing"",""REQ VF!E4:H""),4,0),""NO APLICA""),""GENERAR REQ"")"),"GENERAR REQ")</f>
        <v>GENERAR REQ</v>
      </c>
      <c r="AE47" s="32" t="str">
        <f>IFERROR(__xludf.DUMMYFUNCTION("IFERROR(QUERY(IMPORTRANGE(""https://docs.google.com/spreadsheets/d/1z9A1Wq-kKrhRNG5RS2a2fKpY1wIhSVz2ZNmP2mOl588/edit?usp=sharing"",""REQ VF!E4:Q""),""SELECT Col10, Col11, Col12 WHERE Col1 = '""&amp;G47&amp;""'"",0),""NO APLICA"")"),"NO APLICA")</f>
        <v>NO APLICA</v>
      </c>
      <c r="AF47" s="32"/>
      <c r="AG47" s="32"/>
      <c r="AH47" s="13"/>
      <c r="AI47" s="13"/>
    </row>
    <row r="48">
      <c r="A48" s="121">
        <v>32.0</v>
      </c>
      <c r="B48" s="43" t="b">
        <v>1</v>
      </c>
      <c r="C48" s="26" t="b">
        <v>1</v>
      </c>
      <c r="D48" s="26" t="s">
        <v>35</v>
      </c>
      <c r="E48" s="26" t="s">
        <v>1510</v>
      </c>
      <c r="F48" s="59" t="s">
        <v>1657</v>
      </c>
      <c r="G48" s="37" t="s">
        <v>1657</v>
      </c>
      <c r="H48" s="82" t="s">
        <v>1658</v>
      </c>
      <c r="I48" s="43">
        <f>SUMIFS('Hoja 10'!$O:$O,'Hoja 10'!$F:$F,$G48)</f>
        <v>4</v>
      </c>
      <c r="J48" s="26">
        <f>IFERROR(__xludf.DUMMYFUNCTION("VLOOKUP(G48,IMPORTRANGE(""https://docs.google.com/spreadsheets/d/12RxCea4e5ggM7QGn1XE3FbLQa_-QbCNdBi90OdPjRqg/edit?gid=1692403370#gid=1692403370"", ""'Plan de Compras'!D4:2432""), 8,0)"),4.0)</f>
        <v>4</v>
      </c>
      <c r="K48" s="26" t="str">
        <f t="shared" si="1"/>
        <v>SI</v>
      </c>
      <c r="L48" s="29" t="s">
        <v>39</v>
      </c>
      <c r="M48" s="30" t="s">
        <v>40</v>
      </c>
      <c r="N48" s="32"/>
      <c r="O48" s="32" t="str">
        <f>VLOOKUP($G48,'Hoja 10'!$F$4:$AA1057, 19,0)</f>
        <v>SACS</v>
      </c>
      <c r="P48" s="32" t="str">
        <f>VLOOKUP($G48,'Hoja 10'!$F$4:$AA1057, 20,0)</f>
        <v>SACS</v>
      </c>
      <c r="Q48" s="33" t="str">
        <f>VLOOKUP($G48,'Hoja 10'!$F$4:$AA1057, 21,0)</f>
        <v>https://sacsparisoutlet.com/producto-p-838265.html</v>
      </c>
      <c r="R48" s="30" t="s">
        <v>1659</v>
      </c>
      <c r="S48" s="44" t="b">
        <v>1</v>
      </c>
      <c r="T48" s="39" t="str">
        <f>IFERROR(__xludf.DUMMYFUNCTION(" IF
( VLOOKUP($G48,IMPORTRANGE(""https://docs.google.com/spreadsheets/d/1Gpl6jkTg7sL4VDNimUm3S9Vi1i95esohXCF3wuKOE8c"", ""'CONSOLIDADO'!G5:AB""), 10, 0) &lt;&gt; 0, 
IFERROR(VLOOKUP($G48,IMPORTRANGE(""https://docs.google.com/spreadsheets/d/1Gpl6jkTg7sL4VDNimUm3"&amp;"S9Vi1i95esohXCF3wuKOE8c"", ""'CONSOLIDADO'!G5:AB""), 17, 0), ""-""),
""""
)"),"Weston ")</f>
        <v>Weston </v>
      </c>
      <c r="U48" s="39" t="str">
        <f>IFERROR(__xludf.DUMMYFUNCTION(" IF
( VLOOKUP($G48,IMPORTRANGE(""https://docs.google.com/spreadsheets/d/1Gpl6jkTg7sL4VDNimUm3S9Vi1i95esohXCF3wuKOE8c"", ""'CONSOLIDADO'!G5:AB""), 10, 0) &lt;&gt; 0, 
IFERROR(VLOOKUP($G48,IMPORTRANGE(""https://docs.google.com/spreadsheets/d/1Gpl6jkTg7sL4VDNimUm3"&amp;"S9Vi1i95esohXCF3wuKOE8c"", ""'CONSOLIDADO'!G5:AB""), 18, 0), ""-""),
""""
)"),"Colador de tomate de metal, tolva de 1 galón, acero inoxidable")</f>
        <v>Colador de tomate de metal, tolva de 1 galón, acero inoxidable</v>
      </c>
      <c r="V48" s="39" t="str">
        <f>IFERROR(__xludf.DUMMYFUNCTION(" IF
( VLOOKUP($G48,IMPORTRANGE(""https://docs.google.com/spreadsheets/d/1Gpl6jkTg7sL4VDNimUm3S9Vi1i95esohXCF3wuKOE8c"", ""'CONSOLIDADO'!G5:AB""), 10, 0) &lt;&gt; 0, 
IFERROR(VLOOKUP($G48,IMPORTRANGE(""https://docs.google.com/spreadsheets/d/1Gpl6jkTg7sL4VDNimUm3"&amp;"S9Vi1i95esohXCF3wuKOE8c"", ""'CONSOLIDADO'!G5:AB""), 17, 0), ""-""),
""""
)"),"Weston ")</f>
        <v>Weston </v>
      </c>
      <c r="W48" s="39" t="str">
        <f>IFERROR(__xludf.DUMMYFUNCTION(" IF
( VLOOKUP($G48,IMPORTRANGE(""https://docs.google.com/spreadsheets/d/1Gpl6jkTg7sL4VDNimUm3S9Vi1i95esohXCF3wuKOE8c"", ""'CONSOLIDADO'!G5:AB""), 10, 0) &lt;&gt; 0, 
IFERROR(VLOOKUP($G48,IMPORTRANGE(""https://docs.google.com/spreadsheets/d/1Gpl6jkTg7sL4VDNimUm3"&amp;"S9Vi1i95esohXCF3wuKOE8c"", ""'CONSOLIDADO'!G5:AB""), 18, 0), ""-""),
""""
)"),"Colador de tomate de metal, tolva de 1 galón, acero inoxidable")</f>
        <v>Colador de tomate de metal, tolva de 1 galón, acero inoxidable</v>
      </c>
      <c r="X48" s="39" t="b">
        <f>IF(AND(T48=V48,W48=U48),TRUE,FALSE)</f>
        <v>1</v>
      </c>
      <c r="Y48" s="120" t="str">
        <f>IFERROR(__xludf.DUMMYFUNCTION(" IF
( VLOOKUP($G48,IMPORTRANGE(""https://docs.google.com/spreadsheets/d/1Gpl6jkTg7sL4VDNimUm3S9Vi1i95esohXCF3wuKOE8c"", ""'CONSOLIDADO'!G5:AB""), 10, 0) &lt;&gt; 0, 
IFERROR(VLOOKUP($G48,IMPORTRANGE(""https://docs.google.com/spreadsheets/d/1Gpl6jkTg7sL4VDNimUm3"&amp;"S9Vi1i95esohXCF3wuKOE8c"", ""'CONSOLIDADO'!G5:AB""), 19, 0), ""-""),
""""
)"),"https://www.amazon.com/-/es/gp/product/B07T7D1594/ref=ox_sc_act_title_1?smid=A2VLWSYLFN02RW&amp;th=1")</f>
        <v>https://www.amazon.com/-/es/gp/product/B07T7D1594/ref=ox_sc_act_title_1?smid=A2VLWSYLFN02RW&amp;th=1</v>
      </c>
      <c r="Z48" s="37" t="str">
        <f>IFERROR(__xludf.DUMMYFUNCTION("IFERROR(VLOOKUP(G48,IMPORTRANGE(""https://docs.google.com/spreadsheets/d/12RxCea4e5ggM7QGn1XE3FbLQa_-QbCNdBi90OdPjRqg"", ""'Plan de Compras'!D4:Q""), 12, 0), ""NO ESTÁ EN REQ"")"),"Técnica")</f>
        <v>Técnica</v>
      </c>
      <c r="AA48" s="37" t="str">
        <f>IFERROR(__xludf.DUMMYFUNCTION("IFERROR(VLOOKUP(G48,IMPORTRANGE(""https://docs.google.com/spreadsheets/d/12RxCea4e5ggM7QGn1XE3FbLQa_-QbCNdBi90OdPjRqg"", ""'Plan de Compras'!D4:Q""), 13, 0), """")"),"INTERNACIONAL")</f>
        <v>INTERNACIONAL</v>
      </c>
      <c r="AB48" s="32" t="str">
        <f>IFERROR(__xludf.DUMMYFUNCTION("IFERROR(VLOOKUP(G48,IMPORTRANGE(""https://docs.google.com/spreadsheets/d/12RxCea4e5ggM7QGn1XE3FbLQa_-QbCNdBi90OdPjRqg"", ""'Plan de Compras'!D4:Q""), 14, 0), """")"),"GEYDI")</f>
        <v>GEYDI</v>
      </c>
      <c r="AC48" s="72" t="str">
        <f>IFERROR(__xludf.DUMMYFUNCTION("IFERROR(VLOOKUP(G48,IMPORTRANGE(""https://docs.google.com/spreadsheets/d/12RxCea4e5ggM7QGn1XE3FbLQa_-QbCNdBi90OdPjRqg"", ""'Plan de Compras'!D4:Q""), 4, 0), """")"),"DESPULPADORA MANUAL DE FRUTAS")</f>
        <v>DESPULPADORA MANUAL DE FRUTAS</v>
      </c>
      <c r="AD48" s="37" t="str">
        <f>IFERROR(__xludf.DUMMYFUNCTION("IFERROR(IF(OR(C48=TRUE,C48=""""),VLOOKUP(G48,IMPORTRANGE(""https://docs.google.com/spreadsheets/d/1z9A1Wq-kKrhRNG5RS2a2fKpY1wIhSVz2ZNmP2mOl588/edit?usp=sharing"",""REQ VF!E4:H""),4,0),""NO APLICA""),""GENERAR REQ"")"),"GENERAR REQ")</f>
        <v>GENERAR REQ</v>
      </c>
      <c r="AE48" s="32" t="str">
        <f>IFERROR(__xludf.DUMMYFUNCTION("IFERROR(QUERY(IMPORTRANGE(""https://docs.google.com/spreadsheets/d/1z9A1Wq-kKrhRNG5RS2a2fKpY1wIhSVz2ZNmP2mOl588/edit?usp=sharing"",""REQ VF!E4:Q""),""SELECT Col10, Col11, Col12 WHERE Col1 = '""&amp;G48&amp;""'"",0),""NO APLICA"")"),"NO APLICA")</f>
        <v>NO APLICA</v>
      </c>
      <c r="AF48" s="32"/>
      <c r="AG48" s="32"/>
      <c r="AH48" s="8" t="s">
        <v>52</v>
      </c>
      <c r="AI48" s="13"/>
    </row>
    <row r="49">
      <c r="A49" s="43"/>
      <c r="B49" s="43"/>
      <c r="C49" s="26" t="b">
        <v>1</v>
      </c>
      <c r="D49" s="26" t="s">
        <v>42</v>
      </c>
      <c r="E49" s="26" t="s">
        <v>1510</v>
      </c>
      <c r="F49" s="59" t="s">
        <v>1657</v>
      </c>
      <c r="G49" s="39" t="s">
        <v>1660</v>
      </c>
      <c r="H49" s="40" t="s">
        <v>44</v>
      </c>
      <c r="I49" s="43">
        <v>4.0</v>
      </c>
      <c r="J49" s="26">
        <f>IFERROR(__xludf.DUMMYFUNCTION("VLOOKUP(G49,IMPORTRANGE(""https://docs.google.com/spreadsheets/d/12RxCea4e5ggM7QGn1XE3FbLQa_-QbCNdBi90OdPjRqg/edit?gid=1692403370#gid=1692403370"", ""'Plan de Compras'!D4:2432""), 8,0)"),4.0)</f>
        <v>4</v>
      </c>
      <c r="K49" s="26" t="str">
        <f t="shared" si="1"/>
        <v>SI</v>
      </c>
      <c r="L49" s="26"/>
      <c r="M49" s="32"/>
      <c r="N49" s="32" t="s">
        <v>166</v>
      </c>
      <c r="O49" s="32" t="s">
        <v>99</v>
      </c>
      <c r="P49" s="32" t="s">
        <v>1661</v>
      </c>
      <c r="Q49" s="41" t="s">
        <v>99</v>
      </c>
      <c r="R49" s="32"/>
      <c r="S49" s="34" t="b">
        <v>1</v>
      </c>
      <c r="T49" s="39" t="s">
        <v>47</v>
      </c>
      <c r="U49" s="43" t="s">
        <v>1662</v>
      </c>
      <c r="V49" s="39"/>
      <c r="W49" s="39"/>
      <c r="X49" s="39"/>
      <c r="Y49" s="124"/>
      <c r="Z49" s="37" t="str">
        <f>IFERROR(__xludf.DUMMYFUNCTION("IFERROR(VLOOKUP(G49,IMPORTRANGE(""https://docs.google.com/spreadsheets/d/12RxCea4e5ggM7QGn1XE3FbLQa_-QbCNdBi90OdPjRqg"", ""'Plan de Compras'!D4:Q""), 12, 0), ""NO ESTÁ EN REQ"")"),"Simple")</f>
        <v>Simple</v>
      </c>
      <c r="AA49" s="37" t="str">
        <f>IFERROR(__xludf.DUMMYFUNCTION("IFERROR(VLOOKUP(G49,IMPORTRANGE(""https://docs.google.com/spreadsheets/d/12RxCea4e5ggM7QGn1XE3FbLQa_-QbCNdBi90OdPjRqg"", ""'Plan de Compras'!D4:Q""), 13, 0), """")"),"NACIONAL")</f>
        <v>NACIONAL</v>
      </c>
      <c r="AB49" s="32" t="str">
        <f>IFERROR(__xludf.DUMMYFUNCTION("IFERROR(VLOOKUP(G49,IMPORTRANGE(""https://docs.google.com/spreadsheets/d/12RxCea4e5ggM7QGn1XE3FbLQa_-QbCNdBi90OdPjRqg"", ""'Plan de Compras'!D4:Q""), 14, 0), """")"),"ANGIE")</f>
        <v>ANGIE</v>
      </c>
      <c r="AC49" s="72" t="str">
        <f>IFERROR(__xludf.DUMMYFUNCTION("IFERROR(VLOOKUP(G49,IMPORTRANGE(""https://docs.google.com/spreadsheets/d/12RxCea4e5ggM7QGn1XE3FbLQa_-QbCNdBi90OdPjRqg"", ""'Plan de Compras'!D4:Q""), 4, 0), """")"),"FUNDA IMPERMEABLE (1 UND)")</f>
        <v>FUNDA IMPERMEABLE (1 UND)</v>
      </c>
      <c r="AD49" s="37" t="str">
        <f>IFERROR(__xludf.DUMMYFUNCTION("IFERROR(IF(OR(C49=TRUE,C49=""""),VLOOKUP(G49,IMPORTRANGE(""https://docs.google.com/spreadsheets/d/1z9A1Wq-kKrhRNG5RS2a2fKpY1wIhSVz2ZNmP2mOl588/edit?usp=sharing"",""REQ VF!E4:H""),4,0),""NO APLICA""),""GENERAR REQ"")"),"GENERAR REQ")</f>
        <v>GENERAR REQ</v>
      </c>
      <c r="AE49" s="32" t="str">
        <f>IFERROR(__xludf.DUMMYFUNCTION("IFERROR(QUERY(IMPORTRANGE(""https://docs.google.com/spreadsheets/d/1z9A1Wq-kKrhRNG5RS2a2fKpY1wIhSVz2ZNmP2mOl588/edit?usp=sharing"",""REQ VF!E4:Q""),""SELECT Col10, Col11, Col12 WHERE Col1 = '""&amp;G49&amp;""'"",0),""NO APLICA"")"),"NO APLICA")</f>
        <v>NO APLICA</v>
      </c>
      <c r="AF49" s="32"/>
      <c r="AG49" s="32"/>
      <c r="AH49" s="13"/>
      <c r="AI49" s="13"/>
    </row>
    <row r="50">
      <c r="A50" s="121">
        <v>33.0</v>
      </c>
      <c r="B50" s="43" t="b">
        <v>1</v>
      </c>
      <c r="C50" s="26" t="b">
        <v>1</v>
      </c>
      <c r="D50" s="26" t="s">
        <v>35</v>
      </c>
      <c r="E50" s="26" t="s">
        <v>1510</v>
      </c>
      <c r="F50" s="59" t="s">
        <v>1663</v>
      </c>
      <c r="G50" s="37" t="s">
        <v>1663</v>
      </c>
      <c r="H50" s="82" t="s">
        <v>1664</v>
      </c>
      <c r="I50" s="43">
        <f>SUMIFS('Hoja 10'!$O:$O,'Hoja 10'!$F:$F,$G50)</f>
        <v>4</v>
      </c>
      <c r="J50" s="26">
        <f>IFERROR(__xludf.DUMMYFUNCTION("VLOOKUP(G50,IMPORTRANGE(""https://docs.google.com/spreadsheets/d/12RxCea4e5ggM7QGn1XE3FbLQa_-QbCNdBi90OdPjRqg/edit?gid=1692403370#gid=1692403370"", ""'Plan de Compras'!D4:2432""), 8,0)"),4.0)</f>
        <v>4</v>
      </c>
      <c r="K50" s="26" t="str">
        <f t="shared" si="1"/>
        <v>SI</v>
      </c>
      <c r="L50" s="29" t="s">
        <v>296</v>
      </c>
      <c r="M50" s="30" t="s">
        <v>297</v>
      </c>
      <c r="N50" s="32"/>
      <c r="O50" s="32" t="str">
        <f>VLOOKUP($G50,'Hoja 10'!$F$4:$AA1057, 19,0)</f>
        <v>De Walt</v>
      </c>
      <c r="P50" s="32" t="str">
        <f>VLOOKUP($G50,'Hoja 10'!$F$4:$AA1057, 20,0)</f>
        <v>DWA03230</v>
      </c>
      <c r="Q50" s="33" t="str">
        <f>VLOOKUP($G50,'Hoja 10'!$F$4:$AA1057, 21,0)</f>
        <v>https://sodimac.falabella.com.pe/sodimac-pe/product/113093111/Disco-Sierra-de-12''-de-80-Dientes-Dewalt/113093118</v>
      </c>
      <c r="R50" s="30" t="s">
        <v>1665</v>
      </c>
      <c r="S50" s="44" t="b">
        <v>1</v>
      </c>
      <c r="T50" s="39" t="str">
        <f>IFERROR(__xludf.DUMMYFUNCTION(" IF
( VLOOKUP($G50,IMPORTRANGE(""https://docs.google.com/spreadsheets/d/1Gpl6jkTg7sL4VDNimUm3S9Vi1i95esohXCF3wuKOE8c"", ""'CONSOLIDADO'!G5:AB""), 10, 0) &lt;&gt; 0, 
IFERROR(VLOOKUP($G50,IMPORTRANGE(""https://docs.google.com/spreadsheets/d/1Gpl6jkTg7sL4VDNimUm3"&amp;"S9Vi1i95esohXCF3wuKOE8c"", ""'CONSOLIDADO'!G5:AB""), 17, 0), ""-""),
""""
)"),"DEWALT")</f>
        <v>DEWALT</v>
      </c>
      <c r="U50" s="39" t="str">
        <f>IFERROR(__xludf.DUMMYFUNCTION(" IF
( VLOOKUP($G50,IMPORTRANGE(""https://docs.google.com/spreadsheets/d/1Gpl6jkTg7sL4VDNimUm3S9Vi1i95esohXCF3wuKOE8c"", ""'CONSOLIDADO'!G5:AB""), 10, 0) &lt;&gt; 0, 
IFERROR(VLOOKUP($G50,IMPORTRANGE(""https://docs.google.com/spreadsheets/d/1Gpl6jkTg7sL4VDNimUm3"&amp;"S9Vi1i95esohXCF3wuKOE8c"", ""'CONSOLIDADO'!G5:AB""), 18, 0), ""-""),
""""
)"),"DWA03230")</f>
        <v>DWA03230</v>
      </c>
      <c r="V50" s="39" t="str">
        <f>IFERROR(__xludf.DUMMYFUNCTION(" IF
( VLOOKUP($G50,IMPORTRANGE(""https://docs.google.com/spreadsheets/d/1Gpl6jkTg7sL4VDNimUm3S9Vi1i95esohXCF3wuKOE8c"", ""'CONSOLIDADO'!G5:AB""), 10, 0) &lt;&gt; 0, 
IFERROR(VLOOKUP($G50,IMPORTRANGE(""https://docs.google.com/spreadsheets/d/1Gpl6jkTg7sL4VDNimUm3"&amp;"S9Vi1i95esohXCF3wuKOE8c"", ""'CONSOLIDADO'!G5:AB""), 17, 0), ""-""),
""""
)"),"DEWALT")</f>
        <v>DEWALT</v>
      </c>
      <c r="W50" s="39" t="str">
        <f>IFERROR(__xludf.DUMMYFUNCTION(" IF
( VLOOKUP($G50,IMPORTRANGE(""https://docs.google.com/spreadsheets/d/1Gpl6jkTg7sL4VDNimUm3S9Vi1i95esohXCF3wuKOE8c"", ""'CONSOLIDADO'!G5:AB""), 10, 0) &lt;&gt; 0, 
IFERROR(VLOOKUP($G50,IMPORTRANGE(""https://docs.google.com/spreadsheets/d/1Gpl6jkTg7sL4VDNimUm3"&amp;"S9Vi1i95esohXCF3wuKOE8c"", ""'CONSOLIDADO'!G5:AB""), 18, 0), ""-""),
""""
)"),"DWA03230")</f>
        <v>DWA03230</v>
      </c>
      <c r="X50" s="39" t="b">
        <f t="shared" ref="X50:X65" si="6">IF(AND(T50=V50,W50=U50),TRUE,FALSE)</f>
        <v>1</v>
      </c>
      <c r="Y50" s="120" t="str">
        <f>IFERROR(__xludf.DUMMYFUNCTION(" IF
( VLOOKUP($G50,IMPORTRANGE(""https://docs.google.com/spreadsheets/d/1Gpl6jkTg7sL4VDNimUm3S9Vi1i95esohXCF3wuKOE8c"", ""'CONSOLIDADO'!G5:AB""), 10, 0) &lt;&gt; 0, 
IFERROR(VLOOKUP($G50,IMPORTRANGE(""https://docs.google.com/spreadsheets/d/1Gpl6jkTg7sL4VDNimUm3"&amp;"S9Vi1i95esohXCF3wuKOE8c"", ""'CONSOLIDADO'!G5:AB""), 19, 0), ""-""),
""""
)"),"https://cahema.pe/discos-de-sierra/1236-disco-sierra-12-adaptadores-80-dientes-aluminio-885911493901.html ")</f>
        <v>https://cahema.pe/discos-de-sierra/1236-disco-sierra-12-adaptadores-80-dientes-aluminio-885911493901.html </v>
      </c>
      <c r="Z50" s="37" t="str">
        <f>IFERROR(__xludf.DUMMYFUNCTION("IFERROR(VLOOKUP(G50,IMPORTRANGE(""https://docs.google.com/spreadsheets/d/12RxCea4e5ggM7QGn1XE3FbLQa_-QbCNdBi90OdPjRqg"", ""'Plan de Compras'!D4:Q""), 12, 0), ""NO ESTÁ EN REQ"")"),"Simple")</f>
        <v>Simple</v>
      </c>
      <c r="AA50" s="37" t="str">
        <f>IFERROR(__xludf.DUMMYFUNCTION("IFERROR(VLOOKUP(G50,IMPORTRANGE(""https://docs.google.com/spreadsheets/d/12RxCea4e5ggM7QGn1XE3FbLQa_-QbCNdBi90OdPjRqg"", ""'Plan de Compras'!D4:Q""), 13, 0), """")"),"NACIONAL")</f>
        <v>NACIONAL</v>
      </c>
      <c r="AB50" s="32" t="str">
        <f>IFERROR(__xludf.DUMMYFUNCTION("IFERROR(VLOOKUP(G50,IMPORTRANGE(""https://docs.google.com/spreadsheets/d/12RxCea4e5ggM7QGn1XE3FbLQa_-QbCNdBi90OdPjRqg"", ""'Plan de Compras'!D4:Q""), 14, 0), """")"),"DIANA")</f>
        <v>DIANA</v>
      </c>
      <c r="AC50" s="72" t="str">
        <f>IFERROR(__xludf.DUMMYFUNCTION("IFERROR(VLOOKUP(G50,IMPORTRANGE(""https://docs.google.com/spreadsheets/d/12RxCea4e5ggM7QGn1XE3FbLQa_-QbCNdBi90OdPjRqg"", ""'Plan de Compras'!D4:Q""), 4, 0), """")"),"DISCO DE SIERRA CIRCULAR")</f>
        <v>DISCO DE SIERRA CIRCULAR</v>
      </c>
      <c r="AD50" s="37" t="str">
        <f>IFERROR(__xludf.DUMMYFUNCTION("IFERROR(IF(OR(C50=TRUE,C50=""""),VLOOKUP(G50,IMPORTRANGE(""https://docs.google.com/spreadsheets/d/1z9A1Wq-kKrhRNG5RS2a2fKpY1wIhSVz2ZNmP2mOl588/edit?usp=sharing"",""REQ VF!E4:H""),4,0),""NO APLICA""),""GENERAR REQ"")"),"GENERAR REQ")</f>
        <v>GENERAR REQ</v>
      </c>
      <c r="AE50" s="32" t="str">
        <f>IFERROR(__xludf.DUMMYFUNCTION("IFERROR(QUERY(IMPORTRANGE(""https://docs.google.com/spreadsheets/d/1z9A1Wq-kKrhRNG5RS2a2fKpY1wIhSVz2ZNmP2mOl588/edit?usp=sharing"",""REQ VF!E4:Q""),""SELECT Col10, Col11, Col12 WHERE Col1 = '""&amp;G50&amp;""'"",0),""NO APLICA"")"),"NO APLICA")</f>
        <v>NO APLICA</v>
      </c>
      <c r="AF50" s="32"/>
      <c r="AG50" s="32"/>
      <c r="AH50" s="13"/>
      <c r="AI50" s="13"/>
    </row>
    <row r="51">
      <c r="A51" s="121">
        <v>34.0</v>
      </c>
      <c r="B51" s="43" t="b">
        <v>1</v>
      </c>
      <c r="C51" s="26" t="b">
        <v>1</v>
      </c>
      <c r="D51" s="26" t="s">
        <v>35</v>
      </c>
      <c r="E51" s="26" t="s">
        <v>1510</v>
      </c>
      <c r="F51" s="59" t="s">
        <v>1666</v>
      </c>
      <c r="G51" s="37" t="s">
        <v>1666</v>
      </c>
      <c r="H51" s="82" t="s">
        <v>1667</v>
      </c>
      <c r="I51" s="43">
        <f>SUMIFS('Hoja 10'!$O:$O,'Hoja 10'!$F:$F,$G51)</f>
        <v>4</v>
      </c>
      <c r="J51" s="26">
        <f>IFERROR(__xludf.DUMMYFUNCTION("VLOOKUP(G51,IMPORTRANGE(""https://docs.google.com/spreadsheets/d/12RxCea4e5ggM7QGn1XE3FbLQa_-QbCNdBi90OdPjRqg/edit?gid=1692403370#gid=1692403370"", ""'Plan de Compras'!D4:2432""), 8,0)"),4.0)</f>
        <v>4</v>
      </c>
      <c r="K51" s="26" t="str">
        <f t="shared" si="1"/>
        <v>SI</v>
      </c>
      <c r="L51" s="29" t="s">
        <v>296</v>
      </c>
      <c r="M51" s="30" t="s">
        <v>297</v>
      </c>
      <c r="N51" s="32"/>
      <c r="O51" s="32" t="str">
        <f>VLOOKUP($G51,'Hoja 10'!$F$4:$AA1057, 19,0)</f>
        <v>Makita</v>
      </c>
      <c r="P51" s="32" t="str">
        <f>VLOOKUP($G51,'Hoja 10'!$F$4:$AA1057, 20,0)</f>
        <v>A-94443</v>
      </c>
      <c r="Q51" s="33" t="str">
        <f>VLOOKUP($G51,'Hoja 10'!$F$4:$AA1057, 21,0)</f>
        <v>https://cahema.pe/discos-de-sierra/20629-disco-de-sierra-para-madera-tct-12-x-254-mm-70-dientes-makita-a-94443.html</v>
      </c>
      <c r="R51" s="30" t="s">
        <v>1668</v>
      </c>
      <c r="S51" s="44" t="b">
        <v>1</v>
      </c>
      <c r="T51" s="39" t="str">
        <f>IFERROR(__xludf.DUMMYFUNCTION(" IF
( VLOOKUP($G51,IMPORTRANGE(""https://docs.google.com/spreadsheets/d/1Gpl6jkTg7sL4VDNimUm3S9Vi1i95esohXCF3wuKOE8c"", ""'CONSOLIDADO'!G5:AB""), 10, 0) &lt;&gt; 0, 
IFERROR(VLOOKUP($G51,IMPORTRANGE(""https://docs.google.com/spreadsheets/d/1Gpl6jkTg7sL4VDNimUm3"&amp;"S9Vi1i95esohXCF3wuKOE8c"", ""'CONSOLIDADO'!G5:AB""), 17, 0), ""-""),
""""
)"),"DEWALT")</f>
        <v>DEWALT</v>
      </c>
      <c r="U51" s="39" t="str">
        <f>IFERROR(__xludf.DUMMYFUNCTION(" IF
( VLOOKUP($G51,IMPORTRANGE(""https://docs.google.com/spreadsheets/d/1Gpl6jkTg7sL4VDNimUm3S9Vi1i95esohXCF3wuKOE8c"", ""'CONSOLIDADO'!G5:AB""), 10, 0) &lt;&gt; 0, 
IFERROR(VLOOKUP($G51,IMPORTRANGE(""https://docs.google.com/spreadsheets/d/1Gpl6jkTg7sL4VDNimUm3"&amp;"S9Vi1i95esohXCF3wuKOE8c"", ""'CONSOLIDADO'!G5:AB""), 18, 0), ""-""),
""""
)"),"DWA03230")</f>
        <v>DWA03230</v>
      </c>
      <c r="V51" s="39" t="str">
        <f>IFERROR(__xludf.DUMMYFUNCTION(" IF
( VLOOKUP($G51,IMPORTRANGE(""https://docs.google.com/spreadsheets/d/1Gpl6jkTg7sL4VDNimUm3S9Vi1i95esohXCF3wuKOE8c"", ""'CONSOLIDADO'!G5:AB""), 10, 0) &lt;&gt; 0, 
IFERROR(VLOOKUP($G51,IMPORTRANGE(""https://docs.google.com/spreadsheets/d/1Gpl6jkTg7sL4VDNimUm3"&amp;"S9Vi1i95esohXCF3wuKOE8c"", ""'CONSOLIDADO'!G5:AB""), 17, 0), ""-""),
""""
)"),"DEWALT")</f>
        <v>DEWALT</v>
      </c>
      <c r="W51" s="39" t="str">
        <f>IFERROR(__xludf.DUMMYFUNCTION(" IF
( VLOOKUP($G51,IMPORTRANGE(""https://docs.google.com/spreadsheets/d/1Gpl6jkTg7sL4VDNimUm3S9Vi1i95esohXCF3wuKOE8c"", ""'CONSOLIDADO'!G5:AB""), 10, 0) &lt;&gt; 0, 
IFERROR(VLOOKUP($G51,IMPORTRANGE(""https://docs.google.com/spreadsheets/d/1Gpl6jkTg7sL4VDNimUm3"&amp;"S9Vi1i95esohXCF3wuKOE8c"", ""'CONSOLIDADO'!G5:AB""), 18, 0), ""-""),
""""
)"),"DWA03230")</f>
        <v>DWA03230</v>
      </c>
      <c r="X51" s="39" t="b">
        <f t="shared" si="6"/>
        <v>1</v>
      </c>
      <c r="Y51" s="120" t="str">
        <f>IFERROR(__xludf.DUMMYFUNCTION(" IF
( VLOOKUP($G51,IMPORTRANGE(""https://docs.google.com/spreadsheets/d/1Gpl6jkTg7sL4VDNimUm3S9Vi1i95esohXCF3wuKOE8c"", ""'CONSOLIDADO'!G5:AB""), 10, 0) &lt;&gt; 0, 
IFERROR(VLOOKUP($G51,IMPORTRANGE(""https://docs.google.com/spreadsheets/d/1Gpl6jkTg7sL4VDNimUm3"&amp;"S9Vi1i95esohXCF3wuKOE8c"", ""'CONSOLIDADO'!G5:AB""), 19, 0), ""-""),
""""
)"),"https://cahema.pe/discos-de-sierra/1236-disco-sierra-12-adaptadores-80-dientes-aluminio-885911493901.html ")</f>
        <v>https://cahema.pe/discos-de-sierra/1236-disco-sierra-12-adaptadores-80-dientes-aluminio-885911493901.html </v>
      </c>
      <c r="Z51" s="37" t="str">
        <f>IFERROR(__xludf.DUMMYFUNCTION("IFERROR(VLOOKUP(G51,IMPORTRANGE(""https://docs.google.com/spreadsheets/d/12RxCea4e5ggM7QGn1XE3FbLQa_-QbCNdBi90OdPjRqg"", ""'Plan de Compras'!D4:Q""), 12, 0), ""NO ESTÁ EN REQ"")"),"Simple")</f>
        <v>Simple</v>
      </c>
      <c r="AA51" s="37" t="str">
        <f>IFERROR(__xludf.DUMMYFUNCTION("IFERROR(VLOOKUP(G51,IMPORTRANGE(""https://docs.google.com/spreadsheets/d/12RxCea4e5ggM7QGn1XE3FbLQa_-QbCNdBi90OdPjRqg"", ""'Plan de Compras'!D4:Q""), 13, 0), """")"),"NACIONAL")</f>
        <v>NACIONAL</v>
      </c>
      <c r="AB51" s="32" t="str">
        <f>IFERROR(__xludf.DUMMYFUNCTION("IFERROR(VLOOKUP(G51,IMPORTRANGE(""https://docs.google.com/spreadsheets/d/12RxCea4e5ggM7QGn1XE3FbLQa_-QbCNdBi90OdPjRqg"", ""'Plan de Compras'!D4:Q""), 14, 0), """")"),"DIANA")</f>
        <v>DIANA</v>
      </c>
      <c r="AC51" s="72" t="str">
        <f>IFERROR(__xludf.DUMMYFUNCTION("IFERROR(VLOOKUP(G51,IMPORTRANGE(""https://docs.google.com/spreadsheets/d/12RxCea4e5ggM7QGn1XE3FbLQa_-QbCNdBi90OdPjRqg"", ""'Plan de Compras'!D4:Q""), 4, 0), """")"),"DISCO DE SIERRA RADIAL")</f>
        <v>DISCO DE SIERRA RADIAL</v>
      </c>
      <c r="AD51" s="37" t="str">
        <f>IFERROR(__xludf.DUMMYFUNCTION("IFERROR(IF(OR(C51=TRUE,C51=""""),VLOOKUP(G51,IMPORTRANGE(""https://docs.google.com/spreadsheets/d/1z9A1Wq-kKrhRNG5RS2a2fKpY1wIhSVz2ZNmP2mOl588/edit?usp=sharing"",""REQ VF!E4:H""),4,0),""NO APLICA""),""GENERAR REQ"")"),"GENERAR REQ")</f>
        <v>GENERAR REQ</v>
      </c>
      <c r="AE51" s="32" t="str">
        <f>IFERROR(__xludf.DUMMYFUNCTION("IFERROR(QUERY(IMPORTRANGE(""https://docs.google.com/spreadsheets/d/1z9A1Wq-kKrhRNG5RS2a2fKpY1wIhSVz2ZNmP2mOl588/edit?usp=sharing"",""REQ VF!E4:Q""),""SELECT Col10, Col11, Col12 WHERE Col1 = '""&amp;G51&amp;""'"",0),""NO APLICA"")"),"NO APLICA")</f>
        <v>NO APLICA</v>
      </c>
      <c r="AF51" s="32"/>
      <c r="AG51" s="32"/>
      <c r="AH51" s="13"/>
      <c r="AI51" s="13"/>
    </row>
    <row r="52">
      <c r="A52" s="117">
        <v>35.0</v>
      </c>
      <c r="B52" s="43" t="b">
        <v>1</v>
      </c>
      <c r="C52" s="26" t="b">
        <v>1</v>
      </c>
      <c r="D52" s="26" t="s">
        <v>35</v>
      </c>
      <c r="E52" s="26" t="s">
        <v>1510</v>
      </c>
      <c r="F52" s="59" t="s">
        <v>1669</v>
      </c>
      <c r="G52" s="37" t="s">
        <v>1669</v>
      </c>
      <c r="H52" s="82" t="s">
        <v>1670</v>
      </c>
      <c r="I52" s="43">
        <f>SUMIFS('Hoja 10'!$O:$O,'Hoja 10'!$F:$F,$G52)</f>
        <v>4</v>
      </c>
      <c r="J52" s="26">
        <f>IFERROR(__xludf.DUMMYFUNCTION("VLOOKUP(G52,IMPORTRANGE(""https://docs.google.com/spreadsheets/d/12RxCea4e5ggM7QGn1XE3FbLQa_-QbCNdBi90OdPjRqg/edit?gid=1692403370#gid=1692403370"", ""'Plan de Compras'!D4:2432""), 8,0)"),4.0)</f>
        <v>4</v>
      </c>
      <c r="K52" s="26" t="str">
        <f t="shared" si="1"/>
        <v>SI</v>
      </c>
      <c r="L52" s="29" t="s">
        <v>296</v>
      </c>
      <c r="M52" s="30" t="s">
        <v>297</v>
      </c>
      <c r="N52" s="32"/>
      <c r="O52" s="32" t="str">
        <f>VLOOKUP($G52,'Hoja 10'!$F$4:$AA1057, 19,0)</f>
        <v>BOSCH</v>
      </c>
      <c r="P52" s="32" t="str">
        <f>VLOOKUP($G52,'Hoja 10'!$F$4:$AA1057, 20,0)</f>
        <v>2608.642.202-000</v>
      </c>
      <c r="Q52" s="33" t="str">
        <f>VLOOKUP($G52,'Hoja 10'!$F$4:$AA1057, 21,0)</f>
        <v>https://cahema.pe/discos-de-sierra/1799-disco-sierra-10-x-100-dientes-multimaterial-bosch-3165140602099.html</v>
      </c>
      <c r="R52" s="30" t="s">
        <v>1671</v>
      </c>
      <c r="S52" s="44" t="b">
        <v>1</v>
      </c>
      <c r="T52" s="39" t="str">
        <f>IFERROR(__xludf.DUMMYFUNCTION(" IF
( VLOOKUP($G52,IMPORTRANGE(""https://docs.google.com/spreadsheets/d/1Gpl6jkTg7sL4VDNimUm3S9Vi1i95esohXCF3wuKOE8c"", ""'CONSOLIDADO'!G5:AB""), 10, 0) &lt;&gt; 0, 
IFERROR(VLOOKUP($G52,IMPORTRANGE(""https://docs.google.com/spreadsheets/d/1Gpl6jkTg7sL4VDNimUm3"&amp;"S9Vi1i95esohXCF3wuKOE8c"", ""'CONSOLIDADO'!G5:AB""), 17, 0), ""-""),
""""
)"),"BOSCH")</f>
        <v>BOSCH</v>
      </c>
      <c r="U52" s="39" t="str">
        <f>IFERROR(__xludf.DUMMYFUNCTION(" IF
( VLOOKUP($G52,IMPORTRANGE(""https://docs.google.com/spreadsheets/d/1Gpl6jkTg7sL4VDNimUm3S9Vi1i95esohXCF3wuKOE8c"", ""'CONSOLIDADO'!G5:AB""), 10, 0) &lt;&gt; 0, 
IFERROR(VLOOKUP($G52,IMPORTRANGE(""https://docs.google.com/spreadsheets/d/1Gpl6jkTg7sL4VDNimUm3"&amp;"S9Vi1i95esohXCF3wuKOE8c"", ""'CONSOLIDADO'!G5:AB""), 18, 0), ""-""),
""""
)"),"2608.642.202-000")</f>
        <v>2608.642.202-000</v>
      </c>
      <c r="V52" s="39" t="str">
        <f>IFERROR(__xludf.DUMMYFUNCTION(" IF
( VLOOKUP($G52,IMPORTRANGE(""https://docs.google.com/spreadsheets/d/1Gpl6jkTg7sL4VDNimUm3S9Vi1i95esohXCF3wuKOE8c"", ""'CONSOLIDADO'!G5:AB""), 10, 0) &lt;&gt; 0, 
IFERROR(VLOOKUP($G52,IMPORTRANGE(""https://docs.google.com/spreadsheets/d/1Gpl6jkTg7sL4VDNimUm3"&amp;"S9Vi1i95esohXCF3wuKOE8c"", ""'CONSOLIDADO'!G5:AB""), 17, 0), ""-""),
""""
)"),"BOSCH")</f>
        <v>BOSCH</v>
      </c>
      <c r="W52" s="39" t="str">
        <f>IFERROR(__xludf.DUMMYFUNCTION(" IF
( VLOOKUP($G52,IMPORTRANGE(""https://docs.google.com/spreadsheets/d/1Gpl6jkTg7sL4VDNimUm3S9Vi1i95esohXCF3wuKOE8c"", ""'CONSOLIDADO'!G5:AB""), 10, 0) &lt;&gt; 0, 
IFERROR(VLOOKUP($G52,IMPORTRANGE(""https://docs.google.com/spreadsheets/d/1Gpl6jkTg7sL4VDNimUm3"&amp;"S9Vi1i95esohXCF3wuKOE8c"", ""'CONSOLIDADO'!G5:AB""), 18, 0), ""-""),
""""
)"),"2608.642.202-000")</f>
        <v>2608.642.202-000</v>
      </c>
      <c r="X52" s="39" t="b">
        <f t="shared" si="6"/>
        <v>1</v>
      </c>
      <c r="Y52" s="120" t="str">
        <f>IFERROR(__xludf.DUMMYFUNCTION(" IF
( VLOOKUP($G52,IMPORTRANGE(""https://docs.google.com/spreadsheets/d/1Gpl6jkTg7sL4VDNimUm3S9Vi1i95esohXCF3wuKOE8c"", ""'CONSOLIDADO'!G5:AB""), 10, 0) &lt;&gt; 0, 
IFERROR(VLOOKUP($G52,IMPORTRANGE(""https://docs.google.com/spreadsheets/d/1Gpl6jkTg7sL4VDNimUm3"&amp;"S9Vi1i95esohXCF3wuKOE8c"", ""'CONSOLIDADO'!G5:AB""), 19, 0), ""-""),
""""
)"),"https://cahema.pe/discos-de-sierra/1799-disco-sierra-10-x-100-dientes-multimaterial-bosch-3165140602099.html")</f>
        <v>https://cahema.pe/discos-de-sierra/1799-disco-sierra-10-x-100-dientes-multimaterial-bosch-3165140602099.html</v>
      </c>
      <c r="Z52" s="37" t="str">
        <f>IFERROR(__xludf.DUMMYFUNCTION("IFERROR(VLOOKUP(G52,IMPORTRANGE(""https://docs.google.com/spreadsheets/d/12RxCea4e5ggM7QGn1XE3FbLQa_-QbCNdBi90OdPjRqg"", ""'Plan de Compras'!D4:Q""), 12, 0), ""NO ESTÁ EN REQ"")"),"Simple")</f>
        <v>Simple</v>
      </c>
      <c r="AA52" s="37" t="str">
        <f>IFERROR(__xludf.DUMMYFUNCTION("IFERROR(VLOOKUP(G52,IMPORTRANGE(""https://docs.google.com/spreadsheets/d/12RxCea4e5ggM7QGn1XE3FbLQa_-QbCNdBi90OdPjRqg"", ""'Plan de Compras'!D4:Q""), 13, 0), """")"),"NACIONAL")</f>
        <v>NACIONAL</v>
      </c>
      <c r="AB52" s="32" t="str">
        <f>IFERROR(__xludf.DUMMYFUNCTION("IFERROR(VLOOKUP(G52,IMPORTRANGE(""https://docs.google.com/spreadsheets/d/12RxCea4e5ggM7QGn1XE3FbLQa_-QbCNdBi90OdPjRqg"", ""'Plan de Compras'!D4:Q""), 14, 0), """")"),"DIANA")</f>
        <v>DIANA</v>
      </c>
      <c r="AC52" s="72" t="str">
        <f>IFERROR(__xludf.DUMMYFUNCTION("IFERROR(VLOOKUP(G52,IMPORTRANGE(""https://docs.google.com/spreadsheets/d/12RxCea4e5ggM7QGn1XE3FbLQa_-QbCNdBi90OdPjRqg"", ""'Plan de Compras'!D4:Q""), 4, 0), """")"),"DISCO PARA SIERRA CIRCULAR PARA CORTE DE TABLEROS MELAMINICOS")</f>
        <v>DISCO PARA SIERRA CIRCULAR PARA CORTE DE TABLEROS MELAMINICOS</v>
      </c>
      <c r="AD52" s="37" t="str">
        <f>IFERROR(__xludf.DUMMYFUNCTION("IFERROR(IF(OR(C52=TRUE,C52=""""),VLOOKUP(G52,IMPORTRANGE(""https://docs.google.com/spreadsheets/d/1z9A1Wq-kKrhRNG5RS2a2fKpY1wIhSVz2ZNmP2mOl588/edit?usp=sharing"",""REQ VF!E4:H""),4,0),""NO APLICA""),""GENERAR REQ"")"),"GENERAR REQ")</f>
        <v>GENERAR REQ</v>
      </c>
      <c r="AE52" s="32" t="str">
        <f>IFERROR(__xludf.DUMMYFUNCTION("IFERROR(QUERY(IMPORTRANGE(""https://docs.google.com/spreadsheets/d/1z9A1Wq-kKrhRNG5RS2a2fKpY1wIhSVz2ZNmP2mOl588/edit?usp=sharing"",""REQ VF!E4:Q""),""SELECT Col10, Col11, Col12 WHERE Col1 = '""&amp;G52&amp;""'"",0),""NO APLICA"")"),"NO APLICA")</f>
        <v>NO APLICA</v>
      </c>
      <c r="AF52" s="32"/>
      <c r="AG52" s="32"/>
      <c r="AH52" s="13"/>
      <c r="AI52" s="13"/>
    </row>
    <row r="53">
      <c r="A53" s="117">
        <v>36.0</v>
      </c>
      <c r="B53" s="43" t="b">
        <v>1</v>
      </c>
      <c r="C53" s="26" t="b">
        <v>1</v>
      </c>
      <c r="D53" s="26" t="s">
        <v>35</v>
      </c>
      <c r="E53" s="26" t="s">
        <v>1510</v>
      </c>
      <c r="F53" s="59" t="s">
        <v>1672</v>
      </c>
      <c r="G53" s="37" t="s">
        <v>1672</v>
      </c>
      <c r="H53" s="82" t="s">
        <v>1673</v>
      </c>
      <c r="I53" s="43">
        <f>SUMIFS('Hoja 10'!$O:$O,'Hoja 10'!$F:$F,$G53)</f>
        <v>8</v>
      </c>
      <c r="J53" s="26">
        <f>IFERROR(__xludf.DUMMYFUNCTION("VLOOKUP(G53,IMPORTRANGE(""https://docs.google.com/spreadsheets/d/12RxCea4e5ggM7QGn1XE3FbLQa_-QbCNdBi90OdPjRqg/edit?gid=1692403370#gid=1692403370"", ""'Plan de Compras'!D4:2432""), 8,0)"),8.0)</f>
        <v>8</v>
      </c>
      <c r="K53" s="26" t="str">
        <f t="shared" si="1"/>
        <v>SI</v>
      </c>
      <c r="L53" s="29" t="s">
        <v>296</v>
      </c>
      <c r="M53" s="30" t="s">
        <v>297</v>
      </c>
      <c r="N53" s="32"/>
      <c r="O53" s="32" t="str">
        <f>VLOOKUP($G53,'Hoja 10'!$F$4:$AA1057, 19,0)</f>
        <v>MULTICOMP</v>
      </c>
      <c r="P53" s="32" t="str">
        <f>VLOOKUP($G53,'Hoja 10'!$F$4:$AA1057, 20,0)</f>
        <v>MP780997</v>
      </c>
      <c r="Q53" s="33" t="str">
        <f>VLOOKUP($G53,'Hoja 10'!$F$4:$AA1057, 21,0)</f>
        <v>https://es.farnell.com/en-ES/multicomp-pro/mp780997/laser-distance-meter-50m-lcd-2xaaa/dp/4179002?srsltid=AfmBOoreugdqCmy_36Zv7n25NHkQ1r4ejExpmv-bbTJmh6vQ2h2UsHWb</v>
      </c>
      <c r="R53" s="30" t="s">
        <v>1674</v>
      </c>
      <c r="S53" s="44" t="b">
        <v>1</v>
      </c>
      <c r="T53" s="39" t="str">
        <f>IFERROR(__xludf.DUMMYFUNCTION(" IF
( VLOOKUP($G53,IMPORTRANGE(""https://docs.google.com/spreadsheets/d/1Gpl6jkTg7sL4VDNimUm3S9Vi1i95esohXCF3wuKOE8c"", ""'CONSOLIDADO'!G5:AB""), 10, 0) &lt;&gt; 0, 
IFERROR(VLOOKUP($G53,IMPORTRANGE(""https://docs.google.com/spreadsheets/d/1Gpl6jkTg7sL4VDNimUm3"&amp;"S9Vi1i95esohXCF3wuKOE8c"", ""'CONSOLIDADO'!G5:AB""), 17, 0), ""-""),
""""
)"),"MULTICOMP")</f>
        <v>MULTICOMP</v>
      </c>
      <c r="U53" s="39" t="str">
        <f>IFERROR(__xludf.DUMMYFUNCTION(" IF
( VLOOKUP($G53,IMPORTRANGE(""https://docs.google.com/spreadsheets/d/1Gpl6jkTg7sL4VDNimUm3S9Vi1i95esohXCF3wuKOE8c"", ""'CONSOLIDADO'!G5:AB""), 10, 0) &lt;&gt; 0, 
IFERROR(VLOOKUP($G53,IMPORTRANGE(""https://docs.google.com/spreadsheets/d/1Gpl6jkTg7sL4VDNimUm3"&amp;"S9Vi1i95esohXCF3wuKOE8c"", ""'CONSOLIDADO'!G5:AB""), 18, 0), ""-""),
""""
)"),"MP780997")</f>
        <v>MP780997</v>
      </c>
      <c r="V53" s="39" t="str">
        <f>IFERROR(__xludf.DUMMYFUNCTION(" IF
( VLOOKUP($G53,IMPORTRANGE(""https://docs.google.com/spreadsheets/d/1Gpl6jkTg7sL4VDNimUm3S9Vi1i95esohXCF3wuKOE8c"", ""'CONSOLIDADO'!G5:AB""), 10, 0) &lt;&gt; 0, 
IFERROR(VLOOKUP($G53,IMPORTRANGE(""https://docs.google.com/spreadsheets/d/1Gpl6jkTg7sL4VDNimUm3"&amp;"S9Vi1i95esohXCF3wuKOE8c"", ""'CONSOLIDADO'!G5:AB""), 17, 0), ""-""),
""""
)"),"MULTICOMP")</f>
        <v>MULTICOMP</v>
      </c>
      <c r="W53" s="39" t="str">
        <f>IFERROR(__xludf.DUMMYFUNCTION(" IF
( VLOOKUP($G53,IMPORTRANGE(""https://docs.google.com/spreadsheets/d/1Gpl6jkTg7sL4VDNimUm3S9Vi1i95esohXCF3wuKOE8c"", ""'CONSOLIDADO'!G5:AB""), 10, 0) &lt;&gt; 0, 
IFERROR(VLOOKUP($G53,IMPORTRANGE(""https://docs.google.com/spreadsheets/d/1Gpl6jkTg7sL4VDNimUm3"&amp;"S9Vi1i95esohXCF3wuKOE8c"", ""'CONSOLIDADO'!G5:AB""), 18, 0), ""-""),
""""
)"),"MP780997")</f>
        <v>MP780997</v>
      </c>
      <c r="X53" s="39" t="b">
        <f t="shared" si="6"/>
        <v>1</v>
      </c>
      <c r="Y53" s="120" t="str">
        <f>IFERROR(__xludf.DUMMYFUNCTION(" IF
( VLOOKUP($G53,IMPORTRANGE(""https://docs.google.com/spreadsheets/d/1Gpl6jkTg7sL4VDNimUm3S9Vi1i95esohXCF3wuKOE8c"", ""'CONSOLIDADO'!G5:AB""), 10, 0) &lt;&gt; 0, 
IFERROR(VLOOKUP($G53,IMPORTRANGE(""https://docs.google.com/spreadsheets/d/1Gpl6jkTg7sL4VDNimUm3"&amp;"S9Vi1i95esohXCF3wuKOE8c"", ""'CONSOLIDADO'!G5:AB""), 19, 0), ""-""),
""""
)"),"https://es.farnell.com/en-ES/multicomp-pro/mp780997/laser-distance-meter-50m-lcd-2xaaa/dp/4179002?srsltid=AfmBOoreugdqCmy_36Zv7n25NHkQ1r4ejExpmv-bbTJmh6vQ2h2UsHWb")</f>
        <v>https://es.farnell.com/en-ES/multicomp-pro/mp780997/laser-distance-meter-50m-lcd-2xaaa/dp/4179002?srsltid=AfmBOoreugdqCmy_36Zv7n25NHkQ1r4ejExpmv-bbTJmh6vQ2h2UsHWb</v>
      </c>
      <c r="Z53" s="37" t="str">
        <f>IFERROR(__xludf.DUMMYFUNCTION("IFERROR(VLOOKUP(G53,IMPORTRANGE(""https://docs.google.com/spreadsheets/d/12RxCea4e5ggM7QGn1XE3FbLQa_-QbCNdBi90OdPjRqg"", ""'Plan de Compras'!D4:Q""), 12, 0), ""NO ESTÁ EN REQ"")"),"Técnica")</f>
        <v>Técnica</v>
      </c>
      <c r="AA53" s="37" t="str">
        <f>IFERROR(__xludf.DUMMYFUNCTION("IFERROR(VLOOKUP(G53,IMPORTRANGE(""https://docs.google.com/spreadsheets/d/12RxCea4e5ggM7QGn1XE3FbLQa_-QbCNdBi90OdPjRqg"", ""'Plan de Compras'!D4:Q""), 13, 0), """")"),"INTERNACIONAL")</f>
        <v>INTERNACIONAL</v>
      </c>
      <c r="AB53" s="32" t="str">
        <f>IFERROR(__xludf.DUMMYFUNCTION("IFERROR(VLOOKUP(G53,IMPORTRANGE(""https://docs.google.com/spreadsheets/d/12RxCea4e5ggM7QGn1XE3FbLQa_-QbCNdBi90OdPjRqg"", ""'Plan de Compras'!D4:Q""), 14, 0), """")"),"GEYDI")</f>
        <v>GEYDI</v>
      </c>
      <c r="AC53" s="72" t="str">
        <f>IFERROR(__xludf.DUMMYFUNCTION("IFERROR(VLOOKUP(G53,IMPORTRANGE(""https://docs.google.com/spreadsheets/d/12RxCea4e5ggM7QGn1XE3FbLQa_-QbCNdBi90OdPjRqg"", ""'Plan de Compras'!D4:Q""), 4, 0), """")"),"DISTANCIÓMETRO LASER DE 20 M")</f>
        <v>DISTANCIÓMETRO LASER DE 20 M</v>
      </c>
      <c r="AD53" s="37" t="str">
        <f>IFERROR(__xludf.DUMMYFUNCTION("IFERROR(IF(OR(C53=TRUE,C53=""""),VLOOKUP(G53,IMPORTRANGE(""https://docs.google.com/spreadsheets/d/1z9A1Wq-kKrhRNG5RS2a2fKpY1wIhSVz2ZNmP2mOl588/edit?usp=sharing"",""REQ VF!E4:H""),4,0),""NO APLICA""),""GENERAR REQ"")"),"GENERAR REQ")</f>
        <v>GENERAR REQ</v>
      </c>
      <c r="AE53" s="32" t="str">
        <f>IFERROR(__xludf.DUMMYFUNCTION("IFERROR(QUERY(IMPORTRANGE(""https://docs.google.com/spreadsheets/d/1z9A1Wq-kKrhRNG5RS2a2fKpY1wIhSVz2ZNmP2mOl588/edit?usp=sharing"",""REQ VF!E4:Q""),""SELECT Col10, Col11, Col12 WHERE Col1 = '""&amp;G53&amp;""'"",0),""NO APLICA"")"),"NO APLICA")</f>
        <v>NO APLICA</v>
      </c>
      <c r="AF53" s="32"/>
      <c r="AG53" s="32"/>
      <c r="AH53" s="8" t="s">
        <v>52</v>
      </c>
      <c r="AI53" s="8"/>
    </row>
    <row r="54">
      <c r="A54" s="121">
        <v>37.0</v>
      </c>
      <c r="B54" s="43" t="b">
        <v>1</v>
      </c>
      <c r="C54" s="26" t="b">
        <v>1</v>
      </c>
      <c r="D54" s="26" t="s">
        <v>35</v>
      </c>
      <c r="E54" s="26" t="s">
        <v>1510</v>
      </c>
      <c r="F54" s="59" t="s">
        <v>1675</v>
      </c>
      <c r="G54" s="37" t="s">
        <v>1675</v>
      </c>
      <c r="H54" s="82" t="s">
        <v>1676</v>
      </c>
      <c r="I54" s="43">
        <f>SUMIFS('Hoja 10'!$O:$O,'Hoja 10'!$F:$F,$G54)</f>
        <v>3</v>
      </c>
      <c r="J54" s="26">
        <f>IFERROR(__xludf.DUMMYFUNCTION("VLOOKUP(G54,IMPORTRANGE(""https://docs.google.com/spreadsheets/d/12RxCea4e5ggM7QGn1XE3FbLQa_-QbCNdBi90OdPjRqg/edit?gid=1692403370#gid=1692403370"", ""'Plan de Compras'!D4:2432""), 8,0)"),3.0)</f>
        <v>3</v>
      </c>
      <c r="K54" s="26" t="str">
        <f t="shared" si="1"/>
        <v>SI</v>
      </c>
      <c r="L54" s="29" t="s">
        <v>127</v>
      </c>
      <c r="M54" s="30" t="s">
        <v>105</v>
      </c>
      <c r="N54" s="32"/>
      <c r="O54" s="32" t="str">
        <f>VLOOKUP($G54,'Hoja 10'!$F$4:$AA1057, 19,0)</f>
        <v>YUANYAO		</v>
      </c>
      <c r="P54" s="32" t="str">
        <f>VLOOKUP($G54,'Hoja 10'!$F$4:$AA1057, 20,0)</f>
        <v>B0F7G8SP8L</v>
      </c>
      <c r="Q54" s="33" t="str">
        <f>VLOOKUP($G54,'Hoja 10'!$F$4:$AA1057, 21,0)</f>
        <v>https://www.amazon.es/inoxidable-espesante-maquinaria-alimentos-alimentaci%C3%B3n/dp/B0F7G8SP8L?th=1</v>
      </c>
      <c r="R54" s="30" t="s">
        <v>1677</v>
      </c>
      <c r="S54" s="44" t="b">
        <v>1</v>
      </c>
      <c r="T54" s="39" t="str">
        <f>IFERROR(__xludf.DUMMYFUNCTION(" IF
( VLOOKUP($G54,IMPORTRANGE(""https://docs.google.com/spreadsheets/d/1Gpl6jkTg7sL4VDNimUm3S9Vi1i95esohXCF3wuKOE8c"", ""'CONSOLIDADO'!G5:AB""), 10, 0) &lt;&gt; 0, 
IFERROR(VLOOKUP($G54,IMPORTRANGE(""https://docs.google.com/spreadsheets/d/1Gpl6jkTg7sL4VDNimUm3"&amp;"S9Vi1i95esohXCF3wuKOE8c"", ""'CONSOLIDADO'!G5:AB""), 17, 0), ""-""),
""""
)"),"PRESSOL")</f>
        <v>PRESSOL</v>
      </c>
      <c r="U54" s="39" t="str">
        <f>IFERROR(__xludf.DUMMYFUNCTION(" IF
( VLOOKUP($G54,IMPORTRANGE(""https://docs.google.com/spreadsheets/d/1Gpl6jkTg7sL4VDNimUm3S9Vi1i95esohXCF3wuKOE8c"", ""'CONSOLIDADO'!G5:AB""), 10, 0) &lt;&gt; 0, 
IFERROR(VLOOKUP($G54,IMPORTRANGE(""https://docs.google.com/spreadsheets/d/1Gpl6jkTg7sL4VDNimUm3"&amp;"S9Vi1i95esohXCF3wuKOE8c"", ""'CONSOLIDADO'!G5:AB""), 18, 0), ""-""),
""""
)"),"02 344")</f>
        <v>02 344</v>
      </c>
      <c r="V54" s="39" t="str">
        <f>IFERROR(__xludf.DUMMYFUNCTION(" IF
( VLOOKUP($G54,IMPORTRANGE(""https://docs.google.com/spreadsheets/d/1Gpl6jkTg7sL4VDNimUm3S9Vi1i95esohXCF3wuKOE8c"", ""'CONSOLIDADO'!G5:AB""), 10, 0) &lt;&gt; 0, 
IFERROR(VLOOKUP($G54,IMPORTRANGE(""https://docs.google.com/spreadsheets/d/1Gpl6jkTg7sL4VDNimUm3"&amp;"S9Vi1i95esohXCF3wuKOE8c"", ""'CONSOLIDADO'!G5:AB""), 17, 0), ""-""),
""""
)"),"PRESSOL")</f>
        <v>PRESSOL</v>
      </c>
      <c r="W54" s="39" t="str">
        <f>IFERROR(__xludf.DUMMYFUNCTION(" IF
( VLOOKUP($G54,IMPORTRANGE(""https://docs.google.com/spreadsheets/d/1Gpl6jkTg7sL4VDNimUm3S9Vi1i95esohXCF3wuKOE8c"", ""'CONSOLIDADO'!G5:AB""), 10, 0) &lt;&gt; 0, 
IFERROR(VLOOKUP($G54,IMPORTRANGE(""https://docs.google.com/spreadsheets/d/1Gpl6jkTg7sL4VDNimUm3"&amp;"S9Vi1i95esohXCF3wuKOE8c"", ""'CONSOLIDADO'!G5:AB""), 18, 0), ""-""),
""""
)"),"02 344")</f>
        <v>02 344</v>
      </c>
      <c r="X54" s="39" t="b">
        <f t="shared" si="6"/>
        <v>1</v>
      </c>
      <c r="Y54" s="120" t="str">
        <f>IFERROR(__xludf.DUMMYFUNCTION(" IF
( VLOOKUP($G54,IMPORTRANGE(""https://docs.google.com/spreadsheets/d/1Gpl6jkTg7sL4VDNimUm3S9Vi1i95esohXCF3wuKOE8c"", ""'CONSOLIDADO'!G5:AB""), 10, 0) &lt;&gt; 0, 
IFERROR(VLOOKUP($G54,IMPORTRANGE(""https://docs.google.com/spreadsheets/d/1Gpl6jkTg7sL4VDNimUm3"&amp;"S9Vi1i95esohXCF3wuKOE8c"", ""'CONSOLIDADO'!G5:AB""), 19, 0), ""-""),
""""
)"),"https://www.amazon.es/Pressol-Embudo-hojalata-200-mm/dp/B0002YZY2S/ref=sr_1_1?__mk_es_ES=%C3%85M%C3%85%C5%BD%C3%95%C3%91&amp;crid=7DCUE71WGCV3&amp;dib=eyJ2IjoiMSJ9.RRSWD98-364con-Gn4sMfw.wDIBXYtvmc4wvmptUOXglp8ET6asoM4w5EqmPQ6Ya4g&amp;dib_tag=se&amp;keywords=6702H3&amp;qid=1"&amp;"763996004&amp;s=industrial&amp;sprefix=6702h3%2Cindustrial%2C295&amp;sr=1-1")</f>
        <v>https://www.amazon.es/Pressol-Embudo-hojalata-200-mm/dp/B0002YZY2S/ref=sr_1_1?__mk_es_ES=%C3%85M%C3%85%C5%BD%C3%95%C3%91&amp;crid=7DCUE71WGCV3&amp;dib=eyJ2IjoiMSJ9.RRSWD98-364con-Gn4sMfw.wDIBXYtvmc4wvmptUOXglp8ET6asoM4w5EqmPQ6Ya4g&amp;dib_tag=se&amp;keywords=6702H3&amp;qid=1763996004&amp;s=industrial&amp;sprefix=6702h3%2Cindustrial%2C295&amp;sr=1-1</v>
      </c>
      <c r="Z54" s="37" t="str">
        <f>IFERROR(__xludf.DUMMYFUNCTION("IFERROR(VLOOKUP(G54,IMPORTRANGE(""https://docs.google.com/spreadsheets/d/12RxCea4e5ggM7QGn1XE3FbLQa_-QbCNdBi90OdPjRqg"", ""'Plan de Compras'!D4:Q""), 12, 0), ""NO ESTÁ EN REQ"")"),"Técnica")</f>
        <v>Técnica</v>
      </c>
      <c r="AA54" s="37" t="str">
        <f>IFERROR(__xludf.DUMMYFUNCTION("IFERROR(VLOOKUP(G54,IMPORTRANGE(""https://docs.google.com/spreadsheets/d/12RxCea4e5ggM7QGn1XE3FbLQa_-QbCNdBi90OdPjRqg"", ""'Plan de Compras'!D4:Q""), 13, 0), """")"),"INTERNACIONAL")</f>
        <v>INTERNACIONAL</v>
      </c>
      <c r="AB54" s="32" t="str">
        <f>IFERROR(__xludf.DUMMYFUNCTION("IFERROR(VLOOKUP(G54,IMPORTRANGE(""https://docs.google.com/spreadsheets/d/12RxCea4e5ggM7QGn1XE3FbLQa_-QbCNdBi90OdPjRqg"", ""'Plan de Compras'!D4:Q""), 14, 0), """")"),"GIANFRANCO")</f>
        <v>GIANFRANCO</v>
      </c>
      <c r="AC54" s="72" t="str">
        <f>IFERROR(__xludf.DUMMYFUNCTION("IFERROR(VLOOKUP(G54,IMPORTRANGE(""https://docs.google.com/spreadsheets/d/12RxCea4e5ggM7QGn1XE3FbLQa_-QbCNdBi90OdPjRqg"", ""'Plan de Compras'!D4:Q""), 4, 0), """")"),"EMBUDO DE USO INDUSTRIAL")</f>
        <v>EMBUDO DE USO INDUSTRIAL</v>
      </c>
      <c r="AD54" s="37" t="str">
        <f>IFERROR(__xludf.DUMMYFUNCTION("IFERROR(IF(OR(C54=TRUE,C54=""""),VLOOKUP(G54,IMPORTRANGE(""https://docs.google.com/spreadsheets/d/1z9A1Wq-kKrhRNG5RS2a2fKpY1wIhSVz2ZNmP2mOl588/edit?usp=sharing"",""REQ VF!E4:H""),4,0),""NO APLICA""),""GENERAR REQ"")"),"GENERAR REQ")</f>
        <v>GENERAR REQ</v>
      </c>
      <c r="AE54" s="32" t="str">
        <f>IFERROR(__xludf.DUMMYFUNCTION("IFERROR(QUERY(IMPORTRANGE(""https://docs.google.com/spreadsheets/d/1z9A1Wq-kKrhRNG5RS2a2fKpY1wIhSVz2ZNmP2mOl588/edit?usp=sharing"",""REQ VF!E4:Q""),""SELECT Col10, Col11, Col12 WHERE Col1 = '""&amp;G54&amp;""'"",0),""NO APLICA"")"),"NO APLICA")</f>
        <v>NO APLICA</v>
      </c>
      <c r="AF54" s="32"/>
      <c r="AG54" s="32"/>
      <c r="AH54" s="13"/>
      <c r="AI54" s="13"/>
    </row>
    <row r="55">
      <c r="A55" s="121">
        <v>38.0</v>
      </c>
      <c r="B55" s="43" t="b">
        <v>1</v>
      </c>
      <c r="C55" s="26" t="b">
        <v>1</v>
      </c>
      <c r="D55" s="26" t="s">
        <v>35</v>
      </c>
      <c r="E55" s="26" t="s">
        <v>1510</v>
      </c>
      <c r="F55" s="59" t="s">
        <v>1678</v>
      </c>
      <c r="G55" s="37" t="s">
        <v>1678</v>
      </c>
      <c r="H55" s="82" t="s">
        <v>1679</v>
      </c>
      <c r="I55" s="43">
        <f>SUMIFS('Hoja 10'!$O:$O,'Hoja 10'!$F:$F,$G55)</f>
        <v>8</v>
      </c>
      <c r="J55" s="26">
        <f>IFERROR(__xludf.DUMMYFUNCTION("VLOOKUP(G55,IMPORTRANGE(""https://docs.google.com/spreadsheets/d/12RxCea4e5ggM7QGn1XE3FbLQa_-QbCNdBi90OdPjRqg/edit?gid=1692403370#gid=1692403370"", ""'Plan de Compras'!D4:2432""), 8,0)"),8.0)</f>
        <v>8</v>
      </c>
      <c r="K55" s="26" t="str">
        <f t="shared" si="1"/>
        <v>SI</v>
      </c>
      <c r="L55" s="29" t="s">
        <v>185</v>
      </c>
      <c r="M55" s="30" t="s">
        <v>186</v>
      </c>
      <c r="N55" s="32"/>
      <c r="O55" s="32" t="str">
        <f>VLOOKUP($G55,'Hoja 10'!$F$4:$AA1057, 19,0)</f>
        <v>GENERICO</v>
      </c>
      <c r="P55" s="32" t="str">
        <f>VLOOKUP($G55,'Hoja 10'!$F$4:$AA1057, 20,0)</f>
        <v>GENERICO</v>
      </c>
      <c r="Q55" s="33" t="str">
        <f>VLOOKUP($G55,'Hoja 10'!$F$4:$AA1057, 21,0)</f>
        <v>https://articulo.mercadolibre.com.pe/MPE-606865336-embudo-para-maquina-coser-recta-industrial-25cm-al-4cm-x-ud-_JM?searchVariation=174116342699#polycard_client=search-nordic&amp;searchVariation=174116342699&amp;search_layout=stack&amp;position=5&amp;type=item&amp;tracking_id=69771774-2c82-435c-9e0b-7f45ec6c388d</v>
      </c>
      <c r="R55" s="30" t="s">
        <v>1680</v>
      </c>
      <c r="S55" s="34" t="b">
        <v>1</v>
      </c>
      <c r="T55" s="39" t="str">
        <f>IFERROR(__xludf.DUMMYFUNCTION(" IF
( VLOOKUP($G55,IMPORTRANGE(""https://docs.google.com/spreadsheets/d/1Gpl6jkTg7sL4VDNimUm3S9Vi1i95esohXCF3wuKOE8c"", ""'CONSOLIDADO'!G5:AB""), 10, 0) &lt;&gt; 0, 
IFERROR(VLOOKUP($G55,IMPORTRANGE(""https://docs.google.com/spreadsheets/d/1Gpl6jkTg7sL4VDNimUm3"&amp;"S9Vi1i95esohXCF3wuKOE8c"", ""'CONSOLIDADO'!G5:AB""), 17, 0), ""-""),
""""
)"),"LADIESHOW")</f>
        <v>LADIESHOW</v>
      </c>
      <c r="U55" s="39" t="str">
        <f>IFERROR(__xludf.DUMMYFUNCTION(" IF
( VLOOKUP($G55,IMPORTRANGE(""https://docs.google.com/spreadsheets/d/1Gpl6jkTg7sL4VDNimUm3S9Vi1i95esohXCF3wuKOE8c"", ""'CONSOLIDADO'!G5:AB""), 10, 0) &lt;&gt; 0, 
IFERROR(VLOOKUP($G55,IMPORTRANGE(""https://docs.google.com/spreadsheets/d/1Gpl6jkTg7sL4VDNimUm3"&amp;"S9Vi1i95esohXCF3wuKOE8c"", ""'CONSOLIDADO'!G5:AB""), 18, 0), ""-""),
""""
)"),"Ladieshowthggpwon1r-03")</f>
        <v>Ladieshowthggpwon1r-03</v>
      </c>
      <c r="V55" s="39" t="str">
        <f>IFERROR(__xludf.DUMMYFUNCTION(" IF
( VLOOKUP($G55,IMPORTRANGE(""https://docs.google.com/spreadsheets/d/1Gpl6jkTg7sL4VDNimUm3S9Vi1i95esohXCF3wuKOE8c"", ""'CONSOLIDADO'!G5:AB""), 10, 0) &lt;&gt; 0, 
IFERROR(VLOOKUP($G55,IMPORTRANGE(""https://docs.google.com/spreadsheets/d/1Gpl6jkTg7sL4VDNimUm3"&amp;"S9Vi1i95esohXCF3wuKOE8c"", ""'CONSOLIDADO'!G5:AB""), 17, 0), ""-""),
""""
)"),"LADIESHOW")</f>
        <v>LADIESHOW</v>
      </c>
      <c r="W55" s="39" t="str">
        <f>IFERROR(__xludf.DUMMYFUNCTION(" IF
( VLOOKUP($G55,IMPORTRANGE(""https://docs.google.com/spreadsheets/d/1Gpl6jkTg7sL4VDNimUm3S9Vi1i95esohXCF3wuKOE8c"", ""'CONSOLIDADO'!G5:AB""), 10, 0) &lt;&gt; 0, 
IFERROR(VLOOKUP($G55,IMPORTRANGE(""https://docs.google.com/spreadsheets/d/1Gpl6jkTg7sL4VDNimUm3"&amp;"S9Vi1i95esohXCF3wuKOE8c"", ""'CONSOLIDADO'!G5:AB""), 18, 0), ""-""),
""""
)"),"Ladieshowthggpwon1r-03")</f>
        <v>Ladieshowthggpwon1r-03</v>
      </c>
      <c r="X55" s="39" t="b">
        <f t="shared" si="6"/>
        <v>1</v>
      </c>
      <c r="Y55" s="120" t="str">
        <f>IFERROR(__xludf.DUMMYFUNCTION(" IF
( VLOOKUP($G55,IMPORTRANGE(""https://docs.google.com/spreadsheets/d/1Gpl6jkTg7sL4VDNimUm3S9Vi1i95esohXCF3wuKOE8c"", ""'CONSOLIDADO'!G5:AB""), 10, 0) &lt;&gt; 0, 
IFERROR(VLOOKUP($G55,IMPORTRANGE(""https://docs.google.com/spreadsheets/d/1Gpl6jkTg7sL4VDNimUm3"&amp;"S9Vi1i95esohXCF3wuKOE8c"", ""'CONSOLIDADO'!G5:AB""), 19, 0), ""-""),
""""
)"),"https://www.amazon.es/gp/product/B08R6TXYMJ/ref=ox_sc_act_title_1?smid=A1UQDHFUHEZT40&amp;psc=")</f>
        <v>https://www.amazon.es/gp/product/B08R6TXYMJ/ref=ox_sc_act_title_1?smid=A1UQDHFUHEZT40&amp;psc=</v>
      </c>
      <c r="Z55" s="37" t="str">
        <f>IFERROR(__xludf.DUMMYFUNCTION("IFERROR(VLOOKUP(G55,IMPORTRANGE(""https://docs.google.com/spreadsheets/d/12RxCea4e5ggM7QGn1XE3FbLQa_-QbCNdBi90OdPjRqg"", ""'Plan de Compras'!D4:Q""), 12, 0), ""NO ESTÁ EN REQ"")"),"Técnica")</f>
        <v>Técnica</v>
      </c>
      <c r="AA55" s="37" t="str">
        <f>IFERROR(__xludf.DUMMYFUNCTION("IFERROR(VLOOKUP(G55,IMPORTRANGE(""https://docs.google.com/spreadsheets/d/12RxCea4e5ggM7QGn1XE3FbLQa_-QbCNdBi90OdPjRqg"", ""'Plan de Compras'!D4:Q""), 13, 0), """")"),"INTERNACIONAL")</f>
        <v>INTERNACIONAL</v>
      </c>
      <c r="AB55" s="32" t="str">
        <f>IFERROR(__xludf.DUMMYFUNCTION("IFERROR(VLOOKUP(G55,IMPORTRANGE(""https://docs.google.com/spreadsheets/d/12RxCea4e5ggM7QGn1XE3FbLQa_-QbCNdBi90OdPjRqg"", ""'Plan de Compras'!D4:Q""), 14, 0), """")"),"VICTOR")</f>
        <v>VICTOR</v>
      </c>
      <c r="AC55" s="72" t="str">
        <f>IFERROR(__xludf.DUMMYFUNCTION("IFERROR(VLOOKUP(G55,IMPORTRANGE(""https://docs.google.com/spreadsheets/d/12RxCea4e5ggM7QGn1XE3FbLQa_-QbCNdBi90OdPjRqg"", ""'Plan de Compras'!D4:Q""), 4, 0), """")"),"EMBUDO PARA SESGO")</f>
        <v>EMBUDO PARA SESGO</v>
      </c>
      <c r="AD55" s="37" t="str">
        <f>IFERROR(__xludf.DUMMYFUNCTION("IFERROR(IF(OR(C55=TRUE,C55=""""),VLOOKUP(G55,IMPORTRANGE(""https://docs.google.com/spreadsheets/d/1z9A1Wq-kKrhRNG5RS2a2fKpY1wIhSVz2ZNmP2mOl588/edit?usp=sharing"",""REQ VF!E4:H""),4,0),""NO APLICA""),""GENERAR REQ"")"),"GENERAR REQ")</f>
        <v>GENERAR REQ</v>
      </c>
      <c r="AE55" s="32" t="str">
        <f>IFERROR(__xludf.DUMMYFUNCTION("IFERROR(QUERY(IMPORTRANGE(""https://docs.google.com/spreadsheets/d/1z9A1Wq-kKrhRNG5RS2a2fKpY1wIhSVz2ZNmP2mOl588/edit?usp=sharing"",""REQ VF!E4:Q""),""SELECT Col10, Col11, Col12 WHERE Col1 = '""&amp;G55&amp;""'"",0),""NO APLICA"")"),"NO APLICA")</f>
        <v>NO APLICA</v>
      </c>
      <c r="AF55" s="32"/>
      <c r="AG55" s="32"/>
      <c r="AH55" s="13"/>
      <c r="AI55" s="13"/>
    </row>
    <row r="56">
      <c r="A56" s="121">
        <v>39.0</v>
      </c>
      <c r="B56" s="43" t="b">
        <v>1</v>
      </c>
      <c r="C56" s="26" t="b">
        <v>1</v>
      </c>
      <c r="D56" s="26" t="s">
        <v>35</v>
      </c>
      <c r="E56" s="26" t="s">
        <v>1510</v>
      </c>
      <c r="F56" s="59" t="s">
        <v>1681</v>
      </c>
      <c r="G56" s="37" t="s">
        <v>1681</v>
      </c>
      <c r="H56" s="82" t="s">
        <v>1682</v>
      </c>
      <c r="I56" s="43">
        <f>SUMIFS('Hoja 10'!$O:$O,'Hoja 10'!$F:$F,$G56)</f>
        <v>3</v>
      </c>
      <c r="J56" s="26">
        <f>IFERROR(__xludf.DUMMYFUNCTION("VLOOKUP(G56,IMPORTRANGE(""https://docs.google.com/spreadsheets/d/12RxCea4e5ggM7QGn1XE3FbLQa_-QbCNdBi90OdPjRqg/edit?gid=1692403370#gid=1692403370"", ""'Plan de Compras'!D4:2432""), 8,0)"),3.0)</f>
        <v>3</v>
      </c>
      <c r="K56" s="26" t="str">
        <f t="shared" si="1"/>
        <v>SI</v>
      </c>
      <c r="L56" s="29" t="s">
        <v>127</v>
      </c>
      <c r="M56" s="30" t="s">
        <v>105</v>
      </c>
      <c r="N56" s="32"/>
      <c r="O56" s="32" t="str">
        <f>VLOOKUP($G56,'Hoja 10'!$F$4:$AA1057, 19,0)</f>
        <v>TRUPER</v>
      </c>
      <c r="P56" s="32" t="str">
        <f>VLOOKUP($G56,'Hoja 10'!$F$4:$AA1057, 20,0)</f>
        <v>14 Oz GRAS-13</v>
      </c>
      <c r="Q56" s="33" t="str">
        <f>VLOOKUP($G56,'Hoja 10'!$F$4:$AA1057, 21,0)</f>
        <v>https://www.promart.pe/grasera-industrial-14-oz-6000-lb-pul2/p?srsltid=AfmBOorqzj4GgXjGt1olTcPu1-s1O2auQCiUm9iKnPi3Y7RQuZT-qWqk&amp;utm_source=chatgpt.com</v>
      </c>
      <c r="R56" s="30" t="s">
        <v>1683</v>
      </c>
      <c r="S56" s="34" t="b">
        <v>1</v>
      </c>
      <c r="T56" s="39" t="str">
        <f>IFERROR(__xludf.DUMMYFUNCTION(" IF
( VLOOKUP($G56,IMPORTRANGE(""https://docs.google.com/spreadsheets/d/1Gpl6jkTg7sL4VDNimUm3S9Vi1i95esohXCF3wuKOE8c"", ""'CONSOLIDADO'!G5:AB""), 10, 0) &lt;&gt; 0, 
IFERROR(VLOOKUP($G56,IMPORTRANGE(""https://docs.google.com/spreadsheets/d/1Gpl6jkTg7sL4VDNimUm3"&amp;"S9Vi1i95esohXCF3wuKOE8c"", ""'CONSOLIDADO'!G5:AB""), 17, 0), ""-""),
""""
)"),"TRUPER")</f>
        <v>TRUPER</v>
      </c>
      <c r="U56" s="39" t="str">
        <f>IFERROR(__xludf.DUMMYFUNCTION(" IF
( VLOOKUP($G56,IMPORTRANGE(""https://docs.google.com/spreadsheets/d/1Gpl6jkTg7sL4VDNimUm3S9Vi1i95esohXCF3wuKOE8c"", ""'CONSOLIDADO'!G5:AB""), 10, 0) &lt;&gt; 0, 
IFERROR(VLOOKUP($G56,IMPORTRANGE(""https://docs.google.com/spreadsheets/d/1Gpl6jkTg7sL4VDNimUm3"&amp;"S9Vi1i95esohXCF3wuKOE8c"", ""'CONSOLIDADO'!G5:AB""), 18, 0), ""-""),
""""
)"),"GRAS-13")</f>
        <v>GRAS-13</v>
      </c>
      <c r="V56" s="39" t="str">
        <f>IFERROR(__xludf.DUMMYFUNCTION(" IF
( VLOOKUP($G56,IMPORTRANGE(""https://docs.google.com/spreadsheets/d/1Gpl6jkTg7sL4VDNimUm3S9Vi1i95esohXCF3wuKOE8c"", ""'CONSOLIDADO'!G5:AB""), 10, 0) &lt;&gt; 0, 
IFERROR(VLOOKUP($G56,IMPORTRANGE(""https://docs.google.com/spreadsheets/d/1Gpl6jkTg7sL4VDNimUm3"&amp;"S9Vi1i95esohXCF3wuKOE8c"", ""'CONSOLIDADO'!G5:AB""), 17, 0), ""-""),
""""
)"),"TRUPER")</f>
        <v>TRUPER</v>
      </c>
      <c r="W56" s="39" t="str">
        <f>IFERROR(__xludf.DUMMYFUNCTION(" IF
( VLOOKUP($G56,IMPORTRANGE(""https://docs.google.com/spreadsheets/d/1Gpl6jkTg7sL4VDNimUm3S9Vi1i95esohXCF3wuKOE8c"", ""'CONSOLIDADO'!G5:AB""), 10, 0) &lt;&gt; 0, 
IFERROR(VLOOKUP($G56,IMPORTRANGE(""https://docs.google.com/spreadsheets/d/1Gpl6jkTg7sL4VDNimUm3"&amp;"S9Vi1i95esohXCF3wuKOE8c"", ""'CONSOLIDADO'!G5:AB""), 18, 0), ""-""),
""""
)"),"GRAS-13")</f>
        <v>GRAS-13</v>
      </c>
      <c r="X56" s="39" t="b">
        <f t="shared" si="6"/>
        <v>1</v>
      </c>
      <c r="Y56" s="120" t="str">
        <f>IFERROR(__xludf.DUMMYFUNCTION(" IF
( VLOOKUP($G56,IMPORTRANGE(""https://docs.google.com/spreadsheets/d/1Gpl6jkTg7sL4VDNimUm3S9Vi1i95esohXCF3wuKOE8c"", ""'CONSOLIDADO'!G5:AB""), 10, 0) &lt;&gt; 0, 
IFERROR(VLOOKUP($G56,IMPORTRANGE(""https://docs.google.com/spreadsheets/d/1Gpl6jkTg7sL4VDNimUm3"&amp;"S9Vi1i95esohXCF3wuKOE8c"", ""'CONSOLIDADO'!G5:AB""), 19, 0), ""-""),
""""
)"),"https://drive.google.com/drive/u/0/folders/1DGShzChAOx3qCAUCocOP9FgLBTAzHQYQ")</f>
        <v>https://drive.google.com/drive/u/0/folders/1DGShzChAOx3qCAUCocOP9FgLBTAzHQYQ</v>
      </c>
      <c r="Z56" s="37" t="str">
        <f>IFERROR(__xludf.DUMMYFUNCTION("IFERROR(VLOOKUP(G56,IMPORTRANGE(""https://docs.google.com/spreadsheets/d/12RxCea4e5ggM7QGn1XE3FbLQa_-QbCNdBi90OdPjRqg"", ""'Plan de Compras'!D4:Q""), 12, 0), ""NO ESTÁ EN REQ"")"),"Simple")</f>
        <v>Simple</v>
      </c>
      <c r="AA56" s="37" t="str">
        <f>IFERROR(__xludf.DUMMYFUNCTION("IFERROR(VLOOKUP(G56,IMPORTRANGE(""https://docs.google.com/spreadsheets/d/12RxCea4e5ggM7QGn1XE3FbLQa_-QbCNdBi90OdPjRqg"", ""'Plan de Compras'!D4:Q""), 13, 0), """")"),"NACIONAL")</f>
        <v>NACIONAL</v>
      </c>
      <c r="AB56" s="32" t="str">
        <f>IFERROR(__xludf.DUMMYFUNCTION("IFERROR(VLOOKUP(G56,IMPORTRANGE(""https://docs.google.com/spreadsheets/d/12RxCea4e5ggM7QGn1XE3FbLQa_-QbCNdBi90OdPjRqg"", ""'Plan de Compras'!D4:Q""), 14, 0), """")"),"ALFIO")</f>
        <v>ALFIO</v>
      </c>
      <c r="AC56" s="72" t="str">
        <f>IFERROR(__xludf.DUMMYFUNCTION("IFERROR(VLOOKUP(G56,IMPORTRANGE(""https://docs.google.com/spreadsheets/d/12RxCea4e5ggM7QGn1XE3FbLQa_-QbCNdBi90OdPjRqg"", ""'Plan de Compras'!D4:Q""), 4, 0), """")"),"ENGRASADORA")</f>
        <v>ENGRASADORA</v>
      </c>
      <c r="AD56" s="37" t="str">
        <f>IFERROR(__xludf.DUMMYFUNCTION("IFERROR(IF(OR(C56=TRUE,C56=""""),VLOOKUP(G56,IMPORTRANGE(""https://docs.google.com/spreadsheets/d/1z9A1Wq-kKrhRNG5RS2a2fKpY1wIhSVz2ZNmP2mOl588/edit?usp=sharing"",""REQ VF!E4:H""),4,0),""NO APLICA""),""GENERAR REQ"")"),"GENERAR REQ")</f>
        <v>GENERAR REQ</v>
      </c>
      <c r="AE56" s="32" t="str">
        <f>IFERROR(__xludf.DUMMYFUNCTION("IFERROR(QUERY(IMPORTRANGE(""https://docs.google.com/spreadsheets/d/1z9A1Wq-kKrhRNG5RS2a2fKpY1wIhSVz2ZNmP2mOl588/edit?usp=sharing"",""REQ VF!E4:Q""),""SELECT Col10, Col11, Col12 WHERE Col1 = '""&amp;G56&amp;""'"",0),""NO APLICA"")"),"NO APLICA")</f>
        <v>NO APLICA</v>
      </c>
      <c r="AF56" s="32"/>
      <c r="AG56" s="32"/>
      <c r="AH56" s="13"/>
      <c r="AI56" s="13"/>
    </row>
    <row r="57">
      <c r="A57" s="117">
        <v>40.0</v>
      </c>
      <c r="B57" s="43" t="b">
        <v>1</v>
      </c>
      <c r="C57" s="26" t="b">
        <v>1</v>
      </c>
      <c r="D57" s="26" t="s">
        <v>35</v>
      </c>
      <c r="E57" s="26" t="s">
        <v>36</v>
      </c>
      <c r="F57" s="59" t="s">
        <v>1684</v>
      </c>
      <c r="G57" s="37" t="s">
        <v>1684</v>
      </c>
      <c r="H57" s="82" t="s">
        <v>1685</v>
      </c>
      <c r="I57" s="43">
        <f>SUMIFS('Hoja 10'!$O:$O,'Hoja 10'!$F:$F,$G57)</f>
        <v>3</v>
      </c>
      <c r="J57" s="26">
        <f>IFERROR(__xludf.DUMMYFUNCTION("VLOOKUP(G57,IMPORTRANGE(""https://docs.google.com/spreadsheets/d/12RxCea4e5ggM7QGn1XE3FbLQa_-QbCNdBi90OdPjRqg/edit?gid=1692403370#gid=1692403370"", ""'Plan de Compras'!D4:2432""), 8,0)"),3.0)</f>
        <v>3</v>
      </c>
      <c r="K57" s="26" t="str">
        <f t="shared" si="1"/>
        <v>SI</v>
      </c>
      <c r="L57" s="29" t="s">
        <v>39</v>
      </c>
      <c r="M57" s="30" t="s">
        <v>40</v>
      </c>
      <c r="N57" s="32"/>
      <c r="O57" s="32" t="str">
        <f>VLOOKUP($G57,'Hoja 10'!$F$4:$AA1057, 19,0)</f>
        <v>agromarketglobal</v>
      </c>
      <c r="P57" s="32" t="str">
        <f>VLOOKUP($G57,'Hoja 10'!$F$4:$AA1057, 20,0)</f>
        <v>DESAP 1 - PER</v>
      </c>
      <c r="Q57" s="33" t="str">
        <f>VLOOKUP($G57,'Hoja 10'!$F$4:$AA1057, 21,0)</f>
        <v>https://drive.google.com/file/d/1MamiglnsgYtIm2sp7jNE8HCPKLiZqMlz/view</v>
      </c>
      <c r="R57" s="30" t="s">
        <v>1686</v>
      </c>
      <c r="S57" s="44" t="b">
        <v>1</v>
      </c>
      <c r="T57" s="39" t="str">
        <f>IFERROR(__xludf.DUMMYFUNCTION(" IF
( VLOOKUP($G57,IMPORTRANGE(""https://docs.google.com/spreadsheets/d/1Gpl6jkTg7sL4VDNimUm3S9Vi1i95esohXCF3wuKOE8c"", ""'CONSOLIDADO'!G5:AB""), 10, 0) &lt;&gt; 0, 
IFERROR(VLOOKUP($G57,IMPORTRANGE(""https://docs.google.com/spreadsheets/d/1Gpl6jkTg7sL4VDNimUm3"&amp;"S9Vi1i95esohXCF3wuKOE8c"", ""'CONSOLIDADO'!G5:AB""), 17, 0), ""-""),
""""
)"),"agromarketglobal")</f>
        <v>agromarketglobal</v>
      </c>
      <c r="U57" s="39" t="str">
        <f>IFERROR(__xludf.DUMMYFUNCTION(" IF
( VLOOKUP($G57,IMPORTRANGE(""https://docs.google.com/spreadsheets/d/1Gpl6jkTg7sL4VDNimUm3S9Vi1i95esohXCF3wuKOE8c"", ""'CONSOLIDADO'!G5:AB""), 10, 0) &lt;&gt; 0, 
IFERROR(VLOOKUP($G57,IMPORTRANGE(""https://docs.google.com/spreadsheets/d/1Gpl6jkTg7sL4VDNimUm3"&amp;"S9Vi1i95esohXCF3wuKOE8c"", ""'CONSOLIDADO'!G5:AB""), 18, 0), ""-""),
""""
)"),"DESAP 1 - PER ")</f>
        <v>DESAP 1 - PER </v>
      </c>
      <c r="V57" s="39" t="str">
        <f>IFERROR(__xludf.DUMMYFUNCTION(" IF
( VLOOKUP($G57,IMPORTRANGE(""https://docs.google.com/spreadsheets/d/1Gpl6jkTg7sL4VDNimUm3S9Vi1i95esohXCF3wuKOE8c"", ""'CONSOLIDADO'!G5:AB""), 10, 0) &lt;&gt; 0, 
IFERROR(VLOOKUP($G57,IMPORTRANGE(""https://docs.google.com/spreadsheets/d/1Gpl6jkTg7sL4VDNimUm3"&amp;"S9Vi1i95esohXCF3wuKOE8c"", ""'CONSOLIDADO'!G5:AB""), 17, 0), ""-""),
""""
)"),"agromarketglobal")</f>
        <v>agromarketglobal</v>
      </c>
      <c r="W57" s="39" t="str">
        <f>IFERROR(__xludf.DUMMYFUNCTION(" IF
( VLOOKUP($G57,IMPORTRANGE(""https://docs.google.com/spreadsheets/d/1Gpl6jkTg7sL4VDNimUm3S9Vi1i95esohXCF3wuKOE8c"", ""'CONSOLIDADO'!G5:AB""), 10, 0) &lt;&gt; 0, 
IFERROR(VLOOKUP($G57,IMPORTRANGE(""https://docs.google.com/spreadsheets/d/1Gpl6jkTg7sL4VDNimUm3"&amp;"S9Vi1i95esohXCF3wuKOE8c"", ""'CONSOLIDADO'!G5:AB""), 18, 0), ""-""),
""""
)"),"DESAP 1 - PER ")</f>
        <v>DESAP 1 - PER </v>
      </c>
      <c r="X57" s="39" t="b">
        <f t="shared" si="6"/>
        <v>1</v>
      </c>
      <c r="Y57" s="120" t="str">
        <f>IFERROR(__xludf.DUMMYFUNCTION(" IF
( VLOOKUP($G57,IMPORTRANGE(""https://docs.google.com/spreadsheets/d/1Gpl6jkTg7sL4VDNimUm3S9Vi1i95esohXCF3wuKOE8c"", ""'CONSOLIDADO'!G5:AB""), 10, 0) &lt;&gt; 0, 
IFERROR(VLOOKUP($G57,IMPORTRANGE(""https://docs.google.com/spreadsheets/d/1Gpl6jkTg7sL4VDNimUm3"&amp;"S9Vi1i95esohXCF3wuKOE8c"", ""'CONSOLIDADO'!G5:AB""), 19, 0), ""-""),
""""
)"),"https://drive.google.com/file/d/1MamiglnsgYtIm2sp7jNE8HCPKLiZqMlz/view")</f>
        <v>https://drive.google.com/file/d/1MamiglnsgYtIm2sp7jNE8HCPKLiZqMlz/view</v>
      </c>
      <c r="Z57" s="37" t="str">
        <f>IFERROR(__xludf.DUMMYFUNCTION("IFERROR(VLOOKUP(G57,IMPORTRANGE(""https://docs.google.com/spreadsheets/d/12RxCea4e5ggM7QGn1XE3FbLQa_-QbCNdBi90OdPjRqg"", ""'Plan de Compras'!D4:Q""), 12, 0), ""NO ESTÁ EN REQ"")"),"Técnica")</f>
        <v>Técnica</v>
      </c>
      <c r="AA57" s="37" t="str">
        <f>IFERROR(__xludf.DUMMYFUNCTION("IFERROR(VLOOKUP(G57,IMPORTRANGE(""https://docs.google.com/spreadsheets/d/12RxCea4e5ggM7QGn1XE3FbLQa_-QbCNdBi90OdPjRqg"", ""'Plan de Compras'!D4:Q""), 13, 0), """")"),"NACIONAL")</f>
        <v>NACIONAL</v>
      </c>
      <c r="AB57" s="32" t="str">
        <f>IFERROR(__xludf.DUMMYFUNCTION("IFERROR(VLOOKUP(G57,IMPORTRANGE(""https://docs.google.com/spreadsheets/d/12RxCea4e5ggM7QGn1XE3FbLQa_-QbCNdBi90OdPjRqg"", ""'Plan de Compras'!D4:Q""), 14, 0), """")"),"DIANA")</f>
        <v>DIANA</v>
      </c>
      <c r="AC57" s="72" t="str">
        <f>IFERROR(__xludf.DUMMYFUNCTION("IFERROR(VLOOKUP(G57,IMPORTRANGE(""https://docs.google.com/spreadsheets/d/12RxCea4e5ggM7QGn1XE3FbLQa_-QbCNdBi90OdPjRqg"", ""'Plan de Compras'!D4:Q""), 4, 0), """")"),"ESCARIFICADORA (DESAPONIFICADORA) DE QUINUA")</f>
        <v>ESCARIFICADORA (DESAPONIFICADORA) DE QUINUA</v>
      </c>
      <c r="AD57" s="37" t="str">
        <f>IFERROR(__xludf.DUMMYFUNCTION("IFERROR(IF(OR(C57=TRUE,C57=""""),VLOOKUP(G57,IMPORTRANGE(""https://docs.google.com/spreadsheets/d/1z9A1Wq-kKrhRNG5RS2a2fKpY1wIhSVz2ZNmP2mOl588/edit?usp=sharing"",""REQ VF!E4:H""),4,0),""NO APLICA""),""GENERAR REQ"")"),"GENERAR REQ")</f>
        <v>GENERAR REQ</v>
      </c>
      <c r="AE57" s="32" t="str">
        <f>IFERROR(__xludf.DUMMYFUNCTION("IFERROR(QUERY(IMPORTRANGE(""https://docs.google.com/spreadsheets/d/1z9A1Wq-kKrhRNG5RS2a2fKpY1wIhSVz2ZNmP2mOl588/edit?usp=sharing"",""REQ VF!E4:Q""),""SELECT Col10, Col11, Col12 WHERE Col1 = '""&amp;G57&amp;""'"",0),""NO APLICA"")"),"NO APLICA")</f>
        <v>NO APLICA</v>
      </c>
      <c r="AF57" s="32"/>
      <c r="AG57" s="32"/>
      <c r="AH57" s="8" t="s">
        <v>52</v>
      </c>
      <c r="AI57" s="13"/>
    </row>
    <row r="58">
      <c r="A58" s="117">
        <v>41.0</v>
      </c>
      <c r="B58" s="43" t="b">
        <v>1</v>
      </c>
      <c r="C58" s="26" t="b">
        <v>1</v>
      </c>
      <c r="D58" s="26" t="s">
        <v>35</v>
      </c>
      <c r="E58" s="26" t="s">
        <v>1510</v>
      </c>
      <c r="F58" s="59" t="s">
        <v>1687</v>
      </c>
      <c r="G58" s="37" t="s">
        <v>1687</v>
      </c>
      <c r="H58" s="82" t="s">
        <v>1688</v>
      </c>
      <c r="I58" s="43">
        <f>SUMIFS('Hoja 10'!$O:$O,'Hoja 10'!$F:$F,$G58)</f>
        <v>10</v>
      </c>
      <c r="J58" s="26">
        <f>IFERROR(__xludf.DUMMYFUNCTION("VLOOKUP(G58,IMPORTRANGE(""https://docs.google.com/spreadsheets/d/12RxCea4e5ggM7QGn1XE3FbLQa_-QbCNdBi90OdPjRqg/edit?gid=1692403370#gid=1692403370"", ""'Plan de Compras'!D4:2432""), 8,0)"),10.0)</f>
        <v>10</v>
      </c>
      <c r="K58" s="26" t="str">
        <f t="shared" si="1"/>
        <v>SI</v>
      </c>
      <c r="L58" s="29" t="s">
        <v>185</v>
      </c>
      <c r="M58" s="30" t="s">
        <v>186</v>
      </c>
      <c r="N58" s="32"/>
      <c r="O58" s="32" t="str">
        <f>VLOOKUP($G58,'Hoja 10'!$F$4:$AA1057, 19,0)</f>
        <v>FRIENDA</v>
      </c>
      <c r="P58" s="32" t="str">
        <f>VLOOKUP($G58,'Hoja 10'!$F$4:$AA1057, 20,0)</f>
        <v>FRIENDA</v>
      </c>
      <c r="Q58" s="33" t="str">
        <f>VLOOKUP($G58,'Hoja 10'!$F$4:$AA1057, 21,0)</f>
        <v>https://www.amazon.es/Costura-Pl%C3%A1stico-Cuadrada-Confecci%C3%B3n-Artesanal/dp/B09V853R98</v>
      </c>
      <c r="R58" s="30" t="s">
        <v>1689</v>
      </c>
      <c r="S58" s="44" t="b">
        <v>0</v>
      </c>
      <c r="T58" s="39" t="str">
        <f>IFERROR(__xludf.DUMMYFUNCTION(" IF
( VLOOKUP($G58,IMPORTRANGE(""https://docs.google.com/spreadsheets/d/1Gpl6jkTg7sL4VDNimUm3S9Vi1i95esohXCF3wuKOE8c"", ""'CONSOLIDADO'!G5:AB""), 10, 0) &lt;&gt; 0, 
IFERROR(VLOOKUP($G58,IMPORTRANGE(""https://docs.google.com/spreadsheets/d/1Gpl6jkTg7sL4VDNimUm3"&amp;"S9Vi1i95esohXCF3wuKOE8c"", ""'CONSOLIDADO'!G5:AB""), 17, 0), ""-""),
""""
)"),"Eujgoov")</f>
        <v>Eujgoov</v>
      </c>
      <c r="U58" s="39">
        <f>IFERROR(__xludf.DUMMYFUNCTION(" IF
( VLOOKUP($G58,IMPORTRANGE(""https://docs.google.com/spreadsheets/d/1Gpl6jkTg7sL4VDNimUm3S9Vi1i95esohXCF3wuKOE8c"", ""'CONSOLIDADO'!G5:AB""), 10, 0) &lt;&gt; 0, 
IFERROR(VLOOKUP($G58,IMPORTRANGE(""https://docs.google.com/spreadsheets/d/1Gpl6jkTg7sL4VDNimUm3"&amp;"S9Vi1i95esohXCF3wuKOE8c"", ""'CONSOLIDADO'!G5:AB""), 18, 0), ""-""),
""""
)"),5808.0)</f>
        <v>5808</v>
      </c>
      <c r="V58" s="39" t="str">
        <f>IFERROR(__xludf.DUMMYFUNCTION(" IF
( VLOOKUP($G58,IMPORTRANGE(""https://docs.google.com/spreadsheets/d/1Gpl6jkTg7sL4VDNimUm3S9Vi1i95esohXCF3wuKOE8c"", ""'CONSOLIDADO'!G5:AB""), 10, 0) &lt;&gt; 0, 
IFERROR(VLOOKUP($G58,IMPORTRANGE(""https://docs.google.com/spreadsheets/d/1Gpl6jkTg7sL4VDNimUm3"&amp;"S9Vi1i95esohXCF3wuKOE8c"", ""'CONSOLIDADO'!G5:AB""), 17, 0), ""-""),
""""
)"),"Eujgoov")</f>
        <v>Eujgoov</v>
      </c>
      <c r="W58" s="39">
        <f>IFERROR(__xludf.DUMMYFUNCTION(" IF
( VLOOKUP($G58,IMPORTRANGE(""https://docs.google.com/spreadsheets/d/1Gpl6jkTg7sL4VDNimUm3S9Vi1i95esohXCF3wuKOE8c"", ""'CONSOLIDADO'!G5:AB""), 10, 0) &lt;&gt; 0, 
IFERROR(VLOOKUP($G58,IMPORTRANGE(""https://docs.google.com/spreadsheets/d/1Gpl6jkTg7sL4VDNimUm3"&amp;"S9Vi1i95esohXCF3wuKOE8c"", ""'CONSOLIDADO'!G5:AB""), 18, 0), ""-""),
""""
)"),5808.0)</f>
        <v>5808</v>
      </c>
      <c r="X58" s="39" t="b">
        <f t="shared" si="6"/>
        <v>1</v>
      </c>
      <c r="Y58" s="120" t="str">
        <f>IFERROR(__xludf.DUMMYFUNCTION(" IF
( VLOOKUP($G58,IMPORTRANGE(""https://docs.google.com/spreadsheets/d/1Gpl6jkTg7sL4VDNimUm3S9Vi1i95esohXCF3wuKOE8c"", ""'CONSOLIDADO'!G5:AB""), 10, 0) &lt;&gt; 0, 
IFERROR(VLOOKUP($G58,IMPORTRANGE(""https://docs.google.com/spreadsheets/d/1Gpl6jkTg7sL4VDNimUm3"&amp;"S9Vi1i95esohXCF3wuKOE8c"", ""'CONSOLIDADO'!G5:AB""), 19, 0), ""-""),
""""
)"),"https://www.amazon.com/L-Shaped-Transparent-Tailoring-Quilting-Measuring/dp/B0BM47DR4Q")</f>
        <v>https://www.amazon.com/L-Shaped-Transparent-Tailoring-Quilting-Measuring/dp/B0BM47DR4Q</v>
      </c>
      <c r="Z58" s="37" t="str">
        <f>IFERROR(__xludf.DUMMYFUNCTION("IFERROR(VLOOKUP(G58,IMPORTRANGE(""https://docs.google.com/spreadsheets/d/12RxCea4e5ggM7QGn1XE3FbLQa_-QbCNdBi90OdPjRqg"", ""'Plan de Compras'!D4:Q""), 12, 0), ""NO ESTÁ EN REQ"")"),"Simple")</f>
        <v>Simple</v>
      </c>
      <c r="AA58" s="37" t="str">
        <f>IFERROR(__xludf.DUMMYFUNCTION("IFERROR(VLOOKUP(G58,IMPORTRANGE(""https://docs.google.com/spreadsheets/d/12RxCea4e5ggM7QGn1XE3FbLQa_-QbCNdBi90OdPjRqg"", ""'Plan de Compras'!D4:Q""), 13, 0), """")"),"INTERNACIONAL")</f>
        <v>INTERNACIONAL</v>
      </c>
      <c r="AB58" s="32" t="str">
        <f>IFERROR(__xludf.DUMMYFUNCTION("IFERROR(VLOOKUP(G58,IMPORTRANGE(""https://docs.google.com/spreadsheets/d/12RxCea4e5ggM7QGn1XE3FbLQa_-QbCNdBi90OdPjRqg"", ""'Plan de Compras'!D4:Q""), 14, 0), """")"),"GIANFRANCO")</f>
        <v>GIANFRANCO</v>
      </c>
      <c r="AC58" s="72" t="str">
        <f>IFERROR(__xludf.DUMMYFUNCTION("IFERROR(VLOOKUP(G58,IMPORTRANGE(""https://docs.google.com/spreadsheets/d/12RxCea4e5ggM7QGn1XE3FbLQa_-QbCNdBi90OdPjRqg"", ""'Plan de Compras'!D4:Q""), 4, 0), """")"),"ESCUADRA")</f>
        <v>ESCUADRA</v>
      </c>
      <c r="AD58" s="37" t="str">
        <f>IFERROR(__xludf.DUMMYFUNCTION("IFERROR(IF(OR(C58=TRUE,C58=""""),VLOOKUP(G58,IMPORTRANGE(""https://docs.google.com/spreadsheets/d/1z9A1Wq-kKrhRNG5RS2a2fKpY1wIhSVz2ZNmP2mOl588/edit?usp=sharing"",""REQ VF!E4:H""),4,0),""NO APLICA""),""GENERAR REQ"")"),"GENERAR REQ")</f>
        <v>GENERAR REQ</v>
      </c>
      <c r="AE58" s="32" t="str">
        <f>IFERROR(__xludf.DUMMYFUNCTION("IFERROR(QUERY(IMPORTRANGE(""https://docs.google.com/spreadsheets/d/1z9A1Wq-kKrhRNG5RS2a2fKpY1wIhSVz2ZNmP2mOl588/edit?usp=sharing"",""REQ VF!E4:Q""),""SELECT Col10, Col11, Col12 WHERE Col1 = '""&amp;G58&amp;""'"",0),""NO APLICA"")"),"NO APLICA")</f>
        <v>NO APLICA</v>
      </c>
      <c r="AF58" s="32"/>
      <c r="AG58" s="32"/>
      <c r="AH58" s="13"/>
      <c r="AI58" s="13"/>
    </row>
    <row r="59">
      <c r="A59" s="121">
        <v>42.0</v>
      </c>
      <c r="B59" s="43" t="b">
        <v>1</v>
      </c>
      <c r="C59" s="26" t="b">
        <v>1</v>
      </c>
      <c r="D59" s="26" t="s">
        <v>35</v>
      </c>
      <c r="E59" s="26" t="s">
        <v>1510</v>
      </c>
      <c r="F59" s="59" t="s">
        <v>1690</v>
      </c>
      <c r="G59" s="37" t="s">
        <v>1691</v>
      </c>
      <c r="H59" s="82" t="s">
        <v>1692</v>
      </c>
      <c r="I59" s="43">
        <f>SUMIFS('Hoja 10'!$O:$O,'Hoja 10'!$F:$F,$G59)</f>
        <v>8</v>
      </c>
      <c r="J59" s="26">
        <f>IFERROR(__xludf.DUMMYFUNCTION("VLOOKUP(G59,IMPORTRANGE(""https://docs.google.com/spreadsheets/d/12RxCea4e5ggM7QGn1XE3FbLQa_-QbCNdBi90OdPjRqg/edit?gid=1692403370#gid=1692403370"", ""'Plan de Compras'!D4:2432""), 8,0)"),8.0)</f>
        <v>8</v>
      </c>
      <c r="K59" s="26" t="str">
        <f t="shared" si="1"/>
        <v>SI</v>
      </c>
      <c r="L59" s="29" t="s">
        <v>296</v>
      </c>
      <c r="M59" s="30" t="s">
        <v>297</v>
      </c>
      <c r="N59" s="32"/>
      <c r="O59" s="32" t="str">
        <f>VLOOKUP($G59,'Hoja 10'!$F$4:$AA1057, 19,0)</f>
        <v>Vogel</v>
      </c>
      <c r="P59" s="32">
        <f>VLOOKUP($G59,'Hoja 10'!$F$4:$AA1057, 20,0)</f>
        <v>508090</v>
      </c>
      <c r="Q59" s="33" t="str">
        <f>VLOOKUP($G59,'Hoja 10'!$F$4:$AA1057, 21,0)</f>
        <v>https://store.ferrindustrial.com.pe/producto/escuadra-de-combinacion-12-300mm-set-de-4pzas-508090-vogel-germany/</v>
      </c>
      <c r="R59" s="30" t="s">
        <v>1693</v>
      </c>
      <c r="S59" s="44" t="b">
        <v>1</v>
      </c>
      <c r="T59" s="39" t="str">
        <f>IFERROR(__xludf.DUMMYFUNCTION(" IF
( VLOOKUP($G59,IMPORTRANGE(""https://docs.google.com/spreadsheets/d/1Gpl6jkTg7sL4VDNimUm3S9Vi1i95esohXCF3wuKOE8c"", ""'CONSOLIDADO'!G5:AB""), 10, 0) &lt;&gt; 0, 
IFERROR(VLOOKUP($G59,IMPORTRANGE(""https://docs.google.com/spreadsheets/d/1Gpl6jkTg7sL4VDNimUm3"&amp;"S9Vi1i95esohXCF3wuKOE8c"", ""'CONSOLIDADO'!G5:AB""), 17, 0), ""-""),
""""
)"),"Vogel Germany")</f>
        <v>Vogel Germany</v>
      </c>
      <c r="U59" s="39">
        <f>IFERROR(__xludf.DUMMYFUNCTION(" IF
( VLOOKUP($G59,IMPORTRANGE(""https://docs.google.com/spreadsheets/d/1Gpl6jkTg7sL4VDNimUm3S9Vi1i95esohXCF3wuKOE8c"", ""'CONSOLIDADO'!G5:AB""), 10, 0) &lt;&gt; 0, 
IFERROR(VLOOKUP($G59,IMPORTRANGE(""https://docs.google.com/spreadsheets/d/1Gpl6jkTg7sL4VDNimUm3"&amp;"S9Vi1i95esohXCF3wuKOE8c"", ""'CONSOLIDADO'!G5:AB""), 18, 0), ""-""),
""""
)"),508090.0)</f>
        <v>508090</v>
      </c>
      <c r="V59" s="39" t="str">
        <f>IFERROR(__xludf.DUMMYFUNCTION(" IF
( VLOOKUP($G59,IMPORTRANGE(""https://docs.google.com/spreadsheets/d/1Gpl6jkTg7sL4VDNimUm3S9Vi1i95esohXCF3wuKOE8c"", ""'CONSOLIDADO'!G5:AB""), 10, 0) &lt;&gt; 0, 
IFERROR(VLOOKUP($G59,IMPORTRANGE(""https://docs.google.com/spreadsheets/d/1Gpl6jkTg7sL4VDNimUm3"&amp;"S9Vi1i95esohXCF3wuKOE8c"", ""'CONSOLIDADO'!G5:AB""), 17, 0), ""-""),
""""
)"),"Vogel Germany")</f>
        <v>Vogel Germany</v>
      </c>
      <c r="W59" s="39">
        <f>IFERROR(__xludf.DUMMYFUNCTION(" IF
( VLOOKUP($G59,IMPORTRANGE(""https://docs.google.com/spreadsheets/d/1Gpl6jkTg7sL4VDNimUm3S9Vi1i95esohXCF3wuKOE8c"", ""'CONSOLIDADO'!G5:AB""), 10, 0) &lt;&gt; 0, 
IFERROR(VLOOKUP($G59,IMPORTRANGE(""https://docs.google.com/spreadsheets/d/1Gpl6jkTg7sL4VDNimUm3"&amp;"S9Vi1i95esohXCF3wuKOE8c"", ""'CONSOLIDADO'!G5:AB""), 18, 0), ""-""),
""""
)"),508090.0)</f>
        <v>508090</v>
      </c>
      <c r="X59" s="39" t="b">
        <f t="shared" si="6"/>
        <v>1</v>
      </c>
      <c r="Y59" s="120" t="str">
        <f>IFERROR(__xludf.DUMMYFUNCTION(" IF
( VLOOKUP($G59,IMPORTRANGE(""https://docs.google.com/spreadsheets/d/1Gpl6jkTg7sL4VDNimUm3S9Vi1i95esohXCF3wuKOE8c"", ""'CONSOLIDADO'!G5:AB""), 10, 0) &lt;&gt; 0, 
IFERROR(VLOOKUP($G59,IMPORTRANGE(""https://docs.google.com/spreadsheets/d/1Gpl6jkTg7sL4VDNimUm3"&amp;"S9Vi1i95esohXCF3wuKOE8c"", ""'CONSOLIDADO'!G5:AB""), 19, 0), ""-""),
""""
)"),"https://store.ferrindustrial.com.pe/producto/escuadra-de-combinacion-12-300mm-set-de-4pzas-508090-vogel-germany/")</f>
        <v>https://store.ferrindustrial.com.pe/producto/escuadra-de-combinacion-12-300mm-set-de-4pzas-508090-vogel-germany/</v>
      </c>
      <c r="Z59" s="37" t="str">
        <f>IFERROR(__xludf.DUMMYFUNCTION("IFERROR(VLOOKUP(G59,IMPORTRANGE(""https://docs.google.com/spreadsheets/d/12RxCea4e5ggM7QGn1XE3FbLQa_-QbCNdBi90OdPjRqg"", ""'Plan de Compras'!D4:Q""), 12, 0), ""NO ESTÁ EN REQ"")"),"Técnica")</f>
        <v>Técnica</v>
      </c>
      <c r="AA59" s="37" t="str">
        <f>IFERROR(__xludf.DUMMYFUNCTION("IFERROR(VLOOKUP(G59,IMPORTRANGE(""https://docs.google.com/spreadsheets/d/12RxCea4e5ggM7QGn1XE3FbLQa_-QbCNdBi90OdPjRqg"", ""'Plan de Compras'!D4:Q""), 13, 0), """")"),"NACIONAL")</f>
        <v>NACIONAL</v>
      </c>
      <c r="AB59" s="32" t="str">
        <f>IFERROR(__xludf.DUMMYFUNCTION("IFERROR(VLOOKUP(G59,IMPORTRANGE(""https://docs.google.com/spreadsheets/d/12RxCea4e5ggM7QGn1XE3FbLQa_-QbCNdBi90OdPjRqg"", ""'Plan de Compras'!D4:Q""), 14, 0), """")"),"ANGIE")</f>
        <v>ANGIE</v>
      </c>
      <c r="AC59" s="72" t="str">
        <f>IFERROR(__xludf.DUMMYFUNCTION("IFERROR(VLOOKUP(G59,IMPORTRANGE(""https://docs.google.com/spreadsheets/d/12RxCea4e5ggM7QGn1XE3FbLQa_-QbCNdBi90OdPjRqg"", ""'Plan de Compras'!D4:Q""), 4, 0), """")"),"ESCUADRA DE COMBINACIÓN")</f>
        <v>ESCUADRA DE COMBINACIÓN</v>
      </c>
      <c r="AD59" s="37" t="str">
        <f>IFERROR(__xludf.DUMMYFUNCTION("IFERROR(IF(OR(C59=TRUE,C59=""""),VLOOKUP(G59,IMPORTRANGE(""https://docs.google.com/spreadsheets/d/1z9A1Wq-kKrhRNG5RS2a2fKpY1wIhSVz2ZNmP2mOl588/edit?usp=sharing"",""REQ VF!E4:H""),4,0),""NO APLICA""),""GENERAR REQ"")"),"GENERAR REQ")</f>
        <v>GENERAR REQ</v>
      </c>
      <c r="AE59" s="32" t="str">
        <f>IFERROR(__xludf.DUMMYFUNCTION("IFERROR(QUERY(IMPORTRANGE(""https://docs.google.com/spreadsheets/d/1z9A1Wq-kKrhRNG5RS2a2fKpY1wIhSVz2ZNmP2mOl588/edit?usp=sharing"",""REQ VF!E4:Q""),""SELECT Col10, Col11, Col12 WHERE Col1 = '""&amp;G59&amp;""'"",0),""NO APLICA"")"),"NO APLICA")</f>
        <v>NO APLICA</v>
      </c>
      <c r="AF59" s="32"/>
      <c r="AG59" s="32"/>
      <c r="AH59" s="13"/>
      <c r="AI59" s="13"/>
    </row>
    <row r="60">
      <c r="A60" s="121">
        <v>43.0</v>
      </c>
      <c r="B60" s="43" t="b">
        <v>1</v>
      </c>
      <c r="C60" s="26" t="b">
        <v>1</v>
      </c>
      <c r="D60" s="26" t="s">
        <v>35</v>
      </c>
      <c r="E60" s="26" t="s">
        <v>1510</v>
      </c>
      <c r="F60" s="59" t="s">
        <v>1690</v>
      </c>
      <c r="G60" s="39" t="s">
        <v>1694</v>
      </c>
      <c r="H60" s="82" t="s">
        <v>1692</v>
      </c>
      <c r="I60" s="43">
        <f>SUMIFS('Hoja 10'!$O:$O,'Hoja 10'!$F:$F,$G60)</f>
        <v>10</v>
      </c>
      <c r="J60" s="26">
        <f>IFERROR(__xludf.DUMMYFUNCTION("VLOOKUP(G60,IMPORTRANGE(""https://docs.google.com/spreadsheets/d/12RxCea4e5ggM7QGn1XE3FbLQa_-QbCNdBi90OdPjRqg/edit?gid=1692403370#gid=1692403370"", ""'Plan de Compras'!D4:2432""), 8,0)"),10.0)</f>
        <v>10</v>
      </c>
      <c r="K60" s="26" t="str">
        <f t="shared" si="1"/>
        <v>SI</v>
      </c>
      <c r="L60" s="29" t="s">
        <v>91</v>
      </c>
      <c r="M60" s="30" t="s">
        <v>92</v>
      </c>
      <c r="N60" s="32"/>
      <c r="O60" s="32" t="str">
        <f>VLOOKUP($G60,'Hoja 10'!$F$4:$AA1057, 19,0)</f>
        <v>TRUPER</v>
      </c>
      <c r="P60" s="32">
        <f>VLOOKUP($G60,'Hoja 10'!$F$4:$AA1057, 20,0)</f>
        <v>14380</v>
      </c>
      <c r="Q60" s="33" t="str">
        <f>VLOOKUP($G60,'Hoja 10'!$F$4:$AA1057, 21,0)</f>
        <v>https://cahema.pe/escuadras/15783-escuadra-combinada-12-truper-14380-7501206630457.html</v>
      </c>
      <c r="R60" s="30" t="s">
        <v>1695</v>
      </c>
      <c r="S60" s="44" t="b">
        <v>1</v>
      </c>
      <c r="T60" s="63" t="str">
        <f>IFERROR(__xludf.DUMMYFUNCTION(" IF
( VLOOKUP($G60,IMPORTRANGE(""https://docs.google.com/spreadsheets/d/1Gpl6jkTg7sL4VDNimUm3S9Vi1i95esohXCF3wuKOE8c"", ""'CONSOLIDADO'!G5:AB""), 10, 0) &lt;&gt; 0, 
IFERROR(VLOOKUP($G60,IMPORTRANGE(""https://docs.google.com/spreadsheets/d/1Gpl6jkTg7sL4VDNimUm3"&amp;"S9Vi1i95esohXCF3wuKOE8c"", ""'CONSOLIDADO'!G5:AB""), 17, 0), ""-""),
""""
)"),"LIMIT")</f>
        <v>LIMIT</v>
      </c>
      <c r="U60" s="63">
        <f>IFERROR(__xludf.DUMMYFUNCTION(" IF
( VLOOKUP($G60,IMPORTRANGE(""https://docs.google.com/spreadsheets/d/1Gpl6jkTg7sL4VDNimUm3S9Vi1i95esohXCF3wuKOE8c"", ""'CONSOLIDADO'!G5:AB""), 10, 0) &lt;&gt; 0, 
IFERROR(VLOOKUP($G60,IMPORTRANGE(""https://docs.google.com/spreadsheets/d/1Gpl6jkTg7sL4VDNimUm3"&amp;"S9Vi1i95esohXCF3wuKOE8c"", ""'CONSOLIDADO'!G5:AB""), 18, 0), ""-""),
""""
)"),2.66850106E8)</f>
        <v>266850106</v>
      </c>
      <c r="V60" s="39" t="str">
        <f>IFERROR(__xludf.DUMMYFUNCTION(" IF
( VLOOKUP($G60,IMPORTRANGE(""https://docs.google.com/spreadsheets/d/1Gpl6jkTg7sL4VDNimUm3S9Vi1i95esohXCF3wuKOE8c"", ""'CONSOLIDADO'!G5:AB""), 10, 0) &lt;&gt; 0, 
IFERROR(VLOOKUP($G60,IMPORTRANGE(""https://docs.google.com/spreadsheets/d/1Gpl6jkTg7sL4VDNimUm3"&amp;"S9Vi1i95esohXCF3wuKOE8c"", ""'CONSOLIDADO'!G5:AB""), 17, 0), ""-""),
""""
)"),"LIMIT")</f>
        <v>LIMIT</v>
      </c>
      <c r="W60" s="39">
        <f>IFERROR(__xludf.DUMMYFUNCTION(" IF
( VLOOKUP($G60,IMPORTRANGE(""https://docs.google.com/spreadsheets/d/1Gpl6jkTg7sL4VDNimUm3S9Vi1i95esohXCF3wuKOE8c"", ""'CONSOLIDADO'!G5:AB""), 10, 0) &lt;&gt; 0, 
IFERROR(VLOOKUP($G60,IMPORTRANGE(""https://docs.google.com/spreadsheets/d/1Gpl6jkTg7sL4VDNimUm3"&amp;"S9Vi1i95esohXCF3wuKOE8c"", ""'CONSOLIDADO'!G5:AB""), 18, 0), ""-""),
""""
)"),2.66850106E8)</f>
        <v>266850106</v>
      </c>
      <c r="X60" s="39" t="b">
        <f t="shared" si="6"/>
        <v>1</v>
      </c>
      <c r="Y60" s="120" t="str">
        <f>IFERROR(__xludf.DUMMYFUNCTION(" IF
( VLOOKUP($G60,IMPORTRANGE(""https://docs.google.com/spreadsheets/d/1Gpl6jkTg7sL4VDNimUm3S9Vi1i95esohXCF3wuKOE8c"", ""'CONSOLIDADO'!G5:AB""), 10, 0) &lt;&gt; 0, 
IFERROR(VLOOKUP($G60,IMPORTRANGE(""https://docs.google.com/spreadsheets/d/1Gpl6jkTg7sL4VDNimUm3"&amp;"S9Vi1i95esohXCF3wuKOE8c"", ""'CONSOLIDADO'!G5:AB""), 19, 0), ""-""),
""""
)"),"https://www.aslak.es/herramientas/escuadra-combinada-0-180-300-mm.html")</f>
        <v>https://www.aslak.es/herramientas/escuadra-combinada-0-180-300-mm.html</v>
      </c>
      <c r="Z60" s="37" t="str">
        <f>IFERROR(__xludf.DUMMYFUNCTION("IFERROR(VLOOKUP(G60,IMPORTRANGE(""https://docs.google.com/spreadsheets/d/12RxCea4e5ggM7QGn1XE3FbLQa_-QbCNdBi90OdPjRqg"", ""'Plan de Compras'!D4:Q""), 12, 0), ""NO ESTÁ EN REQ"")"),"Simple")</f>
        <v>Simple</v>
      </c>
      <c r="AA60" s="37" t="str">
        <f>IFERROR(__xludf.DUMMYFUNCTION("IFERROR(VLOOKUP(G60,IMPORTRANGE(""https://docs.google.com/spreadsheets/d/12RxCea4e5ggM7QGn1XE3FbLQa_-QbCNdBi90OdPjRqg"", ""'Plan de Compras'!D4:Q""), 13, 0), """")"),"NACIONAL")</f>
        <v>NACIONAL</v>
      </c>
      <c r="AB60" s="32" t="str">
        <f>IFERROR(__xludf.DUMMYFUNCTION("IFERROR(VLOOKUP(G60,IMPORTRANGE(""https://docs.google.com/spreadsheets/d/12RxCea4e5ggM7QGn1XE3FbLQa_-QbCNdBi90OdPjRqg"", ""'Plan de Compras'!D4:Q""), 14, 0), """")"),"ANGIE")</f>
        <v>ANGIE</v>
      </c>
      <c r="AC60" s="72" t="str">
        <f>IFERROR(__xludf.DUMMYFUNCTION("IFERROR(VLOOKUP(G60,IMPORTRANGE(""https://docs.google.com/spreadsheets/d/12RxCea4e5ggM7QGn1XE3FbLQa_-QbCNdBi90OdPjRqg"", ""'Plan de Compras'!D4:Q""), 4, 0), """")"),"ESCUADRA DE COMBINACIÓN")</f>
        <v>ESCUADRA DE COMBINACIÓN</v>
      </c>
      <c r="AD60" s="37" t="str">
        <f>IFERROR(__xludf.DUMMYFUNCTION("IFERROR(IF(OR(C60=TRUE,C60=""""),VLOOKUP(G60,IMPORTRANGE(""https://docs.google.com/spreadsheets/d/1z9A1Wq-kKrhRNG5RS2a2fKpY1wIhSVz2ZNmP2mOl588/edit?usp=sharing"",""REQ VF!E4:H""),4,0),""NO APLICA""),""GENERAR REQ"")"),"GENERAR REQ")</f>
        <v>GENERAR REQ</v>
      </c>
      <c r="AE60" s="32" t="str">
        <f>IFERROR(__xludf.DUMMYFUNCTION("IFERROR(QUERY(IMPORTRANGE(""https://docs.google.com/spreadsheets/d/1z9A1Wq-kKrhRNG5RS2a2fKpY1wIhSVz2ZNmP2mOl588/edit?usp=sharing"",""REQ VF!E4:Q""),""SELECT Col10, Col11, Col12 WHERE Col1 = '""&amp;G60&amp;""'"",0),""NO APLICA"")"),"NO APLICA")</f>
        <v>NO APLICA</v>
      </c>
      <c r="AF60" s="32"/>
      <c r="AG60" s="32"/>
      <c r="AH60" s="8" t="s">
        <v>52</v>
      </c>
      <c r="AI60" s="8"/>
    </row>
    <row r="61">
      <c r="A61" s="121">
        <v>44.0</v>
      </c>
      <c r="B61" s="43" t="b">
        <v>1</v>
      </c>
      <c r="C61" s="26" t="b">
        <v>1</v>
      </c>
      <c r="D61" s="26" t="s">
        <v>35</v>
      </c>
      <c r="E61" s="26" t="s">
        <v>1510</v>
      </c>
      <c r="F61" s="59" t="s">
        <v>1696</v>
      </c>
      <c r="G61" s="37" t="s">
        <v>1696</v>
      </c>
      <c r="H61" s="82" t="s">
        <v>1697</v>
      </c>
      <c r="I61" s="43">
        <f>SUMIFS('Hoja 10'!$O:$O,'Hoja 10'!$F:$F,$G61)</f>
        <v>8</v>
      </c>
      <c r="J61" s="26">
        <f>IFERROR(__xludf.DUMMYFUNCTION("VLOOKUP(G61,IMPORTRANGE(""https://docs.google.com/spreadsheets/d/12RxCea4e5ggM7QGn1XE3FbLQa_-QbCNdBi90OdPjRqg/edit?gid=1692403370#gid=1692403370"", ""'Plan de Compras'!D4:2432""), 8,0)"),8.0)</f>
        <v>8</v>
      </c>
      <c r="K61" s="26" t="str">
        <f t="shared" si="1"/>
        <v>SI</v>
      </c>
      <c r="L61" s="29" t="s">
        <v>296</v>
      </c>
      <c r="M61" s="30" t="s">
        <v>297</v>
      </c>
      <c r="N61" s="32"/>
      <c r="O61" s="32" t="str">
        <f>VLOOKUP($G61,'Hoja 10'!$F$4:$AA1057, 19,0)</f>
        <v>TRUPER</v>
      </c>
      <c r="P61" s="32">
        <f>VLOOKUP($G61,'Hoja 10'!$F$4:$AA1057, 20,0)</f>
        <v>14376</v>
      </c>
      <c r="Q61" s="33" t="str">
        <f>VLOOKUP($G61,'Hoja 10'!$F$4:$AA1057, 21,0)</f>
        <v>https://cahema.pe/escuadras/15187-escuadra-tipo-l-12-truper-14376-7501206625255.html</v>
      </c>
      <c r="R61" s="30" t="s">
        <v>1698</v>
      </c>
      <c r="S61" s="44" t="b">
        <v>1</v>
      </c>
      <c r="T61" s="39" t="str">
        <f>IFERROR(__xludf.DUMMYFUNCTION(" IF
( VLOOKUP($G61,IMPORTRANGE(""https://docs.google.com/spreadsheets/d/1Gpl6jkTg7sL4VDNimUm3S9Vi1i95esohXCF3wuKOE8c"", ""'CONSOLIDADO'!G5:AB""), 10, 0) &lt;&gt; 0, 
IFERROR(VLOOKUP($G61,IMPORTRANGE(""https://docs.google.com/spreadsheets/d/1Gpl6jkTg7sL4VDNimUm3"&amp;"S9Vi1i95esohXCF3wuKOE8c"", ""'CONSOLIDADO'!G5:AB""), 17, 0), ""-""),
""""
)"),"TRUPER")</f>
        <v>TRUPER</v>
      </c>
      <c r="U61" s="39">
        <f>IFERROR(__xludf.DUMMYFUNCTION(" IF
( VLOOKUP($G61,IMPORTRANGE(""https://docs.google.com/spreadsheets/d/1Gpl6jkTg7sL4VDNimUm3S9Vi1i95esohXCF3wuKOE8c"", ""'CONSOLIDADO'!G5:AB""), 10, 0) &lt;&gt; 0, 
IFERROR(VLOOKUP($G61,IMPORTRANGE(""https://docs.google.com/spreadsheets/d/1Gpl6jkTg7sL4VDNimUm3"&amp;"S9Vi1i95esohXCF3wuKOE8c"", ""'CONSOLIDADO'!G5:AB""), 18, 0), ""-""),
""""
)"),14376.0)</f>
        <v>14376</v>
      </c>
      <c r="V61" s="39" t="str">
        <f>IFERROR(__xludf.DUMMYFUNCTION(" IF
( VLOOKUP($G61,IMPORTRANGE(""https://docs.google.com/spreadsheets/d/1Gpl6jkTg7sL4VDNimUm3S9Vi1i95esohXCF3wuKOE8c"", ""'CONSOLIDADO'!G5:AB""), 10, 0) &lt;&gt; 0, 
IFERROR(VLOOKUP($G61,IMPORTRANGE(""https://docs.google.com/spreadsheets/d/1Gpl6jkTg7sL4VDNimUm3"&amp;"S9Vi1i95esohXCF3wuKOE8c"", ""'CONSOLIDADO'!G5:AB""), 17, 0), ""-""),
""""
)"),"TRUPER")</f>
        <v>TRUPER</v>
      </c>
      <c r="W61" s="39">
        <f>IFERROR(__xludf.DUMMYFUNCTION(" IF
( VLOOKUP($G61,IMPORTRANGE(""https://docs.google.com/spreadsheets/d/1Gpl6jkTg7sL4VDNimUm3S9Vi1i95esohXCF3wuKOE8c"", ""'CONSOLIDADO'!G5:AB""), 10, 0) &lt;&gt; 0, 
IFERROR(VLOOKUP($G61,IMPORTRANGE(""https://docs.google.com/spreadsheets/d/1Gpl6jkTg7sL4VDNimUm3"&amp;"S9Vi1i95esohXCF3wuKOE8c"", ""'CONSOLIDADO'!G5:AB""), 18, 0), ""-""),
""""
)"),14376.0)</f>
        <v>14376</v>
      </c>
      <c r="X61" s="39" t="b">
        <f t="shared" si="6"/>
        <v>1</v>
      </c>
      <c r="Y61" s="120" t="str">
        <f>IFERROR(__xludf.DUMMYFUNCTION(" IF
( VLOOKUP($G61,IMPORTRANGE(""https://docs.google.com/spreadsheets/d/1Gpl6jkTg7sL4VDNimUm3S9Vi1i95esohXCF3wuKOE8c"", ""'CONSOLIDADO'!G5:AB""), 10, 0) &lt;&gt; 0, 
IFERROR(VLOOKUP($G61,IMPORTRANGE(""https://docs.google.com/spreadsheets/d/1Gpl6jkTg7sL4VDNimUm3"&amp;"S9Vi1i95esohXCF3wuKOE8c"", ""'CONSOLIDADO'!G5:AB""), 19, 0), ""-""),
""""
)"),"https://drive.google.com/file/d/1mAbNESsfnkT2ppW7stcYVdeUB1G7FCQi/view?usp=sharing")</f>
        <v>https://drive.google.com/file/d/1mAbNESsfnkT2ppW7stcYVdeUB1G7FCQi/view?usp=sharing</v>
      </c>
      <c r="Z61" s="37" t="str">
        <f>IFERROR(__xludf.DUMMYFUNCTION("IFERROR(VLOOKUP(G61,IMPORTRANGE(""https://docs.google.com/spreadsheets/d/12RxCea4e5ggM7QGn1XE3FbLQa_-QbCNdBi90OdPjRqg"", ""'Plan de Compras'!D4:Q""), 12, 0), ""NO ESTÁ EN REQ"")"),"Simple")</f>
        <v>Simple</v>
      </c>
      <c r="AA61" s="37" t="str">
        <f>IFERROR(__xludf.DUMMYFUNCTION("IFERROR(VLOOKUP(G61,IMPORTRANGE(""https://docs.google.com/spreadsheets/d/12RxCea4e5ggM7QGn1XE3FbLQa_-QbCNdBi90OdPjRqg"", ""'Plan de Compras'!D4:Q""), 13, 0), """")"),"NACIONAL")</f>
        <v>NACIONAL</v>
      </c>
      <c r="AB61" s="32" t="str">
        <f>IFERROR(__xludf.DUMMYFUNCTION("IFERROR(VLOOKUP(G61,IMPORTRANGE(""https://docs.google.com/spreadsheets/d/12RxCea4e5ggM7QGn1XE3FbLQa_-QbCNdBi90OdPjRqg"", ""'Plan de Compras'!D4:Q""), 14, 0), """")"),"ANGIE")</f>
        <v>ANGIE</v>
      </c>
      <c r="AC61" s="72" t="str">
        <f>IFERROR(__xludf.DUMMYFUNCTION("IFERROR(VLOOKUP(G61,IMPORTRANGE(""https://docs.google.com/spreadsheets/d/12RxCea4e5ggM7QGn1XE3FbLQa_-QbCNdBi90OdPjRqg"", ""'Plan de Compras'!D4:Q""), 4, 0), """")"),"ESCUADRA DE PLANCHA")</f>
        <v>ESCUADRA DE PLANCHA</v>
      </c>
      <c r="AD61" s="37" t="str">
        <f>IFERROR(__xludf.DUMMYFUNCTION("IFERROR(IF(OR(C61=TRUE,C61=""""),VLOOKUP(G61,IMPORTRANGE(""https://docs.google.com/spreadsheets/d/1z9A1Wq-kKrhRNG5RS2a2fKpY1wIhSVz2ZNmP2mOl588/edit?usp=sharing"",""REQ VF!E4:H""),4,0),""NO APLICA""),""GENERAR REQ"")"),"GENERAR REQ")</f>
        <v>GENERAR REQ</v>
      </c>
      <c r="AE61" s="32" t="str">
        <f>IFERROR(__xludf.DUMMYFUNCTION("IFERROR(QUERY(IMPORTRANGE(""https://docs.google.com/spreadsheets/d/1z9A1Wq-kKrhRNG5RS2a2fKpY1wIhSVz2ZNmP2mOl588/edit?usp=sharing"",""REQ VF!E4:Q""),""SELECT Col10, Col11, Col12 WHERE Col1 = '""&amp;G61&amp;""'"",0),""NO APLICA"")"),"NO APLICA")</f>
        <v>NO APLICA</v>
      </c>
      <c r="AF61" s="32"/>
      <c r="AG61" s="32"/>
      <c r="AH61" s="8" t="s">
        <v>52</v>
      </c>
      <c r="AI61" s="8"/>
    </row>
    <row r="62">
      <c r="A62" s="117">
        <v>45.0</v>
      </c>
      <c r="B62" s="43" t="b">
        <v>1</v>
      </c>
      <c r="C62" s="26" t="b">
        <v>1</v>
      </c>
      <c r="D62" s="26" t="s">
        <v>35</v>
      </c>
      <c r="E62" s="26" t="s">
        <v>1510</v>
      </c>
      <c r="F62" s="59" t="s">
        <v>1699</v>
      </c>
      <c r="G62" s="37" t="s">
        <v>1700</v>
      </c>
      <c r="H62" s="82" t="s">
        <v>1701</v>
      </c>
      <c r="I62" s="43">
        <f>SUMIFS('Hoja 10'!$O:$O,'Hoja 10'!$F:$F,$G62)</f>
        <v>8</v>
      </c>
      <c r="J62" s="26">
        <f>IFERROR(__xludf.DUMMYFUNCTION("VLOOKUP(G62,IMPORTRANGE(""https://docs.google.com/spreadsheets/d/12RxCea4e5ggM7QGn1XE3FbLQa_-QbCNdBi90OdPjRqg/edit?gid=1692403370#gid=1692403370"", ""'Plan de Compras'!D4:2432""), 8,0)"),8.0)</f>
        <v>8</v>
      </c>
      <c r="K62" s="26" t="str">
        <f t="shared" si="1"/>
        <v>SI</v>
      </c>
      <c r="L62" s="29" t="s">
        <v>296</v>
      </c>
      <c r="M62" s="30" t="s">
        <v>297</v>
      </c>
      <c r="N62" s="32"/>
      <c r="O62" s="32" t="str">
        <f>VLOOKUP($G62,'Hoja 10'!$F$4:$AA1057, 19,0)</f>
        <v>Bahco</v>
      </c>
      <c r="P62" s="32" t="str">
        <f>VLOOKUP($G62,'Hoja 10'!$F$4:$AA1057, 20,0)</f>
        <v>9048-300</v>
      </c>
      <c r="Q62" s="33" t="str">
        <f>VLOOKUP($G62,'Hoja 10'!$F$4:$AA1057, 21,0)</f>
        <v>https://cahema.pe/escuadras/16218-escuadra-tipo-l-300mm-bahco-9048-300-7314150138173.html</v>
      </c>
      <c r="R62" s="30" t="s">
        <v>1702</v>
      </c>
      <c r="S62" s="44" t="b">
        <v>1</v>
      </c>
      <c r="T62" s="39" t="str">
        <f>IFERROR(__xludf.DUMMYFUNCTION(" IF
( VLOOKUP($G62,IMPORTRANGE(""https://docs.google.com/spreadsheets/d/1Gpl6jkTg7sL4VDNimUm3S9Vi1i95esohXCF3wuKOE8c"", ""'CONSOLIDADO'!G5:AB""), 10, 0) &lt;&gt; 0, 
IFERROR(VLOOKUP($G62,IMPORTRANGE(""https://docs.google.com/spreadsheets/d/1Gpl6jkTg7sL4VDNimUm3"&amp;"S9Vi1i95esohXCF3wuKOE8c"", ""'CONSOLIDADO'!G5:AB""), 17, 0), ""-""),
""""
)"),"TRUPER")</f>
        <v>TRUPER</v>
      </c>
      <c r="U62" s="39">
        <f>IFERROR(__xludf.DUMMYFUNCTION(" IF
( VLOOKUP($G62,IMPORTRANGE(""https://docs.google.com/spreadsheets/d/1Gpl6jkTg7sL4VDNimUm3S9Vi1i95esohXCF3wuKOE8c"", ""'CONSOLIDADO'!G5:AB""), 10, 0) &lt;&gt; 0, 
IFERROR(VLOOKUP($G62,IMPORTRANGE(""https://docs.google.com/spreadsheets/d/1Gpl6jkTg7sL4VDNimUm3"&amp;"S9Vi1i95esohXCF3wuKOE8c"", ""'CONSOLIDADO'!G5:AB""), 18, 0), ""-""),
""""
)"),14376.0)</f>
        <v>14376</v>
      </c>
      <c r="V62" s="39" t="str">
        <f>IFERROR(__xludf.DUMMYFUNCTION(" IF
( VLOOKUP($G62,IMPORTRANGE(""https://docs.google.com/spreadsheets/d/1Gpl6jkTg7sL4VDNimUm3S9Vi1i95esohXCF3wuKOE8c"", ""'CONSOLIDADO'!G5:AB""), 10, 0) &lt;&gt; 0, 
IFERROR(VLOOKUP($G62,IMPORTRANGE(""https://docs.google.com/spreadsheets/d/1Gpl6jkTg7sL4VDNimUm3"&amp;"S9Vi1i95esohXCF3wuKOE8c"", ""'CONSOLIDADO'!G5:AB""), 17, 0), ""-""),
""""
)"),"TRUPER")</f>
        <v>TRUPER</v>
      </c>
      <c r="W62" s="39">
        <f>IFERROR(__xludf.DUMMYFUNCTION(" IF
( VLOOKUP($G62,IMPORTRANGE(""https://docs.google.com/spreadsheets/d/1Gpl6jkTg7sL4VDNimUm3S9Vi1i95esohXCF3wuKOE8c"", ""'CONSOLIDADO'!G5:AB""), 10, 0) &lt;&gt; 0, 
IFERROR(VLOOKUP($G62,IMPORTRANGE(""https://docs.google.com/spreadsheets/d/1Gpl6jkTg7sL4VDNimUm3"&amp;"S9Vi1i95esohXCF3wuKOE8c"", ""'CONSOLIDADO'!G5:AB""), 18, 0), ""-""),
""""
)"),14376.0)</f>
        <v>14376</v>
      </c>
      <c r="X62" s="39" t="b">
        <f t="shared" si="6"/>
        <v>1</v>
      </c>
      <c r="Y62" s="120" t="str">
        <f>IFERROR(__xludf.DUMMYFUNCTION(" IF
( VLOOKUP($G62,IMPORTRANGE(""https://docs.google.com/spreadsheets/d/1Gpl6jkTg7sL4VDNimUm3S9Vi1i95esohXCF3wuKOE8c"", ""'CONSOLIDADO'!G5:AB""), 10, 0) &lt;&gt; 0, 
IFERROR(VLOOKUP($G62,IMPORTRANGE(""https://docs.google.com/spreadsheets/d/1Gpl6jkTg7sL4VDNimUm3"&amp;"S9Vi1i95esohXCF3wuKOE8c"", ""'CONSOLIDADO'!G5:AB""), 19, 0), ""-""),
""""
)"),"https://drive.google.com/file/d/1mAbNESsfnkT2ppW7stcYVdeUB1G7FCQi/view?usp=sharing")</f>
        <v>https://drive.google.com/file/d/1mAbNESsfnkT2ppW7stcYVdeUB1G7FCQi/view?usp=sharing</v>
      </c>
      <c r="Z62" s="37" t="str">
        <f>IFERROR(__xludf.DUMMYFUNCTION("IFERROR(VLOOKUP(G62,IMPORTRANGE(""https://docs.google.com/spreadsheets/d/12RxCea4e5ggM7QGn1XE3FbLQa_-QbCNdBi90OdPjRqg"", ""'Plan de Compras'!D4:Q""), 12, 0), ""NO ESTÁ EN REQ"")"),"Simple")</f>
        <v>Simple</v>
      </c>
      <c r="AA62" s="37" t="str">
        <f>IFERROR(__xludf.DUMMYFUNCTION("IFERROR(VLOOKUP(G62,IMPORTRANGE(""https://docs.google.com/spreadsheets/d/12RxCea4e5ggM7QGn1XE3FbLQa_-QbCNdBi90OdPjRqg"", ""'Plan de Compras'!D4:Q""), 13, 0), """")"),"NACIONAL")</f>
        <v>NACIONAL</v>
      </c>
      <c r="AB62" s="32" t="str">
        <f>IFERROR(__xludf.DUMMYFUNCTION("IFERROR(VLOOKUP(G62,IMPORTRANGE(""https://docs.google.com/spreadsheets/d/12RxCea4e5ggM7QGn1XE3FbLQa_-QbCNdBi90OdPjRqg"", ""'Plan de Compras'!D4:Q""), 14, 0), """")"),"ANGIE")</f>
        <v>ANGIE</v>
      </c>
      <c r="AC62" s="72" t="str">
        <f>IFERROR(__xludf.DUMMYFUNCTION("IFERROR(VLOOKUP(G62,IMPORTRANGE(""https://docs.google.com/spreadsheets/d/12RxCea4e5ggM7QGn1XE3FbLQa_-QbCNdBi90OdPjRqg"", ""'Plan de Compras'!D4:Q""), 4, 0), """")"),"ESCUADRA DE TOPE")</f>
        <v>ESCUADRA DE TOPE</v>
      </c>
      <c r="AD62" s="37" t="str">
        <f>IFERROR(__xludf.DUMMYFUNCTION("IFERROR(IF(OR(C62=TRUE,C62=""""),VLOOKUP(G62,IMPORTRANGE(""https://docs.google.com/spreadsheets/d/1z9A1Wq-kKrhRNG5RS2a2fKpY1wIhSVz2ZNmP2mOl588/edit?usp=sharing"",""REQ VF!E4:H""),4,0),""NO APLICA""),""GENERAR REQ"")"),"GENERAR REQ")</f>
        <v>GENERAR REQ</v>
      </c>
      <c r="AE62" s="32" t="str">
        <f>IFERROR(__xludf.DUMMYFUNCTION("IFERROR(QUERY(IMPORTRANGE(""https://docs.google.com/spreadsheets/d/1z9A1Wq-kKrhRNG5RS2a2fKpY1wIhSVz2ZNmP2mOl588/edit?usp=sharing"",""REQ VF!E4:Q""),""SELECT Col10, Col11, Col12 WHERE Col1 = '""&amp;G62&amp;""'"",0),""NO APLICA"")"),"NO APLICA")</f>
        <v>NO APLICA</v>
      </c>
      <c r="AF62" s="32"/>
      <c r="AG62" s="32"/>
      <c r="AH62" s="8" t="s">
        <v>52</v>
      </c>
      <c r="AI62" s="13"/>
    </row>
    <row r="63">
      <c r="A63" s="117">
        <v>46.0</v>
      </c>
      <c r="B63" s="43" t="b">
        <v>1</v>
      </c>
      <c r="C63" s="26" t="b">
        <v>1</v>
      </c>
      <c r="D63" s="26" t="s">
        <v>35</v>
      </c>
      <c r="E63" s="26" t="s">
        <v>1510</v>
      </c>
      <c r="F63" s="59" t="s">
        <v>1699</v>
      </c>
      <c r="G63" s="37" t="s">
        <v>1703</v>
      </c>
      <c r="H63" s="82" t="s">
        <v>1701</v>
      </c>
      <c r="I63" s="43">
        <f>SUMIFS('Hoja 10'!$O:$O,'Hoja 10'!$F:$F,$G63)</f>
        <v>10</v>
      </c>
      <c r="J63" s="26">
        <f>IFERROR(__xludf.DUMMYFUNCTION("VLOOKUP(G63,IMPORTRANGE(""https://docs.google.com/spreadsheets/d/12RxCea4e5ggM7QGn1XE3FbLQa_-QbCNdBi90OdPjRqg/edit?gid=1692403370#gid=1692403370"", ""'Plan de Compras'!D4:2432""), 8,0)"),10.0)</f>
        <v>10</v>
      </c>
      <c r="K63" s="26" t="str">
        <f t="shared" si="1"/>
        <v>SI</v>
      </c>
      <c r="L63" s="29" t="s">
        <v>91</v>
      </c>
      <c r="M63" s="30" t="s">
        <v>92</v>
      </c>
      <c r="N63" s="32"/>
      <c r="O63" s="32" t="str">
        <f>VLOOKUP($G63,'Hoja 10'!$F$4:$AA1057, 19,0)</f>
        <v>STANLEY</v>
      </c>
      <c r="P63" s="32" t="str">
        <f>VLOOKUP($G63,'Hoja 10'!$F$4:$AA1057, 20,0)</f>
        <v>46-536</v>
      </c>
      <c r="Q63" s="33" t="str">
        <f>VLOOKUP($G63,'Hoja 10'!$F$4:$AA1057, 21,0)</f>
        <v>https://prosinfer.pe/product/escuadra-profesional-12-stanley-46-536/</v>
      </c>
      <c r="R63" s="30" t="s">
        <v>1704</v>
      </c>
      <c r="S63" s="44" t="b">
        <v>1</v>
      </c>
      <c r="T63" s="39" t="str">
        <f>IFERROR(__xludf.DUMMYFUNCTION(" IF
( VLOOKUP($G63,IMPORTRANGE(""https://docs.google.com/spreadsheets/d/1Gpl6jkTg7sL4VDNimUm3S9Vi1i95esohXCF3wuKOE8c"", ""'CONSOLIDADO'!G5:AB""), 10, 0) &lt;&gt; 0, 
IFERROR(VLOOKUP($G63,IMPORTRANGE(""https://docs.google.com/spreadsheets/d/1Gpl6jkTg7sL4VDNimUm3"&amp;"S9Vi1i95esohXCF3wuKOE8c"", ""'CONSOLIDADO'!G5:AB""), 17, 0), ""-""),
""""
)"),"STANLEY")</f>
        <v>STANLEY</v>
      </c>
      <c r="U63" s="39" t="str">
        <f>IFERROR(__xludf.DUMMYFUNCTION(" IF
( VLOOKUP($G63,IMPORTRANGE(""https://docs.google.com/spreadsheets/d/1Gpl6jkTg7sL4VDNimUm3S9Vi1i95esohXCF3wuKOE8c"", ""'CONSOLIDADO'!G5:AB""), 10, 0) &lt;&gt; 0, 
IFERROR(VLOOKUP($G63,IMPORTRANGE(""https://docs.google.com/spreadsheets/d/1Gpl6jkTg7sL4VDNimUm3"&amp;"S9Vi1i95esohXCF3wuKOE8c"", ""'CONSOLIDADO'!G5:AB""), 18, 0), ""-""),
""""
)"),"46-536")</f>
        <v>46-536</v>
      </c>
      <c r="V63" s="39" t="str">
        <f>IFERROR(__xludf.DUMMYFUNCTION(" IF
( VLOOKUP($G63,IMPORTRANGE(""https://docs.google.com/spreadsheets/d/1Gpl6jkTg7sL4VDNimUm3S9Vi1i95esohXCF3wuKOE8c"", ""'CONSOLIDADO'!G5:AB""), 10, 0) &lt;&gt; 0, 
IFERROR(VLOOKUP($G63,IMPORTRANGE(""https://docs.google.com/spreadsheets/d/1Gpl6jkTg7sL4VDNimUm3"&amp;"S9Vi1i95esohXCF3wuKOE8c"", ""'CONSOLIDADO'!G5:AB""), 17, 0), ""-""),
""""
)"),"STANLEY")</f>
        <v>STANLEY</v>
      </c>
      <c r="W63" s="39" t="str">
        <f>IFERROR(__xludf.DUMMYFUNCTION(" IF
( VLOOKUP($G63,IMPORTRANGE(""https://docs.google.com/spreadsheets/d/1Gpl6jkTg7sL4VDNimUm3S9Vi1i95esohXCF3wuKOE8c"", ""'CONSOLIDADO'!G5:AB""), 10, 0) &lt;&gt; 0, 
IFERROR(VLOOKUP($G63,IMPORTRANGE(""https://docs.google.com/spreadsheets/d/1Gpl6jkTg7sL4VDNimUm3"&amp;"S9Vi1i95esohXCF3wuKOE8c"", ""'CONSOLIDADO'!G5:AB""), 18, 0), ""-""),
""""
)"),"46-536")</f>
        <v>46-536</v>
      </c>
      <c r="X63" s="39" t="b">
        <f t="shared" si="6"/>
        <v>1</v>
      </c>
      <c r="Y63" s="120" t="str">
        <f>IFERROR(__xludf.DUMMYFUNCTION(" IF
( VLOOKUP($G63,IMPORTRANGE(""https://docs.google.com/spreadsheets/d/1Gpl6jkTg7sL4VDNimUm3S9Vi1i95esohXCF3wuKOE8c"", ""'CONSOLIDADO'!G5:AB""), 10, 0) &lt;&gt; 0, 
IFERROR(VLOOKUP($G63,IMPORTRANGE(""https://docs.google.com/spreadsheets/d/1Gpl6jkTg7sL4VDNimUm3"&amp;"S9Vi1i95esohXCF3wuKOE8c"", ""'CONSOLIDADO'!G5:AB""), 19, 0), ""-""),
""""
)"),"https://prosinfer.pe/product/escuadra-profesional-12-stanley-46-536/")</f>
        <v>https://prosinfer.pe/product/escuadra-profesional-12-stanley-46-536/</v>
      </c>
      <c r="Z63" s="37" t="str">
        <f>IFERROR(__xludf.DUMMYFUNCTION("IFERROR(VLOOKUP(G63,IMPORTRANGE(""https://docs.google.com/spreadsheets/d/12RxCea4e5ggM7QGn1XE3FbLQa_-QbCNdBi90OdPjRqg"", ""'Plan de Compras'!D4:Q""), 12, 0), ""NO ESTÁ EN REQ"")"),"Simple")</f>
        <v>Simple</v>
      </c>
      <c r="AA63" s="37" t="str">
        <f>IFERROR(__xludf.DUMMYFUNCTION("IFERROR(VLOOKUP(G63,IMPORTRANGE(""https://docs.google.com/spreadsheets/d/12RxCea4e5ggM7QGn1XE3FbLQa_-QbCNdBi90OdPjRqg"", ""'Plan de Compras'!D4:Q""), 13, 0), """")"),"NACIONAL")</f>
        <v>NACIONAL</v>
      </c>
      <c r="AB63" s="32" t="str">
        <f>IFERROR(__xludf.DUMMYFUNCTION("IFERROR(VLOOKUP(G63,IMPORTRANGE(""https://docs.google.com/spreadsheets/d/12RxCea4e5ggM7QGn1XE3FbLQa_-QbCNdBi90OdPjRqg"", ""'Plan de Compras'!D4:Q""), 14, 0), """")"),"ANGIE")</f>
        <v>ANGIE</v>
      </c>
      <c r="AC63" s="72" t="str">
        <f>IFERROR(__xludf.DUMMYFUNCTION("IFERROR(VLOOKUP(G63,IMPORTRANGE(""https://docs.google.com/spreadsheets/d/12RxCea4e5ggM7QGn1XE3FbLQa_-QbCNdBi90OdPjRqg"", ""'Plan de Compras'!D4:Q""), 4, 0), """")"),"ESCUADRA DE TOPE")</f>
        <v>ESCUADRA DE TOPE</v>
      </c>
      <c r="AD63" s="37" t="str">
        <f>IFERROR(__xludf.DUMMYFUNCTION("IFERROR(IF(OR(C63=TRUE,C63=""""),VLOOKUP(G63,IMPORTRANGE(""https://docs.google.com/spreadsheets/d/1z9A1Wq-kKrhRNG5RS2a2fKpY1wIhSVz2ZNmP2mOl588/edit?usp=sharing"",""REQ VF!E4:H""),4,0),""NO APLICA""),""GENERAR REQ"")"),"GENERAR REQ")</f>
        <v>GENERAR REQ</v>
      </c>
      <c r="AE63" s="32" t="str">
        <f>IFERROR(__xludf.DUMMYFUNCTION("IFERROR(QUERY(IMPORTRANGE(""https://docs.google.com/spreadsheets/d/1z9A1Wq-kKrhRNG5RS2a2fKpY1wIhSVz2ZNmP2mOl588/edit?usp=sharing"",""REQ VF!E4:Q""),""SELECT Col10, Col11, Col12 WHERE Col1 = '""&amp;G63&amp;""'"",0),""NO APLICA"")"),"NO APLICA")</f>
        <v>NO APLICA</v>
      </c>
      <c r="AF63" s="32"/>
      <c r="AG63" s="32"/>
      <c r="AH63" s="8" t="s">
        <v>52</v>
      </c>
      <c r="AI63" s="13"/>
    </row>
    <row r="64">
      <c r="A64" s="121">
        <v>47.0</v>
      </c>
      <c r="B64" s="43" t="b">
        <v>1</v>
      </c>
      <c r="C64" s="26" t="b">
        <v>1</v>
      </c>
      <c r="D64" s="26" t="s">
        <v>35</v>
      </c>
      <c r="E64" s="26" t="s">
        <v>1510</v>
      </c>
      <c r="F64" s="59" t="s">
        <v>1705</v>
      </c>
      <c r="G64" s="37" t="s">
        <v>1705</v>
      </c>
      <c r="H64" s="82" t="s">
        <v>1706</v>
      </c>
      <c r="I64" s="43">
        <f>SUMIFS('Hoja 10'!$O:$O,'Hoja 10'!$F:$F,$G64)</f>
        <v>2</v>
      </c>
      <c r="J64" s="26">
        <f>IFERROR(__xludf.DUMMYFUNCTION("VLOOKUP(G64,IMPORTRANGE(""https://docs.google.com/spreadsheets/d/12RxCea4e5ggM7QGn1XE3FbLQa_-QbCNdBi90OdPjRqg/edit?gid=1692403370#gid=1692403370"", ""'Plan de Compras'!D4:2432""), 8,0)"),2.0)</f>
        <v>2</v>
      </c>
      <c r="K64" s="26" t="str">
        <f t="shared" si="1"/>
        <v>SI</v>
      </c>
      <c r="L64" s="29" t="s">
        <v>185</v>
      </c>
      <c r="M64" s="30" t="s">
        <v>186</v>
      </c>
      <c r="N64" s="32"/>
      <c r="O64" s="32" t="str">
        <f>VLOOKUP($G64,'Hoja 10'!$F$4:$AA1057, 19,0)</f>
        <v>RIPLEY HOME</v>
      </c>
      <c r="P64" s="32">
        <f>VLOOKUP($G64,'Hoja 10'!$F$4:$AA1057, 20,0)</f>
        <v>2030351767817</v>
      </c>
      <c r="Q64" s="33" t="str">
        <f>VLOOKUP($G64,'Hoja 10'!$F$4:$AA1057, 21,0)</f>
        <v>https://simple.ripley.com.pe/espejo-ripley-home-pie-marco-60x150-cm-negro-2030351767817p?srsltid=AfmBOooZ1pDO0r85SOpIxiedC2baSlMvxGhLdN6BHptPW31J4piCWhxr&amp;color_80=negro&amp;s=mdco</v>
      </c>
      <c r="R64" s="30" t="s">
        <v>1707</v>
      </c>
      <c r="S64" s="34" t="b">
        <v>1</v>
      </c>
      <c r="T64" s="39" t="str">
        <f>IFERROR(__xludf.DUMMYFUNCTION(" IF
( VLOOKUP($G64,IMPORTRANGE(""https://docs.google.com/spreadsheets/d/1Gpl6jkTg7sL4VDNimUm3S9Vi1i95esohXCF3wuKOE8c"", ""'CONSOLIDADO'!G5:AB""), 10, 0) &lt;&gt; 0, 
IFERROR(VLOOKUP($G64,IMPORTRANGE(""https://docs.google.com/spreadsheets/d/1Gpl6jkTg7sL4VDNimUm3"&amp;"S9Vi1i95esohXCF3wuKOE8c"", ""'CONSOLIDADO'!G5:AB""), 17, 0), ""-""),
""""
)"),"JUST HOME COLLECTION")</f>
        <v>JUST HOME COLLECTION</v>
      </c>
      <c r="U64" s="39" t="str">
        <f>IFERROR(__xludf.DUMMYFUNCTION(" IF
( VLOOKUP($G64,IMPORTRANGE(""https://docs.google.com/spreadsheets/d/1Gpl6jkTg7sL4VDNimUm3S9Vi1i95esohXCF3wuKOE8c"", ""'CONSOLIDADO'!G5:AB""), 10, 0) &lt;&gt; 0, 
IFERROR(VLOOKUP($G64,IMPORTRANGE(""https://docs.google.com/spreadsheets/d/1Gpl6jkTg7sL4VDNimUm3"&amp;"S9Vi1i95esohXCF3wuKOE8c"", ""'CONSOLIDADO'!G5:AB""), 18, 0), ""-""),
""""
)"),"Espejo Decorativo Rectangular Café 160x60cm")</f>
        <v>Espejo Decorativo Rectangular Café 160x60cm</v>
      </c>
      <c r="V64" s="39" t="str">
        <f>IFERROR(__xludf.DUMMYFUNCTION(" IF
( VLOOKUP($G64,IMPORTRANGE(""https://docs.google.com/spreadsheets/d/1Gpl6jkTg7sL4VDNimUm3S9Vi1i95esohXCF3wuKOE8c"", ""'CONSOLIDADO'!G5:AB""), 10, 0) &lt;&gt; 0, 
IFERROR(VLOOKUP($G64,IMPORTRANGE(""https://docs.google.com/spreadsheets/d/1Gpl6jkTg7sL4VDNimUm3"&amp;"S9Vi1i95esohXCF3wuKOE8c"", ""'CONSOLIDADO'!G5:AB""), 17, 0), ""-""),
""""
)"),"JUST HOME COLLECTION")</f>
        <v>JUST HOME COLLECTION</v>
      </c>
      <c r="W64" s="39" t="str">
        <f>IFERROR(__xludf.DUMMYFUNCTION(" IF
( VLOOKUP($G64,IMPORTRANGE(""https://docs.google.com/spreadsheets/d/1Gpl6jkTg7sL4VDNimUm3S9Vi1i95esohXCF3wuKOE8c"", ""'CONSOLIDADO'!G5:AB""), 10, 0) &lt;&gt; 0, 
IFERROR(VLOOKUP($G64,IMPORTRANGE(""https://docs.google.com/spreadsheets/d/1Gpl6jkTg7sL4VDNimUm3"&amp;"S9Vi1i95esohXCF3wuKOE8c"", ""'CONSOLIDADO'!G5:AB""), 18, 0), ""-""),
""""
)"),"Espejo Decorativo Rectangular Café 160x60cm")</f>
        <v>Espejo Decorativo Rectangular Café 160x60cm</v>
      </c>
      <c r="X64" s="39" t="b">
        <f t="shared" si="6"/>
        <v>1</v>
      </c>
      <c r="Y64" s="120" t="str">
        <f>IFERROR(__xludf.DUMMYFUNCTION(" IF
( VLOOKUP($G64,IMPORTRANGE(""https://docs.google.com/spreadsheets/d/1Gpl6jkTg7sL4VDNimUm3S9Vi1i95esohXCF3wuKOE8c"", ""'CONSOLIDADO'!G5:AB""), 10, 0) &lt;&gt; 0, 
IFERROR(VLOOKUP($G64,IMPORTRANGE(""https://docs.google.com/spreadsheets/d/1Gpl6jkTg7sL4VDNimUm3"&amp;"S9Vi1i95esohXCF3wuKOE8c"", ""'CONSOLIDADO'!G5:AB""), 19, 0), ""-""),
""""
)"),"https://www.sodimac.com.pe/sodimac-pe/articulo/113323142/espejo-decorativo-rectangular-cafe-160x60cm/113323148")</f>
        <v>https://www.sodimac.com.pe/sodimac-pe/articulo/113323142/espejo-decorativo-rectangular-cafe-160x60cm/113323148</v>
      </c>
      <c r="Z64" s="37" t="str">
        <f>IFERROR(__xludf.DUMMYFUNCTION("IFERROR(VLOOKUP(G64,IMPORTRANGE(""https://docs.google.com/spreadsheets/d/12RxCea4e5ggM7QGn1XE3FbLQa_-QbCNdBi90OdPjRqg"", ""'Plan de Compras'!D4:Q""), 12, 0), ""NO ESTÁ EN REQ"")"),"Simple")</f>
        <v>Simple</v>
      </c>
      <c r="AA64" s="37" t="str">
        <f>IFERROR(__xludf.DUMMYFUNCTION("IFERROR(VLOOKUP(G64,IMPORTRANGE(""https://docs.google.com/spreadsheets/d/12RxCea4e5ggM7QGn1XE3FbLQa_-QbCNdBi90OdPjRqg"", ""'Plan de Compras'!D4:Q""), 13, 0), """")"),"NACIONAL")</f>
        <v>NACIONAL</v>
      </c>
      <c r="AB64" s="32" t="str">
        <f>IFERROR(__xludf.DUMMYFUNCTION("IFERROR(VLOOKUP(G64,IMPORTRANGE(""https://docs.google.com/spreadsheets/d/12RxCea4e5ggM7QGn1XE3FbLQa_-QbCNdBi90OdPjRqg"", ""'Plan de Compras'!D4:Q""), 14, 0), """")"),"JESSICA")</f>
        <v>JESSICA</v>
      </c>
      <c r="AC64" s="72" t="str">
        <f>IFERROR(__xludf.DUMMYFUNCTION("IFERROR(VLOOKUP(G64,IMPORTRANGE(""https://docs.google.com/spreadsheets/d/12RxCea4e5ggM7QGn1XE3FbLQa_-QbCNdBi90OdPjRqg"", ""'Plan de Compras'!D4:Q""), 4, 0), """")"),"ESPEJO")</f>
        <v>ESPEJO</v>
      </c>
      <c r="AD64" s="37" t="str">
        <f>IFERROR(__xludf.DUMMYFUNCTION("IFERROR(IF(OR(C64=TRUE,C64=""""),VLOOKUP(G64,IMPORTRANGE(""https://docs.google.com/spreadsheets/d/1z9A1Wq-kKrhRNG5RS2a2fKpY1wIhSVz2ZNmP2mOl588/edit?usp=sharing"",""REQ VF!E4:H""),4,0),""NO APLICA""),""GENERAR REQ"")"),"GENERAR REQ")</f>
        <v>GENERAR REQ</v>
      </c>
      <c r="AE64" s="32" t="str">
        <f>IFERROR(__xludf.DUMMYFUNCTION("IFERROR(QUERY(IMPORTRANGE(""https://docs.google.com/spreadsheets/d/1z9A1Wq-kKrhRNG5RS2a2fKpY1wIhSVz2ZNmP2mOl588/edit?usp=sharing"",""REQ VF!E4:Q""),""SELECT Col10, Col11, Col12 WHERE Col1 = '""&amp;G64&amp;""'"",0),""NO APLICA"")"),"NO APLICA")</f>
        <v>NO APLICA</v>
      </c>
      <c r="AF64" s="32"/>
      <c r="AG64" s="32"/>
      <c r="AH64" s="13"/>
      <c r="AI64" s="13"/>
    </row>
    <row r="65">
      <c r="A65" s="121">
        <v>48.0</v>
      </c>
      <c r="B65" s="43" t="b">
        <v>1</v>
      </c>
      <c r="C65" s="26" t="b">
        <v>1</v>
      </c>
      <c r="D65" s="26" t="s">
        <v>35</v>
      </c>
      <c r="E65" s="26" t="s">
        <v>36</v>
      </c>
      <c r="F65" s="59" t="s">
        <v>1708</v>
      </c>
      <c r="G65" s="37" t="s">
        <v>1708</v>
      </c>
      <c r="H65" s="82" t="s">
        <v>1709</v>
      </c>
      <c r="I65" s="43">
        <f>SUMIFS('Hoja 10'!$O:$O,'Hoja 10'!$F:$F,$G65)</f>
        <v>4</v>
      </c>
      <c r="J65" s="26">
        <f>IFERROR(__xludf.DUMMYFUNCTION("VLOOKUP(G65,IMPORTRANGE(""https://docs.google.com/spreadsheets/d/12RxCea4e5ggM7QGn1XE3FbLQa_-QbCNdBi90OdPjRqg/edit?gid=1692403370#gid=1692403370"", ""'Plan de Compras'!D4:2432""), 8,0)"),4.0)</f>
        <v>4</v>
      </c>
      <c r="K65" s="26" t="str">
        <f t="shared" si="1"/>
        <v>SI</v>
      </c>
      <c r="L65" s="29" t="s">
        <v>39</v>
      </c>
      <c r="M65" s="30" t="s">
        <v>40</v>
      </c>
      <c r="N65" s="32"/>
      <c r="O65" s="32" t="str">
        <f>VLOOKUP($G65,'Hoja 10'!$F$4:$AA1057, 19,0)</f>
        <v>DASIN</v>
      </c>
      <c r="P65" s="32" t="str">
        <f>VLOOKUP($G65,'Hoja 10'!$F$4:$AA1057, 20,0)</f>
        <v>JH100</v>
      </c>
      <c r="Q65" s="33" t="str">
        <f>VLOOKUP($G65,'Hoja 10'!$F$4:$AA1057, 21,0)</f>
        <v>https://www.dasin-tw.com/es/product/commercial-citrus-juicer-with-PP-roller-for-lemon-and-kumquat_JH100.html</v>
      </c>
      <c r="R65" s="30" t="s">
        <v>1710</v>
      </c>
      <c r="S65" s="44" t="b">
        <v>1</v>
      </c>
      <c r="T65" s="39" t="str">
        <f>IFERROR(__xludf.DUMMYFUNCTION(" IF
( VLOOKUP($G65,IMPORTRANGE(""https://docs.google.com/spreadsheets/d/1Gpl6jkTg7sL4VDNimUm3S9Vi1i95esohXCF3wuKOE8c"", ""'CONSOLIDADO'!G5:AB""), 10, 0) &lt;&gt; 0, 
IFERROR(VLOOKUP($G65,IMPORTRANGE(""https://docs.google.com/spreadsheets/d/1Gpl6jkTg7sL4VDNimUm3"&amp;"S9Vi1i95esohXCF3wuKOE8c"", ""'CONSOLIDADO'!G5:AB""), 17, 0), ""-""),
""""
)"),"DASIN")</f>
        <v>DASIN</v>
      </c>
      <c r="U65" s="39" t="str">
        <f>IFERROR(__xludf.DUMMYFUNCTION(" IF
( VLOOKUP($G65,IMPORTRANGE(""https://docs.google.com/spreadsheets/d/1Gpl6jkTg7sL4VDNimUm3S9Vi1i95esohXCF3wuKOE8c"", ""'CONSOLIDADO'!G5:AB""), 10, 0) &lt;&gt; 0, 
IFERROR(VLOOKUP($G65,IMPORTRANGE(""https://docs.google.com/spreadsheets/d/1Gpl6jkTg7sL4VDNimUm3"&amp;"S9Vi1i95esohXCF3wuKOE8c"", ""'CONSOLIDADO'!G5:AB""), 18, 0), ""-""),
""""
)"),"JH100")</f>
        <v>JH100</v>
      </c>
      <c r="V65" s="39" t="str">
        <f>IFERROR(__xludf.DUMMYFUNCTION(" IF
( VLOOKUP($G65,IMPORTRANGE(""https://docs.google.com/spreadsheets/d/1Gpl6jkTg7sL4VDNimUm3S9Vi1i95esohXCF3wuKOE8c"", ""'CONSOLIDADO'!G5:AB""), 10, 0) &lt;&gt; 0, 
IFERROR(VLOOKUP($G65,IMPORTRANGE(""https://docs.google.com/spreadsheets/d/1Gpl6jkTg7sL4VDNimUm3"&amp;"S9Vi1i95esohXCF3wuKOE8c"", ""'CONSOLIDADO'!G5:AB""), 17, 0), ""-""),
""""
)"),"DASIN")</f>
        <v>DASIN</v>
      </c>
      <c r="W65" s="39" t="str">
        <f>IFERROR(__xludf.DUMMYFUNCTION(" IF
( VLOOKUP($G65,IMPORTRANGE(""https://docs.google.com/spreadsheets/d/1Gpl6jkTg7sL4VDNimUm3S9Vi1i95esohXCF3wuKOE8c"", ""'CONSOLIDADO'!G5:AB""), 10, 0) &lt;&gt; 0, 
IFERROR(VLOOKUP($G65,IMPORTRANGE(""https://docs.google.com/spreadsheets/d/1Gpl6jkTg7sL4VDNimUm3"&amp;"S9Vi1i95esohXCF3wuKOE8c"", ""'CONSOLIDADO'!G5:AB""), 18, 0), ""-""),
""""
)"),"JH100")</f>
        <v>JH100</v>
      </c>
      <c r="X65" s="39" t="b">
        <f t="shared" si="6"/>
        <v>1</v>
      </c>
      <c r="Y65" s="120" t="str">
        <f>IFERROR(__xludf.DUMMYFUNCTION(" IF
( VLOOKUP($G65,IMPORTRANGE(""https://docs.google.com/spreadsheets/d/1Gpl6jkTg7sL4VDNimUm3S9Vi1i95esohXCF3wuKOE8c"", ""'CONSOLIDADO'!G5:AB""), 10, 0) &lt;&gt; 0, 
IFERROR(VLOOKUP($G65,IMPORTRANGE(""https://docs.google.com/spreadsheets/d/1Gpl6jkTg7sL4VDNimUm3"&amp;"S9Vi1i95esohXCF3wuKOE8c"", ""'CONSOLIDADO'!G5:AB""), 19, 0), ""-""),
""""
)"),"https://www.dasin-tw.com/es/product/commercial-citrus-juicer-with-PP-roller-for-lemon-and-kumquat_JH100.html")</f>
        <v>https://www.dasin-tw.com/es/product/commercial-citrus-juicer-with-PP-roller-for-lemon-and-kumquat_JH100.html</v>
      </c>
      <c r="Z65" s="37" t="str">
        <f>IFERROR(__xludf.DUMMYFUNCTION("IFERROR(VLOOKUP(G65,IMPORTRANGE(""https://docs.google.com/spreadsheets/d/12RxCea4e5ggM7QGn1XE3FbLQa_-QbCNdBi90OdPjRqg"", ""'Plan de Compras'!D4:Q""), 12, 0), ""NO ESTÁ EN REQ"")"),"Técnica")</f>
        <v>Técnica</v>
      </c>
      <c r="AA65" s="37" t="str">
        <f>IFERROR(__xludf.DUMMYFUNCTION("IFERROR(VLOOKUP(G65,IMPORTRANGE(""https://docs.google.com/spreadsheets/d/12RxCea4e5ggM7QGn1XE3FbLQa_-QbCNdBi90OdPjRqg"", ""'Plan de Compras'!D4:Q""), 13, 0), """")"),"INTERNACIONAL")</f>
        <v>INTERNACIONAL</v>
      </c>
      <c r="AB65" s="32" t="str">
        <f>IFERROR(__xludf.DUMMYFUNCTION("IFERROR(VLOOKUP(G65,IMPORTRANGE(""https://docs.google.com/spreadsheets/d/12RxCea4e5ggM7QGn1XE3FbLQa_-QbCNdBi90OdPjRqg"", ""'Plan de Compras'!D4:Q""), 14, 0), """")"),"GEYDI")</f>
        <v>GEYDI</v>
      </c>
      <c r="AC65" s="72" t="str">
        <f>IFERROR(__xludf.DUMMYFUNCTION("IFERROR(VLOOKUP(G65,IMPORTRANGE(""https://docs.google.com/spreadsheets/d/12RxCea4e5ggM7QGn1XE3FbLQa_-QbCNdBi90OdPjRqg"", ""'Plan de Compras'!D4:Q""), 4, 0), """")"),"EXPRIMIDOR DE CITRICOS DE 4 TAMBORES")</f>
        <v>EXPRIMIDOR DE CITRICOS DE 4 TAMBORES</v>
      </c>
      <c r="AD65" s="37" t="str">
        <f>IFERROR(__xludf.DUMMYFUNCTION("IFERROR(IF(OR(C65=TRUE,C65=""""),VLOOKUP(G65,IMPORTRANGE(""https://docs.google.com/spreadsheets/d/1z9A1Wq-kKrhRNG5RS2a2fKpY1wIhSVz2ZNmP2mOl588/edit?usp=sharing"",""REQ VF!E4:H""),4,0),""NO APLICA""),""GENERAR REQ"")"),"GENERAR REQ")</f>
        <v>GENERAR REQ</v>
      </c>
      <c r="AE65" s="32" t="str">
        <f>IFERROR(__xludf.DUMMYFUNCTION("IFERROR(QUERY(IMPORTRANGE(""https://docs.google.com/spreadsheets/d/1z9A1Wq-kKrhRNG5RS2a2fKpY1wIhSVz2ZNmP2mOl588/edit?usp=sharing"",""REQ VF!E4:Q""),""SELECT Col10, Col11, Col12 WHERE Col1 = '""&amp;G65&amp;""'"",0),""NO APLICA"")"),"NO APLICA")</f>
        <v>NO APLICA</v>
      </c>
      <c r="AF65" s="32"/>
      <c r="AG65" s="32"/>
      <c r="AH65" s="8" t="s">
        <v>52</v>
      </c>
      <c r="AI65" s="13"/>
    </row>
    <row r="66">
      <c r="A66" s="43"/>
      <c r="B66" s="43"/>
      <c r="C66" s="26" t="b">
        <v>1</v>
      </c>
      <c r="D66" s="26" t="s">
        <v>42</v>
      </c>
      <c r="E66" s="26" t="s">
        <v>36</v>
      </c>
      <c r="F66" s="59" t="s">
        <v>1708</v>
      </c>
      <c r="G66" s="39" t="s">
        <v>1711</v>
      </c>
      <c r="H66" s="66" t="s">
        <v>1712</v>
      </c>
      <c r="I66" s="43">
        <v>4.0</v>
      </c>
      <c r="J66" s="26">
        <f>IFERROR(__xludf.DUMMYFUNCTION("VLOOKUP(G66,IMPORTRANGE(""https://docs.google.com/spreadsheets/d/12RxCea4e5ggM7QGn1XE3FbLQa_-QbCNdBi90OdPjRqg/edit?gid=1692403370#gid=1692403370"", ""'Plan de Compras'!D4:2432""), 8,0)"),4.0)</f>
        <v>4</v>
      </c>
      <c r="K66" s="26" t="str">
        <f t="shared" si="1"/>
        <v>SI</v>
      </c>
      <c r="L66" s="26"/>
      <c r="M66" s="32"/>
      <c r="N66" s="32" t="s">
        <v>166</v>
      </c>
      <c r="O66" s="32"/>
      <c r="P66" s="32" t="s">
        <v>1713</v>
      </c>
      <c r="Q66" s="33" t="s">
        <v>1655</v>
      </c>
      <c r="R66" s="32"/>
      <c r="S66" s="34" t="b">
        <v>1</v>
      </c>
      <c r="T66" s="127" t="s">
        <v>47</v>
      </c>
      <c r="U66" s="128" t="s">
        <v>1714</v>
      </c>
      <c r="V66" s="127"/>
      <c r="W66" s="127"/>
      <c r="X66" s="127"/>
      <c r="Y66" s="124"/>
      <c r="Z66" s="37" t="str">
        <f>IFERROR(__xludf.DUMMYFUNCTION("IFERROR(VLOOKUP(G66,IMPORTRANGE(""https://docs.google.com/spreadsheets/d/12RxCea4e5ggM7QGn1XE3FbLQa_-QbCNdBi90OdPjRqg"", ""'Plan de Compras'!D4:Q""), 12, 0), ""NO ESTÁ EN REQ"")"),"Simple")</f>
        <v>Simple</v>
      </c>
      <c r="AA66" s="37" t="str">
        <f>IFERROR(__xludf.DUMMYFUNCTION("IFERROR(VLOOKUP(G66,IMPORTRANGE(""https://docs.google.com/spreadsheets/d/12RxCea4e5ggM7QGn1XE3FbLQa_-QbCNdBi90OdPjRqg"", ""'Plan de Compras'!D4:Q""), 13, 0), """")"),"NACIONAL")</f>
        <v>NACIONAL</v>
      </c>
      <c r="AB66" s="32" t="str">
        <f>IFERROR(__xludf.DUMMYFUNCTION("IFERROR(VLOOKUP(G66,IMPORTRANGE(""https://docs.google.com/spreadsheets/d/12RxCea4e5ggM7QGn1XE3FbLQa_-QbCNdBi90OdPjRqg"", ""'Plan de Compras'!D4:Q""), 14, 0), """")"),"ANGIE")</f>
        <v>ANGIE</v>
      </c>
      <c r="AC66" s="72" t="str">
        <f>IFERROR(__xludf.DUMMYFUNCTION("IFERROR(VLOOKUP(G66,IMPORTRANGE(""https://docs.google.com/spreadsheets/d/12RxCea4e5ggM7QGn1XE3FbLQa_-QbCNdBi90OdPjRqg"", ""'Plan de Compras'!D4:Q""), 4, 0), """")"),"FUNDA PROTECTORA IMPERMEABLE (1 UND)")</f>
        <v>FUNDA PROTECTORA IMPERMEABLE (1 UND)</v>
      </c>
      <c r="AD66" s="37" t="str">
        <f>IFERROR(__xludf.DUMMYFUNCTION("IFERROR(IF(OR(C66=TRUE,C66=""""),VLOOKUP(G66,IMPORTRANGE(""https://docs.google.com/spreadsheets/d/1z9A1Wq-kKrhRNG5RS2a2fKpY1wIhSVz2ZNmP2mOl588/edit?usp=sharing"",""REQ VF!E4:H""),4,0),""NO APLICA""),""GENERAR REQ"")"),"GENERAR REQ")</f>
        <v>GENERAR REQ</v>
      </c>
      <c r="AE66" s="32" t="str">
        <f>IFERROR(__xludf.DUMMYFUNCTION("IFERROR(QUERY(IMPORTRANGE(""https://docs.google.com/spreadsheets/d/1z9A1Wq-kKrhRNG5RS2a2fKpY1wIhSVz2ZNmP2mOl588/edit?usp=sharing"",""REQ VF!E4:Q""),""SELECT Col10, Col11, Col12 WHERE Col1 = '""&amp;G66&amp;""'"",0),""NO APLICA"")"),"NO APLICA")</f>
        <v>NO APLICA</v>
      </c>
      <c r="AF66" s="32"/>
      <c r="AG66" s="32"/>
      <c r="AH66" s="13"/>
      <c r="AI66" s="13"/>
    </row>
    <row r="67">
      <c r="A67" s="121">
        <v>49.0</v>
      </c>
      <c r="B67" s="43" t="b">
        <v>1</v>
      </c>
      <c r="C67" s="26" t="b">
        <v>1</v>
      </c>
      <c r="D67" s="26" t="s">
        <v>35</v>
      </c>
      <c r="E67" s="26" t="s">
        <v>36</v>
      </c>
      <c r="F67" s="59" t="s">
        <v>1715</v>
      </c>
      <c r="G67" s="37" t="s">
        <v>1715</v>
      </c>
      <c r="H67" s="82" t="s">
        <v>1716</v>
      </c>
      <c r="I67" s="43">
        <f>SUMIFS('Hoja 10'!$O:$O,'Hoja 10'!$F:$F,$G67)</f>
        <v>1</v>
      </c>
      <c r="J67" s="26">
        <f>IFERROR(__xludf.DUMMYFUNCTION("VLOOKUP(G67,IMPORTRANGE(""https://docs.google.com/spreadsheets/d/12RxCea4e5ggM7QGn1XE3FbLQa_-QbCNdBi90OdPjRqg/edit?gid=1692403370#gid=1692403370"", ""'Plan de Compras'!D4:2432""), 8,0)"),1.0)</f>
        <v>1</v>
      </c>
      <c r="K67" s="26" t="str">
        <f t="shared" si="1"/>
        <v>SI</v>
      </c>
      <c r="L67" s="29" t="s">
        <v>77</v>
      </c>
      <c r="M67" s="30" t="s">
        <v>78</v>
      </c>
      <c r="N67" s="32"/>
      <c r="O67" s="32" t="str">
        <f>VLOOKUP($G67,'Hoja 10'!$F$4:$AA1057, 19,0)</f>
        <v>DSP Professional</v>
      </c>
      <c r="P67" s="32">
        <f>VLOOKUP($G67,'Hoja 10'!$F$4:$AA1057, 20,0)</f>
        <v>1001324660</v>
      </c>
      <c r="Q67" s="33" t="str">
        <f>VLOOKUP($G67,'Hoja 10'!$F$4:$AA1057, 21,0)</f>
        <v>https://www.oechsle.pe/exprimidor-de-citricos-electrico-dsp-kj1051-1001188967/p?srsltid=AfmBOorAWeNq_9iGqVBBUQm54TBAZwlM4b1d0YH8_S2T5_77Cx_amEYc#detalles</v>
      </c>
      <c r="R67" s="30" t="s">
        <v>1717</v>
      </c>
      <c r="S67" s="34" t="b">
        <v>1</v>
      </c>
      <c r="T67" s="63" t="str">
        <f>IFERROR(__xludf.DUMMYFUNCTION(" IF
( VLOOKUP($G67,IMPORTRANGE(""https://docs.google.com/spreadsheets/d/1Gpl6jkTg7sL4VDNimUm3S9Vi1i95esohXCF3wuKOE8c"", ""'CONSOLIDADO'!G5:AB""), 10, 0) &lt;&gt; 0, 
IFERROR(VLOOKUP($G67,IMPORTRANGE(""https://docs.google.com/spreadsheets/d/1Gpl6jkTg7sL4VDNimUm3"&amp;"S9Vi1i95esohXCF3wuKOE8c"", ""'CONSOLIDADO'!G5:AB""), 17, 0), ""-""),
""""
)"),"TAURUS")</f>
        <v>TAURUS</v>
      </c>
      <c r="U67" s="63" t="str">
        <f>IFERROR(__xludf.DUMMYFUNCTION(" IF
( VLOOKUP($G67,IMPORTRANGE(""https://docs.google.com/spreadsheets/d/1Gpl6jkTg7sL4VDNimUm3S9Vi1i95esohXCF3wuKOE8c"", ""'CONSOLIDADO'!G5:AB""), 10, 0) &lt;&gt; 0, 
IFERROR(VLOOKUP($G67,IMPORTRANGE(""https://docs.google.com/spreadsheets/d/1Gpl6jkTg7sL4VDNimUm3"&amp;"S9Vi1i95esohXCF3wuKOE8c"", ""'CONSOLIDADO'!G5:AB""), 18, 0), ""-""),
""""
)"),"Citrus 600 Legend")</f>
        <v>Citrus 600 Legend</v>
      </c>
      <c r="V67" s="39" t="str">
        <f>IFERROR(__xludf.DUMMYFUNCTION(" IF
( VLOOKUP($G67,IMPORTRANGE(""https://docs.google.com/spreadsheets/d/1Gpl6jkTg7sL4VDNimUm3S9Vi1i95esohXCF3wuKOE8c"", ""'CONSOLIDADO'!G5:AB""), 10, 0) &lt;&gt; 0, 
IFERROR(VLOOKUP($G67,IMPORTRANGE(""https://docs.google.com/spreadsheets/d/1Gpl6jkTg7sL4VDNimUm3"&amp;"S9Vi1i95esohXCF3wuKOE8c"", ""'CONSOLIDADO'!G5:AB""), 17, 0), ""-""),
""""
)"),"TAURUS")</f>
        <v>TAURUS</v>
      </c>
      <c r="W67" s="39" t="str">
        <f>IFERROR(__xludf.DUMMYFUNCTION(" IF
( VLOOKUP($G67,IMPORTRANGE(""https://docs.google.com/spreadsheets/d/1Gpl6jkTg7sL4VDNimUm3S9Vi1i95esohXCF3wuKOE8c"", ""'CONSOLIDADO'!G5:AB""), 10, 0) &lt;&gt; 0, 
IFERROR(VLOOKUP($G67,IMPORTRANGE(""https://docs.google.com/spreadsheets/d/1Gpl6jkTg7sL4VDNimUm3"&amp;"S9Vi1i95esohXCF3wuKOE8c"", ""'CONSOLIDADO'!G5:AB""), 18, 0), ""-""),
""""
)"),"Citrus 600 Legend")</f>
        <v>Citrus 600 Legend</v>
      </c>
      <c r="X67" s="39" t="b">
        <f>IF(AND(T67=V67,W67=U67),TRUE,FALSE)</f>
        <v>1</v>
      </c>
      <c r="Y67" s="120" t="str">
        <f>IFERROR(__xludf.DUMMYFUNCTION(" IF
( VLOOKUP($G67,IMPORTRANGE(""https://docs.google.com/spreadsheets/d/1Gpl6jkTg7sL4VDNimUm3S9Vi1i95esohXCF3wuKOE8c"", ""'CONSOLIDADO'!G5:AB""), 10, 0) &lt;&gt; 0, 
IFERROR(VLOOKUP($G67,IMPORTRANGE(""https://docs.google.com/spreadsheets/d/1Gpl6jkTg7sL4VDNimUm3"&amp;"S9Vi1i95esohXCF3wuKOE8c"", ""'CONSOLIDADO'!G5:AB""), 19, 0), ""-""),
""""
)"),"https://taurus-home.com/products/easy-press-600-legend?srsltid=AfmBOorNAaec4OVgaDN8Tuzg2nHFmrSZt3a9ivvfggJYQVy5476u3Ufw")</f>
        <v>https://taurus-home.com/products/easy-press-600-legend?srsltid=AfmBOorNAaec4OVgaDN8Tuzg2nHFmrSZt3a9ivvfggJYQVy5476u3Ufw</v>
      </c>
      <c r="Z67" s="37" t="str">
        <f>IFERROR(__xludf.DUMMYFUNCTION("IFERROR(VLOOKUP(G67,IMPORTRANGE(""https://docs.google.com/spreadsheets/d/12RxCea4e5ggM7QGn1XE3FbLQa_-QbCNdBi90OdPjRqg"", ""'Plan de Compras'!D4:Q""), 12, 0), ""NO ESTÁ EN REQ"")"),"Técnica")</f>
        <v>Técnica</v>
      </c>
      <c r="AA67" s="37" t="str">
        <f>IFERROR(__xludf.DUMMYFUNCTION("IFERROR(VLOOKUP(G67,IMPORTRANGE(""https://docs.google.com/spreadsheets/d/12RxCea4e5ggM7QGn1XE3FbLQa_-QbCNdBi90OdPjRqg"", ""'Plan de Compras'!D4:Q""), 13, 0), """")"),"NACIONAL")</f>
        <v>NACIONAL</v>
      </c>
      <c r="AB67" s="32" t="str">
        <f>IFERROR(__xludf.DUMMYFUNCTION("IFERROR(VLOOKUP(G67,IMPORTRANGE(""https://docs.google.com/spreadsheets/d/12RxCea4e5ggM7QGn1XE3FbLQa_-QbCNdBi90OdPjRqg"", ""'Plan de Compras'!D4:Q""), 14, 0), """")"),"JESSICA")</f>
        <v>JESSICA</v>
      </c>
      <c r="AC67" s="72" t="str">
        <f>IFERROR(__xludf.DUMMYFUNCTION("IFERROR(VLOOKUP(G67,IMPORTRANGE(""https://docs.google.com/spreadsheets/d/12RxCea4e5ggM7QGn1XE3FbLQa_-QbCNdBi90OdPjRqg"", ""'Plan de Compras'!D4:Q""), 4, 0), """")"),"EXPRIMIDOR DE LIMÓN")</f>
        <v>EXPRIMIDOR DE LIMÓN</v>
      </c>
      <c r="AD67" s="37" t="str">
        <f>IFERROR(__xludf.DUMMYFUNCTION("IFERROR(IF(OR(C67=TRUE,C67=""""),VLOOKUP(G67,IMPORTRANGE(""https://docs.google.com/spreadsheets/d/1z9A1Wq-kKrhRNG5RS2a2fKpY1wIhSVz2ZNmP2mOl588/edit?usp=sharing"",""REQ VF!E4:H""),4,0),""NO APLICA""),""GENERAR REQ"")"),"GENERAR REQ")</f>
        <v>GENERAR REQ</v>
      </c>
      <c r="AE67" s="32" t="str">
        <f>IFERROR(__xludf.DUMMYFUNCTION("IFERROR(QUERY(IMPORTRANGE(""https://docs.google.com/spreadsheets/d/1z9A1Wq-kKrhRNG5RS2a2fKpY1wIhSVz2ZNmP2mOl588/edit?usp=sharing"",""REQ VF!E4:Q""),""SELECT Col10, Col11, Col12 WHERE Col1 = '""&amp;G67&amp;""'"",0),""NO APLICA"")"),"NO APLICA")</f>
        <v>NO APLICA</v>
      </c>
      <c r="AF67" s="32"/>
      <c r="AG67" s="32"/>
      <c r="AH67" s="13"/>
      <c r="AI67" s="13"/>
    </row>
    <row r="68">
      <c r="A68" s="43"/>
      <c r="B68" s="43"/>
      <c r="C68" s="26" t="b">
        <v>1</v>
      </c>
      <c r="D68" s="26" t="s">
        <v>42</v>
      </c>
      <c r="E68" s="26" t="s">
        <v>36</v>
      </c>
      <c r="F68" s="59" t="s">
        <v>1715</v>
      </c>
      <c r="G68" s="39" t="s">
        <v>1718</v>
      </c>
      <c r="H68" s="66" t="s">
        <v>1712</v>
      </c>
      <c r="I68" s="43">
        <v>1.0</v>
      </c>
      <c r="J68" s="26">
        <f>IFERROR(__xludf.DUMMYFUNCTION("VLOOKUP(G68,IMPORTRANGE(""https://docs.google.com/spreadsheets/d/12RxCea4e5ggM7QGn1XE3FbLQa_-QbCNdBi90OdPjRqg/edit?gid=1692403370#gid=1692403370"", ""'Plan de Compras'!D4:2432""), 8,0)"),1.0)</f>
        <v>1</v>
      </c>
      <c r="K68" s="26" t="str">
        <f t="shared" si="1"/>
        <v>SI</v>
      </c>
      <c r="L68" s="26"/>
      <c r="M68" s="32"/>
      <c r="N68" s="32" t="s">
        <v>166</v>
      </c>
      <c r="O68" s="32"/>
      <c r="P68" s="32" t="s">
        <v>1719</v>
      </c>
      <c r="Q68" s="33" t="s">
        <v>1655</v>
      </c>
      <c r="R68" s="32"/>
      <c r="S68" s="34" t="b">
        <v>1</v>
      </c>
      <c r="T68" s="39" t="s">
        <v>55</v>
      </c>
      <c r="U68" s="43" t="s">
        <v>1720</v>
      </c>
      <c r="V68" s="39"/>
      <c r="W68" s="39"/>
      <c r="X68" s="39"/>
      <c r="Y68" s="124"/>
      <c r="Z68" s="37" t="str">
        <f>IFERROR(__xludf.DUMMYFUNCTION("IFERROR(VLOOKUP(G68,IMPORTRANGE(""https://docs.google.com/spreadsheets/d/12RxCea4e5ggM7QGn1XE3FbLQa_-QbCNdBi90OdPjRqg"", ""'Plan de Compras'!D4:Q""), 12, 0), ""NO ESTÁ EN REQ"")"),"Simple")</f>
        <v>Simple</v>
      </c>
      <c r="AA68" s="37" t="str">
        <f>IFERROR(__xludf.DUMMYFUNCTION("IFERROR(VLOOKUP(G68,IMPORTRANGE(""https://docs.google.com/spreadsheets/d/12RxCea4e5ggM7QGn1XE3FbLQa_-QbCNdBi90OdPjRqg"", ""'Plan de Compras'!D4:Q""), 13, 0), """")"),"NACIONAL")</f>
        <v>NACIONAL</v>
      </c>
      <c r="AB68" s="32" t="str">
        <f>IFERROR(__xludf.DUMMYFUNCTION("IFERROR(VLOOKUP(G68,IMPORTRANGE(""https://docs.google.com/spreadsheets/d/12RxCea4e5ggM7QGn1XE3FbLQa_-QbCNdBi90OdPjRqg"", ""'Plan de Compras'!D4:Q""), 14, 0), """")"),"ANGIE")</f>
        <v>ANGIE</v>
      </c>
      <c r="AC68" s="72" t="str">
        <f>IFERROR(__xludf.DUMMYFUNCTION("IFERROR(VLOOKUP(G68,IMPORTRANGE(""https://docs.google.com/spreadsheets/d/12RxCea4e5ggM7QGn1XE3FbLQa_-QbCNdBi90OdPjRqg"", ""'Plan de Compras'!D4:Q""), 4, 0), """")"),"FUNDA PROTECTORA IMPERMEABLE (1 UND)")</f>
        <v>FUNDA PROTECTORA IMPERMEABLE (1 UND)</v>
      </c>
      <c r="AD68" s="37" t="str">
        <f>IFERROR(__xludf.DUMMYFUNCTION("IFERROR(IF(OR(C68=TRUE,C68=""""),VLOOKUP(G68,IMPORTRANGE(""https://docs.google.com/spreadsheets/d/1z9A1Wq-kKrhRNG5RS2a2fKpY1wIhSVz2ZNmP2mOl588/edit?usp=sharing"",""REQ VF!E4:H""),4,0),""NO APLICA""),""GENERAR REQ"")"),"GENERAR REQ")</f>
        <v>GENERAR REQ</v>
      </c>
      <c r="AE68" s="32" t="str">
        <f>IFERROR(__xludf.DUMMYFUNCTION("IFERROR(QUERY(IMPORTRANGE(""https://docs.google.com/spreadsheets/d/1z9A1Wq-kKrhRNG5RS2a2fKpY1wIhSVz2ZNmP2mOl588/edit?usp=sharing"",""REQ VF!E4:Q""),""SELECT Col10, Col11, Col12 WHERE Col1 = '""&amp;G68&amp;""'"",0),""NO APLICA"")"),"NO APLICA")</f>
        <v>NO APLICA</v>
      </c>
      <c r="AF68" s="32"/>
      <c r="AG68" s="32"/>
      <c r="AH68" s="13"/>
      <c r="AI68" s="13"/>
    </row>
    <row r="69">
      <c r="A69" s="117">
        <v>50.0</v>
      </c>
      <c r="B69" s="43" t="b">
        <v>1</v>
      </c>
      <c r="C69" s="26" t="b">
        <v>1</v>
      </c>
      <c r="D69" s="26" t="s">
        <v>35</v>
      </c>
      <c r="E69" s="26" t="s">
        <v>36</v>
      </c>
      <c r="F69" s="59" t="s">
        <v>1721</v>
      </c>
      <c r="G69" s="37" t="s">
        <v>1721</v>
      </c>
      <c r="H69" s="82" t="s">
        <v>1722</v>
      </c>
      <c r="I69" s="43">
        <f>SUMIFS('Hoja 10'!$O:$O,'Hoja 10'!$F:$F,$G69)</f>
        <v>4</v>
      </c>
      <c r="J69" s="26">
        <f>IFERROR(__xludf.DUMMYFUNCTION("VLOOKUP(G69,IMPORTRANGE(""https://docs.google.com/spreadsheets/d/12RxCea4e5ggM7QGn1XE3FbLQa_-QbCNdBi90OdPjRqg/edit?gid=1692403370#gid=1692403370"", ""'Plan de Compras'!D4:2432""), 8,0)"),4.0)</f>
        <v>4</v>
      </c>
      <c r="K69" s="26" t="str">
        <f t="shared" si="1"/>
        <v>SI</v>
      </c>
      <c r="L69" s="29" t="s">
        <v>39</v>
      </c>
      <c r="M69" s="30" t="s">
        <v>40</v>
      </c>
      <c r="N69" s="32"/>
      <c r="O69" s="32" t="str">
        <f>VLOOKUP($G69,'Hoja 10'!$F$4:$AA1057, 19,0)</f>
        <v>DAKOTA</v>
      </c>
      <c r="P69" s="32" t="str">
        <f>VLOOKUP($G69,'Hoja 10'!$F$4:$AA1057, 20,0)</f>
        <v>GR-EXCÑM</v>
      </c>
      <c r="Q69" s="33" t="str">
        <f>VLOOKUP($G69,'Hoja 10'!$F$4:$AA1057, 21,0)</f>
        <v>https://grondoy.com/productos/Dispensadores/exprimidor-de-cana-de-azucar-manual?srsltid=AfmBOopMm1WxNbhYLzCfpEDBSG0DVxW2Vrr61u5HDpWd5wD9dY_TQTfR#</v>
      </c>
      <c r="R69" s="30" t="s">
        <v>1723</v>
      </c>
      <c r="S69" s="34" t="b">
        <v>1</v>
      </c>
      <c r="T69" s="39" t="str">
        <f>IFERROR(__xludf.DUMMYFUNCTION(" IF
( VLOOKUP($G69,IMPORTRANGE(""https://docs.google.com/spreadsheets/d/1Gpl6jkTg7sL4VDNimUm3S9Vi1i95esohXCF3wuKOE8c"", ""'CONSOLIDADO'!G5:AB""), 10, 0) &lt;&gt; 0, 
IFERROR(VLOOKUP($G69,IMPORTRANGE(""https://docs.google.com/spreadsheets/d/1Gpl6jkTg7sL4VDNimUm3"&amp;"S9Vi1i95esohXCF3wuKOE8c"", ""'CONSOLIDADO'!G5:AB""), 17, 0), ""-""),
""""
)"),"RYU")</f>
        <v>RYU</v>
      </c>
      <c r="U69" s="39" t="str">
        <f>IFERROR(__xludf.DUMMYFUNCTION(" IF
( VLOOKUP($G69,IMPORTRANGE(""https://docs.google.com/spreadsheets/d/1Gpl6jkTg7sL4VDNimUm3S9Vi1i95esohXCF3wuKOE8c"", ""'CONSOLIDADO'!G5:AB""), 10, 0) &lt;&gt; 0, 
IFERROR(VLOOKUP($G69,IMPORTRANGE(""https://docs.google.com/spreadsheets/d/1Gpl6jkTg7sL4VDNimUm3"&amp;"S9Vi1i95esohXCF3wuKOE8c"", ""'CONSOLIDADO'!G5:AB""), 18, 0), ""-""),
""""
)"),"HD-250")</f>
        <v>HD-250</v>
      </c>
      <c r="V69" s="39" t="str">
        <f>IFERROR(__xludf.DUMMYFUNCTION(" IF
( VLOOKUP($G69,IMPORTRANGE(""https://docs.google.com/spreadsheets/d/1Gpl6jkTg7sL4VDNimUm3S9Vi1i95esohXCF3wuKOE8c"", ""'CONSOLIDADO'!G5:AB""), 10, 0) &lt;&gt; 0, 
IFERROR(VLOOKUP($G69,IMPORTRANGE(""https://docs.google.com/spreadsheets/d/1Gpl6jkTg7sL4VDNimUm3"&amp;"S9Vi1i95esohXCF3wuKOE8c"", ""'CONSOLIDADO'!G5:AB""), 17, 0), ""-""),
""""
)"),"RYU")</f>
        <v>RYU</v>
      </c>
      <c r="W69" s="39" t="str">
        <f>IFERROR(__xludf.DUMMYFUNCTION(" IF
( VLOOKUP($G69,IMPORTRANGE(""https://docs.google.com/spreadsheets/d/1Gpl6jkTg7sL4VDNimUm3S9Vi1i95esohXCF3wuKOE8c"", ""'CONSOLIDADO'!G5:AB""), 10, 0) &lt;&gt; 0, 
IFERROR(VLOOKUP($G69,IMPORTRANGE(""https://docs.google.com/spreadsheets/d/1Gpl6jkTg7sL4VDNimUm3"&amp;"S9Vi1i95esohXCF3wuKOE8c"", ""'CONSOLIDADO'!G5:AB""), 18, 0), ""-""),
""""
)"),"HD-250")</f>
        <v>HD-250</v>
      </c>
      <c r="X69" s="39" t="b">
        <f t="shared" ref="X69:X70" si="7">IF(AND(T69=V69,W69=U69),TRUE,FALSE)</f>
        <v>1</v>
      </c>
      <c r="Y69" s="120" t="str">
        <f>IFERROR(__xludf.DUMMYFUNCTION(" IF
( VLOOKUP($G69,IMPORTRANGE(""https://docs.google.com/spreadsheets/d/1Gpl6jkTg7sL4VDNimUm3S9Vi1i95esohXCF3wuKOE8c"", ""'CONSOLIDADO'!G5:AB""), 10, 0) &lt;&gt; 0, 
IFERROR(VLOOKUP($G69,IMPORTRANGE(""https://docs.google.com/spreadsheets/d/1Gpl6jkTg7sL4VDNimUm3"&amp;"S9Vi1i95esohXCF3wuKOE8c"", ""'CONSOLIDADO'!G5:AB""), 19, 0), ""-""),
""""
)"),"https://www.ryu.com.pe/p/extractor-jugo-cana-azucar-manual-modelo-hd-250-ryu/")</f>
        <v>https://www.ryu.com.pe/p/extractor-jugo-cana-azucar-manual-modelo-hd-250-ryu/</v>
      </c>
      <c r="Z69" s="37" t="str">
        <f>IFERROR(__xludf.DUMMYFUNCTION("IFERROR(VLOOKUP(G69,IMPORTRANGE(""https://docs.google.com/spreadsheets/d/12RxCea4e5ggM7QGn1XE3FbLQa_-QbCNdBi90OdPjRqg"", ""'Plan de Compras'!D4:Q""), 12, 0), ""NO ESTÁ EN REQ"")"),"Técnica")</f>
        <v>Técnica</v>
      </c>
      <c r="AA69" s="37" t="str">
        <f>IFERROR(__xludf.DUMMYFUNCTION("IFERROR(VLOOKUP(G69,IMPORTRANGE(""https://docs.google.com/spreadsheets/d/12RxCea4e5ggM7QGn1XE3FbLQa_-QbCNdBi90OdPjRqg"", ""'Plan de Compras'!D4:Q""), 13, 0), """")"),"NACIONAL")</f>
        <v>NACIONAL</v>
      </c>
      <c r="AB69" s="32" t="str">
        <f>IFERROR(__xludf.DUMMYFUNCTION("IFERROR(VLOOKUP(G69,IMPORTRANGE(""https://docs.google.com/spreadsheets/d/12RxCea4e5ggM7QGn1XE3FbLQa_-QbCNdBi90OdPjRqg"", ""'Plan de Compras'!D4:Q""), 14, 0), """")"),"ALFIO")</f>
        <v>ALFIO</v>
      </c>
      <c r="AC69" s="72" t="str">
        <f>IFERROR(__xludf.DUMMYFUNCTION("IFERROR(VLOOKUP(G69,IMPORTRANGE(""https://docs.google.com/spreadsheets/d/12RxCea4e5ggM7QGn1XE3FbLQa_-QbCNdBi90OdPjRqg"", ""'Plan de Compras'!D4:Q""), 4, 0), """")"),"EXPRIMIDOR MANUAL DE JUGOS MELAZA")</f>
        <v>EXPRIMIDOR MANUAL DE JUGOS MELAZA</v>
      </c>
      <c r="AD69" s="37" t="str">
        <f>IFERROR(__xludf.DUMMYFUNCTION("IFERROR(IF(OR(C69=TRUE,C69=""""),VLOOKUP(G69,IMPORTRANGE(""https://docs.google.com/spreadsheets/d/1z9A1Wq-kKrhRNG5RS2a2fKpY1wIhSVz2ZNmP2mOl588/edit?usp=sharing"",""REQ VF!E4:H""),4,0),""NO APLICA""),""GENERAR REQ"")"),"GENERAR REQ")</f>
        <v>GENERAR REQ</v>
      </c>
      <c r="AE69" s="32" t="str">
        <f>IFERROR(__xludf.DUMMYFUNCTION("IFERROR(QUERY(IMPORTRANGE(""https://docs.google.com/spreadsheets/d/1z9A1Wq-kKrhRNG5RS2a2fKpY1wIhSVz2ZNmP2mOl588/edit?usp=sharing"",""REQ VF!E4:Q""),""SELECT Col10, Col11, Col12 WHERE Col1 = '""&amp;G69&amp;""'"",0),""NO APLICA"")"),"NO APLICA")</f>
        <v>NO APLICA</v>
      </c>
      <c r="AF69" s="32"/>
      <c r="AG69" s="32"/>
      <c r="AH69" s="13"/>
      <c r="AI69" s="13"/>
    </row>
    <row r="70">
      <c r="A70" s="117">
        <v>51.0</v>
      </c>
      <c r="B70" s="43" t="b">
        <v>1</v>
      </c>
      <c r="C70" s="26" t="b">
        <v>1</v>
      </c>
      <c r="D70" s="26" t="s">
        <v>35</v>
      </c>
      <c r="E70" s="26" t="s">
        <v>36</v>
      </c>
      <c r="F70" s="59" t="s">
        <v>1724</v>
      </c>
      <c r="G70" s="37" t="s">
        <v>1724</v>
      </c>
      <c r="H70" s="82" t="s">
        <v>1725</v>
      </c>
      <c r="I70" s="43">
        <f>SUMIFS('Hoja 10'!$O:$O,'Hoja 10'!$F:$F,$G70)</f>
        <v>4</v>
      </c>
      <c r="J70" s="26">
        <f>IFERROR(__xludf.DUMMYFUNCTION("VLOOKUP(G70,IMPORTRANGE(""https://docs.google.com/spreadsheets/d/12RxCea4e5ggM7QGn1XE3FbLQa_-QbCNdBi90OdPjRqg/edit?gid=1692403370#gid=1692403370"", ""'Plan de Compras'!D4:2432""), 8,0)"),4.0)</f>
        <v>4</v>
      </c>
      <c r="K70" s="26" t="str">
        <f t="shared" si="1"/>
        <v>SI</v>
      </c>
      <c r="L70" s="29" t="s">
        <v>39</v>
      </c>
      <c r="M70" s="30" t="s">
        <v>40</v>
      </c>
      <c r="N70" s="32"/>
      <c r="O70" s="32" t="str">
        <f>VLOOKUP($G70,'Hoja 10'!$F$4:$AA1057, 19,0)</f>
        <v>DSP Professional</v>
      </c>
      <c r="P70" s="32">
        <f>VLOOKUP($G70,'Hoja 10'!$F$4:$AA1057, 20,0)</f>
        <v>3721294</v>
      </c>
      <c r="Q70" s="33" t="str">
        <f>VLOOKUP($G70,'Hoja 10'!$F$4:$AA1057, 21,0)</f>
        <v>https://simple.ripley.com.pe/exprimidor-de-citricos-dsp-160-w-electrico-kj1051-pmp20000365151?srsltid=AfmBOop5GPvaAs9qjxGgD6beMUMPSS6wNTPVLkS2vpRug84HljfGNciF&amp;color_80=negro&amp;s=mdco</v>
      </c>
      <c r="R70" s="30" t="s">
        <v>1726</v>
      </c>
      <c r="S70" s="34" t="b">
        <v>1</v>
      </c>
      <c r="T70" s="63" t="str">
        <f>IFERROR(__xludf.DUMMYFUNCTION(" IF
( VLOOKUP($G70,IMPORTRANGE(""https://docs.google.com/spreadsheets/d/1Gpl6jkTg7sL4VDNimUm3S9Vi1i95esohXCF3wuKOE8c"", ""'CONSOLIDADO'!G5:AB""), 10, 0) &lt;&gt; 0, 
IFERROR(VLOOKUP($G70,IMPORTRANGE(""https://docs.google.com/spreadsheets/d/1Gpl6jkTg7sL4VDNimUm3"&amp;"S9Vi1i95esohXCF3wuKOE8c"", ""'CONSOLIDADO'!G5:AB""), 17, 0), ""-""),
""""
)"),"TAURUS")</f>
        <v>TAURUS</v>
      </c>
      <c r="U70" s="63" t="str">
        <f>IFERROR(__xludf.DUMMYFUNCTION(" IF
( VLOOKUP($G70,IMPORTRANGE(""https://docs.google.com/spreadsheets/d/1Gpl6jkTg7sL4VDNimUm3S9Vi1i95esohXCF3wuKOE8c"", ""'CONSOLIDADO'!G5:AB""), 10, 0) &lt;&gt; 0, 
IFERROR(VLOOKUP($G70,IMPORTRANGE(""https://docs.google.com/spreadsheets/d/1Gpl6jkTg7sL4VDNimUm3"&amp;"S9Vi1i95esohXCF3wuKOE8c"", ""'CONSOLIDADO'!G5:AB""), 18, 0), ""-""),
""""
)"),"Citrus 600 Legend")</f>
        <v>Citrus 600 Legend</v>
      </c>
      <c r="V70" s="39" t="str">
        <f>IFERROR(__xludf.DUMMYFUNCTION(" IF
( VLOOKUP($G70,IMPORTRANGE(""https://docs.google.com/spreadsheets/d/1Gpl6jkTg7sL4VDNimUm3S9Vi1i95esohXCF3wuKOE8c"", ""'CONSOLIDADO'!G5:AB""), 10, 0) &lt;&gt; 0, 
IFERROR(VLOOKUP($G70,IMPORTRANGE(""https://docs.google.com/spreadsheets/d/1Gpl6jkTg7sL4VDNimUm3"&amp;"S9Vi1i95esohXCF3wuKOE8c"", ""'CONSOLIDADO'!G5:AB""), 17, 0), ""-""),
""""
)"),"TAURUS")</f>
        <v>TAURUS</v>
      </c>
      <c r="W70" s="39" t="str">
        <f>IFERROR(__xludf.DUMMYFUNCTION(" IF
( VLOOKUP($G70,IMPORTRANGE(""https://docs.google.com/spreadsheets/d/1Gpl6jkTg7sL4VDNimUm3S9Vi1i95esohXCF3wuKOE8c"", ""'CONSOLIDADO'!G5:AB""), 10, 0) &lt;&gt; 0, 
IFERROR(VLOOKUP($G70,IMPORTRANGE(""https://docs.google.com/spreadsheets/d/1Gpl6jkTg7sL4VDNimUm3"&amp;"S9Vi1i95esohXCF3wuKOE8c"", ""'CONSOLIDADO'!G5:AB""), 18, 0), ""-""),
""""
)"),"Citrus 600 Legend")</f>
        <v>Citrus 600 Legend</v>
      </c>
      <c r="X70" s="39" t="b">
        <f t="shared" si="7"/>
        <v>1</v>
      </c>
      <c r="Y70" s="120" t="str">
        <f>IFERROR(__xludf.DUMMYFUNCTION(" IF
( VLOOKUP($G70,IMPORTRANGE(""https://docs.google.com/spreadsheets/d/1Gpl6jkTg7sL4VDNimUm3S9Vi1i95esohXCF3wuKOE8c"", ""'CONSOLIDADO'!G5:AB""), 10, 0) &lt;&gt; 0, 
IFERROR(VLOOKUP($G70,IMPORTRANGE(""https://docs.google.com/spreadsheets/d/1Gpl6jkTg7sL4VDNimUm3"&amp;"S9Vi1i95esohXCF3wuKOE8c"", ""'CONSOLIDADO'!G5:AB""), 19, 0), ""-""),
""""
)"),"https://taurus-home.com/products/easy-press-600-legend?srsltid=AfmBOorNAaec4OVgaDN8Tuzg2nHFmrSZt3a9ivvfggJYQVy5476u3Ufw")</f>
        <v>https://taurus-home.com/products/easy-press-600-legend?srsltid=AfmBOorNAaec4OVgaDN8Tuzg2nHFmrSZt3a9ivvfggJYQVy5476u3Ufw</v>
      </c>
      <c r="Z70" s="37" t="str">
        <f>IFERROR(__xludf.DUMMYFUNCTION("IFERROR(VLOOKUP(G70,IMPORTRANGE(""https://docs.google.com/spreadsheets/d/12RxCea4e5ggM7QGn1XE3FbLQa_-QbCNdBi90OdPjRqg"", ""'Plan de Compras'!D4:Q""), 12, 0), ""NO ESTÁ EN REQ"")"),"Técnica")</f>
        <v>Técnica</v>
      </c>
      <c r="AA70" s="37" t="str">
        <f>IFERROR(__xludf.DUMMYFUNCTION("IFERROR(VLOOKUP(G70,IMPORTRANGE(""https://docs.google.com/spreadsheets/d/12RxCea4e5ggM7QGn1XE3FbLQa_-QbCNdBi90OdPjRqg"", ""'Plan de Compras'!D4:Q""), 13, 0), """")"),"NACIONAL")</f>
        <v>NACIONAL</v>
      </c>
      <c r="AB70" s="32" t="str">
        <f>IFERROR(__xludf.DUMMYFUNCTION("IFERROR(VLOOKUP(G70,IMPORTRANGE(""https://docs.google.com/spreadsheets/d/12RxCea4e5ggM7QGn1XE3FbLQa_-QbCNdBi90OdPjRqg"", ""'Plan de Compras'!D4:Q""), 14, 0), """")"),"JESSICA")</f>
        <v>JESSICA</v>
      </c>
      <c r="AC70" s="72" t="str">
        <f>IFERROR(__xludf.DUMMYFUNCTION("IFERROR(VLOOKUP(G70,IMPORTRANGE(""https://docs.google.com/spreadsheets/d/12RxCea4e5ggM7QGn1XE3FbLQa_-QbCNdBi90OdPjRqg"", ""'Plan de Compras'!D4:Q""), 4, 0), """")"),"EXPRIMIDORA")</f>
        <v>EXPRIMIDORA</v>
      </c>
      <c r="AD70" s="37" t="str">
        <f>IFERROR(__xludf.DUMMYFUNCTION("IFERROR(IF(OR(C70=TRUE,C70=""""),VLOOKUP(G70,IMPORTRANGE(""https://docs.google.com/spreadsheets/d/1z9A1Wq-kKrhRNG5RS2a2fKpY1wIhSVz2ZNmP2mOl588/edit?usp=sharing"",""REQ VF!E4:H""),4,0),""NO APLICA""),""GENERAR REQ"")"),"GENERAR REQ")</f>
        <v>GENERAR REQ</v>
      </c>
      <c r="AE70" s="32" t="str">
        <f>IFERROR(__xludf.DUMMYFUNCTION("IFERROR(QUERY(IMPORTRANGE(""https://docs.google.com/spreadsheets/d/1z9A1Wq-kKrhRNG5RS2a2fKpY1wIhSVz2ZNmP2mOl588/edit?usp=sharing"",""REQ VF!E4:Q""),""SELECT Col10, Col11, Col12 WHERE Col1 = '""&amp;G70&amp;""'"",0),""NO APLICA"")"),"NO APLICA")</f>
        <v>NO APLICA</v>
      </c>
      <c r="AF70" s="32"/>
      <c r="AG70" s="32"/>
      <c r="AH70" s="13"/>
      <c r="AI70" s="13"/>
    </row>
    <row r="71">
      <c r="A71" s="43"/>
      <c r="B71" s="43"/>
      <c r="C71" s="26" t="b">
        <v>1</v>
      </c>
      <c r="D71" s="26" t="s">
        <v>42</v>
      </c>
      <c r="E71" s="26" t="s">
        <v>36</v>
      </c>
      <c r="F71" s="59" t="s">
        <v>1724</v>
      </c>
      <c r="G71" s="39" t="s">
        <v>1727</v>
      </c>
      <c r="H71" s="66" t="s">
        <v>1712</v>
      </c>
      <c r="I71" s="43">
        <v>4.0</v>
      </c>
      <c r="J71" s="26">
        <f>IFERROR(__xludf.DUMMYFUNCTION("VLOOKUP(G71,IMPORTRANGE(""https://docs.google.com/spreadsheets/d/12RxCea4e5ggM7QGn1XE3FbLQa_-QbCNdBi90OdPjRqg/edit?gid=1692403370#gid=1692403370"", ""'Plan de Compras'!D4:2432""), 8,0)"),4.0)</f>
        <v>4</v>
      </c>
      <c r="K71" s="26" t="str">
        <f t="shared" si="1"/>
        <v>SI</v>
      </c>
      <c r="L71" s="26"/>
      <c r="M71" s="32"/>
      <c r="N71" s="32" t="s">
        <v>166</v>
      </c>
      <c r="O71" s="32"/>
      <c r="P71" s="32" t="s">
        <v>1719</v>
      </c>
      <c r="Q71" s="33" t="s">
        <v>1655</v>
      </c>
      <c r="R71" s="32"/>
      <c r="S71" s="34" t="b">
        <v>1</v>
      </c>
      <c r="T71" s="39" t="s">
        <v>55</v>
      </c>
      <c r="U71" s="43" t="s">
        <v>1728</v>
      </c>
      <c r="V71" s="39"/>
      <c r="W71" s="39"/>
      <c r="X71" s="39"/>
      <c r="Y71" s="124"/>
      <c r="Z71" s="37" t="str">
        <f>IFERROR(__xludf.DUMMYFUNCTION("IFERROR(VLOOKUP(G71,IMPORTRANGE(""https://docs.google.com/spreadsheets/d/12RxCea4e5ggM7QGn1XE3FbLQa_-QbCNdBi90OdPjRqg"", ""'Plan de Compras'!D4:Q""), 12, 0), ""NO ESTÁ EN REQ"")"),"Simple")</f>
        <v>Simple</v>
      </c>
      <c r="AA71" s="37" t="str">
        <f>IFERROR(__xludf.DUMMYFUNCTION("IFERROR(VLOOKUP(G71,IMPORTRANGE(""https://docs.google.com/spreadsheets/d/12RxCea4e5ggM7QGn1XE3FbLQa_-QbCNdBi90OdPjRqg"", ""'Plan de Compras'!D4:Q""), 13, 0), """")"),"NACIONAL")</f>
        <v>NACIONAL</v>
      </c>
      <c r="AB71" s="32" t="str">
        <f>IFERROR(__xludf.DUMMYFUNCTION("IFERROR(VLOOKUP(G71,IMPORTRANGE(""https://docs.google.com/spreadsheets/d/12RxCea4e5ggM7QGn1XE3FbLQa_-QbCNdBi90OdPjRqg"", ""'Plan de Compras'!D4:Q""), 14, 0), """")"),"ANGIE")</f>
        <v>ANGIE</v>
      </c>
      <c r="AC71" s="72" t="str">
        <f>IFERROR(__xludf.DUMMYFUNCTION("IFERROR(VLOOKUP(G71,IMPORTRANGE(""https://docs.google.com/spreadsheets/d/12RxCea4e5ggM7QGn1XE3FbLQa_-QbCNdBi90OdPjRqg"", ""'Plan de Compras'!D4:Q""), 4, 0), """")"),"FUNDA PROTECTORA IMPERMEABLE (1 UND)")</f>
        <v>FUNDA PROTECTORA IMPERMEABLE (1 UND)</v>
      </c>
      <c r="AD71" s="37" t="str">
        <f>IFERROR(__xludf.DUMMYFUNCTION("IFERROR(IF(OR(C71=TRUE,C71=""""),VLOOKUP(G71,IMPORTRANGE(""https://docs.google.com/spreadsheets/d/1z9A1Wq-kKrhRNG5RS2a2fKpY1wIhSVz2ZNmP2mOl588/edit?usp=sharing"",""REQ VF!E4:H""),4,0),""NO APLICA""),""GENERAR REQ"")"),"GENERAR REQ")</f>
        <v>GENERAR REQ</v>
      </c>
      <c r="AE71" s="32" t="str">
        <f>IFERROR(__xludf.DUMMYFUNCTION("IFERROR(QUERY(IMPORTRANGE(""https://docs.google.com/spreadsheets/d/1z9A1Wq-kKrhRNG5RS2a2fKpY1wIhSVz2ZNmP2mOl588/edit?usp=sharing"",""REQ VF!E4:Q""),""SELECT Col10, Col11, Col12 WHERE Col1 = '""&amp;G71&amp;""'"",0),""NO APLICA"")"),"NO APLICA")</f>
        <v>NO APLICA</v>
      </c>
      <c r="AF71" s="32"/>
      <c r="AG71" s="32"/>
      <c r="AH71" s="13"/>
      <c r="AI71" s="13"/>
    </row>
    <row r="72">
      <c r="A72" s="121">
        <v>52.0</v>
      </c>
      <c r="B72" s="43" t="b">
        <v>1</v>
      </c>
      <c r="C72" s="26" t="b">
        <v>1</v>
      </c>
      <c r="D72" s="26" t="s">
        <v>35</v>
      </c>
      <c r="E72" s="26" t="s">
        <v>1510</v>
      </c>
      <c r="F72" s="59" t="s">
        <v>1729</v>
      </c>
      <c r="G72" s="37" t="s">
        <v>1729</v>
      </c>
      <c r="H72" s="82" t="s">
        <v>1730</v>
      </c>
      <c r="I72" s="43">
        <f>SUMIFS('Hoja 10'!$O:$O,'Hoja 10'!$F:$F,$G72)</f>
        <v>8</v>
      </c>
      <c r="J72" s="26">
        <f>IFERROR(__xludf.DUMMYFUNCTION("VLOOKUP(G72,IMPORTRANGE(""https://docs.google.com/spreadsheets/d/12RxCea4e5ggM7QGn1XE3FbLQa_-QbCNdBi90OdPjRqg/edit?gid=1692403370#gid=1692403370"", ""'Plan de Compras'!D4:2432""), 8,0)"),8.0)</f>
        <v>8</v>
      </c>
      <c r="K72" s="26" t="str">
        <f t="shared" si="1"/>
        <v>SI</v>
      </c>
      <c r="L72" s="29" t="s">
        <v>296</v>
      </c>
      <c r="M72" s="30" t="s">
        <v>297</v>
      </c>
      <c r="N72" s="32"/>
      <c r="O72" s="32" t="str">
        <f>VLOOKUP($G72,'Hoja 10'!$F$4:$AA1057, 19,0)</f>
        <v>SOLA</v>
      </c>
      <c r="P72" s="32" t="str">
        <f>VLOOKUP($G72,'Hoja 10'!$F$4:$AA1057, 20,0)</f>
        <v>VSTG 250</v>
      </c>
      <c r="Q72" s="33" t="str">
        <f>VLOOKUP($G72,'Hoja 10'!$F$4:$AA1057, 21,0)</f>
        <v>https://productos.aghasaturis.com/pdf/2056945</v>
      </c>
      <c r="R72" s="30" t="s">
        <v>1731</v>
      </c>
      <c r="S72" s="44" t="b">
        <v>1</v>
      </c>
      <c r="T72" s="39" t="str">
        <f>IFERROR(__xludf.DUMMYFUNCTION(" IF
( VLOOKUP($G72,IMPORTRANGE(""https://docs.google.com/spreadsheets/d/1Gpl6jkTg7sL4VDNimUm3S9Vi1i95esohXCF3wuKOE8c"", ""'CONSOLIDADO'!G5:AB""), 10, 0) &lt;&gt; 0, 
IFERROR(VLOOKUP($G72,IMPORTRANGE(""https://docs.google.com/spreadsheets/d/1Gpl6jkTg7sL4VDNimUm3"&amp;"S9Vi1i95esohXCF3wuKOE8c"", ""'CONSOLIDADO'!G5:AB""), 17, 0), ""-""),
""""
)"),"SOLA")</f>
        <v>SOLA</v>
      </c>
      <c r="U72" s="39" t="str">
        <f>IFERROR(__xludf.DUMMYFUNCTION(" IF
( VLOOKUP($G72,IMPORTRANGE(""https://docs.google.com/spreadsheets/d/1Gpl6jkTg7sL4VDNimUm3S9Vi1i95esohXCF3wuKOE8c"", ""'CONSOLIDADO'!G5:AB""), 10, 0) &lt;&gt; 0, 
IFERROR(VLOOKUP($G72,IMPORTRANGE(""https://docs.google.com/spreadsheets/d/1Gpl6jkTg7sL4VDNimUm3"&amp;"S9Vi1i95esohXCF3wuKOE8c"", ""'CONSOLIDADO'!G5:AB""), 18, 0), ""-""),
""""
)"),"VSTG 250")</f>
        <v>VSTG 250</v>
      </c>
      <c r="V72" s="39" t="str">
        <f>IFERROR(__xludf.DUMMYFUNCTION(" IF
( VLOOKUP($G72,IMPORTRANGE(""https://docs.google.com/spreadsheets/d/1Gpl6jkTg7sL4VDNimUm3S9Vi1i95esohXCF3wuKOE8c"", ""'CONSOLIDADO'!G5:AB""), 10, 0) &lt;&gt; 0, 
IFERROR(VLOOKUP($G72,IMPORTRANGE(""https://docs.google.com/spreadsheets/d/1Gpl6jkTg7sL4VDNimUm3"&amp;"S9Vi1i95esohXCF3wuKOE8c"", ""'CONSOLIDADO'!G5:AB""), 17, 0), ""-""),
""""
)"),"SOLA")</f>
        <v>SOLA</v>
      </c>
      <c r="W72" s="39" t="str">
        <f>IFERROR(__xludf.DUMMYFUNCTION(" IF
( VLOOKUP($G72,IMPORTRANGE(""https://docs.google.com/spreadsheets/d/1Gpl6jkTg7sL4VDNimUm3S9Vi1i95esohXCF3wuKOE8c"", ""'CONSOLIDADO'!G5:AB""), 10, 0) &lt;&gt; 0, 
IFERROR(VLOOKUP($G72,IMPORTRANGE(""https://docs.google.com/spreadsheets/d/1Gpl6jkTg7sL4VDNimUm3"&amp;"S9Vi1i95esohXCF3wuKOE8c"", ""'CONSOLIDADO'!G5:AB""), 18, 0), ""-""),
""""
)"),"VSTG 250")</f>
        <v>VSTG 250</v>
      </c>
      <c r="X72" s="39" t="b">
        <f t="shared" ref="X72:X78" si="8">IF(AND(T72=V72,W72=U72),TRUE,FALSE)</f>
        <v>1</v>
      </c>
      <c r="Y72" s="120" t="str">
        <f>IFERROR(__xludf.DUMMYFUNCTION(" IF
( VLOOKUP($G72,IMPORTRANGE(""https://docs.google.com/spreadsheets/d/1Gpl6jkTg7sL4VDNimUm3S9Vi1i95esohXCF3wuKOE8c"", ""'CONSOLIDADO'!G5:AB""), 10, 0) &lt;&gt; 0, 
IFERROR(VLOOKUP($G72,IMPORTRANGE(""https://docs.google.com/spreadsheets/d/1Gpl6jkTg7sL4VDNimUm3"&amp;"S9Vi1i95esohXCF3wuKOE8c"", ""'CONSOLIDADO'!G5:AB""), 19, 0), ""-""),
""""
)"),"https://www.sola.at/en/products/vstg-p3890")</f>
        <v>https://www.sola.at/en/products/vstg-p3890</v>
      </c>
      <c r="Z72" s="37" t="str">
        <f>IFERROR(__xludf.DUMMYFUNCTION("IFERROR(VLOOKUP(G72,IMPORTRANGE(""https://docs.google.com/spreadsheets/d/12RxCea4e5ggM7QGn1XE3FbLQa_-QbCNdBi90OdPjRqg"", ""'Plan de Compras'!D4:Q""), 12, 0), ""NO ESTÁ EN REQ"")"),"Técnica")</f>
        <v>Técnica</v>
      </c>
      <c r="AA72" s="37" t="str">
        <f>IFERROR(__xludf.DUMMYFUNCTION("IFERROR(VLOOKUP(G72,IMPORTRANGE(""https://docs.google.com/spreadsheets/d/12RxCea4e5ggM7QGn1XE3FbLQa_-QbCNdBi90OdPjRqg"", ""'Plan de Compras'!D4:Q""), 13, 0), """")"),"INTERNACIONAL")</f>
        <v>INTERNACIONAL</v>
      </c>
      <c r="AB72" s="32" t="str">
        <f>IFERROR(__xludf.DUMMYFUNCTION("IFERROR(VLOOKUP(G72,IMPORTRANGE(""https://docs.google.com/spreadsheets/d/12RxCea4e5ggM7QGn1XE3FbLQa_-QbCNdBi90OdPjRqg"", ""'Plan de Compras'!D4:Q""), 14, 0), """")"),"GIANFRANCO")</f>
        <v>GIANFRANCO</v>
      </c>
      <c r="AC72" s="72" t="str">
        <f>IFERROR(__xludf.DUMMYFUNCTION("IFERROR(VLOOKUP(G72,IMPORTRANGE(""https://docs.google.com/spreadsheets/d/12RxCea4e5ggM7QGn1XE3FbLQa_-QbCNdBi90OdPjRqg"", ""'Plan de Compras'!D4:Q""), 4, 0), """")"),"FALSA ESCUADRA")</f>
        <v>FALSA ESCUADRA</v>
      </c>
      <c r="AD72" s="37" t="str">
        <f>IFERROR(__xludf.DUMMYFUNCTION("IFERROR(IF(OR(C72=TRUE,C72=""""),VLOOKUP(G72,IMPORTRANGE(""https://docs.google.com/spreadsheets/d/1z9A1Wq-kKrhRNG5RS2a2fKpY1wIhSVz2ZNmP2mOl588/edit?usp=sharing"",""REQ VF!E4:H""),4,0),""NO APLICA""),""GENERAR REQ"")"),"GENERAR REQ")</f>
        <v>GENERAR REQ</v>
      </c>
      <c r="AE72" s="32" t="str">
        <f>IFERROR(__xludf.DUMMYFUNCTION("IFERROR(QUERY(IMPORTRANGE(""https://docs.google.com/spreadsheets/d/1z9A1Wq-kKrhRNG5RS2a2fKpY1wIhSVz2ZNmP2mOl588/edit?usp=sharing"",""REQ VF!E4:Q""),""SELECT Col10, Col11, Col12 WHERE Col1 = '""&amp;G72&amp;""'"",0),""NO APLICA"")"),"NO APLICA")</f>
        <v>NO APLICA</v>
      </c>
      <c r="AF72" s="32"/>
      <c r="AG72" s="32"/>
      <c r="AH72" s="8" t="s">
        <v>52</v>
      </c>
      <c r="AI72" s="8"/>
    </row>
    <row r="73">
      <c r="A73" s="121">
        <v>53.0</v>
      </c>
      <c r="B73" s="43" t="b">
        <v>1</v>
      </c>
      <c r="C73" s="26" t="b">
        <v>1</v>
      </c>
      <c r="D73" s="26" t="s">
        <v>35</v>
      </c>
      <c r="E73" s="26" t="s">
        <v>1510</v>
      </c>
      <c r="F73" s="59" t="s">
        <v>1732</v>
      </c>
      <c r="G73" s="39" t="s">
        <v>1733</v>
      </c>
      <c r="H73" s="82" t="s">
        <v>1734</v>
      </c>
      <c r="I73" s="43">
        <f>SUMIFS('Hoja 10'!$O:$O,'Hoja 10'!$F:$F,$G73)</f>
        <v>12</v>
      </c>
      <c r="J73" s="26">
        <f>IFERROR(__xludf.DUMMYFUNCTION("VLOOKUP(G73,IMPORTRANGE(""https://docs.google.com/spreadsheets/d/12RxCea4e5ggM7QGn1XE3FbLQa_-QbCNdBi90OdPjRqg/edit?gid=1692403370#gid=1692403370"", ""'Plan de Compras'!D4:2432""), 8,0)"),12.0)</f>
        <v>12</v>
      </c>
      <c r="K73" s="26" t="str">
        <f t="shared" si="1"/>
        <v>SI</v>
      </c>
      <c r="L73" s="29" t="s">
        <v>127</v>
      </c>
      <c r="M73" s="30" t="s">
        <v>105</v>
      </c>
      <c r="N73" s="32"/>
      <c r="O73" s="32" t="str">
        <f>VLOOKUP($G73,'Hoja 10'!$F$4:$AA1057, 19,0)</f>
        <v>BOSCH</v>
      </c>
      <c r="P73" s="32" t="str">
        <f>VLOOKUP($G73,'Hoja 10'!$F$4:$AA1057, 20,0)</f>
        <v>GAM 220 MF</v>
      </c>
      <c r="Q73" s="33" t="str">
        <f>VLOOKUP($G73,'Hoja 10'!$F$4:$AA1057, 21,0)</f>
        <v>https://www.bosch-professional.com/pe/es/products/gam-220-mf-0601076600</v>
      </c>
      <c r="R73" s="30" t="s">
        <v>1735</v>
      </c>
      <c r="S73" s="44" t="b">
        <v>1</v>
      </c>
      <c r="T73" s="39" t="str">
        <f>IFERROR(__xludf.DUMMYFUNCTION(" IF
( VLOOKUP($G73,IMPORTRANGE(""https://docs.google.com/spreadsheets/d/1Gpl6jkTg7sL4VDNimUm3S9Vi1i95esohXCF3wuKOE8c"", ""'CONSOLIDADO'!G5:AB""), 10, 0) &lt;&gt; 0, 
IFERROR(VLOOKUP($G73,IMPORTRANGE(""https://docs.google.com/spreadsheets/d/1Gpl6jkTg7sL4VDNimUm3"&amp;"S9Vi1i95esohXCF3wuKOE8c"", ""'CONSOLIDADO'!G5:AB""), 17, 0), ""-""),
""""
)"),"BOSCH")</f>
        <v>BOSCH</v>
      </c>
      <c r="U73" s="39" t="str">
        <f>IFERROR(__xludf.DUMMYFUNCTION(" IF
( VLOOKUP($G73,IMPORTRANGE(""https://docs.google.com/spreadsheets/d/1Gpl6jkTg7sL4VDNimUm3S9Vi1i95esohXCF3wuKOE8c"", ""'CONSOLIDADO'!G5:AB""), 10, 0) &lt;&gt; 0, 
IFERROR(VLOOKUP($G73,IMPORTRANGE(""https://docs.google.com/spreadsheets/d/1Gpl6jkTg7sL4VDNimUm3"&amp;"S9Vi1i95esohXCF3wuKOE8c"", ""'CONSOLIDADO'!G5:AB""), 18, 0), ""-""),
""""
)"),"GAM 220 MF")</f>
        <v>GAM 220 MF</v>
      </c>
      <c r="V73" s="39" t="str">
        <f>IFERROR(__xludf.DUMMYFUNCTION(" IF
( VLOOKUP($G73,IMPORTRANGE(""https://docs.google.com/spreadsheets/d/1Gpl6jkTg7sL4VDNimUm3S9Vi1i95esohXCF3wuKOE8c"", ""'CONSOLIDADO'!G5:AB""), 10, 0) &lt;&gt; 0, 
IFERROR(VLOOKUP($G73,IMPORTRANGE(""https://docs.google.com/spreadsheets/d/1Gpl6jkTg7sL4VDNimUm3"&amp;"S9Vi1i95esohXCF3wuKOE8c"", ""'CONSOLIDADO'!G5:AB""), 17, 0), ""-""),
""""
)"),"BOSCH")</f>
        <v>BOSCH</v>
      </c>
      <c r="W73" s="39" t="str">
        <f>IFERROR(__xludf.DUMMYFUNCTION(" IF
( VLOOKUP($G73,IMPORTRANGE(""https://docs.google.com/spreadsheets/d/1Gpl6jkTg7sL4VDNimUm3S9Vi1i95esohXCF3wuKOE8c"", ""'CONSOLIDADO'!G5:AB""), 10, 0) &lt;&gt; 0, 
IFERROR(VLOOKUP($G73,IMPORTRANGE(""https://docs.google.com/spreadsheets/d/1Gpl6jkTg7sL4VDNimUm3"&amp;"S9Vi1i95esohXCF3wuKOE8c"", ""'CONSOLIDADO'!G5:AB""), 18, 0), ""-""),
""""
)"),"GAM 220 MF")</f>
        <v>GAM 220 MF</v>
      </c>
      <c r="X73" s="39" t="b">
        <f t="shared" si="8"/>
        <v>1</v>
      </c>
      <c r="Y73" s="120" t="str">
        <f>IFERROR(__xludf.DUMMYFUNCTION(" IF
( VLOOKUP($G73,IMPORTRANGE(""https://docs.google.com/spreadsheets/d/1Gpl6jkTg7sL4VDNimUm3S9Vi1i95esohXCF3wuKOE8c"", ""'CONSOLIDADO'!G5:AB""), 10, 0) &lt;&gt; 0, 
IFERROR(VLOOKUP($G73,IMPORTRANGE(""https://docs.google.com/spreadsheets/d/1Gpl6jkTg7sL4VDNimUm3"&amp;"S9Vi1i95esohXCF3wuKOE8c"", ""'CONSOLIDADO'!G5:AB""), 19, 0), ""-""),
""""
)"),"https://cahema.pe/medidor-de-angulos/927-medidor-de-angulos-bosch-gam-220-mf-3165140798860.html")</f>
        <v>https://cahema.pe/medidor-de-angulos/927-medidor-de-angulos-bosch-gam-220-mf-3165140798860.html</v>
      </c>
      <c r="Z73" s="37" t="str">
        <f>IFERROR(__xludf.DUMMYFUNCTION("IFERROR(VLOOKUP(G73,IMPORTRANGE(""https://docs.google.com/spreadsheets/d/12RxCea4e5ggM7QGn1XE3FbLQa_-QbCNdBi90OdPjRqg"", ""'Plan de Compras'!D4:Q""), 12, 0), ""NO ESTÁ EN REQ"")"),"Técnica")</f>
        <v>Técnica</v>
      </c>
      <c r="AA73" s="37" t="str">
        <f>IFERROR(__xludf.DUMMYFUNCTION("IFERROR(VLOOKUP(G73,IMPORTRANGE(""https://docs.google.com/spreadsheets/d/12RxCea4e5ggM7QGn1XE3FbLQa_-QbCNdBi90OdPjRqg"", ""'Plan de Compras'!D4:Q""), 13, 0), """")"),"NACIONAL")</f>
        <v>NACIONAL</v>
      </c>
      <c r="AB73" s="32" t="str">
        <f>IFERROR(__xludf.DUMMYFUNCTION("IFERROR(VLOOKUP(G73,IMPORTRANGE(""https://docs.google.com/spreadsheets/d/12RxCea4e5ggM7QGn1XE3FbLQa_-QbCNdBi90OdPjRqg"", ""'Plan de Compras'!D4:Q""), 14, 0), """")"),"DIANA")</f>
        <v>DIANA</v>
      </c>
      <c r="AC73" s="72" t="str">
        <f>IFERROR(__xludf.DUMMYFUNCTION("IFERROR(VLOOKUP(G73,IMPORTRANGE(""https://docs.google.com/spreadsheets/d/12RxCea4e5ggM7QGn1XE3FbLQa_-QbCNdBi90OdPjRqg"", ""'Plan de Compras'!D4:Q""), 4, 0), """")"),"GONIÓMETRO DIGITAL")</f>
        <v>GONIÓMETRO DIGITAL</v>
      </c>
      <c r="AD73" s="37" t="str">
        <f>IFERROR(__xludf.DUMMYFUNCTION("IFERROR(IF(OR(C73=TRUE,C73=""""),VLOOKUP(G73,IMPORTRANGE(""https://docs.google.com/spreadsheets/d/1z9A1Wq-kKrhRNG5RS2a2fKpY1wIhSVz2ZNmP2mOl588/edit?usp=sharing"",""REQ VF!E4:H""),4,0),""NO APLICA""),""GENERAR REQ"")"),"GENERAR REQ")</f>
        <v>GENERAR REQ</v>
      </c>
      <c r="AE73" s="32" t="str">
        <f>IFERROR(__xludf.DUMMYFUNCTION("IFERROR(QUERY(IMPORTRANGE(""https://docs.google.com/spreadsheets/d/1z9A1Wq-kKrhRNG5RS2a2fKpY1wIhSVz2ZNmP2mOl588/edit?usp=sharing"",""REQ VF!E4:Q""),""SELECT Col10, Col11, Col12 WHERE Col1 = '""&amp;G73&amp;""'"",0),""NO APLICA"")"),"NO APLICA")</f>
        <v>NO APLICA</v>
      </c>
      <c r="AF73" s="32"/>
      <c r="AG73" s="32"/>
      <c r="AH73" s="8" t="s">
        <v>52</v>
      </c>
      <c r="AI73" s="13"/>
    </row>
    <row r="74">
      <c r="A74" s="121">
        <v>54.0</v>
      </c>
      <c r="B74" s="43" t="b">
        <v>1</v>
      </c>
      <c r="C74" s="26" t="b">
        <v>1</v>
      </c>
      <c r="D74" s="26" t="s">
        <v>35</v>
      </c>
      <c r="E74" s="26" t="s">
        <v>1510</v>
      </c>
      <c r="F74" s="59" t="s">
        <v>1732</v>
      </c>
      <c r="G74" s="39" t="s">
        <v>1736</v>
      </c>
      <c r="H74" s="82" t="s">
        <v>1734</v>
      </c>
      <c r="I74" s="43">
        <f>SUMIFS('Hoja 10'!$O:$O,'Hoja 10'!$F:$F,$G74)</f>
        <v>5</v>
      </c>
      <c r="J74" s="26">
        <f>IFERROR(__xludf.DUMMYFUNCTION("VLOOKUP(G74,IMPORTRANGE(""https://docs.google.com/spreadsheets/d/12RxCea4e5ggM7QGn1XE3FbLQa_-QbCNdBi90OdPjRqg/edit?gid=1692403370#gid=1692403370"", ""'Plan de Compras'!D4:2432""), 8,0)"),5.0)</f>
        <v>5</v>
      </c>
      <c r="K74" s="26" t="str">
        <f t="shared" si="1"/>
        <v>SI</v>
      </c>
      <c r="L74" s="29" t="s">
        <v>91</v>
      </c>
      <c r="M74" s="30" t="s">
        <v>92</v>
      </c>
      <c r="N74" s="32"/>
      <c r="O74" s="32" t="str">
        <f>VLOOKUP($G74,'Hoja 10'!$F$4:$AA1057, 19,0)</f>
        <v>BOSCH</v>
      </c>
      <c r="P74" s="32" t="str">
        <f>VLOOKUP($G74,'Hoja 10'!$F$4:$AA1057, 20,0)</f>
        <v>GAM 220 MF</v>
      </c>
      <c r="Q74" s="33" t="str">
        <f>VLOOKUP($G74,'Hoja 10'!$F$4:$AA1057, 21,0)</f>
        <v>https://www.bosch-professional.com/pe/es/products/gam-220-mf-0601076600</v>
      </c>
      <c r="R74" s="30" t="s">
        <v>1737</v>
      </c>
      <c r="S74" s="44" t="b">
        <v>1</v>
      </c>
      <c r="T74" s="39" t="str">
        <f>IFERROR(__xludf.DUMMYFUNCTION(" IF
( VLOOKUP($G74,IMPORTRANGE(""https://docs.google.com/spreadsheets/d/1Gpl6jkTg7sL4VDNimUm3S9Vi1i95esohXCF3wuKOE8c"", ""'CONSOLIDADO'!G5:AB""), 10, 0) &lt;&gt; 0, 
IFERROR(VLOOKUP($G74,IMPORTRANGE(""https://docs.google.com/spreadsheets/d/1Gpl6jkTg7sL4VDNimUm3"&amp;"S9Vi1i95esohXCF3wuKOE8c"", ""'CONSOLIDADO'!G5:AB""), 17, 0), ""-""),
""""
)"),"BOSCH")</f>
        <v>BOSCH</v>
      </c>
      <c r="U74" s="39" t="str">
        <f>IFERROR(__xludf.DUMMYFUNCTION(" IF
( VLOOKUP($G74,IMPORTRANGE(""https://docs.google.com/spreadsheets/d/1Gpl6jkTg7sL4VDNimUm3S9Vi1i95esohXCF3wuKOE8c"", ""'CONSOLIDADO'!G5:AB""), 10, 0) &lt;&gt; 0, 
IFERROR(VLOOKUP($G74,IMPORTRANGE(""https://docs.google.com/spreadsheets/d/1Gpl6jkTg7sL4VDNimUm3"&amp;"S9Vi1i95esohXCF3wuKOE8c"", ""'CONSOLIDADO'!G5:AB""), 18, 0), ""-""),
""""
)"),"GAM 220 MF")</f>
        <v>GAM 220 MF</v>
      </c>
      <c r="V74" s="39" t="str">
        <f>IFERROR(__xludf.DUMMYFUNCTION(" IF
( VLOOKUP($G74,IMPORTRANGE(""https://docs.google.com/spreadsheets/d/1Gpl6jkTg7sL4VDNimUm3S9Vi1i95esohXCF3wuKOE8c"", ""'CONSOLIDADO'!G5:AB""), 10, 0) &lt;&gt; 0, 
IFERROR(VLOOKUP($G74,IMPORTRANGE(""https://docs.google.com/spreadsheets/d/1Gpl6jkTg7sL4VDNimUm3"&amp;"S9Vi1i95esohXCF3wuKOE8c"", ""'CONSOLIDADO'!G5:AB""), 17, 0), ""-""),
""""
)"),"BOSCH")</f>
        <v>BOSCH</v>
      </c>
      <c r="W74" s="39" t="str">
        <f>IFERROR(__xludf.DUMMYFUNCTION(" IF
( VLOOKUP($G74,IMPORTRANGE(""https://docs.google.com/spreadsheets/d/1Gpl6jkTg7sL4VDNimUm3S9Vi1i95esohXCF3wuKOE8c"", ""'CONSOLIDADO'!G5:AB""), 10, 0) &lt;&gt; 0, 
IFERROR(VLOOKUP($G74,IMPORTRANGE(""https://docs.google.com/spreadsheets/d/1Gpl6jkTg7sL4VDNimUm3"&amp;"S9Vi1i95esohXCF3wuKOE8c"", ""'CONSOLIDADO'!G5:AB""), 18, 0), ""-""),
""""
)"),"GAM 220 MF")</f>
        <v>GAM 220 MF</v>
      </c>
      <c r="X74" s="39" t="b">
        <f t="shared" si="8"/>
        <v>1</v>
      </c>
      <c r="Y74" s="120" t="str">
        <f>IFERROR(__xludf.DUMMYFUNCTION(" IF
( VLOOKUP($G74,IMPORTRANGE(""https://docs.google.com/spreadsheets/d/1Gpl6jkTg7sL4VDNimUm3S9Vi1i95esohXCF3wuKOE8c"", ""'CONSOLIDADO'!G5:AB""), 10, 0) &lt;&gt; 0, 
IFERROR(VLOOKUP($G74,IMPORTRANGE(""https://docs.google.com/spreadsheets/d/1Gpl6jkTg7sL4VDNimUm3"&amp;"S9Vi1i95esohXCF3wuKOE8c"", ""'CONSOLIDADO'!G5:AB""), 19, 0), ""-""),
""""
)"),"https://www.bosch-professional.com/pe/es/products/gam-220-mf-0601076600")</f>
        <v>https://www.bosch-professional.com/pe/es/products/gam-220-mf-0601076600</v>
      </c>
      <c r="Z74" s="37" t="str">
        <f>IFERROR(__xludf.DUMMYFUNCTION("IFERROR(VLOOKUP(G74,IMPORTRANGE(""https://docs.google.com/spreadsheets/d/12RxCea4e5ggM7QGn1XE3FbLQa_-QbCNdBi90OdPjRqg"", ""'Plan de Compras'!D4:Q""), 12, 0), ""NO ESTÁ EN REQ"")"),"Técnica")</f>
        <v>Técnica</v>
      </c>
      <c r="AA74" s="37" t="str">
        <f>IFERROR(__xludf.DUMMYFUNCTION("IFERROR(VLOOKUP(G74,IMPORTRANGE(""https://docs.google.com/spreadsheets/d/12RxCea4e5ggM7QGn1XE3FbLQa_-QbCNdBi90OdPjRqg"", ""'Plan de Compras'!D4:Q""), 13, 0), """")"),"NACIONAL")</f>
        <v>NACIONAL</v>
      </c>
      <c r="AB74" s="32" t="str">
        <f>IFERROR(__xludf.DUMMYFUNCTION("IFERROR(VLOOKUP(G74,IMPORTRANGE(""https://docs.google.com/spreadsheets/d/12RxCea4e5ggM7QGn1XE3FbLQa_-QbCNdBi90OdPjRqg"", ""'Plan de Compras'!D4:Q""), 14, 0), """")"),"DIANA")</f>
        <v>DIANA</v>
      </c>
      <c r="AC74" s="72" t="str">
        <f>IFERROR(__xludf.DUMMYFUNCTION("IFERROR(VLOOKUP(G74,IMPORTRANGE(""https://docs.google.com/spreadsheets/d/12RxCea4e5ggM7QGn1XE3FbLQa_-QbCNdBi90OdPjRqg"", ""'Plan de Compras'!D4:Q""), 4, 0), """")"),"GONIÓMETRO DIGITAL")</f>
        <v>GONIÓMETRO DIGITAL</v>
      </c>
      <c r="AD74" s="37" t="str">
        <f>IFERROR(__xludf.DUMMYFUNCTION("IFERROR(IF(OR(C74=TRUE,C74=""""),VLOOKUP(G74,IMPORTRANGE(""https://docs.google.com/spreadsheets/d/1z9A1Wq-kKrhRNG5RS2a2fKpY1wIhSVz2ZNmP2mOl588/edit?usp=sharing"",""REQ VF!E4:H""),4,0),""NO APLICA""),""GENERAR REQ"")"),"GENERAR REQ")</f>
        <v>GENERAR REQ</v>
      </c>
      <c r="AE74" s="32" t="str">
        <f>IFERROR(__xludf.DUMMYFUNCTION("IFERROR(QUERY(IMPORTRANGE(""https://docs.google.com/spreadsheets/d/1z9A1Wq-kKrhRNG5RS2a2fKpY1wIhSVz2ZNmP2mOl588/edit?usp=sharing"",""REQ VF!E4:Q""),""SELECT Col10, Col11, Col12 WHERE Col1 = '""&amp;G74&amp;""'"",0),""NO APLICA"")"),"NO APLICA")</f>
        <v>NO APLICA</v>
      </c>
      <c r="AF74" s="32"/>
      <c r="AG74" s="32"/>
      <c r="AH74" s="8" t="s">
        <v>52</v>
      </c>
      <c r="AI74" s="13"/>
    </row>
    <row r="75">
      <c r="A75" s="117">
        <v>55.0</v>
      </c>
      <c r="B75" s="43" t="b">
        <v>1</v>
      </c>
      <c r="C75" s="26" t="b">
        <v>1</v>
      </c>
      <c r="D75" s="26" t="s">
        <v>35</v>
      </c>
      <c r="E75" s="26" t="s">
        <v>1510</v>
      </c>
      <c r="F75" s="59" t="s">
        <v>1738</v>
      </c>
      <c r="G75" s="37" t="s">
        <v>1738</v>
      </c>
      <c r="H75" s="82" t="s">
        <v>1739</v>
      </c>
      <c r="I75" s="43">
        <f>SUMIFS('Hoja 10'!$O:$O,'Hoja 10'!$F:$F,$G75)</f>
        <v>8</v>
      </c>
      <c r="J75" s="26">
        <f>IFERROR(__xludf.DUMMYFUNCTION("VLOOKUP(G75,IMPORTRANGE(""https://docs.google.com/spreadsheets/d/12RxCea4e5ggM7QGn1XE3FbLQa_-QbCNdBi90OdPjRqg/edit?gid=1692403370#gid=1692403370"", ""'Plan de Compras'!D4:2432""), 8,0)"),8.0)</f>
        <v>8</v>
      </c>
      <c r="K75" s="26" t="str">
        <f t="shared" si="1"/>
        <v>SI</v>
      </c>
      <c r="L75" s="29" t="s">
        <v>296</v>
      </c>
      <c r="M75" s="30" t="s">
        <v>297</v>
      </c>
      <c r="N75" s="32"/>
      <c r="O75" s="32" t="str">
        <f>VLOOKUP($G75,'Hoja 10'!$F$4:$AA1057, 19,0)</f>
        <v>MITUTOYO</v>
      </c>
      <c r="P75" s="32" t="str">
        <f>VLOOKUP($G75,'Hoja 10'!$F$4:$AA1057, 20,0)</f>
        <v>570-227</v>
      </c>
      <c r="Q75" s="33" t="str">
        <f>VLOOKUP($G75,'Hoja 10'!$F$4:$AA1057, 21,0)</f>
        <v>https://www.hoffmann-group.com/ES/es/hoe/p/570-227-#description</v>
      </c>
      <c r="R75" s="30" t="s">
        <v>1740</v>
      </c>
      <c r="S75" s="44" t="b">
        <v>1</v>
      </c>
      <c r="T75" s="39" t="str">
        <f>IFERROR(__xludf.DUMMYFUNCTION(" IF
( VLOOKUP($G75,IMPORTRANGE(""https://docs.google.com/spreadsheets/d/1Gpl6jkTg7sL4VDNimUm3S9Vi1i95esohXCF3wuKOE8c"", ""'CONSOLIDADO'!G5:AB""), 10, 0) &lt;&gt; 0, 
IFERROR(VLOOKUP($G75,IMPORTRANGE(""https://docs.google.com/spreadsheets/d/1Gpl6jkTg7sL4VDNimUm3"&amp;"S9Vi1i95esohXCF3wuKOE8c"", ""'CONSOLIDADO'!G5:AB""), 17, 0), ""-""),
""""
)"),"MOORE &amp; WRIGHT")</f>
        <v>MOORE &amp; WRIGHT</v>
      </c>
      <c r="U75" s="39" t="str">
        <f>IFERROR(__xludf.DUMMYFUNCTION(" IF
( VLOOKUP($G75,IMPORTRANGE(""https://docs.google.com/spreadsheets/d/1Gpl6jkTg7sL4VDNimUm3S9Vi1i95esohXCF3wuKOE8c"", ""'CONSOLIDADO'!G5:AB""), 10, 0) &lt;&gt; 0, 
IFERROR(VLOOKUP($G75,IMPORTRANGE(""https://docs.google.com/spreadsheets/d/1Gpl6jkTg7sL4VDNimUm3"&amp;"S9Vi1i95esohXCF3wuKOE8c"", ""'CONSOLIDADO'!G5:AB""), 18, 0), ""-""),
""""
)"),"MW192-20D")</f>
        <v>MW192-20D</v>
      </c>
      <c r="V75" s="39" t="str">
        <f>IFERROR(__xludf.DUMMYFUNCTION(" IF
( VLOOKUP($G75,IMPORTRANGE(""https://docs.google.com/spreadsheets/d/1Gpl6jkTg7sL4VDNimUm3S9Vi1i95esohXCF3wuKOE8c"", ""'CONSOLIDADO'!G5:AB""), 10, 0) &lt;&gt; 0, 
IFERROR(VLOOKUP($G75,IMPORTRANGE(""https://docs.google.com/spreadsheets/d/1Gpl6jkTg7sL4VDNimUm3"&amp;"S9Vi1i95esohXCF3wuKOE8c"", ""'CONSOLIDADO'!G5:AB""), 17, 0), ""-""),
""""
)"),"MOORE &amp; WRIGHT")</f>
        <v>MOORE &amp; WRIGHT</v>
      </c>
      <c r="W75" s="39" t="str">
        <f>IFERROR(__xludf.DUMMYFUNCTION(" IF
( VLOOKUP($G75,IMPORTRANGE(""https://docs.google.com/spreadsheets/d/1Gpl6jkTg7sL4VDNimUm3S9Vi1i95esohXCF3wuKOE8c"", ""'CONSOLIDADO'!G5:AB""), 10, 0) &lt;&gt; 0, 
IFERROR(VLOOKUP($G75,IMPORTRANGE(""https://docs.google.com/spreadsheets/d/1Gpl6jkTg7sL4VDNimUm3"&amp;"S9Vi1i95esohXCF3wuKOE8c"", ""'CONSOLIDADO'!G5:AB""), 18, 0), ""-""),
""""
)"),"MW192-20D")</f>
        <v>MW192-20D</v>
      </c>
      <c r="X75" s="39" t="b">
        <f t="shared" si="8"/>
        <v>1</v>
      </c>
      <c r="Y75" s="120" t="str">
        <f>IFERROR(__xludf.DUMMYFUNCTION(" IF
( VLOOKUP($G75,IMPORTRANGE(""https://docs.google.com/spreadsheets/d/1Gpl6jkTg7sL4VDNimUm3S9Vi1i95esohXCF3wuKOE8c"", ""'CONSOLIDADO'!G5:AB""), 10, 0) &lt;&gt; 0, 
IFERROR(VLOOKUP($G75,IMPORTRANGE(""https://docs.google.com/spreadsheets/d/1Gpl6jkTg7sL4VDNimUm3"&amp;"S9Vi1i95esohXCF3wuKOE8c"", ""'CONSOLIDADO'!G5:AB""), 19, 0), ""-""),
""""
)"),"https://es.rs-online.com/web/p/calibres-de-altura/0390942")</f>
        <v>https://es.rs-online.com/web/p/calibres-de-altura/0390942</v>
      </c>
      <c r="Z75" s="37" t="str">
        <f>IFERROR(__xludf.DUMMYFUNCTION("IFERROR(VLOOKUP(G75,IMPORTRANGE(""https://docs.google.com/spreadsheets/d/12RxCea4e5ggM7QGn1XE3FbLQa_-QbCNdBi90OdPjRqg"", ""'Plan de Compras'!D4:Q""), 12, 0), ""NO ESTÁ EN REQ"")"),"Técnica")</f>
        <v>Técnica</v>
      </c>
      <c r="AA75" s="37" t="str">
        <f>IFERROR(__xludf.DUMMYFUNCTION("IFERROR(VLOOKUP(G75,IMPORTRANGE(""https://docs.google.com/spreadsheets/d/12RxCea4e5ggM7QGn1XE3FbLQa_-QbCNdBi90OdPjRqg"", ""'Plan de Compras'!D4:Q""), 13, 0), """")"),"INTERNACIONAL")</f>
        <v>INTERNACIONAL</v>
      </c>
      <c r="AB75" s="32" t="str">
        <f>IFERROR(__xludf.DUMMYFUNCTION("IFERROR(VLOOKUP(G75,IMPORTRANGE(""https://docs.google.com/spreadsheets/d/12RxCea4e5ggM7QGn1XE3FbLQa_-QbCNdBi90OdPjRqg"", ""'Plan de Compras'!D4:Q""), 14, 0), """")"),"GIANFRANCO")</f>
        <v>GIANFRANCO</v>
      </c>
      <c r="AC75" s="72" t="str">
        <f>IFERROR(__xludf.DUMMYFUNCTION("IFERROR(VLOOKUP(G75,IMPORTRANGE(""https://docs.google.com/spreadsheets/d/12RxCea4e5ggM7QGn1XE3FbLQa_-QbCNdBi90OdPjRqg"", ""'Plan de Compras'!D4:Q""), 4, 0), """")"),"GRAMIL DIGITAL")</f>
        <v>GRAMIL DIGITAL</v>
      </c>
      <c r="AD75" s="37" t="str">
        <f>IFERROR(__xludf.DUMMYFUNCTION("IFERROR(IF(OR(C75=TRUE,C75=""""),VLOOKUP(G75,IMPORTRANGE(""https://docs.google.com/spreadsheets/d/1z9A1Wq-kKrhRNG5RS2a2fKpY1wIhSVz2ZNmP2mOl588/edit?usp=sharing"",""REQ VF!E4:H""),4,0),""NO APLICA""),""GENERAR REQ"")"),"GENERAR REQ")</f>
        <v>GENERAR REQ</v>
      </c>
      <c r="AE75" s="32" t="str">
        <f>IFERROR(__xludf.DUMMYFUNCTION("IFERROR(QUERY(IMPORTRANGE(""https://docs.google.com/spreadsheets/d/1z9A1Wq-kKrhRNG5RS2a2fKpY1wIhSVz2ZNmP2mOl588/edit?usp=sharing"",""REQ VF!E4:Q""),""SELECT Col10, Col11, Col12 WHERE Col1 = '""&amp;G75&amp;""'"",0),""NO APLICA"")"),"NO APLICA")</f>
        <v>NO APLICA</v>
      </c>
      <c r="AF75" s="32"/>
      <c r="AG75" s="32"/>
      <c r="AH75" s="13"/>
      <c r="AI75" s="13"/>
    </row>
    <row r="76">
      <c r="A76" s="117">
        <v>56.0</v>
      </c>
      <c r="B76" s="43" t="b">
        <v>1</v>
      </c>
      <c r="C76" s="26" t="b">
        <v>1</v>
      </c>
      <c r="D76" s="26" t="s">
        <v>35</v>
      </c>
      <c r="E76" s="26" t="s">
        <v>1510</v>
      </c>
      <c r="F76" s="59" t="s">
        <v>1741</v>
      </c>
      <c r="G76" s="37" t="s">
        <v>1741</v>
      </c>
      <c r="H76" s="82" t="s">
        <v>1742</v>
      </c>
      <c r="I76" s="43">
        <f>SUMIFS('Hoja 10'!$O:$O,'Hoja 10'!$F:$F,$G76)</f>
        <v>5</v>
      </c>
      <c r="J76" s="26">
        <f>IFERROR(__xludf.DUMMYFUNCTION("VLOOKUP(G76,IMPORTRANGE(""https://docs.google.com/spreadsheets/d/12RxCea4e5ggM7QGn1XE3FbLQa_-QbCNdBi90OdPjRqg/edit?gid=1692403370#gid=1692403370"", ""'Plan de Compras'!D4:2432""), 8,0)"),5.0)</f>
        <v>5</v>
      </c>
      <c r="K76" s="26" t="str">
        <f t="shared" si="1"/>
        <v>SI</v>
      </c>
      <c r="L76" s="29" t="s">
        <v>91</v>
      </c>
      <c r="M76" s="30" t="s">
        <v>92</v>
      </c>
      <c r="N76" s="32"/>
      <c r="O76" s="32" t="str">
        <f>VLOOKUP($G76,'Hoja 10'!$F$4:$AA1057, 19,0)</f>
        <v>BAHCO</v>
      </c>
      <c r="P76" s="32" t="str">
        <f>VLOOKUP($G76,'Hoja 10'!$F$4:$AA1057, 20,0)</f>
        <v>SB-3735N-6-150</v>
      </c>
      <c r="Q76" s="33" t="str">
        <f>VLOOKUP($G76,'Hoja 10'!$F$4:$AA1057, 21,0)</f>
        <v>https://drive.google.com/file/d/1qZmeouG7QGkZ3n1o7PObCAvj9cYnW8sf/view</v>
      </c>
      <c r="R76" s="30" t="s">
        <v>1743</v>
      </c>
      <c r="S76" s="34" t="b">
        <v>1</v>
      </c>
      <c r="T76" s="39" t="str">
        <f>IFERROR(__xludf.DUMMYFUNCTION(" IF
( VLOOKUP($G76,IMPORTRANGE(""https://docs.google.com/spreadsheets/d/1Gpl6jkTg7sL4VDNimUm3S9Vi1i95esohXCF3wuKOE8c"", ""'CONSOLIDADO'!G5:AB""), 10, 0) &lt;&gt; 0, 
IFERROR(VLOOKUP($G76,IMPORTRANGE(""https://docs.google.com/spreadsheets/d/1Gpl6jkTg7sL4VDNimUm3"&amp;"S9Vi1i95esohXCF3wuKOE8c"", ""'CONSOLIDADO'!G5:AB""), 17, 0), ""-""),
""""
)"),"BAHCO")</f>
        <v>BAHCO</v>
      </c>
      <c r="U76" s="39" t="str">
        <f>IFERROR(__xludf.DUMMYFUNCTION(" IF
( VLOOKUP($G76,IMPORTRANGE(""https://docs.google.com/spreadsheets/d/1Gpl6jkTg7sL4VDNimUm3S9Vi1i95esohXCF3wuKOE8c"", ""'CONSOLIDADO'!G5:AB""), 10, 0) &lt;&gt; 0, 
IFERROR(VLOOKUP($G76,IMPORTRANGE(""https://docs.google.com/spreadsheets/d/1Gpl6jkTg7sL4VDNimUm3"&amp;"S9Vi1i95esohXCF3wuKOE8c"", ""'CONSOLIDADO'!G5:AB""), 18, 0), ""-""),
""""
)"),"SB-3735N-6-150")</f>
        <v>SB-3735N-6-150</v>
      </c>
      <c r="V76" s="39" t="str">
        <f>IFERROR(__xludf.DUMMYFUNCTION(" IF
( VLOOKUP($G76,IMPORTRANGE(""https://docs.google.com/spreadsheets/d/1Gpl6jkTg7sL4VDNimUm3S9Vi1i95esohXCF3wuKOE8c"", ""'CONSOLIDADO'!G5:AB""), 10, 0) &lt;&gt; 0, 
IFERROR(VLOOKUP($G76,IMPORTRANGE(""https://docs.google.com/spreadsheets/d/1Gpl6jkTg7sL4VDNimUm3"&amp;"S9Vi1i95esohXCF3wuKOE8c"", ""'CONSOLIDADO'!G5:AB""), 17, 0), ""-""),
""""
)"),"BAHCO")</f>
        <v>BAHCO</v>
      </c>
      <c r="W76" s="39" t="str">
        <f>IFERROR(__xludf.DUMMYFUNCTION(" IF
( VLOOKUP($G76,IMPORTRANGE(""https://docs.google.com/spreadsheets/d/1Gpl6jkTg7sL4VDNimUm3S9Vi1i95esohXCF3wuKOE8c"", ""'CONSOLIDADO'!G5:AB""), 10, 0) &lt;&gt; 0, 
IFERROR(VLOOKUP($G76,IMPORTRANGE(""https://docs.google.com/spreadsheets/d/1Gpl6jkTg7sL4VDNimUm3"&amp;"S9Vi1i95esohXCF3wuKOE8c"", ""'CONSOLIDADO'!G5:AB""), 18, 0), ""-""),
""""
)"),"SB-3735N-6-150")</f>
        <v>SB-3735N-6-150</v>
      </c>
      <c r="X76" s="39" t="b">
        <f t="shared" si="8"/>
        <v>1</v>
      </c>
      <c r="Y76" s="120" t="str">
        <f>IFERROR(__xludf.DUMMYFUNCTION(" IF
( VLOOKUP($G76,IMPORTRANGE(""https://docs.google.com/spreadsheets/d/1Gpl6jkTg7sL4VDNimUm3S9Vi1i95esohXCF3wuKOE8c"", ""'CONSOLIDADO'!G5:AB""), 10, 0) &lt;&gt; 0, 
IFERROR(VLOOKUP($G76,IMPORTRANGE(""https://docs.google.com/spreadsheets/d/1Gpl6jkTg7sL4VDNimUm3"&amp;"S9Vi1i95esohXCF3wuKOE8c"", ""'CONSOLIDADO'!G5:AB""), 19, 0), ""-""),
""""
)"),"https://drive.google.com/file/d/1qZmeouG7QGkZ3n1o7PObCAvj9cYnW8sf/view")</f>
        <v>https://drive.google.com/file/d/1qZmeouG7QGkZ3n1o7PObCAvj9cYnW8sf/view</v>
      </c>
      <c r="Z76" s="37" t="str">
        <f>IFERROR(__xludf.DUMMYFUNCTION("IFERROR(VLOOKUP(G76,IMPORTRANGE(""https://docs.google.com/spreadsheets/d/12RxCea4e5ggM7QGn1XE3FbLQa_-QbCNdBi90OdPjRqg"", ""'Plan de Compras'!D4:Q""), 12, 0), ""NO ESTÁ EN REQ"")"),"Simple")</f>
        <v>Simple</v>
      </c>
      <c r="AA76" s="37" t="str">
        <f>IFERROR(__xludf.DUMMYFUNCTION("IFERROR(VLOOKUP(G76,IMPORTRANGE(""https://docs.google.com/spreadsheets/d/12RxCea4e5ggM7QGn1XE3FbLQa_-QbCNdBi90OdPjRqg"", ""'Plan de Compras'!D4:Q""), 13, 0), """")"),"NACIONAL")</f>
        <v>NACIONAL</v>
      </c>
      <c r="AB76" s="32" t="str">
        <f>IFERROR(__xludf.DUMMYFUNCTION("IFERROR(VLOOKUP(G76,IMPORTRANGE(""https://docs.google.com/spreadsheets/d/12RxCea4e5ggM7QGn1XE3FbLQa_-QbCNdBi90OdPjRqg"", ""'Plan de Compras'!D4:Q""), 14, 0), """")"),"ALFIO")</f>
        <v>ALFIO</v>
      </c>
      <c r="AC76" s="72" t="str">
        <f>IFERROR(__xludf.DUMMYFUNCTION("IFERROR(VLOOKUP(G76,IMPORTRANGE(""https://docs.google.com/spreadsheets/d/12RxCea4e5ggM7QGn1XE3FbLQa_-QbCNdBi90OdPjRqg"", ""'Plan de Compras'!D4:Q""), 4, 0), """")"),"GRANETE")</f>
        <v>GRANETE</v>
      </c>
      <c r="AD76" s="37" t="str">
        <f>IFERROR(__xludf.DUMMYFUNCTION("IFERROR(IF(OR(C76=TRUE,C76=""""),VLOOKUP(G76,IMPORTRANGE(""https://docs.google.com/spreadsheets/d/1z9A1Wq-kKrhRNG5RS2a2fKpY1wIhSVz2ZNmP2mOl588/edit?usp=sharing"",""REQ VF!E4:H""),4,0),""NO APLICA""),""GENERAR REQ"")"),"GENERAR REQ")</f>
        <v>GENERAR REQ</v>
      </c>
      <c r="AE76" s="32" t="str">
        <f>IFERROR(__xludf.DUMMYFUNCTION("IFERROR(QUERY(IMPORTRANGE(""https://docs.google.com/spreadsheets/d/1z9A1Wq-kKrhRNG5RS2a2fKpY1wIhSVz2ZNmP2mOl588/edit?usp=sharing"",""REQ VF!E4:Q""),""SELECT Col10, Col11, Col12 WHERE Col1 = '""&amp;G76&amp;""'"",0),""NO APLICA"")"),"NO APLICA")</f>
        <v>NO APLICA</v>
      </c>
      <c r="AF76" s="32"/>
      <c r="AG76" s="32"/>
      <c r="AH76" s="13"/>
      <c r="AI76" s="13"/>
    </row>
    <row r="77">
      <c r="A77" s="121">
        <v>57.0</v>
      </c>
      <c r="B77" s="43" t="b">
        <v>1</v>
      </c>
      <c r="C77" s="26" t="b">
        <v>1</v>
      </c>
      <c r="D77" s="26" t="s">
        <v>35</v>
      </c>
      <c r="E77" s="26" t="s">
        <v>1510</v>
      </c>
      <c r="F77" s="59" t="s">
        <v>1744</v>
      </c>
      <c r="G77" s="37" t="s">
        <v>1744</v>
      </c>
      <c r="H77" s="82" t="s">
        <v>1745</v>
      </c>
      <c r="I77" s="43">
        <f>SUMIFS('Hoja 10'!$O:$O,'Hoja 10'!$F:$F,$G77)</f>
        <v>4</v>
      </c>
      <c r="J77" s="26">
        <f>IFERROR(__xludf.DUMMYFUNCTION("VLOOKUP(G77,IMPORTRANGE(""https://docs.google.com/spreadsheets/d/12RxCea4e5ggM7QGn1XE3FbLQa_-QbCNdBi90OdPjRqg/edit?gid=1692403370#gid=1692403370"", ""'Plan de Compras'!D4:2432""), 8,0)"),4.0)</f>
        <v>4</v>
      </c>
      <c r="K77" s="26" t="str">
        <f t="shared" si="1"/>
        <v>SI</v>
      </c>
      <c r="L77" s="29" t="s">
        <v>339</v>
      </c>
      <c r="M77" s="30" t="s">
        <v>340</v>
      </c>
      <c r="N77" s="32"/>
      <c r="O77" s="32" t="str">
        <f>VLOOKUP($G77,'Hoja 10'!$F$4:$AA1057, 19,0)</f>
        <v>INTERLUD</v>
      </c>
      <c r="P77" s="32" t="str">
        <f>VLOOKUP($G77,'Hoja 10'!$F$4:$AA1057, 20,0)</f>
        <v>EBKCR205132</v>
      </c>
      <c r="Q77" s="33" t="str">
        <f>VLOOKUP($G77,'Hoja 10'!$F$4:$AA1057, 21,0)</f>
        <v>https://www.coolbox.pe/kit-chroma-fondo-verde-para-estudio-foto-y-video-con-parantes-100419263/p</v>
      </c>
      <c r="R77" s="30" t="s">
        <v>1746</v>
      </c>
      <c r="S77" s="34" t="b">
        <v>1</v>
      </c>
      <c r="T77" s="39" t="str">
        <f>IFERROR(__xludf.DUMMYFUNCTION(" IF
( VLOOKUP($G77,IMPORTRANGE(""https://docs.google.com/spreadsheets/d/1Gpl6jkTg7sL4VDNimUm3S9Vi1i95esohXCF3wuKOE8c"", ""'CONSOLIDADO'!G5:AB""), 10, 0) &lt;&gt; 0, 
IFERROR(VLOOKUP($G77,IMPORTRANGE(""https://docs.google.com/spreadsheets/d/1Gpl6jkTg7sL4VDNimUm3"&amp;"S9Vi1i95esohXCF3wuKOE8c"", ""'CONSOLIDADO'!G5:AB""), 17, 0), ""-""),
""""
)"),"ELGATO")</f>
        <v>ELGATO</v>
      </c>
      <c r="U77" s="39" t="str">
        <f>IFERROR(__xludf.DUMMYFUNCTION(" IF
( VLOOKUP($G77,IMPORTRANGE(""https://docs.google.com/spreadsheets/d/1Gpl6jkTg7sL4VDNimUm3S9Vi1i95esohXCF3wuKOE8c"", ""'CONSOLIDADO'!G5:AB""), 10, 0) &lt;&gt; 0, 
IFERROR(VLOOKUP($G77,IMPORTRANGE(""https://docs.google.com/spreadsheets/d/1Gpl6jkTg7sL4VDNimUm3"&amp;"S9Vi1i95esohXCF3wuKOE8c"", ""'CONSOLIDADO'!G5:AB""), 18, 0), ""-""),
""""
)"),"Green Screen MT Elgato")</f>
        <v>Green Screen MT Elgato</v>
      </c>
      <c r="V77" s="39" t="str">
        <f>IFERROR(__xludf.DUMMYFUNCTION(" IF
( VLOOKUP($G77,IMPORTRANGE(""https://docs.google.com/spreadsheets/d/1Gpl6jkTg7sL4VDNimUm3S9Vi1i95esohXCF3wuKOE8c"", ""'CONSOLIDADO'!G5:AB""), 10, 0) &lt;&gt; 0, 
IFERROR(VLOOKUP($G77,IMPORTRANGE(""https://docs.google.com/spreadsheets/d/1Gpl6jkTg7sL4VDNimUm3"&amp;"S9Vi1i95esohXCF3wuKOE8c"", ""'CONSOLIDADO'!G5:AB""), 17, 0), ""-""),
""""
)"),"ELGATO")</f>
        <v>ELGATO</v>
      </c>
      <c r="W77" s="39" t="str">
        <f>IFERROR(__xludf.DUMMYFUNCTION(" IF
( VLOOKUP($G77,IMPORTRANGE(""https://docs.google.com/spreadsheets/d/1Gpl6jkTg7sL4VDNimUm3S9Vi1i95esohXCF3wuKOE8c"", ""'CONSOLIDADO'!G5:AB""), 10, 0) &lt;&gt; 0, 
IFERROR(VLOOKUP($G77,IMPORTRANGE(""https://docs.google.com/spreadsheets/d/1Gpl6jkTg7sL4VDNimUm3"&amp;"S9Vi1i95esohXCF3wuKOE8c"", ""'CONSOLIDADO'!G5:AB""), 18, 0), ""-""),
""""
)"),"Green Screen MT Elgato")</f>
        <v>Green Screen MT Elgato</v>
      </c>
      <c r="X77" s="39" t="b">
        <f t="shared" si="8"/>
        <v>1</v>
      </c>
      <c r="Y77" s="120" t="str">
        <f>IFERROR(__xludf.DUMMYFUNCTION(" IF
( VLOOKUP($G77,IMPORTRANGE(""https://docs.google.com/spreadsheets/d/1Gpl6jkTg7sL4VDNimUm3S9Vi1i95esohXCF3wuKOE8c"", ""'CONSOLIDADO'!G5:AB""), 10, 0) &lt;&gt; 0, 
IFERROR(VLOOKUP($G77,IMPORTRANGE(""https://docs.google.com/spreadsheets/d/1Gpl6jkTg7sL4VDNimUm3"&amp;"S9Vi1i95esohXCF3wuKOE8c"", ""'CONSOLIDADO'!G5:AB""), 19, 0), ""-""),
""""
)"),"https://mesajil.com/producto/green-screen-mt-elgato/?srsltid=AfmBOorlC3LXezuxrSCcVsoyjxON3fYNkJ7aDXk-WRRPtY_0Nvjv2KWZ")</f>
        <v>https://mesajil.com/producto/green-screen-mt-elgato/?srsltid=AfmBOorlC3LXezuxrSCcVsoyjxON3fYNkJ7aDXk-WRRPtY_0Nvjv2KWZ</v>
      </c>
      <c r="Z77" s="37" t="str">
        <f>IFERROR(__xludf.DUMMYFUNCTION("IFERROR(VLOOKUP(G77,IMPORTRANGE(""https://docs.google.com/spreadsheets/d/12RxCea4e5ggM7QGn1XE3FbLQa_-QbCNdBi90OdPjRqg"", ""'Plan de Compras'!D4:Q""), 12, 0), ""NO ESTÁ EN REQ"")"),"Simple")</f>
        <v>Simple</v>
      </c>
      <c r="AA77" s="37" t="str">
        <f>IFERROR(__xludf.DUMMYFUNCTION("IFERROR(VLOOKUP(G77,IMPORTRANGE(""https://docs.google.com/spreadsheets/d/12RxCea4e5ggM7QGn1XE3FbLQa_-QbCNdBi90OdPjRqg"", ""'Plan de Compras'!D4:Q""), 13, 0), """")"),"NACIONAL")</f>
        <v>NACIONAL</v>
      </c>
      <c r="AB77" s="32" t="str">
        <f>IFERROR(__xludf.DUMMYFUNCTION("IFERROR(VLOOKUP(G77,IMPORTRANGE(""https://docs.google.com/spreadsheets/d/12RxCea4e5ggM7QGn1XE3FbLQa_-QbCNdBi90OdPjRqg"", ""'Plan de Compras'!D4:Q""), 14, 0), """")"),"JESSICA")</f>
        <v>JESSICA</v>
      </c>
      <c r="AC77" s="72" t="str">
        <f>IFERROR(__xludf.DUMMYFUNCTION("IFERROR(VLOOKUP(G77,IMPORTRANGE(""https://docs.google.com/spreadsheets/d/12RxCea4e5ggM7QGn1XE3FbLQa_-QbCNdBi90OdPjRqg"", ""'Plan de Compras'!D4:Q""), 4, 0), """")"),"GREEN SCREEN")</f>
        <v>GREEN SCREEN</v>
      </c>
      <c r="AD77" s="37" t="str">
        <f>IFERROR(__xludf.DUMMYFUNCTION("IFERROR(IF(OR(C77=TRUE,C77=""""),VLOOKUP(G77,IMPORTRANGE(""https://docs.google.com/spreadsheets/d/1z9A1Wq-kKrhRNG5RS2a2fKpY1wIhSVz2ZNmP2mOl588/edit?usp=sharing"",""REQ VF!E4:H""),4,0),""NO APLICA""),""GENERAR REQ"")"),"GENERAR REQ")</f>
        <v>GENERAR REQ</v>
      </c>
      <c r="AE77" s="32" t="str">
        <f>IFERROR(__xludf.DUMMYFUNCTION("IFERROR(QUERY(IMPORTRANGE(""https://docs.google.com/spreadsheets/d/1z9A1Wq-kKrhRNG5RS2a2fKpY1wIhSVz2ZNmP2mOl588/edit?usp=sharing"",""REQ VF!E4:Q""),""SELECT Col10, Col11, Col12 WHERE Col1 = '""&amp;G77&amp;""'"",0),""NO APLICA"")"),"NO APLICA")</f>
        <v>NO APLICA</v>
      </c>
      <c r="AF77" s="32"/>
      <c r="AG77" s="32"/>
      <c r="AH77" s="13"/>
      <c r="AI77" s="13"/>
    </row>
    <row r="78">
      <c r="A78" s="121">
        <v>58.0</v>
      </c>
      <c r="B78" s="43" t="b">
        <v>1</v>
      </c>
      <c r="C78" s="26" t="b">
        <v>1</v>
      </c>
      <c r="D78" s="26" t="s">
        <v>35</v>
      </c>
      <c r="E78" s="26" t="s">
        <v>1510</v>
      </c>
      <c r="F78" s="59" t="s">
        <v>1747</v>
      </c>
      <c r="G78" s="37" t="s">
        <v>1747</v>
      </c>
      <c r="H78" s="82" t="s">
        <v>1748</v>
      </c>
      <c r="I78" s="43">
        <f>SUMIFS('Hoja 10'!$O:$O,'Hoja 10'!$F:$F,$G78)</f>
        <v>8</v>
      </c>
      <c r="J78" s="26">
        <f>IFERROR(__xludf.DUMMYFUNCTION("VLOOKUP(G78,IMPORTRANGE(""https://docs.google.com/spreadsheets/d/12RxCea4e5ggM7QGn1XE3FbLQa_-QbCNdBi90OdPjRqg/edit?gid=1692403370#gid=1692403370"", ""'Plan de Compras'!D4:2432""), 8,0)"),8.0)</f>
        <v>8</v>
      </c>
      <c r="K78" s="26" t="str">
        <f t="shared" si="1"/>
        <v>SI</v>
      </c>
      <c r="L78" s="29" t="s">
        <v>296</v>
      </c>
      <c r="M78" s="30" t="s">
        <v>297</v>
      </c>
      <c r="N78" s="32"/>
      <c r="O78" s="32" t="str">
        <f>VLOOKUP($G78,'Hoja 10'!$F$4:$AA1057, 19,0)</f>
        <v>TIVOLY</v>
      </c>
      <c r="P78" s="32" t="str">
        <f>VLOOKUP($G78,'Hoja 10'!$F$4:$AA1057, 20,0)</f>
        <v>B09NJN7DFV</v>
      </c>
      <c r="Q78" s="33" t="str">
        <f>VLOOKUP($G78,'Hoja 10'!$F$4:$AA1057, 21,0)</f>
        <v>https://www.amazon.com/-/es/Tivoly-11110220006-invisible-di%C3%A1metro-escalonado/dp/B09NJN7DFV</v>
      </c>
      <c r="R78" s="30" t="s">
        <v>1749</v>
      </c>
      <c r="S78" s="44" t="b">
        <v>1</v>
      </c>
      <c r="T78" s="39" t="str">
        <f>IFERROR(__xludf.DUMMYFUNCTION(" IF
( VLOOKUP($G78,IMPORTRANGE(""https://docs.google.com/spreadsheets/d/1Gpl6jkTg7sL4VDNimUm3S9Vi1i95esohXCF3wuKOE8c"", ""'CONSOLIDADO'!G5:AB""), 10, 0) &lt;&gt; 0, 
IFERROR(VLOOKUP($G78,IMPORTRANGE(""https://docs.google.com/spreadsheets/d/1Gpl6jkTg7sL4VDNimUm3"&amp;"S9Vi1i95esohXCF3wuKOE8c"", ""'CONSOLIDADO'!G5:AB""), 17, 0), ""-""),
""""
)"),"Wolfcraft")</f>
        <v>Wolfcraft</v>
      </c>
      <c r="U78" s="39" t="str">
        <f>IFERROR(__xludf.DUMMYFUNCTION(" IF
( VLOOKUP($G78,IMPORTRANGE(""https://docs.google.com/spreadsheets/d/1Gpl6jkTg7sL4VDNimUm3S9Vi1i95esohXCF3wuKOE8c"", ""'CONSOLIDADO'!G5:AB""), 10, 0) &lt;&gt; 0, 
IFERROR(VLOOKUP($G78,IMPORTRANGE(""https://docs.google.com/spreadsheets/d/1Gpl6jkTg7sL4VDNimUm3"&amp;"S9Vi1i95esohXCF3wuKOE8c"", ""'CONSOLIDADO'!G5:AB""), 18, 0), ""-""),
""""
)"),"WLF 4642000")</f>
        <v>WLF 4642000</v>
      </c>
      <c r="V78" s="39" t="str">
        <f>IFERROR(__xludf.DUMMYFUNCTION(" IF
( VLOOKUP($G78,IMPORTRANGE(""https://docs.google.com/spreadsheets/d/1Gpl6jkTg7sL4VDNimUm3S9Vi1i95esohXCF3wuKOE8c"", ""'CONSOLIDADO'!G5:AB""), 10, 0) &lt;&gt; 0, 
IFERROR(VLOOKUP($G78,IMPORTRANGE(""https://docs.google.com/spreadsheets/d/1Gpl6jkTg7sL4VDNimUm3"&amp;"S9Vi1i95esohXCF3wuKOE8c"", ""'CONSOLIDADO'!G5:AB""), 17, 0), ""-""),
""""
)"),"Wolfcraft")</f>
        <v>Wolfcraft</v>
      </c>
      <c r="W78" s="39" t="str">
        <f>IFERROR(__xludf.DUMMYFUNCTION(" IF
( VLOOKUP($G78,IMPORTRANGE(""https://docs.google.com/spreadsheets/d/1Gpl6jkTg7sL4VDNimUm3S9Vi1i95esohXCF3wuKOE8c"", ""'CONSOLIDADO'!G5:AB""), 10, 0) &lt;&gt; 0, 
IFERROR(VLOOKUP($G78,IMPORTRANGE(""https://docs.google.com/spreadsheets/d/1Gpl6jkTg7sL4VDNimUm3"&amp;"S9Vi1i95esohXCF3wuKOE8c"", ""'CONSOLIDADO'!G5:AB""), 18, 0), ""-""),
""""
)"),"WLF 4642000")</f>
        <v>WLF 4642000</v>
      </c>
      <c r="X78" s="39" t="b">
        <f t="shared" si="8"/>
        <v>1</v>
      </c>
      <c r="Y78" s="120" t="str">
        <f>IFERROR(__xludf.DUMMYFUNCTION(" IF
( VLOOKUP($G78,IMPORTRANGE(""https://docs.google.com/spreadsheets/d/1Gpl6jkTg7sL4VDNimUm3S9Vi1i95esohXCF3wuKOE8c"", ""'CONSOLIDADO'!G5:AB""), 10, 0) &lt;&gt; 0, 
IFERROR(VLOOKUP($G78,IMPORTRANGE(""https://docs.google.com/spreadsheets/d/1Gpl6jkTg7sL4VDNimUm3"&amp;"S9Vi1i95esohXCF3wuKOE8c"", ""'CONSOLIDADO'!G5:AB""), 19, 0), ""-""),
""""
)"),"https://www.amazon.es/Wolfcraft-4642000-Undercover-fijaci%C3%B3n-invisible/dp/B000P37JQK?th=1")</f>
        <v>https://www.amazon.es/Wolfcraft-4642000-Undercover-fijaci%C3%B3n-invisible/dp/B000P37JQK?th=1</v>
      </c>
      <c r="Z78" s="37" t="str">
        <f>IFERROR(__xludf.DUMMYFUNCTION("IFERROR(VLOOKUP(G78,IMPORTRANGE(""https://docs.google.com/spreadsheets/d/12RxCea4e5ggM7QGn1XE3FbLQa_-QbCNdBi90OdPjRqg"", ""'Plan de Compras'!D4:Q""), 12, 0), ""NO ESTÁ EN REQ"")"),"Técnica")</f>
        <v>Técnica</v>
      </c>
      <c r="AA78" s="37" t="str">
        <f>IFERROR(__xludf.DUMMYFUNCTION("IFERROR(VLOOKUP(G78,IMPORTRANGE(""https://docs.google.com/spreadsheets/d/12RxCea4e5ggM7QGn1XE3FbLQa_-QbCNdBi90OdPjRqg"", ""'Plan de Compras'!D4:Q""), 13, 0), """")"),"INTERNACIONAL")</f>
        <v>INTERNACIONAL</v>
      </c>
      <c r="AB78" s="32" t="str">
        <f>IFERROR(__xludf.DUMMYFUNCTION("IFERROR(VLOOKUP(G78,IMPORTRANGE(""https://docs.google.com/spreadsheets/d/12RxCea4e5ggM7QGn1XE3FbLQa_-QbCNdBi90OdPjRqg"", ""'Plan de Compras'!D4:Q""), 14, 0), """")"),"GIANFRANCO")</f>
        <v>GIANFRANCO</v>
      </c>
      <c r="AC78" s="72" t="str">
        <f>IFERROR(__xludf.DUMMYFUNCTION("IFERROR(VLOOKUP(G78,IMPORTRANGE(""https://docs.google.com/spreadsheets/d/12RxCea4e5ggM7QGn1XE3FbLQa_-QbCNdBi90OdPjRqg"", ""'Plan de Compras'!D4:Q""), 4, 0), """")"),"KIT DE GUIA DE SISTEMA DE ENSAMBLAJE INVISIBLE")</f>
        <v>KIT DE GUIA DE SISTEMA DE ENSAMBLAJE INVISIBLE</v>
      </c>
      <c r="AD78" s="37" t="str">
        <f>IFERROR(__xludf.DUMMYFUNCTION("IFERROR(IF(OR(C78=TRUE,C78=""""),VLOOKUP(G78,IMPORTRANGE(""https://docs.google.com/spreadsheets/d/1z9A1Wq-kKrhRNG5RS2a2fKpY1wIhSVz2ZNmP2mOl588/edit?usp=sharing"",""REQ VF!E4:H""),4,0),""NO APLICA""),""GENERAR REQ"")"),"GENERAR REQ")</f>
        <v>GENERAR REQ</v>
      </c>
      <c r="AE78" s="32" t="str">
        <f>IFERROR(__xludf.DUMMYFUNCTION("IFERROR(QUERY(IMPORTRANGE(""https://docs.google.com/spreadsheets/d/1z9A1Wq-kKrhRNG5RS2a2fKpY1wIhSVz2ZNmP2mOl588/edit?usp=sharing"",""REQ VF!E4:Q""),""SELECT Col10, Col11, Col12 WHERE Col1 = '""&amp;G78&amp;""'"",0),""NO APLICA"")"),"NO APLICA")</f>
        <v>NO APLICA</v>
      </c>
      <c r="AF78" s="32"/>
      <c r="AG78" s="32"/>
      <c r="AH78" s="13"/>
      <c r="AI78" s="13"/>
    </row>
    <row r="79">
      <c r="A79" s="43"/>
      <c r="B79" s="43"/>
      <c r="C79" s="26" t="b">
        <v>1</v>
      </c>
      <c r="D79" s="26" t="s">
        <v>42</v>
      </c>
      <c r="E79" s="26" t="s">
        <v>1510</v>
      </c>
      <c r="F79" s="59" t="s">
        <v>1747</v>
      </c>
      <c r="G79" s="39" t="s">
        <v>1750</v>
      </c>
      <c r="H79" s="66" t="s">
        <v>1751</v>
      </c>
      <c r="I79" s="43">
        <v>8.0</v>
      </c>
      <c r="J79" s="26">
        <f>IFERROR(__xludf.DUMMYFUNCTION("VLOOKUP(G79,IMPORTRANGE(""https://docs.google.com/spreadsheets/d/12RxCea4e5ggM7QGn1XE3FbLQa_-QbCNdBi90OdPjRqg/edit?gid=1692403370#gid=1692403370"", ""'Plan de Compras'!D4:2432""), 8,0)"),16.0)</f>
        <v>16</v>
      </c>
      <c r="K79" s="26" t="str">
        <f t="shared" si="1"/>
        <v>NO</v>
      </c>
      <c r="L79" s="29"/>
      <c r="M79" s="61"/>
      <c r="N79" s="32"/>
      <c r="O79" s="32"/>
      <c r="P79" s="32"/>
      <c r="Q79" s="41"/>
      <c r="R79" s="32"/>
      <c r="S79" s="34" t="b">
        <v>1</v>
      </c>
      <c r="T79" s="39" t="s">
        <v>1752</v>
      </c>
      <c r="U79" s="39" t="s">
        <v>1753</v>
      </c>
      <c r="V79" s="39"/>
      <c r="W79" s="39"/>
      <c r="X79" s="39"/>
      <c r="Y79" s="120" t="s">
        <v>1754</v>
      </c>
      <c r="Z79" s="37" t="str">
        <f>IFERROR(__xludf.DUMMYFUNCTION("IFERROR(VLOOKUP(G79,IMPORTRANGE(""https://docs.google.com/spreadsheets/d/12RxCea4e5ggM7QGn1XE3FbLQa_-QbCNdBi90OdPjRqg"", ""'Plan de Compras'!D4:Q""), 12, 0), ""NO ESTÁ EN REQ"")"),"Técnica")</f>
        <v>Técnica</v>
      </c>
      <c r="AA79" s="37" t="str">
        <f>IFERROR(__xludf.DUMMYFUNCTION("IFERROR(VLOOKUP(G79,IMPORTRANGE(""https://docs.google.com/spreadsheets/d/12RxCea4e5ggM7QGn1XE3FbLQa_-QbCNdBi90OdPjRqg"", ""'Plan de Compras'!D4:Q""), 13, 0), """")"),"INTERNACIONAL")</f>
        <v>INTERNACIONAL</v>
      </c>
      <c r="AB79" s="32" t="str">
        <f>IFERROR(__xludf.DUMMYFUNCTION("IFERROR(VLOOKUP(G79,IMPORTRANGE(""https://docs.google.com/spreadsheets/d/12RxCea4e5ggM7QGn1XE3FbLQa_-QbCNdBi90OdPjRqg"", ""'Plan de Compras'!D4:Q""), 14, 0), """")"),"GIANFRANCO")</f>
        <v>GIANFRANCO</v>
      </c>
      <c r="AC79" s="72" t="str">
        <f>IFERROR(__xludf.DUMMYFUNCTION("IFERROR(VLOOKUP(G79,IMPORTRANGE(""https://docs.google.com/spreadsheets/d/12RxCea4e5ggM7QGn1XE3FbLQa_-QbCNdBi90OdPjRqg"", ""'Plan de Compras'!D4:Q""), 4, 0), """")"),"DESTORNILLADOR CABEZA CUADRADA 2"" (1 UND)")</f>
        <v>DESTORNILLADOR CABEZA CUADRADA 2" (1 UND)</v>
      </c>
      <c r="AD79" s="37" t="str">
        <f>IFERROR(__xludf.DUMMYFUNCTION("IFERROR(IF(OR(C79=TRUE,C79=""""),VLOOKUP(G79,IMPORTRANGE(""https://docs.google.com/spreadsheets/d/1z9A1Wq-kKrhRNG5RS2a2fKpY1wIhSVz2ZNmP2mOl588/edit?usp=sharing"",""REQ VF!E4:H""),4,0),""NO APLICA""),""GENERAR REQ"")"),"GENERAR REQ")</f>
        <v>GENERAR REQ</v>
      </c>
      <c r="AE79" s="32" t="str">
        <f>IFERROR(__xludf.DUMMYFUNCTION("IFERROR(QUERY(IMPORTRANGE(""https://docs.google.com/spreadsheets/d/1z9A1Wq-kKrhRNG5RS2a2fKpY1wIhSVz2ZNmP2mOl588/edit?usp=sharing"",""REQ VF!E4:Q""),""SELECT Col10, Col11, Col12 WHERE Col1 = '""&amp;G79&amp;""'"",0),""NO APLICA"")"),"NO APLICA")</f>
        <v>NO APLICA</v>
      </c>
      <c r="AF79" s="32"/>
      <c r="AG79" s="32"/>
      <c r="AH79" s="13"/>
      <c r="AI79" s="13"/>
    </row>
    <row r="80">
      <c r="A80" s="43"/>
      <c r="B80" s="43"/>
      <c r="C80" s="26" t="b">
        <v>1</v>
      </c>
      <c r="D80" s="26" t="s">
        <v>42</v>
      </c>
      <c r="E80" s="26" t="s">
        <v>1510</v>
      </c>
      <c r="F80" s="59" t="s">
        <v>1747</v>
      </c>
      <c r="G80" s="39" t="s">
        <v>1755</v>
      </c>
      <c r="H80" s="66" t="s">
        <v>1756</v>
      </c>
      <c r="I80" s="43">
        <v>8.0</v>
      </c>
      <c r="J80" s="26">
        <f>IFERROR(__xludf.DUMMYFUNCTION("VLOOKUP(G80,IMPORTRANGE(""https://docs.google.com/spreadsheets/d/12RxCea4e5ggM7QGn1XE3FbLQa_-QbCNdBi90OdPjRqg/edit?gid=1692403370#gid=1692403370"", ""'Plan de Compras'!D4:2432""), 8,0)"),16.0)</f>
        <v>16</v>
      </c>
      <c r="K80" s="26" t="str">
        <f t="shared" si="1"/>
        <v>NO</v>
      </c>
      <c r="L80" s="29"/>
      <c r="M80" s="61"/>
      <c r="N80" s="32"/>
      <c r="O80" s="32"/>
      <c r="P80" s="32"/>
      <c r="Q80" s="41"/>
      <c r="R80" s="32"/>
      <c r="S80" s="34" t="b">
        <v>1</v>
      </c>
      <c r="T80" s="39" t="s">
        <v>1752</v>
      </c>
      <c r="U80" s="39" t="s">
        <v>1757</v>
      </c>
      <c r="V80" s="39"/>
      <c r="W80" s="39"/>
      <c r="X80" s="39"/>
      <c r="Y80" s="120" t="s">
        <v>1758</v>
      </c>
      <c r="Z80" s="37" t="str">
        <f>IFERROR(__xludf.DUMMYFUNCTION("IFERROR(VLOOKUP(G80,IMPORTRANGE(""https://docs.google.com/spreadsheets/d/12RxCea4e5ggM7QGn1XE3FbLQa_-QbCNdBi90OdPjRqg"", ""'Plan de Compras'!D4:Q""), 12, 0), ""NO ESTÁ EN REQ"")"),"Técnica")</f>
        <v>Técnica</v>
      </c>
      <c r="AA80" s="37" t="str">
        <f>IFERROR(__xludf.DUMMYFUNCTION("IFERROR(VLOOKUP(G80,IMPORTRANGE(""https://docs.google.com/spreadsheets/d/12RxCea4e5ggM7QGn1XE3FbLQa_-QbCNdBi90OdPjRqg"", ""'Plan de Compras'!D4:Q""), 13, 0), """")"),"INTERNACIONAL")</f>
        <v>INTERNACIONAL</v>
      </c>
      <c r="AB80" s="32" t="str">
        <f>IFERROR(__xludf.DUMMYFUNCTION("IFERROR(VLOOKUP(G80,IMPORTRANGE(""https://docs.google.com/spreadsheets/d/12RxCea4e5ggM7QGn1XE3FbLQa_-QbCNdBi90OdPjRqg"", ""'Plan de Compras'!D4:Q""), 14, 0), """")"),"GIANFRANCO")</f>
        <v>GIANFRANCO</v>
      </c>
      <c r="AC80" s="72" t="str">
        <f>IFERROR(__xludf.DUMMYFUNCTION("IFERROR(VLOOKUP(G80,IMPORTRANGE(""https://docs.google.com/spreadsheets/d/12RxCea4e5ggM7QGn1XE3FbLQa_-QbCNdBi90OdPjRqg"", ""'Plan de Compras'!D4:Q""), 4, 0), """")"),"DESTORNILLADOR CABEZA CUADRADA 6"" (1 UND)")</f>
        <v>DESTORNILLADOR CABEZA CUADRADA 6" (1 UND)</v>
      </c>
      <c r="AD80" s="37" t="str">
        <f>IFERROR(__xludf.DUMMYFUNCTION("IFERROR(IF(OR(C80=TRUE,C80=""""),VLOOKUP(G80,IMPORTRANGE(""https://docs.google.com/spreadsheets/d/1z9A1Wq-kKrhRNG5RS2a2fKpY1wIhSVz2ZNmP2mOl588/edit?usp=sharing"",""REQ VF!E4:H""),4,0),""NO APLICA""),""GENERAR REQ"")"),"GENERAR REQ")</f>
        <v>GENERAR REQ</v>
      </c>
      <c r="AE80" s="32" t="str">
        <f>IFERROR(__xludf.DUMMYFUNCTION("IFERROR(QUERY(IMPORTRANGE(""https://docs.google.com/spreadsheets/d/1z9A1Wq-kKrhRNG5RS2a2fKpY1wIhSVz2ZNmP2mOl588/edit?usp=sharing"",""REQ VF!E4:Q""),""SELECT Col10, Col11, Col12 WHERE Col1 = '""&amp;G80&amp;""'"",0),""NO APLICA"")"),"NO APLICA")</f>
        <v>NO APLICA</v>
      </c>
      <c r="AF80" s="32"/>
      <c r="AG80" s="32"/>
      <c r="AH80" s="13"/>
      <c r="AI80" s="13"/>
    </row>
    <row r="81">
      <c r="A81" s="121">
        <v>59.0</v>
      </c>
      <c r="B81" s="43" t="b">
        <v>1</v>
      </c>
      <c r="C81" s="26" t="b">
        <v>1</v>
      </c>
      <c r="D81" s="26" t="s">
        <v>35</v>
      </c>
      <c r="E81" s="26" t="s">
        <v>1510</v>
      </c>
      <c r="F81" s="59" t="s">
        <v>1759</v>
      </c>
      <c r="G81" s="37" t="s">
        <v>1759</v>
      </c>
      <c r="H81" s="82" t="s">
        <v>1760</v>
      </c>
      <c r="I81" s="43">
        <f>SUMIFS('Hoja 10'!$O:$O,'Hoja 10'!$F:$F,$G81)</f>
        <v>8</v>
      </c>
      <c r="J81" s="26">
        <f>IFERROR(__xludf.DUMMYFUNCTION("VLOOKUP(G81,IMPORTRANGE(""https://docs.google.com/spreadsheets/d/12RxCea4e5ggM7QGn1XE3FbLQa_-QbCNdBi90OdPjRqg/edit?gid=1692403370#gid=1692403370"", ""'Plan de Compras'!D4:2432""), 8,0)"),8.0)</f>
        <v>8</v>
      </c>
      <c r="K81" s="26" t="str">
        <f t="shared" si="1"/>
        <v>SI</v>
      </c>
      <c r="L81" s="29" t="s">
        <v>296</v>
      </c>
      <c r="M81" s="30" t="s">
        <v>297</v>
      </c>
      <c r="N81" s="32"/>
      <c r="O81" s="32" t="str">
        <f>VLOOKUP($G81,'Hoja 10'!$F$4:$AA1057, 19,0)</f>
        <v>FICTORY</v>
      </c>
      <c r="P81" s="32" t="str">
        <f>VLOOKUP($G81,'Hoja 10'!$F$4:$AA1057, 20,0)</f>
        <v>B07XTDHGQD</v>
      </c>
      <c r="Q81" s="33" t="str">
        <f>VLOOKUP($G81,'Hoja 10'!$F$4:$AA1057, 21,0)</f>
        <v>https://spanish.alibaba.com/product-detail/Self-Centering-Woodworking-Doweling-Jig-Kit-1600116500237.html</v>
      </c>
      <c r="R81" s="30" t="s">
        <v>1761</v>
      </c>
      <c r="S81" s="34" t="b">
        <v>1</v>
      </c>
      <c r="T81" s="39" t="str">
        <f>IFERROR(__xludf.DUMMYFUNCTION(" IF
( VLOOKUP($G81,IMPORTRANGE(""https://docs.google.com/spreadsheets/d/1Gpl6jkTg7sL4VDNimUm3S9Vi1i95esohXCF3wuKOE8c"", ""'CONSOLIDADO'!G5:AB""), 10, 0) &lt;&gt; 0, 
IFERROR(VLOOKUP($G81,IMPORTRANGE(""https://docs.google.com/spreadsheets/d/1Gpl6jkTg7sL4VDNimUm3"&amp;"S9Vi1i95esohXCF3wuKOE8c"", ""'CONSOLIDADO'!G5:AB""), 17, 0), ""-""),
""""
)"),"FICTORY")</f>
        <v>FICTORY</v>
      </c>
      <c r="U81" s="39" t="str">
        <f>IFERROR(__xludf.DUMMYFUNCTION(" IF
( VLOOKUP($G81,IMPORTRANGE(""https://docs.google.com/spreadsheets/d/1Gpl6jkTg7sL4VDNimUm3S9Vi1i95esohXCF3wuKOE8c"", ""'CONSOLIDADO'!G5:AB""), 10, 0) &lt;&gt; 0, 
IFERROR(VLOOKUP($G81,IMPORTRANGE(""https://docs.google.com/spreadsheets/d/1Gpl6jkTg7sL4VDNimUm3"&amp;"S9Vi1i95esohXCF3wuKOE8c"", ""'CONSOLIDADO'!G5:AB""), 18, 0), ""-""),
""""
)"),"B07XTDHGQD")</f>
        <v>B07XTDHGQD</v>
      </c>
      <c r="V81" s="39" t="str">
        <f>IFERROR(__xludf.DUMMYFUNCTION(" IF
( VLOOKUP($G81,IMPORTRANGE(""https://docs.google.com/spreadsheets/d/1Gpl6jkTg7sL4VDNimUm3S9Vi1i95esohXCF3wuKOE8c"", ""'CONSOLIDADO'!G5:AB""), 10, 0) &lt;&gt; 0, 
IFERROR(VLOOKUP($G81,IMPORTRANGE(""https://docs.google.com/spreadsheets/d/1Gpl6jkTg7sL4VDNimUm3"&amp;"S9Vi1i95esohXCF3wuKOE8c"", ""'CONSOLIDADO'!G5:AB""), 17, 0), ""-""),
""""
)"),"FICTORY")</f>
        <v>FICTORY</v>
      </c>
      <c r="W81" s="39" t="str">
        <f>IFERROR(__xludf.DUMMYFUNCTION(" IF
( VLOOKUP($G81,IMPORTRANGE(""https://docs.google.com/spreadsheets/d/1Gpl6jkTg7sL4VDNimUm3S9Vi1i95esohXCF3wuKOE8c"", ""'CONSOLIDADO'!G5:AB""), 10, 0) &lt;&gt; 0, 
IFERROR(VLOOKUP($G81,IMPORTRANGE(""https://docs.google.com/spreadsheets/d/1Gpl6jkTg7sL4VDNimUm3"&amp;"S9Vi1i95esohXCF3wuKOE8c"", ""'CONSOLIDADO'!G5:AB""), 18, 0), ""-""),
""""
)"),"B07XTDHGQD")</f>
        <v>B07XTDHGQD</v>
      </c>
      <c r="X81" s="39" t="b">
        <f t="shared" ref="X81:X82" si="9">IF(AND(T81=V81,W81=U81),TRUE,FALSE)</f>
        <v>1</v>
      </c>
      <c r="Y81" s="120" t="str">
        <f>IFERROR(__xludf.DUMMYFUNCTION(" IF
( VLOOKUP($G81,IMPORTRANGE(""https://docs.google.com/spreadsheets/d/1Gpl6jkTg7sL4VDNimUm3S9Vi1i95esohXCF3wuKOE8c"", ""'CONSOLIDADO'!G5:AB""), 10, 0) &lt;&gt; 0, 
IFERROR(VLOOKUP($G81,IMPORTRANGE(""https://docs.google.com/spreadsheets/d/1Gpl6jkTg7sL4VDNimUm3"&amp;"S9Vi1i95esohXCF3wuKOE8c"", ""'CONSOLIDADO'!G5:AB""), 19, 0), ""-""),
""""
)"),"https://www.amazon.es/perforaci%C3%B3n-Herramienta-localizaci%C3%B3n-posicionador-carpinter%C3%ADa/dp/B07XTDHGQD?ie=UTF8&amp;useRedirectOnSuccess=1&amp;ref_=dex_glow_signin&amp;path=%2Fperforaci%25C3%25B3n-Herramienta-localizaci%25C3%25B3n-posicionador-carpinter%25C3"&amp;"%25ADa%2Fdp%2FB07XTDHGQD")</f>
        <v>https://www.amazon.es/perforaci%C3%B3n-Herramienta-localizaci%C3%B3n-posicionador-carpinter%C3%ADa/dp/B07XTDHGQD?ie=UTF8&amp;useRedirectOnSuccess=1&amp;ref_=dex_glow_signin&amp;path=%2Fperforaci%25C3%25B3n-Herramienta-localizaci%25C3%25B3n-posicionador-carpinter%25C3%25ADa%2Fdp%2FB07XTDHGQD</v>
      </c>
      <c r="Z81" s="37" t="str">
        <f>IFERROR(__xludf.DUMMYFUNCTION("IFERROR(VLOOKUP(G81,IMPORTRANGE(""https://docs.google.com/spreadsheets/d/12RxCea4e5ggM7QGn1XE3FbLQa_-QbCNdBi90OdPjRqg"", ""'Plan de Compras'!D4:Q""), 12, 0), ""NO ESTÁ EN REQ"")"),"Técnica")</f>
        <v>Técnica</v>
      </c>
      <c r="AA81" s="37" t="str">
        <f>IFERROR(__xludf.DUMMYFUNCTION("IFERROR(VLOOKUP(G81,IMPORTRANGE(""https://docs.google.com/spreadsheets/d/12RxCea4e5ggM7QGn1XE3FbLQa_-QbCNdBi90OdPjRqg"", ""'Plan de Compras'!D4:Q""), 13, 0), """")"),"INTERNACIONAL")</f>
        <v>INTERNACIONAL</v>
      </c>
      <c r="AB81" s="32" t="str">
        <f>IFERROR(__xludf.DUMMYFUNCTION("IFERROR(VLOOKUP(G81,IMPORTRANGE(""https://docs.google.com/spreadsheets/d/12RxCea4e5ggM7QGn1XE3FbLQa_-QbCNdBi90OdPjRqg"", ""'Plan de Compras'!D4:Q""), 14, 0), """")"),"GIANFRANCO")</f>
        <v>GIANFRANCO</v>
      </c>
      <c r="AC81" s="72" t="str">
        <f>IFERROR(__xludf.DUMMYFUNCTION("IFERROR(VLOOKUP(G81,IMPORTRANGE(""https://docs.google.com/spreadsheets/d/12RxCea4e5ggM7QGn1XE3FbLQa_-QbCNdBi90OdPjRqg"", ""'Plan de Compras'!D4:Q""), 4, 0), """")"),"JUEGO DE GUIA PARA ESPIGAS O TARUGOS")</f>
        <v>JUEGO DE GUIA PARA ESPIGAS O TARUGOS</v>
      </c>
      <c r="AD81" s="37" t="str">
        <f>IFERROR(__xludf.DUMMYFUNCTION("IFERROR(IF(OR(C81=TRUE,C81=""""),VLOOKUP(G81,IMPORTRANGE(""https://docs.google.com/spreadsheets/d/1z9A1Wq-kKrhRNG5RS2a2fKpY1wIhSVz2ZNmP2mOl588/edit?usp=sharing"",""REQ VF!E4:H""),4,0),""NO APLICA""),""GENERAR REQ"")"),"GENERAR REQ")</f>
        <v>GENERAR REQ</v>
      </c>
      <c r="AE81" s="32" t="str">
        <f>IFERROR(__xludf.DUMMYFUNCTION("IFERROR(QUERY(IMPORTRANGE(""https://docs.google.com/spreadsheets/d/1z9A1Wq-kKrhRNG5RS2a2fKpY1wIhSVz2ZNmP2mOl588/edit?usp=sharing"",""REQ VF!E4:Q""),""SELECT Col10, Col11, Col12 WHERE Col1 = '""&amp;G81&amp;""'"",0),""NO APLICA"")"),"NO APLICA")</f>
        <v>NO APLICA</v>
      </c>
      <c r="AF81" s="32"/>
      <c r="AG81" s="32"/>
      <c r="AH81" s="13"/>
      <c r="AI81" s="13"/>
    </row>
    <row r="82">
      <c r="A82" s="117">
        <v>60.0</v>
      </c>
      <c r="B82" s="43" t="b">
        <v>1</v>
      </c>
      <c r="C82" s="26" t="b">
        <v>1</v>
      </c>
      <c r="D82" s="26" t="s">
        <v>35</v>
      </c>
      <c r="E82" s="26" t="s">
        <v>1510</v>
      </c>
      <c r="F82" s="59" t="s">
        <v>1762</v>
      </c>
      <c r="G82" s="37" t="s">
        <v>1762</v>
      </c>
      <c r="H82" s="82" t="s">
        <v>1763</v>
      </c>
      <c r="I82" s="43">
        <f>SUMIFS('Hoja 10'!$O:$O,'Hoja 10'!$F:$F,$G82)</f>
        <v>15</v>
      </c>
      <c r="J82" s="26">
        <f>IFERROR(__xludf.DUMMYFUNCTION("VLOOKUP(G82,IMPORTRANGE(""https://docs.google.com/spreadsheets/d/12RxCea4e5ggM7QGn1XE3FbLQa_-QbCNdBi90OdPjRqg/edit?gid=1692403370#gid=1692403370"", ""'Plan de Compras'!D4:2432""), 8,0)"),15.0)</f>
        <v>15</v>
      </c>
      <c r="K82" s="26" t="str">
        <f t="shared" si="1"/>
        <v>SI</v>
      </c>
      <c r="L82" s="29" t="s">
        <v>180</v>
      </c>
      <c r="M82" s="30" t="s">
        <v>181</v>
      </c>
      <c r="N82" s="32"/>
      <c r="O82" s="32" t="str">
        <f>VLOOKUP($G82,'Hoja 10'!$F$4:$AA1057, 19,0)</f>
        <v>TRUPER</v>
      </c>
      <c r="P82" s="32">
        <f>VLOOKUP($G82,'Hoja 10'!$F$4:$AA1057, 20,0)</f>
        <v>1000209793</v>
      </c>
      <c r="Q82" s="33" t="str">
        <f>VLOOKUP($G82,'Hoja 10'!$F$4:$AA1057, 21,0)</f>
        <v>https://www.promart.pe/guia-pasa-cable-de-nylon-10-mts-truper-17755-1000191264/p?gad_source=1&amp;gad_campaignid=22581639037&amp;gbraid=0AAAAADJIfAJXmU2RfdvXdCFef7WD8U-e-&amp;gclid=CjwKCAjwr8LHBhBKEiwAy47uUiZ_no5rteSXZ5KvKKmyesMfMVKx4EDfTvnTLwpV8_U28pMxk5tU5xoCgowQAvD_BwE</v>
      </c>
      <c r="R82" s="30" t="s">
        <v>1764</v>
      </c>
      <c r="S82" s="44" t="b">
        <v>1</v>
      </c>
      <c r="T82" s="39" t="str">
        <f>IFERROR(__xludf.DUMMYFUNCTION(" IF
( VLOOKUP($G82,IMPORTRANGE(""https://docs.google.com/spreadsheets/d/1Gpl6jkTg7sL4VDNimUm3S9Vi1i95esohXCF3wuKOE8c"", ""'CONSOLIDADO'!G5:AB""), 10, 0) &lt;&gt; 0, 
IFERROR(VLOOKUP($G82,IMPORTRANGE(""https://docs.google.com/spreadsheets/d/1Gpl6jkTg7sL4VDNimUm3"&amp;"S9Vi1i95esohXCF3wuKOE8c"", ""'CONSOLIDADO'!G5:AB""), 17, 0), ""-""),
""""
)"),"TRUPER")</f>
        <v>TRUPER</v>
      </c>
      <c r="U82" s="39" t="str">
        <f>IFERROR(__xludf.DUMMYFUNCTION(" IF
( VLOOKUP($G82,IMPORTRANGE(""https://docs.google.com/spreadsheets/d/1Gpl6jkTg7sL4VDNimUm3S9Vi1i95esohXCF3wuKOE8c"", ""'CONSOLIDADO'!G5:AB""), 10, 0) &lt;&gt; 0, 
IFERROR(VLOOKUP($G82,IMPORTRANGE(""https://docs.google.com/spreadsheets/d/1Gpl6jkTg7sL4VDNimUm3"&amp;"S9Vi1i95esohXCF3wuKOE8c"", ""'CONSOLIDADO'!G5:AB""), 18, 0), ""-""),
""""
)"),"GNY-10")</f>
        <v>GNY-10</v>
      </c>
      <c r="V82" s="39" t="str">
        <f>IFERROR(__xludf.DUMMYFUNCTION(" IF
( VLOOKUP($G82,IMPORTRANGE(""https://docs.google.com/spreadsheets/d/1Gpl6jkTg7sL4VDNimUm3S9Vi1i95esohXCF3wuKOE8c"", ""'CONSOLIDADO'!G5:AB""), 10, 0) &lt;&gt; 0, 
IFERROR(VLOOKUP($G82,IMPORTRANGE(""https://docs.google.com/spreadsheets/d/1Gpl6jkTg7sL4VDNimUm3"&amp;"S9Vi1i95esohXCF3wuKOE8c"", ""'CONSOLIDADO'!G5:AB""), 17, 0), ""-""),
""""
)"),"TRUPER")</f>
        <v>TRUPER</v>
      </c>
      <c r="W82" s="39" t="str">
        <f>IFERROR(__xludf.DUMMYFUNCTION(" IF
( VLOOKUP($G82,IMPORTRANGE(""https://docs.google.com/spreadsheets/d/1Gpl6jkTg7sL4VDNimUm3S9Vi1i95esohXCF3wuKOE8c"", ""'CONSOLIDADO'!G5:AB""), 10, 0) &lt;&gt; 0, 
IFERROR(VLOOKUP($G82,IMPORTRANGE(""https://docs.google.com/spreadsheets/d/1Gpl6jkTg7sL4VDNimUm3"&amp;"S9Vi1i95esohXCF3wuKOE8c"", ""'CONSOLIDADO'!G5:AB""), 18, 0), ""-""),
""""
)"),"GNY-10")</f>
        <v>GNY-10</v>
      </c>
      <c r="X82" s="39" t="b">
        <f t="shared" si="9"/>
        <v>1</v>
      </c>
      <c r="Y82" s="120" t="str">
        <f>IFERROR(__xludf.DUMMYFUNCTION(" IF
( VLOOKUP($G82,IMPORTRANGE(""https://docs.google.com/spreadsheets/d/1Gpl6jkTg7sL4VDNimUm3S9Vi1i95esohXCF3wuKOE8c"", ""'CONSOLIDADO'!G5:AB""), 10, 0) &lt;&gt; 0, 
IFERROR(VLOOKUP($G82,IMPORTRANGE(""https://docs.google.com/spreadsheets/d/1Gpl6jkTg7sL4VDNimUm3"&amp;"S9Vi1i95esohXCF3wuKOE8c"", ""'CONSOLIDADO'!G5:AB""), 19, 0), ""-""),
""""
)"),"Guía Pasa Cable De Nylón 10 Mts Truper 17755 | Promart.pe - Promart")</f>
        <v>Guía Pasa Cable De Nylón 10 Mts Truper 17755 | Promart.pe - Promart</v>
      </c>
      <c r="Z82" s="37" t="str">
        <f>IFERROR(__xludf.DUMMYFUNCTION("IFERROR(VLOOKUP(G82,IMPORTRANGE(""https://docs.google.com/spreadsheets/d/12RxCea4e5ggM7QGn1XE3FbLQa_-QbCNdBi90OdPjRqg"", ""'Plan de Compras'!D4:Q""), 12, 0), ""NO ESTÁ EN REQ"")"),"Simple")</f>
        <v>Simple</v>
      </c>
      <c r="AA82" s="37" t="str">
        <f>IFERROR(__xludf.DUMMYFUNCTION("IFERROR(VLOOKUP(G82,IMPORTRANGE(""https://docs.google.com/spreadsheets/d/12RxCea4e5ggM7QGn1XE3FbLQa_-QbCNdBi90OdPjRqg"", ""'Plan de Compras'!D4:Q""), 13, 0), """")"),"NACIONAL")</f>
        <v>NACIONAL</v>
      </c>
      <c r="AB82" s="32" t="str">
        <f>IFERROR(__xludf.DUMMYFUNCTION("IFERROR(VLOOKUP(G82,IMPORTRANGE(""https://docs.google.com/spreadsheets/d/12RxCea4e5ggM7QGn1XE3FbLQa_-QbCNdBi90OdPjRqg"", ""'Plan de Compras'!D4:Q""), 14, 0), """")"),"GEANFRANCO")</f>
        <v>GEANFRANCO</v>
      </c>
      <c r="AC82" s="72" t="str">
        <f>IFERROR(__xludf.DUMMYFUNCTION("IFERROR(VLOOKUP(G82,IMPORTRANGE(""https://docs.google.com/spreadsheets/d/12RxCea4e5ggM7QGn1XE3FbLQa_-QbCNdBi90OdPjRqg"", ""'Plan de Compras'!D4:Q""), 4, 0), """")"),"GUÍA PASACABLES")</f>
        <v>GUÍA PASACABLES</v>
      </c>
      <c r="AD82" s="37" t="str">
        <f>IFERROR(__xludf.DUMMYFUNCTION("IFERROR(IF(OR(C82=TRUE,C82=""""),VLOOKUP(G82,IMPORTRANGE(""https://docs.google.com/spreadsheets/d/1z9A1Wq-kKrhRNG5RS2a2fKpY1wIhSVz2ZNmP2mOl588/edit?usp=sharing"",""REQ VF!E4:H""),4,0),""NO APLICA""),""GENERAR REQ"")"),"GENERAR REQ")</f>
        <v>GENERAR REQ</v>
      </c>
      <c r="AE82" s="32" t="str">
        <f>IFERROR(__xludf.DUMMYFUNCTION("IFERROR(QUERY(IMPORTRANGE(""https://docs.google.com/spreadsheets/d/1z9A1Wq-kKrhRNG5RS2a2fKpY1wIhSVz2ZNmP2mOl588/edit?usp=sharing"",""REQ VF!E4:Q""),""SELECT Col10, Col11, Col12 WHERE Col1 = '""&amp;G82&amp;""'"",0),""NO APLICA"")"),"NO APLICA")</f>
        <v>NO APLICA</v>
      </c>
      <c r="AF82" s="32"/>
      <c r="AG82" s="32"/>
      <c r="AH82" s="13"/>
      <c r="AI82" s="13"/>
    </row>
    <row r="83" ht="24.75" customHeight="1">
      <c r="A83" s="43"/>
      <c r="B83" s="43"/>
      <c r="C83" s="26" t="b">
        <v>1</v>
      </c>
      <c r="D83" s="26" t="s">
        <v>42</v>
      </c>
      <c r="E83" s="26" t="s">
        <v>1510</v>
      </c>
      <c r="F83" s="59" t="s">
        <v>1762</v>
      </c>
      <c r="G83" s="39" t="s">
        <v>1765</v>
      </c>
      <c r="H83" s="66" t="s">
        <v>1766</v>
      </c>
      <c r="I83" s="43">
        <v>15.0</v>
      </c>
      <c r="J83" s="26">
        <f>IFERROR(__xludf.DUMMYFUNCTION("VLOOKUP(G83,IMPORTRANGE(""https://docs.google.com/spreadsheets/d/12RxCea4e5ggM7QGn1XE3FbLQa_-QbCNdBi90OdPjRqg/edit?gid=1692403370#gid=1692403370"", ""'Plan de Compras'!D4:2432""), 8,0)"),15.0)</f>
        <v>15</v>
      </c>
      <c r="K83" s="26" t="str">
        <f t="shared" si="1"/>
        <v>SI</v>
      </c>
      <c r="L83" s="26"/>
      <c r="M83" s="32"/>
      <c r="N83" s="32" t="s">
        <v>166</v>
      </c>
      <c r="O83" s="32"/>
      <c r="P83" s="32"/>
      <c r="Q83" s="33" t="s">
        <v>1655</v>
      </c>
      <c r="R83" s="32"/>
      <c r="S83" s="34" t="b">
        <v>1</v>
      </c>
      <c r="T83" s="39" t="s">
        <v>55</v>
      </c>
      <c r="U83" s="43" t="s">
        <v>1767</v>
      </c>
      <c r="V83" s="39"/>
      <c r="W83" s="39"/>
      <c r="X83" s="39"/>
      <c r="Y83" s="124"/>
      <c r="Z83" s="37" t="str">
        <f>IFERROR(__xludf.DUMMYFUNCTION("IFERROR(VLOOKUP(G83,IMPORTRANGE(""https://docs.google.com/spreadsheets/d/12RxCea4e5ggM7QGn1XE3FbLQa_-QbCNdBi90OdPjRqg"", ""'Plan de Compras'!D4:Q""), 12, 0), ""NO ESTÁ EN REQ"")"),"Simple")</f>
        <v>Simple</v>
      </c>
      <c r="AA83" s="37" t="str">
        <f>IFERROR(__xludf.DUMMYFUNCTION("IFERROR(VLOOKUP(G83,IMPORTRANGE(""https://docs.google.com/spreadsheets/d/12RxCea4e5ggM7QGn1XE3FbLQa_-QbCNdBi90OdPjRqg"", ""'Plan de Compras'!D4:Q""), 13, 0), """")"),"NACIONAL")</f>
        <v>NACIONAL</v>
      </c>
      <c r="AB83" s="32" t="str">
        <f>IFERROR(__xludf.DUMMYFUNCTION("IFERROR(VLOOKUP(G83,IMPORTRANGE(""https://docs.google.com/spreadsheets/d/12RxCea4e5ggM7QGn1XE3FbLQa_-QbCNdBi90OdPjRqg"", ""'Plan de Compras'!D4:Q""), 14, 0), """")"),"ANGIE")</f>
        <v>ANGIE</v>
      </c>
      <c r="AC83" s="72" t="str">
        <f>IFERROR(__xludf.DUMMYFUNCTION("IFERROR(VLOOKUP(G83,IMPORTRANGE(""https://docs.google.com/spreadsheets/d/12RxCea4e5ggM7QGn1XE3FbLQa_-QbCNdBi90OdPjRqg"", ""'Plan de Compras'!D4:Q""), 4, 0), """")"),"ESTUCHE PARA EL GUARDADO (1 UND)")</f>
        <v>ESTUCHE PARA EL GUARDADO (1 UND)</v>
      </c>
      <c r="AD83" s="37" t="str">
        <f>IFERROR(__xludf.DUMMYFUNCTION("IFERROR(IF(OR(C83=TRUE,C83=""""),VLOOKUP(G83,IMPORTRANGE(""https://docs.google.com/spreadsheets/d/1z9A1Wq-kKrhRNG5RS2a2fKpY1wIhSVz2ZNmP2mOl588/edit?usp=sharing"",""REQ VF!E4:H""),4,0),""NO APLICA""),""GENERAR REQ"")"),"GENERAR REQ")</f>
        <v>GENERAR REQ</v>
      </c>
      <c r="AE83" s="32" t="str">
        <f>IFERROR(__xludf.DUMMYFUNCTION("IFERROR(QUERY(IMPORTRANGE(""https://docs.google.com/spreadsheets/d/1z9A1Wq-kKrhRNG5RS2a2fKpY1wIhSVz2ZNmP2mOl588/edit?usp=sharing"",""REQ VF!E4:Q""),""SELECT Col10, Col11, Col12 WHERE Col1 = '""&amp;G83&amp;""'"",0),""NO APLICA"")"),"NO APLICA")</f>
        <v>NO APLICA</v>
      </c>
      <c r="AF83" s="32"/>
      <c r="AG83" s="32"/>
      <c r="AH83" s="13"/>
      <c r="AI83" s="13"/>
    </row>
    <row r="84">
      <c r="A84" s="117">
        <v>61.0</v>
      </c>
      <c r="B84" s="43" t="b">
        <v>1</v>
      </c>
      <c r="C84" s="26" t="b">
        <v>1</v>
      </c>
      <c r="D84" s="26" t="s">
        <v>35</v>
      </c>
      <c r="E84" s="26" t="s">
        <v>1510</v>
      </c>
      <c r="F84" s="59" t="s">
        <v>1768</v>
      </c>
      <c r="G84" s="37" t="s">
        <v>1768</v>
      </c>
      <c r="H84" s="82" t="s">
        <v>1769</v>
      </c>
      <c r="I84" s="43">
        <f>SUMIFS('Hoja 10'!$O:$O,'Hoja 10'!$F:$F,$G84)</f>
        <v>4</v>
      </c>
      <c r="J84" s="26">
        <f>IFERROR(__xludf.DUMMYFUNCTION("VLOOKUP(G84,IMPORTRANGE(""https://docs.google.com/spreadsheets/d/12RxCea4e5ggM7QGn1XE3FbLQa_-QbCNdBi90OdPjRqg/edit?gid=1692403370#gid=1692403370"", ""'Plan de Compras'!D4:2432""), 8,0)"),4.0)</f>
        <v>4</v>
      </c>
      <c r="K84" s="26" t="str">
        <f t="shared" si="1"/>
        <v>SI</v>
      </c>
      <c r="L84" s="29" t="s">
        <v>77</v>
      </c>
      <c r="M84" s="30" t="s">
        <v>78</v>
      </c>
      <c r="N84" s="32"/>
      <c r="O84" s="32" t="str">
        <f>VLOOKUP($G84,'Hoja 10'!$F$4:$AA1057, 19,0)</f>
        <v>Fdit</v>
      </c>
      <c r="P84" s="32" t="str">
        <f>VLOOKUP($G84,'Hoja 10'!$F$4:$AA1057, 20,0)</f>
        <v>Juego de boquillas de esfera de acero inoxidable</v>
      </c>
      <c r="Q84" s="33" t="str">
        <f>VLOOKUP($G84,'Hoja 10'!$F$4:$AA1057, 21,0)</f>
        <v>https://www.amazon.com/-/es/boquillas-inoxidable-suministros-decoraci%C3%B3n-herramienta/dp/B07NBXVYP1</v>
      </c>
      <c r="R84" s="30" t="s">
        <v>1770</v>
      </c>
      <c r="S84" s="44" t="b">
        <v>1</v>
      </c>
      <c r="T84" s="39" t="str">
        <f>IFERROR(__xludf.DUMMYFUNCTION(" IF
( VLOOKUP($G84,IMPORTRANGE(""https://docs.google.com/spreadsheets/d/1Gpl6jkTg7sL4VDNimUm3S9Vi1i95esohXCF3wuKOE8c"", ""'CONSOLIDADO'!G5:AB""), 10, 0) &lt;&gt; 0, 
IFERROR(VLOOKUP($G84,IMPORTRANGE(""https://docs.google.com/spreadsheets/d/1Gpl6jkTg7sL4VDNimUm3"&amp;"S9Vi1i95esohXCF3wuKOE8c"", ""'CONSOLIDADO'!G5:AB""), 17, 0), ""-""),
""""
)"),"GENÉRICO")</f>
        <v>GENÉRICO</v>
      </c>
      <c r="U84" s="39" t="str">
        <f>IFERROR(__xludf.DUMMYFUNCTION(" IF
( VLOOKUP($G84,IMPORTRANGE(""https://docs.google.com/spreadsheets/d/1Gpl6jkTg7sL4VDNimUm3S9Vi1i95esohXCF3wuKOE8c"", ""'CONSOLIDADO'!G5:AB""), 10, 0) &lt;&gt; 0, 
IFERROR(VLOOKUP($G84,IMPORTRANGE(""https://docs.google.com/spreadsheets/d/1Gpl6jkTg7sL4VDNimUm3"&amp;"S9Vi1i95esohXCF3wuKOE8c"", ""'CONSOLIDADO'!G5:AB""), 18, 0), ""-""),
""""
)"),"YG-13")</f>
        <v>YG-13</v>
      </c>
      <c r="V84" s="39" t="str">
        <f>IFERROR(__xludf.DUMMYFUNCTION(" IF
( VLOOKUP($G84,IMPORTRANGE(""https://docs.google.com/spreadsheets/d/1Gpl6jkTg7sL4VDNimUm3S9Vi1i95esohXCF3wuKOE8c"", ""'CONSOLIDADO'!G5:AB""), 10, 0) &lt;&gt; 0, 
IFERROR(VLOOKUP($G84,IMPORTRANGE(""https://docs.google.com/spreadsheets/d/1Gpl6jkTg7sL4VDNimUm3"&amp;"S9Vi1i95esohXCF3wuKOE8c"", ""'CONSOLIDADO'!G5:AB""), 17, 0), ""-""),
""""
)"),"GENÉRICO")</f>
        <v>GENÉRICO</v>
      </c>
      <c r="W84" s="39" t="str">
        <f>IFERROR(__xludf.DUMMYFUNCTION(" IF
( VLOOKUP($G84,IMPORTRANGE(""https://docs.google.com/spreadsheets/d/1Gpl6jkTg7sL4VDNimUm3S9Vi1i95esohXCF3wuKOE8c"", ""'CONSOLIDADO'!G5:AB""), 10, 0) &lt;&gt; 0, 
IFERROR(VLOOKUP($G84,IMPORTRANGE(""https://docs.google.com/spreadsheets/d/1Gpl6jkTg7sL4VDNimUm3"&amp;"S9Vi1i95esohXCF3wuKOE8c"", ""'CONSOLIDADO'!G5:AB""), 18, 0), ""-""),
""""
)"),"YG-13")</f>
        <v>YG-13</v>
      </c>
      <c r="X84" s="39" t="b">
        <f t="shared" ref="X84:X88" si="10">IF(AND(T84=V84,W84=U84),TRUE,FALSE)</f>
        <v>1</v>
      </c>
      <c r="Y84" s="110" t="str">
        <f>IFERROR(__xludf.DUMMYFUNCTION(" IF
( VLOOKUP($G84,IMPORTRANGE(""https://docs.google.com/spreadsheets/d/1Gpl6jkTg7sL4VDNimUm3S9Vi1i95esohXCF3wuKOE8c"", ""'CONSOLIDADO'!G5:AB""), 10, 0) &lt;&gt; 0, 
IFERROR(VLOOKUP($G84,IMPORTRANGE(""https://docs.google.com/spreadsheets/d/1Gpl6jkTg7sL4VDNimUm3"&amp;"S9Vi1i95esohXCF3wuKOE8c"", ""'CONSOLIDADO'!G5:AB""), 19, 0), ""-""),
""""
)"),"-")</f>
        <v>-</v>
      </c>
      <c r="Z84" s="37" t="str">
        <f>IFERROR(__xludf.DUMMYFUNCTION("IFERROR(VLOOKUP(G84,IMPORTRANGE(""https://docs.google.com/spreadsheets/d/12RxCea4e5ggM7QGn1XE3FbLQa_-QbCNdBi90OdPjRqg"", ""'Plan de Compras'!D4:Q""), 12, 0), ""NO ESTÁ EN REQ"")"),"Técnica")</f>
        <v>Técnica</v>
      </c>
      <c r="AA84" s="37" t="str">
        <f>IFERROR(__xludf.DUMMYFUNCTION("IFERROR(VLOOKUP(G84,IMPORTRANGE(""https://docs.google.com/spreadsheets/d/12RxCea4e5ggM7QGn1XE3FbLQa_-QbCNdBi90OdPjRqg"", ""'Plan de Compras'!D4:Q""), 13, 0), """")"),"NACIONAL")</f>
        <v>NACIONAL</v>
      </c>
      <c r="AB84" s="32" t="str">
        <f>IFERROR(__xludf.DUMMYFUNCTION("IFERROR(VLOOKUP(G84,IMPORTRANGE(""https://docs.google.com/spreadsheets/d/12RxCea4e5ggM7QGn1XE3FbLQa_-QbCNdBi90OdPjRqg"", ""'Plan de Compras'!D4:Q""), 14, 0), """")"),"ANGIE")</f>
        <v>ANGIE</v>
      </c>
      <c r="AC84" s="72" t="str">
        <f>IFERROR(__xludf.DUMMYFUNCTION("IFERROR(VLOOKUP(G84,IMPORTRANGE(""https://docs.google.com/spreadsheets/d/12RxCea4e5ggM7QGn1XE3FbLQa_-QbCNdBi90OdPjRqg"", ""'Plan de Compras'!D4:Q""), 4, 0), """")"),"JUEGO DE BOQUILLAS DECORATIVAS")</f>
        <v>JUEGO DE BOQUILLAS DECORATIVAS</v>
      </c>
      <c r="AD84" s="37" t="str">
        <f>IFERROR(__xludf.DUMMYFUNCTION("IFERROR(IF(OR(C84=TRUE,C84=""""),VLOOKUP(G84,IMPORTRANGE(""https://docs.google.com/spreadsheets/d/1z9A1Wq-kKrhRNG5RS2a2fKpY1wIhSVz2ZNmP2mOl588/edit?usp=sharing"",""REQ VF!E4:H""),4,0),""NO APLICA""),""GENERAR REQ"")"),"GENERAR REQ")</f>
        <v>GENERAR REQ</v>
      </c>
      <c r="AE84" s="32" t="str">
        <f>IFERROR(__xludf.DUMMYFUNCTION("IFERROR(QUERY(IMPORTRANGE(""https://docs.google.com/spreadsheets/d/1z9A1Wq-kKrhRNG5RS2a2fKpY1wIhSVz2ZNmP2mOl588/edit?usp=sharing"",""REQ VF!E4:Q""),""SELECT Col10, Col11, Col12 WHERE Col1 = '""&amp;G84&amp;""'"",0),""NO APLICA"")"),"NO APLICA")</f>
        <v>NO APLICA</v>
      </c>
      <c r="AF84" s="32"/>
      <c r="AG84" s="32"/>
      <c r="AH84" s="13"/>
      <c r="AI84" s="13"/>
    </row>
    <row r="85">
      <c r="A85" s="121">
        <v>62.0</v>
      </c>
      <c r="B85" s="43" t="b">
        <v>1</v>
      </c>
      <c r="C85" s="26" t="b">
        <v>1</v>
      </c>
      <c r="D85" s="26" t="s">
        <v>35</v>
      </c>
      <c r="E85" s="26" t="s">
        <v>1510</v>
      </c>
      <c r="F85" s="59" t="s">
        <v>1771</v>
      </c>
      <c r="G85" s="37" t="s">
        <v>1771</v>
      </c>
      <c r="H85" s="82" t="s">
        <v>1772</v>
      </c>
      <c r="I85" s="43">
        <f>SUMIFS('Hoja 10'!$O:$O,'Hoja 10'!$F:$F,$G85)</f>
        <v>3</v>
      </c>
      <c r="J85" s="26">
        <f>IFERROR(__xludf.DUMMYFUNCTION("VLOOKUP(G85,IMPORTRANGE(""https://docs.google.com/spreadsheets/d/12RxCea4e5ggM7QGn1XE3FbLQa_-QbCNdBi90OdPjRqg/edit?gid=1692403370#gid=1692403370"", ""'Plan de Compras'!D4:2432""), 8,0)"),3.0)</f>
        <v>3</v>
      </c>
      <c r="K85" s="26" t="str">
        <f t="shared" si="1"/>
        <v>SI</v>
      </c>
      <c r="L85" s="29" t="s">
        <v>127</v>
      </c>
      <c r="M85" s="30" t="s">
        <v>105</v>
      </c>
      <c r="N85" s="32"/>
      <c r="O85" s="32" t="str">
        <f>VLOOKUP($G85,'Hoja 10'!$F$4:$AA1057, 19,0)</f>
        <v>TRUPER </v>
      </c>
      <c r="P85" s="32" t="str">
        <f>VLOOKUP($G85,'Hoja 10'!$F$4:$AA1057, 20,0)</f>
        <v>EXPERT 50004</v>
      </c>
      <c r="Q85" s="33" t="str">
        <f>VLOOKUP($G85,'Hoja 10'!$F$4:$AA1057, 21,0)</f>
        <v>https://cahema.pe/brocas/17064-set-de-29-brocas-hss-split-point-truper-50004.html</v>
      </c>
      <c r="R85" s="30" t="s">
        <v>1773</v>
      </c>
      <c r="S85" s="44" t="b">
        <v>1</v>
      </c>
      <c r="T85" s="39" t="str">
        <f>IFERROR(__xludf.DUMMYFUNCTION(" IF
( VLOOKUP($G85,IMPORTRANGE(""https://docs.google.com/spreadsheets/d/1Gpl6jkTg7sL4VDNimUm3S9Vi1i95esohXCF3wuKOE8c"", ""'CONSOLIDADO'!G5:AB""), 10, 0) &lt;&gt; 0, 
IFERROR(VLOOKUP($G85,IMPORTRANGE(""https://docs.google.com/spreadsheets/d/1Gpl6jkTg7sL4VDNimUm3"&amp;"S9Vi1i95esohXCF3wuKOE8c"", ""'CONSOLIDADO'!G5:AB""), 17, 0), ""-""),
""""
)"),"TRUPER")</f>
        <v>TRUPER</v>
      </c>
      <c r="U85" s="39" t="str">
        <f>IFERROR(__xludf.DUMMYFUNCTION(" IF
( VLOOKUP($G85,IMPORTRANGE(""https://docs.google.com/spreadsheets/d/1Gpl6jkTg7sL4VDNimUm3S9Vi1i95esohXCF3wuKOE8c"", ""'CONSOLIDADO'!G5:AB""), 10, 0) &lt;&gt; 0, 
IFERROR(VLOOKUP($G85,IMPORTRANGE(""https://docs.google.com/spreadsheets/d/1Gpl6jkTg7sL4VDNimUm3"&amp;"S9Vi1i95esohXCF3wuKOE8c"", ""'CONSOLIDADO'!G5:AB""), 18, 0), ""-""),
""""
)"),"EXPERT 50004")</f>
        <v>EXPERT 50004</v>
      </c>
      <c r="V85" s="39" t="str">
        <f>IFERROR(__xludf.DUMMYFUNCTION(" IF
( VLOOKUP($G85,IMPORTRANGE(""https://docs.google.com/spreadsheets/d/1Gpl6jkTg7sL4VDNimUm3S9Vi1i95esohXCF3wuKOE8c"", ""'CONSOLIDADO'!G5:AB""), 10, 0) &lt;&gt; 0, 
IFERROR(VLOOKUP($G85,IMPORTRANGE(""https://docs.google.com/spreadsheets/d/1Gpl6jkTg7sL4VDNimUm3"&amp;"S9Vi1i95esohXCF3wuKOE8c"", ""'CONSOLIDADO'!G5:AB""), 17, 0), ""-""),
""""
)"),"TRUPER")</f>
        <v>TRUPER</v>
      </c>
      <c r="W85" s="39" t="str">
        <f>IFERROR(__xludf.DUMMYFUNCTION(" IF
( VLOOKUP($G85,IMPORTRANGE(""https://docs.google.com/spreadsheets/d/1Gpl6jkTg7sL4VDNimUm3S9Vi1i95esohXCF3wuKOE8c"", ""'CONSOLIDADO'!G5:AB""), 10, 0) &lt;&gt; 0, 
IFERROR(VLOOKUP($G85,IMPORTRANGE(""https://docs.google.com/spreadsheets/d/1Gpl6jkTg7sL4VDNimUm3"&amp;"S9Vi1i95esohXCF3wuKOE8c"", ""'CONSOLIDADO'!G5:AB""), 18, 0), ""-""),
""""
)"),"EXPERT 50004")</f>
        <v>EXPERT 50004</v>
      </c>
      <c r="X85" s="39" t="b">
        <f t="shared" si="10"/>
        <v>1</v>
      </c>
      <c r="Y85" s="120" t="str">
        <f>IFERROR(__xludf.DUMMYFUNCTION(" IF
( VLOOKUP($G85,IMPORTRANGE(""https://docs.google.com/spreadsheets/d/1Gpl6jkTg7sL4VDNimUm3S9Vi1i95esohXCF3wuKOE8c"", ""'CONSOLIDADO'!G5:AB""), 10, 0) &lt;&gt; 0, 
IFERROR(VLOOKUP($G85,IMPORTRANGE(""https://docs.google.com/spreadsheets/d/1Gpl6jkTg7sL4VDNimUm3"&amp;"S9Vi1i95esohXCF3wuKOE8c"", ""'CONSOLIDADO'!G5:AB""), 19, 0), ""-""),
""""
)"),"https://drive.google.com/file/d/12PVAVdDlw42qXgrqS_LPy-TIVNZKCSZ2/view?usp=sharing")</f>
        <v>https://drive.google.com/file/d/12PVAVdDlw42qXgrqS_LPy-TIVNZKCSZ2/view?usp=sharing</v>
      </c>
      <c r="Z85" s="37" t="str">
        <f>IFERROR(__xludf.DUMMYFUNCTION("IFERROR(VLOOKUP(G85,IMPORTRANGE(""https://docs.google.com/spreadsheets/d/12RxCea4e5ggM7QGn1XE3FbLQa_-QbCNdBi90OdPjRqg"", ""'Plan de Compras'!D4:Q""), 12, 0), ""NO ESTÁ EN REQ"")"),"Simple")</f>
        <v>Simple</v>
      </c>
      <c r="AA85" s="37" t="str">
        <f>IFERROR(__xludf.DUMMYFUNCTION("IFERROR(VLOOKUP(G85,IMPORTRANGE(""https://docs.google.com/spreadsheets/d/12RxCea4e5ggM7QGn1XE3FbLQa_-QbCNdBi90OdPjRqg"", ""'Plan de Compras'!D4:Q""), 13, 0), """")"),"NACIONAL")</f>
        <v>NACIONAL</v>
      </c>
      <c r="AB85" s="32" t="str">
        <f>IFERROR(__xludf.DUMMYFUNCTION("IFERROR(VLOOKUP(G85,IMPORTRANGE(""https://docs.google.com/spreadsheets/d/12RxCea4e5ggM7QGn1XE3FbLQa_-QbCNdBi90OdPjRqg"", ""'Plan de Compras'!D4:Q""), 14, 0), """")"),"ANGIE")</f>
        <v>ANGIE</v>
      </c>
      <c r="AC85" s="72" t="str">
        <f>IFERROR(__xludf.DUMMYFUNCTION("IFERROR(VLOOKUP(G85,IMPORTRANGE(""https://docs.google.com/spreadsheets/d/12RxCea4e5ggM7QGn1XE3FbLQa_-QbCNdBi90OdPjRqg"", ""'Plan de Compras'!D4:Q""), 4, 0), """")"),"JUEGO DE BROCAS")</f>
        <v>JUEGO DE BROCAS</v>
      </c>
      <c r="AD85" s="37" t="str">
        <f>IFERROR(__xludf.DUMMYFUNCTION("IFERROR(IF(OR(C85=TRUE,C85=""""),VLOOKUP(G85,IMPORTRANGE(""https://docs.google.com/spreadsheets/d/1z9A1Wq-kKrhRNG5RS2a2fKpY1wIhSVz2ZNmP2mOl588/edit?usp=sharing"",""REQ VF!E4:H""),4,0),""NO APLICA""),""GENERAR REQ"")"),"GENERAR REQ")</f>
        <v>GENERAR REQ</v>
      </c>
      <c r="AE85" s="32" t="str">
        <f>IFERROR(__xludf.DUMMYFUNCTION("IFERROR(QUERY(IMPORTRANGE(""https://docs.google.com/spreadsheets/d/1z9A1Wq-kKrhRNG5RS2a2fKpY1wIhSVz2ZNmP2mOl588/edit?usp=sharing"",""REQ VF!E4:Q""),""SELECT Col10, Col11, Col12 WHERE Col1 = '""&amp;G85&amp;""'"",0),""NO APLICA"")"),"NO APLICA")</f>
        <v>NO APLICA</v>
      </c>
      <c r="AF85" s="32"/>
      <c r="AG85" s="32"/>
      <c r="AH85" s="8" t="s">
        <v>52</v>
      </c>
      <c r="AI85" s="8"/>
    </row>
    <row r="86">
      <c r="A86" s="121">
        <v>63.0</v>
      </c>
      <c r="B86" s="43" t="b">
        <v>1</v>
      </c>
      <c r="C86" s="26" t="b">
        <v>1</v>
      </c>
      <c r="D86" s="26" t="s">
        <v>35</v>
      </c>
      <c r="E86" s="26" t="s">
        <v>1510</v>
      </c>
      <c r="F86" s="59" t="s">
        <v>1774</v>
      </c>
      <c r="G86" s="37" t="s">
        <v>1774</v>
      </c>
      <c r="H86" s="82" t="s">
        <v>1775</v>
      </c>
      <c r="I86" s="43">
        <f>SUMIFS('Hoja 10'!$O:$O,'Hoja 10'!$F:$F,$G86)</f>
        <v>8</v>
      </c>
      <c r="J86" s="26">
        <f>IFERROR(__xludf.DUMMYFUNCTION("VLOOKUP(G86,IMPORTRANGE(""https://docs.google.com/spreadsheets/d/12RxCea4e5ggM7QGn1XE3FbLQa_-QbCNdBi90OdPjRqg/edit?gid=1692403370#gid=1692403370"", ""'Plan de Compras'!D4:2432""), 8,0)"),8.0)</f>
        <v>8</v>
      </c>
      <c r="K86" s="26" t="str">
        <f t="shared" si="1"/>
        <v>SI</v>
      </c>
      <c r="L86" s="29" t="s">
        <v>296</v>
      </c>
      <c r="M86" s="30" t="s">
        <v>297</v>
      </c>
      <c r="N86" s="32"/>
      <c r="O86" s="32" t="str">
        <f>VLOOKUP($G86,'Hoja 10'!$F$4:$AA1057, 19,0)</f>
        <v>  Stalwart</v>
      </c>
      <c r="P86" s="32" t="str">
        <f>VLOOKUP($G86,'Hoja 10'!$F$4:$AA1057, 20,0)</f>
        <v>Ref:00191344520733</v>
      </c>
      <c r="Q86" s="33" t="str">
        <f>VLOOKUP($G86,'Hoja 10'!$F$4:$AA1057, 21,0)</f>
        <v>https://www.wayfair.com/storage-organization/pdp/stalwart-hole-saw-set-16-piece-kit-with-12-saws-5-inch-hex-key-wrench-drive-plate-and-storage-case-tcwj1151.html</v>
      </c>
      <c r="R86" s="30" t="s">
        <v>1776</v>
      </c>
      <c r="S86" s="44" t="b">
        <v>1</v>
      </c>
      <c r="T86" s="39" t="str">
        <f>IFERROR(__xludf.DUMMYFUNCTION(" IF
( VLOOKUP($G86,IMPORTRANGE(""https://docs.google.com/spreadsheets/d/1Gpl6jkTg7sL4VDNimUm3S9Vi1i95esohXCF3wuKOE8c"", ""'CONSOLIDADO'!G5:AB""), 10, 0) &lt;&gt; 0, 
IFERROR(VLOOKUP($G86,IMPORTRANGE(""https://docs.google.com/spreadsheets/d/1Gpl6jkTg7sL4VDNimUm3"&amp;"S9Vi1i95esohXCF3wuKOE8c"", ""'CONSOLIDADO'!G5:AB""), 17, 0), ""-""),
""""
)"),"Stalwart")</f>
        <v>Stalwart</v>
      </c>
      <c r="U86" s="39">
        <f>IFERROR(__xludf.DUMMYFUNCTION(" IF
( VLOOKUP($G86,IMPORTRANGE(""https://docs.google.com/spreadsheets/d/1Gpl6jkTg7sL4VDNimUm3S9Vi1i95esohXCF3wuKOE8c"", ""'CONSOLIDADO'!G5:AB""), 10, 0) &lt;&gt; 0, 
IFERROR(VLOOKUP($G86,IMPORTRANGE(""https://docs.google.com/spreadsheets/d/1Gpl6jkTg7sL4VDNimUm3"&amp;"S9Vi1i95esohXCF3wuKOE8c"", ""'CONSOLIDADO'!G5:AB""), 18, 0), ""-""),
""""
)"),1.91344520733E11)</f>
        <v>191344520733</v>
      </c>
      <c r="V86" s="39" t="str">
        <f>IFERROR(__xludf.DUMMYFUNCTION(" IF
( VLOOKUP($G86,IMPORTRANGE(""https://docs.google.com/spreadsheets/d/1Gpl6jkTg7sL4VDNimUm3S9Vi1i95esohXCF3wuKOE8c"", ""'CONSOLIDADO'!G5:AB""), 10, 0) &lt;&gt; 0, 
IFERROR(VLOOKUP($G86,IMPORTRANGE(""https://docs.google.com/spreadsheets/d/1Gpl6jkTg7sL4VDNimUm3"&amp;"S9Vi1i95esohXCF3wuKOE8c"", ""'CONSOLIDADO'!G5:AB""), 17, 0), ""-""),
""""
)"),"Stalwart")</f>
        <v>Stalwart</v>
      </c>
      <c r="W86" s="39">
        <f>IFERROR(__xludf.DUMMYFUNCTION(" IF
( VLOOKUP($G86,IMPORTRANGE(""https://docs.google.com/spreadsheets/d/1Gpl6jkTg7sL4VDNimUm3S9Vi1i95esohXCF3wuKOE8c"", ""'CONSOLIDADO'!G5:AB""), 10, 0) &lt;&gt; 0, 
IFERROR(VLOOKUP($G86,IMPORTRANGE(""https://docs.google.com/spreadsheets/d/1Gpl6jkTg7sL4VDNimUm3"&amp;"S9Vi1i95esohXCF3wuKOE8c"", ""'CONSOLIDADO'!G5:AB""), 18, 0), ""-""),
""""
)"),1.91344520733E11)</f>
        <v>191344520733</v>
      </c>
      <c r="X86" s="39" t="b">
        <f t="shared" si="10"/>
        <v>1</v>
      </c>
      <c r="Y86" s="120" t="str">
        <f>IFERROR(__xludf.DUMMYFUNCTION(" IF
( VLOOKUP($G86,IMPORTRANGE(""https://docs.google.com/spreadsheets/d/1Gpl6jkTg7sL4VDNimUm3S9Vi1i95esohXCF3wuKOE8c"", ""'CONSOLIDADO'!G5:AB""), 10, 0) &lt;&gt; 0, 
IFERROR(VLOOKUP($G86,IMPORTRANGE(""https://docs.google.com/spreadsheets/d/1Gpl6jkTg7sL4VDNimUm3"&amp;"S9Vi1i95esohXCF3wuKOE8c"", ""'CONSOLIDADO'!G5:AB""), 19, 0), ""-""),
""""
)"),"https://www.wayfair.com/storage-organization/pdp/stalwart-hole-saw-set-16-piece-kit-with-12-saws-5-inch-hex-key-wrench-drive-plate-and-storage-case-tcwj1151.html")</f>
        <v>https://www.wayfair.com/storage-organization/pdp/stalwart-hole-saw-set-16-piece-kit-with-12-saws-5-inch-hex-key-wrench-drive-plate-and-storage-case-tcwj1151.html</v>
      </c>
      <c r="Z86" s="37" t="str">
        <f>IFERROR(__xludf.DUMMYFUNCTION("IFERROR(VLOOKUP(G86,IMPORTRANGE(""https://docs.google.com/spreadsheets/d/12RxCea4e5ggM7QGn1XE3FbLQa_-QbCNdBi90OdPjRqg"", ""'Plan de Compras'!D4:Q""), 12, 0), ""NO ESTÁ EN REQ"")"),"Técnica")</f>
        <v>Técnica</v>
      </c>
      <c r="AA86" s="37" t="str">
        <f>IFERROR(__xludf.DUMMYFUNCTION("IFERROR(VLOOKUP(G86,IMPORTRANGE(""https://docs.google.com/spreadsheets/d/12RxCea4e5ggM7QGn1XE3FbLQa_-QbCNdBi90OdPjRqg"", ""'Plan de Compras'!D4:Q""), 13, 0), """")"),"INTERNACIONAL")</f>
        <v>INTERNACIONAL</v>
      </c>
      <c r="AB86" s="32" t="str">
        <f>IFERROR(__xludf.DUMMYFUNCTION("IFERROR(VLOOKUP(G86,IMPORTRANGE(""https://docs.google.com/spreadsheets/d/12RxCea4e5ggM7QGn1XE3FbLQa_-QbCNdBi90OdPjRqg"", ""'Plan de Compras'!D4:Q""), 14, 0), """")"),"ALEJANDRA")</f>
        <v>ALEJANDRA</v>
      </c>
      <c r="AC86" s="72" t="str">
        <f>IFERROR(__xludf.DUMMYFUNCTION("IFERROR(VLOOKUP(G86,IMPORTRANGE(""https://docs.google.com/spreadsheets/d/12RxCea4e5ggM7QGn1XE3FbLQa_-QbCNdBi90OdPjRqg"", ""'Plan de Compras'!D4:Q""), 4, 0), """")"),"JUEGO DE BROCAS DE COPA PARA MADERA")</f>
        <v>JUEGO DE BROCAS DE COPA PARA MADERA</v>
      </c>
      <c r="AD86" s="37" t="str">
        <f>IFERROR(__xludf.DUMMYFUNCTION("IFERROR(IF(OR(C86=TRUE,C86=""""),VLOOKUP(G86,IMPORTRANGE(""https://docs.google.com/spreadsheets/d/1z9A1Wq-kKrhRNG5RS2a2fKpY1wIhSVz2ZNmP2mOl588/edit?usp=sharing"",""REQ VF!E4:H""),4,0),""NO APLICA""),""GENERAR REQ"")"),"GENERAR REQ")</f>
        <v>GENERAR REQ</v>
      </c>
      <c r="AE86" s="32" t="str">
        <f>IFERROR(__xludf.DUMMYFUNCTION("IFERROR(QUERY(IMPORTRANGE(""https://docs.google.com/spreadsheets/d/1z9A1Wq-kKrhRNG5RS2a2fKpY1wIhSVz2ZNmP2mOl588/edit?usp=sharing"",""REQ VF!E4:Q""),""SELECT Col10, Col11, Col12 WHERE Col1 = '""&amp;G86&amp;""'"",0),""NO APLICA"")"),"NO APLICA")</f>
        <v>NO APLICA</v>
      </c>
      <c r="AF86" s="32"/>
      <c r="AG86" s="32"/>
      <c r="AH86" s="13"/>
      <c r="AI86" s="13"/>
    </row>
    <row r="87">
      <c r="A87" s="121">
        <v>64.0</v>
      </c>
      <c r="B87" s="43" t="b">
        <v>1</v>
      </c>
      <c r="C87" s="26" t="b">
        <v>1</v>
      </c>
      <c r="D87" s="26" t="s">
        <v>35</v>
      </c>
      <c r="E87" s="26" t="s">
        <v>1510</v>
      </c>
      <c r="F87" s="59" t="s">
        <v>1777</v>
      </c>
      <c r="G87" s="37" t="s">
        <v>1777</v>
      </c>
      <c r="H87" s="82" t="s">
        <v>1778</v>
      </c>
      <c r="I87" s="43">
        <f>SUMIFS('Hoja 10'!$O:$O,'Hoja 10'!$F:$F,$G87)</f>
        <v>3</v>
      </c>
      <c r="J87" s="26">
        <f>IFERROR(__xludf.DUMMYFUNCTION("VLOOKUP(G87,IMPORTRANGE(""https://docs.google.com/spreadsheets/d/12RxCea4e5ggM7QGn1XE3FbLQa_-QbCNdBi90OdPjRqg/edit?gid=1692403370#gid=1692403370"", ""'Plan de Compras'!D4:2432""), 8,0)"),3.0)</f>
        <v>3</v>
      </c>
      <c r="K87" s="26" t="str">
        <f t="shared" si="1"/>
        <v>SI</v>
      </c>
      <c r="L87" s="29" t="s">
        <v>91</v>
      </c>
      <c r="M87" s="30" t="s">
        <v>92</v>
      </c>
      <c r="N87" s="32"/>
      <c r="O87" s="32" t="str">
        <f>VLOOKUP($G87,'Hoja 10'!$F$4:$AA1057, 19,0)</f>
        <v>CHAMPION</v>
      </c>
      <c r="P87" s="32" t="str">
        <f>VLOOKUP($G87,'Hoja 10'!$F$4:$AA1057, 20,0)</f>
        <v>Contractor Series HSS GP Jobber</v>
      </c>
      <c r="Q87" s="33" t="str">
        <f>VLOOKUP($G87,'Hoja 10'!$F$4:$AA1057, 21,0)</f>
        <v>https://www.amazon.com.mx/Champion-Contratista-set-118-deg-tratado-29-piezas/dp/B000OBDHZK#averageCustomerReviewsAnchor</v>
      </c>
      <c r="R87" s="30" t="s">
        <v>1779</v>
      </c>
      <c r="S87" s="44" t="b">
        <v>1</v>
      </c>
      <c r="T87" s="39" t="str">
        <f>IFERROR(__xludf.DUMMYFUNCTION(" IF
( VLOOKUP($G87,IMPORTRANGE(""https://docs.google.com/spreadsheets/d/1Gpl6jkTg7sL4VDNimUm3S9Vi1i95esohXCF3wuKOE8c"", ""'CONSOLIDADO'!G5:AB""), 10, 0) &lt;&gt; 0, 
IFERROR(VLOOKUP($G87,IMPORTRANGE(""https://docs.google.com/spreadsheets/d/1Gpl6jkTg7sL4VDNimUm3"&amp;"S9Vi1i95esohXCF3wuKOE8c"", ""'CONSOLIDADO'!G5:AB""), 17, 0), ""-""),
""""
)"),"CHICAGO-LATROBE")</f>
        <v>CHICAGO-LATROBE</v>
      </c>
      <c r="U87" s="39" t="str">
        <f>IFERROR(__xludf.DUMMYFUNCTION(" IF
( VLOOKUP($G87,IMPORTRANGE(""https://docs.google.com/spreadsheets/d/1Gpl6jkTg7sL4VDNimUm3S9Vi1i95esohXCF3wuKOE8c"", ""'CONSOLIDADO'!G5:AB""), 10, 0) &lt;&gt; 0, 
IFERROR(VLOOKUP($G87,IMPORTRANGE(""https://docs.google.com/spreadsheets/d/1Gpl6jkTg7sL4VDNimUm3"&amp;"S9Vi1i95esohXCF3wuKOE8c"", ""'CONSOLIDADO'!G5:AB""), 18, 0), ""-""),
""""
)"),"SERIE 150 57714")</f>
        <v>SERIE 150 57714</v>
      </c>
      <c r="V87" s="39" t="str">
        <f>IFERROR(__xludf.DUMMYFUNCTION(" IF
( VLOOKUP($G87,IMPORTRANGE(""https://docs.google.com/spreadsheets/d/1Gpl6jkTg7sL4VDNimUm3S9Vi1i95esohXCF3wuKOE8c"", ""'CONSOLIDADO'!G5:AB""), 10, 0) &lt;&gt; 0, 
IFERROR(VLOOKUP($G87,IMPORTRANGE(""https://docs.google.com/spreadsheets/d/1Gpl6jkTg7sL4VDNimUm3"&amp;"S9Vi1i95esohXCF3wuKOE8c"", ""'CONSOLIDADO'!G5:AB""), 17, 0), ""-""),
""""
)"),"CHICAGO-LATROBE")</f>
        <v>CHICAGO-LATROBE</v>
      </c>
      <c r="W87" s="39" t="str">
        <f>IFERROR(__xludf.DUMMYFUNCTION(" IF
( VLOOKUP($G87,IMPORTRANGE(""https://docs.google.com/spreadsheets/d/1Gpl6jkTg7sL4VDNimUm3S9Vi1i95esohXCF3wuKOE8c"", ""'CONSOLIDADO'!G5:AB""), 10, 0) &lt;&gt; 0, 
IFERROR(VLOOKUP($G87,IMPORTRANGE(""https://docs.google.com/spreadsheets/d/1Gpl6jkTg7sL4VDNimUm3"&amp;"S9Vi1i95esohXCF3wuKOE8c"", ""'CONSOLIDADO'!G5:AB""), 18, 0), ""-""),
""""
)"),"SERIE 150 57714")</f>
        <v>SERIE 150 57714</v>
      </c>
      <c r="X87" s="39" t="b">
        <f t="shared" si="10"/>
        <v>1</v>
      </c>
      <c r="Y87" s="120" t="str">
        <f>IFERROR(__xludf.DUMMYFUNCTION(" IF
( VLOOKUP($G87,IMPORTRANGE(""https://docs.google.com/spreadsheets/d/1Gpl6jkTg7sL4VDNimUm3S9Vi1i95esohXCF3wuKOE8c"", ""'CONSOLIDADO'!G5:AB""), 10, 0) &lt;&gt; 0, 
IFERROR(VLOOKUP($G87,IMPORTRANGE(""https://docs.google.com/spreadsheets/d/1Gpl6jkTg7sL4VDNimUm3"&amp;"S9Vi1i95esohXCF3wuKOE8c"", ""'CONSOLIDADO'!G5:AB""), 19, 0), ""-""),
""""
)"),"https://www.amazon.com/-/es/Chicago-57714-velocidad-convencional-pulgadas/dp/B000LDH1LC/ref=pd_bxgy_d_sccl_2/141-5591652-0061149?pd_rd_w=B26u8&amp;content-id=amzn1.sym.9bef5913-5870-4504-8883-3ba89d7f8e39&amp;pf_rd_p=9bef5913-5870-4504-8883-3ba89d7f8e39&amp;pf_rd_r=A"&amp;"PMXRC10V754BB8J2SA7&amp;pd_rd_wg=POQjz&amp;pd_rd_r=f2bf71ba-8dea-477c-95df-4d1ffc723113&amp;pd_rd_i=B000LDH1LC&amp;psc=1")</f>
        <v>https://www.amazon.com/-/es/Chicago-57714-velocidad-convencional-pulgadas/dp/B000LDH1LC/ref=pd_bxgy_d_sccl_2/141-5591652-0061149?pd_rd_w=B26u8&amp;content-id=amzn1.sym.9bef5913-5870-4504-8883-3ba89d7f8e39&amp;pf_rd_p=9bef5913-5870-4504-8883-3ba89d7f8e39&amp;pf_rd_r=APMXRC10V754BB8J2SA7&amp;pd_rd_wg=POQjz&amp;pd_rd_r=f2bf71ba-8dea-477c-95df-4d1ffc723113&amp;pd_rd_i=B000LDH1LC&amp;psc=1</v>
      </c>
      <c r="Z87" s="37" t="str">
        <f>IFERROR(__xludf.DUMMYFUNCTION("IFERROR(VLOOKUP(G87,IMPORTRANGE(""https://docs.google.com/spreadsheets/d/12RxCea4e5ggM7QGn1XE3FbLQa_-QbCNdBi90OdPjRqg"", ""'Plan de Compras'!D4:Q""), 12, 0), ""NO ESTÁ EN REQ"")"),"Técnica")</f>
        <v>Técnica</v>
      </c>
      <c r="AA87" s="37" t="str">
        <f>IFERROR(__xludf.DUMMYFUNCTION("IFERROR(VLOOKUP(G87,IMPORTRANGE(""https://docs.google.com/spreadsheets/d/12RxCea4e5ggM7QGn1XE3FbLQa_-QbCNdBi90OdPjRqg"", ""'Plan de Compras'!D4:Q""), 13, 0), """")"),"INTERNACIONAL")</f>
        <v>INTERNACIONAL</v>
      </c>
      <c r="AB87" s="32" t="str">
        <f>IFERROR(__xludf.DUMMYFUNCTION("IFERROR(VLOOKUP(G87,IMPORTRANGE(""https://docs.google.com/spreadsheets/d/12RxCea4e5ggM7QGn1XE3FbLQa_-QbCNdBi90OdPjRqg"", ""'Plan de Compras'!D4:Q""), 14, 0), """")"),"GIANFRANCO")</f>
        <v>GIANFRANCO</v>
      </c>
      <c r="AC87" s="72" t="str">
        <f>IFERROR(__xludf.DUMMYFUNCTION("IFERROR(VLOOKUP(G87,IMPORTRANGE(""https://docs.google.com/spreadsheets/d/12RxCea4e5ggM7QGn1XE3FbLQa_-QbCNdBi90OdPjRqg"", ""'Plan de Compras'!D4:Q""), 4, 0), """")"),"JUEGO DE BROCAS HSS PARA METAL")</f>
        <v>JUEGO DE BROCAS HSS PARA METAL</v>
      </c>
      <c r="AD87" s="37" t="str">
        <f>IFERROR(__xludf.DUMMYFUNCTION("IFERROR(IF(OR(C87=TRUE,C87=""""),VLOOKUP(G87,IMPORTRANGE(""https://docs.google.com/spreadsheets/d/1z9A1Wq-kKrhRNG5RS2a2fKpY1wIhSVz2ZNmP2mOl588/edit?usp=sharing"",""REQ VF!E4:H""),4,0),""NO APLICA""),""GENERAR REQ"")"),"GENERAR REQ")</f>
        <v>GENERAR REQ</v>
      </c>
      <c r="AE87" s="32" t="str">
        <f>IFERROR(__xludf.DUMMYFUNCTION("IFERROR(QUERY(IMPORTRANGE(""https://docs.google.com/spreadsheets/d/1z9A1Wq-kKrhRNG5RS2a2fKpY1wIhSVz2ZNmP2mOl588/edit?usp=sharing"",""REQ VF!E4:Q""),""SELECT Col10, Col11, Col12 WHERE Col1 = '""&amp;G87&amp;""'"",0),""NO APLICA"")"),"NO APLICA")</f>
        <v>NO APLICA</v>
      </c>
      <c r="AF87" s="32"/>
      <c r="AG87" s="32"/>
      <c r="AH87" s="8" t="s">
        <v>52</v>
      </c>
      <c r="AI87" s="8"/>
    </row>
    <row r="88">
      <c r="A88" s="117">
        <v>65.0</v>
      </c>
      <c r="B88" s="43" t="b">
        <v>1</v>
      </c>
      <c r="C88" s="26" t="b">
        <v>1</v>
      </c>
      <c r="D88" s="26" t="s">
        <v>35</v>
      </c>
      <c r="E88" s="26" t="s">
        <v>1510</v>
      </c>
      <c r="F88" s="59" t="s">
        <v>1780</v>
      </c>
      <c r="G88" s="37" t="s">
        <v>1780</v>
      </c>
      <c r="H88" s="82" t="s">
        <v>1781</v>
      </c>
      <c r="I88" s="43">
        <f>SUMIFS('Hoja 10'!$O:$O,'Hoja 10'!$F:$F,$G88)</f>
        <v>8</v>
      </c>
      <c r="J88" s="26">
        <f>IFERROR(__xludf.DUMMYFUNCTION("VLOOKUP(G88,IMPORTRANGE(""https://docs.google.com/spreadsheets/d/12RxCea4e5ggM7QGn1XE3FbLQa_-QbCNdBi90OdPjRqg/edit?gid=1692403370#gid=1692403370"", ""'Plan de Compras'!D4:2432""), 8,0)"),8.0)</f>
        <v>8</v>
      </c>
      <c r="K88" s="26" t="str">
        <f t="shared" si="1"/>
        <v>SI</v>
      </c>
      <c r="L88" s="29" t="s">
        <v>296</v>
      </c>
      <c r="M88" s="30" t="s">
        <v>297</v>
      </c>
      <c r="N88" s="32"/>
      <c r="O88" s="32" t="str">
        <f>VLOOKUP($G88,'Hoja 10'!$F$4:$AA1057, 19,0)</f>
        <v>Truper</v>
      </c>
      <c r="P88" s="32" t="str">
        <f>VLOOKUP($G88,'Hoja 10'!$F$4:$AA1057, 20,0)</f>
        <v>Expert 29-pz</v>
      </c>
      <c r="Q88" s="33" t="str">
        <f>VLOOKUP($G88,'Hoja 10'!$F$4:$AA1057, 21,0)</f>
        <v>https://www.sodimac.com.pe/sodimac-pe/articulo/127278928/Juego-de-Brocas-HSS-para-Metal-29-Piezas-Expert-Truper/127278929?srsltid=AfmBOopYjaRcXWCSkCyRmFWHZkk9mY50FCF7KuJixynHc_ojKwwFQ9mA</v>
      </c>
      <c r="R88" s="30" t="s">
        <v>1782</v>
      </c>
      <c r="S88" s="44" t="b">
        <v>1</v>
      </c>
      <c r="T88" s="39" t="str">
        <f>IFERROR(__xludf.DUMMYFUNCTION(" IF
( VLOOKUP($G88,IMPORTRANGE(""https://docs.google.com/spreadsheets/d/1Gpl6jkTg7sL4VDNimUm3S9Vi1i95esohXCF3wuKOE8c"", ""'CONSOLIDADO'!G5:AB""), 10, 0) &lt;&gt; 0, 
IFERROR(VLOOKUP($G88,IMPORTRANGE(""https://docs.google.com/spreadsheets/d/1Gpl6jkTg7sL4VDNimUm3"&amp;"S9Vi1i95esohXCF3wuKOE8c"", ""'CONSOLIDADO'!G5:AB""), 17, 0), ""-""),
""""
)"),"TRUPER")</f>
        <v>TRUPER</v>
      </c>
      <c r="U88" s="39" t="str">
        <f>IFERROR(__xludf.DUMMYFUNCTION(" IF
( VLOOKUP($G88,IMPORTRANGE(""https://docs.google.com/spreadsheets/d/1Gpl6jkTg7sL4VDNimUm3S9Vi1i95esohXCF3wuKOE8c"", ""'CONSOLIDADO'!G5:AB""), 10, 0) &lt;&gt; 0, 
IFERROR(VLOOKUP($G88,IMPORTRANGE(""https://docs.google.com/spreadsheets/d/1Gpl6jkTg7sL4VDNimUm3"&amp;"S9Vi1i95esohXCF3wuKOE8c"", ""'CONSOLIDADO'!G5:AB""), 18, 0), ""-""),
""""
)"),"DESP-BAV-29C")</f>
        <v>DESP-BAV-29C</v>
      </c>
      <c r="V88" s="39" t="str">
        <f>IFERROR(__xludf.DUMMYFUNCTION(" IF
( VLOOKUP($G88,IMPORTRANGE(""https://docs.google.com/spreadsheets/d/1Gpl6jkTg7sL4VDNimUm3S9Vi1i95esohXCF3wuKOE8c"", ""'CONSOLIDADO'!G5:AB""), 10, 0) &lt;&gt; 0, 
IFERROR(VLOOKUP($G88,IMPORTRANGE(""https://docs.google.com/spreadsheets/d/1Gpl6jkTg7sL4VDNimUm3"&amp;"S9Vi1i95esohXCF3wuKOE8c"", ""'CONSOLIDADO'!G5:AB""), 17, 0), ""-""),
""""
)"),"TRUPER")</f>
        <v>TRUPER</v>
      </c>
      <c r="W88" s="39" t="str">
        <f>IFERROR(__xludf.DUMMYFUNCTION(" IF
( VLOOKUP($G88,IMPORTRANGE(""https://docs.google.com/spreadsheets/d/1Gpl6jkTg7sL4VDNimUm3S9Vi1i95esohXCF3wuKOE8c"", ""'CONSOLIDADO'!G5:AB""), 10, 0) &lt;&gt; 0, 
IFERROR(VLOOKUP($G88,IMPORTRANGE(""https://docs.google.com/spreadsheets/d/1Gpl6jkTg7sL4VDNimUm3"&amp;"S9Vi1i95esohXCF3wuKOE8c"", ""'CONSOLIDADO'!G5:AB""), 18, 0), ""-""),
""""
)"),"DESP-BAV-29C")</f>
        <v>DESP-BAV-29C</v>
      </c>
      <c r="X88" s="39" t="b">
        <f t="shared" si="10"/>
        <v>1</v>
      </c>
      <c r="Y88" s="120" t="str">
        <f>IFERROR(__xludf.DUMMYFUNCTION(" IF
( VLOOKUP($G88,IMPORTRANGE(""https://docs.google.com/spreadsheets/d/1Gpl6jkTg7sL4VDNimUm3S9Vi1i95esohXCF3wuKOE8c"", ""'CONSOLIDADO'!G5:AB""), 10, 0) &lt;&gt; 0, 
IFERROR(VLOOKUP($G88,IMPORTRANGE(""https://docs.google.com/spreadsheets/d/1Gpl6jkTg7sL4VDNimUm3"&amp;"S9Vi1i95esohXCF3wuKOE8c"", ""'CONSOLIDADO'!G5:AB""), 19, 0), ""-""),
""""
)"),"https://drive.google.com/file/d/12PVAVdDlw42qXgrqS_LPy-TIVNZKCSZ2/view?usp=sharing")</f>
        <v>https://drive.google.com/file/d/12PVAVdDlw42qXgrqS_LPy-TIVNZKCSZ2/view?usp=sharing</v>
      </c>
      <c r="Z88" s="37" t="str">
        <f>IFERROR(__xludf.DUMMYFUNCTION("IFERROR(VLOOKUP(G88,IMPORTRANGE(""https://docs.google.com/spreadsheets/d/12RxCea4e5ggM7QGn1XE3FbLQa_-QbCNdBi90OdPjRqg"", ""'Plan de Compras'!D4:Q""), 12, 0), ""NO ESTÁ EN REQ"")"),"Técnica")</f>
        <v>Técnica</v>
      </c>
      <c r="AA88" s="37" t="str">
        <f>IFERROR(__xludf.DUMMYFUNCTION("IFERROR(VLOOKUP(G88,IMPORTRANGE(""https://docs.google.com/spreadsheets/d/12RxCea4e5ggM7QGn1XE3FbLQa_-QbCNdBi90OdPjRqg"", ""'Plan de Compras'!D4:Q""), 13, 0), """")"),"NACIONAL")</f>
        <v>NACIONAL</v>
      </c>
      <c r="AB88" s="32" t="str">
        <f>IFERROR(__xludf.DUMMYFUNCTION("IFERROR(VLOOKUP(G88,IMPORTRANGE(""https://docs.google.com/spreadsheets/d/12RxCea4e5ggM7QGn1XE3FbLQa_-QbCNdBi90OdPjRqg"", ""'Plan de Compras'!D4:Q""), 14, 0), """")"),"ANGIE")</f>
        <v>ANGIE</v>
      </c>
      <c r="AC88" s="72" t="str">
        <f>IFERROR(__xludf.DUMMYFUNCTION("IFERROR(VLOOKUP(G88,IMPORTRANGE(""https://docs.google.com/spreadsheets/d/12RxCea4e5ggM7QGn1XE3FbLQa_-QbCNdBi90OdPjRqg"", ""'Plan de Compras'!D4:Q""), 4, 0), """")"),"JUEGO DE BROCAS PARA METAL, MADERA, CEMENTO.")</f>
        <v>JUEGO DE BROCAS PARA METAL, MADERA, CEMENTO.</v>
      </c>
      <c r="AD88" s="37" t="str">
        <f>IFERROR(__xludf.DUMMYFUNCTION("IFERROR(IF(OR(C88=TRUE,C88=""""),VLOOKUP(G88,IMPORTRANGE(""https://docs.google.com/spreadsheets/d/1z9A1Wq-kKrhRNG5RS2a2fKpY1wIhSVz2ZNmP2mOl588/edit?usp=sharing"",""REQ VF!E4:H""),4,0),""NO APLICA""),""GENERAR REQ"")"),"GENERAR REQ")</f>
        <v>GENERAR REQ</v>
      </c>
      <c r="AE88" s="32" t="str">
        <f>IFERROR(__xludf.DUMMYFUNCTION("IFERROR(QUERY(IMPORTRANGE(""https://docs.google.com/spreadsheets/d/1z9A1Wq-kKrhRNG5RS2a2fKpY1wIhSVz2ZNmP2mOl588/edit?usp=sharing"",""REQ VF!E4:Q""),""SELECT Col10, Col11, Col12 WHERE Col1 = '""&amp;G88&amp;""'"",0),""NO APLICA"")"),"NO APLICA")</f>
        <v>NO APLICA</v>
      </c>
      <c r="AF88" s="32"/>
      <c r="AG88" s="32"/>
      <c r="AH88" s="8" t="s">
        <v>52</v>
      </c>
      <c r="AI88" s="8"/>
    </row>
    <row r="89">
      <c r="A89" s="43"/>
      <c r="B89" s="43"/>
      <c r="C89" s="26" t="b">
        <v>1</v>
      </c>
      <c r="D89" s="26" t="s">
        <v>42</v>
      </c>
      <c r="E89" s="26" t="s">
        <v>1510</v>
      </c>
      <c r="F89" s="59" t="s">
        <v>1780</v>
      </c>
      <c r="G89" s="39" t="s">
        <v>1783</v>
      </c>
      <c r="H89" s="66" t="s">
        <v>1784</v>
      </c>
      <c r="I89" s="43">
        <f>I88</f>
        <v>8</v>
      </c>
      <c r="J89" s="26">
        <f>IFERROR(__xludf.DUMMYFUNCTION("VLOOKUP(G89,IMPORTRANGE(""https://docs.google.com/spreadsheets/d/12RxCea4e5ggM7QGn1XE3FbLQa_-QbCNdBi90OdPjRqg/edit?gid=1692403370#gid=1692403370"", ""'Plan de Compras'!D4:2432""), 8,0)"),8.0)</f>
        <v>8</v>
      </c>
      <c r="K89" s="26" t="str">
        <f t="shared" si="1"/>
        <v>SI</v>
      </c>
      <c r="L89" s="29"/>
      <c r="M89" s="61"/>
      <c r="N89" s="32"/>
      <c r="O89" s="32"/>
      <c r="P89" s="32"/>
      <c r="Q89" s="41"/>
      <c r="R89" s="61"/>
      <c r="S89" s="34" t="b">
        <v>1</v>
      </c>
      <c r="T89" s="39" t="s">
        <v>303</v>
      </c>
      <c r="U89" s="39">
        <v>102706.0</v>
      </c>
      <c r="V89" s="39"/>
      <c r="W89" s="39"/>
      <c r="X89" s="39"/>
      <c r="Y89" s="120" t="s">
        <v>1785</v>
      </c>
      <c r="Z89" s="37" t="str">
        <f>IFERROR(__xludf.DUMMYFUNCTION("IFERROR(VLOOKUP(G89,IMPORTRANGE(""https://docs.google.com/spreadsheets/d/12RxCea4e5ggM7QGn1XE3FbLQa_-QbCNdBi90OdPjRqg"", ""'Plan de Compras'!D4:Q""), 12, 0), ""NO ESTÁ EN REQ"")"),"Técnica")</f>
        <v>Técnica</v>
      </c>
      <c r="AA89" s="37" t="str">
        <f>IFERROR(__xludf.DUMMYFUNCTION("IFERROR(VLOOKUP(G89,IMPORTRANGE(""https://docs.google.com/spreadsheets/d/12RxCea4e5ggM7QGn1XE3FbLQa_-QbCNdBi90OdPjRqg"", ""'Plan de Compras'!D4:Q""), 13, 0), """")"),"NACIONAL")</f>
        <v>NACIONAL</v>
      </c>
      <c r="AB89" s="32" t="str">
        <f>IFERROR(__xludf.DUMMYFUNCTION("IFERROR(VLOOKUP(G89,IMPORTRANGE(""https://docs.google.com/spreadsheets/d/12RxCea4e5ggM7QGn1XE3FbLQa_-QbCNdBi90OdPjRqg"", ""'Plan de Compras'!D4:Q""), 14, 0), """")"),"ANGIE")</f>
        <v>ANGIE</v>
      </c>
      <c r="AC89" s="72" t="str">
        <f>IFERROR(__xludf.DUMMYFUNCTION("IFERROR(VLOOKUP(G89,IMPORTRANGE(""https://docs.google.com/spreadsheets/d/12RxCea4e5ggM7QGn1XE3FbLQa_-QbCNdBi90OdPjRqg"", ""'Plan de Compras'!D4:Q""), 4, 0), """")"),"SET BROCAS PARA CONCRETO TRUPER 102706 X 4 PZ")</f>
        <v>SET BROCAS PARA CONCRETO TRUPER 102706 X 4 PZ</v>
      </c>
      <c r="AD89" s="37" t="str">
        <f>IFERROR(__xludf.DUMMYFUNCTION("IFERROR(IF(OR(C89=TRUE,C89=""""),VLOOKUP(G89,IMPORTRANGE(""https://docs.google.com/spreadsheets/d/1z9A1Wq-kKrhRNG5RS2a2fKpY1wIhSVz2ZNmP2mOl588/edit?usp=sharing"",""REQ VF!E4:H""),4,0),""NO APLICA""),""GENERAR REQ"")"),"GENERAR REQ")</f>
        <v>GENERAR REQ</v>
      </c>
      <c r="AE89" s="32" t="str">
        <f>IFERROR(__xludf.DUMMYFUNCTION("IFERROR(QUERY(IMPORTRANGE(""https://docs.google.com/spreadsheets/d/1z9A1Wq-kKrhRNG5RS2a2fKpY1wIhSVz2ZNmP2mOl588/edit?usp=sharing"",""REQ VF!E4:Q""),""SELECT Col10, Col11, Col12 WHERE Col1 = '""&amp;G89&amp;""'"",0),""NO APLICA"")"),"NO APLICA")</f>
        <v>NO APLICA</v>
      </c>
      <c r="AF89" s="32"/>
      <c r="AG89" s="32"/>
      <c r="AH89" s="8"/>
      <c r="AI89" s="8"/>
    </row>
    <row r="90">
      <c r="A90" s="117">
        <v>66.0</v>
      </c>
      <c r="B90" s="43" t="b">
        <v>1</v>
      </c>
      <c r="C90" s="26" t="b">
        <v>0</v>
      </c>
      <c r="D90" s="26" t="s">
        <v>35</v>
      </c>
      <c r="E90" s="26" t="s">
        <v>1510</v>
      </c>
      <c r="F90" s="59" t="s">
        <v>1786</v>
      </c>
      <c r="G90" s="37" t="s">
        <v>1786</v>
      </c>
      <c r="H90" s="82" t="s">
        <v>1787</v>
      </c>
      <c r="I90" s="43">
        <f>SUMIFS('Hoja 10'!$O:$O,'Hoja 10'!$F:$F,$G90)</f>
        <v>8</v>
      </c>
      <c r="J90" s="26" t="str">
        <f>IFERROR(__xludf.DUMMYFUNCTION("VLOOKUP(G90,IMPORTRANGE(""https://docs.google.com/spreadsheets/d/12RxCea4e5ggM7QGn1XE3FbLQa_-QbCNdBi90OdPjRqg/edit?gid=1692403370#gid=1692403370"", ""'Plan de Compras'!D4:2432""), 8,0)"),"#N/A")</f>
        <v>#N/A</v>
      </c>
      <c r="K90" s="26" t="str">
        <f t="shared" si="1"/>
        <v>-</v>
      </c>
      <c r="L90" s="29" t="s">
        <v>296</v>
      </c>
      <c r="M90" s="30" t="s">
        <v>297</v>
      </c>
      <c r="N90" s="32"/>
      <c r="O90" s="32" t="str">
        <f>VLOOKUP($G90,'Hoja 10'!$F$4:$AA1057, 19,0)</f>
        <v>Vogel</v>
      </c>
      <c r="P90" s="32" t="str">
        <f>VLOOKUP($G90,'Hoja 10'!$F$4:$AA1057, 20,0)</f>
        <v>302466 /  302446 /  302426</v>
      </c>
      <c r="Q90" s="33" t="str">
        <f>VLOOKUP($G90,'Hoja 10'!$F$4:$AA1057, 21,0)</f>
        <v>https://store.ferrindustrial.com.pe/producto/compas-exterior-de-12-302466-vogel-germany/</v>
      </c>
      <c r="R90" s="30" t="s">
        <v>1788</v>
      </c>
      <c r="S90" s="34" t="b">
        <v>1</v>
      </c>
      <c r="T90" s="39" t="str">
        <f>IFERROR(__xludf.DUMMYFUNCTION(" IF
( VLOOKUP($G90,IMPORTRANGE(""https://docs.google.com/spreadsheets/d/1Gpl6jkTg7sL4VDNimUm3S9Vi1i95esohXCF3wuKOE8c"", ""'CONSOLIDADO'!G5:AB""), 10, 0) &lt;&gt; 0, 
IFERROR(VLOOKUP($G90,IMPORTRANGE(""https://docs.google.com/spreadsheets/d/1Gpl6jkTg7sL4VDNimUm3"&amp;"S9Vi1i95esohXCF3wuKOE8c"", ""'CONSOLIDADO'!G5:AB""), 17, 0), ""-""),
""""
)"),"Vogel")</f>
        <v>Vogel</v>
      </c>
      <c r="U90" s="39" t="str">
        <f>IFERROR(__xludf.DUMMYFUNCTION(" IF
( VLOOKUP($G90,IMPORTRANGE(""https://docs.google.com/spreadsheets/d/1Gpl6jkTg7sL4VDNimUm3S9Vi1i95esohXCF3wuKOE8c"", ""'CONSOLIDADO'!G5:AB""), 10, 0) &lt;&gt; 0, 
IFERROR(VLOOKUP($G90,IMPORTRANGE(""https://docs.google.com/spreadsheets/d/1Gpl6jkTg7sL4VDNimUm3"&amp;"S9Vi1i95esohXCF3wuKOE8c"", ""'CONSOLIDADO'!G5:AB""), 18, 0), ""-""),
""""
)"),"302466 / 302446 / 302426")</f>
        <v>302466 / 302446 / 302426</v>
      </c>
      <c r="V90" s="39" t="str">
        <f>IFERROR(__xludf.DUMMYFUNCTION(" IF
( VLOOKUP($G90,IMPORTRANGE(""https://docs.google.com/spreadsheets/d/1Gpl6jkTg7sL4VDNimUm3S9Vi1i95esohXCF3wuKOE8c"", ""'CONSOLIDADO'!G5:AB""), 10, 0) &lt;&gt; 0, 
IFERROR(VLOOKUP($G90,IMPORTRANGE(""https://docs.google.com/spreadsheets/d/1Gpl6jkTg7sL4VDNimUm3"&amp;"S9Vi1i95esohXCF3wuKOE8c"", ""'CONSOLIDADO'!G5:AB""), 17, 0), ""-""),
""""
)"),"Vogel")</f>
        <v>Vogel</v>
      </c>
      <c r="W90" s="39" t="str">
        <f>IFERROR(__xludf.DUMMYFUNCTION(" IF
( VLOOKUP($G90,IMPORTRANGE(""https://docs.google.com/spreadsheets/d/1Gpl6jkTg7sL4VDNimUm3S9Vi1i95esohXCF3wuKOE8c"", ""'CONSOLIDADO'!G5:AB""), 10, 0) &lt;&gt; 0, 
IFERROR(VLOOKUP($G90,IMPORTRANGE(""https://docs.google.com/spreadsheets/d/1Gpl6jkTg7sL4VDNimUm3"&amp;"S9Vi1i95esohXCF3wuKOE8c"", ""'CONSOLIDADO'!G5:AB""), 18, 0), ""-""),
""""
)"),"302466 / 302446 / 302426")</f>
        <v>302466 / 302446 / 302426</v>
      </c>
      <c r="X90" s="39" t="b">
        <f>IF(AND(T90=V90,W90=U90),TRUE,FALSE)</f>
        <v>1</v>
      </c>
      <c r="Y90" s="120" t="str">
        <f>IFERROR(__xludf.DUMMYFUNCTION(" IF
( VLOOKUP($G90,IMPORTRANGE(""https://docs.google.com/spreadsheets/d/1Gpl6jkTg7sL4VDNimUm3S9Vi1i95esohXCF3wuKOE8c"", ""'CONSOLIDADO'!G5:AB""), 10, 0) &lt;&gt; 0, 
IFERROR(VLOOKUP($G90,IMPORTRANGE(""https://docs.google.com/spreadsheets/d/1Gpl6jkTg7sL4VDNimUm3"&amp;"S9Vi1i95esohXCF3wuKOE8c"", ""'CONSOLIDADO'!G5:AB""), 19, 0), ""-""),
""""
)"),"https://store.ferrindustrial.com.pe/producto/compas-exterior-de-12-302466-vogel-germany/")</f>
        <v>https://store.ferrindustrial.com.pe/producto/compas-exterior-de-12-302466-vogel-germany/</v>
      </c>
      <c r="Z90" s="37" t="str">
        <f>IFERROR(__xludf.DUMMYFUNCTION("IFERROR(VLOOKUP(G90,IMPORTRANGE(""https://docs.google.com/spreadsheets/d/12RxCea4e5ggM7QGn1XE3FbLQa_-QbCNdBi90OdPjRqg"", ""'Plan de Compras'!D4:Q""), 12, 0), ""NO ESTÁ EN REQ"")"),"NO ESTÁ EN REQ")</f>
        <v>NO ESTÁ EN REQ</v>
      </c>
      <c r="AA90" s="37" t="str">
        <f>IFERROR(__xludf.DUMMYFUNCTION("IFERROR(VLOOKUP(G90,IMPORTRANGE(""https://docs.google.com/spreadsheets/d/12RxCea4e5ggM7QGn1XE3FbLQa_-QbCNdBi90OdPjRqg"", ""'Plan de Compras'!D4:Q""), 13, 0), """")"),"")</f>
        <v/>
      </c>
      <c r="AB90" s="32" t="str">
        <f>IFERROR(__xludf.DUMMYFUNCTION("IFERROR(VLOOKUP(G90,IMPORTRANGE(""https://docs.google.com/spreadsheets/d/12RxCea4e5ggM7QGn1XE3FbLQa_-QbCNdBi90OdPjRqg"", ""'Plan de Compras'!D4:Q""), 14, 0), """")"),"")</f>
        <v/>
      </c>
      <c r="AC90" s="72" t="str">
        <f>IFERROR(__xludf.DUMMYFUNCTION("IFERROR(VLOOKUP(G90,IMPORTRANGE(""https://docs.google.com/spreadsheets/d/12RxCea4e5ggM7QGn1XE3FbLQa_-QbCNdBi90OdPjRqg"", ""'Plan de Compras'!D4:Q""), 4, 0), """")"),"")</f>
        <v/>
      </c>
      <c r="AD90" s="37" t="str">
        <f>IFERROR(__xludf.DUMMYFUNCTION("IFERROR(IF(OR(C90=TRUE,C90=""""),VLOOKUP(G90,IMPORTRANGE(""https://docs.google.com/spreadsheets/d/1z9A1Wq-kKrhRNG5RS2a2fKpY1wIhSVz2ZNmP2mOl588/edit?usp=sharing"",""REQ VF!E4:H""),4,0),""NO APLICA""),""GENERAR REQ"")"),"NO APLICA")</f>
        <v>NO APLICA</v>
      </c>
      <c r="AE90" s="32" t="str">
        <f>IFERROR(__xludf.DUMMYFUNCTION("IFERROR(QUERY(IMPORTRANGE(""https://docs.google.com/spreadsheets/d/1z9A1Wq-kKrhRNG5RS2a2fKpY1wIhSVz2ZNmP2mOl588/edit?usp=sharing"",""REQ VF!E4:Q""),""SELECT Col10, Col11, Col12 WHERE Col1 = '""&amp;G90&amp;""'"",0),""NO APLICA"")"),"NO APLICA")</f>
        <v>NO APLICA</v>
      </c>
      <c r="AF90" s="32"/>
      <c r="AG90" s="32"/>
      <c r="AH90" s="13"/>
      <c r="AI90" s="13"/>
    </row>
    <row r="91">
      <c r="A91" s="43"/>
      <c r="B91" s="43"/>
      <c r="C91" s="26" t="b">
        <v>1</v>
      </c>
      <c r="D91" s="26" t="s">
        <v>95</v>
      </c>
      <c r="E91" s="26" t="s">
        <v>1510</v>
      </c>
      <c r="F91" s="59" t="s">
        <v>1786</v>
      </c>
      <c r="G91" s="39" t="s">
        <v>1789</v>
      </c>
      <c r="H91" s="66" t="s">
        <v>1790</v>
      </c>
      <c r="I91" s="43">
        <v>8.0</v>
      </c>
      <c r="J91" s="26">
        <f>IFERROR(__xludf.DUMMYFUNCTION("VLOOKUP(G91,IMPORTRANGE(""https://docs.google.com/spreadsheets/d/12RxCea4e5ggM7QGn1XE3FbLQa_-QbCNdBi90OdPjRqg/edit?gid=1692403370#gid=1692403370"", ""'Plan de Compras'!D4:2432""), 8,0)"),8.0)</f>
        <v>8</v>
      </c>
      <c r="K91" s="26" t="str">
        <f t="shared" si="1"/>
        <v>SI</v>
      </c>
      <c r="L91" s="26"/>
      <c r="M91" s="32"/>
      <c r="N91" s="32" t="s">
        <v>1791</v>
      </c>
      <c r="O91" s="32" t="s">
        <v>1613</v>
      </c>
      <c r="P91" s="32">
        <v>302466.0</v>
      </c>
      <c r="Q91" s="33" t="s">
        <v>1792</v>
      </c>
      <c r="R91" s="32"/>
      <c r="S91" s="44" t="b">
        <v>1</v>
      </c>
      <c r="T91" s="39" t="s">
        <v>1793</v>
      </c>
      <c r="U91" s="39" t="s">
        <v>1794</v>
      </c>
      <c r="V91" s="39"/>
      <c r="W91" s="39"/>
      <c r="X91" s="39"/>
      <c r="Y91" s="125" t="s">
        <v>1795</v>
      </c>
      <c r="Z91" s="37" t="str">
        <f>IFERROR(__xludf.DUMMYFUNCTION("IFERROR(VLOOKUP(G91,IMPORTRANGE(""https://docs.google.com/spreadsheets/d/12RxCea4e5ggM7QGn1XE3FbLQa_-QbCNdBi90OdPjRqg"", ""'Plan de Compras'!D4:Q""), 12, 0), ""NO ESTÁ EN REQ"")"),"Simple")</f>
        <v>Simple</v>
      </c>
      <c r="AA91" s="37" t="str">
        <f>IFERROR(__xludf.DUMMYFUNCTION("IFERROR(VLOOKUP(G91,IMPORTRANGE(""https://docs.google.com/spreadsheets/d/12RxCea4e5ggM7QGn1XE3FbLQa_-QbCNdBi90OdPjRqg"", ""'Plan de Compras'!D4:Q""), 13, 0), """")"),"NACIONAL")</f>
        <v>NACIONAL</v>
      </c>
      <c r="AB91" s="32" t="str">
        <f>IFERROR(__xludf.DUMMYFUNCTION("IFERROR(VLOOKUP(G91,IMPORTRANGE(""https://docs.google.com/spreadsheets/d/12RxCea4e5ggM7QGn1XE3FbLQa_-QbCNdBi90OdPjRqg"", ""'Plan de Compras'!D4:Q""), 14, 0), """")"),"ALFIO")</f>
        <v>ALFIO</v>
      </c>
      <c r="AC91" s="72" t="str">
        <f>IFERROR(__xludf.DUMMYFUNCTION("IFERROR(VLOOKUP(G91,IMPORTRANGE(""https://docs.google.com/spreadsheets/d/12RxCea4e5ggM7QGn1XE3FbLQa_-QbCNdBi90OdPjRqg"", ""'Plan de Compras'!D4:Q""), 4, 0), """")"),"COMPÁS DE EXTERIOR. (1 UND)")</f>
        <v>COMPÁS DE EXTERIOR. (1 UND)</v>
      </c>
      <c r="AD91" s="37" t="str">
        <f>IFERROR(__xludf.DUMMYFUNCTION("IFERROR(IF(OR(C91=TRUE,C91=""""),VLOOKUP(G91,IMPORTRANGE(""https://docs.google.com/spreadsheets/d/1z9A1Wq-kKrhRNG5RS2a2fKpY1wIhSVz2ZNmP2mOl588/edit?usp=sharing"",""REQ VF!E4:H""),4,0),""NO APLICA""),""GENERAR REQ"")"),"GENERAR REQ")</f>
        <v>GENERAR REQ</v>
      </c>
      <c r="AE91" s="32" t="str">
        <f>IFERROR(__xludf.DUMMYFUNCTION("IFERROR(QUERY(IMPORTRANGE(""https://docs.google.com/spreadsheets/d/1z9A1Wq-kKrhRNG5RS2a2fKpY1wIhSVz2ZNmP2mOl588/edit?usp=sharing"",""REQ VF!E4:Q""),""SELECT Col10, Col11, Col12 WHERE Col1 = '""&amp;G91&amp;""'"",0),""NO APLICA"")"),"NO APLICA")</f>
        <v>NO APLICA</v>
      </c>
      <c r="AF91" s="32"/>
      <c r="AG91" s="32"/>
      <c r="AH91" s="13"/>
      <c r="AI91" s="13"/>
    </row>
    <row r="92">
      <c r="A92" s="43"/>
      <c r="B92" s="43"/>
      <c r="C92" s="26" t="b">
        <v>1</v>
      </c>
      <c r="D92" s="26" t="s">
        <v>95</v>
      </c>
      <c r="E92" s="26" t="s">
        <v>1510</v>
      </c>
      <c r="F92" s="59" t="s">
        <v>1786</v>
      </c>
      <c r="G92" s="39" t="s">
        <v>1796</v>
      </c>
      <c r="H92" s="66" t="s">
        <v>1797</v>
      </c>
      <c r="I92" s="43">
        <v>8.0</v>
      </c>
      <c r="J92" s="26">
        <f>IFERROR(__xludf.DUMMYFUNCTION("VLOOKUP(G92,IMPORTRANGE(""https://docs.google.com/spreadsheets/d/12RxCea4e5ggM7QGn1XE3FbLQa_-QbCNdBi90OdPjRqg/edit?gid=1692403370#gid=1692403370"", ""'Plan de Compras'!D4:2432""), 8,0)"),8.0)</f>
        <v>8</v>
      </c>
      <c r="K92" s="26" t="str">
        <f t="shared" si="1"/>
        <v>SI</v>
      </c>
      <c r="L92" s="26"/>
      <c r="M92" s="32"/>
      <c r="N92" s="32" t="s">
        <v>1798</v>
      </c>
      <c r="O92" s="32" t="s">
        <v>1613</v>
      </c>
      <c r="P92" s="32">
        <v>302446.0</v>
      </c>
      <c r="Q92" s="33" t="s">
        <v>1799</v>
      </c>
      <c r="R92" s="32"/>
      <c r="S92" s="44" t="b">
        <v>1</v>
      </c>
      <c r="T92" s="39" t="s">
        <v>1793</v>
      </c>
      <c r="U92" s="39" t="s">
        <v>1800</v>
      </c>
      <c r="V92" s="39"/>
      <c r="W92" s="39"/>
      <c r="X92" s="39"/>
      <c r="Y92" s="125" t="s">
        <v>1795</v>
      </c>
      <c r="Z92" s="37" t="str">
        <f>IFERROR(__xludf.DUMMYFUNCTION("IFERROR(VLOOKUP(G92,IMPORTRANGE(""https://docs.google.com/spreadsheets/d/12RxCea4e5ggM7QGn1XE3FbLQa_-QbCNdBi90OdPjRqg"", ""'Plan de Compras'!D4:Q""), 12, 0), ""NO ESTÁ EN REQ"")"),"Simple")</f>
        <v>Simple</v>
      </c>
      <c r="AA92" s="37" t="str">
        <f>IFERROR(__xludf.DUMMYFUNCTION("IFERROR(VLOOKUP(G92,IMPORTRANGE(""https://docs.google.com/spreadsheets/d/12RxCea4e5ggM7QGn1XE3FbLQa_-QbCNdBi90OdPjRqg"", ""'Plan de Compras'!D4:Q""), 13, 0), """")"),"NACIONAL")</f>
        <v>NACIONAL</v>
      </c>
      <c r="AB92" s="32" t="str">
        <f>IFERROR(__xludf.DUMMYFUNCTION("IFERROR(VLOOKUP(G92,IMPORTRANGE(""https://docs.google.com/spreadsheets/d/12RxCea4e5ggM7QGn1XE3FbLQa_-QbCNdBi90OdPjRqg"", ""'Plan de Compras'!D4:Q""), 14, 0), """")"),"ALFIO")</f>
        <v>ALFIO</v>
      </c>
      <c r="AC92" s="72" t="str">
        <f>IFERROR(__xludf.DUMMYFUNCTION("IFERROR(VLOOKUP(G92,IMPORTRANGE(""https://docs.google.com/spreadsheets/d/12RxCea4e5ggM7QGn1XE3FbLQa_-QbCNdBi90OdPjRqg"", ""'Plan de Compras'!D4:Q""), 4, 0), """")"),"COMPÁS DE INTERIORES. (1 UND)")</f>
        <v>COMPÁS DE INTERIORES. (1 UND)</v>
      </c>
      <c r="AD92" s="37" t="str">
        <f>IFERROR(__xludf.DUMMYFUNCTION("IFERROR(IF(OR(C92=TRUE,C92=""""),VLOOKUP(G92,IMPORTRANGE(""https://docs.google.com/spreadsheets/d/1z9A1Wq-kKrhRNG5RS2a2fKpY1wIhSVz2ZNmP2mOl588/edit?usp=sharing"",""REQ VF!E4:H""),4,0),""NO APLICA""),""GENERAR REQ"")"),"GENERAR REQ")</f>
        <v>GENERAR REQ</v>
      </c>
      <c r="AE92" s="32" t="str">
        <f>IFERROR(__xludf.DUMMYFUNCTION("IFERROR(QUERY(IMPORTRANGE(""https://docs.google.com/spreadsheets/d/1z9A1Wq-kKrhRNG5RS2a2fKpY1wIhSVz2ZNmP2mOl588/edit?usp=sharing"",""REQ VF!E4:Q""),""SELECT Col10, Col11, Col12 WHERE Col1 = '""&amp;G92&amp;""'"",0),""NO APLICA"")"),"NO APLICA")</f>
        <v>NO APLICA</v>
      </c>
      <c r="AF92" s="32"/>
      <c r="AG92" s="32"/>
      <c r="AH92" s="13"/>
      <c r="AI92" s="13"/>
    </row>
    <row r="93">
      <c r="A93" s="43"/>
      <c r="B93" s="43"/>
      <c r="C93" s="26" t="b">
        <v>1</v>
      </c>
      <c r="D93" s="26" t="s">
        <v>95</v>
      </c>
      <c r="E93" s="26" t="s">
        <v>1510</v>
      </c>
      <c r="F93" s="59" t="s">
        <v>1786</v>
      </c>
      <c r="G93" s="39" t="s">
        <v>1801</v>
      </c>
      <c r="H93" s="66" t="s">
        <v>1802</v>
      </c>
      <c r="I93" s="43">
        <v>8.0</v>
      </c>
      <c r="J93" s="26">
        <f>IFERROR(__xludf.DUMMYFUNCTION("VLOOKUP(G93,IMPORTRANGE(""https://docs.google.com/spreadsheets/d/12RxCea4e5ggM7QGn1XE3FbLQa_-QbCNdBi90OdPjRqg/edit?gid=1692403370#gid=1692403370"", ""'Plan de Compras'!D4:2432""), 8,0)"),8.0)</f>
        <v>8</v>
      </c>
      <c r="K93" s="26" t="str">
        <f t="shared" si="1"/>
        <v>SI</v>
      </c>
      <c r="L93" s="26"/>
      <c r="M93" s="32"/>
      <c r="N93" s="32" t="s">
        <v>1803</v>
      </c>
      <c r="O93" s="32" t="s">
        <v>1613</v>
      </c>
      <c r="P93" s="32">
        <v>302426.0</v>
      </c>
      <c r="Q93" s="33" t="s">
        <v>1804</v>
      </c>
      <c r="R93" s="32"/>
      <c r="S93" s="44" t="b">
        <v>1</v>
      </c>
      <c r="T93" s="39" t="s">
        <v>1793</v>
      </c>
      <c r="U93" s="39" t="s">
        <v>1805</v>
      </c>
      <c r="V93" s="39"/>
      <c r="W93" s="39"/>
      <c r="X93" s="39"/>
      <c r="Y93" s="125" t="s">
        <v>1795</v>
      </c>
      <c r="Z93" s="37" t="str">
        <f>IFERROR(__xludf.DUMMYFUNCTION("IFERROR(VLOOKUP(G93,IMPORTRANGE(""https://docs.google.com/spreadsheets/d/12RxCea4e5ggM7QGn1XE3FbLQa_-QbCNdBi90OdPjRqg"", ""'Plan de Compras'!D4:Q""), 12, 0), ""NO ESTÁ EN REQ"")"),"Simple")</f>
        <v>Simple</v>
      </c>
      <c r="AA93" s="37" t="str">
        <f>IFERROR(__xludf.DUMMYFUNCTION("IFERROR(VLOOKUP(G93,IMPORTRANGE(""https://docs.google.com/spreadsheets/d/12RxCea4e5ggM7QGn1XE3FbLQa_-QbCNdBi90OdPjRqg"", ""'Plan de Compras'!D4:Q""), 13, 0), """")"),"NACIONAL")</f>
        <v>NACIONAL</v>
      </c>
      <c r="AB93" s="32" t="str">
        <f>IFERROR(__xludf.DUMMYFUNCTION("IFERROR(VLOOKUP(G93,IMPORTRANGE(""https://docs.google.com/spreadsheets/d/12RxCea4e5ggM7QGn1XE3FbLQa_-QbCNdBi90OdPjRqg"", ""'Plan de Compras'!D4:Q""), 14, 0), """")"),"ALFIO")</f>
        <v>ALFIO</v>
      </c>
      <c r="AC93" s="72" t="str">
        <f>IFERROR(__xludf.DUMMYFUNCTION("IFERROR(VLOOKUP(G93,IMPORTRANGE(""https://docs.google.com/spreadsheets/d/12RxCea4e5ggM7QGn1XE3FbLQa_-QbCNdBi90OdPjRqg"", ""'Plan de Compras'!D4:Q""), 4, 0), """")"),"COMPÁS DE PUNTAS. (1 UND)")</f>
        <v>COMPÁS DE PUNTAS. (1 UND)</v>
      </c>
      <c r="AD93" s="37" t="str">
        <f>IFERROR(__xludf.DUMMYFUNCTION("IFERROR(IF(OR(C93=TRUE,C93=""""),VLOOKUP(G93,IMPORTRANGE(""https://docs.google.com/spreadsheets/d/1z9A1Wq-kKrhRNG5RS2a2fKpY1wIhSVz2ZNmP2mOl588/edit?usp=sharing"",""REQ VF!E4:H""),4,0),""NO APLICA""),""GENERAR REQ"")"),"GENERAR REQ")</f>
        <v>GENERAR REQ</v>
      </c>
      <c r="AE93" s="32" t="str">
        <f>IFERROR(__xludf.DUMMYFUNCTION("IFERROR(QUERY(IMPORTRANGE(""https://docs.google.com/spreadsheets/d/1z9A1Wq-kKrhRNG5RS2a2fKpY1wIhSVz2ZNmP2mOl588/edit?usp=sharing"",""REQ VF!E4:Q""),""SELECT Col10, Col11, Col12 WHERE Col1 = '""&amp;G93&amp;""'"",0),""NO APLICA"")"),"NO APLICA")</f>
        <v>NO APLICA</v>
      </c>
      <c r="AF93" s="32"/>
      <c r="AG93" s="32"/>
      <c r="AH93" s="13"/>
      <c r="AI93" s="13"/>
    </row>
    <row r="94">
      <c r="A94" s="121">
        <v>67.0</v>
      </c>
      <c r="B94" s="43" t="b">
        <v>1</v>
      </c>
      <c r="C94" s="26" t="b">
        <v>1</v>
      </c>
      <c r="D94" s="26" t="s">
        <v>35</v>
      </c>
      <c r="E94" s="26" t="s">
        <v>1510</v>
      </c>
      <c r="F94" s="59" t="s">
        <v>1806</v>
      </c>
      <c r="G94" s="37" t="s">
        <v>1806</v>
      </c>
      <c r="H94" s="82" t="s">
        <v>1807</v>
      </c>
      <c r="I94" s="43">
        <f>SUMIFS('Hoja 10'!$O:$O,'Hoja 10'!$F:$F,$G94)</f>
        <v>2</v>
      </c>
      <c r="J94" s="26">
        <f>IFERROR(__xludf.DUMMYFUNCTION("VLOOKUP(G94,IMPORTRANGE(""https://docs.google.com/spreadsheets/d/12RxCea4e5ggM7QGn1XE3FbLQa_-QbCNdBi90OdPjRqg/edit?gid=1692403370#gid=1692403370"", ""'Plan de Compras'!D4:2432""), 8,0)"),2.0)</f>
        <v>2</v>
      </c>
      <c r="K94" s="26" t="str">
        <f t="shared" si="1"/>
        <v>SI</v>
      </c>
      <c r="L94" s="29" t="s">
        <v>296</v>
      </c>
      <c r="M94" s="30" t="s">
        <v>297</v>
      </c>
      <c r="N94" s="32"/>
      <c r="O94" s="32" t="str">
        <f>VLOOKUP($G94,'Hoja 10'!$F$4:$AA1057, 19,0)</f>
        <v>Stanley / Bosch</v>
      </c>
      <c r="P94" s="32" t="str">
        <f>VLOOKUP($G94,'Hoja 10'!$F$4:$AA1057, 20,0)</f>
        <v>STMT74084 / 2608003042</v>
      </c>
      <c r="Q94" s="33" t="str">
        <f>VLOOKUP($G94,'Hoja 10'!$F$4:$AA1057, 21,0)</f>
        <v>https://cahema.pe/juego-de-herramientas/10393-juego-de-herramientas-14-38-y-12-143-piezas-stanley-stmt74084.html</v>
      </c>
      <c r="R94" s="30" t="s">
        <v>1808</v>
      </c>
      <c r="S94" s="44" t="b">
        <v>1</v>
      </c>
      <c r="T94" s="39" t="str">
        <f>IFERROR(__xludf.DUMMYFUNCTION(" IF
( VLOOKUP($G94,IMPORTRANGE(""https://docs.google.com/spreadsheets/d/1Gpl6jkTg7sL4VDNimUm3S9Vi1i95esohXCF3wuKOE8c"", ""'CONSOLIDADO'!G5:AB""), 10, 0) &lt;&gt; 0, 
IFERROR(VLOOKUP($G94,IMPORTRANGE(""https://docs.google.com/spreadsheets/d/1Gpl6jkTg7sL4VDNimUm3"&amp;"S9Vi1i95esohXCF3wuKOE8c"", ""'CONSOLIDADO'!G5:AB""), 17, 0), ""-""),
""""
)"),"TRUPER")</f>
        <v>TRUPER</v>
      </c>
      <c r="U94" s="39" t="str">
        <f>IFERROR(__xludf.DUMMYFUNCTION(" IF
( VLOOKUP($G94,IMPORTRANGE(""https://docs.google.com/spreadsheets/d/1Gpl6jkTg7sL4VDNimUm3S9Vi1i95esohXCF3wuKOE8c"", ""'CONSOLIDADO'!G5:AB""), 10, 0) &lt;&gt; 0, 
IFERROR(VLOOKUP($G94,IMPORTRANGE(""https://docs.google.com/spreadsheets/d/1Gpl6jkTg7sL4VDNimUm3"&amp;"S9Vi1i95esohXCF3wuKOE8c"", ""'CONSOLIDADO'!G5:AB""), 18, 0), ""-""),
""""
)"),"JD-135MP")</f>
        <v>JD-135MP</v>
      </c>
      <c r="V94" s="39" t="str">
        <f>IFERROR(__xludf.DUMMYFUNCTION(" IF
( VLOOKUP($G94,IMPORTRANGE(""https://docs.google.com/spreadsheets/d/1Gpl6jkTg7sL4VDNimUm3S9Vi1i95esohXCF3wuKOE8c"", ""'CONSOLIDADO'!G5:AB""), 10, 0) &lt;&gt; 0, 
IFERROR(VLOOKUP($G94,IMPORTRANGE(""https://docs.google.com/spreadsheets/d/1Gpl6jkTg7sL4VDNimUm3"&amp;"S9Vi1i95esohXCF3wuKOE8c"", ""'CONSOLIDADO'!G5:AB""), 17, 0), ""-""),
""""
)"),"TRUPER")</f>
        <v>TRUPER</v>
      </c>
      <c r="W94" s="39" t="str">
        <f>IFERROR(__xludf.DUMMYFUNCTION(" IF
( VLOOKUP($G94,IMPORTRANGE(""https://docs.google.com/spreadsheets/d/1Gpl6jkTg7sL4VDNimUm3S9Vi1i95esohXCF3wuKOE8c"", ""'CONSOLIDADO'!G5:AB""), 10, 0) &lt;&gt; 0, 
IFERROR(VLOOKUP($G94,IMPORTRANGE(""https://docs.google.com/spreadsheets/d/1Gpl6jkTg7sL4VDNimUm3"&amp;"S9Vi1i95esohXCF3wuKOE8c"", ""'CONSOLIDADO'!G5:AB""), 18, 0), ""-""),
""""
)"),"JD-135MP")</f>
        <v>JD-135MP</v>
      </c>
      <c r="X94" s="39" t="b">
        <f>IF(AND(T94=V94,W94=U94),TRUE,FALSE)</f>
        <v>1</v>
      </c>
      <c r="Y94" s="120" t="str">
        <f>IFERROR(__xludf.DUMMYFUNCTION(" IF
( VLOOKUP($G94,IMPORTRANGE(""https://docs.google.com/spreadsheets/d/1Gpl6jkTg7sL4VDNimUm3S9Vi1i95esohXCF3wuKOE8c"", ""'CONSOLIDADO'!G5:AB""), 10, 0) &lt;&gt; 0, 
IFERROR(VLOOKUP($G94,IMPORTRANGE(""https://docs.google.com/spreadsheets/d/1Gpl6jkTg7sL4VDNimUm3"&amp;"S9Vi1i95esohXCF3wuKOE8c"", ""'CONSOLIDADO'!G5:AB""), 19, 0), ""-""),
""""
)"),"https://www.truper.com/ficha_tecnica/Juego-de-autocle-135-piezas-standard-y-milimetricos-1640.html?code=13975")</f>
        <v>https://www.truper.com/ficha_tecnica/Juego-de-autocle-135-piezas-standard-y-milimetricos-1640.html?code=13975</v>
      </c>
      <c r="Z94" s="37" t="str">
        <f>IFERROR(__xludf.DUMMYFUNCTION("IFERROR(VLOOKUP(G94,IMPORTRANGE(""https://docs.google.com/spreadsheets/d/12RxCea4e5ggM7QGn1XE3FbLQa_-QbCNdBi90OdPjRqg"", ""'Plan de Compras'!D4:Q""), 12, 0), ""NO ESTÁ EN REQ"")"),"Técnica")</f>
        <v>Técnica</v>
      </c>
      <c r="AA94" s="37" t="str">
        <f>IFERROR(__xludf.DUMMYFUNCTION("IFERROR(VLOOKUP(G94,IMPORTRANGE(""https://docs.google.com/spreadsheets/d/12RxCea4e5ggM7QGn1XE3FbLQa_-QbCNdBi90OdPjRqg"", ""'Plan de Compras'!D4:Q""), 13, 0), """")"),"NACIONAL")</f>
        <v>NACIONAL</v>
      </c>
      <c r="AB94" s="32" t="str">
        <f>IFERROR(__xludf.DUMMYFUNCTION("IFERROR(VLOOKUP(G94,IMPORTRANGE(""https://docs.google.com/spreadsheets/d/12RxCea4e5ggM7QGn1XE3FbLQa_-QbCNdBi90OdPjRqg"", ""'Plan de Compras'!D4:Q""), 14, 0), """")"),"DIANA")</f>
        <v>DIANA</v>
      </c>
      <c r="AC94" s="72" t="str">
        <f>IFERROR(__xludf.DUMMYFUNCTION("IFERROR(VLOOKUP(G94,IMPORTRANGE(""https://docs.google.com/spreadsheets/d/12RxCea4e5ggM7QGn1XE3FbLQa_-QbCNdBi90OdPjRqg"", ""'Plan de Compras'!D4:Q""), 4, 0), """")"),"JUEGO DE DADOS")</f>
        <v>JUEGO DE DADOS</v>
      </c>
      <c r="AD94" s="37" t="str">
        <f>IFERROR(__xludf.DUMMYFUNCTION("IFERROR(IF(OR(C94=TRUE,C94=""""),VLOOKUP(G94,IMPORTRANGE(""https://docs.google.com/spreadsheets/d/1z9A1Wq-kKrhRNG5RS2a2fKpY1wIhSVz2ZNmP2mOl588/edit?usp=sharing"",""REQ VF!E4:H""),4,0),""NO APLICA""),""GENERAR REQ"")"),"GENERAR REQ")</f>
        <v>GENERAR REQ</v>
      </c>
      <c r="AE94" s="32" t="str">
        <f>IFERROR(__xludf.DUMMYFUNCTION("IFERROR(QUERY(IMPORTRANGE(""https://docs.google.com/spreadsheets/d/1z9A1Wq-kKrhRNG5RS2a2fKpY1wIhSVz2ZNmP2mOl588/edit?usp=sharing"",""REQ VF!E4:Q""),""SELECT Col10, Col11, Col12 WHERE Col1 = '""&amp;G94&amp;""'"",0),""NO APLICA"")"),"NO APLICA")</f>
        <v>NO APLICA</v>
      </c>
      <c r="AF94" s="32"/>
      <c r="AG94" s="32"/>
      <c r="AH94" s="13"/>
      <c r="AI94" s="13"/>
    </row>
    <row r="95">
      <c r="A95" s="43"/>
      <c r="B95" s="43"/>
      <c r="C95" s="26" t="b">
        <v>1</v>
      </c>
      <c r="D95" s="26" t="s">
        <v>42</v>
      </c>
      <c r="E95" s="26" t="s">
        <v>1510</v>
      </c>
      <c r="F95" s="59" t="s">
        <v>1806</v>
      </c>
      <c r="G95" s="39" t="s">
        <v>1809</v>
      </c>
      <c r="H95" s="82" t="str">
        <f>UPPER("Dados de impacto: entre 17 - 23 mm (1 UND)")</f>
        <v>DADOS DE IMPACTO: ENTRE 17 - 23 MM (1 UND)</v>
      </c>
      <c r="I95" s="43">
        <v>2.0</v>
      </c>
      <c r="J95" s="26">
        <f>IFERROR(__xludf.DUMMYFUNCTION("VLOOKUP(G95,IMPORTRANGE(""https://docs.google.com/spreadsheets/d/12RxCea4e5ggM7QGn1XE3FbLQa_-QbCNdBi90OdPjRqg/edit?gid=1692403370#gid=1692403370"", ""'Plan de Compras'!D4:2432""), 8,0)"),2.0)</f>
        <v>2</v>
      </c>
      <c r="K95" s="26" t="str">
        <f t="shared" si="1"/>
        <v>SI</v>
      </c>
      <c r="L95" s="26"/>
      <c r="M95" s="32"/>
      <c r="N95" s="32"/>
      <c r="O95" s="32"/>
      <c r="P95" s="32"/>
      <c r="Q95" s="33" t="s">
        <v>1810</v>
      </c>
      <c r="R95" s="32"/>
      <c r="S95" s="44" t="b">
        <v>0</v>
      </c>
      <c r="T95" s="39"/>
      <c r="U95" s="39"/>
      <c r="V95" s="39"/>
      <c r="W95" s="39"/>
      <c r="X95" s="39"/>
      <c r="Y95" s="124"/>
      <c r="Z95" s="37" t="str">
        <f>IFERROR(__xludf.DUMMYFUNCTION("IFERROR(VLOOKUP(G95,IMPORTRANGE(""https://docs.google.com/spreadsheets/d/12RxCea4e5ggM7QGn1XE3FbLQa_-QbCNdBi90OdPjRqg"", ""'Plan de Compras'!D4:Q""), 12, 0), ""NO ESTÁ EN REQ"")"),"Técnica")</f>
        <v>Técnica</v>
      </c>
      <c r="AA95" s="37" t="str">
        <f>IFERROR(__xludf.DUMMYFUNCTION("IFERROR(VLOOKUP(G95,IMPORTRANGE(""https://docs.google.com/spreadsheets/d/12RxCea4e5ggM7QGn1XE3FbLQa_-QbCNdBi90OdPjRqg"", ""'Plan de Compras'!D4:Q""), 13, 0), """")"),"INTERNACIONAL")</f>
        <v>INTERNACIONAL</v>
      </c>
      <c r="AB95" s="32" t="str">
        <f>IFERROR(__xludf.DUMMYFUNCTION("IFERROR(VLOOKUP(G95,IMPORTRANGE(""https://docs.google.com/spreadsheets/d/12RxCea4e5ggM7QGn1XE3FbLQa_-QbCNdBi90OdPjRqg"", ""'Plan de Compras'!D4:Q""), 14, 0), """")"),"GIANFRANCO")</f>
        <v>GIANFRANCO</v>
      </c>
      <c r="AC95" s="72" t="str">
        <f>IFERROR(__xludf.DUMMYFUNCTION("IFERROR(VLOOKUP(G95,IMPORTRANGE(""https://docs.google.com/spreadsheets/d/12RxCea4e5ggM7QGn1XE3FbLQa_-QbCNdBi90OdPjRqg"", ""'Plan de Compras'!D4:Q""), 4, 0), """")"),"DADOS DE IMPACTO: ENTRE 17 - 23 MM (1 UND)")</f>
        <v>DADOS DE IMPACTO: ENTRE 17 - 23 MM (1 UND)</v>
      </c>
      <c r="AD95" s="37" t="str">
        <f>IFERROR(__xludf.DUMMYFUNCTION("IFERROR(IF(OR(C95=TRUE,C95=""""),VLOOKUP(G95,IMPORTRANGE(""https://docs.google.com/spreadsheets/d/1z9A1Wq-kKrhRNG5RS2a2fKpY1wIhSVz2ZNmP2mOl588/edit?usp=sharing"",""REQ VF!E4:H""),4,0),""NO APLICA""),""GENERAR REQ"")"),"GENERAR REQ")</f>
        <v>GENERAR REQ</v>
      </c>
      <c r="AE95" s="32" t="str">
        <f>IFERROR(__xludf.DUMMYFUNCTION("IFERROR(QUERY(IMPORTRANGE(""https://docs.google.com/spreadsheets/d/1z9A1Wq-kKrhRNG5RS2a2fKpY1wIhSVz2ZNmP2mOl588/edit?usp=sharing"",""REQ VF!E4:Q""),""SELECT Col10, Col11, Col12 WHERE Col1 = '""&amp;G95&amp;""'"",0),""NO APLICA"")"),"NO APLICA")</f>
        <v>NO APLICA</v>
      </c>
      <c r="AF95" s="32"/>
      <c r="AG95" s="32"/>
      <c r="AH95" s="13"/>
      <c r="AI95" s="13"/>
    </row>
    <row r="96">
      <c r="A96" s="121">
        <v>68.0</v>
      </c>
      <c r="B96" s="43" t="b">
        <v>1</v>
      </c>
      <c r="C96" s="26" t="b">
        <v>1</v>
      </c>
      <c r="D96" s="26" t="s">
        <v>35</v>
      </c>
      <c r="E96" s="26" t="s">
        <v>1510</v>
      </c>
      <c r="F96" s="59" t="s">
        <v>1811</v>
      </c>
      <c r="G96" s="37" t="s">
        <v>1811</v>
      </c>
      <c r="H96" s="82" t="s">
        <v>1812</v>
      </c>
      <c r="I96" s="43">
        <f>SUMIFS('Hoja 10'!$O:$O,'Hoja 10'!$F:$F,$G96)</f>
        <v>2</v>
      </c>
      <c r="J96" s="26">
        <f>IFERROR(__xludf.DUMMYFUNCTION("VLOOKUP(G96,IMPORTRANGE(""https://docs.google.com/spreadsheets/d/12RxCea4e5ggM7QGn1XE3FbLQa_-QbCNdBi90OdPjRqg/edit?gid=1692403370#gid=1692403370"", ""'Plan de Compras'!D4:2432""), 8,0)"),2.0)</f>
        <v>2</v>
      </c>
      <c r="K96" s="26" t="str">
        <f t="shared" si="1"/>
        <v>SI</v>
      </c>
      <c r="L96" s="29" t="s">
        <v>296</v>
      </c>
      <c r="M96" s="30" t="s">
        <v>297</v>
      </c>
      <c r="N96" s="32"/>
      <c r="O96" s="32" t="str">
        <f>VLOOKUP($G96,'Hoja 10'!$F$4:$AA1057, 19,0)</f>
        <v>TOTAL TOOLS</v>
      </c>
      <c r="P96" s="32" t="str">
        <f>VLOOKUP($G96,'Hoja 10'!$F$4:$AA1057, 20,0)</f>
        <v>TACSR02406</v>
      </c>
      <c r="Q96" s="33" t="str">
        <f>VLOOKUP($G96,'Hoja 10'!$F$4:$AA1057, 21,0)</f>
        <v>https://www.falabella.com.pe/falabella-pe/product/122883887/SET-DE-24-FRESAS-PRO-6MM-PARA-RUTEADORA-CANTEADORA-TOTAL-TACSR02406/122883889</v>
      </c>
      <c r="R96" s="30" t="s">
        <v>1813</v>
      </c>
      <c r="S96" s="44" t="b">
        <v>1</v>
      </c>
      <c r="T96" s="39" t="str">
        <f>IFERROR(__xludf.DUMMYFUNCTION(" IF
( VLOOKUP($G96,IMPORTRANGE(""https://docs.google.com/spreadsheets/d/1Gpl6jkTg7sL4VDNimUm3S9Vi1i95esohXCF3wuKOE8c"", ""'CONSOLIDADO'!G5:AB""), 10, 0) &lt;&gt; 0, 
IFERROR(VLOOKUP($G96,IMPORTRANGE(""https://docs.google.com/spreadsheets/d/1Gpl6jkTg7sL4VDNimUm3"&amp;"S9Vi1i95esohXCF3wuKOE8c"", ""'CONSOLIDADO'!G5:AB""), 17, 0), ""-""),
""""
)"),"UYUSTOOLS")</f>
        <v>UYUSTOOLS</v>
      </c>
      <c r="U96" s="39" t="str">
        <f>IFERROR(__xludf.DUMMYFUNCTION(" IF
( VLOOKUP($G96,IMPORTRANGE(""https://docs.google.com/spreadsheets/d/1Gpl6jkTg7sL4VDNimUm3S9Vi1i95esohXCF3wuKOE8c"", ""'CONSOLIDADO'!G5:AB""), 10, 0) &lt;&gt; 0, 
IFERROR(VLOOKUP($G96,IMPORTRANGE(""https://docs.google.com/spreadsheets/d/1Gpl6jkTg7sL4VDNimUm3"&amp;"S9Vi1i95esohXCF3wuKOE8c"", ""'CONSOLIDADO'!G5:AB""), 18, 0), ""-""),
""""
)"),"CQT024")</f>
        <v>CQT024</v>
      </c>
      <c r="V96" s="39" t="str">
        <f>IFERROR(__xludf.DUMMYFUNCTION(" IF
( VLOOKUP($G96,IMPORTRANGE(""https://docs.google.com/spreadsheets/d/1Gpl6jkTg7sL4VDNimUm3S9Vi1i95esohXCF3wuKOE8c"", ""'CONSOLIDADO'!G5:AB""), 10, 0) &lt;&gt; 0, 
IFERROR(VLOOKUP($G96,IMPORTRANGE(""https://docs.google.com/spreadsheets/d/1Gpl6jkTg7sL4VDNimUm3"&amp;"S9Vi1i95esohXCF3wuKOE8c"", ""'CONSOLIDADO'!G5:AB""), 17, 0), ""-""),
""""
)"),"UYUSTOOLS")</f>
        <v>UYUSTOOLS</v>
      </c>
      <c r="W96" s="39" t="str">
        <f>IFERROR(__xludf.DUMMYFUNCTION(" IF
( VLOOKUP($G96,IMPORTRANGE(""https://docs.google.com/spreadsheets/d/1Gpl6jkTg7sL4VDNimUm3S9Vi1i95esohXCF3wuKOE8c"", ""'CONSOLIDADO'!G5:AB""), 10, 0) &lt;&gt; 0, 
IFERROR(VLOOKUP($G96,IMPORTRANGE(""https://docs.google.com/spreadsheets/d/1Gpl6jkTg7sL4VDNimUm3"&amp;"S9Vi1i95esohXCF3wuKOE8c"", ""'CONSOLIDADO'!G5:AB""), 18, 0), ""-""),
""""
)"),"CQT024")</f>
        <v>CQT024</v>
      </c>
      <c r="X96" s="39" t="b">
        <f t="shared" ref="X96:X100" si="11">IF(AND(T96=V96,W96=U96),TRUE,FALSE)</f>
        <v>1</v>
      </c>
      <c r="Y96" s="120" t="str">
        <f>IFERROR(__xludf.DUMMYFUNCTION(" IF
( VLOOKUP($G96,IMPORTRANGE(""https://docs.google.com/spreadsheets/d/1Gpl6jkTg7sL4VDNimUm3S9Vi1i95esohXCF3wuKOE8c"", ""'CONSOLIDADO'!G5:AB""), 10, 0) &lt;&gt; 0, 
IFERROR(VLOOKUP($G96,IMPORTRANGE(""https://docs.google.com/spreadsheets/d/1Gpl6jkTg7sL4VDNimUm3"&amp;"S9Vi1i95esohXCF3wuKOE8c"", ""'CONSOLIDADO'!G5:AB""), 19, 0), ""-""),
""""
)"),"https://www.itools.pe/product/juego-de-fresas-1-4-para-madera?srsltid=AfmBOoocm6Kc-SBxYH3geEBJQ1FWp4a83bFoAw6oYFLUSMBlJ46FSOp4")</f>
        <v>https://www.itools.pe/product/juego-de-fresas-1-4-para-madera?srsltid=AfmBOoocm6Kc-SBxYH3geEBJQ1FWp4a83bFoAw6oYFLUSMBlJ46FSOp4</v>
      </c>
      <c r="Z96" s="37" t="str">
        <f>IFERROR(__xludf.DUMMYFUNCTION("IFERROR(VLOOKUP(G96,IMPORTRANGE(""https://docs.google.com/spreadsheets/d/12RxCea4e5ggM7QGn1XE3FbLQa_-QbCNdBi90OdPjRqg"", ""'Plan de Compras'!D4:Q""), 12, 0), ""NO ESTÁ EN REQ"")"),"Técnica")</f>
        <v>Técnica</v>
      </c>
      <c r="AA96" s="37" t="str">
        <f>IFERROR(__xludf.DUMMYFUNCTION("IFERROR(VLOOKUP(G96,IMPORTRANGE(""https://docs.google.com/spreadsheets/d/12RxCea4e5ggM7QGn1XE3FbLQa_-QbCNdBi90OdPjRqg"", ""'Plan de Compras'!D4:Q""), 13, 0), """")"),"NACIONAL")</f>
        <v>NACIONAL</v>
      </c>
      <c r="AB96" s="32" t="str">
        <f>IFERROR(__xludf.DUMMYFUNCTION("IFERROR(VLOOKUP(G96,IMPORTRANGE(""https://docs.google.com/spreadsheets/d/12RxCea4e5ggM7QGn1XE3FbLQa_-QbCNdBi90OdPjRqg"", ""'Plan de Compras'!D4:Q""), 14, 0), """")"),"ALFIO")</f>
        <v>ALFIO</v>
      </c>
      <c r="AC96" s="72" t="str">
        <f>IFERROR(__xludf.DUMMYFUNCTION("IFERROR(VLOOKUP(G96,IMPORTRANGE(""https://docs.google.com/spreadsheets/d/12RxCea4e5ggM7QGn1XE3FbLQa_-QbCNdBi90OdPjRqg"", ""'Plan de Compras'!D4:Q""), 4, 0), """")"),"JUEGO DE FRESAS PARA RUTEADORA")</f>
        <v>JUEGO DE FRESAS PARA RUTEADORA</v>
      </c>
      <c r="AD96" s="37" t="str">
        <f>IFERROR(__xludf.DUMMYFUNCTION("IFERROR(IF(OR(C96=TRUE,C96=""""),VLOOKUP(G96,IMPORTRANGE(""https://docs.google.com/spreadsheets/d/1z9A1Wq-kKrhRNG5RS2a2fKpY1wIhSVz2ZNmP2mOl588/edit?usp=sharing"",""REQ VF!E4:H""),4,0),""NO APLICA""),""GENERAR REQ"")"),"GENERAR REQ")</f>
        <v>GENERAR REQ</v>
      </c>
      <c r="AE96" s="32" t="str">
        <f>IFERROR(__xludf.DUMMYFUNCTION("IFERROR(QUERY(IMPORTRANGE(""https://docs.google.com/spreadsheets/d/1z9A1Wq-kKrhRNG5RS2a2fKpY1wIhSVz2ZNmP2mOl588/edit?usp=sharing"",""REQ VF!E4:Q""),""SELECT Col10, Col11, Col12 WHERE Col1 = '""&amp;G96&amp;""'"",0),""NO APLICA"")"),"NO APLICA")</f>
        <v>NO APLICA</v>
      </c>
      <c r="AF96" s="32"/>
      <c r="AG96" s="32"/>
      <c r="AH96" s="8" t="s">
        <v>52</v>
      </c>
      <c r="AI96" s="13"/>
    </row>
    <row r="97">
      <c r="A97" s="121">
        <v>69.0</v>
      </c>
      <c r="B97" s="43" t="b">
        <v>1</v>
      </c>
      <c r="C97" s="26" t="b">
        <v>1</v>
      </c>
      <c r="D97" s="26" t="s">
        <v>35</v>
      </c>
      <c r="E97" s="26" t="s">
        <v>1510</v>
      </c>
      <c r="F97" s="59" t="s">
        <v>1814</v>
      </c>
      <c r="G97" s="37" t="s">
        <v>1814</v>
      </c>
      <c r="H97" s="82" t="s">
        <v>1815</v>
      </c>
      <c r="I97" s="43">
        <f>SUMIFS('Hoja 10'!$O:$O,'Hoja 10'!$F:$F,$G97)</f>
        <v>2</v>
      </c>
      <c r="J97" s="26">
        <f>IFERROR(__xludf.DUMMYFUNCTION("VLOOKUP(G97,IMPORTRANGE(""https://docs.google.com/spreadsheets/d/12RxCea4e5ggM7QGn1XE3FbLQa_-QbCNdBi90OdPjRqg/edit?gid=1692403370#gid=1692403370"", ""'Plan de Compras'!D4:2432""), 8,0)"),2.0)</f>
        <v>2</v>
      </c>
      <c r="K97" s="26" t="str">
        <f t="shared" si="1"/>
        <v>SI</v>
      </c>
      <c r="L97" s="29" t="s">
        <v>296</v>
      </c>
      <c r="M97" s="30" t="s">
        <v>297</v>
      </c>
      <c r="N97" s="32"/>
      <c r="O97" s="32" t="str">
        <f>VLOOKUP($G97,'Hoja 10'!$F$4:$AA1057, 19,0)</f>
        <v>Powertec</v>
      </c>
      <c r="P97" s="32">
        <f>VLOOKUP($G97,'Hoja 10'!$F$4:$AA1057, 20,0)</f>
        <v>71824</v>
      </c>
      <c r="Q97" s="33" t="str">
        <f>VLOOKUP($G97,'Hoja 10'!$F$4:$AA1057, 21,0)</f>
        <v>https://powertecproducts.com/71824-wood-lathe-chisel-8-piece-set-wood-lathe-turning-tools/?srsltid=AfmBOooWj-HEZhPkgZrfepRVd1jqJFXxLhqmtZ9ksQ8ixv9WpfGwXJxg</v>
      </c>
      <c r="R97" s="30" t="s">
        <v>1816</v>
      </c>
      <c r="S97" s="44" t="b">
        <v>1</v>
      </c>
      <c r="T97" s="39" t="str">
        <f>IFERROR(__xludf.DUMMYFUNCTION(" IF
( VLOOKUP($G97,IMPORTRANGE(""https://docs.google.com/spreadsheets/d/1Gpl6jkTg7sL4VDNimUm3S9Vi1i95esohXCF3wuKOE8c"", ""'CONSOLIDADO'!G5:AB""), 10, 0) &lt;&gt; 0, 
IFERROR(VLOOKUP($G97,IMPORTRANGE(""https://docs.google.com/spreadsheets/d/1Gpl6jkTg7sL4VDNimUm3"&amp;"S9Vi1i95esohXCF3wuKOE8c"", ""'CONSOLIDADO'!G5:AB""), 17, 0), ""-""),
""""
)"),"IMOTECHOM")</f>
        <v>IMOTECHOM</v>
      </c>
      <c r="U97" s="39" t="str">
        <f>IFERROR(__xludf.DUMMYFUNCTION(" IF
( VLOOKUP($G97,IMPORTRANGE(""https://docs.google.com/spreadsheets/d/1Gpl6jkTg7sL4VDNimUm3S9Vi1i95esohXCF3wuKOE8c"", ""'CONSOLIDADO'!G5:AB""), 10, 0) &lt;&gt; 0, 
IFERROR(VLOOKUP($G97,IMPORTRANGE(""https://docs.google.com/spreadsheets/d/1Gpl6jkTg7sL4VDNimUm3"&amp;"S9Vi1i95esohXCF3wuKOE8c"", ""'CONSOLIDADO'!G5:AB""), 18, 0), ""-""),
""""
)"),"MTA0001A")</f>
        <v>MTA0001A</v>
      </c>
      <c r="V97" s="39" t="str">
        <f>IFERROR(__xludf.DUMMYFUNCTION(" IF
( VLOOKUP($G97,IMPORTRANGE(""https://docs.google.com/spreadsheets/d/1Gpl6jkTg7sL4VDNimUm3S9Vi1i95esohXCF3wuKOE8c"", ""'CONSOLIDADO'!G5:AB""), 10, 0) &lt;&gt; 0, 
IFERROR(VLOOKUP($G97,IMPORTRANGE(""https://docs.google.com/spreadsheets/d/1Gpl6jkTg7sL4VDNimUm3"&amp;"S9Vi1i95esohXCF3wuKOE8c"", ""'CONSOLIDADO'!G5:AB""), 17, 0), ""-""),
""""
)"),"IMOTECHOM")</f>
        <v>IMOTECHOM</v>
      </c>
      <c r="W97" s="39" t="str">
        <f>IFERROR(__xludf.DUMMYFUNCTION(" IF
( VLOOKUP($G97,IMPORTRANGE(""https://docs.google.com/spreadsheets/d/1Gpl6jkTg7sL4VDNimUm3S9Vi1i95esohXCF3wuKOE8c"", ""'CONSOLIDADO'!G5:AB""), 10, 0) &lt;&gt; 0, 
IFERROR(VLOOKUP($G97,IMPORTRANGE(""https://docs.google.com/spreadsheets/d/1Gpl6jkTg7sL4VDNimUm3"&amp;"S9Vi1i95esohXCF3wuKOE8c"", ""'CONSOLIDADO'!G5:AB""), 18, 0), ""-""),
""""
)"),"MTA0001A")</f>
        <v>MTA0001A</v>
      </c>
      <c r="X97" s="39" t="b">
        <f t="shared" si="11"/>
        <v>1</v>
      </c>
      <c r="Y97" s="120" t="str">
        <f>IFERROR(__xludf.DUMMYFUNCTION(" IF
( VLOOKUP($G97,IMPORTRANGE(""https://docs.google.com/spreadsheets/d/1Gpl6jkTg7sL4VDNimUm3S9Vi1i95esohXCF3wuKOE8c"", ""'CONSOLIDADO'!G5:AB""), 10, 0) &lt;&gt; 0, 
IFERROR(VLOOKUP($G97,IMPORTRANGE(""https://docs.google.com/spreadsheets/d/1Gpl6jkTg7sL4VDNimUm3"&amp;"S9Vi1i95esohXCF3wuKOE8c"", ""'CONSOLIDADO'!G5:AB""), 19, 0), ""-""),
""""
)"),"https://www.amazon.com/-/es/IMOTECHOM-Juego-cinceles-madera-piezas/dp/B07RN4G83B/ref=sr_1_11?__mk_es_US=%C3%85M%C3%85%C5%BD%C3%95%C3%91&amp;crid=2AUEBLT5XC0M9&amp;dib=eyJ2IjoiMSJ9.6ocz4V8b3RAvMEfWVyNy4eARkLdfdE9w7dn6_7t0zV2HTn8J8JhPPRflFdlrz8539noCFYQbAekzAI0bBI6"&amp;"JzpZTiWWQi6V5aI01LojrsiauJrX0_QhtfJdSOJ4sp00_FbabqR1EjWnc8qxZgLEvsrw0nQL2nJSE9W63OrT2rDA3G5Iv27evhfdNUzGdoZekPlEQtwHLUk7Q84PU3KT_tA5FhZXtTPE4Pwf2GSu_6nmVqWYcpAznED1JEezU_FGtzd71MFTQQkfk4HbAMW4pb7YtW6gnsgWKUYsG2HjUoAY.Y5G7idF6ZpuJRnm9bZu8BcTioJ1_7WyDkriFUg"&amp;"haZjI&amp;dib_tag=se&amp;keywords=JUEGO+DE+CINCELES+IMOTECHOM&amp;qid=1763063717&amp;sprefix=juego+de+cinceles+imotechom%2Caps%2C221&amp;sr=8-11")</f>
        <v>https://www.amazon.com/-/es/IMOTECHOM-Juego-cinceles-madera-piezas/dp/B07RN4G83B/ref=sr_1_11?__mk_es_US=%C3%85M%C3%85%C5%BD%C3%95%C3%91&amp;crid=2AUEBLT5XC0M9&amp;dib=eyJ2IjoiMSJ9.6ocz4V8b3RAvMEfWVyNy4eARkLdfdE9w7dn6_7t0zV2HTn8J8JhPPRflFdlrz8539noCFYQbAekzAI0bBI6JzpZTiWWQi6V5aI01LojrsiauJrX0_QhtfJdSOJ4sp00_FbabqR1EjWnc8qxZgLEvsrw0nQL2nJSE9W63OrT2rDA3G5Iv27evhfdNUzGdoZekPlEQtwHLUk7Q84PU3KT_tA5FhZXtTPE4Pwf2GSu_6nmVqWYcpAznED1JEezU_FGtzd71MFTQQkfk4HbAMW4pb7YtW6gnsgWKUYsG2HjUoAY.Y5G7idF6ZpuJRnm9bZu8BcTioJ1_7WyDkriFUghaZjI&amp;dib_tag=se&amp;keywords=JUEGO+DE+CINCELES+IMOTECHOM&amp;qid=1763063717&amp;sprefix=juego+de+cinceles+imotechom%2Caps%2C221&amp;sr=8-11</v>
      </c>
      <c r="Z97" s="37" t="str">
        <f>IFERROR(__xludf.DUMMYFUNCTION("IFERROR(VLOOKUP(G97,IMPORTRANGE(""https://docs.google.com/spreadsheets/d/12RxCea4e5ggM7QGn1XE3FbLQa_-QbCNdBi90OdPjRqg"", ""'Plan de Compras'!D4:Q""), 12, 0), ""NO ESTÁ EN REQ"")"),"Técnica")</f>
        <v>Técnica</v>
      </c>
      <c r="AA97" s="37" t="str">
        <f>IFERROR(__xludf.DUMMYFUNCTION("IFERROR(VLOOKUP(G97,IMPORTRANGE(""https://docs.google.com/spreadsheets/d/12RxCea4e5ggM7QGn1XE3FbLQa_-QbCNdBi90OdPjRqg"", ""'Plan de Compras'!D4:Q""), 13, 0), """")"),"INTERNACIONAL")</f>
        <v>INTERNACIONAL</v>
      </c>
      <c r="AB97" s="32" t="str">
        <f>IFERROR(__xludf.DUMMYFUNCTION("IFERROR(VLOOKUP(G97,IMPORTRANGE(""https://docs.google.com/spreadsheets/d/12RxCea4e5ggM7QGn1XE3FbLQa_-QbCNdBi90OdPjRqg"", ""'Plan de Compras'!D4:Q""), 14, 0), """")"),"GIANFRANCO")</f>
        <v>GIANFRANCO</v>
      </c>
      <c r="AC97" s="72" t="str">
        <f>IFERROR(__xludf.DUMMYFUNCTION("IFERROR(VLOOKUP(G97,IMPORTRANGE(""https://docs.google.com/spreadsheets/d/12RxCea4e5ggM7QGn1XE3FbLQa_-QbCNdBi90OdPjRqg"", ""'Plan de Compras'!D4:Q""), 4, 0), """")"),"JUEGO DE GUBIAS PARA TORNO")</f>
        <v>JUEGO DE GUBIAS PARA TORNO</v>
      </c>
      <c r="AD97" s="37" t="str">
        <f>IFERROR(__xludf.DUMMYFUNCTION("IFERROR(IF(OR(C97=TRUE,C97=""""),VLOOKUP(G97,IMPORTRANGE(""https://docs.google.com/spreadsheets/d/1z9A1Wq-kKrhRNG5RS2a2fKpY1wIhSVz2ZNmP2mOl588/edit?usp=sharing"",""REQ VF!E4:H""),4,0),""NO APLICA""),""GENERAR REQ"")"),"GENERAR REQ")</f>
        <v>GENERAR REQ</v>
      </c>
      <c r="AE97" s="32" t="str">
        <f>IFERROR(__xludf.DUMMYFUNCTION("IFERROR(QUERY(IMPORTRANGE(""https://docs.google.com/spreadsheets/d/1z9A1Wq-kKrhRNG5RS2a2fKpY1wIhSVz2ZNmP2mOl588/edit?usp=sharing"",""REQ VF!E4:Q""),""SELECT Col10, Col11, Col12 WHERE Col1 = '""&amp;G97&amp;""'"",0),""NO APLICA"")"),"NO APLICA")</f>
        <v>NO APLICA</v>
      </c>
      <c r="AF97" s="32"/>
      <c r="AG97" s="32"/>
      <c r="AH97" s="8" t="s">
        <v>52</v>
      </c>
      <c r="AI97" s="13"/>
    </row>
    <row r="98">
      <c r="A98" s="117">
        <v>70.0</v>
      </c>
      <c r="B98" s="43" t="b">
        <v>1</v>
      </c>
      <c r="C98" s="26" t="b">
        <v>1</v>
      </c>
      <c r="D98" s="26" t="s">
        <v>35</v>
      </c>
      <c r="E98" s="26" t="s">
        <v>1510</v>
      </c>
      <c r="F98" s="59" t="s">
        <v>1817</v>
      </c>
      <c r="G98" s="37" t="s">
        <v>1817</v>
      </c>
      <c r="H98" s="82" t="s">
        <v>1818</v>
      </c>
      <c r="I98" s="43">
        <f>SUMIFS('Hoja 10'!$O:$O,'Hoja 10'!$F:$F,$G98)</f>
        <v>8</v>
      </c>
      <c r="J98" s="26">
        <f>IFERROR(__xludf.DUMMYFUNCTION("VLOOKUP(G98,IMPORTRANGE(""https://docs.google.com/spreadsheets/d/12RxCea4e5ggM7QGn1XE3FbLQa_-QbCNdBi90OdPjRqg/edit?gid=1692403370#gid=1692403370"", ""'Plan de Compras'!D4:2432""), 8,0)"),8.0)</f>
        <v>8</v>
      </c>
      <c r="K98" s="26" t="str">
        <f t="shared" si="1"/>
        <v>SI</v>
      </c>
      <c r="L98" s="29" t="s">
        <v>296</v>
      </c>
      <c r="M98" s="30" t="s">
        <v>297</v>
      </c>
      <c r="N98" s="32"/>
      <c r="O98" s="32" t="str">
        <f>VLOOKUP($G98,'Hoja 10'!$F$4:$AA1057, 19,0)</f>
        <v>Bosch</v>
      </c>
      <c r="P98" s="32" t="str">
        <f>VLOOKUP($G98,'Hoja 10'!$F$4:$AA1057, 20,0)</f>
        <v>‎2607010629</v>
      </c>
      <c r="Q98" s="33" t="str">
        <f>VLOOKUP($G98,'Hoja 10'!$F$4:$AA1057, 21,0)</f>
        <v>https://www.amazon.es/gp/aw/d/B003TWP1QO/?_encoding=UTF8&amp;pd_rd_plhdr=t&amp;aaxitk=ceec0845d84f627cb4098bd391f12fc1&amp;hsa_cr_id=0&amp;qid=1759012999&amp;sr=1-1-e0fa1fdd-d857-4087-adda-5bd576b25987&amp;ref_=sbx_be_s_sparkle_dlcd_asin_0_title&amp;pd_rd_w=qidzl&amp;content-id=amzn1.sym.4b9f096f-8599-402f-8225-de45f1b84474%3Aamzn1.sym.4b9f096f-8599-402f-8225-de45f1b84474&amp;pf_rd_p=4b9f096f-8599-402f-8225-de45f1b84474&amp;pf_rd_r=AEYKGXZKKBTNJ113WC6F&amp;pd_rd_wg=kSyy1&amp;pd_rd_r=c92e7bd8-2f09-4ab6-ba23-47715b7249f8&amp;th=1</v>
      </c>
      <c r="R98" s="30" t="s">
        <v>1819</v>
      </c>
      <c r="S98" s="44" t="b">
        <v>1</v>
      </c>
      <c r="T98" s="39" t="str">
        <f>IFERROR(__xludf.DUMMYFUNCTION(" IF
( VLOOKUP($G98,IMPORTRANGE(""https://docs.google.com/spreadsheets/d/1Gpl6jkTg7sL4VDNimUm3S9Vi1i95esohXCF3wuKOE8c"", ""'CONSOLIDADO'!G5:AB""), 10, 0) &lt;&gt; 0, 
IFERROR(VLOOKUP($G98,IMPORTRANGE(""https://docs.google.com/spreadsheets/d/1Gpl6jkTg7sL4VDNimUm3"&amp;"S9Vi1i95esohXCF3wuKOE8c"", ""'CONSOLIDADO'!G5:AB""), 17, 0), ""-""),
""""
)"),"BOSCH")</f>
        <v>BOSCH</v>
      </c>
      <c r="U98" s="39">
        <f>IFERROR(__xludf.DUMMYFUNCTION(" IF
( VLOOKUP($G98,IMPORTRANGE(""https://docs.google.com/spreadsheets/d/1Gpl6jkTg7sL4VDNimUm3S9Vi1i95esohXCF3wuKOE8c"", ""'CONSOLIDADO'!G5:AB""), 10, 0) &lt;&gt; 0, 
IFERROR(VLOOKUP($G98,IMPORTRANGE(""https://docs.google.com/spreadsheets/d/1Gpl6jkTg7sL4VDNimUm3"&amp;"S9Vi1i95esohXCF3wuKOE8c"", ""'CONSOLIDADO'!G5:AB""), 18, 0), ""-""),
""""
)"),2.607010629E9)</f>
        <v>2607010629</v>
      </c>
      <c r="V98" s="39" t="str">
        <f>IFERROR(__xludf.DUMMYFUNCTION(" IF
( VLOOKUP($G98,IMPORTRANGE(""https://docs.google.com/spreadsheets/d/1Gpl6jkTg7sL4VDNimUm3S9Vi1i95esohXCF3wuKOE8c"", ""'CONSOLIDADO'!G5:AB""), 10, 0) &lt;&gt; 0, 
IFERROR(VLOOKUP($G98,IMPORTRANGE(""https://docs.google.com/spreadsheets/d/1Gpl6jkTg7sL4VDNimUm3"&amp;"S9Vi1i95esohXCF3wuKOE8c"", ""'CONSOLIDADO'!G5:AB""), 17, 0), ""-""),
""""
)"),"BOSCH")</f>
        <v>BOSCH</v>
      </c>
      <c r="W98" s="39">
        <f>IFERROR(__xludf.DUMMYFUNCTION(" IF
( VLOOKUP($G98,IMPORTRANGE(""https://docs.google.com/spreadsheets/d/1Gpl6jkTg7sL4VDNimUm3S9Vi1i95esohXCF3wuKOE8c"", ""'CONSOLIDADO'!G5:AB""), 10, 0) &lt;&gt; 0, 
IFERROR(VLOOKUP($G98,IMPORTRANGE(""https://docs.google.com/spreadsheets/d/1Gpl6jkTg7sL4VDNimUm3"&amp;"S9Vi1i95esohXCF3wuKOE8c"", ""'CONSOLIDADO'!G5:AB""), 18, 0), ""-""),
""""
)"),2.607010629E9)</f>
        <v>2607010629</v>
      </c>
      <c r="X98" s="39" t="b">
        <f t="shared" si="11"/>
        <v>1</v>
      </c>
      <c r="Y98" s="120" t="str">
        <f>IFERROR(__xludf.DUMMYFUNCTION(" IF
( VLOOKUP($G98,IMPORTRANGE(""https://docs.google.com/spreadsheets/d/1Gpl6jkTg7sL4VDNimUm3S9Vi1i95esohXCF3wuKOE8c"", ""'CONSOLIDADO'!G5:AB""), 10, 0) &lt;&gt; 0, 
IFERROR(VLOOKUP($G98,IMPORTRANGE(""https://docs.google.com/spreadsheets/d/1Gpl6jkTg7sL4VDNimUm3"&amp;"S9Vi1i95esohXCF3wuKOE8c"", ""'CONSOLIDADO'!G5:AB""), 19, 0), ""-""),
""""
)"),"https://www.amazon.es/Bosch-2607010629-Hojas-Sierra-Piezas/dp/B003TWP1QO?th=1")</f>
        <v>https://www.amazon.es/Bosch-2607010629-Hojas-Sierra-Piezas/dp/B003TWP1QO?th=1</v>
      </c>
      <c r="Z98" s="37" t="str">
        <f>IFERROR(__xludf.DUMMYFUNCTION("IFERROR(VLOOKUP(G98,IMPORTRANGE(""https://docs.google.com/spreadsheets/d/12RxCea4e5ggM7QGn1XE3FbLQa_-QbCNdBi90OdPjRqg"", ""'Plan de Compras'!D4:Q""), 12, 0), ""NO ESTÁ EN REQ"")"),"Técnica")</f>
        <v>Técnica</v>
      </c>
      <c r="AA98" s="37" t="str">
        <f>IFERROR(__xludf.DUMMYFUNCTION("IFERROR(VLOOKUP(G98,IMPORTRANGE(""https://docs.google.com/spreadsheets/d/12RxCea4e5ggM7QGn1XE3FbLQa_-QbCNdBi90OdPjRqg"", ""'Plan de Compras'!D4:Q""), 13, 0), """")"),"INTERNACIONAL")</f>
        <v>INTERNACIONAL</v>
      </c>
      <c r="AB98" s="32" t="str">
        <f>IFERROR(__xludf.DUMMYFUNCTION("IFERROR(VLOOKUP(G98,IMPORTRANGE(""https://docs.google.com/spreadsheets/d/12RxCea4e5ggM7QGn1XE3FbLQa_-QbCNdBi90OdPjRqg"", ""'Plan de Compras'!D4:Q""), 14, 0), """")"),"GIANFRANCO")</f>
        <v>GIANFRANCO</v>
      </c>
      <c r="AC98" s="72" t="str">
        <f>IFERROR(__xludf.DUMMYFUNCTION("IFERROR(VLOOKUP(G98,IMPORTRANGE(""https://docs.google.com/spreadsheets/d/12RxCea4e5ggM7QGn1XE3FbLQa_-QbCNdBi90OdPjRqg"", ""'Plan de Compras'!D4:Q""), 4, 0), """")"),"JUEGO DE HOJAS DE SIERRA")</f>
        <v>JUEGO DE HOJAS DE SIERRA</v>
      </c>
      <c r="AD98" s="37" t="str">
        <f>IFERROR(__xludf.DUMMYFUNCTION("IFERROR(IF(OR(C98=TRUE,C98=""""),VLOOKUP(G98,IMPORTRANGE(""https://docs.google.com/spreadsheets/d/1z9A1Wq-kKrhRNG5RS2a2fKpY1wIhSVz2ZNmP2mOl588/edit?usp=sharing"",""REQ VF!E4:H""),4,0),""NO APLICA""),""GENERAR REQ"")"),"GENERAR REQ")</f>
        <v>GENERAR REQ</v>
      </c>
      <c r="AE98" s="32" t="str">
        <f>IFERROR(__xludf.DUMMYFUNCTION("IFERROR(QUERY(IMPORTRANGE(""https://docs.google.com/spreadsheets/d/1z9A1Wq-kKrhRNG5RS2a2fKpY1wIhSVz2ZNmP2mOl588/edit?usp=sharing"",""REQ VF!E4:Q""),""SELECT Col10, Col11, Col12 WHERE Col1 = '""&amp;G98&amp;""'"",0),""NO APLICA"")"),"NO APLICA")</f>
        <v>NO APLICA</v>
      </c>
      <c r="AF98" s="32"/>
      <c r="AG98" s="32"/>
      <c r="AH98" s="8" t="s">
        <v>52</v>
      </c>
      <c r="AI98" s="8"/>
    </row>
    <row r="99">
      <c r="A99" s="117">
        <v>71.0</v>
      </c>
      <c r="B99" s="43" t="b">
        <v>1</v>
      </c>
      <c r="C99" s="26" t="b">
        <v>1</v>
      </c>
      <c r="D99" s="26" t="s">
        <v>35</v>
      </c>
      <c r="E99" s="26" t="s">
        <v>1510</v>
      </c>
      <c r="F99" s="59" t="s">
        <v>1820</v>
      </c>
      <c r="G99" s="37" t="s">
        <v>1820</v>
      </c>
      <c r="H99" s="82" t="s">
        <v>1821</v>
      </c>
      <c r="I99" s="43">
        <f>SUMIFS('Hoja 10'!$O:$O,'Hoja 10'!$F:$F,$G99)</f>
        <v>3</v>
      </c>
      <c r="J99" s="26">
        <f>IFERROR(__xludf.DUMMYFUNCTION("VLOOKUP(G99,IMPORTRANGE(""https://docs.google.com/spreadsheets/d/12RxCea4e5ggM7QGn1XE3FbLQa_-QbCNdBi90OdPjRqg/edit?gid=1692403370#gid=1692403370"", ""'Plan de Compras'!D4:2432""), 8,0)"),3.0)</f>
        <v>3</v>
      </c>
      <c r="K99" s="26" t="str">
        <f t="shared" si="1"/>
        <v>SI</v>
      </c>
      <c r="L99" s="29" t="s">
        <v>127</v>
      </c>
      <c r="M99" s="30" t="s">
        <v>105</v>
      </c>
      <c r="N99" s="32"/>
      <c r="O99" s="32" t="str">
        <f>VLOOKUP($G99,'Hoja 10'!$F$4:$AA1057, 19,0)</f>
        <v>TOPTUL</v>
      </c>
      <c r="P99" s="32" t="str">
        <f>VLOOKUP($G99,'Hoja 10'!$F$4:$AA1057, 20,0)</f>
        <v>JGAR0201</v>
      </c>
      <c r="Q99" s="33" t="str">
        <f>VLOOKUP($G99,'Hoja 10'!$F$4:$AA1057, 21,0)</f>
        <v>https://www.pronellomaquinarias.com/product-page/asentador-manual-de-v%C3%A1lvulas-de-2-piezas</v>
      </c>
      <c r="R99" s="30" t="s">
        <v>1822</v>
      </c>
      <c r="S99" s="44" t="b">
        <v>1</v>
      </c>
      <c r="T99" s="39" t="s">
        <v>1823</v>
      </c>
      <c r="U99" s="39" t="s">
        <v>1824</v>
      </c>
      <c r="V99" s="39" t="str">
        <f>IFERROR(__xludf.DUMMYFUNCTION(" IF
( VLOOKUP($G99,IMPORTRANGE(""https://docs.google.com/spreadsheets/d/1Gpl6jkTg7sL4VDNimUm3S9Vi1i95esohXCF3wuKOE8c"", ""'CONSOLIDADO'!G5:AB""), 10, 0) &lt;&gt; 0, 
IFERROR(VLOOKUP($G99,IMPORTRANGE(""https://docs.google.com/spreadsheets/d/1Gpl6jkTg7sL4VDNimUm3"&amp;"S9Vi1i95esohXCF3wuKOE8c"", ""'CONSOLIDADO'!G5:AB""), 17, 0), ""-""),
""""
)"),"TOPTUL")</f>
        <v>TOPTUL</v>
      </c>
      <c r="W99" s="39" t="str">
        <f>IFERROR(__xludf.DUMMYFUNCTION(" IF
( VLOOKUP($G99,IMPORTRANGE(""https://docs.google.com/spreadsheets/d/1Gpl6jkTg7sL4VDNimUm3S9Vi1i95esohXCF3wuKOE8c"", ""'CONSOLIDADO'!G5:AB""), 10, 0) &lt;&gt; 0, 
IFERROR(VLOOKUP($G99,IMPORTRANGE(""https://docs.google.com/spreadsheets/d/1Gpl6jkTg7sL4VDNimUm3"&amp;"S9Vi1i95esohXCF3wuKOE8c"", ""'CONSOLIDADO'!G5:AB""), 18, 0), ""-""),
""""
)"),"JGAR0201 ")</f>
        <v>JGAR0201 </v>
      </c>
      <c r="X99" s="39" t="b">
        <f t="shared" si="11"/>
        <v>1</v>
      </c>
      <c r="Y99" s="129" t="s">
        <v>1825</v>
      </c>
      <c r="Z99" s="37" t="str">
        <f>IFERROR(__xludf.DUMMYFUNCTION("IFERROR(VLOOKUP(G99,IMPORTRANGE(""https://docs.google.com/spreadsheets/d/12RxCea4e5ggM7QGn1XE3FbLQa_-QbCNdBi90OdPjRqg"", ""'Plan de Compras'!D4:Q""), 12, 0), ""NO ESTÁ EN REQ"")"),"Simple")</f>
        <v>Simple</v>
      </c>
      <c r="AA99" s="37" t="str">
        <f>IFERROR(__xludf.DUMMYFUNCTION("IFERROR(VLOOKUP(G99,IMPORTRANGE(""https://docs.google.com/spreadsheets/d/12RxCea4e5ggM7QGn1XE3FbLQa_-QbCNdBi90OdPjRqg"", ""'Plan de Compras'!D4:Q""), 13, 0), """")"),"NACIONAL")</f>
        <v>NACIONAL</v>
      </c>
      <c r="AB99" s="32" t="str">
        <f>IFERROR(__xludf.DUMMYFUNCTION("IFERROR(VLOOKUP(G99,IMPORTRANGE(""https://docs.google.com/spreadsheets/d/12RxCea4e5ggM7QGn1XE3FbLQa_-QbCNdBi90OdPjRqg"", ""'Plan de Compras'!D4:Q""), 14, 0), """")"),"ANGIE")</f>
        <v>ANGIE</v>
      </c>
      <c r="AC99" s="72" t="str">
        <f>IFERROR(__xludf.DUMMYFUNCTION("IFERROR(VLOOKUP(G99,IMPORTRANGE(""https://docs.google.com/spreadsheets/d/12RxCea4e5ggM7QGn1XE3FbLQa_-QbCNdBi90OdPjRqg"", ""'Plan de Compras'!D4:Q""), 4, 0), """")"),"JUEGO DE LAPEADORES DE VÁLVULA")</f>
        <v>JUEGO DE LAPEADORES DE VÁLVULA</v>
      </c>
      <c r="AD99" s="37" t="str">
        <f>IFERROR(__xludf.DUMMYFUNCTION("IFERROR(IF(OR(C99=TRUE,C99=""""),VLOOKUP(G99,IMPORTRANGE(""https://docs.google.com/spreadsheets/d/1z9A1Wq-kKrhRNG5RS2a2fKpY1wIhSVz2ZNmP2mOl588/edit?usp=sharing"",""REQ VF!E4:H""),4,0),""NO APLICA""),""GENERAR REQ"")"),"GENERAR REQ")</f>
        <v>GENERAR REQ</v>
      </c>
      <c r="AE99" s="32" t="str">
        <f>IFERROR(__xludf.DUMMYFUNCTION("IFERROR(QUERY(IMPORTRANGE(""https://docs.google.com/spreadsheets/d/1z9A1Wq-kKrhRNG5RS2a2fKpY1wIhSVz2ZNmP2mOl588/edit?usp=sharing"",""REQ VF!E4:Q""),""SELECT Col10, Col11, Col12 WHERE Col1 = '""&amp;G99&amp;""'"",0),""NO APLICA"")"),"NO APLICA")</f>
        <v>NO APLICA</v>
      </c>
      <c r="AF99" s="32"/>
      <c r="AG99" s="32"/>
      <c r="AH99" s="8" t="s">
        <v>52</v>
      </c>
      <c r="AI99" s="13"/>
    </row>
    <row r="100">
      <c r="A100" s="121">
        <v>72.0</v>
      </c>
      <c r="B100" s="43" t="b">
        <v>1</v>
      </c>
      <c r="C100" s="26" t="b">
        <v>0</v>
      </c>
      <c r="D100" s="26" t="s">
        <v>35</v>
      </c>
      <c r="E100" s="26" t="s">
        <v>1510</v>
      </c>
      <c r="F100" s="59" t="s">
        <v>1826</v>
      </c>
      <c r="G100" s="37" t="s">
        <v>1826</v>
      </c>
      <c r="H100" s="82" t="s">
        <v>1827</v>
      </c>
      <c r="I100" s="43">
        <f>SUMIFS('Hoja 10'!$O:$O,'Hoja 10'!$F:$F,$G100)</f>
        <v>2</v>
      </c>
      <c r="J100" s="26" t="str">
        <f>IFERROR(__xludf.DUMMYFUNCTION("VLOOKUP(G100,IMPORTRANGE(""https://docs.google.com/spreadsheets/d/12RxCea4e5ggM7QGn1XE3FbLQa_-QbCNdBi90OdPjRqg/edit?gid=1692403370#gid=1692403370"", ""'Plan de Compras'!D4:2432""), 8,0)"),"#N/A")</f>
        <v>#N/A</v>
      </c>
      <c r="K100" s="26" t="str">
        <f t="shared" si="1"/>
        <v>-</v>
      </c>
      <c r="L100" s="29" t="s">
        <v>296</v>
      </c>
      <c r="M100" s="30" t="s">
        <v>297</v>
      </c>
      <c r="N100" s="32"/>
      <c r="O100" s="32" t="str">
        <f>VLOOKUP($G100,'Hoja 10'!$F$4:$AA1057, 19,0)</f>
        <v>SPTA</v>
      </c>
      <c r="P100" s="32" t="str">
        <f>VLOOKUP($G100,'Hoja 10'!$F$4:$AA1057, 20,0)</f>
        <v>        ‎QA0384-FBA</v>
      </c>
      <c r="Q100" s="33" t="str">
        <f>VLOOKUP($G100,'Hoja 10'!$F$4:$AA1057, 21,0)</f>
        <v>https://www.amazon.com/SPTA-Carbide-Engraving-Woodworking-Drilling/dp/B013P10ES8</v>
      </c>
      <c r="R100" s="30" t="s">
        <v>1828</v>
      </c>
      <c r="S100" s="44" t="b">
        <v>0</v>
      </c>
      <c r="T100" s="39" t="str">
        <f>IFERROR(__xludf.DUMMYFUNCTION(" IF
( VLOOKUP($G100,IMPORTRANGE(""https://docs.google.com/spreadsheets/d/1Gpl6jkTg7sL4VDNimUm3S9Vi1i95esohXCF3wuKOE8c"", ""'CONSOLIDADO'!G5:AB""), 10, 0) &lt;&gt; 0, 
IFERROR(VLOOKUP($G100,IMPORTRANGE(""https://docs.google.com/spreadsheets/d/1Gpl6jkTg7sL4VDNimU"&amp;"m3S9Vi1i95esohXCF3wuKOE8c"", ""'CONSOLIDADO'!G5:AB""), 17, 0), ""-""),
""""
)"),"#N/A")</f>
        <v>#N/A</v>
      </c>
      <c r="U100" s="39" t="str">
        <f>IFERROR(__xludf.DUMMYFUNCTION(" IF
( VLOOKUP($G100,IMPORTRANGE(""https://docs.google.com/spreadsheets/d/1Gpl6jkTg7sL4VDNimUm3S9Vi1i95esohXCF3wuKOE8c"", ""'CONSOLIDADO'!G5:AB""), 10, 0) &lt;&gt; 0, 
IFERROR(VLOOKUP($G100,IMPORTRANGE(""https://docs.google.com/spreadsheets/d/1Gpl6jkTg7sL4VDNimU"&amp;"m3S9Vi1i95esohXCF3wuKOE8c"", ""'CONSOLIDADO'!G5:AB""), 18, 0), ""-""),
""""
)"),"#N/A")</f>
        <v>#N/A</v>
      </c>
      <c r="V100" s="39" t="str">
        <f>IFERROR(__xludf.DUMMYFUNCTION(" IF
( VLOOKUP($G100,IMPORTRANGE(""https://docs.google.com/spreadsheets/d/1Gpl6jkTg7sL4VDNimUm3S9Vi1i95esohXCF3wuKOE8c"", ""'CONSOLIDADO'!G5:AB""), 10, 0) &lt;&gt; 0, 
IFERROR(VLOOKUP($G100,IMPORTRANGE(""https://docs.google.com/spreadsheets/d/1Gpl6jkTg7sL4VDNimU"&amp;"m3S9Vi1i95esohXCF3wuKOE8c"", ""'CONSOLIDADO'!G5:AB""), 17, 0), ""-""),
""""
)"),"#N/A")</f>
        <v>#N/A</v>
      </c>
      <c r="W100" s="39" t="str">
        <f>IFERROR(__xludf.DUMMYFUNCTION(" IF
( VLOOKUP($G100,IMPORTRANGE(""https://docs.google.com/spreadsheets/d/1Gpl6jkTg7sL4VDNimUm3S9Vi1i95esohXCF3wuKOE8c"", ""'CONSOLIDADO'!G5:AB""), 10, 0) &lt;&gt; 0, 
IFERROR(VLOOKUP($G100,IMPORTRANGE(""https://docs.google.com/spreadsheets/d/1Gpl6jkTg7sL4VDNimU"&amp;"m3S9Vi1i95esohXCF3wuKOE8c"", ""'CONSOLIDADO'!G5:AB""), 18, 0), ""-""),
""""
)"),"#N/A")</f>
        <v>#N/A</v>
      </c>
      <c r="X100" s="39" t="str">
        <f t="shared" si="11"/>
        <v>#N/A</v>
      </c>
      <c r="Y100" s="110" t="str">
        <f>IFERROR(__xludf.DUMMYFUNCTION(" IF
( VLOOKUP($G100,IMPORTRANGE(""https://docs.google.com/spreadsheets/d/1Gpl6jkTg7sL4VDNimUm3S9Vi1i95esohXCF3wuKOE8c"", ""'CONSOLIDADO'!G5:AB""), 10, 0) &lt;&gt; 0, 
IFERROR(VLOOKUP($G100,IMPORTRANGE(""https://docs.google.com/spreadsheets/d/1Gpl6jkTg7sL4VDNimU"&amp;"m3S9Vi1i95esohXCF3wuKOE8c"", ""'CONSOLIDADO'!G5:AB""), 19, 0), ""-""),
""""
)"),"#N/A")</f>
        <v>#N/A</v>
      </c>
      <c r="Z100" s="37" t="str">
        <f>IFERROR(__xludf.DUMMYFUNCTION("IFERROR(VLOOKUP(G100,IMPORTRANGE(""https://docs.google.com/spreadsheets/d/12RxCea4e5ggM7QGn1XE3FbLQa_-QbCNdBi90OdPjRqg"", ""'Plan de Compras'!D4:Q""), 12, 0), ""NO ESTÁ EN REQ"")"),"NO ESTÁ EN REQ")</f>
        <v>NO ESTÁ EN REQ</v>
      </c>
      <c r="AA100" s="37" t="str">
        <f>IFERROR(__xludf.DUMMYFUNCTION("IFERROR(VLOOKUP(G100,IMPORTRANGE(""https://docs.google.com/spreadsheets/d/12RxCea4e5ggM7QGn1XE3FbLQa_-QbCNdBi90OdPjRqg"", ""'Plan de Compras'!D4:Q""), 13, 0), """")"),"")</f>
        <v/>
      </c>
      <c r="AB100" s="32" t="str">
        <f>IFERROR(__xludf.DUMMYFUNCTION("IFERROR(VLOOKUP(G100,IMPORTRANGE(""https://docs.google.com/spreadsheets/d/12RxCea4e5ggM7QGn1XE3FbLQa_-QbCNdBi90OdPjRqg"", ""'Plan de Compras'!D4:Q""), 14, 0), """")"),"")</f>
        <v/>
      </c>
      <c r="AC100" s="72" t="str">
        <f>IFERROR(__xludf.DUMMYFUNCTION("IFERROR(VLOOKUP(G100,IMPORTRANGE(""https://docs.google.com/spreadsheets/d/12RxCea4e5ggM7QGn1XE3FbLQa_-QbCNdBi90OdPjRqg"", ""'Plan de Compras'!D4:Q""), 4, 0), """")"),"")</f>
        <v/>
      </c>
      <c r="AD100" s="37" t="str">
        <f>IFERROR(__xludf.DUMMYFUNCTION("IFERROR(IF(OR(C100=TRUE,C100=""""),VLOOKUP(G100,IMPORTRANGE(""https://docs.google.com/spreadsheets/d/1z9A1Wq-kKrhRNG5RS2a2fKpY1wIhSVz2ZNmP2mOl588/edit?usp=sharing"",""REQ VF!E4:H""),4,0),""NO APLICA""),""GENERAR REQ"")"),"NO APLICA")</f>
        <v>NO APLICA</v>
      </c>
      <c r="AE100" s="32" t="str">
        <f>IFERROR(__xludf.DUMMYFUNCTION("IFERROR(QUERY(IMPORTRANGE(""https://docs.google.com/spreadsheets/d/1z9A1Wq-kKrhRNG5RS2a2fKpY1wIhSVz2ZNmP2mOl588/edit?usp=sharing"",""REQ VF!E4:Q""),""SELECT Col10, Col11, Col12 WHERE Col1 = '""&amp;G100&amp;""'"",0),""NO APLICA"")"),"NO APLICA")</f>
        <v>NO APLICA</v>
      </c>
      <c r="AF100" s="32"/>
      <c r="AG100" s="32"/>
      <c r="AH100" s="13"/>
      <c r="AI100" s="13"/>
    </row>
    <row r="101">
      <c r="A101" s="43"/>
      <c r="B101" s="43"/>
      <c r="C101" s="26" t="b">
        <v>1</v>
      </c>
      <c r="D101" s="26" t="s">
        <v>95</v>
      </c>
      <c r="E101" s="26" t="s">
        <v>1510</v>
      </c>
      <c r="F101" s="59" t="s">
        <v>1826</v>
      </c>
      <c r="G101" s="39" t="s">
        <v>1829</v>
      </c>
      <c r="H101" s="66" t="s">
        <v>1830</v>
      </c>
      <c r="I101" s="43">
        <v>4.0</v>
      </c>
      <c r="J101" s="26">
        <f>IFERROR(__xludf.DUMMYFUNCTION("VLOOKUP(G101,IMPORTRANGE(""https://docs.google.com/spreadsheets/d/12RxCea4e5ggM7QGn1XE3FbLQa_-QbCNdBi90OdPjRqg/edit?gid=1692403370#gid=1692403370"", ""'Plan de Compras'!D4:2432""), 8,0)"),4.0)</f>
        <v>4</v>
      </c>
      <c r="K101" s="26" t="str">
        <f t="shared" si="1"/>
        <v>SI</v>
      </c>
      <c r="L101" s="26"/>
      <c r="M101" s="32"/>
      <c r="N101" s="32"/>
      <c r="O101" s="32"/>
      <c r="P101" s="32"/>
      <c r="Q101" s="33" t="s">
        <v>1831</v>
      </c>
      <c r="R101" s="32"/>
      <c r="S101" s="34" t="b">
        <v>1</v>
      </c>
      <c r="T101" s="39" t="s">
        <v>1832</v>
      </c>
      <c r="U101" s="39" t="s">
        <v>1833</v>
      </c>
      <c r="V101" s="39"/>
      <c r="W101" s="39"/>
      <c r="X101" s="39"/>
      <c r="Y101" s="126" t="s">
        <v>1831</v>
      </c>
      <c r="Z101" s="37" t="str">
        <f>IFERROR(__xludf.DUMMYFUNCTION("IFERROR(VLOOKUP(G101,IMPORTRANGE(""https://docs.google.com/spreadsheets/d/12RxCea4e5ggM7QGn1XE3FbLQa_-QbCNdBi90OdPjRqg"", ""'Plan de Compras'!D4:Q""), 12, 0), ""NO ESTÁ EN REQ"")"),"Técnica")</f>
        <v>Técnica</v>
      </c>
      <c r="AA101" s="37" t="str">
        <f>IFERROR(__xludf.DUMMYFUNCTION("IFERROR(VLOOKUP(G101,IMPORTRANGE(""https://docs.google.com/spreadsheets/d/12RxCea4e5ggM7QGn1XE3FbLQa_-QbCNdBi90OdPjRqg"", ""'Plan de Compras'!D4:Q""), 13, 0), """")"),"INTERNACIONAL")</f>
        <v>INTERNACIONAL</v>
      </c>
      <c r="AB101" s="32" t="str">
        <f>IFERROR(__xludf.DUMMYFUNCTION("IFERROR(VLOOKUP(G101,IMPORTRANGE(""https://docs.google.com/spreadsheets/d/12RxCea4e5ggM7QGn1XE3FbLQa_-QbCNdBi90OdPjRqg"", ""'Plan de Compras'!D4:Q""), 14, 0), """")"),"ALEJANDRA")</f>
        <v>ALEJANDRA</v>
      </c>
      <c r="AC101" s="72" t="str">
        <f>IFERROR(__xludf.DUMMYFUNCTION("IFERROR(VLOOKUP(G101,IMPORTRANGE(""https://docs.google.com/spreadsheets/d/12RxCea4e5ggM7QGn1XE3FbLQa_-QbCNdBi90OdPjRqg"", ""'Plan de Compras'!D4:Q""), 4, 0), """")"),"FRESAS DE GRABADO (2 UND)")</f>
        <v>FRESAS DE GRABADO (2 UND)</v>
      </c>
      <c r="AD101" s="37" t="str">
        <f>IFERROR(__xludf.DUMMYFUNCTION("IFERROR(IF(OR(C101=TRUE,C101=""""),VLOOKUP(G101,IMPORTRANGE(""https://docs.google.com/spreadsheets/d/1z9A1Wq-kKrhRNG5RS2a2fKpY1wIhSVz2ZNmP2mOl588/edit?usp=sharing"",""REQ VF!E4:H""),4,0),""NO APLICA""),""GENERAR REQ"")"),"GENERAR REQ")</f>
        <v>GENERAR REQ</v>
      </c>
      <c r="AE101" s="32" t="str">
        <f>IFERROR(__xludf.DUMMYFUNCTION("IFERROR(QUERY(IMPORTRANGE(""https://docs.google.com/spreadsheets/d/1z9A1Wq-kKrhRNG5RS2a2fKpY1wIhSVz2ZNmP2mOl588/edit?usp=sharing"",""REQ VF!E4:Q""),""SELECT Col10, Col11, Col12 WHERE Col1 = '""&amp;G101&amp;""'"",0),""NO APLICA"")"),"NO APLICA")</f>
        <v>NO APLICA</v>
      </c>
      <c r="AF101" s="32"/>
      <c r="AG101" s="32"/>
      <c r="AH101" s="13"/>
      <c r="AI101" s="13"/>
    </row>
    <row r="102">
      <c r="A102" s="43"/>
      <c r="B102" s="43"/>
      <c r="C102" s="26" t="b">
        <v>1</v>
      </c>
      <c r="D102" s="26" t="s">
        <v>95</v>
      </c>
      <c r="E102" s="26" t="s">
        <v>1510</v>
      </c>
      <c r="F102" s="59" t="s">
        <v>1826</v>
      </c>
      <c r="G102" s="39" t="s">
        <v>1834</v>
      </c>
      <c r="H102" s="66" t="s">
        <v>1835</v>
      </c>
      <c r="I102" s="43">
        <v>4.0</v>
      </c>
      <c r="J102" s="26">
        <f>IFERROR(__xludf.DUMMYFUNCTION("VLOOKUP(G102,IMPORTRANGE(""https://docs.google.com/spreadsheets/d/12RxCea4e5ggM7QGn1XE3FbLQa_-QbCNdBi90OdPjRqg/edit?gid=1692403370#gid=1692403370"", ""'Plan de Compras'!D4:2432""), 8,0)"),4.0)</f>
        <v>4</v>
      </c>
      <c r="K102" s="26" t="str">
        <f t="shared" si="1"/>
        <v>SI</v>
      </c>
      <c r="L102" s="26"/>
      <c r="M102" s="32"/>
      <c r="N102" s="32"/>
      <c r="O102" s="32"/>
      <c r="P102" s="32"/>
      <c r="Q102" s="33" t="s">
        <v>1836</v>
      </c>
      <c r="R102" s="32"/>
      <c r="S102" s="34" t="b">
        <v>1</v>
      </c>
      <c r="T102" s="39" t="s">
        <v>1837</v>
      </c>
      <c r="U102" s="39" t="s">
        <v>1838</v>
      </c>
      <c r="V102" s="39"/>
      <c r="W102" s="39"/>
      <c r="X102" s="39"/>
      <c r="Y102" s="126" t="s">
        <v>1839</v>
      </c>
      <c r="Z102" s="37" t="str">
        <f>IFERROR(__xludf.DUMMYFUNCTION("IFERROR(VLOOKUP(G102,IMPORTRANGE(""https://docs.google.com/spreadsheets/d/12RxCea4e5ggM7QGn1XE3FbLQa_-QbCNdBi90OdPjRqg"", ""'Plan de Compras'!D4:Q""), 12, 0), ""NO ESTÁ EN REQ"")"),"Técnica")</f>
        <v>Técnica</v>
      </c>
      <c r="AA102" s="37" t="str">
        <f>IFERROR(__xludf.DUMMYFUNCTION("IFERROR(VLOOKUP(G102,IMPORTRANGE(""https://docs.google.com/spreadsheets/d/12RxCea4e5ggM7QGn1XE3FbLQa_-QbCNdBi90OdPjRqg"", ""'Plan de Compras'!D4:Q""), 13, 0), """")"),"INTERNACIONAL")</f>
        <v>INTERNACIONAL</v>
      </c>
      <c r="AB102" s="32" t="str">
        <f>IFERROR(__xludf.DUMMYFUNCTION("IFERROR(VLOOKUP(G102,IMPORTRANGE(""https://docs.google.com/spreadsheets/d/12RxCea4e5ggM7QGn1XE3FbLQa_-QbCNdBi90OdPjRqg"", ""'Plan de Compras'!D4:Q""), 14, 0), """")"),"ALEJANDRA")</f>
        <v>ALEJANDRA</v>
      </c>
      <c r="AC102" s="72" t="str">
        <f>IFERROR(__xludf.DUMMYFUNCTION("IFERROR(VLOOKUP(G102,IMPORTRANGE(""https://docs.google.com/spreadsheets/d/12RxCea4e5ggM7QGn1XE3FbLQa_-QbCNdBi90OdPjRqg"", ""'Plan de Compras'!D4:Q""), 4, 0), """")"),"FRESAS CONICAS (2 UND)")</f>
        <v>FRESAS CONICAS (2 UND)</v>
      </c>
      <c r="AD102" s="37" t="str">
        <f>IFERROR(__xludf.DUMMYFUNCTION("IFERROR(IF(OR(C102=TRUE,C102=""""),VLOOKUP(G102,IMPORTRANGE(""https://docs.google.com/spreadsheets/d/1z9A1Wq-kKrhRNG5RS2a2fKpY1wIhSVz2ZNmP2mOl588/edit?usp=sharing"",""REQ VF!E4:H""),4,0),""NO APLICA""),""GENERAR REQ"")"),"GENERAR REQ")</f>
        <v>GENERAR REQ</v>
      </c>
      <c r="AE102" s="32" t="str">
        <f>IFERROR(__xludf.DUMMYFUNCTION("IFERROR(QUERY(IMPORTRANGE(""https://docs.google.com/spreadsheets/d/1z9A1Wq-kKrhRNG5RS2a2fKpY1wIhSVz2ZNmP2mOl588/edit?usp=sharing"",""REQ VF!E4:Q""),""SELECT Col10, Col11, Col12 WHERE Col1 = '""&amp;G102&amp;""'"",0),""NO APLICA"")"),"NO APLICA")</f>
        <v>NO APLICA</v>
      </c>
      <c r="AF102" s="32"/>
      <c r="AG102" s="32"/>
      <c r="AH102" s="13"/>
      <c r="AI102" s="13"/>
    </row>
    <row r="103">
      <c r="A103" s="43"/>
      <c r="B103" s="43"/>
      <c r="C103" s="26" t="b">
        <v>1</v>
      </c>
      <c r="D103" s="26" t="s">
        <v>95</v>
      </c>
      <c r="E103" s="26" t="s">
        <v>1510</v>
      </c>
      <c r="F103" s="59" t="s">
        <v>1826</v>
      </c>
      <c r="G103" s="39" t="s">
        <v>1840</v>
      </c>
      <c r="H103" s="66" t="s">
        <v>1841</v>
      </c>
      <c r="I103" s="43">
        <v>4.0</v>
      </c>
      <c r="J103" s="26">
        <f>IFERROR(__xludf.DUMMYFUNCTION("VLOOKUP(G103,IMPORTRANGE(""https://docs.google.com/spreadsheets/d/12RxCea4e5ggM7QGn1XE3FbLQa_-QbCNdBi90OdPjRqg/edit?gid=1692403370#gid=1692403370"", ""'Plan de Compras'!D4:2432""), 8,0)"),4.0)</f>
        <v>4</v>
      </c>
      <c r="K103" s="26" t="str">
        <f t="shared" si="1"/>
        <v>SI</v>
      </c>
      <c r="L103" s="26"/>
      <c r="M103" s="32"/>
      <c r="N103" s="32"/>
      <c r="O103" s="32"/>
      <c r="P103" s="32"/>
      <c r="Q103" s="33" t="s">
        <v>1842</v>
      </c>
      <c r="R103" s="32"/>
      <c r="S103" s="34" t="b">
        <v>1</v>
      </c>
      <c r="T103" s="39" t="s">
        <v>1843</v>
      </c>
      <c r="U103" s="39" t="s">
        <v>1844</v>
      </c>
      <c r="V103" s="39"/>
      <c r="W103" s="39"/>
      <c r="X103" s="39"/>
      <c r="Y103" s="126" t="s">
        <v>1842</v>
      </c>
      <c r="Z103" s="37" t="str">
        <f>IFERROR(__xludf.DUMMYFUNCTION("IFERROR(VLOOKUP(G103,IMPORTRANGE(""https://docs.google.com/spreadsheets/d/12RxCea4e5ggM7QGn1XE3FbLQa_-QbCNdBi90OdPjRqg"", ""'Plan de Compras'!D4:Q""), 12, 0), ""NO ESTÁ EN REQ"")"),"Técnica")</f>
        <v>Técnica</v>
      </c>
      <c r="AA103" s="37" t="str">
        <f>IFERROR(__xludf.DUMMYFUNCTION("IFERROR(VLOOKUP(G103,IMPORTRANGE(""https://docs.google.com/spreadsheets/d/12RxCea4e5ggM7QGn1XE3FbLQa_-QbCNdBi90OdPjRqg"", ""'Plan de Compras'!D4:Q""), 13, 0), """")"),"INTERNACIONAL")</f>
        <v>INTERNACIONAL</v>
      </c>
      <c r="AB103" s="32" t="str">
        <f>IFERROR(__xludf.DUMMYFUNCTION("IFERROR(VLOOKUP(G103,IMPORTRANGE(""https://docs.google.com/spreadsheets/d/12RxCea4e5ggM7QGn1XE3FbLQa_-QbCNdBi90OdPjRqg"", ""'Plan de Compras'!D4:Q""), 14, 0), """")"),"ALEJANDRA")</f>
        <v>ALEJANDRA</v>
      </c>
      <c r="AC103" s="72" t="str">
        <f>IFERROR(__xludf.DUMMYFUNCTION("IFERROR(VLOOKUP(G103,IMPORTRANGE(""https://docs.google.com/spreadsheets/d/12RxCea4e5ggM7QGn1XE3FbLQa_-QbCNdBi90OdPjRqg"", ""'Plan de Compras'!D4:Q""), 4, 0), """")")," DE DESBASTE (2 UND)")</f>
        <v> DE DESBASTE (2 UND)</v>
      </c>
      <c r="AD103" s="37" t="str">
        <f>IFERROR(__xludf.DUMMYFUNCTION("IFERROR(IF(OR(C103=TRUE,C103=""""),VLOOKUP(G103,IMPORTRANGE(""https://docs.google.com/spreadsheets/d/1z9A1Wq-kKrhRNG5RS2a2fKpY1wIhSVz2ZNmP2mOl588/edit?usp=sharing"",""REQ VF!E4:H""),4,0),""NO APLICA""),""GENERAR REQ"")"),"GENERAR REQ")</f>
        <v>GENERAR REQ</v>
      </c>
      <c r="AE103" s="32" t="str">
        <f>IFERROR(__xludf.DUMMYFUNCTION("IFERROR(QUERY(IMPORTRANGE(""https://docs.google.com/spreadsheets/d/1z9A1Wq-kKrhRNG5RS2a2fKpY1wIhSVz2ZNmP2mOl588/edit?usp=sharing"",""REQ VF!E4:Q""),""SELECT Col10, Col11, Col12 WHERE Col1 = '""&amp;G103&amp;""'"",0),""NO APLICA"")"),"NO APLICA")</f>
        <v>NO APLICA</v>
      </c>
      <c r="AF103" s="32"/>
      <c r="AG103" s="32"/>
      <c r="AH103" s="13"/>
      <c r="AI103" s="13"/>
    </row>
    <row r="104">
      <c r="A104" s="43"/>
      <c r="B104" s="43"/>
      <c r="C104" s="26" t="b">
        <v>1</v>
      </c>
      <c r="D104" s="26" t="s">
        <v>95</v>
      </c>
      <c r="E104" s="26" t="s">
        <v>1510</v>
      </c>
      <c r="F104" s="59" t="s">
        <v>1826</v>
      </c>
      <c r="G104" s="39" t="s">
        <v>1845</v>
      </c>
      <c r="H104" s="66" t="s">
        <v>1846</v>
      </c>
      <c r="I104" s="43">
        <v>4.0</v>
      </c>
      <c r="J104" s="26">
        <f>IFERROR(__xludf.DUMMYFUNCTION("VLOOKUP(G104,IMPORTRANGE(""https://docs.google.com/spreadsheets/d/12RxCea4e5ggM7QGn1XE3FbLQa_-QbCNdBi90OdPjRqg/edit?gid=1692403370#gid=1692403370"", ""'Plan de Compras'!D4:2432""), 8,0)"),4.0)</f>
        <v>4</v>
      </c>
      <c r="K104" s="26" t="str">
        <f t="shared" si="1"/>
        <v>SI</v>
      </c>
      <c r="L104" s="26"/>
      <c r="M104" s="32"/>
      <c r="N104" s="32"/>
      <c r="O104" s="32"/>
      <c r="P104" s="32"/>
      <c r="Q104" s="33" t="s">
        <v>1847</v>
      </c>
      <c r="R104" s="32"/>
      <c r="S104" s="34" t="b">
        <v>1</v>
      </c>
      <c r="T104" s="39" t="s">
        <v>1848</v>
      </c>
      <c r="U104" s="39" t="s">
        <v>1849</v>
      </c>
      <c r="V104" s="39"/>
      <c r="W104" s="39"/>
      <c r="X104" s="39"/>
      <c r="Y104" s="126" t="s">
        <v>1850</v>
      </c>
      <c r="Z104" s="37" t="str">
        <f>IFERROR(__xludf.DUMMYFUNCTION("IFERROR(VLOOKUP(G104,IMPORTRANGE(""https://docs.google.com/spreadsheets/d/12RxCea4e5ggM7QGn1XE3FbLQa_-QbCNdBi90OdPjRqg"", ""'Plan de Compras'!D4:Q""), 12, 0), ""NO ESTÁ EN REQ"")"),"Técnica")</f>
        <v>Técnica</v>
      </c>
      <c r="AA104" s="37" t="str">
        <f>IFERROR(__xludf.DUMMYFUNCTION("IFERROR(VLOOKUP(G104,IMPORTRANGE(""https://docs.google.com/spreadsheets/d/12RxCea4e5ggM7QGn1XE3FbLQa_-QbCNdBi90OdPjRqg"", ""'Plan de Compras'!D4:Q""), 13, 0), """")"),"INTERNACIONAL")</f>
        <v>INTERNACIONAL</v>
      </c>
      <c r="AB104" s="32" t="str">
        <f>IFERROR(__xludf.DUMMYFUNCTION("IFERROR(VLOOKUP(G104,IMPORTRANGE(""https://docs.google.com/spreadsheets/d/12RxCea4e5ggM7QGn1XE3FbLQa_-QbCNdBi90OdPjRqg"", ""'Plan de Compras'!D4:Q""), 14, 0), """")"),"ALEJANDRA")</f>
        <v>ALEJANDRA</v>
      </c>
      <c r="AC104" s="72" t="str">
        <f>IFERROR(__xludf.DUMMYFUNCTION("IFERROR(VLOOKUP(G104,IMPORTRANGE(""https://docs.google.com/spreadsheets/d/12RxCea4e5ggM7QGn1XE3FbLQa_-QbCNdBi90OdPjRqg"", ""'Plan de Compras'!D4:Q""), 4, 0), """")"),"FRESAS DE UN FILO (2 UND)")</f>
        <v>FRESAS DE UN FILO (2 UND)</v>
      </c>
      <c r="AD104" s="37" t="str">
        <f>IFERROR(__xludf.DUMMYFUNCTION("IFERROR(IF(OR(C104=TRUE,C104=""""),VLOOKUP(G104,IMPORTRANGE(""https://docs.google.com/spreadsheets/d/1z9A1Wq-kKrhRNG5RS2a2fKpY1wIhSVz2ZNmP2mOl588/edit?usp=sharing"",""REQ VF!E4:H""),4,0),""NO APLICA""),""GENERAR REQ"")"),"GENERAR REQ")</f>
        <v>GENERAR REQ</v>
      </c>
      <c r="AE104" s="32" t="str">
        <f>IFERROR(__xludf.DUMMYFUNCTION("IFERROR(QUERY(IMPORTRANGE(""https://docs.google.com/spreadsheets/d/1z9A1Wq-kKrhRNG5RS2a2fKpY1wIhSVz2ZNmP2mOl588/edit?usp=sharing"",""REQ VF!E4:Q""),""SELECT Col10, Col11, Col12 WHERE Col1 = '""&amp;G104&amp;""'"",0),""NO APLICA"")"),"NO APLICA")</f>
        <v>NO APLICA</v>
      </c>
      <c r="AF104" s="32"/>
      <c r="AG104" s="32"/>
      <c r="AH104" s="13"/>
      <c r="AI104" s="13"/>
    </row>
    <row r="105">
      <c r="A105" s="43"/>
      <c r="B105" s="43"/>
      <c r="C105" s="26" t="b">
        <v>1</v>
      </c>
      <c r="D105" s="26" t="s">
        <v>95</v>
      </c>
      <c r="E105" s="26" t="s">
        <v>1510</v>
      </c>
      <c r="F105" s="59" t="s">
        <v>1826</v>
      </c>
      <c r="G105" s="39" t="s">
        <v>1851</v>
      </c>
      <c r="H105" s="66" t="s">
        <v>1852</v>
      </c>
      <c r="I105" s="43">
        <v>4.0</v>
      </c>
      <c r="J105" s="26">
        <f>IFERROR(__xludf.DUMMYFUNCTION("VLOOKUP(G105,IMPORTRANGE(""https://docs.google.com/spreadsheets/d/12RxCea4e5ggM7QGn1XE3FbLQa_-QbCNdBi90OdPjRqg/edit?gid=1692403370#gid=1692403370"", ""'Plan de Compras'!D4:2432""), 8,0)"),4.0)</f>
        <v>4</v>
      </c>
      <c r="K105" s="26" t="str">
        <f t="shared" si="1"/>
        <v>SI</v>
      </c>
      <c r="L105" s="26"/>
      <c r="M105" s="32"/>
      <c r="N105" s="32"/>
      <c r="O105" s="32"/>
      <c r="P105" s="32"/>
      <c r="Q105" s="33" t="s">
        <v>1853</v>
      </c>
      <c r="R105" s="32"/>
      <c r="S105" s="34" t="b">
        <v>1</v>
      </c>
      <c r="T105" s="39" t="s">
        <v>1848</v>
      </c>
      <c r="U105" s="39" t="s">
        <v>1854</v>
      </c>
      <c r="V105" s="39"/>
      <c r="W105" s="39"/>
      <c r="X105" s="39"/>
      <c r="Y105" s="126" t="s">
        <v>1855</v>
      </c>
      <c r="Z105" s="37" t="str">
        <f>IFERROR(__xludf.DUMMYFUNCTION("IFERROR(VLOOKUP(G105,IMPORTRANGE(""https://docs.google.com/spreadsheets/d/12RxCea4e5ggM7QGn1XE3FbLQa_-QbCNdBi90OdPjRqg"", ""'Plan de Compras'!D4:Q""), 12, 0), ""NO ESTÁ EN REQ"")"),"Técnica")</f>
        <v>Técnica</v>
      </c>
      <c r="AA105" s="37" t="str">
        <f>IFERROR(__xludf.DUMMYFUNCTION("IFERROR(VLOOKUP(G105,IMPORTRANGE(""https://docs.google.com/spreadsheets/d/12RxCea4e5ggM7QGn1XE3FbLQa_-QbCNdBi90OdPjRqg"", ""'Plan de Compras'!D4:Q""), 13, 0), """")"),"INTERNACIONAL")</f>
        <v>INTERNACIONAL</v>
      </c>
      <c r="AB105" s="32" t="str">
        <f>IFERROR(__xludf.DUMMYFUNCTION("IFERROR(VLOOKUP(G105,IMPORTRANGE(""https://docs.google.com/spreadsheets/d/12RxCea4e5ggM7QGn1XE3FbLQa_-QbCNdBi90OdPjRqg"", ""'Plan de Compras'!D4:Q""), 14, 0), """")"),"ALEJANDRA")</f>
        <v>ALEJANDRA</v>
      </c>
      <c r="AC105" s="72" t="str">
        <f>IFERROR(__xludf.DUMMYFUNCTION("IFERROR(VLOOKUP(G105,IMPORTRANGE(""https://docs.google.com/spreadsheets/d/12RxCea4e5ggM7QGn1XE3FbLQa_-QbCNdBi90OdPjRqg"", ""'Plan de Compras'!D4:Q""), 4, 0), """")"),"FRESASDE 2 FILOS (2 UND)")</f>
        <v>FRESASDE 2 FILOS (2 UND)</v>
      </c>
      <c r="AD105" s="37" t="str">
        <f>IFERROR(__xludf.DUMMYFUNCTION("IFERROR(IF(OR(C105=TRUE,C105=""""),VLOOKUP(G105,IMPORTRANGE(""https://docs.google.com/spreadsheets/d/1z9A1Wq-kKrhRNG5RS2a2fKpY1wIhSVz2ZNmP2mOl588/edit?usp=sharing"",""REQ VF!E4:H""),4,0),""NO APLICA""),""GENERAR REQ"")"),"GENERAR REQ")</f>
        <v>GENERAR REQ</v>
      </c>
      <c r="AE105" s="32" t="str">
        <f>IFERROR(__xludf.DUMMYFUNCTION("IFERROR(QUERY(IMPORTRANGE(""https://docs.google.com/spreadsheets/d/1z9A1Wq-kKrhRNG5RS2a2fKpY1wIhSVz2ZNmP2mOl588/edit?usp=sharing"",""REQ VF!E4:Q""),""SELECT Col10, Col11, Col12 WHERE Col1 = '""&amp;G105&amp;""'"",0),""NO APLICA"")"),"NO APLICA")</f>
        <v>NO APLICA</v>
      </c>
      <c r="AF105" s="32"/>
      <c r="AG105" s="32"/>
      <c r="AH105" s="13"/>
      <c r="AI105" s="13"/>
    </row>
    <row r="106">
      <c r="A106" s="43"/>
      <c r="B106" s="43"/>
      <c r="C106" s="26" t="b">
        <v>1</v>
      </c>
      <c r="D106" s="26" t="s">
        <v>95</v>
      </c>
      <c r="E106" s="26" t="s">
        <v>1510</v>
      </c>
      <c r="F106" s="59" t="s">
        <v>1826</v>
      </c>
      <c r="G106" s="39" t="s">
        <v>1856</v>
      </c>
      <c r="H106" s="66" t="s">
        <v>1857</v>
      </c>
      <c r="I106" s="43">
        <v>4.0</v>
      </c>
      <c r="J106" s="26">
        <f>IFERROR(__xludf.DUMMYFUNCTION("VLOOKUP(G106,IMPORTRANGE(""https://docs.google.com/spreadsheets/d/12RxCea4e5ggM7QGn1XE3FbLQa_-QbCNdBi90OdPjRqg/edit?gid=1692403370#gid=1692403370"", ""'Plan de Compras'!D4:2432""), 8,0)"),4.0)</f>
        <v>4</v>
      </c>
      <c r="K106" s="26" t="str">
        <f t="shared" si="1"/>
        <v>SI</v>
      </c>
      <c r="L106" s="26"/>
      <c r="M106" s="32"/>
      <c r="N106" s="32"/>
      <c r="O106" s="32"/>
      <c r="P106" s="32"/>
      <c r="Q106" s="33" t="s">
        <v>1858</v>
      </c>
      <c r="R106" s="32"/>
      <c r="S106" s="34" t="b">
        <v>1</v>
      </c>
      <c r="T106" s="39" t="s">
        <v>1859</v>
      </c>
      <c r="U106" s="39">
        <v>155350.0</v>
      </c>
      <c r="V106" s="39"/>
      <c r="W106" s="39"/>
      <c r="X106" s="39"/>
      <c r="Y106" s="126" t="s">
        <v>1860</v>
      </c>
      <c r="Z106" s="37" t="str">
        <f>IFERROR(__xludf.DUMMYFUNCTION("IFERROR(VLOOKUP(G106,IMPORTRANGE(""https://docs.google.com/spreadsheets/d/12RxCea4e5ggM7QGn1XE3FbLQa_-QbCNdBi90OdPjRqg"", ""'Plan de Compras'!D4:Q""), 12, 0), ""NO ESTÁ EN REQ"")"),"Técnica")</f>
        <v>Técnica</v>
      </c>
      <c r="AA106" s="37" t="str">
        <f>IFERROR(__xludf.DUMMYFUNCTION("IFERROR(VLOOKUP(G106,IMPORTRANGE(""https://docs.google.com/spreadsheets/d/12RxCea4e5ggM7QGn1XE3FbLQa_-QbCNdBi90OdPjRqg"", ""'Plan de Compras'!D4:Q""), 13, 0), """")"),"INTERNACIONAL")</f>
        <v>INTERNACIONAL</v>
      </c>
      <c r="AB106" s="32" t="str">
        <f>IFERROR(__xludf.DUMMYFUNCTION("IFERROR(VLOOKUP(G106,IMPORTRANGE(""https://docs.google.com/spreadsheets/d/12RxCea4e5ggM7QGn1XE3FbLQa_-QbCNdBi90OdPjRqg"", ""'Plan de Compras'!D4:Q""), 14, 0), """")"),"ALEJANDRA")</f>
        <v>ALEJANDRA</v>
      </c>
      <c r="AC106" s="72" t="str">
        <f>IFERROR(__xludf.DUMMYFUNCTION("IFERROR(VLOOKUP(G106,IMPORTRANGE(""https://docs.google.com/spreadsheets/d/12RxCea4e5ggM7QGn1XE3FbLQa_-QbCNdBi90OdPjRqg"", ""'Plan de Compras'!D4:Q""), 4, 0), """")"),"FRESAS PUNTA ESFERICA (2 UND)")</f>
        <v>FRESAS PUNTA ESFERICA (2 UND)</v>
      </c>
      <c r="AD106" s="37" t="str">
        <f>IFERROR(__xludf.DUMMYFUNCTION("IFERROR(IF(OR(C106=TRUE,C106=""""),VLOOKUP(G106,IMPORTRANGE(""https://docs.google.com/spreadsheets/d/1z9A1Wq-kKrhRNG5RS2a2fKpY1wIhSVz2ZNmP2mOl588/edit?usp=sharing"",""REQ VF!E4:H""),4,0),""NO APLICA""),""GENERAR REQ"")"),"GENERAR REQ")</f>
        <v>GENERAR REQ</v>
      </c>
      <c r="AE106" s="32" t="str">
        <f>IFERROR(__xludf.DUMMYFUNCTION("IFERROR(QUERY(IMPORTRANGE(""https://docs.google.com/spreadsheets/d/1z9A1Wq-kKrhRNG5RS2a2fKpY1wIhSVz2ZNmP2mOl588/edit?usp=sharing"",""REQ VF!E4:Q""),""SELECT Col10, Col11, Col12 WHERE Col1 = '""&amp;G106&amp;""'"",0),""NO APLICA"")"),"NO APLICA")</f>
        <v>NO APLICA</v>
      </c>
      <c r="AF106" s="32"/>
      <c r="AG106" s="32"/>
      <c r="AH106" s="13"/>
      <c r="AI106" s="13"/>
    </row>
    <row r="107">
      <c r="A107" s="121">
        <v>73.0</v>
      </c>
      <c r="B107" s="43" t="b">
        <v>1</v>
      </c>
      <c r="C107" s="26" t="b">
        <v>1</v>
      </c>
      <c r="D107" s="26" t="s">
        <v>35</v>
      </c>
      <c r="E107" s="26" t="s">
        <v>1510</v>
      </c>
      <c r="F107" s="59" t="s">
        <v>1861</v>
      </c>
      <c r="G107" s="37" t="s">
        <v>1861</v>
      </c>
      <c r="H107" s="82" t="s">
        <v>1862</v>
      </c>
      <c r="I107" s="43">
        <f>SUMIFS('Hoja 10'!$O:$O,'Hoja 10'!$F:$F,$G107)</f>
        <v>3</v>
      </c>
      <c r="J107" s="26">
        <f>IFERROR(__xludf.DUMMYFUNCTION("VLOOKUP(G107,IMPORTRANGE(""https://docs.google.com/spreadsheets/d/12RxCea4e5ggM7QGn1XE3FbLQa_-QbCNdBi90OdPjRqg/edit?gid=1692403370#gid=1692403370"", ""'Plan de Compras'!D4:2432""), 8,0)"),3.0)</f>
        <v>3</v>
      </c>
      <c r="K107" s="26" t="str">
        <f t="shared" si="1"/>
        <v>SI</v>
      </c>
      <c r="L107" s="29" t="s">
        <v>127</v>
      </c>
      <c r="M107" s="30" t="s">
        <v>105</v>
      </c>
      <c r="N107" s="32"/>
      <c r="O107" s="32" t="str">
        <f>VLOOKUP($G107,'Hoja 10'!$F$4:$AA1057, 19,0)</f>
        <v>Starrett</v>
      </c>
      <c r="P107" s="32" t="str">
        <f>VLOOKUP($G107,'Hoja 10'!$F$4:$AA1057, 20,0)</f>
        <v>S824DZ</v>
      </c>
      <c r="Q107" s="33" t="str">
        <f>VLOOKUP($G107,'Hoja 10'!$F$4:$AA1057, 21,0)</f>
        <v>https://articulo.mercadolibre.com.co/MCO-1542376235-micrometro-interior-starrett-s824dz-2-12-rango-precisi-_JM</v>
      </c>
      <c r="R107" s="30" t="s">
        <v>1863</v>
      </c>
      <c r="S107" s="44" t="b">
        <v>1</v>
      </c>
      <c r="T107" s="63" t="s">
        <v>1864</v>
      </c>
      <c r="U107" s="63" t="s">
        <v>1865</v>
      </c>
      <c r="V107" s="39" t="str">
        <f>IFERROR(__xludf.DUMMYFUNCTION(" IF
( VLOOKUP($G107,IMPORTRANGE(""https://docs.google.com/spreadsheets/d/1Gpl6jkTg7sL4VDNimUm3S9Vi1i95esohXCF3wuKOE8c"", ""'CONSOLIDADO'!G5:AB""), 10, 0) &lt;&gt; 0, 
IFERROR(VLOOKUP($G107,IMPORTRANGE(""https://docs.google.com/spreadsheets/d/1Gpl6jkTg7sL4VDNimU"&amp;"m3S9Vi1i95esohXCF3wuKOE8c"", ""'CONSOLIDADO'!G5:AB""), 17, 0), ""-""),
""""
)"),"MITUTOYO")</f>
        <v>MITUTOYO</v>
      </c>
      <c r="W107" s="39" t="str">
        <f>IFERROR(__xludf.DUMMYFUNCTION(" IF
( VLOOKUP($G107,IMPORTRANGE(""https://docs.google.com/spreadsheets/d/1Gpl6jkTg7sL4VDNimUm3S9Vi1i95esohXCF3wuKOE8c"", ""'CONSOLIDADO'!G5:AB""), 10, 0) &lt;&gt; 0, 
IFERROR(VLOOKUP($G107,IMPORTRANGE(""https://docs.google.com/spreadsheets/d/1Gpl6jkTg7sL4VDNimU"&amp;"m3S9Vi1i95esohXCF3wuKOE8c"", ""'CONSOLIDADO'!G5:AB""), 18, 0), ""-""),
""""
)"),"133-902")</f>
        <v>133-902</v>
      </c>
      <c r="X107" s="39" t="b">
        <f>IF(AND(T107=V107,W107=U107),TRUE,FALSE)</f>
        <v>1</v>
      </c>
      <c r="Y107" s="120" t="s">
        <v>1866</v>
      </c>
      <c r="Z107" s="37" t="str">
        <f>IFERROR(__xludf.DUMMYFUNCTION("IFERROR(VLOOKUP(G107,IMPORTRANGE(""https://docs.google.com/spreadsheets/d/12RxCea4e5ggM7QGn1XE3FbLQa_-QbCNdBi90OdPjRqg"", ""'Plan de Compras'!D4:Q""), 12, 0), ""NO ESTÁ EN REQ"")"),"Técnica")</f>
        <v>Técnica</v>
      </c>
      <c r="AA107" s="37" t="str">
        <f>IFERROR(__xludf.DUMMYFUNCTION("IFERROR(VLOOKUP(G107,IMPORTRANGE(""https://docs.google.com/spreadsheets/d/12RxCea4e5ggM7QGn1XE3FbLQa_-QbCNdBi90OdPjRqg"", ""'Plan de Compras'!D4:Q""), 13, 0), """")"),"INTERNACIONAL")</f>
        <v>INTERNACIONAL</v>
      </c>
      <c r="AB107" s="32" t="str">
        <f>IFERROR(__xludf.DUMMYFUNCTION("IFERROR(VLOOKUP(G107,IMPORTRANGE(""https://docs.google.com/spreadsheets/d/12RxCea4e5ggM7QGn1XE3FbLQa_-QbCNdBi90OdPjRqg"", ""'Plan de Compras'!D4:Q""), 14, 0), """")"),"GEYDI")</f>
        <v>GEYDI</v>
      </c>
      <c r="AC107" s="72" t="str">
        <f>IFERROR(__xludf.DUMMYFUNCTION("IFERROR(VLOOKUP(G107,IMPORTRANGE(""https://docs.google.com/spreadsheets/d/12RxCea4e5ggM7QGn1XE3FbLQa_-QbCNdBi90OdPjRqg"", ""'Plan de Compras'!D4:Q""), 4, 0), """")"),"JUEGO DE MICRÓMETRO DE INTERIORES")</f>
        <v>JUEGO DE MICRÓMETRO DE INTERIORES</v>
      </c>
      <c r="AD107" s="37" t="str">
        <f>IFERROR(__xludf.DUMMYFUNCTION("IFERROR(IF(OR(C107=TRUE,C107=""""),VLOOKUP(G107,IMPORTRANGE(""https://docs.google.com/spreadsheets/d/1z9A1Wq-kKrhRNG5RS2a2fKpY1wIhSVz2ZNmP2mOl588/edit?usp=sharing"",""REQ VF!E4:H""),4,0),""NO APLICA""),""GENERAR REQ"")"),"GENERAR REQ")</f>
        <v>GENERAR REQ</v>
      </c>
      <c r="AE107" s="32" t="str">
        <f>IFERROR(__xludf.DUMMYFUNCTION("IFERROR(QUERY(IMPORTRANGE(""https://docs.google.com/spreadsheets/d/1z9A1Wq-kKrhRNG5RS2a2fKpY1wIhSVz2ZNmP2mOl588/edit?usp=sharing"",""REQ VF!E4:Q""),""SELECT Col10, Col11, Col12 WHERE Col1 = '""&amp;G107&amp;""'"",0),""NO APLICA"")"),"NO APLICA")</f>
        <v>NO APLICA</v>
      </c>
      <c r="AF107" s="32"/>
      <c r="AG107" s="32"/>
      <c r="AH107" s="13"/>
      <c r="AI107" s="13"/>
    </row>
    <row r="108">
      <c r="A108" s="43"/>
      <c r="B108" s="43" t="b">
        <v>0</v>
      </c>
      <c r="C108" s="26" t="b">
        <v>1</v>
      </c>
      <c r="D108" s="26" t="s">
        <v>42</v>
      </c>
      <c r="E108" s="26" t="s">
        <v>1510</v>
      </c>
      <c r="F108" s="59" t="s">
        <v>1861</v>
      </c>
      <c r="G108" s="39" t="s">
        <v>1867</v>
      </c>
      <c r="H108" s="66" t="s">
        <v>1868</v>
      </c>
      <c r="I108" s="43">
        <v>3.0</v>
      </c>
      <c r="J108" s="26">
        <f>IFERROR(__xludf.DUMMYFUNCTION("VLOOKUP(G108,IMPORTRANGE(""https://docs.google.com/spreadsheets/d/12RxCea4e5ggM7QGn1XE3FbLQa_-QbCNdBi90OdPjRqg/edit?gid=1692403370#gid=1692403370"", ""'Plan de Compras'!D4:2432""), 8,0)"),3.0)</f>
        <v>3</v>
      </c>
      <c r="K108" s="26" t="str">
        <f t="shared" si="1"/>
        <v>SI</v>
      </c>
      <c r="L108" s="29"/>
      <c r="M108" s="61"/>
      <c r="N108" s="32"/>
      <c r="O108" s="32"/>
      <c r="P108" s="32"/>
      <c r="Q108" s="41"/>
      <c r="R108" s="61"/>
      <c r="S108" s="34" t="b">
        <v>1</v>
      </c>
      <c r="T108" s="63" t="s">
        <v>1793</v>
      </c>
      <c r="U108" s="63" t="s">
        <v>1869</v>
      </c>
      <c r="V108" s="63"/>
      <c r="W108" s="63"/>
      <c r="X108" s="63"/>
      <c r="Y108" s="120" t="s">
        <v>1870</v>
      </c>
      <c r="Z108" s="37"/>
      <c r="AA108" s="37"/>
      <c r="AB108" s="32"/>
      <c r="AC108" s="72"/>
      <c r="AD108" s="37" t="str">
        <f>IFERROR(__xludf.DUMMYFUNCTION("IFERROR(IF(OR(C108=TRUE,C108=""""),VLOOKUP(G108,IMPORTRANGE(""https://docs.google.com/spreadsheets/d/1z9A1Wq-kKrhRNG5RS2a2fKpY1wIhSVz2ZNmP2mOl588/edit?usp=sharing"",""REQ VF!E4:H""),4,0),""NO APLICA""),""GENERAR REQ"")"),"GENERAR REQ")</f>
        <v>GENERAR REQ</v>
      </c>
      <c r="AE108" s="32" t="str">
        <f>IFERROR(__xludf.DUMMYFUNCTION("IFERROR(QUERY(IMPORTRANGE(""https://docs.google.com/spreadsheets/d/1z9A1Wq-kKrhRNG5RS2a2fKpY1wIhSVz2ZNmP2mOl588/edit?usp=sharing"",""REQ VF!E4:Q""),""SELECT Col10, Col11, Col12 WHERE Col1 = '""&amp;G108&amp;""'"",0),""NO APLICA"")"),"NO APLICA")</f>
        <v>NO APLICA</v>
      </c>
      <c r="AF108" s="32"/>
      <c r="AG108" s="32"/>
      <c r="AH108" s="13"/>
      <c r="AI108" s="13"/>
    </row>
    <row r="109">
      <c r="A109" s="43"/>
      <c r="B109" s="43" t="b">
        <v>0</v>
      </c>
      <c r="C109" s="26" t="b">
        <v>1</v>
      </c>
      <c r="D109" s="26" t="s">
        <v>42</v>
      </c>
      <c r="E109" s="26" t="s">
        <v>1510</v>
      </c>
      <c r="F109" s="59" t="s">
        <v>1861</v>
      </c>
      <c r="G109" s="39" t="s">
        <v>1871</v>
      </c>
      <c r="H109" s="66" t="s">
        <v>1872</v>
      </c>
      <c r="I109" s="43">
        <v>3.0</v>
      </c>
      <c r="J109" s="26">
        <f>IFERROR(__xludf.DUMMYFUNCTION("VLOOKUP(G109,IMPORTRANGE(""https://docs.google.com/spreadsheets/d/12RxCea4e5ggM7QGn1XE3FbLQa_-QbCNdBi90OdPjRqg/edit?gid=1692403370#gid=1692403370"", ""'Plan de Compras'!D4:2432""), 8,0)"),3.0)</f>
        <v>3</v>
      </c>
      <c r="K109" s="26" t="str">
        <f t="shared" si="1"/>
        <v>SI</v>
      </c>
      <c r="L109" s="29"/>
      <c r="M109" s="61"/>
      <c r="N109" s="32"/>
      <c r="O109" s="32"/>
      <c r="P109" s="32"/>
      <c r="Q109" s="41"/>
      <c r="R109" s="61"/>
      <c r="S109" s="34" t="b">
        <v>1</v>
      </c>
      <c r="T109" s="63" t="s">
        <v>1793</v>
      </c>
      <c r="U109" s="63" t="s">
        <v>1873</v>
      </c>
      <c r="V109" s="63"/>
      <c r="W109" s="63"/>
      <c r="X109" s="63"/>
      <c r="Y109" s="120" t="s">
        <v>1874</v>
      </c>
      <c r="Z109" s="37"/>
      <c r="AA109" s="37"/>
      <c r="AB109" s="32"/>
      <c r="AC109" s="72"/>
      <c r="AD109" s="37" t="str">
        <f>IFERROR(__xludf.DUMMYFUNCTION("IFERROR(IF(OR(C109=TRUE,C109=""""),VLOOKUP(G109,IMPORTRANGE(""https://docs.google.com/spreadsheets/d/1z9A1Wq-kKrhRNG5RS2a2fKpY1wIhSVz2ZNmP2mOl588/edit?usp=sharing"",""REQ VF!E4:H""),4,0),""NO APLICA""),""GENERAR REQ"")"),"GENERAR REQ")</f>
        <v>GENERAR REQ</v>
      </c>
      <c r="AE109" s="32" t="str">
        <f>IFERROR(__xludf.DUMMYFUNCTION("IFERROR(QUERY(IMPORTRANGE(""https://docs.google.com/spreadsheets/d/1z9A1Wq-kKrhRNG5RS2a2fKpY1wIhSVz2ZNmP2mOl588/edit?usp=sharing"",""REQ VF!E4:Q""),""SELECT Col10, Col11, Col12 WHERE Col1 = '""&amp;G109&amp;""'"",0),""NO APLICA"")"),"NO APLICA")</f>
        <v>NO APLICA</v>
      </c>
      <c r="AF109" s="32"/>
      <c r="AG109" s="32"/>
      <c r="AH109" s="13"/>
      <c r="AI109" s="13"/>
    </row>
    <row r="110">
      <c r="A110" s="121">
        <v>74.0</v>
      </c>
      <c r="B110" s="43" t="b">
        <v>1</v>
      </c>
      <c r="C110" s="26" t="b">
        <v>1</v>
      </c>
      <c r="D110" s="26" t="s">
        <v>35</v>
      </c>
      <c r="E110" s="26" t="s">
        <v>1510</v>
      </c>
      <c r="F110" s="59" t="s">
        <v>1875</v>
      </c>
      <c r="G110" s="37" t="s">
        <v>1875</v>
      </c>
      <c r="H110" s="82" t="s">
        <v>1876</v>
      </c>
      <c r="I110" s="43">
        <f>SUMIFS('Hoja 10'!$O:$O,'Hoja 10'!$F:$F,$G110)</f>
        <v>8</v>
      </c>
      <c r="J110" s="26">
        <f>IFERROR(__xludf.DUMMYFUNCTION("VLOOKUP(G110,IMPORTRANGE(""https://docs.google.com/spreadsheets/d/12RxCea4e5ggM7QGn1XE3FbLQa_-QbCNdBi90OdPjRqg/edit?gid=1692403370#gid=1692403370"", ""'Plan de Compras'!D4:2432""), 8,0)"),8.0)</f>
        <v>8</v>
      </c>
      <c r="K110" s="26" t="str">
        <f t="shared" si="1"/>
        <v>SI</v>
      </c>
      <c r="L110" s="29" t="s">
        <v>296</v>
      </c>
      <c r="M110" s="30" t="s">
        <v>297</v>
      </c>
      <c r="N110" s="32"/>
      <c r="O110" s="32" t="str">
        <f>VLOOKUP($G110,'Hoja 10'!$F$4:$AA1057, 19,0)</f>
        <v>BOSCH</v>
      </c>
      <c r="P110" s="32">
        <f>VLOOKUP($G110,'Hoja 10'!$F$4:$AA1057, 20,0)</f>
        <v>2608522129</v>
      </c>
      <c r="Q110" s="33" t="str">
        <f>VLOOKUP($G110,'Hoja 10'!$F$4:$AA1057, 21,0)</f>
        <v>https://www.bosch-professional.com/sa/en/extra-hard-screwdriver-bit-mixed-sets-compact-for-various-screw-types-with-magnetic-universal-holder-2867918-ocs-ac/</v>
      </c>
      <c r="R110" s="30" t="s">
        <v>1877</v>
      </c>
      <c r="S110" s="44" t="b">
        <v>1</v>
      </c>
      <c r="T110" s="39" t="str">
        <f>IFERROR(__xludf.DUMMYFUNCTION(" IF
( VLOOKUP($G110,IMPORTRANGE(""https://docs.google.com/spreadsheets/d/1Gpl6jkTg7sL4VDNimUm3S9Vi1i95esohXCF3wuKOE8c"", ""'CONSOLIDADO'!G5:AB""), 10, 0) &lt;&gt; 0, 
IFERROR(VLOOKUP($G110,IMPORTRANGE(""https://docs.google.com/spreadsheets/d/1Gpl6jkTg7sL4VDNimU"&amp;"m3S9Vi1i95esohXCF3wuKOE8c"", ""'CONSOLIDADO'!G5:AB""), 17, 0), ""-""),
""""
)"),"BOSCH")</f>
        <v>BOSCH</v>
      </c>
      <c r="U110" s="39">
        <f>IFERROR(__xludf.DUMMYFUNCTION(" IF
( VLOOKUP($G110,IMPORTRANGE(""https://docs.google.com/spreadsheets/d/1Gpl6jkTg7sL4VDNimUm3S9Vi1i95esohXCF3wuKOE8c"", ""'CONSOLIDADO'!G5:AB""), 10, 0) &lt;&gt; 0, 
IFERROR(VLOOKUP($G110,IMPORTRANGE(""https://docs.google.com/spreadsheets/d/1Gpl6jkTg7sL4VDNimU"&amp;"m3S9Vi1i95esohXCF3wuKOE8c"", ""'CONSOLIDADO'!G5:AB""), 18, 0), ""-""),
""""
)"),2.608522129E9)</f>
        <v>2608522129</v>
      </c>
      <c r="V110" s="39" t="str">
        <f>IFERROR(__xludf.DUMMYFUNCTION(" IF
( VLOOKUP($G110,IMPORTRANGE(""https://docs.google.com/spreadsheets/d/1Gpl6jkTg7sL4VDNimUm3S9Vi1i95esohXCF3wuKOE8c"", ""'CONSOLIDADO'!G5:AB""), 10, 0) &lt;&gt; 0, 
IFERROR(VLOOKUP($G110,IMPORTRANGE(""https://docs.google.com/spreadsheets/d/1Gpl6jkTg7sL4VDNimU"&amp;"m3S9Vi1i95esohXCF3wuKOE8c"", ""'CONSOLIDADO'!G5:AB""), 17, 0), ""-""),
""""
)"),"BOSCH")</f>
        <v>BOSCH</v>
      </c>
      <c r="W110" s="39">
        <f>IFERROR(__xludf.DUMMYFUNCTION(" IF
( VLOOKUP($G110,IMPORTRANGE(""https://docs.google.com/spreadsheets/d/1Gpl6jkTg7sL4VDNimUm3S9Vi1i95esohXCF3wuKOE8c"", ""'CONSOLIDADO'!G5:AB""), 10, 0) &lt;&gt; 0, 
IFERROR(VLOOKUP($G110,IMPORTRANGE(""https://docs.google.com/spreadsheets/d/1Gpl6jkTg7sL4VDNimU"&amp;"m3S9Vi1i95esohXCF3wuKOE8c"", ""'CONSOLIDADO'!G5:AB""), 18, 0), ""-""),
""""
)"),2.608522129E9)</f>
        <v>2608522129</v>
      </c>
      <c r="X110" s="39" t="b">
        <f t="shared" ref="X110:X111" si="12">IF(AND(T110=V110,W110=U110),TRUE,FALSE)</f>
        <v>1</v>
      </c>
      <c r="Y110" s="120" t="str">
        <f>IFERROR(__xludf.DUMMYFUNCTION(" IF
( VLOOKUP($G110,IMPORTRANGE(""https://docs.google.com/spreadsheets/d/1Gpl6jkTg7sL4VDNimUm3S9Vi1i95esohXCF3wuKOE8c"", ""'CONSOLIDADO'!G5:AB""), 10, 0) &lt;&gt; 0, 
IFERROR(VLOOKUP($G110,IMPORTRANGE(""https://docs.google.com/spreadsheets/d/1Gpl6jkTg7sL4VDNimU"&amp;"m3S9Vi1i95esohXCF3wuKOE8c"", ""'CONSOLIDADO'!G5:AB""), 19, 0), ""-""),
""""
)"),"https://www.bosch-professional.com/sa/en/extra-hard-screwdriver-bit-mixed-sets-compact-for-various-screw-types-with-magnetic-universal-holder-2867918-ocs-ac/")</f>
        <v>https://www.bosch-professional.com/sa/en/extra-hard-screwdriver-bit-mixed-sets-compact-for-various-screw-types-with-magnetic-universal-holder-2867918-ocs-ac/</v>
      </c>
      <c r="Z110" s="37" t="str">
        <f>IFERROR(__xludf.DUMMYFUNCTION("IFERROR(VLOOKUP(G110,IMPORTRANGE(""https://docs.google.com/spreadsheets/d/12RxCea4e5ggM7QGn1XE3FbLQa_-QbCNdBi90OdPjRqg"", ""'Plan de Compras'!D4:Q""), 12, 0), ""NO ESTÁ EN REQ"")"),"Técnica")</f>
        <v>Técnica</v>
      </c>
      <c r="AA110" s="37" t="str">
        <f>IFERROR(__xludf.DUMMYFUNCTION("IFERROR(VLOOKUP(G110,IMPORTRANGE(""https://docs.google.com/spreadsheets/d/12RxCea4e5ggM7QGn1XE3FbLQa_-QbCNdBi90OdPjRqg"", ""'Plan de Compras'!D4:Q""), 13, 0), """")"),"INTERNACIONAL")</f>
        <v>INTERNACIONAL</v>
      </c>
      <c r="AB110" s="32" t="str">
        <f>IFERROR(__xludf.DUMMYFUNCTION("IFERROR(VLOOKUP(G110,IMPORTRANGE(""https://docs.google.com/spreadsheets/d/12RxCea4e5ggM7QGn1XE3FbLQa_-QbCNdBi90OdPjRqg"", ""'Plan de Compras'!D4:Q""), 14, 0), """")"),"ALEJANDRA")</f>
        <v>ALEJANDRA</v>
      </c>
      <c r="AC110" s="72" t="str">
        <f>IFERROR(__xludf.DUMMYFUNCTION("IFERROR(VLOOKUP(G110,IMPORTRANGE(""https://docs.google.com/spreadsheets/d/12RxCea4e5ggM7QGn1XE3FbLQa_-QbCNdBi90OdPjRqg"", ""'Plan de Compras'!D4:Q""), 4, 0), """")"),"JUEGO DE PUNTAS MAGNÉTICAS PARA DESTORNILLADOR")</f>
        <v>JUEGO DE PUNTAS MAGNÉTICAS PARA DESTORNILLADOR</v>
      </c>
      <c r="AD110" s="37" t="str">
        <f>IFERROR(__xludf.DUMMYFUNCTION("IFERROR(IF(OR(C110=TRUE,C110=""""),VLOOKUP(G110,IMPORTRANGE(""https://docs.google.com/spreadsheets/d/1z9A1Wq-kKrhRNG5RS2a2fKpY1wIhSVz2ZNmP2mOl588/edit?usp=sharing"",""REQ VF!E4:H""),4,0),""NO APLICA""),""GENERAR REQ"")"),"GENERAR REQ")</f>
        <v>GENERAR REQ</v>
      </c>
      <c r="AE110" s="32" t="str">
        <f>IFERROR(__xludf.DUMMYFUNCTION("IFERROR(QUERY(IMPORTRANGE(""https://docs.google.com/spreadsheets/d/1z9A1Wq-kKrhRNG5RS2a2fKpY1wIhSVz2ZNmP2mOl588/edit?usp=sharing"",""REQ VF!E4:Q""),""SELECT Col10, Col11, Col12 WHERE Col1 = '""&amp;G110&amp;""'"",0),""NO APLICA"")"),"NO APLICA")</f>
        <v>NO APLICA</v>
      </c>
      <c r="AF110" s="32"/>
      <c r="AG110" s="32"/>
      <c r="AH110" s="13"/>
      <c r="AI110" s="13"/>
    </row>
    <row r="111">
      <c r="A111" s="117">
        <v>75.0</v>
      </c>
      <c r="B111" s="43" t="b">
        <v>1</v>
      </c>
      <c r="C111" s="26" t="b">
        <v>0</v>
      </c>
      <c r="D111" s="26" t="s">
        <v>35</v>
      </c>
      <c r="E111" s="26" t="s">
        <v>1510</v>
      </c>
      <c r="F111" s="59" t="s">
        <v>1878</v>
      </c>
      <c r="G111" s="37" t="s">
        <v>1878</v>
      </c>
      <c r="H111" s="82" t="s">
        <v>1879</v>
      </c>
      <c r="I111" s="43">
        <f>SUMIFS('Hoja 10'!$O:$O,'Hoja 10'!$F:$F,$G111)</f>
        <v>8</v>
      </c>
      <c r="J111" s="26">
        <f>IFERROR(__xludf.DUMMYFUNCTION("VLOOKUP(G111,IMPORTRANGE(""https://docs.google.com/spreadsheets/d/12RxCea4e5ggM7QGn1XE3FbLQa_-QbCNdBi90OdPjRqg/edit?gid=1692403370#gid=1692403370"", ""'Plan de Compras'!D4:2432""), 8,0)"),8.0)</f>
        <v>8</v>
      </c>
      <c r="K111" s="26" t="str">
        <f t="shared" si="1"/>
        <v>-</v>
      </c>
      <c r="L111" s="29" t="s">
        <v>185</v>
      </c>
      <c r="M111" s="30" t="s">
        <v>186</v>
      </c>
      <c r="N111" s="32"/>
      <c r="O111" s="32" t="str">
        <f>VLOOKUP($G111,'Hoja 10'!$F$4:$AA1057, 19,0)</f>
        <v>GENERICO</v>
      </c>
      <c r="P111" s="32" t="str">
        <f>VLOOKUP($G111,'Hoja 10'!$F$4:$AA1057, 20,0)</f>
        <v>GENERICO</v>
      </c>
      <c r="Q111" s="33" t="str">
        <f>VLOOKUP($G111,'Hoja 10'!$F$4:$AA1057, 21,0)</f>
        <v>https://www.promart.pe/tijera-para-costura-7-pretul-23156-1001185282/p?gad_source=1&amp;gad_campaignid=22752513019&amp;gbraid=0AAAAADJIfAJq0PtvNUgRezlvl1vCQWQ24&amp;gclid=CjwKCAjwgeLHBhBuEiwAL5gNETjzwR3r3XQeU1T5lQNPbHM3DLzDz8VQsbjyLodTtq7Agkx68uXHwxoCcMQQAvD_BwE</v>
      </c>
      <c r="R111" s="30" t="s">
        <v>1880</v>
      </c>
      <c r="S111" s="44" t="b">
        <v>0</v>
      </c>
      <c r="T111" s="39" t="str">
        <f>IFERROR(__xludf.DUMMYFUNCTION(" IF
( VLOOKUP($G111,IMPORTRANGE(""https://docs.google.com/spreadsheets/d/1Gpl6jkTg7sL4VDNimUm3S9Vi1i95esohXCF3wuKOE8c"", ""'CONSOLIDADO'!G5:AB""), 10, 0) &lt;&gt; 0, 
IFERROR(VLOOKUP($G111,IMPORTRANGE(""https://docs.google.com/spreadsheets/d/1Gpl6jkTg7sL4VDNimU"&amp;"m3S9Vi1i95esohXCF3wuKOE8c"", ""'CONSOLIDADO'!G5:AB""), 17, 0), ""-""),
""""
)"),"3 Claveles")</f>
        <v>3 Claveles</v>
      </c>
      <c r="U111" s="39" t="str">
        <f>IFERROR(__xludf.DUMMYFUNCTION(" IF
( VLOOKUP($G111,IMPORTRANGE(""https://docs.google.com/spreadsheets/d/1Gpl6jkTg7sL4VDNimUm3S9Vi1i95esohXCF3wuKOE8c"", ""'CONSOLIDADO'!G5:AB""), 10, 0) &lt;&gt; 0, 
IFERROR(VLOOKUP($G111,IMPORTRANGE(""https://docs.google.com/spreadsheets/d/1Gpl6jkTg7sL4VDNimU"&amp;"m3S9Vi1i95esohXCF3wuKOE8c"", ""'CONSOLIDADO'!G5:AB""), 18, 0), ""-""),
""""
)"),"VARIOS 2")</f>
        <v>VARIOS 2</v>
      </c>
      <c r="V111" s="39" t="str">
        <f>IFERROR(__xludf.DUMMYFUNCTION(" IF
( VLOOKUP($G111,IMPORTRANGE(""https://docs.google.com/spreadsheets/d/1Gpl6jkTg7sL4VDNimUm3S9Vi1i95esohXCF3wuKOE8c"", ""'CONSOLIDADO'!G5:AB""), 10, 0) &lt;&gt; 0, 
IFERROR(VLOOKUP($G111,IMPORTRANGE(""https://docs.google.com/spreadsheets/d/1Gpl6jkTg7sL4VDNimU"&amp;"m3S9Vi1i95esohXCF3wuKOE8c"", ""'CONSOLIDADO'!G5:AB""), 17, 0), ""-""),
""""
)"),"3 Claveles")</f>
        <v>3 Claveles</v>
      </c>
      <c r="W111" s="39" t="str">
        <f>IFERROR(__xludf.DUMMYFUNCTION(" IF
( VLOOKUP($G111,IMPORTRANGE(""https://docs.google.com/spreadsheets/d/1Gpl6jkTg7sL4VDNimUm3S9Vi1i95esohXCF3wuKOE8c"", ""'CONSOLIDADO'!G5:AB""), 10, 0) &lt;&gt; 0, 
IFERROR(VLOOKUP($G111,IMPORTRANGE(""https://docs.google.com/spreadsheets/d/1Gpl6jkTg7sL4VDNimU"&amp;"m3S9Vi1i95esohXCF3wuKOE8c"", ""'CONSOLIDADO'!G5:AB""), 18, 0), ""-""),
""""
)"),"VARIOS 2")</f>
        <v>VARIOS 2</v>
      </c>
      <c r="X111" s="39" t="b">
        <f t="shared" si="12"/>
        <v>1</v>
      </c>
      <c r="Y111" s="120" t="str">
        <f>IFERROR(__xludf.DUMMYFUNCTION(" IF
( VLOOKUP($G111,IMPORTRANGE(""https://docs.google.com/spreadsheets/d/1Gpl6jkTg7sL4VDNimUm3S9Vi1i95esohXCF3wuKOE8c"", ""'CONSOLIDADO'!G5:AB""), 10, 0) &lt;&gt; 0, 
IFERROR(VLOOKUP($G111,IMPORTRANGE(""https://docs.google.com/spreadsheets/d/1Gpl6jkTg7sL4VDNimU"&amp;"m3S9Vi1i95esohXCF3wuKOE8c"", ""'CONSOLIDADO'!G5:AB""), 19, 0), ""-""),
""""
)"),"https://www.promart.pe/tijera-para-costura-7-pretul-23156-1001185282/p?gad_source=1&amp;gad_campaignid=22752513019&amp;gbraid=0AAAAADJIfAJq0PtvNUgRezlvl1vCQWQ24&amp;gclid=CjwKCAjwgeLHBhBuEiwAL5gNETjzwR3r3XQeU1T5lQNPbHM3DLzDz8VQsbjyLodTtq7Agkx68uXHwxoCcMQQAvD_BwE")</f>
        <v>https://www.promart.pe/tijera-para-costura-7-pretul-23156-1001185282/p?gad_source=1&amp;gad_campaignid=22752513019&amp;gbraid=0AAAAADJIfAJq0PtvNUgRezlvl1vCQWQ24&amp;gclid=CjwKCAjwgeLHBhBuEiwAL5gNETjzwR3r3XQeU1T5lQNPbHM3DLzDz8VQsbjyLodTtq7Agkx68uXHwxoCcMQQAvD_BwE</v>
      </c>
      <c r="Z111" s="37" t="str">
        <f>IFERROR(__xludf.DUMMYFUNCTION("IFERROR(VLOOKUP(G111,IMPORTRANGE(""https://docs.google.com/spreadsheets/d/12RxCea4e5ggM7QGn1XE3FbLQa_-QbCNdBi90OdPjRqg"", ""'Plan de Compras'!D4:Q""), 12, 0), ""NO ESTÁ EN REQ"")"),"Simple")</f>
        <v>Simple</v>
      </c>
      <c r="AA111" s="37" t="str">
        <f>IFERROR(__xludf.DUMMYFUNCTION("IFERROR(VLOOKUP(G111,IMPORTRANGE(""https://docs.google.com/spreadsheets/d/12RxCea4e5ggM7QGn1XE3FbLQa_-QbCNdBi90OdPjRqg"", ""'Plan de Compras'!D4:Q""), 13, 0), """")"),"NACIONAL")</f>
        <v>NACIONAL</v>
      </c>
      <c r="AB111" s="32" t="str">
        <f>IFERROR(__xludf.DUMMYFUNCTION("IFERROR(VLOOKUP(G111,IMPORTRANGE(""https://docs.google.com/spreadsheets/d/12RxCea4e5ggM7QGn1XE3FbLQa_-QbCNdBi90OdPjRqg"", ""'Plan de Compras'!D4:Q""), 14, 0), """")"),"GEANFRANCO")</f>
        <v>GEANFRANCO</v>
      </c>
      <c r="AC111" s="72" t="str">
        <f>IFERROR(__xludf.DUMMYFUNCTION("IFERROR(VLOOKUP(G111,IMPORTRANGE(""https://docs.google.com/spreadsheets/d/12RxCea4e5ggM7QGn1XE3FbLQa_-QbCNdBi90OdPjRqg"", ""'Plan de Compras'!D4:Q""), 4, 0), """")"),"JUEGO DE TIJERAS PARA TELAS")</f>
        <v>JUEGO DE TIJERAS PARA TELAS</v>
      </c>
      <c r="AD111" s="37" t="str">
        <f>IFERROR(__xludf.DUMMYFUNCTION("IFERROR(IF(OR(C111=TRUE,C111=""""),VLOOKUP(G111,IMPORTRANGE(""https://docs.google.com/spreadsheets/d/1z9A1Wq-kKrhRNG5RS2a2fKpY1wIhSVz2ZNmP2mOl588/edit?usp=sharing"",""REQ VF!E4:H""),4,0),""NO APLICA""),""GENERAR REQ"")"),"NO APLICA")</f>
        <v>NO APLICA</v>
      </c>
      <c r="AE111" s="32" t="str">
        <f>IFERROR(__xludf.DUMMYFUNCTION("IFERROR(QUERY(IMPORTRANGE(""https://docs.google.com/spreadsheets/d/1z9A1Wq-kKrhRNG5RS2a2fKpY1wIhSVz2ZNmP2mOl588/edit?usp=sharing"",""REQ VF!E4:Q""),""SELECT Col10, Col11, Col12 WHERE Col1 = '""&amp;G111&amp;""'"",0),""NO APLICA"")"),"NO APLICA")</f>
        <v>NO APLICA</v>
      </c>
      <c r="AF111" s="32"/>
      <c r="AG111" s="32"/>
      <c r="AH111" s="13"/>
      <c r="AI111" s="13"/>
    </row>
    <row r="112">
      <c r="A112" s="43"/>
      <c r="B112" s="43"/>
      <c r="C112" s="26" t="b">
        <v>1</v>
      </c>
      <c r="D112" s="26" t="s">
        <v>95</v>
      </c>
      <c r="E112" s="26" t="s">
        <v>1510</v>
      </c>
      <c r="F112" s="59" t="s">
        <v>1878</v>
      </c>
      <c r="G112" s="39" t="s">
        <v>1881</v>
      </c>
      <c r="H112" s="66" t="s">
        <v>1882</v>
      </c>
      <c r="I112" s="43">
        <v>8.0</v>
      </c>
      <c r="J112" s="26">
        <f>IFERROR(__xludf.DUMMYFUNCTION("VLOOKUP(G112,IMPORTRANGE(""https://docs.google.com/spreadsheets/d/12RxCea4e5ggM7QGn1XE3FbLQa_-QbCNdBi90OdPjRqg/edit?gid=1692403370#gid=1692403370"", ""'Plan de Compras'!D4:2432""), 8,0)"),8.0)</f>
        <v>8</v>
      </c>
      <c r="K112" s="26" t="str">
        <f t="shared" si="1"/>
        <v>SI</v>
      </c>
      <c r="L112" s="26"/>
      <c r="M112" s="32"/>
      <c r="N112" s="32" t="s">
        <v>1883</v>
      </c>
      <c r="O112" s="32"/>
      <c r="P112" s="32" t="s">
        <v>55</v>
      </c>
      <c r="Q112" s="33" t="s">
        <v>1884</v>
      </c>
      <c r="R112" s="32"/>
      <c r="S112" s="44" t="b">
        <v>1</v>
      </c>
      <c r="T112" s="39" t="s">
        <v>1885</v>
      </c>
      <c r="U112" s="39" t="s">
        <v>1886</v>
      </c>
      <c r="V112" s="39"/>
      <c r="W112" s="39"/>
      <c r="X112" s="39"/>
      <c r="Y112" s="126" t="s">
        <v>1887</v>
      </c>
      <c r="Z112" s="37" t="str">
        <f>IFERROR(__xludf.DUMMYFUNCTION("IFERROR(VLOOKUP(G112,IMPORTRANGE(""https://docs.google.com/spreadsheets/d/12RxCea4e5ggM7QGn1XE3FbLQa_-QbCNdBi90OdPjRqg"", ""'Plan de Compras'!D4:Q""), 12, 0), ""NO ESTÁ EN REQ"")"),"Simple")</f>
        <v>Simple</v>
      </c>
      <c r="AA112" s="37" t="str">
        <f>IFERROR(__xludf.DUMMYFUNCTION("IFERROR(VLOOKUP(G112,IMPORTRANGE(""https://docs.google.com/spreadsheets/d/12RxCea4e5ggM7QGn1XE3FbLQa_-QbCNdBi90OdPjRqg"", ""'Plan de Compras'!D4:Q""), 13, 0), """")"),"NACIONAL")</f>
        <v>NACIONAL</v>
      </c>
      <c r="AB112" s="32" t="str">
        <f>IFERROR(__xludf.DUMMYFUNCTION("IFERROR(VLOOKUP(G112,IMPORTRANGE(""https://docs.google.com/spreadsheets/d/12RxCea4e5ggM7QGn1XE3FbLQa_-QbCNdBi90OdPjRqg"", ""'Plan de Compras'!D4:Q""), 14, 0), """")"),"GEANFRANCO")</f>
        <v>GEANFRANCO</v>
      </c>
      <c r="AC112" s="72" t="str">
        <f>IFERROR(__xludf.DUMMYFUNCTION("IFERROR(VLOOKUP(G112,IMPORTRANGE(""https://docs.google.com/spreadsheets/d/12RxCea4e5ggM7QGn1XE3FbLQa_-QbCNdBi90OdPjRqg"", ""'Plan de Compras'!D4:Q""), 4, 0), """")"),"TIJERA DE BORDAR. LARGO 4 PULG (1 UND)")</f>
        <v>TIJERA DE BORDAR. LARGO 4 PULG (1 UND)</v>
      </c>
      <c r="AD112" s="37" t="str">
        <f>IFERROR(__xludf.DUMMYFUNCTION("IFERROR(IF(OR(C112=TRUE,C112=""""),VLOOKUP(G112,IMPORTRANGE(""https://docs.google.com/spreadsheets/d/1z9A1Wq-kKrhRNG5RS2a2fKpY1wIhSVz2ZNmP2mOl588/edit?usp=sharing"",""REQ VF!E4:H""),4,0),""NO APLICA""),""GENERAR REQ"")"),"GENERAR REQ")</f>
        <v>GENERAR REQ</v>
      </c>
      <c r="AE112" s="32" t="str">
        <f>IFERROR(__xludf.DUMMYFUNCTION("IFERROR(QUERY(IMPORTRANGE(""https://docs.google.com/spreadsheets/d/1z9A1Wq-kKrhRNG5RS2a2fKpY1wIhSVz2ZNmP2mOl588/edit?usp=sharing"",""REQ VF!E4:Q""),""SELECT Col10, Col11, Col12 WHERE Col1 = '""&amp;G112&amp;""'"",0),""NO APLICA"")"),"NO APLICA")</f>
        <v>NO APLICA</v>
      </c>
      <c r="AF112" s="32"/>
      <c r="AG112" s="32"/>
      <c r="AH112" s="13"/>
      <c r="AI112" s="13"/>
    </row>
    <row r="113">
      <c r="A113" s="43"/>
      <c r="B113" s="43"/>
      <c r="C113" s="26" t="b">
        <v>1</v>
      </c>
      <c r="D113" s="26" t="s">
        <v>95</v>
      </c>
      <c r="E113" s="26" t="s">
        <v>1510</v>
      </c>
      <c r="F113" s="59" t="s">
        <v>1878</v>
      </c>
      <c r="G113" s="39" t="s">
        <v>1888</v>
      </c>
      <c r="H113" s="66" t="s">
        <v>1889</v>
      </c>
      <c r="I113" s="43">
        <v>8.0</v>
      </c>
      <c r="J113" s="26">
        <f>IFERROR(__xludf.DUMMYFUNCTION("VLOOKUP(G113,IMPORTRANGE(""https://docs.google.com/spreadsheets/d/12RxCea4e5ggM7QGn1XE3FbLQa_-QbCNdBi90OdPjRqg/edit?gid=1692403370#gid=1692403370"", ""'Plan de Compras'!D4:2432""), 8,0)"),8.0)</f>
        <v>8</v>
      </c>
      <c r="K113" s="26" t="str">
        <f t="shared" si="1"/>
        <v>SI</v>
      </c>
      <c r="L113" s="26"/>
      <c r="M113" s="32"/>
      <c r="N113" s="32" t="s">
        <v>1890</v>
      </c>
      <c r="O113" s="32"/>
      <c r="P113" s="32" t="s">
        <v>303</v>
      </c>
      <c r="Q113" s="33" t="s">
        <v>1891</v>
      </c>
      <c r="R113" s="32"/>
      <c r="S113" s="44" t="b">
        <v>1</v>
      </c>
      <c r="T113" s="39" t="s">
        <v>1885</v>
      </c>
      <c r="U113" s="39" t="s">
        <v>1892</v>
      </c>
      <c r="V113" s="39"/>
      <c r="W113" s="39"/>
      <c r="X113" s="39"/>
      <c r="Y113" s="126" t="s">
        <v>1893</v>
      </c>
      <c r="Z113" s="37" t="str">
        <f>IFERROR(__xludf.DUMMYFUNCTION("IFERROR(VLOOKUP(G113,IMPORTRANGE(""https://docs.google.com/spreadsheets/d/12RxCea4e5ggM7QGn1XE3FbLQa_-QbCNdBi90OdPjRqg"", ""'Plan de Compras'!D4:Q""), 12, 0), ""NO ESTÁ EN REQ"")"),"Simple")</f>
        <v>Simple</v>
      </c>
      <c r="AA113" s="37" t="str">
        <f>IFERROR(__xludf.DUMMYFUNCTION("IFERROR(VLOOKUP(G113,IMPORTRANGE(""https://docs.google.com/spreadsheets/d/12RxCea4e5ggM7QGn1XE3FbLQa_-QbCNdBi90OdPjRqg"", ""'Plan de Compras'!D4:Q""), 13, 0), """")"),"NACIONAL")</f>
        <v>NACIONAL</v>
      </c>
      <c r="AB113" s="32" t="str">
        <f>IFERROR(__xludf.DUMMYFUNCTION("IFERROR(VLOOKUP(G113,IMPORTRANGE(""https://docs.google.com/spreadsheets/d/12RxCea4e5ggM7QGn1XE3FbLQa_-QbCNdBi90OdPjRqg"", ""'Plan de Compras'!D4:Q""), 14, 0), """")"),"GEANFRANCO")</f>
        <v>GEANFRANCO</v>
      </c>
      <c r="AC113" s="72" t="str">
        <f>IFERROR(__xludf.DUMMYFUNCTION("IFERROR(VLOOKUP(G113,IMPORTRANGE(""https://docs.google.com/spreadsheets/d/12RxCea4e5ggM7QGn1XE3FbLQa_-QbCNdBi90OdPjRqg"", ""'Plan de Compras'!D4:Q""), 4, 0), """")"),"TIJERA DE SASTRE. LARGO 9 PULG (1 UND)")</f>
        <v>TIJERA DE SASTRE. LARGO 9 PULG (1 UND)</v>
      </c>
      <c r="AD113" s="37" t="str">
        <f>IFERROR(__xludf.DUMMYFUNCTION("IFERROR(IF(OR(C113=TRUE,C113=""""),VLOOKUP(G113,IMPORTRANGE(""https://docs.google.com/spreadsheets/d/1z9A1Wq-kKrhRNG5RS2a2fKpY1wIhSVz2ZNmP2mOl588/edit?usp=sharing"",""REQ VF!E4:H""),4,0),""NO APLICA""),""GENERAR REQ"")"),"GENERAR REQ")</f>
        <v>GENERAR REQ</v>
      </c>
      <c r="AE113" s="32" t="str">
        <f>IFERROR(__xludf.DUMMYFUNCTION("IFERROR(QUERY(IMPORTRANGE(""https://docs.google.com/spreadsheets/d/1z9A1Wq-kKrhRNG5RS2a2fKpY1wIhSVz2ZNmP2mOl588/edit?usp=sharing"",""REQ VF!E4:Q""),""SELECT Col10, Col11, Col12 WHERE Col1 = '""&amp;G113&amp;""'"",0),""NO APLICA"")"),"NO APLICA")</f>
        <v>NO APLICA</v>
      </c>
      <c r="AF113" s="32"/>
      <c r="AG113" s="32"/>
      <c r="AH113" s="13"/>
      <c r="AI113" s="13"/>
    </row>
    <row r="114">
      <c r="A114" s="43"/>
      <c r="B114" s="43"/>
      <c r="C114" s="26" t="b">
        <v>1</v>
      </c>
      <c r="D114" s="26" t="s">
        <v>95</v>
      </c>
      <c r="E114" s="26" t="s">
        <v>1510</v>
      </c>
      <c r="F114" s="59" t="s">
        <v>1878</v>
      </c>
      <c r="G114" s="39" t="s">
        <v>1894</v>
      </c>
      <c r="H114" s="66" t="s">
        <v>1895</v>
      </c>
      <c r="I114" s="43">
        <v>8.0</v>
      </c>
      <c r="J114" s="26">
        <f>IFERROR(__xludf.DUMMYFUNCTION("VLOOKUP(G114,IMPORTRANGE(""https://docs.google.com/spreadsheets/d/12RxCea4e5ggM7QGn1XE3FbLQa_-QbCNdBi90OdPjRqg/edit?gid=1692403370#gid=1692403370"", ""'Plan de Compras'!D4:2432""), 8,0)"),8.0)</f>
        <v>8</v>
      </c>
      <c r="K114" s="26" t="str">
        <f t="shared" si="1"/>
        <v>SI</v>
      </c>
      <c r="L114" s="26"/>
      <c r="M114" s="32"/>
      <c r="N114" s="32" t="s">
        <v>1896</v>
      </c>
      <c r="O114" s="32"/>
      <c r="P114" s="32" t="s">
        <v>1207</v>
      </c>
      <c r="Q114" s="33" t="s">
        <v>1897</v>
      </c>
      <c r="R114" s="32"/>
      <c r="S114" s="44" t="b">
        <v>1</v>
      </c>
      <c r="T114" s="39" t="s">
        <v>1885</v>
      </c>
      <c r="U114" s="39" t="s">
        <v>1898</v>
      </c>
      <c r="V114" s="39"/>
      <c r="W114" s="39"/>
      <c r="X114" s="39"/>
      <c r="Y114" s="126" t="s">
        <v>1899</v>
      </c>
      <c r="Z114" s="37" t="str">
        <f>IFERROR(__xludf.DUMMYFUNCTION("IFERROR(VLOOKUP(G114,IMPORTRANGE(""https://docs.google.com/spreadsheets/d/12RxCea4e5ggM7QGn1XE3FbLQa_-QbCNdBi90OdPjRqg"", ""'Plan de Compras'!D4:Q""), 12, 0), ""NO ESTÁ EN REQ"")"),"Simple")</f>
        <v>Simple</v>
      </c>
      <c r="AA114" s="37" t="str">
        <f>IFERROR(__xludf.DUMMYFUNCTION("IFERROR(VLOOKUP(G114,IMPORTRANGE(""https://docs.google.com/spreadsheets/d/12RxCea4e5ggM7QGn1XE3FbLQa_-QbCNdBi90OdPjRqg"", ""'Plan de Compras'!D4:Q""), 13, 0), """")"),"NACIONAL")</f>
        <v>NACIONAL</v>
      </c>
      <c r="AB114" s="32" t="str">
        <f>IFERROR(__xludf.DUMMYFUNCTION("IFERROR(VLOOKUP(G114,IMPORTRANGE(""https://docs.google.com/spreadsheets/d/12RxCea4e5ggM7QGn1XE3FbLQa_-QbCNdBi90OdPjRqg"", ""'Plan de Compras'!D4:Q""), 14, 0), """")"),"GEANFRANCO")</f>
        <v>GEANFRANCO</v>
      </c>
      <c r="AC114" s="72" t="str">
        <f>IFERROR(__xludf.DUMMYFUNCTION("IFERROR(VLOOKUP(G114,IMPORTRANGE(""https://docs.google.com/spreadsheets/d/12RxCea4e5ggM7QGn1XE3FbLQa_-QbCNdBi90OdPjRqg"", ""'Plan de Compras'!D4:Q""), 4, 0), """")"),"TIJERA DE MODISTA. LARGO 7 PULG (1 UND)")</f>
        <v>TIJERA DE MODISTA. LARGO 7 PULG (1 UND)</v>
      </c>
      <c r="AD114" s="37" t="str">
        <f>IFERROR(__xludf.DUMMYFUNCTION("IFERROR(IF(OR(C114=TRUE,C114=""""),VLOOKUP(G114,IMPORTRANGE(""https://docs.google.com/spreadsheets/d/1z9A1Wq-kKrhRNG5RS2a2fKpY1wIhSVz2ZNmP2mOl588/edit?usp=sharing"",""REQ VF!E4:H""),4,0),""NO APLICA""),""GENERAR REQ"")"),"GENERAR REQ")</f>
        <v>GENERAR REQ</v>
      </c>
      <c r="AE114" s="32" t="str">
        <f>IFERROR(__xludf.DUMMYFUNCTION("IFERROR(QUERY(IMPORTRANGE(""https://docs.google.com/spreadsheets/d/1z9A1Wq-kKrhRNG5RS2a2fKpY1wIhSVz2ZNmP2mOl588/edit?usp=sharing"",""REQ VF!E4:Q""),""SELECT Col10, Col11, Col12 WHERE Col1 = '""&amp;G114&amp;""'"",0),""NO APLICA"")"),"NO APLICA")</f>
        <v>NO APLICA</v>
      </c>
      <c r="AF114" s="32"/>
      <c r="AG114" s="32"/>
      <c r="AH114" s="13"/>
      <c r="AI114" s="13"/>
    </row>
    <row r="115">
      <c r="A115" s="43"/>
      <c r="B115" s="43"/>
      <c r="C115" s="26" t="b">
        <v>1</v>
      </c>
      <c r="D115" s="26" t="s">
        <v>95</v>
      </c>
      <c r="E115" s="26" t="s">
        <v>1510</v>
      </c>
      <c r="F115" s="59" t="s">
        <v>1878</v>
      </c>
      <c r="G115" s="39" t="s">
        <v>1900</v>
      </c>
      <c r="H115" s="66" t="s">
        <v>1901</v>
      </c>
      <c r="I115" s="43">
        <v>8.0</v>
      </c>
      <c r="J115" s="26">
        <f>IFERROR(__xludf.DUMMYFUNCTION("VLOOKUP(G115,IMPORTRANGE(""https://docs.google.com/spreadsheets/d/12RxCea4e5ggM7QGn1XE3FbLQa_-QbCNdBi90OdPjRqg/edit?gid=1692403370#gid=1692403370"", ""'Plan de Compras'!D4:2432""), 8,0)"),8.0)</f>
        <v>8</v>
      </c>
      <c r="K115" s="26" t="str">
        <f t="shared" si="1"/>
        <v>SI</v>
      </c>
      <c r="L115" s="26"/>
      <c r="M115" s="32"/>
      <c r="N115" s="32"/>
      <c r="O115" s="32"/>
      <c r="P115" s="32" t="s">
        <v>1207</v>
      </c>
      <c r="Q115" s="33" t="s">
        <v>1897</v>
      </c>
      <c r="R115" s="32"/>
      <c r="S115" s="44" t="b">
        <v>1</v>
      </c>
      <c r="T115" s="63" t="s">
        <v>1885</v>
      </c>
      <c r="U115" s="63" t="s">
        <v>1902</v>
      </c>
      <c r="V115" s="63"/>
      <c r="W115" s="63"/>
      <c r="X115" s="63"/>
      <c r="Y115" s="126" t="s">
        <v>1903</v>
      </c>
      <c r="Z115" s="37" t="str">
        <f>IFERROR(__xludf.DUMMYFUNCTION("IFERROR(VLOOKUP(G115,IMPORTRANGE(""https://docs.google.com/spreadsheets/d/12RxCea4e5ggM7QGn1XE3FbLQa_-QbCNdBi90OdPjRqg"", ""'Plan de Compras'!D4:Q""), 12, 0), ""NO ESTÁ EN REQ"")"),"Simple")</f>
        <v>Simple</v>
      </c>
      <c r="AA115" s="37" t="str">
        <f>IFERROR(__xludf.DUMMYFUNCTION("IFERROR(VLOOKUP(G115,IMPORTRANGE(""https://docs.google.com/spreadsheets/d/12RxCea4e5ggM7QGn1XE3FbLQa_-QbCNdBi90OdPjRqg"", ""'Plan de Compras'!D4:Q""), 13, 0), """")"),"NACIONAL")</f>
        <v>NACIONAL</v>
      </c>
      <c r="AB115" s="32" t="str">
        <f>IFERROR(__xludf.DUMMYFUNCTION("IFERROR(VLOOKUP(G115,IMPORTRANGE(""https://docs.google.com/spreadsheets/d/12RxCea4e5ggM7QGn1XE3FbLQa_-QbCNdBi90OdPjRqg"", ""'Plan de Compras'!D4:Q""), 14, 0), """")"),"GEANFRANCO")</f>
        <v>GEANFRANCO</v>
      </c>
      <c r="AC115" s="72" t="str">
        <f>IFERROR(__xludf.DUMMYFUNCTION("IFERROR(VLOOKUP(G115,IMPORTRANGE(""https://docs.google.com/spreadsheets/d/12RxCea4e5ggM7QGn1XE3FbLQa_-QbCNdBi90OdPjRqg"", ""'Plan de Compras'!D4:Q""), 4, 0), """")"),"TIJERA DE COSTURA. LARGO 8 PULG (1 UND)")</f>
        <v>TIJERA DE COSTURA. LARGO 8 PULG (1 UND)</v>
      </c>
      <c r="AD115" s="37" t="str">
        <f>IFERROR(__xludf.DUMMYFUNCTION("IFERROR(IF(OR(C115=TRUE,C115=""""),VLOOKUP(G115,IMPORTRANGE(""https://docs.google.com/spreadsheets/d/1z9A1Wq-kKrhRNG5RS2a2fKpY1wIhSVz2ZNmP2mOl588/edit?usp=sharing"",""REQ VF!E4:H""),4,0),""NO APLICA""),""GENERAR REQ"")"),"GENERAR REQ")</f>
        <v>GENERAR REQ</v>
      </c>
      <c r="AE115" s="32" t="str">
        <f>IFERROR(__xludf.DUMMYFUNCTION("IFERROR(QUERY(IMPORTRANGE(""https://docs.google.com/spreadsheets/d/1z9A1Wq-kKrhRNG5RS2a2fKpY1wIhSVz2ZNmP2mOl588/edit?usp=sharing"",""REQ VF!E4:Q""),""SELECT Col10, Col11, Col12 WHERE Col1 = '""&amp;G115&amp;""'"",0),""NO APLICA"")"),"NO APLICA")</f>
        <v>NO APLICA</v>
      </c>
      <c r="AF115" s="32"/>
      <c r="AG115" s="32"/>
      <c r="AH115" s="13"/>
      <c r="AI115" s="13"/>
    </row>
    <row r="116">
      <c r="A116" s="43"/>
      <c r="B116" s="43"/>
      <c r="C116" s="26" t="b">
        <v>1</v>
      </c>
      <c r="D116" s="26" t="s">
        <v>95</v>
      </c>
      <c r="E116" s="26" t="s">
        <v>1510</v>
      </c>
      <c r="F116" s="59" t="s">
        <v>1878</v>
      </c>
      <c r="G116" s="39" t="s">
        <v>1904</v>
      </c>
      <c r="H116" s="66" t="s">
        <v>1905</v>
      </c>
      <c r="I116" s="43">
        <v>8.0</v>
      </c>
      <c r="J116" s="26">
        <f>IFERROR(__xludf.DUMMYFUNCTION("VLOOKUP(G116,IMPORTRANGE(""https://docs.google.com/spreadsheets/d/12RxCea4e5ggM7QGn1XE3FbLQa_-QbCNdBi90OdPjRqg/edit?gid=1692403370#gid=1692403370"", ""'Plan de Compras'!D4:2432""), 8,0)"),8.0)</f>
        <v>8</v>
      </c>
      <c r="K116" s="26" t="str">
        <f t="shared" si="1"/>
        <v>SI</v>
      </c>
      <c r="L116" s="26"/>
      <c r="M116" s="32"/>
      <c r="N116" s="32" t="s">
        <v>1906</v>
      </c>
      <c r="O116" s="32"/>
      <c r="P116" s="32" t="s">
        <v>55</v>
      </c>
      <c r="Q116" s="33" t="s">
        <v>1907</v>
      </c>
      <c r="R116" s="32"/>
      <c r="S116" s="34" t="b">
        <v>1</v>
      </c>
      <c r="T116" s="39" t="s">
        <v>1257</v>
      </c>
      <c r="U116" s="39" t="s">
        <v>1908</v>
      </c>
      <c r="V116" s="39"/>
      <c r="W116" s="39"/>
      <c r="X116" s="39"/>
      <c r="Y116" s="126" t="s">
        <v>1909</v>
      </c>
      <c r="Z116" s="37" t="str">
        <f>IFERROR(__xludf.DUMMYFUNCTION("IFERROR(VLOOKUP(G116,IMPORTRANGE(""https://docs.google.com/spreadsheets/d/12RxCea4e5ggM7QGn1XE3FbLQa_-QbCNdBi90OdPjRqg"", ""'Plan de Compras'!D4:Q""), 12, 0), ""NO ESTÁ EN REQ"")"),"Técnica")</f>
        <v>Técnica</v>
      </c>
      <c r="AA116" s="37" t="str">
        <f>IFERROR(__xludf.DUMMYFUNCTION("IFERROR(VLOOKUP(G116,IMPORTRANGE(""https://docs.google.com/spreadsheets/d/12RxCea4e5ggM7QGn1XE3FbLQa_-QbCNdBi90OdPjRqg"", ""'Plan de Compras'!D4:Q""), 13, 0), """")"),"NACIONAL")</f>
        <v>NACIONAL</v>
      </c>
      <c r="AB116" s="32" t="str">
        <f>IFERROR(__xludf.DUMMYFUNCTION("IFERROR(VLOOKUP(G116,IMPORTRANGE(""https://docs.google.com/spreadsheets/d/12RxCea4e5ggM7QGn1XE3FbLQa_-QbCNdBi90OdPjRqg"", ""'Plan de Compras'!D4:Q""), 14, 0), """")"),"ANGIE")</f>
        <v>ANGIE</v>
      </c>
      <c r="AC116" s="72" t="str">
        <f>IFERROR(__xludf.DUMMYFUNCTION("IFERROR(VLOOKUP(G116,IMPORTRANGE(""https://docs.google.com/spreadsheets/d/12RxCea4e5ggM7QGn1XE3FbLQa_-QbCNdBi90OdPjRqg"", ""'Plan de Compras'!D4:Q""), 4, 0), """")"),"TIJERA ZIGZAG. LARGO 8,5 PULG (1 UND)")</f>
        <v>TIJERA ZIGZAG. LARGO 8,5 PULG (1 UND)</v>
      </c>
      <c r="AD116" s="37" t="str">
        <f>IFERROR(__xludf.DUMMYFUNCTION("IFERROR(IF(OR(C116=TRUE,C116=""""),VLOOKUP(G116,IMPORTRANGE(""https://docs.google.com/spreadsheets/d/1z9A1Wq-kKrhRNG5RS2a2fKpY1wIhSVz2ZNmP2mOl588/edit?usp=sharing"",""REQ VF!E4:H""),4,0),""NO APLICA""),""GENERAR REQ"")"),"GENERAR REQ")</f>
        <v>GENERAR REQ</v>
      </c>
      <c r="AE116" s="32" t="str">
        <f>IFERROR(__xludf.DUMMYFUNCTION("IFERROR(QUERY(IMPORTRANGE(""https://docs.google.com/spreadsheets/d/1z9A1Wq-kKrhRNG5RS2a2fKpY1wIhSVz2ZNmP2mOl588/edit?usp=sharing"",""REQ VF!E4:Q""),""SELECT Col10, Col11, Col12 WHERE Col1 = '""&amp;G116&amp;""'"",0),""NO APLICA"")"),"NO APLICA")</f>
        <v>NO APLICA</v>
      </c>
      <c r="AF116" s="32"/>
      <c r="AG116" s="32"/>
      <c r="AH116" s="13"/>
      <c r="AI116" s="13"/>
    </row>
    <row r="117">
      <c r="A117" s="117">
        <v>76.0</v>
      </c>
      <c r="B117" s="43" t="b">
        <v>1</v>
      </c>
      <c r="C117" s="26" t="b">
        <v>1</v>
      </c>
      <c r="D117" s="26" t="s">
        <v>35</v>
      </c>
      <c r="E117" s="26" t="s">
        <v>1510</v>
      </c>
      <c r="F117" s="59" t="s">
        <v>1910</v>
      </c>
      <c r="G117" s="37" t="s">
        <v>1910</v>
      </c>
      <c r="H117" s="82" t="s">
        <v>1911</v>
      </c>
      <c r="I117" s="43">
        <f>SUMIFS('Hoja 10'!$O:$O,'Hoja 10'!$F:$F,$G117)</f>
        <v>2</v>
      </c>
      <c r="J117" s="26">
        <f>IFERROR(__xludf.DUMMYFUNCTION("VLOOKUP(G117,IMPORTRANGE(""https://docs.google.com/spreadsheets/d/12RxCea4e5ggM7QGn1XE3FbLQa_-QbCNdBi90OdPjRqg/edit?gid=1692403370#gid=1692403370"", ""'Plan de Compras'!D4:2432""), 8,0)"),2.0)</f>
        <v>2</v>
      </c>
      <c r="K117" s="26" t="str">
        <f t="shared" si="1"/>
        <v>SI</v>
      </c>
      <c r="L117" s="29" t="s">
        <v>91</v>
      </c>
      <c r="M117" s="30" t="s">
        <v>92</v>
      </c>
      <c r="N117" s="32"/>
      <c r="O117" s="32" t="str">
        <f>VLOOKUP($G117,'Hoja 10'!$F$4:$AA1057, 19,0)</f>
        <v>GENERICO</v>
      </c>
      <c r="P117" s="32" t="str">
        <f>VLOOKUP($G117,'Hoja 10'!$F$4:$AA1057, 20,0)</f>
        <v>GENERICO</v>
      </c>
      <c r="Q117" s="33" t="str">
        <f>VLOOKUP($G117,'Hoja 10'!$F$4:$AA1057, 21,0)</f>
        <v>https://www.jomafa.com/reparacion-rosca-helicoli/4974-juego-de-machos-y-terrajas-especial-metricas-y-pulgadas-115-piezas.html</v>
      </c>
      <c r="R117" s="86" t="s">
        <v>1912</v>
      </c>
      <c r="S117" s="34" t="b">
        <v>1</v>
      </c>
      <c r="T117" s="39" t="s">
        <v>303</v>
      </c>
      <c r="U117" s="39">
        <v>11443.0</v>
      </c>
      <c r="V117" s="39" t="str">
        <f>IFERROR(__xludf.DUMMYFUNCTION(" IF
( VLOOKUP($G117,IMPORTRANGE(""https://docs.google.com/spreadsheets/d/1Gpl6jkTg7sL4VDNimUm3S9Vi1i95esohXCF3wuKOE8c"", ""'CONSOLIDADO'!G5:AB""), 10, 0) &lt;&gt; 0, 
IFERROR(VLOOKUP($G117,IMPORTRANGE(""https://docs.google.com/spreadsheets/d/1Gpl6jkTg7sL4VDNimU"&amp;"m3S9Vi1i95esohXCF3wuKOE8c"", ""'CONSOLIDADO'!G5:AB""), 17, 0), ""-""),
""""
)"),"TRUPER")</f>
        <v>TRUPER</v>
      </c>
      <c r="W117" s="39" t="str">
        <f>IFERROR(__xludf.DUMMYFUNCTION(" IF
( VLOOKUP($G117,IMPORTRANGE(""https://docs.google.com/spreadsheets/d/1Gpl6jkTg7sL4VDNimUm3S9Vi1i95esohXCF3wuKOE8c"", ""'CONSOLIDADO'!G5:AB""), 10, 0) &lt;&gt; 0, 
IFERROR(VLOOKUP($G117,IMPORTRANGE(""https://docs.google.com/spreadsheets/d/1Gpl6jkTg7sL4VDNimU"&amp;"m3S9Vi1i95esohXCF3wuKOE8c"", ""'CONSOLIDADO'!G5:AB""), 18, 0), ""-""),
""""
)"),"J-MATA-60")</f>
        <v>J-MATA-60</v>
      </c>
      <c r="X117" s="39" t="b">
        <f>IF(AND(T117=V117,W117=U117),TRUE,FALSE)</f>
        <v>0</v>
      </c>
      <c r="Y117" s="129" t="s">
        <v>1913</v>
      </c>
      <c r="Z117" s="37" t="str">
        <f>IFERROR(__xludf.DUMMYFUNCTION("IFERROR(VLOOKUP(G117,IMPORTRANGE(""https://docs.google.com/spreadsheets/d/12RxCea4e5ggM7QGn1XE3FbLQa_-QbCNdBi90OdPjRqg"", ""'Plan de Compras'!D4:Q""), 12, 0), ""NO ESTÁ EN REQ"")"),"Técnica")</f>
        <v>Técnica</v>
      </c>
      <c r="AA117" s="37" t="str">
        <f>IFERROR(__xludf.DUMMYFUNCTION("IFERROR(VLOOKUP(G117,IMPORTRANGE(""https://docs.google.com/spreadsheets/d/12RxCea4e5ggM7QGn1XE3FbLQa_-QbCNdBi90OdPjRqg"", ""'Plan de Compras'!D4:Q""), 13, 0), """")"),"NACIONAL")</f>
        <v>NACIONAL</v>
      </c>
      <c r="AB117" s="32" t="str">
        <f>IFERROR(__xludf.DUMMYFUNCTION("IFERROR(VLOOKUP(G117,IMPORTRANGE(""https://docs.google.com/spreadsheets/d/12RxCea4e5ggM7QGn1XE3FbLQa_-QbCNdBi90OdPjRqg"", ""'Plan de Compras'!D4:Q""), 14, 0), """")"),"DIANA")</f>
        <v>DIANA</v>
      </c>
      <c r="AC117" s="72" t="str">
        <f>IFERROR(__xludf.DUMMYFUNCTION("IFERROR(VLOOKUP(G117,IMPORTRANGE(""https://docs.google.com/spreadsheets/d/12RxCea4e5ggM7QGn1XE3FbLQa_-QbCNdBi90OdPjRqg"", ""'Plan de Compras'!D4:Q""), 4, 0), """")"),"KIT DE MACHOS Y TERRAJAS")</f>
        <v>KIT DE MACHOS Y TERRAJAS</v>
      </c>
      <c r="AD117" s="37" t="str">
        <f>IFERROR(__xludf.DUMMYFUNCTION("IFERROR(IF(OR(C117=TRUE,C117=""""),VLOOKUP(G117,IMPORTRANGE(""https://docs.google.com/spreadsheets/d/1z9A1Wq-kKrhRNG5RS2a2fKpY1wIhSVz2ZNmP2mOl588/edit?usp=sharing"",""REQ VF!E4:H""),4,0),""NO APLICA""),""GENERAR REQ"")"),"GENERAR REQ")</f>
        <v>GENERAR REQ</v>
      </c>
      <c r="AE117" s="32" t="str">
        <f>IFERROR(__xludf.DUMMYFUNCTION("IFERROR(QUERY(IMPORTRANGE(""https://docs.google.com/spreadsheets/d/1z9A1Wq-kKrhRNG5RS2a2fKpY1wIhSVz2ZNmP2mOl588/edit?usp=sharing"",""REQ VF!E4:Q""),""SELECT Col10, Col11, Col12 WHERE Col1 = '""&amp;G117&amp;""'"",0),""NO APLICA"")"),"NO APLICA")</f>
        <v>NO APLICA</v>
      </c>
      <c r="AF117" s="32"/>
      <c r="AG117" s="32"/>
      <c r="AH117" s="13"/>
      <c r="AI117" s="13"/>
    </row>
    <row r="118">
      <c r="A118" s="43"/>
      <c r="B118" s="43" t="b">
        <v>0</v>
      </c>
      <c r="C118" s="26" t="b">
        <v>1</v>
      </c>
      <c r="D118" s="26" t="s">
        <v>42</v>
      </c>
      <c r="E118" s="26" t="s">
        <v>1510</v>
      </c>
      <c r="F118" s="59" t="s">
        <v>1910</v>
      </c>
      <c r="G118" s="39" t="s">
        <v>1914</v>
      </c>
      <c r="H118" s="66" t="s">
        <v>1915</v>
      </c>
      <c r="I118" s="43">
        <v>2.0</v>
      </c>
      <c r="J118" s="26">
        <f>IFERROR(__xludf.DUMMYFUNCTION("VLOOKUP(G118,IMPORTRANGE(""https://docs.google.com/spreadsheets/d/12RxCea4e5ggM7QGn1XE3FbLQa_-QbCNdBi90OdPjRqg/edit?gid=1692403370#gid=1692403370"", ""'Plan de Compras'!D4:2432""), 8,0)"),2.0)</f>
        <v>2</v>
      </c>
      <c r="K118" s="26" t="str">
        <f t="shared" si="1"/>
        <v>SI</v>
      </c>
      <c r="L118" s="35"/>
      <c r="M118" s="32"/>
      <c r="N118" s="32"/>
      <c r="O118" s="32"/>
      <c r="P118" s="32"/>
      <c r="Q118" s="41"/>
      <c r="R118" s="32"/>
      <c r="S118" s="34" t="b">
        <v>1</v>
      </c>
      <c r="T118" s="39" t="s">
        <v>1916</v>
      </c>
      <c r="U118" s="39" t="s">
        <v>1917</v>
      </c>
      <c r="V118" s="39"/>
      <c r="W118" s="39"/>
      <c r="X118" s="39"/>
      <c r="Y118" s="120" t="s">
        <v>1918</v>
      </c>
      <c r="Z118" s="37"/>
      <c r="AA118" s="37"/>
      <c r="AB118" s="32"/>
      <c r="AC118" s="72"/>
      <c r="AD118" s="37" t="str">
        <f>IFERROR(__xludf.DUMMYFUNCTION("IFERROR(IF(OR(C118=TRUE,C118=""""),VLOOKUP(G118,IMPORTRANGE(""https://docs.google.com/spreadsheets/d/1z9A1Wq-kKrhRNG5RS2a2fKpY1wIhSVz2ZNmP2mOl588/edit?usp=sharing"",""REQ VF!E4:H""),4,0),""NO APLICA""),""GENERAR REQ"")"),"GENERAR REQ")</f>
        <v>GENERAR REQ</v>
      </c>
      <c r="AE118" s="32" t="str">
        <f>IFERROR(__xludf.DUMMYFUNCTION("IFERROR(QUERY(IMPORTRANGE(""https://docs.google.com/spreadsheets/d/1z9A1Wq-kKrhRNG5RS2a2fKpY1wIhSVz2ZNmP2mOl588/edit?usp=sharing"",""REQ VF!E4:Q""),""SELECT Col10, Col11, Col12 WHERE Col1 = '""&amp;G118&amp;""'"",0),""NO APLICA"")"),"NO APLICA")</f>
        <v>NO APLICA</v>
      </c>
      <c r="AF118" s="32"/>
      <c r="AG118" s="32"/>
      <c r="AH118" s="13"/>
      <c r="AI118" s="13"/>
    </row>
    <row r="119">
      <c r="A119" s="121">
        <v>77.0</v>
      </c>
      <c r="B119" s="43" t="b">
        <v>1</v>
      </c>
      <c r="C119" s="26" t="b">
        <v>1</v>
      </c>
      <c r="D119" s="26" t="s">
        <v>35</v>
      </c>
      <c r="E119" s="26" t="s">
        <v>1510</v>
      </c>
      <c r="F119" s="59" t="s">
        <v>1919</v>
      </c>
      <c r="G119" s="37" t="s">
        <v>1919</v>
      </c>
      <c r="H119" s="82" t="s">
        <v>1920</v>
      </c>
      <c r="I119" s="43">
        <f>SUMIFS('Hoja 10'!$O:$O,'Hoja 10'!$F:$F,$G119)</f>
        <v>3</v>
      </c>
      <c r="J119" s="26">
        <f>IFERROR(__xludf.DUMMYFUNCTION("VLOOKUP(G119,IMPORTRANGE(""https://docs.google.com/spreadsheets/d/12RxCea4e5ggM7QGn1XE3FbLQa_-QbCNdBi90OdPjRqg/edit?gid=1692403370#gid=1692403370"", ""'Plan de Compras'!D4:2432""), 8,0)"),3.0)</f>
        <v>3</v>
      </c>
      <c r="K119" s="26" t="str">
        <f t="shared" si="1"/>
        <v>SI</v>
      </c>
      <c r="L119" s="29" t="s">
        <v>127</v>
      </c>
      <c r="M119" s="30" t="s">
        <v>105</v>
      </c>
      <c r="N119" s="32"/>
      <c r="O119" s="32" t="str">
        <f>VLOOKUP($G119,'Hoja 10'!$F$4:$AA1057, 19,0)</f>
        <v>Würth</v>
      </c>
      <c r="P119" s="32" t="str">
        <f>VLOOKUP($G119,'Hoja 10'!$F$4:$AA1057, 20,0)</f>
        <v>00714 780 1</v>
      </c>
      <c r="Q119" s="33" t="str">
        <f>VLOOKUP($G119,'Hoja 10'!$F$4:$AA1057, 21,0)</f>
        <v>https://eshop.wurth.pe/kit-de-herramientas/kit-de-dados-para-sensores-7pz-2738.html</v>
      </c>
      <c r="R119" s="86" t="s">
        <v>1921</v>
      </c>
      <c r="S119" s="44" t="b">
        <v>1</v>
      </c>
      <c r="T119" s="39" t="str">
        <f>IFERROR(__xludf.DUMMYFUNCTION(" IF
( VLOOKUP($G119,IMPORTRANGE(""https://docs.google.com/spreadsheets/d/1Gpl6jkTg7sL4VDNimUm3S9Vi1i95esohXCF3wuKOE8c"", ""'CONSOLIDADO'!G5:AB""), 10, 0) &lt;&gt; 0, 
IFERROR(VLOOKUP($G119,IMPORTRANGE(""https://docs.google.com/spreadsheets/d/1Gpl6jkTg7sL4VDNimU"&amp;"m3S9Vi1i95esohXCF3wuKOE8c"", ""'CONSOLIDADO'!G5:AB""), 17, 0), ""-""),
""""
)"),"TOOLTECH")</f>
        <v>TOOLTECH</v>
      </c>
      <c r="U119" s="39" t="str">
        <f>IFERROR(__xludf.DUMMYFUNCTION(" IF
( VLOOKUP($G119,IMPORTRANGE(""https://docs.google.com/spreadsheets/d/1Gpl6jkTg7sL4VDNimUm3S9Vi1i95esohXCF3wuKOE8c"", ""'CONSOLIDADO'!G5:AB""), 10, 0) &lt;&gt; 0, 
IFERROR(VLOOKUP($G119,IMPORTRANGE(""https://docs.google.com/spreadsheets/d/1Gpl6jkTg7sL4VDNimU"&amp;"m3S9Vi1i95esohXCF3wuKOE8c"", ""'CONSOLIDADO'!G5:AB""), 18, 0), ""-""),
""""
)"),"SO7PZ")</f>
        <v>SO7PZ</v>
      </c>
      <c r="V119" s="39" t="str">
        <f>IFERROR(__xludf.DUMMYFUNCTION(" IF
( VLOOKUP($G119,IMPORTRANGE(""https://docs.google.com/spreadsheets/d/1Gpl6jkTg7sL4VDNimUm3S9Vi1i95esohXCF3wuKOE8c"", ""'CONSOLIDADO'!G5:AB""), 10, 0) &lt;&gt; 0, 
IFERROR(VLOOKUP($G119,IMPORTRANGE(""https://docs.google.com/spreadsheets/d/1Gpl6jkTg7sL4VDNimU"&amp;"m3S9Vi1i95esohXCF3wuKOE8c"", ""'CONSOLIDADO'!G5:AB""), 17, 0), ""-""),
""""
)"),"TOOLTECH")</f>
        <v>TOOLTECH</v>
      </c>
      <c r="W119" s="39" t="str">
        <f>IFERROR(__xludf.DUMMYFUNCTION(" IF
( VLOOKUP($G119,IMPORTRANGE(""https://docs.google.com/spreadsheets/d/1Gpl6jkTg7sL4VDNimUm3S9Vi1i95esohXCF3wuKOE8c"", ""'CONSOLIDADO'!G5:AB""), 10, 0) &lt;&gt; 0, 
IFERROR(VLOOKUP($G119,IMPORTRANGE(""https://docs.google.com/spreadsheets/d/1Gpl6jkTg7sL4VDNimU"&amp;"m3S9Vi1i95esohXCF3wuKOE8c"", ""'CONSOLIDADO'!G5:AB""), 18, 0), ""-""),
""""
)"),"SO7PZ")</f>
        <v>SO7PZ</v>
      </c>
      <c r="X119" s="39" t="b">
        <f t="shared" ref="X119:X120" si="13">IF(AND(T119=V119,W119=U119),TRUE,FALSE)</f>
        <v>1</v>
      </c>
      <c r="Y119" s="120" t="str">
        <f>IFERROR(__xludf.DUMMYFUNCTION(" IF
( VLOOKUP($G119,IMPORTRANGE(""https://docs.google.com/spreadsheets/d/1Gpl6jkTg7sL4VDNimUm3S9Vi1i95esohXCF3wuKOE8c"", ""'CONSOLIDADO'!G5:AB""), 10, 0) &lt;&gt; 0, 
IFERROR(VLOOKUP($G119,IMPORTRANGE(""https://docs.google.com/spreadsheets/d/1Gpl6jkTg7sL4VDNimU"&amp;"m3S9Vi1i95esohXCF3wuKOE8c"", ""'CONSOLIDADO'!G5:AB""), 19, 0), ""-""),
""""
)"),"https://limacarstore.pe/producto/kit-7-dados-extractores-de-sensor-de-oxigeno/")</f>
        <v>https://limacarstore.pe/producto/kit-7-dados-extractores-de-sensor-de-oxigeno/</v>
      </c>
      <c r="Z119" s="37" t="str">
        <f>IFERROR(__xludf.DUMMYFUNCTION("IFERROR(VLOOKUP(G119,IMPORTRANGE(""https://docs.google.com/spreadsheets/d/12RxCea4e5ggM7QGn1XE3FbLQa_-QbCNdBi90OdPjRqg"", ""'Plan de Compras'!D4:Q""), 12, 0), ""NO ESTÁ EN REQ"")"),"Técnica")</f>
        <v>Técnica</v>
      </c>
      <c r="AA119" s="37" t="str">
        <f>IFERROR(__xludf.DUMMYFUNCTION("IFERROR(VLOOKUP(G119,IMPORTRANGE(""https://docs.google.com/spreadsheets/d/12RxCea4e5ggM7QGn1XE3FbLQa_-QbCNdBi90OdPjRqg"", ""'Plan de Compras'!D4:Q""), 13, 0), """")"),"NACIONAL")</f>
        <v>NACIONAL</v>
      </c>
      <c r="AB119" s="32" t="str">
        <f>IFERROR(__xludf.DUMMYFUNCTION("IFERROR(VLOOKUP(G119,IMPORTRANGE(""https://docs.google.com/spreadsheets/d/12RxCea4e5ggM7QGn1XE3FbLQa_-QbCNdBi90OdPjRqg"", ""'Plan de Compras'!D4:Q""), 14, 0), """")"),"GEANFRANCO")</f>
        <v>GEANFRANCO</v>
      </c>
      <c r="AC119" s="72" t="str">
        <f>IFERROR(__xludf.DUMMYFUNCTION("IFERROR(VLOOKUP(G119,IMPORTRANGE(""https://docs.google.com/spreadsheets/d/12RxCea4e5ggM7QGn1XE3FbLQa_-QbCNdBi90OdPjRqg"", ""'Plan de Compras'!D4:Q""), 4, 0), """")"),"KIT PARA DESMONTAJE DE SENSORES")</f>
        <v>KIT PARA DESMONTAJE DE SENSORES</v>
      </c>
      <c r="AD119" s="37" t="str">
        <f>IFERROR(__xludf.DUMMYFUNCTION("IFERROR(IF(OR(C119=TRUE,C119=""""),VLOOKUP(G119,IMPORTRANGE(""https://docs.google.com/spreadsheets/d/1z9A1Wq-kKrhRNG5RS2a2fKpY1wIhSVz2ZNmP2mOl588/edit?usp=sharing"",""REQ VF!E4:H""),4,0),""NO APLICA""),""GENERAR REQ"")"),"GENERAR REQ")</f>
        <v>GENERAR REQ</v>
      </c>
      <c r="AE119" s="32" t="str">
        <f>IFERROR(__xludf.DUMMYFUNCTION("IFERROR(QUERY(IMPORTRANGE(""https://docs.google.com/spreadsheets/d/1z9A1Wq-kKrhRNG5RS2a2fKpY1wIhSVz2ZNmP2mOl588/edit?usp=sharing"",""REQ VF!E4:Q""),""SELECT Col10, Col11, Col12 WHERE Col1 = '""&amp;G119&amp;""'"",0),""NO APLICA"")"),"NO APLICA")</f>
        <v>NO APLICA</v>
      </c>
      <c r="AF119" s="32"/>
      <c r="AG119" s="32"/>
      <c r="AH119" s="13"/>
      <c r="AI119" s="13"/>
    </row>
    <row r="120">
      <c r="A120" s="121">
        <v>78.0</v>
      </c>
      <c r="B120" s="43" t="b">
        <v>1</v>
      </c>
      <c r="C120" s="26" t="b">
        <v>1</v>
      </c>
      <c r="D120" s="26" t="s">
        <v>35</v>
      </c>
      <c r="E120" s="26" t="s">
        <v>1510</v>
      </c>
      <c r="F120" s="59" t="s">
        <v>1922</v>
      </c>
      <c r="G120" s="37" t="s">
        <v>1922</v>
      </c>
      <c r="H120" s="82" t="s">
        <v>1923</v>
      </c>
      <c r="I120" s="43">
        <f>SUMIFS('Hoja 10'!$O:$O,'Hoja 10'!$F:$F,$G120)</f>
        <v>8</v>
      </c>
      <c r="J120" s="26">
        <f>IFERROR(__xludf.DUMMYFUNCTION("VLOOKUP(G120,IMPORTRANGE(""https://docs.google.com/spreadsheets/d/12RxCea4e5ggM7QGn1XE3FbLQa_-QbCNdBi90OdPjRqg/edit?gid=1692403370#gid=1692403370"", ""'Plan de Compras'!D4:2432""), 8,0)"),8.0)</f>
        <v>8</v>
      </c>
      <c r="K120" s="26" t="str">
        <f t="shared" si="1"/>
        <v>SI</v>
      </c>
      <c r="L120" s="29" t="s">
        <v>296</v>
      </c>
      <c r="M120" s="30" t="s">
        <v>297</v>
      </c>
      <c r="N120" s="32"/>
      <c r="O120" s="32" t="str">
        <f>VLOOKUP($G120,'Hoja 10'!$F$4:$AA1057, 19,0)</f>
        <v>TRUPER</v>
      </c>
      <c r="P120" s="32" t="str">
        <f>VLOOKUP($G120,'Hoja 10'!$F$4:$AA1057, 20,0)</f>
        <v>Linterna de minero LED 100 lm de 3 pilas AAA, PRETUL</v>
      </c>
      <c r="Q120" s="33" t="str">
        <f>VLOOKUP($G120,'Hoja 10'!$F$4:$AA1057, 21,0)</f>
        <v>https://www.truper.com/ficha_tecnica/Linterna-para-cabeza-3-pilas-AAA-28-lumenes-3-LEDs-252665.html?code=27083</v>
      </c>
      <c r="R120" s="86" t="s">
        <v>1924</v>
      </c>
      <c r="S120" s="44" t="b">
        <v>1</v>
      </c>
      <c r="T120" s="63" t="str">
        <f>IFERROR(__xludf.DUMMYFUNCTION(" IF
( VLOOKUP($G120,IMPORTRANGE(""https://docs.google.com/spreadsheets/d/1Gpl6jkTg7sL4VDNimUm3S9Vi1i95esohXCF3wuKOE8c"", ""'CONSOLIDADO'!G5:AB""), 10, 0) &lt;&gt; 0, 
IFERROR(VLOOKUP($G120,IMPORTRANGE(""https://docs.google.com/spreadsheets/d/1Gpl6jkTg7sL4VDNimU"&amp;"m3S9Vi1i95esohXCF3wuKOE8c"", ""'CONSOLIDADO'!G5:AB""), 17, 0), ""-""),
""""
)"),"TRUPER")</f>
        <v>TRUPER</v>
      </c>
      <c r="U120" s="63">
        <f>IFERROR(__xludf.DUMMYFUNCTION(" IF
( VLOOKUP($G120,IMPORTRANGE(""https://docs.google.com/spreadsheets/d/1Gpl6jkTg7sL4VDNimUm3S9Vi1i95esohXCF3wuKOE8c"", ""'CONSOLIDADO'!G5:AB""), 10, 0) &lt;&gt; 0, 
IFERROR(VLOOKUP($G120,IMPORTRANGE(""https://docs.google.com/spreadsheets/d/1Gpl6jkTg7sL4VDNimU"&amp;"m3S9Vi1i95esohXCF3wuKOE8c"", ""'CONSOLIDADO'!G5:AB""), 18, 0), ""-""),
""""
)"),11853.0)</f>
        <v>11853</v>
      </c>
      <c r="V120" s="39" t="str">
        <f>IFERROR(__xludf.DUMMYFUNCTION(" IF
( VLOOKUP($G120,IMPORTRANGE(""https://docs.google.com/spreadsheets/d/1Gpl6jkTg7sL4VDNimUm3S9Vi1i95esohXCF3wuKOE8c"", ""'CONSOLIDADO'!G5:AB""), 10, 0) &lt;&gt; 0, 
IFERROR(VLOOKUP($G120,IMPORTRANGE(""https://docs.google.com/spreadsheets/d/1Gpl6jkTg7sL4VDNimU"&amp;"m3S9Vi1i95esohXCF3wuKOE8c"", ""'CONSOLIDADO'!G5:AB""), 17, 0), ""-""),
""""
)"),"TRUPER")</f>
        <v>TRUPER</v>
      </c>
      <c r="W120" s="39">
        <f>IFERROR(__xludf.DUMMYFUNCTION(" IF
( VLOOKUP($G120,IMPORTRANGE(""https://docs.google.com/spreadsheets/d/1Gpl6jkTg7sL4VDNimUm3S9Vi1i95esohXCF3wuKOE8c"", ""'CONSOLIDADO'!G5:AB""), 10, 0) &lt;&gt; 0, 
IFERROR(VLOOKUP($G120,IMPORTRANGE(""https://docs.google.com/spreadsheets/d/1Gpl6jkTg7sL4VDNimU"&amp;"m3S9Vi1i95esohXCF3wuKOE8c"", ""'CONSOLIDADO'!G5:AB""), 18, 0), ""-""),
""""
)"),11853.0)</f>
        <v>11853</v>
      </c>
      <c r="X120" s="39" t="b">
        <f t="shared" si="13"/>
        <v>1</v>
      </c>
      <c r="Y120" s="129" t="s">
        <v>1925</v>
      </c>
      <c r="Z120" s="37" t="str">
        <f>IFERROR(__xludf.DUMMYFUNCTION("IFERROR(VLOOKUP(G120,IMPORTRANGE(""https://docs.google.com/spreadsheets/d/12RxCea4e5ggM7QGn1XE3FbLQa_-QbCNdBi90OdPjRqg"", ""'Plan de Compras'!D4:Q""), 12, 0), ""NO ESTÁ EN REQ"")"),"Técnica")</f>
        <v>Técnica</v>
      </c>
      <c r="AA120" s="37" t="str">
        <f>IFERROR(__xludf.DUMMYFUNCTION("IFERROR(VLOOKUP(G120,IMPORTRANGE(""https://docs.google.com/spreadsheets/d/12RxCea4e5ggM7QGn1XE3FbLQa_-QbCNdBi90OdPjRqg"", ""'Plan de Compras'!D4:Q""), 13, 0), """")"),"NACIONAL")</f>
        <v>NACIONAL</v>
      </c>
      <c r="AB120" s="32" t="str">
        <f>IFERROR(__xludf.DUMMYFUNCTION("IFERROR(VLOOKUP(G120,IMPORTRANGE(""https://docs.google.com/spreadsheets/d/12RxCea4e5ggM7QGn1XE3FbLQa_-QbCNdBi90OdPjRqg"", ""'Plan de Compras'!D4:Q""), 14, 0), """")"),"DIANA")</f>
        <v>DIANA</v>
      </c>
      <c r="AC120" s="72" t="str">
        <f>IFERROR(__xludf.DUMMYFUNCTION("IFERROR(VLOOKUP(G120,IMPORTRANGE(""https://docs.google.com/spreadsheets/d/12RxCea4e5ggM7QGn1XE3FbLQa_-QbCNdBi90OdPjRqg"", ""'Plan de Compras'!D4:Q""), 4, 0), """")"),"LINTERNA FRONTAL")</f>
        <v>LINTERNA FRONTAL</v>
      </c>
      <c r="AD120" s="37" t="str">
        <f>IFERROR(__xludf.DUMMYFUNCTION("IFERROR(IF(OR(C120=TRUE,C120=""""),VLOOKUP(G120,IMPORTRANGE(""https://docs.google.com/spreadsheets/d/1z9A1Wq-kKrhRNG5RS2a2fKpY1wIhSVz2ZNmP2mOl588/edit?usp=sharing"",""REQ VF!E4:H""),4,0),""NO APLICA""),""GENERAR REQ"")"),"GENERAR REQ")</f>
        <v>GENERAR REQ</v>
      </c>
      <c r="AE120" s="32" t="str">
        <f>IFERROR(__xludf.DUMMYFUNCTION("IFERROR(QUERY(IMPORTRANGE(""https://docs.google.com/spreadsheets/d/1z9A1Wq-kKrhRNG5RS2a2fKpY1wIhSVz2ZNmP2mOl588/edit?usp=sharing"",""REQ VF!E4:Q""),""SELECT Col10, Col11, Col12 WHERE Col1 = '""&amp;G120&amp;""'"",0),""NO APLICA"")"),"NO APLICA")</f>
        <v>NO APLICA</v>
      </c>
      <c r="AF120" s="32"/>
      <c r="AG120" s="32"/>
      <c r="AH120" s="8" t="s">
        <v>52</v>
      </c>
      <c r="AI120" s="8"/>
    </row>
    <row r="121">
      <c r="A121" s="43"/>
      <c r="B121" s="43"/>
      <c r="C121" s="26" t="b">
        <v>1</v>
      </c>
      <c r="D121" s="26" t="s">
        <v>42</v>
      </c>
      <c r="E121" s="43" t="s">
        <v>1510</v>
      </c>
      <c r="F121" s="39" t="s">
        <v>1922</v>
      </c>
      <c r="G121" s="39" t="s">
        <v>1926</v>
      </c>
      <c r="H121" s="66" t="s">
        <v>1927</v>
      </c>
      <c r="I121" s="43">
        <f>3*I120</f>
        <v>24</v>
      </c>
      <c r="J121" s="26">
        <f>IFERROR(__xludf.DUMMYFUNCTION("VLOOKUP(G121,IMPORTRANGE(""https://docs.google.com/spreadsheets/d/12RxCea4e5ggM7QGn1XE3FbLQa_-QbCNdBi90OdPjRqg/edit?gid=1692403370#gid=1692403370"", ""'Plan de Compras'!D4:2432""), 8,0)"),24.0)</f>
        <v>24</v>
      </c>
      <c r="K121" s="26" t="str">
        <f t="shared" si="1"/>
        <v>SI</v>
      </c>
      <c r="L121" s="26"/>
      <c r="M121" s="32"/>
      <c r="N121" s="32" t="s">
        <v>1928</v>
      </c>
      <c r="O121" s="32"/>
      <c r="P121" s="32"/>
      <c r="Q121" s="33" t="s">
        <v>1929</v>
      </c>
      <c r="R121" s="32"/>
      <c r="S121" s="34" t="b">
        <v>1</v>
      </c>
      <c r="T121" s="39" t="s">
        <v>1930</v>
      </c>
      <c r="U121" s="39">
        <v>130072.0</v>
      </c>
      <c r="V121" s="39"/>
      <c r="W121" s="39"/>
      <c r="X121" s="39"/>
      <c r="Y121" s="124"/>
      <c r="Z121" s="37" t="str">
        <f>IFERROR(__xludf.DUMMYFUNCTION("IFERROR(VLOOKUP(G121,IMPORTRANGE(""https://docs.google.com/spreadsheets/d/12RxCea4e5ggM7QGn1XE3FbLQa_-QbCNdBi90OdPjRqg"", ""'Plan de Compras'!D4:Q""), 12, 0), ""NO ESTÁ EN REQ"")"),"Simple")</f>
        <v>Simple</v>
      </c>
      <c r="AA121" s="37" t="str">
        <f>IFERROR(__xludf.DUMMYFUNCTION("IFERROR(VLOOKUP(G121,IMPORTRANGE(""https://docs.google.com/spreadsheets/d/12RxCea4e5ggM7QGn1XE3FbLQa_-QbCNdBi90OdPjRqg"", ""'Plan de Compras'!D4:Q""), 13, 0), """")"),"NACIONAL")</f>
        <v>NACIONAL</v>
      </c>
      <c r="AB121" s="32" t="str">
        <f>IFERROR(__xludf.DUMMYFUNCTION("IFERROR(VLOOKUP(G121,IMPORTRANGE(""https://docs.google.com/spreadsheets/d/12RxCea4e5ggM7QGn1XE3FbLQa_-QbCNdBi90OdPjRqg"", ""'Plan de Compras'!D4:Q""), 14, 0), """")"),"ALFIO")</f>
        <v>ALFIO</v>
      </c>
      <c r="AC121" s="72" t="str">
        <f>IFERROR(__xludf.DUMMYFUNCTION("IFERROR(VLOOKUP(G121,IMPORTRANGE(""https://docs.google.com/spreadsheets/d/12RxCea4e5ggM7QGn1XE3FbLQa_-QbCNdBi90OdPjRqg"", ""'Plan de Compras'!D4:Q""), 4, 0), """")"),"PILAS AAA DE 1.5 V (3 UND)")</f>
        <v>PILAS AAA DE 1.5 V (3 UND)</v>
      </c>
      <c r="AD121" s="37" t="str">
        <f>IFERROR(__xludf.DUMMYFUNCTION("IFERROR(IF(OR(C121=TRUE,C121=""""),VLOOKUP(G121,IMPORTRANGE(""https://docs.google.com/spreadsheets/d/1z9A1Wq-kKrhRNG5RS2a2fKpY1wIhSVz2ZNmP2mOl588/edit?usp=sharing"",""REQ VF!E4:H""),4,0),""NO APLICA""),""GENERAR REQ"")"),"GENERAR REQ")</f>
        <v>GENERAR REQ</v>
      </c>
      <c r="AE121" s="32" t="str">
        <f>IFERROR(__xludf.DUMMYFUNCTION("IFERROR(QUERY(IMPORTRANGE(""https://docs.google.com/spreadsheets/d/1z9A1Wq-kKrhRNG5RS2a2fKpY1wIhSVz2ZNmP2mOl588/edit?usp=sharing"",""REQ VF!E4:Q""),""SELECT Col10, Col11, Col12 WHERE Col1 = '""&amp;G121&amp;""'"",0),""NO APLICA"")"),"NO APLICA")</f>
        <v>NO APLICA</v>
      </c>
      <c r="AF121" s="32"/>
      <c r="AG121" s="32"/>
      <c r="AH121" s="13"/>
      <c r="AI121" s="13"/>
    </row>
    <row r="122">
      <c r="A122" s="121">
        <v>79.0</v>
      </c>
      <c r="B122" s="43" t="b">
        <v>1</v>
      </c>
      <c r="C122" s="26" t="b">
        <v>1</v>
      </c>
      <c r="D122" s="26" t="s">
        <v>35</v>
      </c>
      <c r="E122" s="26" t="s">
        <v>1510</v>
      </c>
      <c r="F122" s="59" t="s">
        <v>1931</v>
      </c>
      <c r="G122" s="37" t="s">
        <v>1931</v>
      </c>
      <c r="H122" s="82" t="s">
        <v>1932</v>
      </c>
      <c r="I122" s="43">
        <f>SUMIFS('Hoja 10'!$O:$O,'Hoja 10'!$F:$F,$G122)</f>
        <v>8</v>
      </c>
      <c r="J122" s="26">
        <f>IFERROR(__xludf.DUMMYFUNCTION("VLOOKUP(G122,IMPORTRANGE(""https://docs.google.com/spreadsheets/d/12RxCea4e5ggM7QGn1XE3FbLQa_-QbCNdBi90OdPjRqg/edit?gid=1692403370#gid=1692403370"", ""'Plan de Compras'!D4:2432""), 8,0)"),8.0)</f>
        <v>8</v>
      </c>
      <c r="K122" s="26" t="str">
        <f t="shared" si="1"/>
        <v>SI</v>
      </c>
      <c r="L122" s="29" t="s">
        <v>339</v>
      </c>
      <c r="M122" s="30" t="s">
        <v>340</v>
      </c>
      <c r="N122" s="32"/>
      <c r="O122" s="32" t="str">
        <f>VLOOKUP($G122,'Hoja 10'!$F$4:$AA1057, 19,0)</f>
        <v>GENERICO</v>
      </c>
      <c r="P122" s="32" t="str">
        <f>VLOOKUP($G122,'Hoja 10'!$F$4:$AA1057, 20,0)</f>
        <v>GENERICO</v>
      </c>
      <c r="Q122" s="33" t="str">
        <f>VLOOKUP($G122,'Hoja 10'!$F$4:$AA1057, 21,0)</f>
        <v>https://articulo.mercadolibre.com.pe/MPE-606434965-kit-de-iluminacion-continua-doble-softbox-parante-8-focos-_JM</v>
      </c>
      <c r="R122" s="86" t="s">
        <v>1933</v>
      </c>
      <c r="S122" s="34" t="b">
        <v>1</v>
      </c>
      <c r="T122" s="39" t="str">
        <f>IFERROR(__xludf.DUMMYFUNCTION(" IF
( VLOOKUP($G122,IMPORTRANGE(""https://docs.google.com/spreadsheets/d/1Gpl6jkTg7sL4VDNimUm3S9Vi1i95esohXCF3wuKOE8c"", ""'CONSOLIDADO'!G5:AB""), 10, 0) &lt;&gt; 0, 
IFERROR(VLOOKUP($G122,IMPORTRANGE(""https://docs.google.com/spreadsheets/d/1Gpl6jkTg7sL4VDNimU"&amp;"m3S9Vi1i95esohXCF3wuKOE8c"", ""'CONSOLIDADO'!G5:AB""), 17, 0), ""-""),
""""
)"),"SKYTEX")</f>
        <v>SKYTEX</v>
      </c>
      <c r="U122" s="39" t="str">
        <f>IFERROR(__xludf.DUMMYFUNCTION(" IF
( VLOOKUP($G122,IMPORTRANGE(""https://docs.google.com/spreadsheets/d/1Gpl6jkTg7sL4VDNimUm3S9Vi1i95esohXCF3wuKOE8c"", ""'CONSOLIDADO'!G5:AB""), 10, 0) &lt;&gt; 0, 
IFERROR(VLOOKUP($G122,IMPORTRANGE(""https://docs.google.com/spreadsheets/d/1Gpl6jkTg7sL4VDNimU"&amp;"m3S9Vi1i95esohXCF3wuKOE8c"", ""'CONSOLIDADO'!G5:AB""), 18, 0), ""-""),
""""
)"),"Kit de iluminación Softbox (1 paquete)")</f>
        <v>Kit de iluminación Softbox (1 paquete)</v>
      </c>
      <c r="V122" s="39" t="str">
        <f>IFERROR(__xludf.DUMMYFUNCTION(" IF
( VLOOKUP($G122,IMPORTRANGE(""https://docs.google.com/spreadsheets/d/1Gpl6jkTg7sL4VDNimUm3S9Vi1i95esohXCF3wuKOE8c"", ""'CONSOLIDADO'!G5:AB""), 10, 0) &lt;&gt; 0, 
IFERROR(VLOOKUP($G122,IMPORTRANGE(""https://docs.google.com/spreadsheets/d/1Gpl6jkTg7sL4VDNimU"&amp;"m3S9Vi1i95esohXCF3wuKOE8c"", ""'CONSOLIDADO'!G5:AB""), 17, 0), ""-""),
""""
)"),"SKYTEX")</f>
        <v>SKYTEX</v>
      </c>
      <c r="W122" s="39" t="str">
        <f>IFERROR(__xludf.DUMMYFUNCTION(" IF
( VLOOKUP($G122,IMPORTRANGE(""https://docs.google.com/spreadsheets/d/1Gpl6jkTg7sL4VDNimUm3S9Vi1i95esohXCF3wuKOE8c"", ""'CONSOLIDADO'!G5:AB""), 10, 0) &lt;&gt; 0, 
IFERROR(VLOOKUP($G122,IMPORTRANGE(""https://docs.google.com/spreadsheets/d/1Gpl6jkTg7sL4VDNimU"&amp;"m3S9Vi1i95esohXCF3wuKOE8c"", ""'CONSOLIDADO'!G5:AB""), 18, 0), ""-""),
""""
)"),"Kit de iluminación Softbox (1 paquete)")</f>
        <v>Kit de iluminación Softbox (1 paquete)</v>
      </c>
      <c r="X122" s="39" t="b">
        <f>IF(AND(T122=V122,W122=U122),TRUE,FALSE)</f>
        <v>1</v>
      </c>
      <c r="Y122" s="120" t="str">
        <f>IFERROR(__xludf.DUMMYFUNCTION(" IF
( VLOOKUP($G122,IMPORTRANGE(""https://docs.google.com/spreadsheets/d/1Gpl6jkTg7sL4VDNimUm3S9Vi1i95esohXCF3wuKOE8c"", ""'CONSOLIDADO'!G5:AB""), 10, 0) &lt;&gt; 0, 
IFERROR(VLOOKUP($G122,IMPORTRANGE(""https://docs.google.com/spreadsheets/d/1Gpl6jkTg7sL4VDNimU"&amp;"m3S9Vi1i95esohXCF3wuKOE8c"", ""'CONSOLIDADO'!G5:AB""), 19, 0), ""-""),
""""
)"),"https://www.amazon.com/Skytex-Continuous-Photography-2700-6400K-Recording/dp/B0BZ4B3GCC?th=1&amp;qty=8")</f>
        <v>https://www.amazon.com/Skytex-Continuous-Photography-2700-6400K-Recording/dp/B0BZ4B3GCC?th=1&amp;qty=8</v>
      </c>
      <c r="Z122" s="37" t="str">
        <f>IFERROR(__xludf.DUMMYFUNCTION("IFERROR(VLOOKUP(G122,IMPORTRANGE(""https://docs.google.com/spreadsheets/d/12RxCea4e5ggM7QGn1XE3FbLQa_-QbCNdBi90OdPjRqg"", ""'Plan de Compras'!D4:Q""), 12, 0), ""NO ESTÁ EN REQ"")"),"Técnica")</f>
        <v>Técnica</v>
      </c>
      <c r="AA122" s="37" t="str">
        <f>IFERROR(__xludf.DUMMYFUNCTION("IFERROR(VLOOKUP(G122,IMPORTRANGE(""https://docs.google.com/spreadsheets/d/12RxCea4e5ggM7QGn1XE3FbLQa_-QbCNdBi90OdPjRqg"", ""'Plan de Compras'!D4:Q""), 13, 0), """")"),"INTERNACIONAL")</f>
        <v>INTERNACIONAL</v>
      </c>
      <c r="AB122" s="32" t="str">
        <f>IFERROR(__xludf.DUMMYFUNCTION("IFERROR(VLOOKUP(G122,IMPORTRANGE(""https://docs.google.com/spreadsheets/d/12RxCea4e5ggM7QGn1XE3FbLQa_-QbCNdBi90OdPjRqg"", ""'Plan de Compras'!D4:Q""), 14, 0), """")"),"DIEGO ")</f>
        <v>DIEGO </v>
      </c>
      <c r="AC122" s="72" t="str">
        <f>IFERROR(__xludf.DUMMYFUNCTION("IFERROR(VLOOKUP(G122,IMPORTRANGE(""https://docs.google.com/spreadsheets/d/12RxCea4e5ggM7QGn1XE3FbLQa_-QbCNdBi90OdPjRqg"", ""'Plan de Compras'!D4:Q""), 4, 0), """")"),"KIT DE ILUMINACIÓN DE SOFTBOX")</f>
        <v>KIT DE ILUMINACIÓN DE SOFTBOX</v>
      </c>
      <c r="AD122" s="37" t="str">
        <f>IFERROR(__xludf.DUMMYFUNCTION("IFERROR(IF(OR(C122=TRUE,C122=""""),VLOOKUP(G122,IMPORTRANGE(""https://docs.google.com/spreadsheets/d/1z9A1Wq-kKrhRNG5RS2a2fKpY1wIhSVz2ZNmP2mOl588/edit?usp=sharing"",""REQ VF!E4:H""),4,0),""NO APLICA""),""GENERAR REQ"")"),"GENERAR REQ")</f>
        <v>GENERAR REQ</v>
      </c>
      <c r="AE122" s="32" t="str">
        <f>IFERROR(__xludf.DUMMYFUNCTION("IFERROR(QUERY(IMPORTRANGE(""https://docs.google.com/spreadsheets/d/1z9A1Wq-kKrhRNG5RS2a2fKpY1wIhSVz2ZNmP2mOl588/edit?usp=sharing"",""REQ VF!E4:Q""),""SELECT Col10, Col11, Col12 WHERE Col1 = '""&amp;G122&amp;""'"",0),""NO APLICA"")"),"NO APLICA")</f>
        <v>NO APLICA</v>
      </c>
      <c r="AF122" s="32"/>
      <c r="AG122" s="32"/>
      <c r="AH122" s="13"/>
      <c r="AI122" s="13"/>
    </row>
    <row r="123">
      <c r="A123" s="43"/>
      <c r="B123" s="43"/>
      <c r="C123" s="26" t="b">
        <v>1</v>
      </c>
      <c r="D123" s="26" t="s">
        <v>42</v>
      </c>
      <c r="E123" s="26" t="s">
        <v>1510</v>
      </c>
      <c r="F123" s="59" t="s">
        <v>1931</v>
      </c>
      <c r="G123" s="63" t="s">
        <v>1934</v>
      </c>
      <c r="H123" s="64" t="s">
        <v>1935</v>
      </c>
      <c r="I123" s="65">
        <f>2*I122</f>
        <v>16</v>
      </c>
      <c r="J123" s="26">
        <f>IFERROR(__xludf.DUMMYFUNCTION("VLOOKUP(G123,IMPORTRANGE(""https://docs.google.com/spreadsheets/d/12RxCea4e5ggM7QGn1XE3FbLQa_-QbCNdBi90OdPjRqg/edit?gid=1692403370#gid=1692403370"", ""'Plan de Compras'!D4:2432""), 8,0)"),16.0)</f>
        <v>16</v>
      </c>
      <c r="K123" s="26" t="str">
        <f t="shared" si="1"/>
        <v>SI</v>
      </c>
      <c r="L123" s="29"/>
      <c r="M123" s="61"/>
      <c r="N123" s="32"/>
      <c r="O123" s="32"/>
      <c r="P123" s="32"/>
      <c r="Q123" s="41"/>
      <c r="R123" s="32"/>
      <c r="S123" s="34" t="b">
        <v>1</v>
      </c>
      <c r="T123" s="39" t="s">
        <v>1936</v>
      </c>
      <c r="U123" s="39" t="s">
        <v>1937</v>
      </c>
      <c r="V123" s="39"/>
      <c r="W123" s="39"/>
      <c r="X123" s="39"/>
      <c r="Y123" s="120" t="s">
        <v>1938</v>
      </c>
      <c r="Z123" s="37"/>
      <c r="AA123" s="37"/>
      <c r="AB123" s="32"/>
      <c r="AC123" s="72"/>
      <c r="AD123" s="37" t="str">
        <f>IFERROR(__xludf.DUMMYFUNCTION("IFERROR(IF(OR(C123=TRUE,C123=""""),VLOOKUP(G123,IMPORTRANGE(""https://docs.google.com/spreadsheets/d/1z9A1Wq-kKrhRNG5RS2a2fKpY1wIhSVz2ZNmP2mOl588/edit?usp=sharing"",""REQ VF!E4:H""),4,0),""NO APLICA""),""GENERAR REQ"")"),"GENERAR REQ")</f>
        <v>GENERAR REQ</v>
      </c>
      <c r="AE123" s="32" t="str">
        <f>IFERROR(__xludf.DUMMYFUNCTION("IFERROR(QUERY(IMPORTRANGE(""https://docs.google.com/spreadsheets/d/1z9A1Wq-kKrhRNG5RS2a2fKpY1wIhSVz2ZNmP2mOl588/edit?usp=sharing"",""REQ VF!E4:Q""),""SELECT Col10, Col11, Col12 WHERE Col1 = '""&amp;G123&amp;""'"",0),""NO APLICA"")"),"NO APLICA")</f>
        <v>NO APLICA</v>
      </c>
      <c r="AF123" s="32"/>
      <c r="AG123" s="32"/>
      <c r="AH123" s="13"/>
      <c r="AI123" s="13"/>
    </row>
    <row r="124">
      <c r="A124" s="117">
        <v>80.0</v>
      </c>
      <c r="B124" s="43" t="b">
        <v>1</v>
      </c>
      <c r="C124" s="26" t="b">
        <v>1</v>
      </c>
      <c r="D124" s="26" t="s">
        <v>35</v>
      </c>
      <c r="E124" s="26" t="s">
        <v>1510</v>
      </c>
      <c r="F124" s="59" t="s">
        <v>1939</v>
      </c>
      <c r="G124" s="37" t="s">
        <v>1939</v>
      </c>
      <c r="H124" s="82" t="s">
        <v>1940</v>
      </c>
      <c r="I124" s="43">
        <f>SUMIFS('Hoja 10'!$O:$O,'Hoja 10'!$F:$F,$G124)</f>
        <v>4</v>
      </c>
      <c r="J124" s="26">
        <f>IFERROR(__xludf.DUMMYFUNCTION("VLOOKUP(G124,IMPORTRANGE(""https://docs.google.com/spreadsheets/d/12RxCea4e5ggM7QGn1XE3FbLQa_-QbCNdBi90OdPjRqg/edit?gid=1692403370#gid=1692403370"", ""'Plan de Compras'!D4:2432""), 8,0)"),4.0)</f>
        <v>4</v>
      </c>
      <c r="K124" s="26" t="str">
        <f t="shared" si="1"/>
        <v>SI</v>
      </c>
      <c r="L124" s="29" t="s">
        <v>122</v>
      </c>
      <c r="M124" s="30" t="s">
        <v>123</v>
      </c>
      <c r="N124" s="32"/>
      <c r="O124" s="32" t="str">
        <f>VLOOKUP($G124,'Hoja 10'!$F$4:$AA1057, 19,0)</f>
        <v>Generic</v>
      </c>
      <c r="P124" s="32" t="str">
        <f>VLOOKUP($G124,'Hoja 10'!$F$4:$AA1057, 20,0)</f>
        <v>Kit Soldar Soporte Pinza Lupa Luz LED Para Reparación Circuitos</v>
      </c>
      <c r="Q124" s="33" t="str">
        <f>VLOOKUP($G124,'Hoja 10'!$F$4:$AA1057, 21,0)</f>
        <v>https://www.falabella.com.pe/falabella-pe/product/124425983/Kit-Soldar-Soporte-Pinza-Lupa-Luz-LED-Para-Reparacion-Circuitos/124425987</v>
      </c>
      <c r="R124" s="86" t="s">
        <v>1941</v>
      </c>
      <c r="S124" s="44" t="b">
        <v>1</v>
      </c>
      <c r="T124" s="39" t="str">
        <f>IFERROR(__xludf.DUMMYFUNCTION(" IF
( VLOOKUP($G124,IMPORTRANGE(""https://docs.google.com/spreadsheets/d/1Gpl6jkTg7sL4VDNimUm3S9Vi1i95esohXCF3wuKOE8c"", ""'CONSOLIDADO'!G5:AB""), 10, 0) &lt;&gt; 0, 
IFERROR(VLOOKUP($G124,IMPORTRANGE(""https://docs.google.com/spreadsheets/d/1Gpl6jkTg7sL4VDNimU"&amp;"m3S9Vi1i95esohXCF3wuKOE8c"", ""'CONSOLIDADO'!G5:AB""), 17, 0), ""-""),
""""
)"),"GENÉRICO")</f>
        <v>GENÉRICO</v>
      </c>
      <c r="U124" s="39" t="str">
        <f>IFERROR(__xludf.DUMMYFUNCTION(" IF
( VLOOKUP($G124,IMPORTRANGE(""https://docs.google.com/spreadsheets/d/1Gpl6jkTg7sL4VDNimUm3S9Vi1i95esohXCF3wuKOE8c"", ""'CONSOLIDADO'!G5:AB""), 10, 0) &lt;&gt; 0, 
IFERROR(VLOOKUP($G124,IMPORTRANGE(""https://docs.google.com/spreadsheets/d/1Gpl6jkTg7sL4VDNimU"&amp;"m3S9Vi1i95esohXCF3wuKOE8c"", ""'CONSOLIDADO'!G5:AB""), 18, 0), ""-""),
""""
)"),"Kit Soldar Soporte Pinza Lupa Luz LED Para Reparación Circuitos")</f>
        <v>Kit Soldar Soporte Pinza Lupa Luz LED Para Reparación Circuitos</v>
      </c>
      <c r="V124" s="39" t="str">
        <f>IFERROR(__xludf.DUMMYFUNCTION(" IF
( VLOOKUP($G124,IMPORTRANGE(""https://docs.google.com/spreadsheets/d/1Gpl6jkTg7sL4VDNimUm3S9Vi1i95esohXCF3wuKOE8c"", ""'CONSOLIDADO'!G5:AB""), 10, 0) &lt;&gt; 0, 
IFERROR(VLOOKUP($G124,IMPORTRANGE(""https://docs.google.com/spreadsheets/d/1Gpl6jkTg7sL4VDNimU"&amp;"m3S9Vi1i95esohXCF3wuKOE8c"", ""'CONSOLIDADO'!G5:AB""), 17, 0), ""-""),
""""
)"),"GENÉRICO")</f>
        <v>GENÉRICO</v>
      </c>
      <c r="W124" s="39" t="str">
        <f>IFERROR(__xludf.DUMMYFUNCTION(" IF
( VLOOKUP($G124,IMPORTRANGE(""https://docs.google.com/spreadsheets/d/1Gpl6jkTg7sL4VDNimUm3S9Vi1i95esohXCF3wuKOE8c"", ""'CONSOLIDADO'!G5:AB""), 10, 0) &lt;&gt; 0, 
IFERROR(VLOOKUP($G124,IMPORTRANGE(""https://docs.google.com/spreadsheets/d/1Gpl6jkTg7sL4VDNimU"&amp;"m3S9Vi1i95esohXCF3wuKOE8c"", ""'CONSOLIDADO'!G5:AB""), 18, 0), ""-""),
""""
)"),"Kit Soldar Soporte Pinza Lupa Luz LED Para Reparación Circuitos")</f>
        <v>Kit Soldar Soporte Pinza Lupa Luz LED Para Reparación Circuitos</v>
      </c>
      <c r="X124" s="39" t="b">
        <f>IF(AND(T124=V124,W124=U124),TRUE,FALSE)</f>
        <v>1</v>
      </c>
      <c r="Y124" s="120" t="str">
        <f>IFERROR(__xludf.DUMMYFUNCTION(" IF
( VLOOKUP($G124,IMPORTRANGE(""https://docs.google.com/spreadsheets/d/1Gpl6jkTg7sL4VDNimUm3S9Vi1i95esohXCF3wuKOE8c"", ""'CONSOLIDADO'!G5:AB""), 10, 0) &lt;&gt; 0, 
IFERROR(VLOOKUP($G124,IMPORTRANGE(""https://docs.google.com/spreadsheets/d/1Gpl6jkTg7sL4VDNimU"&amp;"m3S9Vi1i95esohXCF3wuKOE8c"", ""'CONSOLIDADO'!G5:AB""), 19, 0), ""-""),
""""
)"),"https://www.falabella.com.pe/falabella-pe/product/124425983/Kit-Soldar-Soporte-Pinza-Lupa-Luz-LED-Para-Reparacion-Circuitos/124425987")</f>
        <v>https://www.falabella.com.pe/falabella-pe/product/124425983/Kit-Soldar-Soporte-Pinza-Lupa-Luz-LED-Para-Reparacion-Circuitos/124425987</v>
      </c>
      <c r="Z124" s="37" t="str">
        <f>IFERROR(__xludf.DUMMYFUNCTION("IFERROR(VLOOKUP(G124,IMPORTRANGE(""https://docs.google.com/spreadsheets/d/12RxCea4e5ggM7QGn1XE3FbLQa_-QbCNdBi90OdPjRqg"", ""'Plan de Compras'!D4:Q""), 12, 0), ""NO ESTÁ EN REQ"")"),"Técnica")</f>
        <v>Técnica</v>
      </c>
      <c r="AA124" s="37" t="str">
        <f>IFERROR(__xludf.DUMMYFUNCTION("IFERROR(VLOOKUP(G124,IMPORTRANGE(""https://docs.google.com/spreadsheets/d/12RxCea4e5ggM7QGn1XE3FbLQa_-QbCNdBi90OdPjRqg"", ""'Plan de Compras'!D4:Q""), 13, 0), """")"),"NACIONAL")</f>
        <v>NACIONAL</v>
      </c>
      <c r="AB124" s="32" t="str">
        <f>IFERROR(__xludf.DUMMYFUNCTION("IFERROR(VLOOKUP(G124,IMPORTRANGE(""https://docs.google.com/spreadsheets/d/12RxCea4e5ggM7QGn1XE3FbLQa_-QbCNdBi90OdPjRqg"", ""'Plan de Compras'!D4:Q""), 14, 0), """")"),"ALFIO")</f>
        <v>ALFIO</v>
      </c>
      <c r="AC124" s="72" t="str">
        <f>IFERROR(__xludf.DUMMYFUNCTION("IFERROR(VLOOKUP(G124,IMPORTRANGE(""https://docs.google.com/spreadsheets/d/12RxCea4e5ggM7QGn1XE3FbLQa_-QbCNdBi90OdPjRqg"", ""'Plan de Compras'!D4:Q""), 4, 0), """")"),"LUPAS CON ILUMINACIÓN PARA LABORATORIO DE ELECTRÓNICA")</f>
        <v>LUPAS CON ILUMINACIÓN PARA LABORATORIO DE ELECTRÓNICA</v>
      </c>
      <c r="AD124" s="37" t="str">
        <f>IFERROR(__xludf.DUMMYFUNCTION("IFERROR(IF(OR(C124=TRUE,C124=""""),VLOOKUP(G124,IMPORTRANGE(""https://docs.google.com/spreadsheets/d/1z9A1Wq-kKrhRNG5RS2a2fKpY1wIhSVz2ZNmP2mOl588/edit?usp=sharing"",""REQ VF!E4:H""),4,0),""NO APLICA""),""GENERAR REQ"")"),"GENERAR REQ")</f>
        <v>GENERAR REQ</v>
      </c>
      <c r="AE124" s="32" t="str">
        <f>IFERROR(__xludf.DUMMYFUNCTION("IFERROR(QUERY(IMPORTRANGE(""https://docs.google.com/spreadsheets/d/1z9A1Wq-kKrhRNG5RS2a2fKpY1wIhSVz2ZNmP2mOl588/edit?usp=sharing"",""REQ VF!E4:Q""),""SELECT Col10, Col11, Col12 WHERE Col1 = '""&amp;G124&amp;""'"",0),""NO APLICA"")"),"NO APLICA")</f>
        <v>NO APLICA</v>
      </c>
      <c r="AF124" s="32"/>
      <c r="AG124" s="32"/>
      <c r="AH124" s="8" t="s">
        <v>52</v>
      </c>
      <c r="AI124" s="13"/>
    </row>
    <row r="125">
      <c r="A125" s="43"/>
      <c r="B125" s="43"/>
      <c r="C125" s="26" t="b">
        <v>1</v>
      </c>
      <c r="D125" s="26" t="s">
        <v>42</v>
      </c>
      <c r="E125" s="43" t="s">
        <v>1510</v>
      </c>
      <c r="F125" s="39" t="s">
        <v>1939</v>
      </c>
      <c r="G125" s="39" t="s">
        <v>1942</v>
      </c>
      <c r="H125" s="66" t="s">
        <v>1927</v>
      </c>
      <c r="I125" s="43">
        <v>12.0</v>
      </c>
      <c r="J125" s="26">
        <f>IFERROR(__xludf.DUMMYFUNCTION("VLOOKUP(G125,IMPORTRANGE(""https://docs.google.com/spreadsheets/d/12RxCea4e5ggM7QGn1XE3FbLQa_-QbCNdBi90OdPjRqg/edit?gid=1692403370#gid=1692403370"", ""'Plan de Compras'!D4:2432""), 8,0)"),12.0)</f>
        <v>12</v>
      </c>
      <c r="K125" s="26" t="str">
        <f t="shared" si="1"/>
        <v>SI</v>
      </c>
      <c r="L125" s="26"/>
      <c r="M125" s="32"/>
      <c r="N125" s="32" t="s">
        <v>1928</v>
      </c>
      <c r="O125" s="32"/>
      <c r="P125" s="32"/>
      <c r="Q125" s="33" t="s">
        <v>1929</v>
      </c>
      <c r="R125" s="32"/>
      <c r="S125" s="44" t="b">
        <v>0</v>
      </c>
      <c r="T125" s="39" t="s">
        <v>1930</v>
      </c>
      <c r="U125" s="39">
        <v>130072.0</v>
      </c>
      <c r="V125" s="39"/>
      <c r="W125" s="39"/>
      <c r="X125" s="39"/>
      <c r="Y125" s="124"/>
      <c r="Z125" s="37" t="str">
        <f>IFERROR(__xludf.DUMMYFUNCTION("IFERROR(VLOOKUP(G125,IMPORTRANGE(""https://docs.google.com/spreadsheets/d/12RxCea4e5ggM7QGn1XE3FbLQa_-QbCNdBi90OdPjRqg"", ""'Plan de Compras'!D4:Q""), 12, 0), ""NO ESTÁ EN REQ"")"),"Simple")</f>
        <v>Simple</v>
      </c>
      <c r="AA125" s="37" t="str">
        <f>IFERROR(__xludf.DUMMYFUNCTION("IFERROR(VLOOKUP(G125,IMPORTRANGE(""https://docs.google.com/spreadsheets/d/12RxCea4e5ggM7QGn1XE3FbLQa_-QbCNdBi90OdPjRqg"", ""'Plan de Compras'!D4:Q""), 13, 0), """")"),"NACIONAL")</f>
        <v>NACIONAL</v>
      </c>
      <c r="AB125" s="32" t="str">
        <f>IFERROR(__xludf.DUMMYFUNCTION("IFERROR(VLOOKUP(G125,IMPORTRANGE(""https://docs.google.com/spreadsheets/d/12RxCea4e5ggM7QGn1XE3FbLQa_-QbCNdBi90OdPjRqg"", ""'Plan de Compras'!D4:Q""), 14, 0), """")"),"ALFIO")</f>
        <v>ALFIO</v>
      </c>
      <c r="AC125" s="72" t="str">
        <f>IFERROR(__xludf.DUMMYFUNCTION("IFERROR(VLOOKUP(G125,IMPORTRANGE(""https://docs.google.com/spreadsheets/d/12RxCea4e5ggM7QGn1XE3FbLQa_-QbCNdBi90OdPjRqg"", ""'Plan de Compras'!D4:Q""), 4, 0), """")"),"PILA TIPO AAA (3 UND)")</f>
        <v>PILA TIPO AAA (3 UND)</v>
      </c>
      <c r="AD125" s="37" t="str">
        <f>IFERROR(__xludf.DUMMYFUNCTION("IFERROR(IF(OR(C125=TRUE,C125=""""),VLOOKUP(G125,IMPORTRANGE(""https://docs.google.com/spreadsheets/d/1z9A1Wq-kKrhRNG5RS2a2fKpY1wIhSVz2ZNmP2mOl588/edit?usp=sharing"",""REQ VF!E4:H""),4,0),""NO APLICA""),""GENERAR REQ"")"),"GENERAR REQ")</f>
        <v>GENERAR REQ</v>
      </c>
      <c r="AE125" s="32" t="str">
        <f>IFERROR(__xludf.DUMMYFUNCTION("IFERROR(QUERY(IMPORTRANGE(""https://docs.google.com/spreadsheets/d/1z9A1Wq-kKrhRNG5RS2a2fKpY1wIhSVz2ZNmP2mOl588/edit?usp=sharing"",""REQ VF!E4:Q""),""SELECT Col10, Col11, Col12 WHERE Col1 = '""&amp;G125&amp;""'"",0),""NO APLICA"")"),"NO APLICA")</f>
        <v>NO APLICA</v>
      </c>
      <c r="AF125" s="32"/>
      <c r="AG125" s="32"/>
      <c r="AH125" s="13"/>
      <c r="AI125" s="13"/>
    </row>
    <row r="126">
      <c r="A126" s="117">
        <v>81.0</v>
      </c>
      <c r="B126" s="43" t="b">
        <v>1</v>
      </c>
      <c r="C126" s="26" t="b">
        <v>0</v>
      </c>
      <c r="D126" s="26" t="s">
        <v>35</v>
      </c>
      <c r="E126" s="26" t="s">
        <v>1510</v>
      </c>
      <c r="F126" s="59" t="s">
        <v>1943</v>
      </c>
      <c r="G126" s="37" t="s">
        <v>1943</v>
      </c>
      <c r="H126" s="82" t="s">
        <v>1944</v>
      </c>
      <c r="I126" s="43">
        <f>SUMIFS('Hoja 10'!$O:$O,'Hoja 10'!$F:$F,$G126)</f>
        <v>2</v>
      </c>
      <c r="J126" s="26" t="str">
        <f>IFERROR(__xludf.DUMMYFUNCTION("VLOOKUP(G126,IMPORTRANGE(""https://docs.google.com/spreadsheets/d/12RxCea4e5ggM7QGn1XE3FbLQa_-QbCNdBi90OdPjRqg/edit?gid=1692403370#gid=1692403370"", ""'Plan de Compras'!D4:2432""), 8,0)"),"#N/A")</f>
        <v>#N/A</v>
      </c>
      <c r="K126" s="26" t="str">
        <f t="shared" si="1"/>
        <v>-</v>
      </c>
      <c r="L126" s="29" t="s">
        <v>185</v>
      </c>
      <c r="M126" s="30" t="s">
        <v>186</v>
      </c>
      <c r="N126" s="32"/>
      <c r="O126" s="32" t="str">
        <f>VLOOKUP($G126,'Hoja 10'!$F$4:$AA1057, 19,0)</f>
        <v>GENERICO</v>
      </c>
      <c r="P126" s="32" t="str">
        <f>VLOOKUP($G126,'Hoja 10'!$F$4:$AA1057, 20,0)</f>
        <v>GENERICO</v>
      </c>
      <c r="Q126" s="33" t="str">
        <f>VLOOKUP($G126,'Hoja 10'!$F$4:$AA1057, 21,0)</f>
        <v>https://dicapomaniquies.com/product/balder-2</v>
      </c>
      <c r="R126" s="86" t="s">
        <v>1945</v>
      </c>
      <c r="S126" s="44" t="b">
        <v>0</v>
      </c>
      <c r="T126" s="39" t="str">
        <f>IFERROR(__xludf.DUMMYFUNCTION(" IF
( VLOOKUP($G126,IMPORTRANGE(""https://docs.google.com/spreadsheets/d/1Gpl6jkTg7sL4VDNimUm3S9Vi1i95esohXCF3wuKOE8c"", ""'CONSOLIDADO'!G5:AB""), 10, 0) &lt;&gt; 0, 
IFERROR(VLOOKUP($G126,IMPORTRANGE(""https://docs.google.com/spreadsheets/d/1Gpl6jkTg7sL4VDNimU"&amp;"m3S9Vi1i95esohXCF3wuKOE8c"", ""'CONSOLIDADO'!G5:AB""), 17, 0), ""-""),
""""
)"),"Cia Global Import  S.A.C / ALIBABA")</f>
        <v>Cia Global Import  S.A.C / ALIBABA</v>
      </c>
      <c r="U126" s="39" t="str">
        <f>IFERROR(__xludf.DUMMYFUNCTION(" IF
( VLOOKUP($G126,IMPORTRANGE(""https://docs.google.com/spreadsheets/d/1Gpl6jkTg7sL4VDNimUm3S9Vi1i95esohXCF3wuKOE8c"", ""'CONSOLIDADO'!G5:AB""), 10, 0) &lt;&gt; 0, 
IFERROR(VLOOKUP($G126,IMPORTRANGE(""https://docs.google.com/spreadsheets/d/1Gpl6jkTg7sL4VDNimU"&amp;"m3S9Vi1i95esohXCF3wuKOE8c"", ""'CONSOLIDADO'!G5:AB""), 18, 0), ""-""),
""""
)"),"VARIOS MANIQUÍES")</f>
        <v>VARIOS MANIQUÍES</v>
      </c>
      <c r="V126" s="39" t="str">
        <f>IFERROR(__xludf.DUMMYFUNCTION(" IF
( VLOOKUP($G126,IMPORTRANGE(""https://docs.google.com/spreadsheets/d/1Gpl6jkTg7sL4VDNimUm3S9Vi1i95esohXCF3wuKOE8c"", ""'CONSOLIDADO'!G5:AB""), 10, 0) &lt;&gt; 0, 
IFERROR(VLOOKUP($G126,IMPORTRANGE(""https://docs.google.com/spreadsheets/d/1Gpl6jkTg7sL4VDNimU"&amp;"m3S9Vi1i95esohXCF3wuKOE8c"", ""'CONSOLIDADO'!G5:AB""), 17, 0), ""-""),
""""
)"),"Cia Global Import  S.A.C / ALIBABA")</f>
        <v>Cia Global Import  S.A.C / ALIBABA</v>
      </c>
      <c r="W126" s="39" t="str">
        <f>IFERROR(__xludf.DUMMYFUNCTION(" IF
( VLOOKUP($G126,IMPORTRANGE(""https://docs.google.com/spreadsheets/d/1Gpl6jkTg7sL4VDNimUm3S9Vi1i95esohXCF3wuKOE8c"", ""'CONSOLIDADO'!G5:AB""), 10, 0) &lt;&gt; 0, 
IFERROR(VLOOKUP($G126,IMPORTRANGE(""https://docs.google.com/spreadsheets/d/1Gpl6jkTg7sL4VDNimU"&amp;"m3S9Vi1i95esohXCF3wuKOE8c"", ""'CONSOLIDADO'!G5:AB""), 18, 0), ""-""),
""""
)"),"VARIOS MANIQUÍES")</f>
        <v>VARIOS MANIQUÍES</v>
      </c>
      <c r="X126" s="39" t="b">
        <f>IF(AND(T126=V126,W126=U126),TRUE,FALSE)</f>
        <v>1</v>
      </c>
      <c r="Y126" s="120" t="str">
        <f>IFERROR(__xludf.DUMMYFUNCTION(" IF
( VLOOKUP($G126,IMPORTRANGE(""https://docs.google.com/spreadsheets/d/1Gpl6jkTg7sL4VDNimUm3S9Vi1i95esohXCF3wuKOE8c"", ""'CONSOLIDADO'!G5:AB""), 10, 0) &lt;&gt; 0, 
IFERROR(VLOOKUP($G126,IMPORTRANGE(""https://docs.google.com/spreadsheets/d/1Gpl6jkTg7sL4VDNimU"&amp;"m3S9Vi1i95esohXCF3wuKOE8c"", ""'CONSOLIDADO'!G5:AB""), 19, 0), ""-""),
""""
)"),"https://www.alibaba.com/product-detail/New-Style-Factory-Price-Fiberglass-Clothes_1600235155656.html?spm=a2756.order-detail-ta-ta-b.0.0.a12cf19cYTV9Ft")</f>
        <v>https://www.alibaba.com/product-detail/New-Style-Factory-Price-Fiberglass-Clothes_1600235155656.html?spm=a2756.order-detail-ta-ta-b.0.0.a12cf19cYTV9Ft</v>
      </c>
      <c r="Z126" s="37" t="str">
        <f>IFERROR(__xludf.DUMMYFUNCTION("IFERROR(VLOOKUP(G126,IMPORTRANGE(""https://docs.google.com/spreadsheets/d/12RxCea4e5ggM7QGn1XE3FbLQa_-QbCNdBi90OdPjRqg"", ""'Plan de Compras'!D4:Q""), 12, 0), ""NO ESTÁ EN REQ"")"),"NO ESTÁ EN REQ")</f>
        <v>NO ESTÁ EN REQ</v>
      </c>
      <c r="AA126" s="37" t="str">
        <f>IFERROR(__xludf.DUMMYFUNCTION("IFERROR(VLOOKUP(G126,IMPORTRANGE(""https://docs.google.com/spreadsheets/d/12RxCea4e5ggM7QGn1XE3FbLQa_-QbCNdBi90OdPjRqg"", ""'Plan de Compras'!D4:Q""), 13, 0), """")"),"")</f>
        <v/>
      </c>
      <c r="AB126" s="32" t="str">
        <f>IFERROR(__xludf.DUMMYFUNCTION("IFERROR(VLOOKUP(G126,IMPORTRANGE(""https://docs.google.com/spreadsheets/d/12RxCea4e5ggM7QGn1XE3FbLQa_-QbCNdBi90OdPjRqg"", ""'Plan de Compras'!D4:Q""), 14, 0), """")"),"")</f>
        <v/>
      </c>
      <c r="AC126" s="72" t="str">
        <f>IFERROR(__xludf.DUMMYFUNCTION("IFERROR(VLOOKUP(G126,IMPORTRANGE(""https://docs.google.com/spreadsheets/d/12RxCea4e5ggM7QGn1XE3FbLQa_-QbCNdBi90OdPjRqg"", ""'Plan de Compras'!D4:Q""), 4, 0), """")"),"")</f>
        <v/>
      </c>
      <c r="AD126" s="37" t="str">
        <f>IFERROR(__xludf.DUMMYFUNCTION("IFERROR(IF(OR(C126=TRUE,C126=""""),VLOOKUP(G126,IMPORTRANGE(""https://docs.google.com/spreadsheets/d/1z9A1Wq-kKrhRNG5RS2a2fKpY1wIhSVz2ZNmP2mOl588/edit?usp=sharing"",""REQ VF!E4:H""),4,0),""NO APLICA""),""GENERAR REQ"")"),"NO APLICA")</f>
        <v>NO APLICA</v>
      </c>
      <c r="AE126" s="32" t="str">
        <f>IFERROR(__xludf.DUMMYFUNCTION("IFERROR(QUERY(IMPORTRANGE(""https://docs.google.com/spreadsheets/d/1z9A1Wq-kKrhRNG5RS2a2fKpY1wIhSVz2ZNmP2mOl588/edit?usp=sharing"",""REQ VF!E4:Q""),""SELECT Col10, Col11, Col12 WHERE Col1 = '""&amp;G126&amp;""'"",0),""NO APLICA"")"),"NO APLICA")</f>
        <v>NO APLICA</v>
      </c>
      <c r="AF126" s="32"/>
      <c r="AG126" s="32"/>
      <c r="AH126" s="13"/>
      <c r="AI126" s="13"/>
    </row>
    <row r="127" ht="21.75" customHeight="1">
      <c r="A127" s="43"/>
      <c r="B127" s="43"/>
      <c r="C127" s="26" t="b">
        <v>1</v>
      </c>
      <c r="D127" s="26" t="s">
        <v>95</v>
      </c>
      <c r="E127" s="26" t="s">
        <v>1510</v>
      </c>
      <c r="F127" s="59" t="s">
        <v>1943</v>
      </c>
      <c r="G127" s="39" t="s">
        <v>1946</v>
      </c>
      <c r="H127" s="66" t="s">
        <v>1947</v>
      </c>
      <c r="I127" s="43">
        <v>2.0</v>
      </c>
      <c r="J127" s="26">
        <f>IFERROR(__xludf.DUMMYFUNCTION("VLOOKUP(G127,IMPORTRANGE(""https://docs.google.com/spreadsheets/d/12RxCea4e5ggM7QGn1XE3FbLQa_-QbCNdBi90OdPjRqg/edit?gid=1692403370#gid=1692403370"", ""'Plan de Compras'!D4:2432""), 8,0)"),2.0)</f>
        <v>2</v>
      </c>
      <c r="K127" s="26" t="str">
        <f t="shared" si="1"/>
        <v>SI</v>
      </c>
      <c r="L127" s="26"/>
      <c r="M127" s="32"/>
      <c r="N127" s="32"/>
      <c r="O127" s="32" t="s">
        <v>1948</v>
      </c>
      <c r="P127" s="32" t="s">
        <v>1949</v>
      </c>
      <c r="Q127" s="33" t="s">
        <v>1950</v>
      </c>
      <c r="R127" s="32"/>
      <c r="S127" s="44" t="b">
        <v>1</v>
      </c>
      <c r="U127" s="39" t="s">
        <v>1951</v>
      </c>
      <c r="Y127" s="124"/>
      <c r="Z127" s="37" t="str">
        <f>IFERROR(__xludf.DUMMYFUNCTION("IFERROR(VLOOKUP(G127,IMPORTRANGE(""https://docs.google.com/spreadsheets/d/12RxCea4e5ggM7QGn1XE3FbLQa_-QbCNdBi90OdPjRqg"", ""'Plan de Compras'!D4:Q""), 12, 0), ""NO ESTÁ EN REQ"")"),"Simple")</f>
        <v>Simple</v>
      </c>
      <c r="AA127" s="37" t="str">
        <f>IFERROR(__xludf.DUMMYFUNCTION("IFERROR(VLOOKUP(G127,IMPORTRANGE(""https://docs.google.com/spreadsheets/d/12RxCea4e5ggM7QGn1XE3FbLQa_-QbCNdBi90OdPjRqg"", ""'Plan de Compras'!D4:Q""), 13, 0), """")"),"NACIONAL")</f>
        <v>NACIONAL</v>
      </c>
      <c r="AB127" s="32" t="str">
        <f>IFERROR(__xludf.DUMMYFUNCTION("IFERROR(VLOOKUP(G127,IMPORTRANGE(""https://docs.google.com/spreadsheets/d/12RxCea4e5ggM7QGn1XE3FbLQa_-QbCNdBi90OdPjRqg"", ""'Plan de Compras'!D4:Q""), 14, 0), """")"),"GEANFRANCO")</f>
        <v>GEANFRANCO</v>
      </c>
      <c r="AC127" s="72" t="str">
        <f>IFERROR(__xludf.DUMMYFUNCTION("IFERROR(VLOOKUP(G127,IMPORTRANGE(""https://docs.google.com/spreadsheets/d/12RxCea4e5ggM7QGn1XE3FbLQa_-QbCNdBi90OdPjRqg"", ""'Plan de Compras'!D4:Q""), 4, 0), """")"),"MANIQUÍ DAMA: ALTURA 170 CM (1 UND)")</f>
        <v>MANIQUÍ DAMA: ALTURA 170 CM (1 UND)</v>
      </c>
      <c r="AD127" s="37" t="str">
        <f>IFERROR(__xludf.DUMMYFUNCTION("IFERROR(IF(OR(C127=TRUE,C127=""""),VLOOKUP(G127,IMPORTRANGE(""https://docs.google.com/spreadsheets/d/1z9A1Wq-kKrhRNG5RS2a2fKpY1wIhSVz2ZNmP2mOl588/edit?usp=sharing"",""REQ VF!E4:H""),4,0),""NO APLICA""),""GENERAR REQ"")"),"GENERAR REQ")</f>
        <v>GENERAR REQ</v>
      </c>
      <c r="AE127" s="32" t="str">
        <f>IFERROR(__xludf.DUMMYFUNCTION("IFERROR(QUERY(IMPORTRANGE(""https://docs.google.com/spreadsheets/d/1z9A1Wq-kKrhRNG5RS2a2fKpY1wIhSVz2ZNmP2mOl588/edit?usp=sharing"",""REQ VF!E4:Q""),""SELECT Col10, Col11, Col12 WHERE Col1 = '""&amp;G127&amp;""'"",0),""NO APLICA"")"),"NO APLICA")</f>
        <v>NO APLICA</v>
      </c>
      <c r="AF127" s="32"/>
      <c r="AG127" s="32"/>
      <c r="AH127" s="13"/>
      <c r="AI127" s="13"/>
    </row>
    <row r="128">
      <c r="A128" s="43"/>
      <c r="B128" s="43"/>
      <c r="C128" s="26" t="b">
        <v>1</v>
      </c>
      <c r="D128" s="26" t="s">
        <v>95</v>
      </c>
      <c r="E128" s="26" t="s">
        <v>1510</v>
      </c>
      <c r="F128" s="59" t="s">
        <v>1943</v>
      </c>
      <c r="G128" s="39" t="s">
        <v>1952</v>
      </c>
      <c r="H128" s="66" t="s">
        <v>1953</v>
      </c>
      <c r="I128" s="43">
        <v>2.0</v>
      </c>
      <c r="J128" s="26">
        <f>IFERROR(__xludf.DUMMYFUNCTION("VLOOKUP(G128,IMPORTRANGE(""https://docs.google.com/spreadsheets/d/12RxCea4e5ggM7QGn1XE3FbLQa_-QbCNdBi90OdPjRqg/edit?gid=1692403370#gid=1692403370"", ""'Plan de Compras'!D4:2432""), 8,0)"),2.0)</f>
        <v>2</v>
      </c>
      <c r="K128" s="26" t="str">
        <f t="shared" si="1"/>
        <v>SI</v>
      </c>
      <c r="L128" s="26"/>
      <c r="M128" s="32"/>
      <c r="N128" s="32"/>
      <c r="O128" s="32" t="s">
        <v>1954</v>
      </c>
      <c r="P128" s="32" t="s">
        <v>1955</v>
      </c>
      <c r="Q128" s="33" t="s">
        <v>1956</v>
      </c>
      <c r="R128" s="32"/>
      <c r="S128" s="44" t="b">
        <v>1</v>
      </c>
      <c r="T128" s="39" t="s">
        <v>1257</v>
      </c>
      <c r="U128" s="39" t="s">
        <v>1957</v>
      </c>
      <c r="V128" s="39"/>
      <c r="W128" s="39"/>
      <c r="X128" s="39"/>
      <c r="Y128" s="124"/>
      <c r="Z128" s="37" t="str">
        <f>IFERROR(__xludf.DUMMYFUNCTION("IFERROR(VLOOKUP(G128,IMPORTRANGE(""https://docs.google.com/spreadsheets/d/12RxCea4e5ggM7QGn1XE3FbLQa_-QbCNdBi90OdPjRqg"", ""'Plan de Compras'!D4:Q""), 12, 0), ""NO ESTÁ EN REQ"")"),"Simple")</f>
        <v>Simple</v>
      </c>
      <c r="AA128" s="37" t="str">
        <f>IFERROR(__xludf.DUMMYFUNCTION("IFERROR(VLOOKUP(G128,IMPORTRANGE(""https://docs.google.com/spreadsheets/d/12RxCea4e5ggM7QGn1XE3FbLQa_-QbCNdBi90OdPjRqg"", ""'Plan de Compras'!D4:Q""), 13, 0), """")"),"NACIONAL")</f>
        <v>NACIONAL</v>
      </c>
      <c r="AB128" s="32" t="str">
        <f>IFERROR(__xludf.DUMMYFUNCTION("IFERROR(VLOOKUP(G128,IMPORTRANGE(""https://docs.google.com/spreadsheets/d/12RxCea4e5ggM7QGn1XE3FbLQa_-QbCNdBi90OdPjRqg"", ""'Plan de Compras'!D4:Q""), 14, 0), """")"),"GEANFRANCO")</f>
        <v>GEANFRANCO</v>
      </c>
      <c r="AC128" s="72" t="str">
        <f>IFERROR(__xludf.DUMMYFUNCTION("IFERROR(VLOOKUP(G128,IMPORTRANGE(""https://docs.google.com/spreadsheets/d/12RxCea4e5ggM7QGn1XE3FbLQa_-QbCNdBi90OdPjRqg"", ""'Plan de Compras'!D4:Q""), 4, 0), """")"),"MANIQUÍ CABALLERO: ALTURA 180 CM (1 UND)")</f>
        <v>MANIQUÍ CABALLERO: ALTURA 180 CM (1 UND)</v>
      </c>
      <c r="AD128" s="37" t="str">
        <f>IFERROR(__xludf.DUMMYFUNCTION("IFERROR(IF(OR(C128=TRUE,C128=""""),VLOOKUP(G128,IMPORTRANGE(""https://docs.google.com/spreadsheets/d/1z9A1Wq-kKrhRNG5RS2a2fKpY1wIhSVz2ZNmP2mOl588/edit?usp=sharing"",""REQ VF!E4:H""),4,0),""NO APLICA""),""GENERAR REQ"")"),"GENERAR REQ")</f>
        <v>GENERAR REQ</v>
      </c>
      <c r="AE128" s="32" t="str">
        <f>IFERROR(__xludf.DUMMYFUNCTION("IFERROR(QUERY(IMPORTRANGE(""https://docs.google.com/spreadsheets/d/1z9A1Wq-kKrhRNG5RS2a2fKpY1wIhSVz2ZNmP2mOl588/edit?usp=sharing"",""REQ VF!E4:Q""),""SELECT Col10, Col11, Col12 WHERE Col1 = '""&amp;G128&amp;""'"",0),""NO APLICA"")"),"NO APLICA")</f>
        <v>NO APLICA</v>
      </c>
      <c r="AF128" s="32"/>
      <c r="AG128" s="32"/>
      <c r="AH128" s="13"/>
      <c r="AI128" s="13"/>
    </row>
    <row r="129">
      <c r="A129" s="43"/>
      <c r="B129" s="43"/>
      <c r="C129" s="26" t="b">
        <v>1</v>
      </c>
      <c r="D129" s="26" t="s">
        <v>95</v>
      </c>
      <c r="E129" s="26" t="s">
        <v>1510</v>
      </c>
      <c r="F129" s="59" t="s">
        <v>1943</v>
      </c>
      <c r="G129" s="39" t="s">
        <v>1958</v>
      </c>
      <c r="H129" s="66" t="s">
        <v>1959</v>
      </c>
      <c r="I129" s="43">
        <v>2.0</v>
      </c>
      <c r="J129" s="26">
        <f>IFERROR(__xludf.DUMMYFUNCTION("VLOOKUP(G129,IMPORTRANGE(""https://docs.google.com/spreadsheets/d/12RxCea4e5ggM7QGn1XE3FbLQa_-QbCNdBi90OdPjRqg/edit?gid=1692403370#gid=1692403370"", ""'Plan de Compras'!D4:2432""), 8,0)"),2.0)</f>
        <v>2</v>
      </c>
      <c r="K129" s="26" t="str">
        <f t="shared" si="1"/>
        <v>SI</v>
      </c>
      <c r="L129" s="26"/>
      <c r="M129" s="32"/>
      <c r="N129" s="32"/>
      <c r="O129" s="32" t="s">
        <v>1954</v>
      </c>
      <c r="P129" s="32" t="s">
        <v>1960</v>
      </c>
      <c r="Q129" s="33" t="s">
        <v>1961</v>
      </c>
      <c r="R129" s="32"/>
      <c r="S129" s="34" t="b">
        <v>1</v>
      </c>
      <c r="T129" s="39" t="s">
        <v>1257</v>
      </c>
      <c r="U129" s="39"/>
      <c r="V129" s="39"/>
      <c r="W129" s="39"/>
      <c r="X129" s="39"/>
      <c r="Y129" s="126" t="s">
        <v>1962</v>
      </c>
      <c r="Z129" s="37" t="str">
        <f>IFERROR(__xludf.DUMMYFUNCTION("IFERROR(VLOOKUP(G129,IMPORTRANGE(""https://docs.google.com/spreadsheets/d/12RxCea4e5ggM7QGn1XE3FbLQa_-QbCNdBi90OdPjRqg"", ""'Plan de Compras'!D4:Q""), 12, 0), ""NO ESTÁ EN REQ"")"),"Simple")</f>
        <v>Simple</v>
      </c>
      <c r="AA129" s="37" t="str">
        <f>IFERROR(__xludf.DUMMYFUNCTION("IFERROR(VLOOKUP(G129,IMPORTRANGE(""https://docs.google.com/spreadsheets/d/12RxCea4e5ggM7QGn1XE3FbLQa_-QbCNdBi90OdPjRqg"", ""'Plan de Compras'!D4:Q""), 13, 0), """")"),"INTERNACIONAL")</f>
        <v>INTERNACIONAL</v>
      </c>
      <c r="AB129" s="32" t="str">
        <f>IFERROR(__xludf.DUMMYFUNCTION("IFERROR(VLOOKUP(G129,IMPORTRANGE(""https://docs.google.com/spreadsheets/d/12RxCea4e5ggM7QGn1XE3FbLQa_-QbCNdBi90OdPjRqg"", ""'Plan de Compras'!D4:Q""), 14, 0), """")"),"DIEGO ")</f>
        <v>DIEGO </v>
      </c>
      <c r="AC129" s="72" t="str">
        <f>IFERROR(__xludf.DUMMYFUNCTION("IFERROR(VLOOKUP(G129,IMPORTRANGE(""https://docs.google.com/spreadsheets/d/12RxCea4e5ggM7QGn1XE3FbLQa_-QbCNdBi90OdPjRqg"", ""'Plan de Compras'!D4:Q""), 4, 0), """")"),"MANIQUÍ NIÑO: ALTURA 120 CM (1 UND)")</f>
        <v>MANIQUÍ NIÑO: ALTURA 120 CM (1 UND)</v>
      </c>
      <c r="AD129" s="37" t="str">
        <f>IFERROR(__xludf.DUMMYFUNCTION("IFERROR(IF(OR(C129=TRUE,C129=""""),VLOOKUP(G129,IMPORTRANGE(""https://docs.google.com/spreadsheets/d/1z9A1Wq-kKrhRNG5RS2a2fKpY1wIhSVz2ZNmP2mOl588/edit?usp=sharing"",""REQ VF!E4:H""),4,0),""NO APLICA""),""GENERAR REQ"")"),"GENERAR REQ")</f>
        <v>GENERAR REQ</v>
      </c>
      <c r="AE129" s="32" t="str">
        <f>IFERROR(__xludf.DUMMYFUNCTION("IFERROR(QUERY(IMPORTRANGE(""https://docs.google.com/spreadsheets/d/1z9A1Wq-kKrhRNG5RS2a2fKpY1wIhSVz2ZNmP2mOl588/edit?usp=sharing"",""REQ VF!E4:Q""),""SELECT Col10, Col11, Col12 WHERE Col1 = '""&amp;G129&amp;""'"",0),""NO APLICA"")"),"NO APLICA")</f>
        <v>NO APLICA</v>
      </c>
      <c r="AF129" s="32"/>
      <c r="AG129" s="32"/>
      <c r="AH129" s="13"/>
      <c r="AI129" s="13"/>
    </row>
    <row r="130">
      <c r="A130" s="43"/>
      <c r="B130" s="43"/>
      <c r="C130" s="26" t="b">
        <v>1</v>
      </c>
      <c r="D130" s="26" t="s">
        <v>95</v>
      </c>
      <c r="E130" s="26" t="s">
        <v>1510</v>
      </c>
      <c r="F130" s="59" t="s">
        <v>1943</v>
      </c>
      <c r="G130" s="39" t="s">
        <v>1963</v>
      </c>
      <c r="H130" s="66" t="s">
        <v>1964</v>
      </c>
      <c r="I130" s="43">
        <v>2.0</v>
      </c>
      <c r="J130" s="26">
        <f>IFERROR(__xludf.DUMMYFUNCTION("VLOOKUP(G130,IMPORTRANGE(""https://docs.google.com/spreadsheets/d/12RxCea4e5ggM7QGn1XE3FbLQa_-QbCNdBi90OdPjRqg/edit?gid=1692403370#gid=1692403370"", ""'Plan de Compras'!D4:2432""), 8,0)"),2.0)</f>
        <v>2</v>
      </c>
      <c r="K130" s="26" t="str">
        <f t="shared" si="1"/>
        <v>SI</v>
      </c>
      <c r="L130" s="26"/>
      <c r="M130" s="32"/>
      <c r="N130" s="32"/>
      <c r="O130" s="32" t="s">
        <v>1954</v>
      </c>
      <c r="P130" s="32" t="s">
        <v>1960</v>
      </c>
      <c r="Q130" s="33" t="s">
        <v>1961</v>
      </c>
      <c r="R130" s="32"/>
      <c r="S130" s="34" t="b">
        <v>1</v>
      </c>
      <c r="T130" s="39" t="s">
        <v>1257</v>
      </c>
      <c r="U130" s="39"/>
      <c r="V130" s="39"/>
      <c r="W130" s="39"/>
      <c r="X130" s="39"/>
      <c r="Y130" s="126" t="s">
        <v>1962</v>
      </c>
      <c r="Z130" s="37" t="str">
        <f>IFERROR(__xludf.DUMMYFUNCTION("IFERROR(VLOOKUP(G130,IMPORTRANGE(""https://docs.google.com/spreadsheets/d/12RxCea4e5ggM7QGn1XE3FbLQa_-QbCNdBi90OdPjRqg"", ""'Plan de Compras'!D4:Q""), 12, 0), ""NO ESTÁ EN REQ"")"),"Simple")</f>
        <v>Simple</v>
      </c>
      <c r="AA130" s="37" t="str">
        <f>IFERROR(__xludf.DUMMYFUNCTION("IFERROR(VLOOKUP(G130,IMPORTRANGE(""https://docs.google.com/spreadsheets/d/12RxCea4e5ggM7QGn1XE3FbLQa_-QbCNdBi90OdPjRqg"", ""'Plan de Compras'!D4:Q""), 13, 0), """")"),"INTERNACIONAL")</f>
        <v>INTERNACIONAL</v>
      </c>
      <c r="AB130" s="32" t="str">
        <f>IFERROR(__xludf.DUMMYFUNCTION("IFERROR(VLOOKUP(G130,IMPORTRANGE(""https://docs.google.com/spreadsheets/d/12RxCea4e5ggM7QGn1XE3FbLQa_-QbCNdBi90OdPjRqg"", ""'Plan de Compras'!D4:Q""), 14, 0), """")"),"DIEGO ")</f>
        <v>DIEGO </v>
      </c>
      <c r="AC130" s="72" t="str">
        <f>IFERROR(__xludf.DUMMYFUNCTION("IFERROR(VLOOKUP(G130,IMPORTRANGE(""https://docs.google.com/spreadsheets/d/12RxCea4e5ggM7QGn1XE3FbLQa_-QbCNdBi90OdPjRqg"", ""'Plan de Compras'!D4:Q""), 4, 0), """")"),"MANIQUÍ NIÑA: ALTURA 120 CM (1 UND)")</f>
        <v>MANIQUÍ NIÑA: ALTURA 120 CM (1 UND)</v>
      </c>
      <c r="AD130" s="37" t="str">
        <f>IFERROR(__xludf.DUMMYFUNCTION("IFERROR(IF(OR(C130=TRUE,C130=""""),VLOOKUP(G130,IMPORTRANGE(""https://docs.google.com/spreadsheets/d/1z9A1Wq-kKrhRNG5RS2a2fKpY1wIhSVz2ZNmP2mOl588/edit?usp=sharing"",""REQ VF!E4:H""),4,0),""NO APLICA""),""GENERAR REQ"")"),"GENERAR REQ")</f>
        <v>GENERAR REQ</v>
      </c>
      <c r="AE130" s="32" t="str">
        <f>IFERROR(__xludf.DUMMYFUNCTION("IFERROR(QUERY(IMPORTRANGE(""https://docs.google.com/spreadsheets/d/1z9A1Wq-kKrhRNG5RS2a2fKpY1wIhSVz2ZNmP2mOl588/edit?usp=sharing"",""REQ VF!E4:Q""),""SELECT Col10, Col11, Col12 WHERE Col1 = '""&amp;G130&amp;""'"",0),""NO APLICA"")"),"NO APLICA")</f>
        <v>NO APLICA</v>
      </c>
      <c r="AF130" s="32"/>
      <c r="AG130" s="32"/>
      <c r="AH130" s="13"/>
      <c r="AI130" s="13"/>
    </row>
    <row r="131">
      <c r="A131" s="121">
        <v>82.0</v>
      </c>
      <c r="B131" s="43" t="b">
        <v>1</v>
      </c>
      <c r="C131" s="26" t="b">
        <v>1</v>
      </c>
      <c r="D131" s="26" t="s">
        <v>35</v>
      </c>
      <c r="E131" s="26" t="s">
        <v>1510</v>
      </c>
      <c r="F131" s="59" t="s">
        <v>1965</v>
      </c>
      <c r="G131" s="39" t="s">
        <v>1965</v>
      </c>
      <c r="H131" s="66" t="s">
        <v>1966</v>
      </c>
      <c r="I131" s="43">
        <f>SUMIFS('Hoja 10'!$O:$O,'Hoja 10'!$F:$F,$G131)</f>
        <v>12</v>
      </c>
      <c r="J131" s="26">
        <f>IFERROR(__xludf.DUMMYFUNCTION("VLOOKUP(G131,IMPORTRANGE(""https://docs.google.com/spreadsheets/d/12RxCea4e5ggM7QGn1XE3FbLQa_-QbCNdBi90OdPjRqg/edit?gid=1692403370#gid=1692403370"", ""'Plan de Compras'!D4:2432""), 8,0)"),12.0)</f>
        <v>12</v>
      </c>
      <c r="K131" s="26" t="str">
        <f t="shared" si="1"/>
        <v>SI</v>
      </c>
      <c r="L131" s="29" t="s">
        <v>127</v>
      </c>
      <c r="M131" s="30" t="s">
        <v>105</v>
      </c>
      <c r="N131" s="32"/>
      <c r="O131" s="32" t="str">
        <f>VLOOKUP($G131,'Hoja 10'!$F$4:$AA1057, 19,0)</f>
        <v>INSTRUTEK</v>
      </c>
      <c r="P131" s="32" t="str">
        <f>VLOOKUP($G131,'Hoja 10'!$F$4:$AA1057, 20,0)</f>
        <v>M020OZ</v>
      </c>
      <c r="Q131" s="33" t="str">
        <f>VLOOKUP($G131,'Hoja 10'!$F$4:$AA1057, 21,0)</f>
        <v>https://www.amazon.com.mx/Manometro-Para-Gas-Baja-Presi%C3%B3n/dp/B0C5KPL66D</v>
      </c>
      <c r="R131" s="130" t="s">
        <v>1967</v>
      </c>
      <c r="S131" s="34" t="b">
        <v>1</v>
      </c>
      <c r="T131" s="39" t="str">
        <f>IFERROR(__xludf.DUMMYFUNCTION(" IF
( VLOOKUP($G131,IMPORTRANGE(""https://docs.google.com/spreadsheets/d/1Gpl6jkTg7sL4VDNimUm3S9Vi1i95esohXCF3wuKOE8c"", ""'CONSOLIDADO'!G5:AB""), 10, 0) &lt;&gt; 0, 
IFERROR(VLOOKUP($G131,IMPORTRANGE(""https://docs.google.com/spreadsheets/d/1Gpl6jkTg7sL4VDNimU"&amp;"m3S9Vi1i95esohXCF3wuKOE8c"", ""'CONSOLIDADO'!G5:AB""), 17, 0), ""-""),
""""
)"),"INSTRUTEK")</f>
        <v>INSTRUTEK</v>
      </c>
      <c r="U131" s="39" t="str">
        <f>IFERROR(__xludf.DUMMYFUNCTION(" IF
( VLOOKUP($G131,IMPORTRANGE(""https://docs.google.com/spreadsheets/d/1Gpl6jkTg7sL4VDNimUm3S9Vi1i95esohXCF3wuKOE8c"", ""'CONSOLIDADO'!G5:AB""), 10, 0) &lt;&gt; 0, 
IFERROR(VLOOKUP($G131,IMPORTRANGE(""https://docs.google.com/spreadsheets/d/1Gpl6jkTg7sL4VDNimU"&amp;"m3S9Vi1i95esohXCF3wuKOE8c"", ""'CONSOLIDADO'!G5:AB""), 18, 0), ""-""),
""""
)"),"M020OZ")</f>
        <v>M020OZ</v>
      </c>
      <c r="V131" s="39" t="str">
        <f>IFERROR(__xludf.DUMMYFUNCTION(" IF
( VLOOKUP($G131,IMPORTRANGE(""https://docs.google.com/spreadsheets/d/1Gpl6jkTg7sL4VDNimUm3S9Vi1i95esohXCF3wuKOE8c"", ""'CONSOLIDADO'!G5:AB""), 10, 0) &lt;&gt; 0, 
IFERROR(VLOOKUP($G131,IMPORTRANGE(""https://docs.google.com/spreadsheets/d/1Gpl6jkTg7sL4VDNimU"&amp;"m3S9Vi1i95esohXCF3wuKOE8c"", ""'CONSOLIDADO'!G5:AB""), 17, 0), ""-""),
""""
)"),"INSTRUTEK")</f>
        <v>INSTRUTEK</v>
      </c>
      <c r="W131" s="39" t="str">
        <f>IFERROR(__xludf.DUMMYFUNCTION(" IF
( VLOOKUP($G131,IMPORTRANGE(""https://docs.google.com/spreadsheets/d/1Gpl6jkTg7sL4VDNimUm3S9Vi1i95esohXCF3wuKOE8c"", ""'CONSOLIDADO'!G5:AB""), 10, 0) &lt;&gt; 0, 
IFERROR(VLOOKUP($G131,IMPORTRANGE(""https://docs.google.com/spreadsheets/d/1Gpl6jkTg7sL4VDNimU"&amp;"m3S9Vi1i95esohXCF3wuKOE8c"", ""'CONSOLIDADO'!G5:AB""), 18, 0), ""-""),
""""
)"),"M020OZ")</f>
        <v>M020OZ</v>
      </c>
      <c r="X131" s="39" t="b">
        <f t="shared" ref="X131:X132" si="14">IF(AND(T131=V131,W131=U131),TRUE,FALSE)</f>
        <v>1</v>
      </c>
      <c r="Y131" s="120" t="str">
        <f>IFERROR(__xludf.DUMMYFUNCTION(" IF
( VLOOKUP($G131,IMPORTRANGE(""https://docs.google.com/spreadsheets/d/1Gpl6jkTg7sL4VDNimUm3S9Vi1i95esohXCF3wuKOE8c"", ""'CONSOLIDADO'!G5:AB""), 10, 0) &lt;&gt; 0, 
IFERROR(VLOOKUP($G131,IMPORTRANGE(""https://docs.google.com/spreadsheets/d/1Gpl6jkTg7sL4VDNimU"&amp;"m3S9Vi1i95esohXCF3wuKOE8c"", ""'CONSOLIDADO'!G5:AB""), 19, 0), ""-""),
""""
)"),"https://www.instrutek.com.mx/products/740398536?_pos=1&amp;_psq=20+oz%2F35+inH2O&amp;_ss=e&amp;_v=1.0")</f>
        <v>https://www.instrutek.com.mx/products/740398536?_pos=1&amp;_psq=20+oz%2F35+inH2O&amp;_ss=e&amp;_v=1.0</v>
      </c>
      <c r="Z131" s="37" t="str">
        <f>IFERROR(__xludf.DUMMYFUNCTION("IFERROR(VLOOKUP(G131,IMPORTRANGE(""https://docs.google.com/spreadsheets/d/12RxCea4e5ggM7QGn1XE3FbLQa_-QbCNdBi90OdPjRqg"", ""'Plan de Compras'!D4:Q""), 12, 0), ""NO ESTÁ EN REQ"")"),"Técnica")</f>
        <v>Técnica</v>
      </c>
      <c r="AA131" s="37" t="str">
        <f>IFERROR(__xludf.DUMMYFUNCTION("IFERROR(VLOOKUP(G131,IMPORTRANGE(""https://docs.google.com/spreadsheets/d/12RxCea4e5ggM7QGn1XE3FbLQa_-QbCNdBi90OdPjRqg"", ""'Plan de Compras'!D4:Q""), 13, 0), """")"),"INTERNACIONAL")</f>
        <v>INTERNACIONAL</v>
      </c>
      <c r="AB131" s="32" t="str">
        <f>IFERROR(__xludf.DUMMYFUNCTION("IFERROR(VLOOKUP(G131,IMPORTRANGE(""https://docs.google.com/spreadsheets/d/12RxCea4e5ggM7QGn1XE3FbLQa_-QbCNdBi90OdPjRqg"", ""'Plan de Compras'!D4:Q""), 14, 0), """")"),"GIANFRANCO")</f>
        <v>GIANFRANCO</v>
      </c>
      <c r="AC131" s="72" t="str">
        <f>IFERROR(__xludf.DUMMYFUNCTION("IFERROR(VLOOKUP(G131,IMPORTRANGE(""https://docs.google.com/spreadsheets/d/12RxCea4e5ggM7QGn1XE3FbLQa_-QbCNdBi90OdPjRqg"", ""'Plan de Compras'!D4:Q""), 4, 0), """")"),"MANÓMETRO")</f>
        <v>MANÓMETRO</v>
      </c>
      <c r="AD131" s="37" t="str">
        <f>IFERROR(__xludf.DUMMYFUNCTION("IFERROR(IF(OR(C131=TRUE,C131=""""),VLOOKUP(G131,IMPORTRANGE(""https://docs.google.com/spreadsheets/d/1z9A1Wq-kKrhRNG5RS2a2fKpY1wIhSVz2ZNmP2mOl588/edit?usp=sharing"",""REQ VF!E4:H""),4,0),""NO APLICA""),""GENERAR REQ"")"),"GENERAR REQ")</f>
        <v>GENERAR REQ</v>
      </c>
      <c r="AE131" s="32" t="str">
        <f>IFERROR(__xludf.DUMMYFUNCTION("IFERROR(QUERY(IMPORTRANGE(""https://docs.google.com/spreadsheets/d/1z9A1Wq-kKrhRNG5RS2a2fKpY1wIhSVz2ZNmP2mOl588/edit?usp=sharing"",""REQ VF!E4:Q""),""SELECT Col10, Col11, Col12 WHERE Col1 = '""&amp;G131&amp;""'"",0),""NO APLICA"")"),"NO APLICA")</f>
        <v>NO APLICA</v>
      </c>
      <c r="AF131" s="32"/>
      <c r="AG131" s="32"/>
      <c r="AH131" s="13"/>
      <c r="AI131" s="13"/>
    </row>
    <row r="132">
      <c r="A132" s="121">
        <v>83.0</v>
      </c>
      <c r="B132" s="43" t="b">
        <v>1</v>
      </c>
      <c r="C132" s="26" t="b">
        <v>1</v>
      </c>
      <c r="D132" s="26" t="s">
        <v>35</v>
      </c>
      <c r="E132" s="26" t="s">
        <v>1510</v>
      </c>
      <c r="F132" s="59" t="s">
        <v>1968</v>
      </c>
      <c r="G132" s="39" t="s">
        <v>1968</v>
      </c>
      <c r="H132" s="66" t="s">
        <v>1969</v>
      </c>
      <c r="I132" s="43">
        <f>SUMIFS('Hoja 10'!$O:$O,'Hoja 10'!$F:$F,$G132)</f>
        <v>8</v>
      </c>
      <c r="J132" s="26">
        <f>IFERROR(__xludf.DUMMYFUNCTION("VLOOKUP(G132,IMPORTRANGE(""https://docs.google.com/spreadsheets/d/12RxCea4e5ggM7QGn1XE3FbLQa_-QbCNdBi90OdPjRqg/edit?gid=1692403370#gid=1692403370"", ""'Plan de Compras'!D4:2432""), 8,0)"),8.0)</f>
        <v>8</v>
      </c>
      <c r="K132" s="26" t="str">
        <f t="shared" si="1"/>
        <v>SI</v>
      </c>
      <c r="L132" s="29" t="s">
        <v>39</v>
      </c>
      <c r="M132" s="30" t="s">
        <v>40</v>
      </c>
      <c r="N132" s="32"/>
      <c r="O132" s="32" t="str">
        <f>VLOOKUP($G132,'Hoja 10'!$F$4:$AA1057, 19,0)</f>
        <v>HANNA</v>
      </c>
      <c r="P132" s="32" t="str">
        <f>VLOOKUP($G132,'Hoja 10'!$F$4:$AA1057, 20,0)</f>
        <v>HI768</v>
      </c>
      <c r="Q132" s="33" t="str">
        <f>VLOOKUP($G132,'Hoja 10'!$F$4:$AA1057, 21,0)</f>
        <v>https://hannainst.com.mx/checker-para-cloro-intervalo-ultra-alto-0-500-ppm-hi771</v>
      </c>
      <c r="R132" s="86" t="s">
        <v>1970</v>
      </c>
      <c r="S132" s="44" t="b">
        <v>1</v>
      </c>
      <c r="T132" s="39" t="str">
        <f>IFERROR(__xludf.DUMMYFUNCTION(" IF
( VLOOKUP($G132,IMPORTRANGE(""https://docs.google.com/spreadsheets/d/1Gpl6jkTg7sL4VDNimUm3S9Vi1i95esohXCF3wuKOE8c"", ""'CONSOLIDADO'!G5:AB""), 10, 0) &lt;&gt; 0, 
IFERROR(VLOOKUP($G132,IMPORTRANGE(""https://docs.google.com/spreadsheets/d/1Gpl6jkTg7sL4VDNimU"&amp;"m3S9Vi1i95esohXCF3wuKOE8c"", ""'CONSOLIDADO'!G5:AB""), 17, 0), ""-""),
""""
)"),"HANNA")</f>
        <v>HANNA</v>
      </c>
      <c r="U132" s="39" t="str">
        <f>IFERROR(__xludf.DUMMYFUNCTION(" IF
( VLOOKUP($G132,IMPORTRANGE(""https://docs.google.com/spreadsheets/d/1Gpl6jkTg7sL4VDNimUm3S9Vi1i95esohXCF3wuKOE8c"", ""'CONSOLIDADO'!G5:AB""), 10, 0) &lt;&gt; 0, 
IFERROR(VLOOKUP($G132,IMPORTRANGE(""https://docs.google.com/spreadsheets/d/1Gpl6jkTg7sL4VDNimU"&amp;"m3S9Vi1i95esohXCF3wuKOE8c"", ""'CONSOLIDADO'!G5:AB""), 18, 0), ""-""),
""""
)"),"HI771")</f>
        <v>HI771</v>
      </c>
      <c r="V132" s="39" t="str">
        <f>IFERROR(__xludf.DUMMYFUNCTION(" IF
( VLOOKUP($G132,IMPORTRANGE(""https://docs.google.com/spreadsheets/d/1Gpl6jkTg7sL4VDNimUm3S9Vi1i95esohXCF3wuKOE8c"", ""'CONSOLIDADO'!G5:AB""), 10, 0) &lt;&gt; 0, 
IFERROR(VLOOKUP($G132,IMPORTRANGE(""https://docs.google.com/spreadsheets/d/1Gpl6jkTg7sL4VDNimU"&amp;"m3S9Vi1i95esohXCF3wuKOE8c"", ""'CONSOLIDADO'!G5:AB""), 17, 0), ""-""),
""""
)"),"HANNA")</f>
        <v>HANNA</v>
      </c>
      <c r="W132" s="39" t="str">
        <f>IFERROR(__xludf.DUMMYFUNCTION(" IF
( VLOOKUP($G132,IMPORTRANGE(""https://docs.google.com/spreadsheets/d/1Gpl6jkTg7sL4VDNimUm3S9Vi1i95esohXCF3wuKOE8c"", ""'CONSOLIDADO'!G5:AB""), 10, 0) &lt;&gt; 0, 
IFERROR(VLOOKUP($G132,IMPORTRANGE(""https://docs.google.com/spreadsheets/d/1Gpl6jkTg7sL4VDNimU"&amp;"m3S9Vi1i95esohXCF3wuKOE8c"", ""'CONSOLIDADO'!G5:AB""), 18, 0), ""-""),
""""
)"),"HI771")</f>
        <v>HI771</v>
      </c>
      <c r="X132" s="39" t="b">
        <f t="shared" si="14"/>
        <v>1</v>
      </c>
      <c r="Y132" s="120" t="str">
        <f>IFERROR(__xludf.DUMMYFUNCTION(" IF
( VLOOKUP($G132,IMPORTRANGE(""https://docs.google.com/spreadsheets/d/1Gpl6jkTg7sL4VDNimUm3S9Vi1i95esohXCF3wuKOE8c"", ""'CONSOLIDADO'!G5:AB""), 10, 0) &lt;&gt; 0, 
IFERROR(VLOOKUP($G132,IMPORTRANGE(""https://docs.google.com/spreadsheets/d/1Gpl6jkTg7sL4VDNimU"&amp;"m3S9Vi1i95esohXCF3wuKOE8c"", ""'CONSOLIDADO'!G5:AB""), 19, 0), ""-""),
""""
)"),"https://hannainst.com.mx/checker-para-cloro-intervalo-ultra-alto-0-500-ppm-hi771")</f>
        <v>https://hannainst.com.mx/checker-para-cloro-intervalo-ultra-alto-0-500-ppm-hi771</v>
      </c>
      <c r="Z132" s="37" t="str">
        <f>IFERROR(__xludf.DUMMYFUNCTION("IFERROR(VLOOKUP(G132,IMPORTRANGE(""https://docs.google.com/spreadsheets/d/12RxCea4e5ggM7QGn1XE3FbLQa_-QbCNdBi90OdPjRqg"", ""'Plan de Compras'!D4:Q""), 12, 0), ""NO ESTÁ EN REQ"")"),"Técnica")</f>
        <v>Técnica</v>
      </c>
      <c r="AA132" s="37" t="str">
        <f>IFERROR(__xludf.DUMMYFUNCTION("IFERROR(VLOOKUP(G132,IMPORTRANGE(""https://docs.google.com/spreadsheets/d/12RxCea4e5ggM7QGn1XE3FbLQa_-QbCNdBi90OdPjRqg"", ""'Plan de Compras'!D4:Q""), 13, 0), """")"),"INTERNACIONAL")</f>
        <v>INTERNACIONAL</v>
      </c>
      <c r="AB132" s="32" t="str">
        <f>IFERROR(__xludf.DUMMYFUNCTION("IFERROR(VLOOKUP(G132,IMPORTRANGE(""https://docs.google.com/spreadsheets/d/12RxCea4e5ggM7QGn1XE3FbLQa_-QbCNdBi90OdPjRqg"", ""'Plan de Compras'!D4:Q""), 14, 0), """")"),"ALEJANDRA")</f>
        <v>ALEJANDRA</v>
      </c>
      <c r="AC132" s="72" t="str">
        <f>IFERROR(__xludf.DUMMYFUNCTION("IFERROR(VLOOKUP(G132,IMPORTRANGE(""https://docs.google.com/spreadsheets/d/12RxCea4e5ggM7QGn1XE3FbLQa_-QbCNdBi90OdPjRqg"", ""'Plan de Compras'!D4:Q""), 4, 0), """")"),"MEDIDOR DE CLORO RESIDUAL")</f>
        <v>MEDIDOR DE CLORO RESIDUAL</v>
      </c>
      <c r="AD132" s="37" t="str">
        <f>IFERROR(__xludf.DUMMYFUNCTION("IFERROR(IF(OR(C132=TRUE,C132=""""),VLOOKUP(G132,IMPORTRANGE(""https://docs.google.com/spreadsheets/d/1z9A1Wq-kKrhRNG5RS2a2fKpY1wIhSVz2ZNmP2mOl588/edit?usp=sharing"",""REQ VF!E4:H""),4,0),""NO APLICA""),""GENERAR REQ"")"),"GENERAR REQ")</f>
        <v>GENERAR REQ</v>
      </c>
      <c r="AE132" s="32" t="str">
        <f>IFERROR(__xludf.DUMMYFUNCTION("IFERROR(QUERY(IMPORTRANGE(""https://docs.google.com/spreadsheets/d/1z9A1Wq-kKrhRNG5RS2a2fKpY1wIhSVz2ZNmP2mOl588/edit?usp=sharing"",""REQ VF!E4:Q""),""SELECT Col10, Col11, Col12 WHERE Col1 = '""&amp;G132&amp;""'"",0),""NO APLICA"")"),"NO APLICA")</f>
        <v>NO APLICA</v>
      </c>
      <c r="AF132" s="32"/>
      <c r="AG132" s="32"/>
      <c r="AH132" s="13"/>
      <c r="AI132" s="13"/>
    </row>
    <row r="133">
      <c r="A133" s="43"/>
      <c r="B133" s="43"/>
      <c r="C133" s="26" t="b">
        <v>1</v>
      </c>
      <c r="D133" s="26" t="s">
        <v>42</v>
      </c>
      <c r="E133" s="26" t="s">
        <v>1510</v>
      </c>
      <c r="F133" s="59" t="s">
        <v>1968</v>
      </c>
      <c r="G133" s="39" t="s">
        <v>1971</v>
      </c>
      <c r="H133" s="66" t="s">
        <v>1972</v>
      </c>
      <c r="I133" s="43">
        <v>8.0</v>
      </c>
      <c r="J133" s="26">
        <f>IFERROR(__xludf.DUMMYFUNCTION("VLOOKUP(G133,IMPORTRANGE(""https://docs.google.com/spreadsheets/d/12RxCea4e5ggM7QGn1XE3FbLQa_-QbCNdBi90OdPjRqg/edit?gid=1692403370#gid=1692403370"", ""'Plan de Compras'!D4:2432""), 8,0)"),8.0)</f>
        <v>8</v>
      </c>
      <c r="K133" s="26" t="str">
        <f t="shared" si="1"/>
        <v>SI</v>
      </c>
      <c r="L133" s="29"/>
      <c r="M133" s="61"/>
      <c r="N133" s="32"/>
      <c r="O133" s="32" t="str">
        <f>VLOOKUP($G133,'Hoja 10'!$F$4:$AA1057, 19,0)</f>
        <v>#N/A</v>
      </c>
      <c r="P133" s="32" t="str">
        <f>VLOOKUP($G133,'Hoja 10'!$F$4:$AA1057, 20,0)</f>
        <v>#N/A</v>
      </c>
      <c r="Q133" s="41" t="str">
        <f>VLOOKUP($G133,'Hoja 10'!$F$4:$AA1057, 21,0)</f>
        <v>#N/A</v>
      </c>
      <c r="R133" s="32"/>
      <c r="S133" s="34" t="b">
        <v>1</v>
      </c>
      <c r="T133" s="39" t="s">
        <v>1973</v>
      </c>
      <c r="U133" s="39"/>
      <c r="V133" s="39"/>
      <c r="W133" s="39"/>
      <c r="X133" s="39"/>
      <c r="Y133" s="110"/>
      <c r="Z133" s="37" t="str">
        <f>IFERROR(__xludf.DUMMYFUNCTION("IFERROR(VLOOKUP(G133,IMPORTRANGE(""https://docs.google.com/spreadsheets/d/12RxCea4e5ggM7QGn1XE3FbLQa_-QbCNdBi90OdPjRqg"", ""'Plan de Compras'!D4:Q""), 12, 0), ""NO ESTÁ EN REQ"")"),"Técnica")</f>
        <v>Técnica</v>
      </c>
      <c r="AA133" s="37" t="str">
        <f>IFERROR(__xludf.DUMMYFUNCTION("IFERROR(VLOOKUP(G133,IMPORTRANGE(""https://docs.google.com/spreadsheets/d/12RxCea4e5ggM7QGn1XE3FbLQa_-QbCNdBi90OdPjRqg"", ""'Plan de Compras'!D4:Q""), 13, 0), """")"),"INTERNACIONAL")</f>
        <v>INTERNACIONAL</v>
      </c>
      <c r="AB133" s="32" t="str">
        <f>IFERROR(__xludf.DUMMYFUNCTION("IFERROR(VLOOKUP(G133,IMPORTRANGE(""https://docs.google.com/spreadsheets/d/12RxCea4e5ggM7QGn1XE3FbLQa_-QbCNdBi90OdPjRqg"", ""'Plan de Compras'!D4:Q""), 14, 0), """")"),"ALEJANDRA")</f>
        <v>ALEJANDRA</v>
      </c>
      <c r="AC133" s="72" t="str">
        <f>IFERROR(__xludf.DUMMYFUNCTION("IFERROR(VLOOKUP(G133,IMPORTRANGE(""https://docs.google.com/spreadsheets/d/12RxCea4e5ggM7QGn1XE3FbLQa_-QbCNdBi90OdPjRqg"", ""'Plan de Compras'!D4:Q""), 4, 0), """")"),"SET DE 25 PRUEBAS DE REACTIVOS PARA MEDIDOR DE CLORO (1 UND)")</f>
        <v>SET DE 25 PRUEBAS DE REACTIVOS PARA MEDIDOR DE CLORO (1 UND)</v>
      </c>
      <c r="AD133" s="37" t="str">
        <f>IFERROR(__xludf.DUMMYFUNCTION("IFERROR(IF(OR(C133=TRUE,C133=""""),VLOOKUP(G133,IMPORTRANGE(""https://docs.google.com/spreadsheets/d/1z9A1Wq-kKrhRNG5RS2a2fKpY1wIhSVz2ZNmP2mOl588/edit?usp=sharing"",""REQ VF!E4:H""),4,0),""NO APLICA""),""GENERAR REQ"")"),"GENERAR REQ")</f>
        <v>GENERAR REQ</v>
      </c>
      <c r="AE133" s="32" t="str">
        <f>IFERROR(__xludf.DUMMYFUNCTION("IFERROR(QUERY(IMPORTRANGE(""https://docs.google.com/spreadsheets/d/1z9A1Wq-kKrhRNG5RS2a2fKpY1wIhSVz2ZNmP2mOl588/edit?usp=sharing"",""REQ VF!E4:Q""),""SELECT Col10, Col11, Col12 WHERE Col1 = '""&amp;G133&amp;""'"",0),""NO APLICA"")"),"NO APLICA")</f>
        <v>NO APLICA</v>
      </c>
      <c r="AF133" s="32"/>
      <c r="AG133" s="32"/>
      <c r="AH133" s="13"/>
      <c r="AI133" s="13"/>
    </row>
    <row r="134">
      <c r="A134" s="121">
        <v>84.0</v>
      </c>
      <c r="B134" s="43" t="b">
        <v>1</v>
      </c>
      <c r="C134" s="26" t="b">
        <v>1</v>
      </c>
      <c r="D134" s="26" t="s">
        <v>35</v>
      </c>
      <c r="E134" s="26" t="s">
        <v>1510</v>
      </c>
      <c r="F134" s="59" t="s">
        <v>1974</v>
      </c>
      <c r="G134" s="39" t="s">
        <v>1974</v>
      </c>
      <c r="H134" s="66" t="s">
        <v>1975</v>
      </c>
      <c r="I134" s="43">
        <f>SUMIFS('Hoja 10'!$O:$O,'Hoja 10'!$F:$F,$G134)</f>
        <v>2</v>
      </c>
      <c r="J134" s="26">
        <f>IFERROR(__xludf.DUMMYFUNCTION("VLOOKUP(G134,IMPORTRANGE(""https://docs.google.com/spreadsheets/d/12RxCea4e5ggM7QGn1XE3FbLQa_-QbCNdBi90OdPjRqg/edit?gid=1692403370#gid=1692403370"", ""'Plan de Compras'!D4:2432""), 8,0)"),2.0)</f>
        <v>2</v>
      </c>
      <c r="K134" s="26" t="str">
        <f t="shared" si="1"/>
        <v>SI</v>
      </c>
      <c r="L134" s="29" t="s">
        <v>296</v>
      </c>
      <c r="M134" s="30" t="s">
        <v>297</v>
      </c>
      <c r="N134" s="32"/>
      <c r="O134" s="32" t="str">
        <f>VLOOKUP($G134,'Hoja 10'!$F$4:$AA1057, 19,0)</f>
        <v>Armotec</v>
      </c>
      <c r="P134" s="32" t="str">
        <f>VLOOKUP($G134,'Hoja 10'!$F$4:$AA1057, 20,0)</f>
        <v>AMA005</v>
      </c>
      <c r="Q134" s="33" t="str">
        <f>VLOOKUP($G134,'Hoja 10'!$F$4:$AA1057, 21,0)</f>
        <v>https://armotec.pe/products/medidor-de-humedad-de-materiales-ama005</v>
      </c>
      <c r="R134" s="86" t="s">
        <v>1976</v>
      </c>
      <c r="S134" s="44" t="b">
        <v>1</v>
      </c>
      <c r="T134" s="39" t="str">
        <f>IFERROR(__xludf.DUMMYFUNCTION(" IF
( VLOOKUP($G134,IMPORTRANGE(""https://docs.google.com/spreadsheets/d/1Gpl6jkTg7sL4VDNimUm3S9Vi1i95esohXCF3wuKOE8c"", ""'CONSOLIDADO'!G5:AB""), 10, 0) &lt;&gt; 0, 
IFERROR(VLOOKUP($G134,IMPORTRANGE(""https://docs.google.com/spreadsheets/d/1Gpl6jkTg7sL4VDNimU"&amp;"m3S9Vi1i95esohXCF3wuKOE8c"", ""'CONSOLIDADO'!G5:AB""), 17, 0), ""-""),
""""
)"),"Armotec")</f>
        <v>Armotec</v>
      </c>
      <c r="U134" s="39" t="str">
        <f>IFERROR(__xludf.DUMMYFUNCTION(" IF
( VLOOKUP($G134,IMPORTRANGE(""https://docs.google.com/spreadsheets/d/1Gpl6jkTg7sL4VDNimUm3S9Vi1i95esohXCF3wuKOE8c"", ""'CONSOLIDADO'!G5:AB""), 10, 0) &lt;&gt; 0, 
IFERROR(VLOOKUP($G134,IMPORTRANGE(""https://docs.google.com/spreadsheets/d/1Gpl6jkTg7sL4VDNimU"&amp;"m3S9Vi1i95esohXCF3wuKOE8c"", ""'CONSOLIDADO'!G5:AB""), 18, 0), ""-""),
""""
)"),"AMA005")</f>
        <v>AMA005</v>
      </c>
      <c r="V134" s="39" t="str">
        <f>IFERROR(__xludf.DUMMYFUNCTION(" IF
( VLOOKUP($G134,IMPORTRANGE(""https://docs.google.com/spreadsheets/d/1Gpl6jkTg7sL4VDNimUm3S9Vi1i95esohXCF3wuKOE8c"", ""'CONSOLIDADO'!G5:AB""), 10, 0) &lt;&gt; 0, 
IFERROR(VLOOKUP($G134,IMPORTRANGE(""https://docs.google.com/spreadsheets/d/1Gpl6jkTg7sL4VDNimU"&amp;"m3S9Vi1i95esohXCF3wuKOE8c"", ""'CONSOLIDADO'!G5:AB""), 17, 0), ""-""),
""""
)"),"Armotec")</f>
        <v>Armotec</v>
      </c>
      <c r="W134" s="39" t="str">
        <f>IFERROR(__xludf.DUMMYFUNCTION(" IF
( VLOOKUP($G134,IMPORTRANGE(""https://docs.google.com/spreadsheets/d/1Gpl6jkTg7sL4VDNimUm3S9Vi1i95esohXCF3wuKOE8c"", ""'CONSOLIDADO'!G5:AB""), 10, 0) &lt;&gt; 0, 
IFERROR(VLOOKUP($G134,IMPORTRANGE(""https://docs.google.com/spreadsheets/d/1Gpl6jkTg7sL4VDNimU"&amp;"m3S9Vi1i95esohXCF3wuKOE8c"", ""'CONSOLIDADO'!G5:AB""), 18, 0), ""-""),
""""
)"),"AMA005")</f>
        <v>AMA005</v>
      </c>
      <c r="X134" s="39" t="b">
        <f t="shared" ref="X134:X136" si="15">IF(AND(T134=V134,W134=U134),TRUE,FALSE)</f>
        <v>1</v>
      </c>
      <c r="Y134" s="120" t="str">
        <f>IFERROR(__xludf.DUMMYFUNCTION(" IF
( VLOOKUP($G134,IMPORTRANGE(""https://docs.google.com/spreadsheets/d/1Gpl6jkTg7sL4VDNimUm3S9Vi1i95esohXCF3wuKOE8c"", ""'CONSOLIDADO'!G5:AB""), 10, 0) &lt;&gt; 0, 
IFERROR(VLOOKUP($G134,IMPORTRANGE(""https://docs.google.com/spreadsheets/d/1Gpl6jkTg7sL4VDNimU"&amp;"m3S9Vi1i95esohXCF3wuKOE8c"", ""'CONSOLIDADO'!G5:AB""), 19, 0), ""-""),
""""
)"),"https://armotec.pe/products/medidor-de-humedad-de-materiales-ama005")</f>
        <v>https://armotec.pe/products/medidor-de-humedad-de-materiales-ama005</v>
      </c>
      <c r="Z134" s="37" t="str">
        <f>IFERROR(__xludf.DUMMYFUNCTION("IFERROR(VLOOKUP(G134,IMPORTRANGE(""https://docs.google.com/spreadsheets/d/12RxCea4e5ggM7QGn1XE3FbLQa_-QbCNdBi90OdPjRqg"", ""'Plan de Compras'!D4:Q""), 12, 0), ""NO ESTÁ EN REQ"")"),"Técnica")</f>
        <v>Técnica</v>
      </c>
      <c r="AA134" s="37" t="str">
        <f>IFERROR(__xludf.DUMMYFUNCTION("IFERROR(VLOOKUP(G134,IMPORTRANGE(""https://docs.google.com/spreadsheets/d/12RxCea4e5ggM7QGn1XE3FbLQa_-QbCNdBi90OdPjRqg"", ""'Plan de Compras'!D4:Q""), 13, 0), """")"),"NACIONAL")</f>
        <v>NACIONAL</v>
      </c>
      <c r="AB134" s="32" t="str">
        <f>IFERROR(__xludf.DUMMYFUNCTION("IFERROR(VLOOKUP(G134,IMPORTRANGE(""https://docs.google.com/spreadsheets/d/12RxCea4e5ggM7QGn1XE3FbLQa_-QbCNdBi90OdPjRqg"", ""'Plan de Compras'!D4:Q""), 14, 0), """")"),"GEANFRANCO")</f>
        <v>GEANFRANCO</v>
      </c>
      <c r="AC134" s="72" t="str">
        <f>IFERROR(__xludf.DUMMYFUNCTION("IFERROR(VLOOKUP(G134,IMPORTRANGE(""https://docs.google.com/spreadsheets/d/12RxCea4e5ggM7QGn1XE3FbLQa_-QbCNdBi90OdPjRqg"", ""'Plan de Compras'!D4:Q""), 4, 0), """")"),"MEDIDOR DE HUMEDAD")</f>
        <v>MEDIDOR DE HUMEDAD</v>
      </c>
      <c r="AD134" s="37" t="str">
        <f>IFERROR(__xludf.DUMMYFUNCTION("IFERROR(IF(OR(C134=TRUE,C134=""""),VLOOKUP(G134,IMPORTRANGE(""https://docs.google.com/spreadsheets/d/1z9A1Wq-kKrhRNG5RS2a2fKpY1wIhSVz2ZNmP2mOl588/edit?usp=sharing"",""REQ VF!E4:H""),4,0),""NO APLICA""),""GENERAR REQ"")"),"GENERAR REQ")</f>
        <v>GENERAR REQ</v>
      </c>
      <c r="AE134" s="32" t="str">
        <f>IFERROR(__xludf.DUMMYFUNCTION("IFERROR(QUERY(IMPORTRANGE(""https://docs.google.com/spreadsheets/d/1z9A1Wq-kKrhRNG5RS2a2fKpY1wIhSVz2ZNmP2mOl588/edit?usp=sharing"",""REQ VF!E4:Q""),""SELECT Col10, Col11, Col12 WHERE Col1 = '""&amp;G134&amp;""'"",0),""NO APLICA"")"),"NO APLICA")</f>
        <v>NO APLICA</v>
      </c>
      <c r="AF134" s="32"/>
      <c r="AG134" s="32"/>
      <c r="AH134" s="8" t="s">
        <v>52</v>
      </c>
      <c r="AI134" s="13"/>
    </row>
    <row r="135">
      <c r="A135" s="117">
        <v>85.0</v>
      </c>
      <c r="B135" s="43" t="b">
        <v>1</v>
      </c>
      <c r="C135" s="26" t="b">
        <v>1</v>
      </c>
      <c r="D135" s="26" t="s">
        <v>35</v>
      </c>
      <c r="E135" s="26" t="s">
        <v>1510</v>
      </c>
      <c r="F135" s="59" t="s">
        <v>1977</v>
      </c>
      <c r="G135" s="39" t="s">
        <v>1978</v>
      </c>
      <c r="H135" s="66" t="s">
        <v>1979</v>
      </c>
      <c r="I135" s="43">
        <f>SUMIFS('Hoja 10'!$O:$O,'Hoja 10'!$F:$F,$G135)</f>
        <v>2</v>
      </c>
      <c r="J135" s="26">
        <f>IFERROR(__xludf.DUMMYFUNCTION("VLOOKUP(G135,IMPORTRANGE(""https://docs.google.com/spreadsheets/d/12RxCea4e5ggM7QGn1XE3FbLQa_-QbCNdBi90OdPjRqg/edit?gid=1692403370#gid=1692403370"", ""'Plan de Compras'!D4:2432""), 8,0)"),2.0)</f>
        <v>2</v>
      </c>
      <c r="K135" s="26" t="str">
        <f t="shared" si="1"/>
        <v>SI</v>
      </c>
      <c r="L135" s="29" t="s">
        <v>91</v>
      </c>
      <c r="M135" s="30" t="s">
        <v>92</v>
      </c>
      <c r="N135" s="32"/>
      <c r="O135" s="32" t="str">
        <f>VLOOKUP($G135,'Hoja 10'!$F$4:$AA1057, 19,0)</f>
        <v>MITUTOYO</v>
      </c>
      <c r="P135" s="32" t="str">
        <f>VLOOKUP($G135,'Hoja 10'!$F$4:$AA1057, 20,0)</f>
        <v>293-240-30</v>
      </c>
      <c r="Q135" s="33" t="str">
        <f>VLOOKUP($G135,'Hoja 10'!$F$4:$AA1057, 21,0)</f>
        <v>https://www.alibaba.com/product-detail/Original-Mitutoyo-Made-in-Japan-293_1601109926966.html?spm=a2700.galleryofferlist.normal_offer.d_image.1b3c13a0XUKVC0&amp;priceId=a68b0a977d72496eab70d27dc1ca2551</v>
      </c>
      <c r="R135" s="86" t="s">
        <v>1980</v>
      </c>
      <c r="S135" s="44" t="b">
        <v>1</v>
      </c>
      <c r="T135" s="39" t="str">
        <f>IFERROR(__xludf.DUMMYFUNCTION(" IF
( VLOOKUP($G135,IMPORTRANGE(""https://docs.google.com/spreadsheets/d/1Gpl6jkTg7sL4VDNimUm3S9Vi1i95esohXCF3wuKOE8c"", ""'CONSOLIDADO'!G5:AB""), 10, 0) &lt;&gt; 0, 
IFERROR(VLOOKUP($G135,IMPORTRANGE(""https://docs.google.com/spreadsheets/d/1Gpl6jkTg7sL4VDNimU"&amp;"m3S9Vi1i95esohXCF3wuKOE8c"", ""'CONSOLIDADO'!G5:AB""), 17, 0), ""-""),
""""
)"),"MITUTOYO")</f>
        <v>MITUTOYO</v>
      </c>
      <c r="U135" s="39" t="str">
        <f>IFERROR(__xludf.DUMMYFUNCTION(" IF
( VLOOKUP($G135,IMPORTRANGE(""https://docs.google.com/spreadsheets/d/1Gpl6jkTg7sL4VDNimUm3S9Vi1i95esohXCF3wuKOE8c"", ""'CONSOLIDADO'!G5:AB""), 10, 0) &lt;&gt; 0, 
IFERROR(VLOOKUP($G135,IMPORTRANGE(""https://docs.google.com/spreadsheets/d/1Gpl6jkTg7sL4VDNimU"&amp;"m3S9Vi1i95esohXCF3wuKOE8c"", ""'CONSOLIDADO'!G5:AB""), 18, 0), ""-""),
""""
)"),"MDC-25PX")</f>
        <v>MDC-25PX</v>
      </c>
      <c r="V135" s="39" t="str">
        <f>IFERROR(__xludf.DUMMYFUNCTION(" IF
( VLOOKUP($G135,IMPORTRANGE(""https://docs.google.com/spreadsheets/d/1Gpl6jkTg7sL4VDNimUm3S9Vi1i95esohXCF3wuKOE8c"", ""'CONSOLIDADO'!G5:AB""), 10, 0) &lt;&gt; 0, 
IFERROR(VLOOKUP($G135,IMPORTRANGE(""https://docs.google.com/spreadsheets/d/1Gpl6jkTg7sL4VDNimU"&amp;"m3S9Vi1i95esohXCF3wuKOE8c"", ""'CONSOLIDADO'!G5:AB""), 17, 0), ""-""),
""""
)"),"MITUTOYO")</f>
        <v>MITUTOYO</v>
      </c>
      <c r="W135" s="39" t="str">
        <f>IFERROR(__xludf.DUMMYFUNCTION(" IF
( VLOOKUP($G135,IMPORTRANGE(""https://docs.google.com/spreadsheets/d/1Gpl6jkTg7sL4VDNimUm3S9Vi1i95esohXCF3wuKOE8c"", ""'CONSOLIDADO'!G5:AB""), 10, 0) &lt;&gt; 0, 
IFERROR(VLOOKUP($G135,IMPORTRANGE(""https://docs.google.com/spreadsheets/d/1Gpl6jkTg7sL4VDNimU"&amp;"m3S9Vi1i95esohXCF3wuKOE8c"", ""'CONSOLIDADO'!G5:AB""), 18, 0), ""-""),
""""
)"),"MDC-25PX")</f>
        <v>MDC-25PX</v>
      </c>
      <c r="X135" s="39" t="b">
        <f t="shared" si="15"/>
        <v>1</v>
      </c>
      <c r="Y135" s="120" t="str">
        <f>IFERROR(__xludf.DUMMYFUNCTION(" IF
( VLOOKUP($G135,IMPORTRANGE(""https://docs.google.com/spreadsheets/d/1Gpl6jkTg7sL4VDNimUm3S9Vi1i95esohXCF3wuKOE8c"", ""'CONSOLIDADO'!G5:AB""), 10, 0) &lt;&gt; 0, 
IFERROR(VLOOKUP($G135,IMPORTRANGE(""https://docs.google.com/spreadsheets/d/1Gpl6jkTg7sL4VDNimU"&amp;"m3S9Vi1i95esohXCF3wuKOE8c"", ""'CONSOLIDADO'!G5:AB""), 19, 0), ""-""),
""""
)"),"https://www.alibaba.com/product-detail/Original-Mitutoyo-Made-in-Japan-293_1601109926966.html?spm=a2700.galleryofferlist.normal_offer.d_image.1b3c13a0XUKVC0&amp;priceId=a68b0a977d72496eab70d27dc1ca2551")</f>
        <v>https://www.alibaba.com/product-detail/Original-Mitutoyo-Made-in-Japan-293_1601109926966.html?spm=a2700.galleryofferlist.normal_offer.d_image.1b3c13a0XUKVC0&amp;priceId=a68b0a977d72496eab70d27dc1ca2551</v>
      </c>
      <c r="Z135" s="37" t="str">
        <f>IFERROR(__xludf.DUMMYFUNCTION("IFERROR(VLOOKUP(G135,IMPORTRANGE(""https://docs.google.com/spreadsheets/d/12RxCea4e5ggM7QGn1XE3FbLQa_-QbCNdBi90OdPjRqg"", ""'Plan de Compras'!D4:Q""), 12, 0), ""NO ESTÁ EN REQ"")"),"Técnica")</f>
        <v>Técnica</v>
      </c>
      <c r="AA135" s="37" t="str">
        <f>IFERROR(__xludf.DUMMYFUNCTION("IFERROR(VLOOKUP(G135,IMPORTRANGE(""https://docs.google.com/spreadsheets/d/12RxCea4e5ggM7QGn1XE3FbLQa_-QbCNdBi90OdPjRqg"", ""'Plan de Compras'!D4:Q""), 13, 0), """")"),"NACIONAL")</f>
        <v>NACIONAL</v>
      </c>
      <c r="AB135" s="32" t="str">
        <f>IFERROR(__xludf.DUMMYFUNCTION("IFERROR(VLOOKUP(G135,IMPORTRANGE(""https://docs.google.com/spreadsheets/d/12RxCea4e5ggM7QGn1XE3FbLQa_-QbCNdBi90OdPjRqg"", ""'Plan de Compras'!D4:Q""), 14, 0), """")"),"JESSICA")</f>
        <v>JESSICA</v>
      </c>
      <c r="AC135" s="72" t="str">
        <f>IFERROR(__xludf.DUMMYFUNCTION("IFERROR(VLOOKUP(G135,IMPORTRANGE(""https://docs.google.com/spreadsheets/d/12RxCea4e5ggM7QGn1XE3FbLQa_-QbCNdBi90OdPjRqg"", ""'Plan de Compras'!D4:Q""), 4, 0), """")"),"MICRÓMETRO DIGITAL")</f>
        <v>MICRÓMETRO DIGITAL</v>
      </c>
      <c r="AD135" s="37" t="str">
        <f>IFERROR(__xludf.DUMMYFUNCTION("IFERROR(IF(OR(C135=TRUE,C135=""""),VLOOKUP(G135,IMPORTRANGE(""https://docs.google.com/spreadsheets/d/1z9A1Wq-kKrhRNG5RS2a2fKpY1wIhSVz2ZNmP2mOl588/edit?usp=sharing"",""REQ VF!E4:H""),4,0),""NO APLICA""),""GENERAR REQ"")"),"GENERAR REQ")</f>
        <v>GENERAR REQ</v>
      </c>
      <c r="AE135" s="32" t="str">
        <f>IFERROR(__xludf.DUMMYFUNCTION("IFERROR(QUERY(IMPORTRANGE(""https://docs.google.com/spreadsheets/d/1z9A1Wq-kKrhRNG5RS2a2fKpY1wIhSVz2ZNmP2mOl588/edit?usp=sharing"",""REQ VF!E4:Q""),""SELECT Col10, Col11, Col12 WHERE Col1 = '""&amp;G135&amp;""'"",0),""NO APLICA"")"),"NO APLICA")</f>
        <v>NO APLICA</v>
      </c>
      <c r="AF135" s="32"/>
      <c r="AG135" s="32"/>
      <c r="AH135" s="13"/>
      <c r="AI135" s="13"/>
    </row>
    <row r="136">
      <c r="A136" s="117">
        <v>86.0</v>
      </c>
      <c r="B136" s="43" t="b">
        <v>1</v>
      </c>
      <c r="C136" s="26" t="b">
        <v>1</v>
      </c>
      <c r="D136" s="26" t="s">
        <v>35</v>
      </c>
      <c r="E136" s="26" t="s">
        <v>1510</v>
      </c>
      <c r="F136" s="59" t="s">
        <v>1977</v>
      </c>
      <c r="G136" s="39" t="s">
        <v>1981</v>
      </c>
      <c r="H136" s="66" t="s">
        <v>1979</v>
      </c>
      <c r="I136" s="43">
        <f>SUMIFS('Hoja 10'!$O:$O,'Hoja 10'!$F:$F,$G136)</f>
        <v>12</v>
      </c>
      <c r="J136" s="26">
        <f>IFERROR(__xludf.DUMMYFUNCTION("VLOOKUP(G136,IMPORTRANGE(""https://docs.google.com/spreadsheets/d/12RxCea4e5ggM7QGn1XE3FbLQa_-QbCNdBi90OdPjRqg/edit?gid=1692403370#gid=1692403370"", ""'Plan de Compras'!D4:2432""), 8,0)"),12.0)</f>
        <v>12</v>
      </c>
      <c r="K136" s="26" t="str">
        <f t="shared" si="1"/>
        <v>SI</v>
      </c>
      <c r="L136" s="29" t="s">
        <v>127</v>
      </c>
      <c r="M136" s="30" t="s">
        <v>105</v>
      </c>
      <c r="N136" s="32"/>
      <c r="O136" s="32" t="str">
        <f>VLOOKUP($G136,'Hoja 10'!$F$4:$AA1057, 19,0)</f>
        <v>RS PRO</v>
      </c>
      <c r="P136" s="32" t="str">
        <f>VLOOKUP($G136,'Hoja 10'!$F$4:$AA1057, 20,0)</f>
        <v>877-1791</v>
      </c>
      <c r="Q136" s="33" t="str">
        <f>VLOOKUP($G136,'Hoja 10'!$F$4:$AA1057, 21,0)</f>
        <v>https://es.rs-online.com/web/p/micrometros/8771791</v>
      </c>
      <c r="R136" s="86" t="s">
        <v>1982</v>
      </c>
      <c r="S136" s="34" t="b">
        <v>1</v>
      </c>
      <c r="T136" s="39" t="str">
        <f>IFERROR(__xludf.DUMMYFUNCTION(" IF
( VLOOKUP($G136,IMPORTRANGE(""https://docs.google.com/spreadsheets/d/1Gpl6jkTg7sL4VDNimUm3S9Vi1i95esohXCF3wuKOE8c"", ""'CONSOLIDADO'!G5:AB""), 10, 0) &lt;&gt; 0, 
IFERROR(VLOOKUP($G136,IMPORTRANGE(""https://docs.google.com/spreadsheets/d/1Gpl6jkTg7sL4VDNimU"&amp;"m3S9Vi1i95esohXCF3wuKOE8c"", ""'CONSOLIDADO'!G5:AB""), 17, 0), ""-""),
""""
)"),"RS-PRO")</f>
        <v>RS-PRO</v>
      </c>
      <c r="U136" s="39" t="str">
        <f>IFERROR(__xludf.DUMMYFUNCTION(" IF
( VLOOKUP($G136,IMPORTRANGE(""https://docs.google.com/spreadsheets/d/1Gpl6jkTg7sL4VDNimUm3S9Vi1i95esohXCF3wuKOE8c"", ""'CONSOLIDADO'!G5:AB""), 10, 0) &lt;&gt; 0, 
IFERROR(VLOOKUP($G136,IMPORTRANGE(""https://docs.google.com/spreadsheets/d/1Gpl6jkTg7sL4VDNimU"&amp;"m3S9Vi1i95esohXCF3wuKOE8c"", ""'CONSOLIDADO'!G5:AB""), 18, 0), ""-""),
""""
)"),"877-1791")</f>
        <v>877-1791</v>
      </c>
      <c r="V136" s="39" t="str">
        <f>IFERROR(__xludf.DUMMYFUNCTION(" IF
( VLOOKUP($G136,IMPORTRANGE(""https://docs.google.com/spreadsheets/d/1Gpl6jkTg7sL4VDNimUm3S9Vi1i95esohXCF3wuKOE8c"", ""'CONSOLIDADO'!G5:AB""), 10, 0) &lt;&gt; 0, 
IFERROR(VLOOKUP($G136,IMPORTRANGE(""https://docs.google.com/spreadsheets/d/1Gpl6jkTg7sL4VDNimU"&amp;"m3S9Vi1i95esohXCF3wuKOE8c"", ""'CONSOLIDADO'!G5:AB""), 17, 0), ""-""),
""""
)"),"RS-PRO")</f>
        <v>RS-PRO</v>
      </c>
      <c r="W136" s="39" t="str">
        <f>IFERROR(__xludf.DUMMYFUNCTION(" IF
( VLOOKUP($G136,IMPORTRANGE(""https://docs.google.com/spreadsheets/d/1Gpl6jkTg7sL4VDNimUm3S9Vi1i95esohXCF3wuKOE8c"", ""'CONSOLIDADO'!G5:AB""), 10, 0) &lt;&gt; 0, 
IFERROR(VLOOKUP($G136,IMPORTRANGE(""https://docs.google.com/spreadsheets/d/1Gpl6jkTg7sL4VDNimU"&amp;"m3S9Vi1i95esohXCF3wuKOE8c"", ""'CONSOLIDADO'!G5:AB""), 18, 0), ""-""),
""""
)"),"877-1791")</f>
        <v>877-1791</v>
      </c>
      <c r="X136" s="39" t="b">
        <f t="shared" si="15"/>
        <v>1</v>
      </c>
      <c r="Y136" s="120" t="str">
        <f>IFERROR(__xludf.DUMMYFUNCTION(" IF
( VLOOKUP($G136,IMPORTRANGE(""https://docs.google.com/spreadsheets/d/1Gpl6jkTg7sL4VDNimUm3S9Vi1i95esohXCF3wuKOE8c"", ""'CONSOLIDADO'!G5:AB""), 10, 0) &lt;&gt; 0, 
IFERROR(VLOOKUP($G136,IMPORTRANGE(""https://docs.google.com/spreadsheets/d/1Gpl6jkTg7sL4VDNimU"&amp;"m3S9Vi1i95esohXCF3wuKOE8c"", ""'CONSOLIDADO'!G5:AB""), 19, 0), ""-""),
""""
)"),"https://es.rs-online.com/web/p/micrometros/8771791")</f>
        <v>https://es.rs-online.com/web/p/micrometros/8771791</v>
      </c>
      <c r="Z136" s="37" t="str">
        <f>IFERROR(__xludf.DUMMYFUNCTION("IFERROR(VLOOKUP(G136,IMPORTRANGE(""https://docs.google.com/spreadsheets/d/12RxCea4e5ggM7QGn1XE3FbLQa_-QbCNdBi90OdPjRqg"", ""'Plan de Compras'!D4:Q""), 12, 0), ""NO ESTÁ EN REQ"")"),"Técnica")</f>
        <v>Técnica</v>
      </c>
      <c r="AA136" s="37" t="str">
        <f>IFERROR(__xludf.DUMMYFUNCTION("IFERROR(VLOOKUP(G136,IMPORTRANGE(""https://docs.google.com/spreadsheets/d/12RxCea4e5ggM7QGn1XE3FbLQa_-QbCNdBi90OdPjRqg"", ""'Plan de Compras'!D4:Q""), 13, 0), """")"),"NACIONAL")</f>
        <v>NACIONAL</v>
      </c>
      <c r="AB136" s="32" t="str">
        <f>IFERROR(__xludf.DUMMYFUNCTION("IFERROR(VLOOKUP(G136,IMPORTRANGE(""https://docs.google.com/spreadsheets/d/12RxCea4e5ggM7QGn1XE3FbLQa_-QbCNdBi90OdPjRqg"", ""'Plan de Compras'!D4:Q""), 14, 0), """")"),"JESSICA")</f>
        <v>JESSICA</v>
      </c>
      <c r="AC136" s="72" t="str">
        <f>IFERROR(__xludf.DUMMYFUNCTION("IFERROR(VLOOKUP(G136,IMPORTRANGE(""https://docs.google.com/spreadsheets/d/12RxCea4e5ggM7QGn1XE3FbLQa_-QbCNdBi90OdPjRqg"", ""'Plan de Compras'!D4:Q""), 4, 0), """")"),"MICRÓMETRO DIGITAL")</f>
        <v>MICRÓMETRO DIGITAL</v>
      </c>
      <c r="AD136" s="37" t="str">
        <f>IFERROR(__xludf.DUMMYFUNCTION("IFERROR(IF(OR(C136=TRUE,C136=""""),VLOOKUP(G136,IMPORTRANGE(""https://docs.google.com/spreadsheets/d/1z9A1Wq-kKrhRNG5RS2a2fKpY1wIhSVz2ZNmP2mOl588/edit?usp=sharing"",""REQ VF!E4:H""),4,0),""NO APLICA""),""GENERAR REQ"")"),"GENERAR REQ")</f>
        <v>GENERAR REQ</v>
      </c>
      <c r="AE136" s="32" t="str">
        <f>IFERROR(__xludf.DUMMYFUNCTION("IFERROR(QUERY(IMPORTRANGE(""https://docs.google.com/spreadsheets/d/1z9A1Wq-kKrhRNG5RS2a2fKpY1wIhSVz2ZNmP2mOl588/edit?usp=sharing"",""REQ VF!E4:Q""),""SELECT Col10, Col11, Col12 WHERE Col1 = '""&amp;G136&amp;""'"",0),""NO APLICA"")"),"NO APLICA")</f>
        <v>NO APLICA</v>
      </c>
      <c r="AF136" s="32"/>
      <c r="AG136" s="32"/>
      <c r="AH136" s="13"/>
      <c r="AI136" s="13"/>
    </row>
    <row r="137">
      <c r="A137" s="43"/>
      <c r="B137" s="43"/>
      <c r="C137" s="26" t="b">
        <v>1</v>
      </c>
      <c r="D137" s="26" t="s">
        <v>42</v>
      </c>
      <c r="E137" s="43" t="s">
        <v>1510</v>
      </c>
      <c r="F137" s="39" t="s">
        <v>1977</v>
      </c>
      <c r="G137" s="39" t="s">
        <v>1983</v>
      </c>
      <c r="H137" s="66" t="s">
        <v>1984</v>
      </c>
      <c r="I137" s="43">
        <f>1*I136</f>
        <v>12</v>
      </c>
      <c r="J137" s="26">
        <f>IFERROR(__xludf.DUMMYFUNCTION("VLOOKUP(G137,IMPORTRANGE(""https://docs.google.com/spreadsheets/d/12RxCea4e5ggM7QGn1XE3FbLQa_-QbCNdBi90OdPjRqg/edit?gid=1692403370#gid=1692403370"", ""'Plan de Compras'!D4:2432""), 8,0)"),12.0)</f>
        <v>12</v>
      </c>
      <c r="K137" s="26" t="str">
        <f t="shared" si="1"/>
        <v>SI</v>
      </c>
      <c r="L137" s="29"/>
      <c r="M137" s="61"/>
      <c r="N137" s="32"/>
      <c r="O137" s="32"/>
      <c r="P137" s="32"/>
      <c r="Q137" s="41"/>
      <c r="R137" s="32"/>
      <c r="S137" s="34" t="b">
        <v>0</v>
      </c>
      <c r="T137" s="39"/>
      <c r="U137" s="39"/>
      <c r="V137" s="39"/>
      <c r="W137" s="39"/>
      <c r="X137" s="39"/>
      <c r="Y137" s="110"/>
      <c r="Z137" s="37" t="str">
        <f>IFERROR(__xludf.DUMMYFUNCTION("IFERROR(VLOOKUP(G137,IMPORTRANGE(""https://docs.google.com/spreadsheets/d/12RxCea4e5ggM7QGn1XE3FbLQa_-QbCNdBi90OdPjRqg"", ""'Plan de Compras'!D4:Q""), 12, 0), ""NO ESTÁ EN REQ"")"),"Técnica")</f>
        <v>Técnica</v>
      </c>
      <c r="AA137" s="37" t="str">
        <f>IFERROR(__xludf.DUMMYFUNCTION("IFERROR(VLOOKUP(G137,IMPORTRANGE(""https://docs.google.com/spreadsheets/d/12RxCea4e5ggM7QGn1XE3FbLQa_-QbCNdBi90OdPjRqg"", ""'Plan de Compras'!D4:Q""), 13, 0), """")"),"NACIONAL")</f>
        <v>NACIONAL</v>
      </c>
      <c r="AB137" s="32" t="str">
        <f>IFERROR(__xludf.DUMMYFUNCTION("IFERROR(VLOOKUP(G137,IMPORTRANGE(""https://docs.google.com/spreadsheets/d/12RxCea4e5ggM7QGn1XE3FbLQa_-QbCNdBi90OdPjRqg"", ""'Plan de Compras'!D4:Q""), 14, 0), """")"),"ALFIO")</f>
        <v>ALFIO</v>
      </c>
      <c r="AC137" s="72" t="str">
        <f>IFERROR(__xludf.DUMMYFUNCTION("IFERROR(VLOOKUP(G137,IMPORTRANGE(""https://docs.google.com/spreadsheets/d/12RxCea4e5ggM7QGn1XE3FbLQa_-QbCNdBi90OdPjRqg"", ""'Plan de Compras'!D4:Q""), 4, 0), """")"),"CERTIFICADO DE CALIBRACIÓN (1 UND)")</f>
        <v>CERTIFICADO DE CALIBRACIÓN (1 UND)</v>
      </c>
      <c r="AD137" s="37" t="str">
        <f>IFERROR(__xludf.DUMMYFUNCTION("IFERROR(IF(OR(C137=TRUE,C137=""""),VLOOKUP(G137,IMPORTRANGE(""https://docs.google.com/spreadsheets/d/1z9A1Wq-kKrhRNG5RS2a2fKpY1wIhSVz2ZNmP2mOl588/edit?usp=sharing"",""REQ VF!E4:H""),4,0),""NO APLICA""),""GENERAR REQ"")"),"GENERAR REQ")</f>
        <v>GENERAR REQ</v>
      </c>
      <c r="AE137" s="32" t="str">
        <f>IFERROR(__xludf.DUMMYFUNCTION("IFERROR(QUERY(IMPORTRANGE(""https://docs.google.com/spreadsheets/d/1z9A1Wq-kKrhRNG5RS2a2fKpY1wIhSVz2ZNmP2mOl588/edit?usp=sharing"",""REQ VF!E4:Q""),""SELECT Col10, Col11, Col12 WHERE Col1 = '""&amp;G137&amp;""'"",0),""NO APLICA"")"),"NO APLICA")</f>
        <v>NO APLICA</v>
      </c>
      <c r="AF137" s="32"/>
      <c r="AG137" s="32"/>
      <c r="AH137" s="13"/>
      <c r="AI137" s="13"/>
    </row>
    <row r="138">
      <c r="A138" s="121">
        <v>87.0</v>
      </c>
      <c r="B138" s="43" t="b">
        <v>1</v>
      </c>
      <c r="C138" s="26" t="b">
        <v>1</v>
      </c>
      <c r="D138" s="26" t="s">
        <v>35</v>
      </c>
      <c r="E138" s="26" t="s">
        <v>1510</v>
      </c>
      <c r="F138" s="131" t="s">
        <v>1985</v>
      </c>
      <c r="G138" s="39" t="s">
        <v>1986</v>
      </c>
      <c r="H138" s="66" t="s">
        <v>1987</v>
      </c>
      <c r="I138" s="43">
        <f>SUMIFS('Hoja 10'!$O:$O,'Hoja 10'!$F:$F,$G138)</f>
        <v>16</v>
      </c>
      <c r="J138" s="26">
        <f>IFERROR(__xludf.DUMMYFUNCTION("VLOOKUP(G138,IMPORTRANGE(""https://docs.google.com/spreadsheets/d/12RxCea4e5ggM7QGn1XE3FbLQa_-QbCNdBi90OdPjRqg/edit?gid=1692403370#gid=1692403370"", ""'Plan de Compras'!D4:2432""), 8,0)"),16.0)</f>
        <v>16</v>
      </c>
      <c r="K138" s="26" t="str">
        <f t="shared" si="1"/>
        <v>SI</v>
      </c>
      <c r="L138" s="29" t="s">
        <v>39</v>
      </c>
      <c r="M138" s="30" t="s">
        <v>40</v>
      </c>
      <c r="N138" s="32"/>
      <c r="O138" s="32" t="str">
        <f>VLOOKUP($G138,'Hoja 10'!$F$4:$AA1057, 19,0)</f>
        <v>Genérico</v>
      </c>
      <c r="P138" s="32" t="str">
        <f>VLOOKUP($G138,'Hoja 10'!$F$4:$AA1057, 20,0)</f>
        <v>SET DE 3 MOLDES DE KEKE CON TUBO </v>
      </c>
      <c r="Q138" s="33" t="str">
        <f>VLOOKUP($G138,'Hoja 10'!$F$4:$AA1057, 21,0)</f>
        <v>https://simple.ripley.com.pe/set-de-3-moldes-de-keke-con-tubo-del-22-al-26-para-reposteria-pmp20001050540?color_80=aluminio&amp;s=mdco</v>
      </c>
      <c r="R138" s="86" t="s">
        <v>1988</v>
      </c>
      <c r="S138" s="44" t="b">
        <v>1</v>
      </c>
      <c r="T138" s="39" t="str">
        <f>IFERROR(__xludf.DUMMYFUNCTION(" IF
( VLOOKUP($G138,IMPORTRANGE(""https://docs.google.com/spreadsheets/d/1Gpl6jkTg7sL4VDNimUm3S9Vi1i95esohXCF3wuKOE8c"", ""'CONSOLIDADO'!G5:AB""), 10, 0) &lt;&gt; 0, 
IFERROR(VLOOKUP($G138,IMPORTRANGE(""https://docs.google.com/spreadsheets/d/1Gpl6jkTg7sL4VDNimU"&amp;"m3S9Vi1i95esohXCF3wuKOE8c"", ""'CONSOLIDADO'!G5:AB""), 17, 0), ""-""),
""""
)"),"ALESSA REPOSTERIA S.A.C.")</f>
        <v>ALESSA REPOSTERIA S.A.C.</v>
      </c>
      <c r="U138" s="39" t="str">
        <f>IFERROR(__xludf.DUMMYFUNCTION(" IF
( VLOOKUP($G138,IMPORTRANGE(""https://docs.google.com/spreadsheets/d/1Gpl6jkTg7sL4VDNimUm3S9Vi1i95esohXCF3wuKOE8c"", ""'CONSOLIDADO'!G5:AB""), 10, 0) &lt;&gt; 0, 
IFERROR(VLOOKUP($G138,IMPORTRANGE(""https://docs.google.com/spreadsheets/d/1Gpl6jkTg7sL4VDNimU"&amp;"m3S9Vi1i95esohXCF3wuKOE8c"", ""'CONSOLIDADO'!G5:AB""), 18, 0), ""-""),
""""
)"),"SET DE 3 KEKERAS CON TUBO # 22, 24 , 26")</f>
        <v>SET DE 3 KEKERAS CON TUBO # 22, 24 , 26</v>
      </c>
      <c r="V138" s="39" t="str">
        <f>IFERROR(__xludf.DUMMYFUNCTION(" IF
( VLOOKUP($G138,IMPORTRANGE(""https://docs.google.com/spreadsheets/d/1Gpl6jkTg7sL4VDNimUm3S9Vi1i95esohXCF3wuKOE8c"", ""'CONSOLIDADO'!G5:AB""), 10, 0) &lt;&gt; 0, 
IFERROR(VLOOKUP($G138,IMPORTRANGE(""https://docs.google.com/spreadsheets/d/1Gpl6jkTg7sL4VDNimU"&amp;"m3S9Vi1i95esohXCF3wuKOE8c"", ""'CONSOLIDADO'!G5:AB""), 17, 0), ""-""),
""""
)"),"ALESSA REPOSTERIA S.A.C.")</f>
        <v>ALESSA REPOSTERIA S.A.C.</v>
      </c>
      <c r="W138" s="39" t="str">
        <f>IFERROR(__xludf.DUMMYFUNCTION(" IF
( VLOOKUP($G138,IMPORTRANGE(""https://docs.google.com/spreadsheets/d/1Gpl6jkTg7sL4VDNimUm3S9Vi1i95esohXCF3wuKOE8c"", ""'CONSOLIDADO'!G5:AB""), 10, 0) &lt;&gt; 0, 
IFERROR(VLOOKUP($G138,IMPORTRANGE(""https://docs.google.com/spreadsheets/d/1Gpl6jkTg7sL4VDNimU"&amp;"m3S9Vi1i95esohXCF3wuKOE8c"", ""'CONSOLIDADO'!G5:AB""), 18, 0), ""-""),
""""
)"),"SET DE 3 KEKERAS CON TUBO # 22, 24 , 26")</f>
        <v>SET DE 3 KEKERAS CON TUBO # 22, 24 , 26</v>
      </c>
      <c r="X138" s="39" t="b">
        <f t="shared" ref="X138:X142" si="16">IF(AND(T138=V138,W138=U138),TRUE,FALSE)</f>
        <v>1</v>
      </c>
      <c r="Y138" s="120" t="str">
        <f>IFERROR(__xludf.DUMMYFUNCTION(" IF
( VLOOKUP($G138,IMPORTRANGE(""https://docs.google.com/spreadsheets/d/1Gpl6jkTg7sL4VDNimUm3S9Vi1i95esohXCF3wuKOE8c"", ""'CONSOLIDADO'!G5:AB""), 10, 0) &lt;&gt; 0, 
IFERROR(VLOOKUP($G138,IMPORTRANGE(""https://docs.google.com/spreadsheets/d/1Gpl6jkTg7sL4VDNimU"&amp;"m3S9Vi1i95esohXCF3wuKOE8c"", ""'CONSOLIDADO'!G5:AB""), 19, 0), ""-""),
""""
)"),"https://simple.ripley.com.pe/set-de-3-moldes-de-keke-con-tubo-del-22-al-26-para-reposteria-pmp20001050540?color_80=aluminio&amp;s=mdco ")</f>
        <v>https://simple.ripley.com.pe/set-de-3-moldes-de-keke-con-tubo-del-22-al-26-para-reposteria-pmp20001050540?color_80=aluminio&amp;s=mdco </v>
      </c>
      <c r="Z138" s="37" t="str">
        <f>IFERROR(__xludf.DUMMYFUNCTION("IFERROR(VLOOKUP(G138,IMPORTRANGE(""https://docs.google.com/spreadsheets/d/12RxCea4e5ggM7QGn1XE3FbLQa_-QbCNdBi90OdPjRqg"", ""'Plan de Compras'!D4:Q""), 12, 0), ""NO ESTÁ EN REQ"")"),"Simple")</f>
        <v>Simple</v>
      </c>
      <c r="AA138" s="37" t="str">
        <f>IFERROR(__xludf.DUMMYFUNCTION("IFERROR(VLOOKUP(G138,IMPORTRANGE(""https://docs.google.com/spreadsheets/d/12RxCea4e5ggM7QGn1XE3FbLQa_-QbCNdBi90OdPjRqg"", ""'Plan de Compras'!D4:Q""), 13, 0), """")"),"NACIONAL")</f>
        <v>NACIONAL</v>
      </c>
      <c r="AB138" s="32" t="str">
        <f>IFERROR(__xludf.DUMMYFUNCTION("IFERROR(VLOOKUP(G138,IMPORTRANGE(""https://docs.google.com/spreadsheets/d/12RxCea4e5ggM7QGn1XE3FbLQa_-QbCNdBi90OdPjRqg"", ""'Plan de Compras'!D4:Q""), 14, 0), """")"),"JESSICA")</f>
        <v>JESSICA</v>
      </c>
      <c r="AC138" s="72" t="str">
        <f>IFERROR(__xludf.DUMMYFUNCTION("IFERROR(VLOOKUP(G138,IMPORTRANGE(""https://docs.google.com/spreadsheets/d/12RxCea4e5ggM7QGn1XE3FbLQa_-QbCNdBi90OdPjRqg"", ""'Plan de Compras'!D4:Q""), 4, 0), """")"),"JUEGO DE MOLDES CON CONO")</f>
        <v>JUEGO DE MOLDES CON CONO</v>
      </c>
      <c r="AD138" s="37" t="str">
        <f>IFERROR(__xludf.DUMMYFUNCTION("IFERROR(IF(OR(C138=TRUE,C138=""""),VLOOKUP(G138,IMPORTRANGE(""https://docs.google.com/spreadsheets/d/1z9A1Wq-kKrhRNG5RS2a2fKpY1wIhSVz2ZNmP2mOl588/edit?usp=sharing"",""REQ VF!E4:H""),4,0),""NO APLICA""),""GENERAR REQ"")"),"GENERAR REQ")</f>
        <v>GENERAR REQ</v>
      </c>
      <c r="AE138" s="32" t="str">
        <f>IFERROR(__xludf.DUMMYFUNCTION("IFERROR(QUERY(IMPORTRANGE(""https://docs.google.com/spreadsheets/d/1z9A1Wq-kKrhRNG5RS2a2fKpY1wIhSVz2ZNmP2mOl588/edit?usp=sharing"",""REQ VF!E4:Q""),""SELECT Col10, Col11, Col12 WHERE Col1 = '""&amp;G138&amp;""'"",0),""NO APLICA"")"),"NO APLICA")</f>
        <v>NO APLICA</v>
      </c>
      <c r="AF138" s="32"/>
      <c r="AG138" s="32"/>
      <c r="AH138" s="8" t="s">
        <v>52</v>
      </c>
      <c r="AI138" s="13"/>
    </row>
    <row r="139">
      <c r="A139" s="121">
        <v>88.0</v>
      </c>
      <c r="B139" s="43" t="b">
        <v>1</v>
      </c>
      <c r="C139" s="26" t="b">
        <v>1</v>
      </c>
      <c r="D139" s="26" t="s">
        <v>35</v>
      </c>
      <c r="E139" s="26" t="s">
        <v>1510</v>
      </c>
      <c r="F139" s="131" t="s">
        <v>1985</v>
      </c>
      <c r="G139" s="39" t="s">
        <v>1989</v>
      </c>
      <c r="H139" s="66" t="s">
        <v>1990</v>
      </c>
      <c r="I139" s="43">
        <f>SUMIFS('Hoja 10'!$O:$O,'Hoja 10'!$F:$F,$G139)</f>
        <v>4</v>
      </c>
      <c r="J139" s="26">
        <f>IFERROR(__xludf.DUMMYFUNCTION("VLOOKUP(G139,IMPORTRANGE(""https://docs.google.com/spreadsheets/d/12RxCea4e5ggM7QGn1XE3FbLQa_-QbCNdBi90OdPjRqg/edit?gid=1692403370#gid=1692403370"", ""'Plan de Compras'!D4:2432""), 8,0)"),4.0)</f>
        <v>4</v>
      </c>
      <c r="K139" s="26" t="str">
        <f t="shared" si="1"/>
        <v>SI</v>
      </c>
      <c r="L139" s="29" t="s">
        <v>77</v>
      </c>
      <c r="M139" s="30" t="s">
        <v>78</v>
      </c>
      <c r="N139" s="32"/>
      <c r="O139" s="32" t="str">
        <f>VLOOKUP($G139,'Hoja 10'!$F$4:$AA1057, 19,0)</f>
        <v>Kussina</v>
      </c>
      <c r="P139" s="32" t="str">
        <f>VLOOKUP($G139,'Hoja 10'!$F$4:$AA1057, 20,0)</f>
        <v>N°26</v>
      </c>
      <c r="Q139" s="33" t="str">
        <f>VLOOKUP($G139,'Hoja 10'!$F$4:$AA1057, 21,0)</f>
        <v>https://www.makro.plazavea.com.pe/molde-de-aluminio-con-cono-26-1-1mm/p</v>
      </c>
      <c r="R139" s="86" t="s">
        <v>1991</v>
      </c>
      <c r="S139" s="44" t="b">
        <v>1</v>
      </c>
      <c r="T139" s="39" t="str">
        <f>IFERROR(__xludf.DUMMYFUNCTION(" IF
( VLOOKUP($G139,IMPORTRANGE(""https://docs.google.com/spreadsheets/d/1Gpl6jkTg7sL4VDNimUm3S9Vi1i95esohXCF3wuKOE8c"", ""'CONSOLIDADO'!G5:AB""), 10, 0) &lt;&gt; 0, 
IFERROR(VLOOKUP($G139,IMPORTRANGE(""https://docs.google.com/spreadsheets/d/1Gpl6jkTg7sL4VDNimU"&amp;"m3S9Vi1i95esohXCF3wuKOE8c"", ""'CONSOLIDADO'!G5:AB""), 17, 0), ""-""),
""""
)"),"ALESSA REPOSTERIA S.A.C.")</f>
        <v>ALESSA REPOSTERIA S.A.C.</v>
      </c>
      <c r="U139" s="39" t="str">
        <f>IFERROR(__xludf.DUMMYFUNCTION(" IF
( VLOOKUP($G139,IMPORTRANGE(""https://docs.google.com/spreadsheets/d/1Gpl6jkTg7sL4VDNimUm3S9Vi1i95esohXCF3wuKOE8c"", ""'CONSOLIDADO'!G5:AB""), 10, 0) &lt;&gt; 0, 
IFERROR(VLOOKUP($G139,IMPORTRANGE(""https://docs.google.com/spreadsheets/d/1Gpl6jkTg7sL4VDNimU"&amp;"m3S9Vi1i95esohXCF3wuKOE8c"", ""'CONSOLIDADO'!G5:AB""), 18, 0), ""-""),
""""
)"),"SET DE 3 KEKERAS CON TUBO # 22, 24 , 26")</f>
        <v>SET DE 3 KEKERAS CON TUBO # 22, 24 , 26</v>
      </c>
      <c r="V139" s="39" t="str">
        <f>IFERROR(__xludf.DUMMYFUNCTION(" IF
( VLOOKUP($G139,IMPORTRANGE(""https://docs.google.com/spreadsheets/d/1Gpl6jkTg7sL4VDNimUm3S9Vi1i95esohXCF3wuKOE8c"", ""'CONSOLIDADO'!G5:AB""), 10, 0) &lt;&gt; 0, 
IFERROR(VLOOKUP($G139,IMPORTRANGE(""https://docs.google.com/spreadsheets/d/1Gpl6jkTg7sL4VDNimU"&amp;"m3S9Vi1i95esohXCF3wuKOE8c"", ""'CONSOLIDADO'!G5:AB""), 17, 0), ""-""),
""""
)"),"ALESSA REPOSTERIA S.A.C.")</f>
        <v>ALESSA REPOSTERIA S.A.C.</v>
      </c>
      <c r="W139" s="39" t="str">
        <f>IFERROR(__xludf.DUMMYFUNCTION(" IF
( VLOOKUP($G139,IMPORTRANGE(""https://docs.google.com/spreadsheets/d/1Gpl6jkTg7sL4VDNimUm3S9Vi1i95esohXCF3wuKOE8c"", ""'CONSOLIDADO'!G5:AB""), 10, 0) &lt;&gt; 0, 
IFERROR(VLOOKUP($G139,IMPORTRANGE(""https://docs.google.com/spreadsheets/d/1Gpl6jkTg7sL4VDNimU"&amp;"m3S9Vi1i95esohXCF3wuKOE8c"", ""'CONSOLIDADO'!G5:AB""), 18, 0), ""-""),
""""
)"),"SET DE 3 KEKERAS CON TUBO # 22, 24 , 26")</f>
        <v>SET DE 3 KEKERAS CON TUBO # 22, 24 , 26</v>
      </c>
      <c r="X139" s="39" t="b">
        <f t="shared" si="16"/>
        <v>1</v>
      </c>
      <c r="Y139" s="120" t="str">
        <f>IFERROR(__xludf.DUMMYFUNCTION(" IF
( VLOOKUP($G139,IMPORTRANGE(""https://docs.google.com/spreadsheets/d/1Gpl6jkTg7sL4VDNimUm3S9Vi1i95esohXCF3wuKOE8c"", ""'CONSOLIDADO'!G5:AB""), 10, 0) &lt;&gt; 0, 
IFERROR(VLOOKUP($G139,IMPORTRANGE(""https://docs.google.com/spreadsheets/d/1Gpl6jkTg7sL4VDNimU"&amp;"m3S9Vi1i95esohXCF3wuKOE8c"", ""'CONSOLIDADO'!G5:AB""), 19, 0), ""-""),
""""
)"),"https://simple.ripley.com.pe/set-de-3-moldes-de-keke-con-tubo-del-22-al-26-para-reposteria-pmp20001050540?color_80=aluminio&amp;s=mdco ")</f>
        <v>https://simple.ripley.com.pe/set-de-3-moldes-de-keke-con-tubo-del-22-al-26-para-reposteria-pmp20001050540?color_80=aluminio&amp;s=mdco </v>
      </c>
      <c r="Z139" s="37" t="str">
        <f>IFERROR(__xludf.DUMMYFUNCTION("IFERROR(VLOOKUP(G139,IMPORTRANGE(""https://docs.google.com/spreadsheets/d/12RxCea4e5ggM7QGn1XE3FbLQa_-QbCNdBi90OdPjRqg"", ""'Plan de Compras'!D4:Q""), 12, 0), ""NO ESTÁ EN REQ"")"),"Simple")</f>
        <v>Simple</v>
      </c>
      <c r="AA139" s="37" t="str">
        <f>IFERROR(__xludf.DUMMYFUNCTION("IFERROR(VLOOKUP(G139,IMPORTRANGE(""https://docs.google.com/spreadsheets/d/12RxCea4e5ggM7QGn1XE3FbLQa_-QbCNdBi90OdPjRqg"", ""'Plan de Compras'!D4:Q""), 13, 0), """")"),"NACIONAL")</f>
        <v>NACIONAL</v>
      </c>
      <c r="AB139" s="32" t="str">
        <f>IFERROR(__xludf.DUMMYFUNCTION("IFERROR(VLOOKUP(G139,IMPORTRANGE(""https://docs.google.com/spreadsheets/d/12RxCea4e5ggM7QGn1XE3FbLQa_-QbCNdBi90OdPjRqg"", ""'Plan de Compras'!D4:Q""), 14, 0), """")"),"JESSICA")</f>
        <v>JESSICA</v>
      </c>
      <c r="AC139" s="72" t="str">
        <f>IFERROR(__xludf.DUMMYFUNCTION("IFERROR(VLOOKUP(G139,IMPORTRANGE(""https://docs.google.com/spreadsheets/d/12RxCea4e5ggM7QGn1XE3FbLQa_-QbCNdBi90OdPjRqg"", ""'Plan de Compras'!D4:Q""), 4, 0), """")"),"MOLDE CON CONO")</f>
        <v>MOLDE CON CONO</v>
      </c>
      <c r="AD139" s="37" t="str">
        <f>IFERROR(__xludf.DUMMYFUNCTION("IFERROR(IF(OR(C139=TRUE,C139=""""),VLOOKUP(G139,IMPORTRANGE(""https://docs.google.com/spreadsheets/d/1z9A1Wq-kKrhRNG5RS2a2fKpY1wIhSVz2ZNmP2mOl588/edit?usp=sharing"",""REQ VF!E4:H""),4,0),""NO APLICA""),""GENERAR REQ"")"),"GENERAR REQ")</f>
        <v>GENERAR REQ</v>
      </c>
      <c r="AE139" s="32" t="str">
        <f>IFERROR(__xludf.DUMMYFUNCTION("IFERROR(QUERY(IMPORTRANGE(""https://docs.google.com/spreadsheets/d/1z9A1Wq-kKrhRNG5RS2a2fKpY1wIhSVz2ZNmP2mOl588/edit?usp=sharing"",""REQ VF!E4:Q""),""SELECT Col10, Col11, Col12 WHERE Col1 = '""&amp;G139&amp;""'"",0),""NO APLICA"")"),"NO APLICA")</f>
        <v>NO APLICA</v>
      </c>
      <c r="AF139" s="32"/>
      <c r="AG139" s="32"/>
      <c r="AH139" s="8" t="s">
        <v>52</v>
      </c>
      <c r="AI139" s="13"/>
    </row>
    <row r="140">
      <c r="A140" s="121">
        <v>89.0</v>
      </c>
      <c r="B140" s="43" t="b">
        <v>1</v>
      </c>
      <c r="C140" s="26" t="b">
        <v>1</v>
      </c>
      <c r="D140" s="26" t="s">
        <v>35</v>
      </c>
      <c r="E140" s="26" t="s">
        <v>1510</v>
      </c>
      <c r="F140" s="59" t="s">
        <v>1992</v>
      </c>
      <c r="G140" s="39" t="s">
        <v>1993</v>
      </c>
      <c r="H140" s="66" t="s">
        <v>1994</v>
      </c>
      <c r="I140" s="43">
        <f>SUMIFS('Hoja 10'!$O:$O,'Hoja 10'!$F:$F,$G140)</f>
        <v>4</v>
      </c>
      <c r="J140" s="26">
        <f>IFERROR(__xludf.DUMMYFUNCTION("VLOOKUP(G140,IMPORTRANGE(""https://docs.google.com/spreadsheets/d/12RxCea4e5ggM7QGn1XE3FbLQa_-QbCNdBi90OdPjRqg/edit?gid=1692403370#gid=1692403370"", ""'Plan de Compras'!D4:2432""), 8,0)"),4.0)</f>
        <v>4</v>
      </c>
      <c r="K140" s="26" t="str">
        <f t="shared" si="1"/>
        <v>SI</v>
      </c>
      <c r="L140" s="29" t="s">
        <v>77</v>
      </c>
      <c r="M140" s="30" t="s">
        <v>78</v>
      </c>
      <c r="N140" s="32"/>
      <c r="O140" s="32" t="str">
        <f>VLOOKUP($G140,'Hoja 10'!$F$4:$AA1057, 19,0)</f>
        <v>GENÉRICO</v>
      </c>
      <c r="P140" s="32" t="str">
        <f>VLOOKUP($G140,'Hoja 10'!$F$4:$AA1057, 20,0)</f>
        <v>6 MOLDES REDONDOS ANTIADHERENTES PARA TORTA REPOSTERIA</v>
      </c>
      <c r="Q140" s="33" t="str">
        <f>VLOOKUP($G140,'Hoja 10'!$F$4:$AA1057, 21,0)</f>
        <v>https://simple.ripley.com.pe/6-moldes-redondos-antiadherentes-para-torta-reposteria-pmp20000763585?gad_campaignid=20227668948&amp;gad_source=1&amp;gclid=CjwKCAjw7MLDBhAuEiwAIeXGIVa4ptIqSLhwbOdBLK10OLnlmw7tVMNsVbTWWtUu5uldybbww8kwLBoCDfAQAvD_BwE&amp;s=mdco</v>
      </c>
      <c r="R140" s="86" t="s">
        <v>1995</v>
      </c>
      <c r="S140" s="44" t="b">
        <v>1</v>
      </c>
      <c r="T140" s="39" t="str">
        <f>IFERROR(__xludf.DUMMYFUNCTION(" IF
( VLOOKUP($G140,IMPORTRANGE(""https://docs.google.com/spreadsheets/d/1Gpl6jkTg7sL4VDNimUm3S9Vi1i95esohXCF3wuKOE8c"", ""'CONSOLIDADO'!G5:AB""), 10, 0) &lt;&gt; 0, 
IFERROR(VLOOKUP($G140,IMPORTRANGE(""https://docs.google.com/spreadsheets/d/1Gpl6jkTg7sL4VDNimU"&amp;"m3S9Vi1i95esohXCF3wuKOE8c"", ""'CONSOLIDADO'!G5:AB""), 17, 0), ""-""),
""""
)"),"GENÉRICO")</f>
        <v>GENÉRICO</v>
      </c>
      <c r="U140" s="39" t="str">
        <f>IFERROR(__xludf.DUMMYFUNCTION(" IF
( VLOOKUP($G140,IMPORTRANGE(""https://docs.google.com/spreadsheets/d/1Gpl6jkTg7sL4VDNimUm3S9Vi1i95esohXCF3wuKOE8c"", ""'CONSOLIDADO'!G5:AB""), 10, 0) &lt;&gt; 0, 
IFERROR(VLOOKUP($G140,IMPORTRANGE(""https://docs.google.com/spreadsheets/d/1Gpl6jkTg7sL4VDNimU"&amp;"m3S9Vi1i95esohXCF3wuKOE8c"", ""'CONSOLIDADO'!G5:AB""), 18, 0), ""-""),
""""
)"),"SET MOLDES ANTIH. PARA TORTA # 18, 20, 22, 24, 26, 28 ")</f>
        <v>SET MOLDES ANTIH. PARA TORTA # 18, 20, 22, 24, 26, 28 </v>
      </c>
      <c r="V140" s="39" t="str">
        <f>IFERROR(__xludf.DUMMYFUNCTION(" IF
( VLOOKUP($G140,IMPORTRANGE(""https://docs.google.com/spreadsheets/d/1Gpl6jkTg7sL4VDNimUm3S9Vi1i95esohXCF3wuKOE8c"", ""'CONSOLIDADO'!G5:AB""), 10, 0) &lt;&gt; 0, 
IFERROR(VLOOKUP($G140,IMPORTRANGE(""https://docs.google.com/spreadsheets/d/1Gpl6jkTg7sL4VDNimU"&amp;"m3S9Vi1i95esohXCF3wuKOE8c"", ""'CONSOLIDADO'!G5:AB""), 17, 0), ""-""),
""""
)"),"GENÉRICO")</f>
        <v>GENÉRICO</v>
      </c>
      <c r="W140" s="39" t="str">
        <f>IFERROR(__xludf.DUMMYFUNCTION(" IF
( VLOOKUP($G140,IMPORTRANGE(""https://docs.google.com/spreadsheets/d/1Gpl6jkTg7sL4VDNimUm3S9Vi1i95esohXCF3wuKOE8c"", ""'CONSOLIDADO'!G5:AB""), 10, 0) &lt;&gt; 0, 
IFERROR(VLOOKUP($G140,IMPORTRANGE(""https://docs.google.com/spreadsheets/d/1Gpl6jkTg7sL4VDNimU"&amp;"m3S9Vi1i95esohXCF3wuKOE8c"", ""'CONSOLIDADO'!G5:AB""), 18, 0), ""-""),
""""
)"),"SET MOLDES ANTIH. PARA TORTA # 18, 20, 22, 24, 26, 28 ")</f>
        <v>SET MOLDES ANTIH. PARA TORTA # 18, 20, 22, 24, 26, 28 </v>
      </c>
      <c r="X140" s="39" t="b">
        <f t="shared" si="16"/>
        <v>1</v>
      </c>
      <c r="Y140" s="120" t="str">
        <f>IFERROR(__xludf.DUMMYFUNCTION(" IF
( VLOOKUP($G140,IMPORTRANGE(""https://docs.google.com/spreadsheets/d/1Gpl6jkTg7sL4VDNimUm3S9Vi1i95esohXCF3wuKOE8c"", ""'CONSOLIDADO'!G5:AB""), 10, 0) &lt;&gt; 0, 
IFERROR(VLOOKUP($G140,IMPORTRANGE(""https://docs.google.com/spreadsheets/d/1Gpl6jkTg7sL4VDNimU"&amp;"m3S9Vi1i95esohXCF3wuKOE8c"", ""'CONSOLIDADO'!G5:AB""), 19, 0), ""-""),
""""
)"),"https://simple.ripley.com.pe/6-moldes-redondos-antiadherentes-para-torta-reposteria-pmp20000763585?gad_campaignid=20227668948&amp;gad_source=1&amp;gclid=CjwKCAjw7MLDBhAuEiwAIeXGIVa4ptIqSLhwbOdBLK10OLnlmw7tVMNsVbTWWtUu5uldybbww8kwLBoCDfAQAvD_BwE&amp;s=mdco")</f>
        <v>https://simple.ripley.com.pe/6-moldes-redondos-antiadherentes-para-torta-reposteria-pmp20000763585?gad_campaignid=20227668948&amp;gad_source=1&amp;gclid=CjwKCAjw7MLDBhAuEiwAIeXGIVa4ptIqSLhwbOdBLK10OLnlmw7tVMNsVbTWWtUu5uldybbww8kwLBoCDfAQAvD_BwE&amp;s=mdco</v>
      </c>
      <c r="Z140" s="37" t="str">
        <f>IFERROR(__xludf.DUMMYFUNCTION("IFERROR(VLOOKUP(G140,IMPORTRANGE(""https://docs.google.com/spreadsheets/d/12RxCea4e5ggM7QGn1XE3FbLQa_-QbCNdBi90OdPjRqg"", ""'Plan de Compras'!D4:Q""), 12, 0), ""NO ESTÁ EN REQ"")"),"Simple")</f>
        <v>Simple</v>
      </c>
      <c r="AA140" s="37" t="str">
        <f>IFERROR(__xludf.DUMMYFUNCTION("IFERROR(VLOOKUP(G140,IMPORTRANGE(""https://docs.google.com/spreadsheets/d/12RxCea4e5ggM7QGn1XE3FbLQa_-QbCNdBi90OdPjRqg"", ""'Plan de Compras'!D4:Q""), 13, 0), """")"),"NACIONAL")</f>
        <v>NACIONAL</v>
      </c>
      <c r="AB140" s="32" t="str">
        <f>IFERROR(__xludf.DUMMYFUNCTION("IFERROR(VLOOKUP(G140,IMPORTRANGE(""https://docs.google.com/spreadsheets/d/12RxCea4e5ggM7QGn1XE3FbLQa_-QbCNdBi90OdPjRqg"", ""'Plan de Compras'!D4:Q""), 14, 0), """")"),"JESSICA")</f>
        <v>JESSICA</v>
      </c>
      <c r="AC140" s="72" t="str">
        <f>IFERROR(__xludf.DUMMYFUNCTION("IFERROR(VLOOKUP(G140,IMPORTRANGE(""https://docs.google.com/spreadsheets/d/12RxCea4e5ggM7QGn1XE3FbLQa_-QbCNdBi90OdPjRqg"", ""'Plan de Compras'!D4:Q""), 4, 0), """")"),"JUEGO DE MOLDES DE CAKE")</f>
        <v>JUEGO DE MOLDES DE CAKE</v>
      </c>
      <c r="AD140" s="37" t="str">
        <f>IFERROR(__xludf.DUMMYFUNCTION("IFERROR(IF(OR(C140=TRUE,C140=""""),VLOOKUP(G140,IMPORTRANGE(""https://docs.google.com/spreadsheets/d/1z9A1Wq-kKrhRNG5RS2a2fKpY1wIhSVz2ZNmP2mOl588/edit?usp=sharing"",""REQ VF!E4:H""),4,0),""NO APLICA""),""GENERAR REQ"")"),"GENERAR REQ")</f>
        <v>GENERAR REQ</v>
      </c>
      <c r="AE140" s="32" t="str">
        <f>IFERROR(__xludf.DUMMYFUNCTION("IFERROR(QUERY(IMPORTRANGE(""https://docs.google.com/spreadsheets/d/1z9A1Wq-kKrhRNG5RS2a2fKpY1wIhSVz2ZNmP2mOl588/edit?usp=sharing"",""REQ VF!E4:Q""),""SELECT Col10, Col11, Col12 WHERE Col1 = '""&amp;G140&amp;""'"",0),""NO APLICA"")"),"NO APLICA")</f>
        <v>NO APLICA</v>
      </c>
      <c r="AF140" s="32"/>
      <c r="AG140" s="32"/>
      <c r="AH140" s="8" t="s">
        <v>52</v>
      </c>
      <c r="AI140" s="13"/>
    </row>
    <row r="141">
      <c r="A141" s="117">
        <v>90.0</v>
      </c>
      <c r="B141" s="43" t="b">
        <v>1</v>
      </c>
      <c r="C141" s="26" t="b">
        <v>1</v>
      </c>
      <c r="D141" s="26" t="s">
        <v>35</v>
      </c>
      <c r="E141" s="26" t="s">
        <v>1510</v>
      </c>
      <c r="F141" s="59" t="s">
        <v>1992</v>
      </c>
      <c r="G141" s="39" t="s">
        <v>1996</v>
      </c>
      <c r="H141" s="66" t="s">
        <v>1994</v>
      </c>
      <c r="I141" s="43">
        <f>SUMIFS('Hoja 10'!$O:$O,'Hoja 10'!$F:$F,$G141)</f>
        <v>16</v>
      </c>
      <c r="J141" s="26">
        <f>IFERROR(__xludf.DUMMYFUNCTION("VLOOKUP(G141,IMPORTRANGE(""https://docs.google.com/spreadsheets/d/12RxCea4e5ggM7QGn1XE3FbLQa_-QbCNdBi90OdPjRqg/edit?gid=1692403370#gid=1692403370"", ""'Plan de Compras'!D4:2432""), 8,0)"),16.0)</f>
        <v>16</v>
      </c>
      <c r="K141" s="26" t="str">
        <f t="shared" si="1"/>
        <v>SI</v>
      </c>
      <c r="L141" s="29" t="s">
        <v>39</v>
      </c>
      <c r="M141" s="30" t="s">
        <v>40</v>
      </c>
      <c r="N141" s="32"/>
      <c r="O141" s="32" t="str">
        <f>VLOOKUP($G141,'Hoja 10'!$F$4:$AA1057, 19,0)</f>
        <v>GENÉRICO</v>
      </c>
      <c r="P141" s="32" t="str">
        <f>VLOOKUP($G141,'Hoja 10'!$F$4:$AA1057, 20,0)</f>
        <v>6 MOLDES REDONDOS ANTIADHERENTES PARA TORTA REPOSTERIA</v>
      </c>
      <c r="Q141" s="33" t="str">
        <f>VLOOKUP($G141,'Hoja 10'!$F$4:$AA1057, 21,0)</f>
        <v>https://simple.ripley.com.pe/6-moldes-redondos-antiadherentes-para-torta-reposteria-pmp20000763585?gad_campaignid=20227668948&amp;gad_source=1&amp;gclid=CjwKCAjw7MLDBhAuEiwAIeXGIVa4ptIqSLhwbOdBLK10OLnlmw7tVMNsVbTWWtUu5uldybbww8kwLBoCDfAQAvD_BwE&amp;s=mdco</v>
      </c>
      <c r="R141" s="86" t="s">
        <v>1997</v>
      </c>
      <c r="S141" s="44" t="b">
        <v>1</v>
      </c>
      <c r="T141" s="39" t="str">
        <f>IFERROR(__xludf.DUMMYFUNCTION(" IF
( VLOOKUP($G141,IMPORTRANGE(""https://docs.google.com/spreadsheets/d/1Gpl6jkTg7sL4VDNimUm3S9Vi1i95esohXCF3wuKOE8c"", ""'CONSOLIDADO'!G5:AB""), 10, 0) &lt;&gt; 0, 
IFERROR(VLOOKUP($G141,IMPORTRANGE(""https://docs.google.com/spreadsheets/d/1Gpl6jkTg7sL4VDNimU"&amp;"m3S9Vi1i95esohXCF3wuKOE8c"", ""'CONSOLIDADO'!G5:AB""), 17, 0), ""-""),
""""
)"),"GENÉRICO")</f>
        <v>GENÉRICO</v>
      </c>
      <c r="U141" s="39" t="str">
        <f>IFERROR(__xludf.DUMMYFUNCTION(" IF
( VLOOKUP($G141,IMPORTRANGE(""https://docs.google.com/spreadsheets/d/1Gpl6jkTg7sL4VDNimUm3S9Vi1i95esohXCF3wuKOE8c"", ""'CONSOLIDADO'!G5:AB""), 10, 0) &lt;&gt; 0, 
IFERROR(VLOOKUP($G141,IMPORTRANGE(""https://docs.google.com/spreadsheets/d/1Gpl6jkTg7sL4VDNimU"&amp;"m3S9Vi1i95esohXCF3wuKOE8c"", ""'CONSOLIDADO'!G5:AB""), 18, 0), ""-""),
""""
)"),"SET MOLDES ANTIH. PARA TORTA # 18, 20, 22, 24, 26, 28 ")</f>
        <v>SET MOLDES ANTIH. PARA TORTA # 18, 20, 22, 24, 26, 28 </v>
      </c>
      <c r="V141" s="39" t="str">
        <f>IFERROR(__xludf.DUMMYFUNCTION(" IF
( VLOOKUP($G141,IMPORTRANGE(""https://docs.google.com/spreadsheets/d/1Gpl6jkTg7sL4VDNimUm3S9Vi1i95esohXCF3wuKOE8c"", ""'CONSOLIDADO'!G5:AB""), 10, 0) &lt;&gt; 0, 
IFERROR(VLOOKUP($G141,IMPORTRANGE(""https://docs.google.com/spreadsheets/d/1Gpl6jkTg7sL4VDNimU"&amp;"m3S9Vi1i95esohXCF3wuKOE8c"", ""'CONSOLIDADO'!G5:AB""), 17, 0), ""-""),
""""
)"),"GENÉRICO")</f>
        <v>GENÉRICO</v>
      </c>
      <c r="W141" s="39" t="str">
        <f>IFERROR(__xludf.DUMMYFUNCTION(" IF
( VLOOKUP($G141,IMPORTRANGE(""https://docs.google.com/spreadsheets/d/1Gpl6jkTg7sL4VDNimUm3S9Vi1i95esohXCF3wuKOE8c"", ""'CONSOLIDADO'!G5:AB""), 10, 0) &lt;&gt; 0, 
IFERROR(VLOOKUP($G141,IMPORTRANGE(""https://docs.google.com/spreadsheets/d/1Gpl6jkTg7sL4VDNimU"&amp;"m3S9Vi1i95esohXCF3wuKOE8c"", ""'CONSOLIDADO'!G5:AB""), 18, 0), ""-""),
""""
)"),"SET MOLDES ANTIH. PARA TORTA # 18, 20, 22, 24, 26, 28 ")</f>
        <v>SET MOLDES ANTIH. PARA TORTA # 18, 20, 22, 24, 26, 28 </v>
      </c>
      <c r="X141" s="39" t="b">
        <f t="shared" si="16"/>
        <v>1</v>
      </c>
      <c r="Y141" s="120" t="str">
        <f>IFERROR(__xludf.DUMMYFUNCTION(" IF
( VLOOKUP($G141,IMPORTRANGE(""https://docs.google.com/spreadsheets/d/1Gpl6jkTg7sL4VDNimUm3S9Vi1i95esohXCF3wuKOE8c"", ""'CONSOLIDADO'!G5:AB""), 10, 0) &lt;&gt; 0, 
IFERROR(VLOOKUP($G141,IMPORTRANGE(""https://docs.google.com/spreadsheets/d/1Gpl6jkTg7sL4VDNimU"&amp;"m3S9Vi1i95esohXCF3wuKOE8c"", ""'CONSOLIDADO'!G5:AB""), 19, 0), ""-""),
""""
)"),"https://simple.ripley.com.pe/6-moldes-redondos-antiadherentes-para-torta-reposteria-pmp20000763585?gad_campaignid=20227668948&amp;gad_source=1&amp;gclid=CjwKCAjw7MLDBhAuEiwAIeXGIVa4ptIqSLhwbOdBLK10OLnlmw7tVMNsVbTWWtUu5uldybbww8kwLBoCDfAQAvD_BwE&amp;s=mdco")</f>
        <v>https://simple.ripley.com.pe/6-moldes-redondos-antiadherentes-para-torta-reposteria-pmp20000763585?gad_campaignid=20227668948&amp;gad_source=1&amp;gclid=CjwKCAjw7MLDBhAuEiwAIeXGIVa4ptIqSLhwbOdBLK10OLnlmw7tVMNsVbTWWtUu5uldybbww8kwLBoCDfAQAvD_BwE&amp;s=mdco</v>
      </c>
      <c r="Z141" s="37" t="str">
        <f>IFERROR(__xludf.DUMMYFUNCTION("IFERROR(VLOOKUP(G141,IMPORTRANGE(""https://docs.google.com/spreadsheets/d/12RxCea4e5ggM7QGn1XE3FbLQa_-QbCNdBi90OdPjRqg"", ""'Plan de Compras'!D4:Q""), 12, 0), ""NO ESTÁ EN REQ"")"),"Simple")</f>
        <v>Simple</v>
      </c>
      <c r="AA141" s="37" t="str">
        <f>IFERROR(__xludf.DUMMYFUNCTION("IFERROR(VLOOKUP(G141,IMPORTRANGE(""https://docs.google.com/spreadsheets/d/12RxCea4e5ggM7QGn1XE3FbLQa_-QbCNdBi90OdPjRqg"", ""'Plan de Compras'!D4:Q""), 13, 0), """")"),"NACIONAL")</f>
        <v>NACIONAL</v>
      </c>
      <c r="AB141" s="32" t="str">
        <f>IFERROR(__xludf.DUMMYFUNCTION("IFERROR(VLOOKUP(G141,IMPORTRANGE(""https://docs.google.com/spreadsheets/d/12RxCea4e5ggM7QGn1XE3FbLQa_-QbCNdBi90OdPjRqg"", ""'Plan de Compras'!D4:Q""), 14, 0), """")"),"JESSICA")</f>
        <v>JESSICA</v>
      </c>
      <c r="AC141" s="72" t="str">
        <f>IFERROR(__xludf.DUMMYFUNCTION("IFERROR(VLOOKUP(G141,IMPORTRANGE(""https://docs.google.com/spreadsheets/d/12RxCea4e5ggM7QGn1XE3FbLQa_-QbCNdBi90OdPjRqg"", ""'Plan de Compras'!D4:Q""), 4, 0), """")"),"JUEGO DE MOLDES DE CAKE")</f>
        <v>JUEGO DE MOLDES DE CAKE</v>
      </c>
      <c r="AD141" s="37" t="str">
        <f>IFERROR(__xludf.DUMMYFUNCTION("IFERROR(IF(OR(C141=TRUE,C141=""""),VLOOKUP(G141,IMPORTRANGE(""https://docs.google.com/spreadsheets/d/1z9A1Wq-kKrhRNG5RS2a2fKpY1wIhSVz2ZNmP2mOl588/edit?usp=sharing"",""REQ VF!E4:H""),4,0),""NO APLICA""),""GENERAR REQ"")"),"GENERAR REQ")</f>
        <v>GENERAR REQ</v>
      </c>
      <c r="AE141" s="32" t="str">
        <f>IFERROR(__xludf.DUMMYFUNCTION("IFERROR(QUERY(IMPORTRANGE(""https://docs.google.com/spreadsheets/d/1z9A1Wq-kKrhRNG5RS2a2fKpY1wIhSVz2ZNmP2mOl588/edit?usp=sharing"",""REQ VF!E4:Q""),""SELECT Col10, Col11, Col12 WHERE Col1 = '""&amp;G141&amp;""'"",0),""NO APLICA"")"),"NO APLICA")</f>
        <v>NO APLICA</v>
      </c>
      <c r="AF141" s="32"/>
      <c r="AG141" s="32"/>
      <c r="AH141" s="8" t="s">
        <v>52</v>
      </c>
      <c r="AI141" s="13"/>
    </row>
    <row r="142">
      <c r="A142" s="117">
        <v>91.0</v>
      </c>
      <c r="B142" s="43" t="b">
        <v>1</v>
      </c>
      <c r="C142" s="26" t="b">
        <v>0</v>
      </c>
      <c r="D142" s="26" t="s">
        <v>35</v>
      </c>
      <c r="E142" s="26" t="s">
        <v>1510</v>
      </c>
      <c r="F142" s="59" t="s">
        <v>1998</v>
      </c>
      <c r="G142" s="39" t="s">
        <v>1998</v>
      </c>
      <c r="H142" s="66" t="s">
        <v>1999</v>
      </c>
      <c r="I142" s="43">
        <f>SUMIFS('Hoja 10'!$O:$O,'Hoja 10'!$F:$F,$G142)</f>
        <v>80</v>
      </c>
      <c r="J142" s="26">
        <f>IFERROR(__xludf.DUMMYFUNCTION("VLOOKUP(G142,IMPORTRANGE(""https://docs.google.com/spreadsheets/d/12RxCea4e5ggM7QGn1XE3FbLQa_-QbCNdBi90OdPjRqg/edit?gid=1692403370#gid=1692403370"", ""'Plan de Compras'!D4:2432""), 8,0)"),80.0)</f>
        <v>80</v>
      </c>
      <c r="K142" s="26" t="str">
        <f t="shared" si="1"/>
        <v>-</v>
      </c>
      <c r="L142" s="29" t="s">
        <v>39</v>
      </c>
      <c r="M142" s="30" t="s">
        <v>40</v>
      </c>
      <c r="N142" s="32"/>
      <c r="O142" s="32" t="str">
        <f>VLOOKUP($G142,'Hoja 10'!$F$4:$AA1057, 19,0)</f>
        <v>GENERICO</v>
      </c>
      <c r="P142" s="32" t="str">
        <f>VLOOKUP($G142,'Hoja 10'!$F$4:$AA1057, 20,0)</f>
        <v>GENERICO</v>
      </c>
      <c r="Q142" s="33" t="str">
        <f>VLOOKUP($G142,'Hoja 10'!$F$4:$AA1057, 21,0)</f>
        <v>https://www.gastronomiaycia.com/moldes-para-mantequilla/</v>
      </c>
      <c r="R142" s="86" t="s">
        <v>2000</v>
      </c>
      <c r="S142" s="44" t="b">
        <v>0</v>
      </c>
      <c r="T142" s="39" t="str">
        <f>IFERROR(__xludf.DUMMYFUNCTION(" IF
( VLOOKUP($G142,IMPORTRANGE(""https://docs.google.com/spreadsheets/d/1Gpl6jkTg7sL4VDNimUm3S9Vi1i95esohXCF3wuKOE8c"", ""'CONSOLIDADO'!G5:AB""), 10, 0) &lt;&gt; 0, 
IFERROR(VLOOKUP($G142,IMPORTRANGE(""https://docs.google.com/spreadsheets/d/1Gpl6jkTg7sL4VDNimU"&amp;"m3S9Vi1i95esohXCF3wuKOE8c"", ""'CONSOLIDADO'!G5:AB""), 17, 0), ""-""),
""""
)"),"NACIONAL + BONNE GRAINE + AMAZON")</f>
        <v>NACIONAL + BONNE GRAINE + AMAZON</v>
      </c>
      <c r="U142" s="39" t="str">
        <f>IFERROR(__xludf.DUMMYFUNCTION(" IF
( VLOOKUP($G142,IMPORTRANGE(""https://docs.google.com/spreadsheets/d/1Gpl6jkTg7sL4VDNimUm3S9Vi1i95esohXCF3wuKOE8c"", ""'CONSOLIDADO'!G5:AB""), 10, 0) &lt;&gt; 0, 
IFERROR(VLOOKUP($G142,IMPORTRANGE(""https://docs.google.com/spreadsheets/d/1Gpl6jkTg7sL4VDNimU"&amp;"m3S9Vi1i95esohXCF3wuKOE8c"", ""'CONSOLIDADO'!G5:AB""), 18, 0), ""-""),
""""
)"),"2 SILICONA + 1 MADERA")</f>
        <v>2 SILICONA + 1 MADERA</v>
      </c>
      <c r="V142" s="39" t="str">
        <f>IFERROR(__xludf.DUMMYFUNCTION(" IF
( VLOOKUP($G142,IMPORTRANGE(""https://docs.google.com/spreadsheets/d/1Gpl6jkTg7sL4VDNimUm3S9Vi1i95esohXCF3wuKOE8c"", ""'CONSOLIDADO'!G5:AB""), 10, 0) &lt;&gt; 0, 
IFERROR(VLOOKUP($G142,IMPORTRANGE(""https://docs.google.com/spreadsheets/d/1Gpl6jkTg7sL4VDNimU"&amp;"m3S9Vi1i95esohXCF3wuKOE8c"", ""'CONSOLIDADO'!G5:AB""), 17, 0), ""-""),
""""
)"),"NACIONAL + BONNE GRAINE + AMAZON")</f>
        <v>NACIONAL + BONNE GRAINE + AMAZON</v>
      </c>
      <c r="W142" s="39" t="str">
        <f>IFERROR(__xludf.DUMMYFUNCTION(" IF
( VLOOKUP($G142,IMPORTRANGE(""https://docs.google.com/spreadsheets/d/1Gpl6jkTg7sL4VDNimUm3S9Vi1i95esohXCF3wuKOE8c"", ""'CONSOLIDADO'!G5:AB""), 10, 0) &lt;&gt; 0, 
IFERROR(VLOOKUP($G142,IMPORTRANGE(""https://docs.google.com/spreadsheets/d/1Gpl6jkTg7sL4VDNimU"&amp;"m3S9Vi1i95esohXCF3wuKOE8c"", ""'CONSOLIDADO'!G5:AB""), 18, 0), ""-""),
""""
)"),"2 SILICONA + 1 MADERA")</f>
        <v>2 SILICONA + 1 MADERA</v>
      </c>
      <c r="X142" s="39" t="b">
        <f t="shared" si="16"/>
        <v>1</v>
      </c>
      <c r="Y142" s="120" t="str">
        <f>IFERROR(__xludf.DUMMYFUNCTION(" IF
( VLOOKUP($G142,IMPORTRANGE(""https://docs.google.com/spreadsheets/d/1Gpl6jkTg7sL4VDNimUm3S9Vi1i95esohXCF3wuKOE8c"", ""'CONSOLIDADO'!G5:AB""), 10, 0) &lt;&gt; 0, 
IFERROR(VLOOKUP($G142,IMPORTRANGE(""https://docs.google.com/spreadsheets/d/1Gpl6jkTg7sL4VDNimU"&amp;"m3S9Vi1i95esohXCF3wuKOE8c"", ""'CONSOLIDADO'!G5:AB""), 19, 0), ""-""),
""""
)"),"250 gr: https://www.amazon.es/-/en/Bonne-Graine-Butter-Homemade-French/dp/B0077P7KPO/ref=sr_1_4?dib=eyJ2IjoiMSJ9.emV5UcoluNgdeAZVi1EYzenUatxWb2NzsqlXMiXrIkPHIdOA3FcvwFNnU-uV45pcU6RhC3TY3WjEOTKKRDw0I_x_O0TD24WQ_9amPaO8QSR5IDqZvkTXyc01nN1cPAsQ69LXsdaVuCfdEX"&amp;"uN0hcxW9e3qWjeWg2tMRyTiEH4qxiz02GUW1pJiOE8Ye1UFmm8OaeJSTJV188L_RFR8nnQ0jr3Va4cXwslfHwy2OeyRsFC0oxDF1RqlAju-JrP2iJfas0KQrbB4Eb1Xlk0NfZcowiVQakfMTnctOAxEwj-8D8.NxczmOIc6sxMl2ObCR41rsRkGX5H5YR1P5y5DQtQs0Q&amp;dib_tag=se&amp;keywords=La%2BBonne%2BGraine&amp;qid=176824000"&amp;"5&amp;sr=8-4&amp;th=1
125 gr: https://www.amazon.es/-/en/Bonne-Graine-BAR103-Round-Mould/dp/B0077Q0SNO/ref=sr_1_2?dib=eyJ2IjoiMSJ9.emV5UcoluNgdeAZVi1EYzenUatxWb2NzsqlXMiXrIkPHIdOA3FcvwFNnU-uV45pcU6RhC3TY3WjEOTKKRDw0I_x_O0TD24WQ_9amPaO8QSR5IDqZvkTXyc01nN1cPAsQ69LX"&amp;"sdaVuCfdEXuN0hcxW9e3qWjeWg2tMRyTiEH4qxiz02GUW1pJiOE8Ye1UFmm8OaeJSTJV188L_RFR8nnQ0jr3Va4cXwslfHwy2OeyRsFC0oxDF1RqlAju-JrP2iJfas0KQrbB4Eb1Xlk0NfZcowiVQakfMTnctOAxEwj-8D8.NxczmOIc6sxMl2ObCR41rsRkGX5H5YR1P5y5DQtQs0Q&amp;dib_tag=se&amp;keywords=La+Bonne+Graine&amp;qid=176"&amp;"8240005&amp;sr=8-2")</f>
        <v>250 gr: https://www.amazon.es/-/en/Bonne-Graine-Butter-Homemade-French/dp/B0077P7KPO/ref=sr_1_4?dib=eyJ2IjoiMSJ9.emV5UcoluNgdeAZVi1EYzenUatxWb2NzsqlXMiXrIkPHIdOA3FcvwFNnU-uV45pcU6RhC3TY3WjEOTKKRDw0I_x_O0TD24WQ_9amPaO8QSR5IDqZvkTXyc01nN1cPAsQ69LXsdaVuCfdEXuN0hcxW9e3qWjeWg2tMRyTiEH4qxiz02GUW1pJiOE8Ye1UFmm8OaeJSTJV188L_RFR8nnQ0jr3Va4cXwslfHwy2OeyRsFC0oxDF1RqlAju-JrP2iJfas0KQrbB4Eb1Xlk0NfZcowiVQakfMTnctOAxEwj-8D8.NxczmOIc6sxMl2ObCR41rsRkGX5H5YR1P5y5DQtQs0Q&amp;dib_tag=se&amp;keywords=La%2BBonne%2BGraine&amp;qid=1768240005&amp;sr=8-4&amp;th=1
125 gr: https://www.amazon.es/-/en/Bonne-Graine-BAR103-Round-Mould/dp/B0077Q0SNO/ref=sr_1_2?dib=eyJ2IjoiMSJ9.emV5UcoluNgdeAZVi1EYzenUatxWb2NzsqlXMiXrIkPHIdOA3FcvwFNnU-uV45pcU6RhC3TY3WjEOTKKRDw0I_x_O0TD24WQ_9amPaO8QSR5IDqZvkTXyc01nN1cPAsQ69LXsdaVuCfdEXuN0hcxW9e3qWjeWg2tMRyTiEH4qxiz02GUW1pJiOE8Ye1UFmm8OaeJSTJV188L_RFR8nnQ0jr3Va4cXwslfHwy2OeyRsFC0oxDF1RqlAju-JrP2iJfas0KQrbB4Eb1Xlk0NfZcowiVQakfMTnctOAxEwj-8D8.NxczmOIc6sxMl2ObCR41rsRkGX5H5YR1P5y5DQtQs0Q&amp;dib_tag=se&amp;keywords=La+Bonne+Graine&amp;qid=1768240005&amp;sr=8-2</v>
      </c>
      <c r="Z142" s="37" t="str">
        <f>IFERROR(__xludf.DUMMYFUNCTION("IFERROR(VLOOKUP(G142,IMPORTRANGE(""https://docs.google.com/spreadsheets/d/12RxCea4e5ggM7QGn1XE3FbLQa_-QbCNdBi90OdPjRqg"", ""'Plan de Compras'!D4:Q""), 12, 0), ""NO ESTÁ EN REQ"")"),"Simple")</f>
        <v>Simple</v>
      </c>
      <c r="AA142" s="37" t="str">
        <f>IFERROR(__xludf.DUMMYFUNCTION("IFERROR(VLOOKUP(G142,IMPORTRANGE(""https://docs.google.com/spreadsheets/d/12RxCea4e5ggM7QGn1XE3FbLQa_-QbCNdBi90OdPjRqg"", ""'Plan de Compras'!D4:Q""), 13, 0), """")"),"INT/NAC")</f>
        <v>INT/NAC</v>
      </c>
      <c r="AB142" s="32" t="str">
        <f>IFERROR(__xludf.DUMMYFUNCTION("IFERROR(VLOOKUP(G142,IMPORTRANGE(""https://docs.google.com/spreadsheets/d/12RxCea4e5ggM7QGn1XE3FbLQa_-QbCNdBi90OdPjRqg"", ""'Plan de Compras'!D4:Q""), 14, 0), """")"),"")</f>
        <v/>
      </c>
      <c r="AC142" s="72" t="str">
        <f>IFERROR(__xludf.DUMMYFUNCTION("IFERROR(VLOOKUP(G142,IMPORTRANGE(""https://docs.google.com/spreadsheets/d/12RxCea4e5ggM7QGn1XE3FbLQa_-QbCNdBi90OdPjRqg"", ""'Plan de Compras'!D4:Q""), 4, 0), """")"),"KIT DE MOLDES PARA MANTEQUILLA CON GRABADOS DECORATIVOS")</f>
        <v>KIT DE MOLDES PARA MANTEQUILLA CON GRABADOS DECORATIVOS</v>
      </c>
      <c r="AD142" s="37" t="str">
        <f>IFERROR(__xludf.DUMMYFUNCTION("IFERROR(IF(OR(C142=TRUE,C142=""""),VLOOKUP(G142,IMPORTRANGE(""https://docs.google.com/spreadsheets/d/1z9A1Wq-kKrhRNG5RS2a2fKpY1wIhSVz2ZNmP2mOl588/edit?usp=sharing"",""REQ VF!E4:H""),4,0),""NO APLICA""),""GENERAR REQ"")"),"NO APLICA")</f>
        <v>NO APLICA</v>
      </c>
      <c r="AE142" s="32" t="str">
        <f>IFERROR(__xludf.DUMMYFUNCTION("IFERROR(QUERY(IMPORTRANGE(""https://docs.google.com/spreadsheets/d/1z9A1Wq-kKrhRNG5RS2a2fKpY1wIhSVz2ZNmP2mOl588/edit?usp=sharing"",""REQ VF!E4:Q""),""SELECT Col10, Col11, Col12 WHERE Col1 = '""&amp;G142&amp;""'"",0),""NO APLICA"")"),"NO APLICA")</f>
        <v>NO APLICA</v>
      </c>
      <c r="AF142" s="32"/>
      <c r="AG142" s="32"/>
      <c r="AH142" s="13"/>
      <c r="AI142" s="13"/>
    </row>
    <row r="143">
      <c r="A143" s="43"/>
      <c r="B143" s="43" t="b">
        <v>0</v>
      </c>
      <c r="C143" s="26" t="b">
        <v>1</v>
      </c>
      <c r="D143" s="26" t="s">
        <v>42</v>
      </c>
      <c r="E143" s="26" t="s">
        <v>1510</v>
      </c>
      <c r="F143" s="59" t="s">
        <v>1998</v>
      </c>
      <c r="G143" s="39" t="s">
        <v>2001</v>
      </c>
      <c r="H143" s="66" t="s">
        <v>2002</v>
      </c>
      <c r="I143" s="43">
        <v>80.0</v>
      </c>
      <c r="J143" s="26">
        <f>IFERROR(__xludf.DUMMYFUNCTION("VLOOKUP(G143,IMPORTRANGE(""https://docs.google.com/spreadsheets/d/12RxCea4e5ggM7QGn1XE3FbLQa_-QbCNdBi90OdPjRqg/edit?gid=1692403370#gid=1692403370"", ""'Plan de Compras'!D4:2432""), 8,0)"),80.0)</f>
        <v>80</v>
      </c>
      <c r="K143" s="26" t="str">
        <f t="shared" si="1"/>
        <v>SI</v>
      </c>
      <c r="L143" s="29"/>
      <c r="M143" s="61"/>
      <c r="N143" s="32"/>
      <c r="O143" s="32"/>
      <c r="P143" s="32"/>
      <c r="Q143" s="41"/>
      <c r="R143" s="32"/>
      <c r="S143" s="44" t="b">
        <v>0</v>
      </c>
      <c r="T143" s="39"/>
      <c r="U143" s="39"/>
      <c r="V143" s="39"/>
      <c r="W143" s="39"/>
      <c r="X143" s="39"/>
      <c r="Y143" s="110"/>
      <c r="Z143" s="37" t="str">
        <f>IFERROR(__xludf.DUMMYFUNCTION("IFERROR(VLOOKUP(G143,IMPORTRANGE(""https://docs.google.com/spreadsheets/d/12RxCea4e5ggM7QGn1XE3FbLQa_-QbCNdBi90OdPjRqg"", ""'Plan de Compras'!D4:Q""), 12, 0), ""NO ESTÁ EN REQ"")"),"Simple")</f>
        <v>Simple</v>
      </c>
      <c r="AA143" s="37" t="str">
        <f>IFERROR(__xludf.DUMMYFUNCTION("IFERROR(VLOOKUP(G143,IMPORTRANGE(""https://docs.google.com/spreadsheets/d/12RxCea4e5ggM7QGn1XE3FbLQa_-QbCNdBi90OdPjRqg"", ""'Plan de Compras'!D4:Q""), 13, 0), """")"),"INTERNACIONAL")</f>
        <v>INTERNACIONAL</v>
      </c>
      <c r="AB143" s="32" t="str">
        <f>IFERROR(__xludf.DUMMYFUNCTION("IFERROR(VLOOKUP(G143,IMPORTRANGE(""https://docs.google.com/spreadsheets/d/12RxCea4e5ggM7QGn1XE3FbLQa_-QbCNdBi90OdPjRqg"", ""'Plan de Compras'!D4:Q""), 14, 0), """")"),"VICTOR")</f>
        <v>VICTOR</v>
      </c>
      <c r="AC143" s="72" t="str">
        <f>IFERROR(__xludf.DUMMYFUNCTION("IFERROR(VLOOKUP(G143,IMPORTRANGE(""https://docs.google.com/spreadsheets/d/12RxCea4e5ggM7QGn1XE3FbLQa_-QbCNdBi90OdPjRqg"", ""'Plan de Compras'!D4:Q""), 4, 0), """")"),"MOLDE DE SILICONA 500 g (1UND)")</f>
        <v>MOLDE DE SILICONA 500 g (1UND)</v>
      </c>
      <c r="AD143" s="37" t="str">
        <f>IFERROR(__xludf.DUMMYFUNCTION("IFERROR(IF(OR(C143=TRUE,C143=""""),VLOOKUP(G143,IMPORTRANGE(""https://docs.google.com/spreadsheets/d/1z9A1Wq-kKrhRNG5RS2a2fKpY1wIhSVz2ZNmP2mOl588/edit?usp=sharing"",""REQ VF!E4:H""),4,0),""NO APLICA""),""GENERAR REQ"")"),"GENERAR REQ")</f>
        <v>GENERAR REQ</v>
      </c>
      <c r="AE143" s="32" t="str">
        <f>IFERROR(__xludf.DUMMYFUNCTION("IFERROR(QUERY(IMPORTRANGE(""https://docs.google.com/spreadsheets/d/1z9A1Wq-kKrhRNG5RS2a2fKpY1wIhSVz2ZNmP2mOl588/edit?usp=sharing"",""REQ VF!E4:Q""),""SELECT Col10, Col11, Col12 WHERE Col1 = '""&amp;G143&amp;""'"",0),""NO APLICA"")"),"NO APLICA")</f>
        <v>NO APLICA</v>
      </c>
      <c r="AF143" s="32"/>
      <c r="AG143" s="32"/>
      <c r="AH143" s="13"/>
      <c r="AI143" s="13"/>
    </row>
    <row r="144">
      <c r="A144" s="43"/>
      <c r="B144" s="43" t="b">
        <v>0</v>
      </c>
      <c r="C144" s="26" t="b">
        <v>1</v>
      </c>
      <c r="D144" s="26" t="s">
        <v>42</v>
      </c>
      <c r="E144" s="26" t="s">
        <v>1510</v>
      </c>
      <c r="F144" s="59" t="s">
        <v>1998</v>
      </c>
      <c r="G144" s="39" t="s">
        <v>2003</v>
      </c>
      <c r="H144" s="66" t="s">
        <v>2004</v>
      </c>
      <c r="I144" s="43">
        <v>80.0</v>
      </c>
      <c r="J144" s="26">
        <f>IFERROR(__xludf.DUMMYFUNCTION("VLOOKUP(G144,IMPORTRANGE(""https://docs.google.com/spreadsheets/d/12RxCea4e5ggM7QGn1XE3FbLQa_-QbCNdBi90OdPjRqg/edit?gid=1692403370#gid=1692403370"", ""'Plan de Compras'!D4:2432""), 8,0)"),80.0)</f>
        <v>80</v>
      </c>
      <c r="K144" s="26" t="str">
        <f t="shared" si="1"/>
        <v>SI</v>
      </c>
      <c r="L144" s="29"/>
      <c r="M144" s="61"/>
      <c r="N144" s="32"/>
      <c r="O144" s="32"/>
      <c r="P144" s="32"/>
      <c r="Q144" s="41"/>
      <c r="R144" s="32"/>
      <c r="S144" s="34" t="b">
        <v>1</v>
      </c>
      <c r="T144" s="39" t="s">
        <v>1257</v>
      </c>
      <c r="U144" s="132" t="s">
        <v>2004</v>
      </c>
      <c r="V144" s="39"/>
      <c r="W144" s="39"/>
      <c r="X144" s="39"/>
      <c r="Y144" s="110"/>
      <c r="Z144" s="37" t="str">
        <f>IFERROR(__xludf.DUMMYFUNCTION("IFERROR(VLOOKUP(G144,IMPORTRANGE(""https://docs.google.com/spreadsheets/d/12RxCea4e5ggM7QGn1XE3FbLQa_-QbCNdBi90OdPjRqg"", ""'Plan de Compras'!D4:Q""), 12, 0), ""NO ESTÁ EN REQ"")"),"Simple")</f>
        <v>Simple</v>
      </c>
      <c r="AA144" s="37" t="str">
        <f>IFERROR(__xludf.DUMMYFUNCTION("IFERROR(VLOOKUP(G144,IMPORTRANGE(""https://docs.google.com/spreadsheets/d/12RxCea4e5ggM7QGn1XE3FbLQa_-QbCNdBi90OdPjRqg"", ""'Plan de Compras'!D4:Q""), 13, 0), """")"),"NACIONAL")</f>
        <v>NACIONAL</v>
      </c>
      <c r="AB144" s="32" t="str">
        <f>IFERROR(__xludf.DUMMYFUNCTION("IFERROR(VLOOKUP(G144,IMPORTRANGE(""https://docs.google.com/spreadsheets/d/12RxCea4e5ggM7QGn1XE3FbLQa_-QbCNdBi90OdPjRqg"", ""'Plan de Compras'!D4:Q""), 14, 0), """")"),"")</f>
        <v/>
      </c>
      <c r="AC144" s="72" t="str">
        <f>IFERROR(__xludf.DUMMYFUNCTION("IFERROR(VLOOKUP(G144,IMPORTRANGE(""https://docs.google.com/spreadsheets/d/12RxCea4e5ggM7QGn1XE3FbLQa_-QbCNdBi90OdPjRqg"", ""'Plan de Compras'!D4:Q""), 4, 0), """")"),"MOLDE DE SILICONA 1000 g (1UND)")</f>
        <v>MOLDE DE SILICONA 1000 g (1UND)</v>
      </c>
      <c r="AD144" s="37" t="str">
        <f>IFERROR(__xludf.DUMMYFUNCTION("IFERROR(IF(OR(C144=TRUE,C144=""""),VLOOKUP(G144,IMPORTRANGE(""https://docs.google.com/spreadsheets/d/1z9A1Wq-kKrhRNG5RS2a2fKpY1wIhSVz2ZNmP2mOl588/edit?usp=sharing"",""REQ VF!E4:H""),4,0),""NO APLICA""),""GENERAR REQ"")"),"GENERAR REQ")</f>
        <v>GENERAR REQ</v>
      </c>
      <c r="AE144" s="32" t="str">
        <f>IFERROR(__xludf.DUMMYFUNCTION("IFERROR(QUERY(IMPORTRANGE(""https://docs.google.com/spreadsheets/d/1z9A1Wq-kKrhRNG5RS2a2fKpY1wIhSVz2ZNmP2mOl588/edit?usp=sharing"",""REQ VF!E4:Q""),""SELECT Col10, Col11, Col12 WHERE Col1 = '""&amp;G144&amp;""'"",0),""NO APLICA"")"),"NO APLICA")</f>
        <v>NO APLICA</v>
      </c>
      <c r="AF144" s="32"/>
      <c r="AG144" s="32"/>
      <c r="AH144" s="13"/>
      <c r="AI144" s="13"/>
    </row>
    <row r="145">
      <c r="A145" s="43"/>
      <c r="B145" s="43" t="b">
        <v>0</v>
      </c>
      <c r="C145" s="26" t="b">
        <v>1</v>
      </c>
      <c r="D145" s="26" t="s">
        <v>42</v>
      </c>
      <c r="E145" s="26" t="s">
        <v>1510</v>
      </c>
      <c r="F145" s="59" t="s">
        <v>1998</v>
      </c>
      <c r="G145" s="39" t="s">
        <v>2005</v>
      </c>
      <c r="H145" s="66" t="s">
        <v>2006</v>
      </c>
      <c r="I145" s="43">
        <v>80.0</v>
      </c>
      <c r="J145" s="26">
        <f>IFERROR(__xludf.DUMMYFUNCTION("VLOOKUP(G145,IMPORTRANGE(""https://docs.google.com/spreadsheets/d/12RxCea4e5ggM7QGn1XE3FbLQa_-QbCNdBi90OdPjRqg/edit?gid=1692403370#gid=1692403370"", ""'Plan de Compras'!D4:2432""), 8,0)"),80.0)</f>
        <v>80</v>
      </c>
      <c r="K145" s="26" t="str">
        <f t="shared" si="1"/>
        <v>SI</v>
      </c>
      <c r="L145" s="29"/>
      <c r="M145" s="61"/>
      <c r="N145" s="32"/>
      <c r="O145" s="32"/>
      <c r="P145" s="32"/>
      <c r="Q145" s="41"/>
      <c r="R145" s="32"/>
      <c r="S145" s="44" t="b">
        <v>0</v>
      </c>
      <c r="T145" s="39"/>
      <c r="U145" s="39"/>
      <c r="V145" s="39"/>
      <c r="W145" s="39"/>
      <c r="X145" s="39"/>
      <c r="Y145" s="110"/>
      <c r="Z145" s="37" t="str">
        <f>IFERROR(__xludf.DUMMYFUNCTION("IFERROR(VLOOKUP(G145,IMPORTRANGE(""https://docs.google.com/spreadsheets/d/12RxCea4e5ggM7QGn1XE3FbLQa_-QbCNdBi90OdPjRqg"", ""'Plan de Compras'!D4:Q""), 12, 0), ""NO ESTÁ EN REQ"")"),"Simple")</f>
        <v>Simple</v>
      </c>
      <c r="AA145" s="37" t="str">
        <f>IFERROR(__xludf.DUMMYFUNCTION("IFERROR(VLOOKUP(G145,IMPORTRANGE(""https://docs.google.com/spreadsheets/d/12RxCea4e5ggM7QGn1XE3FbLQa_-QbCNdBi90OdPjRqg"", ""'Plan de Compras'!D4:Q""), 13, 0), """")"),"INTERNACIONAL")</f>
        <v>INTERNACIONAL</v>
      </c>
      <c r="AB145" s="32" t="str">
        <f>IFERROR(__xludf.DUMMYFUNCTION("IFERROR(VLOOKUP(G145,IMPORTRANGE(""https://docs.google.com/spreadsheets/d/12RxCea4e5ggM7QGn1XE3FbLQa_-QbCNdBi90OdPjRqg"", ""'Plan de Compras'!D4:Q""), 14, 0), """")"),"VICTOR")</f>
        <v>VICTOR</v>
      </c>
      <c r="AC145" s="72" t="str">
        <f>IFERROR(__xludf.DUMMYFUNCTION("IFERROR(VLOOKUP(G145,IMPORTRANGE(""https://docs.google.com/spreadsheets/d/12RxCea4e5ggM7QGn1XE3FbLQa_-QbCNdBi90OdPjRqg"", ""'Plan de Compras'!D4:Q""), 4, 0), """")"),"MOLDE DE MADERA 250 G (1 UND)")</f>
        <v>MOLDE DE MADERA 250 G (1 UND)</v>
      </c>
      <c r="AD145" s="37" t="str">
        <f>IFERROR(__xludf.DUMMYFUNCTION("IFERROR(IF(OR(C145=TRUE,C145=""""),VLOOKUP(G145,IMPORTRANGE(""https://docs.google.com/spreadsheets/d/1z9A1Wq-kKrhRNG5RS2a2fKpY1wIhSVz2ZNmP2mOl588/edit?usp=sharing"",""REQ VF!E4:H""),4,0),""NO APLICA""),""GENERAR REQ"")"),"GENERAR REQ")</f>
        <v>GENERAR REQ</v>
      </c>
      <c r="AE145" s="32" t="str">
        <f>IFERROR(__xludf.DUMMYFUNCTION("IFERROR(QUERY(IMPORTRANGE(""https://docs.google.com/spreadsheets/d/1z9A1Wq-kKrhRNG5RS2a2fKpY1wIhSVz2ZNmP2mOl588/edit?usp=sharing"",""REQ VF!E4:Q""),""SELECT Col10, Col11, Col12 WHERE Col1 = '""&amp;G145&amp;""'"",0),""NO APLICA"")"),"NO APLICA")</f>
        <v>NO APLICA</v>
      </c>
      <c r="AF145" s="32"/>
      <c r="AG145" s="32"/>
      <c r="AH145" s="13"/>
      <c r="AI145" s="13"/>
    </row>
    <row r="146">
      <c r="A146" s="121">
        <v>92.0</v>
      </c>
      <c r="B146" s="43" t="b">
        <v>1</v>
      </c>
      <c r="C146" s="26" t="b">
        <v>0</v>
      </c>
      <c r="D146" s="26" t="s">
        <v>35</v>
      </c>
      <c r="E146" s="26" t="s">
        <v>1510</v>
      </c>
      <c r="F146" s="59" t="s">
        <v>2007</v>
      </c>
      <c r="G146" s="39" t="s">
        <v>2007</v>
      </c>
      <c r="H146" s="66" t="s">
        <v>2008</v>
      </c>
      <c r="I146" s="43">
        <f>SUMIFS('Hoja 10'!$O:$O,'Hoja 10'!$F:$F,$G146)</f>
        <v>80</v>
      </c>
      <c r="J146" s="26" t="str">
        <f>IFERROR(__xludf.DUMMYFUNCTION("VLOOKUP(G146,IMPORTRANGE(""https://docs.google.com/spreadsheets/d/12RxCea4e5ggM7QGn1XE3FbLQa_-QbCNdBi90OdPjRqg/edit?gid=1692403370#gid=1692403370"", ""'Plan de Compras'!D4:2432""), 8,0)"),"#N/A")</f>
        <v>#N/A</v>
      </c>
      <c r="K146" s="26" t="str">
        <f t="shared" si="1"/>
        <v>-</v>
      </c>
      <c r="L146" s="29" t="s">
        <v>39</v>
      </c>
      <c r="M146" s="30" t="s">
        <v>40</v>
      </c>
      <c r="N146" s="32" t="s">
        <v>2009</v>
      </c>
      <c r="O146" s="32"/>
      <c r="P146" s="32"/>
      <c r="Q146" s="33" t="s">
        <v>2010</v>
      </c>
      <c r="R146" s="86" t="s">
        <v>2011</v>
      </c>
      <c r="S146" s="44" t="b">
        <v>0</v>
      </c>
      <c r="T146" s="39" t="str">
        <f>IFERROR(__xludf.DUMMYFUNCTION(" IF
( VLOOKUP($G146,IMPORTRANGE(""https://docs.google.com/spreadsheets/d/1Gpl6jkTg7sL4VDNimUm3S9Vi1i95esohXCF3wuKOE8c"", ""'CONSOLIDADO'!G5:AB""), 10, 0) &lt;&gt; 0, 
IFERROR(VLOOKUP($G146,IMPORTRANGE(""https://docs.google.com/spreadsheets/d/1Gpl6jkTg7sL4VDNimU"&amp;"m3S9Vi1i95esohXCF3wuKOE8c"", ""'CONSOLIDADO'!G5:AB""), 17, 0), ""-""),
""""
)"),"INSUMOS SOLUCIONES PARA LA INDUSTRIA ALIMENTARIA SAC")</f>
        <v>INSUMOS SOLUCIONES PARA LA INDUSTRIA ALIMENTARIA SAC</v>
      </c>
      <c r="U146" s="39" t="str">
        <f>IFERROR(__xludf.DUMMYFUNCTION(" IF
( VLOOKUP($G146,IMPORTRANGE(""https://docs.google.com/spreadsheets/d/1Gpl6jkTg7sL4VDNimUm3S9Vi1i95esohXCF3wuKOE8c"", ""'CONSOLIDADO'!G5:AB""), 10, 0) &lt;&gt; 0, 
IFERROR(VLOOKUP($G146,IMPORTRANGE(""https://docs.google.com/spreadsheets/d/1Gpl6jkTg7sL4VDNimU"&amp;"m3S9Vi1i95esohXCF3wuKOE8c"", ""'CONSOLIDADO'!G5:AB""), 18, 0), ""-""),
""""
)"),"1KG / 3 KG")</f>
        <v>1KG / 3 KG</v>
      </c>
      <c r="V146" s="39" t="str">
        <f>IFERROR(__xludf.DUMMYFUNCTION(" IF
( VLOOKUP($G146,IMPORTRANGE(""https://docs.google.com/spreadsheets/d/1Gpl6jkTg7sL4VDNimUm3S9Vi1i95esohXCF3wuKOE8c"", ""'CONSOLIDADO'!G5:AB""), 10, 0) &lt;&gt; 0, 
IFERROR(VLOOKUP($G146,IMPORTRANGE(""https://docs.google.com/spreadsheets/d/1Gpl6jkTg7sL4VDNimU"&amp;"m3S9Vi1i95esohXCF3wuKOE8c"", ""'CONSOLIDADO'!G5:AB""), 17, 0), ""-""),
""""
)"),"INSUMOS SOLUCIONES PARA LA INDUSTRIA ALIMENTARIA SAC")</f>
        <v>INSUMOS SOLUCIONES PARA LA INDUSTRIA ALIMENTARIA SAC</v>
      </c>
      <c r="W146" s="39" t="str">
        <f>IFERROR(__xludf.DUMMYFUNCTION(" IF
( VLOOKUP($G146,IMPORTRANGE(""https://docs.google.com/spreadsheets/d/1Gpl6jkTg7sL4VDNimUm3S9Vi1i95esohXCF3wuKOE8c"", ""'CONSOLIDADO'!G5:AB""), 10, 0) &lt;&gt; 0, 
IFERROR(VLOOKUP($G146,IMPORTRANGE(""https://docs.google.com/spreadsheets/d/1Gpl6jkTg7sL4VDNimU"&amp;"m3S9Vi1i95esohXCF3wuKOE8c"", ""'CONSOLIDADO'!G5:AB""), 18, 0), ""-""),
""""
)"),"1KG / 3 KG")</f>
        <v>1KG / 3 KG</v>
      </c>
      <c r="X146" s="39" t="b">
        <f>IF(AND(T146=V146,W146=U146),TRUE,FALSE)</f>
        <v>1</v>
      </c>
      <c r="Y146" s="120" t="str">
        <f>IFERROR(__xludf.DUMMYFUNCTION(" IF
( VLOOKUP($G146,IMPORTRANGE(""https://docs.google.com/spreadsheets/d/1Gpl6jkTg7sL4VDNimUm3S9Vi1i95esohXCF3wuKOE8c"", ""'CONSOLIDADO'!G5:AB""), 10, 0) &lt;&gt; 0, 
IFERROR(VLOOKUP($G146,IMPORTRANGE(""https://docs.google.com/spreadsheets/d/1Gpl6jkTg7sL4VDNimU"&amp;"m3S9Vi1i95esohXCF3wuKOE8c"", ""'CONSOLIDADO'!G5:AB""), 19, 0), ""-""),
""""
)"),"https://www.insumosysoluciones.pe/")</f>
        <v>https://www.insumosysoluciones.pe/</v>
      </c>
      <c r="Z146" s="37" t="str">
        <f>IFERROR(__xludf.DUMMYFUNCTION("IFERROR(VLOOKUP(G146,IMPORTRANGE(""https://docs.google.com/spreadsheets/d/12RxCea4e5ggM7QGn1XE3FbLQa_-QbCNdBi90OdPjRqg"", ""'Plan de Compras'!D4:Q""), 12, 0), ""NO ESTÁ EN REQ"")"),"NO ESTÁ EN REQ")</f>
        <v>NO ESTÁ EN REQ</v>
      </c>
      <c r="AA146" s="37" t="str">
        <f>IFERROR(__xludf.DUMMYFUNCTION("IFERROR(VLOOKUP(G146,IMPORTRANGE(""https://docs.google.com/spreadsheets/d/12RxCea4e5ggM7QGn1XE3FbLQa_-QbCNdBi90OdPjRqg"", ""'Plan de Compras'!D4:Q""), 13, 0), """")"),"")</f>
        <v/>
      </c>
      <c r="AB146" s="32" t="str">
        <f>IFERROR(__xludf.DUMMYFUNCTION("IFERROR(VLOOKUP(G146,IMPORTRANGE(""https://docs.google.com/spreadsheets/d/12RxCea4e5ggM7QGn1XE3FbLQa_-QbCNdBi90OdPjRqg"", ""'Plan de Compras'!D4:Q""), 14, 0), """")"),"")</f>
        <v/>
      </c>
      <c r="AC146" s="72" t="str">
        <f>IFERROR(__xludf.DUMMYFUNCTION("IFERROR(VLOOKUP(G146,IMPORTRANGE(""https://docs.google.com/spreadsheets/d/12RxCea4e5ggM7QGn1XE3FbLQa_-QbCNdBi90OdPjRqg"", ""'Plan de Compras'!D4:Q""), 4, 0), """")"),"")</f>
        <v/>
      </c>
      <c r="AD146" s="37" t="str">
        <f>IFERROR(__xludf.DUMMYFUNCTION("IFERROR(IF(OR(C146=TRUE,C146=""""),VLOOKUP(G146,IMPORTRANGE(""https://docs.google.com/spreadsheets/d/1z9A1Wq-kKrhRNG5RS2a2fKpY1wIhSVz2ZNmP2mOl588/edit?usp=sharing"",""REQ VF!E4:H""),4,0),""NO APLICA""),""GENERAR REQ"")"),"NO APLICA")</f>
        <v>NO APLICA</v>
      </c>
      <c r="AE146" s="32" t="str">
        <f>IFERROR(__xludf.DUMMYFUNCTION("IFERROR(QUERY(IMPORTRANGE(""https://docs.google.com/spreadsheets/d/1z9A1Wq-kKrhRNG5RS2a2fKpY1wIhSVz2ZNmP2mOl588/edit?usp=sharing"",""REQ VF!E4:Q""),""SELECT Col10, Col11, Col12 WHERE Col1 = '""&amp;G146&amp;""'"",0),""NO APLICA"")"),"NO APLICA")</f>
        <v>NO APLICA</v>
      </c>
      <c r="AF146" s="32"/>
      <c r="AG146" s="32"/>
      <c r="AH146" s="13"/>
      <c r="AI146" s="13"/>
    </row>
    <row r="147">
      <c r="A147" s="43"/>
      <c r="B147" s="43"/>
      <c r="C147" s="26" t="b">
        <v>1</v>
      </c>
      <c r="D147" s="26" t="s">
        <v>95</v>
      </c>
      <c r="E147" s="26" t="s">
        <v>1510</v>
      </c>
      <c r="F147" s="59" t="s">
        <v>2007</v>
      </c>
      <c r="G147" s="39" t="s">
        <v>2012</v>
      </c>
      <c r="H147" s="66" t="s">
        <v>2013</v>
      </c>
      <c r="I147" s="43">
        <v>80.0</v>
      </c>
      <c r="J147" s="26">
        <f>IFERROR(__xludf.DUMMYFUNCTION("VLOOKUP(G147,IMPORTRANGE(""https://docs.google.com/spreadsheets/d/12RxCea4e5ggM7QGn1XE3FbLQa_-QbCNdBi90OdPjRqg/edit?gid=1692403370#gid=1692403370"", ""'Plan de Compras'!D4:2432""), 8,0)"),80.0)</f>
        <v>80</v>
      </c>
      <c r="K147" s="26" t="str">
        <f t="shared" si="1"/>
        <v>SI</v>
      </c>
      <c r="L147" s="26"/>
      <c r="M147" s="32"/>
      <c r="N147" s="32" t="s">
        <v>2014</v>
      </c>
      <c r="O147" s="32"/>
      <c r="P147" s="32"/>
      <c r="Q147" s="33" t="s">
        <v>2015</v>
      </c>
      <c r="R147" s="32"/>
      <c r="S147" s="34" t="b">
        <v>1</v>
      </c>
      <c r="T147" s="39" t="s">
        <v>2016</v>
      </c>
      <c r="U147" s="39" t="s">
        <v>2017</v>
      </c>
      <c r="V147" s="39"/>
      <c r="W147" s="39"/>
      <c r="X147" s="39"/>
      <c r="Y147" s="126" t="s">
        <v>2018</v>
      </c>
      <c r="Z147" s="37" t="str">
        <f>IFERROR(__xludf.DUMMYFUNCTION("IFERROR(VLOOKUP(G147,IMPORTRANGE(""https://docs.google.com/spreadsheets/d/12RxCea4e5ggM7QGn1XE3FbLQa_-QbCNdBi90OdPjRqg"", ""'Plan de Compras'!D4:Q""), 12, 0), ""NO ESTÁ EN REQ"")"),"Simple")</f>
        <v>Simple</v>
      </c>
      <c r="AA147" s="37" t="str">
        <f>IFERROR(__xludf.DUMMYFUNCTION("IFERROR(VLOOKUP(G147,IMPORTRANGE(""https://docs.google.com/spreadsheets/d/12RxCea4e5ggM7QGn1XE3FbLQa_-QbCNdBi90OdPjRqg"", ""'Plan de Compras'!D4:Q""), 13, 0), """")"),"NACIONAL")</f>
        <v>NACIONAL</v>
      </c>
      <c r="AB147" s="32" t="str">
        <f>IFERROR(__xludf.DUMMYFUNCTION("IFERROR(VLOOKUP(G147,IMPORTRANGE(""https://docs.google.com/spreadsheets/d/12RxCea4e5ggM7QGn1XE3FbLQa_-QbCNdBi90OdPjRqg"", ""'Plan de Compras'!D4:Q""), 14, 0), """")"),"GEANFRANCO")</f>
        <v>GEANFRANCO</v>
      </c>
      <c r="AC147" s="72" t="str">
        <f>IFERROR(__xludf.DUMMYFUNCTION("IFERROR(VLOOKUP(G147,IMPORTRANGE(""https://docs.google.com/spreadsheets/d/12RxCea4e5ggM7QGn1XE3FbLQa_-QbCNdBi90OdPjRqg"", ""'Plan de Compras'!D4:Q""), 4, 0), """")"),"MOLDE DE 800 GRAMOS (1 UND)")</f>
        <v>MOLDE DE 800 GRAMOS (1 UND)</v>
      </c>
      <c r="AD147" s="37" t="str">
        <f>IFERROR(__xludf.DUMMYFUNCTION("IFERROR(IF(OR(C147=TRUE,C147=""""),VLOOKUP(G147,IMPORTRANGE(""https://docs.google.com/spreadsheets/d/1z9A1Wq-kKrhRNG5RS2a2fKpY1wIhSVz2ZNmP2mOl588/edit?usp=sharing"",""REQ VF!E4:H""),4,0),""NO APLICA""),""GENERAR REQ"")"),"GENERAR REQ")</f>
        <v>GENERAR REQ</v>
      </c>
      <c r="AE147" s="32" t="str">
        <f>IFERROR(__xludf.DUMMYFUNCTION("IFERROR(QUERY(IMPORTRANGE(""https://docs.google.com/spreadsheets/d/1z9A1Wq-kKrhRNG5RS2a2fKpY1wIhSVz2ZNmP2mOl588/edit?usp=sharing"",""REQ VF!E4:Q""),""SELECT Col10, Col11, Col12 WHERE Col1 = '""&amp;G147&amp;""'"",0),""NO APLICA"")"),"NO APLICA")</f>
        <v>NO APLICA</v>
      </c>
      <c r="AF147" s="32"/>
      <c r="AG147" s="32"/>
      <c r="AH147" s="13"/>
      <c r="AI147" s="13"/>
    </row>
    <row r="148">
      <c r="A148" s="43"/>
      <c r="B148" s="43"/>
      <c r="C148" s="26" t="b">
        <v>1</v>
      </c>
      <c r="D148" s="26" t="s">
        <v>95</v>
      </c>
      <c r="E148" s="26" t="s">
        <v>1510</v>
      </c>
      <c r="F148" s="59" t="s">
        <v>2007</v>
      </c>
      <c r="G148" s="39" t="s">
        <v>2019</v>
      </c>
      <c r="H148" s="66" t="s">
        <v>2020</v>
      </c>
      <c r="I148" s="43">
        <v>80.0</v>
      </c>
      <c r="J148" s="26">
        <f>IFERROR(__xludf.DUMMYFUNCTION("VLOOKUP(G148,IMPORTRANGE(""https://docs.google.com/spreadsheets/d/12RxCea4e5ggM7QGn1XE3FbLQa_-QbCNdBi90OdPjRqg/edit?gid=1692403370#gid=1692403370"", ""'Plan de Compras'!D4:2432""), 8,0)"),80.0)</f>
        <v>80</v>
      </c>
      <c r="K148" s="26" t="str">
        <f t="shared" si="1"/>
        <v>SI</v>
      </c>
      <c r="L148" s="29"/>
      <c r="M148" s="61"/>
      <c r="N148" s="32"/>
      <c r="O148" s="32" t="str">
        <f>VLOOKUP($G148,'Hoja 10'!$F$4:$AA1057, 19,0)</f>
        <v>#N/A</v>
      </c>
      <c r="P148" s="32" t="str">
        <f>VLOOKUP($G148,'Hoja 10'!$F$4:$AA1057, 20,0)</f>
        <v>#N/A</v>
      </c>
      <c r="Q148" s="41" t="str">
        <f>VLOOKUP($G148,'Hoja 10'!$F$4:$AA1057, 21,0)</f>
        <v>#N/A</v>
      </c>
      <c r="R148" s="32"/>
      <c r="S148" s="34" t="b">
        <v>1</v>
      </c>
      <c r="T148" s="39" t="s">
        <v>2016</v>
      </c>
      <c r="U148" s="39" t="s">
        <v>2021</v>
      </c>
      <c r="V148" s="39"/>
      <c r="W148" s="39"/>
      <c r="X148" s="39"/>
      <c r="Y148" s="126" t="s">
        <v>2022</v>
      </c>
      <c r="Z148" s="37" t="str">
        <f>IFERROR(__xludf.DUMMYFUNCTION("IFERROR(VLOOKUP(G148,IMPORTRANGE(""https://docs.google.com/spreadsheets/d/12RxCea4e5ggM7QGn1XE3FbLQa_-QbCNdBi90OdPjRqg"", ""'Plan de Compras'!D4:Q""), 12, 0), ""NO ESTÁ EN REQ"")"),"Simple")</f>
        <v>Simple</v>
      </c>
      <c r="AA148" s="37" t="str">
        <f>IFERROR(__xludf.DUMMYFUNCTION("IFERROR(VLOOKUP(G148,IMPORTRANGE(""https://docs.google.com/spreadsheets/d/12RxCea4e5ggM7QGn1XE3FbLQa_-QbCNdBi90OdPjRqg"", ""'Plan de Compras'!D4:Q""), 13, 0), """")"),"NACIONAL")</f>
        <v>NACIONAL</v>
      </c>
      <c r="AB148" s="32" t="str">
        <f>IFERROR(__xludf.DUMMYFUNCTION("IFERROR(VLOOKUP(G148,IMPORTRANGE(""https://docs.google.com/spreadsheets/d/12RxCea4e5ggM7QGn1XE3FbLQa_-QbCNdBi90OdPjRqg"", ""'Plan de Compras'!D4:Q""), 14, 0), """")"),"GEANFRANCO")</f>
        <v>GEANFRANCO</v>
      </c>
      <c r="AC148" s="72" t="str">
        <f>IFERROR(__xludf.DUMMYFUNCTION("IFERROR(VLOOKUP(G148,IMPORTRANGE(""https://docs.google.com/spreadsheets/d/12RxCea4e5ggM7QGn1XE3FbLQa_-QbCNdBi90OdPjRqg"", ""'Plan de Compras'!D4:Q""), 4, 0), """")"),"MOLDE DE 2800 GRAMOS (1 UND)")</f>
        <v>MOLDE DE 2800 GRAMOS (1 UND)</v>
      </c>
      <c r="AD148" s="37" t="str">
        <f>IFERROR(__xludf.DUMMYFUNCTION("IFERROR(IF(OR(C148=TRUE,C148=""""),VLOOKUP(G148,IMPORTRANGE(""https://docs.google.com/spreadsheets/d/1z9A1Wq-kKrhRNG5RS2a2fKpY1wIhSVz2ZNmP2mOl588/edit?usp=sharing"",""REQ VF!E4:H""),4,0),""NO APLICA""),""GENERAR REQ"")"),"GENERAR REQ")</f>
        <v>GENERAR REQ</v>
      </c>
      <c r="AE148" s="32" t="str">
        <f>IFERROR(__xludf.DUMMYFUNCTION("IFERROR(QUERY(IMPORTRANGE(""https://docs.google.com/spreadsheets/d/1z9A1Wq-kKrhRNG5RS2a2fKpY1wIhSVz2ZNmP2mOl588/edit?usp=sharing"",""REQ VF!E4:Q""),""SELECT Col10, Col11, Col12 WHERE Col1 = '""&amp;G148&amp;""'"",0),""NO APLICA"")"),"NO APLICA")</f>
        <v>NO APLICA</v>
      </c>
      <c r="AF148" s="32"/>
      <c r="AG148" s="32"/>
      <c r="AH148" s="13"/>
      <c r="AI148" s="13"/>
    </row>
    <row r="149">
      <c r="A149" s="121">
        <v>93.0</v>
      </c>
      <c r="B149" s="43" t="b">
        <v>1</v>
      </c>
      <c r="C149" s="26" t="b">
        <v>1</v>
      </c>
      <c r="D149" s="26" t="s">
        <v>35</v>
      </c>
      <c r="E149" s="26" t="s">
        <v>1510</v>
      </c>
      <c r="F149" s="59" t="s">
        <v>2023</v>
      </c>
      <c r="G149" s="39" t="s">
        <v>2023</v>
      </c>
      <c r="H149" s="66" t="s">
        <v>2024</v>
      </c>
      <c r="I149" s="43">
        <f>SUMIFS('Hoja 10'!$O:$O,'Hoja 10'!$F:$F,$G149)</f>
        <v>4</v>
      </c>
      <c r="J149" s="26">
        <f>IFERROR(__xludf.DUMMYFUNCTION("VLOOKUP(G149,IMPORTRANGE(""https://docs.google.com/spreadsheets/d/12RxCea4e5ggM7QGn1XE3FbLQa_-QbCNdBi90OdPjRqg/edit?gid=1692403370#gid=1692403370"", ""'Plan de Compras'!D4:2432""), 8,0)"),4.0)</f>
        <v>4</v>
      </c>
      <c r="K149" s="26" t="str">
        <f t="shared" si="1"/>
        <v>SI</v>
      </c>
      <c r="L149" s="29" t="s">
        <v>77</v>
      </c>
      <c r="M149" s="30" t="s">
        <v>78</v>
      </c>
      <c r="N149" s="32"/>
      <c r="O149" s="32" t="str">
        <f>VLOOKUP($G149,'Hoja 10'!$F$4:$AA1057, 19,0)</f>
        <v>Mortero de Piedra</v>
      </c>
      <c r="P149" s="32" t="str">
        <f>VLOOKUP($G149,'Hoja 10'!$F$4:$AA1057, 20,0)</f>
        <v>MP001MM</v>
      </c>
      <c r="Q149" s="33" t="str">
        <f>VLOOKUP($G149,'Hoja 10'!$F$4:$AA1057, 21,0)</f>
        <v>https://decoracion-piedra.webnode.pe/conoceme2/?utm_source=chatgpt.com</v>
      </c>
      <c r="R149" s="86" t="s">
        <v>2025</v>
      </c>
      <c r="S149" s="34" t="b">
        <v>1</v>
      </c>
      <c r="T149" s="39" t="str">
        <f>IFERROR(__xludf.DUMMYFUNCTION(" IF
( VLOOKUP($G149,IMPORTRANGE(""https://docs.google.com/spreadsheets/d/1Gpl6jkTg7sL4VDNimUm3S9Vi1i95esohXCF3wuKOE8c"", ""'CONSOLIDADO'!G5:AB""), 10, 0) &lt;&gt; 0, 
IFERROR(VLOOKUP($G149,IMPORTRANGE(""https://docs.google.com/spreadsheets/d/1Gpl6jkTg7sL4VDNimU"&amp;"m3S9Vi1i95esohXCF3wuKOE8c"", ""'CONSOLIDADO'!G5:AB""), 17, 0), ""-""),
""""
)"),"BESTAR STUDIO SAC")</f>
        <v>BESTAR STUDIO SAC</v>
      </c>
      <c r="U149" s="39" t="str">
        <f>IFERROR(__xludf.DUMMYFUNCTION(" IF
( VLOOKUP($G149,IMPORTRANGE(""https://docs.google.com/spreadsheets/d/1Gpl6jkTg7sL4VDNimUm3S9Vi1i95esohXCF3wuKOE8c"", ""'CONSOLIDADO'!G5:AB""), 10, 0) &lt;&gt; 0, 
IFERROR(VLOOKUP($G149,IMPORTRANGE(""https://docs.google.com/spreadsheets/d/1Gpl6jkTg7sL4VDNimU"&amp;"m3S9Vi1i95esohXCF3wuKOE8c"", ""'CONSOLIDADO'!G5:AB""), 18, 0), ""-""),
""""
)"),"NACIONAL")</f>
        <v>NACIONAL</v>
      </c>
      <c r="V149" s="39" t="str">
        <f>IFERROR(__xludf.DUMMYFUNCTION(" IF
( VLOOKUP($G149,IMPORTRANGE(""https://docs.google.com/spreadsheets/d/1Gpl6jkTg7sL4VDNimUm3S9Vi1i95esohXCF3wuKOE8c"", ""'CONSOLIDADO'!G5:AB""), 10, 0) &lt;&gt; 0, 
IFERROR(VLOOKUP($G149,IMPORTRANGE(""https://docs.google.com/spreadsheets/d/1Gpl6jkTg7sL4VDNimU"&amp;"m3S9Vi1i95esohXCF3wuKOE8c"", ""'CONSOLIDADO'!G5:AB""), 17, 0), ""-""),
""""
)"),"BESTAR STUDIO SAC")</f>
        <v>BESTAR STUDIO SAC</v>
      </c>
      <c r="W149" s="39" t="str">
        <f>IFERROR(__xludf.DUMMYFUNCTION(" IF
( VLOOKUP($G149,IMPORTRANGE(""https://docs.google.com/spreadsheets/d/1Gpl6jkTg7sL4VDNimUm3S9Vi1i95esohXCF3wuKOE8c"", ""'CONSOLIDADO'!G5:AB""), 10, 0) &lt;&gt; 0, 
IFERROR(VLOOKUP($G149,IMPORTRANGE(""https://docs.google.com/spreadsheets/d/1Gpl6jkTg7sL4VDNimU"&amp;"m3S9Vi1i95esohXCF3wuKOE8c"", ""'CONSOLIDADO'!G5:AB""), 18, 0), ""-""),
""""
)"),"NACIONAL")</f>
        <v>NACIONAL</v>
      </c>
      <c r="X149" s="39" t="b">
        <f t="shared" ref="X149:X150" si="17">IF(AND(T149=V149,W149=U149),TRUE,FALSE)</f>
        <v>1</v>
      </c>
      <c r="Y149" s="110" t="str">
        <f>IFERROR(__xludf.DUMMYFUNCTION(" IF
( VLOOKUP($G149,IMPORTRANGE(""https://docs.google.com/spreadsheets/d/1Gpl6jkTg7sL4VDNimUm3S9Vi1i95esohXCF3wuKOE8c"", ""'CONSOLIDADO'!G5:AB""), 10, 0) &lt;&gt; 0, 
IFERROR(VLOOKUP($G149,IMPORTRANGE(""https://docs.google.com/spreadsheets/d/1Gpl6jkTg7sL4VDNimU"&amp;"m3S9Vi1i95esohXCF3wuKOE8c"", ""'CONSOLIDADO'!G5:AB""), 19, 0), ""-""),
""""
)"),"SOLICITAR FICHA")</f>
        <v>SOLICITAR FICHA</v>
      </c>
      <c r="Z149" s="37" t="str">
        <f>IFERROR(__xludf.DUMMYFUNCTION("IFERROR(VLOOKUP(G149,IMPORTRANGE(""https://docs.google.com/spreadsheets/d/12RxCea4e5ggM7QGn1XE3FbLQa_-QbCNdBi90OdPjRqg"", ""'Plan de Compras'!D4:Q""), 12, 0), ""NO ESTÁ EN REQ"")"),"Simple")</f>
        <v>Simple</v>
      </c>
      <c r="AA149" s="37" t="str">
        <f>IFERROR(__xludf.DUMMYFUNCTION("IFERROR(VLOOKUP(G149,IMPORTRANGE(""https://docs.google.com/spreadsheets/d/12RxCea4e5ggM7QGn1XE3FbLQa_-QbCNdBi90OdPjRqg"", ""'Plan de Compras'!D4:Q""), 13, 0), """")"),"NACIONAL")</f>
        <v>NACIONAL</v>
      </c>
      <c r="AB149" s="32" t="str">
        <f>IFERROR(__xludf.DUMMYFUNCTION("IFERROR(VLOOKUP(G149,IMPORTRANGE(""https://docs.google.com/spreadsheets/d/12RxCea4e5ggM7QGn1XE3FbLQa_-QbCNdBi90OdPjRqg"", ""'Plan de Compras'!D4:Q""), 14, 0), """")"),"DIANA")</f>
        <v>DIANA</v>
      </c>
      <c r="AC149" s="72" t="str">
        <f>IFERROR(__xludf.DUMMYFUNCTION("IFERROR(VLOOKUP(G149,IMPORTRANGE(""https://docs.google.com/spreadsheets/d/12RxCea4e5ggM7QGn1XE3FbLQa_-QbCNdBi90OdPjRqg"", ""'Plan de Compras'!D4:Q""), 4, 0), """")"),"MORTERO")</f>
        <v>MORTERO</v>
      </c>
      <c r="AD149" s="37" t="str">
        <f>IFERROR(__xludf.DUMMYFUNCTION("IFERROR(IF(OR(C149=TRUE,C149=""""),VLOOKUP(G149,IMPORTRANGE(""https://docs.google.com/spreadsheets/d/1z9A1Wq-kKrhRNG5RS2a2fKpY1wIhSVz2ZNmP2mOl588/edit?usp=sharing"",""REQ VF!E4:H""),4,0),""NO APLICA""),""GENERAR REQ"")"),"GENERAR REQ")</f>
        <v>GENERAR REQ</v>
      </c>
      <c r="AE149" s="32" t="str">
        <f>IFERROR(__xludf.DUMMYFUNCTION("IFERROR(QUERY(IMPORTRANGE(""https://docs.google.com/spreadsheets/d/1z9A1Wq-kKrhRNG5RS2a2fKpY1wIhSVz2ZNmP2mOl588/edit?usp=sharing"",""REQ VF!E4:Q""),""SELECT Col10, Col11, Col12 WHERE Col1 = '""&amp;G149&amp;""'"",0),""NO APLICA"")"),"NO APLICA")</f>
        <v>NO APLICA</v>
      </c>
      <c r="AF149" s="32"/>
      <c r="AG149" s="32"/>
      <c r="AH149" s="13"/>
      <c r="AI149" s="13"/>
    </row>
    <row r="150">
      <c r="A150" s="121">
        <v>94.0</v>
      </c>
      <c r="B150" s="43" t="b">
        <v>1</v>
      </c>
      <c r="C150" s="26" t="b">
        <v>1</v>
      </c>
      <c r="D150" s="48" t="s">
        <v>35</v>
      </c>
      <c r="E150" s="48" t="s">
        <v>1510</v>
      </c>
      <c r="F150" s="94" t="s">
        <v>2026</v>
      </c>
      <c r="G150" s="39" t="s">
        <v>2026</v>
      </c>
      <c r="H150" s="66" t="s">
        <v>2027</v>
      </c>
      <c r="I150" s="43">
        <f>SUMIFS('Hoja 10'!$O:$O,'Hoja 10'!$F:$F,$G150)</f>
        <v>8</v>
      </c>
      <c r="J150" s="26">
        <f>IFERROR(__xludf.DUMMYFUNCTION("VLOOKUP(G150,IMPORTRANGE(""https://docs.google.com/spreadsheets/d/12RxCea4e5ggM7QGn1XE3FbLQa_-QbCNdBi90OdPjRqg/edit?gid=1692403370#gid=1692403370"", ""'Plan de Compras'!D4:2432""), 8,0)"),8.0)</f>
        <v>8</v>
      </c>
      <c r="K150" s="26" t="str">
        <f t="shared" si="1"/>
        <v>SI</v>
      </c>
      <c r="L150" s="29" t="s">
        <v>296</v>
      </c>
      <c r="M150" s="30" t="s">
        <v>297</v>
      </c>
      <c r="N150" s="32"/>
      <c r="O150" s="32" t="str">
        <f>VLOOKUP($G150,'Hoja 10'!$F$4:$AA1057, 19,0)</f>
        <v>Augusta Pastor</v>
      </c>
      <c r="P150" s="32" t="str">
        <f>VLOOKUP($G150,'Hoja 10'!$F$4:$AA1057, 20,0)</f>
        <v>-</v>
      </c>
      <c r="Q150" s="33" t="str">
        <f>VLOOKUP($G150,'Hoja 10'!$F$4:$AA1057, 21,0)</f>
        <v>https://www.facebook.com/photo/?fbid=1023931744302211&amp;set=a.1023931684302217</v>
      </c>
      <c r="R150" s="86" t="s">
        <v>2028</v>
      </c>
      <c r="S150" s="44" t="b">
        <v>0</v>
      </c>
      <c r="T150" s="39" t="str">
        <f>IFERROR(__xludf.DUMMYFUNCTION(" IF
( VLOOKUP($G150,IMPORTRANGE(""https://docs.google.com/spreadsheets/d/1Gpl6jkTg7sL4VDNimUm3S9Vi1i95esohXCF3wuKOE8c"", ""'CONSOLIDADO'!G5:AB""), 10, 0) &lt;&gt; 0, 
IFERROR(VLOOKUP($G150,IMPORTRANGE(""https://docs.google.com/spreadsheets/d/1Gpl6jkTg7sL4VDNimU"&amp;"m3S9Vi1i95esohXCF3wuKOE8c"", ""'CONSOLIDADO'!G5:AB""), 17, 0), ""-""),
""""
)"),"NACIONAL")</f>
        <v>NACIONAL</v>
      </c>
      <c r="U150" s="39" t="str">
        <f>IFERROR(__xludf.DUMMYFUNCTION(" IF
( VLOOKUP($G150,IMPORTRANGE(""https://docs.google.com/spreadsheets/d/1Gpl6jkTg7sL4VDNimUm3S9Vi1i95esohXCF3wuKOE8c"", ""'CONSOLIDADO'!G5:AB""), 10, 0) &lt;&gt; 0, 
IFERROR(VLOOKUP($G150,IMPORTRANGE(""https://docs.google.com/spreadsheets/d/1Gpl6jkTg7sL4VDNimU"&amp;"m3S9Vi1i95esohXCF3wuKOE8c"", ""'CONSOLIDADO'!G5:AB""), 18, 0), ""-""),
""""
)"),"ALFIO")</f>
        <v>ALFIO</v>
      </c>
      <c r="V150" s="39" t="str">
        <f>IFERROR(__xludf.DUMMYFUNCTION(" IF
( VLOOKUP($G150,IMPORTRANGE(""https://docs.google.com/spreadsheets/d/1Gpl6jkTg7sL4VDNimUm3S9Vi1i95esohXCF3wuKOE8c"", ""'CONSOLIDADO'!G5:AB""), 10, 0) &lt;&gt; 0, 
IFERROR(VLOOKUP($G150,IMPORTRANGE(""https://docs.google.com/spreadsheets/d/1Gpl6jkTg7sL4VDNimU"&amp;"m3S9Vi1i95esohXCF3wuKOE8c"", ""'CONSOLIDADO'!G5:AB""), 17, 0), ""-""),
""""
)"),"NACIONAL")</f>
        <v>NACIONAL</v>
      </c>
      <c r="W150" s="39" t="str">
        <f>IFERROR(__xludf.DUMMYFUNCTION(" IF
( VLOOKUP($G150,IMPORTRANGE(""https://docs.google.com/spreadsheets/d/1Gpl6jkTg7sL4VDNimUm3S9Vi1i95esohXCF3wuKOE8c"", ""'CONSOLIDADO'!G5:AB""), 10, 0) &lt;&gt; 0, 
IFERROR(VLOOKUP($G150,IMPORTRANGE(""https://docs.google.com/spreadsheets/d/1Gpl6jkTg7sL4VDNimU"&amp;"m3S9Vi1i95esohXCF3wuKOE8c"", ""'CONSOLIDADO'!G5:AB""), 18, 0), ""-""),
""""
)"),"ALFIO")</f>
        <v>ALFIO</v>
      </c>
      <c r="X150" s="39" t="b">
        <f t="shared" si="17"/>
        <v>1</v>
      </c>
      <c r="Y150" s="110" t="str">
        <f>IFERROR(__xludf.DUMMYFUNCTION(" IF
( VLOOKUP($G150,IMPORTRANGE(""https://docs.google.com/spreadsheets/d/1Gpl6jkTg7sL4VDNimUm3S9Vi1i95esohXCF3wuKOE8c"", ""'CONSOLIDADO'!G5:AB""), 10, 0) &lt;&gt; 0, 
IFERROR(VLOOKUP($G150,IMPORTRANGE(""https://docs.google.com/spreadsheets/d/1Gpl6jkTg7sL4VDNimU"&amp;"m3S9Vi1i95esohXCF3wuKOE8c"", ""'CONSOLIDADO'!G5:AB""), 19, 0), ""-""),
""""
)"),"")</f>
        <v/>
      </c>
      <c r="Z150" s="37" t="str">
        <f>IFERROR(__xludf.DUMMYFUNCTION("IFERROR(VLOOKUP(G150,IMPORTRANGE(""https://docs.google.com/spreadsheets/d/12RxCea4e5ggM7QGn1XE3FbLQa_-QbCNdBi90OdPjRqg"", ""'Plan de Compras'!D4:Q""), 12, 0), ""NO ESTÁ EN REQ"")"),"Técnica")</f>
        <v>Técnica</v>
      </c>
      <c r="AA150" s="37" t="str">
        <f>IFERROR(__xludf.DUMMYFUNCTION("IFERROR(VLOOKUP(G150,IMPORTRANGE(""https://docs.google.com/spreadsheets/d/12RxCea4e5ggM7QGn1XE3FbLQa_-QbCNdBi90OdPjRqg"", ""'Plan de Compras'!D4:Q""), 13, 0), """")"),"NACIONAL")</f>
        <v>NACIONAL</v>
      </c>
      <c r="AB150" s="32" t="str">
        <f>IFERROR(__xludf.DUMMYFUNCTION("IFERROR(VLOOKUP(G150,IMPORTRANGE(""https://docs.google.com/spreadsheets/d/12RxCea4e5ggM7QGn1XE3FbLQa_-QbCNdBi90OdPjRqg"", ""'Plan de Compras'!D4:Q""), 14, 0), """")"),"ALFIO")</f>
        <v>ALFIO</v>
      </c>
      <c r="AC150" s="72" t="str">
        <f>IFERROR(__xludf.DUMMYFUNCTION("IFERROR(VLOOKUP(G150,IMPORTRANGE(""https://docs.google.com/spreadsheets/d/12RxCea4e5ggM7QGn1XE3FbLQa_-QbCNdBi90OdPjRqg"", ""'Plan de Compras'!D4:Q""), 4, 0), """")"),"MUESTRARIO DE ESPECIES MADERERAS")</f>
        <v>MUESTRARIO DE ESPECIES MADERERAS</v>
      </c>
      <c r="AD150" s="37" t="str">
        <f>IFERROR(__xludf.DUMMYFUNCTION("IFERROR(IF(OR(C150=TRUE,C150=""""),VLOOKUP(G150,IMPORTRANGE(""https://docs.google.com/spreadsheets/d/1z9A1Wq-kKrhRNG5RS2a2fKpY1wIhSVz2ZNmP2mOl588/edit?usp=sharing"",""REQ VF!E4:H""),4,0),""NO APLICA""),""GENERAR REQ"")"),"GENERAR REQ")</f>
        <v>GENERAR REQ</v>
      </c>
      <c r="AE150" s="32" t="str">
        <f>IFERROR(__xludf.DUMMYFUNCTION("IFERROR(QUERY(IMPORTRANGE(""https://docs.google.com/spreadsheets/d/1z9A1Wq-kKrhRNG5RS2a2fKpY1wIhSVz2ZNmP2mOl588/edit?usp=sharing"",""REQ VF!E4:Q""),""SELECT Col10, Col11, Col12 WHERE Col1 = '""&amp;G150&amp;""'"",0),""NO APLICA"")"),"NO APLICA")</f>
        <v>NO APLICA</v>
      </c>
      <c r="AF150" s="32"/>
      <c r="AG150" s="32"/>
      <c r="AH150" s="13"/>
      <c r="AI150" s="13"/>
    </row>
    <row r="151">
      <c r="A151" s="43"/>
      <c r="B151" s="43" t="b">
        <v>0</v>
      </c>
      <c r="C151" s="26" t="b">
        <v>1</v>
      </c>
      <c r="D151" s="48" t="s">
        <v>42</v>
      </c>
      <c r="E151" s="48" t="s">
        <v>1510</v>
      </c>
      <c r="F151" s="94" t="s">
        <v>2026</v>
      </c>
      <c r="G151" s="63" t="s">
        <v>2029</v>
      </c>
      <c r="H151" s="132" t="s">
        <v>2030</v>
      </c>
      <c r="I151" s="43">
        <v>8.0</v>
      </c>
      <c r="J151" s="26"/>
      <c r="K151" s="26"/>
      <c r="L151" s="29"/>
      <c r="M151" s="61"/>
      <c r="N151" s="32"/>
      <c r="O151" s="32"/>
      <c r="P151" s="32"/>
      <c r="Q151" s="41"/>
      <c r="R151" s="32"/>
      <c r="S151" s="44" t="b">
        <v>0</v>
      </c>
      <c r="T151" s="39"/>
      <c r="U151" s="39"/>
      <c r="V151" s="39"/>
      <c r="W151" s="39"/>
      <c r="X151" s="39"/>
      <c r="Y151" s="110"/>
      <c r="Z151" s="37"/>
      <c r="AA151" s="37"/>
      <c r="AB151" s="32"/>
      <c r="AC151" s="72"/>
      <c r="AD151" s="37"/>
      <c r="AE151" s="32"/>
      <c r="AF151" s="32"/>
      <c r="AG151" s="32"/>
      <c r="AH151" s="13"/>
      <c r="AI151" s="13"/>
    </row>
    <row r="152">
      <c r="A152" s="117">
        <v>95.0</v>
      </c>
      <c r="B152" s="43" t="b">
        <v>1</v>
      </c>
      <c r="C152" s="26" t="b">
        <v>1</v>
      </c>
      <c r="D152" s="48" t="s">
        <v>35</v>
      </c>
      <c r="E152" s="48" t="s">
        <v>1510</v>
      </c>
      <c r="F152" s="94" t="s">
        <v>2031</v>
      </c>
      <c r="G152" s="39" t="s">
        <v>2031</v>
      </c>
      <c r="H152" s="66" t="s">
        <v>2032</v>
      </c>
      <c r="I152" s="43">
        <f>SUMIFS('Hoja 10'!$O:$O,'Hoja 10'!$F:$F,$G152)</f>
        <v>8</v>
      </c>
      <c r="J152" s="26">
        <f>IFERROR(__xludf.DUMMYFUNCTION("VLOOKUP(G152,IMPORTRANGE(""https://docs.google.com/spreadsheets/d/12RxCea4e5ggM7QGn1XE3FbLQa_-QbCNdBi90OdPjRqg/edit?gid=1692403370#gid=1692403370"", ""'Plan de Compras'!D4:2432""), 8,0)"),8.0)</f>
        <v>8</v>
      </c>
      <c r="K152" s="26" t="str">
        <f> IF( C152=TRUE, IF(I152=J152,"SI","NO"), "-")</f>
        <v>SI</v>
      </c>
      <c r="L152" s="29" t="s">
        <v>296</v>
      </c>
      <c r="M152" s="30" t="s">
        <v>297</v>
      </c>
      <c r="N152" s="32"/>
      <c r="O152" s="32" t="str">
        <f>VLOOKUP($G152,'Hoja 10'!$F$4:$AA1057, 19,0)</f>
        <v>MADEREA</v>
      </c>
      <c r="P152" s="32" t="str">
        <f>VLOOKUP($G152,'Hoja 10'!$F$4:$AA1057, 20,0)</f>
        <v>MADEREA</v>
      </c>
      <c r="Q152" s="33" t="str">
        <f>VLOOKUP($G152,'Hoja 10'!$F$4:$AA1057, 21,0)</f>
        <v>https://www.maderea.es/tipos-de-tablero-de-madera-y-diferencias-clases-de-servicio-y-clases-de-uso/</v>
      </c>
      <c r="R152" s="86" t="s">
        <v>2033</v>
      </c>
      <c r="S152" s="44" t="b">
        <v>0</v>
      </c>
      <c r="T152" s="39" t="str">
        <f>IFERROR(__xludf.DUMMYFUNCTION(" IF
( VLOOKUP($G152,IMPORTRANGE(""https://docs.google.com/spreadsheets/d/1Gpl6jkTg7sL4VDNimUm3S9Vi1i95esohXCF3wuKOE8c"", ""'CONSOLIDADO'!G5:AB""), 10, 0) &lt;&gt; 0, 
IFERROR(VLOOKUP($G152,IMPORTRANGE(""https://docs.google.com/spreadsheets/d/1Gpl6jkTg7sL4VDNimU"&amp;"m3S9Vi1i95esohXCF3wuKOE8c"", ""'CONSOLIDADO'!G5:AB""), 17, 0), ""-""),
""""
)"),"NACIONAL")</f>
        <v>NACIONAL</v>
      </c>
      <c r="U152" s="39" t="str">
        <f>IFERROR(__xludf.DUMMYFUNCTION(" IF
( VLOOKUP($G152,IMPORTRANGE(""https://docs.google.com/spreadsheets/d/1Gpl6jkTg7sL4VDNimUm3S9Vi1i95esohXCF3wuKOE8c"", ""'CONSOLIDADO'!G5:AB""), 10, 0) &lt;&gt; 0, 
IFERROR(VLOOKUP($G152,IMPORTRANGE(""https://docs.google.com/spreadsheets/d/1Gpl6jkTg7sL4VDNimU"&amp;"m3S9Vi1i95esohXCF3wuKOE8c"", ""'CONSOLIDADO'!G5:AB""), 18, 0), ""-""),
""""
)"),"ALFIO")</f>
        <v>ALFIO</v>
      </c>
      <c r="V152" s="39" t="str">
        <f>IFERROR(__xludf.DUMMYFUNCTION(" IF
( VLOOKUP($G152,IMPORTRANGE(""https://docs.google.com/spreadsheets/d/1Gpl6jkTg7sL4VDNimUm3S9Vi1i95esohXCF3wuKOE8c"", ""'CONSOLIDADO'!G5:AB""), 10, 0) &lt;&gt; 0, 
IFERROR(VLOOKUP($G152,IMPORTRANGE(""https://docs.google.com/spreadsheets/d/1Gpl6jkTg7sL4VDNimU"&amp;"m3S9Vi1i95esohXCF3wuKOE8c"", ""'CONSOLIDADO'!G5:AB""), 17, 0), ""-""),
""""
)"),"NACIONAL")</f>
        <v>NACIONAL</v>
      </c>
      <c r="W152" s="39" t="str">
        <f>IFERROR(__xludf.DUMMYFUNCTION(" IF
( VLOOKUP($G152,IMPORTRANGE(""https://docs.google.com/spreadsheets/d/1Gpl6jkTg7sL4VDNimUm3S9Vi1i95esohXCF3wuKOE8c"", ""'CONSOLIDADO'!G5:AB""), 10, 0) &lt;&gt; 0, 
IFERROR(VLOOKUP($G152,IMPORTRANGE(""https://docs.google.com/spreadsheets/d/1Gpl6jkTg7sL4VDNimU"&amp;"m3S9Vi1i95esohXCF3wuKOE8c"", ""'CONSOLIDADO'!G5:AB""), 18, 0), ""-""),
""""
)"),"ALFIO")</f>
        <v>ALFIO</v>
      </c>
      <c r="X152" s="39" t="b">
        <f>IF(AND(T152=V152,W152=U152),TRUE,FALSE)</f>
        <v>1</v>
      </c>
      <c r="Y152" s="110" t="str">
        <f>IFERROR(__xludf.DUMMYFUNCTION(" IF
( VLOOKUP($G152,IMPORTRANGE(""https://docs.google.com/spreadsheets/d/1Gpl6jkTg7sL4VDNimUm3S9Vi1i95esohXCF3wuKOE8c"", ""'CONSOLIDADO'!G5:AB""), 10, 0) &lt;&gt; 0, 
IFERROR(VLOOKUP($G152,IMPORTRANGE(""https://docs.google.com/spreadsheets/d/1Gpl6jkTg7sL4VDNimU"&amp;"m3S9Vi1i95esohXCF3wuKOE8c"", ""'CONSOLIDADO'!G5:AB""), 19, 0), ""-""),
""""
)"),"")</f>
        <v/>
      </c>
      <c r="Z152" s="37" t="str">
        <f>IFERROR(__xludf.DUMMYFUNCTION("IFERROR(VLOOKUP(G152,IMPORTRANGE(""https://docs.google.com/spreadsheets/d/12RxCea4e5ggM7QGn1XE3FbLQa_-QbCNdBi90OdPjRqg"", ""'Plan de Compras'!D4:Q""), 12, 0), ""NO ESTÁ EN REQ"")"),"Hugo")</f>
        <v>Hugo</v>
      </c>
      <c r="AA152" s="37" t="str">
        <f>IFERROR(__xludf.DUMMYFUNCTION("IFERROR(VLOOKUP(G152,IMPORTRANGE(""https://docs.google.com/spreadsheets/d/12RxCea4e5ggM7QGn1XE3FbLQa_-QbCNdBi90OdPjRqg"", ""'Plan de Compras'!D4:Q""), 13, 0), """")"),"NACIONAL")</f>
        <v>NACIONAL</v>
      </c>
      <c r="AB152" s="32" t="str">
        <f>IFERROR(__xludf.DUMMYFUNCTION("IFERROR(VLOOKUP(G152,IMPORTRANGE(""https://docs.google.com/spreadsheets/d/12RxCea4e5ggM7QGn1XE3FbLQa_-QbCNdBi90OdPjRqg"", ""'Plan de Compras'!D4:Q""), 14, 0), """")"),"ALFIO")</f>
        <v>ALFIO</v>
      </c>
      <c r="AC152" s="72" t="str">
        <f>IFERROR(__xludf.DUMMYFUNCTION("IFERROR(VLOOKUP(G152,IMPORTRANGE(""https://docs.google.com/spreadsheets/d/12RxCea4e5ggM7QGn1XE3FbLQa_-QbCNdBi90OdPjRqg"", ""'Plan de Compras'!D4:Q""), 4, 0), """")"),"MUESTRARIO DE TABLEROS PREFABRICADOS")</f>
        <v>MUESTRARIO DE TABLEROS PREFABRICADOS</v>
      </c>
      <c r="AD152" s="37" t="str">
        <f>IFERROR(__xludf.DUMMYFUNCTION("IFERROR(IF(OR(C152=TRUE,C152=""""),VLOOKUP(G152,IMPORTRANGE(""https://docs.google.com/spreadsheets/d/1z9A1Wq-kKrhRNG5RS2a2fKpY1wIhSVz2ZNmP2mOl588/edit?usp=sharing"",""REQ VF!E4:H""),4,0),""NO APLICA""),""GENERAR REQ"")"),"GENERAR REQ")</f>
        <v>GENERAR REQ</v>
      </c>
      <c r="AE152" s="32" t="str">
        <f>IFERROR(__xludf.DUMMYFUNCTION("IFERROR(QUERY(IMPORTRANGE(""https://docs.google.com/spreadsheets/d/1z9A1Wq-kKrhRNG5RS2a2fKpY1wIhSVz2ZNmP2mOl588/edit?usp=sharing"",""REQ VF!E4:Q""),""SELECT Col10, Col11, Col12 WHERE Col1 = '""&amp;G152&amp;""'"",0),""NO APLICA"")"),"NO APLICA")</f>
        <v>NO APLICA</v>
      </c>
      <c r="AF152" s="32"/>
      <c r="AG152" s="32"/>
      <c r="AH152" s="13"/>
      <c r="AI152" s="13"/>
    </row>
    <row r="153">
      <c r="A153" s="117"/>
      <c r="B153" s="43" t="b">
        <v>0</v>
      </c>
      <c r="C153" s="26" t="b">
        <v>0</v>
      </c>
      <c r="D153" s="48"/>
      <c r="E153" s="48"/>
      <c r="F153" s="94"/>
      <c r="G153" s="63" t="s">
        <v>2029</v>
      </c>
      <c r="H153" s="132" t="s">
        <v>2034</v>
      </c>
      <c r="I153" s="43">
        <v>8.0</v>
      </c>
      <c r="J153" s="26"/>
      <c r="K153" s="26"/>
      <c r="L153" s="29"/>
      <c r="M153" s="61"/>
      <c r="N153" s="32"/>
      <c r="O153" s="32"/>
      <c r="P153" s="32"/>
      <c r="Q153" s="41"/>
      <c r="R153" s="32"/>
      <c r="S153" s="44" t="b">
        <v>0</v>
      </c>
      <c r="T153" s="39"/>
      <c r="U153" s="39"/>
      <c r="V153" s="39"/>
      <c r="W153" s="39"/>
      <c r="X153" s="39"/>
      <c r="Y153" s="110"/>
      <c r="Z153" s="37"/>
      <c r="AA153" s="37"/>
      <c r="AB153" s="32"/>
      <c r="AC153" s="72"/>
      <c r="AD153" s="37"/>
      <c r="AE153" s="32"/>
      <c r="AF153" s="32"/>
      <c r="AG153" s="32"/>
      <c r="AH153" s="13"/>
      <c r="AI153" s="13"/>
    </row>
    <row r="154">
      <c r="A154" s="117">
        <v>96.0</v>
      </c>
      <c r="B154" s="43" t="b">
        <v>1</v>
      </c>
      <c r="C154" s="26" t="b">
        <v>1</v>
      </c>
      <c r="D154" s="48" t="s">
        <v>35</v>
      </c>
      <c r="E154" s="48" t="s">
        <v>1510</v>
      </c>
      <c r="F154" s="94" t="s">
        <v>2035</v>
      </c>
      <c r="G154" s="39" t="s">
        <v>2035</v>
      </c>
      <c r="H154" s="66" t="s">
        <v>2036</v>
      </c>
      <c r="I154" s="43">
        <f>SUMIFS('Hoja 10'!$O:$O,'Hoja 10'!$F:$F,$G154)</f>
        <v>8</v>
      </c>
      <c r="J154" s="26">
        <f>IFERROR(__xludf.DUMMYFUNCTION("VLOOKUP(G154,IMPORTRANGE(""https://docs.google.com/spreadsheets/d/12RxCea4e5ggM7QGn1XE3FbLQa_-QbCNdBi90OdPjRqg/edit?gid=1692403370#gid=1692403370"", ""'Plan de Compras'!D4:2432""), 8,0)"),8.0)</f>
        <v>8</v>
      </c>
      <c r="K154" s="26" t="str">
        <f t="shared" ref="K154:K233" si="18"> IF( C154=TRUE, IF(I154=J154,"SI","NO"), "-")</f>
        <v>SI</v>
      </c>
      <c r="L154" s="29" t="s">
        <v>296</v>
      </c>
      <c r="M154" s="30" t="s">
        <v>297</v>
      </c>
      <c r="N154" s="32"/>
      <c r="O154" s="32" t="str">
        <f>VLOOKUP($G154,'Hoja 10'!$F$4:$AA1057, 19,0)</f>
        <v>MELAMINA PERU </v>
      </c>
      <c r="P154" s="32" t="str">
        <f>VLOOKUP($G154,'Hoja 10'!$F$4:$AA1057, 20,0)</f>
        <v>PVC</v>
      </c>
      <c r="Q154" s="33" t="str">
        <f>VLOOKUP($G154,'Hoja 10'!$F$4:$AA1057, 21,0)</f>
        <v>https://melaminaperu.com/tapacanto-para-melamina/</v>
      </c>
      <c r="R154" s="86" t="s">
        <v>2037</v>
      </c>
      <c r="S154" s="44" t="b">
        <v>0</v>
      </c>
      <c r="T154" s="39" t="str">
        <f>IFERROR(__xludf.DUMMYFUNCTION(" IF
( VLOOKUP($G154,IMPORTRANGE(""https://docs.google.com/spreadsheets/d/1Gpl6jkTg7sL4VDNimUm3S9Vi1i95esohXCF3wuKOE8c"", ""'CONSOLIDADO'!G5:AB""), 10, 0) &lt;&gt; 0, 
IFERROR(VLOOKUP($G154,IMPORTRANGE(""https://docs.google.com/spreadsheets/d/1Gpl6jkTg7sL4VDNimU"&amp;"m3S9Vi1i95esohXCF3wuKOE8c"", ""'CONSOLIDADO'!G5:AB""), 17, 0), ""-""),
""""
)"),"MASISA / DVP Perú")</f>
        <v>MASISA / DVP Perú</v>
      </c>
      <c r="U154" s="39" t="str">
        <f>IFERROR(__xludf.DUMMYFUNCTION(" IF
( VLOOKUP($G154,IMPORTRANGE(""https://docs.google.com/spreadsheets/d/1Gpl6jkTg7sL4VDNimUm3S9Vi1i95esohXCF3wuKOE8c"", ""'CONSOLIDADO'!G5:AB""), 10, 0) &lt;&gt; 0, 
IFERROR(VLOOKUP($G154,IMPORTRANGE(""https://docs.google.com/spreadsheets/d/1Gpl6jkTg7sL4VDNimU"&amp;"m3S9Vi1i95esohXCF3wuKOE8c"", ""'CONSOLIDADO'!G5:AB""), 18, 0), ""-""),
""""
)"),"")</f>
        <v/>
      </c>
      <c r="V154" s="39" t="str">
        <f>IFERROR(__xludf.DUMMYFUNCTION(" IF
( VLOOKUP($G154,IMPORTRANGE(""https://docs.google.com/spreadsheets/d/1Gpl6jkTg7sL4VDNimUm3S9Vi1i95esohXCF3wuKOE8c"", ""'CONSOLIDADO'!G5:AB""), 10, 0) &lt;&gt; 0, 
IFERROR(VLOOKUP($G154,IMPORTRANGE(""https://docs.google.com/spreadsheets/d/1Gpl6jkTg7sL4VDNimU"&amp;"m3S9Vi1i95esohXCF3wuKOE8c"", ""'CONSOLIDADO'!G5:AB""), 17, 0), ""-""),
""""
)"),"MASISA / DVP Perú")</f>
        <v>MASISA / DVP Perú</v>
      </c>
      <c r="W154" s="39" t="str">
        <f>IFERROR(__xludf.DUMMYFUNCTION(" IF
( VLOOKUP($G154,IMPORTRANGE(""https://docs.google.com/spreadsheets/d/1Gpl6jkTg7sL4VDNimUm3S9Vi1i95esohXCF3wuKOE8c"", ""'CONSOLIDADO'!G5:AB""), 10, 0) &lt;&gt; 0, 
IFERROR(VLOOKUP($G154,IMPORTRANGE(""https://docs.google.com/spreadsheets/d/1Gpl6jkTg7sL4VDNimU"&amp;"m3S9Vi1i95esohXCF3wuKOE8c"", ""'CONSOLIDADO'!G5:AB""), 18, 0), ""-""),
""""
)"),"")</f>
        <v/>
      </c>
      <c r="X154" s="39" t="b">
        <f t="shared" ref="X154:X159" si="19">IF(AND(T154=V154,W154=U154),TRUE,FALSE)</f>
        <v>1</v>
      </c>
      <c r="Y154" s="110" t="str">
        <f>IFERROR(__xludf.DUMMYFUNCTION(" IF
( VLOOKUP($G154,IMPORTRANGE(""https://docs.google.com/spreadsheets/d/1Gpl6jkTg7sL4VDNimUm3S9Vi1i95esohXCF3wuKOE8c"", ""'CONSOLIDADO'!G5:AB""), 10, 0) &lt;&gt; 0, 
IFERROR(VLOOKUP($G154,IMPORTRANGE(""https://docs.google.com/spreadsheets/d/1Gpl6jkTg7sL4VDNimU"&amp;"m3S9Vi1i95esohXCF3wuKOE8c"", ""'CONSOLIDADO'!G5:AB""), 19, 0), ""-""),
""""
)"),"")</f>
        <v/>
      </c>
      <c r="Z154" s="37" t="str">
        <f>IFERROR(__xludf.DUMMYFUNCTION("IFERROR(VLOOKUP(G154,IMPORTRANGE(""https://docs.google.com/spreadsheets/d/12RxCea4e5ggM7QGn1XE3FbLQa_-QbCNdBi90OdPjRqg"", ""'Plan de Compras'!D4:Q""), 12, 0), ""NO ESTÁ EN REQ"")"),"Técnica")</f>
        <v>Técnica</v>
      </c>
      <c r="AA154" s="37" t="str">
        <f>IFERROR(__xludf.DUMMYFUNCTION("IFERROR(VLOOKUP(G154,IMPORTRANGE(""https://docs.google.com/spreadsheets/d/12RxCea4e5ggM7QGn1XE3FbLQa_-QbCNdBi90OdPjRqg"", ""'Plan de Compras'!D4:Q""), 13, 0), """")"),"NACIONAL")</f>
        <v>NACIONAL</v>
      </c>
      <c r="AB154" s="32" t="str">
        <f>IFERROR(__xludf.DUMMYFUNCTION("IFERROR(VLOOKUP(G154,IMPORTRANGE(""https://docs.google.com/spreadsheets/d/12RxCea4e5ggM7QGn1XE3FbLQa_-QbCNdBi90OdPjRqg"", ""'Plan de Compras'!D4:Q""), 14, 0), """")"),"ALFIO")</f>
        <v>ALFIO</v>
      </c>
      <c r="AC154" s="72" t="str">
        <f>IFERROR(__xludf.DUMMYFUNCTION("IFERROR(VLOOKUP(G154,IMPORTRANGE(""https://docs.google.com/spreadsheets/d/12RxCea4e5ggM7QGn1XE3FbLQa_-QbCNdBi90OdPjRqg"", ""'Plan de Compras'!D4:Q""), 4, 0), """")"),"MUESTRARIO DE TAPACANTOS")</f>
        <v>MUESTRARIO DE TAPACANTOS</v>
      </c>
      <c r="AD154" s="37" t="str">
        <f>IFERROR(__xludf.DUMMYFUNCTION("IFERROR(IF(OR(C154=TRUE,C154=""""),VLOOKUP(G154,IMPORTRANGE(""https://docs.google.com/spreadsheets/d/1z9A1Wq-kKrhRNG5RS2a2fKpY1wIhSVz2ZNmP2mOl588/edit?usp=sharing"",""REQ VF!E4:H""),4,0),""NO APLICA""),""GENERAR REQ"")"),"GENERAR REQ")</f>
        <v>GENERAR REQ</v>
      </c>
      <c r="AE154" s="32" t="str">
        <f>IFERROR(__xludf.DUMMYFUNCTION("IFERROR(QUERY(IMPORTRANGE(""https://docs.google.com/spreadsheets/d/1z9A1Wq-kKrhRNG5RS2a2fKpY1wIhSVz2ZNmP2mOl588/edit?usp=sharing"",""REQ VF!E4:Q""),""SELECT Col10, Col11, Col12 WHERE Col1 = '""&amp;G154&amp;""'"",0),""NO APLICA"")"),"NO APLICA")</f>
        <v>NO APLICA</v>
      </c>
      <c r="AF154" s="32"/>
      <c r="AG154" s="32"/>
      <c r="AH154" s="13"/>
      <c r="AI154" s="13"/>
    </row>
    <row r="155">
      <c r="A155" s="121">
        <v>97.0</v>
      </c>
      <c r="B155" s="43" t="b">
        <v>1</v>
      </c>
      <c r="C155" s="26" t="b">
        <v>1</v>
      </c>
      <c r="D155" s="26" t="s">
        <v>35</v>
      </c>
      <c r="E155" s="26" t="s">
        <v>1510</v>
      </c>
      <c r="F155" s="59" t="s">
        <v>2038</v>
      </c>
      <c r="G155" s="39" t="s">
        <v>2038</v>
      </c>
      <c r="H155" s="66" t="s">
        <v>2039</v>
      </c>
      <c r="I155" s="43">
        <f>SUMIFS('Hoja 10'!$O:$O,'Hoja 10'!$F:$F,$G155)</f>
        <v>5</v>
      </c>
      <c r="J155" s="26">
        <f>IFERROR(__xludf.DUMMYFUNCTION("VLOOKUP(G155,IMPORTRANGE(""https://docs.google.com/spreadsheets/d/12RxCea4e5ggM7QGn1XE3FbLQa_-QbCNdBi90OdPjRqg/edit?gid=1692403370#gid=1692403370"", ""'Plan de Compras'!D4:2432""), 8,0)"),5.0)</f>
        <v>5</v>
      </c>
      <c r="K155" s="26" t="str">
        <f t="shared" si="18"/>
        <v>SI</v>
      </c>
      <c r="L155" s="29" t="s">
        <v>91</v>
      </c>
      <c r="M155" s="30" t="s">
        <v>92</v>
      </c>
      <c r="N155" s="32"/>
      <c r="O155" s="32" t="str">
        <f>VLOOKUP($G155,'Hoja 10'!$F$4:$AA1057, 19,0)</f>
        <v>TOTAL</v>
      </c>
      <c r="P155" s="32" t="str">
        <f>VLOOKUP($G155,'Hoja 10'!$F$4:$AA1057, 20,0)</f>
        <v>TOTAL</v>
      </c>
      <c r="Q155" s="33" t="str">
        <f>VLOOKUP($G155,'Hoja 10'!$F$4:$AA1057, 21,0)</f>
        <v>https://www.itools.pe/product/nivel-de-burbuja-manual-magnetico-60cm-profesional-total-tmt26056</v>
      </c>
      <c r="R155" s="86" t="s">
        <v>2040</v>
      </c>
      <c r="S155" s="44" t="b">
        <v>1</v>
      </c>
      <c r="T155" s="39" t="str">
        <f>IFERROR(__xludf.DUMMYFUNCTION(" IF
( VLOOKUP($G155,IMPORTRANGE(""https://docs.google.com/spreadsheets/d/1Gpl6jkTg7sL4VDNimUm3S9Vi1i95esohXCF3wuKOE8c"", ""'CONSOLIDADO'!G5:AB""), 10, 0) &lt;&gt; 0, 
IFERROR(VLOOKUP($G155,IMPORTRANGE(""https://docs.google.com/spreadsheets/d/1Gpl6jkTg7sL4VDNimU"&amp;"m3S9Vi1i95esohXCF3wuKOE8c"", ""'CONSOLIDADO'!G5:AB""), 17, 0), ""-""),
""""
)"),"TOTAL")</f>
        <v>TOTAL</v>
      </c>
      <c r="U155" s="39" t="str">
        <f>IFERROR(__xludf.DUMMYFUNCTION(" IF
( VLOOKUP($G155,IMPORTRANGE(""https://docs.google.com/spreadsheets/d/1Gpl6jkTg7sL4VDNimUm3S9Vi1i95esohXCF3wuKOE8c"", ""'CONSOLIDADO'!G5:AB""), 10, 0) &lt;&gt; 0, 
IFERROR(VLOOKUP($G155,IMPORTRANGE(""https://docs.google.com/spreadsheets/d/1Gpl6jkTg7sL4VDNimU"&amp;"m3S9Vi1i95esohXCF3wuKOE8c"", ""'CONSOLIDADO'!G5:AB""), 18, 0), ""-""),
""""
)"),"TMT26056")</f>
        <v>TMT26056</v>
      </c>
      <c r="V155" s="39" t="str">
        <f>IFERROR(__xludf.DUMMYFUNCTION(" IF
( VLOOKUP($G155,IMPORTRANGE(""https://docs.google.com/spreadsheets/d/1Gpl6jkTg7sL4VDNimUm3S9Vi1i95esohXCF3wuKOE8c"", ""'CONSOLIDADO'!G5:AB""), 10, 0) &lt;&gt; 0, 
IFERROR(VLOOKUP($G155,IMPORTRANGE(""https://docs.google.com/spreadsheets/d/1Gpl6jkTg7sL4VDNimU"&amp;"m3S9Vi1i95esohXCF3wuKOE8c"", ""'CONSOLIDADO'!G5:AB""), 17, 0), ""-""),
""""
)"),"TOTAL")</f>
        <v>TOTAL</v>
      </c>
      <c r="W155" s="39" t="str">
        <f>IFERROR(__xludf.DUMMYFUNCTION(" IF
( VLOOKUP($G155,IMPORTRANGE(""https://docs.google.com/spreadsheets/d/1Gpl6jkTg7sL4VDNimUm3S9Vi1i95esohXCF3wuKOE8c"", ""'CONSOLIDADO'!G5:AB""), 10, 0) &lt;&gt; 0, 
IFERROR(VLOOKUP($G155,IMPORTRANGE(""https://docs.google.com/spreadsheets/d/1Gpl6jkTg7sL4VDNimU"&amp;"m3S9Vi1i95esohXCF3wuKOE8c"", ""'CONSOLIDADO'!G5:AB""), 18, 0), ""-""),
""""
)"),"TMT26056")</f>
        <v>TMT26056</v>
      </c>
      <c r="X155" s="39" t="b">
        <f t="shared" si="19"/>
        <v>1</v>
      </c>
      <c r="Y155" s="120" t="str">
        <f>IFERROR(__xludf.DUMMYFUNCTION(" IF
( VLOOKUP($G155,IMPORTRANGE(""https://docs.google.com/spreadsheets/d/1Gpl6jkTg7sL4VDNimUm3S9Vi1i95esohXCF3wuKOE8c"", ""'CONSOLIDADO'!G5:AB""), 10, 0) &lt;&gt; 0, 
IFERROR(VLOOKUP($G155,IMPORTRANGE(""https://docs.google.com/spreadsheets/d/1Gpl6jkTg7sL4VDNimU"&amp;"m3S9Vi1i95esohXCF3wuKOE8c"", ""'CONSOLIDADO'!G5:AB""), 19, 0), ""-""),
""""
)"),"https://drive.google.com/drive/folders/1Q6KY0XfHbVu-HqzDMNEnR9FPIyB6K_X8")</f>
        <v>https://drive.google.com/drive/folders/1Q6KY0XfHbVu-HqzDMNEnR9FPIyB6K_X8</v>
      </c>
      <c r="Z155" s="37" t="str">
        <f>IFERROR(__xludf.DUMMYFUNCTION("IFERROR(VLOOKUP(G155,IMPORTRANGE(""https://docs.google.com/spreadsheets/d/12RxCea4e5ggM7QGn1XE3FbLQa_-QbCNdBi90OdPjRqg"", ""'Plan de Compras'!D4:Q""), 12, 0), ""NO ESTÁ EN REQ"")"),"Simple")</f>
        <v>Simple</v>
      </c>
      <c r="AA155" s="37" t="str">
        <f>IFERROR(__xludf.DUMMYFUNCTION("IFERROR(VLOOKUP(G155,IMPORTRANGE(""https://docs.google.com/spreadsheets/d/12RxCea4e5ggM7QGn1XE3FbLQa_-QbCNdBi90OdPjRqg"", ""'Plan de Compras'!D4:Q""), 13, 0), """")"),"NACIONAL")</f>
        <v>NACIONAL</v>
      </c>
      <c r="AB155" s="32" t="str">
        <f>IFERROR(__xludf.DUMMYFUNCTION("IFERROR(VLOOKUP(G155,IMPORTRANGE(""https://docs.google.com/spreadsheets/d/12RxCea4e5ggM7QGn1XE3FbLQa_-QbCNdBi90OdPjRqg"", ""'Plan de Compras'!D4:Q""), 14, 0), """")"),"DIANA")</f>
        <v>DIANA</v>
      </c>
      <c r="AC155" s="72" t="str">
        <f>IFERROR(__xludf.DUMMYFUNCTION("IFERROR(VLOOKUP(G155,IMPORTRANGE(""https://docs.google.com/spreadsheets/d/12RxCea4e5ggM7QGn1XE3FbLQa_-QbCNdBi90OdPjRqg"", ""'Plan de Compras'!D4:Q""), 4, 0), """")"),"NIVEL DE BURBUJAS")</f>
        <v>NIVEL DE BURBUJAS</v>
      </c>
      <c r="AD155" s="37" t="str">
        <f>IFERROR(__xludf.DUMMYFUNCTION("IFERROR(IF(OR(C155=TRUE,C155=""""),VLOOKUP(G155,IMPORTRANGE(""https://docs.google.com/spreadsheets/d/1z9A1Wq-kKrhRNG5RS2a2fKpY1wIhSVz2ZNmP2mOl588/edit?usp=sharing"",""REQ VF!E4:H""),4,0),""NO APLICA""),""GENERAR REQ"")"),"GENERAR REQ")</f>
        <v>GENERAR REQ</v>
      </c>
      <c r="AE155" s="32" t="str">
        <f>IFERROR(__xludf.DUMMYFUNCTION("IFERROR(QUERY(IMPORTRANGE(""https://docs.google.com/spreadsheets/d/1z9A1Wq-kKrhRNG5RS2a2fKpY1wIhSVz2ZNmP2mOl588/edit?usp=sharing"",""REQ VF!E4:Q""),""SELECT Col10, Col11, Col12 WHERE Col1 = '""&amp;G155&amp;""'"",0),""NO APLICA"")"),"NO APLICA")</f>
        <v>NO APLICA</v>
      </c>
      <c r="AF155" s="32"/>
      <c r="AG155" s="32"/>
      <c r="AH155" s="8" t="s">
        <v>52</v>
      </c>
      <c r="AI155" s="8"/>
    </row>
    <row r="156">
      <c r="A156" s="121">
        <v>98.0</v>
      </c>
      <c r="B156" s="43" t="b">
        <v>1</v>
      </c>
      <c r="C156" s="26" t="b">
        <v>1</v>
      </c>
      <c r="D156" s="26" t="s">
        <v>35</v>
      </c>
      <c r="E156" s="26" t="s">
        <v>1510</v>
      </c>
      <c r="F156" s="59" t="s">
        <v>2041</v>
      </c>
      <c r="G156" s="39" t="s">
        <v>2041</v>
      </c>
      <c r="H156" s="66" t="s">
        <v>2042</v>
      </c>
      <c r="I156" s="43">
        <f>SUMIFS('Hoja 10'!$O:$O,'Hoja 10'!$F:$F,$G156)</f>
        <v>8</v>
      </c>
      <c r="J156" s="26">
        <f>IFERROR(__xludf.DUMMYFUNCTION("VLOOKUP(G156,IMPORTRANGE(""https://docs.google.com/spreadsheets/d/12RxCea4e5ggM7QGn1XE3FbLQa_-QbCNdBi90OdPjRqg/edit?gid=1692403370#gid=1692403370"", ""'Plan de Compras'!D4:2432""), 8,0)"),8.0)</f>
        <v>8</v>
      </c>
      <c r="K156" s="26" t="str">
        <f t="shared" si="18"/>
        <v>SI</v>
      </c>
      <c r="L156" s="29" t="s">
        <v>296</v>
      </c>
      <c r="M156" s="30" t="s">
        <v>297</v>
      </c>
      <c r="N156" s="32"/>
      <c r="O156" s="32" t="str">
        <f>VLOOKUP($G156,'Hoja 10'!$F$4:$AA1057, 19,0)</f>
        <v>BOSCH</v>
      </c>
      <c r="P156" s="32" t="str">
        <f>VLOOKUP($G156,'Hoja 10'!$F$4:$AA1057, 20,0)</f>
        <v>GAM 220 MF</v>
      </c>
      <c r="Q156" s="33" t="str">
        <f>VLOOKUP($G156,'Hoja 10'!$F$4:$AA1057, 21,0)</f>
        <v>https://www.plazavea.com.pe/medidor-de-angulos-bosch-gam-220-mf-101376464/p?gclsrc=aw.ds&amp;gad_source=1&amp;gad_campaignid=22403266061&amp;gbraid=0AAAAAqXj2Lpfnd6JpmOx6JThZB7KPUFi6&amp;gclid=CjwKCAjwup3HBhAAEiwA7euZumam8kcQ1iRZrsmfFukh4bx-BWQQbG_nMh7nCD8RCwgZaG0hjaP0DxoCY5wQAvD_BwE</v>
      </c>
      <c r="R156" s="86" t="s">
        <v>2043</v>
      </c>
      <c r="S156" s="44" t="b">
        <v>1</v>
      </c>
      <c r="T156" s="39" t="str">
        <f>IFERROR(__xludf.DUMMYFUNCTION(" IF
( VLOOKUP($G156,IMPORTRANGE(""https://docs.google.com/spreadsheets/d/1Gpl6jkTg7sL4VDNimUm3S9Vi1i95esohXCF3wuKOE8c"", ""'CONSOLIDADO'!G5:AB""), 10, 0) &lt;&gt; 0, 
IFERROR(VLOOKUP($G156,IMPORTRANGE(""https://docs.google.com/spreadsheets/d/1Gpl6jkTg7sL4VDNimU"&amp;"m3S9Vi1i95esohXCF3wuKOE8c"", ""'CONSOLIDADO'!G5:AB""), 17, 0), ""-""),
""""
)"),"BOSCH")</f>
        <v>BOSCH</v>
      </c>
      <c r="U156" s="39" t="str">
        <f>IFERROR(__xludf.DUMMYFUNCTION(" IF
( VLOOKUP($G156,IMPORTRANGE(""https://docs.google.com/spreadsheets/d/1Gpl6jkTg7sL4VDNimUm3S9Vi1i95esohXCF3wuKOE8c"", ""'CONSOLIDADO'!G5:AB""), 10, 0) &lt;&gt; 0, 
IFERROR(VLOOKUP($G156,IMPORTRANGE(""https://docs.google.com/spreadsheets/d/1Gpl6jkTg7sL4VDNimU"&amp;"m3S9Vi1i95esohXCF3wuKOE8c"", ""'CONSOLIDADO'!G5:AB""), 18, 0), ""-""),
""""
)"),"GAM 220 MF")</f>
        <v>GAM 220 MF</v>
      </c>
      <c r="V156" s="39" t="str">
        <f>IFERROR(__xludf.DUMMYFUNCTION(" IF
( VLOOKUP($G156,IMPORTRANGE(""https://docs.google.com/spreadsheets/d/1Gpl6jkTg7sL4VDNimUm3S9Vi1i95esohXCF3wuKOE8c"", ""'CONSOLIDADO'!G5:AB""), 10, 0) &lt;&gt; 0, 
IFERROR(VLOOKUP($G156,IMPORTRANGE(""https://docs.google.com/spreadsheets/d/1Gpl6jkTg7sL4VDNimU"&amp;"m3S9Vi1i95esohXCF3wuKOE8c"", ""'CONSOLIDADO'!G5:AB""), 17, 0), ""-""),
""""
)"),"BOSCH")</f>
        <v>BOSCH</v>
      </c>
      <c r="W156" s="39" t="str">
        <f>IFERROR(__xludf.DUMMYFUNCTION(" IF
( VLOOKUP($G156,IMPORTRANGE(""https://docs.google.com/spreadsheets/d/1Gpl6jkTg7sL4VDNimUm3S9Vi1i95esohXCF3wuKOE8c"", ""'CONSOLIDADO'!G5:AB""), 10, 0) &lt;&gt; 0, 
IFERROR(VLOOKUP($G156,IMPORTRANGE(""https://docs.google.com/spreadsheets/d/1Gpl6jkTg7sL4VDNimU"&amp;"m3S9Vi1i95esohXCF3wuKOE8c"", ""'CONSOLIDADO'!G5:AB""), 18, 0), ""-""),
""""
)"),"GAM 220 MF")</f>
        <v>GAM 220 MF</v>
      </c>
      <c r="X156" s="39" t="b">
        <f t="shared" si="19"/>
        <v>1</v>
      </c>
      <c r="Y156" s="120" t="str">
        <f>IFERROR(__xludf.DUMMYFUNCTION(" IF
( VLOOKUP($G156,IMPORTRANGE(""https://docs.google.com/spreadsheets/d/1Gpl6jkTg7sL4VDNimUm3S9Vi1i95esohXCF3wuKOE8c"", ""'CONSOLIDADO'!G5:AB""), 10, 0) &lt;&gt; 0, 
IFERROR(VLOOKUP($G156,IMPORTRANGE(""https://docs.google.com/spreadsheets/d/1Gpl6jkTg7sL4VDNimU"&amp;"m3S9Vi1i95esohXCF3wuKOE8c"", ""'CONSOLIDADO'!G5:AB""), 19, 0), ""-""),
""""
)"),"https://www.plazavea.com.pe/medidor-de-angulos-bosch-gam-220-mf-101376464/p?gclsrc=aw.ds&amp;gad_source=1&amp;gad_campaignid=22403266061&amp;gbraid=0AAAAAqXj2Lpfnd6JpmOx6JThZB7KPUFi6&amp;gclid=CjwKCAjwup3HBhAAEiwA7euZumam8kcQ1iRZrsmfFukh4bx-BWQQbG_nMh7nCD8RCwgZaG0hjaP0Dx"&amp;"oCY5wQAvD_BwE")</f>
        <v>https://www.plazavea.com.pe/medidor-de-angulos-bosch-gam-220-mf-101376464/p?gclsrc=aw.ds&amp;gad_source=1&amp;gad_campaignid=22403266061&amp;gbraid=0AAAAAqXj2Lpfnd6JpmOx6JThZB7KPUFi6&amp;gclid=CjwKCAjwup3HBhAAEiwA7euZumam8kcQ1iRZrsmfFukh4bx-BWQQbG_nMh7nCD8RCwgZaG0hjaP0DxoCY5wQAvD_BwE</v>
      </c>
      <c r="Z156" s="37" t="str">
        <f>IFERROR(__xludf.DUMMYFUNCTION("IFERROR(VLOOKUP(G156,IMPORTRANGE(""https://docs.google.com/spreadsheets/d/12RxCea4e5ggM7QGn1XE3FbLQa_-QbCNdBi90OdPjRqg"", ""'Plan de Compras'!D4:Q""), 12, 0), ""NO ESTÁ EN REQ"")"),"Simple")</f>
        <v>Simple</v>
      </c>
      <c r="AA156" s="37" t="str">
        <f>IFERROR(__xludf.DUMMYFUNCTION("IFERROR(VLOOKUP(G156,IMPORTRANGE(""https://docs.google.com/spreadsheets/d/12RxCea4e5ggM7QGn1XE3FbLQa_-QbCNdBi90OdPjRqg"", ""'Plan de Compras'!D4:Q""), 13, 0), """")"),"NACIONAL")</f>
        <v>NACIONAL</v>
      </c>
      <c r="AB156" s="32" t="str">
        <f>IFERROR(__xludf.DUMMYFUNCTION("IFERROR(VLOOKUP(G156,IMPORTRANGE(""https://docs.google.com/spreadsheets/d/12RxCea4e5ggM7QGn1XE3FbLQa_-QbCNdBi90OdPjRqg"", ""'Plan de Compras'!D4:Q""), 14, 0), """")"),"DIANA")</f>
        <v>DIANA</v>
      </c>
      <c r="AC156" s="72" t="str">
        <f>IFERROR(__xludf.DUMMYFUNCTION("IFERROR(VLOOKUP(G156,IMPORTRANGE(""https://docs.google.com/spreadsheets/d/12RxCea4e5ggM7QGn1XE3FbLQa_-QbCNdBi90OdPjRqg"", ""'Plan de Compras'!D4:Q""), 4, 0), """")"),"NIVEL DE NIVELACIÓN Y MEDICIÓN DE ÁNGULOS DIGITAL")</f>
        <v>NIVEL DE NIVELACIÓN Y MEDICIÓN DE ÁNGULOS DIGITAL</v>
      </c>
      <c r="AD156" s="37" t="str">
        <f>IFERROR(__xludf.DUMMYFUNCTION("IFERROR(IF(OR(C156=TRUE,C156=""""),VLOOKUP(G156,IMPORTRANGE(""https://docs.google.com/spreadsheets/d/1z9A1Wq-kKrhRNG5RS2a2fKpY1wIhSVz2ZNmP2mOl588/edit?usp=sharing"",""REQ VF!E4:H""),4,0),""NO APLICA""),""GENERAR REQ"")"),"GENERAR REQ")</f>
        <v>GENERAR REQ</v>
      </c>
      <c r="AE156" s="32" t="str">
        <f>IFERROR(__xludf.DUMMYFUNCTION("IFERROR(QUERY(IMPORTRANGE(""https://docs.google.com/spreadsheets/d/1z9A1Wq-kKrhRNG5RS2a2fKpY1wIhSVz2ZNmP2mOl588/edit?usp=sharing"",""REQ VF!E4:Q""),""SELECT Col10, Col11, Col12 WHERE Col1 = '""&amp;G156&amp;""'"",0),""NO APLICA"")"),"NO APLICA")</f>
        <v>NO APLICA</v>
      </c>
      <c r="AF156" s="32"/>
      <c r="AG156" s="32"/>
      <c r="AH156" s="8" t="s">
        <v>52</v>
      </c>
      <c r="AI156" s="8"/>
    </row>
    <row r="157">
      <c r="A157" s="121">
        <v>99.0</v>
      </c>
      <c r="B157" s="43" t="b">
        <v>1</v>
      </c>
      <c r="C157" s="26" t="b">
        <v>1</v>
      </c>
      <c r="D157" s="26" t="s">
        <v>35</v>
      </c>
      <c r="E157" s="26" t="s">
        <v>1510</v>
      </c>
      <c r="F157" s="59" t="s">
        <v>2044</v>
      </c>
      <c r="G157" s="39" t="s">
        <v>2044</v>
      </c>
      <c r="H157" s="66" t="s">
        <v>2045</v>
      </c>
      <c r="I157" s="43">
        <f>SUMIFS('Hoja 10'!$O:$O,'Hoja 10'!$F:$F,$G157)</f>
        <v>1</v>
      </c>
      <c r="J157" s="26">
        <f>IFERROR(__xludf.DUMMYFUNCTION("VLOOKUP(G157,IMPORTRANGE(""https://docs.google.com/spreadsheets/d/12RxCea4e5ggM7QGn1XE3FbLQa_-QbCNdBi90OdPjRqg/edit?gid=1692403370#gid=1692403370"", ""'Plan de Compras'!D4:2432""), 8,0)"),1.0)</f>
        <v>1</v>
      </c>
      <c r="K157" s="26" t="str">
        <f t="shared" si="18"/>
        <v>SI</v>
      </c>
      <c r="L157" s="29" t="s">
        <v>77</v>
      </c>
      <c r="M157" s="30" t="s">
        <v>78</v>
      </c>
      <c r="N157" s="32"/>
      <c r="O157" s="32" t="str">
        <f>VLOOKUP($G157,'Hoja 10'!$F$4:$AA1057, 19,0)</f>
        <v>Dakota</v>
      </c>
      <c r="P157" s="32" t="str">
        <f>VLOOKUP($G157,'Hoja 10'!$F$4:$AA1057, 20,0)</f>
        <v>DK-15A</v>
      </c>
      <c r="Q157" s="33" t="str">
        <f>VLOOKUP($G157,'Hoja 10'!$F$4:$AA1057, 21,0)</f>
        <v>https://www.electrogarline.com/maquinas-gastronomicas/gastronomia-hoteleria/peladoras-de-papa/peladora-de-papa-15-kg-acero-dakota.html?srsltid=AfmBOoonp1jVZiGkOFyhjb9NVVN7DzucMecWW8CIptR36Q3G0zilYBWy</v>
      </c>
      <c r="R157" s="30" t="s">
        <v>2046</v>
      </c>
      <c r="S157" s="44" t="b">
        <v>1</v>
      </c>
      <c r="T157" s="39" t="str">
        <f>IFERROR(__xludf.DUMMYFUNCTION(" IF
( VLOOKUP($G157,IMPORTRANGE(""https://docs.google.com/spreadsheets/d/1Gpl6jkTg7sL4VDNimUm3S9Vi1i95esohXCF3wuKOE8c"", ""'CONSOLIDADO'!G5:AB""), 10, 0) &lt;&gt; 0, 
IFERROR(VLOOKUP($G157,IMPORTRANGE(""https://docs.google.com/spreadsheets/d/1Gpl6jkTg7sL4VDNimU"&amp;"m3S9Vi1i95esohXCF3wuKOE8c"", ""'CONSOLIDADO'!G5:AB""), 17, 0), ""-""),
""""
)"),"Dakota")</f>
        <v>Dakota</v>
      </c>
      <c r="U157" s="39" t="str">
        <f>IFERROR(__xludf.DUMMYFUNCTION(" IF
( VLOOKUP($G157,IMPORTRANGE(""https://docs.google.com/spreadsheets/d/1Gpl6jkTg7sL4VDNimUm3S9Vi1i95esohXCF3wuKOE8c"", ""'CONSOLIDADO'!G5:AB""), 10, 0) &lt;&gt; 0, 
IFERROR(VLOOKUP($G157,IMPORTRANGE(""https://docs.google.com/spreadsheets/d/1Gpl6jkTg7sL4VDNimU"&amp;"m3S9Vi1i95esohXCF3wuKOE8c"", ""'CONSOLIDADO'!G5:AB""), 18, 0), ""-""),
""""
)"),"DK-10A")</f>
        <v>DK-10A</v>
      </c>
      <c r="V157" s="39" t="str">
        <f>IFERROR(__xludf.DUMMYFUNCTION(" IF
( VLOOKUP($G157,IMPORTRANGE(""https://docs.google.com/spreadsheets/d/1Gpl6jkTg7sL4VDNimUm3S9Vi1i95esohXCF3wuKOE8c"", ""'CONSOLIDADO'!G5:AB""), 10, 0) &lt;&gt; 0, 
IFERROR(VLOOKUP($G157,IMPORTRANGE(""https://docs.google.com/spreadsheets/d/1Gpl6jkTg7sL4VDNimU"&amp;"m3S9Vi1i95esohXCF3wuKOE8c"", ""'CONSOLIDADO'!G5:AB""), 17, 0), ""-""),
""""
)"),"Dakota")</f>
        <v>Dakota</v>
      </c>
      <c r="W157" s="39" t="str">
        <f>IFERROR(__xludf.DUMMYFUNCTION(" IF
( VLOOKUP($G157,IMPORTRANGE(""https://docs.google.com/spreadsheets/d/1Gpl6jkTg7sL4VDNimUm3S9Vi1i95esohXCF3wuKOE8c"", ""'CONSOLIDADO'!G5:AB""), 10, 0) &lt;&gt; 0, 
IFERROR(VLOOKUP($G157,IMPORTRANGE(""https://docs.google.com/spreadsheets/d/1Gpl6jkTg7sL4VDNimU"&amp;"m3S9Vi1i95esohXCF3wuKOE8c"", ""'CONSOLIDADO'!G5:AB""), 18, 0), ""-""),
""""
)"),"DK-10A")</f>
        <v>DK-10A</v>
      </c>
      <c r="X157" s="39" t="b">
        <f t="shared" si="19"/>
        <v>1</v>
      </c>
      <c r="Y157" s="120" t="str">
        <f>IFERROR(__xludf.DUMMYFUNCTION(" IF
( VLOOKUP($G157,IMPORTRANGE(""https://docs.google.com/spreadsheets/d/1Gpl6jkTg7sL4VDNimUm3S9Vi1i95esohXCF3wuKOE8c"", ""'CONSOLIDADO'!G5:AB""), 10, 0) &lt;&gt; 0, 
IFERROR(VLOOKUP($G157,IMPORTRANGE(""https://docs.google.com/spreadsheets/d/1Gpl6jkTg7sL4VDNimU"&amp;"m3S9Vi1i95esohXCF3wuKOE8c"", ""'CONSOLIDADO'!G5:AB""), 19, 0), ""-""),
""""
)"),"https://www.electrogarline.com/maquinas-gastronomicas/gastronomia-hoteleria/peladoras-de-papa/peladora-de-papa-10-kg-acero-inoxidable-1-hp-dakota.html")</f>
        <v>https://www.electrogarline.com/maquinas-gastronomicas/gastronomia-hoteleria/peladoras-de-papa/peladora-de-papa-10-kg-acero-inoxidable-1-hp-dakota.html</v>
      </c>
      <c r="Z157" s="37" t="str">
        <f>IFERROR(__xludf.DUMMYFUNCTION("IFERROR(VLOOKUP(G157,IMPORTRANGE(""https://docs.google.com/spreadsheets/d/12RxCea4e5ggM7QGn1XE3FbLQa_-QbCNdBi90OdPjRqg"", ""'Plan de Compras'!D4:Q""), 12, 0), ""NO ESTÁ EN REQ"")"),"Técnica")</f>
        <v>Técnica</v>
      </c>
      <c r="AA157" s="37" t="str">
        <f>IFERROR(__xludf.DUMMYFUNCTION("IFERROR(VLOOKUP(G157,IMPORTRANGE(""https://docs.google.com/spreadsheets/d/12RxCea4e5ggM7QGn1XE3FbLQa_-QbCNdBi90OdPjRqg"", ""'Plan de Compras'!D4:Q""), 13, 0), """")"),"NACIONAL")</f>
        <v>NACIONAL</v>
      </c>
      <c r="AB157" s="32" t="str">
        <f>IFERROR(__xludf.DUMMYFUNCTION("IFERROR(VLOOKUP(G157,IMPORTRANGE(""https://docs.google.com/spreadsheets/d/12RxCea4e5ggM7QGn1XE3FbLQa_-QbCNdBi90OdPjRqg"", ""'Plan de Compras'!D4:Q""), 14, 0), """")"),"GEANFRANCO")</f>
        <v>GEANFRANCO</v>
      </c>
      <c r="AC157" s="72" t="str">
        <f>IFERROR(__xludf.DUMMYFUNCTION("IFERROR(VLOOKUP(G157,IMPORTRANGE(""https://docs.google.com/spreadsheets/d/12RxCea4e5ggM7QGn1XE3FbLQa_-QbCNdBi90OdPjRqg"", ""'Plan de Compras'!D4:Q""), 4, 0), """")"),"PELADOR DE PAPA")</f>
        <v>PELADOR DE PAPA</v>
      </c>
      <c r="AD157" s="37" t="str">
        <f>IFERROR(__xludf.DUMMYFUNCTION("IFERROR(IF(OR(C157=TRUE,C157=""""),VLOOKUP(G157,IMPORTRANGE(""https://docs.google.com/spreadsheets/d/1z9A1Wq-kKrhRNG5RS2a2fKpY1wIhSVz2ZNmP2mOl588/edit?usp=sharing"",""REQ VF!E4:H""),4,0),""NO APLICA""),""GENERAR REQ"")"),"GENERAR REQ")</f>
        <v>GENERAR REQ</v>
      </c>
      <c r="AE157" s="32" t="str">
        <f>IFERROR(__xludf.DUMMYFUNCTION("IFERROR(QUERY(IMPORTRANGE(""https://docs.google.com/spreadsheets/d/1z9A1Wq-kKrhRNG5RS2a2fKpY1wIhSVz2ZNmP2mOl588/edit?usp=sharing"",""REQ VF!E4:Q""),""SELECT Col10, Col11, Col12 WHERE Col1 = '""&amp;G157&amp;""'"",0),""NO APLICA"")"),"NO APLICA")</f>
        <v>NO APLICA</v>
      </c>
      <c r="AF157" s="32"/>
      <c r="AG157" s="32"/>
      <c r="AH157" s="8" t="s">
        <v>52</v>
      </c>
      <c r="AI157" s="13"/>
    </row>
    <row r="158">
      <c r="A158" s="117">
        <v>100.0</v>
      </c>
      <c r="B158" s="43" t="b">
        <v>1</v>
      </c>
      <c r="C158" s="26" t="b">
        <v>1</v>
      </c>
      <c r="D158" s="26" t="s">
        <v>35</v>
      </c>
      <c r="E158" s="26" t="s">
        <v>1510</v>
      </c>
      <c r="F158" s="59" t="s">
        <v>2047</v>
      </c>
      <c r="G158" s="39" t="s">
        <v>2047</v>
      </c>
      <c r="H158" s="66" t="s">
        <v>2048</v>
      </c>
      <c r="I158" s="43">
        <f>SUMIFS('Hoja 10'!$O:$O,'Hoja 10'!$F:$F,$G158)</f>
        <v>16</v>
      </c>
      <c r="J158" s="26">
        <f>IFERROR(__xludf.DUMMYFUNCTION("VLOOKUP(G158,IMPORTRANGE(""https://docs.google.com/spreadsheets/d/12RxCea4e5ggM7QGn1XE3FbLQa_-QbCNdBi90OdPjRqg/edit?gid=1692403370#gid=1692403370"", ""'Plan de Compras'!D4:2432""), 8,0)"),16.0)</f>
        <v>16</v>
      </c>
      <c r="K158" s="26" t="str">
        <f t="shared" si="18"/>
        <v>SI</v>
      </c>
      <c r="L158" s="29" t="s">
        <v>39</v>
      </c>
      <c r="M158" s="30" t="s">
        <v>40</v>
      </c>
      <c r="N158" s="32"/>
      <c r="O158" s="32" t="str">
        <f>VLOOKUP($G158,'Hoja 10'!$F$4:$AA1057, 19,0)</f>
        <v>GENERICO</v>
      </c>
      <c r="P158" s="32" t="str">
        <f>VLOOKUP($G158,'Hoja 10'!$F$4:$AA1057, 20,0)</f>
        <v>GENERICO</v>
      </c>
      <c r="Q158" s="33" t="str">
        <f>VLOOKUP($G158,'Hoja 10'!$F$4:$AA1057, 21,0)</f>
        <v>https://drive.google.com/file/d/1Kr6yDzxqmHDgHm2SjAPF54FTitV7EFRL/view</v>
      </c>
      <c r="R158" s="30" t="s">
        <v>2049</v>
      </c>
      <c r="S158" s="44" t="b">
        <v>1</v>
      </c>
      <c r="T158" s="39" t="str">
        <f>IFERROR(__xludf.DUMMYFUNCTION(" IF
( VLOOKUP($G158,IMPORTRANGE(""https://docs.google.com/spreadsheets/d/1Gpl6jkTg7sL4VDNimUm3S9Vi1i95esohXCF3wuKOE8c"", ""'CONSOLIDADO'!G5:AB""), 10, 0) &lt;&gt; 0, 
IFERROR(VLOOKUP($G158,IMPORTRANGE(""https://docs.google.com/spreadsheets/d/1Gpl6jkTg7sL4VDNimU"&amp;"m3S9Vi1i95esohXCF3wuKOE8c"", ""'CONSOLIDADO'!G5:AB""), 17, 0), ""-""),
""""
)"),"DUCTOR S.A.C.")</f>
        <v>DUCTOR S.A.C.</v>
      </c>
      <c r="U158" s="39" t="str">
        <f>IFERROR(__xludf.DUMMYFUNCTION(" IF
( VLOOKUP($G158,IMPORTRANGE(""https://docs.google.com/spreadsheets/d/1Gpl6jkTg7sL4VDNimUm3S9Vi1i95esohXCF3wuKOE8c"", ""'CONSOLIDADO'!G5:AB""), 10, 0) &lt;&gt; 0, 
IFERROR(VLOOKUP($G158,IMPORTRANGE(""https://docs.google.com/spreadsheets/d/1Gpl6jkTg7sL4VDNimU"&amp;"m3S9Vi1i95esohXCF3wuKOE8c"", ""'CONSOLIDADO'!G5:AB""), 18, 0), ""-""),
""""
)"),"Cortadores y rebanador de Piña en espiral acero inox.")</f>
        <v>Cortadores y rebanador de Piña en espiral acero inox.</v>
      </c>
      <c r="V158" s="39" t="str">
        <f>IFERROR(__xludf.DUMMYFUNCTION(" IF
( VLOOKUP($G158,IMPORTRANGE(""https://docs.google.com/spreadsheets/d/1Gpl6jkTg7sL4VDNimUm3S9Vi1i95esohXCF3wuKOE8c"", ""'CONSOLIDADO'!G5:AB""), 10, 0) &lt;&gt; 0, 
IFERROR(VLOOKUP($G158,IMPORTRANGE(""https://docs.google.com/spreadsheets/d/1Gpl6jkTg7sL4VDNimU"&amp;"m3S9Vi1i95esohXCF3wuKOE8c"", ""'CONSOLIDADO'!G5:AB""), 17, 0), ""-""),
""""
)"),"DUCTOR S.A.C.")</f>
        <v>DUCTOR S.A.C.</v>
      </c>
      <c r="W158" s="39" t="str">
        <f>IFERROR(__xludf.DUMMYFUNCTION(" IF
( VLOOKUP($G158,IMPORTRANGE(""https://docs.google.com/spreadsheets/d/1Gpl6jkTg7sL4VDNimUm3S9Vi1i95esohXCF3wuKOE8c"", ""'CONSOLIDADO'!G5:AB""), 10, 0) &lt;&gt; 0, 
IFERROR(VLOOKUP($G158,IMPORTRANGE(""https://docs.google.com/spreadsheets/d/1Gpl6jkTg7sL4VDNimU"&amp;"m3S9Vi1i95esohXCF3wuKOE8c"", ""'CONSOLIDADO'!G5:AB""), 18, 0), ""-""),
""""
)"),"Cortadores y rebanador de Piña en espiral acero inox.")</f>
        <v>Cortadores y rebanador de Piña en espiral acero inox.</v>
      </c>
      <c r="X158" s="39" t="b">
        <f t="shared" si="19"/>
        <v>1</v>
      </c>
      <c r="Y158" s="120" t="str">
        <f>IFERROR(__xludf.DUMMYFUNCTION(" IF
( VLOOKUP($G158,IMPORTRANGE(""https://docs.google.com/spreadsheets/d/1Gpl6jkTg7sL4VDNimUm3S9Vi1i95esohXCF3wuKOE8c"", ""'CONSOLIDADO'!G5:AB""), 10, 0) &lt;&gt; 0, 
IFERROR(VLOOKUP($G158,IMPORTRANGE(""https://docs.google.com/spreadsheets/d/1Gpl6jkTg7sL4VDNimU"&amp;"m3S9Vi1i95esohXCF3wuKOE8c"", ""'CONSOLIDADO'!G5:AB""), 19, 0), ""-""),
""""
)"),"https://preciopreciso.com/utensilios-de-cocina/cortadores-y-rebanador-de-pina-en-espiral/?gad_source=1&amp;gad_campaignid=21598517471&amp;gbraid=0AAAAA97z1CBMaIiz_SF5AtpOqrO0UB-1K&amp;gclid=Cj0KCQiAiqDJBhCXARIsABk2kSmDH6_hKBNXx_JXIB8W2q1_Fi9tyWebhaI5-pjtctgM1LzfrBf9b"&amp;"sgaAtY8EALw_wcB")</f>
        <v>https://preciopreciso.com/utensilios-de-cocina/cortadores-y-rebanador-de-pina-en-espiral/?gad_source=1&amp;gad_campaignid=21598517471&amp;gbraid=0AAAAA97z1CBMaIiz_SF5AtpOqrO0UB-1K&amp;gclid=Cj0KCQiAiqDJBhCXARIsABk2kSmDH6_hKBNXx_JXIB8W2q1_Fi9tyWebhaI5-pjtctgM1LzfrBf9bsgaAtY8EALw_wcB</v>
      </c>
      <c r="Z158" s="37" t="str">
        <f>IFERROR(__xludf.DUMMYFUNCTION("IFERROR(VLOOKUP(G158,IMPORTRANGE(""https://docs.google.com/spreadsheets/d/12RxCea4e5ggM7QGn1XE3FbLQa_-QbCNdBi90OdPjRqg"", ""'Plan de Compras'!D4:Q""), 12, 0), ""NO ESTÁ EN REQ"")"),"Simple")</f>
        <v>Simple</v>
      </c>
      <c r="AA158" s="37" t="str">
        <f>IFERROR(__xludf.DUMMYFUNCTION("IFERROR(VLOOKUP(G158,IMPORTRANGE(""https://docs.google.com/spreadsheets/d/12RxCea4e5ggM7QGn1XE3FbLQa_-QbCNdBi90OdPjRqg"", ""'Plan de Compras'!D4:Q""), 13, 0), """")"),"NACIONAL")</f>
        <v>NACIONAL</v>
      </c>
      <c r="AB158" s="32" t="str">
        <f>IFERROR(__xludf.DUMMYFUNCTION("IFERROR(VLOOKUP(G158,IMPORTRANGE(""https://docs.google.com/spreadsheets/d/12RxCea4e5ggM7QGn1XE3FbLQa_-QbCNdBi90OdPjRqg"", ""'Plan de Compras'!D4:Q""), 14, 0), """")"),"JESSICA")</f>
        <v>JESSICA</v>
      </c>
      <c r="AC158" s="72" t="str">
        <f>IFERROR(__xludf.DUMMYFUNCTION("IFERROR(VLOOKUP(G158,IMPORTRANGE(""https://docs.google.com/spreadsheets/d/12RxCea4e5ggM7QGn1XE3FbLQa_-QbCNdBi90OdPjRqg"", ""'Plan de Compras'!D4:Q""), 4, 0), """")"),"PELADOR DE PIÑA ACERO INOXIDABLE CORTADOR REBANADOR FRUTA")</f>
        <v>PELADOR DE PIÑA ACERO INOXIDABLE CORTADOR REBANADOR FRUTA</v>
      </c>
      <c r="AD158" s="37" t="str">
        <f>IFERROR(__xludf.DUMMYFUNCTION("IFERROR(IF(OR(C158=TRUE,C158=""""),VLOOKUP(G158,IMPORTRANGE(""https://docs.google.com/spreadsheets/d/1z9A1Wq-kKrhRNG5RS2a2fKpY1wIhSVz2ZNmP2mOl588/edit?usp=sharing"",""REQ VF!E4:H""),4,0),""NO APLICA""),""GENERAR REQ"")"),"GENERAR REQ")</f>
        <v>GENERAR REQ</v>
      </c>
      <c r="AE158" s="32" t="str">
        <f>IFERROR(__xludf.DUMMYFUNCTION("IFERROR(QUERY(IMPORTRANGE(""https://docs.google.com/spreadsheets/d/1z9A1Wq-kKrhRNG5RS2a2fKpY1wIhSVz2ZNmP2mOl588/edit?usp=sharing"",""REQ VF!E4:Q""),""SELECT Col10, Col11, Col12 WHERE Col1 = '""&amp;G158&amp;""'"",0),""NO APLICA"")"),"NO APLICA")</f>
        <v>NO APLICA</v>
      </c>
      <c r="AF158" s="32"/>
      <c r="AG158" s="32"/>
      <c r="AH158" s="8" t="s">
        <v>52</v>
      </c>
      <c r="AI158" s="13"/>
    </row>
    <row r="159">
      <c r="A159" s="117">
        <v>101.0</v>
      </c>
      <c r="B159" s="43" t="b">
        <v>1</v>
      </c>
      <c r="C159" s="26" t="b">
        <v>1</v>
      </c>
      <c r="D159" s="26" t="s">
        <v>35</v>
      </c>
      <c r="E159" s="26" t="s">
        <v>1510</v>
      </c>
      <c r="F159" s="59" t="s">
        <v>2050</v>
      </c>
      <c r="G159" s="39" t="s">
        <v>2050</v>
      </c>
      <c r="H159" s="66" t="s">
        <v>2051</v>
      </c>
      <c r="I159" s="43">
        <f>SUMIFS('Hoja 10'!$O:$O,'Hoja 10'!$F:$F,$G159)</f>
        <v>16</v>
      </c>
      <c r="J159" s="26">
        <f>IFERROR(__xludf.DUMMYFUNCTION("VLOOKUP(G159,IMPORTRANGE(""https://docs.google.com/spreadsheets/d/12RxCea4e5ggM7QGn1XE3FbLQa_-QbCNdBi90OdPjRqg/edit?gid=1692403370#gid=1692403370"", ""'Plan de Compras'!D4:2432""), 8,0)"),16.0)</f>
        <v>16</v>
      </c>
      <c r="K159" s="26" t="str">
        <f t="shared" si="18"/>
        <v>SI</v>
      </c>
      <c r="L159" s="29" t="s">
        <v>39</v>
      </c>
      <c r="M159" s="30" t="s">
        <v>40</v>
      </c>
      <c r="N159" s="32" t="s">
        <v>166</v>
      </c>
      <c r="O159" s="32"/>
      <c r="P159" s="32"/>
      <c r="Q159" s="41"/>
      <c r="R159" s="30" t="s">
        <v>2052</v>
      </c>
      <c r="S159" s="44" t="b">
        <v>1</v>
      </c>
      <c r="T159" s="39" t="str">
        <f>IFERROR(__xludf.DUMMYFUNCTION(" IF
( VLOOKUP($G159,IMPORTRANGE(""https://docs.google.com/spreadsheets/d/1Gpl6jkTg7sL4VDNimUm3S9Vi1i95esohXCF3wuKOE8c"", ""'CONSOLIDADO'!G5:AB""), 10, 0) &lt;&gt; 0, 
IFERROR(VLOOKUP($G159,IMPORTRANGE(""https://docs.google.com/spreadsheets/d/1Gpl6jkTg7sL4VDNimU"&amp;"m3S9Vi1i95esohXCF3wuKOE8c"", ""'CONSOLIDADO'!G5:AB""), 17, 0), ""-""),
""""
)"),"Starfrit")</f>
        <v>Starfrit</v>
      </c>
      <c r="U159" s="39" t="str">
        <f>IFERROR(__xludf.DUMMYFUNCTION(" IF
( VLOOKUP($G159,IMPORTRANGE(""https://docs.google.com/spreadsheets/d/1Gpl6jkTg7sL4VDNimUm3S9Vi1i95esohXCF3wuKOE8c"", ""'CONSOLIDADO'!G5:AB""), 10, 0) &lt;&gt; 0, 
IFERROR(VLOOKUP($G159,IMPORTRANGE(""https://docs.google.com/spreadsheets/d/1Gpl6jkTg7sL4VDNimU"&amp;"m3S9Vi1i95esohXCF3wuKOE8c"", ""'CONSOLIDADO'!G5:AB""), 18, 0), ""-""),
""""
)"),"060288-006")</f>
        <v>060288-006</v>
      </c>
      <c r="V159" s="39" t="str">
        <f>IFERROR(__xludf.DUMMYFUNCTION(" IF
( VLOOKUP($G159,IMPORTRANGE(""https://docs.google.com/spreadsheets/d/1Gpl6jkTg7sL4VDNimUm3S9Vi1i95esohXCF3wuKOE8c"", ""'CONSOLIDADO'!G5:AB""), 10, 0) &lt;&gt; 0, 
IFERROR(VLOOKUP($G159,IMPORTRANGE(""https://docs.google.com/spreadsheets/d/1Gpl6jkTg7sL4VDNimU"&amp;"m3S9Vi1i95esohXCF3wuKOE8c"", ""'CONSOLIDADO'!G5:AB""), 17, 0), ""-""),
""""
)"),"Starfrit")</f>
        <v>Starfrit</v>
      </c>
      <c r="W159" s="39" t="str">
        <f>IFERROR(__xludf.DUMMYFUNCTION(" IF
( VLOOKUP($G159,IMPORTRANGE(""https://docs.google.com/spreadsheets/d/1Gpl6jkTg7sL4VDNimUm3S9Vi1i95esohXCF3wuKOE8c"", ""'CONSOLIDADO'!G5:AB""), 10, 0) &lt;&gt; 0, 
IFERROR(VLOOKUP($G159,IMPORTRANGE(""https://docs.google.com/spreadsheets/d/1Gpl6jkTg7sL4VDNimU"&amp;"m3S9Vi1i95esohXCF3wuKOE8c"", ""'CONSOLIDADO'!G5:AB""), 18, 0), ""-""),
""""
)"),"060288-006")</f>
        <v>060288-006</v>
      </c>
      <c r="X159" s="39" t="b">
        <f t="shared" si="19"/>
        <v>1</v>
      </c>
      <c r="Y159" s="120" t="str">
        <f>IFERROR(__xludf.DUMMYFUNCTION(" IF
( VLOOKUP($G159,IMPORTRANGE(""https://docs.google.com/spreadsheets/d/1Gpl6jkTg7sL4VDNimUm3S9Vi1i95esohXCF3wuKOE8c"", ""'CONSOLIDADO'!G5:AB""), 10, 0) &lt;&gt; 0, 
IFERROR(VLOOKUP($G159,IMPORTRANGE(""https://docs.google.com/spreadsheets/d/1Gpl6jkTg7sL4VDNimU"&amp;"m3S9Vi1i95esohXCF3wuKOE8c"", ""'CONSOLIDADO'!G5:AB""), 19, 0), ""-""),
""""
)"),"https://www.amazon.com/-/es/Starfrit-Rotato-Express-Modelo-actualizado/dp/B077MHYDQ9")</f>
        <v>https://www.amazon.com/-/es/Starfrit-Rotato-Express-Modelo-actualizado/dp/B077MHYDQ9</v>
      </c>
      <c r="Z159" s="37" t="str">
        <f>IFERROR(__xludf.DUMMYFUNCTION("IFERROR(VLOOKUP(G159,IMPORTRANGE(""https://docs.google.com/spreadsheets/d/12RxCea4e5ggM7QGn1XE3FbLQa_-QbCNdBi90OdPjRqg"", ""'Plan de Compras'!D4:Q""), 12, 0), ""NO ESTÁ EN REQ"")"),"Técnica")</f>
        <v>Técnica</v>
      </c>
      <c r="AA159" s="37" t="str">
        <f>IFERROR(__xludf.DUMMYFUNCTION("IFERROR(VLOOKUP(G159,IMPORTRANGE(""https://docs.google.com/spreadsheets/d/12RxCea4e5ggM7QGn1XE3FbLQa_-QbCNdBi90OdPjRqg"", ""'Plan de Compras'!D4:Q""), 13, 0), """")"),"INTERNACIONAL")</f>
        <v>INTERNACIONAL</v>
      </c>
      <c r="AB159" s="32" t="str">
        <f>IFERROR(__xludf.DUMMYFUNCTION("IFERROR(VLOOKUP(G159,IMPORTRANGE(""https://docs.google.com/spreadsheets/d/12RxCea4e5ggM7QGn1XE3FbLQa_-QbCNdBi90OdPjRqg"", ""'Plan de Compras'!D4:Q""), 14, 0), """")"),"ALEJANDRA")</f>
        <v>ALEJANDRA</v>
      </c>
      <c r="AC159" s="72" t="str">
        <f>IFERROR(__xludf.DUMMYFUNCTION("IFERROR(VLOOKUP(G159,IMPORTRANGE(""https://docs.google.com/spreadsheets/d/12RxCea4e5ggM7QGn1XE3FbLQa_-QbCNdBi90OdPjRqg"", ""'Plan de Compras'!D4:Q""), 4, 0), """")"),"PELADORA DE FRUTAS Y HORTALIZAS")</f>
        <v>PELADORA DE FRUTAS Y HORTALIZAS</v>
      </c>
      <c r="AD159" s="37" t="str">
        <f>IFERROR(__xludf.DUMMYFUNCTION("IFERROR(IF(OR(C159=TRUE,C159=""""),VLOOKUP(G159,IMPORTRANGE(""https://docs.google.com/spreadsheets/d/1z9A1Wq-kKrhRNG5RS2a2fKpY1wIhSVz2ZNmP2mOl588/edit?usp=sharing"",""REQ VF!E4:H""),4,0),""NO APLICA""),""GENERAR REQ"")"),"GENERAR REQ")</f>
        <v>GENERAR REQ</v>
      </c>
      <c r="AE159" s="32" t="str">
        <f>IFERROR(__xludf.DUMMYFUNCTION("IFERROR(QUERY(IMPORTRANGE(""https://docs.google.com/spreadsheets/d/1z9A1Wq-kKrhRNG5RS2a2fKpY1wIhSVz2ZNmP2mOl588/edit?usp=sharing"",""REQ VF!E4:Q""),""SELECT Col10, Col11, Col12 WHERE Col1 = '""&amp;G159&amp;""'"",0),""NO APLICA"")"),"NO APLICA")</f>
        <v>NO APLICA</v>
      </c>
      <c r="AF159" s="32"/>
      <c r="AG159" s="32"/>
      <c r="AH159" s="13"/>
      <c r="AI159" s="13"/>
    </row>
    <row r="160">
      <c r="A160" s="43"/>
      <c r="B160" s="43"/>
      <c r="C160" s="26" t="b">
        <v>0</v>
      </c>
      <c r="D160" s="26" t="s">
        <v>42</v>
      </c>
      <c r="E160" s="26" t="s">
        <v>1510</v>
      </c>
      <c r="F160" s="59" t="s">
        <v>2050</v>
      </c>
      <c r="G160" s="39" t="s">
        <v>2053</v>
      </c>
      <c r="H160" s="66" t="s">
        <v>2054</v>
      </c>
      <c r="I160" s="43">
        <v>0.0</v>
      </c>
      <c r="J160" s="26" t="str">
        <f>IFERROR(__xludf.DUMMYFUNCTION("VLOOKUP(G160,IMPORTRANGE(""https://docs.google.com/spreadsheets/d/12RxCea4e5ggM7QGn1XE3FbLQa_-QbCNdBi90OdPjRqg/edit?gid=1692403370#gid=1692403370"", ""'Plan de Compras'!D4:2432""), 8,0)"),"#N/A")</f>
        <v>#N/A</v>
      </c>
      <c r="K160" s="26" t="str">
        <f t="shared" si="18"/>
        <v>-</v>
      </c>
      <c r="L160" s="26"/>
      <c r="M160" s="32"/>
      <c r="N160" s="32"/>
      <c r="O160" s="32"/>
      <c r="P160" s="32"/>
      <c r="Q160" s="41"/>
      <c r="R160" s="32"/>
      <c r="S160" s="34" t="b">
        <v>1</v>
      </c>
      <c r="T160" s="39" t="s">
        <v>2055</v>
      </c>
      <c r="U160" s="39" t="s">
        <v>119</v>
      </c>
      <c r="V160" s="39"/>
      <c r="W160" s="39"/>
      <c r="X160" s="39"/>
      <c r="Y160" s="124"/>
      <c r="Z160" s="37" t="str">
        <f>IFERROR(__xludf.DUMMYFUNCTION("IFERROR(VLOOKUP(G160,IMPORTRANGE(""https://docs.google.com/spreadsheets/d/12RxCea4e5ggM7QGn1XE3FbLQa_-QbCNdBi90OdPjRqg"", ""'Plan de Compras'!D4:Q""), 12, 0), ""NO ESTÁ EN REQ"")"),"NO ESTÁ EN REQ")</f>
        <v>NO ESTÁ EN REQ</v>
      </c>
      <c r="AA160" s="37" t="str">
        <f>IFERROR(__xludf.DUMMYFUNCTION("IFERROR(VLOOKUP(G160,IMPORTRANGE(""https://docs.google.com/spreadsheets/d/12RxCea4e5ggM7QGn1XE3FbLQa_-QbCNdBi90OdPjRqg"", ""'Plan de Compras'!D4:Q""), 13, 0), """")"),"")</f>
        <v/>
      </c>
      <c r="AB160" s="32" t="str">
        <f>IFERROR(__xludf.DUMMYFUNCTION("IFERROR(VLOOKUP(G160,IMPORTRANGE(""https://docs.google.com/spreadsheets/d/12RxCea4e5ggM7QGn1XE3FbLQa_-QbCNdBi90OdPjRqg"", ""'Plan de Compras'!D4:Q""), 14, 0), """")"),"")</f>
        <v/>
      </c>
      <c r="AC160" s="72" t="str">
        <f>IFERROR(__xludf.DUMMYFUNCTION("IFERROR(VLOOKUP(G160,IMPORTRANGE(""https://docs.google.com/spreadsheets/d/12RxCea4e5ggM7QGn1XE3FbLQa_-QbCNdBi90OdPjRqg"", ""'Plan de Compras'!D4:Q""), 4, 0), """")"),"")</f>
        <v/>
      </c>
      <c r="AD160" s="37" t="str">
        <f>IFERROR(__xludf.DUMMYFUNCTION("IFERROR(IF(OR(C160=TRUE,C160=""""),VLOOKUP(G160,IMPORTRANGE(""https://docs.google.com/spreadsheets/d/1z9A1Wq-kKrhRNG5RS2a2fKpY1wIhSVz2ZNmP2mOl588/edit?usp=sharing"",""REQ VF!E4:H""),4,0),""NO APLICA""),""GENERAR REQ"")"),"NO APLICA")</f>
        <v>NO APLICA</v>
      </c>
      <c r="AE160" s="32" t="str">
        <f>IFERROR(__xludf.DUMMYFUNCTION("IFERROR(QUERY(IMPORTRANGE(""https://docs.google.com/spreadsheets/d/1z9A1Wq-kKrhRNG5RS2a2fKpY1wIhSVz2ZNmP2mOl588/edit?usp=sharing"",""REQ VF!E4:Q""),""SELECT Col10, Col11, Col12 WHERE Col1 = '""&amp;G160&amp;""'"",0),""NO APLICA"")"),"NO APLICA")</f>
        <v>NO APLICA</v>
      </c>
      <c r="AF160" s="32"/>
      <c r="AG160" s="32"/>
      <c r="AH160" s="13"/>
      <c r="AI160" s="13"/>
    </row>
    <row r="161">
      <c r="A161" s="43"/>
      <c r="B161" s="43"/>
      <c r="C161" s="26" t="b">
        <v>1</v>
      </c>
      <c r="D161" s="26" t="s">
        <v>42</v>
      </c>
      <c r="E161" s="26" t="s">
        <v>1510</v>
      </c>
      <c r="F161" s="59" t="s">
        <v>2050</v>
      </c>
      <c r="G161" s="39" t="s">
        <v>2056</v>
      </c>
      <c r="H161" s="66" t="s">
        <v>2057</v>
      </c>
      <c r="I161" s="43">
        <v>16.0</v>
      </c>
      <c r="J161" s="26">
        <f>IFERROR(__xludf.DUMMYFUNCTION("VLOOKUP(G161,IMPORTRANGE(""https://docs.google.com/spreadsheets/d/12RxCea4e5ggM7QGn1XE3FbLQa_-QbCNdBi90OdPjRqg/edit?gid=1692403370#gid=1692403370"", ""'Plan de Compras'!D4:2432""), 8,0)"),16.0)</f>
        <v>16</v>
      </c>
      <c r="K161" s="26" t="str">
        <f t="shared" si="18"/>
        <v>SI</v>
      </c>
      <c r="L161" s="29"/>
      <c r="M161" s="61"/>
      <c r="N161" s="32"/>
      <c r="O161" s="32" t="str">
        <f>VLOOKUP($G161,'Hoja 10'!$F$4:$AA1057, 19,0)</f>
        <v>#N/A</v>
      </c>
      <c r="P161" s="32" t="str">
        <f>VLOOKUP($G161,'Hoja 10'!$F$4:$AA1057, 20,0)</f>
        <v>#N/A</v>
      </c>
      <c r="Q161" s="41" t="str">
        <f>VLOOKUP($G161,'Hoja 10'!$F$4:$AA1057, 21,0)</f>
        <v>#N/A</v>
      </c>
      <c r="R161" s="32"/>
      <c r="S161" s="44" t="b">
        <v>0</v>
      </c>
      <c r="T161" s="39"/>
      <c r="U161" s="39"/>
      <c r="V161" s="39"/>
      <c r="W161" s="39"/>
      <c r="X161" s="39"/>
      <c r="Y161" s="124"/>
      <c r="Z161" s="37" t="str">
        <f>IFERROR(__xludf.DUMMYFUNCTION("IFERROR(VLOOKUP(G161,IMPORTRANGE(""https://docs.google.com/spreadsheets/d/12RxCea4e5ggM7QGn1XE3FbLQa_-QbCNdBi90OdPjRqg"", ""'Plan de Compras'!D4:Q""), 12, 0), ""NO ESTÁ EN REQ"")"),"Simple")</f>
        <v>Simple</v>
      </c>
      <c r="AA161" s="37" t="str">
        <f>IFERROR(__xludf.DUMMYFUNCTION("IFERROR(VLOOKUP(G161,IMPORTRANGE(""https://docs.google.com/spreadsheets/d/12RxCea4e5ggM7QGn1XE3FbLQa_-QbCNdBi90OdPjRqg"", ""'Plan de Compras'!D4:Q""), 13, 0), """")"),"NACIONAL")</f>
        <v>NACIONAL</v>
      </c>
      <c r="AB161" s="32" t="str">
        <f>IFERROR(__xludf.DUMMYFUNCTION("IFERROR(VLOOKUP(G161,IMPORTRANGE(""https://docs.google.com/spreadsheets/d/12RxCea4e5ggM7QGn1XE3FbLQa_-QbCNdBi90OdPjRqg"", ""'Plan de Compras'!D4:Q""), 14, 0), """")"),"ALFIO")</f>
        <v>ALFIO</v>
      </c>
      <c r="AC161" s="72" t="str">
        <f>IFERROR(__xludf.DUMMYFUNCTION("IFERROR(VLOOKUP(G161,IMPORTRANGE(""https://docs.google.com/spreadsheets/d/12RxCea4e5ggM7QGn1XE3FbLQa_-QbCNdBi90OdPjRqg"", ""'Plan de Compras'!D4:Q""), 4, 0), """")"),"PACK DE 4 PILAS AA DE 1.5 V (1 UND)")</f>
        <v>PACK DE 4 PILAS AA DE 1.5 V (1 UND)</v>
      </c>
      <c r="AD161" s="37" t="str">
        <f>IFERROR(__xludf.DUMMYFUNCTION("IFERROR(IF(OR(C161=TRUE,C161=""""),VLOOKUP(G161,IMPORTRANGE(""https://docs.google.com/spreadsheets/d/1z9A1Wq-kKrhRNG5RS2a2fKpY1wIhSVz2ZNmP2mOl588/edit?usp=sharing"",""REQ VF!E4:H""),4,0),""NO APLICA""),""GENERAR REQ"")"),"GENERAR REQ")</f>
        <v>GENERAR REQ</v>
      </c>
      <c r="AE161" s="32" t="str">
        <f>IFERROR(__xludf.DUMMYFUNCTION("IFERROR(QUERY(IMPORTRANGE(""https://docs.google.com/spreadsheets/d/1z9A1Wq-kKrhRNG5RS2a2fKpY1wIhSVz2ZNmP2mOl588/edit?usp=sharing"",""REQ VF!E4:Q""),""SELECT Col10, Col11, Col12 WHERE Col1 = '""&amp;G161&amp;""'"",0),""NO APLICA"")"),"NO APLICA")</f>
        <v>NO APLICA</v>
      </c>
      <c r="AF161" s="32"/>
      <c r="AG161" s="32"/>
      <c r="AH161" s="13"/>
      <c r="AI161" s="13"/>
    </row>
    <row r="162">
      <c r="A162" s="43"/>
      <c r="B162" s="43"/>
      <c r="C162" s="26" t="b">
        <v>1</v>
      </c>
      <c r="D162" s="26" t="s">
        <v>42</v>
      </c>
      <c r="E162" s="26" t="s">
        <v>1510</v>
      </c>
      <c r="F162" s="59" t="s">
        <v>2050</v>
      </c>
      <c r="G162" s="39" t="s">
        <v>2058</v>
      </c>
      <c r="H162" s="66" t="s">
        <v>2059</v>
      </c>
      <c r="I162" s="43">
        <v>16.0</v>
      </c>
      <c r="J162" s="26">
        <f>IFERROR(__xludf.DUMMYFUNCTION("VLOOKUP(G162,IMPORTRANGE(""https://docs.google.com/spreadsheets/d/12RxCea4e5ggM7QGn1XE3FbLQa_-QbCNdBi90OdPjRqg/edit?gid=1692403370#gid=1692403370"", ""'Plan de Compras'!D4:2432""), 8,0)"),16.0)</f>
        <v>16</v>
      </c>
      <c r="K162" s="26" t="str">
        <f t="shared" si="18"/>
        <v>SI</v>
      </c>
      <c r="L162" s="29"/>
      <c r="M162" s="61"/>
      <c r="N162" s="32"/>
      <c r="O162" s="32"/>
      <c r="P162" s="32"/>
      <c r="Q162" s="41"/>
      <c r="R162" s="32"/>
      <c r="S162" s="44" t="b">
        <v>0</v>
      </c>
      <c r="T162" s="39"/>
      <c r="U162" s="39"/>
      <c r="V162" s="39"/>
      <c r="W162" s="39"/>
      <c r="X162" s="39"/>
      <c r="Y162" s="124"/>
      <c r="Z162" s="37"/>
      <c r="AA162" s="37"/>
      <c r="AB162" s="32"/>
      <c r="AC162" s="72"/>
      <c r="AD162" s="37" t="str">
        <f>IFERROR(__xludf.DUMMYFUNCTION("IFERROR(IF(OR(C162=TRUE,C162=""""),VLOOKUP(G162,IMPORTRANGE(""https://docs.google.com/spreadsheets/d/1z9A1Wq-kKrhRNG5RS2a2fKpY1wIhSVz2ZNmP2mOl588/edit?usp=sharing"",""REQ VF!E4:H""),4,0),""NO APLICA""),""GENERAR REQ"")"),"GENERAR REQ")</f>
        <v>GENERAR REQ</v>
      </c>
      <c r="AE162" s="32" t="str">
        <f>IFERROR(__xludf.DUMMYFUNCTION("IFERROR(QUERY(IMPORTRANGE(""https://docs.google.com/spreadsheets/d/1z9A1Wq-kKrhRNG5RS2a2fKpY1wIhSVz2ZNmP2mOl588/edit?usp=sharing"",""REQ VF!E4:Q""),""SELECT Col10, Col11, Col12 WHERE Col1 = '""&amp;G162&amp;""'"",0),""NO APLICA"")"),"NO APLICA")</f>
        <v>NO APLICA</v>
      </c>
      <c r="AF162" s="32"/>
      <c r="AG162" s="32"/>
      <c r="AH162" s="13"/>
      <c r="AI162" s="13"/>
    </row>
    <row r="163">
      <c r="A163" s="121">
        <v>102.0</v>
      </c>
      <c r="B163" s="43" t="b">
        <v>1</v>
      </c>
      <c r="C163" s="26" t="b">
        <v>1</v>
      </c>
      <c r="D163" s="26" t="s">
        <v>35</v>
      </c>
      <c r="E163" s="26" t="s">
        <v>1510</v>
      </c>
      <c r="F163" s="59" t="s">
        <v>2060</v>
      </c>
      <c r="G163" s="39" t="s">
        <v>2060</v>
      </c>
      <c r="H163" s="66" t="s">
        <v>2061</v>
      </c>
      <c r="I163" s="43">
        <f>SUMIFS('Hoja 10'!$O:$O,'Hoja 10'!$F:$F,$G163)</f>
        <v>16</v>
      </c>
      <c r="J163" s="26">
        <f>IFERROR(__xludf.DUMMYFUNCTION("VLOOKUP(G163,IMPORTRANGE(""https://docs.google.com/spreadsheets/d/12RxCea4e5ggM7QGn1XE3FbLQa_-QbCNdBi90OdPjRqg/edit?gid=1692403370#gid=1692403370"", ""'Plan de Compras'!D4:2432""), 8,0)"),16.0)</f>
        <v>16</v>
      </c>
      <c r="K163" s="26" t="str">
        <f t="shared" si="18"/>
        <v>SI</v>
      </c>
      <c r="L163" s="29" t="s">
        <v>185</v>
      </c>
      <c r="M163" s="30" t="s">
        <v>186</v>
      </c>
      <c r="N163" s="32"/>
      <c r="O163" s="32" t="str">
        <f>VLOOKUP($G163,'Hoja 10'!$F$4:$AA1057, 19,0)</f>
        <v>Soltronic</v>
      </c>
      <c r="P163" s="32" t="str">
        <f>VLOOKUP($G163,'Hoja 10'!$F$4:$AA1057, 20,0)</f>
        <v>PESAS DE CORTE</v>
      </c>
      <c r="Q163" s="33" t="str">
        <f>VLOOKUP($G163,'Hoja 10'!$F$4:$AA1057, 21,0)</f>
        <v>https://soltronic.es/producto/pesas-de-corte-patrones/</v>
      </c>
      <c r="R163" s="86" t="s">
        <v>2062</v>
      </c>
      <c r="S163" s="34" t="b">
        <v>1</v>
      </c>
      <c r="T163" s="39" t="str">
        <f>IFERROR(__xludf.DUMMYFUNCTION(" IF
( VLOOKUP($G163,IMPORTRANGE(""https://docs.google.com/spreadsheets/d/1Gpl6jkTg7sL4VDNimUm3S9Vi1i95esohXCF3wuKOE8c"", ""'CONSOLIDADO'!G5:AB""), 10, 0) &lt;&gt; 0, 
IFERROR(VLOOKUP($G163,IMPORTRANGE(""https://docs.google.com/spreadsheets/d/1Gpl6jkTg7sL4VDNimU"&amp;"m3S9Vi1i95esohXCF3wuKOE8c"", ""'CONSOLIDADO'!G5:AB""), 17, 0), ""-""),
""""
)"),"IMPORTACIONES LLANOS")</f>
        <v>IMPORTACIONES LLANOS</v>
      </c>
      <c r="U163" s="39" t="str">
        <f>IFERROR(__xludf.DUMMYFUNCTION(" IF
( VLOOKUP($G163,IMPORTRANGE(""https://docs.google.com/spreadsheets/d/1Gpl6jkTg7sL4VDNimUm3S9Vi1i95esohXCF3wuKOE8c"", ""'CONSOLIDADO'!G5:AB""), 10, 0) &lt;&gt; 0, 
IFERROR(VLOOKUP($G163,IMPORTRANGE(""https://docs.google.com/spreadsheets/d/1Gpl6jkTg7sL4VDNimU"&amp;"m3S9Vi1i95esohXCF3wuKOE8c"", ""'CONSOLIDADO'!G5:AB""), 18, 0), ""-""),
""""
)"),"PESA CON AZA")</f>
        <v>PESA CON AZA</v>
      </c>
      <c r="V163" s="39" t="str">
        <f>IFERROR(__xludf.DUMMYFUNCTION(" IF
( VLOOKUP($G163,IMPORTRANGE(""https://docs.google.com/spreadsheets/d/1Gpl6jkTg7sL4VDNimUm3S9Vi1i95esohXCF3wuKOE8c"", ""'CONSOLIDADO'!G5:AB""), 10, 0) &lt;&gt; 0, 
IFERROR(VLOOKUP($G163,IMPORTRANGE(""https://docs.google.com/spreadsheets/d/1Gpl6jkTg7sL4VDNimU"&amp;"m3S9Vi1i95esohXCF3wuKOE8c"", ""'CONSOLIDADO'!G5:AB""), 17, 0), ""-""),
""""
)"),"IMPORTACIONES LLANOS")</f>
        <v>IMPORTACIONES LLANOS</v>
      </c>
      <c r="W163" s="39" t="str">
        <f>IFERROR(__xludf.DUMMYFUNCTION(" IF
( VLOOKUP($G163,IMPORTRANGE(""https://docs.google.com/spreadsheets/d/1Gpl6jkTg7sL4VDNimUm3S9Vi1i95esohXCF3wuKOE8c"", ""'CONSOLIDADO'!G5:AB""), 10, 0) &lt;&gt; 0, 
IFERROR(VLOOKUP($G163,IMPORTRANGE(""https://docs.google.com/spreadsheets/d/1Gpl6jkTg7sL4VDNimU"&amp;"m3S9Vi1i95esohXCF3wuKOE8c"", ""'CONSOLIDADO'!G5:AB""), 18, 0), ""-""),
""""
)"),"PESA CON AZA")</f>
        <v>PESA CON AZA</v>
      </c>
      <c r="X163" s="39" t="b">
        <f t="shared" ref="X163:X169" si="20">IF(AND(T163=V163,W163=U163),TRUE,FALSE)</f>
        <v>1</v>
      </c>
      <c r="Y163" s="110" t="str">
        <f>IFERROR(__xludf.DUMMYFUNCTION(" IF
( VLOOKUP($G163,IMPORTRANGE(""https://docs.google.com/spreadsheets/d/1Gpl6jkTg7sL4VDNimUm3S9Vi1i95esohXCF3wuKOE8c"", ""'CONSOLIDADO'!G5:AB""), 10, 0) &lt;&gt; 0, 
IFERROR(VLOOKUP($G163,IMPORTRANGE(""https://docs.google.com/spreadsheets/d/1Gpl6jkTg7sL4VDNimU"&amp;"m3S9Vi1i95esohXCF3wuKOE8c"", ""'CONSOLIDADO'!G5:AB""), 19, 0), ""-""),
""""
)"),"")</f>
        <v/>
      </c>
      <c r="Z163" s="37" t="str">
        <f>IFERROR(__xludf.DUMMYFUNCTION("IFERROR(VLOOKUP(G163,IMPORTRANGE(""https://docs.google.com/spreadsheets/d/12RxCea4e5ggM7QGn1XE3FbLQa_-QbCNdBi90OdPjRqg"", ""'Plan de Compras'!D4:Q""), 12, 0), ""NO ESTÁ EN REQ"")"),"Técnica")</f>
        <v>Técnica</v>
      </c>
      <c r="AA163" s="37" t="str">
        <f>IFERROR(__xludf.DUMMYFUNCTION("IFERROR(VLOOKUP(G163,IMPORTRANGE(""https://docs.google.com/spreadsheets/d/12RxCea4e5ggM7QGn1XE3FbLQa_-QbCNdBi90OdPjRqg"", ""'Plan de Compras'!D4:Q""), 13, 0), """")"),"NACIONAL")</f>
        <v>NACIONAL</v>
      </c>
      <c r="AB163" s="32" t="str">
        <f>IFERROR(__xludf.DUMMYFUNCTION("IFERROR(VLOOKUP(G163,IMPORTRANGE(""https://docs.google.com/spreadsheets/d/12RxCea4e5ggM7QGn1XE3FbLQa_-QbCNdBi90OdPjRqg"", ""'Plan de Compras'!D4:Q""), 14, 0), """")"),"JESSICA")</f>
        <v>JESSICA</v>
      </c>
      <c r="AC163" s="72" t="str">
        <f>IFERROR(__xludf.DUMMYFUNCTION("IFERROR(VLOOKUP(G163,IMPORTRANGE(""https://docs.google.com/spreadsheets/d/12RxCea4e5ggM7QGn1XE3FbLQa_-QbCNdBi90OdPjRqg"", ""'Plan de Compras'!D4:Q""), 4, 0), """")"),"PESA")</f>
        <v>PESA</v>
      </c>
      <c r="AD163" s="37" t="str">
        <f>IFERROR(__xludf.DUMMYFUNCTION("IFERROR(IF(OR(C163=TRUE,C163=""""),VLOOKUP(G163,IMPORTRANGE(""https://docs.google.com/spreadsheets/d/1z9A1Wq-kKrhRNG5RS2a2fKpY1wIhSVz2ZNmP2mOl588/edit?usp=sharing"",""REQ VF!E4:H""),4,0),""NO APLICA""),""GENERAR REQ"")"),"GENERAR REQ")</f>
        <v>GENERAR REQ</v>
      </c>
      <c r="AE163" s="32" t="str">
        <f>IFERROR(__xludf.DUMMYFUNCTION("IFERROR(QUERY(IMPORTRANGE(""https://docs.google.com/spreadsheets/d/1z9A1Wq-kKrhRNG5RS2a2fKpY1wIhSVz2ZNmP2mOl588/edit?usp=sharing"",""REQ VF!E4:Q""),""SELECT Col10, Col11, Col12 WHERE Col1 = '""&amp;G163&amp;""'"",0),""NO APLICA"")"),"NO APLICA")</f>
        <v>NO APLICA</v>
      </c>
      <c r="AF163" s="32"/>
      <c r="AG163" s="32"/>
      <c r="AH163" s="13"/>
      <c r="AI163" s="13"/>
    </row>
    <row r="164">
      <c r="A164" s="121">
        <v>103.0</v>
      </c>
      <c r="B164" s="43" t="b">
        <v>1</v>
      </c>
      <c r="C164" s="26" t="b">
        <v>1</v>
      </c>
      <c r="D164" s="26" t="s">
        <v>35</v>
      </c>
      <c r="E164" s="26" t="s">
        <v>1510</v>
      </c>
      <c r="F164" s="59" t="s">
        <v>2063</v>
      </c>
      <c r="G164" s="39" t="s">
        <v>2063</v>
      </c>
      <c r="H164" s="66" t="s">
        <v>2064</v>
      </c>
      <c r="I164" s="43">
        <f>SUMIFS('Hoja 10'!$O:$O,'Hoja 10'!$F:$F,$G164)</f>
        <v>32</v>
      </c>
      <c r="J164" s="26">
        <f>IFERROR(__xludf.DUMMYFUNCTION("VLOOKUP(G164,IMPORTRANGE(""https://docs.google.com/spreadsheets/d/12RxCea4e5ggM7QGn1XE3FbLQa_-QbCNdBi90OdPjRqg/edit?gid=1692403370#gid=1692403370"", ""'Plan de Compras'!D4:2432""), 8,0)"),32.0)</f>
        <v>32</v>
      </c>
      <c r="K164" s="26" t="str">
        <f t="shared" si="18"/>
        <v>SI</v>
      </c>
      <c r="L164" s="29" t="s">
        <v>39</v>
      </c>
      <c r="M164" s="30" t="s">
        <v>40</v>
      </c>
      <c r="N164" s="32"/>
      <c r="O164" s="32" t="str">
        <f>VLOOKUP($G164,'Hoja 10'!$F$4:$AA1057, 19,0)</f>
        <v>SELECTA</v>
      </c>
      <c r="P164" s="32" t="str">
        <f>VLOOKUP($G164,'Hoja 10'!$F$4:$AA1057, 20,0)</f>
        <v>SELECTA</v>
      </c>
      <c r="Q164" s="33" t="str">
        <f>VLOOKUP($G164,'Hoja 10'!$F$4:$AA1057, 21,0)</f>
        <v>https://www.auxilab.es/controles/ObtenerPDF.ashx?f=%5c00%5c05%5c2m%5co0_F_PH_SELECTA_E.pdf</v>
      </c>
      <c r="R164" s="86" t="s">
        <v>2065</v>
      </c>
      <c r="S164" s="44" t="b">
        <v>1</v>
      </c>
      <c r="T164" s="39" t="str">
        <f>IFERROR(__xludf.DUMMYFUNCTION(" IF
( VLOOKUP($G164,IMPORTRANGE(""https://docs.google.com/spreadsheets/d/1Gpl6jkTg7sL4VDNimUm3S9Vi1i95esohXCF3wuKOE8c"", ""'CONSOLIDADO'!G5:AB""), 10, 0) &lt;&gt; 0, 
IFERROR(VLOOKUP($G164,IMPORTRANGE(""https://docs.google.com/spreadsheets/d/1Gpl6jkTg7sL4VDNimU"&amp;"m3S9Vi1i95esohXCF3wuKOE8c"", ""'CONSOLIDADO'!G5:AB""), 17, 0), ""-""),
""""
)"),"APERA")</f>
        <v>APERA</v>
      </c>
      <c r="U164" s="39" t="str">
        <f>IFERROR(__xludf.DUMMYFUNCTION(" IF
( VLOOKUP($G164,IMPORTRANGE(""https://docs.google.com/spreadsheets/d/1Gpl6jkTg7sL4VDNimUm3S9Vi1i95esohXCF3wuKOE8c"", ""'CONSOLIDADO'!G5:AB""), 10, 0) &lt;&gt; 0, 
IFERROR(VLOOKUP($G164,IMPORTRANGE(""https://docs.google.com/spreadsheets/d/1Gpl6jkTg7sL4VDNimU"&amp;"m3S9Vi1i95esohXCF3wuKOE8c"", ""'CONSOLIDADO'!G5:AB""), 18, 0), ""-""),
""""
)"),"PH700")</f>
        <v>PH700</v>
      </c>
      <c r="V164" s="39" t="str">
        <f>IFERROR(__xludf.DUMMYFUNCTION(" IF
( VLOOKUP($G164,IMPORTRANGE(""https://docs.google.com/spreadsheets/d/1Gpl6jkTg7sL4VDNimUm3S9Vi1i95esohXCF3wuKOE8c"", ""'CONSOLIDADO'!G5:AB""), 10, 0) &lt;&gt; 0, 
IFERROR(VLOOKUP($G164,IMPORTRANGE(""https://docs.google.com/spreadsheets/d/1Gpl6jkTg7sL4VDNimU"&amp;"m3S9Vi1i95esohXCF3wuKOE8c"", ""'CONSOLIDADO'!G5:AB""), 17, 0), ""-""),
""""
)"),"APERA")</f>
        <v>APERA</v>
      </c>
      <c r="W164" s="39" t="str">
        <f>IFERROR(__xludf.DUMMYFUNCTION(" IF
( VLOOKUP($G164,IMPORTRANGE(""https://docs.google.com/spreadsheets/d/1Gpl6jkTg7sL4VDNimUm3S9Vi1i95esohXCF3wuKOE8c"", ""'CONSOLIDADO'!G5:AB""), 10, 0) &lt;&gt; 0, 
IFERROR(VLOOKUP($G164,IMPORTRANGE(""https://docs.google.com/spreadsheets/d/1Gpl6jkTg7sL4VDNimU"&amp;"m3S9Vi1i95esohXCF3wuKOE8c"", ""'CONSOLIDADO'!G5:AB""), 18, 0), ""-""),
""""
)"),"PH700")</f>
        <v>PH700</v>
      </c>
      <c r="X164" s="39" t="b">
        <f t="shared" si="20"/>
        <v>1</v>
      </c>
      <c r="Y164" s="120" t="str">
        <f>IFERROR(__xludf.DUMMYFUNCTION(" IF
( VLOOKUP($G164,IMPORTRANGE(""https://docs.google.com/spreadsheets/d/1Gpl6jkTg7sL4VDNimUm3S9Vi1i95esohXCF3wuKOE8c"", ""'CONSOLIDADO'!G5:AB""), 10, 0) &lt;&gt; 0, 
IFERROR(VLOOKUP($G164,IMPORTRANGE(""https://docs.google.com/spreadsheets/d/1Gpl6jkTg7sL4VDNimU"&amp;"m3S9Vi1i95esohXCF3wuKOE8c"", ""'CONSOLIDADO'!G5:AB""), 19, 0), ""-""),
""""
)"),"https://www.industriasasociadas.com/producto/kit-medidor-de-ph-de-mesa-ph700/")</f>
        <v>https://www.industriasasociadas.com/producto/kit-medidor-de-ph-de-mesa-ph700/</v>
      </c>
      <c r="Z164" s="37" t="str">
        <f>IFERROR(__xludf.DUMMYFUNCTION("IFERROR(VLOOKUP(G164,IMPORTRANGE(""https://docs.google.com/spreadsheets/d/12RxCea4e5ggM7QGn1XE3FbLQa_-QbCNdBi90OdPjRqg"", ""'Plan de Compras'!D4:Q""), 12, 0), ""NO ESTÁ EN REQ"")"),"Técnica")</f>
        <v>Técnica</v>
      </c>
      <c r="AA164" s="37" t="str">
        <f>IFERROR(__xludf.DUMMYFUNCTION("IFERROR(VLOOKUP(G164,IMPORTRANGE(""https://docs.google.com/spreadsheets/d/12RxCea4e5ggM7QGn1XE3FbLQa_-QbCNdBi90OdPjRqg"", ""'Plan de Compras'!D4:Q""), 13, 0), """")"),"INTERNACIONAL")</f>
        <v>INTERNACIONAL</v>
      </c>
      <c r="AB164" s="32" t="str">
        <f>IFERROR(__xludf.DUMMYFUNCTION("IFERROR(VLOOKUP(G164,IMPORTRANGE(""https://docs.google.com/spreadsheets/d/12RxCea4e5ggM7QGn1XE3FbLQa_-QbCNdBi90OdPjRqg"", ""'Plan de Compras'!D4:Q""), 14, 0), """")"),"GEYDI")</f>
        <v>GEYDI</v>
      </c>
      <c r="AC164" s="72" t="str">
        <f>IFERROR(__xludf.DUMMYFUNCTION("IFERROR(VLOOKUP(G164,IMPORTRANGE(""https://docs.google.com/spreadsheets/d/12RxCea4e5ggM7QGn1XE3FbLQa_-QbCNdBi90OdPjRqg"", ""'Plan de Compras'!D4:Q""), 4, 0), """")"),"PH METRO PARA ALIMENTOS LÍQUIDOS")</f>
        <v>PH METRO PARA ALIMENTOS LÍQUIDOS</v>
      </c>
      <c r="AD164" s="37" t="str">
        <f>IFERROR(__xludf.DUMMYFUNCTION("IFERROR(IF(OR(C164=TRUE,C164=""""),VLOOKUP(G164,IMPORTRANGE(""https://docs.google.com/spreadsheets/d/1z9A1Wq-kKrhRNG5RS2a2fKpY1wIhSVz2ZNmP2mOl588/edit?usp=sharing"",""REQ VF!E4:H""),4,0),""NO APLICA""),""GENERAR REQ"")"),"GENERAR REQ")</f>
        <v>GENERAR REQ</v>
      </c>
      <c r="AE164" s="32" t="str">
        <f>IFERROR(__xludf.DUMMYFUNCTION("IFERROR(QUERY(IMPORTRANGE(""https://docs.google.com/spreadsheets/d/1z9A1Wq-kKrhRNG5RS2a2fKpY1wIhSVz2ZNmP2mOl588/edit?usp=sharing"",""REQ VF!E4:Q""),""SELECT Col10, Col11, Col12 WHERE Col1 = '""&amp;G164&amp;""'"",0),""NO APLICA"")"),"NO APLICA")</f>
        <v>NO APLICA</v>
      </c>
      <c r="AF164" s="32"/>
      <c r="AG164" s="32"/>
      <c r="AH164" s="8" t="s">
        <v>52</v>
      </c>
      <c r="AI164" s="8"/>
    </row>
    <row r="165">
      <c r="A165" s="121">
        <v>104.0</v>
      </c>
      <c r="B165" s="43" t="b">
        <v>1</v>
      </c>
      <c r="C165" s="26" t="b">
        <v>1</v>
      </c>
      <c r="D165" s="26" t="s">
        <v>35</v>
      </c>
      <c r="E165" s="26" t="s">
        <v>1510</v>
      </c>
      <c r="F165" s="59" t="s">
        <v>2066</v>
      </c>
      <c r="G165" s="37" t="s">
        <v>2066</v>
      </c>
      <c r="H165" s="82" t="s">
        <v>2067</v>
      </c>
      <c r="I165" s="43">
        <f>SUMIFS('Hoja 10'!$O:$O,'Hoja 10'!$F:$F,$G165)</f>
        <v>4</v>
      </c>
      <c r="J165" s="26">
        <f>IFERROR(__xludf.DUMMYFUNCTION("VLOOKUP(G165,IMPORTRANGE(""https://docs.google.com/spreadsheets/d/12RxCea4e5ggM7QGn1XE3FbLQa_-QbCNdBi90OdPjRqg/edit?gid=1692403370#gid=1692403370"", ""'Plan de Compras'!D4:2432""), 8,0)"),4.0)</f>
        <v>4</v>
      </c>
      <c r="K165" s="26" t="str">
        <f t="shared" si="18"/>
        <v>SI</v>
      </c>
      <c r="L165" s="29" t="s">
        <v>296</v>
      </c>
      <c r="M165" s="30" t="s">
        <v>297</v>
      </c>
      <c r="N165" s="32"/>
      <c r="O165" s="32" t="str">
        <f>VLOOKUP($G165,'Hoja 10'!$F$4:$AA1057, 19,0)</f>
        <v>TRUPER</v>
      </c>
      <c r="P165" s="32" t="str">
        <f>VLOOKUP($G165,'Hoja 10'!$F$4:$AA1057, 20,0)</f>
        <v>PIAS-109</v>
      </c>
      <c r="Q165" s="33" t="str">
        <f>VLOOKUP($G165,'Hoja 10'!$F$4:$AA1057, 21,0)</f>
        <v>https://www.aibitech.com/herramientas-abrasivos/piedras-lijas-limas-abrasivas/piedras-abrasivas/piedras-para-asentar-150-x-50-mm-grano-150-240-espesor-1-carburo-de-silicio-pias-109-11667-truper-8292.html?srsltid=AfmBOopsZ2pSH1VdnUjr9VSgydDYf5TDFKVCUszq0fwlB-6fyw0gd-ii</v>
      </c>
      <c r="R165" s="86" t="s">
        <v>2068</v>
      </c>
      <c r="S165" s="44" t="b">
        <v>1</v>
      </c>
      <c r="T165" s="39" t="str">
        <f>IFERROR(__xludf.DUMMYFUNCTION(" IF
( VLOOKUP($G165,IMPORTRANGE(""https://docs.google.com/spreadsheets/d/1Gpl6jkTg7sL4VDNimUm3S9Vi1i95esohXCF3wuKOE8c"", ""'CONSOLIDADO'!G5:AB""), 10, 0) &lt;&gt; 0, 
IFERROR(VLOOKUP($G165,IMPORTRANGE(""https://docs.google.com/spreadsheets/d/1Gpl6jkTg7sL4VDNimU"&amp;"m3S9Vi1i95esohXCF3wuKOE8c"", ""'CONSOLIDADO'!G5:AB""), 17, 0), ""-""),
""""
)"),"TOOLCRAFT")</f>
        <v>TOOLCRAFT</v>
      </c>
      <c r="U165" s="39" t="str">
        <f>IFERROR(__xludf.DUMMYFUNCTION(" IF
( VLOOKUP($G165,IMPORTRANGE(""https://docs.google.com/spreadsheets/d/1Gpl6jkTg7sL4VDNimUm3S9Vi1i95esohXCF3wuKOE8c"", ""'CONSOLIDADO'!G5:AB""), 10, 0) &lt;&gt; 0, 
IFERROR(VLOOKUP($G165,IMPORTRANGE(""https://docs.google.com/spreadsheets/d/1Gpl6jkTg7sL4VDNimU"&amp;"m3S9Vi1i95esohXCF3wuKOE8c"", ""'CONSOLIDADO'!G5:AB""), 18, 0), ""-""),
""""
)"),"TC5082")</f>
        <v>TC5082</v>
      </c>
      <c r="V165" s="39" t="str">
        <f>IFERROR(__xludf.DUMMYFUNCTION(" IF
( VLOOKUP($G165,IMPORTRANGE(""https://docs.google.com/spreadsheets/d/1Gpl6jkTg7sL4VDNimUm3S9Vi1i95esohXCF3wuKOE8c"", ""'CONSOLIDADO'!G5:AB""), 10, 0) &lt;&gt; 0, 
IFERROR(VLOOKUP($G165,IMPORTRANGE(""https://docs.google.com/spreadsheets/d/1Gpl6jkTg7sL4VDNimU"&amp;"m3S9Vi1i95esohXCF3wuKOE8c"", ""'CONSOLIDADO'!G5:AB""), 17, 0), ""-""),
""""
)"),"TOOLCRAFT")</f>
        <v>TOOLCRAFT</v>
      </c>
      <c r="W165" s="39" t="str">
        <f>IFERROR(__xludf.DUMMYFUNCTION(" IF
( VLOOKUP($G165,IMPORTRANGE(""https://docs.google.com/spreadsheets/d/1Gpl6jkTg7sL4VDNimUm3S9Vi1i95esohXCF3wuKOE8c"", ""'CONSOLIDADO'!G5:AB""), 10, 0) &lt;&gt; 0, 
IFERROR(VLOOKUP($G165,IMPORTRANGE(""https://docs.google.com/spreadsheets/d/1Gpl6jkTg7sL4VDNimU"&amp;"m3S9Vi1i95esohXCF3wuKOE8c"", ""'CONSOLIDADO'!G5:AB""), 18, 0), ""-""),
""""
)"),"TC5082")</f>
        <v>TC5082</v>
      </c>
      <c r="X165" s="39" t="b">
        <f t="shared" si="20"/>
        <v>1</v>
      </c>
      <c r="Y165" s="120" t="str">
        <f>IFERROR(__xludf.DUMMYFUNCTION(" IF
( VLOOKUP($G165,IMPORTRANGE(""https://docs.google.com/spreadsheets/d/1Gpl6jkTg7sL4VDNimUm3S9Vi1i95esohXCF3wuKOE8c"", ""'CONSOLIDADO'!G5:AB""), 10, 0) &lt;&gt; 0, 
IFERROR(VLOOKUP($G165,IMPORTRANGE(""https://docs.google.com/spreadsheets/d/1Gpl6jkTg7sL4VDNimU"&amp;"m3S9Vi1i95esohXCF3wuKOE8c"", ""'CONSOLIDADO'!G5:AB""), 19, 0), ""-""),
""""
)"),"https://cahema.pe/piedra-de-afilar/19249-piedra-de-afilar-6-x-2-x-1-toolcraft-tc5082-7501892864945.html")</f>
        <v>https://cahema.pe/piedra-de-afilar/19249-piedra-de-afilar-6-x-2-x-1-toolcraft-tc5082-7501892864945.html</v>
      </c>
      <c r="Z165" s="37" t="str">
        <f>IFERROR(__xludf.DUMMYFUNCTION("IFERROR(VLOOKUP(G165,IMPORTRANGE(""https://docs.google.com/spreadsheets/d/12RxCea4e5ggM7QGn1XE3FbLQa_-QbCNdBi90OdPjRqg"", ""'Plan de Compras'!D4:Q""), 12, 0), ""NO ESTÁ EN REQ"")"),"Técnica")</f>
        <v>Técnica</v>
      </c>
      <c r="AA165" s="37" t="str">
        <f>IFERROR(__xludf.DUMMYFUNCTION("IFERROR(VLOOKUP(G165,IMPORTRANGE(""https://docs.google.com/spreadsheets/d/12RxCea4e5ggM7QGn1XE3FbLQa_-QbCNdBi90OdPjRqg"", ""'Plan de Compras'!D4:Q""), 13, 0), """")"),"NACIONAL")</f>
        <v>NACIONAL</v>
      </c>
      <c r="AB165" s="32" t="str">
        <f>IFERROR(__xludf.DUMMYFUNCTION("IFERROR(VLOOKUP(G165,IMPORTRANGE(""https://docs.google.com/spreadsheets/d/12RxCea4e5ggM7QGn1XE3FbLQa_-QbCNdBi90OdPjRqg"", ""'Plan de Compras'!D4:Q""), 14, 0), """")"),"JESSICA")</f>
        <v>JESSICA</v>
      </c>
      <c r="AC165" s="72" t="str">
        <f>IFERROR(__xludf.DUMMYFUNCTION("IFERROR(VLOOKUP(G165,IMPORTRANGE(""https://docs.google.com/spreadsheets/d/12RxCea4e5ggM7QGn1XE3FbLQa_-QbCNdBi90OdPjRqg"", ""'Plan de Compras'!D4:Q""), 4, 0), """")"),"PIEDRA DE ASENTAR")</f>
        <v>PIEDRA DE ASENTAR</v>
      </c>
      <c r="AD165" s="37" t="str">
        <f>IFERROR(__xludf.DUMMYFUNCTION("IFERROR(IF(OR(C165=TRUE,C165=""""),VLOOKUP(G165,IMPORTRANGE(""https://docs.google.com/spreadsheets/d/1z9A1Wq-kKrhRNG5RS2a2fKpY1wIhSVz2ZNmP2mOl588/edit?usp=sharing"",""REQ VF!E4:H""),4,0),""NO APLICA""),""GENERAR REQ"")"),"GENERAR REQ")</f>
        <v>GENERAR REQ</v>
      </c>
      <c r="AE165" s="32" t="str">
        <f>IFERROR(__xludf.DUMMYFUNCTION("IFERROR(QUERY(IMPORTRANGE(""https://docs.google.com/spreadsheets/d/1z9A1Wq-kKrhRNG5RS2a2fKpY1wIhSVz2ZNmP2mOl588/edit?usp=sharing"",""REQ VF!E4:Q""),""SELECT Col10, Col11, Col12 WHERE Col1 = '""&amp;G165&amp;""'"",0),""NO APLICA"")"),"NO APLICA")</f>
        <v>NO APLICA</v>
      </c>
      <c r="AF165" s="32"/>
      <c r="AG165" s="32"/>
      <c r="AH165" s="8" t="s">
        <v>52</v>
      </c>
      <c r="AI165" s="13"/>
    </row>
    <row r="166">
      <c r="A166" s="117">
        <v>105.0</v>
      </c>
      <c r="B166" s="43" t="b">
        <v>1</v>
      </c>
      <c r="C166" s="26" t="b">
        <v>1</v>
      </c>
      <c r="D166" s="26" t="s">
        <v>35</v>
      </c>
      <c r="E166" s="26" t="s">
        <v>1510</v>
      </c>
      <c r="F166" s="59" t="s">
        <v>2069</v>
      </c>
      <c r="G166" s="37" t="s">
        <v>2069</v>
      </c>
      <c r="H166" s="82" t="s">
        <v>2070</v>
      </c>
      <c r="I166" s="43">
        <f>SUMIFS('Hoja 10'!$O:$O,'Hoja 10'!$F:$F,$G166)</f>
        <v>5</v>
      </c>
      <c r="J166" s="26">
        <f>IFERROR(__xludf.DUMMYFUNCTION("VLOOKUP(G166,IMPORTRANGE(""https://docs.google.com/spreadsheets/d/12RxCea4e5ggM7QGn1XE3FbLQa_-QbCNdBi90OdPjRqg/edit?gid=1692403370#gid=1692403370"", ""'Plan de Compras'!D4:2432""), 8,0)"),5.0)</f>
        <v>5</v>
      </c>
      <c r="K166" s="26" t="str">
        <f t="shared" si="18"/>
        <v>SI</v>
      </c>
      <c r="L166" s="29" t="s">
        <v>91</v>
      </c>
      <c r="M166" s="30" t="s">
        <v>92</v>
      </c>
      <c r="N166" s="32"/>
      <c r="O166" s="32" t="str">
        <f>VLOOKUP($G166,'Hoja 10'!$F$4:$AA1057, 19,0)</f>
        <v>GENERICO</v>
      </c>
      <c r="P166" s="32" t="str">
        <f>VLOOKUP($G166,'Hoja 10'!$F$4:$AA1057, 20,0)</f>
        <v>GENERICO</v>
      </c>
      <c r="Q166" s="33" t="str">
        <f>VLOOKUP($G166,'Hoja 10'!$F$4:$AA1057, 21,0)</f>
        <v>https://aranda.com.pe/producto/piqueta-martillo-para-soldador/</v>
      </c>
      <c r="R166" s="86" t="s">
        <v>2071</v>
      </c>
      <c r="S166" s="44" t="b">
        <v>1</v>
      </c>
      <c r="T166" s="39" t="str">
        <f>IFERROR(__xludf.DUMMYFUNCTION(" IF
( VLOOKUP($G166,IMPORTRANGE(""https://docs.google.com/spreadsheets/d/1Gpl6jkTg7sL4VDNimUm3S9Vi1i95esohXCF3wuKOE8c"", ""'CONSOLIDADO'!G5:AB""), 10, 0) &lt;&gt; 0, 
IFERROR(VLOOKUP($G166,IMPORTRANGE(""https://docs.google.com/spreadsheets/d/1Gpl6jkTg7sL4VDNimU"&amp;"m3S9Vi1i95esohXCF3wuKOE8c"", ""'CONSOLIDADO'!G5:AB""), 17, 0), ""-""),
""""
)"),"ARANDA WELDING")</f>
        <v>ARANDA WELDING</v>
      </c>
      <c r="U166" s="39" t="str">
        <f>IFERROR(__xludf.DUMMYFUNCTION(" IF
( VLOOKUP($G166,IMPORTRANGE(""https://docs.google.com/spreadsheets/d/1Gpl6jkTg7sL4VDNimUm3S9Vi1i95esohXCF3wuKOE8c"", ""'CONSOLIDADO'!G5:AB""), 10, 0) &lt;&gt; 0, 
IFERROR(VLOOKUP($G166,IMPORTRANGE(""https://docs.google.com/spreadsheets/d/1Gpl6jkTg7sL4VDNimU"&amp;"m3S9Vi1i95esohXCF3wuKOE8c"", ""'CONSOLIDADO'!G5:AB""), 18, 0), ""-""),
""""
)"),"WP-30")</f>
        <v>WP-30</v>
      </c>
      <c r="V166" s="39" t="str">
        <f>IFERROR(__xludf.DUMMYFUNCTION(" IF
( VLOOKUP($G166,IMPORTRANGE(""https://docs.google.com/spreadsheets/d/1Gpl6jkTg7sL4VDNimUm3S9Vi1i95esohXCF3wuKOE8c"", ""'CONSOLIDADO'!G5:AB""), 10, 0) &lt;&gt; 0, 
IFERROR(VLOOKUP($G166,IMPORTRANGE(""https://docs.google.com/spreadsheets/d/1Gpl6jkTg7sL4VDNimU"&amp;"m3S9Vi1i95esohXCF3wuKOE8c"", ""'CONSOLIDADO'!G5:AB""), 17, 0), ""-""),
""""
)"),"ARANDA WELDING")</f>
        <v>ARANDA WELDING</v>
      </c>
      <c r="W166" s="39" t="str">
        <f>IFERROR(__xludf.DUMMYFUNCTION(" IF
( VLOOKUP($G166,IMPORTRANGE(""https://docs.google.com/spreadsheets/d/1Gpl6jkTg7sL4VDNimUm3S9Vi1i95esohXCF3wuKOE8c"", ""'CONSOLIDADO'!G5:AB""), 10, 0) &lt;&gt; 0, 
IFERROR(VLOOKUP($G166,IMPORTRANGE(""https://docs.google.com/spreadsheets/d/1Gpl6jkTg7sL4VDNimU"&amp;"m3S9Vi1i95esohXCF3wuKOE8c"", ""'CONSOLIDADO'!G5:AB""), 18, 0), ""-""),
""""
)"),"WP-30")</f>
        <v>WP-30</v>
      </c>
      <c r="X166" s="39" t="b">
        <f t="shared" si="20"/>
        <v>1</v>
      </c>
      <c r="Y166" s="120" t="str">
        <f>IFERROR(__xludf.DUMMYFUNCTION(" IF
( VLOOKUP($G166,IMPORTRANGE(""https://docs.google.com/spreadsheets/d/1Gpl6jkTg7sL4VDNimUm3S9Vi1i95esohXCF3wuKOE8c"", ""'CONSOLIDADO'!G5:AB""), 10, 0) &lt;&gt; 0, 
IFERROR(VLOOKUP($G166,IMPORTRANGE(""https://docs.google.com/spreadsheets/d/1Gpl6jkTg7sL4VDNimU"&amp;"m3S9Vi1i95esohXCF3wuKOE8c"", ""'CONSOLIDADO'!G5:AB""), 19, 0), ""-""),
""""
)"),"https://aranda.com.pe/producto/piqueta-martillo-para-soldador/")</f>
        <v>https://aranda.com.pe/producto/piqueta-martillo-para-soldador/</v>
      </c>
      <c r="Z166" s="37" t="str">
        <f>IFERROR(__xludf.DUMMYFUNCTION("IFERROR(VLOOKUP(G166,IMPORTRANGE(""https://docs.google.com/spreadsheets/d/12RxCea4e5ggM7QGn1XE3FbLQa_-QbCNdBi90OdPjRqg"", ""'Plan de Compras'!D4:Q""), 12, 0), ""NO ESTÁ EN REQ"")"),"Técnica")</f>
        <v>Técnica</v>
      </c>
      <c r="AA166" s="37" t="str">
        <f>IFERROR(__xludf.DUMMYFUNCTION("IFERROR(VLOOKUP(G166,IMPORTRANGE(""https://docs.google.com/spreadsheets/d/12RxCea4e5ggM7QGn1XE3FbLQa_-QbCNdBi90OdPjRqg"", ""'Plan de Compras'!D4:Q""), 13, 0), """")"),"NACIONAL")</f>
        <v>NACIONAL</v>
      </c>
      <c r="AB166" s="32" t="str">
        <f>IFERROR(__xludf.DUMMYFUNCTION("IFERROR(VLOOKUP(G166,IMPORTRANGE(""https://docs.google.com/spreadsheets/d/12RxCea4e5ggM7QGn1XE3FbLQa_-QbCNdBi90OdPjRqg"", ""'Plan de Compras'!D4:Q""), 14, 0), """")"),"JESSICA")</f>
        <v>JESSICA</v>
      </c>
      <c r="AC166" s="72" t="str">
        <f>IFERROR(__xludf.DUMMYFUNCTION("IFERROR(VLOOKUP(G166,IMPORTRANGE(""https://docs.google.com/spreadsheets/d/12RxCea4e5ggM7QGn1XE3FbLQa_-QbCNdBi90OdPjRqg"", ""'Plan de Compras'!D4:Q""), 4, 0), """")"),"PIQUETA DE SOLDADOR")</f>
        <v>PIQUETA DE SOLDADOR</v>
      </c>
      <c r="AD166" s="37" t="str">
        <f>IFERROR(__xludf.DUMMYFUNCTION("IFERROR(IF(OR(C166=TRUE,C166=""""),VLOOKUP(G166,IMPORTRANGE(""https://docs.google.com/spreadsheets/d/1z9A1Wq-kKrhRNG5RS2a2fKpY1wIhSVz2ZNmP2mOl588/edit?usp=sharing"",""REQ VF!E4:H""),4,0),""NO APLICA""),""GENERAR REQ"")"),"GENERAR REQ")</f>
        <v>GENERAR REQ</v>
      </c>
      <c r="AE166" s="32" t="str">
        <f>IFERROR(__xludf.DUMMYFUNCTION("IFERROR(QUERY(IMPORTRANGE(""https://docs.google.com/spreadsheets/d/1z9A1Wq-kKrhRNG5RS2a2fKpY1wIhSVz2ZNmP2mOl588/edit?usp=sharing"",""REQ VF!E4:Q""),""SELECT Col10, Col11, Col12 WHERE Col1 = '""&amp;G166&amp;""'"",0),""NO APLICA"")"),"NO APLICA")</f>
        <v>NO APLICA</v>
      </c>
      <c r="AF166" s="32"/>
      <c r="AG166" s="32"/>
      <c r="AH166" s="8" t="s">
        <v>52</v>
      </c>
      <c r="AI166" s="13"/>
    </row>
    <row r="167">
      <c r="A167" s="117">
        <v>106.0</v>
      </c>
      <c r="B167" s="43" t="b">
        <v>1</v>
      </c>
      <c r="C167" s="26" t="b">
        <v>1</v>
      </c>
      <c r="D167" s="26" t="s">
        <v>35</v>
      </c>
      <c r="E167" s="26" t="s">
        <v>1510</v>
      </c>
      <c r="F167" s="59" t="s">
        <v>2072</v>
      </c>
      <c r="G167" s="37" t="s">
        <v>2072</v>
      </c>
      <c r="H167" s="82" t="s">
        <v>2073</v>
      </c>
      <c r="I167" s="43">
        <f>SUMIFS('Hoja 10'!$O:$O,'Hoja 10'!$F:$F,$G167)</f>
        <v>20</v>
      </c>
      <c r="J167" s="26">
        <f>IFERROR(__xludf.DUMMYFUNCTION("VLOOKUP(G167,IMPORTRANGE(""https://docs.google.com/spreadsheets/d/12RxCea4e5ggM7QGn1XE3FbLQa_-QbCNdBi90OdPjRqg/edit?gid=1692403370#gid=1692403370"", ""'Plan de Compras'!D4:2432""), 8,0)"),20.0)</f>
        <v>20</v>
      </c>
      <c r="K167" s="26" t="str">
        <f t="shared" si="18"/>
        <v>SI</v>
      </c>
      <c r="L167" s="29" t="s">
        <v>185</v>
      </c>
      <c r="M167" s="30" t="s">
        <v>186</v>
      </c>
      <c r="N167" s="32"/>
      <c r="O167" s="32" t="str">
        <f>VLOOKUP($G167,'Hoja 10'!$F$4:$AA1057, 19,0)</f>
        <v>PRYM</v>
      </c>
      <c r="P167" s="32">
        <f>VLOOKUP($G167,'Hoja 10'!$F$4:$AA1057, 20,0)</f>
        <v>9576</v>
      </c>
      <c r="Q167" s="33" t="str">
        <f>VLOOKUP($G167,'Hoja 10'!$F$4:$AA1057, 21,0)</f>
        <v>https://tren.com.pe/producto/piquetera-profesional/</v>
      </c>
      <c r="R167" s="86" t="s">
        <v>2074</v>
      </c>
      <c r="S167" s="34" t="b">
        <v>1</v>
      </c>
      <c r="T167" s="39" t="s">
        <v>55</v>
      </c>
      <c r="U167" s="39" t="s">
        <v>2075</v>
      </c>
      <c r="V167" s="39" t="str">
        <f>IFERROR(__xludf.DUMMYFUNCTION(" IF
( VLOOKUP($G167,IMPORTRANGE(""https://docs.google.com/spreadsheets/d/1Gpl6jkTg7sL4VDNimUm3S9Vi1i95esohXCF3wuKOE8c"", ""'CONSOLIDADO'!G5:AB""), 10, 0) &lt;&gt; 0, 
IFERROR(VLOOKUP($G167,IMPORTRANGE(""https://docs.google.com/spreadsheets/d/1Gpl6jkTg7sL4VDNimU"&amp;"m3S9Vi1i95esohXCF3wuKOE8c"", ""'CONSOLIDADO'!G5:AB""), 17, 0), ""-""),
""""
)"),"PRYM")</f>
        <v>PRYM</v>
      </c>
      <c r="W167" s="39">
        <f>IFERROR(__xludf.DUMMYFUNCTION(" IF
( VLOOKUP($G167,IMPORTRANGE(""https://docs.google.com/spreadsheets/d/1Gpl6jkTg7sL4VDNimUm3S9Vi1i95esohXCF3wuKOE8c"", ""'CONSOLIDADO'!G5:AB""), 10, 0) &lt;&gt; 0, 
IFERROR(VLOOKUP($G167,IMPORTRANGE(""https://docs.google.com/spreadsheets/d/1Gpl6jkTg7sL4VDNimU"&amp;"m3S9Vi1i95esohXCF3wuKOE8c"", ""'CONSOLIDADO'!G5:AB""), 18, 0), ""-""),
""""
)"),9576.0)</f>
        <v>9576</v>
      </c>
      <c r="X167" s="39" t="b">
        <f t="shared" si="20"/>
        <v>0</v>
      </c>
      <c r="Y167" s="110" t="str">
        <f>IFERROR(__xludf.DUMMYFUNCTION(" IF
( VLOOKUP($G167,IMPORTRANGE(""https://docs.google.com/spreadsheets/d/1Gpl6jkTg7sL4VDNimUm3S9Vi1i95esohXCF3wuKOE8c"", ""'CONSOLIDADO'!G5:AB""), 10, 0) &lt;&gt; 0, 
IFERROR(VLOOKUP($G167,IMPORTRANGE(""https://docs.google.com/spreadsheets/d/1Gpl6jkTg7sL4VDNimU"&amp;"m3S9Vi1i95esohXCF3wuKOE8c"", ""'CONSOLIDADO'!G5:AB""), 19, 0), ""-""),
""""
)"),"")</f>
        <v/>
      </c>
      <c r="Z167" s="37" t="str">
        <f>IFERROR(__xludf.DUMMYFUNCTION("IFERROR(VLOOKUP(G167,IMPORTRANGE(""https://docs.google.com/spreadsheets/d/12RxCea4e5ggM7QGn1XE3FbLQa_-QbCNdBi90OdPjRqg"", ""'Plan de Compras'!D4:Q""), 12, 0), ""NO ESTÁ EN REQ"")"),"Técnica")</f>
        <v>Técnica</v>
      </c>
      <c r="AA167" s="37" t="str">
        <f>IFERROR(__xludf.DUMMYFUNCTION("IFERROR(VLOOKUP(G167,IMPORTRANGE(""https://docs.google.com/spreadsheets/d/12RxCea4e5ggM7QGn1XE3FbLQa_-QbCNdBi90OdPjRqg"", ""'Plan de Compras'!D4:Q""), 13, 0), """")"),"NACIONAL")</f>
        <v>NACIONAL</v>
      </c>
      <c r="AB167" s="32" t="str">
        <f>IFERROR(__xludf.DUMMYFUNCTION("IFERROR(VLOOKUP(G167,IMPORTRANGE(""https://docs.google.com/spreadsheets/d/12RxCea4e5ggM7QGn1XE3FbLQa_-QbCNdBi90OdPjRqg"", ""'Plan de Compras'!D4:Q""), 14, 0), """")"),"JESSICA")</f>
        <v>JESSICA</v>
      </c>
      <c r="AC167" s="72" t="str">
        <f>IFERROR(__xludf.DUMMYFUNCTION("IFERROR(VLOOKUP(G167,IMPORTRANGE(""https://docs.google.com/spreadsheets/d/12RxCea4e5ggM7QGn1XE3FbLQa_-QbCNdBi90OdPjRqg"", ""'Plan de Compras'!D4:Q""), 4, 0), """")"),"PIQUETERA")</f>
        <v>PIQUETERA</v>
      </c>
      <c r="AD167" s="37" t="str">
        <f>IFERROR(__xludf.DUMMYFUNCTION("IFERROR(IF(OR(C167=TRUE,C167=""""),VLOOKUP(G167,IMPORTRANGE(""https://docs.google.com/spreadsheets/d/1z9A1Wq-kKrhRNG5RS2a2fKpY1wIhSVz2ZNmP2mOl588/edit?usp=sharing"",""REQ VF!E4:H""),4,0),""NO APLICA""),""GENERAR REQ"")"),"GENERAR REQ")</f>
        <v>GENERAR REQ</v>
      </c>
      <c r="AE167" s="32" t="str">
        <f>IFERROR(__xludf.DUMMYFUNCTION("IFERROR(QUERY(IMPORTRANGE(""https://docs.google.com/spreadsheets/d/1z9A1Wq-kKrhRNG5RS2a2fKpY1wIhSVz2ZNmP2mOl588/edit?usp=sharing"",""REQ VF!E4:Q""),""SELECT Col10, Col11, Col12 WHERE Col1 = '""&amp;G167&amp;""'"",0),""NO APLICA"")"),"NO APLICA")</f>
        <v>NO APLICA</v>
      </c>
      <c r="AF167" s="32"/>
      <c r="AG167" s="32"/>
      <c r="AH167" s="13"/>
      <c r="AI167" s="13"/>
    </row>
    <row r="168">
      <c r="A168" s="121">
        <v>107.0</v>
      </c>
      <c r="B168" s="43" t="b">
        <v>1</v>
      </c>
      <c r="C168" s="26" t="b">
        <v>1</v>
      </c>
      <c r="D168" s="26" t="s">
        <v>35</v>
      </c>
      <c r="E168" s="26" t="s">
        <v>1510</v>
      </c>
      <c r="F168" s="59" t="s">
        <v>2076</v>
      </c>
      <c r="G168" s="37" t="s">
        <v>2076</v>
      </c>
      <c r="H168" s="82" t="s">
        <v>2077</v>
      </c>
      <c r="I168" s="43">
        <f>SUMIFS('Hoja 10'!$O:$O,'Hoja 10'!$F:$F,$G168)</f>
        <v>32</v>
      </c>
      <c r="J168" s="26">
        <f>IFERROR(__xludf.DUMMYFUNCTION("VLOOKUP(G168,IMPORTRANGE(""https://docs.google.com/spreadsheets/d/12RxCea4e5ggM7QGn1XE3FbLQa_-QbCNdBi90OdPjRqg/edit?gid=1692403370#gid=1692403370"", ""'Plan de Compras'!D4:2432""), 8,0)"),32.0)</f>
        <v>32</v>
      </c>
      <c r="K168" s="26" t="str">
        <f t="shared" si="18"/>
        <v>SI</v>
      </c>
      <c r="L168" s="29" t="s">
        <v>296</v>
      </c>
      <c r="M168" s="30" t="s">
        <v>297</v>
      </c>
      <c r="N168" s="32"/>
      <c r="O168" s="32" t="str">
        <f>VLOOKUP($G168,'Hoja 10'!$F$4:$AA1057, 19,0)</f>
        <v>TRUPER</v>
      </c>
      <c r="P168" s="32">
        <f>VLOOKUP($G168,'Hoja 10'!$F$4:$AA1057, 20,0)</f>
        <v>17690</v>
      </c>
      <c r="Q168" s="33" t="str">
        <f>VLOOKUP($G168,'Hoja 10'!$F$4:$AA1057, 21,0)</f>
        <v>https://cahema.pe/esquinera/15183-prensa-esquinera-3-truper-17690-7501206625194.html</v>
      </c>
      <c r="R168" s="86" t="s">
        <v>2078</v>
      </c>
      <c r="S168" s="44" t="b">
        <v>1</v>
      </c>
      <c r="T168" s="39" t="str">
        <f>IFERROR(__xludf.DUMMYFUNCTION(" IF
( VLOOKUP($G168,IMPORTRANGE(""https://docs.google.com/spreadsheets/d/1Gpl6jkTg7sL4VDNimUm3S9Vi1i95esohXCF3wuKOE8c"", ""'CONSOLIDADO'!G5:AB""), 10, 0) &lt;&gt; 0, 
IFERROR(VLOOKUP($G168,IMPORTRANGE(""https://docs.google.com/spreadsheets/d/1Gpl6jkTg7sL4VDNimU"&amp;"m3S9Vi1i95esohXCF3wuKOE8c"", ""'CONSOLIDADO'!G5:AB""), 17, 0), ""-""),
""""
)"),"TRUPER")</f>
        <v>TRUPER</v>
      </c>
      <c r="U168" s="39" t="str">
        <f>IFERROR(__xludf.DUMMYFUNCTION(" IF
( VLOOKUP($G168,IMPORTRANGE(""https://docs.google.com/spreadsheets/d/1Gpl6jkTg7sL4VDNimUm3S9Vi1i95esohXCF3wuKOE8c"", ""'CONSOLIDADO'!G5:AB""), 10, 0) &lt;&gt; 0, 
IFERROR(VLOOKUP($G168,IMPORTRANGE(""https://docs.google.com/spreadsheets/d/1Gpl6jkTg7sL4VDNimU"&amp;"m3S9Vi1i95esohXCF3wuKOE8c"", ""'CONSOLIDADO'!G5:AB""), 18, 0), ""-""),
""""
)"),"PESQ-3")</f>
        <v>PESQ-3</v>
      </c>
      <c r="V168" s="39" t="str">
        <f>IFERROR(__xludf.DUMMYFUNCTION(" IF
( VLOOKUP($G168,IMPORTRANGE(""https://docs.google.com/spreadsheets/d/1Gpl6jkTg7sL4VDNimUm3S9Vi1i95esohXCF3wuKOE8c"", ""'CONSOLIDADO'!G5:AB""), 10, 0) &lt;&gt; 0, 
IFERROR(VLOOKUP($G168,IMPORTRANGE(""https://docs.google.com/spreadsheets/d/1Gpl6jkTg7sL4VDNimU"&amp;"m3S9Vi1i95esohXCF3wuKOE8c"", ""'CONSOLIDADO'!G5:AB""), 17, 0), ""-""),
""""
)"),"TRUPER")</f>
        <v>TRUPER</v>
      </c>
      <c r="W168" s="39" t="str">
        <f>IFERROR(__xludf.DUMMYFUNCTION(" IF
( VLOOKUP($G168,IMPORTRANGE(""https://docs.google.com/spreadsheets/d/1Gpl6jkTg7sL4VDNimUm3S9Vi1i95esohXCF3wuKOE8c"", ""'CONSOLIDADO'!G5:AB""), 10, 0) &lt;&gt; 0, 
IFERROR(VLOOKUP($G168,IMPORTRANGE(""https://docs.google.com/spreadsheets/d/1Gpl6jkTg7sL4VDNimU"&amp;"m3S9Vi1i95esohXCF3wuKOE8c"", ""'CONSOLIDADO'!G5:AB""), 18, 0), ""-""),
""""
)"),"PESQ-3")</f>
        <v>PESQ-3</v>
      </c>
      <c r="X168" s="39" t="b">
        <f t="shared" si="20"/>
        <v>1</v>
      </c>
      <c r="Y168" s="120" t="str">
        <f>IFERROR(__xludf.DUMMYFUNCTION(" IF
( VLOOKUP($G168,IMPORTRANGE(""https://docs.google.com/spreadsheets/d/1Gpl6jkTg7sL4VDNimUm3S9Vi1i95esohXCF3wuKOE8c"", ""'CONSOLIDADO'!G5:AB""), 10, 0) &lt;&gt; 0, 
IFERROR(VLOOKUP($G168,IMPORTRANGE(""https://docs.google.com/spreadsheets/d/1Gpl6jkTg7sL4VDNimU"&amp;"m3S9Vi1i95esohXCF3wuKOE8c"", ""'CONSOLIDADO'!G5:AB""), 19, 0), ""-""),
""""
)"),"https://cahema.pe/esquinera/15183-prensa-esquinera-3-truper-17690-7501206625194.html")</f>
        <v>https://cahema.pe/esquinera/15183-prensa-esquinera-3-truper-17690-7501206625194.html</v>
      </c>
      <c r="Z168" s="37" t="str">
        <f>IFERROR(__xludf.DUMMYFUNCTION("IFERROR(VLOOKUP(G168,IMPORTRANGE(""https://docs.google.com/spreadsheets/d/12RxCea4e5ggM7QGn1XE3FbLQa_-QbCNdBi90OdPjRqg"", ""'Plan de Compras'!D4:Q""), 12, 0), ""NO ESTÁ EN REQ"")"),"Técnica")</f>
        <v>Técnica</v>
      </c>
      <c r="AA168" s="37" t="str">
        <f>IFERROR(__xludf.DUMMYFUNCTION("IFERROR(VLOOKUP(G168,IMPORTRANGE(""https://docs.google.com/spreadsheets/d/12RxCea4e5ggM7QGn1XE3FbLQa_-QbCNdBi90OdPjRqg"", ""'Plan de Compras'!D4:Q""), 13, 0), """")"),"NACIONAL")</f>
        <v>NACIONAL</v>
      </c>
      <c r="AB168" s="32" t="str">
        <f>IFERROR(__xludf.DUMMYFUNCTION("IFERROR(VLOOKUP(G168,IMPORTRANGE(""https://docs.google.com/spreadsheets/d/12RxCea4e5ggM7QGn1XE3FbLQa_-QbCNdBi90OdPjRqg"", ""'Plan de Compras'!D4:Q""), 14, 0), """")"),"JESSICA")</f>
        <v>JESSICA</v>
      </c>
      <c r="AC168" s="72" t="str">
        <f>IFERROR(__xludf.DUMMYFUNCTION("IFERROR(VLOOKUP(G168,IMPORTRANGE(""https://docs.google.com/spreadsheets/d/12RxCea4e5ggM7QGn1XE3FbLQa_-QbCNdBi90OdPjRqg"", ""'Plan de Compras'!D4:Q""), 4, 0), """")"),"PRENSA ESQUINERA")</f>
        <v>PRENSA ESQUINERA</v>
      </c>
      <c r="AD168" s="37" t="str">
        <f>IFERROR(__xludf.DUMMYFUNCTION("IFERROR(IF(OR(C168=TRUE,C168=""""),VLOOKUP(G168,IMPORTRANGE(""https://docs.google.com/spreadsheets/d/1z9A1Wq-kKrhRNG5RS2a2fKpY1wIhSVz2ZNmP2mOl588/edit?usp=sharing"",""REQ VF!E4:H""),4,0),""NO APLICA""),""GENERAR REQ"")"),"GENERAR REQ")</f>
        <v>GENERAR REQ</v>
      </c>
      <c r="AE168" s="32" t="str">
        <f>IFERROR(__xludf.DUMMYFUNCTION("IFERROR(QUERY(IMPORTRANGE(""https://docs.google.com/spreadsheets/d/1z9A1Wq-kKrhRNG5RS2a2fKpY1wIhSVz2ZNmP2mOl588/edit?usp=sharing"",""REQ VF!E4:Q""),""SELECT Col10, Col11, Col12 WHERE Col1 = '""&amp;G168&amp;""'"",0),""NO APLICA"")"),"NO APLICA")</f>
        <v>NO APLICA</v>
      </c>
      <c r="AF168" s="32"/>
      <c r="AG168" s="32"/>
      <c r="AH168" s="8" t="s">
        <v>52</v>
      </c>
      <c r="AI168" s="13"/>
    </row>
    <row r="169">
      <c r="A169" s="121">
        <v>108.0</v>
      </c>
      <c r="B169" s="43" t="b">
        <v>1</v>
      </c>
      <c r="C169" s="26" t="b">
        <v>1</v>
      </c>
      <c r="D169" s="26" t="s">
        <v>35</v>
      </c>
      <c r="E169" s="26" t="s">
        <v>36</v>
      </c>
      <c r="F169" s="59" t="s">
        <v>2079</v>
      </c>
      <c r="G169" s="37" t="s">
        <v>2079</v>
      </c>
      <c r="H169" s="82" t="s">
        <v>2080</v>
      </c>
      <c r="I169" s="43">
        <f>SUMIFS('Hoja 10'!$O:$O,'Hoja 10'!$F:$F,$G169)</f>
        <v>4</v>
      </c>
      <c r="J169" s="26">
        <f>IFERROR(__xludf.DUMMYFUNCTION("VLOOKUP(G169,IMPORTRANGE(""https://docs.google.com/spreadsheets/d/12RxCea4e5ggM7QGn1XE3FbLQa_-QbCNdBi90OdPjRqg/edit?gid=1692403370#gid=1692403370"", ""'Plan de Compras'!D4:2432""), 8,0)"),4.0)</f>
        <v>4</v>
      </c>
      <c r="K169" s="26" t="str">
        <f t="shared" si="18"/>
        <v>SI</v>
      </c>
      <c r="L169" s="29" t="s">
        <v>39</v>
      </c>
      <c r="M169" s="30" t="s">
        <v>40</v>
      </c>
      <c r="N169" s="32" t="s">
        <v>166</v>
      </c>
      <c r="O169" s="32"/>
      <c r="P169" s="32" t="s">
        <v>2081</v>
      </c>
      <c r="Q169" s="41"/>
      <c r="R169" s="86" t="s">
        <v>2082</v>
      </c>
      <c r="S169" s="44" t="b">
        <v>1</v>
      </c>
      <c r="T169" s="39" t="str">
        <f>IFERROR(__xludf.DUMMYFUNCTION(" IF
( VLOOKUP($G169,IMPORTRANGE(""https://docs.google.com/spreadsheets/d/1Gpl6jkTg7sL4VDNimUm3S9Vi1i95esohXCF3wuKOE8c"", ""'CONSOLIDADO'!G5:AB""), 10, 0) &lt;&gt; 0, 
IFERROR(VLOOKUP($G169,IMPORTRANGE(""https://docs.google.com/spreadsheets/d/1Gpl6jkTg7sL4VDNimU"&amp;"m3S9Vi1i95esohXCF3wuKOE8c"", ""'CONSOLIDADO'!G5:AB""), 17, 0), ""-""),
""""
)"),"ZHENGZHOU ZHONGDEBAO INDUSTRIAL CO.,LTD")</f>
        <v>ZHENGZHOU ZHONGDEBAO INDUSTRIAL CO.,LTD</v>
      </c>
      <c r="U169" s="39" t="str">
        <f>IFERROR(__xludf.DUMMYFUNCTION(" IF
( VLOOKUP($G169,IMPORTRANGE(""https://docs.google.com/spreadsheets/d/1Gpl6jkTg7sL4VDNimUm3S9Vi1i95esohXCF3wuKOE8c"", ""'CONSOLIDADO'!G5:AB""), 10, 0) &lt;&gt; 0, 
IFERROR(VLOOKUP($G169,IMPORTRANGE(""https://docs.google.com/spreadsheets/d/1Gpl6jkTg7sL4VDNimU"&amp;"m3S9Vi1i95esohXCF3wuKOE8c"", ""'CONSOLIDADO'!G5:AB""), 18, 0), ""-""),
""""
)"),"Manual Hydraulic Oil Press 50")</f>
        <v>Manual Hydraulic Oil Press 50</v>
      </c>
      <c r="V169" s="39" t="str">
        <f>IFERROR(__xludf.DUMMYFUNCTION(" IF
( VLOOKUP($G169,IMPORTRANGE(""https://docs.google.com/spreadsheets/d/1Gpl6jkTg7sL4VDNimUm3S9Vi1i95esohXCF3wuKOE8c"", ""'CONSOLIDADO'!G5:AB""), 10, 0) &lt;&gt; 0, 
IFERROR(VLOOKUP($G169,IMPORTRANGE(""https://docs.google.com/spreadsheets/d/1Gpl6jkTg7sL4VDNimU"&amp;"m3S9Vi1i95esohXCF3wuKOE8c"", ""'CONSOLIDADO'!G5:AB""), 17, 0), ""-""),
""""
)"),"ZHENGZHOU ZHONGDEBAO INDUSTRIAL CO.,LTD")</f>
        <v>ZHENGZHOU ZHONGDEBAO INDUSTRIAL CO.,LTD</v>
      </c>
      <c r="W169" s="39" t="str">
        <f>IFERROR(__xludf.DUMMYFUNCTION(" IF
( VLOOKUP($G169,IMPORTRANGE(""https://docs.google.com/spreadsheets/d/1Gpl6jkTg7sL4VDNimUm3S9Vi1i95esohXCF3wuKOE8c"", ""'CONSOLIDADO'!G5:AB""), 10, 0) &lt;&gt; 0, 
IFERROR(VLOOKUP($G169,IMPORTRANGE(""https://docs.google.com/spreadsheets/d/1Gpl6jkTg7sL4VDNimU"&amp;"m3S9Vi1i95esohXCF3wuKOE8c"", ""'CONSOLIDADO'!G5:AB""), 18, 0), ""-""),
""""
)"),"Manual Hydraulic Oil Press 50")</f>
        <v>Manual Hydraulic Oil Press 50</v>
      </c>
      <c r="X169" s="39" t="b">
        <f t="shared" si="20"/>
        <v>1</v>
      </c>
      <c r="Y169" s="120" t="str">
        <f>IFERROR(__xludf.DUMMYFUNCTION(" IF
( VLOOKUP($G169,IMPORTRANGE(""https://docs.google.com/spreadsheets/d/1Gpl6jkTg7sL4VDNimUm3S9Vi1i95esohXCF3wuKOE8c"", ""'CONSOLIDADO'!G5:AB""), 10, 0) &lt;&gt; 0, 
IFERROR(VLOOKUP($G169,IMPORTRANGE(""https://docs.google.com/spreadsheets/d/1Gpl6jkTg7sL4VDNimU"&amp;"m3S9Vi1i95esohXCF3wuKOE8c"", ""'CONSOLIDADO'!G5:AB""), 19, 0), ""-""),
""""
)"),"https://drive.google.com/file/d/14Xn4ZBBKGWzZxnXY5TtSmCMni9jin2IE/view")</f>
        <v>https://drive.google.com/file/d/14Xn4ZBBKGWzZxnXY5TtSmCMni9jin2IE/view</v>
      </c>
      <c r="Z169" s="37" t="str">
        <f>IFERROR(__xludf.DUMMYFUNCTION("IFERROR(VLOOKUP(G169,IMPORTRANGE(""https://docs.google.com/spreadsheets/d/12RxCea4e5ggM7QGn1XE3FbLQa_-QbCNdBi90OdPjRqg"", ""'Plan de Compras'!D4:Q""), 12, 0), ""NO ESTÁ EN REQ"")"),"Técnica")</f>
        <v>Técnica</v>
      </c>
      <c r="AA169" s="37" t="str">
        <f>IFERROR(__xludf.DUMMYFUNCTION("IFERROR(VLOOKUP(G169,IMPORTRANGE(""https://docs.google.com/spreadsheets/d/12RxCea4e5ggM7QGn1XE3FbLQa_-QbCNdBi90OdPjRqg"", ""'Plan de Compras'!D4:Q""), 13, 0), """")"),"INTERNACIONAL")</f>
        <v>INTERNACIONAL</v>
      </c>
      <c r="AB169" s="32" t="str">
        <f>IFERROR(__xludf.DUMMYFUNCTION("IFERROR(VLOOKUP(G169,IMPORTRANGE(""https://docs.google.com/spreadsheets/d/12RxCea4e5ggM7QGn1XE3FbLQa_-QbCNdBi90OdPjRqg"", ""'Plan de Compras'!D4:Q""), 14, 0), """")"),"GEYDI")</f>
        <v>GEYDI</v>
      </c>
      <c r="AC169" s="72" t="str">
        <f>IFERROR(__xludf.DUMMYFUNCTION("IFERROR(VLOOKUP(G169,IMPORTRANGE(""https://docs.google.com/spreadsheets/d/12RxCea4e5ggM7QGn1XE3FbLQa_-QbCNdBi90OdPjRqg"", ""'Plan de Compras'!D4:Q""), 4, 0), """")"),"PRENSA HIDRÁULICA MANUAL")</f>
        <v>PRENSA HIDRÁULICA MANUAL</v>
      </c>
      <c r="AD169" s="37" t="str">
        <f>IFERROR(__xludf.DUMMYFUNCTION("IFERROR(IF(OR(C169=TRUE,C169=""""),VLOOKUP(G169,IMPORTRANGE(""https://docs.google.com/spreadsheets/d/1z9A1Wq-kKrhRNG5RS2a2fKpY1wIhSVz2ZNmP2mOl588/edit?usp=sharing"",""REQ VF!E4:H""),4,0),""NO APLICA""),""GENERAR REQ"")"),"GENERAR REQ")</f>
        <v>GENERAR REQ</v>
      </c>
      <c r="AE169" s="32" t="str">
        <f>IFERROR(__xludf.DUMMYFUNCTION("IFERROR(QUERY(IMPORTRANGE(""https://docs.google.com/spreadsheets/d/1z9A1Wq-kKrhRNG5RS2a2fKpY1wIhSVz2ZNmP2mOl588/edit?usp=sharing"",""REQ VF!E4:Q""),""SELECT Col10, Col11, Col12 WHERE Col1 = '""&amp;G169&amp;""'"",0),""NO APLICA"")"),"NO APLICA")</f>
        <v>NO APLICA</v>
      </c>
      <c r="AF169" s="32"/>
      <c r="AG169" s="32"/>
      <c r="AH169" s="8" t="s">
        <v>52</v>
      </c>
      <c r="AI169" s="13"/>
    </row>
    <row r="170">
      <c r="A170" s="43"/>
      <c r="B170" s="43"/>
      <c r="C170" s="26" t="b">
        <v>1</v>
      </c>
      <c r="D170" s="26" t="s">
        <v>42</v>
      </c>
      <c r="E170" s="26" t="s">
        <v>36</v>
      </c>
      <c r="F170" s="59" t="s">
        <v>2079</v>
      </c>
      <c r="G170" s="39" t="s">
        <v>2083</v>
      </c>
      <c r="H170" s="40" t="s">
        <v>44</v>
      </c>
      <c r="I170" s="43">
        <v>4.0</v>
      </c>
      <c r="J170" s="26">
        <f>IFERROR(__xludf.DUMMYFUNCTION("VLOOKUP(G170,IMPORTRANGE(""https://docs.google.com/spreadsheets/d/12RxCea4e5ggM7QGn1XE3FbLQa_-QbCNdBi90OdPjRqg/edit?gid=1692403370#gid=1692403370"", ""'Plan de Compras'!D4:2432""), 8,0)"),4.0)</f>
        <v>4</v>
      </c>
      <c r="K170" s="26" t="str">
        <f t="shared" si="18"/>
        <v>SI</v>
      </c>
      <c r="L170" s="29"/>
      <c r="M170" s="61"/>
      <c r="N170" s="32"/>
      <c r="O170" s="32"/>
      <c r="P170" s="32"/>
      <c r="Q170" s="41"/>
      <c r="R170" s="32"/>
      <c r="S170" s="34" t="b">
        <v>1</v>
      </c>
      <c r="T170" s="39" t="s">
        <v>47</v>
      </c>
      <c r="U170" s="133" t="s">
        <v>2084</v>
      </c>
      <c r="V170" s="39"/>
      <c r="W170" s="39"/>
      <c r="X170" s="39"/>
      <c r="Y170" s="124"/>
      <c r="Z170" s="37" t="str">
        <f>IFERROR(__xludf.DUMMYFUNCTION("IFERROR(VLOOKUP(G170,IMPORTRANGE(""https://docs.google.com/spreadsheets/d/12RxCea4e5ggM7QGn1XE3FbLQa_-QbCNdBi90OdPjRqg"", ""'Plan de Compras'!D4:Q""), 12, 0), ""NO ESTÁ EN REQ"")"),"Simple")</f>
        <v>Simple</v>
      </c>
      <c r="AA170" s="37" t="str">
        <f>IFERROR(__xludf.DUMMYFUNCTION("IFERROR(VLOOKUP(G170,IMPORTRANGE(""https://docs.google.com/spreadsheets/d/12RxCea4e5ggM7QGn1XE3FbLQa_-QbCNdBi90OdPjRqg"", ""'Plan de Compras'!D4:Q""), 13, 0), """")"),"NACIONAL")</f>
        <v>NACIONAL</v>
      </c>
      <c r="AB170" s="32" t="str">
        <f>IFERROR(__xludf.DUMMYFUNCTION("IFERROR(VLOOKUP(G170,IMPORTRANGE(""https://docs.google.com/spreadsheets/d/12RxCea4e5ggM7QGn1XE3FbLQa_-QbCNdBi90OdPjRqg"", ""'Plan de Compras'!D4:Q""), 14, 0), """")"),"ANGIE")</f>
        <v>ANGIE</v>
      </c>
      <c r="AC170" s="72" t="str">
        <f>IFERROR(__xludf.DUMMYFUNCTION("IFERROR(VLOOKUP(G170,IMPORTRANGE(""https://docs.google.com/spreadsheets/d/12RxCea4e5ggM7QGn1XE3FbLQa_-QbCNdBi90OdPjRqg"", ""'Plan de Compras'!D4:Q""), 4, 0), """")"),"FUNDA IMPERMEABLE (1 UND)")</f>
        <v>FUNDA IMPERMEABLE (1 UND)</v>
      </c>
      <c r="AD170" s="37" t="str">
        <f>IFERROR(__xludf.DUMMYFUNCTION("IFERROR(IF(OR(C170=TRUE,C170=""""),VLOOKUP(G170,IMPORTRANGE(""https://docs.google.com/spreadsheets/d/1z9A1Wq-kKrhRNG5RS2a2fKpY1wIhSVz2ZNmP2mOl588/edit?usp=sharing"",""REQ VF!E4:H""),4,0),""NO APLICA""),""GENERAR REQ"")"),"GENERAR REQ")</f>
        <v>GENERAR REQ</v>
      </c>
      <c r="AE170" s="32" t="str">
        <f>IFERROR(__xludf.DUMMYFUNCTION("IFERROR(QUERY(IMPORTRANGE(""https://docs.google.com/spreadsheets/d/1z9A1Wq-kKrhRNG5RS2a2fKpY1wIhSVz2ZNmP2mOl588/edit?usp=sharing"",""REQ VF!E4:Q""),""SELECT Col10, Col11, Col12 WHERE Col1 = '""&amp;G170&amp;""'"",0),""NO APLICA"")"),"NO APLICA")</f>
        <v>NO APLICA</v>
      </c>
      <c r="AF170" s="32"/>
      <c r="AG170" s="32"/>
      <c r="AH170" s="13"/>
      <c r="AI170" s="13"/>
    </row>
    <row r="171">
      <c r="A171" s="121">
        <v>109.0</v>
      </c>
      <c r="B171" s="43" t="b">
        <v>1</v>
      </c>
      <c r="C171" s="26" t="b">
        <v>1</v>
      </c>
      <c r="D171" s="26" t="s">
        <v>35</v>
      </c>
      <c r="E171" s="26" t="s">
        <v>36</v>
      </c>
      <c r="F171" s="59" t="s">
        <v>2085</v>
      </c>
      <c r="G171" s="37" t="s">
        <v>2085</v>
      </c>
      <c r="H171" s="82" t="s">
        <v>2086</v>
      </c>
      <c r="I171" s="43">
        <f>SUMIFS('Hoja 10'!$O:$O,'Hoja 10'!$F:$F,$G171)</f>
        <v>4</v>
      </c>
      <c r="J171" s="26">
        <f>IFERROR(__xludf.DUMMYFUNCTION("VLOOKUP(G171,IMPORTRANGE(""https://docs.google.com/spreadsheets/d/12RxCea4e5ggM7QGn1XE3FbLQa_-QbCNdBi90OdPjRqg/edit?gid=1692403370#gid=1692403370"", ""'Plan de Compras'!D4:2432""), 8,0)"),4.0)</f>
        <v>4</v>
      </c>
      <c r="K171" s="26" t="str">
        <f t="shared" si="18"/>
        <v>SI</v>
      </c>
      <c r="L171" s="29" t="s">
        <v>39</v>
      </c>
      <c r="M171" s="30" t="s">
        <v>40</v>
      </c>
      <c r="N171" s="32" t="s">
        <v>166</v>
      </c>
      <c r="O171" s="32"/>
      <c r="P171" s="32" t="s">
        <v>2087</v>
      </c>
      <c r="Q171" s="41"/>
      <c r="R171" s="86" t="s">
        <v>2088</v>
      </c>
      <c r="S171" s="44" t="b">
        <v>1</v>
      </c>
      <c r="T171" s="39" t="str">
        <f>IFERROR(__xludf.DUMMYFUNCTION(" IF
( VLOOKUP($G171,IMPORTRANGE(""https://docs.google.com/spreadsheets/d/1Gpl6jkTg7sL4VDNimUm3S9Vi1i95esohXCF3wuKOE8c"", ""'CONSOLIDADO'!G5:AB""), 10, 0) &lt;&gt; 0, 
IFERROR(VLOOKUP($G171,IMPORTRANGE(""https://docs.google.com/spreadsheets/d/1Gpl6jkTg7sL4VDNimU"&amp;"m3S9Vi1i95esohXCF3wuKOE8c"", ""'CONSOLIDADO'!G5:AB""), 17, 0), ""-""),
""""
)"),"MOSAKAR")</f>
        <v>MOSAKAR</v>
      </c>
      <c r="U171" s="39" t="str">
        <f>IFERROR(__xludf.DUMMYFUNCTION(" IF
( VLOOKUP($G171,IMPORTRANGE(""https://docs.google.com/spreadsheets/d/1Gpl6jkTg7sL4VDNimUm3S9Vi1i95esohXCF3wuKOE8c"", ""'CONSOLIDADO'!G5:AB""), 10, 0) &lt;&gt; 0, 
IFERROR(VLOOKUP($G171,IMPORTRANGE(""https://docs.google.com/spreadsheets/d/1Gpl6jkTg7sL4VDNimU"&amp;"m3S9Vi1i95esohXCF3wuKOE8c"", ""'CONSOLIDADO'!G5:AB""), 18, 0), ""-""),
""""
)"),"MCBFP-15GREEN")</f>
        <v>MCBFP-15GREEN</v>
      </c>
      <c r="V171" s="39" t="str">
        <f>IFERROR(__xludf.DUMMYFUNCTION(" IF
( VLOOKUP($G171,IMPORTRANGE(""https://docs.google.com/spreadsheets/d/1Gpl6jkTg7sL4VDNimUm3S9Vi1i95esohXCF3wuKOE8c"", ""'CONSOLIDADO'!G5:AB""), 10, 0) &lt;&gt; 0, 
IFERROR(VLOOKUP($G171,IMPORTRANGE(""https://docs.google.com/spreadsheets/d/1Gpl6jkTg7sL4VDNimU"&amp;"m3S9Vi1i95esohXCF3wuKOE8c"", ""'CONSOLIDADO'!G5:AB""), 17, 0), ""-""),
""""
)"),"MOSAKAR")</f>
        <v>MOSAKAR</v>
      </c>
      <c r="W171" s="39" t="str">
        <f>IFERROR(__xludf.DUMMYFUNCTION(" IF
( VLOOKUP($G171,IMPORTRANGE(""https://docs.google.com/spreadsheets/d/1Gpl6jkTg7sL4VDNimUm3S9Vi1i95esohXCF3wuKOE8c"", ""'CONSOLIDADO'!G5:AB""), 10, 0) &lt;&gt; 0, 
IFERROR(VLOOKUP($G171,IMPORTRANGE(""https://docs.google.com/spreadsheets/d/1Gpl6jkTg7sL4VDNimU"&amp;"m3S9Vi1i95esohXCF3wuKOE8c"", ""'CONSOLIDADO'!G5:AB""), 18, 0), ""-""),
""""
)"),"MCBFP-15GREEN")</f>
        <v>MCBFP-15GREEN</v>
      </c>
      <c r="X171" s="39" t="b">
        <f>IF(AND(T171=V171,W171=U171),TRUE,FALSE)</f>
        <v>1</v>
      </c>
      <c r="Y171" s="120" t="str">
        <f>IFERROR(__xludf.DUMMYFUNCTION(" IF
( VLOOKUP($G171,IMPORTRANGE(""https://docs.google.com/spreadsheets/d/1Gpl6jkTg7sL4VDNimUm3S9Vi1i95esohXCF3wuKOE8c"", ""'CONSOLIDADO'!G5:AB""), 10, 0) &lt;&gt; 0, 
IFERROR(VLOOKUP($G171,IMPORTRANGE(""https://docs.google.com/spreadsheets/d/1Gpl6jkTg7sL4VDNimU"&amp;"m3S9Vi1i95esohXCF3wuKOE8c"", ""'CONSOLIDADO'!G5:AB""), 19, 0), ""-""),
""""
)"),"https://drive.google.com/file/d/1AYBoCW98tzNHi6fQmI2eO96pT0Pj2h9K/view?usp=sharing")</f>
        <v>https://drive.google.com/file/d/1AYBoCW98tzNHi6fQmI2eO96pT0Pj2h9K/view?usp=sharing</v>
      </c>
      <c r="Z171" s="37" t="str">
        <f>IFERROR(__xludf.DUMMYFUNCTION("IFERROR(VLOOKUP(G171,IMPORTRANGE(""https://docs.google.com/spreadsheets/d/12RxCea4e5ggM7QGn1XE3FbLQa_-QbCNdBi90OdPjRqg"", ""'Plan de Compras'!D4:Q""), 12, 0), ""NO ESTÁ EN REQ"")"),"Técnica")</f>
        <v>Técnica</v>
      </c>
      <c r="AA171" s="37" t="str">
        <f>IFERROR(__xludf.DUMMYFUNCTION("IFERROR(VLOOKUP(G171,IMPORTRANGE(""https://docs.google.com/spreadsheets/d/12RxCea4e5ggM7QGn1XE3FbLQa_-QbCNdBi90OdPjRqg"", ""'Plan de Compras'!D4:Q""), 13, 0), """")"),"INTERNACIONAL")</f>
        <v>INTERNACIONAL</v>
      </c>
      <c r="AB171" s="32" t="str">
        <f>IFERROR(__xludf.DUMMYFUNCTION("IFERROR(VLOOKUP(G171,IMPORTRANGE(""https://docs.google.com/spreadsheets/d/12RxCea4e5ggM7QGn1XE3FbLQa_-QbCNdBi90OdPjRqg"", ""'Plan de Compras'!D4:Q""), 14, 0), """")"),"ALEJANDRA")</f>
        <v>ALEJANDRA</v>
      </c>
      <c r="AC171" s="72" t="str">
        <f>IFERROR(__xludf.DUMMYFUNCTION("IFERROR(VLOOKUP(G171,IMPORTRANGE(""https://docs.google.com/spreadsheets/d/12RxCea4e5ggM7QGn1XE3FbLQa_-QbCNdBi90OdPjRqg"", ""'Plan de Compras'!D4:Q""), 4, 0), """")"),"PRENSA MANUAL PARA FRUTAS Y VERDURAS")</f>
        <v>PRENSA MANUAL PARA FRUTAS Y VERDURAS</v>
      </c>
      <c r="AD171" s="37" t="str">
        <f>IFERROR(__xludf.DUMMYFUNCTION("IFERROR(IF(OR(C171=TRUE,C171=""""),VLOOKUP(G171,IMPORTRANGE(""https://docs.google.com/spreadsheets/d/1z9A1Wq-kKrhRNG5RS2a2fKpY1wIhSVz2ZNmP2mOl588/edit?usp=sharing"",""REQ VF!E4:H""),4,0),""NO APLICA""),""GENERAR REQ"")"),"GENERAR REQ")</f>
        <v>GENERAR REQ</v>
      </c>
      <c r="AE171" s="32" t="str">
        <f>IFERROR(__xludf.DUMMYFUNCTION("IFERROR(QUERY(IMPORTRANGE(""https://docs.google.com/spreadsheets/d/1z9A1Wq-kKrhRNG5RS2a2fKpY1wIhSVz2ZNmP2mOl588/edit?usp=sharing"",""REQ VF!E4:Q""),""SELECT Col10, Col11, Col12 WHERE Col1 = '""&amp;G171&amp;""'"",0),""NO APLICA"")"),"NO APLICA")</f>
        <v>NO APLICA</v>
      </c>
      <c r="AF171" s="32"/>
      <c r="AG171" s="32"/>
      <c r="AH171" s="13"/>
      <c r="AI171" s="13"/>
    </row>
    <row r="172">
      <c r="A172" s="43"/>
      <c r="B172" s="43"/>
      <c r="C172" s="26" t="b">
        <v>1</v>
      </c>
      <c r="D172" s="26" t="s">
        <v>42</v>
      </c>
      <c r="E172" s="26" t="s">
        <v>36</v>
      </c>
      <c r="F172" s="59" t="s">
        <v>2085</v>
      </c>
      <c r="G172" s="39" t="s">
        <v>2089</v>
      </c>
      <c r="H172" s="40" t="s">
        <v>44</v>
      </c>
      <c r="I172" s="43">
        <v>4.0</v>
      </c>
      <c r="J172" s="26">
        <f>IFERROR(__xludf.DUMMYFUNCTION("VLOOKUP(G172,IMPORTRANGE(""https://docs.google.com/spreadsheets/d/12RxCea4e5ggM7QGn1XE3FbLQa_-QbCNdBi90OdPjRqg/edit?gid=1692403370#gid=1692403370"", ""'Plan de Compras'!D4:2432""), 8,0)"),4.0)</f>
        <v>4</v>
      </c>
      <c r="K172" s="26" t="str">
        <f t="shared" si="18"/>
        <v>SI</v>
      </c>
      <c r="L172" s="29"/>
      <c r="M172" s="61"/>
      <c r="N172" s="32"/>
      <c r="O172" s="32"/>
      <c r="P172" s="32"/>
      <c r="Q172" s="41"/>
      <c r="R172" s="32"/>
      <c r="S172" s="34" t="b">
        <v>1</v>
      </c>
      <c r="T172" s="39" t="s">
        <v>55</v>
      </c>
      <c r="U172" s="43" t="s">
        <v>2090</v>
      </c>
      <c r="V172" s="39"/>
      <c r="W172" s="39"/>
      <c r="X172" s="39"/>
      <c r="Y172" s="124"/>
      <c r="Z172" s="37" t="str">
        <f>IFERROR(__xludf.DUMMYFUNCTION("IFERROR(VLOOKUP(G172,IMPORTRANGE(""https://docs.google.com/spreadsheets/d/12RxCea4e5ggM7QGn1XE3FbLQa_-QbCNdBi90OdPjRqg"", ""'Plan de Compras'!D4:Q""), 12, 0), ""NO ESTÁ EN REQ"")"),"Simple")</f>
        <v>Simple</v>
      </c>
      <c r="AA172" s="37" t="str">
        <f>IFERROR(__xludf.DUMMYFUNCTION("IFERROR(VLOOKUP(G172,IMPORTRANGE(""https://docs.google.com/spreadsheets/d/12RxCea4e5ggM7QGn1XE3FbLQa_-QbCNdBi90OdPjRqg"", ""'Plan de Compras'!D4:Q""), 13, 0), """")"),"NACIONAL")</f>
        <v>NACIONAL</v>
      </c>
      <c r="AB172" s="32" t="str">
        <f>IFERROR(__xludf.DUMMYFUNCTION("IFERROR(VLOOKUP(G172,IMPORTRANGE(""https://docs.google.com/spreadsheets/d/12RxCea4e5ggM7QGn1XE3FbLQa_-QbCNdBi90OdPjRqg"", ""'Plan de Compras'!D4:Q""), 14, 0), """")"),"ANGIE")</f>
        <v>ANGIE</v>
      </c>
      <c r="AC172" s="72" t="str">
        <f>IFERROR(__xludf.DUMMYFUNCTION("IFERROR(VLOOKUP(G172,IMPORTRANGE(""https://docs.google.com/spreadsheets/d/12RxCea4e5ggM7QGn1XE3FbLQa_-QbCNdBi90OdPjRqg"", ""'Plan de Compras'!D4:Q""), 4, 0), """")"),"FUNDA IMPERMEABLE (1 UND)")</f>
        <v>FUNDA IMPERMEABLE (1 UND)</v>
      </c>
      <c r="AD172" s="37" t="str">
        <f>IFERROR(__xludf.DUMMYFUNCTION("IFERROR(IF(OR(C172=TRUE,C172=""""),VLOOKUP(G172,IMPORTRANGE(""https://docs.google.com/spreadsheets/d/1z9A1Wq-kKrhRNG5RS2a2fKpY1wIhSVz2ZNmP2mOl588/edit?usp=sharing"",""REQ VF!E4:H""),4,0),""NO APLICA""),""GENERAR REQ"")"),"GENERAR REQ")</f>
        <v>GENERAR REQ</v>
      </c>
      <c r="AE172" s="32" t="str">
        <f>IFERROR(__xludf.DUMMYFUNCTION("IFERROR(QUERY(IMPORTRANGE(""https://docs.google.com/spreadsheets/d/1z9A1Wq-kKrhRNG5RS2a2fKpY1wIhSVz2ZNmP2mOl588/edit?usp=sharing"",""REQ VF!E4:Q""),""SELECT Col10, Col11, Col12 WHERE Col1 = '""&amp;G172&amp;""'"",0),""NO APLICA"")"),"NO APLICA")</f>
        <v>NO APLICA</v>
      </c>
      <c r="AF172" s="32"/>
      <c r="AG172" s="32"/>
      <c r="AH172" s="13"/>
      <c r="AI172" s="13"/>
    </row>
    <row r="173">
      <c r="A173" s="117">
        <v>110.0</v>
      </c>
      <c r="B173" s="43" t="b">
        <v>1</v>
      </c>
      <c r="C173" s="26" t="b">
        <v>1</v>
      </c>
      <c r="D173" s="26" t="s">
        <v>35</v>
      </c>
      <c r="E173" s="26" t="s">
        <v>36</v>
      </c>
      <c r="F173" s="59" t="s">
        <v>2091</v>
      </c>
      <c r="G173" s="37" t="s">
        <v>2091</v>
      </c>
      <c r="H173" s="82" t="s">
        <v>2092</v>
      </c>
      <c r="I173" s="43">
        <f>SUMIFS('Hoja 10'!$O:$O,'Hoja 10'!$F:$F,$G173)</f>
        <v>4</v>
      </c>
      <c r="J173" s="26">
        <f>IFERROR(__xludf.DUMMYFUNCTION("VLOOKUP(G173,IMPORTRANGE(""https://docs.google.com/spreadsheets/d/12RxCea4e5ggM7QGn1XE3FbLQa_-QbCNdBi90OdPjRqg/edit?gid=1692403370#gid=1692403370"", ""'Plan de Compras'!D4:2432""), 8,0)"),4.0)</f>
        <v>4</v>
      </c>
      <c r="K173" s="26" t="str">
        <f t="shared" si="18"/>
        <v>SI</v>
      </c>
      <c r="L173" s="29" t="s">
        <v>39</v>
      </c>
      <c r="M173" s="30" t="s">
        <v>40</v>
      </c>
      <c r="N173" s="32" t="s">
        <v>166</v>
      </c>
      <c r="O173" s="32"/>
      <c r="P173" s="32" t="s">
        <v>2093</v>
      </c>
      <c r="Q173" s="41"/>
      <c r="R173" s="86" t="s">
        <v>2094</v>
      </c>
      <c r="S173" s="34" t="b">
        <v>1</v>
      </c>
      <c r="T173" s="39" t="str">
        <f>IFERROR(__xludf.DUMMYFUNCTION(" IF
( VLOOKUP($G173,IMPORTRANGE(""https://docs.google.com/spreadsheets/d/1Gpl6jkTg7sL4VDNimUm3S9Vi1i95esohXCF3wuKOE8c"", ""'CONSOLIDADO'!G5:AB""), 10, 0) &lt;&gt; 0, 
IFERROR(VLOOKUP($G173,IMPORTRANGE(""https://docs.google.com/spreadsheets/d/1Gpl6jkTg7sL4VDNimU"&amp;"m3S9Vi1i95esohXCF3wuKOE8c"", ""'CONSOLIDADO'!G5:AB""), 17, 0), ""-""),
""""
)"),"INOXOR")</f>
        <v>INOXOR</v>
      </c>
      <c r="U173" s="39" t="str">
        <f>IFERROR(__xludf.DUMMYFUNCTION(" IF
( VLOOKUP($G173,IMPORTRANGE(""https://docs.google.com/spreadsheets/d/1Gpl6jkTg7sL4VDNimUm3S9Vi1i95esohXCF3wuKOE8c"", ""'CONSOLIDADO'!G5:AB""), 10, 0) &lt;&gt; 0, 
IFERROR(VLOOKUP($G173,IMPORTRANGE(""https://docs.google.com/spreadsheets/d/1Gpl6jkTg7sL4VDNimU"&amp;"m3S9Vi1i95esohXCF3wuKOE8c"", ""'CONSOLIDADO'!G5:AB""), 18, 0), ""-""),
""""
)"),"PQ-04 - A medida")</f>
        <v>PQ-04 - A medida</v>
      </c>
      <c r="V173" s="39" t="str">
        <f>IFERROR(__xludf.DUMMYFUNCTION(" IF
( VLOOKUP($G173,IMPORTRANGE(""https://docs.google.com/spreadsheets/d/1Gpl6jkTg7sL4VDNimUm3S9Vi1i95esohXCF3wuKOE8c"", ""'CONSOLIDADO'!G5:AB""), 10, 0) &lt;&gt; 0, 
IFERROR(VLOOKUP($G173,IMPORTRANGE(""https://docs.google.com/spreadsheets/d/1Gpl6jkTg7sL4VDNimU"&amp;"m3S9Vi1i95esohXCF3wuKOE8c"", ""'CONSOLIDADO'!G5:AB""), 17, 0), ""-""),
""""
)"),"INOXOR")</f>
        <v>INOXOR</v>
      </c>
      <c r="W173" s="39" t="str">
        <f>IFERROR(__xludf.DUMMYFUNCTION(" IF
( VLOOKUP($G173,IMPORTRANGE(""https://docs.google.com/spreadsheets/d/1Gpl6jkTg7sL4VDNimUm3S9Vi1i95esohXCF3wuKOE8c"", ""'CONSOLIDADO'!G5:AB""), 10, 0) &lt;&gt; 0, 
IFERROR(VLOOKUP($G173,IMPORTRANGE(""https://docs.google.com/spreadsheets/d/1Gpl6jkTg7sL4VDNimU"&amp;"m3S9Vi1i95esohXCF3wuKOE8c"", ""'CONSOLIDADO'!G5:AB""), 18, 0), ""-""),
""""
)"),"PQ-04 - A medida")</f>
        <v>PQ-04 - A medida</v>
      </c>
      <c r="X173" s="39" t="b">
        <f>IF(AND(T173=V173,W173=U173),TRUE,FALSE)</f>
        <v>1</v>
      </c>
      <c r="Y173" s="110" t="str">
        <f>IFERROR(__xludf.DUMMYFUNCTION(" IF
( VLOOKUP($G173,IMPORTRANGE(""https://docs.google.com/spreadsheets/d/1Gpl6jkTg7sL4VDNimUm3S9Vi1i95esohXCF3wuKOE8c"", ""'CONSOLIDADO'!G5:AB""), 10, 0) &lt;&gt; 0, 
IFERROR(VLOOKUP($G173,IMPORTRANGE(""https://docs.google.com/spreadsheets/d/1Gpl6jkTg7sL4VDNimU"&amp;"m3S9Vi1i95esohXCF3wuKOE8c"", ""'CONSOLIDADO'!G5:AB""), 19, 0), ""-""),
""""
)"),"A MEDIDA")</f>
        <v>A MEDIDA</v>
      </c>
      <c r="Z173" s="37" t="str">
        <f>IFERROR(__xludf.DUMMYFUNCTION("IFERROR(VLOOKUP(G173,IMPORTRANGE(""https://docs.google.com/spreadsheets/d/12RxCea4e5ggM7QGn1XE3FbLQa_-QbCNdBi90OdPjRqg"", ""'Plan de Compras'!D4:Q""), 12, 0), ""NO ESTÁ EN REQ"")"),"Técnica")</f>
        <v>Técnica</v>
      </c>
      <c r="AA173" s="37" t="str">
        <f>IFERROR(__xludf.DUMMYFUNCTION("IFERROR(VLOOKUP(G173,IMPORTRANGE(""https://docs.google.com/spreadsheets/d/12RxCea4e5ggM7QGn1XE3FbLQa_-QbCNdBi90OdPjRqg"", ""'Plan de Compras'!D4:Q""), 13, 0), """")"),"NACIONAL")</f>
        <v>NACIONAL</v>
      </c>
      <c r="AB173" s="32" t="str">
        <f>IFERROR(__xludf.DUMMYFUNCTION("IFERROR(VLOOKUP(G173,IMPORTRANGE(""https://docs.google.com/spreadsheets/d/12RxCea4e5ggM7QGn1XE3FbLQa_-QbCNdBi90OdPjRqg"", ""'Plan de Compras'!D4:Q""), 14, 0), """")"),"JESSICA")</f>
        <v>JESSICA</v>
      </c>
      <c r="AC173" s="72" t="str">
        <f>IFERROR(__xludf.DUMMYFUNCTION("IFERROR(VLOOKUP(G173,IMPORTRANGE(""https://docs.google.com/spreadsheets/d/12RxCea4e5ggM7QGn1XE3FbLQa_-QbCNdBi90OdPjRqg"", ""'Plan de Compras'!D4:Q""), 4, 0), """")"),"PRENSA PARA QUESO MANUAL ACERO INOXIDABLE")</f>
        <v>PRENSA PARA QUESO MANUAL ACERO INOXIDABLE</v>
      </c>
      <c r="AD173" s="37" t="str">
        <f>IFERROR(__xludf.DUMMYFUNCTION("IFERROR(IF(OR(C173=TRUE,C173=""""),VLOOKUP(G173,IMPORTRANGE(""https://docs.google.com/spreadsheets/d/1z9A1Wq-kKrhRNG5RS2a2fKpY1wIhSVz2ZNmP2mOl588/edit?usp=sharing"",""REQ VF!E4:H""),4,0),""NO APLICA""),""GENERAR REQ"")"),"GENERAR REQ")</f>
        <v>GENERAR REQ</v>
      </c>
      <c r="AE173" s="32" t="str">
        <f>IFERROR(__xludf.DUMMYFUNCTION("IFERROR(QUERY(IMPORTRANGE(""https://docs.google.com/spreadsheets/d/1z9A1Wq-kKrhRNG5RS2a2fKpY1wIhSVz2ZNmP2mOl588/edit?usp=sharing"",""REQ VF!E4:Q""),""SELECT Col10, Col11, Col12 WHERE Col1 = '""&amp;G173&amp;""'"",0),""NO APLICA"")"),"NO APLICA")</f>
        <v>NO APLICA</v>
      </c>
      <c r="AF173" s="32"/>
      <c r="AG173" s="32"/>
      <c r="AH173" s="13"/>
      <c r="AI173" s="13"/>
    </row>
    <row r="174">
      <c r="A174" s="43"/>
      <c r="B174" s="43"/>
      <c r="C174" s="26" t="b">
        <v>1</v>
      </c>
      <c r="D174" s="26" t="s">
        <v>42</v>
      </c>
      <c r="E174" s="26" t="s">
        <v>36</v>
      </c>
      <c r="F174" s="59" t="s">
        <v>2091</v>
      </c>
      <c r="G174" s="39" t="s">
        <v>2095</v>
      </c>
      <c r="H174" s="40" t="s">
        <v>44</v>
      </c>
      <c r="I174" s="43">
        <v>4.0</v>
      </c>
      <c r="J174" s="26">
        <f>IFERROR(__xludf.DUMMYFUNCTION("VLOOKUP(G174,IMPORTRANGE(""https://docs.google.com/spreadsheets/d/12RxCea4e5ggM7QGn1XE3FbLQa_-QbCNdBi90OdPjRqg/edit?gid=1692403370#gid=1692403370"", ""'Plan de Compras'!D4:2432""), 8,0)"),4.0)</f>
        <v>4</v>
      </c>
      <c r="K174" s="26" t="str">
        <f t="shared" si="18"/>
        <v>SI</v>
      </c>
      <c r="L174" s="29"/>
      <c r="M174" s="61"/>
      <c r="N174" s="32"/>
      <c r="O174" s="32"/>
      <c r="P174" s="32"/>
      <c r="Q174" s="41"/>
      <c r="R174" s="134"/>
      <c r="S174" s="34" t="b">
        <v>1</v>
      </c>
      <c r="T174" s="39" t="s">
        <v>55</v>
      </c>
      <c r="U174" s="43" t="s">
        <v>2096</v>
      </c>
      <c r="V174" s="39"/>
      <c r="W174" s="39"/>
      <c r="X174" s="39"/>
      <c r="Y174" s="124"/>
      <c r="Z174" s="37" t="str">
        <f>IFERROR(__xludf.DUMMYFUNCTION("IFERROR(VLOOKUP(G174,IMPORTRANGE(""https://docs.google.com/spreadsheets/d/12RxCea4e5ggM7QGn1XE3FbLQa_-QbCNdBi90OdPjRqg"", ""'Plan de Compras'!D4:Q""), 12, 0), ""NO ESTÁ EN REQ"")"),"Hugo")</f>
        <v>Hugo</v>
      </c>
      <c r="AA174" s="37" t="str">
        <f>IFERROR(__xludf.DUMMYFUNCTION("IFERROR(VLOOKUP(G174,IMPORTRANGE(""https://docs.google.com/spreadsheets/d/12RxCea4e5ggM7QGn1XE3FbLQa_-QbCNdBi90OdPjRqg"", ""'Plan de Compras'!D4:Q""), 13, 0), """")"),"NACIONAL")</f>
        <v>NACIONAL</v>
      </c>
      <c r="AB174" s="32" t="str">
        <f>IFERROR(__xludf.DUMMYFUNCTION("IFERROR(VLOOKUP(G174,IMPORTRANGE(""https://docs.google.com/spreadsheets/d/12RxCea4e5ggM7QGn1XE3FbLQa_-QbCNdBi90OdPjRqg"", ""'Plan de Compras'!D4:Q""), 14, 0), """")"),"ANGIE")</f>
        <v>ANGIE</v>
      </c>
      <c r="AC174" s="72" t="str">
        <f>IFERROR(__xludf.DUMMYFUNCTION("IFERROR(VLOOKUP(G174,IMPORTRANGE(""https://docs.google.com/spreadsheets/d/12RxCea4e5ggM7QGn1XE3FbLQa_-QbCNdBi90OdPjRqg"", ""'Plan de Compras'!D4:Q""), 4, 0), """")"),"FUNDA IMPERMEABLE (1 UND)")</f>
        <v>FUNDA IMPERMEABLE (1 UND)</v>
      </c>
      <c r="AD174" s="37" t="str">
        <f>IFERROR(__xludf.DUMMYFUNCTION("IFERROR(IF(OR(C174=TRUE,C174=""""),VLOOKUP(G174,IMPORTRANGE(""https://docs.google.com/spreadsheets/d/1z9A1Wq-kKrhRNG5RS2a2fKpY1wIhSVz2ZNmP2mOl588/edit?usp=sharing"",""REQ VF!E4:H""),4,0),""NO APLICA""),""GENERAR REQ"")"),"GENERAR REQ")</f>
        <v>GENERAR REQ</v>
      </c>
      <c r="AE174" s="32" t="str">
        <f>IFERROR(__xludf.DUMMYFUNCTION("IFERROR(QUERY(IMPORTRANGE(""https://docs.google.com/spreadsheets/d/1z9A1Wq-kKrhRNG5RS2a2fKpY1wIhSVz2ZNmP2mOl588/edit?usp=sharing"",""REQ VF!E4:Q""),""SELECT Col10, Col11, Col12 WHERE Col1 = '""&amp;G174&amp;""'"",0),""NO APLICA"")"),"NO APLICA")</f>
        <v>NO APLICA</v>
      </c>
      <c r="AF174" s="32"/>
      <c r="AG174" s="32"/>
      <c r="AH174" s="13"/>
      <c r="AI174" s="13"/>
    </row>
    <row r="175">
      <c r="A175" s="117">
        <v>111.0</v>
      </c>
      <c r="B175" s="43" t="b">
        <v>1</v>
      </c>
      <c r="C175" s="26" t="b">
        <v>1</v>
      </c>
      <c r="D175" s="48" t="s">
        <v>35</v>
      </c>
      <c r="E175" s="48" t="s">
        <v>1510</v>
      </c>
      <c r="F175" s="94" t="s">
        <v>2097</v>
      </c>
      <c r="G175" s="107" t="s">
        <v>2097</v>
      </c>
      <c r="H175" s="135" t="s">
        <v>2098</v>
      </c>
      <c r="I175" s="43">
        <f>SUMIFS('Hoja 10'!$O:$O,'Hoja 10'!$F:$F,$G175)</f>
        <v>8</v>
      </c>
      <c r="J175" s="26">
        <f>IFERROR(__xludf.DUMMYFUNCTION("VLOOKUP(G175,IMPORTRANGE(""https://docs.google.com/spreadsheets/d/12RxCea4e5ggM7QGn1XE3FbLQa_-QbCNdBi90OdPjRqg/edit?gid=1692403370#gid=1692403370"", ""'Plan de Compras'!D4:2432""), 8,0)"),8.0)</f>
        <v>8</v>
      </c>
      <c r="K175" s="26" t="str">
        <f t="shared" si="18"/>
        <v>SI</v>
      </c>
      <c r="L175" s="29" t="s">
        <v>185</v>
      </c>
      <c r="M175" s="30" t="s">
        <v>186</v>
      </c>
      <c r="N175" s="32"/>
      <c r="O175" s="32" t="str">
        <f>VLOOKUP($G175,'Hoja 10'!$F$4:$AA1057, 19,0)</f>
        <v>GENERICO</v>
      </c>
      <c r="P175" s="32" t="str">
        <f>VLOOKUP($G175,'Hoja 10'!$F$4:$AA1057, 20,0)</f>
        <v>P363</v>
      </c>
      <c r="Q175" s="33" t="str">
        <f>VLOOKUP($G175,'Hoja 10'!$F$4:$AA1057, 21,0)</f>
        <v>https://www.falabella.com.pe/falabella-pe/product/145433057/Pie-Prensatelas-Cierre-Doble-Metal-Para-Recta-Industrial/145433058?utm_source=chatgpt.com</v>
      </c>
      <c r="R175" s="136" t="s">
        <v>2099</v>
      </c>
      <c r="S175" s="44" t="b">
        <v>1</v>
      </c>
      <c r="T175" s="39" t="str">
        <f>IFERROR(__xludf.DUMMYFUNCTION(" IF
( VLOOKUP($G175,IMPORTRANGE(""https://docs.google.com/spreadsheets/d/1Gpl6jkTg7sL4VDNimUm3S9Vi1i95esohXCF3wuKOE8c"", ""'CONSOLIDADO'!G5:AB""), 10, 0) &lt;&gt; 0, 
IFERROR(VLOOKUP($G175,IMPORTRANGE(""https://docs.google.com/spreadsheets/d/1Gpl6jkTg7sL4VDNimU"&amp;"m3S9Vi1i95esohXCF3wuKOE8c"", ""'CONSOLIDADO'!G5:AB""), 17, 0), ""-""),
""""
)"),"GENÉRICO")</f>
        <v>GENÉRICO</v>
      </c>
      <c r="U175" s="39" t="str">
        <f>IFERROR(__xludf.DUMMYFUNCTION(" IF
( VLOOKUP($G175,IMPORTRANGE(""https://docs.google.com/spreadsheets/d/1Gpl6jkTg7sL4VDNimUm3S9Vi1i95esohXCF3wuKOE8c"", ""'CONSOLIDADO'!G5:AB""), 10, 0) &lt;&gt; 0, 
IFERROR(VLOOKUP($G175,IMPORTRANGE(""https://docs.google.com/spreadsheets/d/1Gpl6jkTg7sL4VDNimU"&amp;"m3S9Vi1i95esohXCF3wuKOE8c"", ""'CONSOLIDADO'!G5:AB""), 18, 0), ""-""),
""""
)"),"P363")</f>
        <v>P363</v>
      </c>
      <c r="V175" s="39" t="str">
        <f>IFERROR(__xludf.DUMMYFUNCTION(" IF
( VLOOKUP($G175,IMPORTRANGE(""https://docs.google.com/spreadsheets/d/1Gpl6jkTg7sL4VDNimUm3S9Vi1i95esohXCF3wuKOE8c"", ""'CONSOLIDADO'!G5:AB""), 10, 0) &lt;&gt; 0, 
IFERROR(VLOOKUP($G175,IMPORTRANGE(""https://docs.google.com/spreadsheets/d/1Gpl6jkTg7sL4VDNimU"&amp;"m3S9Vi1i95esohXCF3wuKOE8c"", ""'CONSOLIDADO'!G5:AB""), 17, 0), ""-""),
""""
)"),"GENÉRICO")</f>
        <v>GENÉRICO</v>
      </c>
      <c r="W175" s="39" t="str">
        <f>IFERROR(__xludf.DUMMYFUNCTION(" IF
( VLOOKUP($G175,IMPORTRANGE(""https://docs.google.com/spreadsheets/d/1Gpl6jkTg7sL4VDNimUm3S9Vi1i95esohXCF3wuKOE8c"", ""'CONSOLIDADO'!G5:AB""), 10, 0) &lt;&gt; 0, 
IFERROR(VLOOKUP($G175,IMPORTRANGE(""https://docs.google.com/spreadsheets/d/1Gpl6jkTg7sL4VDNimU"&amp;"m3S9Vi1i95esohXCF3wuKOE8c"", ""'CONSOLIDADO'!G5:AB""), 18, 0), ""-""),
""""
)"),"P363")</f>
        <v>P363</v>
      </c>
      <c r="X175" s="39" t="b">
        <f t="shared" ref="X175:X177" si="21">IF(AND(T175=V175,W175=U175),TRUE,FALSE)</f>
        <v>1</v>
      </c>
      <c r="Y175" s="120" t="str">
        <f>IFERROR(__xludf.DUMMYFUNCTION(" IF
( VLOOKUP($G175,IMPORTRANGE(""https://docs.google.com/spreadsheets/d/1Gpl6jkTg7sL4VDNimUm3S9Vi1i95esohXCF3wuKOE8c"", ""'CONSOLIDADO'!G5:AB""), 10, 0) &lt;&gt; 0, 
IFERROR(VLOOKUP($G175,IMPORTRANGE(""https://docs.google.com/spreadsheets/d/1Gpl6jkTg7sL4VDNimU"&amp;"m3S9Vi1i95esohXCF3wuKOE8c"", ""'CONSOLIDADO'!G5:AB""), 19, 0), ""-""),
""""
)"),"https://www.falabella.com.pe/falabella-pe/product/145433057/Pie-Prensatelas-Cierre-Doble-Metal-Para-Recta-Industrial/145433058?utm_source=chatgpt.com")</f>
        <v>https://www.falabella.com.pe/falabella-pe/product/145433057/Pie-Prensatelas-Cierre-Doble-Metal-Para-Recta-Industrial/145433058?utm_source=chatgpt.com</v>
      </c>
      <c r="Z175" s="37" t="str">
        <f>IFERROR(__xludf.DUMMYFUNCTION("IFERROR(VLOOKUP(G175,IMPORTRANGE(""https://docs.google.com/spreadsheets/d/12RxCea4e5ggM7QGn1XE3FbLQa_-QbCNdBi90OdPjRqg"", ""'Plan de Compras'!D4:Q""), 12, 0), ""NO ESTÁ EN REQ"")"),"Técnica")</f>
        <v>Técnica</v>
      </c>
      <c r="AA175" s="37" t="str">
        <f>IFERROR(__xludf.DUMMYFUNCTION("IFERROR(VLOOKUP(G175,IMPORTRANGE(""https://docs.google.com/spreadsheets/d/12RxCea4e5ggM7QGn1XE3FbLQa_-QbCNdBi90OdPjRqg"", ""'Plan de Compras'!D4:Q""), 13, 0), """")"),"NACIONAL")</f>
        <v>NACIONAL</v>
      </c>
      <c r="AB175" s="32" t="str">
        <f>IFERROR(__xludf.DUMMYFUNCTION("IFERROR(VLOOKUP(G175,IMPORTRANGE(""https://docs.google.com/spreadsheets/d/12RxCea4e5ggM7QGn1XE3FbLQa_-QbCNdBi90OdPjRqg"", ""'Plan de Compras'!D4:Q""), 14, 0), """")"),"JESSICA")</f>
        <v>JESSICA</v>
      </c>
      <c r="AC175" s="72" t="str">
        <f>IFERROR(__xludf.DUMMYFUNCTION("IFERROR(VLOOKUP(G175,IMPORTRANGE(""https://docs.google.com/spreadsheets/d/12RxCea4e5ggM7QGn1XE3FbLQa_-QbCNdBi90OdPjRqg"", ""'Plan de Compras'!D4:Q""), 4, 0), """")"),"PRENSATELA DE CIERRE")</f>
        <v>PRENSATELA DE CIERRE</v>
      </c>
      <c r="AD175" s="37" t="str">
        <f>IFERROR(__xludf.DUMMYFUNCTION("IFERROR(IF(OR(C175=TRUE,C175=""""),VLOOKUP(G175,IMPORTRANGE(""https://docs.google.com/spreadsheets/d/1z9A1Wq-kKrhRNG5RS2a2fKpY1wIhSVz2ZNmP2mOl588/edit?usp=sharing"",""REQ VF!E4:H""),4,0),""NO APLICA""),""GENERAR REQ"")"),"GENERAR REQ")</f>
        <v>GENERAR REQ</v>
      </c>
      <c r="AE175" s="32" t="str">
        <f>IFERROR(__xludf.DUMMYFUNCTION("IFERROR(QUERY(IMPORTRANGE(""https://docs.google.com/spreadsheets/d/1z9A1Wq-kKrhRNG5RS2a2fKpY1wIhSVz2ZNmP2mOl588/edit?usp=sharing"",""REQ VF!E4:Q""),""SELECT Col10, Col11, Col12 WHERE Col1 = '""&amp;G175&amp;""'"",0),""NO APLICA"")"),"NO APLICA")</f>
        <v>NO APLICA</v>
      </c>
      <c r="AF175" s="32"/>
      <c r="AG175" s="32"/>
      <c r="AH175" s="8" t="s">
        <v>52</v>
      </c>
      <c r="AI175" s="13"/>
    </row>
    <row r="176">
      <c r="A176" s="121">
        <v>112.0</v>
      </c>
      <c r="B176" s="43" t="b">
        <v>1</v>
      </c>
      <c r="C176" s="26" t="b">
        <v>1</v>
      </c>
      <c r="D176" s="48" t="s">
        <v>35</v>
      </c>
      <c r="E176" s="48" t="s">
        <v>1510</v>
      </c>
      <c r="F176" s="94" t="s">
        <v>2100</v>
      </c>
      <c r="G176" s="107" t="s">
        <v>2100</v>
      </c>
      <c r="H176" s="135" t="s">
        <v>2101</v>
      </c>
      <c r="I176" s="43">
        <f>SUMIFS('Hoja 10'!$O:$O,'Hoja 10'!$F:$F,$G176)</f>
        <v>8</v>
      </c>
      <c r="J176" s="26">
        <f>IFERROR(__xludf.DUMMYFUNCTION("VLOOKUP(G176,IMPORTRANGE(""https://docs.google.com/spreadsheets/d/12RxCea4e5ggM7QGn1XE3FbLQa_-QbCNdBi90OdPjRqg/edit?gid=1692403370#gid=1692403370"", ""'Plan de Compras'!D4:2432""), 8,0)"),8.0)</f>
        <v>8</v>
      </c>
      <c r="K176" s="26" t="str">
        <f t="shared" si="18"/>
        <v>SI</v>
      </c>
      <c r="L176" s="29" t="s">
        <v>185</v>
      </c>
      <c r="M176" s="30" t="s">
        <v>186</v>
      </c>
      <c r="N176" s="32" t="s">
        <v>2102</v>
      </c>
      <c r="O176" s="32"/>
      <c r="P176" s="32"/>
      <c r="Q176" s="33" t="s">
        <v>2103</v>
      </c>
      <c r="R176" s="86" t="s">
        <v>2104</v>
      </c>
      <c r="S176" s="44" t="b">
        <v>1</v>
      </c>
      <c r="T176" s="39" t="str">
        <f>IFERROR(__xludf.DUMMYFUNCTION(" IF
( VLOOKUP($G176,IMPORTRANGE(""https://docs.google.com/spreadsheets/d/1Gpl6jkTg7sL4VDNimUm3S9Vi1i95esohXCF3wuKOE8c"", ""'CONSOLIDADO'!G5:AB""), 10, 0) &lt;&gt; 0, 
IFERROR(VLOOKUP($G176,IMPORTRANGE(""https://docs.google.com/spreadsheets/d/1Gpl6jkTg7sL4VDNimU"&amp;"m3S9Vi1i95esohXCF3wuKOE8c"", ""'CONSOLIDADO'!G5:AB""), 17, 0), ""-""),
""""
)"),"IMPORTACIONES LLANOS CORPORACION EIRL")</f>
        <v>IMPORTACIONES LLANOS CORPORACION EIRL</v>
      </c>
      <c r="U176" s="39" t="str">
        <f>IFERROR(__xludf.DUMMYFUNCTION(" IF
( VLOOKUP($G176,IMPORTRANGE(""https://docs.google.com/spreadsheets/d/1Gpl6jkTg7sL4VDNimUm3S9Vi1i95esohXCF3wuKOE8c"", ""'CONSOLIDADO'!G5:AB""), 10, 0) &lt;&gt; 0, 
IFERROR(VLOOKUP($G176,IMPORTRANGE(""https://docs.google.com/spreadsheets/d/1Gpl6jkTg7sL4VDNimU"&amp;"m3S9Vi1i95esohXCF3wuKOE8c"", ""'CONSOLIDADO'!G5:AB""), 18, 0), ""-""),
""""
)"),"1/16""- 1/8"" - 3/16"" - 1/4""")</f>
        <v>1/16"- 1/8" - 3/16" - 1/4"</v>
      </c>
      <c r="V176" s="39" t="str">
        <f>IFERROR(__xludf.DUMMYFUNCTION(" IF
( VLOOKUP($G176,IMPORTRANGE(""https://docs.google.com/spreadsheets/d/1Gpl6jkTg7sL4VDNimUm3S9Vi1i95esohXCF3wuKOE8c"", ""'CONSOLIDADO'!G5:AB""), 10, 0) &lt;&gt; 0, 
IFERROR(VLOOKUP($G176,IMPORTRANGE(""https://docs.google.com/spreadsheets/d/1Gpl6jkTg7sL4VDNimU"&amp;"m3S9Vi1i95esohXCF3wuKOE8c"", ""'CONSOLIDADO'!G5:AB""), 17, 0), ""-""),
""""
)"),"IMPORTACIONES LLANOS CORPORACION EIRL")</f>
        <v>IMPORTACIONES LLANOS CORPORACION EIRL</v>
      </c>
      <c r="W176" s="39" t="str">
        <f>IFERROR(__xludf.DUMMYFUNCTION(" IF
( VLOOKUP($G176,IMPORTRANGE(""https://docs.google.com/spreadsheets/d/1Gpl6jkTg7sL4VDNimUm3S9Vi1i95esohXCF3wuKOE8c"", ""'CONSOLIDADO'!G5:AB""), 10, 0) &lt;&gt; 0, 
IFERROR(VLOOKUP($G176,IMPORTRANGE(""https://docs.google.com/spreadsheets/d/1Gpl6jkTg7sL4VDNimU"&amp;"m3S9Vi1i95esohXCF3wuKOE8c"", ""'CONSOLIDADO'!G5:AB""), 18, 0), ""-""),
""""
)"),"1/16""- 1/8"" - 3/16"" - 1/4""")</f>
        <v>1/16"- 1/8" - 3/16" - 1/4"</v>
      </c>
      <c r="X176" s="39" t="b">
        <f t="shared" si="21"/>
        <v>1</v>
      </c>
      <c r="Y176" s="110" t="str">
        <f>IFERROR(__xludf.DUMMYFUNCTION(" IF
( VLOOKUP($G176,IMPORTRANGE(""https://docs.google.com/spreadsheets/d/1Gpl6jkTg7sL4VDNimUm3S9Vi1i95esohXCF3wuKOE8c"", ""'CONSOLIDADO'!G5:AB""), 10, 0) &lt;&gt; 0, 
IFERROR(VLOOKUP($G176,IMPORTRANGE(""https://docs.google.com/spreadsheets/d/1Gpl6jkTg7sL4VDNimU"&amp;"m3S9Vi1i95esohXCF3wuKOE8c"", ""'CONSOLIDADO'!G5:AB""), 19, 0), ""-""),
""""
)"),"Nacionales")</f>
        <v>Nacionales</v>
      </c>
      <c r="Z176" s="37" t="str">
        <f>IFERROR(__xludf.DUMMYFUNCTION("IFERROR(VLOOKUP(G176,IMPORTRANGE(""https://docs.google.com/spreadsheets/d/12RxCea4e5ggM7QGn1XE3FbLQa_-QbCNdBi90OdPjRqg"", ""'Plan de Compras'!D4:Q""), 12, 0), ""NO ESTÁ EN REQ"")"),"Técnica")</f>
        <v>Técnica</v>
      </c>
      <c r="AA176" s="37" t="str">
        <f>IFERROR(__xludf.DUMMYFUNCTION("IFERROR(VLOOKUP(G176,IMPORTRANGE(""https://docs.google.com/spreadsheets/d/12RxCea4e5ggM7QGn1XE3FbLQa_-QbCNdBi90OdPjRqg"", ""'Plan de Compras'!D4:Q""), 13, 0), """")"),"NACIONAL")</f>
        <v>NACIONAL</v>
      </c>
      <c r="AB176" s="32" t="str">
        <f>IFERROR(__xludf.DUMMYFUNCTION("IFERROR(VLOOKUP(G176,IMPORTRANGE(""https://docs.google.com/spreadsheets/d/12RxCea4e5ggM7QGn1XE3FbLQa_-QbCNdBi90OdPjRqg"", ""'Plan de Compras'!D4:Q""), 14, 0), """")"),"JESSICA")</f>
        <v>JESSICA</v>
      </c>
      <c r="AC176" s="72" t="str">
        <f>IFERROR(__xludf.DUMMYFUNCTION("IFERROR(VLOOKUP(G176,IMPORTRANGE(""https://docs.google.com/spreadsheets/d/12RxCea4e5ggM7QGn1XE3FbLQa_-QbCNdBi90OdPjRqg"", ""'Plan de Compras'!D4:Q""), 4, 0), """")"),"PRENSATELA DE COMPENSACIÓN")</f>
        <v>PRENSATELA DE COMPENSACIÓN</v>
      </c>
      <c r="AD176" s="37" t="str">
        <f>IFERROR(__xludf.DUMMYFUNCTION("IFERROR(IF(OR(C176=TRUE,C176=""""),VLOOKUP(G176,IMPORTRANGE(""https://docs.google.com/spreadsheets/d/1z9A1Wq-kKrhRNG5RS2a2fKpY1wIhSVz2ZNmP2mOl588/edit?usp=sharing"",""REQ VF!E4:H""),4,0),""NO APLICA""),""GENERAR REQ"")"),"GENERAR REQ")</f>
        <v>GENERAR REQ</v>
      </c>
      <c r="AE176" s="32" t="str">
        <f>IFERROR(__xludf.DUMMYFUNCTION("IFERROR(QUERY(IMPORTRANGE(""https://docs.google.com/spreadsheets/d/1z9A1Wq-kKrhRNG5RS2a2fKpY1wIhSVz2ZNmP2mOl588/edit?usp=sharing"",""REQ VF!E4:Q""),""SELECT Col10, Col11, Col12 WHERE Col1 = '""&amp;G176&amp;""'"",0),""NO APLICA"")"),"NO APLICA")</f>
        <v>NO APLICA</v>
      </c>
      <c r="AF176" s="32"/>
      <c r="AG176" s="32"/>
      <c r="AH176" s="13"/>
      <c r="AI176" s="13"/>
    </row>
    <row r="177">
      <c r="A177" s="121">
        <v>113.0</v>
      </c>
      <c r="B177" s="43" t="b">
        <v>1</v>
      </c>
      <c r="C177" s="26" t="b">
        <v>0</v>
      </c>
      <c r="D177" s="48" t="s">
        <v>35</v>
      </c>
      <c r="E177" s="48" t="s">
        <v>1510</v>
      </c>
      <c r="F177" s="94" t="s">
        <v>2105</v>
      </c>
      <c r="G177" s="107" t="s">
        <v>2105</v>
      </c>
      <c r="H177" s="135" t="s">
        <v>2106</v>
      </c>
      <c r="I177" s="43">
        <f>SUMIFS('Hoja 10'!$O:$O,'Hoja 10'!$F:$F,$G177)</f>
        <v>8</v>
      </c>
      <c r="J177" s="26" t="str">
        <f>IFERROR(__xludf.DUMMYFUNCTION("VLOOKUP(G177,IMPORTRANGE(""https://docs.google.com/spreadsheets/d/12RxCea4e5ggM7QGn1XE3FbLQa_-QbCNdBi90OdPjRqg/edit?gid=1692403370#gid=1692403370"", ""'Plan de Compras'!D4:2432""), 8,0)"),"#N/A")</f>
        <v>#N/A</v>
      </c>
      <c r="K177" s="26" t="str">
        <f t="shared" si="18"/>
        <v>-</v>
      </c>
      <c r="L177" s="29" t="s">
        <v>185</v>
      </c>
      <c r="M177" s="30" t="s">
        <v>186</v>
      </c>
      <c r="N177" s="32"/>
      <c r="O177" s="32"/>
      <c r="P177" s="32" t="s">
        <v>2107</v>
      </c>
      <c r="Q177" s="33" t="s">
        <v>2108</v>
      </c>
      <c r="R177" s="30" t="s">
        <v>2109</v>
      </c>
      <c r="S177" s="34" t="b">
        <v>1</v>
      </c>
      <c r="T177" s="39" t="str">
        <f>IFERROR(__xludf.DUMMYFUNCTION(" IF
( VLOOKUP($G177,IMPORTRANGE(""https://docs.google.com/spreadsheets/d/1Gpl6jkTg7sL4VDNimUm3S9Vi1i95esohXCF3wuKOE8c"", ""'CONSOLIDADO'!G5:AB""), 10, 0) &lt;&gt; 0, 
IFERROR(VLOOKUP($G177,IMPORTRANGE(""https://docs.google.com/spreadsheets/d/1Gpl6jkTg7sL4VDNimU"&amp;"m3S9Vi1i95esohXCF3wuKOE8c"", ""'CONSOLIDADO'!G5:AB""), 17, 0), ""-""),
""""
)"),"VARIOS")</f>
        <v>VARIOS</v>
      </c>
      <c r="U177" s="39" t="str">
        <f>IFERROR(__xludf.DUMMYFUNCTION(" IF
( VLOOKUP($G177,IMPORTRANGE(""https://docs.google.com/spreadsheets/d/1Gpl6jkTg7sL4VDNimUm3S9Vi1i95esohXCF3wuKOE8c"", ""'CONSOLIDADO'!G5:AB""), 10, 0) &lt;&gt; 0, 
IFERROR(VLOOKUP($G177,IMPORTRANGE(""https://docs.google.com/spreadsheets/d/1Gpl6jkTg7sL4VDNimU"&amp;"m3S9Vi1i95esohXCF3wuKOE8c"", ""'CONSOLIDADO'!G5:AB""), 18, 0), ""-""),
""""
)"),"PRENSATELA 2mm, 3mm, 4mm, 5mm")</f>
        <v>PRENSATELA 2mm, 3mm, 4mm, 5mm</v>
      </c>
      <c r="V177" s="39" t="str">
        <f>IFERROR(__xludf.DUMMYFUNCTION(" IF
( VLOOKUP($G177,IMPORTRANGE(""https://docs.google.com/spreadsheets/d/1Gpl6jkTg7sL4VDNimUm3S9Vi1i95esohXCF3wuKOE8c"", ""'CONSOLIDADO'!G5:AB""), 10, 0) &lt;&gt; 0, 
IFERROR(VLOOKUP($G177,IMPORTRANGE(""https://docs.google.com/spreadsheets/d/1Gpl6jkTg7sL4VDNimU"&amp;"m3S9Vi1i95esohXCF3wuKOE8c"", ""'CONSOLIDADO'!G5:AB""), 17, 0), ""-""),
""""
)"),"VARIOS")</f>
        <v>VARIOS</v>
      </c>
      <c r="W177" s="39" t="str">
        <f>IFERROR(__xludf.DUMMYFUNCTION(" IF
( VLOOKUP($G177,IMPORTRANGE(""https://docs.google.com/spreadsheets/d/1Gpl6jkTg7sL4VDNimUm3S9Vi1i95esohXCF3wuKOE8c"", ""'CONSOLIDADO'!G5:AB""), 10, 0) &lt;&gt; 0, 
IFERROR(VLOOKUP($G177,IMPORTRANGE(""https://docs.google.com/spreadsheets/d/1Gpl6jkTg7sL4VDNimU"&amp;"m3S9Vi1i95esohXCF3wuKOE8c"", ""'CONSOLIDADO'!G5:AB""), 18, 0), ""-""),
""""
)"),"PRENSATELA 2mm, 3mm, 4mm, 5mm")</f>
        <v>PRENSATELA 2mm, 3mm, 4mm, 5mm</v>
      </c>
      <c r="X177" s="39" t="b">
        <f t="shared" si="21"/>
        <v>1</v>
      </c>
      <c r="Y177" s="120" t="str">
        <f>IFERROR(__xludf.DUMMYFUNCTION(" IF
( VLOOKUP($G177,IMPORTRANGE(""https://docs.google.com/spreadsheets/d/1Gpl6jkTg7sL4VDNimUm3S9Vi1i95esohXCF3wuKOE8c"", ""'CONSOLIDADO'!G5:AB""), 10, 0) &lt;&gt; 0, 
IFERROR(VLOOKUP($G177,IMPORTRANGE(""https://docs.google.com/spreadsheets/d/1Gpl6jkTg7sL4VDNimU"&amp;"m3S9Vi1i95esohXCF3wuKOE8c"", ""'CONSOLIDADO'!G5:AB""), 19, 0), ""-""),
""""
)"),"https://www.alfahogar.com/maquinas-de-coser/accesorios/costura/prensatelas-dobladillador-2mm/
https://www.cutexsewingsupplies.com/products/1-8-3mm-high-shank-rolled-hemmer-foot-546118-for-sewing-machine?variant=32876133974069
https://lacanilla.com/produ"&amp;"cts/prensatelas-de-dobladillo-4mm?srsltid=AfmBOopNn5t1ZrpSkqBiHBo-67aO6Gc-qGG389S_AlD_EkBWj4kw8bfs
https://lacanilla.com/products/prensatelas-de-dobladillo-brother-5mm?srsltid=AfmBOoq3U7l8CBtCi2xHgGv48O12KpyXJhQ1U_W0IYJ-dd09tWaQMMPH")</f>
        <v>https://www.alfahogar.com/maquinas-de-coser/accesorios/costura/prensatelas-dobladillador-2mm/
https://www.cutexsewingsupplies.com/products/1-8-3mm-high-shank-rolled-hemmer-foot-546118-for-sewing-machine?variant=32876133974069
https://lacanilla.com/products/prensatelas-de-dobladillo-4mm?srsltid=AfmBOopNn5t1ZrpSkqBiHBo-67aO6Gc-qGG389S_AlD_EkBWj4kw8bfs
https://lacanilla.com/products/prensatelas-de-dobladillo-brother-5mm?srsltid=AfmBOoq3U7l8CBtCi2xHgGv48O12KpyXJhQ1U_W0IYJ-dd09tWaQMMPH</v>
      </c>
      <c r="Z177" s="37" t="str">
        <f>IFERROR(__xludf.DUMMYFUNCTION("IFERROR(VLOOKUP(G177,IMPORTRANGE(""https://docs.google.com/spreadsheets/d/12RxCea4e5ggM7QGn1XE3FbLQa_-QbCNdBi90OdPjRqg"", ""'Plan de Compras'!D4:Q""), 12, 0), ""NO ESTÁ EN REQ"")"),"NO ESTÁ EN REQ")</f>
        <v>NO ESTÁ EN REQ</v>
      </c>
      <c r="AA177" s="37" t="str">
        <f>IFERROR(__xludf.DUMMYFUNCTION("IFERROR(VLOOKUP(G177,IMPORTRANGE(""https://docs.google.com/spreadsheets/d/12RxCea4e5ggM7QGn1XE3FbLQa_-QbCNdBi90OdPjRqg"", ""'Plan de Compras'!D4:Q""), 13, 0), """")"),"")</f>
        <v/>
      </c>
      <c r="AB177" s="32" t="str">
        <f>IFERROR(__xludf.DUMMYFUNCTION("IFERROR(VLOOKUP(G177,IMPORTRANGE(""https://docs.google.com/spreadsheets/d/12RxCea4e5ggM7QGn1XE3FbLQa_-QbCNdBi90OdPjRqg"", ""'Plan de Compras'!D4:Q""), 14, 0), """")"),"")</f>
        <v/>
      </c>
      <c r="AC177" s="72" t="str">
        <f>IFERROR(__xludf.DUMMYFUNCTION("IFERROR(VLOOKUP(G177,IMPORTRANGE(""https://docs.google.com/spreadsheets/d/12RxCea4e5ggM7QGn1XE3FbLQa_-QbCNdBi90OdPjRqg"", ""'Plan de Compras'!D4:Q""), 4, 0), """")"),"")</f>
        <v/>
      </c>
      <c r="AD177" s="37" t="str">
        <f>IFERROR(__xludf.DUMMYFUNCTION("IFERROR(IF(OR(C177=TRUE,C177=""""),VLOOKUP(G177,IMPORTRANGE(""https://docs.google.com/spreadsheets/d/1z9A1Wq-kKrhRNG5RS2a2fKpY1wIhSVz2ZNmP2mOl588/edit?usp=sharing"",""REQ VF!E4:H""),4,0),""NO APLICA""),""GENERAR REQ"")"),"NO APLICA")</f>
        <v>NO APLICA</v>
      </c>
      <c r="AE177" s="32" t="str">
        <f>IFERROR(__xludf.DUMMYFUNCTION("IFERROR(QUERY(IMPORTRANGE(""https://docs.google.com/spreadsheets/d/1z9A1Wq-kKrhRNG5RS2a2fKpY1wIhSVz2ZNmP2mOl588/edit?usp=sharing"",""REQ VF!E4:Q""),""SELECT Col10, Col11, Col12 WHERE Col1 = '""&amp;G177&amp;""'"",0),""NO APLICA"")"),"NO APLICA")</f>
        <v>NO APLICA</v>
      </c>
      <c r="AF177" s="32"/>
      <c r="AG177" s="32"/>
      <c r="AH177" s="13"/>
      <c r="AI177" s="13"/>
    </row>
    <row r="178">
      <c r="A178" s="43"/>
      <c r="B178" s="43"/>
      <c r="C178" s="26" t="b">
        <v>1</v>
      </c>
      <c r="D178" s="26" t="s">
        <v>42</v>
      </c>
      <c r="E178" s="26" t="s">
        <v>1510</v>
      </c>
      <c r="F178" s="59" t="s">
        <v>2105</v>
      </c>
      <c r="G178" s="39" t="s">
        <v>2110</v>
      </c>
      <c r="H178" s="66" t="s">
        <v>2111</v>
      </c>
      <c r="I178" s="43">
        <v>8.0</v>
      </c>
      <c r="J178" s="26">
        <f>IFERROR(__xludf.DUMMYFUNCTION("VLOOKUP(G178,IMPORTRANGE(""https://docs.google.com/spreadsheets/d/12RxCea4e5ggM7QGn1XE3FbLQa_-QbCNdBi90OdPjRqg/edit?gid=1692403370#gid=1692403370"", ""'Plan de Compras'!D4:2432""), 8,0)"),8.0)</f>
        <v>8</v>
      </c>
      <c r="K178" s="26" t="str">
        <f t="shared" si="18"/>
        <v>SI</v>
      </c>
      <c r="L178" s="26"/>
      <c r="M178" s="32"/>
      <c r="N178" s="32"/>
      <c r="O178" s="32"/>
      <c r="P178" s="32">
        <v>546118.0</v>
      </c>
      <c r="Q178" s="33" t="s">
        <v>2112</v>
      </c>
      <c r="R178" s="32"/>
      <c r="S178" s="34" t="b">
        <v>1</v>
      </c>
      <c r="T178" s="39" t="s">
        <v>2113</v>
      </c>
      <c r="U178" s="39" t="s">
        <v>2114</v>
      </c>
      <c r="V178" s="39"/>
      <c r="W178" s="39"/>
      <c r="X178" s="39"/>
      <c r="Y178" s="126" t="s">
        <v>2115</v>
      </c>
      <c r="Z178" s="37" t="str">
        <f>IFERROR(__xludf.DUMMYFUNCTION("IFERROR(VLOOKUP(G178,IMPORTRANGE(""https://docs.google.com/spreadsheets/d/12RxCea4e5ggM7QGn1XE3FbLQa_-QbCNdBi90OdPjRqg"", ""'Plan de Compras'!D4:Q""), 12, 0), ""NO ESTÁ EN REQ"")"),"Técnica")</f>
        <v>Técnica</v>
      </c>
      <c r="AA178" s="37" t="str">
        <f>IFERROR(__xludf.DUMMYFUNCTION("IFERROR(VLOOKUP(G178,IMPORTRANGE(""https://docs.google.com/spreadsheets/d/12RxCea4e5ggM7QGn1XE3FbLQa_-QbCNdBi90OdPjRqg"", ""'Plan de Compras'!D4:Q""), 13, 0), """")"),"INTERNACIONAL")</f>
        <v>INTERNACIONAL</v>
      </c>
      <c r="AB178" s="32" t="str">
        <f>IFERROR(__xludf.DUMMYFUNCTION("IFERROR(VLOOKUP(G178,IMPORTRANGE(""https://docs.google.com/spreadsheets/d/12RxCea4e5ggM7QGn1XE3FbLQa_-QbCNdBi90OdPjRqg"", ""'Plan de Compras'!D4:Q""), 14, 0), """")"),"VICTOR")</f>
        <v>VICTOR</v>
      </c>
      <c r="AC178" s="72" t="str">
        <f>IFERROR(__xludf.DUMMYFUNCTION("IFERROR(VLOOKUP(G178,IMPORTRANGE(""https://docs.google.com/spreadsheets/d/12RxCea4e5ggM7QGn1XE3FbLQa_-QbCNdBi90OdPjRqg"", ""'Plan de Compras'!D4:Q""), 4, 0), """")"),"PRENSATELA (2 MM) (1 UND)")</f>
        <v>PRENSATELA (2 MM) (1 UND)</v>
      </c>
      <c r="AD178" s="37" t="str">
        <f>IFERROR(__xludf.DUMMYFUNCTION("IFERROR(IF(OR(C178=TRUE,C178=""""),VLOOKUP(G178,IMPORTRANGE(""https://docs.google.com/spreadsheets/d/1z9A1Wq-kKrhRNG5RS2a2fKpY1wIhSVz2ZNmP2mOl588/edit?usp=sharing"",""REQ VF!E4:H""),4,0),""NO APLICA""),""GENERAR REQ"")"),"GENERAR REQ")</f>
        <v>GENERAR REQ</v>
      </c>
      <c r="AE178" s="32" t="str">
        <f>IFERROR(__xludf.DUMMYFUNCTION("IFERROR(QUERY(IMPORTRANGE(""https://docs.google.com/spreadsheets/d/1z9A1Wq-kKrhRNG5RS2a2fKpY1wIhSVz2ZNmP2mOl588/edit?usp=sharing"",""REQ VF!E4:Q""),""SELECT Col10, Col11, Col12 WHERE Col1 = '""&amp;G178&amp;""'"",0),""NO APLICA"")"),"NO APLICA")</f>
        <v>NO APLICA</v>
      </c>
      <c r="AF178" s="32"/>
      <c r="AG178" s="32"/>
      <c r="AH178" s="13"/>
      <c r="AI178" s="13"/>
    </row>
    <row r="179">
      <c r="A179" s="43"/>
      <c r="B179" s="43"/>
      <c r="C179" s="26" t="b">
        <v>1</v>
      </c>
      <c r="D179" s="26" t="s">
        <v>42</v>
      </c>
      <c r="E179" s="26" t="s">
        <v>1510</v>
      </c>
      <c r="F179" s="59" t="s">
        <v>2105</v>
      </c>
      <c r="G179" s="39" t="s">
        <v>2116</v>
      </c>
      <c r="H179" s="66" t="s">
        <v>2117</v>
      </c>
      <c r="I179" s="43">
        <v>8.0</v>
      </c>
      <c r="J179" s="26">
        <f>IFERROR(__xludf.DUMMYFUNCTION("VLOOKUP(G179,IMPORTRANGE(""https://docs.google.com/spreadsheets/d/12RxCea4e5ggM7QGn1XE3FbLQa_-QbCNdBi90OdPjRqg/edit?gid=1692403370#gid=1692403370"", ""'Plan de Compras'!D4:2432""), 8,0)"),8.0)</f>
        <v>8</v>
      </c>
      <c r="K179" s="26" t="str">
        <f t="shared" si="18"/>
        <v>SI</v>
      </c>
      <c r="L179" s="26"/>
      <c r="M179" s="32"/>
      <c r="N179" s="32"/>
      <c r="O179" s="32"/>
      <c r="P179" s="32" t="s">
        <v>2118</v>
      </c>
      <c r="Q179" s="33" t="s">
        <v>2119</v>
      </c>
      <c r="R179" s="32"/>
      <c r="S179" s="34" t="b">
        <v>1</v>
      </c>
      <c r="T179" s="39" t="s">
        <v>1257</v>
      </c>
      <c r="U179" s="39">
        <v>546118.0</v>
      </c>
      <c r="V179" s="39"/>
      <c r="W179" s="39"/>
      <c r="X179" s="39"/>
      <c r="Y179" s="126" t="s">
        <v>2112</v>
      </c>
      <c r="Z179" s="37" t="str">
        <f>IFERROR(__xludf.DUMMYFUNCTION("IFERROR(VLOOKUP(G179,IMPORTRANGE(""https://docs.google.com/spreadsheets/d/12RxCea4e5ggM7QGn1XE3FbLQa_-QbCNdBi90OdPjRqg"", ""'Plan de Compras'!D4:Q""), 12, 0), ""NO ESTÁ EN REQ"")"),"Técnica")</f>
        <v>Técnica</v>
      </c>
      <c r="AA179" s="37" t="str">
        <f>IFERROR(__xludf.DUMMYFUNCTION("IFERROR(VLOOKUP(G179,IMPORTRANGE(""https://docs.google.com/spreadsheets/d/12RxCea4e5ggM7QGn1XE3FbLQa_-QbCNdBi90OdPjRqg"", ""'Plan de Compras'!D4:Q""), 13, 0), """")"),"INTERNACIONAL")</f>
        <v>INTERNACIONAL</v>
      </c>
      <c r="AB179" s="32" t="str">
        <f>IFERROR(__xludf.DUMMYFUNCTION("IFERROR(VLOOKUP(G179,IMPORTRANGE(""https://docs.google.com/spreadsheets/d/12RxCea4e5ggM7QGn1XE3FbLQa_-QbCNdBi90OdPjRqg"", ""'Plan de Compras'!D4:Q""), 14, 0), """")"),"DIEGO ")</f>
        <v>DIEGO </v>
      </c>
      <c r="AC179" s="72" t="str">
        <f>IFERROR(__xludf.DUMMYFUNCTION("IFERROR(VLOOKUP(G179,IMPORTRANGE(""https://docs.google.com/spreadsheets/d/12RxCea4e5ggM7QGn1XE3FbLQa_-QbCNdBi90OdPjRqg"", ""'Plan de Compras'!D4:Q""), 4, 0), """")"),"PRENSATELA (3 MM) (1 UND)")</f>
        <v>PRENSATELA (3 MM) (1 UND)</v>
      </c>
      <c r="AD179" s="37" t="str">
        <f>IFERROR(__xludf.DUMMYFUNCTION("IFERROR(IF(OR(C179=TRUE,C179=""""),VLOOKUP(G179,IMPORTRANGE(""https://docs.google.com/spreadsheets/d/1z9A1Wq-kKrhRNG5RS2a2fKpY1wIhSVz2ZNmP2mOl588/edit?usp=sharing"",""REQ VF!E4:H""),4,0),""NO APLICA""),""GENERAR REQ"")"),"GENERAR REQ")</f>
        <v>GENERAR REQ</v>
      </c>
      <c r="AE179" s="32" t="str">
        <f>IFERROR(__xludf.DUMMYFUNCTION("IFERROR(QUERY(IMPORTRANGE(""https://docs.google.com/spreadsheets/d/1z9A1Wq-kKrhRNG5RS2a2fKpY1wIhSVz2ZNmP2mOl588/edit?usp=sharing"",""REQ VF!E4:Q""),""SELECT Col10, Col11, Col12 WHERE Col1 = '""&amp;G179&amp;""'"",0),""NO APLICA"")"),"NO APLICA")</f>
        <v>NO APLICA</v>
      </c>
      <c r="AF179" s="32"/>
      <c r="AG179" s="32"/>
      <c r="AH179" s="13"/>
      <c r="AI179" s="13"/>
    </row>
    <row r="180">
      <c r="A180" s="43"/>
      <c r="B180" s="43"/>
      <c r="C180" s="26" t="b">
        <v>1</v>
      </c>
      <c r="D180" s="26" t="s">
        <v>42</v>
      </c>
      <c r="E180" s="26" t="s">
        <v>1510</v>
      </c>
      <c r="F180" s="59" t="s">
        <v>2105</v>
      </c>
      <c r="G180" s="39" t="s">
        <v>2120</v>
      </c>
      <c r="H180" s="66" t="s">
        <v>2121</v>
      </c>
      <c r="I180" s="43">
        <v>8.0</v>
      </c>
      <c r="J180" s="26">
        <f>IFERROR(__xludf.DUMMYFUNCTION("VLOOKUP(G180,IMPORTRANGE(""https://docs.google.com/spreadsheets/d/12RxCea4e5ggM7QGn1XE3FbLQa_-QbCNdBi90OdPjRqg/edit?gid=1692403370#gid=1692403370"", ""'Plan de Compras'!D4:2432""), 8,0)"),8.0)</f>
        <v>8</v>
      </c>
      <c r="K180" s="26" t="str">
        <f t="shared" si="18"/>
        <v>SI</v>
      </c>
      <c r="L180" s="26"/>
      <c r="M180" s="32"/>
      <c r="N180" s="32"/>
      <c r="O180" s="32"/>
      <c r="P180" s="32" t="s">
        <v>2122</v>
      </c>
      <c r="Q180" s="33" t="s">
        <v>2123</v>
      </c>
      <c r="R180" s="32"/>
      <c r="S180" s="34" t="b">
        <v>1</v>
      </c>
      <c r="T180" s="39" t="s">
        <v>1257</v>
      </c>
      <c r="U180" s="137">
        <v>1974958.0</v>
      </c>
      <c r="V180" s="39"/>
      <c r="W180" s="39"/>
      <c r="X180" s="39"/>
      <c r="Y180" s="126" t="s">
        <v>2124</v>
      </c>
      <c r="Z180" s="37" t="str">
        <f>IFERROR(__xludf.DUMMYFUNCTION("IFERROR(VLOOKUP(G180,IMPORTRANGE(""https://docs.google.com/spreadsheets/d/12RxCea4e5ggM7QGn1XE3FbLQa_-QbCNdBi90OdPjRqg"", ""'Plan de Compras'!D4:Q""), 12, 0), ""NO ESTÁ EN REQ"")"),"Técnica")</f>
        <v>Técnica</v>
      </c>
      <c r="AA180" s="37" t="str">
        <f>IFERROR(__xludf.DUMMYFUNCTION("IFERROR(VLOOKUP(G180,IMPORTRANGE(""https://docs.google.com/spreadsheets/d/12RxCea4e5ggM7QGn1XE3FbLQa_-QbCNdBi90OdPjRqg"", ""'Plan de Compras'!D4:Q""), 13, 0), """")"),"INTERNACIONAL")</f>
        <v>INTERNACIONAL</v>
      </c>
      <c r="AB180" s="32" t="str">
        <f>IFERROR(__xludf.DUMMYFUNCTION("IFERROR(VLOOKUP(G180,IMPORTRANGE(""https://docs.google.com/spreadsheets/d/12RxCea4e5ggM7QGn1XE3FbLQa_-QbCNdBi90OdPjRqg"", ""'Plan de Compras'!D4:Q""), 14, 0), """")"),"DIEGO ")</f>
        <v>DIEGO </v>
      </c>
      <c r="AC180" s="72" t="str">
        <f>IFERROR(__xludf.DUMMYFUNCTION("IFERROR(VLOOKUP(G180,IMPORTRANGE(""https://docs.google.com/spreadsheets/d/12RxCea4e5ggM7QGn1XE3FbLQa_-QbCNdBi90OdPjRqg"", ""'Plan de Compras'!D4:Q""), 4, 0), """")"),"PRENSATELA (4 MM) (1 UND)")</f>
        <v>PRENSATELA (4 MM) (1 UND)</v>
      </c>
      <c r="AD180" s="37" t="str">
        <f>IFERROR(__xludf.DUMMYFUNCTION("IFERROR(IF(OR(C180=TRUE,C180=""""),VLOOKUP(G180,IMPORTRANGE(""https://docs.google.com/spreadsheets/d/1z9A1Wq-kKrhRNG5RS2a2fKpY1wIhSVz2ZNmP2mOl588/edit?usp=sharing"",""REQ VF!E4:H""),4,0),""NO APLICA""),""GENERAR REQ"")"),"GENERAR REQ")</f>
        <v>GENERAR REQ</v>
      </c>
      <c r="AE180" s="32" t="str">
        <f>IFERROR(__xludf.DUMMYFUNCTION("IFERROR(QUERY(IMPORTRANGE(""https://docs.google.com/spreadsheets/d/1z9A1Wq-kKrhRNG5RS2a2fKpY1wIhSVz2ZNmP2mOl588/edit?usp=sharing"",""REQ VF!E4:Q""),""SELECT Col10, Col11, Col12 WHERE Col1 = '""&amp;G180&amp;""'"",0),""NO APLICA"")"),"NO APLICA")</f>
        <v>NO APLICA</v>
      </c>
      <c r="AF180" s="32"/>
      <c r="AG180" s="32"/>
      <c r="AH180" s="13"/>
      <c r="AI180" s="13"/>
    </row>
    <row r="181">
      <c r="A181" s="43"/>
      <c r="B181" s="43"/>
      <c r="C181" s="26" t="b">
        <v>1</v>
      </c>
      <c r="D181" s="26" t="s">
        <v>42</v>
      </c>
      <c r="E181" s="26" t="s">
        <v>1510</v>
      </c>
      <c r="F181" s="59" t="s">
        <v>2105</v>
      </c>
      <c r="G181" s="39" t="s">
        <v>2125</v>
      </c>
      <c r="H181" s="66" t="s">
        <v>2126</v>
      </c>
      <c r="I181" s="43">
        <v>8.0</v>
      </c>
      <c r="J181" s="26">
        <f>IFERROR(__xludf.DUMMYFUNCTION("VLOOKUP(G181,IMPORTRANGE(""https://docs.google.com/spreadsheets/d/12RxCea4e5ggM7QGn1XE3FbLQa_-QbCNdBi90OdPjRqg/edit?gid=1692403370#gid=1692403370"", ""'Plan de Compras'!D4:2432""), 8,0)"),8.0)</f>
        <v>8</v>
      </c>
      <c r="K181" s="26" t="str">
        <f t="shared" si="18"/>
        <v>SI</v>
      </c>
      <c r="L181" s="29"/>
      <c r="M181" s="61"/>
      <c r="N181" s="32"/>
      <c r="O181" s="32"/>
      <c r="P181" s="32"/>
      <c r="Q181" s="41"/>
      <c r="R181" s="61"/>
      <c r="S181" s="34" t="b">
        <v>1</v>
      </c>
      <c r="T181" s="39" t="s">
        <v>2127</v>
      </c>
      <c r="U181" s="39" t="s">
        <v>2128</v>
      </c>
      <c r="V181" s="39"/>
      <c r="W181" s="39"/>
      <c r="X181" s="39"/>
      <c r="Y181" s="126" t="s">
        <v>2129</v>
      </c>
      <c r="Z181" s="37" t="str">
        <f>IFERROR(__xludf.DUMMYFUNCTION("IFERROR(VLOOKUP(G181,IMPORTRANGE(""https://docs.google.com/spreadsheets/d/12RxCea4e5ggM7QGn1XE3FbLQa_-QbCNdBi90OdPjRqg"", ""'Plan de Compras'!D4:Q""), 12, 0), ""NO ESTÁ EN REQ"")"),"Técnica")</f>
        <v>Técnica</v>
      </c>
      <c r="AA181" s="37" t="str">
        <f>IFERROR(__xludf.DUMMYFUNCTION("IFERROR(VLOOKUP(G181,IMPORTRANGE(""https://docs.google.com/spreadsheets/d/12RxCea4e5ggM7QGn1XE3FbLQa_-QbCNdBi90OdPjRqg"", ""'Plan de Compras'!D4:Q""), 13, 0), """")"),"INTERNACIONAL")</f>
        <v>INTERNACIONAL</v>
      </c>
      <c r="AB181" s="32" t="str">
        <f>IFERROR(__xludf.DUMMYFUNCTION("IFERROR(VLOOKUP(G181,IMPORTRANGE(""https://docs.google.com/spreadsheets/d/12RxCea4e5ggM7QGn1XE3FbLQa_-QbCNdBi90OdPjRqg"", ""'Plan de Compras'!D4:Q""), 14, 0), """")"),"DIEGO ")</f>
        <v>DIEGO </v>
      </c>
      <c r="AC181" s="72" t="str">
        <f>IFERROR(__xludf.DUMMYFUNCTION("IFERROR(VLOOKUP(G181,IMPORTRANGE(""https://docs.google.com/spreadsheets/d/12RxCea4e5ggM7QGn1XE3FbLQa_-QbCNdBi90OdPjRqg"", ""'Plan de Compras'!D4:Q""), 4, 0), """")"),"PRENSATELA (5 MM) (1 UND)")</f>
        <v>PRENSATELA (5 MM) (1 UND)</v>
      </c>
      <c r="AD181" s="37" t="str">
        <f>IFERROR(__xludf.DUMMYFUNCTION("IFERROR(IF(OR(C181=TRUE,C181=""""),VLOOKUP(G181,IMPORTRANGE(""https://docs.google.com/spreadsheets/d/1z9A1Wq-kKrhRNG5RS2a2fKpY1wIhSVz2ZNmP2mOl588/edit?usp=sharing"",""REQ VF!E4:H""),4,0),""NO APLICA""),""GENERAR REQ"")"),"GENERAR REQ")</f>
        <v>GENERAR REQ</v>
      </c>
      <c r="AE181" s="32" t="str">
        <f>IFERROR(__xludf.DUMMYFUNCTION("IFERROR(QUERY(IMPORTRANGE(""https://docs.google.com/spreadsheets/d/1z9A1Wq-kKrhRNG5RS2a2fKpY1wIhSVz2ZNmP2mOl588/edit?usp=sharing"",""REQ VF!E4:Q""),""SELECT Col10, Col11, Col12 WHERE Col1 = '""&amp;G181&amp;""'"",0),""NO APLICA"")"),"NO APLICA")</f>
        <v>NO APLICA</v>
      </c>
      <c r="AF181" s="32"/>
      <c r="AG181" s="32"/>
      <c r="AH181" s="13"/>
      <c r="AI181" s="13"/>
    </row>
    <row r="182">
      <c r="A182" s="121">
        <v>114.0</v>
      </c>
      <c r="B182" s="43" t="b">
        <v>1</v>
      </c>
      <c r="C182" s="26" t="b">
        <v>1</v>
      </c>
      <c r="D182" s="26" t="s">
        <v>35</v>
      </c>
      <c r="E182" s="26" t="s">
        <v>1510</v>
      </c>
      <c r="F182" s="59" t="s">
        <v>2130</v>
      </c>
      <c r="G182" s="37" t="s">
        <v>2130</v>
      </c>
      <c r="H182" s="82" t="s">
        <v>2131</v>
      </c>
      <c r="I182" s="43">
        <f>SUMIFS('Hoja 10'!$O:$O,'Hoja 10'!$F:$F,$G182)</f>
        <v>10</v>
      </c>
      <c r="J182" s="26">
        <f>IFERROR(__xludf.DUMMYFUNCTION("VLOOKUP(G182,IMPORTRANGE(""https://docs.google.com/spreadsheets/d/12RxCea4e5ggM7QGn1XE3FbLQa_-QbCNdBi90OdPjRqg/edit?gid=1692403370#gid=1692403370"", ""'Plan de Compras'!D4:2432""), 8,0)"),10.0)</f>
        <v>10</v>
      </c>
      <c r="K182" s="26" t="str">
        <f t="shared" si="18"/>
        <v>SI</v>
      </c>
      <c r="L182" s="29" t="s">
        <v>185</v>
      </c>
      <c r="M182" s="30" t="s">
        <v>186</v>
      </c>
      <c r="N182" s="32"/>
      <c r="O182" s="32" t="str">
        <f>VLOOKUP($G182,'Hoja 10'!$F$4:$AA1057, 19,0)</f>
        <v>SAIDA TEX</v>
      </c>
      <c r="P182" s="32" t="str">
        <f>VLOOKUP($G182,'Hoja 10'!$F$4:$AA1057, 20,0)</f>
        <v>3PC</v>
      </c>
      <c r="Q182" s="33" t="str">
        <f>VLOOKUP($G182,'Hoja 10'!$F$4:$AA1057, 21,0)</f>
        <v>https://www.mercadolibre.com.pe/punzon-lezna-mango-madera-para-costura-y-cuero-x-3-und/up/MPEU2990103922#highlighted_specs_attrs</v>
      </c>
      <c r="R182" s="86" t="s">
        <v>2132</v>
      </c>
      <c r="S182" s="34" t="b">
        <v>1</v>
      </c>
      <c r="T182" s="39" t="s">
        <v>2133</v>
      </c>
      <c r="U182" s="39" t="s">
        <v>2134</v>
      </c>
      <c r="V182" s="39" t="str">
        <f>IFERROR(__xludf.DUMMYFUNCTION(" IF
( VLOOKUP($G182,IMPORTRANGE(""https://docs.google.com/spreadsheets/d/1Gpl6jkTg7sL4VDNimUm3S9Vi1i95esohXCF3wuKOE8c"", ""'CONSOLIDADO'!G5:AB""), 10, 0) &lt;&gt; 0, 
IFERROR(VLOOKUP($G182,IMPORTRANGE(""https://docs.google.com/spreadsheets/d/1Gpl6jkTg7sL4VDNimU"&amp;"m3S9Vi1i95esohXCF3wuKOE8c"", ""'CONSOLIDADO'!G5:AB""), 17, 0), ""-""),
""""
)"),"SAIDA TEX")</f>
        <v>SAIDA TEX</v>
      </c>
      <c r="W182" s="39" t="str">
        <f>IFERROR(__xludf.DUMMYFUNCTION(" IF
( VLOOKUP($G182,IMPORTRANGE(""https://docs.google.com/spreadsheets/d/1Gpl6jkTg7sL4VDNimUm3S9Vi1i95esohXCF3wuKOE8c"", ""'CONSOLIDADO'!G5:AB""), 10, 0) &lt;&gt; 0, 
IFERROR(VLOOKUP($G182,IMPORTRANGE(""https://docs.google.com/spreadsheets/d/1Gpl6jkTg7sL4VDNimU"&amp;"m3S9Vi1i95esohXCF3wuKOE8c"", ""'CONSOLIDADO'!G5:AB""), 18, 0), ""-""),
""""
)"),"3PC")</f>
        <v>3PC</v>
      </c>
      <c r="X182" s="39" t="b">
        <f t="shared" ref="X182:X187" si="22">IF(AND(T182=V182,W182=U182),TRUE,FALSE)</f>
        <v>1</v>
      </c>
      <c r="Y182" s="120" t="s">
        <v>2135</v>
      </c>
      <c r="Z182" s="37" t="str">
        <f>IFERROR(__xludf.DUMMYFUNCTION("IFERROR(VLOOKUP(G182,IMPORTRANGE(""https://docs.google.com/spreadsheets/d/12RxCea4e5ggM7QGn1XE3FbLQa_-QbCNdBi90OdPjRqg"", ""'Plan de Compras'!D4:Q""), 12, 0), ""NO ESTÁ EN REQ"")"),"Simple")</f>
        <v>Simple</v>
      </c>
      <c r="AA182" s="37" t="str">
        <f>IFERROR(__xludf.DUMMYFUNCTION("IFERROR(VLOOKUP(G182,IMPORTRANGE(""https://docs.google.com/spreadsheets/d/12RxCea4e5ggM7QGn1XE3FbLQa_-QbCNdBi90OdPjRqg"", ""'Plan de Compras'!D4:Q""), 13, 0), """")"),"NACIONAL")</f>
        <v>NACIONAL</v>
      </c>
      <c r="AB182" s="32" t="str">
        <f>IFERROR(__xludf.DUMMYFUNCTION("IFERROR(VLOOKUP(G182,IMPORTRANGE(""https://docs.google.com/spreadsheets/d/12RxCea4e5ggM7QGn1XE3FbLQa_-QbCNdBi90OdPjRqg"", ""'Plan de Compras'!D4:Q""), 14, 0), """")"),"JESSICA")</f>
        <v>JESSICA</v>
      </c>
      <c r="AC182" s="72" t="str">
        <f>IFERROR(__xludf.DUMMYFUNCTION("IFERROR(VLOOKUP(G182,IMPORTRANGE(""https://docs.google.com/spreadsheets/d/12RxCea4e5ggM7QGn1XE3FbLQa_-QbCNdBi90OdPjRqg"", ""'Plan de Compras'!D4:Q""), 4, 0), """")"),"PUNZÓN")</f>
        <v>PUNZÓN</v>
      </c>
      <c r="AD182" s="37" t="str">
        <f>IFERROR(__xludf.DUMMYFUNCTION("IFERROR(IF(OR(C182=TRUE,C182=""""),VLOOKUP(G182,IMPORTRANGE(""https://docs.google.com/spreadsheets/d/1z9A1Wq-kKrhRNG5RS2a2fKpY1wIhSVz2ZNmP2mOl588/edit?usp=sharing"",""REQ VF!E4:H""),4,0),""NO APLICA""),""GENERAR REQ"")"),"GENERAR REQ")</f>
        <v>GENERAR REQ</v>
      </c>
      <c r="AE182" s="32" t="str">
        <f>IFERROR(__xludf.DUMMYFUNCTION("IFERROR(QUERY(IMPORTRANGE(""https://docs.google.com/spreadsheets/d/1z9A1Wq-kKrhRNG5RS2a2fKpY1wIhSVz2ZNmP2mOl588/edit?usp=sharing"",""REQ VF!E4:Q""),""SELECT Col10, Col11, Col12 WHERE Col1 = '""&amp;G182&amp;""'"",0),""NO APLICA"")"),"NO APLICA")</f>
        <v>NO APLICA</v>
      </c>
      <c r="AF182" s="32"/>
      <c r="AG182" s="32"/>
      <c r="AH182" s="13"/>
      <c r="AI182" s="13"/>
    </row>
    <row r="183">
      <c r="A183" s="117">
        <v>115.0</v>
      </c>
      <c r="B183" s="43" t="b">
        <v>1</v>
      </c>
      <c r="C183" s="26" t="b">
        <v>1</v>
      </c>
      <c r="D183" s="26" t="s">
        <v>35</v>
      </c>
      <c r="E183" s="26" t="s">
        <v>1510</v>
      </c>
      <c r="F183" s="59" t="s">
        <v>2136</v>
      </c>
      <c r="G183" s="37" t="s">
        <v>2136</v>
      </c>
      <c r="H183" s="82" t="s">
        <v>2137</v>
      </c>
      <c r="I183" s="43">
        <f>SUMIFS('Hoja 10'!$O:$O,'Hoja 10'!$F:$F,$G183)</f>
        <v>3</v>
      </c>
      <c r="J183" s="26">
        <f>IFERROR(__xludf.DUMMYFUNCTION("VLOOKUP(G183,IMPORTRANGE(""https://docs.google.com/spreadsheets/d/12RxCea4e5ggM7QGn1XE3FbLQa_-QbCNdBi90OdPjRqg/edit?gid=1692403370#gid=1692403370"", ""'Plan de Compras'!D4:2432""), 8,0)"),3.0)</f>
        <v>3</v>
      </c>
      <c r="K183" s="26" t="str">
        <f t="shared" si="18"/>
        <v>SI</v>
      </c>
      <c r="L183" s="29" t="s">
        <v>127</v>
      </c>
      <c r="M183" s="30" t="s">
        <v>105</v>
      </c>
      <c r="N183" s="32"/>
      <c r="O183" s="32" t="str">
        <f>VLOOKUP($G183,'Hoja 10'!$F$4:$AA1057, 19,0)</f>
        <v>WOLFCRAFT</v>
      </c>
      <c r="P183" s="32">
        <f>VLOOKUP($G183,'Hoja 10'!$F$4:$AA1057, 20,0)</f>
        <v>7985010</v>
      </c>
      <c r="Q183" s="33" t="str">
        <f>VLOOKUP($G183,'Hoja 10'!$F$4:$AA1057, 21,0)</f>
        <v>https://www.amazon.es/dp/B00CS2XM1W?tag=tecnitool-21&amp;th=1</v>
      </c>
      <c r="R183" s="86" t="s">
        <v>2138</v>
      </c>
      <c r="S183" s="44" t="b">
        <v>1</v>
      </c>
      <c r="T183" s="39" t="str">
        <f>IFERROR(__xludf.DUMMYFUNCTION(" IF
( VLOOKUP($G183,IMPORTRANGE(""https://docs.google.com/spreadsheets/d/1Gpl6jkTg7sL4VDNimUm3S9Vi1i95esohXCF3wuKOE8c"", ""'CONSOLIDADO'!G5:AB""), 10, 0) &lt;&gt; 0, 
IFERROR(VLOOKUP($G183,IMPORTRANGE(""https://docs.google.com/spreadsheets/d/1Gpl6jkTg7sL4VDNimU"&amp;"m3S9Vi1i95esohXCF3wuKOE8c"", ""'CONSOLIDADO'!G5:AB""), 17, 0), ""-""),
""""
)"),"BGS")</f>
        <v>BGS</v>
      </c>
      <c r="U183" s="39">
        <f>IFERROR(__xludf.DUMMYFUNCTION(" IF
( VLOOKUP($G183,IMPORTRANGE(""https://docs.google.com/spreadsheets/d/1Gpl6jkTg7sL4VDNimUm3S9Vi1i95esohXCF3wuKOE8c"", ""'CONSOLIDADO'!G5:AB""), 10, 0) &lt;&gt; 0, 
IFERROR(VLOOKUP($G183,IMPORTRANGE(""https://docs.google.com/spreadsheets/d/1Gpl6jkTg7sL4VDNimU"&amp;"m3S9Vi1i95esohXCF3wuKOE8c"", ""'CONSOLIDADO'!G5:AB""), 18, 0), ""-""),
""""
)"),3131.0)</f>
        <v>3131</v>
      </c>
      <c r="V183" s="39" t="str">
        <f>IFERROR(__xludf.DUMMYFUNCTION(" IF
( VLOOKUP($G183,IMPORTRANGE(""https://docs.google.com/spreadsheets/d/1Gpl6jkTg7sL4VDNimUm3S9Vi1i95esohXCF3wuKOE8c"", ""'CONSOLIDADO'!G5:AB""), 10, 0) &lt;&gt; 0, 
IFERROR(VLOOKUP($G183,IMPORTRANGE(""https://docs.google.com/spreadsheets/d/1Gpl6jkTg7sL4VDNimU"&amp;"m3S9Vi1i95esohXCF3wuKOE8c"", ""'CONSOLIDADO'!G5:AB""), 17, 0), ""-""),
""""
)"),"BGS")</f>
        <v>BGS</v>
      </c>
      <c r="W183" s="39">
        <f>IFERROR(__xludf.DUMMYFUNCTION(" IF
( VLOOKUP($G183,IMPORTRANGE(""https://docs.google.com/spreadsheets/d/1Gpl6jkTg7sL4VDNimUm3S9Vi1i95esohXCF3wuKOE8c"", ""'CONSOLIDADO'!G5:AB""), 10, 0) &lt;&gt; 0, 
IFERROR(VLOOKUP($G183,IMPORTRANGE(""https://docs.google.com/spreadsheets/d/1Gpl6jkTg7sL4VDNimU"&amp;"m3S9Vi1i95esohXCF3wuKOE8c"", ""'CONSOLIDADO'!G5:AB""), 18, 0), ""-""),
""""
)"),3131.0)</f>
        <v>3131</v>
      </c>
      <c r="X183" s="39" t="b">
        <f t="shared" si="22"/>
        <v>1</v>
      </c>
      <c r="Y183" s="120" t="str">
        <f>IFERROR(__xludf.DUMMYFUNCTION(" IF
( VLOOKUP($G183,IMPORTRANGE(""https://docs.google.com/spreadsheets/d/1Gpl6jkTg7sL4VDNimUm3S9Vi1i95esohXCF3wuKOE8c"", ""'CONSOLIDADO'!G5:AB""), 10, 0) &lt;&gt; 0, 
IFERROR(VLOOKUP($G183,IMPORTRANGE(""https://docs.google.com/spreadsheets/d/1Gpl6jkTg7sL4VDNimU"&amp;"m3S9Vi1i95esohXCF3wuKOE8c"", ""'CONSOLIDADO'!G5:AB""), 19, 0), ""-""),
""""
)"),"https://www.amazon.es/dp/B00CS2XM1W?tag=tecnitool-21&amp;th=1")</f>
        <v>https://www.amazon.es/dp/B00CS2XM1W?tag=tecnitool-21&amp;th=1</v>
      </c>
      <c r="Z183" s="37" t="str">
        <f>IFERROR(__xludf.DUMMYFUNCTION("IFERROR(VLOOKUP(G183,IMPORTRANGE(""https://docs.google.com/spreadsheets/d/12RxCea4e5ggM7QGn1XE3FbLQa_-QbCNdBi90OdPjRqg"", ""'Plan de Compras'!D4:Q""), 12, 0), ""NO ESTÁ EN REQ"")"),"Técnica")</f>
        <v>Técnica</v>
      </c>
      <c r="AA183" s="37" t="str">
        <f>IFERROR(__xludf.DUMMYFUNCTION("IFERROR(VLOOKUP(G183,IMPORTRANGE(""https://docs.google.com/spreadsheets/d/12RxCea4e5ggM7QGn1XE3FbLQa_-QbCNdBi90OdPjRqg"", ""'Plan de Compras'!D4:Q""), 13, 0), """")"),"INTERNACIONAL")</f>
        <v>INTERNACIONAL</v>
      </c>
      <c r="AB183" s="32" t="str">
        <f>IFERROR(__xludf.DUMMYFUNCTION("IFERROR(VLOOKUP(G183,IMPORTRANGE(""https://docs.google.com/spreadsheets/d/12RxCea4e5ggM7QGn1XE3FbLQa_-QbCNdBi90OdPjRqg"", ""'Plan de Compras'!D4:Q""), 14, 0), """")"),"GIANFRANCO")</f>
        <v>GIANFRANCO</v>
      </c>
      <c r="AC183" s="72" t="str">
        <f>IFERROR(__xludf.DUMMYFUNCTION("IFERROR(VLOOKUP(G183,IMPORTRANGE(""https://docs.google.com/spreadsheets/d/12RxCea4e5ggM7QGn1XE3FbLQa_-QbCNdBi90OdPjRqg"", ""'Plan de Compras'!D4:Q""), 4, 0), """")"),"RAYADOR")</f>
        <v>RAYADOR</v>
      </c>
      <c r="AD183" s="37" t="str">
        <f>IFERROR(__xludf.DUMMYFUNCTION("IFERROR(IF(OR(C183=TRUE,C183=""""),VLOOKUP(G183,IMPORTRANGE(""https://docs.google.com/spreadsheets/d/1z9A1Wq-kKrhRNG5RS2a2fKpY1wIhSVz2ZNmP2mOl588/edit?usp=sharing"",""REQ VF!E4:H""),4,0),""NO APLICA""),""GENERAR REQ"")"),"GENERAR REQ")</f>
        <v>GENERAR REQ</v>
      </c>
      <c r="AE183" s="32" t="str">
        <f>IFERROR(__xludf.DUMMYFUNCTION("IFERROR(QUERY(IMPORTRANGE(""https://docs.google.com/spreadsheets/d/1z9A1Wq-kKrhRNG5RS2a2fKpY1wIhSVz2ZNmP2mOl588/edit?usp=sharing"",""REQ VF!E4:Q""),""SELECT Col10, Col11, Col12 WHERE Col1 = '""&amp;G183&amp;""'"",0),""NO APLICA"")"),"NO APLICA")</f>
        <v>NO APLICA</v>
      </c>
      <c r="AF183" s="32"/>
      <c r="AG183" s="32"/>
      <c r="AH183" s="8" t="s">
        <v>52</v>
      </c>
      <c r="AI183" s="13"/>
    </row>
    <row r="184">
      <c r="A184" s="117">
        <v>116.0</v>
      </c>
      <c r="B184" s="43" t="b">
        <v>1</v>
      </c>
      <c r="C184" s="26" t="b">
        <v>1</v>
      </c>
      <c r="D184" s="26" t="s">
        <v>35</v>
      </c>
      <c r="E184" s="26" t="s">
        <v>1510</v>
      </c>
      <c r="F184" s="59" t="s">
        <v>2139</v>
      </c>
      <c r="G184" s="37" t="s">
        <v>2139</v>
      </c>
      <c r="H184" s="82" t="s">
        <v>2140</v>
      </c>
      <c r="I184" s="43">
        <f>SUMIFS('Hoja 10'!$O:$O,'Hoja 10'!$F:$F,$G184)</f>
        <v>10</v>
      </c>
      <c r="J184" s="26">
        <f>IFERROR(__xludf.DUMMYFUNCTION("VLOOKUP(G184,IMPORTRANGE(""https://docs.google.com/spreadsheets/d/12RxCea4e5ggM7QGn1XE3FbLQa_-QbCNdBi90OdPjRqg/edit?gid=1692403370#gid=1692403370"", ""'Plan de Compras'!D4:2432""), 8,0)"),10.0)</f>
        <v>10</v>
      </c>
      <c r="K184" s="26" t="str">
        <f t="shared" si="18"/>
        <v>SI</v>
      </c>
      <c r="L184" s="29" t="s">
        <v>91</v>
      </c>
      <c r="M184" s="30" t="s">
        <v>92</v>
      </c>
      <c r="N184" s="32"/>
      <c r="O184" s="32" t="str">
        <f>VLOOKUP($G184,'Hoja 10'!$F$4:$AA1057, 19,0)</f>
        <v>BAHCO</v>
      </c>
      <c r="P184" s="32" t="str">
        <f>VLOOKUP($G184,'Hoja 10'!$F$4:$AA1057, 20,0)</f>
        <v>1177-SCRIBE</v>
      </c>
      <c r="Q184" s="33" t="str">
        <f>VLOOKUP($G184,'Hoja 10'!$F$4:$AA1057, 21,0)</f>
        <v>https://drive.google.com/file/d/11pyfRpMGScfRUmdbaFWt-kZGdJU-Nhvv/view</v>
      </c>
      <c r="R184" s="30" t="s">
        <v>2141</v>
      </c>
      <c r="S184" s="34" t="b">
        <v>1</v>
      </c>
      <c r="T184" s="37" t="s">
        <v>2142</v>
      </c>
      <c r="U184" s="37" t="s">
        <v>2143</v>
      </c>
      <c r="V184" s="39" t="str">
        <f>IFERROR(__xludf.DUMMYFUNCTION(" IF
( VLOOKUP($G184,IMPORTRANGE(""https://docs.google.com/spreadsheets/d/1Gpl6jkTg7sL4VDNimUm3S9Vi1i95esohXCF3wuKOE8c"", ""'CONSOLIDADO'!G5:AB""), 10, 0) &lt;&gt; 0, 
IFERROR(VLOOKUP($G184,IMPORTRANGE(""https://docs.google.com/spreadsheets/d/1Gpl6jkTg7sL4VDNimU"&amp;"m3S9Vi1i95esohXCF3wuKOE8c"", ""'CONSOLIDADO'!G5:AB""), 17, 0), ""-""),
""""
)"),"BAHCO")</f>
        <v>BAHCO</v>
      </c>
      <c r="W184" s="39" t="str">
        <f>IFERROR(__xludf.DUMMYFUNCTION(" IF
( VLOOKUP($G184,IMPORTRANGE(""https://docs.google.com/spreadsheets/d/1Gpl6jkTg7sL4VDNimUm3S9Vi1i95esohXCF3wuKOE8c"", ""'CONSOLIDADO'!G5:AB""), 10, 0) &lt;&gt; 0, 
IFERROR(VLOOKUP($G184,IMPORTRANGE(""https://docs.google.com/spreadsheets/d/1Gpl6jkTg7sL4VDNimU"&amp;"m3S9Vi1i95esohXCF3wuKOE8c"", ""'CONSOLIDADO'!G5:AB""), 18, 0), ""-""),
""""
)"),"1177-SCRIBE")</f>
        <v>1177-SCRIBE</v>
      </c>
      <c r="X184" s="39" t="b">
        <f t="shared" si="22"/>
        <v>1</v>
      </c>
      <c r="Y184" s="138" t="str">
        <f>VLOOKUP($G184,'Hoja 10'!$F$4:$AA1057, 21,0)</f>
        <v>https://drive.google.com/file/d/11pyfRpMGScfRUmdbaFWt-kZGdJU-Nhvv/view</v>
      </c>
      <c r="Z184" s="37" t="str">
        <f>IFERROR(__xludf.DUMMYFUNCTION("IFERROR(VLOOKUP(G184,IMPORTRANGE(""https://docs.google.com/spreadsheets/d/12RxCea4e5ggM7QGn1XE3FbLQa_-QbCNdBi90OdPjRqg"", ""'Plan de Compras'!D4:Q""), 12, 0), ""NO ESTÁ EN REQ"")"),"Simple")</f>
        <v>Simple</v>
      </c>
      <c r="AA184" s="37" t="str">
        <f>IFERROR(__xludf.DUMMYFUNCTION("IFERROR(VLOOKUP(G184,IMPORTRANGE(""https://docs.google.com/spreadsheets/d/12RxCea4e5ggM7QGn1XE3FbLQa_-QbCNdBi90OdPjRqg"", ""'Plan de Compras'!D4:Q""), 13, 0), """")"),"NACIONAL")</f>
        <v>NACIONAL</v>
      </c>
      <c r="AB184" s="32" t="str">
        <f>IFERROR(__xludf.DUMMYFUNCTION("IFERROR(VLOOKUP(G184,IMPORTRANGE(""https://docs.google.com/spreadsheets/d/12RxCea4e5ggM7QGn1XE3FbLQa_-QbCNdBi90OdPjRqg"", ""'Plan de Compras'!D4:Q""), 14, 0), """")"),"GEANFRANCO")</f>
        <v>GEANFRANCO</v>
      </c>
      <c r="AC184" s="72" t="str">
        <f>IFERROR(__xludf.DUMMYFUNCTION("IFERROR(VLOOKUP(G184,IMPORTRANGE(""https://docs.google.com/spreadsheets/d/12RxCea4e5ggM7QGn1XE3FbLQa_-QbCNdBi90OdPjRqg"", ""'Plan de Compras'!D4:Q""), 4, 0), """")"),"RAYADOR MECÁNICO")</f>
        <v>RAYADOR MECÁNICO</v>
      </c>
      <c r="AD184" s="37" t="str">
        <f>IFERROR(__xludf.DUMMYFUNCTION("IFERROR(IF(OR(C184=TRUE,C184=""""),VLOOKUP(G184,IMPORTRANGE(""https://docs.google.com/spreadsheets/d/1z9A1Wq-kKrhRNG5RS2a2fKpY1wIhSVz2ZNmP2mOl588/edit?usp=sharing"",""REQ VF!E4:H""),4,0),""NO APLICA""),""GENERAR REQ"")"),"GENERAR REQ")</f>
        <v>GENERAR REQ</v>
      </c>
      <c r="AE184" s="32" t="str">
        <f>IFERROR(__xludf.DUMMYFUNCTION("IFERROR(QUERY(IMPORTRANGE(""https://docs.google.com/spreadsheets/d/1z9A1Wq-kKrhRNG5RS2a2fKpY1wIhSVz2ZNmP2mOl588/edit?usp=sharing"",""REQ VF!E4:Q""),""SELECT Col10, Col11, Col12 WHERE Col1 = '""&amp;G184&amp;""'"",0),""NO APLICA"")"),"NO APLICA")</f>
        <v>NO APLICA</v>
      </c>
      <c r="AF184" s="32"/>
      <c r="AG184" s="32"/>
      <c r="AH184" s="13"/>
      <c r="AI184" s="13"/>
    </row>
    <row r="185">
      <c r="A185" s="121">
        <v>117.0</v>
      </c>
      <c r="B185" s="43" t="b">
        <v>1</v>
      </c>
      <c r="C185" s="26" t="b">
        <v>1</v>
      </c>
      <c r="D185" s="26" t="s">
        <v>35</v>
      </c>
      <c r="E185" s="26" t="s">
        <v>1510</v>
      </c>
      <c r="F185" s="59" t="s">
        <v>2144</v>
      </c>
      <c r="G185" s="37" t="s">
        <v>2144</v>
      </c>
      <c r="H185" s="82" t="s">
        <v>2145</v>
      </c>
      <c r="I185" s="43">
        <f>SUMIFS('Hoja 10'!$O:$O,'Hoja 10'!$F:$F,$G185)</f>
        <v>3</v>
      </c>
      <c r="J185" s="26">
        <f>IFERROR(__xludf.DUMMYFUNCTION("VLOOKUP(G185,IMPORTRANGE(""https://docs.google.com/spreadsheets/d/12RxCea4e5ggM7QGn1XE3FbLQa_-QbCNdBi90OdPjRqg/edit?gid=1692403370#gid=1692403370"", ""'Plan de Compras'!D4:2432""), 8,0)"),3.0)</f>
        <v>3</v>
      </c>
      <c r="K185" s="26" t="str">
        <f t="shared" si="18"/>
        <v>SI</v>
      </c>
      <c r="L185" s="29" t="s">
        <v>127</v>
      </c>
      <c r="M185" s="30" t="s">
        <v>105</v>
      </c>
      <c r="N185" s="32"/>
      <c r="O185" s="32" t="str">
        <f>VLOOKUP($G185,'Hoja 10'!$F$4:$AA1057, 19,0)</f>
        <v>STANLEY</v>
      </c>
      <c r="P185" s="32" t="str">
        <f>VLOOKUP($G185,'Hoja 10'!$F$4:$AA1057, 20,0)</f>
        <v>78-021</v>
      </c>
      <c r="Q185" s="33" t="str">
        <f>VLOOKUP($G185,'Hoja 10'!$F$4:$AA1057, 21,0)</f>
        <v>https://drive.google.com/file/d/1Bj90oyGITf3Nozeyz0lxohKhzBKZTChD/view</v>
      </c>
      <c r="R185" s="86" t="s">
        <v>2146</v>
      </c>
      <c r="S185" s="44" t="b">
        <v>1</v>
      </c>
      <c r="T185" s="39" t="str">
        <f>IFERROR(__xludf.DUMMYFUNCTION(" IF
( VLOOKUP($G185,IMPORTRANGE(""https://docs.google.com/spreadsheets/d/1Gpl6jkTg7sL4VDNimUm3S9Vi1i95esohXCF3wuKOE8c"", ""'CONSOLIDADO'!G5:AB""), 10, 0) &lt;&gt; 0, 
IFERROR(VLOOKUP($G185,IMPORTRANGE(""https://docs.google.com/spreadsheets/d/1Gpl6jkTg7sL4VDNimU"&amp;"m3S9Vi1i95esohXCF3wuKOE8c"", ""'CONSOLIDADO'!G5:AB""), 17, 0), ""-""),
""""
)"),"STANLEY")</f>
        <v>STANLEY</v>
      </c>
      <c r="U185" s="39" t="str">
        <f>IFERROR(__xludf.DUMMYFUNCTION(" IF
( VLOOKUP($G185,IMPORTRANGE(""https://docs.google.com/spreadsheets/d/1Gpl6jkTg7sL4VDNimUm3S9Vi1i95esohXCF3wuKOE8c"", ""'CONSOLIDADO'!G5:AB""), 10, 0) &lt;&gt; 0, 
IFERROR(VLOOKUP($G185,IMPORTRANGE(""https://docs.google.com/spreadsheets/d/1Gpl6jkTg7sL4VDNimU"&amp;"m3S9Vi1i95esohXCF3wuKOE8c"", ""'CONSOLIDADO'!G5:AB""), 18, 0), ""-""),
""""
)"),"78-021")</f>
        <v>78-021</v>
      </c>
      <c r="V185" s="39" t="str">
        <f>IFERROR(__xludf.DUMMYFUNCTION(" IF
( VLOOKUP($G185,IMPORTRANGE(""https://docs.google.com/spreadsheets/d/1Gpl6jkTg7sL4VDNimUm3S9Vi1i95esohXCF3wuKOE8c"", ""'CONSOLIDADO'!G5:AB""), 10, 0) &lt;&gt; 0, 
IFERROR(VLOOKUP($G185,IMPORTRANGE(""https://docs.google.com/spreadsheets/d/1Gpl6jkTg7sL4VDNimU"&amp;"m3S9Vi1i95esohXCF3wuKOE8c"", ""'CONSOLIDADO'!G5:AB""), 17, 0), ""-""),
""""
)"),"STANLEY")</f>
        <v>STANLEY</v>
      </c>
      <c r="W185" s="39" t="str">
        <f>IFERROR(__xludf.DUMMYFUNCTION(" IF
( VLOOKUP($G185,IMPORTRANGE(""https://docs.google.com/spreadsheets/d/1Gpl6jkTg7sL4VDNimUm3S9Vi1i95esohXCF3wuKOE8c"", ""'CONSOLIDADO'!G5:AB""), 10, 0) &lt;&gt; 0, 
IFERROR(VLOOKUP($G185,IMPORTRANGE(""https://docs.google.com/spreadsheets/d/1Gpl6jkTg7sL4VDNimU"&amp;"m3S9Vi1i95esohXCF3wuKOE8c"", ""'CONSOLIDADO'!G5:AB""), 18, 0), ""-""),
""""
)"),"78-021")</f>
        <v>78-021</v>
      </c>
      <c r="X185" s="39" t="b">
        <f t="shared" si="22"/>
        <v>1</v>
      </c>
      <c r="Y185" s="120" t="str">
        <f>IFERROR(__xludf.DUMMYFUNCTION(" IF
( VLOOKUP($G185,IMPORTRANGE(""https://docs.google.com/spreadsheets/d/1Gpl6jkTg7sL4VDNimUm3S9Vi1i95esohXCF3wuKOE8c"", ""'CONSOLIDADO'!G5:AB""), 10, 0) &lt;&gt; 0, 
IFERROR(VLOOKUP($G185,IMPORTRANGE(""https://docs.google.com/spreadsheets/d/1Gpl6jkTg7sL4VDNimU"&amp;"m3S9Vi1i95esohXCF3wuKOE8c"", ""'CONSOLIDADO'!G5:AB""), 19, 0), ""-""),
""""
)"),"https://drive.google.com/file/d/1Bj90oyGITf3Nozeyz0lxohKhzBKZTChD/view")</f>
        <v>https://drive.google.com/file/d/1Bj90oyGITf3Nozeyz0lxohKhzBKZTChD/view</v>
      </c>
      <c r="Z185" s="37" t="str">
        <f>IFERROR(__xludf.DUMMYFUNCTION("IFERROR(VLOOKUP(G185,IMPORTRANGE(""https://docs.google.com/spreadsheets/d/12RxCea4e5ggM7QGn1XE3FbLQa_-QbCNdBi90OdPjRqg"", ""'Plan de Compras'!D4:Q""), 12, 0), ""NO ESTÁ EN REQ"")"),"Técnica")</f>
        <v>Técnica</v>
      </c>
      <c r="AA185" s="37" t="str">
        <f>IFERROR(__xludf.DUMMYFUNCTION("IFERROR(VLOOKUP(G185,IMPORTRANGE(""https://docs.google.com/spreadsheets/d/12RxCea4e5ggM7QGn1XE3FbLQa_-QbCNdBi90OdPjRqg"", ""'Plan de Compras'!D4:Q""), 13, 0), """")"),"NACIONAL")</f>
        <v>NACIONAL</v>
      </c>
      <c r="AB185" s="32" t="str">
        <f>IFERROR(__xludf.DUMMYFUNCTION("IFERROR(VLOOKUP(G185,IMPORTRANGE(""https://docs.google.com/spreadsheets/d/12RxCea4e5ggM7QGn1XE3FbLQa_-QbCNdBi90OdPjRqg"", ""'Plan de Compras'!D4:Q""), 14, 0), """")"),"JESSICA")</f>
        <v>JESSICA</v>
      </c>
      <c r="AC185" s="72" t="str">
        <f>IFERROR(__xludf.DUMMYFUNCTION("IFERROR(VLOOKUP(G185,IMPORTRANGE(""https://docs.google.com/spreadsheets/d/12RxCea4e5ggM7QGn1XE3FbLQa_-QbCNdBi90OdPjRqg"", ""'Plan de Compras'!D4:Q""), 4, 0), """")"),"RECOGEDOR MAGNÉTICO TELESCÓPICO")</f>
        <v>RECOGEDOR MAGNÉTICO TELESCÓPICO</v>
      </c>
      <c r="AD185" s="37" t="str">
        <f>IFERROR(__xludf.DUMMYFUNCTION("IFERROR(IF(OR(C185=TRUE,C185=""""),VLOOKUP(G185,IMPORTRANGE(""https://docs.google.com/spreadsheets/d/1z9A1Wq-kKrhRNG5RS2a2fKpY1wIhSVz2ZNmP2mOl588/edit?usp=sharing"",""REQ VF!E4:H""),4,0),""NO APLICA""),""GENERAR REQ"")"),"GENERAR REQ")</f>
        <v>GENERAR REQ</v>
      </c>
      <c r="AE185" s="32" t="str">
        <f>IFERROR(__xludf.DUMMYFUNCTION("IFERROR(QUERY(IMPORTRANGE(""https://docs.google.com/spreadsheets/d/1z9A1Wq-kKrhRNG5RS2a2fKpY1wIhSVz2ZNmP2mOl588/edit?usp=sharing"",""REQ VF!E4:Q""),""SELECT Col10, Col11, Col12 WHERE Col1 = '""&amp;G185&amp;""'"",0),""NO APLICA"")"),"NO APLICA")</f>
        <v>NO APLICA</v>
      </c>
      <c r="AF185" s="32"/>
      <c r="AG185" s="32"/>
      <c r="AH185" s="13"/>
      <c r="AI185" s="13"/>
    </row>
    <row r="186">
      <c r="A186" s="43">
        <v>118.0</v>
      </c>
      <c r="B186" s="43" t="b">
        <v>1</v>
      </c>
      <c r="C186" s="26" t="b">
        <v>1</v>
      </c>
      <c r="D186" s="26" t="s">
        <v>35</v>
      </c>
      <c r="E186" s="26" t="s">
        <v>1510</v>
      </c>
      <c r="F186" s="59" t="s">
        <v>2147</v>
      </c>
      <c r="G186" s="37" t="s">
        <v>2147</v>
      </c>
      <c r="H186" s="82" t="s">
        <v>2148</v>
      </c>
      <c r="I186" s="43">
        <f>SUMIFS('Hoja 10'!$O:$O,'Hoja 10'!$F:$F,$G186)</f>
        <v>3</v>
      </c>
      <c r="J186" s="26">
        <f>IFERROR(__xludf.DUMMYFUNCTION("VLOOKUP(G186,IMPORTRANGE(""https://docs.google.com/spreadsheets/d/12RxCea4e5ggM7QGn1XE3FbLQa_-QbCNdBi90OdPjRqg/edit?gid=1692403370#gid=1692403370"", ""'Plan de Compras'!D4:2432""), 8,0)"),3.0)</f>
        <v>3</v>
      </c>
      <c r="K186" s="26" t="str">
        <f t="shared" si="18"/>
        <v>SI</v>
      </c>
      <c r="L186" s="29" t="s">
        <v>127</v>
      </c>
      <c r="M186" s="30" t="s">
        <v>105</v>
      </c>
      <c r="N186" s="32"/>
      <c r="O186" s="32" t="str">
        <f>VLOOKUP($G186,'Hoja 10'!$F$4:$AA1057, 19,0)</f>
        <v>LAUNCH</v>
      </c>
      <c r="P186" s="32" t="str">
        <f>VLOOKUP($G186,'Hoja 10'!$F$4:$AA1057, 20,0)</f>
        <v>D3.TOC317</v>
      </c>
      <c r="Q186" s="33" t="str">
        <f>VLOOKUP($G186,'Hoja 10'!$F$4:$AA1057, 21,0)</f>
        <v>https://tesinperu.com/product/recuperador-de-aceite-por-succion-y-gravedad-72-l-launch/</v>
      </c>
      <c r="R186" s="86" t="s">
        <v>2149</v>
      </c>
      <c r="S186" s="44" t="b">
        <v>1</v>
      </c>
      <c r="T186" s="39" t="str">
        <f>IFERROR(__xludf.DUMMYFUNCTION(" IF
( VLOOKUP($G186,IMPORTRANGE(""https://docs.google.com/spreadsheets/d/1Gpl6jkTg7sL4VDNimUm3S9Vi1i95esohXCF3wuKOE8c"", ""'CONSOLIDADO'!G5:AB""), 10, 0) &lt;&gt; 0, 
IFERROR(VLOOKUP($G186,IMPORTRANGE(""https://docs.google.com/spreadsheets/d/1Gpl6jkTg7sL4VDNimU"&amp;"m3S9Vi1i95esohXCF3wuKOE8c"", ""'CONSOLIDADO'!G5:AB""), 17, 0), ""-""),
""""
)"),"LAUNCH")</f>
        <v>LAUNCH</v>
      </c>
      <c r="U186" s="39" t="str">
        <f>IFERROR(__xludf.DUMMYFUNCTION(" IF
( VLOOKUP($G186,IMPORTRANGE(""https://docs.google.com/spreadsheets/d/1Gpl6jkTg7sL4VDNimUm3S9Vi1i95esohXCF3wuKOE8c"", ""'CONSOLIDADO'!G5:AB""), 10, 0) &lt;&gt; 0, 
IFERROR(VLOOKUP($G186,IMPORTRANGE(""https://docs.google.com/spreadsheets/d/1Gpl6jkTg7sL4VDNimU"&amp;"m3S9Vi1i95esohXCF3wuKOE8c"", ""'CONSOLIDADO'!G5:AB""), 18, 0), ""-""),
""""
)"),"TOC-317")</f>
        <v>TOC-317</v>
      </c>
      <c r="V186" s="39" t="str">
        <f>IFERROR(__xludf.DUMMYFUNCTION(" IF
( VLOOKUP($G186,IMPORTRANGE(""https://docs.google.com/spreadsheets/d/1Gpl6jkTg7sL4VDNimUm3S9Vi1i95esohXCF3wuKOE8c"", ""'CONSOLIDADO'!G5:AB""), 10, 0) &lt;&gt; 0, 
IFERROR(VLOOKUP($G186,IMPORTRANGE(""https://docs.google.com/spreadsheets/d/1Gpl6jkTg7sL4VDNimU"&amp;"m3S9Vi1i95esohXCF3wuKOE8c"", ""'CONSOLIDADO'!G5:AB""), 17, 0), ""-""),
""""
)"),"LAUNCH")</f>
        <v>LAUNCH</v>
      </c>
      <c r="W186" s="39" t="str">
        <f>IFERROR(__xludf.DUMMYFUNCTION(" IF
( VLOOKUP($G186,IMPORTRANGE(""https://docs.google.com/spreadsheets/d/1Gpl6jkTg7sL4VDNimUm3S9Vi1i95esohXCF3wuKOE8c"", ""'CONSOLIDADO'!G5:AB""), 10, 0) &lt;&gt; 0, 
IFERROR(VLOOKUP($G186,IMPORTRANGE(""https://docs.google.com/spreadsheets/d/1Gpl6jkTg7sL4VDNimU"&amp;"m3S9Vi1i95esohXCF3wuKOE8c"", ""'CONSOLIDADO'!G5:AB""), 18, 0), ""-""),
""""
)"),"TOC-317")</f>
        <v>TOC-317</v>
      </c>
      <c r="X186" s="39" t="b">
        <f t="shared" si="22"/>
        <v>1</v>
      </c>
      <c r="Y186" s="120" t="str">
        <f>IFERROR(__xludf.DUMMYFUNCTION(" IF
( VLOOKUP($G186,IMPORTRANGE(""https://docs.google.com/spreadsheets/d/1Gpl6jkTg7sL4VDNimUm3S9Vi1i95esohXCF3wuKOE8c"", ""'CONSOLIDADO'!G5:AB""), 10, 0) &lt;&gt; 0, 
IFERROR(VLOOKUP($G186,IMPORTRANGE(""https://docs.google.com/spreadsheets/d/1Gpl6jkTg7sL4VDNimU"&amp;"m3S9Vi1i95esohXCF3wuKOE8c"", ""'CONSOLIDADO'!G5:AB""), 19, 0), ""-""),
""""
)"),"https://tesinperu.com/product/recuperador-de-aceite-por-succion-y-gravedad-72-l-launch/")</f>
        <v>https://tesinperu.com/product/recuperador-de-aceite-por-succion-y-gravedad-72-l-launch/</v>
      </c>
      <c r="Z186" s="37" t="str">
        <f>IFERROR(__xludf.DUMMYFUNCTION("IFERROR(VLOOKUP(G186,IMPORTRANGE(""https://docs.google.com/spreadsheets/d/12RxCea4e5ggM7QGn1XE3FbLQa_-QbCNdBi90OdPjRqg"", ""'Plan de Compras'!D4:Q""), 12, 0), ""NO ESTÁ EN REQ"")"),"Técnica")</f>
        <v>Técnica</v>
      </c>
      <c r="AA186" s="37" t="str">
        <f>IFERROR(__xludf.DUMMYFUNCTION("IFERROR(VLOOKUP(G186,IMPORTRANGE(""https://docs.google.com/spreadsheets/d/12RxCea4e5ggM7QGn1XE3FbLQa_-QbCNdBi90OdPjRqg"", ""'Plan de Compras'!D4:Q""), 13, 0), """")"),"INTERNACIONAL")</f>
        <v>INTERNACIONAL</v>
      </c>
      <c r="AB186" s="32" t="str">
        <f>IFERROR(__xludf.DUMMYFUNCTION("IFERROR(VLOOKUP(G186,IMPORTRANGE(""https://docs.google.com/spreadsheets/d/12RxCea4e5ggM7QGn1XE3FbLQa_-QbCNdBi90OdPjRqg"", ""'Plan de Compras'!D4:Q""), 14, 0), """")"),"GEYDI")</f>
        <v>GEYDI</v>
      </c>
      <c r="AC186" s="72" t="str">
        <f>IFERROR(__xludf.DUMMYFUNCTION("IFERROR(VLOOKUP(G186,IMPORTRANGE(""https://docs.google.com/spreadsheets/d/12RxCea4e5ggM7QGn1XE3FbLQa_-QbCNdBi90OdPjRqg"", ""'Plan de Compras'!D4:Q""), 4, 0), """")"),"RECOLECTOR DE ACEITE")</f>
        <v>RECOLECTOR DE ACEITE</v>
      </c>
      <c r="AD186" s="37" t="str">
        <f>IFERROR(__xludf.DUMMYFUNCTION("IFERROR(IF(OR(C186=TRUE,C186=""""),VLOOKUP(G186,IMPORTRANGE(""https://docs.google.com/spreadsheets/d/1z9A1Wq-kKrhRNG5RS2a2fKpY1wIhSVz2ZNmP2mOl588/edit?usp=sharing"",""REQ VF!E4:H""),4,0),""NO APLICA""),""GENERAR REQ"")"),"GENERAR REQ")</f>
        <v>GENERAR REQ</v>
      </c>
      <c r="AE186" s="32" t="str">
        <f>IFERROR(__xludf.DUMMYFUNCTION("IFERROR(QUERY(IMPORTRANGE(""https://docs.google.com/spreadsheets/d/1z9A1Wq-kKrhRNG5RS2a2fKpY1wIhSVz2ZNmP2mOl588/edit?usp=sharing"",""REQ VF!E4:Q""),""SELECT Col10, Col11, Col12 WHERE Col1 = '""&amp;G186&amp;""'"",0),""NO APLICA"")"),"NO APLICA")</f>
        <v>NO APLICA</v>
      </c>
      <c r="AF186" s="32"/>
      <c r="AG186" s="32"/>
      <c r="AH186" s="8" t="s">
        <v>52</v>
      </c>
      <c r="AI186" s="8"/>
    </row>
    <row r="187">
      <c r="A187" s="43">
        <v>119.0</v>
      </c>
      <c r="B187" s="43" t="b">
        <v>1</v>
      </c>
      <c r="C187" s="26" t="b">
        <v>1</v>
      </c>
      <c r="D187" s="26" t="s">
        <v>35</v>
      </c>
      <c r="E187" s="26" t="s">
        <v>1510</v>
      </c>
      <c r="F187" s="59" t="s">
        <v>2150</v>
      </c>
      <c r="G187" s="37" t="s">
        <v>2150</v>
      </c>
      <c r="H187" s="82" t="s">
        <v>2151</v>
      </c>
      <c r="I187" s="43">
        <f>SUMIFS('Hoja 10'!$O:$O,'Hoja 10'!$F:$F,$G187)</f>
        <v>16</v>
      </c>
      <c r="J187" s="26">
        <f>IFERROR(__xludf.DUMMYFUNCTION("VLOOKUP(G187,IMPORTRANGE(""https://docs.google.com/spreadsheets/d/12RxCea4e5ggM7QGn1XE3FbLQa_-QbCNdBi90OdPjRqg/edit?gid=1692403370#gid=1692403370"", ""'Plan de Compras'!D4:2432""), 8,0)"),16.0)</f>
        <v>16</v>
      </c>
      <c r="K187" s="26" t="str">
        <f t="shared" si="18"/>
        <v>SI</v>
      </c>
      <c r="L187" s="29" t="s">
        <v>39</v>
      </c>
      <c r="M187" s="30" t="s">
        <v>40</v>
      </c>
      <c r="N187" s="32"/>
      <c r="O187" s="32" t="str">
        <f>VLOOKUP($G187,'Hoja 10'!$F$4:$AA1057, 19,0)</f>
        <v>ATC</v>
      </c>
      <c r="P187" s="32" t="str">
        <f>VLOOKUP($G187,'Hoja 10'!$F$4:$AA1057, 20,0)</f>
        <v>ATC</v>
      </c>
      <c r="Q187" s="33" t="str">
        <f>VLOOKUP($G187,'Hoja 10'!$F$4:$AA1057, 21,0)</f>
        <v>https://www.alphaaquaculture.pe/producto/refractometro-de-0-100-oo-salinidad/?srsltid=AfmBOoqgqddgJBwCZTYEReZmqJ944KJthQZXRd32j5WhA9tcF_2Kb57C</v>
      </c>
      <c r="R187" s="86" t="s">
        <v>2152</v>
      </c>
      <c r="S187" s="34" t="b">
        <v>1</v>
      </c>
      <c r="T187" s="39" t="str">
        <f>IFERROR(__xludf.DUMMYFUNCTION(" IF
( VLOOKUP($G187,IMPORTRANGE(""https://docs.google.com/spreadsheets/d/1Gpl6jkTg7sL4VDNimUm3S9Vi1i95esohXCF3wuKOE8c"", ""'CONSOLIDADO'!G5:AB""), 10, 0) &lt;&gt; 0, 
IFERROR(VLOOKUP($G187,IMPORTRANGE(""https://docs.google.com/spreadsheets/d/1Gpl6jkTg7sL4VDNimU"&amp;"m3S9Vi1i95esohXCF3wuKOE8c"", ""'CONSOLIDADO'!G5:AB""), 17, 0), ""-""),
""""
)"),"ATC")</f>
        <v>ATC</v>
      </c>
      <c r="U187" s="39" t="s">
        <v>2153</v>
      </c>
      <c r="V187" s="39" t="str">
        <f>IFERROR(__xludf.DUMMYFUNCTION(" IF
( VLOOKUP($G187,IMPORTRANGE(""https://docs.google.com/spreadsheets/d/1Gpl6jkTg7sL4VDNimUm3S9Vi1i95esohXCF3wuKOE8c"", ""'CONSOLIDADO'!G5:AB""), 10, 0) &lt;&gt; 0, 
IFERROR(VLOOKUP($G187,IMPORTRANGE(""https://docs.google.com/spreadsheets/d/1Gpl6jkTg7sL4VDNimU"&amp;"m3S9Vi1i95esohXCF3wuKOE8c"", ""'CONSOLIDADO'!G5:AB""), 17, 0), ""-""),
""""
)"),"ATC")</f>
        <v>ATC</v>
      </c>
      <c r="W187" s="39" t="str">
        <f>IFERROR(__xludf.DUMMYFUNCTION(" IF
( VLOOKUP($G187,IMPORTRANGE(""https://docs.google.com/spreadsheets/d/1Gpl6jkTg7sL4VDNimUm3S9Vi1i95esohXCF3wuKOE8c"", ""'CONSOLIDADO'!G5:AB""), 10, 0) &lt;&gt; 0, 
IFERROR(VLOOKUP($G187,IMPORTRANGE(""https://docs.google.com/spreadsheets/d/1Gpl6jkTg7sL4VDNimU"&amp;"m3S9Vi1i95esohXCF3wuKOE8c"", ""'CONSOLIDADO'!G5:AB""), 18, 0), ""-""),
""""
)"),"0-32% BRIX")</f>
        <v>0-32% BRIX</v>
      </c>
      <c r="X187" s="39" t="b">
        <f t="shared" si="22"/>
        <v>0</v>
      </c>
      <c r="Y187" s="110" t="str">
        <f>IFERROR(__xludf.DUMMYFUNCTION(" IF
( VLOOKUP($G187,IMPORTRANGE(""https://docs.google.com/spreadsheets/d/1Gpl6jkTg7sL4VDNimUm3S9Vi1i95esohXCF3wuKOE8c"", ""'CONSOLIDADO'!G5:AB""), 10, 0) &lt;&gt; 0, 
IFERROR(VLOOKUP($G187,IMPORTRANGE(""https://docs.google.com/spreadsheets/d/1Gpl6jkTg7sL4VDNimU"&amp;"m3S9Vi1i95esohXCF3wuKOE8c"", ""'CONSOLIDADO'!G5:AB""), 19, 0), ""-""),
""""
)"),"")</f>
        <v/>
      </c>
      <c r="Z187" s="37" t="str">
        <f>IFERROR(__xludf.DUMMYFUNCTION("IFERROR(VLOOKUP(G187,IMPORTRANGE(""https://docs.google.com/spreadsheets/d/12RxCea4e5ggM7QGn1XE3FbLQa_-QbCNdBi90OdPjRqg"", ""'Plan de Compras'!D4:Q""), 12, 0), ""NO ESTÁ EN REQ"")"),"Técnica")</f>
        <v>Técnica</v>
      </c>
      <c r="AA187" s="37" t="str">
        <f>IFERROR(__xludf.DUMMYFUNCTION("IFERROR(VLOOKUP(G187,IMPORTRANGE(""https://docs.google.com/spreadsheets/d/12RxCea4e5ggM7QGn1XE3FbLQa_-QbCNdBi90OdPjRqg"", ""'Plan de Compras'!D4:Q""), 13, 0), """")"),"NACIONAL")</f>
        <v>NACIONAL</v>
      </c>
      <c r="AB187" s="32" t="str">
        <f>IFERROR(__xludf.DUMMYFUNCTION("IFERROR(VLOOKUP(G187,IMPORTRANGE(""https://docs.google.com/spreadsheets/d/12RxCea4e5ggM7QGn1XE3FbLQa_-QbCNdBi90OdPjRqg"", ""'Plan de Compras'!D4:Q""), 14, 0), """")"),"JESSICA")</f>
        <v>JESSICA</v>
      </c>
      <c r="AC187" s="72" t="str">
        <f>IFERROR(__xludf.DUMMYFUNCTION("IFERROR(VLOOKUP(G187,IMPORTRANGE(""https://docs.google.com/spreadsheets/d/12RxCea4e5ggM7QGn1XE3FbLQa_-QbCNdBi90OdPjRqg"", ""'Plan de Compras'!D4:Q""), 4, 0), """")"),"REFRACTOMETRO MANUAL  0-32")</f>
        <v>REFRACTOMETRO MANUAL  0-32</v>
      </c>
      <c r="AD187" s="37" t="str">
        <f>IFERROR(__xludf.DUMMYFUNCTION("IFERROR(IF(OR(C187=TRUE,C187=""""),VLOOKUP(G187,IMPORTRANGE(""https://docs.google.com/spreadsheets/d/1z9A1Wq-kKrhRNG5RS2a2fKpY1wIhSVz2ZNmP2mOl588/edit?usp=sharing"",""REQ VF!E4:H""),4,0),""NO APLICA""),""GENERAR REQ"")"),"GENERAR REQ")</f>
        <v>GENERAR REQ</v>
      </c>
      <c r="AE187" s="32" t="str">
        <f>IFERROR(__xludf.DUMMYFUNCTION("IFERROR(QUERY(IMPORTRANGE(""https://docs.google.com/spreadsheets/d/1z9A1Wq-kKrhRNG5RS2a2fKpY1wIhSVz2ZNmP2mOl588/edit?usp=sharing"",""REQ VF!E4:Q""),""SELECT Col10, Col11, Col12 WHERE Col1 = '""&amp;G187&amp;""'"",0),""NO APLICA"")"),"NO APLICA")</f>
        <v>NO APLICA</v>
      </c>
      <c r="AF187" s="32"/>
      <c r="AG187" s="32"/>
      <c r="AH187" s="13"/>
      <c r="AI187" s="13"/>
    </row>
    <row r="188">
      <c r="A188" s="43"/>
      <c r="B188" s="43" t="b">
        <v>0</v>
      </c>
      <c r="C188" s="26" t="b">
        <v>0</v>
      </c>
      <c r="D188" s="26" t="s">
        <v>42</v>
      </c>
      <c r="E188" s="26" t="s">
        <v>1510</v>
      </c>
      <c r="F188" s="59" t="s">
        <v>2150</v>
      </c>
      <c r="G188" s="39" t="s">
        <v>2154</v>
      </c>
      <c r="H188" s="82" t="s">
        <v>118</v>
      </c>
      <c r="I188" s="43">
        <f>1*I187</f>
        <v>16</v>
      </c>
      <c r="J188" s="26" t="str">
        <f>IFERROR(__xludf.DUMMYFUNCTION("VLOOKUP(G188,IMPORTRANGE(""https://docs.google.com/spreadsheets/d/12RxCea4e5ggM7QGn1XE3FbLQa_-QbCNdBi90OdPjRqg/edit?gid=1692403370#gid=1692403370"", ""'Plan de Compras'!D4:2432""), 8,0)"),"#N/A")</f>
        <v>#N/A</v>
      </c>
      <c r="K188" s="26" t="str">
        <f t="shared" si="18"/>
        <v>-</v>
      </c>
      <c r="L188" s="29"/>
      <c r="M188" s="61"/>
      <c r="N188" s="32"/>
      <c r="O188" s="32"/>
      <c r="P188" s="32"/>
      <c r="Q188" s="41"/>
      <c r="R188" s="32"/>
      <c r="S188" s="34" t="b">
        <v>0</v>
      </c>
      <c r="T188" s="39" t="s">
        <v>2155</v>
      </c>
      <c r="U188" s="61" t="s">
        <v>683</v>
      </c>
      <c r="V188" s="39"/>
      <c r="W188" s="39"/>
      <c r="X188" s="39"/>
      <c r="Y188" s="32"/>
      <c r="Z188" s="37"/>
      <c r="AA188" s="37"/>
      <c r="AB188" s="32"/>
      <c r="AC188" s="72"/>
      <c r="AD188" s="37" t="str">
        <f>IFERROR(__xludf.DUMMYFUNCTION("IFERROR(IF(OR(C188=TRUE,C188=""""),VLOOKUP(G188,IMPORTRANGE(""https://docs.google.com/spreadsheets/d/1z9A1Wq-kKrhRNG5RS2a2fKpY1wIhSVz2ZNmP2mOl588/edit?usp=sharing"",""REQ VF!E4:H""),4,0),""NO APLICA""),""GENERAR REQ"")"),"NO APLICA")</f>
        <v>NO APLICA</v>
      </c>
      <c r="AE188" s="32" t="str">
        <f>IFERROR(__xludf.DUMMYFUNCTION("IFERROR(QUERY(IMPORTRANGE(""https://docs.google.com/spreadsheets/d/1z9A1Wq-kKrhRNG5RS2a2fKpY1wIhSVz2ZNmP2mOl588/edit?usp=sharing"",""REQ VF!E4:Q""),""SELECT Col10, Col11, Col12 WHERE Col1 = '""&amp;G188&amp;""'"",0),""NO APLICA"")"),"NO APLICA")</f>
        <v>NO APLICA</v>
      </c>
      <c r="AF188" s="32"/>
      <c r="AG188" s="32"/>
      <c r="AH188" s="13"/>
      <c r="AI188" s="13"/>
    </row>
    <row r="189">
      <c r="A189" s="43">
        <v>120.0</v>
      </c>
      <c r="B189" s="43" t="b">
        <v>1</v>
      </c>
      <c r="C189" s="26" t="b">
        <v>1</v>
      </c>
      <c r="D189" s="26" t="s">
        <v>35</v>
      </c>
      <c r="E189" s="26" t="s">
        <v>1510</v>
      </c>
      <c r="F189" s="59" t="s">
        <v>2156</v>
      </c>
      <c r="G189" s="37" t="s">
        <v>2156</v>
      </c>
      <c r="H189" s="82" t="s">
        <v>2157</v>
      </c>
      <c r="I189" s="43">
        <f>SUMIFS('Hoja 10'!$O:$O,'Hoja 10'!$F:$F,$G189)</f>
        <v>16</v>
      </c>
      <c r="J189" s="26">
        <f>IFERROR(__xludf.DUMMYFUNCTION("VLOOKUP(G189,IMPORTRANGE(""https://docs.google.com/spreadsheets/d/12RxCea4e5ggM7QGn1XE3FbLQa_-QbCNdBi90OdPjRqg/edit?gid=1692403370#gid=1692403370"", ""'Plan de Compras'!D4:2432""), 8,0)"),16.0)</f>
        <v>16</v>
      </c>
      <c r="K189" s="26" t="str">
        <f t="shared" si="18"/>
        <v>SI</v>
      </c>
      <c r="L189" s="29" t="s">
        <v>39</v>
      </c>
      <c r="M189" s="30" t="s">
        <v>40</v>
      </c>
      <c r="N189" s="32"/>
      <c r="O189" s="32" t="str">
        <f>VLOOKUP($G189,'Hoja 10'!$F$4:$AA1057, 19,0)</f>
        <v>OEM</v>
      </c>
      <c r="P189" s="32" t="str">
        <f>VLOOKUP($G189,'Hoja 10'!$F$4:$AA1057, 20,0)</f>
        <v>OEM</v>
      </c>
      <c r="Q189" s="33" t="str">
        <f>VLOOKUP($G189,'Hoja 10'!$F$4:$AA1057, 21,0)</f>
        <v>https://www.promart.pe/refractometro-atc-0-90-brix-azucar-miel-mermelada-jarabe-1000513203/p?srsltid=AfmBOoqqAjdvIYz9rKH9DfV-YQ67t3jKDinZP3GDAplcBc96WOfH8VDW</v>
      </c>
      <c r="R189" s="86" t="s">
        <v>2158</v>
      </c>
      <c r="S189" s="34" t="b">
        <v>1</v>
      </c>
      <c r="T189" s="32" t="str">
        <f>VLOOKUP($G189,'Hoja 10'!$F$4:$AA1057, 19,0)</f>
        <v>OEM</v>
      </c>
      <c r="U189" s="32" t="str">
        <f>VLOOKUP($G189,'Hoja 10'!$F$4:$AA1057, 20,0)</f>
        <v>OEM</v>
      </c>
      <c r="V189" s="39" t="str">
        <f>IFERROR(__xludf.DUMMYFUNCTION(" IF
( VLOOKUP($G189,IMPORTRANGE(""https://docs.google.com/spreadsheets/d/1Gpl6jkTg7sL4VDNimUm3S9Vi1i95esohXCF3wuKOE8c"", ""'CONSOLIDADO'!G5:AB""), 10, 0) &lt;&gt; 0, 
IFERROR(VLOOKUP($G189,IMPORTRANGE(""https://docs.google.com/spreadsheets/d/1Gpl6jkTg7sL4VDNimU"&amp;"m3S9Vi1i95esohXCF3wuKOE8c"", ""'CONSOLIDADO'!G5:AB""), 17, 0), ""-""),
""""
)"),"V-RESOURCING®")</f>
        <v>V-RESOURCING®</v>
      </c>
      <c r="W189" s="39" t="str">
        <f>IFERROR(__xludf.DUMMYFUNCTION(" IF
( VLOOKUP($G189,IMPORTRANGE(""https://docs.google.com/spreadsheets/d/1Gpl6jkTg7sL4VDNimUm3S9Vi1i95esohXCF3wuKOE8c"", ""'CONSOLIDADO'!G5:AB""), 10, 0) &lt;&gt; 0, 
IFERROR(VLOOKUP($G189,IMPORTRANGE(""https://docs.google.com/spreadsheets/d/1Gpl6jkTg7sL4VDNimU"&amp;"m3S9Vi1i95esohXCF3wuKOE8c"", ""'CONSOLIDADO'!G5:AB""), 18, 0), ""-""),
""""
)"),"VLT032")</f>
        <v>VLT032</v>
      </c>
      <c r="X189" s="39" t="b">
        <f>IF(AND(T189=V189,W189=U189),TRUE,FALSE)</f>
        <v>0</v>
      </c>
      <c r="Y189" s="138" t="str">
        <f>VLOOKUP($G189,'Hoja 10'!$F$4:$AA1057, 21,0)</f>
        <v>https://www.promart.pe/refractometro-atc-0-90-brix-azucar-miel-mermelada-jarabe-1000513203/p?srsltid=AfmBOoqqAjdvIYz9rKH9DfV-YQ67t3jKDinZP3GDAplcBc96WOfH8VDW</v>
      </c>
      <c r="Z189" s="37" t="str">
        <f>IFERROR(__xludf.DUMMYFUNCTION("IFERROR(VLOOKUP(G189,IMPORTRANGE(""https://docs.google.com/spreadsheets/d/12RxCea4e5ggM7QGn1XE3FbLQa_-QbCNdBi90OdPjRqg"", ""'Plan de Compras'!D4:Q""), 12, 0), ""NO ESTÁ EN REQ"")"),"Técnica")</f>
        <v>Técnica</v>
      </c>
      <c r="AA189" s="37" t="str">
        <f>IFERROR(__xludf.DUMMYFUNCTION("IFERROR(VLOOKUP(G189,IMPORTRANGE(""https://docs.google.com/spreadsheets/d/12RxCea4e5ggM7QGn1XE3FbLQa_-QbCNdBi90OdPjRqg"", ""'Plan de Compras'!D4:Q""), 13, 0), """")"),"NACIONAL")</f>
        <v>NACIONAL</v>
      </c>
      <c r="AB189" s="32" t="str">
        <f>IFERROR(__xludf.DUMMYFUNCTION("IFERROR(VLOOKUP(G189,IMPORTRANGE(""https://docs.google.com/spreadsheets/d/12RxCea4e5ggM7QGn1XE3FbLQa_-QbCNdBi90OdPjRqg"", ""'Plan de Compras'!D4:Q""), 14, 0), """")"),"DIANA")</f>
        <v>DIANA</v>
      </c>
      <c r="AC189" s="72" t="str">
        <f>IFERROR(__xludf.DUMMYFUNCTION("IFERROR(VLOOKUP(G189,IMPORTRANGE(""https://docs.google.com/spreadsheets/d/12RxCea4e5ggM7QGn1XE3FbLQa_-QbCNdBi90OdPjRqg"", ""'Plan de Compras'!D4:Q""), 4, 0), """")"),"REFRACTOMETRO MANUAL  0-90")</f>
        <v>REFRACTOMETRO MANUAL  0-90</v>
      </c>
      <c r="AD189" s="37" t="str">
        <f>IFERROR(__xludf.DUMMYFUNCTION("IFERROR(IF(OR(C189=TRUE,C189=""""),VLOOKUP(G189,IMPORTRANGE(""https://docs.google.com/spreadsheets/d/1z9A1Wq-kKrhRNG5RS2a2fKpY1wIhSVz2ZNmP2mOl588/edit?usp=sharing"",""REQ VF!E4:H""),4,0),""NO APLICA""),""GENERAR REQ"")"),"GENERAR REQ")</f>
        <v>GENERAR REQ</v>
      </c>
      <c r="AE189" s="32" t="str">
        <f>IFERROR(__xludf.DUMMYFUNCTION("IFERROR(QUERY(IMPORTRANGE(""https://docs.google.com/spreadsheets/d/1z9A1Wq-kKrhRNG5RS2a2fKpY1wIhSVz2ZNmP2mOl588/edit?usp=sharing"",""REQ VF!E4:Q""),""SELECT Col10, Col11, Col12 WHERE Col1 = '""&amp;G189&amp;""'"",0),""NO APLICA"")"),"NO APLICA")</f>
        <v>NO APLICA</v>
      </c>
      <c r="AF189" s="32"/>
      <c r="AG189" s="32"/>
      <c r="AH189" s="13"/>
      <c r="AI189" s="13"/>
    </row>
    <row r="190">
      <c r="A190" s="43"/>
      <c r="B190" s="43" t="b">
        <v>0</v>
      </c>
      <c r="C190" s="26" t="b">
        <v>0</v>
      </c>
      <c r="D190" s="26" t="s">
        <v>42</v>
      </c>
      <c r="E190" s="26" t="s">
        <v>1510</v>
      </c>
      <c r="F190" s="59" t="s">
        <v>2156</v>
      </c>
      <c r="G190" s="39" t="s">
        <v>2159</v>
      </c>
      <c r="H190" s="82" t="s">
        <v>118</v>
      </c>
      <c r="I190" s="43">
        <f>1*I189</f>
        <v>16</v>
      </c>
      <c r="J190" s="26" t="str">
        <f>IFERROR(__xludf.DUMMYFUNCTION("VLOOKUP(G190,IMPORTRANGE(""https://docs.google.com/spreadsheets/d/12RxCea4e5ggM7QGn1XE3FbLQa_-QbCNdBi90OdPjRqg/edit?gid=1692403370#gid=1692403370"", ""'Plan de Compras'!D4:2432""), 8,0)"),"#N/A")</f>
        <v>#N/A</v>
      </c>
      <c r="K190" s="26" t="str">
        <f t="shared" si="18"/>
        <v>-</v>
      </c>
      <c r="L190" s="29"/>
      <c r="M190" s="61"/>
      <c r="N190" s="32"/>
      <c r="O190" s="32"/>
      <c r="P190" s="32"/>
      <c r="Q190" s="41"/>
      <c r="R190" s="32"/>
      <c r="S190" s="34" t="b">
        <v>0</v>
      </c>
      <c r="T190" s="37" t="s">
        <v>2160</v>
      </c>
      <c r="U190" s="39" t="s">
        <v>683</v>
      </c>
      <c r="V190" s="37"/>
      <c r="W190" s="37"/>
      <c r="X190" s="37"/>
      <c r="Y190" s="139"/>
      <c r="Z190" s="37"/>
      <c r="AA190" s="37"/>
      <c r="AB190" s="32"/>
      <c r="AC190" s="72"/>
      <c r="AD190" s="37" t="str">
        <f>IFERROR(__xludf.DUMMYFUNCTION("IFERROR(IF(OR(C190=TRUE,C190=""""),VLOOKUP(G190,IMPORTRANGE(""https://docs.google.com/spreadsheets/d/1z9A1Wq-kKrhRNG5RS2a2fKpY1wIhSVz2ZNmP2mOl588/edit?usp=sharing"",""REQ VF!E4:H""),4,0),""NO APLICA""),""GENERAR REQ"")"),"NO APLICA")</f>
        <v>NO APLICA</v>
      </c>
      <c r="AE190" s="32" t="str">
        <f>IFERROR(__xludf.DUMMYFUNCTION("IFERROR(QUERY(IMPORTRANGE(""https://docs.google.com/spreadsheets/d/1z9A1Wq-kKrhRNG5RS2a2fKpY1wIhSVz2ZNmP2mOl588/edit?usp=sharing"",""REQ VF!E4:Q""),""SELECT Col10, Col11, Col12 WHERE Col1 = '""&amp;G190&amp;""'"",0),""NO APLICA"")"),"NO APLICA")</f>
        <v>NO APLICA</v>
      </c>
      <c r="AF190" s="32"/>
      <c r="AG190" s="32"/>
      <c r="AH190" s="13"/>
      <c r="AI190" s="13"/>
    </row>
    <row r="191">
      <c r="A191" s="43">
        <v>121.0</v>
      </c>
      <c r="B191" s="43" t="b">
        <v>1</v>
      </c>
      <c r="C191" s="26" t="b">
        <v>0</v>
      </c>
      <c r="D191" s="26" t="s">
        <v>35</v>
      </c>
      <c r="E191" s="26" t="s">
        <v>1510</v>
      </c>
      <c r="F191" s="59" t="s">
        <v>2161</v>
      </c>
      <c r="G191" s="37" t="s">
        <v>2161</v>
      </c>
      <c r="H191" s="82" t="s">
        <v>2162</v>
      </c>
      <c r="I191" s="43">
        <f>SUMIFS('Hoja 10'!$O:$O,'Hoja 10'!$F:$F,$G191)</f>
        <v>1</v>
      </c>
      <c r="J191" s="26" t="str">
        <f>IFERROR(__xludf.DUMMYFUNCTION("VLOOKUP(G191,IMPORTRANGE(""https://docs.google.com/spreadsheets/d/12RxCea4e5ggM7QGn1XE3FbLQa_-QbCNdBi90OdPjRqg/edit?gid=1692403370#gid=1692403370"", ""'Plan de Compras'!D4:2432""), 8,0)"),"#N/A")</f>
        <v>#N/A</v>
      </c>
      <c r="K191" s="26" t="str">
        <f t="shared" si="18"/>
        <v>-</v>
      </c>
      <c r="L191" s="29" t="s">
        <v>91</v>
      </c>
      <c r="M191" s="30" t="s">
        <v>92</v>
      </c>
      <c r="N191" s="32"/>
      <c r="O191" s="32" t="str">
        <f>VLOOKUP($G191,'Hoja 10'!$F$4:$AA1057, 19,0)</f>
        <v>CUTWELD</v>
      </c>
      <c r="P191" s="32" t="str">
        <f>VLOOKUP($G191,'Hoja 10'!$F$4:$AA1057, 20,0)</f>
        <v>RGC100FL-CW</v>
      </c>
      <c r="Q191" s="33" t="str">
        <f>VLOOKUP($G191,'Hoja 10'!$F$4:$AA1057, 21,0)</f>
        <v>https://www.amazon.com/SPARC-Regulador-arg%C3%B3n-medidor-flujo/dp/B01MU57K05/ref=sr_1_2_sspa?dib=eyJ2IjoiMSJ9.zeD1AyzrDGj7gZ9wSY9L0oNo5VpzYcWVun7PjNzjSL4xscSfU06stjLXY9Mz82Z5jvmHwDPF23uRkyRuohSrVcBL2QvIX0UUscqvbU76hxa8___Od_0G-J232V89j-pqjn9rIHhuDsWRITyLqLFXP_7zi2cg2iuB_-O2OiprES8cHp1S92PH6SHZf56nMu1wLk88wVSxdj-taO5fbayiZipug65xJaHYKPlRwHHv-A0.HTsSevZ0PE7UB_vdw-oUCkxWb_kLZ003TGT2zN_D_oI&amp;dib_tag=se&amp;keywords=regulador+de+argon&amp;qid=1759267851&amp;sr=8-2-spons&amp;sp_csd=d2lkZ2V0TmFtZT1zcF9hdGY&amp;psc=1</v>
      </c>
      <c r="R191" s="86" t="s">
        <v>2163</v>
      </c>
      <c r="S191" s="34" t="b">
        <v>0</v>
      </c>
      <c r="T191" s="39"/>
      <c r="U191" s="39"/>
      <c r="V191" s="39" t="str">
        <f>IFERROR(__xludf.DUMMYFUNCTION(" IF
( VLOOKUP($G191,IMPORTRANGE(""https://docs.google.com/spreadsheets/d/1Gpl6jkTg7sL4VDNimUm3S9Vi1i95esohXCF3wuKOE8c"", ""'CONSOLIDADO'!G5:AB""), 10, 0) &lt;&gt; 0, 
IFERROR(VLOOKUP($G191,IMPORTRANGE(""https://docs.google.com/spreadsheets/d/1Gpl6jkTg7sL4VDNimU"&amp;"m3S9Vi1i95esohXCF3wuKOE8c"", ""'CONSOLIDADO'!G5:AB""), 17, 0), ""-""),
""""
)"),"SAFARI")</f>
        <v>SAFARI</v>
      </c>
      <c r="W191" s="39" t="str">
        <f>IFERROR(__xludf.DUMMYFUNCTION(" IF
( VLOOKUP($G191,IMPORTRANGE(""https://docs.google.com/spreadsheets/d/1Gpl6jkTg7sL4VDNimUm3S9Vi1i95esohXCF3wuKOE8c"", ""'CONSOLIDADO'!G5:AB""), 10, 0) &lt;&gt; 0, 
IFERROR(VLOOKUP($G191,IMPORTRANGE(""https://docs.google.com/spreadsheets/d/1Gpl6jkTg7sL4VDNimU"&amp;"m3S9Vi1i95esohXCF3wuKOE8c"", ""'CONSOLIDADO'!G5:AB""), 18, 0), ""-""),
""""
)"),"ZR-71SC")</f>
        <v>ZR-71SC</v>
      </c>
      <c r="X191" s="39" t="b">
        <f t="shared" ref="X191:X199" si="23">IF(AND(T191=V191,W191=U191),TRUE,FALSE)</f>
        <v>0</v>
      </c>
      <c r="Y191" s="139"/>
      <c r="Z191" s="37" t="str">
        <f>IFERROR(__xludf.DUMMYFUNCTION("IFERROR(VLOOKUP(G191,IMPORTRANGE(""https://docs.google.com/spreadsheets/d/12RxCea4e5ggM7QGn1XE3FbLQa_-QbCNdBi90OdPjRqg"", ""'Plan de Compras'!D4:Q""), 12, 0), ""NO ESTÁ EN REQ"")"),"NO ESTÁ EN REQ")</f>
        <v>NO ESTÁ EN REQ</v>
      </c>
      <c r="AA191" s="37" t="str">
        <f>IFERROR(__xludf.DUMMYFUNCTION("IFERROR(VLOOKUP(G191,IMPORTRANGE(""https://docs.google.com/spreadsheets/d/12RxCea4e5ggM7QGn1XE3FbLQa_-QbCNdBi90OdPjRqg"", ""'Plan de Compras'!D4:Q""), 13, 0), """")"),"")</f>
        <v/>
      </c>
      <c r="AB191" s="32" t="str">
        <f>IFERROR(__xludf.DUMMYFUNCTION("IFERROR(VLOOKUP(G191,IMPORTRANGE(""https://docs.google.com/spreadsheets/d/12RxCea4e5ggM7QGn1XE3FbLQa_-QbCNdBi90OdPjRqg"", ""'Plan de Compras'!D4:Q""), 14, 0), """")"),"")</f>
        <v/>
      </c>
      <c r="AC191" s="72" t="str">
        <f>IFERROR(__xludf.DUMMYFUNCTION("IFERROR(VLOOKUP(G191,IMPORTRANGE(""https://docs.google.com/spreadsheets/d/12RxCea4e5ggM7QGn1XE3FbLQa_-QbCNdBi90OdPjRqg"", ""'Plan de Compras'!D4:Q""), 4, 0), """")"),"")</f>
        <v/>
      </c>
      <c r="AD191" s="37" t="str">
        <f>IFERROR(__xludf.DUMMYFUNCTION("IFERROR(IF(OR(C191=TRUE,C191=""""),VLOOKUP(G191,IMPORTRANGE(""https://docs.google.com/spreadsheets/d/1z9A1Wq-kKrhRNG5RS2a2fKpY1wIhSVz2ZNmP2mOl588/edit?usp=sharing"",""REQ VF!E4:H""),4,0),""NO APLICA""),""GENERAR REQ"")"),"NO APLICA")</f>
        <v>NO APLICA</v>
      </c>
      <c r="AE191" s="32" t="str">
        <f>IFERROR(__xludf.DUMMYFUNCTION("IFERROR(QUERY(IMPORTRANGE(""https://docs.google.com/spreadsheets/d/1z9A1Wq-kKrhRNG5RS2a2fKpY1wIhSVz2ZNmP2mOl588/edit?usp=sharing"",""REQ VF!E4:Q""),""SELECT Col10, Col11, Col12 WHERE Col1 = '""&amp;G191&amp;""'"",0),""NO APLICA"")"),"NO APLICA")</f>
        <v>NO APLICA</v>
      </c>
      <c r="AF191" s="32"/>
      <c r="AG191" s="32"/>
      <c r="AH191" s="13"/>
      <c r="AI191" s="13"/>
    </row>
    <row r="192">
      <c r="A192" s="43">
        <v>122.0</v>
      </c>
      <c r="B192" s="43" t="b">
        <v>1</v>
      </c>
      <c r="C192" s="26" t="b">
        <v>1</v>
      </c>
      <c r="D192" s="26" t="s">
        <v>35</v>
      </c>
      <c r="E192" s="26" t="s">
        <v>1510</v>
      </c>
      <c r="F192" s="59" t="s">
        <v>2164</v>
      </c>
      <c r="G192" s="37" t="s">
        <v>2164</v>
      </c>
      <c r="H192" s="82" t="s">
        <v>2165</v>
      </c>
      <c r="I192" s="43">
        <f>SUMIFS('Hoja 10'!$O:$O,'Hoja 10'!$F:$F,$G192)</f>
        <v>1</v>
      </c>
      <c r="J192" s="26">
        <f>IFERROR(__xludf.DUMMYFUNCTION("VLOOKUP(G192,IMPORTRANGE(""https://docs.google.com/spreadsheets/d/12RxCea4e5ggM7QGn1XE3FbLQa_-QbCNdBi90OdPjRqg/edit?gid=1692403370#gid=1692403370"", ""'Plan de Compras'!D4:2432""), 8,0)"),1.0)</f>
        <v>1</v>
      </c>
      <c r="K192" s="26" t="str">
        <f t="shared" si="18"/>
        <v>SI</v>
      </c>
      <c r="L192" s="29" t="s">
        <v>91</v>
      </c>
      <c r="M192" s="30" t="s">
        <v>92</v>
      </c>
      <c r="N192" s="32"/>
      <c r="O192" s="32" t="str">
        <f>VLOOKUP($G192,'Hoja 10'!$F$4:$AA1057, 19,0)</f>
        <v>SPARC</v>
      </c>
      <c r="P192" s="32" t="str">
        <f>VLOOKUP($G192,'Hoja 10'!$F$4:$AA1057, 20,0)</f>
        <v>SPARC</v>
      </c>
      <c r="Q192" s="33" t="str">
        <f>VLOOKUP($G192,'Hoja 10'!$F$4:$AA1057, 21,0)</f>
        <v>https://www.amazon.com/SPARC-Regulador-arg%C3%B3n-medidor-flujo/dp/B01MU57K05/ref=sr_1_2_sspa?dib=eyJ2IjoiMSJ9.zeD1AyzrDGj7gZ9wSY9L0oNo5VpzYcWVun7PjNzjSL4xscSfU06stjLXY9Mz82Z5jvmHwDPF23uRkyRuohSrVcBL2QvIX0UUscqvbU76hxa8___Od_0G-J232V89j-pqjn9rIHhuDsWRITyLqLFXP_7zi2cg2iuB_-O2OiprES8cHp1S92PH6SHZf56nMu1wLk88wVSxdj-taO5fbayiZipug65xJaHYKPlRwHHv-A0.HTsSevZ0PE7UB_vdw-oUCkxWb_kLZ003TGT2zN_D_oI&amp;dib_tag=se&amp;keywords=regulador+de+argon&amp;qid=1759267851&amp;sr=8-2-spons&amp;sp_csd=d2lkZ2V0TmFtZT1zcF9hdGY&amp;psc=1</v>
      </c>
      <c r="R192" s="86" t="s">
        <v>2166</v>
      </c>
      <c r="S192" s="44" t="b">
        <v>1</v>
      </c>
      <c r="T192" s="39" t="str">
        <f>IFERROR(__xludf.DUMMYFUNCTION(" IF
( VLOOKUP($G192,IMPORTRANGE(""https://docs.google.com/spreadsheets/d/1Gpl6jkTg7sL4VDNimUm3S9Vi1i95esohXCF3wuKOE8c"", ""'CONSOLIDADO'!G5:AB""), 10, 0) &lt;&gt; 0, 
IFERROR(VLOOKUP($G192,IMPORTRANGE(""https://docs.google.com/spreadsheets/d/1Gpl6jkTg7sL4VDNimU"&amp;"m3S9Vi1i95esohXCF3wuKOE8c"", ""'CONSOLIDADO'!G5:AB""), 17, 0), ""-""),
""""
)"),"SPARC")</f>
        <v>SPARC</v>
      </c>
      <c r="U192" s="39" t="str">
        <f>IFERROR(__xludf.DUMMYFUNCTION(" IF
( VLOOKUP($G192,IMPORTRANGE(""https://docs.google.com/spreadsheets/d/1Gpl6jkTg7sL4VDNimUm3S9Vi1i95esohXCF3wuKOE8c"", ""'CONSOLIDADO'!G5:AB""), 10, 0) &lt;&gt; 0, 
IFERROR(VLOOKUP($G192,IMPORTRANGE(""https://docs.google.com/spreadsheets/d/1Gpl6jkTg7sL4VDNimU"&amp;"m3S9Vi1i95esohXCF3wuKOE8c"", ""'CONSOLIDADO'!G5:AB""), 18, 0), ""-""),
""""
)"),"SP00005")</f>
        <v>SP00005</v>
      </c>
      <c r="V192" s="39" t="str">
        <f>IFERROR(__xludf.DUMMYFUNCTION(" IF
( VLOOKUP($G192,IMPORTRANGE(""https://docs.google.com/spreadsheets/d/1Gpl6jkTg7sL4VDNimUm3S9Vi1i95esohXCF3wuKOE8c"", ""'CONSOLIDADO'!G5:AB""), 10, 0) &lt;&gt; 0, 
IFERROR(VLOOKUP($G192,IMPORTRANGE(""https://docs.google.com/spreadsheets/d/1Gpl6jkTg7sL4VDNimU"&amp;"m3S9Vi1i95esohXCF3wuKOE8c"", ""'CONSOLIDADO'!G5:AB""), 17, 0), ""-""),
""""
)"),"SPARC")</f>
        <v>SPARC</v>
      </c>
      <c r="W192" s="39" t="str">
        <f>IFERROR(__xludf.DUMMYFUNCTION(" IF
( VLOOKUP($G192,IMPORTRANGE(""https://docs.google.com/spreadsheets/d/1Gpl6jkTg7sL4VDNimUm3S9Vi1i95esohXCF3wuKOE8c"", ""'CONSOLIDADO'!G5:AB""), 10, 0) &lt;&gt; 0, 
IFERROR(VLOOKUP($G192,IMPORTRANGE(""https://docs.google.com/spreadsheets/d/1Gpl6jkTg7sL4VDNimU"&amp;"m3S9Vi1i95esohXCF3wuKOE8c"", ""'CONSOLIDADO'!G5:AB""), 18, 0), ""-""),
""""
)"),"SP00005")</f>
        <v>SP00005</v>
      </c>
      <c r="X192" s="39" t="b">
        <f t="shared" si="23"/>
        <v>1</v>
      </c>
      <c r="Y192" s="120" t="str">
        <f>IFERROR(__xludf.DUMMYFUNCTION(" IF
( VLOOKUP($G192,IMPORTRANGE(""https://docs.google.com/spreadsheets/d/1Gpl6jkTg7sL4VDNimUm3S9Vi1i95esohXCF3wuKOE8c"", ""'CONSOLIDADO'!G5:AB""), 10, 0) &lt;&gt; 0, 
IFERROR(VLOOKUP($G192,IMPORTRANGE(""https://docs.google.com/spreadsheets/d/1Gpl6jkTg7sL4VDNimU"&amp;"m3S9Vi1i95esohXCF3wuKOE8c"", ""'CONSOLIDADO'!G5:AB""), 19, 0), ""-""),
""""
)"),"https://www.amazon.com/SPARC-Regulador-arg%C3%B3n-medidor-flujo/dp/B01MU57K05/ref=sr_1_2_sspa?dib=eyJ2IjoiMSJ9.zeD1AyzrDGj7gZ9wSY9L0oNo5VpzYcWVun7PjNzjSL4xscSfU06stjLXY9Mz82Z5jvmHwDPF23uRkyRuohSrVcBL2QvIX0UUscqvbU76hxa8___Od_0G-J232V89j-pqjn9rIHhuDsWRITyL"&amp;"qLFXP_7zi2cg2iuB_-O2OiprES8cHp1S92PH6SHZf56nMu1wLk88wVSxdj-taO5fbayiZipug65xJaHYKPlRwHHv-A0.HTsSevZ0PE7UB_vdw-oUCkxWb_kLZ003TGT2zN_D_oI&amp;dib_tag=se&amp;keywords=regulador+de+argon&amp;qid=1759267851&amp;sr=8-2-spons&amp;sp_csd=d2lkZ2V0TmFtZT1zcF9hdGY&amp;psc=1")</f>
        <v>https://www.amazon.com/SPARC-Regulador-arg%C3%B3n-medidor-flujo/dp/B01MU57K05/ref=sr_1_2_sspa?dib=eyJ2IjoiMSJ9.zeD1AyzrDGj7gZ9wSY9L0oNo5VpzYcWVun7PjNzjSL4xscSfU06stjLXY9Mz82Z5jvmHwDPF23uRkyRuohSrVcBL2QvIX0UUscqvbU76hxa8___Od_0G-J232V89j-pqjn9rIHhuDsWRITyLqLFXP_7zi2cg2iuB_-O2OiprES8cHp1S92PH6SHZf56nMu1wLk88wVSxdj-taO5fbayiZipug65xJaHYKPlRwHHv-A0.HTsSevZ0PE7UB_vdw-oUCkxWb_kLZ003TGT2zN_D_oI&amp;dib_tag=se&amp;keywords=regulador+de+argon&amp;qid=1759267851&amp;sr=8-2-spons&amp;sp_csd=d2lkZ2V0TmFtZT1zcF9hdGY&amp;psc=1</v>
      </c>
      <c r="Z192" s="37" t="str">
        <f>IFERROR(__xludf.DUMMYFUNCTION("IFERROR(VLOOKUP(G192,IMPORTRANGE(""https://docs.google.com/spreadsheets/d/12RxCea4e5ggM7QGn1XE3FbLQa_-QbCNdBi90OdPjRqg"", ""'Plan de Compras'!D4:Q""), 12, 0), ""NO ESTÁ EN REQ"")"),"Técnica")</f>
        <v>Técnica</v>
      </c>
      <c r="AA192" s="37" t="str">
        <f>IFERROR(__xludf.DUMMYFUNCTION("IFERROR(VLOOKUP(G192,IMPORTRANGE(""https://docs.google.com/spreadsheets/d/12RxCea4e5ggM7QGn1XE3FbLQa_-QbCNdBi90OdPjRqg"", ""'Plan de Compras'!D4:Q""), 13, 0), """")"),"INTERNACIONAL")</f>
        <v>INTERNACIONAL</v>
      </c>
      <c r="AB192" s="32" t="str">
        <f>IFERROR(__xludf.DUMMYFUNCTION("IFERROR(VLOOKUP(G192,IMPORTRANGE(""https://docs.google.com/spreadsheets/d/12RxCea4e5ggM7QGn1XE3FbLQa_-QbCNdBi90OdPjRqg"", ""'Plan de Compras'!D4:Q""), 14, 0), """")"),"DIEGO ")</f>
        <v>DIEGO </v>
      </c>
      <c r="AC192" s="72" t="str">
        <f>IFERROR(__xludf.DUMMYFUNCTION("IFERROR(VLOOKUP(G192,IMPORTRANGE(""https://docs.google.com/spreadsheets/d/12RxCea4e5ggM7QGn1XE3FbLQa_-QbCNdBi90OdPjRqg"", ""'Plan de Compras'!D4:Q""), 4, 0), """")"),"REGULADOR DE ARGÓN SOLDADOR TIG-MIG SOLDADURA CO2")</f>
        <v>REGULADOR DE ARGÓN SOLDADOR TIG-MIG SOLDADURA CO2</v>
      </c>
      <c r="AD192" s="37" t="str">
        <f>IFERROR(__xludf.DUMMYFUNCTION("IFERROR(IF(OR(C192=TRUE,C192=""""),VLOOKUP(G192,IMPORTRANGE(""https://docs.google.com/spreadsheets/d/1z9A1Wq-kKrhRNG5RS2a2fKpY1wIhSVz2ZNmP2mOl588/edit?usp=sharing"",""REQ VF!E4:H""),4,0),""NO APLICA""),""GENERAR REQ"")"),"GENERAR REQ")</f>
        <v>GENERAR REQ</v>
      </c>
      <c r="AE192" s="32" t="str">
        <f>IFERROR(__xludf.DUMMYFUNCTION("IFERROR(QUERY(IMPORTRANGE(""https://docs.google.com/spreadsheets/d/1z9A1Wq-kKrhRNG5RS2a2fKpY1wIhSVz2ZNmP2mOl588/edit?usp=sharing"",""REQ VF!E4:Q""),""SELECT Col10, Col11, Col12 WHERE Col1 = '""&amp;G192&amp;""'"",0),""NO APLICA"")"),"NO APLICA")</f>
        <v>NO APLICA</v>
      </c>
      <c r="AF192" s="32"/>
      <c r="AG192" s="32"/>
      <c r="AH192" s="8" t="s">
        <v>52</v>
      </c>
      <c r="AI192" s="13"/>
    </row>
    <row r="193">
      <c r="A193" s="43">
        <v>123.0</v>
      </c>
      <c r="B193" s="43" t="b">
        <v>1</v>
      </c>
      <c r="C193" s="26" t="b">
        <v>1</v>
      </c>
      <c r="D193" s="26" t="s">
        <v>35</v>
      </c>
      <c r="E193" s="26" t="s">
        <v>1510</v>
      </c>
      <c r="F193" s="59" t="s">
        <v>2167</v>
      </c>
      <c r="G193" s="37" t="s">
        <v>2167</v>
      </c>
      <c r="H193" s="82" t="s">
        <v>2168</v>
      </c>
      <c r="I193" s="43">
        <f>SUMIFS('Hoja 10'!$O:$O,'Hoja 10'!$F:$F,$G193)</f>
        <v>2</v>
      </c>
      <c r="J193" s="26">
        <f>IFERROR(__xludf.DUMMYFUNCTION("VLOOKUP(G193,IMPORTRANGE(""https://docs.google.com/spreadsheets/d/12RxCea4e5ggM7QGn1XE3FbLQa_-QbCNdBi90OdPjRqg/edit?gid=1692403370#gid=1692403370"", ""'Plan de Compras'!D4:2432""), 8,0)"),2.0)</f>
        <v>2</v>
      </c>
      <c r="K193" s="26" t="str">
        <f t="shared" si="18"/>
        <v>SI</v>
      </c>
      <c r="L193" s="29" t="s">
        <v>77</v>
      </c>
      <c r="M193" s="30" t="s">
        <v>78</v>
      </c>
      <c r="N193" s="32"/>
      <c r="O193" s="32" t="str">
        <f>VLOOKUP($G193,'Hoja 10'!$F$4:$AA1057, 19,0)</f>
        <v>    Strictly Sinks</v>
      </c>
      <c r="P193" s="32" t="str">
        <f>VLOOKUP($G193,'Hoja 10'!$F$4:$AA1057, 20,0)</f>
        <v>S STRICTLY KITCHEN + BATH</v>
      </c>
      <c r="Q193" s="33" t="str">
        <f>VLOOKUP($G193,'Hoja 10'!$F$4:$AA1057, 21,0)</f>
        <v>https://www.amazon.com/dp/B08JQKJTM1/ref=sspa_dk_detail_4?pd_rd_i=B0CKF2JX26&amp;pd_rd_w=2oDsP&amp;content-id=amzn1.sym.f2f1cf8f-cab4-44dc-82ba-0ca811fb90cc&amp;pf_rd_p=f2f1cf8f-cab4-44dc-82ba-0ca811fb90cc&amp;pf_rd_r=KBAB651HP0CPZ28K2JK3&amp;pd_rd_wg=Eb6WF&amp;pd_rd_r=f419692a-052a-480a-b3c3-1053fd9370c5&amp;sp_csd=d2lkZ2V0TmFtZT1zcF9kZXRhaWxfdGhlbWF0aWM&amp;th=1</v>
      </c>
      <c r="R193" s="86" t="s">
        <v>2169</v>
      </c>
      <c r="S193" s="44" t="b">
        <v>1</v>
      </c>
      <c r="T193" s="39" t="str">
        <f>IFERROR(__xludf.DUMMYFUNCTION(" IF
( VLOOKUP($G193,IMPORTRANGE(""https://docs.google.com/spreadsheets/d/1Gpl6jkTg7sL4VDNimUm3S9Vi1i95esohXCF3wuKOE8c"", ""'CONSOLIDADO'!G5:AB""), 10, 0) &lt;&gt; 0, 
IFERROR(VLOOKUP($G193,IMPORTRANGE(""https://docs.google.com/spreadsheets/d/1Gpl6jkTg7sL4VDNimU"&amp;"m3S9Vi1i95esohXCF3wuKOE8c"", ""'CONSOLIDADO'!G5:AB""), 17, 0), ""-""),
""""
)"),"romise")</f>
        <v>romise</v>
      </c>
      <c r="U193" s="39" t="str">
        <f>IFERROR(__xludf.DUMMYFUNCTION(" IF
( VLOOKUP($G193,IMPORTRANGE(""https://docs.google.com/spreadsheets/d/1Gpl6jkTg7sL4VDNimUm3S9Vi1i95esohXCF3wuKOE8c"", ""'CONSOLIDADO'!G5:AB""), 10, 0) &lt;&gt; 0, 
IFERROR(VLOOKUP($G193,IMPORTRANGE(""https://docs.google.com/spreadsheets/d/1Gpl6jkTg7sL4VDNimU"&amp;"m3S9Vi1i95esohXCF3wuKOE8c"", ""'CONSOLIDADO'!G5:AB""), 18, 0), ""-""),
""""
)"),"RUDDR-5535cm")</f>
        <v>RUDDR-5535cm</v>
      </c>
      <c r="V193" s="39" t="str">
        <f>IFERROR(__xludf.DUMMYFUNCTION(" IF
( VLOOKUP($G193,IMPORTRANGE(""https://docs.google.com/spreadsheets/d/1Gpl6jkTg7sL4VDNimUm3S9Vi1i95esohXCF3wuKOE8c"", ""'CONSOLIDADO'!G5:AB""), 10, 0) &lt;&gt; 0, 
IFERROR(VLOOKUP($G193,IMPORTRANGE(""https://docs.google.com/spreadsheets/d/1Gpl6jkTg7sL4VDNimU"&amp;"m3S9Vi1i95esohXCF3wuKOE8c"", ""'CONSOLIDADO'!G5:AB""), 17, 0), ""-""),
""""
)"),"romise")</f>
        <v>romise</v>
      </c>
      <c r="W193" s="39" t="str">
        <f>IFERROR(__xludf.DUMMYFUNCTION(" IF
( VLOOKUP($G193,IMPORTRANGE(""https://docs.google.com/spreadsheets/d/1Gpl6jkTg7sL4VDNimUm3S9Vi1i95esohXCF3wuKOE8c"", ""'CONSOLIDADO'!G5:AB""), 10, 0) &lt;&gt; 0, 
IFERROR(VLOOKUP($G193,IMPORTRANGE(""https://docs.google.com/spreadsheets/d/1Gpl6jkTg7sL4VDNimU"&amp;"m3S9Vi1i95esohXCF3wuKOE8c"", ""'CONSOLIDADO'!G5:AB""), 18, 0), ""-""),
""""
)"),"RUDDR-5535cm")</f>
        <v>RUDDR-5535cm</v>
      </c>
      <c r="X193" s="39" t="b">
        <f t="shared" si="23"/>
        <v>1</v>
      </c>
      <c r="Y193" s="120" t="str">
        <f>IFERROR(__xludf.DUMMYFUNCTION(" IF
( VLOOKUP($G193,IMPORTRANGE(""https://docs.google.com/spreadsheets/d/1Gpl6jkTg7sL4VDNimUm3S9Vi1i95esohXCF3wuKOE8c"", ""'CONSOLIDADO'!G5:AB""), 10, 0) &lt;&gt; 0, 
IFERROR(VLOOKUP($G193,IMPORTRANGE(""https://docs.google.com/spreadsheets/d/1Gpl6jkTg7sL4VDNimU"&amp;"m3S9Vi1i95esohXCF3wuKOE8c"", ""'CONSOLIDADO'!G5:AB""), 19, 0), ""-""),
""""
)"),"https://www.amazon.com/dp/B0BJNQX6CQ/ref=sspa_dk_detail_4?pd_rd_i=B0BJNQX6CQ&amp;pd_rd_w=Odz2N&amp;content-id=amzn1.sym.f2f1cf8f-cab4-44dc-82ba-0ca811fb90cc&amp;pf_rd_p=f2f1cf8f-cab4-44dc-82ba-0ca811fb90cc&amp;pf_rd_r=Q1MQ74DN6KMRJAVSFYHH&amp;pd_rd_wg=bZnU3&amp;pd_rd_r=6c3e8e1b-"&amp;"bea0-493d-8274-c405c23cdb42&amp;sp_csd=d2lkZ2V0TmFtZT1zcF9kZXRhaWxfdGhlbWF0aWM&amp;th=1")</f>
        <v>https://www.amazon.com/dp/B0BJNQX6CQ/ref=sspa_dk_detail_4?pd_rd_i=B0BJNQX6CQ&amp;pd_rd_w=Odz2N&amp;content-id=amzn1.sym.f2f1cf8f-cab4-44dc-82ba-0ca811fb90cc&amp;pf_rd_p=f2f1cf8f-cab4-44dc-82ba-0ca811fb90cc&amp;pf_rd_r=Q1MQ74DN6KMRJAVSFYHH&amp;pd_rd_wg=bZnU3&amp;pd_rd_r=6c3e8e1b-bea0-493d-8274-c405c23cdb42&amp;sp_csd=d2lkZ2V0TmFtZT1zcF9kZXRhaWxfdGhlbWF0aWM&amp;th=1</v>
      </c>
      <c r="Z193" s="37" t="str">
        <f>IFERROR(__xludf.DUMMYFUNCTION("IFERROR(VLOOKUP(G193,IMPORTRANGE(""https://docs.google.com/spreadsheets/d/12RxCea4e5ggM7QGn1XE3FbLQa_-QbCNdBi90OdPjRqg"", ""'Plan de Compras'!D4:Q""), 12, 0), ""NO ESTÁ EN REQ"")"),"Técnica")</f>
        <v>Técnica</v>
      </c>
      <c r="AA193" s="37" t="str">
        <f>IFERROR(__xludf.DUMMYFUNCTION("IFERROR(VLOOKUP(G193,IMPORTRANGE(""https://docs.google.com/spreadsheets/d/12RxCea4e5ggM7QGn1XE3FbLQa_-QbCNdBi90OdPjRqg"", ""'Plan de Compras'!D4:Q""), 13, 0), """")"),"INTERNACIONAL")</f>
        <v>INTERNACIONAL</v>
      </c>
      <c r="AB193" s="32" t="str">
        <f>IFERROR(__xludf.DUMMYFUNCTION("IFERROR(VLOOKUP(G193,IMPORTRANGE(""https://docs.google.com/spreadsheets/d/12RxCea4e5ggM7QGn1XE3FbLQa_-QbCNdBi90OdPjRqg"", ""'Plan de Compras'!D4:Q""), 14, 0), """")"),"GIANFRANCO")</f>
        <v>GIANFRANCO</v>
      </c>
      <c r="AC193" s="72" t="str">
        <f>IFERROR(__xludf.DUMMYFUNCTION("IFERROR(VLOOKUP(G193,IMPORTRANGE(""https://docs.google.com/spreadsheets/d/12RxCea4e5ggM7QGn1XE3FbLQa_-QbCNdBi90OdPjRqg"", ""'Plan de Compras'!D4:Q""), 4, 0), """")"),"REJILLAS ESCURRIDORAS")</f>
        <v>REJILLAS ESCURRIDORAS</v>
      </c>
      <c r="AD193" s="37" t="str">
        <f>IFERROR(__xludf.DUMMYFUNCTION("IFERROR(IF(OR(C193=TRUE,C193=""""),VLOOKUP(G193,IMPORTRANGE(""https://docs.google.com/spreadsheets/d/1z9A1Wq-kKrhRNG5RS2a2fKpY1wIhSVz2ZNmP2mOl588/edit?usp=sharing"",""REQ VF!E4:H""),4,0),""NO APLICA""),""GENERAR REQ"")"),"GENERAR REQ")</f>
        <v>GENERAR REQ</v>
      </c>
      <c r="AE193" s="32" t="str">
        <f>IFERROR(__xludf.DUMMYFUNCTION("IFERROR(QUERY(IMPORTRANGE(""https://docs.google.com/spreadsheets/d/1z9A1Wq-kKrhRNG5RS2a2fKpY1wIhSVz2ZNmP2mOl588/edit?usp=sharing"",""REQ VF!E4:Q""),""SELECT Col10, Col11, Col12 WHERE Col1 = '""&amp;G193&amp;""'"",0),""NO APLICA"")"),"NO APLICA")</f>
        <v>NO APLICA</v>
      </c>
      <c r="AF193" s="32"/>
      <c r="AG193" s="32"/>
      <c r="AH193" s="8" t="s">
        <v>52</v>
      </c>
      <c r="AI193" s="13"/>
    </row>
    <row r="194">
      <c r="A194" s="43">
        <v>124.0</v>
      </c>
      <c r="B194" s="43" t="b">
        <v>1</v>
      </c>
      <c r="C194" s="26" t="b">
        <v>1</v>
      </c>
      <c r="D194" s="48" t="s">
        <v>35</v>
      </c>
      <c r="E194" s="48" t="s">
        <v>1510</v>
      </c>
      <c r="F194" s="94" t="s">
        <v>2170</v>
      </c>
      <c r="G194" s="37" t="s">
        <v>2170</v>
      </c>
      <c r="H194" s="82" t="s">
        <v>2171</v>
      </c>
      <c r="I194" s="43">
        <f>SUMIFS('Hoja 10'!$O:$O,'Hoja 10'!$F:$F,$G194)</f>
        <v>3</v>
      </c>
      <c r="J194" s="26">
        <f>IFERROR(__xludf.DUMMYFUNCTION("VLOOKUP(G194,IMPORTRANGE(""https://docs.google.com/spreadsheets/d/12RxCea4e5ggM7QGn1XE3FbLQa_-QbCNdBi90OdPjRqg/edit?gid=1692403370#gid=1692403370"", ""'Plan de Compras'!D4:2432""), 8,0)"),3.0)</f>
        <v>3</v>
      </c>
      <c r="K194" s="26" t="str">
        <f t="shared" si="18"/>
        <v>SI</v>
      </c>
      <c r="L194" s="29" t="s">
        <v>127</v>
      </c>
      <c r="M194" s="30" t="s">
        <v>105</v>
      </c>
      <c r="N194" s="32"/>
      <c r="O194" s="32" t="str">
        <f>VLOOKUP($G194,'Hoja 10'!$F$4:$AA1057, 19,0)</f>
        <v>DRAPER</v>
      </c>
      <c r="P194" s="32" t="str">
        <f>VLOOKUP($G194,'Hoja 10'!$F$4:$AA1057, 20,0)</f>
        <v>BT10692</v>
      </c>
      <c r="Q194" s="33" t="str">
        <f>VLOOKUP($G194,'Hoja 10'!$F$4:$AA1057, 21,0)</f>
        <v>https://www.bt-ingenieros.com/relojes-comparadores/692-kit-reloj-comparador-con-base-y-puntas.html?srsltid=AfmBOootSFZIMi-8T4D4CPKpcwUL3qgSoHsiuioeTZs7cciwaR6u2XKX</v>
      </c>
      <c r="R194" s="86" t="s">
        <v>2172</v>
      </c>
      <c r="S194" s="44" t="b">
        <v>1</v>
      </c>
      <c r="T194" s="39" t="str">
        <f>IFERROR(__xludf.DUMMYFUNCTION(" IF
( VLOOKUP($G194,IMPORTRANGE(""https://docs.google.com/spreadsheets/d/1Gpl6jkTg7sL4VDNimUm3S9Vi1i95esohXCF3wuKOE8c"", ""'CONSOLIDADO'!G5:AB""), 10, 0) &lt;&gt; 0, 
IFERROR(VLOOKUP($G194,IMPORTRANGE(""https://docs.google.com/spreadsheets/d/1Gpl6jkTg7sL4VDNimU"&amp;"m3S9Vi1i95esohXCF3wuKOE8c"", ""'CONSOLIDADO'!G5:AB""), 17, 0), ""-""),
""""
)"),"DRAPER")</f>
        <v>DRAPER</v>
      </c>
      <c r="U194" s="39" t="str">
        <f>IFERROR(__xludf.DUMMYFUNCTION(" IF
( VLOOKUP($G194,IMPORTRANGE(""https://docs.google.com/spreadsheets/d/1Gpl6jkTg7sL4VDNimUm3S9Vi1i95esohXCF3wuKOE8c"", ""'CONSOLIDADO'!G5:AB""), 10, 0) &lt;&gt; 0, 
IFERROR(VLOOKUP($G194,IMPORTRANGE(""https://docs.google.com/spreadsheets/d/1Gpl6jkTg7sL4VDNimU"&amp;"m3S9Vi1i95esohXCF3wuKOE8c"", ""'CONSOLIDADO'!G5:AB""), 18, 0), ""-""),
""""
)"),"BT10692")</f>
        <v>BT10692</v>
      </c>
      <c r="V194" s="39" t="str">
        <f>IFERROR(__xludf.DUMMYFUNCTION(" IF
( VLOOKUP($G194,IMPORTRANGE(""https://docs.google.com/spreadsheets/d/1Gpl6jkTg7sL4VDNimUm3S9Vi1i95esohXCF3wuKOE8c"", ""'CONSOLIDADO'!G5:AB""), 10, 0) &lt;&gt; 0, 
IFERROR(VLOOKUP($G194,IMPORTRANGE(""https://docs.google.com/spreadsheets/d/1Gpl6jkTg7sL4VDNimU"&amp;"m3S9Vi1i95esohXCF3wuKOE8c"", ""'CONSOLIDADO'!G5:AB""), 17, 0), ""-""),
""""
)"),"DRAPER")</f>
        <v>DRAPER</v>
      </c>
      <c r="W194" s="39" t="str">
        <f>IFERROR(__xludf.DUMMYFUNCTION(" IF
( VLOOKUP($G194,IMPORTRANGE(""https://docs.google.com/spreadsheets/d/1Gpl6jkTg7sL4VDNimUm3S9Vi1i95esohXCF3wuKOE8c"", ""'CONSOLIDADO'!G5:AB""), 10, 0) &lt;&gt; 0, 
IFERROR(VLOOKUP($G194,IMPORTRANGE(""https://docs.google.com/spreadsheets/d/1Gpl6jkTg7sL4VDNimU"&amp;"m3S9Vi1i95esohXCF3wuKOE8c"", ""'CONSOLIDADO'!G5:AB""), 18, 0), ""-""),
""""
)"),"BT10692")</f>
        <v>BT10692</v>
      </c>
      <c r="X194" s="39" t="b">
        <f t="shared" si="23"/>
        <v>1</v>
      </c>
      <c r="Y194" s="120" t="str">
        <f>IFERROR(__xludf.DUMMYFUNCTION(" IF
( VLOOKUP($G194,IMPORTRANGE(""https://docs.google.com/spreadsheets/d/1Gpl6jkTg7sL4VDNimUm3S9Vi1i95esohXCF3wuKOE8c"", ""'CONSOLIDADO'!G5:AB""), 10, 0) &lt;&gt; 0, 
IFERROR(VLOOKUP($G194,IMPORTRANGE(""https://docs.google.com/spreadsheets/d/1Gpl6jkTg7sL4VDNimU"&amp;"m3S9Vi1i95esohXCF3wuKOE8c"", ""'CONSOLIDADO'!G5:AB""), 19, 0), ""-""),
""""
)"),"https://www.bt-ingenieros.com/relojes-comparadores/692-kit-reloj-comparador-con-base-y-puntas.html?srsltid=AfmBOootSFZIMi-8T4D4CPKpcwUL3qgSoHsiuioeTZs7cciwaR6u2XKX")</f>
        <v>https://www.bt-ingenieros.com/relojes-comparadores/692-kit-reloj-comparador-con-base-y-puntas.html?srsltid=AfmBOootSFZIMi-8T4D4CPKpcwUL3qgSoHsiuioeTZs7cciwaR6u2XKX</v>
      </c>
      <c r="Z194" s="37" t="str">
        <f>IFERROR(__xludf.DUMMYFUNCTION("IFERROR(VLOOKUP(G194,IMPORTRANGE(""https://docs.google.com/spreadsheets/d/12RxCea4e5ggM7QGn1XE3FbLQa_-QbCNdBi90OdPjRqg"", ""'Plan de Compras'!D4:Q""), 12, 0), ""NO ESTÁ EN REQ"")"),"Técnica")</f>
        <v>Técnica</v>
      </c>
      <c r="AA194" s="37" t="str">
        <f>IFERROR(__xludf.DUMMYFUNCTION("IFERROR(VLOOKUP(G194,IMPORTRANGE(""https://docs.google.com/spreadsheets/d/12RxCea4e5ggM7QGn1XE3FbLQa_-QbCNdBi90OdPjRqg"", ""'Plan de Compras'!D4:Q""), 13, 0), """")"),"INTERNACIONAL")</f>
        <v>INTERNACIONAL</v>
      </c>
      <c r="AB194" s="32" t="str">
        <f>IFERROR(__xludf.DUMMYFUNCTION("IFERROR(VLOOKUP(G194,IMPORTRANGE(""https://docs.google.com/spreadsheets/d/12RxCea4e5ggM7QGn1XE3FbLQa_-QbCNdBi90OdPjRqg"", ""'Plan de Compras'!D4:Q""), 14, 0), """")"),"ALEJANDRA")</f>
        <v>ALEJANDRA</v>
      </c>
      <c r="AC194" s="72" t="str">
        <f>IFERROR(__xludf.DUMMYFUNCTION("IFERROR(VLOOKUP(G194,IMPORTRANGE(""https://docs.google.com/spreadsheets/d/12RxCea4e5ggM7QGn1XE3FbLQa_-QbCNdBi90OdPjRqg"", ""'Plan de Compras'!D4:Q""), 4, 0), """")"),"KIT DE RELOJ COMPARADOR")</f>
        <v>KIT DE RELOJ COMPARADOR</v>
      </c>
      <c r="AD194" s="37" t="str">
        <f>IFERROR(__xludf.DUMMYFUNCTION("IFERROR(IF(OR(C194=TRUE,C194=""""),VLOOKUP(G194,IMPORTRANGE(""https://docs.google.com/spreadsheets/d/1z9A1Wq-kKrhRNG5RS2a2fKpY1wIhSVz2ZNmP2mOl588/edit?usp=sharing"",""REQ VF!E4:H""),4,0),""NO APLICA""),""GENERAR REQ"")"),"GENERAR REQ")</f>
        <v>GENERAR REQ</v>
      </c>
      <c r="AE194" s="32" t="str">
        <f>IFERROR(__xludf.DUMMYFUNCTION("IFERROR(QUERY(IMPORTRANGE(""https://docs.google.com/spreadsheets/d/1z9A1Wq-kKrhRNG5RS2a2fKpY1wIhSVz2ZNmP2mOl588/edit?usp=sharing"",""REQ VF!E4:Q""),""SELECT Col10, Col11, Col12 WHERE Col1 = '""&amp;G194&amp;""'"",0),""NO APLICA"")"),"NO APLICA")</f>
        <v>NO APLICA</v>
      </c>
      <c r="AF194" s="32"/>
      <c r="AG194" s="32"/>
      <c r="AH194" s="13"/>
      <c r="AI194" s="13"/>
    </row>
    <row r="195">
      <c r="A195" s="43">
        <v>125.0</v>
      </c>
      <c r="B195" s="43" t="b">
        <v>1</v>
      </c>
      <c r="C195" s="26" t="b">
        <v>1</v>
      </c>
      <c r="D195" s="26" t="s">
        <v>35</v>
      </c>
      <c r="E195" s="26" t="s">
        <v>1510</v>
      </c>
      <c r="F195" s="59" t="s">
        <v>2173</v>
      </c>
      <c r="G195" s="37" t="s">
        <v>2174</v>
      </c>
      <c r="H195" s="82" t="s">
        <v>2175</v>
      </c>
      <c r="I195" s="43">
        <f>SUMIFS('Hoja 10'!$O:$O,'Hoja 10'!$F:$F,$G195)</f>
        <v>4</v>
      </c>
      <c r="J195" s="26">
        <f>IFERROR(__xludf.DUMMYFUNCTION("VLOOKUP(G195,IMPORTRANGE(""https://docs.google.com/spreadsheets/d/12RxCea4e5ggM7QGn1XE3FbLQa_-QbCNdBi90OdPjRqg/edit?gid=1692403370#gid=1692403370"", ""'Plan de Compras'!D4:2432""), 8,0)"),4.0)</f>
        <v>4</v>
      </c>
      <c r="K195" s="26" t="str">
        <f t="shared" si="18"/>
        <v>SI</v>
      </c>
      <c r="L195" s="29" t="s">
        <v>77</v>
      </c>
      <c r="M195" s="30" t="s">
        <v>78</v>
      </c>
      <c r="N195" s="32"/>
      <c r="O195" s="32" t="str">
        <f>VLOOKUP($G195,'Hoja 10'!$F$4:$AA1057, 19,0)</f>
        <v>Rueda Maquinaria</v>
      </c>
      <c r="P195" s="32" t="str">
        <f>VLOOKUP($G195,'Hoja 10'!$F$4:$AA1057, 20,0)</f>
        <v>Rodillo giratorio</v>
      </c>
      <c r="Q195" s="33" t="str">
        <f>VLOOKUP($G195,'Hoja 10'!$F$4:$AA1057, 21,0)</f>
        <v>https://ruedamaquinaria.com/tienda/Rodillos-para-Masa/1780-rodillo-giratorio-silicona.html</v>
      </c>
      <c r="R195" s="86" t="s">
        <v>2176</v>
      </c>
      <c r="S195" s="44" t="b">
        <v>0</v>
      </c>
      <c r="T195" s="39" t="s">
        <v>2177</v>
      </c>
      <c r="U195" s="39">
        <v>14165.0</v>
      </c>
      <c r="V195" s="39" t="str">
        <f>IFERROR(__xludf.DUMMYFUNCTION(" IF
( VLOOKUP($G195,IMPORTRANGE(""https://docs.google.com/spreadsheets/d/1Gpl6jkTg7sL4VDNimUm3S9Vi1i95esohXCF3wuKOE8c"", ""'CONSOLIDADO'!G5:AB""), 10, 0) &lt;&gt; 0, 
IFERROR(VLOOKUP($G195,IMPORTRANGE(""https://docs.google.com/spreadsheets/d/1Gpl6jkTg7sL4VDNimU"&amp;"m3S9Vi1i95esohXCF3wuKOE8c"", ""'CONSOLIDADO'!G5:AB""), 17, 0), ""-""),
""""
)"),"RUEDA MAQUINARIA, S.L.")</f>
        <v>RUEDA MAQUINARIA, S.L.</v>
      </c>
      <c r="W195" s="39">
        <f>IFERROR(__xludf.DUMMYFUNCTION(" IF
( VLOOKUP($G195,IMPORTRANGE(""https://docs.google.com/spreadsheets/d/1Gpl6jkTg7sL4VDNimUm3S9Vi1i95esohXCF3wuKOE8c"", ""'CONSOLIDADO'!G5:AB""), 10, 0) &lt;&gt; 0, 
IFERROR(VLOOKUP($G195,IMPORTRANGE(""https://docs.google.com/spreadsheets/d/1Gpl6jkTg7sL4VDNimU"&amp;"m3S9Vi1i95esohXCF3wuKOE8c"", ""'CONSOLIDADO'!G5:AB""), 18, 0), ""-""),
""""
)"),14165.0)</f>
        <v>14165</v>
      </c>
      <c r="X195" s="39" t="b">
        <f t="shared" si="23"/>
        <v>0</v>
      </c>
      <c r="Y195" s="120" t="str">
        <f>IFERROR(__xludf.DUMMYFUNCTION(" IF
( VLOOKUP($G195,IMPORTRANGE(""https://docs.google.com/spreadsheets/d/1Gpl6jkTg7sL4VDNimUm3S9Vi1i95esohXCF3wuKOE8c"", ""'CONSOLIDADO'!G5:AB""), 10, 0) &lt;&gt; 0, 
IFERROR(VLOOKUP($G195,IMPORTRANGE(""https://docs.google.com/spreadsheets/d/1Gpl6jkTg7sL4VDNimU"&amp;"m3S9Vi1i95esohXCF3wuKOE8c"", ""'CONSOLIDADO'!G5:AB""), 19, 0), ""-""),
""""
)"),"https://ruedamaquinaria.com/tienda/Rodillos-para-Masa/1780-rodillo-giratorio-silicona.html")</f>
        <v>https://ruedamaquinaria.com/tienda/Rodillos-para-Masa/1780-rodillo-giratorio-silicona.html</v>
      </c>
      <c r="Z195" s="37" t="str">
        <f>IFERROR(__xludf.DUMMYFUNCTION("IFERROR(VLOOKUP(G195,IMPORTRANGE(""https://docs.google.com/spreadsheets/d/12RxCea4e5ggM7QGn1XE3FbLQa_-QbCNdBi90OdPjRqg"", ""'Plan de Compras'!D4:Q""), 12, 0), ""NO ESTÁ EN REQ"")"),"Simple")</f>
        <v>Simple</v>
      </c>
      <c r="AA195" s="37" t="str">
        <f>IFERROR(__xludf.DUMMYFUNCTION("IFERROR(VLOOKUP(G195,IMPORTRANGE(""https://docs.google.com/spreadsheets/d/12RxCea4e5ggM7QGn1XE3FbLQa_-QbCNdBi90OdPjRqg"", ""'Plan de Compras'!D4:Q""), 13, 0), """")"),"INTERNACIONAL")</f>
        <v>INTERNACIONAL</v>
      </c>
      <c r="AB195" s="32" t="str">
        <f>IFERROR(__xludf.DUMMYFUNCTION("IFERROR(VLOOKUP(G195,IMPORTRANGE(""https://docs.google.com/spreadsheets/d/12RxCea4e5ggM7QGn1XE3FbLQa_-QbCNdBi90OdPjRqg"", ""'Plan de Compras'!D4:Q""), 14, 0), """")"),"GIANFRANCO")</f>
        <v>GIANFRANCO</v>
      </c>
      <c r="AC195" s="72" t="str">
        <f>IFERROR(__xludf.DUMMYFUNCTION("IFERROR(VLOOKUP(G195,IMPORTRANGE(""https://docs.google.com/spreadsheets/d/12RxCea4e5ggM7QGn1XE3FbLQa_-QbCNdBi90OdPjRqg"", ""'Plan de Compras'!D4:Q""), 4, 0), """")"),"RODILLO ACERO, MADERA, SILICONA")</f>
        <v>RODILLO ACERO, MADERA, SILICONA</v>
      </c>
      <c r="AD195" s="37" t="str">
        <f>IFERROR(__xludf.DUMMYFUNCTION("IFERROR(IF(OR(C195=TRUE,C195=""""),VLOOKUP(G195,IMPORTRANGE(""https://docs.google.com/spreadsheets/d/1z9A1Wq-kKrhRNG5RS2a2fKpY1wIhSVz2ZNmP2mOl588/edit?usp=sharing"",""REQ VF!E4:H""),4,0),""NO APLICA""),""GENERAR REQ"")"),"GENERAR REQ")</f>
        <v>GENERAR REQ</v>
      </c>
      <c r="AE195" s="32" t="str">
        <f>IFERROR(__xludf.DUMMYFUNCTION("IFERROR(QUERY(IMPORTRANGE(""https://docs.google.com/spreadsheets/d/1z9A1Wq-kKrhRNG5RS2a2fKpY1wIhSVz2ZNmP2mOl588/edit?usp=sharing"",""REQ VF!E4:Q""),""SELECT Col10, Col11, Col12 WHERE Col1 = '""&amp;G195&amp;""'"",0),""NO APLICA"")"),"NO APLICA")</f>
        <v>NO APLICA</v>
      </c>
      <c r="AF195" s="32"/>
      <c r="AG195" s="32"/>
      <c r="AH195" s="13"/>
      <c r="AI195" s="13"/>
    </row>
    <row r="196">
      <c r="A196" s="117">
        <v>126.0</v>
      </c>
      <c r="B196" s="43" t="b">
        <v>1</v>
      </c>
      <c r="C196" s="43" t="b">
        <v>1</v>
      </c>
      <c r="D196" s="26" t="s">
        <v>35</v>
      </c>
      <c r="E196" s="26" t="s">
        <v>1510</v>
      </c>
      <c r="F196" s="59" t="s">
        <v>2173</v>
      </c>
      <c r="G196" s="37" t="s">
        <v>2178</v>
      </c>
      <c r="H196" s="82" t="s">
        <v>2175</v>
      </c>
      <c r="I196" s="43">
        <f>SUMIFS('Hoja 10'!$O:$O,'Hoja 10'!$F:$F,$G196)</f>
        <v>16</v>
      </c>
      <c r="J196" s="26" t="str">
        <f>IFERROR(__xludf.DUMMYFUNCTION("VLOOKUP(G196,IMPORTRANGE(""https://docs.google.com/spreadsheets/d/12RxCea4e5ggM7QGn1XE3FbLQa_-QbCNdBi90OdPjRqg/edit?gid=1692403370#gid=1692403370"", ""'Plan de Compras'!D4:2432""), 8,0)"),"#N/A")</f>
        <v>#N/A</v>
      </c>
      <c r="K196" s="26" t="str">
        <f t="shared" si="18"/>
        <v>#N/A</v>
      </c>
      <c r="L196" s="29" t="s">
        <v>39</v>
      </c>
      <c r="M196" s="30" t="s">
        <v>40</v>
      </c>
      <c r="N196" s="32" t="s">
        <v>2179</v>
      </c>
      <c r="O196" s="32"/>
      <c r="P196" s="32"/>
      <c r="Q196" s="33" t="s">
        <v>2180</v>
      </c>
      <c r="R196" s="86" t="s">
        <v>2181</v>
      </c>
      <c r="S196" s="44" t="b">
        <v>1</v>
      </c>
      <c r="T196" s="39" t="str">
        <f>IFERROR(__xludf.DUMMYFUNCTION(" IF
( VLOOKUP($G196,IMPORTRANGE(""https://docs.google.com/spreadsheets/d/1Gpl6jkTg7sL4VDNimUm3S9Vi1i95esohXCF3wuKOE8c"", ""'CONSOLIDADO'!G5:AB""), 10, 0) &lt;&gt; 0, 
IFERROR(VLOOKUP($G196,IMPORTRANGE(""https://docs.google.com/spreadsheets/d/1Gpl6jkTg7sL4VDNimU"&amp;"m3S9Vi1i95esohXCF3wuKOE8c"", ""'CONSOLIDADO'!G5:AB""), 17, 0), ""-""),
""""
)"),"ALIBABA")</f>
        <v>ALIBABA</v>
      </c>
      <c r="U196" s="39" t="str">
        <f>IFERROR(__xludf.DUMMYFUNCTION(" IF
( VLOOKUP($G196,IMPORTRANGE(""https://docs.google.com/spreadsheets/d/1Gpl6jkTg7sL4VDNimUm3S9Vi1i95esohXCF3wuKOE8c"", ""'CONSOLIDADO'!G5:AB""), 10, 0) &lt;&gt; 0, 
IFERROR(VLOOKUP($G196,IMPORTRANGE(""https://docs.google.com/spreadsheets/d/1Gpl6jkTg7sL4VDNimU"&amp;"m3S9Vi1i95esohXCF3wuKOE8c"", ""'CONSOLIDADO'!G5:AB""), 18, 0), ""-""),
""""
)"),"RODILLO DE SILICONA PARA HORNEAR")</f>
        <v>RODILLO DE SILICONA PARA HORNEAR</v>
      </c>
      <c r="V196" s="39" t="str">
        <f>IFERROR(__xludf.DUMMYFUNCTION(" IF
( VLOOKUP($G196,IMPORTRANGE(""https://docs.google.com/spreadsheets/d/1Gpl6jkTg7sL4VDNimUm3S9Vi1i95esohXCF3wuKOE8c"", ""'CONSOLIDADO'!G5:AB""), 10, 0) &lt;&gt; 0, 
IFERROR(VLOOKUP($G196,IMPORTRANGE(""https://docs.google.com/spreadsheets/d/1Gpl6jkTg7sL4VDNimU"&amp;"m3S9Vi1i95esohXCF3wuKOE8c"", ""'CONSOLIDADO'!G5:AB""), 17, 0), ""-""),
""""
)"),"ALIBABA")</f>
        <v>ALIBABA</v>
      </c>
      <c r="W196" s="39" t="str">
        <f>IFERROR(__xludf.DUMMYFUNCTION(" IF
( VLOOKUP($G196,IMPORTRANGE(""https://docs.google.com/spreadsheets/d/1Gpl6jkTg7sL4VDNimUm3S9Vi1i95esohXCF3wuKOE8c"", ""'CONSOLIDADO'!G5:AB""), 10, 0) &lt;&gt; 0, 
IFERROR(VLOOKUP($G196,IMPORTRANGE(""https://docs.google.com/spreadsheets/d/1Gpl6jkTg7sL4VDNimU"&amp;"m3S9Vi1i95esohXCF3wuKOE8c"", ""'CONSOLIDADO'!G5:AB""), 18, 0), ""-""),
""""
)"),"RODILLO DE SILICONA PARA HORNEAR")</f>
        <v>RODILLO DE SILICONA PARA HORNEAR</v>
      </c>
      <c r="X196" s="39" t="b">
        <f t="shared" si="23"/>
        <v>1</v>
      </c>
      <c r="Y196" s="120" t="str">
        <f>IFERROR(__xludf.DUMMYFUNCTION(" IF
( VLOOKUP($G196,IMPORTRANGE(""https://docs.google.com/spreadsheets/d/1Gpl6jkTg7sL4VDNimUm3S9Vi1i95esohXCF3wuKOE8c"", ""'CONSOLIDADO'!G5:AB""), 10, 0) &lt;&gt; 0, 
IFERROR(VLOOKUP($G196,IMPORTRANGE(""https://docs.google.com/spreadsheets/d/1Gpl6jkTg7sL4VDNimU"&amp;"m3S9Vi1i95esohXCF3wuKOE8c"", ""'CONSOLIDADO'!G5:AB""), 19, 0), ""-""),
""""
)"),"https://docs.google.com/spreadsheets/d/1f3P7VMWVm8_A1I1PWTF2up6e0SnDKak9yQqZIetLurY/edit?usp=sharing")</f>
        <v>https://docs.google.com/spreadsheets/d/1f3P7VMWVm8_A1I1PWTF2up6e0SnDKak9yQqZIetLurY/edit?usp=sharing</v>
      </c>
      <c r="Z196" s="37" t="str">
        <f>IFERROR(__xludf.DUMMYFUNCTION("IFERROR(VLOOKUP(G196,IMPORTRANGE(""https://docs.google.com/spreadsheets/d/12RxCea4e5ggM7QGn1XE3FbLQa_-QbCNdBi90OdPjRqg"", ""'Plan de Compras'!D4:Q""), 12, 0), ""NO ESTÁ EN REQ"")"),"NO ESTÁ EN REQ")</f>
        <v>NO ESTÁ EN REQ</v>
      </c>
      <c r="AA196" s="37" t="str">
        <f>IFERROR(__xludf.DUMMYFUNCTION("IFERROR(VLOOKUP(G196,IMPORTRANGE(""https://docs.google.com/spreadsheets/d/12RxCea4e5ggM7QGn1XE3FbLQa_-QbCNdBi90OdPjRqg"", ""'Plan de Compras'!D4:Q""), 13, 0), """")"),"")</f>
        <v/>
      </c>
      <c r="AB196" s="32" t="str">
        <f>IFERROR(__xludf.DUMMYFUNCTION("IFERROR(VLOOKUP(G196,IMPORTRANGE(""https://docs.google.com/spreadsheets/d/12RxCea4e5ggM7QGn1XE3FbLQa_-QbCNdBi90OdPjRqg"", ""'Plan de Compras'!D4:Q""), 14, 0), """")"),"")</f>
        <v/>
      </c>
      <c r="AC196" s="72" t="str">
        <f>IFERROR(__xludf.DUMMYFUNCTION("IFERROR(VLOOKUP(G196,IMPORTRANGE(""https://docs.google.com/spreadsheets/d/12RxCea4e5ggM7QGn1XE3FbLQa_-QbCNdBi90OdPjRqg"", ""'Plan de Compras'!D4:Q""), 4, 0), """")"),"")</f>
        <v/>
      </c>
      <c r="AD196" s="37" t="str">
        <f>IFERROR(__xludf.DUMMYFUNCTION("IFERROR(IF(OR(C196=TRUE,C196=""""),VLOOKUP(G196,IMPORTRANGE(""https://docs.google.com/spreadsheets/d/1z9A1Wq-kKrhRNG5RS2a2fKpY1wIhSVz2ZNmP2mOl588/edit?usp=sharing"",""REQ VF!E4:H""),4,0),""NO APLICA""),""GENERAR REQ"")"),"GENERAR REQ")</f>
        <v>GENERAR REQ</v>
      </c>
      <c r="AE196" s="32" t="str">
        <f>IFERROR(__xludf.DUMMYFUNCTION("IFERROR(QUERY(IMPORTRANGE(""https://docs.google.com/spreadsheets/d/1z9A1Wq-kKrhRNG5RS2a2fKpY1wIhSVz2ZNmP2mOl588/edit?usp=sharing"",""REQ VF!E4:Q""),""SELECT Col10, Col11, Col12 WHERE Col1 = '""&amp;G196&amp;""'"",0),""NO APLICA"")"),"NO APLICA")</f>
        <v>NO APLICA</v>
      </c>
      <c r="AF196" s="32"/>
      <c r="AG196" s="32"/>
      <c r="AH196" s="13"/>
      <c r="AI196" s="13"/>
    </row>
    <row r="197">
      <c r="A197" s="121">
        <v>127.0</v>
      </c>
      <c r="B197" s="43" t="b">
        <v>1</v>
      </c>
      <c r="C197" s="26" t="b">
        <v>1</v>
      </c>
      <c r="D197" s="26" t="s">
        <v>35</v>
      </c>
      <c r="E197" s="26" t="s">
        <v>1510</v>
      </c>
      <c r="F197" s="59" t="s">
        <v>2182</v>
      </c>
      <c r="G197" s="37" t="s">
        <v>2182</v>
      </c>
      <c r="H197" s="82" t="s">
        <v>2183</v>
      </c>
      <c r="I197" s="43">
        <f>SUMIFS('Hoja 10'!$O:$O,'Hoja 10'!$F:$F,$G197)</f>
        <v>10</v>
      </c>
      <c r="J197" s="26">
        <f>IFERROR(__xludf.DUMMYFUNCTION("VLOOKUP(G197,IMPORTRANGE(""https://docs.google.com/spreadsheets/d/12RxCea4e5ggM7QGn1XE3FbLQa_-QbCNdBi90OdPjRqg/edit?gid=1692403370#gid=1692403370"", ""'Plan de Compras'!D4:2432""), 8,0)"),10.0)</f>
        <v>10</v>
      </c>
      <c r="K197" s="26" t="str">
        <f t="shared" si="18"/>
        <v>SI</v>
      </c>
      <c r="L197" s="29" t="s">
        <v>185</v>
      </c>
      <c r="M197" s="30" t="s">
        <v>186</v>
      </c>
      <c r="N197" s="32"/>
      <c r="O197" s="32" t="str">
        <f>VLOOKUP($G197,'Hoja 10'!$F$4:$AA1057, 19,0)</f>
        <v>Kadimendium</v>
      </c>
      <c r="P197" s="32" t="str">
        <f>VLOOKUP($G197,'Hoja 10'!$F$4:$AA1057, 20,0)</f>
        <v>Rueda de rastreo</v>
      </c>
      <c r="Q197" s="33" t="str">
        <f>VLOOKUP($G197,'Hoja 10'!$F$4:$AA1057, 21,0)</f>
        <v>https://www.amazon.com/dp/B09ZWW7C5X/ref=sspa_dk_detail_5?psc=1&amp;pd_rd_i=B09ZWW7C5X&amp;pd_rd_w=0kW9L&amp;content-id=amzn1.sym.f2f1cf8f-cab4-44dc-82ba-0ca811fb90cc&amp;pf_rd_p=f2f1cf8f-cab4-44dc-82ba-0ca811fb90cc&amp;pf_rd_r=YNGC4SCNN57TG0AKMB1R&amp;pd_rd_wg=T13eg&amp;pd_rd_r=01f2e2ab-96cc-46c0-85cb-9fd69a817376&amp;sp_csd=d2lkZ2V0TmFtZT1zcF9kZXRhaWxfdGhlbWF0aWM</v>
      </c>
      <c r="R197" s="86" t="s">
        <v>2184</v>
      </c>
      <c r="S197" s="44" t="b">
        <v>1</v>
      </c>
      <c r="T197" s="39" t="str">
        <f>IFERROR(__xludf.DUMMYFUNCTION(" IF
( VLOOKUP($G197,IMPORTRANGE(""https://docs.google.com/spreadsheets/d/1Gpl6jkTg7sL4VDNimUm3S9Vi1i95esohXCF3wuKOE8c"", ""'CONSOLIDADO'!G5:AB""), 10, 0) &lt;&gt; 0, 
IFERROR(VLOOKUP($G197,IMPORTRANGE(""https://docs.google.com/spreadsheets/d/1Gpl6jkTg7sL4VDNimU"&amp;"m3S9Vi1i95esohXCF3wuKOE8c"", ""'CONSOLIDADO'!G5:AB""), 17, 0), ""-""),
""""
)"),"Kadimendium")</f>
        <v>Kadimendium</v>
      </c>
      <c r="U197" s="39" t="str">
        <f>IFERROR(__xludf.DUMMYFUNCTION(" IF
( VLOOKUP($G197,IMPORTRANGE(""https://docs.google.com/spreadsheets/d/1Gpl6jkTg7sL4VDNimUm3S9Vi1i95esohXCF3wuKOE8c"", ""'CONSOLIDADO'!G5:AB""), 10, 0) &lt;&gt; 0, 
IFERROR(VLOOKUP($G197,IMPORTRANGE(""https://docs.google.com/spreadsheets/d/1Gpl6jkTg7sL4VDNimU"&amp;"m3S9Vi1i95esohXCF3wuKOE8c"", ""'CONSOLIDADO'!G5:AB""), 18, 0), ""-""),
""""
)"),"Rueda de rastreo")</f>
        <v>Rueda de rastreo</v>
      </c>
      <c r="V197" s="39" t="str">
        <f>IFERROR(__xludf.DUMMYFUNCTION(" IF
( VLOOKUP($G197,IMPORTRANGE(""https://docs.google.com/spreadsheets/d/1Gpl6jkTg7sL4VDNimUm3S9Vi1i95esohXCF3wuKOE8c"", ""'CONSOLIDADO'!G5:AB""), 10, 0) &lt;&gt; 0, 
IFERROR(VLOOKUP($G197,IMPORTRANGE(""https://docs.google.com/spreadsheets/d/1Gpl6jkTg7sL4VDNimU"&amp;"m3S9Vi1i95esohXCF3wuKOE8c"", ""'CONSOLIDADO'!G5:AB""), 17, 0), ""-""),
""""
)"),"Kadimendium")</f>
        <v>Kadimendium</v>
      </c>
      <c r="W197" s="39" t="str">
        <f>IFERROR(__xludf.DUMMYFUNCTION(" IF
( VLOOKUP($G197,IMPORTRANGE(""https://docs.google.com/spreadsheets/d/1Gpl6jkTg7sL4VDNimUm3S9Vi1i95esohXCF3wuKOE8c"", ""'CONSOLIDADO'!G5:AB""), 10, 0) &lt;&gt; 0, 
IFERROR(VLOOKUP($G197,IMPORTRANGE(""https://docs.google.com/spreadsheets/d/1Gpl6jkTg7sL4VDNimU"&amp;"m3S9Vi1i95esohXCF3wuKOE8c"", ""'CONSOLIDADO'!G5:AB""), 18, 0), ""-""),
""""
)"),"Rueda de rastreo")</f>
        <v>Rueda de rastreo</v>
      </c>
      <c r="X197" s="39" t="b">
        <f t="shared" si="23"/>
        <v>1</v>
      </c>
      <c r="Y197" s="120" t="str">
        <f>IFERROR(__xludf.DUMMYFUNCTION(" IF
( VLOOKUP($G197,IMPORTRANGE(""https://docs.google.com/spreadsheets/d/1Gpl6jkTg7sL4VDNimUm3S9Vi1i95esohXCF3wuKOE8c"", ""'CONSOLIDADO'!G5:AB""), 10, 0) &lt;&gt; 0, 
IFERROR(VLOOKUP($G197,IMPORTRANGE(""https://docs.google.com/spreadsheets/d/1Gpl6jkTg7sL4VDNimU"&amp;"m3S9Vi1i95esohXCF3wuKOE8c"", ""'CONSOLIDADO'!G5:AB""), 19, 0), ""-""),
""""
)"),"https://www.amazon.com/dp/B09ZWW7C5X/ref=sspa_dk_detail_5?psc=1&amp;pd_rd_i=B09ZWW7C5X&amp;pd_rd_w=0kW9L&amp;content-id=amzn1.sym.f2f1cf8f-cab4-44dc-82ba-0ca811fb90cc&amp;pf_rd_p=f2f1cf8f-cab4-44dc-82ba-0ca811fb90cc&amp;pf_rd_r=YNGC4SCNN57TG0AKMB1R&amp;pd_rd_wg=T13eg&amp;pd_rd_r=01f"&amp;"2e2ab-96cc-46c0-85cb-9fd69a817376&amp;sp_csd=d2lkZ2V0TmFtZT1zcF9kZXRhaWxfdGhlbWF0aWM")</f>
        <v>https://www.amazon.com/dp/B09ZWW7C5X/ref=sspa_dk_detail_5?psc=1&amp;pd_rd_i=B09ZWW7C5X&amp;pd_rd_w=0kW9L&amp;content-id=amzn1.sym.f2f1cf8f-cab4-44dc-82ba-0ca811fb90cc&amp;pf_rd_p=f2f1cf8f-cab4-44dc-82ba-0ca811fb90cc&amp;pf_rd_r=YNGC4SCNN57TG0AKMB1R&amp;pd_rd_wg=T13eg&amp;pd_rd_r=01f2e2ab-96cc-46c0-85cb-9fd69a817376&amp;sp_csd=d2lkZ2V0TmFtZT1zcF9kZXRhaWxfdGhlbWF0aWM</v>
      </c>
      <c r="Z197" s="37" t="str">
        <f>IFERROR(__xludf.DUMMYFUNCTION("IFERROR(VLOOKUP(G197,IMPORTRANGE(""https://docs.google.com/spreadsheets/d/12RxCea4e5ggM7QGn1XE3FbLQa_-QbCNdBi90OdPjRqg"", ""'Plan de Compras'!D4:Q""), 12, 0), ""NO ESTÁ EN REQ"")"),"Técnica")</f>
        <v>Técnica</v>
      </c>
      <c r="AA197" s="37" t="str">
        <f>IFERROR(__xludf.DUMMYFUNCTION("IFERROR(VLOOKUP(G197,IMPORTRANGE(""https://docs.google.com/spreadsheets/d/12RxCea4e5ggM7QGn1XE3FbLQa_-QbCNdBi90OdPjRqg"", ""'Plan de Compras'!D4:Q""), 13, 0), """")"),"INTERNACIONAL")</f>
        <v>INTERNACIONAL</v>
      </c>
      <c r="AB197" s="32" t="str">
        <f>IFERROR(__xludf.DUMMYFUNCTION("IFERROR(VLOOKUP(G197,IMPORTRANGE(""https://docs.google.com/spreadsheets/d/12RxCea4e5ggM7QGn1XE3FbLQa_-QbCNdBi90OdPjRqg"", ""'Plan de Compras'!D4:Q""), 14, 0), """")"),"GIANFRANCO")</f>
        <v>GIANFRANCO</v>
      </c>
      <c r="AC197" s="72" t="str">
        <f>IFERROR(__xludf.DUMMYFUNCTION("IFERROR(VLOOKUP(G197,IMPORTRANGE(""https://docs.google.com/spreadsheets/d/12RxCea4e5ggM7QGn1XE3FbLQa_-QbCNdBi90OdPjRqg"", ""'Plan de Compras'!D4:Q""), 4, 0), """")"),"RULETA")</f>
        <v>RULETA</v>
      </c>
      <c r="AD197" s="37" t="str">
        <f>IFERROR(__xludf.DUMMYFUNCTION("IFERROR(IF(OR(C197=TRUE,C197=""""),VLOOKUP(G197,IMPORTRANGE(""https://docs.google.com/spreadsheets/d/1z9A1Wq-kKrhRNG5RS2a2fKpY1wIhSVz2ZNmP2mOl588/edit?usp=sharing"",""REQ VF!E4:H""),4,0),""NO APLICA""),""GENERAR REQ"")"),"GENERAR REQ")</f>
        <v>GENERAR REQ</v>
      </c>
      <c r="AE197" s="32" t="str">
        <f>IFERROR(__xludf.DUMMYFUNCTION("IFERROR(QUERY(IMPORTRANGE(""https://docs.google.com/spreadsheets/d/1z9A1Wq-kKrhRNG5RS2a2fKpY1wIhSVz2ZNmP2mOl588/edit?usp=sharing"",""REQ VF!E4:Q""),""SELECT Col10, Col11, Col12 WHERE Col1 = '""&amp;G197&amp;""'"",0),""NO APLICA"")"),"NO APLICA")</f>
        <v>NO APLICA</v>
      </c>
      <c r="AF197" s="32"/>
      <c r="AG197" s="32"/>
      <c r="AH197" s="8" t="s">
        <v>52</v>
      </c>
      <c r="AI197" s="13"/>
    </row>
    <row r="198">
      <c r="A198" s="121">
        <v>128.0</v>
      </c>
      <c r="B198" s="43" t="b">
        <v>1</v>
      </c>
      <c r="C198" s="26" t="b">
        <v>1</v>
      </c>
      <c r="D198" s="26" t="s">
        <v>35</v>
      </c>
      <c r="E198" s="26" t="s">
        <v>1510</v>
      </c>
      <c r="F198" s="59" t="s">
        <v>2185</v>
      </c>
      <c r="G198" s="37" t="s">
        <v>2185</v>
      </c>
      <c r="H198" s="82" t="s">
        <v>2186</v>
      </c>
      <c r="I198" s="43">
        <f>SUMIFS('Hoja 10'!$O:$O,'Hoja 10'!$F:$F,$G198)</f>
        <v>4</v>
      </c>
      <c r="J198" s="26">
        <f>IFERROR(__xludf.DUMMYFUNCTION("VLOOKUP(G198,IMPORTRANGE(""https://docs.google.com/spreadsheets/d/12RxCea4e5ggM7QGn1XE3FbLQa_-QbCNdBi90OdPjRqg/edit?gid=1692403370#gid=1692403370"", ""'Plan de Compras'!D4:2432""), 8,0)"),4.0)</f>
        <v>4</v>
      </c>
      <c r="K198" s="26" t="str">
        <f t="shared" si="18"/>
        <v>SI</v>
      </c>
      <c r="L198" s="29" t="s">
        <v>77</v>
      </c>
      <c r="M198" s="30" t="s">
        <v>78</v>
      </c>
      <c r="N198" s="32"/>
      <c r="O198" s="32" t="str">
        <f>VLOOKUP($G198,'Hoja 10'!$F$4:$AA1057, 19,0)</f>
        <v>iSi America</v>
      </c>
      <c r="P198" s="32" t="str">
        <f>VLOOKUP($G198,'Hoja 10'!$F$4:$AA1057, 20,0)</f>
        <v>Gourmet Whip</v>
      </c>
      <c r="Q198" s="33" t="str">
        <f>VLOOKUP($G198,'Hoja 10'!$F$4:$AA1057, 21,0)</f>
        <v>https://www.amazon.com/iSi-North-America-Applications-Stainless/dp/B001U83TWW?utm_source=chatgpt.com&amp;th=1</v>
      </c>
      <c r="R198" s="86" t="s">
        <v>2187</v>
      </c>
      <c r="S198" s="34" t="b">
        <v>1</v>
      </c>
      <c r="T198" s="39" t="s">
        <v>2188</v>
      </c>
      <c r="U198" s="39" t="s">
        <v>2189</v>
      </c>
      <c r="V198" s="39" t="str">
        <f>IFERROR(__xludf.DUMMYFUNCTION(" IF
( VLOOKUP($G198,IMPORTRANGE(""https://docs.google.com/spreadsheets/d/1Gpl6jkTg7sL4VDNimUm3S9Vi1i95esohXCF3wuKOE8c"", ""'CONSOLIDADO'!G5:AB""), 10, 0) &lt;&gt; 0, 
IFERROR(VLOOKUP($G198,IMPORTRANGE(""https://docs.google.com/spreadsheets/d/1Gpl6jkTg7sL4VDNimU"&amp;"m3S9Vi1i95esohXCF3wuKOE8c"", ""'CONSOLIDADO'!G5:AB""), 17, 0), ""-""),
""""
)"),"ISI")</f>
        <v>ISI</v>
      </c>
      <c r="W198" s="39" t="str">
        <f>IFERROR(__xludf.DUMMYFUNCTION(" IF
( VLOOKUP($G198,IMPORTRANGE(""https://docs.google.com/spreadsheets/d/1Gpl6jkTg7sL4VDNimUm3S9Vi1i95esohXCF3wuKOE8c"", ""'CONSOLIDADO'!G5:AB""), 10, 0) &lt;&gt; 0, 
IFERROR(VLOOKUP($G198,IMPORTRANGE(""https://docs.google.com/spreadsheets/d/1Gpl6jkTg7sL4VDNimU"&amp;"m3S9Vi1i95esohXCF3wuKOE8c"", ""'CONSOLIDADO'!G5:AB""), 18, 0), ""-""),
""""
)"),"1LT - SIF004")</f>
        <v>1LT - SIF004</v>
      </c>
      <c r="X198" s="39" t="b">
        <f t="shared" si="23"/>
        <v>0</v>
      </c>
      <c r="Y198" s="120" t="s">
        <v>2190</v>
      </c>
      <c r="Z198" s="37" t="str">
        <f>IFERROR(__xludf.DUMMYFUNCTION("IFERROR(VLOOKUP(G198,IMPORTRANGE(""https://docs.google.com/spreadsheets/d/12RxCea4e5ggM7QGn1XE3FbLQa_-QbCNdBi90OdPjRqg"", ""'Plan de Compras'!D4:Q""), 12, 0), ""NO ESTÁ EN REQ"")"),"Técnica")</f>
        <v>Técnica</v>
      </c>
      <c r="AA198" s="37" t="str">
        <f>IFERROR(__xludf.DUMMYFUNCTION("IFERROR(VLOOKUP(G198,IMPORTRANGE(""https://docs.google.com/spreadsheets/d/12RxCea4e5ggM7QGn1XE3FbLQa_-QbCNdBi90OdPjRqg"", ""'Plan de Compras'!D4:Q""), 13, 0), """")"),"NACIONAL")</f>
        <v>NACIONAL</v>
      </c>
      <c r="AB198" s="32" t="str">
        <f>IFERROR(__xludf.DUMMYFUNCTION("IFERROR(VLOOKUP(G198,IMPORTRANGE(""https://docs.google.com/spreadsheets/d/12RxCea4e5ggM7QGn1XE3FbLQa_-QbCNdBi90OdPjRqg"", ""'Plan de Compras'!D4:Q""), 14, 0), """")"),"JESSICA")</f>
        <v>JESSICA</v>
      </c>
      <c r="AC198" s="72" t="str">
        <f>IFERROR(__xludf.DUMMYFUNCTION("IFERROR(VLOOKUP(G198,IMPORTRANGE(""https://docs.google.com/spreadsheets/d/12RxCea4e5ggM7QGn1XE3FbLQa_-QbCNdBi90OdPjRqg"", ""'Plan de Compras'!D4:Q""), 4, 0), """")"),"SIFON")</f>
        <v>SIFON</v>
      </c>
      <c r="AD198" s="37" t="str">
        <f>IFERROR(__xludf.DUMMYFUNCTION("IFERROR(IF(OR(C198=TRUE,C198=""""),VLOOKUP(G198,IMPORTRANGE(""https://docs.google.com/spreadsheets/d/1z9A1Wq-kKrhRNG5RS2a2fKpY1wIhSVz2ZNmP2mOl588/edit?usp=sharing"",""REQ VF!E4:H""),4,0),""NO APLICA""),""GENERAR REQ"")"),"GENERAR REQ")</f>
        <v>GENERAR REQ</v>
      </c>
      <c r="AE198" s="32" t="str">
        <f>IFERROR(__xludf.DUMMYFUNCTION("IFERROR(QUERY(IMPORTRANGE(""https://docs.google.com/spreadsheets/d/1z9A1Wq-kKrhRNG5RS2a2fKpY1wIhSVz2ZNmP2mOl588/edit?usp=sharing"",""REQ VF!E4:Q""),""SELECT Col10, Col11, Col12 WHERE Col1 = '""&amp;G198&amp;""'"",0),""NO APLICA"")"),"NO APLICA")</f>
        <v>NO APLICA</v>
      </c>
      <c r="AF198" s="32"/>
      <c r="AG198" s="32"/>
      <c r="AH198" s="13"/>
      <c r="AI198" s="13"/>
    </row>
    <row r="199">
      <c r="A199" s="121">
        <v>129.0</v>
      </c>
      <c r="B199" s="43" t="b">
        <v>1</v>
      </c>
      <c r="C199" s="26" t="b">
        <v>1</v>
      </c>
      <c r="D199" s="26" t="s">
        <v>35</v>
      </c>
      <c r="E199" s="26" t="s">
        <v>1510</v>
      </c>
      <c r="F199" s="59" t="s">
        <v>2191</v>
      </c>
      <c r="G199" s="37" t="s">
        <v>2191</v>
      </c>
      <c r="H199" s="82" t="s">
        <v>2192</v>
      </c>
      <c r="I199" s="43">
        <f>SUMIFS('Hoja 10'!$O:$O,'Hoja 10'!$F:$F,$G199)</f>
        <v>4</v>
      </c>
      <c r="J199" s="26">
        <f>IFERROR(__xludf.DUMMYFUNCTION("VLOOKUP(G199,IMPORTRANGE(""https://docs.google.com/spreadsheets/d/12RxCea4e5ggM7QGn1XE3FbLQa_-QbCNdBi90OdPjRqg/edit?gid=1692403370#gid=1692403370"", ""'Plan de Compras'!D4:2432""), 8,0)"),4.0)</f>
        <v>4</v>
      </c>
      <c r="K199" s="26" t="str">
        <f t="shared" si="18"/>
        <v>SI</v>
      </c>
      <c r="L199" s="29" t="s">
        <v>77</v>
      </c>
      <c r="M199" s="30" t="s">
        <v>78</v>
      </c>
      <c r="N199" s="32"/>
      <c r="O199" s="32" t="str">
        <f>VLOOKUP($G199,'Hoja 10'!$F$4:$AA1057, 19,0)</f>
        <v>BonJour</v>
      </c>
      <c r="P199" s="32" t="str">
        <f>VLOOKUP($G199,'Hoja 10'!$F$4:$AA1057, 20,0)</f>
        <v>Chef's Tools 53489</v>
      </c>
      <c r="Q199" s="33" t="str">
        <f>VLOOKUP($G199,'Hoja 10'!$F$4:$AA1057, 21,0)</f>
        <v>https://www.amazon.com/-/es/BonJour-Chefs-Tools-53489-inoxidable/dp/B000IZRWKI/ref=sr_1_3?crid=2C5J1M2J5DSMR&amp;dib=eyJ2IjoiMSJ9.6PUMt0JSN79GUZgr8UHnvwcZ3i-q4_rINBnSU4i7nYB1EJ03L2UFEYBlrZvhSb9D2ziZSuGGuSkZ4rRImfBPdx5aIBDac4HaZXkRJXwkH8Jht58gvtr1vQcMbAHRzq41RGxh8NCshcwKvZOX5WsxWZcOBP-sEEhinyCzpbjSi9LXhS6u517TvnSsQ8C0Y_VbZ0nPXwQST_ubMGeojpWi67uwJfkM0MLY9wu6qIQupJM.wUmddQV12EIjDosLmrVepvl5rTa-0qY6LelZTrIra_0&amp;dib_tag=se&amp;keywords=soplete+de+cocina+mini+con+ramekins+CARGA+65+ML&amp;qid=1759180616&amp;sprefix=soplete+de+cocina+mini+con+ramekins+carga+65+ml%2Caps%2C159&amp;sr=8-3&amp;xpid=q2Ba1qI_6hdYT</v>
      </c>
      <c r="R199" s="86" t="s">
        <v>2193</v>
      </c>
      <c r="S199" s="34" t="b">
        <v>1</v>
      </c>
      <c r="T199" s="39" t="s">
        <v>2194</v>
      </c>
      <c r="U199" s="39" t="s">
        <v>2195</v>
      </c>
      <c r="V199" s="39" t="str">
        <f>IFERROR(__xludf.DUMMYFUNCTION(" IF
( VLOOKUP($G199,IMPORTRANGE(""https://docs.google.com/spreadsheets/d/1Gpl6jkTg7sL4VDNimUm3S9Vi1i95esohXCF3wuKOE8c"", ""'CONSOLIDADO'!G5:AB""), 10, 0) &lt;&gt; 0, 
IFERROR(VLOOKUP($G199,IMPORTRANGE(""https://docs.google.com/spreadsheets/d/1Gpl6jkTg7sL4VDNimU"&amp;"m3S9Vi1i95esohXCF3wuKOE8c"", ""'CONSOLIDADO'!G5:AB""), 17, 0), ""-""),
""""
)"),"GENÉRICO")</f>
        <v>GENÉRICO</v>
      </c>
      <c r="W199" s="39" t="str">
        <f>IFERROR(__xludf.DUMMYFUNCTION(" IF
( VLOOKUP($G199,IMPORTRANGE(""https://docs.google.com/spreadsheets/d/1Gpl6jkTg7sL4VDNimUm3S9Vi1i95esohXCF3wuKOE8c"", ""'CONSOLIDADO'!G5:AB""), 10, 0) &lt;&gt; 0, 
IFERROR(VLOOKUP($G199,IMPORTRANGE(""https://docs.google.com/spreadsheets/d/1Gpl6jkTg7sL4VDNimU"&amp;"m3S9Vi1i95esohXCF3wuKOE8c"", ""'CONSOLIDADO'!G5:AB""), 18, 0), ""-""),
""""
)"),"BS-600 + Gas Butano Friss 480ml")</f>
        <v>BS-600 + Gas Butano Friss 480ml</v>
      </c>
      <c r="X199" s="39" t="b">
        <f t="shared" si="23"/>
        <v>0</v>
      </c>
      <c r="Y199" s="120" t="s">
        <v>2196</v>
      </c>
      <c r="Z199" s="37" t="str">
        <f>IFERROR(__xludf.DUMMYFUNCTION("IFERROR(VLOOKUP(G199,IMPORTRANGE(""https://docs.google.com/spreadsheets/d/12RxCea4e5ggM7QGn1XE3FbLQa_-QbCNdBi90OdPjRqg"", ""'Plan de Compras'!D4:Q""), 12, 0), ""NO ESTÁ EN REQ"")"),"Técnica")</f>
        <v>Técnica</v>
      </c>
      <c r="AA199" s="37" t="str">
        <f>IFERROR(__xludf.DUMMYFUNCTION("IFERROR(VLOOKUP(G199,IMPORTRANGE(""https://docs.google.com/spreadsheets/d/12RxCea4e5ggM7QGn1XE3FbLQa_-QbCNdBi90OdPjRqg"", ""'Plan de Compras'!D4:Q""), 13, 0), """")"),"NACIONAL")</f>
        <v>NACIONAL</v>
      </c>
      <c r="AB199" s="32" t="str">
        <f>IFERROR(__xludf.DUMMYFUNCTION("IFERROR(VLOOKUP(G199,IMPORTRANGE(""https://docs.google.com/spreadsheets/d/12RxCea4e5ggM7QGn1XE3FbLQa_-QbCNdBi90OdPjRqg"", ""'Plan de Compras'!D4:Q""), 14, 0), """")"),"ANGIE")</f>
        <v>ANGIE</v>
      </c>
      <c r="AC199" s="72" t="str">
        <f>IFERROR(__xludf.DUMMYFUNCTION("IFERROR(VLOOKUP(G199,IMPORTRANGE(""https://docs.google.com/spreadsheets/d/12RxCea4e5ggM7QGn1XE3FbLQa_-QbCNdBi90OdPjRqg"", ""'Plan de Compras'!D4:Q""), 4, 0), """")"),"SOPLETE DE COCINA MINI")</f>
        <v>SOPLETE DE COCINA MINI</v>
      </c>
      <c r="AD199" s="37" t="str">
        <f>IFERROR(__xludf.DUMMYFUNCTION("IFERROR(IF(OR(C199=TRUE,C199=""""),VLOOKUP(G199,IMPORTRANGE(""https://docs.google.com/spreadsheets/d/1z9A1Wq-kKrhRNG5RS2a2fKpY1wIhSVz2ZNmP2mOl588/edit?usp=sharing"",""REQ VF!E4:H""),4,0),""NO APLICA""),""GENERAR REQ"")"),"GENERAR REQ")</f>
        <v>GENERAR REQ</v>
      </c>
      <c r="AE199" s="32" t="str">
        <f>IFERROR(__xludf.DUMMYFUNCTION("IFERROR(QUERY(IMPORTRANGE(""https://docs.google.com/spreadsheets/d/1z9A1Wq-kKrhRNG5RS2a2fKpY1wIhSVz2ZNmP2mOl588/edit?usp=sharing"",""REQ VF!E4:Q""),""SELECT Col10, Col11, Col12 WHERE Col1 = '""&amp;G199&amp;""'"",0),""NO APLICA"")"),"NO APLICA")</f>
        <v>NO APLICA</v>
      </c>
      <c r="AF199" s="32"/>
      <c r="AG199" s="32"/>
      <c r="AH199" s="13"/>
      <c r="AI199" s="13"/>
    </row>
    <row r="200">
      <c r="A200" s="43"/>
      <c r="B200" s="43"/>
      <c r="C200" s="26" t="b">
        <v>1</v>
      </c>
      <c r="D200" s="26" t="s">
        <v>42</v>
      </c>
      <c r="E200" s="43" t="s">
        <v>1510</v>
      </c>
      <c r="F200" s="39" t="s">
        <v>2191</v>
      </c>
      <c r="G200" s="39" t="s">
        <v>2197</v>
      </c>
      <c r="H200" s="66" t="s">
        <v>2198</v>
      </c>
      <c r="I200" s="43">
        <f>1*I199</f>
        <v>4</v>
      </c>
      <c r="J200" s="26">
        <f>IFERROR(__xludf.DUMMYFUNCTION("VLOOKUP(G200,IMPORTRANGE(""https://docs.google.com/spreadsheets/d/12RxCea4e5ggM7QGn1XE3FbLQa_-QbCNdBi90OdPjRqg/edit?gid=1692403370#gid=1692403370"", ""'Plan de Compras'!D4:2432""), 8,0)"),4.0)</f>
        <v>4</v>
      </c>
      <c r="K200" s="26" t="str">
        <f t="shared" si="18"/>
        <v>SI</v>
      </c>
      <c r="L200" s="29"/>
      <c r="M200" s="61"/>
      <c r="N200" s="32"/>
      <c r="O200" s="32"/>
      <c r="P200" s="32"/>
      <c r="Q200" s="41"/>
      <c r="R200" s="32"/>
      <c r="S200" s="34" t="b">
        <v>1</v>
      </c>
      <c r="T200" s="39" t="s">
        <v>2199</v>
      </c>
      <c r="U200" s="39" t="s">
        <v>2200</v>
      </c>
      <c r="V200" s="39"/>
      <c r="W200" s="39"/>
      <c r="X200" s="39"/>
      <c r="Y200" s="120" t="s">
        <v>2201</v>
      </c>
      <c r="Z200" s="37" t="str">
        <f>IFERROR(__xludf.DUMMYFUNCTION("IFERROR(VLOOKUP(G200,IMPORTRANGE(""https://docs.google.com/spreadsheets/d/12RxCea4e5ggM7QGn1XE3FbLQa_-QbCNdBi90OdPjRqg"", ""'Plan de Compras'!D4:Q""), 12, 0), ""NO ESTÁ EN REQ"")"),"Simple")</f>
        <v>Simple</v>
      </c>
      <c r="AA200" s="37" t="str">
        <f>IFERROR(__xludf.DUMMYFUNCTION("IFERROR(VLOOKUP(G200,IMPORTRANGE(""https://docs.google.com/spreadsheets/d/12RxCea4e5ggM7QGn1XE3FbLQa_-QbCNdBi90OdPjRqg"", ""'Plan de Compras'!D4:Q""), 13, 0), """")"),"NACIONAL")</f>
        <v>NACIONAL</v>
      </c>
      <c r="AB200" s="32" t="str">
        <f>IFERROR(__xludf.DUMMYFUNCTION("IFERROR(VLOOKUP(G200,IMPORTRANGE(""https://docs.google.com/spreadsheets/d/12RxCea4e5ggM7QGn1XE3FbLQa_-QbCNdBi90OdPjRqg"", ""'Plan de Compras'!D4:Q""), 14, 0), """")"),"ANGIE")</f>
        <v>ANGIE</v>
      </c>
      <c r="AC200" s="72" t="str">
        <f>IFERROR(__xludf.DUMMYFUNCTION("IFERROR(VLOOKUP(G200,IMPORTRANGE(""https://docs.google.com/spreadsheets/d/12RxCea4e5ggM7QGn1XE3FbLQa_-QbCNdBi90OdPjRqg"", ""'Plan de Compras'!D4:Q""), 4, 0), """")"),"SET DE RAMEKINES (1  SET)")</f>
        <v>SET DE RAMEKINES (1  SET)</v>
      </c>
      <c r="AD200" s="37" t="str">
        <f>IFERROR(__xludf.DUMMYFUNCTION("IFERROR(IF(OR(C200=TRUE,C200=""""),VLOOKUP(G200,IMPORTRANGE(""https://docs.google.com/spreadsheets/d/1z9A1Wq-kKrhRNG5RS2a2fKpY1wIhSVz2ZNmP2mOl588/edit?usp=sharing"",""REQ VF!E4:H""),4,0),""NO APLICA""),""GENERAR REQ"")"),"GENERAR REQ")</f>
        <v>GENERAR REQ</v>
      </c>
      <c r="AE200" s="32" t="str">
        <f>IFERROR(__xludf.DUMMYFUNCTION("IFERROR(QUERY(IMPORTRANGE(""https://docs.google.com/spreadsheets/d/1z9A1Wq-kKrhRNG5RS2a2fKpY1wIhSVz2ZNmP2mOl588/edit?usp=sharing"",""REQ VF!E4:Q""),""SELECT Col10, Col11, Col12 WHERE Col1 = '""&amp;G200&amp;""'"",0),""NO APLICA"")"),"NO APLICA")</f>
        <v>NO APLICA</v>
      </c>
      <c r="AF200" s="32"/>
      <c r="AG200" s="32"/>
      <c r="AH200" s="8"/>
      <c r="AI200" s="13"/>
    </row>
    <row r="201">
      <c r="A201" s="117">
        <v>130.0</v>
      </c>
      <c r="B201" s="43" t="b">
        <v>1</v>
      </c>
      <c r="C201" s="26" t="b">
        <v>1</v>
      </c>
      <c r="D201" s="26" t="s">
        <v>35</v>
      </c>
      <c r="E201" s="26" t="s">
        <v>1510</v>
      </c>
      <c r="F201" s="59" t="s">
        <v>2202</v>
      </c>
      <c r="G201" s="37" t="s">
        <v>2202</v>
      </c>
      <c r="H201" s="82" t="s">
        <v>2203</v>
      </c>
      <c r="I201" s="43">
        <f>SUMIFS('Hoja 10'!$O:$O,'Hoja 10'!$F:$F,$G201)</f>
        <v>4</v>
      </c>
      <c r="J201" s="26">
        <f>IFERROR(__xludf.DUMMYFUNCTION("VLOOKUP(G201,IMPORTRANGE(""https://docs.google.com/spreadsheets/d/12RxCea4e5ggM7QGn1XE3FbLQa_-QbCNdBi90OdPjRqg/edit?gid=1692403370#gid=1692403370"", ""'Plan de Compras'!D4:2432""), 8,0)"),4.0)</f>
        <v>4</v>
      </c>
      <c r="K201" s="26" t="str">
        <f t="shared" si="18"/>
        <v>SI</v>
      </c>
      <c r="L201" s="29" t="s">
        <v>122</v>
      </c>
      <c r="M201" s="30" t="s">
        <v>123</v>
      </c>
      <c r="N201" s="32" t="s">
        <v>2204</v>
      </c>
      <c r="O201" s="32"/>
      <c r="P201" s="32"/>
      <c r="Q201" s="33" t="s">
        <v>2205</v>
      </c>
      <c r="R201" s="86" t="s">
        <v>2206</v>
      </c>
      <c r="S201" s="44" t="b">
        <v>1</v>
      </c>
      <c r="T201" s="39" t="str">
        <f>IFERROR(__xludf.DUMMYFUNCTION(" IF
( VLOOKUP($G201,IMPORTRANGE(""https://docs.google.com/spreadsheets/d/1Gpl6jkTg7sL4VDNimUm3S9Vi1i95esohXCF3wuKOE8c"", ""'CONSOLIDADO'!G5:AB""), 10, 0) &lt;&gt; 0, 
IFERROR(VLOOKUP($G201,IMPORTRANGE(""https://docs.google.com/spreadsheets/d/1Gpl6jkTg7sL4VDNimU"&amp;"m3S9Vi1i95esohXCF3wuKOE8c"", ""'CONSOLIDADO'!G5:AB""), 17, 0), ""-""),
""""
)"),"TAKEMA")</f>
        <v>TAKEMA</v>
      </c>
      <c r="U201" s="39" t="str">
        <f>IFERROR(__xludf.DUMMYFUNCTION(" IF
( VLOOKUP($G201,IMPORTRANGE(""https://docs.google.com/spreadsheets/d/1Gpl6jkTg7sL4VDNimUm3S9Vi1i95esohXCF3wuKOE8c"", ""'CONSOLIDADO'!G5:AB""), 10, 0) &lt;&gt; 0, 
IFERROR(VLOOKUP($G201,IMPORTRANGE(""https://docs.google.com/spreadsheets/d/1Gpl6jkTg7sL4VDNimU"&amp;"m3S9Vi1i95esohXCF3wuKOE8c"", ""'CONSOLIDADO'!G5:AB""), 18, 0), ""-""),
""""
)"),"ZD-158-1A")</f>
        <v>ZD-158-1A</v>
      </c>
      <c r="V201" s="39" t="str">
        <f>IFERROR(__xludf.DUMMYFUNCTION(" IF
( VLOOKUP($G201,IMPORTRANGE(""https://docs.google.com/spreadsheets/d/1Gpl6jkTg7sL4VDNimUm3S9Vi1i95esohXCF3wuKOE8c"", ""'CONSOLIDADO'!G5:AB""), 10, 0) &lt;&gt; 0, 
IFERROR(VLOOKUP($G201,IMPORTRANGE(""https://docs.google.com/spreadsheets/d/1Gpl6jkTg7sL4VDNimU"&amp;"m3S9Vi1i95esohXCF3wuKOE8c"", ""'CONSOLIDADO'!G5:AB""), 17, 0), ""-""),
""""
)"),"TAKEMA")</f>
        <v>TAKEMA</v>
      </c>
      <c r="W201" s="39" t="str">
        <f>IFERROR(__xludf.DUMMYFUNCTION(" IF
( VLOOKUP($G201,IMPORTRANGE(""https://docs.google.com/spreadsheets/d/1Gpl6jkTg7sL4VDNimUm3S9Vi1i95esohXCF3wuKOE8c"", ""'CONSOLIDADO'!G5:AB""), 10, 0) &lt;&gt; 0, 
IFERROR(VLOOKUP($G201,IMPORTRANGE(""https://docs.google.com/spreadsheets/d/1Gpl6jkTg7sL4VDNimU"&amp;"m3S9Vi1i95esohXCF3wuKOE8c"", ""'CONSOLIDADO'!G5:AB""), 18, 0), ""-""),
""""
)"),"ZD-158-1A")</f>
        <v>ZD-158-1A</v>
      </c>
      <c r="X201" s="39" t="b">
        <f>IF(AND(T201=V201,W201=U201),TRUE,FALSE)</f>
        <v>1</v>
      </c>
      <c r="Y201" s="120" t="str">
        <f>IFERROR(__xludf.DUMMYFUNCTION(" IF
( VLOOKUP($G201,IMPORTRANGE(""https://docs.google.com/spreadsheets/d/1Gpl6jkTg7sL4VDNimUm3S9Vi1i95esohXCF3wuKOE8c"", ""'CONSOLIDADO'!G5:AB""), 10, 0) &lt;&gt; 0, 
IFERROR(VLOOKUP($G201,IMPORTRANGE(""https://docs.google.com/spreadsheets/d/1Gpl6jkTg7sL4VDNimU"&amp;"m3S9Vi1i95esohXCF3wuKOE8c"", ""'CONSOLIDADO'!G5:AB""), 19, 0), ""-""),
""""
)"),"https://westor.pe/tapete-antiestatico-para-reparacion-electronica-zd-158-1a-takema/")</f>
        <v>https://westor.pe/tapete-antiestatico-para-reparacion-electronica-zd-158-1a-takema/</v>
      </c>
      <c r="Z201" s="37" t="str">
        <f>IFERROR(__xludf.DUMMYFUNCTION("IFERROR(VLOOKUP(G201,IMPORTRANGE(""https://docs.google.com/spreadsheets/d/12RxCea4e5ggM7QGn1XE3FbLQa_-QbCNdBi90OdPjRqg"", ""'Plan de Compras'!D4:Q""), 12, 0), ""NO ESTÁ EN REQ"")"),"Técnica")</f>
        <v>Técnica</v>
      </c>
      <c r="AA201" s="37" t="str">
        <f>IFERROR(__xludf.DUMMYFUNCTION("IFERROR(VLOOKUP(G201,IMPORTRANGE(""https://docs.google.com/spreadsheets/d/12RxCea4e5ggM7QGn1XE3FbLQa_-QbCNdBi90OdPjRqg"", ""'Plan de Compras'!D4:Q""), 13, 0), """")"),"NACIONAL")</f>
        <v>NACIONAL</v>
      </c>
      <c r="AB201" s="32" t="str">
        <f>IFERROR(__xludf.DUMMYFUNCTION("IFERROR(VLOOKUP(G201,IMPORTRANGE(""https://docs.google.com/spreadsheets/d/12RxCea4e5ggM7QGn1XE3FbLQa_-QbCNdBi90OdPjRqg"", ""'Plan de Compras'!D4:Q""), 14, 0), """")"),"ANGIE")</f>
        <v>ANGIE</v>
      </c>
      <c r="AC201" s="72" t="str">
        <f>IFERROR(__xludf.DUMMYFUNCTION("IFERROR(VLOOKUP(G201,IMPORTRANGE(""https://docs.google.com/spreadsheets/d/12RxCea4e5ggM7QGn1XE3FbLQa_-QbCNdBi90OdPjRqg"", ""'Plan de Compras'!D4:Q""), 4, 0), """")"),"TAPETE Y SUJETADOR DE PLACAS")</f>
        <v>TAPETE Y SUJETADOR DE PLACAS</v>
      </c>
      <c r="AD201" s="37" t="str">
        <f>IFERROR(__xludf.DUMMYFUNCTION("IFERROR(IF(OR(C201=TRUE,C201=""""),VLOOKUP(G201,IMPORTRANGE(""https://docs.google.com/spreadsheets/d/1z9A1Wq-kKrhRNG5RS2a2fKpY1wIhSVz2ZNmP2mOl588/edit?usp=sharing"",""REQ VF!E4:H""),4,0),""NO APLICA""),""GENERAR REQ"")"),"GENERAR REQ")</f>
        <v>GENERAR REQ</v>
      </c>
      <c r="AE201" s="32" t="str">
        <f>IFERROR(__xludf.DUMMYFUNCTION("IFERROR(QUERY(IMPORTRANGE(""https://docs.google.com/spreadsheets/d/1z9A1Wq-kKrhRNG5RS2a2fKpY1wIhSVz2ZNmP2mOl588/edit?usp=sharing"",""REQ VF!E4:Q""),""SELECT Col10, Col11, Col12 WHERE Col1 = '""&amp;G201&amp;""'"",0),""NO APLICA"")"),"NO APLICA")</f>
        <v>NO APLICA</v>
      </c>
      <c r="AF201" s="32"/>
      <c r="AG201" s="32"/>
      <c r="AH201" s="8" t="s">
        <v>52</v>
      </c>
      <c r="AI201" s="13"/>
    </row>
    <row r="202">
      <c r="A202" s="43"/>
      <c r="B202" s="43"/>
      <c r="C202" s="26" t="b">
        <v>1</v>
      </c>
      <c r="D202" s="26" t="s">
        <v>42</v>
      </c>
      <c r="E202" s="26" t="s">
        <v>1510</v>
      </c>
      <c r="F202" s="59" t="s">
        <v>2202</v>
      </c>
      <c r="G202" s="39" t="s">
        <v>2207</v>
      </c>
      <c r="H202" s="66" t="s">
        <v>2208</v>
      </c>
      <c r="I202" s="43">
        <v>4.0</v>
      </c>
      <c r="J202" s="26">
        <f>IFERROR(__xludf.DUMMYFUNCTION("VLOOKUP(G202,IMPORTRANGE(""https://docs.google.com/spreadsheets/d/12RxCea4e5ggM7QGn1XE3FbLQa_-QbCNdBi90OdPjRqg/edit?gid=1692403370#gid=1692403370"", ""'Plan de Compras'!D4:2432""), 8,0)"),4.0)</f>
        <v>4</v>
      </c>
      <c r="K202" s="26" t="str">
        <f t="shared" si="18"/>
        <v>SI</v>
      </c>
      <c r="L202" s="29"/>
      <c r="M202" s="61"/>
      <c r="N202" s="32"/>
      <c r="O202" s="32"/>
      <c r="P202" s="32"/>
      <c r="Q202" s="41"/>
      <c r="R202" s="32"/>
      <c r="S202" s="44" t="b">
        <v>1</v>
      </c>
      <c r="T202" s="39" t="s">
        <v>2209</v>
      </c>
      <c r="U202" s="39" t="s">
        <v>2210</v>
      </c>
      <c r="V202" s="39"/>
      <c r="W202" s="39"/>
      <c r="X202" s="39"/>
      <c r="Y202" s="125" t="s">
        <v>2211</v>
      </c>
      <c r="Z202" s="37" t="str">
        <f>IFERROR(__xludf.DUMMYFUNCTION("IFERROR(VLOOKUP(G202,IMPORTRANGE(""https://docs.google.com/spreadsheets/d/12RxCea4e5ggM7QGn1XE3FbLQa_-QbCNdBi90OdPjRqg"", ""'Plan de Compras'!D4:Q""), 12, 0), ""NO ESTÁ EN REQ"")"),"Técnica")</f>
        <v>Técnica</v>
      </c>
      <c r="AA202" s="37" t="str">
        <f>IFERROR(__xludf.DUMMYFUNCTION("IFERROR(VLOOKUP(G202,IMPORTRANGE(""https://docs.google.com/spreadsheets/d/12RxCea4e5ggM7QGn1XE3FbLQa_-QbCNdBi90OdPjRqg"", ""'Plan de Compras'!D4:Q""), 13, 0), """")"),"NACIONAL")</f>
        <v>NACIONAL</v>
      </c>
      <c r="AB202" s="32" t="str">
        <f>IFERROR(__xludf.DUMMYFUNCTION("IFERROR(VLOOKUP(G202,IMPORTRANGE(""https://docs.google.com/spreadsheets/d/12RxCea4e5ggM7QGn1XE3FbLQa_-QbCNdBi90OdPjRqg"", ""'Plan de Compras'!D4:Q""), 14, 0), """")"),"ANGIE")</f>
        <v>ANGIE</v>
      </c>
      <c r="AC202" s="72" t="str">
        <f>IFERROR(__xludf.DUMMYFUNCTION("IFERROR(VLOOKUP(G202,IMPORTRANGE(""https://docs.google.com/spreadsheets/d/12RxCea4e5ggM7QGn1XE3FbLQa_-QbCNdBi90OdPjRqg"", ""'Plan de Compras'!D4:Q""), 4, 0), """")"),"SUJETADOR DE PLACAS (1 UND)")</f>
        <v>SUJETADOR DE PLACAS (1 UND)</v>
      </c>
      <c r="AD202" s="37" t="str">
        <f>IFERROR(__xludf.DUMMYFUNCTION("IFERROR(IF(OR(C202=TRUE,C202=""""),VLOOKUP(G202,IMPORTRANGE(""https://docs.google.com/spreadsheets/d/1z9A1Wq-kKrhRNG5RS2a2fKpY1wIhSVz2ZNmP2mOl588/edit?usp=sharing"",""REQ VF!E4:H""),4,0),""NO APLICA""),""GENERAR REQ"")"),"GENERAR REQ")</f>
        <v>GENERAR REQ</v>
      </c>
      <c r="AE202" s="32" t="str">
        <f>IFERROR(__xludf.DUMMYFUNCTION("IFERROR(QUERY(IMPORTRANGE(""https://docs.google.com/spreadsheets/d/1z9A1Wq-kKrhRNG5RS2a2fKpY1wIhSVz2ZNmP2mOl588/edit?usp=sharing"",""REQ VF!E4:Q""),""SELECT Col10, Col11, Col12 WHERE Col1 = '""&amp;G202&amp;""'"",0),""NO APLICA"")"),"NO APLICA")</f>
        <v>NO APLICA</v>
      </c>
      <c r="AF202" s="32"/>
      <c r="AG202" s="32"/>
      <c r="AH202" s="13"/>
      <c r="AI202" s="13"/>
    </row>
    <row r="203">
      <c r="A203" s="117">
        <v>131.0</v>
      </c>
      <c r="B203" s="43" t="b">
        <v>1</v>
      </c>
      <c r="C203" s="26" t="b">
        <v>1</v>
      </c>
      <c r="D203" s="26" t="s">
        <v>35</v>
      </c>
      <c r="E203" s="26" t="s">
        <v>1510</v>
      </c>
      <c r="F203" s="59" t="s">
        <v>2212</v>
      </c>
      <c r="G203" s="37" t="s">
        <v>2212</v>
      </c>
      <c r="H203" s="82" t="s">
        <v>2213</v>
      </c>
      <c r="I203" s="43">
        <f>SUMIFS('Hoja 10'!$O:$O,'Hoja 10'!$F:$F,$G203)</f>
        <v>20</v>
      </c>
      <c r="J203" s="26">
        <f>IFERROR(__xludf.DUMMYFUNCTION("VLOOKUP(G203,IMPORTRANGE(""https://docs.google.com/spreadsheets/d/12RxCea4e5ggM7QGn1XE3FbLQa_-QbCNdBi90OdPjRqg/edit?gid=1692403370#gid=1692403370"", ""'Plan de Compras'!D4:2432""), 8,0)"),20.0)</f>
        <v>20</v>
      </c>
      <c r="K203" s="26" t="str">
        <f t="shared" si="18"/>
        <v>SI</v>
      </c>
      <c r="L203" s="29" t="s">
        <v>39</v>
      </c>
      <c r="M203" s="30" t="s">
        <v>40</v>
      </c>
      <c r="N203" s="32"/>
      <c r="O203" s="32" t="str">
        <f>VLOOKUP($G203,'Hoja 10'!$F$4:$AA1057, 19,0)</f>
        <v>GIBBEN</v>
      </c>
      <c r="P203" s="32">
        <f>VLOOKUP($G203,'Hoja 10'!$F$4:$AA1057, 20,0)</f>
        <v>1380683</v>
      </c>
      <c r="Q203" s="33" t="str">
        <f>VLOOKUP($G203,'Hoja 10'!$F$4:$AA1057, 21,0)</f>
        <v>https://simple.ripley.com.pe/taza-gibben-cernidor-plateado-a-tamizadora-chica-reposteria-pmp00003112707?srsltid=AfmBOorF4Fq0XUAbLh5Z_ZZcIytS7Qxh7hEzb8Fpyoa6_IdMdWBKO1IA&amp;color_80=plateado&amp;s=mdco</v>
      </c>
      <c r="R203" s="86" t="s">
        <v>2214</v>
      </c>
      <c r="S203" s="44" t="b">
        <v>1</v>
      </c>
      <c r="T203" s="39" t="s">
        <v>2215</v>
      </c>
      <c r="U203" s="39" t="s">
        <v>2216</v>
      </c>
      <c r="V203" s="39" t="str">
        <f>IFERROR(__xludf.DUMMYFUNCTION(" IF
( VLOOKUP($G203,IMPORTRANGE(""https://docs.google.com/spreadsheets/d/1Gpl6jkTg7sL4VDNimUm3S9Vi1i95esohXCF3wuKOE8c"", ""'CONSOLIDADO'!G5:AB""), 10, 0) &lt;&gt; 0, 
IFERROR(VLOOKUP($G203,IMPORTRANGE(""https://docs.google.com/spreadsheets/d/1Gpl6jkTg7sL4VDNimU"&amp;"m3S9Vi1i95esohXCF3wuKOE8c"", ""'CONSOLIDADO'!G5:AB""), 17, 0), ""-""),
""""
)"),"GIBBEN")</f>
        <v>GIBBEN</v>
      </c>
      <c r="W203" s="39" t="str">
        <f>IFERROR(__xludf.DUMMYFUNCTION(" IF
( VLOOKUP($G203,IMPORTRANGE(""https://docs.google.com/spreadsheets/d/1Gpl6jkTg7sL4VDNimUm3S9Vi1i95esohXCF3wuKOE8c"", ""'CONSOLIDADO'!G5:AB""), 10, 0) &lt;&gt; 0, 
IFERROR(VLOOKUP($G203,IMPORTRANGE(""https://docs.google.com/spreadsheets/d/1Gpl6jkTg7sL4VDNimU"&amp;"m3S9Vi1i95esohXCF3wuKOE8c"", ""'CONSOLIDADO'!G5:AB""), 18, 0), ""-""),
""""
)"),"9.5 cm x 13 cm x 10.5 cm.")</f>
        <v>9.5 cm x 13 cm x 10.5 cm.</v>
      </c>
      <c r="X203" s="39" t="b">
        <f t="shared" ref="X203:X205" si="24">IF(AND(T203=V203,W203=U203),TRUE,FALSE)</f>
        <v>1</v>
      </c>
      <c r="Y203" s="120" t="s">
        <v>2217</v>
      </c>
      <c r="Z203" s="37" t="str">
        <f>IFERROR(__xludf.DUMMYFUNCTION("IFERROR(VLOOKUP(G203,IMPORTRANGE(""https://docs.google.com/spreadsheets/d/12RxCea4e5ggM7QGn1XE3FbLQa_-QbCNdBi90OdPjRqg"", ""'Plan de Compras'!D4:Q""), 12, 0), ""NO ESTÁ EN REQ"")"),"Simple")</f>
        <v>Simple</v>
      </c>
      <c r="AA203" s="37" t="str">
        <f>IFERROR(__xludf.DUMMYFUNCTION("IFERROR(VLOOKUP(G203,IMPORTRANGE(""https://docs.google.com/spreadsheets/d/12RxCea4e5ggM7QGn1XE3FbLQa_-QbCNdBi90OdPjRqg"", ""'Plan de Compras'!D4:Q""), 13, 0), """")"),"NACIONAL")</f>
        <v>NACIONAL</v>
      </c>
      <c r="AB203" s="32" t="str">
        <f>IFERROR(__xludf.DUMMYFUNCTION("IFERROR(VLOOKUP(G203,IMPORTRANGE(""https://docs.google.com/spreadsheets/d/12RxCea4e5ggM7QGn1XE3FbLQa_-QbCNdBi90OdPjRqg"", ""'Plan de Compras'!D4:Q""), 14, 0), """")"),"JESSICA")</f>
        <v>JESSICA</v>
      </c>
      <c r="AC203" s="72" t="str">
        <f>IFERROR(__xludf.DUMMYFUNCTION("IFERROR(VLOOKUP(G203,IMPORTRANGE(""https://docs.google.com/spreadsheets/d/12RxCea4e5ggM7QGn1XE3FbLQa_-QbCNdBi90OdPjRqg"", ""'Plan de Compras'!D4:Q""), 4, 0), """")"),"TAZA CERNIDORA DE HARINA ACERO INOXIDABLE PASTELERÍA")</f>
        <v>TAZA CERNIDORA DE HARINA ACERO INOXIDABLE PASTELERÍA</v>
      </c>
      <c r="AD203" s="37" t="str">
        <f>IFERROR(__xludf.DUMMYFUNCTION("IFERROR(IF(OR(C203=TRUE,C203=""""),VLOOKUP(G203,IMPORTRANGE(""https://docs.google.com/spreadsheets/d/1z9A1Wq-kKrhRNG5RS2a2fKpY1wIhSVz2ZNmP2mOl588/edit?usp=sharing"",""REQ VF!E4:H""),4,0),""NO APLICA""),""GENERAR REQ"")"),"GENERAR REQ")</f>
        <v>GENERAR REQ</v>
      </c>
      <c r="AE203" s="32" t="str">
        <f>IFERROR(__xludf.DUMMYFUNCTION("IFERROR(QUERY(IMPORTRANGE(""https://docs.google.com/spreadsheets/d/1z9A1Wq-kKrhRNG5RS2a2fKpY1wIhSVz2ZNmP2mOl588/edit?usp=sharing"",""REQ VF!E4:Q""),""SELECT Col10, Col11, Col12 WHERE Col1 = '""&amp;G203&amp;""'"",0),""NO APLICA"")"),"NO APLICA")</f>
        <v>NO APLICA</v>
      </c>
      <c r="AF203" s="32"/>
      <c r="AG203" s="32"/>
      <c r="AH203" s="8" t="s">
        <v>52</v>
      </c>
      <c r="AI203" s="13"/>
    </row>
    <row r="204">
      <c r="A204" s="121">
        <v>132.0</v>
      </c>
      <c r="B204" s="43" t="b">
        <v>1</v>
      </c>
      <c r="C204" s="26" t="b">
        <v>1</v>
      </c>
      <c r="D204" s="26" t="s">
        <v>35</v>
      </c>
      <c r="E204" s="26" t="s">
        <v>1510</v>
      </c>
      <c r="F204" s="59" t="s">
        <v>2218</v>
      </c>
      <c r="G204" s="37" t="s">
        <v>2218</v>
      </c>
      <c r="H204" s="82" t="s">
        <v>2219</v>
      </c>
      <c r="I204" s="43">
        <f>SUMIFS('Hoja 10'!$O:$O,'Hoja 10'!$F:$F,$G204)</f>
        <v>4</v>
      </c>
      <c r="J204" s="26">
        <f>IFERROR(__xludf.DUMMYFUNCTION("VLOOKUP(G204,IMPORTRANGE(""https://docs.google.com/spreadsheets/d/12RxCea4e5ggM7QGn1XE3FbLQa_-QbCNdBi90OdPjRqg/edit?gid=1692403370#gid=1692403370"", ""'Plan de Compras'!D4:2432""), 8,0)"),4.0)</f>
        <v>4</v>
      </c>
      <c r="K204" s="26" t="str">
        <f t="shared" si="18"/>
        <v>SI</v>
      </c>
      <c r="L204" s="29" t="s">
        <v>77</v>
      </c>
      <c r="M204" s="30" t="s">
        <v>78</v>
      </c>
      <c r="N204" s="32"/>
      <c r="O204" s="32" t="str">
        <f>VLOOKUP($G204,'Hoja 10'!$F$4:$AA1057, 19,0)</f>
        <v>Browin</v>
      </c>
      <c r="P204" s="32">
        <f>VLOOKUP($G204,'Hoja 10'!$F$4:$AA1057, 20,0)</f>
        <v>100600</v>
      </c>
      <c r="Q204" s="33" t="str">
        <f>VLOOKUP($G204,'Hoja 10'!$F$4:$AA1057, 21,0)</f>
        <v>https://www.amazon.es/dp/B077HZSPW7?ref=nb_sb_ss_w_as-reorder_k3_1_10&amp;amp=&amp;crid=2PQ74HKSGSL7M&amp;amp=&amp;sprefix=termometro</v>
      </c>
      <c r="R204" s="86" t="s">
        <v>2220</v>
      </c>
      <c r="S204" s="44" t="b">
        <v>1</v>
      </c>
      <c r="T204" s="39" t="str">
        <f>IFERROR(__xludf.DUMMYFUNCTION(" IF
( VLOOKUP($G204,IMPORTRANGE(""https://docs.google.com/spreadsheets/d/1Gpl6jkTg7sL4VDNimUm3S9Vi1i95esohXCF3wuKOE8c"", ""'CONSOLIDADO'!G5:AB""), 10, 0) &lt;&gt; 0, 
IFERROR(VLOOKUP($G204,IMPORTRANGE(""https://docs.google.com/spreadsheets/d/1Gpl6jkTg7sL4VDNimU"&amp;"m3S9Vi1i95esohXCF3wuKOE8c"", ""'CONSOLIDADO'!G5:AB""), 17, 0), ""-""),
""""
)"),"Browin")</f>
        <v>Browin</v>
      </c>
      <c r="U204" s="39">
        <f>IFERROR(__xludf.DUMMYFUNCTION(" IF
( VLOOKUP($G204,IMPORTRANGE(""https://docs.google.com/spreadsheets/d/1Gpl6jkTg7sL4VDNimUm3S9Vi1i95esohXCF3wuKOE8c"", ""'CONSOLIDADO'!G5:AB""), 10, 0) &lt;&gt; 0, 
IFERROR(VLOOKUP($G204,IMPORTRANGE(""https://docs.google.com/spreadsheets/d/1Gpl6jkTg7sL4VDNimU"&amp;"m3S9Vi1i95esohXCF3wuKOE8c"", ""'CONSOLIDADO'!G5:AB""), 18, 0), ""-""),
""""
)"),100600.0)</f>
        <v>100600</v>
      </c>
      <c r="V204" s="39" t="str">
        <f>IFERROR(__xludf.DUMMYFUNCTION(" IF
( VLOOKUP($G204,IMPORTRANGE(""https://docs.google.com/spreadsheets/d/1Gpl6jkTg7sL4VDNimUm3S9Vi1i95esohXCF3wuKOE8c"", ""'CONSOLIDADO'!G5:AB""), 10, 0) &lt;&gt; 0, 
IFERROR(VLOOKUP($G204,IMPORTRANGE(""https://docs.google.com/spreadsheets/d/1Gpl6jkTg7sL4VDNimU"&amp;"m3S9Vi1i95esohXCF3wuKOE8c"", ""'CONSOLIDADO'!G5:AB""), 17, 0), ""-""),
""""
)"),"Browin")</f>
        <v>Browin</v>
      </c>
      <c r="W204" s="39">
        <f>IFERROR(__xludf.DUMMYFUNCTION(" IF
( VLOOKUP($G204,IMPORTRANGE(""https://docs.google.com/spreadsheets/d/1Gpl6jkTg7sL4VDNimUm3S9Vi1i95esohXCF3wuKOE8c"", ""'CONSOLIDADO'!G5:AB""), 10, 0) &lt;&gt; 0, 
IFERROR(VLOOKUP($G204,IMPORTRANGE(""https://docs.google.com/spreadsheets/d/1Gpl6jkTg7sL4VDNimU"&amp;"m3S9Vi1i95esohXCF3wuKOE8c"", ""'CONSOLIDADO'!G5:AB""), 18, 0), ""-""),
""""
)"),100600.0)</f>
        <v>100600</v>
      </c>
      <c r="X204" s="39" t="b">
        <f t="shared" si="24"/>
        <v>1</v>
      </c>
      <c r="Y204" s="120" t="str">
        <f>IFERROR(__xludf.DUMMYFUNCTION(" IF
( VLOOKUP($G204,IMPORTRANGE(""https://docs.google.com/spreadsheets/d/1Gpl6jkTg7sL4VDNimUm3S9Vi1i95esohXCF3wuKOE8c"", ""'CONSOLIDADO'!G5:AB""), 10, 0) &lt;&gt; 0, 
IFERROR(VLOOKUP($G204,IMPORTRANGE(""https://docs.google.com/spreadsheets/d/1Gpl6jkTg7sL4VDNimU"&amp;"m3S9Vi1i95esohXCF3wuKOE8c"", ""'CONSOLIDADO'!G5:AB""), 19, 0), ""-""),
""""
)"),"https://www.amazon.es/dp/B077HZSPW7?ref=nb_sb_ss_w_as-reorder_k3_1_10&amp;amp=&amp;crid=2PQ74HKSGSL7M&amp;amp=&amp;sprefix=termometro")</f>
        <v>https://www.amazon.es/dp/B077HZSPW7?ref=nb_sb_ss_w_as-reorder_k3_1_10&amp;amp=&amp;crid=2PQ74HKSGSL7M&amp;amp=&amp;sprefix=termometro</v>
      </c>
      <c r="Z204" s="37" t="str">
        <f>IFERROR(__xludf.DUMMYFUNCTION("IFERROR(VLOOKUP(G204,IMPORTRANGE(""https://docs.google.com/spreadsheets/d/12RxCea4e5ggM7QGn1XE3FbLQa_-QbCNdBi90OdPjRqg"", ""'Plan de Compras'!D4:Q""), 12, 0), ""NO ESTÁ EN REQ"")"),"Técnica")</f>
        <v>Técnica</v>
      </c>
      <c r="AA204" s="37" t="str">
        <f>IFERROR(__xludf.DUMMYFUNCTION("IFERROR(VLOOKUP(G204,IMPORTRANGE(""https://docs.google.com/spreadsheets/d/12RxCea4e5ggM7QGn1XE3FbLQa_-QbCNdBi90OdPjRqg"", ""'Plan de Compras'!D4:Q""), 13, 0), """")"),"INTERNACIONAL")</f>
        <v>INTERNACIONAL</v>
      </c>
      <c r="AB204" s="32" t="str">
        <f>IFERROR(__xludf.DUMMYFUNCTION("IFERROR(VLOOKUP(G204,IMPORTRANGE(""https://docs.google.com/spreadsheets/d/12RxCea4e5ggM7QGn1XE3FbLQa_-QbCNdBi90OdPjRqg"", ""'Plan de Compras'!D4:Q""), 14, 0), """")"),"GIANFRANCO")</f>
        <v>GIANFRANCO</v>
      </c>
      <c r="AC204" s="72" t="str">
        <f>IFERROR(__xludf.DUMMYFUNCTION("IFERROR(VLOOKUP(G204,IMPORTRANGE(""https://docs.google.com/spreadsheets/d/12RxCea4e5ggM7QGn1XE3FbLQa_-QbCNdBi90OdPjRqg"", ""'Plan de Compras'!D4:Q""), 4, 0), """")"),"TERMÓMETRO COCINA")</f>
        <v>TERMÓMETRO COCINA</v>
      </c>
      <c r="AD204" s="37" t="str">
        <f>IFERROR(__xludf.DUMMYFUNCTION("IFERROR(IF(OR(C204=TRUE,C204=""""),VLOOKUP(G204,IMPORTRANGE(""https://docs.google.com/spreadsheets/d/1z9A1Wq-kKrhRNG5RS2a2fKpY1wIhSVz2ZNmP2mOl588/edit?usp=sharing"",""REQ VF!E4:H""),4,0),""NO APLICA""),""GENERAR REQ"")"),"GENERAR REQ")</f>
        <v>GENERAR REQ</v>
      </c>
      <c r="AE204" s="32" t="str">
        <f>IFERROR(__xludf.DUMMYFUNCTION("IFERROR(QUERY(IMPORTRANGE(""https://docs.google.com/spreadsheets/d/1z9A1Wq-kKrhRNG5RS2a2fKpY1wIhSVz2ZNmP2mOl588/edit?usp=sharing"",""REQ VF!E4:Q""),""SELECT Col10, Col11, Col12 WHERE Col1 = '""&amp;G204&amp;""'"",0),""NO APLICA"")"),"NO APLICA")</f>
        <v>NO APLICA</v>
      </c>
      <c r="AF204" s="32"/>
      <c r="AG204" s="32"/>
      <c r="AH204" s="8" t="s">
        <v>52</v>
      </c>
      <c r="AI204" s="13"/>
    </row>
    <row r="205">
      <c r="A205" s="121">
        <v>133.0</v>
      </c>
      <c r="B205" s="43" t="b">
        <v>1</v>
      </c>
      <c r="C205" s="26" t="b">
        <v>1</v>
      </c>
      <c r="D205" s="26" t="s">
        <v>35</v>
      </c>
      <c r="E205" s="26" t="s">
        <v>1510</v>
      </c>
      <c r="F205" s="59" t="s">
        <v>2221</v>
      </c>
      <c r="G205" s="37" t="s">
        <v>2221</v>
      </c>
      <c r="H205" s="82" t="s">
        <v>2222</v>
      </c>
      <c r="I205" s="43">
        <f>SUMIFS('Hoja 10'!$O:$O,'Hoja 10'!$F:$F,$G205)</f>
        <v>32</v>
      </c>
      <c r="J205" s="26">
        <f>IFERROR(__xludf.DUMMYFUNCTION("VLOOKUP(G205,IMPORTRANGE(""https://docs.google.com/spreadsheets/d/12RxCea4e5ggM7QGn1XE3FbLQa_-QbCNdBi90OdPjRqg/edit?gid=1692403370#gid=1692403370"", ""'Plan de Compras'!D4:2432""), 8,0)"),32.0)</f>
        <v>32</v>
      </c>
      <c r="K205" s="26" t="str">
        <f t="shared" si="18"/>
        <v>SI</v>
      </c>
      <c r="L205" s="29" t="s">
        <v>39</v>
      </c>
      <c r="M205" s="30" t="s">
        <v>40</v>
      </c>
      <c r="N205" s="32"/>
      <c r="O205" s="32"/>
      <c r="P205" s="32"/>
      <c r="Q205" s="41"/>
      <c r="R205" s="86" t="s">
        <v>2223</v>
      </c>
      <c r="S205" s="44" t="b">
        <v>1</v>
      </c>
      <c r="T205" s="39" t="str">
        <f>IFERROR(__xludf.DUMMYFUNCTION(" IF
( VLOOKUP($G205,IMPORTRANGE(""https://docs.google.com/spreadsheets/d/1Gpl6jkTg7sL4VDNimUm3S9Vi1i95esohXCF3wuKOE8c"", ""'CONSOLIDADO'!G5:AB""), 10, 0) &lt;&gt; 0, 
IFERROR(VLOOKUP($G205,IMPORTRANGE(""https://docs.google.com/spreadsheets/d/1Gpl6jkTg7sL4VDNimU"&amp;"m3S9Vi1i95esohXCF3wuKOE8c"", ""'CONSOLIDADO'!G5:AB""), 17, 0), ""-""),
""""
)"),"Thermo")</f>
        <v>Thermo</v>
      </c>
      <c r="U205" s="39" t="str">
        <f>IFERROR(__xludf.DUMMYFUNCTION(" IF
( VLOOKUP($G205,IMPORTRANGE(""https://docs.google.com/spreadsheets/d/1Gpl6jkTg7sL4VDNimUm3S9Vi1i95esohXCF3wuKOE8c"", ""'CONSOLIDADO'!G5:AB""), 10, 0) &lt;&gt; 0, 
IFERROR(VLOOKUP($G205,IMPORTRANGE(""https://docs.google.com/spreadsheets/d/1Gpl6jkTg7sL4VDNimU"&amp;"m3S9Vi1i95esohXCF3wuKOE8c"", ""'CONSOLIDADO'!G5:AB""), 18, 0), ""-""),
""""
)"),"TA288")</f>
        <v>TA288</v>
      </c>
      <c r="V205" s="39" t="str">
        <f>IFERROR(__xludf.DUMMYFUNCTION(" IF
( VLOOKUP($G205,IMPORTRANGE(""https://docs.google.com/spreadsheets/d/1Gpl6jkTg7sL4VDNimUm3S9Vi1i95esohXCF3wuKOE8c"", ""'CONSOLIDADO'!G5:AB""), 10, 0) &lt;&gt; 0, 
IFERROR(VLOOKUP($G205,IMPORTRANGE(""https://docs.google.com/spreadsheets/d/1Gpl6jkTg7sL4VDNimU"&amp;"m3S9Vi1i95esohXCF3wuKOE8c"", ""'CONSOLIDADO'!G5:AB""), 17, 0), ""-""),
""""
)"),"Thermo")</f>
        <v>Thermo</v>
      </c>
      <c r="W205" s="39" t="str">
        <f>IFERROR(__xludf.DUMMYFUNCTION(" IF
( VLOOKUP($G205,IMPORTRANGE(""https://docs.google.com/spreadsheets/d/1Gpl6jkTg7sL4VDNimUm3S9Vi1i95esohXCF3wuKOE8c"", ""'CONSOLIDADO'!G5:AB""), 10, 0) &lt;&gt; 0, 
IFERROR(VLOOKUP($G205,IMPORTRANGE(""https://docs.google.com/spreadsheets/d/1Gpl6jkTg7sL4VDNimU"&amp;"m3S9Vi1i95esohXCF3wuKOE8c"", ""'CONSOLIDADO'!G5:AB""), 18, 0), ""-""),
""""
)"),"TA288")</f>
        <v>TA288</v>
      </c>
      <c r="X205" s="39" t="b">
        <f t="shared" si="24"/>
        <v>1</v>
      </c>
      <c r="Y205" s="120" t="str">
        <f>IFERROR(__xludf.DUMMYFUNCTION(" IF
( VLOOKUP($G205,IMPORTRANGE(""https://docs.google.com/spreadsheets/d/1Gpl6jkTg7sL4VDNimUm3S9Vi1i95esohXCF3wuKOE8c"", ""'CONSOLIDADO'!G5:AB""), 10, 0) &lt;&gt; 0, 
IFERROR(VLOOKUP($G205,IMPORTRANGE(""https://docs.google.com/spreadsheets/d/1Gpl6jkTg7sL4VDNimU"&amp;"m3S9Vi1i95esohXCF3wuKOE8c"", ""'CONSOLIDADO'!G5:AB""), 19, 0), ""-""),
""""
)"),"https://www.amazon.com/-/es/term%C3%B3metro-alimentos-inoxidable-pantalla-digital/dp/B0DZHNFJJG/ref=sr_1_5?__mk_es_US=%C3%85M%C3%85%C5%BD%C3%95%C3%91&amp;crid=1Y4JNI1UAQR7V&amp;dib=eyJ2IjoiMSJ9.5meQr3649T_qlVOtwa891F7zryGo9PJM6WJLVSShnet2MN-GQTuqkb2n78VUs0GbJYwZ8"&amp;"5VsPwwWSumh2zTHI1enCdnu5aFaBP_b7-R8Vs-_t3eHO6ggnAWQxCgm4Ik8m5AFhKmPyzBgxBZik78gHHgLvStZRQbeuFwja0ROnsxDvvW1kOrpaQDfe6L1HWR9-N1towXEkOfzyV-BCF4FscgMvOsmjE4XxzxGxmKyAzI.C_sL4ng1um_-SyMHhNtK5xK4bjAA-MHehFVyieta4ok&amp;dib_tag=se&amp;keywords=TA288&amp;qid=1763592365&amp;spr"&amp;"efix=t288%2Caps%2C168&amp;sr=8-5")</f>
        <v>https://www.amazon.com/-/es/term%C3%B3metro-alimentos-inoxidable-pantalla-digital/dp/B0DZHNFJJG/ref=sr_1_5?__mk_es_US=%C3%85M%C3%85%C5%BD%C3%95%C3%91&amp;crid=1Y4JNI1UAQR7V&amp;dib=eyJ2IjoiMSJ9.5meQr3649T_qlVOtwa891F7zryGo9PJM6WJLVSShnet2MN-GQTuqkb2n78VUs0GbJYwZ85VsPwwWSumh2zTHI1enCdnu5aFaBP_b7-R8Vs-_t3eHO6ggnAWQxCgm4Ik8m5AFhKmPyzBgxBZik78gHHgLvStZRQbeuFwja0ROnsxDvvW1kOrpaQDfe6L1HWR9-N1towXEkOfzyV-BCF4FscgMvOsmjE4XxzxGxmKyAzI.C_sL4ng1um_-SyMHhNtK5xK4bjAA-MHehFVyieta4ok&amp;dib_tag=se&amp;keywords=TA288&amp;qid=1763592365&amp;sprefix=t288%2Caps%2C168&amp;sr=8-5</v>
      </c>
      <c r="Z205" s="37" t="str">
        <f>IFERROR(__xludf.DUMMYFUNCTION("IFERROR(VLOOKUP(G205,IMPORTRANGE(""https://docs.google.com/spreadsheets/d/12RxCea4e5ggM7QGn1XE3FbLQa_-QbCNdBi90OdPjRqg"", ""'Plan de Compras'!D4:Q""), 12, 0), ""NO ESTÁ EN REQ"")"),"Técnica")</f>
        <v>Técnica</v>
      </c>
      <c r="AA205" s="37" t="str">
        <f>IFERROR(__xludf.DUMMYFUNCTION("IFERROR(VLOOKUP(G205,IMPORTRANGE(""https://docs.google.com/spreadsheets/d/12RxCea4e5ggM7QGn1XE3FbLQa_-QbCNdBi90OdPjRqg"", ""'Plan de Compras'!D4:Q""), 13, 0), """")"),"INTERNACIONAL")</f>
        <v>INTERNACIONAL</v>
      </c>
      <c r="AB205" s="32" t="str">
        <f>IFERROR(__xludf.DUMMYFUNCTION("IFERROR(VLOOKUP(G205,IMPORTRANGE(""https://docs.google.com/spreadsheets/d/12RxCea4e5ggM7QGn1XE3FbLQa_-QbCNdBi90OdPjRqg"", ""'Plan de Compras'!D4:Q""), 14, 0), """")"),"GIANFRANCO")</f>
        <v>GIANFRANCO</v>
      </c>
      <c r="AC205" s="72" t="str">
        <f>IFERROR(__xludf.DUMMYFUNCTION("IFERROR(VLOOKUP(G205,IMPORTRANGE(""https://docs.google.com/spreadsheets/d/12RxCea4e5ggM7QGn1XE3FbLQa_-QbCNdBi90OdPjRqg"", ""'Plan de Compras'!D4:Q""), 4, 0), """")"),"TERMÓMETRO DIGITAL")</f>
        <v>TERMÓMETRO DIGITAL</v>
      </c>
      <c r="AD205" s="37" t="str">
        <f>IFERROR(__xludf.DUMMYFUNCTION("IFERROR(IF(OR(C205=TRUE,C205=""""),VLOOKUP(G205,IMPORTRANGE(""https://docs.google.com/spreadsheets/d/1z9A1Wq-kKrhRNG5RS2a2fKpY1wIhSVz2ZNmP2mOl588/edit?usp=sharing"",""REQ VF!E4:H""),4,0),""NO APLICA""),""GENERAR REQ"")"),"GENERAR REQ")</f>
        <v>GENERAR REQ</v>
      </c>
      <c r="AE205" s="32" t="str">
        <f>IFERROR(__xludf.DUMMYFUNCTION("IFERROR(QUERY(IMPORTRANGE(""https://docs.google.com/spreadsheets/d/1z9A1Wq-kKrhRNG5RS2a2fKpY1wIhSVz2ZNmP2mOl588/edit?usp=sharing"",""REQ VF!E4:Q""),""SELECT Col10, Col11, Col12 WHERE Col1 = '""&amp;G205&amp;""'"",0),""NO APLICA"")"),"NO APLICA")</f>
        <v>NO APLICA</v>
      </c>
      <c r="AF205" s="32"/>
      <c r="AG205" s="32"/>
      <c r="AH205" s="13"/>
      <c r="AI205" s="13"/>
    </row>
    <row r="206">
      <c r="A206" s="43"/>
      <c r="B206" s="43"/>
      <c r="C206" s="26" t="b">
        <v>1</v>
      </c>
      <c r="D206" s="26" t="s">
        <v>42</v>
      </c>
      <c r="E206" s="26" t="s">
        <v>1510</v>
      </c>
      <c r="F206" s="59" t="s">
        <v>2221</v>
      </c>
      <c r="G206" s="39" t="s">
        <v>2224</v>
      </c>
      <c r="H206" s="66" t="s">
        <v>2225</v>
      </c>
      <c r="I206" s="43">
        <v>32.0</v>
      </c>
      <c r="J206" s="26" t="str">
        <f>IFERROR(__xludf.DUMMYFUNCTION("VLOOKUP(G206,IMPORTRANGE(""https://docs.google.com/spreadsheets/d/12RxCea4e5ggM7QGn1XE3FbLQa_-QbCNdBi90OdPjRqg/edit?gid=1692403370#gid=1692403370"", ""'Plan de Compras'!D4:2432""), 8,0)"),"")</f>
        <v/>
      </c>
      <c r="K206" s="26" t="str">
        <f t="shared" si="18"/>
        <v>NO</v>
      </c>
      <c r="L206" s="29"/>
      <c r="M206" s="61"/>
      <c r="N206" s="32"/>
      <c r="O206" s="61"/>
      <c r="P206" s="61"/>
      <c r="Q206" s="41"/>
      <c r="R206" s="32"/>
      <c r="S206" s="34" t="b">
        <v>1</v>
      </c>
      <c r="T206" s="140" t="s">
        <v>2226</v>
      </c>
      <c r="U206" s="140" t="s">
        <v>2227</v>
      </c>
      <c r="V206" s="140"/>
      <c r="W206" s="140"/>
      <c r="X206" s="140"/>
      <c r="Y206" s="110"/>
      <c r="Z206" s="37" t="str">
        <f>IFERROR(__xludf.DUMMYFUNCTION("IFERROR(VLOOKUP(G206,IMPORTRANGE(""https://docs.google.com/spreadsheets/d/12RxCea4e5ggM7QGn1XE3FbLQa_-QbCNdBi90OdPjRqg"", ""'Plan de Compras'!D4:Q""), 12, 0), ""NO ESTÁ EN REQ"")"),"Simple")</f>
        <v>Simple</v>
      </c>
      <c r="AA206" s="37" t="str">
        <f>IFERROR(__xludf.DUMMYFUNCTION("IFERROR(VLOOKUP(G206,IMPORTRANGE(""https://docs.google.com/spreadsheets/d/12RxCea4e5ggM7QGn1XE3FbLQa_-QbCNdBi90OdPjRqg"", ""'Plan de Compras'!D4:Q""), 13, 0), """")"),"NACIONAL")</f>
        <v>NACIONAL</v>
      </c>
      <c r="AB206" s="32" t="str">
        <f>IFERROR(__xludf.DUMMYFUNCTION("IFERROR(VLOOKUP(G206,IMPORTRANGE(""https://docs.google.com/spreadsheets/d/12RxCea4e5ggM7QGn1XE3FbLQa_-QbCNdBi90OdPjRqg"", ""'Plan de Compras'!D4:Q""), 14, 0), """")"),"ALFIO")</f>
        <v>ALFIO</v>
      </c>
      <c r="AC206" s="72" t="str">
        <f>IFERROR(__xludf.DUMMYFUNCTION("IFERROR(VLOOKUP(G206,IMPORTRANGE(""https://docs.google.com/spreadsheets/d/12RxCea4e5ggM7QGn1XE3FbLQa_-QbCNdBi90OdPjRqg"", ""'Plan de Compras'!D4:Q""), 4, 0), """")"),"")</f>
        <v/>
      </c>
      <c r="AD206" s="37" t="str">
        <f>IFERROR(__xludf.DUMMYFUNCTION("IFERROR(IF(OR(C206=TRUE,C206=""""),VLOOKUP(G206,IMPORTRANGE(""https://docs.google.com/spreadsheets/d/1z9A1Wq-kKrhRNG5RS2a2fKpY1wIhSVz2ZNmP2mOl588/edit?usp=sharing"",""REQ VF!E4:H""),4,0),""NO APLICA""),""GENERAR REQ"")"),"GENERAR REQ")</f>
        <v>GENERAR REQ</v>
      </c>
      <c r="AE206" s="32" t="str">
        <f>IFERROR(__xludf.DUMMYFUNCTION("IFERROR(QUERY(IMPORTRANGE(""https://docs.google.com/spreadsheets/d/1z9A1Wq-kKrhRNG5RS2a2fKpY1wIhSVz2ZNmP2mOl588/edit?usp=sharing"",""REQ VF!E4:Q""),""SELECT Col10, Col11, Col12 WHERE Col1 = '""&amp;G206&amp;""'"",0),""NO APLICA"")"),"NO APLICA")</f>
        <v>NO APLICA</v>
      </c>
      <c r="AF206" s="32"/>
      <c r="AG206" s="32"/>
      <c r="AH206" s="13"/>
      <c r="AI206" s="13"/>
    </row>
    <row r="207">
      <c r="A207" s="121">
        <v>134.0</v>
      </c>
      <c r="B207" s="43" t="b">
        <v>1</v>
      </c>
      <c r="C207" s="26" t="b">
        <v>1</v>
      </c>
      <c r="D207" s="26" t="s">
        <v>35</v>
      </c>
      <c r="E207" s="26" t="s">
        <v>1510</v>
      </c>
      <c r="F207" s="59" t="s">
        <v>2228</v>
      </c>
      <c r="G207" s="37" t="s">
        <v>2228</v>
      </c>
      <c r="H207" s="82" t="s">
        <v>2229</v>
      </c>
      <c r="I207" s="43">
        <f>SUMIFS('Hoja 10'!$O:$O,'Hoja 10'!$F:$F,$G207)</f>
        <v>7</v>
      </c>
      <c r="J207" s="26">
        <f>IFERROR(__xludf.DUMMYFUNCTION("VLOOKUP(G207,IMPORTRANGE(""https://docs.google.com/spreadsheets/d/12RxCea4e5ggM7QGn1XE3FbLQa_-QbCNdBi90OdPjRqg/edit?gid=1692403370#gid=1692403370"", ""'Plan de Compras'!D4:2432""), 8,0)"),7.0)</f>
        <v>7</v>
      </c>
      <c r="K207" s="26" t="str">
        <f t="shared" si="18"/>
        <v>SI</v>
      </c>
      <c r="L207" s="29" t="s">
        <v>296</v>
      </c>
      <c r="M207" s="30" t="s">
        <v>297</v>
      </c>
      <c r="N207" s="32"/>
      <c r="O207" s="32" t="str">
        <f>VLOOKUP($G207,'Hoja 10'!$F$4:$AA1057, 19,0)</f>
        <v>Truper </v>
      </c>
      <c r="P207" s="32" t="str">
        <f>VLOOKUP($G207,'Hoja 10'!$F$4:$AA1057, 20,0)</f>
        <v>TA-4-L</v>
      </c>
      <c r="Q207" s="33" t="str">
        <f>VLOOKUP($G207,'Hoja 10'!$F$4:$AA1057, 21,0)</f>
        <v>https://www.promart.pe/tornillo-de-banco-4-pulgadas-tipo-europeo-truper-ta-4-l-1001194506/p</v>
      </c>
      <c r="R207" s="86" t="s">
        <v>2230</v>
      </c>
      <c r="S207" s="44" t="b">
        <v>1</v>
      </c>
      <c r="T207" s="39" t="str">
        <f>IFERROR(__xludf.DUMMYFUNCTION(" IF
( VLOOKUP($G207,IMPORTRANGE(""https://docs.google.com/spreadsheets/d/1Gpl6jkTg7sL4VDNimUm3S9Vi1i95esohXCF3wuKOE8c"", ""'CONSOLIDADO'!G5:AB""), 10, 0) &lt;&gt; 0, 
IFERROR(VLOOKUP($G207,IMPORTRANGE(""https://docs.google.com/spreadsheets/d/1Gpl6jkTg7sL4VDNimU"&amp;"m3S9Vi1i95esohXCF3wuKOE8c"", ""'CONSOLIDADO'!G5:AB""), 17, 0), ""-""),
""""
)"),"STANLEY")</f>
        <v>STANLEY</v>
      </c>
      <c r="U207" s="39" t="str">
        <f>IFERROR(__xludf.DUMMYFUNCTION(" IF
( VLOOKUP($G207,IMPORTRANGE(""https://docs.google.com/spreadsheets/d/1Gpl6jkTg7sL4VDNimUm3S9Vi1i95esohXCF3wuKOE8c"", ""'CONSOLIDADO'!G5:AB""), 10, 0) &lt;&gt; 0, 
IFERROR(VLOOKUP($G207,IMPORTRANGE(""https://docs.google.com/spreadsheets/d/1Gpl6jkTg7sL4VDNimU"&amp;"m3S9Vi1i95esohXCF3wuKOE8c"", ""'CONSOLIDADO'!G5:AB""), 18, 0), ""-""),
""""
)"),"83-066")</f>
        <v>83-066</v>
      </c>
      <c r="V207" s="39" t="str">
        <f>IFERROR(__xludf.DUMMYFUNCTION(" IF
( VLOOKUP($G207,IMPORTRANGE(""https://docs.google.com/spreadsheets/d/1Gpl6jkTg7sL4VDNimUm3S9Vi1i95esohXCF3wuKOE8c"", ""'CONSOLIDADO'!G5:AB""), 10, 0) &lt;&gt; 0, 
IFERROR(VLOOKUP($G207,IMPORTRANGE(""https://docs.google.com/spreadsheets/d/1Gpl6jkTg7sL4VDNimU"&amp;"m3S9Vi1i95esohXCF3wuKOE8c"", ""'CONSOLIDADO'!G5:AB""), 17, 0), ""-""),
""""
)"),"STANLEY")</f>
        <v>STANLEY</v>
      </c>
      <c r="W207" s="39" t="str">
        <f>IFERROR(__xludf.DUMMYFUNCTION(" IF
( VLOOKUP($G207,IMPORTRANGE(""https://docs.google.com/spreadsheets/d/1Gpl6jkTg7sL4VDNimUm3S9Vi1i95esohXCF3wuKOE8c"", ""'CONSOLIDADO'!G5:AB""), 10, 0) &lt;&gt; 0, 
IFERROR(VLOOKUP($G207,IMPORTRANGE(""https://docs.google.com/spreadsheets/d/1Gpl6jkTg7sL4VDNimU"&amp;"m3S9Vi1i95esohXCF3wuKOE8c"", ""'CONSOLIDADO'!G5:AB""), 18, 0), ""-""),
""""
)"),"83-066")</f>
        <v>83-066</v>
      </c>
      <c r="X207" s="39" t="b">
        <f t="shared" ref="X207:X214" si="25">IF(AND(T207=V207,W207=U207),TRUE,FALSE)</f>
        <v>1</v>
      </c>
      <c r="Y207" s="120" t="str">
        <f>IFERROR(__xludf.DUMMYFUNCTION(" IF
( VLOOKUP($G207,IMPORTRANGE(""https://docs.google.com/spreadsheets/d/1Gpl6jkTg7sL4VDNimUm3S9Vi1i95esohXCF3wuKOE8c"", ""'CONSOLIDADO'!G5:AB""), 10, 0) &lt;&gt; 0, 
IFERROR(VLOOKUP($G207,IMPORTRANGE(""https://docs.google.com/spreadsheets/d/1Gpl6jkTg7sL4VDNimU"&amp;"m3S9Vi1i95esohXCF3wuKOE8c"", ""'CONSOLIDADO'!G5:AB""), 19, 0), ""-""),
""""
)"),"https://prosinfer.pe/product/tornillo-de-banco-4-125-mm-stanley-83-066/")</f>
        <v>https://prosinfer.pe/product/tornillo-de-banco-4-125-mm-stanley-83-066/</v>
      </c>
      <c r="Z207" s="37" t="str">
        <f>IFERROR(__xludf.DUMMYFUNCTION("IFERROR(VLOOKUP(G207,IMPORTRANGE(""https://docs.google.com/spreadsheets/d/12RxCea4e5ggM7QGn1XE3FbLQa_-QbCNdBi90OdPjRqg"", ""'Plan de Compras'!D4:Q""), 12, 0), ""NO ESTÁ EN REQ"")"),"Técnica")</f>
        <v>Técnica</v>
      </c>
      <c r="AA207" s="37" t="str">
        <f>IFERROR(__xludf.DUMMYFUNCTION("IFERROR(VLOOKUP(G207,IMPORTRANGE(""https://docs.google.com/spreadsheets/d/12RxCea4e5ggM7QGn1XE3FbLQa_-QbCNdBi90OdPjRqg"", ""'Plan de Compras'!D4:Q""), 13, 0), """")"),"NACIONAL")</f>
        <v>NACIONAL</v>
      </c>
      <c r="AB207" s="32" t="str">
        <f>IFERROR(__xludf.DUMMYFUNCTION("IFERROR(VLOOKUP(G207,IMPORTRANGE(""https://docs.google.com/spreadsheets/d/12RxCea4e5ggM7QGn1XE3FbLQa_-QbCNdBi90OdPjRqg"", ""'Plan de Compras'!D4:Q""), 14, 0), """")"),"DIANA")</f>
        <v>DIANA</v>
      </c>
      <c r="AC207" s="72" t="str">
        <f>IFERROR(__xludf.DUMMYFUNCTION("IFERROR(VLOOKUP(G207,IMPORTRANGE(""https://docs.google.com/spreadsheets/d/12RxCea4e5ggM7QGn1XE3FbLQa_-QbCNdBi90OdPjRqg"", ""'Plan de Compras'!D4:Q""), 4, 0), """")"),"TORNILLO DE BANCO")</f>
        <v>TORNILLO DE BANCO</v>
      </c>
      <c r="AD207" s="37" t="str">
        <f>IFERROR(__xludf.DUMMYFUNCTION("IFERROR(IF(OR(C207=TRUE,C207=""""),VLOOKUP(G207,IMPORTRANGE(""https://docs.google.com/spreadsheets/d/1z9A1Wq-kKrhRNG5RS2a2fKpY1wIhSVz2ZNmP2mOl588/edit?usp=sharing"",""REQ VF!E4:H""),4,0),""NO APLICA""),""GENERAR REQ"")"),"GENERAR REQ")</f>
        <v>GENERAR REQ</v>
      </c>
      <c r="AE207" s="32" t="str">
        <f>IFERROR(__xludf.DUMMYFUNCTION("IFERROR(QUERY(IMPORTRANGE(""https://docs.google.com/spreadsheets/d/1z9A1Wq-kKrhRNG5RS2a2fKpY1wIhSVz2ZNmP2mOl588/edit?usp=sharing"",""REQ VF!E4:Q""),""SELECT Col10, Col11, Col12 WHERE Col1 = '""&amp;G207&amp;""'"",0),""NO APLICA"")"),"NO APLICA")</f>
        <v>NO APLICA</v>
      </c>
      <c r="AF207" s="32"/>
      <c r="AG207" s="32"/>
      <c r="AH207" s="8" t="s">
        <v>52</v>
      </c>
      <c r="AI207" s="13"/>
    </row>
    <row r="208">
      <c r="A208" s="117">
        <v>135.0</v>
      </c>
      <c r="B208" s="43" t="b">
        <v>1</v>
      </c>
      <c r="C208" s="26" t="b">
        <v>1</v>
      </c>
      <c r="D208" s="26" t="s">
        <v>35</v>
      </c>
      <c r="E208" s="26" t="s">
        <v>1510</v>
      </c>
      <c r="F208" s="59" t="s">
        <v>2231</v>
      </c>
      <c r="G208" s="37" t="s">
        <v>2231</v>
      </c>
      <c r="H208" s="82" t="s">
        <v>2232</v>
      </c>
      <c r="I208" s="43">
        <f>SUMIFS('Hoja 10'!$O:$O,'Hoja 10'!$F:$F,$G208)</f>
        <v>5</v>
      </c>
      <c r="J208" s="26">
        <f>IFERROR(__xludf.DUMMYFUNCTION("VLOOKUP(G208,IMPORTRANGE(""https://docs.google.com/spreadsheets/d/12RxCea4e5ggM7QGn1XE3FbLQa_-QbCNdBi90OdPjRqg/edit?gid=1692403370#gid=1692403370"", ""'Plan de Compras'!D4:2432""), 8,0)"),5.0)</f>
        <v>5</v>
      </c>
      <c r="K208" s="26" t="str">
        <f t="shared" si="18"/>
        <v>SI</v>
      </c>
      <c r="L208" s="29" t="s">
        <v>122</v>
      </c>
      <c r="M208" s="30" t="s">
        <v>123</v>
      </c>
      <c r="N208" s="32"/>
      <c r="O208" s="32" t="str">
        <f>VLOOKUP($G208,'Hoja 10'!$F$4:$AA1057, 19,0)</f>
        <v>STANLEY</v>
      </c>
      <c r="P208" s="32" t="str">
        <f>VLOOKUP($G208,'Hoja 10'!$F$4:$AA1057, 20,0)</f>
        <v>1-83-069</v>
      </c>
      <c r="Q208" s="33" t="str">
        <f>VLOOKUP($G208,'Hoja 10'!$F$4:$AA1057, 21,0)</f>
        <v>https://www.stanleyworks.es/producto/1-83-069/tornillo-de-banco-multi-angulos</v>
      </c>
      <c r="R208" s="86" t="s">
        <v>2233</v>
      </c>
      <c r="S208" s="44" t="b">
        <v>1</v>
      </c>
      <c r="T208" s="39" t="str">
        <f>IFERROR(__xludf.DUMMYFUNCTION(" IF
( VLOOKUP($G208,IMPORTRANGE(""https://docs.google.com/spreadsheets/d/1Gpl6jkTg7sL4VDNimUm3S9Vi1i95esohXCF3wuKOE8c"", ""'CONSOLIDADO'!G5:AB""), 10, 0) &lt;&gt; 0, 
IFERROR(VLOOKUP($G208,IMPORTRANGE(""https://docs.google.com/spreadsheets/d/1Gpl6jkTg7sL4VDNimU"&amp;"m3S9Vi1i95esohXCF3wuKOE8c"", ""'CONSOLIDADO'!G5:AB""), 17, 0), ""-""),
""""
)"),"STANLEY")</f>
        <v>STANLEY</v>
      </c>
      <c r="U208" s="39" t="str">
        <f>IFERROR(__xludf.DUMMYFUNCTION(" IF
( VLOOKUP($G208,IMPORTRANGE(""https://docs.google.com/spreadsheets/d/1Gpl6jkTg7sL4VDNimUm3S9Vi1i95esohXCF3wuKOE8c"", ""'CONSOLIDADO'!G5:AB""), 10, 0) &lt;&gt; 0, 
IFERROR(VLOOKUP($G208,IMPORTRANGE(""https://docs.google.com/spreadsheets/d/1Gpl6jkTg7sL4VDNimU"&amp;"m3S9Vi1i95esohXCF3wuKOE8c"", ""'CONSOLIDADO'!G5:AB""), 18, 0), ""-""),
""""
)"),"1-83-069")</f>
        <v>1-83-069</v>
      </c>
      <c r="V208" s="39" t="str">
        <f>IFERROR(__xludf.DUMMYFUNCTION(" IF
( VLOOKUP($G208,IMPORTRANGE(""https://docs.google.com/spreadsheets/d/1Gpl6jkTg7sL4VDNimUm3S9Vi1i95esohXCF3wuKOE8c"", ""'CONSOLIDADO'!G5:AB""), 10, 0) &lt;&gt; 0, 
IFERROR(VLOOKUP($G208,IMPORTRANGE(""https://docs.google.com/spreadsheets/d/1Gpl6jkTg7sL4VDNimU"&amp;"m3S9Vi1i95esohXCF3wuKOE8c"", ""'CONSOLIDADO'!G5:AB""), 17, 0), ""-""),
""""
)"),"STANLEY")</f>
        <v>STANLEY</v>
      </c>
      <c r="W208" s="39" t="str">
        <f>IFERROR(__xludf.DUMMYFUNCTION(" IF
( VLOOKUP($G208,IMPORTRANGE(""https://docs.google.com/spreadsheets/d/1Gpl6jkTg7sL4VDNimUm3S9Vi1i95esohXCF3wuKOE8c"", ""'CONSOLIDADO'!G5:AB""), 10, 0) &lt;&gt; 0, 
IFERROR(VLOOKUP($G208,IMPORTRANGE(""https://docs.google.com/spreadsheets/d/1Gpl6jkTg7sL4VDNimU"&amp;"m3S9Vi1i95esohXCF3wuKOE8c"", ""'CONSOLIDADO'!G5:AB""), 18, 0), ""-""),
""""
)"),"1-83-069")</f>
        <v>1-83-069</v>
      </c>
      <c r="X208" s="39" t="b">
        <f t="shared" si="25"/>
        <v>1</v>
      </c>
      <c r="Y208" s="120" t="str">
        <f>IFERROR(__xludf.DUMMYFUNCTION(" IF
( VLOOKUP($G208,IMPORTRANGE(""https://docs.google.com/spreadsheets/d/1Gpl6jkTg7sL4VDNimUm3S9Vi1i95esohXCF3wuKOE8c"", ""'CONSOLIDADO'!G5:AB""), 10, 0) &lt;&gt; 0, 
IFERROR(VLOOKUP($G208,IMPORTRANGE(""https://docs.google.com/spreadsheets/d/1Gpl6jkTg7sL4VDNimU"&amp;"m3S9Vi1i95esohXCF3wuKOE8c"", ""'CONSOLIDADO'!G5:AB""), 19, 0), ""-""),
""""
)"),"https://www.stanleyworks.es/producto/1-83-069/tornillo-de-banco-multi-angulos")</f>
        <v>https://www.stanleyworks.es/producto/1-83-069/tornillo-de-banco-multi-angulos</v>
      </c>
      <c r="Z208" s="37" t="str">
        <f>IFERROR(__xludf.DUMMYFUNCTION("IFERROR(VLOOKUP(G208,IMPORTRANGE(""https://docs.google.com/spreadsheets/d/12RxCea4e5ggM7QGn1XE3FbLQa_-QbCNdBi90OdPjRqg"", ""'Plan de Compras'!D4:Q""), 12, 0), ""NO ESTÁ EN REQ"")"),"Técnica")</f>
        <v>Técnica</v>
      </c>
      <c r="AA208" s="37" t="str">
        <f>IFERROR(__xludf.DUMMYFUNCTION("IFERROR(VLOOKUP(G208,IMPORTRANGE(""https://docs.google.com/spreadsheets/d/12RxCea4e5ggM7QGn1XE3FbLQa_-QbCNdBi90OdPjRqg"", ""'Plan de Compras'!D4:Q""), 13, 0), """")"),"INTERNACIONAL")</f>
        <v>INTERNACIONAL</v>
      </c>
      <c r="AB208" s="32" t="str">
        <f>IFERROR(__xludf.DUMMYFUNCTION("IFERROR(VLOOKUP(G208,IMPORTRANGE(""https://docs.google.com/spreadsheets/d/12RxCea4e5ggM7QGn1XE3FbLQa_-QbCNdBi90OdPjRqg"", ""'Plan de Compras'!D4:Q""), 14, 0), """")"),"GIANFRANCO")</f>
        <v>GIANFRANCO</v>
      </c>
      <c r="AC208" s="72" t="str">
        <f>IFERROR(__xludf.DUMMYFUNCTION("IFERROR(VLOOKUP(G208,IMPORTRANGE(""https://docs.google.com/spreadsheets/d/12RxCea4e5ggM7QGn1XE3FbLQa_-QbCNdBi90OdPjRqg"", ""'Plan de Compras'!D4:Q""), 4, 0), """")"),"TORNILLO DE BANCO MULTIÁNGULOS")</f>
        <v>TORNILLO DE BANCO MULTIÁNGULOS</v>
      </c>
      <c r="AD208" s="37" t="str">
        <f>IFERROR(__xludf.DUMMYFUNCTION("IFERROR(IF(OR(C208=TRUE,C208=""""),VLOOKUP(G208,IMPORTRANGE(""https://docs.google.com/spreadsheets/d/1z9A1Wq-kKrhRNG5RS2a2fKpY1wIhSVz2ZNmP2mOl588/edit?usp=sharing"",""REQ VF!E4:H""),4,0),""NO APLICA""),""GENERAR REQ"")"),"GENERAR REQ")</f>
        <v>GENERAR REQ</v>
      </c>
      <c r="AE208" s="32" t="str">
        <f>IFERROR(__xludf.DUMMYFUNCTION("IFERROR(QUERY(IMPORTRANGE(""https://docs.google.com/spreadsheets/d/1z9A1Wq-kKrhRNG5RS2a2fKpY1wIhSVz2ZNmP2mOl588/edit?usp=sharing"",""REQ VF!E4:Q""),""SELECT Col10, Col11, Col12 WHERE Col1 = '""&amp;G208&amp;""'"",0),""NO APLICA"")"),"NO APLICA")</f>
        <v>NO APLICA</v>
      </c>
      <c r="AF208" s="32"/>
      <c r="AG208" s="32"/>
      <c r="AH208" s="8" t="s">
        <v>52</v>
      </c>
      <c r="AI208" s="13"/>
    </row>
    <row r="209">
      <c r="A209" s="117">
        <v>136.0</v>
      </c>
      <c r="B209" s="43" t="b">
        <v>1</v>
      </c>
      <c r="C209" s="26" t="b">
        <v>1</v>
      </c>
      <c r="D209" s="26" t="s">
        <v>35</v>
      </c>
      <c r="E209" s="26" t="s">
        <v>1510</v>
      </c>
      <c r="F209" s="59" t="s">
        <v>2234</v>
      </c>
      <c r="G209" s="37" t="s">
        <v>2234</v>
      </c>
      <c r="H209" s="82" t="s">
        <v>2235</v>
      </c>
      <c r="I209" s="43">
        <f>SUMIFS('Hoja 10'!$O:$O,'Hoja 10'!$F:$F,$G209)</f>
        <v>3</v>
      </c>
      <c r="J209" s="26">
        <f>IFERROR(__xludf.DUMMYFUNCTION("VLOOKUP(G209,IMPORTRANGE(""https://docs.google.com/spreadsheets/d/12RxCea4e5ggM7QGn1XE3FbLQa_-QbCNdBi90OdPjRqg/edit?gid=1692403370#gid=1692403370"", ""'Plan de Compras'!D4:2432""), 8,0)"),3.0)</f>
        <v>3</v>
      </c>
      <c r="K209" s="26" t="str">
        <f t="shared" si="18"/>
        <v>SI</v>
      </c>
      <c r="L209" s="29" t="s">
        <v>127</v>
      </c>
      <c r="M209" s="30" t="s">
        <v>105</v>
      </c>
      <c r="N209" s="32"/>
      <c r="O209" s="32" t="str">
        <f>VLOOKUP($G209,'Hoja 10'!$F$4:$AA1057, 19,0)</f>
        <v>LEXIVON</v>
      </c>
      <c r="P209" s="32" t="str">
        <f>VLOOKUP($G209,'Hoja 10'!$F$4:$AA1057, 20,0)</f>
        <v>LX-182</v>
      </c>
      <c r="Q209" s="33" t="str">
        <f>VLOOKUP($G209,'Hoja 10'!$F$4:$AA1057, 21,0)</f>
        <v>https://www.amazon.com/dinamom%C3%A9trica-accionamiento-pulgadas-13-6-108-5-LX-182/dp/B07M68G49R/ref=sxin_16_pa_sp_search_thematic_sspa?content-id=amzn1.sym.06b0a375-029c-4241-a66c-6efb26e8829a%3Aamzn1.sym.06b0a375-029c-4241-a66c-6efb26e8829a&amp;crid=1NLT8FEO73OTL&amp;cv_ct_cx=torque%2Bwrench%2B3%2F8%E2%80%9D%2B20%2B-%2B80%2Bft%2Blb&amp;keywords=TORQUIMETRO%2B3%2F8%22%2B20%2B-%2B80%2BFT%2BLB&amp;pd_rd_i=B07M68G49R&amp;pd_rd_r=92531a98-7577-4a2d-b8a4-33a36b9ec263&amp;pd_rd_w=9S0zt&amp;pd_rd_wg=mG0hW&amp;pf_rd_p=06b0a375-029c-4241-a66c-6efb26e8829a&amp;pf_rd_r=8X0YBFPK5PJW10E55P9X&amp;qid=1759177549&amp;s=hi&amp;sbo=RZvfv%2F%2FHxDF%2BO5021pAnSA%3D%3D&amp;sprefix=torquimetro%2B3%2F8%2B20%2B-%2B80%2Bft%2Blb%2Caps%2C174&amp;sr=1-3-794806aa-f21d-47b5-a3ea-b60ce78b088a-spons&amp;sp_csd=d2lkZ2V0TmFtZT1zcF9zZWFyY2hfdGhlbWF0aWM&amp;th=1</v>
      </c>
      <c r="R209" s="86" t="s">
        <v>2236</v>
      </c>
      <c r="S209" s="44" t="b">
        <v>1</v>
      </c>
      <c r="T209" s="39" t="str">
        <f>IFERROR(__xludf.DUMMYFUNCTION(" IF
( VLOOKUP($G209,IMPORTRANGE(""https://docs.google.com/spreadsheets/d/1Gpl6jkTg7sL4VDNimUm3S9Vi1i95esohXCF3wuKOE8c"", ""'CONSOLIDADO'!G5:AB""), 10, 0) &lt;&gt; 0, 
IFERROR(VLOOKUP($G209,IMPORTRANGE(""https://docs.google.com/spreadsheets/d/1Gpl6jkTg7sL4VDNimU"&amp;"m3S9Vi1i95esohXCF3wuKOE8c"", ""'CONSOLIDADO'!G5:AB""), 17, 0), ""-""),
""""
)"),"LEXIVON")</f>
        <v>LEXIVON</v>
      </c>
      <c r="U209" s="39" t="str">
        <f>IFERROR(__xludf.DUMMYFUNCTION(" IF
( VLOOKUP($G209,IMPORTRANGE(""https://docs.google.com/spreadsheets/d/1Gpl6jkTg7sL4VDNimUm3S9Vi1i95esohXCF3wuKOE8c"", ""'CONSOLIDADO'!G5:AB""), 10, 0) &lt;&gt; 0, 
IFERROR(VLOOKUP($G209,IMPORTRANGE(""https://docs.google.com/spreadsheets/d/1Gpl6jkTg7sL4VDNimU"&amp;"m3S9Vi1i95esohXCF3wuKOE8c"", ""'CONSOLIDADO'!G5:AB""), 18, 0), ""-""),
""""
)"),"LX-182")</f>
        <v>LX-182</v>
      </c>
      <c r="V209" s="39" t="str">
        <f>IFERROR(__xludf.DUMMYFUNCTION(" IF
( VLOOKUP($G209,IMPORTRANGE(""https://docs.google.com/spreadsheets/d/1Gpl6jkTg7sL4VDNimUm3S9Vi1i95esohXCF3wuKOE8c"", ""'CONSOLIDADO'!G5:AB""), 10, 0) &lt;&gt; 0, 
IFERROR(VLOOKUP($G209,IMPORTRANGE(""https://docs.google.com/spreadsheets/d/1Gpl6jkTg7sL4VDNimU"&amp;"m3S9Vi1i95esohXCF3wuKOE8c"", ""'CONSOLIDADO'!G5:AB""), 17, 0), ""-""),
""""
)"),"LEXIVON")</f>
        <v>LEXIVON</v>
      </c>
      <c r="W209" s="39" t="str">
        <f>IFERROR(__xludf.DUMMYFUNCTION(" IF
( VLOOKUP($G209,IMPORTRANGE(""https://docs.google.com/spreadsheets/d/1Gpl6jkTg7sL4VDNimUm3S9Vi1i95esohXCF3wuKOE8c"", ""'CONSOLIDADO'!G5:AB""), 10, 0) &lt;&gt; 0, 
IFERROR(VLOOKUP($G209,IMPORTRANGE(""https://docs.google.com/spreadsheets/d/1Gpl6jkTg7sL4VDNimU"&amp;"m3S9Vi1i95esohXCF3wuKOE8c"", ""'CONSOLIDADO'!G5:AB""), 18, 0), ""-""),
""""
)"),"LX-182")</f>
        <v>LX-182</v>
      </c>
      <c r="X209" s="39" t="b">
        <f t="shared" si="25"/>
        <v>1</v>
      </c>
      <c r="Y209" s="120" t="str">
        <f>IFERROR(__xludf.DUMMYFUNCTION(" IF
( VLOOKUP($G209,IMPORTRANGE(""https://docs.google.com/spreadsheets/d/1Gpl6jkTg7sL4VDNimUm3S9Vi1i95esohXCF3wuKOE8c"", ""'CONSOLIDADO'!G5:AB""), 10, 0) &lt;&gt; 0, 
IFERROR(VLOOKUP($G209,IMPORTRANGE(""https://docs.google.com/spreadsheets/d/1Gpl6jkTg7sL4VDNimU"&amp;"m3S9Vi1i95esohXCF3wuKOE8c"", ""'CONSOLIDADO'!G5:AB""), 19, 0), ""-""),
""""
)"),"https://www.amazon.com/dinamom%C3%A9trica-accionamiento-pulgadas-13-6-108-5-LX-182/dp/B07M68G49R/ref=sxin_16_pa_sp_search_thematic_sspa?content-id=amzn1.sym.06b0a375-029c-4241-a66c-6efb26e8829a%3Aamzn1.sym.06b0a375-029c-4241-a66c-6efb26e8829a&amp;crid=1NLT8FE"&amp;"O73OTL&amp;cv_ct_cx=torque%2Bwrench%2B3%2F8%E2%80%9D%2B20%2B-%2B80%2Bft%2Blb&amp;keywords=TORQUIMETRO%2B3%2F8%22%2B20%2B-%2B80%2BFT%2BLB&amp;pd_rd_i=B07M68G49R&amp;pd_rd_r=92531a98-7577-4a2d-b8a4-33a36b9ec263&amp;pd_rd_w=9S0zt&amp;pd_rd_wg=mG0hW&amp;pf_rd_p=06b0a375-029c-4241-a66c-6"&amp;"efb26e8829a&amp;pf_rd_r=8X0YBFPK5PJW10E55P9X&amp;qid=1759177549&amp;s=hi&amp;sbo=RZvfv%2F%2FHxDF%2BO5021pAnSA%3D%3D&amp;sprefix=torquimetro%2B3%2F8%2B20%2B-%2B80%2Bft%2Blb%2Caps%2C174&amp;sr=1-3-794806aa-f21d-47b5-a3ea-b60ce78b088a-spons&amp;sp_csd=d2lkZ2V0TmFtZT1zcF9zZWFyY2hfdGhlbW"&amp;"F0aWM&amp;th=1")</f>
        <v>https://www.amazon.com/dinamom%C3%A9trica-accionamiento-pulgadas-13-6-108-5-LX-182/dp/B07M68G49R/ref=sxin_16_pa_sp_search_thematic_sspa?content-id=amzn1.sym.06b0a375-029c-4241-a66c-6efb26e8829a%3Aamzn1.sym.06b0a375-029c-4241-a66c-6efb26e8829a&amp;crid=1NLT8FEO73OTL&amp;cv_ct_cx=torque%2Bwrench%2B3%2F8%E2%80%9D%2B20%2B-%2B80%2Bft%2Blb&amp;keywords=TORQUIMETRO%2B3%2F8%22%2B20%2B-%2B80%2BFT%2BLB&amp;pd_rd_i=B07M68G49R&amp;pd_rd_r=92531a98-7577-4a2d-b8a4-33a36b9ec263&amp;pd_rd_w=9S0zt&amp;pd_rd_wg=mG0hW&amp;pf_rd_p=06b0a375-029c-4241-a66c-6efb26e8829a&amp;pf_rd_r=8X0YBFPK5PJW10E55P9X&amp;qid=1759177549&amp;s=hi&amp;sbo=RZvfv%2F%2FHxDF%2BO5021pAnSA%3D%3D&amp;sprefix=torquimetro%2B3%2F8%2B20%2B-%2B80%2Bft%2Blb%2Caps%2C174&amp;sr=1-3-794806aa-f21d-47b5-a3ea-b60ce78b088a-spons&amp;sp_csd=d2lkZ2V0TmFtZT1zcF9zZWFyY2hfdGhlbWF0aWM&amp;th=1</v>
      </c>
      <c r="Z209" s="37" t="str">
        <f>IFERROR(__xludf.DUMMYFUNCTION("IFERROR(VLOOKUP(G209,IMPORTRANGE(""https://docs.google.com/spreadsheets/d/12RxCea4e5ggM7QGn1XE3FbLQa_-QbCNdBi90OdPjRqg"", ""'Plan de Compras'!D4:Q""), 12, 0), ""NO ESTÁ EN REQ"")"),"Técnica")</f>
        <v>Técnica</v>
      </c>
      <c r="AA209" s="37" t="str">
        <f>IFERROR(__xludf.DUMMYFUNCTION("IFERROR(VLOOKUP(G209,IMPORTRANGE(""https://docs.google.com/spreadsheets/d/12RxCea4e5ggM7QGn1XE3FbLQa_-QbCNdBi90OdPjRqg"", ""'Plan de Compras'!D4:Q""), 13, 0), """")"),"INTERNACIONAL")</f>
        <v>INTERNACIONAL</v>
      </c>
      <c r="AB209" s="32" t="str">
        <f>IFERROR(__xludf.DUMMYFUNCTION("IFERROR(VLOOKUP(G209,IMPORTRANGE(""https://docs.google.com/spreadsheets/d/12RxCea4e5ggM7QGn1XE3FbLQa_-QbCNdBi90OdPjRqg"", ""'Plan de Compras'!D4:Q""), 14, 0), """")"),"GIANFRANCO")</f>
        <v>GIANFRANCO</v>
      </c>
      <c r="AC209" s="72" t="str">
        <f>IFERROR(__xludf.DUMMYFUNCTION("IFERROR(VLOOKUP(G209,IMPORTRANGE(""https://docs.google.com/spreadsheets/d/12RxCea4e5ggM7QGn1XE3FbLQa_-QbCNdBi90OdPjRqg"", ""'Plan de Compras'!D4:Q""), 4, 0), """")"),"TORQUÍMETRO")</f>
        <v>TORQUÍMETRO</v>
      </c>
      <c r="AD209" s="37" t="str">
        <f>IFERROR(__xludf.DUMMYFUNCTION("IFERROR(IF(OR(C209=TRUE,C209=""""),VLOOKUP(G209,IMPORTRANGE(""https://docs.google.com/spreadsheets/d/1z9A1Wq-kKrhRNG5RS2a2fKpY1wIhSVz2ZNmP2mOl588/edit?usp=sharing"",""REQ VF!E4:H""),4,0),""NO APLICA""),""GENERAR REQ"")"),"GENERAR REQ")</f>
        <v>GENERAR REQ</v>
      </c>
      <c r="AE209" s="32" t="str">
        <f>IFERROR(__xludf.DUMMYFUNCTION("IFERROR(QUERY(IMPORTRANGE(""https://docs.google.com/spreadsheets/d/1z9A1Wq-kKrhRNG5RS2a2fKpY1wIhSVz2ZNmP2mOl588/edit?usp=sharing"",""REQ VF!E4:Q""),""SELECT Col10, Col11, Col12 WHERE Col1 = '""&amp;G209&amp;""'"",0),""NO APLICA"")"),"NO APLICA")</f>
        <v>NO APLICA</v>
      </c>
      <c r="AF209" s="32"/>
      <c r="AG209" s="32"/>
      <c r="AH209" s="8" t="s">
        <v>52</v>
      </c>
      <c r="AI209" s="13"/>
    </row>
    <row r="210">
      <c r="A210" s="121">
        <v>137.0</v>
      </c>
      <c r="B210" s="43" t="b">
        <v>1</v>
      </c>
      <c r="C210" s="26" t="b">
        <v>1</v>
      </c>
      <c r="D210" s="26" t="s">
        <v>35</v>
      </c>
      <c r="E210" s="26" t="s">
        <v>1510</v>
      </c>
      <c r="F210" s="59" t="s">
        <v>2237</v>
      </c>
      <c r="G210" s="37" t="s">
        <v>2237</v>
      </c>
      <c r="H210" s="82" t="s">
        <v>2238</v>
      </c>
      <c r="I210" s="43">
        <f>SUMIFS('Hoja 10'!$O:$O,'Hoja 10'!$F:$F,$G210)</f>
        <v>8</v>
      </c>
      <c r="J210" s="26">
        <f>IFERROR(__xludf.DUMMYFUNCTION("VLOOKUP(G210,IMPORTRANGE(""https://docs.google.com/spreadsheets/d/12RxCea4e5ggM7QGn1XE3FbLQa_-QbCNdBi90OdPjRqg/edit?gid=1692403370#gid=1692403370"", ""'Plan de Compras'!D4:2432""), 8,0)"),8.0)</f>
        <v>8</v>
      </c>
      <c r="K210" s="26" t="str">
        <f t="shared" si="18"/>
        <v>SI</v>
      </c>
      <c r="L210" s="29" t="s">
        <v>296</v>
      </c>
      <c r="M210" s="30" t="s">
        <v>297</v>
      </c>
      <c r="N210" s="32"/>
      <c r="O210" s="32" t="str">
        <f>VLOOKUP($G210,'Hoja 10'!$F$4:$AA1057, 19,0)</f>
        <v>VOGEL</v>
      </c>
      <c r="P210" s="32">
        <f>VLOOKUP($G210,'Hoja 10'!$F$4:$AA1057, 20,0)</f>
        <v>322541</v>
      </c>
      <c r="Q210" s="33" t="str">
        <f>VLOOKUP($G210,'Hoja 10'!$F$4:$AA1057, 21,0)</f>
        <v>https://store.ferrindustrial.com.pe/producto/transportador-de-angulos-inox-180o-de-80mm-x-150mm-322541-vogel-germany/</v>
      </c>
      <c r="R210" s="86" t="s">
        <v>2239</v>
      </c>
      <c r="S210" s="44" t="b">
        <v>1</v>
      </c>
      <c r="T210" s="39" t="str">
        <f>IFERROR(__xludf.DUMMYFUNCTION(" IF
( VLOOKUP($G210,IMPORTRANGE(""https://docs.google.com/spreadsheets/d/1Gpl6jkTg7sL4VDNimUm3S9Vi1i95esohXCF3wuKOE8c"", ""'CONSOLIDADO'!G5:AB""), 10, 0) &lt;&gt; 0, 
IFERROR(VLOOKUP($G210,IMPORTRANGE(""https://docs.google.com/spreadsheets/d/1Gpl6jkTg7sL4VDNimU"&amp;"m3S9Vi1i95esohXCF3wuKOE8c"", ""'CONSOLIDADO'!G5:AB""), 17, 0), ""-""),
""""
)"),"VOGEL GERMANY")</f>
        <v>VOGEL GERMANY</v>
      </c>
      <c r="U210" s="39">
        <f>IFERROR(__xludf.DUMMYFUNCTION(" IF
( VLOOKUP($G210,IMPORTRANGE(""https://docs.google.com/spreadsheets/d/1Gpl6jkTg7sL4VDNimUm3S9Vi1i95esohXCF3wuKOE8c"", ""'CONSOLIDADO'!G5:AB""), 10, 0) &lt;&gt; 0, 
IFERROR(VLOOKUP($G210,IMPORTRANGE(""https://docs.google.com/spreadsheets/d/1Gpl6jkTg7sL4VDNimU"&amp;"m3S9Vi1i95esohXCF3wuKOE8c"", ""'CONSOLIDADO'!G5:AB""), 18, 0), ""-""),
""""
)"),322541.0)</f>
        <v>322541</v>
      </c>
      <c r="V210" s="39" t="str">
        <f>IFERROR(__xludf.DUMMYFUNCTION(" IF
( VLOOKUP($G210,IMPORTRANGE(""https://docs.google.com/spreadsheets/d/1Gpl6jkTg7sL4VDNimUm3S9Vi1i95esohXCF3wuKOE8c"", ""'CONSOLIDADO'!G5:AB""), 10, 0) &lt;&gt; 0, 
IFERROR(VLOOKUP($G210,IMPORTRANGE(""https://docs.google.com/spreadsheets/d/1Gpl6jkTg7sL4VDNimU"&amp;"m3S9Vi1i95esohXCF3wuKOE8c"", ""'CONSOLIDADO'!G5:AB""), 17, 0), ""-""),
""""
)"),"VOGEL GERMANY")</f>
        <v>VOGEL GERMANY</v>
      </c>
      <c r="W210" s="39">
        <f>IFERROR(__xludf.DUMMYFUNCTION(" IF
( VLOOKUP($G210,IMPORTRANGE(""https://docs.google.com/spreadsheets/d/1Gpl6jkTg7sL4VDNimUm3S9Vi1i95esohXCF3wuKOE8c"", ""'CONSOLIDADO'!G5:AB""), 10, 0) &lt;&gt; 0, 
IFERROR(VLOOKUP($G210,IMPORTRANGE(""https://docs.google.com/spreadsheets/d/1Gpl6jkTg7sL4VDNimU"&amp;"m3S9Vi1i95esohXCF3wuKOE8c"", ""'CONSOLIDADO'!G5:AB""), 18, 0), ""-""),
""""
)"),322541.0)</f>
        <v>322541</v>
      </c>
      <c r="X210" s="39" t="b">
        <f t="shared" si="25"/>
        <v>1</v>
      </c>
      <c r="Y210" s="120" t="str">
        <f>IFERROR(__xludf.DUMMYFUNCTION(" IF
( VLOOKUP($G210,IMPORTRANGE(""https://docs.google.com/spreadsheets/d/1Gpl6jkTg7sL4VDNimUm3S9Vi1i95esohXCF3wuKOE8c"", ""'CONSOLIDADO'!G5:AB""), 10, 0) &lt;&gt; 0, 
IFERROR(VLOOKUP($G210,IMPORTRANGE(""https://docs.google.com/spreadsheets/d/1Gpl6jkTg7sL4VDNimU"&amp;"m3S9Vi1i95esohXCF3wuKOE8c"", ""'CONSOLIDADO'!G5:AB""), 19, 0), ""-""),
""""
)"),"https://store.ferrindustrial.com.pe/producto/transportador-de-angulos-inox-180o-de-80mm-x-150mm-322541-vogel-germany/")</f>
        <v>https://store.ferrindustrial.com.pe/producto/transportador-de-angulos-inox-180o-de-80mm-x-150mm-322541-vogel-germany/</v>
      </c>
      <c r="Z210" s="37" t="str">
        <f>IFERROR(__xludf.DUMMYFUNCTION("IFERROR(VLOOKUP(G210,IMPORTRANGE(""https://docs.google.com/spreadsheets/d/12RxCea4e5ggM7QGn1XE3FbLQa_-QbCNdBi90OdPjRqg"", ""'Plan de Compras'!D4:Q""), 12, 0), ""NO ESTÁ EN REQ"")"),"Técnica")</f>
        <v>Técnica</v>
      </c>
      <c r="AA210" s="37" t="str">
        <f>IFERROR(__xludf.DUMMYFUNCTION("IFERROR(VLOOKUP(G210,IMPORTRANGE(""https://docs.google.com/spreadsheets/d/12RxCea4e5ggM7QGn1XE3FbLQa_-QbCNdBi90OdPjRqg"", ""'Plan de Compras'!D4:Q""), 13, 0), """")"),"NACIONAL")</f>
        <v>NACIONAL</v>
      </c>
      <c r="AB210" s="32" t="str">
        <f>IFERROR(__xludf.DUMMYFUNCTION("IFERROR(VLOOKUP(G210,IMPORTRANGE(""https://docs.google.com/spreadsheets/d/12RxCea4e5ggM7QGn1XE3FbLQa_-QbCNdBi90OdPjRqg"", ""'Plan de Compras'!D4:Q""), 14, 0), """")"),"OMAR")</f>
        <v>OMAR</v>
      </c>
      <c r="AC210" s="72" t="str">
        <f>IFERROR(__xludf.DUMMYFUNCTION("IFERROR(VLOOKUP(G210,IMPORTRANGE(""https://docs.google.com/spreadsheets/d/12RxCea4e5ggM7QGn1XE3FbLQa_-QbCNdBi90OdPjRqg"", ""'Plan de Compras'!D4:Q""), 4, 0), """")"),"TRANSPORTADOR DE ANGULOS")</f>
        <v>TRANSPORTADOR DE ANGULOS</v>
      </c>
      <c r="AD210" s="37" t="str">
        <f>IFERROR(__xludf.DUMMYFUNCTION("IFERROR(IF(OR(C210=TRUE,C210=""""),VLOOKUP(G210,IMPORTRANGE(""https://docs.google.com/spreadsheets/d/1z9A1Wq-kKrhRNG5RS2a2fKpY1wIhSVz2ZNmP2mOl588/edit?usp=sharing"",""REQ VF!E4:H""),4,0),""NO APLICA""),""GENERAR REQ"")"),"GENERAR REQ")</f>
        <v>GENERAR REQ</v>
      </c>
      <c r="AE210" s="32" t="str">
        <f>IFERROR(__xludf.DUMMYFUNCTION("IFERROR(QUERY(IMPORTRANGE(""https://docs.google.com/spreadsheets/d/1z9A1Wq-kKrhRNG5RS2a2fKpY1wIhSVz2ZNmP2mOl588/edit?usp=sharing"",""REQ VF!E4:Q""),""SELECT Col10, Col11, Col12 WHERE Col1 = '""&amp;G210&amp;""'"",0),""NO APLICA"")"),"NO APLICA")</f>
        <v>NO APLICA</v>
      </c>
      <c r="AF210" s="32"/>
      <c r="AG210" s="32"/>
      <c r="AH210" s="8" t="s">
        <v>52</v>
      </c>
      <c r="AI210" s="13"/>
    </row>
    <row r="211">
      <c r="A211" s="121">
        <v>138.0</v>
      </c>
      <c r="B211" s="43" t="b">
        <v>1</v>
      </c>
      <c r="C211" s="26" t="b">
        <v>1</v>
      </c>
      <c r="D211" s="26" t="s">
        <v>35</v>
      </c>
      <c r="E211" s="26" t="s">
        <v>1510</v>
      </c>
      <c r="F211" s="59" t="s">
        <v>2240</v>
      </c>
      <c r="G211" s="37" t="s">
        <v>2240</v>
      </c>
      <c r="H211" s="82" t="s">
        <v>2241</v>
      </c>
      <c r="I211" s="43">
        <f>SUMIFS('Hoja 10'!$O:$O,'Hoja 10'!$F:$F,$G211)</f>
        <v>5</v>
      </c>
      <c r="J211" s="26">
        <f>IFERROR(__xludf.DUMMYFUNCTION("VLOOKUP(G211,IMPORTRANGE(""https://docs.google.com/spreadsheets/d/12RxCea4e5ggM7QGn1XE3FbLQa_-QbCNdBi90OdPjRqg/edit?gid=1692403370#gid=1692403370"", ""'Plan de Compras'!D4:2432""), 8,0)"),5.0)</f>
        <v>5</v>
      </c>
      <c r="K211" s="26" t="str">
        <f t="shared" si="18"/>
        <v>SI</v>
      </c>
      <c r="L211" s="29" t="s">
        <v>91</v>
      </c>
      <c r="M211" s="30" t="s">
        <v>92</v>
      </c>
      <c r="N211" s="32"/>
      <c r="O211" s="32" t="str">
        <f>VLOOKUP($G211,'Hoja 10'!$F$4:$AA1057, 19,0)</f>
        <v>STANLEY</v>
      </c>
      <c r="P211" s="32" t="str">
        <f>VLOOKUP($G211,'Hoja 10'!$F$4:$AA1057, 20,0)</f>
        <v>30-608</v>
      </c>
      <c r="Q211" s="33" t="str">
        <f>VLOOKUP($G211,'Hoja 10'!$F$4:$AA1057, 21,0)</f>
        <v>https://prosinfer.pe/product/cinta-metrica-wincha-3-m-stanley-30-608-global-plus/</v>
      </c>
      <c r="R211" s="86" t="s">
        <v>2242</v>
      </c>
      <c r="S211" s="44" t="b">
        <v>1</v>
      </c>
      <c r="T211" s="32" t="str">
        <f>VLOOKUP($G211,'Hoja 10'!$F$4:$AA1057, 19,0)</f>
        <v>STANLEY</v>
      </c>
      <c r="U211" s="61" t="s">
        <v>2243</v>
      </c>
      <c r="V211" s="39" t="str">
        <f>IFERROR(__xludf.DUMMYFUNCTION(" IF
( VLOOKUP($G211,IMPORTRANGE(""https://docs.google.com/spreadsheets/d/1Gpl6jkTg7sL4VDNimUm3S9Vi1i95esohXCF3wuKOE8c"", ""'CONSOLIDADO'!G5:AB""), 10, 0) &lt;&gt; 0, 
IFERROR(VLOOKUP($G211,IMPORTRANGE(""https://docs.google.com/spreadsheets/d/1Gpl6jkTg7sL4VDNimU"&amp;"m3S9Vi1i95esohXCF3wuKOE8c"", ""'CONSOLIDADO'!G5:AB""), 17, 0), ""-""),
""""
)"),"STANLEY")</f>
        <v>STANLEY</v>
      </c>
      <c r="W211" s="39" t="str">
        <f>IFERROR(__xludf.DUMMYFUNCTION(" IF
( VLOOKUP($G211,IMPORTRANGE(""https://docs.google.com/spreadsheets/d/1Gpl6jkTg7sL4VDNimUm3S9Vi1i95esohXCF3wuKOE8c"", ""'CONSOLIDADO'!G5:AB""), 10, 0) &lt;&gt; 0, 
IFERROR(VLOOKUP($G211,IMPORTRANGE(""https://docs.google.com/spreadsheets/d/1Gpl6jkTg7sL4VDNimU"&amp;"m3S9Vi1i95esohXCF3wuKOE8c"", ""'CONSOLIDADO'!G5:AB""), 18, 0), ""-""),
""""
)"),"30-710")</f>
        <v>30-710</v>
      </c>
      <c r="X211" s="39" t="b">
        <f t="shared" si="25"/>
        <v>1</v>
      </c>
      <c r="Y211" s="46" t="s">
        <v>2244</v>
      </c>
      <c r="Z211" s="37" t="str">
        <f>IFERROR(__xludf.DUMMYFUNCTION("IFERROR(VLOOKUP(G211,IMPORTRANGE(""https://docs.google.com/spreadsheets/d/12RxCea4e5ggM7QGn1XE3FbLQa_-QbCNdBi90OdPjRqg"", ""'Plan de Compras'!D4:Q""), 12, 0), ""NO ESTÁ EN REQ"")"),"Simple")</f>
        <v>Simple</v>
      </c>
      <c r="AA211" s="37" t="str">
        <f>IFERROR(__xludf.DUMMYFUNCTION("IFERROR(VLOOKUP(G211,IMPORTRANGE(""https://docs.google.com/spreadsheets/d/12RxCea4e5ggM7QGn1XE3FbLQa_-QbCNdBi90OdPjRqg"", ""'Plan de Compras'!D4:Q""), 13, 0), """")"),"NACIONAL")</f>
        <v>NACIONAL</v>
      </c>
      <c r="AB211" s="32" t="str">
        <f>IFERROR(__xludf.DUMMYFUNCTION("IFERROR(VLOOKUP(G211,IMPORTRANGE(""https://docs.google.com/spreadsheets/d/12RxCea4e5ggM7QGn1XE3FbLQa_-QbCNdBi90OdPjRqg"", ""'Plan de Compras'!D4:Q""), 14, 0), """")"),"ANGIE")</f>
        <v>ANGIE</v>
      </c>
      <c r="AC211" s="72" t="str">
        <f>IFERROR(__xludf.DUMMYFUNCTION("IFERROR(VLOOKUP(G211,IMPORTRANGE(""https://docs.google.com/spreadsheets/d/12RxCea4e5ggM7QGn1XE3FbLQa_-QbCNdBi90OdPjRqg"", ""'Plan de Compras'!D4:Q""), 4, 0), """")"),"WINCHA DE 3 METROS")</f>
        <v>WINCHA DE 3 METROS</v>
      </c>
      <c r="AD211" s="37" t="str">
        <f>IFERROR(__xludf.DUMMYFUNCTION("IFERROR(IF(OR(C211=TRUE,C211=""""),VLOOKUP(G211,IMPORTRANGE(""https://docs.google.com/spreadsheets/d/1z9A1Wq-kKrhRNG5RS2a2fKpY1wIhSVz2ZNmP2mOl588/edit?usp=sharing"",""REQ VF!E4:H""),4,0),""NO APLICA""),""GENERAR REQ"")"),"GENERAR REQ")</f>
        <v>GENERAR REQ</v>
      </c>
      <c r="AE211" s="32" t="str">
        <f>IFERROR(__xludf.DUMMYFUNCTION("IFERROR(QUERY(IMPORTRANGE(""https://docs.google.com/spreadsheets/d/1z9A1Wq-kKrhRNG5RS2a2fKpY1wIhSVz2ZNmP2mOl588/edit?usp=sharing"",""REQ VF!E4:Q""),""SELECT Col10, Col11, Col12 WHERE Col1 = '""&amp;G211&amp;""'"",0),""NO APLICA"")"),"NO APLICA")</f>
        <v>NO APLICA</v>
      </c>
      <c r="AF211" s="32"/>
      <c r="AG211" s="32"/>
      <c r="AH211" s="8" t="s">
        <v>52</v>
      </c>
      <c r="AI211" s="13"/>
    </row>
    <row r="212">
      <c r="A212" s="121">
        <v>139.0</v>
      </c>
      <c r="B212" s="43" t="b">
        <v>1</v>
      </c>
      <c r="C212" s="26" t="b">
        <v>1</v>
      </c>
      <c r="D212" s="26" t="s">
        <v>35</v>
      </c>
      <c r="E212" s="26" t="s">
        <v>1510</v>
      </c>
      <c r="F212" s="59" t="s">
        <v>2245</v>
      </c>
      <c r="G212" s="37" t="s">
        <v>2245</v>
      </c>
      <c r="H212" s="82" t="s">
        <v>2246</v>
      </c>
      <c r="I212" s="43">
        <f>SUMIFS('Hoja 10'!$O:$O,'Hoja 10'!$F:$F,$G212)</f>
        <v>15</v>
      </c>
      <c r="J212" s="26">
        <f>IFERROR(__xludf.DUMMYFUNCTION("VLOOKUP(G212,IMPORTRANGE(""https://docs.google.com/spreadsheets/d/12RxCea4e5ggM7QGn1XE3FbLQa_-QbCNdBi90OdPjRqg/edit?gid=1692403370#gid=1692403370"", ""'Plan de Compras'!D4:2432""), 8,0)"),15.0)</f>
        <v>15</v>
      </c>
      <c r="K212" s="26" t="str">
        <f t="shared" si="18"/>
        <v>SI</v>
      </c>
      <c r="L212" s="29" t="s">
        <v>180</v>
      </c>
      <c r="M212" s="30" t="s">
        <v>181</v>
      </c>
      <c r="N212" s="32"/>
      <c r="O212" s="32" t="str">
        <f>VLOOKUP($G212,'Hoja 10'!$F$4:$AA1057, 19,0)</f>
        <v>STANLEY</v>
      </c>
      <c r="P212" s="32" t="str">
        <f>VLOOKUP($G212,'Hoja 10'!$F$4:$AA1057, 20,0)</f>
        <v>STANLEY</v>
      </c>
      <c r="Q212" s="33" t="str">
        <f>VLOOKUP($G212,'Hoja 10'!$F$4:$AA1057, 21,0)</f>
        <v>https://prosinfer.pe/product/cinta-metrica-wincha-5-m-stanley-30-085-pro/</v>
      </c>
      <c r="R212" s="30" t="s">
        <v>2247</v>
      </c>
      <c r="S212" s="44" t="b">
        <v>1</v>
      </c>
      <c r="T212" s="32" t="str">
        <f>VLOOKUP($G212,'Hoja 10'!$F$4:$AA1057, 19,0)</f>
        <v>STANLEY</v>
      </c>
      <c r="U212" s="39" t="s">
        <v>2248</v>
      </c>
      <c r="V212" s="39" t="str">
        <f>IFERROR(__xludf.DUMMYFUNCTION(" IF
( VLOOKUP($G212,IMPORTRANGE(""https://docs.google.com/spreadsheets/d/1Gpl6jkTg7sL4VDNimUm3S9Vi1i95esohXCF3wuKOE8c"", ""'CONSOLIDADO'!G5:AB""), 10, 0) &lt;&gt; 0, 
IFERROR(VLOOKUP($G212,IMPORTRANGE(""https://docs.google.com/spreadsheets/d/1Gpl6jkTg7sL4VDNimU"&amp;"m3S9Vi1i95esohXCF3wuKOE8c"", ""'CONSOLIDADO'!G5:AB""), 17, 0), ""-""),
""""
)"),"STANLEY")</f>
        <v>STANLEY</v>
      </c>
      <c r="W212" s="39" t="str">
        <f>IFERROR(__xludf.DUMMYFUNCTION(" IF
( VLOOKUP($G212,IMPORTRANGE(""https://docs.google.com/spreadsheets/d/1Gpl6jkTg7sL4VDNimUm3S9Vi1i95esohXCF3wuKOE8c"", ""'CONSOLIDADO'!G5:AB""), 10, 0) &lt;&gt; 0, 
IFERROR(VLOOKUP($G212,IMPORTRANGE(""https://docs.google.com/spreadsheets/d/1Gpl6jkTg7sL4VDNimU"&amp;"m3S9Vi1i95esohXCF3wuKOE8c"", ""'CONSOLIDADO'!G5:AB""), 18, 0), ""-""),
""""
)"),"30-085")</f>
        <v>30-085</v>
      </c>
      <c r="X212" s="39" t="b">
        <f t="shared" si="25"/>
        <v>1</v>
      </c>
      <c r="Y212" s="33" t="str">
        <f>VLOOKUP($G212,'Hoja 10'!$F$4:$AA1057, 21,0)</f>
        <v>https://prosinfer.pe/product/cinta-metrica-wincha-5-m-stanley-30-085-pro/</v>
      </c>
      <c r="Z212" s="37" t="str">
        <f>IFERROR(__xludf.DUMMYFUNCTION("IFERROR(VLOOKUP(G212,IMPORTRANGE(""https://docs.google.com/spreadsheets/d/12RxCea4e5ggM7QGn1XE3FbLQa_-QbCNdBi90OdPjRqg"", ""'Plan de Compras'!D4:Q""), 12, 0), ""NO ESTÁ EN REQ"")"),"Simple")</f>
        <v>Simple</v>
      </c>
      <c r="AA212" s="37" t="str">
        <f>IFERROR(__xludf.DUMMYFUNCTION("IFERROR(VLOOKUP(G212,IMPORTRANGE(""https://docs.google.com/spreadsheets/d/12RxCea4e5ggM7QGn1XE3FbLQa_-QbCNdBi90OdPjRqg"", ""'Plan de Compras'!D4:Q""), 13, 0), """")"),"NACIONAL")</f>
        <v>NACIONAL</v>
      </c>
      <c r="AB212" s="32" t="str">
        <f>IFERROR(__xludf.DUMMYFUNCTION("IFERROR(VLOOKUP(G212,IMPORTRANGE(""https://docs.google.com/spreadsheets/d/12RxCea4e5ggM7QGn1XE3FbLQa_-QbCNdBi90OdPjRqg"", ""'Plan de Compras'!D4:Q""), 14, 0), """")"),"ANGIE")</f>
        <v>ANGIE</v>
      </c>
      <c r="AC212" s="72" t="str">
        <f>IFERROR(__xludf.DUMMYFUNCTION("IFERROR(VLOOKUP(G212,IMPORTRANGE(""https://docs.google.com/spreadsheets/d/12RxCea4e5ggM7QGn1XE3FbLQa_-QbCNdBi90OdPjRqg"", ""'Plan de Compras'!D4:Q""), 4, 0), """")"),"WINCHA DE 5 METROS")</f>
        <v>WINCHA DE 5 METROS</v>
      </c>
      <c r="AD212" s="37" t="str">
        <f>IFERROR(__xludf.DUMMYFUNCTION("IFERROR(IF(OR(C212=TRUE,C212=""""),VLOOKUP(G212,IMPORTRANGE(""https://docs.google.com/spreadsheets/d/1z9A1Wq-kKrhRNG5RS2a2fKpY1wIhSVz2ZNmP2mOl588/edit?usp=sharing"",""REQ VF!E4:H""),4,0),""NO APLICA""),""GENERAR REQ"")"),"GENERAR REQ")</f>
        <v>GENERAR REQ</v>
      </c>
      <c r="AE212" s="32" t="str">
        <f>IFERROR(__xludf.DUMMYFUNCTION("IFERROR(QUERY(IMPORTRANGE(""https://docs.google.com/spreadsheets/d/1z9A1Wq-kKrhRNG5RS2a2fKpY1wIhSVz2ZNmP2mOl588/edit?usp=sharing"",""REQ VF!E4:Q""),""SELECT Col10, Col11, Col12 WHERE Col1 = '""&amp;G212&amp;""'"",0),""NO APLICA"")"),"NO APLICA")</f>
        <v>NO APLICA</v>
      </c>
      <c r="AF212" s="32"/>
      <c r="AG212" s="32"/>
      <c r="AH212" s="8" t="s">
        <v>52</v>
      </c>
      <c r="AI212" s="13"/>
    </row>
    <row r="213">
      <c r="A213" s="117">
        <v>140.0</v>
      </c>
      <c r="B213" s="43" t="b">
        <v>1</v>
      </c>
      <c r="C213" s="26" t="b">
        <v>1</v>
      </c>
      <c r="D213" s="26" t="s">
        <v>35</v>
      </c>
      <c r="E213" s="26" t="s">
        <v>1510</v>
      </c>
      <c r="F213" s="59" t="s">
        <v>2249</v>
      </c>
      <c r="G213" s="37" t="s">
        <v>2249</v>
      </c>
      <c r="H213" s="82" t="s">
        <v>2250</v>
      </c>
      <c r="I213" s="43">
        <f>SUMIFS('Hoja 10'!$O:$O,'Hoja 10'!$F:$F,$G213)</f>
        <v>8</v>
      </c>
      <c r="J213" s="26">
        <f>IFERROR(__xludf.DUMMYFUNCTION("VLOOKUP(G213,IMPORTRANGE(""https://docs.google.com/spreadsheets/d/12RxCea4e5ggM7QGn1XE3FbLQa_-QbCNdBi90OdPjRqg/edit?gid=1692403370#gid=1692403370"", ""'Plan de Compras'!D4:2432""), 8,0)"),8.0)</f>
        <v>8</v>
      </c>
      <c r="K213" s="26" t="str">
        <f t="shared" si="18"/>
        <v>SI</v>
      </c>
      <c r="L213" s="29" t="s">
        <v>296</v>
      </c>
      <c r="M213" s="30" t="s">
        <v>297</v>
      </c>
      <c r="N213" s="32"/>
      <c r="O213" s="32" t="str">
        <f>VLOOKUP($G213,'Hoja 10'!$F$4:$AA1057, 19,0)</f>
        <v>DASQUA</v>
      </c>
      <c r="P213" s="32" t="str">
        <f>VLOOKUP($G213,'Hoja 10'!$F$4:$AA1057, 20,0)</f>
        <v>1804-1080</v>
      </c>
      <c r="Q213" s="33" t="str">
        <f>VLOOKUP($G213,'Hoja 10'!$F$4:$AA1057, 21,0)</f>
        <v>https://www.amazon.com/-/es/Dasqua-Cinta-m%C3%A9trica-l%C3%A1ser-1804-1080/dp/B091D9295X</v>
      </c>
      <c r="R213" s="86" t="s">
        <v>2251</v>
      </c>
      <c r="S213" s="44" t="b">
        <v>1</v>
      </c>
      <c r="T213" s="39" t="str">
        <f>IFERROR(__xludf.DUMMYFUNCTION(" IF
( VLOOKUP($G213,IMPORTRANGE(""https://docs.google.com/spreadsheets/d/1Gpl6jkTg7sL4VDNimUm3S9Vi1i95esohXCF3wuKOE8c"", ""'CONSOLIDADO'!G5:AB""), 10, 0) &lt;&gt; 0, 
IFERROR(VLOOKUP($G213,IMPORTRANGE(""https://docs.google.com/spreadsheets/d/1Gpl6jkTg7sL4VDNimU"&amp;"m3S9Vi1i95esohXCF3wuKOE8c"", ""'CONSOLIDADO'!G5:AB""), 17, 0), ""-""),
""""
)"),"MILESEEY")</f>
        <v>MILESEEY</v>
      </c>
      <c r="U213" s="39" t="str">
        <f>IFERROR(__xludf.DUMMYFUNCTION(" IF
( VLOOKUP($G213,IMPORTRANGE(""https://docs.google.com/spreadsheets/d/1Gpl6jkTg7sL4VDNimUm3S9Vi1i95esohXCF3wuKOE8c"", ""'CONSOLIDADO'!G5:AB""), 10, 0) &lt;&gt; 0, 
IFERROR(VLOOKUP($G213,IMPORTRANGE(""https://docs.google.com/spreadsheets/d/1Gpl6jkTg7sL4VDNimU"&amp;"m3S9Vi1i95esohXCF3wuKOE8c"", ""'CONSOLIDADO'!G5:AB""), 18, 0), ""-""),
""""
)"),"B092MG3DVG")</f>
        <v>B092MG3DVG</v>
      </c>
      <c r="V213" s="39" t="str">
        <f>IFERROR(__xludf.DUMMYFUNCTION(" IF
( VLOOKUP($G213,IMPORTRANGE(""https://docs.google.com/spreadsheets/d/1Gpl6jkTg7sL4VDNimUm3S9Vi1i95esohXCF3wuKOE8c"", ""'CONSOLIDADO'!G5:AB""), 10, 0) &lt;&gt; 0, 
IFERROR(VLOOKUP($G213,IMPORTRANGE(""https://docs.google.com/spreadsheets/d/1Gpl6jkTg7sL4VDNimU"&amp;"m3S9Vi1i95esohXCF3wuKOE8c"", ""'CONSOLIDADO'!G5:AB""), 17, 0), ""-""),
""""
)"),"MILESEEY")</f>
        <v>MILESEEY</v>
      </c>
      <c r="W213" s="39" t="str">
        <f>IFERROR(__xludf.DUMMYFUNCTION(" IF
( VLOOKUP($G213,IMPORTRANGE(""https://docs.google.com/spreadsheets/d/1Gpl6jkTg7sL4VDNimUm3S9Vi1i95esohXCF3wuKOE8c"", ""'CONSOLIDADO'!G5:AB""), 10, 0) &lt;&gt; 0, 
IFERROR(VLOOKUP($G213,IMPORTRANGE(""https://docs.google.com/spreadsheets/d/1Gpl6jkTg7sL4VDNimU"&amp;"m3S9Vi1i95esohXCF3wuKOE8c"", ""'CONSOLIDADO'!G5:AB""), 18, 0), ""-""),
""""
)"),"B092MG3DVG")</f>
        <v>B092MG3DVG</v>
      </c>
      <c r="X213" s="39" t="b">
        <f t="shared" si="25"/>
        <v>1</v>
      </c>
      <c r="Y213" s="120" t="str">
        <f>IFERROR(__xludf.DUMMYFUNCTION(" IF
( VLOOKUP($G213,IMPORTRANGE(""https://docs.google.com/spreadsheets/d/1Gpl6jkTg7sL4VDNimUm3S9Vi1i95esohXCF3wuKOE8c"", ""'CONSOLIDADO'!G5:AB""), 10, 0) &lt;&gt; 0, 
IFERROR(VLOOKUP($G213,IMPORTRANGE(""https://docs.google.com/spreadsheets/d/1Gpl6jkTg7sL4VDNimU"&amp;"m3S9Vi1i95esohXCF3wuKOE8c"", ""'CONSOLIDADO'!G5:AB""), 19, 0), ""-""),
""""
)"),"https://www.amazon.com/-/es/dp/B092MG3DVG?ref=fed_asin_title&amp;th=1")</f>
        <v>https://www.amazon.com/-/es/dp/B092MG3DVG?ref=fed_asin_title&amp;th=1</v>
      </c>
      <c r="Z213" s="37" t="str">
        <f>IFERROR(__xludf.DUMMYFUNCTION("IFERROR(VLOOKUP(G213,IMPORTRANGE(""https://docs.google.com/spreadsheets/d/12RxCea4e5ggM7QGn1XE3FbLQa_-QbCNdBi90OdPjRqg"", ""'Plan de Compras'!D4:Q""), 12, 0), ""NO ESTÁ EN REQ"")"),"Técnica")</f>
        <v>Técnica</v>
      </c>
      <c r="AA213" s="37" t="str">
        <f>IFERROR(__xludf.DUMMYFUNCTION("IFERROR(VLOOKUP(G213,IMPORTRANGE(""https://docs.google.com/spreadsheets/d/12RxCea4e5ggM7QGn1XE3FbLQa_-QbCNdBi90OdPjRqg"", ""'Plan de Compras'!D4:Q""), 13, 0), """")"),"INTERNACIONAL")</f>
        <v>INTERNACIONAL</v>
      </c>
      <c r="AB213" s="32" t="str">
        <f>IFERROR(__xludf.DUMMYFUNCTION("IFERROR(VLOOKUP(G213,IMPORTRANGE(""https://docs.google.com/spreadsheets/d/12RxCea4e5ggM7QGn1XE3FbLQa_-QbCNdBi90OdPjRqg"", ""'Plan de Compras'!D4:Q""), 14, 0), """")"),"GIANFRANCO")</f>
        <v>GIANFRANCO</v>
      </c>
      <c r="AC213" s="72" t="str">
        <f>IFERROR(__xludf.DUMMYFUNCTION("IFERROR(VLOOKUP(G213,IMPORTRANGE(""https://docs.google.com/spreadsheets/d/12RxCea4e5ggM7QGn1XE3FbLQa_-QbCNdBi90OdPjRqg"", ""'Plan de Compras'!D4:Q""), 4, 0), """")"),"WINCHA DIGITAL")</f>
        <v>WINCHA DIGITAL</v>
      </c>
      <c r="AD213" s="37" t="str">
        <f>IFERROR(__xludf.DUMMYFUNCTION("IFERROR(IF(OR(C213=TRUE,C213=""""),VLOOKUP(G213,IMPORTRANGE(""https://docs.google.com/spreadsheets/d/1z9A1Wq-kKrhRNG5RS2a2fKpY1wIhSVz2ZNmP2mOl588/edit?usp=sharing"",""REQ VF!E4:H""),4,0),""NO APLICA""),""GENERAR REQ"")"),"GENERAR REQ")</f>
        <v>GENERAR REQ</v>
      </c>
      <c r="AE213" s="32" t="str">
        <f>IFERROR(__xludf.DUMMYFUNCTION("IFERROR(QUERY(IMPORTRANGE(""https://docs.google.com/spreadsheets/d/1z9A1Wq-kKrhRNG5RS2a2fKpY1wIhSVz2ZNmP2mOl588/edit?usp=sharing"",""REQ VF!E4:Q""),""SELECT Col10, Col11, Col12 WHERE Col1 = '""&amp;G213&amp;""'"",0),""NO APLICA"")"),"NO APLICA")</f>
        <v>NO APLICA</v>
      </c>
      <c r="AF213" s="32"/>
      <c r="AG213" s="32"/>
      <c r="AH213" s="8" t="s">
        <v>52</v>
      </c>
      <c r="AI213" s="13"/>
    </row>
    <row r="214">
      <c r="A214" s="117">
        <v>141.0</v>
      </c>
      <c r="B214" s="43" t="b">
        <v>1</v>
      </c>
      <c r="C214" s="26" t="b">
        <v>0</v>
      </c>
      <c r="D214" s="26" t="s">
        <v>35</v>
      </c>
      <c r="E214" s="26" t="s">
        <v>1510</v>
      </c>
      <c r="F214" s="59" t="s">
        <v>2252</v>
      </c>
      <c r="G214" s="37" t="s">
        <v>2252</v>
      </c>
      <c r="H214" s="82" t="s">
        <v>2253</v>
      </c>
      <c r="I214" s="43">
        <f>SUMIFS('Hoja 10'!$O:$O,'Hoja 10'!$F:$F,$G214)</f>
        <v>1</v>
      </c>
      <c r="J214" s="26" t="str">
        <f>IFERROR(__xludf.DUMMYFUNCTION("VLOOKUP(G214,IMPORTRANGE(""https://docs.google.com/spreadsheets/d/12RxCea4e5ggM7QGn1XE3FbLQa_-QbCNdBi90OdPjRqg/edit?gid=1692403370#gid=1692403370"", ""'Plan de Compras'!D4:2432""), 8,0)"),"#N/A")</f>
        <v>#N/A</v>
      </c>
      <c r="K214" s="26" t="str">
        <f t="shared" si="18"/>
        <v>-</v>
      </c>
      <c r="L214" s="29" t="s">
        <v>91</v>
      </c>
      <c r="M214" s="30" t="s">
        <v>92</v>
      </c>
      <c r="N214" s="32"/>
      <c r="O214" s="32"/>
      <c r="P214" s="32"/>
      <c r="Q214" s="41"/>
      <c r="R214" s="86" t="s">
        <v>2254</v>
      </c>
      <c r="S214" s="44" t="b">
        <v>1</v>
      </c>
      <c r="T214" s="39" t="str">
        <f>IFERROR(__xludf.DUMMYFUNCTION(" IF
( VLOOKUP($G214,IMPORTRANGE(""https://docs.google.com/spreadsheets/d/1Gpl6jkTg7sL4VDNimUm3S9Vi1i95esohXCF3wuKOE8c"", ""'CONSOLIDADO'!G5:AB""), 10, 0) &lt;&gt; 0, 
IFERROR(VLOOKUP($G214,IMPORTRANGE(""https://docs.google.com/spreadsheets/d/1Gpl6jkTg7sL4VDNimU"&amp;"m3S9Vi1i95esohXCF3wuKOE8c"", ""'CONSOLIDADO'!G5:AB""), 17, 0), ""-""),
""""
)"),"VARIOS")</f>
        <v>VARIOS</v>
      </c>
      <c r="U214" s="39" t="str">
        <f>IFERROR(__xludf.DUMMYFUNCTION(" IF
( VLOOKUP($G214,IMPORTRANGE(""https://docs.google.com/spreadsheets/d/1Gpl6jkTg7sL4VDNimUm3S9Vi1i95esohXCF3wuKOE8c"", ""'CONSOLIDADO'!G5:AB""), 10, 0) &lt;&gt; 0, 
IFERROR(VLOOKUP($G214,IMPORTRANGE(""https://docs.google.com/spreadsheets/d/1Gpl6jkTg7sL4VDNimU"&amp;"m3S9Vi1i95esohXCF3wuKOE8c"", ""'CONSOLIDADO'!G5:AB""), 18, 0), ""-""),
""""
)"),"VARIOS 3")</f>
        <v>VARIOS 3</v>
      </c>
      <c r="V214" s="39" t="str">
        <f>IFERROR(__xludf.DUMMYFUNCTION(" IF
( VLOOKUP($G214,IMPORTRANGE(""https://docs.google.com/spreadsheets/d/1Gpl6jkTg7sL4VDNimUm3S9Vi1i95esohXCF3wuKOE8c"", ""'CONSOLIDADO'!G5:AB""), 10, 0) &lt;&gt; 0, 
IFERROR(VLOOKUP($G214,IMPORTRANGE(""https://docs.google.com/spreadsheets/d/1Gpl6jkTg7sL4VDNimU"&amp;"m3S9Vi1i95esohXCF3wuKOE8c"", ""'CONSOLIDADO'!G5:AB""), 17, 0), ""-""),
""""
)"),"VARIOS")</f>
        <v>VARIOS</v>
      </c>
      <c r="W214" s="39" t="str">
        <f>IFERROR(__xludf.DUMMYFUNCTION(" IF
( VLOOKUP($G214,IMPORTRANGE(""https://docs.google.com/spreadsheets/d/1Gpl6jkTg7sL4VDNimUm3S9Vi1i95esohXCF3wuKOE8c"", ""'CONSOLIDADO'!G5:AB""), 10, 0) &lt;&gt; 0, 
IFERROR(VLOOKUP($G214,IMPORTRANGE(""https://docs.google.com/spreadsheets/d/1Gpl6jkTg7sL4VDNimU"&amp;"m3S9Vi1i95esohXCF3wuKOE8c"", ""'CONSOLIDADO'!G5:AB""), 18, 0), ""-""),
""""
)"),"VARIOS 3")</f>
        <v>VARIOS 3</v>
      </c>
      <c r="X214" s="39" t="b">
        <f t="shared" si="25"/>
        <v>1</v>
      </c>
      <c r="Y214" s="110" t="str">
        <f>IFERROR(__xludf.DUMMYFUNCTION(" IF
( VLOOKUP($G214,IMPORTRANGE(""https://docs.google.com/spreadsheets/d/1Gpl6jkTg7sL4VDNimUm3S9Vi1i95esohXCF3wuKOE8c"", ""'CONSOLIDADO'!G5:AB""), 10, 0) &lt;&gt; 0, 
IFERROR(VLOOKUP($G214,IMPORTRANGE(""https://docs.google.com/spreadsheets/d/1Gpl6jkTg7sL4VDNimU"&amp;"m3S9Vi1i95esohXCF3wuKOE8c"", ""'CONSOLIDADO'!G5:AB""), 19, 0), ""-""),
""""
)"),"VARIOS")</f>
        <v>VARIOS</v>
      </c>
      <c r="Z214" s="37" t="str">
        <f>IFERROR(__xludf.DUMMYFUNCTION("IFERROR(VLOOKUP(G214,IMPORTRANGE(""https://docs.google.com/spreadsheets/d/12RxCea4e5ggM7QGn1XE3FbLQa_-QbCNdBi90OdPjRqg"", ""'Plan de Compras'!D4:Q""), 12, 0), ""NO ESTÁ EN REQ"")"),"NO ESTÁ EN REQ")</f>
        <v>NO ESTÁ EN REQ</v>
      </c>
      <c r="AA214" s="37" t="str">
        <f>IFERROR(__xludf.DUMMYFUNCTION("IFERROR(VLOOKUP(G214,IMPORTRANGE(""https://docs.google.com/spreadsheets/d/12RxCea4e5ggM7QGn1XE3FbLQa_-QbCNdBi90OdPjRqg"", ""'Plan de Compras'!D4:Q""), 13, 0), """")"),"")</f>
        <v/>
      </c>
      <c r="AB214" s="32" t="str">
        <f>IFERROR(__xludf.DUMMYFUNCTION("IFERROR(VLOOKUP(G214,IMPORTRANGE(""https://docs.google.com/spreadsheets/d/12RxCea4e5ggM7QGn1XE3FbLQa_-QbCNdBi90OdPjRqg"", ""'Plan de Compras'!D4:Q""), 14, 0), """")"),"")</f>
        <v/>
      </c>
      <c r="AC214" s="72" t="str">
        <f>IFERROR(__xludf.DUMMYFUNCTION("IFERROR(VLOOKUP(G214,IMPORTRANGE(""https://docs.google.com/spreadsheets/d/12RxCea4e5ggM7QGn1XE3FbLQa_-QbCNdBi90OdPjRqg"", ""'Plan de Compras'!D4:Q""), 4, 0), """")"),"")</f>
        <v/>
      </c>
      <c r="AD214" s="37" t="str">
        <f>IFERROR(__xludf.DUMMYFUNCTION("IFERROR(IF(OR(C214=TRUE,C214=""""),VLOOKUP(G214,IMPORTRANGE(""https://docs.google.com/spreadsheets/d/1z9A1Wq-kKrhRNG5RS2a2fKpY1wIhSVz2ZNmP2mOl588/edit?usp=sharing"",""REQ VF!E4:H""),4,0),""NO APLICA""),""GENERAR REQ"")"),"NO APLICA")</f>
        <v>NO APLICA</v>
      </c>
      <c r="AE214" s="32" t="str">
        <f>IFERROR(__xludf.DUMMYFUNCTION("IFERROR(QUERY(IMPORTRANGE(""https://docs.google.com/spreadsheets/d/1z9A1Wq-kKrhRNG5RS2a2fKpY1wIhSVz2ZNmP2mOl588/edit?usp=sharing"",""REQ VF!E4:Q""),""SELECT Col10, Col11, Col12 WHERE Col1 = '""&amp;G214&amp;""'"",0),""NO APLICA"")"),"NO APLICA")</f>
        <v>NO APLICA</v>
      </c>
      <c r="AF214" s="32"/>
      <c r="AG214" s="32"/>
      <c r="AH214" s="13"/>
      <c r="AI214" s="13"/>
    </row>
    <row r="215">
      <c r="A215" s="43"/>
      <c r="B215" s="43"/>
      <c r="C215" s="26" t="b">
        <v>1</v>
      </c>
      <c r="D215" s="59" t="s">
        <v>95</v>
      </c>
      <c r="E215" s="26" t="s">
        <v>1510</v>
      </c>
      <c r="F215" s="59" t="s">
        <v>2252</v>
      </c>
      <c r="G215" s="39" t="s">
        <v>2255</v>
      </c>
      <c r="H215" s="66" t="s">
        <v>2256</v>
      </c>
      <c r="I215" s="43">
        <v>1.0</v>
      </c>
      <c r="J215" s="26">
        <f>IFERROR(__xludf.DUMMYFUNCTION("VLOOKUP(G215,IMPORTRANGE(""https://docs.google.com/spreadsheets/d/12RxCea4e5ggM7QGn1XE3FbLQa_-QbCNdBi90OdPjRqg/edit?gid=1692403370#gid=1692403370"", ""'Plan de Compras'!D4:2432""), 8,0)"),1.0)</f>
        <v>1</v>
      </c>
      <c r="K215" s="26" t="str">
        <f t="shared" si="18"/>
        <v>SI</v>
      </c>
      <c r="L215" s="29"/>
      <c r="M215" s="61"/>
      <c r="N215" s="32"/>
      <c r="O215" s="32"/>
      <c r="P215" s="32"/>
      <c r="Q215" s="41"/>
      <c r="R215" s="32"/>
      <c r="S215" s="44" t="b">
        <v>1</v>
      </c>
      <c r="T215" s="39"/>
      <c r="U215" s="35" t="s">
        <v>2257</v>
      </c>
      <c r="V215" s="39"/>
      <c r="W215" s="39"/>
      <c r="X215" s="39"/>
      <c r="Y215" s="120" t="s">
        <v>2258</v>
      </c>
      <c r="Z215" s="37" t="str">
        <f>IFERROR(__xludf.DUMMYFUNCTION("IFERROR(VLOOKUP(G215,IMPORTRANGE(""https://docs.google.com/spreadsheets/d/12RxCea4e5ggM7QGn1XE3FbLQa_-QbCNdBi90OdPjRqg"", ""'Plan de Compras'!D4:Q""), 12, 0), ""NO ESTÁ EN REQ"")"),"Técnica")</f>
        <v>Técnica</v>
      </c>
      <c r="AA215" s="37" t="str">
        <f>IFERROR(__xludf.DUMMYFUNCTION("IFERROR(VLOOKUP(G215,IMPORTRANGE(""https://docs.google.com/spreadsheets/d/12RxCea4e5ggM7QGn1XE3FbLQa_-QbCNdBi90OdPjRqg"", ""'Plan de Compras'!D4:Q""), 13, 0), """")"),"INTERNACIONAL")</f>
        <v>INTERNACIONAL</v>
      </c>
      <c r="AB215" s="32" t="str">
        <f>IFERROR(__xludf.DUMMYFUNCTION("IFERROR(VLOOKUP(G215,IMPORTRANGE(""https://docs.google.com/spreadsheets/d/12RxCea4e5ggM7QGn1XE3FbLQa_-QbCNdBi90OdPjRqg"", ""'Plan de Compras'!D4:Q""), 14, 0), """")"),"VICTOR")</f>
        <v>VICTOR</v>
      </c>
      <c r="AC215" s="72" t="str">
        <f>IFERROR(__xludf.DUMMYFUNCTION("IFERROR(VLOOKUP(G215,IMPORTRANGE(""https://docs.google.com/spreadsheets/d/12RxCea4e5ggM7QGn1XE3FbLQa_-QbCNdBi90OdPjRqg"", ""'Plan de Compras'!D4:Q""), 4, 0), """")"),"GALGAS DE ÁNGULOS: 55°, 60°, 90°, 118° Y 120°, ESPESOR 2 MM.")</f>
        <v>GALGAS DE ÁNGULOS: 55°, 60°, 90°, 118° Y 120°, ESPESOR 2 MM.</v>
      </c>
      <c r="AD215" s="37" t="str">
        <f>IFERROR(__xludf.DUMMYFUNCTION("IFERROR(IF(OR(C215=TRUE,C215=""""),VLOOKUP(G215,IMPORTRANGE(""https://docs.google.com/spreadsheets/d/1z9A1Wq-kKrhRNG5RS2a2fKpY1wIhSVz2ZNmP2mOl588/edit?usp=sharing"",""REQ VF!E4:H""),4,0),""NO APLICA""),""GENERAR REQ"")"),"GENERAR REQ")</f>
        <v>GENERAR REQ</v>
      </c>
      <c r="AE215" s="32" t="str">
        <f>IFERROR(__xludf.DUMMYFUNCTION("IFERROR(QUERY(IMPORTRANGE(""https://docs.google.com/spreadsheets/d/1z9A1Wq-kKrhRNG5RS2a2fKpY1wIhSVz2ZNmP2mOl588/edit?usp=sharing"",""REQ VF!E4:Q""),""SELECT Col10, Col11, Col12 WHERE Col1 = '""&amp;G215&amp;""'"",0),""NO APLICA"")"),"NO APLICA")</f>
        <v>NO APLICA</v>
      </c>
      <c r="AF215" s="32"/>
      <c r="AG215" s="32"/>
      <c r="AH215" s="13"/>
      <c r="AI215" s="13"/>
    </row>
    <row r="216">
      <c r="A216" s="43"/>
      <c r="B216" s="43"/>
      <c r="C216" s="26" t="b">
        <v>1</v>
      </c>
      <c r="D216" s="59" t="s">
        <v>95</v>
      </c>
      <c r="E216" s="26" t="s">
        <v>1510</v>
      </c>
      <c r="F216" s="59" t="s">
        <v>2252</v>
      </c>
      <c r="G216" s="39" t="s">
        <v>2259</v>
      </c>
      <c r="H216" s="66" t="s">
        <v>2260</v>
      </c>
      <c r="I216" s="43">
        <v>1.0</v>
      </c>
      <c r="J216" s="26">
        <f>IFERROR(__xludf.DUMMYFUNCTION("VLOOKUP(G216,IMPORTRANGE(""https://docs.google.com/spreadsheets/d/12RxCea4e5ggM7QGn1XE3FbLQa_-QbCNdBi90OdPjRqg/edit?gid=1692403370#gid=1692403370"", ""'Plan de Compras'!D4:2432""), 8,0)"),1.0)</f>
        <v>1</v>
      </c>
      <c r="K216" s="26" t="str">
        <f t="shared" si="18"/>
        <v>SI</v>
      </c>
      <c r="L216" s="29"/>
      <c r="M216" s="61"/>
      <c r="N216" s="32"/>
      <c r="O216" s="32"/>
      <c r="P216" s="32"/>
      <c r="Q216" s="41"/>
      <c r="R216" s="32"/>
      <c r="S216" s="44" t="b">
        <v>1</v>
      </c>
      <c r="T216" s="39" t="s">
        <v>2261</v>
      </c>
      <c r="U216" s="35" t="s">
        <v>2262</v>
      </c>
      <c r="V216" s="39"/>
      <c r="W216" s="39"/>
      <c r="X216" s="39"/>
      <c r="Y216" s="110"/>
      <c r="Z216" s="37" t="str">
        <f>IFERROR(__xludf.DUMMYFUNCTION("IFERROR(VLOOKUP(G216,IMPORTRANGE(""https://docs.google.com/spreadsheets/d/12RxCea4e5ggM7QGn1XE3FbLQa_-QbCNdBi90OdPjRqg"", ""'Plan de Compras'!D4:Q""), 12, 0), ""NO ESTÁ EN REQ"")"),"Técnica")</f>
        <v>Técnica</v>
      </c>
      <c r="AA216" s="37" t="str">
        <f>IFERROR(__xludf.DUMMYFUNCTION("IFERROR(VLOOKUP(G216,IMPORTRANGE(""https://docs.google.com/spreadsheets/d/12RxCea4e5ggM7QGn1XE3FbLQa_-QbCNdBi90OdPjRqg"", ""'Plan de Compras'!D4:Q""), 13, 0), """")"),"NACIONAL")</f>
        <v>NACIONAL</v>
      </c>
      <c r="AB216" s="32" t="str">
        <f>IFERROR(__xludf.DUMMYFUNCTION("IFERROR(VLOOKUP(G216,IMPORTRANGE(""https://docs.google.com/spreadsheets/d/12RxCea4e5ggM7QGn1XE3FbLQa_-QbCNdBi90OdPjRqg"", ""'Plan de Compras'!D4:Q""), 14, 0), """")"),"JESSICA")</f>
        <v>JESSICA</v>
      </c>
      <c r="AC216" s="72" t="str">
        <f>IFERROR(__xludf.DUMMYFUNCTION("IFERROR(VLOOKUP(G216,IMPORTRANGE(""https://docs.google.com/spreadsheets/d/12RxCea4e5ggM7QGn1XE3FbLQa_-QbCNdBi90OdPjRqg"", ""'Plan de Compras'!D4:Q""), 4, 0), """")"),"GALGAS DE SOLDADURAS: RANGO DE MEDIDA 20 MM, GRADUACIÓN 0,1 MM.")</f>
        <v>GALGAS DE SOLDADURAS: RANGO DE MEDIDA 20 MM, GRADUACIÓN 0,1 MM.</v>
      </c>
      <c r="AD216" s="37" t="str">
        <f>IFERROR(__xludf.DUMMYFUNCTION("IFERROR(IF(OR(C216=TRUE,C216=""""),VLOOKUP(G216,IMPORTRANGE(""https://docs.google.com/spreadsheets/d/1z9A1Wq-kKrhRNG5RS2a2fKpY1wIhSVz2ZNmP2mOl588/edit?usp=sharing"",""REQ VF!E4:H""),4,0),""NO APLICA""),""GENERAR REQ"")"),"GENERAR REQ")</f>
        <v>GENERAR REQ</v>
      </c>
      <c r="AE216" s="32" t="str">
        <f>IFERROR(__xludf.DUMMYFUNCTION("IFERROR(QUERY(IMPORTRANGE(""https://docs.google.com/spreadsheets/d/1z9A1Wq-kKrhRNG5RS2a2fKpY1wIhSVz2ZNmP2mOl588/edit?usp=sharing"",""REQ VF!E4:Q""),""SELECT Col10, Col11, Col12 WHERE Col1 = '""&amp;G216&amp;""'"",0),""NO APLICA"")"),"NO APLICA")</f>
        <v>NO APLICA</v>
      </c>
      <c r="AF216" s="32"/>
      <c r="AG216" s="32"/>
      <c r="AH216" s="13"/>
      <c r="AI216" s="13"/>
    </row>
    <row r="217">
      <c r="A217" s="43"/>
      <c r="B217" s="43"/>
      <c r="C217" s="26" t="b">
        <v>1</v>
      </c>
      <c r="D217" s="59" t="s">
        <v>95</v>
      </c>
      <c r="E217" s="26" t="s">
        <v>1510</v>
      </c>
      <c r="F217" s="59" t="s">
        <v>2252</v>
      </c>
      <c r="G217" s="39" t="s">
        <v>2263</v>
      </c>
      <c r="H217" s="66" t="s">
        <v>2264</v>
      </c>
      <c r="I217" s="43">
        <v>1.0</v>
      </c>
      <c r="J217" s="26">
        <f>IFERROR(__xludf.DUMMYFUNCTION("VLOOKUP(G217,IMPORTRANGE(""https://docs.google.com/spreadsheets/d/12RxCea4e5ggM7QGn1XE3FbLQa_-QbCNdBi90OdPjRqg/edit?gid=1692403370#gid=1692403370"", ""'Plan de Compras'!D4:2432""), 8,0)"),1.0)</f>
        <v>1</v>
      </c>
      <c r="K217" s="26" t="str">
        <f t="shared" si="18"/>
        <v>SI</v>
      </c>
      <c r="L217" s="29"/>
      <c r="M217" s="61"/>
      <c r="N217" s="32"/>
      <c r="O217" s="32"/>
      <c r="P217" s="32"/>
      <c r="Q217" s="41"/>
      <c r="R217" s="32"/>
      <c r="S217" s="44" t="b">
        <v>1</v>
      </c>
      <c r="T217" s="39"/>
      <c r="U217" s="35" t="s">
        <v>2265</v>
      </c>
      <c r="V217" s="39"/>
      <c r="W217" s="39"/>
      <c r="X217" s="39"/>
      <c r="Y217" s="120" t="s">
        <v>2266</v>
      </c>
      <c r="Z217" s="37" t="str">
        <f>IFERROR(__xludf.DUMMYFUNCTION("IFERROR(VLOOKUP(G217,IMPORTRANGE(""https://docs.google.com/spreadsheets/d/12RxCea4e5ggM7QGn1XE3FbLQa_-QbCNdBi90OdPjRqg"", ""'Plan de Compras'!D4:Q""), 12, 0), ""NO ESTÁ EN REQ"")"),"Técnica")</f>
        <v>Técnica</v>
      </c>
      <c r="AA217" s="37" t="str">
        <f>IFERROR(__xludf.DUMMYFUNCTION("IFERROR(VLOOKUP(G217,IMPORTRANGE(""https://docs.google.com/spreadsheets/d/12RxCea4e5ggM7QGn1XE3FbLQa_-QbCNdBi90OdPjRqg"", ""'Plan de Compras'!D4:Q""), 13, 0), """")"),"INTERNACIONAL")</f>
        <v>INTERNACIONAL</v>
      </c>
      <c r="AB217" s="32" t="str">
        <f>IFERROR(__xludf.DUMMYFUNCTION("IFERROR(VLOOKUP(G217,IMPORTRANGE(""https://docs.google.com/spreadsheets/d/12RxCea4e5ggM7QGn1XE3FbLQa_-QbCNdBi90OdPjRqg"", ""'Plan de Compras'!D4:Q""), 14, 0), """")"),"DIEGO ")</f>
        <v>DIEGO </v>
      </c>
      <c r="AC217" s="72" t="str">
        <f>IFERROR(__xludf.DUMMYFUNCTION("IFERROR(VLOOKUP(G217,IMPORTRANGE(""https://docs.google.com/spreadsheets/d/12RxCea4e5ggM7QGn1XE3FbLQa_-QbCNdBi90OdPjRqg"", ""'Plan de Compras'!D4:Q""), 4, 0), """")"),"GALGAS DE RADIOS: RANGO DE MEDIDA 1 ÷ 7 MM; 17 UNIDADES DE ACERO INOXIDABLE.")</f>
        <v>GALGAS DE RADIOS: RANGO DE MEDIDA 1 ÷ 7 MM; 17 UNIDADES DE ACERO INOXIDABLE.</v>
      </c>
      <c r="AD217" s="37" t="str">
        <f>IFERROR(__xludf.DUMMYFUNCTION("IFERROR(IF(OR(C217=TRUE,C217=""""),VLOOKUP(G217,IMPORTRANGE(""https://docs.google.com/spreadsheets/d/1z9A1Wq-kKrhRNG5RS2a2fKpY1wIhSVz2ZNmP2mOl588/edit?usp=sharing"",""REQ VF!E4:H""),4,0),""NO APLICA""),""GENERAR REQ"")"),"GENERAR REQ")</f>
        <v>GENERAR REQ</v>
      </c>
      <c r="AE217" s="32" t="str">
        <f>IFERROR(__xludf.DUMMYFUNCTION("IFERROR(QUERY(IMPORTRANGE(""https://docs.google.com/spreadsheets/d/1z9A1Wq-kKrhRNG5RS2a2fKpY1wIhSVz2ZNmP2mOl588/edit?usp=sharing"",""REQ VF!E4:Q""),""SELECT Col10, Col11, Col12 WHERE Col1 = '""&amp;G217&amp;""'"",0),""NO APLICA"")"),"NO APLICA")</f>
        <v>NO APLICA</v>
      </c>
      <c r="AF217" s="32"/>
      <c r="AG217" s="32"/>
      <c r="AH217" s="13"/>
      <c r="AI217" s="13"/>
    </row>
    <row r="218">
      <c r="A218" s="43"/>
      <c r="B218" s="43"/>
      <c r="C218" s="26" t="b">
        <v>1</v>
      </c>
      <c r="D218" s="59" t="s">
        <v>95</v>
      </c>
      <c r="E218" s="26" t="s">
        <v>1510</v>
      </c>
      <c r="F218" s="59" t="s">
        <v>2252</v>
      </c>
      <c r="G218" s="39" t="s">
        <v>2267</v>
      </c>
      <c r="H218" s="66" t="s">
        <v>2268</v>
      </c>
      <c r="I218" s="43">
        <v>1.0</v>
      </c>
      <c r="J218" s="26">
        <f>IFERROR(__xludf.DUMMYFUNCTION("VLOOKUP(G218,IMPORTRANGE(""https://docs.google.com/spreadsheets/d/12RxCea4e5ggM7QGn1XE3FbLQa_-QbCNdBi90OdPjRqg/edit?gid=1692403370#gid=1692403370"", ""'Plan de Compras'!D4:2432""), 8,0)"),1.0)</f>
        <v>1</v>
      </c>
      <c r="K218" s="26" t="str">
        <f t="shared" si="18"/>
        <v>SI</v>
      </c>
      <c r="L218" s="29"/>
      <c r="M218" s="61"/>
      <c r="N218" s="32"/>
      <c r="O218" s="32"/>
      <c r="P218" s="32"/>
      <c r="Q218" s="41"/>
      <c r="R218" s="32"/>
      <c r="S218" s="44" t="b">
        <v>1</v>
      </c>
      <c r="T218" s="39"/>
      <c r="U218" s="35" t="s">
        <v>2269</v>
      </c>
      <c r="V218" s="39"/>
      <c r="W218" s="39"/>
      <c r="X218" s="39"/>
      <c r="Y218" s="120" t="s">
        <v>2270</v>
      </c>
      <c r="Z218" s="37" t="str">
        <f>IFERROR(__xludf.DUMMYFUNCTION("IFERROR(VLOOKUP(G218,IMPORTRANGE(""https://docs.google.com/spreadsheets/d/12RxCea4e5ggM7QGn1XE3FbLQa_-QbCNdBi90OdPjRqg"", ""'Plan de Compras'!D4:Q""), 12, 0), ""NO ESTÁ EN REQ"")"),"Técnica")</f>
        <v>Técnica</v>
      </c>
      <c r="AA218" s="37" t="str">
        <f>IFERROR(__xludf.DUMMYFUNCTION("IFERROR(VLOOKUP(G218,IMPORTRANGE(""https://docs.google.com/spreadsheets/d/12RxCea4e5ggM7QGn1XE3FbLQa_-QbCNdBi90OdPjRqg"", ""'Plan de Compras'!D4:Q""), 13, 0), """")"),"INTERNACIONAL")</f>
        <v>INTERNACIONAL</v>
      </c>
      <c r="AB218" s="32" t="str">
        <f>IFERROR(__xludf.DUMMYFUNCTION("IFERROR(VLOOKUP(G218,IMPORTRANGE(""https://docs.google.com/spreadsheets/d/12RxCea4e5ggM7QGn1XE3FbLQa_-QbCNdBi90OdPjRqg"", ""'Plan de Compras'!D4:Q""), 14, 0), """")"),"DIEGO ")</f>
        <v>DIEGO </v>
      </c>
      <c r="AC218" s="72" t="str">
        <f>IFERROR(__xludf.DUMMYFUNCTION("IFERROR(VLOOKUP(G218,IMPORTRANGE(""https://docs.google.com/spreadsheets/d/12RxCea4e5ggM7QGn1XE3FbLQa_-QbCNdBi90OdPjRqg"", ""'Plan de Compras'!D4:Q""), 4, 0), """")"),"GALGAS DE RADIOS: RANGO DE MEDIDA 7,5 ÷ 15 MM; 16 UNIDADES DE ACERO INOXIDABLE.")</f>
        <v>GALGAS DE RADIOS: RANGO DE MEDIDA 7,5 ÷ 15 MM; 16 UNIDADES DE ACERO INOXIDABLE.</v>
      </c>
      <c r="AD218" s="37" t="str">
        <f>IFERROR(__xludf.DUMMYFUNCTION("IFERROR(IF(OR(C218=TRUE,C218=""""),VLOOKUP(G218,IMPORTRANGE(""https://docs.google.com/spreadsheets/d/1z9A1Wq-kKrhRNG5RS2a2fKpY1wIhSVz2ZNmP2mOl588/edit?usp=sharing"",""REQ VF!E4:H""),4,0),""NO APLICA""),""GENERAR REQ"")"),"GENERAR REQ")</f>
        <v>GENERAR REQ</v>
      </c>
      <c r="AE218" s="32" t="str">
        <f>IFERROR(__xludf.DUMMYFUNCTION("IFERROR(QUERY(IMPORTRANGE(""https://docs.google.com/spreadsheets/d/1z9A1Wq-kKrhRNG5RS2a2fKpY1wIhSVz2ZNmP2mOl588/edit?usp=sharing"",""REQ VF!E4:Q""),""SELECT Col10, Col11, Col12 WHERE Col1 = '""&amp;G218&amp;""'"",0),""NO APLICA"")"),"NO APLICA")</f>
        <v>NO APLICA</v>
      </c>
      <c r="AF218" s="32"/>
      <c r="AG218" s="32"/>
      <c r="AH218" s="13"/>
      <c r="AI218" s="13"/>
    </row>
    <row r="219">
      <c r="A219" s="43"/>
      <c r="B219" s="43"/>
      <c r="C219" s="26" t="b">
        <v>1</v>
      </c>
      <c r="D219" s="59" t="s">
        <v>95</v>
      </c>
      <c r="E219" s="26" t="s">
        <v>1510</v>
      </c>
      <c r="F219" s="59" t="s">
        <v>2252</v>
      </c>
      <c r="G219" s="39" t="s">
        <v>2271</v>
      </c>
      <c r="H219" s="66" t="s">
        <v>2272</v>
      </c>
      <c r="I219" s="43">
        <v>1.0</v>
      </c>
      <c r="J219" s="26">
        <f>IFERROR(__xludf.DUMMYFUNCTION("VLOOKUP(G219,IMPORTRANGE(""https://docs.google.com/spreadsheets/d/12RxCea4e5ggM7QGn1XE3FbLQa_-QbCNdBi90OdPjRqg/edit?gid=1692403370#gid=1692403370"", ""'Plan de Compras'!D4:2432""), 8,0)"),1.0)</f>
        <v>1</v>
      </c>
      <c r="K219" s="26" t="str">
        <f t="shared" si="18"/>
        <v>SI</v>
      </c>
      <c r="L219" s="29"/>
      <c r="M219" s="61"/>
      <c r="N219" s="32"/>
      <c r="O219" s="32"/>
      <c r="P219" s="32"/>
      <c r="Q219" s="41"/>
      <c r="R219" s="32"/>
      <c r="S219" s="44" t="b">
        <v>1</v>
      </c>
      <c r="T219" s="39"/>
      <c r="U219" s="35" t="s">
        <v>2273</v>
      </c>
      <c r="V219" s="39"/>
      <c r="W219" s="39"/>
      <c r="X219" s="39"/>
      <c r="Y219" s="110" t="s">
        <v>2274</v>
      </c>
      <c r="Z219" s="37" t="str">
        <f>IFERROR(__xludf.DUMMYFUNCTION("IFERROR(VLOOKUP(G219,IMPORTRANGE(""https://docs.google.com/spreadsheets/d/12RxCea4e5ggM7QGn1XE3FbLQa_-QbCNdBi90OdPjRqg"", ""'Plan de Compras'!D4:Q""), 12, 0), ""NO ESTÁ EN REQ"")"),"Técnica")</f>
        <v>Técnica</v>
      </c>
      <c r="AA219" s="37" t="str">
        <f>IFERROR(__xludf.DUMMYFUNCTION("IFERROR(VLOOKUP(G219,IMPORTRANGE(""https://docs.google.com/spreadsheets/d/12RxCea4e5ggM7QGn1XE3FbLQa_-QbCNdBi90OdPjRqg"", ""'Plan de Compras'!D4:Q""), 13, 0), """")"),"INTERNACIONAL")</f>
        <v>INTERNACIONAL</v>
      </c>
      <c r="AB219" s="32" t="str">
        <f>IFERROR(__xludf.DUMMYFUNCTION("IFERROR(VLOOKUP(G219,IMPORTRANGE(""https://docs.google.com/spreadsheets/d/12RxCea4e5ggM7QGn1XE3FbLQa_-QbCNdBi90OdPjRqg"", ""'Plan de Compras'!D4:Q""), 14, 0), """")"),"DIEGO ")</f>
        <v>DIEGO </v>
      </c>
      <c r="AC219" s="72" t="str">
        <f>IFERROR(__xludf.DUMMYFUNCTION("IFERROR(VLOOKUP(G219,IMPORTRANGE(""https://docs.google.com/spreadsheets/d/12RxCea4e5ggM7QGn1XE3FbLQa_-QbCNdBi90OdPjRqg"", ""'Plan de Compras'!D4:Q""), 4, 0), """")"),"GALGAS DE RADIOS: RANGO DE MEDIDA 15,5 ÷ 25 MM; 15 UNIDADES DE ACERO INOXIDABLE.")</f>
        <v>GALGAS DE RADIOS: RANGO DE MEDIDA 15,5 ÷ 25 MM; 15 UNIDADES DE ACERO INOXIDABLE.</v>
      </c>
      <c r="AD219" s="37" t="str">
        <f>IFERROR(__xludf.DUMMYFUNCTION("IFERROR(IF(OR(C219=TRUE,C219=""""),VLOOKUP(G219,IMPORTRANGE(""https://docs.google.com/spreadsheets/d/1z9A1Wq-kKrhRNG5RS2a2fKpY1wIhSVz2ZNmP2mOl588/edit?usp=sharing"",""REQ VF!E4:H""),4,0),""NO APLICA""),""GENERAR REQ"")"),"GENERAR REQ")</f>
        <v>GENERAR REQ</v>
      </c>
      <c r="AE219" s="32" t="str">
        <f>IFERROR(__xludf.DUMMYFUNCTION("IFERROR(QUERY(IMPORTRANGE(""https://docs.google.com/spreadsheets/d/1z9A1Wq-kKrhRNG5RS2a2fKpY1wIhSVz2ZNmP2mOl588/edit?usp=sharing"",""REQ VF!E4:Q""),""SELECT Col10, Col11, Col12 WHERE Col1 = '""&amp;G219&amp;""'"",0),""NO APLICA"")"),"NO APLICA")</f>
        <v>NO APLICA</v>
      </c>
      <c r="AF219" s="32"/>
      <c r="AG219" s="32"/>
      <c r="AH219" s="13"/>
      <c r="AI219" s="13"/>
    </row>
    <row r="220">
      <c r="A220" s="43"/>
      <c r="B220" s="43"/>
      <c r="C220" s="26" t="b">
        <v>1</v>
      </c>
      <c r="D220" s="59" t="s">
        <v>95</v>
      </c>
      <c r="E220" s="26" t="s">
        <v>1510</v>
      </c>
      <c r="F220" s="59" t="s">
        <v>2252</v>
      </c>
      <c r="G220" s="39" t="s">
        <v>2275</v>
      </c>
      <c r="H220" s="66" t="s">
        <v>2276</v>
      </c>
      <c r="I220" s="43">
        <v>1.0</v>
      </c>
      <c r="J220" s="26">
        <f>IFERROR(__xludf.DUMMYFUNCTION("VLOOKUP(G220,IMPORTRANGE(""https://docs.google.com/spreadsheets/d/12RxCea4e5ggM7QGn1XE3FbLQa_-QbCNdBi90OdPjRqg/edit?gid=1692403370#gid=1692403370"", ""'Plan de Compras'!D4:2432""), 8,0)"),1.0)</f>
        <v>1</v>
      </c>
      <c r="K220" s="26" t="str">
        <f t="shared" si="18"/>
        <v>SI</v>
      </c>
      <c r="L220" s="29"/>
      <c r="M220" s="61"/>
      <c r="N220" s="32"/>
      <c r="O220" s="32"/>
      <c r="P220" s="32"/>
      <c r="Q220" s="41"/>
      <c r="R220" s="32"/>
      <c r="S220" s="44" t="b">
        <v>1</v>
      </c>
      <c r="T220" s="39"/>
      <c r="U220" s="35" t="s">
        <v>2277</v>
      </c>
      <c r="V220" s="39"/>
      <c r="W220" s="39"/>
      <c r="X220" s="39"/>
      <c r="Y220" s="120" t="s">
        <v>2278</v>
      </c>
      <c r="Z220" s="37" t="str">
        <f>IFERROR(__xludf.DUMMYFUNCTION("IFERROR(VLOOKUP(G220,IMPORTRANGE(""https://docs.google.com/spreadsheets/d/12RxCea4e5ggM7QGn1XE3FbLQa_-QbCNdBi90OdPjRqg"", ""'Plan de Compras'!D4:Q""), 12, 0), ""NO ESTÁ EN REQ"")"),"Técnica")</f>
        <v>Técnica</v>
      </c>
      <c r="AA220" s="37" t="str">
        <f>IFERROR(__xludf.DUMMYFUNCTION("IFERROR(VLOOKUP(G220,IMPORTRANGE(""https://docs.google.com/spreadsheets/d/12RxCea4e5ggM7QGn1XE3FbLQa_-QbCNdBi90OdPjRqg"", ""'Plan de Compras'!D4:Q""), 13, 0), """")"),"INTERNACIONAL")</f>
        <v>INTERNACIONAL</v>
      </c>
      <c r="AB220" s="32" t="str">
        <f>IFERROR(__xludf.DUMMYFUNCTION("IFERROR(VLOOKUP(G220,IMPORTRANGE(""https://docs.google.com/spreadsheets/d/12RxCea4e5ggM7QGn1XE3FbLQa_-QbCNdBi90OdPjRqg"", ""'Plan de Compras'!D4:Q""), 14, 0), """")"),"DIEGO ")</f>
        <v>DIEGO </v>
      </c>
      <c r="AC220" s="72" t="str">
        <f>IFERROR(__xludf.DUMMYFUNCTION("IFERROR(VLOOKUP(G220,IMPORTRANGE(""https://docs.google.com/spreadsheets/d/12RxCea4e5ggM7QGn1XE3FbLQa_-QbCNdBi90OdPjRqg"", ""'Plan de Compras'!D4:Q""), 4, 0), """")"),"GALGAS DE ROSCAS ISO: RANGO DE MEDIDA 0,25 ÷ 6 MM; 24 UNIDADES.")</f>
        <v>GALGAS DE ROSCAS ISO: RANGO DE MEDIDA 0,25 ÷ 6 MM; 24 UNIDADES.</v>
      </c>
      <c r="AD220" s="37" t="str">
        <f>IFERROR(__xludf.DUMMYFUNCTION("IFERROR(IF(OR(C220=TRUE,C220=""""),VLOOKUP(G220,IMPORTRANGE(""https://docs.google.com/spreadsheets/d/1z9A1Wq-kKrhRNG5RS2a2fKpY1wIhSVz2ZNmP2mOl588/edit?usp=sharing"",""REQ VF!E4:H""),4,0),""NO APLICA""),""GENERAR REQ"")"),"GENERAR REQ")</f>
        <v>GENERAR REQ</v>
      </c>
      <c r="AE220" s="32" t="str">
        <f>IFERROR(__xludf.DUMMYFUNCTION("IFERROR(QUERY(IMPORTRANGE(""https://docs.google.com/spreadsheets/d/1z9A1Wq-kKrhRNG5RS2a2fKpY1wIhSVz2ZNmP2mOl588/edit?usp=sharing"",""REQ VF!E4:Q""),""SELECT Col10, Col11, Col12 WHERE Col1 = '""&amp;G220&amp;""'"",0),""NO APLICA"")"),"NO APLICA")</f>
        <v>NO APLICA</v>
      </c>
      <c r="AF220" s="32"/>
      <c r="AG220" s="32"/>
      <c r="AH220" s="13"/>
      <c r="AI220" s="13"/>
    </row>
    <row r="221">
      <c r="A221" s="43"/>
      <c r="B221" s="43"/>
      <c r="C221" s="26" t="b">
        <v>1</v>
      </c>
      <c r="D221" s="59" t="s">
        <v>95</v>
      </c>
      <c r="E221" s="26" t="s">
        <v>1510</v>
      </c>
      <c r="F221" s="59" t="s">
        <v>2252</v>
      </c>
      <c r="G221" s="39" t="s">
        <v>2279</v>
      </c>
      <c r="H221" s="66" t="s">
        <v>2280</v>
      </c>
      <c r="I221" s="43">
        <v>1.0</v>
      </c>
      <c r="J221" s="26">
        <f>IFERROR(__xludf.DUMMYFUNCTION("VLOOKUP(G221,IMPORTRANGE(""https://docs.google.com/spreadsheets/d/12RxCea4e5ggM7QGn1XE3FbLQa_-QbCNdBi90OdPjRqg/edit?gid=1692403370#gid=1692403370"", ""'Plan de Compras'!D4:2432""), 8,0)"),1.0)</f>
        <v>1</v>
      </c>
      <c r="K221" s="26" t="str">
        <f t="shared" si="18"/>
        <v>SI</v>
      </c>
      <c r="L221" s="29"/>
      <c r="M221" s="61"/>
      <c r="N221" s="32"/>
      <c r="O221" s="32"/>
      <c r="P221" s="32"/>
      <c r="Q221" s="41"/>
      <c r="R221" s="32"/>
      <c r="S221" s="44" t="b">
        <v>1</v>
      </c>
      <c r="T221" s="39"/>
      <c r="U221" s="35" t="s">
        <v>2277</v>
      </c>
      <c r="V221" s="39"/>
      <c r="W221" s="39"/>
      <c r="X221" s="39"/>
      <c r="Y221" s="120" t="s">
        <v>2278</v>
      </c>
      <c r="Z221" s="37" t="str">
        <f>IFERROR(__xludf.DUMMYFUNCTION("IFERROR(VLOOKUP(G221,IMPORTRANGE(""https://docs.google.com/spreadsheets/d/12RxCea4e5ggM7QGn1XE3FbLQa_-QbCNdBi90OdPjRqg"", ""'Plan de Compras'!D4:Q""), 12, 0), ""NO ESTÁ EN REQ"")"),"Técnica")</f>
        <v>Técnica</v>
      </c>
      <c r="AA221" s="37" t="str">
        <f>IFERROR(__xludf.DUMMYFUNCTION("IFERROR(VLOOKUP(G221,IMPORTRANGE(""https://docs.google.com/spreadsheets/d/12RxCea4e5ggM7QGn1XE3FbLQa_-QbCNdBi90OdPjRqg"", ""'Plan de Compras'!D4:Q""), 13, 0), """")"),"INTERNACIONAL")</f>
        <v>INTERNACIONAL</v>
      </c>
      <c r="AB221" s="32" t="str">
        <f>IFERROR(__xludf.DUMMYFUNCTION("IFERROR(VLOOKUP(G221,IMPORTRANGE(""https://docs.google.com/spreadsheets/d/12RxCea4e5ggM7QGn1XE3FbLQa_-QbCNdBi90OdPjRqg"", ""'Plan de Compras'!D4:Q""), 14, 0), """")"),"DIEGO ")</f>
        <v>DIEGO </v>
      </c>
      <c r="AC221" s="72" t="str">
        <f>IFERROR(__xludf.DUMMYFUNCTION("IFERROR(VLOOKUP(G221,IMPORTRANGE(""https://docs.google.com/spreadsheets/d/12RxCea4e5ggM7QGn1XE3FbLQa_-QbCNdBi90OdPjRqg"", ""'Plan de Compras'!D4:Q""), 4, 0), """")"),"GALGAS DE ROSCAS WITHWORK: RANGO DE MEDIDA 4 ÷ 62 MM; 28 UNIDADES.")</f>
        <v>GALGAS DE ROSCAS WITHWORK: RANGO DE MEDIDA 4 ÷ 62 MM; 28 UNIDADES.</v>
      </c>
      <c r="AD221" s="37" t="str">
        <f>IFERROR(__xludf.DUMMYFUNCTION("IFERROR(IF(OR(C221=TRUE,C221=""""),VLOOKUP(G221,IMPORTRANGE(""https://docs.google.com/spreadsheets/d/1z9A1Wq-kKrhRNG5RS2a2fKpY1wIhSVz2ZNmP2mOl588/edit?usp=sharing"",""REQ VF!E4:H""),4,0),""NO APLICA""),""GENERAR REQ"")"),"GENERAR REQ")</f>
        <v>GENERAR REQ</v>
      </c>
      <c r="AE221" s="32" t="str">
        <f>IFERROR(__xludf.DUMMYFUNCTION("IFERROR(QUERY(IMPORTRANGE(""https://docs.google.com/spreadsheets/d/1z9A1Wq-kKrhRNG5RS2a2fKpY1wIhSVz2ZNmP2mOl588/edit?usp=sharing"",""REQ VF!E4:Q""),""SELECT Col10, Col11, Col12 WHERE Col1 = '""&amp;G221&amp;""'"",0),""NO APLICA"")"),"NO APLICA")</f>
        <v>NO APLICA</v>
      </c>
      <c r="AF221" s="32"/>
      <c r="AG221" s="32"/>
      <c r="AH221" s="13"/>
      <c r="AI221" s="13"/>
    </row>
    <row r="222">
      <c r="A222" s="43"/>
      <c r="B222" s="43"/>
      <c r="C222" s="26" t="b">
        <v>1</v>
      </c>
      <c r="D222" s="59" t="s">
        <v>95</v>
      </c>
      <c r="E222" s="26" t="s">
        <v>1510</v>
      </c>
      <c r="F222" s="59" t="s">
        <v>2252</v>
      </c>
      <c r="G222" s="39" t="s">
        <v>2281</v>
      </c>
      <c r="H222" s="66" t="s">
        <v>2282</v>
      </c>
      <c r="I222" s="43">
        <v>1.0</v>
      </c>
      <c r="J222" s="26">
        <f>IFERROR(__xludf.DUMMYFUNCTION("VLOOKUP(G222,IMPORTRANGE(""https://docs.google.com/spreadsheets/d/12RxCea4e5ggM7QGn1XE3FbLQa_-QbCNdBi90OdPjRqg/edit?gid=1692403370#gid=1692403370"", ""'Plan de Compras'!D4:2432""), 8,0)"),1.0)</f>
        <v>1</v>
      </c>
      <c r="K222" s="26" t="str">
        <f t="shared" si="18"/>
        <v>SI</v>
      </c>
      <c r="L222" s="29"/>
      <c r="M222" s="61"/>
      <c r="N222" s="32"/>
      <c r="O222" s="32"/>
      <c r="P222" s="32"/>
      <c r="Q222" s="41"/>
      <c r="R222" s="32"/>
      <c r="S222" s="44" t="b">
        <v>1</v>
      </c>
      <c r="T222" s="63" t="s">
        <v>2283</v>
      </c>
      <c r="U222" s="141" t="s">
        <v>2284</v>
      </c>
      <c r="V222" s="63"/>
      <c r="W222" s="63"/>
      <c r="X222" s="63"/>
      <c r="Y222" s="110"/>
      <c r="Z222" s="37" t="str">
        <f>IFERROR(__xludf.DUMMYFUNCTION("IFERROR(VLOOKUP(G222,IMPORTRANGE(""https://docs.google.com/spreadsheets/d/12RxCea4e5ggM7QGn1XE3FbLQa_-QbCNdBi90OdPjRqg"", ""'Plan de Compras'!D4:Q""), 12, 0), ""NO ESTÁ EN REQ"")"),"Técnica")</f>
        <v>Técnica</v>
      </c>
      <c r="AA222" s="37" t="str">
        <f>IFERROR(__xludf.DUMMYFUNCTION("IFERROR(VLOOKUP(G222,IMPORTRANGE(""https://docs.google.com/spreadsheets/d/12RxCea4e5ggM7QGn1XE3FbLQa_-QbCNdBi90OdPjRqg"", ""'Plan de Compras'!D4:Q""), 13, 0), """")"),"NACIONAL")</f>
        <v>NACIONAL</v>
      </c>
      <c r="AB222" s="32" t="str">
        <f>IFERROR(__xludf.DUMMYFUNCTION("IFERROR(VLOOKUP(G222,IMPORTRANGE(""https://docs.google.com/spreadsheets/d/12RxCea4e5ggM7QGn1XE3FbLQa_-QbCNdBi90OdPjRqg"", ""'Plan de Compras'!D4:Q""), 14, 0), """")"),"JESSICA")</f>
        <v>JESSICA</v>
      </c>
      <c r="AC222" s="72" t="str">
        <f>IFERROR(__xludf.DUMMYFUNCTION("IFERROR(VLOOKUP(G222,IMPORTRANGE(""https://docs.google.com/spreadsheets/d/12RxCea4e5ggM7QGn1XE3FbLQa_-QbCNdBi90OdPjRqg"", ""'Plan de Compras'!D4:Q""), 4, 0), """")"),"GALGAS DE ESPESORES: RANGO DE MEDIDA 0,05 ÷ 1 MM; 20 UNIDADES; LONGITUD DE LÁMINAS 100 MM.")</f>
        <v>GALGAS DE ESPESORES: RANGO DE MEDIDA 0,05 ÷ 1 MM; 20 UNIDADES; LONGITUD DE LÁMINAS 100 MM.</v>
      </c>
      <c r="AD222" s="37" t="str">
        <f>IFERROR(__xludf.DUMMYFUNCTION("IFERROR(IF(OR(C222=TRUE,C222=""""),VLOOKUP(G222,IMPORTRANGE(""https://docs.google.com/spreadsheets/d/1z9A1Wq-kKrhRNG5RS2a2fKpY1wIhSVz2ZNmP2mOl588/edit?usp=sharing"",""REQ VF!E4:H""),4,0),""NO APLICA""),""GENERAR REQ"")"),"GENERAR REQ")</f>
        <v>GENERAR REQ</v>
      </c>
      <c r="AE222" s="32" t="str">
        <f>IFERROR(__xludf.DUMMYFUNCTION("IFERROR(QUERY(IMPORTRANGE(""https://docs.google.com/spreadsheets/d/1z9A1Wq-kKrhRNG5RS2a2fKpY1wIhSVz2ZNmP2mOl588/edit?usp=sharing"",""REQ VF!E4:Q""),""SELECT Col10, Col11, Col12 WHERE Col1 = '""&amp;G222&amp;""'"",0),""NO APLICA"")"),"NO APLICA")</f>
        <v>NO APLICA</v>
      </c>
      <c r="AF222" s="32"/>
      <c r="AG222" s="32"/>
      <c r="AH222" s="13"/>
      <c r="AI222" s="13"/>
    </row>
    <row r="223">
      <c r="A223" s="43"/>
      <c r="B223" s="43"/>
      <c r="C223" s="26" t="b">
        <v>1</v>
      </c>
      <c r="D223" s="59" t="s">
        <v>95</v>
      </c>
      <c r="E223" s="26" t="s">
        <v>1510</v>
      </c>
      <c r="F223" s="59" t="s">
        <v>2252</v>
      </c>
      <c r="G223" s="39" t="s">
        <v>2285</v>
      </c>
      <c r="H223" s="66" t="s">
        <v>2286</v>
      </c>
      <c r="I223" s="43">
        <v>1.0</v>
      </c>
      <c r="J223" s="26">
        <f>IFERROR(__xludf.DUMMYFUNCTION("VLOOKUP(G223,IMPORTRANGE(""https://docs.google.com/spreadsheets/d/12RxCea4e5ggM7QGn1XE3FbLQa_-QbCNdBi90OdPjRqg/edit?gid=1692403370#gid=1692403370"", ""'Plan de Compras'!D4:2432""), 8,0)"),1.0)</f>
        <v>1</v>
      </c>
      <c r="K223" s="26" t="str">
        <f t="shared" si="18"/>
        <v>SI</v>
      </c>
      <c r="L223" s="29"/>
      <c r="M223" s="61"/>
      <c r="N223" s="32"/>
      <c r="O223" s="32" t="str">
        <f>VLOOKUP($G223,'Hoja 10'!$F$4:$AA1057, 19,0)</f>
        <v>#N/A</v>
      </c>
      <c r="P223" s="32" t="str">
        <f>VLOOKUP($G223,'Hoja 10'!$F$4:$AA1057, 20,0)</f>
        <v>#N/A</v>
      </c>
      <c r="Q223" s="41" t="str">
        <f>VLOOKUP($G223,'Hoja 10'!$F$4:$AA1057, 21,0)</f>
        <v>#N/A</v>
      </c>
      <c r="R223" s="32"/>
      <c r="S223" s="44" t="b">
        <v>1</v>
      </c>
      <c r="T223" s="39"/>
      <c r="U223" s="35" t="s">
        <v>2287</v>
      </c>
      <c r="V223" s="39"/>
      <c r="W223" s="39"/>
      <c r="X223" s="39"/>
      <c r="Y223" s="110" t="s">
        <v>2288</v>
      </c>
      <c r="Z223" s="37" t="str">
        <f>IFERROR(__xludf.DUMMYFUNCTION("IFERROR(VLOOKUP(G223,IMPORTRANGE(""https://docs.google.com/spreadsheets/d/12RxCea4e5ggM7QGn1XE3FbLQa_-QbCNdBi90OdPjRqg"", ""'Plan de Compras'!D4:Q""), 12, 0), ""NO ESTÁ EN REQ"")"),"Técnica")</f>
        <v>Técnica</v>
      </c>
      <c r="AA223" s="37" t="str">
        <f>IFERROR(__xludf.DUMMYFUNCTION("IFERROR(VLOOKUP(G223,IMPORTRANGE(""https://docs.google.com/spreadsheets/d/12RxCea4e5ggM7QGn1XE3FbLQa_-QbCNdBi90OdPjRqg"", ""'Plan de Compras'!D4:Q""), 13, 0), """")"),"NACIONAL")</f>
        <v>NACIONAL</v>
      </c>
      <c r="AB223" s="32" t="str">
        <f>IFERROR(__xludf.DUMMYFUNCTION("IFERROR(VLOOKUP(G223,IMPORTRANGE(""https://docs.google.com/spreadsheets/d/12RxCea4e5ggM7QGn1XE3FbLQa_-QbCNdBi90OdPjRqg"", ""'Plan de Compras'!D4:Q""), 14, 0), """")"),"JESSICA")</f>
        <v>JESSICA</v>
      </c>
      <c r="AC223" s="72" t="str">
        <f>IFERROR(__xludf.DUMMYFUNCTION("IFERROR(VLOOKUP(G223,IMPORTRANGE(""https://docs.google.com/spreadsheets/d/12RxCea4e5ggM7QGn1XE3FbLQa_-QbCNdBi90OdPjRqg"", ""'Plan de Compras'!D4:Q""), 4, 0), """")"),"ESTUCHE DE MADERA")</f>
        <v>ESTUCHE DE MADERA</v>
      </c>
      <c r="AD223" s="37" t="str">
        <f>IFERROR(__xludf.DUMMYFUNCTION("IFERROR(IF(OR(C223=TRUE,C223=""""),VLOOKUP(G223,IMPORTRANGE(""https://docs.google.com/spreadsheets/d/1z9A1Wq-kKrhRNG5RS2a2fKpY1wIhSVz2ZNmP2mOl588/edit?usp=sharing"",""REQ VF!E4:H""),4,0),""NO APLICA""),""GENERAR REQ"")"),"GENERAR REQ")</f>
        <v>GENERAR REQ</v>
      </c>
      <c r="AE223" s="32" t="str">
        <f>IFERROR(__xludf.DUMMYFUNCTION("IFERROR(QUERY(IMPORTRANGE(""https://docs.google.com/spreadsheets/d/1z9A1Wq-kKrhRNG5RS2a2fKpY1wIhSVz2ZNmP2mOl588/edit?usp=sharing"",""REQ VF!E4:Q""),""SELECT Col10, Col11, Col12 WHERE Col1 = '""&amp;G223&amp;""'"",0),""NO APLICA"")"),"NO APLICA")</f>
        <v>NO APLICA</v>
      </c>
      <c r="AF223" s="32"/>
      <c r="AG223" s="32"/>
      <c r="AH223" s="13"/>
      <c r="AI223" s="13"/>
    </row>
    <row r="224">
      <c r="A224" s="121">
        <v>142.0</v>
      </c>
      <c r="B224" s="43" t="b">
        <v>1</v>
      </c>
      <c r="C224" s="26" t="b">
        <v>1</v>
      </c>
      <c r="D224" s="26" t="s">
        <v>35</v>
      </c>
      <c r="E224" s="26" t="s">
        <v>1510</v>
      </c>
      <c r="F224" s="59" t="s">
        <v>2289</v>
      </c>
      <c r="G224" s="37" t="s">
        <v>2290</v>
      </c>
      <c r="H224" s="82" t="s">
        <v>2291</v>
      </c>
      <c r="I224" s="43">
        <f>SUMIFS('Hoja 10'!$O:$O,'Hoja 10'!$F:$F,$G224)</f>
        <v>15</v>
      </c>
      <c r="J224" s="26">
        <f>IFERROR(__xludf.DUMMYFUNCTION("VLOOKUP(G224,IMPORTRANGE(""https://docs.google.com/spreadsheets/d/12RxCea4e5ggM7QGn1XE3FbLQa_-QbCNdBi90OdPjRqg/edit?gid=1692403370#gid=1692403370"", ""'Plan de Compras'!D4:2432""), 8,0)"),15.0)</f>
        <v>15</v>
      </c>
      <c r="K224" s="26" t="str">
        <f t="shared" si="18"/>
        <v>SI</v>
      </c>
      <c r="L224" s="29" t="s">
        <v>180</v>
      </c>
      <c r="M224" s="30" t="s">
        <v>181</v>
      </c>
      <c r="N224" s="32" t="s">
        <v>2292</v>
      </c>
      <c r="O224" s="32"/>
      <c r="P224" s="32"/>
      <c r="Q224" s="33" t="s">
        <v>2293</v>
      </c>
      <c r="R224" s="86" t="s">
        <v>2294</v>
      </c>
      <c r="S224" s="44" t="b">
        <v>1</v>
      </c>
      <c r="T224" s="39" t="s">
        <v>303</v>
      </c>
      <c r="U224" s="39" t="s">
        <v>2295</v>
      </c>
      <c r="V224" s="39" t="str">
        <f>IFERROR(__xludf.DUMMYFUNCTION(" IF
( VLOOKUP($G224,IMPORTRANGE(""https://docs.google.com/spreadsheets/d/1Gpl6jkTg7sL4VDNimUm3S9Vi1i95esohXCF3wuKOE8c"", ""'CONSOLIDADO'!G5:AB""), 10, 0) &lt;&gt; 0, 
IFERROR(VLOOKUP($G224,IMPORTRANGE(""https://docs.google.com/spreadsheets/d/1Gpl6jkTg7sL4VDNimU"&amp;"m3S9Vi1i95esohXCF3wuKOE8c"", ""'CONSOLIDADO'!G5:AB""), 17, 0), ""-""),
""""
)"),"TRUPER")</f>
        <v>TRUPER</v>
      </c>
      <c r="W224" s="39" t="str">
        <f>IFERROR(__xludf.DUMMYFUNCTION(" IF
( VLOOKUP($G224,IMPORTRANGE(""https://docs.google.com/spreadsheets/d/1Gpl6jkTg7sL4VDNimUm3S9Vi1i95esohXCF3wuKOE8c"", ""'CONSOLIDADO'!G5:AB""), 10, 0) &lt;&gt; 0, 
IFERROR(VLOOKUP($G224,IMPORTRANGE(""https://docs.google.com/spreadsheets/d/1Gpl6jkTg7sL4VDNimU"&amp;"m3S9Vi1i95esohXCF3wuKOE8c"", ""'CONSOLIDADO'!G5:AB""), 18, 0), ""-""),
""""
)"),"T202-6X")</f>
        <v>T202-6X</v>
      </c>
      <c r="X224" s="39" t="b">
        <f>IF(AND(T224=V224,W224=U224),TRUE,FALSE)</f>
        <v>1</v>
      </c>
      <c r="Y224" s="129" t="s">
        <v>2296</v>
      </c>
      <c r="Z224" s="37" t="str">
        <f>IFERROR(__xludf.DUMMYFUNCTION("IFERROR(VLOOKUP(G224,IMPORTRANGE(""https://docs.google.com/spreadsheets/d/12RxCea4e5ggM7QGn1XE3FbLQa_-QbCNdBi90OdPjRqg"", ""'Plan de Compras'!D4:Q""), 12, 0), ""NO ESTÁ EN REQ"")"),"Simple")</f>
        <v>Simple</v>
      </c>
      <c r="AA224" s="37" t="str">
        <f>IFERROR(__xludf.DUMMYFUNCTION("IFERROR(VLOOKUP(G224,IMPORTRANGE(""https://docs.google.com/spreadsheets/d/12RxCea4e5ggM7QGn1XE3FbLQa_-QbCNdBi90OdPjRqg"", ""'Plan de Compras'!D4:Q""), 13, 0), """")"),"NACIONAL")</f>
        <v>NACIONAL</v>
      </c>
      <c r="AB224" s="32" t="str">
        <f>IFERROR(__xludf.DUMMYFUNCTION("IFERROR(VLOOKUP(G224,IMPORTRANGE(""https://docs.google.com/spreadsheets/d/12RxCea4e5ggM7QGn1XE3FbLQa_-QbCNdBi90OdPjRqg"", ""'Plan de Compras'!D4:Q""), 14, 0), """")"),"DIANA")</f>
        <v>DIANA</v>
      </c>
      <c r="AC224" s="72" t="str">
        <f>IFERROR(__xludf.DUMMYFUNCTION("IFERROR(VLOOKUP(G224,IMPORTRANGE(""https://docs.google.com/spreadsheets/d/12RxCea4e5ggM7QGn1XE3FbLQa_-QbCNdBi90OdPjRqg"", ""'Plan de Compras'!D4:Q""), 4, 0), """")"),"ALICATE DE CORTE")</f>
        <v>ALICATE DE CORTE</v>
      </c>
      <c r="AD224" s="37" t="str">
        <f>IFERROR(__xludf.DUMMYFUNCTION("IFERROR(IF(OR(C224=TRUE,C224=""""),VLOOKUP(G224,IMPORTRANGE(""https://docs.google.com/spreadsheets/d/1z9A1Wq-kKrhRNG5RS2a2fKpY1wIhSVz2ZNmP2mOl588/edit?usp=sharing"",""REQ VF!E4:H""),4,0),""NO APLICA""),""GENERAR REQ"")"),"GENERAR REQ")</f>
        <v>GENERAR REQ</v>
      </c>
      <c r="AE224" s="32" t="str">
        <f>IFERROR(__xludf.DUMMYFUNCTION("IFERROR(QUERY(IMPORTRANGE(""https://docs.google.com/spreadsheets/d/1z9A1Wq-kKrhRNG5RS2a2fKpY1wIhSVz2ZNmP2mOl588/edit?usp=sharing"",""REQ VF!E4:Q""),""SELECT Col10, Col11, Col12 WHERE Col1 = '""&amp;G224&amp;""'"",0),""NO APLICA"")"),"NO APLICA")</f>
        <v>NO APLICA</v>
      </c>
      <c r="AF224" s="32"/>
      <c r="AG224" s="32"/>
      <c r="AH224" s="8" t="s">
        <v>52</v>
      </c>
      <c r="AI224" s="8"/>
    </row>
    <row r="225">
      <c r="A225" s="43"/>
      <c r="B225" s="43"/>
      <c r="C225" s="26" t="b">
        <v>1</v>
      </c>
      <c r="D225" s="26" t="s">
        <v>42</v>
      </c>
      <c r="E225" s="26" t="s">
        <v>1510</v>
      </c>
      <c r="F225" s="59" t="s">
        <v>2289</v>
      </c>
      <c r="G225" s="39" t="s">
        <v>2297</v>
      </c>
      <c r="H225" s="66" t="s">
        <v>2298</v>
      </c>
      <c r="I225" s="43">
        <v>15.0</v>
      </c>
      <c r="J225" s="26">
        <f>IFERROR(__xludf.DUMMYFUNCTION("VLOOKUP(G225,IMPORTRANGE(""https://docs.google.com/spreadsheets/d/12RxCea4e5ggM7QGn1XE3FbLQa_-QbCNdBi90OdPjRqg/edit?gid=1692403370#gid=1692403370"", ""'Plan de Compras'!D4:2432""), 8,0)"),15.0)</f>
        <v>15</v>
      </c>
      <c r="K225" s="26" t="str">
        <f t="shared" si="18"/>
        <v>SI</v>
      </c>
      <c r="L225" s="29"/>
      <c r="M225" s="61"/>
      <c r="N225" s="32"/>
      <c r="O225" s="32" t="str">
        <f>VLOOKUP($G225,'Hoja 10'!$F$4:$AA1057, 19,0)</f>
        <v>#N/A</v>
      </c>
      <c r="P225" s="32" t="str">
        <f>VLOOKUP($G225,'Hoja 10'!$F$4:$AA1057, 20,0)</f>
        <v>#N/A</v>
      </c>
      <c r="Q225" s="41" t="str">
        <f>VLOOKUP($G225,'Hoja 10'!$F$4:$AA1057, 21,0)</f>
        <v>#N/A</v>
      </c>
      <c r="R225" s="32"/>
      <c r="S225" s="34" t="b">
        <v>1</v>
      </c>
      <c r="T225" s="39" t="s">
        <v>47</v>
      </c>
      <c r="U225" s="39" t="s">
        <v>2299</v>
      </c>
      <c r="V225" s="39"/>
      <c r="W225" s="39"/>
      <c r="X225" s="39"/>
      <c r="Y225" s="124"/>
      <c r="Z225" s="37" t="str">
        <f>IFERROR(__xludf.DUMMYFUNCTION("IFERROR(VLOOKUP(G225,IMPORTRANGE(""https://docs.google.com/spreadsheets/d/12RxCea4e5ggM7QGn1XE3FbLQa_-QbCNdBi90OdPjRqg"", ""'Plan de Compras'!D4:Q""), 12, 0), ""NO ESTÁ EN REQ"")"),"Hugo")</f>
        <v>Hugo</v>
      </c>
      <c r="AA225" s="39" t="s">
        <v>2300</v>
      </c>
      <c r="AB225" s="32" t="str">
        <f>IFERROR(__xludf.DUMMYFUNCTION("IFERROR(VLOOKUP(G225,IMPORTRANGE(""https://docs.google.com/spreadsheets/d/12RxCea4e5ggM7QGn1XE3FbLQa_-QbCNdBi90OdPjRqg"", ""'Plan de Compras'!D4:Q""), 14, 0), """")"),"DIANA")</f>
        <v>DIANA</v>
      </c>
      <c r="AC225" s="72" t="str">
        <f>IFERROR(__xludf.DUMMYFUNCTION("IFERROR(VLOOKUP(G225,IMPORTRANGE(""https://docs.google.com/spreadsheets/d/12RxCea4e5ggM7QGn1XE3FbLQa_-QbCNdBi90OdPjRqg"", ""'Plan de Compras'!D4:Q""), 4, 0), """")"),"ESTUCHE DE PLÁSTICO PARA ALMACENAR (1 UND)")</f>
        <v>ESTUCHE DE PLÁSTICO PARA ALMACENAR (1 UND)</v>
      </c>
      <c r="AD225" s="37" t="str">
        <f>IFERROR(__xludf.DUMMYFUNCTION("IFERROR(IF(OR(C225=TRUE,C225=""""),VLOOKUP(G225,IMPORTRANGE(""https://docs.google.com/spreadsheets/d/1z9A1Wq-kKrhRNG5RS2a2fKpY1wIhSVz2ZNmP2mOl588/edit?usp=sharing"",""REQ VF!E4:H""),4,0),""NO APLICA""),""GENERAR REQ"")"),"GENERAR REQ")</f>
        <v>GENERAR REQ</v>
      </c>
      <c r="AE225" s="32" t="str">
        <f>IFERROR(__xludf.DUMMYFUNCTION("IFERROR(QUERY(IMPORTRANGE(""https://docs.google.com/spreadsheets/d/1z9A1Wq-kKrhRNG5RS2a2fKpY1wIhSVz2ZNmP2mOl588/edit?usp=sharing"",""REQ VF!E4:Q""),""SELECT Col10, Col11, Col12 WHERE Col1 = '""&amp;G225&amp;""'"",0),""NO APLICA"")"),"NO APLICA")</f>
        <v>NO APLICA</v>
      </c>
      <c r="AF225" s="32"/>
      <c r="AG225" s="32"/>
      <c r="AH225" s="13"/>
      <c r="AI225" s="13"/>
    </row>
    <row r="226">
      <c r="A226" s="121">
        <v>143.0</v>
      </c>
      <c r="B226" s="43" t="b">
        <v>1</v>
      </c>
      <c r="C226" s="26" t="b">
        <v>1</v>
      </c>
      <c r="D226" s="26" t="s">
        <v>35</v>
      </c>
      <c r="E226" s="26" t="s">
        <v>1510</v>
      </c>
      <c r="F226" s="59" t="s">
        <v>2289</v>
      </c>
      <c r="G226" s="39" t="s">
        <v>2301</v>
      </c>
      <c r="H226" s="82" t="s">
        <v>2291</v>
      </c>
      <c r="I226" s="43">
        <f>SUMIFS('Hoja 10'!$O:$O,'Hoja 10'!$F:$F,$G226)</f>
        <v>4</v>
      </c>
      <c r="J226" s="26">
        <f>IFERROR(__xludf.DUMMYFUNCTION("VLOOKUP(G226,IMPORTRANGE(""https://docs.google.com/spreadsheets/d/12RxCea4e5ggM7QGn1XE3FbLQa_-QbCNdBi90OdPjRqg/edit?gid=1692403370#gid=1692403370"", ""'Plan de Compras'!D4:2432""), 8,0)"),4.0)</f>
        <v>4</v>
      </c>
      <c r="K226" s="26" t="str">
        <f t="shared" si="18"/>
        <v>SI</v>
      </c>
      <c r="L226" s="29" t="s">
        <v>122</v>
      </c>
      <c r="M226" s="30" t="s">
        <v>123</v>
      </c>
      <c r="N226" s="32"/>
      <c r="O226" s="32" t="str">
        <f>VLOOKUP($G226,'Hoja 10'!$F$4:$AA1057, 19,0)</f>
        <v>TRUPER</v>
      </c>
      <c r="P226" s="32" t="str">
        <f>VLOOKUP($G226,'Hoja 10'!$F$4:$AA1057, 20,0)</f>
        <v>T202-6X</v>
      </c>
      <c r="Q226" s="33" t="str">
        <f>VLOOKUP($G226,'Hoja 10'!$F$4:$AA1057, 21,0)</f>
        <v>https://www.sodimac.com.pe/sodimac-pe/articulo/117119198/Alicate-de-corte-dielectrico-1000V-6-pulgadas-Truper-Expert/117119199?srsltid=AfmBOooBN1lm8Uqnhx4-k4wh2kEHi90ozxl1e3TlcMSCmlH1vLmJmnOQ</v>
      </c>
      <c r="R226" s="86" t="s">
        <v>2302</v>
      </c>
      <c r="S226" s="44" t="b">
        <v>1</v>
      </c>
      <c r="T226" s="39" t="s">
        <v>303</v>
      </c>
      <c r="U226" s="39" t="s">
        <v>2295</v>
      </c>
      <c r="V226" s="39" t="str">
        <f>IFERROR(__xludf.DUMMYFUNCTION(" IF
( VLOOKUP($G226,IMPORTRANGE(""https://docs.google.com/spreadsheets/d/1Gpl6jkTg7sL4VDNimUm3S9Vi1i95esohXCF3wuKOE8c"", ""'CONSOLIDADO'!G5:AB""), 10, 0) &lt;&gt; 0, 
IFERROR(VLOOKUP($G226,IMPORTRANGE(""https://docs.google.com/spreadsheets/d/1Gpl6jkTg7sL4VDNimU"&amp;"m3S9Vi1i95esohXCF3wuKOE8c"", ""'CONSOLIDADO'!G5:AB""), 17, 0), ""-""),
""""
)"),"TRUPER")</f>
        <v>TRUPER</v>
      </c>
      <c r="W226" s="39" t="str">
        <f>IFERROR(__xludf.DUMMYFUNCTION(" IF
( VLOOKUP($G226,IMPORTRANGE(""https://docs.google.com/spreadsheets/d/1Gpl6jkTg7sL4VDNimUm3S9Vi1i95esohXCF3wuKOE8c"", ""'CONSOLIDADO'!G5:AB""), 10, 0) &lt;&gt; 0, 
IFERROR(VLOOKUP($G226,IMPORTRANGE(""https://docs.google.com/spreadsheets/d/1Gpl6jkTg7sL4VDNimU"&amp;"m3S9Vi1i95esohXCF3wuKOE8c"", ""'CONSOLIDADO'!G5:AB""), 18, 0), ""-""),
""""
)"),"T202-6X")</f>
        <v>T202-6X</v>
      </c>
      <c r="X226" s="39" t="b">
        <f t="shared" ref="X226:X229" si="26">IF(AND(T226=V226,W226=U226),TRUE,FALSE)</f>
        <v>1</v>
      </c>
      <c r="Y226" s="129" t="s">
        <v>2296</v>
      </c>
      <c r="Z226" s="37" t="str">
        <f>IFERROR(__xludf.DUMMYFUNCTION("IFERROR(VLOOKUP(G226,IMPORTRANGE(""https://docs.google.com/spreadsheets/d/12RxCea4e5ggM7QGn1XE3FbLQa_-QbCNdBi90OdPjRqg"", ""'Plan de Compras'!D4:Q""), 12, 0), ""NO ESTÁ EN REQ"")"),"Simple")</f>
        <v>Simple</v>
      </c>
      <c r="AA226" s="37" t="str">
        <f>IFERROR(__xludf.DUMMYFUNCTION("IFERROR(VLOOKUP(G226,IMPORTRANGE(""https://docs.google.com/spreadsheets/d/12RxCea4e5ggM7QGn1XE3FbLQa_-QbCNdBi90OdPjRqg"", ""'Plan de Compras'!D4:Q""), 13, 0), """")"),"NACIONAL")</f>
        <v>NACIONAL</v>
      </c>
      <c r="AB226" s="32" t="str">
        <f>IFERROR(__xludf.DUMMYFUNCTION("IFERROR(VLOOKUP(G226,IMPORTRANGE(""https://docs.google.com/spreadsheets/d/12RxCea4e5ggM7QGn1XE3FbLQa_-QbCNdBi90OdPjRqg"", ""'Plan de Compras'!D4:Q""), 14, 0), """")"),"DIANA")</f>
        <v>DIANA</v>
      </c>
      <c r="AC226" s="72" t="str">
        <f>IFERROR(__xludf.DUMMYFUNCTION("IFERROR(VLOOKUP(G226,IMPORTRANGE(""https://docs.google.com/spreadsheets/d/12RxCea4e5ggM7QGn1XE3FbLQa_-QbCNdBi90OdPjRqg"", ""'Plan de Compras'!D4:Q""), 4, 0), """")"),"ALICATE DE CORTE")</f>
        <v>ALICATE DE CORTE</v>
      </c>
      <c r="AD226" s="37" t="str">
        <f>IFERROR(__xludf.DUMMYFUNCTION("IFERROR(IF(OR(C226=TRUE,C226=""""),VLOOKUP(G226,IMPORTRANGE(""https://docs.google.com/spreadsheets/d/1z9A1Wq-kKrhRNG5RS2a2fKpY1wIhSVz2ZNmP2mOl588/edit?usp=sharing"",""REQ VF!E4:H""),4,0),""NO APLICA""),""GENERAR REQ"")"),"GENERAR REQ")</f>
        <v>GENERAR REQ</v>
      </c>
      <c r="AE226" s="32" t="str">
        <f>IFERROR(__xludf.DUMMYFUNCTION("IFERROR(QUERY(IMPORTRANGE(""https://docs.google.com/spreadsheets/d/1z9A1Wq-kKrhRNG5RS2a2fKpY1wIhSVz2ZNmP2mOl588/edit?usp=sharing"",""REQ VF!E4:Q""),""SELECT Col10, Col11, Col12 WHERE Col1 = '""&amp;G226&amp;""'"",0),""NO APLICA"")"),"NO APLICA")</f>
        <v>NO APLICA</v>
      </c>
      <c r="AF226" s="32"/>
      <c r="AG226" s="32"/>
      <c r="AH226" s="8" t="s">
        <v>52</v>
      </c>
      <c r="AI226" s="142"/>
    </row>
    <row r="227">
      <c r="A227" s="121">
        <v>144.0</v>
      </c>
      <c r="B227" s="43" t="b">
        <v>1</v>
      </c>
      <c r="C227" s="26" t="b">
        <v>1</v>
      </c>
      <c r="D227" s="26" t="s">
        <v>35</v>
      </c>
      <c r="E227" s="26" t="s">
        <v>1510</v>
      </c>
      <c r="F227" s="59" t="s">
        <v>2303</v>
      </c>
      <c r="G227" s="37" t="s">
        <v>2303</v>
      </c>
      <c r="H227" s="82" t="s">
        <v>2304</v>
      </c>
      <c r="I227" s="43">
        <f>SUMIFS('Hoja 10'!$O:$O,'Hoja 10'!$F:$F,$G227)</f>
        <v>12</v>
      </c>
      <c r="J227" s="26">
        <f>IFERROR(__xludf.DUMMYFUNCTION("VLOOKUP(G227,IMPORTRANGE(""https://docs.google.com/spreadsheets/d/12RxCea4e5ggM7QGn1XE3FbLQa_-QbCNdBi90OdPjRqg/edit?gid=1692403370#gid=1692403370"", ""'Plan de Compras'!D4:2432""), 8,0)"),12.0)</f>
        <v>12</v>
      </c>
      <c r="K227" s="26" t="str">
        <f t="shared" si="18"/>
        <v>SI</v>
      </c>
      <c r="L227" s="29" t="s">
        <v>127</v>
      </c>
      <c r="M227" s="30" t="s">
        <v>105</v>
      </c>
      <c r="N227" s="32"/>
      <c r="O227" s="32" t="str">
        <f>VLOOKUP($G227,'Hoja 10'!$F$4:$AA1057, 19,0)</f>
        <v>TRUPER</v>
      </c>
      <c r="P227" s="32">
        <f>VLOOKUP($G227,'Hoja 10'!$F$4:$AA1057, 20,0)</f>
        <v>17423</v>
      </c>
      <c r="Q227" s="33" t="str">
        <f>VLOOKUP($G227,'Hoja 10'!$F$4:$AA1057, 21,0)</f>
        <v>https://cahema.pe/alicate-presion/11112-alicate-de-presion-punta-curva-10-truper-17423-7501206640241.html</v>
      </c>
      <c r="R227" s="86" t="s">
        <v>2305</v>
      </c>
      <c r="S227" s="44" t="b">
        <v>1</v>
      </c>
      <c r="T227" s="37" t="s">
        <v>303</v>
      </c>
      <c r="U227" s="37">
        <v>17423.0</v>
      </c>
      <c r="V227" s="39" t="str">
        <f>IFERROR(__xludf.DUMMYFUNCTION(" IF
( VLOOKUP($G227,IMPORTRANGE(""https://docs.google.com/spreadsheets/d/1Gpl6jkTg7sL4VDNimUm3S9Vi1i95esohXCF3wuKOE8c"", ""'CONSOLIDADO'!G5:AB""), 10, 0) &lt;&gt; 0, 
IFERROR(VLOOKUP($G227,IMPORTRANGE(""https://docs.google.com/spreadsheets/d/1Gpl6jkTg7sL4VDNimU"&amp;"m3S9Vi1i95esohXCF3wuKOE8c"", ""'CONSOLIDADO'!G5:AB""), 17, 0), ""-""),
""""
)"),"TRUPER")</f>
        <v>TRUPER</v>
      </c>
      <c r="W227" s="39" t="str">
        <f>IFERROR(__xludf.DUMMYFUNCTION(" IF
( VLOOKUP($G227,IMPORTRANGE(""https://docs.google.com/spreadsheets/d/1Gpl6jkTg7sL4VDNimUm3S9Vi1i95esohXCF3wuKOE8c"", ""'CONSOLIDADO'!G5:AB""), 10, 0) &lt;&gt; 0, 
IFERROR(VLOOKUP($G227,IMPORTRANGE(""https://docs.google.com/spreadsheets/d/1Gpl6jkTg7sL4VDNimU"&amp;"m3S9Vi1i95esohXCF3wuKOE8c"", ""'CONSOLIDADO'!G5:AB""), 18, 0), ""-""),
""""
)"),"PPT-10C")</f>
        <v>PPT-10C</v>
      </c>
      <c r="X227" s="39" t="b">
        <f t="shared" si="26"/>
        <v>0</v>
      </c>
      <c r="Y227" s="120" t="s">
        <v>2296</v>
      </c>
      <c r="Z227" s="37" t="str">
        <f>IFERROR(__xludf.DUMMYFUNCTION("IFERROR(VLOOKUP(G227,IMPORTRANGE(""https://docs.google.com/spreadsheets/d/12RxCea4e5ggM7QGn1XE3FbLQa_-QbCNdBi90OdPjRqg"", ""'Plan de Compras'!D4:Q""), 12, 0), ""NO ESTÁ EN REQ"")"),"Simple")</f>
        <v>Simple</v>
      </c>
      <c r="AA227" s="37" t="str">
        <f>IFERROR(__xludf.DUMMYFUNCTION("IFERROR(VLOOKUP(G227,IMPORTRANGE(""https://docs.google.com/spreadsheets/d/12RxCea4e5ggM7QGn1XE3FbLQa_-QbCNdBi90OdPjRqg"", ""'Plan de Compras'!D4:Q""), 13, 0), """")"),"NACIONAL")</f>
        <v>NACIONAL</v>
      </c>
      <c r="AB227" s="32" t="str">
        <f>IFERROR(__xludf.DUMMYFUNCTION("IFERROR(VLOOKUP(G227,IMPORTRANGE(""https://docs.google.com/spreadsheets/d/12RxCea4e5ggM7QGn1XE3FbLQa_-QbCNdBi90OdPjRqg"", ""'Plan de Compras'!D4:Q""), 14, 0), """")"),"DIANA")</f>
        <v>DIANA</v>
      </c>
      <c r="AC227" s="72" t="str">
        <f>IFERROR(__xludf.DUMMYFUNCTION("IFERROR(VLOOKUP(G227,IMPORTRANGE(""https://docs.google.com/spreadsheets/d/12RxCea4e5ggM7QGn1XE3FbLQa_-QbCNdBi90OdPjRqg"", ""'Plan de Compras'!D4:Q""), 4, 0), """")"),"ALICATE DE PRESIÓN")</f>
        <v>ALICATE DE PRESIÓN</v>
      </c>
      <c r="AD227" s="37" t="str">
        <f>IFERROR(__xludf.DUMMYFUNCTION("IFERROR(IF(OR(C227=TRUE,C227=""""),VLOOKUP(G227,IMPORTRANGE(""https://docs.google.com/spreadsheets/d/1z9A1Wq-kKrhRNG5RS2a2fKpY1wIhSVz2ZNmP2mOl588/edit?usp=sharing"",""REQ VF!E4:H""),4,0),""NO APLICA""),""GENERAR REQ"")"),"GENERAR REQ")</f>
        <v>GENERAR REQ</v>
      </c>
      <c r="AE227" s="32" t="str">
        <f>IFERROR(__xludf.DUMMYFUNCTION("IFERROR(QUERY(IMPORTRANGE(""https://docs.google.com/spreadsheets/d/1z9A1Wq-kKrhRNG5RS2a2fKpY1wIhSVz2ZNmP2mOl588/edit?usp=sharing"",""REQ VF!E4:Q""),""SELECT Col10, Col11, Col12 WHERE Col1 = '""&amp;G227&amp;""'"",0),""NO APLICA"")"),"NO APLICA")</f>
        <v>NO APLICA</v>
      </c>
      <c r="AF227" s="32"/>
      <c r="AG227" s="32"/>
      <c r="AH227" s="8" t="s">
        <v>52</v>
      </c>
      <c r="AI227" s="8"/>
    </row>
    <row r="228">
      <c r="A228" s="117">
        <v>145.0</v>
      </c>
      <c r="B228" s="43" t="b">
        <v>1</v>
      </c>
      <c r="C228" s="26" t="b">
        <v>1</v>
      </c>
      <c r="D228" s="26" t="s">
        <v>35</v>
      </c>
      <c r="E228" s="26" t="s">
        <v>1510</v>
      </c>
      <c r="F228" s="59" t="s">
        <v>2306</v>
      </c>
      <c r="G228" s="37" t="s">
        <v>2306</v>
      </c>
      <c r="H228" s="82" t="s">
        <v>2307</v>
      </c>
      <c r="I228" s="43">
        <f>SUMIFS('Hoja 10'!$O:$O,'Hoja 10'!$F:$F,$G228)</f>
        <v>4</v>
      </c>
      <c r="J228" s="26">
        <f>IFERROR(__xludf.DUMMYFUNCTION("VLOOKUP(G228,IMPORTRANGE(""https://docs.google.com/spreadsheets/d/12RxCea4e5ggM7QGn1XE3FbLQa_-QbCNdBi90OdPjRqg/edit?gid=1692403370#gid=1692403370"", ""'Plan de Compras'!D4:2432""), 8,0)"),4.0)</f>
        <v>4</v>
      </c>
      <c r="K228" s="26" t="str">
        <f t="shared" si="18"/>
        <v>SI</v>
      </c>
      <c r="L228" s="29" t="s">
        <v>122</v>
      </c>
      <c r="M228" s="30" t="s">
        <v>123</v>
      </c>
      <c r="N228" s="32"/>
      <c r="O228" s="32" t="str">
        <f>VLOOKUP($G228,'Hoja 10'!$F$4:$AA1057, 19,0)</f>
        <v>TRUPER</v>
      </c>
      <c r="P228" s="32">
        <f>VLOOKUP($G228,'Hoja 10'!$F$4:$AA1057, 20,0)</f>
        <v>17336</v>
      </c>
      <c r="Q228" s="33" t="str">
        <f>VLOOKUP($G228,'Hoja 10'!$F$4:$AA1057, 21,0)</f>
        <v>https://www.aibitech.com/herramientas-alicates/alicates-de-punta/alicate-de-punta-y-corte-8-comfort-grip-acero-al-cromo-vanadio-t203-8x-17336-truper-6794.html?srsltid=AfmBOopwK_sHUE6OpfUO2SWjhWf9HTdCsz_koEpafFdeEwwI68szw_31</v>
      </c>
      <c r="R228" s="86" t="s">
        <v>2308</v>
      </c>
      <c r="S228" s="44" t="b">
        <v>1</v>
      </c>
      <c r="T228" s="37" t="s">
        <v>303</v>
      </c>
      <c r="U228" s="37">
        <v>17336.0</v>
      </c>
      <c r="V228" s="39" t="str">
        <f>IFERROR(__xludf.DUMMYFUNCTION(" IF
( VLOOKUP($G228,IMPORTRANGE(""https://docs.google.com/spreadsheets/d/1Gpl6jkTg7sL4VDNimUm3S9Vi1i95esohXCF3wuKOE8c"", ""'CONSOLIDADO'!G5:AB""), 10, 0) &lt;&gt; 0, 
IFERROR(VLOOKUP($G228,IMPORTRANGE(""https://docs.google.com/spreadsheets/d/1Gpl6jkTg7sL4VDNimU"&amp;"m3S9Vi1i95esohXCF3wuKOE8c"", ""'CONSOLIDADO'!G5:AB""), 17, 0), ""-""),
""""
)"),"TRUPER")</f>
        <v>TRUPER</v>
      </c>
      <c r="W228" s="39" t="str">
        <f>IFERROR(__xludf.DUMMYFUNCTION(" IF
( VLOOKUP($G228,IMPORTRANGE(""https://docs.google.com/spreadsheets/d/1Gpl6jkTg7sL4VDNimUm3S9Vi1i95esohXCF3wuKOE8c"", ""'CONSOLIDADO'!G5:AB""), 10, 0) &lt;&gt; 0, 
IFERROR(VLOOKUP($G228,IMPORTRANGE(""https://docs.google.com/spreadsheets/d/1Gpl6jkTg7sL4VDNimU"&amp;"m3S9Vi1i95esohXCF3wuKOE8c"", ""'CONSOLIDADO'!G5:AB""), 18, 0), ""-""),
""""
)"),"T203-8X")</f>
        <v>T203-8X</v>
      </c>
      <c r="X228" s="39" t="b">
        <f t="shared" si="26"/>
        <v>0</v>
      </c>
      <c r="Y228" s="129" t="s">
        <v>2296</v>
      </c>
      <c r="Z228" s="37" t="str">
        <f>IFERROR(__xludf.DUMMYFUNCTION("IFERROR(VLOOKUP(G228,IMPORTRANGE(""https://docs.google.com/spreadsheets/d/12RxCea4e5ggM7QGn1XE3FbLQa_-QbCNdBi90OdPjRqg"", ""'Plan de Compras'!D4:Q""), 12, 0), ""NO ESTÁ EN REQ"")"),"Simple")</f>
        <v>Simple</v>
      </c>
      <c r="AA228" s="37" t="str">
        <f>IFERROR(__xludf.DUMMYFUNCTION("IFERROR(VLOOKUP(G228,IMPORTRANGE(""https://docs.google.com/spreadsheets/d/12RxCea4e5ggM7QGn1XE3FbLQa_-QbCNdBi90OdPjRqg"", ""'Plan de Compras'!D4:Q""), 13, 0), """")"),"NACIONAL")</f>
        <v>NACIONAL</v>
      </c>
      <c r="AB228" s="32" t="str">
        <f>IFERROR(__xludf.DUMMYFUNCTION("IFERROR(VLOOKUP(G228,IMPORTRANGE(""https://docs.google.com/spreadsheets/d/12RxCea4e5ggM7QGn1XE3FbLQa_-QbCNdBi90OdPjRqg"", ""'Plan de Compras'!D4:Q""), 14, 0), """")"),"DIANA")</f>
        <v>DIANA</v>
      </c>
      <c r="AC228" s="72" t="str">
        <f>IFERROR(__xludf.DUMMYFUNCTION("IFERROR(VLOOKUP(G228,IMPORTRANGE(""https://docs.google.com/spreadsheets/d/12RxCea4e5ggM7QGn1XE3FbLQa_-QbCNdBi90OdPjRqg"", ""'Plan de Compras'!D4:Q""), 4, 0), """")"),"ALICATE DE PUNTA")</f>
        <v>ALICATE DE PUNTA</v>
      </c>
      <c r="AD228" s="37" t="str">
        <f>IFERROR(__xludf.DUMMYFUNCTION("IFERROR(IF(OR(C228=TRUE,C228=""""),VLOOKUP(G228,IMPORTRANGE(""https://docs.google.com/spreadsheets/d/1z9A1Wq-kKrhRNG5RS2a2fKpY1wIhSVz2ZNmP2mOl588/edit?usp=sharing"",""REQ VF!E4:H""),4,0),""NO APLICA""),""GENERAR REQ"")"),"GENERAR REQ")</f>
        <v>GENERAR REQ</v>
      </c>
      <c r="AE228" s="32" t="str">
        <f>IFERROR(__xludf.DUMMYFUNCTION("IFERROR(QUERY(IMPORTRANGE(""https://docs.google.com/spreadsheets/d/1z9A1Wq-kKrhRNG5RS2a2fKpY1wIhSVz2ZNmP2mOl588/edit?usp=sharing"",""REQ VF!E4:Q""),""SELECT Col10, Col11, Col12 WHERE Col1 = '""&amp;G228&amp;""'"",0),""NO APLICA"")"),"NO APLICA")</f>
        <v>NO APLICA</v>
      </c>
      <c r="AF228" s="32"/>
      <c r="AG228" s="32"/>
      <c r="AH228" s="8" t="s">
        <v>52</v>
      </c>
      <c r="AI228" s="8"/>
    </row>
    <row r="229">
      <c r="A229" s="117">
        <v>146.0</v>
      </c>
      <c r="B229" s="43" t="b">
        <v>1</v>
      </c>
      <c r="C229" s="26" t="b">
        <v>1</v>
      </c>
      <c r="D229" s="26" t="s">
        <v>35</v>
      </c>
      <c r="E229" s="26" t="s">
        <v>1510</v>
      </c>
      <c r="F229" s="59" t="s">
        <v>2309</v>
      </c>
      <c r="G229" s="37" t="s">
        <v>2310</v>
      </c>
      <c r="H229" s="82" t="s">
        <v>2311</v>
      </c>
      <c r="I229" s="43">
        <f>SUMIFS('Hoja 10'!$O:$O,'Hoja 10'!$F:$F,$G229)</f>
        <v>15</v>
      </c>
      <c r="J229" s="26">
        <f>IFERROR(__xludf.DUMMYFUNCTION("VLOOKUP(G229,IMPORTRANGE(""https://docs.google.com/spreadsheets/d/12RxCea4e5ggM7QGn1XE3FbLQa_-QbCNdBi90OdPjRqg/edit?gid=1692403370#gid=1692403370"", ""'Plan de Compras'!D4:2432""), 8,0)"),15.0)</f>
        <v>15</v>
      </c>
      <c r="K229" s="26" t="str">
        <f t="shared" si="18"/>
        <v>SI</v>
      </c>
      <c r="L229" s="29" t="s">
        <v>180</v>
      </c>
      <c r="M229" s="30" t="s">
        <v>181</v>
      </c>
      <c r="N229" s="32" t="s">
        <v>2292</v>
      </c>
      <c r="O229" s="32"/>
      <c r="P229" s="32"/>
      <c r="Q229" s="33" t="s">
        <v>2293</v>
      </c>
      <c r="R229" s="86" t="s">
        <v>2312</v>
      </c>
      <c r="S229" s="44" t="b">
        <v>1</v>
      </c>
      <c r="T229" s="32" t="str">
        <f>VLOOKUP($G229,'Hoja 10'!$F$4:$AA1057, 19,0)</f>
        <v>TRUPER</v>
      </c>
      <c r="U229" s="61">
        <v>17337.0</v>
      </c>
      <c r="V229" s="39" t="str">
        <f>IFERROR(__xludf.DUMMYFUNCTION(" IF
( VLOOKUP($G229,IMPORTRANGE(""https://docs.google.com/spreadsheets/d/1Gpl6jkTg7sL4VDNimUm3S9Vi1i95esohXCF3wuKOE8c"", ""'CONSOLIDADO'!G5:AB""), 10, 0) &lt;&gt; 0, 
IFERROR(VLOOKUP($G229,IMPORTRANGE(""https://docs.google.com/spreadsheets/d/1Gpl6jkTg7sL4VDNimU"&amp;"m3S9Vi1i95esohXCF3wuKOE8c"", ""'CONSOLIDADO'!G5:AB""), 17, 0), ""-""),
""""
)"),"TRUPER")</f>
        <v>TRUPER</v>
      </c>
      <c r="W229" s="39" t="str">
        <f>IFERROR(__xludf.DUMMYFUNCTION(" IF
( VLOOKUP($G229,IMPORTRANGE(""https://docs.google.com/spreadsheets/d/1Gpl6jkTg7sL4VDNimUm3S9Vi1i95esohXCF3wuKOE8c"", ""'CONSOLIDADO'!G5:AB""), 10, 0) &lt;&gt; 0, 
IFERROR(VLOOKUP($G229,IMPORTRANGE(""https://docs.google.com/spreadsheets/d/1Gpl6jkTg7sL4VDNimU"&amp;"m3S9Vi1i95esohXCF3wuKOE8c"", ""'CONSOLIDADO'!G5:AB""), 18, 0), ""-""),
""""
)"),"T302-6X")</f>
        <v>T302-6X</v>
      </c>
      <c r="X229" s="39" t="b">
        <f t="shared" si="26"/>
        <v>0</v>
      </c>
      <c r="Y229" s="129" t="s">
        <v>2296</v>
      </c>
      <c r="Z229" s="37" t="str">
        <f>IFERROR(__xludf.DUMMYFUNCTION("IFERROR(VLOOKUP(G229,IMPORTRANGE(""https://docs.google.com/spreadsheets/d/12RxCea4e5ggM7QGn1XE3FbLQa_-QbCNdBi90OdPjRqg"", ""'Plan de Compras'!D4:Q""), 12, 0), ""NO ESTÁ EN REQ"")"),"Simple")</f>
        <v>Simple</v>
      </c>
      <c r="AA229" s="37" t="str">
        <f>IFERROR(__xludf.DUMMYFUNCTION("IFERROR(VLOOKUP(G229,IMPORTRANGE(""https://docs.google.com/spreadsheets/d/12RxCea4e5ggM7QGn1XE3FbLQa_-QbCNdBi90OdPjRqg"", ""'Plan de Compras'!D4:Q""), 13, 0), """")"),"NACIONAL")</f>
        <v>NACIONAL</v>
      </c>
      <c r="AB229" s="32" t="str">
        <f>IFERROR(__xludf.DUMMYFUNCTION("IFERROR(VLOOKUP(G229,IMPORTRANGE(""https://docs.google.com/spreadsheets/d/12RxCea4e5ggM7QGn1XE3FbLQa_-QbCNdBi90OdPjRqg"", ""'Plan de Compras'!D4:Q""), 14, 0), """")"),"DIANA")</f>
        <v>DIANA</v>
      </c>
      <c r="AC229" s="72" t="str">
        <f>IFERROR(__xludf.DUMMYFUNCTION("IFERROR(VLOOKUP(G229,IMPORTRANGE(""https://docs.google.com/spreadsheets/d/12RxCea4e5ggM7QGn1XE3FbLQa_-QbCNdBi90OdPjRqg"", ""'Plan de Compras'!D4:Q""), 4, 0), """")"),"ALICATE DE PUNTA CURVA")</f>
        <v>ALICATE DE PUNTA CURVA</v>
      </c>
      <c r="AD229" s="37" t="str">
        <f>IFERROR(__xludf.DUMMYFUNCTION("IFERROR(IF(OR(C229=TRUE,C229=""""),VLOOKUP(G229,IMPORTRANGE(""https://docs.google.com/spreadsheets/d/1z9A1Wq-kKrhRNG5RS2a2fKpY1wIhSVz2ZNmP2mOl588/edit?usp=sharing"",""REQ VF!E4:H""),4,0),""NO APLICA""),""GENERAR REQ"")"),"GENERAR REQ")</f>
        <v>GENERAR REQ</v>
      </c>
      <c r="AE229" s="32" t="str">
        <f>IFERROR(__xludf.DUMMYFUNCTION("IFERROR(QUERY(IMPORTRANGE(""https://docs.google.com/spreadsheets/d/1z9A1Wq-kKrhRNG5RS2a2fKpY1wIhSVz2ZNmP2mOl588/edit?usp=sharing"",""REQ VF!E4:Q""),""SELECT Col10, Col11, Col12 WHERE Col1 = '""&amp;G229&amp;""'"",0),""NO APLICA"")"),"NO APLICA")</f>
        <v>NO APLICA</v>
      </c>
      <c r="AF229" s="32"/>
      <c r="AG229" s="32"/>
      <c r="AH229" s="8" t="s">
        <v>52</v>
      </c>
      <c r="AI229" s="8"/>
    </row>
    <row r="230">
      <c r="A230" s="43"/>
      <c r="B230" s="43"/>
      <c r="C230" s="26" t="b">
        <v>1</v>
      </c>
      <c r="D230" s="26" t="s">
        <v>42</v>
      </c>
      <c r="E230" s="26" t="s">
        <v>1510</v>
      </c>
      <c r="F230" s="59" t="s">
        <v>2309</v>
      </c>
      <c r="G230" s="39" t="s">
        <v>2313</v>
      </c>
      <c r="H230" s="66" t="s">
        <v>2298</v>
      </c>
      <c r="I230" s="43">
        <v>15.0</v>
      </c>
      <c r="J230" s="26">
        <f>IFERROR(__xludf.DUMMYFUNCTION("VLOOKUP(G230,IMPORTRANGE(""https://docs.google.com/spreadsheets/d/12RxCea4e5ggM7QGn1XE3FbLQa_-QbCNdBi90OdPjRqg/edit?gid=1692403370#gid=1692403370"", ""'Plan de Compras'!D4:2432""), 8,0)"),15.0)</f>
        <v>15</v>
      </c>
      <c r="K230" s="26" t="str">
        <f t="shared" si="18"/>
        <v>SI</v>
      </c>
      <c r="L230" s="29"/>
      <c r="M230" s="61"/>
      <c r="N230" s="32"/>
      <c r="O230" s="32" t="str">
        <f>VLOOKUP($G230,'Hoja 10'!$F$4:$AA1057, 19,0)</f>
        <v>#N/A</v>
      </c>
      <c r="P230" s="32" t="str">
        <f>VLOOKUP($G230,'Hoja 10'!$F$4:$AA1057, 20,0)</f>
        <v>#N/A</v>
      </c>
      <c r="Q230" s="41" t="str">
        <f>VLOOKUP($G230,'Hoja 10'!$F$4:$AA1057, 21,0)</f>
        <v>#N/A</v>
      </c>
      <c r="R230" s="32"/>
      <c r="S230" s="34" t="b">
        <v>1</v>
      </c>
      <c r="T230" s="39" t="s">
        <v>47</v>
      </c>
      <c r="U230" s="39" t="s">
        <v>2299</v>
      </c>
      <c r="V230" s="39"/>
      <c r="W230" s="39"/>
      <c r="X230" s="39"/>
      <c r="Y230" s="124"/>
      <c r="Z230" s="37" t="str">
        <f>IFERROR(__xludf.DUMMYFUNCTION("IFERROR(VLOOKUP(G230,IMPORTRANGE(""https://docs.google.com/spreadsheets/d/12RxCea4e5ggM7QGn1XE3FbLQa_-QbCNdBi90OdPjRqg"", ""'Plan de Compras'!D4:Q""), 12, 0), ""NO ESTÁ EN REQ"")"),"Hugo")</f>
        <v>Hugo</v>
      </c>
      <c r="AA230" s="37" t="str">
        <f>IFERROR(__xludf.DUMMYFUNCTION("IFERROR(VLOOKUP(G230,IMPORTRANGE(""https://docs.google.com/spreadsheets/d/12RxCea4e5ggM7QGn1XE3FbLQa_-QbCNdBi90OdPjRqg"", ""'Plan de Compras'!D4:Q""), 13, 0), """")"),"NACIONAL")</f>
        <v>NACIONAL</v>
      </c>
      <c r="AB230" s="32" t="str">
        <f>IFERROR(__xludf.DUMMYFUNCTION("IFERROR(VLOOKUP(G230,IMPORTRANGE(""https://docs.google.com/spreadsheets/d/12RxCea4e5ggM7QGn1XE3FbLQa_-QbCNdBi90OdPjRqg"", ""'Plan de Compras'!D4:Q""), 14, 0), """")"),"DIANA")</f>
        <v>DIANA</v>
      </c>
      <c r="AC230" s="72" t="str">
        <f>IFERROR(__xludf.DUMMYFUNCTION("IFERROR(VLOOKUP(G230,IMPORTRANGE(""https://docs.google.com/spreadsheets/d/12RxCea4e5ggM7QGn1XE3FbLQa_-QbCNdBi90OdPjRqg"", ""'Plan de Compras'!D4:Q""), 4, 0), """")"),"ESTUCHE DE PLÁSTICO PARA ALMACENAR (1 UND)")</f>
        <v>ESTUCHE DE PLÁSTICO PARA ALMACENAR (1 UND)</v>
      </c>
      <c r="AD230" s="37" t="str">
        <f>IFERROR(__xludf.DUMMYFUNCTION("IFERROR(IF(OR(C230=TRUE,C230=""""),VLOOKUP(G230,IMPORTRANGE(""https://docs.google.com/spreadsheets/d/1z9A1Wq-kKrhRNG5RS2a2fKpY1wIhSVz2ZNmP2mOl588/edit?usp=sharing"",""REQ VF!E4:H""),4,0),""NO APLICA""),""GENERAR REQ"")"),"GENERAR REQ")</f>
        <v>GENERAR REQ</v>
      </c>
      <c r="AE230" s="32" t="str">
        <f>IFERROR(__xludf.DUMMYFUNCTION("IFERROR(QUERY(IMPORTRANGE(""https://docs.google.com/spreadsheets/d/1z9A1Wq-kKrhRNG5RS2a2fKpY1wIhSVz2ZNmP2mOl588/edit?usp=sharing"",""REQ VF!E4:Q""),""SELECT Col10, Col11, Col12 WHERE Col1 = '""&amp;G230&amp;""'"",0),""NO APLICA"")"),"NO APLICA")</f>
        <v>NO APLICA</v>
      </c>
      <c r="AF230" s="32"/>
      <c r="AG230" s="32"/>
      <c r="AH230" s="13"/>
      <c r="AI230" s="13"/>
    </row>
    <row r="231">
      <c r="A231" s="121">
        <v>147.0</v>
      </c>
      <c r="B231" s="43" t="b">
        <v>1</v>
      </c>
      <c r="C231" s="26" t="b">
        <v>1</v>
      </c>
      <c r="D231" s="26" t="s">
        <v>35</v>
      </c>
      <c r="E231" s="26" t="s">
        <v>1510</v>
      </c>
      <c r="F231" s="59" t="s">
        <v>2309</v>
      </c>
      <c r="G231" s="39" t="s">
        <v>2314</v>
      </c>
      <c r="H231" s="82" t="s">
        <v>2311</v>
      </c>
      <c r="I231" s="43">
        <f>SUMIFS('Hoja 10'!$O:$O,'Hoja 10'!$F:$F,$G231)</f>
        <v>4</v>
      </c>
      <c r="J231" s="26">
        <f>IFERROR(__xludf.DUMMYFUNCTION("VLOOKUP(G231,IMPORTRANGE(""https://docs.google.com/spreadsheets/d/12RxCea4e5ggM7QGn1XE3FbLQa_-QbCNdBi90OdPjRqg/edit?gid=1692403370#gid=1692403370"", ""'Plan de Compras'!D4:2432""), 8,0)"),4.0)</f>
        <v>4</v>
      </c>
      <c r="K231" s="26" t="str">
        <f t="shared" si="18"/>
        <v>SI</v>
      </c>
      <c r="L231" s="29" t="s">
        <v>122</v>
      </c>
      <c r="M231" s="30" t="s">
        <v>123</v>
      </c>
      <c r="N231" s="32"/>
      <c r="O231" s="32" t="str">
        <f>VLOOKUP($G231,'Hoja 10'!$F$4:$AA1057, 19,0)</f>
        <v>TRUPER</v>
      </c>
      <c r="P231" s="32">
        <f>VLOOKUP($G231,'Hoja 10'!$F$4:$AA1057, 20,0)</f>
        <v>17337</v>
      </c>
      <c r="Q231" s="33" t="str">
        <f>VLOOKUP($G231,'Hoja 10'!$F$4:$AA1057, 21,0)</f>
        <v>https://cahema.pe/alicate-punta/3392-alicate-punta-curva-6-aislado-truper-17337-7501206619018.html?utm_source=chatgpt.com</v>
      </c>
      <c r="R231" s="86" t="s">
        <v>2315</v>
      </c>
      <c r="S231" s="44" t="b">
        <v>1</v>
      </c>
      <c r="T231" s="32" t="str">
        <f>VLOOKUP($G231,'Hoja 10'!$F$4:$AA1057, 19,0)</f>
        <v>TRUPER</v>
      </c>
      <c r="U231" s="61">
        <v>17337.0</v>
      </c>
      <c r="V231" s="39" t="str">
        <f>IFERROR(__xludf.DUMMYFUNCTION(" IF
( VLOOKUP($G231,IMPORTRANGE(""https://docs.google.com/spreadsheets/d/1Gpl6jkTg7sL4VDNimUm3S9Vi1i95esohXCF3wuKOE8c"", ""'CONSOLIDADO'!G5:AB""), 10, 0) &lt;&gt; 0, 
IFERROR(VLOOKUP($G231,IMPORTRANGE(""https://docs.google.com/spreadsheets/d/1Gpl6jkTg7sL4VDNimU"&amp;"m3S9Vi1i95esohXCF3wuKOE8c"", ""'CONSOLIDADO'!G5:AB""), 17, 0), ""-""),
""""
)"),"TRUPER")</f>
        <v>TRUPER</v>
      </c>
      <c r="W231" s="39" t="str">
        <f>IFERROR(__xludf.DUMMYFUNCTION(" IF
( VLOOKUP($G231,IMPORTRANGE(""https://docs.google.com/spreadsheets/d/1Gpl6jkTg7sL4VDNimUm3S9Vi1i95esohXCF3wuKOE8c"", ""'CONSOLIDADO'!G5:AB""), 10, 0) &lt;&gt; 0, 
IFERROR(VLOOKUP($G231,IMPORTRANGE(""https://docs.google.com/spreadsheets/d/1Gpl6jkTg7sL4VDNimU"&amp;"m3S9Vi1i95esohXCF3wuKOE8c"", ""'CONSOLIDADO'!G5:AB""), 18, 0), ""-""),
""""
)"),"T302-6X")</f>
        <v>T302-6X</v>
      </c>
      <c r="X231" s="39" t="b">
        <f t="shared" ref="X231:X233" si="27">IF(AND(T231=V231,W231=U231),TRUE,FALSE)</f>
        <v>0</v>
      </c>
      <c r="Y231" s="129" t="s">
        <v>2296</v>
      </c>
      <c r="Z231" s="37" t="str">
        <f>IFERROR(__xludf.DUMMYFUNCTION("IFERROR(VLOOKUP(G231,IMPORTRANGE(""https://docs.google.com/spreadsheets/d/12RxCea4e5ggM7QGn1XE3FbLQa_-QbCNdBi90OdPjRqg"", ""'Plan de Compras'!D4:Q""), 12, 0), ""NO ESTÁ EN REQ"")"),"Simple")</f>
        <v>Simple</v>
      </c>
      <c r="AA231" s="37" t="str">
        <f>IFERROR(__xludf.DUMMYFUNCTION("IFERROR(VLOOKUP(G231,IMPORTRANGE(""https://docs.google.com/spreadsheets/d/12RxCea4e5ggM7QGn1XE3FbLQa_-QbCNdBi90OdPjRqg"", ""'Plan de Compras'!D4:Q""), 13, 0), """")"),"NACIONAL")</f>
        <v>NACIONAL</v>
      </c>
      <c r="AB231" s="32" t="str">
        <f>IFERROR(__xludf.DUMMYFUNCTION("IFERROR(VLOOKUP(G231,IMPORTRANGE(""https://docs.google.com/spreadsheets/d/12RxCea4e5ggM7QGn1XE3FbLQa_-QbCNdBi90OdPjRqg"", ""'Plan de Compras'!D4:Q""), 14, 0), """")"),"DIANA")</f>
        <v>DIANA</v>
      </c>
      <c r="AC231" s="72" t="str">
        <f>IFERROR(__xludf.DUMMYFUNCTION("IFERROR(VLOOKUP(G231,IMPORTRANGE(""https://docs.google.com/spreadsheets/d/12RxCea4e5ggM7QGn1XE3FbLQa_-QbCNdBi90OdPjRqg"", ""'Plan de Compras'!D4:Q""), 4, 0), """")"),"ALICATE DE PUNTA CURVA")</f>
        <v>ALICATE DE PUNTA CURVA</v>
      </c>
      <c r="AD231" s="37" t="str">
        <f>IFERROR(__xludf.DUMMYFUNCTION("IFERROR(IF(OR(C231=TRUE,C231=""""),VLOOKUP(G231,IMPORTRANGE(""https://docs.google.com/spreadsheets/d/1z9A1Wq-kKrhRNG5RS2a2fKpY1wIhSVz2ZNmP2mOl588/edit?usp=sharing"",""REQ VF!E4:H""),4,0),""NO APLICA""),""GENERAR REQ"")"),"GENERAR REQ")</f>
        <v>GENERAR REQ</v>
      </c>
      <c r="AE231" s="32" t="str">
        <f>IFERROR(__xludf.DUMMYFUNCTION("IFERROR(QUERY(IMPORTRANGE(""https://docs.google.com/spreadsheets/d/1z9A1Wq-kKrhRNG5RS2a2fKpY1wIhSVz2ZNmP2mOl588/edit?usp=sharing"",""REQ VF!E4:Q""),""SELECT Col10, Col11, Col12 WHERE Col1 = '""&amp;G231&amp;""'"",0),""NO APLICA"")"),"NO APLICA")</f>
        <v>NO APLICA</v>
      </c>
      <c r="AF231" s="32"/>
      <c r="AG231" s="32"/>
      <c r="AH231" s="8" t="s">
        <v>52</v>
      </c>
      <c r="AI231" s="8"/>
    </row>
    <row r="232">
      <c r="A232" s="121">
        <v>148.0</v>
      </c>
      <c r="B232" s="43" t="b">
        <v>1</v>
      </c>
      <c r="C232" s="26" t="b">
        <v>1</v>
      </c>
      <c r="D232" s="26" t="s">
        <v>35</v>
      </c>
      <c r="E232" s="26" t="s">
        <v>1510</v>
      </c>
      <c r="F232" s="59" t="s">
        <v>2316</v>
      </c>
      <c r="G232" s="39" t="s">
        <v>2317</v>
      </c>
      <c r="H232" s="82" t="s">
        <v>2318</v>
      </c>
      <c r="I232" s="43">
        <f>SUMIFS('Hoja 10'!$O:$O,'Hoja 10'!$F:$F,$G232)</f>
        <v>19</v>
      </c>
      <c r="J232" s="26">
        <f>IFERROR(__xludf.DUMMYFUNCTION("VLOOKUP(G232,IMPORTRANGE(""https://docs.google.com/spreadsheets/d/12RxCea4e5ggM7QGn1XE3FbLQa_-QbCNdBi90OdPjRqg/edit?gid=1692403370#gid=1692403370"", ""'Plan de Compras'!D4:2432""), 8,0)"),19.0)</f>
        <v>19</v>
      </c>
      <c r="K232" s="26" t="str">
        <f t="shared" si="18"/>
        <v>SI</v>
      </c>
      <c r="L232" s="29" t="s">
        <v>1569</v>
      </c>
      <c r="M232" s="30" t="s">
        <v>181</v>
      </c>
      <c r="N232" s="32"/>
      <c r="O232" s="32" t="str">
        <f>VLOOKUP($G232,'Hoja 10'!$F$4:$AA1057, 19,0)</f>
        <v>STANLEY</v>
      </c>
      <c r="P232" s="32" t="str">
        <f>VLOOKUP($G232,'Hoja 10'!$F$4:$AA1057, 20,0)</f>
        <v>96-225</v>
      </c>
      <c r="Q232" s="33" t="str">
        <f>VLOOKUP($G232,'Hoja 10'!$F$4:$AA1057, 21,0)</f>
        <v>https://sodimac.falabella.com.pe/sodimac-pe/product/113539082/Pelacables-3-en-1/113539092</v>
      </c>
      <c r="R232" s="86" t="s">
        <v>2319</v>
      </c>
      <c r="S232" s="44" t="b">
        <v>1</v>
      </c>
      <c r="T232" s="32" t="str">
        <f>VLOOKUP($G232,'Hoja 10'!$F$4:$AA1057, 19,0)</f>
        <v>STANLEY</v>
      </c>
      <c r="U232" s="61" t="s">
        <v>2320</v>
      </c>
      <c r="V232" s="39" t="str">
        <f>IFERROR(__xludf.DUMMYFUNCTION(" IF
( VLOOKUP($G232,IMPORTRANGE(""https://docs.google.com/spreadsheets/d/1Gpl6jkTg7sL4VDNimUm3S9Vi1i95esohXCF3wuKOE8c"", ""'CONSOLIDADO'!G5:AB""), 10, 0) &lt;&gt; 0, 
IFERROR(VLOOKUP($G232,IMPORTRANGE(""https://docs.google.com/spreadsheets/d/1Gpl6jkTg7sL4VDNimU"&amp;"m3S9Vi1i95esohXCF3wuKOE8c"", ""'CONSOLIDADO'!G5:AB""), 17, 0), ""-""),
""""
)"),"STANLEY")</f>
        <v>STANLEY</v>
      </c>
      <c r="W232" s="39" t="str">
        <f>IFERROR(__xludf.DUMMYFUNCTION(" IF
( VLOOKUP($G232,IMPORTRANGE(""https://docs.google.com/spreadsheets/d/1Gpl6jkTg7sL4VDNimUm3S9Vi1i95esohXCF3wuKOE8c"", ""'CONSOLIDADO'!G5:AB""), 10, 0) &lt;&gt; 0, 
IFERROR(VLOOKUP($G232,IMPORTRANGE(""https://docs.google.com/spreadsheets/d/1Gpl6jkTg7sL4VDNimU"&amp;"m3S9Vi1i95esohXCF3wuKOE8c"", ""'CONSOLIDADO'!G5:AB""), 18, 0), ""-""),
""""
)"),"96-225")</f>
        <v>96-225</v>
      </c>
      <c r="X232" s="39" t="b">
        <f t="shared" si="27"/>
        <v>1</v>
      </c>
      <c r="Y232" s="129" t="s">
        <v>2296</v>
      </c>
      <c r="Z232" s="37" t="str">
        <f>IFERROR(__xludf.DUMMYFUNCTION("IFERROR(VLOOKUP(G232,IMPORTRANGE(""https://docs.google.com/spreadsheets/d/12RxCea4e5ggM7QGn1XE3FbLQa_-QbCNdBi90OdPjRqg"", ""'Plan de Compras'!D4:Q""), 12, 0), ""NO ESTÁ EN REQ"")"),"Simple")</f>
        <v>Simple</v>
      </c>
      <c r="AA232" s="37" t="str">
        <f>IFERROR(__xludf.DUMMYFUNCTION("IFERROR(VLOOKUP(G232,IMPORTRANGE(""https://docs.google.com/spreadsheets/d/12RxCea4e5ggM7QGn1XE3FbLQa_-QbCNdBi90OdPjRqg"", ""'Plan de Compras'!D4:Q""), 13, 0), """")"),"NACIONAL")</f>
        <v>NACIONAL</v>
      </c>
      <c r="AB232" s="32" t="str">
        <f>IFERROR(__xludf.DUMMYFUNCTION("IFERROR(VLOOKUP(G232,IMPORTRANGE(""https://docs.google.com/spreadsheets/d/12RxCea4e5ggM7QGn1XE3FbLQa_-QbCNdBi90OdPjRqg"", ""'Plan de Compras'!D4:Q""), 14, 0), """")"),"DIANA")</f>
        <v>DIANA</v>
      </c>
      <c r="AC232" s="72" t="str">
        <f>IFERROR(__xludf.DUMMYFUNCTION("IFERROR(VLOOKUP(G232,IMPORTRANGE(""https://docs.google.com/spreadsheets/d/12RxCea4e5ggM7QGn1XE3FbLQa_-QbCNdBi90OdPjRqg"", ""'Plan de Compras'!D4:Q""), 4, 0), """")"),"ALICATE PELACABLE")</f>
        <v>ALICATE PELACABLE</v>
      </c>
      <c r="AD232" s="37" t="str">
        <f>IFERROR(__xludf.DUMMYFUNCTION("IFERROR(IF(OR(C232=TRUE,C232=""""),VLOOKUP(G232,IMPORTRANGE(""https://docs.google.com/spreadsheets/d/1z9A1Wq-kKrhRNG5RS2a2fKpY1wIhSVz2ZNmP2mOl588/edit?usp=sharing"",""REQ VF!E4:H""),4,0),""NO APLICA""),""GENERAR REQ"")"),"GENERAR REQ")</f>
        <v>GENERAR REQ</v>
      </c>
      <c r="AE232" s="32" t="str">
        <f>IFERROR(__xludf.DUMMYFUNCTION("IFERROR(QUERY(IMPORTRANGE(""https://docs.google.com/spreadsheets/d/1z9A1Wq-kKrhRNG5RS2a2fKpY1wIhSVz2ZNmP2mOl588/edit?usp=sharing"",""REQ VF!E4:Q""),""SELECT Col10, Col11, Col12 WHERE Col1 = '""&amp;G232&amp;""'"",0),""NO APLICA"")"),"NO APLICA")</f>
        <v>NO APLICA</v>
      </c>
      <c r="AF232" s="32"/>
      <c r="AG232" s="32"/>
      <c r="AH232" s="8" t="s">
        <v>52</v>
      </c>
      <c r="AI232" s="8"/>
    </row>
    <row r="233">
      <c r="A233" s="121">
        <v>149.0</v>
      </c>
      <c r="B233" s="43" t="b">
        <v>1</v>
      </c>
      <c r="C233" s="26" t="b">
        <v>1</v>
      </c>
      <c r="D233" s="26" t="s">
        <v>35</v>
      </c>
      <c r="E233" s="26" t="s">
        <v>1510</v>
      </c>
      <c r="F233" s="59" t="s">
        <v>2316</v>
      </c>
      <c r="G233" s="39" t="s">
        <v>2321</v>
      </c>
      <c r="H233" s="82" t="s">
        <v>2318</v>
      </c>
      <c r="I233" s="43">
        <f>SUMIFS('Hoja 10'!$O:$O,'Hoja 10'!$F:$F,$G233)</f>
        <v>8</v>
      </c>
      <c r="J233" s="26">
        <f>IFERROR(__xludf.DUMMYFUNCTION("VLOOKUP(G233,IMPORTRANGE(""https://docs.google.com/spreadsheets/d/12RxCea4e5ggM7QGn1XE3FbLQa_-QbCNdBi90OdPjRqg/edit?gid=1692403370#gid=1692403370"", ""'Plan de Compras'!D4:2432""), 8,0)"),8.0)</f>
        <v>8</v>
      </c>
      <c r="K233" s="26" t="str">
        <f t="shared" si="18"/>
        <v>SI</v>
      </c>
      <c r="L233" s="29" t="s">
        <v>296</v>
      </c>
      <c r="M233" s="30" t="s">
        <v>297</v>
      </c>
      <c r="N233" s="32"/>
      <c r="O233" s="32" t="str">
        <f>VLOOKUP($G233,'Hoja 10'!$F$4:$AA1057, 19,0)</f>
        <v>TRUPER</v>
      </c>
      <c r="P233" s="32" t="str">
        <f>VLOOKUP($G233,'Hoja 10'!$F$4:$AA1057, 20,0)</f>
        <v>PE-CA-9</v>
      </c>
      <c r="Q233" s="33" t="str">
        <f>VLOOKUP($G233,'Hoja 10'!$F$4:$AA1057, 21,0)</f>
        <v>https://www.truper.com/ficha_tecnica/Pinza-pelacables-9-7-medidas-4-mordazas-4240.html?code=17353</v>
      </c>
      <c r="R233" s="86" t="s">
        <v>2322</v>
      </c>
      <c r="S233" s="44" t="b">
        <v>1</v>
      </c>
      <c r="T233" s="32" t="str">
        <f>VLOOKUP($G233,'Hoja 10'!$F$4:$AA1057, 19,0)</f>
        <v>TRUPER</v>
      </c>
      <c r="U233" s="61" t="s">
        <v>2323</v>
      </c>
      <c r="V233" s="39" t="str">
        <f>IFERROR(__xludf.DUMMYFUNCTION(" IF
( VLOOKUP($G233,IMPORTRANGE(""https://docs.google.com/spreadsheets/d/1Gpl6jkTg7sL4VDNimUm3S9Vi1i95esohXCF3wuKOE8c"", ""'CONSOLIDADO'!G5:AB""), 10, 0) &lt;&gt; 0, 
IFERROR(VLOOKUP($G233,IMPORTRANGE(""https://docs.google.com/spreadsheets/d/1Gpl6jkTg7sL4VDNimU"&amp;"m3S9Vi1i95esohXCF3wuKOE8c"", ""'CONSOLIDADO'!G5:AB""), 17, 0), ""-""),
""""
)"),"TRUPER")</f>
        <v>TRUPER</v>
      </c>
      <c r="W233" s="39" t="str">
        <f>IFERROR(__xludf.DUMMYFUNCTION(" IF
( VLOOKUP($G233,IMPORTRANGE(""https://docs.google.com/spreadsheets/d/1Gpl6jkTg7sL4VDNimUm3S9Vi1i95esohXCF3wuKOE8c"", ""'CONSOLIDADO'!G5:AB""), 10, 0) &lt;&gt; 0, 
IFERROR(VLOOKUP($G233,IMPORTRANGE(""https://docs.google.com/spreadsheets/d/1Gpl6jkTg7sL4VDNimU"&amp;"m3S9Vi1i95esohXCF3wuKOE8c"", ""'CONSOLIDADO'!G5:AB""), 18, 0), ""-""),
""""
)"),"PE-CA-9")</f>
        <v>PE-CA-9</v>
      </c>
      <c r="X233" s="39" t="b">
        <f t="shared" si="27"/>
        <v>1</v>
      </c>
      <c r="Y233" s="120" t="s">
        <v>2296</v>
      </c>
      <c r="Z233" s="37" t="str">
        <f>IFERROR(__xludf.DUMMYFUNCTION("IFERROR(VLOOKUP(G233,IMPORTRANGE(""https://docs.google.com/spreadsheets/d/12RxCea4e5ggM7QGn1XE3FbLQa_-QbCNdBi90OdPjRqg"", ""'Plan de Compras'!D4:Q""), 12, 0), ""NO ESTÁ EN REQ"")"),"Simple")</f>
        <v>Simple</v>
      </c>
      <c r="AA233" s="37" t="str">
        <f>IFERROR(__xludf.DUMMYFUNCTION("IFERROR(VLOOKUP(G233,IMPORTRANGE(""https://docs.google.com/spreadsheets/d/12RxCea4e5ggM7QGn1XE3FbLQa_-QbCNdBi90OdPjRqg"", ""'Plan de Compras'!D4:Q""), 13, 0), """")"),"NACIONAL")</f>
        <v>NACIONAL</v>
      </c>
      <c r="AB233" s="32" t="str">
        <f>IFERROR(__xludf.DUMMYFUNCTION("IFERROR(VLOOKUP(G233,IMPORTRANGE(""https://docs.google.com/spreadsheets/d/12RxCea4e5ggM7QGn1XE3FbLQa_-QbCNdBi90OdPjRqg"", ""'Plan de Compras'!D4:Q""), 14, 0), """")"),"DIANA")</f>
        <v>DIANA</v>
      </c>
      <c r="AC233" s="72" t="str">
        <f>IFERROR(__xludf.DUMMYFUNCTION("IFERROR(VLOOKUP(G233,IMPORTRANGE(""https://docs.google.com/spreadsheets/d/12RxCea4e5ggM7QGn1XE3FbLQa_-QbCNdBi90OdPjRqg"", ""'Plan de Compras'!D4:Q""), 4, 0), """")"),"ALICATE PELACABLE")</f>
        <v>ALICATE PELACABLE</v>
      </c>
      <c r="AD233" s="37" t="str">
        <f>IFERROR(__xludf.DUMMYFUNCTION("IFERROR(IF(OR(C233=TRUE,C233=""""),VLOOKUP(G233,IMPORTRANGE(""https://docs.google.com/spreadsheets/d/1z9A1Wq-kKrhRNG5RS2a2fKpY1wIhSVz2ZNmP2mOl588/edit?usp=sharing"",""REQ VF!E4:H""),4,0),""NO APLICA""),""GENERAR REQ"")"),"GENERAR REQ")</f>
        <v>GENERAR REQ</v>
      </c>
      <c r="AE233" s="32" t="str">
        <f>IFERROR(__xludf.DUMMYFUNCTION("IFERROR(QUERY(IMPORTRANGE(""https://docs.google.com/spreadsheets/d/1z9A1Wq-kKrhRNG5RS2a2fKpY1wIhSVz2ZNmP2mOl588/edit?usp=sharing"",""REQ VF!E4:Q""),""SELECT Col10, Col11, Col12 WHERE Col1 = '""&amp;G233&amp;""'"",0),""NO APLICA"")"),"NO APLICA")</f>
        <v>NO APLICA</v>
      </c>
      <c r="AF233" s="32"/>
      <c r="AG233" s="32"/>
      <c r="AH233" s="8" t="s">
        <v>52</v>
      </c>
      <c r="AI233" s="8"/>
    </row>
    <row r="234">
      <c r="A234" s="43"/>
      <c r="B234" s="43"/>
      <c r="C234" s="26" t="b">
        <v>1</v>
      </c>
      <c r="D234" s="26" t="s">
        <v>42</v>
      </c>
      <c r="E234" s="26"/>
      <c r="F234" s="59"/>
      <c r="G234" s="63" t="s">
        <v>2324</v>
      </c>
      <c r="H234" s="132" t="s">
        <v>2325</v>
      </c>
      <c r="I234" s="43">
        <v>8.0</v>
      </c>
      <c r="J234" s="26"/>
      <c r="K234" s="26"/>
      <c r="L234" s="29"/>
      <c r="M234" s="61"/>
      <c r="N234" s="32"/>
      <c r="O234" s="32"/>
      <c r="P234" s="32"/>
      <c r="Q234" s="41"/>
      <c r="R234" s="32"/>
      <c r="S234" s="44" t="b">
        <v>0</v>
      </c>
      <c r="T234" s="32"/>
      <c r="U234" s="61"/>
      <c r="V234" s="39"/>
      <c r="W234" s="39"/>
      <c r="X234" s="39"/>
      <c r="Y234" s="110"/>
      <c r="Z234" s="37"/>
      <c r="AA234" s="37"/>
      <c r="AB234" s="32"/>
      <c r="AC234" s="72"/>
      <c r="AD234" s="37"/>
      <c r="AE234" s="32"/>
      <c r="AF234" s="32"/>
      <c r="AG234" s="32"/>
      <c r="AH234" s="8"/>
      <c r="AI234" s="8"/>
    </row>
    <row r="235">
      <c r="A235" s="117">
        <v>150.0</v>
      </c>
      <c r="B235" s="43" t="b">
        <v>1</v>
      </c>
      <c r="C235" s="26" t="b">
        <v>1</v>
      </c>
      <c r="D235" s="26" t="s">
        <v>35</v>
      </c>
      <c r="E235" s="26" t="s">
        <v>1510</v>
      </c>
      <c r="F235" s="59" t="s">
        <v>2326</v>
      </c>
      <c r="G235" s="39" t="s">
        <v>2327</v>
      </c>
      <c r="H235" s="66" t="s">
        <v>2328</v>
      </c>
      <c r="I235" s="43">
        <f>SUMIFS('Hoja 10'!$O:$O,'Hoja 10'!$F:$F,$G235)</f>
        <v>15</v>
      </c>
      <c r="J235" s="26">
        <f>IFERROR(__xludf.DUMMYFUNCTION("VLOOKUP(G235,IMPORTRANGE(""https://docs.google.com/spreadsheets/d/12RxCea4e5ggM7QGn1XE3FbLQa_-QbCNdBi90OdPjRqg/edit?gid=1692403370#gid=1692403370"", ""'Plan de Compras'!D4:2432""), 8,0)"),15.0)</f>
        <v>15</v>
      </c>
      <c r="K235" s="26" t="str">
        <f t="shared" ref="K235:K249" si="28"> IF( C235=TRUE, IF(I235=J235,"SI","NO"), "-")</f>
        <v>SI</v>
      </c>
      <c r="L235" s="29" t="s">
        <v>180</v>
      </c>
      <c r="M235" s="30" t="s">
        <v>181</v>
      </c>
      <c r="N235" s="32"/>
      <c r="O235" s="32"/>
      <c r="P235" s="32"/>
      <c r="Q235" s="41"/>
      <c r="R235" s="86" t="s">
        <v>2329</v>
      </c>
      <c r="S235" s="44" t="b">
        <v>1</v>
      </c>
      <c r="T235" s="32" t="str">
        <f>VLOOKUP($G235,'Hoja 10'!$F$4:$AA1057, 19,0)</f>
        <v>STANLEY</v>
      </c>
      <c r="U235" s="61" t="s">
        <v>2330</v>
      </c>
      <c r="V235" s="39" t="str">
        <f>IFERROR(__xludf.DUMMYFUNCTION(" IF
( VLOOKUP($G235,IMPORTRANGE(""https://docs.google.com/spreadsheets/d/1Gpl6jkTg7sL4VDNimUm3S9Vi1i95esohXCF3wuKOE8c"", ""'CONSOLIDADO'!G5:AB""), 10, 0) &lt;&gt; 0, 
IFERROR(VLOOKUP($G235,IMPORTRANGE(""https://docs.google.com/spreadsheets/d/1Gpl6jkTg7sL4VDNimU"&amp;"m3S9Vi1i95esohXCF3wuKOE8c"", ""'CONSOLIDADO'!G5:AB""), 17, 0), ""-""),
""""
)"),"STANLEY")</f>
        <v>STANLEY</v>
      </c>
      <c r="W235" s="39" t="str">
        <f>IFERROR(__xludf.DUMMYFUNCTION(" IF
( VLOOKUP($G235,IMPORTRANGE(""https://docs.google.com/spreadsheets/d/1Gpl6jkTg7sL4VDNimUm3S9Vi1i95esohXCF3wuKOE8c"", ""'CONSOLIDADO'!G5:AB""), 10, 0) &lt;&gt; 0, 
IFERROR(VLOOKUP($G235,IMPORTRANGE(""https://docs.google.com/spreadsheets/d/1Gpl6jkTg7sL4VDNimU"&amp;"m3S9Vi1i95esohXCF3wuKOE8c"", ""'CONSOLIDADO'!G5:AB""), 18, 0), ""-""),
""""
)"),"84-002")</f>
        <v>84-002</v>
      </c>
      <c r="X235" s="39" t="b">
        <f>IF(AND(T235=V235,W235=U235),TRUE,FALSE)</f>
        <v>1</v>
      </c>
      <c r="Y235" s="129" t="s">
        <v>2296</v>
      </c>
      <c r="Z235" s="37" t="str">
        <f>IFERROR(__xludf.DUMMYFUNCTION("IFERROR(VLOOKUP(G235,IMPORTRANGE(""https://docs.google.com/spreadsheets/d/12RxCea4e5ggM7QGn1XE3FbLQa_-QbCNdBi90OdPjRqg"", ""'Plan de Compras'!D4:Q""), 12, 0), ""NO ESTÁ EN REQ"")"),"Simple")</f>
        <v>Simple</v>
      </c>
      <c r="AA235" s="37" t="str">
        <f>IFERROR(__xludf.DUMMYFUNCTION("IFERROR(VLOOKUP(G235,IMPORTRANGE(""https://docs.google.com/spreadsheets/d/12RxCea4e5ggM7QGn1XE3FbLQa_-QbCNdBi90OdPjRqg"", ""'Plan de Compras'!D4:Q""), 13, 0), """")"),"NACIONAL")</f>
        <v>NACIONAL</v>
      </c>
      <c r="AB235" s="32" t="str">
        <f>IFERROR(__xludf.DUMMYFUNCTION("IFERROR(VLOOKUP(G235,IMPORTRANGE(""https://docs.google.com/spreadsheets/d/12RxCea4e5ggM7QGn1XE3FbLQa_-QbCNdBi90OdPjRqg"", ""'Plan de Compras'!D4:Q""), 14, 0), """")"),"DIANA")</f>
        <v>DIANA</v>
      </c>
      <c r="AC235" s="72" t="str">
        <f>IFERROR(__xludf.DUMMYFUNCTION("IFERROR(VLOOKUP(G235,IMPORTRANGE(""https://docs.google.com/spreadsheets/d/12RxCea4e5ggM7QGn1XE3FbLQa_-QbCNdBi90OdPjRqg"", ""'Plan de Compras'!D4:Q""), 4, 0), """")"),"ALICATE UNIVERSAL")</f>
        <v>ALICATE UNIVERSAL</v>
      </c>
      <c r="AD235" s="37" t="str">
        <f>IFERROR(__xludf.DUMMYFUNCTION("IFERROR(IF(OR(C235=TRUE,C235=""""),VLOOKUP(G235,IMPORTRANGE(""https://docs.google.com/spreadsheets/d/1z9A1Wq-kKrhRNG5RS2a2fKpY1wIhSVz2ZNmP2mOl588/edit?usp=sharing"",""REQ VF!E4:H""),4,0),""NO APLICA""),""GENERAR REQ"")"),"GENERAR REQ")</f>
        <v>GENERAR REQ</v>
      </c>
      <c r="AE235" s="32" t="str">
        <f>IFERROR(__xludf.DUMMYFUNCTION("IFERROR(QUERY(IMPORTRANGE(""https://docs.google.com/spreadsheets/d/1z9A1Wq-kKrhRNG5RS2a2fKpY1wIhSVz2ZNmP2mOl588/edit?usp=sharing"",""REQ VF!E4:Q""),""SELECT Col10, Col11, Col12 WHERE Col1 = '""&amp;G235&amp;""'"",0),""NO APLICA"")"),"NO APLICA")</f>
        <v>NO APLICA</v>
      </c>
      <c r="AF235" s="32"/>
      <c r="AG235" s="32"/>
      <c r="AH235" s="8" t="s">
        <v>52</v>
      </c>
      <c r="AI235" s="8"/>
    </row>
    <row r="236">
      <c r="A236" s="43"/>
      <c r="B236" s="43"/>
      <c r="C236" s="26" t="b">
        <v>1</v>
      </c>
      <c r="D236" s="26" t="s">
        <v>42</v>
      </c>
      <c r="E236" s="26" t="s">
        <v>1510</v>
      </c>
      <c r="F236" s="59" t="s">
        <v>2326</v>
      </c>
      <c r="G236" s="39" t="s">
        <v>2331</v>
      </c>
      <c r="H236" s="66" t="s">
        <v>2298</v>
      </c>
      <c r="I236" s="43">
        <v>15.0</v>
      </c>
      <c r="J236" s="26">
        <f>IFERROR(__xludf.DUMMYFUNCTION("VLOOKUP(G236,IMPORTRANGE(""https://docs.google.com/spreadsheets/d/12RxCea4e5ggM7QGn1XE3FbLQa_-QbCNdBi90OdPjRqg/edit?gid=1692403370#gid=1692403370"", ""'Plan de Compras'!D4:2432""), 8,0)"),15.0)</f>
        <v>15</v>
      </c>
      <c r="K236" s="26" t="str">
        <f t="shared" si="28"/>
        <v>SI</v>
      </c>
      <c r="L236" s="29"/>
      <c r="M236" s="61"/>
      <c r="N236" s="32"/>
      <c r="O236" s="32" t="str">
        <f>VLOOKUP($G236,'Hoja 10'!$F$4:$AA1057, 19,0)</f>
        <v>#N/A</v>
      </c>
      <c r="P236" s="32" t="str">
        <f>VLOOKUP($G236,'Hoja 10'!$F$4:$AA1057, 20,0)</f>
        <v>#N/A</v>
      </c>
      <c r="Q236" s="41" t="str">
        <f>VLOOKUP($G236,'Hoja 10'!$F$4:$AA1057, 21,0)</f>
        <v>#N/A</v>
      </c>
      <c r="R236" s="32"/>
      <c r="S236" s="34" t="b">
        <v>1</v>
      </c>
      <c r="T236" s="39" t="s">
        <v>47</v>
      </c>
      <c r="U236" s="39" t="s">
        <v>2299</v>
      </c>
      <c r="V236" s="39"/>
      <c r="W236" s="39"/>
      <c r="X236" s="39"/>
      <c r="Y236" s="124"/>
      <c r="Z236" s="37" t="str">
        <f>IFERROR(__xludf.DUMMYFUNCTION("IFERROR(VLOOKUP(G236,IMPORTRANGE(""https://docs.google.com/spreadsheets/d/12RxCea4e5ggM7QGn1XE3FbLQa_-QbCNdBi90OdPjRqg"", ""'Plan de Compras'!D4:Q""), 12, 0), ""NO ESTÁ EN REQ"")"),"Hugo")</f>
        <v>Hugo</v>
      </c>
      <c r="AA236" s="37" t="str">
        <f>IFERROR(__xludf.DUMMYFUNCTION("IFERROR(VLOOKUP(G236,IMPORTRANGE(""https://docs.google.com/spreadsheets/d/12RxCea4e5ggM7QGn1XE3FbLQa_-QbCNdBi90OdPjRqg"", ""'Plan de Compras'!D4:Q""), 13, 0), """")"),"NACIONAL")</f>
        <v>NACIONAL</v>
      </c>
      <c r="AB236" s="32" t="str">
        <f>IFERROR(__xludf.DUMMYFUNCTION("IFERROR(VLOOKUP(G236,IMPORTRANGE(""https://docs.google.com/spreadsheets/d/12RxCea4e5ggM7QGn1XE3FbLQa_-QbCNdBi90OdPjRqg"", ""'Plan de Compras'!D4:Q""), 14, 0), """")"),"DIANA")</f>
        <v>DIANA</v>
      </c>
      <c r="AC236" s="72" t="str">
        <f>IFERROR(__xludf.DUMMYFUNCTION("IFERROR(VLOOKUP(G236,IMPORTRANGE(""https://docs.google.com/spreadsheets/d/12RxCea4e5ggM7QGn1XE3FbLQa_-QbCNdBi90OdPjRqg"", ""'Plan de Compras'!D4:Q""), 4, 0), """")"),"ESTUCHE DE PLÁSTICO PARA ALMACENAR (1 UND)")</f>
        <v>ESTUCHE DE PLÁSTICO PARA ALMACENAR (1 UND)</v>
      </c>
      <c r="AD236" s="37" t="str">
        <f>IFERROR(__xludf.DUMMYFUNCTION("IFERROR(IF(OR(C236=TRUE,C236=""""),VLOOKUP(G236,IMPORTRANGE(""https://docs.google.com/spreadsheets/d/1z9A1Wq-kKrhRNG5RS2a2fKpY1wIhSVz2ZNmP2mOl588/edit?usp=sharing"",""REQ VF!E4:H""),4,0),""NO APLICA""),""GENERAR REQ"")"),"GENERAR REQ")</f>
        <v>GENERAR REQ</v>
      </c>
      <c r="AE236" s="32" t="str">
        <f>IFERROR(__xludf.DUMMYFUNCTION("IFERROR(QUERY(IMPORTRANGE(""https://docs.google.com/spreadsheets/d/1z9A1Wq-kKrhRNG5RS2a2fKpY1wIhSVz2ZNmP2mOl588/edit?usp=sharing"",""REQ VF!E4:Q""),""SELECT Col10, Col11, Col12 WHERE Col1 = '""&amp;G236&amp;""'"",0),""NO APLICA"")"),"NO APLICA")</f>
        <v>NO APLICA</v>
      </c>
      <c r="AF236" s="32"/>
      <c r="AG236" s="32"/>
      <c r="AH236" s="13"/>
      <c r="AI236" s="13"/>
    </row>
    <row r="237">
      <c r="A237" s="117">
        <v>151.0</v>
      </c>
      <c r="B237" s="43" t="b">
        <v>1</v>
      </c>
      <c r="C237" s="26" t="b">
        <v>1</v>
      </c>
      <c r="D237" s="26" t="s">
        <v>35</v>
      </c>
      <c r="E237" s="26" t="s">
        <v>1510</v>
      </c>
      <c r="F237" s="59" t="s">
        <v>2326</v>
      </c>
      <c r="G237" s="39" t="s">
        <v>2332</v>
      </c>
      <c r="H237" s="66" t="s">
        <v>2328</v>
      </c>
      <c r="I237" s="43">
        <f>SUMIFS('Hoja 10'!$O:$O,'Hoja 10'!$F:$F,$G237)</f>
        <v>4</v>
      </c>
      <c r="J237" s="26">
        <f>IFERROR(__xludf.DUMMYFUNCTION("VLOOKUP(G237,IMPORTRANGE(""https://docs.google.com/spreadsheets/d/12RxCea4e5ggM7QGn1XE3FbLQa_-QbCNdBi90OdPjRqg/edit?gid=1692403370#gid=1692403370"", ""'Plan de Compras'!D4:2432""), 8,0)"),4.0)</f>
        <v>4</v>
      </c>
      <c r="K237" s="26" t="str">
        <f t="shared" si="28"/>
        <v>SI</v>
      </c>
      <c r="L237" s="29" t="s">
        <v>122</v>
      </c>
      <c r="M237" s="30" t="s">
        <v>123</v>
      </c>
      <c r="N237" s="32"/>
      <c r="O237" s="32" t="str">
        <f>VLOOKUP($G237,'Hoja 10'!$F$4:$AA1057, 19,0)</f>
        <v>STANLEY</v>
      </c>
      <c r="P237" s="32" t="str">
        <f>VLOOKUP($G237,'Hoja 10'!$F$4:$AA1057, 20,0)</f>
        <v>84-003</v>
      </c>
      <c r="Q237" s="33" t="str">
        <f>VLOOKUP($G237,'Hoja 10'!$F$4:$AA1057, 21,0)</f>
        <v>https://www.falabella.com.pe/falabella-pe/product/146837340/Alicate-Universal-8-Aislado-1000V-200mm-STANLEY-Mango-Erg/146837343</v>
      </c>
      <c r="R237" s="86" t="s">
        <v>2333</v>
      </c>
      <c r="S237" s="44" t="b">
        <v>1</v>
      </c>
      <c r="T237" s="32" t="str">
        <f>VLOOKUP($G237,'Hoja 10'!$F$4:$AA1057, 19,0)</f>
        <v>STANLEY</v>
      </c>
      <c r="U237" s="61" t="s">
        <v>2330</v>
      </c>
      <c r="V237" s="39" t="str">
        <f>IFERROR(__xludf.DUMMYFUNCTION(" IF
( VLOOKUP($G237,IMPORTRANGE(""https://docs.google.com/spreadsheets/d/1Gpl6jkTg7sL4VDNimUm3S9Vi1i95esohXCF3wuKOE8c"", ""'CONSOLIDADO'!G5:AB""), 10, 0) &lt;&gt; 0, 
IFERROR(VLOOKUP($G237,IMPORTRANGE(""https://docs.google.com/spreadsheets/d/1Gpl6jkTg7sL4VDNimU"&amp;"m3S9Vi1i95esohXCF3wuKOE8c"", ""'CONSOLIDADO'!G5:AB""), 17, 0), ""-""),
""""
)"),"STANLEY")</f>
        <v>STANLEY</v>
      </c>
      <c r="W237" s="39" t="str">
        <f>IFERROR(__xludf.DUMMYFUNCTION(" IF
( VLOOKUP($G237,IMPORTRANGE(""https://docs.google.com/spreadsheets/d/1Gpl6jkTg7sL4VDNimUm3S9Vi1i95esohXCF3wuKOE8c"", ""'CONSOLIDADO'!G5:AB""), 10, 0) &lt;&gt; 0, 
IFERROR(VLOOKUP($G237,IMPORTRANGE(""https://docs.google.com/spreadsheets/d/1Gpl6jkTg7sL4VDNimU"&amp;"m3S9Vi1i95esohXCF3wuKOE8c"", ""'CONSOLIDADO'!G5:AB""), 18, 0), ""-""),
""""
)"),"84-002")</f>
        <v>84-002</v>
      </c>
      <c r="X237" s="39" t="b">
        <f t="shared" ref="X237:X243" si="29">IF(AND(T237=V237,W237=U237),TRUE,FALSE)</f>
        <v>1</v>
      </c>
      <c r="Y237" s="129" t="s">
        <v>2296</v>
      </c>
      <c r="Z237" s="37" t="str">
        <f>IFERROR(__xludf.DUMMYFUNCTION("IFERROR(VLOOKUP(G237,IMPORTRANGE(""https://docs.google.com/spreadsheets/d/12RxCea4e5ggM7QGn1XE3FbLQa_-QbCNdBi90OdPjRqg"", ""'Plan de Compras'!D4:Q""), 12, 0), ""NO ESTÁ EN REQ"")"),"Simple")</f>
        <v>Simple</v>
      </c>
      <c r="AA237" s="37" t="str">
        <f>IFERROR(__xludf.DUMMYFUNCTION("IFERROR(VLOOKUP(G237,IMPORTRANGE(""https://docs.google.com/spreadsheets/d/12RxCea4e5ggM7QGn1XE3FbLQa_-QbCNdBi90OdPjRqg"", ""'Plan de Compras'!D4:Q""), 13, 0), """")"),"NACIONAL")</f>
        <v>NACIONAL</v>
      </c>
      <c r="AB237" s="32" t="str">
        <f>IFERROR(__xludf.DUMMYFUNCTION("IFERROR(VLOOKUP(G237,IMPORTRANGE(""https://docs.google.com/spreadsheets/d/12RxCea4e5ggM7QGn1XE3FbLQa_-QbCNdBi90OdPjRqg"", ""'Plan de Compras'!D4:Q""), 14, 0), """")"),"DIANA")</f>
        <v>DIANA</v>
      </c>
      <c r="AC237" s="72" t="str">
        <f>IFERROR(__xludf.DUMMYFUNCTION("IFERROR(VLOOKUP(G237,IMPORTRANGE(""https://docs.google.com/spreadsheets/d/12RxCea4e5ggM7QGn1XE3FbLQa_-QbCNdBi90OdPjRqg"", ""'Plan de Compras'!D4:Q""), 4, 0), """")"),"ALICATE UNIVERSAL")</f>
        <v>ALICATE UNIVERSAL</v>
      </c>
      <c r="AD237" s="37" t="str">
        <f>IFERROR(__xludf.DUMMYFUNCTION("IFERROR(IF(OR(C237=TRUE,C237=""""),VLOOKUP(G237,IMPORTRANGE(""https://docs.google.com/spreadsheets/d/1z9A1Wq-kKrhRNG5RS2a2fKpY1wIhSVz2ZNmP2mOl588/edit?usp=sharing"",""REQ VF!E4:H""),4,0),""NO APLICA""),""GENERAR REQ"")"),"GENERAR REQ")</f>
        <v>GENERAR REQ</v>
      </c>
      <c r="AE237" s="32" t="str">
        <f>IFERROR(__xludf.DUMMYFUNCTION("IFERROR(QUERY(IMPORTRANGE(""https://docs.google.com/spreadsheets/d/1z9A1Wq-kKrhRNG5RS2a2fKpY1wIhSVz2ZNmP2mOl588/edit?usp=sharing"",""REQ VF!E4:Q""),""SELECT Col10, Col11, Col12 WHERE Col1 = '""&amp;G237&amp;""'"",0),""NO APLICA"")"),"NO APLICA")</f>
        <v>NO APLICA</v>
      </c>
      <c r="AF237" s="32"/>
      <c r="AG237" s="32"/>
      <c r="AH237" s="8" t="s">
        <v>52</v>
      </c>
      <c r="AI237" s="8"/>
    </row>
    <row r="238">
      <c r="A238" s="121">
        <v>152.0</v>
      </c>
      <c r="B238" s="43" t="b">
        <v>1</v>
      </c>
      <c r="C238" s="26" t="b">
        <v>1</v>
      </c>
      <c r="D238" s="26" t="s">
        <v>35</v>
      </c>
      <c r="E238" s="26" t="s">
        <v>1510</v>
      </c>
      <c r="F238" s="59" t="s">
        <v>2334</v>
      </c>
      <c r="G238" s="39" t="s">
        <v>2335</v>
      </c>
      <c r="H238" s="82" t="s">
        <v>2336</v>
      </c>
      <c r="I238" s="43">
        <f>SUMIFS('Hoja 10'!$O:$O,'Hoja 10'!$F:$F,$G238)</f>
        <v>5</v>
      </c>
      <c r="J238" s="26">
        <f>IFERROR(__xludf.DUMMYFUNCTION("VLOOKUP(G238,IMPORTRANGE(""https://docs.google.com/spreadsheets/d/12RxCea4e5ggM7QGn1XE3FbLQa_-QbCNdBi90OdPjRqg/edit?gid=1692403370#gid=1692403370"", ""'Plan de Compras'!D4:2432""), 8,0)"),5.0)</f>
        <v>5</v>
      </c>
      <c r="K238" s="26" t="str">
        <f t="shared" si="28"/>
        <v>SI</v>
      </c>
      <c r="L238" s="29" t="s">
        <v>585</v>
      </c>
      <c r="M238" s="30" t="s">
        <v>105</v>
      </c>
      <c r="N238" s="32"/>
      <c r="O238" s="32" t="str">
        <f>VLOOKUP($G238,'Hoja 10'!$F$4:$AA1057, 19,0)</f>
        <v>TRUPER</v>
      </c>
      <c r="P238" s="32" t="str">
        <f>VLOOKUP($G238,'Hoja 10'!$F$4:$AA1057, 20,0)</f>
        <v>ATX-12</v>
      </c>
      <c r="Q238" s="33" t="str">
        <f>VLOOKUP($G238,'Hoja 10'!$F$4:$AA1057, 21,0)</f>
        <v>https://www.truper.com/ficha_tecnica/Arco-profesional-extra-pesado-1-kg-62.html?code=10232</v>
      </c>
      <c r="R238" s="86" t="s">
        <v>2337</v>
      </c>
      <c r="S238" s="44" t="b">
        <v>1</v>
      </c>
      <c r="T238" s="39" t="s">
        <v>2338</v>
      </c>
      <c r="U238" s="39">
        <v>10232.0</v>
      </c>
      <c r="V238" s="39" t="str">
        <f>IFERROR(__xludf.DUMMYFUNCTION(" IF
( VLOOKUP($G238,IMPORTRANGE(""https://docs.google.com/spreadsheets/d/1Gpl6jkTg7sL4VDNimUm3S9Vi1i95esohXCF3wuKOE8c"", ""'CONSOLIDADO'!G5:AB""), 10, 0) &lt;&gt; 0, 
IFERROR(VLOOKUP($G238,IMPORTRANGE(""https://docs.google.com/spreadsheets/d/1Gpl6jkTg7sL4VDNimU"&amp;"m3S9Vi1i95esohXCF3wuKOE8c"", ""'CONSOLIDADO'!G5:AB""), 17, 0), ""-""),
""""
)"),"TRUPER")</f>
        <v>TRUPER</v>
      </c>
      <c r="W238" s="39" t="str">
        <f>IFERROR(__xludf.DUMMYFUNCTION(" IF
( VLOOKUP($G238,IMPORTRANGE(""https://docs.google.com/spreadsheets/d/1Gpl6jkTg7sL4VDNimUm3S9Vi1i95esohXCF3wuKOE8c"", ""'CONSOLIDADO'!G5:AB""), 10, 0) &lt;&gt; 0, 
IFERROR(VLOOKUP($G238,IMPORTRANGE(""https://docs.google.com/spreadsheets/d/1Gpl6jkTg7sL4VDNimU"&amp;"m3S9Vi1i95esohXCF3wuKOE8c"", ""'CONSOLIDADO'!G5:AB""), 18, 0), ""-""),
""""
)"),"ATX-12")</f>
        <v>ATX-12</v>
      </c>
      <c r="X238" s="39" t="b">
        <f t="shared" si="29"/>
        <v>0</v>
      </c>
      <c r="Y238" s="120" t="s">
        <v>2339</v>
      </c>
      <c r="Z238" s="37" t="str">
        <f>IFERROR(__xludf.DUMMYFUNCTION("IFERROR(VLOOKUP(G238,IMPORTRANGE(""https://docs.google.com/spreadsheets/d/12RxCea4e5ggM7QGn1XE3FbLQa_-QbCNdBi90OdPjRqg"", ""'Plan de Compras'!D4:Q""), 12, 0), ""NO ESTÁ EN REQ"")"),"Simple")</f>
        <v>Simple</v>
      </c>
      <c r="AA238" s="37" t="str">
        <f>IFERROR(__xludf.DUMMYFUNCTION("IFERROR(VLOOKUP(G238,IMPORTRANGE(""https://docs.google.com/spreadsheets/d/12RxCea4e5ggM7QGn1XE3FbLQa_-QbCNdBi90OdPjRqg"", ""'Plan de Compras'!D4:Q""), 13, 0), """")"),"NACIONAL")</f>
        <v>NACIONAL</v>
      </c>
      <c r="AB238" s="32" t="str">
        <f>IFERROR(__xludf.DUMMYFUNCTION("IFERROR(VLOOKUP(G238,IMPORTRANGE(""https://docs.google.com/spreadsheets/d/12RxCea4e5ggM7QGn1XE3FbLQa_-QbCNdBi90OdPjRqg"", ""'Plan de Compras'!D4:Q""), 14, 0), """")"),"ANGIE")</f>
        <v>ANGIE</v>
      </c>
      <c r="AC238" s="72" t="str">
        <f>IFERROR(__xludf.DUMMYFUNCTION("IFERROR(VLOOKUP(G238,IMPORTRANGE(""https://docs.google.com/spreadsheets/d/12RxCea4e5ggM7QGn1XE3FbLQa_-QbCNdBi90OdPjRqg"", ""'Plan de Compras'!D4:Q""), 4, 0), """")"),"ARCO DE SIERRA")</f>
        <v>ARCO DE SIERRA</v>
      </c>
      <c r="AD238" s="37" t="str">
        <f>IFERROR(__xludf.DUMMYFUNCTION("IFERROR(IF(OR(C238=TRUE,C238=""""),VLOOKUP(G238,IMPORTRANGE(""https://docs.google.com/spreadsheets/d/1z9A1Wq-kKrhRNG5RS2a2fKpY1wIhSVz2ZNmP2mOl588/edit?usp=sharing"",""REQ VF!E4:H""),4,0),""NO APLICA""),""GENERAR REQ"")"),"GENERAR REQ")</f>
        <v>GENERAR REQ</v>
      </c>
      <c r="AE238" s="32" t="str">
        <f>IFERROR(__xludf.DUMMYFUNCTION("IFERROR(QUERY(IMPORTRANGE(""https://docs.google.com/spreadsheets/d/1z9A1Wq-kKrhRNG5RS2a2fKpY1wIhSVz2ZNmP2mOl588/edit?usp=sharing"",""REQ VF!E4:Q""),""SELECT Col10, Col11, Col12 WHERE Col1 = '""&amp;G238&amp;""'"",0),""NO APLICA"")"),"NO APLICA")</f>
        <v>NO APLICA</v>
      </c>
      <c r="AF238" s="32"/>
      <c r="AG238" s="32"/>
      <c r="AH238" s="8" t="s">
        <v>52</v>
      </c>
      <c r="AI238" s="8"/>
    </row>
    <row r="239">
      <c r="A239" s="121">
        <v>153.0</v>
      </c>
      <c r="B239" s="43" t="b">
        <v>1</v>
      </c>
      <c r="C239" s="26" t="b">
        <v>1</v>
      </c>
      <c r="D239" s="26" t="s">
        <v>35</v>
      </c>
      <c r="E239" s="26" t="s">
        <v>1510</v>
      </c>
      <c r="F239" s="59" t="s">
        <v>2334</v>
      </c>
      <c r="G239" s="39" t="s">
        <v>2340</v>
      </c>
      <c r="H239" s="82" t="s">
        <v>2336</v>
      </c>
      <c r="I239" s="43">
        <f>SUMIFS('Hoja 10'!$O:$O,'Hoja 10'!$F:$F,$G239)</f>
        <v>10</v>
      </c>
      <c r="J239" s="26">
        <f>IFERROR(__xludf.DUMMYFUNCTION("VLOOKUP(G239,IMPORTRANGE(""https://docs.google.com/spreadsheets/d/12RxCea4e5ggM7QGn1XE3FbLQa_-QbCNdBi90OdPjRqg/edit?gid=1692403370#gid=1692403370"", ""'Plan de Compras'!D4:2432""), 8,0)"),10.0)</f>
        <v>10</v>
      </c>
      <c r="K239" s="26" t="str">
        <f t="shared" si="28"/>
        <v>SI</v>
      </c>
      <c r="L239" s="29" t="s">
        <v>91</v>
      </c>
      <c r="M239" s="30" t="s">
        <v>92</v>
      </c>
      <c r="N239" s="32"/>
      <c r="O239" s="32" t="str">
        <f>VLOOKUP($G239,'Hoja 10'!$F$4:$AA1057, 19,0)</f>
        <v>STANLEY</v>
      </c>
      <c r="P239" s="32" t="str">
        <f>VLOOKUP($G239,'Hoja 10'!$F$4:$AA1057, 20,0)</f>
        <v>15-555</v>
      </c>
      <c r="Q239" s="33" t="str">
        <f>VLOOKUP($G239,'Hoja 10'!$F$4:$AA1057, 21,0)</f>
        <v>https://pe.stanleytools.global/producto/15-555/arco-de-sierra-ajustable-pro-12-pulg-305-mm</v>
      </c>
      <c r="R239" s="86" t="s">
        <v>2341</v>
      </c>
      <c r="S239" s="44" t="b">
        <v>1</v>
      </c>
      <c r="T239" s="39" t="str">
        <f>IFERROR(__xludf.DUMMYFUNCTION(" IF
( VLOOKUP($G239,IMPORTRANGE(""https://docs.google.com/spreadsheets/d/1Gpl6jkTg7sL4VDNimUm3S9Vi1i95esohXCF3wuKOE8c"", ""'CONSOLIDADO'!G5:AB""), 10, 0) &lt;&gt; 0, 
IFERROR(VLOOKUP($G239,IMPORTRANGE(""https://docs.google.com/spreadsheets/d/1Gpl6jkTg7sL4VDNimU"&amp;"m3S9Vi1i95esohXCF3wuKOE8c"", ""'CONSOLIDADO'!G5:AB""), 17, 0), ""-""),
""""
)"),"TRUPER")</f>
        <v>TRUPER</v>
      </c>
      <c r="U239" s="39" t="str">
        <f>IFERROR(__xludf.DUMMYFUNCTION(" IF
( VLOOKUP($G239,IMPORTRANGE(""https://docs.google.com/spreadsheets/d/1Gpl6jkTg7sL4VDNimUm3S9Vi1i95esohXCF3wuKOE8c"", ""'CONSOLIDADO'!G5:AB""), 10, 0) &lt;&gt; 0, 
IFERROR(VLOOKUP($G239,IMPORTRANGE(""https://docs.google.com/spreadsheets/d/1Gpl6jkTg7sL4VDNimU"&amp;"m3S9Vi1i95esohXCF3wuKOE8c"", ""'CONSOLIDADO'!G5:AB""), 18, 0), ""-""),
""""
)"),"ATX-12")</f>
        <v>ATX-12</v>
      </c>
      <c r="V239" s="39" t="str">
        <f>IFERROR(__xludf.DUMMYFUNCTION(" IF
( VLOOKUP($G239,IMPORTRANGE(""https://docs.google.com/spreadsheets/d/1Gpl6jkTg7sL4VDNimUm3S9Vi1i95esohXCF3wuKOE8c"", ""'CONSOLIDADO'!G5:AB""), 10, 0) &lt;&gt; 0, 
IFERROR(VLOOKUP($G239,IMPORTRANGE(""https://docs.google.com/spreadsheets/d/1Gpl6jkTg7sL4VDNimU"&amp;"m3S9Vi1i95esohXCF3wuKOE8c"", ""'CONSOLIDADO'!G5:AB""), 17, 0), ""-""),
""""
)"),"TRUPER")</f>
        <v>TRUPER</v>
      </c>
      <c r="W239" s="39" t="str">
        <f>IFERROR(__xludf.DUMMYFUNCTION(" IF
( VLOOKUP($G239,IMPORTRANGE(""https://docs.google.com/spreadsheets/d/1Gpl6jkTg7sL4VDNimUm3S9Vi1i95esohXCF3wuKOE8c"", ""'CONSOLIDADO'!G5:AB""), 10, 0) &lt;&gt; 0, 
IFERROR(VLOOKUP($G239,IMPORTRANGE(""https://docs.google.com/spreadsheets/d/1Gpl6jkTg7sL4VDNimU"&amp;"m3S9Vi1i95esohXCF3wuKOE8c"", ""'CONSOLIDADO'!G5:AB""), 18, 0), ""-""),
""""
)"),"ATX-12")</f>
        <v>ATX-12</v>
      </c>
      <c r="X239" s="39" t="b">
        <f t="shared" si="29"/>
        <v>1</v>
      </c>
      <c r="Y239" s="120" t="str">
        <f>IFERROR(__xludf.DUMMYFUNCTION(" IF
( VLOOKUP($G239,IMPORTRANGE(""https://docs.google.com/spreadsheets/d/1Gpl6jkTg7sL4VDNimUm3S9Vi1i95esohXCF3wuKOE8c"", ""'CONSOLIDADO'!G5:AB""), 10, 0) &lt;&gt; 0, 
IFERROR(VLOOKUP($G239,IMPORTRANGE(""https://docs.google.com/spreadsheets/d/1Gpl6jkTg7sL4VDNimU"&amp;"m3S9Vi1i95esohXCF3wuKOE8c"", ""'CONSOLIDADO'!G5:AB""), 19, 0), ""-""),
""""
)"),"https://www.sodimac.com.pe/sodimac-pe/articulo/131653518/Arco-de-Sierra-Extra-Pesada-10232-Truper/131653519?srsltid=AfmBOooGGVB3R2UVXHJZbUeyZ_HCfLvLsJ01JMx4h2I1fzouG12uZFY9")</f>
        <v>https://www.sodimac.com.pe/sodimac-pe/articulo/131653518/Arco-de-Sierra-Extra-Pesada-10232-Truper/131653519?srsltid=AfmBOooGGVB3R2UVXHJZbUeyZ_HCfLvLsJ01JMx4h2I1fzouG12uZFY9</v>
      </c>
      <c r="Z239" s="37" t="str">
        <f>IFERROR(__xludf.DUMMYFUNCTION("IFERROR(VLOOKUP(G239,IMPORTRANGE(""https://docs.google.com/spreadsheets/d/12RxCea4e5ggM7QGn1XE3FbLQa_-QbCNdBi90OdPjRqg"", ""'Plan de Compras'!D4:Q""), 12, 0), ""NO ESTÁ EN REQ"")"),"Técnica")</f>
        <v>Técnica</v>
      </c>
      <c r="AA239" s="37" t="str">
        <f>IFERROR(__xludf.DUMMYFUNCTION("IFERROR(VLOOKUP(G239,IMPORTRANGE(""https://docs.google.com/spreadsheets/d/12RxCea4e5ggM7QGn1XE3FbLQa_-QbCNdBi90OdPjRqg"", ""'Plan de Compras'!D4:Q""), 13, 0), """")"),"NACIONAL")</f>
        <v>NACIONAL</v>
      </c>
      <c r="AB239" s="32" t="str">
        <f>IFERROR(__xludf.DUMMYFUNCTION("IFERROR(VLOOKUP(G239,IMPORTRANGE(""https://docs.google.com/spreadsheets/d/12RxCea4e5ggM7QGn1XE3FbLQa_-QbCNdBi90OdPjRqg"", ""'Plan de Compras'!D4:Q""), 14, 0), """")"),"ANGIE")</f>
        <v>ANGIE</v>
      </c>
      <c r="AC239" s="72" t="str">
        <f>IFERROR(__xludf.DUMMYFUNCTION("IFERROR(VLOOKUP(G239,IMPORTRANGE(""https://docs.google.com/spreadsheets/d/12RxCea4e5ggM7QGn1XE3FbLQa_-QbCNdBi90OdPjRqg"", ""'Plan de Compras'!D4:Q""), 4, 0), """")"),"ARCO DE SIERRA")</f>
        <v>ARCO DE SIERRA</v>
      </c>
      <c r="AD239" s="37" t="str">
        <f>IFERROR(__xludf.DUMMYFUNCTION("IFERROR(IF(OR(C239=TRUE,C239=""""),VLOOKUP(G239,IMPORTRANGE(""https://docs.google.com/spreadsheets/d/1z9A1Wq-kKrhRNG5RS2a2fKpY1wIhSVz2ZNmP2mOl588/edit?usp=sharing"",""REQ VF!E4:H""),4,0),""NO APLICA""),""GENERAR REQ"")"),"GENERAR REQ")</f>
        <v>GENERAR REQ</v>
      </c>
      <c r="AE239" s="32" t="str">
        <f>IFERROR(__xludf.DUMMYFUNCTION("IFERROR(QUERY(IMPORTRANGE(""https://docs.google.com/spreadsheets/d/1z9A1Wq-kKrhRNG5RS2a2fKpY1wIhSVz2ZNmP2mOl588/edit?usp=sharing"",""REQ VF!E4:Q""),""SELECT Col10, Col11, Col12 WHERE Col1 = '""&amp;G239&amp;""'"",0),""NO APLICA"")"),"NO APLICA")</f>
        <v>NO APLICA</v>
      </c>
      <c r="AF239" s="32"/>
      <c r="AG239" s="32"/>
      <c r="AH239" s="13"/>
      <c r="AI239" s="13"/>
    </row>
    <row r="240">
      <c r="A240" s="121">
        <v>154.0</v>
      </c>
      <c r="B240" s="43" t="b">
        <v>1</v>
      </c>
      <c r="C240" s="26" t="b">
        <v>1</v>
      </c>
      <c r="D240" s="26" t="s">
        <v>35</v>
      </c>
      <c r="E240" s="26" t="s">
        <v>1510</v>
      </c>
      <c r="F240" s="59" t="s">
        <v>2342</v>
      </c>
      <c r="G240" s="37" t="s">
        <v>2342</v>
      </c>
      <c r="H240" s="66" t="s">
        <v>2343</v>
      </c>
      <c r="I240" s="43">
        <f>SUMIFS('Hoja 10'!$O:$O,'Hoja 10'!$F:$F,$G240)</f>
        <v>3</v>
      </c>
      <c r="J240" s="26">
        <f>IFERROR(__xludf.DUMMYFUNCTION("VLOOKUP(G240,IMPORTRANGE(""https://docs.google.com/spreadsheets/d/12RxCea4e5ggM7QGn1XE3FbLQa_-QbCNdBi90OdPjRqg/edit?gid=1692403370#gid=1692403370"", ""'Plan de Compras'!D4:2432""), 8,0)"),3.0)</f>
        <v>3</v>
      </c>
      <c r="K240" s="26" t="str">
        <f t="shared" si="28"/>
        <v>SI</v>
      </c>
      <c r="L240" s="29" t="s">
        <v>91</v>
      </c>
      <c r="M240" s="30" t="s">
        <v>92</v>
      </c>
      <c r="N240" s="32"/>
      <c r="O240" s="32" t="str">
        <f>VLOOKUP($G240,'Hoja 10'!$F$4:$AA1057, 19,0)</f>
        <v>BOSCH</v>
      </c>
      <c r="P240" s="32" t="str">
        <f>VLOOKUP($G240,'Hoja 10'!$F$4:$AA1057, 20,0)</f>
        <v>SDS-Plus 3 Piezas Punta Plano y Pala</v>
      </c>
      <c r="Q240" s="33" t="str">
        <f>VLOOKUP($G240,'Hoja 10'!$F$4:$AA1057, 21,0)</f>
        <v>https://drive.google.com/file/d/1XCyX6rb6U7248SxlK8q6Y7HeWSDHD232/view</v>
      </c>
      <c r="R240" s="86" t="s">
        <v>2344</v>
      </c>
      <c r="S240" s="34" t="b">
        <v>1</v>
      </c>
      <c r="T240" s="32" t="str">
        <f>VLOOKUP($G240,'Hoja 10'!$F$4:$AA1057, 19,0)</f>
        <v>BOSCH</v>
      </c>
      <c r="U240" s="32" t="str">
        <f>VLOOKUP($G240,'Hoja 10'!$F$4:$AA1057, 20,0)</f>
        <v>SDS-Plus 3 Piezas Punta Plano y Pala</v>
      </c>
      <c r="V240" s="39" t="str">
        <f>IFERROR(__xludf.DUMMYFUNCTION(" IF
( VLOOKUP($G240,IMPORTRANGE(""https://docs.google.com/spreadsheets/d/1Gpl6jkTg7sL4VDNimUm3S9Vi1i95esohXCF3wuKOE8c"", ""'CONSOLIDADO'!G5:AB""), 10, 0) &lt;&gt; 0, 
IFERROR(VLOOKUP($G240,IMPORTRANGE(""https://docs.google.com/spreadsheets/d/1Gpl6jkTg7sL4VDNimU"&amp;"m3S9Vi1i95esohXCF3wuKOE8c"", ""'CONSOLIDADO'!G5:AB""), 17, 0), ""-""),
""""
)"),"BOSCH")</f>
        <v>BOSCH</v>
      </c>
      <c r="W240" s="39" t="str">
        <f>IFERROR(__xludf.DUMMYFUNCTION(" IF
( VLOOKUP($G240,IMPORTRANGE(""https://docs.google.com/spreadsheets/d/1Gpl6jkTg7sL4VDNimUm3S9Vi1i95esohXCF3wuKOE8c"", ""'CONSOLIDADO'!G5:AB""), 10, 0) &lt;&gt; 0, 
IFERROR(VLOOKUP($G240,IMPORTRANGE(""https://docs.google.com/spreadsheets/d/1Gpl6jkTg7sL4VDNimU"&amp;"m3S9Vi1i95esohXCF3wuKOE8c"", ""'CONSOLIDADO'!G5:AB""), 18, 0), ""-""),
""""
)"),"JUEGO DE CINCELES SDS PLUS 3 PIEZAS")</f>
        <v>JUEGO DE CINCELES SDS PLUS 3 PIEZAS</v>
      </c>
      <c r="X240" s="39" t="b">
        <f t="shared" si="29"/>
        <v>0</v>
      </c>
      <c r="Y240" s="138" t="str">
        <f>VLOOKUP($G240,'Hoja 10'!$F$4:$AA1057, 21,0)</f>
        <v>https://drive.google.com/file/d/1XCyX6rb6U7248SxlK8q6Y7HeWSDHD232/view</v>
      </c>
      <c r="Z240" s="37" t="str">
        <f>IFERROR(__xludf.DUMMYFUNCTION("IFERROR(VLOOKUP(G240,IMPORTRANGE(""https://docs.google.com/spreadsheets/d/12RxCea4e5ggM7QGn1XE3FbLQa_-QbCNdBi90OdPjRqg"", ""'Plan de Compras'!D4:Q""), 12, 0), ""NO ESTÁ EN REQ"")"),"Simple")</f>
        <v>Simple</v>
      </c>
      <c r="AA240" s="37" t="str">
        <f>IFERROR(__xludf.DUMMYFUNCTION("IFERROR(VLOOKUP(G240,IMPORTRANGE(""https://docs.google.com/spreadsheets/d/12RxCea4e5ggM7QGn1XE3FbLQa_-QbCNdBi90OdPjRqg"", ""'Plan de Compras'!D4:Q""), 13, 0), """")"),"NACIONAL")</f>
        <v>NACIONAL</v>
      </c>
      <c r="AB240" s="32" t="str">
        <f>IFERROR(__xludf.DUMMYFUNCTION("IFERROR(VLOOKUP(G240,IMPORTRANGE(""https://docs.google.com/spreadsheets/d/12RxCea4e5ggM7QGn1XE3FbLQa_-QbCNdBi90OdPjRqg"", ""'Plan de Compras'!D4:Q""), 14, 0), """")"),"GEANFRANCO")</f>
        <v>GEANFRANCO</v>
      </c>
      <c r="AC240" s="72" t="str">
        <f>IFERROR(__xludf.DUMMYFUNCTION("IFERROR(VLOOKUP(G240,IMPORTRANGE(""https://docs.google.com/spreadsheets/d/12RxCea4e5ggM7QGn1XE3FbLQa_-QbCNdBi90OdPjRqg"", ""'Plan de Compras'!D4:Q""), 4, 0), """")"),"JUEGO DE CINCEL ")</f>
        <v>JUEGO DE CINCEL </v>
      </c>
      <c r="AD240" s="37" t="str">
        <f>IFERROR(__xludf.DUMMYFUNCTION("IFERROR(IF(OR(C240=TRUE,C240=""""),VLOOKUP(G240,IMPORTRANGE(""https://docs.google.com/spreadsheets/d/1z9A1Wq-kKrhRNG5RS2a2fKpY1wIhSVz2ZNmP2mOl588/edit?usp=sharing"",""REQ VF!E4:H""),4,0),""NO APLICA""),""GENERAR REQ"")"),"GENERAR REQ")</f>
        <v>GENERAR REQ</v>
      </c>
      <c r="AE240" s="32" t="str">
        <f>IFERROR(__xludf.DUMMYFUNCTION("IFERROR(QUERY(IMPORTRANGE(""https://docs.google.com/spreadsheets/d/1z9A1Wq-kKrhRNG5RS2a2fKpY1wIhSVz2ZNmP2mOl588/edit?usp=sharing"",""REQ VF!E4:Q""),""SELECT Col10, Col11, Col12 WHERE Col1 = '""&amp;G240&amp;""'"",0),""NO APLICA"")"),"NO APLICA")</f>
        <v>NO APLICA</v>
      </c>
      <c r="AF240" s="32"/>
      <c r="AG240" s="32"/>
      <c r="AH240" s="13"/>
      <c r="AI240" s="13"/>
    </row>
    <row r="241">
      <c r="A241" s="117">
        <v>155.0</v>
      </c>
      <c r="B241" s="43" t="b">
        <v>1</v>
      </c>
      <c r="C241" s="26" t="b">
        <v>1</v>
      </c>
      <c r="D241" s="26" t="s">
        <v>35</v>
      </c>
      <c r="E241" s="26" t="s">
        <v>1510</v>
      </c>
      <c r="F241" s="59" t="s">
        <v>2345</v>
      </c>
      <c r="G241" s="37" t="s">
        <v>2345</v>
      </c>
      <c r="H241" s="82" t="s">
        <v>2346</v>
      </c>
      <c r="I241" s="43">
        <f>SUMIFS('Hoja 10'!$O:$O,'Hoja 10'!$F:$F,$G241)</f>
        <v>4</v>
      </c>
      <c r="J241" s="26">
        <f>IFERROR(__xludf.DUMMYFUNCTION("VLOOKUP(G241,IMPORTRANGE(""https://docs.google.com/spreadsheets/d/12RxCea4e5ggM7QGn1XE3FbLQa_-QbCNdBi90OdPjRqg/edit?gid=1692403370#gid=1692403370"", ""'Plan de Compras'!D4:2432""), 8,0)"),4.0)</f>
        <v>4</v>
      </c>
      <c r="K241" s="26" t="str">
        <f t="shared" si="28"/>
        <v>SI</v>
      </c>
      <c r="L241" s="29" t="s">
        <v>91</v>
      </c>
      <c r="M241" s="30" t="s">
        <v>92</v>
      </c>
      <c r="N241" s="32"/>
      <c r="O241" s="32" t="str">
        <f>VLOOKUP($G241,'Hoja 10'!$F$4:$AA1057, 19,0)</f>
        <v>CASCO</v>
      </c>
      <c r="P241" s="32" t="str">
        <f>VLOOKUP($G241,'Hoja 10'!$F$4:$AA1057, 20,0)</f>
        <v>COM0065</v>
      </c>
      <c r="Q241" s="33" t="str">
        <f>VLOOKUP($G241,'Hoja 10'!$F$4:$AA1057, 21,0)</f>
        <v>https://alaska.pe/producto/comba-de-6-libras-mango-de-madera-casco/</v>
      </c>
      <c r="R241" s="86" t="s">
        <v>2347</v>
      </c>
      <c r="S241" s="44" t="b">
        <v>1</v>
      </c>
      <c r="T241" s="39" t="str">
        <f>IFERROR(__xludf.DUMMYFUNCTION(" IF
( VLOOKUP($G241,IMPORTRANGE(""https://docs.google.com/spreadsheets/d/1Gpl6jkTg7sL4VDNimUm3S9Vi1i95esohXCF3wuKOE8c"", ""'CONSOLIDADO'!G5:AB""), 10, 0) &lt;&gt; 0, 
IFERROR(VLOOKUP($G241,IMPORTRANGE(""https://docs.google.com/spreadsheets/d/1Gpl6jkTg7sL4VDNimU"&amp;"m3S9Vi1i95esohXCF3wuKOE8c"", ""'CONSOLIDADO'!G5:AB""), 17, 0), ""-""),
""""
)"),"TRUPER")</f>
        <v>TRUPER</v>
      </c>
      <c r="U241" s="39" t="str">
        <f>IFERROR(__xludf.DUMMYFUNCTION(" IF
( VLOOKUP($G241,IMPORTRANGE(""https://docs.google.com/spreadsheets/d/1Gpl6jkTg7sL4VDNimUm3S9Vi1i95esohXCF3wuKOE8c"", ""'CONSOLIDADO'!G5:AB""), 10, 0) &lt;&gt; 0, 
IFERROR(VLOOKUP($G241,IMPORTRANGE(""https://docs.google.com/spreadsheets/d/1Gpl6jkTg7sL4VDNimU"&amp;"m3S9Vi1i95esohXCF3wuKOE8c"", ""'CONSOLIDADO'!G5:AB""), 18, 0), ""-""),
""""
)"),"MD-6M")</f>
        <v>MD-6M</v>
      </c>
      <c r="V241" s="39" t="str">
        <f>IFERROR(__xludf.DUMMYFUNCTION(" IF
( VLOOKUP($G241,IMPORTRANGE(""https://docs.google.com/spreadsheets/d/1Gpl6jkTg7sL4VDNimUm3S9Vi1i95esohXCF3wuKOE8c"", ""'CONSOLIDADO'!G5:AB""), 10, 0) &lt;&gt; 0, 
IFERROR(VLOOKUP($G241,IMPORTRANGE(""https://docs.google.com/spreadsheets/d/1Gpl6jkTg7sL4VDNimU"&amp;"m3S9Vi1i95esohXCF3wuKOE8c"", ""'CONSOLIDADO'!G5:AB""), 17, 0), ""-""),
""""
)"),"TRUPER")</f>
        <v>TRUPER</v>
      </c>
      <c r="W241" s="39" t="str">
        <f>IFERROR(__xludf.DUMMYFUNCTION(" IF
( VLOOKUP($G241,IMPORTRANGE(""https://docs.google.com/spreadsheets/d/1Gpl6jkTg7sL4VDNimUm3S9Vi1i95esohXCF3wuKOE8c"", ""'CONSOLIDADO'!G5:AB""), 10, 0) &lt;&gt; 0, 
IFERROR(VLOOKUP($G241,IMPORTRANGE(""https://docs.google.com/spreadsheets/d/1Gpl6jkTg7sL4VDNimU"&amp;"m3S9Vi1i95esohXCF3wuKOE8c"", ""'CONSOLIDADO'!G5:AB""), 18, 0), ""-""),
""""
)"),"MD-6M")</f>
        <v>MD-6M</v>
      </c>
      <c r="X241" s="39" t="b">
        <f t="shared" si="29"/>
        <v>1</v>
      </c>
      <c r="Y241" s="120" t="str">
        <f>IFERROR(__xludf.DUMMYFUNCTION(" IF
( VLOOKUP($G241,IMPORTRANGE(""https://docs.google.com/spreadsheets/d/1Gpl6jkTg7sL4VDNimUm3S9Vi1i95esohXCF3wuKOE8c"", ""'CONSOLIDADO'!G5:AB""), 10, 0) &lt;&gt; 0, 
IFERROR(VLOOKUP($G241,IMPORTRANGE(""https://docs.google.com/spreadsheets/d/1Gpl6jkTg7sL4VDNimU"&amp;"m3S9Vi1i95esohXCF3wuKOE8c"", ""'CONSOLIDADO'!G5:AB""), 19, 0), ""-""),
""""
)"),"https://www.truper.com/ficha_merca/ficha-print.php?code=16509")</f>
        <v>https://www.truper.com/ficha_merca/ficha-print.php?code=16509</v>
      </c>
      <c r="Z241" s="37" t="str">
        <f>IFERROR(__xludf.DUMMYFUNCTION("IFERROR(VLOOKUP(G241,IMPORTRANGE(""https://docs.google.com/spreadsheets/d/12RxCea4e5ggM7QGn1XE3FbLQa_-QbCNdBi90OdPjRqg"", ""'Plan de Compras'!D4:Q""), 12, 0), ""NO ESTÁ EN REQ"")"),"Técnica")</f>
        <v>Técnica</v>
      </c>
      <c r="AA241" s="37" t="str">
        <f>IFERROR(__xludf.DUMMYFUNCTION("IFERROR(VLOOKUP(G241,IMPORTRANGE(""https://docs.google.com/spreadsheets/d/12RxCea4e5ggM7QGn1XE3FbLQa_-QbCNdBi90OdPjRqg"", ""'Plan de Compras'!D4:Q""), 13, 0), """")"),"NACIONAL")</f>
        <v>NACIONAL</v>
      </c>
      <c r="AB241" s="32" t="str">
        <f>IFERROR(__xludf.DUMMYFUNCTION("IFERROR(VLOOKUP(G241,IMPORTRANGE(""https://docs.google.com/spreadsheets/d/12RxCea4e5ggM7QGn1XE3FbLQa_-QbCNdBi90OdPjRqg"", ""'Plan de Compras'!D4:Q""), 14, 0), """")"),"DIANA")</f>
        <v>DIANA</v>
      </c>
      <c r="AC241" s="72" t="str">
        <f>IFERROR(__xludf.DUMMYFUNCTION("IFERROR(VLOOKUP(G241,IMPORTRANGE(""https://docs.google.com/spreadsheets/d/12RxCea4e5ggM7QGn1XE3FbLQa_-QbCNdBi90OdPjRqg"", ""'Plan de Compras'!D4:Q""), 4, 0), """")"),"COMBA DE 5 LB")</f>
        <v>COMBA DE 5 LB</v>
      </c>
      <c r="AD241" s="37" t="str">
        <f>IFERROR(__xludf.DUMMYFUNCTION("IFERROR(IF(OR(C241=TRUE,C241=""""),VLOOKUP(G241,IMPORTRANGE(""https://docs.google.com/spreadsheets/d/1z9A1Wq-kKrhRNG5RS2a2fKpY1wIhSVz2ZNmP2mOl588/edit?usp=sharing"",""REQ VF!E4:H""),4,0),""NO APLICA""),""GENERAR REQ"")"),"GENERAR REQ")</f>
        <v>GENERAR REQ</v>
      </c>
      <c r="AE241" s="32" t="str">
        <f>IFERROR(__xludf.DUMMYFUNCTION("IFERROR(QUERY(IMPORTRANGE(""https://docs.google.com/spreadsheets/d/1z9A1Wq-kKrhRNG5RS2a2fKpY1wIhSVz2ZNmP2mOl588/edit?usp=sharing"",""REQ VF!E4:Q""),""SELECT Col10, Col11, Col12 WHERE Col1 = '""&amp;G241&amp;""'"",0),""NO APLICA"")"),"NO APLICA")</f>
        <v>NO APLICA</v>
      </c>
      <c r="AF241" s="32"/>
      <c r="AG241" s="32"/>
      <c r="AH241" s="8" t="s">
        <v>52</v>
      </c>
      <c r="AI241" s="8"/>
    </row>
    <row r="242">
      <c r="A242" s="117">
        <v>156.0</v>
      </c>
      <c r="B242" s="43" t="b">
        <v>1</v>
      </c>
      <c r="C242" s="26" t="b">
        <v>1</v>
      </c>
      <c r="D242" s="26" t="s">
        <v>35</v>
      </c>
      <c r="E242" s="26" t="s">
        <v>1510</v>
      </c>
      <c r="F242" s="59" t="s">
        <v>2348</v>
      </c>
      <c r="G242" s="37" t="s">
        <v>2348</v>
      </c>
      <c r="H242" s="82" t="s">
        <v>2349</v>
      </c>
      <c r="I242" s="43">
        <f>SUMIFS('Hoja 10'!$O:$O,'Hoja 10'!$F:$F,$G242)</f>
        <v>15</v>
      </c>
      <c r="J242" s="26">
        <f>IFERROR(__xludf.DUMMYFUNCTION("VLOOKUP(G242,IMPORTRANGE(""https://docs.google.com/spreadsheets/d/12RxCea4e5ggM7QGn1XE3FbLQa_-QbCNdBi90OdPjRqg/edit?gid=1692403370#gid=1692403370"", ""'Plan de Compras'!D4:2432""), 8,0)"),15.0)</f>
        <v>15</v>
      </c>
      <c r="K242" s="26" t="str">
        <f t="shared" si="28"/>
        <v>SI</v>
      </c>
      <c r="L242" s="29" t="s">
        <v>180</v>
      </c>
      <c r="M242" s="30" t="s">
        <v>181</v>
      </c>
      <c r="N242" s="32"/>
      <c r="O242" s="32" t="str">
        <f>VLOOKUP($G242,'Hoja 10'!$F$4:$AA1057, 19,0)</f>
        <v>EGA MASTER</v>
      </c>
      <c r="P242" s="32">
        <f>VLOOKUP($G242,'Hoja 10'!$F$4:$AA1057, 20,0)</f>
        <v>8412783730357</v>
      </c>
      <c r="Q242" s="33" t="str">
        <f>VLOOKUP($G242,'Hoja 10'!$F$4:$AA1057, 21,0)</f>
        <v>https://massbusinessperu.com/cuchilla-electricista-recta-aislada-a-1000v-170mm</v>
      </c>
      <c r="R242" s="86" t="s">
        <v>2350</v>
      </c>
      <c r="S242" s="34" t="b">
        <v>1</v>
      </c>
      <c r="T242" s="39" t="str">
        <f>IFERROR(__xludf.DUMMYFUNCTION(" IF
( VLOOKUP($G242,IMPORTRANGE(""https://docs.google.com/spreadsheets/d/1Gpl6jkTg7sL4VDNimUm3S9Vi1i95esohXCF3wuKOE8c"", ""'CONSOLIDADO'!G5:AB""), 10, 0) &lt;&gt; 0, 
IFERROR(VLOOKUP($G242,IMPORTRANGE(""https://docs.google.com/spreadsheets/d/1Gpl6jkTg7sL4VDNimU"&amp;"m3S9Vi1i95esohXCF3wuKOE8c"", ""'CONSOLIDADO'!G5:AB""), 17, 0), ""-""),
""""
)"),"ALYCO")</f>
        <v>ALYCO</v>
      </c>
      <c r="U242" s="39">
        <v>108090.0</v>
      </c>
      <c r="V242" s="39" t="str">
        <f>IFERROR(__xludf.DUMMYFUNCTION(" IF
( VLOOKUP($G242,IMPORTRANGE(""https://docs.google.com/spreadsheets/d/1Gpl6jkTg7sL4VDNimUm3S9Vi1i95esohXCF3wuKOE8c"", ""'CONSOLIDADO'!G5:AB""), 10, 0) &lt;&gt; 0, 
IFERROR(VLOOKUP($G242,IMPORTRANGE(""https://docs.google.com/spreadsheets/d/1Gpl6jkTg7sL4VDNimU"&amp;"m3S9Vi1i95esohXCF3wuKOE8c"", ""'CONSOLIDADO'!G5:AB""), 17, 0), ""-""),
""""
)"),"ALYCO")</f>
        <v>ALYCO</v>
      </c>
      <c r="W242" s="39">
        <f>IFERROR(__xludf.DUMMYFUNCTION(" IF
( VLOOKUP($G242,IMPORTRANGE(""https://docs.google.com/spreadsheets/d/1Gpl6jkTg7sL4VDNimUm3S9Vi1i95esohXCF3wuKOE8c"", ""'CONSOLIDADO'!G5:AB""), 10, 0) &lt;&gt; 0, 
IFERROR(VLOOKUP($G242,IMPORTRANGE(""https://docs.google.com/spreadsheets/d/1Gpl6jkTg7sL4VDNimU"&amp;"m3S9Vi1i95esohXCF3wuKOE8c"", ""'CONSOLIDADO'!G5:AB""), 18, 0), ""-""),
""""
)"),108090.0)</f>
        <v>108090</v>
      </c>
      <c r="X242" s="39" t="b">
        <f t="shared" si="29"/>
        <v>1</v>
      </c>
      <c r="Y242" s="120" t="s">
        <v>2351</v>
      </c>
      <c r="Z242" s="37" t="str">
        <f>IFERROR(__xludf.DUMMYFUNCTION("IFERROR(VLOOKUP(G242,IMPORTRANGE(""https://docs.google.com/spreadsheets/d/12RxCea4e5ggM7QGn1XE3FbLQa_-QbCNdBi90OdPjRqg"", ""'Plan de Compras'!D4:Q""), 12, 0), ""NO ESTÁ EN REQ"")"),"Técnica")</f>
        <v>Técnica</v>
      </c>
      <c r="AA242" s="37" t="str">
        <f>IFERROR(__xludf.DUMMYFUNCTION("IFERROR(VLOOKUP(G242,IMPORTRANGE(""https://docs.google.com/spreadsheets/d/12RxCea4e5ggM7QGn1XE3FbLQa_-QbCNdBi90OdPjRqg"", ""'Plan de Compras'!D4:Q""), 13, 0), """")"),"INTERNACIONAL")</f>
        <v>INTERNACIONAL</v>
      </c>
      <c r="AB242" s="32" t="str">
        <f>IFERROR(__xludf.DUMMYFUNCTION("IFERROR(VLOOKUP(G242,IMPORTRANGE(""https://docs.google.com/spreadsheets/d/12RxCea4e5ggM7QGn1XE3FbLQa_-QbCNdBi90OdPjRqg"", ""'Plan de Compras'!D4:Q""), 14, 0), """")"),"DIEGO ")</f>
        <v>DIEGO </v>
      </c>
      <c r="AC242" s="72" t="str">
        <f>IFERROR(__xludf.DUMMYFUNCTION("IFERROR(VLOOKUP(G242,IMPORTRANGE(""https://docs.google.com/spreadsheets/d/12RxCea4e5ggM7QGn1XE3FbLQa_-QbCNdBi90OdPjRqg"", ""'Plan de Compras'!D4:Q""), 4, 0), """")"),"CUCHILLA DE ELECTRICISTA")</f>
        <v>CUCHILLA DE ELECTRICISTA</v>
      </c>
      <c r="AD242" s="37" t="str">
        <f>IFERROR(__xludf.DUMMYFUNCTION("IFERROR(IF(OR(C242=TRUE,C242=""""),VLOOKUP(G242,IMPORTRANGE(""https://docs.google.com/spreadsheets/d/1z9A1Wq-kKrhRNG5RS2a2fKpY1wIhSVz2ZNmP2mOl588/edit?usp=sharing"",""REQ VF!E4:H""),4,0),""NO APLICA""),""GENERAR REQ"")"),"GENERAR REQ")</f>
        <v>GENERAR REQ</v>
      </c>
      <c r="AE242" s="32" t="str">
        <f>IFERROR(__xludf.DUMMYFUNCTION("IFERROR(QUERY(IMPORTRANGE(""https://docs.google.com/spreadsheets/d/1z9A1Wq-kKrhRNG5RS2a2fKpY1wIhSVz2ZNmP2mOl588/edit?usp=sharing"",""REQ VF!E4:Q""),""SELECT Col10, Col11, Col12 WHERE Col1 = '""&amp;G242&amp;""'"",0),""NO APLICA"")"),"NO APLICA")</f>
        <v>NO APLICA</v>
      </c>
      <c r="AF242" s="32"/>
      <c r="AG242" s="32"/>
      <c r="AH242" s="13"/>
      <c r="AI242" s="13"/>
    </row>
    <row r="243">
      <c r="A243" s="121">
        <v>157.0</v>
      </c>
      <c r="B243" s="43" t="b">
        <v>1</v>
      </c>
      <c r="C243" s="26" t="b">
        <v>1</v>
      </c>
      <c r="D243" s="26" t="s">
        <v>35</v>
      </c>
      <c r="E243" s="26" t="s">
        <v>1510</v>
      </c>
      <c r="F243" s="59" t="s">
        <v>2352</v>
      </c>
      <c r="G243" s="37" t="s">
        <v>2352</v>
      </c>
      <c r="H243" s="82" t="s">
        <v>2353</v>
      </c>
      <c r="I243" s="43">
        <f>SUMIFS('Hoja 10'!$O:$O,'Hoja 10'!$F:$F,$G243)</f>
        <v>2</v>
      </c>
      <c r="J243" s="26">
        <f>IFERROR(__xludf.DUMMYFUNCTION("VLOOKUP(G243,IMPORTRANGE(""https://docs.google.com/spreadsheets/d/12RxCea4e5ggM7QGn1XE3FbLQa_-QbCNdBi90OdPjRqg/edit?gid=1692403370#gid=1692403370"", ""'Plan de Compras'!D4:2432""), 8,0)"),2.0)</f>
        <v>2</v>
      </c>
      <c r="K243" s="26" t="str">
        <f t="shared" si="28"/>
        <v>SI</v>
      </c>
      <c r="L243" s="29" t="s">
        <v>185</v>
      </c>
      <c r="M243" s="30" t="s">
        <v>186</v>
      </c>
      <c r="N243" s="32"/>
      <c r="O243" s="32" t="str">
        <f>VLOOKUP($G243,'Hoja 10'!$F$4:$AA1057, 19,0)</f>
        <v>Bahco</v>
      </c>
      <c r="P243" s="32" t="str">
        <f>VLOOKUP($G243,'Hoja 10'!$F$4:$AA1057, 20,0)</f>
        <v>620-6</v>
      </c>
      <c r="Q243" s="33" t="str">
        <f>VLOOKUP($G243,'Hoja 10'!$F$4:$AA1057, 21,0)</f>
        <v>https://cahema.pe/juego-de-desarmador/16797-juego-de-desarmadores-aislados-6-piezas-bahco-620-6-7314150128594.html</v>
      </c>
      <c r="R243" s="86" t="s">
        <v>2354</v>
      </c>
      <c r="S243" s="44" t="b">
        <v>1</v>
      </c>
      <c r="T243" s="32" t="str">
        <f>VLOOKUP($G243,'Hoja 10'!$F$4:$AA1057, 19,0)</f>
        <v>Bahco</v>
      </c>
      <c r="U243" s="32" t="str">
        <f>VLOOKUP($G243,'Hoja 10'!$F$4:$AA1057, 20,0)</f>
        <v>620-6</v>
      </c>
      <c r="V243" s="39" t="str">
        <f>IFERROR(__xludf.DUMMYFUNCTION(" IF
( VLOOKUP($G243,IMPORTRANGE(""https://docs.google.com/spreadsheets/d/1Gpl6jkTg7sL4VDNimUm3S9Vi1i95esohXCF3wuKOE8c"", ""'CONSOLIDADO'!G5:AB""), 10, 0) &lt;&gt; 0, 
IFERROR(VLOOKUP($G243,IMPORTRANGE(""https://docs.google.com/spreadsheets/d/1Gpl6jkTg7sL4VDNimU"&amp;"m3S9Vi1i95esohXCF3wuKOE8c"", ""'CONSOLIDADO'!G5:AB""), 17, 0), ""-""),
""""
)"),"BAHCO")</f>
        <v>BAHCO</v>
      </c>
      <c r="W243" s="39" t="str">
        <f>IFERROR(__xludf.DUMMYFUNCTION(" IF
( VLOOKUP($G243,IMPORTRANGE(""https://docs.google.com/spreadsheets/d/1Gpl6jkTg7sL4VDNimUm3S9Vi1i95esohXCF3wuKOE8c"", ""'CONSOLIDADO'!G5:AB""), 10, 0) &lt;&gt; 0, 
IFERROR(VLOOKUP($G243,IMPORTRANGE(""https://docs.google.com/spreadsheets/d/1Gpl6jkTg7sL4VDNimU"&amp;"m3S9Vi1i95esohXCF3wuKOE8c"", ""'CONSOLIDADO'!G5:AB""), 18, 0), ""-""),
""""
)"),"620-6")</f>
        <v>620-6</v>
      </c>
      <c r="X243" s="39" t="b">
        <f t="shared" si="29"/>
        <v>1</v>
      </c>
      <c r="Y243" s="138" t="str">
        <f>VLOOKUP($G243,'Hoja 10'!$F$4:$AA1057, 21,0)</f>
        <v>https://cahema.pe/juego-de-desarmador/16797-juego-de-desarmadores-aislados-6-piezas-bahco-620-6-7314150128594.html</v>
      </c>
      <c r="Z243" s="37" t="str">
        <f>IFERROR(__xludf.DUMMYFUNCTION("IFERROR(VLOOKUP(G243,IMPORTRANGE(""https://docs.google.com/spreadsheets/d/12RxCea4e5ggM7QGn1XE3FbLQa_-QbCNdBi90OdPjRqg"", ""'Plan de Compras'!D4:Q""), 12, 0), ""NO ESTÁ EN REQ"")"),"Simple")</f>
        <v>Simple</v>
      </c>
      <c r="AA243" s="37" t="str">
        <f>IFERROR(__xludf.DUMMYFUNCTION("IFERROR(VLOOKUP(G243,IMPORTRANGE(""https://docs.google.com/spreadsheets/d/12RxCea4e5ggM7QGn1XE3FbLQa_-QbCNdBi90OdPjRqg"", ""'Plan de Compras'!D4:Q""), 13, 0), """")"),"NACIONAL")</f>
        <v>NACIONAL</v>
      </c>
      <c r="AB243" s="32" t="str">
        <f>IFERROR(__xludf.DUMMYFUNCTION("IFERROR(VLOOKUP(G243,IMPORTRANGE(""https://docs.google.com/spreadsheets/d/12RxCea4e5ggM7QGn1XE3FbLQa_-QbCNdBi90OdPjRqg"", ""'Plan de Compras'!D4:Q""), 14, 0), """")"),"DIANA")</f>
        <v>DIANA</v>
      </c>
      <c r="AC243" s="72" t="str">
        <f>IFERROR(__xludf.DUMMYFUNCTION("IFERROR(VLOOKUP(G243,IMPORTRANGE(""https://docs.google.com/spreadsheets/d/12RxCea4e5ggM7QGn1XE3FbLQa_-QbCNdBi90OdPjRqg"", ""'Plan de Compras'!D4:Q""), 4, 0), """")"),"JUEGO DE DESTORNILLADORES")</f>
        <v>JUEGO DE DESTORNILLADORES</v>
      </c>
      <c r="AD243" s="37" t="str">
        <f>IFERROR(__xludf.DUMMYFUNCTION("IFERROR(IF(OR(C243=TRUE,C243=""""),VLOOKUP(G243,IMPORTRANGE(""https://docs.google.com/spreadsheets/d/1z9A1Wq-kKrhRNG5RS2a2fKpY1wIhSVz2ZNmP2mOl588/edit?usp=sharing"",""REQ VF!E4:H""),4,0),""NO APLICA""),""GENERAR REQ"")"),"GENERAR REQ")</f>
        <v>GENERAR REQ</v>
      </c>
      <c r="AE243" s="32" t="str">
        <f>IFERROR(__xludf.DUMMYFUNCTION("IFERROR(QUERY(IMPORTRANGE(""https://docs.google.com/spreadsheets/d/1z9A1Wq-kKrhRNG5RS2a2fKpY1wIhSVz2ZNmP2mOl588/edit?usp=sharing"",""REQ VF!E4:Q""),""SELECT Col10, Col11, Col12 WHERE Col1 = '""&amp;G243&amp;""'"",0),""NO APLICA"")"),"NO APLICA")</f>
        <v>NO APLICA</v>
      </c>
      <c r="AF243" s="32"/>
      <c r="AG243" s="32"/>
      <c r="AH243" s="13"/>
      <c r="AI243" s="13"/>
    </row>
    <row r="244">
      <c r="A244" s="43"/>
      <c r="B244" s="43" t="b">
        <v>0</v>
      </c>
      <c r="C244" s="26" t="b">
        <v>1</v>
      </c>
      <c r="D244" s="26" t="s">
        <v>42</v>
      </c>
      <c r="E244" s="26" t="s">
        <v>1510</v>
      </c>
      <c r="F244" s="59" t="s">
        <v>2352</v>
      </c>
      <c r="G244" s="63" t="s">
        <v>2355</v>
      </c>
      <c r="H244" s="132" t="s">
        <v>2356</v>
      </c>
      <c r="I244" s="43">
        <v>2.0</v>
      </c>
      <c r="J244" s="26">
        <f>IFERROR(__xludf.DUMMYFUNCTION("VLOOKUP(G244,IMPORTRANGE(""https://docs.google.com/spreadsheets/d/12RxCea4e5ggM7QGn1XE3FbLQa_-QbCNdBi90OdPjRqg/edit?gid=1692403370#gid=1692403370"", ""'Plan de Compras'!D4:2432""), 8,0)"),2.0)</f>
        <v>2</v>
      </c>
      <c r="K244" s="26" t="str">
        <f t="shared" si="28"/>
        <v>SI</v>
      </c>
      <c r="L244" s="29"/>
      <c r="M244" s="61"/>
      <c r="N244" s="32"/>
      <c r="O244" s="32"/>
      <c r="P244" s="32"/>
      <c r="Q244" s="41"/>
      <c r="R244" s="32"/>
      <c r="S244" s="34" t="b">
        <v>1</v>
      </c>
      <c r="T244" s="32" t="s">
        <v>2357</v>
      </c>
      <c r="U244" s="61" t="s">
        <v>2358</v>
      </c>
      <c r="V244" s="32"/>
      <c r="W244" s="32"/>
      <c r="X244" s="32"/>
      <c r="Y244" s="130" t="s">
        <v>2359</v>
      </c>
      <c r="Z244" s="37" t="str">
        <f>IFERROR(__xludf.DUMMYFUNCTION("IFERROR(VLOOKUP(G244,IMPORTRANGE(""https://docs.google.com/spreadsheets/d/12RxCea4e5ggM7QGn1XE3FbLQa_-QbCNdBi90OdPjRqg"", ""'Plan de Compras'!D4:Q""), 12, 0), ""NO ESTÁ EN REQ"")"),"Técnica")</f>
        <v>Técnica</v>
      </c>
      <c r="AA244" s="37" t="str">
        <f>IFERROR(__xludf.DUMMYFUNCTION("IFERROR(VLOOKUP(G244,IMPORTRANGE(""https://docs.google.com/spreadsheets/d/12RxCea4e5ggM7QGn1XE3FbLQa_-QbCNdBi90OdPjRqg"", ""'Plan de Compras'!D4:Q""), 13, 0), """")"),"NACIONAL")</f>
        <v>NACIONAL</v>
      </c>
      <c r="AB244" s="32" t="str">
        <f>IFERROR(__xludf.DUMMYFUNCTION("IFERROR(VLOOKUP(G244,IMPORTRANGE(""https://docs.google.com/spreadsheets/d/12RxCea4e5ggM7QGn1XE3FbLQa_-QbCNdBi90OdPjRqg"", ""'Plan de Compras'!D4:Q""), 14, 0), """")"),"DIANA")</f>
        <v>DIANA</v>
      </c>
      <c r="AC244" s="72" t="str">
        <f>IFERROR(__xludf.DUMMYFUNCTION("IFERROR(VLOOKUP(G244,IMPORTRANGE(""https://docs.google.com/spreadsheets/d/12RxCea4e5ggM7QGn1XE3FbLQa_-QbCNdBi90OdPjRqg"", ""'Plan de Compras'!D4:Q""), 4, 0), """")"),"DESTORNILLADOR 3x75")</f>
        <v>DESTORNILLADOR 3x75</v>
      </c>
      <c r="AD244" s="37" t="str">
        <f>IFERROR(__xludf.DUMMYFUNCTION("IFERROR(IF(OR(C244=TRUE,C244=""""),VLOOKUP(G244,IMPORTRANGE(""https://docs.google.com/spreadsheets/d/1z9A1Wq-kKrhRNG5RS2a2fKpY1wIhSVz2ZNmP2mOl588/edit?usp=sharing"",""REQ VF!E4:H""),4,0),""NO APLICA""),""GENERAR REQ"")"),"GENERAR REQ")</f>
        <v>GENERAR REQ</v>
      </c>
      <c r="AE244" s="32" t="str">
        <f>IFERROR(__xludf.DUMMYFUNCTION("IFERROR(QUERY(IMPORTRANGE(""https://docs.google.com/spreadsheets/d/1z9A1Wq-kKrhRNG5RS2a2fKpY1wIhSVz2ZNmP2mOl588/edit?usp=sharing"",""REQ VF!E4:Q""),""SELECT Col10, Col11, Col12 WHERE Col1 = '""&amp;G244&amp;""'"",0),""NO APLICA"")"),"NO APLICA")</f>
        <v>NO APLICA</v>
      </c>
      <c r="AF244" s="32"/>
      <c r="AG244" s="32"/>
      <c r="AH244" s="13"/>
      <c r="AI244" s="13"/>
    </row>
    <row r="245">
      <c r="A245" s="121">
        <v>158.0</v>
      </c>
      <c r="B245" s="43" t="b">
        <v>1</v>
      </c>
      <c r="C245" s="26" t="b">
        <v>1</v>
      </c>
      <c r="D245" s="26" t="s">
        <v>35</v>
      </c>
      <c r="E245" s="26" t="s">
        <v>1510</v>
      </c>
      <c r="F245" s="59" t="s">
        <v>2360</v>
      </c>
      <c r="G245" s="37" t="s">
        <v>2360</v>
      </c>
      <c r="H245" s="82" t="s">
        <v>2361</v>
      </c>
      <c r="I245" s="43">
        <f>SUMIFS('Hoja 10'!$O:$O,'Hoja 10'!$F:$F,$G245)</f>
        <v>3</v>
      </c>
      <c r="J245" s="26">
        <f>IFERROR(__xludf.DUMMYFUNCTION("VLOOKUP(G245,IMPORTRANGE(""https://docs.google.com/spreadsheets/d/12RxCea4e5ggM7QGn1XE3FbLQa_-QbCNdBi90OdPjRqg/edit?gid=1692403370#gid=1692403370"", ""'Plan de Compras'!D4:2432""), 8,0)"),3.0)</f>
        <v>3</v>
      </c>
      <c r="K245" s="26" t="str">
        <f t="shared" si="28"/>
        <v>SI</v>
      </c>
      <c r="L245" s="29" t="s">
        <v>127</v>
      </c>
      <c r="M245" s="30" t="s">
        <v>105</v>
      </c>
      <c r="N245" s="32"/>
      <c r="O245" s="32" t="str">
        <f>VLOOKUP($G245,'Hoja 10'!$F$4:$AA1057, 19,0)</f>
        <v>GENÉRICO</v>
      </c>
      <c r="P245" s="32" t="str">
        <f>VLOOKUP($G245,'Hoja 10'!$F$4:$AA1057, 20,0)</f>
        <v>9-Hole Universal CV Joint Puller Tool</v>
      </c>
      <c r="Q245" s="33" t="str">
        <f>VLOOKUP($G245,'Hoja 10'!$F$4:$AA1057, 21,0)</f>
        <v>https://drive.google.com/file/d/1-VmHYBa8oXg1_HPTwi2nPAMoE6qassiV/view</v>
      </c>
      <c r="R245" s="86" t="s">
        <v>2362</v>
      </c>
      <c r="S245" s="44" t="b">
        <v>1</v>
      </c>
      <c r="T245" s="39" t="str">
        <f>IFERROR(__xludf.DUMMYFUNCTION(" IF
( VLOOKUP($G245,IMPORTRANGE(""https://docs.google.com/spreadsheets/d/1Gpl6jkTg7sL4VDNimUm3S9Vi1i95esohXCF3wuKOE8c"", ""'CONSOLIDADO'!G5:AB""), 10, 0) &lt;&gt; 0, 
IFERROR(VLOOKUP($G245,IMPORTRANGE(""https://docs.google.com/spreadsheets/d/1Gpl6jkTg7sL4VDNimU"&amp;"m3S9Vi1i95esohXCF3wuKOE8c"", ""'CONSOLIDADO'!G5:AB""), 17, 0), ""-""),
""""
)"),"ToolTech")</f>
        <v>ToolTech</v>
      </c>
      <c r="U245" s="39" t="str">
        <f>IFERROR(__xludf.DUMMYFUNCTION(" IF
( VLOOKUP($G245,IMPORTRANGE(""https://docs.google.com/spreadsheets/d/1Gpl6jkTg7sL4VDNimUm3S9Vi1i95esohXCF3wuKOE8c"", ""'CONSOLIDADO'!G5:AB""), 10, 0) &lt;&gt; 0, 
IFERROR(VLOOKUP($G245,IMPORTRANGE(""https://docs.google.com/spreadsheets/d/1Gpl6jkTg7sL4VDNimU"&amp;"m3S9Vi1i95esohXCF3wuKOE8c"", ""'CONSOLIDADO'!G5:AB""), 18, 0), ""-""),
""""
)"),"Extractor Universal de Palier Automotriz")</f>
        <v>Extractor Universal de Palier Automotriz</v>
      </c>
      <c r="V245" s="39" t="str">
        <f>IFERROR(__xludf.DUMMYFUNCTION(" IF
( VLOOKUP($G245,IMPORTRANGE(""https://docs.google.com/spreadsheets/d/1Gpl6jkTg7sL4VDNimUm3S9Vi1i95esohXCF3wuKOE8c"", ""'CONSOLIDADO'!G5:AB""), 10, 0) &lt;&gt; 0, 
IFERROR(VLOOKUP($G245,IMPORTRANGE(""https://docs.google.com/spreadsheets/d/1Gpl6jkTg7sL4VDNimU"&amp;"m3S9Vi1i95esohXCF3wuKOE8c"", ""'CONSOLIDADO'!G5:AB""), 17, 0), ""-""),
""""
)"),"ToolTech")</f>
        <v>ToolTech</v>
      </c>
      <c r="W245" s="39" t="str">
        <f>IFERROR(__xludf.DUMMYFUNCTION(" IF
( VLOOKUP($G245,IMPORTRANGE(""https://docs.google.com/spreadsheets/d/1Gpl6jkTg7sL4VDNimUm3S9Vi1i95esohXCF3wuKOE8c"", ""'CONSOLIDADO'!G5:AB""), 10, 0) &lt;&gt; 0, 
IFERROR(VLOOKUP($G245,IMPORTRANGE(""https://docs.google.com/spreadsheets/d/1Gpl6jkTg7sL4VDNimU"&amp;"m3S9Vi1i95esohXCF3wuKOE8c"", ""'CONSOLIDADO'!G5:AB""), 18, 0), ""-""),
""""
)"),"Extractor Universal de Palier Automotriz")</f>
        <v>Extractor Universal de Palier Automotriz</v>
      </c>
      <c r="X245" s="39" t="b">
        <f t="shared" ref="X245:X249" si="30">IF(AND(T245=V245,W245=U245),TRUE,FALSE)</f>
        <v>1</v>
      </c>
      <c r="Y245" s="120" t="str">
        <f>IFERROR(__xludf.DUMMYFUNCTION(" IF
( VLOOKUP($G245,IMPORTRANGE(""https://docs.google.com/spreadsheets/d/1Gpl6jkTg7sL4VDNimUm3S9Vi1i95esohXCF3wuKOE8c"", ""'CONSOLIDADO'!G5:AB""), 10, 0) &lt;&gt; 0, 
IFERROR(VLOOKUP($G245,IMPORTRANGE(""https://docs.google.com/spreadsheets/d/1Gpl6jkTg7sL4VDNimU"&amp;"m3S9Vi1i95esohXCF3wuKOE8c"", ""'CONSOLIDADO'!G5:AB""), 19, 0), ""-""),
""""
)"),"https://limacarstore.pe/producto/extractor-de-palier-automotriz/?srsltid=AfmBOorOuhWo3EgY3-Qi_8ttpY5m_zPKIbiRspcDFv2OOWc_IK_VmEPi")</f>
        <v>https://limacarstore.pe/producto/extractor-de-palier-automotriz/?srsltid=AfmBOorOuhWo3EgY3-Qi_8ttpY5m_zPKIbiRspcDFv2OOWc_IK_VmEPi</v>
      </c>
      <c r="Z245" s="37" t="str">
        <f>IFERROR(__xludf.DUMMYFUNCTION("IFERROR(VLOOKUP(G245,IMPORTRANGE(""https://docs.google.com/spreadsheets/d/12RxCea4e5ggM7QGn1XE3FbLQa_-QbCNdBi90OdPjRqg"", ""'Plan de Compras'!D4:Q""), 12, 0), ""NO ESTÁ EN REQ"")"),"Técnica")</f>
        <v>Técnica</v>
      </c>
      <c r="AA245" s="37" t="str">
        <f>IFERROR(__xludf.DUMMYFUNCTION("IFERROR(VLOOKUP(G245,IMPORTRANGE(""https://docs.google.com/spreadsheets/d/12RxCea4e5ggM7QGn1XE3FbLQa_-QbCNdBi90OdPjRqg"", ""'Plan de Compras'!D4:Q""), 13, 0), """")"),"NACIONAL")</f>
        <v>NACIONAL</v>
      </c>
      <c r="AB245" s="32" t="str">
        <f>IFERROR(__xludf.DUMMYFUNCTION("IFERROR(VLOOKUP(G245,IMPORTRANGE(""https://docs.google.com/spreadsheets/d/12RxCea4e5ggM7QGn1XE3FbLQa_-QbCNdBi90OdPjRqg"", ""'Plan de Compras'!D4:Q""), 14, 0), """")"),"GEANFRANCO")</f>
        <v>GEANFRANCO</v>
      </c>
      <c r="AC245" s="72" t="str">
        <f>IFERROR(__xludf.DUMMYFUNCTION("IFERROR(VLOOKUP(G245,IMPORTRANGE(""https://docs.google.com/spreadsheets/d/12RxCea4e5ggM7QGn1XE3FbLQa_-QbCNdBi90OdPjRqg"", ""'Plan de Compras'!D4:Q""), 4, 0), """")"),"EXTRACTOR DE PALIER")</f>
        <v>EXTRACTOR DE PALIER</v>
      </c>
      <c r="AD245" s="37" t="str">
        <f>IFERROR(__xludf.DUMMYFUNCTION("IFERROR(IF(OR(C245=TRUE,C245=""""),VLOOKUP(G245,IMPORTRANGE(""https://docs.google.com/spreadsheets/d/1z9A1Wq-kKrhRNG5RS2a2fKpY1wIhSVz2ZNmP2mOl588/edit?usp=sharing"",""REQ VF!E4:H""),4,0),""NO APLICA""),""GENERAR REQ"")"),"GENERAR REQ")</f>
        <v>GENERAR REQ</v>
      </c>
      <c r="AE245" s="32" t="str">
        <f>IFERROR(__xludf.DUMMYFUNCTION("IFERROR(QUERY(IMPORTRANGE(""https://docs.google.com/spreadsheets/d/1z9A1Wq-kKrhRNG5RS2a2fKpY1wIhSVz2ZNmP2mOl588/edit?usp=sharing"",""REQ VF!E4:Q""),""SELECT Col10, Col11, Col12 WHERE Col1 = '""&amp;G245&amp;""'"",0),""NO APLICA"")"),"NO APLICA")</f>
        <v>NO APLICA</v>
      </c>
      <c r="AF245" s="32"/>
      <c r="AG245" s="32"/>
      <c r="AH245" s="8" t="s">
        <v>52</v>
      </c>
      <c r="AI245" s="13"/>
    </row>
    <row r="246">
      <c r="A246" s="121">
        <v>159.0</v>
      </c>
      <c r="B246" s="43" t="b">
        <v>1</v>
      </c>
      <c r="C246" s="26" t="b">
        <v>1</v>
      </c>
      <c r="D246" s="26" t="s">
        <v>35</v>
      </c>
      <c r="E246" s="26" t="s">
        <v>1510</v>
      </c>
      <c r="F246" s="59" t="s">
        <v>2363</v>
      </c>
      <c r="G246" s="37" t="s">
        <v>2363</v>
      </c>
      <c r="H246" s="82" t="s">
        <v>2364</v>
      </c>
      <c r="I246" s="43">
        <f>SUMIFS('Hoja 10'!$O:$O,'Hoja 10'!$F:$F,$G246)</f>
        <v>3</v>
      </c>
      <c r="J246" s="26">
        <f>IFERROR(__xludf.DUMMYFUNCTION("VLOOKUP(G246,IMPORTRANGE(""https://docs.google.com/spreadsheets/d/12RxCea4e5ggM7QGn1XE3FbLQa_-QbCNdBi90OdPjRqg/edit?gid=1692403370#gid=1692403370"", ""'Plan de Compras'!D4:2432""), 8,0)"),3.0)</f>
        <v>3</v>
      </c>
      <c r="K246" s="26" t="str">
        <f t="shared" si="28"/>
        <v>SI</v>
      </c>
      <c r="L246" s="29" t="s">
        <v>127</v>
      </c>
      <c r="M246" s="30" t="s">
        <v>105</v>
      </c>
      <c r="N246" s="32"/>
      <c r="O246" s="32" t="str">
        <f>VLOOKUP($G246,'Hoja 10'!$F$4:$AA1057, 19,0)</f>
        <v>GENÉRICO</v>
      </c>
      <c r="P246" s="32" t="str">
        <f>VLOOKUP($G246,'Hoja 10'!$F$4:$AA1057, 20,0)</f>
        <v>GENÉRICO</v>
      </c>
      <c r="Q246" s="33" t="str">
        <f>VLOOKUP($G246,'Hoja 10'!$F$4:$AA1057, 21,0)</f>
        <v>https://drive.google.com/file/d/1kEVjUPkgISv6c_6rQUm69GaaqHR9HfNM/view</v>
      </c>
      <c r="R246" s="86" t="s">
        <v>2365</v>
      </c>
      <c r="S246" s="44" t="b">
        <v>1</v>
      </c>
      <c r="T246" s="39" t="str">
        <f>IFERROR(__xludf.DUMMYFUNCTION(" IF
( VLOOKUP($G246,IMPORTRANGE(""https://docs.google.com/spreadsheets/d/1Gpl6jkTg7sL4VDNimUm3S9Vi1i95esohXCF3wuKOE8c"", ""'CONSOLIDADO'!G5:AB""), 10, 0) &lt;&gt; 0, 
IFERROR(VLOOKUP($G246,IMPORTRANGE(""https://docs.google.com/spreadsheets/d/1Gpl6jkTg7sL4VDNimU"&amp;"m3S9Vi1i95esohXCF3wuKOE8c"", ""'CONSOLIDADO'!G5:AB""), 17, 0), ""-""),
""""
)"),"ToolTech")</f>
        <v>ToolTech</v>
      </c>
      <c r="U246" s="39" t="str">
        <f>IFERROR(__xludf.DUMMYFUNCTION(" IF
( VLOOKUP($G246,IMPORTRANGE(""https://docs.google.com/spreadsheets/d/1Gpl6jkTg7sL4VDNimUm3S9Vi1i95esohXCF3wuKOE8c"", ""'CONSOLIDADO'!G5:AB""), 10, 0) &lt;&gt; 0, 
IFERROR(VLOOKUP($G246,IMPORTRANGE(""https://docs.google.com/spreadsheets/d/1Gpl6jkTg7sL4VDNimU"&amp;"m3S9Vi1i95esohXCF3wuKOE8c"", ""'CONSOLIDADO'!G5:AB""), 18, 0), ""-""),
""""
)"),"Compresor universal de resorte amortiguador tipo uña")</f>
        <v>Compresor universal de resorte amortiguador tipo uña</v>
      </c>
      <c r="V246" s="39" t="str">
        <f>IFERROR(__xludf.DUMMYFUNCTION(" IF
( VLOOKUP($G246,IMPORTRANGE(""https://docs.google.com/spreadsheets/d/1Gpl6jkTg7sL4VDNimUm3S9Vi1i95esohXCF3wuKOE8c"", ""'CONSOLIDADO'!G5:AB""), 10, 0) &lt;&gt; 0, 
IFERROR(VLOOKUP($G246,IMPORTRANGE(""https://docs.google.com/spreadsheets/d/1Gpl6jkTg7sL4VDNimU"&amp;"m3S9Vi1i95esohXCF3wuKOE8c"", ""'CONSOLIDADO'!G5:AB""), 17, 0), ""-""),
""""
)"),"ToolTech")</f>
        <v>ToolTech</v>
      </c>
      <c r="W246" s="39" t="str">
        <f>IFERROR(__xludf.DUMMYFUNCTION(" IF
( VLOOKUP($G246,IMPORTRANGE(""https://docs.google.com/spreadsheets/d/1Gpl6jkTg7sL4VDNimUm3S9Vi1i95esohXCF3wuKOE8c"", ""'CONSOLIDADO'!G5:AB""), 10, 0) &lt;&gt; 0, 
IFERROR(VLOOKUP($G246,IMPORTRANGE(""https://docs.google.com/spreadsheets/d/1Gpl6jkTg7sL4VDNimU"&amp;"m3S9Vi1i95esohXCF3wuKOE8c"", ""'CONSOLIDADO'!G5:AB""), 18, 0), ""-""),
""""
)"),"Compresor universal de resorte amortiguador tipo uña")</f>
        <v>Compresor universal de resorte amortiguador tipo uña</v>
      </c>
      <c r="X246" s="39" t="b">
        <f t="shared" si="30"/>
        <v>1</v>
      </c>
      <c r="Y246" s="120" t="str">
        <f>IFERROR(__xludf.DUMMYFUNCTION(" IF
( VLOOKUP($G246,IMPORTRANGE(""https://docs.google.com/spreadsheets/d/1Gpl6jkTg7sL4VDNimUm3S9Vi1i95esohXCF3wuKOE8c"", ""'CONSOLIDADO'!G5:AB""), 10, 0) &lt;&gt; 0, 
IFERROR(VLOOKUP($G246,IMPORTRANGE(""https://docs.google.com/spreadsheets/d/1Gpl6jkTg7sL4VDNimU"&amp;"m3S9Vi1i95esohXCF3wuKOE8c"", ""'CONSOLIDADO'!G5:AB""), 19, 0), ""-""),
""""
)"),"https://limacarstore.pe/producto/compresor-universal-de-resorte-amortiguador-tipo-una/")</f>
        <v>https://limacarstore.pe/producto/compresor-universal-de-resorte-amortiguador-tipo-una/</v>
      </c>
      <c r="Z246" s="37" t="str">
        <f>IFERROR(__xludf.DUMMYFUNCTION("IFERROR(VLOOKUP(G246,IMPORTRANGE(""https://docs.google.com/spreadsheets/d/12RxCea4e5ggM7QGn1XE3FbLQa_-QbCNdBi90OdPjRqg"", ""'Plan de Compras'!D4:Q""), 12, 0), ""NO ESTÁ EN REQ"")"),"Técnica")</f>
        <v>Técnica</v>
      </c>
      <c r="AA246" s="37" t="str">
        <f>IFERROR(__xludf.DUMMYFUNCTION("IFERROR(VLOOKUP(G246,IMPORTRANGE(""https://docs.google.com/spreadsheets/d/12RxCea4e5ggM7QGn1XE3FbLQa_-QbCNdBi90OdPjRqg"", ""'Plan de Compras'!D4:Q""), 13, 0), """")"),"NACIONAL")</f>
        <v>NACIONAL</v>
      </c>
      <c r="AB246" s="32" t="str">
        <f>IFERROR(__xludf.DUMMYFUNCTION("IFERROR(VLOOKUP(G246,IMPORTRANGE(""https://docs.google.com/spreadsheets/d/12RxCea4e5ggM7QGn1XE3FbLQa_-QbCNdBi90OdPjRqg"", ""'Plan de Compras'!D4:Q""), 14, 0), """")"),"GEANFRANCO")</f>
        <v>GEANFRANCO</v>
      </c>
      <c r="AC246" s="72" t="str">
        <f>IFERROR(__xludf.DUMMYFUNCTION("IFERROR(VLOOKUP(G246,IMPORTRANGE(""https://docs.google.com/spreadsheets/d/12RxCea4e5ggM7QGn1XE3FbLQa_-QbCNdBi90OdPjRqg"", ""'Plan de Compras'!D4:Q""), 4, 0), """")"),"EXTRACTOR DE RESORTES (COMPRESOR DE RESORTES DE SUSPENSIÓN)")</f>
        <v>EXTRACTOR DE RESORTES (COMPRESOR DE RESORTES DE SUSPENSIÓN)</v>
      </c>
      <c r="AD246" s="37" t="str">
        <f>IFERROR(__xludf.DUMMYFUNCTION("IFERROR(IF(OR(C246=TRUE,C246=""""),VLOOKUP(G246,IMPORTRANGE(""https://docs.google.com/spreadsheets/d/1z9A1Wq-kKrhRNG5RS2a2fKpY1wIhSVz2ZNmP2mOl588/edit?usp=sharing"",""REQ VF!E4:H""),4,0),""NO APLICA""),""GENERAR REQ"")"),"GENERAR REQ")</f>
        <v>GENERAR REQ</v>
      </c>
      <c r="AE246" s="32" t="str">
        <f>IFERROR(__xludf.DUMMYFUNCTION("IFERROR(QUERY(IMPORTRANGE(""https://docs.google.com/spreadsheets/d/1z9A1Wq-kKrhRNG5RS2a2fKpY1wIhSVz2ZNmP2mOl588/edit?usp=sharing"",""REQ VF!E4:Q""),""SELECT Col10, Col11, Col12 WHERE Col1 = '""&amp;G246&amp;""'"",0),""NO APLICA"")"),"NO APLICA")</f>
        <v>NO APLICA</v>
      </c>
      <c r="AF246" s="32"/>
      <c r="AG246" s="32"/>
      <c r="AH246" s="8" t="s">
        <v>52</v>
      </c>
      <c r="AI246" s="13"/>
    </row>
    <row r="247">
      <c r="A247" s="117">
        <v>160.0</v>
      </c>
      <c r="B247" s="43" t="b">
        <v>1</v>
      </c>
      <c r="C247" s="26"/>
      <c r="D247" s="26" t="s">
        <v>35</v>
      </c>
      <c r="E247" s="26" t="s">
        <v>1510</v>
      </c>
      <c r="F247" s="59" t="s">
        <v>2366</v>
      </c>
      <c r="G247" s="37" t="s">
        <v>2366</v>
      </c>
      <c r="H247" s="82" t="s">
        <v>2367</v>
      </c>
      <c r="I247" s="43">
        <f>SUMIFS('Hoja 10'!$O:$O,'Hoja 10'!$F:$F,$G247)</f>
        <v>3</v>
      </c>
      <c r="J247" s="26">
        <f>IFERROR(__xludf.DUMMYFUNCTION("VLOOKUP(G247,IMPORTRANGE(""https://docs.google.com/spreadsheets/d/12RxCea4e5ggM7QGn1XE3FbLQa_-QbCNdBi90OdPjRqg/edit?gid=1692403370#gid=1692403370"", ""'Plan de Compras'!D4:2432""), 8,0)"),3.0)</f>
        <v>3</v>
      </c>
      <c r="K247" s="26" t="str">
        <f t="shared" si="28"/>
        <v>-</v>
      </c>
      <c r="L247" s="29" t="s">
        <v>127</v>
      </c>
      <c r="M247" s="30" t="s">
        <v>105</v>
      </c>
      <c r="N247" s="32"/>
      <c r="O247" s="32" t="str">
        <f>VLOOKUP($G247,'Hoja 10'!$F$4:$AA1057, 19,0)</f>
        <v>UYUSTOOLS</v>
      </c>
      <c r="P247" s="32" t="str">
        <f>VLOOKUP($G247,'Hoja 10'!$F$4:$AA1057, 20,0)</f>
        <v>UYUSTOOLS</v>
      </c>
      <c r="Q247" s="33" t="str">
        <f>VLOOKUP($G247,'Hoja 10'!$F$4:$AA1057, 21,0)</f>
        <v>https://drive.google.com/file/d/1kTsu-g8lW6sxvLjbZ6s6TkJ1hGSaQWua/view</v>
      </c>
      <c r="R247" s="86" t="s">
        <v>2368</v>
      </c>
      <c r="S247" s="44" t="b">
        <v>1</v>
      </c>
      <c r="T247" s="39" t="str">
        <f>IFERROR(__xludf.DUMMYFUNCTION(" IF
( VLOOKUP($G247,IMPORTRANGE(""https://docs.google.com/spreadsheets/d/1Gpl6jkTg7sL4VDNimUm3S9Vi1i95esohXCF3wuKOE8c"", ""'CONSOLIDADO'!G5:AB""), 10, 0) &lt;&gt; 0, 
IFERROR(VLOOKUP($G247,IMPORTRANGE(""https://docs.google.com/spreadsheets/d/1Gpl6jkTg7sL4VDNimU"&amp;"m3S9Vi1i95esohXCF3wuKOE8c"", ""'CONSOLIDADO'!G5:AB""), 17, 0), ""-""),
""""
)"),"UYUSTOOLS")</f>
        <v>UYUSTOOLS</v>
      </c>
      <c r="U247" s="39" t="str">
        <f>IFERROR(__xludf.DUMMYFUNCTION(" IF
( VLOOKUP($G247,IMPORTRANGE(""https://docs.google.com/spreadsheets/d/1Gpl6jkTg7sL4VDNimUm3S9Vi1i95esohXCF3wuKOE8c"", ""'CONSOLIDADO'!G5:AB""), 10, 0) &lt;&gt; 0, 
IFERROR(VLOOKUP($G247,IMPORTRANGE(""https://docs.google.com/spreadsheets/d/1Gpl6jkTg7sL4VDNimU"&amp;"m3S9Vi1i95esohXCF3wuKOE8c"", ""'CONSOLIDADO'!G5:AB""), 18, 0), ""-""),
""""
)"),"Extractor de rodamiento 12 pzas")</f>
        <v>Extractor de rodamiento 12 pzas</v>
      </c>
      <c r="V247" s="39" t="str">
        <f>IFERROR(__xludf.DUMMYFUNCTION(" IF
( VLOOKUP($G247,IMPORTRANGE(""https://docs.google.com/spreadsheets/d/1Gpl6jkTg7sL4VDNimUm3S9Vi1i95esohXCF3wuKOE8c"", ""'CONSOLIDADO'!G5:AB""), 10, 0) &lt;&gt; 0, 
IFERROR(VLOOKUP($G247,IMPORTRANGE(""https://docs.google.com/spreadsheets/d/1Gpl6jkTg7sL4VDNimU"&amp;"m3S9Vi1i95esohXCF3wuKOE8c"", ""'CONSOLIDADO'!G5:AB""), 17, 0), ""-""),
""""
)"),"UYUSTOOLS")</f>
        <v>UYUSTOOLS</v>
      </c>
      <c r="W247" s="39" t="str">
        <f>IFERROR(__xludf.DUMMYFUNCTION(" IF
( VLOOKUP($G247,IMPORTRANGE(""https://docs.google.com/spreadsheets/d/1Gpl6jkTg7sL4VDNimUm3S9Vi1i95esohXCF3wuKOE8c"", ""'CONSOLIDADO'!G5:AB""), 10, 0) &lt;&gt; 0, 
IFERROR(VLOOKUP($G247,IMPORTRANGE(""https://docs.google.com/spreadsheets/d/1Gpl6jkTg7sL4VDNimU"&amp;"m3S9Vi1i95esohXCF3wuKOE8c"", ""'CONSOLIDADO'!G5:AB""), 18, 0), ""-""),
""""
)"),"Extractor de rodamiento 12 pzas")</f>
        <v>Extractor de rodamiento 12 pzas</v>
      </c>
      <c r="X247" s="39" t="b">
        <f t="shared" si="30"/>
        <v>1</v>
      </c>
      <c r="Y247" s="120" t="str">
        <f>IFERROR(__xludf.DUMMYFUNCTION(" IF
( VLOOKUP($G247,IMPORTRANGE(""https://docs.google.com/spreadsheets/d/1Gpl6jkTg7sL4VDNimUm3S9Vi1i95esohXCF3wuKOE8c"", ""'CONSOLIDADO'!G5:AB""), 10, 0) &lt;&gt; 0, 
IFERROR(VLOOKUP($G247,IMPORTRANGE(""https://docs.google.com/spreadsheets/d/1Gpl6jkTg7sL4VDNimU"&amp;"m3S9Vi1i95esohXCF3wuKOE8c"", ""'CONSOLIDADO'!G5:AB""), 19, 0), ""-""),
""""
)"),"https://limacarstore.pe/producto/6493/?srsltid=AfmBOoqfhjwgKfkM7I69bkiJuVV1RoiwkGUp0xWR6k0H0BXIWNsRgzYH")</f>
        <v>https://limacarstore.pe/producto/6493/?srsltid=AfmBOoqfhjwgKfkM7I69bkiJuVV1RoiwkGUp0xWR6k0H0BXIWNsRgzYH</v>
      </c>
      <c r="Z247" s="37" t="str">
        <f>IFERROR(__xludf.DUMMYFUNCTION("IFERROR(VLOOKUP(G247,IMPORTRANGE(""https://docs.google.com/spreadsheets/d/12RxCea4e5ggM7QGn1XE3FbLQa_-QbCNdBi90OdPjRqg"", ""'Plan de Compras'!D4:Q""), 12, 0), ""NO ESTÁ EN REQ"")"),"Técnica")</f>
        <v>Técnica</v>
      </c>
      <c r="AA247" s="37" t="str">
        <f>IFERROR(__xludf.DUMMYFUNCTION("IFERROR(VLOOKUP(G247,IMPORTRANGE(""https://docs.google.com/spreadsheets/d/12RxCea4e5ggM7QGn1XE3FbLQa_-QbCNdBi90OdPjRqg"", ""'Plan de Compras'!D4:Q""), 13, 0), """")"),"NACIONAL")</f>
        <v>NACIONAL</v>
      </c>
      <c r="AB247" s="32" t="str">
        <f>IFERROR(__xludf.DUMMYFUNCTION("IFERROR(VLOOKUP(G247,IMPORTRANGE(""https://docs.google.com/spreadsheets/d/12RxCea4e5ggM7QGn1XE3FbLQa_-QbCNdBi90OdPjRqg"", ""'Plan de Compras'!D4:Q""), 14, 0), """")"),"DIANA")</f>
        <v>DIANA</v>
      </c>
      <c r="AC247" s="72" t="str">
        <f>IFERROR(__xludf.DUMMYFUNCTION("IFERROR(VLOOKUP(G247,IMPORTRANGE(""https://docs.google.com/spreadsheets/d/12RxCea4e5ggM7QGn1XE3FbLQa_-QbCNdBi90OdPjRqg"", ""'Plan de Compras'!D4:Q""), 4, 0), """")"),"JUEGO DE EXTRACTOR DE RODAJES")</f>
        <v>JUEGO DE EXTRACTOR DE RODAJES</v>
      </c>
      <c r="AD247" s="37" t="str">
        <f>IFERROR(__xludf.DUMMYFUNCTION("IFERROR(IF(OR(C247=TRUE,C247=""""),VLOOKUP(G247,IMPORTRANGE(""https://docs.google.com/spreadsheets/d/1z9A1Wq-kKrhRNG5RS2a2fKpY1wIhSVz2ZNmP2mOl588/edit?usp=sharing"",""REQ VF!E4:H""),4,0),""NO APLICA""),""GENERAR REQ"")"),"GENERAR REQ")</f>
        <v>GENERAR REQ</v>
      </c>
      <c r="AE247" s="32" t="str">
        <f>IFERROR(__xludf.DUMMYFUNCTION("IFERROR(QUERY(IMPORTRANGE(""https://docs.google.com/spreadsheets/d/1z9A1Wq-kKrhRNG5RS2a2fKpY1wIhSVz2ZNmP2mOl588/edit?usp=sharing"",""REQ VF!E4:Q""),""SELECT Col10, Col11, Col12 WHERE Col1 = '""&amp;G247&amp;""'"",0),""NO APLICA"")"),"NO APLICA")</f>
        <v>NO APLICA</v>
      </c>
      <c r="AF247" s="32"/>
      <c r="AG247" s="32"/>
      <c r="AH247" s="8" t="s">
        <v>52</v>
      </c>
      <c r="AI247" s="8"/>
    </row>
    <row r="248">
      <c r="A248" s="117">
        <v>161.0</v>
      </c>
      <c r="B248" s="43" t="b">
        <v>1</v>
      </c>
      <c r="C248" s="26" t="b">
        <v>1</v>
      </c>
      <c r="D248" s="26" t="s">
        <v>35</v>
      </c>
      <c r="E248" s="26" t="s">
        <v>1510</v>
      </c>
      <c r="F248" s="59" t="s">
        <v>2369</v>
      </c>
      <c r="G248" s="37" t="s">
        <v>2369</v>
      </c>
      <c r="H248" s="82" t="s">
        <v>2370</v>
      </c>
      <c r="I248" s="43">
        <f>SUMIFS('Hoja 10'!$O:$O,'Hoja 10'!$F:$F,$G248)</f>
        <v>3</v>
      </c>
      <c r="J248" s="26">
        <f>IFERROR(__xludf.DUMMYFUNCTION("VLOOKUP(G248,IMPORTRANGE(""https://docs.google.com/spreadsheets/d/12RxCea4e5ggM7QGn1XE3FbLQa_-QbCNdBi90OdPjRqg/edit?gid=1692403370#gid=1692403370"", ""'Plan de Compras'!D4:2432""), 8,0)"),3.0)</f>
        <v>3</v>
      </c>
      <c r="K248" s="26" t="str">
        <f t="shared" si="28"/>
        <v>SI</v>
      </c>
      <c r="L248" s="29" t="s">
        <v>127</v>
      </c>
      <c r="M248" s="30" t="s">
        <v>105</v>
      </c>
      <c r="N248" s="32"/>
      <c r="O248" s="32" t="str">
        <f>VLOOKUP($G248,'Hoja 10'!$F$4:$AA1057, 19,0)</f>
        <v>TRUPER</v>
      </c>
      <c r="P248" s="32">
        <f>VLOOKUP($G248,'Hoja 10'!$F$4:$AA1057, 20,0)</f>
        <v>14508</v>
      </c>
      <c r="Q248" s="33" t="str">
        <f>VLOOKUP($G248,'Hoja 10'!$F$4:$AA1057, 21,0)</f>
        <v>https://drive.google.com/file/d/1UT764cX0OlKmGI7J1vo-oLN7DVoptuOI/view</v>
      </c>
      <c r="R248" s="86" t="s">
        <v>2371</v>
      </c>
      <c r="S248" s="44" t="b">
        <v>1</v>
      </c>
      <c r="T248" s="39" t="str">
        <f>IFERROR(__xludf.DUMMYFUNCTION(" IF
( VLOOKUP($G248,IMPORTRANGE(""https://docs.google.com/spreadsheets/d/1Gpl6jkTg7sL4VDNimUm3S9Vi1i95esohXCF3wuKOE8c"", ""'CONSOLIDADO'!G5:AB""), 10, 0) &lt;&gt; 0, 
IFERROR(VLOOKUP($G248,IMPORTRANGE(""https://docs.google.com/spreadsheets/d/1Gpl6jkTg7sL4VDNimU"&amp;"m3S9Vi1i95esohXCF3wuKOE8c"", ""'CONSOLIDADO'!G5:AB""), 17, 0), ""-""),
""""
)"),"TRUPER")</f>
        <v>TRUPER</v>
      </c>
      <c r="U248" s="39" t="str">
        <f>IFERROR(__xludf.DUMMYFUNCTION(" IF
( VLOOKUP($G248,IMPORTRANGE(""https://docs.google.com/spreadsheets/d/1Gpl6jkTg7sL4VDNimUm3S9Vi1i95esohXCF3wuKOE8c"", ""'CONSOLIDADO'!G5:AB""), 10, 0) &lt;&gt; 0, 
IFERROR(VLOOKUP($G248,IMPORTRANGE(""https://docs.google.com/spreadsheets/d/1Gpl6jkTg7sL4VDNimU"&amp;"m3S9Vi1i95esohXCF3wuKOE8c"", ""'CONSOLIDADO'!G5:AB""), 18, 0), ""-""),
""""
)"),"EXT-10")</f>
        <v>EXT-10</v>
      </c>
      <c r="V248" s="39" t="str">
        <f>IFERROR(__xludf.DUMMYFUNCTION(" IF
( VLOOKUP($G248,IMPORTRANGE(""https://docs.google.com/spreadsheets/d/1Gpl6jkTg7sL4VDNimUm3S9Vi1i95esohXCF3wuKOE8c"", ""'CONSOLIDADO'!G5:AB""), 10, 0) &lt;&gt; 0, 
IFERROR(VLOOKUP($G248,IMPORTRANGE(""https://docs.google.com/spreadsheets/d/1Gpl6jkTg7sL4VDNimU"&amp;"m3S9Vi1i95esohXCF3wuKOE8c"", ""'CONSOLIDADO'!G5:AB""), 17, 0), ""-""),
""""
)"),"TRUPER")</f>
        <v>TRUPER</v>
      </c>
      <c r="W248" s="39" t="str">
        <f>IFERROR(__xludf.DUMMYFUNCTION(" IF
( VLOOKUP($G248,IMPORTRANGE(""https://docs.google.com/spreadsheets/d/1Gpl6jkTg7sL4VDNimUm3S9Vi1i95esohXCF3wuKOE8c"", ""'CONSOLIDADO'!G5:AB""), 10, 0) &lt;&gt; 0, 
IFERROR(VLOOKUP($G248,IMPORTRANGE(""https://docs.google.com/spreadsheets/d/1Gpl6jkTg7sL4VDNimU"&amp;"m3S9Vi1i95esohXCF3wuKOE8c"", ""'CONSOLIDADO'!G5:AB""), 18, 0), ""-""),
""""
)"),"EXT-10")</f>
        <v>EXT-10</v>
      </c>
      <c r="X248" s="39" t="b">
        <f t="shared" si="30"/>
        <v>1</v>
      </c>
      <c r="Y248" s="120" t="str">
        <f>IFERROR(__xludf.DUMMYFUNCTION(" IF
( VLOOKUP($G248,IMPORTRANGE(""https://docs.google.com/spreadsheets/d/1Gpl6jkTg7sL4VDNimUm3S9Vi1i95esohXCF3wuKOE8c"", ""'CONSOLIDADO'!G5:AB""), 10, 0) &lt;&gt; 0, 
IFERROR(VLOOKUP($G248,IMPORTRANGE(""https://docs.google.com/spreadsheets/d/1Gpl6jkTg7sL4VDNimU"&amp;"m3S9Vi1i95esohXCF3wuKOE8c"", ""'CONSOLIDADO'!G5:AB""), 19, 0), ""-""),
""""
)"),"https://www.truper.com/ficha_tecnica/Juego-de-extractores-de-volantes-11-piezas-2217.html")</f>
        <v>https://www.truper.com/ficha_tecnica/Juego-de-extractores-de-volantes-11-piezas-2217.html</v>
      </c>
      <c r="Z248" s="37" t="str">
        <f>IFERROR(__xludf.DUMMYFUNCTION("IFERROR(VLOOKUP(G248,IMPORTRANGE(""https://docs.google.com/spreadsheets/d/12RxCea4e5ggM7QGn1XE3FbLQa_-QbCNdBi90OdPjRqg"", ""'Plan de Compras'!D4:Q""), 12, 0), ""NO ESTÁ EN REQ"")"),"Técnica")</f>
        <v>Técnica</v>
      </c>
      <c r="AA248" s="37" t="str">
        <f>IFERROR(__xludf.DUMMYFUNCTION("IFERROR(VLOOKUP(G248,IMPORTRANGE(""https://docs.google.com/spreadsheets/d/12RxCea4e5ggM7QGn1XE3FbLQa_-QbCNdBi90OdPjRqg"", ""'Plan de Compras'!D4:Q""), 13, 0), """")"),"NACIONAL")</f>
        <v>NACIONAL</v>
      </c>
      <c r="AB248" s="32" t="str">
        <f>IFERROR(__xludf.DUMMYFUNCTION("IFERROR(VLOOKUP(G248,IMPORTRANGE(""https://docs.google.com/spreadsheets/d/12RxCea4e5ggM7QGn1XE3FbLQa_-QbCNdBi90OdPjRqg"", ""'Plan de Compras'!D4:Q""), 14, 0), """")"),"DIANA")</f>
        <v>DIANA</v>
      </c>
      <c r="AC248" s="72" t="str">
        <f>IFERROR(__xludf.DUMMYFUNCTION("IFERROR(VLOOKUP(G248,IMPORTRANGE(""https://docs.google.com/spreadsheets/d/12RxCea4e5ggM7QGn1XE3FbLQa_-QbCNdBi90OdPjRqg"", ""'Plan de Compras'!D4:Q""), 4, 0), """")"),"EXTRACTOR DE VOLANTE")</f>
        <v>EXTRACTOR DE VOLANTE</v>
      </c>
      <c r="AD248" s="37" t="str">
        <f>IFERROR(__xludf.DUMMYFUNCTION("IFERROR(IF(OR(C248=TRUE,C248=""""),VLOOKUP(G248,IMPORTRANGE(""https://docs.google.com/spreadsheets/d/1z9A1Wq-kKrhRNG5RS2a2fKpY1wIhSVz2ZNmP2mOl588/edit?usp=sharing"",""REQ VF!E4:H""),4,0),""NO APLICA""),""GENERAR REQ"")"),"GENERAR REQ")</f>
        <v>GENERAR REQ</v>
      </c>
      <c r="AE248" s="32" t="str">
        <f>IFERROR(__xludf.DUMMYFUNCTION("IFERROR(QUERY(IMPORTRANGE(""https://docs.google.com/spreadsheets/d/1z9A1Wq-kKrhRNG5RS2a2fKpY1wIhSVz2ZNmP2mOl588/edit?usp=sharing"",""REQ VF!E4:Q""),""SELECT Col10, Col11, Col12 WHERE Col1 = '""&amp;G248&amp;""'"",0),""NO APLICA"")"),"NO APLICA")</f>
        <v>NO APLICA</v>
      </c>
      <c r="AF248" s="32"/>
      <c r="AG248" s="32"/>
      <c r="AH248" s="8" t="s">
        <v>52</v>
      </c>
      <c r="AI248" s="8"/>
    </row>
    <row r="249">
      <c r="A249" s="121">
        <v>162.0</v>
      </c>
      <c r="B249" s="43" t="b">
        <v>1</v>
      </c>
      <c r="C249" s="26" t="b">
        <v>1</v>
      </c>
      <c r="D249" s="26" t="s">
        <v>35</v>
      </c>
      <c r="E249" s="26" t="s">
        <v>1510</v>
      </c>
      <c r="F249" s="59" t="s">
        <v>2372</v>
      </c>
      <c r="G249" s="37" t="s">
        <v>2372</v>
      </c>
      <c r="H249" s="82" t="s">
        <v>2373</v>
      </c>
      <c r="I249" s="43">
        <f>SUMIFS('Hoja 10'!$O:$O,'Hoja 10'!$F:$F,$G249)</f>
        <v>3</v>
      </c>
      <c r="J249" s="26">
        <f>IFERROR(__xludf.DUMMYFUNCTION("VLOOKUP(G249,IMPORTRANGE(""https://docs.google.com/spreadsheets/d/12RxCea4e5ggM7QGn1XE3FbLQa_-QbCNdBi90OdPjRqg/edit?gid=1692403370#gid=1692403370"", ""'Plan de Compras'!D4:2432""), 8,0)"),3.0)</f>
        <v>3</v>
      </c>
      <c r="K249" s="26" t="str">
        <f t="shared" si="28"/>
        <v>SI</v>
      </c>
      <c r="L249" s="29" t="s">
        <v>127</v>
      </c>
      <c r="M249" s="30" t="s">
        <v>105</v>
      </c>
      <c r="N249" s="32"/>
      <c r="O249" s="32" t="str">
        <f>VLOOKUP($G249,'Hoja 10'!$F$4:$AA1057, 19,0)</f>
        <v>THREAD GAUGE</v>
      </c>
      <c r="P249" s="32" t="str">
        <f>VLOOKUP($G249,'Hoja 10'!$F$4:$AA1057, 20,0)</f>
        <v>THREAD GAUGE</v>
      </c>
      <c r="Q249" s="33" t="str">
        <f>VLOOKUP($G249,'Hoja 10'!$F$4:$AA1057, 21,0)</f>
        <v>https://drive.google.com/file/d/1JMrFZxWT0THeoiAHcfRrYaRuA6uVtNPj/view</v>
      </c>
      <c r="R249" s="86" t="s">
        <v>2374</v>
      </c>
      <c r="S249" s="44" t="b">
        <v>1</v>
      </c>
      <c r="T249" s="39" t="str">
        <f>IFERROR(__xludf.DUMMYFUNCTION(" IF
( VLOOKUP($G249,IMPORTRANGE(""https://docs.google.com/spreadsheets/d/1Gpl6jkTg7sL4VDNimUm3S9Vi1i95esohXCF3wuKOE8c"", ""'CONSOLIDADO'!G5:AB""), 10, 0) &lt;&gt; 0, 
IFERROR(VLOOKUP($G249,IMPORTRANGE(""https://docs.google.com/spreadsheets/d/1Gpl6jkTg7sL4VDNimU"&amp;"m3S9Vi1i95esohXCF3wuKOE8c"", ""'CONSOLIDADO'!G5:AB""), 17, 0), ""-""),
""""
)"),"QUAPKATT")</f>
        <v>QUAPKATT</v>
      </c>
      <c r="U249" s="39" t="str">
        <f>IFERROR(__xludf.DUMMYFUNCTION(" IF
( VLOOKUP($G249,IMPORTRANGE(""https://docs.google.com/spreadsheets/d/1Gpl6jkTg7sL4VDNimUm3S9Vi1i95esohXCF3wuKOE8c"", ""'CONSOLIDADO'!G5:AB""), 10, 0) &lt;&gt; 0, 
IFERROR(VLOOKUP($G249,IMPORTRANGE(""https://docs.google.com/spreadsheets/d/1Gpl6jkTg7sL4VDNimU"&amp;"m3S9Vi1i95esohXCF3wuKOE8c"", ""'CONSOLIDADO'!G5:AB""), 18, 0), ""-""),
""""
)"),"SAE Whitworth de 55 grados y Metrisch Medidor de paso de rosca de 60 grados")</f>
        <v>SAE Whitworth de 55 grados y Metrisch Medidor de paso de rosca de 60 grados</v>
      </c>
      <c r="V249" s="39" t="str">
        <f>IFERROR(__xludf.DUMMYFUNCTION(" IF
( VLOOKUP($G249,IMPORTRANGE(""https://docs.google.com/spreadsheets/d/1Gpl6jkTg7sL4VDNimUm3S9Vi1i95esohXCF3wuKOE8c"", ""'CONSOLIDADO'!G5:AB""), 10, 0) &lt;&gt; 0, 
IFERROR(VLOOKUP($G249,IMPORTRANGE(""https://docs.google.com/spreadsheets/d/1Gpl6jkTg7sL4VDNimU"&amp;"m3S9Vi1i95esohXCF3wuKOE8c"", ""'CONSOLIDADO'!G5:AB""), 17, 0), ""-""),
""""
)"),"QUAPKATT")</f>
        <v>QUAPKATT</v>
      </c>
      <c r="W249" s="39" t="str">
        <f>IFERROR(__xludf.DUMMYFUNCTION(" IF
( VLOOKUP($G249,IMPORTRANGE(""https://docs.google.com/spreadsheets/d/1Gpl6jkTg7sL4VDNimUm3S9Vi1i95esohXCF3wuKOE8c"", ""'CONSOLIDADO'!G5:AB""), 10, 0) &lt;&gt; 0, 
IFERROR(VLOOKUP($G249,IMPORTRANGE(""https://docs.google.com/spreadsheets/d/1Gpl6jkTg7sL4VDNimU"&amp;"m3S9Vi1i95esohXCF3wuKOE8c"", ""'CONSOLIDADO'!G5:AB""), 18, 0), ""-""),
""""
)"),"SAE Whitworth de 55 grados y Metrisch Medidor de paso de rosca de 60 grados")</f>
        <v>SAE Whitworth de 55 grados y Metrisch Medidor de paso de rosca de 60 grados</v>
      </c>
      <c r="X249" s="39" t="b">
        <f t="shared" si="30"/>
        <v>1</v>
      </c>
      <c r="Y249" s="120" t="str">
        <f>IFERROR(__xludf.DUMMYFUNCTION(" IF
( VLOOKUP($G249,IMPORTRANGE(""https://docs.google.com/spreadsheets/d/1Gpl6jkTg7sL4VDNimUm3S9Vi1i95esohXCF3wuKOE8c"", ""'CONSOLIDADO'!G5:AB""), 10, 0) &lt;&gt; 0, 
IFERROR(VLOOKUP($G249,IMPORTRANGE(""https://docs.google.com/spreadsheets/d/1Gpl6jkTg7sL4VDNimU"&amp;"m3S9Vi1i95esohXCF3wuKOE8c"", ""'CONSOLIDADO'!G5:AB""), 19, 0), ""-""),
""""
)"),"https://www.amazon.com/dp/B0CP3NFL37/?th=1")</f>
        <v>https://www.amazon.com/dp/B0CP3NFL37/?th=1</v>
      </c>
      <c r="Z249" s="37" t="str">
        <f>IFERROR(__xludf.DUMMYFUNCTION("IFERROR(VLOOKUP(G249,IMPORTRANGE(""https://docs.google.com/spreadsheets/d/12RxCea4e5ggM7QGn1XE3FbLQa_-QbCNdBi90OdPjRqg"", ""'Plan de Compras'!D4:Q""), 12, 0), ""NO ESTÁ EN REQ"")"),"Técnica")</f>
        <v>Técnica</v>
      </c>
      <c r="AA249" s="37" t="str">
        <f>IFERROR(__xludf.DUMMYFUNCTION("IFERROR(VLOOKUP(G249,IMPORTRANGE(""https://docs.google.com/spreadsheets/d/12RxCea4e5ggM7QGn1XE3FbLQa_-QbCNdBi90OdPjRqg"", ""'Plan de Compras'!D4:Q""), 13, 0), """")"),"INTERNACIONAL")</f>
        <v>INTERNACIONAL</v>
      </c>
      <c r="AB249" s="32" t="str">
        <f>IFERROR(__xludf.DUMMYFUNCTION("IFERROR(VLOOKUP(G249,IMPORTRANGE(""https://docs.google.com/spreadsheets/d/12RxCea4e5ggM7QGn1XE3FbLQa_-QbCNdBi90OdPjRqg"", ""'Plan de Compras'!D4:Q""), 14, 0), """")"),"ALEJANDRA")</f>
        <v>ALEJANDRA</v>
      </c>
      <c r="AC249" s="72" t="str">
        <f>IFERROR(__xludf.DUMMYFUNCTION("IFERROR(VLOOKUP(G249,IMPORTRANGE(""https://docs.google.com/spreadsheets/d/12RxCea4e5ggM7QGn1XE3FbLQa_-QbCNdBi90OdPjRqg"", ""'Plan de Compras'!D4:Q""), 4, 0), """")"),"JUEGO DE GAUGE DE LÁMINAS")</f>
        <v>JUEGO DE GAUGE DE LÁMINAS</v>
      </c>
      <c r="AD249" s="37" t="str">
        <f>IFERROR(__xludf.DUMMYFUNCTION("IFERROR(IF(OR(C249=TRUE,C249=""""),VLOOKUP(G249,IMPORTRANGE(""https://docs.google.com/spreadsheets/d/1z9A1Wq-kKrhRNG5RS2a2fKpY1wIhSVz2ZNmP2mOl588/edit?usp=sharing"",""REQ VF!E4:H""),4,0),""NO APLICA""),""GENERAR REQ"")"),"GENERAR REQ")</f>
        <v>GENERAR REQ</v>
      </c>
      <c r="AE249" s="32" t="str">
        <f>IFERROR(__xludf.DUMMYFUNCTION("IFERROR(QUERY(IMPORTRANGE(""https://docs.google.com/spreadsheets/d/1z9A1Wq-kKrhRNG5RS2a2fKpY1wIhSVz2ZNmP2mOl588/edit?usp=sharing"",""REQ VF!E4:Q""),""SELECT Col10, Col11, Col12 WHERE Col1 = '""&amp;G249&amp;""'"",0),""NO APLICA"")"),"NO APLICA")</f>
        <v>NO APLICA</v>
      </c>
      <c r="AF249" s="32"/>
      <c r="AG249" s="32"/>
      <c r="AH249" s="8" t="s">
        <v>52</v>
      </c>
      <c r="AI249" s="13"/>
    </row>
    <row r="250">
      <c r="A250" s="43"/>
      <c r="B250" s="43" t="b">
        <v>0</v>
      </c>
      <c r="C250" s="26" t="b">
        <v>1</v>
      </c>
      <c r="D250" s="26" t="s">
        <v>42</v>
      </c>
      <c r="E250" s="26"/>
      <c r="F250" s="59"/>
      <c r="G250" s="63" t="s">
        <v>2375</v>
      </c>
      <c r="H250" s="132" t="s">
        <v>2376</v>
      </c>
      <c r="I250" s="43">
        <v>3.0</v>
      </c>
      <c r="J250" s="26"/>
      <c r="K250" s="26"/>
      <c r="L250" s="29"/>
      <c r="M250" s="61"/>
      <c r="N250" s="32"/>
      <c r="O250" s="32"/>
      <c r="P250" s="32"/>
      <c r="Q250" s="41"/>
      <c r="R250" s="32"/>
      <c r="S250" s="34" t="b">
        <v>1</v>
      </c>
      <c r="T250" s="39" t="s">
        <v>2377</v>
      </c>
      <c r="U250" s="39" t="s">
        <v>2378</v>
      </c>
      <c r="V250" s="39"/>
      <c r="W250" s="39"/>
      <c r="X250" s="39"/>
      <c r="Y250" s="129" t="s">
        <v>2379</v>
      </c>
      <c r="Z250" s="37"/>
      <c r="AA250" s="37"/>
      <c r="AB250" s="32"/>
      <c r="AC250" s="72"/>
      <c r="AD250" s="37" t="str">
        <f>IFERROR(__xludf.DUMMYFUNCTION("IFERROR(IF(OR(C250=TRUE,C250=""""),VLOOKUP(G250,IMPORTRANGE(""https://docs.google.com/spreadsheets/d/1z9A1Wq-kKrhRNG5RS2a2fKpY1wIhSVz2ZNmP2mOl588/edit?usp=sharing"",""REQ VF!E4:H""),4,0),""NO APLICA""),""GENERAR REQ"")"),"GENERAR REQ")</f>
        <v>GENERAR REQ</v>
      </c>
      <c r="AE250" s="32" t="str">
        <f>IFERROR(__xludf.DUMMYFUNCTION("IFERROR(QUERY(IMPORTRANGE(""https://docs.google.com/spreadsheets/d/1z9A1Wq-kKrhRNG5RS2a2fKpY1wIhSVz2ZNmP2mOl588/edit?usp=sharing"",""REQ VF!E4:Q""),""SELECT Col10, Col11, Col12 WHERE Col1 = '""&amp;G250&amp;""'"",0),""NO APLICA"")"),"NO APLICA")</f>
        <v>NO APLICA</v>
      </c>
      <c r="AF250" s="32"/>
      <c r="AG250" s="32"/>
      <c r="AH250" s="8"/>
      <c r="AI250" s="13"/>
    </row>
    <row r="251">
      <c r="A251" s="121">
        <v>163.0</v>
      </c>
      <c r="B251" s="43" t="b">
        <v>1</v>
      </c>
      <c r="C251" s="26" t="b">
        <v>1</v>
      </c>
      <c r="D251" s="26" t="s">
        <v>35</v>
      </c>
      <c r="E251" s="26" t="s">
        <v>1510</v>
      </c>
      <c r="F251" s="59" t="s">
        <v>2380</v>
      </c>
      <c r="G251" s="37" t="s">
        <v>2380</v>
      </c>
      <c r="H251" s="82" t="s">
        <v>2381</v>
      </c>
      <c r="I251" s="43">
        <f>SUMIFS('Hoja 10'!$O:$O,'Hoja 10'!$F:$F,$G251)</f>
        <v>16</v>
      </c>
      <c r="J251" s="26">
        <f>IFERROR(__xludf.DUMMYFUNCTION("VLOOKUP(G251,IMPORTRANGE(""https://docs.google.com/spreadsheets/d/12RxCea4e5ggM7QGn1XE3FbLQa_-QbCNdBi90OdPjRqg/edit?gid=1692403370#gid=1692403370"", ""'Plan de Compras'!D4:2432""), 8,0)"),16.0)</f>
        <v>16</v>
      </c>
      <c r="K251" s="26" t="str">
        <f t="shared" ref="K251:K380" si="31"> IF( C251=TRUE, IF(I251=J251,"SI","NO"), "-")</f>
        <v>SI</v>
      </c>
      <c r="L251" s="29" t="s">
        <v>339</v>
      </c>
      <c r="M251" s="30" t="s">
        <v>340</v>
      </c>
      <c r="N251" s="32"/>
      <c r="O251" s="32" t="str">
        <f>VLOOKUP($G251,'Hoja 10'!$F$4:$AA1057, 19,0)</f>
        <v>NEXXT</v>
      </c>
      <c r="P251" s="32" t="str">
        <f>VLOOKUP($G251,'Hoja 10'!$F$4:$AA1057, 20,0)</f>
        <v>AW250NXT11</v>
      </c>
      <c r="Q251" s="33" t="str">
        <f>VLOOKUP($G251,'Hoja 10'!$F$4:$AA1057, 21,0)</f>
        <v>https://www.nexxtsolutions.com/es/infraestructura/interna-productos/AW250NXT11-es/</v>
      </c>
      <c r="R251" s="86" t="s">
        <v>2382</v>
      </c>
      <c r="S251" s="34" t="b">
        <v>1</v>
      </c>
      <c r="T251" s="39" t="str">
        <f>IFERROR(__xludf.DUMMYFUNCTION(" IF
( VLOOKUP($G251,IMPORTRANGE(""https://docs.google.com/spreadsheets/d/1Gpl6jkTg7sL4VDNimUm3S9Vi1i95esohXCF3wuKOE8c"", ""'CONSOLIDADO'!G5:AB""), 10, 0) &lt;&gt; 0, 
IFERROR(VLOOKUP($G251,IMPORTRANGE(""https://docs.google.com/spreadsheets/d/1Gpl6jkTg7sL4VDNimU"&amp;"m3S9Vi1i95esohXCF3wuKOE8c"", ""'CONSOLIDADO'!G5:AB""), 17, 0), ""-""),
""""
)"),"NEXXT")</f>
        <v>NEXXT</v>
      </c>
      <c r="U251" s="39" t="str">
        <f>IFERROR(__xludf.DUMMYFUNCTION(" IF
( VLOOKUP($G251,IMPORTRANGE(""https://docs.google.com/spreadsheets/d/1Gpl6jkTg7sL4VDNimUm3S9Vi1i95esohXCF3wuKOE8c"", ""'CONSOLIDADO'!G5:AB""), 10, 0) &lt;&gt; 0, 
IFERROR(VLOOKUP($G251,IMPORTRANGE(""https://docs.google.com/spreadsheets/d/1Gpl6jkTg7sL4VDNimU"&amp;"m3S9Vi1i95esohXCF3wuKOE8c"", ""'CONSOLIDADO'!G5:AB""), 18, 0), ""-""),
""""
)"),"AW250NXT11")</f>
        <v>AW250NXT11</v>
      </c>
      <c r="V251" s="39" t="str">
        <f>IFERROR(__xludf.DUMMYFUNCTION(" IF
( VLOOKUP($G251,IMPORTRANGE(""https://docs.google.com/spreadsheets/d/1Gpl6jkTg7sL4VDNimUm3S9Vi1i95esohXCF3wuKOE8c"", ""'CONSOLIDADO'!G5:AB""), 10, 0) &lt;&gt; 0, 
IFERROR(VLOOKUP($G251,IMPORTRANGE(""https://docs.google.com/spreadsheets/d/1Gpl6jkTg7sL4VDNimU"&amp;"m3S9Vi1i95esohXCF3wuKOE8c"", ""'CONSOLIDADO'!G5:AB""), 17, 0), ""-""),
""""
)"),"NEXXT")</f>
        <v>NEXXT</v>
      </c>
      <c r="W251" s="39" t="str">
        <f>IFERROR(__xludf.DUMMYFUNCTION(" IF
( VLOOKUP($G251,IMPORTRANGE(""https://docs.google.com/spreadsheets/d/1Gpl6jkTg7sL4VDNimUm3S9Vi1i95esohXCF3wuKOE8c"", ""'CONSOLIDADO'!G5:AB""), 10, 0) &lt;&gt; 0, 
IFERROR(VLOOKUP($G251,IMPORTRANGE(""https://docs.google.com/spreadsheets/d/1Gpl6jkTg7sL4VDNimU"&amp;"m3S9Vi1i95esohXCF3wuKOE8c"", ""'CONSOLIDADO'!G5:AB""), 18, 0), ""-""),
""""
)"),"AW250NXT11")</f>
        <v>AW250NXT11</v>
      </c>
      <c r="X251" s="39" t="b">
        <f t="shared" ref="X251:X258" si="32">IF(AND(T251=V251,W251=U251),TRUE,FALSE)</f>
        <v>1</v>
      </c>
      <c r="Y251" s="120" t="str">
        <f>IFERROR(__xludf.DUMMYFUNCTION(" IF
( VLOOKUP($G251,IMPORTRANGE(""https://docs.google.com/spreadsheets/d/1Gpl6jkTg7sL4VDNimUm3S9Vi1i95esohXCF3wuKOE8c"", ""'CONSOLIDADO'!G5:AB""), 10, 0) &lt;&gt; 0, 
IFERROR(VLOOKUP($G251,IMPORTRANGE(""https://docs.google.com/spreadsheets/d/1Gpl6jkTg7sL4VDNimU"&amp;"m3S9Vi1i95esohXCF3wuKOE8c"", ""'CONSOLIDADO'!G5:AB""), 19, 0), ""-""),
""""
)"),"https://www.nexxtsolutions.com/es/infraestructura/interna-productos/AW250NXT11-es/")</f>
        <v>https://www.nexxtsolutions.com/es/infraestructura/interna-productos/AW250NXT11-es/</v>
      </c>
      <c r="Z251" s="37" t="str">
        <f>IFERROR(__xludf.DUMMYFUNCTION("IFERROR(VLOOKUP(G251,IMPORTRANGE(""https://docs.google.com/spreadsheets/d/12RxCea4e5ggM7QGn1XE3FbLQa_-QbCNdBi90OdPjRqg"", ""'Plan de Compras'!D4:Q""), 12, 0), ""NO ESTÁ EN REQ"")"),"Técnica")</f>
        <v>Técnica</v>
      </c>
      <c r="AA251" s="37" t="str">
        <f>IFERROR(__xludf.DUMMYFUNCTION("IFERROR(VLOOKUP(G251,IMPORTRANGE(""https://docs.google.com/spreadsheets/d/12RxCea4e5ggM7QGn1XE3FbLQa_-QbCNdBi90OdPjRqg"", ""'Plan de Compras'!D4:Q""), 13, 0), """")"),"NACIONAL")</f>
        <v>NACIONAL</v>
      </c>
      <c r="AB251" s="32" t="str">
        <f>IFERROR(__xludf.DUMMYFUNCTION("IFERROR(VLOOKUP(G251,IMPORTRANGE(""https://docs.google.com/spreadsheets/d/12RxCea4e5ggM7QGn1XE3FbLQa_-QbCNdBi90OdPjRqg"", ""'Plan de Compras'!D4:Q""), 14, 0), """")"),"JESSICA")</f>
        <v>JESSICA</v>
      </c>
      <c r="AC251" s="72" t="str">
        <f>IFERROR(__xludf.DUMMYFUNCTION("IFERROR(VLOOKUP(G251,IMPORTRANGE(""https://docs.google.com/spreadsheets/d/12RxCea4e5ggM7QGn1XE3FbLQa_-QbCNdBi90OdPjRqg"", ""'Plan de Compras'!D4:Q""), 4, 0), """")"),"HERRAMIENTA DE IMPACTO")</f>
        <v>HERRAMIENTA DE IMPACTO</v>
      </c>
      <c r="AD251" s="37" t="str">
        <f>IFERROR(__xludf.DUMMYFUNCTION("IFERROR(IF(OR(C251=TRUE,C251=""""),VLOOKUP(G251,IMPORTRANGE(""https://docs.google.com/spreadsheets/d/1z9A1Wq-kKrhRNG5RS2a2fKpY1wIhSVz2ZNmP2mOl588/edit?usp=sharing"",""REQ VF!E4:H""),4,0),""NO APLICA""),""GENERAR REQ"")"),"GENERAR REQ")</f>
        <v>GENERAR REQ</v>
      </c>
      <c r="AE251" s="32" t="str">
        <f>IFERROR(__xludf.DUMMYFUNCTION("IFERROR(QUERY(IMPORTRANGE(""https://docs.google.com/spreadsheets/d/1z9A1Wq-kKrhRNG5RS2a2fKpY1wIhSVz2ZNmP2mOl588/edit?usp=sharing"",""REQ VF!E4:Q""),""SELECT Col10, Col11, Col12 WHERE Col1 = '""&amp;G251&amp;""'"",0),""NO APLICA"")"),"NO APLICA")</f>
        <v>NO APLICA</v>
      </c>
      <c r="AF251" s="32"/>
      <c r="AG251" s="32"/>
      <c r="AH251" s="13"/>
      <c r="AI251" s="13"/>
    </row>
    <row r="252">
      <c r="A252" s="121">
        <v>164.0</v>
      </c>
      <c r="B252" s="43" t="b">
        <v>1</v>
      </c>
      <c r="C252" s="26" t="b">
        <v>1</v>
      </c>
      <c r="D252" s="26" t="s">
        <v>35</v>
      </c>
      <c r="E252" s="26" t="s">
        <v>1510</v>
      </c>
      <c r="F252" s="59" t="s">
        <v>2383</v>
      </c>
      <c r="G252" s="37" t="s">
        <v>2383</v>
      </c>
      <c r="H252" s="82" t="s">
        <v>2384</v>
      </c>
      <c r="I252" s="43">
        <f>SUMIFS('Hoja 10'!$O:$O,'Hoja 10'!$F:$F,$G252)</f>
        <v>3</v>
      </c>
      <c r="J252" s="26">
        <f>IFERROR(__xludf.DUMMYFUNCTION("VLOOKUP(G252,IMPORTRANGE(""https://docs.google.com/spreadsheets/d/12RxCea4e5ggM7QGn1XE3FbLQa_-QbCNdBi90OdPjRqg/edit?gid=1692403370#gid=1692403370"", ""'Plan de Compras'!D4:2432""), 8,0)"),3.0)</f>
        <v>3</v>
      </c>
      <c r="K252" s="26" t="str">
        <f t="shared" si="31"/>
        <v>SI</v>
      </c>
      <c r="L252" s="29" t="s">
        <v>127</v>
      </c>
      <c r="M252" s="30" t="s">
        <v>105</v>
      </c>
      <c r="N252" s="32"/>
      <c r="O252" s="32" t="str">
        <f>VLOOKUP($G252,'Hoja 10'!$F$4:$AA1057, 19,0)</f>
        <v>STANLEY</v>
      </c>
      <c r="P252" s="32" t="str">
        <f>VLOOKUP($G252,'Hoja 10'!$F$4:$AA1057, 20,0)</f>
        <v>78-022</v>
      </c>
      <c r="Q252" s="33" t="str">
        <f>VLOOKUP($G252,'Hoja 10'!$F$4:$AA1057, 21,0)</f>
        <v>https://drive.google.com/file/d/1lOCqTSkGStci5iYaJZ6XbYswFfppS0uY/view</v>
      </c>
      <c r="R252" s="30" t="s">
        <v>2385</v>
      </c>
      <c r="S252" s="34" t="b">
        <v>1</v>
      </c>
      <c r="T252" s="63" t="s">
        <v>2386</v>
      </c>
      <c r="U252" s="63" t="s">
        <v>2387</v>
      </c>
      <c r="V252" s="39" t="str">
        <f>IFERROR(__xludf.DUMMYFUNCTION(" IF
( VLOOKUP($G252,IMPORTRANGE(""https://docs.google.com/spreadsheets/d/1Gpl6jkTg7sL4VDNimUm3S9Vi1i95esohXCF3wuKOE8c"", ""'CONSOLIDADO'!G5:AB""), 10, 0) &lt;&gt; 0, 
IFERROR(VLOOKUP($G252,IMPORTRANGE(""https://docs.google.com/spreadsheets/d/1Gpl6jkTg7sL4VDNimU"&amp;"m3S9Vi1i95esohXCF3wuKOE8c"", ""'CONSOLIDADO'!G5:AB""), 17, 0), ""-""),
""""
)"),"JOMAFA")</f>
        <v>JOMAFA</v>
      </c>
      <c r="W252" s="39" t="str">
        <f>IFERROR(__xludf.DUMMYFUNCTION(" IF
( VLOOKUP($G252,IMPORTRANGE(""https://docs.google.com/spreadsheets/d/1Gpl6jkTg7sL4VDNimUm3S9Vi1i95esohXCF3wuKOE8c"", ""'CONSOLIDADO'!G5:AB""), 10, 0) &lt;&gt; 0, 
IFERROR(VLOOKUP($G252,IMPORTRANGE(""https://docs.google.com/spreadsheets/d/1Gpl6jkTg7sL4VDNimU"&amp;"m3S9Vi1i95esohXCF3wuKOE8c"", ""'CONSOLIDADO'!G5:AB""), 18, 0), ""-""),
""""
)"),"Alicates Para Muelle De Freno De Tambor Y Pinza De Freno,
Para Resortes")</f>
        <v>Alicates Para Muelle De Freno De Tambor Y Pinza De Freno,
Para Resortes</v>
      </c>
      <c r="X252" s="39" t="b">
        <f t="shared" si="32"/>
        <v>0</v>
      </c>
      <c r="Y252" s="139"/>
      <c r="Z252" s="37" t="str">
        <f>IFERROR(__xludf.DUMMYFUNCTION("IFERROR(VLOOKUP(G252,IMPORTRANGE(""https://docs.google.com/spreadsheets/d/12RxCea4e5ggM7QGn1XE3FbLQa_-QbCNdBi90OdPjRqg"", ""'Plan de Compras'!D4:Q""), 12, 0), ""NO ESTÁ EN REQ"")"),"Técnica")</f>
        <v>Técnica</v>
      </c>
      <c r="AA252" s="37" t="str">
        <f>IFERROR(__xludf.DUMMYFUNCTION("IFERROR(VLOOKUP(G252,IMPORTRANGE(""https://docs.google.com/spreadsheets/d/12RxCea4e5ggM7QGn1XE3FbLQa_-QbCNdBi90OdPjRqg"", ""'Plan de Compras'!D4:Q""), 13, 0), """")"),"INTERNACIONAL")</f>
        <v>INTERNACIONAL</v>
      </c>
      <c r="AB252" s="32" t="str">
        <f>IFERROR(__xludf.DUMMYFUNCTION("IFERROR(VLOOKUP(G252,IMPORTRANGE(""https://docs.google.com/spreadsheets/d/12RxCea4e5ggM7QGn1XE3FbLQa_-QbCNdBi90OdPjRqg"", ""'Plan de Compras'!D4:Q""), 14, 0), """")"),"GEYDI")</f>
        <v>GEYDI</v>
      </c>
      <c r="AC252" s="72" t="str">
        <f>IFERROR(__xludf.DUMMYFUNCTION("IFERROR(VLOOKUP(G252,IMPORTRANGE(""https://docs.google.com/spreadsheets/d/12RxCea4e5ggM7QGn1XE3FbLQa_-QbCNdBi90OdPjRqg"", ""'Plan de Compras'!D4:Q""), 4, 0), """")"),"HERRAMIENTA PARA REMOVER RESORTE DE FRENO")</f>
        <v>HERRAMIENTA PARA REMOVER RESORTE DE FRENO</v>
      </c>
      <c r="AD252" s="37" t="str">
        <f>IFERROR(__xludf.DUMMYFUNCTION("IFERROR(IF(OR(C252=TRUE,C252=""""),VLOOKUP(G252,IMPORTRANGE(""https://docs.google.com/spreadsheets/d/1z9A1Wq-kKrhRNG5RS2a2fKpY1wIhSVz2ZNmP2mOl588/edit?usp=sharing"",""REQ VF!E4:H""),4,0),""NO APLICA""),""GENERAR REQ"")"),"GENERAR REQ")</f>
        <v>GENERAR REQ</v>
      </c>
      <c r="AE252" s="32" t="str">
        <f>IFERROR(__xludf.DUMMYFUNCTION("IFERROR(QUERY(IMPORTRANGE(""https://docs.google.com/spreadsheets/d/1z9A1Wq-kKrhRNG5RS2a2fKpY1wIhSVz2ZNmP2mOl588/edit?usp=sharing"",""REQ VF!E4:Q""),""SELECT Col10, Col11, Col12 WHERE Col1 = '""&amp;G252&amp;""'"",0),""NO APLICA"")"),"NO APLICA")</f>
        <v>NO APLICA</v>
      </c>
      <c r="AF252" s="32"/>
      <c r="AG252" s="32"/>
      <c r="AH252" s="13"/>
      <c r="AI252" s="13"/>
    </row>
    <row r="253">
      <c r="A253" s="117">
        <v>165.0</v>
      </c>
      <c r="B253" s="43" t="b">
        <v>1</v>
      </c>
      <c r="C253" s="26" t="b">
        <v>1</v>
      </c>
      <c r="D253" s="26" t="s">
        <v>35</v>
      </c>
      <c r="E253" s="26" t="s">
        <v>1510</v>
      </c>
      <c r="F253" s="59" t="s">
        <v>2388</v>
      </c>
      <c r="G253" s="37" t="s">
        <v>2389</v>
      </c>
      <c r="H253" s="82" t="s">
        <v>2390</v>
      </c>
      <c r="I253" s="43">
        <f>SUMIFS('Hoja 10'!$O:$O,'Hoja 10'!$F:$F,$G253)</f>
        <v>14</v>
      </c>
      <c r="J253" s="26">
        <f>IFERROR(__xludf.DUMMYFUNCTION("VLOOKUP(G253,IMPORTRANGE(""https://docs.google.com/spreadsheets/d/12RxCea4e5ggM7QGn1XE3FbLQa_-QbCNdBi90OdPjRqg/edit?gid=1692403370#gid=1692403370"", ""'Plan de Compras'!D4:2432""), 8,0)"),14.0)</f>
        <v>14</v>
      </c>
      <c r="K253" s="26" t="str">
        <f t="shared" si="31"/>
        <v>SI</v>
      </c>
      <c r="L253" s="29" t="s">
        <v>2391</v>
      </c>
      <c r="M253" s="30" t="s">
        <v>186</v>
      </c>
      <c r="N253" s="32"/>
      <c r="O253" s="32" t="str">
        <f>VLOOKUP($G253,'Hoja 10'!$F$4:$AA1057, 19,0)</f>
        <v>IRIMO</v>
      </c>
      <c r="P253" s="32" t="str">
        <f>VLOOKUP($G253,'Hoja 10'!$F$4:$AA1057, 20,0)</f>
        <v>601-3-C</v>
      </c>
      <c r="Q253" s="33" t="str">
        <f>VLOOKUP($G253,'Hoja 10'!$F$4:$AA1057, 21,0)</f>
        <v>https://rodavigo.net/datos/articulos/534/juego-alicates-irimo-1.pdf</v>
      </c>
      <c r="R253" s="86" t="s">
        <v>2392</v>
      </c>
      <c r="S253" s="44" t="b">
        <v>1</v>
      </c>
      <c r="T253" s="39" t="str">
        <f>IFERROR(__xludf.DUMMYFUNCTION(" IF
( VLOOKUP($G253,IMPORTRANGE(""https://docs.google.com/spreadsheets/d/1Gpl6jkTg7sL4VDNimUm3S9Vi1i95esohXCF3wuKOE8c"", ""'CONSOLIDADO'!G5:AB""), 10, 0) &lt;&gt; 0, 
IFERROR(VLOOKUP($G253,IMPORTRANGE(""https://docs.google.com/spreadsheets/d/1Gpl6jkTg7sL4VDNimU"&amp;"m3S9Vi1i95esohXCF3wuKOE8c"", ""'CONSOLIDADO'!G5:AB""), 17, 0), ""-""),
""""
)"),"IRIMO")</f>
        <v>IRIMO</v>
      </c>
      <c r="U253" s="39" t="str">
        <f>IFERROR(__xludf.DUMMYFUNCTION(" IF
( VLOOKUP($G253,IMPORTRANGE(""https://docs.google.com/spreadsheets/d/1Gpl6jkTg7sL4VDNimUm3S9Vi1i95esohXCF3wuKOE8c"", ""'CONSOLIDADO'!G5:AB""), 10, 0) &lt;&gt; 0, 
IFERROR(VLOOKUP($G253,IMPORTRANGE(""https://docs.google.com/spreadsheets/d/1Gpl6jkTg7sL4VDNimU"&amp;"m3S9Vi1i95esohXCF3wuKOE8c"", ""'CONSOLIDADO'!G5:AB""), 18, 0), ""-""),
""""
)"),"601-3-C")</f>
        <v>601-3-C</v>
      </c>
      <c r="V253" s="39" t="str">
        <f>IFERROR(__xludf.DUMMYFUNCTION(" IF
( VLOOKUP($G253,IMPORTRANGE(""https://docs.google.com/spreadsheets/d/1Gpl6jkTg7sL4VDNimUm3S9Vi1i95esohXCF3wuKOE8c"", ""'CONSOLIDADO'!G5:AB""), 10, 0) &lt;&gt; 0, 
IFERROR(VLOOKUP($G253,IMPORTRANGE(""https://docs.google.com/spreadsheets/d/1Gpl6jkTg7sL4VDNimU"&amp;"m3S9Vi1i95esohXCF3wuKOE8c"", ""'CONSOLIDADO'!G5:AB""), 17, 0), ""-""),
""""
)"),"IRIMO")</f>
        <v>IRIMO</v>
      </c>
      <c r="W253" s="39" t="str">
        <f>IFERROR(__xludf.DUMMYFUNCTION(" IF
( VLOOKUP($G253,IMPORTRANGE(""https://docs.google.com/spreadsheets/d/1Gpl6jkTg7sL4VDNimUm3S9Vi1i95esohXCF3wuKOE8c"", ""'CONSOLIDADO'!G5:AB""), 10, 0) &lt;&gt; 0, 
IFERROR(VLOOKUP($G253,IMPORTRANGE(""https://docs.google.com/spreadsheets/d/1Gpl6jkTg7sL4VDNimU"&amp;"m3S9Vi1i95esohXCF3wuKOE8c"", ""'CONSOLIDADO'!G5:AB""), 18, 0), ""-""),
""""
)"),"601-3-C")</f>
        <v>601-3-C</v>
      </c>
      <c r="X253" s="39" t="b">
        <f t="shared" si="32"/>
        <v>1</v>
      </c>
      <c r="Y253" s="120" t="str">
        <f>IFERROR(__xludf.DUMMYFUNCTION(" IF
( VLOOKUP($G253,IMPORTRANGE(""https://docs.google.com/spreadsheets/d/1Gpl6jkTg7sL4VDNimUm3S9Vi1i95esohXCF3wuKOE8c"", ""'CONSOLIDADO'!G5:AB""), 10, 0) &lt;&gt; 0, 
IFERROR(VLOOKUP($G253,IMPORTRANGE(""https://docs.google.com/spreadsheets/d/1Gpl6jkTg7sL4VDNimU"&amp;"m3S9Vi1i95esohXCF3wuKOE8c"", ""'CONSOLIDADO'!G5:AB""), 19, 0), ""-""),
""""
)"),"https://www.irimo.com/pe_es/juego-de-3-alicates-pb_601-3-c_.html")</f>
        <v>https://www.irimo.com/pe_es/juego-de-3-alicates-pb_601-3-c_.html</v>
      </c>
      <c r="Z253" s="37" t="str">
        <f>IFERROR(__xludf.DUMMYFUNCTION("IFERROR(VLOOKUP(G253,IMPORTRANGE(""https://docs.google.com/spreadsheets/d/12RxCea4e5ggM7QGn1XE3FbLQa_-QbCNdBi90OdPjRqg"", ""'Plan de Compras'!D4:Q""), 12, 0), ""NO ESTÁ EN REQ"")"),"Técnica")</f>
        <v>Técnica</v>
      </c>
      <c r="AA253" s="37" t="str">
        <f>IFERROR(__xludf.DUMMYFUNCTION("IFERROR(VLOOKUP(G253,IMPORTRANGE(""https://docs.google.com/spreadsheets/d/12RxCea4e5ggM7QGn1XE3FbLQa_-QbCNdBi90OdPjRqg"", ""'Plan de Compras'!D4:Q""), 13, 0), """")"),"INTERNACIONAL")</f>
        <v>INTERNACIONAL</v>
      </c>
      <c r="AB253" s="32" t="str">
        <f>IFERROR(__xludf.DUMMYFUNCTION("IFERROR(VLOOKUP(G253,IMPORTRANGE(""https://docs.google.com/spreadsheets/d/12RxCea4e5ggM7QGn1XE3FbLQa_-QbCNdBi90OdPjRqg"", ""'Plan de Compras'!D4:Q""), 14, 0), """")"),"GIANFRANCO")</f>
        <v>GIANFRANCO</v>
      </c>
      <c r="AC253" s="72" t="str">
        <f>IFERROR(__xludf.DUMMYFUNCTION("IFERROR(VLOOKUP(G253,IMPORTRANGE(""https://docs.google.com/spreadsheets/d/12RxCea4e5ggM7QGn1XE3FbLQa_-QbCNdBi90OdPjRqg"", ""'Plan de Compras'!D4:Q""), 4, 0), """")"),"JUEGO DE ALICATES")</f>
        <v>JUEGO DE ALICATES</v>
      </c>
      <c r="AD253" s="37" t="str">
        <f>IFERROR(__xludf.DUMMYFUNCTION("IFERROR(IF(OR(C253=TRUE,C253=""""),VLOOKUP(G253,IMPORTRANGE(""https://docs.google.com/spreadsheets/d/1z9A1Wq-kKrhRNG5RS2a2fKpY1wIhSVz2ZNmP2mOl588/edit?usp=sharing"",""REQ VF!E4:H""),4,0),""NO APLICA""),""GENERAR REQ"")"),"GENERAR REQ")</f>
        <v>GENERAR REQ</v>
      </c>
      <c r="AE253" s="32" t="str">
        <f>IFERROR(__xludf.DUMMYFUNCTION("IFERROR(QUERY(IMPORTRANGE(""https://docs.google.com/spreadsheets/d/1z9A1Wq-kKrhRNG5RS2a2fKpY1wIhSVz2ZNmP2mOl588/edit?usp=sharing"",""REQ VF!E4:Q""),""SELECT Col10, Col11, Col12 WHERE Col1 = '""&amp;G253&amp;""'"",0),""NO APLICA"")"),"NO APLICA")</f>
        <v>NO APLICA</v>
      </c>
      <c r="AF253" s="32"/>
      <c r="AG253" s="32"/>
      <c r="AH253" s="8" t="s">
        <v>52</v>
      </c>
      <c r="AI253" s="13"/>
    </row>
    <row r="254">
      <c r="A254" s="117">
        <v>166.0</v>
      </c>
      <c r="B254" s="43" t="b">
        <v>1</v>
      </c>
      <c r="C254" s="26" t="b">
        <v>1</v>
      </c>
      <c r="D254" s="26" t="s">
        <v>35</v>
      </c>
      <c r="E254" s="26" t="s">
        <v>1510</v>
      </c>
      <c r="F254" s="59" t="s">
        <v>2388</v>
      </c>
      <c r="G254" s="39" t="s">
        <v>2393</v>
      </c>
      <c r="H254" s="82" t="s">
        <v>2390</v>
      </c>
      <c r="I254" s="43">
        <f>SUMIFS('Hoja 10'!$O:$O,'Hoja 10'!$F:$F,$G254)</f>
        <v>8</v>
      </c>
      <c r="J254" s="26">
        <f>IFERROR(__xludf.DUMMYFUNCTION("VLOOKUP(G254,IMPORTRANGE(""https://docs.google.com/spreadsheets/d/12RxCea4e5ggM7QGn1XE3FbLQa_-QbCNdBi90OdPjRqg/edit?gid=1692403370#gid=1692403370"", ""'Plan de Compras'!D4:2432""), 8,0)"),8.0)</f>
        <v>8</v>
      </c>
      <c r="K254" s="26" t="str">
        <f t="shared" si="31"/>
        <v>SI</v>
      </c>
      <c r="L254" s="29" t="s">
        <v>296</v>
      </c>
      <c r="M254" s="30" t="s">
        <v>297</v>
      </c>
      <c r="N254" s="32"/>
      <c r="O254" s="32" t="str">
        <f>VLOOKUP($G254,'Hoja 10'!$F$4:$AA1057, 19,0)</f>
        <v/>
      </c>
      <c r="P254" s="32" t="str">
        <f>VLOOKUP($G254,'Hoja 10'!$F$4:$AA1057, 20,0)</f>
        <v/>
      </c>
      <c r="Q254" s="33" t="str">
        <f>VLOOKUP($G254,'Hoja 10'!$F$4:$AA1057, 21,0)</f>
        <v>https://cahema.pe/set-mixtos/14160-juego-de-alicates-3-piezas-irimo-601-3-c-8414909218114.html?utm_source=chatgpt.com</v>
      </c>
      <c r="R254" s="30" t="s">
        <v>2394</v>
      </c>
      <c r="S254" s="44" t="b">
        <v>1</v>
      </c>
      <c r="T254" s="39" t="str">
        <f>IFERROR(__xludf.DUMMYFUNCTION(" IF
( VLOOKUP($G254,IMPORTRANGE(""https://docs.google.com/spreadsheets/d/1Gpl6jkTg7sL4VDNimUm3S9Vi1i95esohXCF3wuKOE8c"", ""'CONSOLIDADO'!G5:AB""), 10, 0) &lt;&gt; 0, 
IFERROR(VLOOKUP($G254,IMPORTRANGE(""https://docs.google.com/spreadsheets/d/1Gpl6jkTg7sL4VDNimU"&amp;"m3S9Vi1i95esohXCF3wuKOE8c"", ""'CONSOLIDADO'!G5:AB""), 17, 0), ""-""),
""""
)"),"IRIMO")</f>
        <v>IRIMO</v>
      </c>
      <c r="U254" s="39" t="str">
        <f>IFERROR(__xludf.DUMMYFUNCTION(" IF
( VLOOKUP($G254,IMPORTRANGE(""https://docs.google.com/spreadsheets/d/1Gpl6jkTg7sL4VDNimUm3S9Vi1i95esohXCF3wuKOE8c"", ""'CONSOLIDADO'!G5:AB""), 10, 0) &lt;&gt; 0, 
IFERROR(VLOOKUP($G254,IMPORTRANGE(""https://docs.google.com/spreadsheets/d/1Gpl6jkTg7sL4VDNimU"&amp;"m3S9Vi1i95esohXCF3wuKOE8c"", ""'CONSOLIDADO'!G5:AB""), 18, 0), ""-""),
""""
)"),"601-3-C")</f>
        <v>601-3-C</v>
      </c>
      <c r="V254" s="39" t="str">
        <f>IFERROR(__xludf.DUMMYFUNCTION(" IF
( VLOOKUP($G254,IMPORTRANGE(""https://docs.google.com/spreadsheets/d/1Gpl6jkTg7sL4VDNimUm3S9Vi1i95esohXCF3wuKOE8c"", ""'CONSOLIDADO'!G5:AB""), 10, 0) &lt;&gt; 0, 
IFERROR(VLOOKUP($G254,IMPORTRANGE(""https://docs.google.com/spreadsheets/d/1Gpl6jkTg7sL4VDNimU"&amp;"m3S9Vi1i95esohXCF3wuKOE8c"", ""'CONSOLIDADO'!G5:AB""), 17, 0), ""-""),
""""
)"),"IRIMO")</f>
        <v>IRIMO</v>
      </c>
      <c r="W254" s="39" t="str">
        <f>IFERROR(__xludf.DUMMYFUNCTION(" IF
( VLOOKUP($G254,IMPORTRANGE(""https://docs.google.com/spreadsheets/d/1Gpl6jkTg7sL4VDNimUm3S9Vi1i95esohXCF3wuKOE8c"", ""'CONSOLIDADO'!G5:AB""), 10, 0) &lt;&gt; 0, 
IFERROR(VLOOKUP($G254,IMPORTRANGE(""https://docs.google.com/spreadsheets/d/1Gpl6jkTg7sL4VDNimU"&amp;"m3S9Vi1i95esohXCF3wuKOE8c"", ""'CONSOLIDADO'!G5:AB""), 18, 0), ""-""),
""""
)"),"601-3-C")</f>
        <v>601-3-C</v>
      </c>
      <c r="X254" s="39" t="b">
        <f t="shared" si="32"/>
        <v>1</v>
      </c>
      <c r="Y254" s="120" t="str">
        <f>IFERROR(__xludf.DUMMYFUNCTION(" IF
( VLOOKUP($G254,IMPORTRANGE(""https://docs.google.com/spreadsheets/d/1Gpl6jkTg7sL4VDNimUm3S9Vi1i95esohXCF3wuKOE8c"", ""'CONSOLIDADO'!G5:AB""), 10, 0) &lt;&gt; 0, 
IFERROR(VLOOKUP($G254,IMPORTRANGE(""https://docs.google.com/spreadsheets/d/1Gpl6jkTg7sL4VDNimU"&amp;"m3S9Vi1i95esohXCF3wuKOE8c"", ""'CONSOLIDADO'!G5:AB""), 19, 0), ""-""),
""""
)"),"https://www.irimo.com/pe_es/juego-de-3-alicates-pb_601-3-c_.html")</f>
        <v>https://www.irimo.com/pe_es/juego-de-3-alicates-pb_601-3-c_.html</v>
      </c>
      <c r="Z254" s="37" t="str">
        <f>IFERROR(__xludf.DUMMYFUNCTION("IFERROR(VLOOKUP(G254,IMPORTRANGE(""https://docs.google.com/spreadsheets/d/12RxCea4e5ggM7QGn1XE3FbLQa_-QbCNdBi90OdPjRqg"", ""'Plan de Compras'!D4:Q""), 12, 0), ""NO ESTÁ EN REQ"")"),"Técnica")</f>
        <v>Técnica</v>
      </c>
      <c r="AA254" s="37" t="str">
        <f>IFERROR(__xludf.DUMMYFUNCTION("IFERROR(VLOOKUP(G254,IMPORTRANGE(""https://docs.google.com/spreadsheets/d/12RxCea4e5ggM7QGn1XE3FbLQa_-QbCNdBi90OdPjRqg"", ""'Plan de Compras'!D4:Q""), 13, 0), """")"),"INTERNACIONAL")</f>
        <v>INTERNACIONAL</v>
      </c>
      <c r="AB254" s="32" t="str">
        <f>IFERROR(__xludf.DUMMYFUNCTION("IFERROR(VLOOKUP(G254,IMPORTRANGE(""https://docs.google.com/spreadsheets/d/12RxCea4e5ggM7QGn1XE3FbLQa_-QbCNdBi90OdPjRqg"", ""'Plan de Compras'!D4:Q""), 14, 0), """")"),"ALEJANDRA")</f>
        <v>ALEJANDRA</v>
      </c>
      <c r="AC254" s="72" t="str">
        <f>IFERROR(__xludf.DUMMYFUNCTION("IFERROR(VLOOKUP(G254,IMPORTRANGE(""https://docs.google.com/spreadsheets/d/12RxCea4e5ggM7QGn1XE3FbLQa_-QbCNdBi90OdPjRqg"", ""'Plan de Compras'!D4:Q""), 4, 0), """")"),"JUEGO DE ALICATES")</f>
        <v>JUEGO DE ALICATES</v>
      </c>
      <c r="AD254" s="37" t="str">
        <f>IFERROR(__xludf.DUMMYFUNCTION("IFERROR(IF(OR(C254=TRUE,C254=""""),VLOOKUP(G254,IMPORTRANGE(""https://docs.google.com/spreadsheets/d/1z9A1Wq-kKrhRNG5RS2a2fKpY1wIhSVz2ZNmP2mOl588/edit?usp=sharing"",""REQ VF!E4:H""),4,0),""NO APLICA""),""GENERAR REQ"")"),"GENERAR REQ")</f>
        <v>GENERAR REQ</v>
      </c>
      <c r="AE254" s="32" t="str">
        <f>IFERROR(__xludf.DUMMYFUNCTION("IFERROR(QUERY(IMPORTRANGE(""https://docs.google.com/spreadsheets/d/1z9A1Wq-kKrhRNG5RS2a2fKpY1wIhSVz2ZNmP2mOl588/edit?usp=sharing"",""REQ VF!E4:Q""),""SELECT Col10, Col11, Col12 WHERE Col1 = '""&amp;G254&amp;""'"",0),""NO APLICA"")"),"NO APLICA")</f>
        <v>NO APLICA</v>
      </c>
      <c r="AF254" s="32"/>
      <c r="AG254" s="32"/>
      <c r="AH254" s="13"/>
      <c r="AI254" s="13"/>
    </row>
    <row r="255">
      <c r="A255" s="121">
        <v>167.0</v>
      </c>
      <c r="B255" s="43" t="b">
        <v>1</v>
      </c>
      <c r="C255" s="26" t="b">
        <v>1</v>
      </c>
      <c r="D255" s="26" t="s">
        <v>35</v>
      </c>
      <c r="E255" s="26" t="s">
        <v>1510</v>
      </c>
      <c r="F255" s="59" t="s">
        <v>2388</v>
      </c>
      <c r="G255" s="37" t="s">
        <v>2395</v>
      </c>
      <c r="H255" s="82" t="s">
        <v>2390</v>
      </c>
      <c r="I255" s="43">
        <f>SUMIFS('Hoja 10'!$O:$O,'Hoja 10'!$F:$F,$G255)</f>
        <v>16</v>
      </c>
      <c r="J255" s="26">
        <f>IFERROR(__xludf.DUMMYFUNCTION("VLOOKUP(G255,IMPORTRANGE(""https://docs.google.com/spreadsheets/d/12RxCea4e5ggM7QGn1XE3FbLQa_-QbCNdBi90OdPjRqg/edit?gid=1692403370#gid=1692403370"", ""'Plan de Compras'!D4:2432""), 8,0)"),16.0)</f>
        <v>16</v>
      </c>
      <c r="K255" s="26" t="str">
        <f t="shared" si="31"/>
        <v>SI</v>
      </c>
      <c r="L255" s="29" t="s">
        <v>339</v>
      </c>
      <c r="M255" s="30" t="s">
        <v>340</v>
      </c>
      <c r="N255" s="32"/>
      <c r="O255" s="32" t="str">
        <f>VLOOKUP($G255,'Hoja 10'!$F$4:$AA1057, 19,0)</f>
        <v>TRUPER</v>
      </c>
      <c r="P255" s="32">
        <f>VLOOKUP($G255,'Hoja 10'!$F$4:$AA1057, 20,0)</f>
        <v>5632486</v>
      </c>
      <c r="Q255" s="33" t="str">
        <f>VLOOKUP($G255,'Hoja 10'!$F$4:$AA1057, 21,0)</f>
        <v>https://simple.ripley.com.pe/juego-de-alicates-3-piezas-truper-18215-pmp20000843165?srsltid=AfmBOooFairssWBR9swvwgkKS021r2FwkJodihAxEXSKevC0SlSZtDXd&amp;color_80=naranja&amp;s=mdco</v>
      </c>
      <c r="R255" s="86" t="s">
        <v>2396</v>
      </c>
      <c r="S255" s="44" t="b">
        <v>1</v>
      </c>
      <c r="T255" s="39" t="s">
        <v>2338</v>
      </c>
      <c r="U255" s="61">
        <v>5632486.0</v>
      </c>
      <c r="V255" s="39" t="str">
        <f>IFERROR(__xludf.DUMMYFUNCTION(" IF
( VLOOKUP($G255,IMPORTRANGE(""https://docs.google.com/spreadsheets/d/1Gpl6jkTg7sL4VDNimUm3S9Vi1i95esohXCF3wuKOE8c"", ""'CONSOLIDADO'!G5:AB""), 10, 0) &lt;&gt; 0, 
IFERROR(VLOOKUP($G255,IMPORTRANGE(""https://docs.google.com/spreadsheets/d/1Gpl6jkTg7sL4VDNimU"&amp;"m3S9Vi1i95esohXCF3wuKOE8c"", ""'CONSOLIDADO'!G5:AB""), 17, 0), ""-""),
""""
)"),"TRUPER")</f>
        <v>TRUPER</v>
      </c>
      <c r="W255" s="39">
        <f>IFERROR(__xludf.DUMMYFUNCTION(" IF
( VLOOKUP($G255,IMPORTRANGE(""https://docs.google.com/spreadsheets/d/1Gpl6jkTg7sL4VDNimUm3S9Vi1i95esohXCF3wuKOE8c"", ""'CONSOLIDADO'!G5:AB""), 10, 0) &lt;&gt; 0, 
IFERROR(VLOOKUP($G255,IMPORTRANGE(""https://docs.google.com/spreadsheets/d/1Gpl6jkTg7sL4VDNimU"&amp;"m3S9Vi1i95esohXCF3wuKOE8c"", ""'CONSOLIDADO'!G5:AB""), 18, 0), ""-""),
""""
)"),18215.0)</f>
        <v>18215</v>
      </c>
      <c r="X255" s="39" t="b">
        <f t="shared" si="32"/>
        <v>0</v>
      </c>
      <c r="Y255" s="129" t="s">
        <v>2296</v>
      </c>
      <c r="Z255" s="37" t="str">
        <f>IFERROR(__xludf.DUMMYFUNCTION("IFERROR(VLOOKUP(G255,IMPORTRANGE(""https://docs.google.com/spreadsheets/d/12RxCea4e5ggM7QGn1XE3FbLQa_-QbCNdBi90OdPjRqg"", ""'Plan de Compras'!D4:Q""), 12, 0), ""NO ESTÁ EN REQ"")"),"Simple")</f>
        <v>Simple</v>
      </c>
      <c r="AA255" s="37" t="str">
        <f>IFERROR(__xludf.DUMMYFUNCTION("IFERROR(VLOOKUP(G255,IMPORTRANGE(""https://docs.google.com/spreadsheets/d/12RxCea4e5ggM7QGn1XE3FbLQa_-QbCNdBi90OdPjRqg"", ""'Plan de Compras'!D4:Q""), 13, 0), """")"),"NACIONAL")</f>
        <v>NACIONAL</v>
      </c>
      <c r="AB255" s="32" t="str">
        <f>IFERROR(__xludf.DUMMYFUNCTION("IFERROR(VLOOKUP(G255,IMPORTRANGE(""https://docs.google.com/spreadsheets/d/12RxCea4e5ggM7QGn1XE3FbLQa_-QbCNdBi90OdPjRqg"", ""'Plan de Compras'!D4:Q""), 14, 0), """")"),"DIANA")</f>
        <v>DIANA</v>
      </c>
      <c r="AC255" s="72" t="str">
        <f>IFERROR(__xludf.DUMMYFUNCTION("IFERROR(VLOOKUP(G255,IMPORTRANGE(""https://docs.google.com/spreadsheets/d/12RxCea4e5ggM7QGn1XE3FbLQa_-QbCNdBi90OdPjRqg"", ""'Plan de Compras'!D4:Q""), 4, 0), """")"),"JUEGO DE ALICATES")</f>
        <v>JUEGO DE ALICATES</v>
      </c>
      <c r="AD255" s="37" t="str">
        <f>IFERROR(__xludf.DUMMYFUNCTION("IFERROR(IF(OR(C255=TRUE,C255=""""),VLOOKUP(G255,IMPORTRANGE(""https://docs.google.com/spreadsheets/d/1z9A1Wq-kKrhRNG5RS2a2fKpY1wIhSVz2ZNmP2mOl588/edit?usp=sharing"",""REQ VF!E4:H""),4,0),""NO APLICA""),""GENERAR REQ"")"),"GENERAR REQ")</f>
        <v>GENERAR REQ</v>
      </c>
      <c r="AE255" s="32" t="str">
        <f>IFERROR(__xludf.DUMMYFUNCTION("IFERROR(QUERY(IMPORTRANGE(""https://docs.google.com/spreadsheets/d/1z9A1Wq-kKrhRNG5RS2a2fKpY1wIhSVz2ZNmP2mOl588/edit?usp=sharing"",""REQ VF!E4:Q""),""SELECT Col10, Col11, Col12 WHERE Col1 = '""&amp;G255&amp;""'"",0),""NO APLICA"")"),"NO APLICA")</f>
        <v>NO APLICA</v>
      </c>
      <c r="AF255" s="32"/>
      <c r="AG255" s="32"/>
      <c r="AH255" s="8" t="s">
        <v>52</v>
      </c>
      <c r="AI255" s="8"/>
    </row>
    <row r="256">
      <c r="A256" s="121">
        <v>168.0</v>
      </c>
      <c r="B256" s="43" t="b">
        <v>1</v>
      </c>
      <c r="C256" s="26" t="b">
        <v>1</v>
      </c>
      <c r="D256" s="26" t="s">
        <v>35</v>
      </c>
      <c r="E256" s="26" t="s">
        <v>1510</v>
      </c>
      <c r="F256" s="59" t="s">
        <v>2397</v>
      </c>
      <c r="G256" s="37" t="s">
        <v>2397</v>
      </c>
      <c r="H256" s="82" t="s">
        <v>2398</v>
      </c>
      <c r="I256" s="43">
        <f>SUMIFS('Hoja 10'!$O:$O,'Hoja 10'!$F:$F,$G256)</f>
        <v>3</v>
      </c>
      <c r="J256" s="26">
        <f>IFERROR(__xludf.DUMMYFUNCTION("VLOOKUP(G256,IMPORTRANGE(""https://docs.google.com/spreadsheets/d/12RxCea4e5ggM7QGn1XE3FbLQa_-QbCNdBi90OdPjRqg/edit?gid=1692403370#gid=1692403370"", ""'Plan de Compras'!D4:2432""), 8,0)"),3.0)</f>
        <v>3</v>
      </c>
      <c r="K256" s="26" t="str">
        <f t="shared" si="31"/>
        <v>SI</v>
      </c>
      <c r="L256" s="29" t="s">
        <v>91</v>
      </c>
      <c r="M256" s="30" t="s">
        <v>92</v>
      </c>
      <c r="N256" s="32"/>
      <c r="O256" s="32" t="str">
        <f>VLOOKUP($G256,'Hoja 10'!$F$4:$AA1057, 19,0)</f>
        <v>STANLEY</v>
      </c>
      <c r="P256" s="32" t="str">
        <f>VLOOKUP($G256,'Hoja 10'!$F$4:$AA1057, 20,0)</f>
        <v>VDE 1000V</v>
      </c>
      <c r="Q256" s="33" t="str">
        <f>VLOOKUP($G256,'Hoja 10'!$F$4:$AA1057, 21,0)</f>
        <v>https://www.sodimac.com.pe/sodimac-pe/articulo/113524255/Set-3-Alicates-Aislados-Stanley-VDE-1000V/113524256?kid=goosho_669250&amp;shop=googleShopping&amp;gad_source=1&amp;gad_campaignid=21524717227&amp;gbraid=0AAAAADOx_19x8b5Ra3HeHOFm9g2quB7Re&amp;gclid=Cj0KCQjw3aLHBhDTARIsAIRij5-n4fTTHEuyzX0ziM8ZITDMZkLhUVkhGa091goqpEx0tTs8iMVspi0aArSpEALw_wcB</v>
      </c>
      <c r="R256" s="86" t="s">
        <v>2399</v>
      </c>
      <c r="S256" s="44" t="b">
        <v>1</v>
      </c>
      <c r="T256" s="39" t="s">
        <v>2400</v>
      </c>
      <c r="U256" s="39" t="s">
        <v>2401</v>
      </c>
      <c r="V256" s="39" t="str">
        <f>IFERROR(__xludf.DUMMYFUNCTION(" IF
( VLOOKUP($G256,IMPORTRANGE(""https://docs.google.com/spreadsheets/d/1Gpl6jkTg7sL4VDNimUm3S9Vi1i95esohXCF3wuKOE8c"", ""'CONSOLIDADO'!G5:AB""), 10, 0) &lt;&gt; 0, 
IFERROR(VLOOKUP($G256,IMPORTRANGE(""https://docs.google.com/spreadsheets/d/1Gpl6jkTg7sL4VDNimU"&amp;"m3S9Vi1i95esohXCF3wuKOE8c"", ""'CONSOLIDADO'!G5:AB""), 17, 0), ""-""),
""""
)"),"STANLEY")</f>
        <v>STANLEY</v>
      </c>
      <c r="W256" s="39" t="str">
        <f>IFERROR(__xludf.DUMMYFUNCTION(" IF
( VLOOKUP($G256,IMPORTRANGE(""https://docs.google.com/spreadsheets/d/1Gpl6jkTg7sL4VDNimUm3S9Vi1i95esohXCF3wuKOE8c"", ""'CONSOLIDADO'!G5:AB""), 10, 0) &lt;&gt; 0, 
IFERROR(VLOOKUP($G256,IMPORTRANGE(""https://docs.google.com/spreadsheets/d/1Gpl6jkTg7sL4VDNimU"&amp;"m3S9Vi1i95esohXCF3wuKOE8c"", ""'CONSOLIDADO'!G5:AB""), 18, 0), ""-""),
""""
)"),"84-011")</f>
        <v>84-011</v>
      </c>
      <c r="X256" s="39" t="b">
        <f t="shared" si="32"/>
        <v>1</v>
      </c>
      <c r="Y256" s="129" t="s">
        <v>2296</v>
      </c>
      <c r="Z256" s="37" t="str">
        <f>IFERROR(__xludf.DUMMYFUNCTION("IFERROR(VLOOKUP(G256,IMPORTRANGE(""https://docs.google.com/spreadsheets/d/12RxCea4e5ggM7QGn1XE3FbLQa_-QbCNdBi90OdPjRqg"", ""'Plan de Compras'!D4:Q""), 12, 0), ""NO ESTÁ EN REQ"")"),"Simple")</f>
        <v>Simple</v>
      </c>
      <c r="AA256" s="37" t="str">
        <f>IFERROR(__xludf.DUMMYFUNCTION("IFERROR(VLOOKUP(G256,IMPORTRANGE(""https://docs.google.com/spreadsheets/d/12RxCea4e5ggM7QGn1XE3FbLQa_-QbCNdBi90OdPjRqg"", ""'Plan de Compras'!D4:Q""), 13, 0), """")"),"NACIONAL")</f>
        <v>NACIONAL</v>
      </c>
      <c r="AB256" s="32" t="str">
        <f>IFERROR(__xludf.DUMMYFUNCTION("IFERROR(VLOOKUP(G256,IMPORTRANGE(""https://docs.google.com/spreadsheets/d/12RxCea4e5ggM7QGn1XE3FbLQa_-QbCNdBi90OdPjRqg"", ""'Plan de Compras'!D4:Q""), 14, 0), """")"),"DIANA")</f>
        <v>DIANA</v>
      </c>
      <c r="AC256" s="72" t="str">
        <f>IFERROR(__xludf.DUMMYFUNCTION("IFERROR(VLOOKUP(G256,IMPORTRANGE(""https://docs.google.com/spreadsheets/d/12RxCea4e5ggM7QGn1XE3FbLQa_-QbCNdBi90OdPjRqg"", ""'Plan de Compras'!D4:Q""), 4, 0), """")"),"JUEGO DE ALICATES AISLADOS")</f>
        <v>JUEGO DE ALICATES AISLADOS</v>
      </c>
      <c r="AD256" s="37" t="str">
        <f>IFERROR(__xludf.DUMMYFUNCTION("IFERROR(IF(OR(C256=TRUE,C256=""""),VLOOKUP(G256,IMPORTRANGE(""https://docs.google.com/spreadsheets/d/1z9A1Wq-kKrhRNG5RS2a2fKpY1wIhSVz2ZNmP2mOl588/edit?usp=sharing"",""REQ VF!E4:H""),4,0),""NO APLICA""),""GENERAR REQ"")"),"GENERAR REQ")</f>
        <v>GENERAR REQ</v>
      </c>
      <c r="AE256" s="32" t="str">
        <f>IFERROR(__xludf.DUMMYFUNCTION("IFERROR(QUERY(IMPORTRANGE(""https://docs.google.com/spreadsheets/d/1z9A1Wq-kKrhRNG5RS2a2fKpY1wIhSVz2ZNmP2mOl588/edit?usp=sharing"",""REQ VF!E4:Q""),""SELECT Col10, Col11, Col12 WHERE Col1 = '""&amp;G256&amp;""'"",0),""NO APLICA"")"),"NO APLICA")</f>
        <v>NO APLICA</v>
      </c>
      <c r="AF256" s="32"/>
      <c r="AG256" s="32"/>
      <c r="AH256" s="8" t="s">
        <v>52</v>
      </c>
      <c r="AI256" s="8"/>
    </row>
    <row r="257">
      <c r="A257" s="121">
        <v>169.0</v>
      </c>
      <c r="B257" s="43" t="b">
        <v>1</v>
      </c>
      <c r="C257" s="26" t="b">
        <v>1</v>
      </c>
      <c r="D257" s="26" t="s">
        <v>35</v>
      </c>
      <c r="E257" s="26" t="s">
        <v>1510</v>
      </c>
      <c r="F257" s="59" t="s">
        <v>2402</v>
      </c>
      <c r="G257" s="37" t="s">
        <v>2402</v>
      </c>
      <c r="H257" s="82" t="s">
        <v>2403</v>
      </c>
      <c r="I257" s="43">
        <f>SUMIFS('Hoja 10'!$O:$O,'Hoja 10'!$F:$F,$G257)</f>
        <v>8</v>
      </c>
      <c r="J257" s="26">
        <f>IFERROR(__xludf.DUMMYFUNCTION("VLOOKUP(G257,IMPORTRANGE(""https://docs.google.com/spreadsheets/d/12RxCea4e5ggM7QGn1XE3FbLQa_-QbCNdBi90OdPjRqg/edit?gid=1692403370#gid=1692403370"", ""'Plan de Compras'!D4:2432""), 8,0)"),8.0)</f>
        <v>8</v>
      </c>
      <c r="K257" s="26" t="str">
        <f t="shared" si="31"/>
        <v>SI</v>
      </c>
      <c r="L257" s="29" t="s">
        <v>296</v>
      </c>
      <c r="M257" s="30" t="s">
        <v>297</v>
      </c>
      <c r="N257" s="32"/>
      <c r="O257" s="32" t="str">
        <f>VLOOKUP($G257,'Hoja 10'!$F$4:$AA1057, 19,0)</f>
        <v>Truper</v>
      </c>
      <c r="P257" s="32">
        <f>VLOOKUP($G257,'Hoja 10'!$F$4:$AA1057, 20,0)</f>
        <v>11395</v>
      </c>
      <c r="Q257" s="33" t="str">
        <f>VLOOKUP($G257,'Hoja 10'!$F$4:$AA1057, 21,0)</f>
        <v>https://cahema.pe/paleta/17291-set-de-brocas-paleta-14-hex-6-piezas-para-madera-truper-11395-7501206679555.html</v>
      </c>
      <c r="R257" s="86" t="s">
        <v>2404</v>
      </c>
      <c r="S257" s="44" t="b">
        <v>1</v>
      </c>
      <c r="T257" s="39" t="s">
        <v>2338</v>
      </c>
      <c r="U257" s="39">
        <v>11395.0</v>
      </c>
      <c r="V257" s="39" t="str">
        <f>IFERROR(__xludf.DUMMYFUNCTION(" IF
( VLOOKUP($G257,IMPORTRANGE(""https://docs.google.com/spreadsheets/d/1Gpl6jkTg7sL4VDNimUm3S9Vi1i95esohXCF3wuKOE8c"", ""'CONSOLIDADO'!G5:AB""), 10, 0) &lt;&gt; 0, 
IFERROR(VLOOKUP($G257,IMPORTRANGE(""https://docs.google.com/spreadsheets/d/1Gpl6jkTg7sL4VDNimU"&amp;"m3S9Vi1i95esohXCF3wuKOE8c"", ""'CONSOLIDADO'!G5:AB""), 17, 0), ""-""),
""""
)"),"TRUPER")</f>
        <v>TRUPER</v>
      </c>
      <c r="W257" s="39" t="str">
        <f>IFERROR(__xludf.DUMMYFUNCTION(" IF
( VLOOKUP($G257,IMPORTRANGE(""https://docs.google.com/spreadsheets/d/1Gpl6jkTg7sL4VDNimUm3S9Vi1i95esohXCF3wuKOE8c"", ""'CONSOLIDADO'!G5:AB""), 10, 0) &lt;&gt; 0, 
IFERROR(VLOOKUP($G257,IMPORTRANGE(""https://docs.google.com/spreadsheets/d/1Gpl6jkTg7sL4VDNimU"&amp;"m3S9Vi1i95esohXCF3wuKOE8c"", ""'CONSOLIDADO'!G5:AB""), 18, 0), ""-""),
""""
)"),"J-BPT-6		")</f>
        <v>J-BPT-6		</v>
      </c>
      <c r="X257" s="39" t="b">
        <f t="shared" si="32"/>
        <v>0</v>
      </c>
      <c r="Y257" s="120" t="s">
        <v>2405</v>
      </c>
      <c r="Z257" s="37" t="str">
        <f>IFERROR(__xludf.DUMMYFUNCTION("IFERROR(VLOOKUP(G257,IMPORTRANGE(""https://docs.google.com/spreadsheets/d/12RxCea4e5ggM7QGn1XE3FbLQa_-QbCNdBi90OdPjRqg"", ""'Plan de Compras'!D4:Q""), 12, 0), ""NO ESTÁ EN REQ"")"),"Simple")</f>
        <v>Simple</v>
      </c>
      <c r="AA257" s="37" t="str">
        <f>IFERROR(__xludf.DUMMYFUNCTION("IFERROR(VLOOKUP(G257,IMPORTRANGE(""https://docs.google.com/spreadsheets/d/12RxCea4e5ggM7QGn1XE3FbLQa_-QbCNdBi90OdPjRqg"", ""'Plan de Compras'!D4:Q""), 13, 0), """")"),"NACIONAL")</f>
        <v>NACIONAL</v>
      </c>
      <c r="AB257" s="32" t="str">
        <f>IFERROR(__xludf.DUMMYFUNCTION("IFERROR(VLOOKUP(G257,IMPORTRANGE(""https://docs.google.com/spreadsheets/d/12RxCea4e5ggM7QGn1XE3FbLQa_-QbCNdBi90OdPjRqg"", ""'Plan de Compras'!D4:Q""), 14, 0), """")"),"ANGIE")</f>
        <v>ANGIE</v>
      </c>
      <c r="AC257" s="72" t="str">
        <f>IFERROR(__xludf.DUMMYFUNCTION("IFERROR(VLOOKUP(G257,IMPORTRANGE(""https://docs.google.com/spreadsheets/d/12RxCea4e5ggM7QGn1XE3FbLQa_-QbCNdBi90OdPjRqg"", ""'Plan de Compras'!D4:Q""), 4, 0), """")"),"JUEGO DE BROCAS DE PALETA")</f>
        <v>JUEGO DE BROCAS DE PALETA</v>
      </c>
      <c r="AD257" s="37" t="str">
        <f>IFERROR(__xludf.DUMMYFUNCTION("IFERROR(IF(OR(C257=TRUE,C257=""""),VLOOKUP(G257,IMPORTRANGE(""https://docs.google.com/spreadsheets/d/1z9A1Wq-kKrhRNG5RS2a2fKpY1wIhSVz2ZNmP2mOl588/edit?usp=sharing"",""REQ VF!E4:H""),4,0),""NO APLICA""),""GENERAR REQ"")"),"GENERAR REQ")</f>
        <v>GENERAR REQ</v>
      </c>
      <c r="AE257" s="32" t="str">
        <f>IFERROR(__xludf.DUMMYFUNCTION("IFERROR(QUERY(IMPORTRANGE(""https://docs.google.com/spreadsheets/d/1z9A1Wq-kKrhRNG5RS2a2fKpY1wIhSVz2ZNmP2mOl588/edit?usp=sharing"",""REQ VF!E4:Q""),""SELECT Col10, Col11, Col12 WHERE Col1 = '""&amp;G257&amp;""'"",0),""NO APLICA"")"),"NO APLICA")</f>
        <v>NO APLICA</v>
      </c>
      <c r="AF257" s="32"/>
      <c r="AG257" s="32"/>
      <c r="AH257" s="8" t="s">
        <v>52</v>
      </c>
      <c r="AI257" s="8"/>
    </row>
    <row r="258">
      <c r="A258" s="117">
        <v>170.0</v>
      </c>
      <c r="B258" s="43" t="b">
        <v>1</v>
      </c>
      <c r="C258" s="26" t="b">
        <v>0</v>
      </c>
      <c r="D258" s="26" t="s">
        <v>35</v>
      </c>
      <c r="E258" s="26" t="s">
        <v>1510</v>
      </c>
      <c r="F258" s="59" t="s">
        <v>2406</v>
      </c>
      <c r="G258" s="37" t="s">
        <v>2406</v>
      </c>
      <c r="H258" s="82" t="s">
        <v>2407</v>
      </c>
      <c r="I258" s="43">
        <f>SUMIFS('Hoja 10'!$O:$O,'Hoja 10'!$F:$F,$G258)</f>
        <v>2</v>
      </c>
      <c r="J258" s="26" t="str">
        <f>IFERROR(__xludf.DUMMYFUNCTION("VLOOKUP(G258,IMPORTRANGE(""https://docs.google.com/spreadsheets/d/12RxCea4e5ggM7QGn1XE3FbLQa_-QbCNdBi90OdPjRqg/edit?gid=1692403370#gid=1692403370"", ""'Plan de Compras'!D4:2432""), 8,0)"),"#N/A")</f>
        <v>#N/A</v>
      </c>
      <c r="K258" s="26" t="str">
        <f t="shared" si="31"/>
        <v>-</v>
      </c>
      <c r="L258" s="29" t="s">
        <v>296</v>
      </c>
      <c r="M258" s="30" t="s">
        <v>297</v>
      </c>
      <c r="N258" s="32"/>
      <c r="O258" s="32" t="s">
        <v>2400</v>
      </c>
      <c r="P258" s="32"/>
      <c r="Q258" s="33" t="s">
        <v>2408</v>
      </c>
      <c r="R258" s="86" t="s">
        <v>2409</v>
      </c>
      <c r="S258" s="44" t="b">
        <v>0</v>
      </c>
      <c r="T258" s="39" t="str">
        <f>IFERROR(__xludf.DUMMYFUNCTION(" IF
( VLOOKUP($G258,IMPORTRANGE(""https://docs.google.com/spreadsheets/d/1Gpl6jkTg7sL4VDNimUm3S9Vi1i95esohXCF3wuKOE8c"", ""'CONSOLIDADO'!G5:AB""), 10, 0) &lt;&gt; 0, 
IFERROR(VLOOKUP($G258,IMPORTRANGE(""https://docs.google.com/spreadsheets/d/1Gpl6jkTg7sL4VDNimU"&amp;"m3S9Vi1i95esohXCF3wuKOE8c"", ""'CONSOLIDADO'!G5:AB""), 17, 0), ""-""),
""""
)"),"STANLEY  / STANLEY / TRUPER")</f>
        <v>STANLEY  / STANLEY / TRUPER</v>
      </c>
      <c r="U258" s="39" t="str">
        <f>IFERROR(__xludf.DUMMYFUNCTION(" IF
( VLOOKUP($G258,IMPORTRANGE(""https://docs.google.com/spreadsheets/d/1Gpl6jkTg7sL4VDNimUm3S9Vi1i95esohXCF3wuKOE8c"", ""'CONSOLIDADO'!G5:AB""), 10, 0) &lt;&gt; 0, 
IFERROR(VLOOKUP($G258,IMPORTRANGE(""https://docs.google.com/spreadsheets/d/1Gpl6jkTg7sL4VDNimU"&amp;"m3S9Vi1i95esohXCF3wuKOE8c"", ""'CONSOLIDADO'!G5:AB""), 18, 0), ""-""),
""""
)"),"‎1-12-004 / 1-12-005 / 12021")</f>
        <v>‎1-12-004 / 1-12-005 / 12021</v>
      </c>
      <c r="V258" s="39" t="str">
        <f>IFERROR(__xludf.DUMMYFUNCTION(" IF
( VLOOKUP($G258,IMPORTRANGE(""https://docs.google.com/spreadsheets/d/1Gpl6jkTg7sL4VDNimUm3S9Vi1i95esohXCF3wuKOE8c"", ""'CONSOLIDADO'!G5:AB""), 10, 0) &lt;&gt; 0, 
IFERROR(VLOOKUP($G258,IMPORTRANGE(""https://docs.google.com/spreadsheets/d/1Gpl6jkTg7sL4VDNimU"&amp;"m3S9Vi1i95esohXCF3wuKOE8c"", ""'CONSOLIDADO'!G5:AB""), 17, 0), ""-""),
""""
)"),"STANLEY  / STANLEY / TRUPER")</f>
        <v>STANLEY  / STANLEY / TRUPER</v>
      </c>
      <c r="W258" s="39" t="str">
        <f>IFERROR(__xludf.DUMMYFUNCTION(" IF
( VLOOKUP($G258,IMPORTRANGE(""https://docs.google.com/spreadsheets/d/1Gpl6jkTg7sL4VDNimUm3S9Vi1i95esohXCF3wuKOE8c"", ""'CONSOLIDADO'!G5:AB""), 10, 0) &lt;&gt; 0, 
IFERROR(VLOOKUP($G258,IMPORTRANGE(""https://docs.google.com/spreadsheets/d/1Gpl6jkTg7sL4VDNimU"&amp;"m3S9Vi1i95esohXCF3wuKOE8c"", ""'CONSOLIDADO'!G5:AB""), 18, 0), ""-""),
""""
)"),"‎1-12-004 / 1-12-005 / 12021")</f>
        <v>‎1-12-004 / 1-12-005 / 12021</v>
      </c>
      <c r="X258" s="39" t="b">
        <f t="shared" si="32"/>
        <v>1</v>
      </c>
      <c r="Y258" s="110" t="str">
        <f>IFERROR(__xludf.DUMMYFUNCTION(" IF
( VLOOKUP($G258,IMPORTRANGE(""https://docs.google.com/spreadsheets/d/1Gpl6jkTg7sL4VDNimUm3S9Vi1i95esohXCF3wuKOE8c"", ""'CONSOLIDADO'!G5:AB""), 10, 0) &lt;&gt; 0, 
IFERROR(VLOOKUP($G258,IMPORTRANGE(""https://docs.google.com/spreadsheets/d/1Gpl6jkTg7sL4VDNimU"&amp;"m3S9Vi1i95esohXCF3wuKOE8c"", ""'CONSOLIDADO'!G5:AB""), 19, 0), ""-""),
""""
)"),"https://www.amazon.es/Stanley-1-12-004-Cepillo-manual-4-50x245mm/dp/B0001GRVKU?th=1
https://www.amazon.es/Stanley-1-12-005-Cepillo-garlopin-5-50x335mm/dp/B0001IWDDI/ref=sr_1_2?__mk_es_ES=%C3%85M%C3%85%C5%BD%C3%95%C3%91&amp;crid=28LCCYV33QS9R&amp;dib=eyJ2IjoiMSJ9"&amp;".l1DluArq5tg_ftNB8z3eZ8pZSYdzO780w4ldoveGHAMKBR-dzMxeLO7d9KPqx9yhzUpXOcdoL5WA1xNHCGK-_h3Z-QrWMV2JBk5vKuHiyFP--Yvh_XIuRb7G-B5m_mkYZff1iD0Ofn_l0ziOxt3PsyRJKGasqnTaY1LRSBwIg3Ii4sjRRePgilvkihI4tq4DCyuGkhZlqNTscmIJT0KdGaaersSh6p8LME81_vA8NZg.tmOSDFiZd_NVFzPBjJ"&amp;"ic6hdFgTXFwqKLJegxK0eEbr8&amp;dib_tag=se&amp;keywords=STANLEY+Cepillo+Manual+Bailey+de+Banco+N%C2%BA+5&amp;qid=1761574488&amp;s=tools&amp;sprefix=stanley+cepillo+manual+bailey+de+banco+n%C2%BA+%2Cdiy%2C405&amp;sr=1-2
https://www.truper.com/ficha_tecnica/Cepillos-de-carpintero-l"&amp;"isos.html?code=12018")</f>
        <v>https://www.amazon.es/Stanley-1-12-004-Cepillo-manual-4-50x245mm/dp/B0001GRVKU?th=1
https://www.amazon.es/Stanley-1-12-005-Cepillo-garlopin-5-50x335mm/dp/B0001IWDDI/ref=sr_1_2?__mk_es_ES=%C3%85M%C3%85%C5%BD%C3%95%C3%91&amp;crid=28LCCYV33QS9R&amp;dib=eyJ2IjoiMSJ9.l1DluArq5tg_ftNB8z3eZ8pZSYdzO780w4ldoveGHAMKBR-dzMxeLO7d9KPqx9yhzUpXOcdoL5WA1xNHCGK-_h3Z-QrWMV2JBk5vKuHiyFP--Yvh_XIuRb7G-B5m_mkYZff1iD0Ofn_l0ziOxt3PsyRJKGasqnTaY1LRSBwIg3Ii4sjRRePgilvkihI4tq4DCyuGkhZlqNTscmIJT0KdGaaersSh6p8LME81_vA8NZg.tmOSDFiZd_NVFzPBjJic6hdFgTXFwqKLJegxK0eEbr8&amp;dib_tag=se&amp;keywords=STANLEY+Cepillo+Manual+Bailey+de+Banco+N%C2%BA+5&amp;qid=1761574488&amp;s=tools&amp;sprefix=stanley+cepillo+manual+bailey+de+banco+n%C2%BA+%2Cdiy%2C405&amp;sr=1-2
https://www.truper.com/ficha_tecnica/Cepillos-de-carpintero-lisos.html?code=12018</v>
      </c>
      <c r="Z258" s="37" t="str">
        <f>IFERROR(__xludf.DUMMYFUNCTION("IFERROR(VLOOKUP(G258,IMPORTRANGE(""https://docs.google.com/spreadsheets/d/12RxCea4e5ggM7QGn1XE3FbLQa_-QbCNdBi90OdPjRqg"", ""'Plan de Compras'!D4:Q""), 12, 0), ""NO ESTÁ EN REQ"")"),"NO ESTÁ EN REQ")</f>
        <v>NO ESTÁ EN REQ</v>
      </c>
      <c r="AA258" s="37" t="str">
        <f>IFERROR(__xludf.DUMMYFUNCTION("IFERROR(VLOOKUP(G258,IMPORTRANGE(""https://docs.google.com/spreadsheets/d/12RxCea4e5ggM7QGn1XE3FbLQa_-QbCNdBi90OdPjRqg"", ""'Plan de Compras'!D4:Q""), 13, 0), """")"),"")</f>
        <v/>
      </c>
      <c r="AB258" s="32" t="str">
        <f>IFERROR(__xludf.DUMMYFUNCTION("IFERROR(VLOOKUP(G258,IMPORTRANGE(""https://docs.google.com/spreadsheets/d/12RxCea4e5ggM7QGn1XE3FbLQa_-QbCNdBi90OdPjRqg"", ""'Plan de Compras'!D4:Q""), 14, 0), """")"),"")</f>
        <v/>
      </c>
      <c r="AC258" s="72" t="str">
        <f>IFERROR(__xludf.DUMMYFUNCTION("IFERROR(VLOOKUP(G258,IMPORTRANGE(""https://docs.google.com/spreadsheets/d/12RxCea4e5ggM7QGn1XE3FbLQa_-QbCNdBi90OdPjRqg"", ""'Plan de Compras'!D4:Q""), 4, 0), """")"),"")</f>
        <v/>
      </c>
      <c r="AD258" s="37" t="str">
        <f>IFERROR(__xludf.DUMMYFUNCTION("IFERROR(IF(OR(C258=TRUE,C258=""""),VLOOKUP(G258,IMPORTRANGE(""https://docs.google.com/spreadsheets/d/1z9A1Wq-kKrhRNG5RS2a2fKpY1wIhSVz2ZNmP2mOl588/edit?usp=sharing"",""REQ VF!E4:H""),4,0),""NO APLICA""),""GENERAR REQ"")"),"NO APLICA")</f>
        <v>NO APLICA</v>
      </c>
      <c r="AE258" s="32" t="str">
        <f>IFERROR(__xludf.DUMMYFUNCTION("IFERROR(QUERY(IMPORTRANGE(""https://docs.google.com/spreadsheets/d/1z9A1Wq-kKrhRNG5RS2a2fKpY1wIhSVz2ZNmP2mOl588/edit?usp=sharing"",""REQ VF!E4:Q""),""SELECT Col10, Col11, Col12 WHERE Col1 = '""&amp;G258&amp;""'"",0),""NO APLICA"")"),"NO APLICA")</f>
        <v>NO APLICA</v>
      </c>
      <c r="AF258" s="32"/>
      <c r="AG258" s="32"/>
      <c r="AH258" s="13"/>
      <c r="AI258" s="13"/>
    </row>
    <row r="259">
      <c r="A259" s="43"/>
      <c r="B259" s="43"/>
      <c r="C259" s="26" t="b">
        <v>1</v>
      </c>
      <c r="D259" s="26" t="s">
        <v>95</v>
      </c>
      <c r="E259" s="60" t="s">
        <v>1510</v>
      </c>
      <c r="F259" s="59" t="s">
        <v>2406</v>
      </c>
      <c r="G259" s="39" t="s">
        <v>2410</v>
      </c>
      <c r="H259" s="66" t="s">
        <v>2411</v>
      </c>
      <c r="I259" s="43">
        <f>3*I258</f>
        <v>6</v>
      </c>
      <c r="J259" s="26">
        <f>IFERROR(__xludf.DUMMYFUNCTION("VLOOKUP(G259,IMPORTRANGE(""https://docs.google.com/spreadsheets/d/12RxCea4e5ggM7QGn1XE3FbLQa_-QbCNdBi90OdPjRqg/edit?gid=1692403370#gid=1692403370"", ""'Plan de Compras'!D4:2432""), 8,0)"),6.0)</f>
        <v>6</v>
      </c>
      <c r="K259" s="26" t="str">
        <f t="shared" si="31"/>
        <v>SI</v>
      </c>
      <c r="L259" s="26"/>
      <c r="M259" s="32"/>
      <c r="N259" s="32"/>
      <c r="O259" s="32" t="s">
        <v>2400</v>
      </c>
      <c r="P259" s="32"/>
      <c r="Q259" s="33" t="s">
        <v>2412</v>
      </c>
      <c r="R259" s="32"/>
      <c r="S259" s="34" t="b">
        <v>1</v>
      </c>
      <c r="T259" s="39" t="s">
        <v>2400</v>
      </c>
      <c r="U259" s="143" t="s">
        <v>2413</v>
      </c>
      <c r="V259" s="39"/>
      <c r="W259" s="39"/>
      <c r="X259" s="39"/>
      <c r="Y259" s="120" t="s">
        <v>2408</v>
      </c>
      <c r="Z259" s="37" t="str">
        <f>IFERROR(__xludf.DUMMYFUNCTION("IFERROR(VLOOKUP(G259,IMPORTRANGE(""https://docs.google.com/spreadsheets/d/12RxCea4e5ggM7QGn1XE3FbLQa_-QbCNdBi90OdPjRqg"", ""'Plan de Compras'!D4:Q""), 12, 0), ""NO ESTÁ EN REQ"")"),"Técnica")</f>
        <v>Técnica</v>
      </c>
      <c r="AA259" s="37" t="str">
        <f>IFERROR(__xludf.DUMMYFUNCTION("IFERROR(VLOOKUP(G259,IMPORTRANGE(""https://docs.google.com/spreadsheets/d/12RxCea4e5ggM7QGn1XE3FbLQa_-QbCNdBi90OdPjRqg"", ""'Plan de Compras'!D4:Q""), 13, 0), """")"),"INTERNACIONAL")</f>
        <v>INTERNACIONAL</v>
      </c>
      <c r="AB259" s="32" t="str">
        <f>IFERROR(__xludf.DUMMYFUNCTION("IFERROR(VLOOKUP(G259,IMPORTRANGE(""https://docs.google.com/spreadsheets/d/12RxCea4e5ggM7QGn1XE3FbLQa_-QbCNdBi90OdPjRqg"", ""'Plan de Compras'!D4:Q""), 14, 0), """")"),"ALEJANDRA")</f>
        <v>ALEJANDRA</v>
      </c>
      <c r="AC259" s="72" t="str">
        <f>IFERROR(__xludf.DUMMYFUNCTION("IFERROR(VLOOKUP(G259,IMPORTRANGE(""https://docs.google.com/spreadsheets/d/12RxCea4e5ggM7QGn1XE3FbLQa_-QbCNdBi90OdPjRqg"", ""'Plan de Compras'!D4:Q""), 4, 0), """")"),"CEPILLOS MANUALES N° 4 (3 UND)")</f>
        <v>CEPILLOS MANUALES N° 4 (3 UND)</v>
      </c>
      <c r="AD259" s="37" t="str">
        <f>IFERROR(__xludf.DUMMYFUNCTION("IFERROR(IF(OR(C259=TRUE,C259=""""),VLOOKUP(G259,IMPORTRANGE(""https://docs.google.com/spreadsheets/d/1z9A1Wq-kKrhRNG5RS2a2fKpY1wIhSVz2ZNmP2mOl588/edit?usp=sharing"",""REQ VF!E4:H""),4,0),""NO APLICA""),""GENERAR REQ"")"),"GENERAR REQ")</f>
        <v>GENERAR REQ</v>
      </c>
      <c r="AE259" s="32" t="str">
        <f>IFERROR(__xludf.DUMMYFUNCTION("IFERROR(QUERY(IMPORTRANGE(""https://docs.google.com/spreadsheets/d/1z9A1Wq-kKrhRNG5RS2a2fKpY1wIhSVz2ZNmP2mOl588/edit?usp=sharing"",""REQ VF!E4:Q""),""SELECT Col10, Col11, Col12 WHERE Col1 = '""&amp;G259&amp;""'"",0),""NO APLICA"")"),"NO APLICA")</f>
        <v>NO APLICA</v>
      </c>
      <c r="AF259" s="32"/>
      <c r="AG259" s="32"/>
      <c r="AH259" s="13"/>
      <c r="AI259" s="13"/>
    </row>
    <row r="260">
      <c r="A260" s="43"/>
      <c r="B260" s="43"/>
      <c r="C260" s="26" t="b">
        <v>1</v>
      </c>
      <c r="D260" s="26" t="s">
        <v>95</v>
      </c>
      <c r="E260" s="60" t="s">
        <v>1510</v>
      </c>
      <c r="F260" s="59" t="s">
        <v>2406</v>
      </c>
      <c r="G260" s="39" t="s">
        <v>2414</v>
      </c>
      <c r="H260" s="66" t="s">
        <v>2415</v>
      </c>
      <c r="I260" s="43">
        <f>10*I258</f>
        <v>20</v>
      </c>
      <c r="J260" s="26">
        <f>IFERROR(__xludf.DUMMYFUNCTION("VLOOKUP(G260,IMPORTRANGE(""https://docs.google.com/spreadsheets/d/12RxCea4e5ggM7QGn1XE3FbLQa_-QbCNdBi90OdPjRqg/edit?gid=1692403370#gid=1692403370"", ""'Plan de Compras'!D4:2432""), 8,0)"),20.0)</f>
        <v>20</v>
      </c>
      <c r="K260" s="26" t="str">
        <f t="shared" si="31"/>
        <v>SI</v>
      </c>
      <c r="L260" s="26"/>
      <c r="M260" s="32"/>
      <c r="N260" s="32"/>
      <c r="O260" s="32" t="s">
        <v>2400</v>
      </c>
      <c r="P260" s="32"/>
      <c r="Q260" s="33" t="s">
        <v>2416</v>
      </c>
      <c r="R260" s="32"/>
      <c r="S260" s="34" t="b">
        <v>1</v>
      </c>
      <c r="T260" s="39" t="s">
        <v>2400</v>
      </c>
      <c r="U260" s="143" t="s">
        <v>2417</v>
      </c>
      <c r="V260" s="39"/>
      <c r="W260" s="39"/>
      <c r="X260" s="39"/>
      <c r="Y260" s="120" t="s">
        <v>2412</v>
      </c>
      <c r="Z260" s="37" t="str">
        <f>IFERROR(__xludf.DUMMYFUNCTION("IFERROR(VLOOKUP(G260,IMPORTRANGE(""https://docs.google.com/spreadsheets/d/12RxCea4e5ggM7QGn1XE3FbLQa_-QbCNdBi90OdPjRqg"", ""'Plan de Compras'!D4:Q""), 12, 0), ""NO ESTÁ EN REQ"")"),"Técnica")</f>
        <v>Técnica</v>
      </c>
      <c r="AA260" s="37" t="str">
        <f>IFERROR(__xludf.DUMMYFUNCTION("IFERROR(VLOOKUP(G260,IMPORTRANGE(""https://docs.google.com/spreadsheets/d/12RxCea4e5ggM7QGn1XE3FbLQa_-QbCNdBi90OdPjRqg"", ""'Plan de Compras'!D4:Q""), 13, 0), """")"),"INTERNACIONAL")</f>
        <v>INTERNACIONAL</v>
      </c>
      <c r="AB260" s="32" t="str">
        <f>IFERROR(__xludf.DUMMYFUNCTION("IFERROR(VLOOKUP(G260,IMPORTRANGE(""https://docs.google.com/spreadsheets/d/12RxCea4e5ggM7QGn1XE3FbLQa_-QbCNdBi90OdPjRqg"", ""'Plan de Compras'!D4:Q""), 14, 0), """")"),"ALEJANDRA")</f>
        <v>ALEJANDRA</v>
      </c>
      <c r="AC260" s="72" t="str">
        <f>IFERROR(__xludf.DUMMYFUNCTION("IFERROR(VLOOKUP(G260,IMPORTRANGE(""https://docs.google.com/spreadsheets/d/12RxCea4e5ggM7QGn1XE3FbLQa_-QbCNdBi90OdPjRqg"", ""'Plan de Compras'!D4:Q""), 4, 0), """")"),"CEPILLOS MANUALES N° 5 (10 UND)")</f>
        <v>CEPILLOS MANUALES N° 5 (10 UND)</v>
      </c>
      <c r="AD260" s="37" t="str">
        <f>IFERROR(__xludf.DUMMYFUNCTION("IFERROR(IF(OR(C260=TRUE,C260=""""),VLOOKUP(G260,IMPORTRANGE(""https://docs.google.com/spreadsheets/d/1z9A1Wq-kKrhRNG5RS2a2fKpY1wIhSVz2ZNmP2mOl588/edit?usp=sharing"",""REQ VF!E4:H""),4,0),""NO APLICA""),""GENERAR REQ"")"),"GENERAR REQ")</f>
        <v>GENERAR REQ</v>
      </c>
      <c r="AE260" s="32" t="str">
        <f>IFERROR(__xludf.DUMMYFUNCTION("IFERROR(QUERY(IMPORTRANGE(""https://docs.google.com/spreadsheets/d/1z9A1Wq-kKrhRNG5RS2a2fKpY1wIhSVz2ZNmP2mOl588/edit?usp=sharing"",""REQ VF!E4:Q""),""SELECT Col10, Col11, Col12 WHERE Col1 = '""&amp;G260&amp;""'"",0),""NO APLICA"")"),"NO APLICA")</f>
        <v>NO APLICA</v>
      </c>
      <c r="AF260" s="32"/>
      <c r="AG260" s="32"/>
      <c r="AH260" s="13"/>
      <c r="AI260" s="13"/>
    </row>
    <row r="261">
      <c r="A261" s="43"/>
      <c r="B261" s="43"/>
      <c r="C261" s="26" t="b">
        <v>1</v>
      </c>
      <c r="D261" s="26" t="s">
        <v>95</v>
      </c>
      <c r="E261" s="60" t="s">
        <v>1510</v>
      </c>
      <c r="F261" s="59" t="s">
        <v>2406</v>
      </c>
      <c r="G261" s="39" t="s">
        <v>2418</v>
      </c>
      <c r="H261" s="66" t="s">
        <v>2419</v>
      </c>
      <c r="I261" s="43">
        <f>3*I258</f>
        <v>6</v>
      </c>
      <c r="J261" s="26">
        <f>IFERROR(__xludf.DUMMYFUNCTION("VLOOKUP(G261,IMPORTRANGE(""https://docs.google.com/spreadsheets/d/12RxCea4e5ggM7QGn1XE3FbLQa_-QbCNdBi90OdPjRqg/edit?gid=1692403370#gid=1692403370"", ""'Plan de Compras'!D4:2432""), 8,0)"),6.0)</f>
        <v>6</v>
      </c>
      <c r="K261" s="26" t="str">
        <f t="shared" si="31"/>
        <v>SI</v>
      </c>
      <c r="L261" s="29"/>
      <c r="M261" s="61"/>
      <c r="N261" s="32"/>
      <c r="O261" s="32" t="str">
        <f>VLOOKUP($G261,'Hoja 10'!$F$4:$AA1057, 19,0)</f>
        <v>#N/A</v>
      </c>
      <c r="P261" s="32" t="str">
        <f>VLOOKUP($G261,'Hoja 10'!$F$4:$AA1057, 20,0)</f>
        <v>#N/A</v>
      </c>
      <c r="Q261" s="41" t="str">
        <f>VLOOKUP($G261,'Hoja 10'!$F$4:$AA1057, 21,0)</f>
        <v>#N/A</v>
      </c>
      <c r="R261" s="32"/>
      <c r="S261" s="34" t="b">
        <v>1</v>
      </c>
      <c r="T261" s="63" t="s">
        <v>303</v>
      </c>
      <c r="U261" s="63">
        <v>12021.0</v>
      </c>
      <c r="V261" s="63"/>
      <c r="W261" s="63"/>
      <c r="X261" s="63"/>
      <c r="Y261" s="120" t="s">
        <v>2420</v>
      </c>
      <c r="Z261" s="37" t="str">
        <f>IFERROR(__xludf.DUMMYFUNCTION("IFERROR(VLOOKUP(G261,IMPORTRANGE(""https://docs.google.com/spreadsheets/d/12RxCea4e5ggM7QGn1XE3FbLQa_-QbCNdBi90OdPjRqg"", ""'Plan de Compras'!D4:Q""), 12, 0), ""NO ESTÁ EN REQ"")"),"Técnica")</f>
        <v>Técnica</v>
      </c>
      <c r="AA261" s="37" t="str">
        <f>IFERROR(__xludf.DUMMYFUNCTION("IFERROR(VLOOKUP(G261,IMPORTRANGE(""https://docs.google.com/spreadsheets/d/12RxCea4e5ggM7QGn1XE3FbLQa_-QbCNdBi90OdPjRqg"", ""'Plan de Compras'!D4:Q""), 13, 0), """")"),"NACIONAL")</f>
        <v>NACIONAL</v>
      </c>
      <c r="AB261" s="32" t="str">
        <f>IFERROR(__xludf.DUMMYFUNCTION("IFERROR(VLOOKUP(G261,IMPORTRANGE(""https://docs.google.com/spreadsheets/d/12RxCea4e5ggM7QGn1XE3FbLQa_-QbCNdBi90OdPjRqg"", ""'Plan de Compras'!D4:Q""), 14, 0), """")"),"DIANA")</f>
        <v>DIANA</v>
      </c>
      <c r="AC261" s="72" t="str">
        <f>IFERROR(__xludf.DUMMYFUNCTION("IFERROR(VLOOKUP(G261,IMPORTRANGE(""https://docs.google.com/spreadsheets/d/12RxCea4e5ggM7QGn1XE3FbLQa_-QbCNdBi90OdPjRqg"", ""'Plan de Compras'!D4:Q""), 4, 0), """")"),"CEPILLOS MANUALES N° 6 (3 UND)")</f>
        <v>CEPILLOS MANUALES N° 6 (3 UND)</v>
      </c>
      <c r="AD261" s="37" t="str">
        <f>IFERROR(__xludf.DUMMYFUNCTION("IFERROR(IF(OR(C261=TRUE,C261=""""),VLOOKUP(G261,IMPORTRANGE(""https://docs.google.com/spreadsheets/d/1z9A1Wq-kKrhRNG5RS2a2fKpY1wIhSVz2ZNmP2mOl588/edit?usp=sharing"",""REQ VF!E4:H""),4,0),""NO APLICA""),""GENERAR REQ"")"),"GENERAR REQ")</f>
        <v>GENERAR REQ</v>
      </c>
      <c r="AE261" s="32" t="str">
        <f>IFERROR(__xludf.DUMMYFUNCTION("IFERROR(QUERY(IMPORTRANGE(""https://docs.google.com/spreadsheets/d/1z9A1Wq-kKrhRNG5RS2a2fKpY1wIhSVz2ZNmP2mOl588/edit?usp=sharing"",""REQ VF!E4:Q""),""SELECT Col10, Col11, Col12 WHERE Col1 = '""&amp;G261&amp;""'"",0),""NO APLICA"")"),"NO APLICA")</f>
        <v>NO APLICA</v>
      </c>
      <c r="AF261" s="32"/>
      <c r="AG261" s="32"/>
      <c r="AH261" s="13"/>
      <c r="AI261" s="13"/>
    </row>
    <row r="262">
      <c r="A262" s="117">
        <v>171.0</v>
      </c>
      <c r="B262" s="43" t="b">
        <v>1</v>
      </c>
      <c r="C262" s="26" t="b">
        <v>0</v>
      </c>
      <c r="D262" s="26" t="s">
        <v>35</v>
      </c>
      <c r="E262" s="26" t="s">
        <v>1510</v>
      </c>
      <c r="F262" s="59" t="s">
        <v>2421</v>
      </c>
      <c r="G262" s="37" t="s">
        <v>2421</v>
      </c>
      <c r="H262" s="82" t="s">
        <v>2422</v>
      </c>
      <c r="I262" s="43">
        <f>SUMIFS('Hoja 10'!$O:$O,'Hoja 10'!$F:$F,$G262)</f>
        <v>8</v>
      </c>
      <c r="J262" s="26" t="str">
        <f>IFERROR(__xludf.DUMMYFUNCTION("VLOOKUP(G262,IMPORTRANGE(""https://docs.google.com/spreadsheets/d/12RxCea4e5ggM7QGn1XE3FbLQa_-QbCNdBi90OdPjRqg/edit?gid=1692403370#gid=1692403370"", ""'Plan de Compras'!D4:2432""), 8,0)"),"#N/A")</f>
        <v>#N/A</v>
      </c>
      <c r="K262" s="26" t="str">
        <f t="shared" si="31"/>
        <v>-</v>
      </c>
      <c r="L262" s="29" t="s">
        <v>296</v>
      </c>
      <c r="M262" s="30" t="s">
        <v>297</v>
      </c>
      <c r="N262" s="32" t="s">
        <v>2423</v>
      </c>
      <c r="O262" s="32" t="s">
        <v>1181</v>
      </c>
      <c r="P262" s="32"/>
      <c r="Q262" s="33" t="s">
        <v>2424</v>
      </c>
      <c r="R262" s="86" t="s">
        <v>2425</v>
      </c>
      <c r="S262" s="34" t="b">
        <v>1</v>
      </c>
      <c r="T262" s="39" t="str">
        <f>IFERROR(__xludf.DUMMYFUNCTION(" IF
( VLOOKUP($G262,IMPORTRANGE(""https://docs.google.com/spreadsheets/d/1Gpl6jkTg7sL4VDNimUm3S9Vi1i95esohXCF3wuKOE8c"", ""'CONSOLIDADO'!G5:AB""), 10, 0) &lt;&gt; 0, 
IFERROR(VLOOKUP($G262,IMPORTRANGE(""https://docs.google.com/spreadsheets/d/1Gpl6jkTg7sL4VDNimU"&amp;"m3S9Vi1i95esohXCF3wuKOE8c"", ""'CONSOLIDADO'!G5:AB""), 17, 0), ""-""),
""""
)"),"STANLEY")</f>
        <v>STANLEY</v>
      </c>
      <c r="U262" s="39" t="str">
        <f>IFERROR(__xludf.DUMMYFUNCTION(" IF
( VLOOKUP($G262,IMPORTRANGE(""https://docs.google.com/spreadsheets/d/1Gpl6jkTg7sL4VDNimUm3S9Vi1i95esohXCF3wuKOE8c"", ""'CONSOLIDADO'!G5:AB""), 10, 0) &lt;&gt; 0, 
IFERROR(VLOOKUP($G262,IMPORTRANGE(""https://docs.google.com/spreadsheets/d/1Gpl6jkTg7sL4VDNimU"&amp;"m3S9Vi1i95esohXCF3wuKOE8c"", ""'CONSOLIDADO'!G5:AB""), 18, 0), ""-""),
""""
)"),"1-12-0151 / 1-12-152")</f>
        <v>1-12-0151 / 1-12-152</v>
      </c>
      <c r="V262" s="39" t="str">
        <f>IFERROR(__xludf.DUMMYFUNCTION(" IF
( VLOOKUP($G262,IMPORTRANGE(""https://docs.google.com/spreadsheets/d/1Gpl6jkTg7sL4VDNimUm3S9Vi1i95esohXCF3wuKOE8c"", ""'CONSOLIDADO'!G5:AB""), 10, 0) &lt;&gt; 0, 
IFERROR(VLOOKUP($G262,IMPORTRANGE(""https://docs.google.com/spreadsheets/d/1Gpl6jkTg7sL4VDNimU"&amp;"m3S9Vi1i95esohXCF3wuKOE8c"", ""'CONSOLIDADO'!G5:AB""), 17, 0), ""-""),
""""
)"),"STANLEY")</f>
        <v>STANLEY</v>
      </c>
      <c r="W262" s="39" t="str">
        <f>IFERROR(__xludf.DUMMYFUNCTION(" IF
( VLOOKUP($G262,IMPORTRANGE(""https://docs.google.com/spreadsheets/d/1Gpl6jkTg7sL4VDNimUm3S9Vi1i95esohXCF3wuKOE8c"", ""'CONSOLIDADO'!G5:AB""), 10, 0) &lt;&gt; 0, 
IFERROR(VLOOKUP($G262,IMPORTRANGE(""https://docs.google.com/spreadsheets/d/1Gpl6jkTg7sL4VDNimU"&amp;"m3S9Vi1i95esohXCF3wuKOE8c"", ""'CONSOLIDADO'!G5:AB""), 18, 0), ""-""),
""""
)"),"1-12-0151 / 1-12-152")</f>
        <v>1-12-0151 / 1-12-152</v>
      </c>
      <c r="X262" s="39" t="b">
        <f>IF(AND(T262=V262,W262=U262),TRUE,FALSE)</f>
        <v>1</v>
      </c>
      <c r="Y262" s="110" t="str">
        <f>IFERROR(__xludf.DUMMYFUNCTION(" IF
( VLOOKUP($G262,IMPORTRANGE(""https://docs.google.com/spreadsheets/d/1Gpl6jkTg7sL4VDNimUm3S9Vi1i95esohXCF3wuKOE8c"", ""'CONSOLIDADO'!G5:AB""), 10, 0) &lt;&gt; 0, 
IFERROR(VLOOKUP($G262,IMPORTRANGE(""https://docs.google.com/spreadsheets/d/1Gpl6jkTg7sL4VDNimU"&amp;"m3S9Vi1i95esohXCF3wuKOE8c"", ""'CONSOLIDADO'!G5:AB""), 19, 0), ""-""),
""""
)"),"https://www.stanleytools.com.au/product/1-12-151/stanley-spokeshave-151 
https://www.stanleytools.com.au/product/1-12-152/stanley-spokeshave-151r ")</f>
        <v>https://www.stanleytools.com.au/product/1-12-151/stanley-spokeshave-151 
https://www.stanleytools.com.au/product/1-12-152/stanley-spokeshave-151r </v>
      </c>
      <c r="Z262" s="37" t="str">
        <f>IFERROR(__xludf.DUMMYFUNCTION("IFERROR(VLOOKUP(G262,IMPORTRANGE(""https://docs.google.com/spreadsheets/d/12RxCea4e5ggM7QGn1XE3FbLQa_-QbCNdBi90OdPjRqg"", ""'Plan de Compras'!D4:Q""), 12, 0), ""NO ESTÁ EN REQ"")"),"NO ESTÁ EN REQ")</f>
        <v>NO ESTÁ EN REQ</v>
      </c>
      <c r="AA262" s="37" t="str">
        <f>IFERROR(__xludf.DUMMYFUNCTION("IFERROR(VLOOKUP(G262,IMPORTRANGE(""https://docs.google.com/spreadsheets/d/12RxCea4e5ggM7QGn1XE3FbLQa_-QbCNdBi90OdPjRqg"", ""'Plan de Compras'!D4:Q""), 13, 0), """")"),"")</f>
        <v/>
      </c>
      <c r="AB262" s="32" t="str">
        <f>IFERROR(__xludf.DUMMYFUNCTION("IFERROR(VLOOKUP(G262,IMPORTRANGE(""https://docs.google.com/spreadsheets/d/12RxCea4e5ggM7QGn1XE3FbLQa_-QbCNdBi90OdPjRqg"", ""'Plan de Compras'!D4:Q""), 14, 0), """")"),"")</f>
        <v/>
      </c>
      <c r="AC262" s="72" t="str">
        <f>IFERROR(__xludf.DUMMYFUNCTION("IFERROR(VLOOKUP(G262,IMPORTRANGE(""https://docs.google.com/spreadsheets/d/12RxCea4e5ggM7QGn1XE3FbLQa_-QbCNdBi90OdPjRqg"", ""'Plan de Compras'!D4:Q""), 4, 0), """")"),"")</f>
        <v/>
      </c>
      <c r="AD262" s="37" t="str">
        <f>IFERROR(__xludf.DUMMYFUNCTION("IFERROR(IF(OR(C262=TRUE,C262=""""),VLOOKUP(G262,IMPORTRANGE(""https://docs.google.com/spreadsheets/d/1z9A1Wq-kKrhRNG5RS2a2fKpY1wIhSVz2ZNmP2mOl588/edit?usp=sharing"",""REQ VF!E4:H""),4,0),""NO APLICA""),""GENERAR REQ"")"),"NO APLICA")</f>
        <v>NO APLICA</v>
      </c>
      <c r="AE262" s="32" t="str">
        <f>IFERROR(__xludf.DUMMYFUNCTION("IFERROR(QUERY(IMPORTRANGE(""https://docs.google.com/spreadsheets/d/1z9A1Wq-kKrhRNG5RS2a2fKpY1wIhSVz2ZNmP2mOl588/edit?usp=sharing"",""REQ VF!E4:Q""),""SELECT Col10, Col11, Col12 WHERE Col1 = '""&amp;G262&amp;""'"",0),""NO APLICA"")"),"NO APLICA")</f>
        <v>NO APLICA</v>
      </c>
      <c r="AF262" s="32"/>
      <c r="AG262" s="32"/>
      <c r="AH262" s="13"/>
      <c r="AI262" s="13"/>
    </row>
    <row r="263">
      <c r="A263" s="43"/>
      <c r="B263" s="43"/>
      <c r="C263" s="26" t="b">
        <v>1</v>
      </c>
      <c r="D263" s="26" t="s">
        <v>95</v>
      </c>
      <c r="E263" s="26" t="s">
        <v>1510</v>
      </c>
      <c r="F263" s="59" t="s">
        <v>2421</v>
      </c>
      <c r="G263" s="39" t="s">
        <v>2426</v>
      </c>
      <c r="H263" s="66" t="s">
        <v>2427</v>
      </c>
      <c r="I263" s="43">
        <v>16.0</v>
      </c>
      <c r="J263" s="26">
        <f>IFERROR(__xludf.DUMMYFUNCTION("VLOOKUP(G263,IMPORTRANGE(""https://docs.google.com/spreadsheets/d/12RxCea4e5ggM7QGn1XE3FbLQa_-QbCNdBi90OdPjRqg/edit?gid=1692403370#gid=1692403370"", ""'Plan de Compras'!D4:2432""), 8,0)"),16.0)</f>
        <v>16</v>
      </c>
      <c r="K263" s="26" t="str">
        <f t="shared" si="31"/>
        <v>SI</v>
      </c>
      <c r="L263" s="26"/>
      <c r="M263" s="32"/>
      <c r="N263" s="32" t="s">
        <v>2428</v>
      </c>
      <c r="O263" s="32" t="s">
        <v>2429</v>
      </c>
      <c r="P263" s="32"/>
      <c r="Q263" s="33" t="s">
        <v>2430</v>
      </c>
      <c r="R263" s="32"/>
      <c r="S263" s="44" t="b">
        <v>1</v>
      </c>
      <c r="T263" s="39" t="s">
        <v>303</v>
      </c>
      <c r="U263" s="39">
        <v>12059.0</v>
      </c>
      <c r="V263" s="39"/>
      <c r="W263" s="39"/>
      <c r="X263" s="39"/>
      <c r="Y263" s="120" t="s">
        <v>2296</v>
      </c>
      <c r="Z263" s="37" t="str">
        <f>IFERROR(__xludf.DUMMYFUNCTION("IFERROR(VLOOKUP(G263,IMPORTRANGE(""https://docs.google.com/spreadsheets/d/12RxCea4e5ggM7QGn1XE3FbLQa_-QbCNdBi90OdPjRqg"", ""'Plan de Compras'!D4:Q""), 12, 0), ""NO ESTÁ EN REQ"")"),"Técnica")</f>
        <v>Técnica</v>
      </c>
      <c r="AA263" s="37" t="str">
        <f>IFERROR(__xludf.DUMMYFUNCTION("IFERROR(VLOOKUP(G263,IMPORTRANGE(""https://docs.google.com/spreadsheets/d/12RxCea4e5ggM7QGn1XE3FbLQa_-QbCNdBi90OdPjRqg"", ""'Plan de Compras'!D4:Q""), 13, 0), """")"),"NACIONAL")</f>
        <v>NACIONAL</v>
      </c>
      <c r="AB263" s="32" t="str">
        <f>IFERROR(__xludf.DUMMYFUNCTION("IFERROR(VLOOKUP(G263,IMPORTRANGE(""https://docs.google.com/spreadsheets/d/12RxCea4e5ggM7QGn1XE3FbLQa_-QbCNdBi90OdPjRqg"", ""'Plan de Compras'!D4:Q""), 14, 0), """")"),"DIANA")</f>
        <v>DIANA</v>
      </c>
      <c r="AC263" s="72" t="str">
        <f>IFERROR(__xludf.DUMMYFUNCTION("IFERROR(VLOOKUP(G263,IMPORTRANGE(""https://docs.google.com/spreadsheets/d/12RxCea4e5ggM7QGn1XE3FbLQa_-QbCNdBi90OdPjRqg"", ""'Plan de Compras'!D4:Q""), 4, 0), """")"),"CUCHILLA DE VUELTA DE BASE PLANA (2 UND)")</f>
        <v>CUCHILLA DE VUELTA DE BASE PLANA (2 UND)</v>
      </c>
      <c r="AD263" s="37" t="str">
        <f>IFERROR(__xludf.DUMMYFUNCTION("IFERROR(IF(OR(C263=TRUE,C263=""""),VLOOKUP(G263,IMPORTRANGE(""https://docs.google.com/spreadsheets/d/1z9A1Wq-kKrhRNG5RS2a2fKpY1wIhSVz2ZNmP2mOl588/edit?usp=sharing"",""REQ VF!E4:H""),4,0),""NO APLICA""),""GENERAR REQ"")"),"GENERAR REQ")</f>
        <v>GENERAR REQ</v>
      </c>
      <c r="AE263" s="32" t="str">
        <f>IFERROR(__xludf.DUMMYFUNCTION("IFERROR(QUERY(IMPORTRANGE(""https://docs.google.com/spreadsheets/d/1z9A1Wq-kKrhRNG5RS2a2fKpY1wIhSVz2ZNmP2mOl588/edit?usp=sharing"",""REQ VF!E4:Q""),""SELECT Col10, Col11, Col12 WHERE Col1 = '""&amp;G263&amp;""'"",0),""NO APLICA"")"),"NO APLICA")</f>
        <v>NO APLICA</v>
      </c>
      <c r="AF263" s="32"/>
      <c r="AG263" s="32"/>
      <c r="AH263" s="13"/>
      <c r="AI263" s="13"/>
    </row>
    <row r="264">
      <c r="A264" s="43"/>
      <c r="B264" s="43"/>
      <c r="C264" s="26" t="b">
        <v>1</v>
      </c>
      <c r="D264" s="26" t="s">
        <v>95</v>
      </c>
      <c r="E264" s="26" t="s">
        <v>1510</v>
      </c>
      <c r="F264" s="59" t="s">
        <v>2421</v>
      </c>
      <c r="G264" s="39" t="s">
        <v>2431</v>
      </c>
      <c r="H264" s="66" t="s">
        <v>2432</v>
      </c>
      <c r="I264" s="43">
        <v>16.0</v>
      </c>
      <c r="J264" s="26">
        <f>IFERROR(__xludf.DUMMYFUNCTION("VLOOKUP(G264,IMPORTRANGE(""https://docs.google.com/spreadsheets/d/12RxCea4e5ggM7QGn1XE3FbLQa_-QbCNdBi90OdPjRqg/edit?gid=1692403370#gid=1692403370"", ""'Plan de Compras'!D4:2432""), 8,0)"),16.0)</f>
        <v>16</v>
      </c>
      <c r="K264" s="26" t="str">
        <f t="shared" si="31"/>
        <v>SI</v>
      </c>
      <c r="L264" s="29"/>
      <c r="M264" s="61"/>
      <c r="N264" s="32"/>
      <c r="O264" s="32" t="str">
        <f>VLOOKUP($G264,'Hoja 10'!$F$4:$AA1057, 19,0)</f>
        <v>#N/A</v>
      </c>
      <c r="P264" s="32" t="str">
        <f>VLOOKUP($G264,'Hoja 10'!$F$4:$AA1057, 20,0)</f>
        <v>#N/A</v>
      </c>
      <c r="Q264" s="41" t="str">
        <f>VLOOKUP($G264,'Hoja 10'!$F$4:$AA1057, 21,0)</f>
        <v>#N/A</v>
      </c>
      <c r="R264" s="32"/>
      <c r="S264" s="44" t="b">
        <v>1</v>
      </c>
      <c r="T264" s="39" t="s">
        <v>1453</v>
      </c>
      <c r="U264" s="39">
        <v>133595.0</v>
      </c>
      <c r="V264" s="39"/>
      <c r="W264" s="39"/>
      <c r="X264" s="39"/>
      <c r="Y264" s="120" t="s">
        <v>2433</v>
      </c>
      <c r="Z264" s="37" t="str">
        <f>IFERROR(__xludf.DUMMYFUNCTION("IFERROR(VLOOKUP(G264,IMPORTRANGE(""https://docs.google.com/spreadsheets/d/12RxCea4e5ggM7QGn1XE3FbLQa_-QbCNdBi90OdPjRqg"", ""'Plan de Compras'!D4:Q""), 12, 0), ""NO ESTÁ EN REQ"")"),"Técnica")</f>
        <v>Técnica</v>
      </c>
      <c r="AA264" s="37" t="str">
        <f>IFERROR(__xludf.DUMMYFUNCTION("IFERROR(VLOOKUP(G264,IMPORTRANGE(""https://docs.google.com/spreadsheets/d/12RxCea4e5ggM7QGn1XE3FbLQa_-QbCNdBi90OdPjRqg"", ""'Plan de Compras'!D4:Q""), 13, 0), """")"),"NACIONAL")</f>
        <v>NACIONAL</v>
      </c>
      <c r="AB264" s="32" t="str">
        <f>IFERROR(__xludf.DUMMYFUNCTION("IFERROR(VLOOKUP(G264,IMPORTRANGE(""https://docs.google.com/spreadsheets/d/12RxCea4e5ggM7QGn1XE3FbLQa_-QbCNdBi90OdPjRqg"", ""'Plan de Compras'!D4:Q""), 14, 0), """")"),"DIANA")</f>
        <v>DIANA</v>
      </c>
      <c r="AC264" s="72" t="str">
        <f>IFERROR(__xludf.DUMMYFUNCTION("IFERROR(VLOOKUP(G264,IMPORTRANGE(""https://docs.google.com/spreadsheets/d/12RxCea4e5ggM7QGn1XE3FbLQa_-QbCNdBi90OdPjRqg"", ""'Plan de Compras'!D4:Q""), 4, 0), """")"),"CUCHILLA DE VUELTA DE BASE CÓNCAVA (2 UND)")</f>
        <v>CUCHILLA DE VUELTA DE BASE CÓNCAVA (2 UND)</v>
      </c>
      <c r="AD264" s="37" t="str">
        <f>IFERROR(__xludf.DUMMYFUNCTION("IFERROR(IF(OR(C264=TRUE,C264=""""),VLOOKUP(G264,IMPORTRANGE(""https://docs.google.com/spreadsheets/d/1z9A1Wq-kKrhRNG5RS2a2fKpY1wIhSVz2ZNmP2mOl588/edit?usp=sharing"",""REQ VF!E4:H""),4,0),""NO APLICA""),""GENERAR REQ"")"),"GENERAR REQ")</f>
        <v>GENERAR REQ</v>
      </c>
      <c r="AE264" s="32" t="str">
        <f>IFERROR(__xludf.DUMMYFUNCTION("IFERROR(QUERY(IMPORTRANGE(""https://docs.google.com/spreadsheets/d/1z9A1Wq-kKrhRNG5RS2a2fKpY1wIhSVz2ZNmP2mOl588/edit?usp=sharing"",""REQ VF!E4:Q""),""SELECT Col10, Col11, Col12 WHERE Col1 = '""&amp;G264&amp;""'"",0),""NO APLICA"")"),"NO APLICA")</f>
        <v>NO APLICA</v>
      </c>
      <c r="AF264" s="32"/>
      <c r="AG264" s="32"/>
      <c r="AH264" s="13"/>
      <c r="AI264" s="13"/>
    </row>
    <row r="265">
      <c r="A265" s="121">
        <v>172.0</v>
      </c>
      <c r="B265" s="43" t="b">
        <v>1</v>
      </c>
      <c r="C265" s="26" t="b">
        <v>1</v>
      </c>
      <c r="D265" s="26" t="s">
        <v>35</v>
      </c>
      <c r="E265" s="26" t="s">
        <v>1510</v>
      </c>
      <c r="F265" s="59" t="s">
        <v>2434</v>
      </c>
      <c r="G265" s="39" t="s">
        <v>2435</v>
      </c>
      <c r="H265" s="66" t="s">
        <v>2353</v>
      </c>
      <c r="I265" s="43">
        <f>SUMIFS('Hoja 10'!$O:$O,'Hoja 10'!$F:$F,$G265)</f>
        <v>8</v>
      </c>
      <c r="J265" s="26">
        <f>IFERROR(__xludf.DUMMYFUNCTION("VLOOKUP(G265,IMPORTRANGE(""https://docs.google.com/spreadsheets/d/12RxCea4e5ggM7QGn1XE3FbLQa_-QbCNdBi90OdPjRqg/edit?gid=1692403370#gid=1692403370"", ""'Plan de Compras'!D4:2432""), 8,0)"),8.0)</f>
        <v>8</v>
      </c>
      <c r="K265" s="26" t="str">
        <f t="shared" si="31"/>
        <v>SI</v>
      </c>
      <c r="L265" s="29" t="s">
        <v>296</v>
      </c>
      <c r="M265" s="30" t="s">
        <v>297</v>
      </c>
      <c r="N265" s="32"/>
      <c r="O265" s="32" t="str">
        <f>VLOOKUP($G265,'Hoja 10'!$F$4:$AA1057, 19,0)</f>
        <v>Bahco</v>
      </c>
      <c r="P265" s="32" t="str">
        <f>VLOOKUP($G265,'Hoja 10'!$F$4:$AA1057, 20,0)</f>
        <v>620-6</v>
      </c>
      <c r="Q265" s="33" t="str">
        <f>VLOOKUP($G265,'Hoja 10'!$F$4:$AA1057, 21,0)</f>
        <v>https://cahema.pe/juego-de-desarmador/16797-juego-de-desarmadores-aislados-6-piezas-bahco-620-6-7314150128594.html</v>
      </c>
      <c r="R265" s="86" t="s">
        <v>2436</v>
      </c>
      <c r="S265" s="44" t="b">
        <v>1</v>
      </c>
      <c r="T265" s="39" t="str">
        <f>IFERROR(__xludf.DUMMYFUNCTION(" IF
( VLOOKUP($G265,IMPORTRANGE(""https://docs.google.com/spreadsheets/d/1Gpl6jkTg7sL4VDNimUm3S9Vi1i95esohXCF3wuKOE8c"", ""'CONSOLIDADO'!G5:AB""), 10, 0) &lt;&gt; 0, 
IFERROR(VLOOKUP($G265,IMPORTRANGE(""https://docs.google.com/spreadsheets/d/1Gpl6jkTg7sL4VDNimU"&amp;"m3S9Vi1i95esohXCF3wuKOE8c"", ""'CONSOLIDADO'!G5:AB""), 17, 0), ""-""),
""""
)"),"BAHCO")</f>
        <v>BAHCO</v>
      </c>
      <c r="U265" s="39" t="str">
        <f>IFERROR(__xludf.DUMMYFUNCTION(" IF
( VLOOKUP($G265,IMPORTRANGE(""https://docs.google.com/spreadsheets/d/1Gpl6jkTg7sL4VDNimUm3S9Vi1i95esohXCF3wuKOE8c"", ""'CONSOLIDADO'!G5:AB""), 10, 0) &lt;&gt; 0, 
IFERROR(VLOOKUP($G265,IMPORTRANGE(""https://docs.google.com/spreadsheets/d/1Gpl6jkTg7sL4VDNimU"&amp;"m3S9Vi1i95esohXCF3wuKOE8c"", ""'CONSOLIDADO'!G5:AB""), 18, 0), ""-""),
""""
)"),"620-6")</f>
        <v>620-6</v>
      </c>
      <c r="V265" s="39" t="str">
        <f>IFERROR(__xludf.DUMMYFUNCTION(" IF
( VLOOKUP($G265,IMPORTRANGE(""https://docs.google.com/spreadsheets/d/1Gpl6jkTg7sL4VDNimUm3S9Vi1i95esohXCF3wuKOE8c"", ""'CONSOLIDADO'!G5:AB""), 10, 0) &lt;&gt; 0, 
IFERROR(VLOOKUP($G265,IMPORTRANGE(""https://docs.google.com/spreadsheets/d/1Gpl6jkTg7sL4VDNimU"&amp;"m3S9Vi1i95esohXCF3wuKOE8c"", ""'CONSOLIDADO'!G5:AB""), 17, 0), ""-""),
""""
)"),"BAHCO")</f>
        <v>BAHCO</v>
      </c>
      <c r="W265" s="39" t="str">
        <f>IFERROR(__xludf.DUMMYFUNCTION(" IF
( VLOOKUP($G265,IMPORTRANGE(""https://docs.google.com/spreadsheets/d/1Gpl6jkTg7sL4VDNimUm3S9Vi1i95esohXCF3wuKOE8c"", ""'CONSOLIDADO'!G5:AB""), 10, 0) &lt;&gt; 0, 
IFERROR(VLOOKUP($G265,IMPORTRANGE(""https://docs.google.com/spreadsheets/d/1Gpl6jkTg7sL4VDNimU"&amp;"m3S9Vi1i95esohXCF3wuKOE8c"", ""'CONSOLIDADO'!G5:AB""), 18, 0), ""-""),
""""
)"),"620-6")</f>
        <v>620-6</v>
      </c>
      <c r="X265" s="39" t="b">
        <f t="shared" ref="X265:X274" si="33">IF(AND(T265=V265,W265=U265),TRUE,FALSE)</f>
        <v>1</v>
      </c>
      <c r="Y265" s="120" t="str">
        <f>IFERROR(__xludf.DUMMYFUNCTION(" IF
( VLOOKUP($G265,IMPORTRANGE(""https://docs.google.com/spreadsheets/d/1Gpl6jkTg7sL4VDNimUm3S9Vi1i95esohXCF3wuKOE8c"", ""'CONSOLIDADO'!G5:AB""), 10, 0) &lt;&gt; 0, 
IFERROR(VLOOKUP($G265,IMPORTRANGE(""https://docs.google.com/spreadsheets/d/1Gpl6jkTg7sL4VDNimU"&amp;"m3S9Vi1i95esohXCF3wuKOE8c"", ""'CONSOLIDADO'!G5:AB""), 19, 0), ""-""),
""""
)"),"https://cahema.pe/juego-de-desarmador/16797-juego-de-desarmadores-aislados-6-piezas-bahco-620-6-7314150128594.html")</f>
        <v>https://cahema.pe/juego-de-desarmador/16797-juego-de-desarmadores-aislados-6-piezas-bahco-620-6-7314150128594.html</v>
      </c>
      <c r="Z265" s="37" t="str">
        <f>IFERROR(__xludf.DUMMYFUNCTION("IFERROR(VLOOKUP(G265,IMPORTRANGE(""https://docs.google.com/spreadsheets/d/12RxCea4e5ggM7QGn1XE3FbLQa_-QbCNdBi90OdPjRqg"", ""'Plan de Compras'!D4:Q""), 12, 0), ""NO ESTÁ EN REQ"")"),"Simple")</f>
        <v>Simple</v>
      </c>
      <c r="AA265" s="37" t="str">
        <f>IFERROR(__xludf.DUMMYFUNCTION("IFERROR(VLOOKUP(G265,IMPORTRANGE(""https://docs.google.com/spreadsheets/d/12RxCea4e5ggM7QGn1XE3FbLQa_-QbCNdBi90OdPjRqg"", ""'Plan de Compras'!D4:Q""), 13, 0), """")"),"NACIONAL")</f>
        <v>NACIONAL</v>
      </c>
      <c r="AB265" s="32" t="str">
        <f>IFERROR(__xludf.DUMMYFUNCTION("IFERROR(VLOOKUP(G265,IMPORTRANGE(""https://docs.google.com/spreadsheets/d/12RxCea4e5ggM7QGn1XE3FbLQa_-QbCNdBi90OdPjRqg"", ""'Plan de Compras'!D4:Q""), 14, 0), """")"),"GEANFRANCO")</f>
        <v>GEANFRANCO</v>
      </c>
      <c r="AC265" s="72" t="str">
        <f>IFERROR(__xludf.DUMMYFUNCTION("IFERROR(VLOOKUP(G265,IMPORTRANGE(""https://docs.google.com/spreadsheets/d/12RxCea4e5ggM7QGn1XE3FbLQa_-QbCNdBi90OdPjRqg"", ""'Plan de Compras'!D4:Q""), 4, 0), """")"),"JUEGO DE DESTORNILLADORES")</f>
        <v>JUEGO DE DESTORNILLADORES</v>
      </c>
      <c r="AD265" s="37" t="str">
        <f>IFERROR(__xludf.DUMMYFUNCTION("IFERROR(IF(OR(C265=TRUE,C265=""""),VLOOKUP(G265,IMPORTRANGE(""https://docs.google.com/spreadsheets/d/1z9A1Wq-kKrhRNG5RS2a2fKpY1wIhSVz2ZNmP2mOl588/edit?usp=sharing"",""REQ VF!E4:H""),4,0),""NO APLICA""),""GENERAR REQ"")"),"GENERAR REQ")</f>
        <v>GENERAR REQ</v>
      </c>
      <c r="AE265" s="32" t="str">
        <f>IFERROR(__xludf.DUMMYFUNCTION("IFERROR(QUERY(IMPORTRANGE(""https://docs.google.com/spreadsheets/d/1z9A1Wq-kKrhRNG5RS2a2fKpY1wIhSVz2ZNmP2mOl588/edit?usp=sharing"",""REQ VF!E4:Q""),""SELECT Col10, Col11, Col12 WHERE Col1 = '""&amp;G265&amp;""'"",0),""NO APLICA"")"),"NO APLICA")</f>
        <v>NO APLICA</v>
      </c>
      <c r="AF265" s="32"/>
      <c r="AG265" s="32"/>
      <c r="AH265" s="8" t="s">
        <v>52</v>
      </c>
      <c r="AI265" s="13"/>
    </row>
    <row r="266">
      <c r="A266" s="121">
        <v>173.0</v>
      </c>
      <c r="B266" s="43" t="b">
        <v>1</v>
      </c>
      <c r="C266" s="26" t="b">
        <v>1</v>
      </c>
      <c r="D266" s="26" t="s">
        <v>35</v>
      </c>
      <c r="E266" s="26" t="s">
        <v>1510</v>
      </c>
      <c r="F266" s="59" t="s">
        <v>2434</v>
      </c>
      <c r="G266" s="39" t="s">
        <v>2437</v>
      </c>
      <c r="H266" s="66" t="s">
        <v>2438</v>
      </c>
      <c r="I266" s="43">
        <f>SUMIFS('Hoja 10'!$O:$O,'Hoja 10'!$F:$F,$G266)</f>
        <v>24</v>
      </c>
      <c r="J266" s="26">
        <f>IFERROR(__xludf.DUMMYFUNCTION("VLOOKUP(G266,IMPORTRANGE(""https://docs.google.com/spreadsheets/d/12RxCea4e5ggM7QGn1XE3FbLQa_-QbCNdBi90OdPjRqg/edit?gid=1692403370#gid=1692403370"", ""'Plan de Compras'!D4:2432""), 8,0)"),24.0)</f>
        <v>24</v>
      </c>
      <c r="K266" s="26" t="str">
        <f t="shared" si="31"/>
        <v>SI</v>
      </c>
      <c r="L266" s="29" t="s">
        <v>127</v>
      </c>
      <c r="M266" s="30" t="s">
        <v>105</v>
      </c>
      <c r="N266" s="32"/>
      <c r="O266" s="32" t="str">
        <f>VLOOKUP($G266,'Hoja 10'!$F$4:$AA1057, 19,0)</f>
        <v>BAHCO</v>
      </c>
      <c r="P266" s="32" t="str">
        <f>VLOOKUP($G266,'Hoja 10'!$F$4:$AA1057, 20,0)</f>
        <v>620-6</v>
      </c>
      <c r="Q266" s="33" t="str">
        <f>VLOOKUP($G266,'Hoja 10'!$F$4:$AA1057, 21,0)</f>
        <v>https://cahema.pe/juego-de-desarmador/16797-juego-de-desarmadores-aislados-6-piezas-bahco-620-6-7314150128594.html</v>
      </c>
      <c r="R266" s="86" t="s">
        <v>2439</v>
      </c>
      <c r="S266" s="44" t="b">
        <v>1</v>
      </c>
      <c r="T266" s="39" t="str">
        <f>IFERROR(__xludf.DUMMYFUNCTION(" IF
( VLOOKUP($G266,IMPORTRANGE(""https://docs.google.com/spreadsheets/d/1Gpl6jkTg7sL4VDNimUm3S9Vi1i95esohXCF3wuKOE8c"", ""'CONSOLIDADO'!G5:AB""), 10, 0) &lt;&gt; 0, 
IFERROR(VLOOKUP($G266,IMPORTRANGE(""https://docs.google.com/spreadsheets/d/1Gpl6jkTg7sL4VDNimU"&amp;"m3S9Vi1i95esohXCF3wuKOE8c"", ""'CONSOLIDADO'!G5:AB""), 17, 0), ""-""),
""""
)"),"BAHCO")</f>
        <v>BAHCO</v>
      </c>
      <c r="U266" s="39" t="str">
        <f>IFERROR(__xludf.DUMMYFUNCTION(" IF
( VLOOKUP($G266,IMPORTRANGE(""https://docs.google.com/spreadsheets/d/1Gpl6jkTg7sL4VDNimUm3S9Vi1i95esohXCF3wuKOE8c"", ""'CONSOLIDADO'!G5:AB""), 10, 0) &lt;&gt; 0, 
IFERROR(VLOOKUP($G266,IMPORTRANGE(""https://docs.google.com/spreadsheets/d/1Gpl6jkTg7sL4VDNimU"&amp;"m3S9Vi1i95esohXCF3wuKOE8c"", ""'CONSOLIDADO'!G5:AB""), 18, 0), ""-""),
""""
)"),"620-6")</f>
        <v>620-6</v>
      </c>
      <c r="V266" s="39" t="str">
        <f>IFERROR(__xludf.DUMMYFUNCTION(" IF
( VLOOKUP($G266,IMPORTRANGE(""https://docs.google.com/spreadsheets/d/1Gpl6jkTg7sL4VDNimUm3S9Vi1i95esohXCF3wuKOE8c"", ""'CONSOLIDADO'!G5:AB""), 10, 0) &lt;&gt; 0, 
IFERROR(VLOOKUP($G266,IMPORTRANGE(""https://docs.google.com/spreadsheets/d/1Gpl6jkTg7sL4VDNimU"&amp;"m3S9Vi1i95esohXCF3wuKOE8c"", ""'CONSOLIDADO'!G5:AB""), 17, 0), ""-""),
""""
)"),"BAHCO")</f>
        <v>BAHCO</v>
      </c>
      <c r="W266" s="39" t="str">
        <f>IFERROR(__xludf.DUMMYFUNCTION(" IF
( VLOOKUP($G266,IMPORTRANGE(""https://docs.google.com/spreadsheets/d/1Gpl6jkTg7sL4VDNimUm3S9Vi1i95esohXCF3wuKOE8c"", ""'CONSOLIDADO'!G5:AB""), 10, 0) &lt;&gt; 0, 
IFERROR(VLOOKUP($G266,IMPORTRANGE(""https://docs.google.com/spreadsheets/d/1Gpl6jkTg7sL4VDNimU"&amp;"m3S9Vi1i95esohXCF3wuKOE8c"", ""'CONSOLIDADO'!G5:AB""), 18, 0), ""-""),
""""
)"),"620-6")</f>
        <v>620-6</v>
      </c>
      <c r="X266" s="39" t="b">
        <f t="shared" si="33"/>
        <v>1</v>
      </c>
      <c r="Y266" s="120" t="str">
        <f>IFERROR(__xludf.DUMMYFUNCTION(" IF
( VLOOKUP($G266,IMPORTRANGE(""https://docs.google.com/spreadsheets/d/1Gpl6jkTg7sL4VDNimUm3S9Vi1i95esohXCF3wuKOE8c"", ""'CONSOLIDADO'!G5:AB""), 10, 0) &lt;&gt; 0, 
IFERROR(VLOOKUP($G266,IMPORTRANGE(""https://docs.google.com/spreadsheets/d/1Gpl6jkTg7sL4VDNimU"&amp;"m3S9Vi1i95esohXCF3wuKOE8c"", ""'CONSOLIDADO'!G5:AB""), 19, 0), ""-""),
""""
)"),"https://cahema.pe/juego-de-desarmador/16797-juego-de-desarmadores-aislados-6-piezas-bahco-620-6-7314150128594.html")</f>
        <v>https://cahema.pe/juego-de-desarmador/16797-juego-de-desarmadores-aislados-6-piezas-bahco-620-6-7314150128594.html</v>
      </c>
      <c r="Z266" s="37" t="str">
        <f>IFERROR(__xludf.DUMMYFUNCTION("IFERROR(VLOOKUP(G266,IMPORTRANGE(""https://docs.google.com/spreadsheets/d/12RxCea4e5ggM7QGn1XE3FbLQa_-QbCNdBi90OdPjRqg"", ""'Plan de Compras'!D4:Q""), 12, 0), ""NO ESTÁ EN REQ"")"),"Simple")</f>
        <v>Simple</v>
      </c>
      <c r="AA266" s="37" t="str">
        <f>IFERROR(__xludf.DUMMYFUNCTION("IFERROR(VLOOKUP(G266,IMPORTRANGE(""https://docs.google.com/spreadsheets/d/12RxCea4e5ggM7QGn1XE3FbLQa_-QbCNdBi90OdPjRqg"", ""'Plan de Compras'!D4:Q""), 13, 0), """")"),"NACIONAL")</f>
        <v>NACIONAL</v>
      </c>
      <c r="AB266" s="32" t="str">
        <f>IFERROR(__xludf.DUMMYFUNCTION("IFERROR(VLOOKUP(G266,IMPORTRANGE(""https://docs.google.com/spreadsheets/d/12RxCea4e5ggM7QGn1XE3FbLQa_-QbCNdBi90OdPjRqg"", ""'Plan de Compras'!D4:Q""), 14, 0), """")"),"GEANFRANCO")</f>
        <v>GEANFRANCO</v>
      </c>
      <c r="AC266" s="72" t="str">
        <f>IFERROR(__xludf.DUMMYFUNCTION("IFERROR(VLOOKUP(G266,IMPORTRANGE(""https://docs.google.com/spreadsheets/d/12RxCea4e5ggM7QGn1XE3FbLQa_-QbCNdBi90OdPjRqg"", ""'Plan de Compras'!D4:Q""), 4, 0), """")"),"JUEGO DE DESTORNILLADORES (6 DESTORNILLADORES)")</f>
        <v>JUEGO DE DESTORNILLADORES (6 DESTORNILLADORES)</v>
      </c>
      <c r="AD266" s="37" t="str">
        <f>IFERROR(__xludf.DUMMYFUNCTION("IFERROR(IF(OR(C266=TRUE,C266=""""),VLOOKUP(G266,IMPORTRANGE(""https://docs.google.com/spreadsheets/d/1z9A1Wq-kKrhRNG5RS2a2fKpY1wIhSVz2ZNmP2mOl588/edit?usp=sharing"",""REQ VF!E4:H""),4,0),""NO APLICA""),""GENERAR REQ"")"),"GENERAR REQ")</f>
        <v>GENERAR REQ</v>
      </c>
      <c r="AE266" s="32" t="str">
        <f>IFERROR(__xludf.DUMMYFUNCTION("IFERROR(QUERY(IMPORTRANGE(""https://docs.google.com/spreadsheets/d/1z9A1Wq-kKrhRNG5RS2a2fKpY1wIhSVz2ZNmP2mOl588/edit?usp=sharing"",""REQ VF!E4:Q""),""SELECT Col10, Col11, Col12 WHERE Col1 = '""&amp;G266&amp;""'"",0),""NO APLICA"")"),"NO APLICA")</f>
        <v>NO APLICA</v>
      </c>
      <c r="AF266" s="32"/>
      <c r="AG266" s="32"/>
      <c r="AH266" s="8" t="s">
        <v>52</v>
      </c>
      <c r="AI266" s="13"/>
    </row>
    <row r="267">
      <c r="A267" s="121">
        <v>174.0</v>
      </c>
      <c r="B267" s="43" t="b">
        <v>1</v>
      </c>
      <c r="C267" s="26" t="b">
        <v>1</v>
      </c>
      <c r="D267" s="26" t="s">
        <v>35</v>
      </c>
      <c r="E267" s="26" t="s">
        <v>1510</v>
      </c>
      <c r="F267" s="59" t="s">
        <v>2440</v>
      </c>
      <c r="G267" s="37" t="s">
        <v>2441</v>
      </c>
      <c r="H267" s="82" t="s">
        <v>2442</v>
      </c>
      <c r="I267" s="43">
        <f>SUMIFS('Hoja 10'!$O:$O,'Hoja 10'!$F:$F,$G267)</f>
        <v>15</v>
      </c>
      <c r="J267" s="26">
        <f>IFERROR(__xludf.DUMMYFUNCTION("VLOOKUP(G267,IMPORTRANGE(""https://docs.google.com/spreadsheets/d/12RxCea4e5ggM7QGn1XE3FbLQa_-QbCNdBi90OdPjRqg/edit?gid=1692403370#gid=1692403370"", ""'Plan de Compras'!D4:2432""), 8,0)"),15.0)</f>
        <v>15</v>
      </c>
      <c r="K267" s="26" t="str">
        <f t="shared" si="31"/>
        <v>SI</v>
      </c>
      <c r="L267" s="29" t="s">
        <v>180</v>
      </c>
      <c r="M267" s="30" t="s">
        <v>181</v>
      </c>
      <c r="N267" s="32"/>
      <c r="O267" s="32" t="str">
        <f>VLOOKUP($G267,'Hoja 10'!$F$4:$AA1057, 19,0)</f>
        <v>FACOM</v>
      </c>
      <c r="P267" s="32" t="str">
        <f>VLOOKUP($G267,'Hoja 10'!$F$4:$AA1057, 20,0)</f>
        <v>FACOM</v>
      </c>
      <c r="Q267" s="33" t="str">
        <f>VLOOKUP($G267,'Hoja 10'!$F$4:$AA1057, 21,0)</f>
        <v>https://drive.google.com/file/d/1ZVuP_FXXVhE3RmYIK90hvoBHlGBD34EC/view</v>
      </c>
      <c r="R267" s="86" t="s">
        <v>2443</v>
      </c>
      <c r="S267" s="34" t="b">
        <v>1</v>
      </c>
      <c r="T267" s="39" t="str">
        <f>IFERROR(__xludf.DUMMYFUNCTION(" IF
( VLOOKUP($G267,IMPORTRANGE(""https://docs.google.com/spreadsheets/d/1Gpl6jkTg7sL4VDNimUm3S9Vi1i95esohXCF3wuKOE8c"", ""'CONSOLIDADO'!G5:AB""), 10, 0) &lt;&gt; 0, 
IFERROR(VLOOKUP($G267,IMPORTRANGE(""https://docs.google.com/spreadsheets/d/1Gpl6jkTg7sL4VDNimU"&amp;"m3S9Vi1i95esohXCF3wuKOE8c"", ""'CONSOLIDADO'!G5:AB""), 17, 0), ""-""),
""""
)"),"ALYCO")</f>
        <v>ALYCO</v>
      </c>
      <c r="U267" s="39">
        <f>IFERROR(__xludf.DUMMYFUNCTION(" IF
( VLOOKUP($G267,IMPORTRANGE(""https://docs.google.com/spreadsheets/d/1Gpl6jkTg7sL4VDNimUm3S9Vi1i95esohXCF3wuKOE8c"", ""'CONSOLIDADO'!G5:AB""), 10, 0) &lt;&gt; 0, 
IFERROR(VLOOKUP($G267,IMPORTRANGE(""https://docs.google.com/spreadsheets/d/1Gpl6jkTg7sL4VDNimU"&amp;"m3S9Vi1i95esohXCF3wuKOE8c"", ""'CONSOLIDADO'!G5:AB""), 18, 0), ""-""),
""""
)"),119335.0)</f>
        <v>119335</v>
      </c>
      <c r="V267" s="39" t="str">
        <f>IFERROR(__xludf.DUMMYFUNCTION(" IF
( VLOOKUP($G267,IMPORTRANGE(""https://docs.google.com/spreadsheets/d/1Gpl6jkTg7sL4VDNimUm3S9Vi1i95esohXCF3wuKOE8c"", ""'CONSOLIDADO'!G5:AB""), 10, 0) &lt;&gt; 0, 
IFERROR(VLOOKUP($G267,IMPORTRANGE(""https://docs.google.com/spreadsheets/d/1Gpl6jkTg7sL4VDNimU"&amp;"m3S9Vi1i95esohXCF3wuKOE8c"", ""'CONSOLIDADO'!G5:AB""), 17, 0), ""-""),
""""
)"),"ALYCO")</f>
        <v>ALYCO</v>
      </c>
      <c r="W267" s="39">
        <f>IFERROR(__xludf.DUMMYFUNCTION(" IF
( VLOOKUP($G267,IMPORTRANGE(""https://docs.google.com/spreadsheets/d/1Gpl6jkTg7sL4VDNimUm3S9Vi1i95esohXCF3wuKOE8c"", ""'CONSOLIDADO'!G5:AB""), 10, 0) &lt;&gt; 0, 
IFERROR(VLOOKUP($G267,IMPORTRANGE(""https://docs.google.com/spreadsheets/d/1Gpl6jkTg7sL4VDNimU"&amp;"m3S9Vi1i95esohXCF3wuKOE8c"", ""'CONSOLIDADO'!G5:AB""), 18, 0), ""-""),
""""
)"),119335.0)</f>
        <v>119335</v>
      </c>
      <c r="X267" s="39" t="b">
        <f t="shared" si="33"/>
        <v>1</v>
      </c>
      <c r="Y267" s="120" t="str">
        <f>IFERROR(__xludf.DUMMYFUNCTION(" IF
( VLOOKUP($G267,IMPORTRANGE(""https://docs.google.com/spreadsheets/d/1Gpl6jkTg7sL4VDNimUm3S9Vi1i95esohXCF3wuKOE8c"", ""'CONSOLIDADO'!G5:AB""), 10, 0) &lt;&gt; 0, 
IFERROR(VLOOKUP($G267,IMPORTRANGE(""https://docs.google.com/spreadsheets/d/1Gpl6jkTg7sL4VDNimU"&amp;"m3S9Vi1i95esohXCF3wuKOE8c"", ""'CONSOLIDADO'!G5:AB""), 19, 0), ""-""),
""""
)"),"https://alyco.datoproducto.com/producto/1001859/1005874/juego-de-destornilladores-aislados-8-pzs-caja-de-plastico-alyco")</f>
        <v>https://alyco.datoproducto.com/producto/1001859/1005874/juego-de-destornilladores-aislados-8-pzs-caja-de-plastico-alyco</v>
      </c>
      <c r="Z267" s="37" t="str">
        <f>IFERROR(__xludf.DUMMYFUNCTION("IFERROR(VLOOKUP(G267,IMPORTRANGE(""https://docs.google.com/spreadsheets/d/12RxCea4e5ggM7QGn1XE3FbLQa_-QbCNdBi90OdPjRqg"", ""'Plan de Compras'!D4:Q""), 12, 0), ""NO ESTÁ EN REQ"")"),"Técnica")</f>
        <v>Técnica</v>
      </c>
      <c r="AA267" s="37" t="str">
        <f>IFERROR(__xludf.DUMMYFUNCTION("IFERROR(VLOOKUP(G267,IMPORTRANGE(""https://docs.google.com/spreadsheets/d/12RxCea4e5ggM7QGn1XE3FbLQa_-QbCNdBi90OdPjRqg"", ""'Plan de Compras'!D4:Q""), 13, 0), """")"),"INTERNACIONAL")</f>
        <v>INTERNACIONAL</v>
      </c>
      <c r="AB267" s="32" t="str">
        <f>IFERROR(__xludf.DUMMYFUNCTION("IFERROR(VLOOKUP(G267,IMPORTRANGE(""https://docs.google.com/spreadsheets/d/12RxCea4e5ggM7QGn1XE3FbLQa_-QbCNdBi90OdPjRqg"", ""'Plan de Compras'!D4:Q""), 14, 0), """")"),"GIANFRANCO")</f>
        <v>GIANFRANCO</v>
      </c>
      <c r="AC267" s="72" t="str">
        <f>IFERROR(__xludf.DUMMYFUNCTION("IFERROR(VLOOKUP(G267,IMPORTRANGE(""https://docs.google.com/spreadsheets/d/12RxCea4e5ggM7QGn1XE3FbLQa_-QbCNdBi90OdPjRqg"", ""'Plan de Compras'!D4:Q""), 4, 0), """")"),"JUEGO DE DESTORNILLADORES (8 DESTORNILLADORES)")</f>
        <v>JUEGO DE DESTORNILLADORES (8 DESTORNILLADORES)</v>
      </c>
      <c r="AD267" s="37" t="str">
        <f>IFERROR(__xludf.DUMMYFUNCTION("IFERROR(IF(OR(C267=TRUE,C267=""""),VLOOKUP(G267,IMPORTRANGE(""https://docs.google.com/spreadsheets/d/1z9A1Wq-kKrhRNG5RS2a2fKpY1wIhSVz2ZNmP2mOl588/edit?usp=sharing"",""REQ VF!E4:H""),4,0),""NO APLICA""),""GENERAR REQ"")"),"GENERAR REQ")</f>
        <v>GENERAR REQ</v>
      </c>
      <c r="AE267" s="32" t="str">
        <f>IFERROR(__xludf.DUMMYFUNCTION("IFERROR(QUERY(IMPORTRANGE(""https://docs.google.com/spreadsheets/d/1z9A1Wq-kKrhRNG5RS2a2fKpY1wIhSVz2ZNmP2mOl588/edit?usp=sharing"",""REQ VF!E4:Q""),""SELECT Col10, Col11, Col12 WHERE Col1 = '""&amp;G267&amp;""'"",0),""NO APLICA"")"),"NO APLICA")</f>
        <v>NO APLICA</v>
      </c>
      <c r="AF267" s="32"/>
      <c r="AG267" s="32"/>
      <c r="AH267" s="13"/>
      <c r="AI267" s="13"/>
    </row>
    <row r="268">
      <c r="A268" s="117">
        <v>175.0</v>
      </c>
      <c r="B268" s="43" t="b">
        <v>1</v>
      </c>
      <c r="C268" s="26" t="b">
        <v>1</v>
      </c>
      <c r="D268" s="26" t="s">
        <v>35</v>
      </c>
      <c r="E268" s="26" t="s">
        <v>1510</v>
      </c>
      <c r="F268" s="59" t="s">
        <v>2440</v>
      </c>
      <c r="G268" s="37" t="s">
        <v>2444</v>
      </c>
      <c r="H268" s="82" t="s">
        <v>2442</v>
      </c>
      <c r="I268" s="43">
        <f>SUMIFS('Hoja 10'!$O:$O,'Hoja 10'!$F:$F,$G268)</f>
        <v>4</v>
      </c>
      <c r="J268" s="26">
        <f>IFERROR(__xludf.DUMMYFUNCTION("VLOOKUP(G268,IMPORTRANGE(""https://docs.google.com/spreadsheets/d/12RxCea4e5ggM7QGn1XE3FbLQa_-QbCNdBi90OdPjRqg/edit?gid=1692403370#gid=1692403370"", ""'Plan de Compras'!D4:2432""), 8,0)"),4.0)</f>
        <v>4</v>
      </c>
      <c r="K268" s="26" t="str">
        <f t="shared" si="31"/>
        <v>SI</v>
      </c>
      <c r="L268" s="29" t="s">
        <v>122</v>
      </c>
      <c r="M268" s="30" t="s">
        <v>123</v>
      </c>
      <c r="N268" s="32"/>
      <c r="O268" s="32" t="str">
        <f>VLOOKUP($G268,'Hoja 10'!$F$4:$AA1057, 19,0)</f>
        <v>FACOM</v>
      </c>
      <c r="P268" s="32" t="str">
        <f>VLOOKUP($G268,'Hoja 10'!$F$4:$AA1057, 20,0)</f>
        <v>FACOM</v>
      </c>
      <c r="Q268" s="33" t="str">
        <f>VLOOKUP($G268,'Hoja 10'!$F$4:$AA1057, 21,0)</f>
        <v>https://drive.google.com/file/d/1ZVuP_FXXVhE3RmYIK90hvoBHlGBD34EC/view</v>
      </c>
      <c r="R268" s="30" t="s">
        <v>2445</v>
      </c>
      <c r="S268" s="34" t="b">
        <v>1</v>
      </c>
      <c r="T268" s="39" t="str">
        <f>IFERROR(__xludf.DUMMYFUNCTION(" IF
( VLOOKUP($G268,IMPORTRANGE(""https://docs.google.com/spreadsheets/d/1Gpl6jkTg7sL4VDNimUm3S9Vi1i95esohXCF3wuKOE8c"", ""'CONSOLIDADO'!G5:AB""), 10, 0) &lt;&gt; 0, 
IFERROR(VLOOKUP($G268,IMPORTRANGE(""https://docs.google.com/spreadsheets/d/1Gpl6jkTg7sL4VDNimU"&amp;"m3S9Vi1i95esohXCF3wuKOE8c"", ""'CONSOLIDADO'!G5:AB""), 17, 0), ""-""),
""""
)"),"ALYCO")</f>
        <v>ALYCO</v>
      </c>
      <c r="U268" s="39">
        <f>IFERROR(__xludf.DUMMYFUNCTION(" IF
( VLOOKUP($G268,IMPORTRANGE(""https://docs.google.com/spreadsheets/d/1Gpl6jkTg7sL4VDNimUm3S9Vi1i95esohXCF3wuKOE8c"", ""'CONSOLIDADO'!G5:AB""), 10, 0) &lt;&gt; 0, 
IFERROR(VLOOKUP($G268,IMPORTRANGE(""https://docs.google.com/spreadsheets/d/1Gpl6jkTg7sL4VDNimU"&amp;"m3S9Vi1i95esohXCF3wuKOE8c"", ""'CONSOLIDADO'!G5:AB""), 18, 0), ""-""),
""""
)"),119335.0)</f>
        <v>119335</v>
      </c>
      <c r="V268" s="39" t="str">
        <f>IFERROR(__xludf.DUMMYFUNCTION(" IF
( VLOOKUP($G268,IMPORTRANGE(""https://docs.google.com/spreadsheets/d/1Gpl6jkTg7sL4VDNimUm3S9Vi1i95esohXCF3wuKOE8c"", ""'CONSOLIDADO'!G5:AB""), 10, 0) &lt;&gt; 0, 
IFERROR(VLOOKUP($G268,IMPORTRANGE(""https://docs.google.com/spreadsheets/d/1Gpl6jkTg7sL4VDNimU"&amp;"m3S9Vi1i95esohXCF3wuKOE8c"", ""'CONSOLIDADO'!G5:AB""), 17, 0), ""-""),
""""
)"),"ALYCO")</f>
        <v>ALYCO</v>
      </c>
      <c r="W268" s="39">
        <f>IFERROR(__xludf.DUMMYFUNCTION(" IF
( VLOOKUP($G268,IMPORTRANGE(""https://docs.google.com/spreadsheets/d/1Gpl6jkTg7sL4VDNimUm3S9Vi1i95esohXCF3wuKOE8c"", ""'CONSOLIDADO'!G5:AB""), 10, 0) &lt;&gt; 0, 
IFERROR(VLOOKUP($G268,IMPORTRANGE(""https://docs.google.com/spreadsheets/d/1Gpl6jkTg7sL4VDNimU"&amp;"m3S9Vi1i95esohXCF3wuKOE8c"", ""'CONSOLIDADO'!G5:AB""), 18, 0), ""-""),
""""
)"),119335.0)</f>
        <v>119335</v>
      </c>
      <c r="X268" s="39" t="b">
        <f t="shared" si="33"/>
        <v>1</v>
      </c>
      <c r="Y268" s="120" t="str">
        <f>IFERROR(__xludf.DUMMYFUNCTION(" IF
( VLOOKUP($G268,IMPORTRANGE(""https://docs.google.com/spreadsheets/d/1Gpl6jkTg7sL4VDNimUm3S9Vi1i95esohXCF3wuKOE8c"", ""'CONSOLIDADO'!G5:AB""), 10, 0) &lt;&gt; 0, 
IFERROR(VLOOKUP($G268,IMPORTRANGE(""https://docs.google.com/spreadsheets/d/1Gpl6jkTg7sL4VDNimU"&amp;"m3S9Vi1i95esohXCF3wuKOE8c"", ""'CONSOLIDADO'!G5:AB""), 19, 0), ""-""),
""""
)"),"https://alyco.datoproducto.com/producto/1001859/1005874/juego-de-destornilladores-aislados-8-pzs-caja-de-plastico-alyco")</f>
        <v>https://alyco.datoproducto.com/producto/1001859/1005874/juego-de-destornilladores-aislados-8-pzs-caja-de-plastico-alyco</v>
      </c>
      <c r="Z268" s="37" t="str">
        <f>IFERROR(__xludf.DUMMYFUNCTION("IFERROR(VLOOKUP(G268,IMPORTRANGE(""https://docs.google.com/spreadsheets/d/12RxCea4e5ggM7QGn1XE3FbLQa_-QbCNdBi90OdPjRqg"", ""'Plan de Compras'!D4:Q""), 12, 0), ""NO ESTÁ EN REQ"")"),"Técnica")</f>
        <v>Técnica</v>
      </c>
      <c r="AA268" s="37" t="str">
        <f>IFERROR(__xludf.DUMMYFUNCTION("IFERROR(VLOOKUP(G268,IMPORTRANGE(""https://docs.google.com/spreadsheets/d/12RxCea4e5ggM7QGn1XE3FbLQa_-QbCNdBi90OdPjRqg"", ""'Plan de Compras'!D4:Q""), 13, 0), """")"),"INTERNACIONAL")</f>
        <v>INTERNACIONAL</v>
      </c>
      <c r="AB268" s="32" t="str">
        <f>IFERROR(__xludf.DUMMYFUNCTION("IFERROR(VLOOKUP(G268,IMPORTRANGE(""https://docs.google.com/spreadsheets/d/12RxCea4e5ggM7QGn1XE3FbLQa_-QbCNdBi90OdPjRqg"", ""'Plan de Compras'!D4:Q""), 14, 0), """")"),"GIANFRANCO")</f>
        <v>GIANFRANCO</v>
      </c>
      <c r="AC268" s="72" t="str">
        <f>IFERROR(__xludf.DUMMYFUNCTION("IFERROR(VLOOKUP(G268,IMPORTRANGE(""https://docs.google.com/spreadsheets/d/12RxCea4e5ggM7QGn1XE3FbLQa_-QbCNdBi90OdPjRqg"", ""'Plan de Compras'!D4:Q""), 4, 0), """")"),"JUEGO DE DESTORNILLADORES (8 DESTORNILLADORES)")</f>
        <v>JUEGO DE DESTORNILLADORES (8 DESTORNILLADORES)</v>
      </c>
      <c r="AD268" s="37" t="str">
        <f>IFERROR(__xludf.DUMMYFUNCTION("IFERROR(IF(OR(C268=TRUE,C268=""""),VLOOKUP(G268,IMPORTRANGE(""https://docs.google.com/spreadsheets/d/1z9A1Wq-kKrhRNG5RS2a2fKpY1wIhSVz2ZNmP2mOl588/edit?usp=sharing"",""REQ VF!E4:H""),4,0),""NO APLICA""),""GENERAR REQ"")"),"GENERAR REQ")</f>
        <v>GENERAR REQ</v>
      </c>
      <c r="AE268" s="32" t="str">
        <f>IFERROR(__xludf.DUMMYFUNCTION("IFERROR(QUERY(IMPORTRANGE(""https://docs.google.com/spreadsheets/d/1z9A1Wq-kKrhRNG5RS2a2fKpY1wIhSVz2ZNmP2mOl588/edit?usp=sharing"",""REQ VF!E4:Q""),""SELECT Col10, Col11, Col12 WHERE Col1 = '""&amp;G268&amp;""'"",0),""NO APLICA"")"),"NO APLICA")</f>
        <v>NO APLICA</v>
      </c>
      <c r="AF268" s="32"/>
      <c r="AG268" s="32"/>
      <c r="AH268" s="13"/>
      <c r="AI268" s="13"/>
    </row>
    <row r="269">
      <c r="A269" s="117">
        <v>176.0</v>
      </c>
      <c r="B269" s="43" t="b">
        <v>1</v>
      </c>
      <c r="C269" s="26" t="b">
        <v>1</v>
      </c>
      <c r="D269" s="26" t="s">
        <v>35</v>
      </c>
      <c r="E269" s="26" t="s">
        <v>1510</v>
      </c>
      <c r="F269" s="59" t="s">
        <v>2446</v>
      </c>
      <c r="G269" s="37" t="s">
        <v>2446</v>
      </c>
      <c r="H269" s="82" t="s">
        <v>2447</v>
      </c>
      <c r="I269" s="43">
        <f>SUMIFS('Hoja 10'!$O:$O,'Hoja 10'!$F:$F,$G269)</f>
        <v>4</v>
      </c>
      <c r="J269" s="26">
        <f>IFERROR(__xludf.DUMMYFUNCTION("VLOOKUP(G269,IMPORTRANGE(""https://docs.google.com/spreadsheets/d/12RxCea4e5ggM7QGn1XE3FbLQa_-QbCNdBi90OdPjRqg/edit?gid=1692403370#gid=1692403370"", ""'Plan de Compras'!D4:2432""), 8,0)"),4.0)</f>
        <v>4</v>
      </c>
      <c r="K269" s="26" t="str">
        <f t="shared" si="31"/>
        <v>SI</v>
      </c>
      <c r="L269" s="29" t="s">
        <v>122</v>
      </c>
      <c r="M269" s="30" t="s">
        <v>123</v>
      </c>
      <c r="N269" s="32"/>
      <c r="O269" s="32" t="str">
        <f>VLOOKUP($G269,'Hoja 10'!$F$4:$AA1057, 19,0)</f>
        <v>TRUPER</v>
      </c>
      <c r="P269" s="32">
        <f>VLOOKUP($G269,'Hoja 10'!$F$4:$AA1057, 20,0)</f>
        <v>14157</v>
      </c>
      <c r="Q269" s="33" t="str">
        <f>VLOOKUP($G269,'Hoja 10'!$F$4:$AA1057, 21,0)</f>
        <v>https://seir.com.gt/producto/juego-con-15-desarmadores-largos-de-precision/?srsltid=AfmBOopYZrlcTXe__7De22TEO5gqOq4BpA_YHIYPR63WzB_TPQ9tzeLj</v>
      </c>
      <c r="R269" s="86" t="s">
        <v>2448</v>
      </c>
      <c r="S269" s="34" t="b">
        <v>1</v>
      </c>
      <c r="T269" s="32" t="str">
        <f>VLOOKUP($G269,'Hoja 10'!$F$4:$AA1057, 19,0)</f>
        <v>TRUPER</v>
      </c>
      <c r="U269" s="39">
        <v>14205.0</v>
      </c>
      <c r="V269" s="39" t="str">
        <f>IFERROR(__xludf.DUMMYFUNCTION(" IF
( VLOOKUP($G269,IMPORTRANGE(""https://docs.google.com/spreadsheets/d/1Gpl6jkTg7sL4VDNimUm3S9Vi1i95esohXCF3wuKOE8c"", ""'CONSOLIDADO'!G5:AB""), 10, 0) &lt;&gt; 0, 
IFERROR(VLOOKUP($G269,IMPORTRANGE(""https://docs.google.com/spreadsheets/d/1Gpl6jkTg7sL4VDNimU"&amp;"m3S9Vi1i95esohXCF3wuKOE8c"", ""'CONSOLIDADO'!G5:AB""), 17, 0), ""-""),
""""
)"),"TRUPER")</f>
        <v>TRUPER</v>
      </c>
      <c r="W269" s="39" t="str">
        <f>IFERROR(__xludf.DUMMYFUNCTION(" IF
( VLOOKUP($G269,IMPORTRANGE(""https://docs.google.com/spreadsheets/d/1Gpl6jkTg7sL4VDNimUm3S9Vi1i95esohXCF3wuKOE8c"", ""'CONSOLIDADO'!G5:AB""), 10, 0) &lt;&gt; 0, 
IFERROR(VLOOKUP($G269,IMPORTRANGE(""https://docs.google.com/spreadsheets/d/1Gpl6jkTg7sL4VDNimU"&amp;"m3S9Vi1i95esohXCF3wuKOE8c"", ""'CONSOLIDADO'!G5:AB""), 18, 0), ""-""),
""""
)"),"JOY-15L")</f>
        <v>JOY-15L</v>
      </c>
      <c r="X269" s="39" t="b">
        <f t="shared" si="33"/>
        <v>0</v>
      </c>
      <c r="Y269" s="129" t="s">
        <v>2449</v>
      </c>
      <c r="Z269" s="37" t="str">
        <f>IFERROR(__xludf.DUMMYFUNCTION("IFERROR(VLOOKUP(G269,IMPORTRANGE(""https://docs.google.com/spreadsheets/d/12RxCea4e5ggM7QGn1XE3FbLQa_-QbCNdBi90OdPjRqg"", ""'Plan de Compras'!D4:Q""), 12, 0), ""NO ESTÁ EN REQ"")"),"Simple")</f>
        <v>Simple</v>
      </c>
      <c r="AA269" s="37" t="str">
        <f>IFERROR(__xludf.DUMMYFUNCTION("IFERROR(VLOOKUP(G269,IMPORTRANGE(""https://docs.google.com/spreadsheets/d/12RxCea4e5ggM7QGn1XE3FbLQa_-QbCNdBi90OdPjRqg"", ""'Plan de Compras'!D4:Q""), 13, 0), """")"),"NACIONAL")</f>
        <v>NACIONAL</v>
      </c>
      <c r="AB269" s="32" t="str">
        <f>IFERROR(__xludf.DUMMYFUNCTION("IFERROR(VLOOKUP(G269,IMPORTRANGE(""https://docs.google.com/spreadsheets/d/12RxCea4e5ggM7QGn1XE3FbLQa_-QbCNdBi90OdPjRqg"", ""'Plan de Compras'!D4:Q""), 14, 0), """")"),"GEANFRANCO")</f>
        <v>GEANFRANCO</v>
      </c>
      <c r="AC269" s="72" t="str">
        <f>IFERROR(__xludf.DUMMYFUNCTION("IFERROR(VLOOKUP(G269,IMPORTRANGE(""https://docs.google.com/spreadsheets/d/12RxCea4e5ggM7QGn1XE3FbLQa_-QbCNdBi90OdPjRqg"", ""'Plan de Compras'!D4:Q""), 4, 0), """")"),"JUEGO DE DESTORNILLADORES DE PRECISIÓN")</f>
        <v>JUEGO DE DESTORNILLADORES DE PRECISIÓN</v>
      </c>
      <c r="AD269" s="37" t="str">
        <f>IFERROR(__xludf.DUMMYFUNCTION("IFERROR(IF(OR(C269=TRUE,C269=""""),VLOOKUP(G269,IMPORTRANGE(""https://docs.google.com/spreadsheets/d/1z9A1Wq-kKrhRNG5RS2a2fKpY1wIhSVz2ZNmP2mOl588/edit?usp=sharing"",""REQ VF!E4:H""),4,0),""NO APLICA""),""GENERAR REQ"")"),"GENERAR REQ")</f>
        <v>GENERAR REQ</v>
      </c>
      <c r="AE269" s="32" t="str">
        <f>IFERROR(__xludf.DUMMYFUNCTION("IFERROR(QUERY(IMPORTRANGE(""https://docs.google.com/spreadsheets/d/1z9A1Wq-kKrhRNG5RS2a2fKpY1wIhSVz2ZNmP2mOl588/edit?usp=sharing"",""REQ VF!E4:Q""),""SELECT Col10, Col11, Col12 WHERE Col1 = '""&amp;G269&amp;""'"",0),""NO APLICA"")"),"NO APLICA")</f>
        <v>NO APLICA</v>
      </c>
      <c r="AF269" s="32"/>
      <c r="AG269" s="32"/>
      <c r="AH269" s="13"/>
      <c r="AI269" s="13"/>
    </row>
    <row r="270">
      <c r="A270" s="121">
        <v>177.0</v>
      </c>
      <c r="B270" s="43" t="b">
        <v>1</v>
      </c>
      <c r="C270" s="26" t="b">
        <v>1</v>
      </c>
      <c r="D270" s="26" t="s">
        <v>35</v>
      </c>
      <c r="E270" s="26" t="s">
        <v>1510</v>
      </c>
      <c r="F270" s="59" t="s">
        <v>2450</v>
      </c>
      <c r="G270" s="37" t="s">
        <v>2450</v>
      </c>
      <c r="H270" s="82" t="s">
        <v>2451</v>
      </c>
      <c r="I270" s="43">
        <f>SUMIFS('Hoja 10'!$O:$O,'Hoja 10'!$F:$F,$G270)</f>
        <v>8</v>
      </c>
      <c r="J270" s="26">
        <f>IFERROR(__xludf.DUMMYFUNCTION("VLOOKUP(G270,IMPORTRANGE(""https://docs.google.com/spreadsheets/d/12RxCea4e5ggM7QGn1XE3FbLQa_-QbCNdBi90OdPjRqg/edit?gid=1692403370#gid=1692403370"", ""'Plan de Compras'!D4:2432""), 8,0)"),8.0)</f>
        <v>8</v>
      </c>
      <c r="K270" s="26" t="str">
        <f t="shared" si="31"/>
        <v>SI</v>
      </c>
      <c r="L270" s="29" t="s">
        <v>296</v>
      </c>
      <c r="M270" s="30" t="s">
        <v>297</v>
      </c>
      <c r="N270" s="32"/>
      <c r="O270" s="32" t="str">
        <f>VLOOKUP($G270,'Hoja 10'!$F$4:$AA1057, 19,0)</f>
        <v>Kamasa</v>
      </c>
      <c r="P270" s="32" t="str">
        <f>VLOOKUP($G270,'Hoja 10'!$F$4:$AA1057, 20,0)</f>
        <v>KM756</v>
      </c>
      <c r="Q270" s="33" t="str">
        <f>VLOOKUP($G270,'Hoja 10'!$F$4:$AA1057, 21,0)</f>
        <v>https://www.mercadolibre.com.pe/juego-de-limas-escofinas-10-3pzs-goma-kamasa/p/MPE50680164</v>
      </c>
      <c r="R270" s="86" t="s">
        <v>2452</v>
      </c>
      <c r="S270" s="34" t="b">
        <v>1</v>
      </c>
      <c r="T270" s="37" t="s">
        <v>2453</v>
      </c>
      <c r="U270" s="37" t="s">
        <v>2454</v>
      </c>
      <c r="V270" s="39" t="str">
        <f>IFERROR(__xludf.DUMMYFUNCTION(" IF
( VLOOKUP($G270,IMPORTRANGE(""https://docs.google.com/spreadsheets/d/1Gpl6jkTg7sL4VDNimUm3S9Vi1i95esohXCF3wuKOE8c"", ""'CONSOLIDADO'!G5:AB""), 10, 0) &lt;&gt; 0, 
IFERROR(VLOOKUP($G270,IMPORTRANGE(""https://docs.google.com/spreadsheets/d/1Gpl6jkTg7sL4VDNimU"&amp;"m3S9Vi1i95esohXCF3wuKOE8c"", ""'CONSOLIDADO'!G5:AB""), 17, 0), ""-""),
""""
)"),"Kamasa")</f>
        <v>Kamasa</v>
      </c>
      <c r="W270" s="39" t="str">
        <f>IFERROR(__xludf.DUMMYFUNCTION(" IF
( VLOOKUP($G270,IMPORTRANGE(""https://docs.google.com/spreadsheets/d/1Gpl6jkTg7sL4VDNimUm3S9Vi1i95esohXCF3wuKOE8c"", ""'CONSOLIDADO'!G5:AB""), 10, 0) &lt;&gt; 0, 
IFERROR(VLOOKUP($G270,IMPORTRANGE(""https://docs.google.com/spreadsheets/d/1Gpl6jkTg7sL4VDNimU"&amp;"m3S9Vi1i95esohXCF3wuKOE8c"", ""'CONSOLIDADO'!G5:AB""), 18, 0), ""-""),
""""
)"),"KM756")</f>
        <v>KM756</v>
      </c>
      <c r="X270" s="39" t="b">
        <f t="shared" si="33"/>
        <v>1</v>
      </c>
      <c r="Y270" s="138" t="str">
        <f>VLOOKUP($G270,'Hoja 10'!$F$4:$AA1057, 21,0)</f>
        <v>https://www.mercadolibre.com.pe/juego-de-limas-escofinas-10-3pzs-goma-kamasa/p/MPE50680164</v>
      </c>
      <c r="Z270" s="37" t="str">
        <f>IFERROR(__xludf.DUMMYFUNCTION("IFERROR(VLOOKUP(G270,IMPORTRANGE(""https://docs.google.com/spreadsheets/d/12RxCea4e5ggM7QGn1XE3FbLQa_-QbCNdBi90OdPjRqg"", ""'Plan de Compras'!D4:Q""), 12, 0), ""NO ESTÁ EN REQ"")"),"Simple")</f>
        <v>Simple</v>
      </c>
      <c r="AA270" s="37" t="str">
        <f>IFERROR(__xludf.DUMMYFUNCTION("IFERROR(VLOOKUP(G270,IMPORTRANGE(""https://docs.google.com/spreadsheets/d/12RxCea4e5ggM7QGn1XE3FbLQa_-QbCNdBi90OdPjRqg"", ""'Plan de Compras'!D4:Q""), 13, 0), """")"),"NACIONAL")</f>
        <v>NACIONAL</v>
      </c>
      <c r="AB270" s="32" t="str">
        <f>IFERROR(__xludf.DUMMYFUNCTION("IFERROR(VLOOKUP(G270,IMPORTRANGE(""https://docs.google.com/spreadsheets/d/12RxCea4e5ggM7QGn1XE3FbLQa_-QbCNdBi90OdPjRqg"", ""'Plan de Compras'!D4:Q""), 14, 0), """")"),"GEANFRANCO")</f>
        <v>GEANFRANCO</v>
      </c>
      <c r="AC270" s="72" t="str">
        <f>IFERROR(__xludf.DUMMYFUNCTION("IFERROR(VLOOKUP(G270,IMPORTRANGE(""https://docs.google.com/spreadsheets/d/12RxCea4e5ggM7QGn1XE3FbLQa_-QbCNdBi90OdPjRqg"", ""'Plan de Compras'!D4:Q""), 4, 0), """")"),"JUEGO DE ESCOFINA")</f>
        <v>JUEGO DE ESCOFINA</v>
      </c>
      <c r="AD270" s="37" t="str">
        <f>IFERROR(__xludf.DUMMYFUNCTION("IFERROR(IF(OR(C270=TRUE,C270=""""),VLOOKUP(G270,IMPORTRANGE(""https://docs.google.com/spreadsheets/d/1z9A1Wq-kKrhRNG5RS2a2fKpY1wIhSVz2ZNmP2mOl588/edit?usp=sharing"",""REQ VF!E4:H""),4,0),""NO APLICA""),""GENERAR REQ"")"),"GENERAR REQ")</f>
        <v>GENERAR REQ</v>
      </c>
      <c r="AE270" s="32" t="str">
        <f>IFERROR(__xludf.DUMMYFUNCTION("IFERROR(QUERY(IMPORTRANGE(""https://docs.google.com/spreadsheets/d/1z9A1Wq-kKrhRNG5RS2a2fKpY1wIhSVz2ZNmP2mOl588/edit?usp=sharing"",""REQ VF!E4:Q""),""SELECT Col10, Col11, Col12 WHERE Col1 = '""&amp;G270&amp;""'"",0),""NO APLICA"")"),"NO APLICA")</f>
        <v>NO APLICA</v>
      </c>
      <c r="AF270" s="32"/>
      <c r="AG270" s="32"/>
      <c r="AH270" s="13"/>
      <c r="AI270" s="13"/>
    </row>
    <row r="271">
      <c r="A271" s="121">
        <v>178.0</v>
      </c>
      <c r="B271" s="43" t="b">
        <v>1</v>
      </c>
      <c r="C271" s="26" t="b">
        <v>1</v>
      </c>
      <c r="D271" s="26" t="s">
        <v>35</v>
      </c>
      <c r="E271" s="26" t="s">
        <v>1510</v>
      </c>
      <c r="F271" s="59" t="s">
        <v>2455</v>
      </c>
      <c r="G271" s="37" t="s">
        <v>2455</v>
      </c>
      <c r="H271" s="82" t="s">
        <v>2456</v>
      </c>
      <c r="I271" s="43">
        <f>SUMIFS('Hoja 10'!$O:$O,'Hoja 10'!$F:$F,$G271)</f>
        <v>8</v>
      </c>
      <c r="J271" s="26">
        <f>IFERROR(__xludf.DUMMYFUNCTION("VLOOKUP(G271,IMPORTRANGE(""https://docs.google.com/spreadsheets/d/12RxCea4e5ggM7QGn1XE3FbLQa_-QbCNdBi90OdPjRqg/edit?gid=1692403370#gid=1692403370"", ""'Plan de Compras'!D4:2432""), 8,0)"),8.0)</f>
        <v>8</v>
      </c>
      <c r="K271" s="26" t="str">
        <f t="shared" si="31"/>
        <v>SI</v>
      </c>
      <c r="L271" s="29" t="s">
        <v>296</v>
      </c>
      <c r="M271" s="30" t="s">
        <v>297</v>
      </c>
      <c r="N271" s="32"/>
      <c r="O271" s="32" t="str">
        <f>VLOOKUP($G271,'Hoja 10'!$F$4:$AA1057, 19,0)</f>
        <v>Stanley</v>
      </c>
      <c r="P271" s="32" t="str">
        <f>VLOOKUP($G271,'Hoja 10'!$F$4:$AA1057, 20,0)</f>
        <v>2-16-888</v>
      </c>
      <c r="Q271" s="33" t="str">
        <f>VLOOKUP($G271,'Hoja 10'!$F$4:$AA1057, 21,0)</f>
        <v>https://es.rubix.com/es/juego-de-formones-dynagrip-5-piezas-6-12-18-25-32mm/p-G1337001002</v>
      </c>
      <c r="R271" s="86" t="s">
        <v>2457</v>
      </c>
      <c r="S271" s="44" t="b">
        <v>1</v>
      </c>
      <c r="T271" s="39" t="str">
        <f>IFERROR(__xludf.DUMMYFUNCTION(" IF
( VLOOKUP($G271,IMPORTRANGE(""https://docs.google.com/spreadsheets/d/1Gpl6jkTg7sL4VDNimUm3S9Vi1i95esohXCF3wuKOE8c"", ""'CONSOLIDADO'!G5:AB""), 10, 0) &lt;&gt; 0, 
IFERROR(VLOOKUP($G271,IMPORTRANGE(""https://docs.google.com/spreadsheets/d/1Gpl6jkTg7sL4VDNimU"&amp;"m3S9Vi1i95esohXCF3wuKOE8c"", ""'CONSOLIDADO'!G5:AB""), 17, 0), ""-""),
""""
)"),"BAHCO")</f>
        <v>BAHCO</v>
      </c>
      <c r="U271" s="39" t="str">
        <f>IFERROR(__xludf.DUMMYFUNCTION(" IF
( VLOOKUP($G271,IMPORTRANGE(""https://docs.google.com/spreadsheets/d/1Gpl6jkTg7sL4VDNimUm3S9Vi1i95esohXCF3wuKOE8c"", ""'CONSOLIDADO'!G5:AB""), 10, 0) &lt;&gt; 0, 
IFERROR(VLOOKUP($G271,IMPORTRANGE(""https://docs.google.com/spreadsheets/d/1Gpl6jkTg7sL4VDNimU"&amp;"m3S9Vi1i95esohXCF3wuKOE8c"", ""'CONSOLIDADO'!G5:AB""), 18, 0), ""-""),
""""
)"),"425-082")</f>
        <v>425-082</v>
      </c>
      <c r="V271" s="39" t="str">
        <f>IFERROR(__xludf.DUMMYFUNCTION(" IF
( VLOOKUP($G271,IMPORTRANGE(""https://docs.google.com/spreadsheets/d/1Gpl6jkTg7sL4VDNimUm3S9Vi1i95esohXCF3wuKOE8c"", ""'CONSOLIDADO'!G5:AB""), 10, 0) &lt;&gt; 0, 
IFERROR(VLOOKUP($G271,IMPORTRANGE(""https://docs.google.com/spreadsheets/d/1Gpl6jkTg7sL4VDNimU"&amp;"m3S9Vi1i95esohXCF3wuKOE8c"", ""'CONSOLIDADO'!G5:AB""), 17, 0), ""-""),
""""
)"),"BAHCO")</f>
        <v>BAHCO</v>
      </c>
      <c r="W271" s="39" t="str">
        <f>IFERROR(__xludf.DUMMYFUNCTION(" IF
( VLOOKUP($G271,IMPORTRANGE(""https://docs.google.com/spreadsheets/d/1Gpl6jkTg7sL4VDNimUm3S9Vi1i95esohXCF3wuKOE8c"", ""'CONSOLIDADO'!G5:AB""), 10, 0) &lt;&gt; 0, 
IFERROR(VLOOKUP($G271,IMPORTRANGE(""https://docs.google.com/spreadsheets/d/1Gpl6jkTg7sL4VDNimU"&amp;"m3S9Vi1i95esohXCF3wuKOE8c"", ""'CONSOLIDADO'!G5:AB""), 18, 0), ""-""),
""""
)"),"425-082")</f>
        <v>425-082</v>
      </c>
      <c r="X271" s="39" t="b">
        <f t="shared" si="33"/>
        <v>1</v>
      </c>
      <c r="Y271" s="120" t="str">
        <f>IFERROR(__xludf.DUMMYFUNCTION(" IF
( VLOOKUP($G271,IMPORTRANGE(""https://docs.google.com/spreadsheets/d/1Gpl6jkTg7sL4VDNimUm3S9Vi1i95esohXCF3wuKOE8c"", ""'CONSOLIDADO'!G5:AB""), 10, 0) &lt;&gt; 0, 
IFERROR(VLOOKUP($G271,IMPORTRANGE(""https://docs.google.com/spreadsheets/d/1Gpl6jkTg7sL4VDNimU"&amp;"m3S9Vi1i95esohXCF3wuKOE8c"", ""'CONSOLIDADO'!G5:AB""), 19, 0), ""-""),
""""
)"),"https://rodavigo.net/es/p/juego-de-formones-mango-madera-5-piezas-6-10-12-18-25-mm-ref-bahco-425-082/574425082")</f>
        <v>https://rodavigo.net/es/p/juego-de-formones-mango-madera-5-piezas-6-10-12-18-25-mm-ref-bahco-425-082/574425082</v>
      </c>
      <c r="Z271" s="37" t="str">
        <f>IFERROR(__xludf.DUMMYFUNCTION("IFERROR(VLOOKUP(G271,IMPORTRANGE(""https://docs.google.com/spreadsheets/d/12RxCea4e5ggM7QGn1XE3FbLQa_-QbCNdBi90OdPjRqg"", ""'Plan de Compras'!D4:Q""), 12, 0), ""NO ESTÁ EN REQ"")"),"Técnica")</f>
        <v>Técnica</v>
      </c>
      <c r="AA271" s="37" t="str">
        <f>IFERROR(__xludf.DUMMYFUNCTION("IFERROR(VLOOKUP(G271,IMPORTRANGE(""https://docs.google.com/spreadsheets/d/12RxCea4e5ggM7QGn1XE3FbLQa_-QbCNdBi90OdPjRqg"", ""'Plan de Compras'!D4:Q""), 13, 0), """")"),"INTERNACIONAL")</f>
        <v>INTERNACIONAL</v>
      </c>
      <c r="AB271" s="32" t="str">
        <f>IFERROR(__xludf.DUMMYFUNCTION("IFERROR(VLOOKUP(G271,IMPORTRANGE(""https://docs.google.com/spreadsheets/d/12RxCea4e5ggM7QGn1XE3FbLQa_-QbCNdBi90OdPjRqg"", ""'Plan de Compras'!D4:Q""), 14, 0), """")"),"GIANFRANCO")</f>
        <v>GIANFRANCO</v>
      </c>
      <c r="AC271" s="72" t="str">
        <f>IFERROR(__xludf.DUMMYFUNCTION("IFERROR(VLOOKUP(G271,IMPORTRANGE(""https://docs.google.com/spreadsheets/d/12RxCea4e5ggM7QGn1XE3FbLQa_-QbCNdBi90OdPjRqg"", ""'Plan de Compras'!D4:Q""), 4, 0), """")"),"JUEGO DE FORMONES")</f>
        <v>JUEGO DE FORMONES</v>
      </c>
      <c r="AD271" s="37" t="str">
        <f>IFERROR(__xludf.DUMMYFUNCTION("IFERROR(IF(OR(C271=TRUE,C271=""""),VLOOKUP(G271,IMPORTRANGE(""https://docs.google.com/spreadsheets/d/1z9A1Wq-kKrhRNG5RS2a2fKpY1wIhSVz2ZNmP2mOl588/edit?usp=sharing"",""REQ VF!E4:H""),4,0),""NO APLICA""),""GENERAR REQ"")"),"GENERAR REQ")</f>
        <v>GENERAR REQ</v>
      </c>
      <c r="AE271" s="32" t="str">
        <f>IFERROR(__xludf.DUMMYFUNCTION("IFERROR(QUERY(IMPORTRANGE(""https://docs.google.com/spreadsheets/d/1z9A1Wq-kKrhRNG5RS2a2fKpY1wIhSVz2ZNmP2mOl588/edit?usp=sharing"",""REQ VF!E4:Q""),""SELECT Col10, Col11, Col12 WHERE Col1 = '""&amp;G271&amp;""'"",0),""NO APLICA"")"),"NO APLICA")</f>
        <v>NO APLICA</v>
      </c>
      <c r="AF271" s="32"/>
      <c r="AG271" s="32"/>
      <c r="AH271" s="8" t="s">
        <v>52</v>
      </c>
      <c r="AI271" s="13"/>
    </row>
    <row r="272">
      <c r="A272" s="121">
        <v>179.0</v>
      </c>
      <c r="B272" s="43" t="b">
        <v>1</v>
      </c>
      <c r="C272" s="26" t="b">
        <v>1</v>
      </c>
      <c r="D272" s="26" t="s">
        <v>35</v>
      </c>
      <c r="E272" s="26" t="s">
        <v>1510</v>
      </c>
      <c r="F272" s="59" t="s">
        <v>2458</v>
      </c>
      <c r="G272" s="37" t="s">
        <v>2459</v>
      </c>
      <c r="H272" s="82" t="s">
        <v>2460</v>
      </c>
      <c r="I272" s="43">
        <f>SUMIFS('Hoja 10'!$O:$O,'Hoja 10'!$F:$F,$G272)</f>
        <v>3</v>
      </c>
      <c r="J272" s="26">
        <f>IFERROR(__xludf.DUMMYFUNCTION("VLOOKUP(G272,IMPORTRANGE(""https://docs.google.com/spreadsheets/d/12RxCea4e5ggM7QGn1XE3FbLQa_-QbCNdBi90OdPjRqg/edit?gid=1692403370#gid=1692403370"", ""'Plan de Compras'!D4:2432""), 8,0)"),3.0)</f>
        <v>3</v>
      </c>
      <c r="K272" s="26" t="str">
        <f t="shared" si="31"/>
        <v>SI</v>
      </c>
      <c r="L272" s="29" t="s">
        <v>127</v>
      </c>
      <c r="M272" s="30" t="s">
        <v>105</v>
      </c>
      <c r="N272" s="32"/>
      <c r="O272" s="32" t="str">
        <f>VLOOKUP($G272,'Hoja 10'!$F$4:$AA1057, 19,0)</f>
        <v>IRIMO</v>
      </c>
      <c r="P272" s="32" t="str">
        <f>VLOOKUP($G272,'Hoja 10'!$F$4:$AA1057, 20,0)</f>
        <v>SN534501</v>
      </c>
      <c r="Q272" s="33" t="str">
        <f>VLOOKUP($G272,'Hoja 10'!$F$4:$AA1057, 21,0)</f>
        <v>https://suminca.es/producto/juego-limas-irimo/</v>
      </c>
      <c r="R272" s="86" t="s">
        <v>2461</v>
      </c>
      <c r="S272" s="44" t="b">
        <v>1</v>
      </c>
      <c r="T272" s="39" t="str">
        <f>IFERROR(__xludf.DUMMYFUNCTION(" IF
( VLOOKUP($G272,IMPORTRANGE(""https://docs.google.com/spreadsheets/d/1Gpl6jkTg7sL4VDNimUm3S9Vi1i95esohXCF3wuKOE8c"", ""'CONSOLIDADO'!G5:AB""), 10, 0) &lt;&gt; 0, 
IFERROR(VLOOKUP($G272,IMPORTRANGE(""https://docs.google.com/spreadsheets/d/1Gpl6jkTg7sL4VDNimU"&amp;"m3S9Vi1i95esohXCF3wuKOE8c"", ""'CONSOLIDADO'!G5:AB""), 17, 0), ""-""),
""""
)"),"IRIMO")</f>
        <v>IRIMO</v>
      </c>
      <c r="U272" s="39">
        <f>IFERROR(__xludf.DUMMYFUNCTION(" IF
( VLOOKUP($G272,IMPORTRANGE(""https://docs.google.com/spreadsheets/d/1Gpl6jkTg7sL4VDNimUm3S9Vi1i95esohXCF3wuKOE8c"", ""'CONSOLIDADO'!G5:AB""), 10, 0) &lt;&gt; 0, 
IFERROR(VLOOKUP($G272,IMPORTRANGE(""https://docs.google.com/spreadsheets/d/1Gpl6jkTg7sL4VDNimU"&amp;"m3S9Vi1i95esohXCF3wuKOE8c"", ""'CONSOLIDADO'!G5:AB""), 18, 0), ""-""),
""""
)"),534501.0)</f>
        <v>534501</v>
      </c>
      <c r="V272" s="39" t="str">
        <f>IFERROR(__xludf.DUMMYFUNCTION(" IF
( VLOOKUP($G272,IMPORTRANGE(""https://docs.google.com/spreadsheets/d/1Gpl6jkTg7sL4VDNimUm3S9Vi1i95esohXCF3wuKOE8c"", ""'CONSOLIDADO'!G5:AB""), 10, 0) &lt;&gt; 0, 
IFERROR(VLOOKUP($G272,IMPORTRANGE(""https://docs.google.com/spreadsheets/d/1Gpl6jkTg7sL4VDNimU"&amp;"m3S9Vi1i95esohXCF3wuKOE8c"", ""'CONSOLIDADO'!G5:AB""), 17, 0), ""-""),
""""
)"),"IRIMO")</f>
        <v>IRIMO</v>
      </c>
      <c r="W272" s="39">
        <f>IFERROR(__xludf.DUMMYFUNCTION(" IF
( VLOOKUP($G272,IMPORTRANGE(""https://docs.google.com/spreadsheets/d/1Gpl6jkTg7sL4VDNimUm3S9Vi1i95esohXCF3wuKOE8c"", ""'CONSOLIDADO'!G5:AB""), 10, 0) &lt;&gt; 0, 
IFERROR(VLOOKUP($G272,IMPORTRANGE(""https://docs.google.com/spreadsheets/d/1Gpl6jkTg7sL4VDNimU"&amp;"m3S9Vi1i95esohXCF3wuKOE8c"", ""'CONSOLIDADO'!G5:AB""), 18, 0), ""-""),
""""
)"),534501.0)</f>
        <v>534501</v>
      </c>
      <c r="X272" s="39" t="b">
        <f t="shared" si="33"/>
        <v>1</v>
      </c>
      <c r="Y272" s="120" t="str">
        <f>IFERROR(__xludf.DUMMYFUNCTION(" IF
( VLOOKUP($G272,IMPORTRANGE(""https://docs.google.com/spreadsheets/d/1Gpl6jkTg7sL4VDNimUm3S9Vi1i95esohXCF3wuKOE8c"", ""'CONSOLIDADO'!G5:AB""), 10, 0) &lt;&gt; 0, 
IFERROR(VLOOKUP($G272,IMPORTRANGE(""https://docs.google.com/spreadsheets/d/1Gpl6jkTg7sL4VDNimU"&amp;"m3S9Vi1i95esohXCF3wuKOE8c"", ""'CONSOLIDADO'!G5:AB""), 19, 0), ""-""),
""""
)"),"https://rodavigo.net/es/p/juego-6-limas-para-mecanico-ref-irimo-534501/534534501")</f>
        <v>https://rodavigo.net/es/p/juego-6-limas-para-mecanico-ref-irimo-534501/534534501</v>
      </c>
      <c r="Z272" s="37" t="str">
        <f>IFERROR(__xludf.DUMMYFUNCTION("IFERROR(VLOOKUP(G272,IMPORTRANGE(""https://docs.google.com/spreadsheets/d/12RxCea4e5ggM7QGn1XE3FbLQa_-QbCNdBi90OdPjRqg"", ""'Plan de Compras'!D4:Q""), 12, 0), ""NO ESTÁ EN REQ"")"),"Técnica")</f>
        <v>Técnica</v>
      </c>
      <c r="AA272" s="37" t="str">
        <f>IFERROR(__xludf.DUMMYFUNCTION("IFERROR(VLOOKUP(G272,IMPORTRANGE(""https://docs.google.com/spreadsheets/d/12RxCea4e5ggM7QGn1XE3FbLQa_-QbCNdBi90OdPjRqg"", ""'Plan de Compras'!D4:Q""), 13, 0), """")"),"INTERNACIONAL")</f>
        <v>INTERNACIONAL</v>
      </c>
      <c r="AB272" s="32" t="str">
        <f>IFERROR(__xludf.DUMMYFUNCTION("IFERROR(VLOOKUP(G272,IMPORTRANGE(""https://docs.google.com/spreadsheets/d/12RxCea4e5ggM7QGn1XE3FbLQa_-QbCNdBi90OdPjRqg"", ""'Plan de Compras'!D4:Q""), 14, 0), """")"),"GIANFRANCO")</f>
        <v>GIANFRANCO</v>
      </c>
      <c r="AC272" s="72" t="str">
        <f>IFERROR(__xludf.DUMMYFUNCTION("IFERROR(VLOOKUP(G272,IMPORTRANGE(""https://docs.google.com/spreadsheets/d/12RxCea4e5ggM7QGn1XE3FbLQa_-QbCNdBi90OdPjRqg"", ""'Plan de Compras'!D4:Q""), 4, 0), """")"),"JUEGO DE LIMAS")</f>
        <v>JUEGO DE LIMAS</v>
      </c>
      <c r="AD272" s="37" t="str">
        <f>IFERROR(__xludf.DUMMYFUNCTION("IFERROR(IF(OR(C272=TRUE,C272=""""),VLOOKUP(G272,IMPORTRANGE(""https://docs.google.com/spreadsheets/d/1z9A1Wq-kKrhRNG5RS2a2fKpY1wIhSVz2ZNmP2mOl588/edit?usp=sharing"",""REQ VF!E4:H""),4,0),""NO APLICA""),""GENERAR REQ"")"),"GENERAR REQ")</f>
        <v>GENERAR REQ</v>
      </c>
      <c r="AE272" s="32" t="str">
        <f>IFERROR(__xludf.DUMMYFUNCTION("IFERROR(QUERY(IMPORTRANGE(""https://docs.google.com/spreadsheets/d/1z9A1Wq-kKrhRNG5RS2a2fKpY1wIhSVz2ZNmP2mOl588/edit?usp=sharing"",""REQ VF!E4:Q""),""SELECT Col10, Col11, Col12 WHERE Col1 = '""&amp;G272&amp;""'"",0),""NO APLICA"")"),"NO APLICA")</f>
        <v>NO APLICA</v>
      </c>
      <c r="AF272" s="32"/>
      <c r="AG272" s="32"/>
      <c r="AH272" s="8" t="s">
        <v>52</v>
      </c>
      <c r="AI272" s="13"/>
    </row>
    <row r="273">
      <c r="A273" s="117">
        <v>180.0</v>
      </c>
      <c r="B273" s="43" t="b">
        <v>1</v>
      </c>
      <c r="C273" s="26" t="b">
        <v>1</v>
      </c>
      <c r="D273" s="26" t="s">
        <v>35</v>
      </c>
      <c r="E273" s="26" t="s">
        <v>1510</v>
      </c>
      <c r="F273" s="59" t="s">
        <v>2458</v>
      </c>
      <c r="G273" s="37" t="s">
        <v>2462</v>
      </c>
      <c r="H273" s="82" t="s">
        <v>2460</v>
      </c>
      <c r="I273" s="43">
        <f>SUMIFS('Hoja 10'!$O:$O,'Hoja 10'!$F:$F,$G273)</f>
        <v>5</v>
      </c>
      <c r="J273" s="26">
        <f>IFERROR(__xludf.DUMMYFUNCTION("VLOOKUP(G273,IMPORTRANGE(""https://docs.google.com/spreadsheets/d/12RxCea4e5ggM7QGn1XE3FbLQa_-QbCNdBi90OdPjRqg/edit?gid=1692403370#gid=1692403370"", ""'Plan de Compras'!D4:2432""), 8,0)"),5.0)</f>
        <v>5</v>
      </c>
      <c r="K273" s="26" t="str">
        <f t="shared" si="31"/>
        <v>SI</v>
      </c>
      <c r="L273" s="29" t="s">
        <v>91</v>
      </c>
      <c r="M273" s="30" t="s">
        <v>92</v>
      </c>
      <c r="N273" s="32"/>
      <c r="O273" s="32" t="str">
        <f>VLOOKUP($G273,'Hoja 10'!$F$4:$AA1057, 19,0)</f>
        <v>IRIMO</v>
      </c>
      <c r="P273" s="32" t="str">
        <f>VLOOKUP($G273,'Hoja 10'!$F$4:$AA1057, 20,0)</f>
        <v>SN534501</v>
      </c>
      <c r="Q273" s="33" t="str">
        <f>VLOOKUP($G273,'Hoja 10'!$F$4:$AA1057, 21,0)</f>
        <v>https://suminca.es/producto/juego-limas-irimo/</v>
      </c>
      <c r="R273" s="86" t="s">
        <v>2463</v>
      </c>
      <c r="S273" s="44" t="b">
        <v>1</v>
      </c>
      <c r="T273" s="39" t="str">
        <f>IFERROR(__xludf.DUMMYFUNCTION(" IF
( VLOOKUP($G273,IMPORTRANGE(""https://docs.google.com/spreadsheets/d/1Gpl6jkTg7sL4VDNimUm3S9Vi1i95esohXCF3wuKOE8c"", ""'CONSOLIDADO'!G5:AB""), 10, 0) &lt;&gt; 0, 
IFERROR(VLOOKUP($G273,IMPORTRANGE(""https://docs.google.com/spreadsheets/d/1Gpl6jkTg7sL4VDNimU"&amp;"m3S9Vi1i95esohXCF3wuKOE8c"", ""'CONSOLIDADO'!G5:AB""), 17, 0), ""-""),
""""
)"),"IRIMO")</f>
        <v>IRIMO</v>
      </c>
      <c r="U273" s="39">
        <f>IFERROR(__xludf.DUMMYFUNCTION(" IF
( VLOOKUP($G273,IMPORTRANGE(""https://docs.google.com/spreadsheets/d/1Gpl6jkTg7sL4VDNimUm3S9Vi1i95esohXCF3wuKOE8c"", ""'CONSOLIDADO'!G5:AB""), 10, 0) &lt;&gt; 0, 
IFERROR(VLOOKUP($G273,IMPORTRANGE(""https://docs.google.com/spreadsheets/d/1Gpl6jkTg7sL4VDNimU"&amp;"m3S9Vi1i95esohXCF3wuKOE8c"", ""'CONSOLIDADO'!G5:AB""), 18, 0), ""-""),
""""
)"),534501.0)</f>
        <v>534501</v>
      </c>
      <c r="V273" s="39" t="str">
        <f>IFERROR(__xludf.DUMMYFUNCTION(" IF
( VLOOKUP($G273,IMPORTRANGE(""https://docs.google.com/spreadsheets/d/1Gpl6jkTg7sL4VDNimUm3S9Vi1i95esohXCF3wuKOE8c"", ""'CONSOLIDADO'!G5:AB""), 10, 0) &lt;&gt; 0, 
IFERROR(VLOOKUP($G273,IMPORTRANGE(""https://docs.google.com/spreadsheets/d/1Gpl6jkTg7sL4VDNimU"&amp;"m3S9Vi1i95esohXCF3wuKOE8c"", ""'CONSOLIDADO'!G5:AB""), 17, 0), ""-""),
""""
)"),"IRIMO")</f>
        <v>IRIMO</v>
      </c>
      <c r="W273" s="39">
        <f>IFERROR(__xludf.DUMMYFUNCTION(" IF
( VLOOKUP($G273,IMPORTRANGE(""https://docs.google.com/spreadsheets/d/1Gpl6jkTg7sL4VDNimUm3S9Vi1i95esohXCF3wuKOE8c"", ""'CONSOLIDADO'!G5:AB""), 10, 0) &lt;&gt; 0, 
IFERROR(VLOOKUP($G273,IMPORTRANGE(""https://docs.google.com/spreadsheets/d/1Gpl6jkTg7sL4VDNimU"&amp;"m3S9Vi1i95esohXCF3wuKOE8c"", ""'CONSOLIDADO'!G5:AB""), 18, 0), ""-""),
""""
)"),534501.0)</f>
        <v>534501</v>
      </c>
      <c r="X273" s="39" t="b">
        <f t="shared" si="33"/>
        <v>1</v>
      </c>
      <c r="Y273" s="120" t="str">
        <f>IFERROR(__xludf.DUMMYFUNCTION(" IF
( VLOOKUP($G273,IMPORTRANGE(""https://docs.google.com/spreadsheets/d/1Gpl6jkTg7sL4VDNimUm3S9Vi1i95esohXCF3wuKOE8c"", ""'CONSOLIDADO'!G5:AB""), 10, 0) &lt;&gt; 0, 
IFERROR(VLOOKUP($G273,IMPORTRANGE(""https://docs.google.com/spreadsheets/d/1Gpl6jkTg7sL4VDNimU"&amp;"m3S9Vi1i95esohXCF3wuKOE8c"", ""'CONSOLIDADO'!G5:AB""), 19, 0), ""-""),
""""
)"),"https://rodavigo.net/es/p/juego-6-limas-para-mecanico-ref-irimo-534501/534534501")</f>
        <v>https://rodavigo.net/es/p/juego-6-limas-para-mecanico-ref-irimo-534501/534534501</v>
      </c>
      <c r="Z273" s="37" t="str">
        <f>IFERROR(__xludf.DUMMYFUNCTION("IFERROR(VLOOKUP(G273,IMPORTRANGE(""https://docs.google.com/spreadsheets/d/12RxCea4e5ggM7QGn1XE3FbLQa_-QbCNdBi90OdPjRqg"", ""'Plan de Compras'!D4:Q""), 12, 0), ""NO ESTÁ EN REQ"")"),"Técnica")</f>
        <v>Técnica</v>
      </c>
      <c r="AA273" s="37" t="str">
        <f>IFERROR(__xludf.DUMMYFUNCTION("IFERROR(VLOOKUP(G273,IMPORTRANGE(""https://docs.google.com/spreadsheets/d/12RxCea4e5ggM7QGn1XE3FbLQa_-QbCNdBi90OdPjRqg"", ""'Plan de Compras'!D4:Q""), 13, 0), """")"),"INTERNACIONAL")</f>
        <v>INTERNACIONAL</v>
      </c>
      <c r="AB273" s="32" t="str">
        <f>IFERROR(__xludf.DUMMYFUNCTION("IFERROR(VLOOKUP(G273,IMPORTRANGE(""https://docs.google.com/spreadsheets/d/12RxCea4e5ggM7QGn1XE3FbLQa_-QbCNdBi90OdPjRqg"", ""'Plan de Compras'!D4:Q""), 14, 0), """")"),"GIANFRANCO")</f>
        <v>GIANFRANCO</v>
      </c>
      <c r="AC273" s="72" t="str">
        <f>IFERROR(__xludf.DUMMYFUNCTION("IFERROR(VLOOKUP(G273,IMPORTRANGE(""https://docs.google.com/spreadsheets/d/12RxCea4e5ggM7QGn1XE3FbLQa_-QbCNdBi90OdPjRqg"", ""'Plan de Compras'!D4:Q""), 4, 0), """")"),"JUEGO DE LIMAS")</f>
        <v>JUEGO DE LIMAS</v>
      </c>
      <c r="AD273" s="37" t="str">
        <f>IFERROR(__xludf.DUMMYFUNCTION("IFERROR(IF(OR(C273=TRUE,C273=""""),VLOOKUP(G273,IMPORTRANGE(""https://docs.google.com/spreadsheets/d/1z9A1Wq-kKrhRNG5RS2a2fKpY1wIhSVz2ZNmP2mOl588/edit?usp=sharing"",""REQ VF!E4:H""),4,0),""NO APLICA""),""GENERAR REQ"")"),"GENERAR REQ")</f>
        <v>GENERAR REQ</v>
      </c>
      <c r="AE273" s="32" t="str">
        <f>IFERROR(__xludf.DUMMYFUNCTION("IFERROR(QUERY(IMPORTRANGE(""https://docs.google.com/spreadsheets/d/1z9A1Wq-kKrhRNG5RS2a2fKpY1wIhSVz2ZNmP2mOl588/edit?usp=sharing"",""REQ VF!E4:Q""),""SELECT Col10, Col11, Col12 WHERE Col1 = '""&amp;G273&amp;""'"",0),""NO APLICA"")"),"NO APLICA")</f>
        <v>NO APLICA</v>
      </c>
      <c r="AF273" s="32"/>
      <c r="AG273" s="32"/>
      <c r="AH273" s="8" t="s">
        <v>52</v>
      </c>
      <c r="AI273" s="13"/>
    </row>
    <row r="274">
      <c r="A274" s="117">
        <v>181.0</v>
      </c>
      <c r="B274" s="43" t="b">
        <v>1</v>
      </c>
      <c r="C274" s="26" t="b">
        <v>0</v>
      </c>
      <c r="D274" s="48" t="s">
        <v>35</v>
      </c>
      <c r="E274" s="48" t="s">
        <v>1510</v>
      </c>
      <c r="F274" s="94" t="s">
        <v>2464</v>
      </c>
      <c r="G274" s="107" t="s">
        <v>2464</v>
      </c>
      <c r="H274" s="135" t="s">
        <v>2465</v>
      </c>
      <c r="I274" s="43">
        <f>SUMIFS('Hoja 10'!$O:$O,'Hoja 10'!$F:$F,$G274)</f>
        <v>24</v>
      </c>
      <c r="J274" s="26" t="str">
        <f>IFERROR(__xludf.DUMMYFUNCTION("VLOOKUP(G274,IMPORTRANGE(""https://docs.google.com/spreadsheets/d/12RxCea4e5ggM7QGn1XE3FbLQa_-QbCNdBi90OdPjRqg/edit?gid=1692403370#gid=1692403370"", ""'Plan de Compras'!D4:2432""), 8,0)"),"#N/A")</f>
        <v>#N/A</v>
      </c>
      <c r="K274" s="26" t="str">
        <f t="shared" si="31"/>
        <v>-</v>
      </c>
      <c r="L274" s="29" t="s">
        <v>2466</v>
      </c>
      <c r="M274" s="30" t="s">
        <v>123</v>
      </c>
      <c r="N274" s="32"/>
      <c r="O274" s="32" t="s">
        <v>2467</v>
      </c>
      <c r="P274" s="32"/>
      <c r="Q274" s="33" t="s">
        <v>2468</v>
      </c>
      <c r="R274" s="86" t="s">
        <v>2469</v>
      </c>
      <c r="S274" s="34" t="b">
        <v>1</v>
      </c>
      <c r="T274" s="39" t="str">
        <f>IFERROR(__xludf.DUMMYFUNCTION(" IF
( VLOOKUP($G274,IMPORTRANGE(""https://docs.google.com/spreadsheets/d/1Gpl6jkTg7sL4VDNimUm3S9Vi1i95esohXCF3wuKOE8c"", ""'CONSOLIDADO'!G5:AB""), 10, 0) &lt;&gt; 0, 
IFERROR(VLOOKUP($G274,IMPORTRANGE(""https://docs.google.com/spreadsheets/d/1Gpl6jkTg7sL4VDNimU"&amp;"m3S9Vi1i95esohXCF3wuKOE8c"", ""'CONSOLIDADO'!G5:AB""), 17, 0), ""-""),
""""
)"),"IRIMO")</f>
        <v>IRIMO</v>
      </c>
      <c r="U274" s="39" t="str">
        <f>IFERROR(__xludf.DUMMYFUNCTION(" IF
( VLOOKUP($G274,IMPORTRANGE(""https://docs.google.com/spreadsheets/d/1Gpl6jkTg7sL4VDNimUm3S9Vi1i95esohXCF3wuKOE8c"", ""'CONSOLIDADO'!G5:AB""), 10, 0) &lt;&gt; 0, 
IFERROR(VLOOKUP($G274,IMPORTRANGE(""https://docs.google.com/spreadsheets/d/1Gpl6jkTg7sL4VDNimU"&amp;"m3S9Vi1i95esohXCF3wuKOE8c"", ""'CONSOLIDADO'!G5:AB""), 18, 0), ""-""),
""""
)"),"041101 / 041061")</f>
        <v>041101 / 041061</v>
      </c>
      <c r="V274" s="39" t="str">
        <f>IFERROR(__xludf.DUMMYFUNCTION(" IF
( VLOOKUP($G274,IMPORTRANGE(""https://docs.google.com/spreadsheets/d/1Gpl6jkTg7sL4VDNimUm3S9Vi1i95esohXCF3wuKOE8c"", ""'CONSOLIDADO'!G5:AB""), 10, 0) &lt;&gt; 0, 
IFERROR(VLOOKUP($G274,IMPORTRANGE(""https://docs.google.com/spreadsheets/d/1Gpl6jkTg7sL4VDNimU"&amp;"m3S9Vi1i95esohXCF3wuKOE8c"", ""'CONSOLIDADO'!G5:AB""), 17, 0), ""-""),
""""
)"),"IRIMO")</f>
        <v>IRIMO</v>
      </c>
      <c r="W274" s="39" t="str">
        <f>IFERROR(__xludf.DUMMYFUNCTION(" IF
( VLOOKUP($G274,IMPORTRANGE(""https://docs.google.com/spreadsheets/d/1Gpl6jkTg7sL4VDNimUm3S9Vi1i95esohXCF3wuKOE8c"", ""'CONSOLIDADO'!G5:AB""), 10, 0) &lt;&gt; 0, 
IFERROR(VLOOKUP($G274,IMPORTRANGE(""https://docs.google.com/spreadsheets/d/1Gpl6jkTg7sL4VDNimU"&amp;"m3S9Vi1i95esohXCF3wuKOE8c"", ""'CONSOLIDADO'!G5:AB""), 18, 0), ""-""),
""""
)"),"041101 / 041061")</f>
        <v>041101 / 041061</v>
      </c>
      <c r="X274" s="39" t="b">
        <f t="shared" si="33"/>
        <v>1</v>
      </c>
      <c r="Y274" s="120" t="str">
        <f>IFERROR(__xludf.DUMMYFUNCTION(" IF
( VLOOKUP($G274,IMPORTRANGE(""https://docs.google.com/spreadsheets/d/1Gpl6jkTg7sL4VDNimUm3S9Vi1i95esohXCF3wuKOE8c"", ""'CONSOLIDADO'!G5:AB""), 10, 0) &lt;&gt; 0, 
IFERROR(VLOOKUP($G274,IMPORTRANGE(""https://docs.google.com/spreadsheets/d/1Gpl6jkTg7sL4VDNimU"&amp;"m3S9Vi1i95esohXCF3wuKOE8c"", ""'CONSOLIDADO'!G5:AB""), 19, 0), ""-""),
""""
)"),"https://cahema.pe/llaves-allen/16092-juego-de-15-llaves-allen-hexagonales-niquelada-041101-irimo.html")</f>
        <v>https://cahema.pe/llaves-allen/16092-juego-de-15-llaves-allen-hexagonales-niquelada-041101-irimo.html</v>
      </c>
      <c r="Z274" s="37" t="str">
        <f>IFERROR(__xludf.DUMMYFUNCTION("IFERROR(VLOOKUP(G274,IMPORTRANGE(""https://docs.google.com/spreadsheets/d/12RxCea4e5ggM7QGn1XE3FbLQa_-QbCNdBi90OdPjRqg"", ""'Plan de Compras'!D4:Q""), 12, 0), ""NO ESTÁ EN REQ"")"),"NO ESTÁ EN REQ")</f>
        <v>NO ESTÁ EN REQ</v>
      </c>
      <c r="AA274" s="37" t="str">
        <f>IFERROR(__xludf.DUMMYFUNCTION("IFERROR(VLOOKUP(G274,IMPORTRANGE(""https://docs.google.com/spreadsheets/d/12RxCea4e5ggM7QGn1XE3FbLQa_-QbCNdBi90OdPjRqg"", ""'Plan de Compras'!D4:Q""), 13, 0), """")"),"")</f>
        <v/>
      </c>
      <c r="AB274" s="32" t="str">
        <f>IFERROR(__xludf.DUMMYFUNCTION("IFERROR(VLOOKUP(G274,IMPORTRANGE(""https://docs.google.com/spreadsheets/d/12RxCea4e5ggM7QGn1XE3FbLQa_-QbCNdBi90OdPjRqg"", ""'Plan de Compras'!D4:Q""), 14, 0), """")"),"")</f>
        <v/>
      </c>
      <c r="AC274" s="72" t="str">
        <f>IFERROR(__xludf.DUMMYFUNCTION("IFERROR(VLOOKUP(G274,IMPORTRANGE(""https://docs.google.com/spreadsheets/d/12RxCea4e5ggM7QGn1XE3FbLQa_-QbCNdBi90OdPjRqg"", ""'Plan de Compras'!D4:Q""), 4, 0), """")"),"")</f>
        <v/>
      </c>
      <c r="AD274" s="37" t="str">
        <f>IFERROR(__xludf.DUMMYFUNCTION("IFERROR(IF(OR(C274=TRUE,C274=""""),VLOOKUP(G274,IMPORTRANGE(""https://docs.google.com/spreadsheets/d/1z9A1Wq-kKrhRNG5RS2a2fKpY1wIhSVz2ZNmP2mOl588/edit?usp=sharing"",""REQ VF!E4:H""),4,0),""NO APLICA""),""GENERAR REQ"")"),"NO APLICA")</f>
        <v>NO APLICA</v>
      </c>
      <c r="AE274" s="32" t="str">
        <f>IFERROR(__xludf.DUMMYFUNCTION("IFERROR(QUERY(IMPORTRANGE(""https://docs.google.com/spreadsheets/d/1z9A1Wq-kKrhRNG5RS2a2fKpY1wIhSVz2ZNmP2mOl588/edit?usp=sharing"",""REQ VF!E4:Q""),""SELECT Col10, Col11, Col12 WHERE Col1 = '""&amp;G274&amp;""'"",0),""NO APLICA"")"),"NO APLICA")</f>
        <v>NO APLICA</v>
      </c>
      <c r="AF274" s="32"/>
      <c r="AG274" s="32"/>
      <c r="AH274" s="13"/>
      <c r="AI274" s="13"/>
    </row>
    <row r="275">
      <c r="A275" s="43"/>
      <c r="B275" s="43"/>
      <c r="C275" s="26" t="b">
        <v>1</v>
      </c>
      <c r="D275" s="48" t="s">
        <v>95</v>
      </c>
      <c r="E275" s="48" t="s">
        <v>1510</v>
      </c>
      <c r="F275" s="94" t="s">
        <v>2464</v>
      </c>
      <c r="G275" s="97" t="s">
        <v>2470</v>
      </c>
      <c r="H275" s="144" t="s">
        <v>2471</v>
      </c>
      <c r="I275" s="98">
        <v>24.0</v>
      </c>
      <c r="J275" s="26">
        <f>IFERROR(__xludf.DUMMYFUNCTION("VLOOKUP(G275,IMPORTRANGE(""https://docs.google.com/spreadsheets/d/12RxCea4e5ggM7QGn1XE3FbLQa_-QbCNdBi90OdPjRqg/edit?gid=1692403370#gid=1692403370"", ""'Plan de Compras'!D4:2432""), 8,0)"),24.0)</f>
        <v>24</v>
      </c>
      <c r="K275" s="26" t="str">
        <f t="shared" si="31"/>
        <v>SI</v>
      </c>
      <c r="L275" s="48"/>
      <c r="M275" s="32"/>
      <c r="N275" s="32"/>
      <c r="O275" s="32" t="s">
        <v>2467</v>
      </c>
      <c r="P275" s="32"/>
      <c r="Q275" s="33" t="s">
        <v>2472</v>
      </c>
      <c r="R275" s="32"/>
      <c r="S275" s="34" t="b">
        <v>1</v>
      </c>
      <c r="T275" s="39" t="s">
        <v>2467</v>
      </c>
      <c r="U275" s="39">
        <v>41101.0</v>
      </c>
      <c r="V275" s="39"/>
      <c r="W275" s="39"/>
      <c r="X275" s="39"/>
      <c r="Y275" s="124"/>
      <c r="Z275" s="37" t="str">
        <f>IFERROR(__xludf.DUMMYFUNCTION("IFERROR(VLOOKUP(G275,IMPORTRANGE(""https://docs.google.com/spreadsheets/d/12RxCea4e5ggM7QGn1XE3FbLQa_-QbCNdBi90OdPjRqg"", ""'Plan de Compras'!D4:Q""), 12, 0), ""NO ESTÁ EN REQ"")"),"Técnica")</f>
        <v>Técnica</v>
      </c>
      <c r="AA275" s="37" t="str">
        <f>IFERROR(__xludf.DUMMYFUNCTION("IFERROR(VLOOKUP(G275,IMPORTRANGE(""https://docs.google.com/spreadsheets/d/12RxCea4e5ggM7QGn1XE3FbLQa_-QbCNdBi90OdPjRqg"", ""'Plan de Compras'!D4:Q""), 13, 0), """")"),"INTERNACIONAL")</f>
        <v>INTERNACIONAL</v>
      </c>
      <c r="AB275" s="32" t="str">
        <f>IFERROR(__xludf.DUMMYFUNCTION("IFERROR(VLOOKUP(G275,IMPORTRANGE(""https://docs.google.com/spreadsheets/d/12RxCea4e5ggM7QGn1XE3FbLQa_-QbCNdBi90OdPjRqg"", ""'Plan de Compras'!D4:Q""), 14, 0), """")"),"GIANFRANCO")</f>
        <v>GIANFRANCO</v>
      </c>
      <c r="AC275" s="72" t="str">
        <f>IFERROR(__xludf.DUMMYFUNCTION("IFERROR(VLOOKUP(G275,IMPORTRANGE(""https://docs.google.com/spreadsheets/d/12RxCea4e5ggM7QGn1XE3FbLQa_-QbCNdBi90OdPjRqg"", ""'Plan de Compras'!D4:Q""), 4, 0), """")"),"SET DE 15 LLAVES GRADUADOS EN MILÍMETROS (1 UND)")</f>
        <v>SET DE 15 LLAVES GRADUADOS EN MILÍMETROS (1 UND)</v>
      </c>
      <c r="AD275" s="37" t="str">
        <f>IFERROR(__xludf.DUMMYFUNCTION("IFERROR(IF(OR(C275=TRUE,C275=""""),VLOOKUP(G275,IMPORTRANGE(""https://docs.google.com/spreadsheets/d/1z9A1Wq-kKrhRNG5RS2a2fKpY1wIhSVz2ZNmP2mOl588/edit?usp=sharing"",""REQ VF!E4:H""),4,0),""NO APLICA""),""GENERAR REQ"")"),"GENERAR REQ")</f>
        <v>GENERAR REQ</v>
      </c>
      <c r="AE275" s="32" t="str">
        <f>IFERROR(__xludf.DUMMYFUNCTION("IFERROR(QUERY(IMPORTRANGE(""https://docs.google.com/spreadsheets/d/1z9A1Wq-kKrhRNG5RS2a2fKpY1wIhSVz2ZNmP2mOl588/edit?usp=sharing"",""REQ VF!E4:Q""),""SELECT Col10, Col11, Col12 WHERE Col1 = '""&amp;G275&amp;""'"",0),""NO APLICA"")"),"NO APLICA")</f>
        <v>NO APLICA</v>
      </c>
      <c r="AF275" s="32"/>
      <c r="AG275" s="32"/>
      <c r="AH275" s="13"/>
      <c r="AI275" s="13"/>
    </row>
    <row r="276">
      <c r="A276" s="43"/>
      <c r="B276" s="43"/>
      <c r="C276" s="26" t="b">
        <v>1</v>
      </c>
      <c r="D276" s="48" t="s">
        <v>95</v>
      </c>
      <c r="E276" s="48" t="s">
        <v>1510</v>
      </c>
      <c r="F276" s="94" t="s">
        <v>2464</v>
      </c>
      <c r="G276" s="97" t="s">
        <v>2473</v>
      </c>
      <c r="H276" s="144" t="s">
        <v>2474</v>
      </c>
      <c r="I276" s="98">
        <v>24.0</v>
      </c>
      <c r="J276" s="26">
        <f>IFERROR(__xludf.DUMMYFUNCTION("VLOOKUP(G276,IMPORTRANGE(""https://docs.google.com/spreadsheets/d/12RxCea4e5ggM7QGn1XE3FbLQa_-QbCNdBi90OdPjRqg/edit?gid=1692403370#gid=1692403370"", ""'Plan de Compras'!D4:2432""), 8,0)"),24.0)</f>
        <v>24</v>
      </c>
      <c r="K276" s="26" t="str">
        <f t="shared" si="31"/>
        <v>SI</v>
      </c>
      <c r="L276" s="29"/>
      <c r="M276" s="61"/>
      <c r="N276" s="32"/>
      <c r="O276" s="32" t="str">
        <f>VLOOKUP($G276,'Hoja 10'!$F$4:$AA1057, 19,0)</f>
        <v>#N/A</v>
      </c>
      <c r="P276" s="32" t="str">
        <f>VLOOKUP($G276,'Hoja 10'!$F$4:$AA1057, 20,0)</f>
        <v>#N/A</v>
      </c>
      <c r="Q276" s="41" t="str">
        <f>VLOOKUP($G276,'Hoja 10'!$F$4:$AA1057, 21,0)</f>
        <v>#N/A</v>
      </c>
      <c r="R276" s="32"/>
      <c r="S276" s="34" t="b">
        <v>1</v>
      </c>
      <c r="T276" s="39" t="s">
        <v>2467</v>
      </c>
      <c r="U276" s="39">
        <v>41061.0</v>
      </c>
      <c r="V276" s="39"/>
      <c r="W276" s="39"/>
      <c r="X276" s="39"/>
      <c r="Y276" s="124"/>
      <c r="Z276" s="37" t="str">
        <f>IFERROR(__xludf.DUMMYFUNCTION("IFERROR(VLOOKUP(G276,IMPORTRANGE(""https://docs.google.com/spreadsheets/d/12RxCea4e5ggM7QGn1XE3FbLQa_-QbCNdBi90OdPjRqg"", ""'Plan de Compras'!D4:Q""), 12, 0), ""NO ESTÁ EN REQ"")"),"Técnica")</f>
        <v>Técnica</v>
      </c>
      <c r="AA276" s="37" t="str">
        <f>IFERROR(__xludf.DUMMYFUNCTION("IFERROR(VLOOKUP(G276,IMPORTRANGE(""https://docs.google.com/spreadsheets/d/12RxCea4e5ggM7QGn1XE3FbLQa_-QbCNdBi90OdPjRqg"", ""'Plan de Compras'!D4:Q""), 13, 0), """")"),"INTERNACIONAL")</f>
        <v>INTERNACIONAL</v>
      </c>
      <c r="AB276" s="32" t="str">
        <f>IFERROR(__xludf.DUMMYFUNCTION("IFERROR(VLOOKUP(G276,IMPORTRANGE(""https://docs.google.com/spreadsheets/d/12RxCea4e5ggM7QGn1XE3FbLQa_-QbCNdBi90OdPjRqg"", ""'Plan de Compras'!D4:Q""), 14, 0), """")"),"GIANFRANCO")</f>
        <v>GIANFRANCO</v>
      </c>
      <c r="AC276" s="72" t="str">
        <f>IFERROR(__xludf.DUMMYFUNCTION("IFERROR(VLOOKUP(G276,IMPORTRANGE(""https://docs.google.com/spreadsheets/d/12RxCea4e5ggM7QGn1XE3FbLQa_-QbCNdBi90OdPjRqg"", ""'Plan de Compras'!D4:Q""), 4, 0), """")"),"SET DE 12 LLAVES GRADUADOS EN PULGADAS (1 (1 UND))")</f>
        <v>SET DE 12 LLAVES GRADUADOS EN PULGADAS (1 (1 UND))</v>
      </c>
      <c r="AD276" s="37" t="str">
        <f>IFERROR(__xludf.DUMMYFUNCTION("IFERROR(IF(OR(C276=TRUE,C276=""""),VLOOKUP(G276,IMPORTRANGE(""https://docs.google.com/spreadsheets/d/1z9A1Wq-kKrhRNG5RS2a2fKpY1wIhSVz2ZNmP2mOl588/edit?usp=sharing"",""REQ VF!E4:H""),4,0),""NO APLICA""),""GENERAR REQ"")"),"GENERAR REQ")</f>
        <v>GENERAR REQ</v>
      </c>
      <c r="AE276" s="32" t="str">
        <f>IFERROR(__xludf.DUMMYFUNCTION("IFERROR(QUERY(IMPORTRANGE(""https://docs.google.com/spreadsheets/d/1z9A1Wq-kKrhRNG5RS2a2fKpY1wIhSVz2ZNmP2mOl588/edit?usp=sharing"",""REQ VF!E4:Q""),""SELECT Col10, Col11, Col12 WHERE Col1 = '""&amp;G276&amp;""'"",0),""NO APLICA"")"),"NO APLICA")</f>
        <v>NO APLICA</v>
      </c>
      <c r="AF276" s="32"/>
      <c r="AG276" s="32"/>
      <c r="AH276" s="13"/>
      <c r="AI276" s="13"/>
    </row>
    <row r="277">
      <c r="A277" s="121">
        <v>182.0</v>
      </c>
      <c r="B277" s="43" t="b">
        <v>1</v>
      </c>
      <c r="C277" s="26" t="b">
        <v>0</v>
      </c>
      <c r="D277" s="26" t="s">
        <v>35</v>
      </c>
      <c r="E277" s="26" t="s">
        <v>1510</v>
      </c>
      <c r="F277" s="59" t="s">
        <v>2475</v>
      </c>
      <c r="G277" s="37" t="s">
        <v>2475</v>
      </c>
      <c r="H277" s="82" t="s">
        <v>2476</v>
      </c>
      <c r="I277" s="43">
        <f>SUMIFS('Hoja 10'!$O:$O,'Hoja 10'!$F:$F,$G277)</f>
        <v>2</v>
      </c>
      <c r="J277" s="26" t="str">
        <f>IFERROR(__xludf.DUMMYFUNCTION("VLOOKUP(G277,IMPORTRANGE(""https://docs.google.com/spreadsheets/d/12RxCea4e5ggM7QGn1XE3FbLQa_-QbCNdBi90OdPjRqg/edit?gid=1692403370#gid=1692403370"", ""'Plan de Compras'!D4:2432""), 8,0)"),"#N/A")</f>
        <v>#N/A</v>
      </c>
      <c r="K277" s="26" t="str">
        <f t="shared" si="31"/>
        <v>-</v>
      </c>
      <c r="L277" s="29" t="s">
        <v>91</v>
      </c>
      <c r="M277" s="30" t="s">
        <v>92</v>
      </c>
      <c r="N277" s="32"/>
      <c r="O277" s="32"/>
      <c r="P277" s="32"/>
      <c r="Q277" s="41"/>
      <c r="R277" s="86" t="s">
        <v>2477</v>
      </c>
      <c r="S277" s="44" t="b">
        <v>1</v>
      </c>
      <c r="T277" s="39" t="str">
        <f>IFERROR(__xludf.DUMMYFUNCTION(" IF
( VLOOKUP($G277,IMPORTRANGE(""https://docs.google.com/spreadsheets/d/1Gpl6jkTg7sL4VDNimUm3S9Vi1i95esohXCF3wuKOE8c"", ""'CONSOLIDADO'!G5:AB""), 10, 0) &lt;&gt; 0, 
IFERROR(VLOOKUP($G277,IMPORTRANGE(""https://docs.google.com/spreadsheets/d/1Gpl6jkTg7sL4VDNimU"&amp;"m3S9Vi1i95esohXCF3wuKOE8c"", ""'CONSOLIDADO'!G5:AB""), 17, 0), ""-""),
""""
)"),"STANLEY")</f>
        <v>STANLEY</v>
      </c>
      <c r="U277" s="39" t="str">
        <f>IFERROR(__xludf.DUMMYFUNCTION(" IF
( VLOOKUP($G277,IMPORTRANGE(""https://docs.google.com/spreadsheets/d/1Gpl6jkTg7sL4VDNimUm3S9Vi1i95esohXCF3wuKOE8c"", ""'CONSOLIDADO'!G5:AB""), 10, 0) &lt;&gt; 0, 
IFERROR(VLOOKUP($G277,IMPORTRANGE(""https://docs.google.com/spreadsheets/d/1Gpl6jkTg7sL4VDNimU"&amp;"m3S9Vi1i95esohXCF3wuKOE8c"", ""'CONSOLIDADO'!G5:AB""), 18, 0), ""-""),
""""
)"),"69-264 / 69-265")</f>
        <v>69-264 / 69-265</v>
      </c>
      <c r="V277" s="39" t="str">
        <f>IFERROR(__xludf.DUMMYFUNCTION(" IF
( VLOOKUP($G277,IMPORTRANGE(""https://docs.google.com/spreadsheets/d/1Gpl6jkTg7sL4VDNimUm3S9Vi1i95esohXCF3wuKOE8c"", ""'CONSOLIDADO'!G5:AB""), 10, 0) &lt;&gt; 0, 
IFERROR(VLOOKUP($G277,IMPORTRANGE(""https://docs.google.com/spreadsheets/d/1Gpl6jkTg7sL4VDNimU"&amp;"m3S9Vi1i95esohXCF3wuKOE8c"", ""'CONSOLIDADO'!G5:AB""), 17, 0), ""-""),
""""
)"),"STANLEY")</f>
        <v>STANLEY</v>
      </c>
      <c r="W277" s="39" t="str">
        <f>IFERROR(__xludf.DUMMYFUNCTION(" IF
( VLOOKUP($G277,IMPORTRANGE(""https://docs.google.com/spreadsheets/d/1Gpl6jkTg7sL4VDNimUm3S9Vi1i95esohXCF3wuKOE8c"", ""'CONSOLIDADO'!G5:AB""), 10, 0) &lt;&gt; 0, 
IFERROR(VLOOKUP($G277,IMPORTRANGE(""https://docs.google.com/spreadsheets/d/1Gpl6jkTg7sL4VDNimU"&amp;"m3S9Vi1i95esohXCF3wuKOE8c"", ""'CONSOLIDADO'!G5:AB""), 18, 0), ""-""),
""""
)"),"69-264 / 69-265")</f>
        <v>69-264 / 69-265</v>
      </c>
      <c r="X277" s="39" t="b">
        <f>IF(AND(T277=V277,W277=U277),TRUE,FALSE)</f>
        <v>1</v>
      </c>
      <c r="Y277" s="120" t="str">
        <f>IFERROR(__xludf.DUMMYFUNCTION(" IF
( VLOOKUP($G277,IMPORTRANGE(""https://docs.google.com/spreadsheets/d/1Gpl6jkTg7sL4VDNimUm3S9Vi1i95esohXCF3wuKOE8c"", ""'CONSOLIDADO'!G5:AB""), 10, 0) &lt;&gt; 0, 
IFERROR(VLOOKUP($G277,IMPORTRANGE(""https://docs.google.com/spreadsheets/d/1Gpl6jkTg7sL4VDNimU"&amp;"m3S9Vi1i95esohXCF3wuKOE8c"", ""'CONSOLIDADO'!G5:AB""), 19, 0), ""-""),
""""
)"),"https://simple.ripley.com.pe/llave-allen-stanley-69-264-plegable-pro-8-piezas-15-8mm-pmp00000109435?srsltid=AfmBOooC-m0Z2b20xvm3eyakd0eb7rjEVCyzMurkVf_CR2U9rhVgdQwr&amp;color_80=negro&amp;s=mdco")</f>
        <v>https://simple.ripley.com.pe/llave-allen-stanley-69-264-plegable-pro-8-piezas-15-8mm-pmp00000109435?srsltid=AfmBOooC-m0Z2b20xvm3eyakd0eb7rjEVCyzMurkVf_CR2U9rhVgdQwr&amp;color_80=negro&amp;s=mdco</v>
      </c>
      <c r="Z277" s="37" t="str">
        <f>IFERROR(__xludf.DUMMYFUNCTION("IFERROR(VLOOKUP(G277,IMPORTRANGE(""https://docs.google.com/spreadsheets/d/12RxCea4e5ggM7QGn1XE3FbLQa_-QbCNdBi90OdPjRqg"", ""'Plan de Compras'!D4:Q""), 12, 0), ""NO ESTÁ EN REQ"")"),"NO ESTÁ EN REQ")</f>
        <v>NO ESTÁ EN REQ</v>
      </c>
      <c r="AA277" s="37" t="str">
        <f>IFERROR(__xludf.DUMMYFUNCTION("IFERROR(VLOOKUP(G277,IMPORTRANGE(""https://docs.google.com/spreadsheets/d/12RxCea4e5ggM7QGn1XE3FbLQa_-QbCNdBi90OdPjRqg"", ""'Plan de Compras'!D4:Q""), 13, 0), """")"),"")</f>
        <v/>
      </c>
      <c r="AB277" s="32" t="str">
        <f>IFERROR(__xludf.DUMMYFUNCTION("IFERROR(VLOOKUP(G277,IMPORTRANGE(""https://docs.google.com/spreadsheets/d/12RxCea4e5ggM7QGn1XE3FbLQa_-QbCNdBi90OdPjRqg"", ""'Plan de Compras'!D4:Q""), 14, 0), """")"),"")</f>
        <v/>
      </c>
      <c r="AC277" s="72" t="str">
        <f>IFERROR(__xludf.DUMMYFUNCTION("IFERROR(VLOOKUP(G277,IMPORTRANGE(""https://docs.google.com/spreadsheets/d/12RxCea4e5ggM7QGn1XE3FbLQa_-QbCNdBi90OdPjRqg"", ""'Plan de Compras'!D4:Q""), 4, 0), """")"),"")</f>
        <v/>
      </c>
      <c r="AD277" s="37" t="str">
        <f>IFERROR(__xludf.DUMMYFUNCTION("IFERROR(IF(OR(C277=TRUE,C277=""""),VLOOKUP(G277,IMPORTRANGE(""https://docs.google.com/spreadsheets/d/1z9A1Wq-kKrhRNG5RS2a2fKpY1wIhSVz2ZNmP2mOl588/edit?usp=sharing"",""REQ VF!E4:H""),4,0),""NO APLICA""),""GENERAR REQ"")"),"NO APLICA")</f>
        <v>NO APLICA</v>
      </c>
      <c r="AE277" s="32" t="str">
        <f>IFERROR(__xludf.DUMMYFUNCTION("IFERROR(QUERY(IMPORTRANGE(""https://docs.google.com/spreadsheets/d/1z9A1Wq-kKrhRNG5RS2a2fKpY1wIhSVz2ZNmP2mOl588/edit?usp=sharing"",""REQ VF!E4:Q""),""SELECT Col10, Col11, Col12 WHERE Col1 = '""&amp;G277&amp;""'"",0),""NO APLICA"")"),"NO APLICA")</f>
        <v>NO APLICA</v>
      </c>
      <c r="AF277" s="32"/>
      <c r="AG277" s="32"/>
      <c r="AH277" s="13"/>
      <c r="AI277" s="13"/>
    </row>
    <row r="278">
      <c r="A278" s="43"/>
      <c r="B278" s="43"/>
      <c r="C278" s="26" t="b">
        <v>1</v>
      </c>
      <c r="D278" s="26" t="s">
        <v>95</v>
      </c>
      <c r="E278" s="26" t="s">
        <v>1510</v>
      </c>
      <c r="F278" s="59" t="s">
        <v>2475</v>
      </c>
      <c r="G278" s="39" t="s">
        <v>2478</v>
      </c>
      <c r="H278" s="66" t="s">
        <v>2479</v>
      </c>
      <c r="I278" s="43">
        <v>2.0</v>
      </c>
      <c r="J278" s="26">
        <f>IFERROR(__xludf.DUMMYFUNCTION("VLOOKUP(G278,IMPORTRANGE(""https://docs.google.com/spreadsheets/d/12RxCea4e5ggM7QGn1XE3FbLQa_-QbCNdBi90OdPjRqg/edit?gid=1692403370#gid=1692403370"", ""'Plan de Compras'!D4:2432""), 8,0)"),2.0)</f>
        <v>2</v>
      </c>
      <c r="K278" s="26" t="str">
        <f t="shared" si="31"/>
        <v>SI</v>
      </c>
      <c r="L278" s="29"/>
      <c r="M278" s="61"/>
      <c r="N278" s="32"/>
      <c r="O278" s="32"/>
      <c r="P278" s="32"/>
      <c r="Q278" s="41"/>
      <c r="R278" s="32"/>
      <c r="S278" s="44" t="b">
        <v>1</v>
      </c>
      <c r="T278" s="39" t="s">
        <v>2400</v>
      </c>
      <c r="U278" s="39" t="s">
        <v>2480</v>
      </c>
      <c r="V278" s="39"/>
      <c r="W278" s="39"/>
      <c r="X278" s="39"/>
      <c r="Y278" s="110"/>
      <c r="Z278" s="37" t="str">
        <f>IFERROR(__xludf.DUMMYFUNCTION("IFERROR(VLOOKUP(G278,IMPORTRANGE(""https://docs.google.com/spreadsheets/d/12RxCea4e5ggM7QGn1XE3FbLQa_-QbCNdBi90OdPjRqg"", ""'Plan de Compras'!D4:Q""), 12, 0), ""NO ESTÁ EN REQ"")"),"Técnica")</f>
        <v>Técnica</v>
      </c>
      <c r="AA278" s="37" t="str">
        <f>IFERROR(__xludf.DUMMYFUNCTION("IFERROR(VLOOKUP(G278,IMPORTRANGE(""https://docs.google.com/spreadsheets/d/12RxCea4e5ggM7QGn1XE3FbLQa_-QbCNdBi90OdPjRqg"", ""'Plan de Compras'!D4:Q""), 13, 0), """")"),"NACIONAL")</f>
        <v>NACIONAL</v>
      </c>
      <c r="AB278" s="32" t="str">
        <f>IFERROR(__xludf.DUMMYFUNCTION("IFERROR(VLOOKUP(G278,IMPORTRANGE(""https://docs.google.com/spreadsheets/d/12RxCea4e5ggM7QGn1XE3FbLQa_-QbCNdBi90OdPjRqg"", ""'Plan de Compras'!D4:Q""), 14, 0), """")"),"ANGIE")</f>
        <v>ANGIE</v>
      </c>
      <c r="AC278" s="72" t="str">
        <f>IFERROR(__xludf.DUMMYFUNCTION("IFERROR(VLOOKUP(G278,IMPORTRANGE(""https://docs.google.com/spreadsheets/d/12RxCea4e5ggM7QGn1XE3FbLQa_-QbCNdBi90OdPjRqg"", ""'Plan de Compras'!D4:Q""), 4, 0), """")"),"JUEGO DE LLAVES ALLEN MILIMÉTRICAS")</f>
        <v>JUEGO DE LLAVES ALLEN MILIMÉTRICAS</v>
      </c>
      <c r="AD278" s="37" t="str">
        <f>IFERROR(__xludf.DUMMYFUNCTION("IFERROR(IF(OR(C278=TRUE,C278=""""),VLOOKUP(G278,IMPORTRANGE(""https://docs.google.com/spreadsheets/d/1z9A1Wq-kKrhRNG5RS2a2fKpY1wIhSVz2ZNmP2mOl588/edit?usp=sharing"",""REQ VF!E4:H""),4,0),""NO APLICA""),""GENERAR REQ"")"),"GENERAR REQ")</f>
        <v>GENERAR REQ</v>
      </c>
      <c r="AE278" s="32" t="str">
        <f>IFERROR(__xludf.DUMMYFUNCTION("IFERROR(QUERY(IMPORTRANGE(""https://docs.google.com/spreadsheets/d/1z9A1Wq-kKrhRNG5RS2a2fKpY1wIhSVz2ZNmP2mOl588/edit?usp=sharing"",""REQ VF!E4:Q""),""SELECT Col10, Col11, Col12 WHERE Col1 = '""&amp;G278&amp;""'"",0),""NO APLICA"")"),"NO APLICA")</f>
        <v>NO APLICA</v>
      </c>
      <c r="AF278" s="32"/>
      <c r="AG278" s="32"/>
      <c r="AH278" s="13"/>
      <c r="AI278" s="13"/>
    </row>
    <row r="279">
      <c r="A279" s="43"/>
      <c r="B279" s="43"/>
      <c r="C279" s="26" t="b">
        <v>1</v>
      </c>
      <c r="D279" s="26" t="s">
        <v>95</v>
      </c>
      <c r="E279" s="26" t="s">
        <v>1510</v>
      </c>
      <c r="F279" s="59" t="s">
        <v>2475</v>
      </c>
      <c r="G279" s="39" t="s">
        <v>2481</v>
      </c>
      <c r="H279" s="66" t="s">
        <v>2482</v>
      </c>
      <c r="I279" s="43">
        <v>2.0</v>
      </c>
      <c r="J279" s="26">
        <f>IFERROR(__xludf.DUMMYFUNCTION("VLOOKUP(G279,IMPORTRANGE(""https://docs.google.com/spreadsheets/d/12RxCea4e5ggM7QGn1XE3FbLQa_-QbCNdBi90OdPjRqg/edit?gid=1692403370#gid=1692403370"", ""'Plan de Compras'!D4:2432""), 8,0)"),2.0)</f>
        <v>2</v>
      </c>
      <c r="K279" s="26" t="str">
        <f t="shared" si="31"/>
        <v>SI</v>
      </c>
      <c r="L279" s="29"/>
      <c r="M279" s="61"/>
      <c r="N279" s="32"/>
      <c r="O279" s="32" t="str">
        <f>VLOOKUP($G279,'Hoja 10'!$F$4:$AA1057, 19,0)</f>
        <v>#N/A</v>
      </c>
      <c r="P279" s="32" t="str">
        <f>VLOOKUP($G279,'Hoja 10'!$F$4:$AA1057, 20,0)</f>
        <v>#N/A</v>
      </c>
      <c r="Q279" s="41" t="str">
        <f>VLOOKUP($G279,'Hoja 10'!$F$4:$AA1057, 21,0)</f>
        <v>#N/A</v>
      </c>
      <c r="R279" s="32"/>
      <c r="S279" s="44" t="b">
        <v>1</v>
      </c>
      <c r="T279" s="39" t="s">
        <v>2400</v>
      </c>
      <c r="U279" s="39" t="s">
        <v>2483</v>
      </c>
      <c r="V279" s="39"/>
      <c r="W279" s="39"/>
      <c r="X279" s="39"/>
      <c r="Y279" s="110"/>
      <c r="Z279" s="37" t="str">
        <f>IFERROR(__xludf.DUMMYFUNCTION("IFERROR(VLOOKUP(G279,IMPORTRANGE(""https://docs.google.com/spreadsheets/d/12RxCea4e5ggM7QGn1XE3FbLQa_-QbCNdBi90OdPjRqg"", ""'Plan de Compras'!D4:Q""), 12, 0), ""NO ESTÁ EN REQ"")"),"Técnica")</f>
        <v>Técnica</v>
      </c>
      <c r="AA279" s="37" t="str">
        <f>IFERROR(__xludf.DUMMYFUNCTION("IFERROR(VLOOKUP(G279,IMPORTRANGE(""https://docs.google.com/spreadsheets/d/12RxCea4e5ggM7QGn1XE3FbLQa_-QbCNdBi90OdPjRqg"", ""'Plan de Compras'!D4:Q""), 13, 0), """")"),"NACIONAL")</f>
        <v>NACIONAL</v>
      </c>
      <c r="AB279" s="32" t="str">
        <f>IFERROR(__xludf.DUMMYFUNCTION("IFERROR(VLOOKUP(G279,IMPORTRANGE(""https://docs.google.com/spreadsheets/d/12RxCea4e5ggM7QGn1XE3FbLQa_-QbCNdBi90OdPjRqg"", ""'Plan de Compras'!D4:Q""), 14, 0), """")"),"ANGIE")</f>
        <v>ANGIE</v>
      </c>
      <c r="AC279" s="72" t="str">
        <f>IFERROR(__xludf.DUMMYFUNCTION("IFERROR(VLOOKUP(G279,IMPORTRANGE(""https://docs.google.com/spreadsheets/d/12RxCea4e5ggM7QGn1XE3FbLQa_-QbCNdBi90OdPjRqg"", ""'Plan de Compras'!D4:Q""), 4, 0), """")"),"JUEGO DE LLAVES ALLEN PULGADAS")</f>
        <v>JUEGO DE LLAVES ALLEN PULGADAS</v>
      </c>
      <c r="AD279" s="37" t="str">
        <f>IFERROR(__xludf.DUMMYFUNCTION("IFERROR(IF(OR(C279=TRUE,C279=""""),VLOOKUP(G279,IMPORTRANGE(""https://docs.google.com/spreadsheets/d/1z9A1Wq-kKrhRNG5RS2a2fKpY1wIhSVz2ZNmP2mOl588/edit?usp=sharing"",""REQ VF!E4:H""),4,0),""NO APLICA""),""GENERAR REQ"")"),"GENERAR REQ")</f>
        <v>GENERAR REQ</v>
      </c>
      <c r="AE279" s="32" t="str">
        <f>IFERROR(__xludf.DUMMYFUNCTION("IFERROR(QUERY(IMPORTRANGE(""https://docs.google.com/spreadsheets/d/1z9A1Wq-kKrhRNG5RS2a2fKpY1wIhSVz2ZNmP2mOl588/edit?usp=sharing"",""REQ VF!E4:Q""),""SELECT Col10, Col11, Col12 WHERE Col1 = '""&amp;G279&amp;""'"",0),""NO APLICA"")"),"NO APLICA")</f>
        <v>NO APLICA</v>
      </c>
      <c r="AF279" s="32"/>
      <c r="AG279" s="32"/>
      <c r="AH279" s="13"/>
      <c r="AI279" s="13"/>
    </row>
    <row r="280">
      <c r="A280" s="121">
        <v>183.0</v>
      </c>
      <c r="B280" s="43" t="b">
        <v>1</v>
      </c>
      <c r="C280" s="26" t="b">
        <v>1</v>
      </c>
      <c r="D280" s="26" t="s">
        <v>35</v>
      </c>
      <c r="E280" s="26" t="s">
        <v>1510</v>
      </c>
      <c r="F280" s="59" t="s">
        <v>2484</v>
      </c>
      <c r="G280" s="37" t="s">
        <v>2484</v>
      </c>
      <c r="H280" s="82" t="s">
        <v>2485</v>
      </c>
      <c r="I280" s="43">
        <f>SUMIFS('Hoja 10'!$O:$O,'Hoja 10'!$F:$F,$G280)</f>
        <v>12</v>
      </c>
      <c r="J280" s="26">
        <f>IFERROR(__xludf.DUMMYFUNCTION("VLOOKUP(G280,IMPORTRANGE(""https://docs.google.com/spreadsheets/d/12RxCea4e5ggM7QGn1XE3FbLQa_-QbCNdBi90OdPjRqg/edit?gid=1692403370#gid=1692403370"", ""'Plan de Compras'!D4:2432""), 8,0)"),12.0)</f>
        <v>12</v>
      </c>
      <c r="K280" s="26" t="str">
        <f t="shared" si="31"/>
        <v>SI</v>
      </c>
      <c r="L280" s="29" t="s">
        <v>127</v>
      </c>
      <c r="M280" s="30" t="s">
        <v>105</v>
      </c>
      <c r="N280" s="32"/>
      <c r="O280" s="32" t="str">
        <f>VLOOKUP($G280,'Hoja 10'!$F$4:$AA1057, 19,0)</f>
        <v>STANLEY</v>
      </c>
      <c r="P280" s="32" t="str">
        <f>VLOOKUP($G280,'Hoja 10'!$F$4:$AA1057, 20,0)</f>
        <v>91-931</v>
      </c>
      <c r="Q280" s="33" t="str">
        <f>VLOOKUP($G280,'Hoja 10'!$F$4:$AA1057, 21,0)</f>
        <v>https://www.amazon.com.mx/STANLEY-Herramientas-Mec%C3%A1nicas-Piezas-91-931/dp/B09VKB8811</v>
      </c>
      <c r="R280" s="86" t="s">
        <v>2486</v>
      </c>
      <c r="S280" s="34" t="b">
        <v>1</v>
      </c>
      <c r="T280" s="39" t="s">
        <v>2400</v>
      </c>
      <c r="U280" s="39" t="s">
        <v>2487</v>
      </c>
      <c r="V280" s="39" t="str">
        <f>IFERROR(__xludf.DUMMYFUNCTION(" IF
( VLOOKUP($G280,IMPORTRANGE(""https://docs.google.com/spreadsheets/d/1Gpl6jkTg7sL4VDNimUm3S9Vi1i95esohXCF3wuKOE8c"", ""'CONSOLIDADO'!G5:AB""), 10, 0) &lt;&gt; 0, 
IFERROR(VLOOKUP($G280,IMPORTRANGE(""https://docs.google.com/spreadsheets/d/1Gpl6jkTg7sL4VDNimU"&amp;"m3S9Vi1i95esohXCF3wuKOE8c"", ""'CONSOLIDADO'!G5:AB""), 17, 0), ""-""),
""""
)"),"STANLEY")</f>
        <v>STANLEY</v>
      </c>
      <c r="W280" s="39" t="str">
        <f>IFERROR(__xludf.DUMMYFUNCTION(" IF
( VLOOKUP($G280,IMPORTRANGE(""https://docs.google.com/spreadsheets/d/1Gpl6jkTg7sL4VDNimUm3S9Vi1i95esohXCF3wuKOE8c"", ""'CONSOLIDADO'!G5:AB""), 10, 0) &lt;&gt; 0, 
IFERROR(VLOOKUP($G280,IMPORTRANGE(""https://docs.google.com/spreadsheets/d/1Gpl6jkTg7sL4VDNimU"&amp;"m3S9Vi1i95esohXCF3wuKOE8c"", ""'CONSOLIDADO'!G5:AB""), 18, 0), ""-""),
""""
)"),"91-931")</f>
        <v>91-931</v>
      </c>
      <c r="X280" s="39" t="b">
        <f t="shared" ref="X280:X282" si="34">IF(AND(T280=V280,W280=U280),TRUE,FALSE)</f>
        <v>1</v>
      </c>
      <c r="Y280" s="129" t="s">
        <v>2488</v>
      </c>
      <c r="Z280" s="37" t="str">
        <f>IFERROR(__xludf.DUMMYFUNCTION("IFERROR(VLOOKUP(G280,IMPORTRANGE(""https://docs.google.com/spreadsheets/d/12RxCea4e5ggM7QGn1XE3FbLQa_-QbCNdBi90OdPjRqg"", ""'Plan de Compras'!D4:Q""), 12, 0), ""NO ESTÁ EN REQ"")"),"Simple")</f>
        <v>Simple</v>
      </c>
      <c r="AA280" s="37" t="str">
        <f>IFERROR(__xludf.DUMMYFUNCTION("IFERROR(VLOOKUP(G280,IMPORTRANGE(""https://docs.google.com/spreadsheets/d/12RxCea4e5ggM7QGn1XE3FbLQa_-QbCNdBi90OdPjRqg"", ""'Plan de Compras'!D4:Q""), 13, 0), """")"),"NACIONAL")</f>
        <v>NACIONAL</v>
      </c>
      <c r="AB280" s="32" t="str">
        <f>IFERROR(__xludf.DUMMYFUNCTION("IFERROR(VLOOKUP(G280,IMPORTRANGE(""https://docs.google.com/spreadsheets/d/12RxCea4e5ggM7QGn1XE3FbLQa_-QbCNdBi90OdPjRqg"", ""'Plan de Compras'!D4:Q""), 14, 0), """")"),"ANGIE")</f>
        <v>ANGIE</v>
      </c>
      <c r="AC280" s="72" t="str">
        <f>IFERROR(__xludf.DUMMYFUNCTION("IFERROR(VLOOKUP(G280,IMPORTRANGE(""https://docs.google.com/spreadsheets/d/12RxCea4e5ggM7QGn1XE3FbLQa_-QbCNdBi90OdPjRqg"", ""'Plan de Compras'!D4:Q""), 4, 0), """")"),"JUEGO DE LLAVES DE DADO")</f>
        <v>JUEGO DE LLAVES DE DADO</v>
      </c>
      <c r="AD280" s="37" t="str">
        <f>IFERROR(__xludf.DUMMYFUNCTION("IFERROR(IF(OR(C280=TRUE,C280=""""),VLOOKUP(G280,IMPORTRANGE(""https://docs.google.com/spreadsheets/d/1z9A1Wq-kKrhRNG5RS2a2fKpY1wIhSVz2ZNmP2mOl588/edit?usp=sharing"",""REQ VF!E4:H""),4,0),""NO APLICA""),""GENERAR REQ"")"),"GENERAR REQ")</f>
        <v>GENERAR REQ</v>
      </c>
      <c r="AE280" s="32" t="str">
        <f>IFERROR(__xludf.DUMMYFUNCTION("IFERROR(QUERY(IMPORTRANGE(""https://docs.google.com/spreadsheets/d/1z9A1Wq-kKrhRNG5RS2a2fKpY1wIhSVz2ZNmP2mOl588/edit?usp=sharing"",""REQ VF!E4:Q""),""SELECT Col10, Col11, Col12 WHERE Col1 = '""&amp;G280&amp;""'"",0),""NO APLICA"")"),"NO APLICA")</f>
        <v>NO APLICA</v>
      </c>
      <c r="AF280" s="32"/>
      <c r="AG280" s="32"/>
      <c r="AH280" s="13"/>
      <c r="AI280" s="13"/>
    </row>
    <row r="281">
      <c r="A281" s="121">
        <v>184.0</v>
      </c>
      <c r="B281" s="43" t="b">
        <v>1</v>
      </c>
      <c r="C281" s="26" t="b">
        <v>1</v>
      </c>
      <c r="D281" s="26" t="s">
        <v>35</v>
      </c>
      <c r="E281" s="26" t="s">
        <v>1510</v>
      </c>
      <c r="F281" s="59" t="s">
        <v>2489</v>
      </c>
      <c r="G281" s="37" t="s">
        <v>2489</v>
      </c>
      <c r="H281" s="82" t="s">
        <v>2490</v>
      </c>
      <c r="I281" s="43">
        <f>SUMIFS('Hoja 10'!$O:$O,'Hoja 10'!$F:$F,$G281)</f>
        <v>12</v>
      </c>
      <c r="J281" s="26">
        <f>IFERROR(__xludf.DUMMYFUNCTION("VLOOKUP(G281,IMPORTRANGE(""https://docs.google.com/spreadsheets/d/12RxCea4e5ggM7QGn1XE3FbLQa_-QbCNdBi90OdPjRqg/edit?gid=1692403370#gid=1692403370"", ""'Plan de Compras'!D4:2432""), 8,0)"),12.0)</f>
        <v>12</v>
      </c>
      <c r="K281" s="26" t="str">
        <f t="shared" si="31"/>
        <v>SI</v>
      </c>
      <c r="L281" s="29" t="s">
        <v>127</v>
      </c>
      <c r="M281" s="30" t="s">
        <v>105</v>
      </c>
      <c r="N281" s="32"/>
      <c r="O281" s="32" t="str">
        <f>VLOOKUP($G281,'Hoja 10'!$F$4:$AA1057, 19,0)</f>
        <v>EPAuto</v>
      </c>
      <c r="P281" s="32" t="str">
        <f>VLOOKUP($G281,'Hoja 10'!$F$4:$AA1057, 20,0)</f>
        <v>‎ST-001-1</v>
      </c>
      <c r="Q281" s="33" t="str">
        <f>VLOOKUP($G281,'Hoja 10'!$F$4:$AA1057, 21,0)</f>
        <v>https://www.amazon.com/EPAuto-Heavy-Universal-Wrench-4-Way/dp/B01I5RCIUY?th=1</v>
      </c>
      <c r="R281" s="86" t="s">
        <v>2491</v>
      </c>
      <c r="S281" s="44" t="b">
        <v>1</v>
      </c>
      <c r="T281" s="39" t="str">
        <f>IFERROR(__xludf.DUMMYFUNCTION(" IF
( VLOOKUP($G281,IMPORTRANGE(""https://docs.google.com/spreadsheets/d/1Gpl6jkTg7sL4VDNimUm3S9Vi1i95esohXCF3wuKOE8c"", ""'CONSOLIDADO'!G5:AB""), 10, 0) &lt;&gt; 0, 
IFERROR(VLOOKUP($G281,IMPORTRANGE(""https://docs.google.com/spreadsheets/d/1Gpl6jkTg7sL4VDNimU"&amp;"m3S9Vi1i95esohXCF3wuKOE8c"", ""'CONSOLIDADO'!G5:AB""), 17, 0), ""-""),
""""
)"),"EPAuto")</f>
        <v>EPAuto</v>
      </c>
      <c r="U281" s="39" t="str">
        <f>IFERROR(__xludf.DUMMYFUNCTION(" IF
( VLOOKUP($G281,IMPORTRANGE(""https://docs.google.com/spreadsheets/d/1Gpl6jkTg7sL4VDNimUm3S9Vi1i95esohXCF3wuKOE8c"", ""'CONSOLIDADO'!G5:AB""), 10, 0) &lt;&gt; 0, 
IFERROR(VLOOKUP($G281,IMPORTRANGE(""https://docs.google.com/spreadsheets/d/1Gpl6jkTg7sL4VDNimU"&amp;"m3S9Vi1i95esohXCF3wuKOE8c"", ""'CONSOLIDADO'!G5:AB""), 18, 0), ""-""),
""""
)")," ‎ST-001-1")</f>
        <v> ‎ST-001-1</v>
      </c>
      <c r="V281" s="39" t="str">
        <f>IFERROR(__xludf.DUMMYFUNCTION(" IF
( VLOOKUP($G281,IMPORTRANGE(""https://docs.google.com/spreadsheets/d/1Gpl6jkTg7sL4VDNimUm3S9Vi1i95esohXCF3wuKOE8c"", ""'CONSOLIDADO'!G5:AB""), 10, 0) &lt;&gt; 0, 
IFERROR(VLOOKUP($G281,IMPORTRANGE(""https://docs.google.com/spreadsheets/d/1Gpl6jkTg7sL4VDNimU"&amp;"m3S9Vi1i95esohXCF3wuKOE8c"", ""'CONSOLIDADO'!G5:AB""), 17, 0), ""-""),
""""
)"),"EPAuto")</f>
        <v>EPAuto</v>
      </c>
      <c r="W281" s="39" t="str">
        <f>IFERROR(__xludf.DUMMYFUNCTION(" IF
( VLOOKUP($G281,IMPORTRANGE(""https://docs.google.com/spreadsheets/d/1Gpl6jkTg7sL4VDNimUm3S9Vi1i95esohXCF3wuKOE8c"", ""'CONSOLIDADO'!G5:AB""), 10, 0) &lt;&gt; 0, 
IFERROR(VLOOKUP($G281,IMPORTRANGE(""https://docs.google.com/spreadsheets/d/1Gpl6jkTg7sL4VDNimU"&amp;"m3S9Vi1i95esohXCF3wuKOE8c"", ""'CONSOLIDADO'!G5:AB""), 18, 0), ""-""),
""""
)")," ‎ST-001-1")</f>
        <v> ‎ST-001-1</v>
      </c>
      <c r="X281" s="39" t="b">
        <f t="shared" si="34"/>
        <v>1</v>
      </c>
      <c r="Y281" s="126" t="str">
        <f>IFERROR(__xludf.DUMMYFUNCTION(" IF
( VLOOKUP($G281,IMPORTRANGE(""https://docs.google.com/spreadsheets/d/1Gpl6jkTg7sL4VDNimUm3S9Vi1i95esohXCF3wuKOE8c"", ""'CONSOLIDADO'!G5:AB""), 10, 0) &lt;&gt; 0, 
IFERROR(VLOOKUP($G281,IMPORTRANGE(""https://docs.google.com/spreadsheets/d/1Gpl6jkTg7sL4VDNimU"&amp;"m3S9Vi1i95esohXCF3wuKOE8c"", ""'CONSOLIDADO'!G5:AB""), 19, 0), ""-""),
""""
)"),"https://www.amazon.com/EPAuto-Heavy-Universal-Wrench-4-Way/dp/B01I5RCIUY?th=1")</f>
        <v>https://www.amazon.com/EPAuto-Heavy-Universal-Wrench-4-Way/dp/B01I5RCIUY?th=1</v>
      </c>
      <c r="Z281" s="37" t="str">
        <f>IFERROR(__xludf.DUMMYFUNCTION("IFERROR(VLOOKUP(G281,IMPORTRANGE(""https://docs.google.com/spreadsheets/d/12RxCea4e5ggM7QGn1XE3FbLQa_-QbCNdBi90OdPjRqg"", ""'Plan de Compras'!D4:Q""), 12, 0), ""NO ESTÁ EN REQ"")"),"Técnica")</f>
        <v>Técnica</v>
      </c>
      <c r="AA281" s="37" t="str">
        <f>IFERROR(__xludf.DUMMYFUNCTION("IFERROR(VLOOKUP(G281,IMPORTRANGE(""https://docs.google.com/spreadsheets/d/12RxCea4e5ggM7QGn1XE3FbLQa_-QbCNdBi90OdPjRqg"", ""'Plan de Compras'!D4:Q""), 13, 0), """")"),"INTERNACIONAL")</f>
        <v>INTERNACIONAL</v>
      </c>
      <c r="AB281" s="32" t="str">
        <f>IFERROR(__xludf.DUMMYFUNCTION("IFERROR(VLOOKUP(G281,IMPORTRANGE(""https://docs.google.com/spreadsheets/d/12RxCea4e5ggM7QGn1XE3FbLQa_-QbCNdBi90OdPjRqg"", ""'Plan de Compras'!D4:Q""), 14, 0), """")"),"GIANFRANCO")</f>
        <v>GIANFRANCO</v>
      </c>
      <c r="AC281" s="72" t="str">
        <f>IFERROR(__xludf.DUMMYFUNCTION("IFERROR(VLOOKUP(G281,IMPORTRANGE(""https://docs.google.com/spreadsheets/d/12RxCea4e5ggM7QGn1XE3FbLQa_-QbCNdBi90OdPjRqg"", ""'Plan de Compras'!D4:Q""), 4, 0), """")"),"JUEGO DE LLAVES DE RUEDAS (LLAVE DE CRUZ.)")</f>
        <v>JUEGO DE LLAVES DE RUEDAS (LLAVE DE CRUZ.)</v>
      </c>
      <c r="AD281" s="37" t="str">
        <f>IFERROR(__xludf.DUMMYFUNCTION("IFERROR(IF(OR(C281=TRUE,C281=""""),VLOOKUP(G281,IMPORTRANGE(""https://docs.google.com/spreadsheets/d/1z9A1Wq-kKrhRNG5RS2a2fKpY1wIhSVz2ZNmP2mOl588/edit?usp=sharing"",""REQ VF!E4:H""),4,0),""NO APLICA""),""GENERAR REQ"")"),"GENERAR REQ")</f>
        <v>GENERAR REQ</v>
      </c>
      <c r="AE281" s="32" t="str">
        <f>IFERROR(__xludf.DUMMYFUNCTION("IFERROR(QUERY(IMPORTRANGE(""https://docs.google.com/spreadsheets/d/1z9A1Wq-kKrhRNG5RS2a2fKpY1wIhSVz2ZNmP2mOl588/edit?usp=sharing"",""REQ VF!E4:Q""),""SELECT Col10, Col11, Col12 WHERE Col1 = '""&amp;G281&amp;""'"",0),""NO APLICA"")"),"NO APLICA")</f>
        <v>NO APLICA</v>
      </c>
      <c r="AF281" s="32"/>
      <c r="AG281" s="32"/>
      <c r="AH281" s="8" t="s">
        <v>52</v>
      </c>
      <c r="AI281" s="13"/>
    </row>
    <row r="282">
      <c r="A282" s="117">
        <v>185.0</v>
      </c>
      <c r="B282" s="43" t="b">
        <v>1</v>
      </c>
      <c r="C282" s="26" t="b">
        <v>0</v>
      </c>
      <c r="D282" s="26" t="s">
        <v>35</v>
      </c>
      <c r="E282" s="26" t="s">
        <v>1510</v>
      </c>
      <c r="F282" s="59" t="s">
        <v>2492</v>
      </c>
      <c r="G282" s="37" t="s">
        <v>2493</v>
      </c>
      <c r="H282" s="82" t="s">
        <v>2494</v>
      </c>
      <c r="I282" s="43">
        <f>SUMIFS('Hoja 10'!$O:$O,'Hoja 10'!$F:$F,$G282)</f>
        <v>8</v>
      </c>
      <c r="J282" s="26" t="str">
        <f>IFERROR(__xludf.DUMMYFUNCTION("VLOOKUP(G282,IMPORTRANGE(""https://docs.google.com/spreadsheets/d/12RxCea4e5ggM7QGn1XE3FbLQa_-QbCNdBi90OdPjRqg/edit?gid=1692403370#gid=1692403370"", ""'Plan de Compras'!D4:2432""), 8,0)"),"#N/A")</f>
        <v>#N/A</v>
      </c>
      <c r="K282" s="26" t="str">
        <f t="shared" si="31"/>
        <v>-</v>
      </c>
      <c r="L282" s="29" t="s">
        <v>296</v>
      </c>
      <c r="M282" s="30" t="s">
        <v>297</v>
      </c>
      <c r="N282" s="32"/>
      <c r="O282" s="32"/>
      <c r="P282" s="32"/>
      <c r="Q282" s="33" t="s">
        <v>2495</v>
      </c>
      <c r="R282" s="86" t="s">
        <v>2496</v>
      </c>
      <c r="S282" s="44" t="b">
        <v>1</v>
      </c>
      <c r="T282" s="39" t="s">
        <v>1137</v>
      </c>
      <c r="U282" s="39" t="s">
        <v>1137</v>
      </c>
      <c r="V282" s="39" t="str">
        <f>IFERROR(__xludf.DUMMYFUNCTION(" IF
( VLOOKUP($G282,IMPORTRANGE(""https://docs.google.com/spreadsheets/d/1Gpl6jkTg7sL4VDNimUm3S9Vi1i95esohXCF3wuKOE8c"", ""'CONSOLIDADO'!G5:AB""), 10, 0) &lt;&gt; 0, 
IFERROR(VLOOKUP($G282,IMPORTRANGE(""https://docs.google.com/spreadsheets/d/1Gpl6jkTg7sL4VDNimU"&amp;"m3S9Vi1i95esohXCF3wuKOE8c"", ""'CONSOLIDADO'!G5:AB""), 17, 0), ""-""),
""""
)"),"Stanley /SATA")</f>
        <v>Stanley /SATA</v>
      </c>
      <c r="W282" s="39" t="str">
        <f>IFERROR(__xludf.DUMMYFUNCTION(" IF
( VLOOKUP($G282,IMPORTRANGE(""https://docs.google.com/spreadsheets/d/1Gpl6jkTg7sL4VDNimUm3S9Vi1i95esohXCF3wuKOE8c"", ""'CONSOLIDADO'!G5:AB""), 10, 0) &lt;&gt; 0, 
IFERROR(VLOOKUP($G282,IMPORTRANGE(""https://docs.google.com/spreadsheets/d/1Gpl6jkTg7sL4VDNimU"&amp;"m3S9Vi1i95esohXCF3wuKOE8c"", ""'CONSOLIDADO'!G5:AB""), 18, 0), ""-""),
""""
)"),"71-607 / ST09074SJ")</f>
        <v>71-607 / ST09074SJ</v>
      </c>
      <c r="X282" s="39" t="b">
        <f t="shared" si="34"/>
        <v>0</v>
      </c>
      <c r="Y282" s="126" t="str">
        <f>IFERROR(__xludf.DUMMYFUNCTION(" IF
( VLOOKUP($G282,IMPORTRANGE(""https://docs.google.com/spreadsheets/d/1Gpl6jkTg7sL4VDNimUm3S9Vi1i95esohXCF3wuKOE8c"", ""'CONSOLIDADO'!G5:AB""), 10, 0) &lt;&gt; 0, 
IFERROR(VLOOKUP($G282,IMPORTRANGE(""https://docs.google.com/spreadsheets/d/1Gpl6jkTg7sL4VDNimU"&amp;"m3S9Vi1i95esohXCF3wuKOE8c"", ""'CONSOLIDADO'!G5:AB""), 19, 0), ""-""),
""""
)"),"https://www.promart.pe/juego-de-llaves-combinadas-metricas-x12-piezas-96697/p?srsltid=AfmBOooHCane3IDVLNOL20k1t-k4ErDXoOaLi7RKrl5-vNwCfTCb6HOq 
https://store.ferrindustrial.com.pe/producto/juego-de-llaves-mixtas-de-1-4-11-4-x-16pzs-ro9115016-gedore/ ")</f>
        <v>https://www.promart.pe/juego-de-llaves-combinadas-metricas-x12-piezas-96697/p?srsltid=AfmBOooHCane3IDVLNOL20k1t-k4ErDXoOaLi7RKrl5-vNwCfTCb6HOq 
https://store.ferrindustrial.com.pe/producto/juego-de-llaves-mixtas-de-1-4-11-4-x-16pzs-ro9115016-gedore/ </v>
      </c>
      <c r="Z282" s="37" t="str">
        <f>IFERROR(__xludf.DUMMYFUNCTION("IFERROR(VLOOKUP(G282,IMPORTRANGE(""https://docs.google.com/spreadsheets/d/12RxCea4e5ggM7QGn1XE3FbLQa_-QbCNdBi90OdPjRqg"", ""'Plan de Compras'!D4:Q""), 12, 0), ""NO ESTÁ EN REQ"")"),"NO ESTÁ EN REQ")</f>
        <v>NO ESTÁ EN REQ</v>
      </c>
      <c r="AA282" s="37" t="str">
        <f>IFERROR(__xludf.DUMMYFUNCTION("IFERROR(VLOOKUP(G282,IMPORTRANGE(""https://docs.google.com/spreadsheets/d/12RxCea4e5ggM7QGn1XE3FbLQa_-QbCNdBi90OdPjRqg"", ""'Plan de Compras'!D4:Q""), 13, 0), """")"),"")</f>
        <v/>
      </c>
      <c r="AB282" s="32" t="str">
        <f>IFERROR(__xludf.DUMMYFUNCTION("IFERROR(VLOOKUP(G282,IMPORTRANGE(""https://docs.google.com/spreadsheets/d/12RxCea4e5ggM7QGn1XE3FbLQa_-QbCNdBi90OdPjRqg"", ""'Plan de Compras'!D4:Q""), 14, 0), """")"),"")</f>
        <v/>
      </c>
      <c r="AC282" s="72" t="str">
        <f>IFERROR(__xludf.DUMMYFUNCTION("IFERROR(VLOOKUP(G282,IMPORTRANGE(""https://docs.google.com/spreadsheets/d/12RxCea4e5ggM7QGn1XE3FbLQa_-QbCNdBi90OdPjRqg"", ""'Plan de Compras'!D4:Q""), 4, 0), """")"),"")</f>
        <v/>
      </c>
      <c r="AD282" s="37" t="str">
        <f>IFERROR(__xludf.DUMMYFUNCTION("IFERROR(IF(OR(C282=TRUE,C282=""""),VLOOKUP(G282,IMPORTRANGE(""https://docs.google.com/spreadsheets/d/1z9A1Wq-kKrhRNG5RS2a2fKpY1wIhSVz2ZNmP2mOl588/edit?usp=sharing"",""REQ VF!E4:H""),4,0),""NO APLICA""),""GENERAR REQ"")"),"NO APLICA")</f>
        <v>NO APLICA</v>
      </c>
      <c r="AE282" s="32" t="str">
        <f>IFERROR(__xludf.DUMMYFUNCTION("IFERROR(QUERY(IMPORTRANGE(""https://docs.google.com/spreadsheets/d/1z9A1Wq-kKrhRNG5RS2a2fKpY1wIhSVz2ZNmP2mOl588/edit?usp=sharing"",""REQ VF!E4:Q""),""SELECT Col10, Col11, Col12 WHERE Col1 = '""&amp;G282&amp;""'"",0),""NO APLICA"")"),"NO APLICA")</f>
        <v>NO APLICA</v>
      </c>
      <c r="AF282" s="32"/>
      <c r="AG282" s="32"/>
      <c r="AH282" s="13"/>
      <c r="AI282" s="13"/>
    </row>
    <row r="283">
      <c r="A283" s="43"/>
      <c r="B283" s="43"/>
      <c r="C283" s="26" t="b">
        <v>1</v>
      </c>
      <c r="D283" s="26" t="s">
        <v>95</v>
      </c>
      <c r="E283" s="26" t="s">
        <v>1510</v>
      </c>
      <c r="F283" s="59" t="s">
        <v>2492</v>
      </c>
      <c r="G283" s="39" t="s">
        <v>2497</v>
      </c>
      <c r="H283" s="82" t="str">
        <f>UPPER("Set de 12 llaves graduados en milímetros: 8, 9, 10, 11, 12, 13, 14, 15, 16, 17, 18, 19 (1 UND)")</f>
        <v>SET DE 12 LLAVES GRADUADOS EN MILÍMETROS: 8, 9, 10, 11, 12, 13, 14, 15, 16, 17, 18, 19 (1 UND)</v>
      </c>
      <c r="I283" s="43">
        <v>8.0</v>
      </c>
      <c r="J283" s="26">
        <f>IFERROR(__xludf.DUMMYFUNCTION("VLOOKUP(G283,IMPORTRANGE(""https://docs.google.com/spreadsheets/d/12RxCea4e5ggM7QGn1XE3FbLQa_-QbCNdBi90OdPjRqg/edit?gid=1692403370#gid=1692403370"", ""'Plan de Compras'!D4:2432""), 8,0)"),8.0)</f>
        <v>8</v>
      </c>
      <c r="K283" s="26" t="str">
        <f t="shared" si="31"/>
        <v>SI</v>
      </c>
      <c r="L283" s="26"/>
      <c r="M283" s="32"/>
      <c r="N283" s="32"/>
      <c r="O283" s="32"/>
      <c r="P283" s="32"/>
      <c r="Q283" s="33" t="s">
        <v>2498</v>
      </c>
      <c r="R283" s="32"/>
      <c r="S283" s="44" t="b">
        <v>1</v>
      </c>
      <c r="T283" s="39" t="s">
        <v>2400</v>
      </c>
      <c r="U283" s="39" t="s">
        <v>2499</v>
      </c>
      <c r="V283" s="39"/>
      <c r="W283" s="39"/>
      <c r="X283" s="39"/>
      <c r="Y283" s="126" t="s">
        <v>2500</v>
      </c>
      <c r="Z283" s="37" t="str">
        <f>IFERROR(__xludf.DUMMYFUNCTION("IFERROR(VLOOKUP(G283,IMPORTRANGE(""https://docs.google.com/spreadsheets/d/12RxCea4e5ggM7QGn1XE3FbLQa_-QbCNdBi90OdPjRqg"", ""'Plan de Compras'!D4:Q""), 12, 0), ""NO ESTÁ EN REQ"")"),"Técnica")</f>
        <v>Técnica</v>
      </c>
      <c r="AA283" s="37" t="str">
        <f>IFERROR(__xludf.DUMMYFUNCTION("IFERROR(VLOOKUP(G283,IMPORTRANGE(""https://docs.google.com/spreadsheets/d/12RxCea4e5ggM7QGn1XE3FbLQa_-QbCNdBi90OdPjRqg"", ""'Plan de Compras'!D4:Q""), 13, 0), """")"),"NACIONAL")</f>
        <v>NACIONAL</v>
      </c>
      <c r="AB283" s="32" t="str">
        <f>IFERROR(__xludf.DUMMYFUNCTION("IFERROR(VLOOKUP(G283,IMPORTRANGE(""https://docs.google.com/spreadsheets/d/12RxCea4e5ggM7QGn1XE3FbLQa_-QbCNdBi90OdPjRqg"", ""'Plan de Compras'!D4:Q""), 14, 0), """")"),"ANGIE")</f>
        <v>ANGIE</v>
      </c>
      <c r="AC283" s="72" t="str">
        <f>IFERROR(__xludf.DUMMYFUNCTION("IFERROR(VLOOKUP(G283,IMPORTRANGE(""https://docs.google.com/spreadsheets/d/12RxCea4e5ggM7QGn1XE3FbLQa_-QbCNdBi90OdPjRqg"", ""'Plan de Compras'!D4:Q""), 4, 0), """")"),"SET DE 12 LLAVES GRADUADOS EN MILÍMETROS: 8, 9, 10, 11, 12, 13, 14, 15, 16, 17, 18, 19 (1 UND)")</f>
        <v>SET DE 12 LLAVES GRADUADOS EN MILÍMETROS: 8, 9, 10, 11, 12, 13, 14, 15, 16, 17, 18, 19 (1 UND)</v>
      </c>
      <c r="AD283" s="37" t="str">
        <f>IFERROR(__xludf.DUMMYFUNCTION("IFERROR(IF(OR(C283=TRUE,C283=""""),VLOOKUP(G283,IMPORTRANGE(""https://docs.google.com/spreadsheets/d/1z9A1Wq-kKrhRNG5RS2a2fKpY1wIhSVz2ZNmP2mOl588/edit?usp=sharing"",""REQ VF!E4:H""),4,0),""NO APLICA""),""GENERAR REQ"")"),"GENERAR REQ")</f>
        <v>GENERAR REQ</v>
      </c>
      <c r="AE283" s="32" t="str">
        <f>IFERROR(__xludf.DUMMYFUNCTION("IFERROR(QUERY(IMPORTRANGE(""https://docs.google.com/spreadsheets/d/1z9A1Wq-kKrhRNG5RS2a2fKpY1wIhSVz2ZNmP2mOl588/edit?usp=sharing"",""REQ VF!E4:Q""),""SELECT Col10, Col11, Col12 WHERE Col1 = '""&amp;G283&amp;""'"",0),""NO APLICA"")"),"NO APLICA")</f>
        <v>NO APLICA</v>
      </c>
      <c r="AF283" s="32"/>
      <c r="AG283" s="32"/>
      <c r="AH283" s="13"/>
      <c r="AI283" s="13"/>
    </row>
    <row r="284">
      <c r="A284" s="43"/>
      <c r="B284" s="43"/>
      <c r="C284" s="26" t="b">
        <v>1</v>
      </c>
      <c r="D284" s="26" t="s">
        <v>95</v>
      </c>
      <c r="E284" s="26" t="s">
        <v>1510</v>
      </c>
      <c r="F284" s="59" t="s">
        <v>2492</v>
      </c>
      <c r="G284" s="39" t="s">
        <v>2501</v>
      </c>
      <c r="H284" s="66" t="str">
        <f>UPPER("Set de 12 llaves graduados en pulgadas: 3/8, 7/16, 1/2, 9/16, 5/8, 11/16, 3/4, 13/16, 7/8, 15/16, 1, 1-1/16 (PULG) (1 UND)")</f>
        <v>SET DE 12 LLAVES GRADUADOS EN PULGADAS: 3/8, 7/16, 1/2, 9/16, 5/8, 11/16, 3/4, 13/16, 7/8, 15/16, 1, 1-1/16 (PULG) (1 UND)</v>
      </c>
      <c r="I284" s="43">
        <v>8.0</v>
      </c>
      <c r="J284" s="26">
        <f>IFERROR(__xludf.DUMMYFUNCTION("VLOOKUP(G284,IMPORTRANGE(""https://docs.google.com/spreadsheets/d/12RxCea4e5ggM7QGn1XE3FbLQa_-QbCNdBi90OdPjRqg/edit?gid=1692403370#gid=1692403370"", ""'Plan de Compras'!D4:2432""), 8,0)"),8.0)</f>
        <v>8</v>
      </c>
      <c r="K284" s="26" t="str">
        <f t="shared" si="31"/>
        <v>SI</v>
      </c>
      <c r="L284" s="29"/>
      <c r="M284" s="61"/>
      <c r="N284" s="32"/>
      <c r="O284" s="39" t="s">
        <v>2502</v>
      </c>
      <c r="P284" s="39" t="s">
        <v>2503</v>
      </c>
      <c r="Q284" s="126" t="s">
        <v>2498</v>
      </c>
      <c r="R284" s="32"/>
      <c r="S284" s="34" t="b">
        <v>1</v>
      </c>
      <c r="T284" s="39" t="s">
        <v>2504</v>
      </c>
      <c r="U284" s="39" t="s">
        <v>2505</v>
      </c>
      <c r="V284" s="39"/>
      <c r="W284" s="39"/>
      <c r="X284" s="39"/>
      <c r="Y284" s="126" t="s">
        <v>2506</v>
      </c>
      <c r="Z284" s="37" t="str">
        <f>IFERROR(__xludf.DUMMYFUNCTION("IFERROR(VLOOKUP(G284,IMPORTRANGE(""https://docs.google.com/spreadsheets/d/12RxCea4e5ggM7QGn1XE3FbLQa_-QbCNdBi90OdPjRqg"", ""'Plan de Compras'!D4:Q""), 12, 0), ""NO ESTÁ EN REQ"")"),"Técnica")</f>
        <v>Técnica</v>
      </c>
      <c r="AA284" s="37" t="str">
        <f>IFERROR(__xludf.DUMMYFUNCTION("IFERROR(VLOOKUP(G284,IMPORTRANGE(""https://docs.google.com/spreadsheets/d/12RxCea4e5ggM7QGn1XE3FbLQa_-QbCNdBi90OdPjRqg"", ""'Plan de Compras'!D4:Q""), 13, 0), """")"),"NACIONAL")</f>
        <v>NACIONAL</v>
      </c>
      <c r="AB284" s="32" t="str">
        <f>IFERROR(__xludf.DUMMYFUNCTION("IFERROR(VLOOKUP(G284,IMPORTRANGE(""https://docs.google.com/spreadsheets/d/12RxCea4e5ggM7QGn1XE3FbLQa_-QbCNdBi90OdPjRqg"", ""'Plan de Compras'!D4:Q""), 14, 0), """")"),"DIANA")</f>
        <v>DIANA</v>
      </c>
      <c r="AC284" s="72" t="str">
        <f>IFERROR(__xludf.DUMMYFUNCTION("IFERROR(VLOOKUP(G284,IMPORTRANGE(""https://docs.google.com/spreadsheets/d/12RxCea4e5ggM7QGn1XE3FbLQa_-QbCNdBi90OdPjRqg"", ""'Plan de Compras'!D4:Q""), 4, 0), """")"),"SET DE 12 LLAVES GRADUADOS EN PULGADAS: 3/8, 7/16, 1/2, 9/16, 5/8, 11/16, 3/4, 13/16, 7/8, 15/16, 1, 1-1/16 (PULG) (1 UND)")</f>
        <v>SET DE 12 LLAVES GRADUADOS EN PULGADAS: 3/8, 7/16, 1/2, 9/16, 5/8, 11/16, 3/4, 13/16, 7/8, 15/16, 1, 1-1/16 (PULG) (1 UND)</v>
      </c>
      <c r="AD284" s="37" t="str">
        <f>IFERROR(__xludf.DUMMYFUNCTION("IFERROR(IF(OR(C284=TRUE,C284=""""),VLOOKUP(G284,IMPORTRANGE(""https://docs.google.com/spreadsheets/d/1z9A1Wq-kKrhRNG5RS2a2fKpY1wIhSVz2ZNmP2mOl588/edit?usp=sharing"",""REQ VF!E4:H""),4,0),""NO APLICA""),""GENERAR REQ"")"),"GENERAR REQ")</f>
        <v>GENERAR REQ</v>
      </c>
      <c r="AE284" s="32" t="str">
        <f>IFERROR(__xludf.DUMMYFUNCTION("IFERROR(QUERY(IMPORTRANGE(""https://docs.google.com/spreadsheets/d/1z9A1Wq-kKrhRNG5RS2a2fKpY1wIhSVz2ZNmP2mOl588/edit?usp=sharing"",""REQ VF!E4:Q""),""SELECT Col10, Col11, Col12 WHERE Col1 = '""&amp;G284&amp;""'"",0),""NO APLICA"")"),"NO APLICA")</f>
        <v>NO APLICA</v>
      </c>
      <c r="AF284" s="32"/>
      <c r="AG284" s="32"/>
      <c r="AH284" s="13"/>
      <c r="AI284" s="13"/>
    </row>
    <row r="285">
      <c r="A285" s="117">
        <v>186.0</v>
      </c>
      <c r="B285" s="43" t="b">
        <v>1</v>
      </c>
      <c r="C285" s="26" t="b">
        <v>1</v>
      </c>
      <c r="D285" s="26" t="s">
        <v>35</v>
      </c>
      <c r="E285" s="26" t="s">
        <v>1510</v>
      </c>
      <c r="F285" s="59" t="s">
        <v>2492</v>
      </c>
      <c r="G285" s="39" t="s">
        <v>2507</v>
      </c>
      <c r="H285" s="82" t="s">
        <v>2494</v>
      </c>
      <c r="I285" s="43">
        <f>SUMIFS('Hoja 10'!$O:$O,'Hoja 10'!$F:$F,$G285)</f>
        <v>2</v>
      </c>
      <c r="J285" s="26">
        <f>IFERROR(__xludf.DUMMYFUNCTION("VLOOKUP(G285,IMPORTRANGE(""https://docs.google.com/spreadsheets/d/12RxCea4e5ggM7QGn1XE3FbLQa_-QbCNdBi90OdPjRqg/edit?gid=1692403370#gid=1692403370"", ""'Plan de Compras'!D4:2432""), 8,0)"),2.0)</f>
        <v>2</v>
      </c>
      <c r="K285" s="26" t="str">
        <f t="shared" si="31"/>
        <v>SI</v>
      </c>
      <c r="L285" s="29" t="s">
        <v>91</v>
      </c>
      <c r="M285" s="30" t="s">
        <v>92</v>
      </c>
      <c r="N285" s="32"/>
      <c r="O285" s="32" t="str">
        <f>VLOOKUP($G285,'Hoja 10'!$F$4:$AA1057, 19,0)</f>
        <v>STANLEY</v>
      </c>
      <c r="P285" s="32">
        <f>VLOOKUP($G285,'Hoja 10'!$F$4:$AA1057, 20,0)</f>
        <v>56623</v>
      </c>
      <c r="Q285" s="33" t="str">
        <f>VLOOKUP($G285,'Hoja 10'!$F$4:$AA1057, 21,0)</f>
        <v>https://www.promart.pe/juego-de-llaves-7-24-mm-x14-piezas-56623/p?srsltid=AfmBOoqe5sFWv-lqFMZT3ybAyNJiw1dKjOljgrQeFhgrQJk_UDAW04LU</v>
      </c>
      <c r="R285" s="86" t="s">
        <v>2508</v>
      </c>
      <c r="S285" s="44" t="b">
        <v>1</v>
      </c>
      <c r="T285" s="39" t="s">
        <v>2509</v>
      </c>
      <c r="U285" s="39" t="s">
        <v>2510</v>
      </c>
      <c r="V285" s="39" t="str">
        <f>IFERROR(__xludf.DUMMYFUNCTION(" IF
( VLOOKUP($G285,IMPORTRANGE(""https://docs.google.com/spreadsheets/d/1Gpl6jkTg7sL4VDNimUm3S9Vi1i95esohXCF3wuKOE8c"", ""'CONSOLIDADO'!G5:AB""), 10, 0) &lt;&gt; 0, 
IFERROR(VLOOKUP($G285,IMPORTRANGE(""https://docs.google.com/spreadsheets/d/1Gpl6jkTg7sL4VDNimU"&amp;"m3S9Vi1i95esohXCF3wuKOE8c"", ""'CONSOLIDADO'!G5:AB""), 17, 0), ""-""),
""""
)"),"STANLEY")</f>
        <v>STANLEY</v>
      </c>
      <c r="W285" s="39" t="str">
        <f>IFERROR(__xludf.DUMMYFUNCTION(" IF
( VLOOKUP($G285,IMPORTRANGE(""https://docs.google.com/spreadsheets/d/1Gpl6jkTg7sL4VDNimUm3S9Vi1i95esohXCF3wuKOE8c"", ""'CONSOLIDADO'!G5:AB""), 10, 0) &lt;&gt; 0, 
IFERROR(VLOOKUP($G285,IMPORTRANGE(""https://docs.google.com/spreadsheets/d/1Gpl6jkTg7sL4VDNimU"&amp;"m3S9Vi1i95esohXCF3wuKOE8c"", ""'CONSOLIDADO'!G5:AB""), 18, 0), ""-""),
""""
)"),"86-081")</f>
        <v>86-081</v>
      </c>
      <c r="X285" s="39" t="b">
        <f t="shared" ref="X285:X286" si="35">IF(AND(T285=V285,W285=U285),TRUE,FALSE)</f>
        <v>1</v>
      </c>
      <c r="Y285" s="126" t="s">
        <v>2511</v>
      </c>
      <c r="Z285" s="37" t="str">
        <f>IFERROR(__xludf.DUMMYFUNCTION("IFERROR(VLOOKUP(G285,IMPORTRANGE(""https://docs.google.com/spreadsheets/d/12RxCea4e5ggM7QGn1XE3FbLQa_-QbCNdBi90OdPjRqg"", ""'Plan de Compras'!D4:Q""), 12, 0), ""NO ESTÁ EN REQ"")"),"Simple")</f>
        <v>Simple</v>
      </c>
      <c r="AA285" s="37" t="str">
        <f>IFERROR(__xludf.DUMMYFUNCTION("IFERROR(VLOOKUP(G285,IMPORTRANGE(""https://docs.google.com/spreadsheets/d/12RxCea4e5ggM7QGn1XE3FbLQa_-QbCNdBi90OdPjRqg"", ""'Plan de Compras'!D4:Q""), 13, 0), """")"),"NACIONAL")</f>
        <v>NACIONAL</v>
      </c>
      <c r="AB285" s="32" t="str">
        <f>IFERROR(__xludf.DUMMYFUNCTION("IFERROR(VLOOKUP(G285,IMPORTRANGE(""https://docs.google.com/spreadsheets/d/12RxCea4e5ggM7QGn1XE3FbLQa_-QbCNdBi90OdPjRqg"", ""'Plan de Compras'!D4:Q""), 14, 0), """")"),"ANGIE")</f>
        <v>ANGIE</v>
      </c>
      <c r="AC285" s="72" t="str">
        <f>IFERROR(__xludf.DUMMYFUNCTION("IFERROR(VLOOKUP(G285,IMPORTRANGE(""https://docs.google.com/spreadsheets/d/12RxCea4e5ggM7QGn1XE3FbLQa_-QbCNdBi90OdPjRqg"", ""'Plan de Compras'!D4:Q""), 4, 0), """")"),"JUEGO DE LLAVES MIXTAS")</f>
        <v>JUEGO DE LLAVES MIXTAS</v>
      </c>
      <c r="AD285" s="37" t="str">
        <f>IFERROR(__xludf.DUMMYFUNCTION("IFERROR(IF(OR(C285=TRUE,C285=""""),VLOOKUP(G285,IMPORTRANGE(""https://docs.google.com/spreadsheets/d/1z9A1Wq-kKrhRNG5RS2a2fKpY1wIhSVz2ZNmP2mOl588/edit?usp=sharing"",""REQ VF!E4:H""),4,0),""NO APLICA""),""GENERAR REQ"")"),"GENERAR REQ")</f>
        <v>GENERAR REQ</v>
      </c>
      <c r="AE285" s="32" t="str">
        <f>IFERROR(__xludf.DUMMYFUNCTION("IFERROR(QUERY(IMPORTRANGE(""https://docs.google.com/spreadsheets/d/1z9A1Wq-kKrhRNG5RS2a2fKpY1wIhSVz2ZNmP2mOl588/edit?usp=sharing"",""REQ VF!E4:Q""),""SELECT Col10, Col11, Col12 WHERE Col1 = '""&amp;G285&amp;""'"",0),""NO APLICA"")"),"NO APLICA")</f>
        <v>NO APLICA</v>
      </c>
      <c r="AF285" s="32"/>
      <c r="AG285" s="32"/>
      <c r="AH285" s="8" t="s">
        <v>52</v>
      </c>
      <c r="AI285" s="13"/>
    </row>
    <row r="286">
      <c r="A286" s="121">
        <v>187.0</v>
      </c>
      <c r="B286" s="43" t="b">
        <v>1</v>
      </c>
      <c r="C286" s="26" t="b">
        <v>0</v>
      </c>
      <c r="D286" s="26" t="s">
        <v>35</v>
      </c>
      <c r="E286" s="26" t="s">
        <v>1510</v>
      </c>
      <c r="F286" s="59" t="s">
        <v>2512</v>
      </c>
      <c r="G286" s="37" t="s">
        <v>2512</v>
      </c>
      <c r="H286" s="82" t="s">
        <v>2513</v>
      </c>
      <c r="I286" s="43">
        <f>SUMIFS('Hoja 10'!$O:$O,'Hoja 10'!$F:$F,$G286)</f>
        <v>12</v>
      </c>
      <c r="J286" s="26" t="str">
        <f>IFERROR(__xludf.DUMMYFUNCTION("VLOOKUP(G286,IMPORTRANGE(""https://docs.google.com/spreadsheets/d/12RxCea4e5ggM7QGn1XE3FbLQa_-QbCNdBi90OdPjRqg/edit?gid=1692403370#gid=1692403370"", ""'Plan de Compras'!D4:2432""), 8,0)"),"#N/A")</f>
        <v>#N/A</v>
      </c>
      <c r="K286" s="26" t="str">
        <f t="shared" si="31"/>
        <v>-</v>
      </c>
      <c r="L286" s="29" t="s">
        <v>127</v>
      </c>
      <c r="M286" s="30" t="s">
        <v>105</v>
      </c>
      <c r="N286" s="32" t="s">
        <v>2514</v>
      </c>
      <c r="O286" s="32"/>
      <c r="P286" s="32"/>
      <c r="Q286" s="33" t="s">
        <v>2515</v>
      </c>
      <c r="R286" s="86" t="s">
        <v>2516</v>
      </c>
      <c r="S286" s="34" t="b">
        <v>1</v>
      </c>
      <c r="T286" s="39" t="s">
        <v>1137</v>
      </c>
      <c r="U286" s="39" t="s">
        <v>1137</v>
      </c>
      <c r="V286" s="39" t="str">
        <f>IFERROR(__xludf.DUMMYFUNCTION(" IF
( VLOOKUP($G286,IMPORTRANGE(""https://docs.google.com/spreadsheets/d/1Gpl6jkTg7sL4VDNimUm3S9Vi1i95esohXCF3wuKOE8c"", ""'CONSOLIDADO'!G5:AB""), 10, 0) &lt;&gt; 0, 
IFERROR(VLOOKUP($G286,IMPORTRANGE(""https://docs.google.com/spreadsheets/d/1Gpl6jkTg7sL4VDNimU"&amp;"m3S9Vi1i95esohXCF3wuKOE8c"", ""'CONSOLIDADO'!G5:AB""), 17, 0), ""-""),
""""
)"),"VARIOS")</f>
        <v>VARIOS</v>
      </c>
      <c r="W286" s="39" t="str">
        <f>IFERROR(__xludf.DUMMYFUNCTION(" IF
( VLOOKUP($G286,IMPORTRANGE(""https://docs.google.com/spreadsheets/d/1Gpl6jkTg7sL4VDNimUm3S9Vi1i95esohXCF3wuKOE8c"", ""'CONSOLIDADO'!G5:AB""), 10, 0) &lt;&gt; 0, 
IFERROR(VLOOKUP($G286,IMPORTRANGE(""https://docs.google.com/spreadsheets/d/1Gpl6jkTg7sL4VDNimU"&amp;"m3S9Vi1i95esohXCF3wuKOE8c"", ""'CONSOLIDADO'!G5:AB""), 18, 0), ""-""),
""""
)"),"VARIOS")</f>
        <v>VARIOS</v>
      </c>
      <c r="X286" s="39" t="b">
        <f t="shared" si="35"/>
        <v>1</v>
      </c>
      <c r="Y286" s="124"/>
      <c r="Z286" s="37" t="str">
        <f>IFERROR(__xludf.DUMMYFUNCTION("IFERROR(VLOOKUP(G286,IMPORTRANGE(""https://docs.google.com/spreadsheets/d/12RxCea4e5ggM7QGn1XE3FbLQa_-QbCNdBi90OdPjRqg"", ""'Plan de Compras'!D4:Q""), 12, 0), ""NO ESTÁ EN REQ"")"),"NO ESTÁ EN REQ")</f>
        <v>NO ESTÁ EN REQ</v>
      </c>
      <c r="AA286" s="37" t="str">
        <f>IFERROR(__xludf.DUMMYFUNCTION("IFERROR(VLOOKUP(G286,IMPORTRANGE(""https://docs.google.com/spreadsheets/d/12RxCea4e5ggM7QGn1XE3FbLQa_-QbCNdBi90OdPjRqg"", ""'Plan de Compras'!D4:Q""), 13, 0), """")"),"")</f>
        <v/>
      </c>
      <c r="AB286" s="32" t="str">
        <f>IFERROR(__xludf.DUMMYFUNCTION("IFERROR(VLOOKUP(G286,IMPORTRANGE(""https://docs.google.com/spreadsheets/d/12RxCea4e5ggM7QGn1XE3FbLQa_-QbCNdBi90OdPjRqg"", ""'Plan de Compras'!D4:Q""), 14, 0), """")"),"")</f>
        <v/>
      </c>
      <c r="AC286" s="72" t="str">
        <f>IFERROR(__xludf.DUMMYFUNCTION("IFERROR(VLOOKUP(G286,IMPORTRANGE(""https://docs.google.com/spreadsheets/d/12RxCea4e5ggM7QGn1XE3FbLQa_-QbCNdBi90OdPjRqg"", ""'Plan de Compras'!D4:Q""), 4, 0), """")"),"")</f>
        <v/>
      </c>
      <c r="AD286" s="37" t="str">
        <f>IFERROR(__xludf.DUMMYFUNCTION("IFERROR(IF(OR(C286=TRUE,C286=""""),VLOOKUP(G286,IMPORTRANGE(""https://docs.google.com/spreadsheets/d/1z9A1Wq-kKrhRNG5RS2a2fKpY1wIhSVz2ZNmP2mOl588/edit?usp=sharing"",""REQ VF!E4:H""),4,0),""NO APLICA""),""GENERAR REQ"")"),"NO APLICA")</f>
        <v>NO APLICA</v>
      </c>
      <c r="AE286" s="32" t="str">
        <f>IFERROR(__xludf.DUMMYFUNCTION("IFERROR(QUERY(IMPORTRANGE(""https://docs.google.com/spreadsheets/d/1z9A1Wq-kKrhRNG5RS2a2fKpY1wIhSVz2ZNmP2mOl588/edit?usp=sharing"",""REQ VF!E4:Q""),""SELECT Col10, Col11, Col12 WHERE Col1 = '""&amp;G286&amp;""'"",0),""NO APLICA"")"),"NO APLICA")</f>
        <v>NO APLICA</v>
      </c>
      <c r="AF286" s="32"/>
      <c r="AG286" s="32"/>
      <c r="AH286" s="13"/>
      <c r="AI286" s="13"/>
    </row>
    <row r="287">
      <c r="A287" s="43"/>
      <c r="B287" s="43"/>
      <c r="C287" s="26" t="b">
        <v>1</v>
      </c>
      <c r="D287" s="26" t="s">
        <v>95</v>
      </c>
      <c r="E287" s="26" t="s">
        <v>1510</v>
      </c>
      <c r="F287" s="59" t="s">
        <v>2512</v>
      </c>
      <c r="G287" s="39" t="s">
        <v>2517</v>
      </c>
      <c r="H287" s="66" t="str">
        <f>UPPER("llaves graduados en milímetros entre 6 - 24mm (1 und)")</f>
        <v>LLAVES GRADUADOS EN MILÍMETROS ENTRE 6 - 24MM (1 UND)</v>
      </c>
      <c r="I287" s="43">
        <v>12.0</v>
      </c>
      <c r="J287" s="26">
        <f>IFERROR(__xludf.DUMMYFUNCTION("VLOOKUP(G287,IMPORTRANGE(""https://docs.google.com/spreadsheets/d/12RxCea4e5ggM7QGn1XE3FbLQa_-QbCNdBi90OdPjRqg/edit?gid=1692403370#gid=1692403370"", ""'Plan de Compras'!D4:2432""), 8,0)"),12.0)</f>
        <v>12</v>
      </c>
      <c r="K287" s="26" t="str">
        <f t="shared" si="31"/>
        <v>SI</v>
      </c>
      <c r="L287" s="26"/>
      <c r="M287" s="32"/>
      <c r="N287" s="32" t="s">
        <v>2518</v>
      </c>
      <c r="O287" s="32"/>
      <c r="P287" s="32"/>
      <c r="Q287" s="33" t="s">
        <v>2519</v>
      </c>
      <c r="R287" s="32"/>
      <c r="S287" s="34" t="b">
        <v>1</v>
      </c>
      <c r="T287" s="63" t="s">
        <v>2520</v>
      </c>
      <c r="U287" s="63" t="s">
        <v>2521</v>
      </c>
      <c r="V287" s="63"/>
      <c r="W287" s="63"/>
      <c r="X287" s="63"/>
      <c r="Y287" s="126" t="s">
        <v>2522</v>
      </c>
      <c r="Z287" s="37" t="str">
        <f>IFERROR(__xludf.DUMMYFUNCTION("IFERROR(VLOOKUP(G287,IMPORTRANGE(""https://docs.google.com/spreadsheets/d/12RxCea4e5ggM7QGn1XE3FbLQa_-QbCNdBi90OdPjRqg"", ""'Plan de Compras'!D4:Q""), 12, 0), ""NO ESTÁ EN REQ"")"),"Técnica")</f>
        <v>Técnica</v>
      </c>
      <c r="AA287" s="37" t="str">
        <f>IFERROR(__xludf.DUMMYFUNCTION("IFERROR(VLOOKUP(G287,IMPORTRANGE(""https://docs.google.com/spreadsheets/d/12RxCea4e5ggM7QGn1XE3FbLQa_-QbCNdBi90OdPjRqg"", ""'Plan de Compras'!D4:Q""), 13, 0), """")"),"INTERNACIONAL")</f>
        <v>INTERNACIONAL</v>
      </c>
      <c r="AB287" s="32" t="str">
        <f>IFERROR(__xludf.DUMMYFUNCTION("IFERROR(VLOOKUP(G287,IMPORTRANGE(""https://docs.google.com/spreadsheets/d/12RxCea4e5ggM7QGn1XE3FbLQa_-QbCNdBi90OdPjRqg"", ""'Plan de Compras'!D4:Q""), 14, 0), """")"),"GIANFRANCO")</f>
        <v>GIANFRANCO</v>
      </c>
      <c r="AC287" s="72" t="str">
        <f>IFERROR(__xludf.DUMMYFUNCTION("IFERROR(VLOOKUP(G287,IMPORTRANGE(""https://docs.google.com/spreadsheets/d/12RxCea4e5ggM7QGn1XE3FbLQa_-QbCNdBi90OdPjRqg"", ""'Plan de Compras'!D4:Q""), 4, 0), """")"),"LLAVES GRADUADOS EN MILÍMETROS ENTRE 6 - 24MM (1 UND)")</f>
        <v>LLAVES GRADUADOS EN MILÍMETROS ENTRE 6 - 24MM (1 UND)</v>
      </c>
      <c r="AD287" s="37" t="str">
        <f>IFERROR(__xludf.DUMMYFUNCTION("IFERROR(IF(OR(C287=TRUE,C287=""""),VLOOKUP(G287,IMPORTRANGE(""https://docs.google.com/spreadsheets/d/1z9A1Wq-kKrhRNG5RS2a2fKpY1wIhSVz2ZNmP2mOl588/edit?usp=sharing"",""REQ VF!E4:H""),4,0),""NO APLICA""),""GENERAR REQ"")"),"GENERAR REQ")</f>
        <v>GENERAR REQ</v>
      </c>
      <c r="AE287" s="32" t="str">
        <f>IFERROR(__xludf.DUMMYFUNCTION("IFERROR(QUERY(IMPORTRANGE(""https://docs.google.com/spreadsheets/d/1z9A1Wq-kKrhRNG5RS2a2fKpY1wIhSVz2ZNmP2mOl588/edit?usp=sharing"",""REQ VF!E4:Q""),""SELECT Col10, Col11, Col12 WHERE Col1 = '""&amp;G287&amp;""'"",0),""NO APLICA"")"),"NO APLICA")</f>
        <v>NO APLICA</v>
      </c>
      <c r="AF287" s="32"/>
      <c r="AG287" s="32"/>
      <c r="AH287" s="13"/>
      <c r="AI287" s="13"/>
    </row>
    <row r="288">
      <c r="A288" s="43"/>
      <c r="B288" s="43"/>
      <c r="C288" s="26" t="b">
        <v>1</v>
      </c>
      <c r="D288" s="26" t="s">
        <v>95</v>
      </c>
      <c r="E288" s="26" t="s">
        <v>1510</v>
      </c>
      <c r="F288" s="59" t="s">
        <v>2512</v>
      </c>
      <c r="G288" s="39" t="s">
        <v>2523</v>
      </c>
      <c r="H288" s="66" t="str">
        <f>UPPER("14 llaves graduados en pulgadas: entre ≤ 3/8 - 1-1/4 pulg (1 und)")</f>
        <v>14 LLAVES GRADUADOS EN PULGADAS: ENTRE ≤ 3/8 - 1-1/4 PULG (1 UND)</v>
      </c>
      <c r="I288" s="43">
        <v>12.0</v>
      </c>
      <c r="J288" s="26">
        <f>IFERROR(__xludf.DUMMYFUNCTION("VLOOKUP(G288,IMPORTRANGE(""https://docs.google.com/spreadsheets/d/12RxCea4e5ggM7QGn1XE3FbLQa_-QbCNdBi90OdPjRqg/edit?gid=1692403370#gid=1692403370"", ""'Plan de Compras'!D4:2432""), 8,0)"),12.0)</f>
        <v>12</v>
      </c>
      <c r="K288" s="26" t="str">
        <f t="shared" si="31"/>
        <v>SI</v>
      </c>
      <c r="L288" s="29"/>
      <c r="M288" s="61"/>
      <c r="N288" s="32"/>
      <c r="O288" s="32" t="str">
        <f>VLOOKUP($G288,'Hoja 10'!$F$4:$AA1057, 19,0)</f>
        <v>#N/A</v>
      </c>
      <c r="P288" s="32" t="str">
        <f>VLOOKUP($G288,'Hoja 10'!$F$4:$AA1057, 20,0)</f>
        <v>#N/A</v>
      </c>
      <c r="Q288" s="41" t="str">
        <f>VLOOKUP($G288,'Hoja 10'!$F$4:$AA1057, 21,0)</f>
        <v>#N/A</v>
      </c>
      <c r="R288" s="32"/>
      <c r="S288" s="44" t="b">
        <v>1</v>
      </c>
      <c r="T288" s="39" t="s">
        <v>2400</v>
      </c>
      <c r="U288" s="39" t="s">
        <v>2524</v>
      </c>
      <c r="V288" s="39"/>
      <c r="W288" s="39"/>
      <c r="X288" s="39"/>
      <c r="Y288" s="126" t="s">
        <v>2525</v>
      </c>
      <c r="Z288" s="37" t="str">
        <f>IFERROR(__xludf.DUMMYFUNCTION("IFERROR(VLOOKUP(G288,IMPORTRANGE(""https://docs.google.com/spreadsheets/d/12RxCea4e5ggM7QGn1XE3FbLQa_-QbCNdBi90OdPjRqg"", ""'Plan de Compras'!D4:Q""), 12, 0), ""NO ESTÁ EN REQ"")"),"Técnica")</f>
        <v>Técnica</v>
      </c>
      <c r="AA288" s="37" t="str">
        <f>IFERROR(__xludf.DUMMYFUNCTION("IFERROR(VLOOKUP(G288,IMPORTRANGE(""https://docs.google.com/spreadsheets/d/12RxCea4e5ggM7QGn1XE3FbLQa_-QbCNdBi90OdPjRqg"", ""'Plan de Compras'!D4:Q""), 13, 0), """")"),"NACIONAL")</f>
        <v>NACIONAL</v>
      </c>
      <c r="AB288" s="32" t="str">
        <f>IFERROR(__xludf.DUMMYFUNCTION("IFERROR(VLOOKUP(G288,IMPORTRANGE(""https://docs.google.com/spreadsheets/d/12RxCea4e5ggM7QGn1XE3FbLQa_-QbCNdBi90OdPjRqg"", ""'Plan de Compras'!D4:Q""), 14, 0), """")"),"ANGIE")</f>
        <v>ANGIE</v>
      </c>
      <c r="AC288" s="72" t="str">
        <f>IFERROR(__xludf.DUMMYFUNCTION("IFERROR(VLOOKUP(G288,IMPORTRANGE(""https://docs.google.com/spreadsheets/d/12RxCea4e5ggM7QGn1XE3FbLQa_-QbCNdBi90OdPjRqg"", ""'Plan de Compras'!D4:Q""), 4, 0), """")"),"14 LLAVES GRADUADOS EN PULGADAS: ENTRE ≤ 3/8 - 1-1/4 PULG (1 UND)")</f>
        <v>14 LLAVES GRADUADOS EN PULGADAS: ENTRE ≤ 3/8 - 1-1/4 PULG (1 UND)</v>
      </c>
      <c r="AD288" s="37" t="str">
        <f>IFERROR(__xludf.DUMMYFUNCTION("IFERROR(IF(OR(C288=TRUE,C288=""""),VLOOKUP(G288,IMPORTRANGE(""https://docs.google.com/spreadsheets/d/1z9A1Wq-kKrhRNG5RS2a2fKpY1wIhSVz2ZNmP2mOl588/edit?usp=sharing"",""REQ VF!E4:H""),4,0),""NO APLICA""),""GENERAR REQ"")"),"GENERAR REQ")</f>
        <v>GENERAR REQ</v>
      </c>
      <c r="AE288" s="32" t="str">
        <f>IFERROR(__xludf.DUMMYFUNCTION("IFERROR(QUERY(IMPORTRANGE(""https://docs.google.com/spreadsheets/d/1z9A1Wq-kKrhRNG5RS2a2fKpY1wIhSVz2ZNmP2mOl588/edit?usp=sharing"",""REQ VF!E4:Q""),""SELECT Col10, Col11, Col12 WHERE Col1 = '""&amp;G288&amp;""'"",0),""NO APLICA"")"),"NO APLICA")</f>
        <v>NO APLICA</v>
      </c>
      <c r="AF288" s="32"/>
      <c r="AG288" s="32"/>
      <c r="AH288" s="13"/>
      <c r="AI288" s="13"/>
    </row>
    <row r="289">
      <c r="A289" s="121">
        <v>188.0</v>
      </c>
      <c r="B289" s="43" t="b">
        <v>1</v>
      </c>
      <c r="C289" s="26" t="b">
        <v>1</v>
      </c>
      <c r="D289" s="26" t="s">
        <v>35</v>
      </c>
      <c r="E289" s="26" t="s">
        <v>1510</v>
      </c>
      <c r="F289" s="59" t="s">
        <v>2526</v>
      </c>
      <c r="G289" s="37" t="s">
        <v>2526</v>
      </c>
      <c r="H289" s="82" t="s">
        <v>2527</v>
      </c>
      <c r="I289" s="43">
        <f>SUMIFS('Hoja 10'!$O:$O,'Hoja 10'!$F:$F,$G289)</f>
        <v>3</v>
      </c>
      <c r="J289" s="26">
        <f>IFERROR(__xludf.DUMMYFUNCTION("VLOOKUP(G289,IMPORTRANGE(""https://docs.google.com/spreadsheets/d/12RxCea4e5ggM7QGn1XE3FbLQa_-QbCNdBi90OdPjRqg/edit?gid=1692403370#gid=1692403370"", ""'Plan de Compras'!D4:2432""), 8,0)"),3.0)</f>
        <v>3</v>
      </c>
      <c r="K289" s="26" t="str">
        <f t="shared" si="31"/>
        <v>SI</v>
      </c>
      <c r="L289" s="29" t="s">
        <v>127</v>
      </c>
      <c r="M289" s="30" t="s">
        <v>105</v>
      </c>
      <c r="N289" s="32"/>
      <c r="O289" s="32" t="str">
        <f>VLOOKUP($G289,'Hoja 10'!$F$4:$AA1057, 19,0)</f>
        <v>Spurtar</v>
      </c>
      <c r="P289" s="32" t="str">
        <f>VLOOKUP($G289,'Hoja 10'!$F$4:$AA1057, 20,0)</f>
        <v>‎SPU-001</v>
      </c>
      <c r="Q289" s="33" t="str">
        <f>VLOOKUP($G289,'Hoja 10'!$F$4:$AA1057, 21,0)</f>
        <v>https://www.amazon.com/Spurtar-Adjustable-68-85-133-35mm-Universal-Generator/dp/B0C4P1SP58?th=1</v>
      </c>
      <c r="R289" s="86" t="s">
        <v>2528</v>
      </c>
      <c r="S289" s="44" t="b">
        <v>0</v>
      </c>
      <c r="T289" s="39" t="str">
        <f>IFERROR(__xludf.DUMMYFUNCTION(" IF
( VLOOKUP($G289,IMPORTRANGE(""https://docs.google.com/spreadsheets/d/1Gpl6jkTg7sL4VDNimUm3S9Vi1i95esohXCF3wuKOE8c"", ""'CONSOLIDADO'!G5:AB""), 10, 0) &lt;&gt; 0, 
IFERROR(VLOOKUP($G289,IMPORTRANGE(""https://docs.google.com/spreadsheets/d/1Gpl6jkTg7sL4VDNimU"&amp;"m3S9Vi1i95esohXCF3wuKOE8c"", ""'CONSOLIDADO'!G5:AB""), 17, 0), ""-""),
""""
)"),"SPURTAR")</f>
        <v>SPURTAR</v>
      </c>
      <c r="U289" s="39" t="str">
        <f>IFERROR(__xludf.DUMMYFUNCTION(" IF
( VLOOKUP($G289,IMPORTRANGE(""https://docs.google.com/spreadsheets/d/1Gpl6jkTg7sL4VDNimUm3S9Vi1i95esohXCF3wuKOE8c"", ""'CONSOLIDADO'!G5:AB""), 10, 0) &lt;&gt; 0, 
IFERROR(VLOOKUP($G289,IMPORTRANGE(""https://docs.google.com/spreadsheets/d/1Gpl6jkTg7sL4VDNimU"&amp;"m3S9Vi1i95esohXCF3wuKOE8c"", ""'CONSOLIDADO'!G5:AB""), 18, 0), ""-""),
""""
)"),"‎SPU-001")</f>
        <v>‎SPU-001</v>
      </c>
      <c r="V289" s="39" t="str">
        <f>IFERROR(__xludf.DUMMYFUNCTION(" IF
( VLOOKUP($G289,IMPORTRANGE(""https://docs.google.com/spreadsheets/d/1Gpl6jkTg7sL4VDNimUm3S9Vi1i95esohXCF3wuKOE8c"", ""'CONSOLIDADO'!G5:AB""), 10, 0) &lt;&gt; 0, 
IFERROR(VLOOKUP($G289,IMPORTRANGE(""https://docs.google.com/spreadsheets/d/1Gpl6jkTg7sL4VDNimU"&amp;"m3S9Vi1i95esohXCF3wuKOE8c"", ""'CONSOLIDADO'!G5:AB""), 17, 0), ""-""),
""""
)"),"SPURTAR")</f>
        <v>SPURTAR</v>
      </c>
      <c r="W289" s="39" t="str">
        <f>IFERROR(__xludf.DUMMYFUNCTION(" IF
( VLOOKUP($G289,IMPORTRANGE(""https://docs.google.com/spreadsheets/d/1Gpl6jkTg7sL4VDNimUm3S9Vi1i95esohXCF3wuKOE8c"", ""'CONSOLIDADO'!G5:AB""), 10, 0) &lt;&gt; 0, 
IFERROR(VLOOKUP($G289,IMPORTRANGE(""https://docs.google.com/spreadsheets/d/1Gpl6jkTg7sL4VDNimU"&amp;"m3S9Vi1i95esohXCF3wuKOE8c"", ""'CONSOLIDADO'!G5:AB""), 18, 0), ""-""),
""""
)"),"‎SPU-001")</f>
        <v>‎SPU-001</v>
      </c>
      <c r="X289" s="39" t="b">
        <f>IF(AND(T289=V289,W289=U289),TRUE,FALSE)</f>
        <v>1</v>
      </c>
      <c r="Y289" s="120" t="str">
        <f>IFERROR(__xludf.DUMMYFUNCTION(" IF
( VLOOKUP($G289,IMPORTRANGE(""https://docs.google.com/spreadsheets/d/1Gpl6jkTg7sL4VDNimUm3S9Vi1i95esohXCF3wuKOE8c"", ""'CONSOLIDADO'!G5:AB""), 10, 0) &lt;&gt; 0, 
IFERROR(VLOOKUP($G289,IMPORTRANGE(""https://docs.google.com/spreadsheets/d/1Gpl6jkTg7sL4VDNimU"&amp;"m3S9Vi1i95esohXCF3wuKOE8c"", ""'CONSOLIDADO'!G5:AB""), 19, 0), ""-""),
""""
)"),"https://www.amazon.com/Spurtar-Adjustable-68-85-133-35mm-Universal-Generator/dp/B0C4P1SP58?th=1")</f>
        <v>https://www.amazon.com/Spurtar-Adjustable-68-85-133-35mm-Universal-Generator/dp/B0C4P1SP58?th=1</v>
      </c>
      <c r="Z289" s="37" t="str">
        <f>IFERROR(__xludf.DUMMYFUNCTION("IFERROR(VLOOKUP(G289,IMPORTRANGE(""https://docs.google.com/spreadsheets/d/12RxCea4e5ggM7QGn1XE3FbLQa_-QbCNdBi90OdPjRqg"", ""'Plan de Compras'!D4:Q""), 12, 0), ""NO ESTÁ EN REQ"")"),"Simple")</f>
        <v>Simple</v>
      </c>
      <c r="AA289" s="37" t="str">
        <f>IFERROR(__xludf.DUMMYFUNCTION("IFERROR(VLOOKUP(G289,IMPORTRANGE(""https://docs.google.com/spreadsheets/d/12RxCea4e5ggM7QGn1XE3FbLQa_-QbCNdBi90OdPjRqg"", ""'Plan de Compras'!D4:Q""), 13, 0), """")"),"INTERNACIONAL")</f>
        <v>INTERNACIONAL</v>
      </c>
      <c r="AB289" s="32" t="str">
        <f>IFERROR(__xludf.DUMMYFUNCTION("IFERROR(VLOOKUP(G289,IMPORTRANGE(""https://docs.google.com/spreadsheets/d/12RxCea4e5ggM7QGn1XE3FbLQa_-QbCNdBi90OdPjRqg"", ""'Plan de Compras'!D4:Q""), 14, 0), """")"),"GIANFRANCO")</f>
        <v>GIANFRANCO</v>
      </c>
      <c r="AC289" s="72" t="str">
        <f>IFERROR(__xludf.DUMMYFUNCTION("IFERROR(VLOOKUP(G289,IMPORTRANGE(""https://docs.google.com/spreadsheets/d/12RxCea4e5ggM7QGn1XE3FbLQa_-QbCNdBi90OdPjRqg"", ""'Plan de Compras'!D4:Q""), 4, 0), """")"),"JUEGO DE LLAVES PARA FILTROS DE ACEITE")</f>
        <v>JUEGO DE LLAVES PARA FILTROS DE ACEITE</v>
      </c>
      <c r="AD289" s="37" t="str">
        <f>IFERROR(__xludf.DUMMYFUNCTION("IFERROR(IF(OR(C289=TRUE,C289=""""),VLOOKUP(G289,IMPORTRANGE(""https://docs.google.com/spreadsheets/d/1z9A1Wq-kKrhRNG5RS2a2fKpY1wIhSVz2ZNmP2mOl588/edit?usp=sharing"",""REQ VF!E4:H""),4,0),""NO APLICA""),""GENERAR REQ"")"),"GENERAR REQ")</f>
        <v>GENERAR REQ</v>
      </c>
      <c r="AE289" s="32" t="str">
        <f>IFERROR(__xludf.DUMMYFUNCTION("IFERROR(QUERY(IMPORTRANGE(""https://docs.google.com/spreadsheets/d/1z9A1Wq-kKrhRNG5RS2a2fKpY1wIhSVz2ZNmP2mOl588/edit?usp=sharing"",""REQ VF!E4:Q""),""SELECT Col10, Col11, Col12 WHERE Col1 = '""&amp;G289&amp;""'"",0),""NO APLICA"")"),"NO APLICA")</f>
        <v>NO APLICA</v>
      </c>
      <c r="AF289" s="32"/>
      <c r="AG289" s="32"/>
      <c r="AH289" s="13"/>
      <c r="AI289" s="13"/>
    </row>
    <row r="290">
      <c r="A290" s="121"/>
      <c r="B290" s="43" t="b">
        <v>0</v>
      </c>
      <c r="C290" s="26" t="b">
        <v>1</v>
      </c>
      <c r="D290" s="26" t="s">
        <v>42</v>
      </c>
      <c r="E290" s="26" t="s">
        <v>1510</v>
      </c>
      <c r="F290" s="59" t="s">
        <v>2526</v>
      </c>
      <c r="G290" s="63" t="s">
        <v>2529</v>
      </c>
      <c r="H290" s="132" t="s">
        <v>2530</v>
      </c>
      <c r="I290" s="43">
        <v>3.0</v>
      </c>
      <c r="J290" s="26">
        <f>IFERROR(__xludf.DUMMYFUNCTION("VLOOKUP(G290,IMPORTRANGE(""https://docs.google.com/spreadsheets/d/12RxCea4e5ggM7QGn1XE3FbLQa_-QbCNdBi90OdPjRqg/edit?gid=1692403370#gid=1692403370"", ""'Plan de Compras'!D4:2432""), 8,0)"),3.0)</f>
        <v>3</v>
      </c>
      <c r="K290" s="26" t="str">
        <f t="shared" si="31"/>
        <v>SI</v>
      </c>
      <c r="L290" s="29"/>
      <c r="M290" s="61"/>
      <c r="N290" s="32"/>
      <c r="O290" s="32"/>
      <c r="P290" s="32"/>
      <c r="Q290" s="41"/>
      <c r="R290" s="32"/>
      <c r="S290" s="34" t="b">
        <v>1</v>
      </c>
      <c r="T290" s="39" t="s">
        <v>303</v>
      </c>
      <c r="U290" s="39">
        <v>14526.0</v>
      </c>
      <c r="V290" s="39"/>
      <c r="W290" s="39"/>
      <c r="X290" s="39"/>
      <c r="Y290" s="120" t="s">
        <v>2531</v>
      </c>
      <c r="Z290" s="37"/>
      <c r="AA290" s="37"/>
      <c r="AB290" s="32"/>
      <c r="AC290" s="72"/>
      <c r="AD290" s="37" t="str">
        <f>IFERROR(__xludf.DUMMYFUNCTION("IFERROR(IF(OR(C290=TRUE,C290=""""),VLOOKUP(G290,IMPORTRANGE(""https://docs.google.com/spreadsheets/d/1z9A1Wq-kKrhRNG5RS2a2fKpY1wIhSVz2ZNmP2mOl588/edit?usp=sharing"",""REQ VF!E4:H""),4,0),""NO APLICA""),""GENERAR REQ"")"),"GENERAR REQ")</f>
        <v>GENERAR REQ</v>
      </c>
      <c r="AE290" s="32" t="str">
        <f>IFERROR(__xludf.DUMMYFUNCTION("IFERROR(QUERY(IMPORTRANGE(""https://docs.google.com/spreadsheets/d/1z9A1Wq-kKrhRNG5RS2a2fKpY1wIhSVz2ZNmP2mOl588/edit?usp=sharing"",""REQ VF!E4:Q""),""SELECT Col10, Col11, Col12 WHERE Col1 = '""&amp;G290&amp;""'"",0),""NO APLICA"")"),"NO APLICA")</f>
        <v>NO APLICA</v>
      </c>
      <c r="AF290" s="32"/>
      <c r="AG290" s="32"/>
      <c r="AH290" s="13"/>
      <c r="AI290" s="13"/>
    </row>
    <row r="291">
      <c r="A291" s="121">
        <v>189.0</v>
      </c>
      <c r="B291" s="43" t="b">
        <v>1</v>
      </c>
      <c r="C291" s="26" t="b">
        <v>0</v>
      </c>
      <c r="D291" s="26" t="s">
        <v>35</v>
      </c>
      <c r="E291" s="26" t="s">
        <v>1510</v>
      </c>
      <c r="F291" s="59" t="s">
        <v>2532</v>
      </c>
      <c r="G291" s="37" t="s">
        <v>2532</v>
      </c>
      <c r="H291" s="82" t="s">
        <v>2533</v>
      </c>
      <c r="I291" s="43">
        <f>SUMIFS('Hoja 10'!$O:$O,'Hoja 10'!$F:$F,$G291)</f>
        <v>5</v>
      </c>
      <c r="J291" s="26" t="str">
        <f>IFERROR(__xludf.DUMMYFUNCTION("VLOOKUP(G291,IMPORTRANGE(""https://docs.google.com/spreadsheets/d/12RxCea4e5ggM7QGn1XE3FbLQa_-QbCNdBi90OdPjRqg/edit?gid=1692403370#gid=1692403370"", ""'Plan de Compras'!D4:2432""), 8,0)"),"#N/A")</f>
        <v>#N/A</v>
      </c>
      <c r="K291" s="26" t="str">
        <f t="shared" si="31"/>
        <v>-</v>
      </c>
      <c r="L291" s="29" t="s">
        <v>91</v>
      </c>
      <c r="M291" s="30" t="s">
        <v>92</v>
      </c>
      <c r="N291" s="32"/>
      <c r="O291" s="32"/>
      <c r="P291" s="32"/>
      <c r="Q291" s="33" t="s">
        <v>2534</v>
      </c>
      <c r="R291" s="86" t="s">
        <v>2535</v>
      </c>
      <c r="S291" s="44" t="b">
        <v>0</v>
      </c>
      <c r="T291" s="39" t="str">
        <f>IFERROR(__xludf.DUMMYFUNCTION(" IF
( VLOOKUP($G291,IMPORTRANGE(""https://docs.google.com/spreadsheets/d/1Gpl6jkTg7sL4VDNimUm3S9Vi1i95esohXCF3wuKOE8c"", ""'CONSOLIDADO'!G5:AB""), 10, 0) &lt;&gt; 0, 
IFERROR(VLOOKUP($G291,IMPORTRANGE(""https://docs.google.com/spreadsheets/d/1Gpl6jkTg7sL4VDNimU"&amp;"m3S9Vi1i95esohXCF3wuKOE8c"", ""'CONSOLIDADO'!G5:AB""), 17, 0), ""-""),
""""
)"),"BELLOTA
Tramontina")</f>
        <v>BELLOTA
Tramontina</v>
      </c>
      <c r="U291" s="39" t="str">
        <f>IFERROR(__xludf.DUMMYFUNCTION(" IF
( VLOOKUP($G291,IMPORTRANGE(""https://docs.google.com/spreadsheets/d/1Gpl6jkTg7sL4VDNimUm3S9Vi1i95esohXCF3wuKOE8c"", ""'CONSOLIDADO'!G5:AB""), 10, 0) &lt;&gt; 0, 
IFERROR(VLOOKUP($G291,IMPORTRANGE(""https://docs.google.com/spreadsheets/d/1Gpl6jkTg7sL4VDNimU"&amp;"m3S9Vi1i95esohXCF3wuKOE8c"", ""'CONSOLIDADO'!G5:AB""), 18, 0), ""-""),
""""
)"),"Varios")</f>
        <v>Varios</v>
      </c>
      <c r="V291" s="39" t="str">
        <f>IFERROR(__xludf.DUMMYFUNCTION(" IF
( VLOOKUP($G291,IMPORTRANGE(""https://docs.google.com/spreadsheets/d/1Gpl6jkTg7sL4VDNimUm3S9Vi1i95esohXCF3wuKOE8c"", ""'CONSOLIDADO'!G5:AB""), 10, 0) &lt;&gt; 0, 
IFERROR(VLOOKUP($G291,IMPORTRANGE(""https://docs.google.com/spreadsheets/d/1Gpl6jkTg7sL4VDNimU"&amp;"m3S9Vi1i95esohXCF3wuKOE8c"", ""'CONSOLIDADO'!G5:AB""), 17, 0), ""-""),
""""
)"),"BELLOTA
Tramontina")</f>
        <v>BELLOTA
Tramontina</v>
      </c>
      <c r="W291" s="39" t="str">
        <f>IFERROR(__xludf.DUMMYFUNCTION(" IF
( VLOOKUP($G291,IMPORTRANGE(""https://docs.google.com/spreadsheets/d/1Gpl6jkTg7sL4VDNimUm3S9Vi1i95esohXCF3wuKOE8c"", ""'CONSOLIDADO'!G5:AB""), 10, 0) &lt;&gt; 0, 
IFERROR(VLOOKUP($G291,IMPORTRANGE(""https://docs.google.com/spreadsheets/d/1Gpl6jkTg7sL4VDNimU"&amp;"m3S9Vi1i95esohXCF3wuKOE8c"", ""'CONSOLIDADO'!G5:AB""), 18, 0), ""-""),
""""
)"),"Varios")</f>
        <v>Varios</v>
      </c>
      <c r="X291" s="39" t="b">
        <f>IF(AND(T291=V291,W291=U291),TRUE,FALSE)</f>
        <v>1</v>
      </c>
      <c r="Y291" s="120" t="str">
        <f>IFERROR(__xludf.DUMMYFUNCTION(" IF
( VLOOKUP($G291,IMPORTRANGE(""https://docs.google.com/spreadsheets/d/1Gpl6jkTg7sL4VDNimUm3S9Vi1i95esohXCF3wuKOE8c"", ""'CONSOLIDADO'!G5:AB""), 10, 0) &lt;&gt; 0, 
IFERROR(VLOOKUP($G291,IMPORTRANGE(""https://docs.google.com/spreadsheets/d/1Gpl6jkTg7sL4VDNimU"&amp;"m3S9Vi1i95esohXCF3wuKOE8c"", ""'CONSOLIDADO'!G5:AB""), 19, 0), ""-""),
""""
)"),"https://www.amazon.es/Bellota-8011-C-Martillo-mec%C3%A1nica-Madera/dp/B00F2NMTWW/r?th=1
https://www.amazon.es/Bellota-8011-C-Martillo-mec%C3%A1nica-Madera/dp/B00F2NMU9Y/ref%20=sr_1_2?__mk_es_ES=%C3%85M%C3%85%C5%BD%C3%95%C3%91&amp;crid=3R6V1SNA2X%2BWY8&amp;dib=eyJ"&amp;"2IjoiMSJ9.RWFx0s-Y8tnnl6MdnverD4ztvxtrzHIP2m7ujdNtGt09zfW7GwtN69hKO%2BocQ19LCCdDGpUeBQ6nXoShokdhbv-jqf7fbMVFAjUnsm5w53VifV7iSsv_hhMnIw9jyxdWQ6ub%2BUhUczjajodeYpJqP6l23CNz8xL2PqeZDjhhQwN8BhkCUdrqecpa1DglTPy6S4-aG2GEKHXDE4%2BGa_2GX-G5AWRc0cIr8YFjm8SehG3_gxw"&amp;"UzruuhQwYhaQQGUFcBX0-0VZcchxoXtqNo7aVUg%2BE9QJV9JtMJISR-GPFhDs4PzQ.XjOx3Jk1UsguoTF03j-knaRYKQWTy0POaimC0k39oSs&amp;dib_t%2Bag=se&amp;keywords=MARTILLO%2BDE%2BBOLA&amp;qid=1765766275&amp;sprefix=martillo%2Bde%2B%2Bbola%2B%2Caps%2C323&amp;sr=8-2&amp;th=1
https://elecsumsa.com/prod"&amp;"ucto/martillo-de-bola-600gr-basico-mango-madera-cat-no-40410-024/
https://elecsumsa.com/producto/martillo-de-bola-800grs-mango-madera-cat-no-40410-032/
https://www.amazon.es/Bellota-8011-C-Martillo-mec%C3%A1nica-Madera/dp/B00F2NMVAW/ref%20=sr_1_2?__mk_es_"&amp;"ES=%C3%85M%C3%85%C5%BD%C3%95%C3%91&amp;crid=3R6V1SNA2X%2BWY8&amp;dib=eyJ2IjoiMSJ9.RWFx0s-Y8tnnl6MdnverD4ztvxtrzHIP2m7ujdNtGt09zfW7GwtN69hKO%2BocQ19LCCdDGpUeBQ6nXoShokdhbv-jqf7fbMVFAjUnsm5w53VifV7iSsv_hhMnIw9jyxdWQ6ub%2BUhUczjajodeYpJqP6l23CNz8xL2PqeZDjhhQwN8BhkCU"&amp;"drqecpa1DglTPy6S4-aG2GEKHXDE4%2BGa_2GX-G5AWRc0cIr8YFjm8SehG3_gxwUzruuhQwYhaQQGUFcBX0-0VZcchxoXtqNo7aVUg%2BE9QJV9JtMJISR-GPFhDs4PzQ.XjOx3Jk1UsguoTF03j-knaRYKQWTy0POaimC0k39oSs&amp;dib_t%2Bag=se&amp;keywords=MARTILLO%2BDE%2BBOLA&amp;qid=1765766275&amp;sprefix=martillo%2Bde"&amp;"%2B%2Bbola%2B%2Caps%2C323&amp;sr=8-2&amp;th=1")</f>
        <v>https://www.amazon.es/Bellota-8011-C-Martillo-mec%C3%A1nica-Madera/dp/B00F2NMTWW/r?th=1
https://www.amazon.es/Bellota-8011-C-Martillo-mec%C3%A1nica-Madera/dp/B00F2NMU9Y/ref%20=sr_1_2?__mk_es_ES=%C3%85M%C3%85%C5%BD%C3%95%C3%91&amp;crid=3R6V1SNA2X%2BWY8&amp;dib=eyJ2IjoiMSJ9.RWFx0s-Y8tnnl6MdnverD4ztvxtrzHIP2m7ujdNtGt09zfW7GwtN69hKO%2BocQ19LCCdDGpUeBQ6nXoShokdhbv-jqf7fbMVFAjUnsm5w53VifV7iSsv_hhMnIw9jyxdWQ6ub%2BUhUczjajodeYpJqP6l23CNz8xL2PqeZDjhhQwN8BhkCUdrqecpa1DglTPy6S4-aG2GEKHXDE4%2BGa_2GX-G5AWRc0cIr8YFjm8SehG3_gxwUzruuhQwYhaQQGUFcBX0-0VZcchxoXtqNo7aVUg%2BE9QJV9JtMJISR-GPFhDs4PzQ.XjOx3Jk1UsguoTF03j-knaRYKQWTy0POaimC0k39oSs&amp;dib_t%2Bag=se&amp;keywords=MARTILLO%2BDE%2BBOLA&amp;qid=1765766275&amp;sprefix=martillo%2Bde%2B%2Bbola%2B%2Caps%2C323&amp;sr=8-2&amp;th=1
https://elecsumsa.com/producto/martillo-de-bola-600gr-basico-mango-madera-cat-no-40410-024/
https://elecsumsa.com/producto/martillo-de-bola-800grs-mango-madera-cat-no-40410-032/
https://www.amazon.es/Bellota-8011-C-Martillo-mec%C3%A1nica-Madera/dp/B00F2NMVAW/ref%20=sr_1_2?__mk_es_ES=%C3%85M%C3%85%C5%BD%C3%95%C3%91&amp;crid=3R6V1SNA2X%2BWY8&amp;dib=eyJ2IjoiMSJ9.RWFx0s-Y8tnnl6MdnverD4ztvxtrzHIP2m7ujdNtGt09zfW7GwtN69hKO%2BocQ19LCCdDGpUeBQ6nXoShokdhbv-jqf7fbMVFAjUnsm5w53VifV7iSsv_hhMnIw9jyxdWQ6ub%2BUhUczjajodeYpJqP6l23CNz8xL2PqeZDjhhQwN8BhkCUdrqecpa1DglTPy6S4-aG2GEKHXDE4%2BGa_2GX-G5AWRc0cIr8YFjm8SehG3_gxwUzruuhQwYhaQQGUFcBX0-0VZcchxoXtqNo7aVUg%2BE9QJV9JtMJISR-GPFhDs4PzQ.XjOx3Jk1UsguoTF03j-knaRYKQWTy0POaimC0k39oSs&amp;dib_t%2Bag=se&amp;keywords=MARTILLO%2BDE%2BBOLA&amp;qid=1765766275&amp;sprefix=martillo%2Bde%2B%2Bbola%2B%2Caps%2C323&amp;sr=8-2&amp;th=1</v>
      </c>
      <c r="Z291" s="37" t="str">
        <f>IFERROR(__xludf.DUMMYFUNCTION("IFERROR(VLOOKUP(G291,IMPORTRANGE(""https://docs.google.com/spreadsheets/d/12RxCea4e5ggM7QGn1XE3FbLQa_-QbCNdBi90OdPjRqg"", ""'Plan de Compras'!D4:Q""), 12, 0), ""NO ESTÁ EN REQ"")"),"NO ESTÁ EN REQ")</f>
        <v>NO ESTÁ EN REQ</v>
      </c>
      <c r="AA291" s="37" t="str">
        <f>IFERROR(__xludf.DUMMYFUNCTION("IFERROR(VLOOKUP(G291,IMPORTRANGE(""https://docs.google.com/spreadsheets/d/12RxCea4e5ggM7QGn1XE3FbLQa_-QbCNdBi90OdPjRqg"", ""'Plan de Compras'!D4:Q""), 13, 0), """")"),"")</f>
        <v/>
      </c>
      <c r="AB291" s="32" t="str">
        <f>IFERROR(__xludf.DUMMYFUNCTION("IFERROR(VLOOKUP(G291,IMPORTRANGE(""https://docs.google.com/spreadsheets/d/12RxCea4e5ggM7QGn1XE3FbLQa_-QbCNdBi90OdPjRqg"", ""'Plan de Compras'!D4:Q""), 14, 0), """")"),"")</f>
        <v/>
      </c>
      <c r="AC291" s="72" t="str">
        <f>IFERROR(__xludf.DUMMYFUNCTION("IFERROR(VLOOKUP(G291,IMPORTRANGE(""https://docs.google.com/spreadsheets/d/12RxCea4e5ggM7QGn1XE3FbLQa_-QbCNdBi90OdPjRqg"", ""'Plan de Compras'!D4:Q""), 4, 0), """")"),"")</f>
        <v/>
      </c>
      <c r="AD291" s="37" t="str">
        <f>IFERROR(__xludf.DUMMYFUNCTION("IFERROR(IF(OR(C291=TRUE,C291=""""),VLOOKUP(G291,IMPORTRANGE(""https://docs.google.com/spreadsheets/d/1z9A1Wq-kKrhRNG5RS2a2fKpY1wIhSVz2ZNmP2mOl588/edit?usp=sharing"",""REQ VF!E4:H""),4,0),""NO APLICA""),""GENERAR REQ"")"),"NO APLICA")</f>
        <v>NO APLICA</v>
      </c>
      <c r="AE291" s="32" t="str">
        <f>IFERROR(__xludf.DUMMYFUNCTION("IFERROR(QUERY(IMPORTRANGE(""https://docs.google.com/spreadsheets/d/1z9A1Wq-kKrhRNG5RS2a2fKpY1wIhSVz2ZNmP2mOl588/edit?usp=sharing"",""REQ VF!E4:Q""),""SELECT Col10, Col11, Col12 WHERE Col1 = '""&amp;G291&amp;""'"",0),""NO APLICA"")"),"NO APLICA")</f>
        <v>NO APLICA</v>
      </c>
      <c r="AF291" s="32"/>
      <c r="AG291" s="32"/>
      <c r="AH291" s="13"/>
      <c r="AI291" s="13"/>
    </row>
    <row r="292">
      <c r="A292" s="43"/>
      <c r="B292" s="43"/>
      <c r="C292" s="26" t="b">
        <v>1</v>
      </c>
      <c r="D292" s="26" t="s">
        <v>95</v>
      </c>
      <c r="E292" s="26" t="s">
        <v>1510</v>
      </c>
      <c r="F292" s="59" t="s">
        <v>2532</v>
      </c>
      <c r="G292" s="39" t="s">
        <v>2536</v>
      </c>
      <c r="H292" s="66" t="s">
        <v>2537</v>
      </c>
      <c r="I292" s="43">
        <v>5.0</v>
      </c>
      <c r="J292" s="26">
        <f>IFERROR(__xludf.DUMMYFUNCTION("VLOOKUP(G292,IMPORTRANGE(""https://docs.google.com/spreadsheets/d/12RxCea4e5ggM7QGn1XE3FbLQa_-QbCNdBi90OdPjRqg/edit?gid=1692403370#gid=1692403370"", ""'Plan de Compras'!D4:2432""), 8,0)"),5.0)</f>
        <v>5</v>
      </c>
      <c r="K292" s="26" t="str">
        <f t="shared" si="31"/>
        <v>SI</v>
      </c>
      <c r="L292" s="26"/>
      <c r="M292" s="32"/>
      <c r="N292" s="32"/>
      <c r="O292" s="32"/>
      <c r="P292" s="32"/>
      <c r="Q292" s="33" t="s">
        <v>2538</v>
      </c>
      <c r="R292" s="32"/>
      <c r="S292" s="34" t="b">
        <v>1</v>
      </c>
      <c r="T292" s="39" t="s">
        <v>2539</v>
      </c>
      <c r="U292" s="39" t="s">
        <v>2540</v>
      </c>
      <c r="V292" s="39"/>
      <c r="W292" s="39"/>
      <c r="X292" s="39"/>
      <c r="Y292" s="126" t="s">
        <v>2541</v>
      </c>
      <c r="Z292" s="37" t="str">
        <f>IFERROR(__xludf.DUMMYFUNCTION("IFERROR(VLOOKUP(G292,IMPORTRANGE(""https://docs.google.com/spreadsheets/d/12RxCea4e5ggM7QGn1XE3FbLQa_-QbCNdBi90OdPjRqg"", ""'Plan de Compras'!D4:Q""), 12, 0), ""NO ESTÁ EN REQ"")"),"Técnica")</f>
        <v>Técnica</v>
      </c>
      <c r="AA292" s="37" t="str">
        <f>IFERROR(__xludf.DUMMYFUNCTION("IFERROR(VLOOKUP(G292,IMPORTRANGE(""https://docs.google.com/spreadsheets/d/12RxCea4e5ggM7QGn1XE3FbLQa_-QbCNdBi90OdPjRqg"", ""'Plan de Compras'!D4:Q""), 13, 0), """")"),"INTERNACIONAL")</f>
        <v>INTERNACIONAL</v>
      </c>
      <c r="AB292" s="32" t="str">
        <f>IFERROR(__xludf.DUMMYFUNCTION("IFERROR(VLOOKUP(G292,IMPORTRANGE(""https://docs.google.com/spreadsheets/d/12RxCea4e5ggM7QGn1XE3FbLQa_-QbCNdBi90OdPjRqg"", ""'Plan de Compras'!D4:Q""), 14, 0), """")"),"ALEJANDRA")</f>
        <v>ALEJANDRA</v>
      </c>
      <c r="AC292" s="72" t="str">
        <f>IFERROR(__xludf.DUMMYFUNCTION("IFERROR(VLOOKUP(G292,IMPORTRANGE(""https://docs.google.com/spreadsheets/d/12RxCea4e5ggM7QGn1XE3FbLQa_-QbCNdBi90OdPjRqg"", ""'Plan de Compras'!D4:Q""), 4, 0), """")"),"MARTILLO DE BOLA 300 GR (1 UND)")</f>
        <v>MARTILLO DE BOLA 300 GR (1 UND)</v>
      </c>
      <c r="AD292" s="37" t="str">
        <f>IFERROR(__xludf.DUMMYFUNCTION("IFERROR(IF(OR(C292=TRUE,C292=""""),VLOOKUP(G292,IMPORTRANGE(""https://docs.google.com/spreadsheets/d/1z9A1Wq-kKrhRNG5RS2a2fKpY1wIhSVz2ZNmP2mOl588/edit?usp=sharing"",""REQ VF!E4:H""),4,0),""NO APLICA""),""GENERAR REQ"")"),"GENERAR REQ")</f>
        <v>GENERAR REQ</v>
      </c>
      <c r="AE292" s="32" t="str">
        <f>IFERROR(__xludf.DUMMYFUNCTION("IFERROR(QUERY(IMPORTRANGE(""https://docs.google.com/spreadsheets/d/1z9A1Wq-kKrhRNG5RS2a2fKpY1wIhSVz2ZNmP2mOl588/edit?usp=sharing"",""REQ VF!E4:Q""),""SELECT Col10, Col11, Col12 WHERE Col1 = '""&amp;G292&amp;""'"",0),""NO APLICA"")"),"NO APLICA")</f>
        <v>NO APLICA</v>
      </c>
      <c r="AF292" s="32"/>
      <c r="AG292" s="32"/>
      <c r="AH292" s="13"/>
      <c r="AI292" s="13"/>
    </row>
    <row r="293">
      <c r="A293" s="43"/>
      <c r="B293" s="43"/>
      <c r="C293" s="26" t="b">
        <v>1</v>
      </c>
      <c r="D293" s="26" t="s">
        <v>95</v>
      </c>
      <c r="E293" s="26" t="s">
        <v>1510</v>
      </c>
      <c r="F293" s="59" t="s">
        <v>2532</v>
      </c>
      <c r="G293" s="39" t="s">
        <v>2542</v>
      </c>
      <c r="H293" s="66" t="s">
        <v>2543</v>
      </c>
      <c r="I293" s="43">
        <v>5.0</v>
      </c>
      <c r="J293" s="26">
        <f>IFERROR(__xludf.DUMMYFUNCTION("VLOOKUP(G293,IMPORTRANGE(""https://docs.google.com/spreadsheets/d/12RxCea4e5ggM7QGn1XE3FbLQa_-QbCNdBi90OdPjRqg/edit?gid=1692403370#gid=1692403370"", ""'Plan de Compras'!D4:2432""), 8,0)"),5.0)</f>
        <v>5</v>
      </c>
      <c r="K293" s="26" t="str">
        <f t="shared" si="31"/>
        <v>SI</v>
      </c>
      <c r="L293" s="26"/>
      <c r="M293" s="32"/>
      <c r="N293" s="32"/>
      <c r="O293" s="32"/>
      <c r="P293" s="32"/>
      <c r="Q293" s="33" t="s">
        <v>2544</v>
      </c>
      <c r="R293" s="32"/>
      <c r="S293" s="34" t="b">
        <v>1</v>
      </c>
      <c r="T293" s="39" t="s">
        <v>2539</v>
      </c>
      <c r="U293" s="39" t="s">
        <v>2545</v>
      </c>
      <c r="V293" s="39"/>
      <c r="W293" s="39"/>
      <c r="X293" s="39"/>
      <c r="Y293" s="126" t="s">
        <v>2546</v>
      </c>
      <c r="Z293" s="37" t="str">
        <f>IFERROR(__xludf.DUMMYFUNCTION("IFERROR(VLOOKUP(G293,IMPORTRANGE(""https://docs.google.com/spreadsheets/d/12RxCea4e5ggM7QGn1XE3FbLQa_-QbCNdBi90OdPjRqg"", ""'Plan de Compras'!D4:Q""), 12, 0), ""NO ESTÁ EN REQ"")"),"Técnica")</f>
        <v>Técnica</v>
      </c>
      <c r="AA293" s="37" t="str">
        <f>IFERROR(__xludf.DUMMYFUNCTION("IFERROR(VLOOKUP(G293,IMPORTRANGE(""https://docs.google.com/spreadsheets/d/12RxCea4e5ggM7QGn1XE3FbLQa_-QbCNdBi90OdPjRqg"", ""'Plan de Compras'!D4:Q""), 13, 0), """")"),"INTERNACIONAL")</f>
        <v>INTERNACIONAL</v>
      </c>
      <c r="AB293" s="32" t="str">
        <f>IFERROR(__xludf.DUMMYFUNCTION("IFERROR(VLOOKUP(G293,IMPORTRANGE(""https://docs.google.com/spreadsheets/d/12RxCea4e5ggM7QGn1XE3FbLQa_-QbCNdBi90OdPjRqg"", ""'Plan de Compras'!D4:Q""), 14, 0), """")"),"ALEJANDRA")</f>
        <v>ALEJANDRA</v>
      </c>
      <c r="AC293" s="72" t="str">
        <f>IFERROR(__xludf.DUMMYFUNCTION("IFERROR(VLOOKUP(G293,IMPORTRANGE(""https://docs.google.com/spreadsheets/d/12RxCea4e5ggM7QGn1XE3FbLQa_-QbCNdBi90OdPjRqg"", ""'Plan de Compras'!D4:Q""), 4, 0), """")"),"MARTILLO DE BOLA 500 GR (1 UND)")</f>
        <v>MARTILLO DE BOLA 500 GR (1 UND)</v>
      </c>
      <c r="AD293" s="37" t="str">
        <f>IFERROR(__xludf.DUMMYFUNCTION("IFERROR(IF(OR(C293=TRUE,C293=""""),VLOOKUP(G293,IMPORTRANGE(""https://docs.google.com/spreadsheets/d/1z9A1Wq-kKrhRNG5RS2a2fKpY1wIhSVz2ZNmP2mOl588/edit?usp=sharing"",""REQ VF!E4:H""),4,0),""NO APLICA""),""GENERAR REQ"")"),"GENERAR REQ")</f>
        <v>GENERAR REQ</v>
      </c>
      <c r="AE293" s="32" t="str">
        <f>IFERROR(__xludf.DUMMYFUNCTION("IFERROR(QUERY(IMPORTRANGE(""https://docs.google.com/spreadsheets/d/1z9A1Wq-kKrhRNG5RS2a2fKpY1wIhSVz2ZNmP2mOl588/edit?usp=sharing"",""REQ VF!E4:Q""),""SELECT Col10, Col11, Col12 WHERE Col1 = '""&amp;G293&amp;""'"",0),""NO APLICA"")"),"NO APLICA")</f>
        <v>NO APLICA</v>
      </c>
      <c r="AF293" s="32"/>
      <c r="AG293" s="32"/>
      <c r="AH293" s="13"/>
      <c r="AI293" s="13"/>
    </row>
    <row r="294">
      <c r="A294" s="43"/>
      <c r="B294" s="43"/>
      <c r="C294" s="26" t="b">
        <v>1</v>
      </c>
      <c r="D294" s="26" t="s">
        <v>95</v>
      </c>
      <c r="E294" s="26" t="s">
        <v>1510</v>
      </c>
      <c r="F294" s="59" t="s">
        <v>2532</v>
      </c>
      <c r="G294" s="39" t="s">
        <v>2547</v>
      </c>
      <c r="H294" s="66" t="s">
        <v>2548</v>
      </c>
      <c r="I294" s="43">
        <v>5.0</v>
      </c>
      <c r="J294" s="26">
        <f>IFERROR(__xludf.DUMMYFUNCTION("VLOOKUP(G294,IMPORTRANGE(""https://docs.google.com/spreadsheets/d/12RxCea4e5ggM7QGn1XE3FbLQa_-QbCNdBi90OdPjRqg/edit?gid=1692403370#gid=1692403370"", ""'Plan de Compras'!D4:2432""), 8,0)"),5.0)</f>
        <v>5</v>
      </c>
      <c r="K294" s="26" t="str">
        <f t="shared" si="31"/>
        <v>SI</v>
      </c>
      <c r="L294" s="26"/>
      <c r="M294" s="32"/>
      <c r="N294" s="32"/>
      <c r="O294" s="32"/>
      <c r="P294" s="32"/>
      <c r="Q294" s="33" t="s">
        <v>2549</v>
      </c>
      <c r="R294" s="32"/>
      <c r="S294" s="34" t="b">
        <v>1</v>
      </c>
      <c r="T294" s="39" t="s">
        <v>2550</v>
      </c>
      <c r="U294" s="39" t="s">
        <v>2551</v>
      </c>
      <c r="V294" s="39"/>
      <c r="W294" s="39"/>
      <c r="X294" s="39"/>
      <c r="Y294" s="126" t="s">
        <v>2544</v>
      </c>
      <c r="Z294" s="37" t="str">
        <f>IFERROR(__xludf.DUMMYFUNCTION("IFERROR(VLOOKUP(G294,IMPORTRANGE(""https://docs.google.com/spreadsheets/d/12RxCea4e5ggM7QGn1XE3FbLQa_-QbCNdBi90OdPjRqg"", ""'Plan de Compras'!D4:Q""), 12, 0), ""NO ESTÁ EN REQ"")"),"Técnica")</f>
        <v>Técnica</v>
      </c>
      <c r="AA294" s="37" t="str">
        <f>IFERROR(__xludf.DUMMYFUNCTION("IFERROR(VLOOKUP(G294,IMPORTRANGE(""https://docs.google.com/spreadsheets/d/12RxCea4e5ggM7QGn1XE3FbLQa_-QbCNdBi90OdPjRqg"", ""'Plan de Compras'!D4:Q""), 13, 0), """")"),"INTERNACIONAL")</f>
        <v>INTERNACIONAL</v>
      </c>
      <c r="AB294" s="32" t="str">
        <f>IFERROR(__xludf.DUMMYFUNCTION("IFERROR(VLOOKUP(G294,IMPORTRANGE(""https://docs.google.com/spreadsheets/d/12RxCea4e5ggM7QGn1XE3FbLQa_-QbCNdBi90OdPjRqg"", ""'Plan de Compras'!D4:Q""), 14, 0), """")"),"VICTOR")</f>
        <v>VICTOR</v>
      </c>
      <c r="AC294" s="72" t="str">
        <f>IFERROR(__xludf.DUMMYFUNCTION("IFERROR(VLOOKUP(G294,IMPORTRANGE(""https://docs.google.com/spreadsheets/d/12RxCea4e5ggM7QGn1XE3FbLQa_-QbCNdBi90OdPjRqg"", ""'Plan de Compras'!D4:Q""), 4, 0), """")"),"MARTILLO DE BOLA 600 GR (1 UND)")</f>
        <v>MARTILLO DE BOLA 600 GR (1 UND)</v>
      </c>
      <c r="AD294" s="37" t="str">
        <f>IFERROR(__xludf.DUMMYFUNCTION("IFERROR(IF(OR(C294=TRUE,C294=""""),VLOOKUP(G294,IMPORTRANGE(""https://docs.google.com/spreadsheets/d/1z9A1Wq-kKrhRNG5RS2a2fKpY1wIhSVz2ZNmP2mOl588/edit?usp=sharing"",""REQ VF!E4:H""),4,0),""NO APLICA""),""GENERAR REQ"")"),"GENERAR REQ")</f>
        <v>GENERAR REQ</v>
      </c>
      <c r="AE294" s="32" t="str">
        <f>IFERROR(__xludf.DUMMYFUNCTION("IFERROR(QUERY(IMPORTRANGE(""https://docs.google.com/spreadsheets/d/1z9A1Wq-kKrhRNG5RS2a2fKpY1wIhSVz2ZNmP2mOl588/edit?usp=sharing"",""REQ VF!E4:Q""),""SELECT Col10, Col11, Col12 WHERE Col1 = '""&amp;G294&amp;""'"",0),""NO APLICA"")"),"NO APLICA")</f>
        <v>NO APLICA</v>
      </c>
      <c r="AF294" s="32"/>
      <c r="AG294" s="32"/>
      <c r="AH294" s="13"/>
      <c r="AI294" s="13"/>
    </row>
    <row r="295">
      <c r="A295" s="43"/>
      <c r="B295" s="43"/>
      <c r="C295" s="26" t="b">
        <v>1</v>
      </c>
      <c r="D295" s="26" t="s">
        <v>95</v>
      </c>
      <c r="E295" s="26" t="s">
        <v>1510</v>
      </c>
      <c r="F295" s="59" t="s">
        <v>2532</v>
      </c>
      <c r="G295" s="39" t="s">
        <v>2552</v>
      </c>
      <c r="H295" s="66" t="s">
        <v>2553</v>
      </c>
      <c r="I295" s="43">
        <v>5.0</v>
      </c>
      <c r="J295" s="26">
        <f>IFERROR(__xludf.DUMMYFUNCTION("VLOOKUP(G295,IMPORTRANGE(""https://docs.google.com/spreadsheets/d/12RxCea4e5ggM7QGn1XE3FbLQa_-QbCNdBi90OdPjRqg/edit?gid=1692403370#gid=1692403370"", ""'Plan de Compras'!D4:2432""), 8,0)"),5.0)</f>
        <v>5</v>
      </c>
      <c r="K295" s="26" t="str">
        <f t="shared" si="31"/>
        <v>SI</v>
      </c>
      <c r="L295" s="26"/>
      <c r="M295" s="32"/>
      <c r="N295" s="32"/>
      <c r="O295" s="32"/>
      <c r="P295" s="32"/>
      <c r="Q295" s="33" t="s">
        <v>2554</v>
      </c>
      <c r="R295" s="32"/>
      <c r="S295" s="34" t="b">
        <v>1</v>
      </c>
      <c r="T295" s="39" t="s">
        <v>2550</v>
      </c>
      <c r="U295" s="39" t="s">
        <v>2555</v>
      </c>
      <c r="V295" s="39"/>
      <c r="W295" s="39"/>
      <c r="X295" s="39"/>
      <c r="Y295" s="126" t="s">
        <v>2556</v>
      </c>
      <c r="Z295" s="37" t="str">
        <f>IFERROR(__xludf.DUMMYFUNCTION("IFERROR(VLOOKUP(G295,IMPORTRANGE(""https://docs.google.com/spreadsheets/d/12RxCea4e5ggM7QGn1XE3FbLQa_-QbCNdBi90OdPjRqg"", ""'Plan de Compras'!D4:Q""), 12, 0), ""NO ESTÁ EN REQ"")"),"Técnica")</f>
        <v>Técnica</v>
      </c>
      <c r="AA295" s="37" t="str">
        <f>IFERROR(__xludf.DUMMYFUNCTION("IFERROR(VLOOKUP(G295,IMPORTRANGE(""https://docs.google.com/spreadsheets/d/12RxCea4e5ggM7QGn1XE3FbLQa_-QbCNdBi90OdPjRqg"", ""'Plan de Compras'!D4:Q""), 13, 0), """")"),"INTERNACIONAL")</f>
        <v>INTERNACIONAL</v>
      </c>
      <c r="AB295" s="32" t="str">
        <f>IFERROR(__xludf.DUMMYFUNCTION("IFERROR(VLOOKUP(G295,IMPORTRANGE(""https://docs.google.com/spreadsheets/d/12RxCea4e5ggM7QGn1XE3FbLQa_-QbCNdBi90OdPjRqg"", ""'Plan de Compras'!D4:Q""), 14, 0), """")"),"VICTOR")</f>
        <v>VICTOR</v>
      </c>
      <c r="AC295" s="72" t="str">
        <f>IFERROR(__xludf.DUMMYFUNCTION("IFERROR(VLOOKUP(G295,IMPORTRANGE(""https://docs.google.com/spreadsheets/d/12RxCea4e5ggM7QGn1XE3FbLQa_-QbCNdBi90OdPjRqg"", ""'Plan de Compras'!D4:Q""), 4, 0), """")"),"MARTILLO DE BOLA 800 GR (1 UND)")</f>
        <v>MARTILLO DE BOLA 800 GR (1 UND)</v>
      </c>
      <c r="AD295" s="37" t="str">
        <f>IFERROR(__xludf.DUMMYFUNCTION("IFERROR(IF(OR(C295=TRUE,C295=""""),VLOOKUP(G295,IMPORTRANGE(""https://docs.google.com/spreadsheets/d/1z9A1Wq-kKrhRNG5RS2a2fKpY1wIhSVz2ZNmP2mOl588/edit?usp=sharing"",""REQ VF!E4:H""),4,0),""NO APLICA""),""GENERAR REQ"")"),"GENERAR REQ")</f>
        <v>GENERAR REQ</v>
      </c>
      <c r="AE295" s="32" t="str">
        <f>IFERROR(__xludf.DUMMYFUNCTION("IFERROR(QUERY(IMPORTRANGE(""https://docs.google.com/spreadsheets/d/1z9A1Wq-kKrhRNG5RS2a2fKpY1wIhSVz2ZNmP2mOl588/edit?usp=sharing"",""REQ VF!E4:Q""),""SELECT Col10, Col11, Col12 WHERE Col1 = '""&amp;G295&amp;""'"",0),""NO APLICA"")"),"NO APLICA")</f>
        <v>NO APLICA</v>
      </c>
      <c r="AF295" s="32"/>
      <c r="AG295" s="32"/>
      <c r="AH295" s="13"/>
      <c r="AI295" s="13"/>
    </row>
    <row r="296">
      <c r="A296" s="43"/>
      <c r="B296" s="43"/>
      <c r="C296" s="26" t="b">
        <v>1</v>
      </c>
      <c r="D296" s="26" t="s">
        <v>95</v>
      </c>
      <c r="E296" s="26" t="s">
        <v>1510</v>
      </c>
      <c r="F296" s="59" t="s">
        <v>2532</v>
      </c>
      <c r="G296" s="39" t="s">
        <v>2557</v>
      </c>
      <c r="H296" s="66" t="s">
        <v>2558</v>
      </c>
      <c r="I296" s="43">
        <v>5.0</v>
      </c>
      <c r="J296" s="26">
        <f>IFERROR(__xludf.DUMMYFUNCTION("VLOOKUP(G296,IMPORTRANGE(""https://docs.google.com/spreadsheets/d/12RxCea4e5ggM7QGn1XE3FbLQa_-QbCNdBi90OdPjRqg/edit?gid=1692403370#gid=1692403370"", ""'Plan de Compras'!D4:2432""), 8,0)"),5.0)</f>
        <v>5</v>
      </c>
      <c r="K296" s="26" t="str">
        <f t="shared" si="31"/>
        <v>SI</v>
      </c>
      <c r="L296" s="29"/>
      <c r="M296" s="61"/>
      <c r="N296" s="32"/>
      <c r="O296" s="32" t="str">
        <f>VLOOKUP($G296,'Hoja 10'!$F$4:$AA1057, 19,0)</f>
        <v>#N/A</v>
      </c>
      <c r="P296" s="32" t="str">
        <f>VLOOKUP($G296,'Hoja 10'!$F$4:$AA1057, 20,0)</f>
        <v>#N/A</v>
      </c>
      <c r="Q296" s="41" t="str">
        <f>VLOOKUP($G296,'Hoja 10'!$F$4:$AA1057, 21,0)</f>
        <v>#N/A</v>
      </c>
      <c r="R296" s="32"/>
      <c r="S296" s="34" t="b">
        <v>1</v>
      </c>
      <c r="T296" s="39" t="s">
        <v>2539</v>
      </c>
      <c r="U296" s="39" t="s">
        <v>2559</v>
      </c>
      <c r="V296" s="39"/>
      <c r="W296" s="39"/>
      <c r="X296" s="39"/>
      <c r="Y296" s="126" t="s">
        <v>2560</v>
      </c>
      <c r="Z296" s="37" t="str">
        <f>IFERROR(__xludf.DUMMYFUNCTION("IFERROR(VLOOKUP(G296,IMPORTRANGE(""https://docs.google.com/spreadsheets/d/12RxCea4e5ggM7QGn1XE3FbLQa_-QbCNdBi90OdPjRqg"", ""'Plan de Compras'!D4:Q""), 12, 0), ""NO ESTÁ EN REQ"")"),"Técnica")</f>
        <v>Técnica</v>
      </c>
      <c r="AA296" s="37" t="str">
        <f>IFERROR(__xludf.DUMMYFUNCTION("IFERROR(VLOOKUP(G296,IMPORTRANGE(""https://docs.google.com/spreadsheets/d/12RxCea4e5ggM7QGn1XE3FbLQa_-QbCNdBi90OdPjRqg"", ""'Plan de Compras'!D4:Q""), 13, 0), """")"),"INTERNACIONAL")</f>
        <v>INTERNACIONAL</v>
      </c>
      <c r="AB296" s="32" t="str">
        <f>IFERROR(__xludf.DUMMYFUNCTION("IFERROR(VLOOKUP(G296,IMPORTRANGE(""https://docs.google.com/spreadsheets/d/12RxCea4e5ggM7QGn1XE3FbLQa_-QbCNdBi90OdPjRqg"", ""'Plan de Compras'!D4:Q""), 14, 0), """")"),"ALEJANDRA")</f>
        <v>ALEJANDRA</v>
      </c>
      <c r="AC296" s="72" t="str">
        <f>IFERROR(__xludf.DUMMYFUNCTION("IFERROR(VLOOKUP(G296,IMPORTRANGE(""https://docs.google.com/spreadsheets/d/12RxCea4e5ggM7QGn1XE3FbLQa_-QbCNdBi90OdPjRqg"", ""'Plan de Compras'!D4:Q""), 4, 0), """")"),"MARTILLO DE BOLA 1000 GR (1 UND)")</f>
        <v>MARTILLO DE BOLA 1000 GR (1 UND)</v>
      </c>
      <c r="AD296" s="37" t="str">
        <f>IFERROR(__xludf.DUMMYFUNCTION("IFERROR(IF(OR(C296=TRUE,C296=""""),VLOOKUP(G296,IMPORTRANGE(""https://docs.google.com/spreadsheets/d/1z9A1Wq-kKrhRNG5RS2a2fKpY1wIhSVz2ZNmP2mOl588/edit?usp=sharing"",""REQ VF!E4:H""),4,0),""NO APLICA""),""GENERAR REQ"")"),"GENERAR REQ")</f>
        <v>GENERAR REQ</v>
      </c>
      <c r="AE296" s="32" t="str">
        <f>IFERROR(__xludf.DUMMYFUNCTION("IFERROR(QUERY(IMPORTRANGE(""https://docs.google.com/spreadsheets/d/1z9A1Wq-kKrhRNG5RS2a2fKpY1wIhSVz2ZNmP2mOl588/edit?usp=sharing"",""REQ VF!E4:Q""),""SELECT Col10, Col11, Col12 WHERE Col1 = '""&amp;G296&amp;""'"",0),""NO APLICA"")"),"NO APLICA")</f>
        <v>NO APLICA</v>
      </c>
      <c r="AF296" s="32"/>
      <c r="AG296" s="32"/>
      <c r="AH296" s="13"/>
      <c r="AI296" s="13"/>
    </row>
    <row r="297">
      <c r="A297" s="117">
        <v>190.0</v>
      </c>
      <c r="B297" s="43" t="b">
        <v>1</v>
      </c>
      <c r="C297" s="26" t="b">
        <v>1</v>
      </c>
      <c r="D297" s="26" t="s">
        <v>35</v>
      </c>
      <c r="E297" s="26" t="s">
        <v>1510</v>
      </c>
      <c r="F297" s="59" t="s">
        <v>2561</v>
      </c>
      <c r="G297" s="37" t="s">
        <v>2561</v>
      </c>
      <c r="H297" s="82" t="s">
        <v>2562</v>
      </c>
      <c r="I297" s="43">
        <f>SUMIFS('Hoja 10'!$O:$O,'Hoja 10'!$F:$F,$G297)</f>
        <v>4</v>
      </c>
      <c r="J297" s="26">
        <f>IFERROR(__xludf.DUMMYFUNCTION("VLOOKUP(G297,IMPORTRANGE(""https://docs.google.com/spreadsheets/d/12RxCea4e5ggM7QGn1XE3FbLQa_-QbCNdBi90OdPjRqg/edit?gid=1692403370#gid=1692403370"", ""'Plan de Compras'!D4:2432""), 8,0)"),4.0)</f>
        <v>4</v>
      </c>
      <c r="K297" s="26" t="str">
        <f t="shared" si="31"/>
        <v>SI</v>
      </c>
      <c r="L297" s="29" t="s">
        <v>122</v>
      </c>
      <c r="M297" s="30" t="s">
        <v>123</v>
      </c>
      <c r="N297" s="32"/>
      <c r="O297" s="32" t="str">
        <f>VLOOKUP($G297,'Hoja 10'!$F$4:$AA1057, 19,0)</f>
        <v>TRUPER</v>
      </c>
      <c r="P297" s="32" t="str">
        <f>VLOOKUP($G297,'Hoja 10'!$F$4:$AA1057, 20,0)</f>
        <v>JGO-PM-3</v>
      </c>
      <c r="Q297" s="33" t="str">
        <f>VLOOKUP($G297,'Hoja 10'!$F$4:$AA1057, 21,0)</f>
        <v>https://www.corporacionferremax.com/product/juego-de-alicates-pinzas-miniatura-3-piezas-truper</v>
      </c>
      <c r="R297" s="86" t="s">
        <v>2563</v>
      </c>
      <c r="S297" s="44" t="b">
        <v>1</v>
      </c>
      <c r="T297" s="32" t="str">
        <f>VLOOKUP($G297,'Hoja 10'!$F$4:$AA1057, 19,0)</f>
        <v>TRUPER</v>
      </c>
      <c r="U297" s="32" t="str">
        <f>VLOOKUP($G297,'Hoja 10'!$F$4:$AA1057, 20,0)</f>
        <v>JGO-PM-3</v>
      </c>
      <c r="V297" s="39" t="str">
        <f>IFERROR(__xludf.DUMMYFUNCTION(" IF
( VLOOKUP($G297,IMPORTRANGE(""https://docs.google.com/spreadsheets/d/1Gpl6jkTg7sL4VDNimUm3S9Vi1i95esohXCF3wuKOE8c"", ""'CONSOLIDADO'!G5:AB""), 10, 0) &lt;&gt; 0, 
IFERROR(VLOOKUP($G297,IMPORTRANGE(""https://docs.google.com/spreadsheets/d/1Gpl6jkTg7sL4VDNimU"&amp;"m3S9Vi1i95esohXCF3wuKOE8c"", ""'CONSOLIDADO'!G5:AB""), 17, 0), ""-""),
""""
)"),"TRUPER")</f>
        <v>TRUPER</v>
      </c>
      <c r="W297" s="39" t="str">
        <f>IFERROR(__xludf.DUMMYFUNCTION(" IF
( VLOOKUP($G297,IMPORTRANGE(""https://docs.google.com/spreadsheets/d/1Gpl6jkTg7sL4VDNimUm3S9Vi1i95esohXCF3wuKOE8c"", ""'CONSOLIDADO'!G5:AB""), 10, 0) &lt;&gt; 0, 
IFERROR(VLOOKUP($G297,IMPORTRANGE(""https://docs.google.com/spreadsheets/d/1Gpl6jkTg7sL4VDNimU"&amp;"m3S9Vi1i95esohXCF3wuKOE8c"", ""'CONSOLIDADO'!G5:AB""), 18, 0), ""-""),
""""
)"),"JGO-PM-3")</f>
        <v>JGO-PM-3</v>
      </c>
      <c r="X297" s="39" t="b">
        <f t="shared" ref="X297:X298" si="36">IF(AND(T297=V297,W297=U297),TRUE,FALSE)</f>
        <v>1</v>
      </c>
      <c r="Y297" s="129" t="s">
        <v>2296</v>
      </c>
      <c r="Z297" s="37" t="str">
        <f>IFERROR(__xludf.DUMMYFUNCTION("IFERROR(VLOOKUP(G297,IMPORTRANGE(""https://docs.google.com/spreadsheets/d/12RxCea4e5ggM7QGn1XE3FbLQa_-QbCNdBi90OdPjRqg"", ""'Plan de Compras'!D4:Q""), 12, 0), ""NO ESTÁ EN REQ"")"),"Simple")</f>
        <v>Simple</v>
      </c>
      <c r="AA297" s="37" t="str">
        <f>IFERROR(__xludf.DUMMYFUNCTION("IFERROR(VLOOKUP(G297,IMPORTRANGE(""https://docs.google.com/spreadsheets/d/12RxCea4e5ggM7QGn1XE3FbLQa_-QbCNdBi90OdPjRqg"", ""'Plan de Compras'!D4:Q""), 13, 0), """")"),"NACIONAL")</f>
        <v>NACIONAL</v>
      </c>
      <c r="AB297" s="32" t="str">
        <f>IFERROR(__xludf.DUMMYFUNCTION("IFERROR(VLOOKUP(G297,IMPORTRANGE(""https://docs.google.com/spreadsheets/d/12RxCea4e5ggM7QGn1XE3FbLQa_-QbCNdBi90OdPjRqg"", ""'Plan de Compras'!D4:Q""), 14, 0), """")"),"DIANA")</f>
        <v>DIANA</v>
      </c>
      <c r="AC297" s="72" t="str">
        <f>IFERROR(__xludf.DUMMYFUNCTION("IFERROR(VLOOKUP(G297,IMPORTRANGE(""https://docs.google.com/spreadsheets/d/12RxCea4e5ggM7QGn1XE3FbLQa_-QbCNdBi90OdPjRqg"", ""'Plan de Compras'!D4:Q""), 4, 0), """")"),"JUEGO DE MINI ALICATES")</f>
        <v>JUEGO DE MINI ALICATES</v>
      </c>
      <c r="AD297" s="37" t="str">
        <f>IFERROR(__xludf.DUMMYFUNCTION("IFERROR(IF(OR(C297=TRUE,C297=""""),VLOOKUP(G297,IMPORTRANGE(""https://docs.google.com/spreadsheets/d/1z9A1Wq-kKrhRNG5RS2a2fKpY1wIhSVz2ZNmP2mOl588/edit?usp=sharing"",""REQ VF!E4:H""),4,0),""NO APLICA""),""GENERAR REQ"")"),"GENERAR REQ")</f>
        <v>GENERAR REQ</v>
      </c>
      <c r="AE297" s="32" t="str">
        <f>IFERROR(__xludf.DUMMYFUNCTION("IFERROR(QUERY(IMPORTRANGE(""https://docs.google.com/spreadsheets/d/1z9A1Wq-kKrhRNG5RS2a2fKpY1wIhSVz2ZNmP2mOl588/edit?usp=sharing"",""REQ VF!E4:Q""),""SELECT Col10, Col11, Col12 WHERE Col1 = '""&amp;G297&amp;""'"",0),""NO APLICA"")"),"NO APLICA")</f>
        <v>NO APLICA</v>
      </c>
      <c r="AF297" s="32"/>
      <c r="AG297" s="32"/>
      <c r="AH297" s="8" t="s">
        <v>52</v>
      </c>
      <c r="AI297" s="8"/>
    </row>
    <row r="298">
      <c r="A298" s="117">
        <v>191.0</v>
      </c>
      <c r="B298" s="43" t="b">
        <v>1</v>
      </c>
      <c r="C298" s="26" t="b">
        <v>0</v>
      </c>
      <c r="D298" s="26" t="s">
        <v>35</v>
      </c>
      <c r="E298" s="26" t="s">
        <v>1510</v>
      </c>
      <c r="F298" s="59" t="s">
        <v>2564</v>
      </c>
      <c r="G298" s="37" t="s">
        <v>2564</v>
      </c>
      <c r="H298" s="82" t="s">
        <v>2565</v>
      </c>
      <c r="I298" s="43">
        <f>SUMIFS('Hoja 10'!$O:$O,'Hoja 10'!$F:$F,$G298)</f>
        <v>16</v>
      </c>
      <c r="J298" s="26" t="str">
        <f>IFERROR(__xludf.DUMMYFUNCTION("VLOOKUP(G298,IMPORTRANGE(""https://docs.google.com/spreadsheets/d/12RxCea4e5ggM7QGn1XE3FbLQa_-QbCNdBi90OdPjRqg/edit?gid=1692403370#gid=1692403370"", ""'Plan de Compras'!D4:2432""), 8,0)"),"#N/A")</f>
        <v>#N/A</v>
      </c>
      <c r="K298" s="26" t="str">
        <f t="shared" si="31"/>
        <v>-</v>
      </c>
      <c r="L298" s="29" t="s">
        <v>296</v>
      </c>
      <c r="M298" s="30" t="s">
        <v>297</v>
      </c>
      <c r="N298" s="32" t="s">
        <v>2566</v>
      </c>
      <c r="O298" s="32" t="s">
        <v>2567</v>
      </c>
      <c r="P298" s="32"/>
      <c r="Q298" s="33" t="s">
        <v>2568</v>
      </c>
      <c r="R298" s="136" t="s">
        <v>2569</v>
      </c>
      <c r="S298" s="34" t="b">
        <v>1</v>
      </c>
      <c r="T298" s="39" t="str">
        <f>IFERROR(__xludf.DUMMYFUNCTION(" IF
( VLOOKUP($G298,IMPORTRANGE(""https://docs.google.com/spreadsheets/d/1Gpl6jkTg7sL4VDNimUm3S9Vi1i95esohXCF3wuKOE8c"", ""'CONSOLIDADO'!G5:AB""), 10, 0) &lt;&gt; 0, 
IFERROR(VLOOKUP($G298,IMPORTRANGE(""https://docs.google.com/spreadsheets/d/1Gpl6jkTg7sL4VDNimU"&amp;"m3S9Vi1i95esohXCF3wuKOE8c"", ""'CONSOLIDADO'!G5:AB""), 17, 0), ""-""),
""""
)"),"TRUPER")</f>
        <v>TRUPER</v>
      </c>
      <c r="U298" s="39" t="str">
        <f>IFERROR(__xludf.DUMMYFUNCTION(" IF
( VLOOKUP($G298,IMPORTRANGE(""https://docs.google.com/spreadsheets/d/1Gpl6jkTg7sL4VDNimUm3S9Vi1i95esohXCF3wuKOE8c"", ""'CONSOLIDADO'!G5:AB""), 10, 0) &lt;&gt; 0, 
IFERROR(VLOOKUP($G298,IMPORTRANGE(""https://docs.google.com/spreadsheets/d/1Gpl6jkTg7sL4VDNimU"&amp;"m3S9Vi1i95esohXCF3wuKOE8c"", ""'CONSOLIDADO'!G5:AB""), 18, 0), ""-""),
""""
)"),"100142 / 100143 / 100144")</f>
        <v>100142 / 100143 / 100144</v>
      </c>
      <c r="V298" s="39" t="str">
        <f>IFERROR(__xludf.DUMMYFUNCTION(" IF
( VLOOKUP($G298,IMPORTRANGE(""https://docs.google.com/spreadsheets/d/1Gpl6jkTg7sL4VDNimUm3S9Vi1i95esohXCF3wuKOE8c"", ""'CONSOLIDADO'!G5:AB""), 10, 0) &lt;&gt; 0, 
IFERROR(VLOOKUP($G298,IMPORTRANGE(""https://docs.google.com/spreadsheets/d/1Gpl6jkTg7sL4VDNimU"&amp;"m3S9Vi1i95esohXCF3wuKOE8c"", ""'CONSOLIDADO'!G5:AB""), 17, 0), ""-""),
""""
)"),"TRUPER")</f>
        <v>TRUPER</v>
      </c>
      <c r="W298" s="39" t="str">
        <f>IFERROR(__xludf.DUMMYFUNCTION(" IF
( VLOOKUP($G298,IMPORTRANGE(""https://docs.google.com/spreadsheets/d/1Gpl6jkTg7sL4VDNimUm3S9Vi1i95esohXCF3wuKOE8c"", ""'CONSOLIDADO'!G5:AB""), 10, 0) &lt;&gt; 0, 
IFERROR(VLOOKUP($G298,IMPORTRANGE(""https://docs.google.com/spreadsheets/d/1Gpl6jkTg7sL4VDNimU"&amp;"m3S9Vi1i95esohXCF3wuKOE8c"", ""'CONSOLIDADO'!G5:AB""), 18, 0), ""-""),
""""
)"),"100142 / 100143 / 100144")</f>
        <v>100142 / 100143 / 100144</v>
      </c>
      <c r="X298" s="39" t="b">
        <f t="shared" si="36"/>
        <v>1</v>
      </c>
      <c r="Y298" s="120" t="str">
        <f>IFERROR(__xludf.DUMMYFUNCTION(" IF
( VLOOKUP($G298,IMPORTRANGE(""https://docs.google.com/spreadsheets/d/1Gpl6jkTg7sL4VDNimUm3S9Vi1i95esohXCF3wuKOE8c"", ""'CONSOLIDADO'!G5:AB""), 10, 0) &lt;&gt; 0, 
IFERROR(VLOOKUP($G298,IMPORTRANGE(""https://docs.google.com/spreadsheets/d/1Gpl6jkTg7sL4VDNimU"&amp;"m3S9Vi1i95esohXCF3wuKOE8c"", ""'CONSOLIDADO'!G5:AB""), 19, 0), ""-""),
""""
)"),"https://www.truper.com/ficha_tecnica/Prensa-con-ajuste-rapido-uso-rudo.html?code=100142")</f>
        <v>https://www.truper.com/ficha_tecnica/Prensa-con-ajuste-rapido-uso-rudo.html?code=100142</v>
      </c>
      <c r="Z298" s="37" t="str">
        <f>IFERROR(__xludf.DUMMYFUNCTION("IFERROR(VLOOKUP(G298,IMPORTRANGE(""https://docs.google.com/spreadsheets/d/12RxCea4e5ggM7QGn1XE3FbLQa_-QbCNdBi90OdPjRqg"", ""'Plan de Compras'!D4:Q""), 12, 0), ""NO ESTÁ EN REQ"")"),"NO ESTÁ EN REQ")</f>
        <v>NO ESTÁ EN REQ</v>
      </c>
      <c r="AA298" s="37" t="str">
        <f>IFERROR(__xludf.DUMMYFUNCTION("IFERROR(VLOOKUP(G298,IMPORTRANGE(""https://docs.google.com/spreadsheets/d/12RxCea4e5ggM7QGn1XE3FbLQa_-QbCNdBi90OdPjRqg"", ""'Plan de Compras'!D4:Q""), 13, 0), """")"),"")</f>
        <v/>
      </c>
      <c r="AB298" s="32" t="str">
        <f>IFERROR(__xludf.DUMMYFUNCTION("IFERROR(VLOOKUP(G298,IMPORTRANGE(""https://docs.google.com/spreadsheets/d/12RxCea4e5ggM7QGn1XE3FbLQa_-QbCNdBi90OdPjRqg"", ""'Plan de Compras'!D4:Q""), 14, 0), """")"),"")</f>
        <v/>
      </c>
      <c r="AC298" s="72" t="str">
        <f>IFERROR(__xludf.DUMMYFUNCTION("IFERROR(VLOOKUP(G298,IMPORTRANGE(""https://docs.google.com/spreadsheets/d/12RxCea4e5ggM7QGn1XE3FbLQa_-QbCNdBi90OdPjRqg"", ""'Plan de Compras'!D4:Q""), 4, 0), """")"),"")</f>
        <v/>
      </c>
      <c r="AD298" s="37" t="str">
        <f>IFERROR(__xludf.DUMMYFUNCTION("IFERROR(IF(OR(C298=TRUE,C298=""""),VLOOKUP(G298,IMPORTRANGE(""https://docs.google.com/spreadsheets/d/1z9A1Wq-kKrhRNG5RS2a2fKpY1wIhSVz2ZNmP2mOl588/edit?usp=sharing"",""REQ VF!E4:H""),4,0),""NO APLICA""),""GENERAR REQ"")"),"NO APLICA")</f>
        <v>NO APLICA</v>
      </c>
      <c r="AE298" s="32" t="str">
        <f>IFERROR(__xludf.DUMMYFUNCTION("IFERROR(QUERY(IMPORTRANGE(""https://docs.google.com/spreadsheets/d/1z9A1Wq-kKrhRNG5RS2a2fKpY1wIhSVz2ZNmP2mOl588/edit?usp=sharing"",""REQ VF!E4:Q""),""SELECT Col10, Col11, Col12 WHERE Col1 = '""&amp;G298&amp;""'"",0),""NO APLICA"")"),"NO APLICA")</f>
        <v>NO APLICA</v>
      </c>
      <c r="AF298" s="32"/>
      <c r="AG298" s="32"/>
      <c r="AH298" s="13"/>
      <c r="AI298" s="13"/>
    </row>
    <row r="299" ht="18.0" customHeight="1">
      <c r="A299" s="43"/>
      <c r="B299" s="43"/>
      <c r="C299" s="26" t="b">
        <v>1</v>
      </c>
      <c r="D299" s="26" t="s">
        <v>95</v>
      </c>
      <c r="E299" s="26" t="s">
        <v>1510</v>
      </c>
      <c r="F299" s="59" t="s">
        <v>2564</v>
      </c>
      <c r="G299" s="39" t="s">
        <v>2570</v>
      </c>
      <c r="H299" s="66" t="s">
        <v>2571</v>
      </c>
      <c r="I299" s="43">
        <v>16.0</v>
      </c>
      <c r="J299" s="26">
        <f>IFERROR(__xludf.DUMMYFUNCTION("VLOOKUP(G299,IMPORTRANGE(""https://docs.google.com/spreadsheets/d/12RxCea4e5ggM7QGn1XE3FbLQa_-QbCNdBi90OdPjRqg/edit?gid=1692403370#gid=1692403370"", ""'Plan de Compras'!D4:2432""), 8,0)"),16.0)</f>
        <v>16</v>
      </c>
      <c r="K299" s="26" t="str">
        <f t="shared" si="31"/>
        <v>SI</v>
      </c>
      <c r="L299" s="26"/>
      <c r="M299" s="32"/>
      <c r="N299" s="32" t="s">
        <v>2572</v>
      </c>
      <c r="O299" s="32"/>
      <c r="P299" s="32"/>
      <c r="Q299" s="33" t="s">
        <v>2573</v>
      </c>
      <c r="R299" s="32"/>
      <c r="S299" s="44" t="b">
        <v>1</v>
      </c>
      <c r="T299" s="39" t="s">
        <v>303</v>
      </c>
      <c r="U299" s="39" t="s">
        <v>2574</v>
      </c>
      <c r="V299" s="39"/>
      <c r="W299" s="39"/>
      <c r="X299" s="39"/>
      <c r="Y299" s="126" t="s">
        <v>2575</v>
      </c>
      <c r="Z299" s="37" t="str">
        <f>IFERROR(__xludf.DUMMYFUNCTION("IFERROR(VLOOKUP(G299,IMPORTRANGE(""https://docs.google.com/spreadsheets/d/12RxCea4e5ggM7QGn1XE3FbLQa_-QbCNdBi90OdPjRqg"", ""'Plan de Compras'!D4:Q""), 12, 0), ""NO ESTÁ EN REQ"")"),"Simple")</f>
        <v>Simple</v>
      </c>
      <c r="AA299" s="37" t="str">
        <f>IFERROR(__xludf.DUMMYFUNCTION("IFERROR(VLOOKUP(G299,IMPORTRANGE(""https://docs.google.com/spreadsheets/d/12RxCea4e5ggM7QGn1XE3FbLQa_-QbCNdBi90OdPjRqg"", ""'Plan de Compras'!D4:Q""), 13, 0), """")"),"NACIONAL")</f>
        <v>NACIONAL</v>
      </c>
      <c r="AB299" s="32" t="str">
        <f>IFERROR(__xludf.DUMMYFUNCTION("IFERROR(VLOOKUP(G299,IMPORTRANGE(""https://docs.google.com/spreadsheets/d/12RxCea4e5ggM7QGn1XE3FbLQa_-QbCNdBi90OdPjRqg"", ""'Plan de Compras'!D4:Q""), 14, 0), """")"),"JESSICA")</f>
        <v>JESSICA</v>
      </c>
      <c r="AC299" s="72" t="str">
        <f>IFERROR(__xludf.DUMMYFUNCTION("IFERROR(VLOOKUP(G299,IMPORTRANGE(""https://docs.google.com/spreadsheets/d/12RxCea4e5ggM7QGn1XE3FbLQa_-QbCNdBi90OdPjRqg"", ""'Plan de Compras'!D4:Q""), 4, 0), """")"),"PRENSA RAPIDA DE 6 PULG (1 UND)")</f>
        <v>PRENSA RAPIDA DE 6 PULG (1 UND)</v>
      </c>
      <c r="AD299" s="37" t="str">
        <f>IFERROR(__xludf.DUMMYFUNCTION("IFERROR(IF(OR(C299=TRUE,C299=""""),VLOOKUP(G299,IMPORTRANGE(""https://docs.google.com/spreadsheets/d/1z9A1Wq-kKrhRNG5RS2a2fKpY1wIhSVz2ZNmP2mOl588/edit?usp=sharing"",""REQ VF!E4:H""),4,0),""NO APLICA""),""GENERAR REQ"")"),"GENERAR REQ")</f>
        <v>GENERAR REQ</v>
      </c>
      <c r="AE299" s="32" t="str">
        <f>IFERROR(__xludf.DUMMYFUNCTION("IFERROR(QUERY(IMPORTRANGE(""https://docs.google.com/spreadsheets/d/1z9A1Wq-kKrhRNG5RS2a2fKpY1wIhSVz2ZNmP2mOl588/edit?usp=sharing"",""REQ VF!E4:Q""),""SELECT Col10, Col11, Col12 WHERE Col1 = '""&amp;G299&amp;""'"",0),""NO APLICA"")"),"NO APLICA")</f>
        <v>NO APLICA</v>
      </c>
      <c r="AF299" s="32"/>
      <c r="AG299" s="32"/>
      <c r="AH299" s="13"/>
      <c r="AI299" s="13"/>
    </row>
    <row r="300" ht="18.0" customHeight="1">
      <c r="A300" s="43"/>
      <c r="B300" s="43"/>
      <c r="C300" s="26" t="b">
        <v>1</v>
      </c>
      <c r="D300" s="26" t="s">
        <v>95</v>
      </c>
      <c r="E300" s="26" t="s">
        <v>1510</v>
      </c>
      <c r="F300" s="59" t="s">
        <v>2564</v>
      </c>
      <c r="G300" s="39" t="s">
        <v>2576</v>
      </c>
      <c r="H300" s="66" t="s">
        <v>2577</v>
      </c>
      <c r="I300" s="43">
        <v>16.0</v>
      </c>
      <c r="J300" s="26">
        <f>IFERROR(__xludf.DUMMYFUNCTION("VLOOKUP(G300,IMPORTRANGE(""https://docs.google.com/spreadsheets/d/12RxCea4e5ggM7QGn1XE3FbLQa_-QbCNdBi90OdPjRqg/edit?gid=1692403370#gid=1692403370"", ""'Plan de Compras'!D4:2432""), 8,0)"),16.0)</f>
        <v>16</v>
      </c>
      <c r="K300" s="26" t="str">
        <f t="shared" si="31"/>
        <v>SI</v>
      </c>
      <c r="L300" s="26"/>
      <c r="M300" s="32"/>
      <c r="N300" s="32" t="s">
        <v>2578</v>
      </c>
      <c r="O300" s="32"/>
      <c r="P300" s="32"/>
      <c r="Q300" s="33" t="s">
        <v>2579</v>
      </c>
      <c r="R300" s="32"/>
      <c r="S300" s="44" t="b">
        <v>1</v>
      </c>
      <c r="T300" s="39" t="s">
        <v>303</v>
      </c>
      <c r="U300" s="39" t="s">
        <v>2580</v>
      </c>
      <c r="V300" s="39"/>
      <c r="W300" s="39"/>
      <c r="X300" s="39"/>
      <c r="Y300" s="126" t="s">
        <v>2581</v>
      </c>
      <c r="Z300" s="37" t="str">
        <f>IFERROR(__xludf.DUMMYFUNCTION("IFERROR(VLOOKUP(G300,IMPORTRANGE(""https://docs.google.com/spreadsheets/d/12RxCea4e5ggM7QGn1XE3FbLQa_-QbCNdBi90OdPjRqg"", ""'Plan de Compras'!D4:Q""), 12, 0), ""NO ESTÁ EN REQ"")"),"Simple")</f>
        <v>Simple</v>
      </c>
      <c r="AA300" s="37" t="str">
        <f>IFERROR(__xludf.DUMMYFUNCTION("IFERROR(VLOOKUP(G300,IMPORTRANGE(""https://docs.google.com/spreadsheets/d/12RxCea4e5ggM7QGn1XE3FbLQa_-QbCNdBi90OdPjRqg"", ""'Plan de Compras'!D4:Q""), 13, 0), """")"),"NACIONAL")</f>
        <v>NACIONAL</v>
      </c>
      <c r="AB300" s="32" t="str">
        <f>IFERROR(__xludf.DUMMYFUNCTION("IFERROR(VLOOKUP(G300,IMPORTRANGE(""https://docs.google.com/spreadsheets/d/12RxCea4e5ggM7QGn1XE3FbLQa_-QbCNdBi90OdPjRqg"", ""'Plan de Compras'!D4:Q""), 14, 0), """")"),"JESSICA")</f>
        <v>JESSICA</v>
      </c>
      <c r="AC300" s="72" t="str">
        <f>IFERROR(__xludf.DUMMYFUNCTION("IFERROR(VLOOKUP(G300,IMPORTRANGE(""https://docs.google.com/spreadsheets/d/12RxCea4e5ggM7QGn1XE3FbLQa_-QbCNdBi90OdPjRqg"", ""'Plan de Compras'!D4:Q""), 4, 0), """")"),"PRENSA RAPIDA DE 12 PULG (1 UND)")</f>
        <v>PRENSA RAPIDA DE 12 PULG (1 UND)</v>
      </c>
      <c r="AD300" s="37" t="str">
        <f>IFERROR(__xludf.DUMMYFUNCTION("IFERROR(IF(OR(C300=TRUE,C300=""""),VLOOKUP(G300,IMPORTRANGE(""https://docs.google.com/spreadsheets/d/1z9A1Wq-kKrhRNG5RS2a2fKpY1wIhSVz2ZNmP2mOl588/edit?usp=sharing"",""REQ VF!E4:H""),4,0),""NO APLICA""),""GENERAR REQ"")"),"GENERAR REQ")</f>
        <v>GENERAR REQ</v>
      </c>
      <c r="AE300" s="32" t="str">
        <f>IFERROR(__xludf.DUMMYFUNCTION("IFERROR(QUERY(IMPORTRANGE(""https://docs.google.com/spreadsheets/d/1z9A1Wq-kKrhRNG5RS2a2fKpY1wIhSVz2ZNmP2mOl588/edit?usp=sharing"",""REQ VF!E4:Q""),""SELECT Col10, Col11, Col12 WHERE Col1 = '""&amp;G300&amp;""'"",0),""NO APLICA"")"),"NO APLICA")</f>
        <v>NO APLICA</v>
      </c>
      <c r="AF300" s="32"/>
      <c r="AG300" s="32"/>
      <c r="AH300" s="13"/>
      <c r="AI300" s="13"/>
    </row>
    <row r="301" ht="18.0" customHeight="1">
      <c r="A301" s="43"/>
      <c r="B301" s="43"/>
      <c r="C301" s="26" t="b">
        <v>1</v>
      </c>
      <c r="D301" s="26" t="s">
        <v>95</v>
      </c>
      <c r="E301" s="26" t="s">
        <v>1510</v>
      </c>
      <c r="F301" s="59" t="s">
        <v>2564</v>
      </c>
      <c r="G301" s="39" t="s">
        <v>2582</v>
      </c>
      <c r="H301" s="66" t="s">
        <v>2583</v>
      </c>
      <c r="I301" s="43">
        <v>16.0</v>
      </c>
      <c r="J301" s="26">
        <f>IFERROR(__xludf.DUMMYFUNCTION("VLOOKUP(G301,IMPORTRANGE(""https://docs.google.com/spreadsheets/d/12RxCea4e5ggM7QGn1XE3FbLQa_-QbCNdBi90OdPjRqg/edit?gid=1692403370#gid=1692403370"", ""'Plan de Compras'!D4:2432""), 8,0)"),16.0)</f>
        <v>16</v>
      </c>
      <c r="K301" s="26" t="str">
        <f t="shared" si="31"/>
        <v>SI</v>
      </c>
      <c r="L301" s="29"/>
      <c r="M301" s="61"/>
      <c r="N301" s="32"/>
      <c r="O301" s="32" t="str">
        <f>VLOOKUP($G301,'Hoja 10'!$F$4:$AA1057, 19,0)</f>
        <v>#N/A</v>
      </c>
      <c r="P301" s="32" t="str">
        <f>VLOOKUP($G301,'Hoja 10'!$F$4:$AA1057, 20,0)</f>
        <v>#N/A</v>
      </c>
      <c r="Q301" s="41" t="str">
        <f>VLOOKUP($G301,'Hoja 10'!$F$4:$AA1057, 21,0)</f>
        <v>#N/A</v>
      </c>
      <c r="R301" s="32"/>
      <c r="S301" s="44" t="b">
        <v>1</v>
      </c>
      <c r="T301" s="39" t="s">
        <v>303</v>
      </c>
      <c r="U301" s="39" t="s">
        <v>2584</v>
      </c>
      <c r="V301" s="39"/>
      <c r="W301" s="39"/>
      <c r="X301" s="39"/>
      <c r="Y301" s="126" t="s">
        <v>2585</v>
      </c>
      <c r="Z301" s="37" t="str">
        <f>IFERROR(__xludf.DUMMYFUNCTION("IFERROR(VLOOKUP(G301,IMPORTRANGE(""https://docs.google.com/spreadsheets/d/12RxCea4e5ggM7QGn1XE3FbLQa_-QbCNdBi90OdPjRqg"", ""'Plan de Compras'!D4:Q""), 12, 0), ""NO ESTÁ EN REQ"")"),"Simple")</f>
        <v>Simple</v>
      </c>
      <c r="AA301" s="37" t="str">
        <f>IFERROR(__xludf.DUMMYFUNCTION("IFERROR(VLOOKUP(G301,IMPORTRANGE(""https://docs.google.com/spreadsheets/d/12RxCea4e5ggM7QGn1XE3FbLQa_-QbCNdBi90OdPjRqg"", ""'Plan de Compras'!D4:Q""), 13, 0), """")"),"NACIONAL")</f>
        <v>NACIONAL</v>
      </c>
      <c r="AB301" s="32" t="str">
        <f>IFERROR(__xludf.DUMMYFUNCTION("IFERROR(VLOOKUP(G301,IMPORTRANGE(""https://docs.google.com/spreadsheets/d/12RxCea4e5ggM7QGn1XE3FbLQa_-QbCNdBi90OdPjRqg"", ""'Plan de Compras'!D4:Q""), 14, 0), """")"),"JESSICA")</f>
        <v>JESSICA</v>
      </c>
      <c r="AC301" s="72" t="str">
        <f>IFERROR(__xludf.DUMMYFUNCTION("IFERROR(VLOOKUP(G301,IMPORTRANGE(""https://docs.google.com/spreadsheets/d/12RxCea4e5ggM7QGn1XE3FbLQa_-QbCNdBi90OdPjRqg"", ""'Plan de Compras'!D4:Q""), 4, 0), """")"),"PRENSA RAPIDA DE 24 PULG (1 UND)")</f>
        <v>PRENSA RAPIDA DE 24 PULG (1 UND)</v>
      </c>
      <c r="AD301" s="37" t="str">
        <f>IFERROR(__xludf.DUMMYFUNCTION("IFERROR(IF(OR(C301=TRUE,C301=""""),VLOOKUP(G301,IMPORTRANGE(""https://docs.google.com/spreadsheets/d/1z9A1Wq-kKrhRNG5RS2a2fKpY1wIhSVz2ZNmP2mOl588/edit?usp=sharing"",""REQ VF!E4:H""),4,0),""NO APLICA""),""GENERAR REQ"")"),"GENERAR REQ")</f>
        <v>GENERAR REQ</v>
      </c>
      <c r="AE301" s="32" t="str">
        <f>IFERROR(__xludf.DUMMYFUNCTION("IFERROR(QUERY(IMPORTRANGE(""https://docs.google.com/spreadsheets/d/1z9A1Wq-kKrhRNG5RS2a2fKpY1wIhSVz2ZNmP2mOl588/edit?usp=sharing"",""REQ VF!E4:Q""),""SELECT Col10, Col11, Col12 WHERE Col1 = '""&amp;G301&amp;""'"",0),""NO APLICA"")"),"NO APLICA")</f>
        <v>NO APLICA</v>
      </c>
      <c r="AF301" s="32"/>
      <c r="AG301" s="32"/>
      <c r="AH301" s="13"/>
      <c r="AI301" s="13"/>
    </row>
    <row r="302" ht="18.0" customHeight="1">
      <c r="A302" s="121">
        <v>192.0</v>
      </c>
      <c r="B302" s="43" t="b">
        <v>1</v>
      </c>
      <c r="C302" s="26" t="b">
        <v>0</v>
      </c>
      <c r="D302" s="26" t="s">
        <v>35</v>
      </c>
      <c r="E302" s="26" t="s">
        <v>1510</v>
      </c>
      <c r="F302" s="59" t="s">
        <v>2586</v>
      </c>
      <c r="G302" s="37" t="s">
        <v>2586</v>
      </c>
      <c r="H302" s="82" t="s">
        <v>2587</v>
      </c>
      <c r="I302" s="43">
        <f>SUMIFS('Hoja 10'!$O:$O,'Hoja 10'!$F:$F,$G302)</f>
        <v>3</v>
      </c>
      <c r="J302" s="26" t="str">
        <f>IFERROR(__xludf.DUMMYFUNCTION("VLOOKUP(G302,IMPORTRANGE(""https://docs.google.com/spreadsheets/d/12RxCea4e5ggM7QGn1XE3FbLQa_-QbCNdBi90OdPjRqg/edit?gid=1692403370#gid=1692403370"", ""'Plan de Compras'!D4:2432""), 8,0)"),"#N/A")</f>
        <v>#N/A</v>
      </c>
      <c r="K302" s="26" t="str">
        <f t="shared" si="31"/>
        <v>-</v>
      </c>
      <c r="L302" s="29" t="s">
        <v>127</v>
      </c>
      <c r="M302" s="30" t="s">
        <v>105</v>
      </c>
      <c r="N302" s="32" t="s">
        <v>2588</v>
      </c>
      <c r="O302" s="32" t="s">
        <v>1181</v>
      </c>
      <c r="P302" s="32"/>
      <c r="Q302" s="33" t="s">
        <v>2589</v>
      </c>
      <c r="R302" s="86" t="s">
        <v>2590</v>
      </c>
      <c r="S302" s="44" t="b">
        <v>0</v>
      </c>
      <c r="V302" s="39" t="str">
        <f>IFERROR(__xludf.DUMMYFUNCTION(" IF
( VLOOKUP($G302,IMPORTRANGE(""https://docs.google.com/spreadsheets/d/1Gpl6jkTg7sL4VDNimUm3S9Vi1i95esohXCF3wuKOE8c"", ""'CONSOLIDADO'!G5:AB""), 10, 0) &lt;&gt; 0, 
IFERROR(VLOOKUP($G302,IMPORTRANGE(""https://docs.google.com/spreadsheets/d/1Gpl6jkTg7sL4VDNimU"&amp;"m3S9Vi1i95esohXCF3wuKOE8c"", ""'CONSOLIDADO'!G5:AB""), 17, 0), ""-""),
""""
)"),"TRUPER")</f>
        <v>TRUPER</v>
      </c>
      <c r="W302" s="39" t="str">
        <f>IFERROR(__xludf.DUMMYFUNCTION(" IF
( VLOOKUP($G302,IMPORTRANGE(""https://docs.google.com/spreadsheets/d/1Gpl6jkTg7sL4VDNimUm3S9Vi1i95esohXCF3wuKOE8c"", ""'CONSOLIDADO'!G5:AB""), 10, 0) &lt;&gt; 0, 
IFERROR(VLOOKUP($G302,IMPORTRANGE(""https://docs.google.com/spreadsheets/d/1Gpl6jkTg7sL4VDNimU"&amp;"m3S9Vi1i95esohXCF3wuKOE8c"", ""'CONSOLIDADO'!G5:AB""), 18, 0), ""-""),
""""
)"),"11443 / 12443")</f>
        <v>11443 / 12443</v>
      </c>
      <c r="X302" s="39" t="b">
        <f>IF(AND(T302=V302,W302=U302),TRUE,FALSE)</f>
        <v>0</v>
      </c>
      <c r="Z302" s="37" t="str">
        <f>IFERROR(__xludf.DUMMYFUNCTION("IFERROR(VLOOKUP(G302,IMPORTRANGE(""https://docs.google.com/spreadsheets/d/12RxCea4e5ggM7QGn1XE3FbLQa_-QbCNdBi90OdPjRqg"", ""'Plan de Compras'!D4:Q""), 12, 0), ""NO ESTÁ EN REQ"")"),"NO ESTÁ EN REQ")</f>
        <v>NO ESTÁ EN REQ</v>
      </c>
      <c r="AA302" s="37" t="str">
        <f>IFERROR(__xludf.DUMMYFUNCTION("IFERROR(VLOOKUP(G302,IMPORTRANGE(""https://docs.google.com/spreadsheets/d/12RxCea4e5ggM7QGn1XE3FbLQa_-QbCNdBi90OdPjRqg"", ""'Plan de Compras'!D4:Q""), 13, 0), """")"),"")</f>
        <v/>
      </c>
      <c r="AB302" s="32" t="str">
        <f>IFERROR(__xludf.DUMMYFUNCTION("IFERROR(VLOOKUP(G302,IMPORTRANGE(""https://docs.google.com/spreadsheets/d/12RxCea4e5ggM7QGn1XE3FbLQa_-QbCNdBi90OdPjRqg"", ""'Plan de Compras'!D4:Q""), 14, 0), """")"),"")</f>
        <v/>
      </c>
      <c r="AC302" s="72" t="str">
        <f>IFERROR(__xludf.DUMMYFUNCTION("IFERROR(VLOOKUP(G302,IMPORTRANGE(""https://docs.google.com/spreadsheets/d/12RxCea4e5ggM7QGn1XE3FbLQa_-QbCNdBi90OdPjRqg"", ""'Plan de Compras'!D4:Q""), 4, 0), """")"),"")</f>
        <v/>
      </c>
      <c r="AD302" s="37" t="str">
        <f>IFERROR(__xludf.DUMMYFUNCTION("IFERROR(IF(OR(C302=TRUE,C302=""""),VLOOKUP(G302,IMPORTRANGE(""https://docs.google.com/spreadsheets/d/1z9A1Wq-kKrhRNG5RS2a2fKpY1wIhSVz2ZNmP2mOl588/edit?usp=sharing"",""REQ VF!E4:H""),4,0),""NO APLICA""),""GENERAR REQ"")"),"NO APLICA")</f>
        <v>NO APLICA</v>
      </c>
      <c r="AE302" s="32" t="str">
        <f>IFERROR(__xludf.DUMMYFUNCTION("IFERROR(QUERY(IMPORTRANGE(""https://docs.google.com/spreadsheets/d/1z9A1Wq-kKrhRNG5RS2a2fKpY1wIhSVz2ZNmP2mOl588/edit?usp=sharing"",""REQ VF!E4:Q""),""SELECT Col10, Col11, Col12 WHERE Col1 = '""&amp;G302&amp;""'"",0),""NO APLICA"")"),"NO APLICA")</f>
        <v>NO APLICA</v>
      </c>
      <c r="AF302" s="32"/>
      <c r="AG302" s="32"/>
      <c r="AH302" s="13"/>
      <c r="AI302" s="13"/>
    </row>
    <row r="303">
      <c r="A303" s="43"/>
      <c r="B303" s="43"/>
      <c r="C303" s="26" t="b">
        <v>1</v>
      </c>
      <c r="D303" s="26" t="s">
        <v>95</v>
      </c>
      <c r="E303" s="26" t="s">
        <v>1510</v>
      </c>
      <c r="F303" s="59" t="s">
        <v>2586</v>
      </c>
      <c r="G303" s="39" t="s">
        <v>2591</v>
      </c>
      <c r="H303" s="66" t="s">
        <v>2592</v>
      </c>
      <c r="I303" s="43">
        <v>3.0</v>
      </c>
      <c r="J303" s="26">
        <f>IFERROR(__xludf.DUMMYFUNCTION("VLOOKUP(G303,IMPORTRANGE(""https://docs.google.com/spreadsheets/d/12RxCea4e5ggM7QGn1XE3FbLQa_-QbCNdBi90OdPjRqg/edit?gid=1692403370#gid=1692403370"", ""'Plan de Compras'!D4:2432""), 8,0)"),3.0)</f>
        <v>3</v>
      </c>
      <c r="K303" s="26" t="str">
        <f t="shared" si="31"/>
        <v>SI</v>
      </c>
      <c r="L303" s="26"/>
      <c r="M303" s="134"/>
      <c r="N303" s="32" t="s">
        <v>2593</v>
      </c>
      <c r="O303" s="32" t="s">
        <v>1181</v>
      </c>
      <c r="P303" s="32"/>
      <c r="Q303" s="33" t="s">
        <v>2594</v>
      </c>
      <c r="R303" s="32"/>
      <c r="S303" s="34" t="b">
        <v>1</v>
      </c>
      <c r="T303" s="39" t="s">
        <v>303</v>
      </c>
      <c r="U303" s="39">
        <v>11443.0</v>
      </c>
      <c r="V303" s="39"/>
      <c r="W303" s="39"/>
      <c r="X303" s="39"/>
      <c r="Y303" s="125" t="s">
        <v>2589</v>
      </c>
      <c r="Z303" s="37" t="str">
        <f>IFERROR(__xludf.DUMMYFUNCTION("IFERROR(VLOOKUP(G303,IMPORTRANGE(""https://docs.google.com/spreadsheets/d/12RxCea4e5ggM7QGn1XE3FbLQa_-QbCNdBi90OdPjRqg"", ""'Plan de Compras'!D4:Q""), 12, 0), ""NO ESTÁ EN REQ"")"),"Simple")</f>
        <v>Simple</v>
      </c>
      <c r="AA303" s="37" t="str">
        <f>IFERROR(__xludf.DUMMYFUNCTION("IFERROR(VLOOKUP(G303,IMPORTRANGE(""https://docs.google.com/spreadsheets/d/12RxCea4e5ggM7QGn1XE3FbLQa_-QbCNdBi90OdPjRqg"", ""'Plan de Compras'!D4:Q""), 13, 0), """")"),"NACIONAL")</f>
        <v>NACIONAL</v>
      </c>
      <c r="AB303" s="32" t="str">
        <f>IFERROR(__xludf.DUMMYFUNCTION("IFERROR(VLOOKUP(G303,IMPORTRANGE(""https://docs.google.com/spreadsheets/d/12RxCea4e5ggM7QGn1XE3FbLQa_-QbCNdBi90OdPjRqg"", ""'Plan de Compras'!D4:Q""), 14, 0), """")"),"GEANFRANCO")</f>
        <v>GEANFRANCO</v>
      </c>
      <c r="AC303" s="72" t="str">
        <f>IFERROR(__xludf.DUMMYFUNCTION("IFERROR(VLOOKUP(G303,IMPORTRANGE(""https://docs.google.com/spreadsheets/d/12RxCea4e5ggM7QGn1XE3FbLQa_-QbCNdBi90OdPjRqg"", ""'Plan de Compras'!D4:Q""), 4, 0), """")"),"JUEGO DE 2 PORTATERRAJAS (FILERAS), 1 GIRAMACHOS, 27 MACHOS Y 27 TERRAJAS (FILERAS).  (1 UND)")</f>
        <v>JUEGO DE 2 PORTATERRAJAS (FILERAS), 1 GIRAMACHOS, 27 MACHOS Y 27 TERRAJAS (FILERAS).  (1 UND)</v>
      </c>
      <c r="AD303" s="37" t="str">
        <f>IFERROR(__xludf.DUMMYFUNCTION("IFERROR(IF(OR(C303=TRUE,C303=""""),VLOOKUP(G303,IMPORTRANGE(""https://docs.google.com/spreadsheets/d/1z9A1Wq-kKrhRNG5RS2a2fKpY1wIhSVz2ZNmP2mOl588/edit?usp=sharing"",""REQ VF!E4:H""),4,0),""NO APLICA""),""GENERAR REQ"")"),"GENERAR REQ")</f>
        <v>GENERAR REQ</v>
      </c>
      <c r="AE303" s="32" t="str">
        <f>IFERROR(__xludf.DUMMYFUNCTION("IFERROR(QUERY(IMPORTRANGE(""https://docs.google.com/spreadsheets/d/1z9A1Wq-kKrhRNG5RS2a2fKpY1wIhSVz2ZNmP2mOl588/edit?usp=sharing"",""REQ VF!E4:Q""),""SELECT Col10, Col11, Col12 WHERE Col1 = '""&amp;G303&amp;""'"",0),""NO APLICA"")"),"NO APLICA")</f>
        <v>NO APLICA</v>
      </c>
      <c r="AF303" s="32"/>
      <c r="AG303" s="32"/>
      <c r="AH303" s="13"/>
      <c r="AI303" s="13"/>
    </row>
    <row r="304">
      <c r="A304" s="43"/>
      <c r="B304" s="43"/>
      <c r="C304" s="26" t="b">
        <v>1</v>
      </c>
      <c r="D304" s="26" t="s">
        <v>95</v>
      </c>
      <c r="E304" s="26" t="s">
        <v>1510</v>
      </c>
      <c r="F304" s="59" t="s">
        <v>2586</v>
      </c>
      <c r="G304" s="39" t="s">
        <v>2595</v>
      </c>
      <c r="H304" s="66" t="s">
        <v>2596</v>
      </c>
      <c r="I304" s="43">
        <v>3.0</v>
      </c>
      <c r="J304" s="26">
        <f>IFERROR(__xludf.DUMMYFUNCTION("VLOOKUP(G304,IMPORTRANGE(""https://docs.google.com/spreadsheets/d/12RxCea4e5ggM7QGn1XE3FbLQa_-QbCNdBi90OdPjRqg/edit?gid=1692403370#gid=1692403370"", ""'Plan de Compras'!D4:2432""), 8,0)"),3.0)</f>
        <v>3</v>
      </c>
      <c r="K304" s="26" t="str">
        <f t="shared" si="31"/>
        <v>SI</v>
      </c>
      <c r="L304" s="29"/>
      <c r="M304" s="61"/>
      <c r="N304" s="32"/>
      <c r="O304" s="32" t="str">
        <f>VLOOKUP($G304,'Hoja 10'!$F$4:$AA1057, 19,0)</f>
        <v>#N/A</v>
      </c>
      <c r="P304" s="32" t="str">
        <f>VLOOKUP($G304,'Hoja 10'!$F$4:$AA1057, 20,0)</f>
        <v>#N/A</v>
      </c>
      <c r="Q304" s="41" t="str">
        <f>VLOOKUP($G304,'Hoja 10'!$F$4:$AA1057, 21,0)</f>
        <v>#N/A</v>
      </c>
      <c r="R304" s="32"/>
      <c r="S304" s="34" t="b">
        <v>1</v>
      </c>
      <c r="T304" s="63" t="s">
        <v>303</v>
      </c>
      <c r="U304" s="63">
        <v>11442.0</v>
      </c>
      <c r="V304" s="63"/>
      <c r="W304" s="63"/>
      <c r="X304" s="63"/>
      <c r="Y304" s="125" t="s">
        <v>2594</v>
      </c>
      <c r="Z304" s="37" t="str">
        <f>IFERROR(__xludf.DUMMYFUNCTION("IFERROR(VLOOKUP(G304,IMPORTRANGE(""https://docs.google.com/spreadsheets/d/12RxCea4e5ggM7QGn1XE3FbLQa_-QbCNdBi90OdPjRqg"", ""'Plan de Compras'!D4:Q""), 12, 0), ""NO ESTÁ EN REQ"")"),"Simple")</f>
        <v>Simple</v>
      </c>
      <c r="AA304" s="37" t="str">
        <f>IFERROR(__xludf.DUMMYFUNCTION("IFERROR(VLOOKUP(G304,IMPORTRANGE(""https://docs.google.com/spreadsheets/d/12RxCea4e5ggM7QGn1XE3FbLQa_-QbCNdBi90OdPjRqg"", ""'Plan de Compras'!D4:Q""), 13, 0), """")"),"NACIONAL")</f>
        <v>NACIONAL</v>
      </c>
      <c r="AB304" s="32" t="str">
        <f>IFERROR(__xludf.DUMMYFUNCTION("IFERROR(VLOOKUP(G304,IMPORTRANGE(""https://docs.google.com/spreadsheets/d/12RxCea4e5ggM7QGn1XE3FbLQa_-QbCNdBi90OdPjRqg"", ""'Plan de Compras'!D4:Q""), 14, 0), """")"),"GEANFRANCO")</f>
        <v>GEANFRANCO</v>
      </c>
      <c r="AC304" s="72" t="str">
        <f>IFERROR(__xludf.DUMMYFUNCTION("IFERROR(VLOOKUP(G304,IMPORTRANGE(""https://docs.google.com/spreadsheets/d/12RxCea4e5ggM7QGn1XE3FbLQa_-QbCNdBi90OdPjRqg"", ""'Plan de Compras'!D4:Q""), 4, 0), """")"),"JUEGO COMPUESTO POR 2 PORTATERRAJAS (FILERAS), 3 GIRAMACHOS, 33 MACHOS Y 33 TERRAJAS (FILERAS)  (1 UND)")</f>
        <v>JUEGO COMPUESTO POR 2 PORTATERRAJAS (FILERAS), 3 GIRAMACHOS, 33 MACHOS Y 33 TERRAJAS (FILERAS)  (1 UND)</v>
      </c>
      <c r="AD304" s="37" t="str">
        <f>IFERROR(__xludf.DUMMYFUNCTION("IFERROR(IF(OR(C304=TRUE,C304=""""),VLOOKUP(G304,IMPORTRANGE(""https://docs.google.com/spreadsheets/d/1z9A1Wq-kKrhRNG5RS2a2fKpY1wIhSVz2ZNmP2mOl588/edit?usp=sharing"",""REQ VF!E4:H""),4,0),""NO APLICA""),""GENERAR REQ"")"),"GENERAR REQ")</f>
        <v>GENERAR REQ</v>
      </c>
      <c r="AE304" s="32" t="str">
        <f>IFERROR(__xludf.DUMMYFUNCTION("IFERROR(QUERY(IMPORTRANGE(""https://docs.google.com/spreadsheets/d/1z9A1Wq-kKrhRNG5RS2a2fKpY1wIhSVz2ZNmP2mOl588/edit?usp=sharing"",""REQ VF!E4:Q""),""SELECT Col10, Col11, Col12 WHERE Col1 = '""&amp;G304&amp;""'"",0),""NO APLICA"")"),"NO APLICA")</f>
        <v>NO APLICA</v>
      </c>
      <c r="AF304" s="32"/>
      <c r="AG304" s="32"/>
      <c r="AH304" s="13"/>
      <c r="AI304" s="13"/>
    </row>
    <row r="305">
      <c r="A305" s="121">
        <v>193.0</v>
      </c>
      <c r="B305" s="43" t="b">
        <v>1</v>
      </c>
      <c r="C305" s="26" t="b">
        <v>1</v>
      </c>
      <c r="D305" s="26" t="s">
        <v>35</v>
      </c>
      <c r="E305" s="26" t="s">
        <v>1510</v>
      </c>
      <c r="F305" s="59" t="s">
        <v>2597</v>
      </c>
      <c r="G305" s="37" t="s">
        <v>2598</v>
      </c>
      <c r="H305" s="82" t="s">
        <v>2599</v>
      </c>
      <c r="I305" s="43">
        <f>SUMIFS('Hoja 10'!$O:$O,'Hoja 10'!$F:$F,$G305)</f>
        <v>4</v>
      </c>
      <c r="J305" s="26">
        <f>IFERROR(__xludf.DUMMYFUNCTION("VLOOKUP(G305,IMPORTRANGE(""https://docs.google.com/spreadsheets/d/12RxCea4e5ggM7QGn1XE3FbLQa_-QbCNdBi90OdPjRqg/edit?gid=1692403370#gid=1692403370"", ""'Plan de Compras'!D4:2432""), 8,0)"),4.0)</f>
        <v>4</v>
      </c>
      <c r="K305" s="26" t="str">
        <f t="shared" si="31"/>
        <v>SI</v>
      </c>
      <c r="L305" s="29" t="s">
        <v>122</v>
      </c>
      <c r="M305" s="30" t="s">
        <v>123</v>
      </c>
      <c r="N305" s="32"/>
      <c r="O305" s="32" t="str">
        <f>VLOOKUP($G305,'Hoja 10'!$F$4:$AA1057, 19,0)</f>
        <v>Utoolmart</v>
      </c>
      <c r="P305" s="32" t="str">
        <f>VLOOKUP($G305,'Hoja 10'!$F$4:$AA1057, 20,0)</f>
        <v>‎UT190724B-0003</v>
      </c>
      <c r="Q305" s="33" t="str">
        <f>VLOOKUP($G305,'Hoja 10'!$F$4:$AA1057, 21,0)</f>
        <v>https://www.amazon.com/Utoolmart-Measuring-Adjustable-Shifting-Spanner/dp/B07VQV693H?utm_source=chatgpt.com&amp;th=1</v>
      </c>
      <c r="R305" s="86" t="s">
        <v>2600</v>
      </c>
      <c r="S305" s="44" t="b">
        <v>0</v>
      </c>
      <c r="T305" s="63" t="s">
        <v>2467</v>
      </c>
      <c r="U305" s="63" t="s">
        <v>2601</v>
      </c>
      <c r="V305" s="39" t="str">
        <f>IFERROR(__xludf.DUMMYFUNCTION(" IF
( VLOOKUP($G305,IMPORTRANGE(""https://docs.google.com/spreadsheets/d/1Gpl6jkTg7sL4VDNimUm3S9Vi1i95esohXCF3wuKOE8c"", ""'CONSOLIDADO'!G5:AB""), 10, 0) &lt;&gt; 0, 
IFERROR(VLOOKUP($G305,IMPORTRANGE(""https://docs.google.com/spreadsheets/d/1Gpl6jkTg7sL4VDNimU"&amp;"m3S9Vi1i95esohXCF3wuKOE8c"", ""'CONSOLIDADO'!G5:AB""), 17, 0), ""-""),
""""
)"),"IRIMO")</f>
        <v>IRIMO</v>
      </c>
      <c r="W305" s="39" t="str">
        <f>IFERROR(__xludf.DUMMYFUNCTION(" IF
( VLOOKUP($G305,IMPORTRANGE(""https://docs.google.com/spreadsheets/d/1Gpl6jkTg7sL4VDNimUm3S9Vi1i95esohXCF3wuKOE8c"", ""'CONSOLIDADO'!G5:AB""), 10, 0) &lt;&gt; 0, 
IFERROR(VLOOKUP($G305,IMPORTRANGE(""https://docs.google.com/spreadsheets/d/1Gpl6jkTg7sL4VDNimU"&amp;"m3S9Vi1i95esohXCF3wuKOE8c"", ""'CONSOLIDADO'!G5:AB""), 18, 0), ""-""),
""""
)"),"5-250C-1")</f>
        <v>5-250C-1</v>
      </c>
      <c r="X305" s="39" t="b">
        <f t="shared" ref="X305:X319" si="37">IF(AND(T305=V305,W305=U305),TRUE,FALSE)</f>
        <v>1</v>
      </c>
      <c r="Y305" s="120" t="str">
        <f>IFERROR(__xludf.DUMMYFUNCTION(" IF
( VLOOKUP($G305,IMPORTRANGE(""https://docs.google.com/spreadsheets/d/1Gpl6jkTg7sL4VDNimUm3S9Vi1i95esohXCF3wuKOE8c"", ""'CONSOLIDADO'!G5:AB""), 10, 0) &lt;&gt; 0, 
IFERROR(VLOOKUP($G305,IMPORTRANGE(""https://docs.google.com/spreadsheets/d/1Gpl6jkTg7sL4VDNimU"&amp;"m3S9Vi1i95esohXCF3wuKOE8c"", ""'CONSOLIDADO'!G5:AB""), 19, 0), ""-""),
""""
)"),"https://cahema.pe/llaves-ajustable/14840-llave-ajustable-de-10-con-acabado-cromado-5-250c-1-irimo.html")</f>
        <v>https://cahema.pe/llaves-ajustable/14840-llave-ajustable-de-10-con-acabado-cromado-5-250c-1-irimo.html</v>
      </c>
      <c r="Z305" s="37" t="str">
        <f>IFERROR(__xludf.DUMMYFUNCTION("IFERROR(VLOOKUP(G305,IMPORTRANGE(""https://docs.google.com/spreadsheets/d/12RxCea4e5ggM7QGn1XE3FbLQa_-QbCNdBi90OdPjRqg"", ""'Plan de Compras'!D4:Q""), 12, 0), ""NO ESTÁ EN REQ"")"),"Simple")</f>
        <v>Simple</v>
      </c>
      <c r="AA305" s="37" t="str">
        <f>IFERROR(__xludf.DUMMYFUNCTION("IFERROR(VLOOKUP(G305,IMPORTRANGE(""https://docs.google.com/spreadsheets/d/12RxCea4e5ggM7QGn1XE3FbLQa_-QbCNdBi90OdPjRqg"", ""'Plan de Compras'!D4:Q""), 13, 0), """")"),"INTERNACIONAL")</f>
        <v>INTERNACIONAL</v>
      </c>
      <c r="AB305" s="32" t="str">
        <f>IFERROR(__xludf.DUMMYFUNCTION("IFERROR(VLOOKUP(G305,IMPORTRANGE(""https://docs.google.com/spreadsheets/d/12RxCea4e5ggM7QGn1XE3FbLQa_-QbCNdBi90OdPjRqg"", ""'Plan de Compras'!D4:Q""), 14, 0), """")"),"GIANFRANCO")</f>
        <v>GIANFRANCO</v>
      </c>
      <c r="AC305" s="72" t="str">
        <f>IFERROR(__xludf.DUMMYFUNCTION("IFERROR(VLOOKUP(G305,IMPORTRANGE(""https://docs.google.com/spreadsheets/d/12RxCea4e5ggM7QGn1XE3FbLQa_-QbCNdBi90OdPjRqg"", ""'Plan de Compras'!D4:Q""), 4, 0), """")"),"LLAVE AJUSTABLE")</f>
        <v>LLAVE AJUSTABLE</v>
      </c>
      <c r="AD305" s="37" t="str">
        <f>IFERROR(__xludf.DUMMYFUNCTION("IFERROR(IF(OR(C305=TRUE,C305=""""),VLOOKUP(G305,IMPORTRANGE(""https://docs.google.com/spreadsheets/d/1z9A1Wq-kKrhRNG5RS2a2fKpY1wIhSVz2ZNmP2mOl588/edit?usp=sharing"",""REQ VF!E4:H""),4,0),""NO APLICA""),""GENERAR REQ"")"),"GENERAR REQ")</f>
        <v>GENERAR REQ</v>
      </c>
      <c r="AE305" s="32" t="str">
        <f>IFERROR(__xludf.DUMMYFUNCTION("IFERROR(QUERY(IMPORTRANGE(""https://docs.google.com/spreadsheets/d/1z9A1Wq-kKrhRNG5RS2a2fKpY1wIhSVz2ZNmP2mOl588/edit?usp=sharing"",""REQ VF!E4:Q""),""SELECT Col10, Col11, Col12 WHERE Col1 = '""&amp;G305&amp;""'"",0),""NO APLICA"")"),"NO APLICA")</f>
        <v>NO APLICA</v>
      </c>
      <c r="AF305" s="32"/>
      <c r="AG305" s="32"/>
      <c r="AH305" s="13"/>
      <c r="AI305" s="13"/>
    </row>
    <row r="306">
      <c r="A306" s="121">
        <v>194.0</v>
      </c>
      <c r="B306" s="43" t="b">
        <v>1</v>
      </c>
      <c r="C306" s="26" t="b">
        <v>1</v>
      </c>
      <c r="D306" s="26" t="s">
        <v>35</v>
      </c>
      <c r="E306" s="26" t="s">
        <v>1510</v>
      </c>
      <c r="F306" s="59" t="s">
        <v>2597</v>
      </c>
      <c r="G306" s="37" t="s">
        <v>2602</v>
      </c>
      <c r="H306" s="82" t="s">
        <v>2599</v>
      </c>
      <c r="I306" s="43">
        <f>SUMIFS('Hoja 10'!$O:$O,'Hoja 10'!$F:$F,$G306)</f>
        <v>3</v>
      </c>
      <c r="J306" s="26">
        <f>IFERROR(__xludf.DUMMYFUNCTION("VLOOKUP(G306,IMPORTRANGE(""https://docs.google.com/spreadsheets/d/12RxCea4e5ggM7QGn1XE3FbLQa_-QbCNdBi90OdPjRqg/edit?gid=1692403370#gid=1692403370"", ""'Plan de Compras'!D4:2432""), 8,0)"),3.0)</f>
        <v>3</v>
      </c>
      <c r="K306" s="26" t="str">
        <f t="shared" si="31"/>
        <v>SI</v>
      </c>
      <c r="L306" s="29" t="s">
        <v>127</v>
      </c>
      <c r="M306" s="30" t="s">
        <v>105</v>
      </c>
      <c r="N306" s="32"/>
      <c r="O306" s="32" t="str">
        <f>VLOOKUP($G306,'Hoja 10'!$F$4:$AA1057, 19,0)</f>
        <v>Bahco</v>
      </c>
      <c r="P306" s="32" t="str">
        <f>VLOOKUP($G306,'Hoja 10'!$F$4:$AA1057, 20,0)</f>
        <v>8073 C</v>
      </c>
      <c r="Q306" s="33" t="str">
        <f>VLOOKUP($G306,'Hoja 10'!$F$4:$AA1057, 21,0)</f>
        <v>https://cahema.pe/llaves-ajustable/12511-llave-ajustable-cromada-12-8073-c-bahco.html</v>
      </c>
      <c r="R306" s="136" t="s">
        <v>2603</v>
      </c>
      <c r="S306" s="44" t="b">
        <v>1</v>
      </c>
      <c r="T306" s="61" t="s">
        <v>303</v>
      </c>
      <c r="U306" s="39">
        <v>15512.0</v>
      </c>
      <c r="V306" s="39" t="str">
        <f>IFERROR(__xludf.DUMMYFUNCTION(" IF
( VLOOKUP($G306,IMPORTRANGE(""https://docs.google.com/spreadsheets/d/1Gpl6jkTg7sL4VDNimUm3S9Vi1i95esohXCF3wuKOE8c"", ""'CONSOLIDADO'!G5:AB""), 10, 0) &lt;&gt; 0, 
IFERROR(VLOOKUP($G306,IMPORTRANGE(""https://docs.google.com/spreadsheets/d/1Gpl6jkTg7sL4VDNimU"&amp;"m3S9Vi1i95esohXCF3wuKOE8c"", ""'CONSOLIDADO'!G5:AB""), 17, 0), ""-""),
""""
)"),"TRUPER")</f>
        <v>TRUPER</v>
      </c>
      <c r="W306" s="39" t="str">
        <f>IFERROR(__xludf.DUMMYFUNCTION(" IF
( VLOOKUP($G306,IMPORTRANGE(""https://docs.google.com/spreadsheets/d/1Gpl6jkTg7sL4VDNimUm3S9Vi1i95esohXCF3wuKOE8c"", ""'CONSOLIDADO'!G5:AB""), 10, 0) &lt;&gt; 0, 
IFERROR(VLOOKUP($G306,IMPORTRANGE(""https://docs.google.com/spreadsheets/d/1Gpl6jkTg7sL4VDNimU"&amp;"m3S9Vi1i95esohXCF3wuKOE8c"", ""'CONSOLIDADO'!G5:AB""), 18, 0), ""-""),
""""
)"),"PET-12X")</f>
        <v>PET-12X</v>
      </c>
      <c r="X306" s="39" t="b">
        <f t="shared" si="37"/>
        <v>0</v>
      </c>
      <c r="Y306" s="120" t="s">
        <v>2604</v>
      </c>
      <c r="Z306" s="37" t="str">
        <f>IFERROR(__xludf.DUMMYFUNCTION("IFERROR(VLOOKUP(G306,IMPORTRANGE(""https://docs.google.com/spreadsheets/d/12RxCea4e5ggM7QGn1XE3FbLQa_-QbCNdBi90OdPjRqg"", ""'Plan de Compras'!D4:Q""), 12, 0), ""NO ESTÁ EN REQ"")"),"Simple")</f>
        <v>Simple</v>
      </c>
      <c r="AA306" s="37" t="str">
        <f>IFERROR(__xludf.DUMMYFUNCTION("IFERROR(VLOOKUP(G306,IMPORTRANGE(""https://docs.google.com/spreadsheets/d/12RxCea4e5ggM7QGn1XE3FbLQa_-QbCNdBi90OdPjRqg"", ""'Plan de Compras'!D4:Q""), 13, 0), """")"),"NACIONAL")</f>
        <v>NACIONAL</v>
      </c>
      <c r="AB306" s="32" t="str">
        <f>IFERROR(__xludf.DUMMYFUNCTION("IFERROR(VLOOKUP(G306,IMPORTRANGE(""https://docs.google.com/spreadsheets/d/12RxCea4e5ggM7QGn1XE3FbLQa_-QbCNdBi90OdPjRqg"", ""'Plan de Compras'!D4:Q""), 14, 0), """")"),"ANGIE")</f>
        <v>ANGIE</v>
      </c>
      <c r="AC306" s="72" t="str">
        <f>IFERROR(__xludf.DUMMYFUNCTION("IFERROR(VLOOKUP(G306,IMPORTRANGE(""https://docs.google.com/spreadsheets/d/12RxCea4e5ggM7QGn1XE3FbLQa_-QbCNdBi90OdPjRqg"", ""'Plan de Compras'!D4:Q""), 4, 0), """")"),"LLAVE AJUSTABLE")</f>
        <v>LLAVE AJUSTABLE</v>
      </c>
      <c r="AD306" s="37" t="str">
        <f>IFERROR(__xludf.DUMMYFUNCTION("IFERROR(IF(OR(C306=TRUE,C306=""""),VLOOKUP(G306,IMPORTRANGE(""https://docs.google.com/spreadsheets/d/1z9A1Wq-kKrhRNG5RS2a2fKpY1wIhSVz2ZNmP2mOl588/edit?usp=sharing"",""REQ VF!E4:H""),4,0),""NO APLICA""),""GENERAR REQ"")"),"GENERAR REQ")</f>
        <v>GENERAR REQ</v>
      </c>
      <c r="AE306" s="32" t="str">
        <f>IFERROR(__xludf.DUMMYFUNCTION("IFERROR(QUERY(IMPORTRANGE(""https://docs.google.com/spreadsheets/d/1z9A1Wq-kKrhRNG5RS2a2fKpY1wIhSVz2ZNmP2mOl588/edit?usp=sharing"",""REQ VF!E4:Q""),""SELECT Col10, Col11, Col12 WHERE Col1 = '""&amp;G306&amp;""'"",0),""NO APLICA"")"),"NO APLICA")</f>
        <v>NO APLICA</v>
      </c>
      <c r="AF306" s="32"/>
      <c r="AG306" s="32"/>
      <c r="AH306" s="8" t="s">
        <v>52</v>
      </c>
      <c r="AI306" s="13"/>
    </row>
    <row r="307">
      <c r="A307" s="117">
        <v>195.0</v>
      </c>
      <c r="B307" s="43" t="b">
        <v>1</v>
      </c>
      <c r="C307" s="26" t="b">
        <v>1</v>
      </c>
      <c r="D307" s="26" t="s">
        <v>35</v>
      </c>
      <c r="E307" s="26" t="s">
        <v>1510</v>
      </c>
      <c r="F307" s="59" t="s">
        <v>2605</v>
      </c>
      <c r="G307" s="37" t="s">
        <v>2605</v>
      </c>
      <c r="H307" s="82" t="s">
        <v>2606</v>
      </c>
      <c r="I307" s="43">
        <f>SUMIFS('Hoja 10'!$O:$O,'Hoja 10'!$F:$F,$G307)</f>
        <v>2</v>
      </c>
      <c r="J307" s="26">
        <f>IFERROR(__xludf.DUMMYFUNCTION("VLOOKUP(G307,IMPORTRANGE(""https://docs.google.com/spreadsheets/d/12RxCea4e5ggM7QGn1XE3FbLQa_-QbCNdBi90OdPjRqg/edit?gid=1692403370#gid=1692403370"", ""'Plan de Compras'!D4:2432""), 8,0)"),2.0)</f>
        <v>2</v>
      </c>
      <c r="K307" s="26" t="str">
        <f t="shared" si="31"/>
        <v>SI</v>
      </c>
      <c r="L307" s="29" t="s">
        <v>296</v>
      </c>
      <c r="M307" s="30" t="s">
        <v>297</v>
      </c>
      <c r="N307" s="32"/>
      <c r="O307" s="32" t="str">
        <f>VLOOKUP($G307,'Hoja 10'!$F$4:$AA1057, 19,0)</f>
        <v>Bahco</v>
      </c>
      <c r="P307" s="32" t="str">
        <f>VLOOKUP($G307,'Hoja 10'!$F$4:$AA1057, 20,0)</f>
        <v>8073 C</v>
      </c>
      <c r="Q307" s="33" t="str">
        <f>VLOOKUP($G307,'Hoja 10'!$F$4:$AA1057, 21,0)</f>
        <v>https://cahema.pe/llaves-ajustable/12511-llave-ajustable-cromada-12-8073-c-bahco.html</v>
      </c>
      <c r="R307" s="136" t="s">
        <v>2607</v>
      </c>
      <c r="S307" s="44" t="b">
        <v>1</v>
      </c>
      <c r="T307" s="61" t="s">
        <v>303</v>
      </c>
      <c r="U307" s="39">
        <v>15512.0</v>
      </c>
      <c r="V307" s="39" t="str">
        <f>IFERROR(__xludf.DUMMYFUNCTION(" IF
( VLOOKUP($G307,IMPORTRANGE(""https://docs.google.com/spreadsheets/d/1Gpl6jkTg7sL4VDNimUm3S9Vi1i95esohXCF3wuKOE8c"", ""'CONSOLIDADO'!G5:AB""), 10, 0) &lt;&gt; 0, 
IFERROR(VLOOKUP($G307,IMPORTRANGE(""https://docs.google.com/spreadsheets/d/1Gpl6jkTg7sL4VDNimU"&amp;"m3S9Vi1i95esohXCF3wuKOE8c"", ""'CONSOLIDADO'!G5:AB""), 17, 0), ""-""),
""""
)"),"TRUPER")</f>
        <v>TRUPER</v>
      </c>
      <c r="W307" s="39" t="str">
        <f>IFERROR(__xludf.DUMMYFUNCTION(" IF
( VLOOKUP($G307,IMPORTRANGE(""https://docs.google.com/spreadsheets/d/1Gpl6jkTg7sL4VDNimUm3S9Vi1i95esohXCF3wuKOE8c"", ""'CONSOLIDADO'!G5:AB""), 10, 0) &lt;&gt; 0, 
IFERROR(VLOOKUP($G307,IMPORTRANGE(""https://docs.google.com/spreadsheets/d/1Gpl6jkTg7sL4VDNimU"&amp;"m3S9Vi1i95esohXCF3wuKOE8c"", ""'CONSOLIDADO'!G5:AB""), 18, 0), ""-""),
""""
)"),"PET-12X")</f>
        <v>PET-12X</v>
      </c>
      <c r="X307" s="39" t="b">
        <f t="shared" si="37"/>
        <v>0</v>
      </c>
      <c r="Y307" s="120" t="s">
        <v>2604</v>
      </c>
      <c r="Z307" s="37" t="str">
        <f>IFERROR(__xludf.DUMMYFUNCTION("IFERROR(VLOOKUP(G307,IMPORTRANGE(""https://docs.google.com/spreadsheets/d/12RxCea4e5ggM7QGn1XE3FbLQa_-QbCNdBi90OdPjRqg"", ""'Plan de Compras'!D4:Q""), 12, 0), ""NO ESTÁ EN REQ"")"),"Simple")</f>
        <v>Simple</v>
      </c>
      <c r="AA307" s="37" t="str">
        <f>IFERROR(__xludf.DUMMYFUNCTION("IFERROR(VLOOKUP(G307,IMPORTRANGE(""https://docs.google.com/spreadsheets/d/12RxCea4e5ggM7QGn1XE3FbLQa_-QbCNdBi90OdPjRqg"", ""'Plan de Compras'!D4:Q""), 13, 0), """")"),"NACIONAL")</f>
        <v>NACIONAL</v>
      </c>
      <c r="AB307" s="32" t="str">
        <f>IFERROR(__xludf.DUMMYFUNCTION("IFERROR(VLOOKUP(G307,IMPORTRANGE(""https://docs.google.com/spreadsheets/d/12RxCea4e5ggM7QGn1XE3FbLQa_-QbCNdBi90OdPjRqg"", ""'Plan de Compras'!D4:Q""), 14, 0), """")"),"ANGIE")</f>
        <v>ANGIE</v>
      </c>
      <c r="AC307" s="72" t="str">
        <f>IFERROR(__xludf.DUMMYFUNCTION("IFERROR(VLOOKUP(G307,IMPORTRANGE(""https://docs.google.com/spreadsheets/d/12RxCea4e5ggM7QGn1XE3FbLQa_-QbCNdBi90OdPjRqg"", ""'Plan de Compras'!D4:Q""), 4, 0), """")"),"LLAVE FRANCESA")</f>
        <v>LLAVE FRANCESA</v>
      </c>
      <c r="AD307" s="37" t="str">
        <f>IFERROR(__xludf.DUMMYFUNCTION("IFERROR(IF(OR(C307=TRUE,C307=""""),VLOOKUP(G307,IMPORTRANGE(""https://docs.google.com/spreadsheets/d/1z9A1Wq-kKrhRNG5RS2a2fKpY1wIhSVz2ZNmP2mOl588/edit?usp=sharing"",""REQ VF!E4:H""),4,0),""NO APLICA""),""GENERAR REQ"")"),"GENERAR REQ")</f>
        <v>GENERAR REQ</v>
      </c>
      <c r="AE307" s="32" t="str">
        <f>IFERROR(__xludf.DUMMYFUNCTION("IFERROR(QUERY(IMPORTRANGE(""https://docs.google.com/spreadsheets/d/1z9A1Wq-kKrhRNG5RS2a2fKpY1wIhSVz2ZNmP2mOl588/edit?usp=sharing"",""REQ VF!E4:Q""),""SELECT Col10, Col11, Col12 WHERE Col1 = '""&amp;G307&amp;""'"",0),""NO APLICA"")"),"NO APLICA")</f>
        <v>NO APLICA</v>
      </c>
      <c r="AF307" s="32"/>
      <c r="AG307" s="32"/>
      <c r="AH307" s="8" t="s">
        <v>52</v>
      </c>
      <c r="AI307" s="13"/>
    </row>
    <row r="308">
      <c r="A308" s="117">
        <v>196.0</v>
      </c>
      <c r="B308" s="43" t="b">
        <v>1</v>
      </c>
      <c r="C308" s="26" t="b">
        <v>1</v>
      </c>
      <c r="D308" s="26" t="s">
        <v>35</v>
      </c>
      <c r="E308" s="26" t="s">
        <v>1510</v>
      </c>
      <c r="F308" s="59" t="s">
        <v>2608</v>
      </c>
      <c r="G308" s="37" t="s">
        <v>2608</v>
      </c>
      <c r="H308" s="82" t="s">
        <v>2609</v>
      </c>
      <c r="I308" s="43">
        <f>SUMIFS('Hoja 10'!$O:$O,'Hoja 10'!$F:$F,$G308)</f>
        <v>3</v>
      </c>
      <c r="J308" s="26">
        <f>IFERROR(__xludf.DUMMYFUNCTION("VLOOKUP(G308,IMPORTRANGE(""https://docs.google.com/spreadsheets/d/12RxCea4e5ggM7QGn1XE3FbLQa_-QbCNdBi90OdPjRqg/edit?gid=1692403370#gid=1692403370"", ""'Plan de Compras'!D4:2432""), 8,0)"),3.0)</f>
        <v>3</v>
      </c>
      <c r="K308" s="26" t="str">
        <f t="shared" si="31"/>
        <v>SI</v>
      </c>
      <c r="L308" s="29" t="s">
        <v>127</v>
      </c>
      <c r="M308" s="30" t="s">
        <v>105</v>
      </c>
      <c r="N308" s="32"/>
      <c r="O308" s="32" t="str">
        <f>VLOOKUP($G308,'Hoja 10'!$F$4:$AA1057, 19,0)</f>
        <v>Bahco</v>
      </c>
      <c r="P308" s="32">
        <f>VLOOKUP($G308,'Hoja 10'!$F$4:$AA1057, 20,0)</f>
        <v>150692</v>
      </c>
      <c r="Q308" s="33" t="str">
        <f>VLOOKUP($G308,'Hoja 10'!$F$4:$AA1057, 21,0)</f>
        <v>https://www.promart.pe/llave-para-tubo-stillson-14-bahco/p?srsltid=AfmBOoqUsELd0wGvbK_Em1KBhHTKCk3yOPIP_vhJX-98QSMpdLkt3Uiw</v>
      </c>
      <c r="R308" s="136" t="s">
        <v>2610</v>
      </c>
      <c r="S308" s="44" t="b">
        <v>1</v>
      </c>
      <c r="T308" s="32" t="str">
        <f>VLOOKUP($G308,'Hoja 10'!$F$4:$AA1057, 19,0)</f>
        <v>Bahco</v>
      </c>
      <c r="U308" s="39" t="s">
        <v>2611</v>
      </c>
      <c r="V308" s="39" t="str">
        <f>IFERROR(__xludf.DUMMYFUNCTION(" IF
( VLOOKUP($G308,IMPORTRANGE(""https://docs.google.com/spreadsheets/d/1Gpl6jkTg7sL4VDNimUm3S9Vi1i95esohXCF3wuKOE8c"", ""'CONSOLIDADO'!G5:AB""), 10, 0) &lt;&gt; 0, 
IFERROR(VLOOKUP($G308,IMPORTRANGE(""https://docs.google.com/spreadsheets/d/1Gpl6jkTg7sL4VDNimU"&amp;"m3S9Vi1i95esohXCF3wuKOE8c"", ""'CONSOLIDADO'!G5:AB""), 17, 0), ""-""),
""""
)"),"BAHCO")</f>
        <v>BAHCO</v>
      </c>
      <c r="W308" s="39" t="str">
        <f>IFERROR(__xludf.DUMMYFUNCTION(" IF
( VLOOKUP($G308,IMPORTRANGE(""https://docs.google.com/spreadsheets/d/1Gpl6jkTg7sL4VDNimUm3S9Vi1i95esohXCF3wuKOE8c"", ""'CONSOLIDADO'!G5:AB""), 10, 0) &lt;&gt; 0, 
IFERROR(VLOOKUP($G308,IMPORTRANGE(""https://docs.google.com/spreadsheets/d/1Gpl6jkTg7sL4VDNimU"&amp;"m3S9Vi1i95esohXCF3wuKOE8c"", ""'CONSOLIDADO'!G5:AB""), 18, 0), ""-""),
""""
)"),"361-14")</f>
        <v>361-14</v>
      </c>
      <c r="X308" s="39" t="b">
        <f t="shared" si="37"/>
        <v>1</v>
      </c>
      <c r="Y308" s="33" t="str">
        <f>VLOOKUP($G308,'Hoja 10'!$F$4:$AA1057, 21,0)</f>
        <v>https://www.promart.pe/llave-para-tubo-stillson-14-bahco/p?srsltid=AfmBOoqUsELd0wGvbK_Em1KBhHTKCk3yOPIP_vhJX-98QSMpdLkt3Uiw</v>
      </c>
      <c r="Z308" s="37" t="str">
        <f>IFERROR(__xludf.DUMMYFUNCTION("IFERROR(VLOOKUP(G308,IMPORTRANGE(""https://docs.google.com/spreadsheets/d/12RxCea4e5ggM7QGn1XE3FbLQa_-QbCNdBi90OdPjRqg"", ""'Plan de Compras'!D4:Q""), 12, 0), ""NO ESTÁ EN REQ"")"),"Simple")</f>
        <v>Simple</v>
      </c>
      <c r="AA308" s="37" t="str">
        <f>IFERROR(__xludf.DUMMYFUNCTION("IFERROR(VLOOKUP(G308,IMPORTRANGE(""https://docs.google.com/spreadsheets/d/12RxCea4e5ggM7QGn1XE3FbLQa_-QbCNdBi90OdPjRqg"", ""'Plan de Compras'!D4:Q""), 13, 0), """")"),"NACIONAL")</f>
        <v>NACIONAL</v>
      </c>
      <c r="AB308" s="32" t="str">
        <f>IFERROR(__xludf.DUMMYFUNCTION("IFERROR(VLOOKUP(G308,IMPORTRANGE(""https://docs.google.com/spreadsheets/d/12RxCea4e5ggM7QGn1XE3FbLQa_-QbCNdBi90OdPjRqg"", ""'Plan de Compras'!D4:Q""), 14, 0), """")"),"ANGIE")</f>
        <v>ANGIE</v>
      </c>
      <c r="AC308" s="72" t="str">
        <f>IFERROR(__xludf.DUMMYFUNCTION("IFERROR(VLOOKUP(G308,IMPORTRANGE(""https://docs.google.com/spreadsheets/d/12RxCea4e5ggM7QGn1XE3FbLQa_-QbCNdBi90OdPjRqg"", ""'Plan de Compras'!D4:Q""), 4, 0), """")"),"LLAVE STILLSON")</f>
        <v>LLAVE STILLSON</v>
      </c>
      <c r="AD308" s="37" t="str">
        <f>IFERROR(__xludf.DUMMYFUNCTION("IFERROR(IF(OR(C308=TRUE,C308=""""),VLOOKUP(G308,IMPORTRANGE(""https://docs.google.com/spreadsheets/d/1z9A1Wq-kKrhRNG5RS2a2fKpY1wIhSVz2ZNmP2mOl588/edit?usp=sharing"",""REQ VF!E4:H""),4,0),""NO APLICA""),""GENERAR REQ"")"),"GENERAR REQ")</f>
        <v>GENERAR REQ</v>
      </c>
      <c r="AE308" s="32" t="str">
        <f>IFERROR(__xludf.DUMMYFUNCTION("IFERROR(QUERY(IMPORTRANGE(""https://docs.google.com/spreadsheets/d/1z9A1Wq-kKrhRNG5RS2a2fKpY1wIhSVz2ZNmP2mOl588/edit?usp=sharing"",""REQ VF!E4:Q""),""SELECT Col10, Col11, Col12 WHERE Col1 = '""&amp;G308&amp;""'"",0),""NO APLICA"")"),"NO APLICA")</f>
        <v>NO APLICA</v>
      </c>
      <c r="AF308" s="32"/>
      <c r="AG308" s="32"/>
      <c r="AH308" s="8" t="s">
        <v>52</v>
      </c>
      <c r="AI308" s="13"/>
    </row>
    <row r="309">
      <c r="A309" s="121">
        <v>197.0</v>
      </c>
      <c r="B309" s="43" t="b">
        <v>1</v>
      </c>
      <c r="C309" s="26" t="b">
        <v>1</v>
      </c>
      <c r="D309" s="26" t="s">
        <v>35</v>
      </c>
      <c r="E309" s="26" t="s">
        <v>1510</v>
      </c>
      <c r="F309" s="59" t="s">
        <v>2612</v>
      </c>
      <c r="G309" s="37" t="s">
        <v>2612</v>
      </c>
      <c r="H309" s="82" t="s">
        <v>2613</v>
      </c>
      <c r="I309" s="43">
        <f>SUMIFS('Hoja 10'!$O:$O,'Hoja 10'!$F:$F,$G309)</f>
        <v>3</v>
      </c>
      <c r="J309" s="26">
        <f>IFERROR(__xludf.DUMMYFUNCTION("VLOOKUP(G309,IMPORTRANGE(""https://docs.google.com/spreadsheets/d/12RxCea4e5ggM7QGn1XE3FbLQa_-QbCNdBi90OdPjRqg/edit?gid=1692403370#gid=1692403370"", ""'Plan de Compras'!D4:2432""), 8,0)"),3.0)</f>
        <v>3</v>
      </c>
      <c r="K309" s="26" t="str">
        <f t="shared" si="31"/>
        <v>SI</v>
      </c>
      <c r="L309" s="29" t="s">
        <v>127</v>
      </c>
      <c r="M309" s="30" t="s">
        <v>105</v>
      </c>
      <c r="N309" s="32"/>
      <c r="O309" s="32" t="str">
        <f>VLOOKUP($G309,'Hoja 10'!$F$4:$AA1057, 19,0)</f>
        <v>REDLINE</v>
      </c>
      <c r="P309" s="32">
        <f>VLOOKUP($G309,'Hoja 10'!$F$4:$AA1057, 20,0)</f>
        <v>114502979</v>
      </c>
      <c r="Q309" s="33" t="str">
        <f>VLOOKUP($G309,'Hoja 10'!$F$4:$AA1057, 21,0)</f>
        <v>https://sodimac.falabella.com.pe/sodimac-pe/product/114502978/Martillo-Mecanico-16-Oz-Redline/114502979?utm_source=chatgpt.com</v>
      </c>
      <c r="R309" s="32" t="s">
        <v>2614</v>
      </c>
      <c r="S309" s="34" t="b">
        <v>1</v>
      </c>
      <c r="T309" s="39" t="s">
        <v>2615</v>
      </c>
      <c r="U309" s="39" t="s">
        <v>2616</v>
      </c>
      <c r="V309" s="39" t="str">
        <f>IFERROR(__xludf.DUMMYFUNCTION(" IF
( VLOOKUP($G309,IMPORTRANGE(""https://docs.google.com/spreadsheets/d/1Gpl6jkTg7sL4VDNimUm3S9Vi1i95esohXCF3wuKOE8c"", ""'CONSOLIDADO'!G5:AB""), 10, 0) &lt;&gt; 0, 
IFERROR(VLOOKUP($G309,IMPORTRANGE(""https://docs.google.com/spreadsheets/d/1Gpl6jkTg7sL4VDNimU"&amp;"m3S9Vi1i95esohXCF3wuKOE8c"", ""'CONSOLIDADO'!G5:AB""), 17, 0), ""-""),
""""
)"),"BREMEN")</f>
        <v>BREMEN</v>
      </c>
      <c r="W309" s="39" t="str">
        <f>IFERROR(__xludf.DUMMYFUNCTION(" IF
( VLOOKUP($G309,IMPORTRANGE(""https://docs.google.com/spreadsheets/d/1Gpl6jkTg7sL4VDNimUm3S9Vi1i95esohXCF3wuKOE8c"", ""'CONSOLIDADO'!G5:AB""), 10, 0) &lt;&gt; 0, 
IFERROR(VLOOKUP($G309,IMPORTRANGE(""https://docs.google.com/spreadsheets/d/1Gpl6jkTg7sL4VDNimU"&amp;"m3S9Vi1i95esohXCF3wuKOE8c"", ""'CONSOLIDADO'!G5:AB""), 18, 0), ""-""),
""""
)"),"Martillo Bola 681 gr x 30 cm")</f>
        <v>Martillo Bola 681 gr x 30 cm</v>
      </c>
      <c r="X309" s="39" t="b">
        <f t="shared" si="37"/>
        <v>1</v>
      </c>
      <c r="Y309" s="120" t="s">
        <v>2617</v>
      </c>
      <c r="Z309" s="37" t="str">
        <f>IFERROR(__xludf.DUMMYFUNCTION("IFERROR(VLOOKUP(G309,IMPORTRANGE(""https://docs.google.com/spreadsheets/d/12RxCea4e5ggM7QGn1XE3FbLQa_-QbCNdBi90OdPjRqg"", ""'Plan de Compras'!D4:Q""), 12, 0), ""NO ESTÁ EN REQ"")"),"Simple")</f>
        <v>Simple</v>
      </c>
      <c r="AA309" s="37" t="str">
        <f>IFERROR(__xludf.DUMMYFUNCTION("IFERROR(VLOOKUP(G309,IMPORTRANGE(""https://docs.google.com/spreadsheets/d/12RxCea4e5ggM7QGn1XE3FbLQa_-QbCNdBi90OdPjRqg"", ""'Plan de Compras'!D4:Q""), 13, 0), """")"),"NACIONAL")</f>
        <v>NACIONAL</v>
      </c>
      <c r="AB309" s="32" t="str">
        <f>IFERROR(__xludf.DUMMYFUNCTION("IFERROR(VLOOKUP(G309,IMPORTRANGE(""https://docs.google.com/spreadsheets/d/12RxCea4e5ggM7QGn1XE3FbLQa_-QbCNdBi90OdPjRqg"", ""'Plan de Compras'!D4:Q""), 14, 0), """")"),"ALFIO")</f>
        <v>ALFIO</v>
      </c>
      <c r="AC309" s="72" t="str">
        <f>IFERROR(__xludf.DUMMYFUNCTION("IFERROR(VLOOKUP(G309,IMPORTRANGE(""https://docs.google.com/spreadsheets/d/12RxCea4e5ggM7QGn1XE3FbLQa_-QbCNdBi90OdPjRqg"", ""'Plan de Compras'!D4:Q""), 4, 0), """")"),"MARTILLO DE BOLA")</f>
        <v>MARTILLO DE BOLA</v>
      </c>
      <c r="AD309" s="37" t="str">
        <f>IFERROR(__xludf.DUMMYFUNCTION("IFERROR(IF(OR(C309=TRUE,C309=""""),VLOOKUP(G309,IMPORTRANGE(""https://docs.google.com/spreadsheets/d/1z9A1Wq-kKrhRNG5RS2a2fKpY1wIhSVz2ZNmP2mOl588/edit?usp=sharing"",""REQ VF!E4:H""),4,0),""NO APLICA""),""GENERAR REQ"")"),"GENERAR REQ")</f>
        <v>GENERAR REQ</v>
      </c>
      <c r="AE309" s="32" t="str">
        <f>IFERROR(__xludf.DUMMYFUNCTION("IFERROR(QUERY(IMPORTRANGE(""https://docs.google.com/spreadsheets/d/1z9A1Wq-kKrhRNG5RS2a2fKpY1wIhSVz2ZNmP2mOl588/edit?usp=sharing"",""REQ VF!E4:Q""),""SELECT Col10, Col11, Col12 WHERE Col1 = '""&amp;G309&amp;""'"",0),""NO APLICA"")"),"NO APLICA")</f>
        <v>NO APLICA</v>
      </c>
      <c r="AF309" s="32"/>
      <c r="AG309" s="32"/>
      <c r="AH309" s="13"/>
      <c r="AI309" s="13"/>
    </row>
    <row r="310">
      <c r="A310" s="121">
        <v>198.0</v>
      </c>
      <c r="B310" s="43" t="b">
        <v>1</v>
      </c>
      <c r="C310" s="26" t="b">
        <v>1</v>
      </c>
      <c r="D310" s="26" t="s">
        <v>35</v>
      </c>
      <c r="E310" s="26" t="s">
        <v>1510</v>
      </c>
      <c r="F310" s="59" t="s">
        <v>2618</v>
      </c>
      <c r="G310" s="37" t="s">
        <v>2618</v>
      </c>
      <c r="H310" s="82" t="s">
        <v>2619</v>
      </c>
      <c r="I310" s="43">
        <f>SUMIFS('Hoja 10'!$O:$O,'Hoja 10'!$F:$F,$G310)</f>
        <v>8</v>
      </c>
      <c r="J310" s="26">
        <f>IFERROR(__xludf.DUMMYFUNCTION("VLOOKUP(G310,IMPORTRANGE(""https://docs.google.com/spreadsheets/d/12RxCea4e5ggM7QGn1XE3FbLQa_-QbCNdBi90OdPjRqg/edit?gid=1692403370#gid=1692403370"", ""'Plan de Compras'!D4:2432""), 8,0)"),8.0)</f>
        <v>8</v>
      </c>
      <c r="K310" s="26" t="str">
        <f t="shared" si="31"/>
        <v>SI</v>
      </c>
      <c r="L310" s="29" t="s">
        <v>296</v>
      </c>
      <c r="M310" s="30" t="s">
        <v>297</v>
      </c>
      <c r="N310" s="32"/>
      <c r="O310" s="32" t="str">
        <f>VLOOKUP($G310,'Hoja 10'!$F$4:$AA1057, 19,0)</f>
        <v>Stanley</v>
      </c>
      <c r="P310" s="32" t="str">
        <f>VLOOKUP($G310,'Hoja 10'!$F$4:$AA1057, 20,0)</f>
        <v>51-271</v>
      </c>
      <c r="Q310" s="33" t="str">
        <f>VLOOKUP($G310,'Hoja 10'!$F$4:$AA1057, 21,0)</f>
        <v>https://prosinfer.pe/product/martillo-mango-madera-16-oz-stanley-51-271/?utm_source=chatgpt.com</v>
      </c>
      <c r="R310" s="32" t="s">
        <v>2620</v>
      </c>
      <c r="S310" s="34" t="b">
        <v>1</v>
      </c>
      <c r="T310" s="39" t="s">
        <v>2400</v>
      </c>
      <c r="U310" s="39" t="s">
        <v>2621</v>
      </c>
      <c r="V310" s="39" t="str">
        <f>IFERROR(__xludf.DUMMYFUNCTION(" IF
( VLOOKUP($G310,IMPORTRANGE(""https://docs.google.com/spreadsheets/d/1Gpl6jkTg7sL4VDNimUm3S9Vi1i95esohXCF3wuKOE8c"", ""'CONSOLIDADO'!G5:AB""), 10, 0) &lt;&gt; 0, 
IFERROR(VLOOKUP($G310,IMPORTRANGE(""https://docs.google.com/spreadsheets/d/1Gpl6jkTg7sL4VDNimU"&amp;"m3S9Vi1i95esohXCF3wuKOE8c"", ""'CONSOLIDADO'!G5:AB""), 17, 0), ""-""),
""""
)"),"STANLEY")</f>
        <v>STANLEY</v>
      </c>
      <c r="W310" s="39" t="str">
        <f>IFERROR(__xludf.DUMMYFUNCTION(" IF
( VLOOKUP($G310,IMPORTRANGE(""https://docs.google.com/spreadsheets/d/1Gpl6jkTg7sL4VDNimUm3S9Vi1i95esohXCF3wuKOE8c"", ""'CONSOLIDADO'!G5:AB""), 10, 0) &lt;&gt; 0, 
IFERROR(VLOOKUP($G310,IMPORTRANGE(""https://docs.google.com/spreadsheets/d/1Gpl6jkTg7sL4VDNimU"&amp;"m3S9Vi1i95esohXCF3wuKOE8c"", ""'CONSOLIDADO'!G5:AB""), 18, 0), ""-""),
""""
)"),"Martillo con mango de madera 20 onzas")</f>
        <v>Martillo con mango de madera 20 onzas</v>
      </c>
      <c r="X310" s="39" t="b">
        <f t="shared" si="37"/>
        <v>1</v>
      </c>
      <c r="Y310" s="120" t="s">
        <v>2617</v>
      </c>
      <c r="Z310" s="37" t="str">
        <f>IFERROR(__xludf.DUMMYFUNCTION("IFERROR(VLOOKUP(G310,IMPORTRANGE(""https://docs.google.com/spreadsheets/d/12RxCea4e5ggM7QGn1XE3FbLQa_-QbCNdBi90OdPjRqg"", ""'Plan de Compras'!D4:Q""), 12, 0), ""NO ESTÁ EN REQ"")"),"Simple")</f>
        <v>Simple</v>
      </c>
      <c r="AA310" s="37" t="str">
        <f>IFERROR(__xludf.DUMMYFUNCTION("IFERROR(VLOOKUP(G310,IMPORTRANGE(""https://docs.google.com/spreadsheets/d/12RxCea4e5ggM7QGn1XE3FbLQa_-QbCNdBi90OdPjRqg"", ""'Plan de Compras'!D4:Q""), 13, 0), """")"),"NACIONAL")</f>
        <v>NACIONAL</v>
      </c>
      <c r="AB310" s="32" t="str">
        <f>IFERROR(__xludf.DUMMYFUNCTION("IFERROR(VLOOKUP(G310,IMPORTRANGE(""https://docs.google.com/spreadsheets/d/12RxCea4e5ggM7QGn1XE3FbLQa_-QbCNdBi90OdPjRqg"", ""'Plan de Compras'!D4:Q""), 14, 0), """")"),"ALFIO")</f>
        <v>ALFIO</v>
      </c>
      <c r="AC310" s="72" t="str">
        <f>IFERROR(__xludf.DUMMYFUNCTION("IFERROR(VLOOKUP(G310,IMPORTRANGE(""https://docs.google.com/spreadsheets/d/12RxCea4e5ggM7QGn1XE3FbLQa_-QbCNdBi90OdPjRqg"", ""'Plan de Compras'!D4:Q""), 4, 0), """")"),"MARTILLO DE UÑA")</f>
        <v>MARTILLO DE UÑA</v>
      </c>
      <c r="AD310" s="37" t="str">
        <f>IFERROR(__xludf.DUMMYFUNCTION("IFERROR(IF(OR(C310=TRUE,C310=""""),VLOOKUP(G310,IMPORTRANGE(""https://docs.google.com/spreadsheets/d/1z9A1Wq-kKrhRNG5RS2a2fKpY1wIhSVz2ZNmP2mOl588/edit?usp=sharing"",""REQ VF!E4:H""),4,0),""NO APLICA""),""GENERAR REQ"")"),"GENERAR REQ")</f>
        <v>GENERAR REQ</v>
      </c>
      <c r="AE310" s="32" t="str">
        <f>IFERROR(__xludf.DUMMYFUNCTION("IFERROR(QUERY(IMPORTRANGE(""https://docs.google.com/spreadsheets/d/1z9A1Wq-kKrhRNG5RS2a2fKpY1wIhSVz2ZNmP2mOl588/edit?usp=sharing"",""REQ VF!E4:Q""),""SELECT Col10, Col11, Col12 WHERE Col1 = '""&amp;G310&amp;""'"",0),""NO APLICA"")"),"NO APLICA")</f>
        <v>NO APLICA</v>
      </c>
      <c r="AF310" s="32"/>
      <c r="AG310" s="32"/>
      <c r="AH310" s="13"/>
      <c r="AI310" s="13"/>
    </row>
    <row r="311">
      <c r="A311" s="121">
        <v>199.0</v>
      </c>
      <c r="B311" s="43" t="b">
        <v>1</v>
      </c>
      <c r="C311" s="26" t="b">
        <v>1</v>
      </c>
      <c r="D311" s="26" t="s">
        <v>35</v>
      </c>
      <c r="E311" s="26" t="s">
        <v>1510</v>
      </c>
      <c r="F311" s="59" t="s">
        <v>2622</v>
      </c>
      <c r="G311" s="39" t="s">
        <v>2623</v>
      </c>
      <c r="H311" s="82" t="s">
        <v>2624</v>
      </c>
      <c r="I311" s="43">
        <f>SUMIFS('Hoja 10'!$O:$O,'Hoja 10'!$F:$F,$G311)</f>
        <v>8</v>
      </c>
      <c r="J311" s="26">
        <f>IFERROR(__xludf.DUMMYFUNCTION("VLOOKUP(G311,IMPORTRANGE(""https://docs.google.com/spreadsheets/d/12RxCea4e5ggM7QGn1XE3FbLQa_-QbCNdBi90OdPjRqg/edit?gid=1692403370#gid=1692403370"", ""'Plan de Compras'!D4:2432""), 8,0)"),8.0)</f>
        <v>8</v>
      </c>
      <c r="K311" s="26" t="str">
        <f t="shared" si="31"/>
        <v>SI</v>
      </c>
      <c r="L311" s="29" t="s">
        <v>296</v>
      </c>
      <c r="M311" s="30" t="s">
        <v>297</v>
      </c>
      <c r="N311" s="61"/>
      <c r="O311" s="61" t="s">
        <v>2509</v>
      </c>
      <c r="P311" s="61" t="s">
        <v>2625</v>
      </c>
      <c r="Q311" s="55" t="s">
        <v>2626</v>
      </c>
      <c r="R311" s="30" t="s">
        <v>2627</v>
      </c>
      <c r="S311" s="34" t="b">
        <v>1</v>
      </c>
      <c r="T311" s="39" t="s">
        <v>2628</v>
      </c>
      <c r="U311" s="39" t="s">
        <v>2629</v>
      </c>
      <c r="V311" s="39" t="str">
        <f>IFERROR(__xludf.DUMMYFUNCTION(" IF
( VLOOKUP($G311,IMPORTRANGE(""https://docs.google.com/spreadsheets/d/1Gpl6jkTg7sL4VDNimUm3S9Vi1i95esohXCF3wuKOE8c"", ""'CONSOLIDADO'!G5:AB""), 10, 0) &lt;&gt; 0, 
IFERROR(VLOOKUP($G311,IMPORTRANGE(""https://docs.google.com/spreadsheets/d/1Gpl6jkTg7sL4VDNimU"&amp;"m3S9Vi1i95esohXCF3wuKOE8c"", ""'CONSOLIDADO'!G5:AB""), 17, 0), ""-""),
""""
)"),"RUSTARK")</f>
        <v>RUSTARK</v>
      </c>
      <c r="W311" s="39" t="str">
        <f>IFERROR(__xludf.DUMMYFUNCTION(" IF
( VLOOKUP($G311,IMPORTRANGE(""https://docs.google.com/spreadsheets/d/1Gpl6jkTg7sL4VDNimUm3S9Vi1i95esohXCF3wuKOE8c"", ""'CONSOLIDADO'!G5:AB""), 10, 0) &lt;&gt; 0, 
IFERROR(VLOOKUP($G311,IMPORTRANGE(""https://docs.google.com/spreadsheets/d/1Gpl6jkTg7sL4VDNimU"&amp;"m3S9Vi1i95esohXCF3wuKOE8c"", ""'CONSOLIDADO'!G5:AB""), 18, 0), ""-""),
""""
)"),"Juego de martillo de goma y plástico de doble cara de 0.984 in y 1.378 in")</f>
        <v>Juego de martillo de goma y plástico de doble cara de 0.984 in y 1.378 in</v>
      </c>
      <c r="X311" s="39" t="b">
        <f t="shared" si="37"/>
        <v>0</v>
      </c>
      <c r="Y311" s="120" t="s">
        <v>2617</v>
      </c>
      <c r="Z311" s="37" t="str">
        <f>IFERROR(__xludf.DUMMYFUNCTION("IFERROR(VLOOKUP(G311,IMPORTRANGE(""https://docs.google.com/spreadsheets/d/12RxCea4e5ggM7QGn1XE3FbLQa_-QbCNdBi90OdPjRqg"", ""'Plan de Compras'!D4:Q""), 12, 0), ""NO ESTÁ EN REQ"")"),"Simple")</f>
        <v>Simple</v>
      </c>
      <c r="AA311" s="37" t="str">
        <f>IFERROR(__xludf.DUMMYFUNCTION("IFERROR(VLOOKUP(G311,IMPORTRANGE(""https://docs.google.com/spreadsheets/d/12RxCea4e5ggM7QGn1XE3FbLQa_-QbCNdBi90OdPjRqg"", ""'Plan de Compras'!D4:Q""), 13, 0), """")"),"NACIONAL")</f>
        <v>NACIONAL</v>
      </c>
      <c r="AB311" s="32" t="str">
        <f>IFERROR(__xludf.DUMMYFUNCTION("IFERROR(VLOOKUP(G311,IMPORTRANGE(""https://docs.google.com/spreadsheets/d/12RxCea4e5ggM7QGn1XE3FbLQa_-QbCNdBi90OdPjRqg"", ""'Plan de Compras'!D4:Q""), 14, 0), """")"),"ALFIO")</f>
        <v>ALFIO</v>
      </c>
      <c r="AC311" s="72" t="str">
        <f>IFERROR(__xludf.DUMMYFUNCTION("IFERROR(VLOOKUP(G311,IMPORTRANGE(""https://docs.google.com/spreadsheets/d/12RxCea4e5ggM7QGn1XE3FbLQa_-QbCNdBi90OdPjRqg"", ""'Plan de Compras'!D4:Q""), 4, 0), """")"),"MAZO DE GOMA")</f>
        <v>MAZO DE GOMA</v>
      </c>
      <c r="AD311" s="37" t="str">
        <f>IFERROR(__xludf.DUMMYFUNCTION("IFERROR(IF(OR(C311=TRUE,C311=""""),VLOOKUP(G311,IMPORTRANGE(""https://docs.google.com/spreadsheets/d/1z9A1Wq-kKrhRNG5RS2a2fKpY1wIhSVz2ZNmP2mOl588/edit?usp=sharing"",""REQ VF!E4:H""),4,0),""NO APLICA""),""GENERAR REQ"")"),"GENERAR REQ")</f>
        <v>GENERAR REQ</v>
      </c>
      <c r="AE311" s="32" t="str">
        <f>IFERROR(__xludf.DUMMYFUNCTION("IFERROR(QUERY(IMPORTRANGE(""https://docs.google.com/spreadsheets/d/1z9A1Wq-kKrhRNG5RS2a2fKpY1wIhSVz2ZNmP2mOl588/edit?usp=sharing"",""REQ VF!E4:Q""),""SELECT Col10, Col11, Col12 WHERE Col1 = '""&amp;G311&amp;""'"",0),""NO APLICA"")"),"NO APLICA")</f>
        <v>NO APLICA</v>
      </c>
      <c r="AF311" s="32"/>
      <c r="AG311" s="32"/>
      <c r="AH311" s="13"/>
      <c r="AI311" s="13"/>
    </row>
    <row r="312">
      <c r="A312" s="117">
        <v>200.0</v>
      </c>
      <c r="B312" s="43" t="b">
        <v>1</v>
      </c>
      <c r="C312" s="26" t="b">
        <v>1</v>
      </c>
      <c r="D312" s="26" t="s">
        <v>35</v>
      </c>
      <c r="E312" s="26" t="s">
        <v>1510</v>
      </c>
      <c r="F312" s="59" t="s">
        <v>2622</v>
      </c>
      <c r="G312" s="39" t="s">
        <v>2630</v>
      </c>
      <c r="H312" s="82" t="s">
        <v>2624</v>
      </c>
      <c r="I312" s="43">
        <f>SUMIFS('Hoja 10'!$O:$O,'Hoja 10'!$F:$F,$G312)</f>
        <v>3</v>
      </c>
      <c r="J312" s="26">
        <f>IFERROR(__xludf.DUMMYFUNCTION("VLOOKUP(G312,IMPORTRANGE(""https://docs.google.com/spreadsheets/d/12RxCea4e5ggM7QGn1XE3FbLQa_-QbCNdBi90OdPjRqg/edit?gid=1692403370#gid=1692403370"", ""'Plan de Compras'!D4:2432""), 8,0)"),3.0)</f>
        <v>3</v>
      </c>
      <c r="K312" s="26" t="str">
        <f t="shared" si="31"/>
        <v>SI</v>
      </c>
      <c r="L312" s="29" t="s">
        <v>127</v>
      </c>
      <c r="M312" s="30" t="s">
        <v>105</v>
      </c>
      <c r="N312" s="32"/>
      <c r="O312" s="32" t="str">
        <f>VLOOKUP($G312,'Hoja 10'!$F$4:$AA1057, 19,0)</f>
        <v>LOGAZU</v>
      </c>
      <c r="P312" s="32" t="str">
        <f>VLOOKUP($G312,'Hoja 10'!$F$4:$AA1057, 20,0)</f>
        <v>8 Onzas</v>
      </c>
      <c r="Q312" s="33" t="str">
        <f>VLOOKUP($G312,'Hoja 10'!$F$4:$AA1057, 21,0)</f>
        <v>https://articulo.mercadolibre.cl/MLC-1546742643-lozagu-martillo-de-mazo-de-goma-de-8-oz-mango-de-fibra-de-v-_JM</v>
      </c>
      <c r="R312" s="30" t="s">
        <v>2631</v>
      </c>
      <c r="S312" s="34" t="b">
        <v>1</v>
      </c>
      <c r="T312" s="39" t="s">
        <v>2400</v>
      </c>
      <c r="U312" s="39" t="s">
        <v>2632</v>
      </c>
      <c r="V312" s="39" t="str">
        <f>IFERROR(__xludf.DUMMYFUNCTION(" IF
( VLOOKUP($G312,IMPORTRANGE(""https://docs.google.com/spreadsheets/d/1Gpl6jkTg7sL4VDNimUm3S9Vi1i95esohXCF3wuKOE8c"", ""'CONSOLIDADO'!G5:AB""), 10, 0) &lt;&gt; 0, 
IFERROR(VLOOKUP($G312,IMPORTRANGE(""https://docs.google.com/spreadsheets/d/1Gpl6jkTg7sL4VDNimU"&amp;"m3S9Vi1i95esohXCF3wuKOE8c"", ""'CONSOLIDADO'!G5:AB""), 17, 0), ""-""),
""""
)"),"STANLEY")</f>
        <v>STANLEY</v>
      </c>
      <c r="W312" s="39" t="str">
        <f>IFERROR(__xludf.DUMMYFUNCTION(" IF
( VLOOKUP($G312,IMPORTRANGE(""https://docs.google.com/spreadsheets/d/1Gpl6jkTg7sL4VDNimUm3S9Vi1i95esohXCF3wuKOE8c"", ""'CONSOLIDADO'!G5:AB""), 10, 0) &lt;&gt; 0, 
IFERROR(VLOOKUP($G312,IMPORTRANGE(""https://docs.google.com/spreadsheets/d/1Gpl6jkTg7sL4VDNimU"&amp;"m3S9Vi1i95esohXCF3wuKOE8c"", ""'CONSOLIDADO'!G5:AB""), 18, 0), ""-""),
""""
)"),"MAZO DE GOMA STANLEY 20 OZ")</f>
        <v>MAZO DE GOMA STANLEY 20 OZ</v>
      </c>
      <c r="X312" s="39" t="b">
        <f t="shared" si="37"/>
        <v>1</v>
      </c>
      <c r="Y312" s="120" t="s">
        <v>2617</v>
      </c>
      <c r="Z312" s="37" t="str">
        <f>IFERROR(__xludf.DUMMYFUNCTION("IFERROR(VLOOKUP(G312,IMPORTRANGE(""https://docs.google.com/spreadsheets/d/12RxCea4e5ggM7QGn1XE3FbLQa_-QbCNdBi90OdPjRqg"", ""'Plan de Compras'!D4:Q""), 12, 0), ""NO ESTÁ EN REQ"")"),"Simple")</f>
        <v>Simple</v>
      </c>
      <c r="AA312" s="37" t="str">
        <f>IFERROR(__xludf.DUMMYFUNCTION("IFERROR(VLOOKUP(G312,IMPORTRANGE(""https://docs.google.com/spreadsheets/d/12RxCea4e5ggM7QGn1XE3FbLQa_-QbCNdBi90OdPjRqg"", ""'Plan de Compras'!D4:Q""), 13, 0), """")"),"NACIONAL")</f>
        <v>NACIONAL</v>
      </c>
      <c r="AB312" s="32" t="str">
        <f>IFERROR(__xludf.DUMMYFUNCTION("IFERROR(VLOOKUP(G312,IMPORTRANGE(""https://docs.google.com/spreadsheets/d/12RxCea4e5ggM7QGn1XE3FbLQa_-QbCNdBi90OdPjRqg"", ""'Plan de Compras'!D4:Q""), 14, 0), """")"),"ALFIO")</f>
        <v>ALFIO</v>
      </c>
      <c r="AC312" s="72" t="str">
        <f>IFERROR(__xludf.DUMMYFUNCTION("IFERROR(VLOOKUP(G312,IMPORTRANGE(""https://docs.google.com/spreadsheets/d/12RxCea4e5ggM7QGn1XE3FbLQa_-QbCNdBi90OdPjRqg"", ""'Plan de Compras'!D4:Q""), 4, 0), """")"),"MAZO DE GOMA")</f>
        <v>MAZO DE GOMA</v>
      </c>
      <c r="AD312" s="37" t="str">
        <f>IFERROR(__xludf.DUMMYFUNCTION("IFERROR(IF(OR(C312=TRUE,C312=""""),VLOOKUP(G312,IMPORTRANGE(""https://docs.google.com/spreadsheets/d/1z9A1Wq-kKrhRNG5RS2a2fKpY1wIhSVz2ZNmP2mOl588/edit?usp=sharing"",""REQ VF!E4:H""),4,0),""NO APLICA""),""GENERAR REQ"")"),"GENERAR REQ")</f>
        <v>GENERAR REQ</v>
      </c>
      <c r="AE312" s="32" t="str">
        <f>IFERROR(__xludf.DUMMYFUNCTION("IFERROR(QUERY(IMPORTRANGE(""https://docs.google.com/spreadsheets/d/1z9A1Wq-kKrhRNG5RS2a2fKpY1wIhSVz2ZNmP2mOl588/edit?usp=sharing"",""REQ VF!E4:Q""),""SELECT Col10, Col11, Col12 WHERE Col1 = '""&amp;G312&amp;""'"",0),""NO APLICA"")"),"NO APLICA")</f>
        <v>NO APLICA</v>
      </c>
      <c r="AF312" s="32"/>
      <c r="AG312" s="32"/>
      <c r="AH312" s="13"/>
      <c r="AI312" s="13"/>
    </row>
    <row r="313">
      <c r="A313" s="117">
        <v>201.0</v>
      </c>
      <c r="B313" s="43" t="b">
        <v>1</v>
      </c>
      <c r="C313" s="26" t="b">
        <v>1</v>
      </c>
      <c r="D313" s="26" t="s">
        <v>35</v>
      </c>
      <c r="E313" s="26" t="s">
        <v>1510</v>
      </c>
      <c r="F313" s="59" t="s">
        <v>2633</v>
      </c>
      <c r="G313" s="37" t="s">
        <v>2633</v>
      </c>
      <c r="H313" s="82" t="s">
        <v>2634</v>
      </c>
      <c r="I313" s="43">
        <f>SUMIFS('Hoja 10'!$O:$O,'Hoja 10'!$F:$F,$G313)</f>
        <v>16</v>
      </c>
      <c r="J313" s="26">
        <f>IFERROR(__xludf.DUMMYFUNCTION("VLOOKUP(G313,IMPORTRANGE(""https://docs.google.com/spreadsheets/d/12RxCea4e5ggM7QGn1XE3FbLQa_-QbCNdBi90OdPjRqg/edit?gid=1692403370#gid=1692403370"", ""'Plan de Compras'!D4:2432""), 8,0)"),16.0)</f>
        <v>16</v>
      </c>
      <c r="K313" s="26" t="str">
        <f t="shared" si="31"/>
        <v>SI</v>
      </c>
      <c r="L313" s="29" t="s">
        <v>339</v>
      </c>
      <c r="M313" s="30" t="s">
        <v>340</v>
      </c>
      <c r="N313" s="32"/>
      <c r="O313" s="32" t="str">
        <f>VLOOKUP($G313,'Hoja 10'!$F$4:$AA1057, 19,0)</f>
        <v>NEXXT</v>
      </c>
      <c r="P313" s="32" t="str">
        <f>VLOOKUP($G313,'Hoja 10'!$F$4:$AA1057, 20,0)</f>
        <v>AW250NXT09</v>
      </c>
      <c r="Q313" s="33" t="str">
        <f>VLOOKUP($G313,'Hoja 10'!$F$4:$AA1057, 21,0)</f>
        <v>https://drive.google.com/file/d/18MigtMJJDfa63y6AOD4e5URhXJ9SfIjS/view</v>
      </c>
      <c r="R313" s="86" t="s">
        <v>2635</v>
      </c>
      <c r="S313" s="44" t="b">
        <v>1</v>
      </c>
      <c r="T313" s="39" t="s">
        <v>47</v>
      </c>
      <c r="U313" s="39" t="s">
        <v>2636</v>
      </c>
      <c r="V313" s="39" t="str">
        <f>IFERROR(__xludf.DUMMYFUNCTION(" IF
( VLOOKUP($G313,IMPORTRANGE(""https://docs.google.com/spreadsheets/d/1Gpl6jkTg7sL4VDNimUm3S9Vi1i95esohXCF3wuKOE8c"", ""'CONSOLIDADO'!G5:AB""), 10, 0) &lt;&gt; 0, 
IFERROR(VLOOKUP($G313,IMPORTRANGE(""https://docs.google.com/spreadsheets/d/1Gpl6jkTg7sL4VDNimU"&amp;"m3S9Vi1i95esohXCF3wuKOE8c"", ""'CONSOLIDADO'!G5:AB""), 17, 0), ""-""),
""""
)"),"OEM")</f>
        <v>OEM</v>
      </c>
      <c r="W313" s="39" t="str">
        <f>IFERROR(__xludf.DUMMYFUNCTION(" IF
( VLOOKUP($G313,IMPORTRANGE(""https://docs.google.com/spreadsheets/d/1Gpl6jkTg7sL4VDNimUm3S9Vi1i95esohXCF3wuKOE8c"", ""'CONSOLIDADO'!G5:AB""), 10, 0) &lt;&gt; 0, 
IFERROR(VLOOKUP($G313,IMPORTRANGE(""https://docs.google.com/spreadsheets/d/1Gpl6jkTg7sL4VDNimU"&amp;"m3S9Vi1i95esohXCF3wuKOE8c"", ""'CONSOLIDADO'!G5:AB""), 18, 0), ""-""),
""""
)"),"HT-352")</f>
        <v>HT-352</v>
      </c>
      <c r="X313" s="39" t="b">
        <f t="shared" si="37"/>
        <v>0</v>
      </c>
      <c r="Y313" s="120" t="s">
        <v>2637</v>
      </c>
      <c r="Z313" s="37" t="str">
        <f>IFERROR(__xludf.DUMMYFUNCTION("IFERROR(VLOOKUP(G313,IMPORTRANGE(""https://docs.google.com/spreadsheets/d/12RxCea4e5ggM7QGn1XE3FbLQa_-QbCNdBi90OdPjRqg"", ""'Plan de Compras'!D4:Q""), 12, 0), ""NO ESTÁ EN REQ"")"),"Técnica")</f>
        <v>Técnica</v>
      </c>
      <c r="AA313" s="37" t="str">
        <f>IFERROR(__xludf.DUMMYFUNCTION("IFERROR(VLOOKUP(G313,IMPORTRANGE(""https://docs.google.com/spreadsheets/d/12RxCea4e5ggM7QGn1XE3FbLQa_-QbCNdBi90OdPjRqg"", ""'Plan de Compras'!D4:Q""), 13, 0), """")"),"NACIONAL")</f>
        <v>NACIONAL</v>
      </c>
      <c r="AB313" s="32" t="str">
        <f>IFERROR(__xludf.DUMMYFUNCTION("IFERROR(VLOOKUP(G313,IMPORTRANGE(""https://docs.google.com/spreadsheets/d/12RxCea4e5ggM7QGn1XE3FbLQa_-QbCNdBi90OdPjRqg"", ""'Plan de Compras'!D4:Q""), 14, 0), """")"),"ANGIE")</f>
        <v>ANGIE</v>
      </c>
      <c r="AC313" s="72" t="str">
        <f>IFERROR(__xludf.DUMMYFUNCTION("IFERROR(VLOOKUP(G313,IMPORTRANGE(""https://docs.google.com/spreadsheets/d/12RxCea4e5ggM7QGn1XE3FbLQa_-QbCNdBi90OdPjRqg"", ""'Plan de Compras'!D4:Q""), 4, 0), """")"),"PELA CABLE UNIVERSAL")</f>
        <v>PELA CABLE UNIVERSAL</v>
      </c>
      <c r="AD313" s="37" t="str">
        <f>IFERROR(__xludf.DUMMYFUNCTION("IFERROR(IF(OR(C313=TRUE,C313=""""),VLOOKUP(G313,IMPORTRANGE(""https://docs.google.com/spreadsheets/d/1z9A1Wq-kKrhRNG5RS2a2fKpY1wIhSVz2ZNmP2mOl588/edit?usp=sharing"",""REQ VF!E4:H""),4,0),""NO APLICA""),""GENERAR REQ"")"),"GENERAR REQ")</f>
        <v>GENERAR REQ</v>
      </c>
      <c r="AE313" s="32" t="str">
        <f>IFERROR(__xludf.DUMMYFUNCTION("IFERROR(QUERY(IMPORTRANGE(""https://docs.google.com/spreadsheets/d/1z9A1Wq-kKrhRNG5RS2a2fKpY1wIhSVz2ZNmP2mOl588/edit?usp=sharing"",""REQ VF!E4:Q""),""SELECT Col10, Col11, Col12 WHERE Col1 = '""&amp;G313&amp;""'"",0),""NO APLICA"")"),"NO APLICA")</f>
        <v>NO APLICA</v>
      </c>
      <c r="AF313" s="32"/>
      <c r="AG313" s="32"/>
      <c r="AH313" s="13"/>
      <c r="AI313" s="13"/>
    </row>
    <row r="314">
      <c r="A314" s="121">
        <v>202.0</v>
      </c>
      <c r="B314" s="43" t="b">
        <v>1</v>
      </c>
      <c r="C314" s="26" t="b">
        <v>1</v>
      </c>
      <c r="D314" s="26" t="s">
        <v>35</v>
      </c>
      <c r="E314" s="26" t="s">
        <v>1510</v>
      </c>
      <c r="F314" s="59" t="s">
        <v>2638</v>
      </c>
      <c r="G314" s="37" t="s">
        <v>2638</v>
      </c>
      <c r="H314" s="82" t="s">
        <v>2639</v>
      </c>
      <c r="I314" s="43">
        <f>SUMIFS('Hoja 10'!$O:$O,'Hoja 10'!$F:$F,$G314)</f>
        <v>3</v>
      </c>
      <c r="J314" s="26">
        <f>IFERROR(__xludf.DUMMYFUNCTION("VLOOKUP(G314,IMPORTRANGE(""https://docs.google.com/spreadsheets/d/12RxCea4e5ggM7QGn1XE3FbLQa_-QbCNdBi90OdPjRqg/edit?gid=1692403370#gid=1692403370"", ""'Plan de Compras'!D4:2432""), 8,0)"),3.0)</f>
        <v>3</v>
      </c>
      <c r="K314" s="26" t="str">
        <f t="shared" si="31"/>
        <v>SI</v>
      </c>
      <c r="L314" s="29" t="s">
        <v>127</v>
      </c>
      <c r="M314" s="30" t="s">
        <v>105</v>
      </c>
      <c r="N314" s="32"/>
      <c r="O314" s="32" t="str">
        <f>VLOOKUP($G314,'Hoja 10'!$F$4:$AA1057, 19,0)</f>
        <v>GENERICO</v>
      </c>
      <c r="P314" s="32" t="str">
        <f>VLOOKUP($G314,'Hoja 10'!$F$4:$AA1057, 20,0)</f>
        <v>GENERICO</v>
      </c>
      <c r="Q314" s="33" t="str">
        <f>VLOOKUP($G314,'Hoja 10'!$F$4:$AA1057, 21,0)</f>
        <v>https://www.alibaba.com/product-detail/OEM-Logo-Wooden-Handle-Machinist-Hammer_1601218393734.html?spm=a2700.7724857.0.0.650f400asMaz51-https://solter.com/en_GB/shop/06003-welding-pickaxe-wooden-handle-40285#attr=8691,8692</v>
      </c>
      <c r="R314" s="86" t="s">
        <v>2640</v>
      </c>
      <c r="S314" s="34" t="b">
        <v>1</v>
      </c>
      <c r="T314" s="39" t="str">
        <f>IFERROR(__xludf.DUMMYFUNCTION(" IF
( VLOOKUP($G314,IMPORTRANGE(""https://docs.google.com/spreadsheets/d/1Gpl6jkTg7sL4VDNimUm3S9Vi1i95esohXCF3wuKOE8c"", ""'CONSOLIDADO'!G5:AB""), 10, 0) &lt;&gt; 0, 
IFERROR(VLOOKUP($G314,IMPORTRANGE(""https://docs.google.com/spreadsheets/d/1Gpl6jkTg7sL4VDNimU"&amp;"m3S9Vi1i95esohXCF3wuKOE8c"", ""'CONSOLIDADO'!G5:AB""), 17, 0), ""-""),
""""
)"),"YIKANGHENG")</f>
        <v>YIKANGHENG</v>
      </c>
      <c r="U314" s="39" t="str">
        <f>IFERROR(__xludf.DUMMYFUNCTION(" IF
( VLOOKUP($G314,IMPORTRANGE(""https://docs.google.com/spreadsheets/d/1Gpl6jkTg7sL4VDNimUm3S9Vi1i95esohXCF3wuKOE8c"", ""'CONSOLIDADO'!G5:AB""), 10, 0) &lt;&gt; 0, 
IFERROR(VLOOKUP($G314,IMPORTRANGE(""https://docs.google.com/spreadsheets/d/1Gpl6jkTg7sL4VDNimU"&amp;"m3S9Vi1i95esohXCF3wuKOE8c"", ""'CONSOLIDADO'!G5:AB""), 18, 0), ""-""),
""""
)"),"B0CWNZWYJ2")</f>
        <v>B0CWNZWYJ2</v>
      </c>
      <c r="V314" s="39" t="str">
        <f>IFERROR(__xludf.DUMMYFUNCTION(" IF
( VLOOKUP($G314,IMPORTRANGE(""https://docs.google.com/spreadsheets/d/1Gpl6jkTg7sL4VDNimUm3S9Vi1i95esohXCF3wuKOE8c"", ""'CONSOLIDADO'!G5:AB""), 10, 0) &lt;&gt; 0, 
IFERROR(VLOOKUP($G314,IMPORTRANGE(""https://docs.google.com/spreadsheets/d/1Gpl6jkTg7sL4VDNimU"&amp;"m3S9Vi1i95esohXCF3wuKOE8c"", ""'CONSOLIDADO'!G5:AB""), 17, 0), ""-""),
""""
)"),"YIKANGHENG")</f>
        <v>YIKANGHENG</v>
      </c>
      <c r="W314" s="39" t="str">
        <f>IFERROR(__xludf.DUMMYFUNCTION(" IF
( VLOOKUP($G314,IMPORTRANGE(""https://docs.google.com/spreadsheets/d/1Gpl6jkTg7sL4VDNimUm3S9Vi1i95esohXCF3wuKOE8c"", ""'CONSOLIDADO'!G5:AB""), 10, 0) &lt;&gt; 0, 
IFERROR(VLOOKUP($G314,IMPORTRANGE(""https://docs.google.com/spreadsheets/d/1Gpl6jkTg7sL4VDNimU"&amp;"m3S9Vi1i95esohXCF3wuKOE8c"", ""'CONSOLIDADO'!G5:AB""), 18, 0), ""-""),
""""
)"),"B0CWNZWYJ2")</f>
        <v>B0CWNZWYJ2</v>
      </c>
      <c r="X314" s="39" t="b">
        <f t="shared" si="37"/>
        <v>1</v>
      </c>
      <c r="Y314" s="120" t="str">
        <f>IFERROR(__xludf.DUMMYFUNCTION(" IF
( VLOOKUP($G314,IMPORTRANGE(""https://docs.google.com/spreadsheets/d/1Gpl6jkTg7sL4VDNimUm3S9Vi1i95esohXCF3wuKOE8c"", ""'CONSOLIDADO'!G5:AB""), 10, 0) &lt;&gt; 0, 
IFERROR(VLOOKUP($G314,IMPORTRANGE(""https://docs.google.com/spreadsheets/d/1Gpl6jkTg7sL4VDNimU"&amp;"m3S9Vi1i95esohXCF3wuKOE8c"", ""'CONSOLIDADO'!G5:AB""), 19, 0), ""-""),
""""
)"),"https://www.amazon.com/dp/B0CWNZWYJ2/ref=sspa_dk_detail_5?pd_rd_i=B0CWNZWYJ2&amp;pd_rd_w=jsvq1&amp;content-id=amzn1.sym.f2f1cf8f-cab4-44dc-82ba-0ca811fb90cc&amp;pf_rd_p=f2f1cf8f-cab4-44dc-82ba-0ca811fb90cc&amp;pf_rd_r=VM0JTH08S4AJTV9CG4RQ&amp;pd_rd_wg=WDc4F&amp;pd_rd_r=04363ac2-"&amp;"2dfb-476f-9ab1-6da5d6df36b2&amp;sp_csd=d2lkZ2V0TmFtZT1zcF9kZXRhaWxfdGhlbWF0aWM&amp;th=1")</f>
        <v>https://www.amazon.com/dp/B0CWNZWYJ2/ref=sspa_dk_detail_5?pd_rd_i=B0CWNZWYJ2&amp;pd_rd_w=jsvq1&amp;content-id=amzn1.sym.f2f1cf8f-cab4-44dc-82ba-0ca811fb90cc&amp;pf_rd_p=f2f1cf8f-cab4-44dc-82ba-0ca811fb90cc&amp;pf_rd_r=VM0JTH08S4AJTV9CG4RQ&amp;pd_rd_wg=WDc4F&amp;pd_rd_r=04363ac2-2dfb-476f-9ab1-6da5d6df36b2&amp;sp_csd=d2lkZ2V0TmFtZT1zcF9kZXRhaWxfdGhlbWF0aWM&amp;th=1</v>
      </c>
      <c r="Z314" s="37" t="str">
        <f>IFERROR(__xludf.DUMMYFUNCTION("IFERROR(VLOOKUP(G314,IMPORTRANGE(""https://docs.google.com/spreadsheets/d/12RxCea4e5ggM7QGn1XE3FbLQa_-QbCNdBi90OdPjRqg"", ""'Plan de Compras'!D4:Q""), 12, 0), ""NO ESTÁ EN REQ"")"),"Técnica")</f>
        <v>Técnica</v>
      </c>
      <c r="AA314" s="37" t="str">
        <f>IFERROR(__xludf.DUMMYFUNCTION("IFERROR(VLOOKUP(G314,IMPORTRANGE(""https://docs.google.com/spreadsheets/d/12RxCea4e5ggM7QGn1XE3FbLQa_-QbCNdBi90OdPjRqg"", ""'Plan de Compras'!D4:Q""), 13, 0), """")"),"INTERNACIONAL")</f>
        <v>INTERNACIONAL</v>
      </c>
      <c r="AB314" s="32" t="str">
        <f>IFERROR(__xludf.DUMMYFUNCTION("IFERROR(VLOOKUP(G314,IMPORTRANGE(""https://docs.google.com/spreadsheets/d/12RxCea4e5ggM7QGn1XE3FbLQa_-QbCNdBi90OdPjRqg"", ""'Plan de Compras'!D4:Q""), 14, 0), """")"),"GIANFRANCO")</f>
        <v>GIANFRANCO</v>
      </c>
      <c r="AC314" s="72" t="str">
        <f>IFERROR(__xludf.DUMMYFUNCTION("IFERROR(VLOOKUP(G314,IMPORTRANGE(""https://docs.google.com/spreadsheets/d/12RxCea4e5ggM7QGn1XE3FbLQa_-QbCNdBi90OdPjRqg"", ""'Plan de Compras'!D4:Q""), 4, 0), """")"),"PIQUETA MARTILLO CINCEL")</f>
        <v>PIQUETA MARTILLO CINCEL</v>
      </c>
      <c r="AD314" s="37" t="str">
        <f>IFERROR(__xludf.DUMMYFUNCTION("IFERROR(IF(OR(C314=TRUE,C314=""""),VLOOKUP(G314,IMPORTRANGE(""https://docs.google.com/spreadsheets/d/1z9A1Wq-kKrhRNG5RS2a2fKpY1wIhSVz2ZNmP2mOl588/edit?usp=sharing"",""REQ VF!E4:H""),4,0),""NO APLICA""),""GENERAR REQ"")"),"GENERAR REQ")</f>
        <v>GENERAR REQ</v>
      </c>
      <c r="AE314" s="32" t="str">
        <f>IFERROR(__xludf.DUMMYFUNCTION("IFERROR(QUERY(IMPORTRANGE(""https://docs.google.com/spreadsheets/d/1z9A1Wq-kKrhRNG5RS2a2fKpY1wIhSVz2ZNmP2mOl588/edit?usp=sharing"",""REQ VF!E4:Q""),""SELECT Col10, Col11, Col12 WHERE Col1 = '""&amp;G314&amp;""'"",0),""NO APLICA"")"),"NO APLICA")</f>
        <v>NO APLICA</v>
      </c>
      <c r="AF314" s="32"/>
      <c r="AG314" s="32"/>
      <c r="AH314" s="13"/>
      <c r="AI314" s="13"/>
    </row>
    <row r="315">
      <c r="A315" s="121">
        <v>203.0</v>
      </c>
      <c r="B315" s="43" t="b">
        <v>1</v>
      </c>
      <c r="C315" s="26" t="b">
        <v>1</v>
      </c>
      <c r="D315" s="26" t="s">
        <v>35</v>
      </c>
      <c r="E315" s="26" t="s">
        <v>1510</v>
      </c>
      <c r="F315" s="59" t="s">
        <v>2641</v>
      </c>
      <c r="G315" s="37" t="s">
        <v>2641</v>
      </c>
      <c r="H315" s="82" t="s">
        <v>2642</v>
      </c>
      <c r="I315" s="43">
        <f>SUMIFS('Hoja 10'!$O:$O,'Hoja 10'!$F:$F,$G315)</f>
        <v>35</v>
      </c>
      <c r="J315" s="26">
        <f>IFERROR(__xludf.DUMMYFUNCTION("VLOOKUP(G315,IMPORTRANGE(""https://docs.google.com/spreadsheets/d/12RxCea4e5ggM7QGn1XE3FbLQa_-QbCNdBi90OdPjRqg/edit?gid=1692403370#gid=1692403370"", ""'Plan de Compras'!D4:2432""), 8,0)"),35.0)</f>
        <v>35</v>
      </c>
      <c r="K315" s="26" t="str">
        <f t="shared" si="31"/>
        <v>SI</v>
      </c>
      <c r="L315" s="29" t="s">
        <v>585</v>
      </c>
      <c r="M315" s="30" t="s">
        <v>105</v>
      </c>
      <c r="N315" s="32"/>
      <c r="O315" s="32" t="str">
        <f>VLOOKUP($G315,'Hoja 10'!$F$4:$AA1057, 19,0)</f>
        <v>STANLEY</v>
      </c>
      <c r="P315" s="32" t="str">
        <f>VLOOKUP($G315,'Hoja 10'!$F$4:$AA1057, 20,0)</f>
        <v>83-503</v>
      </c>
      <c r="Q315" s="33" t="str">
        <f>VLOOKUP($G315,'Hoja 10'!$F$4:$AA1057, 21,0)</f>
        <v>https://prosinfer.pe/product/prensas-c-3%E2%80%B3-80-mm-stanley-83-503/</v>
      </c>
      <c r="R315" s="86" t="s">
        <v>2643</v>
      </c>
      <c r="S315" s="44" t="b">
        <v>1</v>
      </c>
      <c r="T315" s="39" t="str">
        <f>IFERROR(__xludf.DUMMYFUNCTION(" IF
( VLOOKUP($G315,IMPORTRANGE(""https://docs.google.com/spreadsheets/d/1Gpl6jkTg7sL4VDNimUm3S9Vi1i95esohXCF3wuKOE8c"", ""'CONSOLIDADO'!G5:AB""), 10, 0) &lt;&gt; 0, 
IFERROR(VLOOKUP($G315,IMPORTRANGE(""https://docs.google.com/spreadsheets/d/1Gpl6jkTg7sL4VDNimU"&amp;"m3S9Vi1i95esohXCF3wuKOE8c"", ""'CONSOLIDADO'!G5:AB""), 17, 0), ""-""),
""""
)"),"TRUPER")</f>
        <v>TRUPER</v>
      </c>
      <c r="U315" s="39" t="str">
        <f>IFERROR(__xludf.DUMMYFUNCTION(" IF
( VLOOKUP($G315,IMPORTRANGE(""https://docs.google.com/spreadsheets/d/1Gpl6jkTg7sL4VDNimUm3S9Vi1i95esohXCF3wuKOE8c"", ""'CONSOLIDADO'!G5:AB""), 10, 0) &lt;&gt; 0, 
IFERROR(VLOOKUP($G315,IMPORTRANGE(""https://docs.google.com/spreadsheets/d/1Gpl6jkTg7sL4VDNimU"&amp;"m3S9Vi1i95esohXCF3wuKOE8c"", ""'CONSOLIDADO'!G5:AB""), 18, 0), ""-""),
""""
)"),"PTF-4")</f>
        <v>PTF-4</v>
      </c>
      <c r="V315" s="39" t="str">
        <f>IFERROR(__xludf.DUMMYFUNCTION(" IF
( VLOOKUP($G315,IMPORTRANGE(""https://docs.google.com/spreadsheets/d/1Gpl6jkTg7sL4VDNimUm3S9Vi1i95esohXCF3wuKOE8c"", ""'CONSOLIDADO'!G5:AB""), 10, 0) &lt;&gt; 0, 
IFERROR(VLOOKUP($G315,IMPORTRANGE(""https://docs.google.com/spreadsheets/d/1Gpl6jkTg7sL4VDNimU"&amp;"m3S9Vi1i95esohXCF3wuKOE8c"", ""'CONSOLIDADO'!G5:AB""), 17, 0), ""-""),
""""
)"),"TRUPER")</f>
        <v>TRUPER</v>
      </c>
      <c r="W315" s="39" t="str">
        <f>IFERROR(__xludf.DUMMYFUNCTION(" IF
( VLOOKUP($G315,IMPORTRANGE(""https://docs.google.com/spreadsheets/d/1Gpl6jkTg7sL4VDNimUm3S9Vi1i95esohXCF3wuKOE8c"", ""'CONSOLIDADO'!G5:AB""), 10, 0) &lt;&gt; 0, 
IFERROR(VLOOKUP($G315,IMPORTRANGE(""https://docs.google.com/spreadsheets/d/1Gpl6jkTg7sL4VDNimU"&amp;"m3S9Vi1i95esohXCF3wuKOE8c"", ""'CONSOLIDADO'!G5:AB""), 18, 0), ""-""),
""""
)"),"PTF-4")</f>
        <v>PTF-4</v>
      </c>
      <c r="X315" s="39" t="b">
        <f t="shared" si="37"/>
        <v>1</v>
      </c>
      <c r="Y315" s="120" t="str">
        <f>IFERROR(__xludf.DUMMYFUNCTION(" IF
( VLOOKUP($G315,IMPORTRANGE(""https://docs.google.com/spreadsheets/d/1Gpl6jkTg7sL4VDNimUm3S9Vi1i95esohXCF3wuKOE8c"", ""'CONSOLIDADO'!G5:AB""), 10, 0) &lt;&gt; 0, 
IFERROR(VLOOKUP($G315,IMPORTRANGE(""https://docs.google.com/spreadsheets/d/1Gpl6jkTg7sL4VDNimU"&amp;"m3S9Vi1i95esohXCF3wuKOE8c"", ""'CONSOLIDADO'!G5:AB""), 19, 0), ""-""),
""""
)"),"https://www.truper.com/ficha_tecnica/Prensas-forjadas-en-acero-uso-industrial.html?code=17655")</f>
        <v>https://www.truper.com/ficha_tecnica/Prensas-forjadas-en-acero-uso-industrial.html?code=17655</v>
      </c>
      <c r="Z315" s="37" t="str">
        <f>IFERROR(__xludf.DUMMYFUNCTION("IFERROR(VLOOKUP(G315,IMPORTRANGE(""https://docs.google.com/spreadsheets/d/12RxCea4e5ggM7QGn1XE3FbLQa_-QbCNdBi90OdPjRqg"", ""'Plan de Compras'!D4:Q""), 12, 0), ""NO ESTÁ EN REQ"")"),"Técnica")</f>
        <v>Técnica</v>
      </c>
      <c r="AA315" s="37" t="str">
        <f>IFERROR(__xludf.DUMMYFUNCTION("IFERROR(VLOOKUP(G315,IMPORTRANGE(""https://docs.google.com/spreadsheets/d/12RxCea4e5ggM7QGn1XE3FbLQa_-QbCNdBi90OdPjRqg"", ""'Plan de Compras'!D4:Q""), 13, 0), """")"),"NACIONAL")</f>
        <v>NACIONAL</v>
      </c>
      <c r="AB315" s="32" t="str">
        <f>IFERROR(__xludf.DUMMYFUNCTION("IFERROR(VLOOKUP(G315,IMPORTRANGE(""https://docs.google.com/spreadsheets/d/12RxCea4e5ggM7QGn1XE3FbLQa_-QbCNdBi90OdPjRqg"", ""'Plan de Compras'!D4:Q""), 14, 0), """")"),"JESSICA")</f>
        <v>JESSICA</v>
      </c>
      <c r="AC315" s="72" t="str">
        <f>IFERROR(__xludf.DUMMYFUNCTION("IFERROR(VLOOKUP(G315,IMPORTRANGE(""https://docs.google.com/spreadsheets/d/12RxCea4e5ggM7QGn1XE3FbLQa_-QbCNdBi90OdPjRqg"", ""'Plan de Compras'!D4:Q""), 4, 0), """")"),"PRENSA C")</f>
        <v>PRENSA C</v>
      </c>
      <c r="AD315" s="37" t="str">
        <f>IFERROR(__xludf.DUMMYFUNCTION("IFERROR(IF(OR(C315=TRUE,C315=""""),VLOOKUP(G315,IMPORTRANGE(""https://docs.google.com/spreadsheets/d/1z9A1Wq-kKrhRNG5RS2a2fKpY1wIhSVz2ZNmP2mOl588/edit?usp=sharing"",""REQ VF!E4:H""),4,0),""NO APLICA""),""GENERAR REQ"")"),"GENERAR REQ")</f>
        <v>GENERAR REQ</v>
      </c>
      <c r="AE315" s="32" t="str">
        <f>IFERROR(__xludf.DUMMYFUNCTION("IFERROR(QUERY(IMPORTRANGE(""https://docs.google.com/spreadsheets/d/1z9A1Wq-kKrhRNG5RS2a2fKpY1wIhSVz2ZNmP2mOl588/edit?usp=sharing"",""REQ VF!E4:Q""),""SELECT Col10, Col11, Col12 WHERE Col1 = '""&amp;G315&amp;""'"",0),""NO APLICA"")"),"NO APLICA")</f>
        <v>NO APLICA</v>
      </c>
      <c r="AF315" s="32"/>
      <c r="AG315" s="32"/>
      <c r="AH315" s="8" t="s">
        <v>52</v>
      </c>
      <c r="AI315" s="13"/>
    </row>
    <row r="316">
      <c r="A316" s="121">
        <v>204.0</v>
      </c>
      <c r="B316" s="43" t="b">
        <v>1</v>
      </c>
      <c r="C316" s="26" t="b">
        <v>1</v>
      </c>
      <c r="D316" s="26" t="s">
        <v>35</v>
      </c>
      <c r="E316" s="26" t="s">
        <v>1510</v>
      </c>
      <c r="F316" s="59" t="s">
        <v>2644</v>
      </c>
      <c r="G316" s="37" t="s">
        <v>2644</v>
      </c>
      <c r="H316" s="82" t="s">
        <v>2645</v>
      </c>
      <c r="I316" s="43">
        <f>SUMIFS('Hoja 10'!$O:$O,'Hoja 10'!$F:$F,$G316)</f>
        <v>2</v>
      </c>
      <c r="J316" s="26">
        <f>IFERROR(__xludf.DUMMYFUNCTION("VLOOKUP(G316,IMPORTRANGE(""https://docs.google.com/spreadsheets/d/12RxCea4e5ggM7QGn1XE3FbLQa_-QbCNdBi90OdPjRqg/edit?gid=1692403370#gid=1692403370"", ""'Plan de Compras'!D4:2432""), 8,0)"),2.0)</f>
        <v>2</v>
      </c>
      <c r="K316" s="26" t="str">
        <f t="shared" si="31"/>
        <v>SI</v>
      </c>
      <c r="L316" s="29" t="s">
        <v>185</v>
      </c>
      <c r="M316" s="30" t="s">
        <v>186</v>
      </c>
      <c r="N316" s="32"/>
      <c r="O316" s="32" t="str">
        <f>VLOOKUP($G316,'Hoja 10'!$F$4:$AA1057, 19,0)</f>
        <v>HERMMEX</v>
      </c>
      <c r="P316" s="32" t="str">
        <f>VLOOKUP($G316,'Hoja 10'!$F$4:$AA1057, 20,0)</f>
        <v> M-94b</v>
      </c>
      <c r="Q316" s="33" t="str">
        <f>VLOOKUP($G316,'Hoja 10'!$F$4:$AA1057, 21,0)</f>
        <v>https://www.claroshop.com/producto/14785171/ojilladora-remachadora-manual-m-94b?utm_source=chatgpt.com</v>
      </c>
      <c r="R316" s="136" t="s">
        <v>2646</v>
      </c>
      <c r="S316" s="34" t="b">
        <v>1</v>
      </c>
      <c r="T316" s="39" t="str">
        <f>IFERROR(__xludf.DUMMYFUNCTION(" IF
( VLOOKUP($G316,IMPORTRANGE(""https://docs.google.com/spreadsheets/d/1Gpl6jkTg7sL4VDNimUm3S9Vi1i95esohXCF3wuKOE8c"", ""'CONSOLIDADO'!G5:AB""), 10, 0) &lt;&gt; 0, 
IFERROR(VLOOKUP($G316,IMPORTRANGE(""https://docs.google.com/spreadsheets/d/1Gpl6jkTg7sL4VDNimU"&amp;"m3S9Vi1i95esohXCF3wuKOE8c"", ""'CONSOLIDADO'!G5:AB""), 17, 0), ""-""),
""""
)"),"W.VEDO.M")</f>
        <v>W.VEDO.M</v>
      </c>
      <c r="U316" s="39" t="str">
        <f>IFERROR(__xludf.DUMMYFUNCTION(" IF
( VLOOKUP($G316,IMPORTRANGE(""https://docs.google.com/spreadsheets/d/1Gpl6jkTg7sL4VDNimUm3S9Vi1i95esohXCF3wuKOE8c"", ""'CONSOLIDADO'!G5:AB""), 10, 0) &lt;&gt; 0, 
IFERROR(VLOOKUP($G316,IMPORTRANGE(""https://docs.google.com/spreadsheets/d/1Gpl6jkTg7sL4VDNimU"&amp;"m3S9Vi1i95esohXCF3wuKOE8c"", ""'CONSOLIDADO'!G5:AB""), 18, 0), ""-""),
""""
)"),"DK93")</f>
        <v>DK93</v>
      </c>
      <c r="V316" s="39" t="str">
        <f>IFERROR(__xludf.DUMMYFUNCTION(" IF
( VLOOKUP($G316,IMPORTRANGE(""https://docs.google.com/spreadsheets/d/1Gpl6jkTg7sL4VDNimUm3S9Vi1i95esohXCF3wuKOE8c"", ""'CONSOLIDADO'!G5:AB""), 10, 0) &lt;&gt; 0, 
IFERROR(VLOOKUP($G316,IMPORTRANGE(""https://docs.google.com/spreadsheets/d/1Gpl6jkTg7sL4VDNimU"&amp;"m3S9Vi1i95esohXCF3wuKOE8c"", ""'CONSOLIDADO'!G5:AB""), 17, 0), ""-""),
""""
)"),"W.VEDO.M")</f>
        <v>W.VEDO.M</v>
      </c>
      <c r="W316" s="39" t="str">
        <f>IFERROR(__xludf.DUMMYFUNCTION(" IF
( VLOOKUP($G316,IMPORTRANGE(""https://docs.google.com/spreadsheets/d/1Gpl6jkTg7sL4VDNimUm3S9Vi1i95esohXCF3wuKOE8c"", ""'CONSOLIDADO'!G5:AB""), 10, 0) &lt;&gt; 0, 
IFERROR(VLOOKUP($G316,IMPORTRANGE(""https://docs.google.com/spreadsheets/d/1Gpl6jkTg7sL4VDNimU"&amp;"m3S9Vi1i95esohXCF3wuKOE8c"", ""'CONSOLIDADO'!G5:AB""), 18, 0), ""-""),
""""
)"),"DK93")</f>
        <v>DK93</v>
      </c>
      <c r="X316" s="39" t="b">
        <f t="shared" si="37"/>
        <v>1</v>
      </c>
      <c r="Y316" s="110" t="str">
        <f>IFERROR(__xludf.DUMMYFUNCTION(" IF
( VLOOKUP($G316,IMPORTRANGE(""https://docs.google.com/spreadsheets/d/1Gpl6jkTg7sL4VDNimUm3S9Vi1i95esohXCF3wuKOE8c"", ""'CONSOLIDADO'!G5:AB""), 10, 0) &lt;&gt; 0, 
IFERROR(VLOOKUP($G316,IMPORTRANGE(""https://docs.google.com/spreadsheets/d/1Gpl6jkTg7sL4VDNimU"&amp;"m3S9Vi1i95esohXCF3wuKOE8c"", ""'CONSOLIDADO'!G5:AB""), 19, 0), ""-""),
""""
)"),"")</f>
        <v/>
      </c>
      <c r="Z316" s="37" t="str">
        <f>IFERROR(__xludf.DUMMYFUNCTION("IFERROR(VLOOKUP(G316,IMPORTRANGE(""https://docs.google.com/spreadsheets/d/12RxCea4e5ggM7QGn1XE3FbLQa_-QbCNdBi90OdPjRqg"", ""'Plan de Compras'!D4:Q""), 12, 0), ""NO ESTÁ EN REQ"")"),"Técnica")</f>
        <v>Técnica</v>
      </c>
      <c r="AA316" s="37" t="str">
        <f>IFERROR(__xludf.DUMMYFUNCTION("IFERROR(VLOOKUP(G316,IMPORTRANGE(""https://docs.google.com/spreadsheets/d/12RxCea4e5ggM7QGn1XE3FbLQa_-QbCNdBi90OdPjRqg"", ""'Plan de Compras'!D4:Q""), 13, 0), """")"),"INTERNACIONAL")</f>
        <v>INTERNACIONAL</v>
      </c>
      <c r="AB316" s="32" t="str">
        <f>IFERROR(__xludf.DUMMYFUNCTION("IFERROR(VLOOKUP(G316,IMPORTRANGE(""https://docs.google.com/spreadsheets/d/12RxCea4e5ggM7QGn1XE3FbLQa_-QbCNdBi90OdPjRqg"", ""'Plan de Compras'!D4:Q""), 14, 0), """")"),"GEYDI")</f>
        <v>GEYDI</v>
      </c>
      <c r="AC316" s="72" t="str">
        <f>IFERROR(__xludf.DUMMYFUNCTION("IFERROR(VLOOKUP(G316,IMPORTRANGE(""https://docs.google.com/spreadsheets/d/12RxCea4e5ggM7QGn1XE3FbLQa_-QbCNdBi90OdPjRqg"", ""'Plan de Compras'!D4:Q""), 4, 0), """")"),"REMACHADORA MANUAL")</f>
        <v>REMACHADORA MANUAL</v>
      </c>
      <c r="AD316" s="37" t="str">
        <f>IFERROR(__xludf.DUMMYFUNCTION("IFERROR(IF(OR(C316=TRUE,C316=""""),VLOOKUP(G316,IMPORTRANGE(""https://docs.google.com/spreadsheets/d/1z9A1Wq-kKrhRNG5RS2a2fKpY1wIhSVz2ZNmP2mOl588/edit?usp=sharing"",""REQ VF!E4:H""),4,0),""NO APLICA""),""GENERAR REQ"")"),"GENERAR REQ")</f>
        <v>GENERAR REQ</v>
      </c>
      <c r="AE316" s="32" t="str">
        <f>IFERROR(__xludf.DUMMYFUNCTION("IFERROR(QUERY(IMPORTRANGE(""https://docs.google.com/spreadsheets/d/1z9A1Wq-kKrhRNG5RS2a2fKpY1wIhSVz2ZNmP2mOl588/edit?usp=sharing"",""REQ VF!E4:Q""),""SELECT Col10, Col11, Col12 WHERE Col1 = '""&amp;G316&amp;""'"",0),""NO APLICA"")"),"NO APLICA")</f>
        <v>NO APLICA</v>
      </c>
      <c r="AF316" s="32"/>
      <c r="AG316" s="32"/>
      <c r="AH316" s="13"/>
      <c r="AI316" s="13"/>
    </row>
    <row r="317">
      <c r="A317" s="117">
        <v>205.0</v>
      </c>
      <c r="B317" s="43" t="b">
        <v>1</v>
      </c>
      <c r="C317" s="26" t="b">
        <v>1</v>
      </c>
      <c r="D317" s="26" t="s">
        <v>35</v>
      </c>
      <c r="E317" s="26" t="s">
        <v>1510</v>
      </c>
      <c r="F317" s="59" t="s">
        <v>2647</v>
      </c>
      <c r="G317" s="37" t="s">
        <v>2647</v>
      </c>
      <c r="H317" s="82" t="s">
        <v>2648</v>
      </c>
      <c r="I317" s="43">
        <f>SUMIFS('Hoja 10'!$O:$O,'Hoja 10'!$F:$F,$G317)</f>
        <v>24</v>
      </c>
      <c r="J317" s="26">
        <f>IFERROR(__xludf.DUMMYFUNCTION("VLOOKUP(G317,IMPORTRANGE(""https://docs.google.com/spreadsheets/d/12RxCea4e5ggM7QGn1XE3FbLQa_-QbCNdBi90OdPjRqg/edit?gid=1692403370#gid=1692403370"", ""'Plan de Compras'!D4:2432""), 8,0)"),24.0)</f>
        <v>24</v>
      </c>
      <c r="K317" s="26" t="str">
        <f t="shared" si="31"/>
        <v>SI</v>
      </c>
      <c r="L317" s="29" t="s">
        <v>296</v>
      </c>
      <c r="M317" s="30" t="s">
        <v>297</v>
      </c>
      <c r="N317" s="32"/>
      <c r="O317" s="32" t="str">
        <f>VLOOKUP($G317,'Hoja 10'!$F$4:$AA1057, 19,0)</f>
        <v>PONY JORGENSEN</v>
      </c>
      <c r="P317" s="32">
        <f>VLOOKUP($G317,'Hoja 10'!$F$4:$AA1057, 20,0)</f>
        <v>4748</v>
      </c>
      <c r="Q317" s="33" t="str">
        <f>VLOOKUP($G317,'Hoja 10'!$F$4:$AA1057, 21,0)</f>
        <v>https://ponyjorgensen.com/product/jorgensen-deep-reach-throat-bar-clamp/</v>
      </c>
      <c r="R317" s="86" t="s">
        <v>2649</v>
      </c>
      <c r="S317" s="44" t="b">
        <v>1</v>
      </c>
      <c r="T317" s="39" t="str">
        <f>IFERROR(__xludf.DUMMYFUNCTION(" IF
( VLOOKUP($G317,IMPORTRANGE(""https://docs.google.com/spreadsheets/d/1Gpl6jkTg7sL4VDNimUm3S9Vi1i95esohXCF3wuKOE8c"", ""'CONSOLIDADO'!G5:AB""), 10, 0) &lt;&gt; 0, 
IFERROR(VLOOKUP($G317,IMPORTRANGE(""https://docs.google.com/spreadsheets/d/1Gpl6jkTg7sL4VDNimU"&amp;"m3S9Vi1i95esohXCF3wuKOE8c"", ""'CONSOLIDADO'!G5:AB""), 17, 0), ""-""),
""""
)"),"BESSEY")</f>
        <v>BESSEY</v>
      </c>
      <c r="U317" s="39" t="str">
        <f>IFERROR(__xludf.DUMMYFUNCTION(" IF
( VLOOKUP($G317,IMPORTRANGE(""https://docs.google.com/spreadsheets/d/1Gpl6jkTg7sL4VDNimUm3S9Vi1i95esohXCF3wuKOE8c"", ""'CONSOLIDADO'!G5:AB""), 10, 0) &lt;&gt; 0, 
IFERROR(VLOOKUP($G317,IMPORTRANGE(""https://docs.google.com/spreadsheets/d/1Gpl6jkTg7sL4VDNimU"&amp;"m3S9Vi1i95esohXCF3wuKOE8c"", ""'CONSOLIDADO'!G5:AB""), 18, 0), ""-""),
""""
)"),"TG7.048+2K")</f>
        <v>TG7.048+2K</v>
      </c>
      <c r="V317" s="39" t="str">
        <f>IFERROR(__xludf.DUMMYFUNCTION(" IF
( VLOOKUP($G317,IMPORTRANGE(""https://docs.google.com/spreadsheets/d/1Gpl6jkTg7sL4VDNimUm3S9Vi1i95esohXCF3wuKOE8c"", ""'CONSOLIDADO'!G5:AB""), 10, 0) &lt;&gt; 0, 
IFERROR(VLOOKUP($G317,IMPORTRANGE(""https://docs.google.com/spreadsheets/d/1Gpl6jkTg7sL4VDNimU"&amp;"m3S9Vi1i95esohXCF3wuKOE8c"", ""'CONSOLIDADO'!G5:AB""), 17, 0), ""-""),
""""
)"),"BESSEY")</f>
        <v>BESSEY</v>
      </c>
      <c r="W317" s="39" t="str">
        <f>IFERROR(__xludf.DUMMYFUNCTION(" IF
( VLOOKUP($G317,IMPORTRANGE(""https://docs.google.com/spreadsheets/d/1Gpl6jkTg7sL4VDNimUm3S9Vi1i95esohXCF3wuKOE8c"", ""'CONSOLIDADO'!G5:AB""), 10, 0) &lt;&gt; 0, 
IFERROR(VLOOKUP($G317,IMPORTRANGE(""https://docs.google.com/spreadsheets/d/1Gpl6jkTg7sL4VDNimU"&amp;"m3S9Vi1i95esohXCF3wuKOE8c"", ""'CONSOLIDADO'!G5:AB""), 18, 0), ""-""),
""""
)"),"TG7.048+2K")</f>
        <v>TG7.048+2K</v>
      </c>
      <c r="X317" s="39" t="b">
        <f t="shared" si="37"/>
        <v>1</v>
      </c>
      <c r="Y317" s="120" t="str">
        <f>IFERROR(__xludf.DUMMYFUNCTION(" IF
( VLOOKUP($G317,IMPORTRANGE(""https://docs.google.com/spreadsheets/d/1Gpl6jkTg7sL4VDNimUm3S9Vi1i95esohXCF3wuKOE8c"", ""'CONSOLIDADO'!G5:AB""), 10, 0) &lt;&gt; 0, 
IFERROR(VLOOKUP($G317,IMPORTRANGE(""https://docs.google.com/spreadsheets/d/1Gpl6jkTg7sL4VDNimU"&amp;"m3S9Vi1i95esohXCF3wuKOE8c"", ""'CONSOLIDADO'!G5:AB""), 19, 0), ""-""),
""""
)"),"https://wurthlac.com/product/150126/48-Medium-Duty-Bar-Clamp-with-Wood-Handle-7-Throat-Depth")</f>
        <v>https://wurthlac.com/product/150126/48-Medium-Duty-Bar-Clamp-with-Wood-Handle-7-Throat-Depth</v>
      </c>
      <c r="Z317" s="37" t="str">
        <f>IFERROR(__xludf.DUMMYFUNCTION("IFERROR(VLOOKUP(G317,IMPORTRANGE(""https://docs.google.com/spreadsheets/d/12RxCea4e5ggM7QGn1XE3FbLQa_-QbCNdBi90OdPjRqg"", ""'Plan de Compras'!D4:Q""), 12, 0), ""NO ESTÁ EN REQ"")"),"Técnica")</f>
        <v>Técnica</v>
      </c>
      <c r="AA317" s="37" t="str">
        <f>IFERROR(__xludf.DUMMYFUNCTION("IFERROR(VLOOKUP(G317,IMPORTRANGE(""https://docs.google.com/spreadsheets/d/12RxCea4e5ggM7QGn1XE3FbLQa_-QbCNdBi90OdPjRqg"", ""'Plan de Compras'!D4:Q""), 13, 0), """")"),"INTERNACIONAL")</f>
        <v>INTERNACIONAL</v>
      </c>
      <c r="AB317" s="32" t="str">
        <f>IFERROR(__xludf.DUMMYFUNCTION("IFERROR(VLOOKUP(G317,IMPORTRANGE(""https://docs.google.com/spreadsheets/d/12RxCea4e5ggM7QGn1XE3FbLQa_-QbCNdBi90OdPjRqg"", ""'Plan de Compras'!D4:Q""), 14, 0), """")"),"GIANFRANCO")</f>
        <v>GIANFRANCO</v>
      </c>
      <c r="AC317" s="72" t="str">
        <f>IFERROR(__xludf.DUMMYFUNCTION("IFERROR(VLOOKUP(G317,IMPORTRANGE(""https://docs.google.com/spreadsheets/d/12RxCea4e5ggM7QGn1XE3FbLQa_-QbCNdBi90OdPjRqg"", ""'Plan de Compras'!D4:Q""), 4, 0), """")"),"SARGENTAS DE 120 CM")</f>
        <v>SARGENTAS DE 120 CM</v>
      </c>
      <c r="AD317" s="37" t="str">
        <f>IFERROR(__xludf.DUMMYFUNCTION("IFERROR(IF(OR(C317=TRUE,C317=""""),VLOOKUP(G317,IMPORTRANGE(""https://docs.google.com/spreadsheets/d/1z9A1Wq-kKrhRNG5RS2a2fKpY1wIhSVz2ZNmP2mOl588/edit?usp=sharing"",""REQ VF!E4:H""),4,0),""NO APLICA""),""GENERAR REQ"")"),"GENERAR REQ")</f>
        <v>GENERAR REQ</v>
      </c>
      <c r="AE317" s="32" t="str">
        <f>IFERROR(__xludf.DUMMYFUNCTION("IFERROR(QUERY(IMPORTRANGE(""https://docs.google.com/spreadsheets/d/1z9A1Wq-kKrhRNG5RS2a2fKpY1wIhSVz2ZNmP2mOl588/edit?usp=sharing"",""REQ VF!E4:Q""),""SELECT Col10, Col11, Col12 WHERE Col1 = '""&amp;G317&amp;""'"",0),""NO APLICA"")"),"NO APLICA")</f>
        <v>NO APLICA</v>
      </c>
      <c r="AF317" s="32"/>
      <c r="AG317" s="32"/>
      <c r="AH317" s="13"/>
      <c r="AI317" s="13"/>
    </row>
    <row r="318">
      <c r="A318" s="117">
        <v>206.0</v>
      </c>
      <c r="B318" s="43" t="b">
        <v>1</v>
      </c>
      <c r="C318" s="26" t="b">
        <v>1</v>
      </c>
      <c r="D318" s="26" t="s">
        <v>35</v>
      </c>
      <c r="E318" s="26" t="s">
        <v>1510</v>
      </c>
      <c r="F318" s="59" t="s">
        <v>2650</v>
      </c>
      <c r="G318" s="37" t="s">
        <v>2650</v>
      </c>
      <c r="H318" s="82" t="s">
        <v>2651</v>
      </c>
      <c r="I318" s="43">
        <f>SUMIFS('Hoja 10'!$O:$O,'Hoja 10'!$F:$F,$G318)</f>
        <v>8</v>
      </c>
      <c r="J318" s="26">
        <f>IFERROR(__xludf.DUMMYFUNCTION("VLOOKUP(G318,IMPORTRANGE(""https://docs.google.com/spreadsheets/d/12RxCea4e5ggM7QGn1XE3FbLQa_-QbCNdBi90OdPjRqg/edit?gid=1692403370#gid=1692403370"", ""'Plan de Compras'!D4:2432""), 8,0)"),8.0)</f>
        <v>8</v>
      </c>
      <c r="K318" s="26" t="str">
        <f t="shared" si="31"/>
        <v>SI</v>
      </c>
      <c r="L318" s="29" t="s">
        <v>296</v>
      </c>
      <c r="M318" s="30" t="s">
        <v>297</v>
      </c>
      <c r="N318" s="32"/>
      <c r="O318" s="32" t="str">
        <f>VLOOKUP($G318,'Hoja 10'!$F$4:$AA1057, 19,0)</f>
        <v>TRUPER</v>
      </c>
      <c r="P318" s="32" t="str">
        <f>VLOOKUP($G318,'Hoja 10'!$F$4:$AA1057, 20,0)</f>
        <v>STCX-12 </v>
      </c>
      <c r="Q318" s="33" t="str">
        <f>VLOOKUP($G318,'Hoja 10'!$F$4:$AA1057, 21,0)</f>
        <v>https://www.aibitech.com/herramientas-de-carpinteria/serruchos/serrucho-diamante-de-costilla-12-espesor-08mm-dpp9-en-acero-alto-carbono-templado-stcx-12-18165-truper-10814.html?srsltid=AfmBOorhCkbWB6VZ2U_S75ymKSs5FzOxa2Chqzw1JE8zl2j9ni4XWbWL</v>
      </c>
      <c r="R318" s="86" t="s">
        <v>2652</v>
      </c>
      <c r="S318" s="44" t="b">
        <v>1</v>
      </c>
      <c r="T318" s="39" t="str">
        <f>IFERROR(__xludf.DUMMYFUNCTION(" IF
( VLOOKUP($G318,IMPORTRANGE(""https://docs.google.com/spreadsheets/d/1Gpl6jkTg7sL4VDNimUm3S9Vi1i95esohXCF3wuKOE8c"", ""'CONSOLIDADO'!G5:AB""), 10, 0) &lt;&gt; 0, 
IFERROR(VLOOKUP($G318,IMPORTRANGE(""https://docs.google.com/spreadsheets/d/1Gpl6jkTg7sL4VDNimU"&amp;"m3S9Vi1i95esohXCF3wuKOE8c"", ""'CONSOLIDADO'!G5:AB""), 17, 0), ""-""),
""""
)"),"TRUPER")</f>
        <v>TRUPER</v>
      </c>
      <c r="U318" s="39" t="str">
        <f>IFERROR(__xludf.DUMMYFUNCTION(" IF
( VLOOKUP($G318,IMPORTRANGE(""https://docs.google.com/spreadsheets/d/1Gpl6jkTg7sL4VDNimUm3S9Vi1i95esohXCF3wuKOE8c"", ""'CONSOLIDADO'!G5:AB""), 10, 0) &lt;&gt; 0, 
IFERROR(VLOOKUP($G318,IMPORTRANGE(""https://docs.google.com/spreadsheets/d/1Gpl6jkTg7sL4VDNimU"&amp;"m3S9Vi1i95esohXCF3wuKOE8c"", ""'CONSOLIDADO'!G5:AB""), 18, 0), ""-""),
""""
)"),"STCX-12 ")</f>
        <v>STCX-12 </v>
      </c>
      <c r="V318" s="39" t="str">
        <f>IFERROR(__xludf.DUMMYFUNCTION(" IF
( VLOOKUP($G318,IMPORTRANGE(""https://docs.google.com/spreadsheets/d/1Gpl6jkTg7sL4VDNimUm3S9Vi1i95esohXCF3wuKOE8c"", ""'CONSOLIDADO'!G5:AB""), 10, 0) &lt;&gt; 0, 
IFERROR(VLOOKUP($G318,IMPORTRANGE(""https://docs.google.com/spreadsheets/d/1Gpl6jkTg7sL4VDNimU"&amp;"m3S9Vi1i95esohXCF3wuKOE8c"", ""'CONSOLIDADO'!G5:AB""), 17, 0), ""-""),
""""
)"),"TRUPER")</f>
        <v>TRUPER</v>
      </c>
      <c r="W318" s="39" t="str">
        <f>IFERROR(__xludf.DUMMYFUNCTION(" IF
( VLOOKUP($G318,IMPORTRANGE(""https://docs.google.com/spreadsheets/d/1Gpl6jkTg7sL4VDNimUm3S9Vi1i95esohXCF3wuKOE8c"", ""'CONSOLIDADO'!G5:AB""), 10, 0) &lt;&gt; 0, 
IFERROR(VLOOKUP($G318,IMPORTRANGE(""https://docs.google.com/spreadsheets/d/1Gpl6jkTg7sL4VDNimU"&amp;"m3S9Vi1i95esohXCF3wuKOE8c"", ""'CONSOLIDADO'!G5:AB""), 18, 0), ""-""),
""""
)"),"STCX-12 ")</f>
        <v>STCX-12 </v>
      </c>
      <c r="X318" s="39" t="b">
        <f t="shared" si="37"/>
        <v>1</v>
      </c>
      <c r="Y318" s="120" t="str">
        <f>IFERROR(__xludf.DUMMYFUNCTION(" IF
( VLOOKUP($G318,IMPORTRANGE(""https://docs.google.com/spreadsheets/d/1Gpl6jkTg7sL4VDNimUm3S9Vi1i95esohXCF3wuKOE8c"", ""'CONSOLIDADO'!G5:AB""), 10, 0) &lt;&gt; 0, 
IFERROR(VLOOKUP($G318,IMPORTRANGE(""https://docs.google.com/spreadsheets/d/1Gpl6jkTg7sL4VDNimU"&amp;"m3S9Vi1i95esohXCF3wuKOE8c"", ""'CONSOLIDADO'!G5:AB""), 19, 0), ""-""),
""""
)"),"https://www.aibitech.com/herramientas-de-carpinteria/serruchos/serrucho-diamante-de-costilla-12-espesor-08mm-dpp9-en-acero-alto-carbono-templado-stcx-12-18165-truper-10814.html?srsltid=AfmBOorhCkbWB6VZ2U_S75ymKSs5FzOxa2Chqzw1JE8zl2j9ni4XWbWL")</f>
        <v>https://www.aibitech.com/herramientas-de-carpinteria/serruchos/serrucho-diamante-de-costilla-12-espesor-08mm-dpp9-en-acero-alto-carbono-templado-stcx-12-18165-truper-10814.html?srsltid=AfmBOorhCkbWB6VZ2U_S75ymKSs5FzOxa2Chqzw1JE8zl2j9ni4XWbWL</v>
      </c>
      <c r="Z318" s="37" t="str">
        <f>IFERROR(__xludf.DUMMYFUNCTION("IFERROR(VLOOKUP(G318,IMPORTRANGE(""https://docs.google.com/spreadsheets/d/12RxCea4e5ggM7QGn1XE3FbLQa_-QbCNdBi90OdPjRqg"", ""'Plan de Compras'!D4:Q""), 12, 0), ""NO ESTÁ EN REQ"")"),"Técnica")</f>
        <v>Técnica</v>
      </c>
      <c r="AA318" s="37" t="str">
        <f>IFERROR(__xludf.DUMMYFUNCTION("IFERROR(VLOOKUP(G318,IMPORTRANGE(""https://docs.google.com/spreadsheets/d/12RxCea4e5ggM7QGn1XE3FbLQa_-QbCNdBi90OdPjRqg"", ""'Plan de Compras'!D4:Q""), 13, 0), """")"),"NACIONAL")</f>
        <v>NACIONAL</v>
      </c>
      <c r="AB318" s="32" t="str">
        <f>IFERROR(__xludf.DUMMYFUNCTION("IFERROR(VLOOKUP(G318,IMPORTRANGE(""https://docs.google.com/spreadsheets/d/12RxCea4e5ggM7QGn1XE3FbLQa_-QbCNdBi90OdPjRqg"", ""'Plan de Compras'!D4:Q""), 14, 0), """")"),"JESSICA")</f>
        <v>JESSICA</v>
      </c>
      <c r="AC318" s="72" t="str">
        <f>IFERROR(__xludf.DUMMYFUNCTION("IFERROR(VLOOKUP(G318,IMPORTRANGE(""https://docs.google.com/spreadsheets/d/12RxCea4e5ggM7QGn1XE3FbLQa_-QbCNdBi90OdPjRqg"", ""'Plan de Compras'!D4:Q""), 4, 0), """")"),"SERRUCHO DE COSTILLA")</f>
        <v>SERRUCHO DE COSTILLA</v>
      </c>
      <c r="AD318" s="37" t="str">
        <f>IFERROR(__xludf.DUMMYFUNCTION("IFERROR(IF(OR(C318=TRUE,C318=""""),VLOOKUP(G318,IMPORTRANGE(""https://docs.google.com/spreadsheets/d/1z9A1Wq-kKrhRNG5RS2a2fKpY1wIhSVz2ZNmP2mOl588/edit?usp=sharing"",""REQ VF!E4:H""),4,0),""NO APLICA""),""GENERAR REQ"")"),"GENERAR REQ")</f>
        <v>GENERAR REQ</v>
      </c>
      <c r="AE318" s="32" t="str">
        <f>IFERROR(__xludf.DUMMYFUNCTION("IFERROR(QUERY(IMPORTRANGE(""https://docs.google.com/spreadsheets/d/1z9A1Wq-kKrhRNG5RS2a2fKpY1wIhSVz2ZNmP2mOl588/edit?usp=sharing"",""REQ VF!E4:Q""),""SELECT Col10, Col11, Col12 WHERE Col1 = '""&amp;G318&amp;""'"",0),""NO APLICA"")"),"NO APLICA")</f>
        <v>NO APLICA</v>
      </c>
      <c r="AF318" s="32"/>
      <c r="AG318" s="32"/>
      <c r="AH318" s="8" t="s">
        <v>52</v>
      </c>
      <c r="AI318" s="13"/>
    </row>
    <row r="319">
      <c r="A319" s="121">
        <v>207.0</v>
      </c>
      <c r="B319" s="43" t="b">
        <v>1</v>
      </c>
      <c r="C319" s="26" t="b">
        <v>0</v>
      </c>
      <c r="D319" s="26" t="s">
        <v>35</v>
      </c>
      <c r="E319" s="26" t="s">
        <v>1510</v>
      </c>
      <c r="F319" s="59" t="s">
        <v>2653</v>
      </c>
      <c r="G319" s="37" t="s">
        <v>2653</v>
      </c>
      <c r="H319" s="82" t="s">
        <v>2654</v>
      </c>
      <c r="I319" s="43">
        <f>SUMIFS('Hoja 10'!$O:$O,'Hoja 10'!$F:$F,$G319)</f>
        <v>3</v>
      </c>
      <c r="J319" s="26" t="str">
        <f>IFERROR(__xludf.DUMMYFUNCTION("VLOOKUP(G319,IMPORTRANGE(""https://docs.google.com/spreadsheets/d/12RxCea4e5ggM7QGn1XE3FbLQa_-QbCNdBi90OdPjRqg/edit?gid=1692403370#gid=1692403370"", ""'Plan de Compras'!D4:2432""), 8,0)"),"#N/A")</f>
        <v>#N/A</v>
      </c>
      <c r="K319" s="26" t="str">
        <f t="shared" si="31"/>
        <v>-</v>
      </c>
      <c r="L319" s="29" t="s">
        <v>91</v>
      </c>
      <c r="M319" s="30" t="s">
        <v>92</v>
      </c>
      <c r="N319" s="32"/>
      <c r="O319" s="32"/>
      <c r="P319" s="32"/>
      <c r="Q319" s="41"/>
      <c r="R319" s="86" t="s">
        <v>2655</v>
      </c>
      <c r="S319" s="44" t="b">
        <v>0</v>
      </c>
      <c r="T319" s="39" t="str">
        <f>IFERROR(__xludf.DUMMYFUNCTION(" IF
( VLOOKUP($G319,IMPORTRANGE(""https://docs.google.com/spreadsheets/d/1Gpl6jkTg7sL4VDNimUm3S9Vi1i95esohXCF3wuKOE8c"", ""'CONSOLIDADO'!G5:AB""), 10, 0) &lt;&gt; 0, 
IFERROR(VLOOKUP($G319,IMPORTRANGE(""https://docs.google.com/spreadsheets/d/1Gpl6jkTg7sL4VDNimU"&amp;"m3S9Vi1i95esohXCF3wuKOE8c"", ""'CONSOLIDADO'!G5:AB""), 17, 0), ""-""),
""""
)"),"VARIOS")</f>
        <v>VARIOS</v>
      </c>
      <c r="U319" s="39" t="str">
        <f>IFERROR(__xludf.DUMMYFUNCTION(" IF
( VLOOKUP($G319,IMPORTRANGE(""https://docs.google.com/spreadsheets/d/1Gpl6jkTg7sL4VDNimUm3S9Vi1i95esohXCF3wuKOE8c"", ""'CONSOLIDADO'!G5:AB""), 10, 0) &lt;&gt; 0, 
IFERROR(VLOOKUP($G319,IMPORTRANGE(""https://docs.google.com/spreadsheets/d/1Gpl6jkTg7sL4VDNimU"&amp;"m3S9Vi1i95esohXCF3wuKOE8c"", ""'CONSOLIDADO'!G5:AB""), 18, 0), ""-""),
""""
)"),"VARIOS 4")</f>
        <v>VARIOS 4</v>
      </c>
      <c r="V319" s="39" t="str">
        <f>IFERROR(__xludf.DUMMYFUNCTION(" IF
( VLOOKUP($G319,IMPORTRANGE(""https://docs.google.com/spreadsheets/d/1Gpl6jkTg7sL4VDNimUm3S9Vi1i95esohXCF3wuKOE8c"", ""'CONSOLIDADO'!G5:AB""), 10, 0) &lt;&gt; 0, 
IFERROR(VLOOKUP($G319,IMPORTRANGE(""https://docs.google.com/spreadsheets/d/1Gpl6jkTg7sL4VDNimU"&amp;"m3S9Vi1i95esohXCF3wuKOE8c"", ""'CONSOLIDADO'!G5:AB""), 17, 0), ""-""),
""""
)"),"VARIOS")</f>
        <v>VARIOS</v>
      </c>
      <c r="W319" s="39" t="str">
        <f>IFERROR(__xludf.DUMMYFUNCTION(" IF
( VLOOKUP($G319,IMPORTRANGE(""https://docs.google.com/spreadsheets/d/1Gpl6jkTg7sL4VDNimUm3S9Vi1i95esohXCF3wuKOE8c"", ""'CONSOLIDADO'!G5:AB""), 10, 0) &lt;&gt; 0, 
IFERROR(VLOOKUP($G319,IMPORTRANGE(""https://docs.google.com/spreadsheets/d/1Gpl6jkTg7sL4VDNimU"&amp;"m3S9Vi1i95esohXCF3wuKOE8c"", ""'CONSOLIDADO'!G5:AB""), 18, 0), ""-""),
""""
)"),"VARIOS 4")</f>
        <v>VARIOS 4</v>
      </c>
      <c r="X319" s="39" t="b">
        <f t="shared" si="37"/>
        <v>1</v>
      </c>
      <c r="Y319" s="110"/>
      <c r="Z319" s="37" t="str">
        <f>IFERROR(__xludf.DUMMYFUNCTION("IFERROR(VLOOKUP(G319,IMPORTRANGE(""https://docs.google.com/spreadsheets/d/12RxCea4e5ggM7QGn1XE3FbLQa_-QbCNdBi90OdPjRqg"", ""'Plan de Compras'!D4:Q""), 12, 0), ""NO ESTÁ EN REQ"")"),"NO ESTÁ EN REQ")</f>
        <v>NO ESTÁ EN REQ</v>
      </c>
      <c r="AA319" s="37" t="str">
        <f>IFERROR(__xludf.DUMMYFUNCTION("IFERROR(VLOOKUP(G319,IMPORTRANGE(""https://docs.google.com/spreadsheets/d/12RxCea4e5ggM7QGn1XE3FbLQa_-QbCNdBi90OdPjRqg"", ""'Plan de Compras'!D4:Q""), 13, 0), """")"),"")</f>
        <v/>
      </c>
      <c r="AB319" s="32" t="str">
        <f>IFERROR(__xludf.DUMMYFUNCTION("IFERROR(VLOOKUP(G319,IMPORTRANGE(""https://docs.google.com/spreadsheets/d/12RxCea4e5ggM7QGn1XE3FbLQa_-QbCNdBi90OdPjRqg"", ""'Plan de Compras'!D4:Q""), 14, 0), """")"),"")</f>
        <v/>
      </c>
      <c r="AC319" s="72" t="str">
        <f>IFERROR(__xludf.DUMMYFUNCTION("IFERROR(VLOOKUP(G319,IMPORTRANGE(""https://docs.google.com/spreadsheets/d/12RxCea4e5ggM7QGn1XE3FbLQa_-QbCNdBi90OdPjRqg"", ""'Plan de Compras'!D4:Q""), 4, 0), """")"),"")</f>
        <v/>
      </c>
      <c r="AD319" s="37" t="str">
        <f>IFERROR(__xludf.DUMMYFUNCTION("IFERROR(IF(OR(C319=TRUE,C319=""""),VLOOKUP(G319,IMPORTRANGE(""https://docs.google.com/spreadsheets/d/1z9A1Wq-kKrhRNG5RS2a2fKpY1wIhSVz2ZNmP2mOl588/edit?usp=sharing"",""REQ VF!E4:H""),4,0),""NO APLICA""),""GENERAR REQ"")"),"NO APLICA")</f>
        <v>NO APLICA</v>
      </c>
      <c r="AE319" s="32" t="str">
        <f>IFERROR(__xludf.DUMMYFUNCTION("IFERROR(QUERY(IMPORTRANGE(""https://docs.google.com/spreadsheets/d/1z9A1Wq-kKrhRNG5RS2a2fKpY1wIhSVz2ZNmP2mOl588/edit?usp=sharing"",""REQ VF!E4:Q""),""SELECT Col10, Col11, Col12 WHERE Col1 = '""&amp;G319&amp;""'"",0),""NO APLICA"")"),"NO APLICA")</f>
        <v>NO APLICA</v>
      </c>
      <c r="AF319" s="32"/>
      <c r="AG319" s="32"/>
      <c r="AH319" s="13"/>
      <c r="AI319" s="13"/>
    </row>
    <row r="320">
      <c r="A320" s="43"/>
      <c r="B320" s="43"/>
      <c r="C320" s="26" t="b">
        <v>1</v>
      </c>
      <c r="D320" s="26" t="s">
        <v>95</v>
      </c>
      <c r="E320" s="26" t="s">
        <v>1510</v>
      </c>
      <c r="F320" s="59" t="s">
        <v>2653</v>
      </c>
      <c r="G320" s="39" t="s">
        <v>2656</v>
      </c>
      <c r="H320" s="66" t="s">
        <v>2657</v>
      </c>
      <c r="I320" s="43">
        <v>3.0</v>
      </c>
      <c r="J320" s="26">
        <f>IFERROR(__xludf.DUMMYFUNCTION("VLOOKUP(G320,IMPORTRANGE(""https://docs.google.com/spreadsheets/d/12RxCea4e5ggM7QGn1XE3FbLQa_-QbCNdBi90OdPjRqg/edit?gid=1692403370#gid=1692403370"", ""'Plan de Compras'!D4:2432""), 8,0)"),3.0)</f>
        <v>3</v>
      </c>
      <c r="K320" s="26" t="str">
        <f t="shared" si="31"/>
        <v>SI</v>
      </c>
      <c r="L320" s="26"/>
      <c r="M320" s="32"/>
      <c r="N320" s="32" t="s">
        <v>2658</v>
      </c>
      <c r="O320" s="32"/>
      <c r="P320" s="32"/>
      <c r="Q320" s="33" t="s">
        <v>2659</v>
      </c>
      <c r="R320" s="32"/>
      <c r="S320" s="44" t="b">
        <v>1</v>
      </c>
      <c r="T320" s="59" t="s">
        <v>303</v>
      </c>
      <c r="U320" s="59">
        <v>14019.0</v>
      </c>
      <c r="V320" s="59"/>
      <c r="W320" s="59"/>
      <c r="X320" s="59"/>
      <c r="Y320" s="145" t="s">
        <v>2660</v>
      </c>
      <c r="Z320" s="37" t="str">
        <f>IFERROR(__xludf.DUMMYFUNCTION("IFERROR(VLOOKUP(G320,IMPORTRANGE(""https://docs.google.com/spreadsheets/d/12RxCea4e5ggM7QGn1XE3FbLQa_-QbCNdBi90OdPjRqg"", ""'Plan de Compras'!D4:Q""), 12, 0), ""NO ESTÁ EN REQ"")"),"Simple")</f>
        <v>Simple</v>
      </c>
      <c r="AA320" s="37" t="str">
        <f>IFERROR(__xludf.DUMMYFUNCTION("IFERROR(VLOOKUP(G320,IMPORTRANGE(""https://docs.google.com/spreadsheets/d/12RxCea4e5ggM7QGn1XE3FbLQa_-QbCNdBi90OdPjRqg"", ""'Plan de Compras'!D4:Q""), 13, 0), """")"),"NACIONAL")</f>
        <v>NACIONAL</v>
      </c>
      <c r="AB320" s="32" t="str">
        <f>IFERROR(__xludf.DUMMYFUNCTION("IFERROR(VLOOKUP(G320,IMPORTRANGE(""https://docs.google.com/spreadsheets/d/12RxCea4e5ggM7QGn1XE3FbLQa_-QbCNdBi90OdPjRqg"", ""'Plan de Compras'!D4:Q""), 14, 0), """")"),"DIANA")</f>
        <v>DIANA</v>
      </c>
      <c r="AC320" s="72" t="str">
        <f>IFERROR(__xludf.DUMMYFUNCTION("IFERROR(VLOOKUP(G320,IMPORTRANGE(""https://docs.google.com/spreadsheets/d/12RxCea4e5ggM7QGn1XE3FbLQa_-QbCNdBi90OdPjRqg"", ""'Plan de Compras'!D4:Q""), 4, 0), """")"),"PUNTA PLANA 1⁄8 X 4 PULG (1 UND)")</f>
        <v>PUNTA PLANA 1⁄8 X 4 PULG (1 UND)</v>
      </c>
      <c r="AD320" s="37" t="str">
        <f>IFERROR(__xludf.DUMMYFUNCTION("IFERROR(IF(OR(C320=TRUE,C320=""""),VLOOKUP(G320,IMPORTRANGE(""https://docs.google.com/spreadsheets/d/1z9A1Wq-kKrhRNG5RS2a2fKpY1wIhSVz2ZNmP2mOl588/edit?usp=sharing"",""REQ VF!E4:H""),4,0),""NO APLICA""),""GENERAR REQ"")"),"GENERAR REQ")</f>
        <v>GENERAR REQ</v>
      </c>
      <c r="AE320" s="32" t="str">
        <f>IFERROR(__xludf.DUMMYFUNCTION("IFERROR(QUERY(IMPORTRANGE(""https://docs.google.com/spreadsheets/d/1z9A1Wq-kKrhRNG5RS2a2fKpY1wIhSVz2ZNmP2mOl588/edit?usp=sharing"",""REQ VF!E4:Q""),""SELECT Col10, Col11, Col12 WHERE Col1 = '""&amp;G320&amp;""'"",0),""NO APLICA"")"),"NO APLICA")</f>
        <v>NO APLICA</v>
      </c>
      <c r="AF320" s="32"/>
      <c r="AG320" s="32"/>
      <c r="AH320" s="13"/>
      <c r="AI320" s="13"/>
    </row>
    <row r="321">
      <c r="A321" s="43"/>
      <c r="B321" s="43"/>
      <c r="C321" s="26" t="b">
        <v>1</v>
      </c>
      <c r="D321" s="26" t="s">
        <v>95</v>
      </c>
      <c r="E321" s="26" t="s">
        <v>1510</v>
      </c>
      <c r="F321" s="59" t="s">
        <v>2653</v>
      </c>
      <c r="G321" s="39" t="s">
        <v>2661</v>
      </c>
      <c r="H321" s="66" t="str">
        <f>UPPER("punta plana 1⁄4x6 pulg (1 und)")</f>
        <v>PUNTA PLANA 1⁄4X6 PULG (1 UND)</v>
      </c>
      <c r="I321" s="43">
        <v>3.0</v>
      </c>
      <c r="J321" s="26">
        <f>IFERROR(__xludf.DUMMYFUNCTION("VLOOKUP(G321,IMPORTRANGE(""https://docs.google.com/spreadsheets/d/12RxCea4e5ggM7QGn1XE3FbLQa_-QbCNdBi90OdPjRqg/edit?gid=1692403370#gid=1692403370"", ""'Plan de Compras'!D4:2432""), 8,0)"),3.0)</f>
        <v>3</v>
      </c>
      <c r="K321" s="26" t="str">
        <f t="shared" si="31"/>
        <v>SI</v>
      </c>
      <c r="L321" s="26"/>
      <c r="M321" s="32"/>
      <c r="N321" s="32" t="s">
        <v>2662</v>
      </c>
      <c r="O321" s="32"/>
      <c r="P321" s="32"/>
      <c r="Q321" s="33" t="s">
        <v>2663</v>
      </c>
      <c r="R321" s="32"/>
      <c r="S321" s="44" t="b">
        <v>1</v>
      </c>
      <c r="T321" s="59" t="s">
        <v>2664</v>
      </c>
      <c r="U321" s="59" t="s">
        <v>2665</v>
      </c>
      <c r="V321" s="59"/>
      <c r="W321" s="59"/>
      <c r="X321" s="59"/>
      <c r="Y321" s="138" t="s">
        <v>2659</v>
      </c>
      <c r="Z321" s="37" t="str">
        <f>IFERROR(__xludf.DUMMYFUNCTION("IFERROR(VLOOKUP(G321,IMPORTRANGE(""https://docs.google.com/spreadsheets/d/12RxCea4e5ggM7QGn1XE3FbLQa_-QbCNdBi90OdPjRqg"", ""'Plan de Compras'!D4:Q""), 12, 0), ""NO ESTÁ EN REQ"")"),"Simple")</f>
        <v>Simple</v>
      </c>
      <c r="AA321" s="37" t="str">
        <f>IFERROR(__xludf.DUMMYFUNCTION("IFERROR(VLOOKUP(G321,IMPORTRANGE(""https://docs.google.com/spreadsheets/d/12RxCea4e5ggM7QGn1XE3FbLQa_-QbCNdBi90OdPjRqg"", ""'Plan de Compras'!D4:Q""), 13, 0), """")"),"NACIONAL")</f>
        <v>NACIONAL</v>
      </c>
      <c r="AB321" s="32" t="str">
        <f>IFERROR(__xludf.DUMMYFUNCTION("IFERROR(VLOOKUP(G321,IMPORTRANGE(""https://docs.google.com/spreadsheets/d/12RxCea4e5ggM7QGn1XE3FbLQa_-QbCNdBi90OdPjRqg"", ""'Plan de Compras'!D4:Q""), 14, 0), """")"),"DIANA")</f>
        <v>DIANA</v>
      </c>
      <c r="AC321" s="72" t="str">
        <f>IFERROR(__xludf.DUMMYFUNCTION("IFERROR(VLOOKUP(G321,IMPORTRANGE(""https://docs.google.com/spreadsheets/d/12RxCea4e5ggM7QGn1XE3FbLQa_-QbCNdBi90OdPjRqg"", ""'Plan de Compras'!D4:Q""), 4, 0), """")"),"PUNTA PLANA 1⁄4X6 PULG (1 UND)")</f>
        <v>PUNTA PLANA 1⁄4X6 PULG (1 UND)</v>
      </c>
      <c r="AD321" s="37" t="str">
        <f>IFERROR(__xludf.DUMMYFUNCTION("IFERROR(IF(OR(C321=TRUE,C321=""""),VLOOKUP(G321,IMPORTRANGE(""https://docs.google.com/spreadsheets/d/1z9A1Wq-kKrhRNG5RS2a2fKpY1wIhSVz2ZNmP2mOl588/edit?usp=sharing"",""REQ VF!E4:H""),4,0),""NO APLICA""),""GENERAR REQ"")"),"GENERAR REQ")</f>
        <v>GENERAR REQ</v>
      </c>
      <c r="AE321" s="32" t="str">
        <f>IFERROR(__xludf.DUMMYFUNCTION("IFERROR(QUERY(IMPORTRANGE(""https://docs.google.com/spreadsheets/d/1z9A1Wq-kKrhRNG5RS2a2fKpY1wIhSVz2ZNmP2mOl588/edit?usp=sharing"",""REQ VF!E4:Q""),""SELECT Col10, Col11, Col12 WHERE Col1 = '""&amp;G321&amp;""'"",0),""NO APLICA"")"),"NO APLICA")</f>
        <v>NO APLICA</v>
      </c>
      <c r="AF321" s="32"/>
      <c r="AG321" s="32"/>
      <c r="AH321" s="13"/>
      <c r="AI321" s="13"/>
    </row>
    <row r="322">
      <c r="A322" s="43"/>
      <c r="B322" s="43"/>
      <c r="C322" s="26" t="b">
        <v>1</v>
      </c>
      <c r="D322" s="26" t="s">
        <v>95</v>
      </c>
      <c r="E322" s="26" t="s">
        <v>1510</v>
      </c>
      <c r="F322" s="59" t="s">
        <v>2653</v>
      </c>
      <c r="G322" s="39" t="s">
        <v>2666</v>
      </c>
      <c r="H322" s="66" t="str">
        <f>UPPER("punta plana 5/16x8  pulg (1 und)")</f>
        <v>PUNTA PLANA 5/16X8  PULG (1 UND)</v>
      </c>
      <c r="I322" s="43">
        <v>3.0</v>
      </c>
      <c r="J322" s="26">
        <f>IFERROR(__xludf.DUMMYFUNCTION("VLOOKUP(G322,IMPORTRANGE(""https://docs.google.com/spreadsheets/d/12RxCea4e5ggM7QGn1XE3FbLQa_-QbCNdBi90OdPjRqg/edit?gid=1692403370#gid=1692403370"", ""'Plan de Compras'!D4:2432""), 8,0)"),3.0)</f>
        <v>3</v>
      </c>
      <c r="K322" s="26" t="str">
        <f t="shared" si="31"/>
        <v>SI</v>
      </c>
      <c r="L322" s="26"/>
      <c r="M322" s="32"/>
      <c r="N322" s="32" t="s">
        <v>2667</v>
      </c>
      <c r="O322" s="32"/>
      <c r="P322" s="32"/>
      <c r="Q322" s="33" t="s">
        <v>2668</v>
      </c>
      <c r="R322" s="32"/>
      <c r="S322" s="44" t="b">
        <v>1</v>
      </c>
      <c r="T322" s="59" t="s">
        <v>2669</v>
      </c>
      <c r="U322" s="59" t="s">
        <v>2670</v>
      </c>
      <c r="V322" s="59"/>
      <c r="W322" s="59"/>
      <c r="X322" s="59"/>
      <c r="Y322" s="138" t="s">
        <v>2663</v>
      </c>
      <c r="Z322" s="37" t="str">
        <f>IFERROR(__xludf.DUMMYFUNCTION("IFERROR(VLOOKUP(G322,IMPORTRANGE(""https://docs.google.com/spreadsheets/d/12RxCea4e5ggM7QGn1XE3FbLQa_-QbCNdBi90OdPjRqg"", ""'Plan de Compras'!D4:Q""), 12, 0), ""NO ESTÁ EN REQ"")"),"Simple")</f>
        <v>Simple</v>
      </c>
      <c r="AA322" s="37" t="str">
        <f>IFERROR(__xludf.DUMMYFUNCTION("IFERROR(VLOOKUP(G322,IMPORTRANGE(""https://docs.google.com/spreadsheets/d/12RxCea4e5ggM7QGn1XE3FbLQa_-QbCNdBi90OdPjRqg"", ""'Plan de Compras'!D4:Q""), 13, 0), """")"),"NACIONAL")</f>
        <v>NACIONAL</v>
      </c>
      <c r="AB322" s="32" t="str">
        <f>IFERROR(__xludf.DUMMYFUNCTION("IFERROR(VLOOKUP(G322,IMPORTRANGE(""https://docs.google.com/spreadsheets/d/12RxCea4e5ggM7QGn1XE3FbLQa_-QbCNdBi90OdPjRqg"", ""'Plan de Compras'!D4:Q""), 14, 0), """")"),"DIANA")</f>
        <v>DIANA</v>
      </c>
      <c r="AC322" s="72" t="str">
        <f>IFERROR(__xludf.DUMMYFUNCTION("IFERROR(VLOOKUP(G322,IMPORTRANGE(""https://docs.google.com/spreadsheets/d/12RxCea4e5ggM7QGn1XE3FbLQa_-QbCNdBi90OdPjRqg"", ""'Plan de Compras'!D4:Q""), 4, 0), """")"),"PUNTA PLANA 5/16X8  PULG (1 UND)")</f>
        <v>PUNTA PLANA 5/16X8  PULG (1 UND)</v>
      </c>
      <c r="AD322" s="37" t="str">
        <f>IFERROR(__xludf.DUMMYFUNCTION("IFERROR(IF(OR(C322=TRUE,C322=""""),VLOOKUP(G322,IMPORTRANGE(""https://docs.google.com/spreadsheets/d/1z9A1Wq-kKrhRNG5RS2a2fKpY1wIhSVz2ZNmP2mOl588/edit?usp=sharing"",""REQ VF!E4:H""),4,0),""NO APLICA""),""GENERAR REQ"")"),"GENERAR REQ")</f>
        <v>GENERAR REQ</v>
      </c>
      <c r="AE322" s="32" t="str">
        <f>IFERROR(__xludf.DUMMYFUNCTION("IFERROR(QUERY(IMPORTRANGE(""https://docs.google.com/spreadsheets/d/1z9A1Wq-kKrhRNG5RS2a2fKpY1wIhSVz2ZNmP2mOl588/edit?usp=sharing"",""REQ VF!E4:Q""),""SELECT Col10, Col11, Col12 WHERE Col1 = '""&amp;G322&amp;""'"",0),""NO APLICA"")"),"NO APLICA")</f>
        <v>NO APLICA</v>
      </c>
      <c r="AF322" s="32"/>
      <c r="AG322" s="32"/>
      <c r="AH322" s="13"/>
      <c r="AI322" s="13"/>
    </row>
    <row r="323">
      <c r="A323" s="43"/>
      <c r="B323" s="43"/>
      <c r="C323" s="26" t="b">
        <v>1</v>
      </c>
      <c r="D323" s="26" t="s">
        <v>95</v>
      </c>
      <c r="E323" s="26" t="s">
        <v>1510</v>
      </c>
      <c r="F323" s="59" t="s">
        <v>2653</v>
      </c>
      <c r="G323" s="39" t="s">
        <v>2671</v>
      </c>
      <c r="H323" s="66" t="str">
        <f>UPPER("punta cruz 1x3 pulg (1 und)")</f>
        <v>PUNTA CRUZ 1X3 PULG (1 UND)</v>
      </c>
      <c r="I323" s="43">
        <v>3.0</v>
      </c>
      <c r="J323" s="26">
        <f>IFERROR(__xludf.DUMMYFUNCTION("VLOOKUP(G323,IMPORTRANGE(""https://docs.google.com/spreadsheets/d/12RxCea4e5ggM7QGn1XE3FbLQa_-QbCNdBi90OdPjRqg/edit?gid=1692403370#gid=1692403370"", ""'Plan de Compras'!D4:2432""), 8,0)"),3.0)</f>
        <v>3</v>
      </c>
      <c r="K323" s="26" t="str">
        <f t="shared" si="31"/>
        <v>SI</v>
      </c>
      <c r="L323" s="26"/>
      <c r="M323" s="32"/>
      <c r="N323" s="32" t="s">
        <v>2672</v>
      </c>
      <c r="O323" s="32"/>
      <c r="P323" s="32"/>
      <c r="Q323" s="33" t="s">
        <v>2673</v>
      </c>
      <c r="R323" s="32"/>
      <c r="S323" s="44" t="b">
        <v>1</v>
      </c>
      <c r="T323" s="59" t="s">
        <v>303</v>
      </c>
      <c r="U323" s="59">
        <v>14143.0</v>
      </c>
      <c r="V323" s="59"/>
      <c r="W323" s="59"/>
      <c r="X323" s="59"/>
      <c r="Y323" s="138" t="s">
        <v>2668</v>
      </c>
      <c r="Z323" s="37" t="str">
        <f>IFERROR(__xludf.DUMMYFUNCTION("IFERROR(VLOOKUP(G323,IMPORTRANGE(""https://docs.google.com/spreadsheets/d/12RxCea4e5ggM7QGn1XE3FbLQa_-QbCNdBi90OdPjRqg"", ""'Plan de Compras'!D4:Q""), 12, 0), ""NO ESTÁ EN REQ"")"),"Simple")</f>
        <v>Simple</v>
      </c>
      <c r="AA323" s="37" t="str">
        <f>IFERROR(__xludf.DUMMYFUNCTION("IFERROR(VLOOKUP(G323,IMPORTRANGE(""https://docs.google.com/spreadsheets/d/12RxCea4e5ggM7QGn1XE3FbLQa_-QbCNdBi90OdPjRqg"", ""'Plan de Compras'!D4:Q""), 13, 0), """")"),"NACIONAL")</f>
        <v>NACIONAL</v>
      </c>
      <c r="AB323" s="32" t="str">
        <f>IFERROR(__xludf.DUMMYFUNCTION("IFERROR(VLOOKUP(G323,IMPORTRANGE(""https://docs.google.com/spreadsheets/d/12RxCea4e5ggM7QGn1XE3FbLQa_-QbCNdBi90OdPjRqg"", ""'Plan de Compras'!D4:Q""), 14, 0), """")"),"DIANA")</f>
        <v>DIANA</v>
      </c>
      <c r="AC323" s="72" t="str">
        <f>IFERROR(__xludf.DUMMYFUNCTION("IFERROR(VLOOKUP(G323,IMPORTRANGE(""https://docs.google.com/spreadsheets/d/12RxCea4e5ggM7QGn1XE3FbLQa_-QbCNdBi90OdPjRqg"", ""'Plan de Compras'!D4:Q""), 4, 0), """")"),"PUNTA CRUZ 1X3 PULG (1 UND)")</f>
        <v>PUNTA CRUZ 1X3 PULG (1 UND)</v>
      </c>
      <c r="AD323" s="37" t="str">
        <f>IFERROR(__xludf.DUMMYFUNCTION("IFERROR(IF(OR(C323=TRUE,C323=""""),VLOOKUP(G323,IMPORTRANGE(""https://docs.google.com/spreadsheets/d/1z9A1Wq-kKrhRNG5RS2a2fKpY1wIhSVz2ZNmP2mOl588/edit?usp=sharing"",""REQ VF!E4:H""),4,0),""NO APLICA""),""GENERAR REQ"")"),"GENERAR REQ")</f>
        <v>GENERAR REQ</v>
      </c>
      <c r="AE323" s="32" t="str">
        <f>IFERROR(__xludf.DUMMYFUNCTION("IFERROR(QUERY(IMPORTRANGE(""https://docs.google.com/spreadsheets/d/1z9A1Wq-kKrhRNG5RS2a2fKpY1wIhSVz2ZNmP2mOl588/edit?usp=sharing"",""REQ VF!E4:Q""),""SELECT Col10, Col11, Col12 WHERE Col1 = '""&amp;G323&amp;""'"",0),""NO APLICA"")"),"NO APLICA")</f>
        <v>NO APLICA</v>
      </c>
      <c r="AF323" s="32"/>
      <c r="AG323" s="32"/>
      <c r="AH323" s="13"/>
      <c r="AI323" s="13"/>
    </row>
    <row r="324">
      <c r="A324" s="43"/>
      <c r="B324" s="43"/>
      <c r="C324" s="26" t="b">
        <v>1</v>
      </c>
      <c r="D324" s="26" t="s">
        <v>95</v>
      </c>
      <c r="E324" s="26" t="s">
        <v>1510</v>
      </c>
      <c r="F324" s="59" t="s">
        <v>2653</v>
      </c>
      <c r="G324" s="39" t="s">
        <v>2674</v>
      </c>
      <c r="H324" s="66" t="str">
        <f>UPPER("punta cruz 1x4 pulg (1 und)")</f>
        <v>PUNTA CRUZ 1X4 PULG (1 UND)</v>
      </c>
      <c r="I324" s="43">
        <v>3.0</v>
      </c>
      <c r="J324" s="26">
        <f>IFERROR(__xludf.DUMMYFUNCTION("VLOOKUP(G324,IMPORTRANGE(""https://docs.google.com/spreadsheets/d/12RxCea4e5ggM7QGn1XE3FbLQa_-QbCNdBi90OdPjRqg/edit?gid=1692403370#gid=1692403370"", ""'Plan de Compras'!D4:2432""), 8,0)"),3.0)</f>
        <v>3</v>
      </c>
      <c r="K324" s="26" t="str">
        <f t="shared" si="31"/>
        <v>SI</v>
      </c>
      <c r="L324" s="26"/>
      <c r="M324" s="32"/>
      <c r="N324" s="32" t="s">
        <v>2675</v>
      </c>
      <c r="O324" s="32"/>
      <c r="P324" s="32"/>
      <c r="Q324" s="33" t="s">
        <v>2676</v>
      </c>
      <c r="R324" s="32"/>
      <c r="S324" s="44" t="b">
        <v>1</v>
      </c>
      <c r="T324" s="59" t="s">
        <v>303</v>
      </c>
      <c r="U324" s="59">
        <v>100836.0</v>
      </c>
      <c r="V324" s="59"/>
      <c r="W324" s="59"/>
      <c r="X324" s="59"/>
      <c r="Y324" s="145" t="s">
        <v>2296</v>
      </c>
      <c r="Z324" s="37" t="str">
        <f>IFERROR(__xludf.DUMMYFUNCTION("IFERROR(VLOOKUP(G324,IMPORTRANGE(""https://docs.google.com/spreadsheets/d/12RxCea4e5ggM7QGn1XE3FbLQa_-QbCNdBi90OdPjRqg"", ""'Plan de Compras'!D4:Q""), 12, 0), ""NO ESTÁ EN REQ"")"),"Simple")</f>
        <v>Simple</v>
      </c>
      <c r="AA324" s="37" t="str">
        <f>IFERROR(__xludf.DUMMYFUNCTION("IFERROR(VLOOKUP(G324,IMPORTRANGE(""https://docs.google.com/spreadsheets/d/12RxCea4e5ggM7QGn1XE3FbLQa_-QbCNdBi90OdPjRqg"", ""'Plan de Compras'!D4:Q""), 13, 0), """")"),"NACIONAL")</f>
        <v>NACIONAL</v>
      </c>
      <c r="AB324" s="32" t="str">
        <f>IFERROR(__xludf.DUMMYFUNCTION("IFERROR(VLOOKUP(G324,IMPORTRANGE(""https://docs.google.com/spreadsheets/d/12RxCea4e5ggM7QGn1XE3FbLQa_-QbCNdBi90OdPjRqg"", ""'Plan de Compras'!D4:Q""), 14, 0), """")"),"DIANA")</f>
        <v>DIANA</v>
      </c>
      <c r="AC324" s="72" t="str">
        <f>IFERROR(__xludf.DUMMYFUNCTION("IFERROR(VLOOKUP(G324,IMPORTRANGE(""https://docs.google.com/spreadsheets/d/12RxCea4e5ggM7QGn1XE3FbLQa_-QbCNdBi90OdPjRqg"", ""'Plan de Compras'!D4:Q""), 4, 0), """")"),"PUNTA CRUZ 1X4 PULG (1 UND)")</f>
        <v>PUNTA CRUZ 1X4 PULG (1 UND)</v>
      </c>
      <c r="AD324" s="37" t="str">
        <f>IFERROR(__xludf.DUMMYFUNCTION("IFERROR(IF(OR(C324=TRUE,C324=""""),VLOOKUP(G324,IMPORTRANGE(""https://docs.google.com/spreadsheets/d/1z9A1Wq-kKrhRNG5RS2a2fKpY1wIhSVz2ZNmP2mOl588/edit?usp=sharing"",""REQ VF!E4:H""),4,0),""NO APLICA""),""GENERAR REQ"")"),"GENERAR REQ")</f>
        <v>GENERAR REQ</v>
      </c>
      <c r="AE324" s="32" t="str">
        <f>IFERROR(__xludf.DUMMYFUNCTION("IFERROR(QUERY(IMPORTRANGE(""https://docs.google.com/spreadsheets/d/1z9A1Wq-kKrhRNG5RS2a2fKpY1wIhSVz2ZNmP2mOl588/edit?usp=sharing"",""REQ VF!E4:Q""),""SELECT Col10, Col11, Col12 WHERE Col1 = '""&amp;G324&amp;""'"",0),""NO APLICA"")"),"NO APLICA")</f>
        <v>NO APLICA</v>
      </c>
      <c r="AF324" s="32"/>
      <c r="AG324" s="32"/>
      <c r="AH324" s="13"/>
      <c r="AI324" s="13"/>
    </row>
    <row r="325">
      <c r="A325" s="43"/>
      <c r="B325" s="43"/>
      <c r="C325" s="26" t="b">
        <v>1</v>
      </c>
      <c r="D325" s="26" t="s">
        <v>95</v>
      </c>
      <c r="E325" s="26" t="s">
        <v>1510</v>
      </c>
      <c r="F325" s="59" t="s">
        <v>2653</v>
      </c>
      <c r="G325" s="39" t="s">
        <v>2677</v>
      </c>
      <c r="H325" s="66" t="str">
        <f>UPPER("punta cruz 2x5 pulg (1 und)")</f>
        <v>PUNTA CRUZ 2X5 PULG (1 UND)</v>
      </c>
      <c r="I325" s="43">
        <v>3.0</v>
      </c>
      <c r="J325" s="26">
        <f>IFERROR(__xludf.DUMMYFUNCTION("VLOOKUP(G325,IMPORTRANGE(""https://docs.google.com/spreadsheets/d/12RxCea4e5ggM7QGn1XE3FbLQa_-QbCNdBi90OdPjRqg/edit?gid=1692403370#gid=1692403370"", ""'Plan de Compras'!D4:2432""), 8,0)"),3.0)</f>
        <v>3</v>
      </c>
      <c r="K325" s="26" t="str">
        <f t="shared" si="31"/>
        <v>SI</v>
      </c>
      <c r="L325" s="26"/>
      <c r="M325" s="32"/>
      <c r="N325" s="32" t="s">
        <v>2678</v>
      </c>
      <c r="O325" s="32"/>
      <c r="P325" s="32"/>
      <c r="Q325" s="33" t="s">
        <v>2679</v>
      </c>
      <c r="R325" s="32"/>
      <c r="S325" s="44" t="b">
        <v>1</v>
      </c>
      <c r="T325" s="59" t="s">
        <v>2357</v>
      </c>
      <c r="U325" s="59" t="s">
        <v>2680</v>
      </c>
      <c r="V325" s="59"/>
      <c r="W325" s="59"/>
      <c r="X325" s="59"/>
      <c r="Y325" s="138" t="s">
        <v>2676</v>
      </c>
      <c r="Z325" s="37" t="str">
        <f>IFERROR(__xludf.DUMMYFUNCTION("IFERROR(VLOOKUP(G325,IMPORTRANGE(""https://docs.google.com/spreadsheets/d/12RxCea4e5ggM7QGn1XE3FbLQa_-QbCNdBi90OdPjRqg"", ""'Plan de Compras'!D4:Q""), 12, 0), ""NO ESTÁ EN REQ"")"),"Simple")</f>
        <v>Simple</v>
      </c>
      <c r="AA325" s="37" t="str">
        <f>IFERROR(__xludf.DUMMYFUNCTION("IFERROR(VLOOKUP(G325,IMPORTRANGE(""https://docs.google.com/spreadsheets/d/12RxCea4e5ggM7QGn1XE3FbLQa_-QbCNdBi90OdPjRqg"", ""'Plan de Compras'!D4:Q""), 13, 0), """")"),"NACIONAL")</f>
        <v>NACIONAL</v>
      </c>
      <c r="AB325" s="32" t="str">
        <f>IFERROR(__xludf.DUMMYFUNCTION("IFERROR(VLOOKUP(G325,IMPORTRANGE(""https://docs.google.com/spreadsheets/d/12RxCea4e5ggM7QGn1XE3FbLQa_-QbCNdBi90OdPjRqg"", ""'Plan de Compras'!D4:Q""), 14, 0), """")"),"DIANA")</f>
        <v>DIANA</v>
      </c>
      <c r="AC325" s="72" t="str">
        <f>IFERROR(__xludf.DUMMYFUNCTION("IFERROR(VLOOKUP(G325,IMPORTRANGE(""https://docs.google.com/spreadsheets/d/12RxCea4e5ggM7QGn1XE3FbLQa_-QbCNdBi90OdPjRqg"", ""'Plan de Compras'!D4:Q""), 4, 0), """")"),"PUNTA CRUZ 2X5 PULG (1 UND)")</f>
        <v>PUNTA CRUZ 2X5 PULG (1 UND)</v>
      </c>
      <c r="AD325" s="37" t="str">
        <f>IFERROR(__xludf.DUMMYFUNCTION("IFERROR(IF(OR(C325=TRUE,C325=""""),VLOOKUP(G325,IMPORTRANGE(""https://docs.google.com/spreadsheets/d/1z9A1Wq-kKrhRNG5RS2a2fKpY1wIhSVz2ZNmP2mOl588/edit?usp=sharing"",""REQ VF!E4:H""),4,0),""NO APLICA""),""GENERAR REQ"")"),"GENERAR REQ")</f>
        <v>GENERAR REQ</v>
      </c>
      <c r="AE325" s="32" t="str">
        <f>IFERROR(__xludf.DUMMYFUNCTION("IFERROR(QUERY(IMPORTRANGE(""https://docs.google.com/spreadsheets/d/1z9A1Wq-kKrhRNG5RS2a2fKpY1wIhSVz2ZNmP2mOl588/edit?usp=sharing"",""REQ VF!E4:Q""),""SELECT Col10, Col11, Col12 WHERE Col1 = '""&amp;G325&amp;""'"",0),""NO APLICA"")"),"NO APLICA")</f>
        <v>NO APLICA</v>
      </c>
      <c r="AF325" s="32"/>
      <c r="AG325" s="32"/>
      <c r="AH325" s="13"/>
      <c r="AI325" s="13"/>
    </row>
    <row r="326">
      <c r="A326" s="43"/>
      <c r="B326" s="43"/>
      <c r="C326" s="26" t="b">
        <v>1</v>
      </c>
      <c r="D326" s="26" t="s">
        <v>95</v>
      </c>
      <c r="E326" s="26" t="s">
        <v>1510</v>
      </c>
      <c r="F326" s="59" t="s">
        <v>2653</v>
      </c>
      <c r="G326" s="39" t="s">
        <v>2681</v>
      </c>
      <c r="H326" s="66" t="str">
        <f>UPPER("punta cruz 3x6 pulg (1 und)")</f>
        <v>PUNTA CRUZ 3X6 PULG (1 UND)</v>
      </c>
      <c r="I326" s="43">
        <v>3.0</v>
      </c>
      <c r="J326" s="26">
        <f>IFERROR(__xludf.DUMMYFUNCTION("VLOOKUP(G326,IMPORTRANGE(""https://docs.google.com/spreadsheets/d/12RxCea4e5ggM7QGn1XE3FbLQa_-QbCNdBi90OdPjRqg/edit?gid=1692403370#gid=1692403370"", ""'Plan de Compras'!D4:2432""), 8,0)"),3.0)</f>
        <v>3</v>
      </c>
      <c r="K326" s="26" t="str">
        <f t="shared" si="31"/>
        <v>SI</v>
      </c>
      <c r="L326" s="26"/>
      <c r="M326" s="32"/>
      <c r="N326" s="32"/>
      <c r="O326" s="32"/>
      <c r="P326" s="32"/>
      <c r="Q326" s="41"/>
      <c r="R326" s="32"/>
      <c r="S326" s="34" t="b">
        <v>1</v>
      </c>
      <c r="T326" s="39" t="s">
        <v>2682</v>
      </c>
      <c r="U326" s="39">
        <v>646166.0</v>
      </c>
      <c r="V326" s="39"/>
      <c r="W326" s="39"/>
      <c r="X326" s="39"/>
      <c r="Y326" s="126" t="s">
        <v>2683</v>
      </c>
      <c r="Z326" s="37" t="str">
        <f>IFERROR(__xludf.DUMMYFUNCTION("IFERROR(VLOOKUP(G326,IMPORTRANGE(""https://docs.google.com/spreadsheets/d/12RxCea4e5ggM7QGn1XE3FbLQa_-QbCNdBi90OdPjRqg"", ""'Plan de Compras'!D4:Q""), 12, 0), ""NO ESTÁ EN REQ"")"),"Técnica")</f>
        <v>Técnica</v>
      </c>
      <c r="AA326" s="37" t="str">
        <f>IFERROR(__xludf.DUMMYFUNCTION("IFERROR(VLOOKUP(G326,IMPORTRANGE(""https://docs.google.com/spreadsheets/d/12RxCea4e5ggM7QGn1XE3FbLQa_-QbCNdBi90OdPjRqg"", ""'Plan de Compras'!D4:Q""), 13, 0), """")"),"INTERNACIONAL")</f>
        <v>INTERNACIONAL</v>
      </c>
      <c r="AB326" s="32" t="str">
        <f>IFERROR(__xludf.DUMMYFUNCTION("IFERROR(VLOOKUP(G326,IMPORTRANGE(""https://docs.google.com/spreadsheets/d/12RxCea4e5ggM7QGn1XE3FbLQa_-QbCNdBi90OdPjRqg"", ""'Plan de Compras'!D4:Q""), 14, 0), """")"),"GIANFRANCO")</f>
        <v>GIANFRANCO</v>
      </c>
      <c r="AC326" s="72" t="str">
        <f>IFERROR(__xludf.DUMMYFUNCTION("IFERROR(VLOOKUP(G326,IMPORTRANGE(""https://docs.google.com/spreadsheets/d/12RxCea4e5ggM7QGn1XE3FbLQa_-QbCNdBi90OdPjRqg"", ""'Plan de Compras'!D4:Q""), 4, 0), """")"),"PUNTA CRUZ 3X6 PULG (1 UND)")</f>
        <v>PUNTA CRUZ 3X6 PULG (1 UND)</v>
      </c>
      <c r="AD326" s="37" t="str">
        <f>IFERROR(__xludf.DUMMYFUNCTION("IFERROR(IF(OR(C326=TRUE,C326=""""),VLOOKUP(G326,IMPORTRANGE(""https://docs.google.com/spreadsheets/d/1z9A1Wq-kKrhRNG5RS2a2fKpY1wIhSVz2ZNmP2mOl588/edit?usp=sharing"",""REQ VF!E4:H""),4,0),""NO APLICA""),""GENERAR REQ"")"),"GENERAR REQ")</f>
        <v>GENERAR REQ</v>
      </c>
      <c r="AE326" s="32" t="str">
        <f>IFERROR(__xludf.DUMMYFUNCTION("IFERROR(QUERY(IMPORTRANGE(""https://docs.google.com/spreadsheets/d/1z9A1Wq-kKrhRNG5RS2a2fKpY1wIhSVz2ZNmP2mOl588/edit?usp=sharing"",""REQ VF!E4:Q""),""SELECT Col10, Col11, Col12 WHERE Col1 = '""&amp;G326&amp;""'"",0),""NO APLICA"")"),"NO APLICA")</f>
        <v>NO APLICA</v>
      </c>
      <c r="AF326" s="32"/>
      <c r="AG326" s="32"/>
      <c r="AH326" s="13"/>
      <c r="AI326" s="13"/>
    </row>
    <row r="327">
      <c r="A327" s="43"/>
      <c r="B327" s="43"/>
      <c r="C327" s="26" t="b">
        <v>1</v>
      </c>
      <c r="D327" s="26" t="s">
        <v>42</v>
      </c>
      <c r="E327" s="26" t="s">
        <v>1510</v>
      </c>
      <c r="F327" s="59" t="s">
        <v>2653</v>
      </c>
      <c r="G327" s="39" t="s">
        <v>2684</v>
      </c>
      <c r="H327" s="66" t="s">
        <v>2685</v>
      </c>
      <c r="I327" s="43">
        <v>3.0</v>
      </c>
      <c r="J327" s="26">
        <f>IFERROR(__xludf.DUMMYFUNCTION("VLOOKUP(G327,IMPORTRANGE(""https://docs.google.com/spreadsheets/d/12RxCea4e5ggM7QGn1XE3FbLQa_-QbCNdBi90OdPjRqg/edit?gid=1692403370#gid=1692403370"", ""'Plan de Compras'!D4:2432""), 8,0)"),3.0)</f>
        <v>3</v>
      </c>
      <c r="K327" s="26" t="str">
        <f t="shared" si="31"/>
        <v>SI</v>
      </c>
      <c r="L327" s="29"/>
      <c r="M327" s="61"/>
      <c r="N327" s="32"/>
      <c r="O327" s="32" t="str">
        <f>VLOOKUP($G327,'Hoja 10'!$F$4:$AA1057, 19,0)</f>
        <v>#N/A</v>
      </c>
      <c r="P327" s="32" t="str">
        <f>VLOOKUP($G327,'Hoja 10'!$F$4:$AA1057, 20,0)</f>
        <v>#N/A</v>
      </c>
      <c r="Q327" s="41" t="str">
        <f>VLOOKUP($G327,'Hoja 10'!$F$4:$AA1057, 21,0)</f>
        <v>#N/A</v>
      </c>
      <c r="R327" s="32"/>
      <c r="S327" s="34" t="b">
        <v>1</v>
      </c>
      <c r="T327" s="39" t="s">
        <v>2686</v>
      </c>
      <c r="U327" s="39" t="s">
        <v>2687</v>
      </c>
      <c r="V327" s="39"/>
      <c r="W327" s="39"/>
      <c r="X327" s="39"/>
      <c r="Y327" s="125" t="s">
        <v>2688</v>
      </c>
      <c r="Z327" s="37" t="str">
        <f>IFERROR(__xludf.DUMMYFUNCTION("IFERROR(VLOOKUP(G327,IMPORTRANGE(""https://docs.google.com/spreadsheets/d/12RxCea4e5ggM7QGn1XE3FbLQa_-QbCNdBi90OdPjRqg"", ""'Plan de Compras'!D4:Q""), 12, 0), ""NO ESTÁ EN REQ"")"),"Simple")</f>
        <v>Simple</v>
      </c>
      <c r="AA327" s="37" t="str">
        <f>IFERROR(__xludf.DUMMYFUNCTION("IFERROR(VLOOKUP(G327,IMPORTRANGE(""https://docs.google.com/spreadsheets/d/12RxCea4e5ggM7QGn1XE3FbLQa_-QbCNdBi90OdPjRqg"", ""'Plan de Compras'!D4:Q""), 13, 0), """")"),"NACIONAL")</f>
        <v>NACIONAL</v>
      </c>
      <c r="AB327" s="32" t="str">
        <f>IFERROR(__xludf.DUMMYFUNCTION("IFERROR(VLOOKUP(G327,IMPORTRANGE(""https://docs.google.com/spreadsheets/d/12RxCea4e5ggM7QGn1XE3FbLQa_-QbCNdBi90OdPjRqg"", ""'Plan de Compras'!D4:Q""), 14, 0), """")"),"DIANA")</f>
        <v>DIANA</v>
      </c>
      <c r="AC327" s="72" t="str">
        <f>IFERROR(__xludf.DUMMYFUNCTION("IFERROR(VLOOKUP(G327,IMPORTRANGE(""https://docs.google.com/spreadsheets/d/12RxCea4e5ggM7QGn1XE3FbLQa_-QbCNdBi90OdPjRqg"", ""'Plan de Compras'!D4:Q""), 4, 0), """")"),"CHAROLA 384 x 184 x 45 MM (1 UND)")</f>
        <v>CHAROLA 384 x 184 x 45 MM (1 UND)</v>
      </c>
      <c r="AD327" s="37" t="str">
        <f>IFERROR(__xludf.DUMMYFUNCTION("IFERROR(IF(OR(C327=TRUE,C327=""""),VLOOKUP(G327,IMPORTRANGE(""https://docs.google.com/spreadsheets/d/1z9A1Wq-kKrhRNG5RS2a2fKpY1wIhSVz2ZNmP2mOl588/edit?usp=sharing"",""REQ VF!E4:H""),4,0),""NO APLICA""),""GENERAR REQ"")"),"GENERAR REQ")</f>
        <v>GENERAR REQ</v>
      </c>
      <c r="AE327" s="32" t="str">
        <f>IFERROR(__xludf.DUMMYFUNCTION("IFERROR(QUERY(IMPORTRANGE(""https://docs.google.com/spreadsheets/d/1z9A1Wq-kKrhRNG5RS2a2fKpY1wIhSVz2ZNmP2mOl588/edit?usp=sharing"",""REQ VF!E4:Q""),""SELECT Col10, Col11, Col12 WHERE Col1 = '""&amp;G327&amp;""'"",0),""NO APLICA"")"),"NO APLICA")</f>
        <v>NO APLICA</v>
      </c>
      <c r="AF327" s="32"/>
      <c r="AG327" s="32"/>
      <c r="AH327" s="13"/>
      <c r="AI327" s="13"/>
    </row>
    <row r="328">
      <c r="A328" s="43"/>
      <c r="B328" s="43"/>
      <c r="C328" s="26" t="b">
        <v>1</v>
      </c>
      <c r="D328" s="26" t="s">
        <v>42</v>
      </c>
      <c r="E328" s="26"/>
      <c r="F328" s="59"/>
      <c r="G328" s="146" t="s">
        <v>2689</v>
      </c>
      <c r="H328" s="147" t="s">
        <v>2690</v>
      </c>
      <c r="I328" s="43">
        <v>3.0</v>
      </c>
      <c r="J328" s="26" t="str">
        <f>IFERROR(__xludf.DUMMYFUNCTION("VLOOKUP(G328,IMPORTRANGE(""https://docs.google.com/spreadsheets/d/12RxCea4e5ggM7QGn1XE3FbLQa_-QbCNdBi90OdPjRqg/edit?gid=1692403370#gid=1692403370"", ""'Plan de Compras'!D4:2432""), 8,0)"),"#N/A")</f>
        <v>#N/A</v>
      </c>
      <c r="K328" s="26" t="str">
        <f t="shared" si="31"/>
        <v>#N/A</v>
      </c>
      <c r="L328" s="29"/>
      <c r="M328" s="61"/>
      <c r="N328" s="32"/>
      <c r="O328" s="32"/>
      <c r="P328" s="32"/>
      <c r="Q328" s="41"/>
      <c r="R328" s="32"/>
      <c r="S328" s="34" t="b">
        <v>1</v>
      </c>
      <c r="T328" s="39" t="s">
        <v>303</v>
      </c>
      <c r="U328" s="39" t="s">
        <v>2691</v>
      </c>
      <c r="V328" s="39"/>
      <c r="W328" s="39"/>
      <c r="X328" s="39"/>
      <c r="Y328" s="125" t="s">
        <v>2692</v>
      </c>
      <c r="Z328" s="37" t="str">
        <f>IFERROR(__xludf.DUMMYFUNCTION("IFERROR(VLOOKUP(G328,IMPORTRANGE(""https://docs.google.com/spreadsheets/d/12RxCea4e5ggM7QGn1XE3FbLQa_-QbCNdBi90OdPjRqg"", ""'Plan de Compras'!D4:Q""), 12, 0), ""NO ESTÁ EN REQ"")"),"NO ESTÁ EN REQ")</f>
        <v>NO ESTÁ EN REQ</v>
      </c>
      <c r="AA328" s="37" t="str">
        <f>IFERROR(__xludf.DUMMYFUNCTION("IFERROR(VLOOKUP(G328,IMPORTRANGE(""https://docs.google.com/spreadsheets/d/12RxCea4e5ggM7QGn1XE3FbLQa_-QbCNdBi90OdPjRqg"", ""'Plan de Compras'!D4:Q""), 13, 0), """")"),"")</f>
        <v/>
      </c>
      <c r="AB328" s="32" t="str">
        <f>IFERROR(__xludf.DUMMYFUNCTION("IFERROR(VLOOKUP(G328,IMPORTRANGE(""https://docs.google.com/spreadsheets/d/12RxCea4e5ggM7QGn1XE3FbLQa_-QbCNdBi90OdPjRqg"", ""'Plan de Compras'!D4:Q""), 14, 0), """")"),"")</f>
        <v/>
      </c>
      <c r="AC328" s="72" t="str">
        <f>IFERROR(__xludf.DUMMYFUNCTION("IFERROR(VLOOKUP(G328,IMPORTRANGE(""https://docs.google.com/spreadsheets/d/12RxCea4e5ggM7QGn1XE3FbLQa_-QbCNdBi90OdPjRqg"", ""'Plan de Compras'!D4:Q""), 4, 0), """")"),"")</f>
        <v/>
      </c>
      <c r="AD328" s="37" t="str">
        <f>IFERROR(__xludf.DUMMYFUNCTION("IFERROR(IF(OR(C328=TRUE,C328=""""),VLOOKUP(G328,IMPORTRANGE(""https://docs.google.com/spreadsheets/d/1z9A1Wq-kKrhRNG5RS2a2fKpY1wIhSVz2ZNmP2mOl588/edit?usp=sharing"",""REQ VF!E4:H""),4,0),""NO APLICA""),""GENERAR REQ"")"),"GENERAR REQ")</f>
        <v>GENERAR REQ</v>
      </c>
      <c r="AE328" s="32" t="str">
        <f>IFERROR(__xludf.DUMMYFUNCTION("IFERROR(QUERY(IMPORTRANGE(""https://docs.google.com/spreadsheets/d/1z9A1Wq-kKrhRNG5RS2a2fKpY1wIhSVz2ZNmP2mOl588/edit?usp=sharing"",""REQ VF!E4:Q""),""SELECT Col10, Col11, Col12 WHERE Col1 = '""&amp;G328&amp;""'"",0),""NO APLICA"")"),"NO APLICA")</f>
        <v>NO APLICA</v>
      </c>
      <c r="AF328" s="32"/>
      <c r="AG328" s="32"/>
      <c r="AH328" s="13"/>
      <c r="AI328" s="13"/>
    </row>
    <row r="329">
      <c r="A329" s="121">
        <v>208.0</v>
      </c>
      <c r="B329" s="43" t="b">
        <v>1</v>
      </c>
      <c r="C329" s="26" t="b">
        <v>1</v>
      </c>
      <c r="D329" s="26" t="s">
        <v>35</v>
      </c>
      <c r="E329" s="26" t="s">
        <v>1510</v>
      </c>
      <c r="F329" s="59" t="s">
        <v>2693</v>
      </c>
      <c r="G329" s="37" t="s">
        <v>2693</v>
      </c>
      <c r="H329" s="82" t="s">
        <v>2694</v>
      </c>
      <c r="I329" s="43">
        <f>SUMIFS('Hoja 10'!$O:$O,'Hoja 10'!$F:$F,$G329)</f>
        <v>16</v>
      </c>
      <c r="J329" s="26">
        <f>IFERROR(__xludf.DUMMYFUNCTION("VLOOKUP(G329,IMPORTRANGE(""https://docs.google.com/spreadsheets/d/12RxCea4e5ggM7QGn1XE3FbLQa_-QbCNdBi90OdPjRqg/edit?gid=1692403370#gid=1692403370"", ""'Plan de Compras'!D4:2432""), 8,0)"),16.0)</f>
        <v>16</v>
      </c>
      <c r="K329" s="26" t="str">
        <f t="shared" si="31"/>
        <v>SI</v>
      </c>
      <c r="L329" s="29" t="s">
        <v>339</v>
      </c>
      <c r="M329" s="30" t="s">
        <v>340</v>
      </c>
      <c r="N329" s="32"/>
      <c r="O329" s="32" t="str">
        <f>VLOOKUP($G329,'Hoja 10'!$F$4:$AA1057, 19,0)</f>
        <v>VCE</v>
      </c>
      <c r="P329" s="32" t="str">
        <f>VLOOKUP($G329,'Hoja 10'!$F$4:$AA1057, 20,0)</f>
        <v>VCE</v>
      </c>
      <c r="Q329" s="33" t="str">
        <f>VLOOKUP($G329,'Hoja 10'!$F$4:$AA1057, 21,0)</f>
        <v>https://www.amazon.com/Herramienta-crimpado-Ethernet-Crimpadora-Multi-herramienta/dp/B07XD98YYT/ref=sr_1_1_sspa?crid=NSGEVTZZO10O&amp;dib=eyJ2IjoiMSJ9.rrRTCAooboGVWtyrS_gzsQYMOhfE3R4EZywEuZAJKtlBpSrFeF7ePWNaKOYRarOb2VbzGQJ69eW9_b9wtGIzHMXo_v4n3-Y64bgnzLMo6gs_45Tle8otUnUBaI9t2yqpKKlINnAQ2irTjOE1uVrqDqLfBKUYpsdbyByO01awyEtUpGbUR2_Q_hG6HWOyMTmAp9b7qgj3qKFld0u8fyM3YEmdxB8zxwejW63KLuegM68.NuvmrcBorJ7gGZ9SpMRfjSjmhEGmAkN-Ga-91KZUcNk&amp;dib_tag=se&amp;keywords=TENAZA+CON+PRENSA+PARA+CONECTORES+RJ45&amp;qid=1759159516&amp;sprefix=tenaza+con+prensa+para+conectores+rj45%2Caps%2C170&amp;sr=8-1-spons&amp;sp_csd=d2lkZ2V0TmFtZT1zcF9hdGY&amp;psc=1</v>
      </c>
      <c r="R329" s="86" t="s">
        <v>2695</v>
      </c>
      <c r="S329" s="44" t="b">
        <v>0</v>
      </c>
      <c r="T329" s="39" t="s">
        <v>2696</v>
      </c>
      <c r="U329" s="39" t="s">
        <v>2697</v>
      </c>
      <c r="V329" s="39" t="str">
        <f>IFERROR(__xludf.DUMMYFUNCTION(" IF
( VLOOKUP($G329,IMPORTRANGE(""https://docs.google.com/spreadsheets/d/1Gpl6jkTg7sL4VDNimUm3S9Vi1i95esohXCF3wuKOE8c"", ""'CONSOLIDADO'!G5:AB""), 10, 0) &lt;&gt; 0, 
IFERROR(VLOOKUP($G329,IMPORTRANGE(""https://docs.google.com/spreadsheets/d/1Gpl6jkTg7sL4VDNimU"&amp;"m3S9Vi1i95esohXCF3wuKOE8c"", ""'CONSOLIDADO'!G5:AB""), 17, 0), ""-""),
""""
)"),"VCE")</f>
        <v>VCE</v>
      </c>
      <c r="W329" s="39" t="str">
        <f>IFERROR(__xludf.DUMMYFUNCTION(" IF
( VLOOKUP($G329,IMPORTRANGE(""https://docs.google.com/spreadsheets/d/1Gpl6jkTg7sL4VDNimUm3S9Vi1i95esohXCF3wuKOE8c"", ""'CONSOLIDADO'!G5:AB""), 10, 0) &lt;&gt; 0, 
IFERROR(VLOOKUP($G329,IMPORTRANGE(""https://docs.google.com/spreadsheets/d/1Gpl6jkTg7sL4VDNimU"&amp;"m3S9Vi1i95esohXCF3wuKOE8c"", ""'CONSOLIDADO'!G5:AB""), 18, 0), ""-""),
""""
)"),"GJ668BL-1P-CA")</f>
        <v>GJ668BL-1P-CA</v>
      </c>
      <c r="X329" s="39" t="b">
        <f t="shared" ref="X329:X337" si="38">IF(AND(T329=V329,W329=U329),TRUE,FALSE)</f>
        <v>1</v>
      </c>
      <c r="Y329" s="120" t="str">
        <f>IFERROR(__xludf.DUMMYFUNCTION(" IF
( VLOOKUP($G329,IMPORTRANGE(""https://docs.google.com/spreadsheets/d/1Gpl6jkTg7sL4VDNimUm3S9Vi1i95esohXCF3wuKOE8c"", ""'CONSOLIDADO'!G5:AB""), 10, 0) &lt;&gt; 0, 
IFERROR(VLOOKUP($G329,IMPORTRANGE(""https://docs.google.com/spreadsheets/d/1Gpl6jkTg7sL4VDNimU"&amp;"m3S9Vi1i95esohXCF3wuKOE8c"", ""'CONSOLIDADO'!G5:AB""), 19, 0), ""-""),
""""
)"),"Amazon.com: VCE RJ45 RJ11/RJ12 RJ22 Herramienta de crimpado Ethernet Crimpadora Stripper todo en uno Multi-herramienta para teléfono de red Cat3 Cat5 Cat5e Cat6 Cat6A Conector modular Cables de enchufe : Herramientas y Mejoras del Hogar")</f>
        <v>Amazon.com: VCE RJ45 RJ11/RJ12 RJ22 Herramienta de crimpado Ethernet Crimpadora Stripper todo en uno Multi-herramienta para teléfono de red Cat3 Cat5 Cat5e Cat6 Cat6A Conector modular Cables de enchufe : Herramientas y Mejoras del Hogar</v>
      </c>
      <c r="Z329" s="37" t="str">
        <f>IFERROR(__xludf.DUMMYFUNCTION("IFERROR(VLOOKUP(G329,IMPORTRANGE(""https://docs.google.com/spreadsheets/d/12RxCea4e5ggM7QGn1XE3FbLQa_-QbCNdBi90OdPjRqg"", ""'Plan de Compras'!D4:Q""), 12, 0), ""NO ESTÁ EN REQ"")"),"Simple")</f>
        <v>Simple</v>
      </c>
      <c r="AA329" s="37" t="str">
        <f>IFERROR(__xludf.DUMMYFUNCTION("IFERROR(VLOOKUP(G329,IMPORTRANGE(""https://docs.google.com/spreadsheets/d/12RxCea4e5ggM7QGn1XE3FbLQa_-QbCNdBi90OdPjRqg"", ""'Plan de Compras'!D4:Q""), 13, 0), """")"),"INTERNACIONAL")</f>
        <v>INTERNACIONAL</v>
      </c>
      <c r="AB329" s="32" t="str">
        <f>IFERROR(__xludf.DUMMYFUNCTION("IFERROR(VLOOKUP(G329,IMPORTRANGE(""https://docs.google.com/spreadsheets/d/12RxCea4e5ggM7QGn1XE3FbLQa_-QbCNdBi90OdPjRqg"", ""'Plan de Compras'!D4:Q""), 14, 0), """")"),"GIANFRANCO")</f>
        <v>GIANFRANCO</v>
      </c>
      <c r="AC329" s="72" t="str">
        <f>IFERROR(__xludf.DUMMYFUNCTION("IFERROR(VLOOKUP(G329,IMPORTRANGE(""https://docs.google.com/spreadsheets/d/12RxCea4e5ggM7QGn1XE3FbLQa_-QbCNdBi90OdPjRqg"", ""'Plan de Compras'!D4:Q""), 4, 0), """")"),"TENAZA CON PRENSA")</f>
        <v>TENAZA CON PRENSA</v>
      </c>
      <c r="AD329" s="37" t="str">
        <f>IFERROR(__xludf.DUMMYFUNCTION("IFERROR(IF(OR(C329=TRUE,C329=""""),VLOOKUP(G329,IMPORTRANGE(""https://docs.google.com/spreadsheets/d/1z9A1Wq-kKrhRNG5RS2a2fKpY1wIhSVz2ZNmP2mOl588/edit?usp=sharing"",""REQ VF!E4:H""),4,0),""NO APLICA""),""GENERAR REQ"")"),"GENERAR REQ")</f>
        <v>GENERAR REQ</v>
      </c>
      <c r="AE329" s="32" t="str">
        <f>IFERROR(__xludf.DUMMYFUNCTION("IFERROR(QUERY(IMPORTRANGE(""https://docs.google.com/spreadsheets/d/1z9A1Wq-kKrhRNG5RS2a2fKpY1wIhSVz2ZNmP2mOl588/edit?usp=sharing"",""REQ VF!E4:Q""),""SELECT Col10, Col11, Col12 WHERE Col1 = '""&amp;G329&amp;""'"",0),""NO APLICA"")"),"NO APLICA")</f>
        <v>NO APLICA</v>
      </c>
      <c r="AF329" s="32"/>
      <c r="AG329" s="32"/>
      <c r="AH329" s="13"/>
      <c r="AI329" s="13"/>
    </row>
    <row r="330">
      <c r="A330" s="121">
        <v>209.0</v>
      </c>
      <c r="B330" s="43" t="b">
        <v>1</v>
      </c>
      <c r="C330" s="26" t="b">
        <v>1</v>
      </c>
      <c r="D330" s="26" t="s">
        <v>35</v>
      </c>
      <c r="E330" s="26" t="s">
        <v>1510</v>
      </c>
      <c r="F330" s="59" t="s">
        <v>2698</v>
      </c>
      <c r="G330" s="37" t="s">
        <v>2698</v>
      </c>
      <c r="H330" s="82" t="s">
        <v>2699</v>
      </c>
      <c r="I330" s="43">
        <f>SUMIFS('Hoja 10'!$O:$O,'Hoja 10'!$F:$F,$G330)</f>
        <v>16</v>
      </c>
      <c r="J330" s="26">
        <f>IFERROR(__xludf.DUMMYFUNCTION("VLOOKUP(G330,IMPORTRANGE(""https://docs.google.com/spreadsheets/d/12RxCea4e5ggM7QGn1XE3FbLQa_-QbCNdBi90OdPjRqg/edit?gid=1692403370#gid=1692403370"", ""'Plan de Compras'!D4:2432""), 8,0)"),16.0)</f>
        <v>16</v>
      </c>
      <c r="K330" s="26" t="str">
        <f t="shared" si="31"/>
        <v>SI</v>
      </c>
      <c r="L330" s="29" t="s">
        <v>339</v>
      </c>
      <c r="M330" s="30" t="s">
        <v>340</v>
      </c>
      <c r="N330" s="32"/>
      <c r="O330" s="32" t="str">
        <f>VLOOKUP($G330,'Hoja 10'!$F$4:$AA1057, 19,0)</f>
        <v>MPT</v>
      </c>
      <c r="P330" s="32" t="str">
        <f>VLOOKUP($G330,'Hoja 10'!$F$4:$AA1057, 20,0)</f>
        <v>MPT</v>
      </c>
      <c r="Q330" s="33" t="str">
        <f>VLOOKUP($G330,'Hoja 10'!$F$4:$AA1057, 21,0)</f>
        <v>https://www.sodimac.com.pe/sodimac-pe/articulo/122121228/TIJERAS-CORTA-TUBOS-42MM-PROFESIONAL-MPT-TOOLS/122121229?srsltid=AfmBOoryVgdljfYsv6tmlvlv_N1ho0NQBGTjZIJYkhz9e9JzWDn5wkJT</v>
      </c>
      <c r="R330" s="86" t="s">
        <v>2700</v>
      </c>
      <c r="S330" s="44" t="b">
        <v>1</v>
      </c>
      <c r="T330" s="32" t="str">
        <f>VLOOKUP($G330,'Hoja 10'!$F$4:$AA1057, 19,0)</f>
        <v>MPT</v>
      </c>
      <c r="U330" s="32" t="str">
        <f>VLOOKUP($G330,'Hoja 10'!$F$4:$AA1057, 20,0)</f>
        <v>MPT</v>
      </c>
      <c r="V330" s="39" t="str">
        <f>IFERROR(__xludf.DUMMYFUNCTION(" IF
( VLOOKUP($G330,IMPORTRANGE(""https://docs.google.com/spreadsheets/d/1Gpl6jkTg7sL4VDNimUm3S9Vi1i95esohXCF3wuKOE8c"", ""'CONSOLIDADO'!G5:AB""), 10, 0) &lt;&gt; 0, 
IFERROR(VLOOKUP($G330,IMPORTRANGE(""https://docs.google.com/spreadsheets/d/1Gpl6jkTg7sL4VDNimU"&amp;"m3S9Vi1i95esohXCF3wuKOE8c"", ""'CONSOLIDADO'!G5:AB""), 17, 0), ""-""),
""""
)"),"MPT")</f>
        <v>MPT</v>
      </c>
      <c r="W330" s="39" t="str">
        <f>IFERROR(__xludf.DUMMYFUNCTION(" IF
( VLOOKUP($G330,IMPORTRANGE(""https://docs.google.com/spreadsheets/d/1Gpl6jkTg7sL4VDNimUm3S9Vi1i95esohXCF3wuKOE8c"", ""'CONSOLIDADO'!G5:AB""), 10, 0) &lt;&gt; 0, 
IFERROR(VLOOKUP($G330,IMPORTRANGE(""https://docs.google.com/spreadsheets/d/1Gpl6jkTg7sL4VDNimU"&amp;"m3S9Vi1i95esohXCF3wuKOE8c"", ""'CONSOLIDADO'!G5:AB""), 18, 0), ""-""),
""""
)"),"PIPE CUTTER")</f>
        <v>PIPE CUTTER</v>
      </c>
      <c r="X330" s="39" t="b">
        <f t="shared" si="38"/>
        <v>0</v>
      </c>
      <c r="Y330" s="138" t="str">
        <f>VLOOKUP($G330,'Hoja 10'!$F$4:$AA1057, 21,0)</f>
        <v>https://www.sodimac.com.pe/sodimac-pe/articulo/122121228/TIJERAS-CORTA-TUBOS-42MM-PROFESIONAL-MPT-TOOLS/122121229?srsltid=AfmBOoryVgdljfYsv6tmlvlv_N1ho0NQBGTjZIJYkhz9e9JzWDn5wkJT</v>
      </c>
      <c r="Z330" s="37" t="str">
        <f>IFERROR(__xludf.DUMMYFUNCTION("IFERROR(VLOOKUP(G330,IMPORTRANGE(""https://docs.google.com/spreadsheets/d/12RxCea4e5ggM7QGn1XE3FbLQa_-QbCNdBi90OdPjRqg"", ""'Plan de Compras'!D4:Q""), 12, 0), ""NO ESTÁ EN REQ"")"),"Simple")</f>
        <v>Simple</v>
      </c>
      <c r="AA330" s="37" t="str">
        <f>IFERROR(__xludf.DUMMYFUNCTION("IFERROR(VLOOKUP(G330,IMPORTRANGE(""https://docs.google.com/spreadsheets/d/12RxCea4e5ggM7QGn1XE3FbLQa_-QbCNdBi90OdPjRqg"", ""'Plan de Compras'!D4:Q""), 13, 0), """")"),"NACIONAL")</f>
        <v>NACIONAL</v>
      </c>
      <c r="AB330" s="32" t="str">
        <f>IFERROR(__xludf.DUMMYFUNCTION("IFERROR(VLOOKUP(G330,IMPORTRANGE(""https://docs.google.com/spreadsheets/d/12RxCea4e5ggM7QGn1XE3FbLQa_-QbCNdBi90OdPjRqg"", ""'Plan de Compras'!D4:Q""), 14, 0), """")"),"DIANA")</f>
        <v>DIANA</v>
      </c>
      <c r="AC330" s="72" t="str">
        <f>IFERROR(__xludf.DUMMYFUNCTION("IFERROR(VLOOKUP(G330,IMPORTRANGE(""https://docs.google.com/spreadsheets/d/12RxCea4e5ggM7QGn1XE3FbLQa_-QbCNdBi90OdPjRqg"", ""'Plan de Compras'!D4:Q""), 4, 0), """")"),"TIJERA CORTA TUBO")</f>
        <v>TIJERA CORTA TUBO</v>
      </c>
      <c r="AD330" s="37" t="str">
        <f>IFERROR(__xludf.DUMMYFUNCTION("IFERROR(IF(OR(C330=TRUE,C330=""""),VLOOKUP(G330,IMPORTRANGE(""https://docs.google.com/spreadsheets/d/1z9A1Wq-kKrhRNG5RS2a2fKpY1wIhSVz2ZNmP2mOl588/edit?usp=sharing"",""REQ VF!E4:H""),4,0),""NO APLICA""),""GENERAR REQ"")"),"GENERAR REQ")</f>
        <v>GENERAR REQ</v>
      </c>
      <c r="AE330" s="32" t="str">
        <f>IFERROR(__xludf.DUMMYFUNCTION("IFERROR(QUERY(IMPORTRANGE(""https://docs.google.com/spreadsheets/d/1z9A1Wq-kKrhRNG5RS2a2fKpY1wIhSVz2ZNmP2mOl588/edit?usp=sharing"",""REQ VF!E4:Q""),""SELECT Col10, Col11, Col12 WHERE Col1 = '""&amp;G330&amp;""'"",0),""NO APLICA"")"),"NO APLICA")</f>
        <v>NO APLICA</v>
      </c>
      <c r="AF330" s="32"/>
      <c r="AG330" s="32"/>
      <c r="AH330" s="8" t="s">
        <v>52</v>
      </c>
      <c r="AI330" s="142"/>
    </row>
    <row r="331">
      <c r="A331" s="117">
        <v>210.0</v>
      </c>
      <c r="B331" s="43" t="b">
        <v>1</v>
      </c>
      <c r="C331" s="43" t="b">
        <v>1</v>
      </c>
      <c r="D331" s="26" t="s">
        <v>35</v>
      </c>
      <c r="E331" s="26" t="s">
        <v>1510</v>
      </c>
      <c r="F331" s="59" t="s">
        <v>2701</v>
      </c>
      <c r="G331" s="37" t="s">
        <v>2701</v>
      </c>
      <c r="H331" s="82" t="s">
        <v>2702</v>
      </c>
      <c r="I331" s="43">
        <f>SUMIFS('Hoja 10'!$O:$O,'Hoja 10'!$F:$F,$G331)</f>
        <v>2</v>
      </c>
      <c r="J331" s="26">
        <f>IFERROR(__xludf.DUMMYFUNCTION("VLOOKUP(G331,IMPORTRANGE(""https://docs.google.com/spreadsheets/d/12RxCea4e5ggM7QGn1XE3FbLQa_-QbCNdBi90OdPjRqg/edit?gid=1692403370#gid=1692403370"", ""'Plan de Compras'!D4:2432""), 8,0)"),2.0)</f>
        <v>2</v>
      </c>
      <c r="K331" s="26" t="str">
        <f t="shared" si="31"/>
        <v>SI</v>
      </c>
      <c r="L331" s="29" t="s">
        <v>77</v>
      </c>
      <c r="M331" s="30" t="s">
        <v>78</v>
      </c>
      <c r="N331" s="32"/>
      <c r="O331" s="32" t="str">
        <f>VLOOKUP($G331,'Hoja 10'!$F$4:$AA1057, 19,0)</f>
        <v>TIMESETL</v>
      </c>
      <c r="P331" s="32" t="str">
        <f>VLOOKUP($G331,'Hoja 10'!$F$4:$AA1057, 20,0)</f>
        <v>‎TXJ-118-EU</v>
      </c>
      <c r="Q331" s="33" t="str">
        <f>VLOOKUP($G331,'Hoja 10'!$F$4:$AA1057, 21,0)</f>
        <v>https://www.amazon.es/TIMESETL-Martillo-ablandador-resistente-superficie/dp/B07M6K2CTV</v>
      </c>
      <c r="R331" s="86" t="s">
        <v>2703</v>
      </c>
      <c r="S331" s="34" t="b">
        <v>1</v>
      </c>
      <c r="T331" s="39" t="str">
        <f>IFERROR(__xludf.DUMMYFUNCTION(" IF
( VLOOKUP($G331,IMPORTRANGE(""https://docs.google.com/spreadsheets/d/1Gpl6jkTg7sL4VDNimUm3S9Vi1i95esohXCF3wuKOE8c"", ""'CONSOLIDADO'!G5:AB""), 10, 0) &lt;&gt; 0, 
IFERROR(VLOOKUP($G331,IMPORTRANGE(""https://docs.google.com/spreadsheets/d/1Gpl6jkTg7sL4VDNimU"&amp;"m3S9Vi1i95esohXCF3wuKOE8c"", ""'CONSOLIDADO'!G5:AB""), 17, 0), ""-""),
""""
)"),"TIMESETL")</f>
        <v>TIMESETL</v>
      </c>
      <c r="U331" s="39" t="str">
        <f>IFERROR(__xludf.DUMMYFUNCTION(" IF
( VLOOKUP($G331,IMPORTRANGE(""https://docs.google.com/spreadsheets/d/1Gpl6jkTg7sL4VDNimUm3S9Vi1i95esohXCF3wuKOE8c"", ""'CONSOLIDADO'!G5:AB""), 10, 0) &lt;&gt; 0, 
IFERROR(VLOOKUP($G331,IMPORTRANGE(""https://docs.google.com/spreadsheets/d/1Gpl6jkTg7sL4VDNimU"&amp;"m3S9Vi1i95esohXCF3wuKOE8c"", ""'CONSOLIDADO'!G5:AB""), 18, 0), ""-""),
""""
)"),"‎TXJ-118-EU")</f>
        <v>‎TXJ-118-EU</v>
      </c>
      <c r="V331" s="39" t="str">
        <f>IFERROR(__xludf.DUMMYFUNCTION(" IF
( VLOOKUP($G331,IMPORTRANGE(""https://docs.google.com/spreadsheets/d/1Gpl6jkTg7sL4VDNimUm3S9Vi1i95esohXCF3wuKOE8c"", ""'CONSOLIDADO'!G5:AB""), 10, 0) &lt;&gt; 0, 
IFERROR(VLOOKUP($G331,IMPORTRANGE(""https://docs.google.com/spreadsheets/d/1Gpl6jkTg7sL4VDNimU"&amp;"m3S9Vi1i95esohXCF3wuKOE8c"", ""'CONSOLIDADO'!G5:AB""), 17, 0), ""-""),
""""
)"),"TIMESETL")</f>
        <v>TIMESETL</v>
      </c>
      <c r="W331" s="39" t="str">
        <f>IFERROR(__xludf.DUMMYFUNCTION(" IF
( VLOOKUP($G331,IMPORTRANGE(""https://docs.google.com/spreadsheets/d/1Gpl6jkTg7sL4VDNimUm3S9Vi1i95esohXCF3wuKOE8c"", ""'CONSOLIDADO'!G5:AB""), 10, 0) &lt;&gt; 0, 
IFERROR(VLOOKUP($G331,IMPORTRANGE(""https://docs.google.com/spreadsheets/d/1Gpl6jkTg7sL4VDNimU"&amp;"m3S9Vi1i95esohXCF3wuKOE8c"", ""'CONSOLIDADO'!G5:AB""), 18, 0), ""-""),
""""
)"),"‎TXJ-118-EU")</f>
        <v>‎TXJ-118-EU</v>
      </c>
      <c r="X331" s="39" t="b">
        <f t="shared" si="38"/>
        <v>1</v>
      </c>
      <c r="Y331" s="120" t="str">
        <f>IFERROR(__xludf.DUMMYFUNCTION(" IF
( VLOOKUP($G331,IMPORTRANGE(""https://docs.google.com/spreadsheets/d/1Gpl6jkTg7sL4VDNimUm3S9Vi1i95esohXCF3wuKOE8c"", ""'CONSOLIDADO'!G5:AB""), 10, 0) &lt;&gt; 0, 
IFERROR(VLOOKUP($G331,IMPORTRANGE(""https://docs.google.com/spreadsheets/d/1Gpl6jkTg7sL4VDNimU"&amp;"m3S9Vi1i95esohXCF3wuKOE8c"", ""'CONSOLIDADO'!G5:AB""), 19, 0), ""-""),
""""
)"),"https://www.amazon.es/TIMESETL-Martillo-ablandador-resistente-superficie/dp/B07M6K2CTV")</f>
        <v>https://www.amazon.es/TIMESETL-Martillo-ablandador-resistente-superficie/dp/B07M6K2CTV</v>
      </c>
      <c r="Z331" s="37" t="str">
        <f>IFERROR(__xludf.DUMMYFUNCTION("IFERROR(VLOOKUP(G331,IMPORTRANGE(""https://docs.google.com/spreadsheets/d/12RxCea4e5ggM7QGn1XE3FbLQa_-QbCNdBi90OdPjRqg"", ""'Plan de Compras'!D4:Q""), 12, 0), ""NO ESTÁ EN REQ"")"),"Técnica")</f>
        <v>Técnica</v>
      </c>
      <c r="AA331" s="37" t="str">
        <f>IFERROR(__xludf.DUMMYFUNCTION("IFERROR(VLOOKUP(G331,IMPORTRANGE(""https://docs.google.com/spreadsheets/d/12RxCea4e5ggM7QGn1XE3FbLQa_-QbCNdBi90OdPjRqg"", ""'Plan de Compras'!D4:Q""), 13, 0), """")"),"INTERNACIONAL")</f>
        <v>INTERNACIONAL</v>
      </c>
      <c r="AB331" s="32" t="str">
        <f>IFERROR(__xludf.DUMMYFUNCTION("IFERROR(VLOOKUP(G331,IMPORTRANGE(""https://docs.google.com/spreadsheets/d/12RxCea4e5ggM7QGn1XE3FbLQa_-QbCNdBi90OdPjRqg"", ""'Plan de Compras'!D4:Q""), 14, 0), """")"),"GIANFRANCO")</f>
        <v>GIANFRANCO</v>
      </c>
      <c r="AC331" s="72" t="str">
        <f>IFERROR(__xludf.DUMMYFUNCTION("IFERROR(VLOOKUP(G331,IMPORTRANGE(""https://docs.google.com/spreadsheets/d/12RxCea4e5ggM7QGn1XE3FbLQa_-QbCNdBi90OdPjRqg"", ""'Plan de Compras'!D4:Q""), 4, 0), """")"),"ABLANDADOR DE CARNE")</f>
        <v>ABLANDADOR DE CARNE</v>
      </c>
      <c r="AD331" s="37" t="str">
        <f>IFERROR(__xludf.DUMMYFUNCTION("IFERROR(IF(OR(C331=TRUE,C331=""""),VLOOKUP(G331,IMPORTRANGE(""https://docs.google.com/spreadsheets/d/1z9A1Wq-kKrhRNG5RS2a2fKpY1wIhSVz2ZNmP2mOl588/edit?usp=sharing"",""REQ VF!E4:H""),4,0),""NO APLICA""),""GENERAR REQ"")"),"GENERAR REQ")</f>
        <v>GENERAR REQ</v>
      </c>
      <c r="AE331" s="32" t="str">
        <f>IFERROR(__xludf.DUMMYFUNCTION("IFERROR(QUERY(IMPORTRANGE(""https://docs.google.com/spreadsheets/d/1z9A1Wq-kKrhRNG5RS2a2fKpY1wIhSVz2ZNmP2mOl588/edit?usp=sharing"",""REQ VF!E4:Q""),""SELECT Col10, Col11, Col12 WHERE Col1 = '""&amp;G331&amp;""'"",0),""NO APLICA"")"),"NO APLICA")</f>
        <v>NO APLICA</v>
      </c>
      <c r="AF331" s="32"/>
      <c r="AG331" s="32"/>
      <c r="AH331" s="13"/>
      <c r="AI331" s="13"/>
    </row>
    <row r="332">
      <c r="A332" s="117">
        <v>211.0</v>
      </c>
      <c r="B332" s="43" t="b">
        <v>1</v>
      </c>
      <c r="C332" s="26" t="b">
        <v>1</v>
      </c>
      <c r="D332" s="26" t="s">
        <v>35</v>
      </c>
      <c r="E332" s="26" t="s">
        <v>1510</v>
      </c>
      <c r="F332" s="59" t="s">
        <v>2704</v>
      </c>
      <c r="G332" s="37" t="s">
        <v>2704</v>
      </c>
      <c r="H332" s="82" t="s">
        <v>2705</v>
      </c>
      <c r="I332" s="43">
        <f>SUMIFS('Hoja 10'!$O:$O,'Hoja 10'!$F:$F,$G332)</f>
        <v>16</v>
      </c>
      <c r="J332" s="26">
        <f>IFERROR(__xludf.DUMMYFUNCTION("VLOOKUP(G332,IMPORTRANGE(""https://docs.google.com/spreadsheets/d/12RxCea4e5ggM7QGn1XE3FbLQa_-QbCNdBi90OdPjRqg/edit?gid=1692403370#gid=1692403370"", ""'Plan de Compras'!D4:2432""), 8,0)"),16.0)</f>
        <v>16</v>
      </c>
      <c r="K332" s="26" t="str">
        <f t="shared" si="31"/>
        <v>SI</v>
      </c>
      <c r="L332" s="29" t="s">
        <v>39</v>
      </c>
      <c r="M332" s="30" t="s">
        <v>40</v>
      </c>
      <c r="N332" s="32"/>
      <c r="O332" s="32" t="str">
        <f>VLOOKUP($G332,'Hoja 10'!$F$4:$AA1057, 19,0)</f>
        <v>GENERICO</v>
      </c>
      <c r="P332" s="32" t="str">
        <f>VLOOKUP($G332,'Hoja 10'!$F$4:$AA1057, 20,0)</f>
        <v>GENERICO</v>
      </c>
      <c r="Q332" s="33" t="str">
        <f>VLOOKUP($G332,'Hoja 10'!$F$4:$AA1057, 21,0)</f>
        <v>https://lacasadelchef.net/quesos-y-derivados-lacteos/otro-equipamiento-para-quesos-y-derivados-lacteos/agitador-para-leche-de-acero-inoxidable.html</v>
      </c>
      <c r="R332" s="86" t="s">
        <v>2706</v>
      </c>
      <c r="S332" s="34" t="b">
        <v>1</v>
      </c>
      <c r="T332" s="39" t="str">
        <f>IFERROR(__xludf.DUMMYFUNCTION(" IF
( VLOOKUP($G332,IMPORTRANGE(""https://docs.google.com/spreadsheets/d/1Gpl6jkTg7sL4VDNimUm3S9Vi1i95esohXCF3wuKOE8c"", ""'CONSOLIDADO'!G5:AB""), 10, 0) &lt;&gt; 0, 
IFERROR(VLOOKUP($G332,IMPORTRANGE(""https://docs.google.com/spreadsheets/d/1Gpl6jkTg7sL4VDNimU"&amp;"m3S9Vi1i95esohXCF3wuKOE8c"", ""'CONSOLIDADO'!G5:AB""), 17, 0), ""-""),
""""
)"),"SCOVALI")</f>
        <v>SCOVALI</v>
      </c>
      <c r="U332" s="39" t="str">
        <f>IFERROR(__xludf.DUMMYFUNCTION(" IF
( VLOOKUP($G332,IMPORTRANGE(""https://docs.google.com/spreadsheets/d/1Gpl6jkTg7sL4VDNimUm3S9Vi1i95esohXCF3wuKOE8c"", ""'CONSOLIDADO'!G5:AB""), 10, 0) &lt;&gt; 0, 
IFERROR(VLOOKUP($G332,IMPORTRANGE(""https://docs.google.com/spreadsheets/d/1Gpl6jkTg7sL4VDNimU"&amp;"m3S9Vi1i95esohXCF3wuKOE8c"", ""'CONSOLIDADO'!G5:AB""), 18, 0), ""-""),
""""
)"),"407LCSSA38515")</f>
        <v>407LCSSA38515</v>
      </c>
      <c r="V332" s="39" t="str">
        <f>IFERROR(__xludf.DUMMYFUNCTION(" IF
( VLOOKUP($G332,IMPORTRANGE(""https://docs.google.com/spreadsheets/d/1Gpl6jkTg7sL4VDNimUm3S9Vi1i95esohXCF3wuKOE8c"", ""'CONSOLIDADO'!G5:AB""), 10, 0) &lt;&gt; 0, 
IFERROR(VLOOKUP($G332,IMPORTRANGE(""https://docs.google.com/spreadsheets/d/1Gpl6jkTg7sL4VDNimU"&amp;"m3S9Vi1i95esohXCF3wuKOE8c"", ""'CONSOLIDADO'!G5:AB""), 17, 0), ""-""),
""""
)"),"SCOVALI")</f>
        <v>SCOVALI</v>
      </c>
      <c r="W332" s="39" t="str">
        <f>IFERROR(__xludf.DUMMYFUNCTION(" IF
( VLOOKUP($G332,IMPORTRANGE(""https://docs.google.com/spreadsheets/d/1Gpl6jkTg7sL4VDNimUm3S9Vi1i95esohXCF3wuKOE8c"", ""'CONSOLIDADO'!G5:AB""), 10, 0) &lt;&gt; 0, 
IFERROR(VLOOKUP($G332,IMPORTRANGE(""https://docs.google.com/spreadsheets/d/1Gpl6jkTg7sL4VDNimU"&amp;"m3S9Vi1i95esohXCF3wuKOE8c"", ""'CONSOLIDADO'!G5:AB""), 18, 0), ""-""),
""""
)"),"407LCSSA38515")</f>
        <v>407LCSSA38515</v>
      </c>
      <c r="X332" s="39" t="b">
        <f t="shared" si="38"/>
        <v>1</v>
      </c>
      <c r="Y332" s="120" t="str">
        <f>IFERROR(__xludf.DUMMYFUNCTION(" IF
( VLOOKUP($G332,IMPORTRANGE(""https://docs.google.com/spreadsheets/d/1Gpl6jkTg7sL4VDNimUm3S9Vi1i95esohXCF3wuKOE8c"", ""'CONSOLIDADO'!G5:AB""), 10, 0) &lt;&gt; 0, 
IFERROR(VLOOKUP($G332,IMPORTRANGE(""https://docs.google.com/spreadsheets/d/1Gpl6jkTg7sL4VDNimU"&amp;"m3S9Vi1i95esohXCF3wuKOE8c"", ""'CONSOLIDADO'!G5:AB""), 19, 0), ""-""),
""""
)"),"https://lacasadelchef.net/quesos-y-derivados-lacteos/otro-equipamiento-para-quesos-y-derivados-lacteos/agitador-para-leche-de-acero-inoxidable.html")</f>
        <v>https://lacasadelchef.net/quesos-y-derivados-lacteos/otro-equipamiento-para-quesos-y-derivados-lacteos/agitador-para-leche-de-acero-inoxidable.html</v>
      </c>
      <c r="Z332" s="37" t="str">
        <f>IFERROR(__xludf.DUMMYFUNCTION("IFERROR(VLOOKUP(G332,IMPORTRANGE(""https://docs.google.com/spreadsheets/d/12RxCea4e5ggM7QGn1XE3FbLQa_-QbCNdBi90OdPjRqg"", ""'Plan de Compras'!D4:Q""), 12, 0), ""NO ESTÁ EN REQ"")"),"Técnica")</f>
        <v>Técnica</v>
      </c>
      <c r="AA332" s="37" t="str">
        <f>IFERROR(__xludf.DUMMYFUNCTION("IFERROR(VLOOKUP(G332,IMPORTRANGE(""https://docs.google.com/spreadsheets/d/12RxCea4e5ggM7QGn1XE3FbLQa_-QbCNdBi90OdPjRqg"", ""'Plan de Compras'!D4:Q""), 13, 0), """")"),"INTERNACIONAL")</f>
        <v>INTERNACIONAL</v>
      </c>
      <c r="AB332" s="32" t="str">
        <f>IFERROR(__xludf.DUMMYFUNCTION("IFERROR(VLOOKUP(G332,IMPORTRANGE(""https://docs.google.com/spreadsheets/d/12RxCea4e5ggM7QGn1XE3FbLQa_-QbCNdBi90OdPjRqg"", ""'Plan de Compras'!D4:Q""), 14, 0), """")"),"ALEJANDRA")</f>
        <v>ALEJANDRA</v>
      </c>
      <c r="AC332" s="72" t="str">
        <f>IFERROR(__xludf.DUMMYFUNCTION("IFERROR(VLOOKUP(G332,IMPORTRANGE(""https://docs.google.com/spreadsheets/d/12RxCea4e5ggM7QGn1XE3FbLQa_-QbCNdBi90OdPjRqg"", ""'Plan de Compras'!D4:Q""), 4, 0), """")"),"AGITADOR PARA YOGURT")</f>
        <v>AGITADOR PARA YOGURT</v>
      </c>
      <c r="AD332" s="37" t="str">
        <f>IFERROR(__xludf.DUMMYFUNCTION("IFERROR(IF(OR(C332=TRUE,C332=""""),VLOOKUP(G332,IMPORTRANGE(""https://docs.google.com/spreadsheets/d/1z9A1Wq-kKrhRNG5RS2a2fKpY1wIhSVz2ZNmP2mOl588/edit?usp=sharing"",""REQ VF!E4:H""),4,0),""NO APLICA""),""GENERAR REQ"")"),"GENERAR REQ")</f>
        <v>GENERAR REQ</v>
      </c>
      <c r="AE332" s="32" t="str">
        <f>IFERROR(__xludf.DUMMYFUNCTION("IFERROR(QUERY(IMPORTRANGE(""https://docs.google.com/spreadsheets/d/1z9A1Wq-kKrhRNG5RS2a2fKpY1wIhSVz2ZNmP2mOl588/edit?usp=sharing"",""REQ VF!E4:Q""),""SELECT Col10, Col11, Col12 WHERE Col1 = '""&amp;G332&amp;""'"",0),""NO APLICA"")"),"NO APLICA")</f>
        <v>NO APLICA</v>
      </c>
      <c r="AF332" s="32"/>
      <c r="AG332" s="32"/>
      <c r="AH332" s="13"/>
      <c r="AI332" s="13"/>
    </row>
    <row r="333">
      <c r="A333" s="121">
        <v>212.0</v>
      </c>
      <c r="B333" s="43" t="b">
        <v>1</v>
      </c>
      <c r="C333" s="26" t="b">
        <v>1</v>
      </c>
      <c r="D333" s="26" t="s">
        <v>35</v>
      </c>
      <c r="E333" s="26" t="s">
        <v>1510</v>
      </c>
      <c r="F333" s="59" t="s">
        <v>2707</v>
      </c>
      <c r="G333" s="37" t="s">
        <v>2707</v>
      </c>
      <c r="H333" s="82" t="s">
        <v>2708</v>
      </c>
      <c r="I333" s="43">
        <f>SUMIFS('Hoja 10'!$O:$O,'Hoja 10'!$F:$F,$G333)</f>
        <v>20</v>
      </c>
      <c r="J333" s="26">
        <f>IFERROR(__xludf.DUMMYFUNCTION("VLOOKUP(G333,IMPORTRANGE(""https://docs.google.com/spreadsheets/d/12RxCea4e5ggM7QGn1XE3FbLQa_-QbCNdBi90OdPjRqg/edit?gid=1692403370#gid=1692403370"", ""'Plan de Compras'!D4:2432""), 8,0)"),20.0)</f>
        <v>20</v>
      </c>
      <c r="K333" s="26" t="str">
        <f t="shared" si="31"/>
        <v>SI</v>
      </c>
      <c r="L333" s="29" t="s">
        <v>185</v>
      </c>
      <c r="M333" s="30" t="s">
        <v>186</v>
      </c>
      <c r="N333" s="32"/>
      <c r="O333" s="32" t="str">
        <f>VLOOKUP($G333,'Hoja 10'!$F$4:$AA1057, 19,0)</f>
        <v>DECORA</v>
      </c>
      <c r="P333" s="32" t="str">
        <f>VLOOKUP($G333,'Hoja 10'!$F$4:$AA1057, 20,0)</f>
        <v>B01K4NW88E</v>
      </c>
      <c r="Q333" s="33" t="str">
        <f>VLOOKUP($G333,'Hoja 10'!$F$4:$AA1057, 21,0)</f>
        <v>https://www.amazon.com/DECORA-pines-vestimenta-cabezal-redonda/dp/B01K4NW88E/ref=sxin_16_pa_sp_search_thematic-asin_sspa?content-id=amzn1.sym.ab2f90ad-3f8d-43ce-ac3a-7446bd8192fd%3Aamzn1.sym.ab2f90ad-3f8d-43ce-ac3a-7446bd8192fd&amp;crid=5DP959GZAKDM&amp;cv_ct_cx=sewing%2Bpins&amp;keywords=alfileres%2Bde%2Bcostura&amp;pd_rd_i=B01K4NW88E&amp;pd_rd_r=d36af232-6cba-4dbe-8968-433470c210d6&amp;pd_rd_w=9dA66&amp;pd_rd_wg=qS5pP&amp;pf_rd_p=ab2f90ad-3f8d-43ce-ac3a-7446bd8192fd&amp;pf_rd_r=ME85CXHVE5Y0MDTFPY16&amp;qid=1759261755&amp;sbo=RZvfv%2F%2FHxDF%2BO5021pAnSA%3D%3D&amp;sprefix=alfileres%2Bde%2Bcostura%2Caps%2C226&amp;sr=1-4-baa1f287-65d3-41a3-a655-8bbba0531537-spons&amp;sp_csd=d2lkZ2V0TmFtZT1zcF9zZWFyY2hfdGhlbWF0aWM&amp;th=1</v>
      </c>
      <c r="R333" s="86" t="s">
        <v>2709</v>
      </c>
      <c r="S333" s="44" t="b">
        <v>0</v>
      </c>
      <c r="T333" s="39" t="s">
        <v>2710</v>
      </c>
      <c r="U333" s="39" t="s">
        <v>2711</v>
      </c>
      <c r="V333" s="39" t="str">
        <f>IFERROR(__xludf.DUMMYFUNCTION(" IF
( VLOOKUP($G333,IMPORTRANGE(""https://docs.google.com/spreadsheets/d/1Gpl6jkTg7sL4VDNimUm3S9Vi1i95esohXCF3wuKOE8c"", ""'CONSOLIDADO'!G5:AB""), 10, 0) &lt;&gt; 0, 
IFERROR(VLOOKUP($G333,IMPORTRANGE(""https://docs.google.com/spreadsheets/d/1Gpl6jkTg7sL4VDNimU"&amp;"m3S9Vi1i95esohXCF3wuKOE8c"", ""'CONSOLIDADO'!G5:AB""), 17, 0), ""-""),
""""
)"),"DECORA")</f>
        <v>DECORA</v>
      </c>
      <c r="W333" s="39" t="str">
        <f>IFERROR(__xludf.DUMMYFUNCTION(" IF
( VLOOKUP($G333,IMPORTRANGE(""https://docs.google.com/spreadsheets/d/1Gpl6jkTg7sL4VDNimUm3S9Vi1i95esohXCF3wuKOE8c"", ""'CONSOLIDADO'!G5:AB""), 10, 0) &lt;&gt; 0, 
IFERROR(VLOOKUP($G333,IMPORTRANGE(""https://docs.google.com/spreadsheets/d/1Gpl6jkTg7sL4VDNimU"&amp;"m3S9Vi1i95esohXCF3wuKOE8c"", ""'CONSOLIDADO'!G5:AB""), 18, 0), ""-""),
""""
)"),"B01K4NW88E")</f>
        <v>B01K4NW88E</v>
      </c>
      <c r="X333" s="39" t="b">
        <f t="shared" si="38"/>
        <v>1</v>
      </c>
      <c r="Y333" s="120" t="str">
        <f>IFERROR(__xludf.DUMMYFUNCTION(" IF
( VLOOKUP($G333,IMPORTRANGE(""https://docs.google.com/spreadsheets/d/1Gpl6jkTg7sL4VDNimUm3S9Vi1i95esohXCF3wuKOE8c"", ""'CONSOLIDADO'!G5:AB""), 10, 0) &lt;&gt; 0, 
IFERROR(VLOOKUP($G333,IMPORTRANGE(""https://docs.google.com/spreadsheets/d/1Gpl6jkTg7sL4VDNimU"&amp;"m3S9Vi1i95esohXCF3wuKOE8c"", ""'CONSOLIDADO'!G5:AB""), 19, 0), ""-""),
""""
)"),"https://www.amazon.com/DECORA-pines-vestimenta-cabezal-redonda/dp/B01K4NW88E/ref=sxin_16_pa_sp_search_thematic-asin_sspa?content-id=amzn1.sym.ab2f90ad-3f8d-43ce-ac3a-7446bd8192fd%3Aamzn1.sym.ab2f90ad-3f8d-43ce-ac3a-7446bd8192fd&amp;crid=5DP959GZAKDM&amp;cv_ct_cx="&amp;"sewing%2Bpins&amp;keywords=alfileres%2Bde%2Bcostura&amp;pd_rd_i=B01K4NW88E&amp;pd_rd_r=d36af232-6cba-4dbe-8968-433470c210d6&amp;pd_rd_w=9dA66&amp;pd_rd_wg=qS5pP&amp;pf_rd_p=ab2f90ad-3f8d-43ce-ac3a-7446bd8192fd&amp;pf_rd_r=ME85CXHVE5Y0MDTFPY16&amp;qid=1759261755&amp;sbo=RZvfv%2F%2FHxDF%2BO50"&amp;"21pAnSA%3D%3D&amp;sprefix=alfileres%2Bde%2Bcostura%2Caps%2C226&amp;sr=1-4-baa1f287-65d3-41a3-a655-8bbba0531537-spons&amp;sp_csd=d2lkZ2V0TmFtZT1zcF9zZWFyY2hfdGhlbWF0aWM&amp;th=1")</f>
        <v>https://www.amazon.com/DECORA-pines-vestimenta-cabezal-redonda/dp/B01K4NW88E/ref=sxin_16_pa_sp_search_thematic-asin_sspa?content-id=amzn1.sym.ab2f90ad-3f8d-43ce-ac3a-7446bd8192fd%3Aamzn1.sym.ab2f90ad-3f8d-43ce-ac3a-7446bd8192fd&amp;crid=5DP959GZAKDM&amp;cv_ct_cx=sewing%2Bpins&amp;keywords=alfileres%2Bde%2Bcostura&amp;pd_rd_i=B01K4NW88E&amp;pd_rd_r=d36af232-6cba-4dbe-8968-433470c210d6&amp;pd_rd_w=9dA66&amp;pd_rd_wg=qS5pP&amp;pf_rd_p=ab2f90ad-3f8d-43ce-ac3a-7446bd8192fd&amp;pf_rd_r=ME85CXHVE5Y0MDTFPY16&amp;qid=1759261755&amp;sbo=RZvfv%2F%2FHxDF%2BO5021pAnSA%3D%3D&amp;sprefix=alfileres%2Bde%2Bcostura%2Caps%2C226&amp;sr=1-4-baa1f287-65d3-41a3-a655-8bbba0531537-spons&amp;sp_csd=d2lkZ2V0TmFtZT1zcF9zZWFyY2hfdGhlbWF0aWM&amp;th=1</v>
      </c>
      <c r="Z333" s="37" t="str">
        <f>IFERROR(__xludf.DUMMYFUNCTION("IFERROR(VLOOKUP(G333,IMPORTRANGE(""https://docs.google.com/spreadsheets/d/12RxCea4e5ggM7QGn1XE3FbLQa_-QbCNdBi90OdPjRqg"", ""'Plan de Compras'!D4:Q""), 12, 0), ""NO ESTÁ EN REQ"")"),"Simple")</f>
        <v>Simple</v>
      </c>
      <c r="AA333" s="37" t="str">
        <f>IFERROR(__xludf.DUMMYFUNCTION("IFERROR(VLOOKUP(G333,IMPORTRANGE(""https://docs.google.com/spreadsheets/d/12RxCea4e5ggM7QGn1XE3FbLQa_-QbCNdBi90OdPjRqg"", ""'Plan de Compras'!D4:Q""), 13, 0), """")"),"INTERNACIONAL")</f>
        <v>INTERNACIONAL</v>
      </c>
      <c r="AB333" s="32" t="str">
        <f>IFERROR(__xludf.DUMMYFUNCTION("IFERROR(VLOOKUP(G333,IMPORTRANGE(""https://docs.google.com/spreadsheets/d/12RxCea4e5ggM7QGn1XE3FbLQa_-QbCNdBi90OdPjRqg"", ""'Plan de Compras'!D4:Q""), 14, 0), """")"),"GIANFRANCO")</f>
        <v>GIANFRANCO</v>
      </c>
      <c r="AC333" s="72" t="str">
        <f>IFERROR(__xludf.DUMMYFUNCTION("IFERROR(VLOOKUP(G333,IMPORTRANGE(""https://docs.google.com/spreadsheets/d/12RxCea4e5ggM7QGn1XE3FbLQa_-QbCNdBi90OdPjRqg"", ""'Plan de Compras'!D4:Q""), 4, 0), """")"),"RULETA DE ALFILERES")</f>
        <v>RULETA DE ALFILERES</v>
      </c>
      <c r="AD333" s="37" t="str">
        <f>IFERROR(__xludf.DUMMYFUNCTION("IFERROR(IF(OR(C333=TRUE,C333=""""),VLOOKUP(G333,IMPORTRANGE(""https://docs.google.com/spreadsheets/d/1z9A1Wq-kKrhRNG5RS2a2fKpY1wIhSVz2ZNmP2mOl588/edit?usp=sharing"",""REQ VF!E4:H""),4,0),""NO APLICA""),""GENERAR REQ"")"),"GENERAR REQ")</f>
        <v>GENERAR REQ</v>
      </c>
      <c r="AE333" s="32" t="str">
        <f>IFERROR(__xludf.DUMMYFUNCTION("IFERROR(QUERY(IMPORTRANGE(""https://docs.google.com/spreadsheets/d/1z9A1Wq-kKrhRNG5RS2a2fKpY1wIhSVz2ZNmP2mOl588/edit?usp=sharing"",""REQ VF!E4:Q""),""SELECT Col10, Col11, Col12 WHERE Col1 = '""&amp;G333&amp;""'"",0),""NO APLICA"")"),"NO APLICA")</f>
        <v>NO APLICA</v>
      </c>
      <c r="AF333" s="32"/>
      <c r="AG333" s="32"/>
      <c r="AH333" s="13"/>
      <c r="AI333" s="13"/>
    </row>
    <row r="334">
      <c r="A334" s="121">
        <v>213.0</v>
      </c>
      <c r="B334" s="43" t="b">
        <v>1</v>
      </c>
      <c r="C334" s="26" t="b">
        <v>1</v>
      </c>
      <c r="D334" s="26" t="s">
        <v>35</v>
      </c>
      <c r="E334" s="26" t="s">
        <v>1510</v>
      </c>
      <c r="F334" s="59" t="s">
        <v>2712</v>
      </c>
      <c r="G334" s="37" t="s">
        <v>2712</v>
      </c>
      <c r="H334" s="82" t="s">
        <v>2713</v>
      </c>
      <c r="I334" s="43">
        <f>SUMIFS('Hoja 10'!$O:$O,'Hoja 10'!$F:$F,$G334)</f>
        <v>20</v>
      </c>
      <c r="J334" s="26">
        <f>IFERROR(__xludf.DUMMYFUNCTION("VLOOKUP(G334,IMPORTRANGE(""https://docs.google.com/spreadsheets/d/12RxCea4e5ggM7QGn1XE3FbLQa_-QbCNdBi90OdPjRqg/edit?gid=1692403370#gid=1692403370"", ""'Plan de Compras'!D4:2432""), 8,0)"),20.0)</f>
        <v>20</v>
      </c>
      <c r="K334" s="26" t="str">
        <f t="shared" si="31"/>
        <v>SI</v>
      </c>
      <c r="L334" s="29" t="s">
        <v>39</v>
      </c>
      <c r="M334" s="30" t="s">
        <v>40</v>
      </c>
      <c r="N334" s="32"/>
      <c r="O334" s="32" t="str">
        <f>VLOOKUP($G334,'Hoja 10'!$F$4:$AA1057, 19,0)</f>
        <v>POLINPLAST</v>
      </c>
      <c r="P334" s="32" t="str">
        <f>VLOOKUP($G334,'Hoja 10'!$F$4:$AA1057, 20,0)</f>
        <v>BALDE 10 L C/ PICO Y ASA</v>
      </c>
      <c r="Q334" s="33" t="str">
        <f>VLOOKUP($G334,'Hoja 10'!$F$4:$AA1057, 21,0)</f>
        <v>https://www.mallplast.pe/balde-10-l-comercial-c-tapa-color?srsltid=AfmBOoo78PFPEuNfCdFzn69TTsE6xjBSjm0O8-6zG_vxcMxUCggS5vHv</v>
      </c>
      <c r="R334" s="86" t="s">
        <v>2714</v>
      </c>
      <c r="S334" s="44" t="b">
        <v>0</v>
      </c>
      <c r="T334" s="39" t="str">
        <f>IFERROR(__xludf.DUMMYFUNCTION(" IF
( VLOOKUP($G334,IMPORTRANGE(""https://docs.google.com/spreadsheets/d/1Gpl6jkTg7sL4VDNimUm3S9Vi1i95esohXCF3wuKOE8c"", ""'CONSOLIDADO'!G5:AB""), 10, 0) &lt;&gt; 0, 
IFERROR(VLOOKUP($G334,IMPORTRANGE(""https://docs.google.com/spreadsheets/d/1Gpl6jkTg7sL4VDNimU"&amp;"m3S9Vi1i95esohXCF3wuKOE8c"", ""'CONSOLIDADO'!G5:AB""), 17, 0), ""-""),
""""
)"),"HUGO")</f>
        <v>HUGO</v>
      </c>
      <c r="U334" s="39" t="str">
        <f>IFERROR(__xludf.DUMMYFUNCTION(" IF
( VLOOKUP($G334,IMPORTRANGE(""https://docs.google.com/spreadsheets/d/1Gpl6jkTg7sL4VDNimUm3S9Vi1i95esohXCF3wuKOE8c"", ""'CONSOLIDADO'!G5:AB""), 10, 0) &lt;&gt; 0, 
IFERROR(VLOOKUP($G334,IMPORTRANGE(""https://docs.google.com/spreadsheets/d/1Gpl6jkTg7sL4VDNimU"&amp;"m3S9Vi1i95esohXCF3wuKOE8c"", ""'CONSOLIDADO'!G5:AB""), 18, 0), ""-""),
""""
)"),"10 LITROS")</f>
        <v>10 LITROS</v>
      </c>
      <c r="V334" s="39" t="str">
        <f>IFERROR(__xludf.DUMMYFUNCTION(" IF
( VLOOKUP($G334,IMPORTRANGE(""https://docs.google.com/spreadsheets/d/1Gpl6jkTg7sL4VDNimUm3S9Vi1i95esohXCF3wuKOE8c"", ""'CONSOLIDADO'!G5:AB""), 10, 0) &lt;&gt; 0, 
IFERROR(VLOOKUP($G334,IMPORTRANGE(""https://docs.google.com/spreadsheets/d/1Gpl6jkTg7sL4VDNimU"&amp;"m3S9Vi1i95esohXCF3wuKOE8c"", ""'CONSOLIDADO'!G5:AB""), 17, 0), ""-""),
""""
)"),"HUGO")</f>
        <v>HUGO</v>
      </c>
      <c r="W334" s="39" t="str">
        <f>IFERROR(__xludf.DUMMYFUNCTION(" IF
( VLOOKUP($G334,IMPORTRANGE(""https://docs.google.com/spreadsheets/d/1Gpl6jkTg7sL4VDNimUm3S9Vi1i95esohXCF3wuKOE8c"", ""'CONSOLIDADO'!G5:AB""), 10, 0) &lt;&gt; 0, 
IFERROR(VLOOKUP($G334,IMPORTRANGE(""https://docs.google.com/spreadsheets/d/1Gpl6jkTg7sL4VDNimU"&amp;"m3S9Vi1i95esohXCF3wuKOE8c"", ""'CONSOLIDADO'!G5:AB""), 18, 0), ""-""),
""""
)"),"10 LITROS")</f>
        <v>10 LITROS</v>
      </c>
      <c r="X334" s="39" t="b">
        <f t="shared" si="38"/>
        <v>1</v>
      </c>
      <c r="Y334" s="110" t="str">
        <f>IFERROR(__xludf.DUMMYFUNCTION(" IF
( VLOOKUP($G334,IMPORTRANGE(""https://docs.google.com/spreadsheets/d/1Gpl6jkTg7sL4VDNimUm3S9Vi1i95esohXCF3wuKOE8c"", ""'CONSOLIDADO'!G5:AB""), 10, 0) &lt;&gt; 0, 
IFERROR(VLOOKUP($G334,IMPORTRANGE(""https://docs.google.com/spreadsheets/d/1Gpl6jkTg7sL4VDNimU"&amp;"m3S9Vi1i95esohXCF3wuKOE8c"", ""'CONSOLIDADO'!G5:AB""), 19, 0), ""-""),
""""
)"),"")</f>
        <v/>
      </c>
      <c r="Z334" s="37" t="str">
        <f>IFERROR(__xludf.DUMMYFUNCTION("IFERROR(VLOOKUP(G334,IMPORTRANGE(""https://docs.google.com/spreadsheets/d/12RxCea4e5ggM7QGn1XE3FbLQa_-QbCNdBi90OdPjRqg"", ""'Plan de Compras'!D4:Q""), 12, 0), ""NO ESTÁ EN REQ"")"),"Técnica")</f>
        <v>Técnica</v>
      </c>
      <c r="AA334" s="37" t="str">
        <f>IFERROR(__xludf.DUMMYFUNCTION("IFERROR(VLOOKUP(G334,IMPORTRANGE(""https://docs.google.com/spreadsheets/d/12RxCea4e5ggM7QGn1XE3FbLQa_-QbCNdBi90OdPjRqg"", ""'Plan de Compras'!D4:Q""), 13, 0), """")"),"NACIONAL")</f>
        <v>NACIONAL</v>
      </c>
      <c r="AB334" s="32" t="str">
        <f>IFERROR(__xludf.DUMMYFUNCTION("IFERROR(VLOOKUP(G334,IMPORTRANGE(""https://docs.google.com/spreadsheets/d/12RxCea4e5ggM7QGn1XE3FbLQa_-QbCNdBi90OdPjRqg"", ""'Plan de Compras'!D4:Q""), 14, 0), """")"),"ALFIO")</f>
        <v>ALFIO</v>
      </c>
      <c r="AC334" s="72" t="str">
        <f>IFERROR(__xludf.DUMMYFUNCTION("IFERROR(VLOOKUP(G334,IMPORTRANGE(""https://docs.google.com/spreadsheets/d/12RxCea4e5ggM7QGn1XE3FbLQa_-QbCNdBi90OdPjRqg"", ""'Plan de Compras'!D4:Q""), 4, 0), """")"),"BALDE DE PLÁSTICO 10 LITROS")</f>
        <v>BALDE DE PLÁSTICO 10 LITROS</v>
      </c>
      <c r="AD334" s="37" t="str">
        <f>IFERROR(__xludf.DUMMYFUNCTION("IFERROR(IF(OR(C334=TRUE,C334=""""),VLOOKUP(G334,IMPORTRANGE(""https://docs.google.com/spreadsheets/d/1z9A1Wq-kKrhRNG5RS2a2fKpY1wIhSVz2ZNmP2mOl588/edit?usp=sharing"",""REQ VF!E4:H""),4,0),""NO APLICA""),""GENERAR REQ"")"),"GENERAR REQ")</f>
        <v>GENERAR REQ</v>
      </c>
      <c r="AE334" s="32" t="str">
        <f>IFERROR(__xludf.DUMMYFUNCTION("IFERROR(QUERY(IMPORTRANGE(""https://docs.google.com/spreadsheets/d/1z9A1Wq-kKrhRNG5RS2a2fKpY1wIhSVz2ZNmP2mOl588/edit?usp=sharing"",""REQ VF!E4:Q""),""SELECT Col10, Col11, Col12 WHERE Col1 = '""&amp;G334&amp;""'"",0),""NO APLICA"")"),"NO APLICA")</f>
        <v>NO APLICA</v>
      </c>
      <c r="AF334" s="32"/>
      <c r="AG334" s="32"/>
      <c r="AH334" s="13"/>
      <c r="AI334" s="13"/>
    </row>
    <row r="335">
      <c r="A335" s="121">
        <v>214.0</v>
      </c>
      <c r="B335" s="43" t="b">
        <v>1</v>
      </c>
      <c r="C335" s="26" t="b">
        <v>1</v>
      </c>
      <c r="D335" s="26" t="s">
        <v>35</v>
      </c>
      <c r="E335" s="26" t="s">
        <v>1510</v>
      </c>
      <c r="F335" s="59" t="s">
        <v>2715</v>
      </c>
      <c r="G335" s="37" t="s">
        <v>2715</v>
      </c>
      <c r="H335" s="82" t="s">
        <v>2716</v>
      </c>
      <c r="I335" s="43">
        <f>SUMIFS('Hoja 10'!$O:$O,'Hoja 10'!$F:$F,$G335)</f>
        <v>20</v>
      </c>
      <c r="J335" s="26">
        <f>IFERROR(__xludf.DUMMYFUNCTION("VLOOKUP(G335,IMPORTRANGE(""https://docs.google.com/spreadsheets/d/12RxCea4e5ggM7QGn1XE3FbLQa_-QbCNdBi90OdPjRqg/edit?gid=1692403370#gid=1692403370"", ""'Plan de Compras'!D4:2432""), 8,0)"),20.0)</f>
        <v>20</v>
      </c>
      <c r="K335" s="26" t="str">
        <f t="shared" si="31"/>
        <v>SI</v>
      </c>
      <c r="L335" s="29" t="s">
        <v>39</v>
      </c>
      <c r="M335" s="30" t="s">
        <v>40</v>
      </c>
      <c r="N335" s="32"/>
      <c r="O335" s="32" t="str">
        <f>VLOOKUP($G335,'Hoja 10'!$F$4:$AA1057, 19,0)</f>
        <v>POLINPLAST</v>
      </c>
      <c r="P335" s="32" t="str">
        <f>VLOOKUP($G335,'Hoja 10'!$F$4:$AA1057, 20,0)</f>
        <v>BALDE 20L BLANCO C/TAPA</v>
      </c>
      <c r="Q335" s="33" t="str">
        <f>VLOOKUP($G335,'Hoja 10'!$F$4:$AA1057, 21,0)</f>
        <v>https://www.mallplast.pe/balde-20L-transparente-con-tapa?srsltid=AfmBOoqtLiTgWQmu6FOHiR6fPMHWWSpZeUfdpmN3HigTWQluuqL2ZiCn</v>
      </c>
      <c r="R335" s="86" t="s">
        <v>2717</v>
      </c>
      <c r="S335" s="44" t="b">
        <v>0</v>
      </c>
      <c r="T335" s="39" t="str">
        <f>IFERROR(__xludf.DUMMYFUNCTION(" IF
( VLOOKUP($G335,IMPORTRANGE(""https://docs.google.com/spreadsheets/d/1Gpl6jkTg7sL4VDNimUm3S9Vi1i95esohXCF3wuKOE8c"", ""'CONSOLIDADO'!G5:AB""), 10, 0) &lt;&gt; 0, 
IFERROR(VLOOKUP($G335,IMPORTRANGE(""https://docs.google.com/spreadsheets/d/1Gpl6jkTg7sL4VDNimU"&amp;"m3S9Vi1i95esohXCF3wuKOE8c"", ""'CONSOLIDADO'!G5:AB""), 17, 0), ""-""),
""""
)"),"HUGO")</f>
        <v>HUGO</v>
      </c>
      <c r="U335" s="39" t="str">
        <f>IFERROR(__xludf.DUMMYFUNCTION(" IF
( VLOOKUP($G335,IMPORTRANGE(""https://docs.google.com/spreadsheets/d/1Gpl6jkTg7sL4VDNimUm3S9Vi1i95esohXCF3wuKOE8c"", ""'CONSOLIDADO'!G5:AB""), 10, 0) &lt;&gt; 0, 
IFERROR(VLOOKUP($G335,IMPORTRANGE(""https://docs.google.com/spreadsheets/d/1Gpl6jkTg7sL4VDNimU"&amp;"m3S9Vi1i95esohXCF3wuKOE8c"", ""'CONSOLIDADO'!G5:AB""), 18, 0), ""-""),
""""
)"),"20 LITROS")</f>
        <v>20 LITROS</v>
      </c>
      <c r="V335" s="39" t="str">
        <f>IFERROR(__xludf.DUMMYFUNCTION(" IF
( VLOOKUP($G335,IMPORTRANGE(""https://docs.google.com/spreadsheets/d/1Gpl6jkTg7sL4VDNimUm3S9Vi1i95esohXCF3wuKOE8c"", ""'CONSOLIDADO'!G5:AB""), 10, 0) &lt;&gt; 0, 
IFERROR(VLOOKUP($G335,IMPORTRANGE(""https://docs.google.com/spreadsheets/d/1Gpl6jkTg7sL4VDNimU"&amp;"m3S9Vi1i95esohXCF3wuKOE8c"", ""'CONSOLIDADO'!G5:AB""), 17, 0), ""-""),
""""
)"),"HUGO")</f>
        <v>HUGO</v>
      </c>
      <c r="W335" s="39" t="str">
        <f>IFERROR(__xludf.DUMMYFUNCTION(" IF
( VLOOKUP($G335,IMPORTRANGE(""https://docs.google.com/spreadsheets/d/1Gpl6jkTg7sL4VDNimUm3S9Vi1i95esohXCF3wuKOE8c"", ""'CONSOLIDADO'!G5:AB""), 10, 0) &lt;&gt; 0, 
IFERROR(VLOOKUP($G335,IMPORTRANGE(""https://docs.google.com/spreadsheets/d/1Gpl6jkTg7sL4VDNimU"&amp;"m3S9Vi1i95esohXCF3wuKOE8c"", ""'CONSOLIDADO'!G5:AB""), 18, 0), ""-""),
""""
)"),"20 LITROS")</f>
        <v>20 LITROS</v>
      </c>
      <c r="X335" s="39" t="b">
        <f t="shared" si="38"/>
        <v>1</v>
      </c>
      <c r="Y335" s="110" t="str">
        <f>IFERROR(__xludf.DUMMYFUNCTION(" IF
( VLOOKUP($G335,IMPORTRANGE(""https://docs.google.com/spreadsheets/d/1Gpl6jkTg7sL4VDNimUm3S9Vi1i95esohXCF3wuKOE8c"", ""'CONSOLIDADO'!G5:AB""), 10, 0) &lt;&gt; 0, 
IFERROR(VLOOKUP($G335,IMPORTRANGE(""https://docs.google.com/spreadsheets/d/1Gpl6jkTg7sL4VDNimU"&amp;"m3S9Vi1i95esohXCF3wuKOE8c"", ""'CONSOLIDADO'!G5:AB""), 19, 0), ""-""),
""""
)"),"")</f>
        <v/>
      </c>
      <c r="Z335" s="37" t="str">
        <f>IFERROR(__xludf.DUMMYFUNCTION("IFERROR(VLOOKUP(G335,IMPORTRANGE(""https://docs.google.com/spreadsheets/d/12RxCea4e5ggM7QGn1XE3FbLQa_-QbCNdBi90OdPjRqg"", ""'Plan de Compras'!D4:Q""), 12, 0), ""NO ESTÁ EN REQ"")"),"Técnica")</f>
        <v>Técnica</v>
      </c>
      <c r="AA335" s="37" t="str">
        <f>IFERROR(__xludf.DUMMYFUNCTION("IFERROR(VLOOKUP(G335,IMPORTRANGE(""https://docs.google.com/spreadsheets/d/12RxCea4e5ggM7QGn1XE3FbLQa_-QbCNdBi90OdPjRqg"", ""'Plan de Compras'!D4:Q""), 13, 0), """")"),"NACIONAL")</f>
        <v>NACIONAL</v>
      </c>
      <c r="AB335" s="32" t="str">
        <f>IFERROR(__xludf.DUMMYFUNCTION("IFERROR(VLOOKUP(G335,IMPORTRANGE(""https://docs.google.com/spreadsheets/d/12RxCea4e5ggM7QGn1XE3FbLQa_-QbCNdBi90OdPjRqg"", ""'Plan de Compras'!D4:Q""), 14, 0), """")"),"ALFIO")</f>
        <v>ALFIO</v>
      </c>
      <c r="AC335" s="72" t="str">
        <f>IFERROR(__xludf.DUMMYFUNCTION("IFERROR(VLOOKUP(G335,IMPORTRANGE(""https://docs.google.com/spreadsheets/d/12RxCea4e5ggM7QGn1XE3FbLQa_-QbCNdBi90OdPjRqg"", ""'Plan de Compras'!D4:Q""), 4, 0), """")"),"BALDE DE PLÁSTICO 20 LITROS")</f>
        <v>BALDE DE PLÁSTICO 20 LITROS</v>
      </c>
      <c r="AD335" s="37" t="str">
        <f>IFERROR(__xludf.DUMMYFUNCTION("IFERROR(IF(OR(C335=TRUE,C335=""""),VLOOKUP(G335,IMPORTRANGE(""https://docs.google.com/spreadsheets/d/1z9A1Wq-kKrhRNG5RS2a2fKpY1wIhSVz2ZNmP2mOl588/edit?usp=sharing"",""REQ VF!E4:H""),4,0),""NO APLICA""),""GENERAR REQ"")"),"GENERAR REQ")</f>
        <v>GENERAR REQ</v>
      </c>
      <c r="AE335" s="32" t="str">
        <f>IFERROR(__xludf.DUMMYFUNCTION("IFERROR(QUERY(IMPORTRANGE(""https://docs.google.com/spreadsheets/d/1z9A1Wq-kKrhRNG5RS2a2fKpY1wIhSVz2ZNmP2mOl588/edit?usp=sharing"",""REQ VF!E4:Q""),""SELECT Col10, Col11, Col12 WHERE Col1 = '""&amp;G335&amp;""'"",0),""NO APLICA"")"),"NO APLICA")</f>
        <v>NO APLICA</v>
      </c>
      <c r="AF335" s="32"/>
      <c r="AG335" s="32"/>
      <c r="AH335" s="13"/>
      <c r="AI335" s="13"/>
    </row>
    <row r="336">
      <c r="A336" s="117">
        <v>215.0</v>
      </c>
      <c r="B336" s="43" t="b">
        <v>1</v>
      </c>
      <c r="C336" s="26" t="b">
        <v>0</v>
      </c>
      <c r="D336" s="26" t="s">
        <v>35</v>
      </c>
      <c r="E336" s="26" t="s">
        <v>1510</v>
      </c>
      <c r="F336" s="59" t="s">
        <v>2718</v>
      </c>
      <c r="G336" s="37" t="s">
        <v>2718</v>
      </c>
      <c r="H336" s="82" t="s">
        <v>2719</v>
      </c>
      <c r="I336" s="43">
        <f>SUMIFS('Hoja 10'!$O:$O,'Hoja 10'!$F:$F,$G336)</f>
        <v>12</v>
      </c>
      <c r="J336" s="26">
        <f>IFERROR(__xludf.DUMMYFUNCTION("VLOOKUP(G336,IMPORTRANGE(""https://docs.google.com/spreadsheets/d/12RxCea4e5ggM7QGn1XE3FbLQa_-QbCNdBi90OdPjRqg/edit?gid=1692403370#gid=1692403370"", ""'Plan de Compras'!D4:2432""), 8,0)"),12.0)</f>
        <v>12</v>
      </c>
      <c r="K336" s="26" t="str">
        <f t="shared" si="31"/>
        <v>-</v>
      </c>
      <c r="L336" s="29" t="s">
        <v>39</v>
      </c>
      <c r="M336" s="30" t="s">
        <v>40</v>
      </c>
      <c r="N336" s="32"/>
      <c r="O336" s="32" t="str">
        <f>VLOOKUP($G336,'Hoja 10'!$F$4:$AA1057, 19,0)</f>
        <v>GENÉRICO / AR IMPORT</v>
      </c>
      <c r="P336" s="32" t="str">
        <f>VLOOKUP($G336,'Hoja 10'!$F$4:$AA1057, 20,0)</f>
        <v>BALDE DE 5 LITROS CON TAPA Y MANILLA RESISTENTE</v>
      </c>
      <c r="Q336" s="33" t="str">
        <f>VLOOKUP($G336,'Hoja 10'!$F$4:$AA1057, 21,0)</f>
        <v>https://drive.google.com/file/d/1hM-YliOlq7tqvNJZwyvzoSsnTD4VPg6s/view</v>
      </c>
      <c r="R336" s="86" t="s">
        <v>2720</v>
      </c>
      <c r="S336" s="34" t="b">
        <v>1</v>
      </c>
      <c r="T336" s="39" t="s">
        <v>2721</v>
      </c>
      <c r="U336" s="39" t="s">
        <v>2722</v>
      </c>
      <c r="V336" s="39" t="str">
        <f>IFERROR(__xludf.DUMMYFUNCTION(" IF
( VLOOKUP($G336,IMPORTRANGE(""https://docs.google.com/spreadsheets/d/1Gpl6jkTg7sL4VDNimUm3S9Vi1i95esohXCF3wuKOE8c"", ""'CONSOLIDADO'!G5:AB""), 10, 0) &lt;&gt; 0, 
IFERROR(VLOOKUP($G336,IMPORTRANGE(""https://docs.google.com/spreadsheets/d/1Gpl6jkTg7sL4VDNimU"&amp;"m3S9Vi1i95esohXCF3wuKOE8c"", ""'CONSOLIDADO'!G5:AB""), 17, 0), ""-""),
""""
)"),"")</f>
        <v/>
      </c>
      <c r="W336" s="39" t="str">
        <f>IFERROR(__xludf.DUMMYFUNCTION(" IF
( VLOOKUP($G336,IMPORTRANGE(""https://docs.google.com/spreadsheets/d/1Gpl6jkTg7sL4VDNimUm3S9Vi1i95esohXCF3wuKOE8c"", ""'CONSOLIDADO'!G5:AB""), 10, 0) &lt;&gt; 0, 
IFERROR(VLOOKUP($G336,IMPORTRANGE(""https://docs.google.com/spreadsheets/d/1Gpl6jkTg7sL4VDNimU"&amp;"m3S9Vi1i95esohXCF3wuKOE8c"", ""'CONSOLIDADO'!G5:AB""), 18, 0), ""-""),
""""
)"),"")</f>
        <v/>
      </c>
      <c r="X336" s="39" t="b">
        <f t="shared" si="38"/>
        <v>0</v>
      </c>
      <c r="Y336" s="129" t="s">
        <v>2723</v>
      </c>
      <c r="Z336" s="37" t="str">
        <f>IFERROR(__xludf.DUMMYFUNCTION("IFERROR(VLOOKUP(G336,IMPORTRANGE(""https://docs.google.com/spreadsheets/d/12RxCea4e5ggM7QGn1XE3FbLQa_-QbCNdBi90OdPjRqg"", ""'Plan de Compras'!D4:Q""), 12, 0), ""NO ESTÁ EN REQ"")"),"Técnica")</f>
        <v>Técnica</v>
      </c>
      <c r="AA336" s="37" t="str">
        <f>IFERROR(__xludf.DUMMYFUNCTION("IFERROR(VLOOKUP(G336,IMPORTRANGE(""https://docs.google.com/spreadsheets/d/12RxCea4e5ggM7QGn1XE3FbLQa_-QbCNdBi90OdPjRqg"", ""'Plan de Compras'!D4:Q""), 13, 0), """")"),"NACIONAL")</f>
        <v>NACIONAL</v>
      </c>
      <c r="AB336" s="32" t="str">
        <f>IFERROR(__xludf.DUMMYFUNCTION("IFERROR(VLOOKUP(G336,IMPORTRANGE(""https://docs.google.com/spreadsheets/d/12RxCea4e5ggM7QGn1XE3FbLQa_-QbCNdBi90OdPjRqg"", ""'Plan de Compras'!D4:Q""), 14, 0), """")"),"ALFIO")</f>
        <v>ALFIO</v>
      </c>
      <c r="AC336" s="72" t="str">
        <f>IFERROR(__xludf.DUMMYFUNCTION("IFERROR(VLOOKUP(G336,IMPORTRANGE(""https://docs.google.com/spreadsheets/d/12RxCea4e5ggM7QGn1XE3FbLQa_-QbCNdBi90OdPjRqg"", ""'Plan de Compras'!D4:Q""), 4, 0), """")"),"BALDE DE PLÁSTICO 5 LITROS")</f>
        <v>BALDE DE PLÁSTICO 5 LITROS</v>
      </c>
      <c r="AD336" s="37" t="str">
        <f>IFERROR(__xludf.DUMMYFUNCTION("IFERROR(IF(OR(C336=TRUE,C336=""""),VLOOKUP(G336,IMPORTRANGE(""https://docs.google.com/spreadsheets/d/1z9A1Wq-kKrhRNG5RS2a2fKpY1wIhSVz2ZNmP2mOl588/edit?usp=sharing"",""REQ VF!E4:H""),4,0),""NO APLICA""),""GENERAR REQ"")"),"NO APLICA")</f>
        <v>NO APLICA</v>
      </c>
      <c r="AE336" s="32" t="str">
        <f>IFERROR(__xludf.DUMMYFUNCTION("IFERROR(QUERY(IMPORTRANGE(""https://docs.google.com/spreadsheets/d/1z9A1Wq-kKrhRNG5RS2a2fKpY1wIhSVz2ZNmP2mOl588/edit?usp=sharing"",""REQ VF!E4:Q""),""SELECT Col10, Col11, Col12 WHERE Col1 = '""&amp;G336&amp;""'"",0),""NO APLICA"")"),"NO APLICA")</f>
        <v>NO APLICA</v>
      </c>
      <c r="AF336" s="32"/>
      <c r="AG336" s="32"/>
      <c r="AH336" s="13"/>
      <c r="AI336" s="13"/>
    </row>
    <row r="337">
      <c r="A337" s="117">
        <v>216.0</v>
      </c>
      <c r="B337" s="43" t="b">
        <v>1</v>
      </c>
      <c r="C337" s="148" t="b">
        <v>1</v>
      </c>
      <c r="D337" s="26" t="s">
        <v>35</v>
      </c>
      <c r="E337" s="26" t="s">
        <v>1510</v>
      </c>
      <c r="F337" s="59" t="s">
        <v>2724</v>
      </c>
      <c r="G337" s="37" t="s">
        <v>2724</v>
      </c>
      <c r="H337" s="82" t="s">
        <v>2725</v>
      </c>
      <c r="I337" s="43">
        <f>SUMIFS('Hoja 10'!$O:$O,'Hoja 10'!$F:$F,$G337)</f>
        <v>1</v>
      </c>
      <c r="J337" s="26">
        <f>IFERROR(__xludf.DUMMYFUNCTION("VLOOKUP(G337,IMPORTRANGE(""https://docs.google.com/spreadsheets/d/12RxCea4e5ggM7QGn1XE3FbLQa_-QbCNdBi90OdPjRqg/edit?gid=1692403370#gid=1692403370"", ""'Plan de Compras'!D4:2432""), 8,0)"),1.0)</f>
        <v>1</v>
      </c>
      <c r="K337" s="26" t="str">
        <f t="shared" si="31"/>
        <v>SI</v>
      </c>
      <c r="L337" s="29" t="s">
        <v>91</v>
      </c>
      <c r="M337" s="30" t="s">
        <v>92</v>
      </c>
      <c r="N337" s="32"/>
      <c r="O337" s="32"/>
      <c r="P337" s="32"/>
      <c r="Q337" s="41"/>
      <c r="R337" s="86" t="s">
        <v>2726</v>
      </c>
      <c r="S337" s="34" t="b">
        <v>1</v>
      </c>
      <c r="T337" s="39" t="str">
        <f>IFERROR(__xludf.DUMMYFUNCTION(" IF
( VLOOKUP($G337,IMPORTRANGE(""https://docs.google.com/spreadsheets/d/1Gpl6jkTg7sL4VDNimUm3S9Vi1i95esohXCF3wuKOE8c"", ""'CONSOLIDADO'!G5:AB""), 10, 0) &lt;&gt; 0, 
IFERROR(VLOOKUP($G337,IMPORTRANGE(""https://docs.google.com/spreadsheets/d/1Gpl6jkTg7sL4VDNimU"&amp;"m3S9Vi1i95esohXCF3wuKOE8c"", ""'CONSOLIDADO'!G5:AB""), 17, 0), ""-""),
""""
)"),"GASEONET")</f>
        <v>GASEONET</v>
      </c>
      <c r="U337" s="39" t="str">
        <f>IFERROR(__xludf.DUMMYFUNCTION(" IF
( VLOOKUP($G337,IMPORTRANGE(""https://docs.google.com/spreadsheets/d/1Gpl6jkTg7sL4VDNimUm3S9Vi1i95esohXCF3wuKOE8c"", ""'CONSOLIDADO'!G5:AB""), 10, 0) &lt;&gt; 0, 
IFERROR(VLOOKUP($G337,IMPORTRANGE(""https://docs.google.com/spreadsheets/d/1Gpl6jkTg7sL4VDNimU"&amp;"m3S9Vi1i95esohXCF3wuKOE8c"", ""'CONSOLIDADO'!G5:AB""), 18, 0), ""-""),
""""
)"),"8 KG")</f>
        <v>8 KG</v>
      </c>
      <c r="V337" s="39" t="str">
        <f>IFERROR(__xludf.DUMMYFUNCTION(" IF
( VLOOKUP($G337,IMPORTRANGE(""https://docs.google.com/spreadsheets/d/1Gpl6jkTg7sL4VDNimUm3S9Vi1i95esohXCF3wuKOE8c"", ""'CONSOLIDADO'!G5:AB""), 10, 0) &lt;&gt; 0, 
IFERROR(VLOOKUP($G337,IMPORTRANGE(""https://docs.google.com/spreadsheets/d/1Gpl6jkTg7sL4VDNimU"&amp;"m3S9Vi1i95esohXCF3wuKOE8c"", ""'CONSOLIDADO'!G5:AB""), 17, 0), ""-""),
""""
)"),"GASEONET")</f>
        <v>GASEONET</v>
      </c>
      <c r="W337" s="39" t="str">
        <f>IFERROR(__xludf.DUMMYFUNCTION(" IF
( VLOOKUP($G337,IMPORTRANGE(""https://docs.google.com/spreadsheets/d/1Gpl6jkTg7sL4VDNimUm3S9Vi1i95esohXCF3wuKOE8c"", ""'CONSOLIDADO'!G5:AB""), 10, 0) &lt;&gt; 0, 
IFERROR(VLOOKUP($G337,IMPORTRANGE(""https://docs.google.com/spreadsheets/d/1Gpl6jkTg7sL4VDNimU"&amp;"m3S9Vi1i95esohXCF3wuKOE8c"", ""'CONSOLIDADO'!G5:AB""), 18, 0), ""-""),
""""
)"),"8 KG")</f>
        <v>8 KG</v>
      </c>
      <c r="X337" s="39" t="b">
        <f t="shared" si="38"/>
        <v>1</v>
      </c>
      <c r="Y337" s="110" t="str">
        <f>IFERROR(__xludf.DUMMYFUNCTION(" IF
( VLOOKUP($G337,IMPORTRANGE(""https://docs.google.com/spreadsheets/d/1Gpl6jkTg7sL4VDNimUm3S9Vi1i95esohXCF3wuKOE8c"", ""'CONSOLIDADO'!G5:AB""), 10, 0) &lt;&gt; 0, 
IFERROR(VLOOKUP($G337,IMPORTRANGE(""https://docs.google.com/spreadsheets/d/1Gpl6jkTg7sL4VDNimU"&amp;"m3S9Vi1i95esohXCF3wuKOE8c"", ""'CONSOLIDADO'!G5:AB""), 19, 0), ""-""),
""""
)"),"NACIONALES")</f>
        <v>NACIONALES</v>
      </c>
      <c r="Z337" s="37" t="str">
        <f>IFERROR(__xludf.DUMMYFUNCTION("IFERROR(VLOOKUP(G337,IMPORTRANGE(""https://docs.google.com/spreadsheets/d/12RxCea4e5ggM7QGn1XE3FbLQa_-QbCNdBi90OdPjRqg"", ""'Plan de Compras'!D4:Q""), 12, 0), ""NO ESTÁ EN REQ"")"),"Técnica")</f>
        <v>Técnica</v>
      </c>
      <c r="AA337" s="37" t="str">
        <f>IFERROR(__xludf.DUMMYFUNCTION("IFERROR(VLOOKUP(G337,IMPORTRANGE(""https://docs.google.com/spreadsheets/d/12RxCea4e5ggM7QGn1XE3FbLQa_-QbCNdBi90OdPjRqg"", ""'Plan de Compras'!D4:Q""), 13, 0), """")"),"NACIONAL")</f>
        <v>NACIONAL</v>
      </c>
      <c r="AB337" s="32" t="str">
        <f>IFERROR(__xludf.DUMMYFUNCTION("IFERROR(VLOOKUP(G337,IMPORTRANGE(""https://docs.google.com/spreadsheets/d/12RxCea4e5ggM7QGn1XE3FbLQa_-QbCNdBi90OdPjRqg"", ""'Plan de Compras'!D4:Q""), 14, 0), """")"),"ALFIO")</f>
        <v>ALFIO</v>
      </c>
      <c r="AC337" s="72" t="str">
        <f>IFERROR(__xludf.DUMMYFUNCTION("IFERROR(VLOOKUP(G337,IMPORTRANGE(""https://docs.google.com/spreadsheets/d/12RxCea4e5ggM7QGn1XE3FbLQa_-QbCNdBi90OdPjRqg"", ""'Plan de Compras'!D4:Q""), 4, 0), """")"),"BALÓN DE ACETILENO")</f>
        <v>BALÓN DE ACETILENO</v>
      </c>
      <c r="AD337" s="37" t="str">
        <f>IFERROR(__xludf.DUMMYFUNCTION("IFERROR(IF(OR(C337=TRUE,C337=""""),VLOOKUP(G337,IMPORTRANGE(""https://docs.google.com/spreadsheets/d/1z9A1Wq-kKrhRNG5RS2a2fKpY1wIhSVz2ZNmP2mOl588/edit?usp=sharing"",""REQ VF!E4:H""),4,0),""NO APLICA""),""GENERAR REQ"")"),"GENERAR REQ")</f>
        <v>GENERAR REQ</v>
      </c>
      <c r="AE337" s="32" t="str">
        <f>IFERROR(__xludf.DUMMYFUNCTION("IFERROR(QUERY(IMPORTRANGE(""https://docs.google.com/spreadsheets/d/1z9A1Wq-kKrhRNG5RS2a2fKpY1wIhSVz2ZNmP2mOl588/edit?usp=sharing"",""REQ VF!E4:Q""),""SELECT Col10, Col11, Col12 WHERE Col1 = '""&amp;G337&amp;""'"",0),""NO APLICA"")"),"NO APLICA")</f>
        <v>NO APLICA</v>
      </c>
      <c r="AF337" s="32"/>
      <c r="AG337" s="32"/>
      <c r="AH337" s="13"/>
      <c r="AI337" s="13"/>
    </row>
    <row r="338">
      <c r="A338" s="43"/>
      <c r="B338" s="43"/>
      <c r="C338" s="148" t="b">
        <v>1</v>
      </c>
      <c r="D338" s="26" t="s">
        <v>42</v>
      </c>
      <c r="E338" s="26" t="s">
        <v>1510</v>
      </c>
      <c r="F338" s="59" t="s">
        <v>2724</v>
      </c>
      <c r="G338" s="39" t="s">
        <v>2727</v>
      </c>
      <c r="H338" s="66" t="s">
        <v>2728</v>
      </c>
      <c r="I338" s="43">
        <v>1.0</v>
      </c>
      <c r="J338" s="26">
        <f>IFERROR(__xludf.DUMMYFUNCTION("VLOOKUP(G338,IMPORTRANGE(""https://docs.google.com/spreadsheets/d/12RxCea4e5ggM7QGn1XE3FbLQa_-QbCNdBi90OdPjRqg/edit?gid=1692403370#gid=1692403370"", ""'Plan de Compras'!D4:2432""), 8,0)"),1.0)</f>
        <v>1</v>
      </c>
      <c r="K338" s="26" t="str">
        <f t="shared" si="31"/>
        <v>SI</v>
      </c>
      <c r="L338" s="29"/>
      <c r="M338" s="61"/>
      <c r="N338" s="32"/>
      <c r="O338" s="32" t="str">
        <f>VLOOKUP($G338,'Hoja 10'!$F$4:$AA1057, 19,0)</f>
        <v>#N/A</v>
      </c>
      <c r="P338" s="32" t="str">
        <f>VLOOKUP($G338,'Hoja 10'!$F$4:$AA1057, 20,0)</f>
        <v>#N/A</v>
      </c>
      <c r="Q338" s="41" t="str">
        <f>VLOOKUP($G338,'Hoja 10'!$F$4:$AA1057, 21,0)</f>
        <v>#N/A</v>
      </c>
      <c r="R338" s="32"/>
      <c r="S338" s="34" t="b">
        <v>1</v>
      </c>
      <c r="T338" s="39" t="s">
        <v>2729</v>
      </c>
      <c r="U338" s="39" t="s">
        <v>2730</v>
      </c>
      <c r="V338" s="39"/>
      <c r="W338" s="39"/>
      <c r="X338" s="39"/>
      <c r="Y338" s="110"/>
      <c r="Z338" s="37" t="str">
        <f>IFERROR(__xludf.DUMMYFUNCTION("IFERROR(VLOOKUP(G338,IMPORTRANGE(""https://docs.google.com/spreadsheets/d/12RxCea4e5ggM7QGn1XE3FbLQa_-QbCNdBi90OdPjRqg"", ""'Plan de Compras'!D4:Q""), 12, 0), ""NO ESTÁ EN REQ"")"),"Técnica")</f>
        <v>Técnica</v>
      </c>
      <c r="AA338" s="37" t="str">
        <f>IFERROR(__xludf.DUMMYFUNCTION("IFERROR(VLOOKUP(G338,IMPORTRANGE(""https://docs.google.com/spreadsheets/d/12RxCea4e5ggM7QGn1XE3FbLQa_-QbCNdBi90OdPjRqg"", ""'Plan de Compras'!D4:Q""), 13, 0), """")"),"NACIONAL")</f>
        <v>NACIONAL</v>
      </c>
      <c r="AB338" s="32" t="str">
        <f>IFERROR(__xludf.DUMMYFUNCTION("IFERROR(VLOOKUP(G338,IMPORTRANGE(""https://docs.google.com/spreadsheets/d/12RxCea4e5ggM7QGn1XE3FbLQa_-QbCNdBi90OdPjRqg"", ""'Plan de Compras'!D4:Q""), 14, 0), """")"),"ALFIO")</f>
        <v>ALFIO</v>
      </c>
      <c r="AC338" s="72" t="str">
        <f>IFERROR(__xludf.DUMMYFUNCTION("IFERROR(VLOOKUP(G338,IMPORTRANGE(""https://docs.google.com/spreadsheets/d/12RxCea4e5ggM7QGn1XE3FbLQa_-QbCNdBi90OdPjRqg"", ""'Plan de Compras'!D4:Q""), 4, 0), """")"),"COCHE PORTA BALON DOBLE")</f>
        <v>COCHE PORTA BALON DOBLE</v>
      </c>
      <c r="AD338" s="37" t="str">
        <f>IFERROR(__xludf.DUMMYFUNCTION("IFERROR(IF(OR(C338=TRUE,C338=""""),VLOOKUP(G338,IMPORTRANGE(""https://docs.google.com/spreadsheets/d/1z9A1Wq-kKrhRNG5RS2a2fKpY1wIhSVz2ZNmP2mOl588/edit?usp=sharing"",""REQ VF!E4:H""),4,0),""NO APLICA""),""GENERAR REQ"")"),"GENERAR REQ")</f>
        <v>GENERAR REQ</v>
      </c>
      <c r="AE338" s="32" t="str">
        <f>IFERROR(__xludf.DUMMYFUNCTION("IFERROR(QUERY(IMPORTRANGE(""https://docs.google.com/spreadsheets/d/1z9A1Wq-kKrhRNG5RS2a2fKpY1wIhSVz2ZNmP2mOl588/edit?usp=sharing"",""REQ VF!E4:Q""),""SELECT Col10, Col11, Col12 WHERE Col1 = '""&amp;G338&amp;""'"",0),""NO APLICA"")"),"NO APLICA")</f>
        <v>NO APLICA</v>
      </c>
      <c r="AF338" s="32"/>
      <c r="AG338" s="32"/>
      <c r="AH338" s="13"/>
      <c r="AI338" s="13"/>
    </row>
    <row r="339">
      <c r="A339" s="121">
        <v>217.0</v>
      </c>
      <c r="B339" s="43" t="b">
        <v>1</v>
      </c>
      <c r="C339" s="148" t="b">
        <v>1</v>
      </c>
      <c r="D339" s="26" t="s">
        <v>35</v>
      </c>
      <c r="E339" s="26" t="s">
        <v>1510</v>
      </c>
      <c r="F339" s="59" t="s">
        <v>2731</v>
      </c>
      <c r="G339" s="37" t="s">
        <v>2731</v>
      </c>
      <c r="H339" s="82" t="s">
        <v>2732</v>
      </c>
      <c r="I339" s="43">
        <f>SUMIFS('Hoja 10'!$O:$O,'Hoja 10'!$F:$F,$G339)</f>
        <v>1</v>
      </c>
      <c r="J339" s="26">
        <f>IFERROR(__xludf.DUMMYFUNCTION("VLOOKUP(G339,IMPORTRANGE(""https://docs.google.com/spreadsheets/d/12RxCea4e5ggM7QGn1XE3FbLQa_-QbCNdBi90OdPjRqg/edit?gid=1692403370#gid=1692403370"", ""'Plan de Compras'!D4:2432""), 8,0)"),1.0)</f>
        <v>1</v>
      </c>
      <c r="K339" s="26" t="str">
        <f t="shared" si="31"/>
        <v>SI</v>
      </c>
      <c r="L339" s="29" t="s">
        <v>91</v>
      </c>
      <c r="M339" s="30" t="s">
        <v>92</v>
      </c>
      <c r="N339" s="32" t="s">
        <v>2733</v>
      </c>
      <c r="O339" s="32"/>
      <c r="P339" s="32"/>
      <c r="Q339" s="33" t="s">
        <v>2734</v>
      </c>
      <c r="R339" s="86" t="s">
        <v>2735</v>
      </c>
      <c r="S339" s="44" t="b">
        <v>1</v>
      </c>
      <c r="T339" s="39" t="str">
        <f>IFERROR(__xludf.DUMMYFUNCTION(" IF
( VLOOKUP($G339,IMPORTRANGE(""https://docs.google.com/spreadsheets/d/1Gpl6jkTg7sL4VDNimUm3S9Vi1i95esohXCF3wuKOE8c"", ""'CONSOLIDADO'!G5:AB""), 10, 0) &lt;&gt; 0, 
IFERROR(VLOOKUP($G339,IMPORTRANGE(""https://docs.google.com/spreadsheets/d/1Gpl6jkTg7sL4VDNimU"&amp;"m3S9Vi1i95esohXCF3wuKOE8c"", ""'CONSOLIDADO'!G5:AB""), 17, 0), ""-""),
""""
)"),"GASEONET")</f>
        <v>GASEONET</v>
      </c>
      <c r="U339" s="39" t="str">
        <f>IFERROR(__xludf.DUMMYFUNCTION(" IF
( VLOOKUP($G339,IMPORTRANGE(""https://docs.google.com/spreadsheets/d/1Gpl6jkTg7sL4VDNimUm3S9Vi1i95esohXCF3wuKOE8c"", ""'CONSOLIDADO'!G5:AB""), 10, 0) &lt;&gt; 0, 
IFERROR(VLOOKUP($G339,IMPORTRANGE(""https://docs.google.com/spreadsheets/d/1Gpl6jkTg7sL4VDNimU"&amp;"m3S9Vi1i95esohXCF3wuKOE8c"", ""'CONSOLIDADO'!G5:AB""), 18, 0), ""-""),
""""
)"),"10 MT3 - ARGON")</f>
        <v>10 MT3 - ARGON</v>
      </c>
      <c r="V339" s="39" t="str">
        <f>IFERROR(__xludf.DUMMYFUNCTION(" IF
( VLOOKUP($G339,IMPORTRANGE(""https://docs.google.com/spreadsheets/d/1Gpl6jkTg7sL4VDNimUm3S9Vi1i95esohXCF3wuKOE8c"", ""'CONSOLIDADO'!G5:AB""), 10, 0) &lt;&gt; 0, 
IFERROR(VLOOKUP($G339,IMPORTRANGE(""https://docs.google.com/spreadsheets/d/1Gpl6jkTg7sL4VDNimU"&amp;"m3S9Vi1i95esohXCF3wuKOE8c"", ""'CONSOLIDADO'!G5:AB""), 17, 0), ""-""),
""""
)"),"GASEONET")</f>
        <v>GASEONET</v>
      </c>
      <c r="W339" s="39" t="str">
        <f>IFERROR(__xludf.DUMMYFUNCTION(" IF
( VLOOKUP($G339,IMPORTRANGE(""https://docs.google.com/spreadsheets/d/1Gpl6jkTg7sL4VDNimUm3S9Vi1i95esohXCF3wuKOE8c"", ""'CONSOLIDADO'!G5:AB""), 10, 0) &lt;&gt; 0, 
IFERROR(VLOOKUP($G339,IMPORTRANGE(""https://docs.google.com/spreadsheets/d/1Gpl6jkTg7sL4VDNimU"&amp;"m3S9Vi1i95esohXCF3wuKOE8c"", ""'CONSOLIDADO'!G5:AB""), 18, 0), ""-""),
""""
)"),"10 MT3 - ARGON")</f>
        <v>10 MT3 - ARGON</v>
      </c>
      <c r="X339" s="39" t="b">
        <f>IF(AND(T339=V339,W339=U339),TRUE,FALSE)</f>
        <v>1</v>
      </c>
      <c r="Y339" s="110" t="str">
        <f>IFERROR(__xludf.DUMMYFUNCTION(" IF
( VLOOKUP($G339,IMPORTRANGE(""https://docs.google.com/spreadsheets/d/1Gpl6jkTg7sL4VDNimUm3S9Vi1i95esohXCF3wuKOE8c"", ""'CONSOLIDADO'!G5:AB""), 10, 0) &lt;&gt; 0, 
IFERROR(VLOOKUP($G339,IMPORTRANGE(""https://docs.google.com/spreadsheets/d/1Gpl6jkTg7sL4VDNimU"&amp;"m3S9Vi1i95esohXCF3wuKOE8c"", ""'CONSOLIDADO'!G5:AB""), 19, 0), ""-""),
""""
)"),"NACIONALES")</f>
        <v>NACIONALES</v>
      </c>
      <c r="Z339" s="37" t="str">
        <f>IFERROR(__xludf.DUMMYFUNCTION("IFERROR(VLOOKUP(G339,IMPORTRANGE(""https://docs.google.com/spreadsheets/d/12RxCea4e5ggM7QGn1XE3FbLQa_-QbCNdBi90OdPjRqg"", ""'Plan de Compras'!D4:Q""), 12, 0), ""NO ESTÁ EN REQ"")"),"Técnica")</f>
        <v>Técnica</v>
      </c>
      <c r="AA339" s="37" t="str">
        <f>IFERROR(__xludf.DUMMYFUNCTION("IFERROR(VLOOKUP(G339,IMPORTRANGE(""https://docs.google.com/spreadsheets/d/12RxCea4e5ggM7QGn1XE3FbLQa_-QbCNdBi90OdPjRqg"", ""'Plan de Compras'!D4:Q""), 13, 0), """")"),"NACIONAL")</f>
        <v>NACIONAL</v>
      </c>
      <c r="AB339" s="32" t="str">
        <f>IFERROR(__xludf.DUMMYFUNCTION("IFERROR(VLOOKUP(G339,IMPORTRANGE(""https://docs.google.com/spreadsheets/d/12RxCea4e5ggM7QGn1XE3FbLQa_-QbCNdBi90OdPjRqg"", ""'Plan de Compras'!D4:Q""), 14, 0), """")"),"ALFIO")</f>
        <v>ALFIO</v>
      </c>
      <c r="AC339" s="72" t="str">
        <f>IFERROR(__xludf.DUMMYFUNCTION("IFERROR(VLOOKUP(G339,IMPORTRANGE(""https://docs.google.com/spreadsheets/d/12RxCea4e5ggM7QGn1XE3FbLQa_-QbCNdBi90OdPjRqg"", ""'Plan de Compras'!D4:Q""), 4, 0), """")"),"BALÓN DE ARGÓN")</f>
        <v>BALÓN DE ARGÓN</v>
      </c>
      <c r="AD339" s="37" t="str">
        <f>IFERROR(__xludf.DUMMYFUNCTION("IFERROR(IF(OR(C339=TRUE,C339=""""),VLOOKUP(G339,IMPORTRANGE(""https://docs.google.com/spreadsheets/d/1z9A1Wq-kKrhRNG5RS2a2fKpY1wIhSVz2ZNmP2mOl588/edit?usp=sharing"",""REQ VF!E4:H""),4,0),""NO APLICA""),""GENERAR REQ"")"),"GENERAR REQ")</f>
        <v>GENERAR REQ</v>
      </c>
      <c r="AE339" s="32" t="str">
        <f>IFERROR(__xludf.DUMMYFUNCTION("IFERROR(QUERY(IMPORTRANGE(""https://docs.google.com/spreadsheets/d/1z9A1Wq-kKrhRNG5RS2a2fKpY1wIhSVz2ZNmP2mOl588/edit?usp=sharing"",""REQ VF!E4:Q""),""SELECT Col10, Col11, Col12 WHERE Col1 = '""&amp;G339&amp;""'"",0),""NO APLICA"")"),"NO APLICA")</f>
        <v>NO APLICA</v>
      </c>
      <c r="AF339" s="32"/>
      <c r="AG339" s="32"/>
      <c r="AH339" s="13"/>
      <c r="AI339" s="13"/>
    </row>
    <row r="340">
      <c r="A340" s="43"/>
      <c r="B340" s="116"/>
      <c r="C340" s="26" t="b">
        <v>1</v>
      </c>
      <c r="D340" s="26" t="s">
        <v>42</v>
      </c>
      <c r="E340" s="26" t="s">
        <v>1510</v>
      </c>
      <c r="F340" s="59" t="s">
        <v>2731</v>
      </c>
      <c r="G340" s="39" t="s">
        <v>2736</v>
      </c>
      <c r="H340" s="66" t="s">
        <v>2737</v>
      </c>
      <c r="I340" s="43">
        <v>1.0</v>
      </c>
      <c r="J340" s="26">
        <f>IFERROR(__xludf.DUMMYFUNCTION("VLOOKUP(G340,IMPORTRANGE(""https://docs.google.com/spreadsheets/d/12RxCea4e5ggM7QGn1XE3FbLQa_-QbCNdBi90OdPjRqg/edit?gid=1692403370#gid=1692403370"", ""'Plan de Compras'!D4:2432""), 8,0)"),1.0)</f>
        <v>1</v>
      </c>
      <c r="K340" s="26" t="str">
        <f t="shared" si="31"/>
        <v>SI</v>
      </c>
      <c r="L340" s="29"/>
      <c r="M340" s="61"/>
      <c r="N340" s="32"/>
      <c r="O340" s="32" t="str">
        <f>VLOOKUP($G340,'Hoja 10'!$F$4:$AA1057, 19,0)</f>
        <v>#N/A</v>
      </c>
      <c r="P340" s="32" t="str">
        <f>VLOOKUP($G340,'Hoja 10'!$F$4:$AA1057, 20,0)</f>
        <v>#N/A</v>
      </c>
      <c r="Q340" s="41" t="str">
        <f>VLOOKUP($G340,'Hoja 10'!$F$4:$AA1057, 21,0)</f>
        <v>#N/A</v>
      </c>
      <c r="R340" s="32"/>
      <c r="S340" s="34" t="b">
        <v>1</v>
      </c>
      <c r="T340" s="39" t="s">
        <v>2729</v>
      </c>
      <c r="U340" s="39" t="s">
        <v>2738</v>
      </c>
      <c r="V340" s="39"/>
      <c r="W340" s="39"/>
      <c r="X340" s="39"/>
      <c r="Y340" s="124"/>
      <c r="Z340" s="37" t="str">
        <f>IFERROR(__xludf.DUMMYFUNCTION("IFERROR(VLOOKUP(G340,IMPORTRANGE(""https://docs.google.com/spreadsheets/d/12RxCea4e5ggM7QGn1XE3FbLQa_-QbCNdBi90OdPjRqg"", ""'Plan de Compras'!D4:Q""), 12, 0), ""NO ESTÁ EN REQ"")"),"Simple")</f>
        <v>Simple</v>
      </c>
      <c r="AA340" s="37" t="str">
        <f>IFERROR(__xludf.DUMMYFUNCTION("IFERROR(VLOOKUP(G340,IMPORTRANGE(""https://docs.google.com/spreadsheets/d/12RxCea4e5ggM7QGn1XE3FbLQa_-QbCNdBi90OdPjRqg"", ""'Plan de Compras'!D4:Q""), 13, 0), """")"),"NACIONAL")</f>
        <v>NACIONAL</v>
      </c>
      <c r="AB340" s="32" t="str">
        <f>IFERROR(__xludf.DUMMYFUNCTION("IFERROR(VLOOKUP(G340,IMPORTRANGE(""https://docs.google.com/spreadsheets/d/12RxCea4e5ggM7QGn1XE3FbLQa_-QbCNdBi90OdPjRqg"", ""'Plan de Compras'!D4:Q""), 14, 0), """")"),"ALFIO")</f>
        <v>ALFIO</v>
      </c>
      <c r="AC340" s="72" t="str">
        <f>IFERROR(__xludf.DUMMYFUNCTION("IFERROR(VLOOKUP(G340,IMPORTRANGE(""https://docs.google.com/spreadsheets/d/12RxCea4e5ggM7QGn1XE3FbLQa_-QbCNdBi90OdPjRqg"", ""'Plan de Compras'!D4:Q""), 4, 0), """")"),"COCHE PORTA BALON (1 UND)")</f>
        <v>COCHE PORTA BALON (1 UND)</v>
      </c>
      <c r="AD340" s="37" t="str">
        <f>IFERROR(__xludf.DUMMYFUNCTION("IFERROR(IF(OR(C340=TRUE,C340=""""),VLOOKUP(G340,IMPORTRANGE(""https://docs.google.com/spreadsheets/d/1z9A1Wq-kKrhRNG5RS2a2fKpY1wIhSVz2ZNmP2mOl588/edit?usp=sharing"",""REQ VF!E4:H""),4,0),""NO APLICA""),""GENERAR REQ"")"),"GENERAR REQ")</f>
        <v>GENERAR REQ</v>
      </c>
      <c r="AE340" s="32" t="str">
        <f>IFERROR(__xludf.DUMMYFUNCTION("IFERROR(QUERY(IMPORTRANGE(""https://docs.google.com/spreadsheets/d/1z9A1Wq-kKrhRNG5RS2a2fKpY1wIhSVz2ZNmP2mOl588/edit?usp=sharing"",""REQ VF!E4:Q""),""SELECT Col10, Col11, Col12 WHERE Col1 = '""&amp;G340&amp;""'"",0),""NO APLICA"")"),"NO APLICA")</f>
        <v>NO APLICA</v>
      </c>
      <c r="AF340" s="32"/>
      <c r="AG340" s="32"/>
      <c r="AH340" s="13"/>
      <c r="AI340" s="13"/>
    </row>
    <row r="341">
      <c r="A341" s="121">
        <v>218.0</v>
      </c>
      <c r="B341" s="43" t="b">
        <v>1</v>
      </c>
      <c r="C341" s="148" t="b">
        <v>1</v>
      </c>
      <c r="D341" s="26" t="s">
        <v>35</v>
      </c>
      <c r="E341" s="26" t="s">
        <v>1510</v>
      </c>
      <c r="F341" s="59" t="s">
        <v>2739</v>
      </c>
      <c r="G341" s="37" t="s">
        <v>2739</v>
      </c>
      <c r="H341" s="82" t="s">
        <v>2740</v>
      </c>
      <c r="I341" s="43">
        <f>SUMIFS('Hoja 10'!$O:$O,'Hoja 10'!$F:$F,$G341)</f>
        <v>1</v>
      </c>
      <c r="J341" s="26">
        <f>IFERROR(__xludf.DUMMYFUNCTION("VLOOKUP(G341,IMPORTRANGE(""https://docs.google.com/spreadsheets/d/12RxCea4e5ggM7QGn1XE3FbLQa_-QbCNdBi90OdPjRqg/edit?gid=1692403370#gid=1692403370"", ""'Plan de Compras'!D4:2432""), 8,0)"),1.0)</f>
        <v>1</v>
      </c>
      <c r="K341" s="26" t="str">
        <f t="shared" si="31"/>
        <v>SI</v>
      </c>
      <c r="L341" s="29" t="s">
        <v>91</v>
      </c>
      <c r="M341" s="30" t="s">
        <v>92</v>
      </c>
      <c r="N341" s="32"/>
      <c r="O341" s="32"/>
      <c r="P341" s="32"/>
      <c r="Q341" s="41"/>
      <c r="R341" s="86" t="s">
        <v>2741</v>
      </c>
      <c r="S341" s="44" t="b">
        <v>1</v>
      </c>
      <c r="T341" s="39" t="str">
        <f>IFERROR(__xludf.DUMMYFUNCTION(" IF
( VLOOKUP($G341,IMPORTRANGE(""https://docs.google.com/spreadsheets/d/1Gpl6jkTg7sL4VDNimUm3S9Vi1i95esohXCF3wuKOE8c"", ""'CONSOLIDADO'!G5:AB""), 10, 0) &lt;&gt; 0, 
IFERROR(VLOOKUP($G341,IMPORTRANGE(""https://docs.google.com/spreadsheets/d/1Gpl6jkTg7sL4VDNimU"&amp;"m3S9Vi1i95esohXCF3wuKOE8c"", ""'CONSOLIDADO'!G5:AB""), 17, 0), ""-""),
""""
)"),"GASEONET")</f>
        <v>GASEONET</v>
      </c>
      <c r="U341" s="39" t="str">
        <f>IFERROR(__xludf.DUMMYFUNCTION(" IF
( VLOOKUP($G341,IMPORTRANGE(""https://docs.google.com/spreadsheets/d/1Gpl6jkTg7sL4VDNimUm3S9Vi1i95esohXCF3wuKOE8c"", ""'CONSOLIDADO'!G5:AB""), 10, 0) &lt;&gt; 0, 
IFERROR(VLOOKUP($G341,IMPORTRANGE(""https://docs.google.com/spreadsheets/d/1Gpl6jkTg7sL4VDNimU"&amp;"m3S9Vi1i95esohXCF3wuKOE8c"", ""'CONSOLIDADO'!G5:AB""), 18, 0), ""-""),
""""
)"),"10 MT3 - CO2")</f>
        <v>10 MT3 - CO2</v>
      </c>
      <c r="V341" s="39" t="str">
        <f>IFERROR(__xludf.DUMMYFUNCTION(" IF
( VLOOKUP($G341,IMPORTRANGE(""https://docs.google.com/spreadsheets/d/1Gpl6jkTg7sL4VDNimUm3S9Vi1i95esohXCF3wuKOE8c"", ""'CONSOLIDADO'!G5:AB""), 10, 0) &lt;&gt; 0, 
IFERROR(VLOOKUP($G341,IMPORTRANGE(""https://docs.google.com/spreadsheets/d/1Gpl6jkTg7sL4VDNimU"&amp;"m3S9Vi1i95esohXCF3wuKOE8c"", ""'CONSOLIDADO'!G5:AB""), 17, 0), ""-""),
""""
)"),"GASEONET")</f>
        <v>GASEONET</v>
      </c>
      <c r="W341" s="39" t="str">
        <f>IFERROR(__xludf.DUMMYFUNCTION(" IF
( VLOOKUP($G341,IMPORTRANGE(""https://docs.google.com/spreadsheets/d/1Gpl6jkTg7sL4VDNimUm3S9Vi1i95esohXCF3wuKOE8c"", ""'CONSOLIDADO'!G5:AB""), 10, 0) &lt;&gt; 0, 
IFERROR(VLOOKUP($G341,IMPORTRANGE(""https://docs.google.com/spreadsheets/d/1Gpl6jkTg7sL4VDNimU"&amp;"m3S9Vi1i95esohXCF3wuKOE8c"", ""'CONSOLIDADO'!G5:AB""), 18, 0), ""-""),
""""
)"),"10 MT3 - CO2")</f>
        <v>10 MT3 - CO2</v>
      </c>
      <c r="X341" s="39" t="b">
        <f>IF(AND(T341=V341,W341=U341),TRUE,FALSE)</f>
        <v>1</v>
      </c>
      <c r="Y341" s="110" t="str">
        <f>IFERROR(__xludf.DUMMYFUNCTION(" IF
( VLOOKUP($G341,IMPORTRANGE(""https://docs.google.com/spreadsheets/d/1Gpl6jkTg7sL4VDNimUm3S9Vi1i95esohXCF3wuKOE8c"", ""'CONSOLIDADO'!G5:AB""), 10, 0) &lt;&gt; 0, 
IFERROR(VLOOKUP($G341,IMPORTRANGE(""https://docs.google.com/spreadsheets/d/1Gpl6jkTg7sL4VDNimU"&amp;"m3S9Vi1i95esohXCF3wuKOE8c"", ""'CONSOLIDADO'!G5:AB""), 19, 0), ""-""),
""""
)"),"NACIONALES")</f>
        <v>NACIONALES</v>
      </c>
      <c r="Z341" s="37" t="str">
        <f>IFERROR(__xludf.DUMMYFUNCTION("IFERROR(VLOOKUP(G341,IMPORTRANGE(""https://docs.google.com/spreadsheets/d/12RxCea4e5ggM7QGn1XE3FbLQa_-QbCNdBi90OdPjRqg"", ""'Plan de Compras'!D4:Q""), 12, 0), ""NO ESTÁ EN REQ"")"),"Técnica")</f>
        <v>Técnica</v>
      </c>
      <c r="AA341" s="37" t="str">
        <f>IFERROR(__xludf.DUMMYFUNCTION("IFERROR(VLOOKUP(G341,IMPORTRANGE(""https://docs.google.com/spreadsheets/d/12RxCea4e5ggM7QGn1XE3FbLQa_-QbCNdBi90OdPjRqg"", ""'Plan de Compras'!D4:Q""), 13, 0), """")"),"NACIONAL")</f>
        <v>NACIONAL</v>
      </c>
      <c r="AB341" s="32" t="str">
        <f>IFERROR(__xludf.DUMMYFUNCTION("IFERROR(VLOOKUP(G341,IMPORTRANGE(""https://docs.google.com/spreadsheets/d/12RxCea4e5ggM7QGn1XE3FbLQa_-QbCNdBi90OdPjRqg"", ""'Plan de Compras'!D4:Q""), 14, 0), """")"),"ALFIO")</f>
        <v>ALFIO</v>
      </c>
      <c r="AC341" s="72" t="str">
        <f>IFERROR(__xludf.DUMMYFUNCTION("IFERROR(VLOOKUP(G341,IMPORTRANGE(""https://docs.google.com/spreadsheets/d/12RxCea4e5ggM7QGn1XE3FbLQa_-QbCNdBi90OdPjRqg"", ""'Plan de Compras'!D4:Q""), 4, 0), """")"),"BALÓN DE CO2")</f>
        <v>BALÓN DE CO2</v>
      </c>
      <c r="AD341" s="37" t="str">
        <f>IFERROR(__xludf.DUMMYFUNCTION("IFERROR(IF(OR(C341=TRUE,C341=""""),VLOOKUP(G341,IMPORTRANGE(""https://docs.google.com/spreadsheets/d/1z9A1Wq-kKrhRNG5RS2a2fKpY1wIhSVz2ZNmP2mOl588/edit?usp=sharing"",""REQ VF!E4:H""),4,0),""NO APLICA""),""GENERAR REQ"")"),"GENERAR REQ")</f>
        <v>GENERAR REQ</v>
      </c>
      <c r="AE341" s="32" t="str">
        <f>IFERROR(__xludf.DUMMYFUNCTION("IFERROR(QUERY(IMPORTRANGE(""https://docs.google.com/spreadsheets/d/1z9A1Wq-kKrhRNG5RS2a2fKpY1wIhSVz2ZNmP2mOl588/edit?usp=sharing"",""REQ VF!E4:Q""),""SELECT Col10, Col11, Col12 WHERE Col1 = '""&amp;G341&amp;""'"",0),""NO APLICA"")"),"NO APLICA")</f>
        <v>NO APLICA</v>
      </c>
      <c r="AF341" s="32"/>
      <c r="AG341" s="32"/>
      <c r="AH341" s="13"/>
      <c r="AI341" s="13"/>
    </row>
    <row r="342">
      <c r="A342" s="43"/>
      <c r="B342" s="43"/>
      <c r="C342" s="148" t="b">
        <v>1</v>
      </c>
      <c r="D342" s="26" t="s">
        <v>42</v>
      </c>
      <c r="E342" s="26" t="s">
        <v>1510</v>
      </c>
      <c r="F342" s="59" t="s">
        <v>2742</v>
      </c>
      <c r="G342" s="39" t="s">
        <v>2742</v>
      </c>
      <c r="H342" s="66" t="s">
        <v>2737</v>
      </c>
      <c r="I342" s="43">
        <v>1.0</v>
      </c>
      <c r="J342" s="26" t="str">
        <f>IFERROR(__xludf.DUMMYFUNCTION("VLOOKUP(G342,IMPORTRANGE(""https://docs.google.com/spreadsheets/d/12RxCea4e5ggM7QGn1XE3FbLQa_-QbCNdBi90OdPjRqg/edit?gid=1692403370#gid=1692403370"", ""'Plan de Compras'!D4:2432""), 8,0)"),"")</f>
        <v/>
      </c>
      <c r="K342" s="26" t="str">
        <f t="shared" si="31"/>
        <v>NO</v>
      </c>
      <c r="L342" s="29"/>
      <c r="M342" s="61"/>
      <c r="N342" s="32"/>
      <c r="O342" s="32" t="str">
        <f>VLOOKUP($G342,'Hoja 10'!$F$4:$AA1057, 19,0)</f>
        <v>#N/A</v>
      </c>
      <c r="P342" s="32" t="str">
        <f>VLOOKUP($G342,'Hoja 10'!$F$4:$AA1057, 20,0)</f>
        <v>#N/A</v>
      </c>
      <c r="Q342" s="41" t="str">
        <f>VLOOKUP($G342,'Hoja 10'!$F$4:$AA1057, 21,0)</f>
        <v>#N/A</v>
      </c>
      <c r="R342" s="32"/>
      <c r="S342" s="34" t="b">
        <v>1</v>
      </c>
      <c r="T342" s="39" t="s">
        <v>2729</v>
      </c>
      <c r="U342" s="39" t="s">
        <v>2738</v>
      </c>
      <c r="V342" s="39"/>
      <c r="W342" s="39"/>
      <c r="X342" s="39"/>
      <c r="Y342" s="110"/>
      <c r="Z342" s="37" t="str">
        <f>IFERROR(__xludf.DUMMYFUNCTION("IFERROR(VLOOKUP(G342,IMPORTRANGE(""https://docs.google.com/spreadsheets/d/12RxCea4e5ggM7QGn1XE3FbLQa_-QbCNdBi90OdPjRqg"", ""'Plan de Compras'!D4:Q""), 12, 0), ""NO ESTÁ EN REQ"")"),"Técnica")</f>
        <v>Técnica</v>
      </c>
      <c r="AA342" s="37" t="str">
        <f>IFERROR(__xludf.DUMMYFUNCTION("IFERROR(VLOOKUP(G342,IMPORTRANGE(""https://docs.google.com/spreadsheets/d/12RxCea4e5ggM7QGn1XE3FbLQa_-QbCNdBi90OdPjRqg"", ""'Plan de Compras'!D4:Q""), 13, 0), """")"),"NACIONAL")</f>
        <v>NACIONAL</v>
      </c>
      <c r="AB342" s="32" t="str">
        <f>IFERROR(__xludf.DUMMYFUNCTION("IFERROR(VLOOKUP(G342,IMPORTRANGE(""https://docs.google.com/spreadsheets/d/12RxCea4e5ggM7QGn1XE3FbLQa_-QbCNdBi90OdPjRqg"", ""'Plan de Compras'!D4:Q""), 14, 0), """")"),"ALFIO")</f>
        <v>ALFIO</v>
      </c>
      <c r="AC342" s="72" t="str">
        <f>IFERROR(__xludf.DUMMYFUNCTION("IFERROR(VLOOKUP(G342,IMPORTRANGE(""https://docs.google.com/spreadsheets/d/12RxCea4e5ggM7QGn1XE3FbLQa_-QbCNdBi90OdPjRqg"", ""'Plan de Compras'!D4:Q""), 4, 0), """")"),"COCHE PORTA BALON SIMPLE")</f>
        <v>COCHE PORTA BALON SIMPLE</v>
      </c>
      <c r="AD342" s="37" t="str">
        <f>IFERROR(__xludf.DUMMYFUNCTION("IFERROR(IF(OR(C342=TRUE,C342=""""),VLOOKUP(G342,IMPORTRANGE(""https://docs.google.com/spreadsheets/d/1z9A1Wq-kKrhRNG5RS2a2fKpY1wIhSVz2ZNmP2mOl588/edit?usp=sharing"",""REQ VF!E4:H""),4,0),""NO APLICA""),""GENERAR REQ"")"),"GENERAR REQ")</f>
        <v>GENERAR REQ</v>
      </c>
      <c r="AE342" s="32" t="str">
        <f>IFERROR(__xludf.DUMMYFUNCTION("IFERROR(QUERY(IMPORTRANGE(""https://docs.google.com/spreadsheets/d/1z9A1Wq-kKrhRNG5RS2a2fKpY1wIhSVz2ZNmP2mOl588/edit?usp=sharing"",""REQ VF!E4:Q""),""SELECT Col10, Col11, Col12 WHERE Col1 = '""&amp;G342&amp;""'"",0),""NO APLICA"")"),"NO APLICA")</f>
        <v>NO APLICA</v>
      </c>
      <c r="AF342" s="32"/>
      <c r="AG342" s="32"/>
      <c r="AH342" s="13"/>
      <c r="AI342" s="13"/>
    </row>
    <row r="343">
      <c r="A343" s="43"/>
      <c r="B343" s="43"/>
      <c r="C343" s="148" t="b">
        <v>1</v>
      </c>
      <c r="D343" s="26" t="s">
        <v>42</v>
      </c>
      <c r="E343" s="26" t="s">
        <v>1510</v>
      </c>
      <c r="F343" s="59" t="s">
        <v>2742</v>
      </c>
      <c r="G343" s="73" t="s">
        <v>2743</v>
      </c>
      <c r="H343" s="149" t="s">
        <v>2744</v>
      </c>
      <c r="I343" s="75">
        <v>1.0</v>
      </c>
      <c r="J343" s="26">
        <f>IFERROR(__xludf.DUMMYFUNCTION("VLOOKUP(G343,IMPORTRANGE(""https://docs.google.com/spreadsheets/d/12RxCea4e5ggM7QGn1XE3FbLQa_-QbCNdBi90OdPjRqg/edit?gid=1692403370#gid=1692403370"", ""'Plan de Compras'!D4:2432""), 8,0)"),1.0)</f>
        <v>1</v>
      </c>
      <c r="K343" s="26" t="str">
        <f t="shared" si="31"/>
        <v>SI</v>
      </c>
      <c r="L343" s="29"/>
      <c r="M343" s="61"/>
      <c r="N343" s="32"/>
      <c r="O343" s="32"/>
      <c r="P343" s="32"/>
      <c r="Q343" s="41"/>
      <c r="R343" s="32"/>
      <c r="S343" s="34" t="b">
        <v>0</v>
      </c>
      <c r="T343" s="39"/>
      <c r="U343" s="39"/>
      <c r="V343" s="39"/>
      <c r="W343" s="39"/>
      <c r="X343" s="39"/>
      <c r="Y343" s="110"/>
      <c r="Z343" s="37"/>
      <c r="AA343" s="37"/>
      <c r="AB343" s="32"/>
      <c r="AC343" s="72"/>
      <c r="AD343" s="37" t="str">
        <f>IFERROR(__xludf.DUMMYFUNCTION("IFERROR(IF(OR(C343=TRUE,C343=""""),VLOOKUP(G343,IMPORTRANGE(""https://docs.google.com/spreadsheets/d/1z9A1Wq-kKrhRNG5RS2a2fKpY1wIhSVz2ZNmP2mOl588/edit?usp=sharing"",""REQ VF!E4:H""),4,0),""NO APLICA""),""GENERAR REQ"")"),"GENERAR REQ")</f>
        <v>GENERAR REQ</v>
      </c>
      <c r="AE343" s="32" t="str">
        <f>IFERROR(__xludf.DUMMYFUNCTION("IFERROR(QUERY(IMPORTRANGE(""https://docs.google.com/spreadsheets/d/1z9A1Wq-kKrhRNG5RS2a2fKpY1wIhSVz2ZNmP2mOl588/edit?usp=sharing"",""REQ VF!E4:Q""),""SELECT Col10, Col11, Col12 WHERE Col1 = '""&amp;G343&amp;""'"",0),""NO APLICA"")"),"NO APLICA")</f>
        <v>NO APLICA</v>
      </c>
      <c r="AF343" s="32"/>
      <c r="AG343" s="32"/>
      <c r="AH343" s="13"/>
      <c r="AI343" s="13"/>
    </row>
    <row r="344">
      <c r="A344" s="121">
        <v>219.0</v>
      </c>
      <c r="B344" s="43" t="b">
        <v>1</v>
      </c>
      <c r="C344" s="148" t="b">
        <v>1</v>
      </c>
      <c r="D344" s="26" t="s">
        <v>35</v>
      </c>
      <c r="E344" s="26" t="s">
        <v>1510</v>
      </c>
      <c r="F344" s="59" t="s">
        <v>2745</v>
      </c>
      <c r="G344" s="37" t="s">
        <v>2745</v>
      </c>
      <c r="H344" s="82" t="s">
        <v>2746</v>
      </c>
      <c r="I344" s="43">
        <f>SUMIFS('Hoja 10'!$O:$O,'Hoja 10'!$F:$F,$G344)</f>
        <v>1</v>
      </c>
      <c r="J344" s="26">
        <f>IFERROR(__xludf.DUMMYFUNCTION("VLOOKUP(G344,IMPORTRANGE(""https://docs.google.com/spreadsheets/d/12RxCea4e5ggM7QGn1XE3FbLQa_-QbCNdBi90OdPjRqg/edit?gid=1692403370#gid=1692403370"", ""'Plan de Compras'!D4:2432""), 8,0)"),1.0)</f>
        <v>1</v>
      </c>
      <c r="K344" s="26" t="str">
        <f t="shared" si="31"/>
        <v>SI</v>
      </c>
      <c r="L344" s="29" t="s">
        <v>91</v>
      </c>
      <c r="M344" s="30" t="s">
        <v>92</v>
      </c>
      <c r="N344" s="32"/>
      <c r="O344" s="32" t="str">
        <f>VLOOKUP($G344,'Hoja 10'!$F$4:$AA1057, 19,0)</f>
        <v>Norris</v>
      </c>
      <c r="P344" s="32" t="str">
        <f>VLOOKUP($G344,'Hoja 10'!$F$4:$AA1057, 20,0)</f>
        <v>Balón de oxígeno medicinal 10 m3 (8BC75A)</v>
      </c>
      <c r="Q344" s="33" t="str">
        <f>VLOOKUP($G344,'Hoja 10'!$F$4:$AA1057, 21,0)</f>
        <v>https://respiramedical.com.pe/producto/cilindro-de-oxigeno-medicinal-de-acero-norris/</v>
      </c>
      <c r="R344" s="86" t="s">
        <v>2747</v>
      </c>
      <c r="S344" s="34" t="b">
        <v>1</v>
      </c>
      <c r="T344" s="39" t="str">
        <f>IFERROR(__xludf.DUMMYFUNCTION(" IF
( VLOOKUP($G344,IMPORTRANGE(""https://docs.google.com/spreadsheets/d/1Gpl6jkTg7sL4VDNimUm3S9Vi1i95esohXCF3wuKOE8c"", ""'CONSOLIDADO'!G5:AB""), 10, 0) &lt;&gt; 0, 
IFERROR(VLOOKUP($G344,IMPORTRANGE(""https://docs.google.com/spreadsheets/d/1Gpl6jkTg7sL4VDNimU"&amp;"m3S9Vi1i95esohXCF3wuKOE8c"", ""'CONSOLIDADO'!G5:AB""), 17, 0), ""-""),
""""
)"),"GASEONET")</f>
        <v>GASEONET</v>
      </c>
      <c r="U344" s="39" t="str">
        <f>IFERROR(__xludf.DUMMYFUNCTION(" IF
( VLOOKUP($G344,IMPORTRANGE(""https://docs.google.com/spreadsheets/d/1Gpl6jkTg7sL4VDNimUm3S9Vi1i95esohXCF3wuKOE8c"", ""'CONSOLIDADO'!G5:AB""), 10, 0) &lt;&gt; 0, 
IFERROR(VLOOKUP($G344,IMPORTRANGE(""https://docs.google.com/spreadsheets/d/1Gpl6jkTg7sL4VDNimU"&amp;"m3S9Vi1i95esohXCF3wuKOE8c"", ""'CONSOLIDADO'!G5:AB""), 18, 0), ""-""),
""""
)"),"10 MT3 - OXIGENO")</f>
        <v>10 MT3 - OXIGENO</v>
      </c>
      <c r="V344" s="39" t="str">
        <f>IFERROR(__xludf.DUMMYFUNCTION(" IF
( VLOOKUP($G344,IMPORTRANGE(""https://docs.google.com/spreadsheets/d/1Gpl6jkTg7sL4VDNimUm3S9Vi1i95esohXCF3wuKOE8c"", ""'CONSOLIDADO'!G5:AB""), 10, 0) &lt;&gt; 0, 
IFERROR(VLOOKUP($G344,IMPORTRANGE(""https://docs.google.com/spreadsheets/d/1Gpl6jkTg7sL4VDNimU"&amp;"m3S9Vi1i95esohXCF3wuKOE8c"", ""'CONSOLIDADO'!G5:AB""), 17, 0), ""-""),
""""
)"),"GASEONET")</f>
        <v>GASEONET</v>
      </c>
      <c r="W344" s="39" t="str">
        <f>IFERROR(__xludf.DUMMYFUNCTION(" IF
( VLOOKUP($G344,IMPORTRANGE(""https://docs.google.com/spreadsheets/d/1Gpl6jkTg7sL4VDNimUm3S9Vi1i95esohXCF3wuKOE8c"", ""'CONSOLIDADO'!G5:AB""), 10, 0) &lt;&gt; 0, 
IFERROR(VLOOKUP($G344,IMPORTRANGE(""https://docs.google.com/spreadsheets/d/1Gpl6jkTg7sL4VDNimU"&amp;"m3S9Vi1i95esohXCF3wuKOE8c"", ""'CONSOLIDADO'!G5:AB""), 18, 0), ""-""),
""""
)"),"10 MT3 - OXIGENO")</f>
        <v>10 MT3 - OXIGENO</v>
      </c>
      <c r="X344" s="39" t="b">
        <f t="shared" ref="X344:X350" si="39">IF(AND(T344=V344,W344=U344),TRUE,FALSE)</f>
        <v>1</v>
      </c>
      <c r="Y344" s="110" t="str">
        <f>IFERROR(__xludf.DUMMYFUNCTION(" IF
( VLOOKUP($G344,IMPORTRANGE(""https://docs.google.com/spreadsheets/d/1Gpl6jkTg7sL4VDNimUm3S9Vi1i95esohXCF3wuKOE8c"", ""'CONSOLIDADO'!G5:AB""), 10, 0) &lt;&gt; 0, 
IFERROR(VLOOKUP($G344,IMPORTRANGE(""https://docs.google.com/spreadsheets/d/1Gpl6jkTg7sL4VDNimU"&amp;"m3S9Vi1i95esohXCF3wuKOE8c"", ""'CONSOLIDADO'!G5:AB""), 19, 0), ""-""),
""""
)"),"NACIONALES")</f>
        <v>NACIONALES</v>
      </c>
      <c r="Z344" s="37" t="str">
        <f>IFERROR(__xludf.DUMMYFUNCTION("IFERROR(VLOOKUP(G344,IMPORTRANGE(""https://docs.google.com/spreadsheets/d/12RxCea4e5ggM7QGn1XE3FbLQa_-QbCNdBi90OdPjRqg"", ""'Plan de Compras'!D4:Q""), 12, 0), ""NO ESTÁ EN REQ"")"),"Técnica")</f>
        <v>Técnica</v>
      </c>
      <c r="AA344" s="37" t="str">
        <f>IFERROR(__xludf.DUMMYFUNCTION("IFERROR(VLOOKUP(G344,IMPORTRANGE(""https://docs.google.com/spreadsheets/d/12RxCea4e5ggM7QGn1XE3FbLQa_-QbCNdBi90OdPjRqg"", ""'Plan de Compras'!D4:Q""), 13, 0), """")"),"NACIONAL")</f>
        <v>NACIONAL</v>
      </c>
      <c r="AB344" s="32" t="str">
        <f>IFERROR(__xludf.DUMMYFUNCTION("IFERROR(VLOOKUP(G344,IMPORTRANGE(""https://docs.google.com/spreadsheets/d/12RxCea4e5ggM7QGn1XE3FbLQa_-QbCNdBi90OdPjRqg"", ""'Plan de Compras'!D4:Q""), 14, 0), """")"),"ALFIO")</f>
        <v>ALFIO</v>
      </c>
      <c r="AC344" s="72" t="str">
        <f>IFERROR(__xludf.DUMMYFUNCTION("IFERROR(VLOOKUP(G344,IMPORTRANGE(""https://docs.google.com/spreadsheets/d/12RxCea4e5ggM7QGn1XE3FbLQa_-QbCNdBi90OdPjRqg"", ""'Plan de Compras'!D4:Q""), 4, 0), """")"),"BALÓN DE OXÍGENO")</f>
        <v>BALÓN DE OXÍGENO</v>
      </c>
      <c r="AD344" s="37" t="str">
        <f>IFERROR(__xludf.DUMMYFUNCTION("IFERROR(IF(OR(C344=TRUE,C344=""""),VLOOKUP(G344,IMPORTRANGE(""https://docs.google.com/spreadsheets/d/1z9A1Wq-kKrhRNG5RS2a2fKpY1wIhSVz2ZNmP2mOl588/edit?usp=sharing"",""REQ VF!E4:H""),4,0),""NO APLICA""),""GENERAR REQ"")"),"GENERAR REQ")</f>
        <v>GENERAR REQ</v>
      </c>
      <c r="AE344" s="32" t="str">
        <f>IFERROR(__xludf.DUMMYFUNCTION("IFERROR(QUERY(IMPORTRANGE(""https://docs.google.com/spreadsheets/d/1z9A1Wq-kKrhRNG5RS2a2fKpY1wIhSVz2ZNmP2mOl588/edit?usp=sharing"",""REQ VF!E4:Q""),""SELECT Col10, Col11, Col12 WHERE Col1 = '""&amp;G344&amp;""'"",0),""NO APLICA"")"),"NO APLICA")</f>
        <v>NO APLICA</v>
      </c>
      <c r="AF344" s="32"/>
      <c r="AG344" s="32"/>
      <c r="AH344" s="13"/>
      <c r="AI344" s="13"/>
    </row>
    <row r="345">
      <c r="A345" s="117">
        <v>220.0</v>
      </c>
      <c r="B345" s="43" t="b">
        <v>1</v>
      </c>
      <c r="C345" s="26" t="b">
        <v>1</v>
      </c>
      <c r="D345" s="26" t="s">
        <v>35</v>
      </c>
      <c r="E345" s="26" t="s">
        <v>1510</v>
      </c>
      <c r="F345" s="59" t="s">
        <v>2748</v>
      </c>
      <c r="G345" s="37" t="s">
        <v>2748</v>
      </c>
      <c r="H345" s="82" t="s">
        <v>2749</v>
      </c>
      <c r="I345" s="43">
        <f>SUMIFS('Hoja 10'!$O:$O,'Hoja 10'!$F:$F,$G345)</f>
        <v>20</v>
      </c>
      <c r="J345" s="26">
        <f>IFERROR(__xludf.DUMMYFUNCTION("VLOOKUP(G345,IMPORTRANGE(""https://docs.google.com/spreadsheets/d/12RxCea4e5ggM7QGn1XE3FbLQa_-QbCNdBi90OdPjRqg/edit?gid=1692403370#gid=1692403370"", ""'Plan de Compras'!D4:2432""), 8,0)"),20.0)</f>
        <v>20</v>
      </c>
      <c r="K345" s="26" t="str">
        <f t="shared" si="31"/>
        <v>SI</v>
      </c>
      <c r="L345" s="29" t="s">
        <v>39</v>
      </c>
      <c r="M345" s="30" t="s">
        <v>40</v>
      </c>
      <c r="N345" s="32"/>
      <c r="O345" s="32" t="str">
        <f>VLOOKUP($G345,'Hoja 10'!$F$4:$AA1057, 19,0)</f>
        <v>Araven </v>
      </c>
      <c r="P345" s="32" t="str">
        <f>VLOOKUP($G345,'Hoja 10'!$F$4:$AA1057, 20,0)</f>
        <v>J209</v>
      </c>
      <c r="Q345" s="33" t="str">
        <f>VLOOKUP($G345,'Hoja 10'!$F$4:$AA1057, 21,0)</f>
        <v>https://ibergastro.es/Bandeja-para-congelador-Araven-285x435x80mm?srsltid=AfmBOooZRvKxWmKkPFlaKuKsdT820c0pwMpWHwlBY4LanHv0TZUpCI2H</v>
      </c>
      <c r="R345" s="86" t="s">
        <v>2750</v>
      </c>
      <c r="S345" s="44" t="b">
        <v>1</v>
      </c>
      <c r="T345" s="39" t="s">
        <v>2751</v>
      </c>
      <c r="U345" s="39" t="s">
        <v>2752</v>
      </c>
      <c r="V345" s="39" t="str">
        <f>IFERROR(__xludf.DUMMYFUNCTION(" IF
( VLOOKUP($G345,IMPORTRANGE(""https://docs.google.com/spreadsheets/d/1Gpl6jkTg7sL4VDNimUm3S9Vi1i95esohXCF3wuKOE8c"", ""'CONSOLIDADO'!G5:AB""), 10, 0) &lt;&gt; 0, 
IFERROR(VLOOKUP($G345,IMPORTRANGE(""https://docs.google.com/spreadsheets/d/1Gpl6jkTg7sL4VDNimU"&amp;"m3S9Vi1i95esohXCF3wuKOE8c"", ""'CONSOLIDADO'!G5:AB""), 17, 0), ""-""),
""""
)"),"UNIPLAST")</f>
        <v>UNIPLAST</v>
      </c>
      <c r="W345" s="39" t="str">
        <f>IFERROR(__xludf.DUMMYFUNCTION(" IF
( VLOOKUP($G345,IMPORTRANGE(""https://docs.google.com/spreadsheets/d/1Gpl6jkTg7sL4VDNimUm3S9Vi1i95esohXCF3wuKOE8c"", ""'CONSOLIDADO'!G5:AB""), 10, 0) &lt;&gt; 0, 
IFERROR(VLOOKUP($G345,IMPORTRANGE(""https://docs.google.com/spreadsheets/d/1Gpl6jkTg7sL4VDNimU"&amp;"m3S9Vi1i95esohXCF3wuKOE8c"", ""'CONSOLIDADO'!G5:AB""), 18, 0), ""-""),
""""
)"),"Uniban 1 ")</f>
        <v>Uniban 1 </v>
      </c>
      <c r="X345" s="39" t="b">
        <f t="shared" si="39"/>
        <v>1</v>
      </c>
      <c r="Y345" s="120" t="s">
        <v>2753</v>
      </c>
      <c r="Z345" s="37" t="str">
        <f>IFERROR(__xludf.DUMMYFUNCTION("IFERROR(VLOOKUP(G345,IMPORTRANGE(""https://docs.google.com/spreadsheets/d/12RxCea4e5ggM7QGn1XE3FbLQa_-QbCNdBi90OdPjRqg"", ""'Plan de Compras'!D4:Q""), 12, 0), ""NO ESTÁ EN REQ"")"),"Simple")</f>
        <v>Simple</v>
      </c>
      <c r="AA345" s="37" t="str">
        <f>IFERROR(__xludf.DUMMYFUNCTION("IFERROR(VLOOKUP(G345,IMPORTRANGE(""https://docs.google.com/spreadsheets/d/12RxCea4e5ggM7QGn1XE3FbLQa_-QbCNdBi90OdPjRqg"", ""'Plan de Compras'!D4:Q""), 13, 0), """")"),"NACIONAL")</f>
        <v>NACIONAL</v>
      </c>
      <c r="AB345" s="32" t="str">
        <f>IFERROR(__xludf.DUMMYFUNCTION("IFERROR(VLOOKUP(G345,IMPORTRANGE(""https://docs.google.com/spreadsheets/d/12RxCea4e5ggM7QGn1XE3FbLQa_-QbCNdBi90OdPjRqg"", ""'Plan de Compras'!D4:Q""), 14, 0), """")"),"GEANFRANCO")</f>
        <v>GEANFRANCO</v>
      </c>
      <c r="AC345" s="72" t="str">
        <f>IFERROR(__xludf.DUMMYFUNCTION("IFERROR(VLOOKUP(G345,IMPORTRANGE(""https://docs.google.com/spreadsheets/d/12RxCea4e5ggM7QGn1XE3FbLQa_-QbCNdBi90OdPjRqg"", ""'Plan de Compras'!D4:Q""), 4, 0), """")"),"BANDEJAS DE PLÁSTICO")</f>
        <v>BANDEJAS DE PLÁSTICO</v>
      </c>
      <c r="AD345" s="37" t="str">
        <f>IFERROR(__xludf.DUMMYFUNCTION("IFERROR(IF(OR(C345=TRUE,C345=""""),VLOOKUP(G345,IMPORTRANGE(""https://docs.google.com/spreadsheets/d/1z9A1Wq-kKrhRNG5RS2a2fKpY1wIhSVz2ZNmP2mOl588/edit?usp=sharing"",""REQ VF!E4:H""),4,0),""NO APLICA""),""GENERAR REQ"")"),"GENERAR REQ")</f>
        <v>GENERAR REQ</v>
      </c>
      <c r="AE345" s="32" t="str">
        <f>IFERROR(__xludf.DUMMYFUNCTION("IFERROR(QUERY(IMPORTRANGE(""https://docs.google.com/spreadsheets/d/1z9A1Wq-kKrhRNG5RS2a2fKpY1wIhSVz2ZNmP2mOl588/edit?usp=sharing"",""REQ VF!E4:Q""),""SELECT Col10, Col11, Col12 WHERE Col1 = '""&amp;G345&amp;""'"",0),""NO APLICA"")"),"NO APLICA")</f>
        <v>NO APLICA</v>
      </c>
      <c r="AF345" s="32"/>
      <c r="AG345" s="32"/>
      <c r="AH345" s="8" t="s">
        <v>52</v>
      </c>
      <c r="AI345" s="13"/>
    </row>
    <row r="346">
      <c r="A346" s="117">
        <v>221.0</v>
      </c>
      <c r="B346" s="43"/>
      <c r="C346" s="150" t="b">
        <v>1</v>
      </c>
      <c r="D346" s="150" t="s">
        <v>35</v>
      </c>
      <c r="E346" s="150" t="s">
        <v>1510</v>
      </c>
      <c r="F346" s="151" t="s">
        <v>2754</v>
      </c>
      <c r="G346" s="152" t="s">
        <v>2754</v>
      </c>
      <c r="H346" s="153" t="s">
        <v>2755</v>
      </c>
      <c r="I346" s="43">
        <f>SUMIFS('Hoja 10'!$O:$O,'Hoja 10'!$F:$F,$G346)</f>
        <v>16</v>
      </c>
      <c r="J346" s="26" t="str">
        <f>IFERROR(__xludf.DUMMYFUNCTION("VLOOKUP(G346,IMPORTRANGE(""https://docs.google.com/spreadsheets/d/12RxCea4e5ggM7QGn1XE3FbLQa_-QbCNdBi90OdPjRqg/edit?gid=1692403370#gid=1692403370"", ""'Plan de Compras'!D4:2432""), 8,0)"),"#N/A")</f>
        <v>#N/A</v>
      </c>
      <c r="K346" s="26" t="str">
        <f t="shared" si="31"/>
        <v>#N/A</v>
      </c>
      <c r="L346" s="29" t="s">
        <v>339</v>
      </c>
      <c r="M346" s="30" t="s">
        <v>340</v>
      </c>
      <c r="N346" s="32"/>
      <c r="O346" s="32" t="str">
        <f>VLOOKUP($G346,'Hoja 10'!$F$4:$AA1057, 19,0)</f>
        <v>A MEDIDA</v>
      </c>
      <c r="P346" s="32" t="str">
        <f>VLOOKUP($G346,'Hoja 10'!$F$4:$AA1057, 20,0)</f>
        <v>A MEDIDA</v>
      </c>
      <c r="Q346" s="41" t="str">
        <f>VLOOKUP($G346,'Hoja 10'!$F$4:$AA1057, 21,0)</f>
        <v>A MEDIDA</v>
      </c>
      <c r="R346" s="86" t="s">
        <v>2756</v>
      </c>
      <c r="S346" s="44" t="b">
        <v>0</v>
      </c>
      <c r="T346" s="39" t="str">
        <f>IFERROR(__xludf.DUMMYFUNCTION(" IF
( VLOOKUP($G346,IMPORTRANGE(""https://docs.google.com/spreadsheets/d/1Gpl6jkTg7sL4VDNimUm3S9Vi1i95esohXCF3wuKOE8c"", ""'CONSOLIDADO'!G5:AB""), 10, 0) &lt;&gt; 0, 
IFERROR(VLOOKUP($G346,IMPORTRANGE(""https://docs.google.com/spreadsheets/d/1Gpl6jkTg7sL4VDNimU"&amp;"m3S9Vi1i95esohXCF3wuKOE8c"", ""'CONSOLIDADO'!G5:AB""), 17, 0), ""-""),
""""
)"),"A MEDIDA
ALFONSO")</f>
        <v>A MEDIDA
ALFONSO</v>
      </c>
      <c r="U346" s="39" t="str">
        <f>IFERROR(__xludf.DUMMYFUNCTION(" IF
( VLOOKUP($G346,IMPORTRANGE(""https://docs.google.com/spreadsheets/d/1Gpl6jkTg7sL4VDNimUm3S9Vi1i95esohXCF3wuKOE8c"", ""'CONSOLIDADO'!G5:AB""), 10, 0) &lt;&gt; 0, 
IFERROR(VLOOKUP($G346,IMPORTRANGE(""https://docs.google.com/spreadsheets/d/1Gpl6jkTg7sL4VDNimU"&amp;"m3S9Vi1i95esohXCF3wuKOE8c"", ""'CONSOLIDADO'!G5:AB""), 18, 0), ""-""),
""""
)"),"A MEDIDA")</f>
        <v>A MEDIDA</v>
      </c>
      <c r="V346" s="39" t="str">
        <f>IFERROR(__xludf.DUMMYFUNCTION(" IF
( VLOOKUP($G346,IMPORTRANGE(""https://docs.google.com/spreadsheets/d/1Gpl6jkTg7sL4VDNimUm3S9Vi1i95esohXCF3wuKOE8c"", ""'CONSOLIDADO'!G5:AB""), 10, 0) &lt;&gt; 0, 
IFERROR(VLOOKUP($G346,IMPORTRANGE(""https://docs.google.com/spreadsheets/d/1Gpl6jkTg7sL4VDNimU"&amp;"m3S9Vi1i95esohXCF3wuKOE8c"", ""'CONSOLIDADO'!G5:AB""), 17, 0), ""-""),
""""
)"),"A MEDIDA
ALFONSO")</f>
        <v>A MEDIDA
ALFONSO</v>
      </c>
      <c r="W346" s="39" t="str">
        <f>IFERROR(__xludf.DUMMYFUNCTION(" IF
( VLOOKUP($G346,IMPORTRANGE(""https://docs.google.com/spreadsheets/d/1Gpl6jkTg7sL4VDNimUm3S9Vi1i95esohXCF3wuKOE8c"", ""'CONSOLIDADO'!G5:AB""), 10, 0) &lt;&gt; 0, 
IFERROR(VLOOKUP($G346,IMPORTRANGE(""https://docs.google.com/spreadsheets/d/1Gpl6jkTg7sL4VDNimU"&amp;"m3S9Vi1i95esohXCF3wuKOE8c"", ""'CONSOLIDADO'!G5:AB""), 18, 0), ""-""),
""""
)"),"A MEDIDA")</f>
        <v>A MEDIDA</v>
      </c>
      <c r="X346" s="39" t="b">
        <f t="shared" si="39"/>
        <v>1</v>
      </c>
      <c r="Y346" s="110" t="str">
        <f>IFERROR(__xludf.DUMMYFUNCTION(" IF
( VLOOKUP($G346,IMPORTRANGE(""https://docs.google.com/spreadsheets/d/1Gpl6jkTg7sL4VDNimUm3S9Vi1i95esohXCF3wuKOE8c"", ""'CONSOLIDADO'!G5:AB""), 10, 0) &lt;&gt; 0, 
IFERROR(VLOOKUP($G346,IMPORTRANGE(""https://docs.google.com/spreadsheets/d/1Gpl6jkTg7sL4VDNimU"&amp;"m3S9Vi1i95esohXCF3wuKOE8c"", ""'CONSOLIDADO'!G5:AB""), 19, 0), ""-""),
""""
)"),"")</f>
        <v/>
      </c>
      <c r="Z346" s="37" t="str">
        <f>IFERROR(__xludf.DUMMYFUNCTION("IFERROR(VLOOKUP(G346,IMPORTRANGE(""https://docs.google.com/spreadsheets/d/12RxCea4e5ggM7QGn1XE3FbLQa_-QbCNdBi90OdPjRqg"", ""'Plan de Compras'!D4:Q""), 12, 0), ""NO ESTÁ EN REQ"")"),"NO ESTÁ EN REQ")</f>
        <v>NO ESTÁ EN REQ</v>
      </c>
      <c r="AA346" s="37" t="str">
        <f>IFERROR(__xludf.DUMMYFUNCTION("IFERROR(VLOOKUP(G346,IMPORTRANGE(""https://docs.google.com/spreadsheets/d/12RxCea4e5ggM7QGn1XE3FbLQa_-QbCNdBi90OdPjRqg"", ""'Plan de Compras'!D4:Q""), 13, 0), """")"),"")</f>
        <v/>
      </c>
      <c r="AB346" s="32" t="str">
        <f>IFERROR(__xludf.DUMMYFUNCTION("IFERROR(VLOOKUP(G346,IMPORTRANGE(""https://docs.google.com/spreadsheets/d/12RxCea4e5ggM7QGn1XE3FbLQa_-QbCNdBi90OdPjRqg"", ""'Plan de Compras'!D4:Q""), 14, 0), """")"),"")</f>
        <v/>
      </c>
      <c r="AC346" s="72" t="str">
        <f>IFERROR(__xludf.DUMMYFUNCTION("IFERROR(VLOOKUP(G346,IMPORTRANGE(""https://docs.google.com/spreadsheets/d/12RxCea4e5ggM7QGn1XE3FbLQa_-QbCNdBi90OdPjRqg"", ""'Plan de Compras'!D4:Q""), 4, 0), """")"),"")</f>
        <v/>
      </c>
      <c r="AD346" s="37" t="str">
        <f>IFERROR(__xludf.DUMMYFUNCTION("IFERROR(IF(OR(C346=TRUE,C346=""""),VLOOKUP(G346,IMPORTRANGE(""https://docs.google.com/spreadsheets/d/1z9A1Wq-kKrhRNG5RS2a2fKpY1wIhSVz2ZNmP2mOl588/edit?usp=sharing"",""REQ VF!E4:H""),4,0),""NO APLICA""),""GENERAR REQ"")"),"GENERAR REQ")</f>
        <v>GENERAR REQ</v>
      </c>
      <c r="AE346" s="32" t="str">
        <f>IFERROR(__xludf.DUMMYFUNCTION("IFERROR(QUERY(IMPORTRANGE(""https://docs.google.com/spreadsheets/d/1z9A1Wq-kKrhRNG5RS2a2fKpY1wIhSVz2ZNmP2mOl588/edit?usp=sharing"",""REQ VF!E4:Q""),""SELECT Col10, Col11, Col12 WHERE Col1 = '""&amp;G346&amp;""'"",0),""NO APLICA"")"),"NO APLICA")</f>
        <v>NO APLICA</v>
      </c>
      <c r="AF346" s="32"/>
      <c r="AG346" s="32"/>
      <c r="AH346" s="13"/>
      <c r="AI346" s="13"/>
    </row>
    <row r="347">
      <c r="A347" s="121">
        <v>222.0</v>
      </c>
      <c r="B347" s="43" t="b">
        <v>1</v>
      </c>
      <c r="C347" s="26" t="b">
        <v>1</v>
      </c>
      <c r="D347" s="26" t="s">
        <v>35</v>
      </c>
      <c r="E347" s="26" t="s">
        <v>1510</v>
      </c>
      <c r="F347" s="59" t="s">
        <v>2757</v>
      </c>
      <c r="G347" s="37" t="s">
        <v>2757</v>
      </c>
      <c r="H347" s="82" t="s">
        <v>2758</v>
      </c>
      <c r="I347" s="43">
        <f>SUMIFS('Hoja 10'!$O:$O,'Hoja 10'!$F:$F,$G347)</f>
        <v>12</v>
      </c>
      <c r="J347" s="26">
        <f>IFERROR(__xludf.DUMMYFUNCTION("VLOOKUP(G347,IMPORTRANGE(""https://docs.google.com/spreadsheets/d/12RxCea4e5ggM7QGn1XE3FbLQa_-QbCNdBi90OdPjRqg/edit?gid=1692403370#gid=1692403370"", ""'Plan de Compras'!D4:2432""), 8,0)"),12.0)</f>
        <v>12</v>
      </c>
      <c r="K347" s="26" t="str">
        <f t="shared" si="31"/>
        <v>SI</v>
      </c>
      <c r="L347" s="29" t="s">
        <v>127</v>
      </c>
      <c r="M347" s="30" t="s">
        <v>105</v>
      </c>
      <c r="N347" s="32"/>
      <c r="O347" s="32" t="str">
        <f>VLOOKUP($G347,'Hoja 10'!$F$4:$AA1057, 19,0)</f>
        <v>ETNA</v>
      </c>
      <c r="P347" s="32" t="str">
        <f>VLOOKUP($G347,'Hoja 10'!$F$4:$AA1057, 20,0)</f>
        <v>S-1215EM</v>
      </c>
      <c r="Q347" s="33" t="str">
        <f>VLOOKUP($G347,'Hoja 10'!$F$4:$AA1057, 21,0)</f>
        <v>https://sodimac.falabella.com.pe/sodimac-pe/product/113316296/Bateria-para-Auto-Etna-15-Placas-90Ah-S-1215EM-PL/113316299</v>
      </c>
      <c r="R347" s="86" t="s">
        <v>2759</v>
      </c>
      <c r="S347" s="34" t="b">
        <v>1</v>
      </c>
      <c r="T347" s="39" t="s">
        <v>2760</v>
      </c>
      <c r="U347" s="39" t="s">
        <v>2761</v>
      </c>
      <c r="V347" s="39" t="str">
        <f>IFERROR(__xludf.DUMMYFUNCTION(" IF
( VLOOKUP($G347,IMPORTRANGE(""https://docs.google.com/spreadsheets/d/1Gpl6jkTg7sL4VDNimUm3S9Vi1i95esohXCF3wuKOE8c"", ""'CONSOLIDADO'!G5:AB""), 10, 0) &lt;&gt; 0, 
IFERROR(VLOOKUP($G347,IMPORTRANGE(""https://docs.google.com/spreadsheets/d/1Gpl6jkTg7sL4VDNimU"&amp;"m3S9Vi1i95esohXCF3wuKOE8c"", ""'CONSOLIDADO'!G5:AB""), 17, 0), ""-""),
""""
)"),"ETNA")</f>
        <v>ETNA</v>
      </c>
      <c r="W347" s="39" t="str">
        <f>IFERROR(__xludf.DUMMYFUNCTION(" IF
( VLOOKUP($G347,IMPORTRANGE(""https://docs.google.com/spreadsheets/d/1Gpl6jkTg7sL4VDNimUm3S9Vi1i95esohXCF3wuKOE8c"", ""'CONSOLIDADO'!G5:AB""), 10, 0) &lt;&gt; 0, 
IFERROR(VLOOKUP($G347,IMPORTRANGE(""https://docs.google.com/spreadsheets/d/1Gpl6jkTg7sL4VDNimU"&amp;"m3S9Vi1i95esohXCF3wuKOE8c"", ""'CONSOLIDADO'!G5:AB""), 18, 0), ""-""),
""""
)"),"BAT.S-1215EM PL GL3B A1 12VC 90AH NOR")</f>
        <v>BAT.S-1215EM PL GL3B A1 12VC 90AH NOR</v>
      </c>
      <c r="X347" s="39" t="b">
        <f t="shared" si="39"/>
        <v>1</v>
      </c>
      <c r="Y347" s="129" t="s">
        <v>2762</v>
      </c>
      <c r="Z347" s="37" t="str">
        <f>IFERROR(__xludf.DUMMYFUNCTION("IFERROR(VLOOKUP(G347,IMPORTRANGE(""https://docs.google.com/spreadsheets/d/12RxCea4e5ggM7QGn1XE3FbLQa_-QbCNdBi90OdPjRqg"", ""'Plan de Compras'!D4:Q""), 12, 0), ""NO ESTÁ EN REQ"")"),"Simple")</f>
        <v>Simple</v>
      </c>
      <c r="AA347" s="37" t="str">
        <f>IFERROR(__xludf.DUMMYFUNCTION("IFERROR(VLOOKUP(G347,IMPORTRANGE(""https://docs.google.com/spreadsheets/d/12RxCea4e5ggM7QGn1XE3FbLQa_-QbCNdBi90OdPjRqg"", ""'Plan de Compras'!D4:Q""), 13, 0), """")"),"NACIONAL")</f>
        <v>NACIONAL</v>
      </c>
      <c r="AB347" s="32" t="str">
        <f>IFERROR(__xludf.DUMMYFUNCTION("IFERROR(VLOOKUP(G347,IMPORTRANGE(""https://docs.google.com/spreadsheets/d/12RxCea4e5ggM7QGn1XE3FbLQa_-QbCNdBi90OdPjRqg"", ""'Plan de Compras'!D4:Q""), 14, 0), """")"),"ALFIO")</f>
        <v>ALFIO</v>
      </c>
      <c r="AC347" s="72" t="str">
        <f>IFERROR(__xludf.DUMMYFUNCTION("IFERROR(VLOOKUP(G347,IMPORTRANGE(""https://docs.google.com/spreadsheets/d/12RxCea4e5ggM7QGn1XE3FbLQa_-QbCNdBi90OdPjRqg"", ""'Plan de Compras'!D4:Q""), 4, 0), """")"),"BATERÍA")</f>
        <v>BATERÍA</v>
      </c>
      <c r="AD347" s="37" t="str">
        <f>IFERROR(__xludf.DUMMYFUNCTION("IFERROR(IF(OR(C347=TRUE,C347=""""),VLOOKUP(G347,IMPORTRANGE(""https://docs.google.com/spreadsheets/d/1z9A1Wq-kKrhRNG5RS2a2fKpY1wIhSVz2ZNmP2mOl588/edit?usp=sharing"",""REQ VF!E4:H""),4,0),""NO APLICA""),""GENERAR REQ"")"),"GENERAR REQ")</f>
        <v>GENERAR REQ</v>
      </c>
      <c r="AE347" s="32" t="str">
        <f>IFERROR(__xludf.DUMMYFUNCTION("IFERROR(QUERY(IMPORTRANGE(""https://docs.google.com/spreadsheets/d/1z9A1Wq-kKrhRNG5RS2a2fKpY1wIhSVz2ZNmP2mOl588/edit?usp=sharing"",""REQ VF!E4:Q""),""SELECT Col10, Col11, Col12 WHERE Col1 = '""&amp;G347&amp;""'"",0),""NO APLICA"")"),"NO APLICA")</f>
        <v>NO APLICA</v>
      </c>
      <c r="AF347" s="32"/>
      <c r="AG347" s="32"/>
      <c r="AH347" s="13"/>
      <c r="AI347" s="13"/>
    </row>
    <row r="348">
      <c r="A348" s="121">
        <v>223.0</v>
      </c>
      <c r="B348" s="43" t="b">
        <v>1</v>
      </c>
      <c r="C348" s="26" t="b">
        <v>1</v>
      </c>
      <c r="D348" s="26" t="s">
        <v>35</v>
      </c>
      <c r="E348" s="26" t="s">
        <v>1510</v>
      </c>
      <c r="F348" s="59" t="s">
        <v>2763</v>
      </c>
      <c r="G348" s="37" t="s">
        <v>2763</v>
      </c>
      <c r="H348" s="82" t="s">
        <v>2764</v>
      </c>
      <c r="I348" s="43">
        <f>SUMIFS('Hoja 10'!$O:$O,'Hoja 10'!$F:$F,$G348)</f>
        <v>20</v>
      </c>
      <c r="J348" s="26">
        <f>IFERROR(__xludf.DUMMYFUNCTION("VLOOKUP(G348,IMPORTRANGE(""https://docs.google.com/spreadsheets/d/12RxCea4e5ggM7QGn1XE3FbLQa_-QbCNdBi90OdPjRqg/edit?gid=1692403370#gid=1692403370"", ""'Plan de Compras'!D4:2432""), 8,0)"),20.0)</f>
        <v>20</v>
      </c>
      <c r="K348" s="26" t="str">
        <f t="shared" si="31"/>
        <v>SI</v>
      </c>
      <c r="L348" s="29" t="s">
        <v>39</v>
      </c>
      <c r="M348" s="30" t="s">
        <v>40</v>
      </c>
      <c r="N348" s="32"/>
      <c r="O348" s="32" t="str">
        <f>VLOOKUP($G348,'Hoja 10'!$F$4:$AA1057, 19,0)</f>
        <v>TRAMONTINA</v>
      </c>
      <c r="P348" s="32" t="str">
        <f>VLOOKUP($G348,'Hoja 10'!$F$4:$AA1057, 20,0)</f>
        <v>TRAMONTINA</v>
      </c>
      <c r="Q348" s="33" t="str">
        <f>VLOOKUP($G348,'Hoja 10'!$F$4:$AA1057, 21,0)</f>
        <v>https://www.tramontina.com.pe/batidor-manual-marffim-de-acero-inoxidable-de-32-cm-tramontina_63809530/p?srsltid=AfmBOopiEUk53igz7csaroqjgk56ok_LCmBxtb8uhT_5XP-GcBF1Wq67</v>
      </c>
      <c r="R348" s="86" t="s">
        <v>2765</v>
      </c>
      <c r="S348" s="44" t="b">
        <v>1</v>
      </c>
      <c r="T348" s="39" t="s">
        <v>2766</v>
      </c>
      <c r="U348" s="39">
        <v>6.380953E7</v>
      </c>
      <c r="V348" s="39" t="str">
        <f>IFERROR(__xludf.DUMMYFUNCTION(" IF
( VLOOKUP($G348,IMPORTRANGE(""https://docs.google.com/spreadsheets/d/1Gpl6jkTg7sL4VDNimUm3S9Vi1i95esohXCF3wuKOE8c"", ""'CONSOLIDADO'!G5:AB""), 10, 0) &lt;&gt; 0, 
IFERROR(VLOOKUP($G348,IMPORTRANGE(""https://docs.google.com/spreadsheets/d/1Gpl6jkTg7sL4VDNimU"&amp;"m3S9Vi1i95esohXCF3wuKOE8c"", ""'CONSOLIDADO'!G5:AB""), 17, 0), ""-""),
""""
)"),"TRAMONTINA")</f>
        <v>TRAMONTINA</v>
      </c>
      <c r="W348" s="39">
        <f>IFERROR(__xludf.DUMMYFUNCTION(" IF
( VLOOKUP($G348,IMPORTRANGE(""https://docs.google.com/spreadsheets/d/1Gpl6jkTg7sL4VDNimUm3S9Vi1i95esohXCF3wuKOE8c"", ""'CONSOLIDADO'!G5:AB""), 10, 0) &lt;&gt; 0, 
IFERROR(VLOOKUP($G348,IMPORTRANGE(""https://docs.google.com/spreadsheets/d/1Gpl6jkTg7sL4VDNimU"&amp;"m3S9Vi1i95esohXCF3wuKOE8c"", ""'CONSOLIDADO'!G5:AB""), 18, 0), ""-""),
""""
)"),6.380953E7)</f>
        <v>63809530</v>
      </c>
      <c r="X348" s="39" t="b">
        <f t="shared" si="39"/>
        <v>1</v>
      </c>
      <c r="Y348" s="120" t="s">
        <v>2767</v>
      </c>
      <c r="Z348" s="37" t="str">
        <f>IFERROR(__xludf.DUMMYFUNCTION("IFERROR(VLOOKUP(G348,IMPORTRANGE(""https://docs.google.com/spreadsheets/d/12RxCea4e5ggM7QGn1XE3FbLQa_-QbCNdBi90OdPjRqg"", ""'Plan de Compras'!D4:Q""), 12, 0), ""NO ESTÁ EN REQ"")"),"Simple")</f>
        <v>Simple</v>
      </c>
      <c r="AA348" s="37" t="str">
        <f>IFERROR(__xludf.DUMMYFUNCTION("IFERROR(VLOOKUP(G348,IMPORTRANGE(""https://docs.google.com/spreadsheets/d/12RxCea4e5ggM7QGn1XE3FbLQa_-QbCNdBi90OdPjRqg"", ""'Plan de Compras'!D4:Q""), 13, 0), """")"),"NACIONAL")</f>
        <v>NACIONAL</v>
      </c>
      <c r="AB348" s="32" t="str">
        <f>IFERROR(__xludf.DUMMYFUNCTION("IFERROR(VLOOKUP(G348,IMPORTRANGE(""https://docs.google.com/spreadsheets/d/12RxCea4e5ggM7QGn1XE3FbLQa_-QbCNdBi90OdPjRqg"", ""'Plan de Compras'!D4:Q""), 14, 0), """")"),"JESSICA")</f>
        <v>JESSICA</v>
      </c>
      <c r="AC348" s="72" t="str">
        <f>IFERROR(__xludf.DUMMYFUNCTION("IFERROR(VLOOKUP(G348,IMPORTRANGE(""https://docs.google.com/spreadsheets/d/12RxCea4e5ggM7QGn1XE3FbLQa_-QbCNdBi90OdPjRqg"", ""'Plan de Compras'!D4:Q""), 4, 0), """")"),"BATIDOR MANUAL")</f>
        <v>BATIDOR MANUAL</v>
      </c>
      <c r="AD348" s="37" t="str">
        <f>IFERROR(__xludf.DUMMYFUNCTION("IFERROR(IF(OR(C348=TRUE,C348=""""),VLOOKUP(G348,IMPORTRANGE(""https://docs.google.com/spreadsheets/d/1z9A1Wq-kKrhRNG5RS2a2fKpY1wIhSVz2ZNmP2mOl588/edit?usp=sharing"",""REQ VF!E4:H""),4,0),""NO APLICA""),""GENERAR REQ"")"),"GENERAR REQ")</f>
        <v>GENERAR REQ</v>
      </c>
      <c r="AE348" s="32" t="str">
        <f>IFERROR(__xludf.DUMMYFUNCTION("IFERROR(QUERY(IMPORTRANGE(""https://docs.google.com/spreadsheets/d/1z9A1Wq-kKrhRNG5RS2a2fKpY1wIhSVz2ZNmP2mOl588/edit?usp=sharing"",""REQ VF!E4:Q""),""SELECT Col10, Col11, Col12 WHERE Col1 = '""&amp;G348&amp;""'"",0),""NO APLICA"")"),"NO APLICA")</f>
        <v>NO APLICA</v>
      </c>
      <c r="AF348" s="32"/>
      <c r="AG348" s="32"/>
      <c r="AH348" s="8" t="s">
        <v>52</v>
      </c>
      <c r="AI348" s="13"/>
    </row>
    <row r="349">
      <c r="A349" s="121">
        <v>224.0</v>
      </c>
      <c r="B349" s="43" t="b">
        <v>1</v>
      </c>
      <c r="C349" s="26" t="b">
        <v>1</v>
      </c>
      <c r="D349" s="26" t="s">
        <v>35</v>
      </c>
      <c r="E349" s="26" t="s">
        <v>1510</v>
      </c>
      <c r="F349" s="59" t="s">
        <v>2768</v>
      </c>
      <c r="G349" s="37" t="s">
        <v>2768</v>
      </c>
      <c r="H349" s="82" t="s">
        <v>2769</v>
      </c>
      <c r="I349" s="43">
        <f>SUMIFS('Hoja 10'!$O:$O,'Hoja 10'!$F:$F,$G349)</f>
        <v>80</v>
      </c>
      <c r="J349" s="26">
        <f>IFERROR(__xludf.DUMMYFUNCTION("VLOOKUP(G349,IMPORTRANGE(""https://docs.google.com/spreadsheets/d/12RxCea4e5ggM7QGn1XE3FbLQa_-QbCNdBi90OdPjRqg/edit?gid=1692403370#gid=1692403370"", ""'Plan de Compras'!D4:2432""), 8,0)"),80.0)</f>
        <v>80</v>
      </c>
      <c r="K349" s="26" t="str">
        <f t="shared" si="31"/>
        <v>SI</v>
      </c>
      <c r="L349" s="29" t="s">
        <v>39</v>
      </c>
      <c r="M349" s="30" t="s">
        <v>40</v>
      </c>
      <c r="N349" s="32"/>
      <c r="O349" s="32" t="str">
        <f>VLOOKUP($G349,'Hoja 10'!$F$4:$AA1057, 19,0)</f>
        <v>SEGUSA</v>
      </c>
      <c r="P349" s="32" t="str">
        <f>VLOOKUP($G349,'Hoja 10'!$F$4:$AA1057, 20,0)</f>
        <v>SEGUSA</v>
      </c>
      <c r="Q349" s="33" t="str">
        <f>VLOOKUP($G349,'Hoja 10'!$F$4:$AA1057, 21,0)</f>
        <v>https://grupocasalima.com/producto/bota-de-pvc-blanco-c-punta-segusa/</v>
      </c>
      <c r="R349" s="86" t="s">
        <v>2770</v>
      </c>
      <c r="S349" s="44" t="b">
        <v>1</v>
      </c>
      <c r="T349" s="39" t="s">
        <v>2771</v>
      </c>
      <c r="U349" s="124" t="s">
        <v>2772</v>
      </c>
      <c r="V349" s="39" t="str">
        <f>IFERROR(__xludf.DUMMYFUNCTION(" IF
( VLOOKUP($G349,IMPORTRANGE(""https://docs.google.com/spreadsheets/d/1Gpl6jkTg7sL4VDNimUm3S9Vi1i95esohXCF3wuKOE8c"", ""'CONSOLIDADO'!G5:AB""), 10, 0) &lt;&gt; 0, 
IFERROR(VLOOKUP($G349,IMPORTRANGE(""https://docs.google.com/spreadsheets/d/1Gpl6jkTg7sL4VDNimU"&amp;"m3S9Vi1i95esohXCF3wuKOE8c"", ""'CONSOLIDADO'!G5:AB""), 17, 0), ""-""),
""""
)"),"SEGUSA")</f>
        <v>SEGUSA</v>
      </c>
      <c r="W349" s="39" t="str">
        <f>IFERROR(__xludf.DUMMYFUNCTION(" IF
( VLOOKUP($G349,IMPORTRANGE(""https://docs.google.com/spreadsheets/d/1Gpl6jkTg7sL4VDNimUm3S9Vi1i95esohXCF3wuKOE8c"", ""'CONSOLIDADO'!G5:AB""), 10, 0) &lt;&gt; 0, 
IFERROR(VLOOKUP($G349,IMPORTRANGE(""https://docs.google.com/spreadsheets/d/1Gpl6jkTg7sL4VDNimU"&amp;"m3S9Vi1i95esohXCF3wuKOE8c"", ""'CONSOLIDADO'!G5:AB""), 18, 0), ""-""),
""""
)"),"Punta de Acero Blanca")</f>
        <v>Punta de Acero Blanca</v>
      </c>
      <c r="X349" s="39" t="b">
        <f t="shared" si="39"/>
        <v>1</v>
      </c>
      <c r="Y349" s="129" t="s">
        <v>2296</v>
      </c>
      <c r="Z349" s="37" t="str">
        <f>IFERROR(__xludf.DUMMYFUNCTION("IFERROR(VLOOKUP(G349,IMPORTRANGE(""https://docs.google.com/spreadsheets/d/12RxCea4e5ggM7QGn1XE3FbLQa_-QbCNdBi90OdPjRqg"", ""'Plan de Compras'!D4:Q""), 12, 0), ""NO ESTÁ EN REQ"")"),"Simple")</f>
        <v>Simple</v>
      </c>
      <c r="AA349" s="37" t="str">
        <f>IFERROR(__xludf.DUMMYFUNCTION("IFERROR(VLOOKUP(G349,IMPORTRANGE(""https://docs.google.com/spreadsheets/d/12RxCea4e5ggM7QGn1XE3FbLQa_-QbCNdBi90OdPjRqg"", ""'Plan de Compras'!D4:Q""), 13, 0), """")"),"NACIONAL")</f>
        <v>NACIONAL</v>
      </c>
      <c r="AB349" s="32" t="str">
        <f>IFERROR(__xludf.DUMMYFUNCTION("IFERROR(VLOOKUP(G349,IMPORTRANGE(""https://docs.google.com/spreadsheets/d/12RxCea4e5ggM7QGn1XE3FbLQa_-QbCNdBi90OdPjRqg"", ""'Plan de Compras'!D4:Q""), 14, 0), """")"),"DIANA")</f>
        <v>DIANA</v>
      </c>
      <c r="AC349" s="72" t="str">
        <f>IFERROR(__xludf.DUMMYFUNCTION("IFERROR(VLOOKUP(G349,IMPORTRANGE(""https://docs.google.com/spreadsheets/d/12RxCea4e5ggM7QGn1XE3FbLQa_-QbCNdBi90OdPjRqg"", ""'Plan de Compras'!D4:Q""), 4, 0), """")"),"PAR DE BOTAS DE JEBE")</f>
        <v>PAR DE BOTAS DE JEBE</v>
      </c>
      <c r="AD349" s="37" t="str">
        <f>IFERROR(__xludf.DUMMYFUNCTION("IFERROR(IF(OR(C349=TRUE,C349=""""),VLOOKUP(G349,IMPORTRANGE(""https://docs.google.com/spreadsheets/d/1z9A1Wq-kKrhRNG5RS2a2fKpY1wIhSVz2ZNmP2mOl588/edit?usp=sharing"",""REQ VF!E4:H""),4,0),""NO APLICA""),""GENERAR REQ"")"),"GENERAR REQ")</f>
        <v>GENERAR REQ</v>
      </c>
      <c r="AE349" s="32" t="str">
        <f>IFERROR(__xludf.DUMMYFUNCTION("IFERROR(QUERY(IMPORTRANGE(""https://docs.google.com/spreadsheets/d/1z9A1Wq-kKrhRNG5RS2a2fKpY1wIhSVz2ZNmP2mOl588/edit?usp=sharing"",""REQ VF!E4:Q""),""SELECT Col10, Col11, Col12 WHERE Col1 = '""&amp;G349&amp;""'"",0),""NO APLICA"")"),"NO APLICA")</f>
        <v>NO APLICA</v>
      </c>
      <c r="AF349" s="32"/>
      <c r="AG349" s="32"/>
      <c r="AH349" s="8" t="s">
        <v>52</v>
      </c>
      <c r="AI349" s="8"/>
    </row>
    <row r="350">
      <c r="A350" s="117">
        <v>225.0</v>
      </c>
      <c r="B350" s="43" t="b">
        <v>1</v>
      </c>
      <c r="C350" s="26" t="b">
        <v>1</v>
      </c>
      <c r="D350" s="26" t="s">
        <v>35</v>
      </c>
      <c r="E350" s="26" t="s">
        <v>1510</v>
      </c>
      <c r="F350" s="59" t="s">
        <v>2773</v>
      </c>
      <c r="G350" s="37" t="s">
        <v>2774</v>
      </c>
      <c r="H350" s="66" t="s">
        <v>2775</v>
      </c>
      <c r="I350" s="43">
        <v>23.0</v>
      </c>
      <c r="J350" s="26">
        <f>IFERROR(__xludf.DUMMYFUNCTION("VLOOKUP(G350,IMPORTRANGE(""https://docs.google.com/spreadsheets/d/12RxCea4e5ggM7QGn1XE3FbLQa_-QbCNdBi90OdPjRqg/edit?gid=1692403370#gid=1692403370"", ""'Plan de Compras'!D4:2432""), 8,0)"),23.0)</f>
        <v>23</v>
      </c>
      <c r="K350" s="26" t="str">
        <f t="shared" si="31"/>
        <v>SI</v>
      </c>
      <c r="L350" s="29" t="s">
        <v>2776</v>
      </c>
      <c r="M350" s="30" t="s">
        <v>78</v>
      </c>
      <c r="N350" s="32"/>
      <c r="O350" s="32"/>
      <c r="P350" s="32"/>
      <c r="Q350" s="41"/>
      <c r="R350" s="30" t="s">
        <v>2777</v>
      </c>
      <c r="S350" s="44" t="b">
        <v>1</v>
      </c>
      <c r="T350" s="39" t="str">
        <f>IFERROR(__xludf.DUMMYFUNCTION(" IF
( VLOOKUP($G350,IMPORTRANGE(""https://docs.google.com/spreadsheets/d/1Gpl6jkTg7sL4VDNimUm3S9Vi1i95esohXCF3wuKOE8c"", ""'CONSOLIDADO'!G5:AB""), 10, 0) &lt;&gt; 0, 
IFERROR(VLOOKUP($G350,IMPORTRANGE(""https://docs.google.com/spreadsheets/d/1Gpl6jkTg7sL4VDNimU"&amp;"m3S9Vi1i95esohXCF3wuKOE8c"", ""'CONSOLIDADO'!G5:AB""), 17, 0), ""-""),
""""
)"),"HUGO")</f>
        <v>HUGO</v>
      </c>
      <c r="U350" s="39" t="str">
        <f>IFERROR(__xludf.DUMMYFUNCTION(" IF
( VLOOKUP($G350,IMPORTRANGE(""https://docs.google.com/spreadsheets/d/1Gpl6jkTg7sL4VDNimUm3S9Vi1i95esohXCF3wuKOE8c"", ""'CONSOLIDADO'!G5:AB""), 10, 0) &lt;&gt; 0, 
IFERROR(VLOOKUP($G350,IMPORTRANGE(""https://docs.google.com/spreadsheets/d/1Gpl6jkTg7sL4VDNimU"&amp;"m3S9Vi1i95esohXCF3wuKOE8c"", ""'CONSOLIDADO'!G5:AB""), 18, 0), ""-""),
""""
)"),"A MEDIDA 1")</f>
        <v>A MEDIDA 1</v>
      </c>
      <c r="V350" s="39" t="str">
        <f>IFERROR(__xludf.DUMMYFUNCTION(" IF
( VLOOKUP($G350,IMPORTRANGE(""https://docs.google.com/spreadsheets/d/1Gpl6jkTg7sL4VDNimUm3S9Vi1i95esohXCF3wuKOE8c"", ""'CONSOLIDADO'!G5:AB""), 10, 0) &lt;&gt; 0, 
IFERROR(VLOOKUP($G350,IMPORTRANGE(""https://docs.google.com/spreadsheets/d/1Gpl6jkTg7sL4VDNimU"&amp;"m3S9Vi1i95esohXCF3wuKOE8c"", ""'CONSOLIDADO'!G5:AB""), 17, 0), ""-""),
""""
)"),"HUGO")</f>
        <v>HUGO</v>
      </c>
      <c r="W350" s="39" t="str">
        <f>IFERROR(__xludf.DUMMYFUNCTION(" IF
( VLOOKUP($G350,IMPORTRANGE(""https://docs.google.com/spreadsheets/d/1Gpl6jkTg7sL4VDNimUm3S9Vi1i95esohXCF3wuKOE8c"", ""'CONSOLIDADO'!G5:AB""), 10, 0) &lt;&gt; 0, 
IFERROR(VLOOKUP($G350,IMPORTRANGE(""https://docs.google.com/spreadsheets/d/1Gpl6jkTg7sL4VDNimU"&amp;"m3S9Vi1i95esohXCF3wuKOE8c"", ""'CONSOLIDADO'!G5:AB""), 18, 0), ""-""),
""""
)"),"A MEDIDA 1")</f>
        <v>A MEDIDA 1</v>
      </c>
      <c r="X350" s="39" t="b">
        <f t="shared" si="39"/>
        <v>1</v>
      </c>
      <c r="Y350" s="110" t="str">
        <f>IFERROR(__xludf.DUMMYFUNCTION(" IF
( VLOOKUP($G350,IMPORTRANGE(""https://docs.google.com/spreadsheets/d/1Gpl6jkTg7sL4VDNimUm3S9Vi1i95esohXCF3wuKOE8c"", ""'CONSOLIDADO'!G5:AB""), 10, 0) &lt;&gt; 0, 
IFERROR(VLOOKUP($G350,IMPORTRANGE(""https://docs.google.com/spreadsheets/d/1Gpl6jkTg7sL4VDNimU"&amp;"m3S9Vi1i95esohXCF3wuKOE8c"", ""'CONSOLIDADO'!G5:AB""), 19, 0), ""-""),
""""
)"),"VARIOS")</f>
        <v>VARIOS</v>
      </c>
      <c r="Z350" s="37" t="str">
        <f>IFERROR(__xludf.DUMMYFUNCTION("IFERROR(VLOOKUP(G350,IMPORTRANGE(""https://docs.google.com/spreadsheets/d/12RxCea4e5ggM7QGn1XE3FbLQa_-QbCNdBi90OdPjRqg"", ""'Plan de Compras'!D4:Q""), 12, 0), ""NO ESTÁ EN REQ"")"),"Técnica")</f>
        <v>Técnica</v>
      </c>
      <c r="AA350" s="37" t="str">
        <f>IFERROR(__xludf.DUMMYFUNCTION("IFERROR(VLOOKUP(G350,IMPORTRANGE(""https://docs.google.com/spreadsheets/d/12RxCea4e5ggM7QGn1XE3FbLQa_-QbCNdBi90OdPjRqg"", ""'Plan de Compras'!D4:Q""), 13, 0), """")"),"NACIONAL")</f>
        <v>NACIONAL</v>
      </c>
      <c r="AB350" s="32" t="str">
        <f>IFERROR(__xludf.DUMMYFUNCTION("IFERROR(VLOOKUP(G350,IMPORTRANGE(""https://docs.google.com/spreadsheets/d/12RxCea4e5ggM7QGn1XE3FbLQa_-QbCNdBi90OdPjRqg"", ""'Plan de Compras'!D4:Q""), 14, 0), """")"),"ANGIE")</f>
        <v>ANGIE</v>
      </c>
      <c r="AC350" s="72" t="str">
        <f>IFERROR(__xludf.DUMMYFUNCTION("IFERROR(VLOOKUP(G350,IMPORTRANGE(""https://docs.google.com/spreadsheets/d/12RxCea4e5ggM7QGn1XE3FbLQa_-QbCNdBi90OdPjRqg"", ""'Plan de Compras'!D4:Q""), 4, 0), """")"),"BOTIQUIN 30 X 25 X 10 CM")</f>
        <v>BOTIQUIN 30 X 25 X 10 CM</v>
      </c>
      <c r="AD350" s="37" t="str">
        <f>IFERROR(__xludf.DUMMYFUNCTION("IFERROR(IF(OR(C350=TRUE,C350=""""),VLOOKUP(G350,IMPORTRANGE(""https://docs.google.com/spreadsheets/d/1z9A1Wq-kKrhRNG5RS2a2fKpY1wIhSVz2ZNmP2mOl588/edit?usp=sharing"",""REQ VF!E4:H""),4,0),""NO APLICA""),""GENERAR REQ"")"),"GENERAR REQ")</f>
        <v>GENERAR REQ</v>
      </c>
      <c r="AE350" s="32" t="str">
        <f>IFERROR(__xludf.DUMMYFUNCTION("IFERROR(QUERY(IMPORTRANGE(""https://docs.google.com/spreadsheets/d/1z9A1Wq-kKrhRNG5RS2a2fKpY1wIhSVz2ZNmP2mOl588/edit?usp=sharing"",""REQ VF!E4:Q""),""SELECT Col10, Col11, Col12 WHERE Col1 = '""&amp;G350&amp;""'"",0),""NO APLICA"")"),"NO APLICA")</f>
        <v>NO APLICA</v>
      </c>
      <c r="AF350" s="32"/>
      <c r="AG350" s="32"/>
      <c r="AH350" s="8" t="s">
        <v>52</v>
      </c>
      <c r="AI350" s="13"/>
    </row>
    <row r="351">
      <c r="A351" s="43"/>
      <c r="B351" s="43"/>
      <c r="C351" s="26" t="b">
        <v>1</v>
      </c>
      <c r="D351" s="26" t="s">
        <v>42</v>
      </c>
      <c r="E351" s="26" t="s">
        <v>1510</v>
      </c>
      <c r="F351" s="59" t="s">
        <v>2773</v>
      </c>
      <c r="G351" s="37" t="s">
        <v>2778</v>
      </c>
      <c r="H351" s="66" t="s">
        <v>2779</v>
      </c>
      <c r="I351" s="43">
        <v>23.0</v>
      </c>
      <c r="J351" s="26">
        <f>IFERROR(__xludf.DUMMYFUNCTION("VLOOKUP(G351,IMPORTRANGE(""https://docs.google.com/spreadsheets/d/12RxCea4e5ggM7QGn1XE3FbLQa_-QbCNdBi90OdPjRqg/edit?gid=1692403370#gid=1692403370"", ""'Plan de Compras'!D4:2432""), 8,0)"),23.0)</f>
        <v>23</v>
      </c>
      <c r="K351" s="26" t="str">
        <f t="shared" si="31"/>
        <v>SI</v>
      </c>
      <c r="L351" s="26"/>
      <c r="M351" s="32"/>
      <c r="N351" s="32"/>
      <c r="O351" s="32"/>
      <c r="P351" s="32"/>
      <c r="Q351" s="41"/>
      <c r="R351" s="32"/>
      <c r="S351" s="44" t="b">
        <v>1</v>
      </c>
      <c r="T351" s="39" t="s">
        <v>47</v>
      </c>
      <c r="U351" s="39" t="s">
        <v>2779</v>
      </c>
      <c r="V351" s="39"/>
      <c r="W351" s="39"/>
      <c r="X351" s="39"/>
      <c r="Y351" s="124"/>
      <c r="Z351" s="37" t="str">
        <f>IFERROR(__xludf.DUMMYFUNCTION("IFERROR(VLOOKUP(G351,IMPORTRANGE(""https://docs.google.com/spreadsheets/d/12RxCea4e5ggM7QGn1XE3FbLQa_-QbCNdBi90OdPjRqg"", ""'Plan de Compras'!D4:Q""), 12, 0), ""NO ESTÁ EN REQ"")"),"Técnica")</f>
        <v>Técnica</v>
      </c>
      <c r="AA351" s="37" t="str">
        <f>IFERROR(__xludf.DUMMYFUNCTION("IFERROR(VLOOKUP(G351,IMPORTRANGE(""https://docs.google.com/spreadsheets/d/12RxCea4e5ggM7QGn1XE3FbLQa_-QbCNdBi90OdPjRqg"", ""'Plan de Compras'!D4:Q""), 13, 0), """")"),"NACIONAL")</f>
        <v>NACIONAL</v>
      </c>
      <c r="AB351" s="32" t="str">
        <f>IFERROR(__xludf.DUMMYFUNCTION("IFERROR(VLOOKUP(G351,IMPORTRANGE(""https://docs.google.com/spreadsheets/d/12RxCea4e5ggM7QGn1XE3FbLQa_-QbCNdBi90OdPjRqg"", ""'Plan de Compras'!D4:Q""), 14, 0), """")"),"ANGIE")</f>
        <v>ANGIE</v>
      </c>
      <c r="AC351" s="72" t="str">
        <f>IFERROR(__xludf.DUMMYFUNCTION("IFERROR(VLOOKUP(G351,IMPORTRANGE(""https://docs.google.com/spreadsheets/d/12RxCea4e5ggM7QGn1XE3FbLQa_-QbCNdBi90OdPjRqg"", ""'Plan de Compras'!D4:Q""), 4, 0), """")"),"CAJA 20 UNID. DE GASAS ESTERILIZADAS (10×10 cm) (1 UND)")</f>
        <v>CAJA 20 UNID. DE GASAS ESTERILIZADAS (10×10 cm) (1 UND)</v>
      </c>
      <c r="AD351" s="37" t="str">
        <f>IFERROR(__xludf.DUMMYFUNCTION("IFERROR(IF(OR(C351=TRUE,C351=""""),VLOOKUP(G351,IMPORTRANGE(""https://docs.google.com/spreadsheets/d/1z9A1Wq-kKrhRNG5RS2a2fKpY1wIhSVz2ZNmP2mOl588/edit?usp=sharing"",""REQ VF!E4:H""),4,0),""NO APLICA""),""GENERAR REQ"")"),"GENERAR REQ")</f>
        <v>GENERAR REQ</v>
      </c>
      <c r="AE351" s="32" t="str">
        <f>IFERROR(__xludf.DUMMYFUNCTION("IFERROR(QUERY(IMPORTRANGE(""https://docs.google.com/spreadsheets/d/1z9A1Wq-kKrhRNG5RS2a2fKpY1wIhSVz2ZNmP2mOl588/edit?usp=sharing"",""REQ VF!E4:Q""),""SELECT Col10, Col11, Col12 WHERE Col1 = '""&amp;G351&amp;""'"",0),""NO APLICA"")"),"NO APLICA")</f>
        <v>NO APLICA</v>
      </c>
      <c r="AF351" s="32"/>
      <c r="AG351" s="32"/>
      <c r="AH351" s="13"/>
      <c r="AI351" s="13"/>
    </row>
    <row r="352">
      <c r="A352" s="43"/>
      <c r="B352" s="43"/>
      <c r="C352" s="26" t="b">
        <v>1</v>
      </c>
      <c r="D352" s="26" t="s">
        <v>42</v>
      </c>
      <c r="E352" s="26" t="s">
        <v>1510</v>
      </c>
      <c r="F352" s="59" t="s">
        <v>2773</v>
      </c>
      <c r="G352" s="37" t="s">
        <v>2780</v>
      </c>
      <c r="H352" s="66" t="s">
        <v>2781</v>
      </c>
      <c r="I352" s="43">
        <v>23.0</v>
      </c>
      <c r="J352" s="26">
        <f>IFERROR(__xludf.DUMMYFUNCTION("VLOOKUP(G352,IMPORTRANGE(""https://docs.google.com/spreadsheets/d/12RxCea4e5ggM7QGn1XE3FbLQa_-QbCNdBi90OdPjRqg/edit?gid=1692403370#gid=1692403370"", ""'Plan de Compras'!D4:2432""), 8,0)"),23.0)</f>
        <v>23</v>
      </c>
      <c r="K352" s="26" t="str">
        <f t="shared" si="31"/>
        <v>SI</v>
      </c>
      <c r="L352" s="26"/>
      <c r="M352" s="32"/>
      <c r="N352" s="32"/>
      <c r="O352" s="32"/>
      <c r="P352" s="32"/>
      <c r="Q352" s="41"/>
      <c r="R352" s="32"/>
      <c r="S352" s="44" t="b">
        <v>1</v>
      </c>
      <c r="T352" s="39" t="s">
        <v>47</v>
      </c>
      <c r="U352" s="39" t="s">
        <v>2781</v>
      </c>
      <c r="V352" s="39"/>
      <c r="W352" s="39"/>
      <c r="X352" s="39"/>
      <c r="Y352" s="124"/>
      <c r="Z352" s="37" t="str">
        <f>IFERROR(__xludf.DUMMYFUNCTION("IFERROR(VLOOKUP(G352,IMPORTRANGE(""https://docs.google.com/spreadsheets/d/12RxCea4e5ggM7QGn1XE3FbLQa_-QbCNdBi90OdPjRqg"", ""'Plan de Compras'!D4:Q""), 12, 0), ""NO ESTÁ EN REQ"")"),"Técnica")</f>
        <v>Técnica</v>
      </c>
      <c r="AA352" s="37" t="str">
        <f>IFERROR(__xludf.DUMMYFUNCTION("IFERROR(VLOOKUP(G352,IMPORTRANGE(""https://docs.google.com/spreadsheets/d/12RxCea4e5ggM7QGn1XE3FbLQa_-QbCNdBi90OdPjRqg"", ""'Plan de Compras'!D4:Q""), 13, 0), """")"),"NACIONAL")</f>
        <v>NACIONAL</v>
      </c>
      <c r="AB352" s="32" t="str">
        <f>IFERROR(__xludf.DUMMYFUNCTION("IFERROR(VLOOKUP(G352,IMPORTRANGE(""https://docs.google.com/spreadsheets/d/12RxCea4e5ggM7QGn1XE3FbLQa_-QbCNdBi90OdPjRqg"", ""'Plan de Compras'!D4:Q""), 14, 0), """")"),"ANGIE")</f>
        <v>ANGIE</v>
      </c>
      <c r="AC352" s="72" t="str">
        <f>IFERROR(__xludf.DUMMYFUNCTION("IFERROR(VLOOKUP(G352,IMPORTRANGE(""https://docs.google.com/spreadsheets/d/12RxCea4e5ggM7QGn1XE3FbLQa_-QbCNdBi90OdPjRqg"", ""'Plan de Compras'!D4:Q""), 4, 0), """")"),"ROLLO VENDA ELASTICA 4"" X 5 YD CON SEGUROS (1 UND)")</f>
        <v>ROLLO VENDA ELASTICA 4" X 5 YD CON SEGUROS (1 UND)</v>
      </c>
      <c r="AD352" s="37" t="str">
        <f>IFERROR(__xludf.DUMMYFUNCTION("IFERROR(IF(OR(C352=TRUE,C352=""""),VLOOKUP(G352,IMPORTRANGE(""https://docs.google.com/spreadsheets/d/1z9A1Wq-kKrhRNG5RS2a2fKpY1wIhSVz2ZNmP2mOl588/edit?usp=sharing"",""REQ VF!E4:H""),4,0),""NO APLICA""),""GENERAR REQ"")"),"GENERAR REQ")</f>
        <v>GENERAR REQ</v>
      </c>
      <c r="AE352" s="32" t="str">
        <f>IFERROR(__xludf.DUMMYFUNCTION("IFERROR(QUERY(IMPORTRANGE(""https://docs.google.com/spreadsheets/d/1z9A1Wq-kKrhRNG5RS2a2fKpY1wIhSVz2ZNmP2mOl588/edit?usp=sharing"",""REQ VF!E4:Q""),""SELECT Col10, Col11, Col12 WHERE Col1 = '""&amp;G352&amp;""'"",0),""NO APLICA"")"),"NO APLICA")</f>
        <v>NO APLICA</v>
      </c>
      <c r="AF352" s="32"/>
      <c r="AG352" s="32"/>
      <c r="AH352" s="13"/>
      <c r="AI352" s="13"/>
    </row>
    <row r="353">
      <c r="A353" s="43"/>
      <c r="B353" s="43"/>
      <c r="C353" s="26" t="b">
        <v>1</v>
      </c>
      <c r="D353" s="26" t="s">
        <v>42</v>
      </c>
      <c r="E353" s="26" t="s">
        <v>1510</v>
      </c>
      <c r="F353" s="59" t="s">
        <v>2773</v>
      </c>
      <c r="G353" s="37" t="s">
        <v>2782</v>
      </c>
      <c r="H353" s="66" t="s">
        <v>2783</v>
      </c>
      <c r="I353" s="43">
        <v>23.0</v>
      </c>
      <c r="J353" s="26">
        <f>IFERROR(__xludf.DUMMYFUNCTION("VLOOKUP(G353,IMPORTRANGE(""https://docs.google.com/spreadsheets/d/12RxCea4e5ggM7QGn1XE3FbLQa_-QbCNdBi90OdPjRqg/edit?gid=1692403370#gid=1692403370"", ""'Plan de Compras'!D4:2432""), 8,0)"),23.0)</f>
        <v>23</v>
      </c>
      <c r="K353" s="26" t="str">
        <f t="shared" si="31"/>
        <v>SI</v>
      </c>
      <c r="L353" s="26"/>
      <c r="M353" s="32"/>
      <c r="N353" s="32"/>
      <c r="O353" s="32"/>
      <c r="P353" s="32"/>
      <c r="Q353" s="41"/>
      <c r="R353" s="32"/>
      <c r="S353" s="44" t="b">
        <v>1</v>
      </c>
      <c r="T353" s="39" t="s">
        <v>47</v>
      </c>
      <c r="U353" s="39" t="s">
        <v>2783</v>
      </c>
      <c r="V353" s="39"/>
      <c r="W353" s="39"/>
      <c r="X353" s="39"/>
      <c r="Y353" s="124"/>
      <c r="Z353" s="37" t="str">
        <f>IFERROR(__xludf.DUMMYFUNCTION("IFERROR(VLOOKUP(G353,IMPORTRANGE(""https://docs.google.com/spreadsheets/d/12RxCea4e5ggM7QGn1XE3FbLQa_-QbCNdBi90OdPjRqg"", ""'Plan de Compras'!D4:Q""), 12, 0), ""NO ESTÁ EN REQ"")"),"Técnica")</f>
        <v>Técnica</v>
      </c>
      <c r="AA353" s="37" t="str">
        <f>IFERROR(__xludf.DUMMYFUNCTION("IFERROR(VLOOKUP(G353,IMPORTRANGE(""https://docs.google.com/spreadsheets/d/12RxCea4e5ggM7QGn1XE3FbLQa_-QbCNdBi90OdPjRqg"", ""'Plan de Compras'!D4:Q""), 13, 0), """")"),"NACIONAL")</f>
        <v>NACIONAL</v>
      </c>
      <c r="AB353" s="32" t="str">
        <f>IFERROR(__xludf.DUMMYFUNCTION("IFERROR(VLOOKUP(G353,IMPORTRANGE(""https://docs.google.com/spreadsheets/d/12RxCea4e5ggM7QGn1XE3FbLQa_-QbCNdBi90OdPjRqg"", ""'Plan de Compras'!D4:Q""), 14, 0), """")"),"ANGIE")</f>
        <v>ANGIE</v>
      </c>
      <c r="AC353" s="72" t="str">
        <f>IFERROR(__xludf.DUMMYFUNCTION("IFERROR(VLOOKUP(G353,IMPORTRANGE(""https://docs.google.com/spreadsheets/d/12RxCea4e5ggM7QGn1XE3FbLQa_-QbCNdBi90OdPjRqg"", ""'Plan de Compras'!D4:Q""), 4, 0), """")"),"ROLLO VENDA ELASTICA 4"" X 5 YD CON SEGUROS (1 UND)")</f>
        <v>ROLLO VENDA ELASTICA 4" X 5 YD CON SEGUROS (1 UND)</v>
      </c>
      <c r="AD353" s="37" t="str">
        <f>IFERROR(__xludf.DUMMYFUNCTION("IFERROR(IF(OR(C353=TRUE,C353=""""),VLOOKUP(G353,IMPORTRANGE(""https://docs.google.com/spreadsheets/d/1z9A1Wq-kKrhRNG5RS2a2fKpY1wIhSVz2ZNmP2mOl588/edit?usp=sharing"",""REQ VF!E4:H""),4,0),""NO APLICA""),""GENERAR REQ"")"),"GENERAR REQ")</f>
        <v>GENERAR REQ</v>
      </c>
      <c r="AE353" s="32" t="str">
        <f>IFERROR(__xludf.DUMMYFUNCTION("IFERROR(QUERY(IMPORTRANGE(""https://docs.google.com/spreadsheets/d/1z9A1Wq-kKrhRNG5RS2a2fKpY1wIhSVz2ZNmP2mOl588/edit?usp=sharing"",""REQ VF!E4:Q""),""SELECT Col10, Col11, Col12 WHERE Col1 = '""&amp;G353&amp;""'"",0),""NO APLICA"")"),"NO APLICA")</f>
        <v>NO APLICA</v>
      </c>
      <c r="AF353" s="32"/>
      <c r="AG353" s="32"/>
      <c r="AH353" s="13"/>
      <c r="AI353" s="13"/>
    </row>
    <row r="354">
      <c r="A354" s="43"/>
      <c r="B354" s="43"/>
      <c r="C354" s="26" t="b">
        <v>1</v>
      </c>
      <c r="D354" s="26" t="s">
        <v>42</v>
      </c>
      <c r="E354" s="26" t="s">
        <v>1510</v>
      </c>
      <c r="F354" s="59" t="s">
        <v>2773</v>
      </c>
      <c r="G354" s="37" t="s">
        <v>2784</v>
      </c>
      <c r="H354" s="66" t="s">
        <v>2785</v>
      </c>
      <c r="I354" s="43">
        <v>23.0</v>
      </c>
      <c r="J354" s="26">
        <f>IFERROR(__xludf.DUMMYFUNCTION("VLOOKUP(G354,IMPORTRANGE(""https://docs.google.com/spreadsheets/d/12RxCea4e5ggM7QGn1XE3FbLQa_-QbCNdBi90OdPjRqg/edit?gid=1692403370#gid=1692403370"", ""'Plan de Compras'!D4:2432""), 8,0)"),23.0)</f>
        <v>23</v>
      </c>
      <c r="K354" s="26" t="str">
        <f t="shared" si="31"/>
        <v>SI</v>
      </c>
      <c r="L354" s="26"/>
      <c r="M354" s="32"/>
      <c r="N354" s="32"/>
      <c r="O354" s="32"/>
      <c r="P354" s="32"/>
      <c r="Q354" s="41"/>
      <c r="R354" s="32"/>
      <c r="S354" s="44" t="b">
        <v>1</v>
      </c>
      <c r="T354" s="39" t="s">
        <v>47</v>
      </c>
      <c r="U354" s="39" t="s">
        <v>2785</v>
      </c>
      <c r="V354" s="39"/>
      <c r="W354" s="39"/>
      <c r="X354" s="39"/>
      <c r="Y354" s="124"/>
      <c r="Z354" s="37" t="str">
        <f>IFERROR(__xludf.DUMMYFUNCTION("IFERROR(VLOOKUP(G354,IMPORTRANGE(""https://docs.google.com/spreadsheets/d/12RxCea4e5ggM7QGn1XE3FbLQa_-QbCNdBi90OdPjRqg"", ""'Plan de Compras'!D4:Q""), 12, 0), ""NO ESTÁ EN REQ"")"),"Técnica")</f>
        <v>Técnica</v>
      </c>
      <c r="AA354" s="37" t="str">
        <f>IFERROR(__xludf.DUMMYFUNCTION("IFERROR(VLOOKUP(G354,IMPORTRANGE(""https://docs.google.com/spreadsheets/d/12RxCea4e5ggM7QGn1XE3FbLQa_-QbCNdBi90OdPjRqg"", ""'Plan de Compras'!D4:Q""), 13, 0), """")"),"NACIONAL")</f>
        <v>NACIONAL</v>
      </c>
      <c r="AB354" s="32" t="str">
        <f>IFERROR(__xludf.DUMMYFUNCTION("IFERROR(VLOOKUP(G354,IMPORTRANGE(""https://docs.google.com/spreadsheets/d/12RxCea4e5ggM7QGn1XE3FbLQa_-QbCNdBi90OdPjRqg"", ""'Plan de Compras'!D4:Q""), 14, 0), """")"),"ANGIE")</f>
        <v>ANGIE</v>
      </c>
      <c r="AC354" s="72" t="str">
        <f>IFERROR(__xludf.DUMMYFUNCTION("IFERROR(VLOOKUP(G354,IMPORTRANGE(""https://docs.google.com/spreadsheets/d/12RxCea4e5ggM7QGn1XE3FbLQa_-QbCNdBi90OdPjRqg"", ""'Plan de Compras'!D4:Q""), 4, 0), """")"),"ROLLO ESPARADRAPO 2.5 CM X 5 YD (1 UND)")</f>
        <v>ROLLO ESPARADRAPO 2.5 CM X 5 YD (1 UND)</v>
      </c>
      <c r="AD354" s="37" t="str">
        <f>IFERROR(__xludf.DUMMYFUNCTION("IFERROR(IF(OR(C354=TRUE,C354=""""),VLOOKUP(G354,IMPORTRANGE(""https://docs.google.com/spreadsheets/d/1z9A1Wq-kKrhRNG5RS2a2fKpY1wIhSVz2ZNmP2mOl588/edit?usp=sharing"",""REQ VF!E4:H""),4,0),""NO APLICA""),""GENERAR REQ"")"),"GENERAR REQ")</f>
        <v>GENERAR REQ</v>
      </c>
      <c r="AE354" s="32" t="str">
        <f>IFERROR(__xludf.DUMMYFUNCTION("IFERROR(QUERY(IMPORTRANGE(""https://docs.google.com/spreadsheets/d/1z9A1Wq-kKrhRNG5RS2a2fKpY1wIhSVz2ZNmP2mOl588/edit?usp=sharing"",""REQ VF!E4:Q""),""SELECT Col10, Col11, Col12 WHERE Col1 = '""&amp;G354&amp;""'"",0),""NO APLICA"")"),"NO APLICA")</f>
        <v>NO APLICA</v>
      </c>
      <c r="AF354" s="32"/>
      <c r="AG354" s="32"/>
      <c r="AH354" s="13"/>
      <c r="AI354" s="13"/>
    </row>
    <row r="355">
      <c r="A355" s="43"/>
      <c r="B355" s="43"/>
      <c r="C355" s="26" t="b">
        <v>1</v>
      </c>
      <c r="D355" s="26" t="s">
        <v>42</v>
      </c>
      <c r="E355" s="26" t="s">
        <v>1510</v>
      </c>
      <c r="F355" s="59" t="s">
        <v>2773</v>
      </c>
      <c r="G355" s="37" t="s">
        <v>2786</v>
      </c>
      <c r="H355" s="66" t="s">
        <v>2787</v>
      </c>
      <c r="I355" s="43">
        <v>23.0</v>
      </c>
      <c r="J355" s="26">
        <f>IFERROR(__xludf.DUMMYFUNCTION("VLOOKUP(G355,IMPORTRANGE(""https://docs.google.com/spreadsheets/d/12RxCea4e5ggM7QGn1XE3FbLQa_-QbCNdBi90OdPjRqg/edit?gid=1692403370#gid=1692403370"", ""'Plan de Compras'!D4:2432""), 8,0)"),23.0)</f>
        <v>23</v>
      </c>
      <c r="K355" s="26" t="str">
        <f t="shared" si="31"/>
        <v>SI</v>
      </c>
      <c r="L355" s="26"/>
      <c r="M355" s="32"/>
      <c r="N355" s="32"/>
      <c r="O355" s="32"/>
      <c r="P355" s="32"/>
      <c r="Q355" s="41"/>
      <c r="R355" s="32"/>
      <c r="S355" s="44" t="b">
        <v>1</v>
      </c>
      <c r="T355" s="39" t="s">
        <v>47</v>
      </c>
      <c r="U355" s="39" t="s">
        <v>2787</v>
      </c>
      <c r="V355" s="39"/>
      <c r="W355" s="39"/>
      <c r="X355" s="39"/>
      <c r="Y355" s="124"/>
      <c r="Z355" s="37" t="str">
        <f>IFERROR(__xludf.DUMMYFUNCTION("IFERROR(VLOOKUP(G355,IMPORTRANGE(""https://docs.google.com/spreadsheets/d/12RxCea4e5ggM7QGn1XE3FbLQa_-QbCNdBi90OdPjRqg"", ""'Plan de Compras'!D4:Q""), 12, 0), ""NO ESTÁ EN REQ"")"),"Técnica")</f>
        <v>Técnica</v>
      </c>
      <c r="AA355" s="37" t="str">
        <f>IFERROR(__xludf.DUMMYFUNCTION("IFERROR(VLOOKUP(G355,IMPORTRANGE(""https://docs.google.com/spreadsheets/d/12RxCea4e5ggM7QGn1XE3FbLQa_-QbCNdBi90OdPjRqg"", ""'Plan de Compras'!D4:Q""), 13, 0), """")"),"NACIONAL")</f>
        <v>NACIONAL</v>
      </c>
      <c r="AB355" s="32" t="str">
        <f>IFERROR(__xludf.DUMMYFUNCTION("IFERROR(VLOOKUP(G355,IMPORTRANGE(""https://docs.google.com/spreadsheets/d/12RxCea4e5ggM7QGn1XE3FbLQa_-QbCNdBi90OdPjRqg"", ""'Plan de Compras'!D4:Q""), 14, 0), """")"),"ANGIE")</f>
        <v>ANGIE</v>
      </c>
      <c r="AC355" s="72" t="str">
        <f>IFERROR(__xludf.DUMMYFUNCTION("IFERROR(VLOOKUP(G355,IMPORTRANGE(""https://docs.google.com/spreadsheets/d/12RxCea4e5ggM7QGn1XE3FbLQa_-QbCNdBi90OdPjRqg"", ""'Plan de Compras'!D4:Q""), 4, 0), """")"),"GUANTES QUIRURGICOS ESTERILES TALLA 7.5 (2 UND)")</f>
        <v>GUANTES QUIRURGICOS ESTERILES TALLA 7.5 (2 UND)</v>
      </c>
      <c r="AD355" s="37" t="str">
        <f>IFERROR(__xludf.DUMMYFUNCTION("IFERROR(IF(OR(C355=TRUE,C355=""""),VLOOKUP(G355,IMPORTRANGE(""https://docs.google.com/spreadsheets/d/1z9A1Wq-kKrhRNG5RS2a2fKpY1wIhSVz2ZNmP2mOl588/edit?usp=sharing"",""REQ VF!E4:H""),4,0),""NO APLICA""),""GENERAR REQ"")"),"GENERAR REQ")</f>
        <v>GENERAR REQ</v>
      </c>
      <c r="AE355" s="32" t="str">
        <f>IFERROR(__xludf.DUMMYFUNCTION("IFERROR(QUERY(IMPORTRANGE(""https://docs.google.com/spreadsheets/d/1z9A1Wq-kKrhRNG5RS2a2fKpY1wIhSVz2ZNmP2mOl588/edit?usp=sharing"",""REQ VF!E4:Q""),""SELECT Col10, Col11, Col12 WHERE Col1 = '""&amp;G355&amp;""'"",0),""NO APLICA"")"),"NO APLICA")</f>
        <v>NO APLICA</v>
      </c>
      <c r="AF355" s="32"/>
      <c r="AG355" s="32"/>
      <c r="AH355" s="13"/>
      <c r="AI355" s="13"/>
    </row>
    <row r="356">
      <c r="A356" s="43"/>
      <c r="B356" s="43"/>
      <c r="C356" s="26" t="b">
        <v>1</v>
      </c>
      <c r="D356" s="26" t="s">
        <v>42</v>
      </c>
      <c r="E356" s="26" t="s">
        <v>1510</v>
      </c>
      <c r="F356" s="59" t="s">
        <v>2773</v>
      </c>
      <c r="G356" s="37" t="s">
        <v>2788</v>
      </c>
      <c r="H356" s="66" t="s">
        <v>2789</v>
      </c>
      <c r="I356" s="43">
        <v>23.0</v>
      </c>
      <c r="J356" s="26">
        <f>IFERROR(__xludf.DUMMYFUNCTION("VLOOKUP(G356,IMPORTRANGE(""https://docs.google.com/spreadsheets/d/12RxCea4e5ggM7QGn1XE3FbLQa_-QbCNdBi90OdPjRqg/edit?gid=1692403370#gid=1692403370"", ""'Plan de Compras'!D4:2432""), 8,0)"),23.0)</f>
        <v>23</v>
      </c>
      <c r="K356" s="26" t="str">
        <f t="shared" si="31"/>
        <v>SI</v>
      </c>
      <c r="L356" s="26"/>
      <c r="M356" s="32"/>
      <c r="N356" s="32"/>
      <c r="O356" s="32"/>
      <c r="P356" s="32"/>
      <c r="Q356" s="41"/>
      <c r="R356" s="32"/>
      <c r="S356" s="44" t="b">
        <v>1</v>
      </c>
      <c r="T356" s="39" t="s">
        <v>47</v>
      </c>
      <c r="U356" s="39" t="s">
        <v>2789</v>
      </c>
      <c r="V356" s="39"/>
      <c r="W356" s="39"/>
      <c r="X356" s="39"/>
      <c r="Y356" s="124"/>
      <c r="Z356" s="37" t="str">
        <f>IFERROR(__xludf.DUMMYFUNCTION("IFERROR(VLOOKUP(G356,IMPORTRANGE(""https://docs.google.com/spreadsheets/d/12RxCea4e5ggM7QGn1XE3FbLQa_-QbCNdBi90OdPjRqg"", ""'Plan de Compras'!D4:Q""), 12, 0), ""NO ESTÁ EN REQ"")"),"Técnica")</f>
        <v>Técnica</v>
      </c>
      <c r="AA356" s="37" t="str">
        <f>IFERROR(__xludf.DUMMYFUNCTION("IFERROR(VLOOKUP(G356,IMPORTRANGE(""https://docs.google.com/spreadsheets/d/12RxCea4e5ggM7QGn1XE3FbLQa_-QbCNdBi90OdPjRqg"", ""'Plan de Compras'!D4:Q""), 13, 0), """")"),"NACIONAL")</f>
        <v>NACIONAL</v>
      </c>
      <c r="AB356" s="32" t="str">
        <f>IFERROR(__xludf.DUMMYFUNCTION("IFERROR(VLOOKUP(G356,IMPORTRANGE(""https://docs.google.com/spreadsheets/d/12RxCea4e5ggM7QGn1XE3FbLQa_-QbCNdBi90OdPjRqg"", ""'Plan de Compras'!D4:Q""), 14, 0), """")"),"ANGIE")</f>
        <v>ANGIE</v>
      </c>
      <c r="AC356" s="72" t="str">
        <f>IFERROR(__xludf.DUMMYFUNCTION("IFERROR(VLOOKUP(G356,IMPORTRANGE(""https://docs.google.com/spreadsheets/d/12RxCea4e5ggM7QGn1XE3FbLQa_-QbCNdBi90OdPjRqg"", ""'Plan de Compras'!D4:Q""), 4, 0), """")"),"CAJA 100 UND. DE CURITAS (1 UND)")</f>
        <v>CAJA 100 UND. DE CURITAS (1 UND)</v>
      </c>
      <c r="AD356" s="37" t="str">
        <f>IFERROR(__xludf.DUMMYFUNCTION("IFERROR(IF(OR(C356=TRUE,C356=""""),VLOOKUP(G356,IMPORTRANGE(""https://docs.google.com/spreadsheets/d/1z9A1Wq-kKrhRNG5RS2a2fKpY1wIhSVz2ZNmP2mOl588/edit?usp=sharing"",""REQ VF!E4:H""),4,0),""NO APLICA""),""GENERAR REQ"")"),"GENERAR REQ")</f>
        <v>GENERAR REQ</v>
      </c>
      <c r="AE356" s="32" t="str">
        <f>IFERROR(__xludf.DUMMYFUNCTION("IFERROR(QUERY(IMPORTRANGE(""https://docs.google.com/spreadsheets/d/1z9A1Wq-kKrhRNG5RS2a2fKpY1wIhSVz2ZNmP2mOl588/edit?usp=sharing"",""REQ VF!E4:Q""),""SELECT Col10, Col11, Col12 WHERE Col1 = '""&amp;G356&amp;""'"",0),""NO APLICA"")"),"NO APLICA")</f>
        <v>NO APLICA</v>
      </c>
      <c r="AF356" s="32"/>
      <c r="AG356" s="32"/>
      <c r="AH356" s="13"/>
      <c r="AI356" s="13"/>
    </row>
    <row r="357">
      <c r="A357" s="43"/>
      <c r="B357" s="43"/>
      <c r="C357" s="26" t="b">
        <v>1</v>
      </c>
      <c r="D357" s="26" t="s">
        <v>42</v>
      </c>
      <c r="E357" s="26" t="s">
        <v>1510</v>
      </c>
      <c r="F357" s="59" t="s">
        <v>2773</v>
      </c>
      <c r="G357" s="37" t="s">
        <v>2790</v>
      </c>
      <c r="H357" s="66" t="s">
        <v>2791</v>
      </c>
      <c r="I357" s="43">
        <v>2300.0</v>
      </c>
      <c r="J357" s="26">
        <f>IFERROR(__xludf.DUMMYFUNCTION("VLOOKUP(G357,IMPORTRANGE(""https://docs.google.com/spreadsheets/d/12RxCea4e5ggM7QGn1XE3FbLQa_-QbCNdBi90OdPjRqg/edit?gid=1692403370#gid=1692403370"", ""'Plan de Compras'!D4:2432""), 8,0)"),2300.0)</f>
        <v>2300</v>
      </c>
      <c r="K357" s="26" t="str">
        <f t="shared" si="31"/>
        <v>SI</v>
      </c>
      <c r="L357" s="26"/>
      <c r="M357" s="32"/>
      <c r="N357" s="32"/>
      <c r="O357" s="32"/>
      <c r="P357" s="32"/>
      <c r="Q357" s="41"/>
      <c r="R357" s="32"/>
      <c r="S357" s="44" t="b">
        <v>1</v>
      </c>
      <c r="T357" s="39" t="s">
        <v>47</v>
      </c>
      <c r="U357" s="39" t="s">
        <v>2791</v>
      </c>
      <c r="V357" s="39"/>
      <c r="W357" s="39"/>
      <c r="X357" s="39"/>
      <c r="Y357" s="124"/>
      <c r="Z357" s="37" t="str">
        <f>IFERROR(__xludf.DUMMYFUNCTION("IFERROR(VLOOKUP(G357,IMPORTRANGE(""https://docs.google.com/spreadsheets/d/12RxCea4e5ggM7QGn1XE3FbLQa_-QbCNdBi90OdPjRqg"", ""'Plan de Compras'!D4:Q""), 12, 0), ""NO ESTÁ EN REQ"")"),"Técnica")</f>
        <v>Técnica</v>
      </c>
      <c r="AA357" s="37" t="str">
        <f>IFERROR(__xludf.DUMMYFUNCTION("IFERROR(VLOOKUP(G357,IMPORTRANGE(""https://docs.google.com/spreadsheets/d/12RxCea4e5ggM7QGn1XE3FbLQa_-QbCNdBi90OdPjRqg"", ""'Plan de Compras'!D4:Q""), 13, 0), """")"),"NACIONAL")</f>
        <v>NACIONAL</v>
      </c>
      <c r="AB357" s="32" t="str">
        <f>IFERROR(__xludf.DUMMYFUNCTION("IFERROR(VLOOKUP(G357,IMPORTRANGE(""https://docs.google.com/spreadsheets/d/12RxCea4e5ggM7QGn1XE3FbLQa_-QbCNdBi90OdPjRqg"", ""'Plan de Compras'!D4:Q""), 14, 0), """")"),"ANGIE")</f>
        <v>ANGIE</v>
      </c>
      <c r="AC357" s="72" t="str">
        <f>IFERROR(__xludf.DUMMYFUNCTION("IFERROR(VLOOKUP(G357,IMPORTRANGE(""https://docs.google.com/spreadsheets/d/12RxCea4e5ggM7QGn1XE3FbLQa_-QbCNdBi90OdPjRqg"", ""'Plan de Compras'!D4:Q""), 4, 0), """")"),"CAJA 100 UND. DE BAJALENGUA DE MADERA (1 UND)")</f>
        <v>CAJA 100 UND. DE BAJALENGUA DE MADERA (1 UND)</v>
      </c>
      <c r="AD357" s="37" t="str">
        <f>IFERROR(__xludf.DUMMYFUNCTION("IFERROR(IF(OR(C357=TRUE,C357=""""),VLOOKUP(G357,IMPORTRANGE(""https://docs.google.com/spreadsheets/d/1z9A1Wq-kKrhRNG5RS2a2fKpY1wIhSVz2ZNmP2mOl588/edit?usp=sharing"",""REQ VF!E4:H""),4,0),""NO APLICA""),""GENERAR REQ"")"),"GENERAR REQ")</f>
        <v>GENERAR REQ</v>
      </c>
      <c r="AE357" s="32" t="str">
        <f>IFERROR(__xludf.DUMMYFUNCTION("IFERROR(QUERY(IMPORTRANGE(""https://docs.google.com/spreadsheets/d/1z9A1Wq-kKrhRNG5RS2a2fKpY1wIhSVz2ZNmP2mOl588/edit?usp=sharing"",""REQ VF!E4:Q""),""SELECT Col10, Col11, Col12 WHERE Col1 = '""&amp;G357&amp;""'"",0),""NO APLICA"")"),"NO APLICA")</f>
        <v>NO APLICA</v>
      </c>
      <c r="AF357" s="32"/>
      <c r="AG357" s="32"/>
      <c r="AH357" s="13"/>
      <c r="AI357" s="13"/>
    </row>
    <row r="358">
      <c r="A358" s="43"/>
      <c r="B358" s="43"/>
      <c r="C358" s="26" t="b">
        <v>1</v>
      </c>
      <c r="D358" s="26" t="s">
        <v>42</v>
      </c>
      <c r="E358" s="26" t="s">
        <v>1510</v>
      </c>
      <c r="F358" s="59" t="s">
        <v>2773</v>
      </c>
      <c r="G358" s="39" t="s">
        <v>2792</v>
      </c>
      <c r="H358" s="66" t="s">
        <v>2793</v>
      </c>
      <c r="I358" s="43">
        <v>23.0</v>
      </c>
      <c r="J358" s="26">
        <f>IFERROR(__xludf.DUMMYFUNCTION("VLOOKUP(G358,IMPORTRANGE(""https://docs.google.com/spreadsheets/d/12RxCea4e5ggM7QGn1XE3FbLQa_-QbCNdBi90OdPjRqg/edit?gid=1692403370#gid=1692403370"", ""'Plan de Compras'!D4:2432""), 8,0)"),23.0)</f>
        <v>23</v>
      </c>
      <c r="K358" s="26" t="str">
        <f t="shared" si="31"/>
        <v>SI</v>
      </c>
      <c r="L358" s="26"/>
      <c r="M358" s="32"/>
      <c r="N358" s="32"/>
      <c r="O358" s="32"/>
      <c r="P358" s="32"/>
      <c r="Q358" s="41"/>
      <c r="R358" s="32"/>
      <c r="S358" s="44" t="b">
        <v>1</v>
      </c>
      <c r="T358" s="39" t="s">
        <v>47</v>
      </c>
      <c r="U358" s="39" t="s">
        <v>2793</v>
      </c>
      <c r="V358" s="39"/>
      <c r="W358" s="39"/>
      <c r="X358" s="39"/>
      <c r="Y358" s="124"/>
      <c r="Z358" s="37" t="str">
        <f>IFERROR(__xludf.DUMMYFUNCTION("IFERROR(VLOOKUP(G358,IMPORTRANGE(""https://docs.google.com/spreadsheets/d/12RxCea4e5ggM7QGn1XE3FbLQa_-QbCNdBi90OdPjRqg"", ""'Plan de Compras'!D4:Q""), 12, 0), ""NO ESTÁ EN REQ"")"),"Técnica")</f>
        <v>Técnica</v>
      </c>
      <c r="AA358" s="37" t="str">
        <f>IFERROR(__xludf.DUMMYFUNCTION("IFERROR(VLOOKUP(G358,IMPORTRANGE(""https://docs.google.com/spreadsheets/d/12RxCea4e5ggM7QGn1XE3FbLQa_-QbCNdBi90OdPjRqg"", ""'Plan de Compras'!D4:Q""), 13, 0), """")"),"NACIONAL")</f>
        <v>NACIONAL</v>
      </c>
      <c r="AB358" s="32" t="str">
        <f>IFERROR(__xludf.DUMMYFUNCTION("IFERROR(VLOOKUP(G358,IMPORTRANGE(""https://docs.google.com/spreadsheets/d/12RxCea4e5ggM7QGn1XE3FbLQa_-QbCNdBi90OdPjRqg"", ""'Plan de Compras'!D4:Q""), 14, 0), """")"),"ANGIE")</f>
        <v>ANGIE</v>
      </c>
      <c r="AC358" s="72" t="str">
        <f>IFERROR(__xludf.DUMMYFUNCTION("IFERROR(VLOOKUP(G358,IMPORTRANGE(""https://docs.google.com/spreadsheets/d/12RxCea4e5ggM7QGn1XE3FbLQa_-QbCNdBi90OdPjRqg"", ""'Plan de Compras'!D4:Q""), 4, 0), """")"),"BOTELLA JABON ANTISEPTICO x 120 ML (1 UND)")</f>
        <v>BOTELLA JABON ANTISEPTICO x 120 ML (1 UND)</v>
      </c>
      <c r="AD358" s="37" t="str">
        <f>IFERROR(__xludf.DUMMYFUNCTION("IFERROR(IF(OR(C358=TRUE,C358=""""),VLOOKUP(G358,IMPORTRANGE(""https://docs.google.com/spreadsheets/d/1z9A1Wq-kKrhRNG5RS2a2fKpY1wIhSVz2ZNmP2mOl588/edit?usp=sharing"",""REQ VF!E4:H""),4,0),""NO APLICA""),""GENERAR REQ"")"),"GENERAR REQ")</f>
        <v>GENERAR REQ</v>
      </c>
      <c r="AE358" s="32" t="str">
        <f>IFERROR(__xludf.DUMMYFUNCTION("IFERROR(QUERY(IMPORTRANGE(""https://docs.google.com/spreadsheets/d/1z9A1Wq-kKrhRNG5RS2a2fKpY1wIhSVz2ZNmP2mOl588/edit?usp=sharing"",""REQ VF!E4:Q""),""SELECT Col10, Col11, Col12 WHERE Col1 = '""&amp;G358&amp;""'"",0),""NO APLICA"")"),"NO APLICA")</f>
        <v>NO APLICA</v>
      </c>
      <c r="AF358" s="32"/>
      <c r="AG358" s="32"/>
      <c r="AH358" s="13"/>
      <c r="AI358" s="13"/>
    </row>
    <row r="359">
      <c r="A359" s="43"/>
      <c r="B359" s="43"/>
      <c r="C359" s="26" t="b">
        <v>1</v>
      </c>
      <c r="D359" s="26" t="s">
        <v>42</v>
      </c>
      <c r="E359" s="26" t="s">
        <v>1510</v>
      </c>
      <c r="F359" s="59" t="s">
        <v>2773</v>
      </c>
      <c r="G359" s="37" t="s">
        <v>2794</v>
      </c>
      <c r="H359" s="66" t="s">
        <v>2795</v>
      </c>
      <c r="I359" s="43">
        <v>23.0</v>
      </c>
      <c r="J359" s="26">
        <f>IFERROR(__xludf.DUMMYFUNCTION("VLOOKUP(G359,IMPORTRANGE(""https://docs.google.com/spreadsheets/d/12RxCea4e5ggM7QGn1XE3FbLQa_-QbCNdBi90OdPjRqg/edit?gid=1692403370#gid=1692403370"", ""'Plan de Compras'!D4:2432""), 8,0)"),23.0)</f>
        <v>23</v>
      </c>
      <c r="K359" s="26" t="str">
        <f t="shared" si="31"/>
        <v>SI</v>
      </c>
      <c r="L359" s="26"/>
      <c r="M359" s="32"/>
      <c r="N359" s="32"/>
      <c r="O359" s="32"/>
      <c r="P359" s="32"/>
      <c r="Q359" s="41"/>
      <c r="R359" s="32"/>
      <c r="S359" s="44" t="b">
        <v>1</v>
      </c>
      <c r="T359" s="39" t="s">
        <v>47</v>
      </c>
      <c r="U359" s="39" t="s">
        <v>2795</v>
      </c>
      <c r="V359" s="39"/>
      <c r="W359" s="39"/>
      <c r="X359" s="39"/>
      <c r="Y359" s="124"/>
      <c r="Z359" s="37" t="str">
        <f>IFERROR(__xludf.DUMMYFUNCTION("IFERROR(VLOOKUP(G359,IMPORTRANGE(""https://docs.google.com/spreadsheets/d/12RxCea4e5ggM7QGn1XE3FbLQa_-QbCNdBi90OdPjRqg"", ""'Plan de Compras'!D4:Q""), 12, 0), ""NO ESTÁ EN REQ"")"),"Técnica")</f>
        <v>Técnica</v>
      </c>
      <c r="AA359" s="37" t="str">
        <f>IFERROR(__xludf.DUMMYFUNCTION("IFERROR(VLOOKUP(G359,IMPORTRANGE(""https://docs.google.com/spreadsheets/d/12RxCea4e5ggM7QGn1XE3FbLQa_-QbCNdBi90OdPjRqg"", ""'Plan de Compras'!D4:Q""), 13, 0), """")"),"NACIONAL")</f>
        <v>NACIONAL</v>
      </c>
      <c r="AB359" s="32" t="str">
        <f>IFERROR(__xludf.DUMMYFUNCTION("IFERROR(VLOOKUP(G359,IMPORTRANGE(""https://docs.google.com/spreadsheets/d/12RxCea4e5ggM7QGn1XE3FbLQa_-QbCNdBi90OdPjRqg"", ""'Plan de Compras'!D4:Q""), 14, 0), """")"),"ANGIE")</f>
        <v>ANGIE</v>
      </c>
      <c r="AC359" s="72" t="str">
        <f>IFERROR(__xludf.DUMMYFUNCTION("IFERROR(VLOOKUP(G359,IMPORTRANGE(""https://docs.google.com/spreadsheets/d/12RxCea4e5ggM7QGn1XE3FbLQa_-QbCNdBi90OdPjRqg"", ""'Plan de Compras'!D4:Q""), 4, 0), """")"),"TERMOMETRO DIGITAL (1 UND)")</f>
        <v>TERMOMETRO DIGITAL (1 UND)</v>
      </c>
      <c r="AD359" s="37" t="str">
        <f>IFERROR(__xludf.DUMMYFUNCTION("IFERROR(IF(OR(C359=TRUE,C359=""""),VLOOKUP(G359,IMPORTRANGE(""https://docs.google.com/spreadsheets/d/1z9A1Wq-kKrhRNG5RS2a2fKpY1wIhSVz2ZNmP2mOl588/edit?usp=sharing"",""REQ VF!E4:H""),4,0),""NO APLICA""),""GENERAR REQ"")"),"GENERAR REQ")</f>
        <v>GENERAR REQ</v>
      </c>
      <c r="AE359" s="32" t="str">
        <f>IFERROR(__xludf.DUMMYFUNCTION("IFERROR(QUERY(IMPORTRANGE(""https://docs.google.com/spreadsheets/d/1z9A1Wq-kKrhRNG5RS2a2fKpY1wIhSVz2ZNmP2mOl588/edit?usp=sharing"",""REQ VF!E4:Q""),""SELECT Col10, Col11, Col12 WHERE Col1 = '""&amp;G359&amp;""'"",0),""NO APLICA"")"),"NO APLICA")</f>
        <v>NO APLICA</v>
      </c>
      <c r="AF359" s="32"/>
      <c r="AG359" s="32"/>
      <c r="AH359" s="13"/>
      <c r="AI359" s="13"/>
    </row>
    <row r="360">
      <c r="A360" s="43"/>
      <c r="B360" s="43"/>
      <c r="C360" s="26" t="b">
        <v>1</v>
      </c>
      <c r="D360" s="26" t="s">
        <v>42</v>
      </c>
      <c r="E360" s="26" t="s">
        <v>1510</v>
      </c>
      <c r="F360" s="59" t="s">
        <v>2773</v>
      </c>
      <c r="G360" s="39" t="s">
        <v>2796</v>
      </c>
      <c r="H360" s="66" t="s">
        <v>2797</v>
      </c>
      <c r="I360" s="43">
        <v>23.0</v>
      </c>
      <c r="J360" s="26">
        <f>IFERROR(__xludf.DUMMYFUNCTION("VLOOKUP(G360,IMPORTRANGE(""https://docs.google.com/spreadsheets/d/12RxCea4e5ggM7QGn1XE3FbLQa_-QbCNdBi90OdPjRqg/edit?gid=1692403370#gid=1692403370"", ""'Plan de Compras'!D4:2432""), 8,0)"),23.0)</f>
        <v>23</v>
      </c>
      <c r="K360" s="26" t="str">
        <f t="shared" si="31"/>
        <v>SI</v>
      </c>
      <c r="L360" s="26"/>
      <c r="M360" s="32"/>
      <c r="N360" s="32"/>
      <c r="O360" s="32"/>
      <c r="P360" s="32"/>
      <c r="Q360" s="41"/>
      <c r="R360" s="32"/>
      <c r="S360" s="44" t="b">
        <v>1</v>
      </c>
      <c r="T360" s="39" t="s">
        <v>47</v>
      </c>
      <c r="U360" s="39" t="s">
        <v>2797</v>
      </c>
      <c r="V360" s="39"/>
      <c r="W360" s="39"/>
      <c r="X360" s="39"/>
      <c r="Y360" s="124"/>
      <c r="Z360" s="37" t="str">
        <f>IFERROR(__xludf.DUMMYFUNCTION("IFERROR(VLOOKUP(G360,IMPORTRANGE(""https://docs.google.com/spreadsheets/d/12RxCea4e5ggM7QGn1XE3FbLQa_-QbCNdBi90OdPjRqg"", ""'Plan de Compras'!D4:Q""), 12, 0), ""NO ESTÁ EN REQ"")"),"Técnica")</f>
        <v>Técnica</v>
      </c>
      <c r="AA360" s="37" t="str">
        <f>IFERROR(__xludf.DUMMYFUNCTION("IFERROR(VLOOKUP(G360,IMPORTRANGE(""https://docs.google.com/spreadsheets/d/12RxCea4e5ggM7QGn1XE3FbLQa_-QbCNdBi90OdPjRqg"", ""'Plan de Compras'!D4:Q""), 13, 0), """")"),"NACIONAL")</f>
        <v>NACIONAL</v>
      </c>
      <c r="AB360" s="32" t="str">
        <f>IFERROR(__xludf.DUMMYFUNCTION("IFERROR(VLOOKUP(G360,IMPORTRANGE(""https://docs.google.com/spreadsheets/d/12RxCea4e5ggM7QGn1XE3FbLQa_-QbCNdBi90OdPjRqg"", ""'Plan de Compras'!D4:Q""), 14, 0), """")"),"ANGIE")</f>
        <v>ANGIE</v>
      </c>
      <c r="AC360" s="72" t="str">
        <f>IFERROR(__xludf.DUMMYFUNCTION("IFERROR(VLOOKUP(G360,IMPORTRANGE(""https://docs.google.com/spreadsheets/d/12RxCea4e5ggM7QGn1XE3FbLQa_-QbCNdBi90OdPjRqg"", ""'Plan de Compras'!D4:Q""), 4, 0), """")"),"BOLSA DE ALGODON 25 G (1 UND)")</f>
        <v>BOLSA DE ALGODON 25 G (1 UND)</v>
      </c>
      <c r="AD360" s="37" t="str">
        <f>IFERROR(__xludf.DUMMYFUNCTION("IFERROR(IF(OR(C360=TRUE,C360=""""),VLOOKUP(G360,IMPORTRANGE(""https://docs.google.com/spreadsheets/d/1z9A1Wq-kKrhRNG5RS2a2fKpY1wIhSVz2ZNmP2mOl588/edit?usp=sharing"",""REQ VF!E4:H""),4,0),""NO APLICA""),""GENERAR REQ"")"),"GENERAR REQ")</f>
        <v>GENERAR REQ</v>
      </c>
      <c r="AE360" s="32" t="str">
        <f>IFERROR(__xludf.DUMMYFUNCTION("IFERROR(QUERY(IMPORTRANGE(""https://docs.google.com/spreadsheets/d/1z9A1Wq-kKrhRNG5RS2a2fKpY1wIhSVz2ZNmP2mOl588/edit?usp=sharing"",""REQ VF!E4:Q""),""SELECT Col10, Col11, Col12 WHERE Col1 = '""&amp;G360&amp;""'"",0),""NO APLICA"")"),"NO APLICA")</f>
        <v>NO APLICA</v>
      </c>
      <c r="AF360" s="32"/>
      <c r="AG360" s="32"/>
      <c r="AH360" s="13"/>
      <c r="AI360" s="13"/>
    </row>
    <row r="361">
      <c r="A361" s="43"/>
      <c r="B361" s="43"/>
      <c r="C361" s="26" t="b">
        <v>1</v>
      </c>
      <c r="D361" s="26" t="s">
        <v>42</v>
      </c>
      <c r="E361" s="26" t="s">
        <v>1510</v>
      </c>
      <c r="F361" s="59" t="s">
        <v>2773</v>
      </c>
      <c r="G361" s="37" t="s">
        <v>2798</v>
      </c>
      <c r="H361" s="66" t="s">
        <v>2799</v>
      </c>
      <c r="I361" s="43">
        <v>23.0</v>
      </c>
      <c r="J361" s="26">
        <f>IFERROR(__xludf.DUMMYFUNCTION("VLOOKUP(G361,IMPORTRANGE(""https://docs.google.com/spreadsheets/d/12RxCea4e5ggM7QGn1XE3FbLQa_-QbCNdBi90OdPjRqg/edit?gid=1692403370#gid=1692403370"", ""'Plan de Compras'!D4:2432""), 8,0)"),23.0)</f>
        <v>23</v>
      </c>
      <c r="K361" s="26" t="str">
        <f t="shared" si="31"/>
        <v>SI</v>
      </c>
      <c r="L361" s="26"/>
      <c r="M361" s="32"/>
      <c r="N361" s="32"/>
      <c r="O361" s="32"/>
      <c r="P361" s="32"/>
      <c r="Q361" s="41"/>
      <c r="R361" s="32"/>
      <c r="S361" s="44" t="b">
        <v>1</v>
      </c>
      <c r="T361" s="39" t="s">
        <v>47</v>
      </c>
      <c r="U361" s="39" t="s">
        <v>2799</v>
      </c>
      <c r="V361" s="39"/>
      <c r="W361" s="39"/>
      <c r="X361" s="39"/>
      <c r="Y361" s="124"/>
      <c r="Z361" s="37" t="str">
        <f>IFERROR(__xludf.DUMMYFUNCTION("IFERROR(VLOOKUP(G361,IMPORTRANGE(""https://docs.google.com/spreadsheets/d/12RxCea4e5ggM7QGn1XE3FbLQa_-QbCNdBi90OdPjRqg"", ""'Plan de Compras'!D4:Q""), 12, 0), ""NO ESTÁ EN REQ"")"),"Técnica")</f>
        <v>Técnica</v>
      </c>
      <c r="AA361" s="37" t="str">
        <f>IFERROR(__xludf.DUMMYFUNCTION("IFERROR(VLOOKUP(G361,IMPORTRANGE(""https://docs.google.com/spreadsheets/d/12RxCea4e5ggM7QGn1XE3FbLQa_-QbCNdBi90OdPjRqg"", ""'Plan de Compras'!D4:Q""), 13, 0), """")"),"NACIONAL")</f>
        <v>NACIONAL</v>
      </c>
      <c r="AB361" s="32" t="str">
        <f>IFERROR(__xludf.DUMMYFUNCTION("IFERROR(VLOOKUP(G361,IMPORTRANGE(""https://docs.google.com/spreadsheets/d/12RxCea4e5ggM7QGn1XE3FbLQa_-QbCNdBi90OdPjRqg"", ""'Plan de Compras'!D4:Q""), 14, 0), """")"),"ANGIE")</f>
        <v>ANGIE</v>
      </c>
      <c r="AC361" s="72" t="str">
        <f>IFERROR(__xludf.DUMMYFUNCTION("IFERROR(VLOOKUP(G361,IMPORTRANGE(""https://docs.google.com/spreadsheets/d/12RxCea4e5ggM7QGn1XE3FbLQa_-QbCNdBi90OdPjRqg"", ""'Plan de Compras'!D4:Q""), 4, 0), """")"),"TIJERA PUNTA ROMA 5"" CON MANGO PLÁSTICO (1 UND)")</f>
        <v>TIJERA PUNTA ROMA 5" CON MANGO PLÁSTICO (1 UND)</v>
      </c>
      <c r="AD361" s="37" t="str">
        <f>IFERROR(__xludf.DUMMYFUNCTION("IFERROR(IF(OR(C361=TRUE,C361=""""),VLOOKUP(G361,IMPORTRANGE(""https://docs.google.com/spreadsheets/d/1z9A1Wq-kKrhRNG5RS2a2fKpY1wIhSVz2ZNmP2mOl588/edit?usp=sharing"",""REQ VF!E4:H""),4,0),""NO APLICA""),""GENERAR REQ"")"),"GENERAR REQ")</f>
        <v>GENERAR REQ</v>
      </c>
      <c r="AE361" s="32" t="str">
        <f>IFERROR(__xludf.DUMMYFUNCTION("IFERROR(QUERY(IMPORTRANGE(""https://docs.google.com/spreadsheets/d/1z9A1Wq-kKrhRNG5RS2a2fKpY1wIhSVz2ZNmP2mOl588/edit?usp=sharing"",""REQ VF!E4:Q""),""SELECT Col10, Col11, Col12 WHERE Col1 = '""&amp;G361&amp;""'"",0),""NO APLICA"")"),"NO APLICA")</f>
        <v>NO APLICA</v>
      </c>
      <c r="AF361" s="32"/>
      <c r="AG361" s="32"/>
      <c r="AH361" s="13"/>
      <c r="AI361" s="13"/>
    </row>
    <row r="362">
      <c r="A362" s="43"/>
      <c r="B362" s="43"/>
      <c r="C362" s="26" t="b">
        <v>1</v>
      </c>
      <c r="D362" s="26" t="s">
        <v>42</v>
      </c>
      <c r="E362" s="26" t="s">
        <v>1510</v>
      </c>
      <c r="F362" s="59" t="s">
        <v>2773</v>
      </c>
      <c r="G362" s="37" t="s">
        <v>2800</v>
      </c>
      <c r="H362" s="66" t="s">
        <v>2801</v>
      </c>
      <c r="I362" s="43">
        <v>23.0</v>
      </c>
      <c r="J362" s="26">
        <f>IFERROR(__xludf.DUMMYFUNCTION("VLOOKUP(G362,IMPORTRANGE(""https://docs.google.com/spreadsheets/d/12RxCea4e5ggM7QGn1XE3FbLQa_-QbCNdBi90OdPjRqg/edit?gid=1692403370#gid=1692403370"", ""'Plan de Compras'!D4:2432""), 8,0)"),23.0)</f>
        <v>23</v>
      </c>
      <c r="K362" s="26" t="str">
        <f t="shared" si="31"/>
        <v>SI</v>
      </c>
      <c r="L362" s="26"/>
      <c r="M362" s="32"/>
      <c r="N362" s="32"/>
      <c r="O362" s="32"/>
      <c r="P362" s="32"/>
      <c r="Q362" s="41"/>
      <c r="R362" s="32"/>
      <c r="S362" s="44" t="b">
        <v>1</v>
      </c>
      <c r="T362" s="39" t="s">
        <v>47</v>
      </c>
      <c r="U362" s="39" t="s">
        <v>2801</v>
      </c>
      <c r="V362" s="39"/>
      <c r="W362" s="39"/>
      <c r="X362" s="39"/>
      <c r="Y362" s="124"/>
      <c r="Z362" s="37" t="str">
        <f>IFERROR(__xludf.DUMMYFUNCTION("IFERROR(VLOOKUP(G362,IMPORTRANGE(""https://docs.google.com/spreadsheets/d/12RxCea4e5ggM7QGn1XE3FbLQa_-QbCNdBi90OdPjRqg"", ""'Plan de Compras'!D4:Q""), 12, 0), ""NO ESTÁ EN REQ"")"),"Técnica")</f>
        <v>Técnica</v>
      </c>
      <c r="AA362" s="37" t="str">
        <f>IFERROR(__xludf.DUMMYFUNCTION("IFERROR(VLOOKUP(G362,IMPORTRANGE(""https://docs.google.com/spreadsheets/d/12RxCea4e5ggM7QGn1XE3FbLQa_-QbCNdBi90OdPjRqg"", ""'Plan de Compras'!D4:Q""), 13, 0), """")"),"NACIONAL")</f>
        <v>NACIONAL</v>
      </c>
      <c r="AB362" s="32" t="str">
        <f>IFERROR(__xludf.DUMMYFUNCTION("IFERROR(VLOOKUP(G362,IMPORTRANGE(""https://docs.google.com/spreadsheets/d/12RxCea4e5ggM7QGn1XE3FbLQa_-QbCNdBi90OdPjRqg"", ""'Plan de Compras'!D4:Q""), 14, 0), """")"),"ANGIE")</f>
        <v>ANGIE</v>
      </c>
      <c r="AC362" s="72" t="str">
        <f>IFERROR(__xludf.DUMMYFUNCTION("IFERROR(VLOOKUP(G362,IMPORTRANGE(""https://docs.google.com/spreadsheets/d/12RxCea4e5ggM7QGn1XE3FbLQa_-QbCNdBi90OdPjRqg"", ""'Plan de Compras'!D4:Q""), 4, 0), """")"),"BOTELLA DE ALCOHOL ETILICO X 250 ML (1 UND)")</f>
        <v>BOTELLA DE ALCOHOL ETILICO X 250 ML (1 UND)</v>
      </c>
      <c r="AD362" s="37" t="str">
        <f>IFERROR(__xludf.DUMMYFUNCTION("IFERROR(IF(OR(C362=TRUE,C362=""""),VLOOKUP(G362,IMPORTRANGE(""https://docs.google.com/spreadsheets/d/1z9A1Wq-kKrhRNG5RS2a2fKpY1wIhSVz2ZNmP2mOl588/edit?usp=sharing"",""REQ VF!E4:H""),4,0),""NO APLICA""),""GENERAR REQ"")"),"GENERAR REQ")</f>
        <v>GENERAR REQ</v>
      </c>
      <c r="AE362" s="32" t="str">
        <f>IFERROR(__xludf.DUMMYFUNCTION("IFERROR(QUERY(IMPORTRANGE(""https://docs.google.com/spreadsheets/d/1z9A1Wq-kKrhRNG5RS2a2fKpY1wIhSVz2ZNmP2mOl588/edit?usp=sharing"",""REQ VF!E4:Q""),""SELECT Col10, Col11, Col12 WHERE Col1 = '""&amp;G362&amp;""'"",0),""NO APLICA"")"),"NO APLICA")</f>
        <v>NO APLICA</v>
      </c>
      <c r="AF362" s="32"/>
      <c r="AG362" s="32"/>
      <c r="AH362" s="13"/>
      <c r="AI362" s="13"/>
    </row>
    <row r="363">
      <c r="A363" s="43"/>
      <c r="B363" s="43"/>
      <c r="C363" s="26" t="b">
        <v>1</v>
      </c>
      <c r="D363" s="26" t="s">
        <v>42</v>
      </c>
      <c r="E363" s="26" t="s">
        <v>1510</v>
      </c>
      <c r="F363" s="59" t="s">
        <v>2773</v>
      </c>
      <c r="G363" s="37" t="s">
        <v>2802</v>
      </c>
      <c r="H363" s="66" t="s">
        <v>2803</v>
      </c>
      <c r="I363" s="43">
        <v>22.0</v>
      </c>
      <c r="J363" s="26">
        <f>IFERROR(__xludf.DUMMYFUNCTION("VLOOKUP(G363,IMPORTRANGE(""https://docs.google.com/spreadsheets/d/12RxCea4e5ggM7QGn1XE3FbLQa_-QbCNdBi90OdPjRqg/edit?gid=1692403370#gid=1692403370"", ""'Plan de Compras'!D4:2432""), 8,0)"),22.0)</f>
        <v>22</v>
      </c>
      <c r="K363" s="26" t="str">
        <f t="shared" si="31"/>
        <v>SI</v>
      </c>
      <c r="L363" s="29"/>
      <c r="M363" s="61"/>
      <c r="N363" s="32"/>
      <c r="O363" s="32" t="str">
        <f>VLOOKUP($G363,'Hoja 10'!$F$4:$AA1057, 19,0)</f>
        <v>#N/A</v>
      </c>
      <c r="P363" s="32" t="str">
        <f>VLOOKUP($G363,'Hoja 10'!$F$4:$AA1057, 20,0)</f>
        <v>#N/A</v>
      </c>
      <c r="Q363" s="41" t="str">
        <f>VLOOKUP($G363,'Hoja 10'!$F$4:$AA1057, 21,0)</f>
        <v>#N/A</v>
      </c>
      <c r="R363" s="32"/>
      <c r="S363" s="44" t="b">
        <v>1</v>
      </c>
      <c r="T363" s="39" t="s">
        <v>47</v>
      </c>
      <c r="U363" s="39" t="s">
        <v>2803</v>
      </c>
      <c r="V363" s="39"/>
      <c r="W363" s="39"/>
      <c r="X363" s="39"/>
      <c r="Y363" s="124"/>
      <c r="Z363" s="37" t="str">
        <f>IFERROR(__xludf.DUMMYFUNCTION("IFERROR(VLOOKUP(G363,IMPORTRANGE(""https://docs.google.com/spreadsheets/d/12RxCea4e5ggM7QGn1XE3FbLQa_-QbCNdBi90OdPjRqg"", ""'Plan de Compras'!D4:Q""), 12, 0), ""NO ESTÁ EN REQ"")"),"Técnica")</f>
        <v>Técnica</v>
      </c>
      <c r="AA363" s="37" t="str">
        <f>IFERROR(__xludf.DUMMYFUNCTION("IFERROR(VLOOKUP(G363,IMPORTRANGE(""https://docs.google.com/spreadsheets/d/12RxCea4e5ggM7QGn1XE3FbLQa_-QbCNdBi90OdPjRqg"", ""'Plan de Compras'!D4:Q""), 13, 0), """")"),"NACIONAL")</f>
        <v>NACIONAL</v>
      </c>
      <c r="AB363" s="32" t="str">
        <f>IFERROR(__xludf.DUMMYFUNCTION("IFERROR(VLOOKUP(G363,IMPORTRANGE(""https://docs.google.com/spreadsheets/d/12RxCea4e5ggM7QGn1XE3FbLQa_-QbCNdBi90OdPjRqg"", ""'Plan de Compras'!D4:Q""), 14, 0), """")"),"ANGIE")</f>
        <v>ANGIE</v>
      </c>
      <c r="AC363" s="72" t="str">
        <f>IFERROR(__xludf.DUMMYFUNCTION("IFERROR(VLOOKUP(G363,IMPORTRANGE(""https://docs.google.com/spreadsheets/d/12RxCea4e5ggM7QGn1XE3FbLQa_-QbCNdBi90OdPjRqg"", ""'Plan de Compras'!D4:Q""), 4, 0), """")"),"BOTELLA AGUA OXIGENADA X 250 ML (1 UND)")</f>
        <v>BOTELLA AGUA OXIGENADA X 250 ML (1 UND)</v>
      </c>
      <c r="AD363" s="37" t="str">
        <f>IFERROR(__xludf.DUMMYFUNCTION("IFERROR(IF(OR(C363=TRUE,C363=""""),VLOOKUP(G363,IMPORTRANGE(""https://docs.google.com/spreadsheets/d/1z9A1Wq-kKrhRNG5RS2a2fKpY1wIhSVz2ZNmP2mOl588/edit?usp=sharing"",""REQ VF!E4:H""),4,0),""NO APLICA""),""GENERAR REQ"")"),"GENERAR REQ")</f>
        <v>GENERAR REQ</v>
      </c>
      <c r="AE363" s="32" t="str">
        <f>IFERROR(__xludf.DUMMYFUNCTION("IFERROR(QUERY(IMPORTRANGE(""https://docs.google.com/spreadsheets/d/1z9A1Wq-kKrhRNG5RS2a2fKpY1wIhSVz2ZNmP2mOl588/edit?usp=sharing"",""REQ VF!E4:Q""),""SELECT Col10, Col11, Col12 WHERE Col1 = '""&amp;G363&amp;""'"",0),""NO APLICA"")"),"NO APLICA")</f>
        <v>NO APLICA</v>
      </c>
      <c r="AF363" s="32"/>
      <c r="AG363" s="32"/>
      <c r="AH363" s="13"/>
      <c r="AI363" s="13"/>
    </row>
    <row r="364">
      <c r="A364" s="117">
        <v>226.0</v>
      </c>
      <c r="B364" s="43" t="b">
        <v>1</v>
      </c>
      <c r="C364" s="26" t="b">
        <v>0</v>
      </c>
      <c r="D364" s="26" t="s">
        <v>35</v>
      </c>
      <c r="E364" s="26" t="s">
        <v>1510</v>
      </c>
      <c r="F364" s="59" t="s">
        <v>2773</v>
      </c>
      <c r="G364" s="37" t="s">
        <v>2804</v>
      </c>
      <c r="H364" s="66" t="s">
        <v>2805</v>
      </c>
      <c r="I364" s="43">
        <v>0.0</v>
      </c>
      <c r="J364" s="26" t="str">
        <f>IFERROR(__xludf.DUMMYFUNCTION("VLOOKUP(G364,IMPORTRANGE(""https://docs.google.com/spreadsheets/d/12RxCea4e5ggM7QGn1XE3FbLQa_-QbCNdBi90OdPjRqg/edit?gid=1692403370#gid=1692403370"", ""'Plan de Compras'!D4:2432""), 8,0)"),"#N/A")</f>
        <v>#N/A</v>
      </c>
      <c r="K364" s="26" t="str">
        <f t="shared" si="31"/>
        <v>-</v>
      </c>
      <c r="L364" s="29" t="s">
        <v>122</v>
      </c>
      <c r="M364" s="30" t="s">
        <v>123</v>
      </c>
      <c r="N364" s="32"/>
      <c r="O364" s="32"/>
      <c r="P364" s="32"/>
      <c r="Q364" s="41"/>
      <c r="R364" s="86" t="s">
        <v>2806</v>
      </c>
      <c r="S364" s="34" t="b">
        <v>1</v>
      </c>
      <c r="T364" s="39" t="str">
        <f>IFERROR(__xludf.DUMMYFUNCTION(" IF
( VLOOKUP($G364,IMPORTRANGE(""https://docs.google.com/spreadsheets/d/1Gpl6jkTg7sL4VDNimUm3S9Vi1i95esohXCF3wuKOE8c"", ""'CONSOLIDADO'!G5:AB""), 10, 0) &lt;&gt; 0, 
IFERROR(VLOOKUP($G364,IMPORTRANGE(""https://docs.google.com/spreadsheets/d/1Gpl6jkTg7sL4VDNimU"&amp;"m3S9Vi1i95esohXCF3wuKOE8c"", ""'CONSOLIDADO'!G5:AB""), 17, 0), ""-""),
""""
)"),"HUGO")</f>
        <v>HUGO</v>
      </c>
      <c r="U364" s="39" t="str">
        <f>IFERROR(__xludf.DUMMYFUNCTION(" IF
( VLOOKUP($G364,IMPORTRANGE(""https://docs.google.com/spreadsheets/d/1Gpl6jkTg7sL4VDNimUm3S9Vi1i95esohXCF3wuKOE8c"", ""'CONSOLIDADO'!G5:AB""), 10, 0) &lt;&gt; 0, 
IFERROR(VLOOKUP($G364,IMPORTRANGE(""https://docs.google.com/spreadsheets/d/1Gpl6jkTg7sL4VDNimU"&amp;"m3S9Vi1i95esohXCF3wuKOE8c"", ""'CONSOLIDADO'!G5:AB""), 18, 0), ""-""),
""""
)"),"A MEDIDA 2")</f>
        <v>A MEDIDA 2</v>
      </c>
      <c r="V364" s="39" t="str">
        <f>IFERROR(__xludf.DUMMYFUNCTION(" IF
( VLOOKUP($G364,IMPORTRANGE(""https://docs.google.com/spreadsheets/d/1Gpl6jkTg7sL4VDNimUm3S9Vi1i95esohXCF3wuKOE8c"", ""'CONSOLIDADO'!G5:AB""), 10, 0) &lt;&gt; 0, 
IFERROR(VLOOKUP($G364,IMPORTRANGE(""https://docs.google.com/spreadsheets/d/1Gpl6jkTg7sL4VDNimU"&amp;"m3S9Vi1i95esohXCF3wuKOE8c"", ""'CONSOLIDADO'!G5:AB""), 17, 0), ""-""),
""""
)"),"HUGO")</f>
        <v>HUGO</v>
      </c>
      <c r="W364" s="39" t="str">
        <f>IFERROR(__xludf.DUMMYFUNCTION(" IF
( VLOOKUP($G364,IMPORTRANGE(""https://docs.google.com/spreadsheets/d/1Gpl6jkTg7sL4VDNimUm3S9Vi1i95esohXCF3wuKOE8c"", ""'CONSOLIDADO'!G5:AB""), 10, 0) &lt;&gt; 0, 
IFERROR(VLOOKUP($G364,IMPORTRANGE(""https://docs.google.com/spreadsheets/d/1Gpl6jkTg7sL4VDNimU"&amp;"m3S9Vi1i95esohXCF3wuKOE8c"", ""'CONSOLIDADO'!G5:AB""), 18, 0), ""-""),
""""
)"),"A MEDIDA 2")</f>
        <v>A MEDIDA 2</v>
      </c>
      <c r="X364" s="39" t="b">
        <f>IF(AND(T364=V364,W364=U364),TRUE,FALSE)</f>
        <v>1</v>
      </c>
      <c r="Y364" s="110" t="str">
        <f>IFERROR(__xludf.DUMMYFUNCTION(" IF
( VLOOKUP($G364,IMPORTRANGE(""https://docs.google.com/spreadsheets/d/1Gpl6jkTg7sL4VDNimUm3S9Vi1i95esohXCF3wuKOE8c"", ""'CONSOLIDADO'!G5:AB""), 10, 0) &lt;&gt; 0, 
IFERROR(VLOOKUP($G364,IMPORTRANGE(""https://docs.google.com/spreadsheets/d/1Gpl6jkTg7sL4VDNimU"&amp;"m3S9Vi1i95esohXCF3wuKOE8c"", ""'CONSOLIDADO'!G5:AB""), 19, 0), ""-""),
""""
)"),"VARIOS")</f>
        <v>VARIOS</v>
      </c>
      <c r="Z364" s="37" t="str">
        <f>IFERROR(__xludf.DUMMYFUNCTION("IFERROR(VLOOKUP(G364,IMPORTRANGE(""https://docs.google.com/spreadsheets/d/12RxCea4e5ggM7QGn1XE3FbLQa_-QbCNdBi90OdPjRqg"", ""'Plan de Compras'!D4:Q""), 12, 0), ""NO ESTÁ EN REQ"")"),"NO ESTÁ EN REQ")</f>
        <v>NO ESTÁ EN REQ</v>
      </c>
      <c r="AA364" s="37" t="str">
        <f>IFERROR(__xludf.DUMMYFUNCTION("IFERROR(VLOOKUP(G364,IMPORTRANGE(""https://docs.google.com/spreadsheets/d/12RxCea4e5ggM7QGn1XE3FbLQa_-QbCNdBi90OdPjRqg"", ""'Plan de Compras'!D4:Q""), 13, 0), """")"),"")</f>
        <v/>
      </c>
      <c r="AB364" s="32" t="str">
        <f>IFERROR(__xludf.DUMMYFUNCTION("IFERROR(VLOOKUP(G364,IMPORTRANGE(""https://docs.google.com/spreadsheets/d/12RxCea4e5ggM7QGn1XE3FbLQa_-QbCNdBi90OdPjRqg"", ""'Plan de Compras'!D4:Q""), 14, 0), """")"),"")</f>
        <v/>
      </c>
      <c r="AC364" s="72" t="str">
        <f>IFERROR(__xludf.DUMMYFUNCTION("IFERROR(VLOOKUP(G364,IMPORTRANGE(""https://docs.google.com/spreadsheets/d/12RxCea4e5ggM7QGn1XE3FbLQa_-QbCNdBi90OdPjRqg"", ""'Plan de Compras'!D4:Q""), 4, 0), """")"),"")</f>
        <v/>
      </c>
      <c r="AD364" s="37" t="str">
        <f>IFERROR(__xludf.DUMMYFUNCTION("IFERROR(IF(OR(C364=TRUE,C364=""""),VLOOKUP(G364,IMPORTRANGE(""https://docs.google.com/spreadsheets/d/1z9A1Wq-kKrhRNG5RS2a2fKpY1wIhSVz2ZNmP2mOl588/edit?usp=sharing"",""REQ VF!E4:H""),4,0),""NO APLICA""),""GENERAR REQ"")"),"NO APLICA")</f>
        <v>NO APLICA</v>
      </c>
      <c r="AE364" s="32" t="str">
        <f>IFERROR(__xludf.DUMMYFUNCTION("IFERROR(QUERY(IMPORTRANGE(""https://docs.google.com/spreadsheets/d/1z9A1Wq-kKrhRNG5RS2a2fKpY1wIhSVz2ZNmP2mOl588/edit?usp=sharing"",""REQ VF!E4:Q""),""SELECT Col10, Col11, Col12 WHERE Col1 = '""&amp;G364&amp;""'"",0),""NO APLICA"")"),"NO APLICA")</f>
        <v>NO APLICA</v>
      </c>
      <c r="AF364" s="32"/>
      <c r="AG364" s="32"/>
      <c r="AH364" s="13"/>
      <c r="AI364" s="13"/>
    </row>
    <row r="365">
      <c r="A365" s="43"/>
      <c r="B365" s="43"/>
      <c r="C365" s="26" t="b">
        <v>0</v>
      </c>
      <c r="D365" s="26" t="s">
        <v>42</v>
      </c>
      <c r="E365" s="26" t="s">
        <v>1510</v>
      </c>
      <c r="F365" s="59" t="s">
        <v>2773</v>
      </c>
      <c r="G365" s="39" t="s">
        <v>2807</v>
      </c>
      <c r="H365" s="66" t="s">
        <v>2779</v>
      </c>
      <c r="I365" s="43">
        <v>0.0</v>
      </c>
      <c r="J365" s="26" t="str">
        <f>IFERROR(__xludf.DUMMYFUNCTION("VLOOKUP(G365,IMPORTRANGE(""https://docs.google.com/spreadsheets/d/12RxCea4e5ggM7QGn1XE3FbLQa_-QbCNdBi90OdPjRqg/edit?gid=1692403370#gid=1692403370"", ""'Plan de Compras'!D4:2432""), 8,0)"),"#N/A")</f>
        <v>#N/A</v>
      </c>
      <c r="K365" s="26" t="str">
        <f t="shared" si="31"/>
        <v>-</v>
      </c>
      <c r="L365" s="26"/>
      <c r="M365" s="32"/>
      <c r="N365" s="32"/>
      <c r="O365" s="32"/>
      <c r="P365" s="32"/>
      <c r="Q365" s="41"/>
      <c r="R365" s="32"/>
      <c r="S365" s="34" t="b">
        <v>1</v>
      </c>
      <c r="T365" s="39" t="s">
        <v>2300</v>
      </c>
      <c r="U365" s="39" t="s">
        <v>2808</v>
      </c>
      <c r="V365" s="39"/>
      <c r="W365" s="39"/>
      <c r="X365" s="39"/>
      <c r="Y365" s="124"/>
      <c r="Z365" s="37" t="str">
        <f>IFERROR(__xludf.DUMMYFUNCTION("IFERROR(VLOOKUP(G365,IMPORTRANGE(""https://docs.google.com/spreadsheets/d/12RxCea4e5ggM7QGn1XE3FbLQa_-QbCNdBi90OdPjRqg"", ""'Plan de Compras'!D4:Q""), 12, 0), ""NO ESTÁ EN REQ"")"),"NO ESTÁ EN REQ")</f>
        <v>NO ESTÁ EN REQ</v>
      </c>
      <c r="AA365" s="37" t="str">
        <f>IFERROR(__xludf.DUMMYFUNCTION("IFERROR(VLOOKUP(G365,IMPORTRANGE(""https://docs.google.com/spreadsheets/d/12RxCea4e5ggM7QGn1XE3FbLQa_-QbCNdBi90OdPjRqg"", ""'Plan de Compras'!D4:Q""), 13, 0), """")"),"")</f>
        <v/>
      </c>
      <c r="AB365" s="32" t="str">
        <f>IFERROR(__xludf.DUMMYFUNCTION("IFERROR(VLOOKUP(G365,IMPORTRANGE(""https://docs.google.com/spreadsheets/d/12RxCea4e5ggM7QGn1XE3FbLQa_-QbCNdBi90OdPjRqg"", ""'Plan de Compras'!D4:Q""), 14, 0), """")"),"")</f>
        <v/>
      </c>
      <c r="AC365" s="72" t="str">
        <f>IFERROR(__xludf.DUMMYFUNCTION("IFERROR(VLOOKUP(G365,IMPORTRANGE(""https://docs.google.com/spreadsheets/d/12RxCea4e5ggM7QGn1XE3FbLQa_-QbCNdBi90OdPjRqg"", ""'Plan de Compras'!D4:Q""), 4, 0), """")"),"")</f>
        <v/>
      </c>
      <c r="AD365" s="37" t="str">
        <f>IFERROR(__xludf.DUMMYFUNCTION("IFERROR(IF(OR(C365=TRUE,C365=""""),VLOOKUP(G365,IMPORTRANGE(""https://docs.google.com/spreadsheets/d/1z9A1Wq-kKrhRNG5RS2a2fKpY1wIhSVz2ZNmP2mOl588/edit?usp=sharing"",""REQ VF!E4:H""),4,0),""NO APLICA""),""GENERAR REQ"")"),"NO APLICA")</f>
        <v>NO APLICA</v>
      </c>
      <c r="AE365" s="32" t="str">
        <f>IFERROR(__xludf.DUMMYFUNCTION("IFERROR(QUERY(IMPORTRANGE(""https://docs.google.com/spreadsheets/d/1z9A1Wq-kKrhRNG5RS2a2fKpY1wIhSVz2ZNmP2mOl588/edit?usp=sharing"",""REQ VF!E4:Q""),""SELECT Col10, Col11, Col12 WHERE Col1 = '""&amp;G365&amp;""'"",0),""NO APLICA"")"),"NO APLICA")</f>
        <v>NO APLICA</v>
      </c>
      <c r="AF365" s="32"/>
      <c r="AG365" s="32"/>
      <c r="AH365" s="13"/>
      <c r="AI365" s="13"/>
    </row>
    <row r="366">
      <c r="A366" s="43"/>
      <c r="B366" s="43"/>
      <c r="C366" s="26" t="b">
        <v>0</v>
      </c>
      <c r="D366" s="26" t="s">
        <v>42</v>
      </c>
      <c r="E366" s="26" t="s">
        <v>1510</v>
      </c>
      <c r="F366" s="59" t="s">
        <v>2773</v>
      </c>
      <c r="G366" s="39" t="s">
        <v>2809</v>
      </c>
      <c r="H366" s="66" t="s">
        <v>2781</v>
      </c>
      <c r="I366" s="43">
        <v>0.0</v>
      </c>
      <c r="J366" s="26" t="str">
        <f>IFERROR(__xludf.DUMMYFUNCTION("VLOOKUP(G366,IMPORTRANGE(""https://docs.google.com/spreadsheets/d/12RxCea4e5ggM7QGn1XE3FbLQa_-QbCNdBi90OdPjRqg/edit?gid=1692403370#gid=1692403370"", ""'Plan de Compras'!D4:2432""), 8,0)"),"#N/A")</f>
        <v>#N/A</v>
      </c>
      <c r="K366" s="26" t="str">
        <f t="shared" si="31"/>
        <v>-</v>
      </c>
      <c r="L366" s="26"/>
      <c r="M366" s="32"/>
      <c r="N366" s="32"/>
      <c r="O366" s="32"/>
      <c r="P366" s="32"/>
      <c r="Q366" s="41"/>
      <c r="R366" s="32"/>
      <c r="S366" s="34" t="b">
        <v>1</v>
      </c>
      <c r="T366" s="39" t="s">
        <v>2300</v>
      </c>
      <c r="U366" s="39" t="s">
        <v>2808</v>
      </c>
      <c r="V366" s="39"/>
      <c r="W366" s="39"/>
      <c r="X366" s="39"/>
      <c r="Y366" s="124"/>
      <c r="Z366" s="37" t="str">
        <f>IFERROR(__xludf.DUMMYFUNCTION("IFERROR(VLOOKUP(G366,IMPORTRANGE(""https://docs.google.com/spreadsheets/d/12RxCea4e5ggM7QGn1XE3FbLQa_-QbCNdBi90OdPjRqg"", ""'Plan de Compras'!D4:Q""), 12, 0), ""NO ESTÁ EN REQ"")"),"NO ESTÁ EN REQ")</f>
        <v>NO ESTÁ EN REQ</v>
      </c>
      <c r="AA366" s="37" t="str">
        <f>IFERROR(__xludf.DUMMYFUNCTION("IFERROR(VLOOKUP(G366,IMPORTRANGE(""https://docs.google.com/spreadsheets/d/12RxCea4e5ggM7QGn1XE3FbLQa_-QbCNdBi90OdPjRqg"", ""'Plan de Compras'!D4:Q""), 13, 0), """")"),"")</f>
        <v/>
      </c>
      <c r="AB366" s="32" t="str">
        <f>IFERROR(__xludf.DUMMYFUNCTION("IFERROR(VLOOKUP(G366,IMPORTRANGE(""https://docs.google.com/spreadsheets/d/12RxCea4e5ggM7QGn1XE3FbLQa_-QbCNdBi90OdPjRqg"", ""'Plan de Compras'!D4:Q""), 14, 0), """")"),"")</f>
        <v/>
      </c>
      <c r="AC366" s="72" t="str">
        <f>IFERROR(__xludf.DUMMYFUNCTION("IFERROR(VLOOKUP(G366,IMPORTRANGE(""https://docs.google.com/spreadsheets/d/12RxCea4e5ggM7QGn1XE3FbLQa_-QbCNdBi90OdPjRqg"", ""'Plan de Compras'!D4:Q""), 4, 0), """")"),"")</f>
        <v/>
      </c>
      <c r="AD366" s="37" t="str">
        <f>IFERROR(__xludf.DUMMYFUNCTION("IFERROR(IF(OR(C366=TRUE,C366=""""),VLOOKUP(G366,IMPORTRANGE(""https://docs.google.com/spreadsheets/d/1z9A1Wq-kKrhRNG5RS2a2fKpY1wIhSVz2ZNmP2mOl588/edit?usp=sharing"",""REQ VF!E4:H""),4,0),""NO APLICA""),""GENERAR REQ"")"),"NO APLICA")</f>
        <v>NO APLICA</v>
      </c>
      <c r="AE366" s="32" t="str">
        <f>IFERROR(__xludf.DUMMYFUNCTION("IFERROR(QUERY(IMPORTRANGE(""https://docs.google.com/spreadsheets/d/1z9A1Wq-kKrhRNG5RS2a2fKpY1wIhSVz2ZNmP2mOl588/edit?usp=sharing"",""REQ VF!E4:Q""),""SELECT Col10, Col11, Col12 WHERE Col1 = '""&amp;G366&amp;""'"",0),""NO APLICA"")"),"NO APLICA")</f>
        <v>NO APLICA</v>
      </c>
      <c r="AF366" s="32"/>
      <c r="AG366" s="32"/>
      <c r="AH366" s="13"/>
      <c r="AI366" s="13"/>
    </row>
    <row r="367">
      <c r="A367" s="43"/>
      <c r="B367" s="43"/>
      <c r="C367" s="26" t="b">
        <v>0</v>
      </c>
      <c r="D367" s="26" t="s">
        <v>42</v>
      </c>
      <c r="E367" s="26" t="s">
        <v>1510</v>
      </c>
      <c r="F367" s="59" t="s">
        <v>2773</v>
      </c>
      <c r="G367" s="39" t="s">
        <v>2810</v>
      </c>
      <c r="H367" s="66" t="s">
        <v>2781</v>
      </c>
      <c r="I367" s="43">
        <v>0.0</v>
      </c>
      <c r="J367" s="26" t="str">
        <f>IFERROR(__xludf.DUMMYFUNCTION("VLOOKUP(G367,IMPORTRANGE(""https://docs.google.com/spreadsheets/d/12RxCea4e5ggM7QGn1XE3FbLQa_-QbCNdBi90OdPjRqg/edit?gid=1692403370#gid=1692403370"", ""'Plan de Compras'!D4:2432""), 8,0)"),"#N/A")</f>
        <v>#N/A</v>
      </c>
      <c r="K367" s="26" t="str">
        <f t="shared" si="31"/>
        <v>-</v>
      </c>
      <c r="L367" s="26"/>
      <c r="M367" s="32"/>
      <c r="N367" s="32"/>
      <c r="O367" s="32"/>
      <c r="P367" s="32"/>
      <c r="Q367" s="41"/>
      <c r="R367" s="32"/>
      <c r="S367" s="34" t="b">
        <v>1</v>
      </c>
      <c r="T367" s="39" t="s">
        <v>2300</v>
      </c>
      <c r="U367" s="39" t="s">
        <v>2808</v>
      </c>
      <c r="V367" s="39"/>
      <c r="W367" s="39"/>
      <c r="X367" s="39"/>
      <c r="Y367" s="124"/>
      <c r="Z367" s="37" t="str">
        <f>IFERROR(__xludf.DUMMYFUNCTION("IFERROR(VLOOKUP(G367,IMPORTRANGE(""https://docs.google.com/spreadsheets/d/12RxCea4e5ggM7QGn1XE3FbLQa_-QbCNdBi90OdPjRqg"", ""'Plan de Compras'!D4:Q""), 12, 0), ""NO ESTÁ EN REQ"")"),"NO ESTÁ EN REQ")</f>
        <v>NO ESTÁ EN REQ</v>
      </c>
      <c r="AA367" s="37" t="str">
        <f>IFERROR(__xludf.DUMMYFUNCTION("IFERROR(VLOOKUP(G367,IMPORTRANGE(""https://docs.google.com/spreadsheets/d/12RxCea4e5ggM7QGn1XE3FbLQa_-QbCNdBi90OdPjRqg"", ""'Plan de Compras'!D4:Q""), 13, 0), """")"),"")</f>
        <v/>
      </c>
      <c r="AB367" s="32" t="str">
        <f>IFERROR(__xludf.DUMMYFUNCTION("IFERROR(VLOOKUP(G367,IMPORTRANGE(""https://docs.google.com/spreadsheets/d/12RxCea4e5ggM7QGn1XE3FbLQa_-QbCNdBi90OdPjRqg"", ""'Plan de Compras'!D4:Q""), 14, 0), """")"),"")</f>
        <v/>
      </c>
      <c r="AC367" s="72" t="str">
        <f>IFERROR(__xludf.DUMMYFUNCTION("IFERROR(VLOOKUP(G367,IMPORTRANGE(""https://docs.google.com/spreadsheets/d/12RxCea4e5ggM7QGn1XE3FbLQa_-QbCNdBi90OdPjRqg"", ""'Plan de Compras'!D4:Q""), 4, 0), """")"),"")</f>
        <v/>
      </c>
      <c r="AD367" s="37" t="str">
        <f>IFERROR(__xludf.DUMMYFUNCTION("IFERROR(IF(OR(C367=TRUE,C367=""""),VLOOKUP(G367,IMPORTRANGE(""https://docs.google.com/spreadsheets/d/1z9A1Wq-kKrhRNG5RS2a2fKpY1wIhSVz2ZNmP2mOl588/edit?usp=sharing"",""REQ VF!E4:H""),4,0),""NO APLICA""),""GENERAR REQ"")"),"NO APLICA")</f>
        <v>NO APLICA</v>
      </c>
      <c r="AE367" s="32" t="str">
        <f>IFERROR(__xludf.DUMMYFUNCTION("IFERROR(QUERY(IMPORTRANGE(""https://docs.google.com/spreadsheets/d/1z9A1Wq-kKrhRNG5RS2a2fKpY1wIhSVz2ZNmP2mOl588/edit?usp=sharing"",""REQ VF!E4:Q""),""SELECT Col10, Col11, Col12 WHERE Col1 = '""&amp;G367&amp;""'"",0),""NO APLICA"")"),"NO APLICA")</f>
        <v>NO APLICA</v>
      </c>
      <c r="AF367" s="32"/>
      <c r="AG367" s="32"/>
      <c r="AH367" s="13"/>
      <c r="AI367" s="13"/>
    </row>
    <row r="368">
      <c r="A368" s="43"/>
      <c r="B368" s="43"/>
      <c r="C368" s="26" t="b">
        <v>0</v>
      </c>
      <c r="D368" s="26" t="s">
        <v>42</v>
      </c>
      <c r="E368" s="26" t="s">
        <v>1510</v>
      </c>
      <c r="F368" s="59" t="s">
        <v>2773</v>
      </c>
      <c r="G368" s="39" t="s">
        <v>2811</v>
      </c>
      <c r="H368" s="66" t="s">
        <v>2785</v>
      </c>
      <c r="I368" s="43">
        <v>0.0</v>
      </c>
      <c r="J368" s="26" t="str">
        <f>IFERROR(__xludf.DUMMYFUNCTION("VLOOKUP(G368,IMPORTRANGE(""https://docs.google.com/spreadsheets/d/12RxCea4e5ggM7QGn1XE3FbLQa_-QbCNdBi90OdPjRqg/edit?gid=1692403370#gid=1692403370"", ""'Plan de Compras'!D4:2432""), 8,0)"),"#N/A")</f>
        <v>#N/A</v>
      </c>
      <c r="K368" s="26" t="str">
        <f t="shared" si="31"/>
        <v>-</v>
      </c>
      <c r="L368" s="26"/>
      <c r="M368" s="32"/>
      <c r="N368" s="32"/>
      <c r="O368" s="32"/>
      <c r="P368" s="32"/>
      <c r="Q368" s="41"/>
      <c r="R368" s="32"/>
      <c r="S368" s="34" t="b">
        <v>1</v>
      </c>
      <c r="T368" s="39" t="s">
        <v>2300</v>
      </c>
      <c r="U368" s="39" t="s">
        <v>2808</v>
      </c>
      <c r="V368" s="39"/>
      <c r="W368" s="39"/>
      <c r="X368" s="39"/>
      <c r="Y368" s="124"/>
      <c r="Z368" s="37" t="str">
        <f>IFERROR(__xludf.DUMMYFUNCTION("IFERROR(VLOOKUP(G368,IMPORTRANGE(""https://docs.google.com/spreadsheets/d/12RxCea4e5ggM7QGn1XE3FbLQa_-QbCNdBi90OdPjRqg"", ""'Plan de Compras'!D4:Q""), 12, 0), ""NO ESTÁ EN REQ"")"),"NO ESTÁ EN REQ")</f>
        <v>NO ESTÁ EN REQ</v>
      </c>
      <c r="AA368" s="37" t="str">
        <f>IFERROR(__xludf.DUMMYFUNCTION("IFERROR(VLOOKUP(G368,IMPORTRANGE(""https://docs.google.com/spreadsheets/d/12RxCea4e5ggM7QGn1XE3FbLQa_-QbCNdBi90OdPjRqg"", ""'Plan de Compras'!D4:Q""), 13, 0), """")"),"")</f>
        <v/>
      </c>
      <c r="AB368" s="32" t="str">
        <f>IFERROR(__xludf.DUMMYFUNCTION("IFERROR(VLOOKUP(G368,IMPORTRANGE(""https://docs.google.com/spreadsheets/d/12RxCea4e5ggM7QGn1XE3FbLQa_-QbCNdBi90OdPjRqg"", ""'Plan de Compras'!D4:Q""), 14, 0), """")"),"")</f>
        <v/>
      </c>
      <c r="AC368" s="72" t="str">
        <f>IFERROR(__xludf.DUMMYFUNCTION("IFERROR(VLOOKUP(G368,IMPORTRANGE(""https://docs.google.com/spreadsheets/d/12RxCea4e5ggM7QGn1XE3FbLQa_-QbCNdBi90OdPjRqg"", ""'Plan de Compras'!D4:Q""), 4, 0), """")"),"")</f>
        <v/>
      </c>
      <c r="AD368" s="37" t="str">
        <f>IFERROR(__xludf.DUMMYFUNCTION("IFERROR(IF(OR(C368=TRUE,C368=""""),VLOOKUP(G368,IMPORTRANGE(""https://docs.google.com/spreadsheets/d/1z9A1Wq-kKrhRNG5RS2a2fKpY1wIhSVz2ZNmP2mOl588/edit?usp=sharing"",""REQ VF!E4:H""),4,0),""NO APLICA""),""GENERAR REQ"")"),"NO APLICA")</f>
        <v>NO APLICA</v>
      </c>
      <c r="AE368" s="32" t="str">
        <f>IFERROR(__xludf.DUMMYFUNCTION("IFERROR(QUERY(IMPORTRANGE(""https://docs.google.com/spreadsheets/d/1z9A1Wq-kKrhRNG5RS2a2fKpY1wIhSVz2ZNmP2mOl588/edit?usp=sharing"",""REQ VF!E4:Q""),""SELECT Col10, Col11, Col12 WHERE Col1 = '""&amp;G368&amp;""'"",0),""NO APLICA"")"),"NO APLICA")</f>
        <v>NO APLICA</v>
      </c>
      <c r="AF368" s="32"/>
      <c r="AG368" s="32"/>
      <c r="AH368" s="13"/>
      <c r="AI368" s="13"/>
    </row>
    <row r="369">
      <c r="A369" s="43"/>
      <c r="B369" s="43"/>
      <c r="C369" s="26" t="b">
        <v>0</v>
      </c>
      <c r="D369" s="26" t="s">
        <v>42</v>
      </c>
      <c r="E369" s="26" t="s">
        <v>1510</v>
      </c>
      <c r="F369" s="59" t="s">
        <v>2773</v>
      </c>
      <c r="G369" s="39" t="s">
        <v>2812</v>
      </c>
      <c r="H369" s="66" t="s">
        <v>2787</v>
      </c>
      <c r="I369" s="43">
        <v>0.0</v>
      </c>
      <c r="J369" s="26" t="str">
        <f>IFERROR(__xludf.DUMMYFUNCTION("VLOOKUP(G369,IMPORTRANGE(""https://docs.google.com/spreadsheets/d/12RxCea4e5ggM7QGn1XE3FbLQa_-QbCNdBi90OdPjRqg/edit?gid=1692403370#gid=1692403370"", ""'Plan de Compras'!D4:2432""), 8,0)"),"#N/A")</f>
        <v>#N/A</v>
      </c>
      <c r="K369" s="26" t="str">
        <f t="shared" si="31"/>
        <v>-</v>
      </c>
      <c r="L369" s="26"/>
      <c r="M369" s="32"/>
      <c r="N369" s="32"/>
      <c r="O369" s="32"/>
      <c r="P369" s="32"/>
      <c r="Q369" s="41"/>
      <c r="R369" s="32"/>
      <c r="S369" s="34" t="b">
        <v>1</v>
      </c>
      <c r="T369" s="39" t="s">
        <v>2300</v>
      </c>
      <c r="U369" s="39" t="s">
        <v>2808</v>
      </c>
      <c r="V369" s="39"/>
      <c r="W369" s="39"/>
      <c r="X369" s="39"/>
      <c r="Y369" s="124"/>
      <c r="Z369" s="37" t="str">
        <f>IFERROR(__xludf.DUMMYFUNCTION("IFERROR(VLOOKUP(G369,IMPORTRANGE(""https://docs.google.com/spreadsheets/d/12RxCea4e5ggM7QGn1XE3FbLQa_-QbCNdBi90OdPjRqg"", ""'Plan de Compras'!D4:Q""), 12, 0), ""NO ESTÁ EN REQ"")"),"NO ESTÁ EN REQ")</f>
        <v>NO ESTÁ EN REQ</v>
      </c>
      <c r="AA369" s="37" t="str">
        <f>IFERROR(__xludf.DUMMYFUNCTION("IFERROR(VLOOKUP(G369,IMPORTRANGE(""https://docs.google.com/spreadsheets/d/12RxCea4e5ggM7QGn1XE3FbLQa_-QbCNdBi90OdPjRqg"", ""'Plan de Compras'!D4:Q""), 13, 0), """")"),"")</f>
        <v/>
      </c>
      <c r="AB369" s="32" t="str">
        <f>IFERROR(__xludf.DUMMYFUNCTION("IFERROR(VLOOKUP(G369,IMPORTRANGE(""https://docs.google.com/spreadsheets/d/12RxCea4e5ggM7QGn1XE3FbLQa_-QbCNdBi90OdPjRqg"", ""'Plan de Compras'!D4:Q""), 14, 0), """")"),"")</f>
        <v/>
      </c>
      <c r="AC369" s="72" t="str">
        <f>IFERROR(__xludf.DUMMYFUNCTION("IFERROR(VLOOKUP(G369,IMPORTRANGE(""https://docs.google.com/spreadsheets/d/12RxCea4e5ggM7QGn1XE3FbLQa_-QbCNdBi90OdPjRqg"", ""'Plan de Compras'!D4:Q""), 4, 0), """")"),"")</f>
        <v/>
      </c>
      <c r="AD369" s="37" t="str">
        <f>IFERROR(__xludf.DUMMYFUNCTION("IFERROR(IF(OR(C369=TRUE,C369=""""),VLOOKUP(G369,IMPORTRANGE(""https://docs.google.com/spreadsheets/d/1z9A1Wq-kKrhRNG5RS2a2fKpY1wIhSVz2ZNmP2mOl588/edit?usp=sharing"",""REQ VF!E4:H""),4,0),""NO APLICA""),""GENERAR REQ"")"),"NO APLICA")</f>
        <v>NO APLICA</v>
      </c>
      <c r="AE369" s="32" t="str">
        <f>IFERROR(__xludf.DUMMYFUNCTION("IFERROR(QUERY(IMPORTRANGE(""https://docs.google.com/spreadsheets/d/1z9A1Wq-kKrhRNG5RS2a2fKpY1wIhSVz2ZNmP2mOl588/edit?usp=sharing"",""REQ VF!E4:Q""),""SELECT Col10, Col11, Col12 WHERE Col1 = '""&amp;G369&amp;""'"",0),""NO APLICA"")"),"NO APLICA")</f>
        <v>NO APLICA</v>
      </c>
      <c r="AF369" s="32"/>
      <c r="AG369" s="32"/>
      <c r="AH369" s="13"/>
      <c r="AI369" s="13"/>
    </row>
    <row r="370">
      <c r="A370" s="43"/>
      <c r="B370" s="43"/>
      <c r="C370" s="26" t="b">
        <v>0</v>
      </c>
      <c r="D370" s="26" t="s">
        <v>42</v>
      </c>
      <c r="E370" s="26" t="s">
        <v>1510</v>
      </c>
      <c r="F370" s="59" t="s">
        <v>2773</v>
      </c>
      <c r="G370" s="39" t="s">
        <v>2813</v>
      </c>
      <c r="H370" s="66" t="s">
        <v>2789</v>
      </c>
      <c r="I370" s="43">
        <v>0.0</v>
      </c>
      <c r="J370" s="26" t="str">
        <f>IFERROR(__xludf.DUMMYFUNCTION("VLOOKUP(G370,IMPORTRANGE(""https://docs.google.com/spreadsheets/d/12RxCea4e5ggM7QGn1XE3FbLQa_-QbCNdBi90OdPjRqg/edit?gid=1692403370#gid=1692403370"", ""'Plan de Compras'!D4:2432""), 8,0)"),"#N/A")</f>
        <v>#N/A</v>
      </c>
      <c r="K370" s="26" t="str">
        <f t="shared" si="31"/>
        <v>-</v>
      </c>
      <c r="L370" s="26"/>
      <c r="M370" s="32"/>
      <c r="N370" s="32"/>
      <c r="O370" s="32"/>
      <c r="P370" s="32"/>
      <c r="Q370" s="41"/>
      <c r="R370" s="32"/>
      <c r="S370" s="34" t="b">
        <v>1</v>
      </c>
      <c r="T370" s="39" t="s">
        <v>2300</v>
      </c>
      <c r="U370" s="39" t="s">
        <v>2808</v>
      </c>
      <c r="V370" s="39"/>
      <c r="W370" s="39"/>
      <c r="X370" s="39"/>
      <c r="Y370" s="124"/>
      <c r="Z370" s="37" t="str">
        <f>IFERROR(__xludf.DUMMYFUNCTION("IFERROR(VLOOKUP(G370,IMPORTRANGE(""https://docs.google.com/spreadsheets/d/12RxCea4e5ggM7QGn1XE3FbLQa_-QbCNdBi90OdPjRqg"", ""'Plan de Compras'!D4:Q""), 12, 0), ""NO ESTÁ EN REQ"")"),"NO ESTÁ EN REQ")</f>
        <v>NO ESTÁ EN REQ</v>
      </c>
      <c r="AA370" s="37" t="str">
        <f>IFERROR(__xludf.DUMMYFUNCTION("IFERROR(VLOOKUP(G370,IMPORTRANGE(""https://docs.google.com/spreadsheets/d/12RxCea4e5ggM7QGn1XE3FbLQa_-QbCNdBi90OdPjRqg"", ""'Plan de Compras'!D4:Q""), 13, 0), """")"),"")</f>
        <v/>
      </c>
      <c r="AB370" s="32" t="str">
        <f>IFERROR(__xludf.DUMMYFUNCTION("IFERROR(VLOOKUP(G370,IMPORTRANGE(""https://docs.google.com/spreadsheets/d/12RxCea4e5ggM7QGn1XE3FbLQa_-QbCNdBi90OdPjRqg"", ""'Plan de Compras'!D4:Q""), 14, 0), """")"),"")</f>
        <v/>
      </c>
      <c r="AC370" s="72" t="str">
        <f>IFERROR(__xludf.DUMMYFUNCTION("IFERROR(VLOOKUP(G370,IMPORTRANGE(""https://docs.google.com/spreadsheets/d/12RxCea4e5ggM7QGn1XE3FbLQa_-QbCNdBi90OdPjRqg"", ""'Plan de Compras'!D4:Q""), 4, 0), """")"),"")</f>
        <v/>
      </c>
      <c r="AD370" s="37" t="str">
        <f>IFERROR(__xludf.DUMMYFUNCTION("IFERROR(IF(OR(C370=TRUE,C370=""""),VLOOKUP(G370,IMPORTRANGE(""https://docs.google.com/spreadsheets/d/1z9A1Wq-kKrhRNG5RS2a2fKpY1wIhSVz2ZNmP2mOl588/edit?usp=sharing"",""REQ VF!E4:H""),4,0),""NO APLICA""),""GENERAR REQ"")"),"NO APLICA")</f>
        <v>NO APLICA</v>
      </c>
      <c r="AE370" s="32" t="str">
        <f>IFERROR(__xludf.DUMMYFUNCTION("IFERROR(QUERY(IMPORTRANGE(""https://docs.google.com/spreadsheets/d/1z9A1Wq-kKrhRNG5RS2a2fKpY1wIhSVz2ZNmP2mOl588/edit?usp=sharing"",""REQ VF!E4:Q""),""SELECT Col10, Col11, Col12 WHERE Col1 = '""&amp;G370&amp;""'"",0),""NO APLICA"")"),"NO APLICA")</f>
        <v>NO APLICA</v>
      </c>
      <c r="AF370" s="32"/>
      <c r="AG370" s="32"/>
      <c r="AH370" s="13"/>
      <c r="AI370" s="13"/>
    </row>
    <row r="371">
      <c r="A371" s="43"/>
      <c r="B371" s="43"/>
      <c r="C371" s="26" t="b">
        <v>0</v>
      </c>
      <c r="D371" s="26" t="s">
        <v>42</v>
      </c>
      <c r="E371" s="26" t="s">
        <v>1510</v>
      </c>
      <c r="F371" s="59" t="s">
        <v>2773</v>
      </c>
      <c r="G371" s="39" t="s">
        <v>2814</v>
      </c>
      <c r="H371" s="66" t="s">
        <v>2791</v>
      </c>
      <c r="I371" s="43">
        <v>0.0</v>
      </c>
      <c r="J371" s="26" t="str">
        <f>IFERROR(__xludf.DUMMYFUNCTION("VLOOKUP(G371,IMPORTRANGE(""https://docs.google.com/spreadsheets/d/12RxCea4e5ggM7QGn1XE3FbLQa_-QbCNdBi90OdPjRqg/edit?gid=1692403370#gid=1692403370"", ""'Plan de Compras'!D4:2432""), 8,0)"),"#N/A")</f>
        <v>#N/A</v>
      </c>
      <c r="K371" s="26" t="str">
        <f t="shared" si="31"/>
        <v>-</v>
      </c>
      <c r="L371" s="26"/>
      <c r="M371" s="32"/>
      <c r="N371" s="32"/>
      <c r="O371" s="32"/>
      <c r="P371" s="32"/>
      <c r="Q371" s="41"/>
      <c r="R371" s="32"/>
      <c r="S371" s="34" t="b">
        <v>1</v>
      </c>
      <c r="T371" s="39" t="s">
        <v>2300</v>
      </c>
      <c r="U371" s="39" t="s">
        <v>2808</v>
      </c>
      <c r="V371" s="39"/>
      <c r="W371" s="39"/>
      <c r="X371" s="39"/>
      <c r="Y371" s="124"/>
      <c r="Z371" s="37" t="str">
        <f>IFERROR(__xludf.DUMMYFUNCTION("IFERROR(VLOOKUP(G371,IMPORTRANGE(""https://docs.google.com/spreadsheets/d/12RxCea4e5ggM7QGn1XE3FbLQa_-QbCNdBi90OdPjRqg"", ""'Plan de Compras'!D4:Q""), 12, 0), ""NO ESTÁ EN REQ"")"),"NO ESTÁ EN REQ")</f>
        <v>NO ESTÁ EN REQ</v>
      </c>
      <c r="AA371" s="37" t="str">
        <f>IFERROR(__xludf.DUMMYFUNCTION("IFERROR(VLOOKUP(G371,IMPORTRANGE(""https://docs.google.com/spreadsheets/d/12RxCea4e5ggM7QGn1XE3FbLQa_-QbCNdBi90OdPjRqg"", ""'Plan de Compras'!D4:Q""), 13, 0), """")"),"")</f>
        <v/>
      </c>
      <c r="AB371" s="32" t="str">
        <f>IFERROR(__xludf.DUMMYFUNCTION("IFERROR(VLOOKUP(G371,IMPORTRANGE(""https://docs.google.com/spreadsheets/d/12RxCea4e5ggM7QGn1XE3FbLQa_-QbCNdBi90OdPjRqg"", ""'Plan de Compras'!D4:Q""), 14, 0), """")"),"")</f>
        <v/>
      </c>
      <c r="AC371" s="72" t="str">
        <f>IFERROR(__xludf.DUMMYFUNCTION("IFERROR(VLOOKUP(G371,IMPORTRANGE(""https://docs.google.com/spreadsheets/d/12RxCea4e5ggM7QGn1XE3FbLQa_-QbCNdBi90OdPjRqg"", ""'Plan de Compras'!D4:Q""), 4, 0), """")"),"")</f>
        <v/>
      </c>
      <c r="AD371" s="37" t="str">
        <f>IFERROR(__xludf.DUMMYFUNCTION("IFERROR(IF(OR(C371=TRUE,C371=""""),VLOOKUP(G371,IMPORTRANGE(""https://docs.google.com/spreadsheets/d/1z9A1Wq-kKrhRNG5RS2a2fKpY1wIhSVz2ZNmP2mOl588/edit?usp=sharing"",""REQ VF!E4:H""),4,0),""NO APLICA""),""GENERAR REQ"")"),"NO APLICA")</f>
        <v>NO APLICA</v>
      </c>
      <c r="AE371" s="32" t="str">
        <f>IFERROR(__xludf.DUMMYFUNCTION("IFERROR(QUERY(IMPORTRANGE(""https://docs.google.com/spreadsheets/d/1z9A1Wq-kKrhRNG5RS2a2fKpY1wIhSVz2ZNmP2mOl588/edit?usp=sharing"",""REQ VF!E4:Q""),""SELECT Col10, Col11, Col12 WHERE Col1 = '""&amp;G371&amp;""'"",0),""NO APLICA"")"),"NO APLICA")</f>
        <v>NO APLICA</v>
      </c>
      <c r="AF371" s="32"/>
      <c r="AG371" s="32"/>
      <c r="AH371" s="13"/>
      <c r="AI371" s="13"/>
    </row>
    <row r="372">
      <c r="A372" s="43"/>
      <c r="B372" s="43"/>
      <c r="C372" s="26" t="b">
        <v>0</v>
      </c>
      <c r="D372" s="26" t="s">
        <v>42</v>
      </c>
      <c r="E372" s="26" t="s">
        <v>1510</v>
      </c>
      <c r="F372" s="59" t="s">
        <v>2773</v>
      </c>
      <c r="G372" s="39" t="s">
        <v>2815</v>
      </c>
      <c r="H372" s="66" t="s">
        <v>2816</v>
      </c>
      <c r="I372" s="43">
        <v>0.0</v>
      </c>
      <c r="J372" s="26" t="str">
        <f>IFERROR(__xludf.DUMMYFUNCTION("VLOOKUP(G372,IMPORTRANGE(""https://docs.google.com/spreadsheets/d/12RxCea4e5ggM7QGn1XE3FbLQa_-QbCNdBi90OdPjRqg/edit?gid=1692403370#gid=1692403370"", ""'Plan de Compras'!D4:2432""), 8,0)"),"#N/A")</f>
        <v>#N/A</v>
      </c>
      <c r="K372" s="26" t="str">
        <f t="shared" si="31"/>
        <v>-</v>
      </c>
      <c r="L372" s="26"/>
      <c r="M372" s="32"/>
      <c r="N372" s="32"/>
      <c r="O372" s="32"/>
      <c r="P372" s="32"/>
      <c r="Q372" s="41"/>
      <c r="R372" s="32"/>
      <c r="S372" s="34" t="b">
        <v>1</v>
      </c>
      <c r="T372" s="39" t="s">
        <v>2300</v>
      </c>
      <c r="U372" s="39" t="s">
        <v>2808</v>
      </c>
      <c r="V372" s="39"/>
      <c r="W372" s="39"/>
      <c r="X372" s="39"/>
      <c r="Y372" s="124"/>
      <c r="Z372" s="37" t="str">
        <f>IFERROR(__xludf.DUMMYFUNCTION("IFERROR(VLOOKUP(G372,IMPORTRANGE(""https://docs.google.com/spreadsheets/d/12RxCea4e5ggM7QGn1XE3FbLQa_-QbCNdBi90OdPjRqg"", ""'Plan de Compras'!D4:Q""), 12, 0), ""NO ESTÁ EN REQ"")"),"NO ESTÁ EN REQ")</f>
        <v>NO ESTÁ EN REQ</v>
      </c>
      <c r="AA372" s="37" t="str">
        <f>IFERROR(__xludf.DUMMYFUNCTION("IFERROR(VLOOKUP(G372,IMPORTRANGE(""https://docs.google.com/spreadsheets/d/12RxCea4e5ggM7QGn1XE3FbLQa_-QbCNdBi90OdPjRqg"", ""'Plan de Compras'!D4:Q""), 13, 0), """")"),"")</f>
        <v/>
      </c>
      <c r="AB372" s="32" t="str">
        <f>IFERROR(__xludf.DUMMYFUNCTION("IFERROR(VLOOKUP(G372,IMPORTRANGE(""https://docs.google.com/spreadsheets/d/12RxCea4e5ggM7QGn1XE3FbLQa_-QbCNdBi90OdPjRqg"", ""'Plan de Compras'!D4:Q""), 14, 0), """")"),"")</f>
        <v/>
      </c>
      <c r="AC372" s="72" t="str">
        <f>IFERROR(__xludf.DUMMYFUNCTION("IFERROR(VLOOKUP(G372,IMPORTRANGE(""https://docs.google.com/spreadsheets/d/12RxCea4e5ggM7QGn1XE3FbLQa_-QbCNdBi90OdPjRqg"", ""'Plan de Compras'!D4:Q""), 4, 0), """")"),"")</f>
        <v/>
      </c>
      <c r="AD372" s="37" t="str">
        <f>IFERROR(__xludf.DUMMYFUNCTION("IFERROR(IF(OR(C372=TRUE,C372=""""),VLOOKUP(G372,IMPORTRANGE(""https://docs.google.com/spreadsheets/d/1z9A1Wq-kKrhRNG5RS2a2fKpY1wIhSVz2ZNmP2mOl588/edit?usp=sharing"",""REQ VF!E4:H""),4,0),""NO APLICA""),""GENERAR REQ"")"),"NO APLICA")</f>
        <v>NO APLICA</v>
      </c>
      <c r="AE372" s="32" t="str">
        <f>IFERROR(__xludf.DUMMYFUNCTION("IFERROR(QUERY(IMPORTRANGE(""https://docs.google.com/spreadsheets/d/1z9A1Wq-kKrhRNG5RS2a2fKpY1wIhSVz2ZNmP2mOl588/edit?usp=sharing"",""REQ VF!E4:Q""),""SELECT Col10, Col11, Col12 WHERE Col1 = '""&amp;G372&amp;""'"",0),""NO APLICA"")"),"NO APLICA")</f>
        <v>NO APLICA</v>
      </c>
      <c r="AF372" s="32"/>
      <c r="AG372" s="32"/>
      <c r="AH372" s="13"/>
      <c r="AI372" s="13"/>
    </row>
    <row r="373">
      <c r="A373" s="43"/>
      <c r="B373" s="43"/>
      <c r="C373" s="26" t="b">
        <v>0</v>
      </c>
      <c r="D373" s="26" t="s">
        <v>42</v>
      </c>
      <c r="E373" s="26" t="s">
        <v>1510</v>
      </c>
      <c r="F373" s="59" t="s">
        <v>2773</v>
      </c>
      <c r="G373" s="39" t="s">
        <v>2817</v>
      </c>
      <c r="H373" s="66" t="s">
        <v>2795</v>
      </c>
      <c r="I373" s="43">
        <v>0.0</v>
      </c>
      <c r="J373" s="26" t="str">
        <f>IFERROR(__xludf.DUMMYFUNCTION("VLOOKUP(G373,IMPORTRANGE(""https://docs.google.com/spreadsheets/d/12RxCea4e5ggM7QGn1XE3FbLQa_-QbCNdBi90OdPjRqg/edit?gid=1692403370#gid=1692403370"", ""'Plan de Compras'!D4:2432""), 8,0)"),"#N/A")</f>
        <v>#N/A</v>
      </c>
      <c r="K373" s="26" t="str">
        <f t="shared" si="31"/>
        <v>-</v>
      </c>
      <c r="L373" s="26"/>
      <c r="M373" s="32"/>
      <c r="N373" s="32"/>
      <c r="O373" s="32"/>
      <c r="P373" s="32"/>
      <c r="Q373" s="41"/>
      <c r="R373" s="32"/>
      <c r="S373" s="34" t="b">
        <v>1</v>
      </c>
      <c r="T373" s="39" t="s">
        <v>2300</v>
      </c>
      <c r="U373" s="39" t="s">
        <v>2808</v>
      </c>
      <c r="V373" s="39"/>
      <c r="W373" s="39"/>
      <c r="X373" s="39"/>
      <c r="Y373" s="124"/>
      <c r="Z373" s="37" t="str">
        <f>IFERROR(__xludf.DUMMYFUNCTION("IFERROR(VLOOKUP(G373,IMPORTRANGE(""https://docs.google.com/spreadsheets/d/12RxCea4e5ggM7QGn1XE3FbLQa_-QbCNdBi90OdPjRqg"", ""'Plan de Compras'!D4:Q""), 12, 0), ""NO ESTÁ EN REQ"")"),"NO ESTÁ EN REQ")</f>
        <v>NO ESTÁ EN REQ</v>
      </c>
      <c r="AA373" s="37" t="str">
        <f>IFERROR(__xludf.DUMMYFUNCTION("IFERROR(VLOOKUP(G373,IMPORTRANGE(""https://docs.google.com/spreadsheets/d/12RxCea4e5ggM7QGn1XE3FbLQa_-QbCNdBi90OdPjRqg"", ""'Plan de Compras'!D4:Q""), 13, 0), """")"),"")</f>
        <v/>
      </c>
      <c r="AB373" s="32" t="str">
        <f>IFERROR(__xludf.DUMMYFUNCTION("IFERROR(VLOOKUP(G373,IMPORTRANGE(""https://docs.google.com/spreadsheets/d/12RxCea4e5ggM7QGn1XE3FbLQa_-QbCNdBi90OdPjRqg"", ""'Plan de Compras'!D4:Q""), 14, 0), """")"),"")</f>
        <v/>
      </c>
      <c r="AC373" s="72" t="str">
        <f>IFERROR(__xludf.DUMMYFUNCTION("IFERROR(VLOOKUP(G373,IMPORTRANGE(""https://docs.google.com/spreadsheets/d/12RxCea4e5ggM7QGn1XE3FbLQa_-QbCNdBi90OdPjRqg"", ""'Plan de Compras'!D4:Q""), 4, 0), """")"),"")</f>
        <v/>
      </c>
      <c r="AD373" s="37" t="str">
        <f>IFERROR(__xludf.DUMMYFUNCTION("IFERROR(IF(OR(C373=TRUE,C373=""""),VLOOKUP(G373,IMPORTRANGE(""https://docs.google.com/spreadsheets/d/1z9A1Wq-kKrhRNG5RS2a2fKpY1wIhSVz2ZNmP2mOl588/edit?usp=sharing"",""REQ VF!E4:H""),4,0),""NO APLICA""),""GENERAR REQ"")"),"NO APLICA")</f>
        <v>NO APLICA</v>
      </c>
      <c r="AE373" s="32" t="str">
        <f>IFERROR(__xludf.DUMMYFUNCTION("IFERROR(QUERY(IMPORTRANGE(""https://docs.google.com/spreadsheets/d/1z9A1Wq-kKrhRNG5RS2a2fKpY1wIhSVz2ZNmP2mOl588/edit?usp=sharing"",""REQ VF!E4:Q""),""SELECT Col10, Col11, Col12 WHERE Col1 = '""&amp;G373&amp;""'"",0),""NO APLICA"")"),"NO APLICA")</f>
        <v>NO APLICA</v>
      </c>
      <c r="AF373" s="32"/>
      <c r="AG373" s="32"/>
      <c r="AH373" s="13"/>
      <c r="AI373" s="13"/>
    </row>
    <row r="374">
      <c r="A374" s="43"/>
      <c r="B374" s="43"/>
      <c r="C374" s="26" t="b">
        <v>0</v>
      </c>
      <c r="D374" s="26" t="s">
        <v>42</v>
      </c>
      <c r="E374" s="26" t="s">
        <v>1510</v>
      </c>
      <c r="F374" s="59" t="s">
        <v>2773</v>
      </c>
      <c r="G374" s="39" t="s">
        <v>2818</v>
      </c>
      <c r="H374" s="66" t="s">
        <v>2819</v>
      </c>
      <c r="I374" s="43">
        <v>0.0</v>
      </c>
      <c r="J374" s="26" t="str">
        <f>IFERROR(__xludf.DUMMYFUNCTION("VLOOKUP(G374,IMPORTRANGE(""https://docs.google.com/spreadsheets/d/12RxCea4e5ggM7QGn1XE3FbLQa_-QbCNdBi90OdPjRqg/edit?gid=1692403370#gid=1692403370"", ""'Plan de Compras'!D4:2432""), 8,0)"),"#N/A")</f>
        <v>#N/A</v>
      </c>
      <c r="K374" s="26" t="str">
        <f t="shared" si="31"/>
        <v>-</v>
      </c>
      <c r="L374" s="26"/>
      <c r="M374" s="32"/>
      <c r="N374" s="32"/>
      <c r="O374" s="32"/>
      <c r="P374" s="32"/>
      <c r="Q374" s="41"/>
      <c r="R374" s="32"/>
      <c r="S374" s="34" t="b">
        <v>1</v>
      </c>
      <c r="T374" s="39" t="s">
        <v>2300</v>
      </c>
      <c r="U374" s="39" t="s">
        <v>2808</v>
      </c>
      <c r="V374" s="39"/>
      <c r="W374" s="39"/>
      <c r="X374" s="39"/>
      <c r="Y374" s="124"/>
      <c r="Z374" s="37" t="str">
        <f>IFERROR(__xludf.DUMMYFUNCTION("IFERROR(VLOOKUP(G374,IMPORTRANGE(""https://docs.google.com/spreadsheets/d/12RxCea4e5ggM7QGn1XE3FbLQa_-QbCNdBi90OdPjRqg"", ""'Plan de Compras'!D4:Q""), 12, 0), ""NO ESTÁ EN REQ"")"),"NO ESTÁ EN REQ")</f>
        <v>NO ESTÁ EN REQ</v>
      </c>
      <c r="AA374" s="37" t="str">
        <f>IFERROR(__xludf.DUMMYFUNCTION("IFERROR(VLOOKUP(G374,IMPORTRANGE(""https://docs.google.com/spreadsheets/d/12RxCea4e5ggM7QGn1XE3FbLQa_-QbCNdBi90OdPjRqg"", ""'Plan de Compras'!D4:Q""), 13, 0), """")"),"")</f>
        <v/>
      </c>
      <c r="AB374" s="32" t="str">
        <f>IFERROR(__xludf.DUMMYFUNCTION("IFERROR(VLOOKUP(G374,IMPORTRANGE(""https://docs.google.com/spreadsheets/d/12RxCea4e5ggM7QGn1XE3FbLQa_-QbCNdBi90OdPjRqg"", ""'Plan de Compras'!D4:Q""), 14, 0), """")"),"")</f>
        <v/>
      </c>
      <c r="AC374" s="72" t="str">
        <f>IFERROR(__xludf.DUMMYFUNCTION("IFERROR(VLOOKUP(G374,IMPORTRANGE(""https://docs.google.com/spreadsheets/d/12RxCea4e5ggM7QGn1XE3FbLQa_-QbCNdBi90OdPjRqg"", ""'Plan de Compras'!D4:Q""), 4, 0), """")"),"")</f>
        <v/>
      </c>
      <c r="AD374" s="37" t="str">
        <f>IFERROR(__xludf.DUMMYFUNCTION("IFERROR(IF(OR(C374=TRUE,C374=""""),VLOOKUP(G374,IMPORTRANGE(""https://docs.google.com/spreadsheets/d/1z9A1Wq-kKrhRNG5RS2a2fKpY1wIhSVz2ZNmP2mOl588/edit?usp=sharing"",""REQ VF!E4:H""),4,0),""NO APLICA""),""GENERAR REQ"")"),"NO APLICA")</f>
        <v>NO APLICA</v>
      </c>
      <c r="AE374" s="32" t="str">
        <f>IFERROR(__xludf.DUMMYFUNCTION("IFERROR(QUERY(IMPORTRANGE(""https://docs.google.com/spreadsheets/d/1z9A1Wq-kKrhRNG5RS2a2fKpY1wIhSVz2ZNmP2mOl588/edit?usp=sharing"",""REQ VF!E4:Q""),""SELECT Col10, Col11, Col12 WHERE Col1 = '""&amp;G374&amp;""'"",0),""NO APLICA"")"),"NO APLICA")</f>
        <v>NO APLICA</v>
      </c>
      <c r="AF374" s="32"/>
      <c r="AG374" s="32"/>
      <c r="AH374" s="13"/>
      <c r="AI374" s="13"/>
    </row>
    <row r="375">
      <c r="A375" s="43"/>
      <c r="B375" s="43"/>
      <c r="C375" s="26" t="b">
        <v>0</v>
      </c>
      <c r="D375" s="26" t="s">
        <v>42</v>
      </c>
      <c r="E375" s="26" t="s">
        <v>1510</v>
      </c>
      <c r="F375" s="59" t="s">
        <v>2773</v>
      </c>
      <c r="G375" s="39" t="s">
        <v>2820</v>
      </c>
      <c r="H375" s="66" t="s">
        <v>2799</v>
      </c>
      <c r="I375" s="43">
        <v>0.0</v>
      </c>
      <c r="J375" s="26" t="str">
        <f>IFERROR(__xludf.DUMMYFUNCTION("VLOOKUP(G375,IMPORTRANGE(""https://docs.google.com/spreadsheets/d/12RxCea4e5ggM7QGn1XE3FbLQa_-QbCNdBi90OdPjRqg/edit?gid=1692403370#gid=1692403370"", ""'Plan de Compras'!D4:2432""), 8,0)"),"#N/A")</f>
        <v>#N/A</v>
      </c>
      <c r="K375" s="26" t="str">
        <f t="shared" si="31"/>
        <v>-</v>
      </c>
      <c r="L375" s="26"/>
      <c r="M375" s="32"/>
      <c r="N375" s="32"/>
      <c r="O375" s="32"/>
      <c r="P375" s="32"/>
      <c r="Q375" s="41"/>
      <c r="R375" s="32"/>
      <c r="S375" s="34" t="b">
        <v>1</v>
      </c>
      <c r="T375" s="39" t="s">
        <v>2300</v>
      </c>
      <c r="U375" s="39" t="s">
        <v>2808</v>
      </c>
      <c r="V375" s="39"/>
      <c r="W375" s="39"/>
      <c r="X375" s="39"/>
      <c r="Y375" s="124"/>
      <c r="Z375" s="37" t="str">
        <f>IFERROR(__xludf.DUMMYFUNCTION("IFERROR(VLOOKUP(G375,IMPORTRANGE(""https://docs.google.com/spreadsheets/d/12RxCea4e5ggM7QGn1XE3FbLQa_-QbCNdBi90OdPjRqg"", ""'Plan de Compras'!D4:Q""), 12, 0), ""NO ESTÁ EN REQ"")"),"NO ESTÁ EN REQ")</f>
        <v>NO ESTÁ EN REQ</v>
      </c>
      <c r="AA375" s="37" t="str">
        <f>IFERROR(__xludf.DUMMYFUNCTION("IFERROR(VLOOKUP(G375,IMPORTRANGE(""https://docs.google.com/spreadsheets/d/12RxCea4e5ggM7QGn1XE3FbLQa_-QbCNdBi90OdPjRqg"", ""'Plan de Compras'!D4:Q""), 13, 0), """")"),"")</f>
        <v/>
      </c>
      <c r="AB375" s="32" t="str">
        <f>IFERROR(__xludf.DUMMYFUNCTION("IFERROR(VLOOKUP(G375,IMPORTRANGE(""https://docs.google.com/spreadsheets/d/12RxCea4e5ggM7QGn1XE3FbLQa_-QbCNdBi90OdPjRqg"", ""'Plan de Compras'!D4:Q""), 14, 0), """")"),"")</f>
        <v/>
      </c>
      <c r="AC375" s="72" t="str">
        <f>IFERROR(__xludf.DUMMYFUNCTION("IFERROR(VLOOKUP(G375,IMPORTRANGE(""https://docs.google.com/spreadsheets/d/12RxCea4e5ggM7QGn1XE3FbLQa_-QbCNdBi90OdPjRqg"", ""'Plan de Compras'!D4:Q""), 4, 0), """")"),"")</f>
        <v/>
      </c>
      <c r="AD375" s="37" t="str">
        <f>IFERROR(__xludf.DUMMYFUNCTION("IFERROR(IF(OR(C375=TRUE,C375=""""),VLOOKUP(G375,IMPORTRANGE(""https://docs.google.com/spreadsheets/d/1z9A1Wq-kKrhRNG5RS2a2fKpY1wIhSVz2ZNmP2mOl588/edit?usp=sharing"",""REQ VF!E4:H""),4,0),""NO APLICA""),""GENERAR REQ"")"),"NO APLICA")</f>
        <v>NO APLICA</v>
      </c>
      <c r="AE375" s="32" t="str">
        <f>IFERROR(__xludf.DUMMYFUNCTION("IFERROR(QUERY(IMPORTRANGE(""https://docs.google.com/spreadsheets/d/1z9A1Wq-kKrhRNG5RS2a2fKpY1wIhSVz2ZNmP2mOl588/edit?usp=sharing"",""REQ VF!E4:Q""),""SELECT Col10, Col11, Col12 WHERE Col1 = '""&amp;G375&amp;""'"",0),""NO APLICA"")"),"NO APLICA")</f>
        <v>NO APLICA</v>
      </c>
      <c r="AF375" s="32"/>
      <c r="AG375" s="32"/>
      <c r="AH375" s="13"/>
      <c r="AI375" s="13"/>
    </row>
    <row r="376">
      <c r="A376" s="43"/>
      <c r="B376" s="43"/>
      <c r="C376" s="26" t="b">
        <v>0</v>
      </c>
      <c r="D376" s="26" t="s">
        <v>42</v>
      </c>
      <c r="E376" s="26" t="s">
        <v>1510</v>
      </c>
      <c r="F376" s="59" t="s">
        <v>2773</v>
      </c>
      <c r="G376" s="39" t="s">
        <v>2821</v>
      </c>
      <c r="H376" s="66" t="s">
        <v>2801</v>
      </c>
      <c r="I376" s="43">
        <v>0.0</v>
      </c>
      <c r="J376" s="26" t="str">
        <f>IFERROR(__xludf.DUMMYFUNCTION("VLOOKUP(G376,IMPORTRANGE(""https://docs.google.com/spreadsheets/d/12RxCea4e5ggM7QGn1XE3FbLQa_-QbCNdBi90OdPjRqg/edit?gid=1692403370#gid=1692403370"", ""'Plan de Compras'!D4:2432""), 8,0)"),"#N/A")</f>
        <v>#N/A</v>
      </c>
      <c r="K376" s="26" t="str">
        <f t="shared" si="31"/>
        <v>-</v>
      </c>
      <c r="L376" s="29"/>
      <c r="M376" s="61"/>
      <c r="N376" s="32"/>
      <c r="O376" s="32" t="str">
        <f>VLOOKUP($G376,'Hoja 10'!$F$4:$AA1057, 19,0)</f>
        <v>#N/A</v>
      </c>
      <c r="P376" s="32" t="str">
        <f>VLOOKUP($G376,'Hoja 10'!$F$4:$AA1057, 20,0)</f>
        <v>#N/A</v>
      </c>
      <c r="Q376" s="41" t="str">
        <f>VLOOKUP($G376,'Hoja 10'!$F$4:$AA1057, 21,0)</f>
        <v>#N/A</v>
      </c>
      <c r="R376" s="32"/>
      <c r="S376" s="34" t="b">
        <v>1</v>
      </c>
      <c r="T376" s="39" t="s">
        <v>2300</v>
      </c>
      <c r="U376" s="39" t="s">
        <v>2808</v>
      </c>
      <c r="V376" s="39"/>
      <c r="W376" s="39"/>
      <c r="X376" s="39"/>
      <c r="Y376" s="124"/>
      <c r="Z376" s="37" t="str">
        <f>IFERROR(__xludf.DUMMYFUNCTION("IFERROR(VLOOKUP(G376,IMPORTRANGE(""https://docs.google.com/spreadsheets/d/12RxCea4e5ggM7QGn1XE3FbLQa_-QbCNdBi90OdPjRqg"", ""'Plan de Compras'!D4:Q""), 12, 0), ""NO ESTÁ EN REQ"")"),"NO ESTÁ EN REQ")</f>
        <v>NO ESTÁ EN REQ</v>
      </c>
      <c r="AA376" s="37" t="str">
        <f>IFERROR(__xludf.DUMMYFUNCTION("IFERROR(VLOOKUP(G376,IMPORTRANGE(""https://docs.google.com/spreadsheets/d/12RxCea4e5ggM7QGn1XE3FbLQa_-QbCNdBi90OdPjRqg"", ""'Plan de Compras'!D4:Q""), 13, 0), """")"),"")</f>
        <v/>
      </c>
      <c r="AB376" s="32" t="str">
        <f>IFERROR(__xludf.DUMMYFUNCTION("IFERROR(VLOOKUP(G376,IMPORTRANGE(""https://docs.google.com/spreadsheets/d/12RxCea4e5ggM7QGn1XE3FbLQa_-QbCNdBi90OdPjRqg"", ""'Plan de Compras'!D4:Q""), 14, 0), """")"),"")</f>
        <v/>
      </c>
      <c r="AC376" s="72" t="str">
        <f>IFERROR(__xludf.DUMMYFUNCTION("IFERROR(VLOOKUP(G376,IMPORTRANGE(""https://docs.google.com/spreadsheets/d/12RxCea4e5ggM7QGn1XE3FbLQa_-QbCNdBi90OdPjRqg"", ""'Plan de Compras'!D4:Q""), 4, 0), """")"),"")</f>
        <v/>
      </c>
      <c r="AD376" s="37" t="str">
        <f>IFERROR(__xludf.DUMMYFUNCTION("IFERROR(IF(OR(C376=TRUE,C376=""""),VLOOKUP(G376,IMPORTRANGE(""https://docs.google.com/spreadsheets/d/1z9A1Wq-kKrhRNG5RS2a2fKpY1wIhSVz2ZNmP2mOl588/edit?usp=sharing"",""REQ VF!E4:H""),4,0),""NO APLICA""),""GENERAR REQ"")"),"NO APLICA")</f>
        <v>NO APLICA</v>
      </c>
      <c r="AE376" s="32" t="str">
        <f>IFERROR(__xludf.DUMMYFUNCTION("IFERROR(QUERY(IMPORTRANGE(""https://docs.google.com/spreadsheets/d/1z9A1Wq-kKrhRNG5RS2a2fKpY1wIhSVz2ZNmP2mOl588/edit?usp=sharing"",""REQ VF!E4:Q""),""SELECT Col10, Col11, Col12 WHERE Col1 = '""&amp;G376&amp;""'"",0),""NO APLICA"")"),"NO APLICA")</f>
        <v>NO APLICA</v>
      </c>
      <c r="AF376" s="32"/>
      <c r="AG376" s="32"/>
      <c r="AH376" s="13"/>
      <c r="AI376" s="13"/>
    </row>
    <row r="377">
      <c r="A377" s="121">
        <v>227.0</v>
      </c>
      <c r="B377" s="43" t="b">
        <v>1</v>
      </c>
      <c r="C377" s="26" t="b">
        <v>0</v>
      </c>
      <c r="D377" s="26" t="s">
        <v>35</v>
      </c>
      <c r="E377" s="26" t="s">
        <v>1510</v>
      </c>
      <c r="F377" s="39" t="s">
        <v>2822</v>
      </c>
      <c r="G377" s="37" t="s">
        <v>2822</v>
      </c>
      <c r="H377" s="82" t="s">
        <v>2823</v>
      </c>
      <c r="I377" s="43">
        <f>SUMIFS('Hoja 10'!$O:$O,'Hoja 10'!$F:$F,$G377)</f>
        <v>10</v>
      </c>
      <c r="J377" s="26" t="str">
        <f>IFERROR(__xludf.DUMMYFUNCTION("VLOOKUP(G377,IMPORTRANGE(""https://docs.google.com/spreadsheets/d/12RxCea4e5ggM7QGn1XE3FbLQa_-QbCNdBi90OdPjRqg/edit?gid=1692403370#gid=1692403370"", ""'Plan de Compras'!D4:2432""), 8,0)"),"#N/A")</f>
        <v>#N/A</v>
      </c>
      <c r="K377" s="26" t="str">
        <f t="shared" si="31"/>
        <v>-</v>
      </c>
      <c r="L377" s="29" t="s">
        <v>185</v>
      </c>
      <c r="M377" s="30" t="s">
        <v>186</v>
      </c>
      <c r="N377" s="32"/>
      <c r="O377" s="32" t="s">
        <v>303</v>
      </c>
      <c r="P377" s="32" t="s">
        <v>2824</v>
      </c>
      <c r="Q377" s="33" t="s">
        <v>2825</v>
      </c>
      <c r="R377" s="86" t="s">
        <v>2826</v>
      </c>
      <c r="S377" s="44" t="b">
        <v>1</v>
      </c>
      <c r="T377" s="39"/>
      <c r="U377" s="39"/>
      <c r="V377" s="39" t="str">
        <f>IFERROR(__xludf.DUMMYFUNCTION(" IF
( VLOOKUP($G377,IMPORTRANGE(""https://docs.google.com/spreadsheets/d/1Gpl6jkTg7sL4VDNimUm3S9Vi1i95esohXCF3wuKOE8c"", ""'CONSOLIDADO'!G5:AB""), 10, 0) &lt;&gt; 0, 
IFERROR(VLOOKUP($G377,IMPORTRANGE(""https://docs.google.com/spreadsheets/d/1Gpl6jkTg7sL4VDNimU"&amp;"m3S9Vi1i95esohXCF3wuKOE8c"", ""'CONSOLIDADO'!G5:AB""), 17, 0), ""-""),
""""
)"),"TRUPER")</f>
        <v>TRUPER</v>
      </c>
      <c r="W377" s="39" t="str">
        <f>IFERROR(__xludf.DUMMYFUNCTION(" IF
( VLOOKUP($G377,IMPORTRANGE(""https://docs.google.com/spreadsheets/d/1Gpl6jkTg7sL4VDNimUm3S9Vi1i95esohXCF3wuKOE8c"", ""'CONSOLIDADO'!G5:AB""), 10, 0) &lt;&gt; 0, 
IFERROR(VLOOKUP($G377,IMPORTRANGE(""https://docs.google.com/spreadsheets/d/1Gpl6jkTg7sL4VDNimU"&amp;"m3S9Vi1i95esohXCF3wuKOE8c"", ""'CONSOLIDADO'!G5:AB""), 18, 0), ""-""),
""""
)"),"BRT-1 / BRT-2 / BRT-3")</f>
        <v>BRT-1 / BRT-2 / BRT-3</v>
      </c>
      <c r="X377" s="39" t="b">
        <f>IF(AND(T377=V377,W377=U377),TRUE,FALSE)</f>
        <v>0</v>
      </c>
      <c r="Y377" s="110"/>
      <c r="Z377" s="37" t="str">
        <f>IFERROR(__xludf.DUMMYFUNCTION("IFERROR(VLOOKUP(G377,IMPORTRANGE(""https://docs.google.com/spreadsheets/d/12RxCea4e5ggM7QGn1XE3FbLQa_-QbCNdBi90OdPjRqg"", ""'Plan de Compras'!D4:Q""), 12, 0), ""NO ESTÁ EN REQ"")"),"NO ESTÁ EN REQ")</f>
        <v>NO ESTÁ EN REQ</v>
      </c>
      <c r="AA377" s="37" t="str">
        <f>IFERROR(__xludf.DUMMYFUNCTION("IFERROR(VLOOKUP(G377,IMPORTRANGE(""https://docs.google.com/spreadsheets/d/12RxCea4e5ggM7QGn1XE3FbLQa_-QbCNdBi90OdPjRqg"", ""'Plan de Compras'!D4:Q""), 13, 0), """")"),"")</f>
        <v/>
      </c>
      <c r="AB377" s="32" t="str">
        <f>IFERROR(__xludf.DUMMYFUNCTION("IFERROR(VLOOKUP(G377,IMPORTRANGE(""https://docs.google.com/spreadsheets/d/12RxCea4e5ggM7QGn1XE3FbLQa_-QbCNdBi90OdPjRqg"", ""'Plan de Compras'!D4:Q""), 14, 0), """")"),"")</f>
        <v/>
      </c>
      <c r="AC377" s="72" t="str">
        <f>IFERROR(__xludf.DUMMYFUNCTION("IFERROR(VLOOKUP(G377,IMPORTRANGE(""https://docs.google.com/spreadsheets/d/12RxCea4e5ggM7QGn1XE3FbLQa_-QbCNdBi90OdPjRqg"", ""'Plan de Compras'!D4:Q""), 4, 0), """")"),"")</f>
        <v/>
      </c>
      <c r="AD377" s="37" t="str">
        <f>IFERROR(__xludf.DUMMYFUNCTION("IFERROR(IF(OR(C377=TRUE,C377=""""),VLOOKUP(G377,IMPORTRANGE(""https://docs.google.com/spreadsheets/d/1z9A1Wq-kKrhRNG5RS2a2fKpY1wIhSVz2ZNmP2mOl588/edit?usp=sharing"",""REQ VF!E4:H""),4,0),""NO APLICA""),""GENERAR REQ"")"),"NO APLICA")</f>
        <v>NO APLICA</v>
      </c>
      <c r="AE377" s="32" t="str">
        <f>IFERROR(__xludf.DUMMYFUNCTION("IFERROR(QUERY(IMPORTRANGE(""https://docs.google.com/spreadsheets/d/1z9A1Wq-kKrhRNG5RS2a2fKpY1wIhSVz2ZNmP2mOl588/edit?usp=sharing"",""REQ VF!E4:Q""),""SELECT Col10, Col11, Col12 WHERE Col1 = '""&amp;G377&amp;""'"",0),""NO APLICA"")"),"NO APLICA")</f>
        <v>NO APLICA</v>
      </c>
      <c r="AF377" s="32"/>
      <c r="AG377" s="32"/>
      <c r="AH377" s="8" t="s">
        <v>52</v>
      </c>
      <c r="AI377" s="13"/>
    </row>
    <row r="378">
      <c r="A378" s="43"/>
      <c r="B378" s="43"/>
      <c r="C378" s="26" t="b">
        <v>1</v>
      </c>
      <c r="D378" s="26" t="s">
        <v>95</v>
      </c>
      <c r="E378" s="26" t="s">
        <v>1510</v>
      </c>
      <c r="F378" s="59" t="s">
        <v>2822</v>
      </c>
      <c r="G378" s="63" t="s">
        <v>2827</v>
      </c>
      <c r="H378" s="132" t="s">
        <v>2828</v>
      </c>
      <c r="I378" s="65">
        <v>10.0</v>
      </c>
      <c r="J378" s="26">
        <f>IFERROR(__xludf.DUMMYFUNCTION("VLOOKUP(G378,IMPORTRANGE(""https://docs.google.com/spreadsheets/d/12RxCea4e5ggM7QGn1XE3FbLQa_-QbCNdBi90OdPjRqg/edit?gid=1692403370#gid=1692403370"", ""'Plan de Compras'!D4:2432""), 8,0)"),10.0)</f>
        <v>10</v>
      </c>
      <c r="K378" s="26" t="str">
        <f t="shared" si="31"/>
        <v>SI</v>
      </c>
      <c r="L378" s="26"/>
      <c r="M378" s="61"/>
      <c r="N378" s="32"/>
      <c r="O378" s="32" t="s">
        <v>303</v>
      </c>
      <c r="P378" s="32" t="s">
        <v>2829</v>
      </c>
      <c r="Q378" s="33" t="s">
        <v>2830</v>
      </c>
      <c r="R378" s="61"/>
      <c r="S378" s="44" t="b">
        <v>1</v>
      </c>
      <c r="T378" s="39" t="s">
        <v>303</v>
      </c>
      <c r="U378" s="39" t="s">
        <v>2831</v>
      </c>
      <c r="V378" s="39"/>
      <c r="W378" s="39"/>
      <c r="X378" s="39"/>
      <c r="Y378" s="124"/>
      <c r="Z378" s="37" t="str">
        <f>IFERROR(__xludf.DUMMYFUNCTION("IFERROR(VLOOKUP(G378,IMPORTRANGE(""https://docs.google.com/spreadsheets/d/12RxCea4e5ggM7QGn1XE3FbLQa_-QbCNdBi90OdPjRqg"", ""'Plan de Compras'!D4:Q""), 12, 0), ""NO ESTÁ EN REQ"")"),"Técnica")</f>
        <v>Técnica</v>
      </c>
      <c r="AA378" s="37" t="str">
        <f>IFERROR(__xludf.DUMMYFUNCTION("IFERROR(VLOOKUP(G378,IMPORTRANGE(""https://docs.google.com/spreadsheets/d/12RxCea4e5ggM7QGn1XE3FbLQa_-QbCNdBi90OdPjRqg"", ""'Plan de Compras'!D4:Q""), 13, 0), """")"),"NACIONAL")</f>
        <v>NACIONAL</v>
      </c>
      <c r="AB378" s="32" t="str">
        <f>IFERROR(__xludf.DUMMYFUNCTION("IFERROR(VLOOKUP(G378,IMPORTRANGE(""https://docs.google.com/spreadsheets/d/12RxCea4e5ggM7QGn1XE3FbLQa_-QbCNdBi90OdPjRqg"", ""'Plan de Compras'!D4:Q""), 14, 0), """")"),"JESSICA")</f>
        <v>JESSICA</v>
      </c>
      <c r="AC378" s="72" t="str">
        <f>IFERROR(__xludf.DUMMYFUNCTION("IFERROR(VLOOKUP(G378,IMPORTRANGE(""https://docs.google.com/spreadsheets/d/12RxCea4e5ggM7QGn1XE3FbLQa_-QbCNdBi90OdPjRqg"", ""'Plan de Compras'!D4:Q""), 4, 0), """")"),"BROCHA ANGULAR  1"" (1 UND) ")</f>
        <v>BROCHA ANGULAR  1" (1 UND) </v>
      </c>
      <c r="AD378" s="37" t="str">
        <f>IFERROR(__xludf.DUMMYFUNCTION("IFERROR(IF(OR(C378=TRUE,C378=""""),VLOOKUP(G378,IMPORTRANGE(""https://docs.google.com/spreadsheets/d/1z9A1Wq-kKrhRNG5RS2a2fKpY1wIhSVz2ZNmP2mOl588/edit?usp=sharing"",""REQ VF!E4:H""),4,0),""NO APLICA""),""GENERAR REQ"")"),"GENERAR REQ")</f>
        <v>GENERAR REQ</v>
      </c>
      <c r="AE378" s="32" t="str">
        <f>IFERROR(__xludf.DUMMYFUNCTION("IFERROR(QUERY(IMPORTRANGE(""https://docs.google.com/spreadsheets/d/1z9A1Wq-kKrhRNG5RS2a2fKpY1wIhSVz2ZNmP2mOl588/edit?usp=sharing"",""REQ VF!E4:Q""),""SELECT Col10, Col11, Col12 WHERE Col1 = '""&amp;G378&amp;""'"",0),""NO APLICA"")"),"NO APLICA")</f>
        <v>NO APLICA</v>
      </c>
      <c r="AF378" s="32"/>
      <c r="AG378" s="32"/>
      <c r="AH378" s="13"/>
      <c r="AI378" s="13"/>
    </row>
    <row r="379">
      <c r="A379" s="43"/>
      <c r="B379" s="43"/>
      <c r="C379" s="26" t="b">
        <v>1</v>
      </c>
      <c r="D379" s="26" t="s">
        <v>95</v>
      </c>
      <c r="E379" s="60" t="s">
        <v>1510</v>
      </c>
      <c r="F379" s="154" t="s">
        <v>2822</v>
      </c>
      <c r="G379" s="63" t="s">
        <v>2832</v>
      </c>
      <c r="H379" s="132" t="s">
        <v>2833</v>
      </c>
      <c r="I379" s="65">
        <v>10.0</v>
      </c>
      <c r="J379" s="26">
        <f>IFERROR(__xludf.DUMMYFUNCTION("VLOOKUP(G379,IMPORTRANGE(""https://docs.google.com/spreadsheets/d/12RxCea4e5ggM7QGn1XE3FbLQa_-QbCNdBi90OdPjRqg/edit?gid=1692403370#gid=1692403370"", ""'Plan de Compras'!D4:2432""), 8,0)"),10.0)</f>
        <v>10</v>
      </c>
      <c r="K379" s="26" t="str">
        <f t="shared" si="31"/>
        <v>SI</v>
      </c>
      <c r="L379" s="26"/>
      <c r="M379" s="61"/>
      <c r="N379" s="32"/>
      <c r="O379" s="32" t="s">
        <v>303</v>
      </c>
      <c r="P379" s="32" t="s">
        <v>2834</v>
      </c>
      <c r="Q379" s="33" t="s">
        <v>2835</v>
      </c>
      <c r="R379" s="61"/>
      <c r="S379" s="44" t="b">
        <v>1</v>
      </c>
      <c r="T379" s="39" t="s">
        <v>303</v>
      </c>
      <c r="U379" s="39" t="s">
        <v>2836</v>
      </c>
      <c r="V379" s="39"/>
      <c r="W379" s="39"/>
      <c r="X379" s="39"/>
      <c r="Y379" s="124"/>
      <c r="Z379" s="37" t="str">
        <f>IFERROR(__xludf.DUMMYFUNCTION("IFERROR(VLOOKUP(G379,IMPORTRANGE(""https://docs.google.com/spreadsheets/d/12RxCea4e5ggM7QGn1XE3FbLQa_-QbCNdBi90OdPjRqg"", ""'Plan de Compras'!D4:Q""), 12, 0), ""NO ESTÁ EN REQ"")"),"Técnica")</f>
        <v>Técnica</v>
      </c>
      <c r="AA379" s="37" t="str">
        <f>IFERROR(__xludf.DUMMYFUNCTION("IFERROR(VLOOKUP(G379,IMPORTRANGE(""https://docs.google.com/spreadsheets/d/12RxCea4e5ggM7QGn1XE3FbLQa_-QbCNdBi90OdPjRqg"", ""'Plan de Compras'!D4:Q""), 13, 0), """")"),"NACIONAL")</f>
        <v>NACIONAL</v>
      </c>
      <c r="AB379" s="32" t="str">
        <f>IFERROR(__xludf.DUMMYFUNCTION("IFERROR(VLOOKUP(G379,IMPORTRANGE(""https://docs.google.com/spreadsheets/d/12RxCea4e5ggM7QGn1XE3FbLQa_-QbCNdBi90OdPjRqg"", ""'Plan de Compras'!D4:Q""), 14, 0), """")"),"JESSICA")</f>
        <v>JESSICA</v>
      </c>
      <c r="AC379" s="72" t="str">
        <f>IFERROR(__xludf.DUMMYFUNCTION("IFERROR(VLOOKUP(G379,IMPORTRANGE(""https://docs.google.com/spreadsheets/d/12RxCea4e5ggM7QGn1XE3FbLQa_-QbCNdBi90OdPjRqg"", ""'Plan de Compras'!D4:Q""), 4, 0), """")"),"BROCHA ANGULAR  2'' (1 UND) ")</f>
        <v>BROCHA ANGULAR  2'' (1 UND) </v>
      </c>
      <c r="AD379" s="37" t="str">
        <f>IFERROR(__xludf.DUMMYFUNCTION("IFERROR(IF(OR(C379=TRUE,C379=""""),VLOOKUP(G379,IMPORTRANGE(""https://docs.google.com/spreadsheets/d/1z9A1Wq-kKrhRNG5RS2a2fKpY1wIhSVz2ZNmP2mOl588/edit?usp=sharing"",""REQ VF!E4:H""),4,0),""NO APLICA""),""GENERAR REQ"")"),"GENERAR REQ")</f>
        <v>GENERAR REQ</v>
      </c>
      <c r="AE379" s="32" t="str">
        <f>IFERROR(__xludf.DUMMYFUNCTION("IFERROR(QUERY(IMPORTRANGE(""https://docs.google.com/spreadsheets/d/1z9A1Wq-kKrhRNG5RS2a2fKpY1wIhSVz2ZNmP2mOl588/edit?usp=sharing"",""REQ VF!E4:Q""),""SELECT Col10, Col11, Col12 WHERE Col1 = '""&amp;G379&amp;""'"",0),""NO APLICA"")"),"NO APLICA")</f>
        <v>NO APLICA</v>
      </c>
      <c r="AF379" s="32"/>
      <c r="AG379" s="32"/>
      <c r="AH379" s="13"/>
      <c r="AI379" s="13"/>
    </row>
    <row r="380">
      <c r="A380" s="43"/>
      <c r="B380" s="43"/>
      <c r="C380" s="26" t="b">
        <v>1</v>
      </c>
      <c r="D380" s="26" t="s">
        <v>95</v>
      </c>
      <c r="E380" s="60" t="s">
        <v>1510</v>
      </c>
      <c r="F380" s="154" t="s">
        <v>2822</v>
      </c>
      <c r="G380" s="63" t="s">
        <v>2837</v>
      </c>
      <c r="H380" s="132" t="s">
        <v>2838</v>
      </c>
      <c r="I380" s="65">
        <v>10.0</v>
      </c>
      <c r="J380" s="26">
        <f>IFERROR(__xludf.DUMMYFUNCTION("VLOOKUP(G380,IMPORTRANGE(""https://docs.google.com/spreadsheets/d/12RxCea4e5ggM7QGn1XE3FbLQa_-QbCNdBi90OdPjRqg/edit?gid=1692403370#gid=1692403370"", ""'Plan de Compras'!D4:2432""), 8,0)"),10.0)</f>
        <v>10</v>
      </c>
      <c r="K380" s="26" t="str">
        <f t="shared" si="31"/>
        <v>SI</v>
      </c>
      <c r="L380" s="29"/>
      <c r="M380" s="61"/>
      <c r="N380" s="32"/>
      <c r="O380" s="32" t="str">
        <f>VLOOKUP($G380,'Hoja 10'!$F$4:$AA1057, 19,0)</f>
        <v>#N/A</v>
      </c>
      <c r="P380" s="32" t="str">
        <f>VLOOKUP($G380,'Hoja 10'!$F$4:$AA1057, 20,0)</f>
        <v>#N/A</v>
      </c>
      <c r="Q380" s="41" t="str">
        <f>VLOOKUP($G380,'Hoja 10'!$F$4:$AA1057, 21,0)</f>
        <v>#N/A</v>
      </c>
      <c r="R380" s="32"/>
      <c r="S380" s="44" t="b">
        <v>1</v>
      </c>
      <c r="T380" s="39" t="s">
        <v>303</v>
      </c>
      <c r="U380" s="39" t="s">
        <v>2839</v>
      </c>
      <c r="V380" s="39"/>
      <c r="W380" s="39"/>
      <c r="X380" s="39"/>
      <c r="Y380" s="124"/>
      <c r="Z380" s="37" t="str">
        <f>IFERROR(__xludf.DUMMYFUNCTION("IFERROR(VLOOKUP(G380,IMPORTRANGE(""https://docs.google.com/spreadsheets/d/12RxCea4e5ggM7QGn1XE3FbLQa_-QbCNdBi90OdPjRqg"", ""'Plan de Compras'!D4:Q""), 12, 0), ""NO ESTÁ EN REQ"")"),"Técnica")</f>
        <v>Técnica</v>
      </c>
      <c r="AA380" s="37" t="str">
        <f>IFERROR(__xludf.DUMMYFUNCTION("IFERROR(VLOOKUP(G380,IMPORTRANGE(""https://docs.google.com/spreadsheets/d/12RxCea4e5ggM7QGn1XE3FbLQa_-QbCNdBi90OdPjRqg"", ""'Plan de Compras'!D4:Q""), 13, 0), """")"),"NACIONAL")</f>
        <v>NACIONAL</v>
      </c>
      <c r="AB380" s="32" t="str">
        <f>IFERROR(__xludf.DUMMYFUNCTION("IFERROR(VLOOKUP(G380,IMPORTRANGE(""https://docs.google.com/spreadsheets/d/12RxCea4e5ggM7QGn1XE3FbLQa_-QbCNdBi90OdPjRqg"", ""'Plan de Compras'!D4:Q""), 14, 0), """")"),"JESSICA")</f>
        <v>JESSICA</v>
      </c>
      <c r="AC380" s="72" t="str">
        <f>IFERROR(__xludf.DUMMYFUNCTION("IFERROR(VLOOKUP(G380,IMPORTRANGE(""https://docs.google.com/spreadsheets/d/12RxCea4e5ggM7QGn1XE3FbLQa_-QbCNdBi90OdPjRqg"", ""'Plan de Compras'!D4:Q""), 4, 0), """")"),"BROCHA ANGULAR  3'' (1 UND) ")</f>
        <v>BROCHA ANGULAR  3'' (1 UND) </v>
      </c>
      <c r="AD380" s="37" t="str">
        <f>IFERROR(__xludf.DUMMYFUNCTION("IFERROR(IF(OR(C380=TRUE,C380=""""),VLOOKUP(G380,IMPORTRANGE(""https://docs.google.com/spreadsheets/d/1z9A1Wq-kKrhRNG5RS2a2fKpY1wIhSVz2ZNmP2mOl588/edit?usp=sharing"",""REQ VF!E4:H""),4,0),""NO APLICA""),""GENERAR REQ"")"),"GENERAR REQ")</f>
        <v>GENERAR REQ</v>
      </c>
      <c r="AE380" s="32" t="str">
        <f>IFERROR(__xludf.DUMMYFUNCTION("IFERROR(QUERY(IMPORTRANGE(""https://docs.google.com/spreadsheets/d/1z9A1Wq-kKrhRNG5RS2a2fKpY1wIhSVz2ZNmP2mOl588/edit?usp=sharing"",""REQ VF!E4:Q""),""SELECT Col10, Col11, Col12 WHERE Col1 = '""&amp;G380&amp;""'"",0),""NO APLICA"")"),"NO APLICA")</f>
        <v>NO APLICA</v>
      </c>
      <c r="AF380" s="32"/>
      <c r="AG380" s="32"/>
      <c r="AH380" s="13"/>
      <c r="AI380" s="13"/>
    </row>
    <row r="381">
      <c r="A381" s="43"/>
      <c r="B381" s="43"/>
      <c r="C381" s="26" t="b">
        <v>0</v>
      </c>
      <c r="D381" s="26"/>
      <c r="E381" s="60"/>
      <c r="F381" s="154"/>
      <c r="G381" s="63" t="s">
        <v>2840</v>
      </c>
      <c r="H381" s="132" t="s">
        <v>2841</v>
      </c>
      <c r="I381" s="65">
        <v>10.0</v>
      </c>
      <c r="J381" s="26"/>
      <c r="K381" s="26"/>
      <c r="L381" s="29"/>
      <c r="M381" s="61"/>
      <c r="N381" s="32"/>
      <c r="O381" s="32"/>
      <c r="P381" s="32"/>
      <c r="Q381" s="41"/>
      <c r="R381" s="32"/>
      <c r="S381" s="44" t="b">
        <v>0</v>
      </c>
      <c r="T381" s="39"/>
      <c r="U381" s="39"/>
      <c r="V381" s="39"/>
      <c r="W381" s="39"/>
      <c r="X381" s="39"/>
      <c r="Y381" s="124"/>
      <c r="Z381" s="37"/>
      <c r="AA381" s="37"/>
      <c r="AB381" s="32"/>
      <c r="AC381" s="72"/>
      <c r="AD381" s="37"/>
      <c r="AE381" s="32"/>
      <c r="AF381" s="32"/>
      <c r="AG381" s="32"/>
      <c r="AH381" s="13"/>
      <c r="AI381" s="13"/>
    </row>
    <row r="382">
      <c r="A382" s="121">
        <v>228.0</v>
      </c>
      <c r="B382" s="43" t="b">
        <v>1</v>
      </c>
      <c r="C382" s="26" t="b">
        <v>1</v>
      </c>
      <c r="D382" s="26" t="s">
        <v>35</v>
      </c>
      <c r="E382" s="26" t="s">
        <v>1510</v>
      </c>
      <c r="F382" s="59" t="s">
        <v>2842</v>
      </c>
      <c r="G382" s="39" t="s">
        <v>2843</v>
      </c>
      <c r="H382" s="82" t="s">
        <v>2844</v>
      </c>
      <c r="I382" s="43">
        <f>SUMIFS('Hoja 10'!$O:$O,'Hoja 10'!$F:$F,$G382)</f>
        <v>4</v>
      </c>
      <c r="J382" s="26">
        <f>IFERROR(__xludf.DUMMYFUNCTION("VLOOKUP(G382,IMPORTRANGE(""https://docs.google.com/spreadsheets/d/12RxCea4e5ggM7QGn1XE3FbLQa_-QbCNdBi90OdPjRqg/edit?gid=1692403370#gid=1692403370"", ""'Plan de Compras'!D4:2432""), 8,0)"),4.0)</f>
        <v>4</v>
      </c>
      <c r="K382" s="26" t="str">
        <f t="shared" ref="K382:K556" si="40"> IF( C382=TRUE, IF(I382=J382,"SI","NO"), "-")</f>
        <v>SI</v>
      </c>
      <c r="L382" s="29" t="s">
        <v>77</v>
      </c>
      <c r="M382" s="30" t="s">
        <v>78</v>
      </c>
      <c r="N382" s="32"/>
      <c r="O382" s="32" t="str">
        <f>VLOOKUP($G382,'Hoja 10'!$F$4:$AA1057, 19,0)</f>
        <v>ICHIMATSU</v>
      </c>
      <c r="P382" s="32">
        <f>VLOOKUP($G382,'Hoja 10'!$F$4:$AA1057, 20,0)</f>
        <v>70067391</v>
      </c>
      <c r="Q382" s="33" t="str">
        <f>VLOOKUP($G382,'Hoja 10'!$F$4:$AA1057, 21,0)</f>
        <v>https://www.uysa.com.pe/brocha-p-reposteria-silicona-con-mango-verde-de-abs-70067391/p?srsltid=AfmBOoo5FFHt3WEU0McXc8V9ycySDEQ00Ip0vMv2xUz8TIsp3JRRCTYh</v>
      </c>
      <c r="R382" s="86" t="s">
        <v>2845</v>
      </c>
      <c r="S382" s="34" t="b">
        <v>1</v>
      </c>
      <c r="T382" s="155" t="s">
        <v>2846</v>
      </c>
      <c r="U382" s="155" t="s">
        <v>2847</v>
      </c>
      <c r="V382" s="39" t="str">
        <f>IFERROR(__xludf.DUMMYFUNCTION(" IF
( VLOOKUP($G382,IMPORTRANGE(""https://docs.google.com/spreadsheets/d/1Gpl6jkTg7sL4VDNimUm3S9Vi1i95esohXCF3wuKOE8c"", ""'CONSOLIDADO'!G5:AB""), 10, 0) &lt;&gt; 0, 
IFERROR(VLOOKUP($G382,IMPORTRANGE(""https://docs.google.com/spreadsheets/d/1Gpl6jkTg7sL4VDNimU"&amp;"m3S9Vi1i95esohXCF3wuKOE8c"", ""'CONSOLIDADO'!G5:AB""), 17, 0), ""-""),
""""
)"),"DONAELSA")</f>
        <v>DONAELSA</v>
      </c>
      <c r="W382" s="39" t="str">
        <f>IFERROR(__xludf.DUMMYFUNCTION(" IF
( VLOOKUP($G382,IMPORTRANGE(""https://docs.google.com/spreadsheets/d/1Gpl6jkTg7sL4VDNimUm3S9Vi1i95esohXCF3wuKOE8c"", ""'CONSOLIDADO'!G5:AB""), 10, 0) &lt;&gt; 0, 
IFERROR(VLOOKUP($G382,IMPORTRANGE(""https://docs.google.com/spreadsheets/d/1Gpl6jkTg7sL4VDNimU"&amp;"m3S9Vi1i95esohXCF3wuKOE8c"", ""'CONSOLIDADO'!G5:AB""), 18, 0), ""-""),
""""
)"),"U0106-002")</f>
        <v>U0106-002</v>
      </c>
      <c r="X382" s="39" t="b">
        <f t="shared" ref="X382:X384" si="41">IF(AND(T382=V382,W382=U382),TRUE,FALSE)</f>
        <v>1</v>
      </c>
      <c r="Y382" s="120" t="s">
        <v>2848</v>
      </c>
      <c r="Z382" s="37" t="str">
        <f>IFERROR(__xludf.DUMMYFUNCTION("IFERROR(VLOOKUP(G382,IMPORTRANGE(""https://docs.google.com/spreadsheets/d/12RxCea4e5ggM7QGn1XE3FbLQa_-QbCNdBi90OdPjRqg"", ""'Plan de Compras'!D4:Q""), 12, 0), ""NO ESTÁ EN REQ"")"),"Simple")</f>
        <v>Simple</v>
      </c>
      <c r="AA382" s="37" t="str">
        <f>IFERROR(__xludf.DUMMYFUNCTION("IFERROR(VLOOKUP(G382,IMPORTRANGE(""https://docs.google.com/spreadsheets/d/12RxCea4e5ggM7QGn1XE3FbLQa_-QbCNdBi90OdPjRqg"", ""'Plan de Compras'!D4:Q""), 13, 0), """")"),"NACIONAL")</f>
        <v>NACIONAL</v>
      </c>
      <c r="AB382" s="32" t="str">
        <f>IFERROR(__xludf.DUMMYFUNCTION("IFERROR(VLOOKUP(G382,IMPORTRANGE(""https://docs.google.com/spreadsheets/d/12RxCea4e5ggM7QGn1XE3FbLQa_-QbCNdBi90OdPjRqg"", ""'Plan de Compras'!D4:Q""), 14, 0), """")"),"JESSICA")</f>
        <v>JESSICA</v>
      </c>
      <c r="AC382" s="72" t="str">
        <f>IFERROR(__xludf.DUMMYFUNCTION("IFERROR(VLOOKUP(G382,IMPORTRANGE(""https://docs.google.com/spreadsheets/d/12RxCea4e5ggM7QGn1XE3FbLQa_-QbCNdBi90OdPjRqg"", ""'Plan de Compras'!D4:Q""), 4, 0), """")"),"BROCHA DE SILICONA")</f>
        <v>BROCHA DE SILICONA</v>
      </c>
      <c r="AD382" s="37" t="str">
        <f>IFERROR(__xludf.DUMMYFUNCTION("IFERROR(IF(OR(C382=TRUE,C382=""""),VLOOKUP(G382,IMPORTRANGE(""https://docs.google.com/spreadsheets/d/1z9A1Wq-kKrhRNG5RS2a2fKpY1wIhSVz2ZNmP2mOl588/edit?usp=sharing"",""REQ VF!E4:H""),4,0),""NO APLICA""),""GENERAR REQ"")"),"GENERAR REQ")</f>
        <v>GENERAR REQ</v>
      </c>
      <c r="AE382" s="32" t="str">
        <f>IFERROR(__xludf.DUMMYFUNCTION("IFERROR(QUERY(IMPORTRANGE(""https://docs.google.com/spreadsheets/d/1z9A1Wq-kKrhRNG5RS2a2fKpY1wIhSVz2ZNmP2mOl588/edit?usp=sharing"",""REQ VF!E4:Q""),""SELECT Col10, Col11, Col12 WHERE Col1 = '""&amp;G382&amp;""'"",0),""NO APLICA"")"),"NO APLICA")</f>
        <v>NO APLICA</v>
      </c>
      <c r="AF382" s="32"/>
      <c r="AG382" s="32"/>
      <c r="AH382" s="13"/>
      <c r="AI382" s="13"/>
    </row>
    <row r="383">
      <c r="A383" s="121">
        <v>229.0</v>
      </c>
      <c r="B383" s="43" t="b">
        <v>1</v>
      </c>
      <c r="C383" s="26" t="b">
        <v>1</v>
      </c>
      <c r="D383" s="26" t="s">
        <v>35</v>
      </c>
      <c r="E383" s="26" t="s">
        <v>1510</v>
      </c>
      <c r="F383" s="59" t="s">
        <v>2842</v>
      </c>
      <c r="G383" s="39" t="s">
        <v>2849</v>
      </c>
      <c r="H383" s="82" t="s">
        <v>2844</v>
      </c>
      <c r="I383" s="43">
        <f>SUMIFS('Hoja 10'!$O:$O,'Hoja 10'!$F:$F,$G383)</f>
        <v>16</v>
      </c>
      <c r="J383" s="26">
        <f>IFERROR(__xludf.DUMMYFUNCTION("VLOOKUP(G383,IMPORTRANGE(""https://docs.google.com/spreadsheets/d/12RxCea4e5ggM7QGn1XE3FbLQa_-QbCNdBi90OdPjRqg/edit?gid=1692403370#gid=1692403370"", ""'Plan de Compras'!D4:2432""), 8,0)"),16.0)</f>
        <v>16</v>
      </c>
      <c r="K383" s="26" t="str">
        <f t="shared" si="40"/>
        <v>SI</v>
      </c>
      <c r="L383" s="29" t="s">
        <v>39</v>
      </c>
      <c r="M383" s="30" t="s">
        <v>40</v>
      </c>
      <c r="N383" s="32"/>
      <c r="O383" s="32" t="str">
        <f>VLOOKUP($G383,'Hoja 10'!$F$4:$AA1057, 19,0)</f>
        <v>ICHIMATSU</v>
      </c>
      <c r="P383" s="32">
        <f>VLOOKUP($G383,'Hoja 10'!$F$4:$AA1057, 20,0)</f>
        <v>70067391</v>
      </c>
      <c r="Q383" s="33" t="str">
        <f>VLOOKUP($G383,'Hoja 10'!$F$4:$AA1057, 21,0)</f>
        <v>https://www.uysa.com.pe/brocha-p-reposteria-silicona-con-mango-verde-de-abs-70067391/p?srsltid=AfmBOoo5FFHt3WEU0McXc8V9ycySDEQ00Ip0vMv2xUz8TIsp3JRRCTYh</v>
      </c>
      <c r="R383" s="30" t="s">
        <v>2850</v>
      </c>
      <c r="S383" s="34" t="b">
        <v>1</v>
      </c>
      <c r="T383" s="155" t="s">
        <v>2846</v>
      </c>
      <c r="U383" s="155" t="s">
        <v>2847</v>
      </c>
      <c r="V383" s="39" t="str">
        <f>IFERROR(__xludf.DUMMYFUNCTION(" IF
( VLOOKUP($G383,IMPORTRANGE(""https://docs.google.com/spreadsheets/d/1Gpl6jkTg7sL4VDNimUm3S9Vi1i95esohXCF3wuKOE8c"", ""'CONSOLIDADO'!G5:AB""), 10, 0) &lt;&gt; 0, 
IFERROR(VLOOKUP($G383,IMPORTRANGE(""https://docs.google.com/spreadsheets/d/1Gpl6jkTg7sL4VDNimU"&amp;"m3S9Vi1i95esohXCF3wuKOE8c"", ""'CONSOLIDADO'!G5:AB""), 17, 0), ""-""),
""""
)"),"DONAELSA")</f>
        <v>DONAELSA</v>
      </c>
      <c r="W383" s="39" t="str">
        <f>IFERROR(__xludf.DUMMYFUNCTION(" IF
( VLOOKUP($G383,IMPORTRANGE(""https://docs.google.com/spreadsheets/d/1Gpl6jkTg7sL4VDNimUm3S9Vi1i95esohXCF3wuKOE8c"", ""'CONSOLIDADO'!G5:AB""), 10, 0) &lt;&gt; 0, 
IFERROR(VLOOKUP($G383,IMPORTRANGE(""https://docs.google.com/spreadsheets/d/1Gpl6jkTg7sL4VDNimU"&amp;"m3S9Vi1i95esohXCF3wuKOE8c"", ""'CONSOLIDADO'!G5:AB""), 18, 0), ""-""),
""""
)"),"U0106-002")</f>
        <v>U0106-002</v>
      </c>
      <c r="X383" s="39" t="b">
        <f t="shared" si="41"/>
        <v>1</v>
      </c>
      <c r="Y383" s="120" t="s">
        <v>2848</v>
      </c>
      <c r="Z383" s="37" t="str">
        <f>IFERROR(__xludf.DUMMYFUNCTION("IFERROR(VLOOKUP(G383,IMPORTRANGE(""https://docs.google.com/spreadsheets/d/12RxCea4e5ggM7QGn1XE3FbLQa_-QbCNdBi90OdPjRqg"", ""'Plan de Compras'!D4:Q""), 12, 0), ""NO ESTÁ EN REQ"")"),"Simple")</f>
        <v>Simple</v>
      </c>
      <c r="AA383" s="37" t="str">
        <f>IFERROR(__xludf.DUMMYFUNCTION("IFERROR(VLOOKUP(G383,IMPORTRANGE(""https://docs.google.com/spreadsheets/d/12RxCea4e5ggM7QGn1XE3FbLQa_-QbCNdBi90OdPjRqg"", ""'Plan de Compras'!D4:Q""), 13, 0), """")"),"NACIONAL")</f>
        <v>NACIONAL</v>
      </c>
      <c r="AB383" s="32" t="str">
        <f>IFERROR(__xludf.DUMMYFUNCTION("IFERROR(VLOOKUP(G383,IMPORTRANGE(""https://docs.google.com/spreadsheets/d/12RxCea4e5ggM7QGn1XE3FbLQa_-QbCNdBi90OdPjRqg"", ""'Plan de Compras'!D4:Q""), 14, 0), """")"),"JESSICA")</f>
        <v>JESSICA</v>
      </c>
      <c r="AC383" s="72" t="str">
        <f>IFERROR(__xludf.DUMMYFUNCTION("IFERROR(VLOOKUP(G383,IMPORTRANGE(""https://docs.google.com/spreadsheets/d/12RxCea4e5ggM7QGn1XE3FbLQa_-QbCNdBi90OdPjRqg"", ""'Plan de Compras'!D4:Q""), 4, 0), """")"),"BROCHA DE SILICONA")</f>
        <v>BROCHA DE SILICONA</v>
      </c>
      <c r="AD383" s="37" t="str">
        <f>IFERROR(__xludf.DUMMYFUNCTION("IFERROR(IF(OR(C383=TRUE,C383=""""),VLOOKUP(G383,IMPORTRANGE(""https://docs.google.com/spreadsheets/d/1z9A1Wq-kKrhRNG5RS2a2fKpY1wIhSVz2ZNmP2mOl588/edit?usp=sharing"",""REQ VF!E4:H""),4,0),""NO APLICA""),""GENERAR REQ"")"),"GENERAR REQ")</f>
        <v>GENERAR REQ</v>
      </c>
      <c r="AE383" s="32" t="str">
        <f>IFERROR(__xludf.DUMMYFUNCTION("IFERROR(QUERY(IMPORTRANGE(""https://docs.google.com/spreadsheets/d/1z9A1Wq-kKrhRNG5RS2a2fKpY1wIhSVz2ZNmP2mOl588/edit?usp=sharing"",""REQ VF!E4:Q""),""SELECT Col10, Col11, Col12 WHERE Col1 = '""&amp;G383&amp;""'"",0),""NO APLICA"")"),"NO APLICA")</f>
        <v>NO APLICA</v>
      </c>
      <c r="AF383" s="32"/>
      <c r="AG383" s="32"/>
      <c r="AH383" s="13"/>
      <c r="AI383" s="13"/>
    </row>
    <row r="384">
      <c r="A384" s="117">
        <v>230.0</v>
      </c>
      <c r="B384" s="43" t="b">
        <v>1</v>
      </c>
      <c r="C384" s="26" t="b">
        <v>0</v>
      </c>
      <c r="D384" s="26" t="s">
        <v>35</v>
      </c>
      <c r="E384" s="26" t="s">
        <v>1510</v>
      </c>
      <c r="F384" s="39" t="s">
        <v>2851</v>
      </c>
      <c r="G384" s="37" t="s">
        <v>2851</v>
      </c>
      <c r="H384" s="82" t="s">
        <v>2852</v>
      </c>
      <c r="I384" s="43">
        <f>SUMIFS('Hoja 10'!$O:$O,'Hoja 10'!$F:$F,$G384)</f>
        <v>8</v>
      </c>
      <c r="J384" s="26" t="str">
        <f>IFERROR(__xludf.DUMMYFUNCTION("VLOOKUP(G384,IMPORTRANGE(""https://docs.google.com/spreadsheets/d/12RxCea4e5ggM7QGn1XE3FbLQa_-QbCNdBi90OdPjRqg/edit?gid=1692403370#gid=1692403370"", ""'Plan de Compras'!D4:2432""), 8,0)"),"#N/A")</f>
        <v>#N/A</v>
      </c>
      <c r="K384" s="26" t="str">
        <f t="shared" si="40"/>
        <v>-</v>
      </c>
      <c r="L384" s="29" t="s">
        <v>296</v>
      </c>
      <c r="M384" s="30" t="s">
        <v>297</v>
      </c>
      <c r="N384" s="32"/>
      <c r="O384" s="32" t="s">
        <v>2853</v>
      </c>
      <c r="P384" s="32"/>
      <c r="Q384" s="33" t="s">
        <v>2854</v>
      </c>
      <c r="R384" s="86" t="s">
        <v>2855</v>
      </c>
      <c r="S384" s="44" t="b">
        <v>0</v>
      </c>
      <c r="T384" s="39" t="str">
        <f>IFERROR(__xludf.DUMMYFUNCTION(" IF
( VLOOKUP($G384,IMPORTRANGE(""https://docs.google.com/spreadsheets/d/1Gpl6jkTg7sL4VDNimUm3S9Vi1i95esohXCF3wuKOE8c"", ""'CONSOLIDADO'!G5:AB""), 10, 0) &lt;&gt; 0, 
IFERROR(VLOOKUP($G384,IMPORTRANGE(""https://docs.google.com/spreadsheets/d/1Gpl6jkTg7sL4VDNimU"&amp;"m3S9Vi1i95esohXCF3wuKOE8c"", ""'CONSOLIDADO'!G5:AB""), 17, 0), ""-""),
""""
)"),"TUMI")</f>
        <v>TUMI</v>
      </c>
      <c r="U384" s="39" t="str">
        <f>IFERROR(__xludf.DUMMYFUNCTION(" IF
( VLOOKUP($G384,IMPORTRANGE(""https://docs.google.com/spreadsheets/d/1Gpl6jkTg7sL4VDNimUm3S9Vi1i95esohXCF3wuKOE8c"", ""'CONSOLIDADO'!G5:AB""), 10, 0) &lt;&gt; 0, 
IFERROR(VLOOKUP($G384,IMPORTRANGE(""https://docs.google.com/spreadsheets/d/1Gpl6jkTg7sL4VDNimU"&amp;"m3S9Vi1i95esohXCF3wuKOE8c"", ""'CONSOLIDADO'!G5:AB""), 18, 0), ""-""),
""""
)"),"Brocha TUMI Multiuso 1'', 2"", 4"", 5""")</f>
        <v>Brocha TUMI Multiuso 1'', 2", 4", 5"</v>
      </c>
      <c r="V384" s="39" t="str">
        <f>IFERROR(__xludf.DUMMYFUNCTION(" IF
( VLOOKUP($G384,IMPORTRANGE(""https://docs.google.com/spreadsheets/d/1Gpl6jkTg7sL4VDNimUm3S9Vi1i95esohXCF3wuKOE8c"", ""'CONSOLIDADO'!G5:AB""), 10, 0) &lt;&gt; 0, 
IFERROR(VLOOKUP($G384,IMPORTRANGE(""https://docs.google.com/spreadsheets/d/1Gpl6jkTg7sL4VDNimU"&amp;"m3S9Vi1i95esohXCF3wuKOE8c"", ""'CONSOLIDADO'!G5:AB""), 17, 0), ""-""),
""""
)"),"TUMI")</f>
        <v>TUMI</v>
      </c>
      <c r="W384" s="39" t="str">
        <f>IFERROR(__xludf.DUMMYFUNCTION(" IF
( VLOOKUP($G384,IMPORTRANGE(""https://docs.google.com/spreadsheets/d/1Gpl6jkTg7sL4VDNimUm3S9Vi1i95esohXCF3wuKOE8c"", ""'CONSOLIDADO'!G5:AB""), 10, 0) &lt;&gt; 0, 
IFERROR(VLOOKUP($G384,IMPORTRANGE(""https://docs.google.com/spreadsheets/d/1Gpl6jkTg7sL4VDNimU"&amp;"m3S9Vi1i95esohXCF3wuKOE8c"", ""'CONSOLIDADO'!G5:AB""), 18, 0), ""-""),
""""
)"),"Brocha TUMI Multiuso 1'', 2"", 4"", 5""")</f>
        <v>Brocha TUMI Multiuso 1'', 2", 4", 5"</v>
      </c>
      <c r="X384" s="39" t="b">
        <f t="shared" si="41"/>
        <v>1</v>
      </c>
      <c r="Y384" s="120" t="str">
        <f>IFERROR(__xludf.DUMMYFUNCTION(" IF
( VLOOKUP($G384,IMPORTRANGE(""https://docs.google.com/spreadsheets/d/1Gpl6jkTg7sL4VDNimUm3S9Vi1i95esohXCF3wuKOE8c"", ""'CONSOLIDADO'!G5:AB""), 10, 0) &lt;&gt; 0, 
IFERROR(VLOOKUP($G384,IMPORTRANGE(""https://docs.google.com/spreadsheets/d/1Gpl6jkTg7sL4VDNimU"&amp;"m3S9Vi1i95esohXCF3wuKOE8c"", ""'CONSOLIDADO'!G5:AB""), 19, 0), ""-""),
""""
)"),"https://sodimac.falabella.com.pe/sodimac-pe/product/113316148/Brocha-TUMI-Multiuso-1%27%27/113316153?exp=sodimac
https://sodimac.falabella.com.pe/sodimac-pe/product/113321144/Brocha-TUMI-Multiuso-2%27%27/113321145?exp=sodimac
https://sodimac.falabella.com"&amp;".pe/sodimac-pe/product/113309957/Brocha-TUMI-Multiuso-4%27%27/113309958?exp=sodimac
https://sodimac.falabella.com.pe/sodimac-pe/product/113326372/Brocha-TUMI-Multiuso-5%27%27/113326374?exp=sodimac")</f>
        <v>https://sodimac.falabella.com.pe/sodimac-pe/product/113316148/Brocha-TUMI-Multiuso-1%27%27/113316153?exp=sodimac
https://sodimac.falabella.com.pe/sodimac-pe/product/113321144/Brocha-TUMI-Multiuso-2%27%27/113321145?exp=sodimac
https://sodimac.falabella.com.pe/sodimac-pe/product/113309957/Brocha-TUMI-Multiuso-4%27%27/113309958?exp=sodimac
https://sodimac.falabella.com.pe/sodimac-pe/product/113326372/Brocha-TUMI-Multiuso-5%27%27/113326374?exp=sodimac</v>
      </c>
      <c r="Z384" s="37" t="str">
        <f>IFERROR(__xludf.DUMMYFUNCTION("IFERROR(VLOOKUP(G384,IMPORTRANGE(""https://docs.google.com/spreadsheets/d/12RxCea4e5ggM7QGn1XE3FbLQa_-QbCNdBi90OdPjRqg"", ""'Plan de Compras'!D4:Q""), 12, 0), ""NO ESTÁ EN REQ"")"),"NO ESTÁ EN REQ")</f>
        <v>NO ESTÁ EN REQ</v>
      </c>
      <c r="AA384" s="37" t="str">
        <f>IFERROR(__xludf.DUMMYFUNCTION("IFERROR(VLOOKUP(G384,IMPORTRANGE(""https://docs.google.com/spreadsheets/d/12RxCea4e5ggM7QGn1XE3FbLQa_-QbCNdBi90OdPjRqg"", ""'Plan de Compras'!D4:Q""), 13, 0), """")"),"")</f>
        <v/>
      </c>
      <c r="AB384" s="32" t="str">
        <f>IFERROR(__xludf.DUMMYFUNCTION("IFERROR(VLOOKUP(G384,IMPORTRANGE(""https://docs.google.com/spreadsheets/d/12RxCea4e5ggM7QGn1XE3FbLQa_-QbCNdBi90OdPjRqg"", ""'Plan de Compras'!D4:Q""), 14, 0), """")"),"")</f>
        <v/>
      </c>
      <c r="AC384" s="72" t="str">
        <f>IFERROR(__xludf.DUMMYFUNCTION("IFERROR(VLOOKUP(G384,IMPORTRANGE(""https://docs.google.com/spreadsheets/d/12RxCea4e5ggM7QGn1XE3FbLQa_-QbCNdBi90OdPjRqg"", ""'Plan de Compras'!D4:Q""), 4, 0), """")"),"")</f>
        <v/>
      </c>
      <c r="AD384" s="37" t="str">
        <f>IFERROR(__xludf.DUMMYFUNCTION("IFERROR(IF(OR(C384=TRUE,C384=""""),VLOOKUP(G384,IMPORTRANGE(""https://docs.google.com/spreadsheets/d/1z9A1Wq-kKrhRNG5RS2a2fKpY1wIhSVz2ZNmP2mOl588/edit?usp=sharing"",""REQ VF!E4:H""),4,0),""NO APLICA""),""GENERAR REQ"")"),"NO APLICA")</f>
        <v>NO APLICA</v>
      </c>
      <c r="AE384" s="32" t="str">
        <f>IFERROR(__xludf.DUMMYFUNCTION("IFERROR(QUERY(IMPORTRANGE(""https://docs.google.com/spreadsheets/d/1z9A1Wq-kKrhRNG5RS2a2fKpY1wIhSVz2ZNmP2mOl588/edit?usp=sharing"",""REQ VF!E4:Q""),""SELECT Col10, Col11, Col12 WHERE Col1 = '""&amp;G384&amp;""'"",0),""NO APLICA"")"),"NO APLICA")</f>
        <v>NO APLICA</v>
      </c>
      <c r="AF384" s="32"/>
      <c r="AG384" s="32"/>
      <c r="AH384" s="13"/>
      <c r="AI384" s="13"/>
    </row>
    <row r="385">
      <c r="A385" s="43"/>
      <c r="B385" s="43"/>
      <c r="C385" s="26" t="b">
        <v>1</v>
      </c>
      <c r="D385" s="26" t="s">
        <v>95</v>
      </c>
      <c r="E385" s="60" t="s">
        <v>1510</v>
      </c>
      <c r="F385" s="59" t="s">
        <v>2851</v>
      </c>
      <c r="G385" s="39" t="s">
        <v>2856</v>
      </c>
      <c r="H385" s="66" t="s">
        <v>2857</v>
      </c>
      <c r="I385" s="43">
        <v>8.0</v>
      </c>
      <c r="J385" s="26">
        <f>IFERROR(__xludf.DUMMYFUNCTION("VLOOKUP(G385,IMPORTRANGE(""https://docs.google.com/spreadsheets/d/12RxCea4e5ggM7QGn1XE3FbLQa_-QbCNdBi90OdPjRqg/edit?gid=1692403370#gid=1692403370"", ""'Plan de Compras'!D4:2432""), 8,0)"),8.0)</f>
        <v>8</v>
      </c>
      <c r="K385" s="26" t="str">
        <f t="shared" si="40"/>
        <v>SI</v>
      </c>
      <c r="L385" s="26"/>
      <c r="M385" s="32"/>
      <c r="N385" s="32"/>
      <c r="O385" s="32" t="s">
        <v>2853</v>
      </c>
      <c r="P385" s="32"/>
      <c r="Q385" s="33" t="s">
        <v>2858</v>
      </c>
      <c r="R385" s="32"/>
      <c r="S385" s="44" t="b">
        <v>1</v>
      </c>
      <c r="T385" s="32" t="s">
        <v>2853</v>
      </c>
      <c r="U385" s="32"/>
      <c r="V385" s="32"/>
      <c r="W385" s="32"/>
      <c r="X385" s="32"/>
      <c r="Y385" s="138" t="s">
        <v>2854</v>
      </c>
      <c r="Z385" s="37" t="str">
        <f>IFERROR(__xludf.DUMMYFUNCTION("IFERROR(VLOOKUP(G385,IMPORTRANGE(""https://docs.google.com/spreadsheets/d/12RxCea4e5ggM7QGn1XE3FbLQa_-QbCNdBi90OdPjRqg"", ""'Plan de Compras'!D4:Q""), 12, 0), ""NO ESTÁ EN REQ"")"),"Simple")</f>
        <v>Simple</v>
      </c>
      <c r="AA385" s="37" t="str">
        <f>IFERROR(__xludf.DUMMYFUNCTION("IFERROR(VLOOKUP(G385,IMPORTRANGE(""https://docs.google.com/spreadsheets/d/12RxCea4e5ggM7QGn1XE3FbLQa_-QbCNdBi90OdPjRqg"", ""'Plan de Compras'!D4:Q""), 13, 0), """")"),"NACIONAL")</f>
        <v>NACIONAL</v>
      </c>
      <c r="AB385" s="32" t="str">
        <f>IFERROR(__xludf.DUMMYFUNCTION("IFERROR(VLOOKUP(G385,IMPORTRANGE(""https://docs.google.com/spreadsheets/d/12RxCea4e5ggM7QGn1XE3FbLQa_-QbCNdBi90OdPjRqg"", ""'Plan de Compras'!D4:Q""), 14, 0), """")"),"DIANA")</f>
        <v>DIANA</v>
      </c>
      <c r="AC385" s="72" t="str">
        <f>IFERROR(__xludf.DUMMYFUNCTION("IFERROR(VLOOKUP(G385,IMPORTRANGE(""https://docs.google.com/spreadsheets/d/12RxCea4e5ggM7QGn1XE3FbLQa_-QbCNdBi90OdPjRqg"", ""'Plan de Compras'!D4:Q""), 4, 0), """")"),"BROCHAS DE 1'' (1 UND) ")</f>
        <v>BROCHAS DE 1'' (1 UND) </v>
      </c>
      <c r="AD385" s="37" t="str">
        <f>IFERROR(__xludf.DUMMYFUNCTION("IFERROR(IF(OR(C385=TRUE,C385=""""),VLOOKUP(G385,IMPORTRANGE(""https://docs.google.com/spreadsheets/d/1z9A1Wq-kKrhRNG5RS2a2fKpY1wIhSVz2ZNmP2mOl588/edit?usp=sharing"",""REQ VF!E4:H""),4,0),""NO APLICA""),""GENERAR REQ"")"),"GENERAR REQ")</f>
        <v>GENERAR REQ</v>
      </c>
      <c r="AE385" s="32" t="str">
        <f>IFERROR(__xludf.DUMMYFUNCTION("IFERROR(QUERY(IMPORTRANGE(""https://docs.google.com/spreadsheets/d/1z9A1Wq-kKrhRNG5RS2a2fKpY1wIhSVz2ZNmP2mOl588/edit?usp=sharing"",""REQ VF!E4:Q""),""SELECT Col10, Col11, Col12 WHERE Col1 = '""&amp;G385&amp;""'"",0),""NO APLICA"")"),"NO APLICA")</f>
        <v>NO APLICA</v>
      </c>
      <c r="AF385" s="32"/>
      <c r="AG385" s="32"/>
      <c r="AH385" s="13"/>
      <c r="AI385" s="13"/>
    </row>
    <row r="386">
      <c r="A386" s="43"/>
      <c r="B386" s="43"/>
      <c r="C386" s="26" t="b">
        <v>1</v>
      </c>
      <c r="D386" s="26" t="s">
        <v>95</v>
      </c>
      <c r="E386" s="60" t="s">
        <v>1510</v>
      </c>
      <c r="F386" s="59" t="s">
        <v>2851</v>
      </c>
      <c r="G386" s="39" t="s">
        <v>2859</v>
      </c>
      <c r="H386" s="66" t="s">
        <v>2860</v>
      </c>
      <c r="I386" s="43">
        <v>8.0</v>
      </c>
      <c r="J386" s="26">
        <f>IFERROR(__xludf.DUMMYFUNCTION("VLOOKUP(G386,IMPORTRANGE(""https://docs.google.com/spreadsheets/d/12RxCea4e5ggM7QGn1XE3FbLQa_-QbCNdBi90OdPjRqg/edit?gid=1692403370#gid=1692403370"", ""'Plan de Compras'!D4:2432""), 8,0)"),8.0)</f>
        <v>8</v>
      </c>
      <c r="K386" s="26" t="str">
        <f t="shared" si="40"/>
        <v>SI</v>
      </c>
      <c r="L386" s="26"/>
      <c r="M386" s="32"/>
      <c r="N386" s="32"/>
      <c r="O386" s="32" t="s">
        <v>2853</v>
      </c>
      <c r="P386" s="32"/>
      <c r="Q386" s="33" t="s">
        <v>2861</v>
      </c>
      <c r="R386" s="32"/>
      <c r="S386" s="44" t="b">
        <v>1</v>
      </c>
      <c r="T386" s="32" t="s">
        <v>2853</v>
      </c>
      <c r="U386" s="32"/>
      <c r="V386" s="32"/>
      <c r="W386" s="32"/>
      <c r="X386" s="32"/>
      <c r="Y386" s="138" t="s">
        <v>2858</v>
      </c>
      <c r="Z386" s="37" t="str">
        <f>IFERROR(__xludf.DUMMYFUNCTION("IFERROR(VLOOKUP(G386,IMPORTRANGE(""https://docs.google.com/spreadsheets/d/12RxCea4e5ggM7QGn1XE3FbLQa_-QbCNdBi90OdPjRqg"", ""'Plan de Compras'!D4:Q""), 12, 0), ""NO ESTÁ EN REQ"")"),"Simple")</f>
        <v>Simple</v>
      </c>
      <c r="AA386" s="37" t="str">
        <f>IFERROR(__xludf.DUMMYFUNCTION("IFERROR(VLOOKUP(G386,IMPORTRANGE(""https://docs.google.com/spreadsheets/d/12RxCea4e5ggM7QGn1XE3FbLQa_-QbCNdBi90OdPjRqg"", ""'Plan de Compras'!D4:Q""), 13, 0), """")"),"NACIONAL")</f>
        <v>NACIONAL</v>
      </c>
      <c r="AB386" s="32" t="str">
        <f>IFERROR(__xludf.DUMMYFUNCTION("IFERROR(VLOOKUP(G386,IMPORTRANGE(""https://docs.google.com/spreadsheets/d/12RxCea4e5ggM7QGn1XE3FbLQa_-QbCNdBi90OdPjRqg"", ""'Plan de Compras'!D4:Q""), 14, 0), """")"),"DIANA")</f>
        <v>DIANA</v>
      </c>
      <c r="AC386" s="72" t="str">
        <f>IFERROR(__xludf.DUMMYFUNCTION("IFERROR(VLOOKUP(G386,IMPORTRANGE(""https://docs.google.com/spreadsheets/d/12RxCea4e5ggM7QGn1XE3FbLQa_-QbCNdBi90OdPjRqg"", ""'Plan de Compras'!D4:Q""), 4, 0), """")"),"BROCHAS DE 2'' (1 UND) ")</f>
        <v>BROCHAS DE 2'' (1 UND) </v>
      </c>
      <c r="AD386" s="37" t="str">
        <f>IFERROR(__xludf.DUMMYFUNCTION("IFERROR(IF(OR(C386=TRUE,C386=""""),VLOOKUP(G386,IMPORTRANGE(""https://docs.google.com/spreadsheets/d/1z9A1Wq-kKrhRNG5RS2a2fKpY1wIhSVz2ZNmP2mOl588/edit?usp=sharing"",""REQ VF!E4:H""),4,0),""NO APLICA""),""GENERAR REQ"")"),"GENERAR REQ")</f>
        <v>GENERAR REQ</v>
      </c>
      <c r="AE386" s="32" t="str">
        <f>IFERROR(__xludf.DUMMYFUNCTION("IFERROR(QUERY(IMPORTRANGE(""https://docs.google.com/spreadsheets/d/1z9A1Wq-kKrhRNG5RS2a2fKpY1wIhSVz2ZNmP2mOl588/edit?usp=sharing"",""REQ VF!E4:Q""),""SELECT Col10, Col11, Col12 WHERE Col1 = '""&amp;G386&amp;""'"",0),""NO APLICA"")"),"NO APLICA")</f>
        <v>NO APLICA</v>
      </c>
      <c r="AF386" s="32"/>
      <c r="AG386" s="32"/>
      <c r="AH386" s="13"/>
      <c r="AI386" s="13"/>
    </row>
    <row r="387">
      <c r="A387" s="43"/>
      <c r="B387" s="43"/>
      <c r="C387" s="26" t="b">
        <v>1</v>
      </c>
      <c r="D387" s="26" t="s">
        <v>95</v>
      </c>
      <c r="E387" s="60" t="s">
        <v>1510</v>
      </c>
      <c r="F387" s="59" t="s">
        <v>2851</v>
      </c>
      <c r="G387" s="39" t="s">
        <v>2862</v>
      </c>
      <c r="H387" s="66" t="s">
        <v>2863</v>
      </c>
      <c r="I387" s="43">
        <v>8.0</v>
      </c>
      <c r="J387" s="26">
        <f>IFERROR(__xludf.DUMMYFUNCTION("VLOOKUP(G387,IMPORTRANGE(""https://docs.google.com/spreadsheets/d/12RxCea4e5ggM7QGn1XE3FbLQa_-QbCNdBi90OdPjRqg/edit?gid=1692403370#gid=1692403370"", ""'Plan de Compras'!D4:2432""), 8,0)"),8.0)</f>
        <v>8</v>
      </c>
      <c r="K387" s="26" t="str">
        <f t="shared" si="40"/>
        <v>SI</v>
      </c>
      <c r="L387" s="26"/>
      <c r="M387" s="32"/>
      <c r="N387" s="32"/>
      <c r="O387" s="32" t="s">
        <v>2853</v>
      </c>
      <c r="P387" s="32"/>
      <c r="Q387" s="33" t="s">
        <v>2864</v>
      </c>
      <c r="R387" s="32"/>
      <c r="S387" s="44" t="b">
        <v>1</v>
      </c>
      <c r="T387" s="32" t="s">
        <v>2853</v>
      </c>
      <c r="U387" s="32"/>
      <c r="V387" s="32"/>
      <c r="W387" s="32"/>
      <c r="X387" s="32"/>
      <c r="Y387" s="138" t="s">
        <v>2861</v>
      </c>
      <c r="Z387" s="37" t="str">
        <f>IFERROR(__xludf.DUMMYFUNCTION("IFERROR(VLOOKUP(G387,IMPORTRANGE(""https://docs.google.com/spreadsheets/d/12RxCea4e5ggM7QGn1XE3FbLQa_-QbCNdBi90OdPjRqg"", ""'Plan de Compras'!D4:Q""), 12, 0), ""NO ESTÁ EN REQ"")"),"Simple")</f>
        <v>Simple</v>
      </c>
      <c r="AA387" s="37" t="str">
        <f>IFERROR(__xludf.DUMMYFUNCTION("IFERROR(VLOOKUP(G387,IMPORTRANGE(""https://docs.google.com/spreadsheets/d/12RxCea4e5ggM7QGn1XE3FbLQa_-QbCNdBi90OdPjRqg"", ""'Plan de Compras'!D4:Q""), 13, 0), """")"),"NACIONAL")</f>
        <v>NACIONAL</v>
      </c>
      <c r="AB387" s="32" t="str">
        <f>IFERROR(__xludf.DUMMYFUNCTION("IFERROR(VLOOKUP(G387,IMPORTRANGE(""https://docs.google.com/spreadsheets/d/12RxCea4e5ggM7QGn1XE3FbLQa_-QbCNdBi90OdPjRqg"", ""'Plan de Compras'!D4:Q""), 14, 0), """")"),"DIANA")</f>
        <v>DIANA</v>
      </c>
      <c r="AC387" s="72" t="str">
        <f>IFERROR(__xludf.DUMMYFUNCTION("IFERROR(VLOOKUP(G387,IMPORTRANGE(""https://docs.google.com/spreadsheets/d/12RxCea4e5ggM7QGn1XE3FbLQa_-QbCNdBi90OdPjRqg"", ""'Plan de Compras'!D4:Q""), 4, 0), """")"),"BROCHAS DE 4'' (1 UND) ")</f>
        <v>BROCHAS DE 4'' (1 UND) </v>
      </c>
      <c r="AD387" s="37" t="str">
        <f>IFERROR(__xludf.DUMMYFUNCTION("IFERROR(IF(OR(C387=TRUE,C387=""""),VLOOKUP(G387,IMPORTRANGE(""https://docs.google.com/spreadsheets/d/1z9A1Wq-kKrhRNG5RS2a2fKpY1wIhSVz2ZNmP2mOl588/edit?usp=sharing"",""REQ VF!E4:H""),4,0),""NO APLICA""),""GENERAR REQ"")"),"GENERAR REQ")</f>
        <v>GENERAR REQ</v>
      </c>
      <c r="AE387" s="32" t="str">
        <f>IFERROR(__xludf.DUMMYFUNCTION("IFERROR(QUERY(IMPORTRANGE(""https://docs.google.com/spreadsheets/d/1z9A1Wq-kKrhRNG5RS2a2fKpY1wIhSVz2ZNmP2mOl588/edit?usp=sharing"",""REQ VF!E4:Q""),""SELECT Col10, Col11, Col12 WHERE Col1 = '""&amp;G387&amp;""'"",0),""NO APLICA"")"),"NO APLICA")</f>
        <v>NO APLICA</v>
      </c>
      <c r="AF387" s="32"/>
      <c r="AG387" s="32"/>
      <c r="AH387" s="13"/>
      <c r="AI387" s="13"/>
    </row>
    <row r="388">
      <c r="A388" s="43"/>
      <c r="B388" s="43"/>
      <c r="C388" s="26" t="b">
        <v>1</v>
      </c>
      <c r="D388" s="26" t="s">
        <v>95</v>
      </c>
      <c r="E388" s="60" t="s">
        <v>1510</v>
      </c>
      <c r="F388" s="59" t="s">
        <v>2851</v>
      </c>
      <c r="G388" s="39" t="s">
        <v>2865</v>
      </c>
      <c r="H388" s="66" t="s">
        <v>2866</v>
      </c>
      <c r="I388" s="43">
        <v>8.0</v>
      </c>
      <c r="J388" s="26">
        <f>IFERROR(__xludf.DUMMYFUNCTION("VLOOKUP(G388,IMPORTRANGE(""https://docs.google.com/spreadsheets/d/12RxCea4e5ggM7QGn1XE3FbLQa_-QbCNdBi90OdPjRqg/edit?gid=1692403370#gid=1692403370"", ""'Plan de Compras'!D4:2432""), 8,0)"),8.0)</f>
        <v>8</v>
      </c>
      <c r="K388" s="26" t="str">
        <f t="shared" si="40"/>
        <v>SI</v>
      </c>
      <c r="L388" s="29"/>
      <c r="M388" s="61"/>
      <c r="N388" s="32"/>
      <c r="O388" s="32" t="str">
        <f>VLOOKUP($G388,'Hoja 10'!$F$4:$AA1057, 19,0)</f>
        <v>#N/A</v>
      </c>
      <c r="P388" s="32" t="str">
        <f>VLOOKUP($G388,'Hoja 10'!$F$4:$AA1057, 20,0)</f>
        <v>#N/A</v>
      </c>
      <c r="Q388" s="41" t="str">
        <f>VLOOKUP($G388,'Hoja 10'!$F$4:$AA1057, 21,0)</f>
        <v>#N/A</v>
      </c>
      <c r="R388" s="32"/>
      <c r="S388" s="44" t="b">
        <v>1</v>
      </c>
      <c r="T388" s="32" t="s">
        <v>2853</v>
      </c>
      <c r="U388" s="32"/>
      <c r="V388" s="32"/>
      <c r="W388" s="32"/>
      <c r="X388" s="32"/>
      <c r="Y388" s="138" t="s">
        <v>2864</v>
      </c>
      <c r="Z388" s="37" t="str">
        <f>IFERROR(__xludf.DUMMYFUNCTION("IFERROR(VLOOKUP(G388,IMPORTRANGE(""https://docs.google.com/spreadsheets/d/12RxCea4e5ggM7QGn1XE3FbLQa_-QbCNdBi90OdPjRqg"", ""'Plan de Compras'!D4:Q""), 12, 0), ""NO ESTÁ EN REQ"")"),"Simple")</f>
        <v>Simple</v>
      </c>
      <c r="AA388" s="37" t="str">
        <f>IFERROR(__xludf.DUMMYFUNCTION("IFERROR(VLOOKUP(G388,IMPORTRANGE(""https://docs.google.com/spreadsheets/d/12RxCea4e5ggM7QGn1XE3FbLQa_-QbCNdBi90OdPjRqg"", ""'Plan de Compras'!D4:Q""), 13, 0), """")"),"NACIONAL")</f>
        <v>NACIONAL</v>
      </c>
      <c r="AB388" s="32" t="str">
        <f>IFERROR(__xludf.DUMMYFUNCTION("IFERROR(VLOOKUP(G388,IMPORTRANGE(""https://docs.google.com/spreadsheets/d/12RxCea4e5ggM7QGn1XE3FbLQa_-QbCNdBi90OdPjRqg"", ""'Plan de Compras'!D4:Q""), 14, 0), """")"),"DIANA")</f>
        <v>DIANA</v>
      </c>
      <c r="AC388" s="72" t="str">
        <f>IFERROR(__xludf.DUMMYFUNCTION("IFERROR(VLOOKUP(G388,IMPORTRANGE(""https://docs.google.com/spreadsheets/d/12RxCea4e5ggM7QGn1XE3FbLQa_-QbCNdBi90OdPjRqg"", ""'Plan de Compras'!D4:Q""), 4, 0), """")"),"BROCHAS DE 5'' (1 UND) ")</f>
        <v>BROCHAS DE 5'' (1 UND) </v>
      </c>
      <c r="AD388" s="37" t="str">
        <f>IFERROR(__xludf.DUMMYFUNCTION("IFERROR(IF(OR(C388=TRUE,C388=""""),VLOOKUP(G388,IMPORTRANGE(""https://docs.google.com/spreadsheets/d/1z9A1Wq-kKrhRNG5RS2a2fKpY1wIhSVz2ZNmP2mOl588/edit?usp=sharing"",""REQ VF!E4:H""),4,0),""NO APLICA""),""GENERAR REQ"")"),"GENERAR REQ")</f>
        <v>GENERAR REQ</v>
      </c>
      <c r="AE388" s="32" t="str">
        <f>IFERROR(__xludf.DUMMYFUNCTION("IFERROR(QUERY(IMPORTRANGE(""https://docs.google.com/spreadsheets/d/1z9A1Wq-kKrhRNG5RS2a2fKpY1wIhSVz2ZNmP2mOl588/edit?usp=sharing"",""REQ VF!E4:Q""),""SELECT Col10, Col11, Col12 WHERE Col1 = '""&amp;G388&amp;""'"",0),""NO APLICA"")"),"NO APLICA")</f>
        <v>NO APLICA</v>
      </c>
      <c r="AF388" s="32"/>
      <c r="AG388" s="32"/>
      <c r="AH388" s="13"/>
      <c r="AI388" s="13"/>
    </row>
    <row r="389">
      <c r="A389" s="117">
        <v>231.0</v>
      </c>
      <c r="B389" s="43" t="b">
        <v>1</v>
      </c>
      <c r="C389" s="26" t="b">
        <v>1</v>
      </c>
      <c r="D389" s="26" t="s">
        <v>35</v>
      </c>
      <c r="E389" s="26" t="s">
        <v>1510</v>
      </c>
      <c r="F389" s="59" t="s">
        <v>2867</v>
      </c>
      <c r="G389" s="37" t="s">
        <v>2867</v>
      </c>
      <c r="H389" s="82" t="s">
        <v>2868</v>
      </c>
      <c r="I389" s="43">
        <f>SUMIFS('Hoja 10'!$O:$O,'Hoja 10'!$F:$F,$G389)</f>
        <v>8</v>
      </c>
      <c r="J389" s="26">
        <f>IFERROR(__xludf.DUMMYFUNCTION("VLOOKUP(G389,IMPORTRANGE(""https://docs.google.com/spreadsheets/d/12RxCea4e5ggM7QGn1XE3FbLQa_-QbCNdBi90OdPjRqg/edit?gid=1692403370#gid=1692403370"", ""'Plan de Compras'!D4:2432""), 8,0)"),8.0)</f>
        <v>8</v>
      </c>
      <c r="K389" s="26" t="str">
        <f t="shared" si="40"/>
        <v>SI</v>
      </c>
      <c r="L389" s="29" t="s">
        <v>296</v>
      </c>
      <c r="M389" s="30" t="s">
        <v>297</v>
      </c>
      <c r="N389" s="32"/>
      <c r="O389" s="32" t="str">
        <f>VLOOKUP($G389,'Hoja 10'!$F$4:$AA1057, 19,0)</f>
        <v>Steelpro</v>
      </c>
      <c r="P389" s="32" t="str">
        <f>VLOOKUP($G389,'Hoja 10'!$F$4:$AA1057, 20,0)</f>
        <v>Steelpro</v>
      </c>
      <c r="Q389" s="33" t="str">
        <f>VLOOKUP($G389,'Hoja 10'!$F$4:$AA1057, 21,0)</f>
        <v>https://segurimax.com.pe/product/careta-de-proteccion-facial/</v>
      </c>
      <c r="R389" s="86" t="s">
        <v>2869</v>
      </c>
      <c r="S389" s="34" t="b">
        <v>1</v>
      </c>
      <c r="T389" s="32" t="str">
        <f>VLOOKUP($G389,'Hoja 10'!$F$4:$AA1057, 19,0)</f>
        <v>Steelpro</v>
      </c>
      <c r="U389" s="32" t="str">
        <f>VLOOKUP($G389,'Hoja 10'!$F$4:$AA1057, 20,0)</f>
        <v>Steelpro</v>
      </c>
      <c r="V389" s="39" t="str">
        <f>IFERROR(__xludf.DUMMYFUNCTION(" IF
( VLOOKUP($G389,IMPORTRANGE(""https://docs.google.com/spreadsheets/d/1Gpl6jkTg7sL4VDNimUm3S9Vi1i95esohXCF3wuKOE8c"", ""'CONSOLIDADO'!G5:AB""), 10, 0) &lt;&gt; 0, 
IFERROR(VLOOKUP($G389,IMPORTRANGE(""https://docs.google.com/spreadsheets/d/1Gpl6jkTg7sL4VDNimU"&amp;"m3S9Vi1i95esohXCF3wuKOE8c"", ""'CONSOLIDADO'!G5:AB""), 17, 0), ""-""),
""""
)"),"STEELPRO")</f>
        <v>STEELPRO</v>
      </c>
      <c r="W389" s="39" t="str">
        <f>IFERROR(__xludf.DUMMYFUNCTION(" IF
( VLOOKUP($G389,IMPORTRANGE(""https://docs.google.com/spreadsheets/d/1Gpl6jkTg7sL4VDNimUm3S9Vi1i95esohXCF3wuKOE8c"", ""'CONSOLIDADO'!G5:AB""), 10, 0) &lt;&gt; 0, 
IFERROR(VLOOKUP($G389,IMPORTRANGE(""https://docs.google.com/spreadsheets/d/1Gpl6jkTg7sL4VDNimU"&amp;"m3S9Vi1i95esohXCF3wuKOE8c"", ""'CONSOLIDADO'!G5:AB""), 18, 0), ""-""),
""""
)"),"CARETA DE ESMERILAR")</f>
        <v>CARETA DE ESMERILAR</v>
      </c>
      <c r="X389" s="39" t="b">
        <f t="shared" ref="X389:X402" si="42">IF(AND(T389=V389,W389=U389),TRUE,FALSE)</f>
        <v>0</v>
      </c>
      <c r="Y389" s="138" t="str">
        <f>VLOOKUP($G389,'Hoja 10'!$F$4:$AA1057, 21,0)</f>
        <v>https://segurimax.com.pe/product/careta-de-proteccion-facial/</v>
      </c>
      <c r="Z389" s="37" t="str">
        <f>IFERROR(__xludf.DUMMYFUNCTION("IFERROR(VLOOKUP(G389,IMPORTRANGE(""https://docs.google.com/spreadsheets/d/12RxCea4e5ggM7QGn1XE3FbLQa_-QbCNdBi90OdPjRqg"", ""'Plan de Compras'!D4:Q""), 12, 0), ""NO ESTÁ EN REQ"")"),"Simple")</f>
        <v>Simple</v>
      </c>
      <c r="AA389" s="37" t="str">
        <f>IFERROR(__xludf.DUMMYFUNCTION("IFERROR(VLOOKUP(G389,IMPORTRANGE(""https://docs.google.com/spreadsheets/d/12RxCea4e5ggM7QGn1XE3FbLQa_-QbCNdBi90OdPjRqg"", ""'Plan de Compras'!D4:Q""), 13, 0), """")"),"NACIONAL")</f>
        <v>NACIONAL</v>
      </c>
      <c r="AB389" s="32" t="str">
        <f>IFERROR(__xludf.DUMMYFUNCTION("IFERROR(VLOOKUP(G389,IMPORTRANGE(""https://docs.google.com/spreadsheets/d/12RxCea4e5ggM7QGn1XE3FbLQa_-QbCNdBi90OdPjRqg"", ""'Plan de Compras'!D4:Q""), 14, 0), """")"),"GEANFRANCO")</f>
        <v>GEANFRANCO</v>
      </c>
      <c r="AC389" s="72" t="str">
        <f>IFERROR(__xludf.DUMMYFUNCTION("IFERROR(VLOOKUP(G389,IMPORTRANGE(""https://docs.google.com/spreadsheets/d/12RxCea4e5ggM7QGn1XE3FbLQa_-QbCNdBi90OdPjRqg"", ""'Plan de Compras'!D4:Q""), 4, 0), """")"),"CARETA FACIAL")</f>
        <v>CARETA FACIAL</v>
      </c>
      <c r="AD389" s="37" t="str">
        <f>IFERROR(__xludf.DUMMYFUNCTION("IFERROR(IF(OR(C389=TRUE,C389=""""),VLOOKUP(G389,IMPORTRANGE(""https://docs.google.com/spreadsheets/d/1z9A1Wq-kKrhRNG5RS2a2fKpY1wIhSVz2ZNmP2mOl588/edit?usp=sharing"",""REQ VF!E4:H""),4,0),""NO APLICA""),""GENERAR REQ"")"),"GENERAR REQ")</f>
        <v>GENERAR REQ</v>
      </c>
      <c r="AE389" s="32" t="str">
        <f>IFERROR(__xludf.DUMMYFUNCTION("IFERROR(QUERY(IMPORTRANGE(""https://docs.google.com/spreadsheets/d/1z9A1Wq-kKrhRNG5RS2a2fKpY1wIhSVz2ZNmP2mOl588/edit?usp=sharing"",""REQ VF!E4:Q""),""SELECT Col10, Col11, Col12 WHERE Col1 = '""&amp;G389&amp;""'"",0),""NO APLICA"")"),"NO APLICA")</f>
        <v>NO APLICA</v>
      </c>
      <c r="AF389" s="32"/>
      <c r="AG389" s="32"/>
      <c r="AH389" s="13"/>
      <c r="AI389" s="13"/>
    </row>
    <row r="390">
      <c r="A390" s="121">
        <v>232.0</v>
      </c>
      <c r="B390" s="43" t="b">
        <v>1</v>
      </c>
      <c r="C390" s="26" t="b">
        <v>1</v>
      </c>
      <c r="D390" s="26" t="s">
        <v>35</v>
      </c>
      <c r="E390" s="26" t="s">
        <v>1510</v>
      </c>
      <c r="F390" s="59" t="s">
        <v>2870</v>
      </c>
      <c r="G390" s="39" t="s">
        <v>2871</v>
      </c>
      <c r="H390" s="82" t="s">
        <v>2872</v>
      </c>
      <c r="I390" s="43">
        <f>SUMIFS('Hoja 10'!$O:$O,'Hoja 10'!$F:$F,$G390)</f>
        <v>3</v>
      </c>
      <c r="J390" s="26">
        <f>IFERROR(__xludf.DUMMYFUNCTION("VLOOKUP(G390,IMPORTRANGE(""https://docs.google.com/spreadsheets/d/12RxCea4e5ggM7QGn1XE3FbLQa_-QbCNdBi90OdPjRqg/edit?gid=1692403370#gid=1692403370"", ""'Plan de Compras'!D4:2432""), 8,0)"),3.0)</f>
        <v>3</v>
      </c>
      <c r="K390" s="26" t="str">
        <f t="shared" si="40"/>
        <v>SI</v>
      </c>
      <c r="L390" s="29" t="s">
        <v>127</v>
      </c>
      <c r="M390" s="30" t="s">
        <v>105</v>
      </c>
      <c r="N390" s="32"/>
      <c r="O390" s="32" t="str">
        <f>VLOOKUP($G390,'Hoja 10'!$F$4:$AA1057, 19,0)</f>
        <v>BELLOTA</v>
      </c>
      <c r="P390" s="32" t="str">
        <f>VLOOKUP($G390,'Hoja 10'!$F$4:$AA1057, 20,0)</f>
        <v>Cepillo Manual Estrecho Acero
Latonado Alambre Recto</v>
      </c>
      <c r="Q390" s="33" t="str">
        <f>VLOOKUP($G390,'Hoja 10'!$F$4:$AA1057, 21,0)</f>
        <v>https://www.amazon.com/-/es/Bellota-50806-Cepillo-pl%C3%A1stico-di%C3%A1metro/dp/B00F2NS372?th=1</v>
      </c>
      <c r="R390" s="86" t="s">
        <v>2873</v>
      </c>
      <c r="S390" s="44" t="b">
        <v>0</v>
      </c>
      <c r="T390" s="39" t="s">
        <v>2874</v>
      </c>
      <c r="U390" s="39" t="s">
        <v>2875</v>
      </c>
      <c r="V390" s="39" t="str">
        <f>IFERROR(__xludf.DUMMYFUNCTION(" IF
( VLOOKUP($G390,IMPORTRANGE(""https://docs.google.com/spreadsheets/d/1Gpl6jkTg7sL4VDNimUm3S9Vi1i95esohXCF3wuKOE8c"", ""'CONSOLIDADO'!G5:AB""), 10, 0) &lt;&gt; 0, 
IFERROR(VLOOKUP($G390,IMPORTRANGE(""https://docs.google.com/spreadsheets/d/1Gpl6jkTg7sL4VDNimU"&amp;"m3S9Vi1i95esohXCF3wuKOE8c"", ""'CONSOLIDADO'!G5:AB""), 17, 0), ""-""),
""""
)"),"BELLOTA")</f>
        <v>BELLOTA</v>
      </c>
      <c r="W390" s="39" t="str">
        <f>IFERROR(__xludf.DUMMYFUNCTION(" IF
( VLOOKUP($G390,IMPORTRANGE(""https://docs.google.com/spreadsheets/d/1Gpl6jkTg7sL4VDNimUm3S9Vi1i95esohXCF3wuKOE8c"", ""'CONSOLIDADO'!G5:AB""), 10, 0) &lt;&gt; 0, 
IFERROR(VLOOKUP($G390,IMPORTRANGE(""https://docs.google.com/spreadsheets/d/1Gpl6jkTg7sL4VDNimU"&amp;"m3S9Vi1i95esohXCF3wuKOE8c"", ""'CONSOLIDADO'!G5:AB""), 18, 0), ""-""),
""""
)"),"50806-A")</f>
        <v>50806-A</v>
      </c>
      <c r="X390" s="39" t="b">
        <f t="shared" si="42"/>
        <v>1</v>
      </c>
      <c r="Y390" s="120" t="str">
        <f>IFERROR(__xludf.DUMMYFUNCTION(" IF
( VLOOKUP($G390,IMPORTRANGE(""https://docs.google.com/spreadsheets/d/1Gpl6jkTg7sL4VDNimUm3S9Vi1i95esohXCF3wuKOE8c"", ""'CONSOLIDADO'!G5:AB""), 10, 0) &lt;&gt; 0, 
IFERROR(VLOOKUP($G390,IMPORTRANGE(""https://docs.google.com/spreadsheets/d/1Gpl6jkTg7sL4VDNimU"&amp;"m3S9Vi1i95esohXCF3wuKOE8c"", ""'CONSOLIDADO'!G5:AB""), 19, 0), ""-""),
""""
)"),"Amazon.com: Bellota 50806-A - Cepillo manual (acero latón, mango de plástico, alambre recto, diámetro 0.012 in) : Herramientas y Mejoras del Hogar")</f>
        <v>Amazon.com: Bellota 50806-A - Cepillo manual (acero latón, mango de plástico, alambre recto, diámetro 0.012 in) : Herramientas y Mejoras del Hogar</v>
      </c>
      <c r="Z390" s="37" t="str">
        <f>IFERROR(__xludf.DUMMYFUNCTION("IFERROR(VLOOKUP(G390,IMPORTRANGE(""https://docs.google.com/spreadsheets/d/12RxCea4e5ggM7QGn1XE3FbLQa_-QbCNdBi90OdPjRqg"", ""'Plan de Compras'!D4:Q""), 12, 0), ""NO ESTÁ EN REQ"")"),"Simple")</f>
        <v>Simple</v>
      </c>
      <c r="AA390" s="37" t="str">
        <f>IFERROR(__xludf.DUMMYFUNCTION("IFERROR(VLOOKUP(G390,IMPORTRANGE(""https://docs.google.com/spreadsheets/d/12RxCea4e5ggM7QGn1XE3FbLQa_-QbCNdBi90OdPjRqg"", ""'Plan de Compras'!D4:Q""), 13, 0), """")"),"INTERNACIONAL")</f>
        <v>INTERNACIONAL</v>
      </c>
      <c r="AB390" s="32" t="str">
        <f>IFERROR(__xludf.DUMMYFUNCTION("IFERROR(VLOOKUP(G390,IMPORTRANGE(""https://docs.google.com/spreadsheets/d/12RxCea4e5ggM7QGn1XE3FbLQa_-QbCNdBi90OdPjRqg"", ""'Plan de Compras'!D4:Q""), 14, 0), """")"),"GIANFRANCO")</f>
        <v>GIANFRANCO</v>
      </c>
      <c r="AC390" s="72" t="str">
        <f>IFERROR(__xludf.DUMMYFUNCTION("IFERROR(VLOOKUP(G390,IMPORTRANGE(""https://docs.google.com/spreadsheets/d/12RxCea4e5ggM7QGn1XE3FbLQa_-QbCNdBi90OdPjRqg"", ""'Plan de Compras'!D4:Q""), 4, 0), """")"),"CEPILLO DE ACERO")</f>
        <v>CEPILLO DE ACERO</v>
      </c>
      <c r="AD390" s="37" t="str">
        <f>IFERROR(__xludf.DUMMYFUNCTION("IFERROR(IF(OR(C390=TRUE,C390=""""),VLOOKUP(G390,IMPORTRANGE(""https://docs.google.com/spreadsheets/d/1z9A1Wq-kKrhRNG5RS2a2fKpY1wIhSVz2ZNmP2mOl588/edit?usp=sharing"",""REQ VF!E4:H""),4,0),""NO APLICA""),""GENERAR REQ"")"),"GENERAR REQ")</f>
        <v>GENERAR REQ</v>
      </c>
      <c r="AE390" s="32" t="str">
        <f>IFERROR(__xludf.DUMMYFUNCTION("IFERROR(QUERY(IMPORTRANGE(""https://docs.google.com/spreadsheets/d/1z9A1Wq-kKrhRNG5RS2a2fKpY1wIhSVz2ZNmP2mOl588/edit?usp=sharing"",""REQ VF!E4:Q""),""SELECT Col10, Col11, Col12 WHERE Col1 = '""&amp;G390&amp;""'"",0),""NO APLICA"")"),"NO APLICA")</f>
        <v>NO APLICA</v>
      </c>
      <c r="AF390" s="32"/>
      <c r="AG390" s="32"/>
      <c r="AH390" s="13"/>
      <c r="AI390" s="13"/>
    </row>
    <row r="391">
      <c r="A391" s="121">
        <v>233.0</v>
      </c>
      <c r="B391" s="43" t="b">
        <v>1</v>
      </c>
      <c r="C391" s="26" t="b">
        <v>1</v>
      </c>
      <c r="D391" s="26" t="s">
        <v>35</v>
      </c>
      <c r="E391" s="26" t="s">
        <v>1510</v>
      </c>
      <c r="F391" s="59" t="s">
        <v>2870</v>
      </c>
      <c r="G391" s="39" t="s">
        <v>2876</v>
      </c>
      <c r="H391" s="82" t="s">
        <v>2872</v>
      </c>
      <c r="I391" s="43">
        <f>SUMIFS('Hoja 10'!$O:$O,'Hoja 10'!$F:$F,$G391)</f>
        <v>5</v>
      </c>
      <c r="J391" s="26">
        <f>IFERROR(__xludf.DUMMYFUNCTION("VLOOKUP(G391,IMPORTRANGE(""https://docs.google.com/spreadsheets/d/12RxCea4e5ggM7QGn1XE3FbLQa_-QbCNdBi90OdPjRqg/edit?gid=1692403370#gid=1692403370"", ""'Plan de Compras'!D4:2432""), 8,0)"),5.0)</f>
        <v>5</v>
      </c>
      <c r="K391" s="26" t="str">
        <f t="shared" si="40"/>
        <v>SI</v>
      </c>
      <c r="L391" s="29" t="s">
        <v>91</v>
      </c>
      <c r="M391" s="30" t="s">
        <v>92</v>
      </c>
      <c r="N391" s="32"/>
      <c r="O391" s="32" t="str">
        <f>VLOOKUP($G391,'Hoja 10'!$F$4:$AA1057, 19,0)</f>
        <v>LUDEPA</v>
      </c>
      <c r="P391" s="32" t="str">
        <f>VLOOKUP($G391,'Hoja 10'!$F$4:$AA1057, 20,0)</f>
        <v>CMT11025RZ</v>
      </c>
      <c r="Q391" s="33" t="str">
        <f>VLOOKUP($G391,'Hoja 10'!$F$4:$AA1057, 21,0)</f>
        <v>https://www.ludepa.ec/productos/herramientas-manuales/cepillo-cerdas-de-acero-25/</v>
      </c>
      <c r="R391" s="86" t="s">
        <v>2877</v>
      </c>
      <c r="S391" s="34" t="b">
        <v>1</v>
      </c>
      <c r="T391" s="39" t="str">
        <f>IFERROR(__xludf.DUMMYFUNCTION(" IF
( VLOOKUP($G391,IMPORTRANGE(""https://docs.google.com/spreadsheets/d/1Gpl6jkTg7sL4VDNimUm3S9Vi1i95esohXCF3wuKOE8c"", ""'CONSOLIDADO'!G5:AB""), 10, 0) &lt;&gt; 0, 
IFERROR(VLOOKUP($G391,IMPORTRANGE(""https://docs.google.com/spreadsheets/d/1Gpl6jkTg7sL4VDNimU"&amp;"m3S9Vi1i95esohXCF3wuKOE8c"", ""'CONSOLIDADO'!G5:AB""), 17, 0), ""-""),
""""
)"),"MAXMAN")</f>
        <v>MAXMAN</v>
      </c>
      <c r="U391" s="39" t="str">
        <f>IFERROR(__xludf.DUMMYFUNCTION(" IF
( VLOOKUP($G391,IMPORTRANGE(""https://docs.google.com/spreadsheets/d/1Gpl6jkTg7sL4VDNimUm3S9Vi1i95esohXCF3wuKOE8c"", ""'CONSOLIDADO'!G5:AB""), 10, 0) &lt;&gt; 0, 
IFERROR(VLOOKUP($G391,IMPORTRANGE(""https://docs.google.com/spreadsheets/d/1Gpl6jkTg7sL4VDNimU"&amp;"m3S9Vi1i95esohXCF3wuKOE8c"", ""'CONSOLIDADO'!G5:AB""), 18, 0), ""-""),
""""
)"),"319-Silver-DE")</f>
        <v>319-Silver-DE</v>
      </c>
      <c r="V391" s="39" t="str">
        <f>IFERROR(__xludf.DUMMYFUNCTION(" IF
( VLOOKUP($G391,IMPORTRANGE(""https://docs.google.com/spreadsheets/d/1Gpl6jkTg7sL4VDNimUm3S9Vi1i95esohXCF3wuKOE8c"", ""'CONSOLIDADO'!G5:AB""), 10, 0) &lt;&gt; 0, 
IFERROR(VLOOKUP($G391,IMPORTRANGE(""https://docs.google.com/spreadsheets/d/1Gpl6jkTg7sL4VDNimU"&amp;"m3S9Vi1i95esohXCF3wuKOE8c"", ""'CONSOLIDADO'!G5:AB""), 17, 0), ""-""),
""""
)"),"MAXMAN")</f>
        <v>MAXMAN</v>
      </c>
      <c r="W391" s="39" t="str">
        <f>IFERROR(__xludf.DUMMYFUNCTION(" IF
( VLOOKUP($G391,IMPORTRANGE(""https://docs.google.com/spreadsheets/d/1Gpl6jkTg7sL4VDNimUm3S9Vi1i95esohXCF3wuKOE8c"", ""'CONSOLIDADO'!G5:AB""), 10, 0) &lt;&gt; 0, 
IFERROR(VLOOKUP($G391,IMPORTRANGE(""https://docs.google.com/spreadsheets/d/1Gpl6jkTg7sL4VDNimU"&amp;"m3S9Vi1i95esohXCF3wuKOE8c"", ""'CONSOLIDADO'!G5:AB""), 18, 0), ""-""),
""""
)"),"319-Silver-DE")</f>
        <v>319-Silver-DE</v>
      </c>
      <c r="X391" s="39" t="b">
        <f t="shared" si="42"/>
        <v>1</v>
      </c>
      <c r="Y391" s="120" t="str">
        <f>IFERROR(__xludf.DUMMYFUNCTION(" IF
( VLOOKUP($G391,IMPORTRANGE(""https://docs.google.com/spreadsheets/d/1Gpl6jkTg7sL4VDNimUm3S9Vi1i95esohXCF3wuKOE8c"", ""'CONSOLIDADO'!G5:AB""), 10, 0) &lt;&gt; 0, 
IFERROR(VLOOKUP($G391,IMPORTRANGE(""https://docs.google.com/spreadsheets/d/1Gpl6jkTg7sL4VDNimU"&amp;"m3S9Vi1i95esohXCF3wuKOE8c"", ""'CONSOLIDADO'!G5:AB""), 19, 0), ""-""),
""""
)"),"Cepillo cerdas de acero #25 – Tu ferreteria Marina e Industiral (Manta-Guayaquil-Samborondón)")</f>
        <v>Cepillo cerdas de acero #25 – Tu ferreteria Marina e Industiral (Manta-Guayaquil-Samborondón)</v>
      </c>
      <c r="Z391" s="37" t="str">
        <f>IFERROR(__xludf.DUMMYFUNCTION("IFERROR(VLOOKUP(G391,IMPORTRANGE(""https://docs.google.com/spreadsheets/d/12RxCea4e5ggM7QGn1XE3FbLQa_-QbCNdBi90OdPjRqg"", ""'Plan de Compras'!D4:Q""), 12, 0), ""NO ESTÁ EN REQ"")"),"Técnica")</f>
        <v>Técnica</v>
      </c>
      <c r="AA391" s="37" t="str">
        <f>IFERROR(__xludf.DUMMYFUNCTION("IFERROR(VLOOKUP(G391,IMPORTRANGE(""https://docs.google.com/spreadsheets/d/12RxCea4e5ggM7QGn1XE3FbLQa_-QbCNdBi90OdPjRqg"", ""'Plan de Compras'!D4:Q""), 13, 0), """")"),"INTERNACIONAL")</f>
        <v>INTERNACIONAL</v>
      </c>
      <c r="AB391" s="32" t="str">
        <f>IFERROR(__xludf.DUMMYFUNCTION("IFERROR(VLOOKUP(G391,IMPORTRANGE(""https://docs.google.com/spreadsheets/d/12RxCea4e5ggM7QGn1XE3FbLQa_-QbCNdBi90OdPjRqg"", ""'Plan de Compras'!D4:Q""), 14, 0), """")"),"GIANFRANCO")</f>
        <v>GIANFRANCO</v>
      </c>
      <c r="AC391" s="72" t="str">
        <f>IFERROR(__xludf.DUMMYFUNCTION("IFERROR(VLOOKUP(G391,IMPORTRANGE(""https://docs.google.com/spreadsheets/d/12RxCea4e5ggM7QGn1XE3FbLQa_-QbCNdBi90OdPjRqg"", ""'Plan de Compras'!D4:Q""), 4, 0), """")"),"CEPILLO DE ACERO")</f>
        <v>CEPILLO DE ACERO</v>
      </c>
      <c r="AD391" s="37" t="str">
        <f>IFERROR(__xludf.DUMMYFUNCTION("IFERROR(IF(OR(C391=TRUE,C391=""""),VLOOKUP(G391,IMPORTRANGE(""https://docs.google.com/spreadsheets/d/1z9A1Wq-kKrhRNG5RS2a2fKpY1wIhSVz2ZNmP2mOl588/edit?usp=sharing"",""REQ VF!E4:H""),4,0),""NO APLICA""),""GENERAR REQ"")"),"GENERAR REQ")</f>
        <v>GENERAR REQ</v>
      </c>
      <c r="AE391" s="32" t="str">
        <f>IFERROR(__xludf.DUMMYFUNCTION("IFERROR(QUERY(IMPORTRANGE(""https://docs.google.com/spreadsheets/d/1z9A1Wq-kKrhRNG5RS2a2fKpY1wIhSVz2ZNmP2mOl588/edit?usp=sharing"",""REQ VF!E4:Q""),""SELECT Col10, Col11, Col12 WHERE Col1 = '""&amp;G391&amp;""'"",0),""NO APLICA"")"),"NO APLICA")</f>
        <v>NO APLICA</v>
      </c>
      <c r="AF391" s="32"/>
      <c r="AG391" s="32"/>
      <c r="AH391" s="13"/>
      <c r="AI391" s="13"/>
    </row>
    <row r="392">
      <c r="A392" s="121">
        <v>234.0</v>
      </c>
      <c r="B392" s="43" t="b">
        <v>1</v>
      </c>
      <c r="C392" s="26" t="b">
        <v>1</v>
      </c>
      <c r="D392" s="26" t="s">
        <v>35</v>
      </c>
      <c r="E392" s="26" t="s">
        <v>1510</v>
      </c>
      <c r="F392" s="59" t="s">
        <v>2878</v>
      </c>
      <c r="G392" s="37" t="s">
        <v>2878</v>
      </c>
      <c r="H392" s="82" t="s">
        <v>2879</v>
      </c>
      <c r="I392" s="43">
        <f>SUMIFS('Hoja 10'!$O:$O,'Hoja 10'!$F:$F,$G392)</f>
        <v>8</v>
      </c>
      <c r="J392" s="26">
        <f>IFERROR(__xludf.DUMMYFUNCTION("VLOOKUP(G392,IMPORTRANGE(""https://docs.google.com/spreadsheets/d/12RxCea4e5ggM7QGn1XE3FbLQa_-QbCNdBi90OdPjRqg/edit?gid=1692403370#gid=1692403370"", ""'Plan de Compras'!D4:2432""), 8,0)"),8.0)</f>
        <v>8</v>
      </c>
      <c r="K392" s="26" t="str">
        <f t="shared" si="40"/>
        <v>SI</v>
      </c>
      <c r="L392" s="29" t="s">
        <v>39</v>
      </c>
      <c r="M392" s="30" t="s">
        <v>40</v>
      </c>
      <c r="N392" s="32"/>
      <c r="O392" s="32" t="str">
        <f>VLOOKUP($G392,'Hoja 10'!$F$4:$AA1057, 19,0)</f>
        <v>HDPC</v>
      </c>
      <c r="P392" s="32" t="str">
        <f>VLOOKUP($G392,'Hoja 10'!$F$4:$AA1057, 20,0)</f>
        <v>HDB-200L</v>
      </c>
      <c r="Q392" s="33" t="str">
        <f>VLOOKUP($G392,'Hoja 10'!$F$4:$AA1057, 21,0)</f>
        <v>https://spanish.alibaba.com/product-detail/200-Litre-Plastic-Drums-for-Chemical-1600799966276.html</v>
      </c>
      <c r="R392" s="30" t="s">
        <v>2880</v>
      </c>
      <c r="S392" s="34" t="b">
        <v>1</v>
      </c>
      <c r="T392" s="39" t="str">
        <f>IFERROR(__xludf.DUMMYFUNCTION(" IF
( VLOOKUP($G392,IMPORTRANGE(""https://docs.google.com/spreadsheets/d/1Gpl6jkTg7sL4VDNimUm3S9Vi1i95esohXCF3wuKOE8c"", ""'CONSOLIDADO'!G5:AB""), 10, 0) &lt;&gt; 0, 
IFERROR(VLOOKUP($G392,IMPORTRANGE(""https://docs.google.com/spreadsheets/d/1Gpl6jkTg7sL4VDNimU"&amp;"m3S9Vi1i95esohXCF3wuKOE8c"", ""'CONSOLIDADO'!G5:AB""), 17, 0), ""-""),
""""
)"),"BASA")</f>
        <v>BASA</v>
      </c>
      <c r="U392" s="39" t="str">
        <f>IFERROR(__xludf.DUMMYFUNCTION(" IF
( VLOOKUP($G392,IMPORTRANGE(""https://docs.google.com/spreadsheets/d/1Gpl6jkTg7sL4VDNimUm3S9Vi1i95esohXCF3wuKOE8c"", ""'CONSOLIDADO'!G5:AB""), 10, 0) &lt;&gt; 0, 
IFERROR(VLOOKUP($G392,IMPORTRANGE(""https://docs.google.com/spreadsheets/d/1Gpl6jkTg7sL4VDNimU"&amp;"m3S9Vi1i95esohXCF3wuKOE8c"", ""'CONSOLIDADO'!G5:AB""), 18, 0), ""-""),
""""
)"),"CILINDRO INDUSTRIAL 55 G (PEAD - APM) DOBLE BOCA		")</f>
        <v>CILINDRO INDUSTRIAL 55 G (PEAD - APM) DOBLE BOCA		</v>
      </c>
      <c r="V392" s="39" t="str">
        <f>IFERROR(__xludf.DUMMYFUNCTION(" IF
( VLOOKUP($G392,IMPORTRANGE(""https://docs.google.com/spreadsheets/d/1Gpl6jkTg7sL4VDNimUm3S9Vi1i95esohXCF3wuKOE8c"", ""'CONSOLIDADO'!G5:AB""), 10, 0) &lt;&gt; 0, 
IFERROR(VLOOKUP($G392,IMPORTRANGE(""https://docs.google.com/spreadsheets/d/1Gpl6jkTg7sL4VDNimU"&amp;"m3S9Vi1i95esohXCF3wuKOE8c"", ""'CONSOLIDADO'!G5:AB""), 17, 0), ""-""),
""""
)"),"BASA")</f>
        <v>BASA</v>
      </c>
      <c r="W392" s="39" t="str">
        <f>IFERROR(__xludf.DUMMYFUNCTION(" IF
( VLOOKUP($G392,IMPORTRANGE(""https://docs.google.com/spreadsheets/d/1Gpl6jkTg7sL4VDNimUm3S9Vi1i95esohXCF3wuKOE8c"", ""'CONSOLIDADO'!G5:AB""), 10, 0) &lt;&gt; 0, 
IFERROR(VLOOKUP($G392,IMPORTRANGE(""https://docs.google.com/spreadsheets/d/1Gpl6jkTg7sL4VDNimU"&amp;"m3S9Vi1i95esohXCF3wuKOE8c"", ""'CONSOLIDADO'!G5:AB""), 18, 0), ""-""),
""""
)"),"CILINDRO INDUSTRIAL 55 G (PEAD - APM) DOBLE BOCA		")</f>
        <v>CILINDRO INDUSTRIAL 55 G (PEAD - APM) DOBLE BOCA		</v>
      </c>
      <c r="X392" s="39" t="b">
        <f t="shared" si="42"/>
        <v>1</v>
      </c>
      <c r="Y392" s="110" t="str">
        <f>IFERROR(__xludf.DUMMYFUNCTION(" IF
( VLOOKUP($G392,IMPORTRANGE(""https://docs.google.com/spreadsheets/d/1Gpl6jkTg7sL4VDNimUm3S9Vi1i95esohXCF3wuKOE8c"", ""'CONSOLIDADO'!G5:AB""), 10, 0) &lt;&gt; 0, 
IFERROR(VLOOKUP($G392,IMPORTRANGE(""https://docs.google.com/spreadsheets/d/1Gpl6jkTg7sL4VDNimU"&amp;"m3S9Vi1i95esohXCF3wuKOE8c"", ""'CONSOLIDADO'!G5:AB""), 19, 0), ""-""),
""""
)"),"AfmBOoqlbuBSTxJFz0BvZLwgm_gbLZdhwO0nOT8vQFHcsW9HCzrfF6fB")</f>
        <v>AfmBOoqlbuBSTxJFz0BvZLwgm_gbLZdhwO0nOT8vQFHcsW9HCzrfF6fB</v>
      </c>
      <c r="Z392" s="37" t="str">
        <f>IFERROR(__xludf.DUMMYFUNCTION("IFERROR(VLOOKUP(G392,IMPORTRANGE(""https://docs.google.com/spreadsheets/d/12RxCea4e5ggM7QGn1XE3FbLQa_-QbCNdBi90OdPjRqg"", ""'Plan de Compras'!D4:Q""), 12, 0), ""NO ESTÁ EN REQ"")"),"Simple")</f>
        <v>Simple</v>
      </c>
      <c r="AA392" s="37" t="str">
        <f>IFERROR(__xludf.DUMMYFUNCTION("IFERROR(VLOOKUP(G392,IMPORTRANGE(""https://docs.google.com/spreadsheets/d/12RxCea4e5ggM7QGn1XE3FbLQa_-QbCNdBi90OdPjRqg"", ""'Plan de Compras'!D4:Q""), 13, 0), """")"),"NACIONAL")</f>
        <v>NACIONAL</v>
      </c>
      <c r="AB392" s="32" t="str">
        <f>IFERROR(__xludf.DUMMYFUNCTION("IFERROR(VLOOKUP(G392,IMPORTRANGE(""https://docs.google.com/spreadsheets/d/12RxCea4e5ggM7QGn1XE3FbLQa_-QbCNdBi90OdPjRqg"", ""'Plan de Compras'!D4:Q""), 14, 0), """")"),"JESSICA")</f>
        <v>JESSICA</v>
      </c>
      <c r="AC392" s="72" t="str">
        <f>IFERROR(__xludf.DUMMYFUNCTION("IFERROR(VLOOKUP(G392,IMPORTRANGE(""https://docs.google.com/spreadsheets/d/12RxCea4e5ggM7QGn1XE3FbLQa_-QbCNdBi90OdPjRqg"", ""'Plan de Compras'!D4:Q""), 4, 0), """")"),"CILINDROS DE PLÁSTICO")</f>
        <v>CILINDROS DE PLÁSTICO</v>
      </c>
      <c r="AD392" s="37" t="str">
        <f>IFERROR(__xludf.DUMMYFUNCTION("IFERROR(IF(OR(C392=TRUE,C392=""""),VLOOKUP(G392,IMPORTRANGE(""https://docs.google.com/spreadsheets/d/1z9A1Wq-kKrhRNG5RS2a2fKpY1wIhSVz2ZNmP2mOl588/edit?usp=sharing"",""REQ VF!E4:H""),4,0),""NO APLICA""),""GENERAR REQ"")"),"GENERAR REQ")</f>
        <v>GENERAR REQ</v>
      </c>
      <c r="AE392" s="32" t="str">
        <f>IFERROR(__xludf.DUMMYFUNCTION("IFERROR(QUERY(IMPORTRANGE(""https://docs.google.com/spreadsheets/d/1z9A1Wq-kKrhRNG5RS2a2fKpY1wIhSVz2ZNmP2mOl588/edit?usp=sharing"",""REQ VF!E4:Q""),""SELECT Col10, Col11, Col12 WHERE Col1 = '""&amp;G392&amp;""'"",0),""NO APLICA"")"),"NO APLICA")</f>
        <v>NO APLICA</v>
      </c>
      <c r="AF392" s="32"/>
      <c r="AG392" s="32"/>
      <c r="AH392" s="13"/>
      <c r="AI392" s="13"/>
    </row>
    <row r="393">
      <c r="A393" s="117">
        <v>235.0</v>
      </c>
      <c r="B393" s="43" t="b">
        <v>1</v>
      </c>
      <c r="C393" s="26" t="b">
        <v>1</v>
      </c>
      <c r="D393" s="26" t="s">
        <v>35</v>
      </c>
      <c r="E393" s="26" t="s">
        <v>1510</v>
      </c>
      <c r="F393" s="59" t="s">
        <v>2881</v>
      </c>
      <c r="G393" s="37" t="s">
        <v>2881</v>
      </c>
      <c r="H393" s="82" t="s">
        <v>2882</v>
      </c>
      <c r="I393" s="43">
        <f>SUMIFS('Hoja 10'!$O:$O,'Hoja 10'!$F:$F,$G393)</f>
        <v>20</v>
      </c>
      <c r="J393" s="26">
        <f>IFERROR(__xludf.DUMMYFUNCTION("VLOOKUP(G393,IMPORTRANGE(""https://docs.google.com/spreadsheets/d/12RxCea4e5ggM7QGn1XE3FbLQa_-QbCNdBi90OdPjRqg/edit?gid=1692403370#gid=1692403370"", ""'Plan de Compras'!D4:2432""), 8,0)"),20.0)</f>
        <v>20</v>
      </c>
      <c r="K393" s="26" t="str">
        <f t="shared" si="40"/>
        <v>SI</v>
      </c>
      <c r="L393" s="29" t="s">
        <v>185</v>
      </c>
      <c r="M393" s="30" t="s">
        <v>186</v>
      </c>
      <c r="N393" s="32"/>
      <c r="O393" s="32" t="str">
        <f>VLOOKUP($G393,'Hoja 10'!$F$4:$AA1057, 19,0)</f>
        <v>GENERICO</v>
      </c>
      <c r="P393" s="32" t="str">
        <f>VLOOKUP($G393,'Hoja 10'!$F$4:$AA1057, 20,0)</f>
        <v>GENERICO</v>
      </c>
      <c r="Q393" s="33" t="str">
        <f>VLOOKUP($G393,'Hoja 10'!$F$4:$AA1057, 21,0)</f>
        <v>https://gamypasamaneria.com/products/cinta-metrica-de-150cm?srsltid=AfmBOorrFfUk2--5etAXftU4N-xGSK6I3B6vc8FIAZG8wFxxK311i7Ld</v>
      </c>
      <c r="R393" s="86" t="s">
        <v>2883</v>
      </c>
      <c r="S393" s="34" t="b">
        <v>1</v>
      </c>
      <c r="T393" s="39" t="s">
        <v>47</v>
      </c>
      <c r="U393" s="156" t="s">
        <v>2884</v>
      </c>
      <c r="V393" s="39" t="str">
        <f>IFERROR(__xludf.DUMMYFUNCTION(" IF
( VLOOKUP($G393,IMPORTRANGE(""https://docs.google.com/spreadsheets/d/1Gpl6jkTg7sL4VDNimUm3S9Vi1i95esohXCF3wuKOE8c"", ""'CONSOLIDADO'!G5:AB""), 10, 0) &lt;&gt; 0, 
IFERROR(VLOOKUP($G393,IMPORTRANGE(""https://docs.google.com/spreadsheets/d/1Gpl6jkTg7sL4VDNimU"&amp;"m3S9Vi1i95esohXCF3wuKOE8c"", ""'CONSOLIDADO'!G5:AB""), 17, 0), ""-""),
""""
)"),"GENÉRICO")</f>
        <v>GENÉRICO</v>
      </c>
      <c r="W393" s="39" t="str">
        <f>IFERROR(__xludf.DUMMYFUNCTION(" IF
( VLOOKUP($G393,IMPORTRANGE(""https://docs.google.com/spreadsheets/d/1Gpl6jkTg7sL4VDNimUm3S9Vi1i95esohXCF3wuKOE8c"", ""'CONSOLIDADO'!G5:AB""), 10, 0) &lt;&gt; 0, 
IFERROR(VLOOKUP($G393,IMPORTRANGE(""https://docs.google.com/spreadsheets/d/1Gpl6jkTg7sL4VDNimU"&amp;"m3S9Vi1i95esohXCF3wuKOE8c"", ""'CONSOLIDADO'!G5:AB""), 18, 0), ""-""),
""""
)"),"CINTA 150 MM")</f>
        <v>CINTA 150 MM</v>
      </c>
      <c r="X393" s="39" t="b">
        <f t="shared" si="42"/>
        <v>0</v>
      </c>
      <c r="Y393" s="120" t="s">
        <v>2885</v>
      </c>
      <c r="Z393" s="37" t="str">
        <f>IFERROR(__xludf.DUMMYFUNCTION("IFERROR(VLOOKUP(G393,IMPORTRANGE(""https://docs.google.com/spreadsheets/d/12RxCea4e5ggM7QGn1XE3FbLQa_-QbCNdBi90OdPjRqg"", ""'Plan de Compras'!D4:Q""), 12, 0), ""NO ESTÁ EN REQ"")"),"Simple")</f>
        <v>Simple</v>
      </c>
      <c r="AA393" s="37" t="str">
        <f>IFERROR(__xludf.DUMMYFUNCTION("IFERROR(VLOOKUP(G393,IMPORTRANGE(""https://docs.google.com/spreadsheets/d/12RxCea4e5ggM7QGn1XE3FbLQa_-QbCNdBi90OdPjRqg"", ""'Plan de Compras'!D4:Q""), 13, 0), """")"),"NACIONAL")</f>
        <v>NACIONAL</v>
      </c>
      <c r="AB393" s="32" t="str">
        <f>IFERROR(__xludf.DUMMYFUNCTION("IFERROR(VLOOKUP(G393,IMPORTRANGE(""https://docs.google.com/spreadsheets/d/12RxCea4e5ggM7QGn1XE3FbLQa_-QbCNdBi90OdPjRqg"", ""'Plan de Compras'!D4:Q""), 14, 0), """")"),"ANGIE")</f>
        <v>ANGIE</v>
      </c>
      <c r="AC393" s="72" t="str">
        <f>IFERROR(__xludf.DUMMYFUNCTION("IFERROR(VLOOKUP(G393,IMPORTRANGE(""https://docs.google.com/spreadsheets/d/12RxCea4e5ggM7QGn1XE3FbLQa_-QbCNdBi90OdPjRqg"", ""'Plan de Compras'!D4:Q""), 4, 0), """")"),"CINTA MÉTRICA (PLÁSTICO FLEXIBLE)")</f>
        <v>CINTA MÉTRICA (PLÁSTICO FLEXIBLE)</v>
      </c>
      <c r="AD393" s="37" t="str">
        <f>IFERROR(__xludf.DUMMYFUNCTION("IFERROR(IF(OR(C393=TRUE,C393=""""),VLOOKUP(G393,IMPORTRANGE(""https://docs.google.com/spreadsheets/d/1z9A1Wq-kKrhRNG5RS2a2fKpY1wIhSVz2ZNmP2mOl588/edit?usp=sharing"",""REQ VF!E4:H""),4,0),""NO APLICA""),""GENERAR REQ"")"),"GENERAR REQ")</f>
        <v>GENERAR REQ</v>
      </c>
      <c r="AE393" s="32" t="str">
        <f>IFERROR(__xludf.DUMMYFUNCTION("IFERROR(QUERY(IMPORTRANGE(""https://docs.google.com/spreadsheets/d/1z9A1Wq-kKrhRNG5RS2a2fKpY1wIhSVz2ZNmP2mOl588/edit?usp=sharing"",""REQ VF!E4:Q""),""SELECT Col10, Col11, Col12 WHERE Col1 = '""&amp;G393&amp;""'"",0),""NO APLICA"")"),"NO APLICA")</f>
        <v>NO APLICA</v>
      </c>
      <c r="AF393" s="32"/>
      <c r="AG393" s="32"/>
      <c r="AH393" s="13"/>
      <c r="AI393" s="13"/>
    </row>
    <row r="394">
      <c r="A394" s="117">
        <v>236.0</v>
      </c>
      <c r="B394" s="43" t="b">
        <v>1</v>
      </c>
      <c r="C394" s="26" t="b">
        <v>1</v>
      </c>
      <c r="D394" s="26" t="s">
        <v>35</v>
      </c>
      <c r="E394" s="26" t="s">
        <v>1510</v>
      </c>
      <c r="F394" s="59" t="s">
        <v>2886</v>
      </c>
      <c r="G394" s="37" t="s">
        <v>2886</v>
      </c>
      <c r="H394" s="82" t="s">
        <v>2887</v>
      </c>
      <c r="I394" s="43">
        <f>SUMIFS('Hoja 10'!$O:$O,'Hoja 10'!$F:$F,$G394)</f>
        <v>24</v>
      </c>
      <c r="J394" s="26">
        <f>IFERROR(__xludf.DUMMYFUNCTION("VLOOKUP(G394,IMPORTRANGE(""https://docs.google.com/spreadsheets/d/12RxCea4e5ggM7QGn1XE3FbLQa_-QbCNdBi90OdPjRqg/edit?gid=1692403370#gid=1692403370"", ""'Plan de Compras'!D4:2432""), 8,0)"),24.0)</f>
        <v>24</v>
      </c>
      <c r="K394" s="26" t="str">
        <f t="shared" si="40"/>
        <v>SI</v>
      </c>
      <c r="L394" s="29" t="s">
        <v>39</v>
      </c>
      <c r="M394" s="30" t="s">
        <v>40</v>
      </c>
      <c r="N394" s="32"/>
      <c r="O394" s="32" t="str">
        <f>VLOOKUP($G394,'Hoja 10'!$F$4:$AA1057, 19,0)</f>
        <v>CHEF CRAFT</v>
      </c>
      <c r="P394" s="32" t="str">
        <f>VLOOKUP($G394,'Hoja 10'!$F$4:$AA1057, 20,0)</f>
        <v>CHEF CRAFT</v>
      </c>
      <c r="Q394" s="33" t="str">
        <f>VLOOKUP($G394,'Hoja 10'!$F$4:$AA1057, 21,0)</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R394" s="86" t="s">
        <v>2888</v>
      </c>
      <c r="S394" s="44" t="b">
        <v>1</v>
      </c>
      <c r="T394" s="39" t="str">
        <f>IFERROR(__xludf.DUMMYFUNCTION(" IF
( VLOOKUP($G394,IMPORTRANGE(""https://docs.google.com/spreadsheets/d/1Gpl6jkTg7sL4VDNimUm3S9Vi1i95esohXCF3wuKOE8c"", ""'CONSOLIDADO'!G5:AB""), 10, 0) &lt;&gt; 0, 
IFERROR(VLOOKUP($G394,IMPORTRANGE(""https://docs.google.com/spreadsheets/d/1Gpl6jkTg7sL4VDNimU"&amp;"m3S9Vi1i95esohXCF3wuKOE8c"", ""'CONSOLIDADO'!G5:AB""), 17, 0), ""-""),
""""
)"),"ILKO")</f>
        <v>ILKO</v>
      </c>
      <c r="U394" s="39">
        <f>IFERROR(__xludf.DUMMYFUNCTION(" IF
( VLOOKUP($G394,IMPORTRANGE(""https://docs.google.com/spreadsheets/d/1Gpl6jkTg7sL4VDNimUm3S9Vi1i95esohXCF3wuKOE8c"", ""'CONSOLIDADO'!G5:AB""), 10, 0) &lt;&gt; 0, 
IFERROR(VLOOKUP($G394,IMPORTRANGE(""https://docs.google.com/spreadsheets/d/1Gpl6jkTg7sL4VDNimU"&amp;"m3S9Vi1i95esohXCF3wuKOE8c"", ""'CONSOLIDADO'!G5:AB""), 18, 0), ""-""),
""""
)"),1.0046032E7)</f>
        <v>10046032</v>
      </c>
      <c r="V394" s="39" t="str">
        <f>IFERROR(__xludf.DUMMYFUNCTION(" IF
( VLOOKUP($G394,IMPORTRANGE(""https://docs.google.com/spreadsheets/d/1Gpl6jkTg7sL4VDNimUm3S9Vi1i95esohXCF3wuKOE8c"", ""'CONSOLIDADO'!G5:AB""), 10, 0) &lt;&gt; 0, 
IFERROR(VLOOKUP($G394,IMPORTRANGE(""https://docs.google.com/spreadsheets/d/1Gpl6jkTg7sL4VDNimU"&amp;"m3S9Vi1i95esohXCF3wuKOE8c"", ""'CONSOLIDADO'!G5:AB""), 17, 0), ""-""),
""""
)"),"ILKO")</f>
        <v>ILKO</v>
      </c>
      <c r="W394" s="39">
        <f>IFERROR(__xludf.DUMMYFUNCTION(" IF
( VLOOKUP($G394,IMPORTRANGE(""https://docs.google.com/spreadsheets/d/1Gpl6jkTg7sL4VDNimUm3S9Vi1i95esohXCF3wuKOE8c"", ""'CONSOLIDADO'!G5:AB""), 10, 0) &lt;&gt; 0, 
IFERROR(VLOOKUP($G394,IMPORTRANGE(""https://docs.google.com/spreadsheets/d/1Gpl6jkTg7sL4VDNimU"&amp;"m3S9Vi1i95esohXCF3wuKOE8c"", ""'CONSOLIDADO'!G5:AB""), 18, 0), ""-""),
""""
)"),1.0046032E7)</f>
        <v>10046032</v>
      </c>
      <c r="X394" s="39" t="b">
        <f t="shared" si="42"/>
        <v>1</v>
      </c>
      <c r="Y394" s="120" t="str">
        <f>IFERROR(__xludf.DUMMYFUNCTION(" IF
( VLOOKUP($G394,IMPORTRANGE(""https://docs.google.com/spreadsheets/d/1Gpl6jkTg7sL4VDNimUm3S9Vi1i95esohXCF3wuKOE8c"", ""'CONSOLIDADO'!G5:AB""), 10, 0) &lt;&gt; 0, 
IFERROR(VLOOKUP($G394,IMPORTRANGE(""https://docs.google.com/spreadsheets/d/1Gpl6jkTg7sL4VDNimU"&amp;"m3S9Vi1i95esohXCF3wuKOE8c"", ""'CONSOLIDADO'!G5:AB""), 19, 0), ""-""),
""""
)"),"https://www.uysa.com.pe/colador-ac-inoxidable-20-cm-clasica-10046032/p?idsku=10046032")</f>
        <v>https://www.uysa.com.pe/colador-ac-inoxidable-20-cm-clasica-10046032/p?idsku=10046032</v>
      </c>
      <c r="Z394" s="37" t="str">
        <f>IFERROR(__xludf.DUMMYFUNCTION("IFERROR(VLOOKUP(G394,IMPORTRANGE(""https://docs.google.com/spreadsheets/d/12RxCea4e5ggM7QGn1XE3FbLQa_-QbCNdBi90OdPjRqg"", ""'Plan de Compras'!D4:Q""), 12, 0), ""NO ESTÁ EN REQ"")"),"Técnica")</f>
        <v>Técnica</v>
      </c>
      <c r="AA394" s="37" t="str">
        <f>IFERROR(__xludf.DUMMYFUNCTION("IFERROR(VLOOKUP(G394,IMPORTRANGE(""https://docs.google.com/spreadsheets/d/12RxCea4e5ggM7QGn1XE3FbLQa_-QbCNdBi90OdPjRqg"", ""'Plan de Compras'!D4:Q""), 13, 0), """")"),"NACIONAL")</f>
        <v>NACIONAL</v>
      </c>
      <c r="AB394" s="32" t="str">
        <f>IFERROR(__xludf.DUMMYFUNCTION("IFERROR(VLOOKUP(G394,IMPORTRANGE(""https://docs.google.com/spreadsheets/d/12RxCea4e5ggM7QGn1XE3FbLQa_-QbCNdBi90OdPjRqg"", ""'Plan de Compras'!D4:Q""), 14, 0), """")"),"JESSICA")</f>
        <v>JESSICA</v>
      </c>
      <c r="AC394" s="72" t="str">
        <f>IFERROR(__xludf.DUMMYFUNCTION("IFERROR(VLOOKUP(G394,IMPORTRANGE(""https://docs.google.com/spreadsheets/d/12RxCea4e5ggM7QGn1XE3FbLQa_-QbCNdBi90OdPjRqg"", ""'Plan de Compras'!D4:Q""), 4, 0), """")"),"COLADERAS")</f>
        <v>COLADERAS</v>
      </c>
      <c r="AD394" s="37" t="str">
        <f>IFERROR(__xludf.DUMMYFUNCTION("IFERROR(IF(OR(C394=TRUE,C394=""""),VLOOKUP(G394,IMPORTRANGE(""https://docs.google.com/spreadsheets/d/1z9A1Wq-kKrhRNG5RS2a2fKpY1wIhSVz2ZNmP2mOl588/edit?usp=sharing"",""REQ VF!E4:H""),4,0),""NO APLICA""),""GENERAR REQ"")"),"GENERAR REQ")</f>
        <v>GENERAR REQ</v>
      </c>
      <c r="AE394" s="32" t="str">
        <f>IFERROR(__xludf.DUMMYFUNCTION("IFERROR(QUERY(IMPORTRANGE(""https://docs.google.com/spreadsheets/d/1z9A1Wq-kKrhRNG5RS2a2fKpY1wIhSVz2ZNmP2mOl588/edit?usp=sharing"",""REQ VF!E4:Q""),""SELECT Col10, Col11, Col12 WHERE Col1 = '""&amp;G394&amp;""'"",0),""NO APLICA"")"),"NO APLICA")</f>
        <v>NO APLICA</v>
      </c>
      <c r="AF394" s="32"/>
      <c r="AG394" s="32"/>
      <c r="AH394" s="13"/>
      <c r="AI394" s="13"/>
    </row>
    <row r="395">
      <c r="A395" s="121">
        <v>237.0</v>
      </c>
      <c r="B395" s="43" t="b">
        <v>1</v>
      </c>
      <c r="C395" s="26" t="b">
        <v>1</v>
      </c>
      <c r="D395" s="26" t="s">
        <v>35</v>
      </c>
      <c r="E395" s="26" t="s">
        <v>1510</v>
      </c>
      <c r="F395" s="59" t="s">
        <v>2889</v>
      </c>
      <c r="G395" s="37" t="s">
        <v>2889</v>
      </c>
      <c r="H395" s="82" t="s">
        <v>2890</v>
      </c>
      <c r="I395" s="43">
        <f>SUMIFS('Hoja 10'!$O:$O,'Hoja 10'!$F:$F,$G395)</f>
        <v>4</v>
      </c>
      <c r="J395" s="26">
        <f>IFERROR(__xludf.DUMMYFUNCTION("VLOOKUP(G395,IMPORTRANGE(""https://docs.google.com/spreadsheets/d/12RxCea4e5ggM7QGn1XE3FbLQa_-QbCNdBi90OdPjRqg/edit?gid=1692403370#gid=1692403370"", ""'Plan de Compras'!D4:2432""), 8,0)"),4.0)</f>
        <v>4</v>
      </c>
      <c r="K395" s="26" t="str">
        <f t="shared" si="40"/>
        <v>SI</v>
      </c>
      <c r="L395" s="29" t="s">
        <v>77</v>
      </c>
      <c r="M395" s="30" t="s">
        <v>78</v>
      </c>
      <c r="N395" s="32"/>
      <c r="O395" s="32" t="str">
        <f>VLOOKUP($G395,'Hoja 10'!$F$4:$AA1057, 19,0)</f>
        <v>THUNDER GROUP</v>
      </c>
      <c r="P395" s="32" t="str">
        <f>VLOOKUP($G395,'Hoja 10'!$F$4:$AA1057, 20,0)</f>
        <v>ECV3100025</v>
      </c>
      <c r="Q395" s="33" t="str">
        <f>VLOOKUP($G395,'Hoja 10'!$F$4:$AA1057, 21,0)</f>
        <v>https://veromatic.net/producto/colador-inox-conico-malla-gruesa-12-pulg/</v>
      </c>
      <c r="R395" s="86" t="s">
        <v>2891</v>
      </c>
      <c r="S395" s="44" t="b">
        <v>1</v>
      </c>
      <c r="T395" s="39" t="str">
        <f>IFERROR(__xludf.DUMMYFUNCTION(" IF
( VLOOKUP($G395,IMPORTRANGE(""https://docs.google.com/spreadsheets/d/1Gpl6jkTg7sL4VDNimUm3S9Vi1i95esohXCF3wuKOE8c"", ""'CONSOLIDADO'!G5:AB""), 10, 0) &lt;&gt; 0, 
IFERROR(VLOOKUP($G395,IMPORTRANGE(""https://docs.google.com/spreadsheets/d/1Gpl6jkTg7sL4VDNimU"&amp;"m3S9Vi1i95esohXCF3wuKOE8c"", ""'CONSOLIDADO'!G5:AB""), 17, 0), ""-""),
""""
)"),"GENÉRICO")</f>
        <v>GENÉRICO</v>
      </c>
      <c r="U395" s="39" t="str">
        <f>IFERROR(__xludf.DUMMYFUNCTION(" IF
( VLOOKUP($G395,IMPORTRANGE(""https://docs.google.com/spreadsheets/d/1Gpl6jkTg7sL4VDNimUm3S9Vi1i95esohXCF3wuKOE8c"", ""'CONSOLIDADO'!G5:AB""), 10, 0) &lt;&gt; 0, 
IFERROR(VLOOKUP($G395,IMPORTRANGE(""https://docs.google.com/spreadsheets/d/1Gpl6jkTg7sL4VDNimU"&amp;"m3S9Vi1i95esohXCF3wuKOE8c"", ""'CONSOLIDADO'!G5:AB""), 18, 0), ""-""),
""""
)"),"HJD304LL")</f>
        <v>HJD304LL</v>
      </c>
      <c r="V395" s="39" t="str">
        <f>IFERROR(__xludf.DUMMYFUNCTION(" IF
( VLOOKUP($G395,IMPORTRANGE(""https://docs.google.com/spreadsheets/d/1Gpl6jkTg7sL4VDNimUm3S9Vi1i95esohXCF3wuKOE8c"", ""'CONSOLIDADO'!G5:AB""), 10, 0) &lt;&gt; 0, 
IFERROR(VLOOKUP($G395,IMPORTRANGE(""https://docs.google.com/spreadsheets/d/1Gpl6jkTg7sL4VDNimU"&amp;"m3S9Vi1i95esohXCF3wuKOE8c"", ""'CONSOLIDADO'!G5:AB""), 17, 0), ""-""),
""""
)"),"GENÉRICO")</f>
        <v>GENÉRICO</v>
      </c>
      <c r="W395" s="39" t="str">
        <f>IFERROR(__xludf.DUMMYFUNCTION(" IF
( VLOOKUP($G395,IMPORTRANGE(""https://docs.google.com/spreadsheets/d/1Gpl6jkTg7sL4VDNimUm3S9Vi1i95esohXCF3wuKOE8c"", ""'CONSOLIDADO'!G5:AB""), 10, 0) &lt;&gt; 0, 
IFERROR(VLOOKUP($G395,IMPORTRANGE(""https://docs.google.com/spreadsheets/d/1Gpl6jkTg7sL4VDNimU"&amp;"m3S9Vi1i95esohXCF3wuKOE8c"", ""'CONSOLIDADO'!G5:AB""), 18, 0), ""-""),
""""
)"),"HJD304LL")</f>
        <v>HJD304LL</v>
      </c>
      <c r="X395" s="39" t="b">
        <f t="shared" si="42"/>
        <v>1</v>
      </c>
      <c r="Y395" s="120" t="str">
        <f>IFERROR(__xludf.DUMMYFUNCTION(" IF
( VLOOKUP($G395,IMPORTRANGE(""https://docs.google.com/spreadsheets/d/1Gpl6jkTg7sL4VDNimUm3S9Vi1i95esohXCF3wuKOE8c"", ""'CONSOLIDADO'!G5:AB""), 10, 0) &lt;&gt; 0, 
IFERROR(VLOOKUP($G395,IMPORTRANGE(""https://docs.google.com/spreadsheets/d/1Gpl6jkTg7sL4VDNimU"&amp;"m3S9Vi1i95esohXCF3wuKOE8c"", ""'CONSOLIDADO'!G5:AB""), 19, 0), ""-""),
""""
)"),"https://www.alibaba.com/product-detail/Wholesale-304-Stainless-Steel-Funnel-Large_1601519408921.html?utm_source=chatgpt.com%20se%20encontro%20esta%20opcion%20importado")</f>
        <v>https://www.alibaba.com/product-detail/Wholesale-304-Stainless-Steel-Funnel-Large_1601519408921.html?utm_source=chatgpt.com%20se%20encontro%20esta%20opcion%20importado</v>
      </c>
      <c r="Z395" s="37" t="str">
        <f>IFERROR(__xludf.DUMMYFUNCTION("IFERROR(VLOOKUP(G395,IMPORTRANGE(""https://docs.google.com/spreadsheets/d/12RxCea4e5ggM7QGn1XE3FbLQa_-QbCNdBi90OdPjRqg"", ""'Plan de Compras'!D4:Q""), 12, 0), ""NO ESTÁ EN REQ"")"),"Técnica")</f>
        <v>Técnica</v>
      </c>
      <c r="AA395" s="37" t="str">
        <f>IFERROR(__xludf.DUMMYFUNCTION("IFERROR(VLOOKUP(G395,IMPORTRANGE(""https://docs.google.com/spreadsheets/d/12RxCea4e5ggM7QGn1XE3FbLQa_-QbCNdBi90OdPjRqg"", ""'Plan de Compras'!D4:Q""), 13, 0), """")"),"INTERNACIONAL")</f>
        <v>INTERNACIONAL</v>
      </c>
      <c r="AB395" s="32" t="str">
        <f>IFERROR(__xludf.DUMMYFUNCTION("IFERROR(VLOOKUP(G395,IMPORTRANGE(""https://docs.google.com/spreadsheets/d/12RxCea4e5ggM7QGn1XE3FbLQa_-QbCNdBi90OdPjRqg"", ""'Plan de Compras'!D4:Q""), 14, 0), """")"),"DIEGO ")</f>
        <v>DIEGO </v>
      </c>
      <c r="AC395" s="72" t="str">
        <f>IFERROR(__xludf.DUMMYFUNCTION("IFERROR(VLOOKUP(G395,IMPORTRANGE(""https://docs.google.com/spreadsheets/d/12RxCea4e5ggM7QGn1XE3FbLQa_-QbCNdBi90OdPjRqg"", ""'Plan de Compras'!D4:Q""), 4, 0), """")"),"COLADOR TIPO EMBUDO")</f>
        <v>COLADOR TIPO EMBUDO</v>
      </c>
      <c r="AD395" s="37" t="str">
        <f>IFERROR(__xludf.DUMMYFUNCTION("IFERROR(IF(OR(C395=TRUE,C395=""""),VLOOKUP(G395,IMPORTRANGE(""https://docs.google.com/spreadsheets/d/1z9A1Wq-kKrhRNG5RS2a2fKpY1wIhSVz2ZNmP2mOl588/edit?usp=sharing"",""REQ VF!E4:H""),4,0),""NO APLICA""),""GENERAR REQ"")"),"GENERAR REQ")</f>
        <v>GENERAR REQ</v>
      </c>
      <c r="AE395" s="32" t="str">
        <f>IFERROR(__xludf.DUMMYFUNCTION("IFERROR(QUERY(IMPORTRANGE(""https://docs.google.com/spreadsheets/d/1z9A1Wq-kKrhRNG5RS2a2fKpY1wIhSVz2ZNmP2mOl588/edit?usp=sharing"",""REQ VF!E4:Q""),""SELECT Col10, Col11, Col12 WHERE Col1 = '""&amp;G395&amp;""'"",0),""NO APLICA"")"),"NO APLICA")</f>
        <v>NO APLICA</v>
      </c>
      <c r="AF395" s="32"/>
      <c r="AG395" s="32"/>
      <c r="AH395" s="8" t="s">
        <v>52</v>
      </c>
      <c r="AI395" s="13"/>
    </row>
    <row r="396">
      <c r="A396" s="121">
        <v>238.0</v>
      </c>
      <c r="B396" s="43" t="b">
        <v>1</v>
      </c>
      <c r="C396" s="26" t="b">
        <v>1</v>
      </c>
      <c r="D396" s="26" t="s">
        <v>35</v>
      </c>
      <c r="E396" s="26" t="s">
        <v>1510</v>
      </c>
      <c r="F396" s="59" t="s">
        <v>2892</v>
      </c>
      <c r="G396" s="39" t="s">
        <v>2893</v>
      </c>
      <c r="H396" s="82" t="s">
        <v>2894</v>
      </c>
      <c r="I396" s="43">
        <f>SUMIFS('Hoja 10'!$O:$O,'Hoja 10'!$F:$F,$G396)</f>
        <v>4</v>
      </c>
      <c r="J396" s="26">
        <f>IFERROR(__xludf.DUMMYFUNCTION("VLOOKUP(G396,IMPORTRANGE(""https://docs.google.com/spreadsheets/d/12RxCea4e5ggM7QGn1XE3FbLQa_-QbCNdBi90OdPjRqg/edit?gid=1692403370#gid=1692403370"", ""'Plan de Compras'!D4:2432""), 8,0)"),4.0)</f>
        <v>4</v>
      </c>
      <c r="K396" s="26" t="str">
        <f t="shared" si="40"/>
        <v>SI</v>
      </c>
      <c r="L396" s="29" t="s">
        <v>77</v>
      </c>
      <c r="M396" s="30" t="s">
        <v>78</v>
      </c>
      <c r="N396" s="32"/>
      <c r="O396" s="32" t="str">
        <f>VLOOKUP($G396,'Hoja 10'!$F$4:$AA1057, 19,0)</f>
        <v>Rey Plast</v>
      </c>
      <c r="P396" s="32" t="str">
        <f>VLOOKUP($G396,'Hoja 10'!$F$4:$AA1057, 20,0)</f>
        <v>Modelo 60</v>
      </c>
      <c r="Q396" s="33" t="str">
        <f>VLOOKUP($G396,'Hoja 10'!$F$4:$AA1057, 21,0)</f>
        <v>https://www.promart.pe/tacho-robusto-c-tapa-mecanizada-50-9-l/p?gad_source=1&amp;gad_campaignid=23066034672&amp;gbraid=0AAAAADJIfALdWzROTOtlMXWDth9VPCM0s&amp;gclid=Cj0KCQjw6bfHBhDNARIsAIGsqLjZaUV-jCl7fWX6Fnju64LcyaysMIxehZlXDxVA_ax-ADo2eGfVG50aAq-jEALw_wcB</v>
      </c>
      <c r="R396" s="86" t="s">
        <v>2895</v>
      </c>
      <c r="S396" s="44" t="b">
        <v>1</v>
      </c>
      <c r="T396" s="39" t="s">
        <v>2896</v>
      </c>
      <c r="U396" s="39" t="s">
        <v>2897</v>
      </c>
      <c r="V396" s="39" t="str">
        <f>IFERROR(__xludf.DUMMYFUNCTION(" IF
( VLOOKUP($G396,IMPORTRANGE(""https://docs.google.com/spreadsheets/d/1Gpl6jkTg7sL4VDNimUm3S9Vi1i95esohXCF3wuKOE8c"", ""'CONSOLIDADO'!G5:AB""), 10, 0) &lt;&gt; 0, 
IFERROR(VLOOKUP($G396,IMPORTRANGE(""https://docs.google.com/spreadsheets/d/1Gpl6jkTg7sL4VDNimU"&amp;"m3S9Vi1i95esohXCF3wuKOE8c"", ""'CONSOLIDADO'!G5:AB""), 17, 0), ""-""),
""""
)")," Rey Plast")</f>
        <v> Rey Plast</v>
      </c>
      <c r="W396" s="39" t="str">
        <f>IFERROR(__xludf.DUMMYFUNCTION(" IF
( VLOOKUP($G396,IMPORTRANGE(""https://docs.google.com/spreadsheets/d/1Gpl6jkTg7sL4VDNimUm3S9Vi1i95esohXCF3wuKOE8c"", ""'CONSOLIDADO'!G5:AB""), 10, 0) &lt;&gt; 0, 
IFERROR(VLOOKUP($G396,IMPORTRANGE(""https://docs.google.com/spreadsheets/d/1Gpl6jkTg7sL4VDNimU"&amp;"m3S9Vi1i95esohXCF3wuKOE8c"", ""'CONSOLIDADO'!G5:AB""), 18, 0), ""-""),
""""
)"),"Modelo 60")</f>
        <v>Modelo 60</v>
      </c>
      <c r="X396" s="39" t="b">
        <f t="shared" si="42"/>
        <v>1</v>
      </c>
      <c r="Y396" s="120" t="s">
        <v>2296</v>
      </c>
      <c r="Z396" s="37" t="str">
        <f>IFERROR(__xludf.DUMMYFUNCTION("IFERROR(VLOOKUP(G396,IMPORTRANGE(""https://docs.google.com/spreadsheets/d/12RxCea4e5ggM7QGn1XE3FbLQa_-QbCNdBi90OdPjRqg"", ""'Plan de Compras'!D4:Q""), 12, 0), ""NO ESTÁ EN REQ"")"),"Simple")</f>
        <v>Simple</v>
      </c>
      <c r="AA396" s="37" t="str">
        <f>IFERROR(__xludf.DUMMYFUNCTION("IFERROR(VLOOKUP(G396,IMPORTRANGE(""https://docs.google.com/spreadsheets/d/12RxCea4e5ggM7QGn1XE3FbLQa_-QbCNdBi90OdPjRqg"", ""'Plan de Compras'!D4:Q""), 13, 0), """")"),"NACIONAL")</f>
        <v>NACIONAL</v>
      </c>
      <c r="AB396" s="32" t="str">
        <f>IFERROR(__xludf.DUMMYFUNCTION("IFERROR(VLOOKUP(G396,IMPORTRANGE(""https://docs.google.com/spreadsheets/d/12RxCea4e5ggM7QGn1XE3FbLQa_-QbCNdBi90OdPjRqg"", ""'Plan de Compras'!D4:Q""), 14, 0), """")"),"DIANA")</f>
        <v>DIANA</v>
      </c>
      <c r="AC396" s="72" t="str">
        <f>IFERROR(__xludf.DUMMYFUNCTION("IFERROR(VLOOKUP(G396,IMPORTRANGE(""https://docs.google.com/spreadsheets/d/12RxCea4e5ggM7QGn1XE3FbLQa_-QbCNdBi90OdPjRqg"", ""'Plan de Compras'!D4:Q""), 4, 0), """")"),"CONTENEDOR DE BASURA 50 LT")</f>
        <v>CONTENEDOR DE BASURA 50 LT</v>
      </c>
      <c r="AD396" s="37" t="str">
        <f>IFERROR(__xludf.DUMMYFUNCTION("IFERROR(IF(OR(C396=TRUE,C396=""""),VLOOKUP(G396,IMPORTRANGE(""https://docs.google.com/spreadsheets/d/1z9A1Wq-kKrhRNG5RS2a2fKpY1wIhSVz2ZNmP2mOl588/edit?usp=sharing"",""REQ VF!E4:H""),4,0),""NO APLICA""),""GENERAR REQ"")"),"GENERAR REQ")</f>
        <v>GENERAR REQ</v>
      </c>
      <c r="AE396" s="32" t="str">
        <f>IFERROR(__xludf.DUMMYFUNCTION("IFERROR(QUERY(IMPORTRANGE(""https://docs.google.com/spreadsheets/d/1z9A1Wq-kKrhRNG5RS2a2fKpY1wIhSVz2ZNmP2mOl588/edit?usp=sharing"",""REQ VF!E4:Q""),""SELECT Col10, Col11, Col12 WHERE Col1 = '""&amp;G396&amp;""'"",0),""NO APLICA"")"),"NO APLICA")</f>
        <v>NO APLICA</v>
      </c>
      <c r="AF396" s="32"/>
      <c r="AG396" s="32"/>
      <c r="AH396" s="8" t="s">
        <v>52</v>
      </c>
      <c r="AI396" s="13"/>
    </row>
    <row r="397">
      <c r="A397" s="121">
        <v>239.0</v>
      </c>
      <c r="B397" s="43" t="b">
        <v>1</v>
      </c>
      <c r="C397" s="26" t="b">
        <v>1</v>
      </c>
      <c r="D397" s="26" t="s">
        <v>35</v>
      </c>
      <c r="E397" s="26" t="s">
        <v>1510</v>
      </c>
      <c r="F397" s="59" t="s">
        <v>2892</v>
      </c>
      <c r="G397" s="39" t="s">
        <v>2898</v>
      </c>
      <c r="H397" s="82" t="s">
        <v>2894</v>
      </c>
      <c r="I397" s="43">
        <f>SUMIFS('Hoja 10'!$O:$O,'Hoja 10'!$F:$F,$G397)</f>
        <v>8</v>
      </c>
      <c r="J397" s="26">
        <f>IFERROR(__xludf.DUMMYFUNCTION("VLOOKUP(G397,IMPORTRANGE(""https://docs.google.com/spreadsheets/d/12RxCea4e5ggM7QGn1XE3FbLQa_-QbCNdBi90OdPjRqg/edit?gid=1692403370#gid=1692403370"", ""'Plan de Compras'!D4:2432""), 8,0)"),8.0)</f>
        <v>8</v>
      </c>
      <c r="K397" s="26" t="str">
        <f t="shared" si="40"/>
        <v>SI</v>
      </c>
      <c r="L397" s="29" t="s">
        <v>39</v>
      </c>
      <c r="M397" s="30" t="s">
        <v>40</v>
      </c>
      <c r="N397" s="32"/>
      <c r="O397" s="32" t="str">
        <f>VLOOKUP($G397,'Hoja 10'!$F$4:$AA1057, 19,0)</f>
        <v>Rey Plast</v>
      </c>
      <c r="P397" s="32" t="str">
        <f>VLOOKUP($G397,'Hoja 10'!$F$4:$AA1057, 20,0)</f>
        <v>Modelo 60</v>
      </c>
      <c r="Q397" s="33" t="str">
        <f>VLOOKUP($G397,'Hoja 10'!$F$4:$AA1057, 21,0)</f>
        <v>https://www.promart.pe/tacho-robusto-c-tapa-mecanizada-50-9-l/p?gad_source=1&amp;gad_campaignid=23066034672&amp;gbraid=0AAAAADJIfALdWzROTOtlMXWDth9VPCM0s&amp;gclid=Cj0KCQjw6bfHBhDNARIsAIGsqLjZaUV-jCl7fWX6Fnju64LcyaysMIxehZlXDxVA_ax-ADo2eGfVG50aAq-jEALw_wcB</v>
      </c>
      <c r="R397" s="86" t="s">
        <v>2899</v>
      </c>
      <c r="S397" s="44" t="b">
        <v>1</v>
      </c>
      <c r="T397" s="39" t="s">
        <v>2896</v>
      </c>
      <c r="U397" s="39" t="s">
        <v>2897</v>
      </c>
      <c r="V397" s="39" t="str">
        <f>IFERROR(__xludf.DUMMYFUNCTION(" IF
( VLOOKUP($G397,IMPORTRANGE(""https://docs.google.com/spreadsheets/d/1Gpl6jkTg7sL4VDNimUm3S9Vi1i95esohXCF3wuKOE8c"", ""'CONSOLIDADO'!G5:AB""), 10, 0) &lt;&gt; 0, 
IFERROR(VLOOKUP($G397,IMPORTRANGE(""https://docs.google.com/spreadsheets/d/1Gpl6jkTg7sL4VDNimU"&amp;"m3S9Vi1i95esohXCF3wuKOE8c"", ""'CONSOLIDADO'!G5:AB""), 17, 0), ""-""),
""""
)")," Rey Plast")</f>
        <v> Rey Plast</v>
      </c>
      <c r="W397" s="39" t="str">
        <f>IFERROR(__xludf.DUMMYFUNCTION(" IF
( VLOOKUP($G397,IMPORTRANGE(""https://docs.google.com/spreadsheets/d/1Gpl6jkTg7sL4VDNimUm3S9Vi1i95esohXCF3wuKOE8c"", ""'CONSOLIDADO'!G5:AB""), 10, 0) &lt;&gt; 0, 
IFERROR(VLOOKUP($G397,IMPORTRANGE(""https://docs.google.com/spreadsheets/d/1Gpl6jkTg7sL4VDNimU"&amp;"m3S9Vi1i95esohXCF3wuKOE8c"", ""'CONSOLIDADO'!G5:AB""), 18, 0), ""-""),
""""
)"),"Modelo 60")</f>
        <v>Modelo 60</v>
      </c>
      <c r="X397" s="39" t="b">
        <f t="shared" si="42"/>
        <v>1</v>
      </c>
      <c r="Y397" s="129" t="s">
        <v>2296</v>
      </c>
      <c r="Z397" s="37" t="str">
        <f>IFERROR(__xludf.DUMMYFUNCTION("IFERROR(VLOOKUP(G397,IMPORTRANGE(""https://docs.google.com/spreadsheets/d/12RxCea4e5ggM7QGn1XE3FbLQa_-QbCNdBi90OdPjRqg"", ""'Plan de Compras'!D4:Q""), 12, 0), ""NO ESTÁ EN REQ"")"),"Simple")</f>
        <v>Simple</v>
      </c>
      <c r="AA397" s="37" t="str">
        <f>IFERROR(__xludf.DUMMYFUNCTION("IFERROR(VLOOKUP(G397,IMPORTRANGE(""https://docs.google.com/spreadsheets/d/12RxCea4e5ggM7QGn1XE3FbLQa_-QbCNdBi90OdPjRqg"", ""'Plan de Compras'!D4:Q""), 13, 0), """")"),"NACIONAL")</f>
        <v>NACIONAL</v>
      </c>
      <c r="AB397" s="32" t="str">
        <f>IFERROR(__xludf.DUMMYFUNCTION("IFERROR(VLOOKUP(G397,IMPORTRANGE(""https://docs.google.com/spreadsheets/d/12RxCea4e5ggM7QGn1XE3FbLQa_-QbCNdBi90OdPjRqg"", ""'Plan de Compras'!D4:Q""), 14, 0), """")"),"DIANA")</f>
        <v>DIANA</v>
      </c>
      <c r="AC397" s="72" t="str">
        <f>IFERROR(__xludf.DUMMYFUNCTION("IFERROR(VLOOKUP(G397,IMPORTRANGE(""https://docs.google.com/spreadsheets/d/12RxCea4e5ggM7QGn1XE3FbLQa_-QbCNdBi90OdPjRqg"", ""'Plan de Compras'!D4:Q""), 4, 0), """")"),"CONTENEDOR DE BASURA 50 LT")</f>
        <v>CONTENEDOR DE BASURA 50 LT</v>
      </c>
      <c r="AD397" s="37" t="str">
        <f>IFERROR(__xludf.DUMMYFUNCTION("IFERROR(IF(OR(C397=TRUE,C397=""""),VLOOKUP(G397,IMPORTRANGE(""https://docs.google.com/spreadsheets/d/1z9A1Wq-kKrhRNG5RS2a2fKpY1wIhSVz2ZNmP2mOl588/edit?usp=sharing"",""REQ VF!E4:H""),4,0),""NO APLICA""),""GENERAR REQ"")"),"GENERAR REQ")</f>
        <v>GENERAR REQ</v>
      </c>
      <c r="AE397" s="32" t="str">
        <f>IFERROR(__xludf.DUMMYFUNCTION("IFERROR(QUERY(IMPORTRANGE(""https://docs.google.com/spreadsheets/d/1z9A1Wq-kKrhRNG5RS2a2fKpY1wIhSVz2ZNmP2mOl588/edit?usp=sharing"",""REQ VF!E4:Q""),""SELECT Col10, Col11, Col12 WHERE Col1 = '""&amp;G397&amp;""'"",0),""NO APLICA"")"),"NO APLICA")</f>
        <v>NO APLICA</v>
      </c>
      <c r="AF397" s="32"/>
      <c r="AG397" s="32"/>
      <c r="AH397" s="8" t="s">
        <v>52</v>
      </c>
      <c r="AI397" s="13"/>
    </row>
    <row r="398">
      <c r="A398" s="117">
        <v>240.0</v>
      </c>
      <c r="B398" s="43" t="b">
        <v>1</v>
      </c>
      <c r="C398" s="26" t="b">
        <v>1</v>
      </c>
      <c r="D398" s="26" t="s">
        <v>35</v>
      </c>
      <c r="E398" s="26" t="s">
        <v>1510</v>
      </c>
      <c r="F398" s="59" t="s">
        <v>2900</v>
      </c>
      <c r="G398" s="37" t="s">
        <v>2900</v>
      </c>
      <c r="H398" s="82" t="s">
        <v>2901</v>
      </c>
      <c r="I398" s="43">
        <f>SUMIFS('Hoja 10'!$O:$O,'Hoja 10'!$F:$F,$G398)</f>
        <v>12</v>
      </c>
      <c r="J398" s="26">
        <f>IFERROR(__xludf.DUMMYFUNCTION("VLOOKUP(G398,IMPORTRANGE(""https://docs.google.com/spreadsheets/d/12RxCea4e5ggM7QGn1XE3FbLQa_-QbCNdBi90OdPjRqg/edit?gid=1692403370#gid=1692403370"", ""'Plan de Compras'!D4:2432""), 8,0)"),12.0)</f>
        <v>12</v>
      </c>
      <c r="K398" s="26" t="str">
        <f t="shared" si="40"/>
        <v>SI</v>
      </c>
      <c r="L398" s="29" t="s">
        <v>39</v>
      </c>
      <c r="M398" s="30" t="s">
        <v>40</v>
      </c>
      <c r="N398" s="32"/>
      <c r="O398" s="32" t="str">
        <f>VLOOKUP($G398,'Hoja 10'!$F$4:$AA1057, 19,0)</f>
        <v>OEM</v>
      </c>
      <c r="P398" s="32" t="str">
        <f>VLOOKUP($G398,'Hoja 10'!$F$4:$AA1057, 20,0)</f>
        <v>Cuchara de Madera 35cm</v>
      </c>
      <c r="Q398" s="33" t="str">
        <f>VLOOKUP($G398,'Hoja 10'!$F$4:$AA1057, 21,0)</f>
        <v>https://www.falabella.com.pe/falabella-pe/product/139653407/Cuchara-de-Madera-35cm/139653409</v>
      </c>
      <c r="R398" s="86" t="s">
        <v>2902</v>
      </c>
      <c r="S398" s="34" t="b">
        <v>1</v>
      </c>
      <c r="T398" s="39" t="s">
        <v>2903</v>
      </c>
      <c r="U398" s="39" t="s">
        <v>2904</v>
      </c>
      <c r="V398" s="39" t="str">
        <f>IFERROR(__xludf.DUMMYFUNCTION(" IF
( VLOOKUP($G398,IMPORTRANGE(""https://docs.google.com/spreadsheets/d/1Gpl6jkTg7sL4VDNimUm3S9Vi1i95esohXCF3wuKOE8c"", ""'CONSOLIDADO'!G5:AB""), 10, 0) &lt;&gt; 0, 
IFERROR(VLOOKUP($G398,IMPORTRANGE(""https://docs.google.com/spreadsheets/d/1Gpl6jkTg7sL4VDNimU"&amp;"m3S9Vi1i95esohXCF3wuKOE8c"", ""'CONSOLIDADO'!G5:AB""), 17, 0), ""-""),
""""
)"),"FAMY HOGAR S.A.C.")</f>
        <v>FAMY HOGAR S.A.C.</v>
      </c>
      <c r="W398" s="39" t="str">
        <f>IFERROR(__xludf.DUMMYFUNCTION(" IF
( VLOOKUP($G398,IMPORTRANGE(""https://docs.google.com/spreadsheets/d/1Gpl6jkTg7sL4VDNimUm3S9Vi1i95esohXCF3wuKOE8c"", ""'CONSOLIDADO'!G5:AB""), 10, 0) &lt;&gt; 0, 
IFERROR(VLOOKUP($G398,IMPORTRANGE(""https://docs.google.com/spreadsheets/d/1Gpl6jkTg7sL4VDNimU"&amp;"m3S9Vi1i95esohXCF3wuKOE8c"", ""'CONSOLIDADO'!G5:AB""), 18, 0), ""-""),
""""
)"),"Cuchara de Madera 38 cm x 4 cm")</f>
        <v>Cuchara de Madera 38 cm x 4 cm</v>
      </c>
      <c r="X398" s="39" t="b">
        <f t="shared" si="42"/>
        <v>0</v>
      </c>
      <c r="Y398" s="120" t="s">
        <v>2905</v>
      </c>
      <c r="Z398" s="37" t="str">
        <f>IFERROR(__xludf.DUMMYFUNCTION("IFERROR(VLOOKUP(G398,IMPORTRANGE(""https://docs.google.com/spreadsheets/d/12RxCea4e5ggM7QGn1XE3FbLQa_-QbCNdBi90OdPjRqg"", ""'Plan de Compras'!D4:Q""), 12, 0), ""NO ESTÁ EN REQ"")"),"Simple")</f>
        <v>Simple</v>
      </c>
      <c r="AA398" s="37" t="str">
        <f>IFERROR(__xludf.DUMMYFUNCTION("IFERROR(VLOOKUP(G398,IMPORTRANGE(""https://docs.google.com/spreadsheets/d/12RxCea4e5ggM7QGn1XE3FbLQa_-QbCNdBi90OdPjRqg"", ""'Plan de Compras'!D4:Q""), 13, 0), """")"),"NACIONAL")</f>
        <v>NACIONAL</v>
      </c>
      <c r="AB398" s="32" t="str">
        <f>IFERROR(__xludf.DUMMYFUNCTION("IFERROR(VLOOKUP(G398,IMPORTRANGE(""https://docs.google.com/spreadsheets/d/12RxCea4e5ggM7QGn1XE3FbLQa_-QbCNdBi90OdPjRqg"", ""'Plan de Compras'!D4:Q""), 14, 0), """")"),"JESSICA")</f>
        <v>JESSICA</v>
      </c>
      <c r="AC398" s="72" t="str">
        <f>IFERROR(__xludf.DUMMYFUNCTION("IFERROR(VLOOKUP(G398,IMPORTRANGE(""https://docs.google.com/spreadsheets/d/12RxCea4e5ggM7QGn1XE3FbLQa_-QbCNdBi90OdPjRqg"", ""'Plan de Compras'!D4:Q""), 4, 0), """")"),"CUCHARA GRANDE DE MADERA")</f>
        <v>CUCHARA GRANDE DE MADERA</v>
      </c>
      <c r="AD398" s="37" t="str">
        <f>IFERROR(__xludf.DUMMYFUNCTION("IFERROR(IF(OR(C398=TRUE,C398=""""),VLOOKUP(G398,IMPORTRANGE(""https://docs.google.com/spreadsheets/d/1z9A1Wq-kKrhRNG5RS2a2fKpY1wIhSVz2ZNmP2mOl588/edit?usp=sharing"",""REQ VF!E4:H""),4,0),""NO APLICA""),""GENERAR REQ"")"),"GENERAR REQ")</f>
        <v>GENERAR REQ</v>
      </c>
      <c r="AE398" s="32" t="str">
        <f>IFERROR(__xludf.DUMMYFUNCTION("IFERROR(QUERY(IMPORTRANGE(""https://docs.google.com/spreadsheets/d/1z9A1Wq-kKrhRNG5RS2a2fKpY1wIhSVz2ZNmP2mOl588/edit?usp=sharing"",""REQ VF!E4:Q""),""SELECT Col10, Col11, Col12 WHERE Col1 = '""&amp;G398&amp;""'"",0),""NO APLICA"")"),"NO APLICA")</f>
        <v>NO APLICA</v>
      </c>
      <c r="AF398" s="32"/>
      <c r="AG398" s="32"/>
      <c r="AH398" s="13"/>
      <c r="AI398" s="13"/>
    </row>
    <row r="399">
      <c r="A399" s="117">
        <v>241.0</v>
      </c>
      <c r="B399" s="43" t="b">
        <v>1</v>
      </c>
      <c r="C399" s="26" t="b">
        <v>1</v>
      </c>
      <c r="D399" s="26" t="s">
        <v>35</v>
      </c>
      <c r="E399" s="26" t="s">
        <v>1510</v>
      </c>
      <c r="F399" s="59" t="s">
        <v>2906</v>
      </c>
      <c r="G399" s="37" t="s">
        <v>2906</v>
      </c>
      <c r="H399" s="82" t="s">
        <v>2907</v>
      </c>
      <c r="I399" s="43">
        <f>SUMIFS('Hoja 10'!$O:$O,'Hoja 10'!$F:$F,$G399)</f>
        <v>4</v>
      </c>
      <c r="J399" s="26">
        <f>IFERROR(__xludf.DUMMYFUNCTION("VLOOKUP(G399,IMPORTRANGE(""https://docs.google.com/spreadsheets/d/12RxCea4e5ggM7QGn1XE3FbLQa_-QbCNdBi90OdPjRqg/edit?gid=1692403370#gid=1692403370"", ""'Plan de Compras'!D4:2432""), 8,0)"),4.0)</f>
        <v>4</v>
      </c>
      <c r="K399" s="26" t="str">
        <f t="shared" si="40"/>
        <v>SI</v>
      </c>
      <c r="L399" s="29" t="s">
        <v>77</v>
      </c>
      <c r="M399" s="30" t="s">
        <v>78</v>
      </c>
      <c r="N399" s="32"/>
      <c r="O399" s="32" t="str">
        <f>VLOOKUP($G399,'Hoja 10'!$F$4:$AA1057, 19,0)</f>
        <v>CAVIMEX</v>
      </c>
      <c r="P399" s="32" t="str">
        <f>VLOOKUP($G399,'Hoja 10'!$F$4:$AA1057, 20,0)</f>
        <v>BHA-2752</v>
      </c>
      <c r="Q399" s="33" t="str">
        <f>VLOOKUP($G399,'Hoja 10'!$F$4:$AA1057, 21,0)</f>
        <v>https://www.cavimex.com/products/cuchara-de-servicio-perforada-11in-27-9-cm-de-acero-inox-bha-2752</v>
      </c>
      <c r="R399" s="86" t="s">
        <v>2908</v>
      </c>
      <c r="S399" s="44" t="b">
        <v>1</v>
      </c>
      <c r="T399" s="39" t="str">
        <f>IFERROR(__xludf.DUMMYFUNCTION(" IF
( VLOOKUP($G399,IMPORTRANGE(""https://docs.google.com/spreadsheets/d/1Gpl6jkTg7sL4VDNimUm3S9Vi1i95esohXCF3wuKOE8c"", ""'CONSOLIDADO'!G5:AB""), 10, 0) &lt;&gt; 0, 
IFERROR(VLOOKUP($G399,IMPORTRANGE(""https://docs.google.com/spreadsheets/d/1Gpl6jkTg7sL4VDNimU"&amp;"m3S9Vi1i95esohXCF3wuKOE8c"", ""'CONSOLIDADO'!G5:AB""), 17, 0), ""-""),
""""
)"),"OFXDD")</f>
        <v>OFXDD</v>
      </c>
      <c r="U399" s="39" t="str">
        <f>IFERROR(__xludf.DUMMYFUNCTION(" IF
( VLOOKUP($G399,IMPORTRANGE(""https://docs.google.com/spreadsheets/d/1Gpl6jkTg7sL4VDNimUm3S9Vi1i95esohXCF3wuKOE8c"", ""'CONSOLIDADO'!G5:AB""), 10, 0) &lt;&gt; 0, 
IFERROR(VLOOKUP($G399,IMPORTRANGE(""https://docs.google.com/spreadsheets/d/1Gpl6jkTg7sL4VDNimU"&amp;"m3S9Vi1i95esohXCF3wuKOE8c"", ""'CONSOLIDADO'!G5:AB""), 18, 0), ""-""),
""""
)"),"Cuchara perforada")</f>
        <v>Cuchara perforada</v>
      </c>
      <c r="V399" s="39" t="str">
        <f>IFERROR(__xludf.DUMMYFUNCTION(" IF
( VLOOKUP($G399,IMPORTRANGE(""https://docs.google.com/spreadsheets/d/1Gpl6jkTg7sL4VDNimUm3S9Vi1i95esohXCF3wuKOE8c"", ""'CONSOLIDADO'!G5:AB""), 10, 0) &lt;&gt; 0, 
IFERROR(VLOOKUP($G399,IMPORTRANGE(""https://docs.google.com/spreadsheets/d/1Gpl6jkTg7sL4VDNimU"&amp;"m3S9Vi1i95esohXCF3wuKOE8c"", ""'CONSOLIDADO'!G5:AB""), 17, 0), ""-""),
""""
)"),"OFXDD")</f>
        <v>OFXDD</v>
      </c>
      <c r="W399" s="39" t="str">
        <f>IFERROR(__xludf.DUMMYFUNCTION(" IF
( VLOOKUP($G399,IMPORTRANGE(""https://docs.google.com/spreadsheets/d/1Gpl6jkTg7sL4VDNimUm3S9Vi1i95esohXCF3wuKOE8c"", ""'CONSOLIDADO'!G5:AB""), 10, 0) &lt;&gt; 0, 
IFERROR(VLOOKUP($G399,IMPORTRANGE(""https://docs.google.com/spreadsheets/d/1Gpl6jkTg7sL4VDNimU"&amp;"m3S9Vi1i95esohXCF3wuKOE8c"", ""'CONSOLIDADO'!G5:AB""), 18, 0), ""-""),
""""
)"),"Cuchara perforada")</f>
        <v>Cuchara perforada</v>
      </c>
      <c r="X399" s="39" t="b">
        <f t="shared" si="42"/>
        <v>1</v>
      </c>
      <c r="Y399" s="120" t="str">
        <f>IFERROR(__xludf.DUMMYFUNCTION(" IF
( VLOOKUP($G399,IMPORTRANGE(""https://docs.google.com/spreadsheets/d/1Gpl6jkTg7sL4VDNimUm3S9Vi1i95esohXCF3wuKOE8c"", ""'CONSOLIDADO'!G5:AB""), 10, 0) &lt;&gt; 0, 
IFERROR(VLOOKUP($G399,IMPORTRANGE(""https://docs.google.com/spreadsheets/d/1Gpl6jkTg7sL4VDNimU"&amp;"m3S9Vi1i95esohXCF3wuKOE8c"", ""'CONSOLIDADO'!G5:AB""), 19, 0), ""-""),
""""
)"),"https://www.amazon.com/Cuchara-perforada-acero-inoxidable-servir/dp/B08BWP85Z9?language=es_US")</f>
        <v>https://www.amazon.com/Cuchara-perforada-acero-inoxidable-servir/dp/B08BWP85Z9?language=es_US</v>
      </c>
      <c r="Z399" s="37" t="str">
        <f>IFERROR(__xludf.DUMMYFUNCTION("IFERROR(VLOOKUP(G399,IMPORTRANGE(""https://docs.google.com/spreadsheets/d/12RxCea4e5ggM7QGn1XE3FbLQa_-QbCNdBi90OdPjRqg"", ""'Plan de Compras'!D4:Q""), 12, 0), ""NO ESTÁ EN REQ"")"),"Técnica")</f>
        <v>Técnica</v>
      </c>
      <c r="AA399" s="37" t="str">
        <f>IFERROR(__xludf.DUMMYFUNCTION("IFERROR(VLOOKUP(G399,IMPORTRANGE(""https://docs.google.com/spreadsheets/d/12RxCea4e5ggM7QGn1XE3FbLQa_-QbCNdBi90OdPjRqg"", ""'Plan de Compras'!D4:Q""), 13, 0), """")"),"INTERNACIONAL")</f>
        <v>INTERNACIONAL</v>
      </c>
      <c r="AB399" s="32" t="str">
        <f>IFERROR(__xludf.DUMMYFUNCTION("IFERROR(VLOOKUP(G399,IMPORTRANGE(""https://docs.google.com/spreadsheets/d/12RxCea4e5ggM7QGn1XE3FbLQa_-QbCNdBi90OdPjRqg"", ""'Plan de Compras'!D4:Q""), 14, 0), """")"),"DIEGO ")</f>
        <v>DIEGO </v>
      </c>
      <c r="AC399" s="72" t="str">
        <f>IFERROR(__xludf.DUMMYFUNCTION("IFERROR(VLOOKUP(G399,IMPORTRANGE(""https://docs.google.com/spreadsheets/d/12RxCea4e5ggM7QGn1XE3FbLQa_-QbCNdBi90OdPjRqg"", ""'Plan de Compras'!D4:Q""), 4, 0), """")"),"CUCHARA PERFORADA")</f>
        <v>CUCHARA PERFORADA</v>
      </c>
      <c r="AD399" s="37" t="str">
        <f>IFERROR(__xludf.DUMMYFUNCTION("IFERROR(IF(OR(C399=TRUE,C399=""""),VLOOKUP(G399,IMPORTRANGE(""https://docs.google.com/spreadsheets/d/1z9A1Wq-kKrhRNG5RS2a2fKpY1wIhSVz2ZNmP2mOl588/edit?usp=sharing"",""REQ VF!E4:H""),4,0),""NO APLICA""),""GENERAR REQ"")"),"GENERAR REQ")</f>
        <v>GENERAR REQ</v>
      </c>
      <c r="AE399" s="32" t="str">
        <f>IFERROR(__xludf.DUMMYFUNCTION("IFERROR(QUERY(IMPORTRANGE(""https://docs.google.com/spreadsheets/d/1z9A1Wq-kKrhRNG5RS2a2fKpY1wIhSVz2ZNmP2mOl588/edit?usp=sharing"",""REQ VF!E4:Q""),""SELECT Col10, Col11, Col12 WHERE Col1 = '""&amp;G399&amp;""'"",0),""NO APLICA"")"),"NO APLICA")</f>
        <v>NO APLICA</v>
      </c>
      <c r="AF399" s="32"/>
      <c r="AG399" s="32"/>
      <c r="AH399" s="13"/>
      <c r="AI399" s="13"/>
    </row>
    <row r="400">
      <c r="A400" s="121">
        <v>242.0</v>
      </c>
      <c r="B400" s="43" t="b">
        <v>1</v>
      </c>
      <c r="C400" s="26" t="b">
        <v>1</v>
      </c>
      <c r="D400" s="26" t="s">
        <v>35</v>
      </c>
      <c r="E400" s="26" t="s">
        <v>1510</v>
      </c>
      <c r="F400" s="59" t="s">
        <v>2909</v>
      </c>
      <c r="G400" s="39" t="s">
        <v>2910</v>
      </c>
      <c r="H400" s="82" t="s">
        <v>2911</v>
      </c>
      <c r="I400" s="43">
        <f>SUMIFS('Hoja 10'!$O:$O,'Hoja 10'!$F:$F,$G400)</f>
        <v>4</v>
      </c>
      <c r="J400" s="26">
        <f>IFERROR(__xludf.DUMMYFUNCTION("VLOOKUP(G400,IMPORTRANGE(""https://docs.google.com/spreadsheets/d/12RxCea4e5ggM7QGn1XE3FbLQa_-QbCNdBi90OdPjRqg/edit?gid=1692403370#gid=1692403370"", ""'Plan de Compras'!D4:2432""), 8,0)"),4.0)</f>
        <v>4</v>
      </c>
      <c r="K400" s="26" t="str">
        <f t="shared" si="40"/>
        <v>SI</v>
      </c>
      <c r="L400" s="29" t="s">
        <v>77</v>
      </c>
      <c r="M400" s="30" t="s">
        <v>78</v>
      </c>
      <c r="N400" s="32"/>
      <c r="O400" s="32" t="str">
        <f>VLOOKUP($G400,'Hoja 10'!$F$4:$AA1057, 19,0)</f>
        <v>Cuisinart</v>
      </c>
      <c r="P400" s="32" t="str">
        <f>VLOOKUP($G400,'Hoja 10'!$F$4:$AA1057, 20,0)</f>
        <v>CTG-00-SMP</v>
      </c>
      <c r="Q400" s="33" t="str">
        <f>VLOOKUP($G400,'Hoja 10'!$F$4:$AA1057, 21,0)</f>
        <v>https://www.falabella.com.pe/falabella-pe/product/18023850/Juego-x4-Cucharas-Medidoras-Acero-Inoxidable/18023850</v>
      </c>
      <c r="R400" s="86" t="s">
        <v>2912</v>
      </c>
      <c r="S400" s="44" t="b">
        <v>1</v>
      </c>
      <c r="T400" s="39" t="s">
        <v>2913</v>
      </c>
      <c r="U400" s="39" t="s">
        <v>2914</v>
      </c>
      <c r="V400" s="39" t="str">
        <f>IFERROR(__xludf.DUMMYFUNCTION(" IF
( VLOOKUP($G400,IMPORTRANGE(""https://docs.google.com/spreadsheets/d/1Gpl6jkTg7sL4VDNimUm3S9Vi1i95esohXCF3wuKOE8c"", ""'CONSOLIDADO'!G5:AB""), 10, 0) &lt;&gt; 0, 
IFERROR(VLOOKUP($G400,IMPORTRANGE(""https://docs.google.com/spreadsheets/d/1Gpl6jkTg7sL4VDNimU"&amp;"m3S9Vi1i95esohXCF3wuKOE8c"", ""'CONSOLIDADO'!G5:AB""), 17, 0), ""-""),
""""
)"),"FACUSA")</f>
        <v>FACUSA</v>
      </c>
      <c r="W400" s="39" t="str">
        <f>IFERROR(__xludf.DUMMYFUNCTION(" IF
( VLOOKUP($G400,IMPORTRANGE(""https://docs.google.com/spreadsheets/d/1Gpl6jkTg7sL4VDNimUm3S9Vi1i95esohXCF3wuKOE8c"", ""'CONSOLIDADO'!G5:AB""), 10, 0) &lt;&gt; 0, 
IFERROR(VLOOKUP($G400,IMPORTRANGE(""https://docs.google.com/spreadsheets/d/1Gpl6jkTg7sL4VDNimU"&amp;"m3S9Vi1i95esohXCF3wuKOE8c"", ""'CONSOLIDADO'!G5:AB""), 18, 0), ""-""),
""""
)"),"Cucharas Medidoras X 4 Blister - Facusa")</f>
        <v>Cucharas Medidoras X 4 Blister - Facusa</v>
      </c>
      <c r="X400" s="39" t="b">
        <f t="shared" si="42"/>
        <v>1</v>
      </c>
      <c r="Y400" s="120" t="s">
        <v>2915</v>
      </c>
      <c r="Z400" s="37" t="str">
        <f>IFERROR(__xludf.DUMMYFUNCTION("IFERROR(VLOOKUP(G400,IMPORTRANGE(""https://docs.google.com/spreadsheets/d/12RxCea4e5ggM7QGn1XE3FbLQa_-QbCNdBi90OdPjRqg"", ""'Plan de Compras'!D4:Q""), 12, 0), ""NO ESTÁ EN REQ"")"),"Simple")</f>
        <v>Simple</v>
      </c>
      <c r="AA400" s="37" t="str">
        <f>IFERROR(__xludf.DUMMYFUNCTION("IFERROR(VLOOKUP(G400,IMPORTRANGE(""https://docs.google.com/spreadsheets/d/12RxCea4e5ggM7QGn1XE3FbLQa_-QbCNdBi90OdPjRqg"", ""'Plan de Compras'!D4:Q""), 13, 0), """")"),"NACIONAL")</f>
        <v>NACIONAL</v>
      </c>
      <c r="AB400" s="32" t="str">
        <f>IFERROR(__xludf.DUMMYFUNCTION("IFERROR(VLOOKUP(G400,IMPORTRANGE(""https://docs.google.com/spreadsheets/d/12RxCea4e5ggM7QGn1XE3FbLQa_-QbCNdBi90OdPjRqg"", ""'Plan de Compras'!D4:Q""), 14, 0), """")"),"JESSICA")</f>
        <v>JESSICA</v>
      </c>
      <c r="AC400" s="72" t="str">
        <f>IFERROR(__xludf.DUMMYFUNCTION("IFERROR(VLOOKUP(G400,IMPORTRANGE(""https://docs.google.com/spreadsheets/d/12RxCea4e5ggM7QGn1XE3FbLQa_-QbCNdBi90OdPjRqg"", ""'Plan de Compras'!D4:Q""), 4, 0), """")"),"JUEGO DE CUCHARAS MEDIDORAS")</f>
        <v>JUEGO DE CUCHARAS MEDIDORAS</v>
      </c>
      <c r="AD400" s="37" t="str">
        <f>IFERROR(__xludf.DUMMYFUNCTION("IFERROR(IF(OR(C400=TRUE,C400=""""),VLOOKUP(G400,IMPORTRANGE(""https://docs.google.com/spreadsheets/d/1z9A1Wq-kKrhRNG5RS2a2fKpY1wIhSVz2ZNmP2mOl588/edit?usp=sharing"",""REQ VF!E4:H""),4,0),""NO APLICA""),""GENERAR REQ"")"),"GENERAR REQ")</f>
        <v>GENERAR REQ</v>
      </c>
      <c r="AE400" s="32" t="str">
        <f>IFERROR(__xludf.DUMMYFUNCTION("IFERROR(QUERY(IMPORTRANGE(""https://docs.google.com/spreadsheets/d/1z9A1Wq-kKrhRNG5RS2a2fKpY1wIhSVz2ZNmP2mOl588/edit?usp=sharing"",""REQ VF!E4:Q""),""SELECT Col10, Col11, Col12 WHERE Col1 = '""&amp;G400&amp;""'"",0),""NO APLICA"")"),"NO APLICA")</f>
        <v>NO APLICA</v>
      </c>
      <c r="AF400" s="32"/>
      <c r="AG400" s="32"/>
      <c r="AH400" s="13"/>
      <c r="AI400" s="13"/>
    </row>
    <row r="401">
      <c r="A401" s="121">
        <v>243.0</v>
      </c>
      <c r="B401" s="43" t="b">
        <v>1</v>
      </c>
      <c r="C401" s="26" t="b">
        <v>1</v>
      </c>
      <c r="D401" s="26" t="s">
        <v>35</v>
      </c>
      <c r="E401" s="26" t="s">
        <v>1510</v>
      </c>
      <c r="F401" s="59" t="s">
        <v>2909</v>
      </c>
      <c r="G401" s="39" t="s">
        <v>2916</v>
      </c>
      <c r="H401" s="82" t="s">
        <v>2911</v>
      </c>
      <c r="I401" s="43">
        <f>SUMIFS('Hoja 10'!$O:$O,'Hoja 10'!$F:$F,$G401)</f>
        <v>16</v>
      </c>
      <c r="J401" s="26">
        <f>IFERROR(__xludf.DUMMYFUNCTION("VLOOKUP(G401,IMPORTRANGE(""https://docs.google.com/spreadsheets/d/12RxCea4e5ggM7QGn1XE3FbLQa_-QbCNdBi90OdPjRqg/edit?gid=1692403370#gid=1692403370"", ""'Plan de Compras'!D4:2432""), 8,0)"),16.0)</f>
        <v>16</v>
      </c>
      <c r="K401" s="26" t="str">
        <f t="shared" si="40"/>
        <v>SI</v>
      </c>
      <c r="L401" s="29" t="s">
        <v>39</v>
      </c>
      <c r="M401" s="30" t="s">
        <v>40</v>
      </c>
      <c r="N401" s="32"/>
      <c r="O401" s="32" t="str">
        <f>VLOOKUP($G401,'Hoja 10'!$F$4:$AA1057, 19,0)</f>
        <v>Cuisinart</v>
      </c>
      <c r="P401" s="32" t="str">
        <f>VLOOKUP($G401,'Hoja 10'!$F$4:$AA1057, 20,0)</f>
        <v>CTG-00-SMP</v>
      </c>
      <c r="Q401" s="33" t="str">
        <f>VLOOKUP($G401,'Hoja 10'!$F$4:$AA1057, 21,0)</f>
        <v>https://www.falabella.com.pe/falabella-pe/product/18023850/Juego-x4-Cucharas-Medidoras-Acero-Inoxidable/18023850</v>
      </c>
      <c r="R401" s="86" t="s">
        <v>2917</v>
      </c>
      <c r="S401" s="44" t="b">
        <v>1</v>
      </c>
      <c r="T401" s="39" t="s">
        <v>2913</v>
      </c>
      <c r="U401" s="39" t="s">
        <v>2914</v>
      </c>
      <c r="V401" s="39" t="str">
        <f>IFERROR(__xludf.DUMMYFUNCTION(" IF
( VLOOKUP($G401,IMPORTRANGE(""https://docs.google.com/spreadsheets/d/1Gpl6jkTg7sL4VDNimUm3S9Vi1i95esohXCF3wuKOE8c"", ""'CONSOLIDADO'!G5:AB""), 10, 0) &lt;&gt; 0, 
IFERROR(VLOOKUP($G401,IMPORTRANGE(""https://docs.google.com/spreadsheets/d/1Gpl6jkTg7sL4VDNimU"&amp;"m3S9Vi1i95esohXCF3wuKOE8c"", ""'CONSOLIDADO'!G5:AB""), 17, 0), ""-""),
""""
)"),"FACUSA")</f>
        <v>FACUSA</v>
      </c>
      <c r="W401" s="39" t="str">
        <f>IFERROR(__xludf.DUMMYFUNCTION(" IF
( VLOOKUP($G401,IMPORTRANGE(""https://docs.google.com/spreadsheets/d/1Gpl6jkTg7sL4VDNimUm3S9Vi1i95esohXCF3wuKOE8c"", ""'CONSOLIDADO'!G5:AB""), 10, 0) &lt;&gt; 0, 
IFERROR(VLOOKUP($G401,IMPORTRANGE(""https://docs.google.com/spreadsheets/d/1Gpl6jkTg7sL4VDNimU"&amp;"m3S9Vi1i95esohXCF3wuKOE8c"", ""'CONSOLIDADO'!G5:AB""), 18, 0), ""-""),
""""
)"),"Cucharas Medidoras X 4 Blister - Facusa")</f>
        <v>Cucharas Medidoras X 4 Blister - Facusa</v>
      </c>
      <c r="X401" s="39" t="b">
        <f t="shared" si="42"/>
        <v>1</v>
      </c>
      <c r="Y401" s="120" t="s">
        <v>2915</v>
      </c>
      <c r="Z401" s="37" t="str">
        <f>IFERROR(__xludf.DUMMYFUNCTION("IFERROR(VLOOKUP(G401,IMPORTRANGE(""https://docs.google.com/spreadsheets/d/12RxCea4e5ggM7QGn1XE3FbLQa_-QbCNdBi90OdPjRqg"", ""'Plan de Compras'!D4:Q""), 12, 0), ""NO ESTÁ EN REQ"")"),"Simple")</f>
        <v>Simple</v>
      </c>
      <c r="AA401" s="37" t="str">
        <f>IFERROR(__xludf.DUMMYFUNCTION("IFERROR(VLOOKUP(G401,IMPORTRANGE(""https://docs.google.com/spreadsheets/d/12RxCea4e5ggM7QGn1XE3FbLQa_-QbCNdBi90OdPjRqg"", ""'Plan de Compras'!D4:Q""), 13, 0), """")"),"NACIONAL")</f>
        <v>NACIONAL</v>
      </c>
      <c r="AB401" s="32" t="str">
        <f>IFERROR(__xludf.DUMMYFUNCTION("IFERROR(VLOOKUP(G401,IMPORTRANGE(""https://docs.google.com/spreadsheets/d/12RxCea4e5ggM7QGn1XE3FbLQa_-QbCNdBi90OdPjRqg"", ""'Plan de Compras'!D4:Q""), 14, 0), """")"),"JESSICA")</f>
        <v>JESSICA</v>
      </c>
      <c r="AC401" s="72" t="str">
        <f>IFERROR(__xludf.DUMMYFUNCTION("IFERROR(VLOOKUP(G401,IMPORTRANGE(""https://docs.google.com/spreadsheets/d/12RxCea4e5ggM7QGn1XE3FbLQa_-QbCNdBi90OdPjRqg"", ""'Plan de Compras'!D4:Q""), 4, 0), """")"),"JUEGO DE CUCHARAS MEDIDORAS")</f>
        <v>JUEGO DE CUCHARAS MEDIDORAS</v>
      </c>
      <c r="AD401" s="37" t="str">
        <f>IFERROR(__xludf.DUMMYFUNCTION("IFERROR(IF(OR(C401=TRUE,C401=""""),VLOOKUP(G401,IMPORTRANGE(""https://docs.google.com/spreadsheets/d/1z9A1Wq-kKrhRNG5RS2a2fKpY1wIhSVz2ZNmP2mOl588/edit?usp=sharing"",""REQ VF!E4:H""),4,0),""NO APLICA""),""GENERAR REQ"")"),"GENERAR REQ")</f>
        <v>GENERAR REQ</v>
      </c>
      <c r="AE401" s="32" t="str">
        <f>IFERROR(__xludf.DUMMYFUNCTION("IFERROR(QUERY(IMPORTRANGE(""https://docs.google.com/spreadsheets/d/1z9A1Wq-kKrhRNG5RS2a2fKpY1wIhSVz2ZNmP2mOl588/edit?usp=sharing"",""REQ VF!E4:Q""),""SELECT Col10, Col11, Col12 WHERE Col1 = '""&amp;G401&amp;""'"",0),""NO APLICA"")"),"NO APLICA")</f>
        <v>NO APLICA</v>
      </c>
      <c r="AF401" s="32"/>
      <c r="AG401" s="32"/>
      <c r="AH401" s="13"/>
      <c r="AI401" s="13"/>
    </row>
    <row r="402">
      <c r="A402" s="121">
        <v>244.0</v>
      </c>
      <c r="B402" s="43" t="b">
        <v>1</v>
      </c>
      <c r="C402" s="26" t="b">
        <v>0</v>
      </c>
      <c r="D402" s="26" t="s">
        <v>35</v>
      </c>
      <c r="E402" s="26" t="s">
        <v>1510</v>
      </c>
      <c r="F402" s="39" t="s">
        <v>2918</v>
      </c>
      <c r="G402" s="37" t="s">
        <v>2918</v>
      </c>
      <c r="H402" s="82" t="s">
        <v>2919</v>
      </c>
      <c r="I402" s="43">
        <f>SUMIFS('Hoja 10'!$O:$O,'Hoja 10'!$F:$F,$G402)</f>
        <v>40</v>
      </c>
      <c r="J402" s="26" t="str">
        <f>IFERROR(__xludf.DUMMYFUNCTION("VLOOKUP(G402,IMPORTRANGE(""https://docs.google.com/spreadsheets/d/12RxCea4e5ggM7QGn1XE3FbLQa_-QbCNdBi90OdPjRqg/edit?gid=1692403370#gid=1692403370"", ""'Plan de Compras'!D4:2432""), 8,0)"),"#N/A")</f>
        <v>#N/A</v>
      </c>
      <c r="K402" s="26" t="str">
        <f t="shared" si="40"/>
        <v>-</v>
      </c>
      <c r="L402" s="29" t="s">
        <v>39</v>
      </c>
      <c r="M402" s="30" t="s">
        <v>40</v>
      </c>
      <c r="N402" s="32" t="s">
        <v>2920</v>
      </c>
      <c r="O402" s="32"/>
      <c r="P402" s="32" t="s">
        <v>2921</v>
      </c>
      <c r="Q402" s="33" t="s">
        <v>2922</v>
      </c>
      <c r="R402" s="86" t="s">
        <v>2923</v>
      </c>
      <c r="S402" s="44" t="b">
        <v>0</v>
      </c>
      <c r="T402" s="39" t="str">
        <f>IFERROR(__xludf.DUMMYFUNCTION(" IF
( VLOOKUP($G402,IMPORTRANGE(""https://docs.google.com/spreadsheets/d/1Gpl6jkTg7sL4VDNimUm3S9Vi1i95esohXCF3wuKOE8c"", ""'CONSOLIDADO'!G5:AB""), 10, 0) &lt;&gt; 0, 
IFERROR(VLOOKUP($G402,IMPORTRANGE(""https://docs.google.com/spreadsheets/d/1Gpl6jkTg7sL4VDNimU"&amp;"m3S9Vi1i95esohXCF3wuKOE8c"", ""'CONSOLIDADO'!G5:AB""), 17, 0), ""-""),
""""
)"),"Hosybal / Mwrenqei")</f>
        <v>Hosybal / Mwrenqei</v>
      </c>
      <c r="U402" s="39" t="str">
        <f>IFERROR(__xludf.DUMMYFUNCTION(" IF
( VLOOKUP($G402,IMPORTRANGE(""https://docs.google.com/spreadsheets/d/1Gpl6jkTg7sL4VDNimUm3S9Vi1i95esohXCF3wuKOE8c"", ""'CONSOLIDADO'!G5:AB""), 10, 0) &lt;&gt; 0, 
IFERROR(VLOOKUP($G402,IMPORTRANGE(""https://docs.google.com/spreadsheets/d/1Gpl6jkTg7sL4VDNimU"&amp;"m3S9Vi1i95esohXCF3wuKOE8c"", ""'CONSOLIDADO'!G5:AB""), 18, 0), ""-""),
""""
)"),"4.7-inch Small Coffee Spoons / MoQi-n3k6u9o")</f>
        <v>4.7-inch Small Coffee Spoons / MoQi-n3k6u9o</v>
      </c>
      <c r="V402" s="39" t="str">
        <f>IFERROR(__xludf.DUMMYFUNCTION(" IF
( VLOOKUP($G402,IMPORTRANGE(""https://docs.google.com/spreadsheets/d/1Gpl6jkTg7sL4VDNimUm3S9Vi1i95esohXCF3wuKOE8c"", ""'CONSOLIDADO'!G5:AB""), 10, 0) &lt;&gt; 0, 
IFERROR(VLOOKUP($G402,IMPORTRANGE(""https://docs.google.com/spreadsheets/d/1Gpl6jkTg7sL4VDNimU"&amp;"m3S9Vi1i95esohXCF3wuKOE8c"", ""'CONSOLIDADO'!G5:AB""), 17, 0), ""-""),
""""
)"),"Hosybal / Mwrenqei")</f>
        <v>Hosybal / Mwrenqei</v>
      </c>
      <c r="W402" s="39" t="str">
        <f>IFERROR(__xludf.DUMMYFUNCTION(" IF
( VLOOKUP($G402,IMPORTRANGE(""https://docs.google.com/spreadsheets/d/1Gpl6jkTg7sL4VDNimUm3S9Vi1i95esohXCF3wuKOE8c"", ""'CONSOLIDADO'!G5:AB""), 10, 0) &lt;&gt; 0, 
IFERROR(VLOOKUP($G402,IMPORTRANGE(""https://docs.google.com/spreadsheets/d/1Gpl6jkTg7sL4VDNimU"&amp;"m3S9Vi1i95esohXCF3wuKOE8c"", ""'CONSOLIDADO'!G5:AB""), 18, 0), ""-""),
""""
)"),"4.7-inch Small Coffee Spoons / MoQi-n3k6u9o")</f>
        <v>4.7-inch Small Coffee Spoons / MoQi-n3k6u9o</v>
      </c>
      <c r="X402" s="39" t="b">
        <f t="shared" si="42"/>
        <v>1</v>
      </c>
      <c r="Y402" s="120" t="str">
        <f>IFERROR(__xludf.DUMMYFUNCTION(" IF
( VLOOKUP($G402,IMPORTRANGE(""https://docs.google.com/spreadsheets/d/1Gpl6jkTg7sL4VDNimUm3S9Vi1i95esohXCF3wuKOE8c"", ""'CONSOLIDADO'!G5:AB""), 10, 0) &lt;&gt; 0, 
IFERROR(VLOOKUP($G402,IMPORTRANGE(""https://docs.google.com/spreadsheets/d/1Gpl6jkTg7sL4VDNimU"&amp;"m3S9Vi1i95esohXCF3wuKOE8c"", ""'CONSOLIDADO'!G5:AB""), 19, 0), ""-""),
""""
)"),"https://www.amazon.com/-/es/cucharas-demitasse-inoxidable-pulgadas-ensalada/dp/B0B127SQFL
https://www.amazon.com/-/es/Mwrenqei-cucharas-condimentos-inoxidable-pulgadas/dp/B0DNCR37PB/ref=sr_1_3?crid=2GGU58A7NF2CR&amp;dib=eyJ2IjoiMSJ9.kDt-FovmYHrDO7C9vEazwN5oQU"&amp;"n0YSvtJbS9yksaO7qUmdDJ9il2YBIyzSbGKdIRMgVIazXcSFbFKkrVOfoLb7jkYfvcZn5AVhCumDz9YtizotscEctDm5HL4aSQ-rvqXevGRIRwKKcHQ3rG0fxAVOVooiKklIBGA-aqhmCOVaSGJZGiOJh2eXeHvKw_ECkEMa8yvXN1miYEcm4-Dng8KNXjaiyU_4kjGTrNFNC8-nI.j3Ri7MRB7UypnXEAzRRk13x4XOjfvi6rGY9dinGp434&amp;d"&amp;"ib_tag=se&amp;keywords=10+CUCHARA+3+PULGADAS&amp;qid=1764775122&amp;sprefix=10+cuchara+3+pulgada%2Caps%2C145&amp;sr=8-3")</f>
        <v>https://www.amazon.com/-/es/cucharas-demitasse-inoxidable-pulgadas-ensalada/dp/B0B127SQFL
https://www.amazon.com/-/es/Mwrenqei-cucharas-condimentos-inoxidable-pulgadas/dp/B0DNCR37PB/ref=sr_1_3?crid=2GGU58A7NF2CR&amp;dib=eyJ2IjoiMSJ9.kDt-FovmYHrDO7C9vEazwN5oQUn0YSvtJbS9yksaO7qUmdDJ9il2YBIyzSbGKdIRMgVIazXcSFbFKkrVOfoLb7jkYfvcZn5AVhCumDz9YtizotscEctDm5HL4aSQ-rvqXevGRIRwKKcHQ3rG0fxAVOVooiKklIBGA-aqhmCOVaSGJZGiOJh2eXeHvKw_ECkEMa8yvXN1miYEcm4-Dng8KNXjaiyU_4kjGTrNFNC8-nI.j3Ri7MRB7UypnXEAzRRk13x4XOjfvi6rGY9dinGp434&amp;dib_tag=se&amp;keywords=10+CUCHARA+3+PULGADAS&amp;qid=1764775122&amp;sprefix=10+cuchara+3+pulgada%2Caps%2C145&amp;sr=8-3</v>
      </c>
      <c r="Z402" s="37" t="str">
        <f>IFERROR(__xludf.DUMMYFUNCTION("IFERROR(VLOOKUP(G402,IMPORTRANGE(""https://docs.google.com/spreadsheets/d/12RxCea4e5ggM7QGn1XE3FbLQa_-QbCNdBi90OdPjRqg"", ""'Plan de Compras'!D4:Q""), 12, 0), ""NO ESTÁ EN REQ"")"),"NO ESTÁ EN REQ")</f>
        <v>NO ESTÁ EN REQ</v>
      </c>
      <c r="AA402" s="37" t="str">
        <f>IFERROR(__xludf.DUMMYFUNCTION("IFERROR(VLOOKUP(G402,IMPORTRANGE(""https://docs.google.com/spreadsheets/d/12RxCea4e5ggM7QGn1XE3FbLQa_-QbCNdBi90OdPjRqg"", ""'Plan de Compras'!D4:Q""), 13, 0), """")"),"")</f>
        <v/>
      </c>
      <c r="AB402" s="32" t="str">
        <f>IFERROR(__xludf.DUMMYFUNCTION("IFERROR(VLOOKUP(G402,IMPORTRANGE(""https://docs.google.com/spreadsheets/d/12RxCea4e5ggM7QGn1XE3FbLQa_-QbCNdBi90OdPjRqg"", ""'Plan de Compras'!D4:Q""), 14, 0), """")"),"")</f>
        <v/>
      </c>
      <c r="AC402" s="72" t="str">
        <f>IFERROR(__xludf.DUMMYFUNCTION("IFERROR(VLOOKUP(G402,IMPORTRANGE(""https://docs.google.com/spreadsheets/d/12RxCea4e5ggM7QGn1XE3FbLQa_-QbCNdBi90OdPjRqg"", ""'Plan de Compras'!D4:Q""), 4, 0), """")"),"")</f>
        <v/>
      </c>
      <c r="AD402" s="37" t="str">
        <f>IFERROR(__xludf.DUMMYFUNCTION("IFERROR(IF(OR(C402=TRUE,C402=""""),VLOOKUP(G402,IMPORTRANGE(""https://docs.google.com/spreadsheets/d/1z9A1Wq-kKrhRNG5RS2a2fKpY1wIhSVz2ZNmP2mOl588/edit?usp=sharing"",""REQ VF!E4:H""),4,0),""NO APLICA""),""GENERAR REQ"")"),"NO APLICA")</f>
        <v>NO APLICA</v>
      </c>
      <c r="AE402" s="32" t="str">
        <f>IFERROR(__xludf.DUMMYFUNCTION("IFERROR(QUERY(IMPORTRANGE(""https://docs.google.com/spreadsheets/d/1z9A1Wq-kKrhRNG5RS2a2fKpY1wIhSVz2ZNmP2mOl588/edit?usp=sharing"",""REQ VF!E4:Q""),""SELECT Col10, Col11, Col12 WHERE Col1 = '""&amp;G402&amp;""'"",0),""NO APLICA"")"),"NO APLICA")</f>
        <v>NO APLICA</v>
      </c>
      <c r="AF402" s="32"/>
      <c r="AG402" s="32"/>
      <c r="AH402" s="13"/>
      <c r="AI402" s="13"/>
    </row>
    <row r="403">
      <c r="A403" s="43"/>
      <c r="B403" s="43"/>
      <c r="C403" s="26" t="b">
        <v>1</v>
      </c>
      <c r="D403" s="26" t="s">
        <v>95</v>
      </c>
      <c r="E403" s="26" t="s">
        <v>1510</v>
      </c>
      <c r="F403" s="59" t="s">
        <v>2918</v>
      </c>
      <c r="G403" s="39" t="s">
        <v>2924</v>
      </c>
      <c r="H403" s="66" t="s">
        <v>2925</v>
      </c>
      <c r="I403" s="43">
        <v>40.0</v>
      </c>
      <c r="J403" s="26">
        <f>IFERROR(__xludf.DUMMYFUNCTION("VLOOKUP(G403,IMPORTRANGE(""https://docs.google.com/spreadsheets/d/12RxCea4e5ggM7QGn1XE3FbLQa_-QbCNdBi90OdPjRqg/edit?gid=1692403370#gid=1692403370"", ""'Plan de Compras'!D4:2432""), 8,0)"),40.0)</f>
        <v>40</v>
      </c>
      <c r="K403" s="26" t="str">
        <f t="shared" si="40"/>
        <v>SI</v>
      </c>
      <c r="L403" s="26"/>
      <c r="M403" s="32"/>
      <c r="N403" s="32" t="s">
        <v>2926</v>
      </c>
      <c r="O403" s="32"/>
      <c r="P403" s="32" t="s">
        <v>2927</v>
      </c>
      <c r="Q403" s="33" t="s">
        <v>2928</v>
      </c>
      <c r="R403" s="32"/>
      <c r="S403" s="44" t="b">
        <v>0</v>
      </c>
      <c r="T403" s="39"/>
      <c r="U403" s="39"/>
      <c r="V403" s="39"/>
      <c r="W403" s="39"/>
      <c r="X403" s="39"/>
      <c r="Y403" s="110"/>
      <c r="Z403" s="37" t="str">
        <f>IFERROR(__xludf.DUMMYFUNCTION("IFERROR(VLOOKUP(G403,IMPORTRANGE(""https://docs.google.com/spreadsheets/d/12RxCea4e5ggM7QGn1XE3FbLQa_-QbCNdBi90OdPjRqg"", ""'Plan de Compras'!D4:Q""), 12, 0), ""NO ESTÁ EN REQ"")"),"Técnica")</f>
        <v>Técnica</v>
      </c>
      <c r="AA403" s="37" t="str">
        <f>IFERROR(__xludf.DUMMYFUNCTION("IFERROR(VLOOKUP(G403,IMPORTRANGE(""https://docs.google.com/spreadsheets/d/12RxCea4e5ggM7QGn1XE3FbLQa_-QbCNdBi90OdPjRqg"", ""'Plan de Compras'!D4:Q""), 13, 0), """")"),"INTERNACIONAL")</f>
        <v>INTERNACIONAL</v>
      </c>
      <c r="AB403" s="32" t="str">
        <f>IFERROR(__xludf.DUMMYFUNCTION("IFERROR(VLOOKUP(G403,IMPORTRANGE(""https://docs.google.com/spreadsheets/d/12RxCea4e5ggM7QGn1XE3FbLQa_-QbCNdBi90OdPjRqg"", ""'Plan de Compras'!D4:Q""), 14, 0), """")"),"GIANFRANCO")</f>
        <v>GIANFRANCO</v>
      </c>
      <c r="AC403" s="72" t="str">
        <f>IFERROR(__xludf.DUMMYFUNCTION("IFERROR(VLOOKUP(G403,IMPORTRANGE(""https://docs.google.com/spreadsheets/d/12RxCea4e5ggM7QGn1XE3FbLQa_-QbCNdBi90OdPjRqg"", ""'Plan de Compras'!D4:Q""), 4, 0), """")"),"CUCHARAS N° 3 (1 UND)")</f>
        <v>CUCHARAS N° 3 (1 UND)</v>
      </c>
      <c r="AD403" s="37" t="str">
        <f>IFERROR(__xludf.DUMMYFUNCTION("IFERROR(IF(OR(C403=TRUE,C403=""""),VLOOKUP(G403,IMPORTRANGE(""https://docs.google.com/spreadsheets/d/1z9A1Wq-kKrhRNG5RS2a2fKpY1wIhSVz2ZNmP2mOl588/edit?usp=sharing"",""REQ VF!E4:H""),4,0),""NO APLICA""),""GENERAR REQ"")"),"GENERAR REQ")</f>
        <v>GENERAR REQ</v>
      </c>
      <c r="AE403" s="32" t="str">
        <f>IFERROR(__xludf.DUMMYFUNCTION("IFERROR(QUERY(IMPORTRANGE(""https://docs.google.com/spreadsheets/d/1z9A1Wq-kKrhRNG5RS2a2fKpY1wIhSVz2ZNmP2mOl588/edit?usp=sharing"",""REQ VF!E4:Q""),""SELECT Col10, Col11, Col12 WHERE Col1 = '""&amp;G403&amp;""'"",0),""NO APLICA"")"),"NO APLICA")</f>
        <v>NO APLICA</v>
      </c>
      <c r="AF403" s="32"/>
      <c r="AG403" s="32"/>
      <c r="AH403" s="13"/>
      <c r="AI403" s="13"/>
    </row>
    <row r="404">
      <c r="A404" s="43"/>
      <c r="B404" s="43"/>
      <c r="C404" s="26" t="b">
        <v>1</v>
      </c>
      <c r="D404" s="26" t="s">
        <v>95</v>
      </c>
      <c r="E404" s="26" t="s">
        <v>1510</v>
      </c>
      <c r="F404" s="59" t="s">
        <v>2918</v>
      </c>
      <c r="G404" s="39" t="s">
        <v>2929</v>
      </c>
      <c r="H404" s="66" t="s">
        <v>2930</v>
      </c>
      <c r="I404" s="43">
        <v>40.0</v>
      </c>
      <c r="J404" s="26">
        <f>IFERROR(__xludf.DUMMYFUNCTION("VLOOKUP(G404,IMPORTRANGE(""https://docs.google.com/spreadsheets/d/12RxCea4e5ggM7QGn1XE3FbLQa_-QbCNdBi90OdPjRqg/edit?gid=1692403370#gid=1692403370"", ""'Plan de Compras'!D4:2432""), 8,0)"),40.0)</f>
        <v>40</v>
      </c>
      <c r="K404" s="26" t="str">
        <f t="shared" si="40"/>
        <v>SI</v>
      </c>
      <c r="L404" s="29"/>
      <c r="M404" s="61"/>
      <c r="N404" s="32"/>
      <c r="O404" s="32" t="str">
        <f>VLOOKUP($G404,'Hoja 10'!$F$4:$AA1057, 19,0)</f>
        <v>#N/A</v>
      </c>
      <c r="P404" s="32" t="str">
        <f>VLOOKUP($G404,'Hoja 10'!$F$4:$AA1057, 20,0)</f>
        <v>#N/A</v>
      </c>
      <c r="Q404" s="41" t="str">
        <f>VLOOKUP($G404,'Hoja 10'!$F$4:$AA1057, 21,0)</f>
        <v>#N/A</v>
      </c>
      <c r="R404" s="32"/>
      <c r="S404" s="44" t="b">
        <v>0</v>
      </c>
      <c r="T404" s="39"/>
      <c r="U404" s="39"/>
      <c r="V404" s="39"/>
      <c r="W404" s="39"/>
      <c r="X404" s="39"/>
      <c r="Y404" s="110"/>
      <c r="Z404" s="37" t="str">
        <f>IFERROR(__xludf.DUMMYFUNCTION("IFERROR(VLOOKUP(G404,IMPORTRANGE(""https://docs.google.com/spreadsheets/d/12RxCea4e5ggM7QGn1XE3FbLQa_-QbCNdBi90OdPjRqg"", ""'Plan de Compras'!D4:Q""), 12, 0), ""NO ESTÁ EN REQ"")"),"Técnica")</f>
        <v>Técnica</v>
      </c>
      <c r="AA404" s="37" t="str">
        <f>IFERROR(__xludf.DUMMYFUNCTION("IFERROR(VLOOKUP(G404,IMPORTRANGE(""https://docs.google.com/spreadsheets/d/12RxCea4e5ggM7QGn1XE3FbLQa_-QbCNdBi90OdPjRqg"", ""'Plan de Compras'!D4:Q""), 13, 0), """")"),"INTERNACIONAL")</f>
        <v>INTERNACIONAL</v>
      </c>
      <c r="AB404" s="32" t="str">
        <f>IFERROR(__xludf.DUMMYFUNCTION("IFERROR(VLOOKUP(G404,IMPORTRANGE(""https://docs.google.com/spreadsheets/d/12RxCea4e5ggM7QGn1XE3FbLQa_-QbCNdBi90OdPjRqg"", ""'Plan de Compras'!D4:Q""), 14, 0), """")"),"ALEJANDRA")</f>
        <v>ALEJANDRA</v>
      </c>
      <c r="AC404" s="72" t="str">
        <f>IFERROR(__xludf.DUMMYFUNCTION("IFERROR(VLOOKUP(G404,IMPORTRANGE(""https://docs.google.com/spreadsheets/d/12RxCea4e5ggM7QGn1XE3FbLQa_-QbCNdBi90OdPjRqg"", ""'Plan de Compras'!D4:Q""), 4, 0), """")"),"CUCHARAS N° 4 (1 UND)")</f>
        <v>CUCHARAS N° 4 (1 UND)</v>
      </c>
      <c r="AD404" s="37" t="str">
        <f>IFERROR(__xludf.DUMMYFUNCTION("IFERROR(IF(OR(C404=TRUE,C404=""""),VLOOKUP(G404,IMPORTRANGE(""https://docs.google.com/spreadsheets/d/1z9A1Wq-kKrhRNG5RS2a2fKpY1wIhSVz2ZNmP2mOl588/edit?usp=sharing"",""REQ VF!E4:H""),4,0),""NO APLICA""),""GENERAR REQ"")"),"GENERAR REQ")</f>
        <v>GENERAR REQ</v>
      </c>
      <c r="AE404" s="32" t="str">
        <f>IFERROR(__xludf.DUMMYFUNCTION("IFERROR(QUERY(IMPORTRANGE(""https://docs.google.com/spreadsheets/d/1z9A1Wq-kKrhRNG5RS2a2fKpY1wIhSVz2ZNmP2mOl588/edit?usp=sharing"",""REQ VF!E4:Q""),""SELECT Col10, Col11, Col12 WHERE Col1 = '""&amp;G404&amp;""'"",0),""NO APLICA"")"),"NO APLICA")</f>
        <v>NO APLICA</v>
      </c>
      <c r="AF404" s="32"/>
      <c r="AG404" s="32"/>
      <c r="AH404" s="13"/>
      <c r="AI404" s="13"/>
    </row>
    <row r="405">
      <c r="A405" s="117">
        <v>245.0</v>
      </c>
      <c r="B405" s="43" t="b">
        <v>1</v>
      </c>
      <c r="C405" s="26" t="b">
        <v>1</v>
      </c>
      <c r="D405" s="26" t="s">
        <v>35</v>
      </c>
      <c r="E405" s="26" t="s">
        <v>1510</v>
      </c>
      <c r="F405" s="59" t="s">
        <v>2931</v>
      </c>
      <c r="G405" s="37" t="s">
        <v>2931</v>
      </c>
      <c r="H405" s="82" t="s">
        <v>2932</v>
      </c>
      <c r="I405" s="43">
        <f>SUMIFS('Hoja 10'!$O:$O,'Hoja 10'!$F:$F,$G405)</f>
        <v>4</v>
      </c>
      <c r="J405" s="26">
        <f>IFERROR(__xludf.DUMMYFUNCTION("VLOOKUP(G405,IMPORTRANGE(""https://docs.google.com/spreadsheets/d/12RxCea4e5ggM7QGn1XE3FbLQa_-QbCNdBi90OdPjRqg/edit?gid=1692403370#gid=1692403370"", ""'Plan de Compras'!D4:2432""), 8,0)"),4.0)</f>
        <v>4</v>
      </c>
      <c r="K405" s="26" t="str">
        <f t="shared" si="40"/>
        <v>SI</v>
      </c>
      <c r="L405" s="29" t="s">
        <v>77</v>
      </c>
      <c r="M405" s="30" t="s">
        <v>78</v>
      </c>
      <c r="N405" s="32"/>
      <c r="O405" s="32"/>
      <c r="P405" s="32"/>
      <c r="Q405" s="41"/>
      <c r="R405" s="86" t="s">
        <v>2933</v>
      </c>
      <c r="S405" s="44" t="b">
        <v>1</v>
      </c>
      <c r="T405" s="39" t="str">
        <f>IFERROR(__xludf.DUMMYFUNCTION(" IF
( VLOOKUP($G405,IMPORTRANGE(""https://docs.google.com/spreadsheets/d/1Gpl6jkTg7sL4VDNimUm3S9Vi1i95esohXCF3wuKOE8c"", ""'CONSOLIDADO'!G5:AB""), 10, 0) &lt;&gt; 0, 
IFERROR(VLOOKUP($G405,IMPORTRANGE(""https://docs.google.com/spreadsheets/d/1Gpl6jkTg7sL4VDNimU"&amp;"m3S9Vi1i95esohXCF3wuKOE8c"", ""'CONSOLIDADO'!G5:AB""), 17, 0), ""-""),
""""
)"),"IOKO")</f>
        <v>IOKO</v>
      </c>
      <c r="U405" s="39" t="str">
        <f>IFERROR(__xludf.DUMMYFUNCTION(" IF
( VLOOKUP($G405,IMPORTRANGE(""https://docs.google.com/spreadsheets/d/1Gpl6jkTg7sL4VDNimUm3S9Vi1i95esohXCF3wuKOE8c"", ""'CONSOLIDADO'!G5:AB""), 10, 0) &lt;&gt; 0, 
IFERROR(VLOOKUP($G405,IMPORTRANGE(""https://docs.google.com/spreadsheets/d/1Gpl6jkTg7sL4VDNimU"&amp;"m3S9Vi1i95esohXCF3wuKOE8c"", ""'CONSOLIDADO'!G5:AB""), 18, 0), ""-""),
""""
)"),"DMS-056")</f>
        <v>DMS-056</v>
      </c>
      <c r="V405" s="39" t="str">
        <f>IFERROR(__xludf.DUMMYFUNCTION(" IF
( VLOOKUP($G405,IMPORTRANGE(""https://docs.google.com/spreadsheets/d/1Gpl6jkTg7sL4VDNimUm3S9Vi1i95esohXCF3wuKOE8c"", ""'CONSOLIDADO'!G5:AB""), 10, 0) &lt;&gt; 0, 
IFERROR(VLOOKUP($G405,IMPORTRANGE(""https://docs.google.com/spreadsheets/d/1Gpl6jkTg7sL4VDNimU"&amp;"m3S9Vi1i95esohXCF3wuKOE8c"", ""'CONSOLIDADO'!G5:AB""), 17, 0), ""-""),
""""
)"),"IOKO")</f>
        <v>IOKO</v>
      </c>
      <c r="W405" s="39" t="str">
        <f>IFERROR(__xludf.DUMMYFUNCTION(" IF
( VLOOKUP($G405,IMPORTRANGE(""https://docs.google.com/spreadsheets/d/1Gpl6jkTg7sL4VDNimUm3S9Vi1i95esohXCF3wuKOE8c"", ""'CONSOLIDADO'!G5:AB""), 10, 0) &lt;&gt; 0, 
IFERROR(VLOOKUP($G405,IMPORTRANGE(""https://docs.google.com/spreadsheets/d/1Gpl6jkTg7sL4VDNimU"&amp;"m3S9Vi1i95esohXCF3wuKOE8c"", ""'CONSOLIDADO'!G5:AB""), 18, 0), ""-""),
""""
)"),"DMS-056")</f>
        <v>DMS-056</v>
      </c>
      <c r="X405" s="39" t="b">
        <f t="shared" ref="X405:X410" si="43">IF(AND(T405=V405,W405=U405),TRUE,FALSE)</f>
        <v>1</v>
      </c>
      <c r="Y405" s="120" t="str">
        <f>IFERROR(__xludf.DUMMYFUNCTION(" IF
( VLOOKUP($G405,IMPORTRANGE(""https://docs.google.com/spreadsheets/d/1Gpl6jkTg7sL4VDNimUm3S9Vi1i95esohXCF3wuKOE8c"", ""'CONSOLIDADO'!G5:AB""), 10, 0) &lt;&gt; 0, 
IFERROR(VLOOKUP($G405,IMPORTRANGE(""https://docs.google.com/spreadsheets/d/1Gpl6jkTg7sL4VDNimU"&amp;"m3S9Vi1i95esohXCF3wuKOE8c"", ""'CONSOLIDADO'!G5:AB""), 19, 0), ""-""),
""""
)"),"https://www.alibaba.com/product-detail/IOKO-73-Layers-Damascus-Slicing-Kitchen_1601609791377.html?spm=a2700.prosearch.normal_offer.d_title.acbc67afziGlYT&amp;priceId=6d064f67e0424ba1913143dab3731e76")</f>
        <v>https://www.alibaba.com/product-detail/IOKO-73-Layers-Damascus-Slicing-Kitchen_1601609791377.html?spm=a2700.prosearch.normal_offer.d_title.acbc67afziGlYT&amp;priceId=6d064f67e0424ba1913143dab3731e76</v>
      </c>
      <c r="Z405" s="37" t="str">
        <f>IFERROR(__xludf.DUMMYFUNCTION("IFERROR(VLOOKUP(G405,IMPORTRANGE(""https://docs.google.com/spreadsheets/d/12RxCea4e5ggM7QGn1XE3FbLQa_-QbCNdBi90OdPjRqg"", ""'Plan de Compras'!D4:Q""), 12, 0), ""NO ESTÁ EN REQ"")"),"Técnica")</f>
        <v>Técnica</v>
      </c>
      <c r="AA405" s="37" t="str">
        <f>IFERROR(__xludf.DUMMYFUNCTION("IFERROR(VLOOKUP(G405,IMPORTRANGE(""https://docs.google.com/spreadsheets/d/12RxCea4e5ggM7QGn1XE3FbLQa_-QbCNdBi90OdPjRqg"", ""'Plan de Compras'!D4:Q""), 13, 0), """")"),"INTERNACIONAL")</f>
        <v>INTERNACIONAL</v>
      </c>
      <c r="AB405" s="32" t="str">
        <f>IFERROR(__xludf.DUMMYFUNCTION("IFERROR(VLOOKUP(G405,IMPORTRANGE(""https://docs.google.com/spreadsheets/d/12RxCea4e5ggM7QGn1XE3FbLQa_-QbCNdBi90OdPjRqg"", ""'Plan de Compras'!D4:Q""), 14, 0), """")"),"DIEGO ")</f>
        <v>DIEGO </v>
      </c>
      <c r="AC405" s="72" t="str">
        <f>IFERROR(__xludf.DUMMYFUNCTION("IFERROR(VLOOKUP(G405,IMPORTRANGE(""https://docs.google.com/spreadsheets/d/12RxCea4e5ggM7QGn1XE3FbLQa_-QbCNdBi90OdPjRqg"", ""'Plan de Compras'!D4:Q""), 4, 0), """")"),"CUCHILLO CARNICERO")</f>
        <v>CUCHILLO CARNICERO</v>
      </c>
      <c r="AD405" s="37" t="str">
        <f>IFERROR(__xludf.DUMMYFUNCTION("IFERROR(IF(OR(C405=TRUE,C405=""""),VLOOKUP(G405,IMPORTRANGE(""https://docs.google.com/spreadsheets/d/1z9A1Wq-kKrhRNG5RS2a2fKpY1wIhSVz2ZNmP2mOl588/edit?usp=sharing"",""REQ VF!E4:H""),4,0),""NO APLICA""),""GENERAR REQ"")"),"GENERAR REQ")</f>
        <v>GENERAR REQ</v>
      </c>
      <c r="AE405" s="32" t="str">
        <f>IFERROR(__xludf.DUMMYFUNCTION("IFERROR(QUERY(IMPORTRANGE(""https://docs.google.com/spreadsheets/d/1z9A1Wq-kKrhRNG5RS2a2fKpY1wIhSVz2ZNmP2mOl588/edit?usp=sharing"",""REQ VF!E4:Q""),""SELECT Col10, Col11, Col12 WHERE Col1 = '""&amp;G405&amp;""'"",0),""NO APLICA"")"),"NO APLICA")</f>
        <v>NO APLICA</v>
      </c>
      <c r="AF405" s="32"/>
      <c r="AG405" s="32"/>
      <c r="AH405" s="13"/>
      <c r="AI405" s="13"/>
    </row>
    <row r="406">
      <c r="A406" s="117">
        <v>246.0</v>
      </c>
      <c r="B406" s="43" t="b">
        <v>1</v>
      </c>
      <c r="C406" s="26" t="b">
        <v>1</v>
      </c>
      <c r="D406" s="26" t="s">
        <v>35</v>
      </c>
      <c r="E406" s="26" t="s">
        <v>1510</v>
      </c>
      <c r="F406" s="59" t="s">
        <v>2934</v>
      </c>
      <c r="G406" s="37" t="s">
        <v>2934</v>
      </c>
      <c r="H406" s="82" t="s">
        <v>2935</v>
      </c>
      <c r="I406" s="43">
        <f>SUMIFS('Hoja 10'!$O:$O,'Hoja 10'!$F:$F,$G406)</f>
        <v>4</v>
      </c>
      <c r="J406" s="26">
        <f>IFERROR(__xludf.DUMMYFUNCTION("VLOOKUP(G406,IMPORTRANGE(""https://docs.google.com/spreadsheets/d/12RxCea4e5ggM7QGn1XE3FbLQa_-QbCNdBi90OdPjRqg/edit?gid=1692403370#gid=1692403370"", ""'Plan de Compras'!D4:2432""), 8,0)"),4.0)</f>
        <v>4</v>
      </c>
      <c r="K406" s="26" t="str">
        <f t="shared" si="40"/>
        <v>SI</v>
      </c>
      <c r="L406" s="29" t="s">
        <v>77</v>
      </c>
      <c r="M406" s="30" t="s">
        <v>78</v>
      </c>
      <c r="N406" s="32"/>
      <c r="O406" s="32" t="str">
        <f>VLOOKUP($G406,'Hoja 10'!$F$4:$AA1057, 19,0)</f>
        <v>GENERICO</v>
      </c>
      <c r="P406" s="32" t="str">
        <f>VLOOKUP($G406,'Hoja 10'!$F$4:$AA1057, 20,0)</f>
        <v>GENERICO</v>
      </c>
      <c r="Q406" s="33" t="str">
        <f>VLOOKUP($G406,'Hoja 10'!$F$4:$AA1057, 21,0)</f>
        <v>https://templodelfilo.com/products/b30-kg-hacha-para-huesos-17cm-10cr-damasco-sicomoro?srsltid=AfmBOorXqu50IoGTCZ7F5Ztk2UkGa5qCVebBZPXIdzKRayeHD8-gXMCa</v>
      </c>
      <c r="R406" s="86" t="s">
        <v>2936</v>
      </c>
      <c r="S406" s="34" t="b">
        <v>1</v>
      </c>
      <c r="T406" s="39" t="str">
        <f>IFERROR(__xludf.DUMMYFUNCTION(" IF
( VLOOKUP($G406,IMPORTRANGE(""https://docs.google.com/spreadsheets/d/1Gpl6jkTg7sL4VDNimUm3S9Vi1i95esohXCF3wuKOE8c"", ""'CONSOLIDADO'!G5:AB""), 10, 0) &lt;&gt; 0, 
IFERROR(VLOOKUP($G406,IMPORTRANGE(""https://docs.google.com/spreadsheets/d/1Gpl6jkTg7sL4VDNimU"&amp;"m3S9Vi1i95esohXCF3wuKOE8c"", ""'CONSOLIDADO'!G5:AB""), 17, 0), ""-""),
""""
)"),"Edge Master Manufacture")</f>
        <v>Edge Master Manufacture</v>
      </c>
      <c r="U406" s="39" t="str">
        <f>IFERROR(__xludf.DUMMYFUNCTION(" IF
( VLOOKUP($G406,IMPORTRANGE(""https://docs.google.com/spreadsheets/d/1Gpl6jkTg7sL4VDNimUm3S9Vi1i95esohXCF3wuKOE8c"", ""'CONSOLIDADO'!G5:AB""), 10, 0) &lt;&gt; 0, 
IFERROR(VLOOKUP($G406,IMPORTRANGE(""https://docs.google.com/spreadsheets/d/1Gpl6jkTg7sL4VDNimU"&amp;"m3S9Vi1i95esohXCF3wuKOE8c"", ""'CONSOLIDADO'!G5:AB""), 18, 0), ""-""),
""""
)"),"CK-45609")</f>
        <v>CK-45609</v>
      </c>
      <c r="V406" s="39" t="str">
        <f>IFERROR(__xludf.DUMMYFUNCTION(" IF
( VLOOKUP($G406,IMPORTRANGE(""https://docs.google.com/spreadsheets/d/1Gpl6jkTg7sL4VDNimUm3S9Vi1i95esohXCF3wuKOE8c"", ""'CONSOLIDADO'!G5:AB""), 10, 0) &lt;&gt; 0, 
IFERROR(VLOOKUP($G406,IMPORTRANGE(""https://docs.google.com/spreadsheets/d/1Gpl6jkTg7sL4VDNimU"&amp;"m3S9Vi1i95esohXCF3wuKOE8c"", ""'CONSOLIDADO'!G5:AB""), 17, 0), ""-""),
""""
)"),"Edge Master Manufacture")</f>
        <v>Edge Master Manufacture</v>
      </c>
      <c r="W406" s="39" t="str">
        <f>IFERROR(__xludf.DUMMYFUNCTION(" IF
( VLOOKUP($G406,IMPORTRANGE(""https://docs.google.com/spreadsheets/d/1Gpl6jkTg7sL4VDNimUm3S9Vi1i95esohXCF3wuKOE8c"", ""'CONSOLIDADO'!G5:AB""), 10, 0) &lt;&gt; 0, 
IFERROR(VLOOKUP($G406,IMPORTRANGE(""https://docs.google.com/spreadsheets/d/1Gpl6jkTg7sL4VDNimU"&amp;"m3S9Vi1i95esohXCF3wuKOE8c"", ""'CONSOLIDADO'!G5:AB""), 18, 0), ""-""),
""""
)"),"CK-45609")</f>
        <v>CK-45609</v>
      </c>
      <c r="X406" s="39" t="b">
        <f t="shared" si="43"/>
        <v>1</v>
      </c>
      <c r="Y406" s="120" t="str">
        <f>IFERROR(__xludf.DUMMYFUNCTION(" IF
( VLOOKUP($G406,IMPORTRANGE(""https://docs.google.com/spreadsheets/d/1Gpl6jkTg7sL4VDNimUm3S9Vi1i95esohXCF3wuKOE8c"", ""'CONSOLIDADO'!G5:AB""), 10, 0) &lt;&gt; 0, 
IFERROR(VLOOKUP($G406,IMPORTRANGE(""https://docs.google.com/spreadsheets/d/1Gpl6jkTg7sL4VDNimU"&amp;"m3S9Vi1i95esohXCF3wuKOE8c"", ""'CONSOLIDADO'!G5:AB""), 19, 0), ""-""),
""""
)"),"https://www.alibaba.com/product-detail/Handmade-Damascus-Steel-Cleaver-Knife-with_10000023372871.html?spm=a2700.image-text-search.normal_offer.d_title.abf667aftMLZC1&amp;priceId=23ce2af97c2c41ef983f5c0152e9e4c1")</f>
        <v>https://www.alibaba.com/product-detail/Handmade-Damascus-Steel-Cleaver-Knife-with_10000023372871.html?spm=a2700.image-text-search.normal_offer.d_title.abf667aftMLZC1&amp;priceId=23ce2af97c2c41ef983f5c0152e9e4c1</v>
      </c>
      <c r="Z406" s="37" t="str">
        <f>IFERROR(__xludf.DUMMYFUNCTION("IFERROR(VLOOKUP(G406,IMPORTRANGE(""https://docs.google.com/spreadsheets/d/12RxCea4e5ggM7QGn1XE3FbLQa_-QbCNdBi90OdPjRqg"", ""'Plan de Compras'!D4:Q""), 12, 0), ""NO ESTÁ EN REQ"")"),"Técnica")</f>
        <v>Técnica</v>
      </c>
      <c r="AA406" s="37" t="str">
        <f>IFERROR(__xludf.DUMMYFUNCTION("IFERROR(VLOOKUP(G406,IMPORTRANGE(""https://docs.google.com/spreadsheets/d/12RxCea4e5ggM7QGn1XE3FbLQa_-QbCNdBi90OdPjRqg"", ""'Plan de Compras'!D4:Q""), 13, 0), """")"),"INTERNACIONAL")</f>
        <v>INTERNACIONAL</v>
      </c>
      <c r="AB406" s="32" t="str">
        <f>IFERROR(__xludf.DUMMYFUNCTION("IFERROR(VLOOKUP(G406,IMPORTRANGE(""https://docs.google.com/spreadsheets/d/12RxCea4e5ggM7QGn1XE3FbLQa_-QbCNdBi90OdPjRqg"", ""'Plan de Compras'!D4:Q""), 14, 0), """")"),"ALEJANDRA")</f>
        <v>ALEJANDRA</v>
      </c>
      <c r="AC406" s="72" t="str">
        <f>IFERROR(__xludf.DUMMYFUNCTION("IFERROR(VLOOKUP(G406,IMPORTRANGE(""https://docs.google.com/spreadsheets/d/12RxCea4e5ggM7QGn1XE3FbLQa_-QbCNdBi90OdPjRqg"", ""'Plan de Compras'!D4:Q""), 4, 0), """")"),"CUCHILLO CORTE DE HUESOS Y VERDURAS")</f>
        <v>CUCHILLO CORTE DE HUESOS Y VERDURAS</v>
      </c>
      <c r="AD406" s="37" t="str">
        <f>IFERROR(__xludf.DUMMYFUNCTION("IFERROR(IF(OR(C406=TRUE,C406=""""),VLOOKUP(G406,IMPORTRANGE(""https://docs.google.com/spreadsheets/d/1z9A1Wq-kKrhRNG5RS2a2fKpY1wIhSVz2ZNmP2mOl588/edit?usp=sharing"",""REQ VF!E4:H""),4,0),""NO APLICA""),""GENERAR REQ"")"),"GENERAR REQ")</f>
        <v>GENERAR REQ</v>
      </c>
      <c r="AE406" s="32" t="str">
        <f>IFERROR(__xludf.DUMMYFUNCTION("IFERROR(QUERY(IMPORTRANGE(""https://docs.google.com/spreadsheets/d/1z9A1Wq-kKrhRNG5RS2a2fKpY1wIhSVz2ZNmP2mOl588/edit?usp=sharing"",""REQ VF!E4:Q""),""SELECT Col10, Col11, Col12 WHERE Col1 = '""&amp;G406&amp;""'"",0),""NO APLICA"")"),"NO APLICA")</f>
        <v>NO APLICA</v>
      </c>
      <c r="AF406" s="32"/>
      <c r="AG406" s="32"/>
      <c r="AH406" s="13"/>
      <c r="AI406" s="13"/>
    </row>
    <row r="407">
      <c r="A407" s="121">
        <v>247.0</v>
      </c>
      <c r="B407" s="43" t="b">
        <v>1</v>
      </c>
      <c r="C407" s="26" t="b">
        <v>1</v>
      </c>
      <c r="D407" s="26" t="s">
        <v>35</v>
      </c>
      <c r="E407" s="26" t="s">
        <v>1510</v>
      </c>
      <c r="F407" s="59" t="s">
        <v>2937</v>
      </c>
      <c r="G407" s="37" t="s">
        <v>2937</v>
      </c>
      <c r="H407" s="82" t="s">
        <v>2938</v>
      </c>
      <c r="I407" s="43">
        <f>SUMIFS('Hoja 10'!$O:$O,'Hoja 10'!$F:$F,$G407)</f>
        <v>16</v>
      </c>
      <c r="J407" s="26">
        <f>IFERROR(__xludf.DUMMYFUNCTION("VLOOKUP(G407,IMPORTRANGE(""https://docs.google.com/spreadsheets/d/12RxCea4e5ggM7QGn1XE3FbLQa_-QbCNdBi90OdPjRqg/edit?gid=1692403370#gid=1692403370"", ""'Plan de Compras'!D4:2432""), 8,0)"),16.0)</f>
        <v>16</v>
      </c>
      <c r="K407" s="26" t="str">
        <f t="shared" si="40"/>
        <v>SI</v>
      </c>
      <c r="L407" s="29" t="s">
        <v>39</v>
      </c>
      <c r="M407" s="30" t="s">
        <v>40</v>
      </c>
      <c r="N407" s="32"/>
      <c r="O407" s="32" t="str">
        <f>VLOOKUP($G407,'Hoja 10'!$F$4:$AA1057, 19,0)</f>
        <v>Orange</v>
      </c>
      <c r="P407" s="32" t="str">
        <f>VLOOKUP($G407,'Hoja 10'!$F$4:$AA1057, 20,0)</f>
        <v>Para Pam 33cm x 2.5mm</v>
      </c>
      <c r="Q407" s="33" t="str">
        <f>VLOOKUP($G407,'Hoja 10'!$F$4:$AA1057, 21,0)</f>
        <v>https://www.promart.pe/cuchillo-para-cortar-pan-34-cm/p</v>
      </c>
      <c r="R407" s="86" t="s">
        <v>2939</v>
      </c>
      <c r="S407" s="34" t="b">
        <v>1</v>
      </c>
      <c r="T407" s="39" t="str">
        <f>IFERROR(__xludf.DUMMYFUNCTION(" IF
( VLOOKUP($G407,IMPORTRANGE(""https://docs.google.com/spreadsheets/d/1Gpl6jkTg7sL4VDNimUm3S9Vi1i95esohXCF3wuKOE8c"", ""'CONSOLIDADO'!G5:AB""), 10, 0) &lt;&gt; 0, 
IFERROR(VLOOKUP($G407,IMPORTRANGE(""https://docs.google.com/spreadsheets/d/1Gpl6jkTg7sL4VDNimU"&amp;"m3S9Vi1i95esohXCF3wuKOE8c"", ""'CONSOLIDADO'!G5:AB""), 17, 0), ""-""),
""""
)"),"Tramontina")</f>
        <v>Tramontina</v>
      </c>
      <c r="U407" s="39">
        <f>IFERROR(__xludf.DUMMYFUNCTION(" IF
( VLOOKUP($G407,IMPORTRANGE(""https://docs.google.com/spreadsheets/d/1Gpl6jkTg7sL4VDNimUm3S9Vi1i95esohXCF3wuKOE8c"", ""'CONSOLIDADO'!G5:AB""), 10, 0) &lt;&gt; 0, 
IFERROR(VLOOKUP($G407,IMPORTRANGE(""https://docs.google.com/spreadsheets/d/1Gpl6jkTg7sL4VDNimU"&amp;"m3S9Vi1i95esohXCF3wuKOE8c"", ""'CONSOLIDADO'!G5:AB""), 18, 0), ""-""),
""""
)"),2.401111E7)</f>
        <v>24011110</v>
      </c>
      <c r="V407" s="39" t="str">
        <f>IFERROR(__xludf.DUMMYFUNCTION(" IF
( VLOOKUP($G407,IMPORTRANGE(""https://docs.google.com/spreadsheets/d/1Gpl6jkTg7sL4VDNimUm3S9Vi1i95esohXCF3wuKOE8c"", ""'CONSOLIDADO'!G5:AB""), 10, 0) &lt;&gt; 0, 
IFERROR(VLOOKUP($G407,IMPORTRANGE(""https://docs.google.com/spreadsheets/d/1Gpl6jkTg7sL4VDNimU"&amp;"m3S9Vi1i95esohXCF3wuKOE8c"", ""'CONSOLIDADO'!G5:AB""), 17, 0), ""-""),
""""
)"),"Tramontina")</f>
        <v>Tramontina</v>
      </c>
      <c r="W407" s="39">
        <f>IFERROR(__xludf.DUMMYFUNCTION(" IF
( VLOOKUP($G407,IMPORTRANGE(""https://docs.google.com/spreadsheets/d/1Gpl6jkTg7sL4VDNimUm3S9Vi1i95esohXCF3wuKOE8c"", ""'CONSOLIDADO'!G5:AB""), 10, 0) &lt;&gt; 0, 
IFERROR(VLOOKUP($G407,IMPORTRANGE(""https://docs.google.com/spreadsheets/d/1Gpl6jkTg7sL4VDNimU"&amp;"m3S9Vi1i95esohXCF3wuKOE8c"", ""'CONSOLIDADO'!G5:AB""), 18, 0), ""-""),
""""
)"),2.401111E7)</f>
        <v>24011110</v>
      </c>
      <c r="X407" s="39" t="b">
        <f t="shared" si="43"/>
        <v>1</v>
      </c>
      <c r="Y407" s="120" t="str">
        <f>IFERROR(__xludf.DUMMYFUNCTION(" IF
( VLOOKUP($G407,IMPORTRANGE(""https://docs.google.com/spreadsheets/d/1Gpl6jkTg7sL4VDNimUm3S9Vi1i95esohXCF3wuKOE8c"", ""'CONSOLIDADO'!G5:AB""), 10, 0) &lt;&gt; 0, 
IFERROR(VLOOKUP($G407,IMPORTRANGE(""https://docs.google.com/spreadsheets/d/1Gpl6jkTg7sL4VDNimU"&amp;"m3S9Vi1i95esohXCF3wuKOE8c"", ""'CONSOLIDADO'!G5:AB""), 19, 0), ""-""),
""""
)"),"https://www.tramontina.com.pe/cuchillo-chef-tramontina-century-con-lamina-de-acero-inoxidable-y-mango-de-policarbonato-y-fibra-de-vidrio-10--_24011110/p?srsltid=AfmBOor5-onPi_dMlSRUtUOs0dYaQAcLmDyKPA0o1IxlVA0RhSucdDTb")</f>
        <v>https://www.tramontina.com.pe/cuchillo-chef-tramontina-century-con-lamina-de-acero-inoxidable-y-mango-de-policarbonato-y-fibra-de-vidrio-10--_24011110/p?srsltid=AfmBOor5-onPi_dMlSRUtUOs0dYaQAcLmDyKPA0o1IxlVA0RhSucdDTb</v>
      </c>
      <c r="Z407" s="37" t="str">
        <f>IFERROR(__xludf.DUMMYFUNCTION("IFERROR(VLOOKUP(G407,IMPORTRANGE(""https://docs.google.com/spreadsheets/d/12RxCea4e5ggM7QGn1XE3FbLQa_-QbCNdBi90OdPjRqg"", ""'Plan de Compras'!D4:Q""), 12, 0), ""NO ESTÁ EN REQ"")"),"Técnica")</f>
        <v>Técnica</v>
      </c>
      <c r="AA407" s="37" t="str">
        <f>IFERROR(__xludf.DUMMYFUNCTION("IFERROR(VLOOKUP(G407,IMPORTRANGE(""https://docs.google.com/spreadsheets/d/12RxCea4e5ggM7QGn1XE3FbLQa_-QbCNdBi90OdPjRqg"", ""'Plan de Compras'!D4:Q""), 13, 0), """")"),"NACIONAL")</f>
        <v>NACIONAL</v>
      </c>
      <c r="AB407" s="32" t="str">
        <f>IFERROR(__xludf.DUMMYFUNCTION("IFERROR(VLOOKUP(G407,IMPORTRANGE(""https://docs.google.com/spreadsheets/d/12RxCea4e5ggM7QGn1XE3FbLQa_-QbCNdBi90OdPjRqg"", ""'Plan de Compras'!D4:Q""), 14, 0), """")"),"OMAR")</f>
        <v>OMAR</v>
      </c>
      <c r="AC407" s="72" t="str">
        <f>IFERROR(__xludf.DUMMYFUNCTION("IFERROR(VLOOKUP(G407,IMPORTRANGE(""https://docs.google.com/spreadsheets/d/12RxCea4e5ggM7QGn1XE3FbLQa_-QbCNdBi90OdPjRqg"", ""'Plan de Compras'!D4:Q""), 4, 0), """")"),"CUCHILLO DE ACERO INOXIDABLE")</f>
        <v>CUCHILLO DE ACERO INOXIDABLE</v>
      </c>
      <c r="AD407" s="37" t="str">
        <f>IFERROR(__xludf.DUMMYFUNCTION("IFERROR(IF(OR(C407=TRUE,C407=""""),VLOOKUP(G407,IMPORTRANGE(""https://docs.google.com/spreadsheets/d/1z9A1Wq-kKrhRNG5RS2a2fKpY1wIhSVz2ZNmP2mOl588/edit?usp=sharing"",""REQ VF!E4:H""),4,0),""NO APLICA""),""GENERAR REQ"")"),"GENERAR REQ")</f>
        <v>GENERAR REQ</v>
      </c>
      <c r="AE407" s="32" t="str">
        <f>IFERROR(__xludf.DUMMYFUNCTION("IFERROR(QUERY(IMPORTRANGE(""https://docs.google.com/spreadsheets/d/1z9A1Wq-kKrhRNG5RS2a2fKpY1wIhSVz2ZNmP2mOl588/edit?usp=sharing"",""REQ VF!E4:Q""),""SELECT Col10, Col11, Col12 WHERE Col1 = '""&amp;G407&amp;""'"",0),""NO APLICA"")"),"NO APLICA")</f>
        <v>NO APLICA</v>
      </c>
      <c r="AF407" s="32"/>
      <c r="AG407" s="32"/>
      <c r="AH407" s="13"/>
      <c r="AI407" s="13"/>
    </row>
    <row r="408">
      <c r="A408" s="121">
        <v>248.0</v>
      </c>
      <c r="B408" s="43" t="b">
        <v>1</v>
      </c>
      <c r="C408" s="26" t="b">
        <v>1</v>
      </c>
      <c r="D408" s="26" t="s">
        <v>35</v>
      </c>
      <c r="E408" s="26" t="s">
        <v>1510</v>
      </c>
      <c r="F408" s="59" t="s">
        <v>2940</v>
      </c>
      <c r="G408" s="39" t="s">
        <v>2941</v>
      </c>
      <c r="H408" s="82" t="s">
        <v>2942</v>
      </c>
      <c r="I408" s="43">
        <f>SUMIFS('Hoja 10'!$O:$O,'Hoja 10'!$F:$F,$G408)</f>
        <v>8</v>
      </c>
      <c r="J408" s="26">
        <f>IFERROR(__xludf.DUMMYFUNCTION("VLOOKUP(G408,IMPORTRANGE(""https://docs.google.com/spreadsheets/d/12RxCea4e5ggM7QGn1XE3FbLQa_-QbCNdBi90OdPjRqg/edit?gid=1692403370#gid=1692403370"", ""'Plan de Compras'!D4:2432""), 8,0)"),8.0)</f>
        <v>8</v>
      </c>
      <c r="K408" s="26" t="str">
        <f t="shared" si="40"/>
        <v>SI</v>
      </c>
      <c r="L408" s="29" t="s">
        <v>296</v>
      </c>
      <c r="M408" s="30" t="s">
        <v>297</v>
      </c>
      <c r="N408" s="32"/>
      <c r="O408" s="32" t="str">
        <f>VLOOKUP($G408,'Hoja 10'!$F$4:$AA1057, 19,0)</f>
        <v>Medid</v>
      </c>
      <c r="P408" s="32" t="str">
        <f>VLOOKUP($G408,'Hoja 10'!$F$4:$AA1057, 20,0)</f>
        <v>Cutter MEDID recarga automática 18 mm 5 cuchillas</v>
      </c>
      <c r="Q408" s="33" t="str">
        <f>VLOOKUP($G408,'Hoja 10'!$F$4:$AA1057, 21,0)</f>
        <v>https://medid.datoproducto.com/producto/1080622/1015362/cutter-medid-recarga-automatica-18-mm-5-cuchillas</v>
      </c>
      <c r="R408" s="30" t="s">
        <v>2943</v>
      </c>
      <c r="S408" s="34" t="b">
        <v>1</v>
      </c>
      <c r="T408" s="39" t="str">
        <f>IFERROR(__xludf.DUMMYFUNCTION(" IF
( VLOOKUP($G408,IMPORTRANGE(""https://docs.google.com/spreadsheets/d/1Gpl6jkTg7sL4VDNimUm3S9Vi1i95esohXCF3wuKOE8c"", ""'CONSOLIDADO'!G5:AB""), 10, 0) &lt;&gt; 0, 
IFERROR(VLOOKUP($G408,IMPORTRANGE(""https://docs.google.com/spreadsheets/d/1Gpl6jkTg7sL4VDNimU"&amp;"m3S9Vi1i95esohXCF3wuKOE8c"", ""'CONSOLIDADO'!G5:AB""), 17, 0), ""-""),
""""
)"),"Medid")</f>
        <v>Medid</v>
      </c>
      <c r="U408" s="39" t="str">
        <f>IFERROR(__xludf.DUMMYFUNCTION(" IF
( VLOOKUP($G408,IMPORTRANGE(""https://docs.google.com/spreadsheets/d/1Gpl6jkTg7sL4VDNimUm3S9Vi1i95esohXCF3wuKOE8c"", ""'CONSOLIDADO'!G5:AB""), 10, 0) &lt;&gt; 0, 
IFERROR(VLOOKUP($G408,IMPORTRANGE(""https://docs.google.com/spreadsheets/d/1Gpl6jkTg7sL4VDNimU"&amp;"m3S9Vi1i95esohXCF3wuKOE8c"", ""'CONSOLIDADO'!G5:AB""), 18, 0), ""-""),
""""
)"),"Cutter MEDID recarga automática 18 mm 5 cuchillas")</f>
        <v>Cutter MEDID recarga automática 18 mm 5 cuchillas</v>
      </c>
      <c r="V408" s="39" t="str">
        <f>IFERROR(__xludf.DUMMYFUNCTION(" IF
( VLOOKUP($G408,IMPORTRANGE(""https://docs.google.com/spreadsheets/d/1Gpl6jkTg7sL4VDNimUm3S9Vi1i95esohXCF3wuKOE8c"", ""'CONSOLIDADO'!G5:AB""), 10, 0) &lt;&gt; 0, 
IFERROR(VLOOKUP($G408,IMPORTRANGE(""https://docs.google.com/spreadsheets/d/1Gpl6jkTg7sL4VDNimU"&amp;"m3S9Vi1i95esohXCF3wuKOE8c"", ""'CONSOLIDADO'!G5:AB""), 17, 0), ""-""),
""""
)"),"Medid")</f>
        <v>Medid</v>
      </c>
      <c r="W408" s="39" t="str">
        <f>IFERROR(__xludf.DUMMYFUNCTION(" IF
( VLOOKUP($G408,IMPORTRANGE(""https://docs.google.com/spreadsheets/d/1Gpl6jkTg7sL4VDNimUm3S9Vi1i95esohXCF3wuKOE8c"", ""'CONSOLIDADO'!G5:AB""), 10, 0) &lt;&gt; 0, 
IFERROR(VLOOKUP($G408,IMPORTRANGE(""https://docs.google.com/spreadsheets/d/1Gpl6jkTg7sL4VDNimU"&amp;"m3S9Vi1i95esohXCF3wuKOE8c"", ""'CONSOLIDADO'!G5:AB""), 18, 0), ""-""),
""""
)"),"Cutter MEDID recarga automática 18 mm 5 cuchillas")</f>
        <v>Cutter MEDID recarga automática 18 mm 5 cuchillas</v>
      </c>
      <c r="X408" s="39" t="b">
        <f t="shared" si="43"/>
        <v>1</v>
      </c>
      <c r="Y408" s="120" t="str">
        <f>IFERROR(__xludf.DUMMYFUNCTION(" IF
( VLOOKUP($G408,IMPORTRANGE(""https://docs.google.com/spreadsheets/d/1Gpl6jkTg7sL4VDNimUm3S9Vi1i95esohXCF3wuKOE8c"", ""'CONSOLIDADO'!G5:AB""), 10, 0) &lt;&gt; 0, 
IFERROR(VLOOKUP($G408,IMPORTRANGE(""https://docs.google.com/spreadsheets/d/1Gpl6jkTg7sL4VDNimU"&amp;"m3S9Vi1i95esohXCF3wuKOE8c"", ""'CONSOLIDADO'!G5:AB""), 19, 0), ""-""),
""""
)"),"https://medid.datoproducto.com/producto/1080622/1015362/cutter-medid-recarga-automatica-18-mm-5-cuchillas")</f>
        <v>https://medid.datoproducto.com/producto/1080622/1015362/cutter-medid-recarga-automatica-18-mm-5-cuchillas</v>
      </c>
      <c r="Z408" s="37" t="str">
        <f>IFERROR(__xludf.DUMMYFUNCTION("IFERROR(VLOOKUP(G408,IMPORTRANGE(""https://docs.google.com/spreadsheets/d/12RxCea4e5ggM7QGn1XE3FbLQa_-QbCNdBi90OdPjRqg"", ""'Plan de Compras'!D4:Q""), 12, 0), ""NO ESTÁ EN REQ"")"),"Técnica")</f>
        <v>Técnica</v>
      </c>
      <c r="AA408" s="37" t="str">
        <f>IFERROR(__xludf.DUMMYFUNCTION("IFERROR(VLOOKUP(G408,IMPORTRANGE(""https://docs.google.com/spreadsheets/d/12RxCea4e5ggM7QGn1XE3FbLQa_-QbCNdBi90OdPjRqg"", ""'Plan de Compras'!D4:Q""), 13, 0), """")"),"INTERNACIONAL")</f>
        <v>INTERNACIONAL</v>
      </c>
      <c r="AB408" s="32" t="str">
        <f>IFERROR(__xludf.DUMMYFUNCTION("IFERROR(VLOOKUP(G408,IMPORTRANGE(""https://docs.google.com/spreadsheets/d/12RxCea4e5ggM7QGn1XE3FbLQa_-QbCNdBi90OdPjRqg"", ""'Plan de Compras'!D4:Q""), 14, 0), """")"),"ALEJANDRA")</f>
        <v>ALEJANDRA</v>
      </c>
      <c r="AC408" s="72" t="str">
        <f>IFERROR(__xludf.DUMMYFUNCTION("IFERROR(VLOOKUP(G408,IMPORTRANGE(""https://docs.google.com/spreadsheets/d/12RxCea4e5ggM7QGn1XE3FbLQa_-QbCNdBi90OdPjRqg"", ""'Plan de Compras'!D4:Q""), 4, 0), """")"),"CÚTER")</f>
        <v>CÚTER</v>
      </c>
      <c r="AD408" s="37" t="str">
        <f>IFERROR(__xludf.DUMMYFUNCTION("IFERROR(IF(OR(C408=TRUE,C408=""""),VLOOKUP(G408,IMPORTRANGE(""https://docs.google.com/spreadsheets/d/1z9A1Wq-kKrhRNG5RS2a2fKpY1wIhSVz2ZNmP2mOl588/edit?usp=sharing"",""REQ VF!E4:H""),4,0),""NO APLICA""),""GENERAR REQ"")"),"GENERAR REQ")</f>
        <v>GENERAR REQ</v>
      </c>
      <c r="AE408" s="32" t="str">
        <f>IFERROR(__xludf.DUMMYFUNCTION("IFERROR(QUERY(IMPORTRANGE(""https://docs.google.com/spreadsheets/d/1z9A1Wq-kKrhRNG5RS2a2fKpY1wIhSVz2ZNmP2mOl588/edit?usp=sharing"",""REQ VF!E4:Q""),""SELECT Col10, Col11, Col12 WHERE Col1 = '""&amp;G408&amp;""'"",0),""NO APLICA"")"),"NO APLICA")</f>
        <v>NO APLICA</v>
      </c>
      <c r="AF408" s="32"/>
      <c r="AG408" s="32"/>
      <c r="AH408" s="13"/>
      <c r="AI408" s="13"/>
    </row>
    <row r="409">
      <c r="A409" s="121">
        <v>249.0</v>
      </c>
      <c r="B409" s="43" t="b">
        <v>1</v>
      </c>
      <c r="C409" s="26" t="b">
        <v>1</v>
      </c>
      <c r="D409" s="26" t="s">
        <v>35</v>
      </c>
      <c r="E409" s="26" t="s">
        <v>1510</v>
      </c>
      <c r="F409" s="59" t="s">
        <v>2940</v>
      </c>
      <c r="G409" s="39" t="s">
        <v>2944</v>
      </c>
      <c r="H409" s="82" t="s">
        <v>2942</v>
      </c>
      <c r="I409" s="43">
        <f>SUMIFS('Hoja 10'!$O:$O,'Hoja 10'!$F:$F,$G409)</f>
        <v>16</v>
      </c>
      <c r="J409" s="26">
        <f>IFERROR(__xludf.DUMMYFUNCTION("VLOOKUP(G409,IMPORTRANGE(""https://docs.google.com/spreadsheets/d/12RxCea4e5ggM7QGn1XE3FbLQa_-QbCNdBi90OdPjRqg/edit?gid=1692403370#gid=1692403370"", ""'Plan de Compras'!D4:2432""), 8,0)"),16.0)</f>
        <v>16</v>
      </c>
      <c r="K409" s="26" t="str">
        <f t="shared" si="40"/>
        <v>SI</v>
      </c>
      <c r="L409" s="29" t="s">
        <v>2945</v>
      </c>
      <c r="M409" s="30" t="s">
        <v>123</v>
      </c>
      <c r="N409" s="32"/>
      <c r="O409" s="32" t="str">
        <f>VLOOKUP($G409,'Hoja 10'!$F$4:$AA1057, 19,0)</f>
        <v>Medid</v>
      </c>
      <c r="P409" s="32" t="str">
        <f>VLOOKUP($G409,'Hoja 10'!$F$4:$AA1057, 20,0)</f>
        <v>Cutter MEDID recarga automática 18 mm 5 cuchillas</v>
      </c>
      <c r="Q409" s="33" t="str">
        <f>VLOOKUP($G409,'Hoja 10'!$F$4:$AA1057, 21,0)</f>
        <v>https://medid.datoproducto.com/producto/1080622/1015362/cutter-medid-recarga-automatica-18-mm-5-cuchillas</v>
      </c>
      <c r="R409" s="30" t="s">
        <v>2946</v>
      </c>
      <c r="S409" s="34" t="b">
        <v>1</v>
      </c>
      <c r="T409" s="39" t="str">
        <f>IFERROR(__xludf.DUMMYFUNCTION(" IF
( VLOOKUP($G409,IMPORTRANGE(""https://docs.google.com/spreadsheets/d/1Gpl6jkTg7sL4VDNimUm3S9Vi1i95esohXCF3wuKOE8c"", ""'CONSOLIDADO'!G5:AB""), 10, 0) &lt;&gt; 0, 
IFERROR(VLOOKUP($G409,IMPORTRANGE(""https://docs.google.com/spreadsheets/d/1Gpl6jkTg7sL4VDNimU"&amp;"m3S9Vi1i95esohXCF3wuKOE8c"", ""'CONSOLIDADO'!G5:AB""), 17, 0), ""-""),
""""
)"),"Medid")</f>
        <v>Medid</v>
      </c>
      <c r="U409" s="39" t="str">
        <f>IFERROR(__xludf.DUMMYFUNCTION(" IF
( VLOOKUP($G409,IMPORTRANGE(""https://docs.google.com/spreadsheets/d/1Gpl6jkTg7sL4VDNimUm3S9Vi1i95esohXCF3wuKOE8c"", ""'CONSOLIDADO'!G5:AB""), 10, 0) &lt;&gt; 0, 
IFERROR(VLOOKUP($G409,IMPORTRANGE(""https://docs.google.com/spreadsheets/d/1Gpl6jkTg7sL4VDNimU"&amp;"m3S9Vi1i95esohXCF3wuKOE8c"", ""'CONSOLIDADO'!G5:AB""), 18, 0), ""-""),
""""
)"),"Cutter MEDID recarga automática 18 mm 5 cuchillas")</f>
        <v>Cutter MEDID recarga automática 18 mm 5 cuchillas</v>
      </c>
      <c r="V409" s="39" t="str">
        <f>IFERROR(__xludf.DUMMYFUNCTION(" IF
( VLOOKUP($G409,IMPORTRANGE(""https://docs.google.com/spreadsheets/d/1Gpl6jkTg7sL4VDNimUm3S9Vi1i95esohXCF3wuKOE8c"", ""'CONSOLIDADO'!G5:AB""), 10, 0) &lt;&gt; 0, 
IFERROR(VLOOKUP($G409,IMPORTRANGE(""https://docs.google.com/spreadsheets/d/1Gpl6jkTg7sL4VDNimU"&amp;"m3S9Vi1i95esohXCF3wuKOE8c"", ""'CONSOLIDADO'!G5:AB""), 17, 0), ""-""),
""""
)"),"Medid")</f>
        <v>Medid</v>
      </c>
      <c r="W409" s="39" t="str">
        <f>IFERROR(__xludf.DUMMYFUNCTION(" IF
( VLOOKUP($G409,IMPORTRANGE(""https://docs.google.com/spreadsheets/d/1Gpl6jkTg7sL4VDNimUm3S9Vi1i95esohXCF3wuKOE8c"", ""'CONSOLIDADO'!G5:AB""), 10, 0) &lt;&gt; 0, 
IFERROR(VLOOKUP($G409,IMPORTRANGE(""https://docs.google.com/spreadsheets/d/1Gpl6jkTg7sL4VDNimU"&amp;"m3S9Vi1i95esohXCF3wuKOE8c"", ""'CONSOLIDADO'!G5:AB""), 18, 0), ""-""),
""""
)"),"Cutter MEDID recarga automática 18 mm 5 cuchillas")</f>
        <v>Cutter MEDID recarga automática 18 mm 5 cuchillas</v>
      </c>
      <c r="X409" s="39" t="b">
        <f t="shared" si="43"/>
        <v>1</v>
      </c>
      <c r="Y409" s="120" t="str">
        <f>IFERROR(__xludf.DUMMYFUNCTION(" IF
( VLOOKUP($G409,IMPORTRANGE(""https://docs.google.com/spreadsheets/d/1Gpl6jkTg7sL4VDNimUm3S9Vi1i95esohXCF3wuKOE8c"", ""'CONSOLIDADO'!G5:AB""), 10, 0) &lt;&gt; 0, 
IFERROR(VLOOKUP($G409,IMPORTRANGE(""https://docs.google.com/spreadsheets/d/1Gpl6jkTg7sL4VDNimU"&amp;"m3S9Vi1i95esohXCF3wuKOE8c"", ""'CONSOLIDADO'!G5:AB""), 19, 0), ""-""),
""""
)"),"https://medid.datoproducto.com/producto/1080622/1015362/cutter-medid-recarga-automatica-18-mm-5-cuchillas")</f>
        <v>https://medid.datoproducto.com/producto/1080622/1015362/cutter-medid-recarga-automatica-18-mm-5-cuchillas</v>
      </c>
      <c r="Z409" s="37" t="str">
        <f>IFERROR(__xludf.DUMMYFUNCTION("IFERROR(VLOOKUP(G409,IMPORTRANGE(""https://docs.google.com/spreadsheets/d/12RxCea4e5ggM7QGn1XE3FbLQa_-QbCNdBi90OdPjRqg"", ""'Plan de Compras'!D4:Q""), 12, 0), ""NO ESTÁ EN REQ"")"),"Técnica")</f>
        <v>Técnica</v>
      </c>
      <c r="AA409" s="37" t="str">
        <f>IFERROR(__xludf.DUMMYFUNCTION("IFERROR(VLOOKUP(G409,IMPORTRANGE(""https://docs.google.com/spreadsheets/d/12RxCea4e5ggM7QGn1XE3FbLQa_-QbCNdBi90OdPjRqg"", ""'Plan de Compras'!D4:Q""), 13, 0), """")"),"INTERNACIONAL")</f>
        <v>INTERNACIONAL</v>
      </c>
      <c r="AB409" s="32" t="str">
        <f>IFERROR(__xludf.DUMMYFUNCTION("IFERROR(VLOOKUP(G409,IMPORTRANGE(""https://docs.google.com/spreadsheets/d/12RxCea4e5ggM7QGn1XE3FbLQa_-QbCNdBi90OdPjRqg"", ""'Plan de Compras'!D4:Q""), 14, 0), """")"),"ALEJANDRA")</f>
        <v>ALEJANDRA</v>
      </c>
      <c r="AC409" s="72" t="str">
        <f>IFERROR(__xludf.DUMMYFUNCTION("IFERROR(VLOOKUP(G409,IMPORTRANGE(""https://docs.google.com/spreadsheets/d/12RxCea4e5ggM7QGn1XE3FbLQa_-QbCNdBi90OdPjRqg"", ""'Plan de Compras'!D4:Q""), 4, 0), """")"),"CÚTER")</f>
        <v>CÚTER</v>
      </c>
      <c r="AD409" s="37" t="str">
        <f>IFERROR(__xludf.DUMMYFUNCTION("IFERROR(IF(OR(C409=TRUE,C409=""""),VLOOKUP(G409,IMPORTRANGE(""https://docs.google.com/spreadsheets/d/1z9A1Wq-kKrhRNG5RS2a2fKpY1wIhSVz2ZNmP2mOl588/edit?usp=sharing"",""REQ VF!E4:H""),4,0),""NO APLICA""),""GENERAR REQ"")"),"GENERAR REQ")</f>
        <v>GENERAR REQ</v>
      </c>
      <c r="AE409" s="32" t="str">
        <f>IFERROR(__xludf.DUMMYFUNCTION("IFERROR(QUERY(IMPORTRANGE(""https://docs.google.com/spreadsheets/d/1z9A1Wq-kKrhRNG5RS2a2fKpY1wIhSVz2ZNmP2mOl588/edit?usp=sharing"",""REQ VF!E4:Q""),""SELECT Col10, Col11, Col12 WHERE Col1 = '""&amp;G409&amp;""'"",0),""NO APLICA"")"),"NO APLICA")</f>
        <v>NO APLICA</v>
      </c>
      <c r="AF409" s="32"/>
      <c r="AG409" s="32"/>
      <c r="AH409" s="13"/>
      <c r="AI409" s="13"/>
    </row>
    <row r="410">
      <c r="A410" s="117">
        <v>250.0</v>
      </c>
      <c r="B410" s="43" t="b">
        <v>1</v>
      </c>
      <c r="C410" s="26" t="b">
        <v>1</v>
      </c>
      <c r="D410" s="26" t="s">
        <v>35</v>
      </c>
      <c r="E410" s="26" t="s">
        <v>1510</v>
      </c>
      <c r="F410" s="59" t="s">
        <v>2947</v>
      </c>
      <c r="G410" s="37" t="s">
        <v>2948</v>
      </c>
      <c r="H410" s="82" t="s">
        <v>2949</v>
      </c>
      <c r="I410" s="43">
        <f>SUMIFS('Hoja 10'!$O:$O,'Hoja 10'!$F:$F,$G410)</f>
        <v>1</v>
      </c>
      <c r="J410" s="26">
        <f>IFERROR(__xludf.DUMMYFUNCTION("VLOOKUP(G410,IMPORTRANGE(""https://docs.google.com/spreadsheets/d/12RxCea4e5ggM7QGn1XE3FbLQa_-QbCNdBi90OdPjRqg/edit?gid=1692403370#gid=1692403370"", ""'Plan de Compras'!D4:2432""), 8,0)"),1.0)</f>
        <v>1</v>
      </c>
      <c r="K410" s="26" t="str">
        <f t="shared" si="40"/>
        <v>SI</v>
      </c>
      <c r="L410" s="29" t="s">
        <v>77</v>
      </c>
      <c r="M410" s="30" t="s">
        <v>78</v>
      </c>
      <c r="N410" s="32"/>
      <c r="O410" s="32" t="str">
        <f>VLOOKUP($G410,'Hoja 10'!$F$4:$AA1057, 19,0)</f>
        <v>STONE HOME</v>
      </c>
      <c r="P410" s="32">
        <f>VLOOKUP($G410,'Hoja 10'!$F$4:$AA1057, 20,0)</f>
        <v>1000489368</v>
      </c>
      <c r="Q410" s="33" t="str">
        <f>VLOOKUP($G410,'Hoja 10'!$F$4:$AA1057, 21,0)</f>
        <v>https://www.promart.pe/dispensador-de-jabon-liquido-gel-1l-blanco-linea-clerk-stone-1000464839/p?srsltid=AfmBOooFp0-GZYWJcMcCfSDgOzlhutKL8UaeATIG03u2z16DgKfDWend</v>
      </c>
      <c r="R410" s="86" t="s">
        <v>2950</v>
      </c>
      <c r="S410" s="44" t="b">
        <v>1</v>
      </c>
      <c r="T410" s="39" t="s">
        <v>2951</v>
      </c>
      <c r="U410" s="39">
        <v>2.0702000002E10</v>
      </c>
      <c r="V410" s="39" t="str">
        <f>IFERROR(__xludf.DUMMYFUNCTION(" IF
( VLOOKUP($G410,IMPORTRANGE(""https://docs.google.com/spreadsheets/d/1Gpl6jkTg7sL4VDNimUm3S9Vi1i95esohXCF3wuKOE8c"", ""'CONSOLIDADO'!G5:AB""), 10, 0) &lt;&gt; 0, 
IFERROR(VLOOKUP($G410,IMPORTRANGE(""https://docs.google.com/spreadsheets/d/1Gpl6jkTg7sL4VDNimU"&amp;"m3S9Vi1i95esohXCF3wuKOE8c"", ""'CONSOLIDADO'!G5:AB""), 17, 0), ""-""),
""""
)"),"STONE HOME")</f>
        <v>STONE HOME</v>
      </c>
      <c r="W410" s="39">
        <f>IFERROR(__xludf.DUMMYFUNCTION(" IF
( VLOOKUP($G410,IMPORTRANGE(""https://docs.google.com/spreadsheets/d/1Gpl6jkTg7sL4VDNimUm3S9Vi1i95esohXCF3wuKOE8c"", ""'CONSOLIDADO'!G5:AB""), 10, 0) &lt;&gt; 0, 
IFERROR(VLOOKUP($G410,IMPORTRANGE(""https://docs.google.com/spreadsheets/d/1Gpl6jkTg7sL4VDNimU"&amp;"m3S9Vi1i95esohXCF3wuKOE8c"", ""'CONSOLIDADO'!G5:AB""), 18, 0), ""-""),
""""
)"),2.0702000002E10)</f>
        <v>20702000002</v>
      </c>
      <c r="X410" s="39" t="b">
        <f t="shared" si="43"/>
        <v>1</v>
      </c>
      <c r="Y410" s="120" t="s">
        <v>2952</v>
      </c>
      <c r="Z410" s="37" t="str">
        <f>IFERROR(__xludf.DUMMYFUNCTION("IFERROR(VLOOKUP(G410,IMPORTRANGE(""https://docs.google.com/spreadsheets/d/12RxCea4e5ggM7QGn1XE3FbLQa_-QbCNdBi90OdPjRqg"", ""'Plan de Compras'!D4:Q""), 12, 0), ""NO ESTÁ EN REQ"")"),"Técnica")</f>
        <v>Técnica</v>
      </c>
      <c r="AA410" s="37" t="str">
        <f>IFERROR(__xludf.DUMMYFUNCTION("IFERROR(VLOOKUP(G410,IMPORTRANGE(""https://docs.google.com/spreadsheets/d/12RxCea4e5ggM7QGn1XE3FbLQa_-QbCNdBi90OdPjRqg"", ""'Plan de Compras'!D4:Q""), 13, 0), """")"),"NACIONAL")</f>
        <v>NACIONAL</v>
      </c>
      <c r="AB410" s="32" t="str">
        <f>IFERROR(__xludf.DUMMYFUNCTION("IFERROR(VLOOKUP(G410,IMPORTRANGE(""https://docs.google.com/spreadsheets/d/12RxCea4e5ggM7QGn1XE3FbLQa_-QbCNdBi90OdPjRqg"", ""'Plan de Compras'!D4:Q""), 14, 0), """")"),"ANGIE")</f>
        <v>ANGIE</v>
      </c>
      <c r="AC410" s="72" t="str">
        <f>IFERROR(__xludf.DUMMYFUNCTION("IFERROR(VLOOKUP(G410,IMPORTRANGE(""https://docs.google.com/spreadsheets/d/12RxCea4e5ggM7QGn1XE3FbLQa_-QbCNdBi90OdPjRqg"", ""'Plan de Compras'!D4:Q""), 4, 0), """")"),"DISPENSADOR DE ALCOHOL EN GEL")</f>
        <v>DISPENSADOR DE ALCOHOL EN GEL</v>
      </c>
      <c r="AD410" s="37" t="str">
        <f>IFERROR(__xludf.DUMMYFUNCTION("IFERROR(IF(OR(C410=TRUE,C410=""""),VLOOKUP(G410,IMPORTRANGE(""https://docs.google.com/spreadsheets/d/1z9A1Wq-kKrhRNG5RS2a2fKpY1wIhSVz2ZNmP2mOl588/edit?usp=sharing"",""REQ VF!E4:H""),4,0),""NO APLICA""),""GENERAR REQ"")"),"GENERAR REQ")</f>
        <v>GENERAR REQ</v>
      </c>
      <c r="AE410" s="32" t="str">
        <f>IFERROR(__xludf.DUMMYFUNCTION("IFERROR(QUERY(IMPORTRANGE(""https://docs.google.com/spreadsheets/d/1z9A1Wq-kKrhRNG5RS2a2fKpY1wIhSVz2ZNmP2mOl588/edit?usp=sharing"",""REQ VF!E4:Q""),""SELECT Col10, Col11, Col12 WHERE Col1 = '""&amp;G410&amp;""'"",0),""NO APLICA"")"),"NO APLICA")</f>
        <v>NO APLICA</v>
      </c>
      <c r="AF410" s="32"/>
      <c r="AG410" s="32"/>
      <c r="AH410" s="8" t="s">
        <v>52</v>
      </c>
      <c r="AI410" s="13"/>
    </row>
    <row r="411">
      <c r="A411" s="43"/>
      <c r="B411" s="43"/>
      <c r="C411" s="26" t="b">
        <v>1</v>
      </c>
      <c r="D411" s="26" t="s">
        <v>42</v>
      </c>
      <c r="E411" s="26" t="s">
        <v>1510</v>
      </c>
      <c r="F411" s="59" t="s">
        <v>2947</v>
      </c>
      <c r="G411" s="39" t="s">
        <v>2953</v>
      </c>
      <c r="H411" s="66" t="s">
        <v>2954</v>
      </c>
      <c r="I411" s="43">
        <v>1.0</v>
      </c>
      <c r="J411" s="26">
        <f>IFERROR(__xludf.DUMMYFUNCTION("VLOOKUP(G411,IMPORTRANGE(""https://docs.google.com/spreadsheets/d/12RxCea4e5ggM7QGn1XE3FbLQa_-QbCNdBi90OdPjRqg/edit?gid=1692403370#gid=1692403370"", ""'Plan de Compras'!D4:2432""), 8,0)"),1.0)</f>
        <v>1</v>
      </c>
      <c r="K411" s="26" t="str">
        <f t="shared" si="40"/>
        <v>SI</v>
      </c>
      <c r="L411" s="29"/>
      <c r="M411" s="61"/>
      <c r="N411" s="32"/>
      <c r="O411" s="32"/>
      <c r="P411" s="32"/>
      <c r="Q411" s="41"/>
      <c r="R411" s="32"/>
      <c r="S411" s="44" t="b">
        <v>1</v>
      </c>
      <c r="T411" s="39" t="s">
        <v>2955</v>
      </c>
      <c r="U411" s="39" t="s">
        <v>2956</v>
      </c>
      <c r="V411" s="39"/>
      <c r="W411" s="39"/>
      <c r="X411" s="39"/>
      <c r="Y411" s="110"/>
      <c r="Z411" s="37" t="str">
        <f>IFERROR(__xludf.DUMMYFUNCTION("IFERROR(VLOOKUP(G411,IMPORTRANGE(""https://docs.google.com/spreadsheets/d/12RxCea4e5ggM7QGn1XE3FbLQa_-QbCNdBi90OdPjRqg"", ""'Plan de Compras'!D4:Q""), 12, 0), ""NO ESTÁ EN REQ"")"),"Técnica")</f>
        <v>Técnica</v>
      </c>
      <c r="AA411" s="37" t="str">
        <f>IFERROR(__xludf.DUMMYFUNCTION("IFERROR(VLOOKUP(G411,IMPORTRANGE(""https://docs.google.com/spreadsheets/d/12RxCea4e5ggM7QGn1XE3FbLQa_-QbCNdBi90OdPjRqg"", ""'Plan de Compras'!D4:Q""), 13, 0), """")"),"NACIONAL")</f>
        <v>NACIONAL</v>
      </c>
      <c r="AB411" s="32" t="str">
        <f>IFERROR(__xludf.DUMMYFUNCTION("IFERROR(VLOOKUP(G411,IMPORTRANGE(""https://docs.google.com/spreadsheets/d/12RxCea4e5ggM7QGn1XE3FbLQa_-QbCNdBi90OdPjRqg"", ""'Plan de Compras'!D4:Q""), 14, 0), """")"),"ANGIE")</f>
        <v>ANGIE</v>
      </c>
      <c r="AC411" s="72" t="str">
        <f>IFERROR(__xludf.DUMMYFUNCTION("IFERROR(VLOOKUP(G411,IMPORTRANGE(""https://docs.google.com/spreadsheets/d/12RxCea4e5ggM7QGn1XE3FbLQa_-QbCNdBi90OdPjRqg"", ""'Plan de Compras'!D4:Q""), 4, 0), """")"),"ALCOHOL EN GEL DESINFECTANTE 1L (1 UND)")</f>
        <v>ALCOHOL EN GEL DESINFECTANTE 1L (1 UND)</v>
      </c>
      <c r="AD411" s="37" t="str">
        <f>IFERROR(__xludf.DUMMYFUNCTION("IFERROR(IF(OR(C411=TRUE,C411=""""),VLOOKUP(G411,IMPORTRANGE(""https://docs.google.com/spreadsheets/d/1z9A1Wq-kKrhRNG5RS2a2fKpY1wIhSVz2ZNmP2mOl588/edit?usp=sharing"",""REQ VF!E4:H""),4,0),""NO APLICA""),""GENERAR REQ"")"),"GENERAR REQ")</f>
        <v>GENERAR REQ</v>
      </c>
      <c r="AE411" s="32" t="str">
        <f>IFERROR(__xludf.DUMMYFUNCTION("IFERROR(QUERY(IMPORTRANGE(""https://docs.google.com/spreadsheets/d/1z9A1Wq-kKrhRNG5RS2a2fKpY1wIhSVz2ZNmP2mOl588/edit?usp=sharing"",""REQ VF!E4:Q""),""SELECT Col10, Col11, Col12 WHERE Col1 = '""&amp;G411&amp;""'"",0),""NO APLICA"")"),"NO APLICA")</f>
        <v>NO APLICA</v>
      </c>
      <c r="AF411" s="32"/>
      <c r="AG411" s="32"/>
      <c r="AH411" s="8"/>
      <c r="AI411" s="13"/>
    </row>
    <row r="412">
      <c r="A412" s="117">
        <v>251.0</v>
      </c>
      <c r="B412" s="43" t="b">
        <v>1</v>
      </c>
      <c r="C412" s="26" t="b">
        <v>1</v>
      </c>
      <c r="D412" s="26" t="s">
        <v>35</v>
      </c>
      <c r="E412" s="26" t="s">
        <v>1510</v>
      </c>
      <c r="F412" s="59" t="s">
        <v>2947</v>
      </c>
      <c r="G412" s="37" t="s">
        <v>2957</v>
      </c>
      <c r="H412" s="82" t="s">
        <v>2949</v>
      </c>
      <c r="I412" s="43">
        <f>SUMIFS('Hoja 10'!$O:$O,'Hoja 10'!$F:$F,$G412)</f>
        <v>4</v>
      </c>
      <c r="J412" s="26">
        <f>IFERROR(__xludf.DUMMYFUNCTION("VLOOKUP(G412,IMPORTRANGE(""https://docs.google.com/spreadsheets/d/12RxCea4e5ggM7QGn1XE3FbLQa_-QbCNdBi90OdPjRqg/edit?gid=1692403370#gid=1692403370"", ""'Plan de Compras'!D4:2432""), 8,0)"),4.0)</f>
        <v>4</v>
      </c>
      <c r="K412" s="26" t="str">
        <f t="shared" si="40"/>
        <v>SI</v>
      </c>
      <c r="L412" s="29" t="s">
        <v>39</v>
      </c>
      <c r="M412" s="30" t="s">
        <v>40</v>
      </c>
      <c r="N412" s="32"/>
      <c r="O412" s="32" t="str">
        <f>VLOOKUP($G412,'Hoja 10'!$F$4:$AA1057, 19,0)</f>
        <v>GENERICO</v>
      </c>
      <c r="P412" s="32" t="str">
        <f>VLOOKUP($G412,'Hoja 10'!$F$4:$AA1057, 20,0)</f>
        <v>GENERICO</v>
      </c>
      <c r="Q412" s="33" t="str">
        <f>VLOOKUP($G412,'Hoja 10'!$F$4:$AA1057, 21,0)</f>
        <v>https://www.falabella.com.pe/falabella-pe/product/115805692/Dispensador-de-Jabon-Liquido-Alcohol-en-Gel/115805693</v>
      </c>
      <c r="R412" s="86" t="s">
        <v>2958</v>
      </c>
      <c r="S412" s="44" t="b">
        <v>1</v>
      </c>
      <c r="T412" s="39" t="str">
        <f>IFERROR(__xludf.DUMMYFUNCTION(" IF
( VLOOKUP($G412,IMPORTRANGE(""https://docs.google.com/spreadsheets/d/1Gpl6jkTg7sL4VDNimUm3S9Vi1i95esohXCF3wuKOE8c"", ""'CONSOLIDADO'!G5:AB""), 10, 0) &lt;&gt; 0, 
IFERROR(VLOOKUP($G412,IMPORTRANGE(""https://docs.google.com/spreadsheets/d/1Gpl6jkTg7sL4VDNimU"&amp;"m3S9Vi1i95esohXCF3wuKOE8c"", ""'CONSOLIDADO'!G5:AB""), 17, 0), ""-""),
""""
)"),"STONE HOME")</f>
        <v>STONE HOME</v>
      </c>
      <c r="U412" s="39">
        <f>IFERROR(__xludf.DUMMYFUNCTION(" IF
( VLOOKUP($G412,IMPORTRANGE(""https://docs.google.com/spreadsheets/d/1Gpl6jkTg7sL4VDNimUm3S9Vi1i95esohXCF3wuKOE8c"", ""'CONSOLIDADO'!G5:AB""), 10, 0) &lt;&gt; 0, 
IFERROR(VLOOKUP($G412,IMPORTRANGE(""https://docs.google.com/spreadsheets/d/1Gpl6jkTg7sL4VDNimU"&amp;"m3S9Vi1i95esohXCF3wuKOE8c"", ""'CONSOLIDADO'!G5:AB""), 18, 0), ""-""),
""""
)"),1.000489368E9)</f>
        <v>1000489368</v>
      </c>
      <c r="V412" s="39" t="str">
        <f>IFERROR(__xludf.DUMMYFUNCTION(" IF
( VLOOKUP($G412,IMPORTRANGE(""https://docs.google.com/spreadsheets/d/1Gpl6jkTg7sL4VDNimUm3S9Vi1i95esohXCF3wuKOE8c"", ""'CONSOLIDADO'!G5:AB""), 10, 0) &lt;&gt; 0, 
IFERROR(VLOOKUP($G412,IMPORTRANGE(""https://docs.google.com/spreadsheets/d/1Gpl6jkTg7sL4VDNimU"&amp;"m3S9Vi1i95esohXCF3wuKOE8c"", ""'CONSOLIDADO'!G5:AB""), 17, 0), ""-""),
""""
)"),"STONE HOME")</f>
        <v>STONE HOME</v>
      </c>
      <c r="W412" s="39">
        <f>IFERROR(__xludf.DUMMYFUNCTION(" IF
( VLOOKUP($G412,IMPORTRANGE(""https://docs.google.com/spreadsheets/d/1Gpl6jkTg7sL4VDNimUm3S9Vi1i95esohXCF3wuKOE8c"", ""'CONSOLIDADO'!G5:AB""), 10, 0) &lt;&gt; 0, 
IFERROR(VLOOKUP($G412,IMPORTRANGE(""https://docs.google.com/spreadsheets/d/1Gpl6jkTg7sL4VDNimU"&amp;"m3S9Vi1i95esohXCF3wuKOE8c"", ""'CONSOLIDADO'!G5:AB""), 18, 0), ""-""),
""""
)"),1.000489368E9)</f>
        <v>1000489368</v>
      </c>
      <c r="X412" s="39" t="b">
        <f>IF(AND(T412=V412,W412=U412),TRUE,FALSE)</f>
        <v>1</v>
      </c>
      <c r="Y412" s="120" t="str">
        <f>IFERROR(__xludf.DUMMYFUNCTION(" IF
( VLOOKUP($G412,IMPORTRANGE(""https://docs.google.com/spreadsheets/d/1Gpl6jkTg7sL4VDNimUm3S9Vi1i95esohXCF3wuKOE8c"", ""'CONSOLIDADO'!G5:AB""), 10, 0) &lt;&gt; 0, 
IFERROR(VLOOKUP($G412,IMPORTRANGE(""https://docs.google.com/spreadsheets/d/1Gpl6jkTg7sL4VDNimU"&amp;"m3S9Vi1i95esohXCF3wuKOE8c"", ""'CONSOLIDADO'!G5:AB""), 19, 0), ""-""),
""""
)"),"https://www.promart.pe/dispensador-de-jabon-liquido-gel-1l-blanco-linea-clerk-stone-1000464839/p?srsltid=AfmBOors-dDBFy21fX7Qv_Cly8WFIrcWo_DKi8Td-wjcghusCc_K2VEg")</f>
        <v>https://www.promart.pe/dispensador-de-jabon-liquido-gel-1l-blanco-linea-clerk-stone-1000464839/p?srsltid=AfmBOors-dDBFy21fX7Qv_Cly8WFIrcWo_DKi8Td-wjcghusCc_K2VEg</v>
      </c>
      <c r="Z412" s="37" t="str">
        <f>IFERROR(__xludf.DUMMYFUNCTION("IFERROR(VLOOKUP(G412,IMPORTRANGE(""https://docs.google.com/spreadsheets/d/12RxCea4e5ggM7QGn1XE3FbLQa_-QbCNdBi90OdPjRqg"", ""'Plan de Compras'!D4:Q""), 12, 0), ""NO ESTÁ EN REQ"")"),"Técnica")</f>
        <v>Técnica</v>
      </c>
      <c r="AA412" s="37" t="str">
        <f>IFERROR(__xludf.DUMMYFUNCTION("IFERROR(VLOOKUP(G412,IMPORTRANGE(""https://docs.google.com/spreadsheets/d/12RxCea4e5ggM7QGn1XE3FbLQa_-QbCNdBi90OdPjRqg"", ""'Plan de Compras'!D4:Q""), 13, 0), """")"),"NACIONAL")</f>
        <v>NACIONAL</v>
      </c>
      <c r="AB412" s="32" t="str">
        <f>IFERROR(__xludf.DUMMYFUNCTION("IFERROR(VLOOKUP(G412,IMPORTRANGE(""https://docs.google.com/spreadsheets/d/12RxCea4e5ggM7QGn1XE3FbLQa_-QbCNdBi90OdPjRqg"", ""'Plan de Compras'!D4:Q""), 14, 0), """")"),"ANGIE")</f>
        <v>ANGIE</v>
      </c>
      <c r="AC412" s="72" t="str">
        <f>IFERROR(__xludf.DUMMYFUNCTION("IFERROR(VLOOKUP(G412,IMPORTRANGE(""https://docs.google.com/spreadsheets/d/12RxCea4e5ggM7QGn1XE3FbLQa_-QbCNdBi90OdPjRqg"", ""'Plan de Compras'!D4:Q""), 4, 0), """")"),"DISPENSADOR DE ALCOHOL EN GEL")</f>
        <v>DISPENSADOR DE ALCOHOL EN GEL</v>
      </c>
      <c r="AD412" s="37" t="str">
        <f>IFERROR(__xludf.DUMMYFUNCTION("IFERROR(IF(OR(C412=TRUE,C412=""""),VLOOKUP(G412,IMPORTRANGE(""https://docs.google.com/spreadsheets/d/1z9A1Wq-kKrhRNG5RS2a2fKpY1wIhSVz2ZNmP2mOl588/edit?usp=sharing"",""REQ VF!E4:H""),4,0),""NO APLICA""),""GENERAR REQ"")"),"GENERAR REQ")</f>
        <v>GENERAR REQ</v>
      </c>
      <c r="AE412" s="32" t="str">
        <f>IFERROR(__xludf.DUMMYFUNCTION("IFERROR(QUERY(IMPORTRANGE(""https://docs.google.com/spreadsheets/d/1z9A1Wq-kKrhRNG5RS2a2fKpY1wIhSVz2ZNmP2mOl588/edit?usp=sharing"",""REQ VF!E4:Q""),""SELECT Col10, Col11, Col12 WHERE Col1 = '""&amp;G412&amp;""'"",0),""NO APLICA"")"),"NO APLICA")</f>
        <v>NO APLICA</v>
      </c>
      <c r="AF412" s="32"/>
      <c r="AG412" s="32"/>
      <c r="AH412" s="13"/>
      <c r="AI412" s="13"/>
    </row>
    <row r="413">
      <c r="A413" s="43"/>
      <c r="B413" s="43"/>
      <c r="C413" s="26" t="b">
        <v>1</v>
      </c>
      <c r="D413" s="26" t="s">
        <v>42</v>
      </c>
      <c r="E413" s="26" t="s">
        <v>1510</v>
      </c>
      <c r="F413" s="59" t="s">
        <v>2947</v>
      </c>
      <c r="G413" s="39" t="s">
        <v>2959</v>
      </c>
      <c r="H413" s="66" t="s">
        <v>2954</v>
      </c>
      <c r="I413" s="43">
        <v>4.0</v>
      </c>
      <c r="J413" s="26">
        <f>IFERROR(__xludf.DUMMYFUNCTION("VLOOKUP(G413,IMPORTRANGE(""https://docs.google.com/spreadsheets/d/12RxCea4e5ggM7QGn1XE3FbLQa_-QbCNdBi90OdPjRqg/edit?gid=1692403370#gid=1692403370"", ""'Plan de Compras'!D4:2432""), 8,0)"),4.0)</f>
        <v>4</v>
      </c>
      <c r="K413" s="26" t="str">
        <f t="shared" si="40"/>
        <v>SI</v>
      </c>
      <c r="L413" s="29"/>
      <c r="M413" s="61"/>
      <c r="N413" s="32"/>
      <c r="O413" s="32"/>
      <c r="P413" s="32"/>
      <c r="Q413" s="41"/>
      <c r="R413" s="32"/>
      <c r="S413" s="44" t="b">
        <v>1</v>
      </c>
      <c r="T413" s="39" t="s">
        <v>2955</v>
      </c>
      <c r="U413" s="39" t="s">
        <v>2956</v>
      </c>
      <c r="V413" s="39"/>
      <c r="W413" s="39"/>
      <c r="X413" s="39"/>
      <c r="Y413" s="110"/>
      <c r="Z413" s="37" t="str">
        <f>IFERROR(__xludf.DUMMYFUNCTION("IFERROR(VLOOKUP(G413,IMPORTRANGE(""https://docs.google.com/spreadsheets/d/12RxCea4e5ggM7QGn1XE3FbLQa_-QbCNdBi90OdPjRqg"", ""'Plan de Compras'!D4:Q""), 12, 0), ""NO ESTÁ EN REQ"")"),"Técnica")</f>
        <v>Técnica</v>
      </c>
      <c r="AA413" s="37" t="str">
        <f>IFERROR(__xludf.DUMMYFUNCTION("IFERROR(VLOOKUP(G413,IMPORTRANGE(""https://docs.google.com/spreadsheets/d/12RxCea4e5ggM7QGn1XE3FbLQa_-QbCNdBi90OdPjRqg"", ""'Plan de Compras'!D4:Q""), 13, 0), """")"),"NACIONAL")</f>
        <v>NACIONAL</v>
      </c>
      <c r="AB413" s="32" t="str">
        <f>IFERROR(__xludf.DUMMYFUNCTION("IFERROR(VLOOKUP(G413,IMPORTRANGE(""https://docs.google.com/spreadsheets/d/12RxCea4e5ggM7QGn1XE3FbLQa_-QbCNdBi90OdPjRqg"", ""'Plan de Compras'!D4:Q""), 14, 0), """")"),"ANGIE")</f>
        <v>ANGIE</v>
      </c>
      <c r="AC413" s="72" t="str">
        <f>IFERROR(__xludf.DUMMYFUNCTION("IFERROR(VLOOKUP(G413,IMPORTRANGE(""https://docs.google.com/spreadsheets/d/12RxCea4e5ggM7QGn1XE3FbLQa_-QbCNdBi90OdPjRqg"", ""'Plan de Compras'!D4:Q""), 4, 0), """")"),"ALCOHOL EN GEL DESINFECTANTE 500ML (1 UND)")</f>
        <v>ALCOHOL EN GEL DESINFECTANTE 500ML (1 UND)</v>
      </c>
      <c r="AD413" s="37" t="str">
        <f>IFERROR(__xludf.DUMMYFUNCTION("IFERROR(IF(OR(C413=TRUE,C413=""""),VLOOKUP(G413,IMPORTRANGE(""https://docs.google.com/spreadsheets/d/1z9A1Wq-kKrhRNG5RS2a2fKpY1wIhSVz2ZNmP2mOl588/edit?usp=sharing"",""REQ VF!E4:H""),4,0),""NO APLICA""),""GENERAR REQ"")"),"GENERAR REQ")</f>
        <v>GENERAR REQ</v>
      </c>
      <c r="AE413" s="32" t="str">
        <f>IFERROR(__xludf.DUMMYFUNCTION("IFERROR(QUERY(IMPORTRANGE(""https://docs.google.com/spreadsheets/d/1z9A1Wq-kKrhRNG5RS2a2fKpY1wIhSVz2ZNmP2mOl588/edit?usp=sharing"",""REQ VF!E4:Q""),""SELECT Col10, Col11, Col12 WHERE Col1 = '""&amp;G413&amp;""'"",0),""NO APLICA"")"),"NO APLICA")</f>
        <v>NO APLICA</v>
      </c>
      <c r="AF413" s="32"/>
      <c r="AG413" s="32"/>
      <c r="AH413" s="13"/>
      <c r="AI413" s="13"/>
    </row>
    <row r="414">
      <c r="A414" s="121">
        <v>252.0</v>
      </c>
      <c r="B414" s="43" t="b">
        <v>1</v>
      </c>
      <c r="C414" s="26" t="b">
        <v>1</v>
      </c>
      <c r="D414" s="26" t="s">
        <v>35</v>
      </c>
      <c r="E414" s="26" t="s">
        <v>1510</v>
      </c>
      <c r="F414" s="123" t="s">
        <v>2960</v>
      </c>
      <c r="G414" s="37" t="s">
        <v>2960</v>
      </c>
      <c r="H414" s="82" t="s">
        <v>2961</v>
      </c>
      <c r="I414" s="43">
        <f>SUMIFS('Hoja 10'!$O:$O,'Hoja 10'!$F:$F,$G414)</f>
        <v>20</v>
      </c>
      <c r="J414" s="26">
        <f>IFERROR(__xludf.DUMMYFUNCTION("VLOOKUP(G414,IMPORTRANGE(""https://docs.google.com/spreadsheets/d/12RxCea4e5ggM7QGn1XE3FbLQa_-QbCNdBi90OdPjRqg/edit?gid=1692403370#gid=1692403370"", ""'Plan de Compras'!D4:2432""), 8,0)"),20.0)</f>
        <v>20</v>
      </c>
      <c r="K414" s="26" t="str">
        <f t="shared" si="40"/>
        <v>SI</v>
      </c>
      <c r="L414" s="29" t="s">
        <v>39</v>
      </c>
      <c r="M414" s="30" t="s">
        <v>40</v>
      </c>
      <c r="N414" s="32"/>
      <c r="O414" s="32" t="str">
        <f>VLOOKUP($G414,'Hoja 10'!$F$4:$AA1057, 19,0)</f>
        <v>DENIOS SL</v>
      </c>
      <c r="P414" s="32" t="str">
        <f>VLOOKUP($G414,'Hoja 10'!$F$4:$AA1057, 20,0)</f>
        <v>145545W</v>
      </c>
      <c r="Q414" s="33" t="str">
        <f>VLOOKUP($G414,'Hoja 10'!$F$4:$AA1057, 21,0)</f>
        <v>https://drive.google.com/file/d/1HUhOmFIpgrCiXpq7Hkz-CdkKG7BMFfX8/view?ts=68eecd8d</v>
      </c>
      <c r="R414" s="30" t="s">
        <v>2962</v>
      </c>
      <c r="S414" s="34" t="b">
        <v>1</v>
      </c>
      <c r="T414" s="39" t="str">
        <f>IFERROR(__xludf.DUMMYFUNCTION(" IF
( VLOOKUP($G414,IMPORTRANGE(""https://docs.google.com/spreadsheets/d/1Gpl6jkTg7sL4VDNimUm3S9Vi1i95esohXCF3wuKOE8c"", ""'CONSOLIDADO'!G5:AB""), 10, 0) &lt;&gt; 0, 
IFERROR(VLOOKUP($G414,IMPORTRANGE(""https://docs.google.com/spreadsheets/d/1Gpl6jkTg7sL4VDNimU"&amp;"m3S9Vi1i95esohXCF3wuKOE8c"", ""'CONSOLIDADO'!G5:AB""), 17, 0), ""-""),
""""
)"),"DIVERS DUTSCHER")</f>
        <v>DIVERS DUTSCHER</v>
      </c>
      <c r="U414" s="39" t="str">
        <f>IFERROR(__xludf.DUMMYFUNCTION(" IF
( VLOOKUP($G414,IMPORTRANGE(""https://docs.google.com/spreadsheets/d/1Gpl6jkTg7sL4VDNimUm3S9Vi1i95esohXCF3wuKOE8c"", ""'CONSOLIDADO'!G5:AB""), 10, 0) &lt;&gt; 0, 
IFERROR(VLOOKUP($G414,IMPORTRANGE(""https://docs.google.com/spreadsheets/d/1Gpl6jkTg7sL4VDNimU"&amp;"m3S9Vi1i95esohXCF3wuKOE8c"", ""'CONSOLIDADO'!G5:AB""), 18, 0), ""-""),
""""
)"),"391445A")</f>
        <v>391445A</v>
      </c>
      <c r="V414" s="39" t="str">
        <f>IFERROR(__xludf.DUMMYFUNCTION(" IF
( VLOOKUP($G414,IMPORTRANGE(""https://docs.google.com/spreadsheets/d/1Gpl6jkTg7sL4VDNimUm3S9Vi1i95esohXCF3wuKOE8c"", ""'CONSOLIDADO'!G5:AB""), 10, 0) &lt;&gt; 0, 
IFERROR(VLOOKUP($G414,IMPORTRANGE(""https://docs.google.com/spreadsheets/d/1Gpl6jkTg7sL4VDNimU"&amp;"m3S9Vi1i95esohXCF3wuKOE8c"", ""'CONSOLIDADO'!G5:AB""), 17, 0), ""-""),
""""
)"),"DIVERS DUTSCHER")</f>
        <v>DIVERS DUTSCHER</v>
      </c>
      <c r="W414" s="39" t="str">
        <f>IFERROR(__xludf.DUMMYFUNCTION(" IF
( VLOOKUP($G414,IMPORTRANGE(""https://docs.google.com/spreadsheets/d/1Gpl6jkTg7sL4VDNimUm3S9Vi1i95esohXCF3wuKOE8c"", ""'CONSOLIDADO'!G5:AB""), 10, 0) &lt;&gt; 0, 
IFERROR(VLOOKUP($G414,IMPORTRANGE(""https://docs.google.com/spreadsheets/d/1Gpl6jkTg7sL4VDNimU"&amp;"m3S9Vi1i95esohXCF3wuKOE8c"", ""'CONSOLIDADO'!G5:AB""), 18, 0), ""-""),
""""
)"),"391445A")</f>
        <v>391445A</v>
      </c>
      <c r="X414" s="39" t="b">
        <f t="shared" ref="X414:X417" si="44">IF(AND(T414=V414,W414=U414),TRUE,FALSE)</f>
        <v>1</v>
      </c>
      <c r="Y414" s="120" t="str">
        <f>IFERROR(__xludf.DUMMYFUNCTION(" IF
( VLOOKUP($G414,IMPORTRANGE(""https://docs.google.com/spreadsheets/d/1Gpl6jkTg7sL4VDNimUm3S9Vi1i95esohXCF3wuKOE8c"", ""'CONSOLIDADO'!G5:AB""), 10, 0) &lt;&gt; 0, 
IFERROR(VLOOKUP($G414,IMPORTRANGE(""https://docs.google.com/spreadsheets/d/1Gpl6jkTg7sL4VDNimU"&amp;"m3S9Vi1i95esohXCF3wuKOE8c"", ""'CONSOLIDADO'!G5:AB""), 19, 0), ""-""),
""""
)"),"https://www.ddbiolab.com/article/391445A")</f>
        <v>https://www.ddbiolab.com/article/391445A</v>
      </c>
      <c r="Z414" s="37" t="str">
        <f>IFERROR(__xludf.DUMMYFUNCTION("IFERROR(VLOOKUP(G414,IMPORTRANGE(""https://docs.google.com/spreadsheets/d/12RxCea4e5ggM7QGn1XE3FbLQa_-QbCNdBi90OdPjRqg"", ""'Plan de Compras'!D4:Q""), 12, 0), ""NO ESTÁ EN REQ"")"),"Técnica")</f>
        <v>Técnica</v>
      </c>
      <c r="AA414" s="37" t="str">
        <f>IFERROR(__xludf.DUMMYFUNCTION("IFERROR(VLOOKUP(G414,IMPORTRANGE(""https://docs.google.com/spreadsheets/d/12RxCea4e5ggM7QGn1XE3FbLQa_-QbCNdBi90OdPjRqg"", ""'Plan de Compras'!D4:Q""), 13, 0), """")"),"INTERNACIONAL")</f>
        <v>INTERNACIONAL</v>
      </c>
      <c r="AB414" s="32" t="str">
        <f>IFERROR(__xludf.DUMMYFUNCTION("IFERROR(VLOOKUP(G414,IMPORTRANGE(""https://docs.google.com/spreadsheets/d/12RxCea4e5ggM7QGn1XE3FbLQa_-QbCNdBi90OdPjRqg"", ""'Plan de Compras'!D4:Q""), 14, 0), """")"),"GEYDI")</f>
        <v>GEYDI</v>
      </c>
      <c r="AC414" s="72" t="str">
        <f>IFERROR(__xludf.DUMMYFUNCTION("IFERROR(VLOOKUP(G414,IMPORTRANGE(""https://docs.google.com/spreadsheets/d/12RxCea4e5ggM7QGn1XE3FbLQa_-QbCNdBi90OdPjRqg"", ""'Plan de Compras'!D4:Q""), 4, 0), """")"),"EMBUDO")</f>
        <v>EMBUDO</v>
      </c>
      <c r="AD414" s="37" t="str">
        <f>IFERROR(__xludf.DUMMYFUNCTION("IFERROR(IF(OR(C414=TRUE,C414=""""),VLOOKUP(G414,IMPORTRANGE(""https://docs.google.com/spreadsheets/d/1z9A1Wq-kKrhRNG5RS2a2fKpY1wIhSVz2ZNmP2mOl588/edit?usp=sharing"",""REQ VF!E4:H""),4,0),""NO APLICA""),""GENERAR REQ"")"),"GENERAR REQ")</f>
        <v>GENERAR REQ</v>
      </c>
      <c r="AE414" s="32" t="str">
        <f>IFERROR(__xludf.DUMMYFUNCTION("IFERROR(QUERY(IMPORTRANGE(""https://docs.google.com/spreadsheets/d/1z9A1Wq-kKrhRNG5RS2a2fKpY1wIhSVz2ZNmP2mOl588/edit?usp=sharing"",""REQ VF!E4:Q""),""SELECT Col10, Col11, Col12 WHERE Col1 = '""&amp;G414&amp;""'"",0),""NO APLICA"")"),"NO APLICA")</f>
        <v>NO APLICA</v>
      </c>
      <c r="AF414" s="32"/>
      <c r="AG414" s="32"/>
      <c r="AH414" s="13"/>
      <c r="AI414" s="13"/>
    </row>
    <row r="415">
      <c r="A415" s="121">
        <v>253.0</v>
      </c>
      <c r="B415" s="43" t="b">
        <v>1</v>
      </c>
      <c r="C415" s="26" t="b">
        <v>1</v>
      </c>
      <c r="D415" s="26" t="s">
        <v>35</v>
      </c>
      <c r="E415" s="26" t="s">
        <v>1510</v>
      </c>
      <c r="F415" s="59" t="s">
        <v>2963</v>
      </c>
      <c r="G415" s="37" t="s">
        <v>2963</v>
      </c>
      <c r="H415" s="82" t="s">
        <v>2964</v>
      </c>
      <c r="I415" s="43">
        <f>SUMIFS('Hoja 10'!$O:$O,'Hoja 10'!$F:$F,$G415)</f>
        <v>63</v>
      </c>
      <c r="J415" s="26">
        <f>IFERROR(__xludf.DUMMYFUNCTION("VLOOKUP(G415,IMPORTRANGE(""https://docs.google.com/spreadsheets/d/12RxCea4e5ggM7QGn1XE3FbLQa_-QbCNdBi90OdPjRqg/edit?gid=1692403370#gid=1692403370"", ""'Plan de Compras'!D4:2432""), 8,0)"),63.0)</f>
        <v>63</v>
      </c>
      <c r="K415" s="26" t="str">
        <f t="shared" si="40"/>
        <v>SI</v>
      </c>
      <c r="L415" s="29" t="s">
        <v>127</v>
      </c>
      <c r="M415" s="30" t="s">
        <v>105</v>
      </c>
      <c r="N415" s="32"/>
      <c r="O415" s="32" t="str">
        <f>VLOOKUP($G415,'Hoja 10'!$F$4:$AA1057, 19,0)</f>
        <v>Niko Industrial</v>
      </c>
      <c r="P415" s="32">
        <f>VLOOKUP($G415,'Hoja 10'!$F$4:$AA1057, 20,0)</f>
        <v>8193</v>
      </c>
      <c r="Q415" s="33" t="str">
        <f>VLOOKUP($G415,'Hoja 10'!$F$4:$AA1057, 21,0)</f>
        <v>https://niko.pe/producto/escarpines-de-cuero-cromo/?srsltid=AfmBOor6SnYFvO4h3RmCC_HDwDSs-jj1-BZ04vIT7SEqNGb2MT72UODv</v>
      </c>
      <c r="R415" s="30" t="s">
        <v>2965</v>
      </c>
      <c r="S415" s="44" t="b">
        <v>1</v>
      </c>
      <c r="T415" s="61" t="s">
        <v>2966</v>
      </c>
      <c r="U415" s="61">
        <v>8193.0</v>
      </c>
      <c r="V415" s="39" t="str">
        <f>IFERROR(__xludf.DUMMYFUNCTION(" IF
( VLOOKUP($G415,IMPORTRANGE(""https://docs.google.com/spreadsheets/d/1Gpl6jkTg7sL4VDNimUm3S9Vi1i95esohXCF3wuKOE8c"", ""'CONSOLIDADO'!G5:AB""), 10, 0) &lt;&gt; 0, 
IFERROR(VLOOKUP($G415,IMPORTRANGE(""https://docs.google.com/spreadsheets/d/1Gpl6jkTg7sL4VDNimU"&amp;"m3S9Vi1i95esohXCF3wuKOE8c"", ""'CONSOLIDADO'!G5:AB""), 17, 0), ""-""),
""""
)"),"NIKO INDUSTRIAL")</f>
        <v>NIKO INDUSTRIAL</v>
      </c>
      <c r="W415" s="39">
        <f>IFERROR(__xludf.DUMMYFUNCTION(" IF
( VLOOKUP($G415,IMPORTRANGE(""https://docs.google.com/spreadsheets/d/1Gpl6jkTg7sL4VDNimUm3S9Vi1i95esohXCF3wuKOE8c"", ""'CONSOLIDADO'!G5:AB""), 10, 0) &lt;&gt; 0, 
IFERROR(VLOOKUP($G415,IMPORTRANGE(""https://docs.google.com/spreadsheets/d/1Gpl6jkTg7sL4VDNimU"&amp;"m3S9Vi1i95esohXCF3wuKOE8c"", ""'CONSOLIDADO'!G5:AB""), 18, 0), ""-""),
""""
)"),8193.0)</f>
        <v>8193</v>
      </c>
      <c r="X415" s="39" t="b">
        <f t="shared" si="44"/>
        <v>1</v>
      </c>
      <c r="Y415" s="120" t="s">
        <v>2296</v>
      </c>
      <c r="Z415" s="37" t="str">
        <f>IFERROR(__xludf.DUMMYFUNCTION("IFERROR(VLOOKUP(G415,IMPORTRANGE(""https://docs.google.com/spreadsheets/d/12RxCea4e5ggM7QGn1XE3FbLQa_-QbCNdBi90OdPjRqg"", ""'Plan de Compras'!D4:Q""), 12, 0), ""NO ESTÁ EN REQ"")"),"Simple")</f>
        <v>Simple</v>
      </c>
      <c r="AA415" s="37" t="str">
        <f>IFERROR(__xludf.DUMMYFUNCTION("IFERROR(VLOOKUP(G415,IMPORTRANGE(""https://docs.google.com/spreadsheets/d/12RxCea4e5ggM7QGn1XE3FbLQa_-QbCNdBi90OdPjRqg"", ""'Plan de Compras'!D4:Q""), 13, 0), """")"),"NACIONAL")</f>
        <v>NACIONAL</v>
      </c>
      <c r="AB415" s="32" t="str">
        <f>IFERROR(__xludf.DUMMYFUNCTION("IFERROR(VLOOKUP(G415,IMPORTRANGE(""https://docs.google.com/spreadsheets/d/12RxCea4e5ggM7QGn1XE3FbLQa_-QbCNdBi90OdPjRqg"", ""'Plan de Compras'!D4:Q""), 14, 0), """")"),"DIANA")</f>
        <v>DIANA</v>
      </c>
      <c r="AC415" s="72" t="str">
        <f>IFERROR(__xludf.DUMMYFUNCTION("IFERROR(VLOOKUP(G415,IMPORTRANGE(""https://docs.google.com/spreadsheets/d/12RxCea4e5ggM7QGn1XE3FbLQa_-QbCNdBi90OdPjRqg"", ""'Plan de Compras'!D4:Q""), 4, 0), """")"),"ESCARPINES")</f>
        <v>ESCARPINES</v>
      </c>
      <c r="AD415" s="37" t="str">
        <f>IFERROR(__xludf.DUMMYFUNCTION("IFERROR(IF(OR(C415=TRUE,C415=""""),VLOOKUP(G415,IMPORTRANGE(""https://docs.google.com/spreadsheets/d/1z9A1Wq-kKrhRNG5RS2a2fKpY1wIhSVz2ZNmP2mOl588/edit?usp=sharing"",""REQ VF!E4:H""),4,0),""NO APLICA""),""GENERAR REQ"")"),"GENERAR REQ")</f>
        <v>GENERAR REQ</v>
      </c>
      <c r="AE415" s="32" t="str">
        <f>IFERROR(__xludf.DUMMYFUNCTION("IFERROR(QUERY(IMPORTRANGE(""https://docs.google.com/spreadsheets/d/1z9A1Wq-kKrhRNG5RS2a2fKpY1wIhSVz2ZNmP2mOl588/edit?usp=sharing"",""REQ VF!E4:Q""),""SELECT Col10, Col11, Col12 WHERE Col1 = '""&amp;G415&amp;""'"",0),""NO APLICA"")"),"NO APLICA")</f>
        <v>NO APLICA</v>
      </c>
      <c r="AF415" s="32"/>
      <c r="AG415" s="32"/>
      <c r="AH415" s="8" t="s">
        <v>52</v>
      </c>
      <c r="AI415" s="13"/>
    </row>
    <row r="416">
      <c r="A416" s="121">
        <v>254.0</v>
      </c>
      <c r="B416" s="43" t="b">
        <v>1</v>
      </c>
      <c r="C416" s="26" t="b">
        <v>1</v>
      </c>
      <c r="D416" s="26" t="s">
        <v>35</v>
      </c>
      <c r="E416" s="26" t="s">
        <v>1510</v>
      </c>
      <c r="F416" s="59" t="s">
        <v>2967</v>
      </c>
      <c r="G416" s="37" t="s">
        <v>2967</v>
      </c>
      <c r="H416" s="82" t="s">
        <v>2968</v>
      </c>
      <c r="I416" s="43">
        <f>SUMIFS('Hoja 10'!$O:$O,'Hoja 10'!$F:$F,$G416)</f>
        <v>20</v>
      </c>
      <c r="J416" s="26">
        <f>IFERROR(__xludf.DUMMYFUNCTION("VLOOKUP(G416,IMPORTRANGE(""https://docs.google.com/spreadsheets/d/12RxCea4e5ggM7QGn1XE3FbLQa_-QbCNdBi90OdPjRqg/edit?gid=1692403370#gid=1692403370"", ""'Plan de Compras'!D4:2432""), 8,0)"),20.0)</f>
        <v>20</v>
      </c>
      <c r="K416" s="26" t="str">
        <f t="shared" si="40"/>
        <v>SI</v>
      </c>
      <c r="L416" s="29" t="s">
        <v>1529</v>
      </c>
      <c r="M416" s="30" t="s">
        <v>78</v>
      </c>
      <c r="N416" s="32"/>
      <c r="O416" s="32" t="str">
        <f>VLOOKUP($G416,'Hoja 10'!$F$4:$AA1057, 19,0)</f>
        <v>Eterna</v>
      </c>
      <c r="P416" s="32" t="str">
        <f>VLOOKUP($G416,'Hoja 10'!$F$4:$AA1057, 20,0)</f>
        <v>Escobilla de lavandería </v>
      </c>
      <c r="Q416" s="33" t="str">
        <f>VLOOKUP($G416,'Hoja 10'!$F$4:$AA1057, 21,0)</f>
        <v>https://www.promart.pe/escobilla-de-lavanderia/p</v>
      </c>
      <c r="R416" s="30" t="s">
        <v>2969</v>
      </c>
      <c r="S416" s="34" t="b">
        <v>1</v>
      </c>
      <c r="T416" s="63" t="str">
        <f>IFERROR(__xludf.DUMMYFUNCTION(" IF
( VLOOKUP($G416,IMPORTRANGE(""https://docs.google.com/spreadsheets/d/1Gpl6jkTg7sL4VDNimUm3S9Vi1i95esohXCF3wuKOE8c"", ""'CONSOLIDADO'!G5:AB""), 10, 0) &lt;&gt; 0, 
IFERROR(VLOOKUP($G416,IMPORTRANGE(""https://docs.google.com/spreadsheets/d/1Gpl6jkTg7sL4VDNimU"&amp;"m3S9Vi1i95esohXCF3wuKOE8c"", ""'CONSOLIDADO'!G5:AB""), 17, 0), ""-""),
""""
)"),"Hude")</f>
        <v>Hude</v>
      </c>
      <c r="U416" s="63">
        <f>IFERROR(__xludf.DUMMYFUNCTION(" IF
( VLOOKUP($G416,IMPORTRANGE(""https://docs.google.com/spreadsheets/d/1Gpl6jkTg7sL4VDNimUm3S9Vi1i95esohXCF3wuKOE8c"", ""'CONSOLIDADO'!G5:AB""), 10, 0) &lt;&gt; 0, 
IFERROR(VLOOKUP($G416,IMPORTRANGE(""https://docs.google.com/spreadsheets/d/1Gpl6jkTg7sL4VDNimU"&amp;"m3S9Vi1i95esohXCF3wuKOE8c"", ""'CONSOLIDADO'!G5:AB""), 18, 0), ""-""),
""""
)"),150437.0)</f>
        <v>150437</v>
      </c>
      <c r="V416" s="39" t="str">
        <f>IFERROR(__xludf.DUMMYFUNCTION(" IF
( VLOOKUP($G416,IMPORTRANGE(""https://docs.google.com/spreadsheets/d/1Gpl6jkTg7sL4VDNimUm3S9Vi1i95esohXCF3wuKOE8c"", ""'CONSOLIDADO'!G5:AB""), 10, 0) &lt;&gt; 0, 
IFERROR(VLOOKUP($G416,IMPORTRANGE(""https://docs.google.com/spreadsheets/d/1Gpl6jkTg7sL4VDNimU"&amp;"m3S9Vi1i95esohXCF3wuKOE8c"", ""'CONSOLIDADO'!G5:AB""), 17, 0), ""-""),
""""
)"),"Hude")</f>
        <v>Hude</v>
      </c>
      <c r="W416" s="39">
        <f>IFERROR(__xludf.DUMMYFUNCTION(" IF
( VLOOKUP($G416,IMPORTRANGE(""https://docs.google.com/spreadsheets/d/1Gpl6jkTg7sL4VDNimUm3S9Vi1i95esohXCF3wuKOE8c"", ""'CONSOLIDADO'!G5:AB""), 10, 0) &lt;&gt; 0, 
IFERROR(VLOOKUP($G416,IMPORTRANGE(""https://docs.google.com/spreadsheets/d/1Gpl6jkTg7sL4VDNimU"&amp;"m3S9Vi1i95esohXCF3wuKOE8c"", ""'CONSOLIDADO'!G5:AB""), 18, 0), ""-""),
""""
)"),150437.0)</f>
        <v>150437</v>
      </c>
      <c r="X416" s="39" t="b">
        <f t="shared" si="44"/>
        <v>1</v>
      </c>
      <c r="Y416" s="120" t="s">
        <v>2970</v>
      </c>
      <c r="Z416" s="37" t="str">
        <f>IFERROR(__xludf.DUMMYFUNCTION("IFERROR(VLOOKUP(G416,IMPORTRANGE(""https://docs.google.com/spreadsheets/d/12RxCea4e5ggM7QGn1XE3FbLQa_-QbCNdBi90OdPjRqg"", ""'Plan de Compras'!D4:Q""), 12, 0), ""NO ESTÁ EN REQ"")"),"Técnica")</f>
        <v>Técnica</v>
      </c>
      <c r="AA416" s="37" t="str">
        <f>IFERROR(__xludf.DUMMYFUNCTION("IFERROR(VLOOKUP(G416,IMPORTRANGE(""https://docs.google.com/spreadsheets/d/12RxCea4e5ggM7QGn1XE3FbLQa_-QbCNdBi90OdPjRqg"", ""'Plan de Compras'!D4:Q""), 13, 0), """")"),"NACIONAL")</f>
        <v>NACIONAL</v>
      </c>
      <c r="AB416" s="32" t="str">
        <f>IFERROR(__xludf.DUMMYFUNCTION("IFERROR(VLOOKUP(G416,IMPORTRANGE(""https://docs.google.com/spreadsheets/d/12RxCea4e5ggM7QGn1XE3FbLQa_-QbCNdBi90OdPjRqg"", ""'Plan de Compras'!D4:Q""), 14, 0), """")"),"JESSICA")</f>
        <v>JESSICA</v>
      </c>
      <c r="AC416" s="72" t="str">
        <f>IFERROR(__xludf.DUMMYFUNCTION("IFERROR(VLOOKUP(G416,IMPORTRANGE(""https://docs.google.com/spreadsheets/d/12RxCea4e5ggM7QGn1XE3FbLQa_-QbCNdBi90OdPjRqg"", ""'Plan de Compras'!D4:Q""), 4, 0), """")"),"ESCOBILLA")</f>
        <v>ESCOBILLA</v>
      </c>
      <c r="AD416" s="37" t="str">
        <f>IFERROR(__xludf.DUMMYFUNCTION("IFERROR(IF(OR(C416=TRUE,C416=""""),VLOOKUP(G416,IMPORTRANGE(""https://docs.google.com/spreadsheets/d/1z9A1Wq-kKrhRNG5RS2a2fKpY1wIhSVz2ZNmP2mOl588/edit?usp=sharing"",""REQ VF!E4:H""),4,0),""NO APLICA""),""GENERAR REQ"")"),"GENERAR REQ")</f>
        <v>GENERAR REQ</v>
      </c>
      <c r="AE416" s="32" t="str">
        <f>IFERROR(__xludf.DUMMYFUNCTION("IFERROR(QUERY(IMPORTRANGE(""https://docs.google.com/spreadsheets/d/1z9A1Wq-kKrhRNG5RS2a2fKpY1wIhSVz2ZNmP2mOl588/edit?usp=sharing"",""REQ VF!E4:Q""),""SELECT Col10, Col11, Col12 WHERE Col1 = '""&amp;G416&amp;""'"",0),""NO APLICA"")"),"NO APLICA")</f>
        <v>NO APLICA</v>
      </c>
      <c r="AF416" s="32"/>
      <c r="AG416" s="32"/>
      <c r="AH416" s="13"/>
      <c r="AI416" s="13"/>
    </row>
    <row r="417">
      <c r="A417" s="117">
        <v>255.0</v>
      </c>
      <c r="B417" s="43" t="b">
        <v>1</v>
      </c>
      <c r="C417" s="26" t="b">
        <v>1</v>
      </c>
      <c r="D417" s="26" t="s">
        <v>35</v>
      </c>
      <c r="E417" s="26" t="s">
        <v>1510</v>
      </c>
      <c r="F417" s="59" t="s">
        <v>2971</v>
      </c>
      <c r="G417" s="39" t="s">
        <v>2972</v>
      </c>
      <c r="H417" s="82" t="s">
        <v>2973</v>
      </c>
      <c r="I417" s="43">
        <f>SUMIFS('Hoja 10'!$O:$O,'Hoja 10'!$F:$F,$G417)</f>
        <v>2</v>
      </c>
      <c r="J417" s="26">
        <f>IFERROR(__xludf.DUMMYFUNCTION("VLOOKUP(G417,IMPORTRANGE(""https://docs.google.com/spreadsheets/d/12RxCea4e5ggM7QGn1XE3FbLQa_-QbCNdBi90OdPjRqg/edit?gid=1692403370#gid=1692403370"", ""'Plan de Compras'!D4:2432""), 8,0)"),2.0)</f>
        <v>2</v>
      </c>
      <c r="K417" s="26" t="str">
        <f t="shared" si="40"/>
        <v>SI</v>
      </c>
      <c r="L417" s="29" t="s">
        <v>77</v>
      </c>
      <c r="M417" s="30" t="s">
        <v>78</v>
      </c>
      <c r="N417" s="32"/>
      <c r="O417" s="32" t="str">
        <f>VLOOKUP($G417,'Hoja 10'!$F$4:$AA1057, 19,0)</f>
        <v>FBK</v>
      </c>
      <c r="P417" s="32">
        <f>VLOOKUP($G417,'Hoja 10'!$F$4:$AA1057, 20,0)</f>
        <v>20153</v>
      </c>
      <c r="Q417" s="33" t="str">
        <f>VLOOKUP($G417,'Hoja 10'!$F$4:$AA1057, 21,0)</f>
        <v>https://www.b2peru.pe/es/product/24/cepillo-para-refregar-escobillon-fbk-peru-sac</v>
      </c>
      <c r="R417" s="30" t="s">
        <v>2974</v>
      </c>
      <c r="S417" s="34" t="b">
        <v>1</v>
      </c>
      <c r="T417" s="39" t="str">
        <f>IFERROR(__xludf.DUMMYFUNCTION(" IF
( VLOOKUP($G417,IMPORTRANGE(""https://docs.google.com/spreadsheets/d/1Gpl6jkTg7sL4VDNimUm3S9Vi1i95esohXCF3wuKOE8c"", ""'CONSOLIDADO'!G5:AB""), 10, 0) &lt;&gt; 0, 
IFERROR(VLOOKUP($G417,IMPORTRANGE(""https://docs.google.com/spreadsheets/d/1Gpl6jkTg7sL4VDNimU"&amp;"m3S9Vi1i95esohXCF3wuKOE8c"", ""'CONSOLIDADO'!G5:AB""), 17, 0), ""-""),
""""
)"),"FBK		")</f>
        <v>FBK		</v>
      </c>
      <c r="U417" s="39">
        <f>IFERROR(__xludf.DUMMYFUNCTION(" IF
( VLOOKUP($G417,IMPORTRANGE(""https://docs.google.com/spreadsheets/d/1Gpl6jkTg7sL4VDNimUm3S9Vi1i95esohXCF3wuKOE8c"", ""'CONSOLIDADO'!G5:AB""), 10, 0) &lt;&gt; 0, 
IFERROR(VLOOKUP($G417,IMPORTRANGE(""https://docs.google.com/spreadsheets/d/1Gpl6jkTg7sL4VDNimU"&amp;"m3S9Vi1i95esohXCF3wuKOE8c"", ""'CONSOLIDADO'!G5:AB""), 18, 0), ""-""),
""""
)"),23153.0)</f>
        <v>23153</v>
      </c>
      <c r="V417" s="39" t="str">
        <f>IFERROR(__xludf.DUMMYFUNCTION(" IF
( VLOOKUP($G417,IMPORTRANGE(""https://docs.google.com/spreadsheets/d/1Gpl6jkTg7sL4VDNimUm3S9Vi1i95esohXCF3wuKOE8c"", ""'CONSOLIDADO'!G5:AB""), 10, 0) &lt;&gt; 0, 
IFERROR(VLOOKUP($G417,IMPORTRANGE(""https://docs.google.com/spreadsheets/d/1Gpl6jkTg7sL4VDNimU"&amp;"m3S9Vi1i95esohXCF3wuKOE8c"", ""'CONSOLIDADO'!G5:AB""), 17, 0), ""-""),
""""
)"),"FBK		")</f>
        <v>FBK		</v>
      </c>
      <c r="W417" s="39">
        <f>IFERROR(__xludf.DUMMYFUNCTION(" IF
( VLOOKUP($G417,IMPORTRANGE(""https://docs.google.com/spreadsheets/d/1Gpl6jkTg7sL4VDNimUm3S9Vi1i95esohXCF3wuKOE8c"", ""'CONSOLIDADO'!G5:AB""), 10, 0) &lt;&gt; 0, 
IFERROR(VLOOKUP($G417,IMPORTRANGE(""https://docs.google.com/spreadsheets/d/1Gpl6jkTg7sL4VDNimU"&amp;"m3S9Vi1i95esohXCF3wuKOE8c"", ""'CONSOLIDADO'!G5:AB""), 18, 0), ""-""),
""""
)"),23153.0)</f>
        <v>23153</v>
      </c>
      <c r="X417" s="39" t="b">
        <f t="shared" si="44"/>
        <v>1</v>
      </c>
      <c r="Y417" s="120" t="str">
        <f>IFERROR(__xludf.DUMMYFUNCTION(" IF
( VLOOKUP($G417,IMPORTRANGE(""https://docs.google.com/spreadsheets/d/1Gpl6jkTg7sL4VDNimUm3S9Vi1i95esohXCF3wuKOE8c"", ""'CONSOLIDADO'!G5:AB""), 10, 0) &lt;&gt; 0, 
IFERROR(VLOOKUP($G417,IMPORTRANGE(""https://docs.google.com/spreadsheets/d/1Gpl6jkTg7sL4VDNimU"&amp;"m3S9Vi1i95esohXCF3wuKOE8c"", ""'CONSOLIDADO'!G5:AB""), 19, 0), ""-""),
""""
)"),"https://www.b2peru.pe/es/product/24/cepillo-para-refregar-escobillon-fbk-peru-sac")</f>
        <v>https://www.b2peru.pe/es/product/24/cepillo-para-refregar-escobillon-fbk-peru-sac</v>
      </c>
      <c r="Z417" s="37" t="str">
        <f>IFERROR(__xludf.DUMMYFUNCTION("IFERROR(VLOOKUP(G417,IMPORTRANGE(""https://docs.google.com/spreadsheets/d/12RxCea4e5ggM7QGn1XE3FbLQa_-QbCNdBi90OdPjRqg"", ""'Plan de Compras'!D4:Q""), 12, 0), ""NO ESTÁ EN REQ"")"),"Técnica")</f>
        <v>Técnica</v>
      </c>
      <c r="AA417" s="37" t="str">
        <f>IFERROR(__xludf.DUMMYFUNCTION("IFERROR(VLOOKUP(G417,IMPORTRANGE(""https://docs.google.com/spreadsheets/d/12RxCea4e5ggM7QGn1XE3FbLQa_-QbCNdBi90OdPjRqg"", ""'Plan de Compras'!D4:Q""), 13, 0), """")"),"NACIONAL")</f>
        <v>NACIONAL</v>
      </c>
      <c r="AB417" s="32" t="str">
        <f>IFERROR(__xludf.DUMMYFUNCTION("IFERROR(VLOOKUP(G417,IMPORTRANGE(""https://docs.google.com/spreadsheets/d/12RxCea4e5ggM7QGn1XE3FbLQa_-QbCNdBi90OdPjRqg"", ""'Plan de Compras'!D4:Q""), 14, 0), """")"),"JESSICA")</f>
        <v>JESSICA</v>
      </c>
      <c r="AC417" s="72" t="str">
        <f>IFERROR(__xludf.DUMMYFUNCTION("IFERROR(VLOOKUP(G417,IMPORTRANGE(""https://docs.google.com/spreadsheets/d/12RxCea4e5ggM7QGn1XE3FbLQa_-QbCNdBi90OdPjRqg"", ""'Plan de Compras'!D4:Q""), 4, 0), """")"),"ESCOBILLON")</f>
        <v>ESCOBILLON</v>
      </c>
      <c r="AD417" s="37" t="str">
        <f>IFERROR(__xludf.DUMMYFUNCTION("IFERROR(IF(OR(C417=TRUE,C417=""""),VLOOKUP(G417,IMPORTRANGE(""https://docs.google.com/spreadsheets/d/1z9A1Wq-kKrhRNG5RS2a2fKpY1wIhSVz2ZNmP2mOl588/edit?usp=sharing"",""REQ VF!E4:H""),4,0),""NO APLICA""),""GENERAR REQ"")"),"GENERAR REQ")</f>
        <v>GENERAR REQ</v>
      </c>
      <c r="AE417" s="32" t="str">
        <f>IFERROR(__xludf.DUMMYFUNCTION("IFERROR(QUERY(IMPORTRANGE(""https://docs.google.com/spreadsheets/d/1z9A1Wq-kKrhRNG5RS2a2fKpY1wIhSVz2ZNmP2mOl588/edit?usp=sharing"",""REQ VF!E4:Q""),""SELECT Col10, Col11, Col12 WHERE Col1 = '""&amp;G417&amp;""'"",0),""NO APLICA"")"),"NO APLICA")</f>
        <v>NO APLICA</v>
      </c>
      <c r="AF417" s="32"/>
      <c r="AG417" s="32"/>
      <c r="AH417" s="13"/>
      <c r="AI417" s="13"/>
    </row>
    <row r="418">
      <c r="A418" s="43"/>
      <c r="B418" s="43"/>
      <c r="C418" s="26" t="b">
        <v>1</v>
      </c>
      <c r="D418" s="26" t="s">
        <v>42</v>
      </c>
      <c r="E418" s="43" t="s">
        <v>1510</v>
      </c>
      <c r="F418" s="39" t="s">
        <v>2971</v>
      </c>
      <c r="G418" s="39" t="s">
        <v>2975</v>
      </c>
      <c r="H418" s="66" t="s">
        <v>2976</v>
      </c>
      <c r="I418" s="43">
        <f>1*I417</f>
        <v>2</v>
      </c>
      <c r="J418" s="26">
        <f>IFERROR(__xludf.DUMMYFUNCTION("VLOOKUP(G418,IMPORTRANGE(""https://docs.google.com/spreadsheets/d/12RxCea4e5ggM7QGn1XE3FbLQa_-QbCNdBi90OdPjRqg/edit?gid=1692403370#gid=1692403370"", ""'Plan de Compras'!D4:2432""), 8,0)"),2.0)</f>
        <v>2</v>
      </c>
      <c r="K418" s="26" t="str">
        <f t="shared" si="40"/>
        <v>SI</v>
      </c>
      <c r="L418" s="35"/>
      <c r="M418" s="32"/>
      <c r="N418" s="32" t="s">
        <v>2977</v>
      </c>
      <c r="O418" s="32"/>
      <c r="P418" s="32"/>
      <c r="Q418" s="41" t="s">
        <v>2978</v>
      </c>
      <c r="R418" s="32"/>
      <c r="S418" s="34" t="b">
        <v>1</v>
      </c>
      <c r="T418" s="39" t="s">
        <v>2979</v>
      </c>
      <c r="U418" s="39" t="s">
        <v>2980</v>
      </c>
      <c r="V418" s="39"/>
      <c r="W418" s="39"/>
      <c r="X418" s="39"/>
      <c r="Y418" s="129" t="s">
        <v>2981</v>
      </c>
      <c r="Z418" s="37" t="str">
        <f>IFERROR(__xludf.DUMMYFUNCTION("IFERROR(VLOOKUP(G418,IMPORTRANGE(""https://docs.google.com/spreadsheets/d/12RxCea4e5ggM7QGn1XE3FbLQa_-QbCNdBi90OdPjRqg"", ""'Plan de Compras'!D4:Q""), 12, 0), ""NO ESTÁ EN REQ"")"),"Técnica")</f>
        <v>Técnica</v>
      </c>
      <c r="AA418" s="37" t="str">
        <f>IFERROR(__xludf.DUMMYFUNCTION("IFERROR(VLOOKUP(G418,IMPORTRANGE(""https://docs.google.com/spreadsheets/d/12RxCea4e5ggM7QGn1XE3FbLQa_-QbCNdBi90OdPjRqg"", ""'Plan de Compras'!D4:Q""), 13, 0), """")"),"NACIONAL")</f>
        <v>NACIONAL</v>
      </c>
      <c r="AB418" s="32" t="str">
        <f>IFERROR(__xludf.DUMMYFUNCTION("IFERROR(VLOOKUP(G418,IMPORTRANGE(""https://docs.google.com/spreadsheets/d/12RxCea4e5ggM7QGn1XE3FbLQa_-QbCNdBi90OdPjRqg"", ""'Plan de Compras'!D4:Q""), 14, 0), """")"),"JESSICA")</f>
        <v>JESSICA</v>
      </c>
      <c r="AC418" s="72" t="str">
        <f>IFERROR(__xludf.DUMMYFUNCTION("IFERROR(VLOOKUP(G418,IMPORTRANGE(""https://docs.google.com/spreadsheets/d/12RxCea4e5ggM7QGn1XE3FbLQa_-QbCNdBi90OdPjRqg"", ""'Plan de Compras'!D4:Q""), 4, 0), """")"),"CABO GRUESO  BARRENDERO (1 UND)")</f>
        <v>CABO GRUESO  BARRENDERO (1 UND)</v>
      </c>
      <c r="AD418" s="37" t="str">
        <f>IFERROR(__xludf.DUMMYFUNCTION("IFERROR(IF(OR(C418=TRUE,C418=""""),VLOOKUP(G418,IMPORTRANGE(""https://docs.google.com/spreadsheets/d/1z9A1Wq-kKrhRNG5RS2a2fKpY1wIhSVz2ZNmP2mOl588/edit?usp=sharing"",""REQ VF!E4:H""),4,0),""NO APLICA""),""GENERAR REQ"")"),"GENERAR REQ")</f>
        <v>GENERAR REQ</v>
      </c>
      <c r="AE418" s="32" t="str">
        <f>IFERROR(__xludf.DUMMYFUNCTION("IFERROR(QUERY(IMPORTRANGE(""https://docs.google.com/spreadsheets/d/1z9A1Wq-kKrhRNG5RS2a2fKpY1wIhSVz2ZNmP2mOl588/edit?usp=sharing"",""REQ VF!E4:Q""),""SELECT Col10, Col11, Col12 WHERE Col1 = '""&amp;G418&amp;""'"",0),""NO APLICA"")"),"NO APLICA")</f>
        <v>NO APLICA</v>
      </c>
      <c r="AF418" s="32"/>
      <c r="AG418" s="32"/>
      <c r="AH418" s="13"/>
      <c r="AI418" s="13"/>
    </row>
    <row r="419">
      <c r="A419" s="117">
        <v>256.0</v>
      </c>
      <c r="B419" s="43" t="b">
        <v>1</v>
      </c>
      <c r="C419" s="26" t="b">
        <v>1</v>
      </c>
      <c r="D419" s="26" t="s">
        <v>35</v>
      </c>
      <c r="E419" s="26" t="s">
        <v>1510</v>
      </c>
      <c r="F419" s="59" t="s">
        <v>2971</v>
      </c>
      <c r="G419" s="39" t="s">
        <v>2982</v>
      </c>
      <c r="H419" s="66" t="s">
        <v>2983</v>
      </c>
      <c r="I419" s="43">
        <f>SUMIFS('Hoja 10'!$O:$O,'Hoja 10'!$F:$F,$G419)</f>
        <v>8</v>
      </c>
      <c r="J419" s="26">
        <f>IFERROR(__xludf.DUMMYFUNCTION("VLOOKUP(G419,IMPORTRANGE(""https://docs.google.com/spreadsheets/d/12RxCea4e5ggM7QGn1XE3FbLQa_-QbCNdBi90OdPjRqg/edit?gid=1692403370#gid=1692403370"", ""'Plan de Compras'!D4:2432""), 8,0)"),8.0)</f>
        <v>8</v>
      </c>
      <c r="K419" s="26" t="str">
        <f t="shared" si="40"/>
        <v>SI</v>
      </c>
      <c r="L419" s="29" t="s">
        <v>39</v>
      </c>
      <c r="M419" s="30" t="s">
        <v>40</v>
      </c>
      <c r="N419" s="32"/>
      <c r="O419" s="32" t="str">
        <f>VLOOKUP($G419,'Hoja 10'!$F$4:$AA1057, 19,0)</f>
        <v>FBK</v>
      </c>
      <c r="P419" s="32">
        <f>VLOOKUP($G419,'Hoja 10'!$F$4:$AA1057, 20,0)</f>
        <v>20153</v>
      </c>
      <c r="Q419" s="33" t="str">
        <f>VLOOKUP($G419,'Hoja 10'!$F$4:$AA1057, 21,0)</f>
        <v>https://www.b2peru.pe/es/product/24/cepillo-para-refregar-escobillon-fbk-peru-sac</v>
      </c>
      <c r="R419" s="30" t="s">
        <v>2984</v>
      </c>
      <c r="S419" s="34" t="b">
        <v>1</v>
      </c>
      <c r="T419" s="39" t="str">
        <f>IFERROR(__xludf.DUMMYFUNCTION(" IF
( VLOOKUP($G419,IMPORTRANGE(""https://docs.google.com/spreadsheets/d/1Gpl6jkTg7sL4VDNimUm3S9Vi1i95esohXCF3wuKOE8c"", ""'CONSOLIDADO'!G5:AB""), 10, 0) &lt;&gt; 0, 
IFERROR(VLOOKUP($G419,IMPORTRANGE(""https://docs.google.com/spreadsheets/d/1Gpl6jkTg7sL4VDNimU"&amp;"m3S9Vi1i95esohXCF3wuKOE8c"", ""'CONSOLIDADO'!G5:AB""), 17, 0), ""-""),
""""
)"),"FBK                ")</f>
        <v>FBK                </v>
      </c>
      <c r="U419" s="39">
        <f>IFERROR(__xludf.DUMMYFUNCTION(" IF
( VLOOKUP($G419,IMPORTRANGE(""https://docs.google.com/spreadsheets/d/1Gpl6jkTg7sL4VDNimUm3S9Vi1i95esohXCF3wuKOE8c"", ""'CONSOLIDADO'!G5:AB""), 10, 0) &lt;&gt; 0, 
IFERROR(VLOOKUP($G419,IMPORTRANGE(""https://docs.google.com/spreadsheets/d/1Gpl6jkTg7sL4VDNimU"&amp;"m3S9Vi1i95esohXCF3wuKOE8c"", ""'CONSOLIDADO'!G5:AB""), 18, 0), ""-""),
""""
)"),23153.0)</f>
        <v>23153</v>
      </c>
      <c r="V419" s="39" t="str">
        <f>IFERROR(__xludf.DUMMYFUNCTION(" IF
( VLOOKUP($G419,IMPORTRANGE(""https://docs.google.com/spreadsheets/d/1Gpl6jkTg7sL4VDNimUm3S9Vi1i95esohXCF3wuKOE8c"", ""'CONSOLIDADO'!G5:AB""), 10, 0) &lt;&gt; 0, 
IFERROR(VLOOKUP($G419,IMPORTRANGE(""https://docs.google.com/spreadsheets/d/1Gpl6jkTg7sL4VDNimU"&amp;"m3S9Vi1i95esohXCF3wuKOE8c"", ""'CONSOLIDADO'!G5:AB""), 17, 0), ""-""),
""""
)"),"FBK                ")</f>
        <v>FBK                </v>
      </c>
      <c r="W419" s="39">
        <f>IFERROR(__xludf.DUMMYFUNCTION(" IF
( VLOOKUP($G419,IMPORTRANGE(""https://docs.google.com/spreadsheets/d/1Gpl6jkTg7sL4VDNimUm3S9Vi1i95esohXCF3wuKOE8c"", ""'CONSOLIDADO'!G5:AB""), 10, 0) &lt;&gt; 0, 
IFERROR(VLOOKUP($G419,IMPORTRANGE(""https://docs.google.com/spreadsheets/d/1Gpl6jkTg7sL4VDNimU"&amp;"m3S9Vi1i95esohXCF3wuKOE8c"", ""'CONSOLIDADO'!G5:AB""), 18, 0), ""-""),
""""
)"),23153.0)</f>
        <v>23153</v>
      </c>
      <c r="X419" s="39" t="b">
        <f>IF(AND(T419=V419,W419=U419),TRUE,FALSE)</f>
        <v>1</v>
      </c>
      <c r="Y419" s="120" t="str">
        <f>IFERROR(__xludf.DUMMYFUNCTION(" IF
( VLOOKUP($G419,IMPORTRANGE(""https://docs.google.com/spreadsheets/d/1Gpl6jkTg7sL4VDNimUm3S9Vi1i95esohXCF3wuKOE8c"", ""'CONSOLIDADO'!G5:AB""), 10, 0) &lt;&gt; 0, 
IFERROR(VLOOKUP($G419,IMPORTRANGE(""https://docs.google.com/spreadsheets/d/1Gpl6jkTg7sL4VDNimU"&amp;"m3S9Vi1i95esohXCF3wuKOE8c"", ""'CONSOLIDADO'!G5:AB""), 19, 0), ""-""),
""""
)"),"https://www.b2peru.pe/es/product/24/cepillo-para-refregar-escobillon-fbk-peru-sac")</f>
        <v>https://www.b2peru.pe/es/product/24/cepillo-para-refregar-escobillon-fbk-peru-sac</v>
      </c>
      <c r="Z419" s="37" t="str">
        <f>IFERROR(__xludf.DUMMYFUNCTION("IFERROR(VLOOKUP(G419,IMPORTRANGE(""https://docs.google.com/spreadsheets/d/12RxCea4e5ggM7QGn1XE3FbLQa_-QbCNdBi90OdPjRqg"", ""'Plan de Compras'!D4:Q""), 12, 0), ""NO ESTÁ EN REQ"")"),"Técnica")</f>
        <v>Técnica</v>
      </c>
      <c r="AA419" s="37" t="str">
        <f>IFERROR(__xludf.DUMMYFUNCTION("IFERROR(VLOOKUP(G419,IMPORTRANGE(""https://docs.google.com/spreadsheets/d/12RxCea4e5ggM7QGn1XE3FbLQa_-QbCNdBi90OdPjRqg"", ""'Plan de Compras'!D4:Q""), 13, 0), """")"),"NACIONAL")</f>
        <v>NACIONAL</v>
      </c>
      <c r="AB419" s="32" t="str">
        <f>IFERROR(__xludf.DUMMYFUNCTION("IFERROR(VLOOKUP(G419,IMPORTRANGE(""https://docs.google.com/spreadsheets/d/12RxCea4e5ggM7QGn1XE3FbLQa_-QbCNdBi90OdPjRqg"", ""'Plan de Compras'!D4:Q""), 14, 0), """")"),"JESSICA")</f>
        <v>JESSICA</v>
      </c>
      <c r="AC419" s="72" t="str">
        <f>IFERROR(__xludf.DUMMYFUNCTION("IFERROR(VLOOKUP(G419,IMPORTRANGE(""https://docs.google.com/spreadsheets/d/12RxCea4e5ggM7QGn1XE3FbLQa_-QbCNdBi90OdPjRqg"", ""'Plan de Compras'!D4:Q""), 4, 0), """")"),"ESCOBILLÓN")</f>
        <v>ESCOBILLÓN</v>
      </c>
      <c r="AD419" s="37" t="str">
        <f>IFERROR(__xludf.DUMMYFUNCTION("IFERROR(IF(OR(C419=TRUE,C419=""""),VLOOKUP(G419,IMPORTRANGE(""https://docs.google.com/spreadsheets/d/1z9A1Wq-kKrhRNG5RS2a2fKpY1wIhSVz2ZNmP2mOl588/edit?usp=sharing"",""REQ VF!E4:H""),4,0),""NO APLICA""),""GENERAR REQ"")"),"GENERAR REQ")</f>
        <v>GENERAR REQ</v>
      </c>
      <c r="AE419" s="32" t="str">
        <f>IFERROR(__xludf.DUMMYFUNCTION("IFERROR(QUERY(IMPORTRANGE(""https://docs.google.com/spreadsheets/d/1z9A1Wq-kKrhRNG5RS2a2fKpY1wIhSVz2ZNmP2mOl588/edit?usp=sharing"",""REQ VF!E4:Q""),""SELECT Col10, Col11, Col12 WHERE Col1 = '""&amp;G419&amp;""'"",0),""NO APLICA"")"),"NO APLICA")</f>
        <v>NO APLICA</v>
      </c>
      <c r="AF419" s="32"/>
      <c r="AG419" s="32"/>
      <c r="AH419" s="13"/>
      <c r="AI419" s="13"/>
    </row>
    <row r="420">
      <c r="A420" s="43"/>
      <c r="B420" s="43"/>
      <c r="C420" s="26" t="b">
        <v>1</v>
      </c>
      <c r="D420" s="26" t="s">
        <v>42</v>
      </c>
      <c r="E420" s="43" t="s">
        <v>1510</v>
      </c>
      <c r="F420" s="39" t="s">
        <v>2971</v>
      </c>
      <c r="G420" s="39" t="s">
        <v>2985</v>
      </c>
      <c r="H420" s="66" t="s">
        <v>2976</v>
      </c>
      <c r="I420" s="43">
        <v>8.0</v>
      </c>
      <c r="J420" s="26">
        <f>IFERROR(__xludf.DUMMYFUNCTION("VLOOKUP(G420,IMPORTRANGE(""https://docs.google.com/spreadsheets/d/12RxCea4e5ggM7QGn1XE3FbLQa_-QbCNdBi90OdPjRqg/edit?gid=1692403370#gid=1692403370"", ""'Plan de Compras'!D4:2432""), 8,0)"),8.0)</f>
        <v>8</v>
      </c>
      <c r="K420" s="26" t="str">
        <f t="shared" si="40"/>
        <v>SI</v>
      </c>
      <c r="L420" s="26"/>
      <c r="M420" s="32"/>
      <c r="N420" s="32" t="s">
        <v>2977</v>
      </c>
      <c r="O420" s="32"/>
      <c r="P420" s="32"/>
      <c r="Q420" s="33" t="s">
        <v>2978</v>
      </c>
      <c r="R420" s="32"/>
      <c r="S420" s="34" t="b">
        <v>1</v>
      </c>
      <c r="T420" s="39" t="s">
        <v>2979</v>
      </c>
      <c r="U420" s="39" t="s">
        <v>2980</v>
      </c>
      <c r="V420" s="39"/>
      <c r="W420" s="39"/>
      <c r="X420" s="39"/>
      <c r="Y420" s="126" t="s">
        <v>2981</v>
      </c>
      <c r="Z420" s="37" t="str">
        <f>IFERROR(__xludf.DUMMYFUNCTION("IFERROR(VLOOKUP(G420,IMPORTRANGE(""https://docs.google.com/spreadsheets/d/12RxCea4e5ggM7QGn1XE3FbLQa_-QbCNdBi90OdPjRqg"", ""'Plan de Compras'!D4:Q""), 12, 0), ""NO ESTÁ EN REQ"")"),"Técnica")</f>
        <v>Técnica</v>
      </c>
      <c r="AA420" s="37" t="str">
        <f>IFERROR(__xludf.DUMMYFUNCTION("IFERROR(VLOOKUP(G420,IMPORTRANGE(""https://docs.google.com/spreadsheets/d/12RxCea4e5ggM7QGn1XE3FbLQa_-QbCNdBi90OdPjRqg"", ""'Plan de Compras'!D4:Q""), 13, 0), """")"),"NACIONAL")</f>
        <v>NACIONAL</v>
      </c>
      <c r="AB420" s="32" t="str">
        <f>IFERROR(__xludf.DUMMYFUNCTION("IFERROR(VLOOKUP(G420,IMPORTRANGE(""https://docs.google.com/spreadsheets/d/12RxCea4e5ggM7QGn1XE3FbLQa_-QbCNdBi90OdPjRqg"", ""'Plan de Compras'!D4:Q""), 14, 0), """")"),"JESSICA")</f>
        <v>JESSICA</v>
      </c>
      <c r="AC420" s="72" t="str">
        <f>IFERROR(__xludf.DUMMYFUNCTION("IFERROR(VLOOKUP(G420,IMPORTRANGE(""https://docs.google.com/spreadsheets/d/12RxCea4e5ggM7QGn1XE3FbLQa_-QbCNdBi90OdPjRqg"", ""'Plan de Compras'!D4:Q""), 4, 0), """")"),"CABO GRUESO  BARRENDERO (1 UND)")</f>
        <v>CABO GRUESO  BARRENDERO (1 UND)</v>
      </c>
      <c r="AD420" s="37" t="str">
        <f>IFERROR(__xludf.DUMMYFUNCTION("IFERROR(IF(OR(C420=TRUE,C420=""""),VLOOKUP(G420,IMPORTRANGE(""https://docs.google.com/spreadsheets/d/1z9A1Wq-kKrhRNG5RS2a2fKpY1wIhSVz2ZNmP2mOl588/edit?usp=sharing"",""REQ VF!E4:H""),4,0),""NO APLICA""),""GENERAR REQ"")"),"GENERAR REQ")</f>
        <v>GENERAR REQ</v>
      </c>
      <c r="AE420" s="32" t="str">
        <f>IFERROR(__xludf.DUMMYFUNCTION("IFERROR(QUERY(IMPORTRANGE(""https://docs.google.com/spreadsheets/d/1z9A1Wq-kKrhRNG5RS2a2fKpY1wIhSVz2ZNmP2mOl588/edit?usp=sharing"",""REQ VF!E4:Q""),""SELECT Col10, Col11, Col12 WHERE Col1 = '""&amp;G420&amp;""'"",0),""NO APLICA"")"),"NO APLICA")</f>
        <v>NO APLICA</v>
      </c>
      <c r="AF420" s="32"/>
      <c r="AG420" s="32"/>
      <c r="AH420" s="13"/>
      <c r="AI420" s="13"/>
    </row>
    <row r="421">
      <c r="A421" s="121">
        <v>257.0</v>
      </c>
      <c r="B421" s="43" t="b">
        <v>1</v>
      </c>
      <c r="C421" s="26" t="b">
        <v>1</v>
      </c>
      <c r="D421" s="26" t="s">
        <v>35</v>
      </c>
      <c r="E421" s="26" t="s">
        <v>1510</v>
      </c>
      <c r="F421" s="59" t="s">
        <v>2986</v>
      </c>
      <c r="G421" s="37" t="s">
        <v>2986</v>
      </c>
      <c r="H421" s="82" t="s">
        <v>2987</v>
      </c>
      <c r="I421" s="43">
        <f>SUMIFS('Hoja 10'!$O:$O,'Hoja 10'!$F:$F,$G421)</f>
        <v>20</v>
      </c>
      <c r="J421" s="26">
        <f>IFERROR(__xludf.DUMMYFUNCTION("VLOOKUP(G421,IMPORTRANGE(""https://docs.google.com/spreadsheets/d/12RxCea4e5ggM7QGn1XE3FbLQa_-QbCNdBi90OdPjRqg/edit?gid=1692403370#gid=1692403370"", ""'Plan de Compras'!D4:2432""), 8,0)"),20.0)</f>
        <v>20</v>
      </c>
      <c r="K421" s="26" t="str">
        <f t="shared" si="40"/>
        <v>SI</v>
      </c>
      <c r="L421" s="29" t="s">
        <v>39</v>
      </c>
      <c r="M421" s="30" t="s">
        <v>40</v>
      </c>
      <c r="N421" s="32"/>
      <c r="O421" s="32" t="str">
        <f>VLOOKUP($G421,'Hoja 10'!$F$4:$AA1057, 19,0)</f>
        <v>heffiso</v>
      </c>
      <c r="P421" s="32" t="str">
        <f>VLOOKUP($G421,'Hoja 10'!$F$4:$AA1057, 20,0)</f>
        <v> B0CK21WX8Y</v>
      </c>
      <c r="Q421" s="33" t="str">
        <f>VLOOKUP($G421,'Hoja 10'!$F$4:$AA1057, 21,0)</f>
        <v>https://www.amazon.com/-/es/esp%C3%A1tulas-silicona-resistentes-comercial-antiadherentes/dp/B0CK21WX8Y/?th=1</v>
      </c>
      <c r="R421" s="30" t="s">
        <v>2988</v>
      </c>
      <c r="S421" s="34" t="b">
        <v>1</v>
      </c>
      <c r="T421" s="39" t="str">
        <f>IFERROR(__xludf.DUMMYFUNCTION(" IF
( VLOOKUP($G421,IMPORTRANGE(""https://docs.google.com/spreadsheets/d/1Gpl6jkTg7sL4VDNimUm3S9Vi1i95esohXCF3wuKOE8c"", ""'CONSOLIDADO'!G5:AB""), 10, 0) &lt;&gt; 0, 
IFERROR(VLOOKUP($G421,IMPORTRANGE(""https://docs.google.com/spreadsheets/d/1Gpl6jkTg7sL4VDNimU"&amp;"m3S9Vi1i95esohXCF3wuKOE8c"", ""'CONSOLIDADO'!G5:AB""), 17, 0), ""-""),
""""
)"),"WINCO")</f>
        <v>WINCO</v>
      </c>
      <c r="U421" s="39" t="str">
        <f>IFERROR(__xludf.DUMMYFUNCTION(" IF
( VLOOKUP($G421,IMPORTRANGE(""https://docs.google.com/spreadsheets/d/1Gpl6jkTg7sL4VDNimUm3S9Vi1i95esohXCF3wuKOE8c"", ""'CONSOLIDADO'!G5:AB""), 10, 0) &lt;&gt; 0, 
IFERROR(VLOOKUP($G421,IMPORTRANGE(""https://docs.google.com/spreadsheets/d/1Gpl6jkTg7sL4VDNimU"&amp;"m3S9Vi1i95esohXCF3wuKOE8c"", ""'CONSOLIDADO'!G5:AB""), 18, 0), ""-""),
""""
)"),"PSH-16")</f>
        <v>PSH-16</v>
      </c>
      <c r="V421" s="39" t="str">
        <f>IFERROR(__xludf.DUMMYFUNCTION(" IF
( VLOOKUP($G421,IMPORTRANGE(""https://docs.google.com/spreadsheets/d/1Gpl6jkTg7sL4VDNimUm3S9Vi1i95esohXCF3wuKOE8c"", ""'CONSOLIDADO'!G5:AB""), 10, 0) &lt;&gt; 0, 
IFERROR(VLOOKUP($G421,IMPORTRANGE(""https://docs.google.com/spreadsheets/d/1Gpl6jkTg7sL4VDNimU"&amp;"m3S9Vi1i95esohXCF3wuKOE8c"", ""'CONSOLIDADO'!G5:AB""), 17, 0), ""-""),
""""
)"),"WINCO")</f>
        <v>WINCO</v>
      </c>
      <c r="W421" s="39" t="str">
        <f>IFERROR(__xludf.DUMMYFUNCTION(" IF
( VLOOKUP($G421,IMPORTRANGE(""https://docs.google.com/spreadsheets/d/1Gpl6jkTg7sL4VDNimUm3S9Vi1i95esohXCF3wuKOE8c"", ""'CONSOLIDADO'!G5:AB""), 10, 0) &lt;&gt; 0, 
IFERROR(VLOOKUP($G421,IMPORTRANGE(""https://docs.google.com/spreadsheets/d/1Gpl6jkTg7sL4VDNimU"&amp;"m3S9Vi1i95esohXCF3wuKOE8c"", ""'CONSOLIDADO'!G5:AB""), 18, 0), ""-""),
""""
)"),"PSH-16")</f>
        <v>PSH-16</v>
      </c>
      <c r="X421" s="39" t="b">
        <f t="shared" ref="X421:X424" si="45">IF(AND(T421=V421,W421=U421),TRUE,FALSE)</f>
        <v>1</v>
      </c>
      <c r="Y421" s="120" t="str">
        <f>IFERROR(__xludf.DUMMYFUNCTION(" IF
( VLOOKUP($G421,IMPORTRANGE(""https://docs.google.com/spreadsheets/d/1Gpl6jkTg7sL4VDNimUm3S9Vi1i95esohXCF3wuKOE8c"", ""'CONSOLIDADO'!G5:AB""), 10, 0) &lt;&gt; 0, 
IFERROR(VLOOKUP($G421,IMPORTRANGE(""https://docs.google.com/spreadsheets/d/1Gpl6jkTg7sL4VDNimU"&amp;"m3S9Vi1i95esohXCF3wuKOE8c"", ""'CONSOLIDADO'!G5:AB""), 19, 0), ""-""),
""""
)"),"https://www.wincous.com/products/psh-16?_pos=2&amp;_psq=psh-16&amp;_ss=e&amp;_v=1.0")</f>
        <v>https://www.wincous.com/products/psh-16?_pos=2&amp;_psq=psh-16&amp;_ss=e&amp;_v=1.0</v>
      </c>
      <c r="Z421" s="37" t="str">
        <f>IFERROR(__xludf.DUMMYFUNCTION("IFERROR(VLOOKUP(G421,IMPORTRANGE(""https://docs.google.com/spreadsheets/d/12RxCea4e5ggM7QGn1XE3FbLQa_-QbCNdBi90OdPjRqg"", ""'Plan de Compras'!D4:Q""), 12, 0), ""NO ESTÁ EN REQ"")"),"Técnica")</f>
        <v>Técnica</v>
      </c>
      <c r="AA421" s="37" t="str">
        <f>IFERROR(__xludf.DUMMYFUNCTION("IFERROR(VLOOKUP(G421,IMPORTRANGE(""https://docs.google.com/spreadsheets/d/12RxCea4e5ggM7QGn1XE3FbLQa_-QbCNdBi90OdPjRqg"", ""'Plan de Compras'!D4:Q""), 13, 0), """")"),"INTERNACIONAL")</f>
        <v>INTERNACIONAL</v>
      </c>
      <c r="AB421" s="32" t="str">
        <f>IFERROR(__xludf.DUMMYFUNCTION("IFERROR(VLOOKUP(G421,IMPORTRANGE(""https://docs.google.com/spreadsheets/d/12RxCea4e5ggM7QGn1XE3FbLQa_-QbCNdBi90OdPjRqg"", ""'Plan de Compras'!D4:Q""), 14, 0), """")"),"GIANFRANCO")</f>
        <v>GIANFRANCO</v>
      </c>
      <c r="AC421" s="72" t="str">
        <f>IFERROR(__xludf.DUMMYFUNCTION("IFERROR(VLOOKUP(G421,IMPORTRANGE(""https://docs.google.com/spreadsheets/d/12RxCea4e5ggM7QGn1XE3FbLQa_-QbCNdBi90OdPjRqg"", ""'Plan de Compras'!D4:Q""), 4, 0), """")"),"ESPÁTULA DE GOMA")</f>
        <v>ESPÁTULA DE GOMA</v>
      </c>
      <c r="AD421" s="37" t="str">
        <f>IFERROR(__xludf.DUMMYFUNCTION("IFERROR(IF(OR(C421=TRUE,C421=""""),VLOOKUP(G421,IMPORTRANGE(""https://docs.google.com/spreadsheets/d/1z9A1Wq-kKrhRNG5RS2a2fKpY1wIhSVz2ZNmP2mOl588/edit?usp=sharing"",""REQ VF!E4:H""),4,0),""NO APLICA""),""GENERAR REQ"")"),"GENERAR REQ")</f>
        <v>GENERAR REQ</v>
      </c>
      <c r="AE421" s="32" t="str">
        <f>IFERROR(__xludf.DUMMYFUNCTION("IFERROR(QUERY(IMPORTRANGE(""https://docs.google.com/spreadsheets/d/1z9A1Wq-kKrhRNG5RS2a2fKpY1wIhSVz2ZNmP2mOl588/edit?usp=sharing"",""REQ VF!E4:Q""),""SELECT Col10, Col11, Col12 WHERE Col1 = '""&amp;G421&amp;""'"",0),""NO APLICA"")"),"NO APLICA")</f>
        <v>NO APLICA</v>
      </c>
      <c r="AF421" s="32"/>
      <c r="AG421" s="32"/>
      <c r="AH421" s="13"/>
      <c r="AI421" s="13"/>
    </row>
    <row r="422">
      <c r="A422" s="121">
        <v>258.0</v>
      </c>
      <c r="B422" s="43" t="b">
        <v>1</v>
      </c>
      <c r="C422" s="26" t="b">
        <v>1</v>
      </c>
      <c r="D422" s="26" t="s">
        <v>35</v>
      </c>
      <c r="E422" s="26" t="s">
        <v>1510</v>
      </c>
      <c r="F422" s="59" t="s">
        <v>2989</v>
      </c>
      <c r="G422" s="39" t="s">
        <v>2989</v>
      </c>
      <c r="H422" s="82" t="s">
        <v>2990</v>
      </c>
      <c r="I422" s="43">
        <f>SUMIFS('Hoja 10'!$O:$O,'Hoja 10'!$F:$F,$G422)</f>
        <v>20</v>
      </c>
      <c r="J422" s="26">
        <f>IFERROR(__xludf.DUMMYFUNCTION("VLOOKUP(G422,IMPORTRANGE(""https://docs.google.com/spreadsheets/d/12RxCea4e5ggM7QGn1XE3FbLQa_-QbCNdBi90OdPjRqg/edit?gid=1692403370#gid=1692403370"", ""'Plan de Compras'!D4:2432""), 8,0)"),20.0)</f>
        <v>20</v>
      </c>
      <c r="K422" s="26" t="str">
        <f t="shared" si="40"/>
        <v>SI</v>
      </c>
      <c r="L422" s="29" t="s">
        <v>1529</v>
      </c>
      <c r="M422" s="30" t="s">
        <v>78</v>
      </c>
      <c r="N422" s="32"/>
      <c r="O422" s="32" t="str">
        <f>VLOOKUP($G422,'Hoja 10'!$F$4:$AA1057, 19,0)</f>
        <v>LILYBEAM</v>
      </c>
      <c r="P422" s="32" t="str">
        <f>VLOOKUP($G422,'Hoja 10'!$F$4:$AA1057, 20,0)</f>
        <v>B0F541J6QR</v>
      </c>
      <c r="Q422" s="33" t="str">
        <f>VLOOKUP($G422,'Hoja 10'!$F$4:$AA1057, 21,0)</f>
        <v>https://www.amazon.com/-/es/dp/B0F541J6QR?ref=emc_p_m_5_i_atc&amp;th=0</v>
      </c>
      <c r="R422" s="30" t="s">
        <v>2991</v>
      </c>
      <c r="S422" s="34" t="b">
        <v>1</v>
      </c>
      <c r="T422" s="39" t="s">
        <v>2992</v>
      </c>
      <c r="U422" s="39" t="s">
        <v>2993</v>
      </c>
      <c r="V422" s="39" t="str">
        <f>IFERROR(__xludf.DUMMYFUNCTION(" IF
( VLOOKUP($G422,IMPORTRANGE(""https://docs.google.com/spreadsheets/d/1Gpl6jkTg7sL4VDNimUm3S9Vi1i95esohXCF3wuKOE8c"", ""'CONSOLIDADO'!G5:AB""), 10, 0) &lt;&gt; 0, 
IFERROR(VLOOKUP($G422,IMPORTRANGE(""https://docs.google.com/spreadsheets/d/1Gpl6jkTg7sL4VDNimU"&amp;"m3S9Vi1i95esohXCF3wuKOE8c"", ""'CONSOLIDADO'!G5:AB""), 17, 0), ""-""),
""""
)"),"Lilybeam		")</f>
        <v>Lilybeam		</v>
      </c>
      <c r="W422" s="39" t="str">
        <f>IFERROR(__xludf.DUMMYFUNCTION(" IF
( VLOOKUP($G422,IMPORTRANGE(""https://docs.google.com/spreadsheets/d/1Gpl6jkTg7sL4VDNimUm3S9Vi1i95esohXCF3wuKOE8c"", ""'CONSOLIDADO'!G5:AB""), 10, 0) &lt;&gt; 0, 
IFERROR(VLOOKUP($G422,IMPORTRANGE(""https://docs.google.com/spreadsheets/d/1Gpl6jkTg7sL4VDNimU"&amp;"m3S9Vi1i95esohXCF3wuKOE8c"", ""'CONSOLIDADO'!G5:AB""), 18, 0), ""-""),
""""
)"),"        B0F541J6QR		")</f>
        <v>        B0F541J6QR		</v>
      </c>
      <c r="X422" s="39" t="b">
        <f t="shared" si="45"/>
        <v>0</v>
      </c>
      <c r="Y422" s="120" t="s">
        <v>2994</v>
      </c>
      <c r="Z422" s="37" t="str">
        <f>IFERROR(__xludf.DUMMYFUNCTION("IFERROR(VLOOKUP(G422,IMPORTRANGE(""https://docs.google.com/spreadsheets/d/12RxCea4e5ggM7QGn1XE3FbLQa_-QbCNdBi90OdPjRqg"", ""'Plan de Compras'!D4:Q""), 12, 0), ""NO ESTÁ EN REQ"")"),"Simple")</f>
        <v>Simple</v>
      </c>
      <c r="AA422" s="37" t="str">
        <f>IFERROR(__xludf.DUMMYFUNCTION("IFERROR(VLOOKUP(G422,IMPORTRANGE(""https://docs.google.com/spreadsheets/d/12RxCea4e5ggM7QGn1XE3FbLQa_-QbCNdBi90OdPjRqg"", ""'Plan de Compras'!D4:Q""), 13, 0), """")"),"INTERNACIONAL")</f>
        <v>INTERNACIONAL</v>
      </c>
      <c r="AB422" s="32" t="str">
        <f>IFERROR(__xludf.DUMMYFUNCTION("IFERROR(VLOOKUP(G422,IMPORTRANGE(""https://docs.google.com/spreadsheets/d/12RxCea4e5ggM7QGn1XE3FbLQa_-QbCNdBi90OdPjRqg"", ""'Plan de Compras'!D4:Q""), 14, 0), """")"),"DIEGO ")</f>
        <v>DIEGO </v>
      </c>
      <c r="AC422" s="72" t="str">
        <f>IFERROR(__xludf.DUMMYFUNCTION("IFERROR(VLOOKUP(G422,IMPORTRANGE(""https://docs.google.com/spreadsheets/d/12RxCea4e5ggM7QGn1XE3FbLQa_-QbCNdBi90OdPjRqg"", ""'Plan de Compras'!D4:Q""), 4, 0), """")"),"ESPATULA DE SILICONA")</f>
        <v>ESPATULA DE SILICONA</v>
      </c>
      <c r="AD422" s="37" t="str">
        <f>IFERROR(__xludf.DUMMYFUNCTION("IFERROR(IF(OR(C422=TRUE,C422=""""),VLOOKUP(G422,IMPORTRANGE(""https://docs.google.com/spreadsheets/d/1z9A1Wq-kKrhRNG5RS2a2fKpY1wIhSVz2ZNmP2mOl588/edit?usp=sharing"",""REQ VF!E4:H""),4,0),""NO APLICA""),""GENERAR REQ"")"),"GENERAR REQ")</f>
        <v>GENERAR REQ</v>
      </c>
      <c r="AE422" s="32" t="str">
        <f>IFERROR(__xludf.DUMMYFUNCTION("IFERROR(QUERY(IMPORTRANGE(""https://docs.google.com/spreadsheets/d/1z9A1Wq-kKrhRNG5RS2a2fKpY1wIhSVz2ZNmP2mOl588/edit?usp=sharing"",""REQ VF!E4:Q""),""SELECT Col10, Col11, Col12 WHERE Col1 = '""&amp;G422&amp;""'"",0),""NO APLICA"")"),"NO APLICA")</f>
        <v>NO APLICA</v>
      </c>
      <c r="AF422" s="32"/>
      <c r="AG422" s="32"/>
      <c r="AH422" s="13"/>
      <c r="AI422" s="13"/>
    </row>
    <row r="423">
      <c r="A423" s="121">
        <v>259.0</v>
      </c>
      <c r="B423" s="43" t="b">
        <v>1</v>
      </c>
      <c r="C423" s="26" t="b">
        <v>1</v>
      </c>
      <c r="D423" s="26" t="s">
        <v>35</v>
      </c>
      <c r="E423" s="26" t="s">
        <v>1510</v>
      </c>
      <c r="F423" s="59" t="s">
        <v>2995</v>
      </c>
      <c r="G423" s="37" t="s">
        <v>2995</v>
      </c>
      <c r="H423" s="82" t="s">
        <v>2996</v>
      </c>
      <c r="I423" s="43">
        <f>SUMIFS('Hoja 10'!$O:$O,'Hoja 10'!$F:$F,$G423)</f>
        <v>12</v>
      </c>
      <c r="J423" s="26">
        <f>IFERROR(__xludf.DUMMYFUNCTION("VLOOKUP(G423,IMPORTRANGE(""https://docs.google.com/spreadsheets/d/12RxCea4e5ggM7QGn1XE3FbLQa_-QbCNdBi90OdPjRqg/edit?gid=1692403370#gid=1692403370"", ""'Plan de Compras'!D4:2432""), 8,0)"),12.0)</f>
        <v>12</v>
      </c>
      <c r="K423" s="26" t="str">
        <f t="shared" si="40"/>
        <v>SI</v>
      </c>
      <c r="L423" s="29" t="s">
        <v>39</v>
      </c>
      <c r="M423" s="30" t="s">
        <v>40</v>
      </c>
      <c r="N423" s="32"/>
      <c r="O423" s="32" t="str">
        <f>VLOOKUP($G423,'Hoja 10'!$F$4:$AA1057, 19,0)</f>
        <v>TRAMONTINA</v>
      </c>
      <c r="P423" s="32" t="str">
        <f>VLOOKUP($G423,'Hoja 10'!$F$4:$AA1057, 20,0)</f>
        <v>MARFFIN</v>
      </c>
      <c r="Q423" s="33" t="str">
        <f>VLOOKUP($G423,'Hoja 10'!$F$4:$AA1057, 21,0)</f>
        <v>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v>
      </c>
      <c r="R423" s="30" t="s">
        <v>2997</v>
      </c>
      <c r="S423" s="44" t="b">
        <v>1</v>
      </c>
      <c r="T423" s="39" t="s">
        <v>2766</v>
      </c>
      <c r="U423" s="39" t="s">
        <v>2998</v>
      </c>
      <c r="V423" s="39" t="str">
        <f>IFERROR(__xludf.DUMMYFUNCTION(" IF
( VLOOKUP($G423,IMPORTRANGE(""https://docs.google.com/spreadsheets/d/1Gpl6jkTg7sL4VDNimUm3S9Vi1i95esohXCF3wuKOE8c"", ""'CONSOLIDADO'!G5:AB""), 10, 0) &lt;&gt; 0, 
IFERROR(VLOOKUP($G423,IMPORTRANGE(""https://docs.google.com/spreadsheets/d/1Gpl6jkTg7sL4VDNimU"&amp;"m3S9Vi1i95esohXCF3wuKOE8c"", ""'CONSOLIDADO'!G5:AB""), 17, 0), ""-""),
""""
)"),"TRAMONTINA")</f>
        <v>TRAMONTINA</v>
      </c>
      <c r="W423" s="39" t="str">
        <f>IFERROR(__xludf.DUMMYFUNCTION(" IF
( VLOOKUP($G423,IMPORTRANGE(""https://docs.google.com/spreadsheets/d/1Gpl6jkTg7sL4VDNimUm3S9Vi1i95esohXCF3wuKOE8c"", ""'CONSOLIDADO'!G5:AB""), 10, 0) &lt;&gt; 0, 
IFERROR(VLOOKUP($G423,IMPORTRANGE(""https://docs.google.com/spreadsheets/d/1Gpl6jkTg7sL4VDNimU"&amp;"m3S9Vi1i95esohXCF3wuKOE8c"", ""'CONSOLIDADO'!G5:AB""), 18, 0), ""-""),
""""
)")," 63809/220")</f>
        <v> 63809/220</v>
      </c>
      <c r="X423" s="39" t="b">
        <f t="shared" si="45"/>
        <v>1</v>
      </c>
      <c r="Y423" s="120" t="s">
        <v>2999</v>
      </c>
      <c r="Z423" s="37" t="str">
        <f>IFERROR(__xludf.DUMMYFUNCTION("IFERROR(VLOOKUP(G423,IMPORTRANGE(""https://docs.google.com/spreadsheets/d/12RxCea4e5ggM7QGn1XE3FbLQa_-QbCNdBi90OdPjRqg"", ""'Plan de Compras'!D4:Q""), 12, 0), ""NO ESTÁ EN REQ"")"),"Simple")</f>
        <v>Simple</v>
      </c>
      <c r="AA423" s="37" t="str">
        <f>IFERROR(__xludf.DUMMYFUNCTION("IFERROR(VLOOKUP(G423,IMPORTRANGE(""https://docs.google.com/spreadsheets/d/12RxCea4e5ggM7QGn1XE3FbLQa_-QbCNdBi90OdPjRqg"", ""'Plan de Compras'!D4:Q""), 13, 0), """")"),"NACIONAL")</f>
        <v>NACIONAL</v>
      </c>
      <c r="AB423" s="32" t="str">
        <f>IFERROR(__xludf.DUMMYFUNCTION("IFERROR(VLOOKUP(G423,IMPORTRANGE(""https://docs.google.com/spreadsheets/d/12RxCea4e5ggM7QGn1XE3FbLQa_-QbCNdBi90OdPjRqg"", ""'Plan de Compras'!D4:Q""), 14, 0), """")"),"JESSICA")</f>
        <v>JESSICA</v>
      </c>
      <c r="AC423" s="72" t="str">
        <f>IFERROR(__xludf.DUMMYFUNCTION("IFERROR(VLOOKUP(G423,IMPORTRANGE(""https://docs.google.com/spreadsheets/d/12RxCea4e5ggM7QGn1XE3FbLQa_-QbCNdBi90OdPjRqg"", ""'Plan de Compras'!D4:Q""), 4, 0), """")"),"ESPUMADERA")</f>
        <v>ESPUMADERA</v>
      </c>
      <c r="AD423" s="37" t="str">
        <f>IFERROR(__xludf.DUMMYFUNCTION("IFERROR(IF(OR(C423=TRUE,C423=""""),VLOOKUP(G423,IMPORTRANGE(""https://docs.google.com/spreadsheets/d/1z9A1Wq-kKrhRNG5RS2a2fKpY1wIhSVz2ZNmP2mOl588/edit?usp=sharing"",""REQ VF!E4:H""),4,0),""NO APLICA""),""GENERAR REQ"")"),"GENERAR REQ")</f>
        <v>GENERAR REQ</v>
      </c>
      <c r="AE423" s="32" t="str">
        <f>IFERROR(__xludf.DUMMYFUNCTION("IFERROR(QUERY(IMPORTRANGE(""https://docs.google.com/spreadsheets/d/1z9A1Wq-kKrhRNG5RS2a2fKpY1wIhSVz2ZNmP2mOl588/edit?usp=sharing"",""REQ VF!E4:Q""),""SELECT Col10, Col11, Col12 WHERE Col1 = '""&amp;G423&amp;""'"",0),""NO APLICA"")"),"NO APLICA")</f>
        <v>NO APLICA</v>
      </c>
      <c r="AF423" s="32"/>
      <c r="AG423" s="32"/>
      <c r="AH423" s="8" t="s">
        <v>52</v>
      </c>
      <c r="AI423" s="13"/>
    </row>
    <row r="424">
      <c r="A424" s="117">
        <v>260.0</v>
      </c>
      <c r="B424" s="43" t="b">
        <v>1</v>
      </c>
      <c r="C424" s="26" t="b">
        <v>1</v>
      </c>
      <c r="D424" s="26" t="s">
        <v>35</v>
      </c>
      <c r="E424" s="26" t="s">
        <v>1510</v>
      </c>
      <c r="F424" s="59" t="s">
        <v>3000</v>
      </c>
      <c r="G424" s="37" t="s">
        <v>3000</v>
      </c>
      <c r="H424" s="82" t="s">
        <v>3001</v>
      </c>
      <c r="I424" s="43">
        <f>SUMIFS('Hoja 10'!$O:$O,'Hoja 10'!$F:$F,$G424)</f>
        <v>22</v>
      </c>
      <c r="J424" s="26">
        <f>IFERROR(__xludf.DUMMYFUNCTION("VLOOKUP(G424,IMPORTRANGE(""https://docs.google.com/spreadsheets/d/12RxCea4e5ggM7QGn1XE3FbLQa_-QbCNdBi90OdPjRqg/edit?gid=1692403370#gid=1692403370"", ""'Plan de Compras'!D4:2432""), 8,0)"),22.0)</f>
        <v>22</v>
      </c>
      <c r="K424" s="26" t="str">
        <f t="shared" si="40"/>
        <v>SI</v>
      </c>
      <c r="L424" s="29" t="s">
        <v>3002</v>
      </c>
      <c r="M424" s="30" t="s">
        <v>78</v>
      </c>
      <c r="N424" s="32"/>
      <c r="O424" s="32" t="str">
        <f>VLOOKUP($G424,'Hoja 10'!$F$4:$AA1057, 19,0)</f>
        <v>FIREMAN'S</v>
      </c>
      <c r="P424" s="32" t="str">
        <f>VLOOKUP($G424,'Hoja 10'!$F$4:$AA1057, 20,0)</f>
        <v>Extintores Portátiles Manuales de Dióxido de Carbono </v>
      </c>
      <c r="Q424" s="33" t="str">
        <f>VLOOKUP($G424,'Hoja 10'!$F$4:$AA1057, 21,0)</f>
        <v>https://firemansperu.com/productos/extintores-firemans/dioxido-de-carbono/</v>
      </c>
      <c r="R424" s="30" t="s">
        <v>3003</v>
      </c>
      <c r="S424" s="34" t="b">
        <v>1</v>
      </c>
      <c r="T424" s="39" t="str">
        <f>IFERROR(__xludf.DUMMYFUNCTION(" IF
( VLOOKUP($G424,IMPORTRANGE(""https://docs.google.com/spreadsheets/d/1Gpl6jkTg7sL4VDNimUm3S9Vi1i95esohXCF3wuKOE8c"", ""'CONSOLIDADO'!G5:AB""), 10, 0) &lt;&gt; 0, 
IFERROR(VLOOKUP($G424,IMPORTRANGE(""https://docs.google.com/spreadsheets/d/1Gpl6jkTg7sL4VDNimU"&amp;"m3S9Vi1i95esohXCF3wuKOE8c"", ""'CONSOLIDADO'!G5:AB""), 17, 0), ""-""),
""""
)"),"BADGER")</f>
        <v>BADGER</v>
      </c>
      <c r="U424" s="39" t="str">
        <f>IFERROR(__xludf.DUMMYFUNCTION(" IF
( VLOOKUP($G424,IMPORTRANGE(""https://docs.google.com/spreadsheets/d/1Gpl6jkTg7sL4VDNimUm3S9Vi1i95esohXCF3wuKOE8c"", ""'CONSOLIDADO'!G5:AB""), 10, 0) &lt;&gt; 0, 
IFERROR(VLOOKUP($G424,IMPORTRANGE(""https://docs.google.com/spreadsheets/d/1Gpl6jkTg7sL4VDNimU"&amp;"m3S9Vi1i95esohXCF3wuKOE8c"", ""'CONSOLIDADO'!G5:AB""), 18, 0), ""-""),
""""
)"),"05 HB")</f>
        <v>05 HB</v>
      </c>
      <c r="V424" s="39" t="str">
        <f>IFERROR(__xludf.DUMMYFUNCTION(" IF
( VLOOKUP($G424,IMPORTRANGE(""https://docs.google.com/spreadsheets/d/1Gpl6jkTg7sL4VDNimUm3S9Vi1i95esohXCF3wuKOE8c"", ""'CONSOLIDADO'!G5:AB""), 10, 0) &lt;&gt; 0, 
IFERROR(VLOOKUP($G424,IMPORTRANGE(""https://docs.google.com/spreadsheets/d/1Gpl6jkTg7sL4VDNimU"&amp;"m3S9Vi1i95esohXCF3wuKOE8c"", ""'CONSOLIDADO'!G5:AB""), 17, 0), ""-""),
""""
)"),"BADGER")</f>
        <v>BADGER</v>
      </c>
      <c r="W424" s="39" t="str">
        <f>IFERROR(__xludf.DUMMYFUNCTION(" IF
( VLOOKUP($G424,IMPORTRANGE(""https://docs.google.com/spreadsheets/d/1Gpl6jkTg7sL4VDNimUm3S9Vi1i95esohXCF3wuKOE8c"", ""'CONSOLIDADO'!G5:AB""), 10, 0) &lt;&gt; 0, 
IFERROR(VLOOKUP($G424,IMPORTRANGE(""https://docs.google.com/spreadsheets/d/1Gpl6jkTg7sL4VDNimU"&amp;"m3S9Vi1i95esohXCF3wuKOE8c"", ""'CONSOLIDADO'!G5:AB""), 18, 0), ""-""),
""""
)"),"05 HB")</f>
        <v>05 HB</v>
      </c>
      <c r="X424" s="39" t="b">
        <f t="shared" si="45"/>
        <v>1</v>
      </c>
      <c r="Y424" s="110" t="str">
        <f>IFERROR(__xludf.DUMMYFUNCTION(" IF
( VLOOKUP($G424,IMPORTRANGE(""https://docs.google.com/spreadsheets/d/1Gpl6jkTg7sL4VDNimUm3S9Vi1i95esohXCF3wuKOE8c"", ""'CONSOLIDADO'!G5:AB""), 10, 0) &lt;&gt; 0, 
IFERROR(VLOOKUP($G424,IMPORTRANGE(""https://docs.google.com/spreadsheets/d/1Gpl6jkTg7sL4VDNimU"&amp;"m3S9Vi1i95esohXCF3wuKOE8c"", ""'CONSOLIDADO'!G5:AB""), 19, 0), ""-""),
""""
)"),"")</f>
        <v/>
      </c>
      <c r="Z424" s="37" t="str">
        <f>IFERROR(__xludf.DUMMYFUNCTION("IFERROR(VLOOKUP(G424,IMPORTRANGE(""https://docs.google.com/spreadsheets/d/12RxCea4e5ggM7QGn1XE3FbLQa_-QbCNdBi90OdPjRqg"", ""'Plan de Compras'!D4:Q""), 12, 0), ""NO ESTÁ EN REQ"")"),"Técnica")</f>
        <v>Técnica</v>
      </c>
      <c r="AA424" s="37" t="str">
        <f>IFERROR(__xludf.DUMMYFUNCTION("IFERROR(VLOOKUP(G424,IMPORTRANGE(""https://docs.google.com/spreadsheets/d/12RxCea4e5ggM7QGn1XE3FbLQa_-QbCNdBi90OdPjRqg"", ""'Plan de Compras'!D4:Q""), 13, 0), """")"),"NACIONAL")</f>
        <v>NACIONAL</v>
      </c>
      <c r="AB424" s="32" t="str">
        <f>IFERROR(__xludf.DUMMYFUNCTION("IFERROR(VLOOKUP(G424,IMPORTRANGE(""https://docs.google.com/spreadsheets/d/12RxCea4e5ggM7QGn1XE3FbLQa_-QbCNdBi90OdPjRqg"", ""'Plan de Compras'!D4:Q""), 14, 0), """")"),"ANGIE")</f>
        <v>ANGIE</v>
      </c>
      <c r="AC424" s="72" t="str">
        <f>IFERROR(__xludf.DUMMYFUNCTION("IFERROR(VLOOKUP(G424,IMPORTRANGE(""https://docs.google.com/spreadsheets/d/12RxCea4e5ggM7QGn1XE3FbLQa_-QbCNdBi90OdPjRqg"", ""'Plan de Compras'!D4:Q""), 4, 0), """")"),"EXTINTOR CO2")</f>
        <v>EXTINTOR CO2</v>
      </c>
      <c r="AD424" s="37" t="str">
        <f>IFERROR(__xludf.DUMMYFUNCTION("IFERROR(IF(OR(C424=TRUE,C424=""""),VLOOKUP(G424,IMPORTRANGE(""https://docs.google.com/spreadsheets/d/1z9A1Wq-kKrhRNG5RS2a2fKpY1wIhSVz2ZNmP2mOl588/edit?usp=sharing"",""REQ VF!E4:H""),4,0),""NO APLICA""),""GENERAR REQ"")"),"GENERAR REQ")</f>
        <v>GENERAR REQ</v>
      </c>
      <c r="AE424" s="32" t="str">
        <f>IFERROR(__xludf.DUMMYFUNCTION("IFERROR(QUERY(IMPORTRANGE(""https://docs.google.com/spreadsheets/d/1z9A1Wq-kKrhRNG5RS2a2fKpY1wIhSVz2ZNmP2mOl588/edit?usp=sharing"",""REQ VF!E4:Q""),""SELECT Col10, Col11, Col12 WHERE Col1 = '""&amp;G424&amp;""'"",0),""NO APLICA"")"),"NO APLICA")</f>
        <v>NO APLICA</v>
      </c>
      <c r="AF424" s="32"/>
      <c r="AG424" s="32"/>
      <c r="AH424" s="13"/>
      <c r="AI424" s="13"/>
    </row>
    <row r="425">
      <c r="A425" s="43"/>
      <c r="B425" s="43"/>
      <c r="C425" s="26" t="b">
        <v>0</v>
      </c>
      <c r="D425" s="26" t="s">
        <v>42</v>
      </c>
      <c r="E425" s="26" t="s">
        <v>1510</v>
      </c>
      <c r="F425" s="39" t="s">
        <v>3000</v>
      </c>
      <c r="G425" s="39" t="s">
        <v>3004</v>
      </c>
      <c r="H425" s="66" t="s">
        <v>3005</v>
      </c>
      <c r="I425" s="43">
        <v>0.0</v>
      </c>
      <c r="J425" s="26" t="str">
        <f>IFERROR(__xludf.DUMMYFUNCTION("VLOOKUP(G425,IMPORTRANGE(""https://docs.google.com/spreadsheets/d/12RxCea4e5ggM7QGn1XE3FbLQa_-QbCNdBi90OdPjRqg/edit?gid=1692403370#gid=1692403370"", ""'Plan de Compras'!D4:2432""), 8,0)"),"")</f>
        <v/>
      </c>
      <c r="K425" s="26" t="str">
        <f t="shared" si="40"/>
        <v>-</v>
      </c>
      <c r="L425" s="26"/>
      <c r="M425" s="32"/>
      <c r="N425" s="32" t="str">
        <f>UPPER("Precinto de seguridad ajustable para extintor que brinda seguridad. Son idóneos para usos exclusivos, donde la ruptura sea fácil.")</f>
        <v>PRECINTO DE SEGURIDAD AJUSTABLE PARA EXTINTOR QUE BRINDA SEGURIDAD. SON IDÓNEOS PARA USOS EXCLUSIVOS, DONDE LA RUPTURA SEA FÁCIL.</v>
      </c>
      <c r="O425" s="32"/>
      <c r="P425" s="32"/>
      <c r="Q425" s="33" t="s">
        <v>3006</v>
      </c>
      <c r="R425" s="32"/>
      <c r="S425" s="44" t="b">
        <v>0</v>
      </c>
      <c r="T425" s="39"/>
      <c r="U425" s="39"/>
      <c r="V425" s="39"/>
      <c r="W425" s="39"/>
      <c r="X425" s="39"/>
      <c r="Y425" s="124"/>
      <c r="Z425" s="37" t="str">
        <f>IFERROR(__xludf.DUMMYFUNCTION("IFERROR(VLOOKUP(G425,IMPORTRANGE(""https://docs.google.com/spreadsheets/d/12RxCea4e5ggM7QGn1XE3FbLQa_-QbCNdBi90OdPjRqg"", ""'Plan de Compras'!D4:Q""), 12, 0), ""NO ESTÁ EN REQ"")"),"Técnica")</f>
        <v>Técnica</v>
      </c>
      <c r="AA425" s="37" t="str">
        <f>IFERROR(__xludf.DUMMYFUNCTION("IFERROR(VLOOKUP(G425,IMPORTRANGE(""https://docs.google.com/spreadsheets/d/12RxCea4e5ggM7QGn1XE3FbLQa_-QbCNdBi90OdPjRqg"", ""'Plan de Compras'!D4:Q""), 13, 0), """")"),"NACIONAL")</f>
        <v>NACIONAL</v>
      </c>
      <c r="AB425" s="32" t="str">
        <f>IFERROR(__xludf.DUMMYFUNCTION("IFERROR(VLOOKUP(G425,IMPORTRANGE(""https://docs.google.com/spreadsheets/d/12RxCea4e5ggM7QGn1XE3FbLQa_-QbCNdBi90OdPjRqg"", ""'Plan de Compras'!D4:Q""), 14, 0), """")"),"ANGIE")</f>
        <v>ANGIE</v>
      </c>
      <c r="AC425" s="72" t="str">
        <f>IFERROR(__xludf.DUMMYFUNCTION("IFERROR(VLOOKUP(G425,IMPORTRANGE(""https://docs.google.com/spreadsheets/d/12RxCea4e5ggM7QGn1XE3FbLQa_-QbCNdBi90OdPjRqg"", ""'Plan de Compras'!D4:Q""), 4, 0), """")"),"")</f>
        <v/>
      </c>
      <c r="AD425" s="37" t="str">
        <f>IFERROR(__xludf.DUMMYFUNCTION("IFERROR(IF(OR(C425=TRUE,C425=""""),VLOOKUP(G425,IMPORTRANGE(""https://docs.google.com/spreadsheets/d/1z9A1Wq-kKrhRNG5RS2a2fKpY1wIhSVz2ZNmP2mOl588/edit?usp=sharing"",""REQ VF!E4:H""),4,0),""NO APLICA""),""GENERAR REQ"")"),"NO APLICA")</f>
        <v>NO APLICA</v>
      </c>
      <c r="AE425" s="32" t="str">
        <f>IFERROR(__xludf.DUMMYFUNCTION("IFERROR(QUERY(IMPORTRANGE(""https://docs.google.com/spreadsheets/d/1z9A1Wq-kKrhRNG5RS2a2fKpY1wIhSVz2ZNmP2mOl588/edit?usp=sharing"",""REQ VF!E4:Q""),""SELECT Col10, Col11, Col12 WHERE Col1 = '""&amp;G425&amp;""'"",0),""NO APLICA"")"),"NO APLICA")</f>
        <v>NO APLICA</v>
      </c>
      <c r="AF425" s="32"/>
      <c r="AG425" s="32"/>
      <c r="AH425" s="13"/>
      <c r="AI425" s="13"/>
    </row>
    <row r="426">
      <c r="A426" s="117">
        <v>261.0</v>
      </c>
      <c r="B426" s="43" t="b">
        <v>1</v>
      </c>
      <c r="C426" s="26" t="b">
        <v>1</v>
      </c>
      <c r="D426" s="26" t="s">
        <v>35</v>
      </c>
      <c r="E426" s="26" t="s">
        <v>1510</v>
      </c>
      <c r="F426" s="59" t="s">
        <v>3007</v>
      </c>
      <c r="G426" s="37" t="s">
        <v>3007</v>
      </c>
      <c r="H426" s="82" t="s">
        <v>3008</v>
      </c>
      <c r="I426" s="43">
        <f>SUMIFS('Hoja 10'!$O:$O,'Hoja 10'!$F:$F,$G426)</f>
        <v>1</v>
      </c>
      <c r="J426" s="26">
        <f>IFERROR(__xludf.DUMMYFUNCTION("VLOOKUP(G426,IMPORTRANGE(""https://docs.google.com/spreadsheets/d/12RxCea4e5ggM7QGn1XE3FbLQa_-QbCNdBi90OdPjRqg/edit?gid=1692403370#gid=1692403370"", ""'Plan de Compras'!D4:2432""), 8,0)"),1.0)</f>
        <v>1</v>
      </c>
      <c r="K426" s="26" t="str">
        <f t="shared" si="40"/>
        <v>SI</v>
      </c>
      <c r="L426" s="29" t="s">
        <v>77</v>
      </c>
      <c r="M426" s="30" t="s">
        <v>78</v>
      </c>
      <c r="N426" s="32"/>
      <c r="O426" s="32" t="str">
        <f>VLOOKUP($G426,'Hoja 10'!$F$4:$AA1057, 19,0)</f>
        <v>AMEREX</v>
      </c>
      <c r="P426" s="32" t="str">
        <f>VLOOKUP($G426,'Hoja 10'!$F$4:$AA1057, 20,0)</f>
        <v>B260</v>
      </c>
      <c r="Q426" s="33" t="str">
        <f>VLOOKUP($G426,'Hoja 10'!$F$4:$AA1057, 21,0)</f>
        <v>https://www.amerex-peru.com/ficha-tecnica-de-extintor-amerex-de-6-litros-de-clase-k/</v>
      </c>
      <c r="R426" s="30" t="s">
        <v>3009</v>
      </c>
      <c r="S426" s="34" t="b">
        <v>1</v>
      </c>
      <c r="T426" s="39" t="str">
        <f>IFERROR(__xludf.DUMMYFUNCTION(" IF
( VLOOKUP($G426,IMPORTRANGE(""https://docs.google.com/spreadsheets/d/1Gpl6jkTg7sL4VDNimUm3S9Vi1i95esohXCF3wuKOE8c"", ""'CONSOLIDADO'!G5:AB""), 10, 0) &lt;&gt; 0, 
IFERROR(VLOOKUP($G426,IMPORTRANGE(""https://docs.google.com/spreadsheets/d/1Gpl6jkTg7sL4VDNimU"&amp;"m3S9Vi1i95esohXCF3wuKOE8c"", ""'CONSOLIDADO'!G5:AB""), 17, 0), ""-""),
""""
)"),"BADGER")</f>
        <v>BADGER</v>
      </c>
      <c r="U426" s="39" t="str">
        <f>IFERROR(__xludf.DUMMYFUNCTION(" IF
( VLOOKUP($G426,IMPORTRANGE(""https://docs.google.com/spreadsheets/d/1Gpl6jkTg7sL4VDNimUm3S9Vi1i95esohXCF3wuKOE8c"", ""'CONSOLIDADO'!G5:AB""), 10, 0) &lt;&gt; 0, 
IFERROR(VLOOKUP($G426,IMPORTRANGE(""https://docs.google.com/spreadsheets/d/1Gpl6jkTg7sL4VDNimU"&amp;"m3S9Vi1i95esohXCF3wuKOE8c"", ""'CONSOLIDADO'!G5:AB""), 18, 0), ""-""),
""""
)"),"WC-100")</f>
        <v>WC-100</v>
      </c>
      <c r="V426" s="39" t="str">
        <f>IFERROR(__xludf.DUMMYFUNCTION(" IF
( VLOOKUP($G426,IMPORTRANGE(""https://docs.google.com/spreadsheets/d/1Gpl6jkTg7sL4VDNimUm3S9Vi1i95esohXCF3wuKOE8c"", ""'CONSOLIDADO'!G5:AB""), 10, 0) &lt;&gt; 0, 
IFERROR(VLOOKUP($G426,IMPORTRANGE(""https://docs.google.com/spreadsheets/d/1Gpl6jkTg7sL4VDNimU"&amp;"m3S9Vi1i95esohXCF3wuKOE8c"", ""'CONSOLIDADO'!G5:AB""), 17, 0), ""-""),
""""
)"),"BADGER")</f>
        <v>BADGER</v>
      </c>
      <c r="W426" s="39" t="str">
        <f>IFERROR(__xludf.DUMMYFUNCTION(" IF
( VLOOKUP($G426,IMPORTRANGE(""https://docs.google.com/spreadsheets/d/1Gpl6jkTg7sL4VDNimUm3S9Vi1i95esohXCF3wuKOE8c"", ""'CONSOLIDADO'!G5:AB""), 10, 0) &lt;&gt; 0, 
IFERROR(VLOOKUP($G426,IMPORTRANGE(""https://docs.google.com/spreadsheets/d/1Gpl6jkTg7sL4VDNimU"&amp;"m3S9Vi1i95esohXCF3wuKOE8c"", ""'CONSOLIDADO'!G5:AB""), 18, 0), ""-""),
""""
)"),"WC-100")</f>
        <v>WC-100</v>
      </c>
      <c r="X426" s="39" t="b">
        <f t="shared" ref="X426:X429" si="46">IF(AND(T426=V426,W426=U426),TRUE,FALSE)</f>
        <v>1</v>
      </c>
      <c r="Y426" s="120" t="str">
        <f>IFERROR(__xludf.DUMMYFUNCTION(" IF
( VLOOKUP($G426,IMPORTRANGE(""https://docs.google.com/spreadsheets/d/1Gpl6jkTg7sL4VDNimUm3S9Vi1i95esohXCF3wuKOE8c"", ""'CONSOLIDADO'!G5:AB""), 10, 0) &lt;&gt; 0, 
IFERROR(VLOOKUP($G426,IMPORTRANGE(""https://docs.google.com/spreadsheets/d/1Gpl6jkTg7sL4VDNimU"&amp;"m3S9Vi1i95esohXCF3wuKOE8c"", ""'CONSOLIDADO'!G5:AB""), 19, 0), ""-""),
""""
)"),"https://drive.google.com/file/d/1Ziib4IqizwkmxDA034ZHe8_0mk0cr21Y/view?usp=sharing")</f>
        <v>https://drive.google.com/file/d/1Ziib4IqizwkmxDA034ZHe8_0mk0cr21Y/view?usp=sharing</v>
      </c>
      <c r="Z426" s="37" t="str">
        <f>IFERROR(__xludf.DUMMYFUNCTION("IFERROR(VLOOKUP(G426,IMPORTRANGE(""https://docs.google.com/spreadsheets/d/12RxCea4e5ggM7QGn1XE3FbLQa_-QbCNdBi90OdPjRqg"", ""'Plan de Compras'!D4:Q""), 12, 0), ""NO ESTÁ EN REQ"")"),"Técnica")</f>
        <v>Técnica</v>
      </c>
      <c r="AA426" s="37" t="str">
        <f>IFERROR(__xludf.DUMMYFUNCTION("IFERROR(VLOOKUP(G426,IMPORTRANGE(""https://docs.google.com/spreadsheets/d/12RxCea4e5ggM7QGn1XE3FbLQa_-QbCNdBi90OdPjRqg"", ""'Plan de Compras'!D4:Q""), 13, 0), """")"),"NACIONAL")</f>
        <v>NACIONAL</v>
      </c>
      <c r="AB426" s="32" t="str">
        <f>IFERROR(__xludf.DUMMYFUNCTION("IFERROR(VLOOKUP(G426,IMPORTRANGE(""https://docs.google.com/spreadsheets/d/12RxCea4e5ggM7QGn1XE3FbLQa_-QbCNdBi90OdPjRqg"", ""'Plan de Compras'!D4:Q""), 14, 0), """")"),"ANGIE")</f>
        <v>ANGIE</v>
      </c>
      <c r="AC426" s="72" t="str">
        <f>IFERROR(__xludf.DUMMYFUNCTION("IFERROR(VLOOKUP(G426,IMPORTRANGE(""https://docs.google.com/spreadsheets/d/12RxCea4e5ggM7QGn1XE3FbLQa_-QbCNdBi90OdPjRqg"", ""'Plan de Compras'!D4:Q""), 4, 0), """")"),"EXTINTOR K")</f>
        <v>EXTINTOR K</v>
      </c>
      <c r="AD426" s="37" t="str">
        <f>IFERROR(__xludf.DUMMYFUNCTION("IFERROR(IF(OR(C426=TRUE,C426=""""),VLOOKUP(G426,IMPORTRANGE(""https://docs.google.com/spreadsheets/d/1z9A1Wq-kKrhRNG5RS2a2fKpY1wIhSVz2ZNmP2mOl588/edit?usp=sharing"",""REQ VF!E4:H""),4,0),""NO APLICA""),""GENERAR REQ"")"),"GENERAR REQ")</f>
        <v>GENERAR REQ</v>
      </c>
      <c r="AE426" s="32" t="str">
        <f>IFERROR(__xludf.DUMMYFUNCTION("IFERROR(QUERY(IMPORTRANGE(""https://docs.google.com/spreadsheets/d/1z9A1Wq-kKrhRNG5RS2a2fKpY1wIhSVz2ZNmP2mOl588/edit?usp=sharing"",""REQ VF!E4:Q""),""SELECT Col10, Col11, Col12 WHERE Col1 = '""&amp;G426&amp;""'"",0),""NO APLICA"")"),"NO APLICA")</f>
        <v>NO APLICA</v>
      </c>
      <c r="AF426" s="32"/>
      <c r="AG426" s="32"/>
      <c r="AH426" s="13"/>
      <c r="AI426" s="13"/>
    </row>
    <row r="427">
      <c r="A427" s="121">
        <v>262.0</v>
      </c>
      <c r="B427" s="43" t="b">
        <v>1</v>
      </c>
      <c r="C427" s="26" t="b">
        <v>1</v>
      </c>
      <c r="D427" s="26" t="s">
        <v>35</v>
      </c>
      <c r="E427" s="26" t="s">
        <v>1510</v>
      </c>
      <c r="F427" s="59" t="s">
        <v>3010</v>
      </c>
      <c r="G427" s="39" t="s">
        <v>3011</v>
      </c>
      <c r="H427" s="82" t="s">
        <v>3012</v>
      </c>
      <c r="I427" s="43">
        <f>SUMIFS('Hoja 10'!$O:$O,'Hoja 10'!$F:$F,$G427)</f>
        <v>24</v>
      </c>
      <c r="J427" s="26">
        <f>IFERROR(__xludf.DUMMYFUNCTION("VLOOKUP(G427,IMPORTRANGE(""https://docs.google.com/spreadsheets/d/12RxCea4e5ggM7QGn1XE3FbLQa_-QbCNdBi90OdPjRqg/edit?gid=1692403370#gid=1692403370"", ""'Plan de Compras'!D4:2432""), 8,0)"),24.0)</f>
        <v>24</v>
      </c>
      <c r="K427" s="26" t="str">
        <f t="shared" si="40"/>
        <v>SI</v>
      </c>
      <c r="L427" s="29" t="s">
        <v>3013</v>
      </c>
      <c r="M427" s="30" t="s">
        <v>78</v>
      </c>
      <c r="N427" s="32"/>
      <c r="O427" s="32" t="str">
        <f>VLOOKUP($G427,'Hoja 10'!$F$4:$AA1057, 19,0)</f>
        <v>FIREMAN'S</v>
      </c>
      <c r="P427" s="32" t="str">
        <f>VLOOKUP($G427,'Hoja 10'!$F$4:$AA1057, 20,0)</f>
        <v>Extintores Portátiles Manuales de Polvo Químico Seco</v>
      </c>
      <c r="Q427" s="33" t="str">
        <f>VLOOKUP($G427,'Hoja 10'!$F$4:$AA1057, 21,0)</f>
        <v>https://firemansperu.com/productos/extintores-firemans/polvo-quimico-seco/</v>
      </c>
      <c r="R427" s="30" t="s">
        <v>3014</v>
      </c>
      <c r="S427" s="34" t="b">
        <v>1</v>
      </c>
      <c r="T427" s="39" t="str">
        <f>IFERROR(__xludf.DUMMYFUNCTION(" IF
( VLOOKUP($G427,IMPORTRANGE(""https://docs.google.com/spreadsheets/d/1Gpl6jkTg7sL4VDNimUm3S9Vi1i95esohXCF3wuKOE8c"", ""'CONSOLIDADO'!G5:AB""), 10, 0) &lt;&gt; 0, 
IFERROR(VLOOKUP($G427,IMPORTRANGE(""https://docs.google.com/spreadsheets/d/1Gpl6jkTg7sL4VDNimU"&amp;"m3S9Vi1i95esohXCF3wuKOE8c"", ""'CONSOLIDADO'!G5:AB""), 17, 0), ""-""),
""""
)"),"AMEREX")</f>
        <v>AMEREX</v>
      </c>
      <c r="U427" s="39" t="str">
        <f>IFERROR(__xludf.DUMMYFUNCTION(" IF
( VLOOKUP($G427,IMPORTRANGE(""https://docs.google.com/spreadsheets/d/1Gpl6jkTg7sL4VDNimUm3S9Vi1i95esohXCF3wuKOE8c"", ""'CONSOLIDADO'!G5:AB""), 10, 0) &lt;&gt; 0, 
IFERROR(VLOOKUP($G427,IMPORTRANGE(""https://docs.google.com/spreadsheets/d/1Gpl6jkTg7sL4VDNimU"&amp;"m3S9Vi1i95esohXCF3wuKOE8c"", ""'CONSOLIDADO'!G5:AB""), 18, 0), ""-""),
""""
)"),"B402T")</f>
        <v>B402T</v>
      </c>
      <c r="V427" s="39" t="str">
        <f>IFERROR(__xludf.DUMMYFUNCTION(" IF
( VLOOKUP($G427,IMPORTRANGE(""https://docs.google.com/spreadsheets/d/1Gpl6jkTg7sL4VDNimUm3S9Vi1i95esohXCF3wuKOE8c"", ""'CONSOLIDADO'!G5:AB""), 10, 0) &lt;&gt; 0, 
IFERROR(VLOOKUP($G427,IMPORTRANGE(""https://docs.google.com/spreadsheets/d/1Gpl6jkTg7sL4VDNimU"&amp;"m3S9Vi1i95esohXCF3wuKOE8c"", ""'CONSOLIDADO'!G5:AB""), 17, 0), ""-""),
""""
)"),"AMEREX")</f>
        <v>AMEREX</v>
      </c>
      <c r="W427" s="39" t="str">
        <f>IFERROR(__xludf.DUMMYFUNCTION(" IF
( VLOOKUP($G427,IMPORTRANGE(""https://docs.google.com/spreadsheets/d/1Gpl6jkTg7sL4VDNimUm3S9Vi1i95esohXCF3wuKOE8c"", ""'CONSOLIDADO'!G5:AB""), 10, 0) &lt;&gt; 0, 
IFERROR(VLOOKUP($G427,IMPORTRANGE(""https://docs.google.com/spreadsheets/d/1Gpl6jkTg7sL4VDNimU"&amp;"m3S9Vi1i95esohXCF3wuKOE8c"", ""'CONSOLIDADO'!G5:AB""), 18, 0), ""-""),
""""
)"),"B402T")</f>
        <v>B402T</v>
      </c>
      <c r="X427" s="39" t="b">
        <f t="shared" si="46"/>
        <v>1</v>
      </c>
      <c r="Y427" s="110" t="str">
        <f>IFERROR(__xludf.DUMMYFUNCTION(" IF
( VLOOKUP($G427,IMPORTRANGE(""https://docs.google.com/spreadsheets/d/1Gpl6jkTg7sL4VDNimUm3S9Vi1i95esohXCF3wuKOE8c"", ""'CONSOLIDADO'!G5:AB""), 10, 0) &lt;&gt; 0, 
IFERROR(VLOOKUP($G427,IMPORTRANGE(""https://docs.google.com/spreadsheets/d/1Gpl6jkTg7sL4VDNimU"&amp;"m3S9Vi1i95esohXCF3wuKOE8c"", ""'CONSOLIDADO'!G5:AB""), 19, 0), ""-""),
""""
)"),"")</f>
        <v/>
      </c>
      <c r="Z427" s="37" t="str">
        <f>IFERROR(__xludf.DUMMYFUNCTION("IFERROR(VLOOKUP(G427,IMPORTRANGE(""https://docs.google.com/spreadsheets/d/12RxCea4e5ggM7QGn1XE3FbLQa_-QbCNdBi90OdPjRqg"", ""'Plan de Compras'!D4:Q""), 12, 0), ""NO ESTÁ EN REQ"")"),"Técnica")</f>
        <v>Técnica</v>
      </c>
      <c r="AA427" s="37" t="str">
        <f>IFERROR(__xludf.DUMMYFUNCTION("IFERROR(VLOOKUP(G427,IMPORTRANGE(""https://docs.google.com/spreadsheets/d/12RxCea4e5ggM7QGn1XE3FbLQa_-QbCNdBi90OdPjRqg"", ""'Plan de Compras'!D4:Q""), 13, 0), """")"),"NACIONAL")</f>
        <v>NACIONAL</v>
      </c>
      <c r="AB427" s="32" t="str">
        <f>IFERROR(__xludf.DUMMYFUNCTION("IFERROR(VLOOKUP(G427,IMPORTRANGE(""https://docs.google.com/spreadsheets/d/12RxCea4e5ggM7QGn1XE3FbLQa_-QbCNdBi90OdPjRqg"", ""'Plan de Compras'!D4:Q""), 14, 0), """")"),"ANGIE")</f>
        <v>ANGIE</v>
      </c>
      <c r="AC427" s="72" t="str">
        <f>IFERROR(__xludf.DUMMYFUNCTION("IFERROR(VLOOKUP(G427,IMPORTRANGE(""https://docs.google.com/spreadsheets/d/12RxCea4e5ggM7QGn1XE3FbLQa_-QbCNdBi90OdPjRqg"", ""'Plan de Compras'!D4:Q""), 4, 0), """")"),"EXTINTOR PQS")</f>
        <v>EXTINTOR PQS</v>
      </c>
      <c r="AD427" s="37" t="str">
        <f>IFERROR(__xludf.DUMMYFUNCTION("IFERROR(IF(OR(C427=TRUE,C427=""""),VLOOKUP(G427,IMPORTRANGE(""https://docs.google.com/spreadsheets/d/1z9A1Wq-kKrhRNG5RS2a2fKpY1wIhSVz2ZNmP2mOl588/edit?usp=sharing"",""REQ VF!E4:H""),4,0),""NO APLICA""),""GENERAR REQ"")"),"GENERAR REQ")</f>
        <v>GENERAR REQ</v>
      </c>
      <c r="AE427" s="32" t="str">
        <f>IFERROR(__xludf.DUMMYFUNCTION("IFERROR(QUERY(IMPORTRANGE(""https://docs.google.com/spreadsheets/d/1z9A1Wq-kKrhRNG5RS2a2fKpY1wIhSVz2ZNmP2mOl588/edit?usp=sharing"",""REQ VF!E4:Q""),""SELECT Col10, Col11, Col12 WHERE Col1 = '""&amp;G427&amp;""'"",0),""NO APLICA"")"),"NO APLICA")</f>
        <v>NO APLICA</v>
      </c>
      <c r="AF427" s="32"/>
      <c r="AG427" s="32"/>
      <c r="AH427" s="13"/>
      <c r="AI427" s="13"/>
    </row>
    <row r="428">
      <c r="A428" s="121">
        <v>263.0</v>
      </c>
      <c r="B428" s="43" t="b">
        <v>1</v>
      </c>
      <c r="C428" s="26" t="b">
        <v>1</v>
      </c>
      <c r="D428" s="26" t="s">
        <v>35</v>
      </c>
      <c r="E428" s="26" t="s">
        <v>1510</v>
      </c>
      <c r="F428" s="59" t="s">
        <v>3010</v>
      </c>
      <c r="G428" s="39" t="s">
        <v>3015</v>
      </c>
      <c r="H428" s="82" t="s">
        <v>3012</v>
      </c>
      <c r="I428" s="43">
        <f>SUMIFS('Hoja 10'!$O:$O,'Hoja 10'!$F:$F,$G428)</f>
        <v>2</v>
      </c>
      <c r="J428" s="26">
        <f>IFERROR(__xludf.DUMMYFUNCTION("VLOOKUP(G428,IMPORTRANGE(""https://docs.google.com/spreadsheets/d/12RxCea4e5ggM7QGn1XE3FbLQa_-QbCNdBi90OdPjRqg/edit?gid=1692403370#gid=1692403370"", ""'Plan de Compras'!D4:2432""), 8,0)"),2.0)</f>
        <v>2</v>
      </c>
      <c r="K428" s="26" t="str">
        <f t="shared" si="40"/>
        <v>SI</v>
      </c>
      <c r="L428" s="29" t="s">
        <v>91</v>
      </c>
      <c r="M428" s="30" t="s">
        <v>92</v>
      </c>
      <c r="N428" s="32"/>
      <c r="O428" s="32" t="str">
        <f>VLOOKUP($G428,'Hoja 10'!$F$4:$AA1057, 19,0)</f>
        <v>SAFETY PLUS</v>
      </c>
      <c r="P428" s="32" t="str">
        <f>VLOOKUP($G428,'Hoja 10'!$F$4:$AA1057, 20,0)</f>
        <v>SP01-01</v>
      </c>
      <c r="Q428" s="33" t="str">
        <f>VLOOKUP($G428,'Hoja 10'!$F$4:$AA1057, 21,0)</f>
        <v>https://spanish.alibaba.com/product-detail/4-5KG-Empty-Dry-Powder-Fire-60811153226.html?isSpider=true</v>
      </c>
      <c r="R428" s="30" t="s">
        <v>3016</v>
      </c>
      <c r="S428" s="34" t="b">
        <v>1</v>
      </c>
      <c r="T428" s="39" t="str">
        <f>IFERROR(__xludf.DUMMYFUNCTION(" IF
( VLOOKUP($G428,IMPORTRANGE(""https://docs.google.com/spreadsheets/d/1Gpl6jkTg7sL4VDNimUm3S9Vi1i95esohXCF3wuKOE8c"", ""'CONSOLIDADO'!G5:AB""), 10, 0) &lt;&gt; 0, 
IFERROR(VLOOKUP($G428,IMPORTRANGE(""https://docs.google.com/spreadsheets/d/1Gpl6jkTg7sL4VDNimU"&amp;"m3S9Vi1i95esohXCF3wuKOE8c"", ""'CONSOLIDADO'!G5:AB""), 17, 0), ""-""),
""""
)"),"SHAOXING CITY SHANGYU SAFEWAY FIRE FIGHTING EQUIPMENT CO., LTD ")</f>
        <v>SHAOXING CITY SHANGYU SAFEWAY FIRE FIGHTING EQUIPMENT CO., LTD </v>
      </c>
      <c r="U428" s="39" t="str">
        <f>IFERROR(__xludf.DUMMYFUNCTION(" IF
( VLOOKUP($G428,IMPORTRANGE(""https://docs.google.com/spreadsheets/d/1Gpl6jkTg7sL4VDNimUm3S9Vi1i95esohXCF3wuKOE8c"", ""'CONSOLIDADO'!G5:AB""), 10, 0) &lt;&gt; 0, 
IFERROR(VLOOKUP($G428,IMPORTRANGE(""https://docs.google.com/spreadsheets/d/1Gpl6jkTg7sL4VDNimU"&amp;"m3S9Vi1i95esohXCF3wuKOE8c"", ""'CONSOLIDADO'!G5:AB""), 18, 0), ""-""),
""""
)"),"SWDF-06")</f>
        <v>SWDF-06</v>
      </c>
      <c r="V428" s="39" t="str">
        <f>IFERROR(__xludf.DUMMYFUNCTION(" IF
( VLOOKUP($G428,IMPORTRANGE(""https://docs.google.com/spreadsheets/d/1Gpl6jkTg7sL4VDNimUm3S9Vi1i95esohXCF3wuKOE8c"", ""'CONSOLIDADO'!G5:AB""), 10, 0) &lt;&gt; 0, 
IFERROR(VLOOKUP($G428,IMPORTRANGE(""https://docs.google.com/spreadsheets/d/1Gpl6jkTg7sL4VDNimU"&amp;"m3S9Vi1i95esohXCF3wuKOE8c"", ""'CONSOLIDADO'!G5:AB""), 17, 0), ""-""),
""""
)"),"SHAOXING CITY SHANGYU SAFEWAY FIRE FIGHTING EQUIPMENT CO., LTD ")</f>
        <v>SHAOXING CITY SHANGYU SAFEWAY FIRE FIGHTING EQUIPMENT CO., LTD </v>
      </c>
      <c r="W428" s="39" t="str">
        <f>IFERROR(__xludf.DUMMYFUNCTION(" IF
( VLOOKUP($G428,IMPORTRANGE(""https://docs.google.com/spreadsheets/d/1Gpl6jkTg7sL4VDNimUm3S9Vi1i95esohXCF3wuKOE8c"", ""'CONSOLIDADO'!G5:AB""), 10, 0) &lt;&gt; 0, 
IFERROR(VLOOKUP($G428,IMPORTRANGE(""https://docs.google.com/spreadsheets/d/1Gpl6jkTg7sL4VDNimU"&amp;"m3S9Vi1i95esohXCF3wuKOE8c"", ""'CONSOLIDADO'!G5:AB""), 18, 0), ""-""),
""""
)"),"SWDF-06")</f>
        <v>SWDF-06</v>
      </c>
      <c r="X428" s="39" t="b">
        <f t="shared" si="46"/>
        <v>1</v>
      </c>
      <c r="Y428" s="120" t="str">
        <f>IFERROR(__xludf.DUMMYFUNCTION(" IF
( VLOOKUP($G428,IMPORTRANGE(""https://docs.google.com/spreadsheets/d/1Gpl6jkTg7sL4VDNimUm3S9Vi1i95esohXCF3wuKOE8c"", ""'CONSOLIDADO'!G5:AB""), 10, 0) &lt;&gt; 0, 
IFERROR(VLOOKUP($G428,IMPORTRANGE(""https://docs.google.com/spreadsheets/d/1Gpl6jkTg7sL4VDNimU"&amp;"m3S9Vi1i95esohXCF3wuKOE8c"", ""'CONSOLIDADO'!G5:AB""), 19, 0), ""-""),
""""
)"),"https://spanish.alibaba.com/product-detail/Dry-Powder-Fire-Extinguisher-Refilling-Machine-11000008360813.html")</f>
        <v>https://spanish.alibaba.com/product-detail/Dry-Powder-Fire-Extinguisher-Refilling-Machine-11000008360813.html</v>
      </c>
      <c r="Z428" s="37" t="str">
        <f>IFERROR(__xludf.DUMMYFUNCTION("IFERROR(VLOOKUP(G428,IMPORTRANGE(""https://docs.google.com/spreadsheets/d/12RxCea4e5ggM7QGn1XE3FbLQa_-QbCNdBi90OdPjRqg"", ""'Plan de Compras'!D4:Q""), 12, 0), ""NO ESTÁ EN REQ"")"),"Técnica")</f>
        <v>Técnica</v>
      </c>
      <c r="AA428" s="37" t="str">
        <f>IFERROR(__xludf.DUMMYFUNCTION("IFERROR(VLOOKUP(G428,IMPORTRANGE(""https://docs.google.com/spreadsheets/d/12RxCea4e5ggM7QGn1XE3FbLQa_-QbCNdBi90OdPjRqg"", ""'Plan de Compras'!D4:Q""), 13, 0), """")"),"INTERNACIONAL")</f>
        <v>INTERNACIONAL</v>
      </c>
      <c r="AB428" s="32" t="str">
        <f>IFERROR(__xludf.DUMMYFUNCTION("IFERROR(VLOOKUP(G428,IMPORTRANGE(""https://docs.google.com/spreadsheets/d/12RxCea4e5ggM7QGn1XE3FbLQa_-QbCNdBi90OdPjRqg"", ""'Plan de Compras'!D4:Q""), 14, 0), """")"),"JIMENA")</f>
        <v>JIMENA</v>
      </c>
      <c r="AC428" s="72" t="str">
        <f>IFERROR(__xludf.DUMMYFUNCTION("IFERROR(VLOOKUP(G428,IMPORTRANGE(""https://docs.google.com/spreadsheets/d/12RxCea4e5ggM7QGn1XE3FbLQa_-QbCNdBi90OdPjRqg"", ""'Plan de Compras'!D4:Q""), 4, 0), """")"),"EXTINTOR PQS")</f>
        <v>EXTINTOR PQS</v>
      </c>
      <c r="AD428" s="37" t="str">
        <f>IFERROR(__xludf.DUMMYFUNCTION("IFERROR(IF(OR(C428=TRUE,C428=""""),VLOOKUP(G428,IMPORTRANGE(""https://docs.google.com/spreadsheets/d/1z9A1Wq-kKrhRNG5RS2a2fKpY1wIhSVz2ZNmP2mOl588/edit?usp=sharing"",""REQ VF!E4:H""),4,0),""NO APLICA""),""GENERAR REQ"")"),"GENERAR REQ")</f>
        <v>GENERAR REQ</v>
      </c>
      <c r="AE428" s="32" t="str">
        <f>IFERROR(__xludf.DUMMYFUNCTION("IFERROR(QUERY(IMPORTRANGE(""https://docs.google.com/spreadsheets/d/1z9A1Wq-kKrhRNG5RS2a2fKpY1wIhSVz2ZNmP2mOl588/edit?usp=sharing"",""REQ VF!E4:Q""),""SELECT Col10, Col11, Col12 WHERE Col1 = '""&amp;G428&amp;""'"",0),""NO APLICA"")"),"NO APLICA")</f>
        <v>NO APLICA</v>
      </c>
      <c r="AF428" s="32"/>
      <c r="AG428" s="32"/>
      <c r="AH428" s="13"/>
      <c r="AI428" s="13"/>
    </row>
    <row r="429">
      <c r="A429" s="121">
        <v>264.0</v>
      </c>
      <c r="B429" s="43"/>
      <c r="C429" s="26" t="b">
        <v>0</v>
      </c>
      <c r="D429" s="26" t="s">
        <v>35</v>
      </c>
      <c r="E429" s="26" t="s">
        <v>1510</v>
      </c>
      <c r="F429" s="39" t="s">
        <v>3017</v>
      </c>
      <c r="G429" s="39" t="s">
        <v>3017</v>
      </c>
      <c r="H429" s="82" t="s">
        <v>3018</v>
      </c>
      <c r="I429" s="43">
        <f>SUMIFS('Hoja 10'!$O:$O,'Hoja 10'!$F:$F,$G429)</f>
        <v>80</v>
      </c>
      <c r="J429" s="26" t="str">
        <f>IFERROR(__xludf.DUMMYFUNCTION("VLOOKUP(G429,IMPORTRANGE(""https://docs.google.com/spreadsheets/d/12RxCea4e5ggM7QGn1XE3FbLQa_-QbCNdBi90OdPjRqg/edit?gid=1692403370#gid=1692403370"", ""'Plan de Compras'!D4:2432""), 8,0)"),"#N/A")</f>
        <v>#N/A</v>
      </c>
      <c r="K429" s="26" t="str">
        <f t="shared" si="40"/>
        <v>-</v>
      </c>
      <c r="L429" s="29" t="s">
        <v>1529</v>
      </c>
      <c r="M429" s="30" t="s">
        <v>78</v>
      </c>
      <c r="N429" s="32"/>
      <c r="O429" s="32" t="str">
        <f>VLOOKUP($G429,'Hoja 10'!$F$4:$AA1057, 19,0)</f>
        <v/>
      </c>
      <c r="P429" s="32" t="str">
        <f>VLOOKUP($G429,'Hoja 10'!$F$4:$AA1057, 20,0)</f>
        <v/>
      </c>
      <c r="Q429" s="41" t="str">
        <f>VLOOKUP($G429,'Hoja 10'!$F$4:$AA1057, 21,0)</f>
        <v/>
      </c>
      <c r="R429" s="30" t="s">
        <v>3019</v>
      </c>
      <c r="S429" s="34" t="b">
        <v>1</v>
      </c>
      <c r="T429" s="39" t="str">
        <f>IFERROR(__xludf.DUMMYFUNCTION(" IF
( VLOOKUP($G429,IMPORTRANGE(""https://docs.google.com/spreadsheets/d/1Gpl6jkTg7sL4VDNimUm3S9Vi1i95esohXCF3wuKOE8c"", ""'CONSOLIDADO'!G5:AB""), 10, 0) &lt;&gt; 0, 
IFERROR(VLOOKUP($G429,IMPORTRANGE(""https://docs.google.com/spreadsheets/d/1Gpl6jkTg7sL4VDNimU"&amp;"m3S9Vi1i95esohXCF3wuKOE8c"", ""'CONSOLIDADO'!G5:AB""), 17, 0), ""-""),
""""
)"),"CORPORACION MADRID S.A.C.")</f>
        <v>CORPORACION MADRID S.A.C.</v>
      </c>
      <c r="U429" s="39" t="str">
        <f>IFERROR(__xludf.DUMMYFUNCTION(" IF
( VLOOKUP($G429,IMPORTRANGE(""https://docs.google.com/spreadsheets/d/1Gpl6jkTg7sL4VDNimUm3S9Vi1i95esohXCF3wuKOE8c"", ""'CONSOLIDADO'!G5:AB""), 10, 0) &lt;&gt; 0, 
IFERROR(VLOOKUP($G429,IMPORTRANGE(""https://docs.google.com/spreadsheets/d/1Gpl6jkTg7sL4VDNimU"&amp;"m3S9Vi1i95esohXCF3wuKOE8c"", ""'CONSOLIDADO'!G5:AB""), 18, 0), ""-""),
""""
)"),"FUNDA")</f>
        <v>FUNDA</v>
      </c>
      <c r="V429" s="39" t="str">
        <f>IFERROR(__xludf.DUMMYFUNCTION(" IF
( VLOOKUP($G429,IMPORTRANGE(""https://docs.google.com/spreadsheets/d/1Gpl6jkTg7sL4VDNimUm3S9Vi1i95esohXCF3wuKOE8c"", ""'CONSOLIDADO'!G5:AB""), 10, 0) &lt;&gt; 0, 
IFERROR(VLOOKUP($G429,IMPORTRANGE(""https://docs.google.com/spreadsheets/d/1Gpl6jkTg7sL4VDNimU"&amp;"m3S9Vi1i95esohXCF3wuKOE8c"", ""'CONSOLIDADO'!G5:AB""), 17, 0), ""-""),
""""
)"),"CORPORACION MADRID S.A.C.")</f>
        <v>CORPORACION MADRID S.A.C.</v>
      </c>
      <c r="W429" s="39" t="str">
        <f>IFERROR(__xludf.DUMMYFUNCTION(" IF
( VLOOKUP($G429,IMPORTRANGE(""https://docs.google.com/spreadsheets/d/1Gpl6jkTg7sL4VDNimUm3S9Vi1i95esohXCF3wuKOE8c"", ""'CONSOLIDADO'!G5:AB""), 10, 0) &lt;&gt; 0, 
IFERROR(VLOOKUP($G429,IMPORTRANGE(""https://docs.google.com/spreadsheets/d/1Gpl6jkTg7sL4VDNimU"&amp;"m3S9Vi1i95esohXCF3wuKOE8c"", ""'CONSOLIDADO'!G5:AB""), 18, 0), ""-""),
""""
)"),"FUNDA")</f>
        <v>FUNDA</v>
      </c>
      <c r="X429" s="39" t="b">
        <f t="shared" si="46"/>
        <v>1</v>
      </c>
      <c r="Y429" s="110" t="str">
        <f>IFERROR(__xludf.DUMMYFUNCTION(" IF
( VLOOKUP($G429,IMPORTRANGE(""https://docs.google.com/spreadsheets/d/1Gpl6jkTg7sL4VDNimUm3S9Vi1i95esohXCF3wuKOE8c"", ""'CONSOLIDADO'!G5:AB""), 10, 0) &lt;&gt; 0, 
IFERROR(VLOOKUP($G429,IMPORTRANGE(""https://docs.google.com/spreadsheets/d/1Gpl6jkTg7sL4VDNimU"&amp;"m3S9Vi1i95esohXCF3wuKOE8c"", ""'CONSOLIDADO'!G5:AB""), 19, 0), ""-""),
""""
)"),"")</f>
        <v/>
      </c>
      <c r="Z429" s="37" t="str">
        <f>IFERROR(__xludf.DUMMYFUNCTION("IFERROR(VLOOKUP(G429,IMPORTRANGE(""https://docs.google.com/spreadsheets/d/12RxCea4e5ggM7QGn1XE3FbLQa_-QbCNdBi90OdPjRqg"", ""'Plan de Compras'!D4:Q""), 12, 0), ""NO ESTÁ EN REQ"")"),"NO ESTÁ EN REQ")</f>
        <v>NO ESTÁ EN REQ</v>
      </c>
      <c r="AA429" s="37" t="str">
        <f>IFERROR(__xludf.DUMMYFUNCTION("IFERROR(VLOOKUP(G429,IMPORTRANGE(""https://docs.google.com/spreadsheets/d/12RxCea4e5ggM7QGn1XE3FbLQa_-QbCNdBi90OdPjRqg"", ""'Plan de Compras'!D4:Q""), 13, 0), """")"),"")</f>
        <v/>
      </c>
      <c r="AB429" s="32" t="str">
        <f>IFERROR(__xludf.DUMMYFUNCTION("IFERROR(VLOOKUP(G429,IMPORTRANGE(""https://docs.google.com/spreadsheets/d/12RxCea4e5ggM7QGn1XE3FbLQa_-QbCNdBi90OdPjRqg"", ""'Plan de Compras'!D4:Q""), 14, 0), """")"),"")</f>
        <v/>
      </c>
      <c r="AC429" s="72" t="str">
        <f>IFERROR(__xludf.DUMMYFUNCTION("IFERROR(VLOOKUP(G429,IMPORTRANGE(""https://docs.google.com/spreadsheets/d/12RxCea4e5ggM7QGn1XE3FbLQa_-QbCNdBi90OdPjRqg"", ""'Plan de Compras'!D4:Q""), 4, 0), """")"),"")</f>
        <v/>
      </c>
      <c r="AD429" s="37" t="str">
        <f>IFERROR(__xludf.DUMMYFUNCTION("IFERROR(IF(OR(C429=TRUE,C429=""""),VLOOKUP(G429,IMPORTRANGE(""https://docs.google.com/spreadsheets/d/1z9A1Wq-kKrhRNG5RS2a2fKpY1wIhSVz2ZNmP2mOl588/edit?usp=sharing"",""REQ VF!E4:H""),4,0),""NO APLICA""),""GENERAR REQ"")"),"NO APLICA")</f>
        <v>NO APLICA</v>
      </c>
      <c r="AE429" s="32" t="str">
        <f>IFERROR(__xludf.DUMMYFUNCTION("IFERROR(QUERY(IMPORTRANGE(""https://docs.google.com/spreadsheets/d/1z9A1Wq-kKrhRNG5RS2a2fKpY1wIhSVz2ZNmP2mOl588/edit?usp=sharing"",""REQ VF!E4:Q""),""SELECT Col10, Col11, Col12 WHERE Col1 = '""&amp;G429&amp;""'"",0),""NO APLICA"")"),"NO APLICA")</f>
        <v>NO APLICA</v>
      </c>
      <c r="AF429" s="32"/>
      <c r="AG429" s="32"/>
      <c r="AH429" s="13"/>
      <c r="AI429" s="13"/>
    </row>
    <row r="430">
      <c r="A430" s="43"/>
      <c r="B430" s="43"/>
      <c r="C430" s="26" t="b">
        <v>1</v>
      </c>
      <c r="D430" s="26" t="s">
        <v>95</v>
      </c>
      <c r="E430" s="26" t="s">
        <v>1510</v>
      </c>
      <c r="F430" s="59" t="s">
        <v>3017</v>
      </c>
      <c r="G430" s="39" t="s">
        <v>3020</v>
      </c>
      <c r="H430" s="66" t="s">
        <v>3021</v>
      </c>
      <c r="I430" s="43">
        <v>16.0</v>
      </c>
      <c r="J430" s="26">
        <f>IFERROR(__xludf.DUMMYFUNCTION("VLOOKUP(G430,IMPORTRANGE(""https://docs.google.com/spreadsheets/d/12RxCea4e5ggM7QGn1XE3FbLQa_-QbCNdBi90OdPjRqg/edit?gid=1692403370#gid=1692403370"", ""'Plan de Compras'!D4:2432""), 8,0)"),1.0)</f>
        <v>1</v>
      </c>
      <c r="K430" s="118" t="str">
        <f t="shared" si="40"/>
        <v>NO</v>
      </c>
      <c r="L430" s="29"/>
      <c r="M430" s="61"/>
      <c r="N430" s="32"/>
      <c r="O430" s="32"/>
      <c r="P430" s="32"/>
      <c r="Q430" s="41"/>
      <c r="R430" s="61"/>
      <c r="S430" s="34" t="b">
        <v>1</v>
      </c>
      <c r="T430" s="39" t="s">
        <v>3022</v>
      </c>
      <c r="U430" s="39" t="s">
        <v>3023</v>
      </c>
      <c r="V430" s="39"/>
      <c r="W430" s="39"/>
      <c r="X430" s="39"/>
      <c r="Y430" s="120" t="s">
        <v>3024</v>
      </c>
      <c r="Z430" s="37" t="str">
        <f>IFERROR(__xludf.DUMMYFUNCTION("IFERROR(VLOOKUP(G430,IMPORTRANGE(""https://docs.google.com/spreadsheets/d/12RxCea4e5ggM7QGn1XE3FbLQa_-QbCNdBi90OdPjRqg"", ""'Plan de Compras'!D4:Q""), 12, 0), ""NO ESTÁ EN REQ"")"),"Simple")</f>
        <v>Simple</v>
      </c>
      <c r="AA430" s="37" t="str">
        <f>IFERROR(__xludf.DUMMYFUNCTION("IFERROR(VLOOKUP(G430,IMPORTRANGE(""https://docs.google.com/spreadsheets/d/12RxCea4e5ggM7QGn1XE3FbLQa_-QbCNdBi90OdPjRqg"", ""'Plan de Compras'!D4:Q""), 13, 0), """")"),"NACIONAL")</f>
        <v>NACIONAL</v>
      </c>
      <c r="AB430" s="32" t="str">
        <f>IFERROR(__xludf.DUMMYFUNCTION("IFERROR(VLOOKUP(G430,IMPORTRANGE(""https://docs.google.com/spreadsheets/d/12RxCea4e5ggM7QGn1XE3FbLQa_-QbCNdBi90OdPjRqg"", ""'Plan de Compras'!D4:Q""), 14, 0), """")"),"ANGIE")</f>
        <v>ANGIE</v>
      </c>
      <c r="AC430" s="72" t="str">
        <f>IFERROR(__xludf.DUMMYFUNCTION("IFERROR(VLOOKUP(G430,IMPORTRANGE(""https://docs.google.com/spreadsheets/d/12RxCea4e5ggM7QGn1XE3FbLQa_-QbCNdBi90OdPjRqg"", ""'Plan de Compras'!D4:Q""), 4, 0), """")"),"SET FUNDAS IMPERMEABLES X 16 UN PARA 16449 ELOY SOBERON FLORES")</f>
        <v>SET FUNDAS IMPERMEABLES X 16 UN PARA 16449 ELOY SOBERON FLORES</v>
      </c>
      <c r="AD430" s="37" t="str">
        <f>IFERROR(__xludf.DUMMYFUNCTION("IFERROR(IF(OR(C430=TRUE,C430=""""),VLOOKUP(G430,IMPORTRANGE(""https://docs.google.com/spreadsheets/d/1z9A1Wq-kKrhRNG5RS2a2fKpY1wIhSVz2ZNmP2mOl588/edit?usp=sharing"",""REQ VF!E4:H""),4,0),""NO APLICA""),""GENERAR REQ"")"),"GENERAR REQ")</f>
        <v>GENERAR REQ</v>
      </c>
      <c r="AE430" s="32" t="str">
        <f>IFERROR(__xludf.DUMMYFUNCTION("IFERROR(QUERY(IMPORTRANGE(""https://docs.google.com/spreadsheets/d/1z9A1Wq-kKrhRNG5RS2a2fKpY1wIhSVz2ZNmP2mOl588/edit?usp=sharing"",""REQ VF!E4:Q""),""SELECT Col10, Col11, Col12 WHERE Col1 = '""&amp;G430&amp;""'"",0),""NO APLICA"")"),"NO APLICA")</f>
        <v>NO APLICA</v>
      </c>
      <c r="AF430" s="32"/>
      <c r="AG430" s="32"/>
      <c r="AH430" s="13"/>
      <c r="AI430" s="13"/>
    </row>
    <row r="431">
      <c r="A431" s="43"/>
      <c r="B431" s="43"/>
      <c r="C431" s="26" t="b">
        <v>1</v>
      </c>
      <c r="D431" s="26" t="s">
        <v>95</v>
      </c>
      <c r="E431" s="26" t="s">
        <v>1510</v>
      </c>
      <c r="F431" s="59" t="s">
        <v>3017</v>
      </c>
      <c r="G431" s="39" t="s">
        <v>3025</v>
      </c>
      <c r="H431" s="66" t="s">
        <v>3026</v>
      </c>
      <c r="I431" s="43">
        <v>16.0</v>
      </c>
      <c r="J431" s="26">
        <f>IFERROR(__xludf.DUMMYFUNCTION("VLOOKUP(G431,IMPORTRANGE(""https://docs.google.com/spreadsheets/d/12RxCea4e5ggM7QGn1XE3FbLQa_-QbCNdBi90OdPjRqg/edit?gid=1692403370#gid=1692403370"", ""'Plan de Compras'!D4:2432""), 8,0)"),1.0)</f>
        <v>1</v>
      </c>
      <c r="K431" s="118" t="str">
        <f t="shared" si="40"/>
        <v>NO</v>
      </c>
      <c r="L431" s="29"/>
      <c r="M431" s="61"/>
      <c r="N431" s="32"/>
      <c r="O431" s="32"/>
      <c r="P431" s="32"/>
      <c r="Q431" s="41"/>
      <c r="R431" s="61"/>
      <c r="S431" s="34" t="b">
        <v>1</v>
      </c>
      <c r="T431" s="39" t="s">
        <v>3022</v>
      </c>
      <c r="U431" s="39" t="s">
        <v>3023</v>
      </c>
      <c r="V431" s="39"/>
      <c r="W431" s="39"/>
      <c r="X431" s="39"/>
      <c r="Y431" s="120" t="s">
        <v>3024</v>
      </c>
      <c r="Z431" s="37" t="str">
        <f>IFERROR(__xludf.DUMMYFUNCTION("IFERROR(VLOOKUP(G431,IMPORTRANGE(""https://docs.google.com/spreadsheets/d/12RxCea4e5ggM7QGn1XE3FbLQa_-QbCNdBi90OdPjRqg"", ""'Plan de Compras'!D4:Q""), 12, 0), ""NO ESTÁ EN REQ"")"),"Simple")</f>
        <v>Simple</v>
      </c>
      <c r="AA431" s="37" t="str">
        <f>IFERROR(__xludf.DUMMYFUNCTION("IFERROR(VLOOKUP(G431,IMPORTRANGE(""https://docs.google.com/spreadsheets/d/12RxCea4e5ggM7QGn1XE3FbLQa_-QbCNdBi90OdPjRqg"", ""'Plan de Compras'!D4:Q""), 13, 0), """")"),"NACIONAL")</f>
        <v>NACIONAL</v>
      </c>
      <c r="AB431" s="32" t="str">
        <f>IFERROR(__xludf.DUMMYFUNCTION("IFERROR(VLOOKUP(G431,IMPORTRANGE(""https://docs.google.com/spreadsheets/d/12RxCea4e5ggM7QGn1XE3FbLQa_-QbCNdBi90OdPjRqg"", ""'Plan de Compras'!D4:Q""), 14, 0), """")"),"ANGIE")</f>
        <v>ANGIE</v>
      </c>
      <c r="AC431" s="72" t="str">
        <f>IFERROR(__xludf.DUMMYFUNCTION("IFERROR(VLOOKUP(G431,IMPORTRANGE(""https://docs.google.com/spreadsheets/d/12RxCea4e5ggM7QGn1XE3FbLQa_-QbCNdBi90OdPjRqg"", ""'Plan de Compras'!D4:Q""), 4, 0), """")"),"SET FUNDAS IMPERMEABLES X 16 UN PARA 2026 SIMON BOLIVAR")</f>
        <v>SET FUNDAS IMPERMEABLES X 16 UN PARA 2026 SIMON BOLIVAR</v>
      </c>
      <c r="AD431" s="37" t="str">
        <f>IFERROR(__xludf.DUMMYFUNCTION("IFERROR(IF(OR(C431=TRUE,C431=""""),VLOOKUP(G431,IMPORTRANGE(""https://docs.google.com/spreadsheets/d/1z9A1Wq-kKrhRNG5RS2a2fKpY1wIhSVz2ZNmP2mOl588/edit?usp=sharing"",""REQ VF!E4:H""),4,0),""NO APLICA""),""GENERAR REQ"")"),"GENERAR REQ")</f>
        <v>GENERAR REQ</v>
      </c>
      <c r="AE431" s="32" t="str">
        <f>IFERROR(__xludf.DUMMYFUNCTION("IFERROR(QUERY(IMPORTRANGE(""https://docs.google.com/spreadsheets/d/1z9A1Wq-kKrhRNG5RS2a2fKpY1wIhSVz2ZNmP2mOl588/edit?usp=sharing"",""REQ VF!E4:Q""),""SELECT Col10, Col11, Col12 WHERE Col1 = '""&amp;G431&amp;""'"",0),""NO APLICA"")"),"NO APLICA")</f>
        <v>NO APLICA</v>
      </c>
      <c r="AF431" s="32"/>
      <c r="AG431" s="32"/>
      <c r="AH431" s="13"/>
      <c r="AI431" s="13"/>
    </row>
    <row r="432">
      <c r="A432" s="43"/>
      <c r="B432" s="43"/>
      <c r="C432" s="26" t="b">
        <v>1</v>
      </c>
      <c r="D432" s="26" t="s">
        <v>95</v>
      </c>
      <c r="E432" s="26" t="s">
        <v>1510</v>
      </c>
      <c r="F432" s="59" t="s">
        <v>3017</v>
      </c>
      <c r="G432" s="39" t="s">
        <v>3027</v>
      </c>
      <c r="H432" s="66" t="s">
        <v>3028</v>
      </c>
      <c r="I432" s="43">
        <v>16.0</v>
      </c>
      <c r="J432" s="26">
        <f>IFERROR(__xludf.DUMMYFUNCTION("VLOOKUP(G432,IMPORTRANGE(""https://docs.google.com/spreadsheets/d/12RxCea4e5ggM7QGn1XE3FbLQa_-QbCNdBi90OdPjRqg/edit?gid=1692403370#gid=1692403370"", ""'Plan de Compras'!D4:2432""), 8,0)"),1.0)</f>
        <v>1</v>
      </c>
      <c r="K432" s="118" t="str">
        <f t="shared" si="40"/>
        <v>NO</v>
      </c>
      <c r="L432" s="29"/>
      <c r="M432" s="61"/>
      <c r="N432" s="32"/>
      <c r="O432" s="32"/>
      <c r="P432" s="32"/>
      <c r="Q432" s="41"/>
      <c r="R432" s="61"/>
      <c r="S432" s="34" t="b">
        <v>1</v>
      </c>
      <c r="T432" s="39" t="s">
        <v>3022</v>
      </c>
      <c r="U432" s="39" t="s">
        <v>3023</v>
      </c>
      <c r="V432" s="39"/>
      <c r="W432" s="39"/>
      <c r="X432" s="39"/>
      <c r="Y432" s="120" t="s">
        <v>3024</v>
      </c>
      <c r="Z432" s="37" t="str">
        <f>IFERROR(__xludf.DUMMYFUNCTION("IFERROR(VLOOKUP(G432,IMPORTRANGE(""https://docs.google.com/spreadsheets/d/12RxCea4e5ggM7QGn1XE3FbLQa_-QbCNdBi90OdPjRqg"", ""'Plan de Compras'!D4:Q""), 12, 0), ""NO ESTÁ EN REQ"")"),"Simple")</f>
        <v>Simple</v>
      </c>
      <c r="AA432" s="37" t="str">
        <f>IFERROR(__xludf.DUMMYFUNCTION("IFERROR(VLOOKUP(G432,IMPORTRANGE(""https://docs.google.com/spreadsheets/d/12RxCea4e5ggM7QGn1XE3FbLQa_-QbCNdBi90OdPjRqg"", ""'Plan de Compras'!D4:Q""), 13, 0), """")"),"NACIONAL")</f>
        <v>NACIONAL</v>
      </c>
      <c r="AB432" s="32" t="str">
        <f>IFERROR(__xludf.DUMMYFUNCTION("IFERROR(VLOOKUP(G432,IMPORTRANGE(""https://docs.google.com/spreadsheets/d/12RxCea4e5ggM7QGn1XE3FbLQa_-QbCNdBi90OdPjRqg"", ""'Plan de Compras'!D4:Q""), 14, 0), """")"),"ANGIE")</f>
        <v>ANGIE</v>
      </c>
      <c r="AC432" s="72" t="str">
        <f>IFERROR(__xludf.DUMMYFUNCTION("IFERROR(VLOOKUP(G432,IMPORTRANGE(""https://docs.google.com/spreadsheets/d/12RxCea4e5ggM7QGn1XE3FbLQa_-QbCNdBi90OdPjRqg"", ""'Plan de Compras'!D4:Q""), 4, 0), """")"),"SET FUNDAS IMPERMEABLES X 16 UN PARA FRANCISCO IRAZOLA")</f>
        <v>SET FUNDAS IMPERMEABLES X 16 UN PARA FRANCISCO IRAZOLA</v>
      </c>
      <c r="AD432" s="37" t="str">
        <f>IFERROR(__xludf.DUMMYFUNCTION("IFERROR(IF(OR(C432=TRUE,C432=""""),VLOOKUP(G432,IMPORTRANGE(""https://docs.google.com/spreadsheets/d/1z9A1Wq-kKrhRNG5RS2a2fKpY1wIhSVz2ZNmP2mOl588/edit?usp=sharing"",""REQ VF!E4:H""),4,0),""NO APLICA""),""GENERAR REQ"")"),"GENERAR REQ")</f>
        <v>GENERAR REQ</v>
      </c>
      <c r="AE432" s="32" t="str">
        <f>IFERROR(__xludf.DUMMYFUNCTION("IFERROR(QUERY(IMPORTRANGE(""https://docs.google.com/spreadsheets/d/1z9A1Wq-kKrhRNG5RS2a2fKpY1wIhSVz2ZNmP2mOl588/edit?usp=sharing"",""REQ VF!E4:Q""),""SELECT Col10, Col11, Col12 WHERE Col1 = '""&amp;G432&amp;""'"",0),""NO APLICA"")"),"NO APLICA")</f>
        <v>NO APLICA</v>
      </c>
      <c r="AF432" s="32"/>
      <c r="AG432" s="32"/>
      <c r="AH432" s="13"/>
      <c r="AI432" s="13"/>
    </row>
    <row r="433">
      <c r="A433" s="43"/>
      <c r="B433" s="43"/>
      <c r="C433" s="26" t="b">
        <v>1</v>
      </c>
      <c r="D433" s="26" t="s">
        <v>95</v>
      </c>
      <c r="E433" s="26" t="s">
        <v>1510</v>
      </c>
      <c r="F433" s="59" t="s">
        <v>3017</v>
      </c>
      <c r="G433" s="39" t="s">
        <v>3029</v>
      </c>
      <c r="H433" s="66" t="s">
        <v>3030</v>
      </c>
      <c r="I433" s="43">
        <v>16.0</v>
      </c>
      <c r="J433" s="26">
        <f>IFERROR(__xludf.DUMMYFUNCTION("VLOOKUP(G433,IMPORTRANGE(""https://docs.google.com/spreadsheets/d/12RxCea4e5ggM7QGn1XE3FbLQa_-QbCNdBi90OdPjRqg/edit?gid=1692403370#gid=1692403370"", ""'Plan de Compras'!D4:2432""), 8,0)"),1.0)</f>
        <v>1</v>
      </c>
      <c r="K433" s="118" t="str">
        <f t="shared" si="40"/>
        <v>NO</v>
      </c>
      <c r="L433" s="29"/>
      <c r="M433" s="61"/>
      <c r="N433" s="32"/>
      <c r="O433" s="32"/>
      <c r="P433" s="32"/>
      <c r="Q433" s="41"/>
      <c r="R433" s="61"/>
      <c r="S433" s="34" t="b">
        <v>1</v>
      </c>
      <c r="T433" s="39" t="s">
        <v>3022</v>
      </c>
      <c r="U433" s="39" t="s">
        <v>3023</v>
      </c>
      <c r="V433" s="39"/>
      <c r="W433" s="39"/>
      <c r="X433" s="39"/>
      <c r="Y433" s="120" t="s">
        <v>3024</v>
      </c>
      <c r="Z433" s="37" t="str">
        <f>IFERROR(__xludf.DUMMYFUNCTION("IFERROR(VLOOKUP(G433,IMPORTRANGE(""https://docs.google.com/spreadsheets/d/12RxCea4e5ggM7QGn1XE3FbLQa_-QbCNdBi90OdPjRqg"", ""'Plan de Compras'!D4:Q""), 12, 0), ""NO ESTÁ EN REQ"")"),"Simple")</f>
        <v>Simple</v>
      </c>
      <c r="AA433" s="37" t="str">
        <f>IFERROR(__xludf.DUMMYFUNCTION("IFERROR(VLOOKUP(G433,IMPORTRANGE(""https://docs.google.com/spreadsheets/d/12RxCea4e5ggM7QGn1XE3FbLQa_-QbCNdBi90OdPjRqg"", ""'Plan de Compras'!D4:Q""), 13, 0), """")"),"NACIONAL")</f>
        <v>NACIONAL</v>
      </c>
      <c r="AB433" s="32" t="str">
        <f>IFERROR(__xludf.DUMMYFUNCTION("IFERROR(VLOOKUP(G433,IMPORTRANGE(""https://docs.google.com/spreadsheets/d/12RxCea4e5ggM7QGn1XE3FbLQa_-QbCNdBi90OdPjRqg"", ""'Plan de Compras'!D4:Q""), 14, 0), """")"),"ANGIE")</f>
        <v>ANGIE</v>
      </c>
      <c r="AC433" s="72" t="str">
        <f>IFERROR(__xludf.DUMMYFUNCTION("IFERROR(VLOOKUP(G433,IMPORTRANGE(""https://docs.google.com/spreadsheets/d/12RxCea4e5ggM7QGn1XE3FbLQa_-QbCNdBi90OdPjRqg"", ""'Plan de Compras'!D4:Q""), 4, 0), """")"),"SET FUNDAS IMPERMEABLES X 16 UN PARA GUILLERMO E. BILLINGHURST")</f>
        <v>SET FUNDAS IMPERMEABLES X 16 UN PARA GUILLERMO E. BILLINGHURST</v>
      </c>
      <c r="AD433" s="37" t="str">
        <f>IFERROR(__xludf.DUMMYFUNCTION("IFERROR(IF(OR(C433=TRUE,C433=""""),VLOOKUP(G433,IMPORTRANGE(""https://docs.google.com/spreadsheets/d/1z9A1Wq-kKrhRNG5RS2a2fKpY1wIhSVz2ZNmP2mOl588/edit?usp=sharing"",""REQ VF!E4:H""),4,0),""NO APLICA""),""GENERAR REQ"")"),"GENERAR REQ")</f>
        <v>GENERAR REQ</v>
      </c>
      <c r="AE433" s="32" t="str">
        <f>IFERROR(__xludf.DUMMYFUNCTION("IFERROR(QUERY(IMPORTRANGE(""https://docs.google.com/spreadsheets/d/1z9A1Wq-kKrhRNG5RS2a2fKpY1wIhSVz2ZNmP2mOl588/edit?usp=sharing"",""REQ VF!E4:Q""),""SELECT Col10, Col11, Col12 WHERE Col1 = '""&amp;G433&amp;""'"",0),""NO APLICA"")"),"NO APLICA")</f>
        <v>NO APLICA</v>
      </c>
      <c r="AF433" s="32"/>
      <c r="AG433" s="32"/>
      <c r="AH433" s="13"/>
      <c r="AI433" s="13"/>
    </row>
    <row r="434">
      <c r="A434" s="43"/>
      <c r="B434" s="43"/>
      <c r="C434" s="26" t="b">
        <v>1</v>
      </c>
      <c r="D434" s="26" t="s">
        <v>95</v>
      </c>
      <c r="E434" s="26" t="s">
        <v>1510</v>
      </c>
      <c r="F434" s="59" t="s">
        <v>3017</v>
      </c>
      <c r="G434" s="39" t="s">
        <v>3031</v>
      </c>
      <c r="H434" s="66" t="s">
        <v>3032</v>
      </c>
      <c r="I434" s="43">
        <v>16.0</v>
      </c>
      <c r="J434" s="26">
        <f>IFERROR(__xludf.DUMMYFUNCTION("VLOOKUP(G434,IMPORTRANGE(""https://docs.google.com/spreadsheets/d/12RxCea4e5ggM7QGn1XE3FbLQa_-QbCNdBi90OdPjRqg/edit?gid=1692403370#gid=1692403370"", ""'Plan de Compras'!D4:2432""), 8,0)"),1.0)</f>
        <v>1</v>
      </c>
      <c r="K434" s="118" t="str">
        <f t="shared" si="40"/>
        <v>NO</v>
      </c>
      <c r="L434" s="29"/>
      <c r="M434" s="61"/>
      <c r="N434" s="32"/>
      <c r="O434" s="32"/>
      <c r="P434" s="32"/>
      <c r="Q434" s="41"/>
      <c r="R434" s="61"/>
      <c r="S434" s="34" t="b">
        <v>1</v>
      </c>
      <c r="T434" s="39" t="s">
        <v>3022</v>
      </c>
      <c r="U434" s="39" t="s">
        <v>3023</v>
      </c>
      <c r="V434" s="39"/>
      <c r="W434" s="39"/>
      <c r="X434" s="39"/>
      <c r="Y434" s="120" t="s">
        <v>3024</v>
      </c>
      <c r="Z434" s="37" t="str">
        <f>IFERROR(__xludf.DUMMYFUNCTION("IFERROR(VLOOKUP(G434,IMPORTRANGE(""https://docs.google.com/spreadsheets/d/12RxCea4e5ggM7QGn1XE3FbLQa_-QbCNdBi90OdPjRqg"", ""'Plan de Compras'!D4:Q""), 12, 0), ""NO ESTÁ EN REQ"")"),"Simple")</f>
        <v>Simple</v>
      </c>
      <c r="AA434" s="37" t="str">
        <f>IFERROR(__xludf.DUMMYFUNCTION("IFERROR(VLOOKUP(G434,IMPORTRANGE(""https://docs.google.com/spreadsheets/d/12RxCea4e5ggM7QGn1XE3FbLQa_-QbCNdBi90OdPjRqg"", ""'Plan de Compras'!D4:Q""), 13, 0), """")"),"NACIONAL")</f>
        <v>NACIONAL</v>
      </c>
      <c r="AB434" s="32" t="str">
        <f>IFERROR(__xludf.DUMMYFUNCTION("IFERROR(VLOOKUP(G434,IMPORTRANGE(""https://docs.google.com/spreadsheets/d/12RxCea4e5ggM7QGn1XE3FbLQa_-QbCNdBi90OdPjRqg"", ""'Plan de Compras'!D4:Q""), 14, 0), """")"),"ANGIE")</f>
        <v>ANGIE</v>
      </c>
      <c r="AC434" s="72" t="str">
        <f>IFERROR(__xludf.DUMMYFUNCTION("IFERROR(VLOOKUP(G434,IMPORTRANGE(""https://docs.google.com/spreadsheets/d/12RxCea4e5ggM7QGn1XE3FbLQa_-QbCNdBi90OdPjRqg"", ""'Plan de Compras'!D4:Q""), 4, 0), """")"),"SET FUNDAS IMPERMEABLES X 16 UN PARA JOSE GRANDA")</f>
        <v>SET FUNDAS IMPERMEABLES X 16 UN PARA JOSE GRANDA</v>
      </c>
      <c r="AD434" s="37" t="str">
        <f>IFERROR(__xludf.DUMMYFUNCTION("IFERROR(IF(OR(C434=TRUE,C434=""""),VLOOKUP(G434,IMPORTRANGE(""https://docs.google.com/spreadsheets/d/1z9A1Wq-kKrhRNG5RS2a2fKpY1wIhSVz2ZNmP2mOl588/edit?usp=sharing"",""REQ VF!E4:H""),4,0),""NO APLICA""),""GENERAR REQ"")"),"GENERAR REQ")</f>
        <v>GENERAR REQ</v>
      </c>
      <c r="AE434" s="32" t="str">
        <f>IFERROR(__xludf.DUMMYFUNCTION("IFERROR(QUERY(IMPORTRANGE(""https://docs.google.com/spreadsheets/d/1z9A1Wq-kKrhRNG5RS2a2fKpY1wIhSVz2ZNmP2mOl588/edit?usp=sharing"",""REQ VF!E4:Q""),""SELECT Col10, Col11, Col12 WHERE Col1 = '""&amp;G434&amp;""'"",0),""NO APLICA"")"),"NO APLICA")</f>
        <v>NO APLICA</v>
      </c>
      <c r="AF434" s="32"/>
      <c r="AG434" s="32"/>
      <c r="AH434" s="13"/>
      <c r="AI434" s="13"/>
    </row>
    <row r="435">
      <c r="A435" s="121">
        <v>265.0</v>
      </c>
      <c r="B435" s="43" t="b">
        <v>1</v>
      </c>
      <c r="C435" s="26" t="b">
        <v>1</v>
      </c>
      <c r="D435" s="26" t="s">
        <v>35</v>
      </c>
      <c r="E435" s="26" t="s">
        <v>1510</v>
      </c>
      <c r="F435" s="59" t="s">
        <v>3033</v>
      </c>
      <c r="G435" s="39" t="s">
        <v>3033</v>
      </c>
      <c r="H435" s="82" t="s">
        <v>3034</v>
      </c>
      <c r="I435" s="43">
        <f>SUMIFS('Hoja 10'!$O:$O,'Hoja 10'!$F:$F,$G435)</f>
        <v>3</v>
      </c>
      <c r="J435" s="26">
        <f>IFERROR(__xludf.DUMMYFUNCTION("VLOOKUP(G435,IMPORTRANGE(""https://docs.google.com/spreadsheets/d/12RxCea4e5ggM7QGn1XE3FbLQa_-QbCNdBi90OdPjRqg/edit?gid=1692403370#gid=1692403370"", ""'Plan de Compras'!D4:2432""), 8,0)"),3.0)</f>
        <v>3</v>
      </c>
      <c r="K435" s="26" t="str">
        <f t="shared" si="40"/>
        <v>SI</v>
      </c>
      <c r="L435" s="29" t="s">
        <v>127</v>
      </c>
      <c r="M435" s="30" t="s">
        <v>105</v>
      </c>
      <c r="N435" s="32"/>
      <c r="O435" s="32" t="str">
        <f>VLOOKUP($G435,'Hoja 10'!$F$4:$AA1057, 19,0)</f>
        <v>Scepter Corporation</v>
      </c>
      <c r="P435" s="32">
        <f>VLOOKUP($G435,'Hoja 10'!$F$4:$AA1057, 20,0)</f>
        <v>71203</v>
      </c>
      <c r="Q435" s="33" t="str">
        <f>VLOOKUP($G435,'Hoja 10'!$F$4:$AA1057, 21,0)</f>
        <v>https://drive.google.com/file/d/1r0u7iSw0bQjpqfYjT9EbVw82Dn1Dx9oR/view</v>
      </c>
      <c r="R435" s="30" t="s">
        <v>3035</v>
      </c>
      <c r="S435" s="34" t="b">
        <v>1</v>
      </c>
      <c r="T435" s="39" t="s">
        <v>3036</v>
      </c>
      <c r="U435" s="39" t="s">
        <v>3037</v>
      </c>
      <c r="V435" s="39" t="str">
        <f>IFERROR(__xludf.DUMMYFUNCTION(" IF
( VLOOKUP($G435,IMPORTRANGE(""https://docs.google.com/spreadsheets/d/1Gpl6jkTg7sL4VDNimUm3S9Vi1i95esohXCF3wuKOE8c"", ""'CONSOLIDADO'!G5:AB""), 10, 0) &lt;&gt; 0, 
IFERROR(VLOOKUP($G435,IMPORTRANGE(""https://docs.google.com/spreadsheets/d/1Gpl6jkTg7sL4VDNimU"&amp;"m3S9Vi1i95esohXCF3wuKOE8c"", ""'CONSOLIDADO'!G5:AB""), 17, 0), ""-""),
""""
)"),"SCEPTER ")</f>
        <v>SCEPTER </v>
      </c>
      <c r="W435" s="39" t="str">
        <f>IFERROR(__xludf.DUMMYFUNCTION(" IF
( VLOOKUP($G435,IMPORTRANGE(""https://docs.google.com/spreadsheets/d/1Gpl6jkTg7sL4VDNimUm3S9Vi1i95esohXCF3wuKOE8c"", ""'CONSOLIDADO'!G5:AB""), 10, 0) &lt;&gt; 0, 
IFERROR(VLOOKUP($G435,IMPORTRANGE(""https://docs.google.com/spreadsheets/d/1Gpl6jkTg7sL4VDNimU"&amp;"m3S9Vi1i95esohXCF3wuKOE8c"", ""'CONSOLIDADO'!G5:AB""), 18, 0), ""-""),
""""
)"),"GALONERA 10 LT")</f>
        <v>GALONERA 10 LT</v>
      </c>
      <c r="X435" s="39" t="b">
        <f t="shared" ref="X435:X450" si="47">IF(AND(T435=V435,W435=U435),TRUE,FALSE)</f>
        <v>1</v>
      </c>
      <c r="Y435" s="120" t="s">
        <v>3038</v>
      </c>
      <c r="Z435" s="37" t="str">
        <f>IFERROR(__xludf.DUMMYFUNCTION("IFERROR(VLOOKUP(G435,IMPORTRANGE(""https://docs.google.com/spreadsheets/d/12RxCea4e5ggM7QGn1XE3FbLQa_-QbCNdBi90OdPjRqg"", ""'Plan de Compras'!D4:Q""), 12, 0), ""NO ESTÁ EN REQ"")"),"Simple")</f>
        <v>Simple</v>
      </c>
      <c r="AA435" s="37" t="str">
        <f>IFERROR(__xludf.DUMMYFUNCTION("IFERROR(VLOOKUP(G435,IMPORTRANGE(""https://docs.google.com/spreadsheets/d/12RxCea4e5ggM7QGn1XE3FbLQa_-QbCNdBi90OdPjRqg"", ""'Plan de Compras'!D4:Q""), 13, 0), """")"),"NACIONAL")</f>
        <v>NACIONAL</v>
      </c>
      <c r="AB435" s="32" t="str">
        <f>IFERROR(__xludf.DUMMYFUNCTION("IFERROR(VLOOKUP(G435,IMPORTRANGE(""https://docs.google.com/spreadsheets/d/12RxCea4e5ggM7QGn1XE3FbLQa_-QbCNdBi90OdPjRqg"", ""'Plan de Compras'!D4:Q""), 14, 0), """")"),"JESSICA")</f>
        <v>JESSICA</v>
      </c>
      <c r="AC435" s="72" t="str">
        <f>IFERROR(__xludf.DUMMYFUNCTION("IFERROR(VLOOKUP(G435,IMPORTRANGE(""https://docs.google.com/spreadsheets/d/12RxCea4e5ggM7QGn1XE3FbLQa_-QbCNdBi90OdPjRqg"", ""'Plan de Compras'!D4:Q""), 4, 0), """")"),"GALONERA")</f>
        <v>GALONERA</v>
      </c>
      <c r="AD435" s="37" t="str">
        <f>IFERROR(__xludf.DUMMYFUNCTION("IFERROR(IF(OR(C435=TRUE,C435=""""),VLOOKUP(G435,IMPORTRANGE(""https://docs.google.com/spreadsheets/d/1z9A1Wq-kKrhRNG5RS2a2fKpY1wIhSVz2ZNmP2mOl588/edit?usp=sharing"",""REQ VF!E4:H""),4,0),""NO APLICA""),""GENERAR REQ"")"),"GENERAR REQ")</f>
        <v>GENERAR REQ</v>
      </c>
      <c r="AE435" s="32" t="str">
        <f>IFERROR(__xludf.DUMMYFUNCTION("IFERROR(QUERY(IMPORTRANGE(""https://docs.google.com/spreadsheets/d/1z9A1Wq-kKrhRNG5RS2a2fKpY1wIhSVz2ZNmP2mOl588/edit?usp=sharing"",""REQ VF!E4:Q""),""SELECT Col10, Col11, Col12 WHERE Col1 = '""&amp;G435&amp;""'"",0),""NO APLICA"")"),"NO APLICA")</f>
        <v>NO APLICA</v>
      </c>
      <c r="AF435" s="32"/>
      <c r="AG435" s="32"/>
      <c r="AH435" s="13" t="s">
        <v>52</v>
      </c>
      <c r="AI435" s="13"/>
    </row>
    <row r="436">
      <c r="A436" s="117">
        <v>266.0</v>
      </c>
      <c r="B436" s="43" t="b">
        <v>1</v>
      </c>
      <c r="C436" s="26" t="b">
        <v>1</v>
      </c>
      <c r="D436" s="26" t="s">
        <v>35</v>
      </c>
      <c r="E436" s="26" t="s">
        <v>1510</v>
      </c>
      <c r="F436" s="59" t="s">
        <v>3039</v>
      </c>
      <c r="G436" s="37" t="s">
        <v>3039</v>
      </c>
      <c r="H436" s="82" t="s">
        <v>3040</v>
      </c>
      <c r="I436" s="43">
        <f>SUMIFS('Hoja 10'!$O:$O,'Hoja 10'!$F:$F,$G436)</f>
        <v>100</v>
      </c>
      <c r="J436" s="26">
        <f>IFERROR(__xludf.DUMMYFUNCTION("VLOOKUP(G436,IMPORTRANGE(""https://docs.google.com/spreadsheets/d/12RxCea4e5ggM7QGn1XE3FbLQa_-QbCNdBi90OdPjRqg/edit?gid=1692403370#gid=1692403370"", ""'Plan de Compras'!D4:2432""), 8,0)"),100.0)</f>
        <v>100</v>
      </c>
      <c r="K436" s="26" t="str">
        <f t="shared" si="40"/>
        <v>SI</v>
      </c>
      <c r="L436" s="29" t="s">
        <v>1529</v>
      </c>
      <c r="M436" s="30" t="s">
        <v>78</v>
      </c>
      <c r="N436" s="32"/>
      <c r="O436" s="32" t="str">
        <f>VLOOKUP($G436,'Hoja 10'!$F$4:$AA1057, 19,0)</f>
        <v>MEDICAL NATION</v>
      </c>
      <c r="P436" s="32" t="str">
        <f>VLOOKUP($G436,'Hoja 10'!$F$4:$AA1057, 20,0)</f>
        <v>B094KLCQLV</v>
      </c>
      <c r="Q436" s="33" t="str">
        <f>VLOOKUP($G436,'Hoja 10'!$F$4:$AA1057, 21,0)</f>
        <v>https://www.amazon.com/-/es/pulgadas-desechables-Bouffant-redecillas-perfectas/dp/B094KLCQLV</v>
      </c>
      <c r="R436" s="30" t="s">
        <v>3041</v>
      </c>
      <c r="S436" s="34" t="b">
        <v>1</v>
      </c>
      <c r="T436" s="39" t="s">
        <v>3042</v>
      </c>
      <c r="U436" s="39" t="s">
        <v>3043</v>
      </c>
      <c r="V436" s="39" t="str">
        <f>IFERROR(__xludf.DUMMYFUNCTION(" IF
( VLOOKUP($G436,IMPORTRANGE(""https://docs.google.com/spreadsheets/d/1Gpl6jkTg7sL4VDNimUm3S9Vi1i95esohXCF3wuKOE8c"", ""'CONSOLIDADO'!G5:AB""), 10, 0) &lt;&gt; 0, 
IFERROR(VLOOKUP($G436,IMPORTRANGE(""https://docs.google.com/spreadsheets/d/1Gpl6jkTg7sL4VDNimU"&amp;"m3S9Vi1i95esohXCF3wuKOE8c"", ""'CONSOLIDADO'!G5:AB""), 17, 0), ""-""),
""""
)"),"MEDICAL NATION")</f>
        <v>MEDICAL NATION</v>
      </c>
      <c r="W436" s="39" t="str">
        <f>IFERROR(__xludf.DUMMYFUNCTION(" IF
( VLOOKUP($G436,IMPORTRANGE(""https://docs.google.com/spreadsheets/d/1Gpl6jkTg7sL4VDNimUm3S9Vi1i95esohXCF3wuKOE8c"", ""'CONSOLIDADO'!G5:AB""), 10, 0) &lt;&gt; 0, 
IFERROR(VLOOKUP($G436,IMPORTRANGE(""https://docs.google.com/spreadsheets/d/1Gpl6jkTg7sL4VDNimU"&amp;"m3S9Vi1i95esohXCF3wuKOE8c"", ""'CONSOLIDADO'!G5:AB""), 18, 0), ""-""),
""""
)"),"B094KLCQLV ")</f>
        <v>B094KLCQLV </v>
      </c>
      <c r="X436" s="39" t="b">
        <f t="shared" si="47"/>
        <v>1</v>
      </c>
      <c r="Y436" s="120" t="s">
        <v>3044</v>
      </c>
      <c r="Z436" s="37" t="str">
        <f>IFERROR(__xludf.DUMMYFUNCTION("IFERROR(VLOOKUP(G436,IMPORTRANGE(""https://docs.google.com/spreadsheets/d/12RxCea4e5ggM7QGn1XE3FbLQa_-QbCNdBi90OdPjRqg"", ""'Plan de Compras'!D4:Q""), 12, 0), ""NO ESTÁ EN REQ"")"),"Simple")</f>
        <v>Simple</v>
      </c>
      <c r="AA436" s="37" t="str">
        <f>IFERROR(__xludf.DUMMYFUNCTION("IFERROR(VLOOKUP(G436,IMPORTRANGE(""https://docs.google.com/spreadsheets/d/12RxCea4e5ggM7QGn1XE3FbLQa_-QbCNdBi90OdPjRqg"", ""'Plan de Compras'!D4:Q""), 13, 0), """")"),"INTERNACIONAL")</f>
        <v>INTERNACIONAL</v>
      </c>
      <c r="AB436" s="32" t="str">
        <f>IFERROR(__xludf.DUMMYFUNCTION("IFERROR(VLOOKUP(G436,IMPORTRANGE(""https://docs.google.com/spreadsheets/d/12RxCea4e5ggM7QGn1XE3FbLQa_-QbCNdBi90OdPjRqg"", ""'Plan de Compras'!D4:Q""), 14, 0), """")"),"DIEGO ")</f>
        <v>DIEGO </v>
      </c>
      <c r="AC436" s="72" t="str">
        <f>IFERROR(__xludf.DUMMYFUNCTION("IFERROR(VLOOKUP(G436,IMPORTRANGE(""https://docs.google.com/spreadsheets/d/12RxCea4e5ggM7QGn1XE3FbLQa_-QbCNdBi90OdPjRqg"", ""'Plan de Compras'!D4:Q""), 4, 0), """")"),"GORROS PROTECTORES PARA EL CABELLO")</f>
        <v>GORROS PROTECTORES PARA EL CABELLO</v>
      </c>
      <c r="AD436" s="37" t="str">
        <f>IFERROR(__xludf.DUMMYFUNCTION("IFERROR(IF(OR(C436=TRUE,C436=""""),VLOOKUP(G436,IMPORTRANGE(""https://docs.google.com/spreadsheets/d/1z9A1Wq-kKrhRNG5RS2a2fKpY1wIhSVz2ZNmP2mOl588/edit?usp=sharing"",""REQ VF!E4:H""),4,0),""NO APLICA""),""GENERAR REQ"")"),"GENERAR REQ")</f>
        <v>GENERAR REQ</v>
      </c>
      <c r="AE436" s="32" t="str">
        <f>IFERROR(__xludf.DUMMYFUNCTION("IFERROR(QUERY(IMPORTRANGE(""https://docs.google.com/spreadsheets/d/1z9A1Wq-kKrhRNG5RS2a2fKpY1wIhSVz2ZNmP2mOl588/edit?usp=sharing"",""REQ VF!E4:Q""),""SELECT Col10, Col11, Col12 WHERE Col1 = '""&amp;G436&amp;""'"",0),""NO APLICA"")"),"NO APLICA")</f>
        <v>NO APLICA</v>
      </c>
      <c r="AF436" s="32"/>
      <c r="AG436" s="32"/>
      <c r="AH436" s="13"/>
      <c r="AI436" s="13"/>
    </row>
    <row r="437">
      <c r="A437" s="121">
        <v>267.0</v>
      </c>
      <c r="B437" s="43" t="b">
        <v>1</v>
      </c>
      <c r="C437" s="26" t="b">
        <v>1</v>
      </c>
      <c r="D437" s="26" t="s">
        <v>35</v>
      </c>
      <c r="E437" s="26" t="s">
        <v>1510</v>
      </c>
      <c r="F437" s="59" t="s">
        <v>3045</v>
      </c>
      <c r="G437" s="37" t="s">
        <v>3045</v>
      </c>
      <c r="H437" s="82" t="s">
        <v>3046</v>
      </c>
      <c r="I437" s="43">
        <f>SUMIFS('Hoja 10'!$O:$O,'Hoja 10'!$F:$F,$G437)</f>
        <v>42</v>
      </c>
      <c r="J437" s="26">
        <f>IFERROR(__xludf.DUMMYFUNCTION("VLOOKUP(G437,IMPORTRANGE(""https://docs.google.com/spreadsheets/d/12RxCea4e5ggM7QGn1XE3FbLQa_-QbCNdBi90OdPjRqg/edit?gid=1692403370#gid=1692403370"", ""'Plan de Compras'!D4:2432""), 8,0)"),42.0)</f>
        <v>42</v>
      </c>
      <c r="K437" s="26" t="str">
        <f t="shared" si="40"/>
        <v>SI</v>
      </c>
      <c r="L437" s="29" t="s">
        <v>296</v>
      </c>
      <c r="M437" s="30" t="s">
        <v>297</v>
      </c>
      <c r="N437" s="32"/>
      <c r="O437" s="32" t="str">
        <f>VLOOKUP($G437,'Hoja 10'!$F$4:$AA1057, 19,0)</f>
        <v>RDL</v>
      </c>
      <c r="P437" s="32" t="str">
        <f>VLOOKUP($G437,'Hoja 10'!$F$4:$AA1057, 20,0)</f>
        <v>Ecocuero</v>
      </c>
      <c r="Q437" s="33" t="str">
        <f>VLOOKUP($G437,'Hoja 10'!$F$4:$AA1057, 21,0)</f>
        <v>https://www.sodimac.com.pe/sodimac-pe/articulo/113534794/Guantes-de-Seguridad-de-Cuero-Cromo-Estandar/113534797?kid=goosho_669250&amp;shop=googleShopping&amp;gad_source=1&amp;gad_campaignid=21524717227&amp;gbraid=0AAAAADOx_19izoaWzi6siFsZCRkBiRdS-&amp;gclid=CjwKCAjwup3HBhAAEiwA7euZuj4BAMhUbd8LMpMYpkcBivUi9qyJojl_RXu0s6L4aBDktbdqph4OBRoC2nEQAvD_BwE</v>
      </c>
      <c r="R437" s="30" t="s">
        <v>3047</v>
      </c>
      <c r="S437" s="44" t="b">
        <v>1</v>
      </c>
      <c r="T437" s="39" t="str">
        <f>IFERROR(__xludf.DUMMYFUNCTION(" IF
( VLOOKUP($G437,IMPORTRANGE(""https://docs.google.com/spreadsheets/d/1Gpl6jkTg7sL4VDNimUm3S9Vi1i95esohXCF3wuKOE8c"", ""'CONSOLIDADO'!G5:AB""), 10, 0) &lt;&gt; 0, 
IFERROR(VLOOKUP($G437,IMPORTRANGE(""https://docs.google.com/spreadsheets/d/1Gpl6jkTg7sL4VDNimU"&amp;"m3S9Vi1i95esohXCF3wuKOE8c"", ""'CONSOLIDADO'!G5:AB""), 17, 0), ""-""),
""""
)"),"NIKO")</f>
        <v>NIKO</v>
      </c>
      <c r="U437" s="39" t="str">
        <f>IFERROR(__xludf.DUMMYFUNCTION(" IF
( VLOOKUP($G437,IMPORTRANGE(""https://docs.google.com/spreadsheets/d/1Gpl6jkTg7sL4VDNimUm3S9Vi1i95esohXCF3wuKOE8c"", ""'CONSOLIDADO'!G5:AB""), 10, 0) &lt;&gt; 0, 
IFERROR(VLOOKUP($G437,IMPORTRANGE(""https://docs.google.com/spreadsheets/d/1Gpl6jkTg7sL4VDNimU"&amp;"m3S9Vi1i95esohXCF3wuKOE8c"", ""'CONSOLIDADO'!G5:AB""), 18, 0), ""-""),
""""
)"),"TIPO N")</f>
        <v>TIPO N</v>
      </c>
      <c r="V437" s="39" t="str">
        <f>IFERROR(__xludf.DUMMYFUNCTION(" IF
( VLOOKUP($G437,IMPORTRANGE(""https://docs.google.com/spreadsheets/d/1Gpl6jkTg7sL4VDNimUm3S9Vi1i95esohXCF3wuKOE8c"", ""'CONSOLIDADO'!G5:AB""), 10, 0) &lt;&gt; 0, 
IFERROR(VLOOKUP($G437,IMPORTRANGE(""https://docs.google.com/spreadsheets/d/1Gpl6jkTg7sL4VDNimU"&amp;"m3S9Vi1i95esohXCF3wuKOE8c"", ""'CONSOLIDADO'!G5:AB""), 17, 0), ""-""),
""""
)"),"NIKO")</f>
        <v>NIKO</v>
      </c>
      <c r="W437" s="39" t="str">
        <f>IFERROR(__xludf.DUMMYFUNCTION(" IF
( VLOOKUP($G437,IMPORTRANGE(""https://docs.google.com/spreadsheets/d/1Gpl6jkTg7sL4VDNimUm3S9Vi1i95esohXCF3wuKOE8c"", ""'CONSOLIDADO'!G5:AB""), 10, 0) &lt;&gt; 0, 
IFERROR(VLOOKUP($G437,IMPORTRANGE(""https://docs.google.com/spreadsheets/d/1Gpl6jkTg7sL4VDNimU"&amp;"m3S9Vi1i95esohXCF3wuKOE8c"", ""'CONSOLIDADO'!G5:AB""), 18, 0), ""-""),
""""
)"),"TIPO N")</f>
        <v>TIPO N</v>
      </c>
      <c r="X437" s="39" t="b">
        <f t="shared" si="47"/>
        <v>1</v>
      </c>
      <c r="Y437" s="120" t="str">
        <f>IFERROR(__xludf.DUMMYFUNCTION(" IF
( VLOOKUP($G437,IMPORTRANGE(""https://docs.google.com/spreadsheets/d/1Gpl6jkTg7sL4VDNimUm3S9Vi1i95esohXCF3wuKOE8c"", ""'CONSOLIDADO'!G5:AB""), 10, 0) &lt;&gt; 0, 
IFERROR(VLOOKUP($G437,IMPORTRANGE(""https://docs.google.com/spreadsheets/d/1Gpl6jkTg7sL4VDNimU"&amp;"m3S9Vi1i95esohXCF3wuKOE8c"", ""'CONSOLIDADO'!G5:AB""), 19, 0), ""-""),
""""
)"),"https://niko.pe/producto/guantes-de-cuero-cromo-reforzado/?srsltid=AfmBOopRHbyt8ajM5zWlaLSf6quYZp83W0NSU6cej72cUVg9noqcYjtW")</f>
        <v>https://niko.pe/producto/guantes-de-cuero-cromo-reforzado/?srsltid=AfmBOopRHbyt8ajM5zWlaLSf6quYZp83W0NSU6cej72cUVg9noqcYjtW</v>
      </c>
      <c r="Z437" s="37" t="str">
        <f>IFERROR(__xludf.DUMMYFUNCTION("IFERROR(VLOOKUP(G437,IMPORTRANGE(""https://docs.google.com/spreadsheets/d/12RxCea4e5ggM7QGn1XE3FbLQa_-QbCNdBi90OdPjRqg"", ""'Plan de Compras'!D4:Q""), 12, 0), ""NO ESTÁ EN REQ"")"),"Técnica")</f>
        <v>Técnica</v>
      </c>
      <c r="AA437" s="37" t="str">
        <f>IFERROR(__xludf.DUMMYFUNCTION("IFERROR(VLOOKUP(G437,IMPORTRANGE(""https://docs.google.com/spreadsheets/d/12RxCea4e5ggM7QGn1XE3FbLQa_-QbCNdBi90OdPjRqg"", ""'Plan de Compras'!D4:Q""), 13, 0), """")"),"NACIONAL")</f>
        <v>NACIONAL</v>
      </c>
      <c r="AB437" s="32" t="str">
        <f>IFERROR(__xludf.DUMMYFUNCTION("IFERROR(VLOOKUP(G437,IMPORTRANGE(""https://docs.google.com/spreadsheets/d/12RxCea4e5ggM7QGn1XE3FbLQa_-QbCNdBi90OdPjRqg"", ""'Plan de Compras'!D4:Q""), 14, 0), """")"),"DIANA")</f>
        <v>DIANA</v>
      </c>
      <c r="AC437" s="72" t="str">
        <f>IFERROR(__xludf.DUMMYFUNCTION("IFERROR(VLOOKUP(G437,IMPORTRANGE(""https://docs.google.com/spreadsheets/d/12RxCea4e5ggM7QGn1XE3FbLQa_-QbCNdBi90OdPjRqg"", ""'Plan de Compras'!D4:Q""), 4, 0), """")"),"PAR DE GUANTES DE CUERO")</f>
        <v>PAR DE GUANTES DE CUERO</v>
      </c>
      <c r="AD437" s="37" t="str">
        <f>IFERROR(__xludf.DUMMYFUNCTION("IFERROR(IF(OR(C437=TRUE,C437=""""),VLOOKUP(G437,IMPORTRANGE(""https://docs.google.com/spreadsheets/d/1z9A1Wq-kKrhRNG5RS2a2fKpY1wIhSVz2ZNmP2mOl588/edit?usp=sharing"",""REQ VF!E4:H""),4,0),""NO APLICA""),""GENERAR REQ"")"),"GENERAR REQ")</f>
        <v>GENERAR REQ</v>
      </c>
      <c r="AE437" s="32" t="str">
        <f>IFERROR(__xludf.DUMMYFUNCTION("IFERROR(QUERY(IMPORTRANGE(""https://docs.google.com/spreadsheets/d/1z9A1Wq-kKrhRNG5RS2a2fKpY1wIhSVz2ZNmP2mOl588/edit?usp=sharing"",""REQ VF!E4:Q""),""SELECT Col10, Col11, Col12 WHERE Col1 = '""&amp;G437&amp;""'"",0),""NO APLICA"")"),"NO APLICA")</f>
        <v>NO APLICA</v>
      </c>
      <c r="AF437" s="32"/>
      <c r="AG437" s="32"/>
      <c r="AH437" s="8" t="s">
        <v>52</v>
      </c>
      <c r="AI437" s="13"/>
    </row>
    <row r="438">
      <c r="A438" s="121">
        <v>268.0</v>
      </c>
      <c r="B438" s="43" t="b">
        <v>1</v>
      </c>
      <c r="C438" s="26" t="b">
        <v>1</v>
      </c>
      <c r="D438" s="26" t="s">
        <v>35</v>
      </c>
      <c r="E438" s="26" t="s">
        <v>1510</v>
      </c>
      <c r="F438" s="59" t="s">
        <v>3048</v>
      </c>
      <c r="G438" s="39" t="s">
        <v>3049</v>
      </c>
      <c r="H438" s="82" t="s">
        <v>3050</v>
      </c>
      <c r="I438" s="43">
        <f>SUMIFS('Hoja 10'!$O:$O,'Hoja 10'!$F:$F,$G438)</f>
        <v>4</v>
      </c>
      <c r="J438" s="26">
        <f>IFERROR(__xludf.DUMMYFUNCTION("VLOOKUP(G438,IMPORTRANGE(""https://docs.google.com/spreadsheets/d/12RxCea4e5ggM7QGn1XE3FbLQa_-QbCNdBi90OdPjRqg/edit?gid=1692403370#gid=1692403370"", ""'Plan de Compras'!D4:2432""), 8,0)"),4.0)</f>
        <v>4</v>
      </c>
      <c r="K438" s="26" t="str">
        <f t="shared" si="40"/>
        <v>SI</v>
      </c>
      <c r="L438" s="29" t="s">
        <v>122</v>
      </c>
      <c r="M438" s="30" t="s">
        <v>123</v>
      </c>
      <c r="N438" s="32"/>
      <c r="O438" s="32" t="str">
        <f>VLOOKUP($G438,'Hoja 10'!$F$4:$AA1057, 19,0)</f>
        <v>TRUPER</v>
      </c>
      <c r="P438" s="32">
        <f>VLOOKUP($G438,'Hoja 10'!$F$4:$AA1057, 20,0)</f>
        <v>14289</v>
      </c>
      <c r="Q438" s="33" t="str">
        <f>VLOOKUP($G438,'Hoja 10'!$F$4:$AA1057, 21,0)</f>
        <v>https://semca.pe/suministros/herramientas/guante-de-cuero-carnaza-electricista-talla-unica-truper-14289/</v>
      </c>
      <c r="R438" s="30" t="s">
        <v>3051</v>
      </c>
      <c r="S438" s="44" t="b">
        <v>1</v>
      </c>
      <c r="T438" s="32" t="str">
        <f>VLOOKUP($G438,'Hoja 10'!$F$4:$AA1057, 19,0)</f>
        <v>TRUPER</v>
      </c>
      <c r="U438" s="61">
        <v>14289.0</v>
      </c>
      <c r="V438" s="39" t="str">
        <f>IFERROR(__xludf.DUMMYFUNCTION(" IF
( VLOOKUP($G438,IMPORTRANGE(""https://docs.google.com/spreadsheets/d/1Gpl6jkTg7sL4VDNimUm3S9Vi1i95esohXCF3wuKOE8c"", ""'CONSOLIDADO'!G5:AB""), 10, 0) &lt;&gt; 0, 
IFERROR(VLOOKUP($G438,IMPORTRANGE(""https://docs.google.com/spreadsheets/d/1Gpl6jkTg7sL4VDNimU"&amp;"m3S9Vi1i95esohXCF3wuKOE8c"", ""'CONSOLIDADO'!G5:AB""), 17, 0), ""-""),
""""
)"),"TRUPER")</f>
        <v>TRUPER</v>
      </c>
      <c r="W438" s="39" t="str">
        <f>IFERROR(__xludf.DUMMYFUNCTION(" IF
( VLOOKUP($G438,IMPORTRANGE(""https://docs.google.com/spreadsheets/d/1Gpl6jkTg7sL4VDNimUm3S9Vi1i95esohXCF3wuKOE8c"", ""'CONSOLIDADO'!G5:AB""), 10, 0) &lt;&gt; 0, 
IFERROR(VLOOKUP($G438,IMPORTRANGE(""https://docs.google.com/spreadsheets/d/1Gpl6jkTg7sL4VDNimU"&amp;"m3S9Vi1i95esohXCF3wuKOE8c"", ""'CONSOLIDADO'!G5:AB""), 18, 0), ""-""),
""""
)"),"GU-715")</f>
        <v>GU-715</v>
      </c>
      <c r="X438" s="39" t="b">
        <f t="shared" si="47"/>
        <v>0</v>
      </c>
      <c r="Y438" s="129" t="s">
        <v>2296</v>
      </c>
      <c r="Z438" s="37" t="str">
        <f>IFERROR(__xludf.DUMMYFUNCTION("IFERROR(VLOOKUP(G438,IMPORTRANGE(""https://docs.google.com/spreadsheets/d/12RxCea4e5ggM7QGn1XE3FbLQa_-QbCNdBi90OdPjRqg"", ""'Plan de Compras'!D4:Q""), 12, 0), ""NO ESTÁ EN REQ"")"),"Simple")</f>
        <v>Simple</v>
      </c>
      <c r="AA438" s="37" t="str">
        <f>IFERROR(__xludf.DUMMYFUNCTION("IFERROR(VLOOKUP(G438,IMPORTRANGE(""https://docs.google.com/spreadsheets/d/12RxCea4e5ggM7QGn1XE3FbLQa_-QbCNdBi90OdPjRqg"", ""'Plan de Compras'!D4:Q""), 13, 0), """")"),"NACIONAL")</f>
        <v>NACIONAL</v>
      </c>
      <c r="AB438" s="32" t="str">
        <f>IFERROR(__xludf.DUMMYFUNCTION("IFERROR(VLOOKUP(G438,IMPORTRANGE(""https://docs.google.com/spreadsheets/d/12RxCea4e5ggM7QGn1XE3FbLQa_-QbCNdBi90OdPjRqg"", ""'Plan de Compras'!D4:Q""), 14, 0), """")"),"DIANA")</f>
        <v>DIANA</v>
      </c>
      <c r="AC438" s="72" t="str">
        <f>IFERROR(__xludf.DUMMYFUNCTION("IFERROR(VLOOKUP(G438,IMPORTRANGE(""https://docs.google.com/spreadsheets/d/12RxCea4e5ggM7QGn1XE3FbLQa_-QbCNdBi90OdPjRqg"", ""'Plan de Compras'!D4:Q""), 4, 0), """")"),"GUANTES DE ELECTRICISTA")</f>
        <v>GUANTES DE ELECTRICISTA</v>
      </c>
      <c r="AD438" s="37" t="str">
        <f>IFERROR(__xludf.DUMMYFUNCTION("IFERROR(IF(OR(C438=TRUE,C438=""""),VLOOKUP(G438,IMPORTRANGE(""https://docs.google.com/spreadsheets/d/1z9A1Wq-kKrhRNG5RS2a2fKpY1wIhSVz2ZNmP2mOl588/edit?usp=sharing"",""REQ VF!E4:H""),4,0),""NO APLICA""),""GENERAR REQ"")"),"GENERAR REQ")</f>
        <v>GENERAR REQ</v>
      </c>
      <c r="AE438" s="32" t="str">
        <f>IFERROR(__xludf.DUMMYFUNCTION("IFERROR(QUERY(IMPORTRANGE(""https://docs.google.com/spreadsheets/d/1z9A1Wq-kKrhRNG5RS2a2fKpY1wIhSVz2ZNmP2mOl588/edit?usp=sharing"",""REQ VF!E4:Q""),""SELECT Col10, Col11, Col12 WHERE Col1 = '""&amp;G438&amp;""'"",0),""NO APLICA"")"),"NO APLICA")</f>
        <v>NO APLICA</v>
      </c>
      <c r="AF438" s="32"/>
      <c r="AG438" s="32"/>
      <c r="AH438" s="8" t="s">
        <v>52</v>
      </c>
      <c r="AI438" s="13"/>
    </row>
    <row r="439">
      <c r="A439" s="121">
        <v>269.0</v>
      </c>
      <c r="B439" s="43" t="b">
        <v>1</v>
      </c>
      <c r="C439" s="26" t="b">
        <v>1</v>
      </c>
      <c r="D439" s="26" t="s">
        <v>35</v>
      </c>
      <c r="E439" s="26" t="s">
        <v>1510</v>
      </c>
      <c r="F439" s="59" t="s">
        <v>3048</v>
      </c>
      <c r="G439" s="39" t="s">
        <v>3052</v>
      </c>
      <c r="H439" s="66" t="s">
        <v>3053</v>
      </c>
      <c r="I439" s="43">
        <f>SUMIFS('Hoja 10'!$O:$O,'Hoja 10'!$F:$F,$G439)</f>
        <v>12</v>
      </c>
      <c r="J439" s="26">
        <f>IFERROR(__xludf.DUMMYFUNCTION("VLOOKUP(G439,IMPORTRANGE(""https://docs.google.com/spreadsheets/d/12RxCea4e5ggM7QGn1XE3FbLQa_-QbCNdBi90OdPjRqg/edit?gid=1692403370#gid=1692403370"", ""'Plan de Compras'!D4:2432""), 8,0)"),12.0)</f>
        <v>12</v>
      </c>
      <c r="K439" s="26" t="str">
        <f t="shared" si="40"/>
        <v>SI</v>
      </c>
      <c r="L439" s="29" t="s">
        <v>180</v>
      </c>
      <c r="M439" s="30" t="s">
        <v>181</v>
      </c>
      <c r="N439" s="32"/>
      <c r="O439" s="32" t="str">
        <f>VLOOKUP($G439,'Hoja 10'!$F$4:$AA1057, 19,0)</f>
        <v>TRUPER</v>
      </c>
      <c r="P439" s="32">
        <f>VLOOKUP($G439,'Hoja 10'!$F$4:$AA1057, 20,0)</f>
        <v>14289</v>
      </c>
      <c r="Q439" s="33" t="str">
        <f>VLOOKUP($G439,'Hoja 10'!$F$4:$AA1057, 21,0)</f>
        <v>https://semca.pe/suministros/herramientas/guante-de-cuero-carnaza-electricista-talla-unica-truper-14289/</v>
      </c>
      <c r="R439" s="30" t="s">
        <v>3054</v>
      </c>
      <c r="S439" s="44" t="b">
        <v>1</v>
      </c>
      <c r="T439" s="32" t="str">
        <f>VLOOKUP($G439,'Hoja 10'!$F$4:$AA1057, 19,0)</f>
        <v>TRUPER</v>
      </c>
      <c r="U439" s="61">
        <v>14289.0</v>
      </c>
      <c r="V439" s="39" t="str">
        <f>IFERROR(__xludf.DUMMYFUNCTION(" IF
( VLOOKUP($G439,IMPORTRANGE(""https://docs.google.com/spreadsheets/d/1Gpl6jkTg7sL4VDNimUm3S9Vi1i95esohXCF3wuKOE8c"", ""'CONSOLIDADO'!G5:AB""), 10, 0) &lt;&gt; 0, 
IFERROR(VLOOKUP($G439,IMPORTRANGE(""https://docs.google.com/spreadsheets/d/1Gpl6jkTg7sL4VDNimU"&amp;"m3S9Vi1i95esohXCF3wuKOE8c"", ""'CONSOLIDADO'!G5:AB""), 17, 0), ""-""),
""""
)"),"TRUPER")</f>
        <v>TRUPER</v>
      </c>
      <c r="W439" s="39" t="str">
        <f>IFERROR(__xludf.DUMMYFUNCTION(" IF
( VLOOKUP($G439,IMPORTRANGE(""https://docs.google.com/spreadsheets/d/1Gpl6jkTg7sL4VDNimUm3S9Vi1i95esohXCF3wuKOE8c"", ""'CONSOLIDADO'!G5:AB""), 10, 0) &lt;&gt; 0, 
IFERROR(VLOOKUP($G439,IMPORTRANGE(""https://docs.google.com/spreadsheets/d/1Gpl6jkTg7sL4VDNimU"&amp;"m3S9Vi1i95esohXCF3wuKOE8c"", ""'CONSOLIDADO'!G5:AB""), 18, 0), ""-""),
""""
)"),"GU-715")</f>
        <v>GU-715</v>
      </c>
      <c r="X439" s="39" t="b">
        <f t="shared" si="47"/>
        <v>0</v>
      </c>
      <c r="Y439" s="120" t="s">
        <v>2296</v>
      </c>
      <c r="Z439" s="37" t="str">
        <f>IFERROR(__xludf.DUMMYFUNCTION("IFERROR(VLOOKUP(G439,IMPORTRANGE(""https://docs.google.com/spreadsheets/d/12RxCea4e5ggM7QGn1XE3FbLQa_-QbCNdBi90OdPjRqg"", ""'Plan de Compras'!D4:Q""), 12, 0), ""NO ESTÁ EN REQ"")"),"Simple")</f>
        <v>Simple</v>
      </c>
      <c r="AA439" s="37" t="str">
        <f>IFERROR(__xludf.DUMMYFUNCTION("IFERROR(VLOOKUP(G439,IMPORTRANGE(""https://docs.google.com/spreadsheets/d/12RxCea4e5ggM7QGn1XE3FbLQa_-QbCNdBi90OdPjRqg"", ""'Plan de Compras'!D4:Q""), 13, 0), """")"),"NACIONAL")</f>
        <v>NACIONAL</v>
      </c>
      <c r="AB439" s="32" t="str">
        <f>IFERROR(__xludf.DUMMYFUNCTION("IFERROR(VLOOKUP(G439,IMPORTRANGE(""https://docs.google.com/spreadsheets/d/12RxCea4e5ggM7QGn1XE3FbLQa_-QbCNdBi90OdPjRqg"", ""'Plan de Compras'!D4:Q""), 14, 0), """")"),"DIANA")</f>
        <v>DIANA</v>
      </c>
      <c r="AC439" s="72" t="str">
        <f>IFERROR(__xludf.DUMMYFUNCTION("IFERROR(VLOOKUP(G439,IMPORTRANGE(""https://docs.google.com/spreadsheets/d/12RxCea4e5ggM7QGn1XE3FbLQa_-QbCNdBi90OdPjRqg"", ""'Plan de Compras'!D4:Q""), 4, 0), """")"),"PAR DE GUANTES DE ELECTRICISTA")</f>
        <v>PAR DE GUANTES DE ELECTRICISTA</v>
      </c>
      <c r="AD439" s="37" t="str">
        <f>IFERROR(__xludf.DUMMYFUNCTION("IFERROR(IF(OR(C439=TRUE,C439=""""),VLOOKUP(G439,IMPORTRANGE(""https://docs.google.com/spreadsheets/d/1z9A1Wq-kKrhRNG5RS2a2fKpY1wIhSVz2ZNmP2mOl588/edit?usp=sharing"",""REQ VF!E4:H""),4,0),""NO APLICA""),""GENERAR REQ"")"),"GENERAR REQ")</f>
        <v>GENERAR REQ</v>
      </c>
      <c r="AE439" s="32" t="str">
        <f>IFERROR(__xludf.DUMMYFUNCTION("IFERROR(QUERY(IMPORTRANGE(""https://docs.google.com/spreadsheets/d/1z9A1Wq-kKrhRNG5RS2a2fKpY1wIhSVz2ZNmP2mOl588/edit?usp=sharing"",""REQ VF!E4:Q""),""SELECT Col10, Col11, Col12 WHERE Col1 = '""&amp;G439&amp;""'"",0),""NO APLICA"")"),"NO APLICA")</f>
        <v>NO APLICA</v>
      </c>
      <c r="AF439" s="32"/>
      <c r="AG439" s="32"/>
      <c r="AH439" s="8" t="s">
        <v>52</v>
      </c>
      <c r="AI439" s="13"/>
    </row>
    <row r="440">
      <c r="A440" s="117">
        <v>270.0</v>
      </c>
      <c r="B440" s="43" t="b">
        <v>1</v>
      </c>
      <c r="C440" s="26" t="b">
        <v>1</v>
      </c>
      <c r="D440" s="26" t="s">
        <v>35</v>
      </c>
      <c r="E440" s="26" t="s">
        <v>1510</v>
      </c>
      <c r="F440" s="59" t="s">
        <v>3055</v>
      </c>
      <c r="G440" s="37" t="s">
        <v>3055</v>
      </c>
      <c r="H440" s="82" t="s">
        <v>3056</v>
      </c>
      <c r="I440" s="43">
        <f>SUMIFS('Hoja 10'!$O:$O,'Hoja 10'!$F:$F,$G440)</f>
        <v>40</v>
      </c>
      <c r="J440" s="26">
        <f>IFERROR(__xludf.DUMMYFUNCTION("VLOOKUP(G440,IMPORTRANGE(""https://docs.google.com/spreadsheets/d/12RxCea4e5ggM7QGn1XE3FbLQa_-QbCNdBi90OdPjRqg/edit?gid=1692403370#gid=1692403370"", ""'Plan de Compras'!D4:2432""), 8,0)"),40.0)</f>
        <v>40</v>
      </c>
      <c r="K440" s="26" t="str">
        <f t="shared" si="40"/>
        <v>SI</v>
      </c>
      <c r="L440" s="29" t="s">
        <v>185</v>
      </c>
      <c r="M440" s="30" t="s">
        <v>186</v>
      </c>
      <c r="N440" s="32"/>
      <c r="O440" s="32" t="str">
        <f>VLOOKUP($G440,'Hoja 10'!$F$4:$AA1057, 19,0)</f>
        <v>ARCLIBER</v>
      </c>
      <c r="P440" s="32" t="str">
        <f>VLOOKUP($G440,'Hoja 10'!$F$4:$AA1057, 20,0)</f>
        <v>Nivel 9 Guante</v>
      </c>
      <c r="Q440" s="33" t="str">
        <f>VLOOKUP($G440,'Hoja 10'!$F$4:$AA1057, 21,0)</f>
        <v>https://articulo.mercadolibre.com.pe/MPE-669557120-guante-resistente-arcliber-a-cortes-nivel-9-de-malla-_JM</v>
      </c>
      <c r="R440" s="30" t="s">
        <v>3057</v>
      </c>
      <c r="S440" s="44" t="b">
        <v>1</v>
      </c>
      <c r="T440" s="39" t="str">
        <f>IFERROR(__xludf.DUMMYFUNCTION(" IF
( VLOOKUP($G440,IMPORTRANGE(""https://docs.google.com/spreadsheets/d/1Gpl6jkTg7sL4VDNimUm3S9Vi1i95esohXCF3wuKOE8c"", ""'CONSOLIDADO'!G5:AB""), 10, 0) &lt;&gt; 0, 
IFERROR(VLOOKUP($G440,IMPORTRANGE(""https://docs.google.com/spreadsheets/d/1Gpl6jkTg7sL4VDNimU"&amp;"m3S9Vi1i95esohXCF3wuKOE8c"", ""'CONSOLIDADO'!G5:AB""), 17, 0), ""-""),
""""
)"),"ARCLIBER")</f>
        <v>ARCLIBER</v>
      </c>
      <c r="U440" s="39" t="str">
        <f>IFERROR(__xludf.DUMMYFUNCTION(" IF
( VLOOKUP($G440,IMPORTRANGE(""https://docs.google.com/spreadsheets/d/1Gpl6jkTg7sL4VDNimUm3S9Vi1i95esohXCF3wuKOE8c"", ""'CONSOLIDADO'!G5:AB""), 10, 0) &lt;&gt; 0, 
IFERROR(VLOOKUP($G440,IMPORTRANGE(""https://docs.google.com/spreadsheets/d/1Gpl6jkTg7sL4VDNimU"&amp;"m3S9Vi1i95esohXCF3wuKOE8c"", ""'CONSOLIDADO'!G5:AB""), 18, 0), ""-""),
""""
)"),"Nivel 9 Guante")</f>
        <v>Nivel 9 Guante</v>
      </c>
      <c r="V440" s="39" t="str">
        <f>IFERROR(__xludf.DUMMYFUNCTION(" IF
( VLOOKUP($G440,IMPORTRANGE(""https://docs.google.com/spreadsheets/d/1Gpl6jkTg7sL4VDNimUm3S9Vi1i95esohXCF3wuKOE8c"", ""'CONSOLIDADO'!G5:AB""), 10, 0) &lt;&gt; 0, 
IFERROR(VLOOKUP($G440,IMPORTRANGE(""https://docs.google.com/spreadsheets/d/1Gpl6jkTg7sL4VDNimU"&amp;"m3S9Vi1i95esohXCF3wuKOE8c"", ""'CONSOLIDADO'!G5:AB""), 17, 0), ""-""),
""""
)"),"ARCLIBER")</f>
        <v>ARCLIBER</v>
      </c>
      <c r="W440" s="39" t="str">
        <f>IFERROR(__xludf.DUMMYFUNCTION(" IF
( VLOOKUP($G440,IMPORTRANGE(""https://docs.google.com/spreadsheets/d/1Gpl6jkTg7sL4VDNimUm3S9Vi1i95esohXCF3wuKOE8c"", ""'CONSOLIDADO'!G5:AB""), 10, 0) &lt;&gt; 0, 
IFERROR(VLOOKUP($G440,IMPORTRANGE(""https://docs.google.com/spreadsheets/d/1Gpl6jkTg7sL4VDNimU"&amp;"m3S9Vi1i95esohXCF3wuKOE8c"", ""'CONSOLIDADO'!G5:AB""), 18, 0), ""-""),
""""
)"),"Nivel 9 Guante")</f>
        <v>Nivel 9 Guante</v>
      </c>
      <c r="X440" s="39" t="b">
        <f t="shared" si="47"/>
        <v>1</v>
      </c>
      <c r="Y440" s="120" t="str">
        <f>IFERROR(__xludf.DUMMYFUNCTION(" IF
( VLOOKUP($G440,IMPORTRANGE(""https://docs.google.com/spreadsheets/d/1Gpl6jkTg7sL4VDNimUm3S9Vi1i95esohXCF3wuKOE8c"", ""'CONSOLIDADO'!G5:AB""), 10, 0) &lt;&gt; 0, 
IFERROR(VLOOKUP($G440,IMPORTRANGE(""https://docs.google.com/spreadsheets/d/1Gpl6jkTg7sL4VDNimU"&amp;"m3S9Vi1i95esohXCF3wuKOE8c"", ""'CONSOLIDADO'!G5:AB""), 19, 0), ""-""),
""""
)"),"https://www.amazon.com/-/es/ARCLIBER-resistente-carnicero-met%C3%A1lica-inoxidable/dp/B07FP5HYLH?th=1")</f>
        <v>https://www.amazon.com/-/es/ARCLIBER-resistente-carnicero-met%C3%A1lica-inoxidable/dp/B07FP5HYLH?th=1</v>
      </c>
      <c r="Z440" s="37" t="str">
        <f>IFERROR(__xludf.DUMMYFUNCTION("IFERROR(VLOOKUP(G440,IMPORTRANGE(""https://docs.google.com/spreadsheets/d/12RxCea4e5ggM7QGn1XE3FbLQa_-QbCNdBi90OdPjRqg"", ""'Plan de Compras'!D4:Q""), 12, 0), ""NO ESTÁ EN REQ"")"),"Técnica")</f>
        <v>Técnica</v>
      </c>
      <c r="AA440" s="37" t="str">
        <f>IFERROR(__xludf.DUMMYFUNCTION("IFERROR(VLOOKUP(G440,IMPORTRANGE(""https://docs.google.com/spreadsheets/d/12RxCea4e5ggM7QGn1XE3FbLQa_-QbCNdBi90OdPjRqg"", ""'Plan de Compras'!D4:Q""), 13, 0), """")"),"INTERNACIONAL")</f>
        <v>INTERNACIONAL</v>
      </c>
      <c r="AB440" s="32" t="str">
        <f>IFERROR(__xludf.DUMMYFUNCTION("IFERROR(VLOOKUP(G440,IMPORTRANGE(""https://docs.google.com/spreadsheets/d/12RxCea4e5ggM7QGn1XE3FbLQa_-QbCNdBi90OdPjRqg"", ""'Plan de Compras'!D4:Q""), 14, 0), """")"),"ALEJANDRA")</f>
        <v>ALEJANDRA</v>
      </c>
      <c r="AC440" s="72" t="str">
        <f>IFERROR(__xludf.DUMMYFUNCTION("IFERROR(VLOOKUP(G440,IMPORTRANGE(""https://docs.google.com/spreadsheets/d/12RxCea4e5ggM7QGn1XE3FbLQa_-QbCNdBi90OdPjRqg"", ""'Plan de Compras'!D4:Q""), 4, 0), """")"),"GUANTE DE MALLA METÁLICA")</f>
        <v>GUANTE DE MALLA METÁLICA</v>
      </c>
      <c r="AD440" s="37" t="str">
        <f>IFERROR(__xludf.DUMMYFUNCTION("IFERROR(IF(OR(C440=TRUE,C440=""""),VLOOKUP(G440,IMPORTRANGE(""https://docs.google.com/spreadsheets/d/1z9A1Wq-kKrhRNG5RS2a2fKpY1wIhSVz2ZNmP2mOl588/edit?usp=sharing"",""REQ VF!E4:H""),4,0),""NO APLICA""),""GENERAR REQ"")"),"GENERAR REQ")</f>
        <v>GENERAR REQ</v>
      </c>
      <c r="AE440" s="32" t="str">
        <f>IFERROR(__xludf.DUMMYFUNCTION("IFERROR(QUERY(IMPORTRANGE(""https://docs.google.com/spreadsheets/d/1z9A1Wq-kKrhRNG5RS2a2fKpY1wIhSVz2ZNmP2mOl588/edit?usp=sharing"",""REQ VF!E4:Q""),""SELECT Col10, Col11, Col12 WHERE Col1 = '""&amp;G440&amp;""'"",0),""NO APLICA"")"),"NO APLICA")</f>
        <v>NO APLICA</v>
      </c>
      <c r="AF440" s="32"/>
      <c r="AG440" s="32"/>
      <c r="AH440" s="13"/>
      <c r="AI440" s="13"/>
    </row>
    <row r="441">
      <c r="A441" s="117">
        <v>271.0</v>
      </c>
      <c r="B441" s="43" t="b">
        <v>1</v>
      </c>
      <c r="C441" s="26" t="b">
        <v>1</v>
      </c>
      <c r="D441" s="26" t="s">
        <v>35</v>
      </c>
      <c r="E441" s="26" t="s">
        <v>1510</v>
      </c>
      <c r="F441" s="59" t="s">
        <v>3058</v>
      </c>
      <c r="G441" s="37" t="s">
        <v>3058</v>
      </c>
      <c r="H441" s="82" t="s">
        <v>3059</v>
      </c>
      <c r="I441" s="43">
        <f>SUMIFS('Hoja 10'!$O:$O,'Hoja 10'!$F:$F,$G441)</f>
        <v>63</v>
      </c>
      <c r="J441" s="26">
        <f>IFERROR(__xludf.DUMMYFUNCTION("VLOOKUP(G441,IMPORTRANGE(""https://docs.google.com/spreadsheets/d/12RxCea4e5ggM7QGn1XE3FbLQa_-QbCNdBi90OdPjRqg/edit?gid=1692403370#gid=1692403370"", ""'Plan de Compras'!D4:2432""), 8,0)"),63.0)</f>
        <v>63</v>
      </c>
      <c r="K441" s="26" t="str">
        <f t="shared" si="40"/>
        <v>SI</v>
      </c>
      <c r="L441" s="29" t="s">
        <v>127</v>
      </c>
      <c r="M441" s="30" t="s">
        <v>105</v>
      </c>
      <c r="N441" s="32"/>
      <c r="O441" s="32" t="str">
        <f>VLOOKUP($G441,'Hoja 10'!$F$4:$AA1057, 19,0)</f>
        <v>KYORENE</v>
      </c>
      <c r="P441" s="32" t="str">
        <f>VLOOKUP($G441,'Hoja 10'!$F$4:$AA1057, 20,0)</f>
        <v>serie 01-501</v>
      </c>
      <c r="Q441" s="33" t="str">
        <f>VLOOKUP($G441,'Hoja 10'!$F$4:$AA1057, 21,0)</f>
        <v>https://es.rs-online.com/web/p/guantes-de-trabajo/2878037</v>
      </c>
      <c r="R441" s="30" t="s">
        <v>3060</v>
      </c>
      <c r="S441" s="34" t="b">
        <v>1</v>
      </c>
      <c r="T441" s="39" t="str">
        <f>IFERROR(__xludf.DUMMYFUNCTION(" IF
( VLOOKUP($G441,IMPORTRANGE(""https://docs.google.com/spreadsheets/d/1Gpl6jkTg7sL4VDNimUm3S9Vi1i95esohXCF3wuKOE8c"", ""'CONSOLIDADO'!G5:AB""), 10, 0) &lt;&gt; 0, 
IFERROR(VLOOKUP($G441,IMPORTRANGE(""https://docs.google.com/spreadsheets/d/1Gpl6jkTg7sL4VDNimU"&amp;"m3S9Vi1i95esohXCF3wuKOE8c"", ""'CONSOLIDADO'!G5:AB""), 17, 0), ""-""),
""""
)"),"KYORENE")</f>
        <v>KYORENE</v>
      </c>
      <c r="U441" s="39" t="str">
        <f>IFERROR(__xludf.DUMMYFUNCTION(" IF
( VLOOKUP($G441,IMPORTRANGE(""https://docs.google.com/spreadsheets/d/1Gpl6jkTg7sL4VDNimUm3S9Vi1i95esohXCF3wuKOE8c"", ""'CONSOLIDADO'!G5:AB""), 10, 0) &lt;&gt; 0, 
IFERROR(VLOOKUP($G441,IMPORTRANGE(""https://docs.google.com/spreadsheets/d/1Gpl6jkTg7sL4VDNimU"&amp;"m3S9Vi1i95esohXCF3wuKOE8c"", ""'CONSOLIDADO'!G5:AB""), 18, 0), ""-""),
""""
)")," 01-501")</f>
        <v> 01-501</v>
      </c>
      <c r="V441" s="39" t="str">
        <f>IFERROR(__xludf.DUMMYFUNCTION(" IF
( VLOOKUP($G441,IMPORTRANGE(""https://docs.google.com/spreadsheets/d/1Gpl6jkTg7sL4VDNimUm3S9Vi1i95esohXCF3wuKOE8c"", ""'CONSOLIDADO'!G5:AB""), 10, 0) &lt;&gt; 0, 
IFERROR(VLOOKUP($G441,IMPORTRANGE(""https://docs.google.com/spreadsheets/d/1Gpl6jkTg7sL4VDNimU"&amp;"m3S9Vi1i95esohXCF3wuKOE8c"", ""'CONSOLIDADO'!G5:AB""), 17, 0), ""-""),
""""
)"),"KYORENE")</f>
        <v>KYORENE</v>
      </c>
      <c r="W441" s="39" t="str">
        <f>IFERROR(__xludf.DUMMYFUNCTION(" IF
( VLOOKUP($G441,IMPORTRANGE(""https://docs.google.com/spreadsheets/d/1Gpl6jkTg7sL4VDNimUm3S9Vi1i95esohXCF3wuKOE8c"", ""'CONSOLIDADO'!G5:AB""), 10, 0) &lt;&gt; 0, 
IFERROR(VLOOKUP($G441,IMPORTRANGE(""https://docs.google.com/spreadsheets/d/1Gpl6jkTg7sL4VDNimU"&amp;"m3S9Vi1i95esohXCF3wuKOE8c"", ""'CONSOLIDADO'!G5:AB""), 18, 0), ""-""),
""""
)")," 01-501")</f>
        <v> 01-501</v>
      </c>
      <c r="X441" s="39" t="b">
        <f t="shared" si="47"/>
        <v>1</v>
      </c>
      <c r="Y441" s="120" t="str">
        <f>IFERROR(__xludf.DUMMYFUNCTION(" IF
( VLOOKUP($G441,IMPORTRANGE(""https://docs.google.com/spreadsheets/d/1Gpl6jkTg7sL4VDNimUm3S9Vi1i95esohXCF3wuKOE8c"", ""'CONSOLIDADO'!G5:AB""), 10, 0) &lt;&gt; 0, 
IFERROR(VLOOKUP($G441,IMPORTRANGE(""https://docs.google.com/spreadsheets/d/1Gpl6jkTg7sL4VDNimU"&amp;"m3S9Vi1i95esohXCF3wuKOE8c"", ""'CONSOLIDADO'!G5:AB""), 19, 0), ""-""),
""""
)"),"https://es.rs-online.com/web/p/guantes-de-trabajo/2878037")</f>
        <v>https://es.rs-online.com/web/p/guantes-de-trabajo/2878037</v>
      </c>
      <c r="Z441" s="37" t="str">
        <f>IFERROR(__xludf.DUMMYFUNCTION("IFERROR(VLOOKUP(G441,IMPORTRANGE(""https://docs.google.com/spreadsheets/d/12RxCea4e5ggM7QGn1XE3FbLQa_-QbCNdBi90OdPjRqg"", ""'Plan de Compras'!D4:Q""), 12, 0), ""NO ESTÁ EN REQ"")"),"Técnica")</f>
        <v>Técnica</v>
      </c>
      <c r="AA441" s="37" t="str">
        <f>IFERROR(__xludf.DUMMYFUNCTION("IFERROR(VLOOKUP(G441,IMPORTRANGE(""https://docs.google.com/spreadsheets/d/12RxCea4e5ggM7QGn1XE3FbLQa_-QbCNdBi90OdPjRqg"", ""'Plan de Compras'!D4:Q""), 13, 0), """")"),"INTERNACIONAL")</f>
        <v>INTERNACIONAL</v>
      </c>
      <c r="AB441" s="32" t="str">
        <f>IFERROR(__xludf.DUMMYFUNCTION("IFERROR(VLOOKUP(G441,IMPORTRANGE(""https://docs.google.com/spreadsheets/d/12RxCea4e5ggM7QGn1XE3FbLQa_-QbCNdBi90OdPjRqg"", ""'Plan de Compras'!D4:Q""), 14, 0), """")"),"DIEGO ")</f>
        <v>DIEGO </v>
      </c>
      <c r="AC441" s="72" t="str">
        <f>IFERROR(__xludf.DUMMYFUNCTION("IFERROR(VLOOKUP(G441,IMPORTRANGE(""https://docs.google.com/spreadsheets/d/12RxCea4e5ggM7QGn1XE3FbLQa_-QbCNdBi90OdPjRqg"", ""'Plan de Compras'!D4:Q""), 4, 0), """")"),"GUANTES DE MECÁNICO")</f>
        <v>GUANTES DE MECÁNICO</v>
      </c>
      <c r="AD441" s="37" t="str">
        <f>IFERROR(__xludf.DUMMYFUNCTION("IFERROR(IF(OR(C441=TRUE,C441=""""),VLOOKUP(G441,IMPORTRANGE(""https://docs.google.com/spreadsheets/d/1z9A1Wq-kKrhRNG5RS2a2fKpY1wIhSVz2ZNmP2mOl588/edit?usp=sharing"",""REQ VF!E4:H""),4,0),""NO APLICA""),""GENERAR REQ"")"),"GENERAR REQ")</f>
        <v>GENERAR REQ</v>
      </c>
      <c r="AE441" s="32" t="str">
        <f>IFERROR(__xludf.DUMMYFUNCTION("IFERROR(QUERY(IMPORTRANGE(""https://docs.google.com/spreadsheets/d/1z9A1Wq-kKrhRNG5RS2a2fKpY1wIhSVz2ZNmP2mOl588/edit?usp=sharing"",""REQ VF!E4:Q""),""SELECT Col10, Col11, Col12 WHERE Col1 = '""&amp;G441&amp;""'"",0),""NO APLICA"")"),"NO APLICA")</f>
        <v>NO APLICA</v>
      </c>
      <c r="AF441" s="32"/>
      <c r="AG441" s="32"/>
      <c r="AH441" s="13"/>
      <c r="AI441" s="13"/>
    </row>
    <row r="442">
      <c r="A442" s="121">
        <v>272.0</v>
      </c>
      <c r="B442" s="43" t="b">
        <v>1</v>
      </c>
      <c r="C442" s="26" t="b">
        <v>1</v>
      </c>
      <c r="D442" s="26" t="s">
        <v>35</v>
      </c>
      <c r="E442" s="26" t="s">
        <v>1510</v>
      </c>
      <c r="F442" s="59" t="s">
        <v>3061</v>
      </c>
      <c r="G442" s="39" t="s">
        <v>3062</v>
      </c>
      <c r="H442" s="66" t="s">
        <v>3063</v>
      </c>
      <c r="I442" s="43">
        <f>SUMIFS('Hoja 10'!$O:$O,'Hoja 10'!$F:$F,$G442)</f>
        <v>16</v>
      </c>
      <c r="J442" s="26">
        <f>IFERROR(__xludf.DUMMYFUNCTION("VLOOKUP(G442,IMPORTRANGE(""https://docs.google.com/spreadsheets/d/12RxCea4e5ggM7QGn1XE3FbLQa_-QbCNdBi90OdPjRqg/edit?gid=1692403370#gid=1692403370"", ""'Plan de Compras'!D4:2432""), 8,0)"),16.0)</f>
        <v>16</v>
      </c>
      <c r="K442" s="26" t="str">
        <f t="shared" si="40"/>
        <v>SI</v>
      </c>
      <c r="L442" s="29" t="s">
        <v>39</v>
      </c>
      <c r="M442" s="30" t="s">
        <v>40</v>
      </c>
      <c r="N442" s="32"/>
      <c r="O442" s="32" t="str">
        <f>VLOOKUP($G442,'Hoja 10'!$F$4:$AA1057, 19,0)</f>
        <v>GENERICO</v>
      </c>
      <c r="P442" s="32" t="str">
        <f>VLOOKUP($G442,'Hoja 10'!$F$4:$AA1057, 20,0)</f>
        <v>Guante Algodón-Silicona 30 x 18,5 cm</v>
      </c>
      <c r="Q442" s="33" t="str">
        <f>VLOOKUP($G442,'Hoja 10'!$F$4:$AA1057, 21,0)</f>
        <v>https://www.realplaza.com/guante-algodon-silicona-30-x-185-cm-1001167469/p</v>
      </c>
      <c r="R442" s="30" t="s">
        <v>3064</v>
      </c>
      <c r="S442" s="44" t="b">
        <v>1</v>
      </c>
      <c r="T442" s="32" t="str">
        <f>VLOOKUP($G442,'Hoja 10'!$F$4:$AA1057, 19,0)</f>
        <v>GENERICO</v>
      </c>
      <c r="U442" s="32" t="str">
        <f>VLOOKUP($G442,'Hoja 10'!$F$4:$AA1057, 20,0)</f>
        <v>Guante Algodón-Silicona 30 x 18,5 cm</v>
      </c>
      <c r="V442" s="39" t="str">
        <f>IFERROR(__xludf.DUMMYFUNCTION(" IF
( VLOOKUP($G442,IMPORTRANGE(""https://docs.google.com/spreadsheets/d/1Gpl6jkTg7sL4VDNimUm3S9Vi1i95esohXCF3wuKOE8c"", ""'CONSOLIDADO'!G5:AB""), 10, 0) &lt;&gt; 0, 
IFERROR(VLOOKUP($G442,IMPORTRANGE(""https://docs.google.com/spreadsheets/d/1Gpl6jkTg7sL4VDNimU"&amp;"m3S9Vi1i95esohXCF3wuKOE8c"", ""'CONSOLIDADO'!G5:AB""), 17, 0), ""-""),
""""
)"),"GENÉRICO")</f>
        <v>GENÉRICO</v>
      </c>
      <c r="W442" s="39" t="str">
        <f>IFERROR(__xludf.DUMMYFUNCTION(" IF
( VLOOKUP($G442,IMPORTRANGE(""https://docs.google.com/spreadsheets/d/1Gpl6jkTg7sL4VDNimUm3S9Vi1i95esohXCF3wuKOE8c"", ""'CONSOLIDADO'!G5:AB""), 10, 0) &lt;&gt; 0, 
IFERROR(VLOOKUP($G442,IMPORTRANGE(""https://docs.google.com/spreadsheets/d/1Gpl6jkTg7sL4VDNimU"&amp;"m3S9Vi1i95esohXCF3wuKOE8c"", ""'CONSOLIDADO'!G5:AB""), 18, 0), ""-""),
""""
)"),"Guante Algodón-Silicona 30 x 18,5 cm")</f>
        <v>Guante Algodón-Silicona 30 x 18,5 cm</v>
      </c>
      <c r="X442" s="39" t="b">
        <f t="shared" si="47"/>
        <v>0</v>
      </c>
      <c r="Y442" s="129" t="s">
        <v>2296</v>
      </c>
      <c r="Z442" s="37" t="str">
        <f>IFERROR(__xludf.DUMMYFUNCTION("IFERROR(VLOOKUP(G442,IMPORTRANGE(""https://docs.google.com/spreadsheets/d/12RxCea4e5ggM7QGn1XE3FbLQa_-QbCNdBi90OdPjRqg"", ""'Plan de Compras'!D4:Q""), 12, 0), ""NO ESTÁ EN REQ"")"),"Simple")</f>
        <v>Simple</v>
      </c>
      <c r="AA442" s="37" t="str">
        <f>IFERROR(__xludf.DUMMYFUNCTION("IFERROR(VLOOKUP(G442,IMPORTRANGE(""https://docs.google.com/spreadsheets/d/12RxCea4e5ggM7QGn1XE3FbLQa_-QbCNdBi90OdPjRqg"", ""'Plan de Compras'!D4:Q""), 13, 0), """")"),"NACIONAL")</f>
        <v>NACIONAL</v>
      </c>
      <c r="AB442" s="32" t="str">
        <f>IFERROR(__xludf.DUMMYFUNCTION("IFERROR(VLOOKUP(G442,IMPORTRANGE(""https://docs.google.com/spreadsheets/d/12RxCea4e5ggM7QGn1XE3FbLQa_-QbCNdBi90OdPjRqg"", ""'Plan de Compras'!D4:Q""), 14, 0), """")"),"DIANA")</f>
        <v>DIANA</v>
      </c>
      <c r="AC442" s="72" t="str">
        <f>IFERROR(__xludf.DUMMYFUNCTION("IFERROR(VLOOKUP(G442,IMPORTRANGE(""https://docs.google.com/spreadsheets/d/12RxCea4e5ggM7QGn1XE3FbLQa_-QbCNdBi90OdPjRqg"", ""'Plan de Compras'!D4:Q""), 4, 0), """")"),"GUANTES DE SILICONA (MANOPLAS PARA OLLAS Y HORNOS)")</f>
        <v>GUANTES DE SILICONA (MANOPLAS PARA OLLAS Y HORNOS)</v>
      </c>
      <c r="AD442" s="37" t="str">
        <f>IFERROR(__xludf.DUMMYFUNCTION("IFERROR(IF(OR(C442=TRUE,C442=""""),VLOOKUP(G442,IMPORTRANGE(""https://docs.google.com/spreadsheets/d/1z9A1Wq-kKrhRNG5RS2a2fKpY1wIhSVz2ZNmP2mOl588/edit?usp=sharing"",""REQ VF!E4:H""),4,0),""NO APLICA""),""GENERAR REQ"")"),"GENERAR REQ")</f>
        <v>GENERAR REQ</v>
      </c>
      <c r="AE442" s="32" t="str">
        <f>IFERROR(__xludf.DUMMYFUNCTION("IFERROR(QUERY(IMPORTRANGE(""https://docs.google.com/spreadsheets/d/1z9A1Wq-kKrhRNG5RS2a2fKpY1wIhSVz2ZNmP2mOl588/edit?usp=sharing"",""REQ VF!E4:Q""),""SELECT Col10, Col11, Col12 WHERE Col1 = '""&amp;G442&amp;""'"",0),""NO APLICA"")"),"NO APLICA")</f>
        <v>NO APLICA</v>
      </c>
      <c r="AF442" s="32"/>
      <c r="AG442" s="32"/>
      <c r="AH442" s="8" t="s">
        <v>52</v>
      </c>
      <c r="AI442" s="13"/>
    </row>
    <row r="443">
      <c r="A443" s="121">
        <v>273.0</v>
      </c>
      <c r="B443" s="43" t="b">
        <v>1</v>
      </c>
      <c r="C443" s="26" t="b">
        <v>1</v>
      </c>
      <c r="D443" s="26" t="s">
        <v>35</v>
      </c>
      <c r="E443" s="26" t="s">
        <v>1510</v>
      </c>
      <c r="F443" s="59" t="s">
        <v>3061</v>
      </c>
      <c r="G443" s="39" t="s">
        <v>3065</v>
      </c>
      <c r="H443" s="66" t="s">
        <v>3066</v>
      </c>
      <c r="I443" s="43">
        <f>SUMIFS('Hoja 10'!$O:$O,'Hoja 10'!$F:$F,$G443)</f>
        <v>4</v>
      </c>
      <c r="J443" s="26">
        <f>IFERROR(__xludf.DUMMYFUNCTION("VLOOKUP(G443,IMPORTRANGE(""https://docs.google.com/spreadsheets/d/12RxCea4e5ggM7QGn1XE3FbLQa_-QbCNdBi90OdPjRqg/edit?gid=1692403370#gid=1692403370"", ""'Plan de Compras'!D4:2432""), 8,0)"),4.0)</f>
        <v>4</v>
      </c>
      <c r="K443" s="26" t="str">
        <f t="shared" si="40"/>
        <v>SI</v>
      </c>
      <c r="L443" s="29" t="s">
        <v>77</v>
      </c>
      <c r="M443" s="30" t="s">
        <v>78</v>
      </c>
      <c r="N443" s="32"/>
      <c r="O443" s="32" t="str">
        <f>VLOOKUP($G443,'Hoja 10'!$F$4:$AA1057, 19,0)</f>
        <v>GENERICO</v>
      </c>
      <c r="P443" s="32" t="str">
        <f>VLOOKUP($G443,'Hoja 10'!$F$4:$AA1057, 20,0)</f>
        <v>Guante Algodón-Silicona 30 x 18,5 cm</v>
      </c>
      <c r="Q443" s="33" t="str">
        <f>VLOOKUP($G443,'Hoja 10'!$F$4:$AA1057, 21,0)</f>
        <v>https://www.realplaza.com/guante-algodon-silicona-30-x-185-cm-1001167469/p</v>
      </c>
      <c r="R443" s="30" t="s">
        <v>3064</v>
      </c>
      <c r="S443" s="44" t="b">
        <v>1</v>
      </c>
      <c r="T443" s="32" t="str">
        <f>VLOOKUP($G443,'Hoja 10'!$F$4:$AA1057, 19,0)</f>
        <v>GENERICO</v>
      </c>
      <c r="U443" s="32" t="str">
        <f>VLOOKUP($G443,'Hoja 10'!$F$4:$AA1057, 20,0)</f>
        <v>Guante Algodón-Silicona 30 x 18,5 cm</v>
      </c>
      <c r="V443" s="39" t="str">
        <f>IFERROR(__xludf.DUMMYFUNCTION(" IF
( VLOOKUP($G443,IMPORTRANGE(""https://docs.google.com/spreadsheets/d/1Gpl6jkTg7sL4VDNimUm3S9Vi1i95esohXCF3wuKOE8c"", ""'CONSOLIDADO'!G5:AB""), 10, 0) &lt;&gt; 0, 
IFERROR(VLOOKUP($G443,IMPORTRANGE(""https://docs.google.com/spreadsheets/d/1Gpl6jkTg7sL4VDNimU"&amp;"m3S9Vi1i95esohXCF3wuKOE8c"", ""'CONSOLIDADO'!G5:AB""), 17, 0), ""-""),
""""
)"),"GENÉRICO")</f>
        <v>GENÉRICO</v>
      </c>
      <c r="W443" s="39" t="str">
        <f>IFERROR(__xludf.DUMMYFUNCTION(" IF
( VLOOKUP($G443,IMPORTRANGE(""https://docs.google.com/spreadsheets/d/1Gpl6jkTg7sL4VDNimUm3S9Vi1i95esohXCF3wuKOE8c"", ""'CONSOLIDADO'!G5:AB""), 10, 0) &lt;&gt; 0, 
IFERROR(VLOOKUP($G443,IMPORTRANGE(""https://docs.google.com/spreadsheets/d/1Gpl6jkTg7sL4VDNimU"&amp;"m3S9Vi1i95esohXCF3wuKOE8c"", ""'CONSOLIDADO'!G5:AB""), 18, 0), ""-""),
""""
)"),"Guante Algodón-Silicona 30 x 18,5 cm")</f>
        <v>Guante Algodón-Silicona 30 x 18,5 cm</v>
      </c>
      <c r="X443" s="39" t="b">
        <f t="shared" si="47"/>
        <v>0</v>
      </c>
      <c r="Y443" s="120" t="s">
        <v>2296</v>
      </c>
      <c r="Z443" s="37" t="str">
        <f>IFERROR(__xludf.DUMMYFUNCTION("IFERROR(VLOOKUP(G443,IMPORTRANGE(""https://docs.google.com/spreadsheets/d/12RxCea4e5ggM7QGn1XE3FbLQa_-QbCNdBi90OdPjRqg"", ""'Plan de Compras'!D4:Q""), 12, 0), ""NO ESTÁ EN REQ"")"),"Simple")</f>
        <v>Simple</v>
      </c>
      <c r="AA443" s="37" t="str">
        <f>IFERROR(__xludf.DUMMYFUNCTION("IFERROR(VLOOKUP(G443,IMPORTRANGE(""https://docs.google.com/spreadsheets/d/12RxCea4e5ggM7QGn1XE3FbLQa_-QbCNdBi90OdPjRqg"", ""'Plan de Compras'!D4:Q""), 13, 0), """")"),"NACIONAL")</f>
        <v>NACIONAL</v>
      </c>
      <c r="AB443" s="32" t="str">
        <f>IFERROR(__xludf.DUMMYFUNCTION("IFERROR(VLOOKUP(G443,IMPORTRANGE(""https://docs.google.com/spreadsheets/d/12RxCea4e5ggM7QGn1XE3FbLQa_-QbCNdBi90OdPjRqg"", ""'Plan de Compras'!D4:Q""), 14, 0), """")"),"DIANA")</f>
        <v>DIANA</v>
      </c>
      <c r="AC443" s="72" t="str">
        <f>IFERROR(__xludf.DUMMYFUNCTION("IFERROR(VLOOKUP(G443,IMPORTRANGE(""https://docs.google.com/spreadsheets/d/12RxCea4e5ggM7QGn1XE3FbLQa_-QbCNdBi90OdPjRqg"", ""'Plan de Compras'!D4:Q""), 4, 0), """")"),"GUANTES DE SILICONA RESISTENTES AL CALOR CON FORRO INTERIOR DE ALGODÓN,
MANOPLAS PARA OLLAS Y HORNOS")</f>
        <v>GUANTES DE SILICONA RESISTENTES AL CALOR CON FORRO INTERIOR DE ALGODÓN,
MANOPLAS PARA OLLAS Y HORNOS</v>
      </c>
      <c r="AD443" s="37" t="str">
        <f>IFERROR(__xludf.DUMMYFUNCTION("IFERROR(IF(OR(C443=TRUE,C443=""""),VLOOKUP(G443,IMPORTRANGE(""https://docs.google.com/spreadsheets/d/1z9A1Wq-kKrhRNG5RS2a2fKpY1wIhSVz2ZNmP2mOl588/edit?usp=sharing"",""REQ VF!E4:H""),4,0),""NO APLICA""),""GENERAR REQ"")"),"GENERAR REQ")</f>
        <v>GENERAR REQ</v>
      </c>
      <c r="AE443" s="32" t="str">
        <f>IFERROR(__xludf.DUMMYFUNCTION("IFERROR(QUERY(IMPORTRANGE(""https://docs.google.com/spreadsheets/d/1z9A1Wq-kKrhRNG5RS2a2fKpY1wIhSVz2ZNmP2mOl588/edit?usp=sharing"",""REQ VF!E4:Q""),""SELECT Col10, Col11, Col12 WHERE Col1 = '""&amp;G443&amp;""'"",0),""NO APLICA"")"),"NO APLICA")</f>
        <v>NO APLICA</v>
      </c>
      <c r="AF443" s="32"/>
      <c r="AG443" s="32"/>
      <c r="AH443" s="8" t="s">
        <v>52</v>
      </c>
      <c r="AI443" s="13"/>
    </row>
    <row r="444">
      <c r="A444" s="121">
        <v>274.0</v>
      </c>
      <c r="B444" s="43" t="b">
        <v>1</v>
      </c>
      <c r="C444" s="26" t="b">
        <v>1</v>
      </c>
      <c r="D444" s="26" t="s">
        <v>35</v>
      </c>
      <c r="E444" s="26" t="s">
        <v>1510</v>
      </c>
      <c r="F444" s="59" t="s">
        <v>3067</v>
      </c>
      <c r="G444" s="39" t="s">
        <v>3068</v>
      </c>
      <c r="H444" s="82" t="s">
        <v>3069</v>
      </c>
      <c r="I444" s="43">
        <f>SUMIFS('Hoja 10'!$O:$O,'Hoja 10'!$F:$F,$G444)</f>
        <v>20</v>
      </c>
      <c r="J444" s="26">
        <f>IFERROR(__xludf.DUMMYFUNCTION("VLOOKUP(G444,IMPORTRANGE(""https://docs.google.com/spreadsheets/d/12RxCea4e5ggM7QGn1XE3FbLQa_-QbCNdBi90OdPjRqg/edit?gid=1692403370#gid=1692403370"", ""'Plan de Compras'!D4:2432""), 8,0)"),20.0)</f>
        <v>20</v>
      </c>
      <c r="K444" s="26" t="str">
        <f t="shared" si="40"/>
        <v>SI</v>
      </c>
      <c r="L444" s="29" t="s">
        <v>77</v>
      </c>
      <c r="M444" s="30" t="s">
        <v>78</v>
      </c>
      <c r="N444" s="32"/>
      <c r="O444" s="32" t="str">
        <f>VLOOKUP($G444,'Hoja 10'!$F$4:$AA1057, 19,0)</f>
        <v>Virutex</v>
      </c>
      <c r="P444" s="32">
        <f>VLOOKUP($G444,'Hoja 10'!$F$4:$AA1057, 20,0)</f>
        <v>1000239811</v>
      </c>
      <c r="Q444" s="33" t="str">
        <f>VLOOKUP($G444,'Hoja 10'!$F$4:$AA1057, 21,0)</f>
        <v>https://www.promart.pe/guante-virutex-antibacterial-cobre-m-2un-1000221350/p?srsltid=AfmBOopo8aZBysbHqVtoKSuHKiB26Em0fhq5V-tEU-8x8oiFVmw1ixfL</v>
      </c>
      <c r="R444" s="30" t="s">
        <v>3070</v>
      </c>
      <c r="S444" s="44" t="b">
        <v>1</v>
      </c>
      <c r="T444" s="37" t="s">
        <v>3071</v>
      </c>
      <c r="U444" s="37">
        <v>1.000239811E9</v>
      </c>
      <c r="V444" s="39" t="str">
        <f>IFERROR(__xludf.DUMMYFUNCTION(" IF
( VLOOKUP($G444,IMPORTRANGE(""https://docs.google.com/spreadsheets/d/1Gpl6jkTg7sL4VDNimUm3S9Vi1i95esohXCF3wuKOE8c"", ""'CONSOLIDADO'!G5:AB""), 10, 0) &lt;&gt; 0, 
IFERROR(VLOOKUP($G444,IMPORTRANGE(""https://docs.google.com/spreadsheets/d/1Gpl6jkTg7sL4VDNimU"&amp;"m3S9Vi1i95esohXCF3wuKOE8c"", ""'CONSOLIDADO'!G5:AB""), 17, 0), ""-""),
""""
)"),"VIRUTEX")</f>
        <v>VIRUTEX</v>
      </c>
      <c r="W444" s="39">
        <f>IFERROR(__xludf.DUMMYFUNCTION(" IF
( VLOOKUP($G444,IMPORTRANGE(""https://docs.google.com/spreadsheets/d/1Gpl6jkTg7sL4VDNimUm3S9Vi1i95esohXCF3wuKOE8c"", ""'CONSOLIDADO'!G5:AB""), 10, 0) &lt;&gt; 0, 
IFERROR(VLOOKUP($G444,IMPORTRANGE(""https://docs.google.com/spreadsheets/d/1Gpl6jkTg7sL4VDNimU"&amp;"m3S9Vi1i95esohXCF3wuKOE8c"", ""'CONSOLIDADO'!G5:AB""), 18, 0), ""-""),
""""
)"),1.000239811E9)</f>
        <v>1000239811</v>
      </c>
      <c r="X444" s="39" t="b">
        <f t="shared" si="47"/>
        <v>1</v>
      </c>
      <c r="Y444" s="138" t="str">
        <f>VLOOKUP($G444,'Hoja 10'!$F$4:$AA1057, 21,0)</f>
        <v>https://www.promart.pe/guante-virutex-antibacterial-cobre-m-2un-1000221350/p?srsltid=AfmBOopo8aZBysbHqVtoKSuHKiB26Em0fhq5V-tEU-8x8oiFVmw1ixfL</v>
      </c>
      <c r="Z444" s="37" t="str">
        <f>IFERROR(__xludf.DUMMYFUNCTION("IFERROR(VLOOKUP(G444,IMPORTRANGE(""https://docs.google.com/spreadsheets/d/12RxCea4e5ggM7QGn1XE3FbLQa_-QbCNdBi90OdPjRqg"", ""'Plan de Compras'!D4:Q""), 12, 0), ""NO ESTÁ EN REQ"")"),"Simple")</f>
        <v>Simple</v>
      </c>
      <c r="AA444" s="37" t="str">
        <f>IFERROR(__xludf.DUMMYFUNCTION("IFERROR(VLOOKUP(G444,IMPORTRANGE(""https://docs.google.com/spreadsheets/d/12RxCea4e5ggM7QGn1XE3FbLQa_-QbCNdBi90OdPjRqg"", ""'Plan de Compras'!D4:Q""), 13, 0), """")"),"NACIONAL")</f>
        <v>NACIONAL</v>
      </c>
      <c r="AB444" s="32" t="str">
        <f>IFERROR(__xludf.DUMMYFUNCTION("IFERROR(VLOOKUP(G444,IMPORTRANGE(""https://docs.google.com/spreadsheets/d/12RxCea4e5ggM7QGn1XE3FbLQa_-QbCNdBi90OdPjRqg"", ""'Plan de Compras'!D4:Q""), 14, 0), """")"),"DIANA")</f>
        <v>DIANA</v>
      </c>
      <c r="AC444" s="72" t="str">
        <f>IFERROR(__xludf.DUMMYFUNCTION("IFERROR(VLOOKUP(G444,IMPORTRANGE(""https://docs.google.com/spreadsheets/d/12RxCea4e5ggM7QGn1XE3FbLQa_-QbCNdBi90OdPjRqg"", ""'Plan de Compras'!D4:Q""), 4, 0), """")"),"GUANTES MULTIUSO ANTIBACTERIAL")</f>
        <v>GUANTES MULTIUSO ANTIBACTERIAL</v>
      </c>
      <c r="AD444" s="37" t="str">
        <f>IFERROR(__xludf.DUMMYFUNCTION("IFERROR(IF(OR(C444=TRUE,C444=""""),VLOOKUP(G444,IMPORTRANGE(""https://docs.google.com/spreadsheets/d/1z9A1Wq-kKrhRNG5RS2a2fKpY1wIhSVz2ZNmP2mOl588/edit?usp=sharing"",""REQ VF!E4:H""),4,0),""NO APLICA""),""GENERAR REQ"")"),"GENERAR REQ")</f>
        <v>GENERAR REQ</v>
      </c>
      <c r="AE444" s="32" t="str">
        <f>IFERROR(__xludf.DUMMYFUNCTION("IFERROR(QUERY(IMPORTRANGE(""https://docs.google.com/spreadsheets/d/1z9A1Wq-kKrhRNG5RS2a2fKpY1wIhSVz2ZNmP2mOl588/edit?usp=sharing"",""REQ VF!E4:Q""),""SELECT Col10, Col11, Col12 WHERE Col1 = '""&amp;G444&amp;""'"",0),""NO APLICA"")"),"NO APLICA")</f>
        <v>NO APLICA</v>
      </c>
      <c r="AF444" s="32"/>
      <c r="AG444" s="32"/>
      <c r="AH444" s="8" t="s">
        <v>52</v>
      </c>
      <c r="AI444" s="13"/>
    </row>
    <row r="445">
      <c r="A445" s="117">
        <v>275.0</v>
      </c>
      <c r="B445" s="43" t="b">
        <v>1</v>
      </c>
      <c r="C445" s="26" t="b">
        <v>1</v>
      </c>
      <c r="D445" s="26" t="s">
        <v>35</v>
      </c>
      <c r="E445" s="26" t="s">
        <v>1510</v>
      </c>
      <c r="F445" s="59" t="s">
        <v>3067</v>
      </c>
      <c r="G445" s="39" t="s">
        <v>3072</v>
      </c>
      <c r="H445" s="82" t="s">
        <v>3073</v>
      </c>
      <c r="I445" s="43">
        <f>SUMIFS('Hoja 10'!$O:$O,'Hoja 10'!$F:$F,$G445)</f>
        <v>80</v>
      </c>
      <c r="J445" s="26">
        <f>IFERROR(__xludf.DUMMYFUNCTION("VLOOKUP(G445,IMPORTRANGE(""https://docs.google.com/spreadsheets/d/12RxCea4e5ggM7QGn1XE3FbLQa_-QbCNdBi90OdPjRqg/edit?gid=1692403370#gid=1692403370"", ""'Plan de Compras'!D4:2432""), 8,0)"),80.0)</f>
        <v>80</v>
      </c>
      <c r="K445" s="26" t="str">
        <f t="shared" si="40"/>
        <v>SI</v>
      </c>
      <c r="L445" s="29" t="s">
        <v>39</v>
      </c>
      <c r="M445" s="30" t="s">
        <v>40</v>
      </c>
      <c r="N445" s="32"/>
      <c r="O445" s="32" t="str">
        <f>VLOOKUP($G445,'Hoja 10'!$F$4:$AA1057, 19,0)</f>
        <v>VIRUTEX</v>
      </c>
      <c r="P445" s="32" t="str">
        <f>VLOOKUP($G445,'Hoja 10'!$F$4:$AA1057, 20,0)</f>
        <v>VIRUTEX</v>
      </c>
      <c r="Q445" s="33" t="str">
        <f>VLOOKUP($G445,'Hoja 10'!$F$4:$AA1057, 21,0)</f>
        <v>https://www.plazavea.com.pe/guante-virutex-antibacterial-cobre-m-2un/p?srsltid=AfmBOoosyU7rtcl4hzZ3phsN13dlXKm00_XVzCGdSv9brL1QmLhqdbN-</v>
      </c>
      <c r="R445" s="30" t="s">
        <v>3074</v>
      </c>
      <c r="S445" s="44" t="b">
        <v>1</v>
      </c>
      <c r="T445" s="37" t="s">
        <v>3075</v>
      </c>
      <c r="U445" s="37" t="s">
        <v>3075</v>
      </c>
      <c r="V445" s="39" t="str">
        <f>IFERROR(__xludf.DUMMYFUNCTION(" IF
( VLOOKUP($G445,IMPORTRANGE(""https://docs.google.com/spreadsheets/d/1Gpl6jkTg7sL4VDNimUm3S9Vi1i95esohXCF3wuKOE8c"", ""'CONSOLIDADO'!G5:AB""), 10, 0) &lt;&gt; 0, 
IFERROR(VLOOKUP($G445,IMPORTRANGE(""https://docs.google.com/spreadsheets/d/1Gpl6jkTg7sL4VDNimU"&amp;"m3S9Vi1i95esohXCF3wuKOE8c"", ""'CONSOLIDADO'!G5:AB""), 17, 0), ""-""),
""""
)"),"VIRUTEX")</f>
        <v>VIRUTEX</v>
      </c>
      <c r="W445" s="39">
        <f>IFERROR(__xludf.DUMMYFUNCTION(" IF
( VLOOKUP($G445,IMPORTRANGE(""https://docs.google.com/spreadsheets/d/1Gpl6jkTg7sL4VDNimUm3S9Vi1i95esohXCF3wuKOE8c"", ""'CONSOLIDADO'!G5:AB""), 10, 0) &lt;&gt; 0, 
IFERROR(VLOOKUP($G445,IMPORTRANGE(""https://docs.google.com/spreadsheets/d/1Gpl6jkTg7sL4VDNimU"&amp;"m3S9Vi1i95esohXCF3wuKOE8c"", ""'CONSOLIDADO'!G5:AB""), 18, 0), ""-""),
""""
)"),1.000239811E9)</f>
        <v>1000239811</v>
      </c>
      <c r="X445" s="39" t="b">
        <f t="shared" si="47"/>
        <v>0</v>
      </c>
      <c r="Y445" s="138" t="str">
        <f>VLOOKUP($G445,'Hoja 10'!$F$4:$AA1057, 21,0)</f>
        <v>https://www.plazavea.com.pe/guante-virutex-antibacterial-cobre-m-2un/p?srsltid=AfmBOoosyU7rtcl4hzZ3phsN13dlXKm00_XVzCGdSv9brL1QmLhqdbN-</v>
      </c>
      <c r="Z445" s="37" t="str">
        <f>IFERROR(__xludf.DUMMYFUNCTION("IFERROR(VLOOKUP(G445,IMPORTRANGE(""https://docs.google.com/spreadsheets/d/12RxCea4e5ggM7QGn1XE3FbLQa_-QbCNdBi90OdPjRqg"", ""'Plan de Compras'!D4:Q""), 12, 0), ""NO ESTÁ EN REQ"")"),"Simple")</f>
        <v>Simple</v>
      </c>
      <c r="AA445" s="37" t="str">
        <f>IFERROR(__xludf.DUMMYFUNCTION("IFERROR(VLOOKUP(G445,IMPORTRANGE(""https://docs.google.com/spreadsheets/d/12RxCea4e5ggM7QGn1XE3FbLQa_-QbCNdBi90OdPjRqg"", ""'Plan de Compras'!D4:Q""), 13, 0), """")"),"NACIONAL")</f>
        <v>NACIONAL</v>
      </c>
      <c r="AB445" s="32" t="str">
        <f>IFERROR(__xludf.DUMMYFUNCTION("IFERROR(VLOOKUP(G445,IMPORTRANGE(""https://docs.google.com/spreadsheets/d/12RxCea4e5ggM7QGn1XE3FbLQa_-QbCNdBi90OdPjRqg"", ""'Plan de Compras'!D4:Q""), 14, 0), """")"),"DIANA")</f>
        <v>DIANA</v>
      </c>
      <c r="AC445" s="72" t="str">
        <f>IFERROR(__xludf.DUMMYFUNCTION("IFERROR(VLOOKUP(G445,IMPORTRANGE(""https://docs.google.com/spreadsheets/d/12RxCea4e5ggM7QGn1XE3FbLQa_-QbCNdBi90OdPjRqg"", ""'Plan de Compras'!D4:Q""), 4, 0), """")"),"GUANTES MULTIUSO ANTIBACTERIAL")</f>
        <v>GUANTES MULTIUSO ANTIBACTERIAL</v>
      </c>
      <c r="AD445" s="37" t="str">
        <f>IFERROR(__xludf.DUMMYFUNCTION("IFERROR(IF(OR(C445=TRUE,C445=""""),VLOOKUP(G445,IMPORTRANGE(""https://docs.google.com/spreadsheets/d/1z9A1Wq-kKrhRNG5RS2a2fKpY1wIhSVz2ZNmP2mOl588/edit?usp=sharing"",""REQ VF!E4:H""),4,0),""NO APLICA""),""GENERAR REQ"")"),"GENERAR REQ")</f>
        <v>GENERAR REQ</v>
      </c>
      <c r="AE445" s="32" t="str">
        <f>IFERROR(__xludf.DUMMYFUNCTION("IFERROR(QUERY(IMPORTRANGE(""https://docs.google.com/spreadsheets/d/1z9A1Wq-kKrhRNG5RS2a2fKpY1wIhSVz2ZNmP2mOl588/edit?usp=sharing"",""REQ VF!E4:Q""),""SELECT Col10, Col11, Col12 WHERE Col1 = '""&amp;G445&amp;""'"",0),""NO APLICA"")"),"NO APLICA")</f>
        <v>NO APLICA</v>
      </c>
      <c r="AF445" s="32"/>
      <c r="AG445" s="32"/>
      <c r="AH445" s="8" t="s">
        <v>52</v>
      </c>
      <c r="AI445" s="13"/>
    </row>
    <row r="446">
      <c r="A446" s="117">
        <v>276.0</v>
      </c>
      <c r="B446" s="43" t="b">
        <v>1</v>
      </c>
      <c r="C446" s="26" t="b">
        <v>1</v>
      </c>
      <c r="D446" s="26" t="s">
        <v>35</v>
      </c>
      <c r="E446" s="26" t="s">
        <v>1510</v>
      </c>
      <c r="F446" s="59" t="s">
        <v>3076</v>
      </c>
      <c r="G446" s="37" t="s">
        <v>3076</v>
      </c>
      <c r="H446" s="82" t="s">
        <v>3077</v>
      </c>
      <c r="I446" s="43">
        <f>SUMIFS('Hoja 10'!$O:$O,'Hoja 10'!$F:$F,$G446)</f>
        <v>16</v>
      </c>
      <c r="J446" s="26">
        <f>IFERROR(__xludf.DUMMYFUNCTION("VLOOKUP(G446,IMPORTRANGE(""https://docs.google.com/spreadsheets/d/12RxCea4e5ggM7QGn1XE3FbLQa_-QbCNdBi90OdPjRqg/edit?gid=1692403370#gid=1692403370"", ""'Plan de Compras'!D4:2432""), 8,0)"),16.0)</f>
        <v>16</v>
      </c>
      <c r="K446" s="26" t="str">
        <f t="shared" si="40"/>
        <v>SI</v>
      </c>
      <c r="L446" s="29" t="s">
        <v>296</v>
      </c>
      <c r="M446" s="30" t="s">
        <v>297</v>
      </c>
      <c r="N446" s="32"/>
      <c r="O446" s="32" t="str">
        <f>VLOOKUP($G446,'Hoja 10'!$F$4:$AA1057, 19,0)</f>
        <v>Werken</v>
      </c>
      <c r="P446" s="32">
        <f>VLOOKUP($G446,'Hoja 10'!$F$4:$AA1057, 20,0)</f>
        <v>159992</v>
      </c>
      <c r="Q446" s="33" t="str">
        <f>VLOOKUP($G446,'Hoja 10'!$F$4:$AA1057, 21,0)</f>
        <v>https://www.promart.pe/guante-de-hilo-azul-con-palma-de-nitrilo-werken-159992/p</v>
      </c>
      <c r="R446" s="30" t="s">
        <v>3078</v>
      </c>
      <c r="S446" s="44" t="b">
        <v>1</v>
      </c>
      <c r="T446" s="39" t="str">
        <f>VLOOKUP($G446,'Hoja 10'!$F$4:$AA1057, 19,0)</f>
        <v>Werken</v>
      </c>
      <c r="U446" s="32">
        <f>VLOOKUP($G446,'Hoja 10'!$F$4:$AA1057, 20,0)</f>
        <v>159992</v>
      </c>
      <c r="V446" s="39" t="str">
        <f>IFERROR(__xludf.DUMMYFUNCTION(" IF
( VLOOKUP($G446,IMPORTRANGE(""https://docs.google.com/spreadsheets/d/1Gpl6jkTg7sL4VDNimUm3S9Vi1i95esohXCF3wuKOE8c"", ""'CONSOLIDADO'!G5:AB""), 10, 0) &lt;&gt; 0, 
IFERROR(VLOOKUP($G446,IMPORTRANGE(""https://docs.google.com/spreadsheets/d/1Gpl6jkTg7sL4VDNimU"&amp;"m3S9Vi1i95esohXCF3wuKOE8c"", ""'CONSOLIDADO'!G5:AB""), 17, 0), ""-""),
""""
)"),"WERKEN")</f>
        <v>WERKEN</v>
      </c>
      <c r="W446" s="39">
        <f>IFERROR(__xludf.DUMMYFUNCTION(" IF
( VLOOKUP($G446,IMPORTRANGE(""https://docs.google.com/spreadsheets/d/1Gpl6jkTg7sL4VDNimUm3S9Vi1i95esohXCF3wuKOE8c"", ""'CONSOLIDADO'!G5:AB""), 10, 0) &lt;&gt; 0, 
IFERROR(VLOOKUP($G446,IMPORTRANGE(""https://docs.google.com/spreadsheets/d/1Gpl6jkTg7sL4VDNimU"&amp;"m3S9Vi1i95esohXCF3wuKOE8c"", ""'CONSOLIDADO'!G5:AB""), 18, 0), ""-""),
""""
)"),159992.0)</f>
        <v>159992</v>
      </c>
      <c r="X446" s="39" t="b">
        <f t="shared" si="47"/>
        <v>1</v>
      </c>
      <c r="Y446" s="129" t="s">
        <v>2296</v>
      </c>
      <c r="Z446" s="37" t="str">
        <f>IFERROR(__xludf.DUMMYFUNCTION("IFERROR(VLOOKUP(G446,IMPORTRANGE(""https://docs.google.com/spreadsheets/d/12RxCea4e5ggM7QGn1XE3FbLQa_-QbCNdBi90OdPjRqg"", ""'Plan de Compras'!D4:Q""), 12, 0), ""NO ESTÁ EN REQ"")"),"Simple")</f>
        <v>Simple</v>
      </c>
      <c r="AA446" s="37" t="str">
        <f>IFERROR(__xludf.DUMMYFUNCTION("IFERROR(VLOOKUP(G446,IMPORTRANGE(""https://docs.google.com/spreadsheets/d/12RxCea4e5ggM7QGn1XE3FbLQa_-QbCNdBi90OdPjRqg"", ""'Plan de Compras'!D4:Q""), 13, 0), """")"),"NACIONAL")</f>
        <v>NACIONAL</v>
      </c>
      <c r="AB446" s="32" t="str">
        <f>IFERROR(__xludf.DUMMYFUNCTION("IFERROR(VLOOKUP(G446,IMPORTRANGE(""https://docs.google.com/spreadsheets/d/12RxCea4e5ggM7QGn1XE3FbLQa_-QbCNdBi90OdPjRqg"", ""'Plan de Compras'!D4:Q""), 14, 0), """")"),"DIANA")</f>
        <v>DIANA</v>
      </c>
      <c r="AC446" s="72" t="str">
        <f>IFERROR(__xludf.DUMMYFUNCTION("IFERROR(VLOOKUP(G446,IMPORTRANGE(""https://docs.google.com/spreadsheets/d/12RxCea4e5ggM7QGn1XE3FbLQa_-QbCNdBi90OdPjRqg"", ""'Plan de Compras'!D4:Q""), 4, 0), """")"),"PAR DE GUANTES PARA PINTAR")</f>
        <v>PAR DE GUANTES PARA PINTAR</v>
      </c>
      <c r="AD446" s="37" t="str">
        <f>IFERROR(__xludf.DUMMYFUNCTION("IFERROR(IF(OR(C446=TRUE,C446=""""),VLOOKUP(G446,IMPORTRANGE(""https://docs.google.com/spreadsheets/d/1z9A1Wq-kKrhRNG5RS2a2fKpY1wIhSVz2ZNmP2mOl588/edit?usp=sharing"",""REQ VF!E4:H""),4,0),""NO APLICA""),""GENERAR REQ"")"),"GENERAR REQ")</f>
        <v>GENERAR REQ</v>
      </c>
      <c r="AE446" s="32" t="str">
        <f>IFERROR(__xludf.DUMMYFUNCTION("IFERROR(QUERY(IMPORTRANGE(""https://docs.google.com/spreadsheets/d/1z9A1Wq-kKrhRNG5RS2a2fKpY1wIhSVz2ZNmP2mOl588/edit?usp=sharing"",""REQ VF!E4:Q""),""SELECT Col10, Col11, Col12 WHERE Col1 = '""&amp;G446&amp;""'"",0),""NO APLICA"")"),"NO APLICA")</f>
        <v>NO APLICA</v>
      </c>
      <c r="AF446" s="32"/>
      <c r="AG446" s="32"/>
      <c r="AH446" s="8" t="s">
        <v>52</v>
      </c>
      <c r="AI446" s="13"/>
    </row>
    <row r="447">
      <c r="A447" s="121">
        <v>277.0</v>
      </c>
      <c r="B447" s="43" t="b">
        <v>1</v>
      </c>
      <c r="C447" s="26" t="b">
        <v>1</v>
      </c>
      <c r="D447" s="26" t="s">
        <v>35</v>
      </c>
      <c r="E447" s="26" t="s">
        <v>1510</v>
      </c>
      <c r="F447" s="59" t="s">
        <v>3079</v>
      </c>
      <c r="G447" s="37" t="s">
        <v>3079</v>
      </c>
      <c r="H447" s="82" t="s">
        <v>3080</v>
      </c>
      <c r="I447" s="43">
        <f>SUMIFS('Hoja 10'!$O:$O,'Hoja 10'!$F:$F,$G447)</f>
        <v>63</v>
      </c>
      <c r="J447" s="26">
        <f>IFERROR(__xludf.DUMMYFUNCTION("VLOOKUP(G447,IMPORTRANGE(""https://docs.google.com/spreadsheets/d/12RxCea4e5ggM7QGn1XE3FbLQa_-QbCNdBi90OdPjRqg/edit?gid=1692403370#gid=1692403370"", ""'Plan de Compras'!D4:2432""), 8,0)"),63.0)</f>
        <v>63</v>
      </c>
      <c r="K447" s="26" t="str">
        <f t="shared" si="40"/>
        <v>SI</v>
      </c>
      <c r="L447" s="29" t="s">
        <v>127</v>
      </c>
      <c r="M447" s="30" t="s">
        <v>105</v>
      </c>
      <c r="N447" s="32"/>
      <c r="O447" s="32" t="str">
        <f>VLOOKUP($G447,'Hoja 10'!$F$4:$AA1057, 19,0)</f>
        <v>STEEL PRO</v>
      </c>
      <c r="P447" s="32" t="str">
        <f>VLOOKUP($G447,'Hoja 10'!$F$4:$AA1057, 20,0)</f>
        <v>GENERICO</v>
      </c>
      <c r="Q447" s="33" t="str">
        <f>VLOOKUP($G447,'Hoja 10'!$F$4:$AA1057, 21,0)</f>
        <v>https://drive.google.com/file/d/1SgLNtJlGm0LxJKQnmmfwDfeB63Dys1oQ/view</v>
      </c>
      <c r="R447" s="30" t="s">
        <v>3081</v>
      </c>
      <c r="S447" s="44" t="b">
        <v>1</v>
      </c>
      <c r="T447" s="39" t="str">
        <f>VLOOKUP($G447,'Hoja 10'!$F$4:$AA1057, 19,0)</f>
        <v>STEEL PRO</v>
      </c>
      <c r="U447" s="32" t="str">
        <f>VLOOKUP($G447,'Hoja 10'!$F$4:$AA1057, 20,0)</f>
        <v>GENERICO</v>
      </c>
      <c r="V447" s="39" t="str">
        <f>IFERROR(__xludf.DUMMYFUNCTION(" IF
( VLOOKUP($G447,IMPORTRANGE(""https://docs.google.com/spreadsheets/d/1Gpl6jkTg7sL4VDNimUm3S9Vi1i95esohXCF3wuKOE8c"", ""'CONSOLIDADO'!G5:AB""), 10, 0) &lt;&gt; 0, 
IFERROR(VLOOKUP($G447,IMPORTRANGE(""https://docs.google.com/spreadsheets/d/1Gpl6jkTg7sL4VDNimU"&amp;"m3S9Vi1i95esohXCF3wuKOE8c"", ""'CONSOLIDADO'!G5:AB""), 17, 0), ""-""),
""""
)"),"STEELPRO")</f>
        <v>STEELPRO</v>
      </c>
      <c r="W447" s="39" t="str">
        <f>IFERROR(__xludf.DUMMYFUNCTION(" IF
( VLOOKUP($G447,IMPORTRANGE(""https://docs.google.com/spreadsheets/d/1Gpl6jkTg7sL4VDNimUm3S9Vi1i95esohXCF3wuKOE8c"", ""'CONSOLIDADO'!G5:AB""), 10, 0) &lt;&gt; 0, 
IFERROR(VLOOKUP($G447,IMPORTRANGE(""https://docs.google.com/spreadsheets/d/1Gpl6jkTg7sL4VDNimU"&amp;"m3S9Vi1i95esohXCF3wuKOE8c"", ""'CONSOLIDADO'!G5:AB""), 18, 0), ""-""),
""""
)"),"GENERICO")</f>
        <v>GENERICO</v>
      </c>
      <c r="X447" s="39" t="b">
        <f t="shared" si="47"/>
        <v>0</v>
      </c>
      <c r="Y447" s="129" t="s">
        <v>2296</v>
      </c>
      <c r="Z447" s="37" t="str">
        <f>IFERROR(__xludf.DUMMYFUNCTION("IFERROR(VLOOKUP(G447,IMPORTRANGE(""https://docs.google.com/spreadsheets/d/12RxCea4e5ggM7QGn1XE3FbLQa_-QbCNdBi90OdPjRqg"", ""'Plan de Compras'!D4:Q""), 12, 0), ""NO ESTÁ EN REQ"")"),"Simple")</f>
        <v>Simple</v>
      </c>
      <c r="AA447" s="37" t="str">
        <f>IFERROR(__xludf.DUMMYFUNCTION("IFERROR(VLOOKUP(G447,IMPORTRANGE(""https://docs.google.com/spreadsheets/d/12RxCea4e5ggM7QGn1XE3FbLQa_-QbCNdBi90OdPjRqg"", ""'Plan de Compras'!D4:Q""), 13, 0), """")"),"NACIONAL")</f>
        <v>NACIONAL</v>
      </c>
      <c r="AB447" s="32" t="str">
        <f>IFERROR(__xludf.DUMMYFUNCTION("IFERROR(VLOOKUP(G447,IMPORTRANGE(""https://docs.google.com/spreadsheets/d/12RxCea4e5ggM7QGn1XE3FbLQa_-QbCNdBi90OdPjRqg"", ""'Plan de Compras'!D4:Q""), 14, 0), """")"),"DIANA")</f>
        <v>DIANA</v>
      </c>
      <c r="AC447" s="72" t="str">
        <f>IFERROR(__xludf.DUMMYFUNCTION("IFERROR(VLOOKUP(G447,IMPORTRANGE(""https://docs.google.com/spreadsheets/d/12RxCea4e5ggM7QGn1XE3FbLQa_-QbCNdBi90OdPjRqg"", ""'Plan de Compras'!D4:Q""), 4, 0), """")"),"GUANTES PARA SOLDAR")</f>
        <v>GUANTES PARA SOLDAR</v>
      </c>
      <c r="AD447" s="37" t="str">
        <f>IFERROR(__xludf.DUMMYFUNCTION("IFERROR(IF(OR(C447=TRUE,C447=""""),VLOOKUP(G447,IMPORTRANGE(""https://docs.google.com/spreadsheets/d/1z9A1Wq-kKrhRNG5RS2a2fKpY1wIhSVz2ZNmP2mOl588/edit?usp=sharing"",""REQ VF!E4:H""),4,0),""NO APLICA""),""GENERAR REQ"")"),"GENERAR REQ")</f>
        <v>GENERAR REQ</v>
      </c>
      <c r="AE447" s="32" t="str">
        <f>IFERROR(__xludf.DUMMYFUNCTION("IFERROR(QUERY(IMPORTRANGE(""https://docs.google.com/spreadsheets/d/1z9A1Wq-kKrhRNG5RS2a2fKpY1wIhSVz2ZNmP2mOl588/edit?usp=sharing"",""REQ VF!E4:Q""),""SELECT Col10, Col11, Col12 WHERE Col1 = '""&amp;G447&amp;""'"",0),""NO APLICA"")"),"NO APLICA")</f>
        <v>NO APLICA</v>
      </c>
      <c r="AF447" s="32"/>
      <c r="AG447" s="32"/>
      <c r="AH447" s="8" t="s">
        <v>52</v>
      </c>
      <c r="AI447" s="13"/>
    </row>
    <row r="448">
      <c r="A448" s="121">
        <v>278.0</v>
      </c>
      <c r="B448" s="43" t="b">
        <v>1</v>
      </c>
      <c r="C448" s="26" t="b">
        <v>1</v>
      </c>
      <c r="D448" s="26" t="s">
        <v>35</v>
      </c>
      <c r="E448" s="26" t="s">
        <v>1510</v>
      </c>
      <c r="F448" s="59" t="s">
        <v>3082</v>
      </c>
      <c r="G448" s="39" t="s">
        <v>3083</v>
      </c>
      <c r="H448" s="82" t="s">
        <v>3084</v>
      </c>
      <c r="I448" s="43">
        <f>SUMIFS('Hoja 10'!$O:$O,'Hoja 10'!$F:$F,$G448)</f>
        <v>42</v>
      </c>
      <c r="J448" s="26">
        <f>IFERROR(__xludf.DUMMYFUNCTION("VLOOKUP(G448,IMPORTRANGE(""https://docs.google.com/spreadsheets/d/12RxCea4e5ggM7QGn1XE3FbLQa_-QbCNdBi90OdPjRqg/edit?gid=1692403370#gid=1692403370"", ""'Plan de Compras'!D4:2432""), 8,0)"),42.0)</f>
        <v>42</v>
      </c>
      <c r="K448" s="26" t="str">
        <f t="shared" si="40"/>
        <v>SI</v>
      </c>
      <c r="L448" s="29" t="s">
        <v>296</v>
      </c>
      <c r="M448" s="30" t="s">
        <v>297</v>
      </c>
      <c r="N448" s="32"/>
      <c r="O448" s="32" t="str">
        <f>VLOOKUP($G448,'Hoja 10'!$F$4:$AA1057, 19,0)</f>
        <v>Monza</v>
      </c>
      <c r="P448" s="32" t="str">
        <f>VLOOKUP($G448,'Hoja 10'!$F$4:$AA1057, 20,0)</f>
        <v>Ref:0021</v>
      </c>
      <c r="Q448" s="33" t="str">
        <f>VLOOKUP($G448,'Hoja 10'!$F$4:$AA1057, 21,0)</f>
        <v>https://casadelasbatas.com/batas-industria/52174-93549-bata-guardapolvo-industrial-confort-fit-monza.html?_gl=1*6awugg*_up*MQ..*_ga*MzQzNDk3ODY0LjE3NTk3ODkwNzc.*_ga_HQFNFVNCSB*czE3NTk3ODkwNzYkbzEkZzEkdDE3NTk3ODkxMDgkajI4JGwwJGgw#/27-color-azul_marino/910-talla-3</v>
      </c>
      <c r="R448" s="30" t="s">
        <v>3085</v>
      </c>
      <c r="S448" s="44" t="b">
        <v>1</v>
      </c>
      <c r="T448" s="39" t="str">
        <f>IFERROR(__xludf.DUMMYFUNCTION(" IF
( VLOOKUP($G448,IMPORTRANGE(""https://docs.google.com/spreadsheets/d/1Gpl6jkTg7sL4VDNimUm3S9Vi1i95esohXCF3wuKOE8c"", ""'CONSOLIDADO'!G5:AB""), 10, 0) &lt;&gt; 0, 
IFERROR(VLOOKUP($G448,IMPORTRANGE(""https://docs.google.com/spreadsheets/d/1Gpl6jkTg7sL4VDNimU"&amp;"m3S9Vi1i95esohXCF3wuKOE8c"", ""'CONSOLIDADO'!G5:AB""), 17, 0), ""-""),
""""
)"),"Monza")</f>
        <v>Monza</v>
      </c>
      <c r="U448" s="39" t="str">
        <f>IFERROR(__xludf.DUMMYFUNCTION(" IF
( VLOOKUP($G448,IMPORTRANGE(""https://docs.google.com/spreadsheets/d/1Gpl6jkTg7sL4VDNimUm3S9Vi1i95esohXCF3wuKOE8c"", ""'CONSOLIDADO'!G5:AB""), 10, 0) &lt;&gt; 0, 
IFERROR(VLOOKUP($G448,IMPORTRANGE(""https://docs.google.com/spreadsheets/d/1Gpl6jkTg7sL4VDNimU"&amp;"m3S9Vi1i95esohXCF3wuKOE8c"", ""'CONSOLIDADO'!G5:AB""), 18, 0), ""-""),
""""
)"),"Ref:0021")</f>
        <v>Ref:0021</v>
      </c>
      <c r="V448" s="39" t="str">
        <f>IFERROR(__xludf.DUMMYFUNCTION(" IF
( VLOOKUP($G448,IMPORTRANGE(""https://docs.google.com/spreadsheets/d/1Gpl6jkTg7sL4VDNimUm3S9Vi1i95esohXCF3wuKOE8c"", ""'CONSOLIDADO'!G5:AB""), 10, 0) &lt;&gt; 0, 
IFERROR(VLOOKUP($G448,IMPORTRANGE(""https://docs.google.com/spreadsheets/d/1Gpl6jkTg7sL4VDNimU"&amp;"m3S9Vi1i95esohXCF3wuKOE8c"", ""'CONSOLIDADO'!G5:AB""), 17, 0), ""-""),
""""
)"),"Monza")</f>
        <v>Monza</v>
      </c>
      <c r="W448" s="39" t="str">
        <f>IFERROR(__xludf.DUMMYFUNCTION(" IF
( VLOOKUP($G448,IMPORTRANGE(""https://docs.google.com/spreadsheets/d/1Gpl6jkTg7sL4VDNimUm3S9Vi1i95esohXCF3wuKOE8c"", ""'CONSOLIDADO'!G5:AB""), 10, 0) &lt;&gt; 0, 
IFERROR(VLOOKUP($G448,IMPORTRANGE(""https://docs.google.com/spreadsheets/d/1Gpl6jkTg7sL4VDNimU"&amp;"m3S9Vi1i95esohXCF3wuKOE8c"", ""'CONSOLIDADO'!G5:AB""), 18, 0), ""-""),
""""
)"),"Ref:0021")</f>
        <v>Ref:0021</v>
      </c>
      <c r="X448" s="39" t="b">
        <f t="shared" si="47"/>
        <v>1</v>
      </c>
      <c r="Y448" s="120" t="str">
        <f>IFERROR(__xludf.DUMMYFUNCTION(" IF
( VLOOKUP($G448,IMPORTRANGE(""https://docs.google.com/spreadsheets/d/1Gpl6jkTg7sL4VDNimUm3S9Vi1i95esohXCF3wuKOE8c"", ""'CONSOLIDADO'!G5:AB""), 10, 0) &lt;&gt; 0, 
IFERROR(VLOOKUP($G448,IMPORTRANGE(""https://docs.google.com/spreadsheets/d/1Gpl6jkTg7sL4VDNimU"&amp;"m3S9Vi1i95esohXCF3wuKOE8c"", ""'CONSOLIDADO'!G5:AB""), 19, 0), ""-""),
""""
)"),"https://casadelasbatas.com/batas-industria/52174-93549-bata-guardapolvo-industrial-confort-fit-monza.html?_gl=1*6awugg*_up*MQ..*_ga*MzQzNDk3ODY0LjE3NTk3ODkwNzc.*_ga_HQFNFVNCSB*czE3NTk3ODkwNzYkbzEkZzEkdDE3NTk3ODkxMDgkajI4JGwwJGgw#/27-color-azul_marino/910-"&amp;"talla-2")</f>
        <v>https://casadelasbatas.com/batas-industria/52174-93549-bata-guardapolvo-industrial-confort-fit-monza.html?_gl=1*6awugg*_up*MQ..*_ga*MzQzNDk3ODY0LjE3NTk3ODkwNzc.*_ga_HQFNFVNCSB*czE3NTk3ODkwNzYkbzEkZzEkdDE3NTk3ODkxMDgkajI4JGwwJGgw#/27-color-azul_marino/910-talla-2</v>
      </c>
      <c r="Z448" s="37" t="str">
        <f>IFERROR(__xludf.DUMMYFUNCTION("IFERROR(VLOOKUP(G448,IMPORTRANGE(""https://docs.google.com/spreadsheets/d/12RxCea4e5ggM7QGn1XE3FbLQa_-QbCNdBi90OdPjRqg"", ""'Plan de Compras'!D4:Q""), 12, 0), ""NO ESTÁ EN REQ"")"),"Técnica")</f>
        <v>Técnica</v>
      </c>
      <c r="AA448" s="37" t="str">
        <f>IFERROR(__xludf.DUMMYFUNCTION("IFERROR(VLOOKUP(G448,IMPORTRANGE(""https://docs.google.com/spreadsheets/d/12RxCea4e5ggM7QGn1XE3FbLQa_-QbCNdBi90OdPjRqg"", ""'Plan de Compras'!D4:Q""), 13, 0), """")"),"INTERNACIONAL")</f>
        <v>INTERNACIONAL</v>
      </c>
      <c r="AB448" s="32" t="str">
        <f>IFERROR(__xludf.DUMMYFUNCTION("IFERROR(VLOOKUP(G448,IMPORTRANGE(""https://docs.google.com/spreadsheets/d/12RxCea4e5ggM7QGn1XE3FbLQa_-QbCNdBi90OdPjRqg"", ""'Plan de Compras'!D4:Q""), 14, 0), """")"),"GIANFRANCO")</f>
        <v>GIANFRANCO</v>
      </c>
      <c r="AC448" s="72" t="str">
        <f>IFERROR(__xludf.DUMMYFUNCTION("IFERROR(VLOOKUP(G448,IMPORTRANGE(""https://docs.google.com/spreadsheets/d/12RxCea4e5ggM7QGn1XE3FbLQa_-QbCNdBi90OdPjRqg"", ""'Plan de Compras'!D4:Q""), 4, 0), """")"),"GUARDAPOLVO")</f>
        <v>GUARDAPOLVO</v>
      </c>
      <c r="AD448" s="37" t="str">
        <f>IFERROR(__xludf.DUMMYFUNCTION("IFERROR(IF(OR(C448=TRUE,C448=""""),VLOOKUP(G448,IMPORTRANGE(""https://docs.google.com/spreadsheets/d/1z9A1Wq-kKrhRNG5RS2a2fKpY1wIhSVz2ZNmP2mOl588/edit?usp=sharing"",""REQ VF!E4:H""),4,0),""NO APLICA""),""GENERAR REQ"")"),"GENERAR REQ")</f>
        <v>GENERAR REQ</v>
      </c>
      <c r="AE448" s="32" t="str">
        <f>IFERROR(__xludf.DUMMYFUNCTION("IFERROR(QUERY(IMPORTRANGE(""https://docs.google.com/spreadsheets/d/1z9A1Wq-kKrhRNG5RS2a2fKpY1wIhSVz2ZNmP2mOl588/edit?usp=sharing"",""REQ VF!E4:Q""),""SELECT Col10, Col11, Col12 WHERE Col1 = '""&amp;G448&amp;""'"",0),""NO APLICA"")"),"NO APLICA")</f>
        <v>NO APLICA</v>
      </c>
      <c r="AF448" s="32"/>
      <c r="AG448" s="32"/>
      <c r="AH448" s="13"/>
      <c r="AI448" s="13"/>
    </row>
    <row r="449">
      <c r="A449" s="121">
        <v>279.0</v>
      </c>
      <c r="B449" s="43" t="b">
        <v>1</v>
      </c>
      <c r="C449" s="26" t="b">
        <v>1</v>
      </c>
      <c r="D449" s="26" t="s">
        <v>35</v>
      </c>
      <c r="E449" s="26" t="s">
        <v>1510</v>
      </c>
      <c r="F449" s="59" t="s">
        <v>3082</v>
      </c>
      <c r="G449" s="39" t="s">
        <v>3086</v>
      </c>
      <c r="H449" s="82" t="s">
        <v>3084</v>
      </c>
      <c r="I449" s="43">
        <f>SUMIFS('Hoja 10'!$O:$O,'Hoja 10'!$F:$F,$G449)</f>
        <v>80</v>
      </c>
      <c r="J449" s="26">
        <f>IFERROR(__xludf.DUMMYFUNCTION("VLOOKUP(G449,IMPORTRANGE(""https://docs.google.com/spreadsheets/d/12RxCea4e5ggM7QGn1XE3FbLQa_-QbCNdBi90OdPjRqg/edit?gid=1692403370#gid=1692403370"", ""'Plan de Compras'!D4:2432""), 8,0)"),80.0)</f>
        <v>80</v>
      </c>
      <c r="K449" s="26" t="str">
        <f t="shared" si="40"/>
        <v>SI</v>
      </c>
      <c r="L449" s="29" t="s">
        <v>39</v>
      </c>
      <c r="M449" s="30" t="s">
        <v>40</v>
      </c>
      <c r="N449" s="32"/>
      <c r="O449" s="32" t="str">
        <f>VLOOKUP($G449,'Hoja 10'!$F$4:$AA1057, 19,0)</f>
        <v>Monza</v>
      </c>
      <c r="P449" s="32" t="str">
        <f>VLOOKUP($G449,'Hoja 10'!$F$4:$AA1057, 20,0)</f>
        <v>Ref:0021</v>
      </c>
      <c r="Q449" s="33" t="str">
        <f>VLOOKUP($G449,'Hoja 10'!$F$4:$AA1057, 21,0)</f>
        <v>https://casadelasbatas.com/batas-industria/52174-93549-bata-guardapolvo-industrial-confort-fit-monza.html?_gl=1*6awugg*_up*MQ..*_ga*MzQzNDk3ODY0LjE3NTk3ODkwNzc.*_ga_HQFNFVNCSB*czE3NTk3ODkwNzYkbzEkZzEkdDE3NTk3ODkxMDgkajI4JGwwJGgw#/27-color-azul_marino/910-talla-0</v>
      </c>
      <c r="R449" s="30" t="s">
        <v>3085</v>
      </c>
      <c r="S449" s="44" t="b">
        <v>1</v>
      </c>
      <c r="T449" s="39" t="str">
        <f>IFERROR(__xludf.DUMMYFUNCTION(" IF
( VLOOKUP($G449,IMPORTRANGE(""https://docs.google.com/spreadsheets/d/1Gpl6jkTg7sL4VDNimUm3S9Vi1i95esohXCF3wuKOE8c"", ""'CONSOLIDADO'!G5:AB""), 10, 0) &lt;&gt; 0, 
IFERROR(VLOOKUP($G449,IMPORTRANGE(""https://docs.google.com/spreadsheets/d/1Gpl6jkTg7sL4VDNimU"&amp;"m3S9Vi1i95esohXCF3wuKOE8c"", ""'CONSOLIDADO'!G5:AB""), 17, 0), ""-""),
""""
)"),"NACIONAL")</f>
        <v>NACIONAL</v>
      </c>
      <c r="U449" s="39" t="str">
        <f>IFERROR(__xludf.DUMMYFUNCTION(" IF
( VLOOKUP($G449,IMPORTRANGE(""https://docs.google.com/spreadsheets/d/1Gpl6jkTg7sL4VDNimUm3S9Vi1i95esohXCF3wuKOE8c"", ""'CONSOLIDADO'!G5:AB""), 10, 0) &lt;&gt; 0, 
IFERROR(VLOOKUP($G449,IMPORTRANGE(""https://docs.google.com/spreadsheets/d/1Gpl6jkTg7sL4VDNimU"&amp;"m3S9Vi1i95esohXCF3wuKOE8c"", ""'CONSOLIDADO'!G5:AB""), 18, 0), ""-""),
""""
)"),"GUARDAPOLVO 100% ALGODON")</f>
        <v>GUARDAPOLVO 100% ALGODON</v>
      </c>
      <c r="V449" s="39" t="str">
        <f>IFERROR(__xludf.DUMMYFUNCTION(" IF
( VLOOKUP($G449,IMPORTRANGE(""https://docs.google.com/spreadsheets/d/1Gpl6jkTg7sL4VDNimUm3S9Vi1i95esohXCF3wuKOE8c"", ""'CONSOLIDADO'!G5:AB""), 10, 0) &lt;&gt; 0, 
IFERROR(VLOOKUP($G449,IMPORTRANGE(""https://docs.google.com/spreadsheets/d/1Gpl6jkTg7sL4VDNimU"&amp;"m3S9Vi1i95esohXCF3wuKOE8c"", ""'CONSOLIDADO'!G5:AB""), 17, 0), ""-""),
""""
)"),"NACIONAL")</f>
        <v>NACIONAL</v>
      </c>
      <c r="W449" s="39" t="str">
        <f>IFERROR(__xludf.DUMMYFUNCTION(" IF
( VLOOKUP($G449,IMPORTRANGE(""https://docs.google.com/spreadsheets/d/1Gpl6jkTg7sL4VDNimUm3S9Vi1i95esohXCF3wuKOE8c"", ""'CONSOLIDADO'!G5:AB""), 10, 0) &lt;&gt; 0, 
IFERROR(VLOOKUP($G449,IMPORTRANGE(""https://docs.google.com/spreadsheets/d/1Gpl6jkTg7sL4VDNimU"&amp;"m3S9Vi1i95esohXCF3wuKOE8c"", ""'CONSOLIDADO'!G5:AB""), 18, 0), ""-""),
""""
)"),"GUARDAPOLVO 100% ALGODON")</f>
        <v>GUARDAPOLVO 100% ALGODON</v>
      </c>
      <c r="X449" s="39" t="b">
        <f t="shared" si="47"/>
        <v>1</v>
      </c>
      <c r="Y449" s="110" t="str">
        <f>IFERROR(__xludf.DUMMYFUNCTION(" IF
( VLOOKUP($G449,IMPORTRANGE(""https://docs.google.com/spreadsheets/d/1Gpl6jkTg7sL4VDNimUm3S9Vi1i95esohXCF3wuKOE8c"", ""'CONSOLIDADO'!G5:AB""), 10, 0) &lt;&gt; 0, 
IFERROR(VLOOKUP($G449,IMPORTRANGE(""https://docs.google.com/spreadsheets/d/1Gpl6jkTg7sL4VDNimU"&amp;"m3S9Vi1i95esohXCF3wuKOE8c"", ""'CONSOLIDADO'!G5:AB""), 19, 0), ""-""),
""""
)"),"")</f>
        <v/>
      </c>
      <c r="Z449" s="37" t="str">
        <f>IFERROR(__xludf.DUMMYFUNCTION("IFERROR(VLOOKUP(G449,IMPORTRANGE(""https://docs.google.com/spreadsheets/d/12RxCea4e5ggM7QGn1XE3FbLQa_-QbCNdBi90OdPjRqg"", ""'Plan de Compras'!D4:Q""), 12, 0), ""NO ESTÁ EN REQ"")"),"Técnica")</f>
        <v>Técnica</v>
      </c>
      <c r="AA449" s="37" t="str">
        <f>IFERROR(__xludf.DUMMYFUNCTION("IFERROR(VLOOKUP(G449,IMPORTRANGE(""https://docs.google.com/spreadsheets/d/12RxCea4e5ggM7QGn1XE3FbLQa_-QbCNdBi90OdPjRqg"", ""'Plan de Compras'!D4:Q""), 13, 0), """")"),"INTERNACIONAL")</f>
        <v>INTERNACIONAL</v>
      </c>
      <c r="AB449" s="32" t="str">
        <f>IFERROR(__xludf.DUMMYFUNCTION("IFERROR(VLOOKUP(G449,IMPORTRANGE(""https://docs.google.com/spreadsheets/d/12RxCea4e5ggM7QGn1XE3FbLQa_-QbCNdBi90OdPjRqg"", ""'Plan de Compras'!D4:Q""), 14, 0), """")"),"GIANFRANCO")</f>
        <v>GIANFRANCO</v>
      </c>
      <c r="AC449" s="72" t="str">
        <f>IFERROR(__xludf.DUMMYFUNCTION("IFERROR(VLOOKUP(G449,IMPORTRANGE(""https://docs.google.com/spreadsheets/d/12RxCea4e5ggM7QGn1XE3FbLQa_-QbCNdBi90OdPjRqg"", ""'Plan de Compras'!D4:Q""), 4, 0), """")"),"GUARDAPOLVO")</f>
        <v>GUARDAPOLVO</v>
      </c>
      <c r="AD449" s="37" t="str">
        <f>IFERROR(__xludf.DUMMYFUNCTION("IFERROR(IF(OR(C449=TRUE,C449=""""),VLOOKUP(G449,IMPORTRANGE(""https://docs.google.com/spreadsheets/d/1z9A1Wq-kKrhRNG5RS2a2fKpY1wIhSVz2ZNmP2mOl588/edit?usp=sharing"",""REQ VF!E4:H""),4,0),""NO APLICA""),""GENERAR REQ"")"),"GENERAR REQ")</f>
        <v>GENERAR REQ</v>
      </c>
      <c r="AE449" s="32" t="str">
        <f>IFERROR(__xludf.DUMMYFUNCTION("IFERROR(QUERY(IMPORTRANGE(""https://docs.google.com/spreadsheets/d/1z9A1Wq-kKrhRNG5RS2a2fKpY1wIhSVz2ZNmP2mOl588/edit?usp=sharing"",""REQ VF!E4:Q""),""SELECT Col10, Col11, Col12 WHERE Col1 = '""&amp;G449&amp;""'"",0),""NO APLICA"")"),"NO APLICA")</f>
        <v>NO APLICA</v>
      </c>
      <c r="AF449" s="32"/>
      <c r="AG449" s="32"/>
      <c r="AH449" s="13"/>
      <c r="AI449" s="13"/>
    </row>
    <row r="450">
      <c r="A450" s="117">
        <v>280.0</v>
      </c>
      <c r="B450" s="43" t="b">
        <v>1</v>
      </c>
      <c r="C450" s="26" t="b">
        <v>0</v>
      </c>
      <c r="D450" s="26" t="s">
        <v>35</v>
      </c>
      <c r="E450" s="26" t="s">
        <v>1510</v>
      </c>
      <c r="F450" s="39" t="s">
        <v>3087</v>
      </c>
      <c r="G450" s="37" t="s">
        <v>3087</v>
      </c>
      <c r="H450" s="82" t="s">
        <v>3088</v>
      </c>
      <c r="I450" s="43">
        <f>SUMIFS('Hoja 10'!$O:$O,'Hoja 10'!$F:$F,$G450)</f>
        <v>20</v>
      </c>
      <c r="J450" s="26">
        <f>IFERROR(__xludf.DUMMYFUNCTION("VLOOKUP(G450,IMPORTRANGE(""https://docs.google.com/spreadsheets/d/12RxCea4e5ggM7QGn1XE3FbLQa_-QbCNdBi90OdPjRqg/edit?gid=1692403370#gid=1692403370"", ""'Plan de Compras'!D4:2432""), 8,0)"),20.0)</f>
        <v>20</v>
      </c>
      <c r="K450" s="26" t="str">
        <f t="shared" si="40"/>
        <v>-</v>
      </c>
      <c r="L450" s="29" t="s">
        <v>77</v>
      </c>
      <c r="M450" s="30" t="s">
        <v>78</v>
      </c>
      <c r="N450" s="32"/>
      <c r="O450" s="32" t="str">
        <f>VLOOKUP($G450,'Hoja 10'!$F$4:$AA1057, 19,0)</f>
        <v>Aroca</v>
      </c>
      <c r="P450" s="32" t="str">
        <f>VLOOKUP($G450,'Hoja 10'!$F$4:$AA1057, 20,0)</f>
        <v>CCF-BL-DR-01 /  PTV-AZ-PG-01</v>
      </c>
      <c r="Q450" s="33" t="str">
        <f>VLOOKUP($G450,'Hoja 10'!$F$4:$AA1057, 21,0)</f>
        <v>https://www.plazavea.com.pe/guante-virutex-antibacterial-cobre-m-2un/p?srsltid=AfmBOoosyU7rtcl4hzZ3phsN13dlXKm00_XVzCGdSv9brL1QmLhqdbN-</v>
      </c>
      <c r="R450" s="30" t="s">
        <v>3089</v>
      </c>
      <c r="S450" s="34" t="b">
        <v>1</v>
      </c>
      <c r="T450" s="39" t="str">
        <f>IFERROR(__xludf.DUMMYFUNCTION(" IF
( VLOOKUP($G450,IMPORTRANGE(""https://docs.google.com/spreadsheets/d/1Gpl6jkTg7sL4VDNimUm3S9Vi1i95esohXCF3wuKOE8c"", ""'CONSOLIDADO'!G5:AB""), 10, 0) &lt;&gt; 0, 
IFERROR(VLOOKUP($G450,IMPORTRANGE(""https://docs.google.com/spreadsheets/d/1Gpl6jkTg7sL4VDNimU"&amp;"m3S9Vi1i95esohXCF3wuKOE8c"", ""'CONSOLIDADO'!G5:AB""), 17, 0), ""-""),
""""
)"),"AROCA + NACIONAL")</f>
        <v>AROCA + NACIONAL</v>
      </c>
      <c r="U450" s="39" t="str">
        <f>IFERROR(__xludf.DUMMYFUNCTION(" IF
( VLOOKUP($G450,IMPORTRANGE(""https://docs.google.com/spreadsheets/d/1Gpl6jkTg7sL4VDNimUm3S9Vi1i95esohXCF3wuKOE8c"", ""'CONSOLIDADO'!G5:AB""), 10, 0) &lt;&gt; 0, 
IFERROR(VLOOKUP($G450,IMPORTRANGE(""https://docs.google.com/spreadsheets/d/1Gpl6jkTg7sL4VDNimU"&amp;"m3S9Vi1i95esohXCF3wuKOE8c"", ""'CONSOLIDADO'!G5:AB""), 18, 0), ""-""),
""""
)"),"CCF-BL-DR-01 /  PTV-AZ-PG-01 /  A MEDIDA")</f>
        <v>CCF-BL-DR-01 /  PTV-AZ-PG-01 /  A MEDIDA</v>
      </c>
      <c r="V450" s="39" t="str">
        <f>IFERROR(__xludf.DUMMYFUNCTION(" IF
( VLOOKUP($G450,IMPORTRANGE(""https://docs.google.com/spreadsheets/d/1Gpl6jkTg7sL4VDNimUm3S9Vi1i95esohXCF3wuKOE8c"", ""'CONSOLIDADO'!G5:AB""), 10, 0) &lt;&gt; 0, 
IFERROR(VLOOKUP($G450,IMPORTRANGE(""https://docs.google.com/spreadsheets/d/1Gpl6jkTg7sL4VDNimU"&amp;"m3S9Vi1i95esohXCF3wuKOE8c"", ""'CONSOLIDADO'!G5:AB""), 17, 0), ""-""),
""""
)"),"AROCA + NACIONAL")</f>
        <v>AROCA + NACIONAL</v>
      </c>
      <c r="W450" s="39" t="str">
        <f>IFERROR(__xludf.DUMMYFUNCTION(" IF
( VLOOKUP($G450,IMPORTRANGE(""https://docs.google.com/spreadsheets/d/1Gpl6jkTg7sL4VDNimUm3S9Vi1i95esohXCF3wuKOE8c"", ""'CONSOLIDADO'!G5:AB""), 10, 0) &lt;&gt; 0, 
IFERROR(VLOOKUP($G450,IMPORTRANGE(""https://docs.google.com/spreadsheets/d/1Gpl6jkTg7sL4VDNimU"&amp;"m3S9Vi1i95esohXCF3wuKOE8c"", ""'CONSOLIDADO'!G5:AB""), 18, 0), ""-""),
""""
)"),"CCF-BL-DR-01 /  PTV-AZ-PG-01 /  A MEDIDA")</f>
        <v>CCF-BL-DR-01 /  PTV-AZ-PG-01 /  A MEDIDA</v>
      </c>
      <c r="X450" s="39" t="b">
        <f t="shared" si="47"/>
        <v>1</v>
      </c>
      <c r="Y450" s="120" t="str">
        <f>IFERROR(__xludf.DUMMYFUNCTION(" IF
( VLOOKUP($G450,IMPORTRANGE(""https://docs.google.com/spreadsheets/d/1Gpl6jkTg7sL4VDNimUm3S9Vi1i95esohXCF3wuKOE8c"", ""'CONSOLIDADO'!G5:AB""), 10, 0) &lt;&gt; 0, 
IFERROR(VLOOKUP($G450,IMPORTRANGE(""https://docs.google.com/spreadsheets/d/1Gpl6jkTg7sL4VDNimU"&amp;"m3S9Vi1i95esohXCF3wuKOE8c"", ""'CONSOLIDADO'!G5:AB""), 19, 0), ""-""),
""""
)"),"https://docs.google.com/spreadsheets/d/1up8o9R7f2F0qYC3drcV0SgehEX4MTDuJPdRcZfBCrr0/edit?gid=0#gid=0")</f>
        <v>https://docs.google.com/spreadsheets/d/1up8o9R7f2F0qYC3drcV0SgehEX4MTDuJPdRcZfBCrr0/edit?gid=0#gid=0</v>
      </c>
      <c r="Z450" s="37" t="str">
        <f>IFERROR(__xludf.DUMMYFUNCTION("IFERROR(VLOOKUP(G450,IMPORTRANGE(""https://docs.google.com/spreadsheets/d/12RxCea4e5ggM7QGn1XE3FbLQa_-QbCNdBi90OdPjRqg"", ""'Plan de Compras'!D4:Q""), 12, 0), ""NO ESTÁ EN REQ"")"),"Simple")</f>
        <v>Simple</v>
      </c>
      <c r="AA450" s="37" t="str">
        <f>IFERROR(__xludf.DUMMYFUNCTION("IFERROR(VLOOKUP(G450,IMPORTRANGE(""https://docs.google.com/spreadsheets/d/12RxCea4e5ggM7QGn1XE3FbLQa_-QbCNdBi90OdPjRqg"", ""'Plan de Compras'!D4:Q""), 13, 0), """")"),"NACIONAL")</f>
        <v>NACIONAL</v>
      </c>
      <c r="AB450" s="32" t="str">
        <f>IFERROR(__xludf.DUMMYFUNCTION("IFERROR(VLOOKUP(G450,IMPORTRANGE(""https://docs.google.com/spreadsheets/d/12RxCea4e5ggM7QGn1XE3FbLQa_-QbCNdBi90OdPjRqg"", ""'Plan de Compras'!D4:Q""), 14, 0), """")"),"JESSICA")</f>
        <v>JESSICA</v>
      </c>
      <c r="AC450" s="72" t="str">
        <f>IFERROR(__xludf.DUMMYFUNCTION("IFERROR(VLOOKUP(G450,IMPORTRANGE(""https://docs.google.com/spreadsheets/d/12RxCea4e5ggM7QGn1XE3FbLQa_-QbCNdBi90OdPjRqg"", ""'Plan de Compras'!D4:Q""), 4, 0), """")"),"INDUMENTARIA")</f>
        <v>INDUMENTARIA</v>
      </c>
      <c r="AD450" s="37" t="str">
        <f>IFERROR(__xludf.DUMMYFUNCTION("IFERROR(IF(OR(C450=TRUE,C450=""""),VLOOKUP(G450,IMPORTRANGE(""https://docs.google.com/spreadsheets/d/1z9A1Wq-kKrhRNG5RS2a2fKpY1wIhSVz2ZNmP2mOl588/edit?usp=sharing"",""REQ VF!E4:H""),4,0),""NO APLICA""),""GENERAR REQ"")"),"NO APLICA")</f>
        <v>NO APLICA</v>
      </c>
      <c r="AE450" s="32" t="str">
        <f>IFERROR(__xludf.DUMMYFUNCTION("IFERROR(QUERY(IMPORTRANGE(""https://docs.google.com/spreadsheets/d/1z9A1Wq-kKrhRNG5RS2a2fKpY1wIhSVz2ZNmP2mOl588/edit?usp=sharing"",""REQ VF!E4:Q""),""SELECT Col10, Col11, Col12 WHERE Col1 = '""&amp;G450&amp;""'"",0),""NO APLICA"")"),"NO APLICA")</f>
        <v>NO APLICA</v>
      </c>
      <c r="AF450" s="32"/>
      <c r="AG450" s="32"/>
      <c r="AH450" s="13"/>
      <c r="AI450" s="13"/>
    </row>
    <row r="451">
      <c r="A451" s="43"/>
      <c r="B451" s="43"/>
      <c r="C451" s="26" t="b">
        <v>1</v>
      </c>
      <c r="D451" s="26" t="s">
        <v>95</v>
      </c>
      <c r="E451" s="26" t="s">
        <v>1510</v>
      </c>
      <c r="F451" s="59" t="s">
        <v>3087</v>
      </c>
      <c r="G451" s="39" t="s">
        <v>3090</v>
      </c>
      <c r="H451" s="66" t="s">
        <v>3091</v>
      </c>
      <c r="I451" s="43">
        <v>20.0</v>
      </c>
      <c r="J451" s="26">
        <f>IFERROR(__xludf.DUMMYFUNCTION("VLOOKUP(G451,IMPORTRANGE(""https://docs.google.com/spreadsheets/d/12RxCea4e5ggM7QGn1XE3FbLQa_-QbCNdBi90OdPjRqg/edit?gid=1692403370#gid=1692403370"", ""'Plan de Compras'!D4:2432""), 8,0)"),20.0)</f>
        <v>20</v>
      </c>
      <c r="K451" s="26" t="str">
        <f t="shared" si="40"/>
        <v>SI</v>
      </c>
      <c r="L451" s="26"/>
      <c r="M451" s="32"/>
      <c r="N451" s="32"/>
      <c r="O451" s="32" t="s">
        <v>3092</v>
      </c>
      <c r="P451" s="32"/>
      <c r="Q451" s="33" t="s">
        <v>3093</v>
      </c>
      <c r="R451" s="32"/>
      <c r="S451" s="44" t="b">
        <v>1</v>
      </c>
      <c r="T451" s="39" t="s">
        <v>3094</v>
      </c>
      <c r="U451" s="39" t="s">
        <v>3095</v>
      </c>
      <c r="V451" s="39"/>
      <c r="W451" s="39"/>
      <c r="X451" s="39"/>
      <c r="Y451" s="126" t="s">
        <v>3096</v>
      </c>
      <c r="Z451" s="37" t="str">
        <f>IFERROR(__xludf.DUMMYFUNCTION("IFERROR(VLOOKUP(G451,IMPORTRANGE(""https://docs.google.com/spreadsheets/d/12RxCea4e5ggM7QGn1XE3FbLQa_-QbCNdBi90OdPjRqg"", ""'Plan de Compras'!D4:Q""), 12, 0), ""NO ESTÁ EN REQ"")"),"Simple")</f>
        <v>Simple</v>
      </c>
      <c r="AA451" s="37" t="str">
        <f>IFERROR(__xludf.DUMMYFUNCTION("IFERROR(VLOOKUP(G451,IMPORTRANGE(""https://docs.google.com/spreadsheets/d/12RxCea4e5ggM7QGn1XE3FbLQa_-QbCNdBi90OdPjRqg"", ""'Plan de Compras'!D4:Q""), 13, 0), """")"),"NACIONAL")</f>
        <v>NACIONAL</v>
      </c>
      <c r="AB451" s="32" t="str">
        <f>IFERROR(__xludf.DUMMYFUNCTION("IFERROR(VLOOKUP(G451,IMPORTRANGE(""https://docs.google.com/spreadsheets/d/12RxCea4e5ggM7QGn1XE3FbLQa_-QbCNdBi90OdPjRqg"", ""'Plan de Compras'!D4:Q""), 14, 0), """")"),"JESSICA")</f>
        <v>JESSICA</v>
      </c>
      <c r="AC451" s="72" t="str">
        <f>IFERROR(__xludf.DUMMYFUNCTION("IFERROR(VLOOKUP(G451,IMPORTRANGE(""https://docs.google.com/spreadsheets/d/12RxCea4e5ggM7QGn1XE3FbLQa_-QbCNdBi90OdPjRqg"", ""'Plan de Compras'!D4:Q""), 4, 0), """")"),"GORRO TIPO CHEF (1 UND)")</f>
        <v>GORRO TIPO CHEF (1 UND)</v>
      </c>
      <c r="AD451" s="37" t="str">
        <f>IFERROR(__xludf.DUMMYFUNCTION("IFERROR(IF(OR(C451=TRUE,C451=""""),VLOOKUP(G451,IMPORTRANGE(""https://docs.google.com/spreadsheets/d/1z9A1Wq-kKrhRNG5RS2a2fKpY1wIhSVz2ZNmP2mOl588/edit?usp=sharing"",""REQ VF!E4:H""),4,0),""NO APLICA""),""GENERAR REQ"")"),"GENERAR REQ")</f>
        <v>GENERAR REQ</v>
      </c>
      <c r="AE451" s="32" t="str">
        <f>IFERROR(__xludf.DUMMYFUNCTION("IFERROR(QUERY(IMPORTRANGE(""https://docs.google.com/spreadsheets/d/1z9A1Wq-kKrhRNG5RS2a2fKpY1wIhSVz2ZNmP2mOl588/edit?usp=sharing"",""REQ VF!E4:Q""),""SELECT Col10, Col11, Col12 WHERE Col1 = '""&amp;G451&amp;""'"",0),""NO APLICA"")"),"NO APLICA")</f>
        <v>NO APLICA</v>
      </c>
      <c r="AF451" s="32"/>
      <c r="AG451" s="32"/>
      <c r="AH451" s="13"/>
      <c r="AI451" s="13"/>
    </row>
    <row r="452">
      <c r="A452" s="43"/>
      <c r="B452" s="43"/>
      <c r="C452" s="26" t="b">
        <v>1</v>
      </c>
      <c r="D452" s="26" t="s">
        <v>95</v>
      </c>
      <c r="E452" s="26" t="s">
        <v>1510</v>
      </c>
      <c r="F452" s="59" t="s">
        <v>3087</v>
      </c>
      <c r="G452" s="39" t="s">
        <v>3097</v>
      </c>
      <c r="H452" s="66" t="s">
        <v>3098</v>
      </c>
      <c r="I452" s="43">
        <v>20.0</v>
      </c>
      <c r="J452" s="26">
        <f>IFERROR(__xludf.DUMMYFUNCTION("VLOOKUP(G452,IMPORTRANGE(""https://docs.google.com/spreadsheets/d/12RxCea4e5ggM7QGn1XE3FbLQa_-QbCNdBi90OdPjRqg/edit?gid=1692403370#gid=1692403370"", ""'Plan de Compras'!D4:2432""), 8,0)"),20.0)</f>
        <v>20</v>
      </c>
      <c r="K452" s="26" t="str">
        <f t="shared" si="40"/>
        <v>SI</v>
      </c>
      <c r="L452" s="26"/>
      <c r="M452" s="32"/>
      <c r="N452" s="32"/>
      <c r="O452" s="32" t="s">
        <v>3092</v>
      </c>
      <c r="P452" s="32"/>
      <c r="Q452" s="33" t="s">
        <v>3099</v>
      </c>
      <c r="R452" s="32"/>
      <c r="S452" s="44" t="b">
        <v>1</v>
      </c>
      <c r="T452" s="39" t="s">
        <v>3094</v>
      </c>
      <c r="U452" s="39" t="s">
        <v>3100</v>
      </c>
      <c r="V452" s="39"/>
      <c r="W452" s="39"/>
      <c r="X452" s="39"/>
      <c r="Y452" s="126" t="s">
        <v>3099</v>
      </c>
      <c r="Z452" s="37" t="str">
        <f>IFERROR(__xludf.DUMMYFUNCTION("IFERROR(VLOOKUP(G452,IMPORTRANGE(""https://docs.google.com/spreadsheets/d/12RxCea4e5ggM7QGn1XE3FbLQa_-QbCNdBi90OdPjRqg"", ""'Plan de Compras'!D4:Q""), 12, 0), ""NO ESTÁ EN REQ"")"),"Simple")</f>
        <v>Simple</v>
      </c>
      <c r="AA452" s="37" t="str">
        <f>IFERROR(__xludf.DUMMYFUNCTION("IFERROR(VLOOKUP(G452,IMPORTRANGE(""https://docs.google.com/spreadsheets/d/12RxCea4e5ggM7QGn1XE3FbLQa_-QbCNdBi90OdPjRqg"", ""'Plan de Compras'!D4:Q""), 13, 0), """")"),"NACIONAL")</f>
        <v>NACIONAL</v>
      </c>
      <c r="AB452" s="32" t="str">
        <f>IFERROR(__xludf.DUMMYFUNCTION("IFERROR(VLOOKUP(G452,IMPORTRANGE(""https://docs.google.com/spreadsheets/d/12RxCea4e5ggM7QGn1XE3FbLQa_-QbCNdBi90OdPjRqg"", ""'Plan de Compras'!D4:Q""), 14, 0), """")"),"JESSICA")</f>
        <v>JESSICA</v>
      </c>
      <c r="AC452" s="72" t="str">
        <f>IFERROR(__xludf.DUMMYFUNCTION("IFERROR(VLOOKUP(G452,IMPORTRANGE(""https://docs.google.com/spreadsheets/d/12RxCea4e5ggM7QGn1XE3FbLQa_-QbCNdBi90OdPjRqg"", ""'Plan de Compras'!D4:Q""), 4, 0), """")"),"PANTALÓN (1 UND)")</f>
        <v>PANTALÓN (1 UND)</v>
      </c>
      <c r="AD452" s="37" t="str">
        <f>IFERROR(__xludf.DUMMYFUNCTION("IFERROR(IF(OR(C452=TRUE,C452=""""),VLOOKUP(G452,IMPORTRANGE(""https://docs.google.com/spreadsheets/d/1z9A1Wq-kKrhRNG5RS2a2fKpY1wIhSVz2ZNmP2mOl588/edit?usp=sharing"",""REQ VF!E4:H""),4,0),""NO APLICA""),""GENERAR REQ"")"),"GENERAR REQ")</f>
        <v>GENERAR REQ</v>
      </c>
      <c r="AE452" s="32" t="str">
        <f>IFERROR(__xludf.DUMMYFUNCTION("IFERROR(QUERY(IMPORTRANGE(""https://docs.google.com/spreadsheets/d/1z9A1Wq-kKrhRNG5RS2a2fKpY1wIhSVz2ZNmP2mOl588/edit?usp=sharing"",""REQ VF!E4:Q""),""SELECT Col10, Col11, Col12 WHERE Col1 = '""&amp;G452&amp;""'"",0),""NO APLICA"")"),"NO APLICA")</f>
        <v>NO APLICA</v>
      </c>
      <c r="AF452" s="32"/>
      <c r="AG452" s="32"/>
      <c r="AH452" s="13"/>
      <c r="AI452" s="13"/>
    </row>
    <row r="453">
      <c r="A453" s="43"/>
      <c r="B453" s="43"/>
      <c r="C453" s="26" t="b">
        <v>1</v>
      </c>
      <c r="D453" s="26" t="s">
        <v>95</v>
      </c>
      <c r="E453" s="26" t="s">
        <v>1510</v>
      </c>
      <c r="F453" s="59" t="s">
        <v>3087</v>
      </c>
      <c r="G453" s="39" t="s">
        <v>3101</v>
      </c>
      <c r="H453" s="66" t="s">
        <v>3102</v>
      </c>
      <c r="I453" s="43">
        <v>20.0</v>
      </c>
      <c r="J453" s="26">
        <f>IFERROR(__xludf.DUMMYFUNCTION("VLOOKUP(G453,IMPORTRANGE(""https://docs.google.com/spreadsheets/d/12RxCea4e5ggM7QGn1XE3FbLQa_-QbCNdBi90OdPjRqg/edit?gid=1692403370#gid=1692403370"", ""'Plan de Compras'!D4:2432""), 8,0)"),20.0)</f>
        <v>20</v>
      </c>
      <c r="K453" s="26" t="str">
        <f t="shared" si="40"/>
        <v>SI</v>
      </c>
      <c r="L453" s="26"/>
      <c r="M453" s="32"/>
      <c r="N453" s="32"/>
      <c r="O453" s="32" t="s">
        <v>3092</v>
      </c>
      <c r="P453" s="32"/>
      <c r="Q453" s="33" t="s">
        <v>3093</v>
      </c>
      <c r="R453" s="32"/>
      <c r="S453" s="44" t="b">
        <v>1</v>
      </c>
      <c r="T453" s="39" t="s">
        <v>3094</v>
      </c>
      <c r="U453" s="39" t="s">
        <v>3103</v>
      </c>
      <c r="V453" s="39"/>
      <c r="W453" s="39"/>
      <c r="X453" s="39"/>
      <c r="Y453" s="126" t="s">
        <v>3093</v>
      </c>
      <c r="Z453" s="37" t="str">
        <f>IFERROR(__xludf.DUMMYFUNCTION("IFERROR(VLOOKUP(G453,IMPORTRANGE(""https://docs.google.com/spreadsheets/d/12RxCea4e5ggM7QGn1XE3FbLQa_-QbCNdBi90OdPjRqg"", ""'Plan de Compras'!D4:Q""), 12, 0), ""NO ESTÁ EN REQ"")"),"Simple")</f>
        <v>Simple</v>
      </c>
      <c r="AA453" s="37" t="str">
        <f>IFERROR(__xludf.DUMMYFUNCTION("IFERROR(VLOOKUP(G453,IMPORTRANGE(""https://docs.google.com/spreadsheets/d/12RxCea4e5ggM7QGn1XE3FbLQa_-QbCNdBi90OdPjRqg"", ""'Plan de Compras'!D4:Q""), 13, 0), """")"),"NACIONAL")</f>
        <v>NACIONAL</v>
      </c>
      <c r="AB453" s="32" t="str">
        <f>IFERROR(__xludf.DUMMYFUNCTION("IFERROR(VLOOKUP(G453,IMPORTRANGE(""https://docs.google.com/spreadsheets/d/12RxCea4e5ggM7QGn1XE3FbLQa_-QbCNdBi90OdPjRqg"", ""'Plan de Compras'!D4:Q""), 14, 0), """")"),"JESSICA")</f>
        <v>JESSICA</v>
      </c>
      <c r="AC453" s="72" t="str">
        <f>IFERROR(__xludf.DUMMYFUNCTION("IFERROR(VLOOKUP(G453,IMPORTRANGE(""https://docs.google.com/spreadsheets/d/12RxCea4e5ggM7QGn1XE3FbLQa_-QbCNdBi90OdPjRqg"", ""'Plan de Compras'!D4:Q""), 4, 0), """")"),"CHAQUETA (1 UND)")</f>
        <v>CHAQUETA (1 UND)</v>
      </c>
      <c r="AD453" s="37" t="str">
        <f>IFERROR(__xludf.DUMMYFUNCTION("IFERROR(IF(OR(C453=TRUE,C453=""""),VLOOKUP(G453,IMPORTRANGE(""https://docs.google.com/spreadsheets/d/1z9A1Wq-kKrhRNG5RS2a2fKpY1wIhSVz2ZNmP2mOl588/edit?usp=sharing"",""REQ VF!E4:H""),4,0),""NO APLICA""),""GENERAR REQ"")"),"GENERAR REQ")</f>
        <v>GENERAR REQ</v>
      </c>
      <c r="AE453" s="32" t="str">
        <f>IFERROR(__xludf.DUMMYFUNCTION("IFERROR(QUERY(IMPORTRANGE(""https://docs.google.com/spreadsheets/d/1z9A1Wq-kKrhRNG5RS2a2fKpY1wIhSVz2ZNmP2mOl588/edit?usp=sharing"",""REQ VF!E4:Q""),""SELECT Col10, Col11, Col12 WHERE Col1 = '""&amp;G453&amp;""'"",0),""NO APLICA"")"),"NO APLICA")</f>
        <v>NO APLICA</v>
      </c>
      <c r="AF453" s="32"/>
      <c r="AG453" s="32"/>
      <c r="AH453" s="13"/>
      <c r="AI453" s="13"/>
    </row>
    <row r="454">
      <c r="A454" s="117">
        <v>281.0</v>
      </c>
      <c r="B454" s="43" t="b">
        <v>1</v>
      </c>
      <c r="C454" s="26" t="b">
        <v>1</v>
      </c>
      <c r="D454" s="26" t="s">
        <v>35</v>
      </c>
      <c r="E454" s="26" t="s">
        <v>1510</v>
      </c>
      <c r="F454" s="59" t="s">
        <v>3104</v>
      </c>
      <c r="G454" s="37" t="s">
        <v>3105</v>
      </c>
      <c r="H454" s="82" t="s">
        <v>3106</v>
      </c>
      <c r="I454" s="43">
        <f>SUMIFS('Hoja 10'!$O:$O,'Hoja 10'!$F:$F,$G454)</f>
        <v>2</v>
      </c>
      <c r="J454" s="26">
        <f>IFERROR(__xludf.DUMMYFUNCTION("VLOOKUP(G454,IMPORTRANGE(""https://docs.google.com/spreadsheets/d/12RxCea4e5ggM7QGn1XE3FbLQa_-QbCNdBi90OdPjRqg/edit?gid=1692403370#gid=1692403370"", ""'Plan de Compras'!D4:2432""), 8,0)"),2.0)</f>
        <v>2</v>
      </c>
      <c r="K454" s="26" t="str">
        <f t="shared" si="40"/>
        <v>SI</v>
      </c>
      <c r="L454" s="29" t="s">
        <v>77</v>
      </c>
      <c r="M454" s="30" t="s">
        <v>78</v>
      </c>
      <c r="N454" s="32"/>
      <c r="O454" s="32" t="str">
        <f>VLOOKUP($G454,'Hoja 10'!$F$4:$AA1057, 19,0)</f>
        <v>EBRIEL</v>
      </c>
      <c r="P454" s="32" t="str">
        <f>VLOOKUP($G454,'Hoja 10'!$F$4:$AA1057, 20,0)</f>
        <v>Jalador de Agua de 75cm + Mango de Aluminio</v>
      </c>
      <c r="Q454" s="33" t="str">
        <f>VLOOKUP($G454,'Hoja 10'!$F$4:$AA1057, 21,0)</f>
        <v>https://sodimac.falabella.com.pe/sodimac-pe/product/114762880/Jalador-de-Agua-de-75cm-+-Mango-de-Aluminio/114762884</v>
      </c>
      <c r="R454" s="30" t="s">
        <v>3107</v>
      </c>
      <c r="S454" s="34" t="b">
        <v>1</v>
      </c>
      <c r="T454" s="39" t="s">
        <v>3108</v>
      </c>
      <c r="U454" s="39" t="s">
        <v>3109</v>
      </c>
      <c r="V454" s="39" t="str">
        <f>IFERROR(__xludf.DUMMYFUNCTION(" IF
( VLOOKUP($G454,IMPORTRANGE(""https://docs.google.com/spreadsheets/d/1Gpl6jkTg7sL4VDNimUm3S9Vi1i95esohXCF3wuKOE8c"", ""'CONSOLIDADO'!G5:AB""), 10, 0) &lt;&gt; 0, 
IFERROR(VLOOKUP($G454,IMPORTRANGE(""https://docs.google.com/spreadsheets/d/1Gpl6jkTg7sL4VDNimU"&amp;"m3S9Vi1i95esohXCF3wuKOE8c"", ""'CONSOLIDADO'!G5:AB""), 17, 0), ""-""),
""""
)"),"EBRIEL")</f>
        <v>EBRIEL</v>
      </c>
      <c r="W454" s="39" t="str">
        <f>IFERROR(__xludf.DUMMYFUNCTION(" IF
( VLOOKUP($G454,IMPORTRANGE(""https://docs.google.com/spreadsheets/d/1Gpl6jkTg7sL4VDNimUm3S9Vi1i95esohXCF3wuKOE8c"", ""'CONSOLIDADO'!G5:AB""), 10, 0) &lt;&gt; 0, 
IFERROR(VLOOKUP($G454,IMPORTRANGE(""https://docs.google.com/spreadsheets/d/1Gpl6jkTg7sL4VDNimU"&amp;"m3S9Vi1i95esohXCF3wuKOE8c"", ""'CONSOLIDADO'!G5:AB""), 18, 0), ""-""),
""""
)"),"Jalador de Agua de 75cm ")</f>
        <v>Jalador de Agua de 75cm </v>
      </c>
      <c r="X454" s="39" t="b">
        <f t="shared" ref="X454:X458" si="48">IF(AND(T454=V454,W454=U454),TRUE,FALSE)</f>
        <v>1</v>
      </c>
      <c r="Y454" s="129" t="s">
        <v>3110</v>
      </c>
      <c r="Z454" s="37" t="str">
        <f>IFERROR(__xludf.DUMMYFUNCTION("IFERROR(VLOOKUP(G454,IMPORTRANGE(""https://docs.google.com/spreadsheets/d/12RxCea4e5ggM7QGn1XE3FbLQa_-QbCNdBi90OdPjRqg"", ""'Plan de Compras'!D4:Q""), 12, 0), ""NO ESTÁ EN REQ"")"),"Simple")</f>
        <v>Simple</v>
      </c>
      <c r="AA454" s="37" t="str">
        <f>IFERROR(__xludf.DUMMYFUNCTION("IFERROR(VLOOKUP(G454,IMPORTRANGE(""https://docs.google.com/spreadsheets/d/12RxCea4e5ggM7QGn1XE3FbLQa_-QbCNdBi90OdPjRqg"", ""'Plan de Compras'!D4:Q""), 13, 0), """")"),"NACIONAL")</f>
        <v>NACIONAL</v>
      </c>
      <c r="AB454" s="32" t="str">
        <f>IFERROR(__xludf.DUMMYFUNCTION("IFERROR(VLOOKUP(G454,IMPORTRANGE(""https://docs.google.com/spreadsheets/d/12RxCea4e5ggM7QGn1XE3FbLQa_-QbCNdBi90OdPjRqg"", ""'Plan de Compras'!D4:Q""), 14, 0), """")"),"ANGIE")</f>
        <v>ANGIE</v>
      </c>
      <c r="AC454" s="72" t="str">
        <f>IFERROR(__xludf.DUMMYFUNCTION("IFERROR(VLOOKUP(G454,IMPORTRANGE(""https://docs.google.com/spreadsheets/d/12RxCea4e5ggM7QGn1XE3FbLQa_-QbCNdBi90OdPjRqg"", ""'Plan de Compras'!D4:Q""), 4, 0), """")"),"JALADOR")</f>
        <v>JALADOR</v>
      </c>
      <c r="AD454" s="37" t="str">
        <f>IFERROR(__xludf.DUMMYFUNCTION("IFERROR(IF(OR(C454=TRUE,C454=""""),VLOOKUP(G454,IMPORTRANGE(""https://docs.google.com/spreadsheets/d/1z9A1Wq-kKrhRNG5RS2a2fKpY1wIhSVz2ZNmP2mOl588/edit?usp=sharing"",""REQ VF!E4:H""),4,0),""NO APLICA""),""GENERAR REQ"")"),"GENERAR REQ")</f>
        <v>GENERAR REQ</v>
      </c>
      <c r="AE454" s="32" t="str">
        <f>IFERROR(__xludf.DUMMYFUNCTION("IFERROR(QUERY(IMPORTRANGE(""https://docs.google.com/spreadsheets/d/1z9A1Wq-kKrhRNG5RS2a2fKpY1wIhSVz2ZNmP2mOl588/edit?usp=sharing"",""REQ VF!E4:Q""),""SELECT Col10, Col11, Col12 WHERE Col1 = '""&amp;G454&amp;""'"",0),""NO APLICA"")"),"NO APLICA")</f>
        <v>NO APLICA</v>
      </c>
      <c r="AF454" s="32"/>
      <c r="AG454" s="32"/>
      <c r="AH454" s="13"/>
      <c r="AI454" s="13"/>
    </row>
    <row r="455">
      <c r="A455" s="121">
        <v>282.0</v>
      </c>
      <c r="B455" s="43" t="b">
        <v>1</v>
      </c>
      <c r="C455" s="26" t="b">
        <v>1</v>
      </c>
      <c r="D455" s="26" t="s">
        <v>35</v>
      </c>
      <c r="E455" s="26" t="s">
        <v>1510</v>
      </c>
      <c r="F455" s="59" t="s">
        <v>3104</v>
      </c>
      <c r="G455" s="37" t="s">
        <v>3111</v>
      </c>
      <c r="H455" s="82" t="s">
        <v>3106</v>
      </c>
      <c r="I455" s="43">
        <f>SUMIFS('Hoja 10'!$O:$O,'Hoja 10'!$F:$F,$G455)</f>
        <v>8</v>
      </c>
      <c r="J455" s="26">
        <f>IFERROR(__xludf.DUMMYFUNCTION("VLOOKUP(G455,IMPORTRANGE(""https://docs.google.com/spreadsheets/d/12RxCea4e5ggM7QGn1XE3FbLQa_-QbCNdBi90OdPjRqg/edit?gid=1692403370#gid=1692403370"", ""'Plan de Compras'!D4:2432""), 8,0)"),8.0)</f>
        <v>8</v>
      </c>
      <c r="K455" s="26" t="str">
        <f t="shared" si="40"/>
        <v>SI</v>
      </c>
      <c r="L455" s="29" t="s">
        <v>39</v>
      </c>
      <c r="M455" s="30" t="s">
        <v>40</v>
      </c>
      <c r="N455" s="32"/>
      <c r="O455" s="32" t="str">
        <f>VLOOKUP($G455,'Hoja 10'!$F$4:$AA1057, 19,0)</f>
        <v>Neco</v>
      </c>
      <c r="P455" s="32">
        <f>VLOOKUP($G455,'Hoja 10'!$F$4:$AA1057, 20,0)</f>
        <v>31427</v>
      </c>
      <c r="Q455" s="33" t="str">
        <f>VLOOKUP($G455,'Hoja 10'!$F$4:$AA1057, 21,0)</f>
        <v>https://sodimac.falabella.com.pe/sodimac-pe/product/114762880/Jalador-de-Agua-de-75cm-+-Mango-de-Aluminio/114762884</v>
      </c>
      <c r="R455" s="30" t="s">
        <v>3112</v>
      </c>
      <c r="S455" s="34" t="b">
        <v>1</v>
      </c>
      <c r="T455" s="39" t="s">
        <v>3113</v>
      </c>
      <c r="U455" s="39" t="s">
        <v>3114</v>
      </c>
      <c r="V455" s="39" t="str">
        <f>IFERROR(__xludf.DUMMYFUNCTION(" IF
( VLOOKUP($G455,IMPORTRANGE(""https://docs.google.com/spreadsheets/d/1Gpl6jkTg7sL4VDNimUm3S9Vi1i95esohXCF3wuKOE8c"", ""'CONSOLIDADO'!G5:AB""), 10, 0) &lt;&gt; 0, 
IFERROR(VLOOKUP($G455,IMPORTRANGE(""https://docs.google.com/spreadsheets/d/1Gpl6jkTg7sL4VDNimU"&amp;"m3S9Vi1i95esohXCF3wuKOE8c"", ""'CONSOLIDADO'!G5:AB""), 17, 0), ""-""),
""""
)"),"NECO")</f>
        <v>NECO</v>
      </c>
      <c r="W455" s="39" t="str">
        <f>IFERROR(__xludf.DUMMYFUNCTION(" IF
( VLOOKUP($G455,IMPORTRANGE(""https://docs.google.com/spreadsheets/d/1Gpl6jkTg7sL4VDNimUm3S9Vi1i95esohXCF3wuKOE8c"", ""'CONSOLIDADO'!G5:AB""), 10, 0) &lt;&gt; 0, 
IFERROR(VLOOKUP($G455,IMPORTRANGE(""https://docs.google.com/spreadsheets/d/1Gpl6jkTg7sL4VDNimU"&amp;"m3S9Vi1i95esohXCF3wuKOE8c"", ""'CONSOLIDADO'!G5:AB""), 18, 0), ""-""),
""""
)"),"Jalador de agua 55 cm")</f>
        <v>Jalador de agua 55 cm</v>
      </c>
      <c r="X455" s="39" t="b">
        <f t="shared" si="48"/>
        <v>1</v>
      </c>
      <c r="Y455" s="120" t="s">
        <v>3115</v>
      </c>
      <c r="Z455" s="37" t="str">
        <f>IFERROR(__xludf.DUMMYFUNCTION("IFERROR(VLOOKUP(G455,IMPORTRANGE(""https://docs.google.com/spreadsheets/d/12RxCea4e5ggM7QGn1XE3FbLQa_-QbCNdBi90OdPjRqg"", ""'Plan de Compras'!D4:Q""), 12, 0), ""NO ESTÁ EN REQ"")"),"Simple")</f>
        <v>Simple</v>
      </c>
      <c r="AA455" s="37" t="str">
        <f>IFERROR(__xludf.DUMMYFUNCTION("IFERROR(VLOOKUP(G455,IMPORTRANGE(""https://docs.google.com/spreadsheets/d/12RxCea4e5ggM7QGn1XE3FbLQa_-QbCNdBi90OdPjRqg"", ""'Plan de Compras'!D4:Q""), 13, 0), """")"),"NACIONAL")</f>
        <v>NACIONAL</v>
      </c>
      <c r="AB455" s="32" t="str">
        <f>IFERROR(__xludf.DUMMYFUNCTION("IFERROR(VLOOKUP(G455,IMPORTRANGE(""https://docs.google.com/spreadsheets/d/12RxCea4e5ggM7QGn1XE3FbLQa_-QbCNdBi90OdPjRqg"", ""'Plan de Compras'!D4:Q""), 14, 0), """")"),"ANGIE")</f>
        <v>ANGIE</v>
      </c>
      <c r="AC455" s="72" t="str">
        <f>IFERROR(__xludf.DUMMYFUNCTION("IFERROR(VLOOKUP(G455,IMPORTRANGE(""https://docs.google.com/spreadsheets/d/12RxCea4e5ggM7QGn1XE3FbLQa_-QbCNdBi90OdPjRqg"", ""'Plan de Compras'!D4:Q""), 4, 0), """")"),"JALADOR")</f>
        <v>JALADOR</v>
      </c>
      <c r="AD455" s="37" t="str">
        <f>IFERROR(__xludf.DUMMYFUNCTION("IFERROR(IF(OR(C455=TRUE,C455=""""),VLOOKUP(G455,IMPORTRANGE(""https://docs.google.com/spreadsheets/d/1z9A1Wq-kKrhRNG5RS2a2fKpY1wIhSVz2ZNmP2mOl588/edit?usp=sharing"",""REQ VF!E4:H""),4,0),""NO APLICA""),""GENERAR REQ"")"),"GENERAR REQ")</f>
        <v>GENERAR REQ</v>
      </c>
      <c r="AE455" s="32" t="str">
        <f>IFERROR(__xludf.DUMMYFUNCTION("IFERROR(QUERY(IMPORTRANGE(""https://docs.google.com/spreadsheets/d/1z9A1Wq-kKrhRNG5RS2a2fKpY1wIhSVz2ZNmP2mOl588/edit?usp=sharing"",""REQ VF!E4:Q""),""SELECT Col10, Col11, Col12 WHERE Col1 = '""&amp;G455&amp;""'"",0),""NO APLICA"")"),"NO APLICA")</f>
        <v>NO APLICA</v>
      </c>
      <c r="AF455" s="32"/>
      <c r="AG455" s="32"/>
      <c r="AH455" s="13"/>
      <c r="AI455" s="13"/>
    </row>
    <row r="456">
      <c r="A456" s="121">
        <v>283.0</v>
      </c>
      <c r="B456" s="43" t="b">
        <v>1</v>
      </c>
      <c r="C456" s="26" t="b">
        <v>1</v>
      </c>
      <c r="D456" s="26" t="s">
        <v>35</v>
      </c>
      <c r="E456" s="26" t="s">
        <v>1510</v>
      </c>
      <c r="F456" s="59" t="s">
        <v>3116</v>
      </c>
      <c r="G456" s="37" t="s">
        <v>3116</v>
      </c>
      <c r="H456" s="82" t="s">
        <v>3117</v>
      </c>
      <c r="I456" s="43">
        <f>SUMIFS('Hoja 10'!$O:$O,'Hoja 10'!$F:$F,$G456)</f>
        <v>60</v>
      </c>
      <c r="J456" s="26">
        <f>IFERROR(__xludf.DUMMYFUNCTION("VLOOKUP(G456,IMPORTRANGE(""https://docs.google.com/spreadsheets/d/12RxCea4e5ggM7QGn1XE3FbLQa_-QbCNdBi90OdPjRqg/edit?gid=1692403370#gid=1692403370"", ""'Plan de Compras'!D4:2432""), 8,0)"),60.0)</f>
        <v>60</v>
      </c>
      <c r="K456" s="26" t="str">
        <f t="shared" si="40"/>
        <v>SI</v>
      </c>
      <c r="L456" s="29" t="s">
        <v>39</v>
      </c>
      <c r="M456" s="30" t="s">
        <v>40</v>
      </c>
      <c r="N456" s="32"/>
      <c r="O456" s="32" t="str">
        <f>VLOOKUP($G456,'Hoja 10'!$F$4:$AA1057, 19,0)</f>
        <v>BASA</v>
      </c>
      <c r="P456" s="32">
        <f>VLOOKUP($G456,'Hoja 10'!$F$4:$AA1057, 20,0)</f>
        <v>70094018</v>
      </c>
      <c r="Q456" s="33" t="str">
        <f>VLOOKUP($G456,'Hoja 10'!$F$4:$AA1057, 21,0)</f>
        <v>https://www.uysa.com.pe/jarra-pvc-2-lt-transp-graduada-basa-70094018/p?srsltid=AfmBOoqQBwv2HJxzEkspl18l-0ryrEQNmRcxfVrw_fCrjdx11AV6GD6F</v>
      </c>
      <c r="R456" s="30" t="s">
        <v>3118</v>
      </c>
      <c r="S456" s="44" t="b">
        <v>1</v>
      </c>
      <c r="T456" s="39" t="s">
        <v>3119</v>
      </c>
      <c r="U456" s="157">
        <v>1631.0</v>
      </c>
      <c r="V456" s="39" t="str">
        <f>IFERROR(__xludf.DUMMYFUNCTION(" IF
( VLOOKUP($G456,IMPORTRANGE(""https://docs.google.com/spreadsheets/d/1Gpl6jkTg7sL4VDNimUm3S9Vi1i95esohXCF3wuKOE8c"", ""'CONSOLIDADO'!G5:AB""), 10, 0) &lt;&gt; 0, 
IFERROR(VLOOKUP($G456,IMPORTRANGE(""https://docs.google.com/spreadsheets/d/1Gpl6jkTg7sL4VDNimU"&amp;"m3S9Vi1i95esohXCF3wuKOE8c"", ""'CONSOLIDADO'!G5:AB""), 17, 0), ""-""),
""""
)"),"BASA")</f>
        <v>BASA</v>
      </c>
      <c r="W456" s="39">
        <f>IFERROR(__xludf.DUMMYFUNCTION(" IF
( VLOOKUP($G456,IMPORTRANGE(""https://docs.google.com/spreadsheets/d/1Gpl6jkTg7sL4VDNimUm3S9Vi1i95esohXCF3wuKOE8c"", ""'CONSOLIDADO'!G5:AB""), 10, 0) &lt;&gt; 0, 
IFERROR(VLOOKUP($G456,IMPORTRANGE(""https://docs.google.com/spreadsheets/d/1Gpl6jkTg7sL4VDNimU"&amp;"m3S9Vi1i95esohXCF3wuKOE8c"", ""'CONSOLIDADO'!G5:AB""), 18, 0), ""-""),
""""
)"),1631.0)</f>
        <v>1631</v>
      </c>
      <c r="X456" s="39" t="b">
        <f t="shared" si="48"/>
        <v>1</v>
      </c>
      <c r="Y456" s="120" t="s">
        <v>3120</v>
      </c>
      <c r="Z456" s="37" t="str">
        <f>IFERROR(__xludf.DUMMYFUNCTION("IFERROR(VLOOKUP(G456,IMPORTRANGE(""https://docs.google.com/spreadsheets/d/12RxCea4e5ggM7QGn1XE3FbLQa_-QbCNdBi90OdPjRqg"", ""'Plan de Compras'!D4:Q""), 12, 0), ""NO ESTÁ EN REQ"")"),"Simple")</f>
        <v>Simple</v>
      </c>
      <c r="AA456" s="37" t="str">
        <f>IFERROR(__xludf.DUMMYFUNCTION("IFERROR(VLOOKUP(G456,IMPORTRANGE(""https://docs.google.com/spreadsheets/d/12RxCea4e5ggM7QGn1XE3FbLQa_-QbCNdBi90OdPjRqg"", ""'Plan de Compras'!D4:Q""), 13, 0), """")"),"NACIONAL")</f>
        <v>NACIONAL</v>
      </c>
      <c r="AB456" s="32" t="str">
        <f>IFERROR(__xludf.DUMMYFUNCTION("IFERROR(VLOOKUP(G456,IMPORTRANGE(""https://docs.google.com/spreadsheets/d/12RxCea4e5ggM7QGn1XE3FbLQa_-QbCNdBi90OdPjRqg"", ""'Plan de Compras'!D4:Q""), 14, 0), """")"),"JESSICA")</f>
        <v>JESSICA</v>
      </c>
      <c r="AC456" s="72" t="str">
        <f>IFERROR(__xludf.DUMMYFUNCTION("IFERROR(VLOOKUP(G456,IMPORTRANGE(""https://docs.google.com/spreadsheets/d/12RxCea4e5ggM7QGn1XE3FbLQa_-QbCNdBi90OdPjRqg"", ""'Plan de Compras'!D4:Q""), 4, 0), """")"),"JARRA DE PLÁSTICO DE 2 LITROS")</f>
        <v>JARRA DE PLÁSTICO DE 2 LITROS</v>
      </c>
      <c r="AD456" s="37" t="str">
        <f>IFERROR(__xludf.DUMMYFUNCTION("IFERROR(IF(OR(C456=TRUE,C456=""""),VLOOKUP(G456,IMPORTRANGE(""https://docs.google.com/spreadsheets/d/1z9A1Wq-kKrhRNG5RS2a2fKpY1wIhSVz2ZNmP2mOl588/edit?usp=sharing"",""REQ VF!E4:H""),4,0),""NO APLICA""),""GENERAR REQ"")"),"GENERAR REQ")</f>
        <v>GENERAR REQ</v>
      </c>
      <c r="AE456" s="32" t="str">
        <f>IFERROR(__xludf.DUMMYFUNCTION("IFERROR(QUERY(IMPORTRANGE(""https://docs.google.com/spreadsheets/d/1z9A1Wq-kKrhRNG5RS2a2fKpY1wIhSVz2ZNmP2mOl588/edit?usp=sharing"",""REQ VF!E4:Q""),""SELECT Col10, Col11, Col12 WHERE Col1 = '""&amp;G456&amp;""'"",0),""NO APLICA"")"),"NO APLICA")</f>
        <v>NO APLICA</v>
      </c>
      <c r="AF456" s="32"/>
      <c r="AG456" s="32"/>
      <c r="AH456" s="8" t="s">
        <v>52</v>
      </c>
      <c r="AI456" s="13"/>
    </row>
    <row r="457">
      <c r="A457" s="121">
        <v>284.0</v>
      </c>
      <c r="B457" s="43" t="b">
        <v>1</v>
      </c>
      <c r="C457" s="26" t="b">
        <v>1</v>
      </c>
      <c r="D457" s="26" t="s">
        <v>35</v>
      </c>
      <c r="E457" s="26" t="s">
        <v>1510</v>
      </c>
      <c r="F457" s="59" t="s">
        <v>3121</v>
      </c>
      <c r="G457" s="39" t="s">
        <v>3121</v>
      </c>
      <c r="H457" s="82" t="s">
        <v>3122</v>
      </c>
      <c r="I457" s="43">
        <f>SUMIFS('Hoja 10'!$O:$O,'Hoja 10'!$F:$F,$G457)</f>
        <v>16</v>
      </c>
      <c r="J457" s="26">
        <f>IFERROR(__xludf.DUMMYFUNCTION("VLOOKUP(G457,IMPORTRANGE(""https://docs.google.com/spreadsheets/d/12RxCea4e5ggM7QGn1XE3FbLQa_-QbCNdBi90OdPjRqg/edit?gid=1692403370#gid=1692403370"", ""'Plan de Compras'!D4:2432""), 8,0)"),16.0)</f>
        <v>16</v>
      </c>
      <c r="K457" s="26" t="str">
        <f t="shared" si="40"/>
        <v>SI</v>
      </c>
      <c r="L457" s="29" t="s">
        <v>39</v>
      </c>
      <c r="M457" s="30" t="s">
        <v>40</v>
      </c>
      <c r="N457" s="32" t="s">
        <v>3123</v>
      </c>
      <c r="O457" s="32" t="str">
        <f>VLOOKUP($G457,'Hoja 10'!$F$4:$AA1057, 19,0)</f>
        <v>VYNFLICK</v>
      </c>
      <c r="P457" s="32" t="str">
        <f>VLOOKUP($G457,'Hoja 10'!$F$4:$AA1057, 20,0)</f>
        <v>Juego de puntas grandes para tuberías – 14</v>
      </c>
      <c r="Q457" s="33" t="str">
        <f>VLOOKUP($G457,'Hoja 10'!$F$4:$AA1057, 21,0)</f>
        <v>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v>
      </c>
      <c r="R457" s="30" t="s">
        <v>3124</v>
      </c>
      <c r="S457" s="34" t="b">
        <v>1</v>
      </c>
      <c r="T457" s="39" t="s">
        <v>3125</v>
      </c>
      <c r="U457" s="39">
        <v>7.38232199031E11</v>
      </c>
      <c r="V457" s="39" t="str">
        <f>IFERROR(__xludf.DUMMYFUNCTION(" IF
( VLOOKUP($G457,IMPORTRANGE(""https://docs.google.com/spreadsheets/d/1Gpl6jkTg7sL4VDNimUm3S9Vi1i95esohXCF3wuKOE8c"", ""'CONSOLIDADO'!G5:AB""), 10, 0) &lt;&gt; 0, 
IFERROR(VLOOKUP($G457,IMPORTRANGE(""https://docs.google.com/spreadsheets/d/1Gpl6jkTg7sL4VDNimU"&amp;"m3S9Vi1i95esohXCF3wuKOE8c"", ""'CONSOLIDADO'!G5:AB""), 17, 0), ""-""),
""""
)"),"VYNFLICK ")</f>
        <v>VYNFLICK </v>
      </c>
      <c r="W457" s="39">
        <f>IFERROR(__xludf.DUMMYFUNCTION(" IF
( VLOOKUP($G457,IMPORTRANGE(""https://docs.google.com/spreadsheets/d/1Gpl6jkTg7sL4VDNimUm3S9Vi1i95esohXCF3wuKOE8c"", ""'CONSOLIDADO'!G5:AB""), 10, 0) &lt;&gt; 0, 
IFERROR(VLOOKUP($G457,IMPORTRANGE(""https://docs.google.com/spreadsheets/d/1Gpl6jkTg7sL4VDNimU"&amp;"m3S9Vi1i95esohXCF3wuKOE8c"", ""'CONSOLIDADO'!G5:AB""), 18, 0), ""-""),
""""
)"),7.38232199031E11)</f>
        <v>738232199031</v>
      </c>
      <c r="X457" s="39" t="b">
        <f t="shared" si="48"/>
        <v>1</v>
      </c>
      <c r="Y457" s="120" t="s">
        <v>3126</v>
      </c>
      <c r="Z457" s="37" t="str">
        <f>IFERROR(__xludf.DUMMYFUNCTION("IFERROR(VLOOKUP(G457,IMPORTRANGE(""https://docs.google.com/spreadsheets/d/12RxCea4e5ggM7QGn1XE3FbLQa_-QbCNdBi90OdPjRqg"", ""'Plan de Compras'!D4:Q""), 12, 0), ""NO ESTÁ EN REQ"")"),"Simple")</f>
        <v>Simple</v>
      </c>
      <c r="AA457" s="37" t="str">
        <f>IFERROR(__xludf.DUMMYFUNCTION("IFERROR(VLOOKUP(G457,IMPORTRANGE(""https://docs.google.com/spreadsheets/d/12RxCea4e5ggM7QGn1XE3FbLQa_-QbCNdBi90OdPjRqg"", ""'Plan de Compras'!D4:Q""), 13, 0), """")"),"INTERNACIONAL")</f>
        <v>INTERNACIONAL</v>
      </c>
      <c r="AB457" s="32" t="str">
        <f>IFERROR(__xludf.DUMMYFUNCTION("IFERROR(VLOOKUP(G457,IMPORTRANGE(""https://docs.google.com/spreadsheets/d/12RxCea4e5ggM7QGn1XE3FbLQa_-QbCNdBi90OdPjRqg"", ""'Plan de Compras'!D4:Q""), 14, 0), """")"),"DIEGO ")</f>
        <v>DIEGO </v>
      </c>
      <c r="AC457" s="72" t="str">
        <f>IFERROR(__xludf.DUMMYFUNCTION("IFERROR(VLOOKUP(G457,IMPORTRANGE(""https://docs.google.com/spreadsheets/d/12RxCea4e5ggM7QGn1XE3FbLQa_-QbCNdBi90OdPjRqg"", ""'Plan de Compras'!D4:Q""), 4, 0), """")"),"JUEGO DE BOQUILLAS DECORATIVAS + MANGAS")</f>
        <v>JUEGO DE BOQUILLAS DECORATIVAS + MANGAS</v>
      </c>
      <c r="AD457" s="37" t="str">
        <f>IFERROR(__xludf.DUMMYFUNCTION("IFERROR(IF(OR(C457=TRUE,C457=""""),VLOOKUP(G457,IMPORTRANGE(""https://docs.google.com/spreadsheets/d/1z9A1Wq-kKrhRNG5RS2a2fKpY1wIhSVz2ZNmP2mOl588/edit?usp=sharing"",""REQ VF!E4:H""),4,0),""NO APLICA""),""GENERAR REQ"")"),"GENERAR REQ")</f>
        <v>GENERAR REQ</v>
      </c>
      <c r="AE457" s="32" t="str">
        <f>IFERROR(__xludf.DUMMYFUNCTION("IFERROR(QUERY(IMPORTRANGE(""https://docs.google.com/spreadsheets/d/1z9A1Wq-kKrhRNG5RS2a2fKpY1wIhSVz2ZNmP2mOl588/edit?usp=sharing"",""REQ VF!E4:Q""),""SELECT Col10, Col11, Col12 WHERE Col1 = '""&amp;G457&amp;""'"",0),""NO APLICA"")"),"NO APLICA")</f>
        <v>NO APLICA</v>
      </c>
      <c r="AF457" s="32"/>
      <c r="AG457" s="32"/>
      <c r="AH457" s="13"/>
      <c r="AI457" s="13"/>
    </row>
    <row r="458">
      <c r="A458" s="117">
        <v>285.0</v>
      </c>
      <c r="B458" s="43" t="b">
        <v>1</v>
      </c>
      <c r="C458" s="26" t="b">
        <v>1</v>
      </c>
      <c r="D458" s="26" t="s">
        <v>35</v>
      </c>
      <c r="E458" s="26" t="s">
        <v>1510</v>
      </c>
      <c r="F458" s="59" t="s">
        <v>3127</v>
      </c>
      <c r="G458" s="37" t="s">
        <v>3127</v>
      </c>
      <c r="H458" s="82" t="s">
        <v>3128</v>
      </c>
      <c r="I458" s="43">
        <f>SUMIFS('Hoja 10'!$O:$O,'Hoja 10'!$F:$F,$G458)</f>
        <v>2</v>
      </c>
      <c r="J458" s="26">
        <f>IFERROR(__xludf.DUMMYFUNCTION("VLOOKUP(G458,IMPORTRANGE(""https://docs.google.com/spreadsheets/d/12RxCea4e5ggM7QGn1XE3FbLQa_-QbCNdBi90OdPjRqg/edit?gid=1692403370#gid=1692403370"", ""'Plan de Compras'!D4:2432""), 8,0)"),2.0)</f>
        <v>2</v>
      </c>
      <c r="K458" s="26" t="str">
        <f t="shared" si="40"/>
        <v>SI</v>
      </c>
      <c r="L458" s="29" t="s">
        <v>77</v>
      </c>
      <c r="M458" s="30" t="s">
        <v>78</v>
      </c>
      <c r="N458" s="32"/>
      <c r="O458" s="32" t="str">
        <f>VLOOKUP($G458,'Hoja 10'!$F$4:$AA1057, 19,0)</f>
        <v>ZWILLING</v>
      </c>
      <c r="P458" s="32" t="str">
        <f>VLOOKUP($G458,'Hoja 10'!$F$4:$AA1057, 20,0)</f>
        <v>ZW1006229 </v>
      </c>
      <c r="Q458" s="33" t="str">
        <f>VLOOKUP($G458,'Hoja 10'!$F$4:$AA1057, 21,0)</f>
        <v>https://dcocina.pe/producto/olla-alta-8-1-lts-de-acero-inoxidable-o24-cm-zwilling-pro-zwilling/</v>
      </c>
      <c r="R458" s="30" t="s">
        <v>3129</v>
      </c>
      <c r="S458" s="34" t="b">
        <v>1</v>
      </c>
      <c r="T458" s="39" t="str">
        <f>IFERROR(__xludf.DUMMYFUNCTION(" IF
( VLOOKUP($G458,IMPORTRANGE(""https://docs.google.com/spreadsheets/d/1Gpl6jkTg7sL4VDNimUm3S9Vi1i95esohXCF3wuKOE8c"", ""'CONSOLIDADO'!G5:AB""), 10, 0) &lt;&gt; 0, 
IFERROR(VLOOKUP($G458,IMPORTRANGE(""https://docs.google.com/spreadsheets/d/1Gpl6jkTg7sL4VDNimU"&amp;"m3S9Vi1i95esohXCF3wuKOE8c"", ""'CONSOLIDADO'!G5:AB""), 17, 0), ""-""),
""""
)"),"Royalty Line")</f>
        <v>Royalty Line</v>
      </c>
      <c r="U458" s="39" t="str">
        <f>IFERROR(__xludf.DUMMYFUNCTION(" IF
( VLOOKUP($G458,IMPORTRANGE(""https://docs.google.com/spreadsheets/d/1Gpl6jkTg7sL4VDNimUm3S9Vi1i95esohXCF3wuKOE8c"", ""'CONSOLIDADO'!G5:AB""), 10, 0) &lt;&gt; 0, 
IFERROR(VLOOKUP($G458,IMPORTRANGE(""https://docs.google.com/spreadsheets/d/1Gpl6jkTg7sL4VDNimU"&amp;"m3S9Vi1i95esohXCF3wuKOE8c"", ""'CONSOLIDADO'!G5:AB""), 18, 0), ""-""),
""""
)"),"RL-SP7")</f>
        <v>RL-SP7</v>
      </c>
      <c r="V458" s="39" t="str">
        <f>IFERROR(__xludf.DUMMYFUNCTION(" IF
( VLOOKUP($G458,IMPORTRANGE(""https://docs.google.com/spreadsheets/d/1Gpl6jkTg7sL4VDNimUm3S9Vi1i95esohXCF3wuKOE8c"", ""'CONSOLIDADO'!G5:AB""), 10, 0) &lt;&gt; 0, 
IFERROR(VLOOKUP($G458,IMPORTRANGE(""https://docs.google.com/spreadsheets/d/1Gpl6jkTg7sL4VDNimU"&amp;"m3S9Vi1i95esohXCF3wuKOE8c"", ""'CONSOLIDADO'!G5:AB""), 17, 0), ""-""),
""""
)"),"Royalty Line")</f>
        <v>Royalty Line</v>
      </c>
      <c r="W458" s="39" t="str">
        <f>IFERROR(__xludf.DUMMYFUNCTION(" IF
( VLOOKUP($G458,IMPORTRANGE(""https://docs.google.com/spreadsheets/d/1Gpl6jkTg7sL4VDNimUm3S9Vi1i95esohXCF3wuKOE8c"", ""'CONSOLIDADO'!G5:AB""), 10, 0) &lt;&gt; 0, 
IFERROR(VLOOKUP($G458,IMPORTRANGE(""https://docs.google.com/spreadsheets/d/1Gpl6jkTg7sL4VDNimU"&amp;"m3S9Vi1i95esohXCF3wuKOE8c"", ""'CONSOLIDADO'!G5:AB""), 18, 0), ""-""),
""""
)"),"RL-SP7")</f>
        <v>RL-SP7</v>
      </c>
      <c r="X458" s="39" t="b">
        <f t="shared" si="48"/>
        <v>1</v>
      </c>
      <c r="Y458" s="120" t="str">
        <f>IFERROR(__xludf.DUMMYFUNCTION(" IF
( VLOOKUP($G458,IMPORTRANGE(""https://docs.google.com/spreadsheets/d/1Gpl6jkTg7sL4VDNimUm3S9Vi1i95esohXCF3wuKOE8c"", ""'CONSOLIDADO'!G5:AB""), 10, 0) &lt;&gt; 0, 
IFERROR(VLOOKUP($G458,IMPORTRANGE(""https://docs.google.com/spreadsheets/d/1Gpl6jkTg7sL4VDNimU"&amp;"m3S9Vi1i95esohXCF3wuKOE8c"", ""'CONSOLIDADO'!G5:AB""), 19, 0), ""-""),
""""
)"),"https://mundococina.es/juego-de-cacerolas-de-acero-inoxidable-royalty-line")</f>
        <v>https://mundococina.es/juego-de-cacerolas-de-acero-inoxidable-royalty-line</v>
      </c>
      <c r="Z458" s="37" t="str">
        <f>IFERROR(__xludf.DUMMYFUNCTION("IFERROR(VLOOKUP(G458,IMPORTRANGE(""https://docs.google.com/spreadsheets/d/12RxCea4e5ggM7QGn1XE3FbLQa_-QbCNdBi90OdPjRqg"", ""'Plan de Compras'!D4:Q""), 12, 0), ""NO ESTÁ EN REQ"")"),"Simple")</f>
        <v>Simple</v>
      </c>
      <c r="AA458" s="37" t="str">
        <f>IFERROR(__xludf.DUMMYFUNCTION("IFERROR(VLOOKUP(G458,IMPORTRANGE(""https://docs.google.com/spreadsheets/d/12RxCea4e5ggM7QGn1XE3FbLQa_-QbCNdBi90OdPjRqg"", ""'Plan de Compras'!D4:Q""), 13, 0), """")"),"INTERNACIONAL")</f>
        <v>INTERNACIONAL</v>
      </c>
      <c r="AB458" s="32" t="str">
        <f>IFERROR(__xludf.DUMMYFUNCTION("IFERROR(VLOOKUP(G458,IMPORTRANGE(""https://docs.google.com/spreadsheets/d/12RxCea4e5ggM7QGn1XE3FbLQa_-QbCNdBi90OdPjRqg"", ""'Plan de Compras'!D4:Q""), 14, 0), """")"),"GEYDI")</f>
        <v>GEYDI</v>
      </c>
      <c r="AC458" s="72" t="str">
        <f>IFERROR(__xludf.DUMMYFUNCTION("IFERROR(VLOOKUP(G458,IMPORTRANGE(""https://docs.google.com/spreadsheets/d/12RxCea4e5ggM7QGn1XE3FbLQa_-QbCNdBi90OdPjRqg"", ""'Plan de Compras'!D4:Q""), 4, 0), """")"),"JUEGO DE CACEROLAS PARA COCINA DE INDUCCIÓN")</f>
        <v>JUEGO DE CACEROLAS PARA COCINA DE INDUCCIÓN</v>
      </c>
      <c r="AD458" s="37" t="str">
        <f>IFERROR(__xludf.DUMMYFUNCTION("IFERROR(IF(OR(C458=TRUE,C458=""""),VLOOKUP(G458,IMPORTRANGE(""https://docs.google.com/spreadsheets/d/1z9A1Wq-kKrhRNG5RS2a2fKpY1wIhSVz2ZNmP2mOl588/edit?usp=sharing"",""REQ VF!E4:H""),4,0),""NO APLICA""),""GENERAR REQ"")"),"GENERAR REQ")</f>
        <v>GENERAR REQ</v>
      </c>
      <c r="AE458" s="32" t="str">
        <f>IFERROR(__xludf.DUMMYFUNCTION("IFERROR(QUERY(IMPORTRANGE(""https://docs.google.com/spreadsheets/d/1z9A1Wq-kKrhRNG5RS2a2fKpY1wIhSVz2ZNmP2mOl588/edit?usp=sharing"",""REQ VF!E4:Q""),""SELECT Col10, Col11, Col12 WHERE Col1 = '""&amp;G458&amp;""'"",0),""NO APLICA"")"),"NO APLICA")</f>
        <v>NO APLICA</v>
      </c>
      <c r="AF458" s="32"/>
      <c r="AG458" s="32"/>
      <c r="AH458" s="13"/>
      <c r="AI458" s="13"/>
    </row>
    <row r="459">
      <c r="A459" s="43"/>
      <c r="B459" s="43"/>
      <c r="C459" s="26" t="b">
        <v>0</v>
      </c>
      <c r="D459" s="26" t="s">
        <v>95</v>
      </c>
      <c r="E459" s="60" t="s">
        <v>1510</v>
      </c>
      <c r="F459" s="39" t="s">
        <v>3127</v>
      </c>
      <c r="G459" s="39" t="s">
        <v>3130</v>
      </c>
      <c r="H459" s="82" t="s">
        <v>3131</v>
      </c>
      <c r="I459" s="43">
        <v>0.0</v>
      </c>
      <c r="J459" s="26" t="str">
        <f>IFERROR(__xludf.DUMMYFUNCTION("VLOOKUP(G459,IMPORTRANGE(""https://docs.google.com/spreadsheets/d/12RxCea4e5ggM7QGn1XE3FbLQa_-QbCNdBi90OdPjRqg/edit?gid=1692403370#gid=1692403370"", ""'Plan de Compras'!D4:2432""), 8,0)"),"#N/A")</f>
        <v>#N/A</v>
      </c>
      <c r="K459" s="26" t="str">
        <f t="shared" si="40"/>
        <v>-</v>
      </c>
      <c r="L459" s="26"/>
      <c r="M459" s="32"/>
      <c r="N459" s="32"/>
      <c r="O459" s="32" t="s">
        <v>3132</v>
      </c>
      <c r="P459" s="32"/>
      <c r="Q459" s="33" t="s">
        <v>3133</v>
      </c>
      <c r="R459" s="32"/>
      <c r="S459" s="44" t="b">
        <v>0</v>
      </c>
      <c r="T459" s="32" t="s">
        <v>3132</v>
      </c>
      <c r="U459" s="32"/>
      <c r="V459" s="32"/>
      <c r="W459" s="32"/>
      <c r="X459" s="32"/>
      <c r="Y459" s="138" t="s">
        <v>3133</v>
      </c>
      <c r="Z459" s="37" t="str">
        <f>IFERROR(__xludf.DUMMYFUNCTION("IFERROR(VLOOKUP(G459,IMPORTRANGE(""https://docs.google.com/spreadsheets/d/12RxCea4e5ggM7QGn1XE3FbLQa_-QbCNdBi90OdPjRqg"", ""'Plan de Compras'!D4:Q""), 12, 0), ""NO ESTÁ EN REQ"")"),"NO ESTÁ EN REQ")</f>
        <v>NO ESTÁ EN REQ</v>
      </c>
      <c r="AA459" s="37" t="str">
        <f>IFERROR(__xludf.DUMMYFUNCTION("IFERROR(VLOOKUP(G459,IMPORTRANGE(""https://docs.google.com/spreadsheets/d/12RxCea4e5ggM7QGn1XE3FbLQa_-QbCNdBi90OdPjRqg"", ""'Plan de Compras'!D4:Q""), 13, 0), """")"),"")</f>
        <v/>
      </c>
      <c r="AB459" s="32" t="str">
        <f>IFERROR(__xludf.DUMMYFUNCTION("IFERROR(VLOOKUP(G459,IMPORTRANGE(""https://docs.google.com/spreadsheets/d/12RxCea4e5ggM7QGn1XE3FbLQa_-QbCNdBi90OdPjRqg"", ""'Plan de Compras'!D4:Q""), 14, 0), """")"),"")</f>
        <v/>
      </c>
      <c r="AC459" s="72" t="str">
        <f>IFERROR(__xludf.DUMMYFUNCTION("IFERROR(VLOOKUP(G459,IMPORTRANGE(""https://docs.google.com/spreadsheets/d/12RxCea4e5ggM7QGn1XE3FbLQa_-QbCNdBi90OdPjRqg"", ""'Plan de Compras'!D4:Q""), 4, 0), """")"),"")</f>
        <v/>
      </c>
      <c r="AD459" s="37" t="str">
        <f>IFERROR(__xludf.DUMMYFUNCTION("IFERROR(IF(OR(C459=TRUE,C459=""""),VLOOKUP(G459,IMPORTRANGE(""https://docs.google.com/spreadsheets/d/1z9A1Wq-kKrhRNG5RS2a2fKpY1wIhSVz2ZNmP2mOl588/edit?usp=sharing"",""REQ VF!E4:H""),4,0),""NO APLICA""),""GENERAR REQ"")"),"NO APLICA")</f>
        <v>NO APLICA</v>
      </c>
      <c r="AE459" s="32" t="str">
        <f>IFERROR(__xludf.DUMMYFUNCTION("IFERROR(QUERY(IMPORTRANGE(""https://docs.google.com/spreadsheets/d/1z9A1Wq-kKrhRNG5RS2a2fKpY1wIhSVz2ZNmP2mOl588/edit?usp=sharing"",""REQ VF!E4:Q""),""SELECT Col10, Col11, Col12 WHERE Col1 = '""&amp;G459&amp;""'"",0),""NO APLICA"")"),"NO APLICA")</f>
        <v>NO APLICA</v>
      </c>
      <c r="AF459" s="32"/>
      <c r="AG459" s="32"/>
      <c r="AH459" s="13"/>
      <c r="AI459" s="13"/>
    </row>
    <row r="460">
      <c r="A460" s="43"/>
      <c r="B460" s="43"/>
      <c r="C460" s="26" t="b">
        <v>0</v>
      </c>
      <c r="D460" s="26" t="s">
        <v>95</v>
      </c>
      <c r="E460" s="60" t="s">
        <v>1510</v>
      </c>
      <c r="F460" s="39" t="s">
        <v>3127</v>
      </c>
      <c r="G460" s="39" t="s">
        <v>3134</v>
      </c>
      <c r="H460" s="82" t="s">
        <v>3135</v>
      </c>
      <c r="I460" s="43">
        <v>0.0</v>
      </c>
      <c r="J460" s="26" t="str">
        <f>IFERROR(__xludf.DUMMYFUNCTION("VLOOKUP(G460,IMPORTRANGE(""https://docs.google.com/spreadsheets/d/12RxCea4e5ggM7QGn1XE3FbLQa_-QbCNdBi90OdPjRqg/edit?gid=1692403370#gid=1692403370"", ""'Plan de Compras'!D4:2432""), 8,0)"),"#N/A")</f>
        <v>#N/A</v>
      </c>
      <c r="K460" s="26" t="str">
        <f t="shared" si="40"/>
        <v>-</v>
      </c>
      <c r="L460" s="26"/>
      <c r="M460" s="32"/>
      <c r="N460" s="32"/>
      <c r="O460" s="32" t="s">
        <v>3132</v>
      </c>
      <c r="P460" s="32"/>
      <c r="Q460" s="33" t="s">
        <v>3136</v>
      </c>
      <c r="R460" s="32"/>
      <c r="S460" s="44" t="b">
        <v>0</v>
      </c>
      <c r="T460" s="32" t="s">
        <v>3132</v>
      </c>
      <c r="U460" s="32"/>
      <c r="V460" s="32"/>
      <c r="W460" s="32"/>
      <c r="X460" s="32"/>
      <c r="Y460" s="138" t="s">
        <v>3136</v>
      </c>
      <c r="Z460" s="37" t="str">
        <f>IFERROR(__xludf.DUMMYFUNCTION("IFERROR(VLOOKUP(G460,IMPORTRANGE(""https://docs.google.com/spreadsheets/d/12RxCea4e5ggM7QGn1XE3FbLQa_-QbCNdBi90OdPjRqg"", ""'Plan de Compras'!D4:Q""), 12, 0), ""NO ESTÁ EN REQ"")"),"NO ESTÁ EN REQ")</f>
        <v>NO ESTÁ EN REQ</v>
      </c>
      <c r="AA460" s="37" t="str">
        <f>IFERROR(__xludf.DUMMYFUNCTION("IFERROR(VLOOKUP(G460,IMPORTRANGE(""https://docs.google.com/spreadsheets/d/12RxCea4e5ggM7QGn1XE3FbLQa_-QbCNdBi90OdPjRqg"", ""'Plan de Compras'!D4:Q""), 13, 0), """")"),"")</f>
        <v/>
      </c>
      <c r="AB460" s="32" t="str">
        <f>IFERROR(__xludf.DUMMYFUNCTION("IFERROR(VLOOKUP(G460,IMPORTRANGE(""https://docs.google.com/spreadsheets/d/12RxCea4e5ggM7QGn1XE3FbLQa_-QbCNdBi90OdPjRqg"", ""'Plan de Compras'!D4:Q""), 14, 0), """")"),"")</f>
        <v/>
      </c>
      <c r="AC460" s="72" t="str">
        <f>IFERROR(__xludf.DUMMYFUNCTION("IFERROR(VLOOKUP(G460,IMPORTRANGE(""https://docs.google.com/spreadsheets/d/12RxCea4e5ggM7QGn1XE3FbLQa_-QbCNdBi90OdPjRqg"", ""'Plan de Compras'!D4:Q""), 4, 0), """")"),"")</f>
        <v/>
      </c>
      <c r="AD460" s="37" t="str">
        <f>IFERROR(__xludf.DUMMYFUNCTION("IFERROR(IF(OR(C460=TRUE,C460=""""),VLOOKUP(G460,IMPORTRANGE(""https://docs.google.com/spreadsheets/d/1z9A1Wq-kKrhRNG5RS2a2fKpY1wIhSVz2ZNmP2mOl588/edit?usp=sharing"",""REQ VF!E4:H""),4,0),""NO APLICA""),""GENERAR REQ"")"),"NO APLICA")</f>
        <v>NO APLICA</v>
      </c>
      <c r="AE460" s="32" t="str">
        <f>IFERROR(__xludf.DUMMYFUNCTION("IFERROR(QUERY(IMPORTRANGE(""https://docs.google.com/spreadsheets/d/1z9A1Wq-kKrhRNG5RS2a2fKpY1wIhSVz2ZNmP2mOl588/edit?usp=sharing"",""REQ VF!E4:Q""),""SELECT Col10, Col11, Col12 WHERE Col1 = '""&amp;G460&amp;""'"",0),""NO APLICA"")"),"NO APLICA")</f>
        <v>NO APLICA</v>
      </c>
      <c r="AF460" s="32"/>
      <c r="AG460" s="32"/>
      <c r="AH460" s="13"/>
      <c r="AI460" s="13"/>
    </row>
    <row r="461">
      <c r="A461" s="43"/>
      <c r="B461" s="43"/>
      <c r="C461" s="26" t="b">
        <v>0</v>
      </c>
      <c r="D461" s="26" t="s">
        <v>95</v>
      </c>
      <c r="E461" s="60" t="s">
        <v>1510</v>
      </c>
      <c r="F461" s="59" t="s">
        <v>3127</v>
      </c>
      <c r="G461" s="39" t="s">
        <v>3137</v>
      </c>
      <c r="H461" s="82" t="s">
        <v>3138</v>
      </c>
      <c r="I461" s="43">
        <v>0.0</v>
      </c>
      <c r="J461" s="26" t="str">
        <f>IFERROR(__xludf.DUMMYFUNCTION("VLOOKUP(G461,IMPORTRANGE(""https://docs.google.com/spreadsheets/d/12RxCea4e5ggM7QGn1XE3FbLQa_-QbCNdBi90OdPjRqg/edit?gid=1692403370#gid=1692403370"", ""'Plan de Compras'!D4:2432""), 8,0)"),"#N/A")</f>
        <v>#N/A</v>
      </c>
      <c r="K461" s="26" t="str">
        <f t="shared" si="40"/>
        <v>-</v>
      </c>
      <c r="L461" s="26"/>
      <c r="M461" s="32"/>
      <c r="N461" s="32"/>
      <c r="O461" s="32" t="s">
        <v>3132</v>
      </c>
      <c r="P461" s="32"/>
      <c r="Q461" s="33" t="s">
        <v>3139</v>
      </c>
      <c r="R461" s="32"/>
      <c r="S461" s="44" t="b">
        <v>0</v>
      </c>
      <c r="T461" s="32" t="s">
        <v>3132</v>
      </c>
      <c r="U461" s="32"/>
      <c r="V461" s="32"/>
      <c r="W461" s="32"/>
      <c r="X461" s="32"/>
      <c r="Y461" s="138" t="s">
        <v>3139</v>
      </c>
      <c r="Z461" s="37" t="str">
        <f>IFERROR(__xludf.DUMMYFUNCTION("IFERROR(VLOOKUP(G461,IMPORTRANGE(""https://docs.google.com/spreadsheets/d/12RxCea4e5ggM7QGn1XE3FbLQa_-QbCNdBi90OdPjRqg"", ""'Plan de Compras'!D4:Q""), 12, 0), ""NO ESTÁ EN REQ"")"),"NO ESTÁ EN REQ")</f>
        <v>NO ESTÁ EN REQ</v>
      </c>
      <c r="AA461" s="37" t="str">
        <f>IFERROR(__xludf.DUMMYFUNCTION("IFERROR(VLOOKUP(G461,IMPORTRANGE(""https://docs.google.com/spreadsheets/d/12RxCea4e5ggM7QGn1XE3FbLQa_-QbCNdBi90OdPjRqg"", ""'Plan de Compras'!D4:Q""), 13, 0), """")"),"")</f>
        <v/>
      </c>
      <c r="AB461" s="32" t="str">
        <f>IFERROR(__xludf.DUMMYFUNCTION("IFERROR(VLOOKUP(G461,IMPORTRANGE(""https://docs.google.com/spreadsheets/d/12RxCea4e5ggM7QGn1XE3FbLQa_-QbCNdBi90OdPjRqg"", ""'Plan de Compras'!D4:Q""), 14, 0), """")"),"")</f>
        <v/>
      </c>
      <c r="AC461" s="72" t="str">
        <f>IFERROR(__xludf.DUMMYFUNCTION("IFERROR(VLOOKUP(G461,IMPORTRANGE(""https://docs.google.com/spreadsheets/d/12RxCea4e5ggM7QGn1XE3FbLQa_-QbCNdBi90OdPjRqg"", ""'Plan de Compras'!D4:Q""), 4, 0), """")"),"")</f>
        <v/>
      </c>
      <c r="AD461" s="37" t="str">
        <f>IFERROR(__xludf.DUMMYFUNCTION("IFERROR(IF(OR(C461=TRUE,C461=""""),VLOOKUP(G461,IMPORTRANGE(""https://docs.google.com/spreadsheets/d/1z9A1Wq-kKrhRNG5RS2a2fKpY1wIhSVz2ZNmP2mOl588/edit?usp=sharing"",""REQ VF!E4:H""),4,0),""NO APLICA""),""GENERAR REQ"")"),"NO APLICA")</f>
        <v>NO APLICA</v>
      </c>
      <c r="AE461" s="32" t="str">
        <f>IFERROR(__xludf.DUMMYFUNCTION("IFERROR(QUERY(IMPORTRANGE(""https://docs.google.com/spreadsheets/d/1z9A1Wq-kKrhRNG5RS2a2fKpY1wIhSVz2ZNmP2mOl588/edit?usp=sharing"",""REQ VF!E4:Q""),""SELECT Col10, Col11, Col12 WHERE Col1 = '""&amp;G461&amp;""'"",0),""NO APLICA"")"),"NO APLICA")</f>
        <v>NO APLICA</v>
      </c>
      <c r="AF461" s="32"/>
      <c r="AG461" s="32"/>
      <c r="AH461" s="13"/>
      <c r="AI461" s="13"/>
    </row>
    <row r="462">
      <c r="A462" s="43"/>
      <c r="B462" s="43"/>
      <c r="C462" s="26" t="b">
        <v>0</v>
      </c>
      <c r="D462" s="26" t="s">
        <v>95</v>
      </c>
      <c r="E462" s="60" t="s">
        <v>1510</v>
      </c>
      <c r="F462" s="59" t="s">
        <v>3127</v>
      </c>
      <c r="G462" s="39" t="s">
        <v>3140</v>
      </c>
      <c r="H462" s="82" t="s">
        <v>3141</v>
      </c>
      <c r="I462" s="43">
        <v>0.0</v>
      </c>
      <c r="J462" s="26" t="str">
        <f>IFERROR(__xludf.DUMMYFUNCTION("VLOOKUP(G462,IMPORTRANGE(""https://docs.google.com/spreadsheets/d/12RxCea4e5ggM7QGn1XE3FbLQa_-QbCNdBi90OdPjRqg/edit?gid=1692403370#gid=1692403370"", ""'Plan de Compras'!D4:2432""), 8,0)"),"#N/A")</f>
        <v>#N/A</v>
      </c>
      <c r="K462" s="26" t="str">
        <f t="shared" si="40"/>
        <v>-</v>
      </c>
      <c r="L462" s="26"/>
      <c r="M462" s="32"/>
      <c r="N462" s="32"/>
      <c r="O462" s="32" t="s">
        <v>3132</v>
      </c>
      <c r="P462" s="32"/>
      <c r="Q462" s="33" t="s">
        <v>3142</v>
      </c>
      <c r="R462" s="32"/>
      <c r="S462" s="44" t="b">
        <v>0</v>
      </c>
      <c r="T462" s="32" t="s">
        <v>3132</v>
      </c>
      <c r="U462" s="32"/>
      <c r="V462" s="32"/>
      <c r="W462" s="32"/>
      <c r="X462" s="32"/>
      <c r="Y462" s="138" t="s">
        <v>3142</v>
      </c>
      <c r="Z462" s="37" t="str">
        <f>IFERROR(__xludf.DUMMYFUNCTION("IFERROR(VLOOKUP(G462,IMPORTRANGE(""https://docs.google.com/spreadsheets/d/12RxCea4e5ggM7QGn1XE3FbLQa_-QbCNdBi90OdPjRqg"", ""'Plan de Compras'!D4:Q""), 12, 0), ""NO ESTÁ EN REQ"")"),"NO ESTÁ EN REQ")</f>
        <v>NO ESTÁ EN REQ</v>
      </c>
      <c r="AA462" s="37" t="str">
        <f>IFERROR(__xludf.DUMMYFUNCTION("IFERROR(VLOOKUP(G462,IMPORTRANGE(""https://docs.google.com/spreadsheets/d/12RxCea4e5ggM7QGn1XE3FbLQa_-QbCNdBi90OdPjRqg"", ""'Plan de Compras'!D4:Q""), 13, 0), """")"),"")</f>
        <v/>
      </c>
      <c r="AB462" s="32" t="str">
        <f>IFERROR(__xludf.DUMMYFUNCTION("IFERROR(VLOOKUP(G462,IMPORTRANGE(""https://docs.google.com/spreadsheets/d/12RxCea4e5ggM7QGn1XE3FbLQa_-QbCNdBi90OdPjRqg"", ""'Plan de Compras'!D4:Q""), 14, 0), """")"),"")</f>
        <v/>
      </c>
      <c r="AC462" s="72" t="str">
        <f>IFERROR(__xludf.DUMMYFUNCTION("IFERROR(VLOOKUP(G462,IMPORTRANGE(""https://docs.google.com/spreadsheets/d/12RxCea4e5ggM7QGn1XE3FbLQa_-QbCNdBi90OdPjRqg"", ""'Plan de Compras'!D4:Q""), 4, 0), """")"),"")</f>
        <v/>
      </c>
      <c r="AD462" s="37" t="str">
        <f>IFERROR(__xludf.DUMMYFUNCTION("IFERROR(IF(OR(C462=TRUE,C462=""""),VLOOKUP(G462,IMPORTRANGE(""https://docs.google.com/spreadsheets/d/1z9A1Wq-kKrhRNG5RS2a2fKpY1wIhSVz2ZNmP2mOl588/edit?usp=sharing"",""REQ VF!E4:H""),4,0),""NO APLICA""),""GENERAR REQ"")"),"NO APLICA")</f>
        <v>NO APLICA</v>
      </c>
      <c r="AE462" s="32" t="str">
        <f>IFERROR(__xludf.DUMMYFUNCTION("IFERROR(QUERY(IMPORTRANGE(""https://docs.google.com/spreadsheets/d/1z9A1Wq-kKrhRNG5RS2a2fKpY1wIhSVz2ZNmP2mOl588/edit?usp=sharing"",""REQ VF!E4:Q""),""SELECT Col10, Col11, Col12 WHERE Col1 = '""&amp;G462&amp;""'"",0),""NO APLICA"")"),"NO APLICA")</f>
        <v>NO APLICA</v>
      </c>
      <c r="AF462" s="32"/>
      <c r="AG462" s="32"/>
      <c r="AH462" s="13"/>
      <c r="AI462" s="13"/>
    </row>
    <row r="463">
      <c r="A463" s="117">
        <v>286.0</v>
      </c>
      <c r="B463" s="43" t="b">
        <v>1</v>
      </c>
      <c r="C463" s="26" t="b">
        <v>0</v>
      </c>
      <c r="D463" s="26" t="s">
        <v>35</v>
      </c>
      <c r="E463" s="26" t="s">
        <v>1510</v>
      </c>
      <c r="F463" s="63" t="s">
        <v>3143</v>
      </c>
      <c r="G463" s="37" t="s">
        <v>3143</v>
      </c>
      <c r="H463" s="82" t="s">
        <v>3144</v>
      </c>
      <c r="I463" s="43">
        <f>SUMIFS('Hoja 10'!$O:$O,'Hoja 10'!$F:$F,$G463)</f>
        <v>16</v>
      </c>
      <c r="J463" s="26" t="str">
        <f>IFERROR(__xludf.DUMMYFUNCTION("VLOOKUP(G463,IMPORTRANGE(""https://docs.google.com/spreadsheets/d/12RxCea4e5ggM7QGn1XE3FbLQa_-QbCNdBi90OdPjRqg/edit?gid=1692403370#gid=1692403370"", ""'Plan de Compras'!D4:2432""), 8,0)"),"#N/A")</f>
        <v>#N/A</v>
      </c>
      <c r="K463" s="26" t="str">
        <f t="shared" si="40"/>
        <v>-</v>
      </c>
      <c r="L463" s="29" t="s">
        <v>39</v>
      </c>
      <c r="M463" s="30" t="s">
        <v>40</v>
      </c>
      <c r="N463" s="32"/>
      <c r="O463" s="32" t="str">
        <f>VLOOKUP($G463,'Hoja 10'!$F$4:$AA1057, 19,0)</f>
        <v>GENERICO</v>
      </c>
      <c r="P463" s="32" t="str">
        <f>VLOOKUP($G463,'Hoja 10'!$F$4:$AA1057, 20,0)</f>
        <v>Acero Inoxidable Con Madera de medidas: 20 cm, 14cm y 8cm</v>
      </c>
      <c r="Q463" s="33" t="str">
        <f>VLOOKUP($G463,'Hoja 10'!$F$4:$AA1057, 21,0)</f>
        <v>https://tiendamia.com/pe/producto?amz=b088jvms6r</v>
      </c>
      <c r="R463" s="30" t="s">
        <v>3145</v>
      </c>
      <c r="S463" s="44" t="b">
        <v>0</v>
      </c>
      <c r="T463" s="39" t="str">
        <f>IFERROR(__xludf.DUMMYFUNCTION(" IF
( VLOOKUP($G463,IMPORTRANGE(""https://docs.google.com/spreadsheets/d/1Gpl6jkTg7sL4VDNimUm3S9Vi1i95esohXCF3wuKOE8c"", ""'CONSOLIDADO'!G5:AB""), 10, 0) &lt;&gt; 0, 
IFERROR(VLOOKUP($G463,IMPORTRANGE(""https://docs.google.com/spreadsheets/d/1Gpl6jkTg7sL4VDNimU"&amp;"m3S9Vi1i95esohXCF3wuKOE8c"", ""'CONSOLIDADO'!G5:AB""), 17, 0), ""-""),
""""
)"),"ILKO / FACUSA / GASPAR")</f>
        <v>ILKO / FACUSA / GASPAR</v>
      </c>
      <c r="U463" s="39" t="str">
        <f>IFERROR(__xludf.DUMMYFUNCTION(" IF
( VLOOKUP($G463,IMPORTRANGE(""https://docs.google.com/spreadsheets/d/1Gpl6jkTg7sL4VDNimUm3S9Vi1i95esohXCF3wuKOE8c"", ""'CONSOLIDADO'!G5:AB""), 10, 0) &lt;&gt; 0, 
IFERROR(VLOOKUP($G463,IMPORTRANGE(""https://docs.google.com/spreadsheets/d/1Gpl6jkTg7sL4VDNimU"&amp;"m3S9Vi1i95esohXCF3wuKOE8c"", ""'CONSOLIDADO'!G5:AB""), 18, 0), ""-""),
""""
)"),"Colador Ac. Inoxidable 20 Cm / Colador Ac. Inoxidable 14 Cm / Colador A/Inox 8.5 Cm")</f>
        <v>Colador Ac. Inoxidable 20 Cm / Colador Ac. Inoxidable 14 Cm / Colador A/Inox 8.5 Cm</v>
      </c>
      <c r="V463" s="39" t="str">
        <f>IFERROR(__xludf.DUMMYFUNCTION(" IF
( VLOOKUP($G463,IMPORTRANGE(""https://docs.google.com/spreadsheets/d/1Gpl6jkTg7sL4VDNimUm3S9Vi1i95esohXCF3wuKOE8c"", ""'CONSOLIDADO'!G5:AB""), 10, 0) &lt;&gt; 0, 
IFERROR(VLOOKUP($G463,IMPORTRANGE(""https://docs.google.com/spreadsheets/d/1Gpl6jkTg7sL4VDNimU"&amp;"m3S9Vi1i95esohXCF3wuKOE8c"", ""'CONSOLIDADO'!G5:AB""), 17, 0), ""-""),
""""
)"),"ILKO / FACUSA / GASPAR")</f>
        <v>ILKO / FACUSA / GASPAR</v>
      </c>
      <c r="W463" s="39" t="str">
        <f>IFERROR(__xludf.DUMMYFUNCTION(" IF
( VLOOKUP($G463,IMPORTRANGE(""https://docs.google.com/spreadsheets/d/1Gpl6jkTg7sL4VDNimUm3S9Vi1i95esohXCF3wuKOE8c"", ""'CONSOLIDADO'!G5:AB""), 10, 0) &lt;&gt; 0, 
IFERROR(VLOOKUP($G463,IMPORTRANGE(""https://docs.google.com/spreadsheets/d/1Gpl6jkTg7sL4VDNimU"&amp;"m3S9Vi1i95esohXCF3wuKOE8c"", ""'CONSOLIDADO'!G5:AB""), 18, 0), ""-""),
""""
)"),"Colador Ac. Inoxidable 20 Cm / Colador Ac. Inoxidable 14 Cm / Colador A/Inox 8.5 Cm")</f>
        <v>Colador Ac. Inoxidable 20 Cm / Colador Ac. Inoxidable 14 Cm / Colador A/Inox 8.5 Cm</v>
      </c>
      <c r="X463" s="39" t="b">
        <f>IF(AND(T463=V463,W463=U463),TRUE,FALSE)</f>
        <v>1</v>
      </c>
      <c r="Y463" s="110" t="str">
        <f>IFERROR(__xludf.DUMMYFUNCTION(" IF
( VLOOKUP($G463,IMPORTRANGE(""https://docs.google.com/spreadsheets/d/1Gpl6jkTg7sL4VDNimUm3S9Vi1i95esohXCF3wuKOE8c"", ""'CONSOLIDADO'!G5:AB""), 10, 0) &lt;&gt; 0, 
IFERROR(VLOOKUP($G463,IMPORTRANGE(""https://docs.google.com/spreadsheets/d/1Gpl6jkTg7sL4VDNimU"&amp;"m3S9Vi1i95esohXCF3wuKOE8c"", ""'CONSOLIDADO'!G5:AB""), 19, 0), ""-""),
""""
)"),"https://www.uysa.com.pe/colador-ac-inoxidable-20-cm-clasica-10046032/p?srsltid=AfmBOor_XMsxk5BAXpoNnGr8QV0ZR4K1yswwh32fsPK5zRurN64DuEil
https://www.uysa.com.pe/colador-ac-inoxidable-14-cm-clasica-1628109-ilko-10046028/p?srsltid=AfmBOoroekIyguYiPjPGtSzpbm"&amp;"2PKegCZAlIG2ZXqk1XOTF1kRUL7JGS
https://www.uysa.com.pe/colador-a-inox-8-5-cm-10046002/p?srsltid=AfmBOor8jPLQgb6anWS3fk1sOE1wFLh_aKG_hgeFqjw1cBtTtPqbHMWZ")</f>
        <v>https://www.uysa.com.pe/colador-ac-inoxidable-20-cm-clasica-10046032/p?srsltid=AfmBOor_XMsxk5BAXpoNnGr8QV0ZR4K1yswwh32fsPK5zRurN64DuEil
https://www.uysa.com.pe/colador-ac-inoxidable-14-cm-clasica-1628109-ilko-10046028/p?srsltid=AfmBOoroekIyguYiPjPGtSzpbm2PKegCZAlIG2ZXqk1XOTF1kRUL7JGS
https://www.uysa.com.pe/colador-a-inox-8-5-cm-10046002/p?srsltid=AfmBOor8jPLQgb6anWS3fk1sOE1wFLh_aKG_hgeFqjw1cBtTtPqbHMWZ</v>
      </c>
      <c r="Z463" s="37" t="str">
        <f>IFERROR(__xludf.DUMMYFUNCTION("IFERROR(VLOOKUP(G463,IMPORTRANGE(""https://docs.google.com/spreadsheets/d/12RxCea4e5ggM7QGn1XE3FbLQa_-QbCNdBi90OdPjRqg"", ""'Plan de Compras'!D4:Q""), 12, 0), ""NO ESTÁ EN REQ"")"),"NO ESTÁ EN REQ")</f>
        <v>NO ESTÁ EN REQ</v>
      </c>
      <c r="AA463" s="37" t="str">
        <f>IFERROR(__xludf.DUMMYFUNCTION("IFERROR(VLOOKUP(G463,IMPORTRANGE(""https://docs.google.com/spreadsheets/d/12RxCea4e5ggM7QGn1XE3FbLQa_-QbCNdBi90OdPjRqg"", ""'Plan de Compras'!D4:Q""), 13, 0), """")"),"")</f>
        <v/>
      </c>
      <c r="AB463" s="32" t="str">
        <f>IFERROR(__xludf.DUMMYFUNCTION("IFERROR(VLOOKUP(G463,IMPORTRANGE(""https://docs.google.com/spreadsheets/d/12RxCea4e5ggM7QGn1XE3FbLQa_-QbCNdBi90OdPjRqg"", ""'Plan de Compras'!D4:Q""), 14, 0), """")"),"")</f>
        <v/>
      </c>
      <c r="AC463" s="72" t="str">
        <f>IFERROR(__xludf.DUMMYFUNCTION("IFERROR(VLOOKUP(G463,IMPORTRANGE(""https://docs.google.com/spreadsheets/d/12RxCea4e5ggM7QGn1XE3FbLQa_-QbCNdBi90OdPjRqg"", ""'Plan de Compras'!D4:Q""), 4, 0), """")"),"")</f>
        <v/>
      </c>
      <c r="AD463" s="37" t="str">
        <f>IFERROR(__xludf.DUMMYFUNCTION("IFERROR(IF(OR(C463=TRUE,C463=""""),VLOOKUP(G463,IMPORTRANGE(""https://docs.google.com/spreadsheets/d/1z9A1Wq-kKrhRNG5RS2a2fKpY1wIhSVz2ZNmP2mOl588/edit?usp=sharing"",""REQ VF!E4:H""),4,0),""NO APLICA""),""GENERAR REQ"")"),"NO APLICA")</f>
        <v>NO APLICA</v>
      </c>
      <c r="AE463" s="32" t="str">
        <f>IFERROR(__xludf.DUMMYFUNCTION("IFERROR(QUERY(IMPORTRANGE(""https://docs.google.com/spreadsheets/d/1z9A1Wq-kKrhRNG5RS2a2fKpY1wIhSVz2ZNmP2mOl588/edit?usp=sharing"",""REQ VF!E4:Q""),""SELECT Col10, Col11, Col12 WHERE Col1 = '""&amp;G463&amp;""'"",0),""NO APLICA"")"),"NO APLICA")</f>
        <v>NO APLICA</v>
      </c>
      <c r="AF463" s="32"/>
      <c r="AG463" s="32"/>
      <c r="AH463" s="13"/>
      <c r="AI463" s="13"/>
    </row>
    <row r="464">
      <c r="A464" s="43"/>
      <c r="B464" s="43"/>
      <c r="C464" s="26" t="b">
        <v>1</v>
      </c>
      <c r="D464" s="26" t="s">
        <v>95</v>
      </c>
      <c r="E464" s="43" t="s">
        <v>1510</v>
      </c>
      <c r="F464" s="39" t="s">
        <v>3143</v>
      </c>
      <c r="G464" s="39" t="s">
        <v>3146</v>
      </c>
      <c r="H464" s="66" t="s">
        <v>3147</v>
      </c>
      <c r="I464" s="43">
        <v>16.0</v>
      </c>
      <c r="J464" s="26">
        <f>IFERROR(__xludf.DUMMYFUNCTION("VLOOKUP(G464,IMPORTRANGE(""https://docs.google.com/spreadsheets/d/12RxCea4e5ggM7QGn1XE3FbLQa_-QbCNdBi90OdPjRqg/edit?gid=1692403370#gid=1692403370"", ""'Plan de Compras'!D4:2432""), 8,0)"),16.0)</f>
        <v>16</v>
      </c>
      <c r="K464" s="26" t="str">
        <f t="shared" si="40"/>
        <v>SI</v>
      </c>
      <c r="L464" s="29"/>
      <c r="M464" s="61"/>
      <c r="N464" s="32"/>
      <c r="O464" s="32"/>
      <c r="P464" s="32"/>
      <c r="Q464" s="41"/>
      <c r="R464" s="61"/>
      <c r="S464" s="34" t="b">
        <v>1</v>
      </c>
      <c r="T464" s="39" t="s">
        <v>3148</v>
      </c>
      <c r="U464" s="39">
        <v>1.0046032E7</v>
      </c>
      <c r="V464" s="39"/>
      <c r="W464" s="39"/>
      <c r="X464" s="39"/>
      <c r="Y464" s="120" t="s">
        <v>3149</v>
      </c>
      <c r="Z464" s="37" t="str">
        <f>IFERROR(__xludf.DUMMYFUNCTION("IFERROR(VLOOKUP(G464,IMPORTRANGE(""https://docs.google.com/spreadsheets/d/12RxCea4e5ggM7QGn1XE3FbLQa_-QbCNdBi90OdPjRqg"", ""'Plan de Compras'!D4:Q""), 12, 0), ""NO ESTÁ EN REQ"")"),"Técnica")</f>
        <v>Técnica</v>
      </c>
      <c r="AA464" s="37" t="str">
        <f>IFERROR(__xludf.DUMMYFUNCTION("IFERROR(VLOOKUP(G464,IMPORTRANGE(""https://docs.google.com/spreadsheets/d/12RxCea4e5ggM7QGn1XE3FbLQa_-QbCNdBi90OdPjRqg"", ""'Plan de Compras'!D4:Q""), 13, 0), """")"),"NACIONAL")</f>
        <v>NACIONAL</v>
      </c>
      <c r="AB464" s="32" t="str">
        <f>IFERROR(__xludf.DUMMYFUNCTION("IFERROR(VLOOKUP(G464,IMPORTRANGE(""https://docs.google.com/spreadsheets/d/12RxCea4e5ggM7QGn1XE3FbLQa_-QbCNdBi90OdPjRqg"", ""'Plan de Compras'!D4:Q""), 14, 0), """")"),"ANGIE")</f>
        <v>ANGIE</v>
      </c>
      <c r="AC464" s="72" t="str">
        <f>IFERROR(__xludf.DUMMYFUNCTION("IFERROR(VLOOKUP(G464,IMPORTRANGE(""https://docs.google.com/spreadsheets/d/12RxCea4e5ggM7QGn1XE3FbLQa_-QbCNdBi90OdPjRqg"", ""'Plan de Compras'!D4:Q""), 4, 0), """")"),"COLADERA 20 CM (1 UND)")</f>
        <v>COLADERA 20 CM (1 UND)</v>
      </c>
      <c r="AD464" s="37" t="str">
        <f>IFERROR(__xludf.DUMMYFUNCTION("IFERROR(IF(OR(C464=TRUE,C464=""""),VLOOKUP(G464,IMPORTRANGE(""https://docs.google.com/spreadsheets/d/1z9A1Wq-kKrhRNG5RS2a2fKpY1wIhSVz2ZNmP2mOl588/edit?usp=sharing"",""REQ VF!E4:H""),4,0),""NO APLICA""),""GENERAR REQ"")"),"GENERAR REQ")</f>
        <v>GENERAR REQ</v>
      </c>
      <c r="AE464" s="32" t="str">
        <f>IFERROR(__xludf.DUMMYFUNCTION("IFERROR(QUERY(IMPORTRANGE(""https://docs.google.com/spreadsheets/d/1z9A1Wq-kKrhRNG5RS2a2fKpY1wIhSVz2ZNmP2mOl588/edit?usp=sharing"",""REQ VF!E4:Q""),""SELECT Col10, Col11, Col12 WHERE Col1 = '""&amp;G464&amp;""'"",0),""NO APLICA"")"),"NO APLICA")</f>
        <v>NO APLICA</v>
      </c>
      <c r="AF464" s="32"/>
      <c r="AG464" s="32"/>
      <c r="AH464" s="13"/>
      <c r="AI464" s="13"/>
    </row>
    <row r="465">
      <c r="A465" s="43"/>
      <c r="B465" s="43"/>
      <c r="C465" s="26" t="b">
        <v>1</v>
      </c>
      <c r="D465" s="26" t="s">
        <v>95</v>
      </c>
      <c r="E465" s="43" t="s">
        <v>1510</v>
      </c>
      <c r="F465" s="39" t="s">
        <v>3143</v>
      </c>
      <c r="G465" s="39" t="s">
        <v>3150</v>
      </c>
      <c r="H465" s="66" t="s">
        <v>3151</v>
      </c>
      <c r="I465" s="43">
        <v>16.0</v>
      </c>
      <c r="J465" s="26">
        <f>IFERROR(__xludf.DUMMYFUNCTION("VLOOKUP(G465,IMPORTRANGE(""https://docs.google.com/spreadsheets/d/12RxCea4e5ggM7QGn1XE3FbLQa_-QbCNdBi90OdPjRqg/edit?gid=1692403370#gid=1692403370"", ""'Plan de Compras'!D4:2432""), 8,0)"),16.0)</f>
        <v>16</v>
      </c>
      <c r="K465" s="26" t="str">
        <f t="shared" si="40"/>
        <v>SI</v>
      </c>
      <c r="L465" s="29"/>
      <c r="M465" s="61"/>
      <c r="N465" s="32"/>
      <c r="O465" s="32"/>
      <c r="P465" s="32"/>
      <c r="Q465" s="41"/>
      <c r="R465" s="61"/>
      <c r="S465" s="34" t="b">
        <v>1</v>
      </c>
      <c r="T465" s="39" t="s">
        <v>2913</v>
      </c>
      <c r="U465" s="39" t="s">
        <v>3152</v>
      </c>
      <c r="V465" s="39"/>
      <c r="W465" s="39"/>
      <c r="X465" s="39"/>
      <c r="Y465" s="120" t="s">
        <v>3153</v>
      </c>
      <c r="Z465" s="37" t="str">
        <f>IFERROR(__xludf.DUMMYFUNCTION("IFERROR(VLOOKUP(G465,IMPORTRANGE(""https://docs.google.com/spreadsheets/d/12RxCea4e5ggM7QGn1XE3FbLQa_-QbCNdBi90OdPjRqg"", ""'Plan de Compras'!D4:Q""), 12, 0), ""NO ESTÁ EN REQ"")"),"Técnica")</f>
        <v>Técnica</v>
      </c>
      <c r="AA465" s="37" t="str">
        <f>IFERROR(__xludf.DUMMYFUNCTION("IFERROR(VLOOKUP(G465,IMPORTRANGE(""https://docs.google.com/spreadsheets/d/12RxCea4e5ggM7QGn1XE3FbLQa_-QbCNdBi90OdPjRqg"", ""'Plan de Compras'!D4:Q""), 13, 0), """")"),"NACIONAL")</f>
        <v>NACIONAL</v>
      </c>
      <c r="AB465" s="32" t="str">
        <f>IFERROR(__xludf.DUMMYFUNCTION("IFERROR(VLOOKUP(G465,IMPORTRANGE(""https://docs.google.com/spreadsheets/d/12RxCea4e5ggM7QGn1XE3FbLQa_-QbCNdBi90OdPjRqg"", ""'Plan de Compras'!D4:Q""), 14, 0), """")"),"ANGIE")</f>
        <v>ANGIE</v>
      </c>
      <c r="AC465" s="72" t="str">
        <f>IFERROR(__xludf.DUMMYFUNCTION("IFERROR(VLOOKUP(G465,IMPORTRANGE(""https://docs.google.com/spreadsheets/d/12RxCea4e5ggM7QGn1XE3FbLQa_-QbCNdBi90OdPjRqg"", ""'Plan de Compras'!D4:Q""), 4, 0), """")"),"COLADERA 14 CM (1 UND)")</f>
        <v>COLADERA 14 CM (1 UND)</v>
      </c>
      <c r="AD465" s="37" t="str">
        <f>IFERROR(__xludf.DUMMYFUNCTION("IFERROR(IF(OR(C465=TRUE,C465=""""),VLOOKUP(G465,IMPORTRANGE(""https://docs.google.com/spreadsheets/d/1z9A1Wq-kKrhRNG5RS2a2fKpY1wIhSVz2ZNmP2mOl588/edit?usp=sharing"",""REQ VF!E4:H""),4,0),""NO APLICA""),""GENERAR REQ"")"),"GENERAR REQ")</f>
        <v>GENERAR REQ</v>
      </c>
      <c r="AE465" s="32" t="str">
        <f>IFERROR(__xludf.DUMMYFUNCTION("IFERROR(QUERY(IMPORTRANGE(""https://docs.google.com/spreadsheets/d/1z9A1Wq-kKrhRNG5RS2a2fKpY1wIhSVz2ZNmP2mOl588/edit?usp=sharing"",""REQ VF!E4:Q""),""SELECT Col10, Col11, Col12 WHERE Col1 = '""&amp;G465&amp;""'"",0),""NO APLICA"")"),"NO APLICA")</f>
        <v>NO APLICA</v>
      </c>
      <c r="AF465" s="32"/>
      <c r="AG465" s="32"/>
      <c r="AH465" s="13"/>
      <c r="AI465" s="13"/>
    </row>
    <row r="466">
      <c r="A466" s="43"/>
      <c r="B466" s="43"/>
      <c r="C466" s="26" t="b">
        <v>1</v>
      </c>
      <c r="D466" s="26" t="s">
        <v>95</v>
      </c>
      <c r="E466" s="43" t="s">
        <v>1510</v>
      </c>
      <c r="F466" s="39" t="s">
        <v>3143</v>
      </c>
      <c r="G466" s="39" t="s">
        <v>3154</v>
      </c>
      <c r="H466" s="66" t="s">
        <v>3155</v>
      </c>
      <c r="I466" s="43">
        <v>16.0</v>
      </c>
      <c r="J466" s="26">
        <f>IFERROR(__xludf.DUMMYFUNCTION("VLOOKUP(G466,IMPORTRANGE(""https://docs.google.com/spreadsheets/d/12RxCea4e5ggM7QGn1XE3FbLQa_-QbCNdBi90OdPjRqg/edit?gid=1692403370#gid=1692403370"", ""'Plan de Compras'!D4:2432""), 8,0)"),16.0)</f>
        <v>16</v>
      </c>
      <c r="K466" s="26" t="str">
        <f t="shared" si="40"/>
        <v>SI</v>
      </c>
      <c r="L466" s="29"/>
      <c r="M466" s="61"/>
      <c r="N466" s="32"/>
      <c r="O466" s="32"/>
      <c r="P466" s="32"/>
      <c r="Q466" s="41"/>
      <c r="R466" s="61"/>
      <c r="S466" s="34" t="b">
        <v>1</v>
      </c>
      <c r="T466" s="39" t="s">
        <v>3156</v>
      </c>
      <c r="U466" s="39" t="s">
        <v>3157</v>
      </c>
      <c r="V466" s="39"/>
      <c r="W466" s="39"/>
      <c r="X466" s="39"/>
      <c r="Y466" s="120" t="s">
        <v>3158</v>
      </c>
      <c r="Z466" s="37" t="str">
        <f>IFERROR(__xludf.DUMMYFUNCTION("IFERROR(VLOOKUP(G466,IMPORTRANGE(""https://docs.google.com/spreadsheets/d/12RxCea4e5ggM7QGn1XE3FbLQa_-QbCNdBi90OdPjRqg"", ""'Plan de Compras'!D4:Q""), 12, 0), ""NO ESTÁ EN REQ"")"),"Técnica")</f>
        <v>Técnica</v>
      </c>
      <c r="AA466" s="37" t="str">
        <f>IFERROR(__xludf.DUMMYFUNCTION("IFERROR(VLOOKUP(G466,IMPORTRANGE(""https://docs.google.com/spreadsheets/d/12RxCea4e5ggM7QGn1XE3FbLQa_-QbCNdBi90OdPjRqg"", ""'Plan de Compras'!D4:Q""), 13, 0), """")"),"NACIONAL")</f>
        <v>NACIONAL</v>
      </c>
      <c r="AB466" s="32" t="str">
        <f>IFERROR(__xludf.DUMMYFUNCTION("IFERROR(VLOOKUP(G466,IMPORTRANGE(""https://docs.google.com/spreadsheets/d/12RxCea4e5ggM7QGn1XE3FbLQa_-QbCNdBi90OdPjRqg"", ""'Plan de Compras'!D4:Q""), 14, 0), """")"),"ANGIE")</f>
        <v>ANGIE</v>
      </c>
      <c r="AC466" s="72" t="str">
        <f>IFERROR(__xludf.DUMMYFUNCTION("IFERROR(VLOOKUP(G466,IMPORTRANGE(""https://docs.google.com/spreadsheets/d/12RxCea4e5ggM7QGn1XE3FbLQa_-QbCNdBi90OdPjRqg"", ""'Plan de Compras'!D4:Q""), 4, 0), """")"),"COLADERA 8.5 CM (1 UND)")</f>
        <v>COLADERA 8.5 CM (1 UND)</v>
      </c>
      <c r="AD466" s="37" t="str">
        <f>IFERROR(__xludf.DUMMYFUNCTION("IFERROR(IF(OR(C466=TRUE,C466=""""),VLOOKUP(G466,IMPORTRANGE(""https://docs.google.com/spreadsheets/d/1z9A1Wq-kKrhRNG5RS2a2fKpY1wIhSVz2ZNmP2mOl588/edit?usp=sharing"",""REQ VF!E4:H""),4,0),""NO APLICA""),""GENERAR REQ"")"),"GENERAR REQ")</f>
        <v>GENERAR REQ</v>
      </c>
      <c r="AE466" s="32" t="str">
        <f>IFERROR(__xludf.DUMMYFUNCTION("IFERROR(QUERY(IMPORTRANGE(""https://docs.google.com/spreadsheets/d/1z9A1Wq-kKrhRNG5RS2a2fKpY1wIhSVz2ZNmP2mOl588/edit?usp=sharing"",""REQ VF!E4:Q""),""SELECT Col10, Col11, Col12 WHERE Col1 = '""&amp;G466&amp;""'"",0),""NO APLICA"")"),"NO APLICA")</f>
        <v>NO APLICA</v>
      </c>
      <c r="AF466" s="32"/>
      <c r="AG466" s="32"/>
      <c r="AH466" s="13"/>
      <c r="AI466" s="13"/>
    </row>
    <row r="467">
      <c r="A467" s="121">
        <v>287.0</v>
      </c>
      <c r="B467" s="43" t="b">
        <v>1</v>
      </c>
      <c r="C467" s="26" t="b">
        <v>0</v>
      </c>
      <c r="D467" s="26" t="s">
        <v>35</v>
      </c>
      <c r="E467" s="26" t="s">
        <v>1510</v>
      </c>
      <c r="F467" s="59" t="s">
        <v>3159</v>
      </c>
      <c r="G467" s="37" t="s">
        <v>3159</v>
      </c>
      <c r="H467" s="82" t="s">
        <v>3160</v>
      </c>
      <c r="I467" s="43">
        <f>SUMIFS('Hoja 10'!$O:$O,'Hoja 10'!$F:$F,$G467)</f>
        <v>2</v>
      </c>
      <c r="J467" s="26" t="str">
        <f>IFERROR(__xludf.DUMMYFUNCTION("VLOOKUP(G467,IMPORTRANGE(""https://docs.google.com/spreadsheets/d/12RxCea4e5ggM7QGn1XE3FbLQa_-QbCNdBi90OdPjRqg/edit?gid=1692403370#gid=1692403370"", ""'Plan de Compras'!D4:2432""), 8,0)"),"#N/A")</f>
        <v>#N/A</v>
      </c>
      <c r="K467" s="26" t="str">
        <f t="shared" si="40"/>
        <v>-</v>
      </c>
      <c r="L467" s="29" t="s">
        <v>77</v>
      </c>
      <c r="M467" s="30" t="s">
        <v>78</v>
      </c>
      <c r="N467" s="32"/>
      <c r="O467" s="32" t="str">
        <f>VLOOKUP($G467,'Hoja 10'!$F$4:$AA1057, 19,0)</f>
        <v>Proto Future / G&amp;L Hogar</v>
      </c>
      <c r="P467" s="32" t="str">
        <f>VLOOKUP($G467,'Hoja 10'!$F$4:$AA1057, 20,0)</f>
        <v>premium (18/8) / 13860</v>
      </c>
      <c r="Q467" s="33" t="str">
        <f>VLOOKUP($G467,'Hoja 10'!$F$4:$AA1057, 21,0)</f>
        <v>https://www.amazon.com/dp/B07Z6D34HK/ref=twister_B08264MDF9?_encoding=UTF8&amp;th=1</v>
      </c>
      <c r="R467" s="30" t="s">
        <v>3161</v>
      </c>
      <c r="S467" s="34" t="b">
        <v>1</v>
      </c>
      <c r="T467" s="39" t="str">
        <f>IFERROR(__xludf.DUMMYFUNCTION(" IF
( VLOOKUP($G467,IMPORTRANGE(""https://docs.google.com/spreadsheets/d/1Gpl6jkTg7sL4VDNimUm3S9Vi1i95esohXCF3wuKOE8c"", ""'CONSOLIDADO'!G5:AB""), 10, 0) &lt;&gt; 0, 
IFERROR(VLOOKUP($G467,IMPORTRANGE(""https://docs.google.com/spreadsheets/d/1Gpl6jkTg7sL4VDNimU"&amp;"m3S9Vi1i95esohXCF3wuKOE8c"", ""'CONSOLIDADO'!G5:AB""), 17, 0), ""-""),
""""
)"),"Proto Future / U.S. Kitchen Supply")</f>
        <v>Proto Future / U.S. Kitchen Supply</v>
      </c>
      <c r="U467" s="39" t="str">
        <f>IFERROR(__xludf.DUMMYFUNCTION(" IF
( VLOOKUP($G467,IMPORTRANGE(""https://docs.google.com/spreadsheets/d/1Gpl6jkTg7sL4VDNimUm3S9Vi1i95esohXCF3wuKOE8c"", ""'CONSOLIDADO'!G5:AB""), 10, 0) &lt;&gt; 0, 
IFERROR(VLOOKUP($G467,IMPORTRANGE(""https://docs.google.com/spreadsheets/d/1Gpl6jkTg7sL4VDNimU"&amp;"m3S9Vi1i95esohXCF3wuKOE8c"", ""'CONSOLIDADO'!G5:AB""), 18, 0), ""-""),
""""
)"),"premium (18/8) / Juego de 3 coladores de acero inoxidable de 5, 4 y 3 cuartos de galón")</f>
        <v>premium (18/8) / Juego de 3 coladores de acero inoxidable de 5, 4 y 3 cuartos de galón</v>
      </c>
      <c r="V467" s="39" t="str">
        <f>IFERROR(__xludf.DUMMYFUNCTION(" IF
( VLOOKUP($G467,IMPORTRANGE(""https://docs.google.com/spreadsheets/d/1Gpl6jkTg7sL4VDNimUm3S9Vi1i95esohXCF3wuKOE8c"", ""'CONSOLIDADO'!G5:AB""), 10, 0) &lt;&gt; 0, 
IFERROR(VLOOKUP($G467,IMPORTRANGE(""https://docs.google.com/spreadsheets/d/1Gpl6jkTg7sL4VDNimU"&amp;"m3S9Vi1i95esohXCF3wuKOE8c"", ""'CONSOLIDADO'!G5:AB""), 17, 0), ""-""),
""""
)"),"Proto Future / U.S. Kitchen Supply")</f>
        <v>Proto Future / U.S. Kitchen Supply</v>
      </c>
      <c r="W467" s="39" t="str">
        <f>IFERROR(__xludf.DUMMYFUNCTION(" IF
( VLOOKUP($G467,IMPORTRANGE(""https://docs.google.com/spreadsheets/d/1Gpl6jkTg7sL4VDNimUm3S9Vi1i95esohXCF3wuKOE8c"", ""'CONSOLIDADO'!G5:AB""), 10, 0) &lt;&gt; 0, 
IFERROR(VLOOKUP($G467,IMPORTRANGE(""https://docs.google.com/spreadsheets/d/1Gpl6jkTg7sL4VDNimU"&amp;"m3S9Vi1i95esohXCF3wuKOE8c"", ""'CONSOLIDADO'!G5:AB""), 18, 0), ""-""),
""""
)"),"premium (18/8) / Juego de 3 coladores de acero inoxidable de 5, 4 y 3 cuartos de galón")</f>
        <v>premium (18/8) / Juego de 3 coladores de acero inoxidable de 5, 4 y 3 cuartos de galón</v>
      </c>
      <c r="X467" s="39" t="b">
        <f>IF(AND(T467=V467,W467=U467),TRUE,FALSE)</f>
        <v>1</v>
      </c>
      <c r="Y467" s="110" t="str">
        <f>IFERROR(__xludf.DUMMYFUNCTION(" IF
( VLOOKUP($G467,IMPORTRANGE(""https://docs.google.com/spreadsheets/d/1Gpl6jkTg7sL4VDNimUm3S9Vi1i95esohXCF3wuKOE8c"", ""'CONSOLIDADO'!G5:AB""), 10, 0) &lt;&gt; 0, 
IFERROR(VLOOKUP($G467,IMPORTRANGE(""https://docs.google.com/spreadsheets/d/1Gpl6jkTg7sL4VDNimU"&amp;"m3S9Vi1i95esohXCF3wuKOE8c"", ""'CONSOLIDADO'!G5:AB""), 19, 0), ""-""),
""""
)"),"https://www.amazon.com/dp/B07Z6D34HK/ref=twister_B08264MDF9?_encoding=UTF8&amp;th=1
https://www.amazon.com/Kitchen-coladores-inoxidable-cuartos-colador/dp/B01MQCGF1V/ref=sr_1_3_sspa?__mk_es_US=%C3%85M%C3%85%C5%BD%C3%95%C3%91&amp;crid=1PXKFVOGDD3Y4&amp;dib=eyJ2IjoiMSJ"&amp;"9.4yz4b6A7_Bp1j4erF5dDEUiQPHts2iwyt6NwNZJBRdV0XL1sH9HH-oI4XpcnrOkZs_JvgRBhR2Mwg9OPkXyWAA-S1uy5Lizm4cmrEfZ9Ss9XC_xAwaKybtMGtvK6tyiWaKQ91Tn76kQgK03atrtD1vffzT3A4F9ktWOSxI0AtZoIjfm8MYQnEzw6npB4qRofTWmMBAnhU3WDJ7Ew_3SKgxbEAAuUHm2KJL5XJiSYatT9GBwyMAE4J60G6LifX"&amp;"cqKL4jFnuHFDWTQ1ov6RHbyqew3Zo-jiJqJGGieZtGn9B8.FglENbw8fcxw1UXrWtrBA3eMOwPZMhTkMeJE7-yP8oE&amp;dib_tag=se&amp;keywords=juego+de+3+coladores+de+acero+inoxidable&amp;qid=1761580006&amp;sprefix=uego+de+3+coladores+de+acero+inoxidable+%2Caps%2C305&amp;sr=8-3-spons&amp;sp_csd=d2lkZ2V"&amp;"0TmFtZT1zcF9hdGY&amp;psc=1
")</f>
        <v>https://www.amazon.com/dp/B07Z6D34HK/ref=twister_B08264MDF9?_encoding=UTF8&amp;th=1
https://www.amazon.com/Kitchen-coladores-inoxidable-cuartos-colador/dp/B01MQCGF1V/ref=sr_1_3_sspa?__mk_es_US=%C3%85M%C3%85%C5%BD%C3%95%C3%91&amp;crid=1PXKFVOGDD3Y4&amp;dib=eyJ2IjoiMSJ9.4yz4b6A7_Bp1j4erF5dDEUiQPHts2iwyt6NwNZJBRdV0XL1sH9HH-oI4XpcnrOkZs_JvgRBhR2Mwg9OPkXyWAA-S1uy5Lizm4cmrEfZ9Ss9XC_xAwaKybtMGtvK6tyiWaKQ91Tn76kQgK03atrtD1vffzT3A4F9ktWOSxI0AtZoIjfm8MYQnEzw6npB4qRofTWmMBAnhU3WDJ7Ew_3SKgxbEAAuUHm2KJL5XJiSYatT9GBwyMAE4J60G6LifXcqKL4jFnuHFDWTQ1ov6RHbyqew3Zo-jiJqJGGieZtGn9B8.FglENbw8fcxw1UXrWtrBA3eMOwPZMhTkMeJE7-yP8oE&amp;dib_tag=se&amp;keywords=juego+de+3+coladores+de+acero+inoxidable&amp;qid=1761580006&amp;sprefix=uego+de+3+coladores+de+acero+inoxidable+%2Caps%2C305&amp;sr=8-3-spons&amp;sp_csd=d2lkZ2V0TmFtZT1zcF9hdGY&amp;psc=1
</v>
      </c>
      <c r="Z467" s="37" t="str">
        <f>IFERROR(__xludf.DUMMYFUNCTION("IFERROR(VLOOKUP(G467,IMPORTRANGE(""https://docs.google.com/spreadsheets/d/12RxCea4e5ggM7QGn1XE3FbLQa_-QbCNdBi90OdPjRqg"", ""'Plan de Compras'!D4:Q""), 12, 0), ""NO ESTÁ EN REQ"")"),"NO ESTÁ EN REQ")</f>
        <v>NO ESTÁ EN REQ</v>
      </c>
      <c r="AA467" s="37" t="str">
        <f>IFERROR(__xludf.DUMMYFUNCTION("IFERROR(VLOOKUP(G467,IMPORTRANGE(""https://docs.google.com/spreadsheets/d/12RxCea4e5ggM7QGn1XE3FbLQa_-QbCNdBi90OdPjRqg"", ""'Plan de Compras'!D4:Q""), 13, 0), """")"),"")</f>
        <v/>
      </c>
      <c r="AB467" s="32" t="str">
        <f>IFERROR(__xludf.DUMMYFUNCTION("IFERROR(VLOOKUP(G467,IMPORTRANGE(""https://docs.google.com/spreadsheets/d/12RxCea4e5ggM7QGn1XE3FbLQa_-QbCNdBi90OdPjRqg"", ""'Plan de Compras'!D4:Q""), 14, 0), """")"),"")</f>
        <v/>
      </c>
      <c r="AC467" s="72" t="str">
        <f>IFERROR(__xludf.DUMMYFUNCTION("IFERROR(VLOOKUP(G467,IMPORTRANGE(""https://docs.google.com/spreadsheets/d/12RxCea4e5ggM7QGn1XE3FbLQa_-QbCNdBi90OdPjRqg"", ""'Plan de Compras'!D4:Q""), 4, 0), """")"),"")</f>
        <v/>
      </c>
      <c r="AD467" s="37" t="str">
        <f>IFERROR(__xludf.DUMMYFUNCTION("IFERROR(IF(OR(C467=TRUE,C467=""""),VLOOKUP(G467,IMPORTRANGE(""https://docs.google.com/spreadsheets/d/1z9A1Wq-kKrhRNG5RS2a2fKpY1wIhSVz2ZNmP2mOl588/edit?usp=sharing"",""REQ VF!E4:H""),4,0),""NO APLICA""),""GENERAR REQ"")"),"NO APLICA")</f>
        <v>NO APLICA</v>
      </c>
      <c r="AE467" s="32" t="str">
        <f>IFERROR(__xludf.DUMMYFUNCTION("IFERROR(QUERY(IMPORTRANGE(""https://docs.google.com/spreadsheets/d/1z9A1Wq-kKrhRNG5RS2a2fKpY1wIhSVz2ZNmP2mOl588/edit?usp=sharing"",""REQ VF!E4:Q""),""SELECT Col10, Col11, Col12 WHERE Col1 = '""&amp;G467&amp;""'"",0),""NO APLICA"")"),"NO APLICA")</f>
        <v>NO APLICA</v>
      </c>
      <c r="AF467" s="32"/>
      <c r="AG467" s="32"/>
      <c r="AH467" s="13"/>
      <c r="AI467" s="13"/>
    </row>
    <row r="468">
      <c r="A468" s="43"/>
      <c r="B468" s="43"/>
      <c r="C468" s="26" t="b">
        <v>1</v>
      </c>
      <c r="D468" s="26" t="s">
        <v>95</v>
      </c>
      <c r="E468" s="26" t="s">
        <v>1510</v>
      </c>
      <c r="F468" s="59" t="s">
        <v>3159</v>
      </c>
      <c r="G468" s="39" t="s">
        <v>3162</v>
      </c>
      <c r="H468" s="66" t="s">
        <v>3163</v>
      </c>
      <c r="I468" s="43">
        <v>2.0</v>
      </c>
      <c r="J468" s="26">
        <f>IFERROR(__xludf.DUMMYFUNCTION("VLOOKUP(G468,IMPORTRANGE(""https://docs.google.com/spreadsheets/d/12RxCea4e5ggM7QGn1XE3FbLQa_-QbCNdBi90OdPjRqg/edit?gid=1692403370#gid=1692403370"", ""'Plan de Compras'!D4:2432""), 8,0)"),2.0)</f>
        <v>2</v>
      </c>
      <c r="K468" s="26" t="str">
        <f t="shared" si="40"/>
        <v>SI</v>
      </c>
      <c r="L468" s="26"/>
      <c r="M468" s="32"/>
      <c r="N468" s="32"/>
      <c r="O468" s="32"/>
      <c r="P468" s="32"/>
      <c r="Q468" s="33" t="s">
        <v>3164</v>
      </c>
      <c r="R468" s="32"/>
      <c r="S468" s="44" t="b">
        <v>0</v>
      </c>
      <c r="T468" s="39"/>
      <c r="U468" s="39"/>
      <c r="V468" s="39"/>
      <c r="W468" s="39"/>
      <c r="X468" s="39"/>
      <c r="Y468" s="124"/>
      <c r="Z468" s="37" t="str">
        <f>IFERROR(__xludf.DUMMYFUNCTION("IFERROR(VLOOKUP(G468,IMPORTRANGE(""https://docs.google.com/spreadsheets/d/12RxCea4e5ggM7QGn1XE3FbLQa_-QbCNdBi90OdPjRqg"", ""'Plan de Compras'!D4:Q""), 12, 0), ""NO ESTÁ EN REQ"")"),"Técnica")</f>
        <v>Técnica</v>
      </c>
      <c r="AA468" s="37" t="str">
        <f>IFERROR(__xludf.DUMMYFUNCTION("IFERROR(VLOOKUP(G468,IMPORTRANGE(""https://docs.google.com/spreadsheets/d/12RxCea4e5ggM7QGn1XE3FbLQa_-QbCNdBi90OdPjRqg"", ""'Plan de Compras'!D4:Q""), 13, 0), """")"),"INTERNACIONAL")</f>
        <v>INTERNACIONAL</v>
      </c>
      <c r="AB468" s="32" t="str">
        <f>IFERROR(__xludf.DUMMYFUNCTION("IFERROR(VLOOKUP(G468,IMPORTRANGE(""https://docs.google.com/spreadsheets/d/12RxCea4e5ggM7QGn1XE3FbLQa_-QbCNdBi90OdPjRqg"", ""'Plan de Compras'!D4:Q""), 14, 0), """")"),"ALEJANDRA")</f>
        <v>ALEJANDRA</v>
      </c>
      <c r="AC468" s="72" t="str">
        <f>IFERROR(__xludf.DUMMYFUNCTION("IFERROR(VLOOKUP(G468,IMPORTRANGE(""https://docs.google.com/spreadsheets/d/12RxCea4e5ggM7QGn1XE3FbLQa_-QbCNdBi90OdPjRqg"", ""'Plan de Compras'!D4:Q""), 4, 0), """")"),"COLADERAS DE 24, 14 Y 8 CM  (1 UND)")</f>
        <v>COLADERAS DE 24, 14 Y 8 CM  (1 UND)</v>
      </c>
      <c r="AD468" s="37" t="str">
        <f>IFERROR(__xludf.DUMMYFUNCTION("IFERROR(IF(OR(C468=TRUE,C468=""""),VLOOKUP(G468,IMPORTRANGE(""https://docs.google.com/spreadsheets/d/1z9A1Wq-kKrhRNG5RS2a2fKpY1wIhSVz2ZNmP2mOl588/edit?usp=sharing"",""REQ VF!E4:H""),4,0),""NO APLICA""),""GENERAR REQ"")"),"GENERAR REQ")</f>
        <v>GENERAR REQ</v>
      </c>
      <c r="AE468" s="32" t="str">
        <f>IFERROR(__xludf.DUMMYFUNCTION("IFERROR(QUERY(IMPORTRANGE(""https://docs.google.com/spreadsheets/d/1z9A1Wq-kKrhRNG5RS2a2fKpY1wIhSVz2ZNmP2mOl588/edit?usp=sharing"",""REQ VF!E4:Q""),""SELECT Col10, Col11, Col12 WHERE Col1 = '""&amp;G468&amp;""'"",0),""NO APLICA"")"),"NO APLICA")</f>
        <v>NO APLICA</v>
      </c>
      <c r="AF468" s="32"/>
      <c r="AG468" s="32"/>
      <c r="AH468" s="13"/>
      <c r="AI468" s="13"/>
    </row>
    <row r="469">
      <c r="A469" s="43"/>
      <c r="B469" s="43"/>
      <c r="C469" s="26" t="b">
        <v>1</v>
      </c>
      <c r="D469" s="26" t="s">
        <v>95</v>
      </c>
      <c r="E469" s="26" t="s">
        <v>1510</v>
      </c>
      <c r="F469" s="59" t="s">
        <v>3159</v>
      </c>
      <c r="G469" s="39" t="s">
        <v>3165</v>
      </c>
      <c r="H469" s="66" t="s">
        <v>3166</v>
      </c>
      <c r="I469" s="43">
        <v>2.0</v>
      </c>
      <c r="J469" s="26">
        <f>IFERROR(__xludf.DUMMYFUNCTION("VLOOKUP(G469,IMPORTRANGE(""https://docs.google.com/spreadsheets/d/12RxCea4e5ggM7QGn1XE3FbLQa_-QbCNdBi90OdPjRqg/edit?gid=1692403370#gid=1692403370"", ""'Plan de Compras'!D4:2432""), 8,0)"),2.0)</f>
        <v>2</v>
      </c>
      <c r="K469" s="26" t="str">
        <f t="shared" si="40"/>
        <v>SI</v>
      </c>
      <c r="L469" s="26"/>
      <c r="M469" s="32"/>
      <c r="N469" s="32"/>
      <c r="O469" s="32"/>
      <c r="P469" s="32"/>
      <c r="Q469" s="33" t="s">
        <v>3167</v>
      </c>
      <c r="R469" s="32"/>
      <c r="S469" s="44" t="b">
        <v>0</v>
      </c>
      <c r="T469" s="39"/>
      <c r="U469" s="39"/>
      <c r="V469" s="39"/>
      <c r="W469" s="39"/>
      <c r="X469" s="39"/>
      <c r="Y469" s="124"/>
      <c r="Z469" s="37" t="str">
        <f>IFERROR(__xludf.DUMMYFUNCTION("IFERROR(VLOOKUP(G469,IMPORTRANGE(""https://docs.google.com/spreadsheets/d/12RxCea4e5ggM7QGn1XE3FbLQa_-QbCNdBi90OdPjRqg"", ""'Plan de Compras'!D4:Q""), 12, 0), ""NO ESTÁ EN REQ"")"),"Técnica")</f>
        <v>Técnica</v>
      </c>
      <c r="AA469" s="37" t="str">
        <f>IFERROR(__xludf.DUMMYFUNCTION("IFERROR(VLOOKUP(G469,IMPORTRANGE(""https://docs.google.com/spreadsheets/d/12RxCea4e5ggM7QGn1XE3FbLQa_-QbCNdBi90OdPjRqg"", ""'Plan de Compras'!D4:Q""), 13, 0), """")"),"INTERNACIONAL")</f>
        <v>INTERNACIONAL</v>
      </c>
      <c r="AB469" s="32" t="str">
        <f>IFERROR(__xludf.DUMMYFUNCTION("IFERROR(VLOOKUP(G469,IMPORTRANGE(""https://docs.google.com/spreadsheets/d/12RxCea4e5ggM7QGn1XE3FbLQa_-QbCNdBi90OdPjRqg"", ""'Plan de Compras'!D4:Q""), 14, 0), """")"),"ALEJANDRA")</f>
        <v>ALEJANDRA</v>
      </c>
      <c r="AC469" s="72" t="str">
        <f>IFERROR(__xludf.DUMMYFUNCTION("IFERROR(VLOOKUP(G469,IMPORTRANGE(""https://docs.google.com/spreadsheets/d/12RxCea4e5ggM7QGn1XE3FbLQa_-QbCNdBi90OdPjRqg"", ""'Plan de Compras'!D4:Q""), 4, 0), """")"),"ESCURRIDORES DE 22, 25 Y 30 CM (1 UND)")</f>
        <v>ESCURRIDORES DE 22, 25 Y 30 CM (1 UND)</v>
      </c>
      <c r="AD469" s="37" t="str">
        <f>IFERROR(__xludf.DUMMYFUNCTION("IFERROR(IF(OR(C469=TRUE,C469=""""),VLOOKUP(G469,IMPORTRANGE(""https://docs.google.com/spreadsheets/d/1z9A1Wq-kKrhRNG5RS2a2fKpY1wIhSVz2ZNmP2mOl588/edit?usp=sharing"",""REQ VF!E4:H""),4,0),""NO APLICA""),""GENERAR REQ"")"),"GENERAR REQ")</f>
        <v>GENERAR REQ</v>
      </c>
      <c r="AE469" s="32" t="str">
        <f>IFERROR(__xludf.DUMMYFUNCTION("IFERROR(QUERY(IMPORTRANGE(""https://docs.google.com/spreadsheets/d/1z9A1Wq-kKrhRNG5RS2a2fKpY1wIhSVz2ZNmP2mOl588/edit?usp=sharing"",""REQ VF!E4:Q""),""SELECT Col10, Col11, Col12 WHERE Col1 = '""&amp;G469&amp;""'"",0),""NO APLICA"")"),"NO APLICA")</f>
        <v>NO APLICA</v>
      </c>
      <c r="AF469" s="32"/>
      <c r="AG469" s="32"/>
      <c r="AH469" s="13"/>
      <c r="AI469" s="13"/>
    </row>
    <row r="470">
      <c r="A470" s="121">
        <v>288.0</v>
      </c>
      <c r="B470" s="43" t="b">
        <v>1</v>
      </c>
      <c r="C470" s="26" t="b">
        <v>1</v>
      </c>
      <c r="D470" s="26" t="s">
        <v>35</v>
      </c>
      <c r="E470" s="26" t="s">
        <v>1510</v>
      </c>
      <c r="F470" s="59" t="s">
        <v>3168</v>
      </c>
      <c r="G470" s="37" t="s">
        <v>3169</v>
      </c>
      <c r="H470" s="82" t="s">
        <v>3170</v>
      </c>
      <c r="I470" s="43">
        <f>SUMIFS('Hoja 10'!$O:$O,'Hoja 10'!$F:$F,$G470)</f>
        <v>4</v>
      </c>
      <c r="J470" s="26">
        <f>IFERROR(__xludf.DUMMYFUNCTION("VLOOKUP(G470,IMPORTRANGE(""https://docs.google.com/spreadsheets/d/12RxCea4e5ggM7QGn1XE3FbLQa_-QbCNdBi90OdPjRqg/edit?gid=1692403370#gid=1692403370"", ""'Plan de Compras'!D4:2432""), 8,0)"),4.0)</f>
        <v>4</v>
      </c>
      <c r="K470" s="26" t="str">
        <f t="shared" si="40"/>
        <v>SI</v>
      </c>
      <c r="L470" s="29" t="s">
        <v>77</v>
      </c>
      <c r="M470" s="30" t="s">
        <v>78</v>
      </c>
      <c r="N470" s="32"/>
      <c r="O470" s="32" t="str">
        <f>VLOOKUP($G470,'Hoja 10'!$F$4:$AA1057, 19,0)</f>
        <v>YXCLIFE</v>
      </c>
      <c r="P470" s="32" t="str">
        <f>VLOOKUP($G470,'Hoja 10'!$F$4:$AA1057, 20,0)</f>
        <v>Estrella, flor, circulo, corazon</v>
      </c>
      <c r="Q470" s="33" t="str">
        <f>VLOOKUP($G470,'Hoja 10'!$F$4:$AA1057, 21,0)</f>
        <v>https://www.amazon.com/-/es/cortadores-galletas-coraz%C3%B3n-estrella-cortador/dp/B08VD2R23T?th=1</v>
      </c>
      <c r="R470" s="30" t="s">
        <v>3171</v>
      </c>
      <c r="S470" s="34" t="b">
        <v>1</v>
      </c>
      <c r="T470" s="39" t="s">
        <v>3172</v>
      </c>
      <c r="U470" s="39">
        <v>7.50834533808E11</v>
      </c>
      <c r="V470" s="39" t="str">
        <f>IFERROR(__xludf.DUMMYFUNCTION(" IF
( VLOOKUP($G470,IMPORTRANGE(""https://docs.google.com/spreadsheets/d/1Gpl6jkTg7sL4VDNimUm3S9Vi1i95esohXCF3wuKOE8c"", ""'CONSOLIDADO'!G5:AB""), 10, 0) &lt;&gt; 0, 
IFERROR(VLOOKUP($G470,IMPORTRANGE(""https://docs.google.com/spreadsheets/d/1Gpl6jkTg7sL4VDNimU"&amp;"m3S9Vi1i95esohXCF3wuKOE8c"", ""'CONSOLIDADO'!G5:AB""), 17, 0), ""-""),
""""
)"),"YXCLIFE")</f>
        <v>YXCLIFE</v>
      </c>
      <c r="W470" s="39">
        <f>IFERROR(__xludf.DUMMYFUNCTION(" IF
( VLOOKUP($G470,IMPORTRANGE(""https://docs.google.com/spreadsheets/d/1Gpl6jkTg7sL4VDNimUm3S9Vi1i95esohXCF3wuKOE8c"", ""'CONSOLIDADO'!G5:AB""), 10, 0) &lt;&gt; 0, 
IFERROR(VLOOKUP($G470,IMPORTRANGE(""https://docs.google.com/spreadsheets/d/1Gpl6jkTg7sL4VDNimU"&amp;"m3S9Vi1i95esohXCF3wuKOE8c"", ""'CONSOLIDADO'!G5:AB""), 18, 0), ""-""),
""""
)"),7.50834533808E11)</f>
        <v>750834533808</v>
      </c>
      <c r="X470" s="39" t="b">
        <f t="shared" ref="X470:X473" si="49">IF(AND(T470=V470,W470=U470),TRUE,FALSE)</f>
        <v>1</v>
      </c>
      <c r="Y470" s="120" t="s">
        <v>3173</v>
      </c>
      <c r="Z470" s="37" t="str">
        <f>IFERROR(__xludf.DUMMYFUNCTION("IFERROR(VLOOKUP(G470,IMPORTRANGE(""https://docs.google.com/spreadsheets/d/12RxCea4e5ggM7QGn1XE3FbLQa_-QbCNdBi90OdPjRqg"", ""'Plan de Compras'!D4:Q""), 12, 0), ""NO ESTÁ EN REQ"")"),"Simple")</f>
        <v>Simple</v>
      </c>
      <c r="AA470" s="37" t="str">
        <f>IFERROR(__xludf.DUMMYFUNCTION("IFERROR(VLOOKUP(G470,IMPORTRANGE(""https://docs.google.com/spreadsheets/d/12RxCea4e5ggM7QGn1XE3FbLQa_-QbCNdBi90OdPjRqg"", ""'Plan de Compras'!D4:Q""), 13, 0), """")"),"INTERNACIONAL")</f>
        <v>INTERNACIONAL</v>
      </c>
      <c r="AB470" s="32" t="str">
        <f>IFERROR(__xludf.DUMMYFUNCTION("IFERROR(VLOOKUP(G470,IMPORTRANGE(""https://docs.google.com/spreadsheets/d/12RxCea4e5ggM7QGn1XE3FbLQa_-QbCNdBi90OdPjRqg"", ""'Plan de Compras'!D4:Q""), 14, 0), """")"),"DIEGO ")</f>
        <v>DIEGO </v>
      </c>
      <c r="AC470" s="72" t="str">
        <f>IFERROR(__xludf.DUMMYFUNCTION("IFERROR(VLOOKUP(G470,IMPORTRANGE(""https://docs.google.com/spreadsheets/d/12RxCea4e5ggM7QGn1XE3FbLQa_-QbCNdBi90OdPjRqg"", ""'Plan de Compras'!D4:Q""), 4, 0), """")"),"JUEGO DE CORTADORES")</f>
        <v>JUEGO DE CORTADORES</v>
      </c>
      <c r="AD470" s="37" t="str">
        <f>IFERROR(__xludf.DUMMYFUNCTION("IFERROR(IF(OR(C470=TRUE,C470=""""),VLOOKUP(G470,IMPORTRANGE(""https://docs.google.com/spreadsheets/d/1z9A1Wq-kKrhRNG5RS2a2fKpY1wIhSVz2ZNmP2mOl588/edit?usp=sharing"",""REQ VF!E4:H""),4,0),""NO APLICA""),""GENERAR REQ"")"),"GENERAR REQ")</f>
        <v>GENERAR REQ</v>
      </c>
      <c r="AE470" s="32" t="str">
        <f>IFERROR(__xludf.DUMMYFUNCTION("IFERROR(QUERY(IMPORTRANGE(""https://docs.google.com/spreadsheets/d/1z9A1Wq-kKrhRNG5RS2a2fKpY1wIhSVz2ZNmP2mOl588/edit?usp=sharing"",""REQ VF!E4:Q""),""SELECT Col10, Col11, Col12 WHERE Col1 = '""&amp;G470&amp;""'"",0),""NO APLICA"")"),"NO APLICA")</f>
        <v>NO APLICA</v>
      </c>
      <c r="AF470" s="32"/>
      <c r="AG470" s="32"/>
      <c r="AH470" s="13"/>
      <c r="AI470" s="13"/>
    </row>
    <row r="471">
      <c r="A471" s="121">
        <v>289.0</v>
      </c>
      <c r="B471" s="43" t="b">
        <v>1</v>
      </c>
      <c r="C471" s="26" t="b">
        <v>1</v>
      </c>
      <c r="D471" s="26" t="s">
        <v>35</v>
      </c>
      <c r="E471" s="26" t="s">
        <v>1510</v>
      </c>
      <c r="F471" s="59" t="s">
        <v>3168</v>
      </c>
      <c r="G471" s="37" t="s">
        <v>3174</v>
      </c>
      <c r="H471" s="82" t="s">
        <v>3170</v>
      </c>
      <c r="I471" s="43">
        <f>SUMIFS('Hoja 10'!$O:$O,'Hoja 10'!$F:$F,$G471)</f>
        <v>16</v>
      </c>
      <c r="J471" s="26">
        <f>IFERROR(__xludf.DUMMYFUNCTION("VLOOKUP(G471,IMPORTRANGE(""https://docs.google.com/spreadsheets/d/12RxCea4e5ggM7QGn1XE3FbLQa_-QbCNdBi90OdPjRqg/edit?gid=1692403370#gid=1692403370"", ""'Plan de Compras'!D4:2432""), 8,0)"),16.0)</f>
        <v>16</v>
      </c>
      <c r="K471" s="26" t="str">
        <f t="shared" si="40"/>
        <v>SI</v>
      </c>
      <c r="L471" s="29" t="s">
        <v>39</v>
      </c>
      <c r="M471" s="30" t="s">
        <v>40</v>
      </c>
      <c r="N471" s="32"/>
      <c r="O471" s="32" t="str">
        <f>VLOOKUP($G471,'Hoja 10'!$F$4:$AA1057, 19,0)</f>
        <v>YXCLIFE</v>
      </c>
      <c r="P471" s="32" t="str">
        <f>VLOOKUP($G471,'Hoja 10'!$F$4:$AA1057, 20,0)</f>
        <v>Estrella, flor, circulo, corazon</v>
      </c>
      <c r="Q471" s="33" t="str">
        <f>VLOOKUP($G471,'Hoja 10'!$F$4:$AA1057, 21,0)</f>
        <v>https://www.amazon.com/-/es/cortadores-galletas-coraz%C3%B3n-estrella-cortador/dp/B08VD2R23T?th=2</v>
      </c>
      <c r="R471" s="30" t="s">
        <v>3175</v>
      </c>
      <c r="S471" s="34" t="b">
        <v>1</v>
      </c>
      <c r="T471" s="39" t="s">
        <v>3172</v>
      </c>
      <c r="U471" s="39">
        <v>7.50834533808E11</v>
      </c>
      <c r="V471" s="39" t="str">
        <f>IFERROR(__xludf.DUMMYFUNCTION(" IF
( VLOOKUP($G471,IMPORTRANGE(""https://docs.google.com/spreadsheets/d/1Gpl6jkTg7sL4VDNimUm3S9Vi1i95esohXCF3wuKOE8c"", ""'CONSOLIDADO'!G5:AB""), 10, 0) &lt;&gt; 0, 
IFERROR(VLOOKUP($G471,IMPORTRANGE(""https://docs.google.com/spreadsheets/d/1Gpl6jkTg7sL4VDNimU"&amp;"m3S9Vi1i95esohXCF3wuKOE8c"", ""'CONSOLIDADO'!G5:AB""), 17, 0), ""-""),
""""
)"),"YXCLIFE")</f>
        <v>YXCLIFE</v>
      </c>
      <c r="W471" s="39">
        <f>IFERROR(__xludf.DUMMYFUNCTION(" IF
( VLOOKUP($G471,IMPORTRANGE(""https://docs.google.com/spreadsheets/d/1Gpl6jkTg7sL4VDNimUm3S9Vi1i95esohXCF3wuKOE8c"", ""'CONSOLIDADO'!G5:AB""), 10, 0) &lt;&gt; 0, 
IFERROR(VLOOKUP($G471,IMPORTRANGE(""https://docs.google.com/spreadsheets/d/1Gpl6jkTg7sL4VDNimU"&amp;"m3S9Vi1i95esohXCF3wuKOE8c"", ""'CONSOLIDADO'!G5:AB""), 18, 0), ""-""),
""""
)"),7.50834533808E11)</f>
        <v>750834533808</v>
      </c>
      <c r="X471" s="39" t="b">
        <f t="shared" si="49"/>
        <v>1</v>
      </c>
      <c r="Y471" s="120" t="s">
        <v>3173</v>
      </c>
      <c r="Z471" s="37" t="str">
        <f>IFERROR(__xludf.DUMMYFUNCTION("IFERROR(VLOOKUP(G471,IMPORTRANGE(""https://docs.google.com/spreadsheets/d/12RxCea4e5ggM7QGn1XE3FbLQa_-QbCNdBi90OdPjRqg"", ""'Plan de Compras'!D4:Q""), 12, 0), ""NO ESTÁ EN REQ"")"),"Simple")</f>
        <v>Simple</v>
      </c>
      <c r="AA471" s="37" t="str">
        <f>IFERROR(__xludf.DUMMYFUNCTION("IFERROR(VLOOKUP(G471,IMPORTRANGE(""https://docs.google.com/spreadsheets/d/12RxCea4e5ggM7QGn1XE3FbLQa_-QbCNdBi90OdPjRqg"", ""'Plan de Compras'!D4:Q""), 13, 0), """")"),"INTERNACIONAL")</f>
        <v>INTERNACIONAL</v>
      </c>
      <c r="AB471" s="32" t="str">
        <f>IFERROR(__xludf.DUMMYFUNCTION("IFERROR(VLOOKUP(G471,IMPORTRANGE(""https://docs.google.com/spreadsheets/d/12RxCea4e5ggM7QGn1XE3FbLQa_-QbCNdBi90OdPjRqg"", ""'Plan de Compras'!D4:Q""), 14, 0), """")"),"DIEGO ")</f>
        <v>DIEGO </v>
      </c>
      <c r="AC471" s="72" t="str">
        <f>IFERROR(__xludf.DUMMYFUNCTION("IFERROR(VLOOKUP(G471,IMPORTRANGE(""https://docs.google.com/spreadsheets/d/12RxCea4e5ggM7QGn1XE3FbLQa_-QbCNdBi90OdPjRqg"", ""'Plan de Compras'!D4:Q""), 4, 0), """")"),"JUEGO DE CORTADORES")</f>
        <v>JUEGO DE CORTADORES</v>
      </c>
      <c r="AD471" s="37" t="str">
        <f>IFERROR(__xludf.DUMMYFUNCTION("IFERROR(IF(OR(C471=TRUE,C471=""""),VLOOKUP(G471,IMPORTRANGE(""https://docs.google.com/spreadsheets/d/1z9A1Wq-kKrhRNG5RS2a2fKpY1wIhSVz2ZNmP2mOl588/edit?usp=sharing"",""REQ VF!E4:H""),4,0),""NO APLICA""),""GENERAR REQ"")"),"GENERAR REQ")</f>
        <v>GENERAR REQ</v>
      </c>
      <c r="AE471" s="32" t="str">
        <f>IFERROR(__xludf.DUMMYFUNCTION("IFERROR(QUERY(IMPORTRANGE(""https://docs.google.com/spreadsheets/d/1z9A1Wq-kKrhRNG5RS2a2fKpY1wIhSVz2ZNmP2mOl588/edit?usp=sharing"",""REQ VF!E4:Q""),""SELECT Col10, Col11, Col12 WHERE Col1 = '""&amp;G471&amp;""'"",0),""NO APLICA"")"),"NO APLICA")</f>
        <v>NO APLICA</v>
      </c>
      <c r="AF471" s="32"/>
      <c r="AG471" s="32"/>
      <c r="AH471" s="13"/>
      <c r="AI471" s="13"/>
    </row>
    <row r="472">
      <c r="A472" s="117">
        <v>290.0</v>
      </c>
      <c r="B472" s="43" t="b">
        <v>1</v>
      </c>
      <c r="C472" s="26" t="b">
        <v>1</v>
      </c>
      <c r="D472" s="26" t="s">
        <v>35</v>
      </c>
      <c r="E472" s="26" t="s">
        <v>1510</v>
      </c>
      <c r="F472" s="59" t="s">
        <v>3176</v>
      </c>
      <c r="G472" s="37" t="s">
        <v>3176</v>
      </c>
      <c r="H472" s="82" t="s">
        <v>3177</v>
      </c>
      <c r="I472" s="43">
        <f>SUMIFS('Hoja 10'!$O:$O,'Hoja 10'!$F:$F,$G472)</f>
        <v>4</v>
      </c>
      <c r="J472" s="26">
        <f>IFERROR(__xludf.DUMMYFUNCTION("VLOOKUP(G472,IMPORTRANGE(""https://docs.google.com/spreadsheets/d/12RxCea4e5ggM7QGn1XE3FbLQa_-QbCNdBi90OdPjRqg/edit?gid=1692403370#gid=1692403370"", ""'Plan de Compras'!D4:2432""), 8,0)"),4.0)</f>
        <v>4</v>
      </c>
      <c r="K472" s="26" t="str">
        <f t="shared" si="40"/>
        <v>SI</v>
      </c>
      <c r="L472" s="29" t="s">
        <v>77</v>
      </c>
      <c r="M472" s="30" t="s">
        <v>78</v>
      </c>
      <c r="N472" s="32"/>
      <c r="O472" s="32" t="str">
        <f>VLOOKUP($G472,'Hoja 10'!$F$4:$AA1057, 19,0)</f>
        <v>Fiunkes</v>
      </c>
      <c r="P472" s="32" t="str">
        <f>VLOOKUP($G472,'Hoja 10'!$F$4:$AA1057, 20,0)</f>
        <v>Cucharones 5pzas</v>
      </c>
      <c r="Q472" s="33" t="str">
        <f>VLOOKUP($G472,'Hoja 10'!$F$4:$AA1057, 21,0)</f>
        <v>https://www.amazon.com/-/es/Utensilios-cocina-cucharas-pulgadas-manualidades/dp/B0BKT2Y7PY?th=1</v>
      </c>
      <c r="R472" s="30" t="s">
        <v>3178</v>
      </c>
      <c r="S472" s="34" t="b">
        <v>1</v>
      </c>
      <c r="T472" s="39" t="s">
        <v>3179</v>
      </c>
      <c r="U472" s="39" t="str">
        <f>IFERROR(__xludf.DUMMYFUNCTION(" IF
( VLOOKUP($G472,IMPORTRANGE(""https://docs.google.com/spreadsheets/d/1Gpl6jkTg7sL4VDNimUm3S9Vi1i95esohXCF3wuKOE8c"", ""'CONSOLIDADO'!G5:AB""), 10, 0) &lt;&gt; 0, 
IFERROR(VLOOKUP($G472,IMPORTRANGE(""https://docs.google.com/spreadsheets/d/1Gpl6jkTg7sL4VDNimU"&amp;"m3S9Vi1i95esohXCF3wuKOE8c"", ""'CONSOLIDADO'!G5:AB""), 18, 0), ""-""),
""""
)"),"Juego de utensilios de madera de acacia, 6 cucharas")</f>
        <v>Juego de utensilios de madera de acacia, 6 cucharas</v>
      </c>
      <c r="V472" s="39" t="str">
        <f>IFERROR(__xludf.DUMMYFUNCTION(" IF
( VLOOKUP($G472,IMPORTRANGE(""https://docs.google.com/spreadsheets/d/1Gpl6jkTg7sL4VDNimUm3S9Vi1i95esohXCF3wuKOE8c"", ""'CONSOLIDADO'!G5:AB""), 10, 0) &lt;&gt; 0, 
IFERROR(VLOOKUP($G472,IMPORTRANGE(""https://docs.google.com/spreadsheets/d/1Gpl6jkTg7sL4VDNimU"&amp;"m3S9Vi1i95esohXCF3wuKOE8c"", ""'CONSOLIDADO'!G5:AB""), 17, 0), ""-""),
""""
)"),"Standcn")</f>
        <v>Standcn</v>
      </c>
      <c r="W472" s="39" t="str">
        <f>IFERROR(__xludf.DUMMYFUNCTION(" IF
( VLOOKUP($G472,IMPORTRANGE(""https://docs.google.com/spreadsheets/d/1Gpl6jkTg7sL4VDNimUm3S9Vi1i95esohXCF3wuKOE8c"", ""'CONSOLIDADO'!G5:AB""), 10, 0) &lt;&gt; 0, 
IFERROR(VLOOKUP($G472,IMPORTRANGE(""https://docs.google.com/spreadsheets/d/1Gpl6jkTg7sL4VDNimU"&amp;"m3S9Vi1i95esohXCF3wuKOE8c"", ""'CONSOLIDADO'!G5:AB""), 18, 0), ""-""),
""""
)"),"Juego de utensilios de madera de acacia, 6 cucharas")</f>
        <v>Juego de utensilios de madera de acacia, 6 cucharas</v>
      </c>
      <c r="X472" s="39" t="b">
        <f t="shared" si="49"/>
        <v>0</v>
      </c>
      <c r="Y472" s="120" t="s">
        <v>3180</v>
      </c>
      <c r="Z472" s="37" t="str">
        <f>IFERROR(__xludf.DUMMYFUNCTION("IFERROR(VLOOKUP(G472,IMPORTRANGE(""https://docs.google.com/spreadsheets/d/12RxCea4e5ggM7QGn1XE3FbLQa_-QbCNdBi90OdPjRqg"", ""'Plan de Compras'!D4:Q""), 12, 0), ""NO ESTÁ EN REQ"")"),"Simple")</f>
        <v>Simple</v>
      </c>
      <c r="AA472" s="37" t="str">
        <f>IFERROR(__xludf.DUMMYFUNCTION("IFERROR(VLOOKUP(G472,IMPORTRANGE(""https://docs.google.com/spreadsheets/d/12RxCea4e5ggM7QGn1XE3FbLQa_-QbCNdBi90OdPjRqg"", ""'Plan de Compras'!D4:Q""), 13, 0), """")"),"INTERNACIONAL")</f>
        <v>INTERNACIONAL</v>
      </c>
      <c r="AB472" s="32" t="str">
        <f>IFERROR(__xludf.DUMMYFUNCTION("IFERROR(VLOOKUP(G472,IMPORTRANGE(""https://docs.google.com/spreadsheets/d/12RxCea4e5ggM7QGn1XE3FbLQa_-QbCNdBi90OdPjRqg"", ""'Plan de Compras'!D4:Q""), 14, 0), """")"),"DIEGO ")</f>
        <v>DIEGO </v>
      </c>
      <c r="AC472" s="72" t="str">
        <f>IFERROR(__xludf.DUMMYFUNCTION("IFERROR(VLOOKUP(G472,IMPORTRANGE(""https://docs.google.com/spreadsheets/d/12RxCea4e5ggM7QGn1XE3FbLQa_-QbCNdBi90OdPjRqg"", ""'Plan de Compras'!D4:Q""), 4, 0), """")"),"JUEGO DE CUCHARONES DE MADERA")</f>
        <v>JUEGO DE CUCHARONES DE MADERA</v>
      </c>
      <c r="AD472" s="37" t="str">
        <f>IFERROR(__xludf.DUMMYFUNCTION("IFERROR(IF(OR(C472=TRUE,C472=""""),VLOOKUP(G472,IMPORTRANGE(""https://docs.google.com/spreadsheets/d/1z9A1Wq-kKrhRNG5RS2a2fKpY1wIhSVz2ZNmP2mOl588/edit?usp=sharing"",""REQ VF!E4:H""),4,0),""NO APLICA""),""GENERAR REQ"")"),"GENERAR REQ")</f>
        <v>GENERAR REQ</v>
      </c>
      <c r="AE472" s="32" t="str">
        <f>IFERROR(__xludf.DUMMYFUNCTION("IFERROR(QUERY(IMPORTRANGE(""https://docs.google.com/spreadsheets/d/1z9A1Wq-kKrhRNG5RS2a2fKpY1wIhSVz2ZNmP2mOl588/edit?usp=sharing"",""REQ VF!E4:Q""),""SELECT Col10, Col11, Col12 WHERE Col1 = '""&amp;G472&amp;""'"",0),""NO APLICA"")"),"NO APLICA")</f>
        <v>NO APLICA</v>
      </c>
      <c r="AF472" s="32"/>
      <c r="AG472" s="32"/>
      <c r="AH472" s="13"/>
      <c r="AI472" s="13"/>
    </row>
    <row r="473">
      <c r="A473" s="117">
        <v>291.0</v>
      </c>
      <c r="B473" s="43" t="b">
        <v>1</v>
      </c>
      <c r="C473" s="26" t="b">
        <v>1</v>
      </c>
      <c r="D473" s="26" t="s">
        <v>35</v>
      </c>
      <c r="E473" s="26" t="s">
        <v>1510</v>
      </c>
      <c r="F473" s="59" t="s">
        <v>3181</v>
      </c>
      <c r="G473" s="37" t="s">
        <v>3181</v>
      </c>
      <c r="H473" s="82" t="s">
        <v>3182</v>
      </c>
      <c r="I473" s="43">
        <f>SUMIFS('Hoja 10'!$O:$O,'Hoja 10'!$F:$F,$G473)</f>
        <v>2</v>
      </c>
      <c r="J473" s="26">
        <f>IFERROR(__xludf.DUMMYFUNCTION("VLOOKUP(G473,IMPORTRANGE(""https://docs.google.com/spreadsheets/d/12RxCea4e5ggM7QGn1XE3FbLQa_-QbCNdBi90OdPjRqg/edit?gid=1692403370#gid=1692403370"", ""'Plan de Compras'!D4:2432""), 8,0)"),2.0)</f>
        <v>2</v>
      </c>
      <c r="K473" s="26" t="str">
        <f t="shared" si="40"/>
        <v>SI</v>
      </c>
      <c r="L473" s="29" t="s">
        <v>77</v>
      </c>
      <c r="M473" s="30" t="s">
        <v>78</v>
      </c>
      <c r="N473" s="32"/>
      <c r="O473" s="32" t="str">
        <f>VLOOKUP($G473,'Hoja 10'!$F$4:$AA1057, 19,0)</f>
        <v>WMF</v>
      </c>
      <c r="P473" s="32" t="str">
        <f>VLOOKUP($G473,'Hoja 10'!$F$4:$AA1057, 20,0)</f>
        <v>Profi Plus 7-Piece Set</v>
      </c>
      <c r="Q473" s="33" t="str">
        <f>VLOOKUP($G473,'Hoja 10'!$F$4:$AA1057, 21,0)</f>
        <v>https://www.amazon.com.be/-/en/7-Piece-Vegetable-Cromargan-Stainless-Dishwasher/dp/B01237RWFI?th=1</v>
      </c>
      <c r="R473" s="30" t="s">
        <v>3183</v>
      </c>
      <c r="S473" s="34" t="b">
        <v>1</v>
      </c>
      <c r="T473" s="39" t="str">
        <f>IFERROR(__xludf.DUMMYFUNCTION(" IF
( VLOOKUP($G473,IMPORTRANGE(""https://docs.google.com/spreadsheets/d/1Gpl6jkTg7sL4VDNimUm3S9Vi1i95esohXCF3wuKOE8c"", ""'CONSOLIDADO'!G5:AB""), 10, 0) &lt;&gt; 0, 
IFERROR(VLOOKUP($G473,IMPORTRANGE(""https://docs.google.com/spreadsheets/d/1Gpl6jkTg7sL4VDNimU"&amp;"m3S9Vi1i95esohXCF3wuKOE8c"", ""'CONSOLIDADO'!G5:AB""), 17, 0), ""-""),
""""
)"),"FINEZZA")</f>
        <v>FINEZZA</v>
      </c>
      <c r="U473" s="39" t="str">
        <f>IFERROR(__xludf.DUMMYFUNCTION(" IF
( VLOOKUP($G473,IMPORTRANGE(""https://docs.google.com/spreadsheets/d/1Gpl6jkTg7sL4VDNimUm3S9Vi1i95esohXCF3wuKOE8c"", ""'CONSOLIDADO'!G5:AB""), 10, 0) &lt;&gt; 0, 
IFERROR(VLOOKUP($G473,IMPORTRANGE(""https://docs.google.com/spreadsheets/d/1Gpl6jkTg7sL4VDNimU"&amp;"m3S9Vi1i95esohXCF3wuKOE8c"", ""'CONSOLIDADO'!G5:AB""), 18, 0), ""-""),
""""
)"),"JUEGO DE CUCHARONES, ESPÁTULAS Y ESPUMADERAS")</f>
        <v>JUEGO DE CUCHARONES, ESPÁTULAS Y ESPUMADERAS</v>
      </c>
      <c r="V473" s="39" t="str">
        <f>IFERROR(__xludf.DUMMYFUNCTION(" IF
( VLOOKUP($G473,IMPORTRANGE(""https://docs.google.com/spreadsheets/d/1Gpl6jkTg7sL4VDNimUm3S9Vi1i95esohXCF3wuKOE8c"", ""'CONSOLIDADO'!G5:AB""), 10, 0) &lt;&gt; 0, 
IFERROR(VLOOKUP($G473,IMPORTRANGE(""https://docs.google.com/spreadsheets/d/1Gpl6jkTg7sL4VDNimU"&amp;"m3S9Vi1i95esohXCF3wuKOE8c"", ""'CONSOLIDADO'!G5:AB""), 17, 0), ""-""),
""""
)"),"FINEZZA")</f>
        <v>FINEZZA</v>
      </c>
      <c r="W473" s="39" t="str">
        <f>IFERROR(__xludf.DUMMYFUNCTION(" IF
( VLOOKUP($G473,IMPORTRANGE(""https://docs.google.com/spreadsheets/d/1Gpl6jkTg7sL4VDNimUm3S9Vi1i95esohXCF3wuKOE8c"", ""'CONSOLIDADO'!G5:AB""), 10, 0) &lt;&gt; 0, 
IFERROR(VLOOKUP($G473,IMPORTRANGE(""https://docs.google.com/spreadsheets/d/1Gpl6jkTg7sL4VDNimU"&amp;"m3S9Vi1i95esohXCF3wuKOE8c"", ""'CONSOLIDADO'!G5:AB""), 18, 0), ""-""),
""""
)"),"JUEGO DE CUCHARONES, ESPÁTULAS Y ESPUMADERAS")</f>
        <v>JUEGO DE CUCHARONES, ESPÁTULAS Y ESPUMADERAS</v>
      </c>
      <c r="X473" s="39" t="b">
        <f t="shared" si="49"/>
        <v>1</v>
      </c>
      <c r="Y473" s="120" t="str">
        <f>IFERROR(__xludf.DUMMYFUNCTION(" IF
( VLOOKUP($G473,IMPORTRANGE(""https://docs.google.com/spreadsheets/d/1Gpl6jkTg7sL4VDNimUm3S9Vi1i95esohXCF3wuKOE8c"", ""'CONSOLIDADO'!G5:AB""), 10, 0) &lt;&gt; 0, 
IFERROR(VLOOKUP($G473,IMPORTRANGE(""https://docs.google.com/spreadsheets/d/1Gpl6jkTg7sL4VDNimU"&amp;"m3S9Vi1i95esohXCF3wuKOE8c"", ""'CONSOLIDADO'!G5:AB""), 19, 0), ""-""),
""""
)"),"https://finezza.com.pe/products/cubiertos-de-mesa-acero-inoxidable-24-piezas-mk-y20588-copia")</f>
        <v>https://finezza.com.pe/products/cubiertos-de-mesa-acero-inoxidable-24-piezas-mk-y20588-copia</v>
      </c>
      <c r="Z473" s="37" t="str">
        <f>IFERROR(__xludf.DUMMYFUNCTION("IFERROR(VLOOKUP(G473,IMPORTRANGE(""https://docs.google.com/spreadsheets/d/12RxCea4e5ggM7QGn1XE3FbLQa_-QbCNdBi90OdPjRqg"", ""'Plan de Compras'!D4:Q""), 12, 0), ""NO ESTÁ EN REQ"")"),"Técnica")</f>
        <v>Técnica</v>
      </c>
      <c r="AA473" s="37" t="str">
        <f>IFERROR(__xludf.DUMMYFUNCTION("IFERROR(VLOOKUP(G473,IMPORTRANGE(""https://docs.google.com/spreadsheets/d/12RxCea4e5ggM7QGn1XE3FbLQa_-QbCNdBi90OdPjRqg"", ""'Plan de Compras'!D4:Q""), 13, 0), """")"),"NACIONAL")</f>
        <v>NACIONAL</v>
      </c>
      <c r="AB473" s="32" t="str">
        <f>IFERROR(__xludf.DUMMYFUNCTION("IFERROR(VLOOKUP(G473,IMPORTRANGE(""https://docs.google.com/spreadsheets/d/12RxCea4e5ggM7QGn1XE3FbLQa_-QbCNdBi90OdPjRqg"", ""'Plan de Compras'!D4:Q""), 14, 0), """")"),"ANGIE")</f>
        <v>ANGIE</v>
      </c>
      <c r="AC473" s="72" t="str">
        <f>IFERROR(__xludf.DUMMYFUNCTION("IFERROR(VLOOKUP(G473,IMPORTRANGE(""https://docs.google.com/spreadsheets/d/12RxCea4e5ggM7QGn1XE3FbLQa_-QbCNdBi90OdPjRqg"", ""'Plan de Compras'!D4:Q""), 4, 0), """")"),"JUEGO DE CUCHARONES, ESPÁTULAS Y ESPUMADERAS")</f>
        <v>JUEGO DE CUCHARONES, ESPÁTULAS Y ESPUMADERAS</v>
      </c>
      <c r="AD473" s="37" t="str">
        <f>IFERROR(__xludf.DUMMYFUNCTION("IFERROR(IF(OR(C473=TRUE,C473=""""),VLOOKUP(G473,IMPORTRANGE(""https://docs.google.com/spreadsheets/d/1z9A1Wq-kKrhRNG5RS2a2fKpY1wIhSVz2ZNmP2mOl588/edit?usp=sharing"",""REQ VF!E4:H""),4,0),""NO APLICA""),""GENERAR REQ"")"),"GENERAR REQ")</f>
        <v>GENERAR REQ</v>
      </c>
      <c r="AE473" s="32" t="str">
        <f>IFERROR(__xludf.DUMMYFUNCTION("IFERROR(QUERY(IMPORTRANGE(""https://docs.google.com/spreadsheets/d/1z9A1Wq-kKrhRNG5RS2a2fKpY1wIhSVz2ZNmP2mOl588/edit?usp=sharing"",""REQ VF!E4:Q""),""SELECT Col10, Col11, Col12 WHERE Col1 = '""&amp;G473&amp;""'"",0),""NO APLICA"")"),"NO APLICA")</f>
        <v>NO APLICA</v>
      </c>
      <c r="AF473" s="32"/>
      <c r="AG473" s="32"/>
      <c r="AH473" s="13"/>
      <c r="AI473" s="13"/>
    </row>
    <row r="474">
      <c r="A474" s="43"/>
      <c r="B474" s="43"/>
      <c r="C474" s="26" t="b">
        <v>1</v>
      </c>
      <c r="D474" s="26" t="s">
        <v>42</v>
      </c>
      <c r="E474" s="43" t="s">
        <v>1510</v>
      </c>
      <c r="F474" s="39" t="s">
        <v>3181</v>
      </c>
      <c r="G474" s="39" t="s">
        <v>3184</v>
      </c>
      <c r="H474" s="66" t="str">
        <f>UPPER("Pelador 20.7 cm de Acero Inoxidable (1UND)")</f>
        <v>PELADOR 20.7 CM DE ACERO INOXIDABLE (1UND)</v>
      </c>
      <c r="I474" s="43">
        <f t="shared" ref="I474:I475" si="50">1*I473</f>
        <v>2</v>
      </c>
      <c r="J474" s="26">
        <f>IFERROR(__xludf.DUMMYFUNCTION("VLOOKUP(G474,IMPORTRANGE(""https://docs.google.com/spreadsheets/d/12RxCea4e5ggM7QGn1XE3FbLQa_-QbCNdBi90OdPjRqg/edit?gid=1692403370#gid=1692403370"", ""'Plan de Compras'!D4:2432""), 8,0)"),2.0)</f>
        <v>2</v>
      </c>
      <c r="K474" s="26" t="str">
        <f t="shared" si="40"/>
        <v>SI</v>
      </c>
      <c r="L474" s="26"/>
      <c r="M474" s="32"/>
      <c r="N474" s="32"/>
      <c r="O474" s="32"/>
      <c r="P474" s="32"/>
      <c r="Q474" s="41"/>
      <c r="R474" s="32"/>
      <c r="S474" s="34" t="b">
        <v>1</v>
      </c>
      <c r="T474" s="63" t="s">
        <v>2913</v>
      </c>
      <c r="U474" s="63" t="s">
        <v>3185</v>
      </c>
      <c r="V474" s="63"/>
      <c r="W474" s="63"/>
      <c r="X474" s="63"/>
      <c r="Y474" s="126" t="s">
        <v>3186</v>
      </c>
      <c r="Z474" s="37" t="str">
        <f>IFERROR(__xludf.DUMMYFUNCTION("IFERROR(VLOOKUP(G474,IMPORTRANGE(""https://docs.google.com/spreadsheets/d/12RxCea4e5ggM7QGn1XE3FbLQa_-QbCNdBi90OdPjRqg"", ""'Plan de Compras'!D4:Q""), 12, 0), ""NO ESTÁ EN REQ"")"),"Técnica")</f>
        <v>Técnica</v>
      </c>
      <c r="AA474" s="37" t="str">
        <f>IFERROR(__xludf.DUMMYFUNCTION("IFERROR(VLOOKUP(G474,IMPORTRANGE(""https://docs.google.com/spreadsheets/d/12RxCea4e5ggM7QGn1XE3FbLQa_-QbCNdBi90OdPjRqg"", ""'Plan de Compras'!D4:Q""), 13, 0), """")"),"NACIONAL")</f>
        <v>NACIONAL</v>
      </c>
      <c r="AB474" s="32" t="str">
        <f>IFERROR(__xludf.DUMMYFUNCTION("IFERROR(VLOOKUP(G474,IMPORTRANGE(""https://docs.google.com/spreadsheets/d/12RxCea4e5ggM7QGn1XE3FbLQa_-QbCNdBi90OdPjRqg"", ""'Plan de Compras'!D4:Q""), 14, 0), """")"),"ANGIE")</f>
        <v>ANGIE</v>
      </c>
      <c r="AC474" s="72" t="str">
        <f>IFERROR(__xludf.DUMMYFUNCTION("IFERROR(VLOOKUP(G474,IMPORTRANGE(""https://docs.google.com/spreadsheets/d/12RxCea4e5ggM7QGn1XE3FbLQa_-QbCNdBi90OdPjRqg"", ""'Plan de Compras'!D4:Q""), 4, 0), """")"),"PELADOR 20.7 CM DE ACERO INOXIDABLE (1UND)")</f>
        <v>PELADOR 20.7 CM DE ACERO INOXIDABLE (1UND)</v>
      </c>
      <c r="AD474" s="37" t="str">
        <f>IFERROR(__xludf.DUMMYFUNCTION("IFERROR(IF(OR(C474=TRUE,C474=""""),VLOOKUP(G474,IMPORTRANGE(""https://docs.google.com/spreadsheets/d/1z9A1Wq-kKrhRNG5RS2a2fKpY1wIhSVz2ZNmP2mOl588/edit?usp=sharing"",""REQ VF!E4:H""),4,0),""NO APLICA""),""GENERAR REQ"")"),"GENERAR REQ")</f>
        <v>GENERAR REQ</v>
      </c>
      <c r="AE474" s="32" t="str">
        <f>IFERROR(__xludf.DUMMYFUNCTION("IFERROR(QUERY(IMPORTRANGE(""https://docs.google.com/spreadsheets/d/1z9A1Wq-kKrhRNG5RS2a2fKpY1wIhSVz2ZNmP2mOl588/edit?usp=sharing"",""REQ VF!E4:Q""),""SELECT Col10, Col11, Col12 WHERE Col1 = '""&amp;G474&amp;""'"",0),""NO APLICA"")"),"NO APLICA")</f>
        <v>NO APLICA</v>
      </c>
      <c r="AF474" s="32"/>
      <c r="AG474" s="32"/>
      <c r="AH474" s="13"/>
      <c r="AI474" s="13"/>
    </row>
    <row r="475">
      <c r="A475" s="43"/>
      <c r="B475" s="43"/>
      <c r="C475" s="26" t="b">
        <v>1</v>
      </c>
      <c r="D475" s="26" t="s">
        <v>42</v>
      </c>
      <c r="E475" s="43" t="s">
        <v>1510</v>
      </c>
      <c r="F475" s="39" t="s">
        <v>3181</v>
      </c>
      <c r="G475" s="63" t="s">
        <v>3187</v>
      </c>
      <c r="H475" s="132" t="s">
        <v>3188</v>
      </c>
      <c r="I475" s="43">
        <f t="shared" si="50"/>
        <v>2</v>
      </c>
      <c r="J475" s="26">
        <f>IFERROR(__xludf.DUMMYFUNCTION("VLOOKUP(G475,IMPORTRANGE(""https://docs.google.com/spreadsheets/d/12RxCea4e5ggM7QGn1XE3FbLQa_-QbCNdBi90OdPjRqg/edit?gid=1692403370#gid=1692403370"", ""'Plan de Compras'!D4:2432""), 8,0)"),2.0)</f>
        <v>2</v>
      </c>
      <c r="K475" s="26" t="str">
        <f t="shared" si="40"/>
        <v>SI</v>
      </c>
      <c r="L475" s="26"/>
      <c r="M475" s="32"/>
      <c r="N475" s="32"/>
      <c r="O475" s="32"/>
      <c r="P475" s="32"/>
      <c r="Q475" s="41"/>
      <c r="R475" s="32"/>
      <c r="S475" s="34" t="b">
        <v>1</v>
      </c>
      <c r="T475" s="63" t="s">
        <v>2766</v>
      </c>
      <c r="U475" s="63">
        <v>6.380923E7</v>
      </c>
      <c r="V475" s="63"/>
      <c r="W475" s="63"/>
      <c r="X475" s="63"/>
      <c r="Y475" s="126" t="s">
        <v>3189</v>
      </c>
      <c r="Z475" s="37" t="str">
        <f>IFERROR(__xludf.DUMMYFUNCTION("IFERROR(VLOOKUP(G475,IMPORTRANGE(""https://docs.google.com/spreadsheets/d/12RxCea4e5ggM7QGn1XE3FbLQa_-QbCNdBi90OdPjRqg"", ""'Plan de Compras'!D4:Q""), 12, 0), ""NO ESTÁ EN REQ"")"),"Técnica")</f>
        <v>Técnica</v>
      </c>
      <c r="AA475" s="37" t="str">
        <f>IFERROR(__xludf.DUMMYFUNCTION("IFERROR(VLOOKUP(G475,IMPORTRANGE(""https://docs.google.com/spreadsheets/d/12RxCea4e5ggM7QGn1XE3FbLQa_-QbCNdBi90OdPjRqg"", ""'Plan de Compras'!D4:Q""), 13, 0), """")"),"NACIONAL")</f>
        <v>NACIONAL</v>
      </c>
      <c r="AB475" s="32" t="str">
        <f>IFERROR(__xludf.DUMMYFUNCTION("IFERROR(VLOOKUP(G475,IMPORTRANGE(""https://docs.google.com/spreadsheets/d/12RxCea4e5ggM7QGn1XE3FbLQa_-QbCNdBi90OdPjRqg"", ""'Plan de Compras'!D4:Q""), 14, 0), """")"),"ANGIE")</f>
        <v>ANGIE</v>
      </c>
      <c r="AC475" s="72" t="str">
        <f>IFERROR(__xludf.DUMMYFUNCTION("IFERROR(VLOOKUP(G475,IMPORTRANGE(""https://docs.google.com/spreadsheets/d/12RxCea4e5ggM7QGn1XE3FbLQa_-QbCNdBi90OdPjRqg"", ""'Plan de Compras'!D4:Q""), 4, 0), """")"),"PALETA ACERO INOXIDABLE  (1UND)")</f>
        <v>PALETA ACERO INOXIDABLE  (1UND)</v>
      </c>
      <c r="AD475" s="37" t="str">
        <f>IFERROR(__xludf.DUMMYFUNCTION("IFERROR(IF(OR(C475=TRUE,C475=""""),VLOOKUP(G475,IMPORTRANGE(""https://docs.google.com/spreadsheets/d/1z9A1Wq-kKrhRNG5RS2a2fKpY1wIhSVz2ZNmP2mOl588/edit?usp=sharing"",""REQ VF!E4:H""),4,0),""NO APLICA""),""GENERAR REQ"")"),"GENERAR REQ")</f>
        <v>GENERAR REQ</v>
      </c>
      <c r="AE475" s="32" t="str">
        <f>IFERROR(__xludf.DUMMYFUNCTION("IFERROR(QUERY(IMPORTRANGE(""https://docs.google.com/spreadsheets/d/1z9A1Wq-kKrhRNG5RS2a2fKpY1wIhSVz2ZNmP2mOl588/edit?usp=sharing"",""REQ VF!E4:Q""),""SELECT Col10, Col11, Col12 WHERE Col1 = '""&amp;G475&amp;""'"",0),""NO APLICA"")"),"NO APLICA")</f>
        <v>NO APLICA</v>
      </c>
      <c r="AF475" s="32"/>
      <c r="AG475" s="32"/>
      <c r="AH475" s="13"/>
      <c r="AI475" s="13"/>
    </row>
    <row r="476">
      <c r="A476" s="121">
        <v>292.0</v>
      </c>
      <c r="B476" s="43" t="b">
        <v>1</v>
      </c>
      <c r="C476" s="26" t="b">
        <v>1</v>
      </c>
      <c r="D476" s="26" t="s">
        <v>35</v>
      </c>
      <c r="E476" s="26" t="s">
        <v>1510</v>
      </c>
      <c r="F476" s="59" t="s">
        <v>3190</v>
      </c>
      <c r="G476" s="37" t="s">
        <v>3190</v>
      </c>
      <c r="H476" s="82" t="s">
        <v>3191</v>
      </c>
      <c r="I476" s="43">
        <f>SUMIFS('Hoja 10'!$O:$O,'Hoja 10'!$F:$F,$G476)</f>
        <v>20</v>
      </c>
      <c r="J476" s="26">
        <f>IFERROR(__xludf.DUMMYFUNCTION("VLOOKUP(G476,IMPORTRANGE(""https://docs.google.com/spreadsheets/d/12RxCea4e5ggM7QGn1XE3FbLQa_-QbCNdBi90OdPjRqg/edit?gid=1692403370#gid=1692403370"", ""'Plan de Compras'!D4:2432""), 8,0)"),20.0)</f>
        <v>20</v>
      </c>
      <c r="K476" s="26" t="str">
        <f t="shared" si="40"/>
        <v>SI</v>
      </c>
      <c r="L476" s="29" t="s">
        <v>39</v>
      </c>
      <c r="M476" s="30" t="s">
        <v>40</v>
      </c>
      <c r="N476" s="32"/>
      <c r="O476" s="32" t="str">
        <f>VLOOKUP($G476,'Hoja 10'!$F$4:$AA1057, 19,0)</f>
        <v>Quttin</v>
      </c>
      <c r="P476" s="32" t="str">
        <f>VLOOKUP($G476,'Hoja 10'!$F$4:$AA1057, 20,0)</f>
        <v>QT-721143V</v>
      </c>
      <c r="Q476" s="33" t="str">
        <f>VLOOKUP($G476,'Hoja 10'!$F$4:$AA1057, 21,0)</f>
        <v>https://www.tiendaquttin.com/sybarite/272-cuchillo-panero-sierra-19cm-sybarite-8423607211433.html</v>
      </c>
      <c r="R476" s="30" t="s">
        <v>3192</v>
      </c>
      <c r="S476" s="44" t="b">
        <v>0</v>
      </c>
      <c r="T476" s="39" t="s">
        <v>3193</v>
      </c>
      <c r="U476" s="39" t="s">
        <v>3194</v>
      </c>
      <c r="V476" s="39" t="str">
        <f>IFERROR(__xludf.DUMMYFUNCTION(" IF
( VLOOKUP($G476,IMPORTRANGE(""https://docs.google.com/spreadsheets/d/1Gpl6jkTg7sL4VDNimUm3S9Vi1i95esohXCF3wuKOE8c"", ""'CONSOLIDADO'!G5:AB""), 10, 0) &lt;&gt; 0, 
IFERROR(VLOOKUP($G476,IMPORTRANGE(""https://docs.google.com/spreadsheets/d/1Gpl6jkTg7sL4VDNimU"&amp;"m3S9Vi1i95esohXCF3wuKOE8c"", ""'CONSOLIDADO'!G5:AB""), 17, 0), ""-""),
""""
)"),"QUTTIN")</f>
        <v>QUTTIN</v>
      </c>
      <c r="W476" s="39" t="str">
        <f>IFERROR(__xludf.DUMMYFUNCTION(" IF
( VLOOKUP($G476,IMPORTRANGE(""https://docs.google.com/spreadsheets/d/1Gpl6jkTg7sL4VDNimUm3S9Vi1i95esohXCF3wuKOE8c"", ""'CONSOLIDADO'!G5:AB""), 10, 0) &lt;&gt; 0, 
IFERROR(VLOOKUP($G476,IMPORTRANGE(""https://docs.google.com/spreadsheets/d/1Gpl6jkTg7sL4VDNimU"&amp;"m3S9Vi1i95esohXCF3wuKOE8c"", ""'CONSOLIDADO'!G5:AB""), 18, 0), ""-""),
""""
)"),"QT-721143V")</f>
        <v>QT-721143V</v>
      </c>
      <c r="X476" s="39" t="b">
        <f t="shared" ref="X476:X477" si="51">IF(AND(T476=V476,W476=U476),TRUE,FALSE)</f>
        <v>1</v>
      </c>
      <c r="Y476" s="120" t="str">
        <f>IFERROR(__xludf.DUMMYFUNCTION(" IF
( VLOOKUP($G476,IMPORTRANGE(""https://docs.google.com/spreadsheets/d/1Gpl6jkTg7sL4VDNimUm3S9Vi1i95esohXCF3wuKOE8c"", ""'CONSOLIDADO'!G5:AB""), 10, 0) &lt;&gt; 0, 
IFERROR(VLOOKUP($G476,IMPORTRANGE(""https://docs.google.com/spreadsheets/d/1Gpl6jkTg7sL4VDNimU"&amp;"m3S9Vi1i95esohXCF3wuKOE8c"", ""'CONSOLIDADO'!G5:AB""), 19, 0), ""-""),
""""
)"),"https://www.tiendaquttin.com/sybarite/272-cuchillo-panero-sierra-19cm-sybarite-8423607211433.html")</f>
        <v>https://www.tiendaquttin.com/sybarite/272-cuchillo-panero-sierra-19cm-sybarite-8423607211433.html</v>
      </c>
      <c r="Z476" s="37" t="str">
        <f>IFERROR(__xludf.DUMMYFUNCTION("IFERROR(VLOOKUP(G476,IMPORTRANGE(""https://docs.google.com/spreadsheets/d/12RxCea4e5ggM7QGn1XE3FbLQa_-QbCNdBi90OdPjRqg"", ""'Plan de Compras'!D4:Q""), 12, 0), ""NO ESTÁ EN REQ"")"),"Simple")</f>
        <v>Simple</v>
      </c>
      <c r="AA476" s="37" t="str">
        <f>IFERROR(__xludf.DUMMYFUNCTION("IFERROR(VLOOKUP(G476,IMPORTRANGE(""https://docs.google.com/spreadsheets/d/12RxCea4e5ggM7QGn1XE3FbLQa_-QbCNdBi90OdPjRqg"", ""'Plan de Compras'!D4:Q""), 13, 0), """")"),"INTERNACIONAL")</f>
        <v>INTERNACIONAL</v>
      </c>
      <c r="AB476" s="32" t="str">
        <f>IFERROR(__xludf.DUMMYFUNCTION("IFERROR(VLOOKUP(G476,IMPORTRANGE(""https://docs.google.com/spreadsheets/d/12RxCea4e5ggM7QGn1XE3FbLQa_-QbCNdBi90OdPjRqg"", ""'Plan de Compras'!D4:Q""), 14, 0), """")"),"GIANFRANCO")</f>
        <v>GIANFRANCO</v>
      </c>
      <c r="AC476" s="72" t="str">
        <f>IFERROR(__xludf.DUMMYFUNCTION("IFERROR(VLOOKUP(G476,IMPORTRANGE(""https://docs.google.com/spreadsheets/d/12RxCea4e5ggM7QGn1XE3FbLQa_-QbCNdBi90OdPjRqg"", ""'Plan de Compras'!D4:Q""), 4, 0), """")"),"CUCHILLO PARA PASTELERIA")</f>
        <v>CUCHILLO PARA PASTELERIA</v>
      </c>
      <c r="AD476" s="37" t="str">
        <f>IFERROR(__xludf.DUMMYFUNCTION("IFERROR(IF(OR(C476=TRUE,C476=""""),VLOOKUP(G476,IMPORTRANGE(""https://docs.google.com/spreadsheets/d/1z9A1Wq-kKrhRNG5RS2a2fKpY1wIhSVz2ZNmP2mOl588/edit?usp=sharing"",""REQ VF!E4:H""),4,0),""NO APLICA""),""GENERAR REQ"")"),"GENERAR REQ")</f>
        <v>GENERAR REQ</v>
      </c>
      <c r="AE476" s="32" t="str">
        <f>IFERROR(__xludf.DUMMYFUNCTION("IFERROR(QUERY(IMPORTRANGE(""https://docs.google.com/spreadsheets/d/1z9A1Wq-kKrhRNG5RS2a2fKpY1wIhSVz2ZNmP2mOl588/edit?usp=sharing"",""REQ VF!E4:Q""),""SELECT Col10, Col11, Col12 WHERE Col1 = '""&amp;G476&amp;""'"",0),""NO APLICA"")"),"NO APLICA")</f>
        <v>NO APLICA</v>
      </c>
      <c r="AF476" s="32"/>
      <c r="AG476" s="32"/>
      <c r="AH476" s="13"/>
      <c r="AI476" s="13"/>
    </row>
    <row r="477">
      <c r="A477" s="121">
        <v>293.0</v>
      </c>
      <c r="B477" s="43" t="b">
        <v>1</v>
      </c>
      <c r="C477" s="26" t="b">
        <v>0</v>
      </c>
      <c r="D477" s="26" t="s">
        <v>35</v>
      </c>
      <c r="E477" s="26" t="s">
        <v>1510</v>
      </c>
      <c r="F477" s="59" t="s">
        <v>3195</v>
      </c>
      <c r="G477" s="37" t="s">
        <v>3195</v>
      </c>
      <c r="H477" s="82" t="s">
        <v>3196</v>
      </c>
      <c r="I477" s="43">
        <f>SUMIFS('Hoja 10'!$O:$O,'Hoja 10'!$F:$F,$G477)</f>
        <v>2</v>
      </c>
      <c r="J477" s="26" t="str">
        <f>IFERROR(__xludf.DUMMYFUNCTION("VLOOKUP(G477,IMPORTRANGE(""https://docs.google.com/spreadsheets/d/12RxCea4e5ggM7QGn1XE3FbLQa_-QbCNdBi90OdPjRqg/edit?gid=1692403370#gid=1692403370"", ""'Plan de Compras'!D4:2432""), 8,0)"),"#N/A")</f>
        <v>#N/A</v>
      </c>
      <c r="K477" s="26" t="str">
        <f t="shared" si="40"/>
        <v>-</v>
      </c>
      <c r="L477" s="29" t="s">
        <v>77</v>
      </c>
      <c r="M477" s="30" t="s">
        <v>78</v>
      </c>
      <c r="N477" s="32"/>
      <c r="O477" s="32" t="str">
        <f>VLOOKUP($G477,'Hoja 10'!$F$4:$AA1057, 19,0)</f>
        <v>TRAMONTINA</v>
      </c>
      <c r="P477" s="32" t="str">
        <f>VLOOKUP($G477,'Hoja 10'!$F$4:$AA1057, 20,0)</f>
        <v>TRAMONTINA</v>
      </c>
      <c r="Q477" s="33" t="str">
        <f>VLOOKUP($G477,'Hoja 10'!$F$4:$AA1057, 21,0)</f>
        <v>https://www.tramontina.com.pe/cuchillo-chef-8-_24011008/p?srsltid=AfmBOoqu6ic-Gx4cspsQbpngJtQ60l0XyMncSDgjPDPq5KbZn-BeODCG</v>
      </c>
      <c r="R477" s="30" t="s">
        <v>3197</v>
      </c>
      <c r="S477" s="34" t="b">
        <v>0</v>
      </c>
      <c r="T477" s="39" t="str">
        <f>IFERROR(__xludf.DUMMYFUNCTION(" IF
( VLOOKUP($G477,IMPORTRANGE(""https://docs.google.com/spreadsheets/d/1Gpl6jkTg7sL4VDNimUm3S9Vi1i95esohXCF3wuKOE8c"", ""'CONSOLIDADO'!G5:AB""), 10, 0) &lt;&gt; 0, 
IFERROR(VLOOKUP($G477,IMPORTRANGE(""https://docs.google.com/spreadsheets/d/1Gpl6jkTg7sL4VDNimU"&amp;"m3S9Vi1i95esohXCF3wuKOE8c"", ""'CONSOLIDADO'!G5:AB""), 17, 0), ""-""),
""""
)"),"TRAMONTINA")</f>
        <v>TRAMONTINA</v>
      </c>
      <c r="U477" s="39" t="str">
        <f>IFERROR(__xludf.DUMMYFUNCTION(" IF
( VLOOKUP($G477,IMPORTRANGE(""https://docs.google.com/spreadsheets/d/1Gpl6jkTg7sL4VDNimUm3S9Vi1i95esohXCF3wuKOE8c"", ""'CONSOLIDADO'!G5:AB""), 10, 0) &lt;&gt; 0, 
IFERROR(VLOOKUP($G477,IMPORTRANGE(""https://docs.google.com/spreadsheets/d/1Gpl6jkTg7sL4VDNimU"&amp;"m3S9Vi1i95esohXCF3wuKOE8c"", ""'CONSOLIDADO'!G5:AB""), 18, 0), ""-""),
""""
)"),"VARIOS CUCHILLOS Y PORTACUCHILLO")</f>
        <v>VARIOS CUCHILLOS Y PORTACUCHILLO</v>
      </c>
      <c r="V477" s="39" t="str">
        <f>IFERROR(__xludf.DUMMYFUNCTION(" IF
( VLOOKUP($G477,IMPORTRANGE(""https://docs.google.com/spreadsheets/d/1Gpl6jkTg7sL4VDNimUm3S9Vi1i95esohXCF3wuKOE8c"", ""'CONSOLIDADO'!G5:AB""), 10, 0) &lt;&gt; 0, 
IFERROR(VLOOKUP($G477,IMPORTRANGE(""https://docs.google.com/spreadsheets/d/1Gpl6jkTg7sL4VDNimU"&amp;"m3S9Vi1i95esohXCF3wuKOE8c"", ""'CONSOLIDADO'!G5:AB""), 17, 0), ""-""),
""""
)"),"TRAMONTINA")</f>
        <v>TRAMONTINA</v>
      </c>
      <c r="W477" s="39" t="str">
        <f>IFERROR(__xludf.DUMMYFUNCTION(" IF
( VLOOKUP($G477,IMPORTRANGE(""https://docs.google.com/spreadsheets/d/1Gpl6jkTg7sL4VDNimUm3S9Vi1i95esohXCF3wuKOE8c"", ""'CONSOLIDADO'!G5:AB""), 10, 0) &lt;&gt; 0, 
IFERROR(VLOOKUP($G477,IMPORTRANGE(""https://docs.google.com/spreadsheets/d/1Gpl6jkTg7sL4VDNimU"&amp;"m3S9Vi1i95esohXCF3wuKOE8c"", ""'CONSOLIDADO'!G5:AB""), 18, 0), ""-""),
""""
)"),"VARIOS CUCHILLOS Y PORTACUCHILLO")</f>
        <v>VARIOS CUCHILLOS Y PORTACUCHILLO</v>
      </c>
      <c r="X477" s="39" t="b">
        <f t="shared" si="51"/>
        <v>1</v>
      </c>
      <c r="Y477" s="110" t="str">
        <f>IFERROR(__xludf.DUMMYFUNCTION(" IF
( VLOOKUP($G477,IMPORTRANGE(""https://docs.google.com/spreadsheets/d/1Gpl6jkTg7sL4VDNimUm3S9Vi1i95esohXCF3wuKOE8c"", ""'CONSOLIDADO'!G5:AB""), 10, 0) &lt;&gt; 0, 
IFERROR(VLOOKUP($G477,IMPORTRANGE(""https://docs.google.com/spreadsheets/d/1Gpl6jkTg7sL4VDNimU"&amp;"m3S9Vi1i95esohXCF3wuKOE8c"", ""'CONSOLIDADO'!G5:AB""), 19, 0), ""-""),
""""
)"),"")</f>
        <v/>
      </c>
      <c r="Z477" s="37" t="str">
        <f>IFERROR(__xludf.DUMMYFUNCTION("IFERROR(VLOOKUP(G477,IMPORTRANGE(""https://docs.google.com/spreadsheets/d/12RxCea4e5ggM7QGn1XE3FbLQa_-QbCNdBi90OdPjRqg"", ""'Plan de Compras'!D4:Q""), 12, 0), ""NO ESTÁ EN REQ"")"),"NO ESTÁ EN REQ")</f>
        <v>NO ESTÁ EN REQ</v>
      </c>
      <c r="AA477" s="37" t="str">
        <f>IFERROR(__xludf.DUMMYFUNCTION("IFERROR(VLOOKUP(G477,IMPORTRANGE(""https://docs.google.com/spreadsheets/d/12RxCea4e5ggM7QGn1XE3FbLQa_-QbCNdBi90OdPjRqg"", ""'Plan de Compras'!D4:Q""), 13, 0), """")"),"")</f>
        <v/>
      </c>
      <c r="AB477" s="32" t="str">
        <f>IFERROR(__xludf.DUMMYFUNCTION("IFERROR(VLOOKUP(G477,IMPORTRANGE(""https://docs.google.com/spreadsheets/d/12RxCea4e5ggM7QGn1XE3FbLQa_-QbCNdBi90OdPjRqg"", ""'Plan de Compras'!D4:Q""), 14, 0), """")"),"")</f>
        <v/>
      </c>
      <c r="AC477" s="72" t="str">
        <f>IFERROR(__xludf.DUMMYFUNCTION("IFERROR(VLOOKUP(G477,IMPORTRANGE(""https://docs.google.com/spreadsheets/d/12RxCea4e5ggM7QGn1XE3FbLQa_-QbCNdBi90OdPjRqg"", ""'Plan de Compras'!D4:Q""), 4, 0), """")"),"")</f>
        <v/>
      </c>
      <c r="AD477" s="37" t="str">
        <f>IFERROR(__xludf.DUMMYFUNCTION("IFERROR(IF(OR(C477=TRUE,C477=""""),VLOOKUP(G477,IMPORTRANGE(""https://docs.google.com/spreadsheets/d/1z9A1Wq-kKrhRNG5RS2a2fKpY1wIhSVz2ZNmP2mOl588/edit?usp=sharing"",""REQ VF!E4:H""),4,0),""NO APLICA""),""GENERAR REQ"")"),"NO APLICA")</f>
        <v>NO APLICA</v>
      </c>
      <c r="AE477" s="32" t="str">
        <f>IFERROR(__xludf.DUMMYFUNCTION("IFERROR(QUERY(IMPORTRANGE(""https://docs.google.com/spreadsheets/d/1z9A1Wq-kKrhRNG5RS2a2fKpY1wIhSVz2ZNmP2mOl588/edit?usp=sharing"",""REQ VF!E4:Q""),""SELECT Col10, Col11, Col12 WHERE Col1 = '""&amp;G477&amp;""'"",0),""NO APLICA"")"),"NO APLICA")</f>
        <v>NO APLICA</v>
      </c>
      <c r="AF477" s="32"/>
      <c r="AG477" s="32"/>
      <c r="AH477" s="13"/>
      <c r="AI477" s="13"/>
    </row>
    <row r="478">
      <c r="A478" s="43"/>
      <c r="B478" s="43"/>
      <c r="C478" s="26" t="b">
        <v>1</v>
      </c>
      <c r="D478" s="26" t="s">
        <v>95</v>
      </c>
      <c r="E478" s="26" t="s">
        <v>1510</v>
      </c>
      <c r="F478" s="59" t="s">
        <v>3195</v>
      </c>
      <c r="G478" s="39" t="s">
        <v>3198</v>
      </c>
      <c r="H478" s="82" t="s">
        <v>3199</v>
      </c>
      <c r="I478" s="43">
        <v>2.0</v>
      </c>
      <c r="J478" s="26">
        <f>IFERROR(__xludf.DUMMYFUNCTION("VLOOKUP(G478,IMPORTRANGE(""https://docs.google.com/spreadsheets/d/12RxCea4e5ggM7QGn1XE3FbLQa_-QbCNdBi90OdPjRqg/edit?gid=1692403370#gid=1692403370"", ""'Plan de Compras'!D4:2432""), 8,0)"),2.0)</f>
        <v>2</v>
      </c>
      <c r="K478" s="26" t="str">
        <f t="shared" si="40"/>
        <v>SI</v>
      </c>
      <c r="L478" s="26"/>
      <c r="M478" s="32"/>
      <c r="N478" s="32" t="s">
        <v>3200</v>
      </c>
      <c r="O478" s="32" t="s">
        <v>3201</v>
      </c>
      <c r="P478" s="32"/>
      <c r="Q478" s="33" t="s">
        <v>3202</v>
      </c>
      <c r="R478" s="32"/>
      <c r="S478" s="34" t="b">
        <v>1</v>
      </c>
      <c r="T478" s="39" t="s">
        <v>2766</v>
      </c>
      <c r="U478" s="39" t="s">
        <v>3203</v>
      </c>
      <c r="V478" s="39"/>
      <c r="W478" s="39"/>
      <c r="X478" s="39"/>
      <c r="Y478" s="126" t="s">
        <v>3202</v>
      </c>
      <c r="Z478" s="37" t="str">
        <f>IFERROR(__xludf.DUMMYFUNCTION("IFERROR(VLOOKUP(G478,IMPORTRANGE(""https://docs.google.com/spreadsheets/d/12RxCea4e5ggM7QGn1XE3FbLQa_-QbCNdBi90OdPjRqg"", ""'Plan de Compras'!D4:Q""), 12, 0), ""NO ESTÁ EN REQ"")"),"Simple")</f>
        <v>Simple</v>
      </c>
      <c r="AA478" s="37" t="str">
        <f>IFERROR(__xludf.DUMMYFUNCTION("IFERROR(VLOOKUP(G478,IMPORTRANGE(""https://docs.google.com/spreadsheets/d/12RxCea4e5ggM7QGn1XE3FbLQa_-QbCNdBi90OdPjRqg"", ""'Plan de Compras'!D4:Q""), 13, 0), """")"),"NACIONAL")</f>
        <v>NACIONAL</v>
      </c>
      <c r="AB478" s="32" t="str">
        <f>IFERROR(__xludf.DUMMYFUNCTION("IFERROR(VLOOKUP(G478,IMPORTRANGE(""https://docs.google.com/spreadsheets/d/12RxCea4e5ggM7QGn1XE3FbLQa_-QbCNdBi90OdPjRqg"", ""'Plan de Compras'!D4:Q""), 14, 0), """")"),"JESSICA")</f>
        <v>JESSICA</v>
      </c>
      <c r="AC478" s="72" t="str">
        <f>IFERROR(__xludf.DUMMYFUNCTION("IFERROR(VLOOKUP(G478,IMPORTRANGE(""https://docs.google.com/spreadsheets/d/12RxCea4e5ggM7QGn1XE3FbLQa_-QbCNdBi90OdPjRqg"", ""'Plan de Compras'!D4:Q""), 4, 0), """")"),"CUCHILLO DE CHEF. (1 UND)")</f>
        <v>CUCHILLO DE CHEF. (1 UND)</v>
      </c>
      <c r="AD478" s="37" t="str">
        <f>IFERROR(__xludf.DUMMYFUNCTION("IFERROR(IF(OR(C478=TRUE,C478=""""),VLOOKUP(G478,IMPORTRANGE(""https://docs.google.com/spreadsheets/d/1z9A1Wq-kKrhRNG5RS2a2fKpY1wIhSVz2ZNmP2mOl588/edit?usp=sharing"",""REQ VF!E4:H""),4,0),""NO APLICA""),""GENERAR REQ"")"),"GENERAR REQ")</f>
        <v>GENERAR REQ</v>
      </c>
      <c r="AE478" s="32" t="str">
        <f>IFERROR(__xludf.DUMMYFUNCTION("IFERROR(QUERY(IMPORTRANGE(""https://docs.google.com/spreadsheets/d/1z9A1Wq-kKrhRNG5RS2a2fKpY1wIhSVz2ZNmP2mOl588/edit?usp=sharing"",""REQ VF!E4:Q""),""SELECT Col10, Col11, Col12 WHERE Col1 = '""&amp;G478&amp;""'"",0),""NO APLICA"")"),"NO APLICA")</f>
        <v>NO APLICA</v>
      </c>
      <c r="AF478" s="32"/>
      <c r="AG478" s="32"/>
      <c r="AH478" s="13"/>
      <c r="AI478" s="13"/>
    </row>
    <row r="479">
      <c r="A479" s="43"/>
      <c r="B479" s="43"/>
      <c r="C479" s="26" t="b">
        <v>1</v>
      </c>
      <c r="D479" s="26" t="s">
        <v>95</v>
      </c>
      <c r="E479" s="26" t="s">
        <v>1510</v>
      </c>
      <c r="F479" s="59" t="s">
        <v>3195</v>
      </c>
      <c r="G479" s="39" t="s">
        <v>3204</v>
      </c>
      <c r="H479" s="82" t="s">
        <v>3205</v>
      </c>
      <c r="I479" s="43">
        <v>2.0</v>
      </c>
      <c r="J479" s="26">
        <f>IFERROR(__xludf.DUMMYFUNCTION("VLOOKUP(G479,IMPORTRANGE(""https://docs.google.com/spreadsheets/d/12RxCea4e5ggM7QGn1XE3FbLQa_-QbCNdBi90OdPjRqg/edit?gid=1692403370#gid=1692403370"", ""'Plan de Compras'!D4:2432""), 8,0)"),2.0)</f>
        <v>2</v>
      </c>
      <c r="K479" s="26" t="str">
        <f t="shared" si="40"/>
        <v>SI</v>
      </c>
      <c r="L479" s="26"/>
      <c r="M479" s="32"/>
      <c r="N479" s="32" t="s">
        <v>3206</v>
      </c>
      <c r="O479" s="32" t="s">
        <v>3201</v>
      </c>
      <c r="P479" s="32"/>
      <c r="Q479" s="33" t="s">
        <v>3207</v>
      </c>
      <c r="R479" s="32"/>
      <c r="S479" s="34" t="b">
        <v>1</v>
      </c>
      <c r="T479" s="39" t="s">
        <v>2766</v>
      </c>
      <c r="U479" s="39" t="s">
        <v>3208</v>
      </c>
      <c r="V479" s="39"/>
      <c r="W479" s="39"/>
      <c r="X479" s="39"/>
      <c r="Y479" s="126" t="s">
        <v>3209</v>
      </c>
      <c r="Z479" s="37" t="str">
        <f>IFERROR(__xludf.DUMMYFUNCTION("IFERROR(VLOOKUP(G479,IMPORTRANGE(""https://docs.google.com/spreadsheets/d/12RxCea4e5ggM7QGn1XE3FbLQa_-QbCNdBi90OdPjRqg"", ""'Plan de Compras'!D4:Q""), 12, 0), ""NO ESTÁ EN REQ"")"),"Simple")</f>
        <v>Simple</v>
      </c>
      <c r="AA479" s="37" t="str">
        <f>IFERROR(__xludf.DUMMYFUNCTION("IFERROR(VLOOKUP(G479,IMPORTRANGE(""https://docs.google.com/spreadsheets/d/12RxCea4e5ggM7QGn1XE3FbLQa_-QbCNdBi90OdPjRqg"", ""'Plan de Compras'!D4:Q""), 13, 0), """")"),"NACIONAL")</f>
        <v>NACIONAL</v>
      </c>
      <c r="AB479" s="32" t="str">
        <f>IFERROR(__xludf.DUMMYFUNCTION("IFERROR(VLOOKUP(G479,IMPORTRANGE(""https://docs.google.com/spreadsheets/d/12RxCea4e5ggM7QGn1XE3FbLQa_-QbCNdBi90OdPjRqg"", ""'Plan de Compras'!D4:Q""), 14, 0), """")"),"JESSICA")</f>
        <v>JESSICA</v>
      </c>
      <c r="AC479" s="72" t="str">
        <f>IFERROR(__xludf.DUMMYFUNCTION("IFERROR(VLOOKUP(G479,IMPORTRANGE(""https://docs.google.com/spreadsheets/d/12RxCea4e5ggM7QGn1XE3FbLQa_-QbCNdBi90OdPjRqg"", ""'Plan de Compras'!D4:Q""), 4, 0), """")"),"CUCHILLO CHULETERO. (1 UND)")</f>
        <v>CUCHILLO CHULETERO. (1 UND)</v>
      </c>
      <c r="AD479" s="37" t="str">
        <f>IFERROR(__xludf.DUMMYFUNCTION("IFERROR(IF(OR(C479=TRUE,C479=""""),VLOOKUP(G479,IMPORTRANGE(""https://docs.google.com/spreadsheets/d/1z9A1Wq-kKrhRNG5RS2a2fKpY1wIhSVz2ZNmP2mOl588/edit?usp=sharing"",""REQ VF!E4:H""),4,0),""NO APLICA""),""GENERAR REQ"")"),"GENERAR REQ")</f>
        <v>GENERAR REQ</v>
      </c>
      <c r="AE479" s="32" t="str">
        <f>IFERROR(__xludf.DUMMYFUNCTION("IFERROR(QUERY(IMPORTRANGE(""https://docs.google.com/spreadsheets/d/1z9A1Wq-kKrhRNG5RS2a2fKpY1wIhSVz2ZNmP2mOl588/edit?usp=sharing"",""REQ VF!E4:Q""),""SELECT Col10, Col11, Col12 WHERE Col1 = '""&amp;G479&amp;""'"",0),""NO APLICA"")"),"NO APLICA")</f>
        <v>NO APLICA</v>
      </c>
      <c r="AF479" s="32"/>
      <c r="AG479" s="32"/>
      <c r="AH479" s="13"/>
      <c r="AI479" s="13"/>
    </row>
    <row r="480">
      <c r="A480" s="43"/>
      <c r="B480" s="43"/>
      <c r="C480" s="26" t="b">
        <v>1</v>
      </c>
      <c r="D480" s="26" t="s">
        <v>95</v>
      </c>
      <c r="E480" s="26" t="s">
        <v>1510</v>
      </c>
      <c r="F480" s="59" t="s">
        <v>3195</v>
      </c>
      <c r="G480" s="39" t="s">
        <v>3210</v>
      </c>
      <c r="H480" s="82" t="s">
        <v>3211</v>
      </c>
      <c r="I480" s="43">
        <v>2.0</v>
      </c>
      <c r="J480" s="26">
        <f>IFERROR(__xludf.DUMMYFUNCTION("VLOOKUP(G480,IMPORTRANGE(""https://docs.google.com/spreadsheets/d/12RxCea4e5ggM7QGn1XE3FbLQa_-QbCNdBi90OdPjRqg/edit?gid=1692403370#gid=1692403370"", ""'Plan de Compras'!D4:2432""), 8,0)"),2.0)</f>
        <v>2</v>
      </c>
      <c r="K480" s="26" t="str">
        <f t="shared" si="40"/>
        <v>SI</v>
      </c>
      <c r="L480" s="26"/>
      <c r="M480" s="32"/>
      <c r="N480" s="32" t="s">
        <v>3212</v>
      </c>
      <c r="O480" s="32" t="s">
        <v>3201</v>
      </c>
      <c r="P480" s="32"/>
      <c r="Q480" s="33" t="s">
        <v>3213</v>
      </c>
      <c r="R480" s="32"/>
      <c r="S480" s="34" t="b">
        <v>1</v>
      </c>
      <c r="T480" s="39" t="s">
        <v>2766</v>
      </c>
      <c r="U480" s="39" t="s">
        <v>3214</v>
      </c>
      <c r="V480" s="39"/>
      <c r="W480" s="39"/>
      <c r="X480" s="39"/>
      <c r="Y480" s="126" t="s">
        <v>3213</v>
      </c>
      <c r="Z480" s="37" t="str">
        <f>IFERROR(__xludf.DUMMYFUNCTION("IFERROR(VLOOKUP(G480,IMPORTRANGE(""https://docs.google.com/spreadsheets/d/12RxCea4e5ggM7QGn1XE3FbLQa_-QbCNdBi90OdPjRqg"", ""'Plan de Compras'!D4:Q""), 12, 0), ""NO ESTÁ EN REQ"")"),"Simple")</f>
        <v>Simple</v>
      </c>
      <c r="AA480" s="37" t="str">
        <f>IFERROR(__xludf.DUMMYFUNCTION("IFERROR(VLOOKUP(G480,IMPORTRANGE(""https://docs.google.com/spreadsheets/d/12RxCea4e5ggM7QGn1XE3FbLQa_-QbCNdBi90OdPjRqg"", ""'Plan de Compras'!D4:Q""), 13, 0), """")"),"NACIONAL")</f>
        <v>NACIONAL</v>
      </c>
      <c r="AB480" s="32" t="str">
        <f>IFERROR(__xludf.DUMMYFUNCTION("IFERROR(VLOOKUP(G480,IMPORTRANGE(""https://docs.google.com/spreadsheets/d/12RxCea4e5ggM7QGn1XE3FbLQa_-QbCNdBi90OdPjRqg"", ""'Plan de Compras'!D4:Q""), 14, 0), """")"),"JESSICA")</f>
        <v>JESSICA</v>
      </c>
      <c r="AC480" s="72" t="str">
        <f>IFERROR(__xludf.DUMMYFUNCTION("IFERROR(VLOOKUP(G480,IMPORTRANGE(""https://docs.google.com/spreadsheets/d/12RxCea4e5ggM7QGn1XE3FbLQa_-QbCNdBi90OdPjRqg"", ""'Plan de Compras'!D4:Q""), 4, 0), """")"),"CUCHILLO DESHUESADOR. (1 UND)")</f>
        <v>CUCHILLO DESHUESADOR. (1 UND)</v>
      </c>
      <c r="AD480" s="37" t="str">
        <f>IFERROR(__xludf.DUMMYFUNCTION("IFERROR(IF(OR(C480=TRUE,C480=""""),VLOOKUP(G480,IMPORTRANGE(""https://docs.google.com/spreadsheets/d/1z9A1Wq-kKrhRNG5RS2a2fKpY1wIhSVz2ZNmP2mOl588/edit?usp=sharing"",""REQ VF!E4:H""),4,0),""NO APLICA""),""GENERAR REQ"")"),"GENERAR REQ")</f>
        <v>GENERAR REQ</v>
      </c>
      <c r="AE480" s="32" t="str">
        <f>IFERROR(__xludf.DUMMYFUNCTION("IFERROR(QUERY(IMPORTRANGE(""https://docs.google.com/spreadsheets/d/1z9A1Wq-kKrhRNG5RS2a2fKpY1wIhSVz2ZNmP2mOl588/edit?usp=sharing"",""REQ VF!E4:Q""),""SELECT Col10, Col11, Col12 WHERE Col1 = '""&amp;G480&amp;""'"",0),""NO APLICA"")"),"NO APLICA")</f>
        <v>NO APLICA</v>
      </c>
      <c r="AF480" s="32"/>
      <c r="AG480" s="32"/>
      <c r="AH480" s="13"/>
      <c r="AI480" s="13"/>
    </row>
    <row r="481">
      <c r="A481" s="43"/>
      <c r="B481" s="43"/>
      <c r="C481" s="26" t="b">
        <v>1</v>
      </c>
      <c r="D481" s="26" t="s">
        <v>95</v>
      </c>
      <c r="E481" s="26" t="s">
        <v>1510</v>
      </c>
      <c r="F481" s="59" t="s">
        <v>3195</v>
      </c>
      <c r="G481" s="39" t="s">
        <v>3215</v>
      </c>
      <c r="H481" s="82" t="s">
        <v>3216</v>
      </c>
      <c r="I481" s="43">
        <v>2.0</v>
      </c>
      <c r="J481" s="26">
        <f>IFERROR(__xludf.DUMMYFUNCTION("VLOOKUP(G481,IMPORTRANGE(""https://docs.google.com/spreadsheets/d/12RxCea4e5ggM7QGn1XE3FbLQa_-QbCNdBi90OdPjRqg/edit?gid=1692403370#gid=1692403370"", ""'Plan de Compras'!D4:2432""), 8,0)"),2.0)</f>
        <v>2</v>
      </c>
      <c r="K481" s="26" t="str">
        <f t="shared" si="40"/>
        <v>SI</v>
      </c>
      <c r="L481" s="26"/>
      <c r="M481" s="32"/>
      <c r="N481" s="32" t="s">
        <v>3217</v>
      </c>
      <c r="O481" s="32" t="s">
        <v>3201</v>
      </c>
      <c r="P481" s="32"/>
      <c r="Q481" s="33" t="s">
        <v>3218</v>
      </c>
      <c r="R481" s="32"/>
      <c r="S481" s="34" t="b">
        <v>1</v>
      </c>
      <c r="T481" s="39" t="s">
        <v>2766</v>
      </c>
      <c r="U481" s="39" t="s">
        <v>3219</v>
      </c>
      <c r="V481" s="39"/>
      <c r="W481" s="39"/>
      <c r="X481" s="39"/>
      <c r="Y481" s="126" t="s">
        <v>3218</v>
      </c>
      <c r="Z481" s="37" t="str">
        <f>IFERROR(__xludf.DUMMYFUNCTION("IFERROR(VLOOKUP(G481,IMPORTRANGE(""https://docs.google.com/spreadsheets/d/12RxCea4e5ggM7QGn1XE3FbLQa_-QbCNdBi90OdPjRqg"", ""'Plan de Compras'!D4:Q""), 12, 0), ""NO ESTÁ EN REQ"")"),"Simple")</f>
        <v>Simple</v>
      </c>
      <c r="AA481" s="37" t="str">
        <f>IFERROR(__xludf.DUMMYFUNCTION("IFERROR(VLOOKUP(G481,IMPORTRANGE(""https://docs.google.com/spreadsheets/d/12RxCea4e5ggM7QGn1XE3FbLQa_-QbCNdBi90OdPjRqg"", ""'Plan de Compras'!D4:Q""), 13, 0), """")"),"NACIONAL")</f>
        <v>NACIONAL</v>
      </c>
      <c r="AB481" s="32" t="str">
        <f>IFERROR(__xludf.DUMMYFUNCTION("IFERROR(VLOOKUP(G481,IMPORTRANGE(""https://docs.google.com/spreadsheets/d/12RxCea4e5ggM7QGn1XE3FbLQa_-QbCNdBi90OdPjRqg"", ""'Plan de Compras'!D4:Q""), 14, 0), """")"),"JESSICA")</f>
        <v>JESSICA</v>
      </c>
      <c r="AC481" s="72" t="str">
        <f>IFERROR(__xludf.DUMMYFUNCTION("IFERROR(VLOOKUP(G481,IMPORTRANGE(""https://docs.google.com/spreadsheets/d/12RxCea4e5ggM7QGn1XE3FbLQa_-QbCNdBi90OdPjRqg"", ""'Plan de Compras'!D4:Q""), 4, 0), """")"),"CUCHILLO FILETEAR. (1 UND)")</f>
        <v>CUCHILLO FILETEAR. (1 UND)</v>
      </c>
      <c r="AD481" s="37" t="str">
        <f>IFERROR(__xludf.DUMMYFUNCTION("IFERROR(IF(OR(C481=TRUE,C481=""""),VLOOKUP(G481,IMPORTRANGE(""https://docs.google.com/spreadsheets/d/1z9A1Wq-kKrhRNG5RS2a2fKpY1wIhSVz2ZNmP2mOl588/edit?usp=sharing"",""REQ VF!E4:H""),4,0),""NO APLICA""),""GENERAR REQ"")"),"GENERAR REQ")</f>
        <v>GENERAR REQ</v>
      </c>
      <c r="AE481" s="32" t="str">
        <f>IFERROR(__xludf.DUMMYFUNCTION("IFERROR(QUERY(IMPORTRANGE(""https://docs.google.com/spreadsheets/d/1z9A1Wq-kKrhRNG5RS2a2fKpY1wIhSVz2ZNmP2mOl588/edit?usp=sharing"",""REQ VF!E4:Q""),""SELECT Col10, Col11, Col12 WHERE Col1 = '""&amp;G481&amp;""'"",0),""NO APLICA"")"),"NO APLICA")</f>
        <v>NO APLICA</v>
      </c>
      <c r="AF481" s="32"/>
      <c r="AG481" s="32"/>
      <c r="AH481" s="13"/>
      <c r="AI481" s="13"/>
    </row>
    <row r="482">
      <c r="A482" s="43"/>
      <c r="B482" s="43"/>
      <c r="C482" s="26" t="b">
        <v>1</v>
      </c>
      <c r="D482" s="26" t="s">
        <v>95</v>
      </c>
      <c r="E482" s="26" t="s">
        <v>1510</v>
      </c>
      <c r="F482" s="59" t="s">
        <v>3195</v>
      </c>
      <c r="G482" s="39" t="s">
        <v>3220</v>
      </c>
      <c r="H482" s="82" t="s">
        <v>3221</v>
      </c>
      <c r="I482" s="43">
        <v>2.0</v>
      </c>
      <c r="J482" s="26">
        <f>IFERROR(__xludf.DUMMYFUNCTION("VLOOKUP(G482,IMPORTRANGE(""https://docs.google.com/spreadsheets/d/12RxCea4e5ggM7QGn1XE3FbLQa_-QbCNdBi90OdPjRqg/edit?gid=1692403370#gid=1692403370"", ""'Plan de Compras'!D4:2432""), 8,0)"),2.0)</f>
        <v>2</v>
      </c>
      <c r="K482" s="26" t="str">
        <f t="shared" si="40"/>
        <v>SI</v>
      </c>
      <c r="L482" s="26"/>
      <c r="M482" s="32"/>
      <c r="N482" s="32" t="s">
        <v>3222</v>
      </c>
      <c r="O482" s="32" t="s">
        <v>3201</v>
      </c>
      <c r="P482" s="32"/>
      <c r="Q482" s="33" t="s">
        <v>3223</v>
      </c>
      <c r="R482" s="32"/>
      <c r="S482" s="34" t="b">
        <v>1</v>
      </c>
      <c r="T482" s="39" t="s">
        <v>2766</v>
      </c>
      <c r="U482" s="39" t="s">
        <v>3224</v>
      </c>
      <c r="V482" s="39"/>
      <c r="W482" s="39"/>
      <c r="X482" s="39"/>
      <c r="Y482" s="126" t="s">
        <v>3223</v>
      </c>
      <c r="Z482" s="37" t="str">
        <f>IFERROR(__xludf.DUMMYFUNCTION("IFERROR(VLOOKUP(G482,IMPORTRANGE(""https://docs.google.com/spreadsheets/d/12RxCea4e5ggM7QGn1XE3FbLQa_-QbCNdBi90OdPjRqg"", ""'Plan de Compras'!D4:Q""), 12, 0), ""NO ESTÁ EN REQ"")"),"Simple")</f>
        <v>Simple</v>
      </c>
      <c r="AA482" s="37" t="str">
        <f>IFERROR(__xludf.DUMMYFUNCTION("IFERROR(VLOOKUP(G482,IMPORTRANGE(""https://docs.google.com/spreadsheets/d/12RxCea4e5ggM7QGn1XE3FbLQa_-QbCNdBi90OdPjRqg"", ""'Plan de Compras'!D4:Q""), 13, 0), """")"),"NACIONAL")</f>
        <v>NACIONAL</v>
      </c>
      <c r="AB482" s="32" t="str">
        <f>IFERROR(__xludf.DUMMYFUNCTION("IFERROR(VLOOKUP(G482,IMPORTRANGE(""https://docs.google.com/spreadsheets/d/12RxCea4e5ggM7QGn1XE3FbLQa_-QbCNdBi90OdPjRqg"", ""'Plan de Compras'!D4:Q""), 14, 0), """")"),"JESSICA")</f>
        <v>JESSICA</v>
      </c>
      <c r="AC482" s="72" t="str">
        <f>IFERROR(__xludf.DUMMYFUNCTION("IFERROR(VLOOKUP(G482,IMPORTRANGE(""https://docs.google.com/spreadsheets/d/12RxCea4e5ggM7QGn1XE3FbLQa_-QbCNdBi90OdPjRqg"", ""'Plan de Compras'!D4:Q""), 4, 0), """")"),"CUCHILLO JAMONERO DE HOJA FINA Y ALARGADA (1 UND)")</f>
        <v>CUCHILLO JAMONERO DE HOJA FINA Y ALARGADA (1 UND)</v>
      </c>
      <c r="AD482" s="37" t="str">
        <f>IFERROR(__xludf.DUMMYFUNCTION("IFERROR(IF(OR(C482=TRUE,C482=""""),VLOOKUP(G482,IMPORTRANGE(""https://docs.google.com/spreadsheets/d/1z9A1Wq-kKrhRNG5RS2a2fKpY1wIhSVz2ZNmP2mOl588/edit?usp=sharing"",""REQ VF!E4:H""),4,0),""NO APLICA""),""GENERAR REQ"")"),"GENERAR REQ")</f>
        <v>GENERAR REQ</v>
      </c>
      <c r="AE482" s="32" t="str">
        <f>IFERROR(__xludf.DUMMYFUNCTION("IFERROR(QUERY(IMPORTRANGE(""https://docs.google.com/spreadsheets/d/1z9A1Wq-kKrhRNG5RS2a2fKpY1wIhSVz2ZNmP2mOl588/edit?usp=sharing"",""REQ VF!E4:Q""),""SELECT Col10, Col11, Col12 WHERE Col1 = '""&amp;G482&amp;""'"",0),""NO APLICA"")"),"NO APLICA")</f>
        <v>NO APLICA</v>
      </c>
      <c r="AF482" s="32"/>
      <c r="AG482" s="32"/>
      <c r="AH482" s="13"/>
      <c r="AI482" s="13"/>
    </row>
    <row r="483">
      <c r="A483" s="43"/>
      <c r="B483" s="43"/>
      <c r="C483" s="26" t="b">
        <v>1</v>
      </c>
      <c r="D483" s="26" t="s">
        <v>42</v>
      </c>
      <c r="E483" s="26" t="s">
        <v>1510</v>
      </c>
      <c r="F483" s="59" t="s">
        <v>3195</v>
      </c>
      <c r="G483" s="39" t="s">
        <v>3225</v>
      </c>
      <c r="H483" s="82" t="s">
        <v>3226</v>
      </c>
      <c r="I483" s="43">
        <v>2.0</v>
      </c>
      <c r="J483" s="26">
        <f>IFERROR(__xludf.DUMMYFUNCTION("VLOOKUP(G483,IMPORTRANGE(""https://docs.google.com/spreadsheets/d/12RxCea4e5ggM7QGn1XE3FbLQa_-QbCNdBi90OdPjRqg/edit?gid=1692403370#gid=1692403370"", ""'Plan de Compras'!D4:2432""), 8,0)"),2.0)</f>
        <v>2</v>
      </c>
      <c r="K483" s="26" t="str">
        <f t="shared" si="40"/>
        <v>SI</v>
      </c>
      <c r="L483" s="26"/>
      <c r="M483" s="32"/>
      <c r="N483" s="32" t="s">
        <v>3227</v>
      </c>
      <c r="O483" s="32" t="s">
        <v>2300</v>
      </c>
      <c r="P483" s="32"/>
      <c r="Q483" s="33" t="s">
        <v>3228</v>
      </c>
      <c r="R483" s="32"/>
      <c r="S483" s="34" t="b">
        <v>1</v>
      </c>
      <c r="T483" s="39" t="s">
        <v>3229</v>
      </c>
      <c r="U483" s="39" t="s">
        <v>2300</v>
      </c>
      <c r="V483" s="39"/>
      <c r="W483" s="39"/>
      <c r="X483" s="39"/>
      <c r="Y483" s="126" t="s">
        <v>3230</v>
      </c>
      <c r="Z483" s="37" t="str">
        <f>IFERROR(__xludf.DUMMYFUNCTION("IFERROR(VLOOKUP(G483,IMPORTRANGE(""https://docs.google.com/spreadsheets/d/12RxCea4e5ggM7QGn1XE3FbLQa_-QbCNdBi90OdPjRqg"", ""'Plan de Compras'!D4:Q""), 12, 0), ""NO ESTÁ EN REQ"")"),"Simple")</f>
        <v>Simple</v>
      </c>
      <c r="AA483" s="37" t="str">
        <f>IFERROR(__xludf.DUMMYFUNCTION("IFERROR(VLOOKUP(G483,IMPORTRANGE(""https://docs.google.com/spreadsheets/d/12RxCea4e5ggM7QGn1XE3FbLQa_-QbCNdBi90OdPjRqg"", ""'Plan de Compras'!D4:Q""), 13, 0), """")"),"NACIONAL")</f>
        <v>NACIONAL</v>
      </c>
      <c r="AB483" s="32" t="str">
        <f>IFERROR(__xludf.DUMMYFUNCTION("IFERROR(VLOOKUP(G483,IMPORTRANGE(""https://docs.google.com/spreadsheets/d/12RxCea4e5ggM7QGn1XE3FbLQa_-QbCNdBi90OdPjRqg"", ""'Plan de Compras'!D4:Q""), 14, 0), """")"),"JESSICA")</f>
        <v>JESSICA</v>
      </c>
      <c r="AC483" s="72" t="str">
        <f>IFERROR(__xludf.DUMMYFUNCTION("IFERROR(VLOOKUP(G483,IMPORTRANGE(""https://docs.google.com/spreadsheets/d/12RxCea4e5ggM7QGn1XE3FbLQa_-QbCNdBi90OdPjRqg"", ""'Plan de Compras'!D4:Q""), 4, 0), """")"),"PORTA CUCHILLOS (1 UND)")</f>
        <v>PORTA CUCHILLOS (1 UND)</v>
      </c>
      <c r="AD483" s="37" t="str">
        <f>IFERROR(__xludf.DUMMYFUNCTION("IFERROR(IF(OR(C483=TRUE,C483=""""),VLOOKUP(G483,IMPORTRANGE(""https://docs.google.com/spreadsheets/d/1z9A1Wq-kKrhRNG5RS2a2fKpY1wIhSVz2ZNmP2mOl588/edit?usp=sharing"",""REQ VF!E4:H""),4,0),""NO APLICA""),""GENERAR REQ"")"),"GENERAR REQ")</f>
        <v>GENERAR REQ</v>
      </c>
      <c r="AE483" s="32" t="str">
        <f>IFERROR(__xludf.DUMMYFUNCTION("IFERROR(QUERY(IMPORTRANGE(""https://docs.google.com/spreadsheets/d/1z9A1Wq-kKrhRNG5RS2a2fKpY1wIhSVz2ZNmP2mOl588/edit?usp=sharing"",""REQ VF!E4:Q""),""SELECT Col10, Col11, Col12 WHERE Col1 = '""&amp;G483&amp;""'"",0),""NO APLICA"")"),"NO APLICA")</f>
        <v>NO APLICA</v>
      </c>
      <c r="AF483" s="32"/>
      <c r="AG483" s="32"/>
      <c r="AH483" s="13"/>
      <c r="AI483" s="13"/>
    </row>
    <row r="484">
      <c r="A484" s="121">
        <v>294.0</v>
      </c>
      <c r="B484" s="43" t="b">
        <v>1</v>
      </c>
      <c r="C484" s="26" t="b">
        <v>1</v>
      </c>
      <c r="D484" s="26" t="s">
        <v>35</v>
      </c>
      <c r="E484" s="26" t="s">
        <v>1510</v>
      </c>
      <c r="F484" s="59" t="s">
        <v>3231</v>
      </c>
      <c r="G484" s="37" t="s">
        <v>3231</v>
      </c>
      <c r="H484" s="82" t="s">
        <v>3232</v>
      </c>
      <c r="I484" s="43">
        <f>SUMIFS('Hoja 10'!$O:$O,'Hoja 10'!$F:$F,$G484)</f>
        <v>2</v>
      </c>
      <c r="J484" s="26">
        <f>IFERROR(__xludf.DUMMYFUNCTION("VLOOKUP(G484,IMPORTRANGE(""https://docs.google.com/spreadsheets/d/12RxCea4e5ggM7QGn1XE3FbLQa_-QbCNdBi90OdPjRqg/edit?gid=1692403370#gid=1692403370"", ""'Plan de Compras'!D4:2432""), 8,0)"),2.0)</f>
        <v>2</v>
      </c>
      <c r="K484" s="26" t="str">
        <f t="shared" si="40"/>
        <v>SI</v>
      </c>
      <c r="L484" s="29" t="s">
        <v>77</v>
      </c>
      <c r="M484" s="30" t="s">
        <v>78</v>
      </c>
      <c r="N484" s="32"/>
      <c r="O484" s="32" t="str">
        <f>VLOOKUP($G484,'Hoja 10'!$F$4:$AA1057, 19,0)</f>
        <v>MARINEX</v>
      </c>
      <c r="P484" s="32" t="str">
        <f>VLOOKUP($G484,'Hoja 10'!$F$4:$AA1057, 20,0)</f>
        <v>GENÉRICO</v>
      </c>
      <c r="Q484" s="33" t="str">
        <f>VLOOKUP($G484,'Hoja 10'!$F$4:$AA1057, 21,0)</f>
        <v>https://www.falabella.com.pe/falabella-pe/product/145269875/Fuente-Bandeja-para-Horno-de-Vidrio-Templado-Marinex-Set-3-Piezas/145269876?kid=shopp44fc&amp;gclsrc=aw.ds&amp;gad_source=1&amp;gad_campaignid=20114538213&amp;gbraid=0AAAAADs9MO0j1HshM0h3wB7T9bpIUVkC3&amp;gclid=Cj0KCQjwvJHIBhCgARIsAEQnWlDeUnejj8LJp0SgngfwfWC4HcGvoPBVkKa_7ZXUVB8aRAYgOZgbnskaAmG_EALw_wcB</v>
      </c>
      <c r="R484" s="30" t="s">
        <v>3233</v>
      </c>
      <c r="S484" s="44" t="b">
        <v>1</v>
      </c>
      <c r="T484" s="39" t="s">
        <v>3234</v>
      </c>
      <c r="U484" s="39" t="s">
        <v>3235</v>
      </c>
      <c r="V484" s="39" t="str">
        <f>IFERROR(__xludf.DUMMYFUNCTION(" IF
( VLOOKUP($G484,IMPORTRANGE(""https://docs.google.com/spreadsheets/d/1Gpl6jkTg7sL4VDNimUm3S9Vi1i95esohXCF3wuKOE8c"", ""'CONSOLIDADO'!G5:AB""), 10, 0) &lt;&gt; 0, 
IFERROR(VLOOKUP($G484,IMPORTRANGE(""https://docs.google.com/spreadsheets/d/1Gpl6jkTg7sL4VDNimU"&amp;"m3S9Vi1i95esohXCF3wuKOE8c"", ""'CONSOLIDADO'!G5:AB""), 17, 0), ""-""),
""""
)"),"MARINEX")</f>
        <v>MARINEX</v>
      </c>
      <c r="W484" s="39" t="str">
        <f>IFERROR(__xludf.DUMMYFUNCTION(" IF
( VLOOKUP($G484,IMPORTRANGE(""https://docs.google.com/spreadsheets/d/1Gpl6jkTg7sL4VDNimUm3S9Vi1i95esohXCF3wuKOE8c"", ""'CONSOLIDADO'!G5:AB""), 10, 0) &lt;&gt; 0, 
IFERROR(VLOOKUP($G484,IMPORTRANGE(""https://docs.google.com/spreadsheets/d/1Gpl6jkTg7sL4VDNimU"&amp;"m3S9Vi1i95esohXCF3wuKOE8c"", ""'CONSOLIDADO'!G5:AB""), 18, 0), ""-""),
""""
)")," Set 3 Piezas Fuente Bandeja para Horno de Vidrio Templado Marinex
")</f>
        <v> Set 3 Piezas Fuente Bandeja para Horno de Vidrio Templado Marinex
</v>
      </c>
      <c r="X484" s="39" t="b">
        <f t="shared" ref="X484:X485" si="52">IF(AND(T484=V484,W484=U484),TRUE,FALSE)</f>
        <v>1</v>
      </c>
      <c r="Y484" s="120" t="s">
        <v>3236</v>
      </c>
      <c r="Z484" s="37" t="str">
        <f>IFERROR(__xludf.DUMMYFUNCTION("IFERROR(VLOOKUP(G484,IMPORTRANGE(""https://docs.google.com/spreadsheets/d/12RxCea4e5ggM7QGn1XE3FbLQa_-QbCNdBi90OdPjRqg"", ""'Plan de Compras'!D4:Q""), 12, 0), ""NO ESTÁ EN REQ"")"),"Simple")</f>
        <v>Simple</v>
      </c>
      <c r="AA484" s="37" t="str">
        <f>IFERROR(__xludf.DUMMYFUNCTION("IFERROR(VLOOKUP(G484,IMPORTRANGE(""https://docs.google.com/spreadsheets/d/12RxCea4e5ggM7QGn1XE3FbLQa_-QbCNdBi90OdPjRqg"", ""'Plan de Compras'!D4:Q""), 13, 0), """")"),"NACIONAL")</f>
        <v>NACIONAL</v>
      </c>
      <c r="AB484" s="32" t="str">
        <f>IFERROR(__xludf.DUMMYFUNCTION("IFERROR(VLOOKUP(G484,IMPORTRANGE(""https://docs.google.com/spreadsheets/d/12RxCea4e5ggM7QGn1XE3FbLQa_-QbCNdBi90OdPjRqg"", ""'Plan de Compras'!D4:Q""), 14, 0), """")"),"JESSICA")</f>
        <v>JESSICA</v>
      </c>
      <c r="AC484" s="72" t="str">
        <f>IFERROR(__xludf.DUMMYFUNCTION("IFERROR(VLOOKUP(G484,IMPORTRANGE(""https://docs.google.com/spreadsheets/d/12RxCea4e5ggM7QGn1XE3FbLQa_-QbCNdBi90OdPjRqg"", ""'Plan de Compras'!D4:Q""), 4, 0), """")"),"JUEGO DE FUENTES DE VIDRIO REFRACTÁRIO")</f>
        <v>JUEGO DE FUENTES DE VIDRIO REFRACTÁRIO</v>
      </c>
      <c r="AD484" s="37" t="str">
        <f>IFERROR(__xludf.DUMMYFUNCTION("IFERROR(IF(OR(C484=TRUE,C484=""""),VLOOKUP(G484,IMPORTRANGE(""https://docs.google.com/spreadsheets/d/1z9A1Wq-kKrhRNG5RS2a2fKpY1wIhSVz2ZNmP2mOl588/edit?usp=sharing"",""REQ VF!E4:H""),4,0),""NO APLICA""),""GENERAR REQ"")"),"GENERAR REQ")</f>
        <v>GENERAR REQ</v>
      </c>
      <c r="AE484" s="32" t="str">
        <f>IFERROR(__xludf.DUMMYFUNCTION("IFERROR(QUERY(IMPORTRANGE(""https://docs.google.com/spreadsheets/d/1z9A1Wq-kKrhRNG5RS2a2fKpY1wIhSVz2ZNmP2mOl588/edit?usp=sharing"",""REQ VF!E4:Q""),""SELECT Col10, Col11, Col12 WHERE Col1 = '""&amp;G484&amp;""'"",0),""NO APLICA"")"),"NO APLICA")</f>
        <v>NO APLICA</v>
      </c>
      <c r="AF484" s="32"/>
      <c r="AG484" s="32"/>
      <c r="AH484" s="13"/>
      <c r="AI484" s="13"/>
    </row>
    <row r="485">
      <c r="A485" s="117">
        <v>295.0</v>
      </c>
      <c r="B485" s="43" t="b">
        <v>1</v>
      </c>
      <c r="C485" s="26" t="b">
        <v>0</v>
      </c>
      <c r="D485" s="26" t="s">
        <v>35</v>
      </c>
      <c r="E485" s="26" t="s">
        <v>1510</v>
      </c>
      <c r="F485" s="59" t="s">
        <v>3237</v>
      </c>
      <c r="G485" s="37" t="s">
        <v>3237</v>
      </c>
      <c r="H485" s="82" t="s">
        <v>3238</v>
      </c>
      <c r="I485" s="43">
        <f>SUMIFS('Hoja 10'!$O:$O,'Hoja 10'!$F:$F,$G485)</f>
        <v>2</v>
      </c>
      <c r="J485" s="26" t="str">
        <f>IFERROR(__xludf.DUMMYFUNCTION("VLOOKUP(G485,IMPORTRANGE(""https://docs.google.com/spreadsheets/d/12RxCea4e5ggM7QGn1XE3FbLQa_-QbCNdBi90OdPjRqg/edit?gid=1692403370#gid=1692403370"", ""'Plan de Compras'!D4:2432""), 8,0)"),"#N/A")</f>
        <v>#N/A</v>
      </c>
      <c r="K485" s="26" t="str">
        <f t="shared" si="40"/>
        <v>-</v>
      </c>
      <c r="L485" s="29" t="s">
        <v>77</v>
      </c>
      <c r="M485" s="30" t="s">
        <v>78</v>
      </c>
      <c r="N485" s="32"/>
      <c r="O485" s="32" t="str">
        <f>VLOOKUP($G485,'Hoja 10'!$F$4:$AA1057, 19,0)</f>
        <v>GENÉRICO</v>
      </c>
      <c r="P485" s="32" t="str">
        <f>VLOOKUP($G485,'Hoja 10'!$F$4:$AA1057, 20,0)</f>
        <v>GENÉRICO</v>
      </c>
      <c r="Q485" s="33" t="str">
        <f>VLOOKUP($G485,'Hoja 10'!$F$4:$AA1057, 21,0)</f>
        <v>https://hiraoka.com.pe/juego-de-ollas-acero-inoxidable-7-piezas-intuition-t-fal?utm_id=22793891402&amp;gad_source=1&amp;gad_campaignid=22793891402&amp;gbraid=0AAAAACkNDqnkEcADNxW4HW8NVEeh9eeEb&amp;gclid=CjwKCAjwu9fHBhAWEiwAzGRC_-_9Zwj5L_IVQ3CIkdHbYzbDvRiaJirGQy35X8_m5IXDIby08QB2vRoCuVcQAvD_BwE</v>
      </c>
      <c r="R485" s="30" t="s">
        <v>3239</v>
      </c>
      <c r="S485" s="44" t="b">
        <v>0</v>
      </c>
      <c r="T485" s="39" t="str">
        <f>IFERROR(__xludf.DUMMYFUNCTION(" IF
( VLOOKUP($G485,IMPORTRANGE(""https://docs.google.com/spreadsheets/d/1Gpl6jkTg7sL4VDNimUm3S9Vi1i95esohXCF3wuKOE8c"", ""'CONSOLIDADO'!G5:AB""), 10, 0) &lt;&gt; 0, 
IFERROR(VLOOKUP($G485,IMPORTRANGE(""https://docs.google.com/spreadsheets/d/1Gpl6jkTg7sL4VDNimU"&amp;"m3S9Vi1i95esohXCF3wuKOE8c"", ""'CONSOLIDADO'!G5:AB""), 17, 0), ""-""),
""""
)"),"FINEZZA / FACUSA / TRAMONTINA")</f>
        <v>FINEZZA / FACUSA / TRAMONTINA</v>
      </c>
      <c r="U485" s="39" t="str">
        <f>IFERROR(__xludf.DUMMYFUNCTION(" IF
( VLOOKUP($G485,IMPORTRANGE(""https://docs.google.com/spreadsheets/d/1Gpl6jkTg7sL4VDNimUm3S9Vi1i95esohXCF3wuKOE8c"", ""'CONSOLIDADO'!G5:AB""), 10, 0) &lt;&gt; 0, 
IFERROR(VLOOKUP($G485,IMPORTRANGE(""https://docs.google.com/spreadsheets/d/1Gpl6jkTg7sL4VDNimU"&amp;"m3S9Vi1i95esohXCF3wuKOE8c"", ""'CONSOLIDADO'!G5:AB""), 18, 0), ""-""),
""""
)"),"VARIOS DE INDUCCIÓN")</f>
        <v>VARIOS DE INDUCCIÓN</v>
      </c>
      <c r="V485" s="39" t="str">
        <f>IFERROR(__xludf.DUMMYFUNCTION(" IF
( VLOOKUP($G485,IMPORTRANGE(""https://docs.google.com/spreadsheets/d/1Gpl6jkTg7sL4VDNimUm3S9Vi1i95esohXCF3wuKOE8c"", ""'CONSOLIDADO'!G5:AB""), 10, 0) &lt;&gt; 0, 
IFERROR(VLOOKUP($G485,IMPORTRANGE(""https://docs.google.com/spreadsheets/d/1Gpl6jkTg7sL4VDNimU"&amp;"m3S9Vi1i95esohXCF3wuKOE8c"", ""'CONSOLIDADO'!G5:AB""), 17, 0), ""-""),
""""
)"),"FINEZZA / FACUSA / TRAMONTINA")</f>
        <v>FINEZZA / FACUSA / TRAMONTINA</v>
      </c>
      <c r="W485" s="39" t="str">
        <f>IFERROR(__xludf.DUMMYFUNCTION(" IF
( VLOOKUP($G485,IMPORTRANGE(""https://docs.google.com/spreadsheets/d/1Gpl6jkTg7sL4VDNimUm3S9Vi1i95esohXCF3wuKOE8c"", ""'CONSOLIDADO'!G5:AB""), 10, 0) &lt;&gt; 0, 
IFERROR(VLOOKUP($G485,IMPORTRANGE(""https://docs.google.com/spreadsheets/d/1Gpl6jkTg7sL4VDNimU"&amp;"m3S9Vi1i95esohXCF3wuKOE8c"", ""'CONSOLIDADO'!G5:AB""), 18, 0), ""-""),
""""
)"),"VARIOS DE INDUCCIÓN")</f>
        <v>VARIOS DE INDUCCIÓN</v>
      </c>
      <c r="X485" s="39" t="b">
        <f t="shared" si="52"/>
        <v>1</v>
      </c>
      <c r="Y485" s="110" t="str">
        <f>IFERROR(__xludf.DUMMYFUNCTION(" IF
( VLOOKUP($G485,IMPORTRANGE(""https://docs.google.com/spreadsheets/d/1Gpl6jkTg7sL4VDNimUm3S9Vi1i95esohXCF3wuKOE8c"", ""'CONSOLIDADO'!G5:AB""), 10, 0) &lt;&gt; 0, 
IFERROR(VLOOKUP($G485,IMPORTRANGE(""https://docs.google.com/spreadsheets/d/1Gpl6jkTg7sL4VDNimU"&amp;"m3S9Vi1i95esohXCF3wuKOE8c"", ""'CONSOLIDADO'!G5:AB""), 19, 0), ""-""),
""""
)"),"8 ITEMS DIFERENTES")</f>
        <v>8 ITEMS DIFERENTES</v>
      </c>
      <c r="Z485" s="37" t="str">
        <f>IFERROR(__xludf.DUMMYFUNCTION("IFERROR(VLOOKUP(G485,IMPORTRANGE(""https://docs.google.com/spreadsheets/d/12RxCea4e5ggM7QGn1XE3FbLQa_-QbCNdBi90OdPjRqg"", ""'Plan de Compras'!D4:Q""), 12, 0), ""NO ESTÁ EN REQ"")"),"NO ESTÁ EN REQ")</f>
        <v>NO ESTÁ EN REQ</v>
      </c>
      <c r="AA485" s="37" t="str">
        <f>IFERROR(__xludf.DUMMYFUNCTION("IFERROR(VLOOKUP(G485,IMPORTRANGE(""https://docs.google.com/spreadsheets/d/12RxCea4e5ggM7QGn1XE3FbLQa_-QbCNdBi90OdPjRqg"", ""'Plan de Compras'!D4:Q""), 13, 0), """")"),"")</f>
        <v/>
      </c>
      <c r="AB485" s="32" t="str">
        <f>IFERROR(__xludf.DUMMYFUNCTION("IFERROR(VLOOKUP(G485,IMPORTRANGE(""https://docs.google.com/spreadsheets/d/12RxCea4e5ggM7QGn1XE3FbLQa_-QbCNdBi90OdPjRqg"", ""'Plan de Compras'!D4:Q""), 14, 0), """")"),"")</f>
        <v/>
      </c>
      <c r="AC485" s="72" t="str">
        <f>IFERROR(__xludf.DUMMYFUNCTION("IFERROR(VLOOKUP(G485,IMPORTRANGE(""https://docs.google.com/spreadsheets/d/12RxCea4e5ggM7QGn1XE3FbLQa_-QbCNdBi90OdPjRqg"", ""'Plan de Compras'!D4:Q""), 4, 0), """")"),"")</f>
        <v/>
      </c>
      <c r="AD485" s="37" t="str">
        <f>IFERROR(__xludf.DUMMYFUNCTION("IFERROR(IF(OR(C485=TRUE,C485=""""),VLOOKUP(G485,IMPORTRANGE(""https://docs.google.com/spreadsheets/d/1z9A1Wq-kKrhRNG5RS2a2fKpY1wIhSVz2ZNmP2mOl588/edit?usp=sharing"",""REQ VF!E4:H""),4,0),""NO APLICA""),""GENERAR REQ"")"),"NO APLICA")</f>
        <v>NO APLICA</v>
      </c>
      <c r="AE485" s="32" t="str">
        <f>IFERROR(__xludf.DUMMYFUNCTION("IFERROR(QUERY(IMPORTRANGE(""https://docs.google.com/spreadsheets/d/1z9A1Wq-kKrhRNG5RS2a2fKpY1wIhSVz2ZNmP2mOl588/edit?usp=sharing"",""REQ VF!E4:Q""),""SELECT Col10, Col11, Col12 WHERE Col1 = '""&amp;G485&amp;""'"",0),""NO APLICA"")"),"NO APLICA")</f>
        <v>NO APLICA</v>
      </c>
      <c r="AF485" s="32"/>
      <c r="AG485" s="32"/>
      <c r="AH485" s="13"/>
      <c r="AI485" s="13"/>
    </row>
    <row r="486">
      <c r="A486" s="43"/>
      <c r="B486" s="43"/>
      <c r="C486" s="26" t="b">
        <v>1</v>
      </c>
      <c r="D486" s="26" t="s">
        <v>95</v>
      </c>
      <c r="E486" s="26" t="s">
        <v>1510</v>
      </c>
      <c r="F486" s="59" t="s">
        <v>3237</v>
      </c>
      <c r="G486" s="39" t="s">
        <v>3240</v>
      </c>
      <c r="H486" s="66" t="str">
        <f>UPPER("Cacerola 16 cm (1 UND)")</f>
        <v>CACEROLA 16 CM (1 UND)</v>
      </c>
      <c r="I486" s="43">
        <v>2.0</v>
      </c>
      <c r="J486" s="26">
        <f>IFERROR(__xludf.DUMMYFUNCTION("VLOOKUP(G486,IMPORTRANGE(""https://docs.google.com/spreadsheets/d/12RxCea4e5ggM7QGn1XE3FbLQa_-QbCNdBi90OdPjRqg/edit?gid=1692403370#gid=1692403370"", ""'Plan de Compras'!D4:2432""), 8,0)"),2.0)</f>
        <v>2</v>
      </c>
      <c r="K486" s="26" t="str">
        <f t="shared" si="40"/>
        <v>SI</v>
      </c>
      <c r="L486" s="26"/>
      <c r="M486" s="32"/>
      <c r="N486" s="32"/>
      <c r="O486" s="32"/>
      <c r="P486" s="32"/>
      <c r="Q486" s="33" t="s">
        <v>3241</v>
      </c>
      <c r="R486" s="32"/>
      <c r="S486" s="34" t="b">
        <v>1</v>
      </c>
      <c r="T486" s="39" t="s">
        <v>2913</v>
      </c>
      <c r="U486" s="39" t="s">
        <v>3242</v>
      </c>
      <c r="V486" s="39"/>
      <c r="W486" s="39"/>
      <c r="X486" s="39"/>
      <c r="Y486" s="120" t="s">
        <v>3243</v>
      </c>
      <c r="Z486" s="37" t="str">
        <f>IFERROR(__xludf.DUMMYFUNCTION("IFERROR(VLOOKUP(G486,IMPORTRANGE(""https://docs.google.com/spreadsheets/d/12RxCea4e5ggM7QGn1XE3FbLQa_-QbCNdBi90OdPjRqg"", ""'Plan de Compras'!D4:Q""), 12, 0), ""NO ESTÁ EN REQ"")"),"Simple")</f>
        <v>Simple</v>
      </c>
      <c r="AA486" s="37" t="str">
        <f>IFERROR(__xludf.DUMMYFUNCTION("IFERROR(VLOOKUP(G486,IMPORTRANGE(""https://docs.google.com/spreadsheets/d/12RxCea4e5ggM7QGn1XE3FbLQa_-QbCNdBi90OdPjRqg"", ""'Plan de Compras'!D4:Q""), 13, 0), """")"),"NACIONAL")</f>
        <v>NACIONAL</v>
      </c>
      <c r="AB486" s="32" t="str">
        <f>IFERROR(__xludf.DUMMYFUNCTION("IFERROR(VLOOKUP(G486,IMPORTRANGE(""https://docs.google.com/spreadsheets/d/12RxCea4e5ggM7QGn1XE3FbLQa_-QbCNdBi90OdPjRqg"", ""'Plan de Compras'!D4:Q""), 14, 0), """")"),"JESSICA")</f>
        <v>JESSICA</v>
      </c>
      <c r="AC486" s="72" t="str">
        <f>IFERROR(__xludf.DUMMYFUNCTION("IFERROR(VLOOKUP(G486,IMPORTRANGE(""https://docs.google.com/spreadsheets/d/12RxCea4e5ggM7QGn1XE3FbLQa_-QbCNdBi90OdPjRqg"", ""'Plan de Compras'!D4:Q""), 4, 0), """")"),"CACEROLA 16 CM (1 UND)")</f>
        <v>CACEROLA 16 CM (1 UND)</v>
      </c>
      <c r="AD486" s="37" t="str">
        <f>IFERROR(__xludf.DUMMYFUNCTION("IFERROR(IF(OR(C486=TRUE,C486=""""),VLOOKUP(G486,IMPORTRANGE(""https://docs.google.com/spreadsheets/d/1z9A1Wq-kKrhRNG5RS2a2fKpY1wIhSVz2ZNmP2mOl588/edit?usp=sharing"",""REQ VF!E4:H""),4,0),""NO APLICA""),""GENERAR REQ"")"),"GENERAR REQ")</f>
        <v>GENERAR REQ</v>
      </c>
      <c r="AE486" s="32" t="str">
        <f>IFERROR(__xludf.DUMMYFUNCTION("IFERROR(QUERY(IMPORTRANGE(""https://docs.google.com/spreadsheets/d/1z9A1Wq-kKrhRNG5RS2a2fKpY1wIhSVz2ZNmP2mOl588/edit?usp=sharing"",""REQ VF!E4:Q""),""SELECT Col10, Col11, Col12 WHERE Col1 = '""&amp;G486&amp;""'"",0),""NO APLICA"")"),"NO APLICA")</f>
        <v>NO APLICA</v>
      </c>
      <c r="AF486" s="32"/>
      <c r="AG486" s="32"/>
      <c r="AH486" s="13"/>
      <c r="AI486" s="13"/>
    </row>
    <row r="487">
      <c r="A487" s="43"/>
      <c r="B487" s="43"/>
      <c r="C487" s="26" t="b">
        <v>1</v>
      </c>
      <c r="D487" s="26" t="s">
        <v>95</v>
      </c>
      <c r="E487" s="26" t="s">
        <v>1510</v>
      </c>
      <c r="F487" s="59" t="s">
        <v>3237</v>
      </c>
      <c r="G487" s="39" t="s">
        <v>3244</v>
      </c>
      <c r="H487" s="66" t="str">
        <f>UPPER("Cacerola 18 cm (1 UND)")</f>
        <v>CACEROLA 18 CM (1 UND)</v>
      </c>
      <c r="I487" s="43">
        <v>2.0</v>
      </c>
      <c r="J487" s="26">
        <f>IFERROR(__xludf.DUMMYFUNCTION("VLOOKUP(G487,IMPORTRANGE(""https://docs.google.com/spreadsheets/d/12RxCea4e5ggM7QGn1XE3FbLQa_-QbCNdBi90OdPjRqg/edit?gid=1692403370#gid=1692403370"", ""'Plan de Compras'!D4:2432""), 8,0)"),2.0)</f>
        <v>2</v>
      </c>
      <c r="K487" s="26" t="str">
        <f t="shared" si="40"/>
        <v>SI</v>
      </c>
      <c r="L487" s="26"/>
      <c r="M487" s="32"/>
      <c r="N487" s="32"/>
      <c r="O487" s="32"/>
      <c r="P487" s="32"/>
      <c r="Q487" s="33" t="s">
        <v>3245</v>
      </c>
      <c r="R487" s="32"/>
      <c r="S487" s="34" t="b">
        <v>1</v>
      </c>
      <c r="T487" s="39" t="s">
        <v>2913</v>
      </c>
      <c r="U487" s="39" t="s">
        <v>3246</v>
      </c>
      <c r="V487" s="39"/>
      <c r="W487" s="39"/>
      <c r="X487" s="39"/>
      <c r="Y487" s="120" t="s">
        <v>3247</v>
      </c>
      <c r="Z487" s="37" t="str">
        <f>IFERROR(__xludf.DUMMYFUNCTION("IFERROR(VLOOKUP(G487,IMPORTRANGE(""https://docs.google.com/spreadsheets/d/12RxCea4e5ggM7QGn1XE3FbLQa_-QbCNdBi90OdPjRqg"", ""'Plan de Compras'!D4:Q""), 12, 0), ""NO ESTÁ EN REQ"")"),"Simple")</f>
        <v>Simple</v>
      </c>
      <c r="AA487" s="37" t="str">
        <f>IFERROR(__xludf.DUMMYFUNCTION("IFERROR(VLOOKUP(G487,IMPORTRANGE(""https://docs.google.com/spreadsheets/d/12RxCea4e5ggM7QGn1XE3FbLQa_-QbCNdBi90OdPjRqg"", ""'Plan de Compras'!D4:Q""), 13, 0), """")"),"NACIONAL")</f>
        <v>NACIONAL</v>
      </c>
      <c r="AB487" s="32" t="str">
        <f>IFERROR(__xludf.DUMMYFUNCTION("IFERROR(VLOOKUP(G487,IMPORTRANGE(""https://docs.google.com/spreadsheets/d/12RxCea4e5ggM7QGn1XE3FbLQa_-QbCNdBi90OdPjRqg"", ""'Plan de Compras'!D4:Q""), 14, 0), """")"),"JESSICA")</f>
        <v>JESSICA</v>
      </c>
      <c r="AC487" s="72" t="str">
        <f>IFERROR(__xludf.DUMMYFUNCTION("IFERROR(VLOOKUP(G487,IMPORTRANGE(""https://docs.google.com/spreadsheets/d/12RxCea4e5ggM7QGn1XE3FbLQa_-QbCNdBi90OdPjRqg"", ""'Plan de Compras'!D4:Q""), 4, 0), """")"),"CACEROLA 18 CM (1 UND)")</f>
        <v>CACEROLA 18 CM (1 UND)</v>
      </c>
      <c r="AD487" s="37" t="str">
        <f>IFERROR(__xludf.DUMMYFUNCTION("IFERROR(IF(OR(C487=TRUE,C487=""""),VLOOKUP(G487,IMPORTRANGE(""https://docs.google.com/spreadsheets/d/1z9A1Wq-kKrhRNG5RS2a2fKpY1wIhSVz2ZNmP2mOl588/edit?usp=sharing"",""REQ VF!E4:H""),4,0),""NO APLICA""),""GENERAR REQ"")"),"GENERAR REQ")</f>
        <v>GENERAR REQ</v>
      </c>
      <c r="AE487" s="32" t="str">
        <f>IFERROR(__xludf.DUMMYFUNCTION("IFERROR(QUERY(IMPORTRANGE(""https://docs.google.com/spreadsheets/d/1z9A1Wq-kKrhRNG5RS2a2fKpY1wIhSVz2ZNmP2mOl588/edit?usp=sharing"",""REQ VF!E4:Q""),""SELECT Col10, Col11, Col12 WHERE Col1 = '""&amp;G487&amp;""'"",0),""NO APLICA"")"),"NO APLICA")</f>
        <v>NO APLICA</v>
      </c>
      <c r="AF487" s="32"/>
      <c r="AG487" s="32"/>
      <c r="AH487" s="13"/>
      <c r="AI487" s="13"/>
    </row>
    <row r="488">
      <c r="A488" s="43"/>
      <c r="B488" s="43"/>
      <c r="C488" s="26" t="b">
        <v>1</v>
      </c>
      <c r="D488" s="26" t="s">
        <v>95</v>
      </c>
      <c r="E488" s="26" t="s">
        <v>1510</v>
      </c>
      <c r="F488" s="39" t="s">
        <v>3237</v>
      </c>
      <c r="G488" s="39" t="s">
        <v>3248</v>
      </c>
      <c r="H488" s="66" t="s">
        <v>3249</v>
      </c>
      <c r="I488" s="43">
        <v>2.0</v>
      </c>
      <c r="J488" s="26">
        <f>IFERROR(__xludf.DUMMYFUNCTION("VLOOKUP(G488,IMPORTRANGE(""https://docs.google.com/spreadsheets/d/12RxCea4e5ggM7QGn1XE3FbLQa_-QbCNdBi90OdPjRqg/edit?gid=1692403370#gid=1692403370"", ""'Plan de Compras'!D4:2432""), 8,0)"),2.0)</f>
        <v>2</v>
      </c>
      <c r="K488" s="26" t="str">
        <f t="shared" si="40"/>
        <v>SI</v>
      </c>
      <c r="L488" s="26"/>
      <c r="M488" s="32"/>
      <c r="N488" s="32"/>
      <c r="O488" s="32"/>
      <c r="P488" s="32"/>
      <c r="Q488" s="33" t="s">
        <v>3250</v>
      </c>
      <c r="R488" s="32"/>
      <c r="S488" s="34" t="b">
        <v>1</v>
      </c>
      <c r="T488" s="158" t="s">
        <v>3251</v>
      </c>
      <c r="U488" s="39" t="s">
        <v>3252</v>
      </c>
      <c r="V488" s="39"/>
      <c r="W488" s="39"/>
      <c r="X488" s="39"/>
      <c r="Y488" s="125" t="s">
        <v>3253</v>
      </c>
      <c r="Z488" s="37" t="str">
        <f>IFERROR(__xludf.DUMMYFUNCTION("IFERROR(VLOOKUP(G488,IMPORTRANGE(""https://docs.google.com/spreadsheets/d/12RxCea4e5ggM7QGn1XE3FbLQa_-QbCNdBi90OdPjRqg"", ""'Plan de Compras'!D4:Q""), 12, 0), ""NO ESTÁ EN REQ"")"),"Simple")</f>
        <v>Simple</v>
      </c>
      <c r="AA488" s="37" t="str">
        <f>IFERROR(__xludf.DUMMYFUNCTION("IFERROR(VLOOKUP(G488,IMPORTRANGE(""https://docs.google.com/spreadsheets/d/12RxCea4e5ggM7QGn1XE3FbLQa_-QbCNdBi90OdPjRqg"", ""'Plan de Compras'!D4:Q""), 13, 0), """")"),"NACIONAL")</f>
        <v>NACIONAL</v>
      </c>
      <c r="AB488" s="32" t="str">
        <f>IFERROR(__xludf.DUMMYFUNCTION("IFERROR(VLOOKUP(G488,IMPORTRANGE(""https://docs.google.com/spreadsheets/d/12RxCea4e5ggM7QGn1XE3FbLQa_-QbCNdBi90OdPjRqg"", ""'Plan de Compras'!D4:Q""), 14, 0), """")"),"JESSICA")</f>
        <v>JESSICA</v>
      </c>
      <c r="AC488" s="72" t="str">
        <f>IFERROR(__xludf.DUMMYFUNCTION("IFERROR(VLOOKUP(G488,IMPORTRANGE(""https://docs.google.com/spreadsheets/d/12RxCea4e5ggM7QGn1XE3FbLQa_-QbCNdBi90OdPjRqg"", ""'Plan de Compras'!D4:Q""), 4, 0), """")"),"OLLA 20 CM (1 UND)")</f>
        <v>OLLA 20 CM (1 UND)</v>
      </c>
      <c r="AD488" s="37" t="str">
        <f>IFERROR(__xludf.DUMMYFUNCTION("IFERROR(IF(OR(C488=TRUE,C488=""""),VLOOKUP(G488,IMPORTRANGE(""https://docs.google.com/spreadsheets/d/1z9A1Wq-kKrhRNG5RS2a2fKpY1wIhSVz2ZNmP2mOl588/edit?usp=sharing"",""REQ VF!E4:H""),4,0),""NO APLICA""),""GENERAR REQ"")"),"GENERAR REQ")</f>
        <v>GENERAR REQ</v>
      </c>
      <c r="AE488" s="32" t="str">
        <f>IFERROR(__xludf.DUMMYFUNCTION("IFERROR(QUERY(IMPORTRANGE(""https://docs.google.com/spreadsheets/d/1z9A1Wq-kKrhRNG5RS2a2fKpY1wIhSVz2ZNmP2mOl588/edit?usp=sharing"",""REQ VF!E4:Q""),""SELECT Col10, Col11, Col12 WHERE Col1 = '""&amp;G488&amp;""'"",0),""NO APLICA"")"),"NO APLICA")</f>
        <v>NO APLICA</v>
      </c>
      <c r="AF488" s="32"/>
      <c r="AG488" s="32"/>
      <c r="AH488" s="13"/>
      <c r="AI488" s="13"/>
    </row>
    <row r="489">
      <c r="A489" s="43"/>
      <c r="B489" s="43"/>
      <c r="C489" s="26" t="b">
        <v>1</v>
      </c>
      <c r="D489" s="26" t="s">
        <v>95</v>
      </c>
      <c r="E489" s="26" t="s">
        <v>1510</v>
      </c>
      <c r="F489" s="59" t="s">
        <v>3237</v>
      </c>
      <c r="G489" s="39" t="s">
        <v>3254</v>
      </c>
      <c r="H489" s="66" t="str">
        <f>UPPER("Sartén 24 cm (1 UND)")</f>
        <v>SARTÉN 24 CM (1 UND)</v>
      </c>
      <c r="I489" s="43">
        <v>2.0</v>
      </c>
      <c r="J489" s="26">
        <f>IFERROR(__xludf.DUMMYFUNCTION("VLOOKUP(G489,IMPORTRANGE(""https://docs.google.com/spreadsheets/d/12RxCea4e5ggM7QGn1XE3FbLQa_-QbCNdBi90OdPjRqg/edit?gid=1692403370#gid=1692403370"", ""'Plan de Compras'!D4:2432""), 8,0)"),2.0)</f>
        <v>2</v>
      </c>
      <c r="K489" s="26" t="str">
        <f t="shared" si="40"/>
        <v>SI</v>
      </c>
      <c r="L489" s="26"/>
      <c r="M489" s="32"/>
      <c r="N489" s="32"/>
      <c r="O489" s="32"/>
      <c r="P489" s="32"/>
      <c r="Q489" s="33" t="s">
        <v>3255</v>
      </c>
      <c r="R489" s="32"/>
      <c r="S489" s="34" t="b">
        <v>1</v>
      </c>
      <c r="T489" s="39" t="s">
        <v>2766</v>
      </c>
      <c r="U489" s="39" t="s">
        <v>3256</v>
      </c>
      <c r="V489" s="39"/>
      <c r="W489" s="39"/>
      <c r="X489" s="39"/>
      <c r="Y489" s="126" t="s">
        <v>3257</v>
      </c>
      <c r="Z489" s="37" t="str">
        <f>IFERROR(__xludf.DUMMYFUNCTION("IFERROR(VLOOKUP(G489,IMPORTRANGE(""https://docs.google.com/spreadsheets/d/12RxCea4e5ggM7QGn1XE3FbLQa_-QbCNdBi90OdPjRqg"", ""'Plan de Compras'!D4:Q""), 12, 0), ""NO ESTÁ EN REQ"")"),"Simple")</f>
        <v>Simple</v>
      </c>
      <c r="AA489" s="37" t="str">
        <f>IFERROR(__xludf.DUMMYFUNCTION("IFERROR(VLOOKUP(G489,IMPORTRANGE(""https://docs.google.com/spreadsheets/d/12RxCea4e5ggM7QGn1XE3FbLQa_-QbCNdBi90OdPjRqg"", ""'Plan de Compras'!D4:Q""), 13, 0), """")"),"NACIONAL")</f>
        <v>NACIONAL</v>
      </c>
      <c r="AB489" s="32" t="str">
        <f>IFERROR(__xludf.DUMMYFUNCTION("IFERROR(VLOOKUP(G489,IMPORTRANGE(""https://docs.google.com/spreadsheets/d/12RxCea4e5ggM7QGn1XE3FbLQa_-QbCNdBi90OdPjRqg"", ""'Plan de Compras'!D4:Q""), 14, 0), """")"),"JESSICA")</f>
        <v>JESSICA</v>
      </c>
      <c r="AC489" s="72" t="str">
        <f>IFERROR(__xludf.DUMMYFUNCTION("IFERROR(VLOOKUP(G489,IMPORTRANGE(""https://docs.google.com/spreadsheets/d/12RxCea4e5ggM7QGn1XE3FbLQa_-QbCNdBi90OdPjRqg"", ""'Plan de Compras'!D4:Q""), 4, 0), """")"),"SARTÉN 24 CM (1 UND)")</f>
        <v>SARTÉN 24 CM (1 UND)</v>
      </c>
      <c r="AD489" s="37" t="str">
        <f>IFERROR(__xludf.DUMMYFUNCTION("IFERROR(IF(OR(C489=TRUE,C489=""""),VLOOKUP(G489,IMPORTRANGE(""https://docs.google.com/spreadsheets/d/1z9A1Wq-kKrhRNG5RS2a2fKpY1wIhSVz2ZNmP2mOl588/edit?usp=sharing"",""REQ VF!E4:H""),4,0),""NO APLICA""),""GENERAR REQ"")"),"GENERAR REQ")</f>
        <v>GENERAR REQ</v>
      </c>
      <c r="AE489" s="32" t="str">
        <f>IFERROR(__xludf.DUMMYFUNCTION("IFERROR(QUERY(IMPORTRANGE(""https://docs.google.com/spreadsheets/d/1z9A1Wq-kKrhRNG5RS2a2fKpY1wIhSVz2ZNmP2mOl588/edit?usp=sharing"",""REQ VF!E4:Q""),""SELECT Col10, Col11, Col12 WHERE Col1 = '""&amp;G489&amp;""'"",0),""NO APLICA"")"),"NO APLICA")</f>
        <v>NO APLICA</v>
      </c>
      <c r="AF489" s="32"/>
      <c r="AG489" s="32"/>
      <c r="AH489" s="13"/>
      <c r="AI489" s="13"/>
    </row>
    <row r="490">
      <c r="A490" s="43"/>
      <c r="B490" s="43"/>
      <c r="C490" s="26" t="b">
        <v>1</v>
      </c>
      <c r="D490" s="26" t="s">
        <v>95</v>
      </c>
      <c r="E490" s="26" t="s">
        <v>1510</v>
      </c>
      <c r="F490" s="59" t="s">
        <v>3237</v>
      </c>
      <c r="G490" s="39" t="s">
        <v>3258</v>
      </c>
      <c r="H490" s="66" t="str">
        <f>UPPER("Sartén 20 cm (1 UND)")</f>
        <v>SARTÉN 20 CM (1 UND)</v>
      </c>
      <c r="I490" s="43">
        <v>2.0</v>
      </c>
      <c r="J490" s="26">
        <f>IFERROR(__xludf.DUMMYFUNCTION("VLOOKUP(G490,IMPORTRANGE(""https://docs.google.com/spreadsheets/d/12RxCea4e5ggM7QGn1XE3FbLQa_-QbCNdBi90OdPjRqg/edit?gid=1692403370#gid=1692403370"", ""'Plan de Compras'!D4:2432""), 8,0)"),2.0)</f>
        <v>2</v>
      </c>
      <c r="K490" s="26" t="str">
        <f t="shared" si="40"/>
        <v>SI</v>
      </c>
      <c r="L490" s="26"/>
      <c r="M490" s="32"/>
      <c r="N490" s="32"/>
      <c r="O490" s="32"/>
      <c r="P490" s="32"/>
      <c r="Q490" s="33" t="s">
        <v>3259</v>
      </c>
      <c r="R490" s="32"/>
      <c r="S490" s="34" t="b">
        <v>1</v>
      </c>
      <c r="T490" s="39" t="s">
        <v>2766</v>
      </c>
      <c r="U490" s="39" t="s">
        <v>3260</v>
      </c>
      <c r="V490" s="39"/>
      <c r="W490" s="39"/>
      <c r="X490" s="39"/>
      <c r="Y490" s="126" t="s">
        <v>3261</v>
      </c>
      <c r="Z490" s="37" t="str">
        <f>IFERROR(__xludf.DUMMYFUNCTION("IFERROR(VLOOKUP(G490,IMPORTRANGE(""https://docs.google.com/spreadsheets/d/12RxCea4e5ggM7QGn1XE3FbLQa_-QbCNdBi90OdPjRqg"", ""'Plan de Compras'!D4:Q""), 12, 0), ""NO ESTÁ EN REQ"")"),"Simple")</f>
        <v>Simple</v>
      </c>
      <c r="AA490" s="37" t="str">
        <f>IFERROR(__xludf.DUMMYFUNCTION("IFERROR(VLOOKUP(G490,IMPORTRANGE(""https://docs.google.com/spreadsheets/d/12RxCea4e5ggM7QGn1XE3FbLQa_-QbCNdBi90OdPjRqg"", ""'Plan de Compras'!D4:Q""), 13, 0), """")"),"NACIONAL")</f>
        <v>NACIONAL</v>
      </c>
      <c r="AB490" s="32" t="str">
        <f>IFERROR(__xludf.DUMMYFUNCTION("IFERROR(VLOOKUP(G490,IMPORTRANGE(""https://docs.google.com/spreadsheets/d/12RxCea4e5ggM7QGn1XE3FbLQa_-QbCNdBi90OdPjRqg"", ""'Plan de Compras'!D4:Q""), 14, 0), """")"),"JESSICA")</f>
        <v>JESSICA</v>
      </c>
      <c r="AC490" s="72" t="str">
        <f>IFERROR(__xludf.DUMMYFUNCTION("IFERROR(VLOOKUP(G490,IMPORTRANGE(""https://docs.google.com/spreadsheets/d/12RxCea4e5ggM7QGn1XE3FbLQa_-QbCNdBi90OdPjRqg"", ""'Plan de Compras'!D4:Q""), 4, 0), """")"),"SARTÉN 20 CM (1 UND)")</f>
        <v>SARTÉN 20 CM (1 UND)</v>
      </c>
      <c r="AD490" s="37" t="str">
        <f>IFERROR(__xludf.DUMMYFUNCTION("IFERROR(IF(OR(C490=TRUE,C490=""""),VLOOKUP(G490,IMPORTRANGE(""https://docs.google.com/spreadsheets/d/1z9A1Wq-kKrhRNG5RS2a2fKpY1wIhSVz2ZNmP2mOl588/edit?usp=sharing"",""REQ VF!E4:H""),4,0),""NO APLICA""),""GENERAR REQ"")"),"GENERAR REQ")</f>
        <v>GENERAR REQ</v>
      </c>
      <c r="AE490" s="32" t="str">
        <f>IFERROR(__xludf.DUMMYFUNCTION("IFERROR(QUERY(IMPORTRANGE(""https://docs.google.com/spreadsheets/d/1z9A1Wq-kKrhRNG5RS2a2fKpY1wIhSVz2ZNmP2mOl588/edit?usp=sharing"",""REQ VF!E4:Q""),""SELECT Col10, Col11, Col12 WHERE Col1 = '""&amp;G490&amp;""'"",0),""NO APLICA"")"),"NO APLICA")</f>
        <v>NO APLICA</v>
      </c>
      <c r="AF490" s="32"/>
      <c r="AG490" s="32"/>
      <c r="AH490" s="13"/>
      <c r="AI490" s="13"/>
    </row>
    <row r="491">
      <c r="A491" s="117">
        <v>296.0</v>
      </c>
      <c r="B491" s="43" t="b">
        <v>1</v>
      </c>
      <c r="C491" s="26" t="b">
        <v>1</v>
      </c>
      <c r="D491" s="26" t="s">
        <v>35</v>
      </c>
      <c r="E491" s="26" t="s">
        <v>1510</v>
      </c>
      <c r="F491" s="59" t="s">
        <v>3262</v>
      </c>
      <c r="G491" s="159" t="s">
        <v>3262</v>
      </c>
      <c r="H491" s="122" t="s">
        <v>3263</v>
      </c>
      <c r="I491" s="43">
        <f>SUMIFS('Hoja 10'!$O:$O,'Hoja 10'!$F:$F,$G491)</f>
        <v>4</v>
      </c>
      <c r="J491" s="26">
        <f>IFERROR(__xludf.DUMMYFUNCTION("VLOOKUP(G491,IMPORTRANGE(""https://docs.google.com/spreadsheets/d/12RxCea4e5ggM7QGn1XE3FbLQa_-QbCNdBi90OdPjRqg/edit?gid=1692403370#gid=1692403370"", ""'Plan de Compras'!D4:2432""), 8,0)"),4.0)</f>
        <v>4</v>
      </c>
      <c r="K491" s="26" t="str">
        <f t="shared" si="40"/>
        <v>SI</v>
      </c>
      <c r="L491" s="29" t="s">
        <v>122</v>
      </c>
      <c r="M491" s="30" t="s">
        <v>123</v>
      </c>
      <c r="N491" s="32"/>
      <c r="O491" s="32" t="str">
        <f>VLOOKUP($G491,'Hoja 10'!$F$4:$AA1057, 19,0)</f>
        <v>DIYPHONE</v>
      </c>
      <c r="P491" s="32" t="str">
        <f>VLOOKUP($G491,'Hoja 10'!$F$4:$AA1057, 20,0)</f>
        <v>Pinzas industriales electrónicas antiestáticas curvadas punta recta precisión pinzas de acero inoxidable reparación de placa base de teléfono Herramientas manuales</v>
      </c>
      <c r="Q491" s="33" t="str">
        <f>VLOOKUP($G491,'Hoja 10'!$F$4:$AA1057, 21,0)</f>
        <v>https://www.amazon.com/-/es/industriales-electr%C3%B3nicas-antiest%C3%A1ticas-inoxidable-Herramientas/dp/B07R13T63J</v>
      </c>
      <c r="R491" s="30" t="s">
        <v>3264</v>
      </c>
      <c r="S491" s="34" t="b">
        <v>1</v>
      </c>
      <c r="T491" s="39" t="str">
        <f>IFERROR(__xludf.DUMMYFUNCTION(" IF
( VLOOKUP($G491,IMPORTRANGE(""https://docs.google.com/spreadsheets/d/1Gpl6jkTg7sL4VDNimUm3S9Vi1i95esohXCF3wuKOE8c"", ""'CONSOLIDADO'!G5:AB""), 10, 0) &lt;&gt; 0, 
IFERROR(VLOOKUP($G491,IMPORTRANGE(""https://docs.google.com/spreadsheets/d/1Gpl6jkTg7sL4VDNimU"&amp;"m3S9Vi1i95esohXCF3wuKOE8c"", ""'CONSOLIDADO'!G5:AB""), 17, 0), ""-""),
""""
)"),"DIYPHONE")</f>
        <v>DIYPHONE</v>
      </c>
      <c r="U491" s="39" t="str">
        <f>IFERROR(__xludf.DUMMYFUNCTION(" IF
( VLOOKUP($G491,IMPORTRANGE(""https://docs.google.com/spreadsheets/d/1Gpl6jkTg7sL4VDNimUm3S9Vi1i95esohXCF3wuKOE8c"", ""'CONSOLIDADO'!G5:AB""), 10, 0) &lt;&gt; 0, 
IFERROR(VLOOKUP($G491,IMPORTRANGE(""https://docs.google.com/spreadsheets/d/1Gpl6jkTg7sL4VDNimU"&amp;"m3S9Vi1i95esohXCF3wuKOE8c"", ""'CONSOLIDADO'!G5:AB""), 18, 0), ""-""),
""""
)"),"B07R13T63J")</f>
        <v>B07R13T63J</v>
      </c>
      <c r="V491" s="39" t="str">
        <f>IFERROR(__xludf.DUMMYFUNCTION(" IF
( VLOOKUP($G491,IMPORTRANGE(""https://docs.google.com/spreadsheets/d/1Gpl6jkTg7sL4VDNimUm3S9Vi1i95esohXCF3wuKOE8c"", ""'CONSOLIDADO'!G5:AB""), 10, 0) &lt;&gt; 0, 
IFERROR(VLOOKUP($G491,IMPORTRANGE(""https://docs.google.com/spreadsheets/d/1Gpl6jkTg7sL4VDNimU"&amp;"m3S9Vi1i95esohXCF3wuKOE8c"", ""'CONSOLIDADO'!G5:AB""), 17, 0), ""-""),
""""
)"),"DIYPHONE")</f>
        <v>DIYPHONE</v>
      </c>
      <c r="W491" s="39" t="str">
        <f>IFERROR(__xludf.DUMMYFUNCTION(" IF
( VLOOKUP($G491,IMPORTRANGE(""https://docs.google.com/spreadsheets/d/1Gpl6jkTg7sL4VDNimUm3S9Vi1i95esohXCF3wuKOE8c"", ""'CONSOLIDADO'!G5:AB""), 10, 0) &lt;&gt; 0, 
IFERROR(VLOOKUP($G491,IMPORTRANGE(""https://docs.google.com/spreadsheets/d/1Gpl6jkTg7sL4VDNimU"&amp;"m3S9Vi1i95esohXCF3wuKOE8c"", ""'CONSOLIDADO'!G5:AB""), 18, 0), ""-""),
""""
)"),"B07R13T63J")</f>
        <v>B07R13T63J</v>
      </c>
      <c r="X491" s="39" t="b">
        <f t="shared" ref="X491:X493" si="53">IF(AND(T491=V491,W491=U491),TRUE,FALSE)</f>
        <v>1</v>
      </c>
      <c r="Y491" s="120" t="str">
        <f>IFERROR(__xludf.DUMMYFUNCTION(" IF
( VLOOKUP($G491,IMPORTRANGE(""https://docs.google.com/spreadsheets/d/1Gpl6jkTg7sL4VDNimUm3S9Vi1i95esohXCF3wuKOE8c"", ""'CONSOLIDADO'!G5:AB""), 10, 0) &lt;&gt; 0, 
IFERROR(VLOOKUP($G491,IMPORTRANGE(""https://docs.google.com/spreadsheets/d/1Gpl6jkTg7sL4VDNimU"&amp;"m3S9Vi1i95esohXCF3wuKOE8c"", ""'CONSOLIDADO'!G5:AB""), 19, 0), ""-""),
""""
)"),"https://www.amazon.com/-/es/industriales-electr%C3%B3nicas-antiest%C3%A1ticas-inoxidable-Herramientas/dp/B07R13T63J")</f>
        <v>https://www.amazon.com/-/es/industriales-electr%C3%B3nicas-antiest%C3%A1ticas-inoxidable-Herramientas/dp/B07R13T63J</v>
      </c>
      <c r="Z491" s="37" t="str">
        <f>IFERROR(__xludf.DUMMYFUNCTION("IFERROR(VLOOKUP(G491,IMPORTRANGE(""https://docs.google.com/spreadsheets/d/12RxCea4e5ggM7QGn1XE3FbLQa_-QbCNdBi90OdPjRqg"", ""'Plan de Compras'!D4:Q""), 12, 0), ""NO ESTÁ EN REQ"")"),"Técnica")</f>
        <v>Técnica</v>
      </c>
      <c r="AA491" s="37" t="str">
        <f>IFERROR(__xludf.DUMMYFUNCTION("IFERROR(VLOOKUP(G491,IMPORTRANGE(""https://docs.google.com/spreadsheets/d/12RxCea4e5ggM7QGn1XE3FbLQa_-QbCNdBi90OdPjRqg"", ""'Plan de Compras'!D4:Q""), 13, 0), """")"),"INTERNACIONAL")</f>
        <v>INTERNACIONAL</v>
      </c>
      <c r="AB491" s="32" t="str">
        <f>IFERROR(__xludf.DUMMYFUNCTION("IFERROR(VLOOKUP(G491,IMPORTRANGE(""https://docs.google.com/spreadsheets/d/12RxCea4e5ggM7QGn1XE3FbLQa_-QbCNdBi90OdPjRqg"", ""'Plan de Compras'!D4:Q""), 14, 0), """")"),"GIANFRANCO")</f>
        <v>GIANFRANCO</v>
      </c>
      <c r="AC491" s="72" t="str">
        <f>IFERROR(__xludf.DUMMYFUNCTION("IFERROR(VLOOKUP(G491,IMPORTRANGE(""https://docs.google.com/spreadsheets/d/12RxCea4e5ggM7QGn1XE3FbLQa_-QbCNdBi90OdPjRqg"", ""'Plan de Compras'!D4:Q""), 4, 0), """")"),"JUEGO DE PINZAS")</f>
        <v>JUEGO DE PINZAS</v>
      </c>
      <c r="AD491" s="37" t="str">
        <f>IFERROR(__xludf.DUMMYFUNCTION("IFERROR(IF(OR(C491=TRUE,C491=""""),VLOOKUP(G491,IMPORTRANGE(""https://docs.google.com/spreadsheets/d/1z9A1Wq-kKrhRNG5RS2a2fKpY1wIhSVz2ZNmP2mOl588/edit?usp=sharing"",""REQ VF!E4:H""),4,0),""NO APLICA""),""GENERAR REQ"")"),"GENERAR REQ")</f>
        <v>GENERAR REQ</v>
      </c>
      <c r="AE491" s="32" t="str">
        <f>IFERROR(__xludf.DUMMYFUNCTION("IFERROR(QUERY(IMPORTRANGE(""https://docs.google.com/spreadsheets/d/1z9A1Wq-kKrhRNG5RS2a2fKpY1wIhSVz2ZNmP2mOl588/edit?usp=sharing"",""REQ VF!E4:Q""),""SELECT Col10, Col11, Col12 WHERE Col1 = '""&amp;G491&amp;""'"",0),""NO APLICA"")"),"NO APLICA")</f>
        <v>NO APLICA</v>
      </c>
      <c r="AF491" s="32"/>
      <c r="AG491" s="32"/>
      <c r="AH491" s="13"/>
      <c r="AI491" s="13"/>
    </row>
    <row r="492">
      <c r="A492" s="121">
        <v>297.0</v>
      </c>
      <c r="B492" s="43" t="b">
        <v>1</v>
      </c>
      <c r="C492" s="26" t="b">
        <v>1</v>
      </c>
      <c r="D492" s="26" t="s">
        <v>35</v>
      </c>
      <c r="E492" s="26" t="s">
        <v>1510</v>
      </c>
      <c r="F492" s="59" t="s">
        <v>3265</v>
      </c>
      <c r="G492" s="37" t="s">
        <v>3265</v>
      </c>
      <c r="H492" s="82" t="s">
        <v>3266</v>
      </c>
      <c r="I492" s="43">
        <f>SUMIFS('Hoja 10'!$O:$O,'Hoja 10'!$F:$F,$G492)</f>
        <v>4</v>
      </c>
      <c r="J492" s="26">
        <f>IFERROR(__xludf.DUMMYFUNCTION("VLOOKUP(G492,IMPORTRANGE(""https://docs.google.com/spreadsheets/d/12RxCea4e5ggM7QGn1XE3FbLQa_-QbCNdBi90OdPjRqg/edit?gid=1692403370#gid=1692403370"", ""'Plan de Compras'!D4:2432""), 8,0)"),4.0)</f>
        <v>4</v>
      </c>
      <c r="K492" s="26" t="str">
        <f t="shared" si="40"/>
        <v>SI</v>
      </c>
      <c r="L492" s="29" t="s">
        <v>77</v>
      </c>
      <c r="M492" s="30" t="s">
        <v>78</v>
      </c>
      <c r="N492" s="32"/>
      <c r="O492" s="32" t="str">
        <f>VLOOKUP($G492,'Hoja 10'!$F$4:$AA1057, 19,0)</f>
        <v>Walfos</v>
      </c>
      <c r="P492" s="32" t="str">
        <f>VLOOKUP($G492,'Hoja 10'!$F$4:$AA1057, 20,0)</f>
        <v>Juego de pinzas de silicona resistentes al calor, 600 grados, pinzas de cocina para cocinar, asar a la parrilla, torneado, puntas de silicona sin BPA (7, 9 y 12 pulgadas)</v>
      </c>
      <c r="Q492" s="33" t="str">
        <f>VLOOKUP($G492,'Hoja 10'!$F$4:$AA1057, 21,0)</f>
        <v>https://www.amazon.com/-/es/silicona-resistentes-parrilla-torneado-pulgadas/dp/B0BVRDWNS7?th=1</v>
      </c>
      <c r="R492" s="30" t="s">
        <v>3267</v>
      </c>
      <c r="S492" s="44" t="b">
        <v>1</v>
      </c>
      <c r="T492" s="39" t="str">
        <f>IFERROR(__xludf.DUMMYFUNCTION(" IF
( VLOOKUP($G492,IMPORTRANGE(""https://docs.google.com/spreadsheets/d/1Gpl6jkTg7sL4VDNimUm3S9Vi1i95esohXCF3wuKOE8c"", ""'CONSOLIDADO'!G5:AB""), 10, 0) &lt;&gt; 0, 
IFERROR(VLOOKUP($G492,IMPORTRANGE(""https://docs.google.com/spreadsheets/d/1Gpl6jkTg7sL4VDNimU"&amp;"m3S9Vi1i95esohXCF3wuKOE8c"", ""'CONSOLIDADO'!G5:AB""), 17, 0), ""-""),
""""
)"),"Walfos")</f>
        <v>Walfos</v>
      </c>
      <c r="U492" s="39" t="str">
        <f>IFERROR(__xludf.DUMMYFUNCTION(" IF
( VLOOKUP($G492,IMPORTRANGE(""https://docs.google.com/spreadsheets/d/1Gpl6jkTg7sL4VDNimUm3S9Vi1i95esohXCF3wuKOE8c"", ""'CONSOLIDADO'!G5:AB""), 10, 0) &lt;&gt; 0, 
IFERROR(VLOOKUP($G492,IMPORTRANGE(""https://docs.google.com/spreadsheets/d/1Gpl6jkTg7sL4VDNimU"&amp;"m3S9Vi1i95esohXCF3wuKOE8c"", ""'CONSOLIDADO'!G5:AB""), 18, 0), ""-""),
""""
)"),"juego de 3 (7, 9 y 12 pulgadas)")</f>
        <v>juego de 3 (7, 9 y 12 pulgadas)</v>
      </c>
      <c r="V492" s="39" t="str">
        <f>IFERROR(__xludf.DUMMYFUNCTION(" IF
( VLOOKUP($G492,IMPORTRANGE(""https://docs.google.com/spreadsheets/d/1Gpl6jkTg7sL4VDNimUm3S9Vi1i95esohXCF3wuKOE8c"", ""'CONSOLIDADO'!G5:AB""), 10, 0) &lt;&gt; 0, 
IFERROR(VLOOKUP($G492,IMPORTRANGE(""https://docs.google.com/spreadsheets/d/1Gpl6jkTg7sL4VDNimU"&amp;"m3S9Vi1i95esohXCF3wuKOE8c"", ""'CONSOLIDADO'!G5:AB""), 17, 0), ""-""),
""""
)"),"Walfos")</f>
        <v>Walfos</v>
      </c>
      <c r="W492" s="39" t="str">
        <f>IFERROR(__xludf.DUMMYFUNCTION(" IF
( VLOOKUP($G492,IMPORTRANGE(""https://docs.google.com/spreadsheets/d/1Gpl6jkTg7sL4VDNimUm3S9Vi1i95esohXCF3wuKOE8c"", ""'CONSOLIDADO'!G5:AB""), 10, 0) &lt;&gt; 0, 
IFERROR(VLOOKUP($G492,IMPORTRANGE(""https://docs.google.com/spreadsheets/d/1Gpl6jkTg7sL4VDNimU"&amp;"m3S9Vi1i95esohXCF3wuKOE8c"", ""'CONSOLIDADO'!G5:AB""), 18, 0), ""-""),
""""
)"),"juego de 3 (7, 9 y 12 pulgadas)")</f>
        <v>juego de 3 (7, 9 y 12 pulgadas)</v>
      </c>
      <c r="X492" s="39" t="b">
        <f t="shared" si="53"/>
        <v>1</v>
      </c>
      <c r="Y492" s="120" t="str">
        <f>IFERROR(__xludf.DUMMYFUNCTION(" IF
( VLOOKUP($G492,IMPORTRANGE(""https://docs.google.com/spreadsheets/d/1Gpl6jkTg7sL4VDNimUm3S9Vi1i95esohXCF3wuKOE8c"", ""'CONSOLIDADO'!G5:AB""), 10, 0) &lt;&gt; 0, 
IFERROR(VLOOKUP($G492,IMPORTRANGE(""https://docs.google.com/spreadsheets/d/1Gpl6jkTg7sL4VDNimU"&amp;"m3S9Vi1i95esohXCF3wuKOE8c"", ""'CONSOLIDADO'!G5:AB""), 19, 0), ""-""),
""""
)"),"https://www.amazon.com/-/es/Walfos-Pinzas-silicona-para-cocinar/dp/B08FC42BNT/ref=sr_1_3?crid=77SVN705WHN6&amp;dib=eyJ2IjoiMSJ9.vz68iDVY1AdQbbvCyCO5ig.EcK0Y6K-ds0X7h5J3FxEp3gEiU_lTU7ls2cR8ySIdGY&amp;dib_tag=se&amp;keywords=B08FC42BNT&amp;nsdOptOutParam=true&amp;qid=176468996"&amp;"6&amp;sprefix=b08fc42bnt%2Caps%2C214&amp;sr=8-3&amp;th=1")</f>
        <v>https://www.amazon.com/-/es/Walfos-Pinzas-silicona-para-cocinar/dp/B08FC42BNT/ref=sr_1_3?crid=77SVN705WHN6&amp;dib=eyJ2IjoiMSJ9.vz68iDVY1AdQbbvCyCO5ig.EcK0Y6K-ds0X7h5J3FxEp3gEiU_lTU7ls2cR8ySIdGY&amp;dib_tag=se&amp;keywords=B08FC42BNT&amp;nsdOptOutParam=true&amp;qid=1764689966&amp;sprefix=b08fc42bnt%2Caps%2C214&amp;sr=8-3&amp;th=1</v>
      </c>
      <c r="Z492" s="37" t="str">
        <f>IFERROR(__xludf.DUMMYFUNCTION("IFERROR(VLOOKUP(G492,IMPORTRANGE(""https://docs.google.com/spreadsheets/d/12RxCea4e5ggM7QGn1XE3FbLQa_-QbCNdBi90OdPjRqg"", ""'Plan de Compras'!D4:Q""), 12, 0), ""NO ESTÁ EN REQ"")"),"Técnica")</f>
        <v>Técnica</v>
      </c>
      <c r="AA492" s="37" t="str">
        <f>IFERROR(__xludf.DUMMYFUNCTION("IFERROR(VLOOKUP(G492,IMPORTRANGE(""https://docs.google.com/spreadsheets/d/12RxCea4e5ggM7QGn1XE3FbLQa_-QbCNdBi90OdPjRqg"", ""'Plan de Compras'!D4:Q""), 13, 0), """")"),"INTERNACIONAL")</f>
        <v>INTERNACIONAL</v>
      </c>
      <c r="AB492" s="32" t="str">
        <f>IFERROR(__xludf.DUMMYFUNCTION("IFERROR(VLOOKUP(G492,IMPORTRANGE(""https://docs.google.com/spreadsheets/d/12RxCea4e5ggM7QGn1XE3FbLQa_-QbCNdBi90OdPjRqg"", ""'Plan de Compras'!D4:Q""), 14, 0), """")"),"DIEGO ")</f>
        <v>DIEGO </v>
      </c>
      <c r="AC492" s="72" t="str">
        <f>IFERROR(__xludf.DUMMYFUNCTION("IFERROR(VLOOKUP(G492,IMPORTRANGE(""https://docs.google.com/spreadsheets/d/12RxCea4e5ggM7QGn1XE3FbLQa_-QbCNdBi90OdPjRqg"", ""'Plan de Compras'!D4:Q""), 4, 0), """")"),"JUEGO DE PINZAS DE COCINA")</f>
        <v>JUEGO DE PINZAS DE COCINA</v>
      </c>
      <c r="AD492" s="37" t="str">
        <f>IFERROR(__xludf.DUMMYFUNCTION("IFERROR(IF(OR(C492=TRUE,C492=""""),VLOOKUP(G492,IMPORTRANGE(""https://docs.google.com/spreadsheets/d/1z9A1Wq-kKrhRNG5RS2a2fKpY1wIhSVz2ZNmP2mOl588/edit?usp=sharing"",""REQ VF!E4:H""),4,0),""NO APLICA""),""GENERAR REQ"")"),"GENERAR REQ")</f>
        <v>GENERAR REQ</v>
      </c>
      <c r="AE492" s="32" t="str">
        <f>IFERROR(__xludf.DUMMYFUNCTION("IFERROR(QUERY(IMPORTRANGE(""https://docs.google.com/spreadsheets/d/1z9A1Wq-kKrhRNG5RS2a2fKpY1wIhSVz2ZNmP2mOl588/edit?usp=sharing"",""REQ VF!E4:Q""),""SELECT Col10, Col11, Col12 WHERE Col1 = '""&amp;G492&amp;""'"",0),""NO APLICA"")"),"NO APLICA")</f>
        <v>NO APLICA</v>
      </c>
      <c r="AF492" s="32"/>
      <c r="AG492" s="32"/>
      <c r="AH492" s="13"/>
      <c r="AI492" s="13"/>
    </row>
    <row r="493">
      <c r="A493" s="121">
        <v>298.0</v>
      </c>
      <c r="B493" s="43" t="b">
        <v>1</v>
      </c>
      <c r="C493" s="26" t="b">
        <v>0</v>
      </c>
      <c r="D493" s="26" t="s">
        <v>35</v>
      </c>
      <c r="E493" s="26" t="s">
        <v>1510</v>
      </c>
      <c r="F493" s="59" t="s">
        <v>3268</v>
      </c>
      <c r="G493" s="37" t="s">
        <v>3268</v>
      </c>
      <c r="H493" s="82" t="s">
        <v>3269</v>
      </c>
      <c r="I493" s="43">
        <f>SUMIFS('Hoja 10'!$O:$O,'Hoja 10'!$F:$F,$G493)</f>
        <v>8</v>
      </c>
      <c r="J493" s="26" t="str">
        <f>IFERROR(__xludf.DUMMYFUNCTION("VLOOKUP(G493,IMPORTRANGE(""https://docs.google.com/spreadsheets/d/12RxCea4e5ggM7QGn1XE3FbLQa_-QbCNdBi90OdPjRqg/edit?gid=1692403370#gid=1692403370"", ""'Plan de Compras'!D4:2432""), 8,0)"),"#N/A")</f>
        <v>#N/A</v>
      </c>
      <c r="K493" s="26" t="str">
        <f t="shared" si="40"/>
        <v>-</v>
      </c>
      <c r="L493" s="29" t="s">
        <v>296</v>
      </c>
      <c r="M493" s="30" t="s">
        <v>297</v>
      </c>
      <c r="N493" s="32"/>
      <c r="O493" s="32" t="str">
        <f>VLOOKUP($G493,'Hoja 10'!$F$4:$AA1057, 19,0)</f>
        <v>Foska</v>
      </c>
      <c r="P493" s="32" t="str">
        <f>VLOOKUP($G493,'Hoja 10'!$F$4:$AA1057, 20,0)</f>
        <v>SG030</v>
      </c>
      <c r="Q493" s="33" t="str">
        <f>VLOOKUP($G493,'Hoja 10'!$F$4:$AA1057, 21,0)</f>
        <v>https://foskamic.en.made-in-china.com/product/itUYpkTyvIcL/China-Foska-20cm-30cm-50cm-60cm-100cm-Classic-Stainless-Steel-Metal-Rulers-for-Surveying-Drawing.html</v>
      </c>
      <c r="R493" s="30" t="s">
        <v>3270</v>
      </c>
      <c r="S493" s="44" t="b">
        <v>0</v>
      </c>
      <c r="T493" s="39" t="str">
        <f>IFERROR(__xludf.DUMMYFUNCTION(" IF
( VLOOKUP($G493,IMPORTRANGE(""https://docs.google.com/spreadsheets/d/1Gpl6jkTg7sL4VDNimUm3S9Vi1i95esohXCF3wuKOE8c"", ""'CONSOLIDADO'!G5:AB""), 10, 0) &lt;&gt; 0, 
IFERROR(VLOOKUP($G493,IMPORTRANGE(""https://docs.google.com/spreadsheets/d/1Gpl6jkTg7sL4VDNimU"&amp;"m3S9Vi1i95esohXCF3wuKOE8c"", ""'CONSOLIDADO'!G5:AB""), 17, 0), ""-""),
""""
)"),"ACCUD")</f>
        <v>ACCUD</v>
      </c>
      <c r="U493" s="39" t="str">
        <f>IFERROR(__xludf.DUMMYFUNCTION(" IF
( VLOOKUP($G493,IMPORTRANGE(""https://docs.google.com/spreadsheets/d/1Gpl6jkTg7sL4VDNimUm3S9Vi1i95esohXCF3wuKOE8c"", ""'CONSOLIDADO'!G5:AB""), 10, 0) &lt;&gt; 0, 
IFERROR(VLOOKUP($G493,IMPORTRANGE(""https://docs.google.com/spreadsheets/d/1Gpl6jkTg7sL4VDNimU"&amp;"m3S9Vi1i95esohXCF3wuKOE8c"", ""'CONSOLIDADO'!G5:AB""), 18, 0), ""-""),
""""
)"),"990-012-11
990-024-11H
990-040-11")</f>
        <v>990-012-11
990-024-11H
990-040-11</v>
      </c>
      <c r="V493" s="39" t="str">
        <f>IFERROR(__xludf.DUMMYFUNCTION(" IF
( VLOOKUP($G493,IMPORTRANGE(""https://docs.google.com/spreadsheets/d/1Gpl6jkTg7sL4VDNimUm3S9Vi1i95esohXCF3wuKOE8c"", ""'CONSOLIDADO'!G5:AB""), 10, 0) &lt;&gt; 0, 
IFERROR(VLOOKUP($G493,IMPORTRANGE(""https://docs.google.com/spreadsheets/d/1Gpl6jkTg7sL4VDNimU"&amp;"m3S9Vi1i95esohXCF3wuKOE8c"", ""'CONSOLIDADO'!G5:AB""), 17, 0), ""-""),
""""
)"),"ACCUD")</f>
        <v>ACCUD</v>
      </c>
      <c r="W493" s="39" t="str">
        <f>IFERROR(__xludf.DUMMYFUNCTION(" IF
( VLOOKUP($G493,IMPORTRANGE(""https://docs.google.com/spreadsheets/d/1Gpl6jkTg7sL4VDNimUm3S9Vi1i95esohXCF3wuKOE8c"", ""'CONSOLIDADO'!G5:AB""), 10, 0) &lt;&gt; 0, 
IFERROR(VLOOKUP($G493,IMPORTRANGE(""https://docs.google.com/spreadsheets/d/1Gpl6jkTg7sL4VDNimU"&amp;"m3S9Vi1i95esohXCF3wuKOE8c"", ""'CONSOLIDADO'!G5:AB""), 18, 0), ""-""),
""""
)"),"990-012-11
990-024-11H
990-040-11")</f>
        <v>990-012-11
990-024-11H
990-040-11</v>
      </c>
      <c r="X493" s="39" t="b">
        <f t="shared" si="53"/>
        <v>1</v>
      </c>
      <c r="Y493" s="110" t="str">
        <f>IFERROR(__xludf.DUMMYFUNCTION(" IF
( VLOOKUP($G493,IMPORTRANGE(""https://docs.google.com/spreadsheets/d/1Gpl6jkTg7sL4VDNimUm3S9Vi1i95esohXCF3wuKOE8c"", ""'CONSOLIDADO'!G5:AB""), 10, 0) &lt;&gt; 0, 
IFERROR(VLOOKUP($G493,IMPORTRANGE(""https://docs.google.com/spreadsheets/d/1Gpl6jkTg7sL4VDNimU"&amp;"m3S9Vi1i95esohXCF3wuKOE8c"", ""'CONSOLIDADO'!G5:AB""), 19, 0), ""-""),
""""
)"),"https://www.accud.com/es/steel-rule-product/
https://www.accud.com/es/steel-rule-2-product/
https://suministrosenmetrologia.com/productos/medidores-de-dimensiones/regla-de-1-metro-o-40-accud/")</f>
        <v>https://www.accud.com/es/steel-rule-product/
https://www.accud.com/es/steel-rule-2-product/
https://suministrosenmetrologia.com/productos/medidores-de-dimensiones/regla-de-1-metro-o-40-accud/</v>
      </c>
      <c r="Z493" s="37" t="str">
        <f>IFERROR(__xludf.DUMMYFUNCTION("IFERROR(VLOOKUP(G493,IMPORTRANGE(""https://docs.google.com/spreadsheets/d/12RxCea4e5ggM7QGn1XE3FbLQa_-QbCNdBi90OdPjRqg"", ""'Plan de Compras'!D4:Q""), 12, 0), ""NO ESTÁ EN REQ"")"),"NO ESTÁ EN REQ")</f>
        <v>NO ESTÁ EN REQ</v>
      </c>
      <c r="AA493" s="37" t="str">
        <f>IFERROR(__xludf.DUMMYFUNCTION("IFERROR(VLOOKUP(G493,IMPORTRANGE(""https://docs.google.com/spreadsheets/d/12RxCea4e5ggM7QGn1XE3FbLQa_-QbCNdBi90OdPjRqg"", ""'Plan de Compras'!D4:Q""), 13, 0), """")"),"")</f>
        <v/>
      </c>
      <c r="AB493" s="32" t="str">
        <f>IFERROR(__xludf.DUMMYFUNCTION("IFERROR(VLOOKUP(G493,IMPORTRANGE(""https://docs.google.com/spreadsheets/d/12RxCea4e5ggM7QGn1XE3FbLQa_-QbCNdBi90OdPjRqg"", ""'Plan de Compras'!D4:Q""), 14, 0), """")"),"")</f>
        <v/>
      </c>
      <c r="AC493" s="72" t="str">
        <f>IFERROR(__xludf.DUMMYFUNCTION("IFERROR(VLOOKUP(G493,IMPORTRANGE(""https://docs.google.com/spreadsheets/d/12RxCea4e5ggM7QGn1XE3FbLQa_-QbCNdBi90OdPjRqg"", ""'Plan de Compras'!D4:Q""), 4, 0), """")"),"")</f>
        <v/>
      </c>
      <c r="AD493" s="37" t="str">
        <f>IFERROR(__xludf.DUMMYFUNCTION("IFERROR(IF(OR(C493=TRUE,C493=""""),VLOOKUP(G493,IMPORTRANGE(""https://docs.google.com/spreadsheets/d/1z9A1Wq-kKrhRNG5RS2a2fKpY1wIhSVz2ZNmP2mOl588/edit?usp=sharing"",""REQ VF!E4:H""),4,0),""NO APLICA""),""GENERAR REQ"")"),"NO APLICA")</f>
        <v>NO APLICA</v>
      </c>
      <c r="AE493" s="32" t="str">
        <f>IFERROR(__xludf.DUMMYFUNCTION("IFERROR(QUERY(IMPORTRANGE(""https://docs.google.com/spreadsheets/d/1z9A1Wq-kKrhRNG5RS2a2fKpY1wIhSVz2ZNmP2mOl588/edit?usp=sharing"",""REQ VF!E4:Q""),""SELECT Col10, Col11, Col12 WHERE Col1 = '""&amp;G493&amp;""'"",0),""NO APLICA"")"),"NO APLICA")</f>
        <v>NO APLICA</v>
      </c>
      <c r="AF493" s="32"/>
      <c r="AG493" s="32"/>
      <c r="AH493" s="13"/>
      <c r="AI493" s="13"/>
    </row>
    <row r="494">
      <c r="A494" s="43"/>
      <c r="B494" s="43"/>
      <c r="C494" s="26" t="b">
        <v>1</v>
      </c>
      <c r="D494" s="26" t="s">
        <v>95</v>
      </c>
      <c r="E494" s="43" t="s">
        <v>1510</v>
      </c>
      <c r="F494" s="39" t="s">
        <v>3268</v>
      </c>
      <c r="G494" s="39" t="s">
        <v>3271</v>
      </c>
      <c r="H494" s="82" t="str">
        <f>UPPER("Regla Metálica 300 mm (1 und)")</f>
        <v>REGLA METÁLICA 300 MM (1 UND)</v>
      </c>
      <c r="I494" s="43">
        <v>8.0</v>
      </c>
      <c r="J494" s="26">
        <f>IFERROR(__xludf.DUMMYFUNCTION("VLOOKUP(G494,IMPORTRANGE(""https://docs.google.com/spreadsheets/d/12RxCea4e5ggM7QGn1XE3FbLQa_-QbCNdBi90OdPjRqg/edit?gid=1692403370#gid=1692403370"", ""'Plan de Compras'!D4:2432""), 8,0)"),8.0)</f>
        <v>8</v>
      </c>
      <c r="K494" s="26" t="str">
        <f t="shared" si="40"/>
        <v>SI</v>
      </c>
      <c r="L494" s="29"/>
      <c r="M494" s="61"/>
      <c r="N494" s="32"/>
      <c r="O494" s="32"/>
      <c r="P494" s="32"/>
      <c r="Q494" s="41"/>
      <c r="R494" s="61"/>
      <c r="S494" s="34" t="b">
        <v>1</v>
      </c>
      <c r="T494" s="39" t="s">
        <v>3272</v>
      </c>
      <c r="U494" s="39" t="s">
        <v>3273</v>
      </c>
      <c r="V494" s="39"/>
      <c r="W494" s="39"/>
      <c r="X494" s="39"/>
      <c r="Y494" s="110"/>
      <c r="Z494" s="37" t="str">
        <f>IFERROR(__xludf.DUMMYFUNCTION("IFERROR(VLOOKUP(G494,IMPORTRANGE(""https://docs.google.com/spreadsheets/d/12RxCea4e5ggM7QGn1XE3FbLQa_-QbCNdBi90OdPjRqg"", ""'Plan de Compras'!D4:Q""), 12, 0), ""NO ESTÁ EN REQ"")"),"Técnica")</f>
        <v>Técnica</v>
      </c>
      <c r="AA494" s="37" t="str">
        <f>IFERROR(__xludf.DUMMYFUNCTION("IFERROR(VLOOKUP(G494,IMPORTRANGE(""https://docs.google.com/spreadsheets/d/12RxCea4e5ggM7QGn1XE3FbLQa_-QbCNdBi90OdPjRqg"", ""'Plan de Compras'!D4:Q""), 13, 0), """")"),"NACIONAL")</f>
        <v>NACIONAL</v>
      </c>
      <c r="AB494" s="32" t="str">
        <f>IFERROR(__xludf.DUMMYFUNCTION("IFERROR(VLOOKUP(G494,IMPORTRANGE(""https://docs.google.com/spreadsheets/d/12RxCea4e5ggM7QGn1XE3FbLQa_-QbCNdBi90OdPjRqg"", ""'Plan de Compras'!D4:Q""), 14, 0), """")"),"JESSICA")</f>
        <v>JESSICA</v>
      </c>
      <c r="AC494" s="72" t="str">
        <f>IFERROR(__xludf.DUMMYFUNCTION("IFERROR(VLOOKUP(G494,IMPORTRANGE(""https://docs.google.com/spreadsheets/d/12RxCea4e5ggM7QGn1XE3FbLQa_-QbCNdBi90OdPjRqg"", ""'Plan de Compras'!D4:Q""), 4, 0), """")"),"REGLA METÁLICA 300 MM (1 UND)")</f>
        <v>REGLA METÁLICA 300 MM (1 UND)</v>
      </c>
      <c r="AD494" s="37" t="str">
        <f>IFERROR(__xludf.DUMMYFUNCTION("IFERROR(IF(OR(C494=TRUE,C494=""""),VLOOKUP(G494,IMPORTRANGE(""https://docs.google.com/spreadsheets/d/1z9A1Wq-kKrhRNG5RS2a2fKpY1wIhSVz2ZNmP2mOl588/edit?usp=sharing"",""REQ VF!E4:H""),4,0),""NO APLICA""),""GENERAR REQ"")"),"GENERAR REQ")</f>
        <v>GENERAR REQ</v>
      </c>
      <c r="AE494" s="32" t="str">
        <f>IFERROR(__xludf.DUMMYFUNCTION("IFERROR(QUERY(IMPORTRANGE(""https://docs.google.com/spreadsheets/d/1z9A1Wq-kKrhRNG5RS2a2fKpY1wIhSVz2ZNmP2mOl588/edit?usp=sharing"",""REQ VF!E4:Q""),""SELECT Col10, Col11, Col12 WHERE Col1 = '""&amp;G494&amp;""'"",0),""NO APLICA"")"),"NO APLICA")</f>
        <v>NO APLICA</v>
      </c>
      <c r="AF494" s="32"/>
      <c r="AG494" s="32"/>
      <c r="AH494" s="13"/>
      <c r="AI494" s="13"/>
    </row>
    <row r="495">
      <c r="A495" s="43"/>
      <c r="B495" s="43"/>
      <c r="C495" s="26" t="b">
        <v>1</v>
      </c>
      <c r="D495" s="26" t="s">
        <v>95</v>
      </c>
      <c r="E495" s="43" t="s">
        <v>1510</v>
      </c>
      <c r="F495" s="39" t="s">
        <v>3268</v>
      </c>
      <c r="G495" s="39" t="s">
        <v>3274</v>
      </c>
      <c r="H495" s="66" t="s">
        <v>3275</v>
      </c>
      <c r="I495" s="43">
        <v>8.0</v>
      </c>
      <c r="J495" s="26">
        <f>IFERROR(__xludf.DUMMYFUNCTION("VLOOKUP(G495,IMPORTRANGE(""https://docs.google.com/spreadsheets/d/12RxCea4e5ggM7QGn1XE3FbLQa_-QbCNdBi90OdPjRqg/edit?gid=1692403370#gid=1692403370"", ""'Plan de Compras'!D4:2432""), 8,0)"),8.0)</f>
        <v>8</v>
      </c>
      <c r="K495" s="26" t="str">
        <f t="shared" si="40"/>
        <v>SI</v>
      </c>
      <c r="L495" s="29"/>
      <c r="M495" s="61"/>
      <c r="N495" s="32"/>
      <c r="O495" s="32"/>
      <c r="P495" s="32"/>
      <c r="Q495" s="41"/>
      <c r="R495" s="61"/>
      <c r="S495" s="34" t="b">
        <v>1</v>
      </c>
      <c r="T495" s="39" t="s">
        <v>3272</v>
      </c>
      <c r="U495" s="39" t="s">
        <v>3276</v>
      </c>
      <c r="V495" s="39"/>
      <c r="W495" s="39"/>
      <c r="X495" s="39"/>
      <c r="Y495" s="110"/>
      <c r="Z495" s="37" t="str">
        <f>IFERROR(__xludf.DUMMYFUNCTION("IFERROR(VLOOKUP(G495,IMPORTRANGE(""https://docs.google.com/spreadsheets/d/12RxCea4e5ggM7QGn1XE3FbLQa_-QbCNdBi90OdPjRqg"", ""'Plan de Compras'!D4:Q""), 12, 0), ""NO ESTÁ EN REQ"")"),"Técnica")</f>
        <v>Técnica</v>
      </c>
      <c r="AA495" s="37" t="str">
        <f>IFERROR(__xludf.DUMMYFUNCTION("IFERROR(VLOOKUP(G495,IMPORTRANGE(""https://docs.google.com/spreadsheets/d/12RxCea4e5ggM7QGn1XE3FbLQa_-QbCNdBi90OdPjRqg"", ""'Plan de Compras'!D4:Q""), 13, 0), """")"),"NACIONAL")</f>
        <v>NACIONAL</v>
      </c>
      <c r="AB495" s="32" t="str">
        <f>IFERROR(__xludf.DUMMYFUNCTION("IFERROR(VLOOKUP(G495,IMPORTRANGE(""https://docs.google.com/spreadsheets/d/12RxCea4e5ggM7QGn1XE3FbLQa_-QbCNdBi90OdPjRqg"", ""'Plan de Compras'!D4:Q""), 14, 0), """")"),"JESSICA")</f>
        <v>JESSICA</v>
      </c>
      <c r="AC495" s="72" t="str">
        <f>IFERROR(__xludf.DUMMYFUNCTION("IFERROR(VLOOKUP(G495,IMPORTRANGE(""https://docs.google.com/spreadsheets/d/12RxCea4e5ggM7QGn1XE3FbLQa_-QbCNdBi90OdPjRqg"", ""'Plan de Compras'!D4:Q""), 4, 0), """")"),"REGLA METÁLICA 600 MM (1 UND)")</f>
        <v>REGLA METÁLICA 600 MM (1 UND)</v>
      </c>
      <c r="AD495" s="37" t="str">
        <f>IFERROR(__xludf.DUMMYFUNCTION("IFERROR(IF(OR(C495=TRUE,C495=""""),VLOOKUP(G495,IMPORTRANGE(""https://docs.google.com/spreadsheets/d/1z9A1Wq-kKrhRNG5RS2a2fKpY1wIhSVz2ZNmP2mOl588/edit?usp=sharing"",""REQ VF!E4:H""),4,0),""NO APLICA""),""GENERAR REQ"")"),"GENERAR REQ")</f>
        <v>GENERAR REQ</v>
      </c>
      <c r="AE495" s="32" t="str">
        <f>IFERROR(__xludf.DUMMYFUNCTION("IFERROR(QUERY(IMPORTRANGE(""https://docs.google.com/spreadsheets/d/1z9A1Wq-kKrhRNG5RS2a2fKpY1wIhSVz2ZNmP2mOl588/edit?usp=sharing"",""REQ VF!E4:Q""),""SELECT Col10, Col11, Col12 WHERE Col1 = '""&amp;G495&amp;""'"",0),""NO APLICA"")"),"NO APLICA")</f>
        <v>NO APLICA</v>
      </c>
      <c r="AF495" s="32"/>
      <c r="AG495" s="32"/>
      <c r="AH495" s="13"/>
      <c r="AI495" s="13"/>
    </row>
    <row r="496">
      <c r="A496" s="43"/>
      <c r="B496" s="43"/>
      <c r="C496" s="26" t="b">
        <v>1</v>
      </c>
      <c r="D496" s="26" t="s">
        <v>95</v>
      </c>
      <c r="E496" s="43" t="s">
        <v>1510</v>
      </c>
      <c r="F496" s="39" t="s">
        <v>3268</v>
      </c>
      <c r="G496" s="39" t="s">
        <v>3277</v>
      </c>
      <c r="H496" s="66" t="s">
        <v>3278</v>
      </c>
      <c r="I496" s="43">
        <v>8.0</v>
      </c>
      <c r="J496" s="26">
        <f>IFERROR(__xludf.DUMMYFUNCTION("VLOOKUP(G496,IMPORTRANGE(""https://docs.google.com/spreadsheets/d/12RxCea4e5ggM7QGn1XE3FbLQa_-QbCNdBi90OdPjRqg/edit?gid=1692403370#gid=1692403370"", ""'Plan de Compras'!D4:2432""), 8,0)"),8.0)</f>
        <v>8</v>
      </c>
      <c r="K496" s="26" t="str">
        <f t="shared" si="40"/>
        <v>SI</v>
      </c>
      <c r="L496" s="29"/>
      <c r="M496" s="61"/>
      <c r="N496" s="32"/>
      <c r="O496" s="32"/>
      <c r="P496" s="32"/>
      <c r="Q496" s="41"/>
      <c r="R496" s="61"/>
      <c r="S496" s="34" t="b">
        <v>1</v>
      </c>
      <c r="T496" s="39" t="s">
        <v>3272</v>
      </c>
      <c r="U496" s="39" t="s">
        <v>3279</v>
      </c>
      <c r="V496" s="39"/>
      <c r="W496" s="39"/>
      <c r="X496" s="39"/>
      <c r="Y496" s="110"/>
      <c r="Z496" s="37" t="str">
        <f>IFERROR(__xludf.DUMMYFUNCTION("IFERROR(VLOOKUP(G496,IMPORTRANGE(""https://docs.google.com/spreadsheets/d/12RxCea4e5ggM7QGn1XE3FbLQa_-QbCNdBi90OdPjRqg"", ""'Plan de Compras'!D4:Q""), 12, 0), ""NO ESTÁ EN REQ"")"),"Técnica")</f>
        <v>Técnica</v>
      </c>
      <c r="AA496" s="37" t="str">
        <f>IFERROR(__xludf.DUMMYFUNCTION("IFERROR(VLOOKUP(G496,IMPORTRANGE(""https://docs.google.com/spreadsheets/d/12RxCea4e5ggM7QGn1XE3FbLQa_-QbCNdBi90OdPjRqg"", ""'Plan de Compras'!D4:Q""), 13, 0), """")"),"NACIONAL")</f>
        <v>NACIONAL</v>
      </c>
      <c r="AB496" s="32" t="str">
        <f>IFERROR(__xludf.DUMMYFUNCTION("IFERROR(VLOOKUP(G496,IMPORTRANGE(""https://docs.google.com/spreadsheets/d/12RxCea4e5ggM7QGn1XE3FbLQa_-QbCNdBi90OdPjRqg"", ""'Plan de Compras'!D4:Q""), 14, 0), """")"),"JESSICA")</f>
        <v>JESSICA</v>
      </c>
      <c r="AC496" s="72" t="str">
        <f>IFERROR(__xludf.DUMMYFUNCTION("IFERROR(VLOOKUP(G496,IMPORTRANGE(""https://docs.google.com/spreadsheets/d/12RxCea4e5ggM7QGn1XE3FbLQa_-QbCNdBi90OdPjRqg"", ""'Plan de Compras'!D4:Q""), 4, 0), """")"),"REGLA METÁLICA 1000 MM (1 UND)")</f>
        <v>REGLA METÁLICA 1000 MM (1 UND)</v>
      </c>
      <c r="AD496" s="37" t="str">
        <f>IFERROR(__xludf.DUMMYFUNCTION("IFERROR(IF(OR(C496=TRUE,C496=""""),VLOOKUP(G496,IMPORTRANGE(""https://docs.google.com/spreadsheets/d/1z9A1Wq-kKrhRNG5RS2a2fKpY1wIhSVz2ZNmP2mOl588/edit?usp=sharing"",""REQ VF!E4:H""),4,0),""NO APLICA""),""GENERAR REQ"")"),"GENERAR REQ")</f>
        <v>GENERAR REQ</v>
      </c>
      <c r="AE496" s="32" t="str">
        <f>IFERROR(__xludf.DUMMYFUNCTION("IFERROR(QUERY(IMPORTRANGE(""https://docs.google.com/spreadsheets/d/1z9A1Wq-kKrhRNG5RS2a2fKpY1wIhSVz2ZNmP2mOl588/edit?usp=sharing"",""REQ VF!E4:Q""),""SELECT Col10, Col11, Col12 WHERE Col1 = '""&amp;G496&amp;""'"",0),""NO APLICA"")"),"NO APLICA")</f>
        <v>NO APLICA</v>
      </c>
      <c r="AF496" s="32"/>
      <c r="AG496" s="32"/>
      <c r="AH496" s="13"/>
      <c r="AI496" s="13"/>
    </row>
    <row r="497">
      <c r="A497" s="121">
        <v>299.0</v>
      </c>
      <c r="B497" s="43" t="b">
        <v>1</v>
      </c>
      <c r="C497" s="26" t="b">
        <v>0</v>
      </c>
      <c r="D497" s="26" t="s">
        <v>35</v>
      </c>
      <c r="E497" s="26" t="s">
        <v>1510</v>
      </c>
      <c r="F497" s="59" t="s">
        <v>3280</v>
      </c>
      <c r="G497" s="37" t="s">
        <v>3280</v>
      </c>
      <c r="H497" s="82" t="s">
        <v>3281</v>
      </c>
      <c r="I497" s="43">
        <f>SUMIFS('Hoja 10'!$O:$O,'Hoja 10'!$F:$F,$G497)</f>
        <v>2</v>
      </c>
      <c r="J497" s="26" t="str">
        <f>IFERROR(__xludf.DUMMYFUNCTION("VLOOKUP(G497,IMPORTRANGE(""https://docs.google.com/spreadsheets/d/12RxCea4e5ggM7QGn1XE3FbLQa_-QbCNdBi90OdPjRqg/edit?gid=1692403370#gid=1692403370"", ""'Plan de Compras'!D4:2432""), 8,0)"),"#N/A")</f>
        <v>#N/A</v>
      </c>
      <c r="K497" s="26" t="str">
        <f t="shared" si="40"/>
        <v>-</v>
      </c>
      <c r="L497" s="29" t="s">
        <v>77</v>
      </c>
      <c r="M497" s="30" t="s">
        <v>78</v>
      </c>
      <c r="N497" s="32"/>
      <c r="O497" s="32" t="str">
        <f>VLOOKUP($G497,'Hoja 10'!$F$4:$AA1057, 19,0)</f>
        <v>LABAN</v>
      </c>
      <c r="P497" s="32" t="str">
        <f>VLOOKUP($G497,'Hoja 10'!$F$4:$AA1057, 20,0)</f>
        <v>SARTEN RECORD CRONO 26CM C/ANTIADERENTE</v>
      </c>
      <c r="Q497" s="33" t="str">
        <f>VLOOKUP($G497,'Hoja 10'!$F$4:$AA1057, 21,0)</f>
        <v>https://www.falabella.com.pe/falabella-pe/product/18135056/Sarten-Aluminio-Antiadherente-Induccion-Unlimited-26cm/18135056</v>
      </c>
      <c r="R497" s="30" t="s">
        <v>3282</v>
      </c>
      <c r="S497" s="34" t="b">
        <v>1</v>
      </c>
      <c r="T497" s="39" t="str">
        <f>IFERROR(__xludf.DUMMYFUNCTION(" IF
( VLOOKUP($G497,IMPORTRANGE(""https://docs.google.com/spreadsheets/d/1Gpl6jkTg7sL4VDNimUm3S9Vi1i95esohXCF3wuKOE8c"", ""'CONSOLIDADO'!G5:AB""), 10, 0) &lt;&gt; 0, 
IFERROR(VLOOKUP($G497,IMPORTRANGE(""https://docs.google.com/spreadsheets/d/1Gpl6jkTg7sL4VDNimU"&amp;"m3S9Vi1i95esohXCF3wuKOE8c"", ""'CONSOLIDADO'!G5:AB""), 17, 0), ""-""),
""""
)"),"RECORD")</f>
        <v>RECORD</v>
      </c>
      <c r="U497" s="39" t="str">
        <f>IFERROR(__xludf.DUMMYFUNCTION(" IF
( VLOOKUP($G497,IMPORTRANGE(""https://docs.google.com/spreadsheets/d/1Gpl6jkTg7sL4VDNimUm3S9Vi1i95esohXCF3wuKOE8c"", ""'CONSOLIDADO'!G5:AB""), 10, 0) &lt;&gt; 0, 
IFERROR(VLOOKUP($G497,IMPORTRANGE(""https://docs.google.com/spreadsheets/d/1Gpl6jkTg7sL4VDNimU"&amp;"m3S9Vi1i95esohXCF3wuKOE8c"", ""'CONSOLIDADO'!G5:AB""), 18, 0), ""-""),
""""
)"),"Sartén Crono Rojo Antiadherente 24cm")</f>
        <v>Sartén Crono Rojo Antiadherente 24cm</v>
      </c>
      <c r="V497" s="39" t="str">
        <f>IFERROR(__xludf.DUMMYFUNCTION(" IF
( VLOOKUP($G497,IMPORTRANGE(""https://docs.google.com/spreadsheets/d/1Gpl6jkTg7sL4VDNimUm3S9Vi1i95esohXCF3wuKOE8c"", ""'CONSOLIDADO'!G5:AB""), 10, 0) &lt;&gt; 0, 
IFERROR(VLOOKUP($G497,IMPORTRANGE(""https://docs.google.com/spreadsheets/d/1Gpl6jkTg7sL4VDNimU"&amp;"m3S9Vi1i95esohXCF3wuKOE8c"", ""'CONSOLIDADO'!G5:AB""), 17, 0), ""-""),
""""
)"),"RECORD")</f>
        <v>RECORD</v>
      </c>
      <c r="W497" s="39" t="str">
        <f>IFERROR(__xludf.DUMMYFUNCTION(" IF
( VLOOKUP($G497,IMPORTRANGE(""https://docs.google.com/spreadsheets/d/1Gpl6jkTg7sL4VDNimUm3S9Vi1i95esohXCF3wuKOE8c"", ""'CONSOLIDADO'!G5:AB""), 10, 0) &lt;&gt; 0, 
IFERROR(VLOOKUP($G497,IMPORTRANGE(""https://docs.google.com/spreadsheets/d/1Gpl6jkTg7sL4VDNimU"&amp;"m3S9Vi1i95esohXCF3wuKOE8c"", ""'CONSOLIDADO'!G5:AB""), 18, 0), ""-""),
""""
)"),"Sartén Crono Rojo Antiadherente 24cm")</f>
        <v>Sartén Crono Rojo Antiadherente 24cm</v>
      </c>
      <c r="X497" s="39" t="b">
        <f>IF(AND(T497=V497,W497=U497),TRUE,FALSE)</f>
        <v>1</v>
      </c>
      <c r="Y497" s="120" t="str">
        <f>IFERROR(__xludf.DUMMYFUNCTION(" IF
( VLOOKUP($G497,IMPORTRANGE(""https://docs.google.com/spreadsheets/d/1Gpl6jkTg7sL4VDNimUm3S9Vi1i95esohXCF3wuKOE8c"", ""'CONSOLIDADO'!G5:AB""), 10, 0) &lt;&gt; 0, 
IFERROR(VLOOKUP($G497,IMPORTRANGE(""https://docs.google.com/spreadsheets/d/1Gpl6jkTg7sL4VDNimU"&amp;"m3S9Vi1i95esohXCF3wuKOE8c"", ""'CONSOLIDADO'!G5:AB""), 19, 0), ""-""),
""""
)"),"https://record.com.pe/products/record-sarten-crono-rojo-antiadherente-24cm?srsltid=AfmBOopRRTVT9k2sLy8G6FijxTcVLLpCpCNfNKCuNINHH6ELeBInPq9y")</f>
        <v>https://record.com.pe/products/record-sarten-crono-rojo-antiadherente-24cm?srsltid=AfmBOopRRTVT9k2sLy8G6FijxTcVLLpCpCNfNKCuNINHH6ELeBInPq9y</v>
      </c>
      <c r="Z497" s="37" t="str">
        <f>IFERROR(__xludf.DUMMYFUNCTION("IFERROR(VLOOKUP(G497,IMPORTRANGE(""https://docs.google.com/spreadsheets/d/12RxCea4e5ggM7QGn1XE3FbLQa_-QbCNdBi90OdPjRqg"", ""'Plan de Compras'!D4:Q""), 12, 0), ""NO ESTÁ EN REQ"")"),"NO ESTÁ EN REQ")</f>
        <v>NO ESTÁ EN REQ</v>
      </c>
      <c r="AA497" s="37" t="str">
        <f>IFERROR(__xludf.DUMMYFUNCTION("IFERROR(VLOOKUP(G497,IMPORTRANGE(""https://docs.google.com/spreadsheets/d/12RxCea4e5ggM7QGn1XE3FbLQa_-QbCNdBi90OdPjRqg"", ""'Plan de Compras'!D4:Q""), 13, 0), """")"),"")</f>
        <v/>
      </c>
      <c r="AB497" s="32" t="str">
        <f>IFERROR(__xludf.DUMMYFUNCTION("IFERROR(VLOOKUP(G497,IMPORTRANGE(""https://docs.google.com/spreadsheets/d/12RxCea4e5ggM7QGn1XE3FbLQa_-QbCNdBi90OdPjRqg"", ""'Plan de Compras'!D4:Q""), 14, 0), """")"),"")</f>
        <v/>
      </c>
      <c r="AC497" s="72" t="str">
        <f>IFERROR(__xludf.DUMMYFUNCTION("IFERROR(VLOOKUP(G497,IMPORTRANGE(""https://docs.google.com/spreadsheets/d/12RxCea4e5ggM7QGn1XE3FbLQa_-QbCNdBi90OdPjRqg"", ""'Plan de Compras'!D4:Q""), 4, 0), """")"),"")</f>
        <v/>
      </c>
      <c r="AD497" s="37" t="str">
        <f>IFERROR(__xludf.DUMMYFUNCTION("IFERROR(IF(OR(C497=TRUE,C497=""""),VLOOKUP(G497,IMPORTRANGE(""https://docs.google.com/spreadsheets/d/1z9A1Wq-kKrhRNG5RS2a2fKpY1wIhSVz2ZNmP2mOl588/edit?usp=sharing"",""REQ VF!E4:H""),4,0),""NO APLICA""),""GENERAR REQ"")"),"NO APLICA")</f>
        <v>NO APLICA</v>
      </c>
      <c r="AE497" s="32" t="str">
        <f>IFERROR(__xludf.DUMMYFUNCTION("IFERROR(QUERY(IMPORTRANGE(""https://docs.google.com/spreadsheets/d/1z9A1Wq-kKrhRNG5RS2a2fKpY1wIhSVz2ZNmP2mOl588/edit?usp=sharing"",""REQ VF!E4:Q""),""SELECT Col10, Col11, Col12 WHERE Col1 = '""&amp;G497&amp;""'"",0),""NO APLICA"")"),"NO APLICA")</f>
        <v>NO APLICA</v>
      </c>
      <c r="AF497" s="32"/>
      <c r="AG497" s="32"/>
      <c r="AH497" s="13"/>
      <c r="AI497" s="13"/>
    </row>
    <row r="498">
      <c r="A498" s="43"/>
      <c r="B498" s="43"/>
      <c r="C498" s="26" t="b">
        <v>1</v>
      </c>
      <c r="D498" s="26" t="s">
        <v>95</v>
      </c>
      <c r="E498" s="26" t="s">
        <v>1510</v>
      </c>
      <c r="F498" s="59" t="s">
        <v>3280</v>
      </c>
      <c r="G498" s="63" t="s">
        <v>3283</v>
      </c>
      <c r="H498" s="132" t="s">
        <v>3284</v>
      </c>
      <c r="I498" s="43">
        <v>6.0</v>
      </c>
      <c r="J498" s="26">
        <f>IFERROR(__xludf.DUMMYFUNCTION("VLOOKUP(G498,IMPORTRANGE(""https://docs.google.com/spreadsheets/d/12RxCea4e5ggM7QGn1XE3FbLQa_-QbCNdBi90OdPjRqg/edit?gid=1692403370#gid=1692403370"", ""'Plan de Compras'!D4:2432""), 8,0)"),6.0)</f>
        <v>6</v>
      </c>
      <c r="K498" s="26" t="str">
        <f t="shared" si="40"/>
        <v>SI</v>
      </c>
      <c r="L498" s="26"/>
      <c r="M498" s="61"/>
      <c r="N498" s="32"/>
      <c r="O498" s="32" t="s">
        <v>3285</v>
      </c>
      <c r="P498" s="32" t="s">
        <v>3286</v>
      </c>
      <c r="Q498" s="33" t="s">
        <v>3287</v>
      </c>
      <c r="R498" s="61"/>
      <c r="S498" s="44" t="b">
        <v>1</v>
      </c>
      <c r="T498" s="61" t="s">
        <v>3288</v>
      </c>
      <c r="U498" s="61" t="s">
        <v>3289</v>
      </c>
      <c r="V498" s="61"/>
      <c r="W498" s="61"/>
      <c r="X498" s="61"/>
      <c r="Y498" s="136" t="s">
        <v>3290</v>
      </c>
      <c r="Z498" s="37" t="str">
        <f>IFERROR(__xludf.DUMMYFUNCTION("IFERROR(VLOOKUP(G498,IMPORTRANGE(""https://docs.google.com/spreadsheets/d/12RxCea4e5ggM7QGn1XE3FbLQa_-QbCNdBi90OdPjRqg"", ""'Plan de Compras'!D4:Q""), 12, 0), ""NO ESTÁ EN REQ"")"),"Simple")</f>
        <v>Simple</v>
      </c>
      <c r="AA498" s="37" t="str">
        <f>IFERROR(__xludf.DUMMYFUNCTION("IFERROR(VLOOKUP(G498,IMPORTRANGE(""https://docs.google.com/spreadsheets/d/12RxCea4e5ggM7QGn1XE3FbLQa_-QbCNdBi90OdPjRqg"", ""'Plan de Compras'!D4:Q""), 13, 0), """")"),"NACIONAL")</f>
        <v>NACIONAL</v>
      </c>
      <c r="AB498" s="32" t="str">
        <f>IFERROR(__xludf.DUMMYFUNCTION("IFERROR(VLOOKUP(G498,IMPORTRANGE(""https://docs.google.com/spreadsheets/d/12RxCea4e5ggM7QGn1XE3FbLQa_-QbCNdBi90OdPjRqg"", ""'Plan de Compras'!D4:Q""), 14, 0), """")"),"DIANA")</f>
        <v>DIANA</v>
      </c>
      <c r="AC498" s="72" t="str">
        <f>IFERROR(__xludf.DUMMYFUNCTION("IFERROR(VLOOKUP(G498,IMPORTRANGE(""https://docs.google.com/spreadsheets/d/12RxCea4e5ggM7QGn1XE3FbLQa_-QbCNdBi90OdPjRqg"", ""'Plan de Compras'!D4:Q""), 4, 0), """")"),"SARTÉN 26 CM ANTIADHERENTE (3 UND)")</f>
        <v>SARTÉN 26 CM ANTIADHERENTE (3 UND)</v>
      </c>
      <c r="AD498" s="37" t="str">
        <f>IFERROR(__xludf.DUMMYFUNCTION("IFERROR(IF(OR(C498=TRUE,C498=""""),VLOOKUP(G498,IMPORTRANGE(""https://docs.google.com/spreadsheets/d/1z9A1Wq-kKrhRNG5RS2a2fKpY1wIhSVz2ZNmP2mOl588/edit?usp=sharing"",""REQ VF!E4:H""),4,0),""NO APLICA""),""GENERAR REQ"")"),"GENERAR REQ")</f>
        <v>GENERAR REQ</v>
      </c>
      <c r="AE498" s="32" t="str">
        <f>IFERROR(__xludf.DUMMYFUNCTION("IFERROR(QUERY(IMPORTRANGE(""https://docs.google.com/spreadsheets/d/1z9A1Wq-kKrhRNG5RS2a2fKpY1wIhSVz2ZNmP2mOl588/edit?usp=sharing"",""REQ VF!E4:Q""),""SELECT Col10, Col11, Col12 WHERE Col1 = '""&amp;G498&amp;""'"",0),""NO APLICA"")"),"NO APLICA")</f>
        <v>NO APLICA</v>
      </c>
      <c r="AF498" s="32"/>
      <c r="AG498" s="32"/>
      <c r="AH498" s="13"/>
      <c r="AI498" s="13"/>
    </row>
    <row r="499">
      <c r="A499" s="117">
        <v>300.0</v>
      </c>
      <c r="B499" s="43" t="b">
        <v>1</v>
      </c>
      <c r="C499" s="26" t="b">
        <v>1</v>
      </c>
      <c r="D499" s="26" t="s">
        <v>35</v>
      </c>
      <c r="E499" s="26" t="s">
        <v>1510</v>
      </c>
      <c r="F499" s="59" t="s">
        <v>3291</v>
      </c>
      <c r="G499" s="37" t="s">
        <v>3291</v>
      </c>
      <c r="H499" s="82" t="s">
        <v>3292</v>
      </c>
      <c r="I499" s="43">
        <f>SUMIFS('Hoja 10'!$O:$O,'Hoja 10'!$F:$F,$G499)</f>
        <v>4</v>
      </c>
      <c r="J499" s="26">
        <f>IFERROR(__xludf.DUMMYFUNCTION("VLOOKUP(G499,IMPORTRANGE(""https://docs.google.com/spreadsheets/d/12RxCea4e5ggM7QGn1XE3FbLQa_-QbCNdBi90OdPjRqg/edit?gid=1692403370#gid=1692403370"", ""'Plan de Compras'!D4:2432""), 8,0)"),4.0)</f>
        <v>4</v>
      </c>
      <c r="K499" s="26" t="str">
        <f t="shared" si="40"/>
        <v>SI</v>
      </c>
      <c r="L499" s="29" t="s">
        <v>77</v>
      </c>
      <c r="M499" s="30" t="s">
        <v>78</v>
      </c>
      <c r="N499" s="32"/>
      <c r="O499" s="32" t="str">
        <f>VLOOKUP($G499,'Hoja 10'!$F$4:$AA1057, 19,0)</f>
        <v>Progelcone</v>
      </c>
      <c r="P499" s="32" t="str">
        <f>VLOOKUP($G499,'Hoja 10'!$F$4:$AA1057, 20,0)</f>
        <v>Tabla para Cortar Varios Colores LDPE 400x300x10mm 6 uds</v>
      </c>
      <c r="Q499" s="33" t="str">
        <f>VLOOKUP($G499,'Hoja 10'!$F$4:$AA1057, 21,0)</f>
        <v>https://www.progelcone.com/store/produto.asp?c=ses768267</v>
      </c>
      <c r="R499" s="30" t="s">
        <v>3293</v>
      </c>
      <c r="S499" s="34" t="b">
        <v>1</v>
      </c>
      <c r="T499" s="39" t="str">
        <f>IFERROR(__xludf.DUMMYFUNCTION(" IF
( VLOOKUP($G499,IMPORTRANGE(""https://docs.google.com/spreadsheets/d/1Gpl6jkTg7sL4VDNimUm3S9Vi1i95esohXCF3wuKOE8c"", ""'CONSOLIDADO'!G5:AB""), 10, 0) &lt;&gt; 0, 
IFERROR(VLOOKUP($G499,IMPORTRANGE(""https://docs.google.com/spreadsheets/d/1Gpl6jkTg7sL4VDNimU"&amp;"m3S9Vi1i95esohXCF3wuKOE8c"", ""'CONSOLIDADO'!G5:AB""), 17, 0), ""-""),
""""
)"),"Hygiplas")</f>
        <v>Hygiplas</v>
      </c>
      <c r="U499" s="39" t="str">
        <f>IFERROR(__xludf.DUMMYFUNCTION(" IF
( VLOOKUP($G499,IMPORTRANGE(""https://docs.google.com/spreadsheets/d/1Gpl6jkTg7sL4VDNimUm3S9Vi1i95esohXCF3wuKOE8c"", ""'CONSOLIDADO'!G5:AB""), 10, 0) &lt;&gt; 0, 
IFERROR(VLOOKUP($G499,IMPORTRANGE(""https://docs.google.com/spreadsheets/d/1Gpl6jkTg7sL4VDNimU"&amp;"m3S9Vi1i95esohXCF3wuKOE8c"", ""'CONSOLIDADO'!G5:AB""), 18, 0), ""-""),
""""
)"),"Colour Coded Chopping Board Set with Rack &amp; Wall Chart - 6 Pieces")</f>
        <v>Colour Coded Chopping Board Set with Rack &amp; Wall Chart - 6 Pieces</v>
      </c>
      <c r="V499" s="39" t="str">
        <f>IFERROR(__xludf.DUMMYFUNCTION(" IF
( VLOOKUP($G499,IMPORTRANGE(""https://docs.google.com/spreadsheets/d/1Gpl6jkTg7sL4VDNimUm3S9Vi1i95esohXCF3wuKOE8c"", ""'CONSOLIDADO'!G5:AB""), 10, 0) &lt;&gt; 0, 
IFERROR(VLOOKUP($G499,IMPORTRANGE(""https://docs.google.com/spreadsheets/d/1Gpl6jkTg7sL4VDNimU"&amp;"m3S9Vi1i95esohXCF3wuKOE8c"", ""'CONSOLIDADO'!G5:AB""), 17, 0), ""-""),
""""
)"),"Hygiplas")</f>
        <v>Hygiplas</v>
      </c>
      <c r="W499" s="39" t="str">
        <f>IFERROR(__xludf.DUMMYFUNCTION(" IF
( VLOOKUP($G499,IMPORTRANGE(""https://docs.google.com/spreadsheets/d/1Gpl6jkTg7sL4VDNimUm3S9Vi1i95esohXCF3wuKOE8c"", ""'CONSOLIDADO'!G5:AB""), 10, 0) &lt;&gt; 0, 
IFERROR(VLOOKUP($G499,IMPORTRANGE(""https://docs.google.com/spreadsheets/d/1Gpl6jkTg7sL4VDNimU"&amp;"m3S9Vi1i95esohXCF3wuKOE8c"", ""'CONSOLIDADO'!G5:AB""), 18, 0), ""-""),
""""
)"),"Colour Coded Chopping Board Set with Rack &amp; Wall Chart - 6 Pieces")</f>
        <v>Colour Coded Chopping Board Set with Rack &amp; Wall Chart - 6 Pieces</v>
      </c>
      <c r="X499" s="39" t="b">
        <f t="shared" ref="X499:X502" si="54">IF(AND(T499=V499,W499=U499),TRUE,FALSE)</f>
        <v>1</v>
      </c>
      <c r="Y499" s="120" t="str">
        <f>IFERROR(__xludf.DUMMYFUNCTION(" IF
( VLOOKUP($G499,IMPORTRANGE(""https://docs.google.com/spreadsheets/d/1Gpl6jkTg7sL4VDNimUm3S9Vi1i95esohXCF3wuKOE8c"", ""'CONSOLIDADO'!G5:AB""), 10, 0) &lt;&gt; 0, 
IFERROR(VLOOKUP($G499,IMPORTRANGE(""https://docs.google.com/spreadsheets/d/1Gpl6jkTg7sL4VDNimU"&amp;"m3S9Vi1i95esohXCF3wuKOE8c"", ""'CONSOLIDADO'!G5:AB""), 19, 0), ""-""),
""""
)"),"https://www.ubuy.pe/sp/productuk/166GM4RCO-hygiplas-colour-coded-chopping?variation=B004EEKQOI")</f>
        <v>https://www.ubuy.pe/sp/productuk/166GM4RCO-hygiplas-colour-coded-chopping?variation=B004EEKQOI</v>
      </c>
      <c r="Z499" s="37" t="str">
        <f>IFERROR(__xludf.DUMMYFUNCTION("IFERROR(VLOOKUP(G499,IMPORTRANGE(""https://docs.google.com/spreadsheets/d/12RxCea4e5ggM7QGn1XE3FbLQa_-QbCNdBi90OdPjRqg"", ""'Plan de Compras'!D4:Q""), 12, 0), ""NO ESTÁ EN REQ"")"),"Técnica")</f>
        <v>Técnica</v>
      </c>
      <c r="AA499" s="37" t="str">
        <f>IFERROR(__xludf.DUMMYFUNCTION("IFERROR(VLOOKUP(G499,IMPORTRANGE(""https://docs.google.com/spreadsheets/d/12RxCea4e5ggM7QGn1XE3FbLQa_-QbCNdBi90OdPjRqg"", ""'Plan de Compras'!D4:Q""), 13, 0), """")"),"INTERNACIONAL")</f>
        <v>INTERNACIONAL</v>
      </c>
      <c r="AB499" s="32" t="str">
        <f>IFERROR(__xludf.DUMMYFUNCTION("IFERROR(VLOOKUP(G499,IMPORTRANGE(""https://docs.google.com/spreadsheets/d/12RxCea4e5ggM7QGn1XE3FbLQa_-QbCNdBi90OdPjRqg"", ""'Plan de Compras'!D4:Q""), 14, 0), """")"),"DIEGO ")</f>
        <v>DIEGO </v>
      </c>
      <c r="AC499" s="72" t="str">
        <f>IFERROR(__xludf.DUMMYFUNCTION("IFERROR(VLOOKUP(G499,IMPORTRANGE(""https://docs.google.com/spreadsheets/d/12RxCea4e5ggM7QGn1XE3FbLQa_-QbCNdBi90OdPjRqg"", ""'Plan de Compras'!D4:Q""), 4, 0), """")"),"JUEGO DE TABLAS PICADORAS")</f>
        <v>JUEGO DE TABLAS PICADORAS</v>
      </c>
      <c r="AD499" s="37" t="str">
        <f>IFERROR(__xludf.DUMMYFUNCTION("IFERROR(IF(OR(C499=TRUE,C499=""""),VLOOKUP(G499,IMPORTRANGE(""https://docs.google.com/spreadsheets/d/1z9A1Wq-kKrhRNG5RS2a2fKpY1wIhSVz2ZNmP2mOl588/edit?usp=sharing"",""REQ VF!E4:H""),4,0),""NO APLICA""),""GENERAR REQ"")"),"GENERAR REQ")</f>
        <v>GENERAR REQ</v>
      </c>
      <c r="AE499" s="32" t="str">
        <f>IFERROR(__xludf.DUMMYFUNCTION("IFERROR(QUERY(IMPORTRANGE(""https://docs.google.com/spreadsheets/d/1z9A1Wq-kKrhRNG5RS2a2fKpY1wIhSVz2ZNmP2mOl588/edit?usp=sharing"",""REQ VF!E4:Q""),""SELECT Col10, Col11, Col12 WHERE Col1 = '""&amp;G499&amp;""'"",0),""NO APLICA"")"),"NO APLICA")</f>
        <v>NO APLICA</v>
      </c>
      <c r="AF499" s="32"/>
      <c r="AG499" s="32"/>
      <c r="AH499" s="13"/>
      <c r="AI499" s="13"/>
    </row>
    <row r="500" ht="15.0" customHeight="1">
      <c r="A500" s="117">
        <v>301.0</v>
      </c>
      <c r="B500" s="43" t="b">
        <v>1</v>
      </c>
      <c r="C500" s="26" t="b">
        <v>1</v>
      </c>
      <c r="D500" s="26" t="s">
        <v>35</v>
      </c>
      <c r="E500" s="26" t="s">
        <v>1510</v>
      </c>
      <c r="F500" s="59" t="s">
        <v>3294</v>
      </c>
      <c r="G500" s="37" t="s">
        <v>3294</v>
      </c>
      <c r="H500" s="82" t="s">
        <v>3295</v>
      </c>
      <c r="I500" s="43">
        <f>SUMIFS('Hoja 10'!$O:$O,'Hoja 10'!$F:$F,$G500)</f>
        <v>2</v>
      </c>
      <c r="J500" s="26">
        <f>IFERROR(__xludf.DUMMYFUNCTION("VLOOKUP(G500,IMPORTRANGE(""https://docs.google.com/spreadsheets/d/12RxCea4e5ggM7QGn1XE3FbLQa_-QbCNdBi90OdPjRqg/edit?gid=1692403370#gid=1692403370"", ""'Plan de Compras'!D4:2432""), 8,0)"),2.0)</f>
        <v>2</v>
      </c>
      <c r="K500" s="26" t="str">
        <f t="shared" si="40"/>
        <v>SI</v>
      </c>
      <c r="L500" s="29" t="s">
        <v>77</v>
      </c>
      <c r="M500" s="30" t="s">
        <v>78</v>
      </c>
      <c r="N500" s="32"/>
      <c r="O500" s="32" t="str">
        <f>VLOOKUP($G500,'Hoja 10'!$F$4:$AA1057, 19,0)</f>
        <v>RECORD</v>
      </c>
      <c r="P500" s="32" t="str">
        <f>VLOOKUP($G500,'Hoja 10'!$F$4:$AA1057, 20,0)</f>
        <v>Set de Bowls Record 0840030100</v>
      </c>
      <c r="Q500" s="33" t="str">
        <f>VLOOKUP($G500,'Hoja 10'!$F$4:$AA1057, 21,0)</f>
        <v>https://hiraoka.com.pe/set-de-bowls-record-840030100?srsltid=AfmBOooBrGgAvRpOFqwBoyq45f9HWEY82yV4GoI1ixn3lIiq0Xp45KyG</v>
      </c>
      <c r="R500" s="30" t="s">
        <v>3296</v>
      </c>
      <c r="S500" s="44" t="b">
        <v>1</v>
      </c>
      <c r="T500" s="39" t="str">
        <f>IFERROR(__xludf.DUMMYFUNCTION(" IF
( VLOOKUP($G500,IMPORTRANGE(""https://docs.google.com/spreadsheets/d/1Gpl6jkTg7sL4VDNimUm3S9Vi1i95esohXCF3wuKOE8c"", ""'CONSOLIDADO'!G5:AB""), 10, 0) &lt;&gt; 0, 
IFERROR(VLOOKUP($G500,IMPORTRANGE(""https://docs.google.com/spreadsheets/d/1Gpl6jkTg7sL4VDNimU"&amp;"m3S9Vi1i95esohXCF3wuKOE8c"", ""'CONSOLIDADO'!G5:AB""), 17, 0), ""-""),
""""
)"),"RECORD")</f>
        <v>RECORD</v>
      </c>
      <c r="U500" s="39" t="str">
        <f>IFERROR(__xludf.DUMMYFUNCTION(" IF
( VLOOKUP($G500,IMPORTRANGE(""https://docs.google.com/spreadsheets/d/1Gpl6jkTg7sL4VDNimUm3S9Vi1i95esohXCF3wuKOE8c"", ""'CONSOLIDADO'!G5:AB""), 10, 0) &lt;&gt; 0, 
IFERROR(VLOOKUP($G500,IMPORTRANGE(""https://docs.google.com/spreadsheets/d/1Gpl6jkTg7sL4VDNimU"&amp;"m3S9Vi1i95esohXCF3wuKOE8c"", ""'CONSOLIDADO'!G5:AB""), 18, 0), ""-""),
""""
)"),"JUEGO DE 03 BOWL ACERO INOXIDABLE  14-18-22")</f>
        <v>JUEGO DE 03 BOWL ACERO INOXIDABLE  14-18-22</v>
      </c>
      <c r="V500" s="39" t="str">
        <f>IFERROR(__xludf.DUMMYFUNCTION(" IF
( VLOOKUP($G500,IMPORTRANGE(""https://docs.google.com/spreadsheets/d/1Gpl6jkTg7sL4VDNimUm3S9Vi1i95esohXCF3wuKOE8c"", ""'CONSOLIDADO'!G5:AB""), 10, 0) &lt;&gt; 0, 
IFERROR(VLOOKUP($G500,IMPORTRANGE(""https://docs.google.com/spreadsheets/d/1Gpl6jkTg7sL4VDNimU"&amp;"m3S9Vi1i95esohXCF3wuKOE8c"", ""'CONSOLIDADO'!G5:AB""), 17, 0), ""-""),
""""
)"),"RECORD")</f>
        <v>RECORD</v>
      </c>
      <c r="W500" s="39" t="str">
        <f>IFERROR(__xludf.DUMMYFUNCTION(" IF
( VLOOKUP($G500,IMPORTRANGE(""https://docs.google.com/spreadsheets/d/1Gpl6jkTg7sL4VDNimUm3S9Vi1i95esohXCF3wuKOE8c"", ""'CONSOLIDADO'!G5:AB""), 10, 0) &lt;&gt; 0, 
IFERROR(VLOOKUP($G500,IMPORTRANGE(""https://docs.google.com/spreadsheets/d/1Gpl6jkTg7sL4VDNimU"&amp;"m3S9Vi1i95esohXCF3wuKOE8c"", ""'CONSOLIDADO'!G5:AB""), 18, 0), ""-""),
""""
)"),"JUEGO DE 03 BOWL ACERO INOXIDABLE  14-18-22")</f>
        <v>JUEGO DE 03 BOWL ACERO INOXIDABLE  14-18-22</v>
      </c>
      <c r="X500" s="39" t="b">
        <f t="shared" si="54"/>
        <v>1</v>
      </c>
      <c r="Y500" s="110" t="s">
        <v>3297</v>
      </c>
      <c r="Z500" s="37" t="str">
        <f>IFERROR(__xludf.DUMMYFUNCTION("IFERROR(VLOOKUP(G500,IMPORTRANGE(""https://docs.google.com/spreadsheets/d/12RxCea4e5ggM7QGn1XE3FbLQa_-QbCNdBi90OdPjRqg"", ""'Plan de Compras'!D4:Q""), 12, 0), ""NO ESTÁ EN REQ"")"),"Simple")</f>
        <v>Simple</v>
      </c>
      <c r="AA500" s="37" t="str">
        <f>IFERROR(__xludf.DUMMYFUNCTION("IFERROR(VLOOKUP(G500,IMPORTRANGE(""https://docs.google.com/spreadsheets/d/12RxCea4e5ggM7QGn1XE3FbLQa_-QbCNdBi90OdPjRqg"", ""'Plan de Compras'!D4:Q""), 13, 0), """")"),"NACIONAL")</f>
        <v>NACIONAL</v>
      </c>
      <c r="AB500" s="32" t="str">
        <f>IFERROR(__xludf.DUMMYFUNCTION("IFERROR(VLOOKUP(G500,IMPORTRANGE(""https://docs.google.com/spreadsheets/d/12RxCea4e5ggM7QGn1XE3FbLQa_-QbCNdBi90OdPjRqg"", ""'Plan de Compras'!D4:Q""), 14, 0), """")"),"JESSICA")</f>
        <v>JESSICA</v>
      </c>
      <c r="AC500" s="72" t="str">
        <f>IFERROR(__xludf.DUMMYFUNCTION("IFERROR(VLOOKUP(G500,IMPORTRANGE(""https://docs.google.com/spreadsheets/d/12RxCea4e5ggM7QGn1XE3FbLQa_-QbCNdBi90OdPjRqg"", ""'Plan de Compras'!D4:Q""), 4, 0), """")"),"JUEGO DE TAZONES (BOWL) DE ACERO INOXIDABLE")</f>
        <v>JUEGO DE TAZONES (BOWL) DE ACERO INOXIDABLE</v>
      </c>
      <c r="AD500" s="37" t="str">
        <f>IFERROR(__xludf.DUMMYFUNCTION("IFERROR(IF(OR(C500=TRUE,C500=""""),VLOOKUP(G500,IMPORTRANGE(""https://docs.google.com/spreadsheets/d/1z9A1Wq-kKrhRNG5RS2a2fKpY1wIhSVz2ZNmP2mOl588/edit?usp=sharing"",""REQ VF!E4:H""),4,0),""NO APLICA""),""GENERAR REQ"")"),"GENERAR REQ")</f>
        <v>GENERAR REQ</v>
      </c>
      <c r="AE500" s="32" t="str">
        <f>IFERROR(__xludf.DUMMYFUNCTION("IFERROR(QUERY(IMPORTRANGE(""https://docs.google.com/spreadsheets/d/1z9A1Wq-kKrhRNG5RS2a2fKpY1wIhSVz2ZNmP2mOl588/edit?usp=sharing"",""REQ VF!E4:Q""),""SELECT Col10, Col11, Col12 WHERE Col1 = '""&amp;G500&amp;""'"",0),""NO APLICA"")"),"NO APLICA")</f>
        <v>NO APLICA</v>
      </c>
      <c r="AF500" s="32"/>
      <c r="AG500" s="32"/>
      <c r="AH500" s="13"/>
      <c r="AI500" s="13"/>
    </row>
    <row r="501">
      <c r="A501" s="121">
        <v>302.0</v>
      </c>
      <c r="B501" s="43" t="b">
        <v>1</v>
      </c>
      <c r="C501" s="26" t="b">
        <v>1</v>
      </c>
      <c r="D501" s="26" t="s">
        <v>35</v>
      </c>
      <c r="E501" s="26" t="s">
        <v>1510</v>
      </c>
      <c r="F501" s="59" t="s">
        <v>3298</v>
      </c>
      <c r="G501" s="37" t="s">
        <v>3298</v>
      </c>
      <c r="H501" s="82" t="s">
        <v>3299</v>
      </c>
      <c r="I501" s="43">
        <f>SUMIFS('Hoja 10'!$O:$O,'Hoja 10'!$F:$F,$G501)</f>
        <v>4</v>
      </c>
      <c r="J501" s="26">
        <f>IFERROR(__xludf.DUMMYFUNCTION("VLOOKUP(G501,IMPORTRANGE(""https://docs.google.com/spreadsheets/d/12RxCea4e5ggM7QGn1XE3FbLQa_-QbCNdBi90OdPjRqg/edit?gid=1692403370#gid=1692403370"", ""'Plan de Compras'!D4:2432""), 8,0)"),4.0)</f>
        <v>4</v>
      </c>
      <c r="K501" s="26" t="str">
        <f t="shared" si="40"/>
        <v>SI</v>
      </c>
      <c r="L501" s="29" t="s">
        <v>77</v>
      </c>
      <c r="M501" s="30" t="s">
        <v>78</v>
      </c>
      <c r="N501" s="32"/>
      <c r="O501" s="32" t="str">
        <f>VLOOKUP($G501,'Hoja 10'!$F$4:$AA1057, 19,0)</f>
        <v>JUST HOME COLLECTION</v>
      </c>
      <c r="P501" s="32">
        <f>VLOOKUP($G501,'Hoja 10'!$F$4:$AA1057, 20,0)</f>
        <v>113531044</v>
      </c>
      <c r="Q501" s="33" t="str">
        <f>VLOOKUP($G501,'Hoja 10'!$F$4:$AA1057, 21,0)</f>
        <v>https://www.sodimac.com.pe/sodimac-pe/articulo/113531034/Juego-de-vajillas-Porcelana-Nordico-Blanco-30-Piezas/113531044?kid=goosho_669284&amp;shop=googleShopping&amp;gad_source=1&amp;gad_campaignid=21524773673&amp;gbraid=0AAAAADOx_1-v0XR7n3odujWtxRhupW8e4&amp;gclid=CjwKCAjwgeLHBhBuEiwAL5gNEdWSvjKkxDuEwr4mVirzQHJp457Wo6gKqolbLpcXV-OIWCIfJVmL5hoC9YQQAvD_BwE</v>
      </c>
      <c r="R501" s="30" t="s">
        <v>3300</v>
      </c>
      <c r="S501" s="44" t="b">
        <v>1</v>
      </c>
      <c r="T501" s="39" t="s">
        <v>3301</v>
      </c>
      <c r="U501" s="39" t="s">
        <v>3302</v>
      </c>
      <c r="V501" s="39" t="str">
        <f>IFERROR(__xludf.DUMMYFUNCTION(" IF
( VLOOKUP($G501,IMPORTRANGE(""https://docs.google.com/spreadsheets/d/1Gpl6jkTg7sL4VDNimUm3S9Vi1i95esohXCF3wuKOE8c"", ""'CONSOLIDADO'!G5:AB""), 10, 0) &lt;&gt; 0, 
IFERROR(VLOOKUP($G501,IMPORTRANGE(""https://docs.google.com/spreadsheets/d/1Gpl6jkTg7sL4VDNimU"&amp;"m3S9Vi1i95esohXCF3wuKOE8c"", ""'CONSOLIDADO'!G5:AB""), 17, 0), ""-""),
""""
)"),"JUST HOME COLECTION ")</f>
        <v>JUST HOME COLECTION </v>
      </c>
      <c r="W501" s="39" t="str">
        <f>IFERROR(__xludf.DUMMYFUNCTION(" IF
( VLOOKUP($G501,IMPORTRANGE(""https://docs.google.com/spreadsheets/d/1Gpl6jkTg7sL4VDNimUm3S9Vi1i95esohXCF3wuKOE8c"", ""'CONSOLIDADO'!G5:AB""), 10, 0) &lt;&gt; 0, 
IFERROR(VLOOKUP($G501,IMPORTRANGE(""https://docs.google.com/spreadsheets/d/1Gpl6jkTg7sL4VDNimU"&amp;"m3S9Vi1i95esohXCF3wuKOE8c"", ""'CONSOLIDADO'!G5:AB""), 18, 0), ""-""),
""""
)"),"Square Blanco 30 pza")</f>
        <v>Square Blanco 30 pza</v>
      </c>
      <c r="X501" s="39" t="b">
        <f t="shared" si="54"/>
        <v>1</v>
      </c>
      <c r="Y501" s="120" t="s">
        <v>3303</v>
      </c>
      <c r="Z501" s="37" t="str">
        <f>IFERROR(__xludf.DUMMYFUNCTION("IFERROR(VLOOKUP(G501,IMPORTRANGE(""https://docs.google.com/spreadsheets/d/12RxCea4e5ggM7QGn1XE3FbLQa_-QbCNdBi90OdPjRqg"", ""'Plan de Compras'!D4:Q""), 12, 0), ""NO ESTÁ EN REQ"")"),"Simple")</f>
        <v>Simple</v>
      </c>
      <c r="AA501" s="37" t="str">
        <f>IFERROR(__xludf.DUMMYFUNCTION("IFERROR(VLOOKUP(G501,IMPORTRANGE(""https://docs.google.com/spreadsheets/d/12RxCea4e5ggM7QGn1XE3FbLQa_-QbCNdBi90OdPjRqg"", ""'Plan de Compras'!D4:Q""), 13, 0), """")"),"NACIONAL")</f>
        <v>NACIONAL</v>
      </c>
      <c r="AB501" s="32" t="str">
        <f>IFERROR(__xludf.DUMMYFUNCTION("IFERROR(VLOOKUP(G501,IMPORTRANGE(""https://docs.google.com/spreadsheets/d/12RxCea4e5ggM7QGn1XE3FbLQa_-QbCNdBi90OdPjRqg"", ""'Plan de Compras'!D4:Q""), 14, 0), """")"),"JESSICA")</f>
        <v>JESSICA</v>
      </c>
      <c r="AC501" s="72" t="str">
        <f>IFERROR(__xludf.DUMMYFUNCTION("IFERROR(VLOOKUP(G501,IMPORTRANGE(""https://docs.google.com/spreadsheets/d/12RxCea4e5ggM7QGn1XE3FbLQa_-QbCNdBi90OdPjRqg"", ""'Plan de Compras'!D4:Q""), 4, 0), """")"),"JUEGO DE VAJILLAS")</f>
        <v>JUEGO DE VAJILLAS</v>
      </c>
      <c r="AD501" s="37" t="str">
        <f>IFERROR(__xludf.DUMMYFUNCTION("IFERROR(IF(OR(C501=TRUE,C501=""""),VLOOKUP(G501,IMPORTRANGE(""https://docs.google.com/spreadsheets/d/1z9A1Wq-kKrhRNG5RS2a2fKpY1wIhSVz2ZNmP2mOl588/edit?usp=sharing"",""REQ VF!E4:H""),4,0),""NO APLICA""),""GENERAR REQ"")"),"GENERAR REQ")</f>
        <v>GENERAR REQ</v>
      </c>
      <c r="AE501" s="32" t="str">
        <f>IFERROR(__xludf.DUMMYFUNCTION("IFERROR(QUERY(IMPORTRANGE(""https://docs.google.com/spreadsheets/d/1z9A1Wq-kKrhRNG5RS2a2fKpY1wIhSVz2ZNmP2mOl588/edit?usp=sharing"",""REQ VF!E4:Q""),""SELECT Col10, Col11, Col12 WHERE Col1 = '""&amp;G501&amp;""'"",0),""NO APLICA"")"),"NO APLICA")</f>
        <v>NO APLICA</v>
      </c>
      <c r="AF501" s="32"/>
      <c r="AG501" s="32"/>
      <c r="AH501" s="8" t="s">
        <v>52</v>
      </c>
      <c r="AI501" s="13"/>
    </row>
    <row r="502">
      <c r="A502" s="121">
        <v>303.0</v>
      </c>
      <c r="B502" s="43" t="b">
        <v>1</v>
      </c>
      <c r="C502" s="26" t="b">
        <v>0</v>
      </c>
      <c r="D502" s="26" t="s">
        <v>35</v>
      </c>
      <c r="E502" s="26" t="s">
        <v>1510</v>
      </c>
      <c r="F502" s="59" t="s">
        <v>3304</v>
      </c>
      <c r="G502" s="37" t="s">
        <v>3304</v>
      </c>
      <c r="H502" s="82" t="s">
        <v>3305</v>
      </c>
      <c r="I502" s="43">
        <f>SUMIFS('Hoja 10'!$O:$O,'Hoja 10'!$F:$F,$G502)</f>
        <v>2</v>
      </c>
      <c r="J502" s="26" t="str">
        <f>IFERROR(__xludf.DUMMYFUNCTION("VLOOKUP(G502,IMPORTRANGE(""https://docs.google.com/spreadsheets/d/12RxCea4e5ggM7QGn1XE3FbLQa_-QbCNdBi90OdPjRqg/edit?gid=1692403370#gid=1692403370"", ""'Plan de Compras'!D4:2432""), 8,0)"),"#N/A")</f>
        <v>#N/A</v>
      </c>
      <c r="K502" s="26" t="str">
        <f t="shared" si="40"/>
        <v>-</v>
      </c>
      <c r="L502" s="29" t="s">
        <v>77</v>
      </c>
      <c r="M502" s="30" t="s">
        <v>78</v>
      </c>
      <c r="N502" s="32"/>
      <c r="O502" s="32" t="str">
        <f>VLOOKUP($G502,'Hoja 10'!$F$4:$AA1057, 19,0)</f>
        <v>XIAN ZHU</v>
      </c>
      <c r="P502" s="32" t="str">
        <f>VLOOKUP($G502,'Hoja 10'!$F$4:$AA1057, 20,0)</f>
        <v>XIAN ZHU</v>
      </c>
      <c r="Q502" s="33" t="str">
        <f>VLOOKUP($G502,'Hoja 10'!$F$4:$AA1057, 21,0)</f>
        <v>https://xianzhu.cl/producto/bandeja-metalica-40x30/</v>
      </c>
      <c r="R502" s="30" t="s">
        <v>3306</v>
      </c>
      <c r="S502" s="34" t="b">
        <v>1</v>
      </c>
      <c r="T502" s="39" t="str">
        <f>IFERROR(__xludf.DUMMYFUNCTION(" IF
( VLOOKUP($G502,IMPORTRANGE(""https://docs.google.com/spreadsheets/d/1Gpl6jkTg7sL4VDNimUm3S9Vi1i95esohXCF3wuKOE8c"", ""'CONSOLIDADO'!G5:AB""), 10, 0) &lt;&gt; 0, 
IFERROR(VLOOKUP($G502,IMPORTRANGE(""https://docs.google.com/spreadsheets/d/1Gpl6jkTg7sL4VDNimU"&amp;"m3S9Vi1i95esohXCF3wuKOE8c"", ""'CONSOLIDADO'!G5:AB""), 17, 0), ""-""),
""""
)"),"GASPAR’S")</f>
        <v>GASPAR’S</v>
      </c>
      <c r="U502" s="39" t="str">
        <f>IFERROR(__xludf.DUMMYFUNCTION(" IF
( VLOOKUP($G502,IMPORTRANGE(""https://docs.google.com/spreadsheets/d/1Gpl6jkTg7sL4VDNimUm3S9Vi1i95esohXCF3wuKOE8c"", ""'CONSOLIDADO'!G5:AB""), 10, 0) &lt;&gt; 0, 
IFERROR(VLOOKUP($G502,IMPORTRANGE(""https://docs.google.com/spreadsheets/d/1Gpl6jkTg7sL4VDNimU"&amp;"m3S9Vi1i95esohXCF3wuKOE8c"", ""'CONSOLIDADO'!G5:AB""), 18, 0), ""-""),
""""
)"),"modelo  40 X 30 CM, 36 X 27 CM, 32 X 22 CM")</f>
        <v>modelo  40 X 30 CM, 36 X 27 CM, 32 X 22 CM</v>
      </c>
      <c r="V502" s="39" t="str">
        <f>IFERROR(__xludf.DUMMYFUNCTION(" IF
( VLOOKUP($G502,IMPORTRANGE(""https://docs.google.com/spreadsheets/d/1Gpl6jkTg7sL4VDNimUm3S9Vi1i95esohXCF3wuKOE8c"", ""'CONSOLIDADO'!G5:AB""), 10, 0) &lt;&gt; 0, 
IFERROR(VLOOKUP($G502,IMPORTRANGE(""https://docs.google.com/spreadsheets/d/1Gpl6jkTg7sL4VDNimU"&amp;"m3S9Vi1i95esohXCF3wuKOE8c"", ""'CONSOLIDADO'!G5:AB""), 17, 0), ""-""),
""""
)"),"GASPAR’S")</f>
        <v>GASPAR’S</v>
      </c>
      <c r="W502" s="39" t="str">
        <f>IFERROR(__xludf.DUMMYFUNCTION(" IF
( VLOOKUP($G502,IMPORTRANGE(""https://docs.google.com/spreadsheets/d/1Gpl6jkTg7sL4VDNimUm3S9Vi1i95esohXCF3wuKOE8c"", ""'CONSOLIDADO'!G5:AB""), 10, 0) &lt;&gt; 0, 
IFERROR(VLOOKUP($G502,IMPORTRANGE(""https://docs.google.com/spreadsheets/d/1Gpl6jkTg7sL4VDNimU"&amp;"m3S9Vi1i95esohXCF3wuKOE8c"", ""'CONSOLIDADO'!G5:AB""), 18, 0), ""-""),
""""
)"),"modelo  40 X 30 CM, 36 X 27 CM, 32 X 22 CM")</f>
        <v>modelo  40 X 30 CM, 36 X 27 CM, 32 X 22 CM</v>
      </c>
      <c r="X502" s="39" t="b">
        <f t="shared" si="54"/>
        <v>1</v>
      </c>
      <c r="Y502" s="110" t="str">
        <f>IFERROR(__xludf.DUMMYFUNCTION(" IF
( VLOOKUP($G502,IMPORTRANGE(""https://docs.google.com/spreadsheets/d/1Gpl6jkTg7sL4VDNimUm3S9Vi1i95esohXCF3wuKOE8c"", ""'CONSOLIDADO'!G5:AB""), 10, 0) &lt;&gt; 0, 
IFERROR(VLOOKUP($G502,IMPORTRANGE(""https://docs.google.com/spreadsheets/d/1Gpl6jkTg7sL4VDNimU"&amp;"m3S9Vi1i95esohXCF3wuKOE8c"", ""'CONSOLIDADO'!G5:AB""), 19, 0), ""-""),
""""
)"),"FT")</f>
        <v>FT</v>
      </c>
      <c r="Z502" s="37" t="str">
        <f>IFERROR(__xludf.DUMMYFUNCTION("IFERROR(VLOOKUP(G502,IMPORTRANGE(""https://docs.google.com/spreadsheets/d/12RxCea4e5ggM7QGn1XE3FbLQa_-QbCNdBi90OdPjRqg"", ""'Plan de Compras'!D4:Q""), 12, 0), ""NO ESTÁ EN REQ"")"),"NO ESTÁ EN REQ")</f>
        <v>NO ESTÁ EN REQ</v>
      </c>
      <c r="AA502" s="37" t="str">
        <f>IFERROR(__xludf.DUMMYFUNCTION("IFERROR(VLOOKUP(G502,IMPORTRANGE(""https://docs.google.com/spreadsheets/d/12RxCea4e5ggM7QGn1XE3FbLQa_-QbCNdBi90OdPjRqg"", ""'Plan de Compras'!D4:Q""), 13, 0), """")"),"")</f>
        <v/>
      </c>
      <c r="AB502" s="32" t="str">
        <f>IFERROR(__xludf.DUMMYFUNCTION("IFERROR(VLOOKUP(G502,IMPORTRANGE(""https://docs.google.com/spreadsheets/d/12RxCea4e5ggM7QGn1XE3FbLQa_-QbCNdBi90OdPjRqg"", ""'Plan de Compras'!D4:Q""), 14, 0), """")"),"")</f>
        <v/>
      </c>
      <c r="AC502" s="72" t="str">
        <f>IFERROR(__xludf.DUMMYFUNCTION("IFERROR(VLOOKUP(G502,IMPORTRANGE(""https://docs.google.com/spreadsheets/d/12RxCea4e5ggM7QGn1XE3FbLQa_-QbCNdBi90OdPjRqg"", ""'Plan de Compras'!D4:Q""), 4, 0), """")"),"")</f>
        <v/>
      </c>
      <c r="AD502" s="37" t="str">
        <f>IFERROR(__xludf.DUMMYFUNCTION("IFERROR(IF(OR(C502=TRUE,C502=""""),VLOOKUP(G502,IMPORTRANGE(""https://docs.google.com/spreadsheets/d/1z9A1Wq-kKrhRNG5RS2a2fKpY1wIhSVz2ZNmP2mOl588/edit?usp=sharing"",""REQ VF!E4:H""),4,0),""NO APLICA""),""GENERAR REQ"")"),"NO APLICA")</f>
        <v>NO APLICA</v>
      </c>
      <c r="AE502" s="32" t="str">
        <f>IFERROR(__xludf.DUMMYFUNCTION("IFERROR(QUERY(IMPORTRANGE(""https://docs.google.com/spreadsheets/d/1z9A1Wq-kKrhRNG5RS2a2fKpY1wIhSVz2ZNmP2mOl588/edit?usp=sharing"",""REQ VF!E4:Q""),""SELECT Col10, Col11, Col12 WHERE Col1 = '""&amp;G502&amp;""'"",0),""NO APLICA"")"),"NO APLICA")</f>
        <v>NO APLICA</v>
      </c>
      <c r="AF502" s="32"/>
      <c r="AG502" s="32"/>
      <c r="AH502" s="13"/>
      <c r="AI502" s="13"/>
    </row>
    <row r="503">
      <c r="A503" s="43"/>
      <c r="B503" s="43"/>
      <c r="C503" s="26" t="b">
        <v>1</v>
      </c>
      <c r="D503" s="26" t="s">
        <v>95</v>
      </c>
      <c r="E503" s="26" t="s">
        <v>1510</v>
      </c>
      <c r="F503" s="59" t="s">
        <v>3304</v>
      </c>
      <c r="G503" s="39" t="s">
        <v>3307</v>
      </c>
      <c r="H503" s="66" t="str">
        <f>UPPER("BANDEJA DE ACERO 40 cm x 30 cm x 5 cm (1 und)")</f>
        <v>BANDEJA DE ACERO 40 CM X 30 CM X 5 CM (1 UND)</v>
      </c>
      <c r="I503" s="43">
        <v>2.0</v>
      </c>
      <c r="J503" s="26">
        <f>IFERROR(__xludf.DUMMYFUNCTION("VLOOKUP(G503,IMPORTRANGE(""https://docs.google.com/spreadsheets/d/12RxCea4e5ggM7QGn1XE3FbLQa_-QbCNdBi90OdPjRqg/edit?gid=1692403370#gid=1692403370"", ""'Plan de Compras'!D4:2432""), 8,0)"),2.0)</f>
        <v>2</v>
      </c>
      <c r="K503" s="26" t="str">
        <f t="shared" si="40"/>
        <v>SI</v>
      </c>
      <c r="L503" s="26"/>
      <c r="M503" s="32"/>
      <c r="N503" s="32" t="s">
        <v>3308</v>
      </c>
      <c r="O503" s="32" t="s">
        <v>3309</v>
      </c>
      <c r="P503" s="32"/>
      <c r="Q503" s="46" t="s">
        <v>3310</v>
      </c>
      <c r="R503" s="32"/>
      <c r="S503" s="34" t="b">
        <v>1</v>
      </c>
      <c r="T503" s="39" t="s">
        <v>3311</v>
      </c>
      <c r="U503" s="39" t="s">
        <v>3312</v>
      </c>
      <c r="V503" s="39"/>
      <c r="W503" s="39"/>
      <c r="X503" s="39"/>
      <c r="Y503" s="124"/>
      <c r="Z503" s="37" t="str">
        <f>IFERROR(__xludf.DUMMYFUNCTION("IFERROR(VLOOKUP(G503,IMPORTRANGE(""https://docs.google.com/spreadsheets/d/12RxCea4e5ggM7QGn1XE3FbLQa_-QbCNdBi90OdPjRqg"", ""'Plan de Compras'!D4:Q""), 12, 0), ""NO ESTÁ EN REQ"")"),"Técnica")</f>
        <v>Técnica</v>
      </c>
      <c r="AA503" s="37" t="str">
        <f>IFERROR(__xludf.DUMMYFUNCTION("IFERROR(VLOOKUP(G503,IMPORTRANGE(""https://docs.google.com/spreadsheets/d/12RxCea4e5ggM7QGn1XE3FbLQa_-QbCNdBi90OdPjRqg"", ""'Plan de Compras'!D4:Q""), 13, 0), """")"),"NACIONAL")</f>
        <v>NACIONAL</v>
      </c>
      <c r="AB503" s="32" t="str">
        <f>IFERROR(__xludf.DUMMYFUNCTION("IFERROR(VLOOKUP(G503,IMPORTRANGE(""https://docs.google.com/spreadsheets/d/12RxCea4e5ggM7QGn1XE3FbLQa_-QbCNdBi90OdPjRqg"", ""'Plan de Compras'!D4:Q""), 14, 0), """")"),"ANGIE")</f>
        <v>ANGIE</v>
      </c>
      <c r="AC503" s="72" t="str">
        <f>IFERROR(__xludf.DUMMYFUNCTION("IFERROR(VLOOKUP(G503,IMPORTRANGE(""https://docs.google.com/spreadsheets/d/12RxCea4e5ggM7QGn1XE3FbLQa_-QbCNdBi90OdPjRqg"", ""'Plan de Compras'!D4:Q""), 4, 0), """")"),"BANDEJA DE ACERO 40 CM X 30 CM X 5 CM (1 UND)")</f>
        <v>BANDEJA DE ACERO 40 CM X 30 CM X 5 CM (1 UND)</v>
      </c>
      <c r="AD503" s="37" t="str">
        <f>IFERROR(__xludf.DUMMYFUNCTION("IFERROR(IF(OR(C503=TRUE,C503=""""),VLOOKUP(G503,IMPORTRANGE(""https://docs.google.com/spreadsheets/d/1z9A1Wq-kKrhRNG5RS2a2fKpY1wIhSVz2ZNmP2mOl588/edit?usp=sharing"",""REQ VF!E4:H""),4,0),""NO APLICA""),""GENERAR REQ"")"),"GENERAR REQ")</f>
        <v>GENERAR REQ</v>
      </c>
      <c r="AE503" s="32" t="str">
        <f>IFERROR(__xludf.DUMMYFUNCTION("IFERROR(QUERY(IMPORTRANGE(""https://docs.google.com/spreadsheets/d/1z9A1Wq-kKrhRNG5RS2a2fKpY1wIhSVz2ZNmP2mOl588/edit?usp=sharing"",""REQ VF!E4:Q""),""SELECT Col10, Col11, Col12 WHERE Col1 = '""&amp;G503&amp;""'"",0),""NO APLICA"")"),"NO APLICA")</f>
        <v>NO APLICA</v>
      </c>
      <c r="AF503" s="32"/>
      <c r="AG503" s="32"/>
      <c r="AH503" s="13"/>
      <c r="AI503" s="13"/>
    </row>
    <row r="504">
      <c r="A504" s="43"/>
      <c r="B504" s="43"/>
      <c r="C504" s="26" t="b">
        <v>1</v>
      </c>
      <c r="D504" s="26" t="s">
        <v>95</v>
      </c>
      <c r="E504" s="26" t="s">
        <v>1510</v>
      </c>
      <c r="F504" s="59" t="s">
        <v>3304</v>
      </c>
      <c r="G504" s="39" t="s">
        <v>3313</v>
      </c>
      <c r="H504" s="66" t="str">
        <f>UPPER("BANDEJA DE ACERO 36 cm x 27 cm x 5 cm (1 und)")</f>
        <v>BANDEJA DE ACERO 36 CM X 27 CM X 5 CM (1 UND)</v>
      </c>
      <c r="I504" s="43">
        <v>2.0</v>
      </c>
      <c r="J504" s="26">
        <f>IFERROR(__xludf.DUMMYFUNCTION("VLOOKUP(G504,IMPORTRANGE(""https://docs.google.com/spreadsheets/d/12RxCea4e5ggM7QGn1XE3FbLQa_-QbCNdBi90OdPjRqg/edit?gid=1692403370#gid=1692403370"", ""'Plan de Compras'!D4:2432""), 8,0)"),2.0)</f>
        <v>2</v>
      </c>
      <c r="K504" s="26" t="str">
        <f t="shared" si="40"/>
        <v>SI</v>
      </c>
      <c r="L504" s="26"/>
      <c r="M504" s="32"/>
      <c r="N504" s="32" t="s">
        <v>3314</v>
      </c>
      <c r="O504" s="32"/>
      <c r="P504" s="32"/>
      <c r="Q504" s="46" t="s">
        <v>3315</v>
      </c>
      <c r="R504" s="32"/>
      <c r="S504" s="34" t="b">
        <v>1</v>
      </c>
      <c r="T504" s="39" t="s">
        <v>3311</v>
      </c>
      <c r="U504" s="39" t="s">
        <v>3316</v>
      </c>
      <c r="V504" s="39"/>
      <c r="W504" s="39"/>
      <c r="X504" s="39"/>
      <c r="Y504" s="124"/>
      <c r="Z504" s="37" t="str">
        <f>IFERROR(__xludf.DUMMYFUNCTION("IFERROR(VLOOKUP(G504,IMPORTRANGE(""https://docs.google.com/spreadsheets/d/12RxCea4e5ggM7QGn1XE3FbLQa_-QbCNdBi90OdPjRqg"", ""'Plan de Compras'!D4:Q""), 12, 0), ""NO ESTÁ EN REQ"")"),"Técnica")</f>
        <v>Técnica</v>
      </c>
      <c r="AA504" s="37" t="str">
        <f>IFERROR(__xludf.DUMMYFUNCTION("IFERROR(VLOOKUP(G504,IMPORTRANGE(""https://docs.google.com/spreadsheets/d/12RxCea4e5ggM7QGn1XE3FbLQa_-QbCNdBi90OdPjRqg"", ""'Plan de Compras'!D4:Q""), 13, 0), """")"),"NACIONAL")</f>
        <v>NACIONAL</v>
      </c>
      <c r="AB504" s="32" t="str">
        <f>IFERROR(__xludf.DUMMYFUNCTION("IFERROR(VLOOKUP(G504,IMPORTRANGE(""https://docs.google.com/spreadsheets/d/12RxCea4e5ggM7QGn1XE3FbLQa_-QbCNdBi90OdPjRqg"", ""'Plan de Compras'!D4:Q""), 14, 0), """")"),"ANGIE")</f>
        <v>ANGIE</v>
      </c>
      <c r="AC504" s="72" t="str">
        <f>IFERROR(__xludf.DUMMYFUNCTION("IFERROR(VLOOKUP(G504,IMPORTRANGE(""https://docs.google.com/spreadsheets/d/12RxCea4e5ggM7QGn1XE3FbLQa_-QbCNdBi90OdPjRqg"", ""'Plan de Compras'!D4:Q""), 4, 0), """")"),"BANDEJA DE ACERO 36 CM X 27 CM X 5 CM (1 UND)")</f>
        <v>BANDEJA DE ACERO 36 CM X 27 CM X 5 CM (1 UND)</v>
      </c>
      <c r="AD504" s="37" t="str">
        <f>IFERROR(__xludf.DUMMYFUNCTION("IFERROR(IF(OR(C504=TRUE,C504=""""),VLOOKUP(G504,IMPORTRANGE(""https://docs.google.com/spreadsheets/d/1z9A1Wq-kKrhRNG5RS2a2fKpY1wIhSVz2ZNmP2mOl588/edit?usp=sharing"",""REQ VF!E4:H""),4,0),""NO APLICA""),""GENERAR REQ"")"),"GENERAR REQ")</f>
        <v>GENERAR REQ</v>
      </c>
      <c r="AE504" s="32" t="str">
        <f>IFERROR(__xludf.DUMMYFUNCTION("IFERROR(QUERY(IMPORTRANGE(""https://docs.google.com/spreadsheets/d/1z9A1Wq-kKrhRNG5RS2a2fKpY1wIhSVz2ZNmP2mOl588/edit?usp=sharing"",""REQ VF!E4:Q""),""SELECT Col10, Col11, Col12 WHERE Col1 = '""&amp;G504&amp;""'"",0),""NO APLICA"")"),"NO APLICA")</f>
        <v>NO APLICA</v>
      </c>
      <c r="AF504" s="32"/>
      <c r="AG504" s="32"/>
      <c r="AH504" s="13"/>
      <c r="AI504" s="13"/>
    </row>
    <row r="505">
      <c r="A505" s="43"/>
      <c r="B505" s="43"/>
      <c r="C505" s="26" t="b">
        <v>1</v>
      </c>
      <c r="D505" s="26" t="s">
        <v>95</v>
      </c>
      <c r="E505" s="26" t="s">
        <v>1510</v>
      </c>
      <c r="F505" s="59" t="s">
        <v>3304</v>
      </c>
      <c r="G505" s="39" t="s">
        <v>3317</v>
      </c>
      <c r="H505" s="66" t="str">
        <f>UPPER("BANDEJA DE ACERO 32 cm x 22 cm x 5 cm (1 und)")</f>
        <v>BANDEJA DE ACERO 32 CM X 22 CM X 5 CM (1 UND)</v>
      </c>
      <c r="I505" s="43">
        <v>2.0</v>
      </c>
      <c r="J505" s="26">
        <f>IFERROR(__xludf.DUMMYFUNCTION("VLOOKUP(G505,IMPORTRANGE(""https://docs.google.com/spreadsheets/d/12RxCea4e5ggM7QGn1XE3FbLQa_-QbCNdBi90OdPjRqg/edit?gid=1692403370#gid=1692403370"", ""'Plan de Compras'!D4:2432""), 8,0)"),2.0)</f>
        <v>2</v>
      </c>
      <c r="K505" s="26" t="str">
        <f t="shared" si="40"/>
        <v>SI</v>
      </c>
      <c r="L505" s="26"/>
      <c r="M505" s="32"/>
      <c r="N505" s="32" t="s">
        <v>3318</v>
      </c>
      <c r="O505" s="32"/>
      <c r="P505" s="32"/>
      <c r="Q505" s="33" t="s">
        <v>3319</v>
      </c>
      <c r="R505" s="32"/>
      <c r="S505" s="34" t="b">
        <v>1</v>
      </c>
      <c r="T505" s="39" t="s">
        <v>3311</v>
      </c>
      <c r="U505" s="39" t="s">
        <v>3320</v>
      </c>
      <c r="V505" s="39"/>
      <c r="W505" s="39"/>
      <c r="X505" s="39"/>
      <c r="Y505" s="124"/>
      <c r="Z505" s="37" t="str">
        <f>IFERROR(__xludf.DUMMYFUNCTION("IFERROR(VLOOKUP(G505,IMPORTRANGE(""https://docs.google.com/spreadsheets/d/12RxCea4e5ggM7QGn1XE3FbLQa_-QbCNdBi90OdPjRqg"", ""'Plan de Compras'!D4:Q""), 12, 0), ""NO ESTÁ EN REQ"")"),"Técnica")</f>
        <v>Técnica</v>
      </c>
      <c r="AA505" s="37" t="str">
        <f>IFERROR(__xludf.DUMMYFUNCTION("IFERROR(VLOOKUP(G505,IMPORTRANGE(""https://docs.google.com/spreadsheets/d/12RxCea4e5ggM7QGn1XE3FbLQa_-QbCNdBi90OdPjRqg"", ""'Plan de Compras'!D4:Q""), 13, 0), """")"),"NACIONAL")</f>
        <v>NACIONAL</v>
      </c>
      <c r="AB505" s="32" t="str">
        <f>IFERROR(__xludf.DUMMYFUNCTION("IFERROR(VLOOKUP(G505,IMPORTRANGE(""https://docs.google.com/spreadsheets/d/12RxCea4e5ggM7QGn1XE3FbLQa_-QbCNdBi90OdPjRqg"", ""'Plan de Compras'!D4:Q""), 14, 0), """")"),"ANGIE")</f>
        <v>ANGIE</v>
      </c>
      <c r="AC505" s="72" t="str">
        <f>IFERROR(__xludf.DUMMYFUNCTION("IFERROR(VLOOKUP(G505,IMPORTRANGE(""https://docs.google.com/spreadsheets/d/12RxCea4e5ggM7QGn1XE3FbLQa_-QbCNdBi90OdPjRqg"", ""'Plan de Compras'!D4:Q""), 4, 0), """")"),"BANDEJA DE ACERO 32 CM X 22 CM X 5 CM (1 UND)")</f>
        <v>BANDEJA DE ACERO 32 CM X 22 CM X 5 CM (1 UND)</v>
      </c>
      <c r="AD505" s="37" t="str">
        <f>IFERROR(__xludf.DUMMYFUNCTION("IFERROR(IF(OR(C505=TRUE,C505=""""),VLOOKUP(G505,IMPORTRANGE(""https://docs.google.com/spreadsheets/d/1z9A1Wq-kKrhRNG5RS2a2fKpY1wIhSVz2ZNmP2mOl588/edit?usp=sharing"",""REQ VF!E4:H""),4,0),""NO APLICA""),""GENERAR REQ"")"),"GENERAR REQ")</f>
        <v>GENERAR REQ</v>
      </c>
      <c r="AE505" s="32" t="str">
        <f>IFERROR(__xludf.DUMMYFUNCTION("IFERROR(QUERY(IMPORTRANGE(""https://docs.google.com/spreadsheets/d/1z9A1Wq-kKrhRNG5RS2a2fKpY1wIhSVz2ZNmP2mOl588/edit?usp=sharing"",""REQ VF!E4:Q""),""SELECT Col10, Col11, Col12 WHERE Col1 = '""&amp;G505&amp;""'"",0),""NO APLICA"")"),"NO APLICA")</f>
        <v>NO APLICA</v>
      </c>
      <c r="AF505" s="32"/>
      <c r="AG505" s="32"/>
      <c r="AH505" s="13"/>
      <c r="AI505" s="13"/>
    </row>
    <row r="506">
      <c r="A506" s="121">
        <v>304.0</v>
      </c>
      <c r="B506" s="43" t="b">
        <v>1</v>
      </c>
      <c r="C506" s="26" t="b">
        <v>1</v>
      </c>
      <c r="D506" s="26" t="s">
        <v>35</v>
      </c>
      <c r="E506" s="26" t="s">
        <v>1510</v>
      </c>
      <c r="F506" s="59" t="s">
        <v>3321</v>
      </c>
      <c r="G506" s="37" t="s">
        <v>3321</v>
      </c>
      <c r="H506" s="82" t="s">
        <v>3322</v>
      </c>
      <c r="I506" s="43">
        <f>SUMIFS('Hoja 10'!$O:$O,'Hoja 10'!$F:$F,$G506)</f>
        <v>16</v>
      </c>
      <c r="J506" s="26">
        <f>IFERROR(__xludf.DUMMYFUNCTION("VLOOKUP(G506,IMPORTRANGE(""https://docs.google.com/spreadsheets/d/12RxCea4e5ggM7QGn1XE3FbLQa_-QbCNdBi90OdPjRqg/edit?gid=1692403370#gid=1692403370"", ""'Plan de Compras'!D4:2432""), 8,0)"),16.0)</f>
        <v>16</v>
      </c>
      <c r="K506" s="26" t="str">
        <f t="shared" si="40"/>
        <v>SI</v>
      </c>
      <c r="L506" s="29" t="s">
        <v>296</v>
      </c>
      <c r="M506" s="30" t="s">
        <v>297</v>
      </c>
      <c r="N506" s="32"/>
      <c r="O506" s="32" t="str">
        <f>VLOOKUP($G506,'Hoja 10'!$F$4:$AA1057, 19,0)</f>
        <v>3M</v>
      </c>
      <c r="P506" s="32" t="str">
        <f>VLOOKUP($G506,'Hoja 10'!$F$4:$AA1057, 20,0)</f>
        <v>Serie 6000</v>
      </c>
      <c r="Q506" s="33" t="str">
        <f>VLOOKUP($G506,'Hoja 10'!$F$4:$AA1057, 21,0)</f>
        <v>https://gemplers.com/products/3m-6000-series-half-mask-kit-with-pesticide-organic-vapor-p100-filter-cartridges?srsltid=AfmBOoq8BRT_byH9CVorP0aWiKVDrShrNl4PBQyHS9gOiiQVezukq0-J&amp;utm_source=chatgpt.com</v>
      </c>
      <c r="R506" s="30" t="s">
        <v>3323</v>
      </c>
      <c r="S506" s="44" t="b">
        <v>1</v>
      </c>
      <c r="T506" s="39" t="str">
        <f>IFERROR(__xludf.DUMMYFUNCTION(" IF
( VLOOKUP($G506,IMPORTRANGE(""https://docs.google.com/spreadsheets/d/1Gpl6jkTg7sL4VDNimUm3S9Vi1i95esohXCF3wuKOE8c"", ""'CONSOLIDADO'!G5:AB""), 10, 0) &lt;&gt; 0, 
IFERROR(VLOOKUP($G506,IMPORTRANGE(""https://docs.google.com/spreadsheets/d/1Gpl6jkTg7sL4VDNimU"&amp;"m3S9Vi1i95esohXCF3wuKOE8c"", ""'CONSOLIDADO'!G5:AB""), 17, 0), ""-""),
""""
)"),"3M")</f>
        <v>3M</v>
      </c>
      <c r="U506" s="39" t="str">
        <f>IFERROR(__xludf.DUMMYFUNCTION(" IF
( VLOOKUP($G506,IMPORTRANGE(""https://docs.google.com/spreadsheets/d/1Gpl6jkTg7sL4VDNimUm3S9Vi1i95esohXCF3wuKOE8c"", ""'CONSOLIDADO'!G5:AB""), 10, 0) &lt;&gt; 0, 
IFERROR(VLOOKUP($G506,IMPORTRANGE(""https://docs.google.com/spreadsheets/d/1Gpl6jkTg7sL4VDNimU"&amp;"m3S9Vi1i95esohXCF3wuKOE8c"", ""'CONSOLIDADO'!G5:AB""), 18, 0), ""-""),
""""
)"),"6200 M")</f>
        <v>6200 M</v>
      </c>
      <c r="V506" s="39" t="str">
        <f>IFERROR(__xludf.DUMMYFUNCTION(" IF
( VLOOKUP($G506,IMPORTRANGE(""https://docs.google.com/spreadsheets/d/1Gpl6jkTg7sL4VDNimUm3S9Vi1i95esohXCF3wuKOE8c"", ""'CONSOLIDADO'!G5:AB""), 10, 0) &lt;&gt; 0, 
IFERROR(VLOOKUP($G506,IMPORTRANGE(""https://docs.google.com/spreadsheets/d/1Gpl6jkTg7sL4VDNimU"&amp;"m3S9Vi1i95esohXCF3wuKOE8c"", ""'CONSOLIDADO'!G5:AB""), 17, 0), ""-""),
""""
)"),"3M")</f>
        <v>3M</v>
      </c>
      <c r="W506" s="39" t="str">
        <f>IFERROR(__xludf.DUMMYFUNCTION(" IF
( VLOOKUP($G506,IMPORTRANGE(""https://docs.google.com/spreadsheets/d/1Gpl6jkTg7sL4VDNimUm3S9Vi1i95esohXCF3wuKOE8c"", ""'CONSOLIDADO'!G5:AB""), 10, 0) &lt;&gt; 0, 
IFERROR(VLOOKUP($G506,IMPORTRANGE(""https://docs.google.com/spreadsheets/d/1Gpl6jkTg7sL4VDNimU"&amp;"m3S9Vi1i95esohXCF3wuKOE8c"", ""'CONSOLIDADO'!G5:AB""), 18, 0), ""-""),
""""
)"),"6200 M")</f>
        <v>6200 M</v>
      </c>
      <c r="X506" s="39" t="b">
        <f t="shared" ref="X506:X526" si="55">IF(AND(T506=V506,W506=U506),TRUE,FALSE)</f>
        <v>1</v>
      </c>
      <c r="Y506" s="120" t="str">
        <f>IFERROR(__xludf.DUMMYFUNCTION(" IF
( VLOOKUP($G506,IMPORTRANGE(""https://docs.google.com/spreadsheets/d/1Gpl6jkTg7sL4VDNimUm3S9Vi1i95esohXCF3wuKOE8c"", ""'CONSOLIDADO'!G5:AB""), 10, 0) &lt;&gt; 0, 
IFERROR(VLOOKUP($G506,IMPORTRANGE(""https://docs.google.com/spreadsheets/d/1Gpl6jkTg7sL4VDNimU"&amp;"m3S9Vi1i95esohXCF3wuKOE8c"", ""'CONSOLIDADO'!G5:AB""), 19, 0), ""-""),
""""
)"),"https://www.promart.pe/respirador-media-cara-2-vias-con-filtros-p-vapores-gases-y-particulas-3m/p?gad_source=1&amp;gad_campaignid=22581639037&amp;gbraid=0AAAAADJIfALAcyjroPZU3sM9DjCIzWgVV&amp;gclid=CjwKC...")</f>
        <v>https://www.promart.pe/respirador-media-cara-2-vias-con-filtros-p-vapores-gases-y-particulas-3m/p?gad_source=1&amp;gad_campaignid=22581639037&amp;gbraid=0AAAAADJIfALAcyjroPZU3sM9DjCIzWgVV&amp;gclid=CjwKC...</v>
      </c>
      <c r="Z506" s="37" t="str">
        <f>IFERROR(__xludf.DUMMYFUNCTION("IFERROR(VLOOKUP(G506,IMPORTRANGE(""https://docs.google.com/spreadsheets/d/12RxCea4e5ggM7QGn1XE3FbLQa_-QbCNdBi90OdPjRqg"", ""'Plan de Compras'!D4:Q""), 12, 0), ""NO ESTÁ EN REQ"")"),"Técnica")</f>
        <v>Técnica</v>
      </c>
      <c r="AA506" s="37" t="str">
        <f>IFERROR(__xludf.DUMMYFUNCTION("IFERROR(VLOOKUP(G506,IMPORTRANGE(""https://docs.google.com/spreadsheets/d/12RxCea4e5ggM7QGn1XE3FbLQa_-QbCNdBi90OdPjRqg"", ""'Plan de Compras'!D4:Q""), 13, 0), """")"),"NACIONAL")</f>
        <v>NACIONAL</v>
      </c>
      <c r="AB506" s="32" t="str">
        <f>IFERROR(__xludf.DUMMYFUNCTION("IFERROR(VLOOKUP(G506,IMPORTRANGE(""https://docs.google.com/spreadsheets/d/12RxCea4e5ggM7QGn1XE3FbLQa_-QbCNdBi90OdPjRqg"", ""'Plan de Compras'!D4:Q""), 14, 0), """")"),"JESSICA")</f>
        <v>JESSICA</v>
      </c>
      <c r="AC506" s="72" t="str">
        <f>IFERROR(__xludf.DUMMYFUNCTION("IFERROR(VLOOKUP(G506,IMPORTRANGE(""https://docs.google.com/spreadsheets/d/12RxCea4e5ggM7QGn1XE3FbLQa_-QbCNdBi90OdPjRqg"", ""'Plan de Compras'!D4:Q""), 4, 0), """")"),"KIT RESPIRADOR")</f>
        <v>KIT RESPIRADOR</v>
      </c>
      <c r="AD506" s="37" t="str">
        <f>IFERROR(__xludf.DUMMYFUNCTION("IFERROR(IF(OR(C506=TRUE,C506=""""),VLOOKUP(G506,IMPORTRANGE(""https://docs.google.com/spreadsheets/d/1z9A1Wq-kKrhRNG5RS2a2fKpY1wIhSVz2ZNmP2mOl588/edit?usp=sharing"",""REQ VF!E4:H""),4,0),""NO APLICA""),""GENERAR REQ"")"),"GENERAR REQ")</f>
        <v>GENERAR REQ</v>
      </c>
      <c r="AE506" s="32" t="str">
        <f>IFERROR(__xludf.DUMMYFUNCTION("IFERROR(QUERY(IMPORTRANGE(""https://docs.google.com/spreadsheets/d/1z9A1Wq-kKrhRNG5RS2a2fKpY1wIhSVz2ZNmP2mOl588/edit?usp=sharing"",""REQ VF!E4:Q""),""SELECT Col10, Col11, Col12 WHERE Col1 = '""&amp;G506&amp;""'"",0),""NO APLICA"")"),"NO APLICA")</f>
        <v>NO APLICA</v>
      </c>
      <c r="AF506" s="32"/>
      <c r="AG506" s="32"/>
      <c r="AH506" s="13"/>
      <c r="AI506" s="13"/>
    </row>
    <row r="507">
      <c r="A507" s="117">
        <v>305.0</v>
      </c>
      <c r="B507" s="43" t="b">
        <v>1</v>
      </c>
      <c r="C507" s="26" t="b">
        <v>1</v>
      </c>
      <c r="D507" s="26" t="s">
        <v>35</v>
      </c>
      <c r="E507" s="26" t="s">
        <v>1510</v>
      </c>
      <c r="F507" s="59" t="s">
        <v>3324</v>
      </c>
      <c r="G507" s="37" t="s">
        <v>3324</v>
      </c>
      <c r="H507" s="82" t="s">
        <v>3325</v>
      </c>
      <c r="I507" s="43">
        <f>SUMIFS('Hoja 10'!$O:$O,'Hoja 10'!$F:$F,$G507)</f>
        <v>16</v>
      </c>
      <c r="J507" s="26">
        <f>IFERROR(__xludf.DUMMYFUNCTION("VLOOKUP(G507,IMPORTRANGE(""https://docs.google.com/spreadsheets/d/12RxCea4e5ggM7QGn1XE3FbLQa_-QbCNdBi90OdPjRqg/edit?gid=1692403370#gid=1692403370"", ""'Plan de Compras'!D4:2432""), 8,0)"),16.0)</f>
        <v>16</v>
      </c>
      <c r="K507" s="26" t="str">
        <f t="shared" si="40"/>
        <v>SI</v>
      </c>
      <c r="L507" s="29" t="s">
        <v>296</v>
      </c>
      <c r="M507" s="30" t="s">
        <v>297</v>
      </c>
      <c r="N507" s="32"/>
      <c r="O507" s="39" t="str">
        <f>VLOOKUP($G507,'Hoja 10'!$F$4:$AA1057, 19,0)</f>
        <v>3M</v>
      </c>
      <c r="P507" s="32" t="str">
        <f>VLOOKUP($G507,'Hoja 10'!$F$4:$AA1057, 20,0)</f>
        <v>Contra impacto y quimicos</v>
      </c>
      <c r="Q507" s="120" t="s">
        <v>2296</v>
      </c>
      <c r="R507" s="30" t="s">
        <v>3326</v>
      </c>
      <c r="S507" s="44" t="b">
        <v>1</v>
      </c>
      <c r="T507" s="61" t="s">
        <v>303</v>
      </c>
      <c r="U507" s="61">
        <v>14220.0</v>
      </c>
      <c r="V507" s="39" t="str">
        <f>IFERROR(__xludf.DUMMYFUNCTION(" IF
( VLOOKUP($G507,IMPORTRANGE(""https://docs.google.com/spreadsheets/d/1Gpl6jkTg7sL4VDNimUm3S9Vi1i95esohXCF3wuKOE8c"", ""'CONSOLIDADO'!G5:AB""), 10, 0) &lt;&gt; 0, 
IFERROR(VLOOKUP($G507,IMPORTRANGE(""https://docs.google.com/spreadsheets/d/1Gpl6jkTg7sL4VDNimU"&amp;"m3S9Vi1i95esohXCF3wuKOE8c"", ""'CONSOLIDADO'!G5:AB""), 17, 0), ""-""),
""""
)"),"TRUPER")</f>
        <v>TRUPER</v>
      </c>
      <c r="W507" s="39">
        <f>IFERROR(__xludf.DUMMYFUNCTION(" IF
( VLOOKUP($G507,IMPORTRANGE(""https://docs.google.com/spreadsheets/d/1Gpl6jkTg7sL4VDNimUm3S9Vi1i95esohXCF3wuKOE8c"", ""'CONSOLIDADO'!G5:AB""), 10, 0) &lt;&gt; 0, 
IFERROR(VLOOKUP($G507,IMPORTRANGE(""https://docs.google.com/spreadsheets/d/1Gpl6jkTg7sL4VDNimU"&amp;"m3S9Vi1i95esohXCF3wuKOE8c"", ""'CONSOLIDADO'!G5:AB""), 18, 0), ""-""),
""""
)"),14220.0)</f>
        <v>14220</v>
      </c>
      <c r="X507" s="39" t="b">
        <f t="shared" si="55"/>
        <v>1</v>
      </c>
      <c r="Y507" s="136" t="s">
        <v>3327</v>
      </c>
      <c r="Z507" s="37" t="str">
        <f>IFERROR(__xludf.DUMMYFUNCTION("IFERROR(VLOOKUP(G507,IMPORTRANGE(""https://docs.google.com/spreadsheets/d/12RxCea4e5ggM7QGn1XE3FbLQa_-QbCNdBi90OdPjRqg"", ""'Plan de Compras'!D4:Q""), 12, 0), ""NO ESTÁ EN REQ"")"),"Simple")</f>
        <v>Simple</v>
      </c>
      <c r="AA507" s="37" t="str">
        <f>IFERROR(__xludf.DUMMYFUNCTION("IFERROR(VLOOKUP(G507,IMPORTRANGE(""https://docs.google.com/spreadsheets/d/12RxCea4e5ggM7QGn1XE3FbLQa_-QbCNdBi90OdPjRqg"", ""'Plan de Compras'!D4:Q""), 13, 0), """")"),"NACIONAL")</f>
        <v>NACIONAL</v>
      </c>
      <c r="AB507" s="32" t="str">
        <f>IFERROR(__xludf.DUMMYFUNCTION("IFERROR(VLOOKUP(G507,IMPORTRANGE(""https://docs.google.com/spreadsheets/d/12RxCea4e5ggM7QGn1XE3FbLQa_-QbCNdBi90OdPjRqg"", ""'Plan de Compras'!D4:Q""), 14, 0), """")"),"DIANA")</f>
        <v>DIANA</v>
      </c>
      <c r="AC507" s="72" t="str">
        <f>IFERROR(__xludf.DUMMYFUNCTION("IFERROR(VLOOKUP(G507,IMPORTRANGE(""https://docs.google.com/spreadsheets/d/12RxCea4e5ggM7QGn1XE3FbLQa_-QbCNdBi90OdPjRqg"", ""'Plan de Compras'!D4:Q""), 4, 0), """")"),"LENTES DE PROTECCIÓN DE PLÁSTICO")</f>
        <v>LENTES DE PROTECCIÓN DE PLÁSTICO</v>
      </c>
      <c r="AD507" s="37" t="str">
        <f>IFERROR(__xludf.DUMMYFUNCTION("IFERROR(IF(OR(C507=TRUE,C507=""""),VLOOKUP(G507,IMPORTRANGE(""https://docs.google.com/spreadsheets/d/1z9A1Wq-kKrhRNG5RS2a2fKpY1wIhSVz2ZNmP2mOl588/edit?usp=sharing"",""REQ VF!E4:H""),4,0),""NO APLICA""),""GENERAR REQ"")"),"GENERAR REQ")</f>
        <v>GENERAR REQ</v>
      </c>
      <c r="AE507" s="32" t="str">
        <f>IFERROR(__xludf.DUMMYFUNCTION("IFERROR(QUERY(IMPORTRANGE(""https://docs.google.com/spreadsheets/d/1z9A1Wq-kKrhRNG5RS2a2fKpY1wIhSVz2ZNmP2mOl588/edit?usp=sharing"",""REQ VF!E4:Q""),""SELECT Col10, Col11, Col12 WHERE Col1 = '""&amp;G507&amp;""'"",0),""NO APLICA"")"),"NO APLICA")</f>
        <v>NO APLICA</v>
      </c>
      <c r="AF507" s="32"/>
      <c r="AG507" s="32"/>
      <c r="AH507" s="8" t="s">
        <v>52</v>
      </c>
      <c r="AI507" s="13"/>
    </row>
    <row r="508">
      <c r="A508" s="117">
        <v>306.0</v>
      </c>
      <c r="B508" s="43" t="b">
        <v>1</v>
      </c>
      <c r="C508" s="26" t="b">
        <v>1</v>
      </c>
      <c r="D508" s="26" t="s">
        <v>35</v>
      </c>
      <c r="E508" s="26" t="s">
        <v>1510</v>
      </c>
      <c r="F508" s="59" t="s">
        <v>3328</v>
      </c>
      <c r="G508" s="37" t="s">
        <v>3329</v>
      </c>
      <c r="H508" s="82" t="s">
        <v>3330</v>
      </c>
      <c r="I508" s="43">
        <f>SUMIFS('Hoja 10'!$O:$O,'Hoja 10'!$F:$F,$G508)</f>
        <v>42</v>
      </c>
      <c r="J508" s="26">
        <f>IFERROR(__xludf.DUMMYFUNCTION("VLOOKUP(G508,IMPORTRANGE(""https://docs.google.com/spreadsheets/d/12RxCea4e5ggM7QGn1XE3FbLQa_-QbCNdBi90OdPjRqg/edit?gid=1692403370#gid=1692403370"", ""'Plan de Compras'!D4:2432""), 8,0)"),42.0)</f>
        <v>42</v>
      </c>
      <c r="K508" s="26" t="str">
        <f t="shared" si="40"/>
        <v>SI</v>
      </c>
      <c r="L508" s="29" t="s">
        <v>296</v>
      </c>
      <c r="M508" s="30" t="s">
        <v>297</v>
      </c>
      <c r="N508" s="32"/>
      <c r="O508" s="32" t="str">
        <f>VLOOKUP($G508,'Hoja 10'!$F$4:$AA1057, 19,0)</f>
        <v>3M</v>
      </c>
      <c r="P508" s="32">
        <f>VLOOKUP($G508,'Hoja 10'!$F$4:$AA1057, 20,0)</f>
        <v>113307451</v>
      </c>
      <c r="Q508" s="33" t="str">
        <f>VLOOKUP($G508,'Hoja 10'!$F$4:$AA1057, 21,0)</f>
        <v>https://sodimac.falabella.com.pe/sodimac-pe/product/113307449/3M-Lentes-de-Seguridad-Clasico/113307451</v>
      </c>
      <c r="R508" s="30" t="s">
        <v>3331</v>
      </c>
      <c r="S508" s="44" t="b">
        <v>1</v>
      </c>
      <c r="T508" s="39" t="s">
        <v>3332</v>
      </c>
      <c r="U508" s="39" t="s">
        <v>3333</v>
      </c>
      <c r="V508" s="39" t="str">
        <f>IFERROR(__xludf.DUMMYFUNCTION(" IF
( VLOOKUP($G508,IMPORTRANGE(""https://docs.google.com/spreadsheets/d/1Gpl6jkTg7sL4VDNimUm3S9Vi1i95esohXCF3wuKOE8c"", ""'CONSOLIDADO'!G5:AB""), 10, 0) &lt;&gt; 0, 
IFERROR(VLOOKUP($G508,IMPORTRANGE(""https://docs.google.com/spreadsheets/d/1Gpl6jkTg7sL4VDNimU"&amp;"m3S9Vi1i95esohXCF3wuKOE8c"", ""'CONSOLIDADO'!G5:AB""), 17, 0), ""-""),
""""
)"),"STEELPRO")</f>
        <v>STEELPRO</v>
      </c>
      <c r="W508" s="39" t="str">
        <f>IFERROR(__xludf.DUMMYFUNCTION(" IF
( VLOOKUP($G508,IMPORTRANGE(""https://docs.google.com/spreadsheets/d/1Gpl6jkTg7sL4VDNimUm3S9Vi1i95esohXCF3wuKOE8c"", ""'CONSOLIDADO'!G5:AB""), 10, 0) &lt;&gt; 0, 
IFERROR(VLOOKUP($G508,IMPORTRANGE(""https://docs.google.com/spreadsheets/d/1Gpl6jkTg7sL4VDNimU"&amp;"m3S9Vi1i95esohXCF3wuKOE8c"", ""'CONSOLIDADO'!G5:AB""), 18, 0), ""-""),
""""
)"),"Nitro")</f>
        <v>Nitro</v>
      </c>
      <c r="X508" s="39" t="b">
        <f t="shared" si="55"/>
        <v>1</v>
      </c>
      <c r="Y508" s="120" t="s">
        <v>2296</v>
      </c>
      <c r="Z508" s="37" t="str">
        <f>IFERROR(__xludf.DUMMYFUNCTION("IFERROR(VLOOKUP(G508,IMPORTRANGE(""https://docs.google.com/spreadsheets/d/12RxCea4e5ggM7QGn1XE3FbLQa_-QbCNdBi90OdPjRqg"", ""'Plan de Compras'!D4:Q""), 12, 0), ""NO ESTÁ EN REQ"")"),"Simple")</f>
        <v>Simple</v>
      </c>
      <c r="AA508" s="37" t="str">
        <f>IFERROR(__xludf.DUMMYFUNCTION("IFERROR(VLOOKUP(G508,IMPORTRANGE(""https://docs.google.com/spreadsheets/d/12RxCea4e5ggM7QGn1XE3FbLQa_-QbCNdBi90OdPjRqg"", ""'Plan de Compras'!D4:Q""), 13, 0), """")"),"NACIONAL")</f>
        <v>NACIONAL</v>
      </c>
      <c r="AB508" s="32" t="str">
        <f>IFERROR(__xludf.DUMMYFUNCTION("IFERROR(VLOOKUP(G508,IMPORTRANGE(""https://docs.google.com/spreadsheets/d/12RxCea4e5ggM7QGn1XE3FbLQa_-QbCNdBi90OdPjRqg"", ""'Plan de Compras'!D4:Q""), 14, 0), """")"),"DIANA")</f>
        <v>DIANA</v>
      </c>
      <c r="AC508" s="72" t="str">
        <f>IFERROR(__xludf.DUMMYFUNCTION("IFERROR(VLOOKUP(G508,IMPORTRANGE(""https://docs.google.com/spreadsheets/d/12RxCea4e5ggM7QGn1XE3FbLQa_-QbCNdBi90OdPjRqg"", ""'Plan de Compras'!D4:Q""), 4, 0), """")"),"LENTES DE PROTECCIÓN DE POLICARBONATO")</f>
        <v>LENTES DE PROTECCIÓN DE POLICARBONATO</v>
      </c>
      <c r="AD508" s="37" t="str">
        <f>IFERROR(__xludf.DUMMYFUNCTION("IFERROR(IF(OR(C508=TRUE,C508=""""),VLOOKUP(G508,IMPORTRANGE(""https://docs.google.com/spreadsheets/d/1z9A1Wq-kKrhRNG5RS2a2fKpY1wIhSVz2ZNmP2mOl588/edit?usp=sharing"",""REQ VF!E4:H""),4,0),""NO APLICA""),""GENERAR REQ"")"),"GENERAR REQ")</f>
        <v>GENERAR REQ</v>
      </c>
      <c r="AE508" s="32" t="str">
        <f>IFERROR(__xludf.DUMMYFUNCTION("IFERROR(QUERY(IMPORTRANGE(""https://docs.google.com/spreadsheets/d/1z9A1Wq-kKrhRNG5RS2a2fKpY1wIhSVz2ZNmP2mOl588/edit?usp=sharing"",""REQ VF!E4:Q""),""SELECT Col10, Col11, Col12 WHERE Col1 = '""&amp;G508&amp;""'"",0),""NO APLICA"")"),"NO APLICA")</f>
        <v>NO APLICA</v>
      </c>
      <c r="AF508" s="32"/>
      <c r="AG508" s="32"/>
      <c r="AH508" s="8" t="s">
        <v>52</v>
      </c>
      <c r="AI508" s="13"/>
    </row>
    <row r="509">
      <c r="A509" s="121">
        <v>307.0</v>
      </c>
      <c r="B509" s="43" t="b">
        <v>1</v>
      </c>
      <c r="C509" s="26" t="b">
        <v>1</v>
      </c>
      <c r="D509" s="26" t="s">
        <v>35</v>
      </c>
      <c r="E509" s="26" t="s">
        <v>1510</v>
      </c>
      <c r="F509" s="59" t="s">
        <v>3328</v>
      </c>
      <c r="G509" s="37" t="s">
        <v>3334</v>
      </c>
      <c r="H509" s="82" t="s">
        <v>3330</v>
      </c>
      <c r="I509" s="43">
        <f>SUMIFS('Hoja 10'!$O:$O,'Hoja 10'!$F:$F,$G509)</f>
        <v>63</v>
      </c>
      <c r="J509" s="26">
        <f>IFERROR(__xludf.DUMMYFUNCTION("VLOOKUP(G509,IMPORTRANGE(""https://docs.google.com/spreadsheets/d/12RxCea4e5ggM7QGn1XE3FbLQa_-QbCNdBi90OdPjRqg/edit?gid=1692403370#gid=1692403370"", ""'Plan de Compras'!D4:2432""), 8,0)"),63.0)</f>
        <v>63</v>
      </c>
      <c r="K509" s="26" t="str">
        <f t="shared" si="40"/>
        <v>SI</v>
      </c>
      <c r="L509" s="29" t="s">
        <v>127</v>
      </c>
      <c r="M509" s="30" t="s">
        <v>105</v>
      </c>
      <c r="N509" s="32"/>
      <c r="O509" s="32" t="str">
        <f>VLOOKUP($G509,'Hoja 10'!$F$4:$AA1057, 19,0)</f>
        <v>3M</v>
      </c>
      <c r="P509" s="32">
        <f>VLOOKUP($G509,'Hoja 10'!$F$4:$AA1057, 20,0)</f>
        <v>113307451</v>
      </c>
      <c r="Q509" s="33" t="str">
        <f>VLOOKUP($G509,'Hoja 10'!$F$4:$AA1057, 21,0)</f>
        <v>https://sodimac.falabella.com.pe/sodimac-pe/product/113307449/Lentes-de-Seguridad-3M-Clasico/113307451</v>
      </c>
      <c r="R509" s="30" t="s">
        <v>3335</v>
      </c>
      <c r="S509" s="44" t="b">
        <v>1</v>
      </c>
      <c r="T509" s="39" t="s">
        <v>3332</v>
      </c>
      <c r="U509" s="39" t="s">
        <v>3333</v>
      </c>
      <c r="V509" s="39" t="str">
        <f>IFERROR(__xludf.DUMMYFUNCTION(" IF
( VLOOKUP($G509,IMPORTRANGE(""https://docs.google.com/spreadsheets/d/1Gpl6jkTg7sL4VDNimUm3S9Vi1i95esohXCF3wuKOE8c"", ""'CONSOLIDADO'!G5:AB""), 10, 0) &lt;&gt; 0, 
IFERROR(VLOOKUP($G509,IMPORTRANGE(""https://docs.google.com/spreadsheets/d/1Gpl6jkTg7sL4VDNimU"&amp;"m3S9Vi1i95esohXCF3wuKOE8c"", ""'CONSOLIDADO'!G5:AB""), 17, 0), ""-""),
""""
)"),"STEELPRO")</f>
        <v>STEELPRO</v>
      </c>
      <c r="W509" s="39" t="str">
        <f>IFERROR(__xludf.DUMMYFUNCTION(" IF
( VLOOKUP($G509,IMPORTRANGE(""https://docs.google.com/spreadsheets/d/1Gpl6jkTg7sL4VDNimUm3S9Vi1i95esohXCF3wuKOE8c"", ""'CONSOLIDADO'!G5:AB""), 10, 0) &lt;&gt; 0, 
IFERROR(VLOOKUP($G509,IMPORTRANGE(""https://docs.google.com/spreadsheets/d/1Gpl6jkTg7sL4VDNimU"&amp;"m3S9Vi1i95esohXCF3wuKOE8c"", ""'CONSOLIDADO'!G5:AB""), 18, 0), ""-""),
""""
)"),"Nitro")</f>
        <v>Nitro</v>
      </c>
      <c r="X509" s="39" t="b">
        <f t="shared" si="55"/>
        <v>1</v>
      </c>
      <c r="Y509" s="120" t="s">
        <v>2296</v>
      </c>
      <c r="Z509" s="37" t="str">
        <f>IFERROR(__xludf.DUMMYFUNCTION("IFERROR(VLOOKUP(G509,IMPORTRANGE(""https://docs.google.com/spreadsheets/d/12RxCea4e5ggM7QGn1XE3FbLQa_-QbCNdBi90OdPjRqg"", ""'Plan de Compras'!D4:Q""), 12, 0), ""NO ESTÁ EN REQ"")"),"Simple")</f>
        <v>Simple</v>
      </c>
      <c r="AA509" s="37" t="str">
        <f>IFERROR(__xludf.DUMMYFUNCTION("IFERROR(VLOOKUP(G509,IMPORTRANGE(""https://docs.google.com/spreadsheets/d/12RxCea4e5ggM7QGn1XE3FbLQa_-QbCNdBi90OdPjRqg"", ""'Plan de Compras'!D4:Q""), 13, 0), """")"),"NACIONAL")</f>
        <v>NACIONAL</v>
      </c>
      <c r="AB509" s="32" t="str">
        <f>IFERROR(__xludf.DUMMYFUNCTION("IFERROR(VLOOKUP(G509,IMPORTRANGE(""https://docs.google.com/spreadsheets/d/12RxCea4e5ggM7QGn1XE3FbLQa_-QbCNdBi90OdPjRqg"", ""'Plan de Compras'!D4:Q""), 14, 0), """")"),"DIANA")</f>
        <v>DIANA</v>
      </c>
      <c r="AC509" s="72" t="str">
        <f>IFERROR(__xludf.DUMMYFUNCTION("IFERROR(VLOOKUP(G509,IMPORTRANGE(""https://docs.google.com/spreadsheets/d/12RxCea4e5ggM7QGn1XE3FbLQa_-QbCNdBi90OdPjRqg"", ""'Plan de Compras'!D4:Q""), 4, 0), """")"),"LENTES DE PROTECCIÓN DE POLICARBONATO")</f>
        <v>LENTES DE PROTECCIÓN DE POLICARBONATO</v>
      </c>
      <c r="AD509" s="37" t="str">
        <f>IFERROR(__xludf.DUMMYFUNCTION("IFERROR(IF(OR(C509=TRUE,C509=""""),VLOOKUP(G509,IMPORTRANGE(""https://docs.google.com/spreadsheets/d/1z9A1Wq-kKrhRNG5RS2a2fKpY1wIhSVz2ZNmP2mOl588/edit?usp=sharing"",""REQ VF!E4:H""),4,0),""NO APLICA""),""GENERAR REQ"")"),"GENERAR REQ")</f>
        <v>GENERAR REQ</v>
      </c>
      <c r="AE509" s="32" t="str">
        <f>IFERROR(__xludf.DUMMYFUNCTION("IFERROR(QUERY(IMPORTRANGE(""https://docs.google.com/spreadsheets/d/1z9A1Wq-kKrhRNG5RS2a2fKpY1wIhSVz2ZNmP2mOl588/edit?usp=sharing"",""REQ VF!E4:Q""),""SELECT Col10, Col11, Col12 WHERE Col1 = '""&amp;G509&amp;""'"",0),""NO APLICA"")"),"NO APLICA")</f>
        <v>NO APLICA</v>
      </c>
      <c r="AF509" s="32"/>
      <c r="AG509" s="32"/>
      <c r="AH509" s="8" t="s">
        <v>52</v>
      </c>
      <c r="AI509" s="13"/>
    </row>
    <row r="510">
      <c r="A510" s="121">
        <v>308.0</v>
      </c>
      <c r="B510" s="43" t="b">
        <v>1</v>
      </c>
      <c r="C510" s="26" t="b">
        <v>1</v>
      </c>
      <c r="D510" s="26" t="s">
        <v>35</v>
      </c>
      <c r="E510" s="26" t="s">
        <v>1510</v>
      </c>
      <c r="F510" s="59" t="s">
        <v>3336</v>
      </c>
      <c r="G510" s="37" t="s">
        <v>3336</v>
      </c>
      <c r="H510" s="82" t="s">
        <v>3337</v>
      </c>
      <c r="I510" s="43">
        <f>SUMIFS('Hoja 10'!$O:$O,'Hoja 10'!$F:$F,$G510)</f>
        <v>16</v>
      </c>
      <c r="J510" s="26">
        <f>IFERROR(__xludf.DUMMYFUNCTION("VLOOKUP(G510,IMPORTRANGE(""https://docs.google.com/spreadsheets/d/12RxCea4e5ggM7QGn1XE3FbLQa_-QbCNdBi90OdPjRqg/edit?gid=1692403370#gid=1692403370"", ""'Plan de Compras'!D4:2432""), 8,0)"),16.0)</f>
        <v>16</v>
      </c>
      <c r="K510" s="26" t="str">
        <f t="shared" si="40"/>
        <v>SI</v>
      </c>
      <c r="L510" s="29" t="s">
        <v>39</v>
      </c>
      <c r="M510" s="30" t="s">
        <v>40</v>
      </c>
      <c r="N510" s="32"/>
      <c r="O510" s="32" t="str">
        <f>VLOOKUP($G510,'Hoja 10'!$F$4:$AA1057, 19,0)</f>
        <v>TAUBER</v>
      </c>
      <c r="P510" s="32" t="str">
        <f>VLOOKUP($G510,'Hoja 10'!$F$4:$AA1057, 20,0)</f>
        <v>JUEGO DE LIRAS</v>
      </c>
      <c r="Q510" s="33" t="str">
        <f>VLOOKUP($G510,'Hoja 10'!$F$4:$AA1057, 21,0)</f>
        <v>https://tauber.mx/producto/juego-de-liras/</v>
      </c>
      <c r="R510" s="30" t="s">
        <v>3338</v>
      </c>
      <c r="S510" s="44" t="b">
        <v>1</v>
      </c>
      <c r="T510" s="39" t="str">
        <f>IFERROR(__xludf.DUMMYFUNCTION(" IF
( VLOOKUP($G510,IMPORTRANGE(""https://docs.google.com/spreadsheets/d/1Gpl6jkTg7sL4VDNimUm3S9Vi1i95esohXCF3wuKOE8c"", ""'CONSOLIDADO'!G5:AB""), 10, 0) &lt;&gt; 0, 
IFERROR(VLOOKUP($G510,IMPORTRANGE(""https://docs.google.com/spreadsheets/d/1Gpl6jkTg7sL4VDNimU"&amp;"m3S9Vi1i95esohXCF3wuKOE8c"", ""'CONSOLIDADO'!G5:AB""), 17, 0), ""-""),
""""
)"),"TAUBER")</f>
        <v>TAUBER</v>
      </c>
      <c r="U510" s="39" t="str">
        <f>IFERROR(__xludf.DUMMYFUNCTION(" IF
( VLOOKUP($G510,IMPORTRANGE(""https://docs.google.com/spreadsheets/d/1Gpl6jkTg7sL4VDNimUm3S9Vi1i95esohXCF3wuKOE8c"", ""'CONSOLIDADO'!G5:AB""), 10, 0) &lt;&gt; 0, 
IFERROR(VLOOKUP($G510,IMPORTRANGE(""https://docs.google.com/spreadsheets/d/1Gpl6jkTg7sL4VDNimU"&amp;"m3S9Vi1i95esohXCF3wuKOE8c"", ""'CONSOLIDADO'!G5:AB""), 18, 0), ""-""),
""""
)")," LIRAS REAJUSTABLE (HORIZONTAL Y VERTICAL)")</f>
        <v> LIRAS REAJUSTABLE (HORIZONTAL Y VERTICAL)</v>
      </c>
      <c r="V510" s="39" t="str">
        <f>IFERROR(__xludf.DUMMYFUNCTION(" IF
( VLOOKUP($G510,IMPORTRANGE(""https://docs.google.com/spreadsheets/d/1Gpl6jkTg7sL4VDNimUm3S9Vi1i95esohXCF3wuKOE8c"", ""'CONSOLIDADO'!G5:AB""), 10, 0) &lt;&gt; 0, 
IFERROR(VLOOKUP($G510,IMPORTRANGE(""https://docs.google.com/spreadsheets/d/1Gpl6jkTg7sL4VDNimU"&amp;"m3S9Vi1i95esohXCF3wuKOE8c"", ""'CONSOLIDADO'!G5:AB""), 17, 0), ""-""),
""""
)"),"TAUBER")</f>
        <v>TAUBER</v>
      </c>
      <c r="W510" s="39" t="str">
        <f>IFERROR(__xludf.DUMMYFUNCTION(" IF
( VLOOKUP($G510,IMPORTRANGE(""https://docs.google.com/spreadsheets/d/1Gpl6jkTg7sL4VDNimUm3S9Vi1i95esohXCF3wuKOE8c"", ""'CONSOLIDADO'!G5:AB""), 10, 0) &lt;&gt; 0, 
IFERROR(VLOOKUP($G510,IMPORTRANGE(""https://docs.google.com/spreadsheets/d/1Gpl6jkTg7sL4VDNimU"&amp;"m3S9Vi1i95esohXCF3wuKOE8c"", ""'CONSOLIDADO'!G5:AB""), 18, 0), ""-""),
""""
)")," LIRAS REAJUSTABLE (HORIZONTAL Y VERTICAL)")</f>
        <v> LIRAS REAJUSTABLE (HORIZONTAL Y VERTICAL)</v>
      </c>
      <c r="X510" s="39" t="b">
        <f t="shared" si="55"/>
        <v>1</v>
      </c>
      <c r="Y510" s="120" t="str">
        <f>IFERROR(__xludf.DUMMYFUNCTION(" IF
( VLOOKUP($G510,IMPORTRANGE(""https://docs.google.com/spreadsheets/d/1Gpl6jkTg7sL4VDNimUm3S9Vi1i95esohXCF3wuKOE8c"", ""'CONSOLIDADO'!G5:AB""), 10, 0) &lt;&gt; 0, 
IFERROR(VLOOKUP($G510,IMPORTRANGE(""https://docs.google.com/spreadsheets/d/1Gpl6jkTg7sL4VDNimU"&amp;"m3S9Vi1i95esohXCF3wuKOE8c"", ""'CONSOLIDADO'!G5:AB""), 19, 0), ""-""),
""""
)"),"https://tauber.mx/producto/juego-de-liras/")</f>
        <v>https://tauber.mx/producto/juego-de-liras/</v>
      </c>
      <c r="Z510" s="37" t="str">
        <f>IFERROR(__xludf.DUMMYFUNCTION("IFERROR(VLOOKUP(G510,IMPORTRANGE(""https://docs.google.com/spreadsheets/d/12RxCea4e5ggM7QGn1XE3FbLQa_-QbCNdBi90OdPjRqg"", ""'Plan de Compras'!D4:Q""), 12, 0), ""NO ESTÁ EN REQ"")"),"Técnica")</f>
        <v>Técnica</v>
      </c>
      <c r="AA510" s="37" t="str">
        <f>IFERROR(__xludf.DUMMYFUNCTION("IFERROR(VLOOKUP(G510,IMPORTRANGE(""https://docs.google.com/spreadsheets/d/12RxCea4e5ggM7QGn1XE3FbLQa_-QbCNdBi90OdPjRqg"", ""'Plan de Compras'!D4:Q""), 13, 0), """")"),"NACIONAL")</f>
        <v>NACIONAL</v>
      </c>
      <c r="AB510" s="32" t="str">
        <f>IFERROR(__xludf.DUMMYFUNCTION("IFERROR(VLOOKUP(G510,IMPORTRANGE(""https://docs.google.com/spreadsheets/d/12RxCea4e5ggM7QGn1XE3FbLQa_-QbCNdBi90OdPjRqg"", ""'Plan de Compras'!D4:Q""), 14, 0), """")"),"JESSICA")</f>
        <v>JESSICA</v>
      </c>
      <c r="AC510" s="72" t="str">
        <f>IFERROR(__xludf.DUMMYFUNCTION("IFERROR(VLOOKUP(G510,IMPORTRANGE(""https://docs.google.com/spreadsheets/d/12RxCea4e5ggM7QGn1XE3FbLQa_-QbCNdBi90OdPjRqg"", ""'Plan de Compras'!D4:Q""), 4, 0), """")"),"LIRAS DE CORTE DE QUESO")</f>
        <v>LIRAS DE CORTE DE QUESO</v>
      </c>
      <c r="AD510" s="37" t="str">
        <f>IFERROR(__xludf.DUMMYFUNCTION("IFERROR(IF(OR(C510=TRUE,C510=""""),VLOOKUP(G510,IMPORTRANGE(""https://docs.google.com/spreadsheets/d/1z9A1Wq-kKrhRNG5RS2a2fKpY1wIhSVz2ZNmP2mOl588/edit?usp=sharing"",""REQ VF!E4:H""),4,0),""NO APLICA""),""GENERAR REQ"")"),"GENERAR REQ")</f>
        <v>GENERAR REQ</v>
      </c>
      <c r="AE510" s="32" t="str">
        <f>IFERROR(__xludf.DUMMYFUNCTION("IFERROR(QUERY(IMPORTRANGE(""https://docs.google.com/spreadsheets/d/1z9A1Wq-kKrhRNG5RS2a2fKpY1wIhSVz2ZNmP2mOl588/edit?usp=sharing"",""REQ VF!E4:Q""),""SELECT Col10, Col11, Col12 WHERE Col1 = '""&amp;G510&amp;""'"",0),""NO APLICA"")"),"NO APLICA")</f>
        <v>NO APLICA</v>
      </c>
      <c r="AF510" s="32"/>
      <c r="AG510" s="32"/>
      <c r="AH510" s="13"/>
      <c r="AI510" s="13"/>
    </row>
    <row r="511">
      <c r="A511" s="121">
        <v>309.0</v>
      </c>
      <c r="B511" s="43" t="b">
        <v>1</v>
      </c>
      <c r="C511" s="26" t="b">
        <v>1</v>
      </c>
      <c r="D511" s="26" t="s">
        <v>35</v>
      </c>
      <c r="E511" s="26" t="s">
        <v>1510</v>
      </c>
      <c r="F511" s="59" t="s">
        <v>3339</v>
      </c>
      <c r="G511" s="37" t="s">
        <v>3339</v>
      </c>
      <c r="H511" s="82" t="s">
        <v>3340</v>
      </c>
      <c r="I511" s="43">
        <f>SUMIFS('Hoja 10'!$O:$O,'Hoja 10'!$F:$F,$G511)</f>
        <v>16</v>
      </c>
      <c r="J511" s="26">
        <f>IFERROR(__xludf.DUMMYFUNCTION("VLOOKUP(G511,IMPORTRANGE(""https://docs.google.com/spreadsheets/d/12RxCea4e5ggM7QGn1XE3FbLQa_-QbCNdBi90OdPjRqg/edit?gid=1692403370#gid=1692403370"", ""'Plan de Compras'!D4:2432""), 8,0)"),16.0)</f>
        <v>16</v>
      </c>
      <c r="K511" s="26" t="str">
        <f t="shared" si="40"/>
        <v>SI</v>
      </c>
      <c r="L511" s="29" t="s">
        <v>296</v>
      </c>
      <c r="M511" s="30" t="s">
        <v>297</v>
      </c>
      <c r="N511" s="32"/>
      <c r="O511" s="32" t="str">
        <f>VLOOKUP($G511,'Hoja 10'!$F$4:$AA1057, 19,0)</f>
        <v>3M / FAGY</v>
      </c>
      <c r="P511" s="32" t="str">
        <f>VLOOKUP($G511,'Hoja 10'!$F$4:$AA1057, 20,0)</f>
        <v>4510 / 11101001</v>
      </c>
      <c r="Q511" s="33" t="str">
        <f>VLOOKUP($G511,'Hoja 10'!$F$4:$AA1057, 21,0)</f>
        <v>https://www.3m.com.pe/3M/es_PE/p/d/b00046819/</v>
      </c>
      <c r="R511" s="61" t="s">
        <v>3341</v>
      </c>
      <c r="S511" s="44" t="b">
        <v>1</v>
      </c>
      <c r="T511" s="39" t="str">
        <f>IFERROR(__xludf.DUMMYFUNCTION(" IF
( VLOOKUP($G511,IMPORTRANGE(""https://docs.google.com/spreadsheets/d/1Gpl6jkTg7sL4VDNimUm3S9Vi1i95esohXCF3wuKOE8c"", ""'CONSOLIDADO'!G5:AB""), 10, 0) &lt;&gt; 0, 
IFERROR(VLOOKUP($G511,IMPORTRANGE(""https://docs.google.com/spreadsheets/d/1Gpl6jkTg7sL4VDNimU"&amp;"m3S9Vi1i95esohXCF3wuKOE8c"", ""'CONSOLIDADO'!G5:AB""), 17, 0), ""-""),
""""
)"),"3M")</f>
        <v>3M</v>
      </c>
      <c r="U511" s="39" t="str">
        <f>IFERROR(__xludf.DUMMYFUNCTION(" IF
( VLOOKUP($G511,IMPORTRANGE(""https://docs.google.com/spreadsheets/d/1Gpl6jkTg7sL4VDNimUm3S9Vi1i95esohXCF3wuKOE8c"", ""'CONSOLIDADO'!G5:AB""), 10, 0) &lt;&gt; 0, 
IFERROR(VLOOKUP($G511,IMPORTRANGE(""https://docs.google.com/spreadsheets/d/1Gpl6jkTg7sL4VDNimU"&amp;"m3S9Vi1i95esohXCF3wuKOE8c"", ""'CONSOLIDADO'!G5:AB""), 18, 0), ""-""),
""""
)"),"TRAJE 4510 ")</f>
        <v>TRAJE 4510 </v>
      </c>
      <c r="V511" s="39" t="str">
        <f>IFERROR(__xludf.DUMMYFUNCTION(" IF
( VLOOKUP($G511,IMPORTRANGE(""https://docs.google.com/spreadsheets/d/1Gpl6jkTg7sL4VDNimUm3S9Vi1i95esohXCF3wuKOE8c"", ""'CONSOLIDADO'!G5:AB""), 10, 0) &lt;&gt; 0, 
IFERROR(VLOOKUP($G511,IMPORTRANGE(""https://docs.google.com/spreadsheets/d/1Gpl6jkTg7sL4VDNimU"&amp;"m3S9Vi1i95esohXCF3wuKOE8c"", ""'CONSOLIDADO'!G5:AB""), 17, 0), ""-""),
""""
)"),"3M")</f>
        <v>3M</v>
      </c>
      <c r="W511" s="39" t="str">
        <f>IFERROR(__xludf.DUMMYFUNCTION(" IF
( VLOOKUP($G511,IMPORTRANGE(""https://docs.google.com/spreadsheets/d/1Gpl6jkTg7sL4VDNimUm3S9Vi1i95esohXCF3wuKOE8c"", ""'CONSOLIDADO'!G5:AB""), 10, 0) &lt;&gt; 0, 
IFERROR(VLOOKUP($G511,IMPORTRANGE(""https://docs.google.com/spreadsheets/d/1Gpl6jkTg7sL4VDNimU"&amp;"m3S9Vi1i95esohXCF3wuKOE8c"", ""'CONSOLIDADO'!G5:AB""), 18, 0), ""-""),
""""
)"),"TRAJE 4510 ")</f>
        <v>TRAJE 4510 </v>
      </c>
      <c r="X511" s="39" t="b">
        <f t="shared" si="55"/>
        <v>1</v>
      </c>
      <c r="Y511" s="110"/>
      <c r="Z511" s="37" t="str">
        <f>IFERROR(__xludf.DUMMYFUNCTION("IFERROR(VLOOKUP(G511,IMPORTRANGE(""https://docs.google.com/spreadsheets/d/12RxCea4e5ggM7QGn1XE3FbLQa_-QbCNdBi90OdPjRqg"", ""'Plan de Compras'!D4:Q""), 12, 0), ""NO ESTÁ EN REQ"")"),"Simple")</f>
        <v>Simple</v>
      </c>
      <c r="AA511" s="37" t="str">
        <f>IFERROR(__xludf.DUMMYFUNCTION("IFERROR(VLOOKUP(G511,IMPORTRANGE(""https://docs.google.com/spreadsheets/d/12RxCea4e5ggM7QGn1XE3FbLQa_-QbCNdBi90OdPjRqg"", ""'Plan de Compras'!D4:Q""), 13, 0), """")"),"NACIONAL")</f>
        <v>NACIONAL</v>
      </c>
      <c r="AB511" s="32" t="str">
        <f>IFERROR(__xludf.DUMMYFUNCTION("IFERROR(VLOOKUP(G511,IMPORTRANGE(""https://docs.google.com/spreadsheets/d/12RxCea4e5ggM7QGn1XE3FbLQa_-QbCNdBi90OdPjRqg"", ""'Plan de Compras'!D4:Q""), 14, 0), """")"),"GEANFRANCO")</f>
        <v>GEANFRANCO</v>
      </c>
      <c r="AC511" s="72" t="str">
        <f>IFERROR(__xludf.DUMMYFUNCTION("IFERROR(VLOOKUP(G511,IMPORTRANGE(""https://docs.google.com/spreadsheets/d/12RxCea4e5ggM7QGn1XE3FbLQa_-QbCNdBi90OdPjRqg"", ""'Plan de Compras'!D4:Q""), 4, 0), """")"),"MAMELUCO DE PROTECCIÓN PARA PINTOR")</f>
        <v>MAMELUCO DE PROTECCIÓN PARA PINTOR</v>
      </c>
      <c r="AD511" s="37" t="str">
        <f>IFERROR(__xludf.DUMMYFUNCTION("IFERROR(IF(OR(C511=TRUE,C511=""""),VLOOKUP(G511,IMPORTRANGE(""https://docs.google.com/spreadsheets/d/1z9A1Wq-kKrhRNG5RS2a2fKpY1wIhSVz2ZNmP2mOl588/edit?usp=sharing"",""REQ VF!E4:H""),4,0),""NO APLICA""),""GENERAR REQ"")"),"GENERAR REQ")</f>
        <v>GENERAR REQ</v>
      </c>
      <c r="AE511" s="32" t="str">
        <f>IFERROR(__xludf.DUMMYFUNCTION("IFERROR(QUERY(IMPORTRANGE(""https://docs.google.com/spreadsheets/d/1z9A1Wq-kKrhRNG5RS2a2fKpY1wIhSVz2ZNmP2mOl588/edit?usp=sharing"",""REQ VF!E4:Q""),""SELECT Col10, Col11, Col12 WHERE Col1 = '""&amp;G511&amp;""'"",0),""NO APLICA"")"),"NO APLICA")</f>
        <v>NO APLICA</v>
      </c>
      <c r="AF511" s="32"/>
      <c r="AG511" s="32"/>
      <c r="AH511" s="8" t="s">
        <v>52</v>
      </c>
      <c r="AI511" s="13"/>
    </row>
    <row r="512">
      <c r="A512" s="117">
        <v>310.0</v>
      </c>
      <c r="B512" s="43" t="b">
        <v>1</v>
      </c>
      <c r="C512" s="26" t="b">
        <v>1</v>
      </c>
      <c r="D512" s="26" t="s">
        <v>35</v>
      </c>
      <c r="E512" s="26" t="s">
        <v>1510</v>
      </c>
      <c r="F512" s="59" t="s">
        <v>3342</v>
      </c>
      <c r="G512" s="37" t="s">
        <v>3342</v>
      </c>
      <c r="H512" s="82" t="s">
        <v>3343</v>
      </c>
      <c r="I512" s="43">
        <f>SUMIFS('Hoja 10'!$O:$O,'Hoja 10'!$F:$F,$G512)</f>
        <v>63</v>
      </c>
      <c r="J512" s="26">
        <f>IFERROR(__xludf.DUMMYFUNCTION("VLOOKUP(G512,IMPORTRANGE(""https://docs.google.com/spreadsheets/d/12RxCea4e5ggM7QGn1XE3FbLQa_-QbCNdBi90OdPjRqg/edit?gid=1692403370#gid=1692403370"", ""'Plan de Compras'!D4:2432""), 8,0)"),63.0)</f>
        <v>63</v>
      </c>
      <c r="K512" s="26" t="str">
        <f t="shared" si="40"/>
        <v>SI</v>
      </c>
      <c r="L512" s="29" t="s">
        <v>127</v>
      </c>
      <c r="M512" s="30" t="s">
        <v>105</v>
      </c>
      <c r="N512" s="32"/>
      <c r="O512" s="32" t="str">
        <f>VLOOKUP($G512,'Hoja 10'!$F$4:$AA1057, 19,0)</f>
        <v>CLUTE</v>
      </c>
      <c r="P512" s="32">
        <f>VLOOKUP($G512,'Hoja 10'!$F$4:$AA1057, 20,0)</f>
        <v>31003001</v>
      </c>
      <c r="Q512" s="33" t="str">
        <f>VLOOKUP($G512,'Hoja 10'!$F$4:$AA1057, 21,0)</f>
        <v>https://clute.com.pe/tienda/proteccion-soldador/mandil-de-cuero-cromo/?utm_source=chatgpt.com</v>
      </c>
      <c r="R512" s="61" t="s">
        <v>3344</v>
      </c>
      <c r="S512" s="44" t="b">
        <v>1</v>
      </c>
      <c r="T512" s="39" t="str">
        <f>IFERROR(__xludf.DUMMYFUNCTION(" IF
( VLOOKUP($G512,IMPORTRANGE(""https://docs.google.com/spreadsheets/d/1Gpl6jkTg7sL4VDNimUm3S9Vi1i95esohXCF3wuKOE8c"", ""'CONSOLIDADO'!G5:AB""), 10, 0) &lt;&gt; 0, 
IFERROR(VLOOKUP($G512,IMPORTRANGE(""https://docs.google.com/spreadsheets/d/1Gpl6jkTg7sL4VDNimU"&amp;"m3S9Vi1i95esohXCF3wuKOE8c"", ""'CONSOLIDADO'!G5:AB""), 17, 0), ""-""),
""""
)"),"CLUTE")</f>
        <v>CLUTE</v>
      </c>
      <c r="U512" s="39">
        <f>IFERROR(__xludf.DUMMYFUNCTION(" IF
( VLOOKUP($G512,IMPORTRANGE(""https://docs.google.com/spreadsheets/d/1Gpl6jkTg7sL4VDNimUm3S9Vi1i95esohXCF3wuKOE8c"", ""'CONSOLIDADO'!G5:AB""), 10, 0) &lt;&gt; 0, 
IFERROR(VLOOKUP($G512,IMPORTRANGE(""https://docs.google.com/spreadsheets/d/1Gpl6jkTg7sL4VDNimU"&amp;"m3S9Vi1i95esohXCF3wuKOE8c"", ""'CONSOLIDADO'!G5:AB""), 18, 0), ""-""),
""""
)"),3.1003001E7)</f>
        <v>31003001</v>
      </c>
      <c r="V512" s="39" t="str">
        <f>IFERROR(__xludf.DUMMYFUNCTION(" IF
( VLOOKUP($G512,IMPORTRANGE(""https://docs.google.com/spreadsheets/d/1Gpl6jkTg7sL4VDNimUm3S9Vi1i95esohXCF3wuKOE8c"", ""'CONSOLIDADO'!G5:AB""), 10, 0) &lt;&gt; 0, 
IFERROR(VLOOKUP($G512,IMPORTRANGE(""https://docs.google.com/spreadsheets/d/1Gpl6jkTg7sL4VDNimU"&amp;"m3S9Vi1i95esohXCF3wuKOE8c"", ""'CONSOLIDADO'!G5:AB""), 17, 0), ""-""),
""""
)"),"CLUTE")</f>
        <v>CLUTE</v>
      </c>
      <c r="W512" s="39">
        <f>IFERROR(__xludf.DUMMYFUNCTION(" IF
( VLOOKUP($G512,IMPORTRANGE(""https://docs.google.com/spreadsheets/d/1Gpl6jkTg7sL4VDNimUm3S9Vi1i95esohXCF3wuKOE8c"", ""'CONSOLIDADO'!G5:AB""), 10, 0) &lt;&gt; 0, 
IFERROR(VLOOKUP($G512,IMPORTRANGE(""https://docs.google.com/spreadsheets/d/1Gpl6jkTg7sL4VDNimU"&amp;"m3S9Vi1i95esohXCF3wuKOE8c"", ""'CONSOLIDADO'!G5:AB""), 18, 0), ""-""),
""""
)"),3.1003001E7)</f>
        <v>31003001</v>
      </c>
      <c r="X512" s="39" t="b">
        <f t="shared" si="55"/>
        <v>1</v>
      </c>
      <c r="Y512" s="120" t="str">
        <f>IFERROR(__xludf.DUMMYFUNCTION(" IF
( VLOOKUP($G512,IMPORTRANGE(""https://docs.google.com/spreadsheets/d/1Gpl6jkTg7sL4VDNimUm3S9Vi1i95esohXCF3wuKOE8c"", ""'CONSOLIDADO'!G5:AB""), 10, 0) &lt;&gt; 0, 
IFERROR(VLOOKUP($G512,IMPORTRANGE(""https://docs.google.com/spreadsheets/d/1Gpl6jkTg7sL4VDNimU"&amp;"m3S9Vi1i95esohXCF3wuKOE8c"", ""'CONSOLIDADO'!G5:AB""), 19, 0), ""-""),
""""
)"),"https://clute.com.pe/tienda/proteccion-soldador/mandil-de-cuero-cromo/?utm_source=chatgpt.com")</f>
        <v>https://clute.com.pe/tienda/proteccion-soldador/mandil-de-cuero-cromo/?utm_source=chatgpt.com</v>
      </c>
      <c r="Z512" s="37" t="str">
        <f>IFERROR(__xludf.DUMMYFUNCTION("IFERROR(VLOOKUP(G512,IMPORTRANGE(""https://docs.google.com/spreadsheets/d/12RxCea4e5ggM7QGn1XE3FbLQa_-QbCNdBi90OdPjRqg"", ""'Plan de Compras'!D4:Q""), 12, 0), ""NO ESTÁ EN REQ"")"),"Simple")</f>
        <v>Simple</v>
      </c>
      <c r="AA512" s="37" t="str">
        <f>IFERROR(__xludf.DUMMYFUNCTION("IFERROR(VLOOKUP(G512,IMPORTRANGE(""https://docs.google.com/spreadsheets/d/12RxCea4e5ggM7QGn1XE3FbLQa_-QbCNdBi90OdPjRqg"", ""'Plan de Compras'!D4:Q""), 13, 0), """")"),"NACIONAL")</f>
        <v>NACIONAL</v>
      </c>
      <c r="AB512" s="32" t="str">
        <f>IFERROR(__xludf.DUMMYFUNCTION("IFERROR(VLOOKUP(G512,IMPORTRANGE(""https://docs.google.com/spreadsheets/d/12RxCea4e5ggM7QGn1XE3FbLQa_-QbCNdBi90OdPjRqg"", ""'Plan de Compras'!D4:Q""), 14, 0), """")"),"DIANA")</f>
        <v>DIANA</v>
      </c>
      <c r="AC512" s="72" t="str">
        <f>IFERROR(__xludf.DUMMYFUNCTION("IFERROR(VLOOKUP(G512,IMPORTRANGE(""https://docs.google.com/spreadsheets/d/12RxCea4e5ggM7QGn1XE3FbLQa_-QbCNdBi90OdPjRqg"", ""'Plan de Compras'!D4:Q""), 4, 0), """")"),"MANDIL DE SERRAJE")</f>
        <v>MANDIL DE SERRAJE</v>
      </c>
      <c r="AD512" s="37" t="str">
        <f>IFERROR(__xludf.DUMMYFUNCTION("IFERROR(IF(OR(C512=TRUE,C512=""""),VLOOKUP(G512,IMPORTRANGE(""https://docs.google.com/spreadsheets/d/1z9A1Wq-kKrhRNG5RS2a2fKpY1wIhSVz2ZNmP2mOl588/edit?usp=sharing"",""REQ VF!E4:H""),4,0),""NO APLICA""),""GENERAR REQ"")"),"GENERAR REQ")</f>
        <v>GENERAR REQ</v>
      </c>
      <c r="AE512" s="32" t="str">
        <f>IFERROR(__xludf.DUMMYFUNCTION("IFERROR(QUERY(IMPORTRANGE(""https://docs.google.com/spreadsheets/d/1z9A1Wq-kKrhRNG5RS2a2fKpY1wIhSVz2ZNmP2mOl588/edit?usp=sharing"",""REQ VF!E4:Q""),""SELECT Col10, Col11, Col12 WHERE Col1 = '""&amp;G512&amp;""'"",0),""NO APLICA"")"),"NO APLICA")</f>
        <v>NO APLICA</v>
      </c>
      <c r="AF512" s="32"/>
      <c r="AG512" s="32"/>
      <c r="AH512" s="8" t="s">
        <v>52</v>
      </c>
      <c r="AI512" s="13"/>
    </row>
    <row r="513">
      <c r="A513" s="117">
        <v>311.0</v>
      </c>
      <c r="B513" s="43" t="b">
        <v>1</v>
      </c>
      <c r="C513" s="26" t="b">
        <v>1</v>
      </c>
      <c r="D513" s="26" t="s">
        <v>35</v>
      </c>
      <c r="E513" s="26" t="s">
        <v>1510</v>
      </c>
      <c r="F513" s="59" t="s">
        <v>3345</v>
      </c>
      <c r="G513" s="37" t="s">
        <v>3345</v>
      </c>
      <c r="H513" s="82" t="s">
        <v>3346</v>
      </c>
      <c r="I513" s="43">
        <f>SUMIFS('Hoja 10'!$O:$O,'Hoja 10'!$F:$F,$G513)</f>
        <v>63</v>
      </c>
      <c r="J513" s="26">
        <f>IFERROR(__xludf.DUMMYFUNCTION("VLOOKUP(G513,IMPORTRANGE(""https://docs.google.com/spreadsheets/d/12RxCea4e5ggM7QGn1XE3FbLQa_-QbCNdBi90OdPjRqg/edit?gid=1692403370#gid=1692403370"", ""'Plan de Compras'!D4:2432""), 8,0)"),63.0)</f>
        <v>63</v>
      </c>
      <c r="K513" s="26" t="str">
        <f t="shared" si="40"/>
        <v>SI</v>
      </c>
      <c r="L513" s="29" t="s">
        <v>127</v>
      </c>
      <c r="M513" s="30" t="s">
        <v>105</v>
      </c>
      <c r="N513" s="32"/>
      <c r="O513" s="32" t="str">
        <f>VLOOKUP($G513,'Hoja 10'!$F$4:$AA1057, 19,0)</f>
        <v>Werken</v>
      </c>
      <c r="P513" s="32">
        <f>VLOOKUP($G513,'Hoja 10'!$F$4:$AA1057, 20,0)</f>
        <v>84818</v>
      </c>
      <c r="Q513" s="33" t="str">
        <f>VLOOKUP($G513,'Hoja 10'!$F$4:$AA1057, 21,0)</f>
        <v>https://www.promart.pe/mangas-para-soldador/p?srsltid=AfmBOor_-6Y1MGVnTHcdKUpGcUwzAVcASqztDw-5VPnPpS1WtgjBwVWY&amp;utm_source=chatgpt.com</v>
      </c>
      <c r="R513" s="61" t="s">
        <v>3347</v>
      </c>
      <c r="S513" s="44" t="b">
        <v>1</v>
      </c>
      <c r="T513" s="63" t="str">
        <f>IFERROR(__xludf.DUMMYFUNCTION(" IF
( VLOOKUP($G513,IMPORTRANGE(""https://docs.google.com/spreadsheets/d/1Gpl6jkTg7sL4VDNimUm3S9Vi1i95esohXCF3wuKOE8c"", ""'CONSOLIDADO'!G5:AB""), 10, 0) &lt;&gt; 0, 
IFERROR(VLOOKUP($G513,IMPORTRANGE(""https://docs.google.com/spreadsheets/d/1Gpl6jkTg7sL4VDNimU"&amp;"m3S9Vi1i95esohXCF3wuKOE8c"", ""'CONSOLIDADO'!G5:AB""), 17, 0), ""-""),
""""
)"),"SAFETOP")</f>
        <v>SAFETOP</v>
      </c>
      <c r="U513" s="63" t="str">
        <f>IFERROR(__xludf.DUMMYFUNCTION(" IF
( VLOOKUP($G513,IMPORTRANGE(""https://docs.google.com/spreadsheets/d/1Gpl6jkTg7sL4VDNimUm3S9Vi1i95esohXCF3wuKOE8c"", ""'CONSOLIDADO'!G5:AB""), 10, 0) &lt;&gt; 0, 
IFERROR(VLOOKUP($G513,IMPORTRANGE(""https://docs.google.com/spreadsheets/d/1Gpl6jkTg7sL4VDNimU"&amp;"m3S9Vi1i95esohXCF3wuKOE8c"", ""'CONSOLIDADO'!G5:AB""), 18, 0), ""-""),
""""
)"),"20490N")</f>
        <v>20490N</v>
      </c>
      <c r="V513" s="39" t="str">
        <f>IFERROR(__xludf.DUMMYFUNCTION(" IF
( VLOOKUP($G513,IMPORTRANGE(""https://docs.google.com/spreadsheets/d/1Gpl6jkTg7sL4VDNimUm3S9Vi1i95esohXCF3wuKOE8c"", ""'CONSOLIDADO'!G5:AB""), 10, 0) &lt;&gt; 0, 
IFERROR(VLOOKUP($G513,IMPORTRANGE(""https://docs.google.com/spreadsheets/d/1Gpl6jkTg7sL4VDNimU"&amp;"m3S9Vi1i95esohXCF3wuKOE8c"", ""'CONSOLIDADO'!G5:AB""), 17, 0), ""-""),
""""
)"),"SAFETOP")</f>
        <v>SAFETOP</v>
      </c>
      <c r="W513" s="39" t="str">
        <f>IFERROR(__xludf.DUMMYFUNCTION(" IF
( VLOOKUP($G513,IMPORTRANGE(""https://docs.google.com/spreadsheets/d/1Gpl6jkTg7sL4VDNimUm3S9Vi1i95esohXCF3wuKOE8c"", ""'CONSOLIDADO'!G5:AB""), 10, 0) &lt;&gt; 0, 
IFERROR(VLOOKUP($G513,IMPORTRANGE(""https://docs.google.com/spreadsheets/d/1Gpl6jkTg7sL4VDNimU"&amp;"m3S9Vi1i95esohXCF3wuKOE8c"", ""'CONSOLIDADO'!G5:AB""), 18, 0), ""-""),
""""
)"),"20490N")</f>
        <v>20490N</v>
      </c>
      <c r="X513" s="39" t="b">
        <f t="shared" si="55"/>
        <v>1</v>
      </c>
      <c r="Y513" s="120" t="str">
        <f>IFERROR(__xludf.DUMMYFUNCTION(" IF
( VLOOKUP($G513,IMPORTRANGE(""https://docs.google.com/spreadsheets/d/1Gpl6jkTg7sL4VDNimUm3S9Vi1i95esohXCF3wuKOE8c"", ""'CONSOLIDADO'!G5:AB""), 10, 0) &lt;&gt; 0, 
IFERROR(VLOOKUP($G513,IMPORTRANGE(""https://docs.google.com/spreadsheets/d/1Gpl6jkTg7sL4VDNimU"&amp;"m3S9Vi1i95esohXCF3wuKOE8c"", ""'CONSOLIDADO'!G5:AB""), 19, 0), ""-""),
""""
)"),"https://ferramentas.pt/mangas-de-protec-o-de-soldar-xl-mundo-guante-sd1-xl.html")</f>
        <v>https://ferramentas.pt/mangas-de-protec-o-de-soldar-xl-mundo-guante-sd1-xl.html</v>
      </c>
      <c r="Z513" s="37" t="str">
        <f>IFERROR(__xludf.DUMMYFUNCTION("IFERROR(VLOOKUP(G513,IMPORTRANGE(""https://docs.google.com/spreadsheets/d/12RxCea4e5ggM7QGn1XE3FbLQa_-QbCNdBi90OdPjRqg"", ""'Plan de Compras'!D4:Q""), 12, 0), ""NO ESTÁ EN REQ"")"),"Simple")</f>
        <v>Simple</v>
      </c>
      <c r="AA513" s="37" t="str">
        <f>IFERROR(__xludf.DUMMYFUNCTION("IFERROR(VLOOKUP(G513,IMPORTRANGE(""https://docs.google.com/spreadsheets/d/12RxCea4e5ggM7QGn1XE3FbLQa_-QbCNdBi90OdPjRqg"", ""'Plan de Compras'!D4:Q""), 13, 0), """")"),"INTERNACIONAL")</f>
        <v>INTERNACIONAL</v>
      </c>
      <c r="AB513" s="32" t="str">
        <f>IFERROR(__xludf.DUMMYFUNCTION("IFERROR(VLOOKUP(G513,IMPORTRANGE(""https://docs.google.com/spreadsheets/d/12RxCea4e5ggM7QGn1XE3FbLQa_-QbCNdBi90OdPjRqg"", ""'Plan de Compras'!D4:Q""), 14, 0), """")"),"VICTOR")</f>
        <v>VICTOR</v>
      </c>
      <c r="AC513" s="72" t="str">
        <f>IFERROR(__xludf.DUMMYFUNCTION("IFERROR(VLOOKUP(G513,IMPORTRANGE(""https://docs.google.com/spreadsheets/d/12RxCea4e5ggM7QGn1XE3FbLQa_-QbCNdBi90OdPjRqg"", ""'Plan de Compras'!D4:Q""), 4, 0), """")"),"MANGA PARA SOLDAR")</f>
        <v>MANGA PARA SOLDAR</v>
      </c>
      <c r="AD513" s="37" t="str">
        <f>IFERROR(__xludf.DUMMYFUNCTION("IFERROR(IF(OR(C513=TRUE,C513=""""),VLOOKUP(G513,IMPORTRANGE(""https://docs.google.com/spreadsheets/d/1z9A1Wq-kKrhRNG5RS2a2fKpY1wIhSVz2ZNmP2mOl588/edit?usp=sharing"",""REQ VF!E4:H""),4,0),""NO APLICA""),""GENERAR REQ"")"),"GENERAR REQ")</f>
        <v>GENERAR REQ</v>
      </c>
      <c r="AE513" s="32" t="str">
        <f>IFERROR(__xludf.DUMMYFUNCTION("IFERROR(QUERY(IMPORTRANGE(""https://docs.google.com/spreadsheets/d/1z9A1Wq-kKrhRNG5RS2a2fKpY1wIhSVz2ZNmP2mOl588/edit?usp=sharing"",""REQ VF!E4:Q""),""SELECT Col10, Col11, Col12 WHERE Col1 = '""&amp;G513&amp;""'"",0),""NO APLICA"")"),"NO APLICA")</f>
        <v>NO APLICA</v>
      </c>
      <c r="AF513" s="32"/>
      <c r="AG513" s="32"/>
      <c r="AH513" s="8" t="s">
        <v>52</v>
      </c>
      <c r="AI513" s="13"/>
    </row>
    <row r="514">
      <c r="A514" s="121">
        <v>312.0</v>
      </c>
      <c r="B514" s="43" t="b">
        <v>1</v>
      </c>
      <c r="C514" s="26" t="b">
        <v>1</v>
      </c>
      <c r="D514" s="26" t="s">
        <v>35</v>
      </c>
      <c r="E514" s="26" t="s">
        <v>1510</v>
      </c>
      <c r="F514" s="59" t="s">
        <v>3348</v>
      </c>
      <c r="G514" s="37" t="s">
        <v>3348</v>
      </c>
      <c r="H514" s="82" t="s">
        <v>3349</v>
      </c>
      <c r="I514" s="43">
        <f>SUMIFS('Hoja 10'!$O:$O,'Hoja 10'!$F:$F,$G514)</f>
        <v>63</v>
      </c>
      <c r="J514" s="26">
        <f>IFERROR(__xludf.DUMMYFUNCTION("VLOOKUP(G514,IMPORTRANGE(""https://docs.google.com/spreadsheets/d/12RxCea4e5ggM7QGn1XE3FbLQa_-QbCNdBi90OdPjRqg/edit?gid=1692403370#gid=1692403370"", ""'Plan de Compras'!D4:2432""), 8,0)"),63.0)</f>
        <v>63</v>
      </c>
      <c r="K514" s="26" t="str">
        <f t="shared" si="40"/>
        <v>SI</v>
      </c>
      <c r="L514" s="29" t="s">
        <v>127</v>
      </c>
      <c r="M514" s="30" t="s">
        <v>105</v>
      </c>
      <c r="N514" s="32"/>
      <c r="O514" s="32" t="str">
        <f>VLOOKUP($G514,'Hoja 10'!$F$4:$AA1057, 19,0)</f>
        <v>SELLSTROM</v>
      </c>
      <c r="P514" s="32" t="str">
        <f>VLOOKUP($G514,'Hoja 10'!$F$4:$AA1057, 20,0)</f>
        <v>WHP4000</v>
      </c>
      <c r="Q514" s="33" t="str">
        <f>VLOOKUP($G514,'Hoja 10'!$F$4:$AA1057, 21,0)</f>
        <v>https://www.cimasafety.com/careta-para-soldar-sellstrom-whp4000-adf-5-13--det--SEL-S26400</v>
      </c>
      <c r="R514" s="30" t="s">
        <v>3350</v>
      </c>
      <c r="S514" s="44" t="b">
        <v>1</v>
      </c>
      <c r="T514" s="39" t="str">
        <f>IFERROR(__xludf.DUMMYFUNCTION(" IF
( VLOOKUP($G514,IMPORTRANGE(""https://docs.google.com/spreadsheets/d/1Gpl6jkTg7sL4VDNimUm3S9Vi1i95esohXCF3wuKOE8c"", ""'CONSOLIDADO'!G5:AB""), 10, 0) &lt;&gt; 0, 
IFERROR(VLOOKUP($G514,IMPORTRANGE(""https://docs.google.com/spreadsheets/d/1Gpl6jkTg7sL4VDNimU"&amp;"m3S9Vi1i95esohXCF3wuKOE8c"", ""'CONSOLIDADO'!G5:AB""), 17, 0), ""-""),
""""
)"),"SELLSTROM")</f>
        <v>SELLSTROM</v>
      </c>
      <c r="U514" s="39" t="str">
        <f>IFERROR(__xludf.DUMMYFUNCTION(" IF
( VLOOKUP($G514,IMPORTRANGE(""https://docs.google.com/spreadsheets/d/1Gpl6jkTg7sL4VDNimUm3S9Vi1i95esohXCF3wuKOE8c"", ""'CONSOLIDADO'!G5:AB""), 10, 0) &lt;&gt; 0, 
IFERROR(VLOOKUP($G514,IMPORTRANGE(""https://docs.google.com/spreadsheets/d/1Gpl6jkTg7sL4VDNimU"&amp;"m3S9Vi1i95esohXCF3wuKOE8c"", ""'CONSOLIDADO'!G5:AB""), 18, 0), ""-""),
""""
)"),"WHP4000")</f>
        <v>WHP4000</v>
      </c>
      <c r="V514" s="39" t="str">
        <f>IFERROR(__xludf.DUMMYFUNCTION(" IF
( VLOOKUP($G514,IMPORTRANGE(""https://docs.google.com/spreadsheets/d/1Gpl6jkTg7sL4VDNimUm3S9Vi1i95esohXCF3wuKOE8c"", ""'CONSOLIDADO'!G5:AB""), 10, 0) &lt;&gt; 0, 
IFERROR(VLOOKUP($G514,IMPORTRANGE(""https://docs.google.com/spreadsheets/d/1Gpl6jkTg7sL4VDNimU"&amp;"m3S9Vi1i95esohXCF3wuKOE8c"", ""'CONSOLIDADO'!G5:AB""), 17, 0), ""-""),
""""
)"),"SELLSTROM")</f>
        <v>SELLSTROM</v>
      </c>
      <c r="W514" s="39" t="str">
        <f>IFERROR(__xludf.DUMMYFUNCTION(" IF
( VLOOKUP($G514,IMPORTRANGE(""https://docs.google.com/spreadsheets/d/1Gpl6jkTg7sL4VDNimUm3S9Vi1i95esohXCF3wuKOE8c"", ""'CONSOLIDADO'!G5:AB""), 10, 0) &lt;&gt; 0, 
IFERROR(VLOOKUP($G514,IMPORTRANGE(""https://docs.google.com/spreadsheets/d/1Gpl6jkTg7sL4VDNimU"&amp;"m3S9Vi1i95esohXCF3wuKOE8c"", ""'CONSOLIDADO'!G5:AB""), 18, 0), ""-""),
""""
)"),"WHP4000")</f>
        <v>WHP4000</v>
      </c>
      <c r="X514" s="39" t="b">
        <f t="shared" si="55"/>
        <v>1</v>
      </c>
      <c r="Y514" s="120" t="str">
        <f>IFERROR(__xludf.DUMMYFUNCTION(" IF
( VLOOKUP($G514,IMPORTRANGE(""https://docs.google.com/spreadsheets/d/1Gpl6jkTg7sL4VDNimUm3S9Vi1i95esohXCF3wuKOE8c"", ""'CONSOLIDADO'!G5:AB""), 10, 0) &lt;&gt; 0, 
IFERROR(VLOOKUP($G514,IMPORTRANGE(""https://docs.google.com/spreadsheets/d/1Gpl6jkTg7sL4VDNimU"&amp;"m3S9Vi1i95esohXCF3wuKOE8c"", ""'CONSOLIDADO'!G5:AB""), 19, 0), ""-""),
""""
)"),"https://www.cimasafety.com/careta-para-soldar-sellstrom-whp4000-adf-5-13--det--SEL-S26400")</f>
        <v>https://www.cimasafety.com/careta-para-soldar-sellstrom-whp4000-adf-5-13--det--SEL-S26400</v>
      </c>
      <c r="Z514" s="37" t="str">
        <f>IFERROR(__xludf.DUMMYFUNCTION("IFERROR(VLOOKUP(G514,IMPORTRANGE(""https://docs.google.com/spreadsheets/d/12RxCea4e5ggM7QGn1XE3FbLQa_-QbCNdBi90OdPjRqg"", ""'Plan de Compras'!D4:Q""), 12, 0), ""NO ESTÁ EN REQ"")"),"Técnica")</f>
        <v>Técnica</v>
      </c>
      <c r="AA514" s="37" t="str">
        <f>IFERROR(__xludf.DUMMYFUNCTION("IFERROR(VLOOKUP(G514,IMPORTRANGE(""https://docs.google.com/spreadsheets/d/12RxCea4e5ggM7QGn1XE3FbLQa_-QbCNdBi90OdPjRqg"", ""'Plan de Compras'!D4:Q""), 13, 0), """")"),"INTERNACIONAL")</f>
        <v>INTERNACIONAL</v>
      </c>
      <c r="AB514" s="32" t="str">
        <f>IFERROR(__xludf.DUMMYFUNCTION("IFERROR(VLOOKUP(G514,IMPORTRANGE(""https://docs.google.com/spreadsheets/d/12RxCea4e5ggM7QGn1XE3FbLQa_-QbCNdBi90OdPjRqg"", ""'Plan de Compras'!D4:Q""), 14, 0), """")"),"DIEGO ")</f>
        <v>DIEGO </v>
      </c>
      <c r="AC514" s="72" t="str">
        <f>IFERROR(__xludf.DUMMYFUNCTION("IFERROR(VLOOKUP(G514,IMPORTRANGE(""https://docs.google.com/spreadsheets/d/12RxCea4e5ggM7QGn1XE3FbLQa_-QbCNdBi90OdPjRqg"", ""'Plan de Compras'!D4:Q""), 4, 0), """")"),"MÁSCARA ELECTRÓNICA PARA SOLDAR")</f>
        <v>MÁSCARA ELECTRÓNICA PARA SOLDAR</v>
      </c>
      <c r="AD514" s="37" t="str">
        <f>IFERROR(__xludf.DUMMYFUNCTION("IFERROR(IF(OR(C514=TRUE,C514=""""),VLOOKUP(G514,IMPORTRANGE(""https://docs.google.com/spreadsheets/d/1z9A1Wq-kKrhRNG5RS2a2fKpY1wIhSVz2ZNmP2mOl588/edit?usp=sharing"",""REQ VF!E4:H""),4,0),""NO APLICA""),""GENERAR REQ"")"),"GENERAR REQ")</f>
        <v>GENERAR REQ</v>
      </c>
      <c r="AE514" s="32" t="str">
        <f>IFERROR(__xludf.DUMMYFUNCTION("IFERROR(QUERY(IMPORTRANGE(""https://docs.google.com/spreadsheets/d/1z9A1Wq-kKrhRNG5RS2a2fKpY1wIhSVz2ZNmP2mOl588/edit?usp=sharing"",""REQ VF!E4:Q""),""SELECT Col10, Col11, Col12 WHERE Col1 = '""&amp;G514&amp;""'"",0),""NO APLICA"")"),"NO APLICA")</f>
        <v>NO APLICA</v>
      </c>
      <c r="AF514" s="32"/>
      <c r="AG514" s="32"/>
      <c r="AH514" s="8" t="s">
        <v>52</v>
      </c>
      <c r="AI514" s="13"/>
    </row>
    <row r="515">
      <c r="A515" s="121">
        <v>313.0</v>
      </c>
      <c r="B515" s="43" t="b">
        <v>1</v>
      </c>
      <c r="C515" s="26" t="b">
        <v>1</v>
      </c>
      <c r="D515" s="26" t="s">
        <v>35</v>
      </c>
      <c r="E515" s="26" t="s">
        <v>1510</v>
      </c>
      <c r="F515" s="59" t="s">
        <v>3351</v>
      </c>
      <c r="G515" s="37" t="s">
        <v>3352</v>
      </c>
      <c r="H515" s="82" t="s">
        <v>3353</v>
      </c>
      <c r="I515" s="43">
        <f>SUMIFS('Hoja 10'!$O:$O,'Hoja 10'!$F:$F,$G515)</f>
        <v>40</v>
      </c>
      <c r="J515" s="26">
        <f>IFERROR(__xludf.DUMMYFUNCTION("VLOOKUP(G515,IMPORTRANGE(""https://docs.google.com/spreadsheets/d/12RxCea4e5ggM7QGn1XE3FbLQa_-QbCNdBi90OdPjRqg/edit?gid=1692403370#gid=1692403370"", ""'Plan de Compras'!D4:2432""), 8,0)"),40.0)</f>
        <v>40</v>
      </c>
      <c r="K515" s="26" t="str">
        <f t="shared" si="40"/>
        <v>SI</v>
      </c>
      <c r="L515" s="29" t="s">
        <v>185</v>
      </c>
      <c r="M515" s="30" t="s">
        <v>186</v>
      </c>
      <c r="N515" s="32"/>
      <c r="O515" s="32" t="str">
        <f>VLOOKUP($G515,'Hoja 10'!$F$4:$AA1057, 19,0)</f>
        <v>3M</v>
      </c>
      <c r="P515" s="32">
        <f>VLOOKUP($G515,'Hoja 10'!$F$4:$AA1057, 20,0)</f>
        <v>70070799534</v>
      </c>
      <c r="Q515" s="33" t="str">
        <f>VLOOKUP($G515,'Hoja 10'!$F$4:$AA1057, 21,0)</f>
        <v>https://eppsperu.pe/producto/respirador-para-particulas-8214-3m/</v>
      </c>
      <c r="R515" s="30" t="s">
        <v>3354</v>
      </c>
      <c r="S515" s="44" t="b">
        <v>1</v>
      </c>
      <c r="T515" s="39" t="str">
        <f>IFERROR(__xludf.DUMMYFUNCTION(" IF
( VLOOKUP($G515,IMPORTRANGE(""https://docs.google.com/spreadsheets/d/1Gpl6jkTg7sL4VDNimUm3S9Vi1i95esohXCF3wuKOE8c"", ""'CONSOLIDADO'!G5:AB""), 10, 0) &lt;&gt; 0, 
IFERROR(VLOOKUP($G515,IMPORTRANGE(""https://docs.google.com/spreadsheets/d/1Gpl6jkTg7sL4VDNimU"&amp;"m3S9Vi1i95esohXCF3wuKOE8c"", ""'CONSOLIDADO'!G5:AB""), 17, 0), ""-""),
""""
)"),"3M")</f>
        <v>3M</v>
      </c>
      <c r="U515" s="39">
        <f>IFERROR(__xludf.DUMMYFUNCTION(" IF
( VLOOKUP($G515,IMPORTRANGE(""https://docs.google.com/spreadsheets/d/1Gpl6jkTg7sL4VDNimUm3S9Vi1i95esohXCF3wuKOE8c"", ""'CONSOLIDADO'!G5:AB""), 10, 0) &lt;&gt; 0, 
IFERROR(VLOOKUP($G515,IMPORTRANGE(""https://docs.google.com/spreadsheets/d/1Gpl6jkTg7sL4VDNimU"&amp;"m3S9Vi1i95esohXCF3wuKOE8c"", ""'CONSOLIDADO'!G5:AB""), 18, 0), ""-""),
""""
)"),7.0070799534E10)</f>
        <v>70070799534</v>
      </c>
      <c r="V515" s="39" t="str">
        <f>IFERROR(__xludf.DUMMYFUNCTION(" IF
( VLOOKUP($G515,IMPORTRANGE(""https://docs.google.com/spreadsheets/d/1Gpl6jkTg7sL4VDNimUm3S9Vi1i95esohXCF3wuKOE8c"", ""'CONSOLIDADO'!G5:AB""), 10, 0) &lt;&gt; 0, 
IFERROR(VLOOKUP($G515,IMPORTRANGE(""https://docs.google.com/spreadsheets/d/1Gpl6jkTg7sL4VDNimU"&amp;"m3S9Vi1i95esohXCF3wuKOE8c"", ""'CONSOLIDADO'!G5:AB""), 17, 0), ""-""),
""""
)"),"3M")</f>
        <v>3M</v>
      </c>
      <c r="W515" s="39">
        <f>IFERROR(__xludf.DUMMYFUNCTION(" IF
( VLOOKUP($G515,IMPORTRANGE(""https://docs.google.com/spreadsheets/d/1Gpl6jkTg7sL4VDNimUm3S9Vi1i95esohXCF3wuKOE8c"", ""'CONSOLIDADO'!G5:AB""), 10, 0) &lt;&gt; 0, 
IFERROR(VLOOKUP($G515,IMPORTRANGE(""https://docs.google.com/spreadsheets/d/1Gpl6jkTg7sL4VDNimU"&amp;"m3S9Vi1i95esohXCF3wuKOE8c"", ""'CONSOLIDADO'!G5:AB""), 18, 0), ""-""),
""""
)"),7.0070799534E10)</f>
        <v>70070799534</v>
      </c>
      <c r="X515" s="39" t="b">
        <f t="shared" si="55"/>
        <v>1</v>
      </c>
      <c r="Y515" s="120" t="str">
        <f>IFERROR(__xludf.DUMMYFUNCTION(" IF
( VLOOKUP($G515,IMPORTRANGE(""https://docs.google.com/spreadsheets/d/1Gpl6jkTg7sL4VDNimUm3S9Vi1i95esohXCF3wuKOE8c"", ""'CONSOLIDADO'!G5:AB""), 10, 0) &lt;&gt; 0, 
IFERROR(VLOOKUP($G515,IMPORTRANGE(""https://docs.google.com/spreadsheets/d/1Gpl6jkTg7sL4VDNimU"&amp;"m3S9Vi1i95esohXCF3wuKOE8c"", ""'CONSOLIDADO'!G5:AB""), 19, 0), ""-""),
""""
)"),"https://www.3m.com.pe/3M/es_PE/p/d/v000057534/")</f>
        <v>https://www.3m.com.pe/3M/es_PE/p/d/v000057534/</v>
      </c>
      <c r="Z515" s="37" t="str">
        <f>IFERROR(__xludf.DUMMYFUNCTION("IFERROR(VLOOKUP(G515,IMPORTRANGE(""https://docs.google.com/spreadsheets/d/12RxCea4e5ggM7QGn1XE3FbLQa_-QbCNdBi90OdPjRqg"", ""'Plan de Compras'!D4:Q""), 12, 0), ""NO ESTÁ EN REQ"")"),"Técnica")</f>
        <v>Técnica</v>
      </c>
      <c r="AA515" s="37" t="str">
        <f>IFERROR(__xludf.DUMMYFUNCTION("IFERROR(VLOOKUP(G515,IMPORTRANGE(""https://docs.google.com/spreadsheets/d/12RxCea4e5ggM7QGn1XE3FbLQa_-QbCNdBi90OdPjRqg"", ""'Plan de Compras'!D4:Q""), 13, 0), """")"),"NACIONAL")</f>
        <v>NACIONAL</v>
      </c>
      <c r="AB515" s="32" t="str">
        <f>IFERROR(__xludf.DUMMYFUNCTION("IFERROR(VLOOKUP(G515,IMPORTRANGE(""https://docs.google.com/spreadsheets/d/12RxCea4e5ggM7QGn1XE3FbLQa_-QbCNdBi90OdPjRqg"", ""'Plan de Compras'!D4:Q""), 14, 0), """")"),"ANGIE")</f>
        <v>ANGIE</v>
      </c>
      <c r="AC515" s="72" t="str">
        <f>IFERROR(__xludf.DUMMYFUNCTION("IFERROR(VLOOKUP(G515,IMPORTRANGE(""https://docs.google.com/spreadsheets/d/12RxCea4e5ggM7QGn1XE3FbLQa_-QbCNdBi90OdPjRqg"", ""'Plan de Compras'!D4:Q""), 4, 0), """")"),"MASCARILLA")</f>
        <v>MASCARILLA</v>
      </c>
      <c r="AD515" s="37" t="str">
        <f>IFERROR(__xludf.DUMMYFUNCTION("IFERROR(IF(OR(C515=TRUE,C515=""""),VLOOKUP(G515,IMPORTRANGE(""https://docs.google.com/spreadsheets/d/1z9A1Wq-kKrhRNG5RS2a2fKpY1wIhSVz2ZNmP2mOl588/edit?usp=sharing"",""REQ VF!E4:H""),4,0),""NO APLICA""),""GENERAR REQ"")"),"GENERAR REQ")</f>
        <v>GENERAR REQ</v>
      </c>
      <c r="AE515" s="32" t="str">
        <f>IFERROR(__xludf.DUMMYFUNCTION("IFERROR(QUERY(IMPORTRANGE(""https://docs.google.com/spreadsheets/d/1z9A1Wq-kKrhRNG5RS2a2fKpY1wIhSVz2ZNmP2mOl588/edit?usp=sharing"",""REQ VF!E4:Q""),""SELECT Col10, Col11, Col12 WHERE Col1 = '""&amp;G515&amp;""'"",0),""NO APLICA"")"),"NO APLICA")</f>
        <v>NO APLICA</v>
      </c>
      <c r="AF515" s="32"/>
      <c r="AG515" s="32"/>
      <c r="AH515" s="13"/>
      <c r="AI515" s="13"/>
    </row>
    <row r="516">
      <c r="A516" s="121">
        <v>314.0</v>
      </c>
      <c r="B516" s="43" t="b">
        <v>1</v>
      </c>
      <c r="C516" s="26" t="b">
        <v>1</v>
      </c>
      <c r="D516" s="26" t="s">
        <v>35</v>
      </c>
      <c r="E516" s="26" t="s">
        <v>1510</v>
      </c>
      <c r="F516" s="59" t="s">
        <v>3351</v>
      </c>
      <c r="G516" s="37" t="s">
        <v>3355</v>
      </c>
      <c r="H516" s="82" t="s">
        <v>3353</v>
      </c>
      <c r="I516" s="43">
        <f>SUMIFS('Hoja 10'!$O:$O,'Hoja 10'!$F:$F,$G516)</f>
        <v>80</v>
      </c>
      <c r="J516" s="26">
        <f>IFERROR(__xludf.DUMMYFUNCTION("VLOOKUP(G516,IMPORTRANGE(""https://docs.google.com/spreadsheets/d/12RxCea4e5ggM7QGn1XE3FbLQa_-QbCNdBi90OdPjRqg/edit?gid=1692403370#gid=1692403370"", ""'Plan de Compras'!D4:2432""), 8,0)"),4.0)</f>
        <v>4</v>
      </c>
      <c r="K516" s="26" t="str">
        <f t="shared" si="40"/>
        <v>NO</v>
      </c>
      <c r="L516" s="29" t="s">
        <v>39</v>
      </c>
      <c r="M516" s="30" t="s">
        <v>40</v>
      </c>
      <c r="N516" s="32"/>
      <c r="O516" s="32" t="str">
        <f>VLOOKUP($G516,'Hoja 10'!$F$4:$AA1057, 19,0)</f>
        <v>R&amp;G</v>
      </c>
      <c r="P516" s="32">
        <f>VLOOKUP($G516,'Hoja 10'!$F$4:$AA1057, 20,0)</f>
        <v>1000194057</v>
      </c>
      <c r="Q516" s="33" t="str">
        <f>VLOOKUP($G516,'Hoja 10'!$F$4:$AA1057, 21,0)</f>
        <v>https://www.promart.pe/mascarilla-quirurgica-r-g-3-capas-3-pliegues-caja-50und-1000175500/p?srsltid=AfmBOoooMhuWzP_n9FQs405lrxSGjxUwEPmvrCs3aI8urGeX1dAba4GM</v>
      </c>
      <c r="R516" s="30" t="s">
        <v>3356</v>
      </c>
      <c r="S516" s="44" t="b">
        <v>1</v>
      </c>
      <c r="T516" s="39" t="str">
        <f>IFERROR(__xludf.DUMMYFUNCTION(" IF
( VLOOKUP($G516,IMPORTRANGE(""https://docs.google.com/spreadsheets/d/1Gpl6jkTg7sL4VDNimUm3S9Vi1i95esohXCF3wuKOE8c"", ""'CONSOLIDADO'!G5:AB""), 10, 0) &lt;&gt; 0, 
IFERROR(VLOOKUP($G516,IMPORTRANGE(""https://docs.google.com/spreadsheets/d/1Gpl6jkTg7sL4VDNimU"&amp;"m3S9Vi1i95esohXCF3wuKOE8c"", ""'CONSOLIDADO'!G5:AB""), 17, 0), ""-""),
""""
)"),"R&amp;G")</f>
        <v>R&amp;G</v>
      </c>
      <c r="U516" s="39" t="str">
        <f>IFERROR(__xludf.DUMMYFUNCTION(" IF
( VLOOKUP($G516,IMPORTRANGE(""https://docs.google.com/spreadsheets/d/1Gpl6jkTg7sL4VDNimUm3S9Vi1i95esohXCF3wuKOE8c"", ""'CONSOLIDADO'!G5:AB""), 10, 0) &lt;&gt; 0, 
IFERROR(VLOOKUP($G516,IMPORTRANGE(""https://docs.google.com/spreadsheets/d/1Gpl6jkTg7sL4VDNimU"&amp;"m3S9Vi1i95esohXCF3wuKOE8c"", ""'CONSOLIDADO'!G5:AB""), 18, 0), ""-""),
""""
)"),"RESPIRADOR TIPO C - N95 3 CAPAS")</f>
        <v>RESPIRADOR TIPO C - N95 3 CAPAS</v>
      </c>
      <c r="V516" s="39" t="str">
        <f>IFERROR(__xludf.DUMMYFUNCTION(" IF
( VLOOKUP($G516,IMPORTRANGE(""https://docs.google.com/spreadsheets/d/1Gpl6jkTg7sL4VDNimUm3S9Vi1i95esohXCF3wuKOE8c"", ""'CONSOLIDADO'!G5:AB""), 10, 0) &lt;&gt; 0, 
IFERROR(VLOOKUP($G516,IMPORTRANGE(""https://docs.google.com/spreadsheets/d/1Gpl6jkTg7sL4VDNimU"&amp;"m3S9Vi1i95esohXCF3wuKOE8c"", ""'CONSOLIDADO'!G5:AB""), 17, 0), ""-""),
""""
)"),"R&amp;G")</f>
        <v>R&amp;G</v>
      </c>
      <c r="W516" s="39" t="str">
        <f>IFERROR(__xludf.DUMMYFUNCTION(" IF
( VLOOKUP($G516,IMPORTRANGE(""https://docs.google.com/spreadsheets/d/1Gpl6jkTg7sL4VDNimUm3S9Vi1i95esohXCF3wuKOE8c"", ""'CONSOLIDADO'!G5:AB""), 10, 0) &lt;&gt; 0, 
IFERROR(VLOOKUP($G516,IMPORTRANGE(""https://docs.google.com/spreadsheets/d/1Gpl6jkTg7sL4VDNimU"&amp;"m3S9Vi1i95esohXCF3wuKOE8c"", ""'CONSOLIDADO'!G5:AB""), 18, 0), ""-""),
""""
)"),"RESPIRADOR TIPO C - N95 3 CAPAS")</f>
        <v>RESPIRADOR TIPO C - N95 3 CAPAS</v>
      </c>
      <c r="X516" s="39" t="b">
        <f t="shared" si="55"/>
        <v>1</v>
      </c>
      <c r="Y516" s="120" t="str">
        <f>IFERROR(__xludf.DUMMYFUNCTION(" IF
( VLOOKUP($G516,IMPORTRANGE(""https://docs.google.com/spreadsheets/d/1Gpl6jkTg7sL4VDNimUm3S9Vi1i95esohXCF3wuKOE8c"", ""'CONSOLIDADO'!G5:AB""), 10, 0) &lt;&gt; 0, 
IFERROR(VLOOKUP($G516,IMPORTRANGE(""https://docs.google.com/spreadsheets/d/1Gpl6jkTg7sL4VDNimU"&amp;"m3S9Vi1i95esohXCF3wuKOE8c"", ""'CONSOLIDADO'!G5:AB""), 19, 0), ""-""),
""""
)"),"https://rygsac.com/en/product/respirador-tipo-c-n95-4-capas-cajon-x-16-displays/")</f>
        <v>https://rygsac.com/en/product/respirador-tipo-c-n95-4-capas-cajon-x-16-displays/</v>
      </c>
      <c r="Z516" s="37" t="str">
        <f>IFERROR(__xludf.DUMMYFUNCTION("IFERROR(VLOOKUP(G516,IMPORTRANGE(""https://docs.google.com/spreadsheets/d/12RxCea4e5ggM7QGn1XE3FbLQa_-QbCNdBi90OdPjRqg"", ""'Plan de Compras'!D4:Q""), 12, 0), ""NO ESTÁ EN REQ"")"),"Técnica")</f>
        <v>Técnica</v>
      </c>
      <c r="AA516" s="37" t="str">
        <f>IFERROR(__xludf.DUMMYFUNCTION("IFERROR(VLOOKUP(G516,IMPORTRANGE(""https://docs.google.com/spreadsheets/d/12RxCea4e5ggM7QGn1XE3FbLQa_-QbCNdBi90OdPjRqg"", ""'Plan de Compras'!D4:Q""), 13, 0), """")"),"NACIONAL")</f>
        <v>NACIONAL</v>
      </c>
      <c r="AB516" s="32" t="str">
        <f>IFERROR(__xludf.DUMMYFUNCTION("IFERROR(VLOOKUP(G516,IMPORTRANGE(""https://docs.google.com/spreadsheets/d/12RxCea4e5ggM7QGn1XE3FbLQa_-QbCNdBi90OdPjRqg"", ""'Plan de Compras'!D4:Q""), 14, 0), """")"),"ANGIE")</f>
        <v>ANGIE</v>
      </c>
      <c r="AC516" s="72" t="str">
        <f>IFERROR(__xludf.DUMMYFUNCTION("IFERROR(VLOOKUP(G516,IMPORTRANGE(""https://docs.google.com/spreadsheets/d/12RxCea4e5ggM7QGn1XE3FbLQa_-QbCNdBi90OdPjRqg"", ""'Plan de Compras'!D4:Q""), 4, 0), """")"),"MASCARILLA")</f>
        <v>MASCARILLA</v>
      </c>
      <c r="AD516" s="37" t="str">
        <f>IFERROR(__xludf.DUMMYFUNCTION("IFERROR(IF(OR(C516=TRUE,C516=""""),VLOOKUP(G516,IMPORTRANGE(""https://docs.google.com/spreadsheets/d/1z9A1Wq-kKrhRNG5RS2a2fKpY1wIhSVz2ZNmP2mOl588/edit?usp=sharing"",""REQ VF!E4:H""),4,0),""NO APLICA""),""GENERAR REQ"")"),"GENERAR REQ")</f>
        <v>GENERAR REQ</v>
      </c>
      <c r="AE516" s="32" t="str">
        <f>IFERROR(__xludf.DUMMYFUNCTION("IFERROR(QUERY(IMPORTRANGE(""https://docs.google.com/spreadsheets/d/1z9A1Wq-kKrhRNG5RS2a2fKpY1wIhSVz2ZNmP2mOl588/edit?usp=sharing"",""REQ VF!E4:Q""),""SELECT Col10, Col11, Col12 WHERE Col1 = '""&amp;G516&amp;""'"",0),""NO APLICA"")"),"NO APLICA")</f>
        <v>NO APLICA</v>
      </c>
      <c r="AF516" s="32"/>
      <c r="AG516" s="32"/>
      <c r="AH516" s="8" t="s">
        <v>52</v>
      </c>
      <c r="AI516" s="13"/>
    </row>
    <row r="517">
      <c r="A517" s="117">
        <v>315.0</v>
      </c>
      <c r="B517" s="43" t="b">
        <v>1</v>
      </c>
      <c r="C517" s="26" t="b">
        <v>1</v>
      </c>
      <c r="D517" s="26" t="s">
        <v>35</v>
      </c>
      <c r="E517" s="26" t="s">
        <v>1510</v>
      </c>
      <c r="F517" s="59" t="s">
        <v>3357</v>
      </c>
      <c r="G517" s="37" t="s">
        <v>3357</v>
      </c>
      <c r="H517" s="82" t="s">
        <v>3358</v>
      </c>
      <c r="I517" s="43">
        <f>SUMIFS('Hoja 10'!$O:$O,'Hoja 10'!$F:$F,$G517)</f>
        <v>16</v>
      </c>
      <c r="J517" s="26">
        <f>IFERROR(__xludf.DUMMYFUNCTION("VLOOKUP(G517,IMPORTRANGE(""https://docs.google.com/spreadsheets/d/12RxCea4e5ggM7QGn1XE3FbLQa_-QbCNdBi90OdPjRqg/edit?gid=1692403370#gid=1692403370"", ""'Plan de Compras'!D4:2432""), 8,0)"),16.0)</f>
        <v>16</v>
      </c>
      <c r="K517" s="26" t="str">
        <f t="shared" si="40"/>
        <v>SI</v>
      </c>
      <c r="L517" s="29" t="s">
        <v>39</v>
      </c>
      <c r="M517" s="30" t="s">
        <v>40</v>
      </c>
      <c r="N517" s="32"/>
      <c r="O517" s="32" t="str">
        <f>VLOOKUP($G517,'Hoja 10'!$F$4:$AA1057, 19,0)</f>
        <v>TEAMFAR</v>
      </c>
      <c r="P517" s="32" t="str">
        <f>VLOOKUP($G517,'Hoja 10'!$F$4:$AA1057, 20,0)</f>
        <v>TEAMFAR</v>
      </c>
      <c r="Q517" s="33" t="str">
        <f>VLOOKUP($G517,'Hoja 10'!$F$4:$AA1057, 21,0)</f>
        <v>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v>
      </c>
      <c r="R517" s="30" t="s">
        <v>3359</v>
      </c>
      <c r="S517" s="34" t="b">
        <v>1</v>
      </c>
      <c r="T517" s="39" t="str">
        <f>IFERROR(__xludf.DUMMYFUNCTION(" IF
( VLOOKUP($G517,IMPORTRANGE(""https://docs.google.com/spreadsheets/d/1Gpl6jkTg7sL4VDNimUm3S9Vi1i95esohXCF3wuKOE8c"", ""'CONSOLIDADO'!G5:AB""), 10, 0) &lt;&gt; 0, 
IFERROR(VLOOKUP($G517,IMPORTRANGE(""https://docs.google.com/spreadsheets/d/1Gpl6jkTg7sL4VDNimU"&amp;"m3S9Vi1i95esohXCF3wuKOE8c"", ""'CONSOLIDADO'!G5:AB""), 17, 0), ""-""),
""""
)"),"NUPROINOX")</f>
        <v>NUPROINOX</v>
      </c>
      <c r="U517" s="39" t="str">
        <f>IFERROR(__xludf.DUMMYFUNCTION(" IF
( VLOOKUP($G517,IMPORTRANGE(""https://docs.google.com/spreadsheets/d/1Gpl6jkTg7sL4VDNimUm3S9Vi1i95esohXCF3wuKOE8c"", ""'CONSOLIDADO'!G5:AB""), 10, 0) &lt;&gt; 0, 
IFERROR(VLOOKUP($G517,IMPORTRANGE(""https://docs.google.com/spreadsheets/d/1Gpl6jkTg7sL4VDNimU"&amp;"m3S9Vi1i95esohXCF3wuKOE8c"", ""'CONSOLIDADO'!G5:AB""), 18, 0), ""-""),
""""
)"),"OLLA 10 LITROS")</f>
        <v>OLLA 10 LITROS</v>
      </c>
      <c r="V517" s="39" t="str">
        <f>IFERROR(__xludf.DUMMYFUNCTION(" IF
( VLOOKUP($G517,IMPORTRANGE(""https://docs.google.com/spreadsheets/d/1Gpl6jkTg7sL4VDNimUm3S9Vi1i95esohXCF3wuKOE8c"", ""'CONSOLIDADO'!G5:AB""), 10, 0) &lt;&gt; 0, 
IFERROR(VLOOKUP($G517,IMPORTRANGE(""https://docs.google.com/spreadsheets/d/1Gpl6jkTg7sL4VDNimU"&amp;"m3S9Vi1i95esohXCF3wuKOE8c"", ""'CONSOLIDADO'!G5:AB""), 17, 0), ""-""),
""""
)"),"NUPROINOX")</f>
        <v>NUPROINOX</v>
      </c>
      <c r="W517" s="39" t="str">
        <f>IFERROR(__xludf.DUMMYFUNCTION(" IF
( VLOOKUP($G517,IMPORTRANGE(""https://docs.google.com/spreadsheets/d/1Gpl6jkTg7sL4VDNimUm3S9Vi1i95esohXCF3wuKOE8c"", ""'CONSOLIDADO'!G5:AB""), 10, 0) &lt;&gt; 0, 
IFERROR(VLOOKUP($G517,IMPORTRANGE(""https://docs.google.com/spreadsheets/d/1Gpl6jkTg7sL4VDNimU"&amp;"m3S9Vi1i95esohXCF3wuKOE8c"", ""'CONSOLIDADO'!G5:AB""), 18, 0), ""-""),
""""
)"),"OLLA 10 LITROS")</f>
        <v>OLLA 10 LITROS</v>
      </c>
      <c r="X517" s="39" t="b">
        <f t="shared" si="55"/>
        <v>1</v>
      </c>
      <c r="Y517" s="120" t="str">
        <f>IFERROR(__xludf.DUMMYFUNCTION(" IF
( VLOOKUP($G517,IMPORTRANGE(""https://docs.google.com/spreadsheets/d/1Gpl6jkTg7sL4VDNimUm3S9Vi1i95esohXCF3wuKOE8c"", ""'CONSOLIDADO'!G5:AB""), 10, 0) &lt;&gt; 0, 
IFERROR(VLOOKUP($G517,IMPORTRANGE(""https://docs.google.com/spreadsheets/d/1Gpl6jkTg7sL4VDNimU"&amp;"m3S9Vi1i95esohXCF3wuKOE8c"", ""'CONSOLIDADO'!G5:AB""), 19, 0), ""-""),
""""
)"),"https://www.amazon.com/-/es/inoxidable-inferior-inducci%C3%B3n-saludable-resistente/dp/B0D22MDF9Y/ref=sr_1_14?sr=8-14")</f>
        <v>https://www.amazon.com/-/es/inoxidable-inferior-inducci%C3%B3n-saludable-resistente/dp/B0D22MDF9Y/ref=sr_1_14?sr=8-14</v>
      </c>
      <c r="Z517" s="37" t="str">
        <f>IFERROR(__xludf.DUMMYFUNCTION("IFERROR(VLOOKUP(G517,IMPORTRANGE(""https://docs.google.com/spreadsheets/d/12RxCea4e5ggM7QGn1XE3FbLQa_-QbCNdBi90OdPjRqg"", ""'Plan de Compras'!D4:Q""), 12, 0), ""NO ESTÁ EN REQ"")"),"Técnica")</f>
        <v>Técnica</v>
      </c>
      <c r="AA517" s="37" t="str">
        <f>IFERROR(__xludf.DUMMYFUNCTION("IFERROR(VLOOKUP(G517,IMPORTRANGE(""https://docs.google.com/spreadsheets/d/12RxCea4e5ggM7QGn1XE3FbLQa_-QbCNdBi90OdPjRqg"", ""'Plan de Compras'!D4:Q""), 13, 0), """")"),"NACIONAL")</f>
        <v>NACIONAL</v>
      </c>
      <c r="AB517" s="32" t="str">
        <f>IFERROR(__xludf.DUMMYFUNCTION("IFERROR(VLOOKUP(G517,IMPORTRANGE(""https://docs.google.com/spreadsheets/d/12RxCea4e5ggM7QGn1XE3FbLQa_-QbCNdBi90OdPjRqg"", ""'Plan de Compras'!D4:Q""), 14, 0), """")"),"JESSICA")</f>
        <v>JESSICA</v>
      </c>
      <c r="AC517" s="72" t="str">
        <f>IFERROR(__xludf.DUMMYFUNCTION("IFERROR(VLOOKUP(G517,IMPORTRANGE(""https://docs.google.com/spreadsheets/d/12RxCea4e5ggM7QGn1XE3FbLQa_-QbCNdBi90OdPjRqg"", ""'Plan de Compras'!D4:Q""), 4, 0), """")"),"OLLA 10 LITROS")</f>
        <v>OLLA 10 LITROS</v>
      </c>
      <c r="AD517" s="37" t="str">
        <f>IFERROR(__xludf.DUMMYFUNCTION("IFERROR(IF(OR(C517=TRUE,C517=""""),VLOOKUP(G517,IMPORTRANGE(""https://docs.google.com/spreadsheets/d/1z9A1Wq-kKrhRNG5RS2a2fKpY1wIhSVz2ZNmP2mOl588/edit?usp=sharing"",""REQ VF!E4:H""),4,0),""NO APLICA""),""GENERAR REQ"")"),"GENERAR REQ")</f>
        <v>GENERAR REQ</v>
      </c>
      <c r="AE517" s="32" t="str">
        <f>IFERROR(__xludf.DUMMYFUNCTION("IFERROR(QUERY(IMPORTRANGE(""https://docs.google.com/spreadsheets/d/1z9A1Wq-kKrhRNG5RS2a2fKpY1wIhSVz2ZNmP2mOl588/edit?usp=sharing"",""REQ VF!E4:Q""),""SELECT Col10, Col11, Col12 WHERE Col1 = '""&amp;G517&amp;""'"",0),""NO APLICA"")"),"NO APLICA")</f>
        <v>NO APLICA</v>
      </c>
      <c r="AF517" s="32"/>
      <c r="AG517" s="32"/>
      <c r="AH517" s="13"/>
      <c r="AI517" s="13"/>
    </row>
    <row r="518">
      <c r="A518" s="117">
        <v>316.0</v>
      </c>
      <c r="B518" s="43" t="b">
        <v>1</v>
      </c>
      <c r="C518" s="26" t="b">
        <v>1</v>
      </c>
      <c r="D518" s="26" t="s">
        <v>35</v>
      </c>
      <c r="E518" s="26" t="s">
        <v>1510</v>
      </c>
      <c r="F518" s="59" t="s">
        <v>3360</v>
      </c>
      <c r="G518" s="37" t="s">
        <v>3360</v>
      </c>
      <c r="H518" s="82" t="s">
        <v>3361</v>
      </c>
      <c r="I518" s="43">
        <f>SUMIFS('Hoja 10'!$O:$O,'Hoja 10'!$F:$F,$G518)</f>
        <v>36</v>
      </c>
      <c r="J518" s="26">
        <f>IFERROR(__xludf.DUMMYFUNCTION("VLOOKUP(G518,IMPORTRANGE(""https://docs.google.com/spreadsheets/d/12RxCea4e5ggM7QGn1XE3FbLQa_-QbCNdBi90OdPjRqg/edit?gid=1692403370#gid=1692403370"", ""'Plan de Compras'!D4:2432""), 8,0)"),36.0)</f>
        <v>36</v>
      </c>
      <c r="K518" s="26" t="str">
        <f t="shared" si="40"/>
        <v>SI</v>
      </c>
      <c r="L518" s="29" t="s">
        <v>39</v>
      </c>
      <c r="M518" s="30" t="s">
        <v>40</v>
      </c>
      <c r="N518" s="32"/>
      <c r="O518" s="32" t="str">
        <f>VLOOKUP($G518,'Hoja 10'!$F$4:$AA1057, 19,0)</f>
        <v>GENERICO</v>
      </c>
      <c r="P518" s="32" t="str">
        <f>VLOOKUP($G518,'Hoja 10'!$F$4:$AA1057, 20,0)</f>
        <v>GENERICO</v>
      </c>
      <c r="Q518" s="33" t="str">
        <f>VLOOKUP($G518,'Hoja 10'!$F$4:$AA1057, 21,0)</f>
        <v>https://www.amazon.com.mx/Inoxidable-Cocinar-Calentar-Preparar-Alimentos/dp/B0BX2FP81N</v>
      </c>
      <c r="R518" s="30" t="s">
        <v>3362</v>
      </c>
      <c r="S518" s="34" t="b">
        <v>1</v>
      </c>
      <c r="T518" s="39" t="str">
        <f>IFERROR(__xludf.DUMMYFUNCTION(" IF
( VLOOKUP($G518,IMPORTRANGE(""https://docs.google.com/spreadsheets/d/1Gpl6jkTg7sL4VDNimUm3S9Vi1i95esohXCF3wuKOE8c"", ""'CONSOLIDADO'!G5:AB""), 10, 0) &lt;&gt; 0, 
IFERROR(VLOOKUP($G518,IMPORTRANGE(""https://docs.google.com/spreadsheets/d/1Gpl6jkTg7sL4VDNimU"&amp;"m3S9Vi1i95esohXCF3wuKOE8c"", ""'CONSOLIDADO'!G5:AB""), 17, 0), ""-""),
""""
)"),"NUPROINOX")</f>
        <v>NUPROINOX</v>
      </c>
      <c r="U518" s="39" t="str">
        <f>IFERROR(__xludf.DUMMYFUNCTION(" IF
( VLOOKUP($G518,IMPORTRANGE(""https://docs.google.com/spreadsheets/d/1Gpl6jkTg7sL4VDNimUm3S9Vi1i95esohXCF3wuKOE8c"", ""'CONSOLIDADO'!G5:AB""), 10, 0) &lt;&gt; 0, 
IFERROR(VLOOKUP($G518,IMPORTRANGE(""https://docs.google.com/spreadsheets/d/1Gpl6jkTg7sL4VDNimU"&amp;"m3S9Vi1i95esohXCF3wuKOE8c"", ""'CONSOLIDADO'!G5:AB""), 18, 0), ""-""),
""""
)"),"OLLA 5 LITROS")</f>
        <v>OLLA 5 LITROS</v>
      </c>
      <c r="V518" s="39" t="str">
        <f>IFERROR(__xludf.DUMMYFUNCTION(" IF
( VLOOKUP($G518,IMPORTRANGE(""https://docs.google.com/spreadsheets/d/1Gpl6jkTg7sL4VDNimUm3S9Vi1i95esohXCF3wuKOE8c"", ""'CONSOLIDADO'!G5:AB""), 10, 0) &lt;&gt; 0, 
IFERROR(VLOOKUP($G518,IMPORTRANGE(""https://docs.google.com/spreadsheets/d/1Gpl6jkTg7sL4VDNimU"&amp;"m3S9Vi1i95esohXCF3wuKOE8c"", ""'CONSOLIDADO'!G5:AB""), 17, 0), ""-""),
""""
)"),"NUPROINOX")</f>
        <v>NUPROINOX</v>
      </c>
      <c r="W518" s="39" t="str">
        <f>IFERROR(__xludf.DUMMYFUNCTION(" IF
( VLOOKUP($G518,IMPORTRANGE(""https://docs.google.com/spreadsheets/d/1Gpl6jkTg7sL4VDNimUm3S9Vi1i95esohXCF3wuKOE8c"", ""'CONSOLIDADO'!G5:AB""), 10, 0) &lt;&gt; 0, 
IFERROR(VLOOKUP($G518,IMPORTRANGE(""https://docs.google.com/spreadsheets/d/1Gpl6jkTg7sL4VDNimU"&amp;"m3S9Vi1i95esohXCF3wuKOE8c"", ""'CONSOLIDADO'!G5:AB""), 18, 0), ""-""),
""""
)"),"OLLA 5 LITROS")</f>
        <v>OLLA 5 LITROS</v>
      </c>
      <c r="X518" s="39" t="b">
        <f t="shared" si="55"/>
        <v>1</v>
      </c>
      <c r="Y518" s="120" t="str">
        <f>IFERROR(__xludf.DUMMYFUNCTION(" IF
( VLOOKUP($G518,IMPORTRANGE(""https://docs.google.com/spreadsheets/d/1Gpl6jkTg7sL4VDNimUm3S9Vi1i95esohXCF3wuKOE8c"", ""'CONSOLIDADO'!G5:AB""), 10, 0) &lt;&gt; 0, 
IFERROR(VLOOKUP($G518,IMPORTRANGE(""https://docs.google.com/spreadsheets/d/1Gpl6jkTg7sL4VDNimU"&amp;"m3S9Vi1i95esohXCF3wuKOE8c"", ""'CONSOLIDADO'!G5:AB""), 19, 0), ""-""),
""""
)"),"https://www.amazon.com.mx/Inoxidable-Cocinar-Calentar-Preparar-Alimentos/dp/B0BX2FP81N")</f>
        <v>https://www.amazon.com.mx/Inoxidable-Cocinar-Calentar-Preparar-Alimentos/dp/B0BX2FP81N</v>
      </c>
      <c r="Z518" s="37" t="str">
        <f>IFERROR(__xludf.DUMMYFUNCTION("IFERROR(VLOOKUP(G518,IMPORTRANGE(""https://docs.google.com/spreadsheets/d/12RxCea4e5ggM7QGn1XE3FbLQa_-QbCNdBi90OdPjRqg"", ""'Plan de Compras'!D4:Q""), 12, 0), ""NO ESTÁ EN REQ"")"),"Técnica")</f>
        <v>Técnica</v>
      </c>
      <c r="AA518" s="37" t="str">
        <f>IFERROR(__xludf.DUMMYFUNCTION("IFERROR(VLOOKUP(G518,IMPORTRANGE(""https://docs.google.com/spreadsheets/d/12RxCea4e5ggM7QGn1XE3FbLQa_-QbCNdBi90OdPjRqg"", ""'Plan de Compras'!D4:Q""), 13, 0), """")"),"NACIONAL")</f>
        <v>NACIONAL</v>
      </c>
      <c r="AB518" s="32" t="str">
        <f>IFERROR(__xludf.DUMMYFUNCTION("IFERROR(VLOOKUP(G518,IMPORTRANGE(""https://docs.google.com/spreadsheets/d/12RxCea4e5ggM7QGn1XE3FbLQa_-QbCNdBi90OdPjRqg"", ""'Plan de Compras'!D4:Q""), 14, 0), """")"),"JESSICA")</f>
        <v>JESSICA</v>
      </c>
      <c r="AC518" s="72" t="str">
        <f>IFERROR(__xludf.DUMMYFUNCTION("IFERROR(VLOOKUP(G518,IMPORTRANGE(""https://docs.google.com/spreadsheets/d/12RxCea4e5ggM7QGn1XE3FbLQa_-QbCNdBi90OdPjRqg"", ""'Plan de Compras'!D4:Q""), 4, 0), """")"),"OLLA 5 LITROS")</f>
        <v>OLLA 5 LITROS</v>
      </c>
      <c r="AD518" s="37" t="str">
        <f>IFERROR(__xludf.DUMMYFUNCTION("IFERROR(IF(OR(C518=TRUE,C518=""""),VLOOKUP(G518,IMPORTRANGE(""https://docs.google.com/spreadsheets/d/1z9A1Wq-kKrhRNG5RS2a2fKpY1wIhSVz2ZNmP2mOl588/edit?usp=sharing"",""REQ VF!E4:H""),4,0),""NO APLICA""),""GENERAR REQ"")"),"GENERAR REQ")</f>
        <v>GENERAR REQ</v>
      </c>
      <c r="AE518" s="32" t="str">
        <f>IFERROR(__xludf.DUMMYFUNCTION("IFERROR(QUERY(IMPORTRANGE(""https://docs.google.com/spreadsheets/d/1z9A1Wq-kKrhRNG5RS2a2fKpY1wIhSVz2ZNmP2mOl588/edit?usp=sharing"",""REQ VF!E4:Q""),""SELECT Col10, Col11, Col12 WHERE Col1 = '""&amp;G518&amp;""'"",0),""NO APLICA"")"),"NO APLICA")</f>
        <v>NO APLICA</v>
      </c>
      <c r="AF518" s="32"/>
      <c r="AG518" s="32"/>
      <c r="AH518" s="13"/>
      <c r="AI518" s="13"/>
    </row>
    <row r="519">
      <c r="A519" s="121">
        <v>317.0</v>
      </c>
      <c r="B519" s="43" t="b">
        <v>1</v>
      </c>
      <c r="C519" s="26" t="b">
        <v>1</v>
      </c>
      <c r="D519" s="26" t="s">
        <v>35</v>
      </c>
      <c r="E519" s="26" t="s">
        <v>1510</v>
      </c>
      <c r="F519" s="59" t="s">
        <v>3363</v>
      </c>
      <c r="G519" s="37" t="s">
        <v>3363</v>
      </c>
      <c r="H519" s="82" t="s">
        <v>3364</v>
      </c>
      <c r="I519" s="43">
        <f>SUMIFS('Hoja 10'!$O:$O,'Hoja 10'!$F:$F,$G519)</f>
        <v>4</v>
      </c>
      <c r="J519" s="26">
        <f>IFERROR(__xludf.DUMMYFUNCTION("VLOOKUP(G519,IMPORTRANGE(""https://docs.google.com/spreadsheets/d/12RxCea4e5ggM7QGn1XE3FbLQa_-QbCNdBi90OdPjRqg/edit?gid=1692403370#gid=1692403370"", ""'Plan de Compras'!D4:2432""), 8,0)"),4.0)</f>
        <v>4</v>
      </c>
      <c r="K519" s="26" t="str">
        <f t="shared" si="40"/>
        <v>SI</v>
      </c>
      <c r="L519" s="29" t="s">
        <v>39</v>
      </c>
      <c r="M519" s="30" t="s">
        <v>40</v>
      </c>
      <c r="N519" s="32"/>
      <c r="O519" s="32" t="str">
        <f>VLOOKUP($G519,'Hoja 10'!$F$4:$AA1057, 19,0)</f>
        <v>MOLAH</v>
      </c>
      <c r="P519" s="32" t="str">
        <f>VLOOKUP($G519,'Hoja 10'!$F$4:$AA1057, 20,0)</f>
        <v>MOLAH</v>
      </c>
      <c r="Q519" s="33" t="str">
        <f>VLOOKUP($G519,'Hoja 10'!$F$4:$AA1057, 21,0)</f>
        <v>https://www.amazon.com.mx/Inoxidable-Alimenticio-Capacidad-Industrial-Profesional/dp/B08TB3W74W</v>
      </c>
      <c r="R519" s="30" t="s">
        <v>3365</v>
      </c>
      <c r="S519" s="34" t="b">
        <v>1</v>
      </c>
      <c r="T519" s="39" t="str">
        <f>IFERROR(__xludf.DUMMYFUNCTION(" IF
( VLOOKUP($G519,IMPORTRANGE(""https://docs.google.com/spreadsheets/d/1Gpl6jkTg7sL4VDNimUm3S9Vi1i95esohXCF3wuKOE8c"", ""'CONSOLIDADO'!G5:AB""), 10, 0) &lt;&gt; 0, 
IFERROR(VLOOKUP($G519,IMPORTRANGE(""https://docs.google.com/spreadsheets/d/1Gpl6jkTg7sL4VDNimU"&amp;"m3S9Vi1i95esohXCF3wuKOE8c"", ""'CONSOLIDADO'!G5:AB""), 17, 0), ""-""),
""""
)"),"NUPROINOX")</f>
        <v>NUPROINOX</v>
      </c>
      <c r="U519" s="39" t="str">
        <f>IFERROR(__xludf.DUMMYFUNCTION(" IF
( VLOOKUP($G519,IMPORTRANGE(""https://docs.google.com/spreadsheets/d/1Gpl6jkTg7sL4VDNimUm3S9Vi1i95esohXCF3wuKOE8c"", ""'CONSOLIDADO'!G5:AB""), 10, 0) &lt;&gt; 0, 
IFERROR(VLOOKUP($G519,IMPORTRANGE(""https://docs.google.com/spreadsheets/d/1Gpl6jkTg7sL4VDNimU"&amp;"m3S9Vi1i95esohXCF3wuKOE8c"", ""'CONSOLIDADO'!G5:AB""), 18, 0), ""-""),
""""
)"),"OLLA 50 LITROS")</f>
        <v>OLLA 50 LITROS</v>
      </c>
      <c r="V519" s="39" t="str">
        <f>IFERROR(__xludf.DUMMYFUNCTION(" IF
( VLOOKUP($G519,IMPORTRANGE(""https://docs.google.com/spreadsheets/d/1Gpl6jkTg7sL4VDNimUm3S9Vi1i95esohXCF3wuKOE8c"", ""'CONSOLIDADO'!G5:AB""), 10, 0) &lt;&gt; 0, 
IFERROR(VLOOKUP($G519,IMPORTRANGE(""https://docs.google.com/spreadsheets/d/1Gpl6jkTg7sL4VDNimU"&amp;"m3S9Vi1i95esohXCF3wuKOE8c"", ""'CONSOLIDADO'!G5:AB""), 17, 0), ""-""),
""""
)"),"NUPROINOX")</f>
        <v>NUPROINOX</v>
      </c>
      <c r="W519" s="39" t="str">
        <f>IFERROR(__xludf.DUMMYFUNCTION(" IF
( VLOOKUP($G519,IMPORTRANGE(""https://docs.google.com/spreadsheets/d/1Gpl6jkTg7sL4VDNimUm3S9Vi1i95esohXCF3wuKOE8c"", ""'CONSOLIDADO'!G5:AB""), 10, 0) &lt;&gt; 0, 
IFERROR(VLOOKUP($G519,IMPORTRANGE(""https://docs.google.com/spreadsheets/d/1Gpl6jkTg7sL4VDNimU"&amp;"m3S9Vi1i95esohXCF3wuKOE8c"", ""'CONSOLIDADO'!G5:AB""), 18, 0), ""-""),
""""
)"),"OLLA 50 LITROS")</f>
        <v>OLLA 50 LITROS</v>
      </c>
      <c r="X519" s="39" t="b">
        <f t="shared" si="55"/>
        <v>1</v>
      </c>
      <c r="Y519" s="120" t="str">
        <f>IFERROR(__xludf.DUMMYFUNCTION(" IF
( VLOOKUP($G519,IMPORTRANGE(""https://docs.google.com/spreadsheets/d/1Gpl6jkTg7sL4VDNimUm3S9Vi1i95esohXCF3wuKOE8c"", ""'CONSOLIDADO'!G5:AB""), 10, 0) &lt;&gt; 0, 
IFERROR(VLOOKUP($G519,IMPORTRANGE(""https://docs.google.com/spreadsheets/d/1Gpl6jkTg7sL4VDNimU"&amp;"m3S9Vi1i95esohXCF3wuKOE8c"", ""'CONSOLIDADO'!G5:AB""), 19, 0), ""-""),
""""
)"),"https://www.amazon.com.mx/Inoxidable-Alimenticio-Capacidad-Industrial-Profesional/dp/B08TB3W74W")</f>
        <v>https://www.amazon.com.mx/Inoxidable-Alimenticio-Capacidad-Industrial-Profesional/dp/B08TB3W74W</v>
      </c>
      <c r="Z519" s="37" t="str">
        <f>IFERROR(__xludf.DUMMYFUNCTION("IFERROR(VLOOKUP(G519,IMPORTRANGE(""https://docs.google.com/spreadsheets/d/12RxCea4e5ggM7QGn1XE3FbLQa_-QbCNdBi90OdPjRqg"", ""'Plan de Compras'!D4:Q""), 12, 0), ""NO ESTÁ EN REQ"")"),"Técnica")</f>
        <v>Técnica</v>
      </c>
      <c r="AA519" s="37" t="str">
        <f>IFERROR(__xludf.DUMMYFUNCTION("IFERROR(VLOOKUP(G519,IMPORTRANGE(""https://docs.google.com/spreadsheets/d/12RxCea4e5ggM7QGn1XE3FbLQa_-QbCNdBi90OdPjRqg"", ""'Plan de Compras'!D4:Q""), 13, 0), """")"),"NACIONAL")</f>
        <v>NACIONAL</v>
      </c>
      <c r="AB519" s="32" t="str">
        <f>IFERROR(__xludf.DUMMYFUNCTION("IFERROR(VLOOKUP(G519,IMPORTRANGE(""https://docs.google.com/spreadsheets/d/12RxCea4e5ggM7QGn1XE3FbLQa_-QbCNdBi90OdPjRqg"", ""'Plan de Compras'!D4:Q""), 14, 0), """")"),"JESSICA")</f>
        <v>JESSICA</v>
      </c>
      <c r="AC519" s="72" t="str">
        <f>IFERROR(__xludf.DUMMYFUNCTION("IFERROR(VLOOKUP(G519,IMPORTRANGE(""https://docs.google.com/spreadsheets/d/12RxCea4e5ggM7QGn1XE3FbLQa_-QbCNdBi90OdPjRqg"", ""'Plan de Compras'!D4:Q""), 4, 0), """")"),"OLLA 50 LITROS")</f>
        <v>OLLA 50 LITROS</v>
      </c>
      <c r="AD519" s="37" t="str">
        <f>IFERROR(__xludf.DUMMYFUNCTION("IFERROR(IF(OR(C519=TRUE,C519=""""),VLOOKUP(G519,IMPORTRANGE(""https://docs.google.com/spreadsheets/d/1z9A1Wq-kKrhRNG5RS2a2fKpY1wIhSVz2ZNmP2mOl588/edit?usp=sharing"",""REQ VF!E4:H""),4,0),""NO APLICA""),""GENERAR REQ"")"),"GENERAR REQ")</f>
        <v>GENERAR REQ</v>
      </c>
      <c r="AE519" s="32" t="str">
        <f>IFERROR(__xludf.DUMMYFUNCTION("IFERROR(QUERY(IMPORTRANGE(""https://docs.google.com/spreadsheets/d/1z9A1Wq-kKrhRNG5RS2a2fKpY1wIhSVz2ZNmP2mOl588/edit?usp=sharing"",""REQ VF!E4:Q""),""SELECT Col10, Col11, Col12 WHERE Col1 = '""&amp;G519&amp;""'"",0),""NO APLICA"")"),"NO APLICA")</f>
        <v>NO APLICA</v>
      </c>
      <c r="AF519" s="32"/>
      <c r="AG519" s="32"/>
      <c r="AH519" s="13"/>
      <c r="AI519" s="13"/>
    </row>
    <row r="520">
      <c r="A520" s="121">
        <v>318.0</v>
      </c>
      <c r="B520" s="43" t="b">
        <v>1</v>
      </c>
      <c r="C520" s="26" t="b">
        <v>1</v>
      </c>
      <c r="D520" s="26" t="s">
        <v>35</v>
      </c>
      <c r="E520" s="26" t="s">
        <v>1510</v>
      </c>
      <c r="F520" s="59" t="s">
        <v>3366</v>
      </c>
      <c r="G520" s="37" t="s">
        <v>3366</v>
      </c>
      <c r="H520" s="82" t="s">
        <v>3367</v>
      </c>
      <c r="I520" s="43">
        <f>SUMIFS('Hoja 10'!$O:$O,'Hoja 10'!$F:$F,$G520)</f>
        <v>4</v>
      </c>
      <c r="J520" s="26">
        <f>IFERROR(__xludf.DUMMYFUNCTION("VLOOKUP(G520,IMPORTRANGE(""https://docs.google.com/spreadsheets/d/12RxCea4e5ggM7QGn1XE3FbLQa_-QbCNdBi90OdPjRqg/edit?gid=1692403370#gid=1692403370"", ""'Plan de Compras'!D4:2432""), 8,0)"),4.0)</f>
        <v>4</v>
      </c>
      <c r="K520" s="26" t="str">
        <f t="shared" si="40"/>
        <v>SI</v>
      </c>
      <c r="L520" s="29" t="s">
        <v>77</v>
      </c>
      <c r="M520" s="30" t="s">
        <v>78</v>
      </c>
      <c r="N520" s="32"/>
      <c r="O520" s="32" t="str">
        <f>VLOOKUP($G520,'Hoja 10'!$F$4:$AA1057, 19,0)</f>
        <v>OB</v>
      </c>
      <c r="P520" s="32" t="str">
        <f>VLOOKUP($G520,'Hoja 10'!$F$4:$AA1057, 20,0)</f>
        <v>OLL000005</v>
      </c>
      <c r="Q520" s="33" t="str">
        <f>VLOOKUP($G520,'Hoja 10'!$F$4:$AA1057, 21,0)</f>
        <v>https://ollasdebarro.com/producto/olla-5-kilos-barro-peruano/</v>
      </c>
      <c r="R520" s="30" t="s">
        <v>3368</v>
      </c>
      <c r="S520" s="44" t="b">
        <v>1</v>
      </c>
      <c r="T520" s="39" t="s">
        <v>3369</v>
      </c>
      <c r="U520" s="39" t="s">
        <v>3370</v>
      </c>
      <c r="V520" s="39" t="str">
        <f>IFERROR(__xludf.DUMMYFUNCTION(" IF
( VLOOKUP($G520,IMPORTRANGE(""https://docs.google.com/spreadsheets/d/1Gpl6jkTg7sL4VDNimUm3S9Vi1i95esohXCF3wuKOE8c"", ""'CONSOLIDADO'!G5:AB""), 10, 0) &lt;&gt; 0, 
IFERROR(VLOOKUP($G520,IMPORTRANGE(""https://docs.google.com/spreadsheets/d/1Gpl6jkTg7sL4VDNimU"&amp;"m3S9Vi1i95esohXCF3wuKOE8c"", ""'CONSOLIDADO'!G5:AB""), 17, 0), ""-""),
""""
)"),"GENÉRICO")</f>
        <v>GENÉRICO</v>
      </c>
      <c r="W520" s="39" t="str">
        <f>IFERROR(__xludf.DUMMYFUNCTION(" IF
( VLOOKUP($G520,IMPORTRANGE(""https://docs.google.com/spreadsheets/d/1Gpl6jkTg7sL4VDNimUm3S9Vi1i95esohXCF3wuKOE8c"", ""'CONSOLIDADO'!G5:AB""), 10, 0) &lt;&gt; 0, 
IFERROR(VLOOKUP($G520,IMPORTRANGE(""https://docs.google.com/spreadsheets/d/1Gpl6jkTg7sL4VDNimU"&amp;"m3S9Vi1i95esohXCF3wuKOE8c"", ""'CONSOLIDADO'!G5:AB""), 18, 0), ""-""),
""""
)"),"OLLA Barro Peruano 5kg")</f>
        <v>OLLA Barro Peruano 5kg</v>
      </c>
      <c r="X520" s="39" t="b">
        <f t="shared" si="55"/>
        <v>0</v>
      </c>
      <c r="Y520" s="120" t="s">
        <v>3371</v>
      </c>
      <c r="Z520" s="37" t="str">
        <f>IFERROR(__xludf.DUMMYFUNCTION("IFERROR(VLOOKUP(G520,IMPORTRANGE(""https://docs.google.com/spreadsheets/d/12RxCea4e5ggM7QGn1XE3FbLQa_-QbCNdBi90OdPjRqg"", ""'Plan de Compras'!D4:Q""), 12, 0), ""NO ESTÁ EN REQ"")"),"Simple")</f>
        <v>Simple</v>
      </c>
      <c r="AA520" s="37" t="str">
        <f>IFERROR(__xludf.DUMMYFUNCTION("IFERROR(VLOOKUP(G520,IMPORTRANGE(""https://docs.google.com/spreadsheets/d/12RxCea4e5ggM7QGn1XE3FbLQa_-QbCNdBi90OdPjRqg"", ""'Plan de Compras'!D4:Q""), 13, 0), """")"),"NACIONAL")</f>
        <v>NACIONAL</v>
      </c>
      <c r="AB520" s="32" t="str">
        <f>IFERROR(__xludf.DUMMYFUNCTION("IFERROR(VLOOKUP(G520,IMPORTRANGE(""https://docs.google.com/spreadsheets/d/12RxCea4e5ggM7QGn1XE3FbLQa_-QbCNdBi90OdPjRqg"", ""'Plan de Compras'!D4:Q""), 14, 0), """")"),"JESSICA")</f>
        <v>JESSICA</v>
      </c>
      <c r="AC520" s="72" t="str">
        <f>IFERROR(__xludf.DUMMYFUNCTION("IFERROR(VLOOKUP(G520,IMPORTRANGE(""https://docs.google.com/spreadsheets/d/12RxCea4e5ggM7QGn1XE3FbLQa_-QbCNdBi90OdPjRqg"", ""'Plan de Compras'!D4:Q""), 4, 0), """")"),"OLLA DE BARRO")</f>
        <v>OLLA DE BARRO</v>
      </c>
      <c r="AD520" s="37" t="str">
        <f>IFERROR(__xludf.DUMMYFUNCTION("IFERROR(IF(OR(C520=TRUE,C520=""""),VLOOKUP(G520,IMPORTRANGE(""https://docs.google.com/spreadsheets/d/1z9A1Wq-kKrhRNG5RS2a2fKpY1wIhSVz2ZNmP2mOl588/edit?usp=sharing"",""REQ VF!E4:H""),4,0),""NO APLICA""),""GENERAR REQ"")"),"GENERAR REQ")</f>
        <v>GENERAR REQ</v>
      </c>
      <c r="AE520" s="32" t="str">
        <f>IFERROR(__xludf.DUMMYFUNCTION("IFERROR(QUERY(IMPORTRANGE(""https://docs.google.com/spreadsheets/d/1z9A1Wq-kKrhRNG5RS2a2fKpY1wIhSVz2ZNmP2mOl588/edit?usp=sharing"",""REQ VF!E4:Q""),""SELECT Col10, Col11, Col12 WHERE Col1 = '""&amp;G520&amp;""'"",0),""NO APLICA"")"),"NO APLICA")</f>
        <v>NO APLICA</v>
      </c>
      <c r="AF520" s="32"/>
      <c r="AG520" s="32"/>
      <c r="AH520" s="8" t="s">
        <v>52</v>
      </c>
      <c r="AI520" s="13"/>
    </row>
    <row r="521">
      <c r="A521" s="121">
        <v>319.0</v>
      </c>
      <c r="B521" s="43" t="b">
        <v>1</v>
      </c>
      <c r="C521" s="26" t="b">
        <v>1</v>
      </c>
      <c r="D521" s="26" t="s">
        <v>35</v>
      </c>
      <c r="E521" s="26" t="s">
        <v>1510</v>
      </c>
      <c r="F521" s="59" t="s">
        <v>3372</v>
      </c>
      <c r="G521" s="37" t="s">
        <v>3372</v>
      </c>
      <c r="H521" s="82" t="s">
        <v>3373</v>
      </c>
      <c r="I521" s="43">
        <f>SUMIFS('Hoja 10'!$O:$O,'Hoja 10'!$F:$F,$G521)</f>
        <v>4</v>
      </c>
      <c r="J521" s="26">
        <f>IFERROR(__xludf.DUMMYFUNCTION("VLOOKUP(G521,IMPORTRANGE(""https://docs.google.com/spreadsheets/d/12RxCea4e5ggM7QGn1XE3FbLQa_-QbCNdBi90OdPjRqg/edit?gid=1692403370#gid=1692403370"", ""'Plan de Compras'!D4:2432""), 8,0)"),4.0)</f>
        <v>4</v>
      </c>
      <c r="K521" s="26" t="str">
        <f t="shared" si="40"/>
        <v>SI</v>
      </c>
      <c r="L521" s="29" t="s">
        <v>77</v>
      </c>
      <c r="M521" s="30" t="s">
        <v>78</v>
      </c>
      <c r="N521" s="32"/>
      <c r="O521" s="32" t="str">
        <f>VLOOKUP($G521,'Hoja 10'!$F$4:$AA1057, 19,0)</f>
        <v>Tramontina</v>
      </c>
      <c r="P521" s="32">
        <f>VLOOKUP($G521,'Hoja 10'!$F$4:$AA1057, 20,0)</f>
        <v>62137240</v>
      </c>
      <c r="Q521" s="33" t="str">
        <f>VLOOKUP($G521,'Hoja 10'!$F$4:$AA1057, 21,0)</f>
        <v>https://www.tramontina.com.pe/olla-para-spaghetti-solar-silicone-de-acero-inoxidable-con-fondo-triple-con-tapa-de-vidrio-de-24-cm-y-61l-tramontina_62137240/p?srsltid=AfmBOoqczef5Mref2cMntqcYOiDLYM_E8acgYDlhpzSYW1KJj79eDCBu</v>
      </c>
      <c r="R521" s="30" t="s">
        <v>3374</v>
      </c>
      <c r="S521" s="34" t="b">
        <v>1</v>
      </c>
      <c r="T521" s="39" t="s">
        <v>2766</v>
      </c>
      <c r="U521" s="39" t="s">
        <v>3375</v>
      </c>
      <c r="V521" s="39" t="str">
        <f>IFERROR(__xludf.DUMMYFUNCTION(" IF
( VLOOKUP($G521,IMPORTRANGE(""https://docs.google.com/spreadsheets/d/1Gpl6jkTg7sL4VDNimUm3S9Vi1i95esohXCF3wuKOE8c"", ""'CONSOLIDADO'!G5:AB""), 10, 0) &lt;&gt; 0, 
IFERROR(VLOOKUP($G521,IMPORTRANGE(""https://docs.google.com/spreadsheets/d/1Gpl6jkTg7sL4VDNimU"&amp;"m3S9Vi1i95esohXCF3wuKOE8c"", ""'CONSOLIDADO'!G5:AB""), 17, 0), ""-""),
""""
)"),"Tramontina")</f>
        <v>Tramontina</v>
      </c>
      <c r="W521" s="39">
        <f>IFERROR(__xludf.DUMMYFUNCTION(" IF
( VLOOKUP($G521,IMPORTRANGE(""https://docs.google.com/spreadsheets/d/1Gpl6jkTg7sL4VDNimUm3S9Vi1i95esohXCF3wuKOE8c"", ""'CONSOLIDADO'!G5:AB""), 10, 0) &lt;&gt; 0, 
IFERROR(VLOOKUP($G521,IMPORTRANGE(""https://docs.google.com/spreadsheets/d/1Gpl6jkTg7sL4VDNimU"&amp;"m3S9Vi1i95esohXCF3wuKOE8c"", ""'CONSOLIDADO'!G5:AB""), 18, 0), ""-""),
""""
)"),6.213724E7)</f>
        <v>62137240</v>
      </c>
      <c r="X521" s="39" t="b">
        <f t="shared" si="55"/>
        <v>0</v>
      </c>
      <c r="Y521" s="120" t="str">
        <f>IFERROR(__xludf.DUMMYFUNCTION(" IF
( VLOOKUP($G521,IMPORTRANGE(""https://docs.google.com/spreadsheets/d/1Gpl6jkTg7sL4VDNimUm3S9Vi1i95esohXCF3wuKOE8c"", ""'CONSOLIDADO'!G5:AB""), 10, 0) &lt;&gt; 0, 
IFERROR(VLOOKUP($G521,IMPORTRANGE(""https://docs.google.com/spreadsheets/d/1Gpl6jkTg7sL4VDNimU"&amp;"m3S9Vi1i95esohXCF3wuKOE8c"", ""'CONSOLIDADO'!G5:AB""), 19, 0), ""-""),
""""
)"),"https://www.tramontina.com.pe/olla-para-spaghetti-solar-silicone-de-acero-inoxidable-con-fondo-triple-con-tapa-de-vidrio-de-24-cm-y-61l-tramontina_62137240/p?srsltid=AfmBOoqczef5Mref2cMntqcYOiDLYM_E8acgYDlhpzSYW1KJj79eDCBu")</f>
        <v>https://www.tramontina.com.pe/olla-para-spaghetti-solar-silicone-de-acero-inoxidable-con-fondo-triple-con-tapa-de-vidrio-de-24-cm-y-61l-tramontina_62137240/p?srsltid=AfmBOoqczef5Mref2cMntqcYOiDLYM_E8acgYDlhpzSYW1KJj79eDCBu</v>
      </c>
      <c r="Z521" s="37" t="str">
        <f>IFERROR(__xludf.DUMMYFUNCTION("IFERROR(VLOOKUP(G521,IMPORTRANGE(""https://docs.google.com/spreadsheets/d/12RxCea4e5ggM7QGn1XE3FbLQa_-QbCNdBi90OdPjRqg"", ""'Plan de Compras'!D4:Q""), 12, 0), ""NO ESTÁ EN REQ"")"),"Simple")</f>
        <v>Simple</v>
      </c>
      <c r="AA521" s="37" t="str">
        <f>IFERROR(__xludf.DUMMYFUNCTION("IFERROR(VLOOKUP(G521,IMPORTRANGE(""https://docs.google.com/spreadsheets/d/12RxCea4e5ggM7QGn1XE3FbLQa_-QbCNdBi90OdPjRqg"", ""'Plan de Compras'!D4:Q""), 13, 0), """")"),"NACIONAL")</f>
        <v>NACIONAL</v>
      </c>
      <c r="AB521" s="32" t="str">
        <f>IFERROR(__xludf.DUMMYFUNCTION("IFERROR(VLOOKUP(G521,IMPORTRANGE(""https://docs.google.com/spreadsheets/d/12RxCea4e5ggM7QGn1XE3FbLQa_-QbCNdBi90OdPjRqg"", ""'Plan de Compras'!D4:Q""), 14, 0), """")"),"JESSICA")</f>
        <v>JESSICA</v>
      </c>
      <c r="AC521" s="72" t="str">
        <f>IFERROR(__xludf.DUMMYFUNCTION("IFERROR(VLOOKUP(G521,IMPORTRANGE(""https://docs.google.com/spreadsheets/d/12RxCea4e5ggM7QGn1XE3FbLQa_-QbCNdBi90OdPjRqg"", ""'Plan de Compras'!D4:Q""), 4, 0), """")"),"OLLA PARA PASTAS")</f>
        <v>OLLA PARA PASTAS</v>
      </c>
      <c r="AD521" s="37" t="str">
        <f>IFERROR(__xludf.DUMMYFUNCTION("IFERROR(IF(OR(C521=TRUE,C521=""""),VLOOKUP(G521,IMPORTRANGE(""https://docs.google.com/spreadsheets/d/1z9A1Wq-kKrhRNG5RS2a2fKpY1wIhSVz2ZNmP2mOl588/edit?usp=sharing"",""REQ VF!E4:H""),4,0),""NO APLICA""),""GENERAR REQ"")"),"GENERAR REQ")</f>
        <v>GENERAR REQ</v>
      </c>
      <c r="AE521" s="32" t="str">
        <f>IFERROR(__xludf.DUMMYFUNCTION("IFERROR(QUERY(IMPORTRANGE(""https://docs.google.com/spreadsheets/d/1z9A1Wq-kKrhRNG5RS2a2fKpY1wIhSVz2ZNmP2mOl588/edit?usp=sharing"",""REQ VF!E4:Q""),""SELECT Col10, Col11, Col12 WHERE Col1 = '""&amp;G521&amp;""'"",0),""NO APLICA"")"),"NO APLICA")</f>
        <v>NO APLICA</v>
      </c>
      <c r="AF521" s="32"/>
      <c r="AG521" s="32"/>
      <c r="AH521" s="13"/>
      <c r="AI521" s="13"/>
    </row>
    <row r="522">
      <c r="A522" s="117">
        <v>320.0</v>
      </c>
      <c r="B522" s="43" t="b">
        <v>1</v>
      </c>
      <c r="C522" s="26" t="b">
        <v>1</v>
      </c>
      <c r="D522" s="26" t="s">
        <v>35</v>
      </c>
      <c r="E522" s="26" t="s">
        <v>1510</v>
      </c>
      <c r="F522" s="59" t="s">
        <v>3376</v>
      </c>
      <c r="G522" s="37" t="s">
        <v>3376</v>
      </c>
      <c r="H522" s="82" t="s">
        <v>3377</v>
      </c>
      <c r="I522" s="43">
        <f>SUMIFS('Hoja 10'!$O:$O,'Hoja 10'!$F:$F,$G522)</f>
        <v>4</v>
      </c>
      <c r="J522" s="26">
        <f>IFERROR(__xludf.DUMMYFUNCTION("VLOOKUP(G522,IMPORTRANGE(""https://docs.google.com/spreadsheets/d/12RxCea4e5ggM7QGn1XE3FbLQa_-QbCNdBi90OdPjRqg/edit?gid=1692403370#gid=1692403370"", ""'Plan de Compras'!D4:2432""), 8,0)"),4.0)</f>
        <v>4</v>
      </c>
      <c r="K522" s="26" t="str">
        <f t="shared" si="40"/>
        <v>SI</v>
      </c>
      <c r="L522" s="29" t="s">
        <v>77</v>
      </c>
      <c r="M522" s="30" t="s">
        <v>78</v>
      </c>
      <c r="N522" s="32"/>
      <c r="O522" s="32" t="str">
        <f>VLOOKUP($G522,'Hoja 10'!$F$4:$AA1057, 19,0)</f>
        <v>Uniware</v>
      </c>
      <c r="P522" s="32" t="str">
        <f>VLOOKUP($G522,'Hoja 10'!$F$4:$AA1057, 20,0)</f>
        <v>Caldero</v>
      </c>
      <c r="Q522" s="33" t="str">
        <f>VLOOKUP($G522,'Hoja 10'!$F$4:$AA1057, 21,0)</f>
        <v>https://www.amazon.com/-/es/Uniware-Caldero-aluminio-calidad-estupenda/dp/B00V5IS55S?utm_source=chatgpt.com</v>
      </c>
      <c r="R522" s="30" t="s">
        <v>3378</v>
      </c>
      <c r="S522" s="44" t="b">
        <v>1</v>
      </c>
      <c r="T522" s="39" t="str">
        <f>IFERROR(__xludf.DUMMYFUNCTION(" IF
( VLOOKUP($G522,IMPORTRANGE(""https://docs.google.com/spreadsheets/d/1Gpl6jkTg7sL4VDNimUm3S9Vi1i95esohXCF3wuKOE8c"", ""'CONSOLIDADO'!G5:AB""), 10, 0) &lt;&gt; 0, 
IFERROR(VLOOKUP($G522,IMPORTRANGE(""https://docs.google.com/spreadsheets/d/1Gpl6jkTg7sL4VDNimU"&amp;"m3S9Vi1i95esohXCF3wuKOE8c"", ""'CONSOLIDADO'!G5:AB""), 17, 0), ""-""),
""""
)"),"OB")</f>
        <v>OB</v>
      </c>
      <c r="U522" s="39" t="str">
        <f>IFERROR(__xludf.DUMMYFUNCTION(" IF
( VLOOKUP($G522,IMPORTRANGE(""https://docs.google.com/spreadsheets/d/1Gpl6jkTg7sL4VDNimUm3S9Vi1i95esohXCF3wuKOE8c"", ""'CONSOLIDADO'!G5:AB""), 10, 0) &lt;&gt; 0, 
IFERROR(VLOOKUP($G522,IMPORTRANGE(""https://docs.google.com/spreadsheets/d/1Gpl6jkTg7sL4VDNimU"&amp;"m3S9Vi1i95esohXCF3wuKOE8c"", ""'CONSOLIDADO'!G5:AB""), 18, 0), ""-""),
""""
)"),"Caldero Aluminio Fundido")</f>
        <v>Caldero Aluminio Fundido</v>
      </c>
      <c r="V522" s="39" t="str">
        <f>IFERROR(__xludf.DUMMYFUNCTION(" IF
( VLOOKUP($G522,IMPORTRANGE(""https://docs.google.com/spreadsheets/d/1Gpl6jkTg7sL4VDNimUm3S9Vi1i95esohXCF3wuKOE8c"", ""'CONSOLIDADO'!G5:AB""), 10, 0) &lt;&gt; 0, 
IFERROR(VLOOKUP($G522,IMPORTRANGE(""https://docs.google.com/spreadsheets/d/1Gpl6jkTg7sL4VDNimU"&amp;"m3S9Vi1i95esohXCF3wuKOE8c"", ""'CONSOLIDADO'!G5:AB""), 17, 0), ""-""),
""""
)"),"OB")</f>
        <v>OB</v>
      </c>
      <c r="W522" s="39" t="str">
        <f>IFERROR(__xludf.DUMMYFUNCTION(" IF
( VLOOKUP($G522,IMPORTRANGE(""https://docs.google.com/spreadsheets/d/1Gpl6jkTg7sL4VDNimUm3S9Vi1i95esohXCF3wuKOE8c"", ""'CONSOLIDADO'!G5:AB""), 10, 0) &lt;&gt; 0, 
IFERROR(VLOOKUP($G522,IMPORTRANGE(""https://docs.google.com/spreadsheets/d/1Gpl6jkTg7sL4VDNimU"&amp;"m3S9Vi1i95esohXCF3wuKOE8c"", ""'CONSOLIDADO'!G5:AB""), 18, 0), ""-""),
""""
)"),"Caldero Aluminio Fundido")</f>
        <v>Caldero Aluminio Fundido</v>
      </c>
      <c r="X522" s="39" t="b">
        <f t="shared" si="55"/>
        <v>1</v>
      </c>
      <c r="Y522" s="120" t="str">
        <f>IFERROR(__xludf.DUMMYFUNCTION(" IF
( VLOOKUP($G522,IMPORTRANGE(""https://docs.google.com/spreadsheets/d/1Gpl6jkTg7sL4VDNimUm3S9Vi1i95esohXCF3wuKOE8c"", ""'CONSOLIDADO'!G5:AB""), 10, 0) &lt;&gt; 0, 
IFERROR(VLOOKUP($G522,IMPORTRANGE(""https://docs.google.com/spreadsheets/d/1Gpl6jkTg7sL4VDNimU"&amp;"m3S9Vi1i95esohXCF3wuKOE8c"", ""'CONSOLIDADO'!G5:AB""), 19, 0), ""-""),
""""
)"),"https://www.mercadolibre.cl/caldero-aluminio-fundido-ctapa-30-cm-6-litros-universal/p/MLC21635380")</f>
        <v>https://www.mercadolibre.cl/caldero-aluminio-fundido-ctapa-30-cm-6-litros-universal/p/MLC21635380</v>
      </c>
      <c r="Z522" s="37" t="str">
        <f>IFERROR(__xludf.DUMMYFUNCTION("IFERROR(VLOOKUP(G522,IMPORTRANGE(""https://docs.google.com/spreadsheets/d/12RxCea4e5ggM7QGn1XE3FbLQa_-QbCNdBi90OdPjRqg"", ""'Plan de Compras'!D4:Q""), 12, 0), ""NO ESTÁ EN REQ"")"),"Técnica")</f>
        <v>Técnica</v>
      </c>
      <c r="AA522" s="37" t="str">
        <f>IFERROR(__xludf.DUMMYFUNCTION("IFERROR(VLOOKUP(G522,IMPORTRANGE(""https://docs.google.com/spreadsheets/d/12RxCea4e5ggM7QGn1XE3FbLQa_-QbCNdBi90OdPjRqg"", ""'Plan de Compras'!D4:Q""), 13, 0), """")"),"NACIONAL")</f>
        <v>NACIONAL</v>
      </c>
      <c r="AB522" s="32" t="str">
        <f>IFERROR(__xludf.DUMMYFUNCTION("IFERROR(VLOOKUP(G522,IMPORTRANGE(""https://docs.google.com/spreadsheets/d/12RxCea4e5ggM7QGn1XE3FbLQa_-QbCNdBi90OdPjRqg"", ""'Plan de Compras'!D4:Q""), 14, 0), """")"),"JESSICA")</f>
        <v>JESSICA</v>
      </c>
      <c r="AC522" s="72" t="str">
        <f>IFERROR(__xludf.DUMMYFUNCTION("IFERROR(VLOOKUP(G522,IMPORTRANGE(""https://docs.google.com/spreadsheets/d/12RxCea4e5ggM7QGn1XE3FbLQa_-QbCNdBi90OdPjRqg"", ""'Plan de Compras'!D4:Q""), 4, 0), """")"),"OLLA PARA SOPAS Y RESERVA")</f>
        <v>OLLA PARA SOPAS Y RESERVA</v>
      </c>
      <c r="AD522" s="37" t="str">
        <f>IFERROR(__xludf.DUMMYFUNCTION("IFERROR(IF(OR(C522=TRUE,C522=""""),VLOOKUP(G522,IMPORTRANGE(""https://docs.google.com/spreadsheets/d/1z9A1Wq-kKrhRNG5RS2a2fKpY1wIhSVz2ZNmP2mOl588/edit?usp=sharing"",""REQ VF!E4:H""),4,0),""NO APLICA""),""GENERAR REQ"")"),"GENERAR REQ")</f>
        <v>GENERAR REQ</v>
      </c>
      <c r="AE522" s="32" t="str">
        <f>IFERROR(__xludf.DUMMYFUNCTION("IFERROR(QUERY(IMPORTRANGE(""https://docs.google.com/spreadsheets/d/1z9A1Wq-kKrhRNG5RS2a2fKpY1wIhSVz2ZNmP2mOl588/edit?usp=sharing"",""REQ VF!E4:Q""),""SELECT Col10, Col11, Col12 WHERE Col1 = '""&amp;G522&amp;""'"",0),""NO APLICA"")"),"NO APLICA")</f>
        <v>NO APLICA</v>
      </c>
      <c r="AF522" s="32"/>
      <c r="AG522" s="32"/>
      <c r="AH522" s="13"/>
      <c r="AI522" s="13"/>
    </row>
    <row r="523">
      <c r="A523" s="117">
        <v>321.0</v>
      </c>
      <c r="B523" s="43" t="b">
        <v>1</v>
      </c>
      <c r="C523" s="26" t="b">
        <v>1</v>
      </c>
      <c r="D523" s="26" t="s">
        <v>35</v>
      </c>
      <c r="E523" s="26" t="s">
        <v>1510</v>
      </c>
      <c r="F523" s="59" t="s">
        <v>3379</v>
      </c>
      <c r="G523" s="37" t="s">
        <v>3379</v>
      </c>
      <c r="H523" s="82" t="s">
        <v>3380</v>
      </c>
      <c r="I523" s="43">
        <f>SUMIFS('Hoja 10'!$O:$O,'Hoja 10'!$F:$F,$G523)</f>
        <v>42</v>
      </c>
      <c r="J523" s="26">
        <f>IFERROR(__xludf.DUMMYFUNCTION("VLOOKUP(G523,IMPORTRANGE(""https://docs.google.com/spreadsheets/d/12RxCea4e5ggM7QGn1XE3FbLQa_-QbCNdBi90OdPjRqg/edit?gid=1692403370#gid=1692403370"", ""'Plan de Compras'!D4:2432""), 8,0)"),42.0)</f>
        <v>42</v>
      </c>
      <c r="K523" s="26" t="str">
        <f t="shared" si="40"/>
        <v>SI</v>
      </c>
      <c r="L523" s="29" t="s">
        <v>296</v>
      </c>
      <c r="M523" s="30" t="s">
        <v>297</v>
      </c>
      <c r="N523" s="32"/>
      <c r="O523" s="32" t="str">
        <f>VLOOKUP($G523,'Hoja 10'!$F$4:$AA1057, 19,0)</f>
        <v>TR Industrial</v>
      </c>
      <c r="P523" s="32" t="str">
        <f>VLOOKUP($G523,'Hoja 10'!$F$4:$AA1057, 20,0)</f>
        <v>-</v>
      </c>
      <c r="Q523" s="33" t="str">
        <f>VLOOKUP($G523,'Hoja 10'!$F$4:$AA1057, 21,0)</f>
        <v>https://www.amazon.com/-/es/Orejeras-seguridad-industrial-cumplen-normas/dp/B00PUX97U6?th=1</v>
      </c>
      <c r="R523" s="30" t="s">
        <v>3381</v>
      </c>
      <c r="S523" s="34" t="b">
        <v>1</v>
      </c>
      <c r="T523" s="39" t="str">
        <f>IFERROR(__xludf.DUMMYFUNCTION(" IF
( VLOOKUP($G523,IMPORTRANGE(""https://docs.google.com/spreadsheets/d/1Gpl6jkTg7sL4VDNimUm3S9Vi1i95esohXCF3wuKOE8c"", ""'CONSOLIDADO'!G5:AB""), 10, 0) &lt;&gt; 0, 
IFERROR(VLOOKUP($G523,IMPORTRANGE(""https://docs.google.com/spreadsheets/d/1Gpl6jkTg7sL4VDNimU"&amp;"m3S9Vi1i95esohXCF3wuKOE8c"", ""'CONSOLIDADO'!G5:AB""), 17, 0), ""-""),
""""
)"),"TR Industrial")</f>
        <v>TR Industrial</v>
      </c>
      <c r="U523" s="39" t="str">
        <f>IFERROR(__xludf.DUMMYFUNCTION(" IF
( VLOOKUP($G523,IMPORTRANGE(""https://docs.google.com/spreadsheets/d/1Gpl6jkTg7sL4VDNimUm3S9Vi1i95esohXCF3wuKOE8c"", ""'CONSOLIDADO'!G5:AB""), 10, 0) &lt;&gt; 0, 
IFERROR(VLOOKUP($G523,IMPORTRANGE(""https://docs.google.com/spreadsheets/d/1Gpl6jkTg7sL4VDNimU"&amp;"m3S9Vi1i95esohXCF3wuKOE8c"", ""'CONSOLIDADO'!G5:AB""), 18, 0), ""-""),
""""
)"),"TR88014")</f>
        <v>TR88014</v>
      </c>
      <c r="V523" s="39" t="str">
        <f>IFERROR(__xludf.DUMMYFUNCTION(" IF
( VLOOKUP($G523,IMPORTRANGE(""https://docs.google.com/spreadsheets/d/1Gpl6jkTg7sL4VDNimUm3S9Vi1i95esohXCF3wuKOE8c"", ""'CONSOLIDADO'!G5:AB""), 10, 0) &lt;&gt; 0, 
IFERROR(VLOOKUP($G523,IMPORTRANGE(""https://docs.google.com/spreadsheets/d/1Gpl6jkTg7sL4VDNimU"&amp;"m3S9Vi1i95esohXCF3wuKOE8c"", ""'CONSOLIDADO'!G5:AB""), 17, 0), ""-""),
""""
)"),"TR Industrial")</f>
        <v>TR Industrial</v>
      </c>
      <c r="W523" s="39" t="str">
        <f>IFERROR(__xludf.DUMMYFUNCTION(" IF
( VLOOKUP($G523,IMPORTRANGE(""https://docs.google.com/spreadsheets/d/1Gpl6jkTg7sL4VDNimUm3S9Vi1i95esohXCF3wuKOE8c"", ""'CONSOLIDADO'!G5:AB""), 10, 0) &lt;&gt; 0, 
IFERROR(VLOOKUP($G523,IMPORTRANGE(""https://docs.google.com/spreadsheets/d/1Gpl6jkTg7sL4VDNimU"&amp;"m3S9Vi1i95esohXCF3wuKOE8c"", ""'CONSOLIDADO'!G5:AB""), 18, 0), ""-""),
""""
)"),"TR88014")</f>
        <v>TR88014</v>
      </c>
      <c r="X523" s="39" t="b">
        <f t="shared" si="55"/>
        <v>1</v>
      </c>
      <c r="Y523" s="120" t="s">
        <v>3382</v>
      </c>
      <c r="Z523" s="37" t="str">
        <f>IFERROR(__xludf.DUMMYFUNCTION("IFERROR(VLOOKUP(G523,IMPORTRANGE(""https://docs.google.com/spreadsheets/d/12RxCea4e5ggM7QGn1XE3FbLQa_-QbCNdBi90OdPjRqg"", ""'Plan de Compras'!D4:Q""), 12, 0), ""NO ESTÁ EN REQ"")"),"Simple")</f>
        <v>Simple</v>
      </c>
      <c r="AA523" s="37" t="str">
        <f>IFERROR(__xludf.DUMMYFUNCTION("IFERROR(VLOOKUP(G523,IMPORTRANGE(""https://docs.google.com/spreadsheets/d/12RxCea4e5ggM7QGn1XE3FbLQa_-QbCNdBi90OdPjRqg"", ""'Plan de Compras'!D4:Q""), 13, 0), """")"),"INTERNACIONAL")</f>
        <v>INTERNACIONAL</v>
      </c>
      <c r="AB523" s="32" t="str">
        <f>IFERROR(__xludf.DUMMYFUNCTION("IFERROR(VLOOKUP(G523,IMPORTRANGE(""https://docs.google.com/spreadsheets/d/12RxCea4e5ggM7QGn1XE3FbLQa_-QbCNdBi90OdPjRqg"", ""'Plan de Compras'!D4:Q""), 14, 0), """")"),"DIEGO ")</f>
        <v>DIEGO </v>
      </c>
      <c r="AC523" s="72" t="str">
        <f>IFERROR(__xludf.DUMMYFUNCTION("IFERROR(VLOOKUP(G523,IMPORTRANGE(""https://docs.google.com/spreadsheets/d/12RxCea4e5ggM7QGn1XE3FbLQa_-QbCNdBi90OdPjRqg"", ""'Plan de Compras'!D4:Q""), 4, 0), """")"),"OREJERAS")</f>
        <v>OREJERAS</v>
      </c>
      <c r="AD523" s="37" t="str">
        <f>IFERROR(__xludf.DUMMYFUNCTION("IFERROR(IF(OR(C523=TRUE,C523=""""),VLOOKUP(G523,IMPORTRANGE(""https://docs.google.com/spreadsheets/d/1z9A1Wq-kKrhRNG5RS2a2fKpY1wIhSVz2ZNmP2mOl588/edit?usp=sharing"",""REQ VF!E4:H""),4,0),""NO APLICA""),""GENERAR REQ"")"),"GENERAR REQ")</f>
        <v>GENERAR REQ</v>
      </c>
      <c r="AE523" s="32" t="str">
        <f>IFERROR(__xludf.DUMMYFUNCTION("IFERROR(QUERY(IMPORTRANGE(""https://docs.google.com/spreadsheets/d/1z9A1Wq-kKrhRNG5RS2a2fKpY1wIhSVz2ZNmP2mOl588/edit?usp=sharing"",""REQ VF!E4:Q""),""SELECT Col10, Col11, Col12 WHERE Col1 = '""&amp;G523&amp;""'"",0),""NO APLICA"")"),"NO APLICA")</f>
        <v>NO APLICA</v>
      </c>
      <c r="AF523" s="32"/>
      <c r="AG523" s="32"/>
      <c r="AH523" s="13"/>
      <c r="AI523" s="13"/>
    </row>
    <row r="524">
      <c r="A524" s="121">
        <v>322.0</v>
      </c>
      <c r="B524" s="43"/>
      <c r="C524" s="150" t="b">
        <v>1</v>
      </c>
      <c r="D524" s="150" t="s">
        <v>35</v>
      </c>
      <c r="E524" s="150" t="s">
        <v>1510</v>
      </c>
      <c r="F524" s="151" t="s">
        <v>3383</v>
      </c>
      <c r="G524" s="152" t="s">
        <v>3383</v>
      </c>
      <c r="H524" s="153" t="s">
        <v>3384</v>
      </c>
      <c r="I524" s="43">
        <f>SUMIFS('Hoja 10'!$O:$O,'Hoja 10'!$F:$F,$G524)</f>
        <v>16</v>
      </c>
      <c r="J524" s="26">
        <f>IFERROR(__xludf.DUMMYFUNCTION("VLOOKUP(G524,IMPORTRANGE(""https://docs.google.com/spreadsheets/d/12RxCea4e5ggM7QGn1XE3FbLQa_-QbCNdBi90OdPjRqg/edit?gid=1692403370#gid=1692403370"", ""'Plan de Compras'!D4:2432""), 8,0)"),16.0)</f>
        <v>16</v>
      </c>
      <c r="K524" s="26" t="str">
        <f t="shared" si="40"/>
        <v>SI</v>
      </c>
      <c r="L524" s="29" t="s">
        <v>39</v>
      </c>
      <c r="M524" s="30" t="s">
        <v>40</v>
      </c>
      <c r="N524" s="32"/>
      <c r="O524" s="32" t="str">
        <f>VLOOKUP($G524,'Hoja 10'!$F$4:$AA1057, 19,0)</f>
        <v>A MEDIDA</v>
      </c>
      <c r="P524" s="32" t="str">
        <f>VLOOKUP($G524,'Hoja 10'!$F$4:$AA1057, 20,0)</f>
        <v>A MEDIDA</v>
      </c>
      <c r="Q524" s="41" t="str">
        <f>VLOOKUP($G524,'Hoja 10'!$F$4:$AA1057, 21,0)</f>
        <v>A MEDIDA</v>
      </c>
      <c r="R524" s="30" t="s">
        <v>3385</v>
      </c>
      <c r="S524" s="34" t="b">
        <v>1</v>
      </c>
      <c r="T524" s="39" t="str">
        <f>IFERROR(__xludf.DUMMYFUNCTION(" IF
( VLOOKUP($G524,IMPORTRANGE(""https://docs.google.com/spreadsheets/d/1Gpl6jkTg7sL4VDNimUm3S9Vi1i95esohXCF3wuKOE8c"", ""'CONSOLIDADO'!G5:AB""), 10, 0) &lt;&gt; 0, 
IFERROR(VLOOKUP($G524,IMPORTRANGE(""https://docs.google.com/spreadsheets/d/1Gpl6jkTg7sL4VDNimU"&amp;"m3S9Vi1i95esohXCF3wuKOE8c"", ""'CONSOLIDADO'!G5:AB""), 17, 0), ""-""),
""""
)"),"Cesaro Perú")</f>
        <v>Cesaro Perú</v>
      </c>
      <c r="U524" s="39" t="str">
        <f>IFERROR(__xludf.DUMMYFUNCTION(" IF
( VLOOKUP($G524,IMPORTRANGE(""https://docs.google.com/spreadsheets/d/1Gpl6jkTg7sL4VDNimUm3S9Vi1i95esohXCF3wuKOE8c"", ""'CONSOLIDADO'!G5:AB""), 10, 0) &lt;&gt; 0, 
IFERROR(VLOOKUP($G524,IMPORTRANGE(""https://docs.google.com/spreadsheets/d/1Gpl6jkTg7sL4VDNimU"&amp;"m3S9Vi1i95esohXCF3wuKOE8c"", ""'CONSOLIDADO'!G5:AB""), 18, 0), ""-""),
""""
)"),"PALA PARA QUESO")</f>
        <v>PALA PARA QUESO</v>
      </c>
      <c r="V524" s="39" t="str">
        <f>IFERROR(__xludf.DUMMYFUNCTION(" IF
( VLOOKUP($G524,IMPORTRANGE(""https://docs.google.com/spreadsheets/d/1Gpl6jkTg7sL4VDNimUm3S9Vi1i95esohXCF3wuKOE8c"", ""'CONSOLIDADO'!G5:AB""), 10, 0) &lt;&gt; 0, 
IFERROR(VLOOKUP($G524,IMPORTRANGE(""https://docs.google.com/spreadsheets/d/1Gpl6jkTg7sL4VDNimU"&amp;"m3S9Vi1i95esohXCF3wuKOE8c"", ""'CONSOLIDADO'!G5:AB""), 17, 0), ""-""),
""""
)"),"Cesaro Perú")</f>
        <v>Cesaro Perú</v>
      </c>
      <c r="W524" s="39" t="str">
        <f>IFERROR(__xludf.DUMMYFUNCTION(" IF
( VLOOKUP($G524,IMPORTRANGE(""https://docs.google.com/spreadsheets/d/1Gpl6jkTg7sL4VDNimUm3S9Vi1i95esohXCF3wuKOE8c"", ""'CONSOLIDADO'!G5:AB""), 10, 0) &lt;&gt; 0, 
IFERROR(VLOOKUP($G524,IMPORTRANGE(""https://docs.google.com/spreadsheets/d/1Gpl6jkTg7sL4VDNimU"&amp;"m3S9Vi1i95esohXCF3wuKOE8c"", ""'CONSOLIDADO'!G5:AB""), 18, 0), ""-""),
""""
)"),"PALA PARA QUESO")</f>
        <v>PALA PARA QUESO</v>
      </c>
      <c r="X524" s="39" t="b">
        <f t="shared" si="55"/>
        <v>1</v>
      </c>
      <c r="Y524" s="110" t="str">
        <f>IFERROR(__xludf.DUMMYFUNCTION(" IF
( VLOOKUP($G524,IMPORTRANGE(""https://docs.google.com/spreadsheets/d/1Gpl6jkTg7sL4VDNimUm3S9Vi1i95esohXCF3wuKOE8c"", ""'CONSOLIDADO'!G5:AB""), 10, 0) &lt;&gt; 0, 
IFERROR(VLOOKUP($G524,IMPORTRANGE(""https://docs.google.com/spreadsheets/d/1Gpl6jkTg7sL4VDNimU"&amp;"m3S9Vi1i95esohXCF3wuKOE8c"", ""'CONSOLIDADO'!G5:AB""), 19, 0), ""-""),
""""
)"),"")</f>
        <v/>
      </c>
      <c r="Z524" s="37" t="str">
        <f>IFERROR(__xludf.DUMMYFUNCTION("IFERROR(VLOOKUP(G524,IMPORTRANGE(""https://docs.google.com/spreadsheets/d/12RxCea4e5ggM7QGn1XE3FbLQa_-QbCNdBi90OdPjRqg"", ""'Plan de Compras'!D4:Q""), 12, 0), ""NO ESTÁ EN REQ"")"),"Técnica")</f>
        <v>Técnica</v>
      </c>
      <c r="AA524" s="37" t="str">
        <f>IFERROR(__xludf.DUMMYFUNCTION("IFERROR(VLOOKUP(G524,IMPORTRANGE(""https://docs.google.com/spreadsheets/d/12RxCea4e5ggM7QGn1XE3FbLQa_-QbCNdBi90OdPjRqg"", ""'Plan de Compras'!D4:Q""), 13, 0), """")"),"NACIONAL")</f>
        <v>NACIONAL</v>
      </c>
      <c r="AB524" s="32" t="str">
        <f>IFERROR(__xludf.DUMMYFUNCTION("IFERROR(VLOOKUP(G524,IMPORTRANGE(""https://docs.google.com/spreadsheets/d/12RxCea4e5ggM7QGn1XE3FbLQa_-QbCNdBi90OdPjRqg"", ""'Plan de Compras'!D4:Q""), 14, 0), """")"),"JESSICA")</f>
        <v>JESSICA</v>
      </c>
      <c r="AC524" s="72" t="str">
        <f>IFERROR(__xludf.DUMMYFUNCTION("IFERROR(VLOOKUP(G524,IMPORTRANGE(""https://docs.google.com/spreadsheets/d/12RxCea4e5ggM7QGn1XE3FbLQa_-QbCNdBi90OdPjRqg"", ""'Plan de Compras'!D4:Q""), 4, 0), """")"),"PALA PARA QUESO")</f>
        <v>PALA PARA QUESO</v>
      </c>
      <c r="AD524" s="37" t="str">
        <f>IFERROR(__xludf.DUMMYFUNCTION("IFERROR(IF(OR(C524=TRUE,C524=""""),VLOOKUP(G524,IMPORTRANGE(""https://docs.google.com/spreadsheets/d/1z9A1Wq-kKrhRNG5RS2a2fKpY1wIhSVz2ZNmP2mOl588/edit?usp=sharing"",""REQ VF!E4:H""),4,0),""NO APLICA""),""GENERAR REQ"")"),"GENERAR REQ")</f>
        <v>GENERAR REQ</v>
      </c>
      <c r="AE524" s="32" t="str">
        <f>IFERROR(__xludf.DUMMYFUNCTION("IFERROR(QUERY(IMPORTRANGE(""https://docs.google.com/spreadsheets/d/1z9A1Wq-kKrhRNG5RS2a2fKpY1wIhSVz2ZNmP2mOl588/edit?usp=sharing"",""REQ VF!E4:Q""),""SELECT Col10, Col11, Col12 WHERE Col1 = '""&amp;G524&amp;""'"",0),""NO APLICA"")"),"NO APLICA")</f>
        <v>NO APLICA</v>
      </c>
      <c r="AF524" s="32"/>
      <c r="AG524" s="32"/>
      <c r="AH524" s="13"/>
      <c r="AI524" s="13"/>
    </row>
    <row r="525">
      <c r="A525" s="121">
        <v>323.0</v>
      </c>
      <c r="B525" s="43" t="b">
        <v>1</v>
      </c>
      <c r="C525" s="26" t="b">
        <v>1</v>
      </c>
      <c r="D525" s="26" t="s">
        <v>35</v>
      </c>
      <c r="E525" s="26" t="s">
        <v>1510</v>
      </c>
      <c r="F525" s="59" t="s">
        <v>3386</v>
      </c>
      <c r="G525" s="37" t="s">
        <v>3386</v>
      </c>
      <c r="H525" s="82" t="s">
        <v>3387</v>
      </c>
      <c r="I525" s="43">
        <f>SUMIFS('Hoja 10'!$O:$O,'Hoja 10'!$F:$F,$G525)</f>
        <v>4</v>
      </c>
      <c r="J525" s="26">
        <f>IFERROR(__xludf.DUMMYFUNCTION("VLOOKUP(G525,IMPORTRANGE(""https://docs.google.com/spreadsheets/d/12RxCea4e5ggM7QGn1XE3FbLQa_-QbCNdBi90OdPjRqg/edit?gid=1692403370#gid=1692403370"", ""'Plan de Compras'!D4:2432""), 8,0)"),4.0)</f>
        <v>4</v>
      </c>
      <c r="K525" s="26" t="str">
        <f t="shared" si="40"/>
        <v>SI</v>
      </c>
      <c r="L525" s="29" t="s">
        <v>77</v>
      </c>
      <c r="M525" s="30" t="s">
        <v>78</v>
      </c>
      <c r="N525" s="32"/>
      <c r="O525" s="32" t="str">
        <f>VLOOKUP($G525,'Hoja 10'!$F$4:$AA1057, 19,0)</f>
        <v>FACUSA</v>
      </c>
      <c r="P525" s="32">
        <f>VLOOKUP($G525,'Hoja 10'!$F$4:$AA1057, 20,0)</f>
        <v>113535204</v>
      </c>
      <c r="Q525" s="33" t="str">
        <f>VLOOKUP($G525,'Hoja 10'!$F$4:$AA1057, 21,0)</f>
        <v>https://www.sodimac.com.pe/sodimac-pe/articulo/113535203/Pelador-mango-madera-16-cm/113535204?srsltid=AfmBOopc2b4hgPvThN1KUz16hGR7O86-_7XwVnuhBZrCk1bopbTXBWf8</v>
      </c>
      <c r="R525" s="30" t="s">
        <v>3388</v>
      </c>
      <c r="S525" s="34" t="b">
        <v>1</v>
      </c>
      <c r="T525" s="39" t="str">
        <f>IFERROR(__xludf.DUMMYFUNCTION(" IF
( VLOOKUP($G525,IMPORTRANGE(""https://docs.google.com/spreadsheets/d/1Gpl6jkTg7sL4VDNimUm3S9Vi1i95esohXCF3wuKOE8c"", ""'CONSOLIDADO'!G5:AB""), 10, 0) &lt;&gt; 0, 
IFERROR(VLOOKUP($G525,IMPORTRANGE(""https://docs.google.com/spreadsheets/d/1Gpl6jkTg7sL4VDNimU"&amp;"m3S9Vi1i95esohXCF3wuKOE8c"", ""'CONSOLIDADO'!G5:AB""), 17, 0), ""-""),
""""
)"),"FACUSA")</f>
        <v>FACUSA</v>
      </c>
      <c r="U525" s="39">
        <f>IFERROR(__xludf.DUMMYFUNCTION(" IF
( VLOOKUP($G525,IMPORTRANGE(""https://docs.google.com/spreadsheets/d/1Gpl6jkTg7sL4VDNimUm3S9Vi1i95esohXCF3wuKOE8c"", ""'CONSOLIDADO'!G5:AB""), 10, 0) &lt;&gt; 0, 
IFERROR(VLOOKUP($G525,IMPORTRANGE(""https://docs.google.com/spreadsheets/d/1Gpl6jkTg7sL4VDNimU"&amp;"m3S9Vi1i95esohXCF3wuKOE8c"", ""'CONSOLIDADO'!G5:AB""), 18, 0), ""-""),
""""
)"),1.13535204E8)</f>
        <v>113535204</v>
      </c>
      <c r="V525" s="39" t="str">
        <f>IFERROR(__xludf.DUMMYFUNCTION(" IF
( VLOOKUP($G525,IMPORTRANGE(""https://docs.google.com/spreadsheets/d/1Gpl6jkTg7sL4VDNimUm3S9Vi1i95esohXCF3wuKOE8c"", ""'CONSOLIDADO'!G5:AB""), 10, 0) &lt;&gt; 0, 
IFERROR(VLOOKUP($G525,IMPORTRANGE(""https://docs.google.com/spreadsheets/d/1Gpl6jkTg7sL4VDNimU"&amp;"m3S9Vi1i95esohXCF3wuKOE8c"", ""'CONSOLIDADO'!G5:AB""), 17, 0), ""-""),
""""
)"),"FACUSA")</f>
        <v>FACUSA</v>
      </c>
      <c r="W525" s="39">
        <f>IFERROR(__xludf.DUMMYFUNCTION(" IF
( VLOOKUP($G525,IMPORTRANGE(""https://docs.google.com/spreadsheets/d/1Gpl6jkTg7sL4VDNimUm3S9Vi1i95esohXCF3wuKOE8c"", ""'CONSOLIDADO'!G5:AB""), 10, 0) &lt;&gt; 0, 
IFERROR(VLOOKUP($G525,IMPORTRANGE(""https://docs.google.com/spreadsheets/d/1Gpl6jkTg7sL4VDNimU"&amp;"m3S9Vi1i95esohXCF3wuKOE8c"", ""'CONSOLIDADO'!G5:AB""), 18, 0), ""-""),
""""
)"),1.13535204E8)</f>
        <v>113535204</v>
      </c>
      <c r="X525" s="39" t="b">
        <f t="shared" si="55"/>
        <v>1</v>
      </c>
      <c r="Y525" s="138" t="str">
        <f>VLOOKUP($G525,'Hoja 10'!$F$4:$AA1057, 21,0)</f>
        <v>https://www.sodimac.com.pe/sodimac-pe/articulo/113535203/Pelador-mango-madera-16-cm/113535204?srsltid=AfmBOopc2b4hgPvThN1KUz16hGR7O86-_7XwVnuhBZrCk1bopbTXBWf8</v>
      </c>
      <c r="Z525" s="37" t="str">
        <f>IFERROR(__xludf.DUMMYFUNCTION("IFERROR(VLOOKUP(G525,IMPORTRANGE(""https://docs.google.com/spreadsheets/d/12RxCea4e5ggM7QGn1XE3FbLQa_-QbCNdBi90OdPjRqg"", ""'Plan de Compras'!D4:Q""), 12, 0), ""NO ESTÁ EN REQ"")"),"Simple")</f>
        <v>Simple</v>
      </c>
      <c r="AA525" s="37" t="str">
        <f>IFERROR(__xludf.DUMMYFUNCTION("IFERROR(VLOOKUP(G525,IMPORTRANGE(""https://docs.google.com/spreadsheets/d/12RxCea4e5ggM7QGn1XE3FbLQa_-QbCNdBi90OdPjRqg"", ""'Plan de Compras'!D4:Q""), 13, 0), """")"),"NACIONAL")</f>
        <v>NACIONAL</v>
      </c>
      <c r="AB525" s="32" t="str">
        <f>IFERROR(__xludf.DUMMYFUNCTION("IFERROR(VLOOKUP(G525,IMPORTRANGE(""https://docs.google.com/spreadsheets/d/12RxCea4e5ggM7QGn1XE3FbLQa_-QbCNdBi90OdPjRqg"", ""'Plan de Compras'!D4:Q""), 14, 0), """")"),"GEANFRANCO")</f>
        <v>GEANFRANCO</v>
      </c>
      <c r="AC525" s="72" t="str">
        <f>IFERROR(__xludf.DUMMYFUNCTION("IFERROR(VLOOKUP(G525,IMPORTRANGE(""https://docs.google.com/spreadsheets/d/12RxCea4e5ggM7QGn1XE3FbLQa_-QbCNdBi90OdPjRqg"", ""'Plan de Compras'!D4:Q""), 4, 0), """")"),"PELADOR DE PAPAS MANUAL")</f>
        <v>PELADOR DE PAPAS MANUAL</v>
      </c>
      <c r="AD525" s="37" t="str">
        <f>IFERROR(__xludf.DUMMYFUNCTION("IFERROR(IF(OR(C525=TRUE,C525=""""),VLOOKUP(G525,IMPORTRANGE(""https://docs.google.com/spreadsheets/d/1z9A1Wq-kKrhRNG5RS2a2fKpY1wIhSVz2ZNmP2mOl588/edit?usp=sharing"",""REQ VF!E4:H""),4,0),""NO APLICA""),""GENERAR REQ"")"),"GENERAR REQ")</f>
        <v>GENERAR REQ</v>
      </c>
      <c r="AE525" s="32" t="str">
        <f>IFERROR(__xludf.DUMMYFUNCTION("IFERROR(QUERY(IMPORTRANGE(""https://docs.google.com/spreadsheets/d/1z9A1Wq-kKrhRNG5RS2a2fKpY1wIhSVz2ZNmP2mOl588/edit?usp=sharing"",""REQ VF!E4:Q""),""SELECT Col10, Col11, Col12 WHERE Col1 = '""&amp;G525&amp;""'"",0),""NO APLICA"")"),"NO APLICA")</f>
        <v>NO APLICA</v>
      </c>
      <c r="AF525" s="32"/>
      <c r="AG525" s="32"/>
      <c r="AH525" s="13"/>
      <c r="AI525" s="13"/>
    </row>
    <row r="526">
      <c r="A526" s="121">
        <v>324.0</v>
      </c>
      <c r="B526" s="43" t="b">
        <v>1</v>
      </c>
      <c r="C526" s="26" t="b">
        <v>0</v>
      </c>
      <c r="D526" s="26" t="s">
        <v>35</v>
      </c>
      <c r="E526" s="26" t="s">
        <v>1510</v>
      </c>
      <c r="F526" s="59" t="s">
        <v>3389</v>
      </c>
      <c r="G526" s="37" t="s">
        <v>3389</v>
      </c>
      <c r="H526" s="82" t="s">
        <v>3390</v>
      </c>
      <c r="I526" s="43">
        <f>SUMIFS('Hoja 10'!$O:$O,'Hoja 10'!$F:$F,$G526)</f>
        <v>20</v>
      </c>
      <c r="J526" s="26" t="str">
        <f>IFERROR(__xludf.DUMMYFUNCTION("VLOOKUP(G526,IMPORTRANGE(""https://docs.google.com/spreadsheets/d/12RxCea4e5ggM7QGn1XE3FbLQa_-QbCNdBi90OdPjRqg/edit?gid=1692403370#gid=1692403370"", ""'Plan de Compras'!D4:2432""), 8,0)"),"#N/A")</f>
        <v>#N/A</v>
      </c>
      <c r="K526" s="26" t="str">
        <f t="shared" si="40"/>
        <v>-</v>
      </c>
      <c r="L526" s="29" t="s">
        <v>91</v>
      </c>
      <c r="M526" s="30" t="s">
        <v>92</v>
      </c>
      <c r="N526" s="32"/>
      <c r="O526" s="32" t="str">
        <f>VLOOKUP($G526,'Hoja 10'!$F$4:$AA1057, 19,0)</f>
        <v>-</v>
      </c>
      <c r="P526" s="32" t="str">
        <f>VLOOKUP($G526,'Hoja 10'!$F$4:$AA1057, 20,0)</f>
        <v>-</v>
      </c>
      <c r="Q526" s="41" t="str">
        <f>VLOOKUP($G526,'Hoja 10'!$F$4:$AA1057, 21,0)</f>
        <v>-</v>
      </c>
      <c r="R526" s="30" t="s">
        <v>3391</v>
      </c>
      <c r="S526" s="34" t="b">
        <v>0</v>
      </c>
      <c r="T526" s="39" t="str">
        <f>IFERROR(__xludf.DUMMYFUNCTION(" IF
( VLOOKUP($G526,IMPORTRANGE(""https://docs.google.com/spreadsheets/d/1Gpl6jkTg7sL4VDNimUm3S9Vi1i95esohXCF3wuKOE8c"", ""'CONSOLIDADO'!G5:AB""), 10, 0) &lt;&gt; 0, 
IFERROR(VLOOKUP($G526,IMPORTRANGE(""https://docs.google.com/spreadsheets/d/1Gpl6jkTg7sL4VDNimU"&amp;"m3S9Vi1i95esohXCF3wuKOE8c"", ""'CONSOLIDADO'!G5:AB""), 17, 0), ""-""),
""""
)"),"VARIOS")</f>
        <v>VARIOS</v>
      </c>
      <c r="U526" s="39" t="str">
        <f>IFERROR(__xludf.DUMMYFUNCTION(" IF
( VLOOKUP($G526,IMPORTRANGE(""https://docs.google.com/spreadsheets/d/1Gpl6jkTg7sL4VDNimUm3S9Vi1i95esohXCF3wuKOE8c"", ""'CONSOLIDADO'!G5:AB""), 10, 0) &lt;&gt; 0, 
IFERROR(VLOOKUP($G526,IMPORTRANGE(""https://docs.google.com/spreadsheets/d/1Gpl6jkTg7sL4VDNimU"&amp;"m3S9Vi1i95esohXCF3wuKOE8c"", ""'CONSOLIDADO'!G5:AB""), 18, 0), ""-""),
""""
)"),"VARIOS 5")</f>
        <v>VARIOS 5</v>
      </c>
      <c r="V526" s="39" t="str">
        <f>IFERROR(__xludf.DUMMYFUNCTION(" IF
( VLOOKUP($G526,IMPORTRANGE(""https://docs.google.com/spreadsheets/d/1Gpl6jkTg7sL4VDNimUm3S9Vi1i95esohXCF3wuKOE8c"", ""'CONSOLIDADO'!G5:AB""), 10, 0) &lt;&gt; 0, 
IFERROR(VLOOKUP($G526,IMPORTRANGE(""https://docs.google.com/spreadsheets/d/1Gpl6jkTg7sL4VDNimU"&amp;"m3S9Vi1i95esohXCF3wuKOE8c"", ""'CONSOLIDADO'!G5:AB""), 17, 0), ""-""),
""""
)"),"VARIOS")</f>
        <v>VARIOS</v>
      </c>
      <c r="W526" s="39" t="str">
        <f>IFERROR(__xludf.DUMMYFUNCTION(" IF
( VLOOKUP($G526,IMPORTRANGE(""https://docs.google.com/spreadsheets/d/1Gpl6jkTg7sL4VDNimUm3S9Vi1i95esohXCF3wuKOE8c"", ""'CONSOLIDADO'!G5:AB""), 10, 0) &lt;&gt; 0, 
IFERROR(VLOOKUP($G526,IMPORTRANGE(""https://docs.google.com/spreadsheets/d/1Gpl6jkTg7sL4VDNimU"&amp;"m3S9Vi1i95esohXCF3wuKOE8c"", ""'CONSOLIDADO'!G5:AB""), 18, 0), ""-""),
""""
)"),"VARIOS 5")</f>
        <v>VARIOS 5</v>
      </c>
      <c r="X526" s="39" t="b">
        <f t="shared" si="55"/>
        <v>1</v>
      </c>
      <c r="Y526" s="120" t="str">
        <f>IFERROR(__xludf.DUMMYFUNCTION(" IF
( VLOOKUP($G526,IMPORTRANGE(""https://docs.google.com/spreadsheets/d/1Gpl6jkTg7sL4VDNimUm3S9Vi1i95esohXCF3wuKOE8c"", ""'CONSOLIDADO'!G5:AB""), 10, 0) &lt;&gt; 0, 
IFERROR(VLOOKUP($G526,IMPORTRANGE(""https://docs.google.com/spreadsheets/d/1Gpl6jkTg7sL4VDNimU"&amp;"m3S9Vi1i95esohXCF3wuKOE8c"", ""'CONSOLIDADO'!G5:AB""), 19, 0), ""-""),
""""
)"),"https://www.promart.pe/botin-de-seguridad-bata-modelo-kaiser-ntp-iso-20345-talla-42-negro-156527/p")</f>
        <v>https://www.promart.pe/botin-de-seguridad-bata-modelo-kaiser-ntp-iso-20345-talla-42-negro-156527/p</v>
      </c>
      <c r="Z526" s="37" t="str">
        <f>IFERROR(__xludf.DUMMYFUNCTION("IFERROR(VLOOKUP(G526,IMPORTRANGE(""https://docs.google.com/spreadsheets/d/12RxCea4e5ggM7QGn1XE3FbLQa_-QbCNdBi90OdPjRqg"", ""'Plan de Compras'!D4:Q""), 12, 0), ""NO ESTÁ EN REQ"")"),"NO ESTÁ EN REQ")</f>
        <v>NO ESTÁ EN REQ</v>
      </c>
      <c r="AA526" s="37" t="str">
        <f>IFERROR(__xludf.DUMMYFUNCTION("IFERROR(VLOOKUP(G526,IMPORTRANGE(""https://docs.google.com/spreadsheets/d/12RxCea4e5ggM7QGn1XE3FbLQa_-QbCNdBi90OdPjRqg"", ""'Plan de Compras'!D4:Q""), 13, 0), """")"),"")</f>
        <v/>
      </c>
      <c r="AB526" s="32" t="str">
        <f>IFERROR(__xludf.DUMMYFUNCTION("IFERROR(VLOOKUP(G526,IMPORTRANGE(""https://docs.google.com/spreadsheets/d/12RxCea4e5ggM7QGn1XE3FbLQa_-QbCNdBi90OdPjRqg"", ""'Plan de Compras'!D4:Q""), 14, 0), """")"),"")</f>
        <v/>
      </c>
      <c r="AC526" s="72" t="str">
        <f>IFERROR(__xludf.DUMMYFUNCTION("IFERROR(VLOOKUP(G526,IMPORTRANGE(""https://docs.google.com/spreadsheets/d/12RxCea4e5ggM7QGn1XE3FbLQa_-QbCNdBi90OdPjRqg"", ""'Plan de Compras'!D4:Q""), 4, 0), """")"),"")</f>
        <v/>
      </c>
      <c r="AD526" s="37" t="str">
        <f>IFERROR(__xludf.DUMMYFUNCTION("IFERROR(IF(OR(C526=TRUE,C526=""""),VLOOKUP(G526,IMPORTRANGE(""https://docs.google.com/spreadsheets/d/1z9A1Wq-kKrhRNG5RS2a2fKpY1wIhSVz2ZNmP2mOl588/edit?usp=sharing"",""REQ VF!E4:H""),4,0),""NO APLICA""),""GENERAR REQ"")"),"NO APLICA")</f>
        <v>NO APLICA</v>
      </c>
      <c r="AE526" s="32" t="str">
        <f>IFERROR(__xludf.DUMMYFUNCTION("IFERROR(QUERY(IMPORTRANGE(""https://docs.google.com/spreadsheets/d/1z9A1Wq-kKrhRNG5RS2a2fKpY1wIhSVz2ZNmP2mOl588/edit?usp=sharing"",""REQ VF!E4:Q""),""SELECT Col10, Col11, Col12 WHERE Col1 = '""&amp;G526&amp;""'"",0),""NO APLICA"")"),"NO APLICA")</f>
        <v>NO APLICA</v>
      </c>
      <c r="AF526" s="32"/>
      <c r="AG526" s="32"/>
      <c r="AH526" s="13"/>
      <c r="AI526" s="13"/>
    </row>
    <row r="527">
      <c r="A527" s="43"/>
      <c r="B527" s="43"/>
      <c r="C527" s="26" t="b">
        <v>1</v>
      </c>
      <c r="D527" s="26" t="s">
        <v>95</v>
      </c>
      <c r="E527" s="26" t="s">
        <v>1510</v>
      </c>
      <c r="F527" s="59" t="s">
        <v>3389</v>
      </c>
      <c r="G527" s="39" t="s">
        <v>3392</v>
      </c>
      <c r="H527" s="66" t="s">
        <v>3393</v>
      </c>
      <c r="I527" s="43">
        <v>20.0</v>
      </c>
      <c r="J527" s="26">
        <f>IFERROR(__xludf.DUMMYFUNCTION("VLOOKUP(G527,IMPORTRANGE(""https://docs.google.com/spreadsheets/d/12RxCea4e5ggM7QGn1XE3FbLQa_-QbCNdBi90OdPjRqg/edit?gid=1692403370#gid=1692403370"", ""'Plan de Compras'!D4:2432""), 8,0)"),20.0)</f>
        <v>20</v>
      </c>
      <c r="K527" s="26" t="str">
        <f t="shared" si="40"/>
        <v>SI</v>
      </c>
      <c r="L527" s="26"/>
      <c r="M527" s="32"/>
      <c r="N527" s="32" t="s">
        <v>3394</v>
      </c>
      <c r="O527" s="32"/>
      <c r="P527" s="32"/>
      <c r="Q527" s="33" t="s">
        <v>3395</v>
      </c>
      <c r="R527" s="32"/>
      <c r="S527" s="44" t="b">
        <v>1</v>
      </c>
      <c r="T527" s="39" t="s">
        <v>3396</v>
      </c>
      <c r="U527" s="39" t="s">
        <v>3397</v>
      </c>
      <c r="V527" s="39"/>
      <c r="W527" s="39"/>
      <c r="X527" s="39"/>
      <c r="Y527" s="125" t="s">
        <v>2296</v>
      </c>
      <c r="Z527" s="37" t="str">
        <f>IFERROR(__xludf.DUMMYFUNCTION("IFERROR(VLOOKUP(G527,IMPORTRANGE(""https://docs.google.com/spreadsheets/d/12RxCea4e5ggM7QGn1XE3FbLQa_-QbCNdBi90OdPjRqg"", ""'Plan de Compras'!D4:Q""), 12, 0), ""NO ESTÁ EN REQ"")"),"Simple")</f>
        <v>Simple</v>
      </c>
      <c r="AA527" s="37" t="str">
        <f>IFERROR(__xludf.DUMMYFUNCTION("IFERROR(VLOOKUP(G527,IMPORTRANGE(""https://docs.google.com/spreadsheets/d/12RxCea4e5ggM7QGn1XE3FbLQa_-QbCNdBi90OdPjRqg"", ""'Plan de Compras'!D4:Q""), 13, 0), """")"),"NACIONAL")</f>
        <v>NACIONAL</v>
      </c>
      <c r="AB527" s="32" t="str">
        <f>IFERROR(__xludf.DUMMYFUNCTION("IFERROR(VLOOKUP(G527,IMPORTRANGE(""https://docs.google.com/spreadsheets/d/12RxCea4e5ggM7QGn1XE3FbLQa_-QbCNdBi90OdPjRqg"", ""'Plan de Compras'!D4:Q""), 14, 0), """")"),"DIANA")</f>
        <v>DIANA</v>
      </c>
      <c r="AC527" s="72" t="str">
        <f>IFERROR(__xludf.DUMMYFUNCTION("IFERROR(VLOOKUP(G527,IMPORTRANGE(""https://docs.google.com/spreadsheets/d/12RxCea4e5ggM7QGn1XE3FbLQa_-QbCNdBi90OdPjRqg"", ""'Plan de Compras'!D4:Q""), 4, 0), """")"),"PATO DE CUERO CON PUNTA DE ACERO (1 UND)")</f>
        <v>PATO DE CUERO CON PUNTA DE ACERO (1 UND)</v>
      </c>
      <c r="AD527" s="37" t="str">
        <f>IFERROR(__xludf.DUMMYFUNCTION("IFERROR(IF(OR(C527=TRUE,C527=""""),VLOOKUP(G527,IMPORTRANGE(""https://docs.google.com/spreadsheets/d/1z9A1Wq-kKrhRNG5RS2a2fKpY1wIhSVz2ZNmP2mOl588/edit?usp=sharing"",""REQ VF!E4:H""),4,0),""NO APLICA""),""GENERAR REQ"")"),"GENERAR REQ")</f>
        <v>GENERAR REQ</v>
      </c>
      <c r="AE527" s="32" t="str">
        <f>IFERROR(__xludf.DUMMYFUNCTION("IFERROR(QUERY(IMPORTRANGE(""https://docs.google.com/spreadsheets/d/1z9A1Wq-kKrhRNG5RS2a2fKpY1wIhSVz2ZNmP2mOl588/edit?usp=sharing"",""REQ VF!E4:Q""),""SELECT Col10, Col11, Col12 WHERE Col1 = '""&amp;G527&amp;""'"",0),""NO APLICA"")"),"NO APLICA")</f>
        <v>NO APLICA</v>
      </c>
      <c r="AF527" s="32"/>
      <c r="AG527" s="32"/>
      <c r="AH527" s="13"/>
      <c r="AI527" s="13"/>
    </row>
    <row r="528">
      <c r="A528" s="43"/>
      <c r="B528" s="43"/>
      <c r="C528" s="26" t="b">
        <v>1</v>
      </c>
      <c r="D528" s="26" t="s">
        <v>95</v>
      </c>
      <c r="E528" s="26" t="s">
        <v>1510</v>
      </c>
      <c r="F528" s="59" t="s">
        <v>3389</v>
      </c>
      <c r="G528" s="39" t="s">
        <v>3398</v>
      </c>
      <c r="H528" s="66" t="s">
        <v>3399</v>
      </c>
      <c r="I528" s="43">
        <v>20.0</v>
      </c>
      <c r="J528" s="26">
        <f>IFERROR(__xludf.DUMMYFUNCTION("VLOOKUP(G528,IMPORTRANGE(""https://docs.google.com/spreadsheets/d/12RxCea4e5ggM7QGn1XE3FbLQa_-QbCNdBi90OdPjRqg/edit?gid=1692403370#gid=1692403370"", ""'Plan de Compras'!D4:2432""), 8,0)"),20.0)</f>
        <v>20</v>
      </c>
      <c r="K528" s="26" t="str">
        <f t="shared" si="40"/>
        <v>SI</v>
      </c>
      <c r="L528" s="26"/>
      <c r="M528" s="32"/>
      <c r="N528" s="32" t="s">
        <v>3400</v>
      </c>
      <c r="O528" s="32"/>
      <c r="P528" s="32"/>
      <c r="Q528" s="33" t="s">
        <v>3401</v>
      </c>
      <c r="R528" s="32"/>
      <c r="S528" s="44" t="b">
        <v>1</v>
      </c>
      <c r="T528" s="39" t="s">
        <v>2300</v>
      </c>
      <c r="U528" s="39" t="s">
        <v>2300</v>
      </c>
      <c r="V528" s="39"/>
      <c r="W528" s="39"/>
      <c r="X528" s="39"/>
      <c r="Y528" s="126" t="s">
        <v>2296</v>
      </c>
      <c r="Z528" s="37" t="str">
        <f>IFERROR(__xludf.DUMMYFUNCTION("IFERROR(VLOOKUP(G528,IMPORTRANGE(""https://docs.google.com/spreadsheets/d/12RxCea4e5ggM7QGn1XE3FbLQa_-QbCNdBi90OdPjRqg"", ""'Plan de Compras'!D4:Q""), 12, 0), ""NO ESTÁ EN REQ"")"),"Simple")</f>
        <v>Simple</v>
      </c>
      <c r="AA528" s="37" t="str">
        <f>IFERROR(__xludf.DUMMYFUNCTION("IFERROR(VLOOKUP(G528,IMPORTRANGE(""https://docs.google.com/spreadsheets/d/12RxCea4e5ggM7QGn1XE3FbLQa_-QbCNdBi90OdPjRqg"", ""'Plan de Compras'!D4:Q""), 13, 0), """")"),"NACIONAL")</f>
        <v>NACIONAL</v>
      </c>
      <c r="AB528" s="32" t="str">
        <f>IFERROR(__xludf.DUMMYFUNCTION("IFERROR(VLOOKUP(G528,IMPORTRANGE(""https://docs.google.com/spreadsheets/d/12RxCea4e5ggM7QGn1XE3FbLQa_-QbCNdBi90OdPjRqg"", ""'Plan de Compras'!D4:Q""), 14, 0), """")"),"DIANA")</f>
        <v>DIANA</v>
      </c>
      <c r="AC528" s="72" t="str">
        <f>IFERROR(__xludf.DUMMYFUNCTION("IFERROR(VLOOKUP(G528,IMPORTRANGE(""https://docs.google.com/spreadsheets/d/12RxCea4e5ggM7QGn1XE3FbLQa_-QbCNdBi90OdPjRqg"", ""'Plan de Compras'!D4:Q""), 4, 0), """")"),"MANDIL DE CUERO CROMO (1 UND)")</f>
        <v>MANDIL DE CUERO CROMO (1 UND)</v>
      </c>
      <c r="AD528" s="37" t="str">
        <f>IFERROR(__xludf.DUMMYFUNCTION("IFERROR(IF(OR(C528=TRUE,C528=""""),VLOOKUP(G528,IMPORTRANGE(""https://docs.google.com/spreadsheets/d/1z9A1Wq-kKrhRNG5RS2a2fKpY1wIhSVz2ZNmP2mOl588/edit?usp=sharing"",""REQ VF!E4:H""),4,0),""NO APLICA""),""GENERAR REQ"")"),"GENERAR REQ")</f>
        <v>GENERAR REQ</v>
      </c>
      <c r="AE528" s="32" t="str">
        <f>IFERROR(__xludf.DUMMYFUNCTION("IFERROR(QUERY(IMPORTRANGE(""https://docs.google.com/spreadsheets/d/1z9A1Wq-kKrhRNG5RS2a2fKpY1wIhSVz2ZNmP2mOl588/edit?usp=sharing"",""REQ VF!E4:Q""),""SELECT Col10, Col11, Col12 WHERE Col1 = '""&amp;G528&amp;""'"",0),""NO APLICA"")"),"NO APLICA")</f>
        <v>NO APLICA</v>
      </c>
      <c r="AF528" s="32"/>
      <c r="AG528" s="32"/>
      <c r="AH528" s="13"/>
      <c r="AI528" s="13"/>
    </row>
    <row r="529">
      <c r="A529" s="43"/>
      <c r="B529" s="43"/>
      <c r="C529" s="26" t="b">
        <v>1</v>
      </c>
      <c r="D529" s="26" t="s">
        <v>95</v>
      </c>
      <c r="E529" s="26" t="s">
        <v>1510</v>
      </c>
      <c r="F529" s="59" t="s">
        <v>3389</v>
      </c>
      <c r="G529" s="39" t="s">
        <v>3402</v>
      </c>
      <c r="H529" s="66" t="s">
        <v>3403</v>
      </c>
      <c r="I529" s="43">
        <v>20.0</v>
      </c>
      <c r="J529" s="26">
        <f>IFERROR(__xludf.DUMMYFUNCTION("VLOOKUP(G529,IMPORTRANGE(""https://docs.google.com/spreadsheets/d/12RxCea4e5ggM7QGn1XE3FbLQa_-QbCNdBi90OdPjRqg/edit?gid=1692403370#gid=1692403370"", ""'Plan de Compras'!D4:2432""), 8,0)"),20.0)</f>
        <v>20</v>
      </c>
      <c r="K529" s="26" t="str">
        <f t="shared" si="40"/>
        <v>SI</v>
      </c>
      <c r="L529" s="26"/>
      <c r="M529" s="32"/>
      <c r="N529" s="32" t="s">
        <v>3404</v>
      </c>
      <c r="O529" s="32"/>
      <c r="P529" s="32"/>
      <c r="Q529" s="33" t="s">
        <v>3405</v>
      </c>
      <c r="R529" s="32"/>
      <c r="S529" s="44" t="b">
        <v>1</v>
      </c>
      <c r="T529" s="39" t="s">
        <v>2966</v>
      </c>
      <c r="U529" s="39" t="s">
        <v>2300</v>
      </c>
      <c r="V529" s="39"/>
      <c r="W529" s="39"/>
      <c r="X529" s="39"/>
      <c r="Y529" s="125" t="s">
        <v>2296</v>
      </c>
      <c r="Z529" s="37" t="str">
        <f>IFERROR(__xludf.DUMMYFUNCTION("IFERROR(VLOOKUP(G529,IMPORTRANGE(""https://docs.google.com/spreadsheets/d/12RxCea4e5ggM7QGn1XE3FbLQa_-QbCNdBi90OdPjRqg"", ""'Plan de Compras'!D4:Q""), 12, 0), ""NO ESTÁ EN REQ"")"),"Simple")</f>
        <v>Simple</v>
      </c>
      <c r="AA529" s="37" t="str">
        <f>IFERROR(__xludf.DUMMYFUNCTION("IFERROR(VLOOKUP(G529,IMPORTRANGE(""https://docs.google.com/spreadsheets/d/12RxCea4e5ggM7QGn1XE3FbLQa_-QbCNdBi90OdPjRqg"", ""'Plan de Compras'!D4:Q""), 13, 0), """")"),"NACIONAL")</f>
        <v>NACIONAL</v>
      </c>
      <c r="AB529" s="32" t="str">
        <f>IFERROR(__xludf.DUMMYFUNCTION("IFERROR(VLOOKUP(G529,IMPORTRANGE(""https://docs.google.com/spreadsheets/d/12RxCea4e5ggM7QGn1XE3FbLQa_-QbCNdBi90OdPjRqg"", ""'Plan de Compras'!D4:Q""), 14, 0), """")"),"DIANA")</f>
        <v>DIANA</v>
      </c>
      <c r="AC529" s="72" t="str">
        <f>IFERROR(__xludf.DUMMYFUNCTION("IFERROR(VLOOKUP(G529,IMPORTRANGE(""https://docs.google.com/spreadsheets/d/12RxCea4e5ggM7QGn1XE3FbLQa_-QbCNdBi90OdPjRqg"", ""'Plan de Compras'!D4:Q""), 4, 0), """")"),"GUANTES DE SOLDAR CUERO CROMO (1 UND)")</f>
        <v>GUANTES DE SOLDAR CUERO CROMO (1 UND)</v>
      </c>
      <c r="AD529" s="37" t="str">
        <f>IFERROR(__xludf.DUMMYFUNCTION("IFERROR(IF(OR(C529=TRUE,C529=""""),VLOOKUP(G529,IMPORTRANGE(""https://docs.google.com/spreadsheets/d/1z9A1Wq-kKrhRNG5RS2a2fKpY1wIhSVz2ZNmP2mOl588/edit?usp=sharing"",""REQ VF!E4:H""),4,0),""NO APLICA""),""GENERAR REQ"")"),"GENERAR REQ")</f>
        <v>GENERAR REQ</v>
      </c>
      <c r="AE529" s="32" t="str">
        <f>IFERROR(__xludf.DUMMYFUNCTION("IFERROR(QUERY(IMPORTRANGE(""https://docs.google.com/spreadsheets/d/1z9A1Wq-kKrhRNG5RS2a2fKpY1wIhSVz2ZNmP2mOl588/edit?usp=sharing"",""REQ VF!E4:Q""),""SELECT Col10, Col11, Col12 WHERE Col1 = '""&amp;G529&amp;""'"",0),""NO APLICA"")"),"NO APLICA")</f>
        <v>NO APLICA</v>
      </c>
      <c r="AF529" s="32"/>
      <c r="AG529" s="32"/>
      <c r="AH529" s="13"/>
      <c r="AI529" s="13"/>
    </row>
    <row r="530">
      <c r="A530" s="43"/>
      <c r="B530" s="43"/>
      <c r="C530" s="26" t="b">
        <v>1</v>
      </c>
      <c r="D530" s="26" t="s">
        <v>95</v>
      </c>
      <c r="E530" s="26" t="s">
        <v>1510</v>
      </c>
      <c r="F530" s="59" t="s">
        <v>3389</v>
      </c>
      <c r="G530" s="39" t="s">
        <v>3406</v>
      </c>
      <c r="H530" s="66" t="s">
        <v>3407</v>
      </c>
      <c r="I530" s="43">
        <v>20.0</v>
      </c>
      <c r="J530" s="26">
        <f>IFERROR(__xludf.DUMMYFUNCTION("VLOOKUP(G530,IMPORTRANGE(""https://docs.google.com/spreadsheets/d/12RxCea4e5ggM7QGn1XE3FbLQa_-QbCNdBi90OdPjRqg/edit?gid=1692403370#gid=1692403370"", ""'Plan de Compras'!D4:2432""), 8,0)"),20.0)</f>
        <v>20</v>
      </c>
      <c r="K530" s="26" t="str">
        <f t="shared" si="40"/>
        <v>SI</v>
      </c>
      <c r="L530" s="26"/>
      <c r="M530" s="32"/>
      <c r="N530" s="32" t="s">
        <v>3408</v>
      </c>
      <c r="O530" s="32"/>
      <c r="P530" s="32"/>
      <c r="Q530" s="33" t="s">
        <v>3409</v>
      </c>
      <c r="R530" s="32"/>
      <c r="S530" s="44" t="b">
        <v>1</v>
      </c>
      <c r="T530" s="39" t="s">
        <v>3410</v>
      </c>
      <c r="U530" s="39">
        <v>1270.0</v>
      </c>
      <c r="V530" s="39"/>
      <c r="W530" s="39"/>
      <c r="X530" s="39"/>
      <c r="Y530" s="125" t="s">
        <v>2296</v>
      </c>
      <c r="Z530" s="37" t="str">
        <f>IFERROR(__xludf.DUMMYFUNCTION("IFERROR(VLOOKUP(G530,IMPORTRANGE(""https://docs.google.com/spreadsheets/d/12RxCea4e5ggM7QGn1XE3FbLQa_-QbCNdBi90OdPjRqg"", ""'Plan de Compras'!D4:Q""), 12, 0), ""NO ESTÁ EN REQ"")"),"Simple")</f>
        <v>Simple</v>
      </c>
      <c r="AA530" s="37" t="str">
        <f>IFERROR(__xludf.DUMMYFUNCTION("IFERROR(VLOOKUP(G530,IMPORTRANGE(""https://docs.google.com/spreadsheets/d/12RxCea4e5ggM7QGn1XE3FbLQa_-QbCNdBi90OdPjRqg"", ""'Plan de Compras'!D4:Q""), 13, 0), """")"),"NACIONAL")</f>
        <v>NACIONAL</v>
      </c>
      <c r="AB530" s="32" t="str">
        <f>IFERROR(__xludf.DUMMYFUNCTION("IFERROR(VLOOKUP(G530,IMPORTRANGE(""https://docs.google.com/spreadsheets/d/12RxCea4e5ggM7QGn1XE3FbLQa_-QbCNdBi90OdPjRqg"", ""'Plan de Compras'!D4:Q""), 14, 0), """")"),"DIANA")</f>
        <v>DIANA</v>
      </c>
      <c r="AC530" s="72" t="str">
        <f>IFERROR(__xludf.DUMMYFUNCTION("IFERROR(VLOOKUP(G530,IMPORTRANGE(""https://docs.google.com/spreadsheets/d/12RxCea4e5ggM7QGn1XE3FbLQa_-QbCNdBi90OdPjRqg"", ""'Plan de Compras'!D4:Q""), 4, 0), """")"),"TAPONES DE OIDO (1 UND)")</f>
        <v>TAPONES DE OIDO (1 UND)</v>
      </c>
      <c r="AD530" s="37" t="str">
        <f>IFERROR(__xludf.DUMMYFUNCTION("IFERROR(IF(OR(C530=TRUE,C530=""""),VLOOKUP(G530,IMPORTRANGE(""https://docs.google.com/spreadsheets/d/1z9A1Wq-kKrhRNG5RS2a2fKpY1wIhSVz2ZNmP2mOl588/edit?usp=sharing"",""REQ VF!E4:H""),4,0),""NO APLICA""),""GENERAR REQ"")"),"GENERAR REQ")</f>
        <v>GENERAR REQ</v>
      </c>
      <c r="AE530" s="32" t="str">
        <f>IFERROR(__xludf.DUMMYFUNCTION("IFERROR(QUERY(IMPORTRANGE(""https://docs.google.com/spreadsheets/d/1z9A1Wq-kKrhRNG5RS2a2fKpY1wIhSVz2ZNmP2mOl588/edit?usp=sharing"",""REQ VF!E4:Q""),""SELECT Col10, Col11, Col12 WHERE Col1 = '""&amp;G530&amp;""'"",0),""NO APLICA"")"),"NO APLICA")</f>
        <v>NO APLICA</v>
      </c>
      <c r="AF530" s="32"/>
      <c r="AG530" s="32"/>
      <c r="AH530" s="13"/>
      <c r="AI530" s="13"/>
    </row>
    <row r="531">
      <c r="A531" s="43"/>
      <c r="B531" s="43"/>
      <c r="C531" s="26" t="b">
        <v>1</v>
      </c>
      <c r="D531" s="26" t="s">
        <v>95</v>
      </c>
      <c r="E531" s="26" t="s">
        <v>1510</v>
      </c>
      <c r="F531" s="59" t="s">
        <v>3389</v>
      </c>
      <c r="G531" s="39" t="s">
        <v>3411</v>
      </c>
      <c r="H531" s="66" t="s">
        <v>3412</v>
      </c>
      <c r="I531" s="43">
        <v>20.0</v>
      </c>
      <c r="J531" s="26">
        <f>IFERROR(__xludf.DUMMYFUNCTION("VLOOKUP(G531,IMPORTRANGE(""https://docs.google.com/spreadsheets/d/12RxCea4e5ggM7QGn1XE3FbLQa_-QbCNdBi90OdPjRqg/edit?gid=1692403370#gid=1692403370"", ""'Plan de Compras'!D4:2432""), 8,0)"),20.0)</f>
        <v>20</v>
      </c>
      <c r="K531" s="26" t="str">
        <f t="shared" si="40"/>
        <v>SI</v>
      </c>
      <c r="L531" s="26"/>
      <c r="M531" s="32"/>
      <c r="N531" s="32" t="s">
        <v>3413</v>
      </c>
      <c r="O531" s="32"/>
      <c r="P531" s="32"/>
      <c r="Q531" s="33" t="s">
        <v>3414</v>
      </c>
      <c r="R531" s="32"/>
      <c r="S531" s="44" t="b">
        <v>1</v>
      </c>
      <c r="T531" s="39" t="s">
        <v>2966</v>
      </c>
      <c r="U531" s="61">
        <v>8193.0</v>
      </c>
      <c r="V531" s="39"/>
      <c r="W531" s="39"/>
      <c r="X531" s="39"/>
      <c r="Y531" s="125" t="s">
        <v>2296</v>
      </c>
      <c r="Z531" s="37" t="str">
        <f>IFERROR(__xludf.DUMMYFUNCTION("IFERROR(VLOOKUP(G531,IMPORTRANGE(""https://docs.google.com/spreadsheets/d/12RxCea4e5ggM7QGn1XE3FbLQa_-QbCNdBi90OdPjRqg"", ""'Plan de Compras'!D4:Q""), 12, 0), ""NO ESTÁ EN REQ"")"),"Simple")</f>
        <v>Simple</v>
      </c>
      <c r="AA531" s="37" t="str">
        <f>IFERROR(__xludf.DUMMYFUNCTION("IFERROR(VLOOKUP(G531,IMPORTRANGE(""https://docs.google.com/spreadsheets/d/12RxCea4e5ggM7QGn1XE3FbLQa_-QbCNdBi90OdPjRqg"", ""'Plan de Compras'!D4:Q""), 13, 0), """")"),"NACIONAL")</f>
        <v>NACIONAL</v>
      </c>
      <c r="AB531" s="32" t="str">
        <f>IFERROR(__xludf.DUMMYFUNCTION("IFERROR(VLOOKUP(G531,IMPORTRANGE(""https://docs.google.com/spreadsheets/d/12RxCea4e5ggM7QGn1XE3FbLQa_-QbCNdBi90OdPjRqg"", ""'Plan de Compras'!D4:Q""), 14, 0), """")"),"DIANA")</f>
        <v>DIANA</v>
      </c>
      <c r="AC531" s="72" t="str">
        <f>IFERROR(__xludf.DUMMYFUNCTION("IFERROR(VLOOKUP(G531,IMPORTRANGE(""https://docs.google.com/spreadsheets/d/12RxCea4e5ggM7QGn1XE3FbLQa_-QbCNdBi90OdPjRqg"", ""'Plan de Compras'!D4:Q""), 4, 0), """")"),"ESCARPINES DE CUERO (1 UND)")</f>
        <v>ESCARPINES DE CUERO (1 UND)</v>
      </c>
      <c r="AD531" s="37" t="str">
        <f>IFERROR(__xludf.DUMMYFUNCTION("IFERROR(IF(OR(C531=TRUE,C531=""""),VLOOKUP(G531,IMPORTRANGE(""https://docs.google.com/spreadsheets/d/1z9A1Wq-kKrhRNG5RS2a2fKpY1wIhSVz2ZNmP2mOl588/edit?usp=sharing"",""REQ VF!E4:H""),4,0),""NO APLICA""),""GENERAR REQ"")"),"GENERAR REQ")</f>
        <v>GENERAR REQ</v>
      </c>
      <c r="AE531" s="32" t="str">
        <f>IFERROR(__xludf.DUMMYFUNCTION("IFERROR(QUERY(IMPORTRANGE(""https://docs.google.com/spreadsheets/d/1z9A1Wq-kKrhRNG5RS2a2fKpY1wIhSVz2ZNmP2mOl588/edit?usp=sharing"",""REQ VF!E4:Q""),""SELECT Col10, Col11, Col12 WHERE Col1 = '""&amp;G531&amp;""'"",0),""NO APLICA"")"),"NO APLICA")</f>
        <v>NO APLICA</v>
      </c>
      <c r="AF531" s="32"/>
      <c r="AG531" s="32"/>
      <c r="AH531" s="13"/>
      <c r="AI531" s="13"/>
    </row>
    <row r="532">
      <c r="A532" s="117">
        <v>325.0</v>
      </c>
      <c r="B532" s="43" t="b">
        <v>1</v>
      </c>
      <c r="C532" s="26" t="b">
        <v>1</v>
      </c>
      <c r="D532" s="26" t="s">
        <v>35</v>
      </c>
      <c r="E532" s="26" t="s">
        <v>1510</v>
      </c>
      <c r="F532" s="59" t="s">
        <v>3415</v>
      </c>
      <c r="G532" s="37" t="s">
        <v>3415</v>
      </c>
      <c r="H532" s="82" t="s">
        <v>3416</v>
      </c>
      <c r="I532" s="43">
        <f>SUMIFS('Hoja 10'!$O:$O,'Hoja 10'!$F:$F,$G532)</f>
        <v>10</v>
      </c>
      <c r="J532" s="26">
        <f>IFERROR(__xludf.DUMMYFUNCTION("VLOOKUP(G532,IMPORTRANGE(""https://docs.google.com/spreadsheets/d/12RxCea4e5ggM7QGn1XE3FbLQa_-QbCNdBi90OdPjRqg/edit?gid=1692403370#gid=1692403370"", ""'Plan de Compras'!D4:2432""), 8,0)"),10.0)</f>
        <v>10</v>
      </c>
      <c r="K532" s="26" t="str">
        <f t="shared" si="40"/>
        <v>SI</v>
      </c>
      <c r="L532" s="29" t="s">
        <v>91</v>
      </c>
      <c r="M532" s="30" t="s">
        <v>92</v>
      </c>
      <c r="N532" s="32"/>
      <c r="O532" s="32" t="str">
        <f>VLOOKUP($G532,'Hoja 10'!$F$4:$AA1057, 19,0)</f>
        <v>BAHCO</v>
      </c>
      <c r="P532" s="32" t="str">
        <f>VLOOKUP($G532,'Hoja 10'!$F$4:$AA1057, 20,0)</f>
        <v>SR300-E</v>
      </c>
      <c r="Q532" s="33" t="str">
        <f>VLOOKUP($G532,'Hoja 10'!$F$4:$AA1057, 21,0)</f>
        <v>https://www.promart.pe/regla-de-acero-300mm/p?srsltid=AfmBOopYSzWYsp5ckBbNC9SIQ_fe_D1NkeUkvdosg60ZS3JDaeKlviFn</v>
      </c>
      <c r="R532" s="30" t="s">
        <v>3417</v>
      </c>
      <c r="S532" s="34" t="b">
        <v>1</v>
      </c>
      <c r="T532" s="39" t="s">
        <v>2142</v>
      </c>
      <c r="U532" s="61" t="s">
        <v>3418</v>
      </c>
      <c r="V532" s="39" t="str">
        <f>IFERROR(__xludf.DUMMYFUNCTION(" IF
( VLOOKUP($G532,IMPORTRANGE(""https://docs.google.com/spreadsheets/d/1Gpl6jkTg7sL4VDNimUm3S9Vi1i95esohXCF3wuKOE8c"", ""'CONSOLIDADO'!G5:AB""), 10, 0) &lt;&gt; 0, 
IFERROR(VLOOKUP($G532,IMPORTRANGE(""https://docs.google.com/spreadsheets/d/1Gpl6jkTg7sL4VDNimU"&amp;"m3S9Vi1i95esohXCF3wuKOE8c"", ""'CONSOLIDADO'!G5:AB""), 17, 0), ""-""),
""""
)"),"BAZIC")</f>
        <v>BAZIC</v>
      </c>
      <c r="W532" s="39" t="str">
        <f>IFERROR(__xludf.DUMMYFUNCTION(" IF
( VLOOKUP($G532,IMPORTRANGE(""https://docs.google.com/spreadsheets/d/1Gpl6jkTg7sL4VDNimUm3S9Vi1i95esohXCF3wuKOE8c"", ""'CONSOLIDADO'!G5:AB""), 10, 0) &lt;&gt; 0, 
IFERROR(VLOOKUP($G532,IMPORTRANGE(""https://docs.google.com/spreadsheets/d/1Gpl6jkTg7sL4VDNimU"&amp;"m3S9Vi1i95esohXCF3wuKOE8c"", ""'CONSOLIDADO'!G5:AB""), 18, 0), ""-""),
""""
)"),"12"" (30cm) Stainless Steel Ruler w/ Non Skid Back")</f>
        <v>12" (30cm) Stainless Steel Ruler w/ Non Skid Back</v>
      </c>
      <c r="X532" s="39" t="b">
        <f t="shared" ref="X532:X533" si="56">IF(AND(T532=V532,W532=U532),TRUE,FALSE)</f>
        <v>0</v>
      </c>
      <c r="Y532" s="120" t="s">
        <v>3419</v>
      </c>
      <c r="Z532" s="37" t="str">
        <f>IFERROR(__xludf.DUMMYFUNCTION("IFERROR(VLOOKUP(G532,IMPORTRANGE(""https://docs.google.com/spreadsheets/d/12RxCea4e5ggM7QGn1XE3FbLQa_-QbCNdBi90OdPjRqg"", ""'Plan de Compras'!D4:Q""), 12, 0), ""NO ESTÁ EN REQ"")"),"Simple")</f>
        <v>Simple</v>
      </c>
      <c r="AA532" s="37" t="str">
        <f>IFERROR(__xludf.DUMMYFUNCTION("IFERROR(VLOOKUP(G532,IMPORTRANGE(""https://docs.google.com/spreadsheets/d/12RxCea4e5ggM7QGn1XE3FbLQa_-QbCNdBi90OdPjRqg"", ""'Plan de Compras'!D4:Q""), 13, 0), """")"),"NACIONAL")</f>
        <v>NACIONAL</v>
      </c>
      <c r="AB532" s="32" t="str">
        <f>IFERROR(__xludf.DUMMYFUNCTION("IFERROR(VLOOKUP(G532,IMPORTRANGE(""https://docs.google.com/spreadsheets/d/12RxCea4e5ggM7QGn1XE3FbLQa_-QbCNdBi90OdPjRqg"", ""'Plan de Compras'!D4:Q""), 14, 0), """")"),"ANGIE")</f>
        <v>ANGIE</v>
      </c>
      <c r="AC532" s="72" t="str">
        <f>IFERROR(__xludf.DUMMYFUNCTION("IFERROR(VLOOKUP(G532,IMPORTRANGE(""https://docs.google.com/spreadsheets/d/12RxCea4e5ggM7QGn1XE3FbLQa_-QbCNdBi90OdPjRqg"", ""'Plan de Compras'!D4:Q""), 4, 0), """")"),"REGLA METÁLICA DE 30 CM")</f>
        <v>REGLA METÁLICA DE 30 CM</v>
      </c>
      <c r="AD532" s="37" t="str">
        <f>IFERROR(__xludf.DUMMYFUNCTION("IFERROR(IF(OR(C532=TRUE,C532=""""),VLOOKUP(G532,IMPORTRANGE(""https://docs.google.com/spreadsheets/d/1z9A1Wq-kKrhRNG5RS2a2fKpY1wIhSVz2ZNmP2mOl588/edit?usp=sharing"",""REQ VF!E4:H""),4,0),""NO APLICA""),""GENERAR REQ"")"),"GENERAR REQ")</f>
        <v>GENERAR REQ</v>
      </c>
      <c r="AE532" s="32" t="str">
        <f>IFERROR(__xludf.DUMMYFUNCTION("IFERROR(QUERY(IMPORTRANGE(""https://docs.google.com/spreadsheets/d/1z9A1Wq-kKrhRNG5RS2a2fKpY1wIhSVz2ZNmP2mOl588/edit?usp=sharing"",""REQ VF!E4:Q""),""SELECT Col10, Col11, Col12 WHERE Col1 = '""&amp;G532&amp;""'"",0),""NO APLICA"")"),"NO APLICA")</f>
        <v>NO APLICA</v>
      </c>
      <c r="AF532" s="32"/>
      <c r="AG532" s="32"/>
      <c r="AH532" s="13"/>
      <c r="AI532" s="13"/>
    </row>
    <row r="533">
      <c r="A533" s="117">
        <v>326.0</v>
      </c>
      <c r="B533" s="43" t="b">
        <v>1</v>
      </c>
      <c r="C533" s="26" t="b">
        <v>1</v>
      </c>
      <c r="D533" s="26" t="s">
        <v>35</v>
      </c>
      <c r="E533" s="26" t="s">
        <v>1510</v>
      </c>
      <c r="F533" s="59" t="s">
        <v>3420</v>
      </c>
      <c r="G533" s="37" t="s">
        <v>3420</v>
      </c>
      <c r="H533" s="82" t="s">
        <v>3421</v>
      </c>
      <c r="I533" s="43">
        <f>SUMIFS('Hoja 10'!$O:$O,'Hoja 10'!$F:$F,$G533)</f>
        <v>20</v>
      </c>
      <c r="J533" s="26">
        <f>IFERROR(__xludf.DUMMYFUNCTION("VLOOKUP(G533,IMPORTRANGE(""https://docs.google.com/spreadsheets/d/12RxCea4e5ggM7QGn1XE3FbLQa_-QbCNdBi90OdPjRqg/edit?gid=1692403370#gid=1692403370"", ""'Plan de Compras'!D4:2432""), 8,0)"),20.0)</f>
        <v>20</v>
      </c>
      <c r="K533" s="26" t="str">
        <f t="shared" si="40"/>
        <v>SI</v>
      </c>
      <c r="L533" s="29" t="s">
        <v>185</v>
      </c>
      <c r="M533" s="30" t="s">
        <v>186</v>
      </c>
      <c r="N533" s="32"/>
      <c r="O533" s="32" t="str">
        <f>VLOOKUP($G533,'Hoja 10'!$F$4:$AA1057, 19,0)</f>
        <v>   ‎Wood River</v>
      </c>
      <c r="P533" s="32" t="str">
        <f>VLOOKUP($G533,'Hoja 10'!$F$4:$AA1057, 20,0)</f>
        <v>‎SR/40-SPL</v>
      </c>
      <c r="Q533" s="33" t="str">
        <f>VLOOKUP($G533,'Hoja 10'!$F$4:$AA1057, 21,0)</f>
        <v>https://www.amazon.com/Regla-ebanista-acero-inoxidable-1000mm/dp/B0036UHV8K/ref=sr_1_2_sspa?crid=2PETHOZU9T9AH&amp;dib=eyJ2IjoiMSJ9.fYv6OuEF9_DM1G8Hd2sxWRCNieX11dxy1CUw5QJBBXTmUYMjeq1pkYeDdS-bXaa1NomGLajPS7tIwGQlwiYNJVeWsORMcYpb7IFjLWuBHyVT7MnE1MJQXSRIdW5RpdgdvjeKIuHaCB3Ugqwn1CbcQt7TcSROl3_O7LkYKl9HxNlp1QfpBI3uZizpC287-T7E3H1P8sYT2QYm1VeV1v3WwPfQp2se0QPERbemJBFaTjM.jkNTuEWpTJUQeZuXRVgP3xHbpkUalhBIDv5pXJHdJys&amp;dib_tag=se&amp;keywords=reglas+de+metal+40+in&amp;qid=1759261358&amp;sprefix=reglas+de+metal+40+in%2Caps%2C152&amp;sr=8-2-spons&amp;sp_csd=d2lkZ2V0TmFtZT1zcF9hdGY&amp;psc=1</v>
      </c>
      <c r="R533" s="30" t="s">
        <v>3422</v>
      </c>
      <c r="S533" s="34" t="b">
        <v>1</v>
      </c>
      <c r="T533" s="63" t="str">
        <f>IFERROR(__xludf.DUMMYFUNCTION(" IF
( VLOOKUP($G533,IMPORTRANGE(""https://docs.google.com/spreadsheets/d/1Gpl6jkTg7sL4VDNimUm3S9Vi1i95esohXCF3wuKOE8c"", ""'CONSOLIDADO'!G5:AB""), 10, 0) &lt;&gt; 0, 
IFERROR(VLOOKUP($G533,IMPORTRANGE(""https://docs.google.com/spreadsheets/d/1Gpl6jkTg7sL4VDNimU"&amp;"m3S9Vi1i95esohXCF3wuKOE8c"", ""'CONSOLIDADO'!G5:AB""), 17, 0), ""-""),
""""
)"),"ACCUD")</f>
        <v>ACCUD</v>
      </c>
      <c r="U533" s="63" t="str">
        <f>IFERROR(__xludf.DUMMYFUNCTION(" IF
( VLOOKUP($G533,IMPORTRANGE(""https://docs.google.com/spreadsheets/d/1Gpl6jkTg7sL4VDNimUm3S9Vi1i95esohXCF3wuKOE8c"", ""'CONSOLIDADO'!G5:AB""), 10, 0) &lt;&gt; 0, 
IFERROR(VLOOKUP($G533,IMPORTRANGE(""https://docs.google.com/spreadsheets/d/1Gpl6jkTg7sL4VDNimU"&amp;"m3S9Vi1i95esohXCF3wuKOE8c"", ""'CONSOLIDADO'!G5:AB""), 18, 0), ""-""),
""""
)"),"990-040-11")</f>
        <v>990-040-11</v>
      </c>
      <c r="V533" s="39" t="str">
        <f>IFERROR(__xludf.DUMMYFUNCTION(" IF
( VLOOKUP($G533,IMPORTRANGE(""https://docs.google.com/spreadsheets/d/1Gpl6jkTg7sL4VDNimUm3S9Vi1i95esohXCF3wuKOE8c"", ""'CONSOLIDADO'!G5:AB""), 10, 0) &lt;&gt; 0, 
IFERROR(VLOOKUP($G533,IMPORTRANGE(""https://docs.google.com/spreadsheets/d/1Gpl6jkTg7sL4VDNimU"&amp;"m3S9Vi1i95esohXCF3wuKOE8c"", ""'CONSOLIDADO'!G5:AB""), 17, 0), ""-""),
""""
)"),"ACCUD")</f>
        <v>ACCUD</v>
      </c>
      <c r="W533" s="39" t="str">
        <f>IFERROR(__xludf.DUMMYFUNCTION(" IF
( VLOOKUP($G533,IMPORTRANGE(""https://docs.google.com/spreadsheets/d/1Gpl6jkTg7sL4VDNimUm3S9Vi1i95esohXCF3wuKOE8c"", ""'CONSOLIDADO'!G5:AB""), 10, 0) &lt;&gt; 0, 
IFERROR(VLOOKUP($G533,IMPORTRANGE(""https://docs.google.com/spreadsheets/d/1Gpl6jkTg7sL4VDNimU"&amp;"m3S9Vi1i95esohXCF3wuKOE8c"", ""'CONSOLIDADO'!G5:AB""), 18, 0), ""-""),
""""
)"),"990-040-11")</f>
        <v>990-040-11</v>
      </c>
      <c r="X533" s="39" t="b">
        <f t="shared" si="56"/>
        <v>1</v>
      </c>
      <c r="Y533" s="120" t="str">
        <f>IFERROR(__xludf.DUMMYFUNCTION(" IF
( VLOOKUP($G533,IMPORTRANGE(""https://docs.google.com/spreadsheets/d/1Gpl6jkTg7sL4VDNimUm3S9Vi1i95esohXCF3wuKOE8c"", ""'CONSOLIDADO'!G5:AB""), 10, 0) &lt;&gt; 0, 
IFERROR(VLOOKUP($G533,IMPORTRANGE(""https://docs.google.com/spreadsheets/d/1Gpl6jkTg7sL4VDNimU"&amp;"m3S9Vi1i95esohXCF3wuKOE8c"", ""'CONSOLIDADO'!G5:AB""), 19, 0), ""-""),
""""
)"),"https://www.infofar.com.pe/productos/utiles-de-oficina/escritura-y-correccion/reglas-escalimetro/victor-regla-metalica-grueso-100-cm-1mt/")</f>
        <v>https://www.infofar.com.pe/productos/utiles-de-oficina/escritura-y-correccion/reglas-escalimetro/victor-regla-metalica-grueso-100-cm-1mt/</v>
      </c>
      <c r="Z533" s="37" t="str">
        <f>IFERROR(__xludf.DUMMYFUNCTION("IFERROR(VLOOKUP(G533,IMPORTRANGE(""https://docs.google.com/spreadsheets/d/12RxCea4e5ggM7QGn1XE3FbLQa_-QbCNdBi90OdPjRqg"", ""'Plan de Compras'!D4:Q""), 12, 0), ""NO ESTÁ EN REQ"")"),"Simple")</f>
        <v>Simple</v>
      </c>
      <c r="AA533" s="37" t="str">
        <f>IFERROR(__xludf.DUMMYFUNCTION("IFERROR(VLOOKUP(G533,IMPORTRANGE(""https://docs.google.com/spreadsheets/d/12RxCea4e5ggM7QGn1XE3FbLQa_-QbCNdBi90OdPjRqg"", ""'Plan de Compras'!D4:Q""), 13, 0), """")"),"NACIONAL")</f>
        <v>NACIONAL</v>
      </c>
      <c r="AB533" s="32" t="str">
        <f>IFERROR(__xludf.DUMMYFUNCTION("IFERROR(VLOOKUP(G533,IMPORTRANGE(""https://docs.google.com/spreadsheets/d/12RxCea4e5ggM7QGn1XE3FbLQa_-QbCNdBi90OdPjRqg"", ""'Plan de Compras'!D4:Q""), 14, 0), """")"),"JESSICA")</f>
        <v>JESSICA</v>
      </c>
      <c r="AC533" s="72" t="str">
        <f>IFERROR(__xludf.DUMMYFUNCTION("IFERROR(VLOOKUP(G533,IMPORTRANGE(""https://docs.google.com/spreadsheets/d/12RxCea4e5ggM7QGn1XE3FbLQa_-QbCNdBi90OdPjRqg"", ""'Plan de Compras'!D4:Q""), 4, 0), """")"),"REGLAS DE METAL")</f>
        <v>REGLAS DE METAL</v>
      </c>
      <c r="AD533" s="37" t="str">
        <f>IFERROR(__xludf.DUMMYFUNCTION("IFERROR(IF(OR(C533=TRUE,C533=""""),VLOOKUP(G533,IMPORTRANGE(""https://docs.google.com/spreadsheets/d/1z9A1Wq-kKrhRNG5RS2a2fKpY1wIhSVz2ZNmP2mOl588/edit?usp=sharing"",""REQ VF!E4:H""),4,0),""NO APLICA""),""GENERAR REQ"")"),"GENERAR REQ")</f>
        <v>GENERAR REQ</v>
      </c>
      <c r="AE533" s="32" t="str">
        <f>IFERROR(__xludf.DUMMYFUNCTION("IFERROR(QUERY(IMPORTRANGE(""https://docs.google.com/spreadsheets/d/1z9A1Wq-kKrhRNG5RS2a2fKpY1wIhSVz2ZNmP2mOl588/edit?usp=sharing"",""REQ VF!E4:Q""),""SELECT Col10, Col11, Col12 WHERE Col1 = '""&amp;G533&amp;""'"",0),""NO APLICA"")"),"NO APLICA")</f>
        <v>NO APLICA</v>
      </c>
      <c r="AF533" s="32"/>
      <c r="AG533" s="32"/>
      <c r="AH533" s="13"/>
      <c r="AI533" s="13"/>
    </row>
    <row r="534">
      <c r="A534" s="43"/>
      <c r="B534" s="43"/>
      <c r="C534" s="26" t="b">
        <v>1</v>
      </c>
      <c r="D534" s="26" t="s">
        <v>42</v>
      </c>
      <c r="E534" s="26" t="s">
        <v>1510</v>
      </c>
      <c r="F534" s="59" t="s">
        <v>3420</v>
      </c>
      <c r="G534" s="39" t="s">
        <v>3423</v>
      </c>
      <c r="H534" s="66" t="s">
        <v>3424</v>
      </c>
      <c r="I534" s="43">
        <v>20.0</v>
      </c>
      <c r="J534" s="26">
        <f>IFERROR(__xludf.DUMMYFUNCTION("VLOOKUP(G534,IMPORTRANGE(""https://docs.google.com/spreadsheets/d/12RxCea4e5ggM7QGn1XE3FbLQa_-QbCNdBi90OdPjRqg/edit?gid=1692403370#gid=1692403370"", ""'Plan de Compras'!D4:2432""), 8,0)"),20.0)</f>
        <v>20</v>
      </c>
      <c r="K534" s="26" t="str">
        <f t="shared" si="40"/>
        <v>SI</v>
      </c>
      <c r="L534" s="26"/>
      <c r="M534" s="32"/>
      <c r="N534" s="32" t="s">
        <v>166</v>
      </c>
      <c r="O534" s="32"/>
      <c r="P534" s="32"/>
      <c r="Q534" s="41"/>
      <c r="R534" s="32"/>
      <c r="S534" s="34" t="b">
        <v>1</v>
      </c>
      <c r="T534" s="39" t="s">
        <v>47</v>
      </c>
      <c r="U534" s="43" t="s">
        <v>3425</v>
      </c>
      <c r="V534" s="39"/>
      <c r="W534" s="39"/>
      <c r="X534" s="39"/>
      <c r="Y534" s="124"/>
      <c r="Z534" s="37" t="str">
        <f>IFERROR(__xludf.DUMMYFUNCTION("IFERROR(VLOOKUP(G534,IMPORTRANGE(""https://docs.google.com/spreadsheets/d/12RxCea4e5ggM7QGn1XE3FbLQa_-QbCNdBi90OdPjRqg"", ""'Plan de Compras'!D4:Q""), 12, 0), ""NO ESTÁ EN REQ"")"),"Simple")</f>
        <v>Simple</v>
      </c>
      <c r="AA534" s="37" t="str">
        <f>IFERROR(__xludf.DUMMYFUNCTION("IFERROR(VLOOKUP(G534,IMPORTRANGE(""https://docs.google.com/spreadsheets/d/12RxCea4e5ggM7QGn1XE3FbLQa_-QbCNdBi90OdPjRqg"", ""'Plan de Compras'!D4:Q""), 13, 0), """")"),"NACIONAL")</f>
        <v>NACIONAL</v>
      </c>
      <c r="AB534" s="32" t="str">
        <f>IFERROR(__xludf.DUMMYFUNCTION("IFERROR(VLOOKUP(G534,IMPORTRANGE(""https://docs.google.com/spreadsheets/d/12RxCea4e5ggM7QGn1XE3FbLQa_-QbCNdBi90OdPjRqg"", ""'Plan de Compras'!D4:Q""), 14, 0), """")"),"ANGIE")</f>
        <v>ANGIE</v>
      </c>
      <c r="AC534" s="72" t="str">
        <f>IFERROR(__xludf.DUMMYFUNCTION("IFERROR(VLOOKUP(G534,IMPORTRANGE(""https://docs.google.com/spreadsheets/d/12RxCea4e5ggM7QGn1XE3FbLQa_-QbCNdBi90OdPjRqg"", ""'Plan de Compras'!D4:Q""), 4, 0), """")"),"FUNDA PLASTICA PARA REGLA DE METAL (1 UND)")</f>
        <v>FUNDA PLASTICA PARA REGLA DE METAL (1 UND)</v>
      </c>
      <c r="AD534" s="37" t="str">
        <f>IFERROR(__xludf.DUMMYFUNCTION("IFERROR(IF(OR(C534=TRUE,C534=""""),VLOOKUP(G534,IMPORTRANGE(""https://docs.google.com/spreadsheets/d/1z9A1Wq-kKrhRNG5RS2a2fKpY1wIhSVz2ZNmP2mOl588/edit?usp=sharing"",""REQ VF!E4:H""),4,0),""NO APLICA""),""GENERAR REQ"")"),"GENERAR REQ")</f>
        <v>GENERAR REQ</v>
      </c>
      <c r="AE534" s="32" t="str">
        <f>IFERROR(__xludf.DUMMYFUNCTION("IFERROR(QUERY(IMPORTRANGE(""https://docs.google.com/spreadsheets/d/1z9A1Wq-kKrhRNG5RS2a2fKpY1wIhSVz2ZNmP2mOl588/edit?usp=sharing"",""REQ VF!E4:Q""),""SELECT Col10, Col11, Col12 WHERE Col1 = '""&amp;G534&amp;""'"",0),""NO APLICA"")"),"NO APLICA")</f>
        <v>NO APLICA</v>
      </c>
      <c r="AF534" s="32"/>
      <c r="AG534" s="32"/>
      <c r="AH534" s="13"/>
      <c r="AI534" s="13"/>
    </row>
    <row r="535">
      <c r="A535" s="121">
        <v>327.0</v>
      </c>
      <c r="B535" s="43" t="b">
        <v>1</v>
      </c>
      <c r="C535" s="26" t="b">
        <v>1</v>
      </c>
      <c r="D535" s="26" t="s">
        <v>35</v>
      </c>
      <c r="E535" s="26" t="s">
        <v>1510</v>
      </c>
      <c r="F535" s="59" t="s">
        <v>3426</v>
      </c>
      <c r="G535" s="39" t="s">
        <v>3426</v>
      </c>
      <c r="H535" s="66" t="s">
        <v>3427</v>
      </c>
      <c r="I535" s="43">
        <f>SUMIFS('Hoja 10'!$O:$O,'Hoja 10'!$F:$F,$G535)</f>
        <v>10</v>
      </c>
      <c r="J535" s="26">
        <f>IFERROR(__xludf.DUMMYFUNCTION("VLOOKUP(G535,IMPORTRANGE(""https://docs.google.com/spreadsheets/d/12RxCea4e5ggM7QGn1XE3FbLQa_-QbCNdBi90OdPjRqg/edit?gid=1692403370#gid=1692403370"", ""'Plan de Compras'!D4:2432""), 8,0)"),10.0)</f>
        <v>10</v>
      </c>
      <c r="K535" s="26" t="str">
        <f t="shared" si="40"/>
        <v>SI</v>
      </c>
      <c r="L535" s="29" t="s">
        <v>185</v>
      </c>
      <c r="M535" s="30" t="s">
        <v>186</v>
      </c>
      <c r="N535" s="32"/>
      <c r="O535" s="32" t="str">
        <f>VLOOKUP($G535,'Hoja 10'!$F$4:$AA1057, 19,0)</f>
        <v>Lutterloh System</v>
      </c>
      <c r="P535" s="32" t="str">
        <f>VLOOKUP($G535,'Hoja 10'!$F$4:$AA1057, 20,0)</f>
        <v>Set de Reglas de Patronaje</v>
      </c>
      <c r="Q535" s="33" t="str">
        <f>VLOOKUP($G535,'Hoja 10'!$F$4:$AA1057, 21,0)</f>
        <v>https://merceriasarabia.com/reglas-de-plastico/3588-set-de-reglas-de-patronaje-lutterloh.html</v>
      </c>
      <c r="R535" s="30" t="s">
        <v>3428</v>
      </c>
      <c r="S535" s="34" t="b">
        <v>1</v>
      </c>
      <c r="T535" s="39" t="str">
        <f>IFERROR(__xludf.DUMMYFUNCTION(" IF
( VLOOKUP($G535,IMPORTRANGE(""https://docs.google.com/spreadsheets/d/1Gpl6jkTg7sL4VDNimUm3S9Vi1i95esohXCF3wuKOE8c"", ""'CONSOLIDADO'!G5:AB""), 10, 0) &lt;&gt; 0, 
IFERROR(VLOOKUP($G535,IMPORTRANGE(""https://docs.google.com/spreadsheets/d/1Gpl6jkTg7sL4VDNimU"&amp;"m3S9Vi1i95esohXCF3wuKOE8c"", ""'CONSOLIDADO'!G5:AB""), 17, 0), ""-""),
""""
)"),"Lutterloh System")</f>
        <v>Lutterloh System</v>
      </c>
      <c r="U535" s="39" t="str">
        <f>IFERROR(__xludf.DUMMYFUNCTION(" IF
( VLOOKUP($G535,IMPORTRANGE(""https://docs.google.com/spreadsheets/d/1Gpl6jkTg7sL4VDNimUm3S9Vi1i95esohXCF3wuKOE8c"", ""'CONSOLIDADO'!G5:AB""), 10, 0) &lt;&gt; 0, 
IFERROR(VLOOKUP($G535,IMPORTRANGE(""https://docs.google.com/spreadsheets/d/1Gpl6jkTg7sL4VDNimU"&amp;"m3S9Vi1i95esohXCF3wuKOE8c"", ""'CONSOLIDADO'!G5:AB""), 18, 0), ""-""),
""""
)"),"Set de Reglas de Patronaje")</f>
        <v>Set de Reglas de Patronaje</v>
      </c>
      <c r="V535" s="39" t="str">
        <f>IFERROR(__xludf.DUMMYFUNCTION(" IF
( VLOOKUP($G535,IMPORTRANGE(""https://docs.google.com/spreadsheets/d/1Gpl6jkTg7sL4VDNimUm3S9Vi1i95esohXCF3wuKOE8c"", ""'CONSOLIDADO'!G5:AB""), 10, 0) &lt;&gt; 0, 
IFERROR(VLOOKUP($G535,IMPORTRANGE(""https://docs.google.com/spreadsheets/d/1Gpl6jkTg7sL4VDNimU"&amp;"m3S9Vi1i95esohXCF3wuKOE8c"", ""'CONSOLIDADO'!G5:AB""), 17, 0), ""-""),
""""
)"),"Lutterloh System")</f>
        <v>Lutterloh System</v>
      </c>
      <c r="W535" s="39" t="str">
        <f>IFERROR(__xludf.DUMMYFUNCTION(" IF
( VLOOKUP($G535,IMPORTRANGE(""https://docs.google.com/spreadsheets/d/1Gpl6jkTg7sL4VDNimUm3S9Vi1i95esohXCF3wuKOE8c"", ""'CONSOLIDADO'!G5:AB""), 10, 0) &lt;&gt; 0, 
IFERROR(VLOOKUP($G535,IMPORTRANGE(""https://docs.google.com/spreadsheets/d/1Gpl6jkTg7sL4VDNimU"&amp;"m3S9Vi1i95esohXCF3wuKOE8c"", ""'CONSOLIDADO'!G5:AB""), 18, 0), ""-""),
""""
)"),"Set de Reglas de Patronaje")</f>
        <v>Set de Reglas de Patronaje</v>
      </c>
      <c r="X535" s="39" t="b">
        <f t="shared" ref="X535:X539" si="57">IF(AND(T535=V535,W535=U535),TRUE,FALSE)</f>
        <v>1</v>
      </c>
      <c r="Y535" s="120" t="str">
        <f>IFERROR(__xludf.DUMMYFUNCTION(" IF
( VLOOKUP($G535,IMPORTRANGE(""https://docs.google.com/spreadsheets/d/1Gpl6jkTg7sL4VDNimUm3S9Vi1i95esohXCF3wuKOE8c"", ""'CONSOLIDADO'!G5:AB""), 10, 0) &lt;&gt; 0, 
IFERROR(VLOOKUP($G535,IMPORTRANGE(""https://docs.google.com/spreadsheets/d/1Gpl6jkTg7sL4VDNimU"&amp;"m3S9Vi1i95esohXCF3wuKOE8c"", ""'CONSOLIDADO'!G5:AB""), 19, 0), ""-""),
""""
)"),"https://www.lutterloh-patterns.com/es/products/sastreydisenador-curva-de-acrilico?_pos=3&amp;_fid=d7970e28b&amp;_ss=c")</f>
        <v>https://www.lutterloh-patterns.com/es/products/sastreydisenador-curva-de-acrilico?_pos=3&amp;_fid=d7970e28b&amp;_ss=c</v>
      </c>
      <c r="Z535" s="37" t="str">
        <f>IFERROR(__xludf.DUMMYFUNCTION("IFERROR(VLOOKUP(G535,IMPORTRANGE(""https://docs.google.com/spreadsheets/d/12RxCea4e5ggM7QGn1XE3FbLQa_-QbCNdBi90OdPjRqg"", ""'Plan de Compras'!D4:Q""), 12, 0), ""NO ESTÁ EN REQ"")"),"Técnica")</f>
        <v>Técnica</v>
      </c>
      <c r="AA535" s="37" t="str">
        <f>IFERROR(__xludf.DUMMYFUNCTION("IFERROR(VLOOKUP(G535,IMPORTRANGE(""https://docs.google.com/spreadsheets/d/12RxCea4e5ggM7QGn1XE3FbLQa_-QbCNdBi90OdPjRqg"", ""'Plan de Compras'!D4:Q""), 13, 0), """")"),"INTERNACIONAL")</f>
        <v>INTERNACIONAL</v>
      </c>
      <c r="AB535" s="32" t="str">
        <f>IFERROR(__xludf.DUMMYFUNCTION("IFERROR(VLOOKUP(G535,IMPORTRANGE(""https://docs.google.com/spreadsheets/d/12RxCea4e5ggM7QGn1XE3FbLQa_-QbCNdBi90OdPjRqg"", ""'Plan de Compras'!D4:Q""), 14, 0), """")"),"GIANFRANCO")</f>
        <v>GIANFRANCO</v>
      </c>
      <c r="AC535" s="72" t="str">
        <f>IFERROR(__xludf.DUMMYFUNCTION("IFERROR(VLOOKUP(G535,IMPORTRANGE(""https://docs.google.com/spreadsheets/d/12RxCea4e5ggM7QGn1XE3FbLQa_-QbCNdBi90OdPjRqg"", ""'Plan de Compras'!D4:Q""), 4, 0), """")"),"JUEGO DE REGLAS DE PATRONAJE")</f>
        <v>JUEGO DE REGLAS DE PATRONAJE</v>
      </c>
      <c r="AD535" s="37" t="str">
        <f>IFERROR(__xludf.DUMMYFUNCTION("IFERROR(IF(OR(C535=TRUE,C535=""""),VLOOKUP(G535,IMPORTRANGE(""https://docs.google.com/spreadsheets/d/1z9A1Wq-kKrhRNG5RS2a2fKpY1wIhSVz2ZNmP2mOl588/edit?usp=sharing"",""REQ VF!E4:H""),4,0),""NO APLICA""),""GENERAR REQ"")"),"GENERAR REQ")</f>
        <v>GENERAR REQ</v>
      </c>
      <c r="AE535" s="32" t="str">
        <f>IFERROR(__xludf.DUMMYFUNCTION("IFERROR(QUERY(IMPORTRANGE(""https://docs.google.com/spreadsheets/d/1z9A1Wq-kKrhRNG5RS2a2fKpY1wIhSVz2ZNmP2mOl588/edit?usp=sharing"",""REQ VF!E4:Q""),""SELECT Col10, Col11, Col12 WHERE Col1 = '""&amp;G535&amp;""'"",0),""NO APLICA"")"),"NO APLICA")</f>
        <v>NO APLICA</v>
      </c>
      <c r="AF535" s="32"/>
      <c r="AG535" s="32"/>
      <c r="AH535" s="13"/>
      <c r="AI535" s="13"/>
    </row>
    <row r="536">
      <c r="A536" s="121">
        <v>328.0</v>
      </c>
      <c r="B536" s="43"/>
      <c r="C536" s="26" t="b">
        <v>1</v>
      </c>
      <c r="D536" s="26" t="s">
        <v>35</v>
      </c>
      <c r="E536" s="26" t="s">
        <v>1510</v>
      </c>
      <c r="F536" s="59" t="s">
        <v>3429</v>
      </c>
      <c r="G536" s="39" t="s">
        <v>3429</v>
      </c>
      <c r="H536" s="66" t="s">
        <v>3430</v>
      </c>
      <c r="I536" s="43">
        <f>SUMIFS('Hoja 10'!$O:$O,'Hoja 10'!$F:$F,$G536)</f>
        <v>4</v>
      </c>
      <c r="J536" s="26">
        <f>IFERROR(__xludf.DUMMYFUNCTION("VLOOKUP(G536,IMPORTRANGE(""https://docs.google.com/spreadsheets/d/12RxCea4e5ggM7QGn1XE3FbLQa_-QbCNdBi90OdPjRqg/edit?gid=1692403370#gid=1692403370"", ""'Plan de Compras'!D4:2432""), 8,0)"),4.0)</f>
        <v>4</v>
      </c>
      <c r="K536" s="26" t="str">
        <f t="shared" si="40"/>
        <v>SI</v>
      </c>
      <c r="L536" s="29" t="s">
        <v>122</v>
      </c>
      <c r="M536" s="30" t="s">
        <v>123</v>
      </c>
      <c r="N536" s="32"/>
      <c r="O536" s="32" t="str">
        <f>VLOOKUP($G536,'Hoja 10'!$F$4:$AA1057, 19,0)</f>
        <v/>
      </c>
      <c r="P536" s="32" t="str">
        <f>VLOOKUP($G536,'Hoja 10'!$F$4:$AA1057, 20,0)</f>
        <v/>
      </c>
      <c r="Q536" s="41" t="str">
        <f>VLOOKUP($G536,'Hoja 10'!$F$4:$AA1057, 21,0)</f>
        <v/>
      </c>
      <c r="R536" s="30" t="s">
        <v>3431</v>
      </c>
      <c r="S536" s="44" t="b">
        <v>0</v>
      </c>
      <c r="T536" s="39" t="str">
        <f>IFERROR(__xludf.DUMMYFUNCTION(" IF
( VLOOKUP($G536,IMPORTRANGE(""https://docs.google.com/spreadsheets/d/1Gpl6jkTg7sL4VDNimUm3S9Vi1i95esohXCF3wuKOE8c"", ""'CONSOLIDADO'!G5:AB""), 10, 0) &lt;&gt; 0, 
IFERROR(VLOOKUP($G536,IMPORTRANGE(""https://docs.google.com/spreadsheets/d/1Gpl6jkTg7sL4VDNimU"&amp;"m3S9Vi1i95esohXCF3wuKOE8c"", ""'CONSOLIDADO'!G5:AB""), 17, 0), ""-""),
""""
)"),"PROTEUS")</f>
        <v>PROTEUS</v>
      </c>
      <c r="U536" s="39" t="str">
        <f>IFERROR(__xludf.DUMMYFUNCTION(" IF
( VLOOKUP($G536,IMPORTRANGE(""https://docs.google.com/spreadsheets/d/1Gpl6jkTg7sL4VDNimUm3S9Vi1i95esohXCF3wuKOE8c"", ""'CONSOLIDADO'!G5:AB""), 10, 0) &lt;&gt; 0, 
IFERROR(VLOOKUP($G536,IMPORTRANGE(""https://docs.google.com/spreadsheets/d/1Gpl6jkTg7sL4VDNimU"&amp;"m3S9Vi1i95esohXCF3wuKOE8c"", ""'CONSOLIDADO'!G5:AB""), 18, 0), ""-""),
""""
)"),"Proteus Design Suite")</f>
        <v>Proteus Design Suite</v>
      </c>
      <c r="V536" s="39" t="str">
        <f>IFERROR(__xludf.DUMMYFUNCTION(" IF
( VLOOKUP($G536,IMPORTRANGE(""https://docs.google.com/spreadsheets/d/1Gpl6jkTg7sL4VDNimUm3S9Vi1i95esohXCF3wuKOE8c"", ""'CONSOLIDADO'!G5:AB""), 10, 0) &lt;&gt; 0, 
IFERROR(VLOOKUP($G536,IMPORTRANGE(""https://docs.google.com/spreadsheets/d/1Gpl6jkTg7sL4VDNimU"&amp;"m3S9Vi1i95esohXCF3wuKOE8c"", ""'CONSOLIDADO'!G5:AB""), 17, 0), ""-""),
""""
)"),"PROTEUS")</f>
        <v>PROTEUS</v>
      </c>
      <c r="W536" s="39" t="str">
        <f>IFERROR(__xludf.DUMMYFUNCTION(" IF
( VLOOKUP($G536,IMPORTRANGE(""https://docs.google.com/spreadsheets/d/1Gpl6jkTg7sL4VDNimUm3S9Vi1i95esohXCF3wuKOE8c"", ""'CONSOLIDADO'!G5:AB""), 10, 0) &lt;&gt; 0, 
IFERROR(VLOOKUP($G536,IMPORTRANGE(""https://docs.google.com/spreadsheets/d/1Gpl6jkTg7sL4VDNimU"&amp;"m3S9Vi1i95esohXCF3wuKOE8c"", ""'CONSOLIDADO'!G5:AB""), 18, 0), ""-""),
""""
)"),"Proteus Design Suite")</f>
        <v>Proteus Design Suite</v>
      </c>
      <c r="X536" s="39" t="b">
        <f t="shared" si="57"/>
        <v>1</v>
      </c>
      <c r="Y536" s="110" t="str">
        <f>IFERROR(__xludf.DUMMYFUNCTION(" IF
( VLOOKUP($G536,IMPORTRANGE(""https://docs.google.com/spreadsheets/d/1Gpl6jkTg7sL4VDNimUm3S9Vi1i95esohXCF3wuKOE8c"", ""'CONSOLIDADO'!G5:AB""), 10, 0) &lt;&gt; 0, 
IFERROR(VLOOKUP($G536,IMPORTRANGE(""https://docs.google.com/spreadsheets/d/1Gpl6jkTg7sL4VDNimU"&amp;"m3S9Vi1i95esohXCF3wuKOE8c"", ""'CONSOLIDADO'!G5:AB""), 19, 0), ""-""),
""""
)"),"")</f>
        <v/>
      </c>
      <c r="Z536" s="37" t="str">
        <f>IFERROR(__xludf.DUMMYFUNCTION("IFERROR(VLOOKUP(G536,IMPORTRANGE(""https://docs.google.com/spreadsheets/d/12RxCea4e5ggM7QGn1XE3FbLQa_-QbCNdBi90OdPjRqg"", ""'Plan de Compras'!D4:Q""), 12, 0), ""NO ESTÁ EN REQ"")"),"Técnica")</f>
        <v>Técnica</v>
      </c>
      <c r="AA536" s="37" t="str">
        <f>IFERROR(__xludf.DUMMYFUNCTION("IFERROR(VLOOKUP(G536,IMPORTRANGE(""https://docs.google.com/spreadsheets/d/12RxCea4e5ggM7QGn1XE3FbLQa_-QbCNdBi90OdPjRqg"", ""'Plan de Compras'!D4:Q""), 13, 0), """")"),"INT/NAC")</f>
        <v>INT/NAC</v>
      </c>
      <c r="AB536" s="32" t="str">
        <f>IFERROR(__xludf.DUMMYFUNCTION("IFERROR(VLOOKUP(G536,IMPORTRANGE(""https://docs.google.com/spreadsheets/d/12RxCea4e5ggM7QGn1XE3FbLQa_-QbCNdBi90OdPjRqg"", ""'Plan de Compras'!D4:Q""), 14, 0), """")"),"")</f>
        <v/>
      </c>
      <c r="AC536" s="72" t="str">
        <f>IFERROR(__xludf.DUMMYFUNCTION("IFERROR(VLOOKUP(G536,IMPORTRANGE(""https://docs.google.com/spreadsheets/d/12RxCea4e5ggM7QGn1XE3FbLQa_-QbCNdBi90OdPjRqg"", ""'Plan de Compras'!D4:Q""), 4, 0), """")"),"SIMULADOR VIRTUAL DE CIRCUITOS ELECTRÓNICOS ANALÓGICOS Y DIGITALES")</f>
        <v>SIMULADOR VIRTUAL DE CIRCUITOS ELECTRÓNICOS ANALÓGICOS Y DIGITALES</v>
      </c>
      <c r="AD536" s="37" t="str">
        <f>IFERROR(__xludf.DUMMYFUNCTION("IFERROR(IF(OR(C536=TRUE,C536=""""),VLOOKUP(G536,IMPORTRANGE(""https://docs.google.com/spreadsheets/d/1z9A1Wq-kKrhRNG5RS2a2fKpY1wIhSVz2ZNmP2mOl588/edit?usp=sharing"",""REQ VF!E4:H""),4,0),""NO APLICA""),""GENERAR REQ"")"),"GENERAR REQ")</f>
        <v>GENERAR REQ</v>
      </c>
      <c r="AE536" s="32" t="str">
        <f>IFERROR(__xludf.DUMMYFUNCTION("IFERROR(QUERY(IMPORTRANGE(""https://docs.google.com/spreadsheets/d/1z9A1Wq-kKrhRNG5RS2a2fKpY1wIhSVz2ZNmP2mOl588/edit?usp=sharing"",""REQ VF!E4:Q""),""SELECT Col10, Col11, Col12 WHERE Col1 = '""&amp;G536&amp;""'"",0),""NO APLICA"")"),"NO APLICA")</f>
        <v>NO APLICA</v>
      </c>
      <c r="AF536" s="32"/>
      <c r="AG536" s="32"/>
      <c r="AH536" s="13"/>
      <c r="AI536" s="13"/>
    </row>
    <row r="537">
      <c r="A537" s="121">
        <v>329.0</v>
      </c>
      <c r="B537" s="43"/>
      <c r="C537" s="26" t="b">
        <v>1</v>
      </c>
      <c r="D537" s="26" t="s">
        <v>35</v>
      </c>
      <c r="E537" s="26" t="s">
        <v>1510</v>
      </c>
      <c r="F537" s="59" t="s">
        <v>3432</v>
      </c>
      <c r="G537" s="39" t="s">
        <v>3432</v>
      </c>
      <c r="H537" s="66" t="s">
        <v>3433</v>
      </c>
      <c r="I537" s="43">
        <f>SUMIFS('Hoja 10'!$O:$O,'Hoja 10'!$F:$F,$G537)</f>
        <v>12</v>
      </c>
      <c r="J537" s="26">
        <f>IFERROR(__xludf.DUMMYFUNCTION("VLOOKUP(G537,IMPORTRANGE(""https://docs.google.com/spreadsheets/d/12RxCea4e5ggM7QGn1XE3FbLQa_-QbCNdBi90OdPjRqg/edit?gid=1692403370#gid=1692403370"", ""'Plan de Compras'!D4:2432""), 8,0)"),12.0)</f>
        <v>12</v>
      </c>
      <c r="K537" s="26" t="str">
        <f t="shared" si="40"/>
        <v>SI</v>
      </c>
      <c r="L537" s="29" t="s">
        <v>180</v>
      </c>
      <c r="M537" s="30" t="s">
        <v>181</v>
      </c>
      <c r="N537" s="32"/>
      <c r="O537" s="32" t="str">
        <f>VLOOKUP($G537,'Hoja 10'!$F$4:$AA1057, 19,0)</f>
        <v/>
      </c>
      <c r="P537" s="32" t="str">
        <f>VLOOKUP($G537,'Hoja 10'!$F$4:$AA1057, 20,0)</f>
        <v/>
      </c>
      <c r="Q537" s="41" t="str">
        <f>VLOOKUP($G537,'Hoja 10'!$F$4:$AA1057, 21,0)</f>
        <v/>
      </c>
      <c r="R537" s="30" t="s">
        <v>3434</v>
      </c>
      <c r="S537" s="44" t="b">
        <v>0</v>
      </c>
      <c r="T537" s="39" t="str">
        <f>IFERROR(__xludf.DUMMYFUNCTION(" IF
( VLOOKUP($G537,IMPORTRANGE(""https://docs.google.com/spreadsheets/d/1Gpl6jkTg7sL4VDNimUm3S9Vi1i95esohXCF3wuKOE8c"", ""'CONSOLIDADO'!G5:AB""), 10, 0) &lt;&gt; 0, 
IFERROR(VLOOKUP($G537,IMPORTRANGE(""https://docs.google.com/spreadsheets/d/1Gpl6jkTg7sL4VDNimU"&amp;"m3S9Vi1i95esohXCF3wuKOE8c"", ""'CONSOLIDADO'!G5:AB""), 17, 0), ""-""),
""""
)"),"ARDUINO")</f>
        <v>ARDUINO</v>
      </c>
      <c r="U537" s="39" t="str">
        <f>IFERROR(__xludf.DUMMYFUNCTION(" IF
( VLOOKUP($G537,IMPORTRANGE(""https://docs.google.com/spreadsheets/d/1Gpl6jkTg7sL4VDNimUm3S9Vi1i95esohXCF3wuKOE8c"", ""'CONSOLIDADO'!G5:AB""), 10, 0) &lt;&gt; 0, 
IFERROR(VLOOKUP($G537,IMPORTRANGE(""https://docs.google.com/spreadsheets/d/1Gpl6jkTg7sL4VDNimU"&amp;"m3S9Vi1i95esohXCF3wuKOE8c"", ""'CONSOLIDADO'!G5:AB""), 18, 0), ""-""),
""""
)"),"IDE 2.3.7")</f>
        <v>IDE 2.3.7</v>
      </c>
      <c r="V537" s="39" t="str">
        <f>IFERROR(__xludf.DUMMYFUNCTION(" IF
( VLOOKUP($G537,IMPORTRANGE(""https://docs.google.com/spreadsheets/d/1Gpl6jkTg7sL4VDNimUm3S9Vi1i95esohXCF3wuKOE8c"", ""'CONSOLIDADO'!G5:AB""), 10, 0) &lt;&gt; 0, 
IFERROR(VLOOKUP($G537,IMPORTRANGE(""https://docs.google.com/spreadsheets/d/1Gpl6jkTg7sL4VDNimU"&amp;"m3S9Vi1i95esohXCF3wuKOE8c"", ""'CONSOLIDADO'!G5:AB""), 17, 0), ""-""),
""""
)"),"ARDUINO")</f>
        <v>ARDUINO</v>
      </c>
      <c r="W537" s="39" t="str">
        <f>IFERROR(__xludf.DUMMYFUNCTION(" IF
( VLOOKUP($G537,IMPORTRANGE(""https://docs.google.com/spreadsheets/d/1Gpl6jkTg7sL4VDNimUm3S9Vi1i95esohXCF3wuKOE8c"", ""'CONSOLIDADO'!G5:AB""), 10, 0) &lt;&gt; 0, 
IFERROR(VLOOKUP($G537,IMPORTRANGE(""https://docs.google.com/spreadsheets/d/1Gpl6jkTg7sL4VDNimU"&amp;"m3S9Vi1i95esohXCF3wuKOE8c"", ""'CONSOLIDADO'!G5:AB""), 18, 0), ""-""),
""""
)"),"IDE 2.3.7")</f>
        <v>IDE 2.3.7</v>
      </c>
      <c r="X537" s="39" t="b">
        <f t="shared" si="57"/>
        <v>1</v>
      </c>
      <c r="Y537" s="120" t="str">
        <f>IFERROR(__xludf.DUMMYFUNCTION(" IF
( VLOOKUP($G537,IMPORTRANGE(""https://docs.google.com/spreadsheets/d/1Gpl6jkTg7sL4VDNimUm3S9Vi1i95esohXCF3wuKOE8c"", ""'CONSOLIDADO'!G5:AB""), 10, 0) &lt;&gt; 0, 
IFERROR(VLOOKUP($G537,IMPORTRANGE(""https://docs.google.com/spreadsheets/d/1Gpl6jkTg7sL4VDNimU"&amp;"m3S9Vi1i95esohXCF3wuKOE8c"", ""'CONSOLIDADO'!G5:AB""), 19, 0), ""-""),
""""
)"),"https://www.arduino.cc/en/software/")</f>
        <v>https://www.arduino.cc/en/software/</v>
      </c>
      <c r="Z537" s="37" t="str">
        <f>IFERROR(__xludf.DUMMYFUNCTION("IFERROR(VLOOKUP(G537,IMPORTRANGE(""https://docs.google.com/spreadsheets/d/12RxCea4e5ggM7QGn1XE3FbLQa_-QbCNdBi90OdPjRqg"", ""'Plan de Compras'!D4:Q""), 12, 0), ""NO ESTÁ EN REQ"")"),"Técnica")</f>
        <v>Técnica</v>
      </c>
      <c r="AA537" s="37" t="str">
        <f>IFERROR(__xludf.DUMMYFUNCTION("IFERROR(VLOOKUP(G537,IMPORTRANGE(""https://docs.google.com/spreadsheets/d/12RxCea4e5ggM7QGn1XE3FbLQa_-QbCNdBi90OdPjRqg"", ""'Plan de Compras'!D4:Q""), 13, 0), """")"),"INT/NAC")</f>
        <v>INT/NAC</v>
      </c>
      <c r="AB537" s="32" t="str">
        <f>IFERROR(__xludf.DUMMYFUNCTION("IFERROR(VLOOKUP(G537,IMPORTRANGE(""https://docs.google.com/spreadsheets/d/12RxCea4e5ggM7QGn1XE3FbLQa_-QbCNdBi90OdPjRqg"", ""'Plan de Compras'!D4:Q""), 14, 0), """")"),"")</f>
        <v/>
      </c>
      <c r="AC537" s="72" t="str">
        <f>IFERROR(__xludf.DUMMYFUNCTION("IFERROR(VLOOKUP(G537,IMPORTRANGE(""https://docs.google.com/spreadsheets/d/12RxCea4e5ggM7QGn1XE3FbLQa_-QbCNdBi90OdPjRqg"", ""'Plan de Compras'!D4:Q""), 4, 0), """")"),"SOFTWARE PARA PLATAFORMA ELECTRÓNICA DE CÓDIGO ABIERTO")</f>
        <v>SOFTWARE PARA PLATAFORMA ELECTRÓNICA DE CÓDIGO ABIERTO</v>
      </c>
      <c r="AD537" s="37" t="str">
        <f>IFERROR(__xludf.DUMMYFUNCTION("IFERROR(IF(OR(C537=TRUE,C537=""""),VLOOKUP(G537,IMPORTRANGE(""https://docs.google.com/spreadsheets/d/1z9A1Wq-kKrhRNG5RS2a2fKpY1wIhSVz2ZNmP2mOl588/edit?usp=sharing"",""REQ VF!E4:H""),4,0),""NO APLICA""),""GENERAR REQ"")"),"GENERAR REQ")</f>
        <v>GENERAR REQ</v>
      </c>
      <c r="AE537" s="32" t="str">
        <f>IFERROR(__xludf.DUMMYFUNCTION("IFERROR(QUERY(IMPORTRANGE(""https://docs.google.com/spreadsheets/d/1z9A1Wq-kKrhRNG5RS2a2fKpY1wIhSVz2ZNmP2mOl588/edit?usp=sharing"",""REQ VF!E4:Q""),""SELECT Col10, Col11, Col12 WHERE Col1 = '""&amp;G537&amp;""'"",0),""NO APLICA"")"),"NO APLICA")</f>
        <v>NO APLICA</v>
      </c>
      <c r="AF537" s="32"/>
      <c r="AG537" s="32"/>
      <c r="AH537" s="13"/>
      <c r="AI537" s="13"/>
    </row>
    <row r="538">
      <c r="A538" s="117">
        <v>330.0</v>
      </c>
      <c r="B538" s="43"/>
      <c r="C538" s="26" t="b">
        <v>1</v>
      </c>
      <c r="D538" s="26" t="s">
        <v>35</v>
      </c>
      <c r="E538" s="26" t="s">
        <v>1510</v>
      </c>
      <c r="F538" s="59" t="s">
        <v>3435</v>
      </c>
      <c r="G538" s="39" t="s">
        <v>3435</v>
      </c>
      <c r="H538" s="66" t="s">
        <v>3436</v>
      </c>
      <c r="I538" s="43">
        <f>SUMIFS('Hoja 10'!$O:$O,'Hoja 10'!$F:$F,$G538)</f>
        <v>12</v>
      </c>
      <c r="J538" s="26">
        <f>IFERROR(__xludf.DUMMYFUNCTION("VLOOKUP(G538,IMPORTRANGE(""https://docs.google.com/spreadsheets/d/12RxCea4e5ggM7QGn1XE3FbLQa_-QbCNdBi90OdPjRqg/edit?gid=1692403370#gid=1692403370"", ""'Plan de Compras'!D4:2432""), 8,0)"),12.0)</f>
        <v>12</v>
      </c>
      <c r="K538" s="26" t="str">
        <f t="shared" si="40"/>
        <v>SI</v>
      </c>
      <c r="L538" s="29" t="s">
        <v>180</v>
      </c>
      <c r="M538" s="30" t="s">
        <v>181</v>
      </c>
      <c r="N538" s="32"/>
      <c r="O538" s="32" t="str">
        <f>VLOOKUP($G538,'Hoja 10'!$F$4:$AA1057, 19,0)</f>
        <v/>
      </c>
      <c r="P538" s="32" t="str">
        <f>VLOOKUP($G538,'Hoja 10'!$F$4:$AA1057, 20,0)</f>
        <v/>
      </c>
      <c r="Q538" s="41" t="str">
        <f>VLOOKUP($G538,'Hoja 10'!$F$4:$AA1057, 21,0)</f>
        <v/>
      </c>
      <c r="R538" s="30" t="s">
        <v>3437</v>
      </c>
      <c r="S538" s="44" t="b">
        <v>0</v>
      </c>
      <c r="T538" s="39" t="str">
        <f>IFERROR(__xludf.DUMMYFUNCTION(" IF
( VLOOKUP($G538,IMPORTRANGE(""https://docs.google.com/spreadsheets/d/1Gpl6jkTg7sL4VDNimUm3S9Vi1i95esohXCF3wuKOE8c"", ""'CONSOLIDADO'!G5:AB""), 10, 0) &lt;&gt; 0, 
IFERROR(VLOOKUP($G538,IMPORTRANGE(""https://docs.google.com/spreadsheets/d/1Gpl6jkTg7sL4VDNimU"&amp;"m3S9Vi1i95esohXCF3wuKOE8c"", ""'CONSOLIDADO'!G5:AB""), 17, 0), ""-""),
""""
)"),"SIEMENS")</f>
        <v>SIEMENS</v>
      </c>
      <c r="U538" s="39" t="str">
        <f>IFERROR(__xludf.DUMMYFUNCTION(" IF
( VLOOKUP($G538,IMPORTRANGE(""https://docs.google.com/spreadsheets/d/1Gpl6jkTg7sL4VDNimUm3S9Vi1i95esohXCF3wuKOE8c"", ""'CONSOLIDADO'!G5:AB""), 10, 0) &lt;&gt; 0, 
IFERROR(VLOOKUP($G538,IMPORTRANGE(""https://docs.google.com/spreadsheets/d/1Gpl6jkTg7sL4VDNimU"&amp;"m3S9Vi1i95esohXCF3wuKOE8c"", ""'CONSOLIDADO'!G5:AB""), 18, 0), ""-""),
""""
)"),"LOGO! Soft Comfort")</f>
        <v>LOGO! Soft Comfort</v>
      </c>
      <c r="V538" s="39" t="str">
        <f>IFERROR(__xludf.DUMMYFUNCTION(" IF
( VLOOKUP($G538,IMPORTRANGE(""https://docs.google.com/spreadsheets/d/1Gpl6jkTg7sL4VDNimUm3S9Vi1i95esohXCF3wuKOE8c"", ""'CONSOLIDADO'!G5:AB""), 10, 0) &lt;&gt; 0, 
IFERROR(VLOOKUP($G538,IMPORTRANGE(""https://docs.google.com/spreadsheets/d/1Gpl6jkTg7sL4VDNimU"&amp;"m3S9Vi1i95esohXCF3wuKOE8c"", ""'CONSOLIDADO'!G5:AB""), 17, 0), ""-""),
""""
)"),"SIEMENS")</f>
        <v>SIEMENS</v>
      </c>
      <c r="W538" s="39" t="str">
        <f>IFERROR(__xludf.DUMMYFUNCTION(" IF
( VLOOKUP($G538,IMPORTRANGE(""https://docs.google.com/spreadsheets/d/1Gpl6jkTg7sL4VDNimUm3S9Vi1i95esohXCF3wuKOE8c"", ""'CONSOLIDADO'!G5:AB""), 10, 0) &lt;&gt; 0, 
IFERROR(VLOOKUP($G538,IMPORTRANGE(""https://docs.google.com/spreadsheets/d/1Gpl6jkTg7sL4VDNimU"&amp;"m3S9Vi1i95esohXCF3wuKOE8c"", ""'CONSOLIDADO'!G5:AB""), 18, 0), ""-""),
""""
)"),"LOGO! Soft Comfort")</f>
        <v>LOGO! Soft Comfort</v>
      </c>
      <c r="X538" s="39" t="b">
        <f t="shared" si="57"/>
        <v>1</v>
      </c>
      <c r="Y538" s="120" t="str">
        <f>IFERROR(__xludf.DUMMYFUNCTION(" IF
( VLOOKUP($G538,IMPORTRANGE(""https://docs.google.com/spreadsheets/d/1Gpl6jkTg7sL4VDNimUm3S9Vi1i95esohXCF3wuKOE8c"", ""'CONSOLIDADO'!G5:AB""), 10, 0) &lt;&gt; 0, 
IFERROR(VLOOKUP($G538,IMPORTRANGE(""https://docs.google.com/spreadsheets/d/1Gpl6jkTg7sL4VDNimU"&amp;"m3S9Vi1i95esohXCF3wuKOE8c"", ""'CONSOLIDADO'!G5:AB""), 19, 0), ""-""),
""""
)"),"https://sieportal.siemens.com/es-ww/products-services/detail/6ED1058-0BA08-0YA1?tree=CatalogTree")</f>
        <v>https://sieportal.siemens.com/es-ww/products-services/detail/6ED1058-0BA08-0YA1?tree=CatalogTree</v>
      </c>
      <c r="Z538" s="37" t="str">
        <f>IFERROR(__xludf.DUMMYFUNCTION("IFERROR(VLOOKUP(G538,IMPORTRANGE(""https://docs.google.com/spreadsheets/d/12RxCea4e5ggM7QGn1XE3FbLQa_-QbCNdBi90OdPjRqg"", ""'Plan de Compras'!D4:Q""), 12, 0), ""NO ESTÁ EN REQ"")"),"Técnica")</f>
        <v>Técnica</v>
      </c>
      <c r="AA538" s="37" t="str">
        <f>IFERROR(__xludf.DUMMYFUNCTION("IFERROR(VLOOKUP(G538,IMPORTRANGE(""https://docs.google.com/spreadsheets/d/12RxCea4e5ggM7QGn1XE3FbLQa_-QbCNdBi90OdPjRqg"", ""'Plan de Compras'!D4:Q""), 13, 0), """")"),"INTERNACIONAL")</f>
        <v>INTERNACIONAL</v>
      </c>
      <c r="AB538" s="32" t="str">
        <f>IFERROR(__xludf.DUMMYFUNCTION("IFERROR(VLOOKUP(G538,IMPORTRANGE(""https://docs.google.com/spreadsheets/d/12RxCea4e5ggM7QGn1XE3FbLQa_-QbCNdBi90OdPjRqg"", ""'Plan de Compras'!D4:Q""), 14, 0), """")"),"GIANFRANCO")</f>
        <v>GIANFRANCO</v>
      </c>
      <c r="AC538" s="72" t="str">
        <f>IFERROR(__xludf.DUMMYFUNCTION("IFERROR(VLOOKUP(G538,IMPORTRANGE(""https://docs.google.com/spreadsheets/d/12RxCea4e5ggM7QGn1XE3FbLQa_-QbCNdBi90OdPjRqg"", ""'Plan de Compras'!D4:Q""), 4, 0), """")"),"SOFTWARE PARA RELÉ PROGRAMABLE")</f>
        <v>SOFTWARE PARA RELÉ PROGRAMABLE</v>
      </c>
      <c r="AD538" s="37" t="str">
        <f>IFERROR(__xludf.DUMMYFUNCTION("IFERROR(IF(OR(C538=TRUE,C538=""""),VLOOKUP(G538,IMPORTRANGE(""https://docs.google.com/spreadsheets/d/1z9A1Wq-kKrhRNG5RS2a2fKpY1wIhSVz2ZNmP2mOl588/edit?usp=sharing"",""REQ VF!E4:H""),4,0),""NO APLICA""),""GENERAR REQ"")"),"GENERAR REQ")</f>
        <v>GENERAR REQ</v>
      </c>
      <c r="AE538" s="32" t="str">
        <f>IFERROR(__xludf.DUMMYFUNCTION("IFERROR(QUERY(IMPORTRANGE(""https://docs.google.com/spreadsheets/d/1z9A1Wq-kKrhRNG5RS2a2fKpY1wIhSVz2ZNmP2mOl588/edit?usp=sharing"",""REQ VF!E4:Q""),""SELECT Col10, Col11, Col12 WHERE Col1 = '""&amp;G538&amp;""'"",0),""NO APLICA"")"),"NO APLICA")</f>
        <v>NO APLICA</v>
      </c>
      <c r="AF538" s="32"/>
      <c r="AG538" s="32"/>
      <c r="AH538" s="13"/>
      <c r="AI538" s="13"/>
    </row>
    <row r="539">
      <c r="A539" s="117">
        <v>331.0</v>
      </c>
      <c r="B539" s="43"/>
      <c r="C539" s="26" t="b">
        <v>0</v>
      </c>
      <c r="D539" s="26" t="s">
        <v>35</v>
      </c>
      <c r="E539" s="26" t="s">
        <v>1510</v>
      </c>
      <c r="F539" s="59" t="s">
        <v>3438</v>
      </c>
      <c r="G539" s="39" t="s">
        <v>3438</v>
      </c>
      <c r="H539" s="66" t="s">
        <v>3439</v>
      </c>
      <c r="I539" s="43">
        <f>SUMIFS('Hoja 10'!$O:$O,'Hoja 10'!$F:$F,$G539)</f>
        <v>63</v>
      </c>
      <c r="J539" s="26">
        <f>IFERROR(__xludf.DUMMYFUNCTION("VLOOKUP(G539,IMPORTRANGE(""https://docs.google.com/spreadsheets/d/12RxCea4e5ggM7QGn1XE3FbLQa_-QbCNdBi90OdPjRqg/edit?gid=1692403370#gid=1692403370"", ""'Plan de Compras'!D4:2432""), 8,0)"),63.0)</f>
        <v>63</v>
      </c>
      <c r="K539" s="26" t="str">
        <f t="shared" si="40"/>
        <v>-</v>
      </c>
      <c r="L539" s="29" t="s">
        <v>180</v>
      </c>
      <c r="M539" s="30" t="s">
        <v>181</v>
      </c>
      <c r="N539" s="32"/>
      <c r="O539" s="32" t="str">
        <f>VLOOKUP($G539,'Hoja 10'!$F$4:$AA1057, 19,0)</f>
        <v/>
      </c>
      <c r="P539" s="32" t="str">
        <f>VLOOKUP($G539,'Hoja 10'!$F$4:$AA1057, 20,0)</f>
        <v/>
      </c>
      <c r="Q539" s="41" t="str">
        <f>VLOOKUP($G539,'Hoja 10'!$F$4:$AA1057, 21,0)</f>
        <v/>
      </c>
      <c r="R539" s="30" t="s">
        <v>3440</v>
      </c>
      <c r="S539" s="44" t="b">
        <v>0</v>
      </c>
      <c r="T539" s="39" t="str">
        <f>IFERROR(__xludf.DUMMYFUNCTION(" IF
( VLOOKUP($G539,IMPORTRANGE(""https://docs.google.com/spreadsheets/d/1Gpl6jkTg7sL4VDNimUm3S9Vi1i95esohXCF3wuKOE8c"", ""'CONSOLIDADO'!G5:AB""), 10, 0) &lt;&gt; 0, 
IFERROR(VLOOKUP($G539,IMPORTRANGE(""https://docs.google.com/spreadsheets/d/1Gpl6jkTg7sL4VDNimU"&amp;"m3S9Vi1i95esohXCF3wuKOE8c"", ""'CONSOLIDADO'!G5:AB""), 17, 0), ""-""),
""""
)"),"VARIOS")</f>
        <v>VARIOS</v>
      </c>
      <c r="U539" s="39" t="str">
        <f>IFERROR(__xludf.DUMMYFUNCTION(" IF
( VLOOKUP($G539,IMPORTRANGE(""https://docs.google.com/spreadsheets/d/1Gpl6jkTg7sL4VDNimUm3S9Vi1i95esohXCF3wuKOE8c"", ""'CONSOLIDADO'!G5:AB""), 10, 0) &lt;&gt; 0, 
IFERROR(VLOOKUP($G539,IMPORTRANGE(""https://docs.google.com/spreadsheets/d/1Gpl6jkTg7sL4VDNimU"&amp;"m3S9Vi1i95esohXCF3wuKOE8c"", ""'CONSOLIDADO'!G5:AB""), 18, 0), ""-""),
""""
)"),"VARIOS 11")</f>
        <v>VARIOS 11</v>
      </c>
      <c r="V539" s="39" t="str">
        <f>IFERROR(__xludf.DUMMYFUNCTION(" IF
( VLOOKUP($G539,IMPORTRANGE(""https://docs.google.com/spreadsheets/d/1Gpl6jkTg7sL4VDNimUm3S9Vi1i95esohXCF3wuKOE8c"", ""'CONSOLIDADO'!G5:AB""), 10, 0) &lt;&gt; 0, 
IFERROR(VLOOKUP($G539,IMPORTRANGE(""https://docs.google.com/spreadsheets/d/1Gpl6jkTg7sL4VDNimU"&amp;"m3S9Vi1i95esohXCF3wuKOE8c"", ""'CONSOLIDADO'!G5:AB""), 17, 0), ""-""),
""""
)"),"VARIOS")</f>
        <v>VARIOS</v>
      </c>
      <c r="W539" s="39" t="str">
        <f>IFERROR(__xludf.DUMMYFUNCTION(" IF
( VLOOKUP($G539,IMPORTRANGE(""https://docs.google.com/spreadsheets/d/1Gpl6jkTg7sL4VDNimUm3S9Vi1i95esohXCF3wuKOE8c"", ""'CONSOLIDADO'!G5:AB""), 10, 0) &lt;&gt; 0, 
IFERROR(VLOOKUP($G539,IMPORTRANGE(""https://docs.google.com/spreadsheets/d/1Gpl6jkTg7sL4VDNimU"&amp;"m3S9Vi1i95esohXCF3wuKOE8c"", ""'CONSOLIDADO'!G5:AB""), 18, 0), ""-""),
""""
)"),"VARIOS 11")</f>
        <v>VARIOS 11</v>
      </c>
      <c r="X539" s="39" t="b">
        <f t="shared" si="57"/>
        <v>1</v>
      </c>
      <c r="Y539" s="110" t="str">
        <f>IFERROR(__xludf.DUMMYFUNCTION(" IF
( VLOOKUP($G539,IMPORTRANGE(""https://docs.google.com/spreadsheets/d/1Gpl6jkTg7sL4VDNimUm3S9Vi1i95esohXCF3wuKOE8c"", ""'CONSOLIDADO'!G5:AB""), 10, 0) &lt;&gt; 0, 
IFERROR(VLOOKUP($G539,IMPORTRANGE(""https://docs.google.com/spreadsheets/d/1Gpl6jkTg7sL4VDNimU"&amp;"m3S9Vi1i95esohXCF3wuKOE8c"", ""'CONSOLIDADO'!G5:AB""), 19, 0), ""-""),
""""
)"),"")</f>
        <v/>
      </c>
      <c r="Z539" s="37" t="str">
        <f>IFERROR(__xludf.DUMMYFUNCTION("IFERROR(VLOOKUP(G539,IMPORTRANGE(""https://docs.google.com/spreadsheets/d/12RxCea4e5ggM7QGn1XE3FbLQa_-QbCNdBi90OdPjRqg"", ""'Plan de Compras'!D4:Q""), 12, 0), ""NO ESTÁ EN REQ"")"),"Técnica")</f>
        <v>Técnica</v>
      </c>
      <c r="AA539" s="37" t="str">
        <f>IFERROR(__xludf.DUMMYFUNCTION("IFERROR(VLOOKUP(G539,IMPORTRANGE(""https://docs.google.com/spreadsheets/d/12RxCea4e5ggM7QGn1XE3FbLQa_-QbCNdBi90OdPjRqg"", ""'Plan de Compras'!D4:Q""), 13, 0), """")"),"INT/NAC")</f>
        <v>INT/NAC</v>
      </c>
      <c r="AB539" s="32" t="str">
        <f>IFERROR(__xludf.DUMMYFUNCTION("IFERROR(VLOOKUP(G539,IMPORTRANGE(""https://docs.google.com/spreadsheets/d/12RxCea4e5ggM7QGn1XE3FbLQa_-QbCNdBi90OdPjRqg"", ""'Plan de Compras'!D4:Q""), 14, 0), """")"),"")</f>
        <v/>
      </c>
      <c r="AC539" s="72" t="str">
        <f>IFERROR(__xludf.DUMMYFUNCTION("IFERROR(VLOOKUP(G539,IMPORTRANGE(""https://docs.google.com/spreadsheets/d/12RxCea4e5ggM7QGn1XE3FbLQa_-QbCNdBi90OdPjRqg"", ""'Plan de Compras'!D4:Q""), 4, 0), """")"),"SOFTWARE SIMULADOR DE INSTALACIONES ELÉCTRICAS DOMICILIARIAS")</f>
        <v>SOFTWARE SIMULADOR DE INSTALACIONES ELÉCTRICAS DOMICILIARIAS</v>
      </c>
      <c r="AD539" s="37" t="str">
        <f>IFERROR(__xludf.DUMMYFUNCTION("IFERROR(IF(OR(C539=TRUE,C539=""""),VLOOKUP(G539,IMPORTRANGE(""https://docs.google.com/spreadsheets/d/1z9A1Wq-kKrhRNG5RS2a2fKpY1wIhSVz2ZNmP2mOl588/edit?usp=sharing"",""REQ VF!E4:H""),4,0),""NO APLICA""),""GENERAR REQ"")"),"NO APLICA")</f>
        <v>NO APLICA</v>
      </c>
      <c r="AE539" s="32" t="str">
        <f>IFERROR(__xludf.DUMMYFUNCTION("IFERROR(QUERY(IMPORTRANGE(""https://docs.google.com/spreadsheets/d/1z9A1Wq-kKrhRNG5RS2a2fKpY1wIhSVz2ZNmP2mOl588/edit?usp=sharing"",""REQ VF!E4:Q""),""SELECT Col10, Col11, Col12 WHERE Col1 = '""&amp;G539&amp;""'"",0),""NO APLICA"")"),"NO APLICA")</f>
        <v>NO APLICA</v>
      </c>
      <c r="AF539" s="32"/>
      <c r="AG539" s="32"/>
      <c r="AH539" s="13"/>
      <c r="AI539" s="13"/>
    </row>
    <row r="540">
      <c r="A540" s="43"/>
      <c r="B540" s="43" t="b">
        <v>0</v>
      </c>
      <c r="C540" s="26" t="b">
        <v>1</v>
      </c>
      <c r="D540" s="26" t="s">
        <v>95</v>
      </c>
      <c r="E540" s="26" t="s">
        <v>1510</v>
      </c>
      <c r="F540" s="59" t="s">
        <v>3438</v>
      </c>
      <c r="G540" s="39" t="s">
        <v>3441</v>
      </c>
      <c r="H540" s="66" t="s">
        <v>3442</v>
      </c>
      <c r="I540" s="43">
        <v>63.0</v>
      </c>
      <c r="J540" s="26">
        <f>IFERROR(__xludf.DUMMYFUNCTION("VLOOKUP(G540,IMPORTRANGE(""https://docs.google.com/spreadsheets/d/12RxCea4e5ggM7QGn1XE3FbLQa_-QbCNdBi90OdPjRqg/edit?gid=1692403370#gid=1692403370"", ""'Plan de Compras'!D4:2432""), 8,0)"),63.0)</f>
        <v>63</v>
      </c>
      <c r="K540" s="26" t="str">
        <f t="shared" si="40"/>
        <v>SI</v>
      </c>
      <c r="L540" s="29"/>
      <c r="M540" s="61"/>
      <c r="N540" s="32"/>
      <c r="O540" s="32"/>
      <c r="P540" s="32"/>
      <c r="Q540" s="41"/>
      <c r="R540" s="61"/>
      <c r="S540" s="44" t="b">
        <v>0</v>
      </c>
      <c r="T540" s="39"/>
      <c r="U540" s="39"/>
      <c r="V540" s="39"/>
      <c r="W540" s="39"/>
      <c r="X540" s="39"/>
      <c r="Y540" s="110"/>
      <c r="Z540" s="37"/>
      <c r="AA540" s="37"/>
      <c r="AB540" s="32"/>
      <c r="AC540" s="72"/>
      <c r="AD540" s="37" t="str">
        <f>IFERROR(__xludf.DUMMYFUNCTION("IFERROR(IF(OR(C540=TRUE,C540=""""),VLOOKUP(G540,IMPORTRANGE(""https://docs.google.com/spreadsheets/d/1z9A1Wq-kKrhRNG5RS2a2fKpY1wIhSVz2ZNmP2mOl588/edit?usp=sharing"",""REQ VF!E4:H""),4,0),""NO APLICA""),""GENERAR REQ"")"),"GENERAR REQ")</f>
        <v>GENERAR REQ</v>
      </c>
      <c r="AE540" s="32" t="str">
        <f>IFERROR(__xludf.DUMMYFUNCTION("IFERROR(QUERY(IMPORTRANGE(""https://docs.google.com/spreadsheets/d/1z9A1Wq-kKrhRNG5RS2a2fKpY1wIhSVz2ZNmP2mOl588/edit?usp=sharing"",""REQ VF!E4:Q""),""SELECT Col10, Col11, Col12 WHERE Col1 = '""&amp;G540&amp;""'"",0),""NO APLICA"")"),"NO APLICA")</f>
        <v>NO APLICA</v>
      </c>
      <c r="AF540" s="32"/>
      <c r="AG540" s="32"/>
      <c r="AH540" s="13"/>
      <c r="AI540" s="13"/>
    </row>
    <row r="541">
      <c r="A541" s="121">
        <v>332.0</v>
      </c>
      <c r="B541" s="43" t="b">
        <v>1</v>
      </c>
      <c r="C541" s="26" t="b">
        <v>1</v>
      </c>
      <c r="D541" s="26" t="s">
        <v>35</v>
      </c>
      <c r="E541" s="26" t="s">
        <v>1510</v>
      </c>
      <c r="F541" s="59" t="s">
        <v>3443</v>
      </c>
      <c r="G541" s="39" t="s">
        <v>3443</v>
      </c>
      <c r="H541" s="66" t="s">
        <v>3444</v>
      </c>
      <c r="I541" s="43">
        <f>SUMIFS('Hoja 10'!$O:$O,'Hoja 10'!$F:$F,$G541)</f>
        <v>16</v>
      </c>
      <c r="J541" s="26">
        <f>IFERROR(__xludf.DUMMYFUNCTION("VLOOKUP(G541,IMPORTRANGE(""https://docs.google.com/spreadsheets/d/12RxCea4e5ggM7QGn1XE3FbLQa_-QbCNdBi90OdPjRqg/edit?gid=1692403370#gid=1692403370"", ""'Plan de Compras'!D4:2432""), 8,0)"),16.0)</f>
        <v>16</v>
      </c>
      <c r="K541" s="26" t="str">
        <f t="shared" si="40"/>
        <v>SI</v>
      </c>
      <c r="L541" s="29" t="s">
        <v>39</v>
      </c>
      <c r="M541" s="30" t="s">
        <v>40</v>
      </c>
      <c r="N541" s="32"/>
      <c r="O541" s="32" t="str">
        <f>VLOOKUP($G541,'Hoja 10'!$F$4:$AA1057, 19,0)</f>
        <v>GENERICO</v>
      </c>
      <c r="P541" s="32" t="str">
        <f>VLOOKUP($G541,'Hoja 10'!$F$4:$AA1057, 20,0)</f>
        <v>GENERICO</v>
      </c>
      <c r="Q541" s="33" t="str">
        <f>VLOOKUP($G541,'Hoja 10'!$F$4:$AA1057, 21,0)</f>
        <v>https://articulo.mercadolibre.com.pe/MPE-702602766-tabla-de-picar-profesional-45x30x2cm-de-polietileno-nueva-_JM?searchVariation=182930502034#polycard_client=recommendations_vip-v2p&amp;reco_backend=ranker_retrieval_system_org&amp;reco_model=rk_ent_v3_retsys_org&amp;reco_client=vip-v2p&amp;reco_item_pos=0&amp;reco_backend_type=low_level&amp;reco_id=df200d9f-25f1-44ed-ab1b-fea13595db2b</v>
      </c>
      <c r="R541" s="30" t="s">
        <v>3445</v>
      </c>
      <c r="S541" s="34" t="b">
        <v>1</v>
      </c>
      <c r="T541" s="39" t="str">
        <f>IFERROR(__xludf.DUMMYFUNCTION(" IF
( VLOOKUP($G541,IMPORTRANGE(""https://docs.google.com/spreadsheets/d/1Gpl6jkTg7sL4VDNimUm3S9Vi1i95esohXCF3wuKOE8c"", ""'CONSOLIDADO'!G5:AB""), 10, 0) &lt;&gt; 0, 
IFERROR(VLOOKUP($G541,IMPORTRANGE(""https://docs.google.com/spreadsheets/d/1Gpl6jkTg7sL4VDNimU"&amp;"m3S9Vi1i95esohXCF3wuKOE8c"", ""'CONSOLIDADO'!G5:AB""), 17, 0), ""-""),
""""
)"),"PLATENSA")</f>
        <v>PLATENSA</v>
      </c>
      <c r="U541" s="39" t="str">
        <f>IFERROR(__xludf.DUMMYFUNCTION(" IF
( VLOOKUP($G541,IMPORTRANGE(""https://docs.google.com/spreadsheets/d/1Gpl6jkTg7sL4VDNimUm3S9Vi1i95esohXCF3wuKOE8c"", ""'CONSOLIDADO'!G5:AB""), 10, 0) &lt;&gt; 0, 
IFERROR(VLOOKUP($G541,IMPORTRANGE(""https://docs.google.com/spreadsheets/d/1Gpl6jkTg7sL4VDNimU"&amp;"m3S9Vi1i95esohXCF3wuKOE8c"", ""'CONSOLIDADO'!G5:AB""), 18, 0), ""-""),
""""
)"),"Tabla de PE 500")</f>
        <v>Tabla de PE 500</v>
      </c>
      <c r="V541" s="39" t="str">
        <f>IFERROR(__xludf.DUMMYFUNCTION(" IF
( VLOOKUP($G541,IMPORTRANGE(""https://docs.google.com/spreadsheets/d/1Gpl6jkTg7sL4VDNimUm3S9Vi1i95esohXCF3wuKOE8c"", ""'CONSOLIDADO'!G5:AB""), 10, 0) &lt;&gt; 0, 
IFERROR(VLOOKUP($G541,IMPORTRANGE(""https://docs.google.com/spreadsheets/d/1Gpl6jkTg7sL4VDNimU"&amp;"m3S9Vi1i95esohXCF3wuKOE8c"", ""'CONSOLIDADO'!G5:AB""), 17, 0), ""-""),
""""
)"),"PLATENSA")</f>
        <v>PLATENSA</v>
      </c>
      <c r="W541" s="39" t="str">
        <f>IFERROR(__xludf.DUMMYFUNCTION(" IF
( VLOOKUP($G541,IMPORTRANGE(""https://docs.google.com/spreadsheets/d/1Gpl6jkTg7sL4VDNimUm3S9Vi1i95esohXCF3wuKOE8c"", ""'CONSOLIDADO'!G5:AB""), 10, 0) &lt;&gt; 0, 
IFERROR(VLOOKUP($G541,IMPORTRANGE(""https://docs.google.com/spreadsheets/d/1Gpl6jkTg7sL4VDNimU"&amp;"m3S9Vi1i95esohXCF3wuKOE8c"", ""'CONSOLIDADO'!G5:AB""), 18, 0), ""-""),
""""
)"),"Tabla de PE 500")</f>
        <v>Tabla de PE 500</v>
      </c>
      <c r="X541" s="39" t="b">
        <f t="shared" ref="X541:X548" si="58">IF(AND(T541=V541,W541=U541),TRUE,FALSE)</f>
        <v>1</v>
      </c>
      <c r="Y541" s="110" t="str">
        <f>IFERROR(__xludf.DUMMYFUNCTION(" IF
( VLOOKUP($G541,IMPORTRANGE(""https://docs.google.com/spreadsheets/d/1Gpl6jkTg7sL4VDNimUm3S9Vi1i95esohXCF3wuKOE8c"", ""'CONSOLIDADO'!G5:AB""), 10, 0) &lt;&gt; 0, 
IFERROR(VLOOKUP($G541,IMPORTRANGE(""https://docs.google.com/spreadsheets/d/1Gpl6jkTg7sL4VDNimU"&amp;"m3S9Vi1i95esohXCF3wuKOE8c"", ""'CONSOLIDADO'!G5:AB""), 19, 0), ""-""),
""""
)"),"chrome-extension://efaidnbmnnnibpcajpcglclefindmkaj/https://mail.google.com/mail/u/0?ui=2&amp;ik=adffb0f94b&amp;attid=0.2&amp;permmsgid=msg-f:1853678406817608222&amp;th=19b996b0962cf21e&amp;view=att&amp;disp=inline&amp;realattid=f_mk49p1b11&amp;zw&amp;acrobatPromotionSource=gmail_chrome-car"&amp;"d")</f>
        <v>chrome-extension://efaidnbmnnnibpcajpcglclefindmkaj/https://mail.google.com/mail/u/0?ui=2&amp;ik=adffb0f94b&amp;attid=0.2&amp;permmsgid=msg-f:1853678406817608222&amp;th=19b996b0962cf21e&amp;view=att&amp;disp=inline&amp;realattid=f_mk49p1b11&amp;zw&amp;acrobatPromotionSource=gmail_chrome-card</v>
      </c>
      <c r="Z541" s="37" t="str">
        <f>IFERROR(__xludf.DUMMYFUNCTION("IFERROR(VLOOKUP(G541,IMPORTRANGE(""https://docs.google.com/spreadsheets/d/12RxCea4e5ggM7QGn1XE3FbLQa_-QbCNdBi90OdPjRqg"", ""'Plan de Compras'!D4:Q""), 12, 0), ""NO ESTÁ EN REQ"")"),"Técnica")</f>
        <v>Técnica</v>
      </c>
      <c r="AA541" s="37" t="str">
        <f>IFERROR(__xludf.DUMMYFUNCTION("IFERROR(VLOOKUP(G541,IMPORTRANGE(""https://docs.google.com/spreadsheets/d/12RxCea4e5ggM7QGn1XE3FbLQa_-QbCNdBi90OdPjRqg"", ""'Plan de Compras'!D4:Q""), 13, 0), """")"),"NACIONAL")</f>
        <v>NACIONAL</v>
      </c>
      <c r="AB541" s="32" t="str">
        <f>IFERROR(__xludf.DUMMYFUNCTION("IFERROR(VLOOKUP(G541,IMPORTRANGE(""https://docs.google.com/spreadsheets/d/12RxCea4e5ggM7QGn1XE3FbLQa_-QbCNdBi90OdPjRqg"", ""'Plan de Compras'!D4:Q""), 14, 0), """")"),"JESSICA")</f>
        <v>JESSICA</v>
      </c>
      <c r="AC541" s="72" t="str">
        <f>IFERROR(__xludf.DUMMYFUNCTION("IFERROR(VLOOKUP(G541,IMPORTRANGE(""https://docs.google.com/spreadsheets/d/12RxCea4e5ggM7QGn1XE3FbLQa_-QbCNdBi90OdPjRqg"", ""'Plan de Compras'!D4:Q""), 4, 0), """")"),"TABLA DE PICAR")</f>
        <v>TABLA DE PICAR</v>
      </c>
      <c r="AD541" s="37" t="str">
        <f>IFERROR(__xludf.DUMMYFUNCTION("IFERROR(IF(OR(C541=TRUE,C541=""""),VLOOKUP(G541,IMPORTRANGE(""https://docs.google.com/spreadsheets/d/1z9A1Wq-kKrhRNG5RS2a2fKpY1wIhSVz2ZNmP2mOl588/edit?usp=sharing"",""REQ VF!E4:H""),4,0),""NO APLICA""),""GENERAR REQ"")"),"GENERAR REQ")</f>
        <v>GENERAR REQ</v>
      </c>
      <c r="AE541" s="32" t="str">
        <f>IFERROR(__xludf.DUMMYFUNCTION("IFERROR(QUERY(IMPORTRANGE(""https://docs.google.com/spreadsheets/d/1z9A1Wq-kKrhRNG5RS2a2fKpY1wIhSVz2ZNmP2mOl588/edit?usp=sharing"",""REQ VF!E4:Q""),""SELECT Col10, Col11, Col12 WHERE Col1 = '""&amp;G541&amp;""'"",0),""NO APLICA"")"),"NO APLICA")</f>
        <v>NO APLICA</v>
      </c>
      <c r="AF541" s="32"/>
      <c r="AG541" s="32"/>
      <c r="AH541" s="13"/>
      <c r="AI541" s="13"/>
    </row>
    <row r="542">
      <c r="A542" s="121">
        <v>333.0</v>
      </c>
      <c r="B542" s="43" t="b">
        <v>1</v>
      </c>
      <c r="C542" s="26" t="b">
        <v>1</v>
      </c>
      <c r="D542" s="26" t="s">
        <v>35</v>
      </c>
      <c r="E542" s="26" t="s">
        <v>1510</v>
      </c>
      <c r="F542" s="59" t="s">
        <v>3446</v>
      </c>
      <c r="G542" s="37" t="s">
        <v>3446</v>
      </c>
      <c r="H542" s="82" t="s">
        <v>3447</v>
      </c>
      <c r="I542" s="43">
        <f>SUMIFS('Hoja 10'!$O:$O,'Hoja 10'!$F:$F,$G542)</f>
        <v>4</v>
      </c>
      <c r="J542" s="26">
        <f>IFERROR(__xludf.DUMMYFUNCTION("VLOOKUP(G542,IMPORTRANGE(""https://docs.google.com/spreadsheets/d/12RxCea4e5ggM7QGn1XE3FbLQa_-QbCNdBi90OdPjRqg/edit?gid=1692403370#gid=1692403370"", ""'Plan de Compras'!D4:2432""), 8,0)"),4.0)</f>
        <v>4</v>
      </c>
      <c r="K542" s="26" t="str">
        <f t="shared" si="40"/>
        <v>SI</v>
      </c>
      <c r="L542" s="29" t="s">
        <v>77</v>
      </c>
      <c r="M542" s="30" t="s">
        <v>78</v>
      </c>
      <c r="N542" s="32"/>
      <c r="O542" s="32" t="str">
        <f>VLOOKUP($G542,'Hoja 10'!$F$4:$AA1057, 19,0)</f>
        <v>Facusa</v>
      </c>
      <c r="P542" s="32" t="str">
        <f>VLOOKUP($G542,'Hoja 10'!$F$4:$AA1057, 20,0)</f>
        <v>Tazas Medidoras X 5 Blister - Facusa</v>
      </c>
      <c r="Q542" s="33" t="str">
        <f>VLOOKUP($G542,'Hoja 10'!$F$4:$AA1057, 21,0)</f>
        <v>https://www.uysa.com.pe/tazas-medidoras-x-5-blister-facusa-10286053/p?srsltid=AfmBOoqTInDPBKpYPGuPUEemumsEdbx3_1rg6mS1_YEnDKePZ8mLhDXV</v>
      </c>
      <c r="R542" s="30" t="s">
        <v>3448</v>
      </c>
      <c r="S542" s="44" t="b">
        <v>1</v>
      </c>
      <c r="T542" s="39" t="s">
        <v>2913</v>
      </c>
      <c r="U542" s="39" t="s">
        <v>3449</v>
      </c>
      <c r="V542" s="39" t="str">
        <f>IFERROR(__xludf.DUMMYFUNCTION(" IF
( VLOOKUP($G542,IMPORTRANGE(""https://docs.google.com/spreadsheets/d/1Gpl6jkTg7sL4VDNimUm3S9Vi1i95esohXCF3wuKOE8c"", ""'CONSOLIDADO'!G5:AB""), 10, 0) &lt;&gt; 0, 
IFERROR(VLOOKUP($G542,IMPORTRANGE(""https://docs.google.com/spreadsheets/d/1Gpl6jkTg7sL4VDNimU"&amp;"m3S9Vi1i95esohXCF3wuKOE8c"", ""'CONSOLIDADO'!G5:AB""), 17, 0), ""-""),
""""
)"),"FACUSA")</f>
        <v>FACUSA</v>
      </c>
      <c r="W542" s="39" t="str">
        <f>IFERROR(__xludf.DUMMYFUNCTION(" IF
( VLOOKUP($G542,IMPORTRANGE(""https://docs.google.com/spreadsheets/d/1Gpl6jkTg7sL4VDNimUm3S9Vi1i95esohXCF3wuKOE8c"", ""'CONSOLIDADO'!G5:AB""), 10, 0) &lt;&gt; 0, 
IFERROR(VLOOKUP($G542,IMPORTRANGE(""https://docs.google.com/spreadsheets/d/1Gpl6jkTg7sL4VDNimU"&amp;"m3S9Vi1i95esohXCF3wuKOE8c"", ""'CONSOLIDADO'!G5:AB""), 18, 0), ""-""),
""""
)"),"B-TA6018 TAZAS MEDIDORAS X 05 PZAS")</f>
        <v>B-TA6018 TAZAS MEDIDORAS X 05 PZAS</v>
      </c>
      <c r="X542" s="39" t="b">
        <f t="shared" si="58"/>
        <v>1</v>
      </c>
      <c r="Y542" s="120" t="str">
        <f>IFERROR(__xludf.DUMMYFUNCTION(" IF
( VLOOKUP($G542,IMPORTRANGE(""https://docs.google.com/spreadsheets/d/1Gpl6jkTg7sL4VDNimUm3S9Vi1i95esohXCF3wuKOE8c"", ""'CONSOLIDADO'!G5:AB""), 10, 0) &lt;&gt; 0, 
IFERROR(VLOOKUP($G542,IMPORTRANGE(""https://docs.google.com/spreadsheets/d/1Gpl6jkTg7sL4VDNimU"&amp;"m3S9Vi1i95esohXCF3wuKOE8c"", ""'CONSOLIDADO'!G5:AB""), 19, 0), ""-""),
""""
)"),"https://www.sodimac.com.pe/sodimac-pe/articulo/145600913/Tazas-Medidoras-X-5-Blister-Facusa/145600914")</f>
        <v>https://www.sodimac.com.pe/sodimac-pe/articulo/145600913/Tazas-Medidoras-X-5-Blister-Facusa/145600914</v>
      </c>
      <c r="Z542" s="37" t="str">
        <f>IFERROR(__xludf.DUMMYFUNCTION("IFERROR(VLOOKUP(G542,IMPORTRANGE(""https://docs.google.com/spreadsheets/d/12RxCea4e5ggM7QGn1XE3FbLQa_-QbCNdBi90OdPjRqg"", ""'Plan de Compras'!D4:Q""), 12, 0), ""NO ESTÁ EN REQ"")"),"Simple")</f>
        <v>Simple</v>
      </c>
      <c r="AA542" s="37" t="str">
        <f>IFERROR(__xludf.DUMMYFUNCTION("IFERROR(VLOOKUP(G542,IMPORTRANGE(""https://docs.google.com/spreadsheets/d/12RxCea4e5ggM7QGn1XE3FbLQa_-QbCNdBi90OdPjRqg"", ""'Plan de Compras'!D4:Q""), 13, 0), """")"),"NACIONAL")</f>
        <v>NACIONAL</v>
      </c>
      <c r="AB542" s="32" t="str">
        <f>IFERROR(__xludf.DUMMYFUNCTION("IFERROR(VLOOKUP(G542,IMPORTRANGE(""https://docs.google.com/spreadsheets/d/12RxCea4e5ggM7QGn1XE3FbLQa_-QbCNdBi90OdPjRqg"", ""'Plan de Compras'!D4:Q""), 14, 0), """")"),"JESSICA")</f>
        <v>JESSICA</v>
      </c>
      <c r="AC542" s="72" t="str">
        <f>IFERROR(__xludf.DUMMYFUNCTION("IFERROR(VLOOKUP(G542,IMPORTRANGE(""https://docs.google.com/spreadsheets/d/12RxCea4e5ggM7QGn1XE3FbLQa_-QbCNdBi90OdPjRqg"", ""'Plan de Compras'!D4:Q""), 4, 0), """")"),"JUEGO DE TAZAS MEDIDORAS")</f>
        <v>JUEGO DE TAZAS MEDIDORAS</v>
      </c>
      <c r="AD542" s="37" t="str">
        <f>IFERROR(__xludf.DUMMYFUNCTION("IFERROR(IF(OR(C542=TRUE,C542=""""),VLOOKUP(G542,IMPORTRANGE(""https://docs.google.com/spreadsheets/d/1z9A1Wq-kKrhRNG5RS2a2fKpY1wIhSVz2ZNmP2mOl588/edit?usp=sharing"",""REQ VF!E4:H""),4,0),""NO APLICA""),""GENERAR REQ"")"),"GENERAR REQ")</f>
        <v>GENERAR REQ</v>
      </c>
      <c r="AE542" s="32" t="str">
        <f>IFERROR(__xludf.DUMMYFUNCTION("IFERROR(QUERY(IMPORTRANGE(""https://docs.google.com/spreadsheets/d/1z9A1Wq-kKrhRNG5RS2a2fKpY1wIhSVz2ZNmP2mOl588/edit?usp=sharing"",""REQ VF!E4:Q""),""SELECT Col10, Col11, Col12 WHERE Col1 = '""&amp;G542&amp;""'"",0),""NO APLICA"")"),"NO APLICA")</f>
        <v>NO APLICA</v>
      </c>
      <c r="AF542" s="32"/>
      <c r="AG542" s="32"/>
      <c r="AH542" s="13"/>
      <c r="AI542" s="13"/>
    </row>
    <row r="543">
      <c r="A543" s="121">
        <v>334.0</v>
      </c>
      <c r="B543" s="43" t="b">
        <v>1</v>
      </c>
      <c r="C543" s="26" t="b">
        <v>1</v>
      </c>
      <c r="D543" s="26" t="s">
        <v>35</v>
      </c>
      <c r="E543" s="26" t="s">
        <v>1510</v>
      </c>
      <c r="F543" s="59" t="s">
        <v>3450</v>
      </c>
      <c r="G543" s="37" t="s">
        <v>3450</v>
      </c>
      <c r="H543" s="82" t="s">
        <v>3451</v>
      </c>
      <c r="I543" s="43">
        <f>SUMIFS('Hoja 10'!$O:$O,'Hoja 10'!$F:$F,$G543)</f>
        <v>40</v>
      </c>
      <c r="J543" s="26">
        <f>IFERROR(__xludf.DUMMYFUNCTION("VLOOKUP(G543,IMPORTRANGE(""https://docs.google.com/spreadsheets/d/12RxCea4e5ggM7QGn1XE3FbLQa_-QbCNdBi90OdPjRqg/edit?gid=1692403370#gid=1692403370"", ""'Plan de Compras'!D4:2432""), 8,0)"),40.0)</f>
        <v>40</v>
      </c>
      <c r="K543" s="26" t="str">
        <f t="shared" si="40"/>
        <v>SI</v>
      </c>
      <c r="L543" s="29" t="s">
        <v>39</v>
      </c>
      <c r="M543" s="30" t="s">
        <v>40</v>
      </c>
      <c r="N543" s="32"/>
      <c r="O543" s="32" t="str">
        <f>VLOOKUP($G543,'Hoja 10'!$F$4:$AA1057, 19,0)</f>
        <v>CASA JOVEN</v>
      </c>
      <c r="P543" s="32">
        <f>VLOOKUP($G543,'Hoja 10'!$F$4:$AA1057, 20,0)</f>
        <v>114023191</v>
      </c>
      <c r="Q543" s="33" t="str">
        <f>VLOOKUP($G543,'Hoja 10'!$F$4:$AA1057, 21,0)</f>
        <v>https://tottus.falabella.com.pe/tottus-pe/product/114023189/bolo-20cm-acero-inoxidable/114023191</v>
      </c>
      <c r="R543" s="30" t="s">
        <v>3452</v>
      </c>
      <c r="S543" s="44" t="b">
        <v>1</v>
      </c>
      <c r="T543" s="39" t="s">
        <v>55</v>
      </c>
      <c r="U543" s="39" t="s">
        <v>3453</v>
      </c>
      <c r="V543" s="39" t="str">
        <f>IFERROR(__xludf.DUMMYFUNCTION(" IF
( VLOOKUP($G543,IMPORTRANGE(""https://docs.google.com/spreadsheets/d/1Gpl6jkTg7sL4VDNimUm3S9Vi1i95esohXCF3wuKOE8c"", ""'CONSOLIDADO'!G5:AB""), 10, 0) &lt;&gt; 0, 
IFERROR(VLOOKUP($G543,IMPORTRANGE(""https://docs.google.com/spreadsheets/d/1Gpl6jkTg7sL4VDNimU"&amp;"m3S9Vi1i95esohXCF3wuKOE8c"", ""'CONSOLIDADO'!G5:AB""), 17, 0), ""-""),
""""
)"),"CASA JOVEN")</f>
        <v>CASA JOVEN</v>
      </c>
      <c r="W543" s="39" t="str">
        <f>IFERROR(__xludf.DUMMYFUNCTION(" IF
( VLOOKUP($G543,IMPORTRANGE(""https://docs.google.com/spreadsheets/d/1Gpl6jkTg7sL4VDNimUm3S9Vi1i95esohXCF3wuKOE8c"", ""'CONSOLIDADO'!G5:AB""), 10, 0) &lt;&gt; 0, 
IFERROR(VLOOKUP($G543,IMPORTRANGE(""https://docs.google.com/spreadsheets/d/1Gpl6jkTg7sL4VDNimU"&amp;"m3S9Vi1i95esohXCF3wuKOE8c"", ""'CONSOLIDADO'!G5:AB""), 18, 0), ""-""),
""""
)"),"BOLO N° 20CM ACERO INOXIDABLE ")</f>
        <v>BOLO N° 20CM ACERO INOXIDABLE </v>
      </c>
      <c r="X543" s="39" t="b">
        <f t="shared" si="58"/>
        <v>0</v>
      </c>
      <c r="Y543" s="110" t="s">
        <v>3297</v>
      </c>
      <c r="Z543" s="37" t="str">
        <f>IFERROR(__xludf.DUMMYFUNCTION("IFERROR(VLOOKUP(G543,IMPORTRANGE(""https://docs.google.com/spreadsheets/d/12RxCea4e5ggM7QGn1XE3FbLQa_-QbCNdBi90OdPjRqg"", ""'Plan de Compras'!D4:Q""), 12, 0), ""NO ESTÁ EN REQ"")"),"Simple")</f>
        <v>Simple</v>
      </c>
      <c r="AA543" s="37" t="str">
        <f>IFERROR(__xludf.DUMMYFUNCTION("IFERROR(VLOOKUP(G543,IMPORTRANGE(""https://docs.google.com/spreadsheets/d/12RxCea4e5ggM7QGn1XE3FbLQa_-QbCNdBi90OdPjRqg"", ""'Plan de Compras'!D4:Q""), 13, 0), """")"),"NACIONAL")</f>
        <v>NACIONAL</v>
      </c>
      <c r="AB543" s="32" t="str">
        <f>IFERROR(__xludf.DUMMYFUNCTION("IFERROR(VLOOKUP(G543,IMPORTRANGE(""https://docs.google.com/spreadsheets/d/12RxCea4e5ggM7QGn1XE3FbLQa_-QbCNdBi90OdPjRqg"", ""'Plan de Compras'!D4:Q""), 14, 0), """")"),"JESSICA")</f>
        <v>JESSICA</v>
      </c>
      <c r="AC543" s="72" t="str">
        <f>IFERROR(__xludf.DUMMYFUNCTION("IFERROR(VLOOKUP(G543,IMPORTRANGE(""https://docs.google.com/spreadsheets/d/12RxCea4e5ggM7QGn1XE3FbLQa_-QbCNdBi90OdPjRqg"", ""'Plan de Compras'!D4:Q""), 4, 0), """")"),"TAZÓN BOWL N° 20")</f>
        <v>TAZÓN BOWL N° 20</v>
      </c>
      <c r="AD543" s="37" t="str">
        <f>IFERROR(__xludf.DUMMYFUNCTION("IFERROR(IF(OR(C543=TRUE,C543=""""),VLOOKUP(G543,IMPORTRANGE(""https://docs.google.com/spreadsheets/d/1z9A1Wq-kKrhRNG5RS2a2fKpY1wIhSVz2ZNmP2mOl588/edit?usp=sharing"",""REQ VF!E4:H""),4,0),""NO APLICA""),""GENERAR REQ"")"),"GENERAR REQ")</f>
        <v>GENERAR REQ</v>
      </c>
      <c r="AE543" s="32" t="str">
        <f>IFERROR(__xludf.DUMMYFUNCTION("IFERROR(QUERY(IMPORTRANGE(""https://docs.google.com/spreadsheets/d/1z9A1Wq-kKrhRNG5RS2a2fKpY1wIhSVz2ZNmP2mOl588/edit?usp=sharing"",""REQ VF!E4:Q""),""SELECT Col10, Col11, Col12 WHERE Col1 = '""&amp;G543&amp;""'"",0),""NO APLICA"")"),"NO APLICA")</f>
        <v>NO APLICA</v>
      </c>
      <c r="AF543" s="32"/>
      <c r="AG543" s="32"/>
      <c r="AH543" s="13"/>
      <c r="AI543" s="13"/>
    </row>
    <row r="544">
      <c r="A544" s="117">
        <v>335.0</v>
      </c>
      <c r="B544" s="43" t="b">
        <v>1</v>
      </c>
      <c r="C544" s="26" t="b">
        <v>1</v>
      </c>
      <c r="D544" s="26" t="s">
        <v>35</v>
      </c>
      <c r="E544" s="26" t="s">
        <v>1510</v>
      </c>
      <c r="F544" s="59" t="s">
        <v>3454</v>
      </c>
      <c r="G544" s="37" t="s">
        <v>3454</v>
      </c>
      <c r="H544" s="82" t="s">
        <v>3455</v>
      </c>
      <c r="I544" s="43">
        <f>SUMIFS('Hoja 10'!$O:$O,'Hoja 10'!$F:$F,$G544)</f>
        <v>40</v>
      </c>
      <c r="J544" s="26">
        <f>IFERROR(__xludf.DUMMYFUNCTION("VLOOKUP(G544,IMPORTRANGE(""https://docs.google.com/spreadsheets/d/12RxCea4e5ggM7QGn1XE3FbLQa_-QbCNdBi90OdPjRqg/edit?gid=1692403370#gid=1692403370"", ""'Plan de Compras'!D4:2432""), 8,0)"),40.0)</f>
        <v>40</v>
      </c>
      <c r="K544" s="26" t="str">
        <f t="shared" si="40"/>
        <v>SI</v>
      </c>
      <c r="L544" s="29" t="s">
        <v>39</v>
      </c>
      <c r="M544" s="30" t="s">
        <v>40</v>
      </c>
      <c r="N544" s="32"/>
      <c r="O544" s="32" t="str">
        <f>VLOOKUP($G544,'Hoja 10'!$F$4:$AA1057, 19,0)</f>
        <v>CASA JOVEN</v>
      </c>
      <c r="P544" s="32">
        <f>VLOOKUP($G544,'Hoja 10'!$F$4:$AA1057, 20,0)</f>
        <v>116230342</v>
      </c>
      <c r="Q544" s="33" t="str">
        <f>VLOOKUP($G544,'Hoja 10'!$F$4:$AA1057, 21,0)</f>
        <v>https://www.tottus.com.pe/tottus-pe/articulo/116230341/bolo-de-acero-inoxidable-24cm/116230342</v>
      </c>
      <c r="R544" s="30" t="s">
        <v>3456</v>
      </c>
      <c r="S544" s="44" t="b">
        <v>1</v>
      </c>
      <c r="T544" s="39" t="s">
        <v>55</v>
      </c>
      <c r="U544" s="39" t="s">
        <v>3457</v>
      </c>
      <c r="V544" s="39" t="str">
        <f>IFERROR(__xludf.DUMMYFUNCTION(" IF
( VLOOKUP($G544,IMPORTRANGE(""https://docs.google.com/spreadsheets/d/1Gpl6jkTg7sL4VDNimUm3S9Vi1i95esohXCF3wuKOE8c"", ""'CONSOLIDADO'!G5:AB""), 10, 0) &lt;&gt; 0, 
IFERROR(VLOOKUP($G544,IMPORTRANGE(""https://docs.google.com/spreadsheets/d/1Gpl6jkTg7sL4VDNimU"&amp;"m3S9Vi1i95esohXCF3wuKOE8c"", ""'CONSOLIDADO'!G5:AB""), 17, 0), ""-""),
""""
)"),"CASA JOVEN")</f>
        <v>CASA JOVEN</v>
      </c>
      <c r="W544" s="39" t="str">
        <f>IFERROR(__xludf.DUMMYFUNCTION(" IF
( VLOOKUP($G544,IMPORTRANGE(""https://docs.google.com/spreadsheets/d/1Gpl6jkTg7sL4VDNimUm3S9Vi1i95esohXCF3wuKOE8c"", ""'CONSOLIDADO'!G5:AB""), 10, 0) &lt;&gt; 0, 
IFERROR(VLOOKUP($G544,IMPORTRANGE(""https://docs.google.com/spreadsheets/d/1Gpl6jkTg7sL4VDNimU"&amp;"m3S9Vi1i95esohXCF3wuKOE8c"", ""'CONSOLIDADO'!G5:AB""), 18, 0), ""-""),
""""
)"),"BOLO N° 24CM ACERO INOXIDABLE ")</f>
        <v>BOLO N° 24CM ACERO INOXIDABLE </v>
      </c>
      <c r="X544" s="39" t="b">
        <f t="shared" si="58"/>
        <v>0</v>
      </c>
      <c r="Y544" s="110" t="s">
        <v>3297</v>
      </c>
      <c r="Z544" s="37" t="str">
        <f>IFERROR(__xludf.DUMMYFUNCTION("IFERROR(VLOOKUP(G544,IMPORTRANGE(""https://docs.google.com/spreadsheets/d/12RxCea4e5ggM7QGn1XE3FbLQa_-QbCNdBi90OdPjRqg"", ""'Plan de Compras'!D4:Q""), 12, 0), ""NO ESTÁ EN REQ"")"),"Simple")</f>
        <v>Simple</v>
      </c>
      <c r="AA544" s="37" t="str">
        <f>IFERROR(__xludf.DUMMYFUNCTION("IFERROR(VLOOKUP(G544,IMPORTRANGE(""https://docs.google.com/spreadsheets/d/12RxCea4e5ggM7QGn1XE3FbLQa_-QbCNdBi90OdPjRqg"", ""'Plan de Compras'!D4:Q""), 13, 0), """")"),"NACIONAL")</f>
        <v>NACIONAL</v>
      </c>
      <c r="AB544" s="32" t="str">
        <f>IFERROR(__xludf.DUMMYFUNCTION("IFERROR(VLOOKUP(G544,IMPORTRANGE(""https://docs.google.com/spreadsheets/d/12RxCea4e5ggM7QGn1XE3FbLQa_-QbCNdBi90OdPjRqg"", ""'Plan de Compras'!D4:Q""), 14, 0), """")"),"JESSICA")</f>
        <v>JESSICA</v>
      </c>
      <c r="AC544" s="72" t="str">
        <f>IFERROR(__xludf.DUMMYFUNCTION("IFERROR(VLOOKUP(G544,IMPORTRANGE(""https://docs.google.com/spreadsheets/d/12RxCea4e5ggM7QGn1XE3FbLQa_-QbCNdBi90OdPjRqg"", ""'Plan de Compras'!D4:Q""), 4, 0), """")"),"TAZÓN BOWL N° 24")</f>
        <v>TAZÓN BOWL N° 24</v>
      </c>
      <c r="AD544" s="37" t="str">
        <f>IFERROR(__xludf.DUMMYFUNCTION("IFERROR(IF(OR(C544=TRUE,C544=""""),VLOOKUP(G544,IMPORTRANGE(""https://docs.google.com/spreadsheets/d/1z9A1Wq-kKrhRNG5RS2a2fKpY1wIhSVz2ZNmP2mOl588/edit?usp=sharing"",""REQ VF!E4:H""),4,0),""NO APLICA""),""GENERAR REQ"")"),"GENERAR REQ")</f>
        <v>GENERAR REQ</v>
      </c>
      <c r="AE544" s="32" t="str">
        <f>IFERROR(__xludf.DUMMYFUNCTION("IFERROR(QUERY(IMPORTRANGE(""https://docs.google.com/spreadsheets/d/1z9A1Wq-kKrhRNG5RS2a2fKpY1wIhSVz2ZNmP2mOl588/edit?usp=sharing"",""REQ VF!E4:Q""),""SELECT Col10, Col11, Col12 WHERE Col1 = '""&amp;G544&amp;""'"",0),""NO APLICA"")"),"NO APLICA")</f>
        <v>NO APLICA</v>
      </c>
      <c r="AF544" s="32"/>
      <c r="AG544" s="32"/>
      <c r="AH544" s="13"/>
      <c r="AI544" s="13"/>
    </row>
    <row r="545">
      <c r="A545" s="117">
        <v>336.0</v>
      </c>
      <c r="B545" s="43" t="b">
        <v>1</v>
      </c>
      <c r="C545" s="26" t="b">
        <v>1</v>
      </c>
      <c r="D545" s="26" t="s">
        <v>35</v>
      </c>
      <c r="E545" s="26" t="s">
        <v>1510</v>
      </c>
      <c r="F545" s="59" t="s">
        <v>3458</v>
      </c>
      <c r="G545" s="37" t="s">
        <v>3458</v>
      </c>
      <c r="H545" s="82" t="s">
        <v>3459</v>
      </c>
      <c r="I545" s="43">
        <f>SUMIFS('Hoja 10'!$O:$O,'Hoja 10'!$F:$F,$G545)</f>
        <v>10</v>
      </c>
      <c r="J545" s="26">
        <f>IFERROR(__xludf.DUMMYFUNCTION("VLOOKUP(G545,IMPORTRANGE(""https://docs.google.com/spreadsheets/d/12RxCea4e5ggM7QGn1XE3FbLQa_-QbCNdBi90OdPjRqg/edit?gid=1692403370#gid=1692403370"", ""'Plan de Compras'!D4:2432""), 8,0)"),10.0)</f>
        <v>10</v>
      </c>
      <c r="K545" s="26" t="str">
        <f t="shared" si="40"/>
        <v>SI</v>
      </c>
      <c r="L545" s="29" t="s">
        <v>185</v>
      </c>
      <c r="M545" s="30" t="s">
        <v>186</v>
      </c>
      <c r="N545" s="32"/>
      <c r="O545" s="32" t="str">
        <f>VLOOKUP($G545,'Hoja 10'!$F$4:$AA1057, 19,0)</f>
        <v>Fiskars</v>
      </c>
      <c r="P545" s="32" t="str">
        <f>VLOOKUP($G545,'Hoja 10'!$F$4:$AA1057, 20,0)</f>
        <v>01-004761J</v>
      </c>
      <c r="Q545" s="33" t="str">
        <f>VLOOKUP($G545,'Hoja 10'!$F$4:$AA1057, 21,0)</f>
        <v>https://www.amazon.com/-/es/Fiskars-01-004761J-Tijeras-inoxidable-pulgadas/dp/B002YIP97K?th=1</v>
      </c>
      <c r="R545" s="30" t="s">
        <v>3460</v>
      </c>
      <c r="S545" s="44" t="b">
        <v>1</v>
      </c>
      <c r="T545" s="39" t="str">
        <f>IFERROR(__xludf.DUMMYFUNCTION(" IF
( VLOOKUP($G545,IMPORTRANGE(""https://docs.google.com/spreadsheets/d/1Gpl6jkTg7sL4VDNimUm3S9Vi1i95esohXCF3wuKOE8c"", ""'CONSOLIDADO'!G5:AB""), 10, 0) &lt;&gt; 0, 
IFERROR(VLOOKUP($G545,IMPORTRANGE(""https://docs.google.com/spreadsheets/d/1Gpl6jkTg7sL4VDNimU"&amp;"m3S9Vi1i95esohXCF3wuKOE8c"", ""'CONSOLIDADO'!G5:AB""), 17, 0), ""-""),
""""
)"),"")</f>
        <v/>
      </c>
      <c r="U545" s="39" t="str">
        <f>IFERROR(__xludf.DUMMYFUNCTION(" IF
( VLOOKUP($G545,IMPORTRANGE(""https://docs.google.com/spreadsheets/d/1Gpl6jkTg7sL4VDNimUm3S9Vi1i95esohXCF3wuKOE8c"", ""'CONSOLIDADO'!G5:AB""), 10, 0) &lt;&gt; 0, 
IFERROR(VLOOKUP($G545,IMPORTRANGE(""https://docs.google.com/spreadsheets/d/1Gpl6jkTg7sL4VDNimU"&amp;"m3S9Vi1i95esohXCF3wuKOE8c"", ""'CONSOLIDADO'!G5:AB""), 18, 0), ""-""),
""""
)"),"")</f>
        <v/>
      </c>
      <c r="V545" s="39" t="str">
        <f>IFERROR(__xludf.DUMMYFUNCTION(" IF
( VLOOKUP($G545,IMPORTRANGE(""https://docs.google.com/spreadsheets/d/1Gpl6jkTg7sL4VDNimUm3S9Vi1i95esohXCF3wuKOE8c"", ""'CONSOLIDADO'!G5:AB""), 10, 0) &lt;&gt; 0, 
IFERROR(VLOOKUP($G545,IMPORTRANGE(""https://docs.google.com/spreadsheets/d/1Gpl6jkTg7sL4VDNimU"&amp;"m3S9Vi1i95esohXCF3wuKOE8c"", ""'CONSOLIDADO'!G5:AB""), 17, 0), ""-""),
""""
)"),"")</f>
        <v/>
      </c>
      <c r="W545" s="39" t="str">
        <f>IFERROR(__xludf.DUMMYFUNCTION(" IF
( VLOOKUP($G545,IMPORTRANGE(""https://docs.google.com/spreadsheets/d/1Gpl6jkTg7sL4VDNimUm3S9Vi1i95esohXCF3wuKOE8c"", ""'CONSOLIDADO'!G5:AB""), 10, 0) &lt;&gt; 0, 
IFERROR(VLOOKUP($G545,IMPORTRANGE(""https://docs.google.com/spreadsheets/d/1Gpl6jkTg7sL4VDNimU"&amp;"m3S9Vi1i95esohXCF3wuKOE8c"", ""'CONSOLIDADO'!G5:AB""), 18, 0), ""-""),
""""
)"),"")</f>
        <v/>
      </c>
      <c r="X545" s="39" t="b">
        <f t="shared" si="58"/>
        <v>1</v>
      </c>
      <c r="Y545" s="110" t="str">
        <f>IFERROR(__xludf.DUMMYFUNCTION(" IF
( VLOOKUP($G545,IMPORTRANGE(""https://docs.google.com/spreadsheets/d/1Gpl6jkTg7sL4VDNimUm3S9Vi1i95esohXCF3wuKOE8c"", ""'CONSOLIDADO'!G5:AB""), 10, 0) &lt;&gt; 0, 
IFERROR(VLOOKUP($G545,IMPORTRANGE(""https://docs.google.com/spreadsheets/d/1Gpl6jkTg7sL4VDNimU"&amp;"m3S9Vi1i95esohXCF3wuKOE8c"", ""'CONSOLIDADO'!G5:AB""), 19, 0), ""-""),
""""
)"),"")</f>
        <v/>
      </c>
      <c r="Z545" s="37" t="str">
        <f>IFERROR(__xludf.DUMMYFUNCTION("IFERROR(VLOOKUP(G545,IMPORTRANGE(""https://docs.google.com/spreadsheets/d/12RxCea4e5ggM7QGn1XE3FbLQa_-QbCNdBi90OdPjRqg"", ""'Plan de Compras'!D4:Q""), 12, 0), ""NO ESTÁ EN REQ"")"),"Técnica")</f>
        <v>Técnica</v>
      </c>
      <c r="AA545" s="37" t="str">
        <f>IFERROR(__xludf.DUMMYFUNCTION("IFERROR(VLOOKUP(G545,IMPORTRANGE(""https://docs.google.com/spreadsheets/d/12RxCea4e5ggM7QGn1XE3FbLQa_-QbCNdBi90OdPjRqg"", ""'Plan de Compras'!D4:Q""), 13, 0), """")"),"NACIONAL")</f>
        <v>NACIONAL</v>
      </c>
      <c r="AB545" s="32" t="str">
        <f>IFERROR(__xludf.DUMMYFUNCTION("IFERROR(VLOOKUP(G545,IMPORTRANGE(""https://docs.google.com/spreadsheets/d/12RxCea4e5ggM7QGn1XE3FbLQa_-QbCNdBi90OdPjRqg"", ""'Plan de Compras'!D4:Q""), 14, 0), """")"),"ANGIE")</f>
        <v>ANGIE</v>
      </c>
      <c r="AC545" s="72" t="str">
        <f>IFERROR(__xludf.DUMMYFUNCTION("IFERROR(VLOOKUP(G545,IMPORTRANGE(""https://docs.google.com/spreadsheets/d/12RxCea4e5ggM7QGn1XE3FbLQa_-QbCNdBi90OdPjRqg"", ""'Plan de Compras'!D4:Q""), 4, 0), """")"),"TIJERA DE ACERO")</f>
        <v>TIJERA DE ACERO</v>
      </c>
      <c r="AD545" s="37" t="str">
        <f>IFERROR(__xludf.DUMMYFUNCTION("IFERROR(IF(OR(C545=TRUE,C545=""""),VLOOKUP(G545,IMPORTRANGE(""https://docs.google.com/spreadsheets/d/1z9A1Wq-kKrhRNG5RS2a2fKpY1wIhSVz2ZNmP2mOl588/edit?usp=sharing"",""REQ VF!E4:H""),4,0),""NO APLICA""),""GENERAR REQ"")"),"GENERAR REQ")</f>
        <v>GENERAR REQ</v>
      </c>
      <c r="AE545" s="32" t="str">
        <f>IFERROR(__xludf.DUMMYFUNCTION("IFERROR(QUERY(IMPORTRANGE(""https://docs.google.com/spreadsheets/d/1z9A1Wq-kKrhRNG5RS2a2fKpY1wIhSVz2ZNmP2mOl588/edit?usp=sharing"",""REQ VF!E4:Q""),""SELECT Col10, Col11, Col12 WHERE Col1 = '""&amp;G545&amp;""'"",0),""NO APLICA"")"),"NO APLICA")</f>
        <v>NO APLICA</v>
      </c>
      <c r="AF545" s="32"/>
      <c r="AG545" s="32"/>
      <c r="AH545" s="13"/>
      <c r="AI545" s="13"/>
    </row>
    <row r="546">
      <c r="A546" s="121">
        <v>337.0</v>
      </c>
      <c r="B546" s="43" t="b">
        <v>1</v>
      </c>
      <c r="C546" s="26" t="b">
        <v>1</v>
      </c>
      <c r="D546" s="26" t="s">
        <v>35</v>
      </c>
      <c r="E546" s="26" t="s">
        <v>1510</v>
      </c>
      <c r="F546" s="59" t="s">
        <v>3461</v>
      </c>
      <c r="G546" s="37" t="s">
        <v>3461</v>
      </c>
      <c r="H546" s="82" t="s">
        <v>3462</v>
      </c>
      <c r="I546" s="43">
        <f>SUMIFS('Hoja 10'!$O:$O,'Hoja 10'!$F:$F,$G546)</f>
        <v>5</v>
      </c>
      <c r="J546" s="26">
        <f>IFERROR(__xludf.DUMMYFUNCTION("VLOOKUP(G546,IMPORTRANGE(""https://docs.google.com/spreadsheets/d/12RxCea4e5ggM7QGn1XE3FbLQa_-QbCNdBi90OdPjRqg/edit?gid=1692403370#gid=1692403370"", ""'Plan de Compras'!D4:2432""), 8,0)"),5.0)</f>
        <v>5</v>
      </c>
      <c r="K546" s="26" t="str">
        <f t="shared" si="40"/>
        <v>SI</v>
      </c>
      <c r="L546" s="29" t="s">
        <v>39</v>
      </c>
      <c r="M546" s="30" t="s">
        <v>40</v>
      </c>
      <c r="N546" s="32"/>
      <c r="O546" s="32" t="str">
        <f>VLOOKUP($G546,'Hoja 10'!$F$4:$AA1057, 19,0)</f>
        <v>FERPLAST</v>
      </c>
      <c r="P546" s="32" t="str">
        <f>VLOOKUP($G546,'Hoja 10'!$F$4:$AA1057, 20,0)</f>
        <v>Tina Ovalada</v>
      </c>
      <c r="Q546" s="33" t="str">
        <f>VLOOKUP($G546,'Hoja 10'!$F$4:$AA1057, 21,0)</f>
        <v>https://www.mercadolibre.com.mx/tina-ovalada-150-litros-uso-rudo-2-piezas-envio-gratis/up/MLMU892593614?pdp_filters=item_id:MLM1465903519</v>
      </c>
      <c r="R546" s="30" t="s">
        <v>3463</v>
      </c>
      <c r="S546" s="34" t="b">
        <v>1</v>
      </c>
      <c r="T546" s="39" t="str">
        <f>IFERROR(__xludf.DUMMYFUNCTION(" IF
( VLOOKUP($G546,IMPORTRANGE(""https://docs.google.com/spreadsheets/d/1Gpl6jkTg7sL4VDNimUm3S9Vi1i95esohXCF3wuKOE8c"", ""'CONSOLIDADO'!G5:AB""), 10, 0) &lt;&gt; 0, 
IFERROR(VLOOKUP($G546,IMPORTRANGE(""https://docs.google.com/spreadsheets/d/1Gpl6jkTg7sL4VDNimU"&amp;"m3S9Vi1i95esohXCF3wuKOE8c"", ""'CONSOLIDADO'!G5:AB""), 17, 0), ""-""),
""""
)"),"YX")</f>
        <v>YX</v>
      </c>
      <c r="U546" s="39">
        <f>IFERROR(__xludf.DUMMYFUNCTION(" IF
( VLOOKUP($G546,IMPORTRANGE(""https://docs.google.com/spreadsheets/d/1Gpl6jkTg7sL4VDNimUm3S9Vi1i95esohXCF3wuKOE8c"", ""'CONSOLIDADO'!G5:AB""), 10, 0) &lt;&gt; 0, 
IFERROR(VLOOKUP($G546,IMPORTRANGE(""https://docs.google.com/spreadsheets/d/1Gpl6jkTg7sL4VDNimU"&amp;"m3S9Vi1i95esohXCF3wuKOE8c"", ""'CONSOLIDADO'!G5:AB""), 18, 0), ""-""),
""""
)"),8020.0)</f>
        <v>8020</v>
      </c>
      <c r="V546" s="39" t="str">
        <f>IFERROR(__xludf.DUMMYFUNCTION(" IF
( VLOOKUP($G546,IMPORTRANGE(""https://docs.google.com/spreadsheets/d/1Gpl6jkTg7sL4VDNimUm3S9Vi1i95esohXCF3wuKOE8c"", ""'CONSOLIDADO'!G5:AB""), 10, 0) &lt;&gt; 0, 
IFERROR(VLOOKUP($G546,IMPORTRANGE(""https://docs.google.com/spreadsheets/d/1Gpl6jkTg7sL4VDNimU"&amp;"m3S9Vi1i95esohXCF3wuKOE8c"", ""'CONSOLIDADO'!G5:AB""), 17, 0), ""-""),
""""
)"),"YX")</f>
        <v>YX</v>
      </c>
      <c r="W546" s="39">
        <f>IFERROR(__xludf.DUMMYFUNCTION(" IF
( VLOOKUP($G546,IMPORTRANGE(""https://docs.google.com/spreadsheets/d/1Gpl6jkTg7sL4VDNimUm3S9Vi1i95esohXCF3wuKOE8c"", ""'CONSOLIDADO'!G5:AB""), 10, 0) &lt;&gt; 0, 
IFERROR(VLOOKUP($G546,IMPORTRANGE(""https://docs.google.com/spreadsheets/d/1Gpl6jkTg7sL4VDNimU"&amp;"m3S9Vi1i95esohXCF3wuKOE8c"", ""'CONSOLIDADO'!G5:AB""), 18, 0), ""-""),
""""
)"),8020.0)</f>
        <v>8020</v>
      </c>
      <c r="X546" s="39" t="b">
        <f t="shared" si="58"/>
        <v>1</v>
      </c>
      <c r="Y546" s="110" t="str">
        <f>IFERROR(__xludf.DUMMYFUNCTION(" IF
( VLOOKUP($G546,IMPORTRANGE(""https://docs.google.com/spreadsheets/d/1Gpl6jkTg7sL4VDNimUm3S9Vi1i95esohXCF3wuKOE8c"", ""'CONSOLIDADO'!G5:AB""), 10, 0) &lt;&gt; 0, 
IFERROR(VLOOKUP($G546,IMPORTRANGE(""https://docs.google.com/spreadsheets/d/1Gpl6jkTg7sL4VDNimU"&amp;"m3S9Vi1i95esohXCF3wuKOE8c"", ""'CONSOLIDADO'!G5:AB""), 19, 0), ""-""),
""""
)"),"IMPORTADO")</f>
        <v>IMPORTADO</v>
      </c>
      <c r="Z546" s="37" t="str">
        <f>IFERROR(__xludf.DUMMYFUNCTION("IFERROR(VLOOKUP(G546,IMPORTRANGE(""https://docs.google.com/spreadsheets/d/12RxCea4e5ggM7QGn1XE3FbLQa_-QbCNdBi90OdPjRqg"", ""'Plan de Compras'!D4:Q""), 12, 0), ""NO ESTÁ EN REQ"")"),"Técnica")</f>
        <v>Técnica</v>
      </c>
      <c r="AA546" s="37" t="str">
        <f>IFERROR(__xludf.DUMMYFUNCTION("IFERROR(VLOOKUP(G546,IMPORTRANGE(""https://docs.google.com/spreadsheets/d/12RxCea4e5ggM7QGn1XE3FbLQa_-QbCNdBi90OdPjRqg"", ""'Plan de Compras'!D4:Q""), 13, 0), """")"),"INTERNACIONAL")</f>
        <v>INTERNACIONAL</v>
      </c>
      <c r="AB546" s="32" t="str">
        <f>IFERROR(__xludf.DUMMYFUNCTION("IFERROR(VLOOKUP(G546,IMPORTRANGE(""https://docs.google.com/spreadsheets/d/12RxCea4e5ggM7QGn1XE3FbLQa_-QbCNdBi90OdPjRqg"", ""'Plan de Compras'!D4:Q""), 14, 0), """")"),"GEYDI")</f>
        <v>GEYDI</v>
      </c>
      <c r="AC546" s="72" t="str">
        <f>IFERROR(__xludf.DUMMYFUNCTION("IFERROR(VLOOKUP(G546,IMPORTRANGE(""https://docs.google.com/spreadsheets/d/12RxCea4e5ggM7QGn1XE3FbLQa_-QbCNdBi90OdPjRqg"", ""'Plan de Compras'!D4:Q""), 4, 0), """")"),"TINA DE PLÁSTICO DE 150 LITROS")</f>
        <v>TINA DE PLÁSTICO DE 150 LITROS</v>
      </c>
      <c r="AD546" s="37" t="str">
        <f>IFERROR(__xludf.DUMMYFUNCTION("IFERROR(IF(OR(C546=TRUE,C546=""""),VLOOKUP(G546,IMPORTRANGE(""https://docs.google.com/spreadsheets/d/1z9A1Wq-kKrhRNG5RS2a2fKpY1wIhSVz2ZNmP2mOl588/edit?usp=sharing"",""REQ VF!E4:H""),4,0),""NO APLICA""),""GENERAR REQ"")"),"GENERAR REQ")</f>
        <v>GENERAR REQ</v>
      </c>
      <c r="AE546" s="32" t="str">
        <f>IFERROR(__xludf.DUMMYFUNCTION("IFERROR(QUERY(IMPORTRANGE(""https://docs.google.com/spreadsheets/d/1z9A1Wq-kKrhRNG5RS2a2fKpY1wIhSVz2ZNmP2mOl588/edit?usp=sharing"",""REQ VF!E4:Q""),""SELECT Col10, Col11, Col12 WHERE Col1 = '""&amp;G546&amp;""'"",0),""NO APLICA"")"),"NO APLICA")</f>
        <v>NO APLICA</v>
      </c>
      <c r="AF546" s="32"/>
      <c r="AG546" s="32"/>
      <c r="AH546" s="13"/>
      <c r="AI546" s="13"/>
    </row>
    <row r="547">
      <c r="A547" s="121">
        <v>338.0</v>
      </c>
      <c r="B547" s="43" t="b">
        <v>1</v>
      </c>
      <c r="C547" s="26" t="b">
        <v>1</v>
      </c>
      <c r="D547" s="26" t="s">
        <v>35</v>
      </c>
      <c r="E547" s="26" t="s">
        <v>1510</v>
      </c>
      <c r="F547" s="59" t="s">
        <v>3464</v>
      </c>
      <c r="G547" s="37" t="s">
        <v>3464</v>
      </c>
      <c r="H547" s="82" t="s">
        <v>3465</v>
      </c>
      <c r="I547" s="43">
        <f>SUMIFS('Hoja 10'!$O:$O,'Hoja 10'!$F:$F,$G547)</f>
        <v>4</v>
      </c>
      <c r="J547" s="26">
        <f>IFERROR(__xludf.DUMMYFUNCTION("VLOOKUP(G547,IMPORTRANGE(""https://docs.google.com/spreadsheets/d/12RxCea4e5ggM7QGn1XE3FbLQa_-QbCNdBi90OdPjRqg/edit?gid=1692403370#gid=1692403370"", ""'Plan de Compras'!D4:2432""), 8,0)"),4.0)</f>
        <v>4</v>
      </c>
      <c r="K547" s="26" t="str">
        <f t="shared" si="40"/>
        <v>SI</v>
      </c>
      <c r="L547" s="29" t="s">
        <v>77</v>
      </c>
      <c r="M547" s="30" t="s">
        <v>78</v>
      </c>
      <c r="N547" s="32"/>
      <c r="O547" s="32" t="str">
        <f>VLOOKUP($G547,'Hoja 10'!$F$4:$AA1057, 19,0)</f>
        <v>KAZ HOME</v>
      </c>
      <c r="P547" s="32">
        <f>VLOOKUP($G547,'Hoja 10'!$F$4:$AA1057, 20,0)</f>
        <v>2010112</v>
      </c>
      <c r="Q547" s="33" t="str">
        <f>VLOOKUP($G547,'Hoja 10'!$F$4:$AA1057, 21,0)</f>
        <v>https://www.oechsle.pe/juego-de-vajilla-redondo-porcelana-blanco-12-piezas/p?srsltid=AfmBOooA366TllnHuFenvtHBX7l4msQq1xDseHOBAv5kqGBEba_gNyn_#detalles</v>
      </c>
      <c r="R547" s="30" t="s">
        <v>3466</v>
      </c>
      <c r="S547" s="34" t="b">
        <v>1</v>
      </c>
      <c r="T547" s="39" t="str">
        <f>IFERROR(__xludf.DUMMYFUNCTION(" IF
( VLOOKUP($G547,IMPORTRANGE(""https://docs.google.com/spreadsheets/d/1Gpl6jkTg7sL4VDNimUm3S9Vi1i95esohXCF3wuKOE8c"", ""'CONSOLIDADO'!G5:AB""), 10, 0) &lt;&gt; 0, 
IFERROR(VLOOKUP($G547,IMPORTRANGE(""https://docs.google.com/spreadsheets/d/1Gpl6jkTg7sL4VDNimU"&amp;"m3S9Vi1i95esohXCF3wuKOE8c"", ""'CONSOLIDADO'!G5:AB""), 17, 0), ""-""),
""""
)"),"NOBILE")</f>
        <v>NOBILE</v>
      </c>
      <c r="U547" s="39" t="str">
        <f>IFERROR(__xludf.DUMMYFUNCTION(" IF
( VLOOKUP($G547,IMPORTRANGE(""https://docs.google.com/spreadsheets/d/1Gpl6jkTg7sL4VDNimUm3S9Vi1i95esohXCF3wuKOE8c"", ""'CONSOLIDADO'!G5:AB""), 10, 0) &lt;&gt; 0, 
IFERROR(VLOOKUP($G547,IMPORTRANGE(""https://docs.google.com/spreadsheets/d/1Gpl6jkTg7sL4VDNimU"&amp;"m3S9Vi1i95esohXCF3wuKOE8c"", ""'CONSOLIDADO'!G5:AB""), 18, 0), ""-""),
""""
)"),"JUEGO DE VAJILLAS")</f>
        <v>JUEGO DE VAJILLAS</v>
      </c>
      <c r="V547" s="39" t="str">
        <f>IFERROR(__xludf.DUMMYFUNCTION(" IF
( VLOOKUP($G547,IMPORTRANGE(""https://docs.google.com/spreadsheets/d/1Gpl6jkTg7sL4VDNimUm3S9Vi1i95esohXCF3wuKOE8c"", ""'CONSOLIDADO'!G5:AB""), 10, 0) &lt;&gt; 0, 
IFERROR(VLOOKUP($G547,IMPORTRANGE(""https://docs.google.com/spreadsheets/d/1Gpl6jkTg7sL4VDNimU"&amp;"m3S9Vi1i95esohXCF3wuKOE8c"", ""'CONSOLIDADO'!G5:AB""), 17, 0), ""-""),
""""
)"),"NOBILE")</f>
        <v>NOBILE</v>
      </c>
      <c r="W547" s="39" t="str">
        <f>IFERROR(__xludf.DUMMYFUNCTION(" IF
( VLOOKUP($G547,IMPORTRANGE(""https://docs.google.com/spreadsheets/d/1Gpl6jkTg7sL4VDNimUm3S9Vi1i95esohXCF3wuKOE8c"", ""'CONSOLIDADO'!G5:AB""), 10, 0) &lt;&gt; 0, 
IFERROR(VLOOKUP($G547,IMPORTRANGE(""https://docs.google.com/spreadsheets/d/1Gpl6jkTg7sL4VDNimU"&amp;"m3S9Vi1i95esohXCF3wuKOE8c"", ""'CONSOLIDADO'!G5:AB""), 18, 0), ""-""),
""""
)"),"JUEGO DE VAJILLAS")</f>
        <v>JUEGO DE VAJILLAS</v>
      </c>
      <c r="X547" s="39" t="b">
        <f t="shared" si="58"/>
        <v>1</v>
      </c>
      <c r="Y547" s="110" t="str">
        <f>IFERROR(__xludf.DUMMYFUNCTION(" IF
( VLOOKUP($G547,IMPORTRANGE(""https://docs.google.com/spreadsheets/d/1Gpl6jkTg7sL4VDNimUm3S9Vi1i95esohXCF3wuKOE8c"", ""'CONSOLIDADO'!G5:AB""), 10, 0) &lt;&gt; 0, 
IFERROR(VLOOKUP($G547,IMPORTRANGE(""https://docs.google.com/spreadsheets/d/1Gpl6jkTg7sL4VDNimU"&amp;"m3S9Vi1i95esohXCF3wuKOE8c"", ""'CONSOLIDADO'!G5:AB""), 19, 0), ""-""),
""""
)"),"propuesta de nacional")</f>
        <v>propuesta de nacional</v>
      </c>
      <c r="Z547" s="37" t="str">
        <f>IFERROR(__xludf.DUMMYFUNCTION("IFERROR(VLOOKUP(G547,IMPORTRANGE(""https://docs.google.com/spreadsheets/d/12RxCea4e5ggM7QGn1XE3FbLQa_-QbCNdBi90OdPjRqg"", ""'Plan de Compras'!D4:Q""), 12, 0), ""NO ESTÁ EN REQ"")"),"Técnica")</f>
        <v>Técnica</v>
      </c>
      <c r="AA547" s="37" t="str">
        <f>IFERROR(__xludf.DUMMYFUNCTION("IFERROR(VLOOKUP(G547,IMPORTRANGE(""https://docs.google.com/spreadsheets/d/12RxCea4e5ggM7QGn1XE3FbLQa_-QbCNdBi90OdPjRqg"", ""'Plan de Compras'!D4:Q""), 13, 0), """")"),"NACIONAL")</f>
        <v>NACIONAL</v>
      </c>
      <c r="AB547" s="32" t="str">
        <f>IFERROR(__xludf.DUMMYFUNCTION("IFERROR(VLOOKUP(G547,IMPORTRANGE(""https://docs.google.com/spreadsheets/d/12RxCea4e5ggM7QGn1XE3FbLQa_-QbCNdBi90OdPjRqg"", ""'Plan de Compras'!D4:Q""), 14, 0), """")"),"ANGIE")</f>
        <v>ANGIE</v>
      </c>
      <c r="AC547" s="72" t="str">
        <f>IFERROR(__xludf.DUMMYFUNCTION("IFERROR(VLOOKUP(G547,IMPORTRANGE(""https://docs.google.com/spreadsheets/d/12RxCea4e5ggM7QGn1XE3FbLQa_-QbCNdBi90OdPjRqg"", ""'Plan de Compras'!D4:Q""), 4, 0), """")"),"JUEGO DE VAJILLAS PARA ENTRADA, FONDO")</f>
        <v>JUEGO DE VAJILLAS PARA ENTRADA, FONDO</v>
      </c>
      <c r="AD547" s="37" t="str">
        <f>IFERROR(__xludf.DUMMYFUNCTION("IFERROR(IF(OR(C547=TRUE,C547=""""),VLOOKUP(G547,IMPORTRANGE(""https://docs.google.com/spreadsheets/d/1z9A1Wq-kKrhRNG5RS2a2fKpY1wIhSVz2ZNmP2mOl588/edit?usp=sharing"",""REQ VF!E4:H""),4,0),""NO APLICA""),""GENERAR REQ"")"),"GENERAR REQ")</f>
        <v>GENERAR REQ</v>
      </c>
      <c r="AE547" s="32" t="str">
        <f>IFERROR(__xludf.DUMMYFUNCTION("IFERROR(QUERY(IMPORTRANGE(""https://docs.google.com/spreadsheets/d/1z9A1Wq-kKrhRNG5RS2a2fKpY1wIhSVz2ZNmP2mOl588/edit?usp=sharing"",""REQ VF!E4:Q""),""SELECT Col10, Col11, Col12 WHERE Col1 = '""&amp;G547&amp;""'"",0),""NO APLICA"")"),"NO APLICA")</f>
        <v>NO APLICA</v>
      </c>
      <c r="AF547" s="32"/>
      <c r="AG547" s="32"/>
      <c r="AH547" s="13"/>
      <c r="AI547" s="13"/>
    </row>
    <row r="548">
      <c r="A548" s="121">
        <v>339.0</v>
      </c>
      <c r="B548" s="43" t="b">
        <v>1</v>
      </c>
      <c r="C548" s="26" t="b">
        <v>0</v>
      </c>
      <c r="D548" s="26" t="s">
        <v>35</v>
      </c>
      <c r="E548" s="26" t="s">
        <v>1510</v>
      </c>
      <c r="F548" s="59" t="s">
        <v>3467</v>
      </c>
      <c r="G548" s="37" t="s">
        <v>3467</v>
      </c>
      <c r="H548" s="82" t="s">
        <v>3468</v>
      </c>
      <c r="I548" s="43">
        <f>SUMIFS('Hoja 10'!$O:$O,'Hoja 10'!$F:$F,$G548)</f>
        <v>4</v>
      </c>
      <c r="J548" s="26" t="str">
        <f>IFERROR(__xludf.DUMMYFUNCTION("VLOOKUP(G548,IMPORTRANGE(""https://docs.google.com/spreadsheets/d/12RxCea4e5ggM7QGn1XE3FbLQa_-QbCNdBi90OdPjRqg/edit?gid=1692403370#gid=1692403370"", ""'Plan de Compras'!D4:2432""), 8,0)"),"#N/A")</f>
        <v>#N/A</v>
      </c>
      <c r="K548" s="26" t="str">
        <f t="shared" si="40"/>
        <v>-</v>
      </c>
      <c r="L548" s="29" t="s">
        <v>77</v>
      </c>
      <c r="M548" s="30" t="s">
        <v>78</v>
      </c>
      <c r="N548" s="32"/>
      <c r="O548" s="32" t="str">
        <f>VLOOKUP($G548,'Hoja 10'!$F$4:$AA1057, 19,0)</f>
        <v>LUGANO / Joyce Chen / GENERICO</v>
      </c>
      <c r="P548" s="32" t="str">
        <f>VLOOKUP($G548,'Hoja 10'!$F$4:$AA1057, 20,0)</f>
        <v>10938 / J21-9978 / 118294503</v>
      </c>
      <c r="Q548" s="33" t="str">
        <f>VLOOKUP($G548,'Hoja 10'!$F$4:$AA1057, 21,0)</f>
        <v>https://juntoz.com/p/wok-hierro-fundido-30-cm-casas-lugano-28585106109381303202405411434148?srsltid=AfmBOorCpdKjQbbk81kPqs9cFn6vUtx1GQwbzvQYT0fD2RbNDqf4PRFQ</v>
      </c>
      <c r="R548" s="30" t="s">
        <v>3469</v>
      </c>
      <c r="S548" s="34" t="b">
        <v>1</v>
      </c>
      <c r="T548" s="39" t="str">
        <f>IFERROR(__xludf.DUMMYFUNCTION(" IF
( VLOOKUP($G548,IMPORTRANGE(""https://docs.google.com/spreadsheets/d/1Gpl6jkTg7sL4VDNimUm3S9Vi1i95esohXCF3wuKOE8c"", ""'CONSOLIDADO'!G5:AB""), 10, 0) &lt;&gt; 0, 
IFERROR(VLOOKUP($G548,IMPORTRANGE(""https://docs.google.com/spreadsheets/d/1Gpl6jkTg7sL4VDNimU"&amp;"m3S9Vi1i95esohXCF3wuKOE8c"", ""'CONSOLIDADO'!G5:AB""), 17, 0), ""-""),
""""
)"),"JIAHE")</f>
        <v>JIAHE</v>
      </c>
      <c r="U548" s="39" t="str">
        <f>IFERROR(__xludf.DUMMYFUNCTION(" IF
( VLOOKUP($G548,IMPORTRANGE(""https://docs.google.com/spreadsheets/d/1Gpl6jkTg7sL4VDNimUm3S9Vi1i95esohXCF3wuKOE8c"", ""'CONSOLIDADO'!G5:AB""), 10, 0) &lt;&gt; 0, 
IFERROR(VLOOKUP($G548,IMPORTRANGE(""https://docs.google.com/spreadsheets/d/1Gpl6jkTg7sL4VDNimU"&amp;"m3S9Vi1i95esohXCF3wuKOE8c"", ""'CONSOLIDADO'!G5:AB""), 18, 0), ""-""),
""""
)")," 34/36/38/40 cm")</f>
        <v> 34/36/38/40 cm</v>
      </c>
      <c r="V548" s="39" t="str">
        <f>IFERROR(__xludf.DUMMYFUNCTION(" IF
( VLOOKUP($G548,IMPORTRANGE(""https://docs.google.com/spreadsheets/d/1Gpl6jkTg7sL4VDNimUm3S9Vi1i95esohXCF3wuKOE8c"", ""'CONSOLIDADO'!G5:AB""), 10, 0) &lt;&gt; 0, 
IFERROR(VLOOKUP($G548,IMPORTRANGE(""https://docs.google.com/spreadsheets/d/1Gpl6jkTg7sL4VDNimU"&amp;"m3S9Vi1i95esohXCF3wuKOE8c"", ""'CONSOLIDADO'!G5:AB""), 17, 0), ""-""),
""""
)"),"JIAHE")</f>
        <v>JIAHE</v>
      </c>
      <c r="W548" s="39" t="str">
        <f>IFERROR(__xludf.DUMMYFUNCTION(" IF
( VLOOKUP($G548,IMPORTRANGE(""https://docs.google.com/spreadsheets/d/1Gpl6jkTg7sL4VDNimUm3S9Vi1i95esohXCF3wuKOE8c"", ""'CONSOLIDADO'!G5:AB""), 10, 0) &lt;&gt; 0, 
IFERROR(VLOOKUP($G548,IMPORTRANGE(""https://docs.google.com/spreadsheets/d/1Gpl6jkTg7sL4VDNimU"&amp;"m3S9Vi1i95esohXCF3wuKOE8c"", ""'CONSOLIDADO'!G5:AB""), 18, 0), ""-""),
""""
)")," 34/36/38/40 cm")</f>
        <v> 34/36/38/40 cm</v>
      </c>
      <c r="X548" s="39" t="b">
        <f t="shared" si="58"/>
        <v>1</v>
      </c>
      <c r="Y548" s="120" t="str">
        <f>IFERROR(__xludf.DUMMYFUNCTION(" IF
( VLOOKUP($G548,IMPORTRANGE(""https://docs.google.com/spreadsheets/d/1Gpl6jkTg7sL4VDNimUm3S9Vi1i95esohXCF3wuKOE8c"", ""'CONSOLIDADO'!G5:AB""), 10, 0) &lt;&gt; 0, 
IFERROR(VLOOKUP($G548,IMPORTRANGE(""https://docs.google.com/spreadsheets/d/1Gpl6jkTg7sL4VDNimU"&amp;"m3S9Vi1i95esohXCF3wuKOE8c"", ""'CONSOLIDADO'!G5:AB""), 19, 0), ""-""),
""""
)"),"https://www.alibaba.com/product-detail/70m-28inch-Health-with-Any-Coating_62509022410.html?spm=a2700.details-description.0.0.4a2d4Ask4AskCB")</f>
        <v>https://www.alibaba.com/product-detail/70m-28inch-Health-with-Any-Coating_62509022410.html?spm=a2700.details-description.0.0.4a2d4Ask4AskCB</v>
      </c>
      <c r="Z548" s="37" t="str">
        <f>IFERROR(__xludf.DUMMYFUNCTION("IFERROR(VLOOKUP(G548,IMPORTRANGE(""https://docs.google.com/spreadsheets/d/12RxCea4e5ggM7QGn1XE3FbLQa_-QbCNdBi90OdPjRqg"", ""'Plan de Compras'!D4:Q""), 12, 0), ""NO ESTÁ EN REQ"")"),"NO ESTÁ EN REQ")</f>
        <v>NO ESTÁ EN REQ</v>
      </c>
      <c r="AA548" s="37" t="str">
        <f>IFERROR(__xludf.DUMMYFUNCTION("IFERROR(VLOOKUP(G548,IMPORTRANGE(""https://docs.google.com/spreadsheets/d/12RxCea4e5ggM7QGn1XE3FbLQa_-QbCNdBi90OdPjRqg"", ""'Plan de Compras'!D4:Q""), 13, 0), """")"),"")</f>
        <v/>
      </c>
      <c r="AB548" s="32" t="str">
        <f>IFERROR(__xludf.DUMMYFUNCTION("IFERROR(VLOOKUP(G548,IMPORTRANGE(""https://docs.google.com/spreadsheets/d/12RxCea4e5ggM7QGn1XE3FbLQa_-QbCNdBi90OdPjRqg"", ""'Plan de Compras'!D4:Q""), 14, 0), """")"),"")</f>
        <v/>
      </c>
      <c r="AC548" s="72" t="str">
        <f>IFERROR(__xludf.DUMMYFUNCTION("IFERROR(VLOOKUP(G548,IMPORTRANGE(""https://docs.google.com/spreadsheets/d/12RxCea4e5ggM7QGn1XE3FbLQa_-QbCNdBi90OdPjRqg"", ""'Plan de Compras'!D4:Q""), 4, 0), """")"),"")</f>
        <v/>
      </c>
      <c r="AD548" s="37" t="str">
        <f>IFERROR(__xludf.DUMMYFUNCTION("IFERROR(IF(OR(C548=TRUE,C548=""""),VLOOKUP(G548,IMPORTRANGE(""https://docs.google.com/spreadsheets/d/1z9A1Wq-kKrhRNG5RS2a2fKpY1wIhSVz2ZNmP2mOl588/edit?usp=sharing"",""REQ VF!E4:H""),4,0),""NO APLICA""),""GENERAR REQ"")"),"NO APLICA")</f>
        <v>NO APLICA</v>
      </c>
      <c r="AE548" s="32" t="str">
        <f>IFERROR(__xludf.DUMMYFUNCTION("IFERROR(QUERY(IMPORTRANGE(""https://docs.google.com/spreadsheets/d/1z9A1Wq-kKrhRNG5RS2a2fKpY1wIhSVz2ZNmP2mOl588/edit?usp=sharing"",""REQ VF!E4:Q""),""SELECT Col10, Col11, Col12 WHERE Col1 = '""&amp;G548&amp;""'"",0),""NO APLICA"")"),"NO APLICA")</f>
        <v>NO APLICA</v>
      </c>
      <c r="AF548" s="32"/>
      <c r="AG548" s="32"/>
      <c r="AH548" s="13"/>
      <c r="AI548" s="13"/>
    </row>
    <row r="549">
      <c r="A549" s="43"/>
      <c r="B549" s="43"/>
      <c r="C549" s="26" t="b">
        <v>1</v>
      </c>
      <c r="D549" s="26" t="s">
        <v>95</v>
      </c>
      <c r="E549" s="26" t="s">
        <v>1510</v>
      </c>
      <c r="F549" s="59" t="s">
        <v>3467</v>
      </c>
      <c r="G549" s="39" t="s">
        <v>3470</v>
      </c>
      <c r="H549" s="66" t="s">
        <v>3471</v>
      </c>
      <c r="I549" s="43">
        <v>4.0</v>
      </c>
      <c r="J549" s="26">
        <f>IFERROR(__xludf.DUMMYFUNCTION("VLOOKUP(G549,IMPORTRANGE(""https://docs.google.com/spreadsheets/d/12RxCea4e5ggM7QGn1XE3FbLQa_-QbCNdBi90OdPjRqg/edit?gid=1692403370#gid=1692403370"", ""'Plan de Compras'!D4:2432""), 8,0)"),4.0)</f>
        <v>4</v>
      </c>
      <c r="K549" s="26" t="str">
        <f t="shared" si="40"/>
        <v>SI</v>
      </c>
      <c r="L549" s="26"/>
      <c r="M549" s="32"/>
      <c r="N549" s="32" t="s">
        <v>3472</v>
      </c>
      <c r="O549" s="32"/>
      <c r="P549" s="32"/>
      <c r="Q549" s="33" t="s">
        <v>3473</v>
      </c>
      <c r="R549" s="32"/>
      <c r="S549" s="44" t="b">
        <v>1</v>
      </c>
      <c r="T549" s="63" t="s">
        <v>3474</v>
      </c>
      <c r="U549" s="63" t="s">
        <v>3475</v>
      </c>
      <c r="V549" s="63"/>
      <c r="W549" s="63"/>
      <c r="X549" s="63"/>
      <c r="Y549" s="125" t="s">
        <v>3476</v>
      </c>
      <c r="Z549" s="37" t="str">
        <f>IFERROR(__xludf.DUMMYFUNCTION("IFERROR(VLOOKUP(G549,IMPORTRANGE(""https://docs.google.com/spreadsheets/d/12RxCea4e5ggM7QGn1XE3FbLQa_-QbCNdBi90OdPjRqg"", ""'Plan de Compras'!D4:Q""), 12, 0), ""NO ESTÁ EN REQ"")"),"Simple")</f>
        <v>Simple</v>
      </c>
      <c r="AA549" s="37" t="str">
        <f>IFERROR(__xludf.DUMMYFUNCTION("IFERROR(VLOOKUP(G549,IMPORTRANGE(""https://docs.google.com/spreadsheets/d/12RxCea4e5ggM7QGn1XE3FbLQa_-QbCNdBi90OdPjRqg"", ""'Plan de Compras'!D4:Q""), 13, 0), """")"),"INTERNACIONAL")</f>
        <v>INTERNACIONAL</v>
      </c>
      <c r="AB549" s="32" t="str">
        <f>IFERROR(__xludf.DUMMYFUNCTION("IFERROR(VLOOKUP(G549,IMPORTRANGE(""https://docs.google.com/spreadsheets/d/12RxCea4e5ggM7QGn1XE3FbLQa_-QbCNdBi90OdPjRqg"", ""'Plan de Compras'!D4:Q""), 14, 0), """")"),"JIMENA")</f>
        <v>JIMENA</v>
      </c>
      <c r="AC549" s="72" t="str">
        <f>IFERROR(__xludf.DUMMYFUNCTION("IFERROR(VLOOKUP(G549,IMPORTRANGE(""https://docs.google.com/spreadsheets/d/12RxCea4e5ggM7QGn1XE3FbLQa_-QbCNdBi90OdPjRqg"", ""'Plan de Compras'!D4:Q""), 4, 0), """")"),"WOK DE 30 CM (1 UND)")</f>
        <v>WOK DE 30 CM (1 UND)</v>
      </c>
      <c r="AD549" s="37" t="str">
        <f>IFERROR(__xludf.DUMMYFUNCTION("IFERROR(IF(OR(C549=TRUE,C549=""""),VLOOKUP(G549,IMPORTRANGE(""https://docs.google.com/spreadsheets/d/1z9A1Wq-kKrhRNG5RS2a2fKpY1wIhSVz2ZNmP2mOl588/edit?usp=sharing"",""REQ VF!E4:H""),4,0),""NO APLICA""),""GENERAR REQ"")"),"GENERAR REQ")</f>
        <v>GENERAR REQ</v>
      </c>
      <c r="AE549" s="32" t="str">
        <f>IFERROR(__xludf.DUMMYFUNCTION("IFERROR(QUERY(IMPORTRANGE(""https://docs.google.com/spreadsheets/d/1z9A1Wq-kKrhRNG5RS2a2fKpY1wIhSVz2ZNmP2mOl588/edit?usp=sharing"",""REQ VF!E4:Q""),""SELECT Col10, Col11, Col12 WHERE Col1 = '""&amp;G549&amp;""'"",0),""NO APLICA"")"),"NO APLICA")</f>
        <v>NO APLICA</v>
      </c>
      <c r="AF549" s="32"/>
      <c r="AG549" s="32"/>
      <c r="AH549" s="13"/>
      <c r="AI549" s="13"/>
    </row>
    <row r="550">
      <c r="A550" s="43"/>
      <c r="B550" s="43"/>
      <c r="C550" s="26" t="b">
        <v>1</v>
      </c>
      <c r="D550" s="26" t="s">
        <v>95</v>
      </c>
      <c r="E550" s="26" t="s">
        <v>1510</v>
      </c>
      <c r="F550" s="59" t="s">
        <v>3467</v>
      </c>
      <c r="G550" s="39" t="s">
        <v>3477</v>
      </c>
      <c r="H550" s="66" t="s">
        <v>3478</v>
      </c>
      <c r="I550" s="43">
        <v>4.0</v>
      </c>
      <c r="J550" s="26">
        <f>IFERROR(__xludf.DUMMYFUNCTION("VLOOKUP(G550,IMPORTRANGE(""https://docs.google.com/spreadsheets/d/12RxCea4e5ggM7QGn1XE3FbLQa_-QbCNdBi90OdPjRqg/edit?gid=1692403370#gid=1692403370"", ""'Plan de Compras'!D4:2432""), 8,0)"),4.0)</f>
        <v>4</v>
      </c>
      <c r="K550" s="26" t="str">
        <f t="shared" si="40"/>
        <v>SI</v>
      </c>
      <c r="L550" s="26"/>
      <c r="M550" s="32"/>
      <c r="N550" s="32" t="s">
        <v>3479</v>
      </c>
      <c r="O550" s="32"/>
      <c r="P550" s="32"/>
      <c r="Q550" s="33" t="s">
        <v>3480</v>
      </c>
      <c r="R550" s="32"/>
      <c r="S550" s="44" t="b">
        <v>1</v>
      </c>
      <c r="T550" s="63" t="s">
        <v>3474</v>
      </c>
      <c r="U550" s="63" t="s">
        <v>3481</v>
      </c>
      <c r="V550" s="63"/>
      <c r="W550" s="63"/>
      <c r="X550" s="63"/>
      <c r="Y550" s="130" t="s">
        <v>3476</v>
      </c>
      <c r="Z550" s="37" t="str">
        <f>IFERROR(__xludf.DUMMYFUNCTION("IFERROR(VLOOKUP(G550,IMPORTRANGE(""https://docs.google.com/spreadsheets/d/12RxCea4e5ggM7QGn1XE3FbLQa_-QbCNdBi90OdPjRqg"", ""'Plan de Compras'!D4:Q""), 12, 0), ""NO ESTÁ EN REQ"")"),"Simple")</f>
        <v>Simple</v>
      </c>
      <c r="AA550" s="37" t="str">
        <f>IFERROR(__xludf.DUMMYFUNCTION("IFERROR(VLOOKUP(G550,IMPORTRANGE(""https://docs.google.com/spreadsheets/d/12RxCea4e5ggM7QGn1XE3FbLQa_-QbCNdBi90OdPjRqg"", ""'Plan de Compras'!D4:Q""), 13, 0), """")"),"INTERNACIONAL")</f>
        <v>INTERNACIONAL</v>
      </c>
      <c r="AB550" s="32" t="str">
        <f>IFERROR(__xludf.DUMMYFUNCTION("IFERROR(VLOOKUP(G550,IMPORTRANGE(""https://docs.google.com/spreadsheets/d/12RxCea4e5ggM7QGn1XE3FbLQa_-QbCNdBi90OdPjRqg"", ""'Plan de Compras'!D4:Q""), 14, 0), """")"),"JIMENA")</f>
        <v>JIMENA</v>
      </c>
      <c r="AC550" s="72" t="str">
        <f>IFERROR(__xludf.DUMMYFUNCTION("IFERROR(VLOOKUP(G550,IMPORTRANGE(""https://docs.google.com/spreadsheets/d/12RxCea4e5ggM7QGn1XE3FbLQa_-QbCNdBi90OdPjRqg"", ""'Plan de Compras'!D4:Q""), 4, 0), """")"),"WOK DE 36 CM (1 UND)")</f>
        <v>WOK DE 36 CM (1 UND)</v>
      </c>
      <c r="AD550" s="37" t="str">
        <f>IFERROR(__xludf.DUMMYFUNCTION("IFERROR(IF(OR(C550=TRUE,C550=""""),VLOOKUP(G550,IMPORTRANGE(""https://docs.google.com/spreadsheets/d/1z9A1Wq-kKrhRNG5RS2a2fKpY1wIhSVz2ZNmP2mOl588/edit?usp=sharing"",""REQ VF!E4:H""),4,0),""NO APLICA""),""GENERAR REQ"")"),"GENERAR REQ")</f>
        <v>GENERAR REQ</v>
      </c>
      <c r="AE550" s="32" t="str">
        <f>IFERROR(__xludf.DUMMYFUNCTION("IFERROR(QUERY(IMPORTRANGE(""https://docs.google.com/spreadsheets/d/1z9A1Wq-kKrhRNG5RS2a2fKpY1wIhSVz2ZNmP2mOl588/edit?usp=sharing"",""REQ VF!E4:Q""),""SELECT Col10, Col11, Col12 WHERE Col1 = '""&amp;G550&amp;""'"",0),""NO APLICA"")"),"NO APLICA")</f>
        <v>NO APLICA</v>
      </c>
      <c r="AF550" s="32"/>
      <c r="AG550" s="32"/>
      <c r="AH550" s="13"/>
      <c r="AI550" s="13"/>
    </row>
    <row r="551">
      <c r="A551" s="43"/>
      <c r="B551" s="43"/>
      <c r="C551" s="26" t="b">
        <v>1</v>
      </c>
      <c r="D551" s="26" t="s">
        <v>95</v>
      </c>
      <c r="E551" s="26" t="s">
        <v>1510</v>
      </c>
      <c r="F551" s="59" t="s">
        <v>3467</v>
      </c>
      <c r="G551" s="39" t="s">
        <v>3482</v>
      </c>
      <c r="H551" s="66" t="s">
        <v>3483</v>
      </c>
      <c r="I551" s="43">
        <v>4.0</v>
      </c>
      <c r="J551" s="26">
        <f>IFERROR(__xludf.DUMMYFUNCTION("VLOOKUP(G551,IMPORTRANGE(""https://docs.google.com/spreadsheets/d/12RxCea4e5ggM7QGn1XE3FbLQa_-QbCNdBi90OdPjRqg/edit?gid=1692403370#gid=1692403370"", ""'Plan de Compras'!D4:2432""), 8,0)"),4.0)</f>
        <v>4</v>
      </c>
      <c r="K551" s="26" t="str">
        <f t="shared" si="40"/>
        <v>SI</v>
      </c>
      <c r="L551" s="26"/>
      <c r="M551" s="32"/>
      <c r="N551" s="32" t="s">
        <v>3484</v>
      </c>
      <c r="O551" s="32"/>
      <c r="P551" s="32"/>
      <c r="Q551" s="33" t="s">
        <v>3485</v>
      </c>
      <c r="R551" s="32"/>
      <c r="S551" s="44" t="b">
        <v>1</v>
      </c>
      <c r="T551" s="63" t="s">
        <v>3474</v>
      </c>
      <c r="U551" s="63" t="s">
        <v>3486</v>
      </c>
      <c r="V551" s="63"/>
      <c r="W551" s="63"/>
      <c r="X551" s="63"/>
      <c r="Y551" s="125" t="s">
        <v>3476</v>
      </c>
      <c r="Z551" s="37" t="str">
        <f>IFERROR(__xludf.DUMMYFUNCTION("IFERROR(VLOOKUP(G551,IMPORTRANGE(""https://docs.google.com/spreadsheets/d/12RxCea4e5ggM7QGn1XE3FbLQa_-QbCNdBi90OdPjRqg"", ""'Plan de Compras'!D4:Q""), 12, 0), ""NO ESTÁ EN REQ"")"),"Simple")</f>
        <v>Simple</v>
      </c>
      <c r="AA551" s="37" t="str">
        <f>IFERROR(__xludf.DUMMYFUNCTION("IFERROR(VLOOKUP(G551,IMPORTRANGE(""https://docs.google.com/spreadsheets/d/12RxCea4e5ggM7QGn1XE3FbLQa_-QbCNdBi90OdPjRqg"", ""'Plan de Compras'!D4:Q""), 13, 0), """")"),"INTERNACIONAL")</f>
        <v>INTERNACIONAL</v>
      </c>
      <c r="AB551" s="32" t="str">
        <f>IFERROR(__xludf.DUMMYFUNCTION("IFERROR(VLOOKUP(G551,IMPORTRANGE(""https://docs.google.com/spreadsheets/d/12RxCea4e5ggM7QGn1XE3FbLQa_-QbCNdBi90OdPjRqg"", ""'Plan de Compras'!D4:Q""), 14, 0), """")"),"JIMENA")</f>
        <v>JIMENA</v>
      </c>
      <c r="AC551" s="72" t="str">
        <f>IFERROR(__xludf.DUMMYFUNCTION("IFERROR(VLOOKUP(G551,IMPORTRANGE(""https://docs.google.com/spreadsheets/d/12RxCea4e5ggM7QGn1XE3FbLQa_-QbCNdBi90OdPjRqg"", ""'Plan de Compras'!D4:Q""), 4, 0), """")"),"WOK DE 38 CM (1 UND)")</f>
        <v>WOK DE 38 CM (1 UND)</v>
      </c>
      <c r="AD551" s="37" t="str">
        <f>IFERROR(__xludf.DUMMYFUNCTION("IFERROR(IF(OR(C551=TRUE,C551=""""),VLOOKUP(G551,IMPORTRANGE(""https://docs.google.com/spreadsheets/d/1z9A1Wq-kKrhRNG5RS2a2fKpY1wIhSVz2ZNmP2mOl588/edit?usp=sharing"",""REQ VF!E4:H""),4,0),""NO APLICA""),""GENERAR REQ"")"),"GENERAR REQ")</f>
        <v>GENERAR REQ</v>
      </c>
      <c r="AE551" s="32" t="str">
        <f>IFERROR(__xludf.DUMMYFUNCTION("IFERROR(QUERY(IMPORTRANGE(""https://docs.google.com/spreadsheets/d/1z9A1Wq-kKrhRNG5RS2a2fKpY1wIhSVz2ZNmP2mOl588/edit?usp=sharing"",""REQ VF!E4:Q""),""SELECT Col10, Col11, Col12 WHERE Col1 = '""&amp;G551&amp;""'"",0),""NO APLICA"")"),"NO APLICA")</f>
        <v>NO APLICA</v>
      </c>
      <c r="AF551" s="32"/>
      <c r="AG551" s="32"/>
      <c r="AH551" s="13"/>
      <c r="AI551" s="13"/>
    </row>
    <row r="552">
      <c r="A552" s="43"/>
      <c r="B552" s="43"/>
      <c r="C552" s="26" t="b">
        <v>1</v>
      </c>
      <c r="D552" s="26" t="s">
        <v>95</v>
      </c>
      <c r="E552" s="26" t="s">
        <v>1510</v>
      </c>
      <c r="F552" s="59" t="s">
        <v>3467</v>
      </c>
      <c r="G552" s="39" t="s">
        <v>3487</v>
      </c>
      <c r="H552" s="66" t="s">
        <v>3488</v>
      </c>
      <c r="I552" s="43">
        <v>4.0</v>
      </c>
      <c r="J552" s="26">
        <f>IFERROR(__xludf.DUMMYFUNCTION("VLOOKUP(G552,IMPORTRANGE(""https://docs.google.com/spreadsheets/d/12RxCea4e5ggM7QGn1XE3FbLQa_-QbCNdBi90OdPjRqg/edit?gid=1692403370#gid=1692403370"", ""'Plan de Compras'!D4:2432""), 8,0)"),4.0)</f>
        <v>4</v>
      </c>
      <c r="K552" s="26" t="str">
        <f t="shared" si="40"/>
        <v>SI</v>
      </c>
      <c r="L552" s="26"/>
      <c r="M552" s="32"/>
      <c r="N552" s="32" t="s">
        <v>3489</v>
      </c>
      <c r="O552" s="32"/>
      <c r="P552" s="32"/>
      <c r="Q552" s="33" t="s">
        <v>3490</v>
      </c>
      <c r="R552" s="32"/>
      <c r="S552" s="44" t="b">
        <v>1</v>
      </c>
      <c r="T552" s="63" t="s">
        <v>3474</v>
      </c>
      <c r="U552" s="63" t="s">
        <v>3491</v>
      </c>
      <c r="V552" s="63"/>
      <c r="W552" s="63"/>
      <c r="X552" s="63"/>
      <c r="Y552" s="125" t="s">
        <v>3476</v>
      </c>
      <c r="Z552" s="37" t="str">
        <f>IFERROR(__xludf.DUMMYFUNCTION("IFERROR(VLOOKUP(G552,IMPORTRANGE(""https://docs.google.com/spreadsheets/d/12RxCea4e5ggM7QGn1XE3FbLQa_-QbCNdBi90OdPjRqg"", ""'Plan de Compras'!D4:Q""), 12, 0), ""NO ESTÁ EN REQ"")"),"Simple")</f>
        <v>Simple</v>
      </c>
      <c r="AA552" s="37" t="str">
        <f>IFERROR(__xludf.DUMMYFUNCTION("IFERROR(VLOOKUP(G552,IMPORTRANGE(""https://docs.google.com/spreadsheets/d/12RxCea4e5ggM7QGn1XE3FbLQa_-QbCNdBi90OdPjRqg"", ""'Plan de Compras'!D4:Q""), 13, 0), """")"),"INTERNACIONAL")</f>
        <v>INTERNACIONAL</v>
      </c>
      <c r="AB552" s="32" t="str">
        <f>IFERROR(__xludf.DUMMYFUNCTION("IFERROR(VLOOKUP(G552,IMPORTRANGE(""https://docs.google.com/spreadsheets/d/12RxCea4e5ggM7QGn1XE3FbLQa_-QbCNdBi90OdPjRqg"", ""'Plan de Compras'!D4:Q""), 14, 0), """")"),"JIMENA")</f>
        <v>JIMENA</v>
      </c>
      <c r="AC552" s="72" t="str">
        <f>IFERROR(__xludf.DUMMYFUNCTION("IFERROR(VLOOKUP(G552,IMPORTRANGE(""https://docs.google.com/spreadsheets/d/12RxCea4e5ggM7QGn1XE3FbLQa_-QbCNdBi90OdPjRqg"", ""'Plan de Compras'!D4:Q""), 4, 0), """")"),"WOK DE 40 CM (1 UND)")</f>
        <v>WOK DE 40 CM (1 UND)</v>
      </c>
      <c r="AD552" s="37" t="str">
        <f>IFERROR(__xludf.DUMMYFUNCTION("IFERROR(IF(OR(C552=TRUE,C552=""""),VLOOKUP(G552,IMPORTRANGE(""https://docs.google.com/spreadsheets/d/1z9A1Wq-kKrhRNG5RS2a2fKpY1wIhSVz2ZNmP2mOl588/edit?usp=sharing"",""REQ VF!E4:H""),4,0),""NO APLICA""),""GENERAR REQ"")"),"GENERAR REQ")</f>
        <v>GENERAR REQ</v>
      </c>
      <c r="AE552" s="32" t="str">
        <f>IFERROR(__xludf.DUMMYFUNCTION("IFERROR(QUERY(IMPORTRANGE(""https://docs.google.com/spreadsheets/d/1z9A1Wq-kKrhRNG5RS2a2fKpY1wIhSVz2ZNmP2mOl588/edit?usp=sharing"",""REQ VF!E4:Q""),""SELECT Col10, Col11, Col12 WHERE Col1 = '""&amp;G552&amp;""'"",0),""NO APLICA"")"),"NO APLICA")</f>
        <v>NO APLICA</v>
      </c>
      <c r="AF552" s="32"/>
      <c r="AG552" s="32"/>
      <c r="AH552" s="13"/>
      <c r="AI552" s="13"/>
    </row>
    <row r="553">
      <c r="A553" s="117">
        <v>340.0</v>
      </c>
      <c r="B553" s="43" t="b">
        <v>1</v>
      </c>
      <c r="C553" s="26" t="b">
        <v>1</v>
      </c>
      <c r="D553" s="26" t="s">
        <v>35</v>
      </c>
      <c r="E553" s="26" t="s">
        <v>1510</v>
      </c>
      <c r="F553" s="59" t="s">
        <v>3492</v>
      </c>
      <c r="G553" s="37" t="s">
        <v>3492</v>
      </c>
      <c r="H553" s="82" t="s">
        <v>3493</v>
      </c>
      <c r="I553" s="43">
        <f>SUMIFS('Hoja 10'!$O:$O,'Hoja 10'!$F:$F,$G553)</f>
        <v>4</v>
      </c>
      <c r="J553" s="26">
        <f>IFERROR(__xludf.DUMMYFUNCTION("VLOOKUP(G553,IMPORTRANGE(""https://docs.google.com/spreadsheets/d/12RxCea4e5ggM7QGn1XE3FbLQa_-QbCNdBi90OdPjRqg/edit?gid=1692403370#gid=1692403370"", ""'Plan de Compras'!D4:2432""), 8,0)"),4.0)</f>
        <v>4</v>
      </c>
      <c r="K553" s="26" t="str">
        <f t="shared" si="40"/>
        <v>SI</v>
      </c>
      <c r="L553" s="29" t="s">
        <v>77</v>
      </c>
      <c r="M553" s="30" t="s">
        <v>78</v>
      </c>
      <c r="N553" s="32"/>
      <c r="O553" s="32" t="str">
        <f>VLOOKUP($G553,'Hoja 10'!$F$4:$AA1057, 19,0)</f>
        <v>CRAFTWORK</v>
      </c>
      <c r="P553" s="32" t="str">
        <f>VLOOKUP($G553,'Hoja 10'!$F$4:$AA1057, 20,0)</f>
        <v>731W138</v>
      </c>
      <c r="Q553" s="33" t="str">
        <f>VLOOKUP($G553,'Hoja 10'!$F$4:$AA1057, 21,0)</f>
        <v>https://www.ubuy.pe/sp/product/35N86BU-big-16-inch-heavy-hand-hammered-carbon-steel-pow-wok-with-wooden-and-steel-helper-handle-round-bottom-731w138-by-craft-wok?srsltid=AfmBOoqayKrTBNxklyPyB1r03BHorcVst8Yw-1qCkn139jf3Rq2YL8aD</v>
      </c>
      <c r="R553" s="30" t="s">
        <v>3494</v>
      </c>
      <c r="S553" s="34" t="b">
        <v>1</v>
      </c>
      <c r="T553" s="39" t="str">
        <f>IFERROR(__xludf.DUMMYFUNCTION(" IF
( VLOOKUP($G553,IMPORTRANGE(""https://docs.google.com/spreadsheets/d/1Gpl6jkTg7sL4VDNimUm3S9Vi1i95esohXCF3wuKOE8c"", ""'CONSOLIDADO'!G5:AB""), 10, 0) &lt;&gt; 0, 
IFERROR(VLOOKUP($G553,IMPORTRANGE(""https://docs.google.com/spreadsheets/d/1Gpl6jkTg7sL4VDNimU"&amp;"m3S9Vi1i95esohXCF3wuKOE8c"", ""'CONSOLIDADO'!G5:AB""), 17, 0), ""-""),
""""
)"),"Craft Wok")</f>
        <v>Craft Wok</v>
      </c>
      <c r="U553" s="39" t="str">
        <f>IFERROR(__xludf.DUMMYFUNCTION(" IF
( VLOOKUP($G553,IMPORTRANGE(""https://docs.google.com/spreadsheets/d/1Gpl6jkTg7sL4VDNimUm3S9Vi1i95esohXCF3wuKOE8c"", ""'CONSOLIDADO'!G5:AB""), 10, 0) &lt;&gt; 0, 
IFERROR(VLOOKUP($G553,IMPORTRANGE(""https://docs.google.com/spreadsheets/d/1Gpl6jkTg7sL4VDNimU"&amp;"m3S9Vi1i95esohXCF3wuKOE8c"", ""'CONSOLIDADO'!G5:AB""), 18, 0), ""-""),
""""
)"),"731W88 wok de acero al carbono")</f>
        <v>731W88 wok de acero al carbono</v>
      </c>
      <c r="V553" s="39" t="str">
        <f>IFERROR(__xludf.DUMMYFUNCTION(" IF
( VLOOKUP($G553,IMPORTRANGE(""https://docs.google.com/spreadsheets/d/1Gpl6jkTg7sL4VDNimUm3S9Vi1i95esohXCF3wuKOE8c"", ""'CONSOLIDADO'!G5:AB""), 10, 0) &lt;&gt; 0, 
IFERROR(VLOOKUP($G553,IMPORTRANGE(""https://docs.google.com/spreadsheets/d/1Gpl6jkTg7sL4VDNimU"&amp;"m3S9Vi1i95esohXCF3wuKOE8c"", ""'CONSOLIDADO'!G5:AB""), 17, 0), ""-""),
""""
)"),"Craft Wok")</f>
        <v>Craft Wok</v>
      </c>
      <c r="W553" s="39" t="str">
        <f>IFERROR(__xludf.DUMMYFUNCTION(" IF
( VLOOKUP($G553,IMPORTRANGE(""https://docs.google.com/spreadsheets/d/1Gpl6jkTg7sL4VDNimUm3S9Vi1i95esohXCF3wuKOE8c"", ""'CONSOLIDADO'!G5:AB""), 10, 0) &lt;&gt; 0, 
IFERROR(VLOOKUP($G553,IMPORTRANGE(""https://docs.google.com/spreadsheets/d/1Gpl6jkTg7sL4VDNimU"&amp;"m3S9Vi1i95esohXCF3wuKOE8c"", ""'CONSOLIDADO'!G5:AB""), 18, 0), ""-""),
""""
)"),"731W88 wok de acero al carbono")</f>
        <v>731W88 wok de acero al carbono</v>
      </c>
      <c r="X553" s="39" t="b">
        <f t="shared" ref="X553:X555" si="59">IF(AND(T553=V553,W553=U553),TRUE,FALSE)</f>
        <v>1</v>
      </c>
      <c r="Y553" s="120" t="str">
        <f>IFERROR(__xludf.DUMMYFUNCTION(" IF
( VLOOKUP($G553,IMPORTRANGE(""https://docs.google.com/spreadsheets/d/1Gpl6jkTg7sL4VDNimUm3S9Vi1i95esohXCF3wuKOE8c"", ""'CONSOLIDADO'!G5:AB""), 10, 0) &lt;&gt; 0, 
IFERROR(VLOOKUP($G553,IMPORTRANGE(""https://docs.google.com/spreadsheets/d/1Gpl6jkTg7sL4VDNimU"&amp;"m3S9Vi1i95esohXCF3wuKOE8c"", ""'CONSOLIDADO'!G5:AB""), 19, 0), ""-""),
""""
)"),"https://www.amazon.com/craftwok?maas=maas_adg_F44B0A8826781C6DA6A8A109F31A53E")</f>
        <v>https://www.amazon.com/craftwok?maas=maas_adg_F44B0A8826781C6DA6A8A109F31A53E</v>
      </c>
      <c r="Z553" s="37" t="str">
        <f>IFERROR(__xludf.DUMMYFUNCTION("IFERROR(VLOOKUP(G553,IMPORTRANGE(""https://docs.google.com/spreadsheets/d/12RxCea4e5ggM7QGn1XE3FbLQa_-QbCNdBi90OdPjRqg"", ""'Plan de Compras'!D4:Q""), 12, 0), ""NO ESTÁ EN REQ"")"),"Técnica")</f>
        <v>Técnica</v>
      </c>
      <c r="AA553" s="37" t="str">
        <f>IFERROR(__xludf.DUMMYFUNCTION("IFERROR(VLOOKUP(G553,IMPORTRANGE(""https://docs.google.com/spreadsheets/d/12RxCea4e5ggM7QGn1XE3FbLQa_-QbCNdBi90OdPjRqg"", ""'Plan de Compras'!D4:Q""), 13, 0), """")"),"INTERNACIONAL")</f>
        <v>INTERNACIONAL</v>
      </c>
      <c r="AB553" s="32" t="str">
        <f>IFERROR(__xludf.DUMMYFUNCTION("IFERROR(VLOOKUP(G553,IMPORTRANGE(""https://docs.google.com/spreadsheets/d/12RxCea4e5ggM7QGn1XE3FbLQa_-QbCNdBi90OdPjRqg"", ""'Plan de Compras'!D4:Q""), 14, 0), """")"),"ALEJANDRA")</f>
        <v>ALEJANDRA</v>
      </c>
      <c r="AC553" s="72" t="str">
        <f>IFERROR(__xludf.DUMMYFUNCTION("IFERROR(VLOOKUP(G553,IMPORTRANGE(""https://docs.google.com/spreadsheets/d/12RxCea4e5ggM7QGn1XE3FbLQa_-QbCNdBi90OdPjRqg"", ""'Plan de Compras'!D4:Q""), 4, 0), """")"),"WOK MANGO LARGO")</f>
        <v>WOK MANGO LARGO</v>
      </c>
      <c r="AD553" s="37" t="str">
        <f>IFERROR(__xludf.DUMMYFUNCTION("IFERROR(IF(OR(C553=TRUE,C553=""""),VLOOKUP(G553,IMPORTRANGE(""https://docs.google.com/spreadsheets/d/1z9A1Wq-kKrhRNG5RS2a2fKpY1wIhSVz2ZNmP2mOl588/edit?usp=sharing"",""REQ VF!E4:H""),4,0),""NO APLICA""),""GENERAR REQ"")"),"GENERAR REQ")</f>
        <v>GENERAR REQ</v>
      </c>
      <c r="AE553" s="32" t="str">
        <f>IFERROR(__xludf.DUMMYFUNCTION("IFERROR(QUERY(IMPORTRANGE(""https://docs.google.com/spreadsheets/d/1z9A1Wq-kKrhRNG5RS2a2fKpY1wIhSVz2ZNmP2mOl588/edit?usp=sharing"",""REQ VF!E4:Q""),""SELECT Col10, Col11, Col12 WHERE Col1 = '""&amp;G553&amp;""'"",0),""NO APLICA"")"),"NO APLICA")</f>
        <v>NO APLICA</v>
      </c>
      <c r="AF553" s="32"/>
      <c r="AG553" s="32"/>
      <c r="AH553" s="13"/>
      <c r="AI553" s="13"/>
    </row>
    <row r="554">
      <c r="A554" s="117">
        <v>341.0</v>
      </c>
      <c r="B554" s="43" t="b">
        <v>1</v>
      </c>
      <c r="C554" s="26" t="b">
        <v>1</v>
      </c>
      <c r="D554" s="26" t="s">
        <v>35</v>
      </c>
      <c r="E554" s="26" t="s">
        <v>1510</v>
      </c>
      <c r="F554" s="59" t="s">
        <v>3495</v>
      </c>
      <c r="G554" s="37" t="s">
        <v>3495</v>
      </c>
      <c r="H554" s="82" t="s">
        <v>3496</v>
      </c>
      <c r="I554" s="43">
        <f>SUMIFS('Hoja 10'!$O:$O,'Hoja 10'!$F:$F,$G554)</f>
        <v>4</v>
      </c>
      <c r="J554" s="26">
        <f>IFERROR(__xludf.DUMMYFUNCTION("VLOOKUP(G554,IMPORTRANGE(""https://docs.google.com/spreadsheets/d/12RxCea4e5ggM7QGn1XE3FbLQa_-QbCNdBi90OdPjRqg/edit?gid=1692403370#gid=1692403370"", ""'Plan de Compras'!D4:2432""), 8,0)"),4.0)</f>
        <v>4</v>
      </c>
      <c r="K554" s="26" t="str">
        <f t="shared" si="40"/>
        <v>SI</v>
      </c>
      <c r="L554" s="29" t="s">
        <v>77</v>
      </c>
      <c r="M554" s="30" t="s">
        <v>78</v>
      </c>
      <c r="N554" s="32"/>
      <c r="O554" s="32" t="str">
        <f>VLOOKUP($G554,'Hoja 10'!$F$4:$AA1057, 19,0)</f>
        <v>Tramontina</v>
      </c>
      <c r="P554" s="32">
        <f>VLOOKUP($G554,'Hoja 10'!$F$4:$AA1057, 20,0)</f>
        <v>10145670</v>
      </c>
      <c r="Q554" s="33" t="str">
        <f>VLOOKUP($G554,'Hoja 10'!$F$4:$AA1057, 21,0)</f>
        <v>https://www.uysa.com.pe/sarten-wok-c-tapa-28cm--3-30-lt-solar-silicone-62138-280-tramontina-10145670/p?srsltid=AfmBOoqmirPPYW8rGfYVxde_c6XOJKsSRK--1TDczVzcaottJnL7APQg</v>
      </c>
      <c r="R554" s="30" t="s">
        <v>3497</v>
      </c>
      <c r="S554" s="34" t="b">
        <v>1</v>
      </c>
      <c r="T554" s="39" t="s">
        <v>3311</v>
      </c>
      <c r="U554" s="39" t="s">
        <v>3498</v>
      </c>
      <c r="V554" s="39" t="str">
        <f>IFERROR(__xludf.DUMMYFUNCTION(" IF
( VLOOKUP($G554,IMPORTRANGE(""https://docs.google.com/spreadsheets/d/1Gpl6jkTg7sL4VDNimUm3S9Vi1i95esohXCF3wuKOE8c"", ""'CONSOLIDADO'!G5:AB""), 10, 0) &lt;&gt; 0, 
IFERROR(VLOOKUP($G554,IMPORTRANGE(""https://docs.google.com/spreadsheets/d/1Gpl6jkTg7sL4VDNimU"&amp;"m3S9Vi1i95esohXCF3wuKOE8c"", ""'CONSOLIDADO'!G5:AB""), 17, 0), ""-""),
""""
)"),"GASPAR’S")</f>
        <v>GASPAR’S</v>
      </c>
      <c r="W554" s="39" t="str">
        <f>IFERROR(__xludf.DUMMYFUNCTION(" IF
( VLOOKUP($G554,IMPORTRANGE(""https://docs.google.com/spreadsheets/d/1Gpl6jkTg7sL4VDNimUm3S9Vi1i95esohXCF3wuKOE8c"", ""'CONSOLIDADO'!G5:AB""), 10, 0) &lt;&gt; 0, 
IFERROR(VLOOKUP($G554,IMPORTRANGE(""https://docs.google.com/spreadsheets/d/1Gpl6jkTg7sL4VDNimU"&amp;"m3S9Vi1i95esohXCF3wuKOE8c"", ""'CONSOLIDADO'!G5:AB""), 18, 0), ""-""),
""""
)"),"WOK  acero #430 Tapa Vidrio")</f>
        <v>WOK  acero #430 Tapa Vidrio</v>
      </c>
      <c r="X554" s="39" t="b">
        <f t="shared" si="59"/>
        <v>1</v>
      </c>
      <c r="Y554" s="120" t="s">
        <v>3499</v>
      </c>
      <c r="Z554" s="37" t="str">
        <f>IFERROR(__xludf.DUMMYFUNCTION("IFERROR(VLOOKUP(G554,IMPORTRANGE(""https://docs.google.com/spreadsheets/d/12RxCea4e5ggM7QGn1XE3FbLQa_-QbCNdBi90OdPjRqg"", ""'Plan de Compras'!D4:Q""), 12, 0), ""NO ESTÁ EN REQ"")"),"Simple")</f>
        <v>Simple</v>
      </c>
      <c r="AA554" s="37" t="str">
        <f>IFERROR(__xludf.DUMMYFUNCTION("IFERROR(VLOOKUP(G554,IMPORTRANGE(""https://docs.google.com/spreadsheets/d/12RxCea4e5ggM7QGn1XE3FbLQa_-QbCNdBi90OdPjRqg"", ""'Plan de Compras'!D4:Q""), 13, 0), """")"),"NACIONAL")</f>
        <v>NACIONAL</v>
      </c>
      <c r="AB554" s="32" t="str">
        <f>IFERROR(__xludf.DUMMYFUNCTION("IFERROR(VLOOKUP(G554,IMPORTRANGE(""https://docs.google.com/spreadsheets/d/12RxCea4e5ggM7QGn1XE3FbLQa_-QbCNdBi90OdPjRqg"", ""'Plan de Compras'!D4:Q""), 14, 0), """")"),"JESSICA")</f>
        <v>JESSICA</v>
      </c>
      <c r="AC554" s="72" t="str">
        <f>IFERROR(__xludf.DUMMYFUNCTION("IFERROR(VLOOKUP(G554,IMPORTRANGE(""https://docs.google.com/spreadsheets/d/12RxCea4e5ggM7QGn1XE3FbLQa_-QbCNdBi90OdPjRqg"", ""'Plan de Compras'!D4:Q""), 4, 0), """")"),"WOK MANGO LARGO CON TAPA")</f>
        <v>WOK MANGO LARGO CON TAPA</v>
      </c>
      <c r="AD554" s="37" t="str">
        <f>IFERROR(__xludf.DUMMYFUNCTION("IFERROR(IF(OR(C554=TRUE,C554=""""),VLOOKUP(G554,IMPORTRANGE(""https://docs.google.com/spreadsheets/d/1z9A1Wq-kKrhRNG5RS2a2fKpY1wIhSVz2ZNmP2mOl588/edit?usp=sharing"",""REQ VF!E4:H""),4,0),""NO APLICA""),""GENERAR REQ"")"),"GENERAR REQ")</f>
        <v>GENERAR REQ</v>
      </c>
      <c r="AE554" s="32" t="str">
        <f>IFERROR(__xludf.DUMMYFUNCTION("IFERROR(QUERY(IMPORTRANGE(""https://docs.google.com/spreadsheets/d/1z9A1Wq-kKrhRNG5RS2a2fKpY1wIhSVz2ZNmP2mOl588/edit?usp=sharing"",""REQ VF!E4:Q""),""SELECT Col10, Col11, Col12 WHERE Col1 = '""&amp;G554&amp;""'"",0),""NO APLICA"")"),"NO APLICA")</f>
        <v>NO APLICA</v>
      </c>
      <c r="AF554" s="32"/>
      <c r="AG554" s="32"/>
      <c r="AH554" s="13"/>
      <c r="AI554" s="13"/>
    </row>
    <row r="555">
      <c r="A555" s="121">
        <v>342.0</v>
      </c>
      <c r="B555" s="43" t="b">
        <v>1</v>
      </c>
      <c r="C555" s="26" t="b">
        <v>1</v>
      </c>
      <c r="D555" s="26" t="s">
        <v>35</v>
      </c>
      <c r="E555" s="26" t="s">
        <v>1510</v>
      </c>
      <c r="F555" s="59" t="s">
        <v>3500</v>
      </c>
      <c r="G555" s="37" t="s">
        <v>3500</v>
      </c>
      <c r="H555" s="82" t="s">
        <v>3501</v>
      </c>
      <c r="I555" s="43">
        <f>SUMIFS('Hoja 10'!$O:$O,'Hoja 10'!$F:$F,$G555)</f>
        <v>4</v>
      </c>
      <c r="J555" s="26">
        <f>IFERROR(__xludf.DUMMYFUNCTION("VLOOKUP(G555,IMPORTRANGE(""https://docs.google.com/spreadsheets/d/12RxCea4e5ggM7QGn1XE3FbLQa_-QbCNdBi90OdPjRqg/edit?gid=1692403370#gid=1692403370"", ""'Plan de Compras'!D4:2432""), 8,0)"),4.0)</f>
        <v>4</v>
      </c>
      <c r="K555" s="26" t="str">
        <f t="shared" si="40"/>
        <v>SI</v>
      </c>
      <c r="L555" s="29" t="s">
        <v>77</v>
      </c>
      <c r="M555" s="30" t="s">
        <v>78</v>
      </c>
      <c r="N555" s="32"/>
      <c r="O555" s="32" t="str">
        <f>VLOOKUP($G555,'Hoja 10'!$F$4:$AA1057, 19,0)</f>
        <v>MTA</v>
      </c>
      <c r="P555" s="32">
        <f>VLOOKUP($G555,'Hoja 10'!$F$4:$AA1057, 20,0)</f>
        <v>8343</v>
      </c>
      <c r="Q555" s="33" t="str">
        <f>VLOOKUP($G555,'Hoja 10'!$F$4:$AA1057, 21,0)</f>
        <v>https://www.tiendamta.com.ar/paellera-disco-hierro-fundido-36-cm-con-tapa-de-vidrio-mta/up/MLAU226988592</v>
      </c>
      <c r="R555" s="30" t="s">
        <v>3502</v>
      </c>
      <c r="S555" s="34" t="b">
        <v>1</v>
      </c>
      <c r="T555" s="39" t="str">
        <f>IFERROR(__xludf.DUMMYFUNCTION(" IF
( VLOOKUP($G555,IMPORTRANGE(""https://docs.google.com/spreadsheets/d/1Gpl6jkTg7sL4VDNimUm3S9Vi1i95esohXCF3wuKOE8c"", ""'CONSOLIDADO'!G5:AB""), 10, 0) &lt;&gt; 0, 
IFERROR(VLOOKUP($G555,IMPORTRANGE(""https://docs.google.com/spreadsheets/d/1Gpl6jkTg7sL4VDNimU"&amp;"m3S9Vi1i95esohXCF3wuKOE8c"", ""'CONSOLIDADO'!G5:AB""), 17, 0), ""-""),
""""
)"),"KELA")</f>
        <v>KELA</v>
      </c>
      <c r="U555" s="39" t="str">
        <f>IFERROR(__xludf.DUMMYFUNCTION(" IF
( VLOOKUP($G555,IMPORTRANGE(""https://docs.google.com/spreadsheets/d/1Gpl6jkTg7sL4VDNimUm3S9Vi1i95esohXCF3wuKOE8c"", ""'CONSOLIDADO'!G5:AB""), 10, 0) &lt;&gt; 0, 
IFERROR(VLOOKUP($G555,IMPORTRANGE(""https://docs.google.com/spreadsheets/d/1Gpl6jkTg7sL4VDNimU"&amp;"m3S9Vi1i95esohXCF3wuKOE8c"", ""'CONSOLIDADO'!G5:AB""), 18, 0), ""-""),
""""
)"),"Wok de hierro fundido con tapa de 36 cm ASIA")</f>
        <v>Wok de hierro fundido con tapa de 36 cm ASIA</v>
      </c>
      <c r="V555" s="39" t="str">
        <f>IFERROR(__xludf.DUMMYFUNCTION(" IF
( VLOOKUP($G555,IMPORTRANGE(""https://docs.google.com/spreadsheets/d/1Gpl6jkTg7sL4VDNimUm3S9Vi1i95esohXCF3wuKOE8c"", ""'CONSOLIDADO'!G5:AB""), 10, 0) &lt;&gt; 0, 
IFERROR(VLOOKUP($G555,IMPORTRANGE(""https://docs.google.com/spreadsheets/d/1Gpl6jkTg7sL4VDNimU"&amp;"m3S9Vi1i95esohXCF3wuKOE8c"", ""'CONSOLIDADO'!G5:AB""), 17, 0), ""-""),
""""
)"),"KELA")</f>
        <v>KELA</v>
      </c>
      <c r="W555" s="39" t="str">
        <f>IFERROR(__xludf.DUMMYFUNCTION(" IF
( VLOOKUP($G555,IMPORTRANGE(""https://docs.google.com/spreadsheets/d/1Gpl6jkTg7sL4VDNimUm3S9Vi1i95esohXCF3wuKOE8c"", ""'CONSOLIDADO'!G5:AB""), 10, 0) &lt;&gt; 0, 
IFERROR(VLOOKUP($G555,IMPORTRANGE(""https://docs.google.com/spreadsheets/d/1Gpl6jkTg7sL4VDNimU"&amp;"m3S9Vi1i95esohXCF3wuKOE8c"", ""'CONSOLIDADO'!G5:AB""), 18, 0), ""-""),
""""
)"),"Wok de hierro fundido con tapa de 36 cm ASIA")</f>
        <v>Wok de hierro fundido con tapa de 36 cm ASIA</v>
      </c>
      <c r="X555" s="39" t="b">
        <f t="shared" si="59"/>
        <v>1</v>
      </c>
      <c r="Y555" s="120" t="str">
        <f>IFERROR(__xludf.DUMMYFUNCTION(" IF
( VLOOKUP($G555,IMPORTRANGE(""https://docs.google.com/spreadsheets/d/1Gpl6jkTg7sL4VDNimUm3S9Vi1i95esohXCF3wuKOE8c"", ""'CONSOLIDADO'!G5:AB""), 10, 0) &lt;&gt; 0, 
IFERROR(VLOOKUP($G555,IMPORTRANGE(""https://docs.google.com/spreadsheets/d/1Gpl6jkTg7sL4VDNimU"&amp;"m3S9Vi1i95esohXCF3wuKOE8c"", ""'CONSOLIDADO'!G5:AB""), 19, 0), ""-""),
""""
)"),"https://www.amazon.es/gp/product/B00008WV9S/ref=ox_sc_act_title_1?smid=A1AT7YVPFBW")</f>
        <v>https://www.amazon.es/gp/product/B00008WV9S/ref=ox_sc_act_title_1?smid=A1AT7YVPFBW</v>
      </c>
      <c r="Z555" s="37" t="str">
        <f>IFERROR(__xludf.DUMMYFUNCTION("IFERROR(VLOOKUP(G555,IMPORTRANGE(""https://docs.google.com/spreadsheets/d/12RxCea4e5ggM7QGn1XE3FbLQa_-QbCNdBi90OdPjRqg"", ""'Plan de Compras'!D4:Q""), 12, 0), ""NO ESTÁ EN REQ"")"),"Técnica")</f>
        <v>Técnica</v>
      </c>
      <c r="AA555" s="37" t="str">
        <f>IFERROR(__xludf.DUMMYFUNCTION("IFERROR(VLOOKUP(G555,IMPORTRANGE(""https://docs.google.com/spreadsheets/d/12RxCea4e5ggM7QGn1XE3FbLQa_-QbCNdBi90OdPjRqg"", ""'Plan de Compras'!D4:Q""), 13, 0), """")"),"INTERNACIONAL")</f>
        <v>INTERNACIONAL</v>
      </c>
      <c r="AB555" s="32" t="str">
        <f>IFERROR(__xludf.DUMMYFUNCTION("IFERROR(VLOOKUP(G555,IMPORTRANGE(""https://docs.google.com/spreadsheets/d/12RxCea4e5ggM7QGn1XE3FbLQa_-QbCNdBi90OdPjRqg"", ""'Plan de Compras'!D4:Q""), 14, 0), """")"),"ALEJANDRA")</f>
        <v>ALEJANDRA</v>
      </c>
      <c r="AC555" s="72" t="str">
        <f>IFERROR(__xludf.DUMMYFUNCTION("IFERROR(VLOOKUP(G555,IMPORTRANGE(""https://docs.google.com/spreadsheets/d/12RxCea4e5ggM7QGn1XE3FbLQa_-QbCNdBi90OdPjRqg"", ""'Plan de Compras'!D4:Q""), 4, 0), """")"),"WOK SARTEN PAELLERA")</f>
        <v>WOK SARTEN PAELLERA</v>
      </c>
      <c r="AD555" s="37" t="str">
        <f>IFERROR(__xludf.DUMMYFUNCTION("IFERROR(IF(OR(C555=TRUE,C555=""""),VLOOKUP(G555,IMPORTRANGE(""https://docs.google.com/spreadsheets/d/1z9A1Wq-kKrhRNG5RS2a2fKpY1wIhSVz2ZNmP2mOl588/edit?usp=sharing"",""REQ VF!E4:H""),4,0),""NO APLICA""),""GENERAR REQ"")"),"GENERAR REQ")</f>
        <v>GENERAR REQ</v>
      </c>
      <c r="AE555" s="32" t="str">
        <f>IFERROR(__xludf.DUMMYFUNCTION("IFERROR(QUERY(IMPORTRANGE(""https://docs.google.com/spreadsheets/d/1z9A1Wq-kKrhRNG5RS2a2fKpY1wIhSVz2ZNmP2mOl588/edit?usp=sharing"",""REQ VF!E4:Q""),""SELECT Col10, Col11, Col12 WHERE Col1 = '""&amp;G555&amp;""'"",0),""NO APLICA"")"),"NO APLICA")</f>
        <v>NO APLICA</v>
      </c>
      <c r="AF555" s="32"/>
      <c r="AG555" s="32"/>
      <c r="AH555" s="13"/>
      <c r="AI555" s="13"/>
    </row>
    <row r="556">
      <c r="A556" s="43"/>
      <c r="B556" s="43"/>
      <c r="C556" s="26" t="b">
        <v>1</v>
      </c>
      <c r="D556" s="26" t="s">
        <v>42</v>
      </c>
      <c r="E556" s="26" t="s">
        <v>1510</v>
      </c>
      <c r="F556" s="59" t="s">
        <v>3500</v>
      </c>
      <c r="G556" s="63" t="s">
        <v>3503</v>
      </c>
      <c r="H556" s="64" t="s">
        <v>3504</v>
      </c>
      <c r="I556" s="65">
        <v>4.0</v>
      </c>
      <c r="J556" s="26" t="str">
        <f>IFERROR(__xludf.DUMMYFUNCTION("VLOOKUP(G556,IMPORTRANGE(""https://docs.google.com/spreadsheets/d/12RxCea4e5ggM7QGn1XE3FbLQa_-QbCNdBi90OdPjRqg/edit?gid=1692403370#gid=1692403370"", ""'Plan de Compras'!D4:2432""), 8,0)"),"#N/A")</f>
        <v>#N/A</v>
      </c>
      <c r="K556" s="26" t="str">
        <f t="shared" si="40"/>
        <v>#N/A</v>
      </c>
      <c r="L556" s="29"/>
      <c r="M556" s="61"/>
      <c r="N556" s="32"/>
      <c r="O556" s="32"/>
      <c r="P556" s="32"/>
      <c r="Q556" s="41"/>
      <c r="R556" s="61"/>
      <c r="S556" s="34" t="b">
        <v>1</v>
      </c>
      <c r="T556" s="39" t="s">
        <v>3311</v>
      </c>
      <c r="U556" s="39" t="s">
        <v>3498</v>
      </c>
      <c r="V556" s="39"/>
      <c r="W556" s="39"/>
      <c r="X556" s="39"/>
      <c r="Y556" s="120" t="s">
        <v>3505</v>
      </c>
      <c r="Z556" s="37" t="str">
        <f>IFERROR(__xludf.DUMMYFUNCTION("IFERROR(VLOOKUP(G556,IMPORTRANGE(""https://docs.google.com/spreadsheets/d/12RxCea4e5ggM7QGn1XE3FbLQa_-QbCNdBi90OdPjRqg"", ""'Plan de Compras'!D4:Q""), 12, 0), ""NO ESTÁ EN REQ"")"),"NO ESTÁ EN REQ")</f>
        <v>NO ESTÁ EN REQ</v>
      </c>
      <c r="AA556" s="37" t="str">
        <f>IFERROR(__xludf.DUMMYFUNCTION("IFERROR(VLOOKUP(G556,IMPORTRANGE(""https://docs.google.com/spreadsheets/d/12RxCea4e5ggM7QGn1XE3FbLQa_-QbCNdBi90OdPjRqg"", ""'Plan de Compras'!D4:Q""), 13, 0), """")"),"")</f>
        <v/>
      </c>
      <c r="AB556" s="32" t="str">
        <f>IFERROR(__xludf.DUMMYFUNCTION("IFERROR(VLOOKUP(G556,IMPORTRANGE(""https://docs.google.com/spreadsheets/d/12RxCea4e5ggM7QGn1XE3FbLQa_-QbCNdBi90OdPjRqg"", ""'Plan de Compras'!D4:Q""), 14, 0), """")"),"")</f>
        <v/>
      </c>
      <c r="AC556" s="72" t="str">
        <f>IFERROR(__xludf.DUMMYFUNCTION("IFERROR(VLOOKUP(G556,IMPORTRANGE(""https://docs.google.com/spreadsheets/d/12RxCea4e5ggM7QGn1XE3FbLQa_-QbCNdBi90OdPjRqg"", ""'Plan de Compras'!D4:Q""), 4, 0), """")"),"")</f>
        <v/>
      </c>
      <c r="AD556" s="37" t="str">
        <f>IFERROR(__xludf.DUMMYFUNCTION("IFERROR(IF(OR(C556=TRUE,C556=""""),VLOOKUP(G556,IMPORTRANGE(""https://docs.google.com/spreadsheets/d/1z9A1Wq-kKrhRNG5RS2a2fKpY1wIhSVz2ZNmP2mOl588/edit?usp=sharing"",""REQ VF!E4:H""),4,0),""NO APLICA""),""GENERAR REQ"")"),"GENERAR REQ")</f>
        <v>GENERAR REQ</v>
      </c>
      <c r="AE556" s="32" t="str">
        <f>IFERROR(__xludf.DUMMYFUNCTION("IFERROR(QUERY(IMPORTRANGE(""https://docs.google.com/spreadsheets/d/1z9A1Wq-kKrhRNG5RS2a2fKpY1wIhSVz2ZNmP2mOl588/edit?usp=sharing"",""REQ VF!E4:Q""),""SELECT Col10, Col11, Col12 WHERE Col1 = '""&amp;G556&amp;""'"",0),""NO APLICA"")"),"NO APLICA")</f>
        <v>NO APLICA</v>
      </c>
      <c r="AF556" s="32"/>
      <c r="AG556" s="32"/>
      <c r="AH556" s="13"/>
      <c r="AI556" s="13"/>
    </row>
    <row r="557">
      <c r="A557" s="160"/>
      <c r="B557" s="160"/>
      <c r="C557" s="161" t="b">
        <v>0</v>
      </c>
      <c r="D557" s="161"/>
      <c r="E557" s="161"/>
      <c r="F557" s="162"/>
      <c r="G557" s="163"/>
      <c r="H557" s="164"/>
      <c r="I557" s="165"/>
      <c r="J557" s="161"/>
      <c r="K557" s="161"/>
      <c r="L557" s="166"/>
      <c r="M557" s="167"/>
      <c r="N557" s="168"/>
      <c r="O557" s="168"/>
      <c r="P557" s="168"/>
      <c r="Q557" s="169"/>
      <c r="R557" s="167"/>
      <c r="S557" s="142" t="b">
        <v>0</v>
      </c>
      <c r="T557" s="170"/>
      <c r="U557" s="170"/>
      <c r="V557" s="170"/>
      <c r="W557" s="170"/>
      <c r="X557" s="170"/>
      <c r="Y557" s="171"/>
      <c r="Z557" s="71"/>
      <c r="AA557" s="71"/>
      <c r="AB557" s="168"/>
      <c r="AC557" s="172"/>
      <c r="AD557" s="71"/>
      <c r="AE557" s="168"/>
      <c r="AF557" s="168"/>
      <c r="AG557" s="168"/>
      <c r="AH557" s="13"/>
      <c r="AI557" s="13"/>
    </row>
    <row r="558">
      <c r="A558" s="160"/>
      <c r="B558" s="160"/>
      <c r="C558" s="161" t="b">
        <v>0</v>
      </c>
      <c r="D558" s="161"/>
      <c r="E558" s="161"/>
      <c r="F558" s="162"/>
      <c r="G558" s="163"/>
      <c r="H558" s="164"/>
      <c r="I558" s="165"/>
      <c r="J558" s="161"/>
      <c r="K558" s="161"/>
      <c r="L558" s="166"/>
      <c r="M558" s="167"/>
      <c r="N558" s="168"/>
      <c r="O558" s="168"/>
      <c r="P558" s="168"/>
      <c r="Q558" s="169"/>
      <c r="R558" s="167"/>
      <c r="S558" s="142" t="b">
        <v>0</v>
      </c>
      <c r="T558" s="170"/>
      <c r="U558" s="170"/>
      <c r="V558" s="170"/>
      <c r="W558" s="170"/>
      <c r="X558" s="170"/>
      <c r="Y558" s="171"/>
      <c r="Z558" s="71"/>
      <c r="AA558" s="71"/>
      <c r="AB558" s="168"/>
      <c r="AC558" s="172"/>
      <c r="AD558" s="71"/>
      <c r="AE558" s="168"/>
      <c r="AF558" s="168"/>
      <c r="AG558" s="168"/>
      <c r="AH558" s="13"/>
      <c r="AI558" s="13"/>
    </row>
    <row r="559">
      <c r="A559" s="160"/>
      <c r="B559" s="160"/>
      <c r="C559" s="161" t="b">
        <v>0</v>
      </c>
      <c r="D559" s="161"/>
      <c r="E559" s="161"/>
      <c r="F559" s="162"/>
      <c r="G559" s="163"/>
      <c r="H559" s="164"/>
      <c r="I559" s="165"/>
      <c r="J559" s="161"/>
      <c r="K559" s="161"/>
      <c r="L559" s="166"/>
      <c r="M559" s="167"/>
      <c r="N559" s="168"/>
      <c r="O559" s="168"/>
      <c r="P559" s="168"/>
      <c r="Q559" s="169"/>
      <c r="R559" s="167"/>
      <c r="S559" s="142" t="b">
        <v>0</v>
      </c>
      <c r="T559" s="170"/>
      <c r="U559" s="170"/>
      <c r="V559" s="170"/>
      <c r="W559" s="170"/>
      <c r="X559" s="170"/>
      <c r="Y559" s="171"/>
      <c r="Z559" s="71"/>
      <c r="AA559" s="71"/>
      <c r="AB559" s="168"/>
      <c r="AC559" s="172"/>
      <c r="AD559" s="71"/>
      <c r="AE559" s="168"/>
      <c r="AF559" s="168"/>
      <c r="AG559" s="168"/>
      <c r="AH559" s="13"/>
      <c r="AI559" s="13"/>
    </row>
    <row r="560">
      <c r="A560" s="160"/>
      <c r="B560" s="160"/>
      <c r="C560" s="161" t="b">
        <v>0</v>
      </c>
      <c r="D560" s="161"/>
      <c r="E560" s="161"/>
      <c r="F560" s="162"/>
      <c r="G560" s="163"/>
      <c r="H560" s="164"/>
      <c r="I560" s="165"/>
      <c r="J560" s="161"/>
      <c r="K560" s="161"/>
      <c r="L560" s="166"/>
      <c r="M560" s="167"/>
      <c r="N560" s="168"/>
      <c r="O560" s="168"/>
      <c r="P560" s="168"/>
      <c r="Q560" s="169"/>
      <c r="R560" s="167"/>
      <c r="S560" s="142" t="b">
        <v>0</v>
      </c>
      <c r="T560" s="170"/>
      <c r="U560" s="170"/>
      <c r="V560" s="170"/>
      <c r="W560" s="170"/>
      <c r="X560" s="170"/>
      <c r="Y560" s="171"/>
      <c r="Z560" s="71"/>
      <c r="AA560" s="71"/>
      <c r="AB560" s="168"/>
      <c r="AC560" s="172"/>
      <c r="AD560" s="71"/>
      <c r="AE560" s="168"/>
      <c r="AF560" s="168"/>
      <c r="AG560" s="168"/>
      <c r="AH560" s="13"/>
      <c r="AI560" s="13"/>
    </row>
    <row r="561">
      <c r="A561" s="160"/>
      <c r="B561" s="160"/>
      <c r="C561" s="161" t="b">
        <v>0</v>
      </c>
      <c r="D561" s="161"/>
      <c r="E561" s="161"/>
      <c r="F561" s="162"/>
      <c r="G561" s="163"/>
      <c r="H561" s="164"/>
      <c r="I561" s="165"/>
      <c r="J561" s="161"/>
      <c r="K561" s="161"/>
      <c r="L561" s="166"/>
      <c r="M561" s="167"/>
      <c r="N561" s="168"/>
      <c r="O561" s="168"/>
      <c r="P561" s="168"/>
      <c r="Q561" s="169"/>
      <c r="R561" s="167"/>
      <c r="S561" s="142" t="b">
        <v>0</v>
      </c>
      <c r="T561" s="170"/>
      <c r="U561" s="170"/>
      <c r="V561" s="170"/>
      <c r="W561" s="170"/>
      <c r="X561" s="170"/>
      <c r="Y561" s="171"/>
      <c r="Z561" s="71"/>
      <c r="AA561" s="71"/>
      <c r="AB561" s="168"/>
      <c r="AC561" s="172"/>
      <c r="AD561" s="71"/>
      <c r="AE561" s="168"/>
      <c r="AF561" s="168"/>
      <c r="AG561" s="168"/>
      <c r="AH561" s="13"/>
      <c r="AI561" s="13"/>
    </row>
    <row r="562">
      <c r="A562" s="160"/>
      <c r="B562" s="160"/>
      <c r="C562" s="161" t="b">
        <v>0</v>
      </c>
      <c r="D562" s="161"/>
      <c r="E562" s="161"/>
      <c r="F562" s="162"/>
      <c r="G562" s="163"/>
      <c r="H562" s="164"/>
      <c r="I562" s="165"/>
      <c r="J562" s="161"/>
      <c r="K562" s="161"/>
      <c r="L562" s="166"/>
      <c r="M562" s="167"/>
      <c r="N562" s="168"/>
      <c r="O562" s="168"/>
      <c r="P562" s="168"/>
      <c r="Q562" s="169"/>
      <c r="R562" s="167"/>
      <c r="S562" s="142" t="b">
        <v>0</v>
      </c>
      <c r="T562" s="170"/>
      <c r="U562" s="170"/>
      <c r="V562" s="170"/>
      <c r="W562" s="170"/>
      <c r="X562" s="170"/>
      <c r="Y562" s="171"/>
      <c r="Z562" s="71"/>
      <c r="AA562" s="71"/>
      <c r="AB562" s="168"/>
      <c r="AC562" s="172"/>
      <c r="AD562" s="71"/>
      <c r="AE562" s="168"/>
      <c r="AF562" s="168"/>
      <c r="AG562" s="168"/>
      <c r="AH562" s="13"/>
      <c r="AI562" s="13"/>
    </row>
    <row r="563">
      <c r="A563" s="160"/>
      <c r="B563" s="160"/>
      <c r="C563" s="161" t="b">
        <v>0</v>
      </c>
      <c r="D563" s="161"/>
      <c r="E563" s="161"/>
      <c r="F563" s="162"/>
      <c r="G563" s="163"/>
      <c r="H563" s="164"/>
      <c r="I563" s="165"/>
      <c r="J563" s="161"/>
      <c r="K563" s="161"/>
      <c r="L563" s="166"/>
      <c r="M563" s="167"/>
      <c r="N563" s="168"/>
      <c r="O563" s="168"/>
      <c r="P563" s="168"/>
      <c r="Q563" s="169"/>
      <c r="R563" s="167"/>
      <c r="S563" s="142" t="b">
        <v>0</v>
      </c>
      <c r="T563" s="170"/>
      <c r="U563" s="170"/>
      <c r="V563" s="170"/>
      <c r="W563" s="170"/>
      <c r="X563" s="170"/>
      <c r="Y563" s="171"/>
      <c r="Z563" s="71"/>
      <c r="AA563" s="71"/>
      <c r="AB563" s="168"/>
      <c r="AC563" s="172"/>
      <c r="AD563" s="71"/>
      <c r="AE563" s="168"/>
      <c r="AF563" s="168"/>
      <c r="AG563" s="168"/>
      <c r="AH563" s="13"/>
      <c r="AI563" s="13"/>
    </row>
    <row r="564">
      <c r="A564" s="160"/>
      <c r="B564" s="160"/>
      <c r="C564" s="161" t="b">
        <v>0</v>
      </c>
      <c r="D564" s="161"/>
      <c r="E564" s="161"/>
      <c r="F564" s="162"/>
      <c r="G564" s="163"/>
      <c r="H564" s="164"/>
      <c r="I564" s="165"/>
      <c r="J564" s="161"/>
      <c r="K564" s="161"/>
      <c r="L564" s="166"/>
      <c r="M564" s="167"/>
      <c r="N564" s="168"/>
      <c r="O564" s="168"/>
      <c r="P564" s="168"/>
      <c r="Q564" s="169"/>
      <c r="R564" s="167"/>
      <c r="S564" s="142" t="b">
        <v>0</v>
      </c>
      <c r="T564" s="170"/>
      <c r="U564" s="170"/>
      <c r="V564" s="170"/>
      <c r="W564" s="170"/>
      <c r="X564" s="170"/>
      <c r="Y564" s="171"/>
      <c r="Z564" s="71"/>
      <c r="AA564" s="71"/>
      <c r="AB564" s="168"/>
      <c r="AC564" s="172"/>
      <c r="AD564" s="71"/>
      <c r="AE564" s="168"/>
      <c r="AF564" s="168"/>
      <c r="AG564" s="168"/>
      <c r="AH564" s="13"/>
      <c r="AI564" s="13"/>
    </row>
    <row r="565">
      <c r="A565" s="160"/>
      <c r="B565" s="160"/>
      <c r="C565" s="161" t="b">
        <v>0</v>
      </c>
      <c r="D565" s="161"/>
      <c r="E565" s="161"/>
      <c r="F565" s="162"/>
      <c r="G565" s="163"/>
      <c r="H565" s="164"/>
      <c r="I565" s="165"/>
      <c r="J565" s="161"/>
      <c r="K565" s="161"/>
      <c r="L565" s="166"/>
      <c r="M565" s="167"/>
      <c r="N565" s="168"/>
      <c r="O565" s="168"/>
      <c r="P565" s="168"/>
      <c r="Q565" s="169"/>
      <c r="R565" s="167"/>
      <c r="S565" s="142" t="b">
        <v>0</v>
      </c>
      <c r="T565" s="170"/>
      <c r="U565" s="170"/>
      <c r="V565" s="170"/>
      <c r="W565" s="170"/>
      <c r="X565" s="170"/>
      <c r="Y565" s="171"/>
      <c r="Z565" s="71"/>
      <c r="AA565" s="71"/>
      <c r="AB565" s="168"/>
      <c r="AC565" s="172"/>
      <c r="AD565" s="71"/>
      <c r="AE565" s="168"/>
      <c r="AF565" s="168"/>
      <c r="AG565" s="168"/>
      <c r="AH565" s="13"/>
      <c r="AI565" s="13"/>
    </row>
    <row r="566">
      <c r="A566" s="160"/>
      <c r="B566" s="160"/>
      <c r="C566" s="161" t="b">
        <v>0</v>
      </c>
      <c r="D566" s="161"/>
      <c r="E566" s="161"/>
      <c r="F566" s="162"/>
      <c r="G566" s="163"/>
      <c r="H566" s="164"/>
      <c r="I566" s="165"/>
      <c r="J566" s="161"/>
      <c r="K566" s="161"/>
      <c r="L566" s="166"/>
      <c r="M566" s="167"/>
      <c r="N566" s="168"/>
      <c r="O566" s="168"/>
      <c r="P566" s="168"/>
      <c r="Q566" s="169"/>
      <c r="R566" s="167"/>
      <c r="S566" s="142" t="b">
        <v>0</v>
      </c>
      <c r="T566" s="170"/>
      <c r="U566" s="170"/>
      <c r="V566" s="170"/>
      <c r="W566" s="170"/>
      <c r="X566" s="170"/>
      <c r="Y566" s="171"/>
      <c r="Z566" s="71"/>
      <c r="AA566" s="71"/>
      <c r="AB566" s="168"/>
      <c r="AC566" s="172"/>
      <c r="AD566" s="71"/>
      <c r="AE566" s="168"/>
      <c r="AF566" s="168"/>
      <c r="AG566" s="168"/>
      <c r="AH566" s="13"/>
      <c r="AI566" s="13"/>
    </row>
    <row r="567">
      <c r="A567" s="160"/>
      <c r="B567" s="160"/>
      <c r="C567" s="161" t="b">
        <v>0</v>
      </c>
      <c r="D567" s="161"/>
      <c r="E567" s="161"/>
      <c r="F567" s="162"/>
      <c r="G567" s="163"/>
      <c r="H567" s="164"/>
      <c r="I567" s="165"/>
      <c r="J567" s="161"/>
      <c r="K567" s="161"/>
      <c r="L567" s="166"/>
      <c r="M567" s="167"/>
      <c r="N567" s="168"/>
      <c r="O567" s="168"/>
      <c r="P567" s="168"/>
      <c r="Q567" s="169"/>
      <c r="R567" s="167"/>
      <c r="S567" s="142" t="b">
        <v>0</v>
      </c>
      <c r="T567" s="170"/>
      <c r="U567" s="170"/>
      <c r="V567" s="170"/>
      <c r="W567" s="170"/>
      <c r="X567" s="170"/>
      <c r="Y567" s="171"/>
      <c r="Z567" s="71"/>
      <c r="AA567" s="71"/>
      <c r="AB567" s="168"/>
      <c r="AC567" s="172"/>
      <c r="AD567" s="71"/>
      <c r="AE567" s="168"/>
      <c r="AF567" s="168"/>
      <c r="AG567" s="168"/>
      <c r="AH567" s="13"/>
      <c r="AI567" s="13"/>
    </row>
    <row r="568">
      <c r="A568" s="160"/>
      <c r="B568" s="160"/>
      <c r="C568" s="161" t="b">
        <v>0</v>
      </c>
      <c r="D568" s="161"/>
      <c r="E568" s="161"/>
      <c r="F568" s="162"/>
      <c r="G568" s="163"/>
      <c r="H568" s="164"/>
      <c r="I568" s="165"/>
      <c r="J568" s="161"/>
      <c r="K568" s="161"/>
      <c r="L568" s="166"/>
      <c r="M568" s="167"/>
      <c r="N568" s="168"/>
      <c r="O568" s="168"/>
      <c r="P568" s="168"/>
      <c r="Q568" s="169"/>
      <c r="R568" s="167"/>
      <c r="S568" s="142" t="b">
        <v>0</v>
      </c>
      <c r="T568" s="170"/>
      <c r="U568" s="170"/>
      <c r="V568" s="170"/>
      <c r="W568" s="170"/>
      <c r="X568" s="170"/>
      <c r="Y568" s="171"/>
      <c r="Z568" s="71"/>
      <c r="AA568" s="71"/>
      <c r="AB568" s="168"/>
      <c r="AC568" s="172"/>
      <c r="AD568" s="71"/>
      <c r="AE568" s="168"/>
      <c r="AF568" s="168"/>
      <c r="AG568" s="168"/>
      <c r="AH568" s="13"/>
      <c r="AI568" s="13"/>
    </row>
    <row r="569">
      <c r="A569" s="160"/>
      <c r="B569" s="160"/>
      <c r="C569" s="161" t="b">
        <v>0</v>
      </c>
      <c r="D569" s="161"/>
      <c r="E569" s="161"/>
      <c r="F569" s="162"/>
      <c r="G569" s="163"/>
      <c r="H569" s="164"/>
      <c r="I569" s="165"/>
      <c r="J569" s="161"/>
      <c r="K569" s="161"/>
      <c r="L569" s="166"/>
      <c r="M569" s="167"/>
      <c r="N569" s="168"/>
      <c r="O569" s="168"/>
      <c r="P569" s="168"/>
      <c r="Q569" s="169"/>
      <c r="R569" s="167"/>
      <c r="S569" s="142" t="b">
        <v>0</v>
      </c>
      <c r="T569" s="170"/>
      <c r="U569" s="170"/>
      <c r="V569" s="170"/>
      <c r="W569" s="170"/>
      <c r="X569" s="170"/>
      <c r="Y569" s="171"/>
      <c r="Z569" s="71"/>
      <c r="AA569" s="71"/>
      <c r="AB569" s="168"/>
      <c r="AC569" s="172"/>
      <c r="AD569" s="71"/>
      <c r="AE569" s="168"/>
      <c r="AF569" s="168"/>
      <c r="AG569" s="168"/>
      <c r="AH569" s="13"/>
      <c r="AI569" s="13"/>
    </row>
    <row r="570">
      <c r="A570" s="160"/>
      <c r="B570" s="160"/>
      <c r="C570" s="161" t="b">
        <v>0</v>
      </c>
      <c r="D570" s="161"/>
      <c r="E570" s="161"/>
      <c r="F570" s="162"/>
      <c r="G570" s="163"/>
      <c r="H570" s="164"/>
      <c r="I570" s="165"/>
      <c r="J570" s="161"/>
      <c r="K570" s="161"/>
      <c r="L570" s="166"/>
      <c r="M570" s="167"/>
      <c r="N570" s="168"/>
      <c r="O570" s="168"/>
      <c r="P570" s="168"/>
      <c r="Q570" s="169"/>
      <c r="R570" s="167"/>
      <c r="S570" s="142" t="b">
        <v>0</v>
      </c>
      <c r="T570" s="170"/>
      <c r="U570" s="170"/>
      <c r="V570" s="170"/>
      <c r="W570" s="170"/>
      <c r="X570" s="170"/>
      <c r="Y570" s="171"/>
      <c r="Z570" s="71"/>
      <c r="AA570" s="71"/>
      <c r="AB570" s="168"/>
      <c r="AC570" s="172"/>
      <c r="AD570" s="71"/>
      <c r="AE570" s="168"/>
      <c r="AF570" s="168"/>
      <c r="AG570" s="168"/>
      <c r="AH570" s="13"/>
      <c r="AI570" s="13"/>
    </row>
    <row r="571">
      <c r="A571" s="160"/>
      <c r="B571" s="160"/>
      <c r="C571" s="161" t="b">
        <v>0</v>
      </c>
      <c r="D571" s="161"/>
      <c r="E571" s="161"/>
      <c r="F571" s="162"/>
      <c r="G571" s="163"/>
      <c r="H571" s="164"/>
      <c r="I571" s="165"/>
      <c r="J571" s="161"/>
      <c r="K571" s="161"/>
      <c r="L571" s="166"/>
      <c r="M571" s="167"/>
      <c r="N571" s="168"/>
      <c r="O571" s="168"/>
      <c r="P571" s="168"/>
      <c r="Q571" s="169"/>
      <c r="R571" s="167"/>
      <c r="S571" s="142" t="b">
        <v>0</v>
      </c>
      <c r="T571" s="170"/>
      <c r="U571" s="170"/>
      <c r="V571" s="170"/>
      <c r="W571" s="170"/>
      <c r="X571" s="170"/>
      <c r="Y571" s="171"/>
      <c r="Z571" s="71"/>
      <c r="AA571" s="71"/>
      <c r="AB571" s="168"/>
      <c r="AC571" s="172"/>
      <c r="AD571" s="71"/>
      <c r="AE571" s="168"/>
      <c r="AF571" s="168"/>
      <c r="AG571" s="168"/>
      <c r="AH571" s="13"/>
      <c r="AI571" s="13"/>
    </row>
    <row r="572">
      <c r="A572" s="160"/>
      <c r="B572" s="160"/>
      <c r="C572" s="161" t="b">
        <v>0</v>
      </c>
      <c r="D572" s="161"/>
      <c r="E572" s="161"/>
      <c r="F572" s="162"/>
      <c r="G572" s="163"/>
      <c r="H572" s="164"/>
      <c r="I572" s="165"/>
      <c r="J572" s="161"/>
      <c r="K572" s="161"/>
      <c r="L572" s="166"/>
      <c r="M572" s="167"/>
      <c r="N572" s="168"/>
      <c r="O572" s="168"/>
      <c r="P572" s="168"/>
      <c r="Q572" s="169"/>
      <c r="R572" s="167"/>
      <c r="S572" s="142" t="b">
        <v>0</v>
      </c>
      <c r="T572" s="170"/>
      <c r="U572" s="170"/>
      <c r="V572" s="170"/>
      <c r="W572" s="170"/>
      <c r="X572" s="170"/>
      <c r="Y572" s="171"/>
      <c r="Z572" s="71"/>
      <c r="AA572" s="71"/>
      <c r="AB572" s="168"/>
      <c r="AC572" s="172"/>
      <c r="AD572" s="71"/>
      <c r="AE572" s="168"/>
      <c r="AF572" s="168"/>
      <c r="AG572" s="168"/>
      <c r="AH572" s="13"/>
      <c r="AI572" s="13"/>
    </row>
    <row r="573">
      <c r="A573" s="160"/>
      <c r="B573" s="160"/>
      <c r="C573" s="161" t="b">
        <v>0</v>
      </c>
      <c r="D573" s="161"/>
      <c r="E573" s="161"/>
      <c r="F573" s="162"/>
      <c r="G573" s="163"/>
      <c r="H573" s="164"/>
      <c r="I573" s="165"/>
      <c r="J573" s="161"/>
      <c r="K573" s="161"/>
      <c r="L573" s="166"/>
      <c r="M573" s="167"/>
      <c r="N573" s="168"/>
      <c r="O573" s="168"/>
      <c r="P573" s="168"/>
      <c r="Q573" s="169"/>
      <c r="R573" s="167"/>
      <c r="S573" s="142" t="b">
        <v>0</v>
      </c>
      <c r="T573" s="170"/>
      <c r="U573" s="170"/>
      <c r="V573" s="170"/>
      <c r="W573" s="170"/>
      <c r="X573" s="170"/>
      <c r="Y573" s="171"/>
      <c r="Z573" s="71"/>
      <c r="AA573" s="71"/>
      <c r="AB573" s="168"/>
      <c r="AC573" s="172"/>
      <c r="AD573" s="71"/>
      <c r="AE573" s="168"/>
      <c r="AF573" s="168"/>
      <c r="AG573" s="168"/>
      <c r="AH573" s="13"/>
      <c r="AI573" s="13"/>
    </row>
    <row r="574">
      <c r="A574" s="160"/>
      <c r="B574" s="160"/>
      <c r="C574" s="161" t="b">
        <v>0</v>
      </c>
      <c r="D574" s="161"/>
      <c r="E574" s="161"/>
      <c r="F574" s="162"/>
      <c r="G574" s="163"/>
      <c r="H574" s="164"/>
      <c r="I574" s="165"/>
      <c r="J574" s="161"/>
      <c r="K574" s="161"/>
      <c r="L574" s="166"/>
      <c r="M574" s="167"/>
      <c r="N574" s="168"/>
      <c r="O574" s="168"/>
      <c r="P574" s="168"/>
      <c r="Q574" s="169"/>
      <c r="R574" s="167"/>
      <c r="S574" s="142" t="b">
        <v>0</v>
      </c>
      <c r="T574" s="170"/>
      <c r="U574" s="170"/>
      <c r="V574" s="170"/>
      <c r="W574" s="170"/>
      <c r="X574" s="170"/>
      <c r="Y574" s="171"/>
      <c r="Z574" s="71"/>
      <c r="AA574" s="71"/>
      <c r="AB574" s="168"/>
      <c r="AC574" s="172"/>
      <c r="AD574" s="71"/>
      <c r="AE574" s="168"/>
      <c r="AF574" s="168"/>
      <c r="AG574" s="168"/>
      <c r="AH574" s="13"/>
      <c r="AI574" s="13"/>
    </row>
    <row r="575">
      <c r="A575" s="160"/>
      <c r="B575" s="160"/>
      <c r="C575" s="161" t="b">
        <v>0</v>
      </c>
      <c r="D575" s="161"/>
      <c r="E575" s="161"/>
      <c r="F575" s="162"/>
      <c r="G575" s="163"/>
      <c r="H575" s="164"/>
      <c r="I575" s="165"/>
      <c r="J575" s="161"/>
      <c r="K575" s="161"/>
      <c r="L575" s="166"/>
      <c r="M575" s="167"/>
      <c r="N575" s="168"/>
      <c r="O575" s="168"/>
      <c r="P575" s="168"/>
      <c r="Q575" s="169"/>
      <c r="R575" s="167"/>
      <c r="S575" s="142" t="b">
        <v>0</v>
      </c>
      <c r="T575" s="170"/>
      <c r="U575" s="170"/>
      <c r="V575" s="170"/>
      <c r="W575" s="170"/>
      <c r="X575" s="170"/>
      <c r="Y575" s="171"/>
      <c r="Z575" s="71"/>
      <c r="AA575" s="71"/>
      <c r="AB575" s="168"/>
      <c r="AC575" s="172"/>
      <c r="AD575" s="71"/>
      <c r="AE575" s="168"/>
      <c r="AF575" s="168"/>
      <c r="AG575" s="168"/>
      <c r="AH575" s="13"/>
      <c r="AI575" s="13"/>
    </row>
    <row r="576">
      <c r="A576" s="160"/>
      <c r="B576" s="160"/>
      <c r="C576" s="161" t="b">
        <v>0</v>
      </c>
      <c r="D576" s="161"/>
      <c r="E576" s="161"/>
      <c r="F576" s="162"/>
      <c r="G576" s="163"/>
      <c r="H576" s="164"/>
      <c r="I576" s="165"/>
      <c r="J576" s="161"/>
      <c r="K576" s="161"/>
      <c r="L576" s="166"/>
      <c r="M576" s="167"/>
      <c r="N576" s="168"/>
      <c r="O576" s="168"/>
      <c r="P576" s="168"/>
      <c r="Q576" s="169"/>
      <c r="R576" s="167"/>
      <c r="S576" s="142" t="b">
        <v>0</v>
      </c>
      <c r="T576" s="170"/>
      <c r="U576" s="170"/>
      <c r="V576" s="170"/>
      <c r="W576" s="170"/>
      <c r="X576" s="170"/>
      <c r="Y576" s="171"/>
      <c r="Z576" s="71"/>
      <c r="AA576" s="71"/>
      <c r="AB576" s="168"/>
      <c r="AC576" s="172"/>
      <c r="AD576" s="71"/>
      <c r="AE576" s="168"/>
      <c r="AF576" s="168"/>
      <c r="AG576" s="168"/>
      <c r="AH576" s="13"/>
      <c r="AI576" s="13"/>
    </row>
    <row r="577">
      <c r="A577" s="160"/>
      <c r="B577" s="160"/>
      <c r="C577" s="161" t="b">
        <v>0</v>
      </c>
      <c r="D577" s="161"/>
      <c r="E577" s="161"/>
      <c r="F577" s="162"/>
      <c r="G577" s="163"/>
      <c r="H577" s="164"/>
      <c r="I577" s="165"/>
      <c r="J577" s="161"/>
      <c r="K577" s="161"/>
      <c r="L577" s="166"/>
      <c r="M577" s="167"/>
      <c r="N577" s="168"/>
      <c r="O577" s="168"/>
      <c r="P577" s="168"/>
      <c r="Q577" s="169"/>
      <c r="R577" s="167"/>
      <c r="S577" s="142" t="b">
        <v>0</v>
      </c>
      <c r="T577" s="170"/>
      <c r="U577" s="170"/>
      <c r="V577" s="170"/>
      <c r="W577" s="170"/>
      <c r="X577" s="170"/>
      <c r="Y577" s="171"/>
      <c r="Z577" s="71"/>
      <c r="AA577" s="71"/>
      <c r="AB577" s="168"/>
      <c r="AC577" s="172"/>
      <c r="AD577" s="71"/>
      <c r="AE577" s="168"/>
      <c r="AF577" s="168"/>
      <c r="AG577" s="168"/>
      <c r="AH577" s="13"/>
      <c r="AI577" s="13"/>
    </row>
    <row r="578">
      <c r="A578" s="160"/>
      <c r="B578" s="160"/>
      <c r="C578" s="161" t="b">
        <v>0</v>
      </c>
      <c r="D578" s="161"/>
      <c r="E578" s="161"/>
      <c r="F578" s="162"/>
      <c r="G578" s="163"/>
      <c r="H578" s="164"/>
      <c r="I578" s="165"/>
      <c r="J578" s="161"/>
      <c r="K578" s="161"/>
      <c r="L578" s="166"/>
      <c r="M578" s="167"/>
      <c r="N578" s="168"/>
      <c r="O578" s="168"/>
      <c r="P578" s="168"/>
      <c r="Q578" s="169"/>
      <c r="R578" s="167"/>
      <c r="S578" s="142" t="b">
        <v>0</v>
      </c>
      <c r="T578" s="170"/>
      <c r="U578" s="170"/>
      <c r="V578" s="170"/>
      <c r="W578" s="170"/>
      <c r="X578" s="170"/>
      <c r="Y578" s="171"/>
      <c r="Z578" s="71"/>
      <c r="AA578" s="71"/>
      <c r="AB578" s="168"/>
      <c r="AC578" s="172"/>
      <c r="AD578" s="71"/>
      <c r="AE578" s="168"/>
      <c r="AF578" s="168"/>
      <c r="AG578" s="168"/>
      <c r="AH578" s="13"/>
      <c r="AI578" s="13"/>
    </row>
    <row r="579">
      <c r="A579" s="160"/>
      <c r="B579" s="160"/>
      <c r="C579" s="161" t="b">
        <v>0</v>
      </c>
      <c r="D579" s="161"/>
      <c r="E579" s="161"/>
      <c r="F579" s="162"/>
      <c r="G579" s="163"/>
      <c r="H579" s="164"/>
      <c r="I579" s="165"/>
      <c r="J579" s="161"/>
      <c r="K579" s="161"/>
      <c r="L579" s="166"/>
      <c r="M579" s="167"/>
      <c r="N579" s="168"/>
      <c r="O579" s="168"/>
      <c r="P579" s="168"/>
      <c r="Q579" s="169"/>
      <c r="R579" s="167"/>
      <c r="S579" s="142" t="b">
        <v>0</v>
      </c>
      <c r="T579" s="170"/>
      <c r="U579" s="170"/>
      <c r="V579" s="170"/>
      <c r="W579" s="170"/>
      <c r="X579" s="170"/>
      <c r="Y579" s="171"/>
      <c r="Z579" s="71"/>
      <c r="AA579" s="71"/>
      <c r="AB579" s="168"/>
      <c r="AC579" s="172"/>
      <c r="AD579" s="71"/>
      <c r="AE579" s="168"/>
      <c r="AF579" s="168"/>
      <c r="AG579" s="168"/>
      <c r="AH579" s="13"/>
      <c r="AI579" s="13"/>
    </row>
    <row r="580">
      <c r="A580" s="160"/>
      <c r="B580" s="160"/>
      <c r="C580" s="161" t="b">
        <v>0</v>
      </c>
      <c r="D580" s="161"/>
      <c r="E580" s="161"/>
      <c r="F580" s="162"/>
      <c r="G580" s="163"/>
      <c r="H580" s="164"/>
      <c r="I580" s="165"/>
      <c r="J580" s="161"/>
      <c r="K580" s="161"/>
      <c r="L580" s="166"/>
      <c r="M580" s="167"/>
      <c r="N580" s="168"/>
      <c r="O580" s="168"/>
      <c r="P580" s="168"/>
      <c r="Q580" s="169"/>
      <c r="R580" s="167"/>
      <c r="S580" s="142" t="b">
        <v>0</v>
      </c>
      <c r="T580" s="170"/>
      <c r="U580" s="170"/>
      <c r="V580" s="170"/>
      <c r="W580" s="170"/>
      <c r="X580" s="170"/>
      <c r="Y580" s="171"/>
      <c r="Z580" s="71"/>
      <c r="AA580" s="71"/>
      <c r="AB580" s="168"/>
      <c r="AC580" s="172"/>
      <c r="AD580" s="71"/>
      <c r="AE580" s="168"/>
      <c r="AF580" s="168"/>
      <c r="AG580" s="168"/>
      <c r="AH580" s="13"/>
      <c r="AI580" s="13"/>
    </row>
    <row r="581">
      <c r="A581" s="160"/>
      <c r="B581" s="160"/>
      <c r="C581" s="161" t="b">
        <v>0</v>
      </c>
      <c r="D581" s="161"/>
      <c r="E581" s="161"/>
      <c r="F581" s="162"/>
      <c r="G581" s="163"/>
      <c r="H581" s="164"/>
      <c r="I581" s="165"/>
      <c r="J581" s="161"/>
      <c r="K581" s="161"/>
      <c r="L581" s="166"/>
      <c r="M581" s="167"/>
      <c r="N581" s="168"/>
      <c r="O581" s="168"/>
      <c r="P581" s="168"/>
      <c r="Q581" s="169"/>
      <c r="R581" s="167"/>
      <c r="S581" s="142" t="b">
        <v>0</v>
      </c>
      <c r="T581" s="170"/>
      <c r="U581" s="170"/>
      <c r="V581" s="170"/>
      <c r="W581" s="170"/>
      <c r="X581" s="170"/>
      <c r="Y581" s="171"/>
      <c r="Z581" s="71"/>
      <c r="AA581" s="71"/>
      <c r="AB581" s="168"/>
      <c r="AC581" s="172"/>
      <c r="AD581" s="71"/>
      <c r="AE581" s="168"/>
      <c r="AF581" s="168"/>
      <c r="AG581" s="168"/>
      <c r="AH581" s="13"/>
      <c r="AI581" s="13"/>
    </row>
    <row r="582">
      <c r="A582" s="160"/>
      <c r="B582" s="160"/>
      <c r="C582" s="161" t="b">
        <v>0</v>
      </c>
      <c r="D582" s="161"/>
      <c r="E582" s="161"/>
      <c r="F582" s="162"/>
      <c r="G582" s="163"/>
      <c r="H582" s="164"/>
      <c r="I582" s="165"/>
      <c r="J582" s="161"/>
      <c r="K582" s="161"/>
      <c r="L582" s="166"/>
      <c r="M582" s="167"/>
      <c r="N582" s="168"/>
      <c r="O582" s="168"/>
      <c r="P582" s="168"/>
      <c r="Q582" s="169"/>
      <c r="R582" s="167"/>
      <c r="S582" s="142" t="b">
        <v>0</v>
      </c>
      <c r="T582" s="170"/>
      <c r="U582" s="170"/>
      <c r="V582" s="170"/>
      <c r="W582" s="170"/>
      <c r="X582" s="170"/>
      <c r="Y582" s="171"/>
      <c r="Z582" s="71"/>
      <c r="AA582" s="71"/>
      <c r="AB582" s="168"/>
      <c r="AC582" s="172"/>
      <c r="AD582" s="71"/>
      <c r="AE582" s="168"/>
      <c r="AF582" s="168"/>
      <c r="AG582" s="168"/>
      <c r="AH582" s="13"/>
      <c r="AI582" s="13"/>
    </row>
    <row r="583">
      <c r="A583" s="160"/>
      <c r="B583" s="160"/>
      <c r="C583" s="161" t="b">
        <v>0</v>
      </c>
      <c r="D583" s="161"/>
      <c r="E583" s="161"/>
      <c r="F583" s="162"/>
      <c r="G583" s="163"/>
      <c r="H583" s="164"/>
      <c r="I583" s="165"/>
      <c r="J583" s="161"/>
      <c r="K583" s="161"/>
      <c r="L583" s="166"/>
      <c r="M583" s="167"/>
      <c r="N583" s="168"/>
      <c r="O583" s="168"/>
      <c r="P583" s="168"/>
      <c r="Q583" s="169"/>
      <c r="R583" s="167"/>
      <c r="S583" s="142" t="b">
        <v>0</v>
      </c>
      <c r="T583" s="170"/>
      <c r="U583" s="170"/>
      <c r="V583" s="170"/>
      <c r="W583" s="170"/>
      <c r="X583" s="170"/>
      <c r="Y583" s="171"/>
      <c r="Z583" s="71"/>
      <c r="AA583" s="71"/>
      <c r="AB583" s="168"/>
      <c r="AC583" s="172"/>
      <c r="AD583" s="71"/>
      <c r="AE583" s="168"/>
      <c r="AF583" s="168"/>
      <c r="AG583" s="168"/>
      <c r="AH583" s="13"/>
      <c r="AI583" s="13"/>
    </row>
    <row r="584">
      <c r="A584" s="160"/>
      <c r="B584" s="160"/>
      <c r="C584" s="161" t="b">
        <v>0</v>
      </c>
      <c r="D584" s="161"/>
      <c r="E584" s="161"/>
      <c r="F584" s="162"/>
      <c r="G584" s="163"/>
      <c r="H584" s="164"/>
      <c r="I584" s="165"/>
      <c r="J584" s="161"/>
      <c r="K584" s="161"/>
      <c r="L584" s="166"/>
      <c r="M584" s="167"/>
      <c r="N584" s="168"/>
      <c r="O584" s="168"/>
      <c r="P584" s="168"/>
      <c r="Q584" s="169"/>
      <c r="R584" s="167"/>
      <c r="S584" s="142" t="b">
        <v>0</v>
      </c>
      <c r="T584" s="170"/>
      <c r="U584" s="170"/>
      <c r="V584" s="170"/>
      <c r="W584" s="170"/>
      <c r="X584" s="170"/>
      <c r="Y584" s="171"/>
      <c r="Z584" s="71"/>
      <c r="AA584" s="71"/>
      <c r="AB584" s="168"/>
      <c r="AC584" s="172"/>
      <c r="AD584" s="71"/>
      <c r="AE584" s="168"/>
      <c r="AF584" s="168"/>
      <c r="AG584" s="168"/>
      <c r="AH584" s="13"/>
      <c r="AI584" s="13"/>
    </row>
    <row r="585">
      <c r="A585" s="160"/>
      <c r="B585" s="160"/>
      <c r="C585" s="161" t="b">
        <v>0</v>
      </c>
      <c r="D585" s="161"/>
      <c r="E585" s="161"/>
      <c r="F585" s="162"/>
      <c r="G585" s="163"/>
      <c r="H585" s="164"/>
      <c r="I585" s="165"/>
      <c r="J585" s="161"/>
      <c r="K585" s="161"/>
      <c r="L585" s="166"/>
      <c r="M585" s="167"/>
      <c r="N585" s="168"/>
      <c r="O585" s="168"/>
      <c r="P585" s="168"/>
      <c r="Q585" s="169"/>
      <c r="R585" s="167"/>
      <c r="S585" s="142" t="b">
        <v>0</v>
      </c>
      <c r="T585" s="170"/>
      <c r="U585" s="170"/>
      <c r="V585" s="170"/>
      <c r="W585" s="170"/>
      <c r="X585" s="170"/>
      <c r="Y585" s="171"/>
      <c r="Z585" s="71"/>
      <c r="AA585" s="71"/>
      <c r="AB585" s="168"/>
      <c r="AC585" s="172"/>
      <c r="AD585" s="71"/>
      <c r="AE585" s="168"/>
      <c r="AF585" s="168"/>
      <c r="AG585" s="168"/>
      <c r="AH585" s="13"/>
      <c r="AI585" s="13"/>
    </row>
    <row r="586">
      <c r="A586" s="160"/>
      <c r="B586" s="160"/>
      <c r="C586" s="161" t="b">
        <v>0</v>
      </c>
      <c r="D586" s="161"/>
      <c r="E586" s="161"/>
      <c r="F586" s="162"/>
      <c r="G586" s="163"/>
      <c r="H586" s="164"/>
      <c r="I586" s="165"/>
      <c r="J586" s="161"/>
      <c r="K586" s="161"/>
      <c r="L586" s="166"/>
      <c r="M586" s="167"/>
      <c r="N586" s="168"/>
      <c r="O586" s="168"/>
      <c r="P586" s="168"/>
      <c r="Q586" s="169"/>
      <c r="R586" s="167"/>
      <c r="S586" s="142" t="b">
        <v>0</v>
      </c>
      <c r="T586" s="170"/>
      <c r="U586" s="170"/>
      <c r="V586" s="170"/>
      <c r="W586" s="170"/>
      <c r="X586" s="170"/>
      <c r="Y586" s="171"/>
      <c r="Z586" s="71"/>
      <c r="AA586" s="71"/>
      <c r="AB586" s="168"/>
      <c r="AC586" s="172"/>
      <c r="AD586" s="71"/>
      <c r="AE586" s="168"/>
      <c r="AF586" s="168"/>
      <c r="AG586" s="168"/>
      <c r="AH586" s="13"/>
      <c r="AI586" s="13"/>
    </row>
    <row r="587">
      <c r="A587" s="160"/>
      <c r="B587" s="160"/>
      <c r="C587" s="161" t="b">
        <v>0</v>
      </c>
      <c r="D587" s="161"/>
      <c r="E587" s="161"/>
      <c r="F587" s="162"/>
      <c r="G587" s="163"/>
      <c r="H587" s="164"/>
      <c r="I587" s="165"/>
      <c r="J587" s="161"/>
      <c r="K587" s="161"/>
      <c r="L587" s="166"/>
      <c r="M587" s="167"/>
      <c r="N587" s="168"/>
      <c r="O587" s="168"/>
      <c r="P587" s="168"/>
      <c r="Q587" s="169"/>
      <c r="R587" s="167"/>
      <c r="S587" s="142" t="b">
        <v>0</v>
      </c>
      <c r="T587" s="170"/>
      <c r="U587" s="170"/>
      <c r="V587" s="170"/>
      <c r="W587" s="170"/>
      <c r="X587" s="170"/>
      <c r="Y587" s="171"/>
      <c r="Z587" s="71"/>
      <c r="AA587" s="71"/>
      <c r="AB587" s="168"/>
      <c r="AC587" s="172"/>
      <c r="AD587" s="71"/>
      <c r="AE587" s="168"/>
      <c r="AF587" s="168"/>
      <c r="AG587" s="168"/>
      <c r="AH587" s="13"/>
      <c r="AI587" s="13"/>
    </row>
    <row r="588">
      <c r="A588" s="160"/>
      <c r="B588" s="160"/>
      <c r="C588" s="161" t="b">
        <v>0</v>
      </c>
      <c r="D588" s="161"/>
      <c r="E588" s="161"/>
      <c r="F588" s="162"/>
      <c r="G588" s="163"/>
      <c r="H588" s="164"/>
      <c r="I588" s="165"/>
      <c r="J588" s="161"/>
      <c r="K588" s="161"/>
      <c r="L588" s="166"/>
      <c r="M588" s="167"/>
      <c r="N588" s="168"/>
      <c r="O588" s="168"/>
      <c r="P588" s="168"/>
      <c r="Q588" s="169"/>
      <c r="R588" s="167"/>
      <c r="S588" s="142" t="b">
        <v>0</v>
      </c>
      <c r="T588" s="170"/>
      <c r="U588" s="170"/>
      <c r="V588" s="170"/>
      <c r="W588" s="170"/>
      <c r="X588" s="170"/>
      <c r="Y588" s="171"/>
      <c r="Z588" s="71"/>
      <c r="AA588" s="71"/>
      <c r="AB588" s="168"/>
      <c r="AC588" s="172"/>
      <c r="AD588" s="71"/>
      <c r="AE588" s="168"/>
      <c r="AF588" s="168"/>
      <c r="AG588" s="168"/>
      <c r="AH588" s="13"/>
      <c r="AI588" s="13"/>
    </row>
    <row r="589">
      <c r="A589" s="160"/>
      <c r="B589" s="160"/>
      <c r="C589" s="161" t="b">
        <v>0</v>
      </c>
      <c r="D589" s="161"/>
      <c r="E589" s="161"/>
      <c r="F589" s="162"/>
      <c r="G589" s="163"/>
      <c r="H589" s="164"/>
      <c r="I589" s="165"/>
      <c r="J589" s="161"/>
      <c r="K589" s="161"/>
      <c r="L589" s="166"/>
      <c r="M589" s="167"/>
      <c r="N589" s="168"/>
      <c r="O589" s="168"/>
      <c r="P589" s="168"/>
      <c r="Q589" s="169"/>
      <c r="R589" s="167"/>
      <c r="S589" s="142" t="b">
        <v>0</v>
      </c>
      <c r="T589" s="170"/>
      <c r="U589" s="170"/>
      <c r="V589" s="170"/>
      <c r="W589" s="170"/>
      <c r="X589" s="170"/>
      <c r="Y589" s="171"/>
      <c r="Z589" s="71"/>
      <c r="AA589" s="71"/>
      <c r="AB589" s="168"/>
      <c r="AC589" s="172"/>
      <c r="AD589" s="71"/>
      <c r="AE589" s="168"/>
      <c r="AF589" s="168"/>
      <c r="AG589" s="168"/>
      <c r="AH589" s="13"/>
      <c r="AI589" s="13"/>
    </row>
    <row r="590">
      <c r="A590" s="160"/>
      <c r="B590" s="160"/>
      <c r="C590" s="161" t="b">
        <v>0</v>
      </c>
      <c r="D590" s="161"/>
      <c r="E590" s="161"/>
      <c r="F590" s="162"/>
      <c r="G590" s="163"/>
      <c r="H590" s="164"/>
      <c r="I590" s="165"/>
      <c r="J590" s="161"/>
      <c r="K590" s="161"/>
      <c r="L590" s="166"/>
      <c r="M590" s="167"/>
      <c r="N590" s="168"/>
      <c r="O590" s="168"/>
      <c r="P590" s="168"/>
      <c r="Q590" s="169"/>
      <c r="R590" s="167"/>
      <c r="S590" s="142" t="b">
        <v>0</v>
      </c>
      <c r="T590" s="170"/>
      <c r="U590" s="170"/>
      <c r="V590" s="170"/>
      <c r="W590" s="170"/>
      <c r="X590" s="170"/>
      <c r="Y590" s="171"/>
      <c r="Z590" s="71"/>
      <c r="AA590" s="71"/>
      <c r="AB590" s="168"/>
      <c r="AC590" s="172"/>
      <c r="AD590" s="71"/>
      <c r="AE590" s="168"/>
      <c r="AF590" s="168"/>
      <c r="AG590" s="168"/>
      <c r="AH590" s="13"/>
      <c r="AI590" s="13"/>
    </row>
    <row r="591">
      <c r="A591" s="160"/>
      <c r="B591" s="160"/>
      <c r="C591" s="161" t="b">
        <v>0</v>
      </c>
      <c r="D591" s="161"/>
      <c r="E591" s="161"/>
      <c r="F591" s="162"/>
      <c r="G591" s="163"/>
      <c r="H591" s="164"/>
      <c r="I591" s="165"/>
      <c r="J591" s="161"/>
      <c r="K591" s="161"/>
      <c r="L591" s="166"/>
      <c r="M591" s="167"/>
      <c r="N591" s="168"/>
      <c r="O591" s="168"/>
      <c r="P591" s="168"/>
      <c r="Q591" s="169"/>
      <c r="R591" s="167"/>
      <c r="S591" s="142" t="b">
        <v>0</v>
      </c>
      <c r="T591" s="170"/>
      <c r="U591" s="170"/>
      <c r="V591" s="170"/>
      <c r="W591" s="170"/>
      <c r="X591" s="170"/>
      <c r="Y591" s="171"/>
      <c r="Z591" s="71"/>
      <c r="AA591" s="71"/>
      <c r="AB591" s="168"/>
      <c r="AC591" s="172"/>
      <c r="AD591" s="71"/>
      <c r="AE591" s="168"/>
      <c r="AF591" s="168"/>
      <c r="AG591" s="168"/>
      <c r="AH591" s="13"/>
      <c r="AI591" s="13"/>
    </row>
    <row r="592">
      <c r="A592" s="160"/>
      <c r="B592" s="160"/>
      <c r="C592" s="161" t="b">
        <v>0</v>
      </c>
      <c r="D592" s="161"/>
      <c r="E592" s="161"/>
      <c r="F592" s="162"/>
      <c r="G592" s="163"/>
      <c r="H592" s="164"/>
      <c r="I592" s="165"/>
      <c r="J592" s="161"/>
      <c r="K592" s="161"/>
      <c r="L592" s="166"/>
      <c r="M592" s="167"/>
      <c r="N592" s="168"/>
      <c r="O592" s="168"/>
      <c r="P592" s="168"/>
      <c r="Q592" s="169"/>
      <c r="R592" s="167"/>
      <c r="S592" s="142" t="b">
        <v>0</v>
      </c>
      <c r="T592" s="170"/>
      <c r="U592" s="170"/>
      <c r="V592" s="170"/>
      <c r="W592" s="170"/>
      <c r="X592" s="170"/>
      <c r="Y592" s="171"/>
      <c r="Z592" s="71"/>
      <c r="AA592" s="71"/>
      <c r="AB592" s="168"/>
      <c r="AC592" s="172"/>
      <c r="AD592" s="71"/>
      <c r="AE592" s="168"/>
      <c r="AF592" s="168"/>
      <c r="AG592" s="168"/>
      <c r="AH592" s="13"/>
      <c r="AI592" s="13"/>
    </row>
    <row r="593">
      <c r="A593" s="160"/>
      <c r="B593" s="160"/>
      <c r="C593" s="161" t="b">
        <v>0</v>
      </c>
      <c r="D593" s="161"/>
      <c r="E593" s="161"/>
      <c r="F593" s="162"/>
      <c r="G593" s="163"/>
      <c r="H593" s="164"/>
      <c r="I593" s="165"/>
      <c r="J593" s="161"/>
      <c r="K593" s="161"/>
      <c r="L593" s="166"/>
      <c r="M593" s="167"/>
      <c r="N593" s="168"/>
      <c r="O593" s="168"/>
      <c r="P593" s="168"/>
      <c r="Q593" s="169"/>
      <c r="R593" s="167"/>
      <c r="S593" s="142" t="b">
        <v>0</v>
      </c>
      <c r="T593" s="170"/>
      <c r="U593" s="170"/>
      <c r="V593" s="170"/>
      <c r="W593" s="170"/>
      <c r="X593" s="170"/>
      <c r="Y593" s="171"/>
      <c r="Z593" s="71"/>
      <c r="AA593" s="71"/>
      <c r="AB593" s="168"/>
      <c r="AC593" s="172"/>
      <c r="AD593" s="71"/>
      <c r="AE593" s="168"/>
      <c r="AF593" s="168"/>
      <c r="AG593" s="168"/>
      <c r="AH593" s="13"/>
      <c r="AI593" s="13"/>
    </row>
    <row r="594">
      <c r="A594" s="160"/>
      <c r="B594" s="160"/>
      <c r="C594" s="161" t="b">
        <v>0</v>
      </c>
      <c r="D594" s="161"/>
      <c r="E594" s="161"/>
      <c r="F594" s="162"/>
      <c r="G594" s="163"/>
      <c r="H594" s="164"/>
      <c r="I594" s="165"/>
      <c r="J594" s="161"/>
      <c r="K594" s="161"/>
      <c r="L594" s="166"/>
      <c r="M594" s="167"/>
      <c r="N594" s="168"/>
      <c r="O594" s="168"/>
      <c r="P594" s="168"/>
      <c r="Q594" s="169"/>
      <c r="R594" s="167"/>
      <c r="S594" s="142" t="b">
        <v>0</v>
      </c>
      <c r="T594" s="170"/>
      <c r="U594" s="170"/>
      <c r="V594" s="170"/>
      <c r="W594" s="170"/>
      <c r="X594" s="170"/>
      <c r="Y594" s="171"/>
      <c r="Z594" s="71"/>
      <c r="AA594" s="71"/>
      <c r="AB594" s="168"/>
      <c r="AC594" s="172"/>
      <c r="AD594" s="71"/>
      <c r="AE594" s="168"/>
      <c r="AF594" s="168"/>
      <c r="AG594" s="168"/>
      <c r="AH594" s="13"/>
      <c r="AI594" s="13"/>
    </row>
    <row r="595">
      <c r="A595" s="160"/>
      <c r="B595" s="160"/>
      <c r="C595" s="161" t="b">
        <v>0</v>
      </c>
      <c r="D595" s="161"/>
      <c r="E595" s="161"/>
      <c r="F595" s="162"/>
      <c r="G595" s="163"/>
      <c r="H595" s="164"/>
      <c r="I595" s="165"/>
      <c r="J595" s="161"/>
      <c r="K595" s="161"/>
      <c r="L595" s="166"/>
      <c r="M595" s="167"/>
      <c r="N595" s="168"/>
      <c r="O595" s="168"/>
      <c r="P595" s="168"/>
      <c r="Q595" s="169"/>
      <c r="R595" s="167"/>
      <c r="S595" s="142" t="b">
        <v>0</v>
      </c>
      <c r="T595" s="170"/>
      <c r="U595" s="170"/>
      <c r="V595" s="170"/>
      <c r="W595" s="170"/>
      <c r="X595" s="170"/>
      <c r="Y595" s="171"/>
      <c r="Z595" s="71"/>
      <c r="AA595" s="71"/>
      <c r="AB595" s="168"/>
      <c r="AC595" s="172"/>
      <c r="AD595" s="71"/>
      <c r="AE595" s="168"/>
      <c r="AF595" s="168"/>
      <c r="AG595" s="168"/>
      <c r="AH595" s="13"/>
      <c r="AI595" s="13"/>
    </row>
    <row r="596">
      <c r="A596" s="160"/>
      <c r="B596" s="160"/>
      <c r="C596" s="161" t="b">
        <v>0</v>
      </c>
      <c r="D596" s="161"/>
      <c r="E596" s="161"/>
      <c r="F596" s="162"/>
      <c r="G596" s="163"/>
      <c r="H596" s="164"/>
      <c r="I596" s="165"/>
      <c r="J596" s="161"/>
      <c r="K596" s="161"/>
      <c r="L596" s="166"/>
      <c r="M596" s="167"/>
      <c r="N596" s="168"/>
      <c r="O596" s="168"/>
      <c r="P596" s="168"/>
      <c r="Q596" s="169"/>
      <c r="R596" s="167"/>
      <c r="S596" s="142" t="b">
        <v>0</v>
      </c>
      <c r="T596" s="170"/>
      <c r="U596" s="170"/>
      <c r="V596" s="170"/>
      <c r="W596" s="170"/>
      <c r="X596" s="170"/>
      <c r="Y596" s="171"/>
      <c r="Z596" s="71"/>
      <c r="AA596" s="71"/>
      <c r="AB596" s="168"/>
      <c r="AC596" s="172"/>
      <c r="AD596" s="71"/>
      <c r="AE596" s="168"/>
      <c r="AF596" s="168"/>
      <c r="AG596" s="168"/>
      <c r="AH596" s="13"/>
      <c r="AI596" s="13"/>
    </row>
    <row r="597">
      <c r="A597" s="160"/>
      <c r="B597" s="160"/>
      <c r="C597" s="161" t="b">
        <v>0</v>
      </c>
      <c r="D597" s="161"/>
      <c r="E597" s="161"/>
      <c r="F597" s="162"/>
      <c r="G597" s="163"/>
      <c r="H597" s="164"/>
      <c r="I597" s="165"/>
      <c r="J597" s="161"/>
      <c r="K597" s="161"/>
      <c r="L597" s="166"/>
      <c r="M597" s="167"/>
      <c r="N597" s="168"/>
      <c r="O597" s="168"/>
      <c r="P597" s="168"/>
      <c r="Q597" s="169"/>
      <c r="R597" s="167"/>
      <c r="S597" s="142" t="b">
        <v>0</v>
      </c>
      <c r="T597" s="170"/>
      <c r="U597" s="170"/>
      <c r="V597" s="170"/>
      <c r="W597" s="170"/>
      <c r="X597" s="170"/>
      <c r="Y597" s="171"/>
      <c r="Z597" s="71"/>
      <c r="AA597" s="71"/>
      <c r="AB597" s="168"/>
      <c r="AC597" s="172"/>
      <c r="AD597" s="71"/>
      <c r="AE597" s="168"/>
      <c r="AF597" s="168"/>
      <c r="AG597" s="168"/>
      <c r="AH597" s="13"/>
      <c r="AI597" s="13"/>
    </row>
    <row r="598">
      <c r="A598" s="160"/>
      <c r="B598" s="160"/>
      <c r="C598" s="161" t="b">
        <v>0</v>
      </c>
      <c r="D598" s="161"/>
      <c r="E598" s="161"/>
      <c r="F598" s="162"/>
      <c r="G598" s="163"/>
      <c r="H598" s="164"/>
      <c r="I598" s="165"/>
      <c r="J598" s="161"/>
      <c r="K598" s="161"/>
      <c r="L598" s="166"/>
      <c r="M598" s="167"/>
      <c r="N598" s="168"/>
      <c r="O598" s="168"/>
      <c r="P598" s="168"/>
      <c r="Q598" s="169"/>
      <c r="R598" s="167"/>
      <c r="S598" s="142" t="b">
        <v>0</v>
      </c>
      <c r="T598" s="170"/>
      <c r="U598" s="170"/>
      <c r="V598" s="170"/>
      <c r="W598" s="170"/>
      <c r="X598" s="170"/>
      <c r="Y598" s="171"/>
      <c r="Z598" s="71"/>
      <c r="AA598" s="71"/>
      <c r="AB598" s="168"/>
      <c r="AC598" s="172"/>
      <c r="AD598" s="71"/>
      <c r="AE598" s="168"/>
      <c r="AF598" s="168"/>
      <c r="AG598" s="168"/>
      <c r="AH598" s="13"/>
      <c r="AI598" s="13"/>
    </row>
    <row r="599">
      <c r="A599" s="160"/>
      <c r="B599" s="160"/>
      <c r="C599" s="161" t="b">
        <v>0</v>
      </c>
      <c r="D599" s="161"/>
      <c r="E599" s="161"/>
      <c r="F599" s="162"/>
      <c r="G599" s="163"/>
      <c r="H599" s="164"/>
      <c r="I599" s="165"/>
      <c r="J599" s="161"/>
      <c r="K599" s="161"/>
      <c r="L599" s="166"/>
      <c r="M599" s="167"/>
      <c r="N599" s="168"/>
      <c r="O599" s="168"/>
      <c r="P599" s="168"/>
      <c r="Q599" s="169"/>
      <c r="R599" s="167"/>
      <c r="S599" s="142" t="b">
        <v>0</v>
      </c>
      <c r="T599" s="170"/>
      <c r="U599" s="170"/>
      <c r="V599" s="170"/>
      <c r="W599" s="170"/>
      <c r="X599" s="170"/>
      <c r="Y599" s="171"/>
      <c r="Z599" s="71"/>
      <c r="AA599" s="71"/>
      <c r="AB599" s="168"/>
      <c r="AC599" s="172"/>
      <c r="AD599" s="71"/>
      <c r="AE599" s="168"/>
      <c r="AF599" s="168"/>
      <c r="AG599" s="168"/>
      <c r="AH599" s="13"/>
      <c r="AI599" s="13"/>
    </row>
    <row r="600">
      <c r="A600" s="160"/>
      <c r="B600" s="160"/>
      <c r="C600" s="161" t="b">
        <v>0</v>
      </c>
      <c r="D600" s="161"/>
      <c r="E600" s="161"/>
      <c r="F600" s="162"/>
      <c r="G600" s="163"/>
      <c r="H600" s="164"/>
      <c r="I600" s="165"/>
      <c r="J600" s="161"/>
      <c r="K600" s="161"/>
      <c r="L600" s="166"/>
      <c r="M600" s="167"/>
      <c r="N600" s="168"/>
      <c r="O600" s="168"/>
      <c r="P600" s="168"/>
      <c r="Q600" s="169"/>
      <c r="R600" s="167"/>
      <c r="S600" s="142" t="b">
        <v>0</v>
      </c>
      <c r="T600" s="170"/>
      <c r="U600" s="170"/>
      <c r="V600" s="170"/>
      <c r="W600" s="170"/>
      <c r="X600" s="170"/>
      <c r="Y600" s="171"/>
      <c r="Z600" s="71"/>
      <c r="AA600" s="71"/>
      <c r="AB600" s="168"/>
      <c r="AC600" s="172"/>
      <c r="AD600" s="71"/>
      <c r="AE600" s="168"/>
      <c r="AF600" s="168"/>
      <c r="AG600" s="168"/>
      <c r="AH600" s="13"/>
      <c r="AI600" s="13"/>
    </row>
    <row r="601">
      <c r="A601" s="160"/>
      <c r="B601" s="160"/>
      <c r="C601" s="161" t="b">
        <v>0</v>
      </c>
      <c r="D601" s="161"/>
      <c r="E601" s="161"/>
      <c r="F601" s="162"/>
      <c r="G601" s="163"/>
      <c r="H601" s="164"/>
      <c r="I601" s="165"/>
      <c r="J601" s="161"/>
      <c r="K601" s="161"/>
      <c r="L601" s="166"/>
      <c r="M601" s="167"/>
      <c r="N601" s="168"/>
      <c r="O601" s="168"/>
      <c r="P601" s="168"/>
      <c r="Q601" s="169"/>
      <c r="R601" s="167"/>
      <c r="S601" s="142" t="b">
        <v>0</v>
      </c>
      <c r="T601" s="170"/>
      <c r="U601" s="170"/>
      <c r="V601" s="170"/>
      <c r="W601" s="170"/>
      <c r="X601" s="170"/>
      <c r="Y601" s="171"/>
      <c r="Z601" s="71"/>
      <c r="AA601" s="71"/>
      <c r="AB601" s="168"/>
      <c r="AC601" s="172"/>
      <c r="AD601" s="71"/>
      <c r="AE601" s="168"/>
      <c r="AF601" s="168"/>
      <c r="AG601" s="168"/>
      <c r="AH601" s="13"/>
      <c r="AI601" s="13"/>
    </row>
    <row r="602">
      <c r="A602" s="160"/>
      <c r="B602" s="160"/>
      <c r="C602" s="161" t="b">
        <v>0</v>
      </c>
      <c r="D602" s="161"/>
      <c r="E602" s="161"/>
      <c r="F602" s="162"/>
      <c r="G602" s="163"/>
      <c r="H602" s="164"/>
      <c r="I602" s="165"/>
      <c r="J602" s="161"/>
      <c r="K602" s="161"/>
      <c r="L602" s="166"/>
      <c r="M602" s="167"/>
      <c r="N602" s="168"/>
      <c r="O602" s="168"/>
      <c r="P602" s="168"/>
      <c r="Q602" s="169"/>
      <c r="R602" s="167"/>
      <c r="S602" s="142" t="b">
        <v>0</v>
      </c>
      <c r="T602" s="170"/>
      <c r="U602" s="170"/>
      <c r="V602" s="170"/>
      <c r="W602" s="170"/>
      <c r="X602" s="170"/>
      <c r="Y602" s="171"/>
      <c r="Z602" s="71"/>
      <c r="AA602" s="71"/>
      <c r="AB602" s="168"/>
      <c r="AC602" s="172"/>
      <c r="AD602" s="71"/>
      <c r="AE602" s="168"/>
      <c r="AF602" s="168"/>
      <c r="AG602" s="168"/>
      <c r="AH602" s="13"/>
      <c r="AI602" s="13"/>
    </row>
    <row r="603">
      <c r="A603" s="160"/>
      <c r="B603" s="160"/>
      <c r="C603" s="161" t="b">
        <v>0</v>
      </c>
      <c r="D603" s="161"/>
      <c r="E603" s="161"/>
      <c r="F603" s="162"/>
      <c r="G603" s="163"/>
      <c r="H603" s="164"/>
      <c r="I603" s="165"/>
      <c r="J603" s="161"/>
      <c r="K603" s="161"/>
      <c r="L603" s="166"/>
      <c r="M603" s="167"/>
      <c r="N603" s="168"/>
      <c r="O603" s="168"/>
      <c r="P603" s="168"/>
      <c r="Q603" s="169"/>
      <c r="R603" s="167"/>
      <c r="S603" s="142" t="b">
        <v>0</v>
      </c>
      <c r="T603" s="170"/>
      <c r="U603" s="170"/>
      <c r="V603" s="170"/>
      <c r="W603" s="170"/>
      <c r="X603" s="170"/>
      <c r="Y603" s="171"/>
      <c r="Z603" s="71"/>
      <c r="AA603" s="71"/>
      <c r="AB603" s="168"/>
      <c r="AC603" s="172"/>
      <c r="AD603" s="71"/>
      <c r="AE603" s="168"/>
      <c r="AF603" s="168"/>
      <c r="AG603" s="168"/>
      <c r="AH603" s="13"/>
      <c r="AI603" s="13"/>
    </row>
    <row r="604">
      <c r="A604" s="160"/>
      <c r="B604" s="160"/>
      <c r="C604" s="161" t="b">
        <v>0</v>
      </c>
      <c r="D604" s="161"/>
      <c r="E604" s="161"/>
      <c r="F604" s="162"/>
      <c r="G604" s="163"/>
      <c r="H604" s="164"/>
      <c r="I604" s="165"/>
      <c r="J604" s="161"/>
      <c r="K604" s="161"/>
      <c r="L604" s="166"/>
      <c r="M604" s="167"/>
      <c r="N604" s="168"/>
      <c r="O604" s="168"/>
      <c r="P604" s="168"/>
      <c r="Q604" s="169"/>
      <c r="R604" s="167"/>
      <c r="S604" s="142" t="b">
        <v>0</v>
      </c>
      <c r="T604" s="170"/>
      <c r="U604" s="170"/>
      <c r="V604" s="170"/>
      <c r="W604" s="170"/>
      <c r="X604" s="170"/>
      <c r="Y604" s="171"/>
      <c r="Z604" s="71"/>
      <c r="AA604" s="71"/>
      <c r="AB604" s="168"/>
      <c r="AC604" s="172"/>
      <c r="AD604" s="71"/>
      <c r="AE604" s="168"/>
      <c r="AF604" s="168"/>
      <c r="AG604" s="168"/>
      <c r="AH604" s="13"/>
      <c r="AI604" s="13"/>
    </row>
    <row r="605">
      <c r="A605" s="160"/>
      <c r="B605" s="160"/>
      <c r="C605" s="161" t="b">
        <v>0</v>
      </c>
      <c r="D605" s="161"/>
      <c r="E605" s="161"/>
      <c r="F605" s="162"/>
      <c r="G605" s="163"/>
      <c r="H605" s="164"/>
      <c r="I605" s="165"/>
      <c r="J605" s="161"/>
      <c r="K605" s="161"/>
      <c r="L605" s="166"/>
      <c r="M605" s="167"/>
      <c r="N605" s="168"/>
      <c r="O605" s="168"/>
      <c r="P605" s="168"/>
      <c r="Q605" s="169"/>
      <c r="R605" s="167"/>
      <c r="S605" s="142" t="b">
        <v>0</v>
      </c>
      <c r="T605" s="170"/>
      <c r="U605" s="170"/>
      <c r="V605" s="170"/>
      <c r="W605" s="170"/>
      <c r="X605" s="170"/>
      <c r="Y605" s="171"/>
      <c r="Z605" s="71"/>
      <c r="AA605" s="71"/>
      <c r="AB605" s="168"/>
      <c r="AC605" s="172"/>
      <c r="AD605" s="71"/>
      <c r="AE605" s="168"/>
      <c r="AF605" s="168"/>
      <c r="AG605" s="168"/>
      <c r="AH605" s="13"/>
      <c r="AI605" s="13"/>
    </row>
    <row r="606">
      <c r="A606" s="160"/>
      <c r="B606" s="160"/>
      <c r="C606" s="161" t="b">
        <v>0</v>
      </c>
      <c r="D606" s="161"/>
      <c r="E606" s="161"/>
      <c r="F606" s="162"/>
      <c r="G606" s="163"/>
      <c r="H606" s="164"/>
      <c r="I606" s="165"/>
      <c r="J606" s="161"/>
      <c r="K606" s="161"/>
      <c r="L606" s="166"/>
      <c r="M606" s="167"/>
      <c r="N606" s="168"/>
      <c r="O606" s="168"/>
      <c r="P606" s="168"/>
      <c r="Q606" s="169"/>
      <c r="R606" s="167"/>
      <c r="S606" s="142" t="b">
        <v>0</v>
      </c>
      <c r="T606" s="170"/>
      <c r="U606" s="170"/>
      <c r="V606" s="170"/>
      <c r="W606" s="170"/>
      <c r="X606" s="170"/>
      <c r="Y606" s="171"/>
      <c r="Z606" s="71"/>
      <c r="AA606" s="71"/>
      <c r="AB606" s="168"/>
      <c r="AC606" s="172"/>
      <c r="AD606" s="71"/>
      <c r="AE606" s="168"/>
      <c r="AF606" s="168"/>
      <c r="AG606" s="168"/>
      <c r="AH606" s="13"/>
      <c r="AI606" s="13"/>
    </row>
    <row r="607">
      <c r="A607" s="160"/>
      <c r="B607" s="160"/>
      <c r="C607" s="161" t="b">
        <v>0</v>
      </c>
      <c r="D607" s="161"/>
      <c r="E607" s="161"/>
      <c r="F607" s="162"/>
      <c r="G607" s="163"/>
      <c r="H607" s="164"/>
      <c r="I607" s="165"/>
      <c r="J607" s="161"/>
      <c r="K607" s="161"/>
      <c r="L607" s="166"/>
      <c r="M607" s="167"/>
      <c r="N607" s="168"/>
      <c r="O607" s="168"/>
      <c r="P607" s="168"/>
      <c r="Q607" s="169"/>
      <c r="R607" s="167"/>
      <c r="S607" s="142" t="b">
        <v>0</v>
      </c>
      <c r="T607" s="170"/>
      <c r="U607" s="170"/>
      <c r="V607" s="170"/>
      <c r="W607" s="170"/>
      <c r="X607" s="170"/>
      <c r="Y607" s="171"/>
      <c r="Z607" s="71"/>
      <c r="AA607" s="71"/>
      <c r="AB607" s="168"/>
      <c r="AC607" s="172"/>
      <c r="AD607" s="71"/>
      <c r="AE607" s="168"/>
      <c r="AF607" s="168"/>
      <c r="AG607" s="168"/>
      <c r="AH607" s="13"/>
      <c r="AI607" s="13"/>
    </row>
    <row r="608">
      <c r="A608" s="160"/>
      <c r="B608" s="160"/>
      <c r="C608" s="161" t="b">
        <v>0</v>
      </c>
      <c r="D608" s="161"/>
      <c r="E608" s="161"/>
      <c r="F608" s="162"/>
      <c r="G608" s="163"/>
      <c r="H608" s="164"/>
      <c r="I608" s="165"/>
      <c r="J608" s="161"/>
      <c r="K608" s="161"/>
      <c r="L608" s="166"/>
      <c r="M608" s="167"/>
      <c r="N608" s="168"/>
      <c r="O608" s="168"/>
      <c r="P608" s="168"/>
      <c r="Q608" s="169"/>
      <c r="R608" s="167"/>
      <c r="S608" s="142" t="b">
        <v>0</v>
      </c>
      <c r="T608" s="170"/>
      <c r="U608" s="170"/>
      <c r="V608" s="170"/>
      <c r="W608" s="170"/>
      <c r="X608" s="170"/>
      <c r="Y608" s="171"/>
      <c r="Z608" s="71"/>
      <c r="AA608" s="71"/>
      <c r="AB608" s="168"/>
      <c r="AC608" s="172"/>
      <c r="AD608" s="71"/>
      <c r="AE608" s="168"/>
      <c r="AF608" s="168"/>
      <c r="AG608" s="168"/>
      <c r="AH608" s="13"/>
      <c r="AI608" s="13"/>
    </row>
    <row r="609">
      <c r="A609" s="160"/>
      <c r="B609" s="160"/>
      <c r="C609" s="161" t="b">
        <v>0</v>
      </c>
      <c r="D609" s="161"/>
      <c r="E609" s="161"/>
      <c r="F609" s="162"/>
      <c r="G609" s="163"/>
      <c r="H609" s="164"/>
      <c r="I609" s="165"/>
      <c r="J609" s="161"/>
      <c r="K609" s="161"/>
      <c r="L609" s="166"/>
      <c r="M609" s="167"/>
      <c r="N609" s="168"/>
      <c r="O609" s="168"/>
      <c r="P609" s="168"/>
      <c r="Q609" s="169"/>
      <c r="R609" s="167"/>
      <c r="S609" s="142" t="b">
        <v>0</v>
      </c>
      <c r="T609" s="170"/>
      <c r="U609" s="170"/>
      <c r="V609" s="170"/>
      <c r="W609" s="170"/>
      <c r="X609" s="170"/>
      <c r="Y609" s="171"/>
      <c r="Z609" s="71"/>
      <c r="AA609" s="71"/>
      <c r="AB609" s="168"/>
      <c r="AC609" s="172"/>
      <c r="AD609" s="71"/>
      <c r="AE609" s="168"/>
      <c r="AF609" s="168"/>
      <c r="AG609" s="168"/>
      <c r="AH609" s="13"/>
      <c r="AI609" s="13"/>
    </row>
    <row r="610">
      <c r="A610" s="160"/>
      <c r="B610" s="160"/>
      <c r="C610" s="161" t="b">
        <v>0</v>
      </c>
      <c r="D610" s="161"/>
      <c r="E610" s="161"/>
      <c r="F610" s="162"/>
      <c r="G610" s="163"/>
      <c r="H610" s="164"/>
      <c r="I610" s="165"/>
      <c r="J610" s="161"/>
      <c r="K610" s="161"/>
      <c r="L610" s="166"/>
      <c r="M610" s="167"/>
      <c r="N610" s="168"/>
      <c r="O610" s="168"/>
      <c r="P610" s="168"/>
      <c r="Q610" s="169"/>
      <c r="R610" s="167"/>
      <c r="S610" s="142" t="b">
        <v>0</v>
      </c>
      <c r="T610" s="170"/>
      <c r="U610" s="170"/>
      <c r="V610" s="170"/>
      <c r="W610" s="170"/>
      <c r="X610" s="170"/>
      <c r="Y610" s="171"/>
      <c r="Z610" s="71"/>
      <c r="AA610" s="71"/>
      <c r="AB610" s="168"/>
      <c r="AC610" s="172"/>
      <c r="AD610" s="71"/>
      <c r="AE610" s="168"/>
      <c r="AF610" s="168"/>
      <c r="AG610" s="168"/>
      <c r="AH610" s="13"/>
      <c r="AI610" s="13"/>
    </row>
    <row r="611">
      <c r="A611" s="160"/>
      <c r="B611" s="160"/>
      <c r="C611" s="161" t="b">
        <v>0</v>
      </c>
      <c r="D611" s="161"/>
      <c r="E611" s="161"/>
      <c r="F611" s="162"/>
      <c r="G611" s="163"/>
      <c r="H611" s="164"/>
      <c r="I611" s="165"/>
      <c r="J611" s="161"/>
      <c r="K611" s="161"/>
      <c r="L611" s="166"/>
      <c r="M611" s="167"/>
      <c r="N611" s="168"/>
      <c r="O611" s="168"/>
      <c r="P611" s="168"/>
      <c r="Q611" s="169"/>
      <c r="R611" s="167"/>
      <c r="S611" s="142" t="b">
        <v>0</v>
      </c>
      <c r="T611" s="170"/>
      <c r="U611" s="170"/>
      <c r="V611" s="170"/>
      <c r="W611" s="170"/>
      <c r="X611" s="170"/>
      <c r="Y611" s="171"/>
      <c r="Z611" s="71"/>
      <c r="AA611" s="71"/>
      <c r="AB611" s="168"/>
      <c r="AC611" s="172"/>
      <c r="AD611" s="71"/>
      <c r="AE611" s="168"/>
      <c r="AF611" s="168"/>
      <c r="AG611" s="168"/>
      <c r="AH611" s="13"/>
      <c r="AI611" s="13"/>
    </row>
    <row r="612">
      <c r="A612" s="160"/>
      <c r="B612" s="160"/>
      <c r="C612" s="161" t="b">
        <v>0</v>
      </c>
      <c r="D612" s="161"/>
      <c r="E612" s="161"/>
      <c r="F612" s="162"/>
      <c r="G612" s="163"/>
      <c r="H612" s="164"/>
      <c r="I612" s="165"/>
      <c r="J612" s="161"/>
      <c r="K612" s="161"/>
      <c r="L612" s="166"/>
      <c r="M612" s="167"/>
      <c r="N612" s="168"/>
      <c r="O612" s="168"/>
      <c r="P612" s="168"/>
      <c r="Q612" s="169"/>
      <c r="R612" s="167"/>
      <c r="S612" s="142" t="b">
        <v>0</v>
      </c>
      <c r="T612" s="170"/>
      <c r="U612" s="170"/>
      <c r="V612" s="170"/>
      <c r="W612" s="170"/>
      <c r="X612" s="170"/>
      <c r="Y612" s="171"/>
      <c r="Z612" s="71"/>
      <c r="AA612" s="71"/>
      <c r="AB612" s="168"/>
      <c r="AC612" s="172"/>
      <c r="AD612" s="71"/>
      <c r="AE612" s="168"/>
      <c r="AF612" s="168"/>
      <c r="AG612" s="168"/>
      <c r="AH612" s="13"/>
      <c r="AI612" s="13"/>
    </row>
    <row r="613">
      <c r="A613" s="160"/>
      <c r="B613" s="160"/>
      <c r="C613" s="161" t="b">
        <v>0</v>
      </c>
      <c r="D613" s="161"/>
      <c r="E613" s="161"/>
      <c r="F613" s="162"/>
      <c r="G613" s="163"/>
      <c r="H613" s="164"/>
      <c r="I613" s="165"/>
      <c r="J613" s="161"/>
      <c r="K613" s="161"/>
      <c r="L613" s="166"/>
      <c r="M613" s="167"/>
      <c r="N613" s="168"/>
      <c r="O613" s="168"/>
      <c r="P613" s="168"/>
      <c r="Q613" s="169"/>
      <c r="R613" s="167"/>
      <c r="S613" s="142" t="b">
        <v>0</v>
      </c>
      <c r="T613" s="170"/>
      <c r="U613" s="170"/>
      <c r="V613" s="170"/>
      <c r="W613" s="170"/>
      <c r="X613" s="170"/>
      <c r="Y613" s="171"/>
      <c r="Z613" s="71"/>
      <c r="AA613" s="71"/>
      <c r="AB613" s="168"/>
      <c r="AC613" s="172"/>
      <c r="AD613" s="71"/>
      <c r="AE613" s="168"/>
      <c r="AF613" s="168"/>
      <c r="AG613" s="168"/>
      <c r="AH613" s="13"/>
      <c r="AI613" s="13"/>
    </row>
    <row r="614">
      <c r="A614" s="160"/>
      <c r="B614" s="160"/>
      <c r="C614" s="161" t="b">
        <v>0</v>
      </c>
      <c r="D614" s="161"/>
      <c r="E614" s="161"/>
      <c r="F614" s="162"/>
      <c r="G614" s="163"/>
      <c r="H614" s="164"/>
      <c r="I614" s="165"/>
      <c r="J614" s="161"/>
      <c r="K614" s="161"/>
      <c r="L614" s="166"/>
      <c r="M614" s="167"/>
      <c r="N614" s="168"/>
      <c r="O614" s="168"/>
      <c r="P614" s="168"/>
      <c r="Q614" s="169"/>
      <c r="R614" s="167"/>
      <c r="S614" s="142" t="b">
        <v>0</v>
      </c>
      <c r="T614" s="170"/>
      <c r="U614" s="170"/>
      <c r="V614" s="170"/>
      <c r="W614" s="170"/>
      <c r="X614" s="170"/>
      <c r="Y614" s="171"/>
      <c r="Z614" s="71"/>
      <c r="AA614" s="71"/>
      <c r="AB614" s="168"/>
      <c r="AC614" s="172"/>
      <c r="AD614" s="71"/>
      <c r="AE614" s="168"/>
      <c r="AF614" s="168"/>
      <c r="AG614" s="168"/>
      <c r="AH614" s="13"/>
      <c r="AI614" s="13"/>
    </row>
    <row r="615">
      <c r="A615" s="160"/>
      <c r="B615" s="160"/>
      <c r="C615" s="161" t="b">
        <v>0</v>
      </c>
      <c r="D615" s="161"/>
      <c r="E615" s="161"/>
      <c r="F615" s="162"/>
      <c r="G615" s="163"/>
      <c r="H615" s="164"/>
      <c r="I615" s="165"/>
      <c r="J615" s="161"/>
      <c r="K615" s="161"/>
      <c r="L615" s="166"/>
      <c r="M615" s="167"/>
      <c r="N615" s="168"/>
      <c r="O615" s="168"/>
      <c r="P615" s="168"/>
      <c r="Q615" s="169"/>
      <c r="R615" s="167"/>
      <c r="S615" s="142" t="b">
        <v>0</v>
      </c>
      <c r="T615" s="170"/>
      <c r="U615" s="170"/>
      <c r="V615" s="170"/>
      <c r="W615" s="170"/>
      <c r="X615" s="170"/>
      <c r="Y615" s="171"/>
      <c r="Z615" s="71"/>
      <c r="AA615" s="71"/>
      <c r="AB615" s="168"/>
      <c r="AC615" s="172"/>
      <c r="AD615" s="71"/>
      <c r="AE615" s="168"/>
      <c r="AF615" s="168"/>
      <c r="AG615" s="168"/>
      <c r="AH615" s="13"/>
      <c r="AI615" s="13"/>
    </row>
    <row r="616">
      <c r="A616" s="160"/>
      <c r="B616" s="160"/>
      <c r="C616" s="161" t="b">
        <v>0</v>
      </c>
      <c r="D616" s="161"/>
      <c r="E616" s="161"/>
      <c r="F616" s="162"/>
      <c r="G616" s="163"/>
      <c r="H616" s="164"/>
      <c r="I616" s="165"/>
      <c r="J616" s="161"/>
      <c r="K616" s="161"/>
      <c r="L616" s="166"/>
      <c r="M616" s="167"/>
      <c r="N616" s="168"/>
      <c r="O616" s="168"/>
      <c r="P616" s="168"/>
      <c r="Q616" s="169"/>
      <c r="R616" s="167"/>
      <c r="S616" s="142" t="b">
        <v>0</v>
      </c>
      <c r="T616" s="170"/>
      <c r="U616" s="170"/>
      <c r="V616" s="170"/>
      <c r="W616" s="170"/>
      <c r="X616" s="170"/>
      <c r="Y616" s="171"/>
      <c r="Z616" s="71"/>
      <c r="AA616" s="71"/>
      <c r="AB616" s="168"/>
      <c r="AC616" s="172"/>
      <c r="AD616" s="71"/>
      <c r="AE616" s="168"/>
      <c r="AF616" s="168"/>
      <c r="AG616" s="168"/>
      <c r="AH616" s="13"/>
      <c r="AI616" s="13"/>
    </row>
    <row r="617">
      <c r="A617" s="160"/>
      <c r="B617" s="160"/>
      <c r="C617" s="161" t="b">
        <v>0</v>
      </c>
      <c r="D617" s="161"/>
      <c r="E617" s="161"/>
      <c r="F617" s="162"/>
      <c r="G617" s="163"/>
      <c r="H617" s="164"/>
      <c r="I617" s="165"/>
      <c r="J617" s="161"/>
      <c r="K617" s="161"/>
      <c r="L617" s="166"/>
      <c r="M617" s="167"/>
      <c r="N617" s="168"/>
      <c r="O617" s="168"/>
      <c r="P617" s="168"/>
      <c r="Q617" s="169"/>
      <c r="R617" s="167"/>
      <c r="S617" s="142" t="b">
        <v>0</v>
      </c>
      <c r="T617" s="170"/>
      <c r="U617" s="170"/>
      <c r="V617" s="170"/>
      <c r="W617" s="170"/>
      <c r="X617" s="170"/>
      <c r="Y617" s="171"/>
      <c r="Z617" s="71"/>
      <c r="AA617" s="71"/>
      <c r="AB617" s="168"/>
      <c r="AC617" s="172"/>
      <c r="AD617" s="71"/>
      <c r="AE617" s="168"/>
      <c r="AF617" s="168"/>
      <c r="AG617" s="168"/>
      <c r="AH617" s="13"/>
      <c r="AI617" s="13"/>
    </row>
    <row r="618">
      <c r="A618" s="160"/>
      <c r="B618" s="160"/>
      <c r="C618" s="161" t="b">
        <v>0</v>
      </c>
      <c r="D618" s="161"/>
      <c r="E618" s="161"/>
      <c r="F618" s="162"/>
      <c r="G618" s="163"/>
      <c r="H618" s="164"/>
      <c r="I618" s="165"/>
      <c r="J618" s="161"/>
      <c r="K618" s="161"/>
      <c r="L618" s="166"/>
      <c r="M618" s="167"/>
      <c r="N618" s="168"/>
      <c r="O618" s="168"/>
      <c r="P618" s="168"/>
      <c r="Q618" s="169"/>
      <c r="R618" s="167"/>
      <c r="S618" s="142" t="b">
        <v>0</v>
      </c>
      <c r="T618" s="170"/>
      <c r="U618" s="170"/>
      <c r="V618" s="170"/>
      <c r="W618" s="170"/>
      <c r="X618" s="170"/>
      <c r="Y618" s="171"/>
      <c r="Z618" s="71"/>
      <c r="AA618" s="71"/>
      <c r="AB618" s="168"/>
      <c r="AC618" s="172"/>
      <c r="AD618" s="71"/>
      <c r="AE618" s="168"/>
      <c r="AF618" s="168"/>
      <c r="AG618" s="168"/>
      <c r="AH618" s="13"/>
      <c r="AI618" s="13"/>
    </row>
    <row r="619">
      <c r="A619" s="160"/>
      <c r="B619" s="160"/>
      <c r="C619" s="161" t="b">
        <v>0</v>
      </c>
      <c r="D619" s="161"/>
      <c r="E619" s="161"/>
      <c r="F619" s="162"/>
      <c r="G619" s="163"/>
      <c r="H619" s="164"/>
      <c r="I619" s="165"/>
      <c r="J619" s="161"/>
      <c r="K619" s="161"/>
      <c r="L619" s="166"/>
      <c r="M619" s="167"/>
      <c r="N619" s="168"/>
      <c r="O619" s="168"/>
      <c r="P619" s="168"/>
      <c r="Q619" s="169"/>
      <c r="R619" s="167"/>
      <c r="S619" s="142" t="b">
        <v>0</v>
      </c>
      <c r="T619" s="170"/>
      <c r="U619" s="170"/>
      <c r="V619" s="170"/>
      <c r="W619" s="170"/>
      <c r="X619" s="170"/>
      <c r="Y619" s="171"/>
      <c r="Z619" s="71"/>
      <c r="AA619" s="71"/>
      <c r="AB619" s="168"/>
      <c r="AC619" s="172"/>
      <c r="AD619" s="71"/>
      <c r="AE619" s="168"/>
      <c r="AF619" s="168"/>
      <c r="AG619" s="168"/>
      <c r="AH619" s="13"/>
      <c r="AI619" s="13"/>
    </row>
    <row r="620">
      <c r="A620" s="160"/>
      <c r="B620" s="160"/>
      <c r="C620" s="161" t="b">
        <v>0</v>
      </c>
      <c r="D620" s="161"/>
      <c r="E620" s="161"/>
      <c r="F620" s="162"/>
      <c r="G620" s="163"/>
      <c r="H620" s="164"/>
      <c r="I620" s="165"/>
      <c r="J620" s="161"/>
      <c r="K620" s="161"/>
      <c r="L620" s="166"/>
      <c r="M620" s="167"/>
      <c r="N620" s="168"/>
      <c r="O620" s="168"/>
      <c r="P620" s="168"/>
      <c r="Q620" s="169"/>
      <c r="R620" s="167"/>
      <c r="S620" s="142" t="b">
        <v>0</v>
      </c>
      <c r="T620" s="170"/>
      <c r="U620" s="170"/>
      <c r="V620" s="170"/>
      <c r="W620" s="170"/>
      <c r="X620" s="170"/>
      <c r="Y620" s="171"/>
      <c r="Z620" s="71"/>
      <c r="AA620" s="71"/>
      <c r="AB620" s="168"/>
      <c r="AC620" s="172"/>
      <c r="AD620" s="71"/>
      <c r="AE620" s="168"/>
      <c r="AF620" s="168"/>
      <c r="AG620" s="168"/>
      <c r="AH620" s="13"/>
      <c r="AI620" s="13"/>
    </row>
    <row r="621">
      <c r="A621" s="160"/>
      <c r="B621" s="160"/>
      <c r="C621" s="161" t="b">
        <v>0</v>
      </c>
      <c r="D621" s="161"/>
      <c r="E621" s="161"/>
      <c r="F621" s="162"/>
      <c r="G621" s="163"/>
      <c r="H621" s="164"/>
      <c r="I621" s="165"/>
      <c r="J621" s="161"/>
      <c r="K621" s="161"/>
      <c r="L621" s="166"/>
      <c r="M621" s="167"/>
      <c r="N621" s="168"/>
      <c r="O621" s="168"/>
      <c r="P621" s="168"/>
      <c r="Q621" s="169"/>
      <c r="R621" s="167"/>
      <c r="S621" s="142" t="b">
        <v>0</v>
      </c>
      <c r="T621" s="170"/>
      <c r="U621" s="170"/>
      <c r="V621" s="170"/>
      <c r="W621" s="170"/>
      <c r="X621" s="170"/>
      <c r="Y621" s="171"/>
      <c r="Z621" s="71"/>
      <c r="AA621" s="71"/>
      <c r="AB621" s="168"/>
      <c r="AC621" s="172"/>
      <c r="AD621" s="71"/>
      <c r="AE621" s="168"/>
      <c r="AF621" s="168"/>
      <c r="AG621" s="168"/>
      <c r="AH621" s="13"/>
      <c r="AI621" s="13"/>
    </row>
    <row r="622">
      <c r="A622" s="160"/>
      <c r="B622" s="160"/>
      <c r="C622" s="161" t="b">
        <v>0</v>
      </c>
      <c r="D622" s="161"/>
      <c r="E622" s="161"/>
      <c r="F622" s="162"/>
      <c r="G622" s="163"/>
      <c r="H622" s="164"/>
      <c r="I622" s="165"/>
      <c r="J622" s="161"/>
      <c r="K622" s="161"/>
      <c r="L622" s="166"/>
      <c r="M622" s="167"/>
      <c r="N622" s="168"/>
      <c r="O622" s="168"/>
      <c r="P622" s="168"/>
      <c r="Q622" s="169"/>
      <c r="R622" s="167"/>
      <c r="S622" s="142" t="b">
        <v>0</v>
      </c>
      <c r="T622" s="170"/>
      <c r="U622" s="170"/>
      <c r="V622" s="170"/>
      <c r="W622" s="170"/>
      <c r="X622" s="170"/>
      <c r="Y622" s="171"/>
      <c r="Z622" s="71"/>
      <c r="AA622" s="71"/>
      <c r="AB622" s="168"/>
      <c r="AC622" s="172"/>
      <c r="AD622" s="71"/>
      <c r="AE622" s="168"/>
      <c r="AF622" s="168"/>
      <c r="AG622" s="168"/>
      <c r="AH622" s="13"/>
      <c r="AI622" s="13"/>
    </row>
    <row r="623">
      <c r="A623" s="160"/>
      <c r="B623" s="160"/>
      <c r="C623" s="161" t="b">
        <v>0</v>
      </c>
      <c r="D623" s="161"/>
      <c r="E623" s="161"/>
      <c r="F623" s="162"/>
      <c r="G623" s="163"/>
      <c r="H623" s="164"/>
      <c r="I623" s="165"/>
      <c r="J623" s="161"/>
      <c r="K623" s="161"/>
      <c r="L623" s="166"/>
      <c r="M623" s="167"/>
      <c r="N623" s="168"/>
      <c r="O623" s="168"/>
      <c r="P623" s="168"/>
      <c r="Q623" s="169"/>
      <c r="R623" s="167"/>
      <c r="S623" s="142" t="b">
        <v>0</v>
      </c>
      <c r="T623" s="170"/>
      <c r="U623" s="170"/>
      <c r="V623" s="170"/>
      <c r="W623" s="170"/>
      <c r="X623" s="170"/>
      <c r="Y623" s="171"/>
      <c r="Z623" s="71"/>
      <c r="AA623" s="71"/>
      <c r="AB623" s="168"/>
      <c r="AC623" s="172"/>
      <c r="AD623" s="71"/>
      <c r="AE623" s="168"/>
      <c r="AF623" s="168"/>
      <c r="AG623" s="168"/>
      <c r="AH623" s="13"/>
      <c r="AI623" s="13"/>
    </row>
    <row r="624">
      <c r="A624" s="160"/>
      <c r="B624" s="160"/>
      <c r="C624" s="161" t="b">
        <v>0</v>
      </c>
      <c r="D624" s="161"/>
      <c r="E624" s="161"/>
      <c r="F624" s="162"/>
      <c r="G624" s="163"/>
      <c r="H624" s="164"/>
      <c r="I624" s="165"/>
      <c r="J624" s="161"/>
      <c r="K624" s="161"/>
      <c r="L624" s="166"/>
      <c r="M624" s="167"/>
      <c r="N624" s="168"/>
      <c r="O624" s="168"/>
      <c r="P624" s="168"/>
      <c r="Q624" s="169"/>
      <c r="R624" s="167"/>
      <c r="S624" s="142" t="b">
        <v>0</v>
      </c>
      <c r="T624" s="170"/>
      <c r="U624" s="170"/>
      <c r="V624" s="170"/>
      <c r="W624" s="170"/>
      <c r="X624" s="170"/>
      <c r="Y624" s="171"/>
      <c r="Z624" s="71"/>
      <c r="AA624" s="71"/>
      <c r="AB624" s="168"/>
      <c r="AC624" s="172"/>
      <c r="AD624" s="71"/>
      <c r="AE624" s="168"/>
      <c r="AF624" s="168"/>
      <c r="AG624" s="168"/>
      <c r="AH624" s="13"/>
      <c r="AI624" s="13"/>
    </row>
    <row r="625">
      <c r="A625" s="160"/>
      <c r="B625" s="160"/>
      <c r="C625" s="161" t="b">
        <v>0</v>
      </c>
      <c r="D625" s="161"/>
      <c r="E625" s="161"/>
      <c r="F625" s="162"/>
      <c r="G625" s="163"/>
      <c r="H625" s="164"/>
      <c r="I625" s="165"/>
      <c r="J625" s="161"/>
      <c r="K625" s="161"/>
      <c r="L625" s="166"/>
      <c r="M625" s="167"/>
      <c r="N625" s="168"/>
      <c r="O625" s="168"/>
      <c r="P625" s="168"/>
      <c r="Q625" s="169"/>
      <c r="R625" s="167"/>
      <c r="S625" s="142" t="b">
        <v>0</v>
      </c>
      <c r="T625" s="170"/>
      <c r="U625" s="170"/>
      <c r="V625" s="170"/>
      <c r="W625" s="170"/>
      <c r="X625" s="170"/>
      <c r="Y625" s="171"/>
      <c r="Z625" s="71"/>
      <c r="AA625" s="71"/>
      <c r="AB625" s="168"/>
      <c r="AC625" s="172"/>
      <c r="AD625" s="71"/>
      <c r="AE625" s="168"/>
      <c r="AF625" s="168"/>
      <c r="AG625" s="168"/>
      <c r="AH625" s="13"/>
      <c r="AI625" s="13"/>
    </row>
    <row r="626">
      <c r="A626" s="160"/>
      <c r="B626" s="160"/>
      <c r="C626" s="161" t="b">
        <v>0</v>
      </c>
      <c r="D626" s="161"/>
      <c r="E626" s="161"/>
      <c r="F626" s="162"/>
      <c r="G626" s="163"/>
      <c r="H626" s="164"/>
      <c r="I626" s="165"/>
      <c r="J626" s="161"/>
      <c r="K626" s="161"/>
      <c r="L626" s="166"/>
      <c r="M626" s="167"/>
      <c r="N626" s="168"/>
      <c r="O626" s="168"/>
      <c r="P626" s="168"/>
      <c r="Q626" s="169"/>
      <c r="R626" s="167"/>
      <c r="S626" s="142" t="b">
        <v>0</v>
      </c>
      <c r="T626" s="170"/>
      <c r="U626" s="170"/>
      <c r="V626" s="170"/>
      <c r="W626" s="170"/>
      <c r="X626" s="170"/>
      <c r="Y626" s="171"/>
      <c r="Z626" s="71"/>
      <c r="AA626" s="71"/>
      <c r="AB626" s="168"/>
      <c r="AC626" s="172"/>
      <c r="AD626" s="71"/>
      <c r="AE626" s="168"/>
      <c r="AF626" s="168"/>
      <c r="AG626" s="168"/>
      <c r="AH626" s="13"/>
      <c r="AI626" s="13"/>
    </row>
    <row r="627">
      <c r="A627" s="160"/>
      <c r="B627" s="160"/>
      <c r="C627" s="161" t="b">
        <v>0</v>
      </c>
      <c r="D627" s="161"/>
      <c r="E627" s="161"/>
      <c r="F627" s="162"/>
      <c r="G627" s="163"/>
      <c r="H627" s="164"/>
      <c r="I627" s="165"/>
      <c r="J627" s="161"/>
      <c r="K627" s="161"/>
      <c r="L627" s="166"/>
      <c r="M627" s="167"/>
      <c r="N627" s="168"/>
      <c r="O627" s="168"/>
      <c r="P627" s="168"/>
      <c r="Q627" s="169"/>
      <c r="R627" s="167"/>
      <c r="S627" s="142" t="b">
        <v>0</v>
      </c>
      <c r="T627" s="170"/>
      <c r="U627" s="170"/>
      <c r="V627" s="170"/>
      <c r="W627" s="170"/>
      <c r="X627" s="170"/>
      <c r="Y627" s="171"/>
      <c r="Z627" s="71"/>
      <c r="AA627" s="71"/>
      <c r="AB627" s="168"/>
      <c r="AC627" s="172"/>
      <c r="AD627" s="71"/>
      <c r="AE627" s="168"/>
      <c r="AF627" s="168"/>
      <c r="AG627" s="168"/>
      <c r="AH627" s="13"/>
      <c r="AI627" s="13"/>
    </row>
    <row r="628">
      <c r="A628" s="160"/>
      <c r="B628" s="160"/>
      <c r="C628" s="161" t="b">
        <v>0</v>
      </c>
      <c r="D628" s="161"/>
      <c r="E628" s="161"/>
      <c r="F628" s="162"/>
      <c r="G628" s="163"/>
      <c r="H628" s="164"/>
      <c r="I628" s="165"/>
      <c r="J628" s="161"/>
      <c r="K628" s="161"/>
      <c r="L628" s="166"/>
      <c r="M628" s="167"/>
      <c r="N628" s="168"/>
      <c r="O628" s="168"/>
      <c r="P628" s="168"/>
      <c r="Q628" s="169"/>
      <c r="R628" s="167"/>
      <c r="S628" s="142" t="b">
        <v>0</v>
      </c>
      <c r="T628" s="170"/>
      <c r="U628" s="170"/>
      <c r="V628" s="170"/>
      <c r="W628" s="170"/>
      <c r="X628" s="170"/>
      <c r="Y628" s="171"/>
      <c r="Z628" s="71"/>
      <c r="AA628" s="71"/>
      <c r="AB628" s="168"/>
      <c r="AC628" s="172"/>
      <c r="AD628" s="71"/>
      <c r="AE628" s="168"/>
      <c r="AF628" s="168"/>
      <c r="AG628" s="168"/>
      <c r="AH628" s="13"/>
      <c r="AI628" s="13"/>
    </row>
    <row r="629">
      <c r="A629" s="160"/>
      <c r="B629" s="160"/>
      <c r="C629" s="161" t="b">
        <v>0</v>
      </c>
      <c r="D629" s="161"/>
      <c r="E629" s="161"/>
      <c r="F629" s="162"/>
      <c r="G629" s="163"/>
      <c r="H629" s="164"/>
      <c r="I629" s="165"/>
      <c r="J629" s="161"/>
      <c r="K629" s="161"/>
      <c r="L629" s="166"/>
      <c r="M629" s="167"/>
      <c r="N629" s="168"/>
      <c r="O629" s="168"/>
      <c r="P629" s="168"/>
      <c r="Q629" s="169"/>
      <c r="R629" s="167"/>
      <c r="S629" s="142" t="b">
        <v>0</v>
      </c>
      <c r="T629" s="170"/>
      <c r="U629" s="170"/>
      <c r="V629" s="170"/>
      <c r="W629" s="170"/>
      <c r="X629" s="170"/>
      <c r="Y629" s="171"/>
      <c r="Z629" s="71"/>
      <c r="AA629" s="71"/>
      <c r="AB629" s="168"/>
      <c r="AC629" s="172"/>
      <c r="AD629" s="71"/>
      <c r="AE629" s="168"/>
      <c r="AF629" s="168"/>
      <c r="AG629" s="168"/>
      <c r="AH629" s="13"/>
      <c r="AI629" s="13"/>
    </row>
    <row r="630">
      <c r="A630" s="160"/>
      <c r="B630" s="160"/>
      <c r="C630" s="161" t="b">
        <v>0</v>
      </c>
      <c r="D630" s="161"/>
      <c r="E630" s="161"/>
      <c r="F630" s="162"/>
      <c r="G630" s="163"/>
      <c r="H630" s="164"/>
      <c r="I630" s="165"/>
      <c r="J630" s="161"/>
      <c r="K630" s="161"/>
      <c r="L630" s="166"/>
      <c r="M630" s="167"/>
      <c r="N630" s="168"/>
      <c r="O630" s="168"/>
      <c r="P630" s="168"/>
      <c r="Q630" s="169"/>
      <c r="R630" s="167"/>
      <c r="S630" s="142" t="b">
        <v>0</v>
      </c>
      <c r="T630" s="170"/>
      <c r="U630" s="170"/>
      <c r="V630" s="170"/>
      <c r="W630" s="170"/>
      <c r="X630" s="170"/>
      <c r="Y630" s="171"/>
      <c r="Z630" s="71"/>
      <c r="AA630" s="71"/>
      <c r="AB630" s="168"/>
      <c r="AC630" s="172"/>
      <c r="AD630" s="71"/>
      <c r="AE630" s="168"/>
      <c r="AF630" s="168"/>
      <c r="AG630" s="168"/>
      <c r="AH630" s="13"/>
      <c r="AI630" s="13"/>
    </row>
    <row r="631">
      <c r="A631" s="160"/>
      <c r="B631" s="160"/>
      <c r="C631" s="161" t="b">
        <v>0</v>
      </c>
      <c r="D631" s="161"/>
      <c r="E631" s="161"/>
      <c r="F631" s="162"/>
      <c r="G631" s="163"/>
      <c r="H631" s="164"/>
      <c r="I631" s="165"/>
      <c r="J631" s="161"/>
      <c r="K631" s="161"/>
      <c r="L631" s="166"/>
      <c r="M631" s="167"/>
      <c r="N631" s="168"/>
      <c r="O631" s="168"/>
      <c r="P631" s="168"/>
      <c r="Q631" s="169"/>
      <c r="R631" s="167"/>
      <c r="S631" s="142" t="b">
        <v>0</v>
      </c>
      <c r="T631" s="170"/>
      <c r="U631" s="170"/>
      <c r="V631" s="170"/>
      <c r="W631" s="170"/>
      <c r="X631" s="170"/>
      <c r="Y631" s="171"/>
      <c r="Z631" s="71"/>
      <c r="AA631" s="71"/>
      <c r="AB631" s="168"/>
      <c r="AC631" s="172"/>
      <c r="AD631" s="71"/>
      <c r="AE631" s="168"/>
      <c r="AF631" s="168"/>
      <c r="AG631" s="168"/>
      <c r="AH631" s="13"/>
      <c r="AI631" s="13"/>
    </row>
    <row r="632">
      <c r="A632" s="160"/>
      <c r="B632" s="160"/>
      <c r="C632" s="161" t="b">
        <v>0</v>
      </c>
      <c r="D632" s="161"/>
      <c r="E632" s="161"/>
      <c r="F632" s="162"/>
      <c r="G632" s="163"/>
      <c r="H632" s="164"/>
      <c r="I632" s="165"/>
      <c r="J632" s="161"/>
      <c r="K632" s="161"/>
      <c r="L632" s="166"/>
      <c r="M632" s="167"/>
      <c r="N632" s="168"/>
      <c r="O632" s="168"/>
      <c r="P632" s="168"/>
      <c r="Q632" s="169"/>
      <c r="R632" s="167"/>
      <c r="S632" s="142" t="b">
        <v>0</v>
      </c>
      <c r="T632" s="170"/>
      <c r="U632" s="170"/>
      <c r="V632" s="170"/>
      <c r="W632" s="170"/>
      <c r="X632" s="170"/>
      <c r="Y632" s="171"/>
      <c r="Z632" s="71"/>
      <c r="AA632" s="71"/>
      <c r="AB632" s="168"/>
      <c r="AC632" s="172"/>
      <c r="AD632" s="71"/>
      <c r="AE632" s="168"/>
      <c r="AF632" s="168"/>
      <c r="AG632" s="168"/>
      <c r="AH632" s="13"/>
      <c r="AI632" s="13"/>
    </row>
    <row r="633">
      <c r="A633" s="160"/>
      <c r="B633" s="160"/>
      <c r="C633" s="161" t="b">
        <v>0</v>
      </c>
      <c r="D633" s="161"/>
      <c r="E633" s="161"/>
      <c r="F633" s="162"/>
      <c r="G633" s="163"/>
      <c r="H633" s="164"/>
      <c r="I633" s="165"/>
      <c r="J633" s="161"/>
      <c r="K633" s="161"/>
      <c r="L633" s="166"/>
      <c r="M633" s="167"/>
      <c r="N633" s="168"/>
      <c r="O633" s="168"/>
      <c r="P633" s="168"/>
      <c r="Q633" s="169"/>
      <c r="R633" s="167"/>
      <c r="S633" s="142" t="b">
        <v>0</v>
      </c>
      <c r="T633" s="170"/>
      <c r="U633" s="170"/>
      <c r="V633" s="170"/>
      <c r="W633" s="170"/>
      <c r="X633" s="170"/>
      <c r="Y633" s="171"/>
      <c r="Z633" s="71"/>
      <c r="AA633" s="71"/>
      <c r="AB633" s="168"/>
      <c r="AC633" s="172"/>
      <c r="AD633" s="71"/>
      <c r="AE633" s="168"/>
      <c r="AF633" s="168"/>
      <c r="AG633" s="168"/>
      <c r="AH633" s="13"/>
      <c r="AI633" s="13"/>
    </row>
    <row r="634">
      <c r="A634" s="160"/>
      <c r="B634" s="160"/>
      <c r="C634" s="161" t="b">
        <v>0</v>
      </c>
      <c r="D634" s="161"/>
      <c r="E634" s="161"/>
      <c r="F634" s="162"/>
      <c r="G634" s="163"/>
      <c r="H634" s="164"/>
      <c r="I634" s="165"/>
      <c r="J634" s="161"/>
      <c r="K634" s="161"/>
      <c r="L634" s="166"/>
      <c r="M634" s="167"/>
      <c r="N634" s="168"/>
      <c r="O634" s="168"/>
      <c r="P634" s="168"/>
      <c r="Q634" s="169"/>
      <c r="R634" s="167"/>
      <c r="S634" s="142" t="b">
        <v>0</v>
      </c>
      <c r="T634" s="170"/>
      <c r="U634" s="170"/>
      <c r="V634" s="170"/>
      <c r="W634" s="170"/>
      <c r="X634" s="170"/>
      <c r="Y634" s="171"/>
      <c r="Z634" s="71"/>
      <c r="AA634" s="71"/>
      <c r="AB634" s="168"/>
      <c r="AC634" s="172"/>
      <c r="AD634" s="71"/>
      <c r="AE634" s="168"/>
      <c r="AF634" s="168"/>
      <c r="AG634" s="168"/>
      <c r="AH634" s="13"/>
      <c r="AI634" s="13"/>
    </row>
    <row r="635">
      <c r="A635" s="160"/>
      <c r="B635" s="160"/>
      <c r="C635" s="161" t="b">
        <v>0</v>
      </c>
      <c r="D635" s="161"/>
      <c r="E635" s="161"/>
      <c r="F635" s="162"/>
      <c r="G635" s="163"/>
      <c r="H635" s="164"/>
      <c r="I635" s="165"/>
      <c r="J635" s="161"/>
      <c r="K635" s="161"/>
      <c r="L635" s="166"/>
      <c r="M635" s="167"/>
      <c r="N635" s="168"/>
      <c r="O635" s="168"/>
      <c r="P635" s="168"/>
      <c r="Q635" s="169"/>
      <c r="R635" s="167"/>
      <c r="S635" s="142" t="b">
        <v>0</v>
      </c>
      <c r="T635" s="170"/>
      <c r="U635" s="170"/>
      <c r="V635" s="170"/>
      <c r="W635" s="170"/>
      <c r="X635" s="170"/>
      <c r="Y635" s="171"/>
      <c r="Z635" s="71"/>
      <c r="AA635" s="71"/>
      <c r="AB635" s="168"/>
      <c r="AC635" s="172"/>
      <c r="AD635" s="71"/>
      <c r="AE635" s="168"/>
      <c r="AF635" s="168"/>
      <c r="AG635" s="168"/>
      <c r="AH635" s="13"/>
      <c r="AI635" s="13"/>
    </row>
    <row r="636">
      <c r="A636" s="160"/>
      <c r="B636" s="160"/>
      <c r="C636" s="161" t="b">
        <v>0</v>
      </c>
      <c r="D636" s="161"/>
      <c r="E636" s="161"/>
      <c r="F636" s="162"/>
      <c r="G636" s="163"/>
      <c r="H636" s="164"/>
      <c r="I636" s="165"/>
      <c r="J636" s="161"/>
      <c r="K636" s="161"/>
      <c r="L636" s="166"/>
      <c r="M636" s="167"/>
      <c r="N636" s="168"/>
      <c r="O636" s="168"/>
      <c r="P636" s="168"/>
      <c r="Q636" s="169"/>
      <c r="R636" s="167"/>
      <c r="S636" s="142" t="b">
        <v>0</v>
      </c>
      <c r="T636" s="170"/>
      <c r="U636" s="170"/>
      <c r="V636" s="170"/>
      <c r="W636" s="170"/>
      <c r="X636" s="170"/>
      <c r="Y636" s="171"/>
      <c r="Z636" s="71"/>
      <c r="AA636" s="71"/>
      <c r="AB636" s="168"/>
      <c r="AC636" s="172"/>
      <c r="AD636" s="71"/>
      <c r="AE636" s="168"/>
      <c r="AF636" s="168"/>
      <c r="AG636" s="168"/>
      <c r="AH636" s="13"/>
      <c r="AI636" s="13"/>
    </row>
    <row r="637">
      <c r="A637" s="160"/>
      <c r="B637" s="160"/>
      <c r="C637" s="161" t="b">
        <v>0</v>
      </c>
      <c r="D637" s="161"/>
      <c r="E637" s="161"/>
      <c r="F637" s="162"/>
      <c r="G637" s="163"/>
      <c r="H637" s="164"/>
      <c r="I637" s="165"/>
      <c r="J637" s="161"/>
      <c r="K637" s="161"/>
      <c r="L637" s="166"/>
      <c r="M637" s="167"/>
      <c r="N637" s="168"/>
      <c r="O637" s="168"/>
      <c r="P637" s="168"/>
      <c r="Q637" s="169"/>
      <c r="R637" s="167"/>
      <c r="S637" s="142" t="b">
        <v>0</v>
      </c>
      <c r="T637" s="170"/>
      <c r="U637" s="170"/>
      <c r="V637" s="170"/>
      <c r="W637" s="170"/>
      <c r="X637" s="170"/>
      <c r="Y637" s="171"/>
      <c r="Z637" s="71"/>
      <c r="AA637" s="71"/>
      <c r="AB637" s="168"/>
      <c r="AC637" s="172"/>
      <c r="AD637" s="71"/>
      <c r="AE637" s="168"/>
      <c r="AF637" s="168"/>
      <c r="AG637" s="168"/>
      <c r="AH637" s="13"/>
      <c r="AI637" s="13"/>
    </row>
    <row r="638">
      <c r="A638" s="160"/>
      <c r="B638" s="160"/>
      <c r="C638" s="161" t="b">
        <v>0</v>
      </c>
      <c r="D638" s="161"/>
      <c r="E638" s="161"/>
      <c r="F638" s="162"/>
      <c r="G638" s="163"/>
      <c r="H638" s="164"/>
      <c r="I638" s="165"/>
      <c r="J638" s="161"/>
      <c r="K638" s="161"/>
      <c r="L638" s="166"/>
      <c r="M638" s="167"/>
      <c r="N638" s="168"/>
      <c r="O638" s="168"/>
      <c r="P638" s="168"/>
      <c r="Q638" s="169"/>
      <c r="R638" s="167"/>
      <c r="S638" s="142" t="b">
        <v>0</v>
      </c>
      <c r="T638" s="170"/>
      <c r="U638" s="170"/>
      <c r="V638" s="170"/>
      <c r="W638" s="170"/>
      <c r="X638" s="170"/>
      <c r="Y638" s="171"/>
      <c r="Z638" s="71"/>
      <c r="AA638" s="71"/>
      <c r="AB638" s="168"/>
      <c r="AC638" s="172"/>
      <c r="AD638" s="71"/>
      <c r="AE638" s="168"/>
      <c r="AF638" s="168"/>
      <c r="AG638" s="168"/>
      <c r="AH638" s="13"/>
      <c r="AI638" s="13"/>
    </row>
    <row r="639">
      <c r="A639" s="160"/>
      <c r="B639" s="160"/>
      <c r="C639" s="161" t="b">
        <v>0</v>
      </c>
      <c r="D639" s="161"/>
      <c r="E639" s="161"/>
      <c r="F639" s="162"/>
      <c r="G639" s="163"/>
      <c r="H639" s="164"/>
      <c r="I639" s="165"/>
      <c r="J639" s="161"/>
      <c r="K639" s="161"/>
      <c r="L639" s="166"/>
      <c r="M639" s="167"/>
      <c r="N639" s="168"/>
      <c r="O639" s="168"/>
      <c r="P639" s="168"/>
      <c r="Q639" s="169"/>
      <c r="R639" s="167"/>
      <c r="S639" s="142" t="b">
        <v>0</v>
      </c>
      <c r="T639" s="170"/>
      <c r="U639" s="170"/>
      <c r="V639" s="170"/>
      <c r="W639" s="170"/>
      <c r="X639" s="170"/>
      <c r="Y639" s="171"/>
      <c r="Z639" s="71"/>
      <c r="AA639" s="71"/>
      <c r="AB639" s="168"/>
      <c r="AC639" s="172"/>
      <c r="AD639" s="71"/>
      <c r="AE639" s="168"/>
      <c r="AF639" s="168"/>
      <c r="AG639" s="168"/>
      <c r="AH639" s="13"/>
      <c r="AI639" s="13"/>
    </row>
    <row r="640">
      <c r="A640" s="160"/>
      <c r="B640" s="160"/>
      <c r="C640" s="161" t="b">
        <v>0</v>
      </c>
      <c r="D640" s="161"/>
      <c r="E640" s="161"/>
      <c r="F640" s="162"/>
      <c r="G640" s="163"/>
      <c r="H640" s="164"/>
      <c r="I640" s="165"/>
      <c r="J640" s="161"/>
      <c r="K640" s="161"/>
      <c r="L640" s="166"/>
      <c r="M640" s="167"/>
      <c r="N640" s="168"/>
      <c r="O640" s="168"/>
      <c r="P640" s="168"/>
      <c r="Q640" s="169"/>
      <c r="R640" s="167"/>
      <c r="S640" s="142" t="b">
        <v>0</v>
      </c>
      <c r="T640" s="170"/>
      <c r="U640" s="170"/>
      <c r="V640" s="170"/>
      <c r="W640" s="170"/>
      <c r="X640" s="170"/>
      <c r="Y640" s="171"/>
      <c r="Z640" s="71"/>
      <c r="AA640" s="71"/>
      <c r="AB640" s="168"/>
      <c r="AC640" s="172"/>
      <c r="AD640" s="71"/>
      <c r="AE640" s="168"/>
      <c r="AF640" s="168"/>
      <c r="AG640" s="168"/>
      <c r="AH640" s="13"/>
      <c r="AI640" s="13"/>
    </row>
    <row r="641">
      <c r="A641" s="160"/>
      <c r="B641" s="160"/>
      <c r="C641" s="161" t="b">
        <v>0</v>
      </c>
      <c r="D641" s="161"/>
      <c r="E641" s="161"/>
      <c r="F641" s="162"/>
      <c r="G641" s="163"/>
      <c r="H641" s="164"/>
      <c r="I641" s="165"/>
      <c r="J641" s="161"/>
      <c r="K641" s="161"/>
      <c r="L641" s="166"/>
      <c r="M641" s="167"/>
      <c r="N641" s="168"/>
      <c r="O641" s="168"/>
      <c r="P641" s="168"/>
      <c r="Q641" s="169"/>
      <c r="R641" s="167"/>
      <c r="S641" s="142" t="b">
        <v>0</v>
      </c>
      <c r="T641" s="170"/>
      <c r="U641" s="170"/>
      <c r="V641" s="170"/>
      <c r="W641" s="170"/>
      <c r="X641" s="170"/>
      <c r="Y641" s="171"/>
      <c r="Z641" s="71"/>
      <c r="AA641" s="71"/>
      <c r="AB641" s="168"/>
      <c r="AC641" s="172"/>
      <c r="AD641" s="71"/>
      <c r="AE641" s="168"/>
      <c r="AF641" s="168"/>
      <c r="AG641" s="168"/>
      <c r="AH641" s="13"/>
      <c r="AI641" s="13"/>
    </row>
    <row r="642">
      <c r="A642" s="160"/>
      <c r="B642" s="160"/>
      <c r="C642" s="161" t="b">
        <v>0</v>
      </c>
      <c r="D642" s="161"/>
      <c r="E642" s="161"/>
      <c r="F642" s="162"/>
      <c r="G642" s="163"/>
      <c r="H642" s="164"/>
      <c r="I642" s="165"/>
      <c r="J642" s="161"/>
      <c r="K642" s="161"/>
      <c r="L642" s="166"/>
      <c r="M642" s="167"/>
      <c r="N642" s="168"/>
      <c r="O642" s="168"/>
      <c r="P642" s="168"/>
      <c r="Q642" s="169"/>
      <c r="R642" s="167"/>
      <c r="S642" s="142" t="b">
        <v>0</v>
      </c>
      <c r="T642" s="170"/>
      <c r="U642" s="170"/>
      <c r="V642" s="170"/>
      <c r="W642" s="170"/>
      <c r="X642" s="170"/>
      <c r="Y642" s="171"/>
      <c r="Z642" s="71"/>
      <c r="AA642" s="71"/>
      <c r="AB642" s="168"/>
      <c r="AC642" s="172"/>
      <c r="AD642" s="71"/>
      <c r="AE642" s="168"/>
      <c r="AF642" s="168"/>
      <c r="AG642" s="168"/>
      <c r="AH642" s="13"/>
      <c r="AI642" s="13"/>
    </row>
    <row r="643">
      <c r="A643" s="160"/>
      <c r="B643" s="160"/>
      <c r="C643" s="161" t="b">
        <v>0</v>
      </c>
      <c r="D643" s="161"/>
      <c r="E643" s="161"/>
      <c r="F643" s="162"/>
      <c r="G643" s="163"/>
      <c r="H643" s="164"/>
      <c r="I643" s="165"/>
      <c r="J643" s="161"/>
      <c r="K643" s="161"/>
      <c r="L643" s="166"/>
      <c r="M643" s="167"/>
      <c r="N643" s="168"/>
      <c r="O643" s="168"/>
      <c r="P643" s="168"/>
      <c r="Q643" s="169"/>
      <c r="R643" s="167"/>
      <c r="S643" s="142" t="b">
        <v>0</v>
      </c>
      <c r="T643" s="170"/>
      <c r="U643" s="170"/>
      <c r="V643" s="170"/>
      <c r="W643" s="170"/>
      <c r="X643" s="170"/>
      <c r="Y643" s="171"/>
      <c r="Z643" s="71"/>
      <c r="AA643" s="71"/>
      <c r="AB643" s="168"/>
      <c r="AC643" s="172"/>
      <c r="AD643" s="71"/>
      <c r="AE643" s="168"/>
      <c r="AF643" s="168"/>
      <c r="AG643" s="168"/>
      <c r="AH643" s="13"/>
      <c r="AI643" s="13"/>
    </row>
    <row r="644">
      <c r="A644" s="160"/>
      <c r="B644" s="160"/>
      <c r="C644" s="161" t="b">
        <v>0</v>
      </c>
      <c r="D644" s="161"/>
      <c r="E644" s="161"/>
      <c r="F644" s="162"/>
      <c r="G644" s="163"/>
      <c r="H644" s="164"/>
      <c r="I644" s="165"/>
      <c r="J644" s="161"/>
      <c r="K644" s="161"/>
      <c r="L644" s="166"/>
      <c r="M644" s="167"/>
      <c r="N644" s="168"/>
      <c r="O644" s="168"/>
      <c r="P644" s="168"/>
      <c r="Q644" s="169"/>
      <c r="R644" s="167"/>
      <c r="S644" s="142" t="b">
        <v>0</v>
      </c>
      <c r="T644" s="170"/>
      <c r="U644" s="170"/>
      <c r="V644" s="170"/>
      <c r="W644" s="170"/>
      <c r="X644" s="170"/>
      <c r="Y644" s="171"/>
      <c r="Z644" s="71"/>
      <c r="AA644" s="71"/>
      <c r="AB644" s="168"/>
      <c r="AC644" s="172"/>
      <c r="AD644" s="71"/>
      <c r="AE644" s="168"/>
      <c r="AF644" s="168"/>
      <c r="AG644" s="168"/>
      <c r="AH644" s="13"/>
      <c r="AI644" s="13"/>
    </row>
    <row r="645">
      <c r="A645" s="160"/>
      <c r="B645" s="160"/>
      <c r="C645" s="161" t="b">
        <v>0</v>
      </c>
      <c r="D645" s="161"/>
      <c r="E645" s="161"/>
      <c r="F645" s="162"/>
      <c r="G645" s="163"/>
      <c r="H645" s="164"/>
      <c r="I645" s="165"/>
      <c r="J645" s="161"/>
      <c r="K645" s="161"/>
      <c r="L645" s="166"/>
      <c r="M645" s="167"/>
      <c r="N645" s="168"/>
      <c r="O645" s="168"/>
      <c r="P645" s="168"/>
      <c r="Q645" s="169"/>
      <c r="R645" s="167"/>
      <c r="S645" s="142" t="b">
        <v>0</v>
      </c>
      <c r="T645" s="170"/>
      <c r="U645" s="170"/>
      <c r="V645" s="170"/>
      <c r="W645" s="170"/>
      <c r="X645" s="170"/>
      <c r="Y645" s="171"/>
      <c r="Z645" s="71"/>
      <c r="AA645" s="71"/>
      <c r="AB645" s="168"/>
      <c r="AC645" s="172"/>
      <c r="AD645" s="71"/>
      <c r="AE645" s="168"/>
      <c r="AF645" s="168"/>
      <c r="AG645" s="168"/>
      <c r="AH645" s="13"/>
      <c r="AI645" s="13"/>
    </row>
    <row r="646">
      <c r="A646" s="160"/>
      <c r="B646" s="160"/>
      <c r="C646" s="161" t="b">
        <v>0</v>
      </c>
      <c r="D646" s="161"/>
      <c r="E646" s="161"/>
      <c r="F646" s="162"/>
      <c r="G646" s="163"/>
      <c r="H646" s="164"/>
      <c r="I646" s="165"/>
      <c r="J646" s="161"/>
      <c r="K646" s="161"/>
      <c r="L646" s="166"/>
      <c r="M646" s="167"/>
      <c r="N646" s="168"/>
      <c r="O646" s="168"/>
      <c r="P646" s="168"/>
      <c r="Q646" s="169"/>
      <c r="R646" s="167"/>
      <c r="S646" s="142" t="b">
        <v>0</v>
      </c>
      <c r="T646" s="170"/>
      <c r="U646" s="170"/>
      <c r="V646" s="170"/>
      <c r="W646" s="170"/>
      <c r="X646" s="170"/>
      <c r="Y646" s="171"/>
      <c r="Z646" s="71"/>
      <c r="AA646" s="71"/>
      <c r="AB646" s="168"/>
      <c r="AC646" s="172"/>
      <c r="AD646" s="71"/>
      <c r="AE646" s="168"/>
      <c r="AF646" s="168"/>
      <c r="AG646" s="168"/>
      <c r="AH646" s="13"/>
      <c r="AI646" s="13"/>
    </row>
    <row r="647">
      <c r="A647" s="160"/>
      <c r="B647" s="160"/>
      <c r="C647" s="161" t="b">
        <v>0</v>
      </c>
      <c r="D647" s="161"/>
      <c r="E647" s="161"/>
      <c r="F647" s="162"/>
      <c r="G647" s="163"/>
      <c r="H647" s="164"/>
      <c r="I647" s="165"/>
      <c r="J647" s="161"/>
      <c r="K647" s="161"/>
      <c r="L647" s="166"/>
      <c r="M647" s="167"/>
      <c r="N647" s="168"/>
      <c r="O647" s="168"/>
      <c r="P647" s="168"/>
      <c r="Q647" s="169"/>
      <c r="R647" s="167"/>
      <c r="S647" s="142" t="b">
        <v>0</v>
      </c>
      <c r="T647" s="170"/>
      <c r="U647" s="170"/>
      <c r="V647" s="170"/>
      <c r="W647" s="170"/>
      <c r="X647" s="170"/>
      <c r="Y647" s="171"/>
      <c r="Z647" s="71"/>
      <c r="AA647" s="71"/>
      <c r="AB647" s="168"/>
      <c r="AC647" s="172"/>
      <c r="AD647" s="71"/>
      <c r="AE647" s="168"/>
      <c r="AF647" s="168"/>
      <c r="AG647" s="168"/>
      <c r="AH647" s="13"/>
      <c r="AI647" s="13"/>
    </row>
    <row r="648">
      <c r="A648" s="160"/>
      <c r="B648" s="160"/>
      <c r="C648" s="161" t="b">
        <v>0</v>
      </c>
      <c r="D648" s="161"/>
      <c r="E648" s="161"/>
      <c r="F648" s="162"/>
      <c r="G648" s="163"/>
      <c r="H648" s="164"/>
      <c r="I648" s="165"/>
      <c r="J648" s="161"/>
      <c r="K648" s="161"/>
      <c r="L648" s="166"/>
      <c r="M648" s="167"/>
      <c r="N648" s="168"/>
      <c r="O648" s="168"/>
      <c r="P648" s="168"/>
      <c r="Q648" s="169"/>
      <c r="R648" s="167"/>
      <c r="S648" s="142" t="b">
        <v>0</v>
      </c>
      <c r="T648" s="170"/>
      <c r="U648" s="170"/>
      <c r="V648" s="170"/>
      <c r="W648" s="170"/>
      <c r="X648" s="170"/>
      <c r="Y648" s="171"/>
      <c r="Z648" s="71"/>
      <c r="AA648" s="71"/>
      <c r="AB648" s="168"/>
      <c r="AC648" s="172"/>
      <c r="AD648" s="71"/>
      <c r="AE648" s="168"/>
      <c r="AF648" s="168"/>
      <c r="AG648" s="168"/>
      <c r="AH648" s="13"/>
      <c r="AI648" s="13"/>
    </row>
    <row r="649">
      <c r="A649" s="160"/>
      <c r="B649" s="160"/>
      <c r="C649" s="161" t="b">
        <v>0</v>
      </c>
      <c r="D649" s="161"/>
      <c r="E649" s="161"/>
      <c r="F649" s="162"/>
      <c r="G649" s="163"/>
      <c r="H649" s="164"/>
      <c r="I649" s="165"/>
      <c r="J649" s="161"/>
      <c r="K649" s="161"/>
      <c r="L649" s="166"/>
      <c r="M649" s="167"/>
      <c r="N649" s="168"/>
      <c r="O649" s="168"/>
      <c r="P649" s="168"/>
      <c r="Q649" s="169"/>
      <c r="R649" s="167"/>
      <c r="S649" s="142" t="b">
        <v>0</v>
      </c>
      <c r="T649" s="170"/>
      <c r="U649" s="170"/>
      <c r="V649" s="170"/>
      <c r="W649" s="170"/>
      <c r="X649" s="170"/>
      <c r="Y649" s="171"/>
      <c r="Z649" s="71"/>
      <c r="AA649" s="71"/>
      <c r="AB649" s="168"/>
      <c r="AC649" s="172"/>
      <c r="AD649" s="71"/>
      <c r="AE649" s="168"/>
      <c r="AF649" s="168"/>
      <c r="AG649" s="168"/>
      <c r="AH649" s="13"/>
      <c r="AI649" s="13"/>
    </row>
    <row r="650">
      <c r="A650" s="160"/>
      <c r="B650" s="160"/>
      <c r="C650" s="161" t="b">
        <v>0</v>
      </c>
      <c r="D650" s="161"/>
      <c r="E650" s="161"/>
      <c r="F650" s="162"/>
      <c r="G650" s="163"/>
      <c r="H650" s="164"/>
      <c r="I650" s="165"/>
      <c r="J650" s="161"/>
      <c r="K650" s="161"/>
      <c r="L650" s="166"/>
      <c r="M650" s="167"/>
      <c r="N650" s="168"/>
      <c r="O650" s="168"/>
      <c r="P650" s="168"/>
      <c r="Q650" s="169"/>
      <c r="R650" s="167"/>
      <c r="S650" s="142" t="b">
        <v>0</v>
      </c>
      <c r="T650" s="170"/>
      <c r="U650" s="170"/>
      <c r="V650" s="170"/>
      <c r="W650" s="170"/>
      <c r="X650" s="170"/>
      <c r="Y650" s="171"/>
      <c r="Z650" s="71"/>
      <c r="AA650" s="71"/>
      <c r="AB650" s="168"/>
      <c r="AC650" s="172"/>
      <c r="AD650" s="71"/>
      <c r="AE650" s="168"/>
      <c r="AF650" s="168"/>
      <c r="AG650" s="168"/>
      <c r="AH650" s="13"/>
      <c r="AI650" s="13"/>
    </row>
    <row r="651">
      <c r="A651" s="160"/>
      <c r="B651" s="160"/>
      <c r="C651" s="161" t="b">
        <v>0</v>
      </c>
      <c r="D651" s="161"/>
      <c r="E651" s="161"/>
      <c r="F651" s="162"/>
      <c r="G651" s="163"/>
      <c r="H651" s="164"/>
      <c r="I651" s="165"/>
      <c r="J651" s="161"/>
      <c r="K651" s="161"/>
      <c r="L651" s="166"/>
      <c r="M651" s="167"/>
      <c r="N651" s="168"/>
      <c r="O651" s="168"/>
      <c r="P651" s="168"/>
      <c r="Q651" s="169"/>
      <c r="R651" s="167"/>
      <c r="S651" s="142" t="b">
        <v>0</v>
      </c>
      <c r="T651" s="170"/>
      <c r="U651" s="170"/>
      <c r="V651" s="170"/>
      <c r="W651" s="170"/>
      <c r="X651" s="170"/>
      <c r="Y651" s="171"/>
      <c r="Z651" s="71"/>
      <c r="AA651" s="71"/>
      <c r="AB651" s="168"/>
      <c r="AC651" s="172"/>
      <c r="AD651" s="71"/>
      <c r="AE651" s="168"/>
      <c r="AF651" s="168"/>
      <c r="AG651" s="168"/>
      <c r="AH651" s="13"/>
      <c r="AI651" s="13"/>
    </row>
    <row r="652">
      <c r="A652" s="160"/>
      <c r="B652" s="160"/>
      <c r="C652" s="161" t="b">
        <v>0</v>
      </c>
      <c r="D652" s="161"/>
      <c r="E652" s="161"/>
      <c r="F652" s="162"/>
      <c r="G652" s="163"/>
      <c r="H652" s="164"/>
      <c r="I652" s="165"/>
      <c r="J652" s="161"/>
      <c r="K652" s="161"/>
      <c r="L652" s="166"/>
      <c r="M652" s="167"/>
      <c r="N652" s="168"/>
      <c r="O652" s="168"/>
      <c r="P652" s="168"/>
      <c r="Q652" s="169"/>
      <c r="R652" s="167"/>
      <c r="S652" s="142" t="b">
        <v>0</v>
      </c>
      <c r="T652" s="170"/>
      <c r="U652" s="170"/>
      <c r="V652" s="170"/>
      <c r="W652" s="170"/>
      <c r="X652" s="170"/>
      <c r="Y652" s="171"/>
      <c r="Z652" s="71"/>
      <c r="AA652" s="71"/>
      <c r="AB652" s="168"/>
      <c r="AC652" s="172"/>
      <c r="AD652" s="71"/>
      <c r="AE652" s="168"/>
      <c r="AF652" s="168"/>
      <c r="AG652" s="168"/>
      <c r="AH652" s="13"/>
      <c r="AI652" s="13"/>
    </row>
    <row r="653">
      <c r="A653" s="160"/>
      <c r="B653" s="160"/>
      <c r="C653" s="161" t="b">
        <v>0</v>
      </c>
      <c r="D653" s="161"/>
      <c r="E653" s="161"/>
      <c r="F653" s="162"/>
      <c r="G653" s="163"/>
      <c r="H653" s="164"/>
      <c r="I653" s="165"/>
      <c r="J653" s="161"/>
      <c r="K653" s="161"/>
      <c r="L653" s="166"/>
      <c r="M653" s="167"/>
      <c r="N653" s="168"/>
      <c r="O653" s="168"/>
      <c r="P653" s="168"/>
      <c r="Q653" s="169"/>
      <c r="R653" s="167"/>
      <c r="S653" s="142" t="b">
        <v>0</v>
      </c>
      <c r="T653" s="170"/>
      <c r="U653" s="170"/>
      <c r="V653" s="170"/>
      <c r="W653" s="170"/>
      <c r="X653" s="170"/>
      <c r="Y653" s="171"/>
      <c r="Z653" s="71"/>
      <c r="AA653" s="71"/>
      <c r="AB653" s="168"/>
      <c r="AC653" s="172"/>
      <c r="AD653" s="71"/>
      <c r="AE653" s="168"/>
      <c r="AF653" s="168"/>
      <c r="AG653" s="168"/>
      <c r="AH653" s="13"/>
      <c r="AI653" s="13"/>
    </row>
    <row r="654">
      <c r="A654" s="160"/>
      <c r="B654" s="160"/>
      <c r="C654" s="161" t="b">
        <v>0</v>
      </c>
      <c r="D654" s="161"/>
      <c r="E654" s="161"/>
      <c r="F654" s="162"/>
      <c r="G654" s="163"/>
      <c r="H654" s="164"/>
      <c r="I654" s="165"/>
      <c r="J654" s="161"/>
      <c r="K654" s="161"/>
      <c r="L654" s="166"/>
      <c r="M654" s="167"/>
      <c r="N654" s="168"/>
      <c r="O654" s="168"/>
      <c r="P654" s="168"/>
      <c r="Q654" s="169"/>
      <c r="R654" s="167"/>
      <c r="S654" s="142" t="b">
        <v>0</v>
      </c>
      <c r="T654" s="170"/>
      <c r="U654" s="170"/>
      <c r="V654" s="170"/>
      <c r="W654" s="170"/>
      <c r="X654" s="170"/>
      <c r="Y654" s="171"/>
      <c r="Z654" s="71"/>
      <c r="AA654" s="71"/>
      <c r="AB654" s="168"/>
      <c r="AC654" s="172"/>
      <c r="AD654" s="71"/>
      <c r="AE654" s="168"/>
      <c r="AF654" s="168"/>
      <c r="AG654" s="168"/>
      <c r="AH654" s="13"/>
      <c r="AI654" s="13"/>
    </row>
    <row r="655">
      <c r="A655" s="160"/>
      <c r="B655" s="160"/>
      <c r="C655" s="161" t="b">
        <v>0</v>
      </c>
      <c r="D655" s="161"/>
      <c r="E655" s="161"/>
      <c r="F655" s="162"/>
      <c r="G655" s="163"/>
      <c r="H655" s="164"/>
      <c r="I655" s="165"/>
      <c r="J655" s="161"/>
      <c r="K655" s="161"/>
      <c r="L655" s="166"/>
      <c r="M655" s="167"/>
      <c r="N655" s="168"/>
      <c r="O655" s="168"/>
      <c r="P655" s="168"/>
      <c r="Q655" s="169"/>
      <c r="R655" s="167"/>
      <c r="S655" s="142" t="b">
        <v>0</v>
      </c>
      <c r="T655" s="170"/>
      <c r="U655" s="170"/>
      <c r="V655" s="170"/>
      <c r="W655" s="170"/>
      <c r="X655" s="170"/>
      <c r="Y655" s="171"/>
      <c r="Z655" s="71"/>
      <c r="AA655" s="71"/>
      <c r="AB655" s="168"/>
      <c r="AC655" s="172"/>
      <c r="AD655" s="71"/>
      <c r="AE655" s="168"/>
      <c r="AF655" s="168"/>
      <c r="AG655" s="168"/>
      <c r="AH655" s="13"/>
      <c r="AI655" s="13"/>
    </row>
    <row r="656">
      <c r="A656" s="160"/>
      <c r="B656" s="160"/>
      <c r="C656" s="161" t="b">
        <v>0</v>
      </c>
      <c r="D656" s="161"/>
      <c r="E656" s="161"/>
      <c r="F656" s="162"/>
      <c r="G656" s="163"/>
      <c r="H656" s="164"/>
      <c r="I656" s="165"/>
      <c r="J656" s="161"/>
      <c r="K656" s="161"/>
      <c r="L656" s="166"/>
      <c r="M656" s="167"/>
      <c r="N656" s="168"/>
      <c r="O656" s="168"/>
      <c r="P656" s="168"/>
      <c r="Q656" s="169"/>
      <c r="R656" s="167"/>
      <c r="S656" s="142" t="b">
        <v>0</v>
      </c>
      <c r="T656" s="170"/>
      <c r="U656" s="170"/>
      <c r="V656" s="170"/>
      <c r="W656" s="170"/>
      <c r="X656" s="170"/>
      <c r="Y656" s="171"/>
      <c r="Z656" s="71"/>
      <c r="AA656" s="71"/>
      <c r="AB656" s="168"/>
      <c r="AC656" s="172"/>
      <c r="AD656" s="71"/>
      <c r="AE656" s="168"/>
      <c r="AF656" s="168"/>
      <c r="AG656" s="168"/>
      <c r="AH656" s="13"/>
      <c r="AI656" s="13"/>
    </row>
    <row r="657">
      <c r="A657" s="160"/>
      <c r="B657" s="160"/>
      <c r="C657" s="161" t="b">
        <v>0</v>
      </c>
      <c r="D657" s="161"/>
      <c r="E657" s="161"/>
      <c r="F657" s="162"/>
      <c r="G657" s="163"/>
      <c r="H657" s="164"/>
      <c r="I657" s="165"/>
      <c r="J657" s="161"/>
      <c r="K657" s="161"/>
      <c r="L657" s="166"/>
      <c r="M657" s="167"/>
      <c r="N657" s="168"/>
      <c r="O657" s="168"/>
      <c r="P657" s="168"/>
      <c r="Q657" s="169"/>
      <c r="R657" s="167"/>
      <c r="S657" s="142" t="b">
        <v>0</v>
      </c>
      <c r="T657" s="170"/>
      <c r="U657" s="170"/>
      <c r="V657" s="170"/>
      <c r="W657" s="170"/>
      <c r="X657" s="170"/>
      <c r="Y657" s="171"/>
      <c r="Z657" s="71"/>
      <c r="AA657" s="71"/>
      <c r="AB657" s="168"/>
      <c r="AC657" s="172"/>
      <c r="AD657" s="71"/>
      <c r="AE657" s="168"/>
      <c r="AF657" s="168"/>
      <c r="AG657" s="168"/>
      <c r="AH657" s="13"/>
      <c r="AI657" s="13"/>
    </row>
    <row r="658">
      <c r="A658" s="160"/>
      <c r="B658" s="160"/>
      <c r="C658" s="161" t="b">
        <v>0</v>
      </c>
      <c r="D658" s="161"/>
      <c r="E658" s="161"/>
      <c r="F658" s="162"/>
      <c r="G658" s="163"/>
      <c r="H658" s="164"/>
      <c r="I658" s="165"/>
      <c r="J658" s="161"/>
      <c r="K658" s="161"/>
      <c r="L658" s="166"/>
      <c r="M658" s="167"/>
      <c r="N658" s="168"/>
      <c r="O658" s="168"/>
      <c r="P658" s="168"/>
      <c r="Q658" s="169"/>
      <c r="R658" s="167"/>
      <c r="S658" s="142" t="b">
        <v>0</v>
      </c>
      <c r="T658" s="170"/>
      <c r="U658" s="170"/>
      <c r="V658" s="170"/>
      <c r="W658" s="170"/>
      <c r="X658" s="170"/>
      <c r="Y658" s="171"/>
      <c r="Z658" s="71"/>
      <c r="AA658" s="71"/>
      <c r="AB658" s="168"/>
      <c r="AC658" s="172"/>
      <c r="AD658" s="71"/>
      <c r="AE658" s="168"/>
      <c r="AF658" s="168"/>
      <c r="AG658" s="168"/>
      <c r="AH658" s="13"/>
      <c r="AI658" s="13"/>
    </row>
    <row r="659">
      <c r="A659" s="160"/>
      <c r="B659" s="160"/>
      <c r="C659" s="161" t="b">
        <v>0</v>
      </c>
      <c r="D659" s="161"/>
      <c r="E659" s="161"/>
      <c r="F659" s="162"/>
      <c r="G659" s="163"/>
      <c r="H659" s="164"/>
      <c r="I659" s="165"/>
      <c r="J659" s="161"/>
      <c r="K659" s="161"/>
      <c r="L659" s="166"/>
      <c r="M659" s="167"/>
      <c r="N659" s="168"/>
      <c r="O659" s="168"/>
      <c r="P659" s="168"/>
      <c r="Q659" s="169"/>
      <c r="R659" s="167"/>
      <c r="S659" s="142" t="b">
        <v>0</v>
      </c>
      <c r="T659" s="170"/>
      <c r="U659" s="170"/>
      <c r="V659" s="170"/>
      <c r="W659" s="170"/>
      <c r="X659" s="170"/>
      <c r="Y659" s="171"/>
      <c r="Z659" s="71"/>
      <c r="AA659" s="71"/>
      <c r="AB659" s="168"/>
      <c r="AC659" s="172"/>
      <c r="AD659" s="71"/>
      <c r="AE659" s="168"/>
      <c r="AF659" s="168"/>
      <c r="AG659" s="168"/>
      <c r="AH659" s="13"/>
      <c r="AI659" s="13"/>
    </row>
    <row r="660">
      <c r="A660" s="160"/>
      <c r="B660" s="160"/>
      <c r="C660" s="161" t="b">
        <v>0</v>
      </c>
      <c r="D660" s="161"/>
      <c r="E660" s="161"/>
      <c r="F660" s="162"/>
      <c r="G660" s="163"/>
      <c r="H660" s="164"/>
      <c r="I660" s="165"/>
      <c r="J660" s="161"/>
      <c r="K660" s="161"/>
      <c r="L660" s="166"/>
      <c r="M660" s="167"/>
      <c r="N660" s="168"/>
      <c r="O660" s="168"/>
      <c r="P660" s="168"/>
      <c r="Q660" s="169"/>
      <c r="R660" s="167"/>
      <c r="S660" s="142" t="b">
        <v>0</v>
      </c>
      <c r="T660" s="170"/>
      <c r="U660" s="170"/>
      <c r="V660" s="170"/>
      <c r="W660" s="170"/>
      <c r="X660" s="170"/>
      <c r="Y660" s="171"/>
      <c r="Z660" s="71"/>
      <c r="AA660" s="71"/>
      <c r="AB660" s="168"/>
      <c r="AC660" s="172"/>
      <c r="AD660" s="71"/>
      <c r="AE660" s="168"/>
      <c r="AF660" s="168"/>
      <c r="AG660" s="168"/>
      <c r="AH660" s="13"/>
      <c r="AI660" s="13"/>
    </row>
    <row r="661">
      <c r="A661" s="160"/>
      <c r="B661" s="160"/>
      <c r="C661" s="161" t="b">
        <v>0</v>
      </c>
      <c r="D661" s="161"/>
      <c r="E661" s="161"/>
      <c r="F661" s="162"/>
      <c r="G661" s="163"/>
      <c r="H661" s="164"/>
      <c r="I661" s="165"/>
      <c r="J661" s="161"/>
      <c r="K661" s="161"/>
      <c r="L661" s="166"/>
      <c r="M661" s="167"/>
      <c r="N661" s="168"/>
      <c r="O661" s="168"/>
      <c r="P661" s="168"/>
      <c r="Q661" s="169"/>
      <c r="R661" s="167"/>
      <c r="S661" s="142" t="b">
        <v>0</v>
      </c>
      <c r="T661" s="170"/>
      <c r="U661" s="170"/>
      <c r="V661" s="170"/>
      <c r="W661" s="170"/>
      <c r="X661" s="170"/>
      <c r="Y661" s="171"/>
      <c r="Z661" s="71"/>
      <c r="AA661" s="71"/>
      <c r="AB661" s="168"/>
      <c r="AC661" s="172"/>
      <c r="AD661" s="71"/>
      <c r="AE661" s="168"/>
      <c r="AF661" s="168"/>
      <c r="AG661" s="168"/>
      <c r="AH661" s="13"/>
      <c r="AI661" s="13"/>
    </row>
    <row r="662">
      <c r="A662" s="160"/>
      <c r="B662" s="160"/>
      <c r="C662" s="161" t="b">
        <v>0</v>
      </c>
      <c r="D662" s="161"/>
      <c r="E662" s="161"/>
      <c r="F662" s="162"/>
      <c r="G662" s="163"/>
      <c r="H662" s="164"/>
      <c r="I662" s="165"/>
      <c r="J662" s="161"/>
      <c r="K662" s="161"/>
      <c r="L662" s="166"/>
      <c r="M662" s="167"/>
      <c r="N662" s="168"/>
      <c r="O662" s="168"/>
      <c r="P662" s="168"/>
      <c r="Q662" s="169"/>
      <c r="R662" s="167"/>
      <c r="S662" s="142" t="b">
        <v>0</v>
      </c>
      <c r="T662" s="170"/>
      <c r="U662" s="170"/>
      <c r="V662" s="170"/>
      <c r="W662" s="170"/>
      <c r="X662" s="170"/>
      <c r="Y662" s="171"/>
      <c r="Z662" s="71"/>
      <c r="AA662" s="71"/>
      <c r="AB662" s="168"/>
      <c r="AC662" s="172"/>
      <c r="AD662" s="71"/>
      <c r="AE662" s="168"/>
      <c r="AF662" s="168"/>
      <c r="AG662" s="168"/>
      <c r="AH662" s="13"/>
      <c r="AI662" s="13"/>
    </row>
    <row r="663">
      <c r="A663" s="160"/>
      <c r="B663" s="160"/>
      <c r="C663" s="161" t="b">
        <v>0</v>
      </c>
      <c r="D663" s="161"/>
      <c r="E663" s="161"/>
      <c r="F663" s="162"/>
      <c r="G663" s="163"/>
      <c r="H663" s="164"/>
      <c r="I663" s="165"/>
      <c r="J663" s="161"/>
      <c r="K663" s="161"/>
      <c r="L663" s="166"/>
      <c r="M663" s="167"/>
      <c r="N663" s="168"/>
      <c r="O663" s="168"/>
      <c r="P663" s="168"/>
      <c r="Q663" s="169"/>
      <c r="R663" s="167"/>
      <c r="S663" s="142" t="b">
        <v>0</v>
      </c>
      <c r="T663" s="170"/>
      <c r="U663" s="170"/>
      <c r="V663" s="170"/>
      <c r="W663" s="170"/>
      <c r="X663" s="170"/>
      <c r="Y663" s="171"/>
      <c r="Z663" s="71"/>
      <c r="AA663" s="71"/>
      <c r="AB663" s="168"/>
      <c r="AC663" s="172"/>
      <c r="AD663" s="71"/>
      <c r="AE663" s="168"/>
      <c r="AF663" s="168"/>
      <c r="AG663" s="168"/>
      <c r="AH663" s="13"/>
      <c r="AI663" s="13"/>
    </row>
    <row r="664">
      <c r="A664" s="160"/>
      <c r="B664" s="160"/>
      <c r="C664" s="161" t="b">
        <v>0</v>
      </c>
      <c r="D664" s="161"/>
      <c r="E664" s="161"/>
      <c r="F664" s="162"/>
      <c r="G664" s="163"/>
      <c r="H664" s="164"/>
      <c r="I664" s="165"/>
      <c r="J664" s="161"/>
      <c r="K664" s="161"/>
      <c r="L664" s="166"/>
      <c r="M664" s="167"/>
      <c r="N664" s="168"/>
      <c r="O664" s="168"/>
      <c r="P664" s="168"/>
      <c r="Q664" s="169"/>
      <c r="R664" s="167"/>
      <c r="S664" s="142" t="b">
        <v>0</v>
      </c>
      <c r="T664" s="170"/>
      <c r="U664" s="170"/>
      <c r="V664" s="170"/>
      <c r="W664" s="170"/>
      <c r="X664" s="170"/>
      <c r="Y664" s="171"/>
      <c r="Z664" s="71"/>
      <c r="AA664" s="71"/>
      <c r="AB664" s="168"/>
      <c r="AC664" s="172"/>
      <c r="AD664" s="71"/>
      <c r="AE664" s="168"/>
      <c r="AF664" s="168"/>
      <c r="AG664" s="168"/>
      <c r="AH664" s="13"/>
      <c r="AI664" s="13"/>
    </row>
    <row r="665">
      <c r="A665" s="160"/>
      <c r="B665" s="160"/>
      <c r="C665" s="161" t="b">
        <v>0</v>
      </c>
      <c r="D665" s="161"/>
      <c r="E665" s="161"/>
      <c r="F665" s="162"/>
      <c r="G665" s="163"/>
      <c r="H665" s="164"/>
      <c r="I665" s="165"/>
      <c r="J665" s="161"/>
      <c r="K665" s="161"/>
      <c r="L665" s="166"/>
      <c r="M665" s="167"/>
      <c r="N665" s="168"/>
      <c r="O665" s="168"/>
      <c r="P665" s="168"/>
      <c r="Q665" s="169"/>
      <c r="R665" s="167"/>
      <c r="S665" s="142" t="b">
        <v>0</v>
      </c>
      <c r="T665" s="170"/>
      <c r="U665" s="170"/>
      <c r="V665" s="170"/>
      <c r="W665" s="170"/>
      <c r="X665" s="170"/>
      <c r="Y665" s="171"/>
      <c r="Z665" s="71"/>
      <c r="AA665" s="71"/>
      <c r="AB665" s="168"/>
      <c r="AC665" s="172"/>
      <c r="AD665" s="71"/>
      <c r="AE665" s="168"/>
      <c r="AF665" s="168"/>
      <c r="AG665" s="168"/>
      <c r="AH665" s="13"/>
      <c r="AI665" s="13"/>
    </row>
    <row r="666">
      <c r="A666" s="160"/>
      <c r="B666" s="160"/>
      <c r="C666" s="161" t="b">
        <v>0</v>
      </c>
      <c r="D666" s="161"/>
      <c r="E666" s="161"/>
      <c r="F666" s="162"/>
      <c r="G666" s="163"/>
      <c r="H666" s="164"/>
      <c r="I666" s="165"/>
      <c r="J666" s="161"/>
      <c r="K666" s="161"/>
      <c r="L666" s="166"/>
      <c r="M666" s="167"/>
      <c r="N666" s="168"/>
      <c r="O666" s="168"/>
      <c r="P666" s="168"/>
      <c r="Q666" s="169"/>
      <c r="R666" s="167"/>
      <c r="S666" s="142" t="b">
        <v>0</v>
      </c>
      <c r="T666" s="170"/>
      <c r="U666" s="170"/>
      <c r="V666" s="170"/>
      <c r="W666" s="170"/>
      <c r="X666" s="170"/>
      <c r="Y666" s="171"/>
      <c r="Z666" s="71"/>
      <c r="AA666" s="71"/>
      <c r="AB666" s="168"/>
      <c r="AC666" s="172"/>
      <c r="AD666" s="71"/>
      <c r="AE666" s="168"/>
      <c r="AF666" s="168"/>
      <c r="AG666" s="168"/>
      <c r="AH666" s="13"/>
      <c r="AI666" s="13"/>
    </row>
    <row r="667">
      <c r="A667" s="160"/>
      <c r="B667" s="160"/>
      <c r="C667" s="161" t="b">
        <v>0</v>
      </c>
      <c r="D667" s="161"/>
      <c r="E667" s="161"/>
      <c r="F667" s="162"/>
      <c r="G667" s="163"/>
      <c r="H667" s="164"/>
      <c r="I667" s="165"/>
      <c r="J667" s="161"/>
      <c r="K667" s="161"/>
      <c r="L667" s="166"/>
      <c r="M667" s="167"/>
      <c r="N667" s="168"/>
      <c r="O667" s="168"/>
      <c r="P667" s="168"/>
      <c r="Q667" s="169"/>
      <c r="R667" s="167"/>
      <c r="S667" s="142" t="b">
        <v>0</v>
      </c>
      <c r="T667" s="170"/>
      <c r="U667" s="170"/>
      <c r="V667" s="170"/>
      <c r="W667" s="170"/>
      <c r="X667" s="170"/>
      <c r="Y667" s="171"/>
      <c r="Z667" s="71"/>
      <c r="AA667" s="71"/>
      <c r="AB667" s="168"/>
      <c r="AC667" s="172"/>
      <c r="AD667" s="71"/>
      <c r="AE667" s="168"/>
      <c r="AF667" s="168"/>
      <c r="AG667" s="168"/>
      <c r="AH667" s="13"/>
      <c r="AI667" s="13"/>
    </row>
    <row r="668">
      <c r="A668" s="160"/>
      <c r="B668" s="160"/>
      <c r="C668" s="161" t="b">
        <v>0</v>
      </c>
      <c r="D668" s="161"/>
      <c r="E668" s="161"/>
      <c r="F668" s="162"/>
      <c r="G668" s="163"/>
      <c r="H668" s="164"/>
      <c r="I668" s="165"/>
      <c r="J668" s="161"/>
      <c r="K668" s="161"/>
      <c r="L668" s="166"/>
      <c r="M668" s="167"/>
      <c r="N668" s="168"/>
      <c r="O668" s="168"/>
      <c r="P668" s="168"/>
      <c r="Q668" s="169"/>
      <c r="R668" s="167"/>
      <c r="S668" s="142" t="b">
        <v>0</v>
      </c>
      <c r="T668" s="170"/>
      <c r="U668" s="170"/>
      <c r="V668" s="170"/>
      <c r="W668" s="170"/>
      <c r="X668" s="170"/>
      <c r="Y668" s="171"/>
      <c r="Z668" s="71"/>
      <c r="AA668" s="71"/>
      <c r="AB668" s="168"/>
      <c r="AC668" s="172"/>
      <c r="AD668" s="71"/>
      <c r="AE668" s="168"/>
      <c r="AF668" s="168"/>
      <c r="AG668" s="168"/>
      <c r="AH668" s="13"/>
      <c r="AI668" s="13"/>
    </row>
    <row r="669">
      <c r="A669" s="160"/>
      <c r="B669" s="160"/>
      <c r="C669" s="161" t="b">
        <v>0</v>
      </c>
      <c r="D669" s="161"/>
      <c r="E669" s="161"/>
      <c r="F669" s="162"/>
      <c r="G669" s="163"/>
      <c r="H669" s="164"/>
      <c r="I669" s="165"/>
      <c r="J669" s="161"/>
      <c r="K669" s="161"/>
      <c r="L669" s="166"/>
      <c r="M669" s="167"/>
      <c r="N669" s="168"/>
      <c r="O669" s="168"/>
      <c r="P669" s="168"/>
      <c r="Q669" s="169"/>
      <c r="R669" s="167"/>
      <c r="S669" s="142" t="b">
        <v>0</v>
      </c>
      <c r="T669" s="170"/>
      <c r="U669" s="170"/>
      <c r="V669" s="170"/>
      <c r="W669" s="170"/>
      <c r="X669" s="170"/>
      <c r="Y669" s="171"/>
      <c r="Z669" s="71"/>
      <c r="AA669" s="71"/>
      <c r="AB669" s="168"/>
      <c r="AC669" s="172"/>
      <c r="AD669" s="71"/>
      <c r="AE669" s="168"/>
      <c r="AF669" s="168"/>
      <c r="AG669" s="168"/>
      <c r="AH669" s="13"/>
      <c r="AI669" s="13"/>
    </row>
    <row r="670">
      <c r="A670" s="160"/>
      <c r="B670" s="160"/>
      <c r="C670" s="161" t="b">
        <v>0</v>
      </c>
      <c r="D670" s="161"/>
      <c r="E670" s="161"/>
      <c r="F670" s="162"/>
      <c r="G670" s="163"/>
      <c r="H670" s="164"/>
      <c r="I670" s="165"/>
      <c r="J670" s="161"/>
      <c r="K670" s="161"/>
      <c r="L670" s="166"/>
      <c r="M670" s="167"/>
      <c r="N670" s="168"/>
      <c r="O670" s="168"/>
      <c r="P670" s="168"/>
      <c r="Q670" s="169"/>
      <c r="R670" s="167"/>
      <c r="S670" s="142" t="b">
        <v>0</v>
      </c>
      <c r="T670" s="170"/>
      <c r="U670" s="170"/>
      <c r="V670" s="170"/>
      <c r="W670" s="170"/>
      <c r="X670" s="170"/>
      <c r="Y670" s="171"/>
      <c r="Z670" s="71"/>
      <c r="AA670" s="71"/>
      <c r="AB670" s="168"/>
      <c r="AC670" s="172"/>
      <c r="AD670" s="71"/>
      <c r="AE670" s="168"/>
      <c r="AF670" s="168"/>
      <c r="AG670" s="168"/>
      <c r="AH670" s="13"/>
      <c r="AI670" s="13"/>
    </row>
    <row r="671">
      <c r="A671" s="160"/>
      <c r="B671" s="160"/>
      <c r="C671" s="161" t="b">
        <v>0</v>
      </c>
      <c r="D671" s="161"/>
      <c r="E671" s="161"/>
      <c r="F671" s="162"/>
      <c r="G671" s="163"/>
      <c r="H671" s="164"/>
      <c r="I671" s="165"/>
      <c r="J671" s="161"/>
      <c r="K671" s="161"/>
      <c r="L671" s="166"/>
      <c r="M671" s="167"/>
      <c r="N671" s="168"/>
      <c r="O671" s="168"/>
      <c r="P671" s="168"/>
      <c r="Q671" s="169"/>
      <c r="R671" s="167"/>
      <c r="S671" s="142" t="b">
        <v>0</v>
      </c>
      <c r="T671" s="170"/>
      <c r="U671" s="170"/>
      <c r="V671" s="170"/>
      <c r="W671" s="170"/>
      <c r="X671" s="170"/>
      <c r="Y671" s="171"/>
      <c r="Z671" s="71"/>
      <c r="AA671" s="71"/>
      <c r="AB671" s="168"/>
      <c r="AC671" s="172"/>
      <c r="AD671" s="71"/>
      <c r="AE671" s="168"/>
      <c r="AF671" s="168"/>
      <c r="AG671" s="168"/>
      <c r="AH671" s="13"/>
      <c r="AI671" s="13"/>
    </row>
    <row r="672">
      <c r="A672" s="160"/>
      <c r="B672" s="160"/>
      <c r="C672" s="161" t="b">
        <v>0</v>
      </c>
      <c r="D672" s="161"/>
      <c r="E672" s="161"/>
      <c r="F672" s="162"/>
      <c r="G672" s="163"/>
      <c r="H672" s="164"/>
      <c r="I672" s="165"/>
      <c r="J672" s="161"/>
      <c r="K672" s="161"/>
      <c r="L672" s="166"/>
      <c r="M672" s="167"/>
      <c r="N672" s="168"/>
      <c r="O672" s="168"/>
      <c r="P672" s="168"/>
      <c r="Q672" s="169"/>
      <c r="R672" s="167"/>
      <c r="S672" s="142" t="b">
        <v>0</v>
      </c>
      <c r="T672" s="170"/>
      <c r="U672" s="170"/>
      <c r="V672" s="170"/>
      <c r="W672" s="170"/>
      <c r="X672" s="170"/>
      <c r="Y672" s="171"/>
      <c r="Z672" s="71"/>
      <c r="AA672" s="71"/>
      <c r="AB672" s="168"/>
      <c r="AC672" s="172"/>
      <c r="AD672" s="71"/>
      <c r="AE672" s="168"/>
      <c r="AF672" s="168"/>
      <c r="AG672" s="168"/>
      <c r="AH672" s="13"/>
      <c r="AI672" s="13"/>
    </row>
    <row r="673">
      <c r="A673" s="160"/>
      <c r="B673" s="160"/>
      <c r="C673" s="161" t="b">
        <v>0</v>
      </c>
      <c r="D673" s="161"/>
      <c r="E673" s="161"/>
      <c r="F673" s="162"/>
      <c r="G673" s="163"/>
      <c r="H673" s="164"/>
      <c r="I673" s="165"/>
      <c r="J673" s="161"/>
      <c r="K673" s="161"/>
      <c r="L673" s="166"/>
      <c r="M673" s="167"/>
      <c r="N673" s="168"/>
      <c r="O673" s="168"/>
      <c r="P673" s="168"/>
      <c r="Q673" s="169"/>
      <c r="R673" s="167"/>
      <c r="S673" s="142" t="b">
        <v>0</v>
      </c>
      <c r="T673" s="170"/>
      <c r="U673" s="170"/>
      <c r="V673" s="170"/>
      <c r="W673" s="170"/>
      <c r="X673" s="170"/>
      <c r="Y673" s="171"/>
      <c r="Z673" s="71"/>
      <c r="AA673" s="71"/>
      <c r="AB673" s="168"/>
      <c r="AC673" s="172"/>
      <c r="AD673" s="71"/>
      <c r="AE673" s="168"/>
      <c r="AF673" s="168"/>
      <c r="AG673" s="168"/>
      <c r="AH673" s="13"/>
      <c r="AI673" s="13"/>
    </row>
    <row r="674">
      <c r="A674" s="160"/>
      <c r="B674" s="160"/>
      <c r="C674" s="161" t="b">
        <v>0</v>
      </c>
      <c r="D674" s="161"/>
      <c r="E674" s="161"/>
      <c r="F674" s="162"/>
      <c r="G674" s="163"/>
      <c r="H674" s="164"/>
      <c r="I674" s="165"/>
      <c r="J674" s="161"/>
      <c r="K674" s="161"/>
      <c r="L674" s="166"/>
      <c r="M674" s="167"/>
      <c r="N674" s="168"/>
      <c r="O674" s="168"/>
      <c r="P674" s="168"/>
      <c r="Q674" s="169"/>
      <c r="R674" s="167"/>
      <c r="S674" s="142" t="b">
        <v>0</v>
      </c>
      <c r="T674" s="170"/>
      <c r="U674" s="170"/>
      <c r="V674" s="170"/>
      <c r="W674" s="170"/>
      <c r="X674" s="170"/>
      <c r="Y674" s="171"/>
      <c r="Z674" s="71"/>
      <c r="AA674" s="71"/>
      <c r="AB674" s="168"/>
      <c r="AC674" s="172"/>
      <c r="AD674" s="71"/>
      <c r="AE674" s="168"/>
      <c r="AF674" s="168"/>
      <c r="AG674" s="168"/>
      <c r="AH674" s="13"/>
      <c r="AI674" s="13"/>
    </row>
    <row r="675">
      <c r="A675" s="160"/>
      <c r="B675" s="160"/>
      <c r="C675" s="161" t="b">
        <v>0</v>
      </c>
      <c r="D675" s="161"/>
      <c r="E675" s="161"/>
      <c r="F675" s="162"/>
      <c r="G675" s="163"/>
      <c r="H675" s="164"/>
      <c r="I675" s="165"/>
      <c r="J675" s="161"/>
      <c r="K675" s="161"/>
      <c r="L675" s="166"/>
      <c r="M675" s="167"/>
      <c r="N675" s="168"/>
      <c r="O675" s="168"/>
      <c r="P675" s="168"/>
      <c r="Q675" s="169"/>
      <c r="R675" s="167"/>
      <c r="S675" s="142" t="b">
        <v>0</v>
      </c>
      <c r="T675" s="170"/>
      <c r="U675" s="170"/>
      <c r="V675" s="170"/>
      <c r="W675" s="170"/>
      <c r="X675" s="170"/>
      <c r="Y675" s="171"/>
      <c r="Z675" s="71"/>
      <c r="AA675" s="71"/>
      <c r="AB675" s="168"/>
      <c r="AC675" s="172"/>
      <c r="AD675" s="71"/>
      <c r="AE675" s="168"/>
      <c r="AF675" s="168"/>
      <c r="AG675" s="168"/>
      <c r="AH675" s="13"/>
      <c r="AI675" s="13"/>
    </row>
    <row r="676">
      <c r="A676" s="160"/>
      <c r="B676" s="160"/>
      <c r="C676" s="161" t="b">
        <v>0</v>
      </c>
      <c r="D676" s="161"/>
      <c r="E676" s="161"/>
      <c r="F676" s="162"/>
      <c r="G676" s="163"/>
      <c r="H676" s="164"/>
      <c r="I676" s="165"/>
      <c r="J676" s="161"/>
      <c r="K676" s="161"/>
      <c r="L676" s="166"/>
      <c r="M676" s="167"/>
      <c r="N676" s="168"/>
      <c r="O676" s="168"/>
      <c r="P676" s="168"/>
      <c r="Q676" s="169"/>
      <c r="R676" s="167"/>
      <c r="S676" s="142" t="b">
        <v>0</v>
      </c>
      <c r="T676" s="170"/>
      <c r="U676" s="170"/>
      <c r="V676" s="170"/>
      <c r="W676" s="170"/>
      <c r="X676" s="170"/>
      <c r="Y676" s="171"/>
      <c r="Z676" s="71"/>
      <c r="AA676" s="71"/>
      <c r="AB676" s="168"/>
      <c r="AC676" s="172"/>
      <c r="AD676" s="71"/>
      <c r="AE676" s="168"/>
      <c r="AF676" s="168"/>
      <c r="AG676" s="168"/>
      <c r="AH676" s="13"/>
      <c r="AI676" s="13"/>
    </row>
    <row r="677">
      <c r="A677" s="160"/>
      <c r="B677" s="160"/>
      <c r="C677" s="161" t="b">
        <v>0</v>
      </c>
      <c r="D677" s="161"/>
      <c r="E677" s="161"/>
      <c r="F677" s="162"/>
      <c r="G677" s="163"/>
      <c r="H677" s="164"/>
      <c r="I677" s="165"/>
      <c r="J677" s="161"/>
      <c r="K677" s="161"/>
      <c r="L677" s="166"/>
      <c r="M677" s="167"/>
      <c r="N677" s="168"/>
      <c r="O677" s="168"/>
      <c r="P677" s="168"/>
      <c r="Q677" s="169"/>
      <c r="R677" s="167"/>
      <c r="S677" s="142" t="b">
        <v>0</v>
      </c>
      <c r="T677" s="170"/>
      <c r="U677" s="170"/>
      <c r="V677" s="170"/>
      <c r="W677" s="170"/>
      <c r="X677" s="170"/>
      <c r="Y677" s="171"/>
      <c r="Z677" s="71"/>
      <c r="AA677" s="71"/>
      <c r="AB677" s="168"/>
      <c r="AC677" s="172"/>
      <c r="AD677" s="71"/>
      <c r="AE677" s="168"/>
      <c r="AF677" s="168"/>
      <c r="AG677" s="168"/>
      <c r="AH677" s="13"/>
      <c r="AI677" s="13"/>
    </row>
    <row r="678">
      <c r="A678" s="160"/>
      <c r="B678" s="160"/>
      <c r="C678" s="161" t="b">
        <v>0</v>
      </c>
      <c r="D678" s="161"/>
      <c r="E678" s="161"/>
      <c r="F678" s="162"/>
      <c r="G678" s="163"/>
      <c r="H678" s="164"/>
      <c r="I678" s="165"/>
      <c r="J678" s="161"/>
      <c r="K678" s="161"/>
      <c r="L678" s="166"/>
      <c r="M678" s="167"/>
      <c r="N678" s="168"/>
      <c r="O678" s="168"/>
      <c r="P678" s="168"/>
      <c r="Q678" s="169"/>
      <c r="R678" s="167"/>
      <c r="S678" s="142" t="b">
        <v>0</v>
      </c>
      <c r="T678" s="170"/>
      <c r="U678" s="170"/>
      <c r="V678" s="170"/>
      <c r="W678" s="170"/>
      <c r="X678" s="170"/>
      <c r="Y678" s="171"/>
      <c r="Z678" s="71"/>
      <c r="AA678" s="71"/>
      <c r="AB678" s="168"/>
      <c r="AC678" s="172"/>
      <c r="AD678" s="71"/>
      <c r="AE678" s="168"/>
      <c r="AF678" s="168"/>
      <c r="AG678" s="168"/>
      <c r="AH678" s="13"/>
      <c r="AI678" s="13"/>
    </row>
    <row r="679">
      <c r="A679" s="160"/>
      <c r="B679" s="160"/>
      <c r="C679" s="161" t="b">
        <v>0</v>
      </c>
      <c r="D679" s="161"/>
      <c r="E679" s="161"/>
      <c r="F679" s="162"/>
      <c r="G679" s="163"/>
      <c r="H679" s="164"/>
      <c r="I679" s="165"/>
      <c r="J679" s="161"/>
      <c r="K679" s="161"/>
      <c r="L679" s="166"/>
      <c r="M679" s="167"/>
      <c r="N679" s="168"/>
      <c r="O679" s="168"/>
      <c r="P679" s="168"/>
      <c r="Q679" s="169"/>
      <c r="R679" s="167"/>
      <c r="S679" s="142" t="b">
        <v>0</v>
      </c>
      <c r="T679" s="170"/>
      <c r="U679" s="170"/>
      <c r="V679" s="170"/>
      <c r="W679" s="170"/>
      <c r="X679" s="170"/>
      <c r="Y679" s="171"/>
      <c r="Z679" s="71"/>
      <c r="AA679" s="71"/>
      <c r="AB679" s="168"/>
      <c r="AC679" s="172"/>
      <c r="AD679" s="71"/>
      <c r="AE679" s="168"/>
      <c r="AF679" s="168"/>
      <c r="AG679" s="168"/>
      <c r="AH679" s="13"/>
      <c r="AI679" s="13"/>
    </row>
    <row r="680">
      <c r="A680" s="160"/>
      <c r="B680" s="160"/>
      <c r="C680" s="161" t="b">
        <v>0</v>
      </c>
      <c r="D680" s="161"/>
      <c r="E680" s="161"/>
      <c r="F680" s="162"/>
      <c r="G680" s="163"/>
      <c r="H680" s="164"/>
      <c r="I680" s="165"/>
      <c r="J680" s="161"/>
      <c r="K680" s="161"/>
      <c r="L680" s="166"/>
      <c r="M680" s="167"/>
      <c r="N680" s="168"/>
      <c r="O680" s="168"/>
      <c r="P680" s="168"/>
      <c r="Q680" s="169"/>
      <c r="R680" s="167"/>
      <c r="S680" s="142" t="b">
        <v>0</v>
      </c>
      <c r="T680" s="170"/>
      <c r="U680" s="170"/>
      <c r="V680" s="170"/>
      <c r="W680" s="170"/>
      <c r="X680" s="170"/>
      <c r="Y680" s="171"/>
      <c r="Z680" s="71"/>
      <c r="AA680" s="71"/>
      <c r="AB680" s="168"/>
      <c r="AC680" s="172"/>
      <c r="AD680" s="71"/>
      <c r="AE680" s="168"/>
      <c r="AF680" s="168"/>
      <c r="AG680" s="168"/>
      <c r="AH680" s="13"/>
      <c r="AI680" s="13"/>
    </row>
    <row r="681">
      <c r="A681" s="160"/>
      <c r="B681" s="160"/>
      <c r="C681" s="161" t="b">
        <v>0</v>
      </c>
      <c r="D681" s="161"/>
      <c r="E681" s="161"/>
      <c r="F681" s="162"/>
      <c r="G681" s="163"/>
      <c r="H681" s="164"/>
      <c r="I681" s="165"/>
      <c r="J681" s="161"/>
      <c r="K681" s="161"/>
      <c r="L681" s="166"/>
      <c r="M681" s="167"/>
      <c r="N681" s="168"/>
      <c r="O681" s="168"/>
      <c r="P681" s="168"/>
      <c r="Q681" s="169"/>
      <c r="R681" s="167"/>
      <c r="S681" s="142" t="b">
        <v>0</v>
      </c>
      <c r="T681" s="170"/>
      <c r="U681" s="170"/>
      <c r="V681" s="170"/>
      <c r="W681" s="170"/>
      <c r="X681" s="170"/>
      <c r="Y681" s="171"/>
      <c r="Z681" s="71"/>
      <c r="AA681" s="71"/>
      <c r="AB681" s="168"/>
      <c r="AC681" s="172"/>
      <c r="AD681" s="71"/>
      <c r="AE681" s="168"/>
      <c r="AF681" s="168"/>
      <c r="AG681" s="168"/>
      <c r="AH681" s="13"/>
      <c r="AI681" s="13"/>
    </row>
    <row r="682">
      <c r="A682" s="160"/>
      <c r="B682" s="160"/>
      <c r="C682" s="161" t="b">
        <v>0</v>
      </c>
      <c r="D682" s="161"/>
      <c r="E682" s="161"/>
      <c r="F682" s="162"/>
      <c r="G682" s="163"/>
      <c r="H682" s="164"/>
      <c r="I682" s="165"/>
      <c r="J682" s="161"/>
      <c r="K682" s="161"/>
      <c r="L682" s="166"/>
      <c r="M682" s="167"/>
      <c r="N682" s="168"/>
      <c r="O682" s="168"/>
      <c r="P682" s="168"/>
      <c r="Q682" s="169"/>
      <c r="R682" s="167"/>
      <c r="S682" s="142" t="b">
        <v>0</v>
      </c>
      <c r="T682" s="170"/>
      <c r="U682" s="170"/>
      <c r="V682" s="170"/>
      <c r="W682" s="170"/>
      <c r="X682" s="170"/>
      <c r="Y682" s="171"/>
      <c r="Z682" s="71"/>
      <c r="AA682" s="71"/>
      <c r="AB682" s="168"/>
      <c r="AC682" s="172"/>
      <c r="AD682" s="71"/>
      <c r="AE682" s="168"/>
      <c r="AF682" s="168"/>
      <c r="AG682" s="168"/>
      <c r="AH682" s="13"/>
      <c r="AI682" s="13"/>
    </row>
    <row r="683">
      <c r="A683" s="160"/>
      <c r="B683" s="160"/>
      <c r="C683" s="161" t="b">
        <v>0</v>
      </c>
      <c r="D683" s="161"/>
      <c r="E683" s="161"/>
      <c r="F683" s="162"/>
      <c r="G683" s="163"/>
      <c r="H683" s="164"/>
      <c r="I683" s="165"/>
      <c r="J683" s="161"/>
      <c r="K683" s="161"/>
      <c r="L683" s="166"/>
      <c r="M683" s="167"/>
      <c r="N683" s="168"/>
      <c r="O683" s="168"/>
      <c r="P683" s="168"/>
      <c r="Q683" s="169"/>
      <c r="R683" s="167"/>
      <c r="S683" s="142" t="b">
        <v>0</v>
      </c>
      <c r="T683" s="170"/>
      <c r="U683" s="170"/>
      <c r="V683" s="170"/>
      <c r="W683" s="170"/>
      <c r="X683" s="170"/>
      <c r="Y683" s="171"/>
      <c r="Z683" s="71"/>
      <c r="AA683" s="71"/>
      <c r="AB683" s="168"/>
      <c r="AC683" s="172"/>
      <c r="AD683" s="71"/>
      <c r="AE683" s="168"/>
      <c r="AF683" s="168"/>
      <c r="AG683" s="168"/>
      <c r="AH683" s="13"/>
      <c r="AI683" s="13"/>
    </row>
    <row r="684">
      <c r="A684" s="160"/>
      <c r="B684" s="160"/>
      <c r="C684" s="161" t="b">
        <v>0</v>
      </c>
      <c r="D684" s="161"/>
      <c r="E684" s="161"/>
      <c r="F684" s="162"/>
      <c r="G684" s="163"/>
      <c r="H684" s="164"/>
      <c r="I684" s="165"/>
      <c r="J684" s="161"/>
      <c r="K684" s="161"/>
      <c r="L684" s="166"/>
      <c r="M684" s="167"/>
      <c r="N684" s="168"/>
      <c r="O684" s="168"/>
      <c r="P684" s="168"/>
      <c r="Q684" s="169"/>
      <c r="R684" s="167"/>
      <c r="S684" s="142" t="b">
        <v>0</v>
      </c>
      <c r="T684" s="170"/>
      <c r="U684" s="170"/>
      <c r="V684" s="170"/>
      <c r="W684" s="170"/>
      <c r="X684" s="170"/>
      <c r="Y684" s="171"/>
      <c r="Z684" s="71"/>
      <c r="AA684" s="71"/>
      <c r="AB684" s="168"/>
      <c r="AC684" s="172"/>
      <c r="AD684" s="71"/>
      <c r="AE684" s="168"/>
      <c r="AF684" s="168"/>
      <c r="AG684" s="168"/>
      <c r="AH684" s="13"/>
      <c r="AI684" s="13"/>
    </row>
    <row r="685">
      <c r="A685" s="160"/>
      <c r="B685" s="160"/>
      <c r="C685" s="161" t="b">
        <v>0</v>
      </c>
      <c r="D685" s="161"/>
      <c r="E685" s="161"/>
      <c r="F685" s="162"/>
      <c r="G685" s="163"/>
      <c r="H685" s="164"/>
      <c r="I685" s="165"/>
      <c r="J685" s="161"/>
      <c r="K685" s="161"/>
      <c r="L685" s="166"/>
      <c r="M685" s="167"/>
      <c r="N685" s="168"/>
      <c r="O685" s="168"/>
      <c r="P685" s="168"/>
      <c r="Q685" s="169"/>
      <c r="R685" s="167"/>
      <c r="S685" s="142" t="b">
        <v>0</v>
      </c>
      <c r="T685" s="170"/>
      <c r="U685" s="170"/>
      <c r="V685" s="170"/>
      <c r="W685" s="170"/>
      <c r="X685" s="170"/>
      <c r="Y685" s="171"/>
      <c r="Z685" s="71"/>
      <c r="AA685" s="71"/>
      <c r="AB685" s="168"/>
      <c r="AC685" s="172"/>
      <c r="AD685" s="71"/>
      <c r="AE685" s="168"/>
      <c r="AF685" s="168"/>
      <c r="AG685" s="168"/>
      <c r="AH685" s="13"/>
      <c r="AI685" s="13"/>
    </row>
    <row r="686">
      <c r="A686" s="160"/>
      <c r="B686" s="160"/>
      <c r="C686" s="161" t="b">
        <v>0</v>
      </c>
      <c r="D686" s="161"/>
      <c r="E686" s="161"/>
      <c r="F686" s="162"/>
      <c r="G686" s="163"/>
      <c r="H686" s="164"/>
      <c r="I686" s="165"/>
      <c r="J686" s="161"/>
      <c r="K686" s="161"/>
      <c r="L686" s="166"/>
      <c r="M686" s="167"/>
      <c r="N686" s="168"/>
      <c r="O686" s="168"/>
      <c r="P686" s="168"/>
      <c r="Q686" s="169"/>
      <c r="R686" s="167"/>
      <c r="S686" s="142" t="b">
        <v>0</v>
      </c>
      <c r="T686" s="170"/>
      <c r="U686" s="170"/>
      <c r="V686" s="170"/>
      <c r="W686" s="170"/>
      <c r="X686" s="170"/>
      <c r="Y686" s="171"/>
      <c r="Z686" s="71"/>
      <c r="AA686" s="71"/>
      <c r="AB686" s="168"/>
      <c r="AC686" s="172"/>
      <c r="AD686" s="71"/>
      <c r="AE686" s="168"/>
      <c r="AF686" s="168"/>
      <c r="AG686" s="168"/>
      <c r="AH686" s="13"/>
      <c r="AI686" s="13"/>
    </row>
    <row r="687">
      <c r="A687" s="160"/>
      <c r="B687" s="160"/>
      <c r="C687" s="161" t="b">
        <v>0</v>
      </c>
      <c r="D687" s="161"/>
      <c r="E687" s="161"/>
      <c r="F687" s="162"/>
      <c r="G687" s="163"/>
      <c r="H687" s="164"/>
      <c r="I687" s="165"/>
      <c r="J687" s="161"/>
      <c r="K687" s="161"/>
      <c r="L687" s="166"/>
      <c r="M687" s="167"/>
      <c r="N687" s="168"/>
      <c r="O687" s="168"/>
      <c r="P687" s="168"/>
      <c r="Q687" s="169"/>
      <c r="R687" s="167"/>
      <c r="S687" s="142" t="b">
        <v>0</v>
      </c>
      <c r="T687" s="170"/>
      <c r="U687" s="170"/>
      <c r="V687" s="170"/>
      <c r="W687" s="170"/>
      <c r="X687" s="170"/>
      <c r="Y687" s="171"/>
      <c r="Z687" s="71"/>
      <c r="AA687" s="71"/>
      <c r="AB687" s="168"/>
      <c r="AC687" s="172"/>
      <c r="AD687" s="71"/>
      <c r="AE687" s="168"/>
      <c r="AF687" s="168"/>
      <c r="AG687" s="168"/>
      <c r="AH687" s="13"/>
      <c r="AI687" s="13"/>
    </row>
    <row r="688">
      <c r="A688" s="160"/>
      <c r="B688" s="160"/>
      <c r="C688" s="161" t="b">
        <v>0</v>
      </c>
      <c r="D688" s="161"/>
      <c r="E688" s="161"/>
      <c r="F688" s="162"/>
      <c r="G688" s="163"/>
      <c r="H688" s="164"/>
      <c r="I688" s="165"/>
      <c r="J688" s="161"/>
      <c r="K688" s="161"/>
      <c r="L688" s="166"/>
      <c r="M688" s="167"/>
      <c r="N688" s="168"/>
      <c r="O688" s="168"/>
      <c r="P688" s="168"/>
      <c r="Q688" s="169"/>
      <c r="R688" s="167"/>
      <c r="S688" s="142" t="b">
        <v>0</v>
      </c>
      <c r="T688" s="170"/>
      <c r="U688" s="170"/>
      <c r="V688" s="170"/>
      <c r="W688" s="170"/>
      <c r="X688" s="170"/>
      <c r="Y688" s="171"/>
      <c r="Z688" s="71"/>
      <c r="AA688" s="71"/>
      <c r="AB688" s="168"/>
      <c r="AC688" s="172"/>
      <c r="AD688" s="71"/>
      <c r="AE688" s="168"/>
      <c r="AF688" s="168"/>
      <c r="AG688" s="168"/>
      <c r="AH688" s="13"/>
      <c r="AI688" s="13"/>
    </row>
    <row r="689">
      <c r="A689" s="160"/>
      <c r="B689" s="160"/>
      <c r="C689" s="161" t="b">
        <v>0</v>
      </c>
      <c r="D689" s="161"/>
      <c r="E689" s="161"/>
      <c r="F689" s="162"/>
      <c r="G689" s="163"/>
      <c r="H689" s="164"/>
      <c r="I689" s="165"/>
      <c r="J689" s="161"/>
      <c r="K689" s="161"/>
      <c r="L689" s="166"/>
      <c r="M689" s="167"/>
      <c r="N689" s="168"/>
      <c r="O689" s="168"/>
      <c r="P689" s="168"/>
      <c r="Q689" s="169"/>
      <c r="R689" s="167"/>
      <c r="S689" s="142" t="b">
        <v>0</v>
      </c>
      <c r="T689" s="170"/>
      <c r="U689" s="170"/>
      <c r="V689" s="170"/>
      <c r="W689" s="170"/>
      <c r="X689" s="170"/>
      <c r="Y689" s="171"/>
      <c r="Z689" s="71"/>
      <c r="AA689" s="71"/>
      <c r="AB689" s="168"/>
      <c r="AC689" s="172"/>
      <c r="AD689" s="71"/>
      <c r="AE689" s="168"/>
      <c r="AF689" s="168"/>
      <c r="AG689" s="168"/>
      <c r="AH689" s="13"/>
      <c r="AI689" s="13"/>
    </row>
    <row r="690">
      <c r="A690" s="160"/>
      <c r="B690" s="160"/>
      <c r="C690" s="161" t="b">
        <v>0</v>
      </c>
      <c r="D690" s="161"/>
      <c r="E690" s="161"/>
      <c r="F690" s="162"/>
      <c r="G690" s="163"/>
      <c r="H690" s="164"/>
      <c r="I690" s="165"/>
      <c r="J690" s="161"/>
      <c r="K690" s="161"/>
      <c r="L690" s="166"/>
      <c r="M690" s="167"/>
      <c r="N690" s="168"/>
      <c r="O690" s="168"/>
      <c r="P690" s="168"/>
      <c r="Q690" s="169"/>
      <c r="R690" s="167"/>
      <c r="S690" s="142" t="b">
        <v>0</v>
      </c>
      <c r="T690" s="170"/>
      <c r="U690" s="170"/>
      <c r="V690" s="170"/>
      <c r="W690" s="170"/>
      <c r="X690" s="170"/>
      <c r="Y690" s="171"/>
      <c r="Z690" s="71"/>
      <c r="AA690" s="71"/>
      <c r="AB690" s="168"/>
      <c r="AC690" s="172"/>
      <c r="AD690" s="71"/>
      <c r="AE690" s="168"/>
      <c r="AF690" s="168"/>
      <c r="AG690" s="168"/>
      <c r="AH690" s="13"/>
      <c r="AI690" s="13"/>
    </row>
    <row r="691">
      <c r="A691" s="160"/>
      <c r="B691" s="160"/>
      <c r="C691" s="161" t="b">
        <v>0</v>
      </c>
      <c r="D691" s="161"/>
      <c r="E691" s="161"/>
      <c r="F691" s="162"/>
      <c r="G691" s="163"/>
      <c r="H691" s="164"/>
      <c r="I691" s="165"/>
      <c r="J691" s="161"/>
      <c r="K691" s="161"/>
      <c r="L691" s="166"/>
      <c r="M691" s="167"/>
      <c r="N691" s="168"/>
      <c r="O691" s="168"/>
      <c r="P691" s="168"/>
      <c r="Q691" s="169"/>
      <c r="R691" s="167"/>
      <c r="S691" s="142" t="b">
        <v>0</v>
      </c>
      <c r="T691" s="170"/>
      <c r="U691" s="170"/>
      <c r="V691" s="170"/>
      <c r="W691" s="170"/>
      <c r="X691" s="170"/>
      <c r="Y691" s="171"/>
      <c r="Z691" s="71"/>
      <c r="AA691" s="71"/>
      <c r="AB691" s="168"/>
      <c r="AC691" s="172"/>
      <c r="AD691" s="71"/>
      <c r="AE691" s="168"/>
      <c r="AF691" s="168"/>
      <c r="AG691" s="168"/>
      <c r="AH691" s="13"/>
      <c r="AI691" s="13"/>
    </row>
    <row r="692">
      <c r="A692" s="160"/>
      <c r="B692" s="160"/>
      <c r="C692" s="161" t="b">
        <v>0</v>
      </c>
      <c r="D692" s="161"/>
      <c r="E692" s="161"/>
      <c r="F692" s="162"/>
      <c r="G692" s="163"/>
      <c r="H692" s="164"/>
      <c r="I692" s="165"/>
      <c r="J692" s="161"/>
      <c r="K692" s="161"/>
      <c r="L692" s="166"/>
      <c r="M692" s="167"/>
      <c r="N692" s="168"/>
      <c r="O692" s="168"/>
      <c r="P692" s="168"/>
      <c r="Q692" s="169"/>
      <c r="R692" s="167"/>
      <c r="S692" s="142" t="b">
        <v>0</v>
      </c>
      <c r="T692" s="170"/>
      <c r="U692" s="170"/>
      <c r="V692" s="170"/>
      <c r="W692" s="170"/>
      <c r="X692" s="170"/>
      <c r="Y692" s="171"/>
      <c r="Z692" s="71"/>
      <c r="AA692" s="71"/>
      <c r="AB692" s="168"/>
      <c r="AC692" s="172"/>
      <c r="AD692" s="71"/>
      <c r="AE692" s="168"/>
      <c r="AF692" s="168"/>
      <c r="AG692" s="168"/>
      <c r="AH692" s="13"/>
      <c r="AI692" s="13"/>
    </row>
    <row r="693">
      <c r="A693" s="160"/>
      <c r="B693" s="160"/>
      <c r="C693" s="161" t="b">
        <v>0</v>
      </c>
      <c r="D693" s="161"/>
      <c r="E693" s="161"/>
      <c r="F693" s="162"/>
      <c r="G693" s="163"/>
      <c r="H693" s="164"/>
      <c r="I693" s="165"/>
      <c r="J693" s="161"/>
      <c r="K693" s="161"/>
      <c r="L693" s="166"/>
      <c r="M693" s="167"/>
      <c r="N693" s="168"/>
      <c r="O693" s="168"/>
      <c r="P693" s="168"/>
      <c r="Q693" s="169"/>
      <c r="R693" s="167"/>
      <c r="S693" s="142" t="b">
        <v>0</v>
      </c>
      <c r="T693" s="170"/>
      <c r="U693" s="170"/>
      <c r="V693" s="170"/>
      <c r="W693" s="170"/>
      <c r="X693" s="170"/>
      <c r="Y693" s="171"/>
      <c r="Z693" s="71"/>
      <c r="AA693" s="71"/>
      <c r="AB693" s="168"/>
      <c r="AC693" s="172"/>
      <c r="AD693" s="71"/>
      <c r="AE693" s="168"/>
      <c r="AF693" s="168"/>
      <c r="AG693" s="168"/>
      <c r="AH693" s="13"/>
      <c r="AI693" s="13"/>
    </row>
    <row r="694">
      <c r="A694" s="160"/>
      <c r="B694" s="160"/>
      <c r="C694" s="161" t="b">
        <v>0</v>
      </c>
      <c r="D694" s="161"/>
      <c r="E694" s="161"/>
      <c r="F694" s="162"/>
      <c r="G694" s="163"/>
      <c r="H694" s="164"/>
      <c r="I694" s="165"/>
      <c r="J694" s="161"/>
      <c r="K694" s="161"/>
      <c r="L694" s="166"/>
      <c r="M694" s="167"/>
      <c r="N694" s="168"/>
      <c r="O694" s="168"/>
      <c r="P694" s="168"/>
      <c r="Q694" s="169"/>
      <c r="R694" s="167"/>
      <c r="S694" s="142" t="b">
        <v>0</v>
      </c>
      <c r="T694" s="170"/>
      <c r="U694" s="170"/>
      <c r="V694" s="170"/>
      <c r="W694" s="170"/>
      <c r="X694" s="170"/>
      <c r="Y694" s="171"/>
      <c r="Z694" s="71"/>
      <c r="AA694" s="71"/>
      <c r="AB694" s="168"/>
      <c r="AC694" s="172"/>
      <c r="AD694" s="71"/>
      <c r="AE694" s="168"/>
      <c r="AF694" s="168"/>
      <c r="AG694" s="168"/>
      <c r="AH694" s="13"/>
      <c r="AI694" s="13"/>
    </row>
    <row r="695">
      <c r="A695" s="160"/>
      <c r="B695" s="160"/>
      <c r="C695" s="161" t="b">
        <v>0</v>
      </c>
      <c r="D695" s="161"/>
      <c r="E695" s="161"/>
      <c r="F695" s="162"/>
      <c r="G695" s="163"/>
      <c r="H695" s="164"/>
      <c r="I695" s="165"/>
      <c r="J695" s="161"/>
      <c r="K695" s="161"/>
      <c r="L695" s="166"/>
      <c r="M695" s="167"/>
      <c r="N695" s="168"/>
      <c r="O695" s="168"/>
      <c r="P695" s="168"/>
      <c r="Q695" s="169"/>
      <c r="R695" s="167"/>
      <c r="S695" s="142" t="b">
        <v>0</v>
      </c>
      <c r="T695" s="170"/>
      <c r="U695" s="170"/>
      <c r="V695" s="170"/>
      <c r="W695" s="170"/>
      <c r="X695" s="170"/>
      <c r="Y695" s="171"/>
      <c r="Z695" s="71"/>
      <c r="AA695" s="71"/>
      <c r="AB695" s="168"/>
      <c r="AC695" s="172"/>
      <c r="AD695" s="71"/>
      <c r="AE695" s="168"/>
      <c r="AF695" s="168"/>
      <c r="AG695" s="168"/>
      <c r="AH695" s="13"/>
      <c r="AI695" s="13"/>
    </row>
    <row r="696">
      <c r="A696" s="160"/>
      <c r="B696" s="160"/>
      <c r="C696" s="161" t="b">
        <v>0</v>
      </c>
      <c r="D696" s="161"/>
      <c r="E696" s="161"/>
      <c r="F696" s="162"/>
      <c r="G696" s="163"/>
      <c r="H696" s="164"/>
      <c r="I696" s="165"/>
      <c r="J696" s="161"/>
      <c r="K696" s="161"/>
      <c r="L696" s="166"/>
      <c r="M696" s="167"/>
      <c r="N696" s="168"/>
      <c r="O696" s="168"/>
      <c r="P696" s="168"/>
      <c r="Q696" s="169"/>
      <c r="R696" s="167"/>
      <c r="S696" s="142" t="b">
        <v>0</v>
      </c>
      <c r="T696" s="170"/>
      <c r="U696" s="170"/>
      <c r="V696" s="170"/>
      <c r="W696" s="170"/>
      <c r="X696" s="170"/>
      <c r="Y696" s="171"/>
      <c r="Z696" s="71"/>
      <c r="AA696" s="71"/>
      <c r="AB696" s="168"/>
      <c r="AC696" s="172"/>
      <c r="AD696" s="71"/>
      <c r="AE696" s="168"/>
      <c r="AF696" s="168"/>
      <c r="AG696" s="168"/>
      <c r="AH696" s="13"/>
      <c r="AI696" s="13"/>
    </row>
    <row r="697">
      <c r="A697" s="160"/>
      <c r="B697" s="160"/>
      <c r="C697" s="161" t="b">
        <v>0</v>
      </c>
      <c r="D697" s="161"/>
      <c r="E697" s="161"/>
      <c r="F697" s="162"/>
      <c r="G697" s="163"/>
      <c r="H697" s="164"/>
      <c r="I697" s="165"/>
      <c r="J697" s="161"/>
      <c r="K697" s="161"/>
      <c r="L697" s="166"/>
      <c r="M697" s="167"/>
      <c r="N697" s="168"/>
      <c r="O697" s="168"/>
      <c r="P697" s="168"/>
      <c r="Q697" s="169"/>
      <c r="R697" s="167"/>
      <c r="S697" s="142" t="b">
        <v>0</v>
      </c>
      <c r="T697" s="170"/>
      <c r="U697" s="170"/>
      <c r="V697" s="170"/>
      <c r="W697" s="170"/>
      <c r="X697" s="170"/>
      <c r="Y697" s="171"/>
      <c r="Z697" s="71"/>
      <c r="AA697" s="71"/>
      <c r="AB697" s="168"/>
      <c r="AC697" s="172"/>
      <c r="AD697" s="71"/>
      <c r="AE697" s="168"/>
      <c r="AF697" s="168"/>
      <c r="AG697" s="168"/>
      <c r="AH697" s="13"/>
      <c r="AI697" s="13"/>
    </row>
    <row r="698">
      <c r="A698" s="160"/>
      <c r="B698" s="160"/>
      <c r="C698" s="161" t="b">
        <v>0</v>
      </c>
      <c r="D698" s="161"/>
      <c r="E698" s="161"/>
      <c r="F698" s="162"/>
      <c r="G698" s="163"/>
      <c r="H698" s="164"/>
      <c r="I698" s="165"/>
      <c r="J698" s="161"/>
      <c r="K698" s="161"/>
      <c r="L698" s="166"/>
      <c r="M698" s="167"/>
      <c r="N698" s="168"/>
      <c r="O698" s="168"/>
      <c r="P698" s="168"/>
      <c r="Q698" s="169"/>
      <c r="R698" s="167"/>
      <c r="S698" s="142" t="b">
        <v>0</v>
      </c>
      <c r="T698" s="170"/>
      <c r="U698" s="170"/>
      <c r="V698" s="170"/>
      <c r="W698" s="170"/>
      <c r="X698" s="170"/>
      <c r="Y698" s="171"/>
      <c r="Z698" s="71"/>
      <c r="AA698" s="71"/>
      <c r="AB698" s="168"/>
      <c r="AC698" s="172"/>
      <c r="AD698" s="71"/>
      <c r="AE698" s="168"/>
      <c r="AF698" s="168"/>
      <c r="AG698" s="168"/>
      <c r="AH698" s="13"/>
      <c r="AI698" s="13"/>
    </row>
    <row r="699">
      <c r="A699" s="160"/>
      <c r="B699" s="160"/>
      <c r="C699" s="161" t="b">
        <v>0</v>
      </c>
      <c r="D699" s="161"/>
      <c r="E699" s="161"/>
      <c r="F699" s="162"/>
      <c r="G699" s="163"/>
      <c r="H699" s="164"/>
      <c r="I699" s="165"/>
      <c r="J699" s="161"/>
      <c r="K699" s="161"/>
      <c r="L699" s="166"/>
      <c r="M699" s="167"/>
      <c r="N699" s="168"/>
      <c r="O699" s="168"/>
      <c r="P699" s="168"/>
      <c r="Q699" s="169"/>
      <c r="R699" s="167"/>
      <c r="S699" s="142" t="b">
        <v>0</v>
      </c>
      <c r="T699" s="170"/>
      <c r="U699" s="170"/>
      <c r="V699" s="170"/>
      <c r="W699" s="170"/>
      <c r="X699" s="170"/>
      <c r="Y699" s="171"/>
      <c r="Z699" s="71"/>
      <c r="AA699" s="71"/>
      <c r="AB699" s="168"/>
      <c r="AC699" s="172"/>
      <c r="AD699" s="71"/>
      <c r="AE699" s="168"/>
      <c r="AF699" s="168"/>
      <c r="AG699" s="168"/>
      <c r="AH699" s="13"/>
      <c r="AI699" s="13"/>
    </row>
    <row r="700">
      <c r="A700" s="160"/>
      <c r="B700" s="160"/>
      <c r="C700" s="161" t="b">
        <v>0</v>
      </c>
      <c r="D700" s="161"/>
      <c r="E700" s="161"/>
      <c r="F700" s="162"/>
      <c r="G700" s="163"/>
      <c r="H700" s="164"/>
      <c r="I700" s="165"/>
      <c r="J700" s="161"/>
      <c r="K700" s="161"/>
      <c r="L700" s="166"/>
      <c r="M700" s="167"/>
      <c r="N700" s="168"/>
      <c r="O700" s="168"/>
      <c r="P700" s="168"/>
      <c r="Q700" s="169"/>
      <c r="R700" s="167"/>
      <c r="S700" s="142" t="b">
        <v>0</v>
      </c>
      <c r="T700" s="170"/>
      <c r="U700" s="170"/>
      <c r="V700" s="170"/>
      <c r="W700" s="170"/>
      <c r="X700" s="170"/>
      <c r="Y700" s="171"/>
      <c r="Z700" s="71"/>
      <c r="AA700" s="71"/>
      <c r="AB700" s="168"/>
      <c r="AC700" s="172"/>
      <c r="AD700" s="71"/>
      <c r="AE700" s="168"/>
      <c r="AF700" s="168"/>
      <c r="AG700" s="168"/>
      <c r="AH700" s="13"/>
      <c r="AI700" s="13"/>
    </row>
    <row r="701">
      <c r="A701" s="160"/>
      <c r="B701" s="160"/>
      <c r="C701" s="161" t="b">
        <v>0</v>
      </c>
      <c r="D701" s="161"/>
      <c r="E701" s="161"/>
      <c r="F701" s="162"/>
      <c r="G701" s="163"/>
      <c r="H701" s="164"/>
      <c r="I701" s="165"/>
      <c r="J701" s="161"/>
      <c r="K701" s="161"/>
      <c r="L701" s="166"/>
      <c r="M701" s="167"/>
      <c r="N701" s="168"/>
      <c r="O701" s="168"/>
      <c r="P701" s="168"/>
      <c r="Q701" s="169"/>
      <c r="R701" s="167"/>
      <c r="S701" s="142" t="b">
        <v>0</v>
      </c>
      <c r="T701" s="170"/>
      <c r="U701" s="170"/>
      <c r="V701" s="170"/>
      <c r="W701" s="170"/>
      <c r="X701" s="170"/>
      <c r="Y701" s="171"/>
      <c r="Z701" s="71"/>
      <c r="AA701" s="71"/>
      <c r="AB701" s="168"/>
      <c r="AC701" s="172"/>
      <c r="AD701" s="71"/>
      <c r="AE701" s="168"/>
      <c r="AF701" s="168"/>
      <c r="AG701" s="168"/>
      <c r="AH701" s="13"/>
      <c r="AI701" s="13"/>
    </row>
    <row r="702">
      <c r="A702" s="160"/>
      <c r="B702" s="160"/>
      <c r="C702" s="161" t="b">
        <v>0</v>
      </c>
      <c r="D702" s="161"/>
      <c r="E702" s="161"/>
      <c r="F702" s="162"/>
      <c r="G702" s="163"/>
      <c r="H702" s="164"/>
      <c r="I702" s="165"/>
      <c r="J702" s="161"/>
      <c r="K702" s="161"/>
      <c r="L702" s="166"/>
      <c r="M702" s="167"/>
      <c r="N702" s="168"/>
      <c r="O702" s="168"/>
      <c r="P702" s="168"/>
      <c r="Q702" s="169"/>
      <c r="R702" s="167"/>
      <c r="S702" s="142" t="b">
        <v>0</v>
      </c>
      <c r="T702" s="170"/>
      <c r="U702" s="170"/>
      <c r="V702" s="170"/>
      <c r="W702" s="170"/>
      <c r="X702" s="170"/>
      <c r="Y702" s="171"/>
      <c r="Z702" s="71"/>
      <c r="AA702" s="71"/>
      <c r="AB702" s="168"/>
      <c r="AC702" s="172"/>
      <c r="AD702" s="71"/>
      <c r="AE702" s="168"/>
      <c r="AF702" s="168"/>
      <c r="AG702" s="168"/>
      <c r="AH702" s="13"/>
      <c r="AI702" s="13"/>
    </row>
    <row r="703">
      <c r="A703" s="160"/>
      <c r="B703" s="160"/>
      <c r="C703" s="161" t="b">
        <v>0</v>
      </c>
      <c r="D703" s="161"/>
      <c r="E703" s="161"/>
      <c r="F703" s="162"/>
      <c r="G703" s="163"/>
      <c r="H703" s="164"/>
      <c r="I703" s="165"/>
      <c r="J703" s="161"/>
      <c r="K703" s="161"/>
      <c r="L703" s="166"/>
      <c r="M703" s="167"/>
      <c r="N703" s="168"/>
      <c r="O703" s="168"/>
      <c r="P703" s="168"/>
      <c r="Q703" s="169"/>
      <c r="R703" s="167"/>
      <c r="S703" s="142" t="b">
        <v>0</v>
      </c>
      <c r="T703" s="170"/>
      <c r="U703" s="170"/>
      <c r="V703" s="170"/>
      <c r="W703" s="170"/>
      <c r="X703" s="170"/>
      <c r="Y703" s="171"/>
      <c r="Z703" s="71"/>
      <c r="AA703" s="71"/>
      <c r="AB703" s="168"/>
      <c r="AC703" s="172"/>
      <c r="AD703" s="71"/>
      <c r="AE703" s="168"/>
      <c r="AF703" s="168"/>
      <c r="AG703" s="168"/>
      <c r="AH703" s="13"/>
      <c r="AI703" s="13"/>
    </row>
    <row r="704">
      <c r="A704" s="160"/>
      <c r="B704" s="160"/>
      <c r="C704" s="161" t="b">
        <v>0</v>
      </c>
      <c r="D704" s="161"/>
      <c r="E704" s="161"/>
      <c r="F704" s="162"/>
      <c r="G704" s="163"/>
      <c r="H704" s="164"/>
      <c r="I704" s="165"/>
      <c r="J704" s="161"/>
      <c r="K704" s="161"/>
      <c r="L704" s="166"/>
      <c r="M704" s="167"/>
      <c r="N704" s="168"/>
      <c r="O704" s="168"/>
      <c r="P704" s="168"/>
      <c r="Q704" s="169"/>
      <c r="R704" s="167"/>
      <c r="S704" s="142" t="b">
        <v>0</v>
      </c>
      <c r="T704" s="170"/>
      <c r="U704" s="170"/>
      <c r="V704" s="170"/>
      <c r="W704" s="170"/>
      <c r="X704" s="170"/>
      <c r="Y704" s="171"/>
      <c r="Z704" s="71"/>
      <c r="AA704" s="71"/>
      <c r="AB704" s="168"/>
      <c r="AC704" s="172"/>
      <c r="AD704" s="71"/>
      <c r="AE704" s="168"/>
      <c r="AF704" s="168"/>
      <c r="AG704" s="168"/>
      <c r="AH704" s="13"/>
      <c r="AI704" s="13"/>
    </row>
    <row r="705">
      <c r="A705" s="160"/>
      <c r="B705" s="160"/>
      <c r="C705" s="161" t="b">
        <v>0</v>
      </c>
      <c r="D705" s="161"/>
      <c r="E705" s="161"/>
      <c r="F705" s="162"/>
      <c r="G705" s="163"/>
      <c r="H705" s="164"/>
      <c r="I705" s="165"/>
      <c r="J705" s="161"/>
      <c r="K705" s="161"/>
      <c r="L705" s="166"/>
      <c r="M705" s="167"/>
      <c r="N705" s="168"/>
      <c r="O705" s="168"/>
      <c r="P705" s="168"/>
      <c r="Q705" s="169"/>
      <c r="R705" s="167"/>
      <c r="S705" s="142" t="b">
        <v>0</v>
      </c>
      <c r="T705" s="170"/>
      <c r="U705" s="170"/>
      <c r="V705" s="170"/>
      <c r="W705" s="170"/>
      <c r="X705" s="170"/>
      <c r="Y705" s="171"/>
      <c r="Z705" s="71"/>
      <c r="AA705" s="71"/>
      <c r="AB705" s="168"/>
      <c r="AC705" s="172"/>
      <c r="AD705" s="71"/>
      <c r="AE705" s="168"/>
      <c r="AF705" s="168"/>
      <c r="AG705" s="168"/>
      <c r="AH705" s="13"/>
      <c r="AI705" s="13"/>
    </row>
    <row r="706">
      <c r="A706" s="160"/>
      <c r="B706" s="160"/>
      <c r="C706" s="161" t="b">
        <v>0</v>
      </c>
      <c r="D706" s="161"/>
      <c r="E706" s="161"/>
      <c r="F706" s="162"/>
      <c r="G706" s="163"/>
      <c r="H706" s="164"/>
      <c r="I706" s="165"/>
      <c r="J706" s="161"/>
      <c r="K706" s="161"/>
      <c r="L706" s="166"/>
      <c r="M706" s="167"/>
      <c r="N706" s="168"/>
      <c r="O706" s="168"/>
      <c r="P706" s="168"/>
      <c r="Q706" s="169"/>
      <c r="R706" s="167"/>
      <c r="S706" s="142" t="b">
        <v>0</v>
      </c>
      <c r="T706" s="170"/>
      <c r="U706" s="170"/>
      <c r="V706" s="170"/>
      <c r="W706" s="170"/>
      <c r="X706" s="170"/>
      <c r="Y706" s="171"/>
      <c r="Z706" s="71"/>
      <c r="AA706" s="71"/>
      <c r="AB706" s="168"/>
      <c r="AC706" s="172"/>
      <c r="AD706" s="71"/>
      <c r="AE706" s="168"/>
      <c r="AF706" s="168"/>
      <c r="AG706" s="168"/>
      <c r="AH706" s="13"/>
      <c r="AI706" s="13"/>
    </row>
    <row r="707">
      <c r="A707" s="160"/>
      <c r="B707" s="160"/>
      <c r="C707" s="161" t="b">
        <v>0</v>
      </c>
      <c r="D707" s="161"/>
      <c r="E707" s="161"/>
      <c r="F707" s="162"/>
      <c r="G707" s="163"/>
      <c r="H707" s="164"/>
      <c r="I707" s="165"/>
      <c r="J707" s="161"/>
      <c r="K707" s="161"/>
      <c r="L707" s="166"/>
      <c r="M707" s="167"/>
      <c r="N707" s="168"/>
      <c r="O707" s="168"/>
      <c r="P707" s="168"/>
      <c r="Q707" s="169"/>
      <c r="R707" s="167"/>
      <c r="S707" s="142" t="b">
        <v>0</v>
      </c>
      <c r="T707" s="170"/>
      <c r="U707" s="170"/>
      <c r="V707" s="170"/>
      <c r="W707" s="170"/>
      <c r="X707" s="170"/>
      <c r="Y707" s="171"/>
      <c r="Z707" s="71"/>
      <c r="AA707" s="71"/>
      <c r="AB707" s="168"/>
      <c r="AC707" s="172"/>
      <c r="AD707" s="71"/>
      <c r="AE707" s="168"/>
      <c r="AF707" s="168"/>
      <c r="AG707" s="168"/>
      <c r="AH707" s="13"/>
      <c r="AI707" s="13"/>
    </row>
    <row r="708">
      <c r="A708" s="160"/>
      <c r="B708" s="160"/>
      <c r="C708" s="161" t="b">
        <v>0</v>
      </c>
      <c r="D708" s="161"/>
      <c r="E708" s="161"/>
      <c r="F708" s="162"/>
      <c r="G708" s="163"/>
      <c r="H708" s="164"/>
      <c r="I708" s="165"/>
      <c r="J708" s="161"/>
      <c r="K708" s="161"/>
      <c r="L708" s="166"/>
      <c r="M708" s="167"/>
      <c r="N708" s="168"/>
      <c r="O708" s="168"/>
      <c r="P708" s="168"/>
      <c r="Q708" s="169"/>
      <c r="R708" s="167"/>
      <c r="S708" s="142" t="b">
        <v>0</v>
      </c>
      <c r="T708" s="170"/>
      <c r="U708" s="170"/>
      <c r="V708" s="170"/>
      <c r="W708" s="170"/>
      <c r="X708" s="170"/>
      <c r="Y708" s="171"/>
      <c r="Z708" s="71"/>
      <c r="AA708" s="71"/>
      <c r="AB708" s="168"/>
      <c r="AC708" s="172"/>
      <c r="AD708" s="71"/>
      <c r="AE708" s="168"/>
      <c r="AF708" s="168"/>
      <c r="AG708" s="168"/>
      <c r="AH708" s="13"/>
      <c r="AI708" s="13"/>
    </row>
    <row r="709">
      <c r="A709" s="160"/>
      <c r="B709" s="160"/>
      <c r="C709" s="161" t="b">
        <v>0</v>
      </c>
      <c r="D709" s="161"/>
      <c r="E709" s="161"/>
      <c r="F709" s="162"/>
      <c r="G709" s="163"/>
      <c r="H709" s="164"/>
      <c r="I709" s="165"/>
      <c r="J709" s="161"/>
      <c r="K709" s="161"/>
      <c r="L709" s="166"/>
      <c r="M709" s="167"/>
      <c r="N709" s="168"/>
      <c r="O709" s="168"/>
      <c r="P709" s="168"/>
      <c r="Q709" s="169"/>
      <c r="R709" s="167"/>
      <c r="S709" s="142" t="b">
        <v>0</v>
      </c>
      <c r="T709" s="170"/>
      <c r="U709" s="170"/>
      <c r="V709" s="170"/>
      <c r="W709" s="170"/>
      <c r="X709" s="170"/>
      <c r="Y709" s="171"/>
      <c r="Z709" s="71"/>
      <c r="AA709" s="71"/>
      <c r="AB709" s="168"/>
      <c r="AC709" s="172"/>
      <c r="AD709" s="71"/>
      <c r="AE709" s="168"/>
      <c r="AF709" s="168"/>
      <c r="AG709" s="168"/>
      <c r="AH709" s="13"/>
      <c r="AI709" s="13"/>
    </row>
    <row r="710">
      <c r="A710" s="160"/>
      <c r="B710" s="160"/>
      <c r="C710" s="161" t="b">
        <v>0</v>
      </c>
      <c r="D710" s="161"/>
      <c r="E710" s="161"/>
      <c r="F710" s="162"/>
      <c r="G710" s="163"/>
      <c r="H710" s="164"/>
      <c r="I710" s="165"/>
      <c r="J710" s="161"/>
      <c r="K710" s="161"/>
      <c r="L710" s="166"/>
      <c r="M710" s="167"/>
      <c r="N710" s="168"/>
      <c r="O710" s="168"/>
      <c r="P710" s="168"/>
      <c r="Q710" s="169"/>
      <c r="R710" s="167"/>
      <c r="S710" s="142" t="b">
        <v>0</v>
      </c>
      <c r="T710" s="170"/>
      <c r="U710" s="170"/>
      <c r="V710" s="170"/>
      <c r="W710" s="170"/>
      <c r="X710" s="170"/>
      <c r="Y710" s="171"/>
      <c r="Z710" s="71"/>
      <c r="AA710" s="71"/>
      <c r="AB710" s="168"/>
      <c r="AC710" s="172"/>
      <c r="AD710" s="71"/>
      <c r="AE710" s="168"/>
      <c r="AF710" s="168"/>
      <c r="AG710" s="168"/>
      <c r="AH710" s="13"/>
      <c r="AI710" s="13"/>
    </row>
    <row r="711">
      <c r="A711" s="160"/>
      <c r="B711" s="160"/>
      <c r="C711" s="161" t="b">
        <v>0</v>
      </c>
      <c r="D711" s="161"/>
      <c r="E711" s="161"/>
      <c r="F711" s="162"/>
      <c r="G711" s="163"/>
      <c r="H711" s="164"/>
      <c r="I711" s="165"/>
      <c r="J711" s="161"/>
      <c r="K711" s="161"/>
      <c r="L711" s="166"/>
      <c r="M711" s="167"/>
      <c r="N711" s="168"/>
      <c r="O711" s="168"/>
      <c r="P711" s="168"/>
      <c r="Q711" s="169"/>
      <c r="R711" s="167"/>
      <c r="S711" s="142" t="b">
        <v>0</v>
      </c>
      <c r="T711" s="170"/>
      <c r="U711" s="170"/>
      <c r="V711" s="170"/>
      <c r="W711" s="170"/>
      <c r="X711" s="170"/>
      <c r="Y711" s="171"/>
      <c r="Z711" s="71"/>
      <c r="AA711" s="71"/>
      <c r="AB711" s="168"/>
      <c r="AC711" s="172"/>
      <c r="AD711" s="71"/>
      <c r="AE711" s="168"/>
      <c r="AF711" s="168"/>
      <c r="AG711" s="168"/>
      <c r="AH711" s="13"/>
      <c r="AI711" s="13"/>
    </row>
    <row r="712">
      <c r="A712" s="160"/>
      <c r="B712" s="160"/>
      <c r="C712" s="161" t="b">
        <v>0</v>
      </c>
      <c r="D712" s="161"/>
      <c r="E712" s="161"/>
      <c r="F712" s="162"/>
      <c r="G712" s="163"/>
      <c r="H712" s="164"/>
      <c r="I712" s="165"/>
      <c r="J712" s="161"/>
      <c r="K712" s="161"/>
      <c r="L712" s="166"/>
      <c r="M712" s="167"/>
      <c r="N712" s="168"/>
      <c r="O712" s="168"/>
      <c r="P712" s="168"/>
      <c r="Q712" s="169"/>
      <c r="R712" s="167"/>
      <c r="S712" s="142" t="b">
        <v>0</v>
      </c>
      <c r="T712" s="170"/>
      <c r="U712" s="170"/>
      <c r="V712" s="170"/>
      <c r="W712" s="170"/>
      <c r="X712" s="170"/>
      <c r="Y712" s="171"/>
      <c r="Z712" s="71"/>
      <c r="AA712" s="71"/>
      <c r="AB712" s="168"/>
      <c r="AC712" s="172"/>
      <c r="AD712" s="71"/>
      <c r="AE712" s="168"/>
      <c r="AF712" s="168"/>
      <c r="AG712" s="168"/>
      <c r="AH712" s="13"/>
      <c r="AI712" s="13"/>
    </row>
    <row r="713">
      <c r="A713" s="160"/>
      <c r="B713" s="160"/>
      <c r="C713" s="161" t="b">
        <v>0</v>
      </c>
      <c r="D713" s="161"/>
      <c r="E713" s="161"/>
      <c r="F713" s="162"/>
      <c r="G713" s="163"/>
      <c r="H713" s="164"/>
      <c r="I713" s="165"/>
      <c r="J713" s="161"/>
      <c r="K713" s="161"/>
      <c r="L713" s="166"/>
      <c r="M713" s="167"/>
      <c r="N713" s="168"/>
      <c r="O713" s="168"/>
      <c r="P713" s="168"/>
      <c r="Q713" s="169"/>
      <c r="R713" s="167"/>
      <c r="S713" s="142" t="b">
        <v>0</v>
      </c>
      <c r="T713" s="170"/>
      <c r="U713" s="170"/>
      <c r="V713" s="170"/>
      <c r="W713" s="170"/>
      <c r="X713" s="170"/>
      <c r="Y713" s="171"/>
      <c r="Z713" s="71"/>
      <c r="AA713" s="71"/>
      <c r="AB713" s="168"/>
      <c r="AC713" s="172"/>
      <c r="AD713" s="71"/>
      <c r="AE713" s="168"/>
      <c r="AF713" s="168"/>
      <c r="AG713" s="168"/>
      <c r="AH713" s="13"/>
      <c r="AI713" s="13"/>
    </row>
    <row r="714">
      <c r="A714" s="160"/>
      <c r="B714" s="160"/>
      <c r="C714" s="161" t="b">
        <v>0</v>
      </c>
      <c r="D714" s="161"/>
      <c r="E714" s="161"/>
      <c r="F714" s="162"/>
      <c r="G714" s="163"/>
      <c r="H714" s="164"/>
      <c r="I714" s="165"/>
      <c r="J714" s="161"/>
      <c r="K714" s="161"/>
      <c r="L714" s="166"/>
      <c r="M714" s="167"/>
      <c r="N714" s="168"/>
      <c r="O714" s="168"/>
      <c r="P714" s="168"/>
      <c r="Q714" s="169"/>
      <c r="R714" s="167"/>
      <c r="S714" s="142" t="b">
        <v>0</v>
      </c>
      <c r="T714" s="170"/>
      <c r="U714" s="170"/>
      <c r="V714" s="170"/>
      <c r="W714" s="170"/>
      <c r="X714" s="170"/>
      <c r="Y714" s="171"/>
      <c r="Z714" s="71"/>
      <c r="AA714" s="71"/>
      <c r="AB714" s="168"/>
      <c r="AC714" s="172"/>
      <c r="AD714" s="71"/>
      <c r="AE714" s="168"/>
      <c r="AF714" s="168"/>
      <c r="AG714" s="168"/>
      <c r="AH714" s="13"/>
      <c r="AI714" s="13"/>
    </row>
    <row r="715">
      <c r="A715" s="160"/>
      <c r="B715" s="160"/>
      <c r="C715" s="161" t="b">
        <v>0</v>
      </c>
      <c r="D715" s="161"/>
      <c r="E715" s="161"/>
      <c r="F715" s="162"/>
      <c r="G715" s="163"/>
      <c r="H715" s="164"/>
      <c r="I715" s="165"/>
      <c r="J715" s="161"/>
      <c r="K715" s="161"/>
      <c r="L715" s="166"/>
      <c r="M715" s="167"/>
      <c r="N715" s="168"/>
      <c r="O715" s="168"/>
      <c r="P715" s="168"/>
      <c r="Q715" s="169"/>
      <c r="R715" s="167"/>
      <c r="S715" s="142" t="b">
        <v>0</v>
      </c>
      <c r="T715" s="170"/>
      <c r="U715" s="170"/>
      <c r="V715" s="170"/>
      <c r="W715" s="170"/>
      <c r="X715" s="170"/>
      <c r="Y715" s="171"/>
      <c r="Z715" s="71"/>
      <c r="AA715" s="71"/>
      <c r="AB715" s="168"/>
      <c r="AC715" s="172"/>
      <c r="AD715" s="71"/>
      <c r="AE715" s="168"/>
      <c r="AF715" s="168"/>
      <c r="AG715" s="168"/>
      <c r="AH715" s="13"/>
      <c r="AI715" s="13"/>
    </row>
    <row r="716">
      <c r="A716" s="160"/>
      <c r="B716" s="160"/>
      <c r="C716" s="161" t="b">
        <v>0</v>
      </c>
      <c r="D716" s="161"/>
      <c r="E716" s="161"/>
      <c r="F716" s="162"/>
      <c r="G716" s="163"/>
      <c r="H716" s="164"/>
      <c r="I716" s="165"/>
      <c r="J716" s="161"/>
      <c r="K716" s="161"/>
      <c r="L716" s="166"/>
      <c r="M716" s="167"/>
      <c r="N716" s="168"/>
      <c r="O716" s="168"/>
      <c r="P716" s="168"/>
      <c r="Q716" s="169"/>
      <c r="R716" s="167"/>
      <c r="S716" s="142" t="b">
        <v>0</v>
      </c>
      <c r="T716" s="170"/>
      <c r="U716" s="170"/>
      <c r="V716" s="170"/>
      <c r="W716" s="170"/>
      <c r="X716" s="170"/>
      <c r="Y716" s="171"/>
      <c r="Z716" s="71"/>
      <c r="AA716" s="71"/>
      <c r="AB716" s="168"/>
      <c r="AC716" s="172"/>
      <c r="AD716" s="71"/>
      <c r="AE716" s="168"/>
      <c r="AF716" s="168"/>
      <c r="AG716" s="168"/>
      <c r="AH716" s="13"/>
      <c r="AI716" s="13"/>
    </row>
    <row r="717">
      <c r="A717" s="160"/>
      <c r="B717" s="160"/>
      <c r="C717" s="161" t="b">
        <v>0</v>
      </c>
      <c r="D717" s="161"/>
      <c r="E717" s="161"/>
      <c r="F717" s="162"/>
      <c r="G717" s="163"/>
      <c r="H717" s="164"/>
      <c r="I717" s="165"/>
      <c r="J717" s="161"/>
      <c r="K717" s="161"/>
      <c r="L717" s="166"/>
      <c r="M717" s="167"/>
      <c r="N717" s="168"/>
      <c r="O717" s="168"/>
      <c r="P717" s="168"/>
      <c r="Q717" s="169"/>
      <c r="R717" s="167"/>
      <c r="S717" s="142" t="b">
        <v>0</v>
      </c>
      <c r="T717" s="170"/>
      <c r="U717" s="170"/>
      <c r="V717" s="170"/>
      <c r="W717" s="170"/>
      <c r="X717" s="170"/>
      <c r="Y717" s="171"/>
      <c r="Z717" s="71"/>
      <c r="AA717" s="71"/>
      <c r="AB717" s="168"/>
      <c r="AC717" s="172"/>
      <c r="AD717" s="71"/>
      <c r="AE717" s="168"/>
      <c r="AF717" s="168"/>
      <c r="AG717" s="168"/>
      <c r="AH717" s="13"/>
      <c r="AI717" s="13"/>
    </row>
    <row r="718">
      <c r="A718" s="160"/>
      <c r="B718" s="160"/>
      <c r="C718" s="161" t="b">
        <v>0</v>
      </c>
      <c r="D718" s="161"/>
      <c r="E718" s="161"/>
      <c r="F718" s="162"/>
      <c r="G718" s="163"/>
      <c r="H718" s="164"/>
      <c r="I718" s="165"/>
      <c r="J718" s="161"/>
      <c r="K718" s="161"/>
      <c r="L718" s="166"/>
      <c r="M718" s="167"/>
      <c r="N718" s="168"/>
      <c r="O718" s="168"/>
      <c r="P718" s="168"/>
      <c r="Q718" s="169"/>
      <c r="R718" s="167"/>
      <c r="S718" s="142" t="b">
        <v>0</v>
      </c>
      <c r="T718" s="170"/>
      <c r="U718" s="170"/>
      <c r="V718" s="170"/>
      <c r="W718" s="170"/>
      <c r="X718" s="170"/>
      <c r="Y718" s="171"/>
      <c r="Z718" s="71"/>
      <c r="AA718" s="71"/>
      <c r="AB718" s="168"/>
      <c r="AC718" s="172"/>
      <c r="AD718" s="71"/>
      <c r="AE718" s="168"/>
      <c r="AF718" s="168"/>
      <c r="AG718" s="168"/>
      <c r="AH718" s="13"/>
      <c r="AI718" s="13"/>
    </row>
    <row r="719">
      <c r="A719" s="160"/>
      <c r="B719" s="160"/>
      <c r="C719" s="161" t="b">
        <v>0</v>
      </c>
      <c r="D719" s="161"/>
      <c r="E719" s="161"/>
      <c r="F719" s="162"/>
      <c r="G719" s="163"/>
      <c r="H719" s="164"/>
      <c r="I719" s="165"/>
      <c r="J719" s="161"/>
      <c r="K719" s="161"/>
      <c r="L719" s="166"/>
      <c r="M719" s="167"/>
      <c r="N719" s="168"/>
      <c r="O719" s="168"/>
      <c r="P719" s="168"/>
      <c r="Q719" s="169"/>
      <c r="R719" s="167"/>
      <c r="S719" s="142" t="b">
        <v>0</v>
      </c>
      <c r="T719" s="170"/>
      <c r="U719" s="170"/>
      <c r="V719" s="170"/>
      <c r="W719" s="170"/>
      <c r="X719" s="170"/>
      <c r="Y719" s="171"/>
      <c r="Z719" s="71"/>
      <c r="AA719" s="71"/>
      <c r="AB719" s="168"/>
      <c r="AC719" s="172"/>
      <c r="AD719" s="71"/>
      <c r="AE719" s="168"/>
      <c r="AF719" s="168"/>
      <c r="AG719" s="168"/>
      <c r="AH719" s="13"/>
      <c r="AI719" s="13"/>
    </row>
    <row r="720">
      <c r="A720" s="160"/>
      <c r="B720" s="160"/>
      <c r="C720" s="161" t="b">
        <v>0</v>
      </c>
      <c r="D720" s="161"/>
      <c r="E720" s="161"/>
      <c r="F720" s="162"/>
      <c r="G720" s="163"/>
      <c r="H720" s="164"/>
      <c r="I720" s="165"/>
      <c r="J720" s="161"/>
      <c r="K720" s="161"/>
      <c r="L720" s="166"/>
      <c r="M720" s="167"/>
      <c r="N720" s="168"/>
      <c r="O720" s="168"/>
      <c r="P720" s="168"/>
      <c r="Q720" s="169"/>
      <c r="R720" s="167"/>
      <c r="S720" s="142" t="b">
        <v>0</v>
      </c>
      <c r="T720" s="170"/>
      <c r="U720" s="170"/>
      <c r="V720" s="170"/>
      <c r="W720" s="170"/>
      <c r="X720" s="170"/>
      <c r="Y720" s="171"/>
      <c r="Z720" s="71"/>
      <c r="AA720" s="71"/>
      <c r="AB720" s="168"/>
      <c r="AC720" s="172"/>
      <c r="AD720" s="71"/>
      <c r="AE720" s="168"/>
      <c r="AF720" s="168"/>
      <c r="AG720" s="168"/>
      <c r="AH720" s="13"/>
      <c r="AI720" s="13"/>
    </row>
    <row r="721">
      <c r="A721" s="160"/>
      <c r="B721" s="160"/>
      <c r="C721" s="161" t="b">
        <v>0</v>
      </c>
      <c r="D721" s="161"/>
      <c r="E721" s="161"/>
      <c r="F721" s="162"/>
      <c r="G721" s="163"/>
      <c r="H721" s="164"/>
      <c r="I721" s="165"/>
      <c r="J721" s="161"/>
      <c r="K721" s="161"/>
      <c r="L721" s="166"/>
      <c r="M721" s="167"/>
      <c r="N721" s="168"/>
      <c r="O721" s="168"/>
      <c r="P721" s="168"/>
      <c r="Q721" s="169"/>
      <c r="R721" s="167"/>
      <c r="S721" s="142" t="b">
        <v>0</v>
      </c>
      <c r="T721" s="170"/>
      <c r="U721" s="170"/>
      <c r="V721" s="170"/>
      <c r="W721" s="170"/>
      <c r="X721" s="170"/>
      <c r="Y721" s="171"/>
      <c r="Z721" s="71"/>
      <c r="AA721" s="71"/>
      <c r="AB721" s="168"/>
      <c r="AC721" s="172"/>
      <c r="AD721" s="71"/>
      <c r="AE721" s="168"/>
      <c r="AF721" s="168"/>
      <c r="AG721" s="168"/>
      <c r="AH721" s="13"/>
      <c r="AI721" s="13"/>
    </row>
    <row r="722">
      <c r="A722" s="160"/>
      <c r="B722" s="160"/>
      <c r="C722" s="161" t="b">
        <v>0</v>
      </c>
      <c r="D722" s="161"/>
      <c r="E722" s="161"/>
      <c r="F722" s="162"/>
      <c r="G722" s="163"/>
      <c r="H722" s="164"/>
      <c r="I722" s="165"/>
      <c r="J722" s="161"/>
      <c r="K722" s="161"/>
      <c r="L722" s="166"/>
      <c r="M722" s="167"/>
      <c r="N722" s="168"/>
      <c r="O722" s="168"/>
      <c r="P722" s="168"/>
      <c r="Q722" s="169"/>
      <c r="R722" s="167"/>
      <c r="S722" s="142" t="b">
        <v>0</v>
      </c>
      <c r="T722" s="170"/>
      <c r="U722" s="170"/>
      <c r="V722" s="170"/>
      <c r="W722" s="170"/>
      <c r="X722" s="170"/>
      <c r="Y722" s="171"/>
      <c r="Z722" s="71"/>
      <c r="AA722" s="71"/>
      <c r="AB722" s="168"/>
      <c r="AC722" s="172"/>
      <c r="AD722" s="71"/>
      <c r="AE722" s="168"/>
      <c r="AF722" s="168"/>
      <c r="AG722" s="168"/>
      <c r="AH722" s="13"/>
      <c r="AI722" s="13"/>
    </row>
    <row r="723">
      <c r="A723" s="160"/>
      <c r="B723" s="160"/>
      <c r="C723" s="161" t="b">
        <v>0</v>
      </c>
      <c r="D723" s="161"/>
      <c r="E723" s="161"/>
      <c r="F723" s="162"/>
      <c r="G723" s="163"/>
      <c r="H723" s="164"/>
      <c r="I723" s="165"/>
      <c r="J723" s="161"/>
      <c r="K723" s="161"/>
      <c r="L723" s="166"/>
      <c r="M723" s="167"/>
      <c r="N723" s="168"/>
      <c r="O723" s="168"/>
      <c r="P723" s="168"/>
      <c r="Q723" s="169"/>
      <c r="R723" s="167"/>
      <c r="S723" s="142" t="b">
        <v>0</v>
      </c>
      <c r="T723" s="170"/>
      <c r="U723" s="170"/>
      <c r="V723" s="170"/>
      <c r="W723" s="170"/>
      <c r="X723" s="170"/>
      <c r="Y723" s="171"/>
      <c r="Z723" s="71"/>
      <c r="AA723" s="71"/>
      <c r="AB723" s="168"/>
      <c r="AC723" s="172"/>
      <c r="AD723" s="71"/>
      <c r="AE723" s="168"/>
      <c r="AF723" s="168"/>
      <c r="AG723" s="168"/>
      <c r="AH723" s="13"/>
      <c r="AI723" s="13"/>
    </row>
    <row r="724">
      <c r="A724" s="160"/>
      <c r="B724" s="160"/>
      <c r="C724" s="161" t="b">
        <v>0</v>
      </c>
      <c r="D724" s="161"/>
      <c r="E724" s="161"/>
      <c r="F724" s="162"/>
      <c r="G724" s="163"/>
      <c r="H724" s="164"/>
      <c r="I724" s="165"/>
      <c r="J724" s="161"/>
      <c r="K724" s="161"/>
      <c r="L724" s="166"/>
      <c r="M724" s="167"/>
      <c r="N724" s="168"/>
      <c r="O724" s="168"/>
      <c r="P724" s="168"/>
      <c r="Q724" s="169"/>
      <c r="R724" s="167"/>
      <c r="S724" s="142" t="b">
        <v>0</v>
      </c>
      <c r="T724" s="170"/>
      <c r="U724" s="170"/>
      <c r="V724" s="170"/>
      <c r="W724" s="170"/>
      <c r="X724" s="170"/>
      <c r="Y724" s="171"/>
      <c r="Z724" s="71"/>
      <c r="AA724" s="71"/>
      <c r="AB724" s="168"/>
      <c r="AC724" s="172"/>
      <c r="AD724" s="71"/>
      <c r="AE724" s="168"/>
      <c r="AF724" s="168"/>
      <c r="AG724" s="168"/>
      <c r="AH724" s="13"/>
      <c r="AI724" s="13"/>
    </row>
    <row r="725">
      <c r="A725" s="160"/>
      <c r="B725" s="160"/>
      <c r="C725" s="161" t="b">
        <v>0</v>
      </c>
      <c r="D725" s="161"/>
      <c r="E725" s="161"/>
      <c r="F725" s="162"/>
      <c r="G725" s="163"/>
      <c r="H725" s="164"/>
      <c r="I725" s="165"/>
      <c r="J725" s="161"/>
      <c r="K725" s="161"/>
      <c r="L725" s="166"/>
      <c r="M725" s="167"/>
      <c r="N725" s="168"/>
      <c r="O725" s="168"/>
      <c r="P725" s="168"/>
      <c r="Q725" s="169"/>
      <c r="R725" s="167"/>
      <c r="S725" s="142" t="b">
        <v>0</v>
      </c>
      <c r="T725" s="170"/>
      <c r="U725" s="170"/>
      <c r="V725" s="170"/>
      <c r="W725" s="170"/>
      <c r="X725" s="170"/>
      <c r="Y725" s="171"/>
      <c r="Z725" s="71"/>
      <c r="AA725" s="71"/>
      <c r="AB725" s="168"/>
      <c r="AC725" s="172"/>
      <c r="AD725" s="71"/>
      <c r="AE725" s="168"/>
      <c r="AF725" s="168"/>
      <c r="AG725" s="168"/>
      <c r="AH725" s="13"/>
      <c r="AI725" s="13"/>
    </row>
    <row r="726">
      <c r="A726" s="160"/>
      <c r="B726" s="160"/>
      <c r="C726" s="161" t="b">
        <v>0</v>
      </c>
      <c r="D726" s="161"/>
      <c r="E726" s="161"/>
      <c r="F726" s="162"/>
      <c r="G726" s="163"/>
      <c r="H726" s="164"/>
      <c r="I726" s="165"/>
      <c r="J726" s="161"/>
      <c r="K726" s="161"/>
      <c r="L726" s="166"/>
      <c r="M726" s="167"/>
      <c r="N726" s="168"/>
      <c r="O726" s="168"/>
      <c r="P726" s="168"/>
      <c r="Q726" s="169"/>
      <c r="R726" s="167"/>
      <c r="S726" s="142" t="b">
        <v>0</v>
      </c>
      <c r="T726" s="170"/>
      <c r="U726" s="170"/>
      <c r="V726" s="170"/>
      <c r="W726" s="170"/>
      <c r="X726" s="170"/>
      <c r="Y726" s="171"/>
      <c r="Z726" s="71"/>
      <c r="AA726" s="71"/>
      <c r="AB726" s="168"/>
      <c r="AC726" s="172"/>
      <c r="AD726" s="71"/>
      <c r="AE726" s="168"/>
      <c r="AF726" s="168"/>
      <c r="AG726" s="168"/>
      <c r="AH726" s="13"/>
      <c r="AI726" s="13"/>
    </row>
    <row r="727">
      <c r="A727" s="160"/>
      <c r="B727" s="160"/>
      <c r="C727" s="161" t="b">
        <v>0</v>
      </c>
      <c r="D727" s="161"/>
      <c r="E727" s="161"/>
      <c r="F727" s="162"/>
      <c r="G727" s="163"/>
      <c r="H727" s="164"/>
      <c r="I727" s="165"/>
      <c r="J727" s="161"/>
      <c r="K727" s="161"/>
      <c r="L727" s="166"/>
      <c r="M727" s="167"/>
      <c r="N727" s="168"/>
      <c r="O727" s="168"/>
      <c r="P727" s="168"/>
      <c r="Q727" s="169"/>
      <c r="R727" s="167"/>
      <c r="S727" s="142" t="b">
        <v>0</v>
      </c>
      <c r="T727" s="170"/>
      <c r="U727" s="170"/>
      <c r="V727" s="170"/>
      <c r="W727" s="170"/>
      <c r="X727" s="170"/>
      <c r="Y727" s="171"/>
      <c r="Z727" s="71"/>
      <c r="AA727" s="71"/>
      <c r="AB727" s="168"/>
      <c r="AC727" s="172"/>
      <c r="AD727" s="71"/>
      <c r="AE727" s="168"/>
      <c r="AF727" s="168"/>
      <c r="AG727" s="168"/>
      <c r="AH727" s="13"/>
      <c r="AI727" s="13"/>
    </row>
    <row r="728">
      <c r="A728" s="160"/>
      <c r="B728" s="160"/>
      <c r="C728" s="161" t="b">
        <v>0</v>
      </c>
      <c r="D728" s="161"/>
      <c r="E728" s="161"/>
      <c r="F728" s="162"/>
      <c r="G728" s="163"/>
      <c r="H728" s="164"/>
      <c r="I728" s="165"/>
      <c r="J728" s="161"/>
      <c r="K728" s="161"/>
      <c r="L728" s="166"/>
      <c r="M728" s="167"/>
      <c r="N728" s="168"/>
      <c r="O728" s="168"/>
      <c r="P728" s="168"/>
      <c r="Q728" s="169"/>
      <c r="R728" s="167"/>
      <c r="S728" s="142" t="b">
        <v>0</v>
      </c>
      <c r="T728" s="170"/>
      <c r="U728" s="170"/>
      <c r="V728" s="170"/>
      <c r="W728" s="170"/>
      <c r="X728" s="170"/>
      <c r="Y728" s="171"/>
      <c r="Z728" s="71"/>
      <c r="AA728" s="71"/>
      <c r="AB728" s="168"/>
      <c r="AC728" s="172"/>
      <c r="AD728" s="71"/>
      <c r="AE728" s="168"/>
      <c r="AF728" s="168"/>
      <c r="AG728" s="168"/>
      <c r="AH728" s="13"/>
      <c r="AI728" s="13"/>
    </row>
    <row r="729">
      <c r="A729" s="160"/>
      <c r="B729" s="160"/>
      <c r="C729" s="161" t="b">
        <v>0</v>
      </c>
      <c r="D729" s="161"/>
      <c r="E729" s="161"/>
      <c r="F729" s="162"/>
      <c r="G729" s="163"/>
      <c r="H729" s="164"/>
      <c r="I729" s="165"/>
      <c r="J729" s="161"/>
      <c r="K729" s="161"/>
      <c r="L729" s="166"/>
      <c r="M729" s="167"/>
      <c r="N729" s="168"/>
      <c r="O729" s="168"/>
      <c r="P729" s="168"/>
      <c r="Q729" s="169"/>
      <c r="R729" s="167"/>
      <c r="S729" s="142" t="b">
        <v>0</v>
      </c>
      <c r="T729" s="170"/>
      <c r="U729" s="170"/>
      <c r="V729" s="170"/>
      <c r="W729" s="170"/>
      <c r="X729" s="170"/>
      <c r="Y729" s="171"/>
      <c r="Z729" s="71"/>
      <c r="AA729" s="71"/>
      <c r="AB729" s="168"/>
      <c r="AC729" s="172"/>
      <c r="AD729" s="71"/>
      <c r="AE729" s="168"/>
      <c r="AF729" s="168"/>
      <c r="AG729" s="168"/>
      <c r="AH729" s="13"/>
      <c r="AI729" s="13"/>
    </row>
    <row r="730">
      <c r="A730" s="160"/>
      <c r="B730" s="160"/>
      <c r="C730" s="161" t="b">
        <v>0</v>
      </c>
      <c r="D730" s="161"/>
      <c r="E730" s="161"/>
      <c r="F730" s="162"/>
      <c r="G730" s="163"/>
      <c r="H730" s="164"/>
      <c r="I730" s="165"/>
      <c r="J730" s="161"/>
      <c r="K730" s="161"/>
      <c r="L730" s="166"/>
      <c r="M730" s="167"/>
      <c r="N730" s="168"/>
      <c r="O730" s="168"/>
      <c r="P730" s="168"/>
      <c r="Q730" s="169"/>
      <c r="R730" s="167"/>
      <c r="S730" s="142" t="b">
        <v>0</v>
      </c>
      <c r="T730" s="170"/>
      <c r="U730" s="170"/>
      <c r="V730" s="170"/>
      <c r="W730" s="170"/>
      <c r="X730" s="170"/>
      <c r="Y730" s="171"/>
      <c r="Z730" s="71"/>
      <c r="AA730" s="71"/>
      <c r="AB730" s="168"/>
      <c r="AC730" s="172"/>
      <c r="AD730" s="71"/>
      <c r="AE730" s="168"/>
      <c r="AF730" s="168"/>
      <c r="AG730" s="168"/>
      <c r="AH730" s="13"/>
      <c r="AI730" s="13"/>
    </row>
    <row r="731">
      <c r="A731" s="160"/>
      <c r="B731" s="160"/>
      <c r="C731" s="161" t="b">
        <v>0</v>
      </c>
      <c r="D731" s="161"/>
      <c r="E731" s="161"/>
      <c r="F731" s="162"/>
      <c r="G731" s="163"/>
      <c r="H731" s="164"/>
      <c r="I731" s="165"/>
      <c r="J731" s="161"/>
      <c r="K731" s="161"/>
      <c r="L731" s="166"/>
      <c r="M731" s="167"/>
      <c r="N731" s="168"/>
      <c r="O731" s="168"/>
      <c r="P731" s="168"/>
      <c r="Q731" s="169"/>
      <c r="R731" s="167"/>
      <c r="S731" s="142" t="b">
        <v>0</v>
      </c>
      <c r="T731" s="170"/>
      <c r="U731" s="170"/>
      <c r="V731" s="170"/>
      <c r="W731" s="170"/>
      <c r="X731" s="170"/>
      <c r="Y731" s="171"/>
      <c r="Z731" s="71"/>
      <c r="AA731" s="71"/>
      <c r="AB731" s="168"/>
      <c r="AC731" s="172"/>
      <c r="AD731" s="71"/>
      <c r="AE731" s="168"/>
      <c r="AF731" s="168"/>
      <c r="AG731" s="168"/>
      <c r="AH731" s="13"/>
      <c r="AI731" s="13"/>
    </row>
    <row r="732">
      <c r="A732" s="160"/>
      <c r="B732" s="160"/>
      <c r="C732" s="161" t="b">
        <v>0</v>
      </c>
      <c r="D732" s="161"/>
      <c r="E732" s="161"/>
      <c r="F732" s="162"/>
      <c r="G732" s="163"/>
      <c r="H732" s="164"/>
      <c r="I732" s="165"/>
      <c r="J732" s="161"/>
      <c r="K732" s="161"/>
      <c r="L732" s="166"/>
      <c r="M732" s="167"/>
      <c r="N732" s="168"/>
      <c r="O732" s="168"/>
      <c r="P732" s="168"/>
      <c r="Q732" s="169"/>
      <c r="R732" s="167"/>
      <c r="S732" s="142" t="b">
        <v>0</v>
      </c>
      <c r="T732" s="170"/>
      <c r="U732" s="170"/>
      <c r="V732" s="170"/>
      <c r="W732" s="170"/>
      <c r="X732" s="170"/>
      <c r="Y732" s="171"/>
      <c r="Z732" s="71"/>
      <c r="AA732" s="71"/>
      <c r="AB732" s="168"/>
      <c r="AC732" s="172"/>
      <c r="AD732" s="71"/>
      <c r="AE732" s="168"/>
      <c r="AF732" s="168"/>
      <c r="AG732" s="168"/>
      <c r="AH732" s="13"/>
      <c r="AI732" s="13"/>
    </row>
    <row r="733">
      <c r="A733" s="160"/>
      <c r="B733" s="160"/>
      <c r="C733" s="161" t="b">
        <v>0</v>
      </c>
      <c r="D733" s="161"/>
      <c r="E733" s="161"/>
      <c r="F733" s="162"/>
      <c r="G733" s="163"/>
      <c r="H733" s="164"/>
      <c r="I733" s="165"/>
      <c r="J733" s="161"/>
      <c r="K733" s="161"/>
      <c r="L733" s="166"/>
      <c r="M733" s="167"/>
      <c r="N733" s="168"/>
      <c r="O733" s="168"/>
      <c r="P733" s="168"/>
      <c r="Q733" s="169"/>
      <c r="R733" s="167"/>
      <c r="S733" s="142" t="b">
        <v>0</v>
      </c>
      <c r="T733" s="170"/>
      <c r="U733" s="170"/>
      <c r="V733" s="170"/>
      <c r="W733" s="170"/>
      <c r="X733" s="170"/>
      <c r="Y733" s="171"/>
      <c r="Z733" s="71"/>
      <c r="AA733" s="71"/>
      <c r="AB733" s="168"/>
      <c r="AC733" s="172"/>
      <c r="AD733" s="71"/>
      <c r="AE733" s="168"/>
      <c r="AF733" s="168"/>
      <c r="AG733" s="168"/>
      <c r="AH733" s="13"/>
      <c r="AI733" s="13"/>
    </row>
    <row r="734">
      <c r="A734" s="160"/>
      <c r="B734" s="160"/>
      <c r="C734" s="161" t="b">
        <v>0</v>
      </c>
      <c r="D734" s="161"/>
      <c r="E734" s="161"/>
      <c r="F734" s="162"/>
      <c r="G734" s="163"/>
      <c r="H734" s="164"/>
      <c r="I734" s="165"/>
      <c r="J734" s="161"/>
      <c r="K734" s="161"/>
      <c r="L734" s="166"/>
      <c r="M734" s="167"/>
      <c r="N734" s="168"/>
      <c r="O734" s="168"/>
      <c r="P734" s="168"/>
      <c r="Q734" s="169"/>
      <c r="R734" s="167"/>
      <c r="S734" s="142" t="b">
        <v>0</v>
      </c>
      <c r="T734" s="170"/>
      <c r="U734" s="170"/>
      <c r="V734" s="170"/>
      <c r="W734" s="170"/>
      <c r="X734" s="170"/>
      <c r="Y734" s="171"/>
      <c r="Z734" s="71"/>
      <c r="AA734" s="71"/>
      <c r="AB734" s="168"/>
      <c r="AC734" s="172"/>
      <c r="AD734" s="71"/>
      <c r="AE734" s="168"/>
      <c r="AF734" s="168"/>
      <c r="AG734" s="168"/>
      <c r="AH734" s="13"/>
      <c r="AI734" s="13"/>
    </row>
    <row r="735">
      <c r="A735" s="160"/>
      <c r="B735" s="160"/>
      <c r="C735" s="161" t="b">
        <v>0</v>
      </c>
      <c r="D735" s="161"/>
      <c r="E735" s="161"/>
      <c r="F735" s="162"/>
      <c r="G735" s="163"/>
      <c r="H735" s="164"/>
      <c r="I735" s="165"/>
      <c r="J735" s="161"/>
      <c r="K735" s="161"/>
      <c r="L735" s="166"/>
      <c r="M735" s="167"/>
      <c r="N735" s="168"/>
      <c r="O735" s="168"/>
      <c r="P735" s="168"/>
      <c r="Q735" s="169"/>
      <c r="R735" s="167"/>
      <c r="S735" s="142" t="b">
        <v>0</v>
      </c>
      <c r="T735" s="170"/>
      <c r="U735" s="170"/>
      <c r="V735" s="170"/>
      <c r="W735" s="170"/>
      <c r="X735" s="170"/>
      <c r="Y735" s="171"/>
      <c r="Z735" s="71"/>
      <c r="AA735" s="71"/>
      <c r="AB735" s="168"/>
      <c r="AC735" s="172"/>
      <c r="AD735" s="71"/>
      <c r="AE735" s="168"/>
      <c r="AF735" s="168"/>
      <c r="AG735" s="168"/>
      <c r="AH735" s="13"/>
      <c r="AI735" s="13"/>
    </row>
    <row r="736">
      <c r="A736" s="160"/>
      <c r="B736" s="160"/>
      <c r="C736" s="161" t="b">
        <v>0</v>
      </c>
      <c r="D736" s="161"/>
      <c r="E736" s="161"/>
      <c r="F736" s="162"/>
      <c r="G736" s="163"/>
      <c r="H736" s="164"/>
      <c r="I736" s="165"/>
      <c r="J736" s="161"/>
      <c r="K736" s="161"/>
      <c r="L736" s="166"/>
      <c r="M736" s="167"/>
      <c r="N736" s="168"/>
      <c r="O736" s="168"/>
      <c r="P736" s="168"/>
      <c r="Q736" s="169"/>
      <c r="R736" s="167"/>
      <c r="S736" s="142" t="b">
        <v>0</v>
      </c>
      <c r="T736" s="170"/>
      <c r="U736" s="170"/>
      <c r="V736" s="170"/>
      <c r="W736" s="170"/>
      <c r="X736" s="170"/>
      <c r="Y736" s="171"/>
      <c r="Z736" s="71"/>
      <c r="AA736" s="71"/>
      <c r="AB736" s="168"/>
      <c r="AC736" s="172"/>
      <c r="AD736" s="71"/>
      <c r="AE736" s="168"/>
      <c r="AF736" s="168"/>
      <c r="AG736" s="168"/>
      <c r="AH736" s="13"/>
      <c r="AI736" s="13"/>
    </row>
    <row r="737">
      <c r="A737" s="160"/>
      <c r="B737" s="160"/>
      <c r="C737" s="161" t="b">
        <v>0</v>
      </c>
      <c r="D737" s="161"/>
      <c r="E737" s="161"/>
      <c r="F737" s="162"/>
      <c r="G737" s="163"/>
      <c r="H737" s="164"/>
      <c r="I737" s="165"/>
      <c r="J737" s="161"/>
      <c r="K737" s="161"/>
      <c r="L737" s="166"/>
      <c r="M737" s="167"/>
      <c r="N737" s="168"/>
      <c r="O737" s="168"/>
      <c r="P737" s="168"/>
      <c r="Q737" s="169"/>
      <c r="R737" s="167"/>
      <c r="S737" s="142" t="b">
        <v>0</v>
      </c>
      <c r="T737" s="170"/>
      <c r="U737" s="170"/>
      <c r="V737" s="170"/>
      <c r="W737" s="170"/>
      <c r="X737" s="170"/>
      <c r="Y737" s="171"/>
      <c r="Z737" s="71"/>
      <c r="AA737" s="71"/>
      <c r="AB737" s="168"/>
      <c r="AC737" s="172"/>
      <c r="AD737" s="71"/>
      <c r="AE737" s="168"/>
      <c r="AF737" s="168"/>
      <c r="AG737" s="168"/>
      <c r="AH737" s="13"/>
      <c r="AI737" s="13"/>
    </row>
    <row r="738">
      <c r="A738" s="160"/>
      <c r="B738" s="160"/>
      <c r="C738" s="161" t="b">
        <v>0</v>
      </c>
      <c r="D738" s="161"/>
      <c r="E738" s="161"/>
      <c r="F738" s="162"/>
      <c r="G738" s="163"/>
      <c r="H738" s="164"/>
      <c r="I738" s="165"/>
      <c r="J738" s="161"/>
      <c r="K738" s="161"/>
      <c r="L738" s="166"/>
      <c r="M738" s="167"/>
      <c r="N738" s="168"/>
      <c r="O738" s="168"/>
      <c r="P738" s="168"/>
      <c r="Q738" s="169"/>
      <c r="R738" s="167"/>
      <c r="S738" s="142" t="b">
        <v>0</v>
      </c>
      <c r="T738" s="170"/>
      <c r="U738" s="170"/>
      <c r="V738" s="170"/>
      <c r="W738" s="170"/>
      <c r="X738" s="170"/>
      <c r="Y738" s="171"/>
      <c r="Z738" s="71"/>
      <c r="AA738" s="71"/>
      <c r="AB738" s="168"/>
      <c r="AC738" s="172"/>
      <c r="AD738" s="71"/>
      <c r="AE738" s="168"/>
      <c r="AF738" s="168"/>
      <c r="AG738" s="168"/>
      <c r="AH738" s="13"/>
      <c r="AI738" s="13"/>
    </row>
    <row r="739">
      <c r="A739" s="160"/>
      <c r="B739" s="160"/>
      <c r="C739" s="161" t="b">
        <v>0</v>
      </c>
      <c r="D739" s="161"/>
      <c r="E739" s="161"/>
      <c r="F739" s="162"/>
      <c r="G739" s="163"/>
      <c r="H739" s="164"/>
      <c r="I739" s="165"/>
      <c r="J739" s="161"/>
      <c r="K739" s="161"/>
      <c r="L739" s="166"/>
      <c r="M739" s="167"/>
      <c r="N739" s="168"/>
      <c r="O739" s="168"/>
      <c r="P739" s="168"/>
      <c r="Q739" s="169"/>
      <c r="R739" s="167"/>
      <c r="S739" s="142" t="b">
        <v>0</v>
      </c>
      <c r="T739" s="170"/>
      <c r="U739" s="170"/>
      <c r="V739" s="170"/>
      <c r="W739" s="170"/>
      <c r="X739" s="170"/>
      <c r="Y739" s="171"/>
      <c r="Z739" s="71"/>
      <c r="AA739" s="71"/>
      <c r="AB739" s="168"/>
      <c r="AC739" s="172"/>
      <c r="AD739" s="71"/>
      <c r="AE739" s="168"/>
      <c r="AF739" s="168"/>
      <c r="AG739" s="168"/>
      <c r="AH739" s="13"/>
      <c r="AI739" s="13"/>
    </row>
    <row r="740">
      <c r="A740" s="160"/>
      <c r="B740" s="160"/>
      <c r="C740" s="161" t="b">
        <v>0</v>
      </c>
      <c r="D740" s="161"/>
      <c r="E740" s="161"/>
      <c r="F740" s="162"/>
      <c r="G740" s="163"/>
      <c r="H740" s="164"/>
      <c r="I740" s="165"/>
      <c r="J740" s="161"/>
      <c r="K740" s="161"/>
      <c r="L740" s="166"/>
      <c r="M740" s="167"/>
      <c r="N740" s="168"/>
      <c r="O740" s="168"/>
      <c r="P740" s="168"/>
      <c r="Q740" s="169"/>
      <c r="R740" s="167"/>
      <c r="S740" s="142" t="b">
        <v>0</v>
      </c>
      <c r="T740" s="170"/>
      <c r="U740" s="170"/>
      <c r="V740" s="170"/>
      <c r="W740" s="170"/>
      <c r="X740" s="170"/>
      <c r="Y740" s="171"/>
      <c r="Z740" s="71"/>
      <c r="AA740" s="71"/>
      <c r="AB740" s="168"/>
      <c r="AC740" s="172"/>
      <c r="AD740" s="71"/>
      <c r="AE740" s="168"/>
      <c r="AF740" s="168"/>
      <c r="AG740" s="168"/>
      <c r="AH740" s="13"/>
      <c r="AI740" s="13"/>
    </row>
    <row r="741">
      <c r="A741" s="160"/>
      <c r="B741" s="160"/>
      <c r="C741" s="161" t="b">
        <v>0</v>
      </c>
      <c r="D741" s="161"/>
      <c r="E741" s="161"/>
      <c r="F741" s="162"/>
      <c r="G741" s="163"/>
      <c r="H741" s="164"/>
      <c r="I741" s="165"/>
      <c r="J741" s="161"/>
      <c r="K741" s="161"/>
      <c r="L741" s="166"/>
      <c r="M741" s="167"/>
      <c r="N741" s="168"/>
      <c r="O741" s="168"/>
      <c r="P741" s="168"/>
      <c r="Q741" s="169"/>
      <c r="R741" s="167"/>
      <c r="S741" s="142" t="b">
        <v>0</v>
      </c>
      <c r="T741" s="170"/>
      <c r="U741" s="170"/>
      <c r="V741" s="170"/>
      <c r="W741" s="170"/>
      <c r="X741" s="170"/>
      <c r="Y741" s="171"/>
      <c r="Z741" s="71"/>
      <c r="AA741" s="71"/>
      <c r="AB741" s="168"/>
      <c r="AC741" s="172"/>
      <c r="AD741" s="71"/>
      <c r="AE741" s="168"/>
      <c r="AF741" s="168"/>
      <c r="AG741" s="168"/>
      <c r="AH741" s="13"/>
      <c r="AI741" s="13"/>
    </row>
    <row r="742">
      <c r="A742" s="160"/>
      <c r="B742" s="160"/>
      <c r="C742" s="161" t="b">
        <v>0</v>
      </c>
      <c r="D742" s="161"/>
      <c r="E742" s="161"/>
      <c r="F742" s="162"/>
      <c r="G742" s="163"/>
      <c r="H742" s="164"/>
      <c r="I742" s="165"/>
      <c r="J742" s="161"/>
      <c r="K742" s="161"/>
      <c r="L742" s="166"/>
      <c r="M742" s="167"/>
      <c r="N742" s="168"/>
      <c r="O742" s="168"/>
      <c r="P742" s="168"/>
      <c r="Q742" s="169"/>
      <c r="R742" s="167"/>
      <c r="S742" s="142" t="b">
        <v>0</v>
      </c>
      <c r="T742" s="170"/>
      <c r="U742" s="170"/>
      <c r="V742" s="170"/>
      <c r="W742" s="170"/>
      <c r="X742" s="170"/>
      <c r="Y742" s="171"/>
      <c r="Z742" s="71"/>
      <c r="AA742" s="71"/>
      <c r="AB742" s="168"/>
      <c r="AC742" s="172"/>
      <c r="AD742" s="71"/>
      <c r="AE742" s="168"/>
      <c r="AF742" s="168"/>
      <c r="AG742" s="168"/>
      <c r="AH742" s="13"/>
      <c r="AI742" s="13"/>
    </row>
    <row r="743">
      <c r="A743" s="160"/>
      <c r="B743" s="160"/>
      <c r="C743" s="161" t="b">
        <v>0</v>
      </c>
      <c r="D743" s="161"/>
      <c r="E743" s="161"/>
      <c r="F743" s="162"/>
      <c r="G743" s="163"/>
      <c r="H743" s="164"/>
      <c r="I743" s="165"/>
      <c r="J743" s="161"/>
      <c r="K743" s="161"/>
      <c r="L743" s="166"/>
      <c r="M743" s="167"/>
      <c r="N743" s="168"/>
      <c r="O743" s="168"/>
      <c r="P743" s="168"/>
      <c r="Q743" s="169"/>
      <c r="R743" s="167"/>
      <c r="S743" s="142" t="b">
        <v>0</v>
      </c>
      <c r="T743" s="170"/>
      <c r="U743" s="170"/>
      <c r="V743" s="170"/>
      <c r="W743" s="170"/>
      <c r="X743" s="170"/>
      <c r="Y743" s="171"/>
      <c r="Z743" s="71"/>
      <c r="AA743" s="71"/>
      <c r="AB743" s="168"/>
      <c r="AC743" s="172"/>
      <c r="AD743" s="71"/>
      <c r="AE743" s="168"/>
      <c r="AF743" s="168"/>
      <c r="AG743" s="168"/>
      <c r="AH743" s="13"/>
      <c r="AI743" s="13"/>
    </row>
    <row r="744">
      <c r="A744" s="160"/>
      <c r="B744" s="160"/>
      <c r="C744" s="161" t="b">
        <v>0</v>
      </c>
      <c r="D744" s="161"/>
      <c r="E744" s="161"/>
      <c r="F744" s="162"/>
      <c r="G744" s="163"/>
      <c r="H744" s="164"/>
      <c r="I744" s="165"/>
      <c r="J744" s="161"/>
      <c r="K744" s="161"/>
      <c r="L744" s="166"/>
      <c r="M744" s="167"/>
      <c r="N744" s="168"/>
      <c r="O744" s="168"/>
      <c r="P744" s="168"/>
      <c r="Q744" s="169"/>
      <c r="R744" s="167"/>
      <c r="S744" s="142" t="b">
        <v>0</v>
      </c>
      <c r="T744" s="170"/>
      <c r="U744" s="170"/>
      <c r="V744" s="170"/>
      <c r="W744" s="170"/>
      <c r="X744" s="170"/>
      <c r="Y744" s="171"/>
      <c r="Z744" s="71"/>
      <c r="AA744" s="71"/>
      <c r="AB744" s="168"/>
      <c r="AC744" s="172"/>
      <c r="AD744" s="71"/>
      <c r="AE744" s="168"/>
      <c r="AF744" s="168"/>
      <c r="AG744" s="168"/>
      <c r="AH744" s="13"/>
      <c r="AI744" s="13"/>
    </row>
    <row r="745">
      <c r="A745" s="160"/>
      <c r="B745" s="160"/>
      <c r="C745" s="161" t="b">
        <v>0</v>
      </c>
      <c r="D745" s="161"/>
      <c r="E745" s="161"/>
      <c r="F745" s="162"/>
      <c r="G745" s="163"/>
      <c r="H745" s="164"/>
      <c r="I745" s="165"/>
      <c r="J745" s="161"/>
      <c r="K745" s="161"/>
      <c r="L745" s="166"/>
      <c r="M745" s="167"/>
      <c r="N745" s="168"/>
      <c r="O745" s="168"/>
      <c r="P745" s="168"/>
      <c r="Q745" s="169"/>
      <c r="R745" s="167"/>
      <c r="S745" s="142" t="b">
        <v>0</v>
      </c>
      <c r="T745" s="170"/>
      <c r="U745" s="170"/>
      <c r="V745" s="170"/>
      <c r="W745" s="170"/>
      <c r="X745" s="170"/>
      <c r="Y745" s="171"/>
      <c r="Z745" s="71"/>
      <c r="AA745" s="71"/>
      <c r="AB745" s="168"/>
      <c r="AC745" s="172"/>
      <c r="AD745" s="71"/>
      <c r="AE745" s="168"/>
      <c r="AF745" s="168"/>
      <c r="AG745" s="168"/>
      <c r="AH745" s="13"/>
      <c r="AI745" s="13"/>
    </row>
    <row r="746">
      <c r="A746" s="160"/>
      <c r="B746" s="160"/>
      <c r="C746" s="161" t="b">
        <v>0</v>
      </c>
      <c r="D746" s="161"/>
      <c r="E746" s="161"/>
      <c r="F746" s="162"/>
      <c r="G746" s="163"/>
      <c r="H746" s="164"/>
      <c r="I746" s="165"/>
      <c r="J746" s="161"/>
      <c r="K746" s="161"/>
      <c r="L746" s="166"/>
      <c r="M746" s="167"/>
      <c r="N746" s="168"/>
      <c r="O746" s="168"/>
      <c r="P746" s="168"/>
      <c r="Q746" s="169"/>
      <c r="R746" s="167"/>
      <c r="S746" s="142" t="b">
        <v>0</v>
      </c>
      <c r="T746" s="170"/>
      <c r="U746" s="170"/>
      <c r="V746" s="170"/>
      <c r="W746" s="170"/>
      <c r="X746" s="170"/>
      <c r="Y746" s="171"/>
      <c r="Z746" s="71"/>
      <c r="AA746" s="71"/>
      <c r="AB746" s="168"/>
      <c r="AC746" s="172"/>
      <c r="AD746" s="71"/>
      <c r="AE746" s="168"/>
      <c r="AF746" s="168"/>
      <c r="AG746" s="168"/>
      <c r="AH746" s="13"/>
      <c r="AI746" s="13"/>
    </row>
    <row r="747">
      <c r="A747" s="160"/>
      <c r="B747" s="160"/>
      <c r="C747" s="161" t="b">
        <v>0</v>
      </c>
      <c r="D747" s="161"/>
      <c r="E747" s="161"/>
      <c r="F747" s="162"/>
      <c r="G747" s="163"/>
      <c r="H747" s="164"/>
      <c r="I747" s="165"/>
      <c r="J747" s="161"/>
      <c r="K747" s="161"/>
      <c r="L747" s="166"/>
      <c r="M747" s="167"/>
      <c r="N747" s="168"/>
      <c r="O747" s="168"/>
      <c r="P747" s="168"/>
      <c r="Q747" s="169"/>
      <c r="R747" s="167"/>
      <c r="S747" s="142" t="b">
        <v>0</v>
      </c>
      <c r="T747" s="170"/>
      <c r="U747" s="170"/>
      <c r="V747" s="170"/>
      <c r="W747" s="170"/>
      <c r="X747" s="170"/>
      <c r="Y747" s="171"/>
      <c r="Z747" s="71"/>
      <c r="AA747" s="71"/>
      <c r="AB747" s="168"/>
      <c r="AC747" s="172"/>
      <c r="AD747" s="71"/>
      <c r="AE747" s="168"/>
      <c r="AF747" s="168"/>
      <c r="AG747" s="168"/>
      <c r="AH747" s="13"/>
      <c r="AI747" s="13"/>
    </row>
    <row r="748">
      <c r="A748" s="160"/>
      <c r="B748" s="160"/>
      <c r="C748" s="161" t="b">
        <v>0</v>
      </c>
      <c r="D748" s="161"/>
      <c r="E748" s="161"/>
      <c r="F748" s="162"/>
      <c r="G748" s="163"/>
      <c r="H748" s="164"/>
      <c r="I748" s="165"/>
      <c r="J748" s="161"/>
      <c r="K748" s="161"/>
      <c r="L748" s="166"/>
      <c r="M748" s="167"/>
      <c r="N748" s="168"/>
      <c r="O748" s="168"/>
      <c r="P748" s="168"/>
      <c r="Q748" s="169"/>
      <c r="R748" s="167"/>
      <c r="S748" s="142" t="b">
        <v>0</v>
      </c>
      <c r="T748" s="170"/>
      <c r="U748" s="170"/>
      <c r="V748" s="170"/>
      <c r="W748" s="170"/>
      <c r="X748" s="170"/>
      <c r="Y748" s="171"/>
      <c r="Z748" s="71"/>
      <c r="AA748" s="71"/>
      <c r="AB748" s="168"/>
      <c r="AC748" s="172"/>
      <c r="AD748" s="71"/>
      <c r="AE748" s="168"/>
      <c r="AF748" s="168"/>
      <c r="AG748" s="168"/>
      <c r="AH748" s="13"/>
      <c r="AI748" s="13"/>
    </row>
    <row r="749">
      <c r="A749" s="160"/>
      <c r="B749" s="160"/>
      <c r="C749" s="161" t="b">
        <v>0</v>
      </c>
      <c r="D749" s="161"/>
      <c r="E749" s="161"/>
      <c r="F749" s="162"/>
      <c r="G749" s="163"/>
      <c r="H749" s="164"/>
      <c r="I749" s="165"/>
      <c r="J749" s="161"/>
      <c r="K749" s="161"/>
      <c r="L749" s="166"/>
      <c r="M749" s="167"/>
      <c r="N749" s="168"/>
      <c r="O749" s="168"/>
      <c r="P749" s="168"/>
      <c r="Q749" s="169"/>
      <c r="R749" s="167"/>
      <c r="S749" s="142" t="b">
        <v>0</v>
      </c>
      <c r="T749" s="170"/>
      <c r="U749" s="170"/>
      <c r="V749" s="170"/>
      <c r="W749" s="170"/>
      <c r="X749" s="170"/>
      <c r="Y749" s="171"/>
      <c r="Z749" s="71"/>
      <c r="AA749" s="71"/>
      <c r="AB749" s="168"/>
      <c r="AC749" s="172"/>
      <c r="AD749" s="71"/>
      <c r="AE749" s="168"/>
      <c r="AF749" s="168"/>
      <c r="AG749" s="168"/>
      <c r="AH749" s="13"/>
      <c r="AI749" s="13"/>
    </row>
    <row r="750">
      <c r="A750" s="160"/>
      <c r="B750" s="160"/>
      <c r="C750" s="161" t="b">
        <v>0</v>
      </c>
      <c r="D750" s="161"/>
      <c r="E750" s="161"/>
      <c r="F750" s="162"/>
      <c r="G750" s="163"/>
      <c r="H750" s="164"/>
      <c r="I750" s="165"/>
      <c r="J750" s="161"/>
      <c r="K750" s="161"/>
      <c r="L750" s="166"/>
      <c r="M750" s="167"/>
      <c r="N750" s="168"/>
      <c r="O750" s="168"/>
      <c r="P750" s="168"/>
      <c r="Q750" s="169"/>
      <c r="R750" s="167"/>
      <c r="S750" s="142" t="b">
        <v>0</v>
      </c>
      <c r="T750" s="170"/>
      <c r="U750" s="170"/>
      <c r="V750" s="170"/>
      <c r="W750" s="170"/>
      <c r="X750" s="170"/>
      <c r="Y750" s="171"/>
      <c r="Z750" s="71"/>
      <c r="AA750" s="71"/>
      <c r="AB750" s="168"/>
      <c r="AC750" s="172"/>
      <c r="AD750" s="71"/>
      <c r="AE750" s="168"/>
      <c r="AF750" s="168"/>
      <c r="AG750" s="168"/>
      <c r="AH750" s="13"/>
      <c r="AI750" s="13"/>
    </row>
    <row r="751">
      <c r="A751" s="160"/>
      <c r="B751" s="160"/>
      <c r="C751" s="161" t="b">
        <v>0</v>
      </c>
      <c r="D751" s="161"/>
      <c r="E751" s="161"/>
      <c r="F751" s="162"/>
      <c r="G751" s="163"/>
      <c r="H751" s="164"/>
      <c r="I751" s="165"/>
      <c r="J751" s="161"/>
      <c r="K751" s="161"/>
      <c r="L751" s="166"/>
      <c r="M751" s="167"/>
      <c r="N751" s="168"/>
      <c r="O751" s="168"/>
      <c r="P751" s="168"/>
      <c r="Q751" s="169"/>
      <c r="R751" s="167"/>
      <c r="S751" s="142" t="b">
        <v>0</v>
      </c>
      <c r="T751" s="170"/>
      <c r="U751" s="170"/>
      <c r="V751" s="170"/>
      <c r="W751" s="170"/>
      <c r="X751" s="170"/>
      <c r="Y751" s="171"/>
      <c r="Z751" s="71"/>
      <c r="AA751" s="71"/>
      <c r="AB751" s="168"/>
      <c r="AC751" s="172"/>
      <c r="AD751" s="71"/>
      <c r="AE751" s="168"/>
      <c r="AF751" s="168"/>
      <c r="AG751" s="168"/>
      <c r="AH751" s="13"/>
      <c r="AI751" s="13"/>
    </row>
    <row r="752">
      <c r="A752" s="160"/>
      <c r="B752" s="160"/>
      <c r="C752" s="161" t="b">
        <v>0</v>
      </c>
      <c r="D752" s="161"/>
      <c r="E752" s="161"/>
      <c r="F752" s="162"/>
      <c r="G752" s="163"/>
      <c r="H752" s="164"/>
      <c r="I752" s="165"/>
      <c r="J752" s="161"/>
      <c r="K752" s="161"/>
      <c r="L752" s="166"/>
      <c r="M752" s="167"/>
      <c r="N752" s="168"/>
      <c r="O752" s="168"/>
      <c r="P752" s="168"/>
      <c r="Q752" s="169"/>
      <c r="R752" s="167"/>
      <c r="S752" s="142" t="b">
        <v>0</v>
      </c>
      <c r="T752" s="170"/>
      <c r="U752" s="170"/>
      <c r="V752" s="170"/>
      <c r="W752" s="170"/>
      <c r="X752" s="170"/>
      <c r="Y752" s="171"/>
      <c r="Z752" s="71"/>
      <c r="AA752" s="71"/>
      <c r="AB752" s="168"/>
      <c r="AC752" s="172"/>
      <c r="AD752" s="71"/>
      <c r="AE752" s="168"/>
      <c r="AF752" s="168"/>
      <c r="AG752" s="168"/>
      <c r="AH752" s="13"/>
      <c r="AI752" s="13"/>
    </row>
    <row r="753">
      <c r="A753" s="160"/>
      <c r="B753" s="160"/>
      <c r="C753" s="161" t="b">
        <v>0</v>
      </c>
      <c r="D753" s="161"/>
      <c r="E753" s="161"/>
      <c r="F753" s="162"/>
      <c r="G753" s="163"/>
      <c r="H753" s="164"/>
      <c r="I753" s="165"/>
      <c r="J753" s="161"/>
      <c r="K753" s="161"/>
      <c r="L753" s="166"/>
      <c r="M753" s="167"/>
      <c r="N753" s="168"/>
      <c r="O753" s="168"/>
      <c r="P753" s="168"/>
      <c r="Q753" s="169"/>
      <c r="R753" s="167"/>
      <c r="S753" s="142" t="b">
        <v>0</v>
      </c>
      <c r="T753" s="170"/>
      <c r="U753" s="170"/>
      <c r="V753" s="170"/>
      <c r="W753" s="170"/>
      <c r="X753" s="170"/>
      <c r="Y753" s="171"/>
      <c r="Z753" s="71"/>
      <c r="AA753" s="71"/>
      <c r="AB753" s="168"/>
      <c r="AC753" s="172"/>
      <c r="AD753" s="71"/>
      <c r="AE753" s="168"/>
      <c r="AF753" s="168"/>
      <c r="AG753" s="168"/>
      <c r="AH753" s="13"/>
      <c r="AI753" s="13"/>
    </row>
    <row r="754">
      <c r="A754" s="160"/>
      <c r="B754" s="160"/>
      <c r="C754" s="161" t="b">
        <v>0</v>
      </c>
      <c r="D754" s="161"/>
      <c r="E754" s="161"/>
      <c r="F754" s="162"/>
      <c r="G754" s="163"/>
      <c r="H754" s="164"/>
      <c r="I754" s="165"/>
      <c r="J754" s="161"/>
      <c r="K754" s="161"/>
      <c r="L754" s="166"/>
      <c r="M754" s="167"/>
      <c r="N754" s="168"/>
      <c r="O754" s="168"/>
      <c r="P754" s="168"/>
      <c r="Q754" s="169"/>
      <c r="R754" s="167"/>
      <c r="S754" s="142" t="b">
        <v>0</v>
      </c>
      <c r="T754" s="170"/>
      <c r="U754" s="170"/>
      <c r="V754" s="170"/>
      <c r="W754" s="170"/>
      <c r="X754" s="170"/>
      <c r="Y754" s="171"/>
      <c r="Z754" s="71"/>
      <c r="AA754" s="71"/>
      <c r="AB754" s="168"/>
      <c r="AC754" s="172"/>
      <c r="AD754" s="71"/>
      <c r="AE754" s="168"/>
      <c r="AF754" s="168"/>
      <c r="AG754" s="168"/>
      <c r="AH754" s="13"/>
      <c r="AI754" s="13"/>
    </row>
    <row r="755">
      <c r="A755" s="160"/>
      <c r="B755" s="160"/>
      <c r="C755" s="161" t="b">
        <v>0</v>
      </c>
      <c r="D755" s="161"/>
      <c r="E755" s="161"/>
      <c r="F755" s="162"/>
      <c r="G755" s="163"/>
      <c r="H755" s="164"/>
      <c r="I755" s="165"/>
      <c r="J755" s="161"/>
      <c r="K755" s="161"/>
      <c r="L755" s="166"/>
      <c r="M755" s="167"/>
      <c r="N755" s="168"/>
      <c r="O755" s="168"/>
      <c r="P755" s="168"/>
      <c r="Q755" s="169"/>
      <c r="R755" s="167"/>
      <c r="S755" s="142" t="b">
        <v>0</v>
      </c>
      <c r="T755" s="170"/>
      <c r="U755" s="170"/>
      <c r="V755" s="170"/>
      <c r="W755" s="170"/>
      <c r="X755" s="170"/>
      <c r="Y755" s="171"/>
      <c r="Z755" s="71"/>
      <c r="AA755" s="71"/>
      <c r="AB755" s="168"/>
      <c r="AC755" s="172"/>
      <c r="AD755" s="71"/>
      <c r="AE755" s="168"/>
      <c r="AF755" s="168"/>
      <c r="AG755" s="168"/>
      <c r="AH755" s="13"/>
      <c r="AI755" s="13"/>
    </row>
    <row r="756">
      <c r="A756" s="160"/>
      <c r="B756" s="160"/>
      <c r="C756" s="161" t="b">
        <v>0</v>
      </c>
      <c r="D756" s="161"/>
      <c r="E756" s="161"/>
      <c r="F756" s="162"/>
      <c r="G756" s="163"/>
      <c r="H756" s="164"/>
      <c r="I756" s="165"/>
      <c r="J756" s="161"/>
      <c r="K756" s="161"/>
      <c r="L756" s="166"/>
      <c r="M756" s="167"/>
      <c r="N756" s="168"/>
      <c r="O756" s="168"/>
      <c r="P756" s="168"/>
      <c r="Q756" s="169"/>
      <c r="R756" s="167"/>
      <c r="S756" s="142" t="b">
        <v>0</v>
      </c>
      <c r="T756" s="170"/>
      <c r="U756" s="170"/>
      <c r="V756" s="170"/>
      <c r="W756" s="170"/>
      <c r="X756" s="170"/>
      <c r="Y756" s="171"/>
      <c r="Z756" s="71"/>
      <c r="AA756" s="71"/>
      <c r="AB756" s="168"/>
      <c r="AC756" s="172"/>
      <c r="AD756" s="71"/>
      <c r="AE756" s="168"/>
      <c r="AF756" s="168"/>
      <c r="AG756" s="168"/>
      <c r="AH756" s="13"/>
      <c r="AI756" s="13"/>
    </row>
    <row r="757">
      <c r="A757" s="160"/>
      <c r="B757" s="160"/>
      <c r="C757" s="161" t="b">
        <v>0</v>
      </c>
      <c r="D757" s="161"/>
      <c r="E757" s="161"/>
      <c r="F757" s="162"/>
      <c r="G757" s="163"/>
      <c r="H757" s="164"/>
      <c r="I757" s="165"/>
      <c r="J757" s="161"/>
      <c r="K757" s="161"/>
      <c r="L757" s="166"/>
      <c r="M757" s="167"/>
      <c r="N757" s="168"/>
      <c r="O757" s="168"/>
      <c r="P757" s="168"/>
      <c r="Q757" s="169"/>
      <c r="R757" s="167"/>
      <c r="S757" s="142" t="b">
        <v>0</v>
      </c>
      <c r="T757" s="170"/>
      <c r="U757" s="170"/>
      <c r="V757" s="170"/>
      <c r="W757" s="170"/>
      <c r="X757" s="170"/>
      <c r="Y757" s="171"/>
      <c r="Z757" s="71"/>
      <c r="AA757" s="71"/>
      <c r="AB757" s="168"/>
      <c r="AC757" s="172"/>
      <c r="AD757" s="71"/>
      <c r="AE757" s="168"/>
      <c r="AF757" s="168"/>
      <c r="AG757" s="168"/>
      <c r="AH757" s="13"/>
      <c r="AI757" s="13"/>
    </row>
    <row r="758">
      <c r="A758" s="160"/>
      <c r="B758" s="160"/>
      <c r="C758" s="161" t="b">
        <v>0</v>
      </c>
      <c r="D758" s="161"/>
      <c r="E758" s="161"/>
      <c r="F758" s="162"/>
      <c r="G758" s="163"/>
      <c r="H758" s="164"/>
      <c r="I758" s="165"/>
      <c r="J758" s="161"/>
      <c r="K758" s="161"/>
      <c r="L758" s="166"/>
      <c r="M758" s="167"/>
      <c r="N758" s="168"/>
      <c r="O758" s="168"/>
      <c r="P758" s="168"/>
      <c r="Q758" s="169"/>
      <c r="R758" s="167"/>
      <c r="S758" s="142" t="b">
        <v>0</v>
      </c>
      <c r="T758" s="170"/>
      <c r="U758" s="170"/>
      <c r="V758" s="170"/>
      <c r="W758" s="170"/>
      <c r="X758" s="170"/>
      <c r="Y758" s="171"/>
      <c r="Z758" s="71"/>
      <c r="AA758" s="71"/>
      <c r="AB758" s="168"/>
      <c r="AC758" s="172"/>
      <c r="AD758" s="71"/>
      <c r="AE758" s="168"/>
      <c r="AF758" s="168"/>
      <c r="AG758" s="168"/>
      <c r="AH758" s="13"/>
      <c r="AI758" s="13"/>
    </row>
    <row r="759">
      <c r="A759" s="160"/>
      <c r="B759" s="160"/>
      <c r="C759" s="161" t="b">
        <v>0</v>
      </c>
      <c r="D759" s="161"/>
      <c r="E759" s="161"/>
      <c r="F759" s="162"/>
      <c r="G759" s="163"/>
      <c r="H759" s="164"/>
      <c r="I759" s="165"/>
      <c r="J759" s="161"/>
      <c r="K759" s="161"/>
      <c r="L759" s="166"/>
      <c r="M759" s="167"/>
      <c r="N759" s="168"/>
      <c r="O759" s="168"/>
      <c r="P759" s="168"/>
      <c r="Q759" s="169"/>
      <c r="R759" s="167"/>
      <c r="S759" s="142" t="b">
        <v>0</v>
      </c>
      <c r="T759" s="170"/>
      <c r="U759" s="170"/>
      <c r="V759" s="170"/>
      <c r="W759" s="170"/>
      <c r="X759" s="170"/>
      <c r="Y759" s="171"/>
      <c r="Z759" s="71"/>
      <c r="AA759" s="71"/>
      <c r="AB759" s="168"/>
      <c r="AC759" s="172"/>
      <c r="AD759" s="71"/>
      <c r="AE759" s="168"/>
      <c r="AF759" s="168"/>
      <c r="AG759" s="168"/>
      <c r="AH759" s="13"/>
      <c r="AI759" s="13"/>
    </row>
    <row r="760">
      <c r="A760" s="160"/>
      <c r="B760" s="160"/>
      <c r="C760" s="161" t="b">
        <v>0</v>
      </c>
      <c r="D760" s="161"/>
      <c r="E760" s="161"/>
      <c r="F760" s="162"/>
      <c r="G760" s="163"/>
      <c r="H760" s="164"/>
      <c r="I760" s="165"/>
      <c r="J760" s="161"/>
      <c r="K760" s="161"/>
      <c r="L760" s="166"/>
      <c r="M760" s="167"/>
      <c r="N760" s="168"/>
      <c r="O760" s="168"/>
      <c r="P760" s="168"/>
      <c r="Q760" s="169"/>
      <c r="R760" s="167"/>
      <c r="S760" s="142" t="b">
        <v>0</v>
      </c>
      <c r="T760" s="170"/>
      <c r="U760" s="170"/>
      <c r="V760" s="170"/>
      <c r="W760" s="170"/>
      <c r="X760" s="170"/>
      <c r="Y760" s="171"/>
      <c r="Z760" s="71"/>
      <c r="AA760" s="71"/>
      <c r="AB760" s="168"/>
      <c r="AC760" s="172"/>
      <c r="AD760" s="71"/>
      <c r="AE760" s="168"/>
      <c r="AF760" s="168"/>
      <c r="AG760" s="168"/>
      <c r="AH760" s="13"/>
      <c r="AI760" s="13"/>
    </row>
    <row r="761">
      <c r="A761" s="160"/>
      <c r="B761" s="160"/>
      <c r="C761" s="161" t="b">
        <v>0</v>
      </c>
      <c r="D761" s="161"/>
      <c r="E761" s="161"/>
      <c r="F761" s="162"/>
      <c r="G761" s="163"/>
      <c r="H761" s="164"/>
      <c r="I761" s="165"/>
      <c r="J761" s="161"/>
      <c r="K761" s="161"/>
      <c r="L761" s="166"/>
      <c r="M761" s="167"/>
      <c r="N761" s="168"/>
      <c r="O761" s="168"/>
      <c r="P761" s="168"/>
      <c r="Q761" s="169"/>
      <c r="R761" s="167"/>
      <c r="S761" s="142" t="b">
        <v>0</v>
      </c>
      <c r="T761" s="170"/>
      <c r="U761" s="170"/>
      <c r="V761" s="170"/>
      <c r="W761" s="170"/>
      <c r="X761" s="170"/>
      <c r="Y761" s="171"/>
      <c r="Z761" s="71"/>
      <c r="AA761" s="71"/>
      <c r="AB761" s="168"/>
      <c r="AC761" s="172"/>
      <c r="AD761" s="71"/>
      <c r="AE761" s="168"/>
      <c r="AF761" s="168"/>
      <c r="AG761" s="168"/>
      <c r="AH761" s="13"/>
      <c r="AI761" s="13"/>
    </row>
    <row r="762">
      <c r="A762" s="160"/>
      <c r="B762" s="160"/>
      <c r="C762" s="161" t="b">
        <v>0</v>
      </c>
      <c r="D762" s="161"/>
      <c r="E762" s="161"/>
      <c r="F762" s="162"/>
      <c r="G762" s="163"/>
      <c r="H762" s="164"/>
      <c r="I762" s="165"/>
      <c r="J762" s="161"/>
      <c r="K762" s="161"/>
      <c r="L762" s="166"/>
      <c r="M762" s="167"/>
      <c r="N762" s="168"/>
      <c r="O762" s="168"/>
      <c r="P762" s="168"/>
      <c r="Q762" s="169"/>
      <c r="R762" s="167"/>
      <c r="S762" s="142" t="b">
        <v>0</v>
      </c>
      <c r="T762" s="170"/>
      <c r="U762" s="170"/>
      <c r="V762" s="170"/>
      <c r="W762" s="170"/>
      <c r="X762" s="170"/>
      <c r="Y762" s="171"/>
      <c r="Z762" s="71"/>
      <c r="AA762" s="71"/>
      <c r="AB762" s="168"/>
      <c r="AC762" s="172"/>
      <c r="AD762" s="71"/>
      <c r="AE762" s="168"/>
      <c r="AF762" s="168"/>
      <c r="AG762" s="168"/>
      <c r="AH762" s="13"/>
      <c r="AI762" s="13"/>
    </row>
    <row r="763">
      <c r="A763" s="160"/>
      <c r="B763" s="160"/>
      <c r="C763" s="161" t="b">
        <v>0</v>
      </c>
      <c r="D763" s="161"/>
      <c r="E763" s="161"/>
      <c r="F763" s="162"/>
      <c r="G763" s="163"/>
      <c r="H763" s="164"/>
      <c r="I763" s="165"/>
      <c r="J763" s="161"/>
      <c r="K763" s="161"/>
      <c r="L763" s="166"/>
      <c r="M763" s="167"/>
      <c r="N763" s="168"/>
      <c r="O763" s="168"/>
      <c r="P763" s="168"/>
      <c r="Q763" s="169"/>
      <c r="R763" s="167"/>
      <c r="S763" s="142" t="b">
        <v>0</v>
      </c>
      <c r="T763" s="170"/>
      <c r="U763" s="170"/>
      <c r="V763" s="170"/>
      <c r="W763" s="170"/>
      <c r="X763" s="170"/>
      <c r="Y763" s="171"/>
      <c r="Z763" s="71"/>
      <c r="AA763" s="71"/>
      <c r="AB763" s="168"/>
      <c r="AC763" s="172"/>
      <c r="AD763" s="71"/>
      <c r="AE763" s="168"/>
      <c r="AF763" s="168"/>
      <c r="AG763" s="168"/>
      <c r="AH763" s="13"/>
      <c r="AI763" s="13"/>
    </row>
    <row r="764">
      <c r="A764" s="160"/>
      <c r="B764" s="160"/>
      <c r="C764" s="161" t="b">
        <v>0</v>
      </c>
      <c r="D764" s="161"/>
      <c r="E764" s="161"/>
      <c r="F764" s="162"/>
      <c r="G764" s="163"/>
      <c r="H764" s="164"/>
      <c r="I764" s="165"/>
      <c r="J764" s="161"/>
      <c r="K764" s="161"/>
      <c r="L764" s="166"/>
      <c r="M764" s="167"/>
      <c r="N764" s="168"/>
      <c r="O764" s="168"/>
      <c r="P764" s="168"/>
      <c r="Q764" s="169"/>
      <c r="R764" s="167"/>
      <c r="S764" s="142" t="b">
        <v>0</v>
      </c>
      <c r="T764" s="170"/>
      <c r="U764" s="170"/>
      <c r="V764" s="170"/>
      <c r="W764" s="170"/>
      <c r="X764" s="170"/>
      <c r="Y764" s="171"/>
      <c r="Z764" s="71"/>
      <c r="AA764" s="71"/>
      <c r="AB764" s="168"/>
      <c r="AC764" s="172"/>
      <c r="AD764" s="71"/>
      <c r="AE764" s="168"/>
      <c r="AF764" s="168"/>
      <c r="AG764" s="168"/>
      <c r="AH764" s="13"/>
      <c r="AI764" s="13"/>
    </row>
    <row r="765">
      <c r="A765" s="160"/>
      <c r="B765" s="160"/>
      <c r="C765" s="161" t="b">
        <v>0</v>
      </c>
      <c r="D765" s="161"/>
      <c r="E765" s="161"/>
      <c r="F765" s="162"/>
      <c r="G765" s="163"/>
      <c r="H765" s="164"/>
      <c r="I765" s="165"/>
      <c r="J765" s="161"/>
      <c r="K765" s="161"/>
      <c r="L765" s="166"/>
      <c r="M765" s="167"/>
      <c r="N765" s="168"/>
      <c r="O765" s="168"/>
      <c r="P765" s="168"/>
      <c r="Q765" s="169"/>
      <c r="R765" s="167"/>
      <c r="S765" s="142" t="b">
        <v>0</v>
      </c>
      <c r="T765" s="170"/>
      <c r="U765" s="170"/>
      <c r="V765" s="170"/>
      <c r="W765" s="170"/>
      <c r="X765" s="170"/>
      <c r="Y765" s="171"/>
      <c r="Z765" s="71"/>
      <c r="AA765" s="71"/>
      <c r="AB765" s="168"/>
      <c r="AC765" s="172"/>
      <c r="AD765" s="71"/>
      <c r="AE765" s="168"/>
      <c r="AF765" s="168"/>
      <c r="AG765" s="168"/>
      <c r="AH765" s="13"/>
      <c r="AI765" s="13"/>
    </row>
    <row r="766">
      <c r="A766" s="160"/>
      <c r="B766" s="160"/>
      <c r="C766" s="161" t="b">
        <v>0</v>
      </c>
      <c r="D766" s="161"/>
      <c r="E766" s="161"/>
      <c r="F766" s="162"/>
      <c r="G766" s="163"/>
      <c r="H766" s="164"/>
      <c r="I766" s="165"/>
      <c r="J766" s="161"/>
      <c r="K766" s="161"/>
      <c r="L766" s="166"/>
      <c r="M766" s="167"/>
      <c r="N766" s="168"/>
      <c r="O766" s="168"/>
      <c r="P766" s="168"/>
      <c r="Q766" s="169"/>
      <c r="R766" s="167"/>
      <c r="S766" s="142" t="b">
        <v>0</v>
      </c>
      <c r="T766" s="170"/>
      <c r="U766" s="170"/>
      <c r="V766" s="170"/>
      <c r="W766" s="170"/>
      <c r="X766" s="170"/>
      <c r="Y766" s="171"/>
      <c r="Z766" s="71"/>
      <c r="AA766" s="71"/>
      <c r="AB766" s="168"/>
      <c r="AC766" s="172"/>
      <c r="AD766" s="71"/>
      <c r="AE766" s="168"/>
      <c r="AF766" s="168"/>
      <c r="AG766" s="168"/>
      <c r="AH766" s="13"/>
      <c r="AI766" s="13"/>
    </row>
    <row r="767">
      <c r="A767" s="160"/>
      <c r="B767" s="160"/>
      <c r="C767" s="161" t="b">
        <v>0</v>
      </c>
      <c r="D767" s="161"/>
      <c r="E767" s="161"/>
      <c r="F767" s="162"/>
      <c r="G767" s="163"/>
      <c r="H767" s="164"/>
      <c r="I767" s="165"/>
      <c r="J767" s="161"/>
      <c r="K767" s="161"/>
      <c r="L767" s="166"/>
      <c r="M767" s="167"/>
      <c r="N767" s="168"/>
      <c r="O767" s="168"/>
      <c r="P767" s="168"/>
      <c r="Q767" s="169"/>
      <c r="R767" s="167"/>
      <c r="S767" s="142" t="b">
        <v>0</v>
      </c>
      <c r="T767" s="170"/>
      <c r="U767" s="170"/>
      <c r="V767" s="170"/>
      <c r="W767" s="170"/>
      <c r="X767" s="170"/>
      <c r="Y767" s="171"/>
      <c r="Z767" s="71"/>
      <c r="AA767" s="71"/>
      <c r="AB767" s="168"/>
      <c r="AC767" s="172"/>
      <c r="AD767" s="71"/>
      <c r="AE767" s="168"/>
      <c r="AF767" s="168"/>
      <c r="AG767" s="168"/>
      <c r="AH767" s="13"/>
      <c r="AI767" s="13"/>
    </row>
    <row r="768">
      <c r="A768" s="160"/>
      <c r="B768" s="160"/>
      <c r="C768" s="161" t="b">
        <v>0</v>
      </c>
      <c r="D768" s="161"/>
      <c r="E768" s="161"/>
      <c r="F768" s="162"/>
      <c r="G768" s="163"/>
      <c r="H768" s="164"/>
      <c r="I768" s="165"/>
      <c r="J768" s="161"/>
      <c r="K768" s="161"/>
      <c r="L768" s="166"/>
      <c r="M768" s="167"/>
      <c r="N768" s="168"/>
      <c r="O768" s="168"/>
      <c r="P768" s="168"/>
      <c r="Q768" s="169"/>
      <c r="R768" s="167"/>
      <c r="S768" s="142" t="b">
        <v>0</v>
      </c>
      <c r="T768" s="170"/>
      <c r="U768" s="170"/>
      <c r="V768" s="170"/>
      <c r="W768" s="170"/>
      <c r="X768" s="170"/>
      <c r="Y768" s="171"/>
      <c r="Z768" s="71"/>
      <c r="AA768" s="71"/>
      <c r="AB768" s="168"/>
      <c r="AC768" s="172"/>
      <c r="AD768" s="71"/>
      <c r="AE768" s="168"/>
      <c r="AF768" s="168"/>
      <c r="AG768" s="168"/>
      <c r="AH768" s="13"/>
      <c r="AI768" s="13"/>
    </row>
    <row r="769">
      <c r="A769" s="160"/>
      <c r="B769" s="160"/>
      <c r="C769" s="161" t="b">
        <v>0</v>
      </c>
      <c r="D769" s="161"/>
      <c r="E769" s="161"/>
      <c r="F769" s="162"/>
      <c r="G769" s="163"/>
      <c r="H769" s="164"/>
      <c r="I769" s="165"/>
      <c r="J769" s="161"/>
      <c r="K769" s="161"/>
      <c r="L769" s="166"/>
      <c r="M769" s="167"/>
      <c r="N769" s="168"/>
      <c r="O769" s="168"/>
      <c r="P769" s="168"/>
      <c r="Q769" s="169"/>
      <c r="R769" s="167"/>
      <c r="S769" s="142" t="b">
        <v>0</v>
      </c>
      <c r="T769" s="170"/>
      <c r="U769" s="170"/>
      <c r="V769" s="170"/>
      <c r="W769" s="170"/>
      <c r="X769" s="170"/>
      <c r="Y769" s="171"/>
      <c r="Z769" s="71"/>
      <c r="AA769" s="71"/>
      <c r="AB769" s="168"/>
      <c r="AC769" s="172"/>
      <c r="AD769" s="71"/>
      <c r="AE769" s="168"/>
      <c r="AF769" s="168"/>
      <c r="AG769" s="168"/>
      <c r="AH769" s="13"/>
      <c r="AI769" s="13"/>
    </row>
    <row r="770">
      <c r="A770" s="160"/>
      <c r="B770" s="160"/>
      <c r="C770" s="161" t="b">
        <v>0</v>
      </c>
      <c r="D770" s="161"/>
      <c r="E770" s="161"/>
      <c r="F770" s="162"/>
      <c r="G770" s="163"/>
      <c r="H770" s="164"/>
      <c r="I770" s="165"/>
      <c r="J770" s="161"/>
      <c r="K770" s="161"/>
      <c r="L770" s="166"/>
      <c r="M770" s="167"/>
      <c r="N770" s="168"/>
      <c r="O770" s="168"/>
      <c r="P770" s="168"/>
      <c r="Q770" s="169"/>
      <c r="R770" s="167"/>
      <c r="S770" s="142" t="b">
        <v>0</v>
      </c>
      <c r="T770" s="170"/>
      <c r="U770" s="170"/>
      <c r="V770" s="170"/>
      <c r="W770" s="170"/>
      <c r="X770" s="170"/>
      <c r="Y770" s="171"/>
      <c r="Z770" s="71"/>
      <c r="AA770" s="71"/>
      <c r="AB770" s="168"/>
      <c r="AC770" s="172"/>
      <c r="AD770" s="71"/>
      <c r="AE770" s="168"/>
      <c r="AF770" s="168"/>
      <c r="AG770" s="168"/>
      <c r="AH770" s="13"/>
      <c r="AI770" s="13"/>
    </row>
    <row r="771">
      <c r="A771" s="160"/>
      <c r="B771" s="160"/>
      <c r="C771" s="161" t="b">
        <v>0</v>
      </c>
      <c r="D771" s="161"/>
      <c r="E771" s="161"/>
      <c r="F771" s="162"/>
      <c r="G771" s="163"/>
      <c r="H771" s="164"/>
      <c r="I771" s="165"/>
      <c r="J771" s="161"/>
      <c r="K771" s="161"/>
      <c r="L771" s="166"/>
      <c r="M771" s="167"/>
      <c r="N771" s="168"/>
      <c r="O771" s="168"/>
      <c r="P771" s="168"/>
      <c r="Q771" s="169"/>
      <c r="R771" s="167"/>
      <c r="S771" s="142" t="b">
        <v>0</v>
      </c>
      <c r="T771" s="170"/>
      <c r="U771" s="170"/>
      <c r="V771" s="170"/>
      <c r="W771" s="170"/>
      <c r="X771" s="170"/>
      <c r="Y771" s="171"/>
      <c r="Z771" s="71"/>
      <c r="AA771" s="71"/>
      <c r="AB771" s="168"/>
      <c r="AC771" s="172"/>
      <c r="AD771" s="71"/>
      <c r="AE771" s="168"/>
      <c r="AF771" s="168"/>
      <c r="AG771" s="168"/>
      <c r="AH771" s="13"/>
      <c r="AI771" s="13"/>
    </row>
    <row r="772">
      <c r="A772" s="160"/>
      <c r="B772" s="160"/>
      <c r="C772" s="161" t="b">
        <v>0</v>
      </c>
      <c r="D772" s="161"/>
      <c r="E772" s="161"/>
      <c r="F772" s="162"/>
      <c r="G772" s="163"/>
      <c r="H772" s="164"/>
      <c r="I772" s="165"/>
      <c r="J772" s="161"/>
      <c r="K772" s="161"/>
      <c r="L772" s="166"/>
      <c r="M772" s="167"/>
      <c r="N772" s="168"/>
      <c r="O772" s="168"/>
      <c r="P772" s="168"/>
      <c r="Q772" s="169"/>
      <c r="R772" s="167"/>
      <c r="S772" s="142" t="b">
        <v>0</v>
      </c>
      <c r="T772" s="170"/>
      <c r="U772" s="170"/>
      <c r="V772" s="170"/>
      <c r="W772" s="170"/>
      <c r="X772" s="170"/>
      <c r="Y772" s="171"/>
      <c r="Z772" s="71"/>
      <c r="AA772" s="71"/>
      <c r="AB772" s="168"/>
      <c r="AC772" s="172"/>
      <c r="AD772" s="71"/>
      <c r="AE772" s="168"/>
      <c r="AF772" s="168"/>
      <c r="AG772" s="168"/>
      <c r="AH772" s="13"/>
      <c r="AI772" s="13"/>
    </row>
    <row r="773">
      <c r="A773" s="160"/>
      <c r="B773" s="160"/>
      <c r="C773" s="161" t="b">
        <v>0</v>
      </c>
      <c r="D773" s="161"/>
      <c r="E773" s="161"/>
      <c r="F773" s="162"/>
      <c r="G773" s="163"/>
      <c r="H773" s="164"/>
      <c r="I773" s="165"/>
      <c r="J773" s="161"/>
      <c r="K773" s="161"/>
      <c r="L773" s="166"/>
      <c r="M773" s="167"/>
      <c r="N773" s="168"/>
      <c r="O773" s="168"/>
      <c r="P773" s="168"/>
      <c r="Q773" s="169"/>
      <c r="R773" s="167"/>
      <c r="S773" s="142" t="b">
        <v>0</v>
      </c>
      <c r="T773" s="170"/>
      <c r="U773" s="170"/>
      <c r="V773" s="170"/>
      <c r="W773" s="170"/>
      <c r="X773" s="170"/>
      <c r="Y773" s="171"/>
      <c r="Z773" s="71"/>
      <c r="AA773" s="71"/>
      <c r="AB773" s="168"/>
      <c r="AC773" s="172"/>
      <c r="AD773" s="71"/>
      <c r="AE773" s="168"/>
      <c r="AF773" s="168"/>
      <c r="AG773" s="168"/>
      <c r="AH773" s="13"/>
      <c r="AI773" s="13"/>
    </row>
    <row r="774">
      <c r="A774" s="160"/>
      <c r="B774" s="160"/>
      <c r="C774" s="161" t="b">
        <v>0</v>
      </c>
      <c r="D774" s="161"/>
      <c r="E774" s="161"/>
      <c r="F774" s="162"/>
      <c r="G774" s="163"/>
      <c r="H774" s="164"/>
      <c r="I774" s="165"/>
      <c r="J774" s="161"/>
      <c r="K774" s="161"/>
      <c r="L774" s="166"/>
      <c r="M774" s="167"/>
      <c r="N774" s="168"/>
      <c r="O774" s="168"/>
      <c r="P774" s="168"/>
      <c r="Q774" s="169"/>
      <c r="R774" s="167"/>
      <c r="S774" s="142" t="b">
        <v>0</v>
      </c>
      <c r="T774" s="170"/>
      <c r="U774" s="170"/>
      <c r="V774" s="170"/>
      <c r="W774" s="170"/>
      <c r="X774" s="170"/>
      <c r="Y774" s="171"/>
      <c r="Z774" s="71"/>
      <c r="AA774" s="71"/>
      <c r="AB774" s="168"/>
      <c r="AC774" s="172"/>
      <c r="AD774" s="71"/>
      <c r="AE774" s="168"/>
      <c r="AF774" s="168"/>
      <c r="AG774" s="168"/>
      <c r="AH774" s="13"/>
      <c r="AI774" s="13"/>
    </row>
    <row r="775">
      <c r="A775" s="160"/>
      <c r="B775" s="160"/>
      <c r="C775" s="161" t="b">
        <v>0</v>
      </c>
      <c r="D775" s="161"/>
      <c r="E775" s="161"/>
      <c r="F775" s="162"/>
      <c r="G775" s="163"/>
      <c r="H775" s="164"/>
      <c r="I775" s="165"/>
      <c r="J775" s="161"/>
      <c r="K775" s="161"/>
      <c r="L775" s="166"/>
      <c r="M775" s="167"/>
      <c r="N775" s="168"/>
      <c r="O775" s="168"/>
      <c r="P775" s="168"/>
      <c r="Q775" s="169"/>
      <c r="R775" s="167"/>
      <c r="S775" s="142" t="b">
        <v>0</v>
      </c>
      <c r="T775" s="170"/>
      <c r="U775" s="170"/>
      <c r="V775" s="170"/>
      <c r="W775" s="170"/>
      <c r="X775" s="170"/>
      <c r="Y775" s="171"/>
      <c r="Z775" s="71"/>
      <c r="AA775" s="71"/>
      <c r="AB775" s="168"/>
      <c r="AC775" s="172"/>
      <c r="AD775" s="71"/>
      <c r="AE775" s="168"/>
      <c r="AF775" s="168"/>
      <c r="AG775" s="168"/>
      <c r="AH775" s="13"/>
      <c r="AI775" s="13"/>
    </row>
    <row r="776">
      <c r="A776" s="160"/>
      <c r="B776" s="160"/>
      <c r="C776" s="161" t="b">
        <v>0</v>
      </c>
      <c r="D776" s="161"/>
      <c r="E776" s="161"/>
      <c r="F776" s="162"/>
      <c r="G776" s="163"/>
      <c r="H776" s="164"/>
      <c r="I776" s="165"/>
      <c r="J776" s="161"/>
      <c r="K776" s="161"/>
      <c r="L776" s="166"/>
      <c r="M776" s="167"/>
      <c r="N776" s="168"/>
      <c r="O776" s="168"/>
      <c r="P776" s="168"/>
      <c r="Q776" s="169"/>
      <c r="R776" s="167"/>
      <c r="S776" s="142" t="b">
        <v>0</v>
      </c>
      <c r="T776" s="170"/>
      <c r="U776" s="170"/>
      <c r="V776" s="170"/>
      <c r="W776" s="170"/>
      <c r="X776" s="170"/>
      <c r="Y776" s="171"/>
      <c r="Z776" s="71"/>
      <c r="AA776" s="71"/>
      <c r="AB776" s="168"/>
      <c r="AC776" s="172"/>
      <c r="AD776" s="71"/>
      <c r="AE776" s="168"/>
      <c r="AF776" s="168"/>
      <c r="AG776" s="168"/>
      <c r="AH776" s="13"/>
      <c r="AI776" s="13"/>
    </row>
    <row r="777">
      <c r="A777" s="160"/>
      <c r="B777" s="160"/>
      <c r="C777" s="161" t="b">
        <v>0</v>
      </c>
      <c r="D777" s="161"/>
      <c r="E777" s="161"/>
      <c r="F777" s="162"/>
      <c r="G777" s="163"/>
      <c r="H777" s="164"/>
      <c r="I777" s="165"/>
      <c r="J777" s="161"/>
      <c r="K777" s="161"/>
      <c r="L777" s="166"/>
      <c r="M777" s="167"/>
      <c r="N777" s="168"/>
      <c r="O777" s="168"/>
      <c r="P777" s="168"/>
      <c r="Q777" s="169"/>
      <c r="R777" s="167"/>
      <c r="S777" s="142" t="b">
        <v>0</v>
      </c>
      <c r="T777" s="170"/>
      <c r="U777" s="170"/>
      <c r="V777" s="170"/>
      <c r="W777" s="170"/>
      <c r="X777" s="170"/>
      <c r="Y777" s="171"/>
      <c r="Z777" s="71"/>
      <c r="AA777" s="71"/>
      <c r="AB777" s="168"/>
      <c r="AC777" s="172"/>
      <c r="AD777" s="71"/>
      <c r="AE777" s="168"/>
      <c r="AF777" s="168"/>
      <c r="AG777" s="168"/>
      <c r="AH777" s="13"/>
      <c r="AI777" s="13"/>
    </row>
    <row r="778">
      <c r="A778" s="160"/>
      <c r="B778" s="160"/>
      <c r="C778" s="161" t="b">
        <v>0</v>
      </c>
      <c r="D778" s="161"/>
      <c r="E778" s="161"/>
      <c r="F778" s="162"/>
      <c r="G778" s="163"/>
      <c r="H778" s="164"/>
      <c r="I778" s="165"/>
      <c r="J778" s="161"/>
      <c r="K778" s="161"/>
      <c r="L778" s="166"/>
      <c r="M778" s="167"/>
      <c r="N778" s="168"/>
      <c r="O778" s="168"/>
      <c r="P778" s="168"/>
      <c r="Q778" s="169"/>
      <c r="R778" s="167"/>
      <c r="S778" s="142" t="b">
        <v>0</v>
      </c>
      <c r="T778" s="170"/>
      <c r="U778" s="170"/>
      <c r="V778" s="170"/>
      <c r="W778" s="170"/>
      <c r="X778" s="170"/>
      <c r="Y778" s="171"/>
      <c r="Z778" s="71"/>
      <c r="AA778" s="71"/>
      <c r="AB778" s="168"/>
      <c r="AC778" s="172"/>
      <c r="AD778" s="71"/>
      <c r="AE778" s="168"/>
      <c r="AF778" s="168"/>
      <c r="AG778" s="168"/>
      <c r="AH778" s="13"/>
      <c r="AI778" s="13"/>
    </row>
    <row r="779">
      <c r="A779" s="160"/>
      <c r="B779" s="160"/>
      <c r="C779" s="161" t="b">
        <v>0</v>
      </c>
      <c r="D779" s="161"/>
      <c r="E779" s="161"/>
      <c r="F779" s="162"/>
      <c r="G779" s="163"/>
      <c r="H779" s="164"/>
      <c r="I779" s="165"/>
      <c r="J779" s="161"/>
      <c r="K779" s="161"/>
      <c r="L779" s="166"/>
      <c r="M779" s="167"/>
      <c r="N779" s="168"/>
      <c r="O779" s="168"/>
      <c r="P779" s="168"/>
      <c r="Q779" s="169"/>
      <c r="R779" s="167"/>
      <c r="S779" s="142" t="b">
        <v>0</v>
      </c>
      <c r="T779" s="170"/>
      <c r="U779" s="170"/>
      <c r="V779" s="170"/>
      <c r="W779" s="170"/>
      <c r="X779" s="170"/>
      <c r="Y779" s="171"/>
      <c r="Z779" s="71"/>
      <c r="AA779" s="71"/>
      <c r="AB779" s="168"/>
      <c r="AC779" s="172"/>
      <c r="AD779" s="71"/>
      <c r="AE779" s="168"/>
      <c r="AF779" s="168"/>
      <c r="AG779" s="168"/>
      <c r="AH779" s="13"/>
      <c r="AI779" s="13"/>
    </row>
    <row r="780">
      <c r="A780" s="160"/>
      <c r="B780" s="160"/>
      <c r="C780" s="161" t="b">
        <v>0</v>
      </c>
      <c r="D780" s="161"/>
      <c r="E780" s="161"/>
      <c r="F780" s="162"/>
      <c r="G780" s="163"/>
      <c r="H780" s="164"/>
      <c r="I780" s="165"/>
      <c r="J780" s="161"/>
      <c r="K780" s="161"/>
      <c r="L780" s="166"/>
      <c r="M780" s="167"/>
      <c r="N780" s="168"/>
      <c r="O780" s="168"/>
      <c r="P780" s="168"/>
      <c r="Q780" s="169"/>
      <c r="R780" s="167"/>
      <c r="S780" s="142" t="b">
        <v>0</v>
      </c>
      <c r="T780" s="170"/>
      <c r="U780" s="170"/>
      <c r="V780" s="170"/>
      <c r="W780" s="170"/>
      <c r="X780" s="170"/>
      <c r="Y780" s="171"/>
      <c r="Z780" s="71"/>
      <c r="AA780" s="71"/>
      <c r="AB780" s="168"/>
      <c r="AC780" s="172"/>
      <c r="AD780" s="71"/>
      <c r="AE780" s="168"/>
      <c r="AF780" s="168"/>
      <c r="AG780" s="168"/>
      <c r="AH780" s="13"/>
      <c r="AI780" s="13"/>
    </row>
    <row r="781">
      <c r="A781" s="160"/>
      <c r="B781" s="160"/>
      <c r="C781" s="161" t="b">
        <v>0</v>
      </c>
      <c r="D781" s="161"/>
      <c r="E781" s="161"/>
      <c r="F781" s="162"/>
      <c r="G781" s="163"/>
      <c r="H781" s="164"/>
      <c r="I781" s="165"/>
      <c r="J781" s="161"/>
      <c r="K781" s="161"/>
      <c r="L781" s="166"/>
      <c r="M781" s="167"/>
      <c r="N781" s="168"/>
      <c r="O781" s="168"/>
      <c r="P781" s="168"/>
      <c r="Q781" s="169"/>
      <c r="R781" s="167"/>
      <c r="S781" s="142" t="b">
        <v>0</v>
      </c>
      <c r="T781" s="170"/>
      <c r="U781" s="170"/>
      <c r="V781" s="170"/>
      <c r="W781" s="170"/>
      <c r="X781" s="170"/>
      <c r="Y781" s="171"/>
      <c r="Z781" s="71"/>
      <c r="AA781" s="71"/>
      <c r="AB781" s="168"/>
      <c r="AC781" s="172"/>
      <c r="AD781" s="71"/>
      <c r="AE781" s="168"/>
      <c r="AF781" s="168"/>
      <c r="AG781" s="168"/>
      <c r="AH781" s="13"/>
      <c r="AI781" s="13"/>
    </row>
    <row r="782">
      <c r="A782" s="160"/>
      <c r="B782" s="160"/>
      <c r="C782" s="161" t="b">
        <v>0</v>
      </c>
      <c r="D782" s="161"/>
      <c r="E782" s="161"/>
      <c r="F782" s="162"/>
      <c r="G782" s="163"/>
      <c r="H782" s="164"/>
      <c r="I782" s="165"/>
      <c r="J782" s="161"/>
      <c r="K782" s="161"/>
      <c r="L782" s="166"/>
      <c r="M782" s="167"/>
      <c r="N782" s="168"/>
      <c r="O782" s="168"/>
      <c r="P782" s="168"/>
      <c r="Q782" s="169"/>
      <c r="R782" s="167"/>
      <c r="S782" s="142" t="b">
        <v>0</v>
      </c>
      <c r="T782" s="170"/>
      <c r="U782" s="170"/>
      <c r="V782" s="170"/>
      <c r="W782" s="170"/>
      <c r="X782" s="170"/>
      <c r="Y782" s="171"/>
      <c r="Z782" s="71"/>
      <c r="AA782" s="71"/>
      <c r="AB782" s="168"/>
      <c r="AC782" s="172"/>
      <c r="AD782" s="71"/>
      <c r="AE782" s="168"/>
      <c r="AF782" s="168"/>
      <c r="AG782" s="168"/>
      <c r="AH782" s="13"/>
      <c r="AI782" s="13"/>
    </row>
    <row r="783">
      <c r="A783" s="160"/>
      <c r="B783" s="160"/>
      <c r="C783" s="161" t="b">
        <v>0</v>
      </c>
      <c r="D783" s="161"/>
      <c r="E783" s="161"/>
      <c r="F783" s="162"/>
      <c r="G783" s="163"/>
      <c r="H783" s="164"/>
      <c r="I783" s="165"/>
      <c r="J783" s="161"/>
      <c r="K783" s="161"/>
      <c r="L783" s="166"/>
      <c r="M783" s="167"/>
      <c r="N783" s="168"/>
      <c r="O783" s="168"/>
      <c r="P783" s="168"/>
      <c r="Q783" s="169"/>
      <c r="R783" s="167"/>
      <c r="S783" s="142" t="b">
        <v>0</v>
      </c>
      <c r="T783" s="170"/>
      <c r="U783" s="170"/>
      <c r="V783" s="170"/>
      <c r="W783" s="170"/>
      <c r="X783" s="170"/>
      <c r="Y783" s="171"/>
      <c r="Z783" s="71"/>
      <c r="AA783" s="71"/>
      <c r="AB783" s="168"/>
      <c r="AC783" s="172"/>
      <c r="AD783" s="71"/>
      <c r="AE783" s="168"/>
      <c r="AF783" s="168"/>
      <c r="AG783" s="168"/>
      <c r="AH783" s="13"/>
      <c r="AI783" s="13"/>
    </row>
    <row r="784">
      <c r="A784" s="160"/>
      <c r="B784" s="160"/>
      <c r="C784" s="161" t="b">
        <v>0</v>
      </c>
      <c r="D784" s="161"/>
      <c r="E784" s="161"/>
      <c r="F784" s="162"/>
      <c r="G784" s="163"/>
      <c r="H784" s="164"/>
      <c r="I784" s="165"/>
      <c r="J784" s="161"/>
      <c r="K784" s="161"/>
      <c r="L784" s="166"/>
      <c r="M784" s="167"/>
      <c r="N784" s="168"/>
      <c r="O784" s="168"/>
      <c r="P784" s="168"/>
      <c r="Q784" s="169"/>
      <c r="R784" s="167"/>
      <c r="S784" s="142" t="b">
        <v>0</v>
      </c>
      <c r="T784" s="170"/>
      <c r="U784" s="170"/>
      <c r="V784" s="170"/>
      <c r="W784" s="170"/>
      <c r="X784" s="170"/>
      <c r="Y784" s="171"/>
      <c r="Z784" s="71"/>
      <c r="AA784" s="71"/>
      <c r="AB784" s="168"/>
      <c r="AC784" s="172"/>
      <c r="AD784" s="71"/>
      <c r="AE784" s="168"/>
      <c r="AF784" s="168"/>
      <c r="AG784" s="168"/>
      <c r="AH784" s="13"/>
      <c r="AI784" s="13"/>
    </row>
    <row r="785">
      <c r="A785" s="160"/>
      <c r="B785" s="160"/>
      <c r="C785" s="161" t="b">
        <v>0</v>
      </c>
      <c r="D785" s="161"/>
      <c r="E785" s="161"/>
      <c r="F785" s="162"/>
      <c r="G785" s="163"/>
      <c r="H785" s="164"/>
      <c r="I785" s="165"/>
      <c r="J785" s="161"/>
      <c r="K785" s="161"/>
      <c r="L785" s="166"/>
      <c r="M785" s="167"/>
      <c r="N785" s="168"/>
      <c r="O785" s="168"/>
      <c r="P785" s="168"/>
      <c r="Q785" s="169"/>
      <c r="R785" s="167"/>
      <c r="S785" s="142" t="b">
        <v>0</v>
      </c>
      <c r="T785" s="170"/>
      <c r="U785" s="170"/>
      <c r="V785" s="170"/>
      <c r="W785" s="170"/>
      <c r="X785" s="170"/>
      <c r="Y785" s="171"/>
      <c r="Z785" s="71"/>
      <c r="AA785" s="71"/>
      <c r="AB785" s="168"/>
      <c r="AC785" s="172"/>
      <c r="AD785" s="71"/>
      <c r="AE785" s="168"/>
      <c r="AF785" s="168"/>
      <c r="AG785" s="168"/>
      <c r="AH785" s="13"/>
      <c r="AI785" s="13"/>
    </row>
    <row r="786">
      <c r="A786" s="160"/>
      <c r="B786" s="160"/>
      <c r="C786" s="161" t="b">
        <v>0</v>
      </c>
      <c r="D786" s="161"/>
      <c r="E786" s="161"/>
      <c r="F786" s="162"/>
      <c r="G786" s="163"/>
      <c r="H786" s="164"/>
      <c r="I786" s="165"/>
      <c r="J786" s="161"/>
      <c r="K786" s="161"/>
      <c r="L786" s="166"/>
      <c r="M786" s="167"/>
      <c r="N786" s="168"/>
      <c r="O786" s="168"/>
      <c r="P786" s="168"/>
      <c r="Q786" s="169"/>
      <c r="R786" s="167"/>
      <c r="S786" s="142" t="b">
        <v>0</v>
      </c>
      <c r="T786" s="170"/>
      <c r="U786" s="170"/>
      <c r="V786" s="170"/>
      <c r="W786" s="170"/>
      <c r="X786" s="170"/>
      <c r="Y786" s="171"/>
      <c r="Z786" s="71"/>
      <c r="AA786" s="71"/>
      <c r="AB786" s="168"/>
      <c r="AC786" s="172"/>
      <c r="AD786" s="71"/>
      <c r="AE786" s="168"/>
      <c r="AF786" s="168"/>
      <c r="AG786" s="168"/>
      <c r="AH786" s="13"/>
      <c r="AI786" s="13"/>
    </row>
    <row r="787">
      <c r="A787" s="160"/>
      <c r="B787" s="160"/>
      <c r="C787" s="161" t="b">
        <v>0</v>
      </c>
      <c r="D787" s="161"/>
      <c r="E787" s="161"/>
      <c r="F787" s="162"/>
      <c r="G787" s="163"/>
      <c r="H787" s="164"/>
      <c r="I787" s="165"/>
      <c r="J787" s="161"/>
      <c r="K787" s="161"/>
      <c r="L787" s="166"/>
      <c r="M787" s="167"/>
      <c r="N787" s="168"/>
      <c r="O787" s="168"/>
      <c r="P787" s="168"/>
      <c r="Q787" s="169"/>
      <c r="R787" s="167"/>
      <c r="S787" s="142" t="b">
        <v>0</v>
      </c>
      <c r="T787" s="170"/>
      <c r="U787" s="170"/>
      <c r="V787" s="170"/>
      <c r="W787" s="170"/>
      <c r="X787" s="170"/>
      <c r="Y787" s="171"/>
      <c r="Z787" s="71"/>
      <c r="AA787" s="71"/>
      <c r="AB787" s="168"/>
      <c r="AC787" s="172"/>
      <c r="AD787" s="71"/>
      <c r="AE787" s="168"/>
      <c r="AF787" s="168"/>
      <c r="AG787" s="168"/>
      <c r="AH787" s="13"/>
      <c r="AI787" s="13"/>
    </row>
    <row r="788">
      <c r="A788" s="160"/>
      <c r="B788" s="160"/>
      <c r="C788" s="161" t="b">
        <v>0</v>
      </c>
      <c r="D788" s="161"/>
      <c r="E788" s="161"/>
      <c r="F788" s="162"/>
      <c r="G788" s="163"/>
      <c r="H788" s="164"/>
      <c r="I788" s="165"/>
      <c r="J788" s="161"/>
      <c r="K788" s="161"/>
      <c r="L788" s="166"/>
      <c r="M788" s="167"/>
      <c r="N788" s="168"/>
      <c r="O788" s="168"/>
      <c r="P788" s="168"/>
      <c r="Q788" s="169"/>
      <c r="R788" s="167"/>
      <c r="S788" s="142" t="b">
        <v>0</v>
      </c>
      <c r="T788" s="170"/>
      <c r="U788" s="170"/>
      <c r="V788" s="170"/>
      <c r="W788" s="170"/>
      <c r="X788" s="170"/>
      <c r="Y788" s="171"/>
      <c r="Z788" s="71"/>
      <c r="AA788" s="71"/>
      <c r="AB788" s="168"/>
      <c r="AC788" s="172"/>
      <c r="AD788" s="71"/>
      <c r="AE788" s="168"/>
      <c r="AF788" s="168"/>
      <c r="AG788" s="168"/>
      <c r="AH788" s="13"/>
      <c r="AI788" s="13"/>
    </row>
    <row r="789">
      <c r="A789" s="160"/>
      <c r="B789" s="160"/>
      <c r="C789" s="161" t="b">
        <v>0</v>
      </c>
      <c r="D789" s="161"/>
      <c r="E789" s="161"/>
      <c r="F789" s="162"/>
      <c r="G789" s="163"/>
      <c r="H789" s="164"/>
      <c r="I789" s="165"/>
      <c r="J789" s="161"/>
      <c r="K789" s="161"/>
      <c r="L789" s="166"/>
      <c r="M789" s="167"/>
      <c r="N789" s="168"/>
      <c r="O789" s="168"/>
      <c r="P789" s="168"/>
      <c r="Q789" s="169"/>
      <c r="R789" s="167"/>
      <c r="S789" s="142" t="b">
        <v>0</v>
      </c>
      <c r="T789" s="170"/>
      <c r="U789" s="170"/>
      <c r="V789" s="170"/>
      <c r="W789" s="170"/>
      <c r="X789" s="170"/>
      <c r="Y789" s="171"/>
      <c r="Z789" s="71"/>
      <c r="AA789" s="71"/>
      <c r="AB789" s="168"/>
      <c r="AC789" s="172"/>
      <c r="AD789" s="71"/>
      <c r="AE789" s="168"/>
      <c r="AF789" s="168"/>
      <c r="AG789" s="168"/>
      <c r="AH789" s="13"/>
      <c r="AI789" s="13"/>
    </row>
    <row r="790">
      <c r="A790" s="160"/>
      <c r="B790" s="160"/>
      <c r="C790" s="161" t="b">
        <v>0</v>
      </c>
      <c r="D790" s="161"/>
      <c r="E790" s="161"/>
      <c r="F790" s="162"/>
      <c r="G790" s="163"/>
      <c r="H790" s="164"/>
      <c r="I790" s="165"/>
      <c r="J790" s="161"/>
      <c r="K790" s="161"/>
      <c r="L790" s="166"/>
      <c r="M790" s="167"/>
      <c r="N790" s="168"/>
      <c r="O790" s="168"/>
      <c r="P790" s="168"/>
      <c r="Q790" s="169"/>
      <c r="R790" s="167"/>
      <c r="S790" s="142" t="b">
        <v>0</v>
      </c>
      <c r="T790" s="170"/>
      <c r="U790" s="170"/>
      <c r="V790" s="170"/>
      <c r="W790" s="170"/>
      <c r="X790" s="170"/>
      <c r="Y790" s="171"/>
      <c r="Z790" s="71"/>
      <c r="AA790" s="71"/>
      <c r="AB790" s="168"/>
      <c r="AC790" s="172"/>
      <c r="AD790" s="71"/>
      <c r="AE790" s="168"/>
      <c r="AF790" s="168"/>
      <c r="AG790" s="168"/>
      <c r="AH790" s="13"/>
      <c r="AI790" s="13"/>
    </row>
    <row r="791">
      <c r="A791" s="160"/>
      <c r="B791" s="160"/>
      <c r="C791" s="161" t="b">
        <v>0</v>
      </c>
      <c r="D791" s="161"/>
      <c r="E791" s="161"/>
      <c r="F791" s="162"/>
      <c r="G791" s="163"/>
      <c r="H791" s="164"/>
      <c r="I791" s="165"/>
      <c r="J791" s="161"/>
      <c r="K791" s="161"/>
      <c r="L791" s="166"/>
      <c r="M791" s="167"/>
      <c r="N791" s="168"/>
      <c r="O791" s="168"/>
      <c r="P791" s="168"/>
      <c r="Q791" s="169"/>
      <c r="R791" s="167"/>
      <c r="S791" s="142" t="b">
        <v>0</v>
      </c>
      <c r="T791" s="170"/>
      <c r="U791" s="170"/>
      <c r="V791" s="170"/>
      <c r="W791" s="170"/>
      <c r="X791" s="170"/>
      <c r="Y791" s="171"/>
      <c r="Z791" s="71"/>
      <c r="AA791" s="71"/>
      <c r="AB791" s="168"/>
      <c r="AC791" s="172"/>
      <c r="AD791" s="71"/>
      <c r="AE791" s="168"/>
      <c r="AF791" s="168"/>
      <c r="AG791" s="168"/>
      <c r="AH791" s="13"/>
      <c r="AI791" s="13"/>
    </row>
    <row r="792">
      <c r="A792" s="160"/>
      <c r="B792" s="160"/>
      <c r="C792" s="161" t="b">
        <v>0</v>
      </c>
      <c r="D792" s="161"/>
      <c r="E792" s="161"/>
      <c r="F792" s="162"/>
      <c r="G792" s="163"/>
      <c r="H792" s="164"/>
      <c r="I792" s="165"/>
      <c r="J792" s="161"/>
      <c r="K792" s="161"/>
      <c r="L792" s="166"/>
      <c r="M792" s="167"/>
      <c r="N792" s="168"/>
      <c r="O792" s="168"/>
      <c r="P792" s="168"/>
      <c r="Q792" s="169"/>
      <c r="R792" s="167"/>
      <c r="S792" s="142" t="b">
        <v>0</v>
      </c>
      <c r="T792" s="170"/>
      <c r="U792" s="170"/>
      <c r="V792" s="170"/>
      <c r="W792" s="170"/>
      <c r="X792" s="170"/>
      <c r="Y792" s="171"/>
      <c r="Z792" s="71"/>
      <c r="AA792" s="71"/>
      <c r="AB792" s="168"/>
      <c r="AC792" s="172"/>
      <c r="AD792" s="71"/>
      <c r="AE792" s="168"/>
      <c r="AF792" s="168"/>
      <c r="AG792" s="168"/>
      <c r="AH792" s="13"/>
      <c r="AI792" s="13"/>
    </row>
    <row r="793">
      <c r="A793" s="160"/>
      <c r="B793" s="160"/>
      <c r="C793" s="161" t="b">
        <v>0</v>
      </c>
      <c r="D793" s="161"/>
      <c r="E793" s="161"/>
      <c r="F793" s="162"/>
      <c r="G793" s="163"/>
      <c r="H793" s="164"/>
      <c r="I793" s="165"/>
      <c r="J793" s="161"/>
      <c r="K793" s="161"/>
      <c r="L793" s="166"/>
      <c r="M793" s="167"/>
      <c r="N793" s="168"/>
      <c r="O793" s="168"/>
      <c r="P793" s="168"/>
      <c r="Q793" s="169"/>
      <c r="R793" s="167"/>
      <c r="S793" s="142" t="b">
        <v>0</v>
      </c>
      <c r="T793" s="170"/>
      <c r="U793" s="170"/>
      <c r="V793" s="170"/>
      <c r="W793" s="170"/>
      <c r="X793" s="170"/>
      <c r="Y793" s="171"/>
      <c r="Z793" s="71"/>
      <c r="AA793" s="71"/>
      <c r="AB793" s="168"/>
      <c r="AC793" s="172"/>
      <c r="AD793" s="71"/>
      <c r="AE793" s="168"/>
      <c r="AF793" s="168"/>
      <c r="AG793" s="168"/>
      <c r="AH793" s="13"/>
      <c r="AI793" s="13"/>
    </row>
    <row r="794">
      <c r="A794" s="160"/>
      <c r="B794" s="160"/>
      <c r="C794" s="161" t="b">
        <v>0</v>
      </c>
      <c r="D794" s="161"/>
      <c r="E794" s="161"/>
      <c r="F794" s="162"/>
      <c r="G794" s="163"/>
      <c r="H794" s="164"/>
      <c r="I794" s="165"/>
      <c r="J794" s="161"/>
      <c r="K794" s="161"/>
      <c r="L794" s="166"/>
      <c r="M794" s="167"/>
      <c r="N794" s="168"/>
      <c r="O794" s="168"/>
      <c r="P794" s="168"/>
      <c r="Q794" s="169"/>
      <c r="R794" s="167"/>
      <c r="S794" s="142" t="b">
        <v>0</v>
      </c>
      <c r="T794" s="170"/>
      <c r="U794" s="170"/>
      <c r="V794" s="170"/>
      <c r="W794" s="170"/>
      <c r="X794" s="170"/>
      <c r="Y794" s="171"/>
      <c r="Z794" s="71"/>
      <c r="AA794" s="71"/>
      <c r="AB794" s="168"/>
      <c r="AC794" s="172"/>
      <c r="AD794" s="71"/>
      <c r="AE794" s="168"/>
      <c r="AF794" s="168"/>
      <c r="AG794" s="168"/>
      <c r="AH794" s="13"/>
      <c r="AI794" s="13"/>
    </row>
    <row r="795">
      <c r="A795" s="160"/>
      <c r="B795" s="160"/>
      <c r="C795" s="161" t="b">
        <v>0</v>
      </c>
      <c r="D795" s="161"/>
      <c r="E795" s="161"/>
      <c r="F795" s="162"/>
      <c r="G795" s="163"/>
      <c r="H795" s="164"/>
      <c r="I795" s="165"/>
      <c r="J795" s="161"/>
      <c r="K795" s="161"/>
      <c r="L795" s="166"/>
      <c r="M795" s="167"/>
      <c r="N795" s="168"/>
      <c r="O795" s="168"/>
      <c r="P795" s="168"/>
      <c r="Q795" s="169"/>
      <c r="R795" s="167"/>
      <c r="S795" s="142" t="b">
        <v>0</v>
      </c>
      <c r="T795" s="170"/>
      <c r="U795" s="170"/>
      <c r="V795" s="170"/>
      <c r="W795" s="170"/>
      <c r="X795" s="170"/>
      <c r="Y795" s="171"/>
      <c r="Z795" s="71"/>
      <c r="AA795" s="71"/>
      <c r="AB795" s="168"/>
      <c r="AC795" s="172"/>
      <c r="AD795" s="71"/>
      <c r="AE795" s="168"/>
      <c r="AF795" s="168"/>
      <c r="AG795" s="168"/>
      <c r="AH795" s="13"/>
      <c r="AI795" s="13"/>
    </row>
    <row r="796">
      <c r="A796" s="160"/>
      <c r="B796" s="160"/>
      <c r="C796" s="161" t="b">
        <v>0</v>
      </c>
      <c r="D796" s="161"/>
      <c r="E796" s="161"/>
      <c r="F796" s="162"/>
      <c r="G796" s="163"/>
      <c r="H796" s="164"/>
      <c r="I796" s="165"/>
      <c r="J796" s="161"/>
      <c r="K796" s="161"/>
      <c r="L796" s="166"/>
      <c r="M796" s="167"/>
      <c r="N796" s="168"/>
      <c r="O796" s="168"/>
      <c r="P796" s="168"/>
      <c r="Q796" s="169"/>
      <c r="R796" s="167"/>
      <c r="S796" s="142" t="b">
        <v>0</v>
      </c>
      <c r="T796" s="170"/>
      <c r="U796" s="170"/>
      <c r="V796" s="170"/>
      <c r="W796" s="170"/>
      <c r="X796" s="170"/>
      <c r="Y796" s="171"/>
      <c r="Z796" s="71"/>
      <c r="AA796" s="71"/>
      <c r="AB796" s="168"/>
      <c r="AC796" s="172"/>
      <c r="AD796" s="71"/>
      <c r="AE796" s="168"/>
      <c r="AF796" s="168"/>
      <c r="AG796" s="168"/>
      <c r="AH796" s="13"/>
      <c r="AI796" s="13"/>
    </row>
    <row r="797">
      <c r="A797" s="160"/>
      <c r="B797" s="160"/>
      <c r="C797" s="161" t="b">
        <v>0</v>
      </c>
      <c r="D797" s="161"/>
      <c r="E797" s="161"/>
      <c r="F797" s="162"/>
      <c r="G797" s="163"/>
      <c r="H797" s="164"/>
      <c r="I797" s="165"/>
      <c r="J797" s="161"/>
      <c r="K797" s="161"/>
      <c r="L797" s="166"/>
      <c r="M797" s="167"/>
      <c r="N797" s="168"/>
      <c r="O797" s="168"/>
      <c r="P797" s="168"/>
      <c r="Q797" s="169"/>
      <c r="R797" s="167"/>
      <c r="S797" s="142" t="b">
        <v>0</v>
      </c>
      <c r="T797" s="170"/>
      <c r="U797" s="170"/>
      <c r="V797" s="170"/>
      <c r="W797" s="170"/>
      <c r="X797" s="170"/>
      <c r="Y797" s="171"/>
      <c r="Z797" s="71"/>
      <c r="AA797" s="71"/>
      <c r="AB797" s="168"/>
      <c r="AC797" s="172"/>
      <c r="AD797" s="71"/>
      <c r="AE797" s="168"/>
      <c r="AF797" s="168"/>
      <c r="AG797" s="168"/>
      <c r="AH797" s="13"/>
      <c r="AI797" s="13"/>
    </row>
    <row r="798">
      <c r="A798" s="160"/>
      <c r="B798" s="160"/>
      <c r="C798" s="161" t="b">
        <v>0</v>
      </c>
      <c r="D798" s="161"/>
      <c r="E798" s="161"/>
      <c r="F798" s="162"/>
      <c r="G798" s="163"/>
      <c r="H798" s="164"/>
      <c r="I798" s="165"/>
      <c r="J798" s="161"/>
      <c r="K798" s="161"/>
      <c r="L798" s="166"/>
      <c r="M798" s="167"/>
      <c r="N798" s="168"/>
      <c r="O798" s="168"/>
      <c r="P798" s="168"/>
      <c r="Q798" s="169"/>
      <c r="R798" s="167"/>
      <c r="S798" s="142" t="b">
        <v>0</v>
      </c>
      <c r="T798" s="170"/>
      <c r="U798" s="170"/>
      <c r="V798" s="170"/>
      <c r="W798" s="170"/>
      <c r="X798" s="170"/>
      <c r="Y798" s="171"/>
      <c r="Z798" s="71"/>
      <c r="AA798" s="71"/>
      <c r="AB798" s="168"/>
      <c r="AC798" s="172"/>
      <c r="AD798" s="71"/>
      <c r="AE798" s="168"/>
      <c r="AF798" s="168"/>
      <c r="AG798" s="168"/>
      <c r="AH798" s="13"/>
      <c r="AI798" s="13"/>
    </row>
    <row r="799">
      <c r="A799" s="160"/>
      <c r="B799" s="160"/>
      <c r="C799" s="161" t="b">
        <v>0</v>
      </c>
      <c r="D799" s="161"/>
      <c r="E799" s="161"/>
      <c r="F799" s="162"/>
      <c r="G799" s="163"/>
      <c r="H799" s="164"/>
      <c r="I799" s="165"/>
      <c r="J799" s="161"/>
      <c r="K799" s="161"/>
      <c r="L799" s="166"/>
      <c r="M799" s="167"/>
      <c r="N799" s="168"/>
      <c r="O799" s="168"/>
      <c r="P799" s="168"/>
      <c r="Q799" s="169"/>
      <c r="R799" s="167"/>
      <c r="S799" s="142" t="b">
        <v>0</v>
      </c>
      <c r="T799" s="170"/>
      <c r="U799" s="170"/>
      <c r="V799" s="170"/>
      <c r="W799" s="170"/>
      <c r="X799" s="170"/>
      <c r="Y799" s="171"/>
      <c r="Z799" s="71"/>
      <c r="AA799" s="71"/>
      <c r="AB799" s="168"/>
      <c r="AC799" s="172"/>
      <c r="AD799" s="71"/>
      <c r="AE799" s="168"/>
      <c r="AF799" s="168"/>
      <c r="AG799" s="168"/>
      <c r="AH799" s="13"/>
      <c r="AI799" s="13"/>
    </row>
    <row r="800">
      <c r="A800" s="160"/>
      <c r="B800" s="160"/>
      <c r="C800" s="161" t="b">
        <v>0</v>
      </c>
      <c r="D800" s="161"/>
      <c r="E800" s="161"/>
      <c r="F800" s="162"/>
      <c r="G800" s="163"/>
      <c r="H800" s="164"/>
      <c r="I800" s="165"/>
      <c r="J800" s="161"/>
      <c r="K800" s="161"/>
      <c r="L800" s="166"/>
      <c r="M800" s="167"/>
      <c r="N800" s="168"/>
      <c r="O800" s="168"/>
      <c r="P800" s="168"/>
      <c r="Q800" s="169"/>
      <c r="R800" s="167"/>
      <c r="S800" s="142" t="b">
        <v>0</v>
      </c>
      <c r="T800" s="170"/>
      <c r="U800" s="170"/>
      <c r="V800" s="170"/>
      <c r="W800" s="170"/>
      <c r="X800" s="170"/>
      <c r="Y800" s="171"/>
      <c r="Z800" s="71"/>
      <c r="AA800" s="71"/>
      <c r="AB800" s="168"/>
      <c r="AC800" s="172"/>
      <c r="AD800" s="71"/>
      <c r="AE800" s="168"/>
      <c r="AF800" s="168"/>
      <c r="AG800" s="168"/>
      <c r="AH800" s="13"/>
      <c r="AI800" s="13"/>
    </row>
    <row r="801">
      <c r="A801" s="160"/>
      <c r="B801" s="160"/>
      <c r="C801" s="161" t="b">
        <v>0</v>
      </c>
      <c r="D801" s="161"/>
      <c r="E801" s="161"/>
      <c r="F801" s="162"/>
      <c r="G801" s="163"/>
      <c r="H801" s="164"/>
      <c r="I801" s="165"/>
      <c r="J801" s="161"/>
      <c r="K801" s="161"/>
      <c r="L801" s="166"/>
      <c r="M801" s="167"/>
      <c r="N801" s="168"/>
      <c r="O801" s="168"/>
      <c r="P801" s="168"/>
      <c r="Q801" s="169"/>
      <c r="R801" s="167"/>
      <c r="S801" s="142" t="b">
        <v>0</v>
      </c>
      <c r="T801" s="170"/>
      <c r="U801" s="170"/>
      <c r="V801" s="170"/>
      <c r="W801" s="170"/>
      <c r="X801" s="170"/>
      <c r="Y801" s="171"/>
      <c r="Z801" s="71"/>
      <c r="AA801" s="71"/>
      <c r="AB801" s="168"/>
      <c r="AC801" s="172"/>
      <c r="AD801" s="71"/>
      <c r="AE801" s="168"/>
      <c r="AF801" s="168"/>
      <c r="AG801" s="168"/>
      <c r="AH801" s="13"/>
      <c r="AI801" s="13"/>
    </row>
    <row r="802">
      <c r="A802" s="160"/>
      <c r="B802" s="160"/>
      <c r="C802" s="161" t="b">
        <v>0</v>
      </c>
      <c r="D802" s="161"/>
      <c r="E802" s="161"/>
      <c r="F802" s="162"/>
      <c r="G802" s="163"/>
      <c r="H802" s="164"/>
      <c r="I802" s="165"/>
      <c r="J802" s="161"/>
      <c r="K802" s="161"/>
      <c r="L802" s="166"/>
      <c r="M802" s="167"/>
      <c r="N802" s="168"/>
      <c r="O802" s="168"/>
      <c r="P802" s="168"/>
      <c r="Q802" s="169"/>
      <c r="R802" s="167"/>
      <c r="S802" s="142" t="b">
        <v>0</v>
      </c>
      <c r="T802" s="170"/>
      <c r="U802" s="170"/>
      <c r="V802" s="170"/>
      <c r="W802" s="170"/>
      <c r="X802" s="170"/>
      <c r="Y802" s="171"/>
      <c r="Z802" s="71"/>
      <c r="AA802" s="71"/>
      <c r="AB802" s="168"/>
      <c r="AC802" s="172"/>
      <c r="AD802" s="71"/>
      <c r="AE802" s="168"/>
      <c r="AF802" s="168"/>
      <c r="AG802" s="168"/>
      <c r="AH802" s="13"/>
      <c r="AI802" s="13"/>
    </row>
    <row r="803">
      <c r="A803" s="160"/>
      <c r="B803" s="160"/>
      <c r="C803" s="161" t="b">
        <v>0</v>
      </c>
      <c r="D803" s="161"/>
      <c r="E803" s="161"/>
      <c r="F803" s="162"/>
      <c r="G803" s="163"/>
      <c r="H803" s="164"/>
      <c r="I803" s="165"/>
      <c r="J803" s="161"/>
      <c r="K803" s="161"/>
      <c r="L803" s="166"/>
      <c r="M803" s="167"/>
      <c r="N803" s="168"/>
      <c r="O803" s="168"/>
      <c r="P803" s="168"/>
      <c r="Q803" s="169"/>
      <c r="R803" s="167"/>
      <c r="S803" s="142" t="b">
        <v>0</v>
      </c>
      <c r="T803" s="170"/>
      <c r="U803" s="170"/>
      <c r="V803" s="170"/>
      <c r="W803" s="170"/>
      <c r="X803" s="170"/>
      <c r="Y803" s="171"/>
      <c r="Z803" s="71"/>
      <c r="AA803" s="71"/>
      <c r="AB803" s="168"/>
      <c r="AC803" s="172"/>
      <c r="AD803" s="71"/>
      <c r="AE803" s="168"/>
      <c r="AF803" s="168"/>
      <c r="AG803" s="168"/>
      <c r="AH803" s="13"/>
      <c r="AI803" s="13"/>
    </row>
    <row r="804">
      <c r="A804" s="160"/>
      <c r="B804" s="160"/>
      <c r="C804" s="161" t="b">
        <v>0</v>
      </c>
      <c r="D804" s="161"/>
      <c r="E804" s="161"/>
      <c r="F804" s="162"/>
      <c r="G804" s="163"/>
      <c r="H804" s="164"/>
      <c r="I804" s="165"/>
      <c r="J804" s="161"/>
      <c r="K804" s="161"/>
      <c r="L804" s="166"/>
      <c r="M804" s="167"/>
      <c r="N804" s="168"/>
      <c r="O804" s="168"/>
      <c r="P804" s="168"/>
      <c r="Q804" s="169"/>
      <c r="R804" s="167"/>
      <c r="S804" s="142" t="b">
        <v>0</v>
      </c>
      <c r="T804" s="170"/>
      <c r="U804" s="170"/>
      <c r="V804" s="170"/>
      <c r="W804" s="170"/>
      <c r="X804" s="170"/>
      <c r="Y804" s="171"/>
      <c r="Z804" s="71"/>
      <c r="AA804" s="71"/>
      <c r="AB804" s="168"/>
      <c r="AC804" s="172"/>
      <c r="AD804" s="71"/>
      <c r="AE804" s="168"/>
      <c r="AF804" s="168"/>
      <c r="AG804" s="168"/>
      <c r="AH804" s="13"/>
      <c r="AI804" s="13"/>
    </row>
    <row r="805">
      <c r="A805" s="160"/>
      <c r="B805" s="160"/>
      <c r="C805" s="161" t="b">
        <v>0</v>
      </c>
      <c r="D805" s="161"/>
      <c r="E805" s="161"/>
      <c r="F805" s="162"/>
      <c r="G805" s="163"/>
      <c r="H805" s="164"/>
      <c r="I805" s="165"/>
      <c r="J805" s="161"/>
      <c r="K805" s="161"/>
      <c r="L805" s="166"/>
      <c r="M805" s="167"/>
      <c r="N805" s="168"/>
      <c r="O805" s="168"/>
      <c r="P805" s="168"/>
      <c r="Q805" s="169"/>
      <c r="R805" s="167"/>
      <c r="S805" s="142" t="b">
        <v>0</v>
      </c>
      <c r="T805" s="170"/>
      <c r="U805" s="170"/>
      <c r="V805" s="170"/>
      <c r="W805" s="170"/>
      <c r="X805" s="170"/>
      <c r="Y805" s="171"/>
      <c r="Z805" s="71"/>
      <c r="AA805" s="71"/>
      <c r="AB805" s="168"/>
      <c r="AC805" s="172"/>
      <c r="AD805" s="71"/>
      <c r="AE805" s="168"/>
      <c r="AF805" s="168"/>
      <c r="AG805" s="168"/>
      <c r="AH805" s="13"/>
      <c r="AI805" s="13"/>
    </row>
    <row r="806">
      <c r="A806" s="160"/>
      <c r="B806" s="160"/>
      <c r="C806" s="161" t="b">
        <v>0</v>
      </c>
      <c r="D806" s="161"/>
      <c r="E806" s="161"/>
      <c r="F806" s="162"/>
      <c r="G806" s="163"/>
      <c r="H806" s="164"/>
      <c r="I806" s="165"/>
      <c r="J806" s="161"/>
      <c r="K806" s="161"/>
      <c r="L806" s="166"/>
      <c r="M806" s="167"/>
      <c r="N806" s="168"/>
      <c r="O806" s="168"/>
      <c r="P806" s="168"/>
      <c r="Q806" s="169"/>
      <c r="R806" s="167"/>
      <c r="S806" s="142" t="b">
        <v>0</v>
      </c>
      <c r="T806" s="170"/>
      <c r="U806" s="170"/>
      <c r="V806" s="170"/>
      <c r="W806" s="170"/>
      <c r="X806" s="170"/>
      <c r="Y806" s="171"/>
      <c r="Z806" s="71"/>
      <c r="AA806" s="71"/>
      <c r="AB806" s="168"/>
      <c r="AC806" s="172"/>
      <c r="AD806" s="71"/>
      <c r="AE806" s="168"/>
      <c r="AF806" s="168"/>
      <c r="AG806" s="168"/>
      <c r="AH806" s="13"/>
      <c r="AI806" s="13"/>
    </row>
    <row r="807">
      <c r="A807" s="160"/>
      <c r="B807" s="160"/>
      <c r="C807" s="161" t="b">
        <v>0</v>
      </c>
      <c r="D807" s="161"/>
      <c r="E807" s="161"/>
      <c r="F807" s="162"/>
      <c r="G807" s="163"/>
      <c r="H807" s="164"/>
      <c r="I807" s="165"/>
      <c r="J807" s="161"/>
      <c r="K807" s="161"/>
      <c r="L807" s="166"/>
      <c r="M807" s="167"/>
      <c r="N807" s="168"/>
      <c r="O807" s="168"/>
      <c r="P807" s="168"/>
      <c r="Q807" s="169"/>
      <c r="R807" s="167"/>
      <c r="S807" s="142" t="b">
        <v>0</v>
      </c>
      <c r="T807" s="170"/>
      <c r="U807" s="170"/>
      <c r="V807" s="170"/>
      <c r="W807" s="170"/>
      <c r="X807" s="170"/>
      <c r="Y807" s="171"/>
      <c r="Z807" s="71"/>
      <c r="AA807" s="71"/>
      <c r="AB807" s="168"/>
      <c r="AC807" s="172"/>
      <c r="AD807" s="71"/>
      <c r="AE807" s="168"/>
      <c r="AF807" s="168"/>
      <c r="AG807" s="168"/>
      <c r="AH807" s="13"/>
      <c r="AI807" s="13"/>
    </row>
    <row r="808">
      <c r="A808" s="160"/>
      <c r="B808" s="160"/>
      <c r="C808" s="161" t="b">
        <v>0</v>
      </c>
      <c r="D808" s="161"/>
      <c r="E808" s="161"/>
      <c r="F808" s="162"/>
      <c r="G808" s="163"/>
      <c r="H808" s="164"/>
      <c r="I808" s="165"/>
      <c r="J808" s="161"/>
      <c r="K808" s="161"/>
      <c r="L808" s="166"/>
      <c r="M808" s="167"/>
      <c r="N808" s="168"/>
      <c r="O808" s="168"/>
      <c r="P808" s="168"/>
      <c r="Q808" s="169"/>
      <c r="R808" s="167"/>
      <c r="S808" s="142" t="b">
        <v>0</v>
      </c>
      <c r="T808" s="170"/>
      <c r="U808" s="170"/>
      <c r="V808" s="170"/>
      <c r="W808" s="170"/>
      <c r="X808" s="170"/>
      <c r="Y808" s="171"/>
      <c r="Z808" s="71"/>
      <c r="AA808" s="71"/>
      <c r="AB808" s="168"/>
      <c r="AC808" s="172"/>
      <c r="AD808" s="71"/>
      <c r="AE808" s="168"/>
      <c r="AF808" s="168"/>
      <c r="AG808" s="168"/>
      <c r="AH808" s="13"/>
      <c r="AI808" s="13"/>
    </row>
    <row r="809">
      <c r="A809" s="160"/>
      <c r="B809" s="160"/>
      <c r="C809" s="161" t="b">
        <v>0</v>
      </c>
      <c r="D809" s="161"/>
      <c r="E809" s="161"/>
      <c r="F809" s="162"/>
      <c r="G809" s="163"/>
      <c r="H809" s="164"/>
      <c r="I809" s="165"/>
      <c r="J809" s="161"/>
      <c r="K809" s="161"/>
      <c r="L809" s="166"/>
      <c r="M809" s="167"/>
      <c r="N809" s="168"/>
      <c r="O809" s="168"/>
      <c r="P809" s="168"/>
      <c r="Q809" s="169"/>
      <c r="R809" s="167"/>
      <c r="S809" s="142" t="b">
        <v>0</v>
      </c>
      <c r="T809" s="170"/>
      <c r="U809" s="170"/>
      <c r="V809" s="170"/>
      <c r="W809" s="170"/>
      <c r="X809" s="170"/>
      <c r="Y809" s="171"/>
      <c r="Z809" s="71"/>
      <c r="AA809" s="71"/>
      <c r="AB809" s="168"/>
      <c r="AC809" s="172"/>
      <c r="AD809" s="71"/>
      <c r="AE809" s="168"/>
      <c r="AF809" s="168"/>
      <c r="AG809" s="168"/>
      <c r="AH809" s="13"/>
      <c r="AI809" s="13"/>
    </row>
    <row r="810">
      <c r="A810" s="160"/>
      <c r="B810" s="160"/>
      <c r="C810" s="161" t="b">
        <v>0</v>
      </c>
      <c r="D810" s="161"/>
      <c r="E810" s="161"/>
      <c r="F810" s="162"/>
      <c r="G810" s="163"/>
      <c r="H810" s="164"/>
      <c r="I810" s="165"/>
      <c r="J810" s="161"/>
      <c r="K810" s="161"/>
      <c r="L810" s="166"/>
      <c r="M810" s="167"/>
      <c r="N810" s="168"/>
      <c r="O810" s="168"/>
      <c r="P810" s="168"/>
      <c r="Q810" s="169"/>
      <c r="R810" s="167"/>
      <c r="S810" s="142" t="b">
        <v>0</v>
      </c>
      <c r="T810" s="170"/>
      <c r="U810" s="170"/>
      <c r="V810" s="170"/>
      <c r="W810" s="170"/>
      <c r="X810" s="170"/>
      <c r="Y810" s="171"/>
      <c r="Z810" s="71"/>
      <c r="AA810" s="71"/>
      <c r="AB810" s="168"/>
      <c r="AC810" s="172"/>
      <c r="AD810" s="71"/>
      <c r="AE810" s="168"/>
      <c r="AF810" s="168"/>
      <c r="AG810" s="168"/>
      <c r="AH810" s="13"/>
      <c r="AI810" s="13"/>
    </row>
    <row r="811">
      <c r="A811" s="160"/>
      <c r="B811" s="160"/>
      <c r="C811" s="161" t="b">
        <v>0</v>
      </c>
      <c r="D811" s="161"/>
      <c r="E811" s="161"/>
      <c r="F811" s="162"/>
      <c r="G811" s="163"/>
      <c r="H811" s="164"/>
      <c r="I811" s="165"/>
      <c r="J811" s="161"/>
      <c r="K811" s="161"/>
      <c r="L811" s="166"/>
      <c r="M811" s="167"/>
      <c r="N811" s="168"/>
      <c r="O811" s="168"/>
      <c r="P811" s="168"/>
      <c r="Q811" s="169"/>
      <c r="R811" s="167"/>
      <c r="S811" s="142" t="b">
        <v>0</v>
      </c>
      <c r="T811" s="170"/>
      <c r="U811" s="170"/>
      <c r="V811" s="170"/>
      <c r="W811" s="170"/>
      <c r="X811" s="170"/>
      <c r="Y811" s="171"/>
      <c r="Z811" s="71"/>
      <c r="AA811" s="71"/>
      <c r="AB811" s="168"/>
      <c r="AC811" s="172"/>
      <c r="AD811" s="71"/>
      <c r="AE811" s="168"/>
      <c r="AF811" s="168"/>
      <c r="AG811" s="168"/>
      <c r="AH811" s="13"/>
      <c r="AI811" s="13"/>
    </row>
    <row r="812">
      <c r="A812" s="160"/>
      <c r="B812" s="160"/>
      <c r="C812" s="161" t="b">
        <v>0</v>
      </c>
      <c r="D812" s="161"/>
      <c r="E812" s="161"/>
      <c r="F812" s="162"/>
      <c r="G812" s="163"/>
      <c r="H812" s="164"/>
      <c r="I812" s="165"/>
      <c r="J812" s="161"/>
      <c r="K812" s="161"/>
      <c r="L812" s="166"/>
      <c r="M812" s="167"/>
      <c r="N812" s="168"/>
      <c r="O812" s="168"/>
      <c r="P812" s="168"/>
      <c r="Q812" s="169"/>
      <c r="R812" s="167"/>
      <c r="S812" s="142" t="b">
        <v>0</v>
      </c>
      <c r="T812" s="170"/>
      <c r="U812" s="170"/>
      <c r="V812" s="170"/>
      <c r="W812" s="170"/>
      <c r="X812" s="170"/>
      <c r="Y812" s="171"/>
      <c r="Z812" s="71"/>
      <c r="AA812" s="71"/>
      <c r="AB812" s="168"/>
      <c r="AC812" s="172"/>
      <c r="AD812" s="71"/>
      <c r="AE812" s="168"/>
      <c r="AF812" s="168"/>
      <c r="AG812" s="168"/>
      <c r="AH812" s="13"/>
      <c r="AI812" s="13"/>
    </row>
    <row r="813">
      <c r="A813" s="160"/>
      <c r="B813" s="160"/>
      <c r="C813" s="161" t="b">
        <v>0</v>
      </c>
      <c r="D813" s="161"/>
      <c r="E813" s="161"/>
      <c r="F813" s="162"/>
      <c r="G813" s="163"/>
      <c r="H813" s="164"/>
      <c r="I813" s="165"/>
      <c r="J813" s="161"/>
      <c r="K813" s="161"/>
      <c r="L813" s="166"/>
      <c r="M813" s="167"/>
      <c r="N813" s="168"/>
      <c r="O813" s="168"/>
      <c r="P813" s="168"/>
      <c r="Q813" s="169"/>
      <c r="R813" s="167"/>
      <c r="S813" s="142" t="b">
        <v>0</v>
      </c>
      <c r="T813" s="170"/>
      <c r="U813" s="170"/>
      <c r="V813" s="170"/>
      <c r="W813" s="170"/>
      <c r="X813" s="170"/>
      <c r="Y813" s="171"/>
      <c r="Z813" s="71"/>
      <c r="AA813" s="71"/>
      <c r="AB813" s="168"/>
      <c r="AC813" s="172"/>
      <c r="AD813" s="71"/>
      <c r="AE813" s="168"/>
      <c r="AF813" s="168"/>
      <c r="AG813" s="168"/>
      <c r="AH813" s="13"/>
      <c r="AI813" s="13"/>
    </row>
    <row r="814">
      <c r="A814" s="160"/>
      <c r="B814" s="160"/>
      <c r="C814" s="161" t="b">
        <v>0</v>
      </c>
      <c r="D814" s="161"/>
      <c r="E814" s="161"/>
      <c r="F814" s="162"/>
      <c r="G814" s="163"/>
      <c r="H814" s="164"/>
      <c r="I814" s="165"/>
      <c r="J814" s="161"/>
      <c r="K814" s="161"/>
      <c r="L814" s="166"/>
      <c r="M814" s="167"/>
      <c r="N814" s="168"/>
      <c r="O814" s="168"/>
      <c r="P814" s="168"/>
      <c r="Q814" s="169"/>
      <c r="R814" s="167"/>
      <c r="S814" s="142" t="b">
        <v>0</v>
      </c>
      <c r="T814" s="170"/>
      <c r="U814" s="170"/>
      <c r="V814" s="170"/>
      <c r="W814" s="170"/>
      <c r="X814" s="170"/>
      <c r="Y814" s="171"/>
      <c r="Z814" s="71"/>
      <c r="AA814" s="71"/>
      <c r="AB814" s="168"/>
      <c r="AC814" s="172"/>
      <c r="AD814" s="71"/>
      <c r="AE814" s="168"/>
      <c r="AF814" s="168"/>
      <c r="AG814" s="168"/>
      <c r="AH814" s="13"/>
      <c r="AI814" s="13"/>
    </row>
    <row r="815">
      <c r="A815" s="160"/>
      <c r="B815" s="160"/>
      <c r="C815" s="161" t="b">
        <v>0</v>
      </c>
      <c r="D815" s="161"/>
      <c r="E815" s="161"/>
      <c r="F815" s="162"/>
      <c r="G815" s="163"/>
      <c r="H815" s="164"/>
      <c r="I815" s="165"/>
      <c r="J815" s="161"/>
      <c r="K815" s="161"/>
      <c r="L815" s="166"/>
      <c r="M815" s="167"/>
      <c r="N815" s="168"/>
      <c r="O815" s="168"/>
      <c r="P815" s="168"/>
      <c r="Q815" s="169"/>
      <c r="R815" s="167"/>
      <c r="S815" s="142" t="b">
        <v>0</v>
      </c>
      <c r="T815" s="170"/>
      <c r="U815" s="170"/>
      <c r="V815" s="170"/>
      <c r="W815" s="170"/>
      <c r="X815" s="170"/>
      <c r="Y815" s="171"/>
      <c r="Z815" s="71"/>
      <c r="AA815" s="71"/>
      <c r="AB815" s="168"/>
      <c r="AC815" s="172"/>
      <c r="AD815" s="71"/>
      <c r="AE815" s="168"/>
      <c r="AF815" s="168"/>
      <c r="AG815" s="168"/>
      <c r="AH815" s="13"/>
      <c r="AI815" s="13"/>
    </row>
    <row r="816">
      <c r="A816" s="160"/>
      <c r="B816" s="160"/>
      <c r="C816" s="161" t="b">
        <v>0</v>
      </c>
      <c r="D816" s="161"/>
      <c r="E816" s="161"/>
      <c r="F816" s="162"/>
      <c r="G816" s="163"/>
      <c r="H816" s="164"/>
      <c r="I816" s="165"/>
      <c r="J816" s="161"/>
      <c r="K816" s="161"/>
      <c r="L816" s="166"/>
      <c r="M816" s="167"/>
      <c r="N816" s="168"/>
      <c r="O816" s="168"/>
      <c r="P816" s="168"/>
      <c r="Q816" s="169"/>
      <c r="R816" s="167"/>
      <c r="S816" s="142" t="b">
        <v>0</v>
      </c>
      <c r="T816" s="170"/>
      <c r="U816" s="170"/>
      <c r="V816" s="170"/>
      <c r="W816" s="170"/>
      <c r="X816" s="170"/>
      <c r="Y816" s="171"/>
      <c r="Z816" s="71"/>
      <c r="AA816" s="71"/>
      <c r="AB816" s="168"/>
      <c r="AC816" s="172"/>
      <c r="AD816" s="71"/>
      <c r="AE816" s="168"/>
      <c r="AF816" s="168"/>
      <c r="AG816" s="168"/>
      <c r="AH816" s="13"/>
      <c r="AI816" s="13"/>
    </row>
    <row r="817">
      <c r="A817" s="160"/>
      <c r="B817" s="160"/>
      <c r="C817" s="161" t="b">
        <v>0</v>
      </c>
      <c r="D817" s="161"/>
      <c r="E817" s="161"/>
      <c r="F817" s="162"/>
      <c r="G817" s="163"/>
      <c r="H817" s="164"/>
      <c r="I817" s="165"/>
      <c r="J817" s="161"/>
      <c r="K817" s="161"/>
      <c r="L817" s="166"/>
      <c r="M817" s="167"/>
      <c r="N817" s="168"/>
      <c r="O817" s="168"/>
      <c r="P817" s="168"/>
      <c r="Q817" s="169"/>
      <c r="R817" s="167"/>
      <c r="S817" s="142" t="b">
        <v>0</v>
      </c>
      <c r="T817" s="170"/>
      <c r="U817" s="170"/>
      <c r="V817" s="170"/>
      <c r="W817" s="170"/>
      <c r="X817" s="170"/>
      <c r="Y817" s="171"/>
      <c r="Z817" s="71"/>
      <c r="AA817" s="71"/>
      <c r="AB817" s="168"/>
      <c r="AC817" s="172"/>
      <c r="AD817" s="71"/>
      <c r="AE817" s="168"/>
      <c r="AF817" s="168"/>
      <c r="AG817" s="168"/>
      <c r="AH817" s="13"/>
      <c r="AI817" s="13"/>
    </row>
    <row r="818">
      <c r="A818" s="160"/>
      <c r="B818" s="160"/>
      <c r="C818" s="161" t="b">
        <v>0</v>
      </c>
      <c r="D818" s="161"/>
      <c r="E818" s="161"/>
      <c r="F818" s="162"/>
      <c r="G818" s="163"/>
      <c r="H818" s="164"/>
      <c r="I818" s="165"/>
      <c r="J818" s="161"/>
      <c r="K818" s="161"/>
      <c r="L818" s="166"/>
      <c r="M818" s="167"/>
      <c r="N818" s="168"/>
      <c r="O818" s="168"/>
      <c r="P818" s="168"/>
      <c r="Q818" s="169"/>
      <c r="R818" s="167"/>
      <c r="S818" s="142" t="b">
        <v>0</v>
      </c>
      <c r="T818" s="170"/>
      <c r="U818" s="170"/>
      <c r="V818" s="170"/>
      <c r="W818" s="170"/>
      <c r="X818" s="170"/>
      <c r="Y818" s="171"/>
      <c r="Z818" s="71"/>
      <c r="AA818" s="71"/>
      <c r="AB818" s="168"/>
      <c r="AC818" s="172"/>
      <c r="AD818" s="71"/>
      <c r="AE818" s="168"/>
      <c r="AF818" s="168"/>
      <c r="AG818" s="168"/>
      <c r="AH818" s="13"/>
      <c r="AI818" s="13"/>
    </row>
    <row r="819">
      <c r="A819" s="160"/>
      <c r="B819" s="160"/>
      <c r="C819" s="161" t="b">
        <v>0</v>
      </c>
      <c r="D819" s="161"/>
      <c r="E819" s="161"/>
      <c r="F819" s="162"/>
      <c r="G819" s="163"/>
      <c r="H819" s="164"/>
      <c r="I819" s="165"/>
      <c r="J819" s="161"/>
      <c r="K819" s="161"/>
      <c r="L819" s="166"/>
      <c r="M819" s="167"/>
      <c r="N819" s="168"/>
      <c r="O819" s="168"/>
      <c r="P819" s="168"/>
      <c r="Q819" s="169"/>
      <c r="R819" s="167"/>
      <c r="S819" s="142" t="b">
        <v>0</v>
      </c>
      <c r="T819" s="170"/>
      <c r="U819" s="170"/>
      <c r="V819" s="170"/>
      <c r="W819" s="170"/>
      <c r="X819" s="170"/>
      <c r="Y819" s="171"/>
      <c r="Z819" s="71"/>
      <c r="AA819" s="71"/>
      <c r="AB819" s="168"/>
      <c r="AC819" s="172"/>
      <c r="AD819" s="71"/>
      <c r="AE819" s="168"/>
      <c r="AF819" s="168"/>
      <c r="AG819" s="168"/>
      <c r="AH819" s="13"/>
      <c r="AI819" s="13"/>
    </row>
    <row r="820">
      <c r="A820" s="160"/>
      <c r="B820" s="160"/>
      <c r="C820" s="161" t="b">
        <v>0</v>
      </c>
      <c r="D820" s="161"/>
      <c r="E820" s="161"/>
      <c r="F820" s="162"/>
      <c r="G820" s="163"/>
      <c r="H820" s="164"/>
      <c r="I820" s="165"/>
      <c r="J820" s="161"/>
      <c r="K820" s="161"/>
      <c r="L820" s="166"/>
      <c r="M820" s="167"/>
      <c r="N820" s="168"/>
      <c r="O820" s="168"/>
      <c r="P820" s="168"/>
      <c r="Q820" s="169"/>
      <c r="R820" s="167"/>
      <c r="S820" s="142" t="b">
        <v>0</v>
      </c>
      <c r="T820" s="170"/>
      <c r="U820" s="170"/>
      <c r="V820" s="170"/>
      <c r="W820" s="170"/>
      <c r="X820" s="170"/>
      <c r="Y820" s="171"/>
      <c r="Z820" s="71"/>
      <c r="AA820" s="71"/>
      <c r="AB820" s="168"/>
      <c r="AC820" s="172"/>
      <c r="AD820" s="71"/>
      <c r="AE820" s="168"/>
      <c r="AF820" s="168"/>
      <c r="AG820" s="168"/>
      <c r="AH820" s="13"/>
      <c r="AI820" s="13"/>
    </row>
    <row r="821">
      <c r="A821" s="160"/>
      <c r="B821" s="160"/>
      <c r="C821" s="161" t="b">
        <v>0</v>
      </c>
      <c r="D821" s="161"/>
      <c r="E821" s="161"/>
      <c r="F821" s="162"/>
      <c r="G821" s="163"/>
      <c r="H821" s="164"/>
      <c r="I821" s="165"/>
      <c r="J821" s="161"/>
      <c r="K821" s="161"/>
      <c r="L821" s="166"/>
      <c r="M821" s="167"/>
      <c r="N821" s="168"/>
      <c r="O821" s="168"/>
      <c r="P821" s="168"/>
      <c r="Q821" s="169"/>
      <c r="R821" s="167"/>
      <c r="S821" s="142" t="b">
        <v>0</v>
      </c>
      <c r="T821" s="170"/>
      <c r="U821" s="170"/>
      <c r="V821" s="170"/>
      <c r="W821" s="170"/>
      <c r="X821" s="170"/>
      <c r="Y821" s="171"/>
      <c r="Z821" s="71"/>
      <c r="AA821" s="71"/>
      <c r="AB821" s="168"/>
      <c r="AC821" s="172"/>
      <c r="AD821" s="71"/>
      <c r="AE821" s="168"/>
      <c r="AF821" s="168"/>
      <c r="AG821" s="168"/>
      <c r="AH821" s="13"/>
      <c r="AI821" s="13"/>
    </row>
    <row r="822">
      <c r="A822" s="160"/>
      <c r="B822" s="160"/>
      <c r="C822" s="161" t="b">
        <v>0</v>
      </c>
      <c r="D822" s="161"/>
      <c r="E822" s="161"/>
      <c r="F822" s="162"/>
      <c r="G822" s="163"/>
      <c r="H822" s="164"/>
      <c r="I822" s="165"/>
      <c r="J822" s="161"/>
      <c r="K822" s="161"/>
      <c r="L822" s="166"/>
      <c r="M822" s="167"/>
      <c r="N822" s="168"/>
      <c r="O822" s="168"/>
      <c r="P822" s="168"/>
      <c r="Q822" s="169"/>
      <c r="R822" s="167"/>
      <c r="S822" s="142" t="b">
        <v>0</v>
      </c>
      <c r="T822" s="170"/>
      <c r="U822" s="170"/>
      <c r="V822" s="170"/>
      <c r="W822" s="170"/>
      <c r="X822" s="170"/>
      <c r="Y822" s="171"/>
      <c r="Z822" s="71"/>
      <c r="AA822" s="71"/>
      <c r="AB822" s="168"/>
      <c r="AC822" s="172"/>
      <c r="AD822" s="71"/>
      <c r="AE822" s="168"/>
      <c r="AF822" s="168"/>
      <c r="AG822" s="168"/>
      <c r="AH822" s="13"/>
      <c r="AI822" s="13"/>
    </row>
    <row r="823">
      <c r="A823" s="160"/>
      <c r="B823" s="160"/>
      <c r="C823" s="161" t="b">
        <v>0</v>
      </c>
      <c r="D823" s="161"/>
      <c r="E823" s="161"/>
      <c r="F823" s="162"/>
      <c r="G823" s="163"/>
      <c r="H823" s="164"/>
      <c r="I823" s="165"/>
      <c r="J823" s="161"/>
      <c r="K823" s="161"/>
      <c r="L823" s="166"/>
      <c r="M823" s="167"/>
      <c r="N823" s="168"/>
      <c r="O823" s="168"/>
      <c r="P823" s="168"/>
      <c r="Q823" s="169"/>
      <c r="R823" s="167"/>
      <c r="S823" s="142" t="b">
        <v>0</v>
      </c>
      <c r="T823" s="170"/>
      <c r="U823" s="170"/>
      <c r="V823" s="170"/>
      <c r="W823" s="170"/>
      <c r="X823" s="170"/>
      <c r="Y823" s="171"/>
      <c r="Z823" s="71"/>
      <c r="AA823" s="71"/>
      <c r="AB823" s="168"/>
      <c r="AC823" s="172"/>
      <c r="AD823" s="71"/>
      <c r="AE823" s="168"/>
      <c r="AF823" s="168"/>
      <c r="AG823" s="168"/>
      <c r="AH823" s="13"/>
      <c r="AI823" s="13"/>
    </row>
    <row r="824">
      <c r="A824" s="160"/>
      <c r="B824" s="160"/>
      <c r="C824" s="161" t="b">
        <v>0</v>
      </c>
      <c r="D824" s="161"/>
      <c r="E824" s="161"/>
      <c r="F824" s="162"/>
      <c r="G824" s="163"/>
      <c r="H824" s="164"/>
      <c r="I824" s="165"/>
      <c r="J824" s="161"/>
      <c r="K824" s="161"/>
      <c r="L824" s="166"/>
      <c r="M824" s="167"/>
      <c r="N824" s="168"/>
      <c r="O824" s="168"/>
      <c r="P824" s="168"/>
      <c r="Q824" s="169"/>
      <c r="R824" s="167"/>
      <c r="S824" s="142" t="b">
        <v>0</v>
      </c>
      <c r="T824" s="170"/>
      <c r="U824" s="170"/>
      <c r="V824" s="170"/>
      <c r="W824" s="170"/>
      <c r="X824" s="170"/>
      <c r="Y824" s="171"/>
      <c r="Z824" s="71"/>
      <c r="AA824" s="71"/>
      <c r="AB824" s="168"/>
      <c r="AC824" s="172"/>
      <c r="AD824" s="71"/>
      <c r="AE824" s="168"/>
      <c r="AF824" s="168"/>
      <c r="AG824" s="168"/>
      <c r="AH824" s="13"/>
      <c r="AI824" s="13"/>
    </row>
    <row r="825">
      <c r="A825" s="160"/>
      <c r="B825" s="160"/>
      <c r="C825" s="161" t="b">
        <v>0</v>
      </c>
      <c r="D825" s="161"/>
      <c r="E825" s="161"/>
      <c r="F825" s="162"/>
      <c r="G825" s="163"/>
      <c r="H825" s="164"/>
      <c r="I825" s="165"/>
      <c r="J825" s="161"/>
      <c r="K825" s="161"/>
      <c r="L825" s="166"/>
      <c r="M825" s="167"/>
      <c r="N825" s="168"/>
      <c r="O825" s="168"/>
      <c r="P825" s="168"/>
      <c r="Q825" s="169"/>
      <c r="R825" s="167"/>
      <c r="S825" s="142" t="b">
        <v>0</v>
      </c>
      <c r="T825" s="170"/>
      <c r="U825" s="170"/>
      <c r="V825" s="170"/>
      <c r="W825" s="170"/>
      <c r="X825" s="170"/>
      <c r="Y825" s="171"/>
      <c r="Z825" s="71"/>
      <c r="AA825" s="71"/>
      <c r="AB825" s="168"/>
      <c r="AC825" s="172"/>
      <c r="AD825" s="71"/>
      <c r="AE825" s="168"/>
      <c r="AF825" s="168"/>
      <c r="AG825" s="168"/>
      <c r="AH825" s="13"/>
      <c r="AI825" s="13"/>
    </row>
    <row r="826">
      <c r="A826" s="160"/>
      <c r="B826" s="160"/>
      <c r="C826" s="161" t="b">
        <v>0</v>
      </c>
      <c r="D826" s="161"/>
      <c r="E826" s="161"/>
      <c r="F826" s="162"/>
      <c r="G826" s="163"/>
      <c r="H826" s="164"/>
      <c r="I826" s="165"/>
      <c r="J826" s="161"/>
      <c r="K826" s="161"/>
      <c r="L826" s="166"/>
      <c r="M826" s="167"/>
      <c r="N826" s="168"/>
      <c r="O826" s="168"/>
      <c r="P826" s="168"/>
      <c r="Q826" s="169"/>
      <c r="R826" s="167"/>
      <c r="S826" s="142" t="b">
        <v>0</v>
      </c>
      <c r="T826" s="170"/>
      <c r="U826" s="170"/>
      <c r="V826" s="170"/>
      <c r="W826" s="170"/>
      <c r="X826" s="170"/>
      <c r="Y826" s="171"/>
      <c r="Z826" s="71"/>
      <c r="AA826" s="71"/>
      <c r="AB826" s="168"/>
      <c r="AC826" s="172"/>
      <c r="AD826" s="71"/>
      <c r="AE826" s="168"/>
      <c r="AF826" s="168"/>
      <c r="AG826" s="168"/>
      <c r="AH826" s="13"/>
      <c r="AI826" s="13"/>
    </row>
    <row r="827">
      <c r="A827" s="160"/>
      <c r="B827" s="160"/>
      <c r="C827" s="161" t="b">
        <v>0</v>
      </c>
      <c r="D827" s="161"/>
      <c r="E827" s="161"/>
      <c r="F827" s="162"/>
      <c r="G827" s="163"/>
      <c r="H827" s="164"/>
      <c r="I827" s="165"/>
      <c r="J827" s="161"/>
      <c r="K827" s="161"/>
      <c r="L827" s="166"/>
      <c r="M827" s="167"/>
      <c r="N827" s="168"/>
      <c r="O827" s="168"/>
      <c r="P827" s="168"/>
      <c r="Q827" s="169"/>
      <c r="R827" s="167"/>
      <c r="S827" s="142" t="b">
        <v>0</v>
      </c>
      <c r="T827" s="170"/>
      <c r="U827" s="170"/>
      <c r="V827" s="170"/>
      <c r="W827" s="170"/>
      <c r="X827" s="170"/>
      <c r="Y827" s="171"/>
      <c r="Z827" s="71"/>
      <c r="AA827" s="71"/>
      <c r="AB827" s="168"/>
      <c r="AC827" s="172"/>
      <c r="AD827" s="71"/>
      <c r="AE827" s="168"/>
      <c r="AF827" s="168"/>
      <c r="AG827" s="168"/>
      <c r="AH827" s="13"/>
      <c r="AI827" s="13"/>
    </row>
    <row r="828">
      <c r="A828" s="160"/>
      <c r="B828" s="160"/>
      <c r="C828" s="161" t="b">
        <v>0</v>
      </c>
      <c r="D828" s="161"/>
      <c r="E828" s="161"/>
      <c r="F828" s="162"/>
      <c r="G828" s="163"/>
      <c r="H828" s="164"/>
      <c r="I828" s="165"/>
      <c r="J828" s="161"/>
      <c r="K828" s="161"/>
      <c r="L828" s="166"/>
      <c r="M828" s="167"/>
      <c r="N828" s="168"/>
      <c r="O828" s="168"/>
      <c r="P828" s="168"/>
      <c r="Q828" s="169"/>
      <c r="R828" s="167"/>
      <c r="S828" s="142" t="b">
        <v>0</v>
      </c>
      <c r="T828" s="170"/>
      <c r="U828" s="170"/>
      <c r="V828" s="170"/>
      <c r="W828" s="170"/>
      <c r="X828" s="170"/>
      <c r="Y828" s="171"/>
      <c r="Z828" s="71"/>
      <c r="AA828" s="71"/>
      <c r="AB828" s="168"/>
      <c r="AC828" s="172"/>
      <c r="AD828" s="71"/>
      <c r="AE828" s="168"/>
      <c r="AF828" s="168"/>
      <c r="AG828" s="168"/>
      <c r="AH828" s="13"/>
      <c r="AI828" s="13"/>
    </row>
    <row r="829">
      <c r="A829" s="160"/>
      <c r="B829" s="160"/>
      <c r="C829" s="161" t="b">
        <v>0</v>
      </c>
      <c r="D829" s="161"/>
      <c r="E829" s="161"/>
      <c r="F829" s="162"/>
      <c r="G829" s="163"/>
      <c r="H829" s="164"/>
      <c r="I829" s="165"/>
      <c r="J829" s="161"/>
      <c r="K829" s="161"/>
      <c r="L829" s="166"/>
      <c r="M829" s="167"/>
      <c r="N829" s="168"/>
      <c r="O829" s="168"/>
      <c r="P829" s="168"/>
      <c r="Q829" s="169"/>
      <c r="R829" s="167"/>
      <c r="S829" s="142" t="b">
        <v>0</v>
      </c>
      <c r="T829" s="170"/>
      <c r="U829" s="170"/>
      <c r="V829" s="170"/>
      <c r="W829" s="170"/>
      <c r="X829" s="170"/>
      <c r="Y829" s="171"/>
      <c r="Z829" s="71"/>
      <c r="AA829" s="71"/>
      <c r="AB829" s="168"/>
      <c r="AC829" s="172"/>
      <c r="AD829" s="71"/>
      <c r="AE829" s="168"/>
      <c r="AF829" s="168"/>
      <c r="AG829" s="168"/>
      <c r="AH829" s="13"/>
      <c r="AI829" s="13"/>
    </row>
    <row r="830">
      <c r="A830" s="160"/>
      <c r="B830" s="160"/>
      <c r="C830" s="161" t="b">
        <v>0</v>
      </c>
      <c r="D830" s="161"/>
      <c r="E830" s="161"/>
      <c r="F830" s="162"/>
      <c r="G830" s="163"/>
      <c r="H830" s="164"/>
      <c r="I830" s="165"/>
      <c r="J830" s="161"/>
      <c r="K830" s="161"/>
      <c r="L830" s="166"/>
      <c r="M830" s="167"/>
      <c r="N830" s="168"/>
      <c r="O830" s="168"/>
      <c r="P830" s="168"/>
      <c r="Q830" s="169"/>
      <c r="R830" s="167"/>
      <c r="S830" s="142" t="b">
        <v>0</v>
      </c>
      <c r="T830" s="170"/>
      <c r="U830" s="170"/>
      <c r="V830" s="170"/>
      <c r="W830" s="170"/>
      <c r="X830" s="170"/>
      <c r="Y830" s="171"/>
      <c r="Z830" s="71"/>
      <c r="AA830" s="71"/>
      <c r="AB830" s="168"/>
      <c r="AC830" s="172"/>
      <c r="AD830" s="71"/>
      <c r="AE830" s="168"/>
      <c r="AF830" s="168"/>
      <c r="AG830" s="168"/>
      <c r="AH830" s="13"/>
      <c r="AI830" s="13"/>
    </row>
    <row r="831">
      <c r="A831" s="160"/>
      <c r="B831" s="160"/>
      <c r="C831" s="161" t="b">
        <v>0</v>
      </c>
      <c r="D831" s="161"/>
      <c r="E831" s="161"/>
      <c r="F831" s="162"/>
      <c r="G831" s="163"/>
      <c r="H831" s="164"/>
      <c r="I831" s="165"/>
      <c r="J831" s="161"/>
      <c r="K831" s="161"/>
      <c r="L831" s="166"/>
      <c r="M831" s="167"/>
      <c r="N831" s="168"/>
      <c r="O831" s="168"/>
      <c r="P831" s="168"/>
      <c r="Q831" s="169"/>
      <c r="R831" s="167"/>
      <c r="S831" s="142" t="b">
        <v>0</v>
      </c>
      <c r="T831" s="170"/>
      <c r="U831" s="170"/>
      <c r="V831" s="170"/>
      <c r="W831" s="170"/>
      <c r="X831" s="170"/>
      <c r="Y831" s="171"/>
      <c r="Z831" s="71"/>
      <c r="AA831" s="71"/>
      <c r="AB831" s="168"/>
      <c r="AC831" s="172"/>
      <c r="AD831" s="71"/>
      <c r="AE831" s="168"/>
      <c r="AF831" s="168"/>
      <c r="AG831" s="168"/>
      <c r="AH831" s="13"/>
      <c r="AI831" s="13"/>
    </row>
    <row r="832">
      <c r="A832" s="160"/>
      <c r="B832" s="160"/>
      <c r="C832" s="161" t="b">
        <v>0</v>
      </c>
      <c r="D832" s="161"/>
      <c r="E832" s="161"/>
      <c r="F832" s="162"/>
      <c r="G832" s="163"/>
      <c r="H832" s="164"/>
      <c r="I832" s="165"/>
      <c r="J832" s="161"/>
      <c r="K832" s="161"/>
      <c r="L832" s="166"/>
      <c r="M832" s="167"/>
      <c r="N832" s="168"/>
      <c r="O832" s="168"/>
      <c r="P832" s="168"/>
      <c r="Q832" s="169"/>
      <c r="R832" s="167"/>
      <c r="S832" s="142" t="b">
        <v>0</v>
      </c>
      <c r="T832" s="170"/>
      <c r="U832" s="170"/>
      <c r="V832" s="170"/>
      <c r="W832" s="170"/>
      <c r="X832" s="170"/>
      <c r="Y832" s="171"/>
      <c r="Z832" s="71"/>
      <c r="AA832" s="71"/>
      <c r="AB832" s="168"/>
      <c r="AC832" s="172"/>
      <c r="AD832" s="71"/>
      <c r="AE832" s="168"/>
      <c r="AF832" s="168"/>
      <c r="AG832" s="168"/>
      <c r="AH832" s="13"/>
      <c r="AI832" s="13"/>
    </row>
    <row r="833">
      <c r="A833" s="160"/>
      <c r="B833" s="160"/>
      <c r="C833" s="161" t="b">
        <v>0</v>
      </c>
      <c r="D833" s="161"/>
      <c r="E833" s="161"/>
      <c r="F833" s="162"/>
      <c r="G833" s="163"/>
      <c r="H833" s="164"/>
      <c r="I833" s="165"/>
      <c r="J833" s="161"/>
      <c r="K833" s="161"/>
      <c r="L833" s="166"/>
      <c r="M833" s="167"/>
      <c r="N833" s="168"/>
      <c r="O833" s="168"/>
      <c r="P833" s="168"/>
      <c r="Q833" s="169"/>
      <c r="R833" s="167"/>
      <c r="S833" s="142" t="b">
        <v>0</v>
      </c>
      <c r="T833" s="170"/>
      <c r="U833" s="170"/>
      <c r="V833" s="170"/>
      <c r="W833" s="170"/>
      <c r="X833" s="170"/>
      <c r="Y833" s="171"/>
      <c r="Z833" s="71"/>
      <c r="AA833" s="71"/>
      <c r="AB833" s="168"/>
      <c r="AC833" s="172"/>
      <c r="AD833" s="71"/>
      <c r="AE833" s="168"/>
      <c r="AF833" s="168"/>
      <c r="AG833" s="168"/>
      <c r="AH833" s="13"/>
      <c r="AI833" s="13"/>
    </row>
    <row r="834">
      <c r="A834" s="160"/>
      <c r="B834" s="160"/>
      <c r="C834" s="161" t="b">
        <v>0</v>
      </c>
      <c r="D834" s="161"/>
      <c r="E834" s="161"/>
      <c r="F834" s="162"/>
      <c r="G834" s="163"/>
      <c r="H834" s="164"/>
      <c r="I834" s="165"/>
      <c r="J834" s="161"/>
      <c r="K834" s="161"/>
      <c r="L834" s="166"/>
      <c r="M834" s="167"/>
      <c r="N834" s="168"/>
      <c r="O834" s="168"/>
      <c r="P834" s="168"/>
      <c r="Q834" s="169"/>
      <c r="R834" s="167"/>
      <c r="S834" s="142" t="b">
        <v>0</v>
      </c>
      <c r="T834" s="170"/>
      <c r="U834" s="170"/>
      <c r="V834" s="170"/>
      <c r="W834" s="170"/>
      <c r="X834" s="170"/>
      <c r="Y834" s="171"/>
      <c r="Z834" s="71"/>
      <c r="AA834" s="71"/>
      <c r="AB834" s="168"/>
      <c r="AC834" s="172"/>
      <c r="AD834" s="71"/>
      <c r="AE834" s="168"/>
      <c r="AF834" s="168"/>
      <c r="AG834" s="168"/>
      <c r="AH834" s="13"/>
      <c r="AI834" s="13"/>
    </row>
    <row r="835">
      <c r="A835" s="160"/>
      <c r="B835" s="160"/>
      <c r="C835" s="161" t="b">
        <v>0</v>
      </c>
      <c r="D835" s="161"/>
      <c r="E835" s="161"/>
      <c r="F835" s="162"/>
      <c r="G835" s="163"/>
      <c r="H835" s="164"/>
      <c r="I835" s="165"/>
      <c r="J835" s="161"/>
      <c r="K835" s="161"/>
      <c r="L835" s="166"/>
      <c r="M835" s="167"/>
      <c r="N835" s="168"/>
      <c r="O835" s="168"/>
      <c r="P835" s="168"/>
      <c r="Q835" s="169"/>
      <c r="R835" s="167"/>
      <c r="S835" s="142" t="b">
        <v>0</v>
      </c>
      <c r="T835" s="170"/>
      <c r="U835" s="170"/>
      <c r="V835" s="170"/>
      <c r="W835" s="170"/>
      <c r="X835" s="170"/>
      <c r="Y835" s="171"/>
      <c r="Z835" s="71"/>
      <c r="AA835" s="71"/>
      <c r="AB835" s="168"/>
      <c r="AC835" s="172"/>
      <c r="AD835" s="71"/>
      <c r="AE835" s="168"/>
      <c r="AF835" s="168"/>
      <c r="AG835" s="168"/>
      <c r="AH835" s="13"/>
      <c r="AI835" s="13"/>
    </row>
    <row r="836">
      <c r="A836" s="160"/>
      <c r="B836" s="160"/>
      <c r="C836" s="161" t="b">
        <v>0</v>
      </c>
      <c r="D836" s="161"/>
      <c r="E836" s="161"/>
      <c r="F836" s="162"/>
      <c r="G836" s="163"/>
      <c r="H836" s="164"/>
      <c r="I836" s="165"/>
      <c r="J836" s="161"/>
      <c r="K836" s="161"/>
      <c r="L836" s="166"/>
      <c r="M836" s="167"/>
      <c r="N836" s="168"/>
      <c r="O836" s="168"/>
      <c r="P836" s="168"/>
      <c r="Q836" s="169"/>
      <c r="R836" s="167"/>
      <c r="S836" s="142" t="b">
        <v>0</v>
      </c>
      <c r="T836" s="170"/>
      <c r="U836" s="170"/>
      <c r="V836" s="170"/>
      <c r="W836" s="170"/>
      <c r="X836" s="170"/>
      <c r="Y836" s="171"/>
      <c r="Z836" s="71"/>
      <c r="AA836" s="71"/>
      <c r="AB836" s="168"/>
      <c r="AC836" s="172"/>
      <c r="AD836" s="71"/>
      <c r="AE836" s="168"/>
      <c r="AF836" s="168"/>
      <c r="AG836" s="168"/>
      <c r="AH836" s="13"/>
      <c r="AI836" s="13"/>
    </row>
    <row r="837">
      <c r="A837" s="160"/>
      <c r="B837" s="160"/>
      <c r="C837" s="161" t="b">
        <v>0</v>
      </c>
      <c r="D837" s="161"/>
      <c r="E837" s="161"/>
      <c r="F837" s="162"/>
      <c r="G837" s="163"/>
      <c r="H837" s="164"/>
      <c r="I837" s="165"/>
      <c r="J837" s="161"/>
      <c r="K837" s="161"/>
      <c r="L837" s="166"/>
      <c r="M837" s="167"/>
      <c r="N837" s="168"/>
      <c r="O837" s="168"/>
      <c r="P837" s="168"/>
      <c r="Q837" s="169"/>
      <c r="R837" s="167"/>
      <c r="S837" s="142" t="b">
        <v>0</v>
      </c>
      <c r="T837" s="170"/>
      <c r="U837" s="170"/>
      <c r="V837" s="170"/>
      <c r="W837" s="170"/>
      <c r="X837" s="170"/>
      <c r="Y837" s="171"/>
      <c r="Z837" s="71"/>
      <c r="AA837" s="71"/>
      <c r="AB837" s="168"/>
      <c r="AC837" s="172"/>
      <c r="AD837" s="71"/>
      <c r="AE837" s="168"/>
      <c r="AF837" s="168"/>
      <c r="AG837" s="168"/>
      <c r="AH837" s="13"/>
      <c r="AI837" s="13"/>
    </row>
    <row r="838">
      <c r="A838" s="160"/>
      <c r="B838" s="160"/>
      <c r="C838" s="161" t="b">
        <v>0</v>
      </c>
      <c r="D838" s="161"/>
      <c r="E838" s="161"/>
      <c r="F838" s="162"/>
      <c r="G838" s="163"/>
      <c r="H838" s="164"/>
      <c r="I838" s="165"/>
      <c r="J838" s="161"/>
      <c r="K838" s="161"/>
      <c r="L838" s="166"/>
      <c r="M838" s="167"/>
      <c r="N838" s="168"/>
      <c r="O838" s="168"/>
      <c r="P838" s="168"/>
      <c r="Q838" s="169"/>
      <c r="R838" s="167"/>
      <c r="S838" s="142" t="b">
        <v>0</v>
      </c>
      <c r="T838" s="170"/>
      <c r="U838" s="170"/>
      <c r="V838" s="170"/>
      <c r="W838" s="170"/>
      <c r="X838" s="170"/>
      <c r="Y838" s="171"/>
      <c r="Z838" s="71"/>
      <c r="AA838" s="71"/>
      <c r="AB838" s="168"/>
      <c r="AC838" s="172"/>
      <c r="AD838" s="71"/>
      <c r="AE838" s="168"/>
      <c r="AF838" s="168"/>
      <c r="AG838" s="168"/>
      <c r="AH838" s="13"/>
      <c r="AI838" s="13"/>
    </row>
    <row r="839">
      <c r="A839" s="160"/>
      <c r="B839" s="160"/>
      <c r="C839" s="161" t="b">
        <v>0</v>
      </c>
      <c r="D839" s="161"/>
      <c r="E839" s="161"/>
      <c r="F839" s="162"/>
      <c r="G839" s="163"/>
      <c r="H839" s="164"/>
      <c r="I839" s="165"/>
      <c r="J839" s="161"/>
      <c r="K839" s="161"/>
      <c r="L839" s="166"/>
      <c r="M839" s="167"/>
      <c r="N839" s="168"/>
      <c r="O839" s="168"/>
      <c r="P839" s="168"/>
      <c r="Q839" s="169"/>
      <c r="R839" s="167"/>
      <c r="S839" s="142" t="b">
        <v>0</v>
      </c>
      <c r="T839" s="170"/>
      <c r="U839" s="170"/>
      <c r="V839" s="170"/>
      <c r="W839" s="170"/>
      <c r="X839" s="170"/>
      <c r="Y839" s="171"/>
      <c r="Z839" s="71"/>
      <c r="AA839" s="71"/>
      <c r="AB839" s="168"/>
      <c r="AC839" s="172"/>
      <c r="AD839" s="71"/>
      <c r="AE839" s="168"/>
      <c r="AF839" s="168"/>
      <c r="AG839" s="168"/>
      <c r="AH839" s="13"/>
      <c r="AI839" s="13"/>
    </row>
    <row r="840">
      <c r="A840" s="160"/>
      <c r="B840" s="160"/>
      <c r="C840" s="161" t="b">
        <v>0</v>
      </c>
      <c r="D840" s="161"/>
      <c r="E840" s="161"/>
      <c r="F840" s="162"/>
      <c r="G840" s="163"/>
      <c r="H840" s="164"/>
      <c r="I840" s="165"/>
      <c r="J840" s="161"/>
      <c r="K840" s="161"/>
      <c r="L840" s="166"/>
      <c r="M840" s="167"/>
      <c r="N840" s="168"/>
      <c r="O840" s="168"/>
      <c r="P840" s="168"/>
      <c r="Q840" s="169"/>
      <c r="R840" s="167"/>
      <c r="S840" s="142" t="b">
        <v>0</v>
      </c>
      <c r="T840" s="170"/>
      <c r="U840" s="170"/>
      <c r="V840" s="170"/>
      <c r="W840" s="170"/>
      <c r="X840" s="170"/>
      <c r="Y840" s="171"/>
      <c r="Z840" s="71"/>
      <c r="AA840" s="71"/>
      <c r="AB840" s="168"/>
      <c r="AC840" s="172"/>
      <c r="AD840" s="71"/>
      <c r="AE840" s="168"/>
      <c r="AF840" s="168"/>
      <c r="AG840" s="168"/>
      <c r="AH840" s="13"/>
      <c r="AI840" s="13"/>
    </row>
    <row r="841">
      <c r="A841" s="160"/>
      <c r="B841" s="160"/>
      <c r="C841" s="161" t="b">
        <v>0</v>
      </c>
      <c r="D841" s="161"/>
      <c r="E841" s="161"/>
      <c r="F841" s="162"/>
      <c r="G841" s="163"/>
      <c r="H841" s="164"/>
      <c r="I841" s="165"/>
      <c r="J841" s="161"/>
      <c r="K841" s="161"/>
      <c r="L841" s="166"/>
      <c r="M841" s="167"/>
      <c r="N841" s="168"/>
      <c r="O841" s="168"/>
      <c r="P841" s="168"/>
      <c r="Q841" s="169"/>
      <c r="R841" s="167"/>
      <c r="S841" s="142" t="b">
        <v>0</v>
      </c>
      <c r="T841" s="170"/>
      <c r="U841" s="170"/>
      <c r="V841" s="170"/>
      <c r="W841" s="170"/>
      <c r="X841" s="170"/>
      <c r="Y841" s="171"/>
      <c r="Z841" s="71"/>
      <c r="AA841" s="71"/>
      <c r="AB841" s="168"/>
      <c r="AC841" s="172"/>
      <c r="AD841" s="71"/>
      <c r="AE841" s="168"/>
      <c r="AF841" s="168"/>
      <c r="AG841" s="168"/>
      <c r="AH841" s="13"/>
      <c r="AI841" s="13"/>
    </row>
    <row r="842">
      <c r="A842" s="160"/>
      <c r="B842" s="160"/>
      <c r="C842" s="161" t="b">
        <v>0</v>
      </c>
      <c r="D842" s="161"/>
      <c r="E842" s="161"/>
      <c r="F842" s="162"/>
      <c r="G842" s="163"/>
      <c r="H842" s="164"/>
      <c r="I842" s="165"/>
      <c r="J842" s="161"/>
      <c r="K842" s="161"/>
      <c r="L842" s="166"/>
      <c r="M842" s="167"/>
      <c r="N842" s="168"/>
      <c r="O842" s="168"/>
      <c r="P842" s="168"/>
      <c r="Q842" s="169"/>
      <c r="R842" s="167"/>
      <c r="S842" s="142" t="b">
        <v>0</v>
      </c>
      <c r="T842" s="170"/>
      <c r="U842" s="170"/>
      <c r="V842" s="170"/>
      <c r="W842" s="170"/>
      <c r="X842" s="170"/>
      <c r="Y842" s="171"/>
      <c r="Z842" s="71"/>
      <c r="AA842" s="71"/>
      <c r="AB842" s="168"/>
      <c r="AC842" s="172"/>
      <c r="AD842" s="71"/>
      <c r="AE842" s="168"/>
      <c r="AF842" s="168"/>
      <c r="AG842" s="168"/>
      <c r="AH842" s="13"/>
      <c r="AI842" s="13"/>
    </row>
    <row r="843">
      <c r="A843" s="160"/>
      <c r="B843" s="160"/>
      <c r="C843" s="161" t="b">
        <v>0</v>
      </c>
      <c r="D843" s="161"/>
      <c r="E843" s="161"/>
      <c r="F843" s="162"/>
      <c r="G843" s="163"/>
      <c r="H843" s="164"/>
      <c r="I843" s="165"/>
      <c r="J843" s="161"/>
      <c r="K843" s="161"/>
      <c r="L843" s="166"/>
      <c r="M843" s="167"/>
      <c r="N843" s="168"/>
      <c r="O843" s="168"/>
      <c r="P843" s="168"/>
      <c r="Q843" s="169"/>
      <c r="R843" s="167"/>
      <c r="S843" s="142" t="b">
        <v>0</v>
      </c>
      <c r="T843" s="170"/>
      <c r="U843" s="170"/>
      <c r="V843" s="170"/>
      <c r="W843" s="170"/>
      <c r="X843" s="170"/>
      <c r="Y843" s="171"/>
      <c r="Z843" s="71"/>
      <c r="AA843" s="71"/>
      <c r="AB843" s="168"/>
      <c r="AC843" s="172"/>
      <c r="AD843" s="71"/>
      <c r="AE843" s="168"/>
      <c r="AF843" s="168"/>
      <c r="AG843" s="168"/>
      <c r="AH843" s="13"/>
      <c r="AI843" s="13"/>
    </row>
    <row r="844">
      <c r="A844" s="160"/>
      <c r="B844" s="160"/>
      <c r="C844" s="161" t="b">
        <v>0</v>
      </c>
      <c r="D844" s="161"/>
      <c r="E844" s="161"/>
      <c r="F844" s="162"/>
      <c r="G844" s="163"/>
      <c r="H844" s="164"/>
      <c r="I844" s="165"/>
      <c r="J844" s="161"/>
      <c r="K844" s="161"/>
      <c r="L844" s="166"/>
      <c r="M844" s="167"/>
      <c r="N844" s="168"/>
      <c r="O844" s="168"/>
      <c r="P844" s="168"/>
      <c r="Q844" s="169"/>
      <c r="R844" s="167"/>
      <c r="S844" s="142" t="b">
        <v>0</v>
      </c>
      <c r="T844" s="170"/>
      <c r="U844" s="170"/>
      <c r="V844" s="170"/>
      <c r="W844" s="170"/>
      <c r="X844" s="170"/>
      <c r="Y844" s="171"/>
      <c r="Z844" s="71"/>
      <c r="AA844" s="71"/>
      <c r="AB844" s="168"/>
      <c r="AC844" s="172"/>
      <c r="AD844" s="71"/>
      <c r="AE844" s="168"/>
      <c r="AF844" s="168"/>
      <c r="AG844" s="168"/>
      <c r="AH844" s="13"/>
      <c r="AI844" s="13"/>
    </row>
    <row r="845">
      <c r="A845" s="160"/>
      <c r="B845" s="160"/>
      <c r="C845" s="161" t="b">
        <v>0</v>
      </c>
      <c r="D845" s="161"/>
      <c r="E845" s="161"/>
      <c r="F845" s="162"/>
      <c r="G845" s="163"/>
      <c r="H845" s="164"/>
      <c r="I845" s="165"/>
      <c r="J845" s="161"/>
      <c r="K845" s="161"/>
      <c r="L845" s="166"/>
      <c r="M845" s="167"/>
      <c r="N845" s="168"/>
      <c r="O845" s="168"/>
      <c r="P845" s="168"/>
      <c r="Q845" s="169"/>
      <c r="R845" s="167"/>
      <c r="S845" s="142" t="b">
        <v>0</v>
      </c>
      <c r="T845" s="170"/>
      <c r="U845" s="170"/>
      <c r="V845" s="170"/>
      <c r="W845" s="170"/>
      <c r="X845" s="170"/>
      <c r="Y845" s="171"/>
      <c r="Z845" s="71"/>
      <c r="AA845" s="71"/>
      <c r="AB845" s="168"/>
      <c r="AC845" s="172"/>
      <c r="AD845" s="71"/>
      <c r="AE845" s="168"/>
      <c r="AF845" s="168"/>
      <c r="AG845" s="168"/>
      <c r="AH845" s="13"/>
      <c r="AI845" s="13"/>
    </row>
    <row r="846">
      <c r="A846" s="160"/>
      <c r="B846" s="160"/>
      <c r="C846" s="161" t="b">
        <v>0</v>
      </c>
      <c r="D846" s="161"/>
      <c r="E846" s="161"/>
      <c r="F846" s="162"/>
      <c r="G846" s="163"/>
      <c r="H846" s="164"/>
      <c r="I846" s="165"/>
      <c r="J846" s="161"/>
      <c r="K846" s="161"/>
      <c r="L846" s="166"/>
      <c r="M846" s="167"/>
      <c r="N846" s="168"/>
      <c r="O846" s="168"/>
      <c r="P846" s="168"/>
      <c r="Q846" s="169"/>
      <c r="R846" s="167"/>
      <c r="S846" s="142" t="b">
        <v>0</v>
      </c>
      <c r="T846" s="170"/>
      <c r="U846" s="170"/>
      <c r="V846" s="170"/>
      <c r="W846" s="170"/>
      <c r="X846" s="170"/>
      <c r="Y846" s="171"/>
      <c r="Z846" s="71"/>
      <c r="AA846" s="71"/>
      <c r="AB846" s="168"/>
      <c r="AC846" s="172"/>
      <c r="AD846" s="71"/>
      <c r="AE846" s="168"/>
      <c r="AF846" s="168"/>
      <c r="AG846" s="168"/>
      <c r="AH846" s="13"/>
      <c r="AI846" s="13"/>
    </row>
    <row r="847">
      <c r="A847" s="160"/>
      <c r="B847" s="160"/>
      <c r="C847" s="161" t="b">
        <v>0</v>
      </c>
      <c r="D847" s="161"/>
      <c r="E847" s="161"/>
      <c r="F847" s="162"/>
      <c r="G847" s="163"/>
      <c r="H847" s="164"/>
      <c r="I847" s="165"/>
      <c r="J847" s="161"/>
      <c r="K847" s="161"/>
      <c r="L847" s="166"/>
      <c r="M847" s="167"/>
      <c r="N847" s="168"/>
      <c r="O847" s="168"/>
      <c r="P847" s="168"/>
      <c r="Q847" s="169"/>
      <c r="R847" s="167"/>
      <c r="S847" s="142" t="b">
        <v>0</v>
      </c>
      <c r="T847" s="170"/>
      <c r="U847" s="170"/>
      <c r="V847" s="170"/>
      <c r="W847" s="170"/>
      <c r="X847" s="170"/>
      <c r="Y847" s="171"/>
      <c r="Z847" s="71"/>
      <c r="AA847" s="71"/>
      <c r="AB847" s="168"/>
      <c r="AC847" s="172"/>
      <c r="AD847" s="71"/>
      <c r="AE847" s="168"/>
      <c r="AF847" s="168"/>
      <c r="AG847" s="168"/>
      <c r="AH847" s="13"/>
      <c r="AI847" s="13"/>
    </row>
    <row r="848">
      <c r="A848" s="160"/>
      <c r="B848" s="160"/>
      <c r="C848" s="161" t="b">
        <v>0</v>
      </c>
      <c r="D848" s="161"/>
      <c r="E848" s="161"/>
      <c r="F848" s="162"/>
      <c r="G848" s="163"/>
      <c r="H848" s="164"/>
      <c r="I848" s="165"/>
      <c r="J848" s="161"/>
      <c r="K848" s="161"/>
      <c r="L848" s="166"/>
      <c r="M848" s="167"/>
      <c r="N848" s="168"/>
      <c r="O848" s="168"/>
      <c r="P848" s="168"/>
      <c r="Q848" s="169"/>
      <c r="R848" s="167"/>
      <c r="S848" s="142" t="b">
        <v>0</v>
      </c>
      <c r="T848" s="170"/>
      <c r="U848" s="170"/>
      <c r="V848" s="170"/>
      <c r="W848" s="170"/>
      <c r="X848" s="170"/>
      <c r="Y848" s="171"/>
      <c r="Z848" s="71"/>
      <c r="AA848" s="71"/>
      <c r="AB848" s="168"/>
      <c r="AC848" s="172"/>
      <c r="AD848" s="71"/>
      <c r="AE848" s="168"/>
      <c r="AF848" s="168"/>
      <c r="AG848" s="168"/>
      <c r="AH848" s="13"/>
      <c r="AI848" s="13"/>
    </row>
    <row r="849">
      <c r="A849" s="160"/>
      <c r="B849" s="160"/>
      <c r="C849" s="161" t="b">
        <v>0</v>
      </c>
      <c r="D849" s="161"/>
      <c r="E849" s="161"/>
      <c r="F849" s="162"/>
      <c r="G849" s="163"/>
      <c r="H849" s="164"/>
      <c r="I849" s="165"/>
      <c r="J849" s="161"/>
      <c r="K849" s="161"/>
      <c r="L849" s="166"/>
      <c r="M849" s="167"/>
      <c r="N849" s="168"/>
      <c r="O849" s="168"/>
      <c r="P849" s="168"/>
      <c r="Q849" s="169"/>
      <c r="R849" s="167"/>
      <c r="S849" s="142" t="b">
        <v>0</v>
      </c>
      <c r="T849" s="170"/>
      <c r="U849" s="170"/>
      <c r="V849" s="170"/>
      <c r="W849" s="170"/>
      <c r="X849" s="170"/>
      <c r="Y849" s="171"/>
      <c r="Z849" s="71"/>
      <c r="AA849" s="71"/>
      <c r="AB849" s="168"/>
      <c r="AC849" s="172"/>
      <c r="AD849" s="71"/>
      <c r="AE849" s="168"/>
      <c r="AF849" s="168"/>
      <c r="AG849" s="168"/>
      <c r="AH849" s="13"/>
      <c r="AI849" s="13"/>
    </row>
    <row r="850">
      <c r="A850" s="160"/>
      <c r="B850" s="160"/>
      <c r="C850" s="161" t="b">
        <v>0</v>
      </c>
      <c r="D850" s="161"/>
      <c r="E850" s="161"/>
      <c r="F850" s="162"/>
      <c r="G850" s="163"/>
      <c r="H850" s="164"/>
      <c r="I850" s="165"/>
      <c r="J850" s="161"/>
      <c r="K850" s="161"/>
      <c r="L850" s="166"/>
      <c r="M850" s="167"/>
      <c r="N850" s="168"/>
      <c r="O850" s="168"/>
      <c r="P850" s="168"/>
      <c r="Q850" s="169"/>
      <c r="R850" s="167"/>
      <c r="S850" s="142" t="b">
        <v>0</v>
      </c>
      <c r="T850" s="170"/>
      <c r="U850" s="170"/>
      <c r="V850" s="170"/>
      <c r="W850" s="170"/>
      <c r="X850" s="170"/>
      <c r="Y850" s="171"/>
      <c r="Z850" s="71"/>
      <c r="AA850" s="71"/>
      <c r="AB850" s="168"/>
      <c r="AC850" s="172"/>
      <c r="AD850" s="71"/>
      <c r="AE850" s="168"/>
      <c r="AF850" s="168"/>
      <c r="AG850" s="168"/>
      <c r="AH850" s="13"/>
      <c r="AI850" s="13"/>
    </row>
    <row r="851">
      <c r="A851" s="160"/>
      <c r="B851" s="160"/>
      <c r="C851" s="161" t="b">
        <v>0</v>
      </c>
      <c r="D851" s="161"/>
      <c r="E851" s="161"/>
      <c r="F851" s="162"/>
      <c r="G851" s="163"/>
      <c r="H851" s="164"/>
      <c r="I851" s="165"/>
      <c r="J851" s="161"/>
      <c r="K851" s="161"/>
      <c r="L851" s="166"/>
      <c r="M851" s="167"/>
      <c r="N851" s="168"/>
      <c r="O851" s="168"/>
      <c r="P851" s="168"/>
      <c r="Q851" s="169"/>
      <c r="R851" s="167"/>
      <c r="S851" s="142" t="b">
        <v>0</v>
      </c>
      <c r="T851" s="170"/>
      <c r="U851" s="170"/>
      <c r="V851" s="170"/>
      <c r="W851" s="170"/>
      <c r="X851" s="170"/>
      <c r="Y851" s="171"/>
      <c r="Z851" s="71"/>
      <c r="AA851" s="71"/>
      <c r="AB851" s="168"/>
      <c r="AC851" s="172"/>
      <c r="AD851" s="71"/>
      <c r="AE851" s="168"/>
      <c r="AF851" s="168"/>
      <c r="AG851" s="168"/>
      <c r="AH851" s="13"/>
      <c r="AI851" s="13"/>
    </row>
    <row r="852">
      <c r="A852" s="160"/>
      <c r="B852" s="160"/>
      <c r="C852" s="161" t="b">
        <v>0</v>
      </c>
      <c r="D852" s="161"/>
      <c r="E852" s="161"/>
      <c r="F852" s="162"/>
      <c r="G852" s="163"/>
      <c r="H852" s="164"/>
      <c r="I852" s="165"/>
      <c r="J852" s="161"/>
      <c r="K852" s="161"/>
      <c r="L852" s="166"/>
      <c r="M852" s="167"/>
      <c r="N852" s="168"/>
      <c r="O852" s="168"/>
      <c r="P852" s="168"/>
      <c r="Q852" s="169"/>
      <c r="R852" s="167"/>
      <c r="S852" s="142" t="b">
        <v>0</v>
      </c>
      <c r="T852" s="170"/>
      <c r="U852" s="170"/>
      <c r="V852" s="170"/>
      <c r="W852" s="170"/>
      <c r="X852" s="170"/>
      <c r="Y852" s="171"/>
      <c r="Z852" s="71"/>
      <c r="AA852" s="71"/>
      <c r="AB852" s="168"/>
      <c r="AC852" s="172"/>
      <c r="AD852" s="71"/>
      <c r="AE852" s="168"/>
      <c r="AF852" s="168"/>
      <c r="AG852" s="168"/>
      <c r="AH852" s="13"/>
      <c r="AI852" s="13"/>
    </row>
    <row r="853">
      <c r="A853" s="160"/>
      <c r="B853" s="160"/>
      <c r="C853" s="161" t="b">
        <v>0</v>
      </c>
      <c r="D853" s="161"/>
      <c r="E853" s="161"/>
      <c r="F853" s="162"/>
      <c r="G853" s="163"/>
      <c r="H853" s="164"/>
      <c r="I853" s="165"/>
      <c r="J853" s="161"/>
      <c r="K853" s="161"/>
      <c r="L853" s="166"/>
      <c r="M853" s="167"/>
      <c r="N853" s="168"/>
      <c r="O853" s="168"/>
      <c r="P853" s="168"/>
      <c r="Q853" s="169"/>
      <c r="R853" s="167"/>
      <c r="S853" s="142" t="b">
        <v>0</v>
      </c>
      <c r="T853" s="170"/>
      <c r="U853" s="170"/>
      <c r="V853" s="170"/>
      <c r="W853" s="170"/>
      <c r="X853" s="170"/>
      <c r="Y853" s="171"/>
      <c r="Z853" s="71"/>
      <c r="AA853" s="71"/>
      <c r="AB853" s="168"/>
      <c r="AC853" s="172"/>
      <c r="AD853" s="71"/>
      <c r="AE853" s="168"/>
      <c r="AF853" s="168"/>
      <c r="AG853" s="168"/>
      <c r="AH853" s="13"/>
      <c r="AI853" s="13"/>
    </row>
    <row r="854">
      <c r="A854" s="160"/>
      <c r="B854" s="160"/>
      <c r="C854" s="161" t="b">
        <v>0</v>
      </c>
      <c r="D854" s="161"/>
      <c r="E854" s="161"/>
      <c r="F854" s="162"/>
      <c r="G854" s="163"/>
      <c r="H854" s="164"/>
      <c r="I854" s="165"/>
      <c r="J854" s="161"/>
      <c r="K854" s="161"/>
      <c r="L854" s="166"/>
      <c r="M854" s="167"/>
      <c r="N854" s="168"/>
      <c r="O854" s="168"/>
      <c r="P854" s="168"/>
      <c r="Q854" s="169"/>
      <c r="R854" s="167"/>
      <c r="S854" s="142" t="b">
        <v>0</v>
      </c>
      <c r="T854" s="170"/>
      <c r="U854" s="170"/>
      <c r="V854" s="170"/>
      <c r="W854" s="170"/>
      <c r="X854" s="170"/>
      <c r="Y854" s="171"/>
      <c r="Z854" s="71"/>
      <c r="AA854" s="71"/>
      <c r="AB854" s="168"/>
      <c r="AC854" s="172"/>
      <c r="AD854" s="71"/>
      <c r="AE854" s="168"/>
      <c r="AF854" s="168"/>
      <c r="AG854" s="168"/>
      <c r="AH854" s="13"/>
      <c r="AI854" s="13"/>
    </row>
    <row r="855">
      <c r="A855" s="160"/>
      <c r="B855" s="160"/>
      <c r="C855" s="161" t="b">
        <v>0</v>
      </c>
      <c r="D855" s="161"/>
      <c r="E855" s="161"/>
      <c r="F855" s="162"/>
      <c r="G855" s="163"/>
      <c r="H855" s="164"/>
      <c r="I855" s="165"/>
      <c r="J855" s="161"/>
      <c r="K855" s="161"/>
      <c r="L855" s="166"/>
      <c r="M855" s="167"/>
      <c r="N855" s="168"/>
      <c r="O855" s="168"/>
      <c r="P855" s="168"/>
      <c r="Q855" s="169"/>
      <c r="R855" s="167"/>
      <c r="S855" s="142" t="b">
        <v>0</v>
      </c>
      <c r="T855" s="170"/>
      <c r="U855" s="170"/>
      <c r="V855" s="170"/>
      <c r="W855" s="170"/>
      <c r="X855" s="170"/>
      <c r="Y855" s="171"/>
      <c r="Z855" s="71"/>
      <c r="AA855" s="71"/>
      <c r="AB855" s="168"/>
      <c r="AC855" s="172"/>
      <c r="AD855" s="71"/>
      <c r="AE855" s="168"/>
      <c r="AF855" s="168"/>
      <c r="AG855" s="168"/>
      <c r="AH855" s="13"/>
      <c r="AI855" s="13"/>
    </row>
    <row r="856">
      <c r="A856" s="160"/>
      <c r="B856" s="160"/>
      <c r="C856" s="161" t="b">
        <v>0</v>
      </c>
      <c r="D856" s="161"/>
      <c r="E856" s="161"/>
      <c r="F856" s="162"/>
      <c r="G856" s="163"/>
      <c r="H856" s="164"/>
      <c r="I856" s="165"/>
      <c r="J856" s="161"/>
      <c r="K856" s="161"/>
      <c r="L856" s="166"/>
      <c r="M856" s="167"/>
      <c r="N856" s="168"/>
      <c r="O856" s="168"/>
      <c r="P856" s="168"/>
      <c r="Q856" s="169"/>
      <c r="R856" s="167"/>
      <c r="S856" s="142" t="b">
        <v>0</v>
      </c>
      <c r="T856" s="170"/>
      <c r="U856" s="170"/>
      <c r="V856" s="170"/>
      <c r="W856" s="170"/>
      <c r="X856" s="170"/>
      <c r="Y856" s="171"/>
      <c r="Z856" s="71"/>
      <c r="AA856" s="71"/>
      <c r="AB856" s="168"/>
      <c r="AC856" s="172"/>
      <c r="AD856" s="71"/>
      <c r="AE856" s="168"/>
      <c r="AF856" s="168"/>
      <c r="AG856" s="168"/>
      <c r="AH856" s="13"/>
      <c r="AI856" s="13"/>
    </row>
    <row r="857">
      <c r="A857" s="160"/>
      <c r="B857" s="160"/>
      <c r="C857" s="161" t="b">
        <v>0</v>
      </c>
      <c r="D857" s="161"/>
      <c r="E857" s="161"/>
      <c r="F857" s="162"/>
      <c r="G857" s="163"/>
      <c r="H857" s="164"/>
      <c r="I857" s="165"/>
      <c r="J857" s="161"/>
      <c r="K857" s="161"/>
      <c r="L857" s="166"/>
      <c r="M857" s="167"/>
      <c r="N857" s="168"/>
      <c r="O857" s="168"/>
      <c r="P857" s="168"/>
      <c r="Q857" s="169"/>
      <c r="R857" s="167"/>
      <c r="S857" s="142" t="b">
        <v>0</v>
      </c>
      <c r="T857" s="170"/>
      <c r="U857" s="170"/>
      <c r="V857" s="170"/>
      <c r="W857" s="170"/>
      <c r="X857" s="170"/>
      <c r="Y857" s="171"/>
      <c r="Z857" s="71"/>
      <c r="AA857" s="71"/>
      <c r="AB857" s="168"/>
      <c r="AC857" s="172"/>
      <c r="AD857" s="71"/>
      <c r="AE857" s="168"/>
      <c r="AF857" s="168"/>
      <c r="AG857" s="168"/>
      <c r="AH857" s="13"/>
      <c r="AI857" s="13"/>
    </row>
    <row r="858">
      <c r="A858" s="160"/>
      <c r="B858" s="160"/>
      <c r="C858" s="161" t="b">
        <v>0</v>
      </c>
      <c r="D858" s="161"/>
      <c r="E858" s="161"/>
      <c r="F858" s="162"/>
      <c r="G858" s="163"/>
      <c r="H858" s="164"/>
      <c r="I858" s="165"/>
      <c r="J858" s="161"/>
      <c r="K858" s="161"/>
      <c r="L858" s="166"/>
      <c r="M858" s="167"/>
      <c r="N858" s="168"/>
      <c r="O858" s="168"/>
      <c r="P858" s="168"/>
      <c r="Q858" s="169"/>
      <c r="R858" s="167"/>
      <c r="S858" s="142" t="b">
        <v>0</v>
      </c>
      <c r="T858" s="170"/>
      <c r="U858" s="170"/>
      <c r="V858" s="170"/>
      <c r="W858" s="170"/>
      <c r="X858" s="170"/>
      <c r="Y858" s="171"/>
      <c r="Z858" s="71"/>
      <c r="AA858" s="71"/>
      <c r="AB858" s="168"/>
      <c r="AC858" s="172"/>
      <c r="AD858" s="71"/>
      <c r="AE858" s="168"/>
      <c r="AF858" s="168"/>
      <c r="AG858" s="168"/>
      <c r="AH858" s="13"/>
      <c r="AI858" s="13"/>
    </row>
    <row r="859">
      <c r="A859" s="160"/>
      <c r="B859" s="160"/>
      <c r="C859" s="161" t="b">
        <v>0</v>
      </c>
      <c r="D859" s="161"/>
      <c r="E859" s="161"/>
      <c r="F859" s="162"/>
      <c r="G859" s="163"/>
      <c r="H859" s="164"/>
      <c r="I859" s="165"/>
      <c r="J859" s="161"/>
      <c r="K859" s="161"/>
      <c r="L859" s="166"/>
      <c r="M859" s="167"/>
      <c r="N859" s="168"/>
      <c r="O859" s="168"/>
      <c r="P859" s="168"/>
      <c r="Q859" s="169"/>
      <c r="R859" s="167"/>
      <c r="S859" s="142" t="b">
        <v>0</v>
      </c>
      <c r="T859" s="170"/>
      <c r="U859" s="170"/>
      <c r="V859" s="170"/>
      <c r="W859" s="170"/>
      <c r="X859" s="170"/>
      <c r="Y859" s="171"/>
      <c r="Z859" s="71"/>
      <c r="AA859" s="71"/>
      <c r="AB859" s="168"/>
      <c r="AC859" s="172"/>
      <c r="AD859" s="71"/>
      <c r="AE859" s="168"/>
      <c r="AF859" s="168"/>
      <c r="AG859" s="168"/>
      <c r="AH859" s="13"/>
      <c r="AI859" s="13"/>
    </row>
    <row r="860">
      <c r="A860" s="160"/>
      <c r="B860" s="160"/>
      <c r="C860" s="161" t="b">
        <v>0</v>
      </c>
      <c r="D860" s="161"/>
      <c r="E860" s="161"/>
      <c r="F860" s="162"/>
      <c r="G860" s="163"/>
      <c r="H860" s="164"/>
      <c r="I860" s="165"/>
      <c r="J860" s="161"/>
      <c r="K860" s="161"/>
      <c r="L860" s="166"/>
      <c r="M860" s="167"/>
      <c r="N860" s="168"/>
      <c r="O860" s="168"/>
      <c r="P860" s="168"/>
      <c r="Q860" s="169"/>
      <c r="R860" s="167"/>
      <c r="S860" s="142" t="b">
        <v>0</v>
      </c>
      <c r="T860" s="170"/>
      <c r="U860" s="170"/>
      <c r="V860" s="170"/>
      <c r="W860" s="170"/>
      <c r="X860" s="170"/>
      <c r="Y860" s="171"/>
      <c r="Z860" s="71"/>
      <c r="AA860" s="71"/>
      <c r="AB860" s="168"/>
      <c r="AC860" s="172"/>
      <c r="AD860" s="71"/>
      <c r="AE860" s="168"/>
      <c r="AF860" s="168"/>
      <c r="AG860" s="168"/>
      <c r="AH860" s="13"/>
      <c r="AI860" s="13"/>
    </row>
    <row r="861">
      <c r="A861" s="160"/>
      <c r="B861" s="160"/>
      <c r="C861" s="161" t="b">
        <v>0</v>
      </c>
      <c r="D861" s="161"/>
      <c r="E861" s="161"/>
      <c r="F861" s="162"/>
      <c r="G861" s="163"/>
      <c r="H861" s="164"/>
      <c r="I861" s="165"/>
      <c r="J861" s="161"/>
      <c r="K861" s="161"/>
      <c r="L861" s="166"/>
      <c r="M861" s="167"/>
      <c r="N861" s="168"/>
      <c r="O861" s="168"/>
      <c r="P861" s="168"/>
      <c r="Q861" s="169"/>
      <c r="R861" s="167"/>
      <c r="S861" s="142" t="b">
        <v>0</v>
      </c>
      <c r="T861" s="170"/>
      <c r="U861" s="170"/>
      <c r="V861" s="170"/>
      <c r="W861" s="170"/>
      <c r="X861" s="170"/>
      <c r="Y861" s="171"/>
      <c r="Z861" s="71"/>
      <c r="AA861" s="71"/>
      <c r="AB861" s="168"/>
      <c r="AC861" s="172"/>
      <c r="AD861" s="71"/>
      <c r="AE861" s="168"/>
      <c r="AF861" s="168"/>
      <c r="AG861" s="168"/>
      <c r="AH861" s="13"/>
      <c r="AI861" s="13"/>
    </row>
    <row r="862">
      <c r="A862" s="160"/>
      <c r="B862" s="160"/>
      <c r="C862" s="161" t="b">
        <v>0</v>
      </c>
      <c r="D862" s="161"/>
      <c r="E862" s="161"/>
      <c r="F862" s="162"/>
      <c r="G862" s="163"/>
      <c r="H862" s="164"/>
      <c r="I862" s="165"/>
      <c r="J862" s="161"/>
      <c r="K862" s="161"/>
      <c r="L862" s="166"/>
      <c r="M862" s="167"/>
      <c r="N862" s="168"/>
      <c r="O862" s="168"/>
      <c r="P862" s="168"/>
      <c r="Q862" s="169"/>
      <c r="R862" s="167"/>
      <c r="S862" s="142" t="b">
        <v>0</v>
      </c>
      <c r="T862" s="170"/>
      <c r="U862" s="170"/>
      <c r="V862" s="170"/>
      <c r="W862" s="170"/>
      <c r="X862" s="170"/>
      <c r="Y862" s="171"/>
      <c r="Z862" s="71"/>
      <c r="AA862" s="71"/>
      <c r="AB862" s="168"/>
      <c r="AC862" s="172"/>
      <c r="AD862" s="71"/>
      <c r="AE862" s="168"/>
      <c r="AF862" s="168"/>
      <c r="AG862" s="168"/>
      <c r="AH862" s="13"/>
      <c r="AI862" s="13"/>
    </row>
    <row r="863">
      <c r="A863" s="160"/>
      <c r="B863" s="160"/>
      <c r="C863" s="161" t="b">
        <v>0</v>
      </c>
      <c r="D863" s="161"/>
      <c r="E863" s="161"/>
      <c r="F863" s="162"/>
      <c r="G863" s="163"/>
      <c r="H863" s="164"/>
      <c r="I863" s="165"/>
      <c r="J863" s="161"/>
      <c r="K863" s="161"/>
      <c r="L863" s="166"/>
      <c r="M863" s="167"/>
      <c r="N863" s="168"/>
      <c r="O863" s="168"/>
      <c r="P863" s="168"/>
      <c r="Q863" s="169"/>
      <c r="R863" s="167"/>
      <c r="S863" s="142" t="b">
        <v>0</v>
      </c>
      <c r="T863" s="170"/>
      <c r="U863" s="170"/>
      <c r="V863" s="170"/>
      <c r="W863" s="170"/>
      <c r="X863" s="170"/>
      <c r="Y863" s="171"/>
      <c r="Z863" s="71"/>
      <c r="AA863" s="71"/>
      <c r="AB863" s="168"/>
      <c r="AC863" s="172"/>
      <c r="AD863" s="71"/>
      <c r="AE863" s="168"/>
      <c r="AF863" s="168"/>
      <c r="AG863" s="168"/>
      <c r="AH863" s="13"/>
      <c r="AI863" s="13"/>
    </row>
    <row r="864">
      <c r="A864" s="160"/>
      <c r="B864" s="160"/>
      <c r="C864" s="161" t="b">
        <v>0</v>
      </c>
      <c r="D864" s="161"/>
      <c r="E864" s="161"/>
      <c r="F864" s="162"/>
      <c r="G864" s="163"/>
      <c r="H864" s="164"/>
      <c r="I864" s="165"/>
      <c r="J864" s="161"/>
      <c r="K864" s="161"/>
      <c r="L864" s="166"/>
      <c r="M864" s="167"/>
      <c r="N864" s="168"/>
      <c r="O864" s="168"/>
      <c r="P864" s="168"/>
      <c r="Q864" s="169"/>
      <c r="R864" s="167"/>
      <c r="S864" s="142" t="b">
        <v>0</v>
      </c>
      <c r="T864" s="170"/>
      <c r="U864" s="170"/>
      <c r="V864" s="170"/>
      <c r="W864" s="170"/>
      <c r="X864" s="170"/>
      <c r="Y864" s="171"/>
      <c r="Z864" s="71"/>
      <c r="AA864" s="71"/>
      <c r="AB864" s="168"/>
      <c r="AC864" s="172"/>
      <c r="AD864" s="71"/>
      <c r="AE864" s="168"/>
      <c r="AF864" s="168"/>
      <c r="AG864" s="168"/>
      <c r="AH864" s="13"/>
      <c r="AI864" s="13"/>
    </row>
    <row r="865">
      <c r="A865" s="160"/>
      <c r="B865" s="160"/>
      <c r="C865" s="161" t="b">
        <v>0</v>
      </c>
      <c r="D865" s="161"/>
      <c r="E865" s="161"/>
      <c r="F865" s="162"/>
      <c r="G865" s="163"/>
      <c r="H865" s="164"/>
      <c r="I865" s="165"/>
      <c r="J865" s="161"/>
      <c r="K865" s="161"/>
      <c r="L865" s="166"/>
      <c r="M865" s="167"/>
      <c r="N865" s="168"/>
      <c r="O865" s="168"/>
      <c r="P865" s="168"/>
      <c r="Q865" s="169"/>
      <c r="R865" s="167"/>
      <c r="S865" s="142" t="b">
        <v>0</v>
      </c>
      <c r="T865" s="170"/>
      <c r="U865" s="170"/>
      <c r="V865" s="170"/>
      <c r="W865" s="170"/>
      <c r="X865" s="170"/>
      <c r="Y865" s="171"/>
      <c r="Z865" s="71"/>
      <c r="AA865" s="71"/>
      <c r="AB865" s="168"/>
      <c r="AC865" s="172"/>
      <c r="AD865" s="71"/>
      <c r="AE865" s="168"/>
      <c r="AF865" s="168"/>
      <c r="AG865" s="168"/>
      <c r="AH865" s="13"/>
      <c r="AI865" s="13"/>
    </row>
    <row r="866">
      <c r="A866" s="160"/>
      <c r="B866" s="160"/>
      <c r="C866" s="161" t="b">
        <v>0</v>
      </c>
      <c r="D866" s="161"/>
      <c r="E866" s="161"/>
      <c r="F866" s="162"/>
      <c r="G866" s="163"/>
      <c r="H866" s="164"/>
      <c r="I866" s="165"/>
      <c r="J866" s="161"/>
      <c r="K866" s="161"/>
      <c r="L866" s="166"/>
      <c r="M866" s="167"/>
      <c r="N866" s="168"/>
      <c r="O866" s="168"/>
      <c r="P866" s="168"/>
      <c r="Q866" s="169"/>
      <c r="R866" s="167"/>
      <c r="S866" s="142" t="b">
        <v>0</v>
      </c>
      <c r="T866" s="170"/>
      <c r="U866" s="170"/>
      <c r="V866" s="170"/>
      <c r="W866" s="170"/>
      <c r="X866" s="170"/>
      <c r="Y866" s="171"/>
      <c r="Z866" s="71"/>
      <c r="AA866" s="71"/>
      <c r="AB866" s="168"/>
      <c r="AC866" s="172"/>
      <c r="AD866" s="71"/>
      <c r="AE866" s="168"/>
      <c r="AF866" s="168"/>
      <c r="AG866" s="168"/>
      <c r="AH866" s="13"/>
      <c r="AI866" s="13"/>
    </row>
    <row r="867">
      <c r="A867" s="160"/>
      <c r="B867" s="160"/>
      <c r="C867" s="161" t="b">
        <v>0</v>
      </c>
      <c r="D867" s="161"/>
      <c r="E867" s="161"/>
      <c r="F867" s="162"/>
      <c r="G867" s="163"/>
      <c r="H867" s="164"/>
      <c r="I867" s="165"/>
      <c r="J867" s="161"/>
      <c r="K867" s="161"/>
      <c r="L867" s="166"/>
      <c r="M867" s="167"/>
      <c r="N867" s="168"/>
      <c r="O867" s="168"/>
      <c r="P867" s="168"/>
      <c r="Q867" s="169"/>
      <c r="R867" s="167"/>
      <c r="S867" s="142" t="b">
        <v>0</v>
      </c>
      <c r="T867" s="170"/>
      <c r="U867" s="170"/>
      <c r="V867" s="170"/>
      <c r="W867" s="170"/>
      <c r="X867" s="170"/>
      <c r="Y867" s="171"/>
      <c r="Z867" s="71"/>
      <c r="AA867" s="71"/>
      <c r="AB867" s="168"/>
      <c r="AC867" s="172"/>
      <c r="AD867" s="71"/>
      <c r="AE867" s="168"/>
      <c r="AF867" s="168"/>
      <c r="AG867" s="168"/>
      <c r="AH867" s="13"/>
      <c r="AI867" s="13"/>
    </row>
    <row r="868">
      <c r="A868" s="160"/>
      <c r="B868" s="160"/>
      <c r="C868" s="161" t="b">
        <v>0</v>
      </c>
      <c r="D868" s="161"/>
      <c r="E868" s="161"/>
      <c r="F868" s="162"/>
      <c r="G868" s="163"/>
      <c r="H868" s="164"/>
      <c r="I868" s="165"/>
      <c r="J868" s="161"/>
      <c r="K868" s="161"/>
      <c r="L868" s="166"/>
      <c r="M868" s="167"/>
      <c r="N868" s="168"/>
      <c r="O868" s="168"/>
      <c r="P868" s="168"/>
      <c r="Q868" s="169"/>
      <c r="R868" s="167"/>
      <c r="S868" s="142" t="b">
        <v>0</v>
      </c>
      <c r="T868" s="170"/>
      <c r="U868" s="170"/>
      <c r="V868" s="170"/>
      <c r="W868" s="170"/>
      <c r="X868" s="170"/>
      <c r="Y868" s="171"/>
      <c r="Z868" s="71"/>
      <c r="AA868" s="71"/>
      <c r="AB868" s="168"/>
      <c r="AC868" s="172"/>
      <c r="AD868" s="71"/>
      <c r="AE868" s="168"/>
      <c r="AF868" s="168"/>
      <c r="AG868" s="168"/>
      <c r="AH868" s="13"/>
      <c r="AI868" s="13"/>
    </row>
    <row r="869">
      <c r="A869" s="160"/>
      <c r="B869" s="160"/>
      <c r="C869" s="161" t="b">
        <v>0</v>
      </c>
      <c r="D869" s="161"/>
      <c r="E869" s="161"/>
      <c r="F869" s="162"/>
      <c r="G869" s="163"/>
      <c r="H869" s="164"/>
      <c r="I869" s="165"/>
      <c r="J869" s="161"/>
      <c r="K869" s="161"/>
      <c r="L869" s="166"/>
      <c r="M869" s="167"/>
      <c r="N869" s="168"/>
      <c r="O869" s="168"/>
      <c r="P869" s="168"/>
      <c r="Q869" s="169"/>
      <c r="R869" s="167"/>
      <c r="S869" s="142" t="b">
        <v>0</v>
      </c>
      <c r="T869" s="170"/>
      <c r="U869" s="170"/>
      <c r="V869" s="170"/>
      <c r="W869" s="170"/>
      <c r="X869" s="170"/>
      <c r="Y869" s="171"/>
      <c r="Z869" s="71"/>
      <c r="AA869" s="71"/>
      <c r="AB869" s="168"/>
      <c r="AC869" s="172"/>
      <c r="AD869" s="71"/>
      <c r="AE869" s="168"/>
      <c r="AF869" s="168"/>
      <c r="AG869" s="168"/>
      <c r="AH869" s="13"/>
      <c r="AI869" s="13"/>
    </row>
    <row r="870">
      <c r="A870" s="160"/>
      <c r="B870" s="160"/>
      <c r="C870" s="161" t="b">
        <v>0</v>
      </c>
      <c r="D870" s="161"/>
      <c r="E870" s="161"/>
      <c r="F870" s="162"/>
      <c r="G870" s="163"/>
      <c r="H870" s="164"/>
      <c r="I870" s="165"/>
      <c r="J870" s="161"/>
      <c r="K870" s="161"/>
      <c r="L870" s="166"/>
      <c r="M870" s="167"/>
      <c r="N870" s="168"/>
      <c r="O870" s="168"/>
      <c r="P870" s="168"/>
      <c r="Q870" s="169"/>
      <c r="R870" s="167"/>
      <c r="S870" s="142" t="b">
        <v>0</v>
      </c>
      <c r="T870" s="170"/>
      <c r="U870" s="170"/>
      <c r="V870" s="170"/>
      <c r="W870" s="170"/>
      <c r="X870" s="170"/>
      <c r="Y870" s="171"/>
      <c r="Z870" s="71"/>
      <c r="AA870" s="71"/>
      <c r="AB870" s="168"/>
      <c r="AC870" s="172"/>
      <c r="AD870" s="71"/>
      <c r="AE870" s="168"/>
      <c r="AF870" s="168"/>
      <c r="AG870" s="168"/>
      <c r="AH870" s="13"/>
      <c r="AI870" s="13"/>
    </row>
    <row r="871">
      <c r="A871" s="160"/>
      <c r="B871" s="160"/>
      <c r="C871" s="161" t="b">
        <v>0</v>
      </c>
      <c r="D871" s="161"/>
      <c r="E871" s="161"/>
      <c r="F871" s="162"/>
      <c r="G871" s="163"/>
      <c r="H871" s="164"/>
      <c r="I871" s="165"/>
      <c r="J871" s="161"/>
      <c r="K871" s="161"/>
      <c r="L871" s="166"/>
      <c r="M871" s="167"/>
      <c r="N871" s="168"/>
      <c r="O871" s="168"/>
      <c r="P871" s="168"/>
      <c r="Q871" s="169"/>
      <c r="R871" s="167"/>
      <c r="S871" s="142" t="b">
        <v>0</v>
      </c>
      <c r="T871" s="170"/>
      <c r="U871" s="170"/>
      <c r="V871" s="170"/>
      <c r="W871" s="170"/>
      <c r="X871" s="170"/>
      <c r="Y871" s="171"/>
      <c r="Z871" s="71"/>
      <c r="AA871" s="71"/>
      <c r="AB871" s="168"/>
      <c r="AC871" s="172"/>
      <c r="AD871" s="71"/>
      <c r="AE871" s="168"/>
      <c r="AF871" s="168"/>
      <c r="AG871" s="168"/>
      <c r="AH871" s="13"/>
      <c r="AI871" s="13"/>
    </row>
    <row r="872">
      <c r="A872" s="160"/>
      <c r="B872" s="160"/>
      <c r="C872" s="161" t="b">
        <v>0</v>
      </c>
      <c r="D872" s="161"/>
      <c r="E872" s="161"/>
      <c r="F872" s="162"/>
      <c r="G872" s="163"/>
      <c r="H872" s="164"/>
      <c r="I872" s="165"/>
      <c r="J872" s="161"/>
      <c r="K872" s="161"/>
      <c r="L872" s="166"/>
      <c r="M872" s="167"/>
      <c r="N872" s="168"/>
      <c r="O872" s="168"/>
      <c r="P872" s="168"/>
      <c r="Q872" s="169"/>
      <c r="R872" s="167"/>
      <c r="S872" s="142" t="b">
        <v>0</v>
      </c>
      <c r="T872" s="170"/>
      <c r="U872" s="170"/>
      <c r="V872" s="170"/>
      <c r="W872" s="170"/>
      <c r="X872" s="170"/>
      <c r="Y872" s="171"/>
      <c r="Z872" s="71"/>
      <c r="AA872" s="71"/>
      <c r="AB872" s="168"/>
      <c r="AC872" s="172"/>
      <c r="AD872" s="71"/>
      <c r="AE872" s="168"/>
      <c r="AF872" s="168"/>
      <c r="AG872" s="168"/>
      <c r="AH872" s="13"/>
      <c r="AI872" s="13"/>
    </row>
    <row r="873">
      <c r="A873" s="160"/>
      <c r="B873" s="160"/>
      <c r="C873" s="161" t="b">
        <v>0</v>
      </c>
      <c r="D873" s="161"/>
      <c r="E873" s="161"/>
      <c r="F873" s="162"/>
      <c r="G873" s="163"/>
      <c r="H873" s="164"/>
      <c r="I873" s="165"/>
      <c r="J873" s="161"/>
      <c r="K873" s="161"/>
      <c r="L873" s="166"/>
      <c r="M873" s="167"/>
      <c r="N873" s="168"/>
      <c r="O873" s="168"/>
      <c r="P873" s="168"/>
      <c r="Q873" s="169"/>
      <c r="R873" s="167"/>
      <c r="S873" s="142" t="b">
        <v>0</v>
      </c>
      <c r="T873" s="170"/>
      <c r="U873" s="170"/>
      <c r="V873" s="170"/>
      <c r="W873" s="170"/>
      <c r="X873" s="170"/>
      <c r="Y873" s="171"/>
      <c r="Z873" s="71"/>
      <c r="AA873" s="71"/>
      <c r="AB873" s="168"/>
      <c r="AC873" s="172"/>
      <c r="AD873" s="71"/>
      <c r="AE873" s="168"/>
      <c r="AF873" s="168"/>
      <c r="AG873" s="168"/>
      <c r="AH873" s="13"/>
      <c r="AI873" s="13"/>
    </row>
    <row r="874">
      <c r="A874" s="160"/>
      <c r="B874" s="160"/>
      <c r="C874" s="161" t="b">
        <v>0</v>
      </c>
      <c r="D874" s="161"/>
      <c r="E874" s="161"/>
      <c r="F874" s="162"/>
      <c r="G874" s="163"/>
      <c r="H874" s="164"/>
      <c r="I874" s="165"/>
      <c r="J874" s="161"/>
      <c r="K874" s="161"/>
      <c r="L874" s="166"/>
      <c r="M874" s="167"/>
      <c r="N874" s="168"/>
      <c r="O874" s="168"/>
      <c r="P874" s="168"/>
      <c r="Q874" s="169"/>
      <c r="R874" s="167"/>
      <c r="S874" s="142" t="b">
        <v>0</v>
      </c>
      <c r="T874" s="170"/>
      <c r="U874" s="170"/>
      <c r="V874" s="170"/>
      <c r="W874" s="170"/>
      <c r="X874" s="170"/>
      <c r="Y874" s="171"/>
      <c r="Z874" s="71"/>
      <c r="AA874" s="71"/>
      <c r="AB874" s="168"/>
      <c r="AC874" s="172"/>
      <c r="AD874" s="71"/>
      <c r="AE874" s="168"/>
      <c r="AF874" s="168"/>
      <c r="AG874" s="168"/>
      <c r="AH874" s="13"/>
      <c r="AI874" s="13"/>
    </row>
    <row r="875">
      <c r="A875" s="160"/>
      <c r="B875" s="160"/>
      <c r="C875" s="161" t="b">
        <v>0</v>
      </c>
      <c r="D875" s="161"/>
      <c r="E875" s="161"/>
      <c r="F875" s="162"/>
      <c r="G875" s="163"/>
      <c r="H875" s="164"/>
      <c r="I875" s="165"/>
      <c r="J875" s="161"/>
      <c r="K875" s="161"/>
      <c r="L875" s="166"/>
      <c r="M875" s="167"/>
      <c r="N875" s="168"/>
      <c r="O875" s="168"/>
      <c r="P875" s="168"/>
      <c r="Q875" s="169"/>
      <c r="R875" s="167"/>
      <c r="S875" s="142" t="b">
        <v>0</v>
      </c>
      <c r="T875" s="170"/>
      <c r="U875" s="170"/>
      <c r="V875" s="170"/>
      <c r="W875" s="170"/>
      <c r="X875" s="170"/>
      <c r="Y875" s="171"/>
      <c r="Z875" s="71"/>
      <c r="AA875" s="71"/>
      <c r="AB875" s="168"/>
      <c r="AC875" s="172"/>
      <c r="AD875" s="71"/>
      <c r="AE875" s="168"/>
      <c r="AF875" s="168"/>
      <c r="AG875" s="168"/>
      <c r="AH875" s="13"/>
      <c r="AI875" s="13"/>
    </row>
    <row r="876">
      <c r="A876" s="160"/>
      <c r="B876" s="160"/>
      <c r="C876" s="161" t="b">
        <v>0</v>
      </c>
      <c r="D876" s="161"/>
      <c r="E876" s="161"/>
      <c r="F876" s="162"/>
      <c r="G876" s="163"/>
      <c r="H876" s="164"/>
      <c r="I876" s="165"/>
      <c r="J876" s="161"/>
      <c r="K876" s="161"/>
      <c r="L876" s="166"/>
      <c r="M876" s="167"/>
      <c r="N876" s="168"/>
      <c r="O876" s="168"/>
      <c r="P876" s="168"/>
      <c r="Q876" s="169"/>
      <c r="R876" s="167"/>
      <c r="S876" s="142" t="b">
        <v>0</v>
      </c>
      <c r="T876" s="170"/>
      <c r="U876" s="170"/>
      <c r="V876" s="170"/>
      <c r="W876" s="170"/>
      <c r="X876" s="170"/>
      <c r="Y876" s="171"/>
      <c r="Z876" s="71"/>
      <c r="AA876" s="71"/>
      <c r="AB876" s="168"/>
      <c r="AC876" s="172"/>
      <c r="AD876" s="71"/>
      <c r="AE876" s="168"/>
      <c r="AF876" s="168"/>
      <c r="AG876" s="168"/>
      <c r="AH876" s="13"/>
      <c r="AI876" s="13"/>
    </row>
    <row r="877">
      <c r="A877" s="160"/>
      <c r="B877" s="160"/>
      <c r="C877" s="161" t="b">
        <v>0</v>
      </c>
      <c r="D877" s="161"/>
      <c r="E877" s="161"/>
      <c r="F877" s="162"/>
      <c r="G877" s="163"/>
      <c r="H877" s="164"/>
      <c r="I877" s="165"/>
      <c r="J877" s="161"/>
      <c r="K877" s="161"/>
      <c r="L877" s="166"/>
      <c r="M877" s="167"/>
      <c r="N877" s="168"/>
      <c r="O877" s="168"/>
      <c r="P877" s="168"/>
      <c r="Q877" s="169"/>
      <c r="R877" s="167"/>
      <c r="S877" s="142" t="b">
        <v>0</v>
      </c>
      <c r="T877" s="170"/>
      <c r="U877" s="170"/>
      <c r="V877" s="170"/>
      <c r="W877" s="170"/>
      <c r="X877" s="170"/>
      <c r="Y877" s="171"/>
      <c r="Z877" s="71"/>
      <c r="AA877" s="71"/>
      <c r="AB877" s="168"/>
      <c r="AC877" s="172"/>
      <c r="AD877" s="71"/>
      <c r="AE877" s="168"/>
      <c r="AF877" s="168"/>
      <c r="AG877" s="168"/>
      <c r="AH877" s="13"/>
      <c r="AI877" s="13"/>
    </row>
    <row r="878">
      <c r="A878" s="160"/>
      <c r="B878" s="160"/>
      <c r="C878" s="161" t="b">
        <v>0</v>
      </c>
      <c r="D878" s="161"/>
      <c r="E878" s="161"/>
      <c r="F878" s="162"/>
      <c r="G878" s="163"/>
      <c r="H878" s="164"/>
      <c r="I878" s="165"/>
      <c r="J878" s="161"/>
      <c r="K878" s="161"/>
      <c r="L878" s="166"/>
      <c r="M878" s="167"/>
      <c r="N878" s="168"/>
      <c r="O878" s="168"/>
      <c r="P878" s="168"/>
      <c r="Q878" s="169"/>
      <c r="R878" s="167"/>
      <c r="S878" s="142" t="b">
        <v>0</v>
      </c>
      <c r="T878" s="170"/>
      <c r="U878" s="170"/>
      <c r="V878" s="170"/>
      <c r="W878" s="170"/>
      <c r="X878" s="170"/>
      <c r="Y878" s="171"/>
      <c r="Z878" s="71"/>
      <c r="AA878" s="71"/>
      <c r="AB878" s="168"/>
      <c r="AC878" s="172"/>
      <c r="AD878" s="71"/>
      <c r="AE878" s="168"/>
      <c r="AF878" s="168"/>
      <c r="AG878" s="168"/>
      <c r="AH878" s="13"/>
      <c r="AI878" s="13"/>
    </row>
    <row r="879">
      <c r="A879" s="160"/>
      <c r="B879" s="160"/>
      <c r="C879" s="161" t="b">
        <v>0</v>
      </c>
      <c r="D879" s="161"/>
      <c r="E879" s="161"/>
      <c r="F879" s="162"/>
      <c r="G879" s="163"/>
      <c r="H879" s="164"/>
      <c r="I879" s="165"/>
      <c r="J879" s="161"/>
      <c r="K879" s="161"/>
      <c r="L879" s="166"/>
      <c r="M879" s="167"/>
      <c r="N879" s="168"/>
      <c r="O879" s="168"/>
      <c r="P879" s="168"/>
      <c r="Q879" s="169"/>
      <c r="R879" s="167"/>
      <c r="S879" s="142" t="b">
        <v>0</v>
      </c>
      <c r="T879" s="170"/>
      <c r="U879" s="170"/>
      <c r="V879" s="170"/>
      <c r="W879" s="170"/>
      <c r="X879" s="170"/>
      <c r="Y879" s="171"/>
      <c r="Z879" s="71"/>
      <c r="AA879" s="71"/>
      <c r="AB879" s="168"/>
      <c r="AC879" s="172"/>
      <c r="AD879" s="71"/>
      <c r="AE879" s="168"/>
      <c r="AF879" s="168"/>
      <c r="AG879" s="168"/>
      <c r="AH879" s="13"/>
      <c r="AI879" s="13"/>
    </row>
    <row r="880">
      <c r="A880" s="160"/>
      <c r="B880" s="160"/>
      <c r="C880" s="161" t="b">
        <v>0</v>
      </c>
      <c r="D880" s="161"/>
      <c r="E880" s="161"/>
      <c r="F880" s="162"/>
      <c r="G880" s="163"/>
      <c r="H880" s="164"/>
      <c r="I880" s="165"/>
      <c r="J880" s="161"/>
      <c r="K880" s="161"/>
      <c r="L880" s="166"/>
      <c r="M880" s="167"/>
      <c r="N880" s="168"/>
      <c r="O880" s="168"/>
      <c r="P880" s="168"/>
      <c r="Q880" s="169"/>
      <c r="R880" s="167"/>
      <c r="S880" s="142" t="b">
        <v>0</v>
      </c>
      <c r="T880" s="170"/>
      <c r="U880" s="170"/>
      <c r="V880" s="170"/>
      <c r="W880" s="170"/>
      <c r="X880" s="170"/>
      <c r="Y880" s="171"/>
      <c r="Z880" s="71"/>
      <c r="AA880" s="71"/>
      <c r="AB880" s="168"/>
      <c r="AC880" s="172"/>
      <c r="AD880" s="71"/>
      <c r="AE880" s="168"/>
      <c r="AF880" s="168"/>
      <c r="AG880" s="168"/>
      <c r="AH880" s="13"/>
      <c r="AI880" s="13"/>
    </row>
    <row r="881">
      <c r="A881" s="160"/>
      <c r="B881" s="160"/>
      <c r="C881" s="161" t="b">
        <v>0</v>
      </c>
      <c r="D881" s="161"/>
      <c r="E881" s="161"/>
      <c r="F881" s="162"/>
      <c r="G881" s="163"/>
      <c r="H881" s="164"/>
      <c r="I881" s="165"/>
      <c r="J881" s="161"/>
      <c r="K881" s="161"/>
      <c r="L881" s="166"/>
      <c r="M881" s="167"/>
      <c r="N881" s="168"/>
      <c r="O881" s="168"/>
      <c r="P881" s="168"/>
      <c r="Q881" s="169"/>
      <c r="R881" s="167"/>
      <c r="S881" s="142" t="b">
        <v>0</v>
      </c>
      <c r="T881" s="170"/>
      <c r="U881" s="170"/>
      <c r="V881" s="170"/>
      <c r="W881" s="170"/>
      <c r="X881" s="170"/>
      <c r="Y881" s="171"/>
      <c r="Z881" s="71"/>
      <c r="AA881" s="71"/>
      <c r="AB881" s="168"/>
      <c r="AC881" s="172"/>
      <c r="AD881" s="71"/>
      <c r="AE881" s="168"/>
      <c r="AF881" s="168"/>
      <c r="AG881" s="168"/>
      <c r="AH881" s="13"/>
      <c r="AI881" s="13"/>
    </row>
    <row r="882">
      <c r="A882" s="160"/>
      <c r="B882" s="160"/>
      <c r="C882" s="161" t="b">
        <v>0</v>
      </c>
      <c r="D882" s="161"/>
      <c r="E882" s="161"/>
      <c r="F882" s="162"/>
      <c r="G882" s="163"/>
      <c r="H882" s="164"/>
      <c r="I882" s="165"/>
      <c r="J882" s="161"/>
      <c r="K882" s="161"/>
      <c r="L882" s="166"/>
      <c r="M882" s="167"/>
      <c r="N882" s="168"/>
      <c r="O882" s="168"/>
      <c r="P882" s="168"/>
      <c r="Q882" s="169"/>
      <c r="R882" s="167"/>
      <c r="S882" s="142" t="b">
        <v>0</v>
      </c>
      <c r="T882" s="170"/>
      <c r="U882" s="170"/>
      <c r="V882" s="170"/>
      <c r="W882" s="170"/>
      <c r="X882" s="170"/>
      <c r="Y882" s="171"/>
      <c r="Z882" s="71"/>
      <c r="AA882" s="71"/>
      <c r="AB882" s="168"/>
      <c r="AC882" s="172"/>
      <c r="AD882" s="71"/>
      <c r="AE882" s="168"/>
      <c r="AF882" s="168"/>
      <c r="AG882" s="168"/>
      <c r="AH882" s="13"/>
      <c r="AI882" s="13"/>
    </row>
    <row r="883">
      <c r="A883" s="160"/>
      <c r="B883" s="160"/>
      <c r="C883" s="161" t="b">
        <v>0</v>
      </c>
      <c r="D883" s="161"/>
      <c r="E883" s="161"/>
      <c r="F883" s="162"/>
      <c r="G883" s="163"/>
      <c r="H883" s="164"/>
      <c r="I883" s="165"/>
      <c r="J883" s="161"/>
      <c r="K883" s="161"/>
      <c r="L883" s="166"/>
      <c r="M883" s="167"/>
      <c r="N883" s="168"/>
      <c r="O883" s="168"/>
      <c r="P883" s="168"/>
      <c r="Q883" s="169"/>
      <c r="R883" s="167"/>
      <c r="S883" s="142" t="b">
        <v>0</v>
      </c>
      <c r="T883" s="170"/>
      <c r="U883" s="170"/>
      <c r="V883" s="170"/>
      <c r="W883" s="170"/>
      <c r="X883" s="170"/>
      <c r="Y883" s="171"/>
      <c r="Z883" s="71"/>
      <c r="AA883" s="71"/>
      <c r="AB883" s="168"/>
      <c r="AC883" s="172"/>
      <c r="AD883" s="71"/>
      <c r="AE883" s="168"/>
      <c r="AF883" s="168"/>
      <c r="AG883" s="168"/>
      <c r="AH883" s="13"/>
      <c r="AI883" s="13"/>
    </row>
    <row r="884">
      <c r="A884" s="160"/>
      <c r="B884" s="160"/>
      <c r="C884" s="161" t="b">
        <v>0</v>
      </c>
      <c r="D884" s="161"/>
      <c r="E884" s="161"/>
      <c r="F884" s="162"/>
      <c r="G884" s="163"/>
      <c r="H884" s="164"/>
      <c r="I884" s="165"/>
      <c r="J884" s="161"/>
      <c r="K884" s="161"/>
      <c r="L884" s="166"/>
      <c r="M884" s="167"/>
      <c r="N884" s="168"/>
      <c r="O884" s="168"/>
      <c r="P884" s="168"/>
      <c r="Q884" s="169"/>
      <c r="R884" s="167"/>
      <c r="S884" s="142" t="b">
        <v>0</v>
      </c>
      <c r="T884" s="170"/>
      <c r="U884" s="170"/>
      <c r="V884" s="170"/>
      <c r="W884" s="170"/>
      <c r="X884" s="170"/>
      <c r="Y884" s="171"/>
      <c r="Z884" s="71"/>
      <c r="AA884" s="71"/>
      <c r="AB884" s="168"/>
      <c r="AC884" s="172"/>
      <c r="AD884" s="71"/>
      <c r="AE884" s="168"/>
      <c r="AF884" s="168"/>
      <c r="AG884" s="168"/>
      <c r="AH884" s="13"/>
      <c r="AI884" s="13"/>
    </row>
    <row r="885">
      <c r="A885" s="160"/>
      <c r="B885" s="160"/>
      <c r="C885" s="161" t="b">
        <v>0</v>
      </c>
      <c r="D885" s="161"/>
      <c r="E885" s="161"/>
      <c r="F885" s="162"/>
      <c r="G885" s="163"/>
      <c r="H885" s="164"/>
      <c r="I885" s="165"/>
      <c r="J885" s="161"/>
      <c r="K885" s="161"/>
      <c r="L885" s="166"/>
      <c r="M885" s="167"/>
      <c r="N885" s="168"/>
      <c r="O885" s="168"/>
      <c r="P885" s="168"/>
      <c r="Q885" s="169"/>
      <c r="R885" s="167"/>
      <c r="S885" s="142" t="b">
        <v>0</v>
      </c>
      <c r="T885" s="170"/>
      <c r="U885" s="170"/>
      <c r="V885" s="170"/>
      <c r="W885" s="170"/>
      <c r="X885" s="170"/>
      <c r="Y885" s="171"/>
      <c r="Z885" s="71"/>
      <c r="AA885" s="71"/>
      <c r="AB885" s="168"/>
      <c r="AC885" s="172"/>
      <c r="AD885" s="71"/>
      <c r="AE885" s="168"/>
      <c r="AF885" s="168"/>
      <c r="AG885" s="168"/>
      <c r="AH885" s="13"/>
      <c r="AI885" s="13"/>
    </row>
    <row r="886">
      <c r="A886" s="160"/>
      <c r="B886" s="160"/>
      <c r="C886" s="161" t="b">
        <v>0</v>
      </c>
      <c r="D886" s="161"/>
      <c r="E886" s="161"/>
      <c r="F886" s="162"/>
      <c r="G886" s="163"/>
      <c r="H886" s="164"/>
      <c r="I886" s="165"/>
      <c r="J886" s="161"/>
      <c r="K886" s="161"/>
      <c r="L886" s="166"/>
      <c r="M886" s="167"/>
      <c r="N886" s="168"/>
      <c r="O886" s="168"/>
      <c r="P886" s="168"/>
      <c r="Q886" s="169"/>
      <c r="R886" s="167"/>
      <c r="S886" s="142" t="b">
        <v>0</v>
      </c>
      <c r="T886" s="170"/>
      <c r="U886" s="170"/>
      <c r="V886" s="170"/>
      <c r="W886" s="170"/>
      <c r="X886" s="170"/>
      <c r="Y886" s="171"/>
      <c r="Z886" s="71"/>
      <c r="AA886" s="71"/>
      <c r="AB886" s="168"/>
      <c r="AC886" s="172"/>
      <c r="AD886" s="71"/>
      <c r="AE886" s="168"/>
      <c r="AF886" s="168"/>
      <c r="AG886" s="168"/>
      <c r="AH886" s="13"/>
      <c r="AI886" s="13"/>
    </row>
    <row r="887">
      <c r="A887" s="160"/>
      <c r="B887" s="160"/>
      <c r="C887" s="161" t="b">
        <v>0</v>
      </c>
      <c r="D887" s="161"/>
      <c r="E887" s="161"/>
      <c r="F887" s="162"/>
      <c r="G887" s="163"/>
      <c r="H887" s="164"/>
      <c r="I887" s="165"/>
      <c r="J887" s="161"/>
      <c r="K887" s="161"/>
      <c r="L887" s="166"/>
      <c r="M887" s="167"/>
      <c r="N887" s="168"/>
      <c r="O887" s="168"/>
      <c r="P887" s="168"/>
      <c r="Q887" s="169"/>
      <c r="R887" s="167"/>
      <c r="S887" s="142" t="b">
        <v>0</v>
      </c>
      <c r="T887" s="170"/>
      <c r="U887" s="170"/>
      <c r="V887" s="170"/>
      <c r="W887" s="170"/>
      <c r="X887" s="170"/>
      <c r="Y887" s="171"/>
      <c r="Z887" s="71"/>
      <c r="AA887" s="71"/>
      <c r="AB887" s="168"/>
      <c r="AC887" s="172"/>
      <c r="AD887" s="71"/>
      <c r="AE887" s="168"/>
      <c r="AF887" s="168"/>
      <c r="AG887" s="168"/>
      <c r="AH887" s="13"/>
      <c r="AI887" s="13"/>
    </row>
    <row r="888">
      <c r="A888" s="160"/>
      <c r="B888" s="160"/>
      <c r="C888" s="161" t="b">
        <v>0</v>
      </c>
      <c r="D888" s="161"/>
      <c r="E888" s="161"/>
      <c r="F888" s="162"/>
      <c r="G888" s="163"/>
      <c r="H888" s="164"/>
      <c r="I888" s="165"/>
      <c r="J888" s="161"/>
      <c r="K888" s="161"/>
      <c r="L888" s="166"/>
      <c r="M888" s="167"/>
      <c r="N888" s="168"/>
      <c r="O888" s="168"/>
      <c r="P888" s="168"/>
      <c r="Q888" s="169"/>
      <c r="R888" s="167"/>
      <c r="S888" s="142" t="b">
        <v>0</v>
      </c>
      <c r="T888" s="170"/>
      <c r="U888" s="170"/>
      <c r="V888" s="170"/>
      <c r="W888" s="170"/>
      <c r="X888" s="170"/>
      <c r="Y888" s="171"/>
      <c r="Z888" s="71"/>
      <c r="AA888" s="71"/>
      <c r="AB888" s="168"/>
      <c r="AC888" s="172"/>
      <c r="AD888" s="71"/>
      <c r="AE888" s="168"/>
      <c r="AF888" s="168"/>
      <c r="AG888" s="168"/>
      <c r="AH888" s="13"/>
      <c r="AI888" s="13"/>
    </row>
    <row r="889">
      <c r="A889" s="160"/>
      <c r="B889" s="160"/>
      <c r="C889" s="161" t="b">
        <v>0</v>
      </c>
      <c r="D889" s="161"/>
      <c r="E889" s="161"/>
      <c r="F889" s="162"/>
      <c r="G889" s="163"/>
      <c r="H889" s="164"/>
      <c r="I889" s="165"/>
      <c r="J889" s="161"/>
      <c r="K889" s="161"/>
      <c r="L889" s="166"/>
      <c r="M889" s="167"/>
      <c r="N889" s="168"/>
      <c r="O889" s="168"/>
      <c r="P889" s="168"/>
      <c r="Q889" s="169"/>
      <c r="R889" s="167"/>
      <c r="S889" s="142" t="b">
        <v>0</v>
      </c>
      <c r="T889" s="170"/>
      <c r="U889" s="170"/>
      <c r="V889" s="170"/>
      <c r="W889" s="170"/>
      <c r="X889" s="170"/>
      <c r="Y889" s="171"/>
      <c r="Z889" s="71"/>
      <c r="AA889" s="71"/>
      <c r="AB889" s="168"/>
      <c r="AC889" s="172"/>
      <c r="AD889" s="71"/>
      <c r="AE889" s="168"/>
      <c r="AF889" s="168"/>
      <c r="AG889" s="168"/>
      <c r="AH889" s="13"/>
      <c r="AI889" s="13"/>
    </row>
    <row r="890">
      <c r="A890" s="160"/>
      <c r="B890" s="160"/>
      <c r="C890" s="161" t="b">
        <v>0</v>
      </c>
      <c r="D890" s="161"/>
      <c r="E890" s="161"/>
      <c r="F890" s="162"/>
      <c r="G890" s="163"/>
      <c r="H890" s="164"/>
      <c r="I890" s="165"/>
      <c r="J890" s="161"/>
      <c r="K890" s="161"/>
      <c r="L890" s="166"/>
      <c r="M890" s="167"/>
      <c r="N890" s="168"/>
      <c r="O890" s="168"/>
      <c r="P890" s="168"/>
      <c r="Q890" s="169"/>
      <c r="R890" s="167"/>
      <c r="S890" s="142" t="b">
        <v>0</v>
      </c>
      <c r="T890" s="170"/>
      <c r="U890" s="170"/>
      <c r="V890" s="170"/>
      <c r="W890" s="170"/>
      <c r="X890" s="170"/>
      <c r="Y890" s="171"/>
      <c r="Z890" s="71"/>
      <c r="AA890" s="71"/>
      <c r="AB890" s="168"/>
      <c r="AC890" s="172"/>
      <c r="AD890" s="71"/>
      <c r="AE890" s="168"/>
      <c r="AF890" s="168"/>
      <c r="AG890" s="168"/>
      <c r="AH890" s="13"/>
      <c r="AI890" s="13"/>
    </row>
    <row r="891">
      <c r="A891" s="160"/>
      <c r="B891" s="160"/>
      <c r="C891" s="161" t="b">
        <v>0</v>
      </c>
      <c r="D891" s="161"/>
      <c r="E891" s="161"/>
      <c r="F891" s="162"/>
      <c r="G891" s="163"/>
      <c r="H891" s="164"/>
      <c r="I891" s="165"/>
      <c r="J891" s="161"/>
      <c r="K891" s="161"/>
      <c r="L891" s="166"/>
      <c r="M891" s="167"/>
      <c r="N891" s="168"/>
      <c r="O891" s="168"/>
      <c r="P891" s="168"/>
      <c r="Q891" s="169"/>
      <c r="R891" s="167"/>
      <c r="S891" s="142" t="b">
        <v>0</v>
      </c>
      <c r="T891" s="170"/>
      <c r="U891" s="170"/>
      <c r="V891" s="170"/>
      <c r="W891" s="170"/>
      <c r="X891" s="170"/>
      <c r="Y891" s="171"/>
      <c r="Z891" s="71"/>
      <c r="AA891" s="71"/>
      <c r="AB891" s="168"/>
      <c r="AC891" s="172"/>
      <c r="AD891" s="71"/>
      <c r="AE891" s="168"/>
      <c r="AF891" s="168"/>
      <c r="AG891" s="168"/>
      <c r="AH891" s="13"/>
      <c r="AI891" s="13"/>
    </row>
    <row r="892">
      <c r="A892" s="160"/>
      <c r="B892" s="160"/>
      <c r="C892" s="161" t="b">
        <v>0</v>
      </c>
      <c r="D892" s="161"/>
      <c r="E892" s="161"/>
      <c r="F892" s="162"/>
      <c r="G892" s="163"/>
      <c r="H892" s="164"/>
      <c r="I892" s="165"/>
      <c r="J892" s="161"/>
      <c r="K892" s="161"/>
      <c r="L892" s="166"/>
      <c r="M892" s="167"/>
      <c r="N892" s="168"/>
      <c r="O892" s="168"/>
      <c r="P892" s="168"/>
      <c r="Q892" s="169"/>
      <c r="R892" s="167"/>
      <c r="S892" s="142" t="b">
        <v>0</v>
      </c>
      <c r="T892" s="170"/>
      <c r="U892" s="170"/>
      <c r="V892" s="170"/>
      <c r="W892" s="170"/>
      <c r="X892" s="170"/>
      <c r="Y892" s="171"/>
      <c r="Z892" s="71"/>
      <c r="AA892" s="71"/>
      <c r="AB892" s="168"/>
      <c r="AC892" s="172"/>
      <c r="AD892" s="71"/>
      <c r="AE892" s="168"/>
      <c r="AF892" s="168"/>
      <c r="AG892" s="168"/>
      <c r="AH892" s="13"/>
      <c r="AI892" s="13"/>
    </row>
    <row r="893">
      <c r="A893" s="160"/>
      <c r="B893" s="160"/>
      <c r="C893" s="161" t="b">
        <v>0</v>
      </c>
      <c r="D893" s="161"/>
      <c r="E893" s="161"/>
      <c r="F893" s="162"/>
      <c r="G893" s="163"/>
      <c r="H893" s="164"/>
      <c r="I893" s="165"/>
      <c r="J893" s="161"/>
      <c r="K893" s="161"/>
      <c r="L893" s="166"/>
      <c r="M893" s="167"/>
      <c r="N893" s="168"/>
      <c r="O893" s="168"/>
      <c r="P893" s="168"/>
      <c r="Q893" s="169"/>
      <c r="R893" s="167"/>
      <c r="S893" s="142" t="b">
        <v>0</v>
      </c>
      <c r="T893" s="170"/>
      <c r="U893" s="170"/>
      <c r="V893" s="170"/>
      <c r="W893" s="170"/>
      <c r="X893" s="170"/>
      <c r="Y893" s="171"/>
      <c r="Z893" s="71"/>
      <c r="AA893" s="71"/>
      <c r="AB893" s="168"/>
      <c r="AC893" s="172"/>
      <c r="AD893" s="71"/>
      <c r="AE893" s="168"/>
      <c r="AF893" s="168"/>
      <c r="AG893" s="168"/>
      <c r="AH893" s="13"/>
      <c r="AI893" s="13"/>
    </row>
    <row r="894">
      <c r="A894" s="160"/>
      <c r="B894" s="160"/>
      <c r="C894" s="161" t="b">
        <v>0</v>
      </c>
      <c r="D894" s="161"/>
      <c r="E894" s="161"/>
      <c r="F894" s="162"/>
      <c r="G894" s="163"/>
      <c r="H894" s="164"/>
      <c r="I894" s="165"/>
      <c r="J894" s="161"/>
      <c r="K894" s="161"/>
      <c r="L894" s="166"/>
      <c r="M894" s="167"/>
      <c r="N894" s="168"/>
      <c r="O894" s="168"/>
      <c r="P894" s="168"/>
      <c r="Q894" s="169"/>
      <c r="R894" s="167"/>
      <c r="S894" s="142" t="b">
        <v>0</v>
      </c>
      <c r="T894" s="170"/>
      <c r="U894" s="170"/>
      <c r="V894" s="170"/>
      <c r="W894" s="170"/>
      <c r="X894" s="170"/>
      <c r="Y894" s="171"/>
      <c r="Z894" s="71"/>
      <c r="AA894" s="71"/>
      <c r="AB894" s="168"/>
      <c r="AC894" s="172"/>
      <c r="AD894" s="71"/>
      <c r="AE894" s="168"/>
      <c r="AF894" s="168"/>
      <c r="AG894" s="168"/>
      <c r="AH894" s="13"/>
      <c r="AI894" s="13"/>
    </row>
    <row r="895">
      <c r="A895" s="160"/>
      <c r="B895" s="160"/>
      <c r="C895" s="161" t="b">
        <v>0</v>
      </c>
      <c r="D895" s="161"/>
      <c r="E895" s="161"/>
      <c r="F895" s="162"/>
      <c r="G895" s="163"/>
      <c r="H895" s="164"/>
      <c r="I895" s="165"/>
      <c r="J895" s="161"/>
      <c r="K895" s="161"/>
      <c r="L895" s="166"/>
      <c r="M895" s="167"/>
      <c r="N895" s="168"/>
      <c r="O895" s="168"/>
      <c r="P895" s="168"/>
      <c r="Q895" s="169"/>
      <c r="R895" s="167"/>
      <c r="S895" s="142" t="b">
        <v>0</v>
      </c>
      <c r="T895" s="170"/>
      <c r="U895" s="170"/>
      <c r="V895" s="170"/>
      <c r="W895" s="170"/>
      <c r="X895" s="170"/>
      <c r="Y895" s="171"/>
      <c r="Z895" s="71"/>
      <c r="AA895" s="71"/>
      <c r="AB895" s="168"/>
      <c r="AC895" s="172"/>
      <c r="AD895" s="71"/>
      <c r="AE895" s="168"/>
      <c r="AF895" s="168"/>
      <c r="AG895" s="168"/>
      <c r="AH895" s="13"/>
      <c r="AI895" s="13"/>
    </row>
    <row r="896">
      <c r="A896" s="160"/>
      <c r="B896" s="160"/>
      <c r="C896" s="161" t="b">
        <v>0</v>
      </c>
      <c r="D896" s="161"/>
      <c r="E896" s="161"/>
      <c r="F896" s="162"/>
      <c r="G896" s="163"/>
      <c r="H896" s="164"/>
      <c r="I896" s="165"/>
      <c r="J896" s="161"/>
      <c r="K896" s="161"/>
      <c r="L896" s="166"/>
      <c r="M896" s="167"/>
      <c r="N896" s="168"/>
      <c r="O896" s="168"/>
      <c r="P896" s="168"/>
      <c r="Q896" s="169"/>
      <c r="R896" s="167"/>
      <c r="S896" s="142" t="b">
        <v>0</v>
      </c>
      <c r="T896" s="170"/>
      <c r="U896" s="170"/>
      <c r="V896" s="170"/>
      <c r="W896" s="170"/>
      <c r="X896" s="170"/>
      <c r="Y896" s="171"/>
      <c r="Z896" s="71"/>
      <c r="AA896" s="71"/>
      <c r="AB896" s="168"/>
      <c r="AC896" s="172"/>
      <c r="AD896" s="71"/>
      <c r="AE896" s="168"/>
      <c r="AF896" s="168"/>
      <c r="AG896" s="168"/>
      <c r="AH896" s="13"/>
      <c r="AI896" s="13"/>
    </row>
    <row r="897">
      <c r="A897" s="160"/>
      <c r="B897" s="160"/>
      <c r="C897" s="161" t="b">
        <v>0</v>
      </c>
      <c r="D897" s="161"/>
      <c r="E897" s="161"/>
      <c r="F897" s="162"/>
      <c r="G897" s="163"/>
      <c r="H897" s="164"/>
      <c r="I897" s="165"/>
      <c r="J897" s="161"/>
      <c r="K897" s="161"/>
      <c r="L897" s="166"/>
      <c r="M897" s="167"/>
      <c r="N897" s="168"/>
      <c r="O897" s="168"/>
      <c r="P897" s="168"/>
      <c r="Q897" s="169"/>
      <c r="R897" s="167"/>
      <c r="S897" s="142" t="b">
        <v>0</v>
      </c>
      <c r="T897" s="170"/>
      <c r="U897" s="170"/>
      <c r="V897" s="170"/>
      <c r="W897" s="170"/>
      <c r="X897" s="170"/>
      <c r="Y897" s="171"/>
      <c r="Z897" s="71"/>
      <c r="AA897" s="71"/>
      <c r="AB897" s="168"/>
      <c r="AC897" s="172"/>
      <c r="AD897" s="71"/>
      <c r="AE897" s="168"/>
      <c r="AF897" s="168"/>
      <c r="AG897" s="168"/>
      <c r="AH897" s="13"/>
      <c r="AI897" s="13"/>
    </row>
    <row r="898">
      <c r="A898" s="160"/>
      <c r="B898" s="160"/>
      <c r="C898" s="161" t="b">
        <v>0</v>
      </c>
      <c r="D898" s="161"/>
      <c r="E898" s="161"/>
      <c r="F898" s="162"/>
      <c r="G898" s="163"/>
      <c r="H898" s="164"/>
      <c r="I898" s="165"/>
      <c r="J898" s="161"/>
      <c r="K898" s="161"/>
      <c r="L898" s="166"/>
      <c r="M898" s="167"/>
      <c r="N898" s="168"/>
      <c r="O898" s="168"/>
      <c r="P898" s="168"/>
      <c r="Q898" s="169"/>
      <c r="R898" s="167"/>
      <c r="S898" s="142" t="b">
        <v>0</v>
      </c>
      <c r="T898" s="170"/>
      <c r="U898" s="170"/>
      <c r="V898" s="170"/>
      <c r="W898" s="170"/>
      <c r="X898" s="170"/>
      <c r="Y898" s="171"/>
      <c r="Z898" s="71"/>
      <c r="AA898" s="71"/>
      <c r="AB898" s="168"/>
      <c r="AC898" s="172"/>
      <c r="AD898" s="71"/>
      <c r="AE898" s="168"/>
      <c r="AF898" s="168"/>
      <c r="AG898" s="168"/>
      <c r="AH898" s="13"/>
      <c r="AI898" s="13"/>
    </row>
    <row r="899">
      <c r="A899" s="160"/>
      <c r="B899" s="160"/>
      <c r="C899" s="161" t="b">
        <v>0</v>
      </c>
      <c r="D899" s="161"/>
      <c r="E899" s="161"/>
      <c r="F899" s="162"/>
      <c r="G899" s="163"/>
      <c r="H899" s="164"/>
      <c r="I899" s="165"/>
      <c r="J899" s="161"/>
      <c r="K899" s="161"/>
      <c r="L899" s="166"/>
      <c r="M899" s="167"/>
      <c r="N899" s="168"/>
      <c r="O899" s="168"/>
      <c r="P899" s="168"/>
      <c r="Q899" s="169"/>
      <c r="R899" s="167"/>
      <c r="S899" s="142" t="b">
        <v>0</v>
      </c>
      <c r="T899" s="170"/>
      <c r="U899" s="170"/>
      <c r="V899" s="170"/>
      <c r="W899" s="170"/>
      <c r="X899" s="170"/>
      <c r="Y899" s="171"/>
      <c r="Z899" s="71"/>
      <c r="AA899" s="71"/>
      <c r="AB899" s="168"/>
      <c r="AC899" s="172"/>
      <c r="AD899" s="71"/>
      <c r="AE899" s="168"/>
      <c r="AF899" s="168"/>
      <c r="AG899" s="168"/>
      <c r="AH899" s="13"/>
      <c r="AI899" s="13"/>
    </row>
    <row r="900">
      <c r="A900" s="160"/>
      <c r="B900" s="160"/>
      <c r="C900" s="161" t="b">
        <v>0</v>
      </c>
      <c r="D900" s="161"/>
      <c r="E900" s="161"/>
      <c r="F900" s="162"/>
      <c r="G900" s="163"/>
      <c r="H900" s="164"/>
      <c r="I900" s="165"/>
      <c r="J900" s="161"/>
      <c r="K900" s="161"/>
      <c r="L900" s="166"/>
      <c r="M900" s="167"/>
      <c r="N900" s="168"/>
      <c r="O900" s="168"/>
      <c r="P900" s="168"/>
      <c r="Q900" s="169"/>
      <c r="R900" s="167"/>
      <c r="S900" s="142" t="b">
        <v>0</v>
      </c>
      <c r="T900" s="170"/>
      <c r="U900" s="170"/>
      <c r="V900" s="170"/>
      <c r="W900" s="170"/>
      <c r="X900" s="170"/>
      <c r="Y900" s="171"/>
      <c r="Z900" s="71"/>
      <c r="AA900" s="71"/>
      <c r="AB900" s="168"/>
      <c r="AC900" s="172"/>
      <c r="AD900" s="71"/>
      <c r="AE900" s="168"/>
      <c r="AF900" s="168"/>
      <c r="AG900" s="168"/>
      <c r="AH900" s="13"/>
      <c r="AI900" s="13"/>
    </row>
    <row r="901">
      <c r="A901" s="160"/>
      <c r="B901" s="160"/>
      <c r="C901" s="161" t="b">
        <v>0</v>
      </c>
      <c r="D901" s="161"/>
      <c r="E901" s="161"/>
      <c r="F901" s="162"/>
      <c r="G901" s="163"/>
      <c r="H901" s="164"/>
      <c r="I901" s="165"/>
      <c r="J901" s="161"/>
      <c r="K901" s="161"/>
      <c r="L901" s="166"/>
      <c r="M901" s="167"/>
      <c r="N901" s="168"/>
      <c r="O901" s="168"/>
      <c r="P901" s="168"/>
      <c r="Q901" s="169"/>
      <c r="R901" s="167"/>
      <c r="S901" s="142" t="b">
        <v>0</v>
      </c>
      <c r="T901" s="170"/>
      <c r="U901" s="170"/>
      <c r="V901" s="170"/>
      <c r="W901" s="170"/>
      <c r="X901" s="170"/>
      <c r="Y901" s="171"/>
      <c r="Z901" s="71"/>
      <c r="AA901" s="71"/>
      <c r="AB901" s="168"/>
      <c r="AC901" s="172"/>
      <c r="AD901" s="71"/>
      <c r="AE901" s="168"/>
      <c r="AF901" s="168"/>
      <c r="AG901" s="168"/>
      <c r="AH901" s="13"/>
      <c r="AI901" s="13"/>
    </row>
    <row r="902">
      <c r="A902" s="160"/>
      <c r="B902" s="160"/>
      <c r="C902" s="161" t="b">
        <v>0</v>
      </c>
      <c r="D902" s="161"/>
      <c r="E902" s="161"/>
      <c r="F902" s="162"/>
      <c r="G902" s="163"/>
      <c r="H902" s="164"/>
      <c r="I902" s="165"/>
      <c r="J902" s="161"/>
      <c r="K902" s="161"/>
      <c r="L902" s="166"/>
      <c r="M902" s="167"/>
      <c r="N902" s="168"/>
      <c r="O902" s="168"/>
      <c r="P902" s="168"/>
      <c r="Q902" s="169"/>
      <c r="R902" s="167"/>
      <c r="S902" s="142" t="b">
        <v>0</v>
      </c>
      <c r="T902" s="170"/>
      <c r="U902" s="170"/>
      <c r="V902" s="170"/>
      <c r="W902" s="170"/>
      <c r="X902" s="170"/>
      <c r="Y902" s="171"/>
      <c r="Z902" s="71"/>
      <c r="AA902" s="71"/>
      <c r="AB902" s="168"/>
      <c r="AC902" s="172"/>
      <c r="AD902" s="71"/>
      <c r="AE902" s="168"/>
      <c r="AF902" s="168"/>
      <c r="AG902" s="168"/>
      <c r="AH902" s="13"/>
      <c r="AI902" s="13"/>
    </row>
    <row r="903">
      <c r="A903" s="160"/>
      <c r="B903" s="160"/>
      <c r="C903" s="161" t="b">
        <v>0</v>
      </c>
      <c r="D903" s="161"/>
      <c r="E903" s="161"/>
      <c r="F903" s="162"/>
      <c r="G903" s="163"/>
      <c r="H903" s="164"/>
      <c r="I903" s="165"/>
      <c r="J903" s="161"/>
      <c r="K903" s="161"/>
      <c r="L903" s="166"/>
      <c r="M903" s="167"/>
      <c r="N903" s="168"/>
      <c r="O903" s="168"/>
      <c r="P903" s="168"/>
      <c r="Q903" s="169"/>
      <c r="R903" s="167"/>
      <c r="S903" s="142" t="b">
        <v>0</v>
      </c>
      <c r="T903" s="170"/>
      <c r="U903" s="170"/>
      <c r="V903" s="170"/>
      <c r="W903" s="170"/>
      <c r="X903" s="170"/>
      <c r="Y903" s="171"/>
      <c r="Z903" s="71"/>
      <c r="AA903" s="71"/>
      <c r="AB903" s="168"/>
      <c r="AC903" s="172"/>
      <c r="AD903" s="71"/>
      <c r="AE903" s="168"/>
      <c r="AF903" s="168"/>
      <c r="AG903" s="168"/>
      <c r="AH903" s="13"/>
      <c r="AI903" s="13"/>
    </row>
    <row r="904">
      <c r="A904" s="160"/>
      <c r="B904" s="160"/>
      <c r="C904" s="161" t="b">
        <v>0</v>
      </c>
      <c r="D904" s="161"/>
      <c r="E904" s="161"/>
      <c r="F904" s="162"/>
      <c r="G904" s="163"/>
      <c r="H904" s="164"/>
      <c r="I904" s="165"/>
      <c r="J904" s="161"/>
      <c r="K904" s="161"/>
      <c r="L904" s="166"/>
      <c r="M904" s="167"/>
      <c r="N904" s="168"/>
      <c r="O904" s="168"/>
      <c r="P904" s="168"/>
      <c r="Q904" s="169"/>
      <c r="R904" s="167"/>
      <c r="S904" s="142" t="b">
        <v>0</v>
      </c>
      <c r="T904" s="170"/>
      <c r="U904" s="170"/>
      <c r="V904" s="170"/>
      <c r="W904" s="170"/>
      <c r="X904" s="170"/>
      <c r="Y904" s="171"/>
      <c r="Z904" s="71"/>
      <c r="AA904" s="71"/>
      <c r="AB904" s="168"/>
      <c r="AC904" s="172"/>
      <c r="AD904" s="71"/>
      <c r="AE904" s="168"/>
      <c r="AF904" s="168"/>
      <c r="AG904" s="168"/>
      <c r="AH904" s="13"/>
      <c r="AI904" s="13"/>
    </row>
    <row r="905">
      <c r="A905" s="160"/>
      <c r="B905" s="160"/>
      <c r="C905" s="161" t="b">
        <v>0</v>
      </c>
      <c r="D905" s="161"/>
      <c r="E905" s="161"/>
      <c r="F905" s="162"/>
      <c r="G905" s="163"/>
      <c r="H905" s="164"/>
      <c r="I905" s="165"/>
      <c r="J905" s="161"/>
      <c r="K905" s="161"/>
      <c r="L905" s="166"/>
      <c r="M905" s="167"/>
      <c r="N905" s="168"/>
      <c r="O905" s="168"/>
      <c r="P905" s="168"/>
      <c r="Q905" s="169"/>
      <c r="R905" s="167"/>
      <c r="S905" s="142" t="b">
        <v>0</v>
      </c>
      <c r="T905" s="170"/>
      <c r="U905" s="170"/>
      <c r="V905" s="170"/>
      <c r="W905" s="170"/>
      <c r="X905" s="170"/>
      <c r="Y905" s="171"/>
      <c r="Z905" s="71"/>
      <c r="AA905" s="71"/>
      <c r="AB905" s="168"/>
      <c r="AC905" s="172"/>
      <c r="AD905" s="71"/>
      <c r="AE905" s="168"/>
      <c r="AF905" s="168"/>
      <c r="AG905" s="168"/>
      <c r="AH905" s="13"/>
      <c r="AI905" s="13"/>
    </row>
    <row r="906">
      <c r="A906" s="160"/>
      <c r="B906" s="160"/>
      <c r="C906" s="161" t="b">
        <v>0</v>
      </c>
      <c r="D906" s="161"/>
      <c r="E906" s="161"/>
      <c r="F906" s="162"/>
      <c r="G906" s="163"/>
      <c r="H906" s="164"/>
      <c r="I906" s="165"/>
      <c r="J906" s="161"/>
      <c r="K906" s="161"/>
      <c r="L906" s="166"/>
      <c r="M906" s="167"/>
      <c r="N906" s="168"/>
      <c r="O906" s="168"/>
      <c r="P906" s="168"/>
      <c r="Q906" s="169"/>
      <c r="R906" s="167"/>
      <c r="S906" s="142" t="b">
        <v>0</v>
      </c>
      <c r="T906" s="170"/>
      <c r="U906" s="170"/>
      <c r="V906" s="170"/>
      <c r="W906" s="170"/>
      <c r="X906" s="170"/>
      <c r="Y906" s="171"/>
      <c r="Z906" s="71"/>
      <c r="AA906" s="71"/>
      <c r="AB906" s="168"/>
      <c r="AC906" s="172"/>
      <c r="AD906" s="71"/>
      <c r="AE906" s="168"/>
      <c r="AF906" s="168"/>
      <c r="AG906" s="168"/>
      <c r="AH906" s="13"/>
      <c r="AI906" s="13"/>
    </row>
    <row r="907">
      <c r="A907" s="160"/>
      <c r="B907" s="160"/>
      <c r="C907" s="161" t="b">
        <v>0</v>
      </c>
      <c r="D907" s="161"/>
      <c r="E907" s="161"/>
      <c r="F907" s="162"/>
      <c r="G907" s="163"/>
      <c r="H907" s="164"/>
      <c r="I907" s="165"/>
      <c r="J907" s="161"/>
      <c r="K907" s="161"/>
      <c r="L907" s="166"/>
      <c r="M907" s="167"/>
      <c r="N907" s="168"/>
      <c r="O907" s="168"/>
      <c r="P907" s="168"/>
      <c r="Q907" s="169"/>
      <c r="R907" s="167"/>
      <c r="S907" s="142" t="b">
        <v>0</v>
      </c>
      <c r="T907" s="170"/>
      <c r="U907" s="170"/>
      <c r="V907" s="170"/>
      <c r="W907" s="170"/>
      <c r="X907" s="170"/>
      <c r="Y907" s="171"/>
      <c r="Z907" s="71"/>
      <c r="AA907" s="71"/>
      <c r="AB907" s="168"/>
      <c r="AC907" s="172"/>
      <c r="AD907" s="71"/>
      <c r="AE907" s="168"/>
      <c r="AF907" s="168"/>
      <c r="AG907" s="168"/>
      <c r="AH907" s="13"/>
      <c r="AI907" s="13"/>
    </row>
    <row r="908">
      <c r="A908" s="160"/>
      <c r="B908" s="160"/>
      <c r="C908" s="161" t="b">
        <v>0</v>
      </c>
      <c r="D908" s="161"/>
      <c r="E908" s="161"/>
      <c r="F908" s="162"/>
      <c r="G908" s="163"/>
      <c r="H908" s="164"/>
      <c r="I908" s="165"/>
      <c r="J908" s="161"/>
      <c r="K908" s="161"/>
      <c r="L908" s="166"/>
      <c r="M908" s="167"/>
      <c r="N908" s="168"/>
      <c r="O908" s="168"/>
      <c r="P908" s="168"/>
      <c r="Q908" s="169"/>
      <c r="R908" s="167"/>
      <c r="S908" s="142" t="b">
        <v>0</v>
      </c>
      <c r="T908" s="170"/>
      <c r="U908" s="170"/>
      <c r="V908" s="170"/>
      <c r="W908" s="170"/>
      <c r="X908" s="170"/>
      <c r="Y908" s="171"/>
      <c r="Z908" s="71"/>
      <c r="AA908" s="71"/>
      <c r="AB908" s="168"/>
      <c r="AC908" s="172"/>
      <c r="AD908" s="71"/>
      <c r="AE908" s="168"/>
      <c r="AF908" s="168"/>
      <c r="AG908" s="168"/>
      <c r="AH908" s="13"/>
      <c r="AI908" s="13"/>
    </row>
    <row r="909">
      <c r="A909" s="160"/>
      <c r="B909" s="160"/>
      <c r="C909" s="161" t="b">
        <v>0</v>
      </c>
      <c r="D909" s="161"/>
      <c r="E909" s="161"/>
      <c r="F909" s="162"/>
      <c r="G909" s="163"/>
      <c r="H909" s="164"/>
      <c r="I909" s="165"/>
      <c r="J909" s="161"/>
      <c r="K909" s="161"/>
      <c r="L909" s="166"/>
      <c r="M909" s="167"/>
      <c r="N909" s="168"/>
      <c r="O909" s="168"/>
      <c r="P909" s="168"/>
      <c r="Q909" s="169"/>
      <c r="R909" s="167"/>
      <c r="S909" s="142" t="b">
        <v>0</v>
      </c>
      <c r="T909" s="170"/>
      <c r="U909" s="170"/>
      <c r="V909" s="170"/>
      <c r="W909" s="170"/>
      <c r="X909" s="170"/>
      <c r="Y909" s="171"/>
      <c r="Z909" s="71"/>
      <c r="AA909" s="71"/>
      <c r="AB909" s="168"/>
      <c r="AC909" s="172"/>
      <c r="AD909" s="71"/>
      <c r="AE909" s="168"/>
      <c r="AF909" s="168"/>
      <c r="AG909" s="168"/>
      <c r="AH909" s="13"/>
      <c r="AI909" s="13"/>
    </row>
    <row r="910">
      <c r="A910" s="160"/>
      <c r="B910" s="160"/>
      <c r="C910" s="161" t="b">
        <v>0</v>
      </c>
      <c r="D910" s="161"/>
      <c r="E910" s="161"/>
      <c r="F910" s="162"/>
      <c r="G910" s="163"/>
      <c r="H910" s="164"/>
      <c r="I910" s="165"/>
      <c r="J910" s="161"/>
      <c r="K910" s="161"/>
      <c r="L910" s="166"/>
      <c r="M910" s="167"/>
      <c r="N910" s="168"/>
      <c r="O910" s="168"/>
      <c r="P910" s="168"/>
      <c r="Q910" s="169"/>
      <c r="R910" s="167"/>
      <c r="S910" s="142" t="b">
        <v>0</v>
      </c>
      <c r="T910" s="170"/>
      <c r="U910" s="170"/>
      <c r="V910" s="170"/>
      <c r="W910" s="170"/>
      <c r="X910" s="170"/>
      <c r="Y910" s="171"/>
      <c r="Z910" s="71"/>
      <c r="AA910" s="71"/>
      <c r="AB910" s="168"/>
      <c r="AC910" s="172"/>
      <c r="AD910" s="71"/>
      <c r="AE910" s="168"/>
      <c r="AF910" s="168"/>
      <c r="AG910" s="168"/>
      <c r="AH910" s="13"/>
      <c r="AI910" s="13"/>
    </row>
    <row r="911">
      <c r="A911" s="160"/>
      <c r="B911" s="160"/>
      <c r="C911" s="161" t="b">
        <v>0</v>
      </c>
      <c r="D911" s="161"/>
      <c r="E911" s="161"/>
      <c r="F911" s="162"/>
      <c r="G911" s="163"/>
      <c r="H911" s="164"/>
      <c r="I911" s="165"/>
      <c r="J911" s="161"/>
      <c r="K911" s="161"/>
      <c r="L911" s="166"/>
      <c r="M911" s="167"/>
      <c r="N911" s="168"/>
      <c r="O911" s="168"/>
      <c r="P911" s="168"/>
      <c r="Q911" s="169"/>
      <c r="R911" s="167"/>
      <c r="S911" s="142" t="b">
        <v>0</v>
      </c>
      <c r="T911" s="170"/>
      <c r="U911" s="170"/>
      <c r="V911" s="170"/>
      <c r="W911" s="170"/>
      <c r="X911" s="170"/>
      <c r="Y911" s="171"/>
      <c r="Z911" s="71"/>
      <c r="AA911" s="71"/>
      <c r="AB911" s="168"/>
      <c r="AC911" s="172"/>
      <c r="AD911" s="71"/>
      <c r="AE911" s="168"/>
      <c r="AF911" s="168"/>
      <c r="AG911" s="168"/>
      <c r="AH911" s="13"/>
      <c r="AI911" s="13"/>
    </row>
    <row r="912">
      <c r="A912" s="160"/>
      <c r="B912" s="160"/>
      <c r="C912" s="161" t="b">
        <v>0</v>
      </c>
      <c r="D912" s="161"/>
      <c r="E912" s="161"/>
      <c r="F912" s="162"/>
      <c r="G912" s="163"/>
      <c r="H912" s="164"/>
      <c r="I912" s="165"/>
      <c r="J912" s="161"/>
      <c r="K912" s="161"/>
      <c r="L912" s="166"/>
      <c r="M912" s="167"/>
      <c r="N912" s="168"/>
      <c r="O912" s="168"/>
      <c r="P912" s="168"/>
      <c r="Q912" s="169"/>
      <c r="R912" s="167"/>
      <c r="S912" s="142" t="b">
        <v>0</v>
      </c>
      <c r="T912" s="170"/>
      <c r="U912" s="170"/>
      <c r="V912" s="170"/>
      <c r="W912" s="170"/>
      <c r="X912" s="170"/>
      <c r="Y912" s="171"/>
      <c r="Z912" s="71"/>
      <c r="AA912" s="71"/>
      <c r="AB912" s="168"/>
      <c r="AC912" s="172"/>
      <c r="AD912" s="71"/>
      <c r="AE912" s="168"/>
      <c r="AF912" s="168"/>
      <c r="AG912" s="168"/>
      <c r="AH912" s="13"/>
      <c r="AI912" s="13"/>
    </row>
    <row r="913">
      <c r="A913" s="160"/>
      <c r="B913" s="160"/>
      <c r="C913" s="161" t="b">
        <v>0</v>
      </c>
      <c r="D913" s="161"/>
      <c r="E913" s="161"/>
      <c r="F913" s="162"/>
      <c r="G913" s="163"/>
      <c r="H913" s="164"/>
      <c r="I913" s="165"/>
      <c r="J913" s="161"/>
      <c r="K913" s="161"/>
      <c r="L913" s="166"/>
      <c r="M913" s="167"/>
      <c r="N913" s="168"/>
      <c r="O913" s="168"/>
      <c r="P913" s="168"/>
      <c r="Q913" s="169"/>
      <c r="R913" s="167"/>
      <c r="S913" s="142" t="b">
        <v>0</v>
      </c>
      <c r="T913" s="170"/>
      <c r="U913" s="170"/>
      <c r="V913" s="170"/>
      <c r="W913" s="170"/>
      <c r="X913" s="170"/>
      <c r="Y913" s="171"/>
      <c r="Z913" s="71"/>
      <c r="AA913" s="71"/>
      <c r="AB913" s="168"/>
      <c r="AC913" s="172"/>
      <c r="AD913" s="71"/>
      <c r="AE913" s="168"/>
      <c r="AF913" s="168"/>
      <c r="AG913" s="168"/>
      <c r="AH913" s="13"/>
      <c r="AI913" s="13"/>
    </row>
    <row r="914">
      <c r="A914" s="160"/>
      <c r="B914" s="160"/>
      <c r="C914" s="161" t="b">
        <v>0</v>
      </c>
      <c r="D914" s="161"/>
      <c r="E914" s="161"/>
      <c r="F914" s="162"/>
      <c r="G914" s="163"/>
      <c r="H914" s="164"/>
      <c r="I914" s="165"/>
      <c r="J914" s="161"/>
      <c r="K914" s="161"/>
      <c r="L914" s="166"/>
      <c r="M914" s="167"/>
      <c r="N914" s="168"/>
      <c r="O914" s="168"/>
      <c r="P914" s="168"/>
      <c r="Q914" s="169"/>
      <c r="R914" s="167"/>
      <c r="S914" s="142" t="b">
        <v>0</v>
      </c>
      <c r="T914" s="170"/>
      <c r="U914" s="170"/>
      <c r="V914" s="170"/>
      <c r="W914" s="170"/>
      <c r="X914" s="170"/>
      <c r="Y914" s="171"/>
      <c r="Z914" s="71"/>
      <c r="AA914" s="71"/>
      <c r="AB914" s="168"/>
      <c r="AC914" s="172"/>
      <c r="AD914" s="71"/>
      <c r="AE914" s="168"/>
      <c r="AF914" s="168"/>
      <c r="AG914" s="168"/>
      <c r="AH914" s="13"/>
      <c r="AI914" s="13"/>
    </row>
    <row r="915">
      <c r="A915" s="160"/>
      <c r="B915" s="160"/>
      <c r="C915" s="161" t="b">
        <v>0</v>
      </c>
      <c r="D915" s="161"/>
      <c r="E915" s="161"/>
      <c r="F915" s="162"/>
      <c r="G915" s="163"/>
      <c r="H915" s="164"/>
      <c r="I915" s="165"/>
      <c r="J915" s="161"/>
      <c r="K915" s="161"/>
      <c r="L915" s="166"/>
      <c r="M915" s="167"/>
      <c r="N915" s="168"/>
      <c r="O915" s="168"/>
      <c r="P915" s="168"/>
      <c r="Q915" s="169"/>
      <c r="R915" s="167"/>
      <c r="S915" s="142" t="b">
        <v>0</v>
      </c>
      <c r="T915" s="170"/>
      <c r="U915" s="170"/>
      <c r="V915" s="170"/>
      <c r="W915" s="170"/>
      <c r="X915" s="170"/>
      <c r="Y915" s="171"/>
      <c r="Z915" s="71"/>
      <c r="AA915" s="71"/>
      <c r="AB915" s="168"/>
      <c r="AC915" s="172"/>
      <c r="AD915" s="71"/>
      <c r="AE915" s="168"/>
      <c r="AF915" s="168"/>
      <c r="AG915" s="168"/>
      <c r="AH915" s="13"/>
      <c r="AI915" s="13"/>
    </row>
    <row r="916">
      <c r="A916" s="160"/>
      <c r="B916" s="160"/>
      <c r="C916" s="161" t="b">
        <v>0</v>
      </c>
      <c r="D916" s="161"/>
      <c r="E916" s="161"/>
      <c r="F916" s="162"/>
      <c r="G916" s="163"/>
      <c r="H916" s="164"/>
      <c r="I916" s="165"/>
      <c r="J916" s="161"/>
      <c r="K916" s="161"/>
      <c r="L916" s="166"/>
      <c r="M916" s="167"/>
      <c r="N916" s="168"/>
      <c r="O916" s="168"/>
      <c r="P916" s="168"/>
      <c r="Q916" s="169"/>
      <c r="R916" s="167"/>
      <c r="S916" s="142" t="b">
        <v>0</v>
      </c>
      <c r="T916" s="170"/>
      <c r="U916" s="170"/>
      <c r="V916" s="170"/>
      <c r="W916" s="170"/>
      <c r="X916" s="170"/>
      <c r="Y916" s="171"/>
      <c r="Z916" s="71"/>
      <c r="AA916" s="71"/>
      <c r="AB916" s="168"/>
      <c r="AC916" s="172"/>
      <c r="AD916" s="71"/>
      <c r="AE916" s="168"/>
      <c r="AF916" s="168"/>
      <c r="AG916" s="168"/>
      <c r="AH916" s="13"/>
      <c r="AI916" s="13"/>
    </row>
    <row r="917">
      <c r="A917" s="160"/>
      <c r="B917" s="160"/>
      <c r="C917" s="161" t="b">
        <v>0</v>
      </c>
      <c r="D917" s="161"/>
      <c r="E917" s="161"/>
      <c r="F917" s="162"/>
      <c r="G917" s="163"/>
      <c r="H917" s="164"/>
      <c r="I917" s="165"/>
      <c r="J917" s="161"/>
      <c r="K917" s="161"/>
      <c r="L917" s="166"/>
      <c r="M917" s="167"/>
      <c r="N917" s="168"/>
      <c r="O917" s="168"/>
      <c r="P917" s="168"/>
      <c r="Q917" s="169"/>
      <c r="R917" s="167"/>
      <c r="S917" s="142" t="b">
        <v>0</v>
      </c>
      <c r="T917" s="170"/>
      <c r="U917" s="170"/>
      <c r="V917" s="170"/>
      <c r="W917" s="170"/>
      <c r="X917" s="170"/>
      <c r="Y917" s="171"/>
      <c r="Z917" s="71"/>
      <c r="AA917" s="71"/>
      <c r="AB917" s="168"/>
      <c r="AC917" s="172"/>
      <c r="AD917" s="71"/>
      <c r="AE917" s="168"/>
      <c r="AF917" s="168"/>
      <c r="AG917" s="168"/>
      <c r="AH917" s="13"/>
      <c r="AI917" s="13"/>
    </row>
    <row r="918">
      <c r="A918" s="160"/>
      <c r="B918" s="160"/>
      <c r="C918" s="161" t="b">
        <v>0</v>
      </c>
      <c r="D918" s="161"/>
      <c r="E918" s="161"/>
      <c r="F918" s="162"/>
      <c r="G918" s="163"/>
      <c r="H918" s="164"/>
      <c r="I918" s="165"/>
      <c r="J918" s="161"/>
      <c r="K918" s="161"/>
      <c r="L918" s="166"/>
      <c r="M918" s="167"/>
      <c r="N918" s="168"/>
      <c r="O918" s="168"/>
      <c r="P918" s="168"/>
      <c r="Q918" s="169"/>
      <c r="R918" s="167"/>
      <c r="S918" s="142" t="b">
        <v>0</v>
      </c>
      <c r="T918" s="170"/>
      <c r="U918" s="170"/>
      <c r="V918" s="170"/>
      <c r="W918" s="170"/>
      <c r="X918" s="170"/>
      <c r="Y918" s="171"/>
      <c r="Z918" s="71"/>
      <c r="AA918" s="71"/>
      <c r="AB918" s="168"/>
      <c r="AC918" s="172"/>
      <c r="AD918" s="71"/>
      <c r="AE918" s="168"/>
      <c r="AF918" s="168"/>
      <c r="AG918" s="168"/>
      <c r="AH918" s="13"/>
      <c r="AI918" s="13"/>
    </row>
    <row r="919">
      <c r="A919" s="160"/>
      <c r="B919" s="160"/>
      <c r="C919" s="161" t="b">
        <v>0</v>
      </c>
      <c r="D919" s="161"/>
      <c r="E919" s="161"/>
      <c r="F919" s="162"/>
      <c r="G919" s="163"/>
      <c r="H919" s="164"/>
      <c r="I919" s="165"/>
      <c r="J919" s="161"/>
      <c r="K919" s="161"/>
      <c r="L919" s="166"/>
      <c r="M919" s="167"/>
      <c r="N919" s="168"/>
      <c r="O919" s="168"/>
      <c r="P919" s="168"/>
      <c r="Q919" s="169"/>
      <c r="R919" s="167"/>
      <c r="S919" s="142" t="b">
        <v>0</v>
      </c>
      <c r="T919" s="170"/>
      <c r="U919" s="170"/>
      <c r="V919" s="170"/>
      <c r="W919" s="170"/>
      <c r="X919" s="170"/>
      <c r="Y919" s="171"/>
      <c r="Z919" s="71"/>
      <c r="AA919" s="71"/>
      <c r="AB919" s="168"/>
      <c r="AC919" s="172"/>
      <c r="AD919" s="71"/>
      <c r="AE919" s="168"/>
      <c r="AF919" s="168"/>
      <c r="AG919" s="168"/>
      <c r="AH919" s="13"/>
      <c r="AI919" s="13"/>
    </row>
    <row r="920">
      <c r="A920" s="160"/>
      <c r="B920" s="160"/>
      <c r="C920" s="161" t="b">
        <v>0</v>
      </c>
      <c r="D920" s="161"/>
      <c r="E920" s="161"/>
      <c r="F920" s="162"/>
      <c r="G920" s="163"/>
      <c r="H920" s="164"/>
      <c r="I920" s="165"/>
      <c r="J920" s="161"/>
      <c r="K920" s="161"/>
      <c r="L920" s="166"/>
      <c r="M920" s="167"/>
      <c r="N920" s="168"/>
      <c r="O920" s="168"/>
      <c r="P920" s="168"/>
      <c r="Q920" s="169"/>
      <c r="R920" s="167"/>
      <c r="S920" s="142" t="b">
        <v>0</v>
      </c>
      <c r="T920" s="170"/>
      <c r="U920" s="170"/>
      <c r="V920" s="170"/>
      <c r="W920" s="170"/>
      <c r="X920" s="170"/>
      <c r="Y920" s="171"/>
      <c r="Z920" s="71"/>
      <c r="AA920" s="71"/>
      <c r="AB920" s="168"/>
      <c r="AC920" s="172"/>
      <c r="AD920" s="71"/>
      <c r="AE920" s="168"/>
      <c r="AF920" s="168"/>
      <c r="AG920" s="168"/>
      <c r="AH920" s="13"/>
      <c r="AI920" s="13"/>
    </row>
    <row r="921">
      <c r="A921" s="160"/>
      <c r="B921" s="160"/>
      <c r="C921" s="161" t="b">
        <v>0</v>
      </c>
      <c r="D921" s="161"/>
      <c r="E921" s="161"/>
      <c r="F921" s="162"/>
      <c r="G921" s="163"/>
      <c r="H921" s="164"/>
      <c r="I921" s="165"/>
      <c r="J921" s="161"/>
      <c r="K921" s="161"/>
      <c r="L921" s="166"/>
      <c r="M921" s="167"/>
      <c r="N921" s="168"/>
      <c r="O921" s="168"/>
      <c r="P921" s="168"/>
      <c r="Q921" s="169"/>
      <c r="R921" s="167"/>
      <c r="S921" s="142" t="b">
        <v>0</v>
      </c>
      <c r="T921" s="170"/>
      <c r="U921" s="170"/>
      <c r="V921" s="170"/>
      <c r="W921" s="170"/>
      <c r="X921" s="170"/>
      <c r="Y921" s="171"/>
      <c r="Z921" s="71"/>
      <c r="AA921" s="71"/>
      <c r="AB921" s="168"/>
      <c r="AC921" s="172"/>
      <c r="AD921" s="71"/>
      <c r="AE921" s="168"/>
      <c r="AF921" s="168"/>
      <c r="AG921" s="168"/>
      <c r="AH921" s="13"/>
      <c r="AI921" s="13"/>
    </row>
    <row r="922">
      <c r="A922" s="160"/>
      <c r="B922" s="160"/>
      <c r="C922" s="161" t="b">
        <v>0</v>
      </c>
      <c r="D922" s="161"/>
      <c r="E922" s="161"/>
      <c r="F922" s="162"/>
      <c r="G922" s="163"/>
      <c r="H922" s="164"/>
      <c r="I922" s="165"/>
      <c r="J922" s="161"/>
      <c r="K922" s="161"/>
      <c r="L922" s="166"/>
      <c r="M922" s="167"/>
      <c r="N922" s="168"/>
      <c r="O922" s="168"/>
      <c r="P922" s="168"/>
      <c r="Q922" s="169"/>
      <c r="R922" s="167"/>
      <c r="S922" s="142" t="b">
        <v>0</v>
      </c>
      <c r="T922" s="170"/>
      <c r="U922" s="170"/>
      <c r="V922" s="170"/>
      <c r="W922" s="170"/>
      <c r="X922" s="170"/>
      <c r="Y922" s="171"/>
      <c r="Z922" s="71"/>
      <c r="AA922" s="71"/>
      <c r="AB922" s="168"/>
      <c r="AC922" s="172"/>
      <c r="AD922" s="71"/>
      <c r="AE922" s="168"/>
      <c r="AF922" s="168"/>
      <c r="AG922" s="168"/>
      <c r="AH922" s="13"/>
      <c r="AI922" s="13"/>
    </row>
    <row r="923">
      <c r="A923" s="160"/>
      <c r="B923" s="160"/>
      <c r="C923" s="161" t="b">
        <v>0</v>
      </c>
      <c r="D923" s="161"/>
      <c r="E923" s="161"/>
      <c r="F923" s="162"/>
      <c r="G923" s="163"/>
      <c r="H923" s="164"/>
      <c r="I923" s="165"/>
      <c r="J923" s="161"/>
      <c r="K923" s="161"/>
      <c r="L923" s="166"/>
      <c r="M923" s="167"/>
      <c r="N923" s="168"/>
      <c r="O923" s="168"/>
      <c r="P923" s="168"/>
      <c r="Q923" s="169"/>
      <c r="R923" s="167"/>
      <c r="S923" s="142" t="b">
        <v>0</v>
      </c>
      <c r="T923" s="170"/>
      <c r="U923" s="170"/>
      <c r="V923" s="170"/>
      <c r="W923" s="170"/>
      <c r="X923" s="170"/>
      <c r="Y923" s="171"/>
      <c r="Z923" s="71"/>
      <c r="AA923" s="71"/>
      <c r="AB923" s="168"/>
      <c r="AC923" s="172"/>
      <c r="AD923" s="71"/>
      <c r="AE923" s="168"/>
      <c r="AF923" s="168"/>
      <c r="AG923" s="168"/>
      <c r="AH923" s="13"/>
      <c r="AI923" s="13"/>
    </row>
    <row r="924">
      <c r="A924" s="160"/>
      <c r="B924" s="160"/>
      <c r="C924" s="161" t="b">
        <v>0</v>
      </c>
      <c r="D924" s="161"/>
      <c r="E924" s="161"/>
      <c r="F924" s="162"/>
      <c r="G924" s="163"/>
      <c r="H924" s="164"/>
      <c r="I924" s="165"/>
      <c r="J924" s="161"/>
      <c r="K924" s="161"/>
      <c r="L924" s="166"/>
      <c r="M924" s="167"/>
      <c r="N924" s="168"/>
      <c r="O924" s="168"/>
      <c r="P924" s="168"/>
      <c r="Q924" s="169"/>
      <c r="R924" s="167"/>
      <c r="S924" s="142" t="b">
        <v>0</v>
      </c>
      <c r="T924" s="170"/>
      <c r="U924" s="170"/>
      <c r="V924" s="170"/>
      <c r="W924" s="170"/>
      <c r="X924" s="170"/>
      <c r="Y924" s="171"/>
      <c r="Z924" s="71"/>
      <c r="AA924" s="71"/>
      <c r="AB924" s="168"/>
      <c r="AC924" s="172"/>
      <c r="AD924" s="71"/>
      <c r="AE924" s="168"/>
      <c r="AF924" s="168"/>
      <c r="AG924" s="168"/>
      <c r="AH924" s="13"/>
      <c r="AI924" s="13"/>
    </row>
    <row r="925">
      <c r="A925" s="160"/>
      <c r="B925" s="160"/>
      <c r="C925" s="161" t="b">
        <v>0</v>
      </c>
      <c r="D925" s="161"/>
      <c r="E925" s="161"/>
      <c r="F925" s="162"/>
      <c r="G925" s="163"/>
      <c r="H925" s="164"/>
      <c r="I925" s="165"/>
      <c r="J925" s="161"/>
      <c r="K925" s="161"/>
      <c r="L925" s="166"/>
      <c r="M925" s="167"/>
      <c r="N925" s="168"/>
      <c r="O925" s="168"/>
      <c r="P925" s="168"/>
      <c r="Q925" s="169"/>
      <c r="R925" s="167"/>
      <c r="S925" s="142" t="b">
        <v>0</v>
      </c>
      <c r="T925" s="170"/>
      <c r="U925" s="170"/>
      <c r="V925" s="170"/>
      <c r="W925" s="170"/>
      <c r="X925" s="170"/>
      <c r="Y925" s="171"/>
      <c r="Z925" s="71"/>
      <c r="AA925" s="71"/>
      <c r="AB925" s="168"/>
      <c r="AC925" s="172"/>
      <c r="AD925" s="71"/>
      <c r="AE925" s="168"/>
      <c r="AF925" s="168"/>
      <c r="AG925" s="168"/>
      <c r="AH925" s="13"/>
      <c r="AI925" s="13"/>
    </row>
    <row r="926">
      <c r="A926" s="160"/>
      <c r="B926" s="160"/>
      <c r="C926" s="161" t="b">
        <v>0</v>
      </c>
      <c r="D926" s="161"/>
      <c r="E926" s="161"/>
      <c r="F926" s="162"/>
      <c r="G926" s="163"/>
      <c r="H926" s="164"/>
      <c r="I926" s="165"/>
      <c r="J926" s="161"/>
      <c r="K926" s="161"/>
      <c r="L926" s="166"/>
      <c r="M926" s="167"/>
      <c r="N926" s="168"/>
      <c r="O926" s="168"/>
      <c r="P926" s="168"/>
      <c r="Q926" s="169"/>
      <c r="R926" s="167"/>
      <c r="S926" s="142" t="b">
        <v>0</v>
      </c>
      <c r="T926" s="170"/>
      <c r="U926" s="170"/>
      <c r="V926" s="170"/>
      <c r="W926" s="170"/>
      <c r="X926" s="170"/>
      <c r="Y926" s="171"/>
      <c r="Z926" s="71"/>
      <c r="AA926" s="71"/>
      <c r="AB926" s="168"/>
      <c r="AC926" s="172"/>
      <c r="AD926" s="71"/>
      <c r="AE926" s="168"/>
      <c r="AF926" s="168"/>
      <c r="AG926" s="168"/>
      <c r="AH926" s="13"/>
      <c r="AI926" s="13"/>
    </row>
    <row r="927">
      <c r="A927" s="160"/>
      <c r="B927" s="160"/>
      <c r="C927" s="161" t="b">
        <v>0</v>
      </c>
      <c r="D927" s="161"/>
      <c r="E927" s="161"/>
      <c r="F927" s="162"/>
      <c r="G927" s="163"/>
      <c r="H927" s="164"/>
      <c r="I927" s="165"/>
      <c r="J927" s="161"/>
      <c r="K927" s="161"/>
      <c r="L927" s="166"/>
      <c r="M927" s="167"/>
      <c r="N927" s="168"/>
      <c r="O927" s="168"/>
      <c r="P927" s="168"/>
      <c r="Q927" s="169"/>
      <c r="R927" s="167"/>
      <c r="S927" s="142" t="b">
        <v>0</v>
      </c>
      <c r="T927" s="170"/>
      <c r="U927" s="170"/>
      <c r="V927" s="170"/>
      <c r="W927" s="170"/>
      <c r="X927" s="170"/>
      <c r="Y927" s="171"/>
      <c r="Z927" s="71"/>
      <c r="AA927" s="71"/>
      <c r="AB927" s="168"/>
      <c r="AC927" s="172"/>
      <c r="AD927" s="71"/>
      <c r="AE927" s="168"/>
      <c r="AF927" s="168"/>
      <c r="AG927" s="168"/>
      <c r="AH927" s="13"/>
      <c r="AI927" s="13"/>
    </row>
    <row r="928">
      <c r="A928" s="160"/>
      <c r="B928" s="160"/>
      <c r="C928" s="161" t="b">
        <v>0</v>
      </c>
      <c r="D928" s="161"/>
      <c r="E928" s="161"/>
      <c r="F928" s="162"/>
      <c r="G928" s="163"/>
      <c r="H928" s="164"/>
      <c r="I928" s="165"/>
      <c r="J928" s="161"/>
      <c r="K928" s="161"/>
      <c r="L928" s="166"/>
      <c r="M928" s="167"/>
      <c r="N928" s="168"/>
      <c r="O928" s="168"/>
      <c r="P928" s="168"/>
      <c r="Q928" s="169"/>
      <c r="R928" s="167"/>
      <c r="S928" s="142" t="b">
        <v>0</v>
      </c>
      <c r="T928" s="170"/>
      <c r="U928" s="170"/>
      <c r="V928" s="170"/>
      <c r="W928" s="170"/>
      <c r="X928" s="170"/>
      <c r="Y928" s="171"/>
      <c r="Z928" s="71"/>
      <c r="AA928" s="71"/>
      <c r="AB928" s="168"/>
      <c r="AC928" s="172"/>
      <c r="AD928" s="71"/>
      <c r="AE928" s="168"/>
      <c r="AF928" s="168"/>
      <c r="AG928" s="168"/>
      <c r="AH928" s="13"/>
      <c r="AI928" s="13"/>
    </row>
    <row r="929">
      <c r="A929" s="160"/>
      <c r="B929" s="160"/>
      <c r="C929" s="161" t="b">
        <v>0</v>
      </c>
      <c r="D929" s="161"/>
      <c r="E929" s="161"/>
      <c r="F929" s="162"/>
      <c r="G929" s="163"/>
      <c r="H929" s="164"/>
      <c r="I929" s="165"/>
      <c r="J929" s="161"/>
      <c r="K929" s="161"/>
      <c r="L929" s="166"/>
      <c r="M929" s="167"/>
      <c r="N929" s="168"/>
      <c r="O929" s="168"/>
      <c r="P929" s="168"/>
      <c r="Q929" s="169"/>
      <c r="R929" s="167"/>
      <c r="S929" s="142" t="b">
        <v>0</v>
      </c>
      <c r="T929" s="170"/>
      <c r="U929" s="170"/>
      <c r="V929" s="170"/>
      <c r="W929" s="170"/>
      <c r="X929" s="170"/>
      <c r="Y929" s="171"/>
      <c r="Z929" s="71"/>
      <c r="AA929" s="71"/>
      <c r="AB929" s="168"/>
      <c r="AC929" s="172"/>
      <c r="AD929" s="71"/>
      <c r="AE929" s="168"/>
      <c r="AF929" s="168"/>
      <c r="AG929" s="168"/>
      <c r="AH929" s="13"/>
      <c r="AI929" s="13"/>
    </row>
    <row r="930">
      <c r="A930" s="160"/>
      <c r="B930" s="160"/>
      <c r="C930" s="161" t="b">
        <v>0</v>
      </c>
      <c r="D930" s="161"/>
      <c r="E930" s="161"/>
      <c r="F930" s="162"/>
      <c r="G930" s="163"/>
      <c r="H930" s="164"/>
      <c r="I930" s="165"/>
      <c r="J930" s="161"/>
      <c r="K930" s="161"/>
      <c r="L930" s="166"/>
      <c r="M930" s="167"/>
      <c r="N930" s="168"/>
      <c r="O930" s="168"/>
      <c r="P930" s="168"/>
      <c r="Q930" s="169"/>
      <c r="R930" s="167"/>
      <c r="S930" s="142" t="b">
        <v>0</v>
      </c>
      <c r="T930" s="170"/>
      <c r="U930" s="170"/>
      <c r="V930" s="170"/>
      <c r="W930" s="170"/>
      <c r="X930" s="170"/>
      <c r="Y930" s="171"/>
      <c r="Z930" s="71"/>
      <c r="AA930" s="71"/>
      <c r="AB930" s="168"/>
      <c r="AC930" s="172"/>
      <c r="AD930" s="71"/>
      <c r="AE930" s="168"/>
      <c r="AF930" s="168"/>
      <c r="AG930" s="168"/>
      <c r="AH930" s="13"/>
      <c r="AI930" s="13"/>
    </row>
    <row r="931">
      <c r="A931" s="160"/>
      <c r="B931" s="160"/>
      <c r="C931" s="161" t="b">
        <v>0</v>
      </c>
      <c r="D931" s="161"/>
      <c r="E931" s="161"/>
      <c r="F931" s="162"/>
      <c r="G931" s="163"/>
      <c r="H931" s="164"/>
      <c r="I931" s="165"/>
      <c r="J931" s="161"/>
      <c r="K931" s="161"/>
      <c r="L931" s="166"/>
      <c r="M931" s="167"/>
      <c r="N931" s="168"/>
      <c r="O931" s="168"/>
      <c r="P931" s="168"/>
      <c r="Q931" s="169"/>
      <c r="R931" s="167"/>
      <c r="S931" s="142" t="b">
        <v>0</v>
      </c>
      <c r="T931" s="170"/>
      <c r="U931" s="170"/>
      <c r="V931" s="170"/>
      <c r="W931" s="170"/>
      <c r="X931" s="170"/>
      <c r="Y931" s="171"/>
      <c r="Z931" s="71"/>
      <c r="AA931" s="71"/>
      <c r="AB931" s="168"/>
      <c r="AC931" s="172"/>
      <c r="AD931" s="71"/>
      <c r="AE931" s="168"/>
      <c r="AF931" s="168"/>
      <c r="AG931" s="168"/>
      <c r="AH931" s="13"/>
      <c r="AI931" s="13"/>
    </row>
    <row r="932">
      <c r="A932" s="160"/>
      <c r="B932" s="160"/>
      <c r="C932" s="161" t="b">
        <v>0</v>
      </c>
      <c r="D932" s="161"/>
      <c r="E932" s="161"/>
      <c r="F932" s="162"/>
      <c r="G932" s="163"/>
      <c r="H932" s="164"/>
      <c r="I932" s="165"/>
      <c r="J932" s="161"/>
      <c r="K932" s="161"/>
      <c r="L932" s="166"/>
      <c r="M932" s="167"/>
      <c r="N932" s="168"/>
      <c r="O932" s="168"/>
      <c r="P932" s="168"/>
      <c r="Q932" s="169"/>
      <c r="R932" s="167"/>
      <c r="S932" s="142" t="b">
        <v>0</v>
      </c>
      <c r="T932" s="170"/>
      <c r="U932" s="170"/>
      <c r="V932" s="170"/>
      <c r="W932" s="170"/>
      <c r="X932" s="170"/>
      <c r="Y932" s="171"/>
      <c r="Z932" s="71"/>
      <c r="AA932" s="71"/>
      <c r="AB932" s="168"/>
      <c r="AC932" s="172"/>
      <c r="AD932" s="71"/>
      <c r="AE932" s="168"/>
      <c r="AF932" s="168"/>
      <c r="AG932" s="168"/>
      <c r="AH932" s="13"/>
      <c r="AI932" s="13"/>
    </row>
    <row r="933">
      <c r="A933" s="160"/>
      <c r="B933" s="160"/>
      <c r="C933" s="161" t="b">
        <v>0</v>
      </c>
      <c r="D933" s="161"/>
      <c r="E933" s="161"/>
      <c r="F933" s="162"/>
      <c r="G933" s="163"/>
      <c r="H933" s="164"/>
      <c r="I933" s="165"/>
      <c r="J933" s="161"/>
      <c r="K933" s="161"/>
      <c r="L933" s="166"/>
      <c r="M933" s="167"/>
      <c r="N933" s="168"/>
      <c r="O933" s="168"/>
      <c r="P933" s="168"/>
      <c r="Q933" s="169"/>
      <c r="R933" s="167"/>
      <c r="S933" s="142" t="b">
        <v>0</v>
      </c>
      <c r="T933" s="170"/>
      <c r="U933" s="170"/>
      <c r="V933" s="170"/>
      <c r="W933" s="170"/>
      <c r="X933" s="170"/>
      <c r="Y933" s="171"/>
      <c r="Z933" s="71"/>
      <c r="AA933" s="71"/>
      <c r="AB933" s="168"/>
      <c r="AC933" s="172"/>
      <c r="AD933" s="71"/>
      <c r="AE933" s="168"/>
      <c r="AF933" s="168"/>
      <c r="AG933" s="168"/>
      <c r="AH933" s="13"/>
      <c r="AI933" s="13"/>
    </row>
    <row r="934">
      <c r="A934" s="160"/>
      <c r="B934" s="160"/>
      <c r="C934" s="161" t="b">
        <v>0</v>
      </c>
      <c r="D934" s="161"/>
      <c r="E934" s="161"/>
      <c r="F934" s="162"/>
      <c r="G934" s="163"/>
      <c r="H934" s="164"/>
      <c r="I934" s="165"/>
      <c r="J934" s="161"/>
      <c r="K934" s="161"/>
      <c r="L934" s="166"/>
      <c r="M934" s="167"/>
      <c r="N934" s="168"/>
      <c r="O934" s="168"/>
      <c r="P934" s="168"/>
      <c r="Q934" s="169"/>
      <c r="R934" s="167"/>
      <c r="S934" s="142" t="b">
        <v>0</v>
      </c>
      <c r="T934" s="170"/>
      <c r="U934" s="170"/>
      <c r="V934" s="170"/>
      <c r="W934" s="170"/>
      <c r="X934" s="170"/>
      <c r="Y934" s="171"/>
      <c r="Z934" s="71"/>
      <c r="AA934" s="71"/>
      <c r="AB934" s="168"/>
      <c r="AC934" s="172"/>
      <c r="AD934" s="71"/>
      <c r="AE934" s="168"/>
      <c r="AF934" s="168"/>
      <c r="AG934" s="168"/>
      <c r="AH934" s="13"/>
      <c r="AI934" s="13"/>
    </row>
    <row r="935">
      <c r="A935" s="160"/>
      <c r="B935" s="160"/>
      <c r="C935" s="161" t="b">
        <v>0</v>
      </c>
      <c r="D935" s="161"/>
      <c r="E935" s="161"/>
      <c r="F935" s="162"/>
      <c r="G935" s="163"/>
      <c r="H935" s="164"/>
      <c r="I935" s="165"/>
      <c r="J935" s="161"/>
      <c r="K935" s="161"/>
      <c r="L935" s="166"/>
      <c r="M935" s="167"/>
      <c r="N935" s="168"/>
      <c r="O935" s="168"/>
      <c r="P935" s="168"/>
      <c r="Q935" s="169"/>
      <c r="R935" s="167"/>
      <c r="S935" s="142" t="b">
        <v>0</v>
      </c>
      <c r="T935" s="170"/>
      <c r="U935" s="170"/>
      <c r="V935" s="170"/>
      <c r="W935" s="170"/>
      <c r="X935" s="170"/>
      <c r="Y935" s="171"/>
      <c r="Z935" s="71"/>
      <c r="AA935" s="71"/>
      <c r="AB935" s="168"/>
      <c r="AC935" s="172"/>
      <c r="AD935" s="71"/>
      <c r="AE935" s="168"/>
      <c r="AF935" s="168"/>
      <c r="AG935" s="168"/>
      <c r="AH935" s="13"/>
      <c r="AI935" s="13"/>
    </row>
    <row r="936">
      <c r="A936" s="160"/>
      <c r="B936" s="160"/>
      <c r="C936" s="161" t="b">
        <v>0</v>
      </c>
      <c r="D936" s="161"/>
      <c r="E936" s="161"/>
      <c r="F936" s="162"/>
      <c r="G936" s="163"/>
      <c r="H936" s="164"/>
      <c r="I936" s="165"/>
      <c r="J936" s="161"/>
      <c r="K936" s="161"/>
      <c r="L936" s="166"/>
      <c r="M936" s="167"/>
      <c r="N936" s="168"/>
      <c r="O936" s="168"/>
      <c r="P936" s="168"/>
      <c r="Q936" s="169"/>
      <c r="R936" s="167"/>
      <c r="S936" s="142" t="b">
        <v>0</v>
      </c>
      <c r="T936" s="170"/>
      <c r="U936" s="170"/>
      <c r="V936" s="170"/>
      <c r="W936" s="170"/>
      <c r="X936" s="170"/>
      <c r="Y936" s="171"/>
      <c r="Z936" s="71"/>
      <c r="AA936" s="71"/>
      <c r="AB936" s="168"/>
      <c r="AC936" s="172"/>
      <c r="AD936" s="71"/>
      <c r="AE936" s="168"/>
      <c r="AF936" s="168"/>
      <c r="AG936" s="168"/>
      <c r="AH936" s="13"/>
      <c r="AI936" s="13"/>
    </row>
    <row r="937">
      <c r="A937" s="160"/>
      <c r="B937" s="160"/>
      <c r="C937" s="161" t="b">
        <v>0</v>
      </c>
      <c r="D937" s="161"/>
      <c r="E937" s="161"/>
      <c r="F937" s="162"/>
      <c r="G937" s="163"/>
      <c r="H937" s="164"/>
      <c r="I937" s="165"/>
      <c r="J937" s="161"/>
      <c r="K937" s="161"/>
      <c r="L937" s="166"/>
      <c r="M937" s="167"/>
      <c r="N937" s="168"/>
      <c r="O937" s="168"/>
      <c r="P937" s="168"/>
      <c r="Q937" s="169"/>
      <c r="R937" s="167"/>
      <c r="S937" s="142" t="b">
        <v>0</v>
      </c>
      <c r="T937" s="170"/>
      <c r="U937" s="170"/>
      <c r="V937" s="170"/>
      <c r="W937" s="170"/>
      <c r="X937" s="170"/>
      <c r="Y937" s="171"/>
      <c r="Z937" s="71"/>
      <c r="AA937" s="71"/>
      <c r="AB937" s="168"/>
      <c r="AC937" s="172"/>
      <c r="AD937" s="71"/>
      <c r="AE937" s="168"/>
      <c r="AF937" s="168"/>
      <c r="AG937" s="168"/>
      <c r="AH937" s="13"/>
      <c r="AI937" s="13"/>
    </row>
    <row r="938">
      <c r="A938" s="160"/>
      <c r="B938" s="160"/>
      <c r="C938" s="161" t="b">
        <v>0</v>
      </c>
      <c r="D938" s="161"/>
      <c r="E938" s="161"/>
      <c r="F938" s="162"/>
      <c r="G938" s="163"/>
      <c r="H938" s="164"/>
      <c r="I938" s="165"/>
      <c r="J938" s="161"/>
      <c r="K938" s="161"/>
      <c r="L938" s="166"/>
      <c r="M938" s="167"/>
      <c r="N938" s="168"/>
      <c r="O938" s="168"/>
      <c r="P938" s="168"/>
      <c r="Q938" s="169"/>
      <c r="R938" s="167"/>
      <c r="S938" s="142" t="b">
        <v>0</v>
      </c>
      <c r="T938" s="170"/>
      <c r="U938" s="170"/>
      <c r="V938" s="170"/>
      <c r="W938" s="170"/>
      <c r="X938" s="170"/>
      <c r="Y938" s="171"/>
      <c r="Z938" s="71"/>
      <c r="AA938" s="71"/>
      <c r="AB938" s="168"/>
      <c r="AC938" s="172"/>
      <c r="AD938" s="71"/>
      <c r="AE938" s="168"/>
      <c r="AF938" s="168"/>
      <c r="AG938" s="168"/>
      <c r="AH938" s="13"/>
      <c r="AI938" s="13"/>
    </row>
    <row r="939">
      <c r="A939" s="160"/>
      <c r="B939" s="160"/>
      <c r="C939" s="161" t="b">
        <v>0</v>
      </c>
      <c r="D939" s="161"/>
      <c r="E939" s="161"/>
      <c r="F939" s="162"/>
      <c r="G939" s="163"/>
      <c r="H939" s="164"/>
      <c r="I939" s="165"/>
      <c r="J939" s="161"/>
      <c r="K939" s="161"/>
      <c r="L939" s="166"/>
      <c r="M939" s="167"/>
      <c r="N939" s="168"/>
      <c r="O939" s="168"/>
      <c r="P939" s="168"/>
      <c r="Q939" s="169"/>
      <c r="R939" s="167"/>
      <c r="S939" s="142" t="b">
        <v>0</v>
      </c>
      <c r="T939" s="170"/>
      <c r="U939" s="170"/>
      <c r="V939" s="170"/>
      <c r="W939" s="170"/>
      <c r="X939" s="170"/>
      <c r="Y939" s="171"/>
      <c r="Z939" s="71"/>
      <c r="AA939" s="71"/>
      <c r="AB939" s="168"/>
      <c r="AC939" s="172"/>
      <c r="AD939" s="71"/>
      <c r="AE939" s="168"/>
      <c r="AF939" s="168"/>
      <c r="AG939" s="168"/>
      <c r="AH939" s="13"/>
      <c r="AI939" s="13"/>
    </row>
    <row r="940">
      <c r="A940" s="160"/>
      <c r="B940" s="160"/>
      <c r="C940" s="161" t="b">
        <v>0</v>
      </c>
      <c r="D940" s="161"/>
      <c r="E940" s="161"/>
      <c r="F940" s="162"/>
      <c r="G940" s="163"/>
      <c r="H940" s="164"/>
      <c r="I940" s="165"/>
      <c r="J940" s="161"/>
      <c r="K940" s="161"/>
      <c r="L940" s="166"/>
      <c r="M940" s="167"/>
      <c r="N940" s="168"/>
      <c r="O940" s="168"/>
      <c r="P940" s="168"/>
      <c r="Q940" s="169"/>
      <c r="R940" s="167"/>
      <c r="S940" s="142" t="b">
        <v>0</v>
      </c>
      <c r="T940" s="170"/>
      <c r="U940" s="170"/>
      <c r="V940" s="170"/>
      <c r="W940" s="170"/>
      <c r="X940" s="170"/>
      <c r="Y940" s="171"/>
      <c r="Z940" s="71"/>
      <c r="AA940" s="71"/>
      <c r="AB940" s="168"/>
      <c r="AC940" s="172"/>
      <c r="AD940" s="71"/>
      <c r="AE940" s="168"/>
      <c r="AF940" s="168"/>
      <c r="AG940" s="168"/>
      <c r="AH940" s="13"/>
      <c r="AI940" s="13"/>
    </row>
    <row r="941">
      <c r="A941" s="160"/>
      <c r="B941" s="160"/>
      <c r="C941" s="161" t="b">
        <v>0</v>
      </c>
      <c r="D941" s="161"/>
      <c r="E941" s="161"/>
      <c r="F941" s="162"/>
      <c r="G941" s="163"/>
      <c r="H941" s="164"/>
      <c r="I941" s="165"/>
      <c r="J941" s="161"/>
      <c r="K941" s="161"/>
      <c r="L941" s="166"/>
      <c r="M941" s="167"/>
      <c r="N941" s="168"/>
      <c r="O941" s="168"/>
      <c r="P941" s="168"/>
      <c r="Q941" s="169"/>
      <c r="R941" s="167"/>
      <c r="S941" s="142" t="b">
        <v>0</v>
      </c>
      <c r="T941" s="170"/>
      <c r="U941" s="170"/>
      <c r="V941" s="170"/>
      <c r="W941" s="170"/>
      <c r="X941" s="170"/>
      <c r="Y941" s="171"/>
      <c r="Z941" s="71"/>
      <c r="AA941" s="71"/>
      <c r="AB941" s="168"/>
      <c r="AC941" s="172"/>
      <c r="AD941" s="71"/>
      <c r="AE941" s="168"/>
      <c r="AF941" s="168"/>
      <c r="AG941" s="168"/>
      <c r="AH941" s="13"/>
      <c r="AI941" s="13"/>
    </row>
    <row r="942">
      <c r="A942" s="160"/>
      <c r="B942" s="160"/>
      <c r="C942" s="161" t="b">
        <v>0</v>
      </c>
      <c r="D942" s="161"/>
      <c r="E942" s="161"/>
      <c r="F942" s="162"/>
      <c r="G942" s="163"/>
      <c r="H942" s="164"/>
      <c r="I942" s="165"/>
      <c r="J942" s="161"/>
      <c r="K942" s="161"/>
      <c r="L942" s="166"/>
      <c r="M942" s="167"/>
      <c r="N942" s="168"/>
      <c r="O942" s="168"/>
      <c r="P942" s="168"/>
      <c r="Q942" s="169"/>
      <c r="R942" s="167"/>
      <c r="S942" s="142" t="b">
        <v>0</v>
      </c>
      <c r="T942" s="170"/>
      <c r="U942" s="170"/>
      <c r="V942" s="170"/>
      <c r="W942" s="170"/>
      <c r="X942" s="170"/>
      <c r="Y942" s="171"/>
      <c r="Z942" s="71"/>
      <c r="AA942" s="71"/>
      <c r="AB942" s="168"/>
      <c r="AC942" s="172"/>
      <c r="AD942" s="71"/>
      <c r="AE942" s="168"/>
      <c r="AF942" s="168"/>
      <c r="AG942" s="168"/>
      <c r="AH942" s="13"/>
      <c r="AI942" s="13"/>
    </row>
    <row r="943">
      <c r="A943" s="160"/>
      <c r="B943" s="160"/>
      <c r="C943" s="161" t="b">
        <v>0</v>
      </c>
      <c r="D943" s="161"/>
      <c r="E943" s="161"/>
      <c r="F943" s="162"/>
      <c r="G943" s="163"/>
      <c r="H943" s="164"/>
      <c r="I943" s="165"/>
      <c r="J943" s="161"/>
      <c r="K943" s="161"/>
      <c r="L943" s="166"/>
      <c r="M943" s="167"/>
      <c r="N943" s="168"/>
      <c r="O943" s="168"/>
      <c r="P943" s="168"/>
      <c r="Q943" s="169"/>
      <c r="R943" s="167"/>
      <c r="S943" s="142" t="b">
        <v>0</v>
      </c>
      <c r="T943" s="170"/>
      <c r="U943" s="170"/>
      <c r="V943" s="170"/>
      <c r="W943" s="170"/>
      <c r="X943" s="170"/>
      <c r="Y943" s="171"/>
      <c r="Z943" s="71"/>
      <c r="AA943" s="71"/>
      <c r="AB943" s="168"/>
      <c r="AC943" s="172"/>
      <c r="AD943" s="71"/>
      <c r="AE943" s="168"/>
      <c r="AF943" s="168"/>
      <c r="AG943" s="168"/>
      <c r="AH943" s="13"/>
      <c r="AI943" s="13"/>
    </row>
    <row r="944">
      <c r="A944" s="160"/>
      <c r="B944" s="160"/>
      <c r="C944" s="161" t="b">
        <v>0</v>
      </c>
      <c r="D944" s="161"/>
      <c r="E944" s="161"/>
      <c r="F944" s="162"/>
      <c r="G944" s="163"/>
      <c r="H944" s="164"/>
      <c r="I944" s="165"/>
      <c r="J944" s="161"/>
      <c r="K944" s="161"/>
      <c r="L944" s="166"/>
      <c r="M944" s="167"/>
      <c r="N944" s="168"/>
      <c r="O944" s="168"/>
      <c r="P944" s="168"/>
      <c r="Q944" s="169"/>
      <c r="R944" s="167"/>
      <c r="S944" s="142" t="b">
        <v>0</v>
      </c>
      <c r="T944" s="170"/>
      <c r="U944" s="170"/>
      <c r="V944" s="170"/>
      <c r="W944" s="170"/>
      <c r="X944" s="170"/>
      <c r="Y944" s="171"/>
      <c r="Z944" s="71"/>
      <c r="AA944" s="71"/>
      <c r="AB944" s="168"/>
      <c r="AC944" s="172"/>
      <c r="AD944" s="71"/>
      <c r="AE944" s="168"/>
      <c r="AF944" s="168"/>
      <c r="AG944" s="168"/>
      <c r="AH944" s="13"/>
      <c r="AI944" s="13"/>
    </row>
    <row r="945">
      <c r="A945" s="160"/>
      <c r="B945" s="160"/>
      <c r="C945" s="161" t="b">
        <v>0</v>
      </c>
      <c r="D945" s="161"/>
      <c r="E945" s="161"/>
      <c r="F945" s="162"/>
      <c r="G945" s="163"/>
      <c r="H945" s="164"/>
      <c r="I945" s="165"/>
      <c r="J945" s="161"/>
      <c r="K945" s="161"/>
      <c r="L945" s="166"/>
      <c r="M945" s="167"/>
      <c r="N945" s="168"/>
      <c r="O945" s="168"/>
      <c r="P945" s="168"/>
      <c r="Q945" s="169"/>
      <c r="R945" s="167"/>
      <c r="S945" s="142" t="b">
        <v>0</v>
      </c>
      <c r="T945" s="170"/>
      <c r="U945" s="170"/>
      <c r="V945" s="170"/>
      <c r="W945" s="170"/>
      <c r="X945" s="170"/>
      <c r="Y945" s="171"/>
      <c r="Z945" s="71"/>
      <c r="AA945" s="71"/>
      <c r="AB945" s="168"/>
      <c r="AC945" s="172"/>
      <c r="AD945" s="71"/>
      <c r="AE945" s="168"/>
      <c r="AF945" s="168"/>
      <c r="AG945" s="168"/>
      <c r="AH945" s="13"/>
      <c r="AI945" s="13"/>
    </row>
    <row r="946">
      <c r="A946" s="160"/>
      <c r="B946" s="160"/>
      <c r="C946" s="161" t="b">
        <v>0</v>
      </c>
      <c r="D946" s="161"/>
      <c r="E946" s="161"/>
      <c r="F946" s="162"/>
      <c r="G946" s="163"/>
      <c r="H946" s="164"/>
      <c r="I946" s="165"/>
      <c r="J946" s="161"/>
      <c r="K946" s="161"/>
      <c r="L946" s="166"/>
      <c r="M946" s="167"/>
      <c r="N946" s="168"/>
      <c r="O946" s="168"/>
      <c r="P946" s="168"/>
      <c r="Q946" s="169"/>
      <c r="R946" s="167"/>
      <c r="S946" s="142" t="b">
        <v>0</v>
      </c>
      <c r="T946" s="170"/>
      <c r="U946" s="170"/>
      <c r="V946" s="170"/>
      <c r="W946" s="170"/>
      <c r="X946" s="170"/>
      <c r="Y946" s="171"/>
      <c r="Z946" s="71"/>
      <c r="AA946" s="71"/>
      <c r="AB946" s="168"/>
      <c r="AC946" s="172"/>
      <c r="AD946" s="71"/>
      <c r="AE946" s="168"/>
      <c r="AF946" s="168"/>
      <c r="AG946" s="168"/>
      <c r="AH946" s="13"/>
      <c r="AI946" s="13"/>
    </row>
    <row r="947">
      <c r="A947" s="160"/>
      <c r="B947" s="160"/>
      <c r="C947" s="161" t="b">
        <v>0</v>
      </c>
      <c r="D947" s="161"/>
      <c r="E947" s="161"/>
      <c r="F947" s="162"/>
      <c r="G947" s="163"/>
      <c r="H947" s="164"/>
      <c r="I947" s="165"/>
      <c r="J947" s="161"/>
      <c r="K947" s="161"/>
      <c r="L947" s="166"/>
      <c r="M947" s="167"/>
      <c r="N947" s="168"/>
      <c r="O947" s="168"/>
      <c r="P947" s="168"/>
      <c r="Q947" s="169"/>
      <c r="R947" s="167"/>
      <c r="S947" s="142" t="b">
        <v>0</v>
      </c>
      <c r="T947" s="170"/>
      <c r="U947" s="170"/>
      <c r="V947" s="170"/>
      <c r="W947" s="170"/>
      <c r="X947" s="170"/>
      <c r="Y947" s="171"/>
      <c r="Z947" s="71"/>
      <c r="AA947" s="71"/>
      <c r="AB947" s="168"/>
      <c r="AC947" s="172"/>
      <c r="AD947" s="71"/>
      <c r="AE947" s="168"/>
      <c r="AF947" s="168"/>
      <c r="AG947" s="168"/>
      <c r="AH947" s="13"/>
      <c r="AI947" s="13"/>
    </row>
    <row r="948">
      <c r="A948" s="160"/>
      <c r="B948" s="160"/>
      <c r="C948" s="161" t="b">
        <v>0</v>
      </c>
      <c r="D948" s="161"/>
      <c r="E948" s="161"/>
      <c r="F948" s="162"/>
      <c r="G948" s="163"/>
      <c r="H948" s="164"/>
      <c r="I948" s="165"/>
      <c r="J948" s="161"/>
      <c r="K948" s="161"/>
      <c r="L948" s="166"/>
      <c r="M948" s="167"/>
      <c r="N948" s="168"/>
      <c r="O948" s="168"/>
      <c r="P948" s="168"/>
      <c r="Q948" s="169"/>
      <c r="R948" s="167"/>
      <c r="S948" s="142" t="b">
        <v>0</v>
      </c>
      <c r="T948" s="170"/>
      <c r="U948" s="170"/>
      <c r="V948" s="170"/>
      <c r="W948" s="170"/>
      <c r="X948" s="170"/>
      <c r="Y948" s="171"/>
      <c r="Z948" s="71"/>
      <c r="AA948" s="71"/>
      <c r="AB948" s="168"/>
      <c r="AC948" s="172"/>
      <c r="AD948" s="71"/>
      <c r="AE948" s="168"/>
      <c r="AF948" s="168"/>
      <c r="AG948" s="168"/>
      <c r="AH948" s="13"/>
      <c r="AI948" s="13"/>
    </row>
    <row r="949">
      <c r="A949" s="160"/>
      <c r="B949" s="160"/>
      <c r="C949" s="161" t="b">
        <v>0</v>
      </c>
      <c r="D949" s="161"/>
      <c r="E949" s="161"/>
      <c r="F949" s="162"/>
      <c r="G949" s="163"/>
      <c r="H949" s="164"/>
      <c r="I949" s="165"/>
      <c r="J949" s="161"/>
      <c r="K949" s="161"/>
      <c r="L949" s="166"/>
      <c r="M949" s="167"/>
      <c r="N949" s="168"/>
      <c r="O949" s="168"/>
      <c r="P949" s="168"/>
      <c r="Q949" s="169"/>
      <c r="R949" s="167"/>
      <c r="S949" s="142" t="b">
        <v>0</v>
      </c>
      <c r="T949" s="170"/>
      <c r="U949" s="170"/>
      <c r="V949" s="170"/>
      <c r="W949" s="170"/>
      <c r="X949" s="170"/>
      <c r="Y949" s="171"/>
      <c r="Z949" s="71"/>
      <c r="AA949" s="71"/>
      <c r="AB949" s="168"/>
      <c r="AC949" s="172"/>
      <c r="AD949" s="71"/>
      <c r="AE949" s="168"/>
      <c r="AF949" s="168"/>
      <c r="AG949" s="168"/>
      <c r="AH949" s="13"/>
      <c r="AI949" s="13"/>
    </row>
    <row r="950">
      <c r="A950" s="160"/>
      <c r="B950" s="160"/>
      <c r="C950" s="161" t="b">
        <v>0</v>
      </c>
      <c r="D950" s="161"/>
      <c r="E950" s="161"/>
      <c r="F950" s="162"/>
      <c r="G950" s="163"/>
      <c r="H950" s="164"/>
      <c r="I950" s="165"/>
      <c r="J950" s="161"/>
      <c r="K950" s="161"/>
      <c r="L950" s="166"/>
      <c r="M950" s="167"/>
      <c r="N950" s="168"/>
      <c r="O950" s="168"/>
      <c r="P950" s="168"/>
      <c r="Q950" s="169"/>
      <c r="R950" s="167"/>
      <c r="S950" s="142" t="b">
        <v>0</v>
      </c>
      <c r="T950" s="170"/>
      <c r="U950" s="170"/>
      <c r="V950" s="170"/>
      <c r="W950" s="170"/>
      <c r="X950" s="170"/>
      <c r="Y950" s="171"/>
      <c r="Z950" s="71"/>
      <c r="AA950" s="71"/>
      <c r="AB950" s="168"/>
      <c r="AC950" s="172"/>
      <c r="AD950" s="71"/>
      <c r="AE950" s="168"/>
      <c r="AF950" s="168"/>
      <c r="AG950" s="168"/>
      <c r="AH950" s="13"/>
      <c r="AI950" s="13"/>
    </row>
    <row r="951">
      <c r="A951" s="160"/>
      <c r="B951" s="160"/>
      <c r="C951" s="161" t="b">
        <v>0</v>
      </c>
      <c r="D951" s="161"/>
      <c r="E951" s="161"/>
      <c r="F951" s="162"/>
      <c r="G951" s="163"/>
      <c r="H951" s="164"/>
      <c r="I951" s="165"/>
      <c r="J951" s="161"/>
      <c r="K951" s="161"/>
      <c r="L951" s="166"/>
      <c r="M951" s="167"/>
      <c r="N951" s="168"/>
      <c r="O951" s="168"/>
      <c r="P951" s="168"/>
      <c r="Q951" s="169"/>
      <c r="R951" s="167"/>
      <c r="S951" s="142" t="b">
        <v>0</v>
      </c>
      <c r="T951" s="170"/>
      <c r="U951" s="170"/>
      <c r="V951" s="170"/>
      <c r="W951" s="170"/>
      <c r="X951" s="170"/>
      <c r="Y951" s="171"/>
      <c r="Z951" s="71"/>
      <c r="AA951" s="71"/>
      <c r="AB951" s="168"/>
      <c r="AC951" s="172"/>
      <c r="AD951" s="71"/>
      <c r="AE951" s="168"/>
      <c r="AF951" s="168"/>
      <c r="AG951" s="168"/>
      <c r="AH951" s="13"/>
      <c r="AI951" s="13"/>
    </row>
    <row r="952">
      <c r="A952" s="160"/>
      <c r="B952" s="160"/>
      <c r="C952" s="161" t="b">
        <v>0</v>
      </c>
      <c r="D952" s="161"/>
      <c r="E952" s="161"/>
      <c r="F952" s="162"/>
      <c r="G952" s="163"/>
      <c r="H952" s="164"/>
      <c r="I952" s="165"/>
      <c r="J952" s="161"/>
      <c r="K952" s="161"/>
      <c r="L952" s="166"/>
      <c r="M952" s="167"/>
      <c r="N952" s="168"/>
      <c r="O952" s="168"/>
      <c r="P952" s="168"/>
      <c r="Q952" s="169"/>
      <c r="R952" s="167"/>
      <c r="S952" s="142" t="b">
        <v>0</v>
      </c>
      <c r="T952" s="170"/>
      <c r="U952" s="170"/>
      <c r="V952" s="170"/>
      <c r="W952" s="170"/>
      <c r="X952" s="170"/>
      <c r="Y952" s="171"/>
      <c r="Z952" s="71"/>
      <c r="AA952" s="71"/>
      <c r="AB952" s="168"/>
      <c r="AC952" s="172"/>
      <c r="AD952" s="71"/>
      <c r="AE952" s="168"/>
      <c r="AF952" s="168"/>
      <c r="AG952" s="168"/>
      <c r="AH952" s="13"/>
      <c r="AI952" s="13"/>
    </row>
    <row r="953">
      <c r="A953" s="160"/>
      <c r="B953" s="160"/>
      <c r="C953" s="161" t="b">
        <v>0</v>
      </c>
      <c r="D953" s="161"/>
      <c r="E953" s="161"/>
      <c r="F953" s="162"/>
      <c r="G953" s="163"/>
      <c r="H953" s="164"/>
      <c r="I953" s="165"/>
      <c r="J953" s="161"/>
      <c r="K953" s="161"/>
      <c r="L953" s="166"/>
      <c r="M953" s="167"/>
      <c r="N953" s="168"/>
      <c r="O953" s="168"/>
      <c r="P953" s="168"/>
      <c r="Q953" s="169"/>
      <c r="R953" s="167"/>
      <c r="S953" s="142" t="b">
        <v>0</v>
      </c>
      <c r="T953" s="170"/>
      <c r="U953" s="170"/>
      <c r="V953" s="170"/>
      <c r="W953" s="170"/>
      <c r="X953" s="170"/>
      <c r="Y953" s="171"/>
      <c r="Z953" s="71"/>
      <c r="AA953" s="71"/>
      <c r="AB953" s="168"/>
      <c r="AC953" s="172"/>
      <c r="AD953" s="71"/>
      <c r="AE953" s="168"/>
      <c r="AF953" s="168"/>
      <c r="AG953" s="168"/>
      <c r="AH953" s="13"/>
      <c r="AI953" s="13"/>
    </row>
    <row r="954">
      <c r="A954" s="160"/>
      <c r="B954" s="160"/>
      <c r="C954" s="161" t="b">
        <v>0</v>
      </c>
      <c r="D954" s="161"/>
      <c r="E954" s="161"/>
      <c r="F954" s="162"/>
      <c r="G954" s="163"/>
      <c r="H954" s="164"/>
      <c r="I954" s="165"/>
      <c r="J954" s="161"/>
      <c r="K954" s="161"/>
      <c r="L954" s="166"/>
      <c r="M954" s="167"/>
      <c r="N954" s="168"/>
      <c r="O954" s="168"/>
      <c r="P954" s="168"/>
      <c r="Q954" s="169"/>
      <c r="R954" s="167"/>
      <c r="S954" s="142" t="b">
        <v>0</v>
      </c>
      <c r="T954" s="170"/>
      <c r="U954" s="170"/>
      <c r="V954" s="170"/>
      <c r="W954" s="170"/>
      <c r="X954" s="170"/>
      <c r="Y954" s="171"/>
      <c r="Z954" s="71"/>
      <c r="AA954" s="71"/>
      <c r="AB954" s="168"/>
      <c r="AC954" s="172"/>
      <c r="AD954" s="71"/>
      <c r="AE954" s="168"/>
      <c r="AF954" s="168"/>
      <c r="AG954" s="168"/>
      <c r="AH954" s="13"/>
      <c r="AI954" s="13"/>
    </row>
    <row r="955">
      <c r="A955" s="160"/>
      <c r="B955" s="160"/>
      <c r="C955" s="161" t="b">
        <v>0</v>
      </c>
      <c r="D955" s="161"/>
      <c r="E955" s="161"/>
      <c r="F955" s="162"/>
      <c r="G955" s="163"/>
      <c r="H955" s="164"/>
      <c r="I955" s="165"/>
      <c r="J955" s="161"/>
      <c r="K955" s="161"/>
      <c r="L955" s="166"/>
      <c r="M955" s="167"/>
      <c r="N955" s="168"/>
      <c r="O955" s="168"/>
      <c r="P955" s="168"/>
      <c r="Q955" s="169"/>
      <c r="R955" s="167"/>
      <c r="S955" s="142" t="b">
        <v>0</v>
      </c>
      <c r="T955" s="170"/>
      <c r="U955" s="170"/>
      <c r="V955" s="170"/>
      <c r="W955" s="170"/>
      <c r="X955" s="170"/>
      <c r="Y955" s="171"/>
      <c r="Z955" s="71"/>
      <c r="AA955" s="71"/>
      <c r="AB955" s="168"/>
      <c r="AC955" s="172"/>
      <c r="AD955" s="71"/>
      <c r="AE955" s="168"/>
      <c r="AF955" s="168"/>
      <c r="AG955" s="168"/>
      <c r="AH955" s="13"/>
      <c r="AI955" s="13"/>
    </row>
    <row r="956">
      <c r="A956" s="160"/>
      <c r="B956" s="160"/>
      <c r="C956" s="161" t="b">
        <v>0</v>
      </c>
      <c r="D956" s="161"/>
      <c r="E956" s="161"/>
      <c r="F956" s="162"/>
      <c r="G956" s="163"/>
      <c r="H956" s="164"/>
      <c r="I956" s="165"/>
      <c r="J956" s="161"/>
      <c r="K956" s="161"/>
      <c r="L956" s="166"/>
      <c r="M956" s="167"/>
      <c r="N956" s="168"/>
      <c r="O956" s="168"/>
      <c r="P956" s="168"/>
      <c r="Q956" s="169"/>
      <c r="R956" s="167"/>
      <c r="S956" s="142" t="b">
        <v>0</v>
      </c>
      <c r="T956" s="170"/>
      <c r="U956" s="170"/>
      <c r="V956" s="170"/>
      <c r="W956" s="170"/>
      <c r="X956" s="170"/>
      <c r="Y956" s="171"/>
      <c r="Z956" s="71"/>
      <c r="AA956" s="71"/>
      <c r="AB956" s="168"/>
      <c r="AC956" s="172"/>
      <c r="AD956" s="71"/>
      <c r="AE956" s="168"/>
      <c r="AF956" s="168"/>
      <c r="AG956" s="168"/>
      <c r="AH956" s="13"/>
      <c r="AI956" s="13"/>
    </row>
    <row r="957">
      <c r="A957" s="160"/>
      <c r="B957" s="160"/>
      <c r="C957" s="161" t="b">
        <v>0</v>
      </c>
      <c r="D957" s="161"/>
      <c r="E957" s="161"/>
      <c r="F957" s="162"/>
      <c r="G957" s="163"/>
      <c r="H957" s="164"/>
      <c r="I957" s="165"/>
      <c r="J957" s="161"/>
      <c r="K957" s="161"/>
      <c r="L957" s="166"/>
      <c r="M957" s="167"/>
      <c r="N957" s="168"/>
      <c r="O957" s="168"/>
      <c r="P957" s="168"/>
      <c r="Q957" s="169"/>
      <c r="R957" s="167"/>
      <c r="S957" s="142" t="b">
        <v>0</v>
      </c>
      <c r="T957" s="170"/>
      <c r="U957" s="170"/>
      <c r="V957" s="170"/>
      <c r="W957" s="170"/>
      <c r="X957" s="170"/>
      <c r="Y957" s="171"/>
      <c r="Z957" s="71"/>
      <c r="AA957" s="71"/>
      <c r="AB957" s="168"/>
      <c r="AC957" s="172"/>
      <c r="AD957" s="71"/>
      <c r="AE957" s="168"/>
      <c r="AF957" s="168"/>
      <c r="AG957" s="168"/>
      <c r="AH957" s="13"/>
      <c r="AI957" s="13"/>
    </row>
    <row r="958">
      <c r="A958" s="160"/>
      <c r="B958" s="160"/>
      <c r="C958" s="161" t="b">
        <v>0</v>
      </c>
      <c r="D958" s="161"/>
      <c r="E958" s="161"/>
      <c r="F958" s="162"/>
      <c r="G958" s="163"/>
      <c r="H958" s="164"/>
      <c r="I958" s="165"/>
      <c r="J958" s="161"/>
      <c r="K958" s="161"/>
      <c r="L958" s="166"/>
      <c r="M958" s="167"/>
      <c r="N958" s="168"/>
      <c r="O958" s="168"/>
      <c r="P958" s="168"/>
      <c r="Q958" s="169"/>
      <c r="R958" s="167"/>
      <c r="S958" s="142" t="b">
        <v>0</v>
      </c>
      <c r="T958" s="170"/>
      <c r="U958" s="170"/>
      <c r="V958" s="170"/>
      <c r="W958" s="170"/>
      <c r="X958" s="170"/>
      <c r="Y958" s="171"/>
      <c r="Z958" s="71"/>
      <c r="AA958" s="71"/>
      <c r="AB958" s="168"/>
      <c r="AC958" s="172"/>
      <c r="AD958" s="71"/>
      <c r="AE958" s="168"/>
      <c r="AF958" s="168"/>
      <c r="AG958" s="168"/>
      <c r="AH958" s="13"/>
      <c r="AI958" s="13"/>
    </row>
    <row r="959">
      <c r="A959" s="160"/>
      <c r="B959" s="160"/>
      <c r="C959" s="161" t="b">
        <v>0</v>
      </c>
      <c r="D959" s="161"/>
      <c r="E959" s="161"/>
      <c r="F959" s="162"/>
      <c r="G959" s="163"/>
      <c r="H959" s="164"/>
      <c r="I959" s="165"/>
      <c r="J959" s="161"/>
      <c r="K959" s="161"/>
      <c r="L959" s="166"/>
      <c r="M959" s="167"/>
      <c r="N959" s="168"/>
      <c r="O959" s="168"/>
      <c r="P959" s="168"/>
      <c r="Q959" s="169"/>
      <c r="R959" s="167"/>
      <c r="S959" s="142" t="b">
        <v>0</v>
      </c>
      <c r="T959" s="170"/>
      <c r="U959" s="170"/>
      <c r="V959" s="170"/>
      <c r="W959" s="170"/>
      <c r="X959" s="170"/>
      <c r="Y959" s="171"/>
      <c r="Z959" s="71"/>
      <c r="AA959" s="71"/>
      <c r="AB959" s="168"/>
      <c r="AC959" s="172"/>
      <c r="AD959" s="71"/>
      <c r="AE959" s="168"/>
      <c r="AF959" s="168"/>
      <c r="AG959" s="168"/>
      <c r="AH959" s="13"/>
      <c r="AI959" s="13"/>
    </row>
    <row r="960">
      <c r="A960" s="160"/>
      <c r="B960" s="160"/>
      <c r="C960" s="161" t="b">
        <v>0</v>
      </c>
      <c r="D960" s="161"/>
      <c r="E960" s="161"/>
      <c r="F960" s="162"/>
      <c r="G960" s="163"/>
      <c r="H960" s="164"/>
      <c r="I960" s="165"/>
      <c r="J960" s="161"/>
      <c r="K960" s="161"/>
      <c r="L960" s="166"/>
      <c r="M960" s="167"/>
      <c r="N960" s="168"/>
      <c r="O960" s="168"/>
      <c r="P960" s="168"/>
      <c r="Q960" s="169"/>
      <c r="R960" s="167"/>
      <c r="S960" s="142" t="b">
        <v>0</v>
      </c>
      <c r="T960" s="170"/>
      <c r="U960" s="170"/>
      <c r="V960" s="170"/>
      <c r="W960" s="170"/>
      <c r="X960" s="170"/>
      <c r="Y960" s="171"/>
      <c r="Z960" s="71"/>
      <c r="AA960" s="71"/>
      <c r="AB960" s="168"/>
      <c r="AC960" s="172"/>
      <c r="AD960" s="71"/>
      <c r="AE960" s="168"/>
      <c r="AF960" s="168"/>
      <c r="AG960" s="168"/>
      <c r="AH960" s="13"/>
      <c r="AI960" s="13"/>
    </row>
    <row r="961">
      <c r="A961" s="160"/>
      <c r="B961" s="160"/>
      <c r="C961" s="161" t="b">
        <v>0</v>
      </c>
      <c r="D961" s="161"/>
      <c r="E961" s="161"/>
      <c r="F961" s="162"/>
      <c r="G961" s="163"/>
      <c r="H961" s="164"/>
      <c r="I961" s="165"/>
      <c r="J961" s="161"/>
      <c r="K961" s="161"/>
      <c r="L961" s="166"/>
      <c r="M961" s="167"/>
      <c r="N961" s="168"/>
      <c r="O961" s="168"/>
      <c r="P961" s="168"/>
      <c r="Q961" s="169"/>
      <c r="R961" s="167"/>
      <c r="S961" s="142" t="b">
        <v>0</v>
      </c>
      <c r="T961" s="170"/>
      <c r="U961" s="170"/>
      <c r="V961" s="170"/>
      <c r="W961" s="170"/>
      <c r="X961" s="170"/>
      <c r="Y961" s="171"/>
      <c r="Z961" s="71"/>
      <c r="AA961" s="71"/>
      <c r="AB961" s="168"/>
      <c r="AC961" s="172"/>
      <c r="AD961" s="71"/>
      <c r="AE961" s="168"/>
      <c r="AF961" s="168"/>
      <c r="AG961" s="168"/>
      <c r="AH961" s="13"/>
      <c r="AI961" s="13"/>
    </row>
    <row r="962">
      <c r="A962" s="160"/>
      <c r="B962" s="160"/>
      <c r="C962" s="161" t="b">
        <v>0</v>
      </c>
      <c r="D962" s="161"/>
      <c r="E962" s="161"/>
      <c r="F962" s="162"/>
      <c r="G962" s="163"/>
      <c r="H962" s="164"/>
      <c r="I962" s="165"/>
      <c r="J962" s="161"/>
      <c r="K962" s="161"/>
      <c r="L962" s="166"/>
      <c r="M962" s="167"/>
      <c r="N962" s="168"/>
      <c r="O962" s="168"/>
      <c r="P962" s="168"/>
      <c r="Q962" s="169"/>
      <c r="R962" s="167"/>
      <c r="S962" s="142" t="b">
        <v>0</v>
      </c>
      <c r="T962" s="170"/>
      <c r="U962" s="170"/>
      <c r="V962" s="170"/>
      <c r="W962" s="170"/>
      <c r="X962" s="170"/>
      <c r="Y962" s="171"/>
      <c r="Z962" s="71"/>
      <c r="AA962" s="71"/>
      <c r="AB962" s="168"/>
      <c r="AC962" s="172"/>
      <c r="AD962" s="71"/>
      <c r="AE962" s="168"/>
      <c r="AF962" s="168"/>
      <c r="AG962" s="168"/>
      <c r="AH962" s="13"/>
      <c r="AI962" s="13"/>
    </row>
    <row r="963">
      <c r="A963" s="160"/>
      <c r="B963" s="160"/>
      <c r="C963" s="161" t="b">
        <v>0</v>
      </c>
      <c r="D963" s="161"/>
      <c r="E963" s="161"/>
      <c r="F963" s="162"/>
      <c r="G963" s="163"/>
      <c r="H963" s="164"/>
      <c r="I963" s="165"/>
      <c r="J963" s="161"/>
      <c r="K963" s="161"/>
      <c r="L963" s="166"/>
      <c r="M963" s="167"/>
      <c r="N963" s="168"/>
      <c r="O963" s="168"/>
      <c r="P963" s="168"/>
      <c r="Q963" s="169"/>
      <c r="R963" s="167"/>
      <c r="S963" s="142" t="b">
        <v>0</v>
      </c>
      <c r="T963" s="170"/>
      <c r="U963" s="170"/>
      <c r="V963" s="170"/>
      <c r="W963" s="170"/>
      <c r="X963" s="170"/>
      <c r="Y963" s="171"/>
      <c r="Z963" s="71"/>
      <c r="AA963" s="71"/>
      <c r="AB963" s="168"/>
      <c r="AC963" s="172"/>
      <c r="AD963" s="71"/>
      <c r="AE963" s="168"/>
      <c r="AF963" s="168"/>
      <c r="AG963" s="168"/>
      <c r="AH963" s="13"/>
      <c r="AI963" s="13"/>
    </row>
    <row r="964">
      <c r="A964" s="160"/>
      <c r="B964" s="160"/>
      <c r="C964" s="161" t="b">
        <v>0</v>
      </c>
      <c r="D964" s="161"/>
      <c r="E964" s="161"/>
      <c r="F964" s="162"/>
      <c r="G964" s="163"/>
      <c r="H964" s="164"/>
      <c r="I964" s="165"/>
      <c r="J964" s="161"/>
      <c r="K964" s="161"/>
      <c r="L964" s="166"/>
      <c r="M964" s="167"/>
      <c r="N964" s="168"/>
      <c r="O964" s="168"/>
      <c r="P964" s="168"/>
      <c r="Q964" s="169"/>
      <c r="R964" s="167"/>
      <c r="S964" s="142" t="b">
        <v>0</v>
      </c>
      <c r="T964" s="170"/>
      <c r="U964" s="170"/>
      <c r="V964" s="170"/>
      <c r="W964" s="170"/>
      <c r="X964" s="170"/>
      <c r="Y964" s="171"/>
      <c r="Z964" s="71"/>
      <c r="AA964" s="71"/>
      <c r="AB964" s="168"/>
      <c r="AC964" s="172"/>
      <c r="AD964" s="71"/>
      <c r="AE964" s="168"/>
      <c r="AF964" s="168"/>
      <c r="AG964" s="168"/>
      <c r="AH964" s="13"/>
      <c r="AI964" s="13"/>
    </row>
    <row r="965">
      <c r="A965" s="160"/>
      <c r="B965" s="160"/>
      <c r="C965" s="161" t="b">
        <v>0</v>
      </c>
      <c r="D965" s="161"/>
      <c r="E965" s="161"/>
      <c r="F965" s="162"/>
      <c r="G965" s="163"/>
      <c r="H965" s="164"/>
      <c r="I965" s="165"/>
      <c r="J965" s="161"/>
      <c r="K965" s="161"/>
      <c r="L965" s="166"/>
      <c r="M965" s="167"/>
      <c r="N965" s="168"/>
      <c r="O965" s="168"/>
      <c r="P965" s="168"/>
      <c r="Q965" s="169"/>
      <c r="R965" s="167"/>
      <c r="S965" s="142" t="b">
        <v>0</v>
      </c>
      <c r="T965" s="170"/>
      <c r="U965" s="170"/>
      <c r="V965" s="170"/>
      <c r="W965" s="170"/>
      <c r="X965" s="170"/>
      <c r="Y965" s="171"/>
      <c r="Z965" s="71"/>
      <c r="AA965" s="71"/>
      <c r="AB965" s="168"/>
      <c r="AC965" s="172"/>
      <c r="AD965" s="71"/>
      <c r="AE965" s="168"/>
      <c r="AF965" s="168"/>
      <c r="AG965" s="168"/>
      <c r="AH965" s="13"/>
      <c r="AI965" s="13"/>
    </row>
    <row r="966">
      <c r="A966" s="160"/>
      <c r="B966" s="160"/>
      <c r="C966" s="161" t="b">
        <v>0</v>
      </c>
      <c r="D966" s="161"/>
      <c r="E966" s="161"/>
      <c r="F966" s="162"/>
      <c r="G966" s="163"/>
      <c r="H966" s="164"/>
      <c r="I966" s="165"/>
      <c r="J966" s="161"/>
      <c r="K966" s="161"/>
      <c r="L966" s="166"/>
      <c r="M966" s="167"/>
      <c r="N966" s="168"/>
      <c r="O966" s="168"/>
      <c r="P966" s="168"/>
      <c r="Q966" s="169"/>
      <c r="R966" s="167"/>
      <c r="S966" s="142" t="b">
        <v>0</v>
      </c>
      <c r="T966" s="170"/>
      <c r="U966" s="170"/>
      <c r="V966" s="170"/>
      <c r="W966" s="170"/>
      <c r="X966" s="170"/>
      <c r="Y966" s="171"/>
      <c r="Z966" s="71"/>
      <c r="AA966" s="71"/>
      <c r="AB966" s="168"/>
      <c r="AC966" s="172"/>
      <c r="AD966" s="71"/>
      <c r="AE966" s="168"/>
      <c r="AF966" s="168"/>
      <c r="AG966" s="168"/>
      <c r="AH966" s="13"/>
      <c r="AI966" s="13"/>
    </row>
    <row r="967">
      <c r="A967" s="160"/>
      <c r="B967" s="160"/>
      <c r="C967" s="161" t="b">
        <v>0</v>
      </c>
      <c r="D967" s="161"/>
      <c r="E967" s="161"/>
      <c r="F967" s="162"/>
      <c r="G967" s="163"/>
      <c r="H967" s="164"/>
      <c r="I967" s="165"/>
      <c r="J967" s="161"/>
      <c r="K967" s="161"/>
      <c r="L967" s="166"/>
      <c r="M967" s="167"/>
      <c r="N967" s="168"/>
      <c r="O967" s="168"/>
      <c r="P967" s="168"/>
      <c r="Q967" s="169"/>
      <c r="R967" s="167"/>
      <c r="S967" s="142" t="b">
        <v>0</v>
      </c>
      <c r="T967" s="170"/>
      <c r="U967" s="170"/>
      <c r="V967" s="170"/>
      <c r="W967" s="170"/>
      <c r="X967" s="170"/>
      <c r="Y967" s="171"/>
      <c r="Z967" s="71"/>
      <c r="AA967" s="71"/>
      <c r="AB967" s="168"/>
      <c r="AC967" s="172"/>
      <c r="AD967" s="71"/>
      <c r="AE967" s="168"/>
      <c r="AF967" s="168"/>
      <c r="AG967" s="168"/>
      <c r="AH967" s="13"/>
      <c r="AI967" s="13"/>
    </row>
    <row r="968">
      <c r="A968" s="160"/>
      <c r="B968" s="160"/>
      <c r="C968" s="161" t="b">
        <v>0</v>
      </c>
      <c r="D968" s="161"/>
      <c r="E968" s="161"/>
      <c r="F968" s="162"/>
      <c r="G968" s="163"/>
      <c r="H968" s="164"/>
      <c r="I968" s="165"/>
      <c r="J968" s="161"/>
      <c r="K968" s="161"/>
      <c r="L968" s="166"/>
      <c r="M968" s="167"/>
      <c r="N968" s="168"/>
      <c r="O968" s="168"/>
      <c r="P968" s="168"/>
      <c r="Q968" s="169"/>
      <c r="R968" s="167"/>
      <c r="S968" s="142" t="b">
        <v>0</v>
      </c>
      <c r="T968" s="170"/>
      <c r="U968" s="170"/>
      <c r="V968" s="170"/>
      <c r="W968" s="170"/>
      <c r="X968" s="170"/>
      <c r="Y968" s="171"/>
      <c r="Z968" s="71"/>
      <c r="AA968" s="71"/>
      <c r="AB968" s="168"/>
      <c r="AC968" s="172"/>
      <c r="AD968" s="71"/>
      <c r="AE968" s="168"/>
      <c r="AF968" s="168"/>
      <c r="AG968" s="168"/>
      <c r="AH968" s="13"/>
      <c r="AI968" s="13"/>
    </row>
    <row r="969">
      <c r="A969" s="160"/>
      <c r="B969" s="160"/>
      <c r="C969" s="161" t="b">
        <v>0</v>
      </c>
      <c r="D969" s="161"/>
      <c r="E969" s="161"/>
      <c r="F969" s="162"/>
      <c r="G969" s="163"/>
      <c r="H969" s="164"/>
      <c r="I969" s="165"/>
      <c r="J969" s="161"/>
      <c r="K969" s="161"/>
      <c r="L969" s="166"/>
      <c r="M969" s="167"/>
      <c r="N969" s="168"/>
      <c r="O969" s="168"/>
      <c r="P969" s="168"/>
      <c r="Q969" s="169"/>
      <c r="R969" s="167"/>
      <c r="S969" s="142" t="b">
        <v>0</v>
      </c>
      <c r="T969" s="170"/>
      <c r="U969" s="170"/>
      <c r="V969" s="170"/>
      <c r="W969" s="170"/>
      <c r="X969" s="170"/>
      <c r="Y969" s="171"/>
      <c r="Z969" s="71"/>
      <c r="AA969" s="71"/>
      <c r="AB969" s="168"/>
      <c r="AC969" s="172"/>
      <c r="AD969" s="71"/>
      <c r="AE969" s="168"/>
      <c r="AF969" s="168"/>
      <c r="AG969" s="168"/>
      <c r="AH969" s="13"/>
      <c r="AI969" s="13"/>
    </row>
    <row r="970">
      <c r="A970" s="160"/>
      <c r="B970" s="160"/>
      <c r="C970" s="161" t="b">
        <v>0</v>
      </c>
      <c r="D970" s="161"/>
      <c r="E970" s="161"/>
      <c r="F970" s="162"/>
      <c r="G970" s="163"/>
      <c r="H970" s="164"/>
      <c r="I970" s="165"/>
      <c r="J970" s="161"/>
      <c r="K970" s="161"/>
      <c r="L970" s="166"/>
      <c r="M970" s="167"/>
      <c r="N970" s="168"/>
      <c r="O970" s="168"/>
      <c r="P970" s="168"/>
      <c r="Q970" s="169"/>
      <c r="R970" s="167"/>
      <c r="S970" s="142" t="b">
        <v>0</v>
      </c>
      <c r="T970" s="170"/>
      <c r="U970" s="170"/>
      <c r="V970" s="170"/>
      <c r="W970" s="170"/>
      <c r="X970" s="170"/>
      <c r="Y970" s="171"/>
      <c r="Z970" s="71"/>
      <c r="AA970" s="71"/>
      <c r="AB970" s="168"/>
      <c r="AC970" s="172"/>
      <c r="AD970" s="71"/>
      <c r="AE970" s="168"/>
      <c r="AF970" s="168"/>
      <c r="AG970" s="168"/>
      <c r="AH970" s="13"/>
      <c r="AI970" s="13"/>
    </row>
    <row r="971">
      <c r="A971" s="160"/>
      <c r="B971" s="160"/>
      <c r="C971" s="161" t="b">
        <v>0</v>
      </c>
      <c r="D971" s="161"/>
      <c r="E971" s="161"/>
      <c r="F971" s="162"/>
      <c r="G971" s="163"/>
      <c r="H971" s="164"/>
      <c r="I971" s="165"/>
      <c r="J971" s="161"/>
      <c r="K971" s="161"/>
      <c r="L971" s="166"/>
      <c r="M971" s="167"/>
      <c r="N971" s="168"/>
      <c r="O971" s="168"/>
      <c r="P971" s="168"/>
      <c r="Q971" s="169"/>
      <c r="R971" s="167"/>
      <c r="S971" s="142" t="b">
        <v>0</v>
      </c>
      <c r="T971" s="170"/>
      <c r="U971" s="170"/>
      <c r="V971" s="170"/>
      <c r="W971" s="170"/>
      <c r="X971" s="170"/>
      <c r="Y971" s="171"/>
      <c r="Z971" s="71"/>
      <c r="AA971" s="71"/>
      <c r="AB971" s="168"/>
      <c r="AC971" s="172"/>
      <c r="AD971" s="71"/>
      <c r="AE971" s="168"/>
      <c r="AF971" s="168"/>
      <c r="AG971" s="168"/>
      <c r="AH971" s="13"/>
      <c r="AI971" s="13"/>
    </row>
    <row r="972">
      <c r="A972" s="160"/>
      <c r="B972" s="160"/>
      <c r="C972" s="161" t="b">
        <v>0</v>
      </c>
      <c r="D972" s="161"/>
      <c r="E972" s="161"/>
      <c r="F972" s="162"/>
      <c r="G972" s="163"/>
      <c r="H972" s="164"/>
      <c r="I972" s="165"/>
      <c r="J972" s="161"/>
      <c r="K972" s="161"/>
      <c r="L972" s="166"/>
      <c r="M972" s="167"/>
      <c r="N972" s="168"/>
      <c r="O972" s="168"/>
      <c r="P972" s="168"/>
      <c r="Q972" s="169"/>
      <c r="R972" s="167"/>
      <c r="S972" s="142" t="b">
        <v>0</v>
      </c>
      <c r="T972" s="170"/>
      <c r="U972" s="170"/>
      <c r="V972" s="170"/>
      <c r="W972" s="170"/>
      <c r="X972" s="170"/>
      <c r="Y972" s="171"/>
      <c r="Z972" s="71"/>
      <c r="AA972" s="71"/>
      <c r="AB972" s="168"/>
      <c r="AC972" s="172"/>
      <c r="AD972" s="71"/>
      <c r="AE972" s="168"/>
      <c r="AF972" s="168"/>
      <c r="AG972" s="168"/>
      <c r="AH972" s="13"/>
      <c r="AI972" s="13"/>
    </row>
    <row r="973">
      <c r="A973" s="160"/>
      <c r="B973" s="160"/>
      <c r="C973" s="161" t="b">
        <v>0</v>
      </c>
      <c r="D973" s="161"/>
      <c r="E973" s="161"/>
      <c r="F973" s="162"/>
      <c r="G973" s="163"/>
      <c r="H973" s="164"/>
      <c r="I973" s="165"/>
      <c r="J973" s="161"/>
      <c r="K973" s="161"/>
      <c r="L973" s="166"/>
      <c r="M973" s="167"/>
      <c r="N973" s="168"/>
      <c r="O973" s="168"/>
      <c r="P973" s="168"/>
      <c r="Q973" s="169"/>
      <c r="R973" s="167"/>
      <c r="S973" s="142" t="b">
        <v>0</v>
      </c>
      <c r="T973" s="170"/>
      <c r="U973" s="170"/>
      <c r="V973" s="170"/>
      <c r="W973" s="170"/>
      <c r="X973" s="170"/>
      <c r="Y973" s="171"/>
      <c r="Z973" s="71"/>
      <c r="AA973" s="71"/>
      <c r="AB973" s="168"/>
      <c r="AC973" s="172"/>
      <c r="AD973" s="71"/>
      <c r="AE973" s="168"/>
      <c r="AF973" s="168"/>
      <c r="AG973" s="168"/>
      <c r="AH973" s="13"/>
      <c r="AI973" s="13"/>
    </row>
    <row r="974">
      <c r="A974" s="160"/>
      <c r="B974" s="160"/>
      <c r="C974" s="161" t="b">
        <v>0</v>
      </c>
      <c r="D974" s="161"/>
      <c r="E974" s="161"/>
      <c r="F974" s="162"/>
      <c r="G974" s="163"/>
      <c r="H974" s="164"/>
      <c r="I974" s="165"/>
      <c r="J974" s="161"/>
      <c r="K974" s="161"/>
      <c r="L974" s="166"/>
      <c r="M974" s="167"/>
      <c r="N974" s="168"/>
      <c r="O974" s="168"/>
      <c r="P974" s="168"/>
      <c r="Q974" s="169"/>
      <c r="R974" s="167"/>
      <c r="S974" s="142" t="b">
        <v>0</v>
      </c>
      <c r="T974" s="170"/>
      <c r="U974" s="170"/>
      <c r="V974" s="170"/>
      <c r="W974" s="170"/>
      <c r="X974" s="170"/>
      <c r="Y974" s="171"/>
      <c r="Z974" s="71"/>
      <c r="AA974" s="71"/>
      <c r="AB974" s="168"/>
      <c r="AC974" s="172"/>
      <c r="AD974" s="71"/>
      <c r="AE974" s="168"/>
      <c r="AF974" s="168"/>
      <c r="AG974" s="168"/>
      <c r="AH974" s="13"/>
      <c r="AI974" s="13"/>
    </row>
    <row r="975">
      <c r="A975" s="160"/>
      <c r="B975" s="160"/>
      <c r="C975" s="161" t="b">
        <v>0</v>
      </c>
      <c r="D975" s="161"/>
      <c r="E975" s="161"/>
      <c r="F975" s="162"/>
      <c r="G975" s="163"/>
      <c r="H975" s="164"/>
      <c r="I975" s="165"/>
      <c r="J975" s="161"/>
      <c r="K975" s="161"/>
      <c r="L975" s="166"/>
      <c r="M975" s="167"/>
      <c r="N975" s="168"/>
      <c r="O975" s="168"/>
      <c r="P975" s="168"/>
      <c r="Q975" s="169"/>
      <c r="R975" s="167"/>
      <c r="S975" s="142" t="b">
        <v>0</v>
      </c>
      <c r="T975" s="170"/>
      <c r="U975" s="170"/>
      <c r="V975" s="170"/>
      <c r="W975" s="170"/>
      <c r="X975" s="170"/>
      <c r="Y975" s="171"/>
      <c r="Z975" s="71"/>
      <c r="AA975" s="71"/>
      <c r="AB975" s="168"/>
      <c r="AC975" s="172"/>
      <c r="AD975" s="71"/>
      <c r="AE975" s="168"/>
      <c r="AF975" s="168"/>
      <c r="AG975" s="168"/>
      <c r="AH975" s="13"/>
      <c r="AI975" s="13"/>
    </row>
    <row r="976">
      <c r="A976" s="160"/>
      <c r="B976" s="160"/>
      <c r="C976" s="161" t="b">
        <v>0</v>
      </c>
      <c r="D976" s="161"/>
      <c r="E976" s="161"/>
      <c r="F976" s="162"/>
      <c r="G976" s="163"/>
      <c r="H976" s="164"/>
      <c r="I976" s="165"/>
      <c r="J976" s="161"/>
      <c r="K976" s="161"/>
      <c r="L976" s="166"/>
      <c r="M976" s="167"/>
      <c r="N976" s="168"/>
      <c r="O976" s="168"/>
      <c r="P976" s="168"/>
      <c r="Q976" s="169"/>
      <c r="R976" s="167"/>
      <c r="S976" s="142" t="b">
        <v>0</v>
      </c>
      <c r="T976" s="170"/>
      <c r="U976" s="170"/>
      <c r="V976" s="170"/>
      <c r="W976" s="170"/>
      <c r="X976" s="170"/>
      <c r="Y976" s="171"/>
      <c r="Z976" s="71"/>
      <c r="AA976" s="71"/>
      <c r="AB976" s="168"/>
      <c r="AC976" s="172"/>
      <c r="AD976" s="71"/>
      <c r="AE976" s="168"/>
      <c r="AF976" s="168"/>
      <c r="AG976" s="168"/>
      <c r="AH976" s="13"/>
      <c r="AI976" s="13"/>
    </row>
    <row r="977">
      <c r="A977" s="160"/>
      <c r="B977" s="160"/>
      <c r="C977" s="161" t="b">
        <v>0</v>
      </c>
      <c r="D977" s="161"/>
      <c r="E977" s="161"/>
      <c r="F977" s="162"/>
      <c r="G977" s="163"/>
      <c r="H977" s="164"/>
      <c r="I977" s="165"/>
      <c r="J977" s="161"/>
      <c r="K977" s="161"/>
      <c r="L977" s="166"/>
      <c r="M977" s="167"/>
      <c r="N977" s="168"/>
      <c r="O977" s="168"/>
      <c r="P977" s="168"/>
      <c r="Q977" s="169"/>
      <c r="R977" s="167"/>
      <c r="S977" s="142" t="b">
        <v>0</v>
      </c>
      <c r="T977" s="170"/>
      <c r="U977" s="170"/>
      <c r="V977" s="170"/>
      <c r="W977" s="170"/>
      <c r="X977" s="170"/>
      <c r="Y977" s="171"/>
      <c r="Z977" s="71"/>
      <c r="AA977" s="71"/>
      <c r="AB977" s="168"/>
      <c r="AC977" s="172"/>
      <c r="AD977" s="71"/>
      <c r="AE977" s="168"/>
      <c r="AF977" s="168"/>
      <c r="AG977" s="168"/>
      <c r="AH977" s="13"/>
      <c r="AI977" s="13"/>
    </row>
    <row r="978">
      <c r="A978" s="160"/>
      <c r="B978" s="160"/>
      <c r="C978" s="161" t="b">
        <v>0</v>
      </c>
      <c r="D978" s="161"/>
      <c r="E978" s="161"/>
      <c r="F978" s="162"/>
      <c r="G978" s="163"/>
      <c r="H978" s="164"/>
      <c r="I978" s="165"/>
      <c r="J978" s="161"/>
      <c r="K978" s="161"/>
      <c r="L978" s="166"/>
      <c r="M978" s="167"/>
      <c r="N978" s="168"/>
      <c r="O978" s="168"/>
      <c r="P978" s="168"/>
      <c r="Q978" s="169"/>
      <c r="R978" s="167"/>
      <c r="S978" s="142" t="b">
        <v>0</v>
      </c>
      <c r="T978" s="170"/>
      <c r="U978" s="170"/>
      <c r="V978" s="170"/>
      <c r="W978" s="170"/>
      <c r="X978" s="170"/>
      <c r="Y978" s="171"/>
      <c r="Z978" s="71"/>
      <c r="AA978" s="71"/>
      <c r="AB978" s="168"/>
      <c r="AC978" s="172"/>
      <c r="AD978" s="71"/>
      <c r="AE978" s="168"/>
      <c r="AF978" s="168"/>
      <c r="AG978" s="168"/>
      <c r="AH978" s="13"/>
      <c r="AI978" s="13"/>
    </row>
    <row r="979">
      <c r="A979" s="160"/>
      <c r="B979" s="160"/>
      <c r="C979" s="161" t="b">
        <v>0</v>
      </c>
      <c r="D979" s="161"/>
      <c r="E979" s="161"/>
      <c r="F979" s="162"/>
      <c r="G979" s="163"/>
      <c r="H979" s="164"/>
      <c r="I979" s="165"/>
      <c r="J979" s="161"/>
      <c r="K979" s="161"/>
      <c r="L979" s="166"/>
      <c r="M979" s="167"/>
      <c r="N979" s="168"/>
      <c r="O979" s="168"/>
      <c r="P979" s="168"/>
      <c r="Q979" s="169"/>
      <c r="R979" s="167"/>
      <c r="S979" s="142" t="b">
        <v>0</v>
      </c>
      <c r="T979" s="170"/>
      <c r="U979" s="170"/>
      <c r="V979" s="170"/>
      <c r="W979" s="170"/>
      <c r="X979" s="170"/>
      <c r="Y979" s="171"/>
      <c r="Z979" s="71"/>
      <c r="AA979" s="71"/>
      <c r="AB979" s="168"/>
      <c r="AC979" s="172"/>
      <c r="AD979" s="71"/>
      <c r="AE979" s="168"/>
      <c r="AF979" s="168"/>
      <c r="AG979" s="168"/>
      <c r="AH979" s="13"/>
      <c r="AI979" s="13"/>
    </row>
    <row r="980">
      <c r="A980" s="160"/>
      <c r="B980" s="160"/>
      <c r="C980" s="161" t="b">
        <v>0</v>
      </c>
      <c r="D980" s="161"/>
      <c r="E980" s="161"/>
      <c r="F980" s="162"/>
      <c r="G980" s="163"/>
      <c r="H980" s="164"/>
      <c r="I980" s="165"/>
      <c r="J980" s="161"/>
      <c r="K980" s="161"/>
      <c r="L980" s="166"/>
      <c r="M980" s="167"/>
      <c r="N980" s="168"/>
      <c r="O980" s="168"/>
      <c r="P980" s="168"/>
      <c r="Q980" s="169"/>
      <c r="R980" s="167"/>
      <c r="S980" s="142" t="b">
        <v>0</v>
      </c>
      <c r="T980" s="170"/>
      <c r="U980" s="170"/>
      <c r="V980" s="170"/>
      <c r="W980" s="170"/>
      <c r="X980" s="170"/>
      <c r="Y980" s="171"/>
      <c r="Z980" s="71"/>
      <c r="AA980" s="71"/>
      <c r="AB980" s="168"/>
      <c r="AC980" s="172"/>
      <c r="AD980" s="71"/>
      <c r="AE980" s="168"/>
      <c r="AF980" s="168"/>
      <c r="AG980" s="168"/>
      <c r="AH980" s="13"/>
      <c r="AI980" s="13"/>
    </row>
    <row r="981">
      <c r="A981" s="160"/>
      <c r="B981" s="160"/>
      <c r="C981" s="161" t="b">
        <v>0</v>
      </c>
      <c r="D981" s="161"/>
      <c r="E981" s="161"/>
      <c r="F981" s="162"/>
      <c r="G981" s="163"/>
      <c r="H981" s="164"/>
      <c r="I981" s="165"/>
      <c r="J981" s="161"/>
      <c r="K981" s="161"/>
      <c r="L981" s="166"/>
      <c r="M981" s="167"/>
      <c r="N981" s="168"/>
      <c r="O981" s="168"/>
      <c r="P981" s="168"/>
      <c r="Q981" s="169"/>
      <c r="R981" s="167"/>
      <c r="S981" s="142" t="b">
        <v>0</v>
      </c>
      <c r="T981" s="170"/>
      <c r="U981" s="170"/>
      <c r="V981" s="170"/>
      <c r="W981" s="170"/>
      <c r="X981" s="170"/>
      <c r="Y981" s="171"/>
      <c r="Z981" s="71"/>
      <c r="AA981" s="71"/>
      <c r="AB981" s="168"/>
      <c r="AC981" s="172"/>
      <c r="AD981" s="71"/>
      <c r="AE981" s="168"/>
      <c r="AF981" s="168"/>
      <c r="AG981" s="168"/>
      <c r="AH981" s="13"/>
      <c r="AI981" s="13"/>
    </row>
    <row r="982">
      <c r="A982" s="160"/>
      <c r="B982" s="160"/>
      <c r="C982" s="161" t="b">
        <v>0</v>
      </c>
      <c r="D982" s="161"/>
      <c r="E982" s="161"/>
      <c r="F982" s="162"/>
      <c r="G982" s="163"/>
      <c r="H982" s="164"/>
      <c r="I982" s="165"/>
      <c r="J982" s="161"/>
      <c r="K982" s="161"/>
      <c r="L982" s="166"/>
      <c r="M982" s="167"/>
      <c r="N982" s="168"/>
      <c r="O982" s="168"/>
      <c r="P982" s="168"/>
      <c r="Q982" s="169"/>
      <c r="R982" s="167"/>
      <c r="S982" s="142" t="b">
        <v>0</v>
      </c>
      <c r="T982" s="170"/>
      <c r="U982" s="170"/>
      <c r="V982" s="170"/>
      <c r="W982" s="170"/>
      <c r="X982" s="170"/>
      <c r="Y982" s="171"/>
      <c r="Z982" s="71"/>
      <c r="AA982" s="71"/>
      <c r="AB982" s="168"/>
      <c r="AC982" s="172"/>
      <c r="AD982" s="71"/>
      <c r="AE982" s="168"/>
      <c r="AF982" s="168"/>
      <c r="AG982" s="168"/>
      <c r="AH982" s="13"/>
      <c r="AI982" s="13"/>
    </row>
    <row r="983">
      <c r="A983" s="160"/>
      <c r="B983" s="160"/>
      <c r="C983" s="161" t="b">
        <v>0</v>
      </c>
      <c r="D983" s="161"/>
      <c r="E983" s="161"/>
      <c r="F983" s="162"/>
      <c r="G983" s="163"/>
      <c r="H983" s="164"/>
      <c r="I983" s="165"/>
      <c r="J983" s="161"/>
      <c r="K983" s="161"/>
      <c r="L983" s="166"/>
      <c r="M983" s="167"/>
      <c r="N983" s="168"/>
      <c r="O983" s="168"/>
      <c r="P983" s="168"/>
      <c r="Q983" s="169"/>
      <c r="R983" s="167"/>
      <c r="S983" s="142" t="b">
        <v>0</v>
      </c>
      <c r="T983" s="170"/>
      <c r="U983" s="170"/>
      <c r="V983" s="170"/>
      <c r="W983" s="170"/>
      <c r="X983" s="170"/>
      <c r="Y983" s="171"/>
      <c r="Z983" s="71"/>
      <c r="AA983" s="71"/>
      <c r="AB983" s="168"/>
      <c r="AC983" s="172"/>
      <c r="AD983" s="71"/>
      <c r="AE983" s="168"/>
      <c r="AF983" s="168"/>
      <c r="AG983" s="168"/>
      <c r="AH983" s="13"/>
      <c r="AI983" s="13"/>
    </row>
    <row r="984">
      <c r="A984" s="160"/>
      <c r="B984" s="160"/>
      <c r="C984" s="161" t="b">
        <v>0</v>
      </c>
      <c r="D984" s="161"/>
      <c r="E984" s="161"/>
      <c r="F984" s="162"/>
      <c r="G984" s="163"/>
      <c r="H984" s="164"/>
      <c r="I984" s="165"/>
      <c r="J984" s="161"/>
      <c r="K984" s="161"/>
      <c r="L984" s="166"/>
      <c r="M984" s="167"/>
      <c r="N984" s="168"/>
      <c r="O984" s="168"/>
      <c r="P984" s="168"/>
      <c r="Q984" s="169"/>
      <c r="R984" s="167"/>
      <c r="S984" s="142" t="b">
        <v>0</v>
      </c>
      <c r="T984" s="170"/>
      <c r="U984" s="170"/>
      <c r="V984" s="170"/>
      <c r="W984" s="170"/>
      <c r="X984" s="170"/>
      <c r="Y984" s="171"/>
      <c r="Z984" s="71"/>
      <c r="AA984" s="71"/>
      <c r="AB984" s="168"/>
      <c r="AC984" s="172"/>
      <c r="AD984" s="71"/>
      <c r="AE984" s="168"/>
      <c r="AF984" s="168"/>
      <c r="AG984" s="168"/>
      <c r="AH984" s="13"/>
      <c r="AI984" s="13"/>
    </row>
    <row r="985">
      <c r="A985" s="160"/>
      <c r="B985" s="160"/>
      <c r="C985" s="161" t="b">
        <v>0</v>
      </c>
      <c r="D985" s="161"/>
      <c r="E985" s="161"/>
      <c r="F985" s="162"/>
      <c r="G985" s="163"/>
      <c r="H985" s="164"/>
      <c r="I985" s="165"/>
      <c r="J985" s="161"/>
      <c r="K985" s="161"/>
      <c r="L985" s="166"/>
      <c r="M985" s="167"/>
      <c r="N985" s="168"/>
      <c r="O985" s="168"/>
      <c r="P985" s="168"/>
      <c r="Q985" s="169"/>
      <c r="R985" s="167"/>
      <c r="S985" s="142" t="b">
        <v>0</v>
      </c>
      <c r="T985" s="170"/>
      <c r="U985" s="170"/>
      <c r="V985" s="170"/>
      <c r="W985" s="170"/>
      <c r="X985" s="170"/>
      <c r="Y985" s="171"/>
      <c r="Z985" s="71"/>
      <c r="AA985" s="71"/>
      <c r="AB985" s="168"/>
      <c r="AC985" s="172"/>
      <c r="AD985" s="71"/>
      <c r="AE985" s="168"/>
      <c r="AF985" s="168"/>
      <c r="AG985" s="168"/>
      <c r="AH985" s="13"/>
      <c r="AI985" s="13"/>
    </row>
    <row r="986">
      <c r="A986" s="160"/>
      <c r="B986" s="160"/>
      <c r="C986" s="161" t="b">
        <v>0</v>
      </c>
      <c r="D986" s="161"/>
      <c r="E986" s="161"/>
      <c r="F986" s="162"/>
      <c r="G986" s="163"/>
      <c r="H986" s="164"/>
      <c r="I986" s="165"/>
      <c r="J986" s="161"/>
      <c r="K986" s="161"/>
      <c r="L986" s="166"/>
      <c r="M986" s="167"/>
      <c r="N986" s="168"/>
      <c r="O986" s="168"/>
      <c r="P986" s="168"/>
      <c r="Q986" s="169"/>
      <c r="R986" s="167"/>
      <c r="S986" s="142" t="b">
        <v>0</v>
      </c>
      <c r="T986" s="170"/>
      <c r="U986" s="170"/>
      <c r="V986" s="170"/>
      <c r="W986" s="170"/>
      <c r="X986" s="170"/>
      <c r="Y986" s="171"/>
      <c r="Z986" s="71"/>
      <c r="AA986" s="71"/>
      <c r="AB986" s="168"/>
      <c r="AC986" s="172"/>
      <c r="AD986" s="71"/>
      <c r="AE986" s="168"/>
      <c r="AF986" s="168"/>
      <c r="AG986" s="168"/>
      <c r="AH986" s="13"/>
      <c r="AI986" s="13"/>
    </row>
    <row r="987">
      <c r="A987" s="160"/>
      <c r="B987" s="160"/>
      <c r="C987" s="161" t="b">
        <v>0</v>
      </c>
      <c r="D987" s="161"/>
      <c r="E987" s="161"/>
      <c r="F987" s="162"/>
      <c r="G987" s="163"/>
      <c r="H987" s="164"/>
      <c r="I987" s="165"/>
      <c r="J987" s="161"/>
      <c r="K987" s="161"/>
      <c r="L987" s="166"/>
      <c r="M987" s="167"/>
      <c r="N987" s="168"/>
      <c r="O987" s="168"/>
      <c r="P987" s="168"/>
      <c r="Q987" s="169"/>
      <c r="R987" s="167"/>
      <c r="S987" s="142" t="b">
        <v>0</v>
      </c>
      <c r="T987" s="170"/>
      <c r="U987" s="170"/>
      <c r="V987" s="170"/>
      <c r="W987" s="170"/>
      <c r="X987" s="170"/>
      <c r="Y987" s="171"/>
      <c r="Z987" s="71"/>
      <c r="AA987" s="71"/>
      <c r="AB987" s="168"/>
      <c r="AC987" s="172"/>
      <c r="AD987" s="71"/>
      <c r="AE987" s="168"/>
      <c r="AF987" s="168"/>
      <c r="AG987" s="168"/>
      <c r="AH987" s="13"/>
      <c r="AI987" s="13"/>
    </row>
    <row r="988">
      <c r="A988" s="160"/>
      <c r="B988" s="160"/>
      <c r="C988" s="161" t="b">
        <v>0</v>
      </c>
      <c r="D988" s="161"/>
      <c r="E988" s="161"/>
      <c r="F988" s="162"/>
      <c r="G988" s="163"/>
      <c r="H988" s="164"/>
      <c r="I988" s="165"/>
      <c r="J988" s="161"/>
      <c r="K988" s="161"/>
      <c r="L988" s="166"/>
      <c r="M988" s="167"/>
      <c r="N988" s="168"/>
      <c r="O988" s="168"/>
      <c r="P988" s="168"/>
      <c r="Q988" s="169"/>
      <c r="R988" s="167"/>
      <c r="S988" s="142" t="b">
        <v>0</v>
      </c>
      <c r="T988" s="170"/>
      <c r="U988" s="170"/>
      <c r="V988" s="170"/>
      <c r="W988" s="170"/>
      <c r="X988" s="170"/>
      <c r="Y988" s="171"/>
      <c r="Z988" s="71"/>
      <c r="AA988" s="71"/>
      <c r="AB988" s="168"/>
      <c r="AC988" s="172"/>
      <c r="AD988" s="71"/>
      <c r="AE988" s="168"/>
      <c r="AF988" s="168"/>
      <c r="AG988" s="168"/>
      <c r="AH988" s="13"/>
      <c r="AI988" s="13"/>
    </row>
    <row r="989">
      <c r="A989" s="160"/>
      <c r="B989" s="160"/>
      <c r="C989" s="161" t="b">
        <v>0</v>
      </c>
      <c r="D989" s="161"/>
      <c r="E989" s="161"/>
      <c r="F989" s="162"/>
      <c r="G989" s="163"/>
      <c r="H989" s="164"/>
      <c r="I989" s="165"/>
      <c r="J989" s="161"/>
      <c r="K989" s="161"/>
      <c r="L989" s="166"/>
      <c r="M989" s="167"/>
      <c r="N989" s="168"/>
      <c r="O989" s="168"/>
      <c r="P989" s="168"/>
      <c r="Q989" s="169"/>
      <c r="R989" s="167"/>
      <c r="S989" s="142" t="b">
        <v>0</v>
      </c>
      <c r="T989" s="170"/>
      <c r="U989" s="170"/>
      <c r="V989" s="170"/>
      <c r="W989" s="170"/>
      <c r="X989" s="170"/>
      <c r="Y989" s="171"/>
      <c r="Z989" s="71"/>
      <c r="AA989" s="71"/>
      <c r="AB989" s="168"/>
      <c r="AC989" s="172"/>
      <c r="AD989" s="71"/>
      <c r="AE989" s="168"/>
      <c r="AF989" s="168"/>
      <c r="AG989" s="168"/>
      <c r="AH989" s="13"/>
      <c r="AI989" s="13"/>
    </row>
    <row r="990">
      <c r="A990" s="160"/>
      <c r="B990" s="160"/>
      <c r="C990" s="161" t="b">
        <v>0</v>
      </c>
      <c r="D990" s="161"/>
      <c r="E990" s="161"/>
      <c r="F990" s="162"/>
      <c r="G990" s="163"/>
      <c r="H990" s="164"/>
      <c r="I990" s="165"/>
      <c r="J990" s="161"/>
      <c r="K990" s="161"/>
      <c r="L990" s="166"/>
      <c r="M990" s="167"/>
      <c r="N990" s="168"/>
      <c r="O990" s="168"/>
      <c r="P990" s="168"/>
      <c r="Q990" s="169"/>
      <c r="R990" s="167"/>
      <c r="S990" s="142" t="b">
        <v>0</v>
      </c>
      <c r="T990" s="170"/>
      <c r="U990" s="170"/>
      <c r="V990" s="170"/>
      <c r="W990" s="170"/>
      <c r="X990" s="170"/>
      <c r="Y990" s="171"/>
      <c r="Z990" s="71"/>
      <c r="AA990" s="71"/>
      <c r="AB990" s="168"/>
      <c r="AC990" s="172"/>
      <c r="AD990" s="71"/>
      <c r="AE990" s="168"/>
      <c r="AF990" s="168"/>
      <c r="AG990" s="168"/>
      <c r="AH990" s="13"/>
      <c r="AI990" s="13"/>
    </row>
    <row r="991">
      <c r="A991" s="160"/>
      <c r="B991" s="160"/>
      <c r="C991" s="161" t="b">
        <v>0</v>
      </c>
      <c r="D991" s="161"/>
      <c r="E991" s="161"/>
      <c r="F991" s="162"/>
      <c r="G991" s="163"/>
      <c r="H991" s="164"/>
      <c r="I991" s="165"/>
      <c r="J991" s="161"/>
      <c r="K991" s="161"/>
      <c r="L991" s="166"/>
      <c r="M991" s="167"/>
      <c r="N991" s="168"/>
      <c r="O991" s="168"/>
      <c r="P991" s="168"/>
      <c r="Q991" s="169"/>
      <c r="R991" s="167"/>
      <c r="S991" s="142" t="b">
        <v>0</v>
      </c>
      <c r="T991" s="170"/>
      <c r="U991" s="170"/>
      <c r="V991" s="170"/>
      <c r="W991" s="170"/>
      <c r="X991" s="170"/>
      <c r="Y991" s="171"/>
      <c r="Z991" s="71"/>
      <c r="AA991" s="71"/>
      <c r="AB991" s="168"/>
      <c r="AC991" s="172"/>
      <c r="AD991" s="71"/>
      <c r="AE991" s="168"/>
      <c r="AF991" s="168"/>
      <c r="AG991" s="168"/>
      <c r="AH991" s="13"/>
      <c r="AI991" s="13"/>
    </row>
    <row r="992">
      <c r="A992" s="160"/>
      <c r="B992" s="160"/>
      <c r="C992" s="161" t="b">
        <v>0</v>
      </c>
      <c r="D992" s="161"/>
      <c r="E992" s="161"/>
      <c r="F992" s="162"/>
      <c r="G992" s="163"/>
      <c r="H992" s="164"/>
      <c r="I992" s="165"/>
      <c r="J992" s="161"/>
      <c r="K992" s="161"/>
      <c r="L992" s="166"/>
      <c r="M992" s="167"/>
      <c r="N992" s="168"/>
      <c r="O992" s="168"/>
      <c r="P992" s="168"/>
      <c r="Q992" s="169"/>
      <c r="R992" s="167"/>
      <c r="S992" s="142" t="b">
        <v>0</v>
      </c>
      <c r="T992" s="170"/>
      <c r="U992" s="170"/>
      <c r="V992" s="170"/>
      <c r="W992" s="170"/>
      <c r="X992" s="170"/>
      <c r="Y992" s="171"/>
      <c r="Z992" s="71"/>
      <c r="AA992" s="71"/>
      <c r="AB992" s="168"/>
      <c r="AC992" s="172"/>
      <c r="AD992" s="71"/>
      <c r="AE992" s="168"/>
      <c r="AF992" s="168"/>
      <c r="AG992" s="168"/>
      <c r="AH992" s="13"/>
      <c r="AI992" s="13"/>
    </row>
    <row r="993">
      <c r="A993" s="160"/>
      <c r="B993" s="160"/>
      <c r="C993" s="161" t="b">
        <v>0</v>
      </c>
      <c r="D993" s="161"/>
      <c r="E993" s="161"/>
      <c r="F993" s="162"/>
      <c r="G993" s="163"/>
      <c r="H993" s="164"/>
      <c r="I993" s="165"/>
      <c r="J993" s="161"/>
      <c r="K993" s="161"/>
      <c r="L993" s="166"/>
      <c r="M993" s="167"/>
      <c r="N993" s="168"/>
      <c r="O993" s="168"/>
      <c r="P993" s="168"/>
      <c r="Q993" s="169"/>
      <c r="R993" s="167"/>
      <c r="S993" s="142" t="b">
        <v>0</v>
      </c>
      <c r="T993" s="170"/>
      <c r="U993" s="170"/>
      <c r="V993" s="170"/>
      <c r="W993" s="170"/>
      <c r="X993" s="170"/>
      <c r="Y993" s="171"/>
      <c r="Z993" s="71"/>
      <c r="AA993" s="71"/>
      <c r="AB993" s="168"/>
      <c r="AC993" s="172"/>
      <c r="AD993" s="71"/>
      <c r="AE993" s="168"/>
      <c r="AF993" s="168"/>
      <c r="AG993" s="168"/>
      <c r="AH993" s="13"/>
      <c r="AI993" s="13"/>
    </row>
    <row r="994">
      <c r="A994" s="160"/>
      <c r="B994" s="160"/>
      <c r="C994" s="161" t="b">
        <v>0</v>
      </c>
      <c r="D994" s="161"/>
      <c r="E994" s="161"/>
      <c r="F994" s="162"/>
      <c r="G994" s="163"/>
      <c r="H994" s="164"/>
      <c r="I994" s="165"/>
      <c r="J994" s="161"/>
      <c r="K994" s="161"/>
      <c r="L994" s="166"/>
      <c r="M994" s="167"/>
      <c r="N994" s="168"/>
      <c r="O994" s="168"/>
      <c r="P994" s="168"/>
      <c r="Q994" s="169"/>
      <c r="R994" s="167"/>
      <c r="S994" s="142" t="b">
        <v>0</v>
      </c>
      <c r="T994" s="170"/>
      <c r="U994" s="170"/>
      <c r="V994" s="170"/>
      <c r="W994" s="170"/>
      <c r="X994" s="170"/>
      <c r="Y994" s="171"/>
      <c r="Z994" s="71"/>
      <c r="AA994" s="71"/>
      <c r="AB994" s="168"/>
      <c r="AC994" s="172"/>
      <c r="AD994" s="71"/>
      <c r="AE994" s="168"/>
      <c r="AF994" s="168"/>
      <c r="AG994" s="168"/>
      <c r="AH994" s="13"/>
      <c r="AI994" s="13"/>
    </row>
    <row r="995">
      <c r="A995" s="160"/>
      <c r="B995" s="160"/>
      <c r="C995" s="161" t="b">
        <v>0</v>
      </c>
      <c r="D995" s="161"/>
      <c r="E995" s="161"/>
      <c r="F995" s="162"/>
      <c r="G995" s="163"/>
      <c r="H995" s="164"/>
      <c r="I995" s="165"/>
      <c r="J995" s="161"/>
      <c r="K995" s="161"/>
      <c r="L995" s="166"/>
      <c r="M995" s="167"/>
      <c r="N995" s="168"/>
      <c r="O995" s="168"/>
      <c r="P995" s="168"/>
      <c r="Q995" s="169"/>
      <c r="R995" s="167"/>
      <c r="S995" s="142" t="b">
        <v>0</v>
      </c>
      <c r="T995" s="170"/>
      <c r="U995" s="170"/>
      <c r="V995" s="170"/>
      <c r="W995" s="170"/>
      <c r="X995" s="170"/>
      <c r="Y995" s="171"/>
      <c r="Z995" s="71"/>
      <c r="AA995" s="71"/>
      <c r="AB995" s="168"/>
      <c r="AC995" s="172"/>
      <c r="AD995" s="71"/>
      <c r="AE995" s="168"/>
      <c r="AF995" s="168"/>
      <c r="AG995" s="168"/>
      <c r="AH995" s="13"/>
      <c r="AI995" s="13"/>
    </row>
    <row r="996">
      <c r="A996" s="160"/>
      <c r="B996" s="160"/>
      <c r="C996" s="161" t="b">
        <v>0</v>
      </c>
      <c r="D996" s="161"/>
      <c r="E996" s="161"/>
      <c r="F996" s="162"/>
      <c r="G996" s="163"/>
      <c r="H996" s="164"/>
      <c r="I996" s="165"/>
      <c r="J996" s="161"/>
      <c r="K996" s="161"/>
      <c r="L996" s="166"/>
      <c r="M996" s="167"/>
      <c r="N996" s="168"/>
      <c r="O996" s="168"/>
      <c r="P996" s="168"/>
      <c r="Q996" s="169"/>
      <c r="R996" s="167"/>
      <c r="S996" s="142" t="b">
        <v>0</v>
      </c>
      <c r="T996" s="170"/>
      <c r="U996" s="170"/>
      <c r="V996" s="170"/>
      <c r="W996" s="170"/>
      <c r="X996" s="170"/>
      <c r="Y996" s="171"/>
      <c r="Z996" s="71"/>
      <c r="AA996" s="71"/>
      <c r="AB996" s="168"/>
      <c r="AC996" s="172"/>
      <c r="AD996" s="71"/>
      <c r="AE996" s="168"/>
      <c r="AF996" s="168"/>
      <c r="AG996" s="168"/>
      <c r="AH996" s="13"/>
      <c r="AI996" s="13"/>
    </row>
    <row r="997">
      <c r="A997" s="160"/>
      <c r="B997" s="160"/>
      <c r="C997" s="161" t="b">
        <v>0</v>
      </c>
      <c r="D997" s="161"/>
      <c r="E997" s="161"/>
      <c r="F997" s="162"/>
      <c r="G997" s="163"/>
      <c r="H997" s="164"/>
      <c r="I997" s="165"/>
      <c r="J997" s="161"/>
      <c r="K997" s="161"/>
      <c r="L997" s="166"/>
      <c r="M997" s="167"/>
      <c r="N997" s="168"/>
      <c r="O997" s="168"/>
      <c r="P997" s="168"/>
      <c r="Q997" s="169"/>
      <c r="R997" s="167"/>
      <c r="S997" s="142" t="b">
        <v>0</v>
      </c>
      <c r="T997" s="170"/>
      <c r="U997" s="170"/>
      <c r="V997" s="170"/>
      <c r="W997" s="170"/>
      <c r="X997" s="170"/>
      <c r="Y997" s="171"/>
      <c r="Z997" s="71"/>
      <c r="AA997" s="71"/>
      <c r="AB997" s="168"/>
      <c r="AC997" s="172"/>
      <c r="AD997" s="71"/>
      <c r="AE997" s="168"/>
      <c r="AF997" s="168"/>
      <c r="AG997" s="168"/>
      <c r="AH997" s="13"/>
      <c r="AI997" s="13"/>
    </row>
    <row r="998">
      <c r="A998" s="160"/>
      <c r="B998" s="160"/>
      <c r="C998" s="161" t="b">
        <v>0</v>
      </c>
      <c r="D998" s="161"/>
      <c r="E998" s="161"/>
      <c r="F998" s="162"/>
      <c r="G998" s="163"/>
      <c r="H998" s="164"/>
      <c r="I998" s="165"/>
      <c r="J998" s="161"/>
      <c r="K998" s="161"/>
      <c r="L998" s="166"/>
      <c r="M998" s="167"/>
      <c r="N998" s="168"/>
      <c r="O998" s="168"/>
      <c r="P998" s="168"/>
      <c r="Q998" s="169"/>
      <c r="R998" s="167"/>
      <c r="S998" s="142" t="b">
        <v>0</v>
      </c>
      <c r="T998" s="170"/>
      <c r="U998" s="170"/>
      <c r="V998" s="170"/>
      <c r="W998" s="170"/>
      <c r="X998" s="170"/>
      <c r="Y998" s="171"/>
      <c r="Z998" s="71"/>
      <c r="AA998" s="71"/>
      <c r="AB998" s="168"/>
      <c r="AC998" s="172"/>
      <c r="AD998" s="71"/>
      <c r="AE998" s="168"/>
      <c r="AF998" s="168"/>
      <c r="AG998" s="168"/>
      <c r="AH998" s="13"/>
      <c r="AI998" s="13"/>
    </row>
    <row r="999">
      <c r="A999" s="160"/>
      <c r="B999" s="160"/>
      <c r="C999" s="161" t="b">
        <v>0</v>
      </c>
      <c r="D999" s="161"/>
      <c r="E999" s="161"/>
      <c r="F999" s="162"/>
      <c r="G999" s="163"/>
      <c r="H999" s="164"/>
      <c r="I999" s="165"/>
      <c r="J999" s="161"/>
      <c r="K999" s="161"/>
      <c r="L999" s="166"/>
      <c r="M999" s="167"/>
      <c r="N999" s="168"/>
      <c r="O999" s="168"/>
      <c r="P999" s="168"/>
      <c r="Q999" s="169"/>
      <c r="R999" s="167"/>
      <c r="S999" s="142" t="b">
        <v>0</v>
      </c>
      <c r="T999" s="170"/>
      <c r="U999" s="170"/>
      <c r="V999" s="170"/>
      <c r="W999" s="170"/>
      <c r="X999" s="170"/>
      <c r="Y999" s="171"/>
      <c r="Z999" s="71"/>
      <c r="AA999" s="71"/>
      <c r="AB999" s="168"/>
      <c r="AC999" s="172"/>
      <c r="AD999" s="71"/>
      <c r="AE999" s="168"/>
      <c r="AF999" s="168"/>
      <c r="AG999" s="168"/>
      <c r="AH999" s="13"/>
      <c r="AI999" s="13"/>
    </row>
    <row r="1000">
      <c r="A1000" s="160"/>
      <c r="B1000" s="160"/>
      <c r="C1000" s="161" t="b">
        <v>0</v>
      </c>
      <c r="D1000" s="161"/>
      <c r="E1000" s="161"/>
      <c r="F1000" s="162"/>
      <c r="G1000" s="163"/>
      <c r="H1000" s="164"/>
      <c r="I1000" s="165"/>
      <c r="J1000" s="161"/>
      <c r="K1000" s="161"/>
      <c r="L1000" s="166"/>
      <c r="M1000" s="167"/>
      <c r="N1000" s="168"/>
      <c r="O1000" s="168"/>
      <c r="P1000" s="168"/>
      <c r="Q1000" s="169"/>
      <c r="R1000" s="167"/>
      <c r="S1000" s="142" t="b">
        <v>0</v>
      </c>
      <c r="T1000" s="170"/>
      <c r="U1000" s="170"/>
      <c r="V1000" s="170"/>
      <c r="W1000" s="170"/>
      <c r="X1000" s="170"/>
      <c r="Y1000" s="171"/>
      <c r="Z1000" s="71"/>
      <c r="AA1000" s="71"/>
      <c r="AB1000" s="168"/>
      <c r="AC1000" s="172"/>
      <c r="AD1000" s="71"/>
      <c r="AE1000" s="168"/>
      <c r="AF1000" s="168"/>
      <c r="AG1000" s="168"/>
      <c r="AH1000" s="13"/>
      <c r="AI1000" s="13"/>
    </row>
    <row r="1001">
      <c r="A1001" s="160"/>
      <c r="B1001" s="160"/>
      <c r="C1001" s="161" t="b">
        <v>0</v>
      </c>
      <c r="D1001" s="161"/>
      <c r="E1001" s="161"/>
      <c r="F1001" s="162"/>
      <c r="G1001" s="163"/>
      <c r="H1001" s="164"/>
      <c r="I1001" s="165"/>
      <c r="J1001" s="161"/>
      <c r="K1001" s="161"/>
      <c r="L1001" s="166"/>
      <c r="M1001" s="167"/>
      <c r="N1001" s="168"/>
      <c r="O1001" s="168"/>
      <c r="P1001" s="168"/>
      <c r="Q1001" s="169"/>
      <c r="R1001" s="167"/>
      <c r="S1001" s="142" t="b">
        <v>0</v>
      </c>
      <c r="T1001" s="170"/>
      <c r="U1001" s="170"/>
      <c r="V1001" s="170"/>
      <c r="W1001" s="170"/>
      <c r="X1001" s="170"/>
      <c r="Y1001" s="171"/>
      <c r="Z1001" s="71"/>
      <c r="AA1001" s="71"/>
      <c r="AB1001" s="168"/>
      <c r="AC1001" s="172"/>
      <c r="AD1001" s="71"/>
      <c r="AE1001" s="168"/>
      <c r="AF1001" s="168"/>
      <c r="AG1001" s="168"/>
      <c r="AH1001" s="13"/>
      <c r="AI1001" s="13"/>
    </row>
    <row r="1002">
      <c r="A1002" s="160"/>
      <c r="B1002" s="160"/>
      <c r="C1002" s="161" t="b">
        <v>0</v>
      </c>
      <c r="D1002" s="161"/>
      <c r="E1002" s="161"/>
      <c r="F1002" s="162"/>
      <c r="G1002" s="163"/>
      <c r="H1002" s="164"/>
      <c r="I1002" s="165"/>
      <c r="J1002" s="161"/>
      <c r="K1002" s="161"/>
      <c r="L1002" s="166"/>
      <c r="M1002" s="167"/>
      <c r="N1002" s="168"/>
      <c r="O1002" s="168"/>
      <c r="P1002" s="168"/>
      <c r="Q1002" s="169"/>
      <c r="R1002" s="167"/>
      <c r="S1002" s="142" t="b">
        <v>0</v>
      </c>
      <c r="T1002" s="170"/>
      <c r="U1002" s="170"/>
      <c r="V1002" s="170"/>
      <c r="W1002" s="170"/>
      <c r="X1002" s="170"/>
      <c r="Y1002" s="171"/>
      <c r="Z1002" s="71"/>
      <c r="AA1002" s="71"/>
      <c r="AB1002" s="168"/>
      <c r="AC1002" s="172"/>
      <c r="AD1002" s="71"/>
      <c r="AE1002" s="168"/>
      <c r="AF1002" s="168"/>
      <c r="AG1002" s="168"/>
      <c r="AH1002" s="13"/>
      <c r="AI1002" s="13"/>
    </row>
    <row r="1003">
      <c r="A1003" s="160"/>
      <c r="B1003" s="160"/>
      <c r="C1003" s="161" t="b">
        <v>0</v>
      </c>
      <c r="D1003" s="161"/>
      <c r="E1003" s="161"/>
      <c r="F1003" s="162"/>
      <c r="G1003" s="163"/>
      <c r="H1003" s="164"/>
      <c r="I1003" s="165"/>
      <c r="J1003" s="161"/>
      <c r="K1003" s="161"/>
      <c r="L1003" s="166"/>
      <c r="M1003" s="167"/>
      <c r="N1003" s="168"/>
      <c r="O1003" s="168"/>
      <c r="P1003" s="168"/>
      <c r="Q1003" s="169"/>
      <c r="R1003" s="167"/>
      <c r="S1003" s="142" t="b">
        <v>0</v>
      </c>
      <c r="T1003" s="170"/>
      <c r="U1003" s="170"/>
      <c r="V1003" s="170"/>
      <c r="W1003" s="170"/>
      <c r="X1003" s="170"/>
      <c r="Y1003" s="171"/>
      <c r="Z1003" s="71"/>
      <c r="AA1003" s="71"/>
      <c r="AB1003" s="168"/>
      <c r="AC1003" s="172"/>
      <c r="AD1003" s="71"/>
      <c r="AE1003" s="168"/>
      <c r="AF1003" s="168"/>
      <c r="AG1003" s="168"/>
      <c r="AH1003" s="13"/>
      <c r="AI1003" s="13"/>
    </row>
    <row r="1004">
      <c r="A1004" s="160"/>
      <c r="B1004" s="160"/>
      <c r="C1004" s="161" t="b">
        <v>0</v>
      </c>
      <c r="D1004" s="161"/>
      <c r="E1004" s="161"/>
      <c r="F1004" s="162"/>
      <c r="G1004" s="163"/>
      <c r="H1004" s="164"/>
      <c r="I1004" s="165"/>
      <c r="J1004" s="161"/>
      <c r="K1004" s="161"/>
      <c r="L1004" s="166"/>
      <c r="M1004" s="167"/>
      <c r="N1004" s="168"/>
      <c r="O1004" s="168"/>
      <c r="P1004" s="168"/>
      <c r="Q1004" s="169"/>
      <c r="R1004" s="167"/>
      <c r="S1004" s="142" t="b">
        <v>0</v>
      </c>
      <c r="T1004" s="170"/>
      <c r="U1004" s="170"/>
      <c r="V1004" s="170"/>
      <c r="W1004" s="170"/>
      <c r="X1004" s="170"/>
      <c r="Y1004" s="171"/>
      <c r="Z1004" s="71"/>
      <c r="AA1004" s="71"/>
      <c r="AB1004" s="168"/>
      <c r="AC1004" s="172"/>
      <c r="AD1004" s="71"/>
      <c r="AE1004" s="168"/>
      <c r="AF1004" s="168"/>
      <c r="AG1004" s="168"/>
      <c r="AH1004" s="13"/>
      <c r="AI1004" s="13"/>
    </row>
    <row r="1005">
      <c r="A1005" s="160"/>
      <c r="B1005" s="160"/>
      <c r="C1005" s="161" t="b">
        <v>0</v>
      </c>
      <c r="D1005" s="161"/>
      <c r="E1005" s="161"/>
      <c r="F1005" s="162"/>
      <c r="G1005" s="163"/>
      <c r="H1005" s="164"/>
      <c r="I1005" s="165"/>
      <c r="J1005" s="161"/>
      <c r="K1005" s="161"/>
      <c r="L1005" s="166"/>
      <c r="M1005" s="167"/>
      <c r="N1005" s="168"/>
      <c r="O1005" s="168"/>
      <c r="P1005" s="168"/>
      <c r="Q1005" s="169"/>
      <c r="R1005" s="167"/>
      <c r="S1005" s="142" t="b">
        <v>0</v>
      </c>
      <c r="T1005" s="170"/>
      <c r="U1005" s="170"/>
      <c r="V1005" s="170"/>
      <c r="W1005" s="170"/>
      <c r="X1005" s="170"/>
      <c r="Y1005" s="171"/>
      <c r="Z1005" s="71"/>
      <c r="AA1005" s="71"/>
      <c r="AB1005" s="168"/>
      <c r="AC1005" s="172"/>
      <c r="AD1005" s="71"/>
      <c r="AE1005" s="168"/>
      <c r="AF1005" s="168"/>
      <c r="AG1005" s="168"/>
      <c r="AH1005" s="13"/>
      <c r="AI1005" s="13"/>
    </row>
    <row r="1006">
      <c r="A1006" s="160"/>
      <c r="B1006" s="160"/>
      <c r="C1006" s="161" t="b">
        <v>0</v>
      </c>
      <c r="D1006" s="161"/>
      <c r="E1006" s="161"/>
      <c r="F1006" s="162"/>
      <c r="G1006" s="163"/>
      <c r="H1006" s="164"/>
      <c r="I1006" s="165"/>
      <c r="J1006" s="161"/>
      <c r="K1006" s="161"/>
      <c r="L1006" s="166"/>
      <c r="M1006" s="167"/>
      <c r="N1006" s="168"/>
      <c r="O1006" s="168"/>
      <c r="P1006" s="168"/>
      <c r="Q1006" s="169"/>
      <c r="R1006" s="167"/>
      <c r="S1006" s="142" t="b">
        <v>0</v>
      </c>
      <c r="T1006" s="170"/>
      <c r="U1006" s="170"/>
      <c r="V1006" s="170"/>
      <c r="W1006" s="170"/>
      <c r="X1006" s="170"/>
      <c r="Y1006" s="171"/>
      <c r="Z1006" s="71"/>
      <c r="AA1006" s="71"/>
      <c r="AB1006" s="168"/>
      <c r="AC1006" s="172"/>
      <c r="AD1006" s="71"/>
      <c r="AE1006" s="168"/>
      <c r="AF1006" s="168"/>
      <c r="AG1006" s="168"/>
      <c r="AH1006" s="13"/>
      <c r="AI1006" s="13"/>
    </row>
    <row r="1007">
      <c r="A1007" s="160"/>
      <c r="B1007" s="160"/>
      <c r="C1007" s="161" t="b">
        <v>0</v>
      </c>
      <c r="D1007" s="161"/>
      <c r="E1007" s="161"/>
      <c r="F1007" s="162"/>
      <c r="G1007" s="163"/>
      <c r="H1007" s="164"/>
      <c r="I1007" s="165"/>
      <c r="J1007" s="161"/>
      <c r="K1007" s="161"/>
      <c r="L1007" s="166"/>
      <c r="M1007" s="167"/>
      <c r="N1007" s="168"/>
      <c r="O1007" s="168"/>
      <c r="P1007" s="168"/>
      <c r="Q1007" s="169"/>
      <c r="R1007" s="167"/>
      <c r="S1007" s="142" t="b">
        <v>0</v>
      </c>
      <c r="T1007" s="170"/>
      <c r="U1007" s="170"/>
      <c r="V1007" s="170"/>
      <c r="W1007" s="170"/>
      <c r="X1007" s="170"/>
      <c r="Y1007" s="171"/>
      <c r="Z1007" s="71"/>
      <c r="AA1007" s="71"/>
      <c r="AB1007" s="168"/>
      <c r="AC1007" s="172"/>
      <c r="AD1007" s="71"/>
      <c r="AE1007" s="168"/>
      <c r="AF1007" s="168"/>
      <c r="AG1007" s="168"/>
      <c r="AH1007" s="13"/>
      <c r="AI1007" s="13"/>
    </row>
    <row r="1008">
      <c r="A1008" s="160"/>
      <c r="B1008" s="160"/>
      <c r="C1008" s="161" t="b">
        <v>0</v>
      </c>
      <c r="D1008" s="161"/>
      <c r="E1008" s="161"/>
      <c r="F1008" s="162"/>
      <c r="G1008" s="163"/>
      <c r="H1008" s="164"/>
      <c r="I1008" s="165"/>
      <c r="J1008" s="161"/>
      <c r="K1008" s="161"/>
      <c r="L1008" s="166"/>
      <c r="M1008" s="167"/>
      <c r="N1008" s="168"/>
      <c r="O1008" s="168"/>
      <c r="P1008" s="168"/>
      <c r="Q1008" s="169"/>
      <c r="R1008" s="167"/>
      <c r="S1008" s="142" t="b">
        <v>0</v>
      </c>
      <c r="T1008" s="170"/>
      <c r="U1008" s="170"/>
      <c r="V1008" s="170"/>
      <c r="W1008" s="170"/>
      <c r="X1008" s="170"/>
      <c r="Y1008" s="171"/>
      <c r="Z1008" s="71"/>
      <c r="AA1008" s="71"/>
      <c r="AB1008" s="168"/>
      <c r="AC1008" s="172"/>
      <c r="AD1008" s="71"/>
      <c r="AE1008" s="168"/>
      <c r="AF1008" s="168"/>
      <c r="AG1008" s="168"/>
      <c r="AH1008" s="13"/>
      <c r="AI1008" s="13"/>
    </row>
    <row r="1009">
      <c r="A1009" s="160"/>
      <c r="B1009" s="160"/>
      <c r="C1009" s="161" t="b">
        <v>0</v>
      </c>
      <c r="D1009" s="161"/>
      <c r="E1009" s="161"/>
      <c r="F1009" s="162"/>
      <c r="G1009" s="163"/>
      <c r="H1009" s="164"/>
      <c r="I1009" s="165"/>
      <c r="J1009" s="161"/>
      <c r="K1009" s="161"/>
      <c r="L1009" s="166"/>
      <c r="M1009" s="167"/>
      <c r="N1009" s="168"/>
      <c r="O1009" s="168"/>
      <c r="P1009" s="168"/>
      <c r="Q1009" s="169"/>
      <c r="R1009" s="167"/>
      <c r="S1009" s="142" t="b">
        <v>0</v>
      </c>
      <c r="T1009" s="170"/>
      <c r="U1009" s="170"/>
      <c r="V1009" s="170"/>
      <c r="W1009" s="170"/>
      <c r="X1009" s="170"/>
      <c r="Y1009" s="171"/>
      <c r="Z1009" s="71"/>
      <c r="AA1009" s="71"/>
      <c r="AB1009" s="168"/>
      <c r="AC1009" s="172"/>
      <c r="AD1009" s="71"/>
      <c r="AE1009" s="168"/>
      <c r="AF1009" s="168"/>
      <c r="AG1009" s="168"/>
      <c r="AH1009" s="13"/>
      <c r="AI1009" s="13"/>
    </row>
    <row r="1010">
      <c r="A1010" s="160"/>
      <c r="B1010" s="160"/>
      <c r="C1010" s="161" t="b">
        <v>0</v>
      </c>
      <c r="D1010" s="161"/>
      <c r="E1010" s="161"/>
      <c r="F1010" s="162"/>
      <c r="G1010" s="163"/>
      <c r="H1010" s="164"/>
      <c r="I1010" s="165"/>
      <c r="J1010" s="161"/>
      <c r="K1010" s="161"/>
      <c r="L1010" s="166"/>
      <c r="M1010" s="167"/>
      <c r="N1010" s="168"/>
      <c r="O1010" s="168"/>
      <c r="P1010" s="168"/>
      <c r="Q1010" s="169"/>
      <c r="R1010" s="167"/>
      <c r="S1010" s="142" t="b">
        <v>0</v>
      </c>
      <c r="T1010" s="170"/>
      <c r="U1010" s="170"/>
      <c r="V1010" s="170"/>
      <c r="W1010" s="170"/>
      <c r="X1010" s="170"/>
      <c r="Y1010" s="171"/>
      <c r="Z1010" s="71"/>
      <c r="AA1010" s="71"/>
      <c r="AB1010" s="168"/>
      <c r="AC1010" s="172"/>
      <c r="AD1010" s="71"/>
      <c r="AE1010" s="168"/>
      <c r="AF1010" s="168"/>
      <c r="AG1010" s="168"/>
      <c r="AH1010" s="13"/>
      <c r="AI1010" s="13"/>
    </row>
    <row r="1011">
      <c r="A1011" s="160"/>
      <c r="B1011" s="160"/>
      <c r="C1011" s="161" t="b">
        <v>0</v>
      </c>
      <c r="D1011" s="161"/>
      <c r="E1011" s="161"/>
      <c r="F1011" s="162"/>
      <c r="G1011" s="163"/>
      <c r="H1011" s="164"/>
      <c r="I1011" s="165"/>
      <c r="J1011" s="161"/>
      <c r="K1011" s="161"/>
      <c r="L1011" s="166"/>
      <c r="M1011" s="167"/>
      <c r="N1011" s="168"/>
      <c r="O1011" s="168"/>
      <c r="P1011" s="168"/>
      <c r="Q1011" s="169"/>
      <c r="R1011" s="167"/>
      <c r="S1011" s="142" t="b">
        <v>0</v>
      </c>
      <c r="T1011" s="170"/>
      <c r="U1011" s="170"/>
      <c r="V1011" s="170"/>
      <c r="W1011" s="170"/>
      <c r="X1011" s="170"/>
      <c r="Y1011" s="171"/>
      <c r="Z1011" s="71"/>
      <c r="AA1011" s="71"/>
      <c r="AB1011" s="168"/>
      <c r="AC1011" s="172"/>
      <c r="AD1011" s="71"/>
      <c r="AE1011" s="168"/>
      <c r="AF1011" s="168"/>
      <c r="AG1011" s="168"/>
      <c r="AH1011" s="13"/>
      <c r="AI1011" s="13"/>
    </row>
    <row r="1012">
      <c r="A1012" s="160"/>
      <c r="B1012" s="160"/>
      <c r="C1012" s="161" t="b">
        <v>0</v>
      </c>
      <c r="D1012" s="161"/>
      <c r="E1012" s="161"/>
      <c r="F1012" s="162"/>
      <c r="G1012" s="163"/>
      <c r="H1012" s="164"/>
      <c r="I1012" s="165"/>
      <c r="J1012" s="161"/>
      <c r="K1012" s="161"/>
      <c r="L1012" s="166"/>
      <c r="M1012" s="167"/>
      <c r="N1012" s="168"/>
      <c r="O1012" s="168"/>
      <c r="P1012" s="168"/>
      <c r="Q1012" s="169"/>
      <c r="R1012" s="167"/>
      <c r="S1012" s="142" t="b">
        <v>0</v>
      </c>
      <c r="T1012" s="170"/>
      <c r="U1012" s="170"/>
      <c r="V1012" s="170"/>
      <c r="W1012" s="170"/>
      <c r="X1012" s="170"/>
      <c r="Y1012" s="171"/>
      <c r="Z1012" s="71"/>
      <c r="AA1012" s="71"/>
      <c r="AB1012" s="168"/>
      <c r="AC1012" s="172"/>
      <c r="AD1012" s="71"/>
      <c r="AE1012" s="168"/>
      <c r="AF1012" s="168"/>
      <c r="AG1012" s="168"/>
      <c r="AH1012" s="13"/>
      <c r="AI1012" s="13"/>
    </row>
    <row r="1013">
      <c r="A1013" s="160"/>
      <c r="B1013" s="160"/>
      <c r="C1013" s="161" t="b">
        <v>0</v>
      </c>
      <c r="D1013" s="161"/>
      <c r="E1013" s="161"/>
      <c r="F1013" s="162"/>
      <c r="G1013" s="163"/>
      <c r="H1013" s="164"/>
      <c r="I1013" s="165"/>
      <c r="J1013" s="161"/>
      <c r="K1013" s="161"/>
      <c r="L1013" s="166"/>
      <c r="M1013" s="167"/>
      <c r="N1013" s="168"/>
      <c r="O1013" s="168"/>
      <c r="P1013" s="168"/>
      <c r="Q1013" s="169"/>
      <c r="R1013" s="167"/>
      <c r="S1013" s="142" t="b">
        <v>0</v>
      </c>
      <c r="T1013" s="170"/>
      <c r="U1013" s="170"/>
      <c r="V1013" s="170"/>
      <c r="W1013" s="170"/>
      <c r="X1013" s="170"/>
      <c r="Y1013" s="171"/>
      <c r="Z1013" s="71"/>
      <c r="AA1013" s="71"/>
      <c r="AB1013" s="168"/>
      <c r="AC1013" s="172"/>
      <c r="AD1013" s="71"/>
      <c r="AE1013" s="168"/>
      <c r="AF1013" s="168"/>
      <c r="AG1013" s="168"/>
      <c r="AH1013" s="13"/>
      <c r="AI1013" s="13"/>
    </row>
    <row r="1014">
      <c r="A1014" s="160"/>
      <c r="B1014" s="160"/>
      <c r="C1014" s="161" t="b">
        <v>0</v>
      </c>
      <c r="D1014" s="161"/>
      <c r="E1014" s="161"/>
      <c r="F1014" s="162"/>
      <c r="G1014" s="163"/>
      <c r="H1014" s="164"/>
      <c r="I1014" s="165"/>
      <c r="J1014" s="161"/>
      <c r="K1014" s="161"/>
      <c r="L1014" s="166"/>
      <c r="M1014" s="167"/>
      <c r="N1014" s="168"/>
      <c r="O1014" s="168"/>
      <c r="P1014" s="168"/>
      <c r="Q1014" s="169"/>
      <c r="R1014" s="167"/>
      <c r="S1014" s="142" t="b">
        <v>0</v>
      </c>
      <c r="T1014" s="170"/>
      <c r="U1014" s="170"/>
      <c r="V1014" s="170"/>
      <c r="W1014" s="170"/>
      <c r="X1014" s="170"/>
      <c r="Y1014" s="171"/>
      <c r="Z1014" s="71"/>
      <c r="AA1014" s="71"/>
      <c r="AB1014" s="168"/>
      <c r="AC1014" s="172"/>
      <c r="AD1014" s="71"/>
      <c r="AE1014" s="168"/>
      <c r="AF1014" s="168"/>
      <c r="AG1014" s="168"/>
      <c r="AH1014" s="13"/>
      <c r="AI1014" s="13"/>
    </row>
    <row r="1015">
      <c r="A1015" s="160"/>
      <c r="B1015" s="160"/>
      <c r="C1015" s="161" t="b">
        <v>0</v>
      </c>
      <c r="D1015" s="161"/>
      <c r="E1015" s="161"/>
      <c r="F1015" s="162"/>
      <c r="G1015" s="163"/>
      <c r="H1015" s="164"/>
      <c r="I1015" s="165"/>
      <c r="J1015" s="161"/>
      <c r="K1015" s="161"/>
      <c r="L1015" s="166"/>
      <c r="M1015" s="167"/>
      <c r="N1015" s="168"/>
      <c r="O1015" s="168"/>
      <c r="P1015" s="168"/>
      <c r="Q1015" s="169"/>
      <c r="R1015" s="167"/>
      <c r="S1015" s="142" t="b">
        <v>0</v>
      </c>
      <c r="T1015" s="170"/>
      <c r="U1015" s="170"/>
      <c r="V1015" s="170"/>
      <c r="W1015" s="170"/>
      <c r="X1015" s="170"/>
      <c r="Y1015" s="171"/>
      <c r="Z1015" s="71"/>
      <c r="AA1015" s="71"/>
      <c r="AB1015" s="168"/>
      <c r="AC1015" s="172"/>
      <c r="AD1015" s="71"/>
      <c r="AE1015" s="168"/>
      <c r="AF1015" s="168"/>
      <c r="AG1015" s="168"/>
      <c r="AH1015" s="13"/>
      <c r="AI1015" s="13"/>
    </row>
    <row r="1016">
      <c r="A1016" s="160"/>
      <c r="B1016" s="160"/>
      <c r="C1016" s="161" t="b">
        <v>0</v>
      </c>
      <c r="D1016" s="161"/>
      <c r="E1016" s="161"/>
      <c r="F1016" s="162"/>
      <c r="G1016" s="163"/>
      <c r="H1016" s="164"/>
      <c r="I1016" s="165"/>
      <c r="J1016" s="161"/>
      <c r="K1016" s="161"/>
      <c r="L1016" s="166"/>
      <c r="M1016" s="167"/>
      <c r="N1016" s="168"/>
      <c r="O1016" s="168"/>
      <c r="P1016" s="168"/>
      <c r="Q1016" s="169"/>
      <c r="R1016" s="167"/>
      <c r="S1016" s="142" t="b">
        <v>0</v>
      </c>
      <c r="T1016" s="170"/>
      <c r="U1016" s="170"/>
      <c r="V1016" s="170"/>
      <c r="W1016" s="170"/>
      <c r="X1016" s="170"/>
      <c r="Y1016" s="171"/>
      <c r="Z1016" s="71"/>
      <c r="AA1016" s="71"/>
      <c r="AB1016" s="168"/>
      <c r="AC1016" s="172"/>
      <c r="AD1016" s="71"/>
      <c r="AE1016" s="168"/>
      <c r="AF1016" s="168"/>
      <c r="AG1016" s="168"/>
      <c r="AH1016" s="13"/>
      <c r="AI1016" s="13"/>
    </row>
    <row r="1017">
      <c r="A1017" s="160"/>
      <c r="B1017" s="160"/>
      <c r="C1017" s="161" t="b">
        <v>0</v>
      </c>
      <c r="D1017" s="161"/>
      <c r="E1017" s="161"/>
      <c r="F1017" s="162"/>
      <c r="G1017" s="163"/>
      <c r="H1017" s="164"/>
      <c r="I1017" s="165"/>
      <c r="J1017" s="161"/>
      <c r="K1017" s="161"/>
      <c r="L1017" s="166"/>
      <c r="M1017" s="167"/>
      <c r="N1017" s="168"/>
      <c r="O1017" s="168"/>
      <c r="P1017" s="168"/>
      <c r="Q1017" s="169"/>
      <c r="R1017" s="167"/>
      <c r="S1017" s="142" t="b">
        <v>0</v>
      </c>
      <c r="T1017" s="170"/>
      <c r="U1017" s="170"/>
      <c r="V1017" s="170"/>
      <c r="W1017" s="170"/>
      <c r="X1017" s="170"/>
      <c r="Y1017" s="171"/>
      <c r="Z1017" s="71"/>
      <c r="AA1017" s="71"/>
      <c r="AB1017" s="168"/>
      <c r="AC1017" s="172"/>
      <c r="AD1017" s="71"/>
      <c r="AE1017" s="168"/>
      <c r="AF1017" s="168"/>
      <c r="AG1017" s="168"/>
      <c r="AH1017" s="13"/>
      <c r="AI1017" s="13"/>
    </row>
    <row r="1018">
      <c r="A1018" s="160"/>
      <c r="B1018" s="160"/>
      <c r="C1018" s="161" t="b">
        <v>0</v>
      </c>
      <c r="D1018" s="161"/>
      <c r="E1018" s="161"/>
      <c r="F1018" s="162"/>
      <c r="G1018" s="163"/>
      <c r="H1018" s="164"/>
      <c r="I1018" s="165"/>
      <c r="J1018" s="161"/>
      <c r="K1018" s="161"/>
      <c r="L1018" s="166"/>
      <c r="M1018" s="167"/>
      <c r="N1018" s="168"/>
      <c r="O1018" s="168"/>
      <c r="P1018" s="168"/>
      <c r="Q1018" s="169"/>
      <c r="R1018" s="167"/>
      <c r="S1018" s="142" t="b">
        <v>0</v>
      </c>
      <c r="T1018" s="170"/>
      <c r="U1018" s="170"/>
      <c r="V1018" s="170"/>
      <c r="W1018" s="170"/>
      <c r="X1018" s="170"/>
      <c r="Y1018" s="171"/>
      <c r="Z1018" s="71"/>
      <c r="AA1018" s="71"/>
      <c r="AB1018" s="168"/>
      <c r="AC1018" s="172"/>
      <c r="AD1018" s="71"/>
      <c r="AE1018" s="168"/>
      <c r="AF1018" s="168"/>
      <c r="AG1018" s="168"/>
      <c r="AH1018" s="13"/>
      <c r="AI1018" s="13"/>
    </row>
    <row r="1019">
      <c r="A1019" s="160"/>
      <c r="B1019" s="160"/>
      <c r="C1019" s="161" t="b">
        <v>0</v>
      </c>
      <c r="D1019" s="161"/>
      <c r="E1019" s="161"/>
      <c r="F1019" s="162"/>
      <c r="G1019" s="163"/>
      <c r="H1019" s="164"/>
      <c r="I1019" s="165"/>
      <c r="J1019" s="161"/>
      <c r="K1019" s="161"/>
      <c r="L1019" s="166"/>
      <c r="M1019" s="167"/>
      <c r="N1019" s="168"/>
      <c r="O1019" s="168"/>
      <c r="P1019" s="168"/>
      <c r="Q1019" s="169"/>
      <c r="R1019" s="167"/>
      <c r="S1019" s="142" t="b">
        <v>0</v>
      </c>
      <c r="T1019" s="170"/>
      <c r="U1019" s="170"/>
      <c r="V1019" s="170"/>
      <c r="W1019" s="170"/>
      <c r="X1019" s="170"/>
      <c r="Y1019" s="171"/>
      <c r="Z1019" s="71"/>
      <c r="AA1019" s="71"/>
      <c r="AB1019" s="168"/>
      <c r="AC1019" s="172"/>
      <c r="AD1019" s="71"/>
      <c r="AE1019" s="168"/>
      <c r="AF1019" s="168"/>
      <c r="AG1019" s="168"/>
      <c r="AH1019" s="13"/>
      <c r="AI1019" s="13"/>
    </row>
    <row r="1020">
      <c r="A1020" s="160"/>
      <c r="B1020" s="160"/>
      <c r="C1020" s="161" t="b">
        <v>0</v>
      </c>
      <c r="D1020" s="161"/>
      <c r="E1020" s="161"/>
      <c r="F1020" s="162"/>
      <c r="G1020" s="163"/>
      <c r="H1020" s="164"/>
      <c r="I1020" s="165"/>
      <c r="J1020" s="161"/>
      <c r="K1020" s="161"/>
      <c r="L1020" s="166"/>
      <c r="M1020" s="167"/>
      <c r="N1020" s="168"/>
      <c r="O1020" s="168"/>
      <c r="P1020" s="168"/>
      <c r="Q1020" s="169"/>
      <c r="R1020" s="167"/>
      <c r="S1020" s="142" t="b">
        <v>0</v>
      </c>
      <c r="T1020" s="170"/>
      <c r="U1020" s="170"/>
      <c r="V1020" s="170"/>
      <c r="W1020" s="170"/>
      <c r="X1020" s="170"/>
      <c r="Y1020" s="171"/>
      <c r="Z1020" s="71"/>
      <c r="AA1020" s="71"/>
      <c r="AB1020" s="168"/>
      <c r="AC1020" s="172"/>
      <c r="AD1020" s="71"/>
      <c r="AE1020" s="168"/>
      <c r="AF1020" s="168"/>
      <c r="AG1020" s="168"/>
      <c r="AH1020" s="13"/>
      <c r="AI1020" s="13"/>
    </row>
    <row r="1021">
      <c r="A1021" s="160"/>
      <c r="B1021" s="160"/>
      <c r="C1021" s="161" t="b">
        <v>0</v>
      </c>
      <c r="D1021" s="161"/>
      <c r="E1021" s="161"/>
      <c r="F1021" s="162"/>
      <c r="G1021" s="163"/>
      <c r="H1021" s="164"/>
      <c r="I1021" s="165"/>
      <c r="J1021" s="161"/>
      <c r="K1021" s="161"/>
      <c r="L1021" s="166"/>
      <c r="M1021" s="167"/>
      <c r="N1021" s="168"/>
      <c r="O1021" s="168"/>
      <c r="P1021" s="168"/>
      <c r="Q1021" s="169"/>
      <c r="R1021" s="167"/>
      <c r="S1021" s="142" t="b">
        <v>0</v>
      </c>
      <c r="T1021" s="170"/>
      <c r="U1021" s="170"/>
      <c r="V1021" s="170"/>
      <c r="W1021" s="170"/>
      <c r="X1021" s="170"/>
      <c r="Y1021" s="171"/>
      <c r="Z1021" s="71"/>
      <c r="AA1021" s="71"/>
      <c r="AB1021" s="168"/>
      <c r="AC1021" s="172"/>
      <c r="AD1021" s="71"/>
      <c r="AE1021" s="168"/>
      <c r="AF1021" s="168"/>
      <c r="AG1021" s="168"/>
      <c r="AH1021" s="13"/>
      <c r="AI1021" s="13"/>
    </row>
    <row r="1022">
      <c r="A1022" s="160"/>
      <c r="B1022" s="160"/>
      <c r="C1022" s="161" t="b">
        <v>0</v>
      </c>
      <c r="D1022" s="161"/>
      <c r="E1022" s="161"/>
      <c r="F1022" s="162"/>
      <c r="G1022" s="163"/>
      <c r="H1022" s="164"/>
      <c r="I1022" s="165"/>
      <c r="J1022" s="161"/>
      <c r="K1022" s="161"/>
      <c r="L1022" s="166"/>
      <c r="M1022" s="167"/>
      <c r="N1022" s="168"/>
      <c r="O1022" s="168"/>
      <c r="P1022" s="168"/>
      <c r="Q1022" s="169"/>
      <c r="R1022" s="167"/>
      <c r="S1022" s="142" t="b">
        <v>0</v>
      </c>
      <c r="T1022" s="170"/>
      <c r="U1022" s="170"/>
      <c r="V1022" s="170"/>
      <c r="W1022" s="170"/>
      <c r="X1022" s="170"/>
      <c r="Y1022" s="171"/>
      <c r="Z1022" s="71"/>
      <c r="AA1022" s="71"/>
      <c r="AB1022" s="168"/>
      <c r="AC1022" s="172"/>
      <c r="AD1022" s="71"/>
      <c r="AE1022" s="168"/>
      <c r="AF1022" s="168"/>
      <c r="AG1022" s="168"/>
      <c r="AH1022" s="13"/>
      <c r="AI1022" s="13"/>
    </row>
    <row r="1023">
      <c r="A1023" s="160"/>
      <c r="B1023" s="160"/>
      <c r="C1023" s="161" t="b">
        <v>0</v>
      </c>
      <c r="D1023" s="161"/>
      <c r="E1023" s="161"/>
      <c r="F1023" s="162"/>
      <c r="G1023" s="163"/>
      <c r="H1023" s="164"/>
      <c r="I1023" s="165"/>
      <c r="J1023" s="161"/>
      <c r="K1023" s="161"/>
      <c r="L1023" s="166"/>
      <c r="M1023" s="167"/>
      <c r="N1023" s="168"/>
      <c r="O1023" s="168"/>
      <c r="P1023" s="168"/>
      <c r="Q1023" s="169"/>
      <c r="R1023" s="167"/>
      <c r="S1023" s="142" t="b">
        <v>0</v>
      </c>
      <c r="T1023" s="170"/>
      <c r="U1023" s="170"/>
      <c r="V1023" s="170"/>
      <c r="W1023" s="170"/>
      <c r="X1023" s="170"/>
      <c r="Y1023" s="171"/>
      <c r="Z1023" s="71"/>
      <c r="AA1023" s="71"/>
      <c r="AB1023" s="168"/>
      <c r="AC1023" s="172"/>
      <c r="AD1023" s="71"/>
      <c r="AE1023" s="168"/>
      <c r="AF1023" s="168"/>
      <c r="AG1023" s="168"/>
      <c r="AH1023" s="13"/>
      <c r="AI1023" s="13"/>
    </row>
    <row r="1024">
      <c r="A1024" s="160"/>
      <c r="B1024" s="160"/>
      <c r="C1024" s="161" t="b">
        <v>0</v>
      </c>
      <c r="D1024" s="161"/>
      <c r="E1024" s="161"/>
      <c r="F1024" s="162"/>
      <c r="G1024" s="163"/>
      <c r="H1024" s="164"/>
      <c r="I1024" s="165"/>
      <c r="J1024" s="161"/>
      <c r="K1024" s="161"/>
      <c r="L1024" s="166"/>
      <c r="M1024" s="167"/>
      <c r="N1024" s="168"/>
      <c r="O1024" s="168"/>
      <c r="P1024" s="168"/>
      <c r="Q1024" s="169"/>
      <c r="R1024" s="167"/>
      <c r="S1024" s="142" t="b">
        <v>0</v>
      </c>
      <c r="T1024" s="170"/>
      <c r="U1024" s="170"/>
      <c r="V1024" s="170"/>
      <c r="W1024" s="170"/>
      <c r="X1024" s="170"/>
      <c r="Y1024" s="171"/>
      <c r="Z1024" s="71"/>
      <c r="AA1024" s="71"/>
      <c r="AB1024" s="168"/>
      <c r="AC1024" s="172"/>
      <c r="AD1024" s="71"/>
      <c r="AE1024" s="168"/>
      <c r="AF1024" s="168"/>
      <c r="AG1024" s="168"/>
      <c r="AH1024" s="13"/>
      <c r="AI1024" s="13"/>
    </row>
    <row r="1025">
      <c r="A1025" s="160"/>
      <c r="B1025" s="160"/>
      <c r="C1025" s="161" t="b">
        <v>0</v>
      </c>
      <c r="D1025" s="161"/>
      <c r="E1025" s="161"/>
      <c r="F1025" s="162"/>
      <c r="G1025" s="163"/>
      <c r="H1025" s="164"/>
      <c r="I1025" s="165"/>
      <c r="J1025" s="161"/>
      <c r="K1025" s="161"/>
      <c r="L1025" s="166"/>
      <c r="M1025" s="167"/>
      <c r="N1025" s="168"/>
      <c r="O1025" s="168"/>
      <c r="P1025" s="168"/>
      <c r="Q1025" s="169"/>
      <c r="R1025" s="167"/>
      <c r="S1025" s="142" t="b">
        <v>0</v>
      </c>
      <c r="T1025" s="170"/>
      <c r="U1025" s="170"/>
      <c r="V1025" s="170"/>
      <c r="W1025" s="170"/>
      <c r="X1025" s="170"/>
      <c r="Y1025" s="171"/>
      <c r="Z1025" s="71"/>
      <c r="AA1025" s="71"/>
      <c r="AB1025" s="168"/>
      <c r="AC1025" s="172"/>
      <c r="AD1025" s="71"/>
      <c r="AE1025" s="168"/>
      <c r="AF1025" s="168"/>
      <c r="AG1025" s="168"/>
      <c r="AH1025" s="13"/>
      <c r="AI1025" s="13"/>
    </row>
    <row r="1026">
      <c r="A1026" s="160"/>
      <c r="B1026" s="160"/>
      <c r="C1026" s="161" t="b">
        <v>0</v>
      </c>
      <c r="D1026" s="161"/>
      <c r="E1026" s="161"/>
      <c r="F1026" s="162"/>
      <c r="G1026" s="163"/>
      <c r="H1026" s="164"/>
      <c r="I1026" s="165"/>
      <c r="J1026" s="161"/>
      <c r="K1026" s="161"/>
      <c r="L1026" s="166"/>
      <c r="M1026" s="167"/>
      <c r="N1026" s="168"/>
      <c r="O1026" s="168"/>
      <c r="P1026" s="168"/>
      <c r="Q1026" s="169"/>
      <c r="R1026" s="167"/>
      <c r="S1026" s="142" t="b">
        <v>0</v>
      </c>
      <c r="T1026" s="170"/>
      <c r="U1026" s="170"/>
      <c r="V1026" s="170"/>
      <c r="W1026" s="170"/>
      <c r="X1026" s="170"/>
      <c r="Y1026" s="171"/>
      <c r="Z1026" s="71"/>
      <c r="AA1026" s="71"/>
      <c r="AB1026" s="168"/>
      <c r="AC1026" s="172"/>
      <c r="AD1026" s="71"/>
      <c r="AE1026" s="168"/>
      <c r="AF1026" s="168"/>
      <c r="AG1026" s="168"/>
      <c r="AH1026" s="13"/>
      <c r="AI1026" s="13"/>
    </row>
    <row r="1027">
      <c r="A1027" s="160"/>
      <c r="B1027" s="160"/>
      <c r="C1027" s="161" t="b">
        <v>0</v>
      </c>
      <c r="D1027" s="161"/>
      <c r="E1027" s="161"/>
      <c r="F1027" s="162"/>
      <c r="G1027" s="163"/>
      <c r="H1027" s="164"/>
      <c r="I1027" s="165"/>
      <c r="J1027" s="161"/>
      <c r="K1027" s="161"/>
      <c r="L1027" s="166"/>
      <c r="M1027" s="167"/>
      <c r="N1027" s="168"/>
      <c r="O1027" s="168"/>
      <c r="P1027" s="168"/>
      <c r="Q1027" s="169"/>
      <c r="R1027" s="167"/>
      <c r="S1027" s="142" t="b">
        <v>0</v>
      </c>
      <c r="T1027" s="170"/>
      <c r="U1027" s="170"/>
      <c r="V1027" s="170"/>
      <c r="W1027" s="170"/>
      <c r="X1027" s="170"/>
      <c r="Y1027" s="171"/>
      <c r="Z1027" s="71"/>
      <c r="AA1027" s="71"/>
      <c r="AB1027" s="168"/>
      <c r="AC1027" s="172"/>
      <c r="AD1027" s="71"/>
      <c r="AE1027" s="168"/>
      <c r="AF1027" s="168"/>
      <c r="AG1027" s="168"/>
      <c r="AH1027" s="13"/>
      <c r="AI1027" s="13"/>
    </row>
    <row r="1028">
      <c r="A1028" s="160"/>
      <c r="B1028" s="160"/>
      <c r="C1028" s="161" t="b">
        <v>0</v>
      </c>
      <c r="D1028" s="161"/>
      <c r="E1028" s="161"/>
      <c r="F1028" s="162"/>
      <c r="G1028" s="163"/>
      <c r="H1028" s="164"/>
      <c r="I1028" s="165"/>
      <c r="J1028" s="161"/>
      <c r="K1028" s="161"/>
      <c r="L1028" s="166"/>
      <c r="M1028" s="167"/>
      <c r="N1028" s="168"/>
      <c r="O1028" s="168"/>
      <c r="P1028" s="168"/>
      <c r="Q1028" s="169"/>
      <c r="R1028" s="167"/>
      <c r="S1028" s="142" t="b">
        <v>0</v>
      </c>
      <c r="T1028" s="170"/>
      <c r="U1028" s="170"/>
      <c r="V1028" s="170"/>
      <c r="W1028" s="170"/>
      <c r="X1028" s="170"/>
      <c r="Y1028" s="171"/>
      <c r="Z1028" s="71"/>
      <c r="AA1028" s="71"/>
      <c r="AB1028" s="168"/>
      <c r="AC1028" s="172"/>
      <c r="AD1028" s="71"/>
      <c r="AE1028" s="168"/>
      <c r="AF1028" s="168"/>
      <c r="AG1028" s="168"/>
      <c r="AH1028" s="13"/>
      <c r="AI1028" s="13"/>
    </row>
    <row r="1029">
      <c r="A1029" s="160"/>
      <c r="B1029" s="160"/>
      <c r="C1029" s="161" t="b">
        <v>0</v>
      </c>
      <c r="D1029" s="161"/>
      <c r="E1029" s="161"/>
      <c r="F1029" s="162"/>
      <c r="G1029" s="163"/>
      <c r="H1029" s="164"/>
      <c r="I1029" s="165"/>
      <c r="J1029" s="161"/>
      <c r="K1029" s="161"/>
      <c r="L1029" s="166"/>
      <c r="M1029" s="167"/>
      <c r="N1029" s="168"/>
      <c r="O1029" s="168"/>
      <c r="P1029" s="168"/>
      <c r="Q1029" s="169"/>
      <c r="R1029" s="167"/>
      <c r="S1029" s="142" t="b">
        <v>0</v>
      </c>
      <c r="T1029" s="170"/>
      <c r="U1029" s="170"/>
      <c r="V1029" s="170"/>
      <c r="W1029" s="170"/>
      <c r="X1029" s="170"/>
      <c r="Y1029" s="171"/>
      <c r="Z1029" s="71"/>
      <c r="AA1029" s="71"/>
      <c r="AB1029" s="168"/>
      <c r="AC1029" s="172"/>
      <c r="AD1029" s="71"/>
      <c r="AE1029" s="168"/>
      <c r="AF1029" s="168"/>
      <c r="AG1029" s="168"/>
      <c r="AH1029" s="13"/>
      <c r="AI1029" s="13"/>
    </row>
    <row r="1030">
      <c r="A1030" s="160"/>
      <c r="B1030" s="160"/>
      <c r="C1030" s="161" t="b">
        <v>0</v>
      </c>
      <c r="D1030" s="161"/>
      <c r="E1030" s="161"/>
      <c r="F1030" s="162"/>
      <c r="G1030" s="163"/>
      <c r="H1030" s="164"/>
      <c r="I1030" s="165"/>
      <c r="J1030" s="161"/>
      <c r="K1030" s="161"/>
      <c r="L1030" s="166"/>
      <c r="M1030" s="167"/>
      <c r="N1030" s="168"/>
      <c r="O1030" s="168"/>
      <c r="P1030" s="168"/>
      <c r="Q1030" s="169"/>
      <c r="R1030" s="167"/>
      <c r="S1030" s="142" t="b">
        <v>0</v>
      </c>
      <c r="T1030" s="170"/>
      <c r="U1030" s="170"/>
      <c r="V1030" s="170"/>
      <c r="W1030" s="170"/>
      <c r="X1030" s="170"/>
      <c r="Y1030" s="171"/>
      <c r="Z1030" s="71"/>
      <c r="AA1030" s="71"/>
      <c r="AB1030" s="168"/>
      <c r="AC1030" s="172"/>
      <c r="AD1030" s="71"/>
      <c r="AE1030" s="168"/>
      <c r="AF1030" s="168"/>
      <c r="AG1030" s="168"/>
      <c r="AH1030" s="13"/>
      <c r="AI1030" s="13"/>
    </row>
    <row r="1031">
      <c r="A1031" s="160"/>
      <c r="B1031" s="160"/>
      <c r="C1031" s="161" t="b">
        <v>0</v>
      </c>
      <c r="D1031" s="161"/>
      <c r="E1031" s="161"/>
      <c r="F1031" s="162"/>
      <c r="G1031" s="163"/>
      <c r="H1031" s="164"/>
      <c r="I1031" s="165"/>
      <c r="J1031" s="161"/>
      <c r="K1031" s="161"/>
      <c r="L1031" s="166"/>
      <c r="M1031" s="167"/>
      <c r="N1031" s="168"/>
      <c r="O1031" s="168"/>
      <c r="P1031" s="168"/>
      <c r="Q1031" s="169"/>
      <c r="R1031" s="167"/>
      <c r="S1031" s="142" t="b">
        <v>0</v>
      </c>
      <c r="T1031" s="170"/>
      <c r="U1031" s="170"/>
      <c r="V1031" s="170"/>
      <c r="W1031" s="170"/>
      <c r="X1031" s="170"/>
      <c r="Y1031" s="171"/>
      <c r="Z1031" s="71"/>
      <c r="AA1031" s="71"/>
      <c r="AB1031" s="168"/>
      <c r="AC1031" s="172"/>
      <c r="AD1031" s="71"/>
      <c r="AE1031" s="168"/>
      <c r="AF1031" s="168"/>
      <c r="AG1031" s="168"/>
      <c r="AH1031" s="13"/>
      <c r="AI1031" s="13"/>
    </row>
    <row r="1032">
      <c r="A1032" s="160"/>
      <c r="B1032" s="160"/>
      <c r="C1032" s="161" t="b">
        <v>0</v>
      </c>
      <c r="D1032" s="161"/>
      <c r="E1032" s="161"/>
      <c r="F1032" s="162"/>
      <c r="G1032" s="163"/>
      <c r="H1032" s="164"/>
      <c r="I1032" s="165"/>
      <c r="J1032" s="161"/>
      <c r="K1032" s="161"/>
      <c r="L1032" s="166"/>
      <c r="M1032" s="167"/>
      <c r="N1032" s="168"/>
      <c r="O1032" s="168"/>
      <c r="P1032" s="168"/>
      <c r="Q1032" s="169"/>
      <c r="R1032" s="167"/>
      <c r="S1032" s="142" t="b">
        <v>0</v>
      </c>
      <c r="T1032" s="170"/>
      <c r="U1032" s="170"/>
      <c r="V1032" s="170"/>
      <c r="W1032" s="170"/>
      <c r="X1032" s="170"/>
      <c r="Y1032" s="171"/>
      <c r="Z1032" s="71"/>
      <c r="AA1032" s="71"/>
      <c r="AB1032" s="168"/>
      <c r="AC1032" s="172"/>
      <c r="AD1032" s="71"/>
      <c r="AE1032" s="168"/>
      <c r="AF1032" s="168"/>
      <c r="AG1032" s="168"/>
      <c r="AH1032" s="13"/>
      <c r="AI1032" s="13"/>
    </row>
    <row r="1033">
      <c r="A1033" s="160"/>
      <c r="B1033" s="160"/>
      <c r="C1033" s="161" t="b">
        <v>0</v>
      </c>
      <c r="D1033" s="161"/>
      <c r="E1033" s="161"/>
      <c r="F1033" s="162"/>
      <c r="G1033" s="163"/>
      <c r="H1033" s="164"/>
      <c r="I1033" s="165"/>
      <c r="J1033" s="161"/>
      <c r="K1033" s="161"/>
      <c r="L1033" s="166"/>
      <c r="M1033" s="167"/>
      <c r="N1033" s="168"/>
      <c r="O1033" s="168"/>
      <c r="P1033" s="168"/>
      <c r="Q1033" s="169"/>
      <c r="R1033" s="167"/>
      <c r="S1033" s="142" t="b">
        <v>0</v>
      </c>
      <c r="T1033" s="170"/>
      <c r="U1033" s="170"/>
      <c r="V1033" s="170"/>
      <c r="W1033" s="170"/>
      <c r="X1033" s="170"/>
      <c r="Y1033" s="171"/>
      <c r="Z1033" s="71"/>
      <c r="AA1033" s="71"/>
      <c r="AB1033" s="168"/>
      <c r="AC1033" s="172"/>
      <c r="AD1033" s="71"/>
      <c r="AE1033" s="168"/>
      <c r="AF1033" s="168"/>
      <c r="AG1033" s="168"/>
      <c r="AH1033" s="13"/>
      <c r="AI1033" s="13"/>
    </row>
    <row r="1034">
      <c r="A1034" s="160"/>
      <c r="B1034" s="160"/>
      <c r="C1034" s="161" t="b">
        <v>0</v>
      </c>
      <c r="D1034" s="161"/>
      <c r="E1034" s="161"/>
      <c r="F1034" s="162"/>
      <c r="G1034" s="163"/>
      <c r="H1034" s="164"/>
      <c r="I1034" s="165"/>
      <c r="J1034" s="161"/>
      <c r="K1034" s="161"/>
      <c r="L1034" s="166"/>
      <c r="M1034" s="167"/>
      <c r="N1034" s="168"/>
      <c r="O1034" s="168"/>
      <c r="P1034" s="168"/>
      <c r="Q1034" s="169"/>
      <c r="R1034" s="167"/>
      <c r="S1034" s="142" t="b">
        <v>0</v>
      </c>
      <c r="T1034" s="170"/>
      <c r="U1034" s="170"/>
      <c r="V1034" s="170"/>
      <c r="W1034" s="170"/>
      <c r="X1034" s="170"/>
      <c r="Y1034" s="171"/>
      <c r="Z1034" s="71"/>
      <c r="AA1034" s="71"/>
      <c r="AB1034" s="168"/>
      <c r="AC1034" s="172"/>
      <c r="AD1034" s="71"/>
      <c r="AE1034" s="168"/>
      <c r="AF1034" s="168"/>
      <c r="AG1034" s="168"/>
      <c r="AH1034" s="13"/>
      <c r="AI1034" s="13"/>
    </row>
    <row r="1035">
      <c r="A1035" s="160"/>
      <c r="B1035" s="160"/>
      <c r="C1035" s="161" t="b">
        <v>0</v>
      </c>
      <c r="D1035" s="161"/>
      <c r="E1035" s="161"/>
      <c r="F1035" s="162"/>
      <c r="G1035" s="163"/>
      <c r="H1035" s="164"/>
      <c r="I1035" s="165"/>
      <c r="J1035" s="161"/>
      <c r="K1035" s="161"/>
      <c r="L1035" s="166"/>
      <c r="M1035" s="167"/>
      <c r="N1035" s="168"/>
      <c r="O1035" s="168"/>
      <c r="P1035" s="168"/>
      <c r="Q1035" s="169"/>
      <c r="R1035" s="167"/>
      <c r="S1035" s="142" t="b">
        <v>0</v>
      </c>
      <c r="T1035" s="170"/>
      <c r="U1035" s="170"/>
      <c r="V1035" s="170"/>
      <c r="W1035" s="170"/>
      <c r="X1035" s="170"/>
      <c r="Y1035" s="171"/>
      <c r="Z1035" s="71"/>
      <c r="AA1035" s="71"/>
      <c r="AB1035" s="168"/>
      <c r="AC1035" s="172"/>
      <c r="AD1035" s="71"/>
      <c r="AE1035" s="168"/>
      <c r="AF1035" s="168"/>
      <c r="AG1035" s="168"/>
      <c r="AH1035" s="13"/>
      <c r="AI1035" s="13"/>
    </row>
    <row r="1036">
      <c r="A1036" s="160"/>
      <c r="B1036" s="160"/>
      <c r="C1036" s="161" t="b">
        <v>0</v>
      </c>
      <c r="D1036" s="161"/>
      <c r="E1036" s="161"/>
      <c r="F1036" s="162"/>
      <c r="G1036" s="163"/>
      <c r="H1036" s="164"/>
      <c r="I1036" s="165"/>
      <c r="J1036" s="161"/>
      <c r="K1036" s="161"/>
      <c r="L1036" s="166"/>
      <c r="M1036" s="167"/>
      <c r="N1036" s="168"/>
      <c r="O1036" s="168"/>
      <c r="P1036" s="168"/>
      <c r="Q1036" s="169"/>
      <c r="R1036" s="167"/>
      <c r="S1036" s="142" t="b">
        <v>0</v>
      </c>
      <c r="T1036" s="170"/>
      <c r="U1036" s="170"/>
      <c r="V1036" s="170"/>
      <c r="W1036" s="170"/>
      <c r="X1036" s="170"/>
      <c r="Y1036" s="171"/>
      <c r="Z1036" s="71"/>
      <c r="AA1036" s="71"/>
      <c r="AB1036" s="168"/>
      <c r="AC1036" s="172"/>
      <c r="AD1036" s="71"/>
      <c r="AE1036" s="168"/>
      <c r="AF1036" s="168"/>
      <c r="AG1036" s="168"/>
      <c r="AH1036" s="13"/>
      <c r="AI1036" s="13"/>
    </row>
    <row r="1037">
      <c r="A1037" s="160"/>
      <c r="B1037" s="160"/>
      <c r="C1037" s="161" t="b">
        <v>0</v>
      </c>
      <c r="D1037" s="161"/>
      <c r="E1037" s="161"/>
      <c r="F1037" s="162"/>
      <c r="G1037" s="163"/>
      <c r="H1037" s="164"/>
      <c r="I1037" s="165"/>
      <c r="J1037" s="161"/>
      <c r="K1037" s="161"/>
      <c r="L1037" s="166"/>
      <c r="M1037" s="167"/>
      <c r="N1037" s="168"/>
      <c r="O1037" s="168"/>
      <c r="P1037" s="168"/>
      <c r="Q1037" s="169"/>
      <c r="R1037" s="167"/>
      <c r="S1037" s="142" t="b">
        <v>0</v>
      </c>
      <c r="T1037" s="170"/>
      <c r="U1037" s="170"/>
      <c r="V1037" s="170"/>
      <c r="W1037" s="170"/>
      <c r="X1037" s="170"/>
      <c r="Y1037" s="171"/>
      <c r="Z1037" s="71"/>
      <c r="AA1037" s="71"/>
      <c r="AB1037" s="168"/>
      <c r="AC1037" s="172"/>
      <c r="AD1037" s="71"/>
      <c r="AE1037" s="168"/>
      <c r="AF1037" s="168"/>
      <c r="AG1037" s="168"/>
      <c r="AH1037" s="13"/>
      <c r="AI1037" s="13"/>
    </row>
    <row r="1038">
      <c r="A1038" s="160"/>
      <c r="B1038" s="160"/>
      <c r="C1038" s="161" t="b">
        <v>0</v>
      </c>
      <c r="D1038" s="161"/>
      <c r="E1038" s="161"/>
      <c r="F1038" s="162"/>
      <c r="G1038" s="163"/>
      <c r="H1038" s="164"/>
      <c r="I1038" s="165"/>
      <c r="J1038" s="161"/>
      <c r="K1038" s="161"/>
      <c r="L1038" s="166"/>
      <c r="M1038" s="167"/>
      <c r="N1038" s="168"/>
      <c r="O1038" s="168"/>
      <c r="P1038" s="168"/>
      <c r="Q1038" s="169"/>
      <c r="R1038" s="167"/>
      <c r="S1038" s="142" t="b">
        <v>0</v>
      </c>
      <c r="T1038" s="170"/>
      <c r="U1038" s="170"/>
      <c r="V1038" s="170"/>
      <c r="W1038" s="170"/>
      <c r="X1038" s="170"/>
      <c r="Y1038" s="171"/>
      <c r="Z1038" s="71"/>
      <c r="AA1038" s="71"/>
      <c r="AB1038" s="168"/>
      <c r="AC1038" s="172"/>
      <c r="AD1038" s="71"/>
      <c r="AE1038" s="168"/>
      <c r="AF1038" s="168"/>
      <c r="AG1038" s="168"/>
      <c r="AH1038" s="13"/>
      <c r="AI1038" s="13"/>
    </row>
    <row r="1039">
      <c r="A1039" s="160"/>
      <c r="B1039" s="160"/>
      <c r="C1039" s="161" t="b">
        <v>0</v>
      </c>
      <c r="D1039" s="161"/>
      <c r="E1039" s="161"/>
      <c r="F1039" s="162"/>
      <c r="G1039" s="163"/>
      <c r="H1039" s="164"/>
      <c r="I1039" s="165"/>
      <c r="J1039" s="161"/>
      <c r="K1039" s="161"/>
      <c r="L1039" s="166"/>
      <c r="M1039" s="167"/>
      <c r="N1039" s="168"/>
      <c r="O1039" s="168"/>
      <c r="P1039" s="168"/>
      <c r="Q1039" s="169"/>
      <c r="R1039" s="167"/>
      <c r="S1039" s="142" t="b">
        <v>0</v>
      </c>
      <c r="T1039" s="170"/>
      <c r="U1039" s="170"/>
      <c r="V1039" s="170"/>
      <c r="W1039" s="170"/>
      <c r="X1039" s="170"/>
      <c r="Y1039" s="171"/>
      <c r="Z1039" s="71"/>
      <c r="AA1039" s="71"/>
      <c r="AB1039" s="168"/>
      <c r="AC1039" s="172"/>
      <c r="AD1039" s="71"/>
      <c r="AE1039" s="168"/>
      <c r="AF1039" s="168"/>
      <c r="AG1039" s="168"/>
      <c r="AH1039" s="13"/>
      <c r="AI1039" s="13"/>
    </row>
    <row r="1040">
      <c r="A1040" s="160"/>
      <c r="B1040" s="160"/>
      <c r="C1040" s="161" t="b">
        <v>0</v>
      </c>
      <c r="D1040" s="161"/>
      <c r="E1040" s="161"/>
      <c r="F1040" s="162"/>
      <c r="G1040" s="163"/>
      <c r="H1040" s="164"/>
      <c r="I1040" s="165"/>
      <c r="J1040" s="161"/>
      <c r="K1040" s="161"/>
      <c r="L1040" s="166"/>
      <c r="M1040" s="167"/>
      <c r="N1040" s="168"/>
      <c r="O1040" s="168"/>
      <c r="P1040" s="168"/>
      <c r="Q1040" s="169"/>
      <c r="R1040" s="167"/>
      <c r="S1040" s="142" t="b">
        <v>0</v>
      </c>
      <c r="T1040" s="170"/>
      <c r="U1040" s="170"/>
      <c r="V1040" s="170"/>
      <c r="W1040" s="170"/>
      <c r="X1040" s="170"/>
      <c r="Y1040" s="171"/>
      <c r="Z1040" s="71"/>
      <c r="AA1040" s="71"/>
      <c r="AB1040" s="168"/>
      <c r="AC1040" s="172"/>
      <c r="AD1040" s="71"/>
      <c r="AE1040" s="168"/>
      <c r="AF1040" s="168"/>
      <c r="AG1040" s="168"/>
      <c r="AH1040" s="13"/>
      <c r="AI1040" s="13"/>
    </row>
    <row r="1041">
      <c r="A1041" s="160"/>
      <c r="B1041" s="160"/>
      <c r="C1041" s="161" t="b">
        <v>0</v>
      </c>
      <c r="D1041" s="161"/>
      <c r="E1041" s="161"/>
      <c r="F1041" s="162"/>
      <c r="G1041" s="163"/>
      <c r="H1041" s="164"/>
      <c r="I1041" s="165"/>
      <c r="J1041" s="161"/>
      <c r="K1041" s="161"/>
      <c r="L1041" s="166"/>
      <c r="M1041" s="167"/>
      <c r="N1041" s="168"/>
      <c r="O1041" s="168"/>
      <c r="P1041" s="168"/>
      <c r="Q1041" s="169"/>
      <c r="R1041" s="167"/>
      <c r="S1041" s="142" t="b">
        <v>0</v>
      </c>
      <c r="T1041" s="170"/>
      <c r="U1041" s="170"/>
      <c r="V1041" s="170"/>
      <c r="W1041" s="170"/>
      <c r="X1041" s="170"/>
      <c r="Y1041" s="171"/>
      <c r="Z1041" s="71"/>
      <c r="AA1041" s="71"/>
      <c r="AB1041" s="168"/>
      <c r="AC1041" s="172"/>
      <c r="AD1041" s="71"/>
      <c r="AE1041" s="168"/>
      <c r="AF1041" s="168"/>
      <c r="AG1041" s="168"/>
      <c r="AH1041" s="13"/>
      <c r="AI1041" s="13"/>
    </row>
    <row r="1042">
      <c r="A1042" s="160"/>
      <c r="B1042" s="160"/>
      <c r="C1042" s="161" t="b">
        <v>0</v>
      </c>
      <c r="D1042" s="161"/>
      <c r="E1042" s="161"/>
      <c r="F1042" s="162"/>
      <c r="G1042" s="163"/>
      <c r="H1042" s="164"/>
      <c r="I1042" s="165"/>
      <c r="J1042" s="161"/>
      <c r="K1042" s="161"/>
      <c r="L1042" s="166"/>
      <c r="M1042" s="167"/>
      <c r="N1042" s="168"/>
      <c r="O1042" s="168"/>
      <c r="P1042" s="168"/>
      <c r="Q1042" s="169"/>
      <c r="R1042" s="167"/>
      <c r="S1042" s="142" t="b">
        <v>0</v>
      </c>
      <c r="T1042" s="170"/>
      <c r="U1042" s="170"/>
      <c r="V1042" s="170"/>
      <c r="W1042" s="170"/>
      <c r="X1042" s="170"/>
      <c r="Y1042" s="171"/>
      <c r="Z1042" s="71"/>
      <c r="AA1042" s="71"/>
      <c r="AB1042" s="168"/>
      <c r="AC1042" s="172"/>
      <c r="AD1042" s="71"/>
      <c r="AE1042" s="168"/>
      <c r="AF1042" s="168"/>
      <c r="AG1042" s="168"/>
      <c r="AH1042" s="13"/>
      <c r="AI1042" s="13"/>
    </row>
    <row r="1043">
      <c r="A1043" s="160"/>
      <c r="B1043" s="160"/>
      <c r="C1043" s="161" t="b">
        <v>0</v>
      </c>
      <c r="D1043" s="161"/>
      <c r="E1043" s="161"/>
      <c r="F1043" s="162"/>
      <c r="G1043" s="163"/>
      <c r="H1043" s="164"/>
      <c r="I1043" s="165"/>
      <c r="J1043" s="161"/>
      <c r="K1043" s="161"/>
      <c r="L1043" s="166"/>
      <c r="M1043" s="167"/>
      <c r="N1043" s="168"/>
      <c r="O1043" s="168"/>
      <c r="P1043" s="168"/>
      <c r="Q1043" s="169"/>
      <c r="R1043" s="167"/>
      <c r="S1043" s="142" t="b">
        <v>0</v>
      </c>
      <c r="T1043" s="170"/>
      <c r="U1043" s="170"/>
      <c r="V1043" s="170"/>
      <c r="W1043" s="170"/>
      <c r="X1043" s="170"/>
      <c r="Y1043" s="171"/>
      <c r="Z1043" s="71"/>
      <c r="AA1043" s="71"/>
      <c r="AB1043" s="168"/>
      <c r="AC1043" s="172"/>
      <c r="AD1043" s="71"/>
      <c r="AE1043" s="168"/>
      <c r="AF1043" s="168"/>
      <c r="AG1043" s="168"/>
      <c r="AH1043" s="13"/>
      <c r="AI1043" s="13"/>
    </row>
    <row r="1044">
      <c r="A1044" s="160"/>
      <c r="B1044" s="160"/>
      <c r="C1044" s="161" t="b">
        <v>0</v>
      </c>
      <c r="D1044" s="161"/>
      <c r="E1044" s="161"/>
      <c r="F1044" s="162"/>
      <c r="G1044" s="163"/>
      <c r="H1044" s="164"/>
      <c r="I1044" s="165"/>
      <c r="J1044" s="161"/>
      <c r="K1044" s="161"/>
      <c r="L1044" s="166"/>
      <c r="M1044" s="167"/>
      <c r="N1044" s="168"/>
      <c r="O1044" s="168"/>
      <c r="P1044" s="168"/>
      <c r="Q1044" s="169"/>
      <c r="R1044" s="167"/>
      <c r="S1044" s="142" t="b">
        <v>0</v>
      </c>
      <c r="T1044" s="170"/>
      <c r="U1044" s="170"/>
      <c r="V1044" s="170"/>
      <c r="W1044" s="170"/>
      <c r="X1044" s="170"/>
      <c r="Y1044" s="171"/>
      <c r="Z1044" s="71"/>
      <c r="AA1044" s="71"/>
      <c r="AB1044" s="168"/>
      <c r="AC1044" s="172"/>
      <c r="AD1044" s="71"/>
      <c r="AE1044" s="168"/>
      <c r="AF1044" s="168"/>
      <c r="AG1044" s="168"/>
      <c r="AH1044" s="13"/>
      <c r="AI1044" s="13"/>
    </row>
    <row r="1045">
      <c r="A1045" s="160"/>
      <c r="B1045" s="160"/>
      <c r="C1045" s="161" t="b">
        <v>0</v>
      </c>
      <c r="D1045" s="161"/>
      <c r="E1045" s="161"/>
      <c r="F1045" s="162"/>
      <c r="G1045" s="163"/>
      <c r="H1045" s="164"/>
      <c r="I1045" s="165"/>
      <c r="J1045" s="161"/>
      <c r="K1045" s="161"/>
      <c r="L1045" s="166"/>
      <c r="M1045" s="167"/>
      <c r="N1045" s="168"/>
      <c r="O1045" s="168"/>
      <c r="P1045" s="168"/>
      <c r="Q1045" s="169"/>
      <c r="R1045" s="167"/>
      <c r="S1045" s="142" t="b">
        <v>0</v>
      </c>
      <c r="T1045" s="170"/>
      <c r="U1045" s="170"/>
      <c r="V1045" s="170"/>
      <c r="W1045" s="170"/>
      <c r="X1045" s="170"/>
      <c r="Y1045" s="171"/>
      <c r="Z1045" s="71"/>
      <c r="AA1045" s="71"/>
      <c r="AB1045" s="168"/>
      <c r="AC1045" s="172"/>
      <c r="AD1045" s="71"/>
      <c r="AE1045" s="168"/>
      <c r="AF1045" s="168"/>
      <c r="AG1045" s="168"/>
      <c r="AH1045" s="13"/>
      <c r="AI1045" s="13"/>
    </row>
    <row r="1046">
      <c r="A1046" s="160"/>
      <c r="B1046" s="160"/>
      <c r="C1046" s="161" t="b">
        <v>0</v>
      </c>
      <c r="D1046" s="161"/>
      <c r="E1046" s="161"/>
      <c r="F1046" s="162"/>
      <c r="G1046" s="163"/>
      <c r="H1046" s="164"/>
      <c r="I1046" s="165"/>
      <c r="J1046" s="161"/>
      <c r="K1046" s="161"/>
      <c r="L1046" s="166"/>
      <c r="M1046" s="167"/>
      <c r="N1046" s="168"/>
      <c r="O1046" s="168"/>
      <c r="P1046" s="168"/>
      <c r="Q1046" s="169"/>
      <c r="R1046" s="167"/>
      <c r="S1046" s="142" t="b">
        <v>0</v>
      </c>
      <c r="T1046" s="170"/>
      <c r="U1046" s="170"/>
      <c r="V1046" s="170"/>
      <c r="W1046" s="170"/>
      <c r="X1046" s="170"/>
      <c r="Y1046" s="171"/>
      <c r="Z1046" s="71"/>
      <c r="AA1046" s="71"/>
      <c r="AB1046" s="168"/>
      <c r="AC1046" s="172"/>
      <c r="AD1046" s="71"/>
      <c r="AE1046" s="168"/>
      <c r="AF1046" s="168"/>
      <c r="AG1046" s="168"/>
      <c r="AH1046" s="13"/>
      <c r="AI1046" s="13"/>
    </row>
    <row r="1047">
      <c r="A1047" s="160"/>
      <c r="B1047" s="160"/>
      <c r="C1047" s="161" t="b">
        <v>0</v>
      </c>
      <c r="D1047" s="161"/>
      <c r="E1047" s="161"/>
      <c r="F1047" s="162"/>
      <c r="G1047" s="163"/>
      <c r="H1047" s="164"/>
      <c r="I1047" s="165"/>
      <c r="J1047" s="161"/>
      <c r="K1047" s="161"/>
      <c r="L1047" s="166"/>
      <c r="M1047" s="167"/>
      <c r="N1047" s="168"/>
      <c r="O1047" s="168"/>
      <c r="P1047" s="168"/>
      <c r="Q1047" s="169"/>
      <c r="R1047" s="167"/>
      <c r="S1047" s="142" t="b">
        <v>0</v>
      </c>
      <c r="T1047" s="170"/>
      <c r="U1047" s="170"/>
      <c r="V1047" s="170"/>
      <c r="W1047" s="170"/>
      <c r="X1047" s="170"/>
      <c r="Y1047" s="171"/>
      <c r="Z1047" s="71"/>
      <c r="AA1047" s="71"/>
      <c r="AB1047" s="168"/>
      <c r="AC1047" s="172"/>
      <c r="AD1047" s="71"/>
      <c r="AE1047" s="168"/>
      <c r="AF1047" s="168"/>
      <c r="AG1047" s="168"/>
      <c r="AH1047" s="13"/>
      <c r="AI1047" s="13"/>
    </row>
    <row r="1048">
      <c r="A1048" s="160"/>
      <c r="B1048" s="160"/>
      <c r="C1048" s="161" t="b">
        <v>0</v>
      </c>
      <c r="D1048" s="161"/>
      <c r="E1048" s="161"/>
      <c r="F1048" s="162"/>
      <c r="G1048" s="163"/>
      <c r="H1048" s="164"/>
      <c r="I1048" s="165"/>
      <c r="J1048" s="161"/>
      <c r="K1048" s="161"/>
      <c r="L1048" s="166"/>
      <c r="M1048" s="167"/>
      <c r="N1048" s="168"/>
      <c r="O1048" s="168"/>
      <c r="P1048" s="168"/>
      <c r="Q1048" s="169"/>
      <c r="R1048" s="167"/>
      <c r="S1048" s="142" t="b">
        <v>0</v>
      </c>
      <c r="T1048" s="170"/>
      <c r="U1048" s="170"/>
      <c r="V1048" s="170"/>
      <c r="W1048" s="170"/>
      <c r="X1048" s="170"/>
      <c r="Y1048" s="171"/>
      <c r="Z1048" s="71"/>
      <c r="AA1048" s="71"/>
      <c r="AB1048" s="168"/>
      <c r="AC1048" s="172"/>
      <c r="AD1048" s="71"/>
      <c r="AE1048" s="168"/>
      <c r="AF1048" s="168"/>
      <c r="AG1048" s="168"/>
      <c r="AH1048" s="13"/>
      <c r="AI1048" s="13"/>
    </row>
    <row r="1049">
      <c r="A1049" s="160"/>
      <c r="B1049" s="160"/>
      <c r="C1049" s="161" t="b">
        <v>0</v>
      </c>
      <c r="D1049" s="161"/>
      <c r="E1049" s="161"/>
      <c r="F1049" s="162"/>
      <c r="G1049" s="163"/>
      <c r="H1049" s="164"/>
      <c r="I1049" s="165"/>
      <c r="J1049" s="161"/>
      <c r="K1049" s="161"/>
      <c r="L1049" s="166"/>
      <c r="M1049" s="167"/>
      <c r="N1049" s="168"/>
      <c r="O1049" s="168"/>
      <c r="P1049" s="168"/>
      <c r="Q1049" s="169"/>
      <c r="R1049" s="167"/>
      <c r="S1049" s="142" t="b">
        <v>0</v>
      </c>
      <c r="T1049" s="170"/>
      <c r="U1049" s="170"/>
      <c r="V1049" s="170"/>
      <c r="W1049" s="170"/>
      <c r="X1049" s="170"/>
      <c r="Y1049" s="171"/>
      <c r="Z1049" s="71"/>
      <c r="AA1049" s="71"/>
      <c r="AB1049" s="168"/>
      <c r="AC1049" s="172"/>
      <c r="AD1049" s="71"/>
      <c r="AE1049" s="168"/>
      <c r="AF1049" s="168"/>
      <c r="AG1049" s="168"/>
      <c r="AH1049" s="13"/>
      <c r="AI1049" s="13"/>
    </row>
    <row r="1050">
      <c r="A1050" s="160"/>
      <c r="B1050" s="160"/>
      <c r="C1050" s="161" t="b">
        <v>0</v>
      </c>
      <c r="D1050" s="161"/>
      <c r="E1050" s="161"/>
      <c r="F1050" s="162"/>
      <c r="G1050" s="163"/>
      <c r="H1050" s="164"/>
      <c r="I1050" s="165"/>
      <c r="J1050" s="161"/>
      <c r="K1050" s="161"/>
      <c r="L1050" s="166"/>
      <c r="M1050" s="167"/>
      <c r="N1050" s="168"/>
      <c r="O1050" s="168"/>
      <c r="P1050" s="168"/>
      <c r="Q1050" s="169"/>
      <c r="R1050" s="167"/>
      <c r="S1050" s="142" t="b">
        <v>0</v>
      </c>
      <c r="T1050" s="170"/>
      <c r="U1050" s="170"/>
      <c r="V1050" s="170"/>
      <c r="W1050" s="170"/>
      <c r="X1050" s="170"/>
      <c r="Y1050" s="171"/>
      <c r="Z1050" s="71"/>
      <c r="AA1050" s="71"/>
      <c r="AB1050" s="168"/>
      <c r="AC1050" s="172"/>
      <c r="AD1050" s="71"/>
      <c r="AE1050" s="168"/>
      <c r="AF1050" s="168"/>
      <c r="AG1050" s="168"/>
      <c r="AH1050" s="13"/>
      <c r="AI1050" s="13"/>
    </row>
    <row r="1051">
      <c r="A1051" s="160"/>
      <c r="B1051" s="160"/>
      <c r="C1051" s="161" t="b">
        <v>0</v>
      </c>
      <c r="D1051" s="161"/>
      <c r="E1051" s="161"/>
      <c r="F1051" s="162"/>
      <c r="G1051" s="163"/>
      <c r="H1051" s="164"/>
      <c r="I1051" s="165"/>
      <c r="J1051" s="161"/>
      <c r="K1051" s="161"/>
      <c r="L1051" s="166"/>
      <c r="M1051" s="167"/>
      <c r="N1051" s="168"/>
      <c r="O1051" s="168"/>
      <c r="P1051" s="168"/>
      <c r="Q1051" s="169"/>
      <c r="R1051" s="167"/>
      <c r="S1051" s="142" t="b">
        <v>0</v>
      </c>
      <c r="T1051" s="170"/>
      <c r="U1051" s="170"/>
      <c r="V1051" s="170"/>
      <c r="W1051" s="170"/>
      <c r="X1051" s="170"/>
      <c r="Y1051" s="171"/>
      <c r="Z1051" s="71"/>
      <c r="AA1051" s="71"/>
      <c r="AB1051" s="168"/>
      <c r="AC1051" s="172"/>
      <c r="AD1051" s="71"/>
      <c r="AE1051" s="168"/>
      <c r="AF1051" s="168"/>
      <c r="AG1051" s="168"/>
      <c r="AH1051" s="13"/>
      <c r="AI1051" s="13"/>
    </row>
    <row r="1052">
      <c r="A1052" s="160"/>
      <c r="B1052" s="160"/>
      <c r="C1052" s="161" t="b">
        <v>0</v>
      </c>
      <c r="D1052" s="161"/>
      <c r="E1052" s="161"/>
      <c r="F1052" s="162"/>
      <c r="G1052" s="163"/>
      <c r="H1052" s="164"/>
      <c r="I1052" s="165"/>
      <c r="J1052" s="161"/>
      <c r="K1052" s="161"/>
      <c r="L1052" s="166"/>
      <c r="M1052" s="167"/>
      <c r="N1052" s="168"/>
      <c r="O1052" s="168"/>
      <c r="P1052" s="168"/>
      <c r="Q1052" s="169"/>
      <c r="R1052" s="167"/>
      <c r="S1052" s="142" t="b">
        <v>0</v>
      </c>
      <c r="T1052" s="170"/>
      <c r="U1052" s="170"/>
      <c r="V1052" s="170"/>
      <c r="W1052" s="170"/>
      <c r="X1052" s="170"/>
      <c r="Y1052" s="171"/>
      <c r="Z1052" s="71"/>
      <c r="AA1052" s="71"/>
      <c r="AB1052" s="168"/>
      <c r="AC1052" s="172"/>
      <c r="AD1052" s="71"/>
      <c r="AE1052" s="168"/>
      <c r="AF1052" s="168"/>
      <c r="AG1052" s="168"/>
      <c r="AH1052" s="13"/>
      <c r="AI1052" s="13"/>
    </row>
    <row r="1053">
      <c r="A1053" s="160"/>
      <c r="B1053" s="160"/>
      <c r="C1053" s="161" t="b">
        <v>0</v>
      </c>
      <c r="D1053" s="161"/>
      <c r="E1053" s="161"/>
      <c r="F1053" s="162"/>
      <c r="G1053" s="163"/>
      <c r="H1053" s="164"/>
      <c r="I1053" s="165"/>
      <c r="J1053" s="161"/>
      <c r="K1053" s="161"/>
      <c r="L1053" s="166"/>
      <c r="M1053" s="167"/>
      <c r="N1053" s="168"/>
      <c r="O1053" s="168"/>
      <c r="P1053" s="168"/>
      <c r="Q1053" s="169"/>
      <c r="R1053" s="167"/>
      <c r="S1053" s="142" t="b">
        <v>0</v>
      </c>
      <c r="T1053" s="170"/>
      <c r="U1053" s="170"/>
      <c r="V1053" s="170"/>
      <c r="W1053" s="170"/>
      <c r="X1053" s="170"/>
      <c r="Y1053" s="171"/>
      <c r="Z1053" s="71"/>
      <c r="AA1053" s="71"/>
      <c r="AB1053" s="168"/>
      <c r="AC1053" s="172"/>
      <c r="AD1053" s="71"/>
      <c r="AE1053" s="168"/>
      <c r="AF1053" s="168"/>
      <c r="AG1053" s="168"/>
      <c r="AH1053" s="13"/>
      <c r="AI1053" s="13"/>
    </row>
    <row r="1054">
      <c r="A1054" s="160"/>
      <c r="B1054" s="160"/>
      <c r="C1054" s="161" t="b">
        <v>0</v>
      </c>
      <c r="D1054" s="161"/>
      <c r="E1054" s="161"/>
      <c r="F1054" s="162"/>
      <c r="G1054" s="163"/>
      <c r="H1054" s="164"/>
      <c r="I1054" s="165"/>
      <c r="J1054" s="161"/>
      <c r="K1054" s="161"/>
      <c r="L1054" s="166"/>
      <c r="M1054" s="167"/>
      <c r="N1054" s="168"/>
      <c r="O1054" s="168"/>
      <c r="P1054" s="168"/>
      <c r="Q1054" s="169"/>
      <c r="R1054" s="167"/>
      <c r="S1054" s="142" t="b">
        <v>0</v>
      </c>
      <c r="T1054" s="170"/>
      <c r="U1054" s="170"/>
      <c r="V1054" s="170"/>
      <c r="W1054" s="170"/>
      <c r="X1054" s="170"/>
      <c r="Y1054" s="171"/>
      <c r="Z1054" s="71"/>
      <c r="AA1054" s="71"/>
      <c r="AB1054" s="168"/>
      <c r="AC1054" s="172"/>
      <c r="AD1054" s="71"/>
      <c r="AE1054" s="168"/>
      <c r="AF1054" s="168"/>
      <c r="AG1054" s="168"/>
      <c r="AH1054" s="13"/>
      <c r="AI1054" s="13"/>
    </row>
    <row r="1055">
      <c r="A1055" s="160"/>
      <c r="B1055" s="160"/>
      <c r="C1055" s="161" t="b">
        <v>0</v>
      </c>
      <c r="D1055" s="161"/>
      <c r="E1055" s="161"/>
      <c r="F1055" s="162"/>
      <c r="G1055" s="163"/>
      <c r="H1055" s="164"/>
      <c r="I1055" s="165"/>
      <c r="J1055" s="161"/>
      <c r="K1055" s="161"/>
      <c r="L1055" s="166"/>
      <c r="M1055" s="167"/>
      <c r="N1055" s="168"/>
      <c r="O1055" s="168"/>
      <c r="P1055" s="168"/>
      <c r="Q1055" s="169"/>
      <c r="R1055" s="167"/>
      <c r="S1055" s="142" t="b">
        <v>0</v>
      </c>
      <c r="T1055" s="170"/>
      <c r="U1055" s="170"/>
      <c r="V1055" s="170"/>
      <c r="W1055" s="170"/>
      <c r="X1055" s="170"/>
      <c r="Y1055" s="171"/>
      <c r="Z1055" s="71"/>
      <c r="AA1055" s="71"/>
      <c r="AB1055" s="168"/>
      <c r="AC1055" s="172"/>
      <c r="AD1055" s="71"/>
      <c r="AE1055" s="168"/>
      <c r="AF1055" s="168"/>
      <c r="AG1055" s="168"/>
      <c r="AH1055" s="13"/>
      <c r="AI1055" s="13"/>
    </row>
    <row r="1056">
      <c r="A1056" s="160"/>
      <c r="B1056" s="160"/>
      <c r="C1056" s="161" t="b">
        <v>0</v>
      </c>
      <c r="D1056" s="161"/>
      <c r="E1056" s="161"/>
      <c r="F1056" s="162"/>
      <c r="G1056" s="163"/>
      <c r="H1056" s="164"/>
      <c r="I1056" s="165"/>
      <c r="J1056" s="161"/>
      <c r="K1056" s="161"/>
      <c r="L1056" s="166"/>
      <c r="M1056" s="167"/>
      <c r="N1056" s="168"/>
      <c r="O1056" s="168"/>
      <c r="P1056" s="168"/>
      <c r="Q1056" s="169"/>
      <c r="R1056" s="167"/>
      <c r="S1056" s="142" t="b">
        <v>0</v>
      </c>
      <c r="T1056" s="170"/>
      <c r="U1056" s="170"/>
      <c r="V1056" s="170"/>
      <c r="W1056" s="170"/>
      <c r="X1056" s="170"/>
      <c r="Y1056" s="171"/>
      <c r="Z1056" s="71"/>
      <c r="AA1056" s="71"/>
      <c r="AB1056" s="168"/>
      <c r="AC1056" s="172"/>
      <c r="AD1056" s="71"/>
      <c r="AE1056" s="168"/>
      <c r="AF1056" s="168"/>
      <c r="AG1056" s="168"/>
      <c r="AH1056" s="13"/>
      <c r="AI1056" s="13"/>
    </row>
    <row r="1057">
      <c r="A1057" s="160"/>
      <c r="B1057" s="160"/>
      <c r="C1057" s="161" t="b">
        <v>0</v>
      </c>
      <c r="D1057" s="161"/>
      <c r="E1057" s="161"/>
      <c r="F1057" s="162"/>
      <c r="G1057" s="163"/>
      <c r="H1057" s="164"/>
      <c r="I1057" s="165"/>
      <c r="J1057" s="161"/>
      <c r="K1057" s="161"/>
      <c r="L1057" s="166"/>
      <c r="M1057" s="167"/>
      <c r="N1057" s="168"/>
      <c r="O1057" s="168"/>
      <c r="P1057" s="168"/>
      <c r="Q1057" s="169"/>
      <c r="R1057" s="167"/>
      <c r="S1057" s="142" t="b">
        <v>0</v>
      </c>
      <c r="T1057" s="170"/>
      <c r="U1057" s="170"/>
      <c r="V1057" s="170"/>
      <c r="W1057" s="170"/>
      <c r="X1057" s="170"/>
      <c r="Y1057" s="171"/>
      <c r="Z1057" s="71"/>
      <c r="AA1057" s="71"/>
      <c r="AB1057" s="168"/>
      <c r="AC1057" s="172"/>
      <c r="AD1057" s="71"/>
      <c r="AE1057" s="168"/>
      <c r="AF1057" s="168"/>
      <c r="AG1057" s="168"/>
      <c r="AH1057" s="13"/>
      <c r="AI1057" s="13"/>
    </row>
  </sheetData>
  <customSheetViews>
    <customSheetView guid="{211A2D2D-FF1A-427B-9FBC-F6A5EB7E3B18}" filter="1" showAutoFilter="1">
      <autoFilter ref="$A$4:$AI$556">
        <filterColumn colId="23">
          <filters blank="1">
            <filter val="FALSE"/>
            <filter val="#N/A"/>
          </filters>
        </filterColumn>
        <filterColumn colId="7">
          <colorFilter dxfId="2"/>
        </filterColumn>
      </autoFilter>
    </customSheetView>
    <customSheetView guid="{9063AE3F-660D-4527-A33A-71BB884ED82B}" filter="1" showAutoFilter="1">
      <autoFilter ref="$A$4:$AE$555">
        <filterColumn colId="3">
          <filters blank="1">
            <filter val="BIEN"/>
          </filters>
        </filterColumn>
        <sortState ref="A4:AE555">
          <sortCondition ref="G4:G555"/>
          <sortCondition ref="F4:F555"/>
          <sortCondition ref="H4:H555"/>
        </sortState>
      </autoFilter>
    </customSheetView>
    <customSheetView guid="{933EEF74-AB4F-42FD-9BD9-FAEFBE06EEFB}" filter="1" showAutoFilter="1">
      <autoFilter ref="$A$4:$AI$556">
        <filterColumn colId="2">
          <filters blank="1"/>
        </filterColumn>
      </autoFilter>
    </customSheetView>
    <customSheetView guid="{9085AB6F-8037-4797-9FB0-505AE80C8ECD}" filter="1" showAutoFilter="1">
      <autoFilter ref="$A$4:$AI$555">
        <filterColumn colId="19">
          <filters>
            <filter val="DRAPER"/>
            <filter val="SPARC"/>
            <filter val="TRUPER"/>
            <filter val="PLATENSA"/>
            <filter val="GASEONET"/>
            <filter val="MARINEX"/>
            <filter val="NOVA"/>
            <filter val="YXCLIFE"/>
            <filter val="BELLOTA&#10;Tramontina"/>
            <filter val="QUAPKATT"/>
            <filter val="Dasqua"/>
            <filter val="Friss"/>
            <filter val="3 Claveles"/>
            <filter val="DONAELSA"/>
            <filter val="MILESEEY"/>
            <filter val="CASOMAN"/>
            <filter val="GAMY"/>
            <filter val="VYNFLICK"/>
            <filter val="DEWALT"/>
            <filter val="GENÉRICO"/>
            <filter val="CORPORACION MADRID S.A.C."/>
            <filter val="Starfrit"/>
            <filter val="TOOLTECH"/>
            <filter val="NEIKO"/>
            <filter val="IMPORTACIONES LLANOS CORPORACION EIRL"/>
            <filter val="ARDUINO"/>
            <filter val="New Star Foodservice"/>
            <filter val="Edge Master Manufacture"/>
            <filter val="HARDEN"/>
            <filter val="TRAMONTINA"/>
            <filter val="NECO"/>
            <filter val="Hude"/>
            <filter val="Armotec"/>
            <filter val="Kadimendium"/>
            <filter val="MAXMAN"/>
            <filter val="Wolfcraft"/>
            <filter val="Niko Industrial"/>
            <filter val="NEXXT"/>
            <filter val="Alfa"/>
            <filter val="Generico"/>
            <filter val="FACUSA"/>
            <filter val="ZHENGZHOU ZHONGDEBAO INDUSTRIAL CO.,LTD"/>
            <filter val="ISI"/>
            <filter val="Royalty Line"/>
            <filter val="Hosybal / Mwrenqei"/>
            <filter val="LADIESHOW"/>
            <filter val="UYUSTOOLS"/>
            <filter val="Hygiplas"/>
            <filter val="Browin"/>
            <filter val="PANACEA SAFETY SOLUTION"/>
            <filter val="DECORA"/>
            <filter val="KELA"/>
            <filter val="ATC"/>
            <filter val="ARCLIBER"/>
            <filter val="BELLOTA"/>
            <filter val="SPURTAR"/>
            <filter val="TIMESETL"/>
            <filter val="DIVERS DUTSCHER"/>
            <filter val="3M"/>
            <filter val="NIKO"/>
            <filter val="romise"/>
            <filter val="Standcn"/>
            <filter val="ETNA"/>
            <filter val="VIRUTEX"/>
            <filter val="STEEL PRO"/>
            <filter val="DIYPHONE"/>
            <filter val="Diager"/>
            <filter val="SKYTEX"/>
            <filter val="KAMASA"/>
            <filter val="agromarketglobal"/>
            <filter val="PRESSOL"/>
            <filter val="INSTRUTEK"/>
            <filter val="Brother"/>
            <filter val="GASPAR’S"/>
            <filter val="HUGO"/>
            <filter val="KYORENE"/>
            <filter val="SCOVALI"/>
            <filter val="SEGUSA"/>
            <filter val="SHAOXING CITY SHANGYU SAFEWAY FIRE FIGHTING EQUIPMENT CO., LTD"/>
            <filter val="AROCA"/>
            <filter val="Amana Tool"/>
            <filter val="AORANTO"/>
            <filter val="Werken"/>
            <filter val="NACIONAL"/>
            <filter val="Lutterloh System"/>
            <filter val="IMPORTACIONES LLANOS"/>
            <filter val="BGS"/>
            <filter val="R&amp;G"/>
            <filter val="PROTEUS"/>
            <filter val="EBRIEL"/>
            <filter val="FICTORY"/>
            <filter val="EPAuto"/>
            <filter val="Bellota"/>
            <filter val="DASIN"/>
            <filter val="ALESSA REPOSTERIA S.A.C."/>
            <filter val="NUPROINOX"/>
            <filter val="Eujgoov"/>
            <filter val="IMOTECHOM"/>
            <filter val="Stanley"/>
            <filter val="BASA"/>
            <filter val="NOBILE"/>
            <filter val="JOMAFA"/>
            <filter val="Kamasa"/>
            <filter val="LAUNCH"/>
            <filter val="BREMEN"/>
            <filter val="Thermo"/>
            <filter val="VESTTIO"/>
            <filter val="Cia Global Import  S.A.C / ALIBABA"/>
            <filter val="TOOLCRAFT"/>
            <filter val="Cesaro Perú"/>
            <filter val="RYU"/>
            <filter val="SAIDA TEX"/>
            <filter val="Vogel Germany"/>
            <filter val="MOSAKAR"/>
            <filter val="A MEDIDA&#10;ALFONSO"/>
            <filter val="Lilybeam"/>
            <filter val="TAUBER"/>
            <filter val="FINEZZA"/>
            <filter val="SOLA"/>
            <filter val="TAURUS"/>
            <filter val="Stalwart"/>
            <filter val="HANNA"/>
            <filter val="ACCUD"/>
            <filter val="SAFETOP"/>
            <filter val="AMEREX"/>
            <filter val="Rey Plast"/>
            <filter val="YIKANGHENG"/>
            <filter val="FBK"/>
            <filter val="MPT"/>
            <filter val="UNIPLAST"/>
            <filter val="Virutex"/>
            <filter val="Duracell"/>
            <filter val="ILKO / FACUSA / GASPAR"/>
            <filter val="Holzkraft"/>
            <filter val="PKCELL"/>
            <filter val="Genérico"/>
            <filter val="APERA"/>
            <filter val="SATA"/>
            <filter val="Wolfox"/>
            <filter val="YX"/>
            <filter val="DUCTOR S.A.C."/>
            <filter val="FINEZZA / FACUSA / TRAMONTINA"/>
            <filter val="IOKO"/>
            <filter val="ALKOFARMA"/>
            <filter val="DIVERGENTE"/>
            <filter val="INOXOR"/>
            <filter val="OEM"/>
            <filter val="Quttin"/>
            <filter val="Walfos"/>
            <filter val="SELLSTROM"/>
            <filter val="VCE"/>
            <filter val="Vogel"/>
            <filter val="RUEDA MAQUINARIA"/>
            <filter val="TOPTUL"/>
            <filter val="BESSEY"/>
            <filter val="STANLEY"/>
            <filter val="NORDIC WARE"/>
            <filter val="QFUN"/>
            <filter val="BOSCH"/>
            <filter val="Steelpro"/>
            <filter val="NACIONAL + BONNE GRAINE + AMAZON"/>
            <filter val="STONE HOME"/>
            <filter val="ARANDA WELDING"/>
            <filter val="TAKEMA"/>
            <filter val="ToolTech"/>
            <filter val="LEXIVON"/>
            <filter val="RAZER"/>
            <filter val="ZWILLING"/>
            <filter val="SAMOA"/>
            <filter val="ECOMARK"/>
            <filter val="Monza"/>
            <filter val="Génerico"/>
            <filter val="CHICAGO-LATROBE"/>
            <filter val="JIAHE"/>
            <filter val="Accud"/>
            <filter val="The HOG"/>
            <filter val="ALIBABA"/>
            <filter val="VIVA HOME"/>
            <filter val="Dakota"/>
            <filter val="BADGER"/>
            <filter val="DESANA"/>
            <filter val="GIBBEN"/>
            <filter val="MULTICOMP"/>
            <filter val="RECORD"/>
            <filter val="Tramontina"/>
            <filter val="JUST HOME COLLECTION"/>
            <filter val="VOGEL GERMANY"/>
            <filter val="DOITOOL"/>
            <filter val="RS-PRO"/>
            <filter val="STAR USA"/>
            <filter val="MOORE &amp; WRIGHT"/>
            <filter val="TR Industrial"/>
            <filter val="BESTAR STUDIO SAC"/>
            <filter val="INSIZE"/>
            <filter val="MEDICAL NATION"/>
            <filter val="Medid"/>
            <filter val="SIEMENS"/>
            <filter val="#N/A"/>
            <filter val="SPTA"/>
            <filter val="CLUTE"/>
            <filter val="PRETUL"/>
            <filter val="Toolcraft"/>
            <filter val="JUST HOME COLECTION"/>
            <filter val="STANLEY  / STANLEY / TRUPER"/>
            <filter val="ASLAK"/>
            <filter val="Craft Wok"/>
            <filter val="W.VEDO.M"/>
            <filter val="WINCO"/>
            <filter val="CORONA"/>
            <filter val="THREAD GAUGE"/>
            <filter val="EROPOO"/>
            <filter val="IRIMO"/>
            <filter val="LIMIT"/>
            <filter val="GASPAR"/>
            <filter val="ALYCO"/>
            <filter val="SCEPTER"/>
            <filter val="AROCA + NACIONAL"/>
            <filter val="Winco"/>
            <filter val="OB"/>
            <filter val="Weston"/>
            <filter val="BAHCO"/>
            <filter val="Proto Future / U.S. Kitchen Supply"/>
            <filter val="Bahco"/>
            <filter val="OFXDD"/>
            <filter val="Utoolmart"/>
            <filter val="TOTAL"/>
            <filter val="MITUTOYO"/>
            <filter val="GENERICA"/>
            <filter val="SWANLAKE GARDEN TOOLS"/>
            <filter val="ILKO"/>
            <filter val="BOXA"/>
            <filter val="ELGATO"/>
            <filter val="MASISA / DVP Perú"/>
            <filter val="GENERICO"/>
            <filter val="VALSUR"/>
            <filter val="BAKU"/>
            <filter val="TUMI"/>
            <filter val="VARIOS"/>
            <filter val="Powerbuilt"/>
            <filter val="INSUMOS SOLUCIONES PARA LA INDUSTRIA ALIMENTARIA SAC"/>
          </filters>
        </filterColumn>
        <filterColumn colId="25">
          <filters blank="1">
            <filter val="Técnica"/>
          </filters>
        </filterColumn>
      </autoFilter>
    </customSheetView>
    <customSheetView guid="{F29BA64D-6D8B-466D-B4A9-31AC8CC58543}" filter="1" showAutoFilter="1">
      <autoFilter ref="$A$4:$AI$556"/>
    </customSheetView>
    <customSheetView guid="{360456C6-B6C5-494E-BA30-A081EE8B7AA3}" filter="1" showAutoFilter="1">
      <autoFilter ref="$A$4:$AH$555">
        <filterColumn colId="2">
          <filters blank="1">
            <filter val="FALSE"/>
          </filters>
        </filterColumn>
      </autoFilter>
    </customSheetView>
    <customSheetView guid="{A342DC37-92D1-4766-8AB5-11119745D3CD}" filter="1" showAutoFilter="1">
      <autoFilter ref="$A$4:$AH$555">
        <filterColumn colId="33">
          <filters>
            <filter val="C"/>
          </filters>
        </filterColumn>
      </autoFilter>
    </customSheetView>
    <customSheetView guid="{4F12B303-AC9E-4A7C-B080-DEF39684F26A}" filter="1" showAutoFilter="1">
      <autoFilter ref="$A$4:$AI$556">
        <filterColumn colId="19">
          <filters>
            <filter val="DRAPER"/>
            <filter val="SPARC"/>
            <filter val="TRUPER"/>
            <filter val="PLATENSA"/>
            <filter val="GASEONET"/>
            <filter val="MARINEX"/>
            <filter val="NOVA"/>
            <filter val="YXCLIFE"/>
            <filter val="BELLOTA&#10;Tramontina"/>
            <filter val="QUAPKATT"/>
            <filter val="Dasqua"/>
            <filter val="Friss"/>
            <filter val="3 Claveles"/>
            <filter val="DONAELSA"/>
            <filter val="MILESEEY"/>
            <filter val="CASOMAN"/>
            <filter val="GAMY"/>
            <filter val="VYNFLICK"/>
            <filter val="DEWALT"/>
            <filter val="GENÉRICO"/>
            <filter val="CORPORACION MADRID S.A.C."/>
            <filter val="Starfrit"/>
            <filter val="TOOLTECH"/>
            <filter val="NEIKO"/>
            <filter val="IMPORTACIONES LLANOS CORPORACION EIRL"/>
            <filter val="ARDUINO"/>
            <filter val="New Star Foodservice"/>
            <filter val="Edge Master Manufacture"/>
            <filter val="HARDEN"/>
            <filter val="TRAMONTINA"/>
            <filter val="NECO"/>
            <filter val="Hude"/>
            <filter val="Armotec"/>
            <filter val="Kadimendium"/>
            <filter val="MAXMAN"/>
            <filter val="Wolfcraft"/>
            <filter val="Niko Industrial"/>
            <filter val="NEXXT"/>
            <filter val="Alfa"/>
            <filter val="Generico"/>
            <filter val="FACUSA"/>
            <filter val="ZHENGZHOU ZHONGDEBAO INDUSTRIAL CO.,LTD"/>
            <filter val="ISI"/>
            <filter val="Royalty Line"/>
            <filter val="Hosybal / Mwrenqei"/>
            <filter val="LADIESHOW"/>
            <filter val="UYUSTOOLS"/>
            <filter val="Hygiplas"/>
            <filter val="Browin"/>
            <filter val="PANACEA SAFETY SOLUTION"/>
            <filter val="DECORA"/>
            <filter val="KELA"/>
            <filter val="ATC"/>
            <filter val="ARCLIBER"/>
            <filter val="BELLOTA"/>
            <filter val="SPURTAR"/>
            <filter val="TIMESETL"/>
            <filter val="DIVERS DUTSCHER"/>
            <filter val="3M"/>
            <filter val="NIKO"/>
            <filter val="romise"/>
            <filter val="Standcn"/>
            <filter val="ETNA"/>
            <filter val="VIRUTEX"/>
            <filter val="STEEL PRO"/>
            <filter val="DIYPHONE"/>
            <filter val="Diager"/>
            <filter val="SKYTEX"/>
            <filter val="KAMASA"/>
            <filter val="agromarketglobal"/>
            <filter val="PRESSOL"/>
            <filter val="INSTRUTEK"/>
            <filter val="Brother"/>
            <filter val="GASPAR’S"/>
            <filter val="HUGO"/>
            <filter val="KYORENE"/>
            <filter val="SCOVALI"/>
            <filter val="SEGUSA"/>
            <filter val="SHAOXING CITY SHANGYU SAFEWAY FIRE FIGHTING EQUIPMENT CO., LTD"/>
            <filter val="AROCA"/>
            <filter val="Amana Tool"/>
            <filter val="AORANTO"/>
            <filter val="Werken"/>
            <filter val="NACIONAL"/>
            <filter val="Lutterloh System"/>
            <filter val="IMPORTACIONES LLANOS"/>
            <filter val="BGS"/>
            <filter val="R&amp;G"/>
            <filter val="PROTEUS"/>
            <filter val="EBRIEL"/>
            <filter val="FICTORY"/>
            <filter val="EPAuto"/>
            <filter val="Bellota"/>
            <filter val="DASIN"/>
            <filter val="ALESSA REPOSTERIA S.A.C."/>
            <filter val="NUPROINOX"/>
            <filter val="Eujgoov"/>
            <filter val="IMOTECHOM"/>
            <filter val="Stanley"/>
            <filter val="BASA"/>
            <filter val="NOBILE"/>
            <filter val="JOMAFA"/>
            <filter val="Kamasa"/>
            <filter val="LAUNCH"/>
            <filter val="BREMEN"/>
            <filter val="Thermo"/>
            <filter val="VESTTIO"/>
            <filter val="Cia Global Import  S.A.C / ALIBABA"/>
            <filter val="TOOLCRAFT"/>
            <filter val="Cesaro Perú"/>
            <filter val="RYU"/>
            <filter val="SAIDA TEX"/>
            <filter val="Vogel Germany"/>
            <filter val="MOSAKAR"/>
            <filter val="A MEDIDA&#10;ALFONSO"/>
            <filter val="Lilybeam"/>
            <filter val="TAUBER"/>
            <filter val="FINEZZA"/>
            <filter val="SOLA"/>
            <filter val="TAURUS"/>
            <filter val="Stalwart"/>
            <filter val="HANNA"/>
            <filter val="ACCUD"/>
            <filter val="SAFETOP"/>
            <filter val="AMEREX"/>
            <filter val="Rey Plast"/>
            <filter val="YIKANGHENG"/>
            <filter val="FBK"/>
            <filter val="MPT"/>
            <filter val="UNIPLAST"/>
            <filter val="Virutex"/>
            <filter val="Duracell"/>
            <filter val="ILKO / FACUSA / GASPAR"/>
            <filter val="Holzkraft"/>
            <filter val="PKCELL"/>
            <filter val="Genérico"/>
            <filter val="APERA"/>
            <filter val="SATA"/>
            <filter val="Wolfox"/>
            <filter val="YX"/>
            <filter val="DUCTOR S.A.C."/>
            <filter val="FINEZZA / FACUSA / TRAMONTINA"/>
            <filter val="IOKO"/>
            <filter val="ALKOFARMA"/>
            <filter val="DIVERGENTE"/>
            <filter val="INOXOR"/>
            <filter val="OEM"/>
            <filter val="Quttin"/>
            <filter val="Walfos"/>
            <filter val="SELLSTROM"/>
            <filter val="VCE"/>
            <filter val="Vogel"/>
            <filter val="RUEDA MAQUINARIA"/>
            <filter val="TOPTUL"/>
            <filter val="BESSEY"/>
            <filter val="STANLEY"/>
            <filter val="NORDIC WARE"/>
            <filter val="QFUN"/>
            <filter val="BOSCH"/>
            <filter val="Steelpro"/>
            <filter val="NACIONAL + BONNE GRAINE + AMAZON"/>
            <filter val="STONE HOME"/>
            <filter val="ARANDA WELDING"/>
            <filter val="TAKEMA"/>
            <filter val="ToolTech"/>
            <filter val="LEXIVON"/>
            <filter val="RAZER"/>
            <filter val="ZWILLING"/>
            <filter val="SAMOA"/>
            <filter val="ECOMARK"/>
            <filter val="Monza"/>
            <filter val="Génerico"/>
            <filter val="CHICAGO-LATROBE"/>
            <filter val="JIAHE"/>
            <filter val="Accud"/>
            <filter val="The HOG"/>
            <filter val="ALIBABA"/>
            <filter val="VIVA HOME"/>
            <filter val="Dakota"/>
            <filter val="BADGER"/>
            <filter val="DESANA"/>
            <filter val="GIBBEN"/>
            <filter val="MULTICOMP"/>
            <filter val="RECORD"/>
            <filter val="Tramontina"/>
            <filter val="JUST HOME COLLECTION"/>
            <filter val="VOGEL GERMANY"/>
            <filter val="DOITOOL"/>
            <filter val="RS-PRO"/>
            <filter val="STAR USA"/>
            <filter val="MOORE &amp; WRIGHT"/>
            <filter val="TR Industrial"/>
            <filter val="BESTAR STUDIO SAC"/>
            <filter val="INSIZE"/>
            <filter val="MEDICAL NATION"/>
            <filter val="Medid"/>
            <filter val="SIEMENS"/>
            <filter val="#N/A"/>
            <filter val="SPTA"/>
            <filter val="CLUTE"/>
            <filter val="PRETUL"/>
            <filter val="Toolcraft"/>
            <filter val="JUST HOME COLECTION"/>
            <filter val="STANLEY  / STANLEY / TRUPER"/>
            <filter val="ASLAK"/>
            <filter val="Craft Wok"/>
            <filter val="W.VEDO.M"/>
            <filter val="WINCO"/>
            <filter val="CORONA"/>
            <filter val="THREAD GAUGE"/>
            <filter val="EROPOO"/>
            <filter val="IRIMO"/>
            <filter val="LIMIT"/>
            <filter val="GASPAR"/>
            <filter val="ALYCO"/>
            <filter val="SCEPTER"/>
            <filter val="AROCA + NACIONAL"/>
            <filter val="Winco"/>
            <filter val="OB"/>
            <filter val="Weston"/>
            <filter val="BAHCO"/>
            <filter val="Proto Future / U.S. Kitchen Supply"/>
            <filter val="Bahco"/>
            <filter val="OFXDD"/>
            <filter val="Utoolmart"/>
            <filter val="TOTAL"/>
            <filter val="MITUTOYO"/>
            <filter val="GENERICA"/>
            <filter val="SWANLAKE GARDEN TOOLS"/>
            <filter val="ILKO"/>
            <filter val="BOXA"/>
            <filter val="ELGATO"/>
            <filter val="MASISA / DVP Perú"/>
            <filter val="GENERICO"/>
            <filter val="VALSUR"/>
            <filter val="BAKU"/>
            <filter val="TUMI"/>
            <filter val="VARIOS"/>
            <filter val="Powerbuilt"/>
            <filter val="INSUMOS SOLUCIONES PARA LA INDUSTRIA ALIMENTARIA SAC"/>
          </filters>
        </filterColumn>
        <filterColumn colId="25">
          <filters blank="1">
            <filter val="Hugo"/>
            <filter val="Técnica"/>
          </filters>
        </filterColumn>
      </autoFilter>
    </customSheetView>
  </customSheetViews>
  <mergeCells count="6">
    <mergeCell ref="B2:G2"/>
    <mergeCell ref="N2:Q2"/>
    <mergeCell ref="S2:Y2"/>
    <mergeCell ref="N3:Q3"/>
    <mergeCell ref="S3:Y3"/>
    <mergeCell ref="Z3:AC3"/>
  </mergeCells>
  <conditionalFormatting sqref="A5:L1057">
    <cfRule type="expression" dxfId="0" priority="1">
      <formula>IF( AND ( IF(COUNTIF($G5, "*.*") &gt; 0, FALSE, TRUE), $G5 &lt;&gt; "" ), TRUE, FALSE)</formula>
    </cfRule>
  </conditionalFormatting>
  <dataValidations>
    <dataValidation type="list" allowBlank="1" showErrorMessage="1" sqref="L18:L19 L30:L32 L35:L36 L44:L45 L47 L49 L66 L68 L71 L83 L91:L93 L95 L101:L106 L112:L116 L121 L125 L127:L130 L147 L160 L178:L180 D5:D214 L259:L260 L263 L275 L283 L287 L292:L295 L299:L300 L303 L320:L326 L351:L362 L365:L375 L378:L379 L385:L387 L403 L420 L425 L451:L453 L459:L462 L468:L469 L478:L483 L486:L490 L498 L503:L505 L527:L531 L534 L549:L552 D224:D1057">
      <formula1>"BIEN,ACCESORIO,COMPONENTE"</formula1>
    </dataValidation>
    <dataValidation type="list" allowBlank="1" showErrorMessage="1" sqref="AA5:AA1057">
      <formula1>"NACIONAL,INTERNACIONAL,INT/NAC"</formula1>
    </dataValidation>
    <dataValidation type="list" allowBlank="1" showErrorMessage="1" sqref="L5:L17 L20:L29 L33:L34 L37:L40 L43 L46 L48 L50:L65 L67 L69:L70 L72:L78 L81:L82 L84:L90 L94 L96:L100 L107:L111 L117:L120 L122:L124 L126 L131:L146 L148:L159 L161:L177 L181:L258 L261:L262 L264:L274 L276:L282 L284:L286 L289:L291 L296:L298 L301:L302 L304:L319 L327:L350 L363:L364 L376:L377 L380:L384 L388:L402 L404:L410 L412 L414:L419 L421:L424 L426:L450 L454:L458 L463:L467 L470:L477 L484:L485 L491:L497 L499:L502 L506:L526 L532:L533 L535:L548 L553:L1057">
      <formula1>"COCINA Y REPOSTERÍA,COMPUTACIÓN E INFORMÁTICA,CONSTRUCCIONES METÁLICAS,EBANISTERÍA,ELECTRICIDAD,ELECTRÓNICA,INDUSTRIA ALIMENTARIA,INDUSTRIA DEL VESTIDO,MECÁNICA AUTOMOTRÍZ"</formula1>
    </dataValidation>
    <dataValidation type="list" allowBlank="1" showErrorMessage="1" sqref="Z5:Z1057">
      <formula1>"Técnica,Simple,Hugo,Camila,NO ESTÁ EN REQ"</formula1>
    </dataValidation>
  </dataValidations>
  <hyperlinks>
    <hyperlink r:id="rId2" ref="M5"/>
    <hyperlink r:id="rId3" location="gid=0" ref="R5"/>
    <hyperlink r:id="rId4" ref="M6"/>
    <hyperlink r:id="rId5" location="gid=0" ref="R6"/>
    <hyperlink r:id="rId6" ref="M7"/>
    <hyperlink r:id="rId7" location="gid=0" ref="R7"/>
    <hyperlink r:id="rId8" ref="M8"/>
    <hyperlink r:id="rId9" location="gid=0" ref="R8"/>
    <hyperlink r:id="rId10" ref="M9"/>
    <hyperlink r:id="rId11" location="gid=0" ref="R9"/>
    <hyperlink r:id="rId12" ref="M10"/>
    <hyperlink r:id="rId13" location="gid=0" ref="R10"/>
    <hyperlink r:id="rId14" ref="M11"/>
    <hyperlink r:id="rId15" location="gid=0" ref="R11"/>
    <hyperlink r:id="rId16" ref="M12"/>
    <hyperlink r:id="rId17" location="gid=0" ref="R12"/>
    <hyperlink r:id="rId18" ref="M13"/>
    <hyperlink r:id="rId19" location="gid=0" ref="R13"/>
    <hyperlink r:id="rId20" ref="M14"/>
    <hyperlink r:id="rId21" location="gid=0" ref="R14"/>
    <hyperlink r:id="rId22" ref="M15"/>
    <hyperlink r:id="rId23" location="gid=0" ref="R15"/>
    <hyperlink r:id="rId24" ref="M16"/>
    <hyperlink r:id="rId25" location="gid=0" ref="R16"/>
    <hyperlink r:id="rId26" ref="M17"/>
    <hyperlink r:id="rId27" location="gid=0" ref="R17"/>
    <hyperlink r:id="rId28" ref="Q18"/>
    <hyperlink r:id="rId29" ref="Y18"/>
    <hyperlink r:id="rId30" ref="Q19"/>
    <hyperlink r:id="rId31" ref="M20"/>
    <hyperlink r:id="rId32" location="gid=0" ref="R20"/>
    <hyperlink r:id="rId33" ref="M21"/>
    <hyperlink r:id="rId34" location="gid=0" ref="R21"/>
    <hyperlink r:id="rId35" ref="M22"/>
    <hyperlink r:id="rId36" location="gid=0" ref="R22"/>
    <hyperlink r:id="rId37" ref="M23"/>
    <hyperlink r:id="rId38" location="gid=0" ref="R23"/>
    <hyperlink r:id="rId39" ref="M24"/>
    <hyperlink r:id="rId40" location="gid=0" ref="R24"/>
    <hyperlink r:id="rId41" ref="M25"/>
    <hyperlink r:id="rId42" location="gid=0" ref="R25"/>
    <hyperlink r:id="rId43" ref="M26"/>
    <hyperlink r:id="rId44" location="gid=0" ref="R26"/>
    <hyperlink r:id="rId45" ref="M27"/>
    <hyperlink r:id="rId46" location="gid=0" ref="R27"/>
    <hyperlink r:id="rId47" ref="M28"/>
    <hyperlink r:id="rId48" location="gid=0" ref="R28"/>
    <hyperlink r:id="rId49" ref="M29"/>
    <hyperlink r:id="rId50" location="gid=0" ref="R29"/>
    <hyperlink r:id="rId51" ref="Q30"/>
    <hyperlink r:id="rId52" ref="Q31"/>
    <hyperlink r:id="rId53" ref="Y31"/>
    <hyperlink r:id="rId54" ref="Q32"/>
    <hyperlink r:id="rId55" ref="Y32"/>
    <hyperlink r:id="rId56" ref="M33"/>
    <hyperlink r:id="rId57" location="gid=0" ref="R33"/>
    <hyperlink r:id="rId58" ref="M34"/>
    <hyperlink r:id="rId59" location="gid=0" ref="R34"/>
    <hyperlink r:id="rId60" ref="Q35"/>
    <hyperlink r:id="rId61" ref="Y35"/>
    <hyperlink r:id="rId62" ref="Q36"/>
    <hyperlink r:id="rId63" ref="Y36"/>
    <hyperlink r:id="rId64" ref="M37"/>
    <hyperlink r:id="rId65" location="gid=0" ref="R37"/>
    <hyperlink r:id="rId66" ref="M38"/>
    <hyperlink r:id="rId67" location="gid=0" ref="R38"/>
    <hyperlink r:id="rId68" ref="M39"/>
    <hyperlink r:id="rId69" location="gid=0" ref="R39"/>
    <hyperlink r:id="rId70" ref="M40"/>
    <hyperlink r:id="rId71" location="gid=0" ref="R40"/>
    <hyperlink r:id="rId72" ref="Y41"/>
    <hyperlink r:id="rId73" ref="Y42"/>
    <hyperlink r:id="rId74" ref="M43"/>
    <hyperlink r:id="rId75" location="gid=0" ref="R43"/>
    <hyperlink r:id="rId76" ref="M46"/>
    <hyperlink r:id="rId77" location="gid=0" ref="R46"/>
    <hyperlink r:id="rId78" ref="Q47"/>
    <hyperlink r:id="rId79" ref="M48"/>
    <hyperlink r:id="rId80" location="gid=0" ref="R48"/>
    <hyperlink r:id="rId81" ref="M50"/>
    <hyperlink r:id="rId82" location="gid=0" ref="R50"/>
    <hyperlink r:id="rId83" ref="M51"/>
    <hyperlink r:id="rId84" location="gid=0" ref="R51"/>
    <hyperlink r:id="rId85" ref="M52"/>
    <hyperlink r:id="rId86" location="gid=0" ref="R52"/>
    <hyperlink r:id="rId87" ref="M53"/>
    <hyperlink r:id="rId88" location="gid=0" ref="R53"/>
    <hyperlink r:id="rId89" ref="M54"/>
    <hyperlink r:id="rId90" location="gid=0" ref="R54"/>
    <hyperlink r:id="rId91" ref="M55"/>
    <hyperlink r:id="rId92" location="gid=0" ref="R55"/>
    <hyperlink r:id="rId93" ref="M56"/>
    <hyperlink r:id="rId94" location="gid=0" ref="R56"/>
    <hyperlink r:id="rId95" ref="M57"/>
    <hyperlink r:id="rId96" location="gid=0" ref="R57"/>
    <hyperlink r:id="rId97" ref="M58"/>
    <hyperlink r:id="rId98" location="gid=0" ref="R58"/>
    <hyperlink r:id="rId99" ref="M59"/>
    <hyperlink r:id="rId100" location="gid=0" ref="R59"/>
    <hyperlink r:id="rId101" ref="M60"/>
    <hyperlink r:id="rId102" location="gid=0" ref="R60"/>
    <hyperlink r:id="rId103" ref="M61"/>
    <hyperlink r:id="rId104" location="gid=0" ref="R61"/>
    <hyperlink r:id="rId105" ref="M62"/>
    <hyperlink r:id="rId106" location="gid=0" ref="R62"/>
    <hyperlink r:id="rId107" ref="M63"/>
    <hyperlink r:id="rId108" location="gid=0" ref="R63"/>
    <hyperlink r:id="rId109" ref="M64"/>
    <hyperlink r:id="rId110" location="gid=0" ref="R64"/>
    <hyperlink r:id="rId111" ref="M65"/>
    <hyperlink r:id="rId112" location="gid=0" ref="R65"/>
    <hyperlink r:id="rId113" ref="Q66"/>
    <hyperlink r:id="rId114" ref="M67"/>
    <hyperlink r:id="rId115" location="gid=0" ref="R67"/>
    <hyperlink r:id="rId116" ref="Q68"/>
    <hyperlink r:id="rId117" ref="M69"/>
    <hyperlink r:id="rId118" location="gid=0" ref="R69"/>
    <hyperlink r:id="rId119" ref="M70"/>
    <hyperlink r:id="rId120" location="gid=0" ref="R70"/>
    <hyperlink r:id="rId121" ref="Q71"/>
    <hyperlink r:id="rId122" ref="M72"/>
    <hyperlink r:id="rId123" location="gid=0" ref="R72"/>
    <hyperlink r:id="rId124" ref="M73"/>
    <hyperlink r:id="rId125" location="gid=0" ref="R73"/>
    <hyperlink r:id="rId126" ref="M74"/>
    <hyperlink r:id="rId127" location="gid=0" ref="R74"/>
    <hyperlink r:id="rId128" ref="M75"/>
    <hyperlink r:id="rId129" location="gid=0" ref="R75"/>
    <hyperlink r:id="rId130" ref="M76"/>
    <hyperlink r:id="rId131" location="gid=0" ref="R76"/>
    <hyperlink r:id="rId132" ref="M77"/>
    <hyperlink r:id="rId133" location="gid=0" ref="R77"/>
    <hyperlink r:id="rId134" ref="M78"/>
    <hyperlink r:id="rId135" location="gid=0" ref="R78"/>
    <hyperlink r:id="rId136" ref="Y79"/>
    <hyperlink r:id="rId137" ref="Y80"/>
    <hyperlink r:id="rId138" ref="M81"/>
    <hyperlink r:id="rId139" location="gid=0" ref="R81"/>
    <hyperlink r:id="rId140" ref="M82"/>
    <hyperlink r:id="rId141" location="gid=0" ref="R82"/>
    <hyperlink r:id="rId142" ref="Q83"/>
    <hyperlink r:id="rId143" ref="M84"/>
    <hyperlink r:id="rId144" location="gid=0" ref="R84"/>
    <hyperlink r:id="rId145" ref="M85"/>
    <hyperlink r:id="rId146" location="gid=0" ref="R85"/>
    <hyperlink r:id="rId147" ref="M86"/>
    <hyperlink r:id="rId148" location="gid=0" ref="R86"/>
    <hyperlink r:id="rId149" ref="M87"/>
    <hyperlink r:id="rId150" location="gid=0" ref="R87"/>
    <hyperlink r:id="rId151" ref="M88"/>
    <hyperlink r:id="rId152" location="gid=0" ref="R88"/>
    <hyperlink r:id="rId153" ref="Y89"/>
    <hyperlink r:id="rId154" ref="M90"/>
    <hyperlink r:id="rId155" location="gid=0" ref="R90"/>
    <hyperlink r:id="rId156" ref="Q91"/>
    <hyperlink r:id="rId157" ref="Y91"/>
    <hyperlink r:id="rId158" ref="Q92"/>
    <hyperlink r:id="rId159" ref="Y92"/>
    <hyperlink r:id="rId160" ref="Q93"/>
    <hyperlink r:id="rId161" ref="Y93"/>
    <hyperlink r:id="rId162" ref="M94"/>
    <hyperlink r:id="rId163" location="gid=0" ref="R94"/>
    <hyperlink r:id="rId164" ref="Q95"/>
    <hyperlink r:id="rId165" ref="M96"/>
    <hyperlink r:id="rId166" location="gid=0" ref="R96"/>
    <hyperlink r:id="rId167" ref="M97"/>
    <hyperlink r:id="rId168" location="gid=0" ref="R97"/>
    <hyperlink r:id="rId169" ref="M98"/>
    <hyperlink r:id="rId170" location="gid=0" ref="R98"/>
    <hyperlink r:id="rId171" ref="M99"/>
    <hyperlink r:id="rId172" location="gid=0" ref="R99"/>
    <hyperlink r:id="rId173" ref="Y99"/>
    <hyperlink r:id="rId174" ref="M100"/>
    <hyperlink r:id="rId175" location="gid=0" ref="R100"/>
    <hyperlink r:id="rId176" ref="Q101"/>
    <hyperlink r:id="rId177" ref="Y101"/>
    <hyperlink r:id="rId178" ref="Q102"/>
    <hyperlink r:id="rId179" ref="Y102"/>
    <hyperlink r:id="rId180" ref="Q103"/>
    <hyperlink r:id="rId181" ref="Y103"/>
    <hyperlink r:id="rId182" ref="Q104"/>
    <hyperlink r:id="rId183" ref="Y104"/>
    <hyperlink r:id="rId184" ref="Q105"/>
    <hyperlink r:id="rId185" ref="Y105"/>
    <hyperlink r:id="rId186" ref="Q106"/>
    <hyperlink r:id="rId187" ref="Y106"/>
    <hyperlink r:id="rId188" ref="M107"/>
    <hyperlink r:id="rId189" location="gid=0" ref="R107"/>
    <hyperlink r:id="rId190" ref="Y107"/>
    <hyperlink r:id="rId191" ref="Y108"/>
    <hyperlink r:id="rId192" ref="Y109"/>
    <hyperlink r:id="rId193" ref="M110"/>
    <hyperlink r:id="rId194" location="gid=0" ref="R110"/>
    <hyperlink r:id="rId195" ref="M111"/>
    <hyperlink r:id="rId196" location="gid=0" ref="R111"/>
    <hyperlink r:id="rId197" ref="Q112"/>
    <hyperlink r:id="rId198" ref="Y112"/>
    <hyperlink r:id="rId199" ref="Q113"/>
    <hyperlink r:id="rId200" ref="Y113"/>
    <hyperlink r:id="rId201" ref="Q114"/>
    <hyperlink r:id="rId202" ref="Y114"/>
    <hyperlink r:id="rId203" ref="Q115"/>
    <hyperlink r:id="rId204" ref="Y115"/>
    <hyperlink r:id="rId205" ref="Q116"/>
    <hyperlink r:id="rId206" ref="Y116"/>
    <hyperlink r:id="rId207" ref="M117"/>
    <hyperlink r:id="rId208" location="gid=0" ref="R117"/>
    <hyperlink r:id="rId209" ref="Y117"/>
    <hyperlink r:id="rId210" ref="Y118"/>
    <hyperlink r:id="rId211" ref="M119"/>
    <hyperlink r:id="rId212" location="gid=0" ref="R119"/>
    <hyperlink r:id="rId213" ref="M120"/>
    <hyperlink r:id="rId214" location="gid=0" ref="R120"/>
    <hyperlink r:id="rId215" ref="Y120"/>
    <hyperlink r:id="rId216" ref="Q121"/>
    <hyperlink r:id="rId217" ref="M122"/>
    <hyperlink r:id="rId218" location="gid=0" ref="R122"/>
    <hyperlink r:id="rId219" ref="Y123"/>
    <hyperlink r:id="rId220" ref="M124"/>
    <hyperlink r:id="rId221" location="gid=0" ref="R124"/>
    <hyperlink r:id="rId222" ref="Q125"/>
    <hyperlink r:id="rId223" ref="M126"/>
    <hyperlink r:id="rId224" location="gid=0" ref="R126"/>
    <hyperlink r:id="rId225" ref="Q127"/>
    <hyperlink r:id="rId226" ref="Q128"/>
    <hyperlink r:id="rId227" ref="Q129"/>
    <hyperlink r:id="rId228" ref="Y129"/>
    <hyperlink r:id="rId229" ref="Q130"/>
    <hyperlink r:id="rId230" ref="Y130"/>
    <hyperlink r:id="rId231" ref="M131"/>
    <hyperlink r:id="rId232" location="gid=0" ref="R131"/>
    <hyperlink r:id="rId233" ref="M132"/>
    <hyperlink r:id="rId234" location="gid=0" ref="R132"/>
    <hyperlink r:id="rId235" ref="M134"/>
    <hyperlink r:id="rId236" location="gid=0" ref="R134"/>
    <hyperlink r:id="rId237" ref="M135"/>
    <hyperlink r:id="rId238" location="gid=0" ref="R135"/>
    <hyperlink r:id="rId239" ref="M136"/>
    <hyperlink r:id="rId240" location="gid=0" ref="R136"/>
    <hyperlink r:id="rId241" ref="M138"/>
    <hyperlink r:id="rId242" location="gid=0" ref="R138"/>
    <hyperlink r:id="rId243" ref="M139"/>
    <hyperlink r:id="rId244" location="gid=0" ref="R139"/>
    <hyperlink r:id="rId245" ref="M140"/>
    <hyperlink r:id="rId246" location="gid=0" ref="R140"/>
    <hyperlink r:id="rId247" ref="M141"/>
    <hyperlink r:id="rId248" location="gid=0" ref="R141"/>
    <hyperlink r:id="rId249" ref="M142"/>
    <hyperlink r:id="rId250" location="gid=0" ref="R142"/>
    <hyperlink r:id="rId251" ref="M146"/>
    <hyperlink r:id="rId252" ref="Q146"/>
    <hyperlink r:id="rId253" location="gid=0" ref="R146"/>
    <hyperlink r:id="rId254" ref="Q147"/>
    <hyperlink r:id="rId255" ref="Y147"/>
    <hyperlink r:id="rId256" ref="Y148"/>
    <hyperlink r:id="rId257" ref="M149"/>
    <hyperlink r:id="rId258" location="gid=0" ref="R149"/>
    <hyperlink r:id="rId259" ref="M150"/>
    <hyperlink r:id="rId260" location="gid=0" ref="R150"/>
    <hyperlink r:id="rId261" ref="M152"/>
    <hyperlink r:id="rId262" location="gid=0" ref="R152"/>
    <hyperlink r:id="rId263" ref="M154"/>
    <hyperlink r:id="rId264" location="gid=0" ref="R154"/>
    <hyperlink r:id="rId265" ref="M155"/>
    <hyperlink r:id="rId266" location="gid=0" ref="R155"/>
    <hyperlink r:id="rId267" ref="M156"/>
    <hyperlink r:id="rId268" location="gid=0" ref="R156"/>
    <hyperlink r:id="rId269" ref="M157"/>
    <hyperlink r:id="rId270" location="gid=0" ref="R157"/>
    <hyperlink r:id="rId271" ref="M158"/>
    <hyperlink r:id="rId272" location="gid=0" ref="R158"/>
    <hyperlink r:id="rId273" ref="M159"/>
    <hyperlink r:id="rId274" location="gid=0" ref="R159"/>
    <hyperlink r:id="rId275" ref="M163"/>
    <hyperlink r:id="rId276" location="gid=0" ref="R163"/>
    <hyperlink r:id="rId277" ref="M164"/>
    <hyperlink r:id="rId278" location="gid=0" ref="R164"/>
    <hyperlink r:id="rId279" ref="M165"/>
    <hyperlink r:id="rId280" location="gid=0" ref="R165"/>
    <hyperlink r:id="rId281" ref="M166"/>
    <hyperlink r:id="rId282" location="gid=0" ref="R166"/>
    <hyperlink r:id="rId283" ref="M167"/>
    <hyperlink r:id="rId284" location="gid=0" ref="R167"/>
    <hyperlink r:id="rId285" ref="M168"/>
    <hyperlink r:id="rId286" location="gid=0" ref="R168"/>
    <hyperlink r:id="rId287" ref="M169"/>
    <hyperlink r:id="rId288" location="gid=0" ref="R169"/>
    <hyperlink r:id="rId289" ref="M171"/>
    <hyperlink r:id="rId290" location="gid=0" ref="R171"/>
    <hyperlink r:id="rId291" ref="M173"/>
    <hyperlink r:id="rId292" location="gid=0" ref="R173"/>
    <hyperlink r:id="rId293" ref="M175"/>
    <hyperlink r:id="rId294" location="gid=0" ref="R175"/>
    <hyperlink r:id="rId295" ref="M176"/>
    <hyperlink r:id="rId296" ref="Q176"/>
    <hyperlink r:id="rId297" location="gid=0" ref="R176"/>
    <hyperlink r:id="rId298" ref="M177"/>
    <hyperlink r:id="rId299" ref="Q177"/>
    <hyperlink r:id="rId300" location="gid=0" ref="R177"/>
    <hyperlink r:id="rId301" ref="Q178"/>
    <hyperlink r:id="rId302" ref="Y178"/>
    <hyperlink r:id="rId303" ref="Q179"/>
    <hyperlink r:id="rId304" ref="Y179"/>
    <hyperlink r:id="rId305" ref="Q180"/>
    <hyperlink r:id="rId306" ref="Y180"/>
    <hyperlink r:id="rId307" ref="Y181"/>
    <hyperlink r:id="rId308" ref="M182"/>
    <hyperlink r:id="rId309" location="gid=0" ref="R182"/>
    <hyperlink r:id="rId310" location="highlighted_specs_attrs" ref="Y182"/>
    <hyperlink r:id="rId311" ref="M183"/>
    <hyperlink r:id="rId312" location="gid=0" ref="R183"/>
    <hyperlink r:id="rId313" ref="M184"/>
    <hyperlink r:id="rId314" location="gid=0" ref="R184"/>
    <hyperlink r:id="rId315" ref="M185"/>
    <hyperlink r:id="rId316" location="gid=0" ref="R185"/>
    <hyperlink r:id="rId317" ref="M186"/>
    <hyperlink r:id="rId318" location="gid=0" ref="R186"/>
    <hyperlink r:id="rId319" ref="M187"/>
    <hyperlink r:id="rId320" location="gid=0" ref="R187"/>
    <hyperlink r:id="rId321" ref="M189"/>
    <hyperlink r:id="rId322" location="gid=0" ref="R189"/>
    <hyperlink r:id="rId323" ref="M191"/>
    <hyperlink r:id="rId324" location="gid=0" ref="R191"/>
    <hyperlink r:id="rId325" ref="M192"/>
    <hyperlink r:id="rId326" location="gid=0" ref="R192"/>
    <hyperlink r:id="rId327" ref="M193"/>
    <hyperlink r:id="rId328" location="gid=0" ref="R193"/>
    <hyperlink r:id="rId329" ref="M194"/>
    <hyperlink r:id="rId330" location="gid=0" ref="R194"/>
    <hyperlink r:id="rId331" ref="M195"/>
    <hyperlink r:id="rId332" location="gid=0" ref="R195"/>
    <hyperlink r:id="rId333" ref="M196"/>
    <hyperlink r:id="rId334" ref="Q196"/>
    <hyperlink r:id="rId335" location="gid=0" ref="R196"/>
    <hyperlink r:id="rId336" ref="M197"/>
    <hyperlink r:id="rId337" location="gid=0" ref="R197"/>
    <hyperlink r:id="rId338" ref="M198"/>
    <hyperlink r:id="rId339" location="gid=0" ref="R198"/>
    <hyperlink r:id="rId340" ref="Y198"/>
    <hyperlink r:id="rId341" ref="M199"/>
    <hyperlink r:id="rId342" location="gid=0" ref="R199"/>
    <hyperlink r:id="rId343" ref="Y199"/>
    <hyperlink r:id="rId344" ref="Y200"/>
    <hyperlink r:id="rId345" ref="M201"/>
    <hyperlink r:id="rId346" ref="Q201"/>
    <hyperlink r:id="rId347" location="gid=0" ref="R201"/>
    <hyperlink r:id="rId348" ref="Y202"/>
    <hyperlink r:id="rId349" ref="M203"/>
    <hyperlink r:id="rId350" location="gid=0" ref="R203"/>
    <hyperlink r:id="rId351" ref="Y203"/>
    <hyperlink r:id="rId352" ref="M204"/>
    <hyperlink r:id="rId353" location="gid=0" ref="R204"/>
    <hyperlink r:id="rId354" ref="M205"/>
    <hyperlink r:id="rId355" location="gid=0" ref="R205"/>
    <hyperlink r:id="rId356" ref="M207"/>
    <hyperlink r:id="rId357" location="gid=0" ref="R207"/>
    <hyperlink r:id="rId358" ref="M208"/>
    <hyperlink r:id="rId359" location="gid=0" ref="R208"/>
    <hyperlink r:id="rId360" ref="M209"/>
    <hyperlink r:id="rId361" location="gid=0" ref="R209"/>
    <hyperlink r:id="rId362" ref="M210"/>
    <hyperlink r:id="rId363" location="gid=0" ref="R210"/>
    <hyperlink r:id="rId364" ref="M211"/>
    <hyperlink r:id="rId365" location="gid=0" ref="R211"/>
    <hyperlink r:id="rId366" ref="Y211"/>
    <hyperlink r:id="rId367" ref="M212"/>
    <hyperlink r:id="rId368" location="gid=0" ref="R212"/>
    <hyperlink r:id="rId369" ref="M213"/>
    <hyperlink r:id="rId370" location="gid=0" ref="R213"/>
    <hyperlink r:id="rId371" ref="M214"/>
    <hyperlink r:id="rId372" location="gid=0" ref="R214"/>
    <hyperlink r:id="rId373" ref="Y215"/>
    <hyperlink r:id="rId374" ref="Y217"/>
    <hyperlink r:id="rId375" ref="Y218"/>
    <hyperlink r:id="rId376" ref="Y220"/>
    <hyperlink r:id="rId377" ref="Y221"/>
    <hyperlink r:id="rId378" ref="M224"/>
    <hyperlink r:id="rId379" ref="Q224"/>
    <hyperlink r:id="rId380" location="gid=0" ref="R224"/>
    <hyperlink r:id="rId381" ref="Y224"/>
    <hyperlink r:id="rId382" ref="M226"/>
    <hyperlink r:id="rId383" location="gid=0" ref="R226"/>
    <hyperlink r:id="rId384" ref="Y226"/>
    <hyperlink r:id="rId385" ref="M227"/>
    <hyperlink r:id="rId386" location="gid=0" ref="R227"/>
    <hyperlink r:id="rId387" ref="Y227"/>
    <hyperlink r:id="rId388" ref="M228"/>
    <hyperlink r:id="rId389" location="gid=0" ref="R228"/>
    <hyperlink r:id="rId390" ref="Y228"/>
    <hyperlink r:id="rId391" ref="M229"/>
    <hyperlink r:id="rId392" ref="Q229"/>
    <hyperlink r:id="rId393" location="gid=0" ref="R229"/>
    <hyperlink r:id="rId394" ref="Y229"/>
    <hyperlink r:id="rId395" ref="M231"/>
    <hyperlink r:id="rId396" location="gid=0" ref="R231"/>
    <hyperlink r:id="rId397" ref="Y231"/>
    <hyperlink r:id="rId398" ref="M232"/>
    <hyperlink r:id="rId399" location="gid=0" ref="R232"/>
    <hyperlink r:id="rId400" ref="Y232"/>
    <hyperlink r:id="rId401" ref="M233"/>
    <hyperlink r:id="rId402" location="gid=0" ref="R233"/>
    <hyperlink r:id="rId403" ref="Y233"/>
    <hyperlink r:id="rId404" ref="M235"/>
    <hyperlink r:id="rId405" location="gid=0" ref="R235"/>
    <hyperlink r:id="rId406" ref="Y235"/>
    <hyperlink r:id="rId407" ref="M237"/>
    <hyperlink r:id="rId408" location="gid=0" ref="R237"/>
    <hyperlink r:id="rId409" ref="Y237"/>
    <hyperlink r:id="rId410" ref="M238"/>
    <hyperlink r:id="rId411" location="gid=0" ref="R238"/>
    <hyperlink r:id="rId412" ref="Y238"/>
    <hyperlink r:id="rId413" ref="M239"/>
    <hyperlink r:id="rId414" location="gid=0" ref="R239"/>
    <hyperlink r:id="rId415" ref="M240"/>
    <hyperlink r:id="rId416" location="gid=0" ref="R240"/>
    <hyperlink r:id="rId417" ref="M241"/>
    <hyperlink r:id="rId418" location="gid=0" ref="R241"/>
    <hyperlink r:id="rId419" ref="M242"/>
    <hyperlink r:id="rId420" location="gid=0" ref="R242"/>
    <hyperlink r:id="rId421" ref="Y242"/>
    <hyperlink r:id="rId422" ref="M243"/>
    <hyperlink r:id="rId423" location="gid=0" ref="R243"/>
    <hyperlink r:id="rId424" ref="Y244"/>
    <hyperlink r:id="rId425" ref="M245"/>
    <hyperlink r:id="rId426" location="gid=0" ref="R245"/>
    <hyperlink r:id="rId427" ref="M246"/>
    <hyperlink r:id="rId428" location="gid=0" ref="R246"/>
    <hyperlink r:id="rId429" ref="M247"/>
    <hyperlink r:id="rId430" location="gid=0" ref="R247"/>
    <hyperlink r:id="rId431" ref="M248"/>
    <hyperlink r:id="rId432" location="gid=0" ref="R248"/>
    <hyperlink r:id="rId433" ref="M249"/>
    <hyperlink r:id="rId434" location="gid=0" ref="R249"/>
    <hyperlink r:id="rId435" ref="Y250"/>
    <hyperlink r:id="rId436" ref="M251"/>
    <hyperlink r:id="rId437" location="gid=0" ref="R251"/>
    <hyperlink r:id="rId438" ref="M252"/>
    <hyperlink r:id="rId439" location="gid=0" ref="R252"/>
    <hyperlink r:id="rId440" ref="M253"/>
    <hyperlink r:id="rId441" location="gid=0" ref="R253"/>
    <hyperlink r:id="rId442" ref="M254"/>
    <hyperlink r:id="rId443" location="gid=0" ref="R254"/>
    <hyperlink r:id="rId444" ref="M255"/>
    <hyperlink r:id="rId445" location="gid=0" ref="R255"/>
    <hyperlink r:id="rId446" ref="Y255"/>
    <hyperlink r:id="rId447" ref="M256"/>
    <hyperlink r:id="rId448" location="gid=0" ref="R256"/>
    <hyperlink r:id="rId449" ref="Y256"/>
    <hyperlink r:id="rId450" ref="M257"/>
    <hyperlink r:id="rId451" location="gid=0" ref="R257"/>
    <hyperlink r:id="rId452" ref="Y257"/>
    <hyperlink r:id="rId453" ref="M258"/>
    <hyperlink r:id="rId454" ref="Q258"/>
    <hyperlink r:id="rId455" location="gid=0" ref="R258"/>
    <hyperlink r:id="rId456" ref="Q259"/>
    <hyperlink r:id="rId457" ref="Y259"/>
    <hyperlink r:id="rId458" ref="Q260"/>
    <hyperlink r:id="rId459" ref="Y260"/>
    <hyperlink r:id="rId460" ref="Y261"/>
    <hyperlink r:id="rId461" ref="M262"/>
    <hyperlink r:id="rId462" ref="Q262"/>
    <hyperlink r:id="rId463" location="gid=0" ref="R262"/>
    <hyperlink r:id="rId464" ref="Q263"/>
    <hyperlink r:id="rId465" ref="Y263"/>
    <hyperlink r:id="rId466" ref="Y264"/>
    <hyperlink r:id="rId467" ref="M265"/>
    <hyperlink r:id="rId468" location="gid=0" ref="R265"/>
    <hyperlink r:id="rId469" ref="M266"/>
    <hyperlink r:id="rId470" location="gid=0" ref="R266"/>
    <hyperlink r:id="rId471" ref="M267"/>
    <hyperlink r:id="rId472" location="gid=0" ref="R267"/>
    <hyperlink r:id="rId473" ref="M268"/>
    <hyperlink r:id="rId474" location="gid=0" ref="R268"/>
    <hyperlink r:id="rId475" ref="M269"/>
    <hyperlink r:id="rId476" location="gid=0" ref="R269"/>
    <hyperlink r:id="rId477" ref="Y269"/>
    <hyperlink r:id="rId478" ref="M270"/>
    <hyperlink r:id="rId479" location="gid=0" ref="R270"/>
    <hyperlink r:id="rId480" ref="M271"/>
    <hyperlink r:id="rId481" location="gid=0" ref="R271"/>
    <hyperlink r:id="rId482" ref="M272"/>
    <hyperlink r:id="rId483" location="gid=0" ref="R272"/>
    <hyperlink r:id="rId484" ref="M273"/>
    <hyperlink r:id="rId485" location="gid=0" ref="R273"/>
    <hyperlink r:id="rId486" ref="M274"/>
    <hyperlink r:id="rId487" ref="Q274"/>
    <hyperlink r:id="rId488" location="gid=0" ref="R274"/>
    <hyperlink r:id="rId489" ref="Q275"/>
    <hyperlink r:id="rId490" ref="M277"/>
    <hyperlink r:id="rId491" location="gid=0" ref="R277"/>
    <hyperlink r:id="rId492" ref="M280"/>
    <hyperlink r:id="rId493" location="gid=0" ref="R280"/>
    <hyperlink r:id="rId494" ref="Y280"/>
    <hyperlink r:id="rId495" ref="M281"/>
    <hyperlink r:id="rId496" location="gid=0" ref="R281"/>
    <hyperlink r:id="rId497" ref="M282"/>
    <hyperlink r:id="rId498" ref="Q282"/>
    <hyperlink r:id="rId499" location="gid=0" ref="R282"/>
    <hyperlink r:id="rId500" ref="Q283"/>
    <hyperlink r:id="rId501" ref="Y283"/>
    <hyperlink r:id="rId502" ref="Q284"/>
    <hyperlink r:id="rId503" ref="Y284"/>
    <hyperlink r:id="rId504" ref="M285"/>
    <hyperlink r:id="rId505" location="gid=0" ref="R285"/>
    <hyperlink r:id="rId506" ref="Y285"/>
    <hyperlink r:id="rId507" ref="M286"/>
    <hyperlink r:id="rId508" ref="Q286"/>
    <hyperlink r:id="rId509" location="gid=0" ref="R286"/>
    <hyperlink r:id="rId510" ref="Q287"/>
    <hyperlink r:id="rId511" ref="Y287"/>
    <hyperlink r:id="rId512" ref="Y288"/>
    <hyperlink r:id="rId513" ref="M289"/>
    <hyperlink r:id="rId514" location="gid=0" ref="R289"/>
    <hyperlink r:id="rId515" ref="Y290"/>
    <hyperlink r:id="rId516" ref="M291"/>
    <hyperlink r:id="rId517" ref="Q291"/>
    <hyperlink r:id="rId518" location="gid=0" ref="R291"/>
    <hyperlink r:id="rId519" ref="Q292"/>
    <hyperlink r:id="rId520" ref="Y292"/>
    <hyperlink r:id="rId521" ref="Q293"/>
    <hyperlink r:id="rId522" ref="Y293"/>
    <hyperlink r:id="rId523" ref="Q294"/>
    <hyperlink r:id="rId524" ref="Y294"/>
    <hyperlink r:id="rId525" ref="Q295"/>
    <hyperlink r:id="rId526" ref="Y295"/>
    <hyperlink r:id="rId527" ref="Y296"/>
    <hyperlink r:id="rId528" ref="M297"/>
    <hyperlink r:id="rId529" location="gid=0" ref="R297"/>
    <hyperlink r:id="rId530" ref="Y297"/>
    <hyperlink r:id="rId531" ref="M298"/>
    <hyperlink r:id="rId532" ref="Q298"/>
    <hyperlink r:id="rId533" location="gid=0" ref="R298"/>
    <hyperlink r:id="rId534" ref="Q299"/>
    <hyperlink r:id="rId535" ref="Y299"/>
    <hyperlink r:id="rId536" ref="Q300"/>
    <hyperlink r:id="rId537" ref="Y300"/>
    <hyperlink r:id="rId538" ref="Y301"/>
    <hyperlink r:id="rId539" ref="M302"/>
    <hyperlink r:id="rId540" ref="Q302"/>
    <hyperlink r:id="rId541" location="gid=0" ref="R302"/>
    <hyperlink r:id="rId542" ref="Q303"/>
    <hyperlink r:id="rId543" ref="Y303"/>
    <hyperlink r:id="rId544" ref="Y304"/>
    <hyperlink r:id="rId545" ref="M305"/>
    <hyperlink r:id="rId546" location="gid=0" ref="R305"/>
    <hyperlink r:id="rId547" ref="M306"/>
    <hyperlink r:id="rId548" location="gid=0" ref="R306"/>
    <hyperlink r:id="rId549" ref="Y306"/>
    <hyperlink r:id="rId550" ref="M307"/>
    <hyperlink r:id="rId551" location="gid=0" ref="R307"/>
    <hyperlink r:id="rId552" ref="Y307"/>
    <hyperlink r:id="rId553" ref="M308"/>
    <hyperlink r:id="rId554" location="gid=0" ref="R308"/>
    <hyperlink r:id="rId555" ref="M309"/>
    <hyperlink r:id="rId556" ref="Y309"/>
    <hyperlink r:id="rId557" ref="M310"/>
    <hyperlink r:id="rId558" ref="Y310"/>
    <hyperlink r:id="rId559" ref="M311"/>
    <hyperlink r:id="rId560" ref="Q311"/>
    <hyperlink r:id="rId561" location="gid=0" ref="R311"/>
    <hyperlink r:id="rId562" ref="Y311"/>
    <hyperlink r:id="rId563" ref="M312"/>
    <hyperlink r:id="rId564" location="gid=0" ref="R312"/>
    <hyperlink r:id="rId565" ref="Y312"/>
    <hyperlink r:id="rId566" ref="M313"/>
    <hyperlink r:id="rId567" location="gid=0" ref="R313"/>
    <hyperlink r:id="rId568" ref="Y313"/>
    <hyperlink r:id="rId569" ref="M314"/>
    <hyperlink r:id="rId570" location="gid=0" ref="R314"/>
    <hyperlink r:id="rId571" ref="M315"/>
    <hyperlink r:id="rId572" location="gid=0" ref="R315"/>
    <hyperlink r:id="rId573" ref="M316"/>
    <hyperlink r:id="rId574" location="gid=0" ref="R316"/>
    <hyperlink r:id="rId575" ref="M317"/>
    <hyperlink r:id="rId576" location="gid=0" ref="R317"/>
    <hyperlink r:id="rId577" ref="M318"/>
    <hyperlink r:id="rId578" location="gid=0" ref="R318"/>
    <hyperlink r:id="rId579" ref="M319"/>
    <hyperlink r:id="rId580" location="gid=0" ref="R319"/>
    <hyperlink r:id="rId581" ref="Q320"/>
    <hyperlink r:id="rId582" ref="Y320"/>
    <hyperlink r:id="rId583" ref="Q321"/>
    <hyperlink r:id="rId584" ref="Y321"/>
    <hyperlink r:id="rId585" ref="Q322"/>
    <hyperlink r:id="rId586" ref="Y322"/>
    <hyperlink r:id="rId587" ref="Q323"/>
    <hyperlink r:id="rId588" ref="Y323"/>
    <hyperlink r:id="rId589" ref="Q324"/>
    <hyperlink r:id="rId590" ref="Y324"/>
    <hyperlink r:id="rId591" ref="Q325"/>
    <hyperlink r:id="rId592" ref="Y325"/>
    <hyperlink r:id="rId593" ref="Y326"/>
    <hyperlink r:id="rId594" ref="Y327"/>
    <hyperlink r:id="rId595" ref="Y328"/>
    <hyperlink r:id="rId596" ref="M329"/>
    <hyperlink r:id="rId597" location="gid=0" ref="R329"/>
    <hyperlink r:id="rId598" ref="M330"/>
    <hyperlink r:id="rId599" location="gid=0" ref="R330"/>
    <hyperlink r:id="rId600" ref="M331"/>
    <hyperlink r:id="rId601" location="gid=0" ref="R331"/>
    <hyperlink r:id="rId602" ref="M332"/>
    <hyperlink r:id="rId603" location="gid=0" ref="R332"/>
    <hyperlink r:id="rId604" ref="M333"/>
    <hyperlink r:id="rId605" location="gid=0" ref="R333"/>
    <hyperlink r:id="rId606" ref="M334"/>
    <hyperlink r:id="rId607" location="gid=0" ref="R334"/>
    <hyperlink r:id="rId608" ref="M335"/>
    <hyperlink r:id="rId609" location="gid=0" ref="R335"/>
    <hyperlink r:id="rId610" ref="M336"/>
    <hyperlink r:id="rId611" location="gid=0" ref="R336"/>
    <hyperlink r:id="rId612" ref="Y336"/>
    <hyperlink r:id="rId613" ref="M337"/>
    <hyperlink r:id="rId614" location="gid=0" ref="R337"/>
    <hyperlink r:id="rId615" ref="M339"/>
    <hyperlink r:id="rId616" ref="Q339"/>
    <hyperlink r:id="rId617" location="gid=0" ref="R339"/>
    <hyperlink r:id="rId618" ref="M341"/>
    <hyperlink r:id="rId619" location="gid=0" ref="R341"/>
    <hyperlink r:id="rId620" ref="M344"/>
    <hyperlink r:id="rId621" location="gid=0" ref="R344"/>
    <hyperlink r:id="rId622" ref="M345"/>
    <hyperlink r:id="rId623" location="gid=0" ref="R345"/>
    <hyperlink r:id="rId624" ref="Y345"/>
    <hyperlink r:id="rId625" ref="M346"/>
    <hyperlink r:id="rId626" location="gid=0" ref="R346"/>
    <hyperlink r:id="rId627" ref="M347"/>
    <hyperlink r:id="rId628" location="gid=0" ref="R347"/>
    <hyperlink r:id="rId629" ref="Y347"/>
    <hyperlink r:id="rId630" ref="M348"/>
    <hyperlink r:id="rId631" location="gid=0" ref="R348"/>
    <hyperlink r:id="rId632" ref="Y348"/>
    <hyperlink r:id="rId633" ref="M349"/>
    <hyperlink r:id="rId634" location="gid=0" ref="R349"/>
    <hyperlink r:id="rId635" ref="Y349"/>
    <hyperlink r:id="rId636" ref="M350"/>
    <hyperlink r:id="rId637" location="gid=0" ref="R350"/>
    <hyperlink r:id="rId638" ref="M364"/>
    <hyperlink r:id="rId639" location="gid=0" ref="R364"/>
    <hyperlink r:id="rId640" ref="M377"/>
    <hyperlink r:id="rId641" ref="Q377"/>
    <hyperlink r:id="rId642" location="gid=0" ref="R377"/>
    <hyperlink r:id="rId643" ref="Q378"/>
    <hyperlink r:id="rId644" ref="Q379"/>
    <hyperlink r:id="rId645" ref="M382"/>
    <hyperlink r:id="rId646" location="gid=0" ref="R382"/>
    <hyperlink r:id="rId647" ref="Y382"/>
    <hyperlink r:id="rId648" ref="M383"/>
    <hyperlink r:id="rId649" location="gid=0" ref="R383"/>
    <hyperlink r:id="rId650" ref="Y383"/>
    <hyperlink r:id="rId651" ref="M384"/>
    <hyperlink r:id="rId652" ref="Q384"/>
    <hyperlink r:id="rId653" location="gid=0" ref="R384"/>
    <hyperlink r:id="rId654" ref="Q385"/>
    <hyperlink r:id="rId655" ref="Y385"/>
    <hyperlink r:id="rId656" ref="Q386"/>
    <hyperlink r:id="rId657" ref="Y386"/>
    <hyperlink r:id="rId658" ref="Q387"/>
    <hyperlink r:id="rId659" ref="Y387"/>
    <hyperlink r:id="rId660" ref="Y388"/>
    <hyperlink r:id="rId661" ref="M389"/>
    <hyperlink r:id="rId662" location="gid=0" ref="R389"/>
    <hyperlink r:id="rId663" ref="M390"/>
    <hyperlink r:id="rId664" location="gid=0" ref="R390"/>
    <hyperlink r:id="rId665" ref="M391"/>
    <hyperlink r:id="rId666" location="gid=0" ref="R391"/>
    <hyperlink r:id="rId667" ref="M392"/>
    <hyperlink r:id="rId668" location="gid=0" ref="R392"/>
    <hyperlink r:id="rId669" ref="M393"/>
    <hyperlink r:id="rId670" location="gid=0" ref="R393"/>
    <hyperlink r:id="rId671" ref="Y393"/>
    <hyperlink r:id="rId672" ref="M394"/>
    <hyperlink r:id="rId673" location="gid=0" ref="R394"/>
    <hyperlink r:id="rId674" ref="M395"/>
    <hyperlink r:id="rId675" location="gid=0" ref="R395"/>
    <hyperlink r:id="rId676" ref="M396"/>
    <hyperlink r:id="rId677" location="gid=0" ref="R396"/>
    <hyperlink r:id="rId678" ref="Y396"/>
    <hyperlink r:id="rId679" ref="M397"/>
    <hyperlink r:id="rId680" location="gid=0" ref="R397"/>
    <hyperlink r:id="rId681" ref="Y397"/>
    <hyperlink r:id="rId682" ref="M398"/>
    <hyperlink r:id="rId683" location="gid=0" ref="R398"/>
    <hyperlink r:id="rId684" ref="Y398"/>
    <hyperlink r:id="rId685" ref="M399"/>
    <hyperlink r:id="rId686" location="gid=0" ref="R399"/>
    <hyperlink r:id="rId687" ref="M400"/>
    <hyperlink r:id="rId688" location="gid=0" ref="R400"/>
    <hyperlink r:id="rId689" ref="Y400"/>
    <hyperlink r:id="rId690" ref="M401"/>
    <hyperlink r:id="rId691" location="gid=0" ref="R401"/>
    <hyperlink r:id="rId692" ref="Y401"/>
    <hyperlink r:id="rId693" ref="M402"/>
    <hyperlink r:id="rId694" ref="Q402"/>
    <hyperlink r:id="rId695" location="gid=0" ref="R402"/>
    <hyperlink r:id="rId696" ref="Q403"/>
    <hyperlink r:id="rId697" ref="M405"/>
    <hyperlink r:id="rId698" location="gid=0" ref="R405"/>
    <hyperlink r:id="rId699" ref="M406"/>
    <hyperlink r:id="rId700" location="gid=0" ref="R406"/>
    <hyperlink r:id="rId701" ref="M407"/>
    <hyperlink r:id="rId702" location="gid=0" ref="R407"/>
    <hyperlink r:id="rId703" ref="M408"/>
    <hyperlink r:id="rId704" location="gid=0" ref="R408"/>
    <hyperlink r:id="rId705" ref="M409"/>
    <hyperlink r:id="rId706" location="gid=0" ref="R409"/>
    <hyperlink r:id="rId707" ref="M410"/>
    <hyperlink r:id="rId708" location="gid=0" ref="R410"/>
    <hyperlink r:id="rId709" ref="Y410"/>
    <hyperlink r:id="rId710" ref="M412"/>
    <hyperlink r:id="rId711" location="gid=0" ref="R412"/>
    <hyperlink r:id="rId712" ref="M414"/>
    <hyperlink r:id="rId713" location="gid=0" ref="R414"/>
    <hyperlink r:id="rId714" ref="M415"/>
    <hyperlink r:id="rId715" location="gid=0" ref="R415"/>
    <hyperlink r:id="rId716" ref="Y415"/>
    <hyperlink r:id="rId717" ref="M416"/>
    <hyperlink r:id="rId718" location="gid=0" ref="R416"/>
    <hyperlink r:id="rId719" ref="Y416"/>
    <hyperlink r:id="rId720" ref="M417"/>
    <hyperlink r:id="rId721" location="gid=0" ref="R417"/>
    <hyperlink r:id="rId722" ref="Y418"/>
    <hyperlink r:id="rId723" ref="M419"/>
    <hyperlink r:id="rId724" location="gid=0" ref="R419"/>
    <hyperlink r:id="rId725" ref="Q420"/>
    <hyperlink r:id="rId726" ref="Y420"/>
    <hyperlink r:id="rId727" ref="M421"/>
    <hyperlink r:id="rId728" location="gid=0" ref="R421"/>
    <hyperlink r:id="rId729" ref="M422"/>
    <hyperlink r:id="rId730" location="gid=0" ref="R422"/>
    <hyperlink r:id="rId731" ref="Y422"/>
    <hyperlink r:id="rId732" ref="M423"/>
    <hyperlink r:id="rId733" location="gid=0" ref="R423"/>
    <hyperlink r:id="rId734" ref="Y423"/>
    <hyperlink r:id="rId735" ref="M424"/>
    <hyperlink r:id="rId736" location="gid=0" ref="R424"/>
    <hyperlink r:id="rId737" ref="Q425"/>
    <hyperlink r:id="rId738" ref="M426"/>
    <hyperlink r:id="rId739" location="gid=0" ref="R426"/>
    <hyperlink r:id="rId740" ref="M427"/>
    <hyperlink r:id="rId741" location="gid=0" ref="R427"/>
    <hyperlink r:id="rId742" ref="M428"/>
    <hyperlink r:id="rId743" location="gid=0" ref="R428"/>
    <hyperlink r:id="rId744" ref="M429"/>
    <hyperlink r:id="rId745" location="gid=0" ref="R429"/>
    <hyperlink r:id="rId746" location="gid=702936818" ref="Y430"/>
    <hyperlink r:id="rId747" location="gid=702936818" ref="Y431"/>
    <hyperlink r:id="rId748" location="gid=702936818" ref="Y432"/>
    <hyperlink r:id="rId749" location="gid=702936818" ref="Y433"/>
    <hyperlink r:id="rId750" location="gid=702936818" ref="Y434"/>
    <hyperlink r:id="rId751" ref="M435"/>
    <hyperlink r:id="rId752" location="gid=0" ref="R435"/>
    <hyperlink r:id="rId753" ref="Y435"/>
    <hyperlink r:id="rId754" ref="M436"/>
    <hyperlink r:id="rId755" location="gid=0" ref="R436"/>
    <hyperlink r:id="rId756" ref="Y436"/>
    <hyperlink r:id="rId757" ref="M437"/>
    <hyperlink r:id="rId758" location="gid=0" ref="R437"/>
    <hyperlink r:id="rId759" ref="M438"/>
    <hyperlink r:id="rId760" location="gid=0" ref="R438"/>
    <hyperlink r:id="rId761" ref="Y438"/>
    <hyperlink r:id="rId762" ref="M439"/>
    <hyperlink r:id="rId763" location="gid=0" ref="R439"/>
    <hyperlink r:id="rId764" ref="Y439"/>
    <hyperlink r:id="rId765" ref="M440"/>
    <hyperlink r:id="rId766" location="gid=0" ref="R440"/>
    <hyperlink r:id="rId767" ref="M441"/>
    <hyperlink r:id="rId768" location="gid=0" ref="R441"/>
    <hyperlink r:id="rId769" ref="M442"/>
    <hyperlink r:id="rId770" location="gid=0" ref="R442"/>
    <hyperlink r:id="rId771" ref="Y442"/>
    <hyperlink r:id="rId772" ref="M443"/>
    <hyperlink r:id="rId773" location="gid=0" ref="R443"/>
    <hyperlink r:id="rId774" ref="Y443"/>
    <hyperlink r:id="rId775" ref="M444"/>
    <hyperlink r:id="rId776" location="gid=0" ref="R444"/>
    <hyperlink r:id="rId777" ref="M445"/>
    <hyperlink r:id="rId778" location="gid=0" ref="R445"/>
    <hyperlink r:id="rId779" ref="M446"/>
    <hyperlink r:id="rId780" location="gid=0" ref="R446"/>
    <hyperlink r:id="rId781" ref="Y446"/>
    <hyperlink r:id="rId782" ref="M447"/>
    <hyperlink r:id="rId783" location="gid=0" ref="R447"/>
    <hyperlink r:id="rId784" ref="Y447"/>
    <hyperlink r:id="rId785" ref="M448"/>
    <hyperlink r:id="rId786" location="gid=0" ref="R448"/>
    <hyperlink r:id="rId787" ref="M449"/>
    <hyperlink r:id="rId788" location="gid=0" ref="R449"/>
    <hyperlink r:id="rId789" ref="M450"/>
    <hyperlink r:id="rId790" location="gid=0" ref="R450"/>
    <hyperlink r:id="rId791" ref="Q451"/>
    <hyperlink r:id="rId792" ref="Y451"/>
    <hyperlink r:id="rId793" ref="Q452"/>
    <hyperlink r:id="rId794" ref="Y452"/>
    <hyperlink r:id="rId795" ref="Q453"/>
    <hyperlink r:id="rId796" ref="Y453"/>
    <hyperlink r:id="rId797" ref="M454"/>
    <hyperlink r:id="rId798" location="gid=0" ref="R454"/>
    <hyperlink r:id="rId799" ref="Y454"/>
    <hyperlink r:id="rId800" ref="M455"/>
    <hyperlink r:id="rId801" location="gid=0" ref="R455"/>
    <hyperlink r:id="rId802" ref="Y455"/>
    <hyperlink r:id="rId803" ref="M456"/>
    <hyperlink r:id="rId804" location="gid=0" ref="R456"/>
    <hyperlink r:id="rId805" ref="Y456"/>
    <hyperlink r:id="rId806" ref="M457"/>
    <hyperlink r:id="rId807" location="gid=0" ref="R457"/>
    <hyperlink r:id="rId808" ref="Y457"/>
    <hyperlink r:id="rId809" ref="M458"/>
    <hyperlink r:id="rId810" location="gid=0" ref="R458"/>
    <hyperlink r:id="rId811" ref="Q459"/>
    <hyperlink r:id="rId812" ref="Y459"/>
    <hyperlink r:id="rId813" ref="Q460"/>
    <hyperlink r:id="rId814" ref="Y460"/>
    <hyperlink r:id="rId815" ref="Q461"/>
    <hyperlink r:id="rId816" ref="Y461"/>
    <hyperlink r:id="rId817" ref="Q462"/>
    <hyperlink r:id="rId818" ref="Y462"/>
    <hyperlink r:id="rId819" ref="M463"/>
    <hyperlink r:id="rId820" location="gid=0" ref="R463"/>
    <hyperlink r:id="rId821" ref="Y464"/>
    <hyperlink r:id="rId822" ref="Y465"/>
    <hyperlink r:id="rId823" ref="Y466"/>
    <hyperlink r:id="rId824" ref="M467"/>
    <hyperlink r:id="rId825" location="gid=0" ref="R467"/>
    <hyperlink r:id="rId826" ref="Q468"/>
    <hyperlink r:id="rId827" ref="Q469"/>
    <hyperlink r:id="rId828" ref="M470"/>
    <hyperlink r:id="rId829" location="gid=0" ref="R470"/>
    <hyperlink r:id="rId830" ref="Y470"/>
    <hyperlink r:id="rId831" ref="M471"/>
    <hyperlink r:id="rId832" location="gid=0" ref="R471"/>
    <hyperlink r:id="rId833" ref="Y471"/>
    <hyperlink r:id="rId834" ref="M472"/>
    <hyperlink r:id="rId835" location="gid=0" ref="R472"/>
    <hyperlink r:id="rId836" ref="Y472"/>
    <hyperlink r:id="rId837" ref="M473"/>
    <hyperlink r:id="rId838" location="gid=0" ref="R473"/>
    <hyperlink r:id="rId839" ref="Y474"/>
    <hyperlink r:id="rId840" ref="Y475"/>
    <hyperlink r:id="rId841" ref="M476"/>
    <hyperlink r:id="rId842" location="gid=0" ref="R476"/>
    <hyperlink r:id="rId843" ref="M477"/>
    <hyperlink r:id="rId844" location="gid=0" ref="R477"/>
    <hyperlink r:id="rId845" ref="Q478"/>
    <hyperlink r:id="rId846" ref="Y478"/>
    <hyperlink r:id="rId847" ref="Q479"/>
    <hyperlink r:id="rId848" location="attr=39387,39388,39389,39390,39391,39392,39393,34301" ref="Y479"/>
    <hyperlink r:id="rId849" ref="Q480"/>
    <hyperlink r:id="rId850" ref="Y480"/>
    <hyperlink r:id="rId851" ref="Q481"/>
    <hyperlink r:id="rId852" ref="Y481"/>
    <hyperlink r:id="rId853" ref="Q482"/>
    <hyperlink r:id="rId854" ref="Y482"/>
    <hyperlink r:id="rId855" location="polycard_client=search-nordic&amp;search_layout=stack&amp;position=3&amp;type=product&amp;tracking_id=b1802f06-a2f8-4b7e-9374-4e08f2915e11&amp;wid=MPE696883856&amp;sid=search" ref="Q483"/>
    <hyperlink r:id="rId856" ref="Y483"/>
    <hyperlink r:id="rId857" ref="M484"/>
    <hyperlink r:id="rId858" location="gid=0" ref="R484"/>
    <hyperlink r:id="rId859" ref="Y484"/>
    <hyperlink r:id="rId860" ref="M485"/>
    <hyperlink r:id="rId861" location="gid=0" ref="R485"/>
    <hyperlink r:id="rId862" ref="Q486"/>
    <hyperlink r:id="rId863" ref="Y486"/>
    <hyperlink r:id="rId864" ref="Q487"/>
    <hyperlink r:id="rId865" ref="Y487"/>
    <hyperlink r:id="rId866" ref="Q488"/>
    <hyperlink r:id="rId867" ref="T488"/>
    <hyperlink r:id="rId868" ref="Y488"/>
    <hyperlink r:id="rId869" ref="Q489"/>
    <hyperlink r:id="rId870" ref="Y489"/>
    <hyperlink r:id="rId871" ref="Q490"/>
    <hyperlink r:id="rId872" ref="Y490"/>
    <hyperlink r:id="rId873" ref="M491"/>
    <hyperlink r:id="rId874" location="gid=0" ref="R491"/>
    <hyperlink r:id="rId875" ref="M492"/>
    <hyperlink r:id="rId876" location="gid=0" ref="R492"/>
    <hyperlink r:id="rId877" ref="M493"/>
    <hyperlink r:id="rId878" location="gid=0" ref="R493"/>
    <hyperlink r:id="rId879" ref="M497"/>
    <hyperlink r:id="rId880" location="gid=0" ref="R497"/>
    <hyperlink r:id="rId881" ref="Q498"/>
    <hyperlink r:id="rId882" ref="Y498"/>
    <hyperlink r:id="rId883" ref="M499"/>
    <hyperlink r:id="rId884" location="gid=0" ref="R499"/>
    <hyperlink r:id="rId885" ref="M500"/>
    <hyperlink r:id="rId886" location="gid=0" ref="R500"/>
    <hyperlink r:id="rId887" ref="M501"/>
    <hyperlink r:id="rId888" location="gid=0" ref="R501"/>
    <hyperlink r:id="rId889" ref="Y501"/>
    <hyperlink r:id="rId890" ref="M502"/>
    <hyperlink r:id="rId891" location="gid=0" ref="R502"/>
    <hyperlink r:id="rId892" ref="Q503"/>
    <hyperlink r:id="rId893" ref="Q504"/>
    <hyperlink r:id="rId894" ref="Q505"/>
    <hyperlink r:id="rId895" ref="M506"/>
    <hyperlink r:id="rId896" location="gid=0" ref="R506"/>
    <hyperlink r:id="rId897" ref="M507"/>
    <hyperlink r:id="rId898" ref="Q507"/>
    <hyperlink r:id="rId899" location="gid=0" ref="R507"/>
    <hyperlink r:id="rId900" ref="Y507"/>
    <hyperlink r:id="rId901" ref="M508"/>
    <hyperlink r:id="rId902" location="gid=0" ref="R508"/>
    <hyperlink r:id="rId903" ref="Y508"/>
    <hyperlink r:id="rId904" ref="M509"/>
    <hyperlink r:id="rId905" location="gid=0" ref="R509"/>
    <hyperlink r:id="rId906" ref="Y509"/>
    <hyperlink r:id="rId907" ref="M510"/>
    <hyperlink r:id="rId908" location="gid=0" ref="R510"/>
    <hyperlink r:id="rId909" ref="M511"/>
    <hyperlink r:id="rId910" ref="M512"/>
    <hyperlink r:id="rId911" ref="M513"/>
    <hyperlink r:id="rId912" ref="M514"/>
    <hyperlink r:id="rId913" location="gid=0" ref="R514"/>
    <hyperlink r:id="rId914" ref="M515"/>
    <hyperlink r:id="rId915" location="gid=0" ref="R515"/>
    <hyperlink r:id="rId916" ref="M516"/>
    <hyperlink r:id="rId917" location="gid=0" ref="R516"/>
    <hyperlink r:id="rId918" ref="M517"/>
    <hyperlink r:id="rId919" location="gid=0" ref="R517"/>
    <hyperlink r:id="rId920" ref="M518"/>
    <hyperlink r:id="rId921" location="gid=0" ref="R518"/>
    <hyperlink r:id="rId922" ref="M519"/>
    <hyperlink r:id="rId923" location="gid=0" ref="R519"/>
    <hyperlink r:id="rId924" ref="M520"/>
    <hyperlink r:id="rId925" location="gid=0" ref="R520"/>
    <hyperlink r:id="rId926" ref="Y520"/>
    <hyperlink r:id="rId927" ref="M521"/>
    <hyperlink r:id="rId928" location="gid=0" ref="R521"/>
    <hyperlink r:id="rId929" ref="M522"/>
    <hyperlink r:id="rId930" location="gid=0" ref="R522"/>
    <hyperlink r:id="rId931" ref="M523"/>
    <hyperlink r:id="rId932" location="gid=0" ref="R523"/>
    <hyperlink r:id="rId933" ref="Y523"/>
    <hyperlink r:id="rId934" ref="M524"/>
    <hyperlink r:id="rId935" location="gid=0" ref="R524"/>
    <hyperlink r:id="rId936" ref="M525"/>
    <hyperlink r:id="rId937" location="gid=0" ref="R525"/>
    <hyperlink r:id="rId938" ref="M526"/>
    <hyperlink r:id="rId939" location="gid=0" ref="R526"/>
    <hyperlink r:id="rId940" ref="Q527"/>
    <hyperlink r:id="rId941" ref="Y527"/>
    <hyperlink r:id="rId942" ref="Q528"/>
    <hyperlink r:id="rId943" ref="Y528"/>
    <hyperlink r:id="rId944" ref="Q529"/>
    <hyperlink r:id="rId945" ref="Y529"/>
    <hyperlink r:id="rId946" ref="Q530"/>
    <hyperlink r:id="rId947" ref="Y530"/>
    <hyperlink r:id="rId948" ref="Q531"/>
    <hyperlink r:id="rId949" ref="Y531"/>
    <hyperlink r:id="rId950" ref="M532"/>
    <hyperlink r:id="rId951" location="gid=0" ref="R532"/>
    <hyperlink r:id="rId952" ref="Y532"/>
    <hyperlink r:id="rId953" ref="M533"/>
    <hyperlink r:id="rId954" location="gid=0" ref="R533"/>
    <hyperlink r:id="rId955" ref="M535"/>
    <hyperlink r:id="rId956" location="gid=0" ref="R535"/>
    <hyperlink r:id="rId957" ref="M536"/>
    <hyperlink r:id="rId958" location="gid=0" ref="R536"/>
    <hyperlink r:id="rId959" ref="M537"/>
    <hyperlink r:id="rId960" location="gid=0" ref="R537"/>
    <hyperlink r:id="rId961" ref="M538"/>
    <hyperlink r:id="rId962" location="gid=0" ref="R538"/>
    <hyperlink r:id="rId963" ref="M539"/>
    <hyperlink r:id="rId964" location="gid=0" ref="R539"/>
    <hyperlink r:id="rId965" ref="M541"/>
    <hyperlink r:id="rId966" location="gid=0" ref="R541"/>
    <hyperlink r:id="rId967" ref="M542"/>
    <hyperlink r:id="rId968" location="gid=0" ref="R542"/>
    <hyperlink r:id="rId969" ref="M543"/>
    <hyperlink r:id="rId970" location="gid=0" ref="R543"/>
    <hyperlink r:id="rId971" ref="M544"/>
    <hyperlink r:id="rId972" location="gid=0" ref="R544"/>
    <hyperlink r:id="rId973" ref="M545"/>
    <hyperlink r:id="rId974" location="gid=0" ref="R545"/>
    <hyperlink r:id="rId975" ref="M546"/>
    <hyperlink r:id="rId976" location="gid=0" ref="R546"/>
    <hyperlink r:id="rId977" ref="M547"/>
    <hyperlink r:id="rId978" location="gid=0" ref="R547"/>
    <hyperlink r:id="rId979" ref="M548"/>
    <hyperlink r:id="rId980" location="gid=0" ref="R548"/>
    <hyperlink r:id="rId981" ref="Q549"/>
    <hyperlink r:id="rId982" ref="Y549"/>
    <hyperlink r:id="rId983" ref="Q550"/>
    <hyperlink r:id="rId984" ref="Y550"/>
    <hyperlink r:id="rId985" ref="Q551"/>
    <hyperlink r:id="rId986" ref="Y551"/>
    <hyperlink r:id="rId987" ref="Q552"/>
    <hyperlink r:id="rId988" ref="Y552"/>
    <hyperlink r:id="rId989" ref="M553"/>
    <hyperlink r:id="rId990" location="gid=0" ref="R553"/>
    <hyperlink r:id="rId991" ref="M554"/>
    <hyperlink r:id="rId992" location="gid=0" ref="R554"/>
    <hyperlink r:id="rId993" ref="Y554"/>
    <hyperlink r:id="rId994" ref="M555"/>
    <hyperlink r:id="rId995" location="gid=0" ref="R555"/>
    <hyperlink r:id="rId996" ref="Y556"/>
  </hyperlinks>
  <drawing r:id="rId997"/>
  <legacyDrawing r:id="rId99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9BCB8"/>
    <outlinePr summaryBelow="0" summaryRight="0"/>
  </sheetPr>
  <sheetViews>
    <sheetView showGridLines="0" workbookViewId="0">
      <pane xSplit="9.0" ySplit="4.0" topLeftCell="J5" activePane="bottomRight" state="frozen"/>
      <selection activeCell="J1" sqref="J1" pane="topRight"/>
      <selection activeCell="A5" sqref="A5" pane="bottomLeft"/>
      <selection activeCell="J5" sqref="J5" pane="bottomRight"/>
    </sheetView>
  </sheetViews>
  <sheetFormatPr customHeight="1" defaultColWidth="12.63" defaultRowHeight="15.75" outlineLevelCol="1"/>
  <cols>
    <col customWidth="1" min="1" max="1" width="3.88"/>
    <col customWidth="1" hidden="1" min="2" max="2" width="10.13"/>
    <col customWidth="1" min="3" max="3" width="10.13"/>
    <col customWidth="1" min="4" max="7" width="12.63"/>
    <col customWidth="1" min="8" max="8" width="37.63"/>
    <col customWidth="1" min="9" max="10" width="9.5"/>
    <col collapsed="1" customWidth="1" min="11" max="11" width="9.5"/>
    <col customWidth="1" hidden="1" min="12" max="12" width="25.13" outlineLevel="1"/>
    <col customWidth="1" hidden="1" min="13" max="13" width="18.88" outlineLevel="1"/>
    <col customWidth="1" hidden="1" min="14" max="15" width="15.38" outlineLevel="1"/>
    <col customWidth="1" hidden="1" min="16" max="16" width="21.63" outlineLevel="1"/>
    <col customWidth="1" min="17" max="17" width="18.88"/>
    <col customWidth="1" min="18" max="18" width="15.0"/>
    <col customWidth="1" min="21" max="21" width="23.25"/>
    <col customWidth="1" min="22" max="24" width="15.13"/>
    <col customWidth="1" min="25" max="25" width="31.38"/>
    <col customWidth="1" min="26" max="27" width="12.63"/>
    <col customWidth="1" min="28" max="28" width="22.75"/>
    <col customWidth="1" min="29" max="29" width="11.5"/>
    <col customWidth="1" min="30" max="31" width="12.63"/>
  </cols>
  <sheetData>
    <row r="1" hidden="1">
      <c r="A1" s="2"/>
      <c r="B1" s="2"/>
      <c r="C1" s="2"/>
      <c r="D1" s="2"/>
      <c r="E1" s="2"/>
      <c r="F1" s="2"/>
      <c r="G1" s="2"/>
      <c r="H1" s="3"/>
      <c r="I1" s="4"/>
      <c r="J1" s="4"/>
      <c r="K1" s="4"/>
      <c r="L1" s="5"/>
      <c r="M1" s="3"/>
      <c r="N1" s="6"/>
      <c r="O1" s="6"/>
      <c r="P1" s="7"/>
      <c r="Q1" s="3"/>
      <c r="R1" s="8"/>
      <c r="S1" s="8"/>
      <c r="T1" s="8"/>
      <c r="U1" s="8"/>
      <c r="V1" s="3"/>
      <c r="W1" s="3"/>
      <c r="X1" s="3"/>
      <c r="Y1" s="3"/>
      <c r="Z1" s="3"/>
      <c r="AA1" s="3"/>
      <c r="AB1" s="11"/>
      <c r="AC1" s="11"/>
      <c r="AD1" s="11"/>
      <c r="AE1" s="11"/>
    </row>
    <row r="2" hidden="1">
      <c r="A2" s="2"/>
      <c r="B2" s="12" t="s">
        <v>3506</v>
      </c>
      <c r="H2" s="3"/>
      <c r="I2" s="4"/>
      <c r="J2" s="4"/>
      <c r="K2" s="4"/>
      <c r="L2" s="12"/>
      <c r="M2" s="3"/>
      <c r="N2" s="3"/>
      <c r="Q2" s="3"/>
      <c r="R2" s="8" t="s">
        <v>2</v>
      </c>
      <c r="V2" s="13"/>
      <c r="W2" s="13"/>
      <c r="X2" s="13"/>
      <c r="Y2" s="13"/>
      <c r="Z2" s="71"/>
      <c r="AA2" s="71"/>
      <c r="AB2" s="11"/>
      <c r="AC2" s="11"/>
      <c r="AD2" s="11"/>
      <c r="AE2" s="11"/>
    </row>
    <row r="3">
      <c r="A3" s="1" t="s">
        <v>3507</v>
      </c>
      <c r="B3" s="2"/>
      <c r="C3" s="2"/>
      <c r="D3" s="2"/>
      <c r="E3" s="2"/>
      <c r="F3" s="2"/>
      <c r="G3" s="2"/>
      <c r="H3" s="13"/>
      <c r="I3" s="4">
        <v>5188.0</v>
      </c>
      <c r="J3" s="4"/>
      <c r="K3" s="4"/>
      <c r="L3" s="5"/>
      <c r="M3" s="3"/>
      <c r="N3" s="14" t="s">
        <v>3</v>
      </c>
      <c r="O3" s="15"/>
      <c r="P3" s="16"/>
      <c r="Q3" s="3"/>
      <c r="R3" s="17" t="s">
        <v>4</v>
      </c>
      <c r="S3" s="15"/>
      <c r="T3" s="15"/>
      <c r="U3" s="16"/>
      <c r="V3" s="18" t="s">
        <v>5</v>
      </c>
      <c r="W3" s="15"/>
      <c r="X3" s="15"/>
      <c r="Y3" s="16"/>
      <c r="Z3" s="3"/>
      <c r="AA3" s="3"/>
      <c r="AB3" s="11"/>
      <c r="AC3" s="11"/>
      <c r="AD3" s="11"/>
      <c r="AE3" s="11"/>
    </row>
    <row r="4">
      <c r="A4" s="20" t="s">
        <v>6</v>
      </c>
      <c r="B4" s="20" t="s">
        <v>7</v>
      </c>
      <c r="C4" s="20" t="s">
        <v>8</v>
      </c>
      <c r="D4" s="20" t="s">
        <v>9</v>
      </c>
      <c r="E4" s="20" t="s">
        <v>10</v>
      </c>
      <c r="F4" s="20" t="s">
        <v>11</v>
      </c>
      <c r="G4" s="20" t="s">
        <v>12</v>
      </c>
      <c r="H4" s="20" t="s">
        <v>13</v>
      </c>
      <c r="I4" s="20" t="s">
        <v>14</v>
      </c>
      <c r="J4" s="20" t="s">
        <v>15</v>
      </c>
      <c r="K4" s="20" t="s">
        <v>16</v>
      </c>
      <c r="L4" s="20" t="s">
        <v>17</v>
      </c>
      <c r="M4" s="20" t="s">
        <v>18</v>
      </c>
      <c r="N4" s="21" t="s">
        <v>20</v>
      </c>
      <c r="O4" s="21" t="s">
        <v>21</v>
      </c>
      <c r="P4" s="21" t="s">
        <v>22</v>
      </c>
      <c r="Q4" s="20" t="s">
        <v>23</v>
      </c>
      <c r="R4" s="22" t="s">
        <v>24</v>
      </c>
      <c r="S4" s="22" t="s">
        <v>20</v>
      </c>
      <c r="T4" s="22" t="s">
        <v>21</v>
      </c>
      <c r="U4" s="23" t="s">
        <v>25</v>
      </c>
      <c r="V4" s="24" t="s">
        <v>26</v>
      </c>
      <c r="W4" s="24" t="s">
        <v>27</v>
      </c>
      <c r="X4" s="24" t="s">
        <v>28</v>
      </c>
      <c r="Y4" s="24" t="s">
        <v>3508</v>
      </c>
      <c r="Z4" s="25" t="s">
        <v>30</v>
      </c>
      <c r="AA4" s="25" t="s">
        <v>31</v>
      </c>
      <c r="AB4" s="25" t="s">
        <v>32</v>
      </c>
      <c r="AC4" s="25" t="s">
        <v>33</v>
      </c>
      <c r="AD4" s="8" t="s">
        <v>34</v>
      </c>
      <c r="AE4" s="8"/>
    </row>
    <row r="5">
      <c r="A5" s="26">
        <v>1.0</v>
      </c>
      <c r="B5" s="26" t="b">
        <v>1</v>
      </c>
      <c r="C5" s="26" t="b">
        <v>1</v>
      </c>
      <c r="D5" s="26" t="s">
        <v>35</v>
      </c>
      <c r="E5" s="26" t="s">
        <v>3509</v>
      </c>
      <c r="F5" s="27" t="s">
        <v>3510</v>
      </c>
      <c r="G5" s="59" t="s">
        <v>3511</v>
      </c>
      <c r="H5" s="119" t="s">
        <v>3512</v>
      </c>
      <c r="I5" s="26">
        <v>61.0</v>
      </c>
      <c r="J5" s="26">
        <v>61.0</v>
      </c>
      <c r="K5" s="26" t="s">
        <v>3513</v>
      </c>
      <c r="L5" s="173" t="s">
        <v>3514</v>
      </c>
      <c r="M5" s="174" t="s">
        <v>78</v>
      </c>
      <c r="N5" s="32" t="s">
        <v>3515</v>
      </c>
      <c r="O5" s="32" t="s">
        <v>3516</v>
      </c>
      <c r="P5" s="32" t="s">
        <v>3517</v>
      </c>
      <c r="Q5" s="174" t="s">
        <v>3518</v>
      </c>
      <c r="R5" s="34" t="b">
        <v>1</v>
      </c>
      <c r="S5" s="39" t="s">
        <v>3519</v>
      </c>
      <c r="T5" s="39" t="s">
        <v>3520</v>
      </c>
      <c r="U5" s="35" t="s">
        <v>3521</v>
      </c>
      <c r="V5" s="37" t="s">
        <v>3522</v>
      </c>
      <c r="W5" s="37" t="s">
        <v>3523</v>
      </c>
      <c r="X5" s="175" t="s">
        <v>3524</v>
      </c>
      <c r="Y5" s="72" t="s">
        <v>3512</v>
      </c>
      <c r="Z5" s="37" t="s">
        <v>3525</v>
      </c>
      <c r="AA5" s="37" t="s">
        <v>3526</v>
      </c>
      <c r="AB5" s="37"/>
      <c r="AC5" s="37"/>
      <c r="AD5" s="8" t="s">
        <v>52</v>
      </c>
      <c r="AE5" s="142"/>
    </row>
    <row r="6">
      <c r="A6" s="26"/>
      <c r="B6" s="26"/>
      <c r="C6" s="26" t="b">
        <v>1</v>
      </c>
      <c r="D6" s="26" t="s">
        <v>42</v>
      </c>
      <c r="E6" s="26" t="s">
        <v>3509</v>
      </c>
      <c r="F6" s="39" t="s">
        <v>3510</v>
      </c>
      <c r="G6" s="39" t="s">
        <v>3527</v>
      </c>
      <c r="H6" s="66" t="s">
        <v>3528</v>
      </c>
      <c r="I6" s="26">
        <v>61.0</v>
      </c>
      <c r="J6" s="26">
        <v>61.0</v>
      </c>
      <c r="K6" s="26" t="s">
        <v>3513</v>
      </c>
      <c r="L6" s="26"/>
      <c r="M6" s="41"/>
      <c r="N6" s="26" t="s">
        <v>3529</v>
      </c>
      <c r="O6" s="61"/>
      <c r="P6" s="61"/>
      <c r="Q6" s="54"/>
      <c r="R6" s="34" t="b">
        <v>1</v>
      </c>
      <c r="S6" s="39" t="s">
        <v>3530</v>
      </c>
      <c r="T6" s="26" t="s">
        <v>3529</v>
      </c>
      <c r="U6" s="35"/>
      <c r="V6" s="37" t="s">
        <v>3522</v>
      </c>
      <c r="W6" s="37" t="s">
        <v>3523</v>
      </c>
      <c r="X6" s="175" t="s">
        <v>3524</v>
      </c>
      <c r="Y6" s="72" t="s">
        <v>3531</v>
      </c>
      <c r="Z6" s="37" t="s">
        <v>3525</v>
      </c>
      <c r="AA6" s="37" t="s">
        <v>3526</v>
      </c>
      <c r="AB6" s="37"/>
      <c r="AC6" s="37"/>
      <c r="AD6" s="142"/>
      <c r="AE6" s="142"/>
    </row>
    <row r="7">
      <c r="A7" s="26"/>
      <c r="B7" s="26"/>
      <c r="C7" s="26" t="b">
        <v>1</v>
      </c>
      <c r="D7" s="26" t="s">
        <v>42</v>
      </c>
      <c r="E7" s="26" t="s">
        <v>3509</v>
      </c>
      <c r="F7" s="39" t="s">
        <v>3510</v>
      </c>
      <c r="G7" s="39" t="s">
        <v>3532</v>
      </c>
      <c r="H7" s="66" t="s">
        <v>3533</v>
      </c>
      <c r="I7" s="26">
        <v>61.0</v>
      </c>
      <c r="J7" s="26">
        <v>61.0</v>
      </c>
      <c r="K7" s="26" t="s">
        <v>3513</v>
      </c>
      <c r="L7" s="26"/>
      <c r="M7" s="41"/>
      <c r="N7" s="26" t="s">
        <v>3534</v>
      </c>
      <c r="O7" s="61"/>
      <c r="P7" s="61"/>
      <c r="Q7" s="54"/>
      <c r="R7" s="34" t="b">
        <v>1</v>
      </c>
      <c r="S7" s="39" t="s">
        <v>3530</v>
      </c>
      <c r="T7" s="26" t="s">
        <v>3534</v>
      </c>
      <c r="U7" s="35"/>
      <c r="V7" s="37" t="s">
        <v>3522</v>
      </c>
      <c r="W7" s="37" t="s">
        <v>3523</v>
      </c>
      <c r="X7" s="175" t="s">
        <v>3524</v>
      </c>
      <c r="Y7" s="72" t="s">
        <v>3535</v>
      </c>
      <c r="Z7" s="37" t="s">
        <v>3525</v>
      </c>
      <c r="AA7" s="37" t="s">
        <v>3526</v>
      </c>
      <c r="AB7" s="37"/>
      <c r="AC7" s="37"/>
      <c r="AD7" s="142"/>
      <c r="AE7" s="142"/>
    </row>
    <row r="8">
      <c r="A8" s="26"/>
      <c r="B8" s="26"/>
      <c r="C8" s="26" t="b">
        <v>1</v>
      </c>
      <c r="D8" s="26" t="s">
        <v>42</v>
      </c>
      <c r="E8" s="26" t="s">
        <v>3509</v>
      </c>
      <c r="F8" s="39" t="s">
        <v>3510</v>
      </c>
      <c r="G8" s="39" t="s">
        <v>3536</v>
      </c>
      <c r="H8" s="82" t="s">
        <v>3537</v>
      </c>
      <c r="I8" s="26">
        <v>61.0</v>
      </c>
      <c r="J8" s="26">
        <v>61.0</v>
      </c>
      <c r="K8" s="26" t="s">
        <v>3513</v>
      </c>
      <c r="L8" s="26"/>
      <c r="M8" s="41"/>
      <c r="N8" s="61" t="s">
        <v>3538</v>
      </c>
      <c r="O8" s="61" t="s">
        <v>3539</v>
      </c>
      <c r="P8" s="130" t="s">
        <v>3540</v>
      </c>
      <c r="Q8" s="54"/>
      <c r="R8" s="34" t="b">
        <v>1</v>
      </c>
      <c r="S8" s="39"/>
      <c r="T8" s="39"/>
      <c r="U8" s="35"/>
      <c r="V8" s="37" t="s">
        <v>3541</v>
      </c>
      <c r="W8" s="37" t="s">
        <v>2300</v>
      </c>
      <c r="X8" s="175" t="s">
        <v>3542</v>
      </c>
      <c r="Y8" s="72" t="s">
        <v>3537</v>
      </c>
      <c r="Z8" s="37" t="s">
        <v>3525</v>
      </c>
      <c r="AA8" s="37" t="s">
        <v>3526</v>
      </c>
      <c r="AB8" s="37"/>
      <c r="AC8" s="37"/>
      <c r="AD8" s="142"/>
      <c r="AE8" s="142"/>
    </row>
    <row r="9" ht="12.75" customHeight="1">
      <c r="A9" s="26">
        <v>2.0</v>
      </c>
      <c r="B9" s="26" t="b">
        <v>1</v>
      </c>
      <c r="C9" s="26" t="b">
        <v>1</v>
      </c>
      <c r="D9" s="26" t="s">
        <v>35</v>
      </c>
      <c r="E9" s="26" t="s">
        <v>3509</v>
      </c>
      <c r="F9" s="37" t="s">
        <v>3510</v>
      </c>
      <c r="G9" s="39" t="s">
        <v>3543</v>
      </c>
      <c r="H9" s="82" t="s">
        <v>3512</v>
      </c>
      <c r="I9" s="26">
        <v>24.0</v>
      </c>
      <c r="J9" s="26">
        <v>24.0</v>
      </c>
      <c r="K9" s="26" t="s">
        <v>3513</v>
      </c>
      <c r="L9" s="173" t="s">
        <v>3544</v>
      </c>
      <c r="M9" s="176" t="s">
        <v>181</v>
      </c>
      <c r="N9" s="32" t="s">
        <v>3515</v>
      </c>
      <c r="O9" s="32" t="s">
        <v>3516</v>
      </c>
      <c r="P9" s="32" t="s">
        <v>3517</v>
      </c>
      <c r="Q9" s="177" t="s">
        <v>3545</v>
      </c>
      <c r="R9" s="34" t="b">
        <v>1</v>
      </c>
      <c r="S9" s="39" t="s">
        <v>3519</v>
      </c>
      <c r="T9" s="39" t="s">
        <v>3520</v>
      </c>
      <c r="U9" s="35" t="s">
        <v>3521</v>
      </c>
      <c r="V9" s="37" t="s">
        <v>3522</v>
      </c>
      <c r="W9" s="37" t="s">
        <v>3523</v>
      </c>
      <c r="X9" s="175" t="s">
        <v>3524</v>
      </c>
      <c r="Y9" s="72" t="s">
        <v>3512</v>
      </c>
      <c r="Z9" s="37" t="s">
        <v>3525</v>
      </c>
      <c r="AA9" s="37" t="s">
        <v>3526</v>
      </c>
      <c r="AB9" s="37"/>
      <c r="AC9" s="37"/>
      <c r="AD9" s="8" t="s">
        <v>52</v>
      </c>
      <c r="AE9" s="142"/>
    </row>
    <row r="10">
      <c r="A10" s="26"/>
      <c r="B10" s="26"/>
      <c r="C10" s="26" t="b">
        <v>1</v>
      </c>
      <c r="D10" s="26" t="s">
        <v>42</v>
      </c>
      <c r="E10" s="26" t="s">
        <v>3509</v>
      </c>
      <c r="F10" s="39" t="s">
        <v>3510</v>
      </c>
      <c r="G10" s="39" t="s">
        <v>3546</v>
      </c>
      <c r="H10" s="66" t="s">
        <v>3528</v>
      </c>
      <c r="I10" s="26">
        <v>24.0</v>
      </c>
      <c r="J10" s="26">
        <v>24.0</v>
      </c>
      <c r="K10" s="26" t="s">
        <v>3513</v>
      </c>
      <c r="L10" s="26"/>
      <c r="M10" s="41"/>
      <c r="N10" s="26" t="s">
        <v>3529</v>
      </c>
      <c r="O10" s="61"/>
      <c r="P10" s="61"/>
      <c r="Q10" s="54"/>
      <c r="R10" s="34" t="b">
        <v>1</v>
      </c>
      <c r="S10" s="39" t="s">
        <v>3530</v>
      </c>
      <c r="T10" s="26" t="s">
        <v>3529</v>
      </c>
      <c r="U10" s="35"/>
      <c r="V10" s="37" t="s">
        <v>3522</v>
      </c>
      <c r="W10" s="37" t="s">
        <v>3523</v>
      </c>
      <c r="X10" s="175" t="s">
        <v>3524</v>
      </c>
      <c r="Y10" s="72" t="s">
        <v>3531</v>
      </c>
      <c r="Z10" s="37" t="s">
        <v>3525</v>
      </c>
      <c r="AA10" s="37" t="s">
        <v>3526</v>
      </c>
      <c r="AB10" s="37"/>
      <c r="AC10" s="37"/>
      <c r="AD10" s="142"/>
      <c r="AE10" s="142"/>
    </row>
    <row r="11">
      <c r="A11" s="26"/>
      <c r="B11" s="26"/>
      <c r="C11" s="26" t="b">
        <v>1</v>
      </c>
      <c r="D11" s="26" t="s">
        <v>42</v>
      </c>
      <c r="E11" s="26" t="s">
        <v>3509</v>
      </c>
      <c r="F11" s="39" t="s">
        <v>3510</v>
      </c>
      <c r="G11" s="39" t="s">
        <v>3547</v>
      </c>
      <c r="H11" s="66" t="s">
        <v>3533</v>
      </c>
      <c r="I11" s="26">
        <v>24.0</v>
      </c>
      <c r="J11" s="26">
        <v>24.0</v>
      </c>
      <c r="K11" s="26" t="s">
        <v>3513</v>
      </c>
      <c r="L11" s="26"/>
      <c r="M11" s="41"/>
      <c r="N11" s="26" t="s">
        <v>3534</v>
      </c>
      <c r="O11" s="61"/>
      <c r="P11" s="61"/>
      <c r="Q11" s="54"/>
      <c r="R11" s="34" t="b">
        <v>1</v>
      </c>
      <c r="S11" s="39" t="s">
        <v>3530</v>
      </c>
      <c r="T11" s="26" t="s">
        <v>3534</v>
      </c>
      <c r="U11" s="35"/>
      <c r="V11" s="37" t="s">
        <v>3522</v>
      </c>
      <c r="W11" s="37" t="s">
        <v>3523</v>
      </c>
      <c r="X11" s="175" t="s">
        <v>3524</v>
      </c>
      <c r="Y11" s="72" t="s">
        <v>3535</v>
      </c>
      <c r="Z11" s="37" t="s">
        <v>3525</v>
      </c>
      <c r="AA11" s="37" t="s">
        <v>3526</v>
      </c>
      <c r="AB11" s="37"/>
      <c r="AC11" s="37"/>
      <c r="AD11" s="142"/>
      <c r="AE11" s="142"/>
    </row>
    <row r="12">
      <c r="A12" s="26"/>
      <c r="B12" s="26"/>
      <c r="C12" s="26" t="b">
        <v>1</v>
      </c>
      <c r="D12" s="26" t="s">
        <v>42</v>
      </c>
      <c r="E12" s="26" t="s">
        <v>3509</v>
      </c>
      <c r="F12" s="39" t="s">
        <v>3510</v>
      </c>
      <c r="G12" s="39" t="s">
        <v>3548</v>
      </c>
      <c r="H12" s="82" t="s">
        <v>3537</v>
      </c>
      <c r="I12" s="26">
        <v>24.0</v>
      </c>
      <c r="J12" s="26">
        <v>24.0</v>
      </c>
      <c r="K12" s="26" t="s">
        <v>3513</v>
      </c>
      <c r="L12" s="26"/>
      <c r="M12" s="41"/>
      <c r="N12" s="61" t="s">
        <v>3538</v>
      </c>
      <c r="O12" s="61" t="s">
        <v>3539</v>
      </c>
      <c r="P12" s="130" t="s">
        <v>3540</v>
      </c>
      <c r="Q12" s="54"/>
      <c r="R12" s="44" t="b">
        <v>0</v>
      </c>
      <c r="S12" s="39"/>
      <c r="T12" s="39"/>
      <c r="U12" s="35"/>
      <c r="V12" s="37" t="s">
        <v>3522</v>
      </c>
      <c r="W12" s="37" t="s">
        <v>2300</v>
      </c>
      <c r="X12" s="175" t="s">
        <v>3542</v>
      </c>
      <c r="Y12" s="72" t="s">
        <v>3537</v>
      </c>
      <c r="Z12" s="37" t="s">
        <v>3525</v>
      </c>
      <c r="AA12" s="37" t="s">
        <v>3526</v>
      </c>
      <c r="AB12" s="37"/>
      <c r="AC12" s="37"/>
      <c r="AD12" s="142"/>
      <c r="AE12" s="142"/>
    </row>
    <row r="13">
      <c r="A13" s="26">
        <v>3.0</v>
      </c>
      <c r="B13" s="26" t="b">
        <v>1</v>
      </c>
      <c r="C13" s="26" t="b">
        <v>1</v>
      </c>
      <c r="D13" s="26" t="s">
        <v>35</v>
      </c>
      <c r="E13" s="26" t="s">
        <v>3509</v>
      </c>
      <c r="F13" s="37" t="s">
        <v>3549</v>
      </c>
      <c r="G13" s="37" t="s">
        <v>3549</v>
      </c>
      <c r="H13" s="82" t="s">
        <v>3550</v>
      </c>
      <c r="I13" s="26">
        <v>97.0</v>
      </c>
      <c r="J13" s="26">
        <v>97.0</v>
      </c>
      <c r="K13" s="26" t="s">
        <v>3513</v>
      </c>
      <c r="L13" s="173" t="s">
        <v>3551</v>
      </c>
      <c r="M13" s="174" t="s">
        <v>340</v>
      </c>
      <c r="N13" s="32" t="s">
        <v>3519</v>
      </c>
      <c r="O13" s="32" t="s">
        <v>3552</v>
      </c>
      <c r="P13" s="32" t="s">
        <v>3553</v>
      </c>
      <c r="Q13" s="174" t="s">
        <v>3554</v>
      </c>
      <c r="R13" s="34" t="b">
        <v>1</v>
      </c>
      <c r="S13" s="37" t="s">
        <v>3519</v>
      </c>
      <c r="T13" s="37" t="s">
        <v>3552</v>
      </c>
      <c r="U13" s="36" t="s">
        <v>3555</v>
      </c>
      <c r="V13" s="37" t="s">
        <v>3522</v>
      </c>
      <c r="W13" s="37" t="s">
        <v>2300</v>
      </c>
      <c r="X13" s="175" t="s">
        <v>3556</v>
      </c>
      <c r="Y13" s="72" t="s">
        <v>3550</v>
      </c>
      <c r="Z13" s="37" t="s">
        <v>3525</v>
      </c>
      <c r="AA13" s="37" t="s">
        <v>3526</v>
      </c>
      <c r="AB13" s="39"/>
      <c r="AC13" s="39"/>
      <c r="AD13" s="8" t="s">
        <v>52</v>
      </c>
      <c r="AE13" s="142"/>
    </row>
    <row r="14">
      <c r="A14" s="26"/>
      <c r="B14" s="26"/>
      <c r="C14" s="26" t="b">
        <v>0</v>
      </c>
      <c r="D14" s="26" t="s">
        <v>42</v>
      </c>
      <c r="E14" s="26" t="s">
        <v>3509</v>
      </c>
      <c r="F14" s="39" t="s">
        <v>3549</v>
      </c>
      <c r="G14" s="39" t="s">
        <v>3557</v>
      </c>
      <c r="H14" s="66" t="s">
        <v>3558</v>
      </c>
      <c r="I14" s="26">
        <v>0.0</v>
      </c>
      <c r="J14" s="26" t="e">
        <v>#N/A</v>
      </c>
      <c r="K14" s="26" t="s">
        <v>3297</v>
      </c>
      <c r="L14" s="26"/>
      <c r="M14" s="41"/>
      <c r="N14" s="61" t="s">
        <v>3538</v>
      </c>
      <c r="O14" s="32" t="s">
        <v>3559</v>
      </c>
      <c r="P14" s="130" t="s">
        <v>3560</v>
      </c>
      <c r="Q14" s="54"/>
      <c r="R14" s="34" t="b">
        <v>1</v>
      </c>
      <c r="S14" s="39"/>
      <c r="T14" s="39"/>
      <c r="U14" s="35"/>
      <c r="V14" s="37" t="s">
        <v>3561</v>
      </c>
      <c r="W14" s="37" t="s">
        <v>3562</v>
      </c>
      <c r="X14" s="175" t="s">
        <v>3562</v>
      </c>
      <c r="Y14" s="72" t="s">
        <v>3562</v>
      </c>
      <c r="Z14" s="37" t="s">
        <v>3526</v>
      </c>
      <c r="AA14" s="37" t="s">
        <v>3526</v>
      </c>
      <c r="AB14" s="37"/>
      <c r="AC14" s="37"/>
      <c r="AD14" s="142"/>
      <c r="AE14" s="142"/>
    </row>
    <row r="15">
      <c r="A15" s="26"/>
      <c r="B15" s="26"/>
      <c r="C15" s="26" t="b">
        <v>1</v>
      </c>
      <c r="D15" s="26" t="s">
        <v>42</v>
      </c>
      <c r="E15" s="26" t="s">
        <v>3509</v>
      </c>
      <c r="F15" s="39" t="s">
        <v>3549</v>
      </c>
      <c r="G15" s="39" t="s">
        <v>3563</v>
      </c>
      <c r="H15" s="66" t="s">
        <v>3558</v>
      </c>
      <c r="I15" s="26">
        <v>97.0</v>
      </c>
      <c r="J15" s="26">
        <v>97.0</v>
      </c>
      <c r="K15" s="26" t="s">
        <v>3513</v>
      </c>
      <c r="L15" s="26"/>
      <c r="M15" s="41"/>
      <c r="N15" s="61"/>
      <c r="O15" s="32"/>
      <c r="P15" s="61"/>
      <c r="Q15" s="54"/>
      <c r="R15" s="34" t="b">
        <v>1</v>
      </c>
      <c r="S15" s="39"/>
      <c r="T15" s="39"/>
      <c r="U15" s="35"/>
      <c r="V15" s="37" t="s">
        <v>3541</v>
      </c>
      <c r="W15" s="37" t="s">
        <v>2300</v>
      </c>
      <c r="X15" s="175" t="s">
        <v>3542</v>
      </c>
      <c r="Y15" s="72" t="s">
        <v>3564</v>
      </c>
      <c r="Z15" s="37" t="s">
        <v>3525</v>
      </c>
      <c r="AA15" s="37" t="s">
        <v>3526</v>
      </c>
      <c r="AB15" s="37"/>
      <c r="AC15" s="37"/>
      <c r="AD15" s="142"/>
      <c r="AE15" s="142"/>
    </row>
    <row r="16">
      <c r="A16" s="26">
        <v>4.0</v>
      </c>
      <c r="B16" s="26" t="b">
        <v>1</v>
      </c>
      <c r="C16" s="26" t="b">
        <v>1</v>
      </c>
      <c r="D16" s="26" t="s">
        <v>35</v>
      </c>
      <c r="E16" s="26" t="s">
        <v>3509</v>
      </c>
      <c r="F16" s="37" t="s">
        <v>3565</v>
      </c>
      <c r="G16" s="37" t="s">
        <v>3565</v>
      </c>
      <c r="H16" s="82" t="s">
        <v>3566</v>
      </c>
      <c r="I16" s="26">
        <v>426.0</v>
      </c>
      <c r="J16" s="26">
        <v>426.0</v>
      </c>
      <c r="K16" s="26" t="s">
        <v>3513</v>
      </c>
      <c r="L16" s="173" t="s">
        <v>3551</v>
      </c>
      <c r="M16" s="174" t="s">
        <v>297</v>
      </c>
      <c r="N16" s="32" t="s">
        <v>1226</v>
      </c>
      <c r="O16" s="32" t="s">
        <v>3567</v>
      </c>
      <c r="P16" s="32" t="s">
        <v>3568</v>
      </c>
      <c r="Q16" s="174" t="s">
        <v>3569</v>
      </c>
      <c r="R16" s="34" t="b">
        <v>0</v>
      </c>
      <c r="S16" s="39" t="s">
        <v>3570</v>
      </c>
      <c r="T16" s="39" t="s">
        <v>3562</v>
      </c>
      <c r="U16" s="35" t="s">
        <v>3562</v>
      </c>
      <c r="V16" s="37" t="s">
        <v>3522</v>
      </c>
      <c r="W16" s="37" t="s">
        <v>2300</v>
      </c>
      <c r="X16" s="175" t="s">
        <v>3542</v>
      </c>
      <c r="Y16" s="72" t="s">
        <v>3566</v>
      </c>
      <c r="Z16" s="37" t="s">
        <v>3525</v>
      </c>
      <c r="AA16" s="37" t="s">
        <v>3526</v>
      </c>
      <c r="AB16" s="37"/>
      <c r="AC16" s="37"/>
      <c r="AD16" s="142"/>
      <c r="AE16" s="142"/>
    </row>
    <row r="17">
      <c r="A17" s="26"/>
      <c r="B17" s="26"/>
      <c r="C17" s="26" t="b">
        <v>0</v>
      </c>
      <c r="D17" s="26" t="s">
        <v>42</v>
      </c>
      <c r="E17" s="26" t="s">
        <v>3509</v>
      </c>
      <c r="F17" s="39" t="s">
        <v>3565</v>
      </c>
      <c r="G17" s="39" t="s">
        <v>3571</v>
      </c>
      <c r="H17" s="66" t="s">
        <v>3572</v>
      </c>
      <c r="I17" s="26">
        <v>426.0</v>
      </c>
      <c r="J17" s="26">
        <v>426.0</v>
      </c>
      <c r="K17" s="26" t="s">
        <v>3297</v>
      </c>
      <c r="L17" s="26"/>
      <c r="M17" s="41"/>
      <c r="N17" s="178"/>
      <c r="O17" s="61"/>
      <c r="P17" s="32"/>
      <c r="Q17" s="54"/>
      <c r="R17" s="34" t="b">
        <v>1</v>
      </c>
      <c r="S17" s="39" t="s">
        <v>3570</v>
      </c>
      <c r="T17" s="39" t="s">
        <v>119</v>
      </c>
      <c r="U17" s="35"/>
      <c r="V17" s="37" t="s">
        <v>3522</v>
      </c>
      <c r="W17" s="37" t="s">
        <v>2300</v>
      </c>
      <c r="X17" s="175" t="s">
        <v>3542</v>
      </c>
      <c r="Y17" s="72" t="s">
        <v>3572</v>
      </c>
      <c r="Z17" s="37" t="s">
        <v>3526</v>
      </c>
      <c r="AA17" s="37" t="s">
        <v>3526</v>
      </c>
      <c r="AB17" s="37"/>
      <c r="AC17" s="37"/>
      <c r="AD17" s="142"/>
      <c r="AE17" s="142"/>
    </row>
    <row r="18">
      <c r="A18" s="26"/>
      <c r="B18" s="26"/>
      <c r="C18" s="26" t="b">
        <v>1</v>
      </c>
      <c r="D18" s="26" t="s">
        <v>42</v>
      </c>
      <c r="E18" s="26" t="s">
        <v>3509</v>
      </c>
      <c r="F18" s="39" t="s">
        <v>3565</v>
      </c>
      <c r="G18" s="39" t="s">
        <v>3573</v>
      </c>
      <c r="H18" s="66" t="s">
        <v>3574</v>
      </c>
      <c r="I18" s="26">
        <v>426.0</v>
      </c>
      <c r="J18" s="26">
        <v>426.0</v>
      </c>
      <c r="K18" s="26" t="s">
        <v>3513</v>
      </c>
      <c r="L18" s="26"/>
      <c r="M18" s="41"/>
      <c r="N18" s="32"/>
      <c r="O18" s="61" t="s">
        <v>3575</v>
      </c>
      <c r="P18" s="32"/>
      <c r="Q18" s="54"/>
      <c r="R18" s="44" t="b">
        <v>0</v>
      </c>
      <c r="S18" s="39"/>
      <c r="T18" s="39"/>
      <c r="U18" s="35"/>
      <c r="V18" s="37" t="s">
        <v>3522</v>
      </c>
      <c r="W18" s="37" t="s">
        <v>2300</v>
      </c>
      <c r="X18" s="175" t="s">
        <v>3542</v>
      </c>
      <c r="Y18" s="72" t="s">
        <v>3574</v>
      </c>
      <c r="Z18" s="37" t="s">
        <v>3525</v>
      </c>
      <c r="AA18" s="37" t="s">
        <v>3526</v>
      </c>
      <c r="AB18" s="37"/>
      <c r="AC18" s="37"/>
      <c r="AD18" s="142"/>
      <c r="AE18" s="142"/>
    </row>
    <row r="19">
      <c r="A19" s="26"/>
      <c r="B19" s="26"/>
      <c r="C19" s="26" t="b">
        <v>1</v>
      </c>
      <c r="D19" s="26" t="s">
        <v>42</v>
      </c>
      <c r="E19" s="26" t="s">
        <v>3509</v>
      </c>
      <c r="F19" s="39" t="s">
        <v>3565</v>
      </c>
      <c r="G19" s="39" t="s">
        <v>3576</v>
      </c>
      <c r="H19" s="66" t="s">
        <v>3577</v>
      </c>
      <c r="I19" s="26">
        <v>426.0</v>
      </c>
      <c r="J19" s="26">
        <v>426.0</v>
      </c>
      <c r="K19" s="26" t="s">
        <v>3513</v>
      </c>
      <c r="L19" s="26"/>
      <c r="M19" s="41"/>
      <c r="N19" s="61" t="s">
        <v>3578</v>
      </c>
      <c r="O19" s="61" t="s">
        <v>3579</v>
      </c>
      <c r="P19" s="130" t="s">
        <v>3580</v>
      </c>
      <c r="Q19" s="54"/>
      <c r="R19" s="34" t="b">
        <v>1</v>
      </c>
      <c r="S19" s="39" t="s">
        <v>3581</v>
      </c>
      <c r="T19" s="39" t="s">
        <v>3582</v>
      </c>
      <c r="U19" s="35" t="s">
        <v>3583</v>
      </c>
      <c r="V19" s="37" t="s">
        <v>3522</v>
      </c>
      <c r="W19" s="37" t="s">
        <v>3523</v>
      </c>
      <c r="X19" s="175" t="s">
        <v>3524</v>
      </c>
      <c r="Y19" s="72" t="s">
        <v>3577</v>
      </c>
      <c r="Z19" s="37" t="s">
        <v>3525</v>
      </c>
      <c r="AA19" s="37" t="s">
        <v>3526</v>
      </c>
      <c r="AB19" s="37"/>
      <c r="AC19" s="37"/>
      <c r="AD19" s="142"/>
      <c r="AE19" s="142"/>
    </row>
    <row r="20">
      <c r="A20" s="26"/>
      <c r="B20" s="26"/>
      <c r="C20" s="26" t="b">
        <v>0</v>
      </c>
      <c r="D20" s="26" t="s">
        <v>42</v>
      </c>
      <c r="E20" s="26" t="s">
        <v>3509</v>
      </c>
      <c r="F20" s="39" t="s">
        <v>3565</v>
      </c>
      <c r="G20" s="63" t="s">
        <v>3584</v>
      </c>
      <c r="H20" s="132" t="s">
        <v>3585</v>
      </c>
      <c r="I20" s="65">
        <v>426.0</v>
      </c>
      <c r="J20" s="26" t="e">
        <v>#N/A</v>
      </c>
      <c r="K20" s="26" t="s">
        <v>3297</v>
      </c>
      <c r="L20" s="26"/>
      <c r="M20" s="41"/>
      <c r="N20" s="61"/>
      <c r="O20" s="61"/>
      <c r="P20" s="61"/>
      <c r="Q20" s="54"/>
      <c r="R20" s="34" t="b">
        <v>1</v>
      </c>
      <c r="S20" s="39" t="s">
        <v>3570</v>
      </c>
      <c r="T20" s="39" t="s">
        <v>119</v>
      </c>
      <c r="U20" s="35"/>
      <c r="V20" s="37"/>
      <c r="W20" s="37"/>
      <c r="X20" s="175"/>
      <c r="Y20" s="72"/>
      <c r="Z20" s="37" t="s">
        <v>3526</v>
      </c>
      <c r="AA20" s="37" t="s">
        <v>3526</v>
      </c>
      <c r="AB20" s="37"/>
      <c r="AC20" s="37"/>
      <c r="AD20" s="142"/>
      <c r="AE20" s="142"/>
    </row>
    <row r="21">
      <c r="A21" s="26"/>
      <c r="B21" s="26"/>
      <c r="C21" s="26" t="b">
        <v>0</v>
      </c>
      <c r="D21" s="26" t="s">
        <v>42</v>
      </c>
      <c r="E21" s="26" t="s">
        <v>3509</v>
      </c>
      <c r="F21" s="39" t="s">
        <v>3565</v>
      </c>
      <c r="G21" s="63" t="s">
        <v>3586</v>
      </c>
      <c r="H21" s="132" t="s">
        <v>3587</v>
      </c>
      <c r="I21" s="65">
        <v>426.0</v>
      </c>
      <c r="J21" s="26" t="e">
        <v>#N/A</v>
      </c>
      <c r="K21" s="26" t="s">
        <v>3297</v>
      </c>
      <c r="L21" s="26"/>
      <c r="M21" s="41"/>
      <c r="N21" s="61"/>
      <c r="O21" s="61"/>
      <c r="P21" s="61"/>
      <c r="Q21" s="54"/>
      <c r="R21" s="34" t="b">
        <v>1</v>
      </c>
      <c r="S21" s="39" t="s">
        <v>3570</v>
      </c>
      <c r="T21" s="39" t="s">
        <v>119</v>
      </c>
      <c r="U21" s="35"/>
      <c r="V21" s="37"/>
      <c r="W21" s="37"/>
      <c r="X21" s="175"/>
      <c r="Y21" s="72"/>
      <c r="Z21" s="37" t="s">
        <v>3526</v>
      </c>
      <c r="AA21" s="37" t="s">
        <v>3526</v>
      </c>
      <c r="AB21" s="37"/>
      <c r="AC21" s="37"/>
      <c r="AD21" s="142"/>
      <c r="AE21" s="142"/>
    </row>
    <row r="22">
      <c r="A22" s="26"/>
      <c r="B22" s="26"/>
      <c r="C22" s="26" t="b">
        <v>0</v>
      </c>
      <c r="D22" s="26" t="s">
        <v>42</v>
      </c>
      <c r="E22" s="26" t="s">
        <v>3509</v>
      </c>
      <c r="F22" s="39" t="s">
        <v>3565</v>
      </c>
      <c r="G22" s="63" t="s">
        <v>3588</v>
      </c>
      <c r="H22" s="132" t="s">
        <v>3589</v>
      </c>
      <c r="I22" s="65">
        <v>426.0</v>
      </c>
      <c r="J22" s="26" t="e">
        <v>#N/A</v>
      </c>
      <c r="K22" s="26" t="s">
        <v>3297</v>
      </c>
      <c r="L22" s="26"/>
      <c r="M22" s="41"/>
      <c r="N22" s="61"/>
      <c r="O22" s="61"/>
      <c r="P22" s="61"/>
      <c r="Q22" s="54"/>
      <c r="R22" s="34" t="b">
        <v>1</v>
      </c>
      <c r="S22" s="39" t="s">
        <v>3570</v>
      </c>
      <c r="T22" s="39" t="s">
        <v>119</v>
      </c>
      <c r="U22" s="35"/>
      <c r="V22" s="37"/>
      <c r="W22" s="37"/>
      <c r="X22" s="175"/>
      <c r="Y22" s="72"/>
      <c r="Z22" s="37" t="s">
        <v>3526</v>
      </c>
      <c r="AA22" s="37" t="s">
        <v>3526</v>
      </c>
      <c r="AB22" s="37"/>
      <c r="AC22" s="37"/>
      <c r="AD22" s="142"/>
      <c r="AE22" s="142"/>
    </row>
    <row r="23">
      <c r="A23" s="26"/>
      <c r="B23" s="26"/>
      <c r="C23" s="26" t="b">
        <v>0</v>
      </c>
      <c r="D23" s="26" t="s">
        <v>42</v>
      </c>
      <c r="E23" s="26" t="s">
        <v>3509</v>
      </c>
      <c r="F23" s="39" t="s">
        <v>3565</v>
      </c>
      <c r="G23" s="63" t="s">
        <v>3590</v>
      </c>
      <c r="H23" s="132" t="s">
        <v>3591</v>
      </c>
      <c r="I23" s="65">
        <v>426.0</v>
      </c>
      <c r="J23" s="26" t="e">
        <v>#N/A</v>
      </c>
      <c r="K23" s="26" t="s">
        <v>3297</v>
      </c>
      <c r="L23" s="26"/>
      <c r="M23" s="41"/>
      <c r="N23" s="61"/>
      <c r="O23" s="61"/>
      <c r="P23" s="61"/>
      <c r="Q23" s="54"/>
      <c r="R23" s="34" t="b">
        <v>1</v>
      </c>
      <c r="S23" s="39" t="s">
        <v>3570</v>
      </c>
      <c r="T23" s="39" t="s">
        <v>119</v>
      </c>
      <c r="U23" s="35"/>
      <c r="V23" s="37"/>
      <c r="W23" s="37"/>
      <c r="X23" s="175"/>
      <c r="Y23" s="72"/>
      <c r="Z23" s="37" t="s">
        <v>3526</v>
      </c>
      <c r="AA23" s="37" t="s">
        <v>3526</v>
      </c>
      <c r="AB23" s="37"/>
      <c r="AC23" s="37"/>
      <c r="AD23" s="142"/>
      <c r="AE23" s="142"/>
    </row>
    <row r="24">
      <c r="A24" s="26"/>
      <c r="B24" s="26"/>
      <c r="C24" s="26" t="b">
        <v>0</v>
      </c>
      <c r="D24" s="26" t="s">
        <v>42</v>
      </c>
      <c r="E24" s="26" t="s">
        <v>3509</v>
      </c>
      <c r="F24" s="39" t="s">
        <v>3565</v>
      </c>
      <c r="G24" s="63" t="s">
        <v>3592</v>
      </c>
      <c r="H24" s="132" t="s">
        <v>3593</v>
      </c>
      <c r="I24" s="65">
        <v>426.0</v>
      </c>
      <c r="J24" s="26" t="e">
        <v>#N/A</v>
      </c>
      <c r="K24" s="26" t="s">
        <v>3297</v>
      </c>
      <c r="L24" s="26"/>
      <c r="M24" s="41"/>
      <c r="N24" s="61"/>
      <c r="O24" s="61"/>
      <c r="P24" s="61"/>
      <c r="Q24" s="54"/>
      <c r="R24" s="34" t="b">
        <v>1</v>
      </c>
      <c r="S24" s="39" t="s">
        <v>3570</v>
      </c>
      <c r="T24" s="39" t="s">
        <v>119</v>
      </c>
      <c r="U24" s="35"/>
      <c r="V24" s="37"/>
      <c r="W24" s="37"/>
      <c r="X24" s="175"/>
      <c r="Y24" s="72"/>
      <c r="Z24" s="37" t="s">
        <v>3526</v>
      </c>
      <c r="AA24" s="37" t="s">
        <v>3526</v>
      </c>
      <c r="AB24" s="37"/>
      <c r="AC24" s="37"/>
      <c r="AD24" s="142"/>
      <c r="AE24" s="142"/>
    </row>
    <row r="25">
      <c r="A25" s="26">
        <v>5.0</v>
      </c>
      <c r="B25" s="26" t="b">
        <v>1</v>
      </c>
      <c r="C25" s="26" t="b">
        <v>1</v>
      </c>
      <c r="D25" s="26" t="s">
        <v>35</v>
      </c>
      <c r="E25" s="26" t="s">
        <v>3509</v>
      </c>
      <c r="F25" s="37" t="s">
        <v>3594</v>
      </c>
      <c r="G25" s="37" t="s">
        <v>3594</v>
      </c>
      <c r="H25" s="66" t="s">
        <v>3595</v>
      </c>
      <c r="I25" s="26">
        <v>4.0</v>
      </c>
      <c r="J25" s="26">
        <v>4.0</v>
      </c>
      <c r="K25" s="26" t="s">
        <v>3513</v>
      </c>
      <c r="L25" s="173" t="s">
        <v>339</v>
      </c>
      <c r="M25" s="176" t="s">
        <v>340</v>
      </c>
      <c r="N25" s="32" t="s">
        <v>3596</v>
      </c>
      <c r="O25" s="32" t="s">
        <v>3597</v>
      </c>
      <c r="P25" s="32" t="s">
        <v>3598</v>
      </c>
      <c r="Q25" s="176" t="s">
        <v>3599</v>
      </c>
      <c r="R25" s="34" t="b">
        <v>1</v>
      </c>
      <c r="S25" s="39" t="s">
        <v>3596</v>
      </c>
      <c r="T25" s="39" t="s">
        <v>3600</v>
      </c>
      <c r="U25" s="35" t="s">
        <v>3601</v>
      </c>
      <c r="V25" s="37" t="s">
        <v>3522</v>
      </c>
      <c r="W25" s="37" t="s">
        <v>3523</v>
      </c>
      <c r="X25" s="175" t="s">
        <v>3602</v>
      </c>
      <c r="Y25" s="72" t="s">
        <v>3603</v>
      </c>
      <c r="Z25" s="37" t="s">
        <v>3525</v>
      </c>
      <c r="AA25" s="37" t="s">
        <v>3526</v>
      </c>
      <c r="AB25" s="37"/>
      <c r="AC25" s="37"/>
      <c r="AD25" s="8" t="s">
        <v>52</v>
      </c>
      <c r="AE25" s="142"/>
    </row>
    <row r="26">
      <c r="A26" s="26"/>
      <c r="B26" s="26"/>
      <c r="C26" s="26" t="b">
        <v>1</v>
      </c>
      <c r="D26" s="26" t="s">
        <v>35</v>
      </c>
      <c r="E26" s="26" t="s">
        <v>3509</v>
      </c>
      <c r="F26" s="37" t="s">
        <v>3594</v>
      </c>
      <c r="G26" s="39" t="s">
        <v>3604</v>
      </c>
      <c r="H26" s="66" t="s">
        <v>3605</v>
      </c>
      <c r="I26" s="43">
        <v>4.0</v>
      </c>
      <c r="J26" s="26">
        <v>4.0</v>
      </c>
      <c r="K26" s="26" t="s">
        <v>3513</v>
      </c>
      <c r="L26" s="173"/>
      <c r="M26" s="57"/>
      <c r="N26" s="32"/>
      <c r="O26" s="32"/>
      <c r="P26" s="32"/>
      <c r="Q26" s="57"/>
      <c r="R26" s="34" t="b">
        <v>0</v>
      </c>
      <c r="S26" s="39"/>
      <c r="T26" s="39"/>
      <c r="U26" s="35"/>
      <c r="V26" s="37" t="s">
        <v>3522</v>
      </c>
      <c r="W26" s="37" t="s">
        <v>3523</v>
      </c>
      <c r="X26" s="175" t="s">
        <v>3602</v>
      </c>
      <c r="Y26" s="72" t="s">
        <v>3605</v>
      </c>
      <c r="Z26" s="37" t="s">
        <v>3525</v>
      </c>
      <c r="AA26" s="37" t="s">
        <v>3526</v>
      </c>
      <c r="AB26" s="37"/>
      <c r="AC26" s="37"/>
      <c r="AD26" s="8"/>
      <c r="AE26" s="142"/>
    </row>
    <row r="27">
      <c r="A27" s="26"/>
      <c r="B27" s="26"/>
      <c r="C27" s="26" t="b">
        <v>1</v>
      </c>
      <c r="D27" s="26" t="s">
        <v>35</v>
      </c>
      <c r="E27" s="26" t="s">
        <v>3509</v>
      </c>
      <c r="F27" s="37" t="s">
        <v>3594</v>
      </c>
      <c r="G27" s="39" t="s">
        <v>3606</v>
      </c>
      <c r="H27" s="66" t="s">
        <v>3607</v>
      </c>
      <c r="I27" s="43">
        <v>4.0</v>
      </c>
      <c r="J27" s="26">
        <v>4.0</v>
      </c>
      <c r="K27" s="26" t="s">
        <v>3513</v>
      </c>
      <c r="L27" s="173"/>
      <c r="M27" s="57"/>
      <c r="N27" s="32"/>
      <c r="O27" s="32"/>
      <c r="P27" s="32"/>
      <c r="Q27" s="57"/>
      <c r="R27" s="34" t="b">
        <v>0</v>
      </c>
      <c r="S27" s="39"/>
      <c r="T27" s="39"/>
      <c r="U27" s="35"/>
      <c r="V27" s="37" t="s">
        <v>3522</v>
      </c>
      <c r="W27" s="37" t="s">
        <v>3523</v>
      </c>
      <c r="X27" s="175" t="s">
        <v>3602</v>
      </c>
      <c r="Y27" s="72" t="s">
        <v>3607</v>
      </c>
      <c r="Z27" s="37" t="s">
        <v>3525</v>
      </c>
      <c r="AA27" s="37" t="s">
        <v>3526</v>
      </c>
      <c r="AB27" s="37"/>
      <c r="AC27" s="37"/>
      <c r="AD27" s="8"/>
      <c r="AE27" s="142"/>
    </row>
    <row r="28">
      <c r="A28" s="26">
        <v>6.0</v>
      </c>
      <c r="B28" s="26" t="b">
        <v>1</v>
      </c>
      <c r="C28" s="26" t="b">
        <v>1</v>
      </c>
      <c r="D28" s="26" t="s">
        <v>35</v>
      </c>
      <c r="E28" s="26" t="s">
        <v>3509</v>
      </c>
      <c r="F28" s="37" t="s">
        <v>3608</v>
      </c>
      <c r="G28" s="39" t="s">
        <v>3609</v>
      </c>
      <c r="H28" s="82" t="s">
        <v>3610</v>
      </c>
      <c r="I28" s="26">
        <v>65.0</v>
      </c>
      <c r="J28" s="26">
        <v>65.0</v>
      </c>
      <c r="K28" s="26" t="s">
        <v>3513</v>
      </c>
      <c r="L28" s="173" t="s">
        <v>3611</v>
      </c>
      <c r="M28" s="174" t="s">
        <v>123</v>
      </c>
      <c r="N28" s="32" t="s">
        <v>3612</v>
      </c>
      <c r="O28" s="32" t="s">
        <v>3613</v>
      </c>
      <c r="P28" s="32" t="s">
        <v>3614</v>
      </c>
      <c r="Q28" s="174" t="s">
        <v>3615</v>
      </c>
      <c r="R28" s="34" t="b">
        <v>1</v>
      </c>
      <c r="S28" s="63" t="s">
        <v>3616</v>
      </c>
      <c r="T28" s="63" t="s">
        <v>3617</v>
      </c>
      <c r="U28" s="35" t="s">
        <v>3618</v>
      </c>
      <c r="V28" s="37" t="s">
        <v>3522</v>
      </c>
      <c r="W28" s="37" t="s">
        <v>2300</v>
      </c>
      <c r="X28" s="175" t="s">
        <v>3542</v>
      </c>
      <c r="Y28" s="72" t="s">
        <v>3610</v>
      </c>
      <c r="Z28" s="37" t="s">
        <v>3525</v>
      </c>
      <c r="AA28" s="37" t="s">
        <v>3526</v>
      </c>
      <c r="AB28" s="37"/>
      <c r="AC28" s="37"/>
      <c r="AD28" s="8" t="s">
        <v>52</v>
      </c>
      <c r="AE28" s="142"/>
    </row>
    <row r="29">
      <c r="A29" s="26"/>
      <c r="B29" s="26"/>
      <c r="C29" s="26" t="b">
        <v>1</v>
      </c>
      <c r="D29" s="26" t="s">
        <v>42</v>
      </c>
      <c r="E29" s="26" t="s">
        <v>3509</v>
      </c>
      <c r="F29" s="37" t="s">
        <v>3608</v>
      </c>
      <c r="G29" s="39" t="s">
        <v>3619</v>
      </c>
      <c r="H29" s="66" t="s">
        <v>3620</v>
      </c>
      <c r="I29" s="43">
        <v>65.0</v>
      </c>
      <c r="J29" s="26">
        <v>65.0</v>
      </c>
      <c r="K29" s="26" t="s">
        <v>3513</v>
      </c>
      <c r="L29" s="173"/>
      <c r="M29" s="54"/>
      <c r="N29" s="32"/>
      <c r="O29" s="32"/>
      <c r="P29" s="32"/>
      <c r="Q29" s="54"/>
      <c r="R29" s="34" t="b">
        <v>0</v>
      </c>
      <c r="S29" s="39"/>
      <c r="T29" s="39"/>
      <c r="U29" s="35"/>
      <c r="V29" s="37" t="s">
        <v>3541</v>
      </c>
      <c r="W29" s="37" t="s">
        <v>2300</v>
      </c>
      <c r="X29" s="175" t="s">
        <v>3556</v>
      </c>
      <c r="Y29" s="72" t="s">
        <v>3621</v>
      </c>
      <c r="Z29" s="37" t="s">
        <v>3525</v>
      </c>
      <c r="AA29" s="37" t="s">
        <v>3526</v>
      </c>
      <c r="AB29" s="37"/>
      <c r="AC29" s="37"/>
      <c r="AD29" s="8"/>
      <c r="AE29" s="142"/>
    </row>
    <row r="30">
      <c r="A30" s="26"/>
      <c r="B30" s="26"/>
      <c r="C30" s="26" t="b">
        <v>1</v>
      </c>
      <c r="D30" s="26" t="s">
        <v>42</v>
      </c>
      <c r="E30" s="26" t="s">
        <v>3509</v>
      </c>
      <c r="F30" s="37" t="s">
        <v>3608</v>
      </c>
      <c r="G30" s="63" t="s">
        <v>3622</v>
      </c>
      <c r="H30" s="132" t="s">
        <v>3623</v>
      </c>
      <c r="I30" s="65">
        <v>65.0</v>
      </c>
      <c r="J30" s="26">
        <v>65.0</v>
      </c>
      <c r="K30" s="26" t="s">
        <v>3513</v>
      </c>
      <c r="L30" s="173"/>
      <c r="M30" s="54"/>
      <c r="N30" s="32"/>
      <c r="O30" s="32"/>
      <c r="P30" s="32"/>
      <c r="Q30" s="54"/>
      <c r="R30" s="34" t="b">
        <v>0</v>
      </c>
      <c r="S30" s="39"/>
      <c r="T30" s="39"/>
      <c r="U30" s="35"/>
      <c r="V30" s="37"/>
      <c r="W30" s="37"/>
      <c r="X30" s="175"/>
      <c r="Y30" s="72"/>
      <c r="Z30" s="37" t="s">
        <v>3525</v>
      </c>
      <c r="AA30" s="37" t="s">
        <v>3526</v>
      </c>
      <c r="AB30" s="37"/>
      <c r="AC30" s="37"/>
      <c r="AD30" s="8"/>
      <c r="AE30" s="142"/>
    </row>
    <row r="31">
      <c r="A31" s="26">
        <v>7.0</v>
      </c>
      <c r="B31" s="26" t="b">
        <v>1</v>
      </c>
      <c r="C31" s="26" t="b">
        <v>1</v>
      </c>
      <c r="D31" s="26" t="s">
        <v>35</v>
      </c>
      <c r="E31" s="26" t="s">
        <v>3509</v>
      </c>
      <c r="F31" s="37" t="s">
        <v>3608</v>
      </c>
      <c r="G31" s="39" t="s">
        <v>3624</v>
      </c>
      <c r="H31" s="82" t="s">
        <v>3610</v>
      </c>
      <c r="I31" s="26">
        <v>32.0</v>
      </c>
      <c r="J31" s="26">
        <v>32.0</v>
      </c>
      <c r="K31" s="26" t="s">
        <v>3513</v>
      </c>
      <c r="L31" s="173" t="s">
        <v>339</v>
      </c>
      <c r="M31" s="174" t="s">
        <v>340</v>
      </c>
      <c r="N31" s="32" t="s">
        <v>3612</v>
      </c>
      <c r="O31" s="32" t="s">
        <v>3613</v>
      </c>
      <c r="P31" s="32" t="s">
        <v>3614</v>
      </c>
      <c r="Q31" s="174" t="s">
        <v>3625</v>
      </c>
      <c r="R31" s="34" t="b">
        <v>1</v>
      </c>
      <c r="S31" s="63" t="s">
        <v>3616</v>
      </c>
      <c r="T31" s="63" t="s">
        <v>3617</v>
      </c>
      <c r="U31" s="35" t="s">
        <v>3618</v>
      </c>
      <c r="V31" s="37" t="s">
        <v>3522</v>
      </c>
      <c r="W31" s="37" t="s">
        <v>2300</v>
      </c>
      <c r="X31" s="175" t="s">
        <v>3542</v>
      </c>
      <c r="Y31" s="72" t="s">
        <v>3610</v>
      </c>
      <c r="Z31" s="37" t="s">
        <v>3525</v>
      </c>
      <c r="AA31" s="37" t="s">
        <v>3526</v>
      </c>
      <c r="AB31" s="37"/>
      <c r="AC31" s="37"/>
      <c r="AD31" s="8" t="s">
        <v>52</v>
      </c>
      <c r="AE31" s="142"/>
    </row>
    <row r="32">
      <c r="A32" s="26"/>
      <c r="B32" s="26"/>
      <c r="C32" s="26" t="b">
        <v>1</v>
      </c>
      <c r="D32" s="26" t="s">
        <v>42</v>
      </c>
      <c r="E32" s="26" t="s">
        <v>3509</v>
      </c>
      <c r="F32" s="37" t="s">
        <v>3608</v>
      </c>
      <c r="G32" s="39" t="s">
        <v>3626</v>
      </c>
      <c r="H32" s="66" t="s">
        <v>3620</v>
      </c>
      <c r="I32" s="43">
        <v>32.0</v>
      </c>
      <c r="J32" s="26">
        <v>32.0</v>
      </c>
      <c r="K32" s="26" t="s">
        <v>3513</v>
      </c>
      <c r="L32" s="173"/>
      <c r="M32" s="54"/>
      <c r="N32" s="32"/>
      <c r="O32" s="32"/>
      <c r="P32" s="32"/>
      <c r="Q32" s="54"/>
      <c r="R32" s="34" t="b">
        <v>0</v>
      </c>
      <c r="S32" s="39"/>
      <c r="T32" s="39"/>
      <c r="U32" s="35"/>
      <c r="V32" s="37" t="s">
        <v>3541</v>
      </c>
      <c r="W32" s="37" t="s">
        <v>2300</v>
      </c>
      <c r="X32" s="175" t="s">
        <v>3556</v>
      </c>
      <c r="Y32" s="72" t="s">
        <v>3621</v>
      </c>
      <c r="Z32" s="37" t="s">
        <v>3525</v>
      </c>
      <c r="AA32" s="37" t="s">
        <v>3526</v>
      </c>
      <c r="AB32" s="37"/>
      <c r="AC32" s="37"/>
      <c r="AD32" s="8"/>
      <c r="AE32" s="142"/>
    </row>
    <row r="33">
      <c r="A33" s="26"/>
      <c r="B33" s="26"/>
      <c r="C33" s="26" t="b">
        <v>1</v>
      </c>
      <c r="D33" s="26" t="s">
        <v>42</v>
      </c>
      <c r="E33" s="26" t="s">
        <v>3509</v>
      </c>
      <c r="F33" s="37" t="s">
        <v>3608</v>
      </c>
      <c r="G33" s="63" t="s">
        <v>3627</v>
      </c>
      <c r="H33" s="132" t="s">
        <v>3623</v>
      </c>
      <c r="I33" s="65">
        <v>32.0</v>
      </c>
      <c r="J33" s="26">
        <v>32.0</v>
      </c>
      <c r="K33" s="26" t="s">
        <v>3513</v>
      </c>
      <c r="L33" s="173"/>
      <c r="M33" s="54"/>
      <c r="N33" s="32"/>
      <c r="O33" s="32"/>
      <c r="P33" s="32"/>
      <c r="Q33" s="54"/>
      <c r="R33" s="34" t="b">
        <v>0</v>
      </c>
      <c r="S33" s="39"/>
      <c r="T33" s="39"/>
      <c r="U33" s="35"/>
      <c r="V33" s="37"/>
      <c r="W33" s="37"/>
      <c r="X33" s="175"/>
      <c r="Y33" s="72"/>
      <c r="Z33" s="37" t="s">
        <v>3525</v>
      </c>
      <c r="AA33" s="37" t="s">
        <v>3526</v>
      </c>
      <c r="AB33" s="37"/>
      <c r="AC33" s="37"/>
      <c r="AD33" s="8"/>
      <c r="AE33" s="142"/>
    </row>
    <row r="34">
      <c r="A34" s="26">
        <v>8.0</v>
      </c>
      <c r="B34" s="26" t="b">
        <v>1</v>
      </c>
      <c r="C34" s="26" t="b">
        <v>1</v>
      </c>
      <c r="D34" s="26" t="s">
        <v>35</v>
      </c>
      <c r="E34" s="26" t="s">
        <v>3509</v>
      </c>
      <c r="F34" s="37" t="s">
        <v>3628</v>
      </c>
      <c r="G34" s="39" t="s">
        <v>3628</v>
      </c>
      <c r="H34" s="66" t="s">
        <v>3629</v>
      </c>
      <c r="I34" s="26">
        <v>20.0</v>
      </c>
      <c r="J34" s="26">
        <v>20.0</v>
      </c>
      <c r="K34" s="26" t="s">
        <v>3513</v>
      </c>
      <c r="L34" s="173" t="s">
        <v>3630</v>
      </c>
      <c r="M34" s="174" t="s">
        <v>40</v>
      </c>
      <c r="N34" s="32" t="s">
        <v>3631</v>
      </c>
      <c r="O34" s="32" t="s">
        <v>3632</v>
      </c>
      <c r="P34" s="32" t="s">
        <v>3633</v>
      </c>
      <c r="Q34" s="174" t="s">
        <v>3634</v>
      </c>
      <c r="R34" s="34" t="b">
        <v>1</v>
      </c>
      <c r="S34" s="39" t="s">
        <v>3635</v>
      </c>
      <c r="T34" s="39" t="s">
        <v>3636</v>
      </c>
      <c r="U34" s="36" t="s">
        <v>3637</v>
      </c>
      <c r="V34" s="37" t="s">
        <v>3522</v>
      </c>
      <c r="W34" s="37" t="s">
        <v>2300</v>
      </c>
      <c r="X34" s="175" t="s">
        <v>3542</v>
      </c>
      <c r="Y34" s="72" t="s">
        <v>3629</v>
      </c>
      <c r="Z34" s="37" t="s">
        <v>3525</v>
      </c>
      <c r="AA34" s="37" t="s">
        <v>3526</v>
      </c>
      <c r="AB34" s="37"/>
      <c r="AC34" s="37"/>
      <c r="AD34" s="142"/>
      <c r="AE34" s="142"/>
    </row>
    <row r="35">
      <c r="A35" s="26"/>
      <c r="B35" s="26"/>
      <c r="C35" s="26" t="b">
        <v>1</v>
      </c>
      <c r="D35" s="26" t="s">
        <v>42</v>
      </c>
      <c r="E35" s="26" t="s">
        <v>3509</v>
      </c>
      <c r="F35" s="39" t="s">
        <v>3628</v>
      </c>
      <c r="G35" s="39" t="s">
        <v>3638</v>
      </c>
      <c r="H35" s="66" t="s">
        <v>3639</v>
      </c>
      <c r="I35" s="26">
        <v>20.0</v>
      </c>
      <c r="J35" s="26">
        <v>20.0</v>
      </c>
      <c r="K35" s="26" t="s">
        <v>3513</v>
      </c>
      <c r="L35" s="26"/>
      <c r="M35" s="41"/>
      <c r="N35" s="61" t="s">
        <v>3640</v>
      </c>
      <c r="O35" s="61" t="s">
        <v>3641</v>
      </c>
      <c r="P35" s="130" t="s">
        <v>3642</v>
      </c>
      <c r="Q35" s="54"/>
      <c r="R35" s="44" t="b">
        <v>0</v>
      </c>
      <c r="S35" s="39"/>
      <c r="T35" s="39"/>
      <c r="U35" s="35"/>
      <c r="V35" s="37" t="s">
        <v>3541</v>
      </c>
      <c r="W35" s="37" t="s">
        <v>2300</v>
      </c>
      <c r="X35" s="175" t="s">
        <v>3542</v>
      </c>
      <c r="Y35" s="72" t="s">
        <v>3639</v>
      </c>
      <c r="Z35" s="37" t="s">
        <v>3525</v>
      </c>
      <c r="AA35" s="37" t="s">
        <v>3526</v>
      </c>
      <c r="AB35" s="37"/>
      <c r="AC35" s="37"/>
      <c r="AD35" s="142"/>
      <c r="AE35" s="142"/>
    </row>
    <row r="36">
      <c r="A36" s="26">
        <v>9.0</v>
      </c>
      <c r="B36" s="26" t="b">
        <v>1</v>
      </c>
      <c r="C36" s="26" t="b">
        <v>1</v>
      </c>
      <c r="D36" s="26" t="s">
        <v>35</v>
      </c>
      <c r="E36" s="26" t="s">
        <v>3509</v>
      </c>
      <c r="F36" s="37" t="s">
        <v>3643</v>
      </c>
      <c r="G36" s="39" t="s">
        <v>3644</v>
      </c>
      <c r="H36" s="66" t="s">
        <v>3645</v>
      </c>
      <c r="I36" s="26">
        <v>13.0</v>
      </c>
      <c r="J36" s="26">
        <v>13.0</v>
      </c>
      <c r="K36" s="26" t="s">
        <v>3513</v>
      </c>
      <c r="L36" s="173" t="s">
        <v>3646</v>
      </c>
      <c r="M36" s="174" t="s">
        <v>105</v>
      </c>
      <c r="N36" s="32" t="s">
        <v>3647</v>
      </c>
      <c r="O36" s="32" t="s">
        <v>3648</v>
      </c>
      <c r="P36" s="32" t="s">
        <v>3649</v>
      </c>
      <c r="Q36" s="174" t="s">
        <v>3650</v>
      </c>
      <c r="R36" s="34" t="b">
        <v>1</v>
      </c>
      <c r="S36" s="39" t="s">
        <v>615</v>
      </c>
      <c r="T36" s="39" t="s">
        <v>3651</v>
      </c>
      <c r="U36" s="36" t="s">
        <v>3652</v>
      </c>
      <c r="V36" s="37" t="s">
        <v>3522</v>
      </c>
      <c r="W36" s="37" t="s">
        <v>2300</v>
      </c>
      <c r="X36" s="175" t="s">
        <v>3542</v>
      </c>
      <c r="Y36" s="72" t="s">
        <v>3645</v>
      </c>
      <c r="Z36" s="37" t="s">
        <v>3525</v>
      </c>
      <c r="AA36" s="37" t="s">
        <v>3526</v>
      </c>
      <c r="AB36" s="37"/>
      <c r="AC36" s="37"/>
      <c r="AD36" s="142"/>
      <c r="AE36" s="142"/>
    </row>
    <row r="37">
      <c r="A37" s="26"/>
      <c r="B37" s="26"/>
      <c r="C37" s="26" t="b">
        <v>0</v>
      </c>
      <c r="D37" s="26" t="s">
        <v>42</v>
      </c>
      <c r="E37" s="26" t="s">
        <v>3509</v>
      </c>
      <c r="F37" s="37" t="s">
        <v>3643</v>
      </c>
      <c r="G37" s="39" t="s">
        <v>3653</v>
      </c>
      <c r="H37" s="66" t="s">
        <v>3654</v>
      </c>
      <c r="I37" s="26">
        <v>0.0</v>
      </c>
      <c r="J37" s="26" t="e">
        <v>#N/A</v>
      </c>
      <c r="K37" s="26" t="s">
        <v>3297</v>
      </c>
      <c r="L37" s="173"/>
      <c r="M37" s="54"/>
      <c r="N37" s="32"/>
      <c r="O37" s="32"/>
      <c r="P37" s="32"/>
      <c r="Q37" s="54"/>
      <c r="R37" s="44" t="b">
        <v>0</v>
      </c>
      <c r="S37" s="39"/>
      <c r="T37" s="39"/>
      <c r="U37" s="35"/>
      <c r="V37" s="37" t="s">
        <v>3561</v>
      </c>
      <c r="W37" s="37" t="s">
        <v>3562</v>
      </c>
      <c r="X37" s="175" t="s">
        <v>3562</v>
      </c>
      <c r="Y37" s="72" t="s">
        <v>3562</v>
      </c>
      <c r="Z37" s="37" t="s">
        <v>3526</v>
      </c>
      <c r="AA37" s="37" t="s">
        <v>3526</v>
      </c>
      <c r="AB37" s="37"/>
      <c r="AC37" s="37"/>
      <c r="AD37" s="142"/>
      <c r="AE37" s="142"/>
    </row>
    <row r="38">
      <c r="A38" s="26">
        <v>10.0</v>
      </c>
      <c r="B38" s="26" t="b">
        <v>1</v>
      </c>
      <c r="C38" s="26" t="b">
        <v>1</v>
      </c>
      <c r="D38" s="26" t="s">
        <v>35</v>
      </c>
      <c r="E38" s="26" t="s">
        <v>3509</v>
      </c>
      <c r="F38" s="37" t="s">
        <v>3643</v>
      </c>
      <c r="G38" s="39" t="s">
        <v>3655</v>
      </c>
      <c r="H38" s="66" t="s">
        <v>3645</v>
      </c>
      <c r="I38" s="26">
        <v>7.0</v>
      </c>
      <c r="J38" s="26">
        <v>7.0</v>
      </c>
      <c r="K38" s="26" t="s">
        <v>3513</v>
      </c>
      <c r="L38" s="173" t="s">
        <v>3656</v>
      </c>
      <c r="M38" s="174" t="s">
        <v>40</v>
      </c>
      <c r="N38" s="32" t="s">
        <v>3647</v>
      </c>
      <c r="O38" s="32" t="s">
        <v>3648</v>
      </c>
      <c r="P38" s="32" t="s">
        <v>3649</v>
      </c>
      <c r="Q38" s="174" t="s">
        <v>3657</v>
      </c>
      <c r="R38" s="34" t="b">
        <v>1</v>
      </c>
      <c r="S38" s="39" t="s">
        <v>615</v>
      </c>
      <c r="T38" s="39" t="s">
        <v>3651</v>
      </c>
      <c r="U38" s="36" t="s">
        <v>3652</v>
      </c>
      <c r="V38" s="37" t="s">
        <v>3522</v>
      </c>
      <c r="W38" s="37" t="s">
        <v>2300</v>
      </c>
      <c r="X38" s="175" t="s">
        <v>3542</v>
      </c>
      <c r="Y38" s="72" t="s">
        <v>3645</v>
      </c>
      <c r="Z38" s="37" t="s">
        <v>3525</v>
      </c>
      <c r="AA38" s="37" t="s">
        <v>3526</v>
      </c>
      <c r="AB38" s="37"/>
      <c r="AC38" s="37"/>
      <c r="AD38" s="142"/>
      <c r="AE38" s="142"/>
    </row>
    <row r="39">
      <c r="A39" s="26"/>
      <c r="B39" s="26"/>
      <c r="C39" s="26" t="b">
        <v>0</v>
      </c>
      <c r="D39" s="26" t="s">
        <v>42</v>
      </c>
      <c r="E39" s="26" t="s">
        <v>3509</v>
      </c>
      <c r="F39" s="37" t="s">
        <v>3643</v>
      </c>
      <c r="G39" s="39" t="s">
        <v>3658</v>
      </c>
      <c r="H39" s="66" t="s">
        <v>3654</v>
      </c>
      <c r="I39" s="26">
        <v>0.0</v>
      </c>
      <c r="J39" s="26" t="e">
        <v>#N/A</v>
      </c>
      <c r="K39" s="26" t="s">
        <v>3297</v>
      </c>
      <c r="L39" s="173"/>
      <c r="M39" s="54"/>
      <c r="N39" s="32"/>
      <c r="O39" s="32"/>
      <c r="P39" s="32"/>
      <c r="Q39" s="54"/>
      <c r="R39" s="44" t="b">
        <v>0</v>
      </c>
      <c r="S39" s="39"/>
      <c r="T39" s="39"/>
      <c r="U39" s="35"/>
      <c r="V39" s="37" t="s">
        <v>3561</v>
      </c>
      <c r="W39" s="37" t="s">
        <v>3562</v>
      </c>
      <c r="X39" s="175" t="s">
        <v>3562</v>
      </c>
      <c r="Y39" s="72" t="s">
        <v>3562</v>
      </c>
      <c r="Z39" s="37" t="s">
        <v>3526</v>
      </c>
      <c r="AA39" s="37" t="s">
        <v>3526</v>
      </c>
      <c r="AB39" s="37"/>
      <c r="AC39" s="37"/>
      <c r="AD39" s="142"/>
      <c r="AE39" s="142"/>
    </row>
    <row r="40">
      <c r="A40" s="26">
        <v>11.0</v>
      </c>
      <c r="B40" s="26" t="b">
        <v>1</v>
      </c>
      <c r="C40" s="26" t="b">
        <v>1</v>
      </c>
      <c r="D40" s="26" t="s">
        <v>35</v>
      </c>
      <c r="E40" s="26" t="s">
        <v>3509</v>
      </c>
      <c r="F40" s="37" t="s">
        <v>3659</v>
      </c>
      <c r="G40" s="39" t="s">
        <v>3659</v>
      </c>
      <c r="H40" s="66" t="s">
        <v>3660</v>
      </c>
      <c r="I40" s="26">
        <v>4.0</v>
      </c>
      <c r="J40" s="26">
        <v>4.0</v>
      </c>
      <c r="K40" s="26" t="s">
        <v>3513</v>
      </c>
      <c r="L40" s="173" t="s">
        <v>339</v>
      </c>
      <c r="M40" s="174" t="s">
        <v>340</v>
      </c>
      <c r="N40" s="32" t="s">
        <v>3661</v>
      </c>
      <c r="O40" s="32" t="s">
        <v>3662</v>
      </c>
      <c r="P40" s="32" t="s">
        <v>3663</v>
      </c>
      <c r="Q40" s="174" t="s">
        <v>3664</v>
      </c>
      <c r="R40" s="34" t="b">
        <v>1</v>
      </c>
      <c r="S40" s="39" t="s">
        <v>3661</v>
      </c>
      <c r="T40" s="39" t="s">
        <v>3662</v>
      </c>
      <c r="U40" s="35"/>
      <c r="V40" s="37" t="s">
        <v>3522</v>
      </c>
      <c r="W40" s="37" t="s">
        <v>2300</v>
      </c>
      <c r="X40" s="175" t="s">
        <v>3542</v>
      </c>
      <c r="Y40" s="72" t="s">
        <v>3660</v>
      </c>
      <c r="Z40" s="37" t="s">
        <v>3525</v>
      </c>
      <c r="AA40" s="37" t="s">
        <v>3526</v>
      </c>
      <c r="AB40" s="37"/>
      <c r="AC40" s="37"/>
      <c r="AD40" s="142"/>
      <c r="AE40" s="142"/>
    </row>
    <row r="41">
      <c r="A41" s="26"/>
      <c r="B41" s="26"/>
      <c r="C41" s="26" t="b">
        <v>1</v>
      </c>
      <c r="D41" s="26" t="s">
        <v>42</v>
      </c>
      <c r="E41" s="26" t="s">
        <v>3509</v>
      </c>
      <c r="F41" s="39" t="s">
        <v>3659</v>
      </c>
      <c r="G41" s="39" t="s">
        <v>3665</v>
      </c>
      <c r="H41" s="66" t="s">
        <v>3666</v>
      </c>
      <c r="I41" s="26">
        <v>4.0</v>
      </c>
      <c r="J41" s="26">
        <v>4.0</v>
      </c>
      <c r="K41" s="26" t="s">
        <v>3513</v>
      </c>
      <c r="L41" s="26"/>
      <c r="M41" s="41"/>
      <c r="N41" s="61" t="s">
        <v>3667</v>
      </c>
      <c r="O41" s="61" t="s">
        <v>3668</v>
      </c>
      <c r="P41" s="130" t="s">
        <v>3669</v>
      </c>
      <c r="Q41" s="54"/>
      <c r="R41" s="34" t="b">
        <v>1</v>
      </c>
      <c r="S41" s="39"/>
      <c r="T41" s="39"/>
      <c r="U41" s="35"/>
      <c r="V41" s="37" t="s">
        <v>3522</v>
      </c>
      <c r="W41" s="37" t="s">
        <v>2300</v>
      </c>
      <c r="X41" s="175" t="s">
        <v>3542</v>
      </c>
      <c r="Y41" s="72" t="s">
        <v>3666</v>
      </c>
      <c r="Z41" s="37" t="s">
        <v>3525</v>
      </c>
      <c r="AA41" s="37" t="s">
        <v>3526</v>
      </c>
      <c r="AB41" s="37"/>
      <c r="AC41" s="37"/>
      <c r="AD41" s="142"/>
      <c r="AE41" s="142"/>
    </row>
    <row r="42">
      <c r="A42" s="26">
        <v>12.0</v>
      </c>
      <c r="B42" s="26" t="b">
        <v>1</v>
      </c>
      <c r="C42" s="26" t="b">
        <v>1</v>
      </c>
      <c r="D42" s="26" t="s">
        <v>35</v>
      </c>
      <c r="E42" s="26" t="s">
        <v>3509</v>
      </c>
      <c r="F42" s="37" t="s">
        <v>3670</v>
      </c>
      <c r="G42" s="37" t="s">
        <v>3670</v>
      </c>
      <c r="H42" s="82" t="s">
        <v>3671</v>
      </c>
      <c r="I42" s="26">
        <v>24.0</v>
      </c>
      <c r="J42" s="26">
        <v>24.0</v>
      </c>
      <c r="K42" s="26" t="s">
        <v>3513</v>
      </c>
      <c r="L42" s="173" t="s">
        <v>3672</v>
      </c>
      <c r="M42" s="174" t="s">
        <v>78</v>
      </c>
      <c r="N42" s="32" t="s">
        <v>3673</v>
      </c>
      <c r="O42" s="32" t="s">
        <v>3674</v>
      </c>
      <c r="P42" s="32" t="s">
        <v>3675</v>
      </c>
      <c r="Q42" s="174" t="s">
        <v>3676</v>
      </c>
      <c r="R42" s="34" t="b">
        <v>1</v>
      </c>
      <c r="S42" s="39" t="s">
        <v>3677</v>
      </c>
      <c r="T42" s="39" t="s">
        <v>3678</v>
      </c>
      <c r="U42" s="35"/>
      <c r="V42" s="37" t="s">
        <v>3522</v>
      </c>
      <c r="W42" s="37" t="s">
        <v>2300</v>
      </c>
      <c r="X42" s="175" t="s">
        <v>3542</v>
      </c>
      <c r="Y42" s="72" t="s">
        <v>3671</v>
      </c>
      <c r="Z42" s="37" t="s">
        <v>3525</v>
      </c>
      <c r="AA42" s="37" t="s">
        <v>3526</v>
      </c>
      <c r="AB42" s="37"/>
      <c r="AC42" s="37"/>
      <c r="AD42" s="142"/>
      <c r="AE42" s="142"/>
    </row>
    <row r="43">
      <c r="A43" s="26"/>
      <c r="B43" s="26"/>
      <c r="C43" s="26" t="b">
        <v>1</v>
      </c>
      <c r="D43" s="26" t="s">
        <v>42</v>
      </c>
      <c r="E43" s="26" t="s">
        <v>3509</v>
      </c>
      <c r="F43" s="39" t="s">
        <v>3670</v>
      </c>
      <c r="G43" s="39" t="s">
        <v>3679</v>
      </c>
      <c r="H43" s="66" t="s">
        <v>3680</v>
      </c>
      <c r="I43" s="26">
        <v>24.0</v>
      </c>
      <c r="J43" s="26">
        <v>24.0</v>
      </c>
      <c r="K43" s="26" t="s">
        <v>3513</v>
      </c>
      <c r="L43" s="26"/>
      <c r="M43" s="41"/>
      <c r="N43" s="61" t="s">
        <v>55</v>
      </c>
      <c r="O43" s="61" t="s">
        <v>3681</v>
      </c>
      <c r="P43" s="130" t="s">
        <v>3682</v>
      </c>
      <c r="Q43" s="54"/>
      <c r="R43" s="34" t="b">
        <v>1</v>
      </c>
      <c r="S43" s="39" t="s">
        <v>2016</v>
      </c>
      <c r="T43" s="39" t="s">
        <v>3683</v>
      </c>
      <c r="U43" s="35"/>
      <c r="V43" s="37" t="s">
        <v>3522</v>
      </c>
      <c r="W43" s="37" t="s">
        <v>2300</v>
      </c>
      <c r="X43" s="175" t="s">
        <v>3542</v>
      </c>
      <c r="Y43" s="72" t="s">
        <v>3680</v>
      </c>
      <c r="Z43" s="37" t="s">
        <v>3525</v>
      </c>
      <c r="AA43" s="37" t="s">
        <v>3526</v>
      </c>
      <c r="AB43" s="37"/>
      <c r="AC43" s="37"/>
      <c r="AD43" s="142"/>
      <c r="AE43" s="142"/>
    </row>
    <row r="44">
      <c r="A44" s="26"/>
      <c r="B44" s="26"/>
      <c r="C44" s="26" t="b">
        <v>1</v>
      </c>
      <c r="D44" s="26" t="s">
        <v>42</v>
      </c>
      <c r="E44" s="26" t="s">
        <v>3509</v>
      </c>
      <c r="F44" s="39" t="s">
        <v>3670</v>
      </c>
      <c r="G44" s="39" t="s">
        <v>3684</v>
      </c>
      <c r="H44" s="66" t="s">
        <v>3685</v>
      </c>
      <c r="I44" s="26">
        <v>24.0</v>
      </c>
      <c r="J44" s="26">
        <v>24.0</v>
      </c>
      <c r="K44" s="26" t="s">
        <v>3513</v>
      </c>
      <c r="L44" s="26"/>
      <c r="M44" s="41"/>
      <c r="N44" s="32"/>
      <c r="O44" s="61" t="s">
        <v>3575</v>
      </c>
      <c r="P44" s="32"/>
      <c r="Q44" s="54"/>
      <c r="R44" s="34" t="b">
        <v>1</v>
      </c>
      <c r="S44" s="39" t="s">
        <v>2016</v>
      </c>
      <c r="T44" s="39" t="s">
        <v>3686</v>
      </c>
      <c r="U44" s="35"/>
      <c r="V44" s="37" t="s">
        <v>3522</v>
      </c>
      <c r="W44" s="37" t="s">
        <v>2300</v>
      </c>
      <c r="X44" s="175" t="s">
        <v>3542</v>
      </c>
      <c r="Y44" s="72" t="s">
        <v>3685</v>
      </c>
      <c r="Z44" s="37" t="s">
        <v>3525</v>
      </c>
      <c r="AA44" s="37" t="s">
        <v>3526</v>
      </c>
      <c r="AB44" s="37"/>
      <c r="AC44" s="37"/>
      <c r="AD44" s="142"/>
      <c r="AE44" s="142"/>
    </row>
    <row r="45">
      <c r="A45" s="26"/>
      <c r="B45" s="26"/>
      <c r="C45" s="26" t="b">
        <v>1</v>
      </c>
      <c r="D45" s="26" t="s">
        <v>42</v>
      </c>
      <c r="E45" s="26" t="s">
        <v>3509</v>
      </c>
      <c r="F45" s="39" t="s">
        <v>3670</v>
      </c>
      <c r="G45" s="39" t="s">
        <v>3687</v>
      </c>
      <c r="H45" s="66" t="s">
        <v>3688</v>
      </c>
      <c r="I45" s="26">
        <v>24.0</v>
      </c>
      <c r="J45" s="26">
        <v>24.0</v>
      </c>
      <c r="K45" s="26" t="s">
        <v>3513</v>
      </c>
      <c r="L45" s="26"/>
      <c r="M45" s="41"/>
      <c r="N45" s="32"/>
      <c r="O45" s="61" t="s">
        <v>3575</v>
      </c>
      <c r="P45" s="32"/>
      <c r="Q45" s="54"/>
      <c r="R45" s="34" t="b">
        <v>1</v>
      </c>
      <c r="S45" s="39" t="s">
        <v>3689</v>
      </c>
      <c r="T45" s="39" t="s">
        <v>3690</v>
      </c>
      <c r="U45" s="35"/>
      <c r="V45" s="37" t="s">
        <v>3522</v>
      </c>
      <c r="W45" s="37" t="s">
        <v>2300</v>
      </c>
      <c r="X45" s="175" t="s">
        <v>3542</v>
      </c>
      <c r="Y45" s="72" t="s">
        <v>3688</v>
      </c>
      <c r="Z45" s="37" t="s">
        <v>3525</v>
      </c>
      <c r="AA45" s="37" t="s">
        <v>3526</v>
      </c>
      <c r="AB45" s="37"/>
      <c r="AC45" s="37"/>
      <c r="AD45" s="142"/>
      <c r="AE45" s="142"/>
    </row>
    <row r="46">
      <c r="A46" s="26"/>
      <c r="B46" s="26"/>
      <c r="C46" s="26" t="b">
        <v>1</v>
      </c>
      <c r="D46" s="26" t="s">
        <v>42</v>
      </c>
      <c r="E46" s="26" t="s">
        <v>3509</v>
      </c>
      <c r="F46" s="39" t="s">
        <v>3670</v>
      </c>
      <c r="G46" s="39" t="s">
        <v>3691</v>
      </c>
      <c r="H46" s="66" t="s">
        <v>3574</v>
      </c>
      <c r="I46" s="26">
        <v>24.0</v>
      </c>
      <c r="J46" s="26">
        <v>24.0</v>
      </c>
      <c r="K46" s="26" t="s">
        <v>3513</v>
      </c>
      <c r="L46" s="26"/>
      <c r="M46" s="41"/>
      <c r="N46" s="32"/>
      <c r="O46" s="61" t="s">
        <v>3575</v>
      </c>
      <c r="P46" s="32"/>
      <c r="Q46" s="54"/>
      <c r="R46" s="34" t="b">
        <v>1</v>
      </c>
      <c r="S46" s="39" t="s">
        <v>3692</v>
      </c>
      <c r="T46" s="39"/>
      <c r="U46" s="35"/>
      <c r="V46" s="37" t="s">
        <v>3522</v>
      </c>
      <c r="W46" s="37" t="s">
        <v>2300</v>
      </c>
      <c r="X46" s="175" t="s">
        <v>3542</v>
      </c>
      <c r="Y46" s="72" t="s">
        <v>3574</v>
      </c>
      <c r="Z46" s="37" t="s">
        <v>3525</v>
      </c>
      <c r="AA46" s="37" t="s">
        <v>3526</v>
      </c>
      <c r="AB46" s="37"/>
      <c r="AC46" s="37"/>
      <c r="AD46" s="142"/>
      <c r="AE46" s="142"/>
    </row>
    <row r="47">
      <c r="A47" s="26"/>
      <c r="B47" s="26"/>
      <c r="C47" s="26" t="b">
        <v>1</v>
      </c>
      <c r="D47" s="26" t="s">
        <v>42</v>
      </c>
      <c r="E47" s="26" t="s">
        <v>3509</v>
      </c>
      <c r="F47" s="39" t="s">
        <v>3670</v>
      </c>
      <c r="G47" s="39" t="s">
        <v>3693</v>
      </c>
      <c r="H47" s="66" t="s">
        <v>3694</v>
      </c>
      <c r="I47" s="26">
        <v>24.0</v>
      </c>
      <c r="J47" s="26">
        <v>24.0</v>
      </c>
      <c r="K47" s="26" t="s">
        <v>3513</v>
      </c>
      <c r="L47" s="26"/>
      <c r="M47" s="41"/>
      <c r="N47" s="32"/>
      <c r="O47" s="61"/>
      <c r="P47" s="32"/>
      <c r="Q47" s="54"/>
      <c r="R47" s="34" t="b">
        <v>1</v>
      </c>
      <c r="S47" s="39" t="s">
        <v>3677</v>
      </c>
      <c r="T47" s="39" t="s">
        <v>3695</v>
      </c>
      <c r="U47" s="35"/>
      <c r="V47" s="37" t="s">
        <v>3522</v>
      </c>
      <c r="W47" s="37" t="s">
        <v>2300</v>
      </c>
      <c r="X47" s="175" t="s">
        <v>3542</v>
      </c>
      <c r="Y47" s="72" t="s">
        <v>3694</v>
      </c>
      <c r="Z47" s="37" t="s">
        <v>3525</v>
      </c>
      <c r="AA47" s="37" t="s">
        <v>3526</v>
      </c>
      <c r="AB47" s="37"/>
      <c r="AC47" s="37"/>
      <c r="AD47" s="142"/>
      <c r="AE47" s="142"/>
    </row>
    <row r="48">
      <c r="A48" s="26">
        <v>13.0</v>
      </c>
      <c r="B48" s="26" t="b">
        <v>1</v>
      </c>
      <c r="C48" s="26" t="b">
        <v>1</v>
      </c>
      <c r="D48" s="26" t="s">
        <v>35</v>
      </c>
      <c r="E48" s="26" t="s">
        <v>3509</v>
      </c>
      <c r="F48" s="37" t="s">
        <v>3696</v>
      </c>
      <c r="G48" s="37" t="s">
        <v>3696</v>
      </c>
      <c r="H48" s="82" t="s">
        <v>3697</v>
      </c>
      <c r="I48" s="26">
        <v>4.0</v>
      </c>
      <c r="J48" s="26">
        <v>4.0</v>
      </c>
      <c r="K48" s="26" t="s">
        <v>3513</v>
      </c>
      <c r="L48" s="173" t="s">
        <v>339</v>
      </c>
      <c r="M48" s="176" t="s">
        <v>340</v>
      </c>
      <c r="N48" s="32" t="s">
        <v>3677</v>
      </c>
      <c r="O48" s="32" t="s">
        <v>3698</v>
      </c>
      <c r="P48" s="32" t="s">
        <v>3699</v>
      </c>
      <c r="Q48" s="174" t="s">
        <v>3700</v>
      </c>
      <c r="R48" s="34" t="b">
        <v>1</v>
      </c>
      <c r="S48" s="39" t="s">
        <v>3677</v>
      </c>
      <c r="T48" s="39" t="s">
        <v>3701</v>
      </c>
      <c r="U48" s="35" t="s">
        <v>3699</v>
      </c>
      <c r="V48" s="37" t="s">
        <v>3522</v>
      </c>
      <c r="W48" s="37" t="s">
        <v>2300</v>
      </c>
      <c r="X48" s="175" t="s">
        <v>3542</v>
      </c>
      <c r="Y48" s="72" t="s">
        <v>3697</v>
      </c>
      <c r="Z48" s="37" t="s">
        <v>3525</v>
      </c>
      <c r="AA48" s="37" t="s">
        <v>3526</v>
      </c>
      <c r="AB48" s="37"/>
      <c r="AC48" s="37"/>
      <c r="AD48" s="142"/>
      <c r="AE48" s="142"/>
    </row>
    <row r="49">
      <c r="A49" s="26"/>
      <c r="B49" s="26"/>
      <c r="C49" s="26" t="b">
        <v>1</v>
      </c>
      <c r="D49" s="26" t="s">
        <v>42</v>
      </c>
      <c r="E49" s="26" t="s">
        <v>3509</v>
      </c>
      <c r="F49" s="39" t="s">
        <v>3696</v>
      </c>
      <c r="G49" s="39" t="s">
        <v>3702</v>
      </c>
      <c r="H49" s="66" t="s">
        <v>3703</v>
      </c>
      <c r="I49" s="26">
        <v>4.0</v>
      </c>
      <c r="J49" s="26">
        <v>4.0</v>
      </c>
      <c r="K49" s="26" t="s">
        <v>3513</v>
      </c>
      <c r="L49" s="26"/>
      <c r="M49" s="41"/>
      <c r="N49" s="32"/>
      <c r="O49" s="61" t="s">
        <v>3575</v>
      </c>
      <c r="P49" s="32"/>
      <c r="Q49" s="54"/>
      <c r="R49" s="34" t="b">
        <v>1</v>
      </c>
      <c r="S49" s="39" t="s">
        <v>2016</v>
      </c>
      <c r="T49" s="39" t="s">
        <v>3704</v>
      </c>
      <c r="U49" s="35"/>
      <c r="V49" s="37" t="s">
        <v>3522</v>
      </c>
      <c r="W49" s="37" t="s">
        <v>2300</v>
      </c>
      <c r="X49" s="175" t="s">
        <v>3542</v>
      </c>
      <c r="Y49" s="72" t="s">
        <v>3703</v>
      </c>
      <c r="Z49" s="37" t="s">
        <v>3525</v>
      </c>
      <c r="AA49" s="37" t="s">
        <v>3526</v>
      </c>
      <c r="AB49" s="37"/>
      <c r="AC49" s="37"/>
      <c r="AD49" s="142"/>
      <c r="AE49" s="142"/>
    </row>
    <row r="50">
      <c r="A50" s="26">
        <v>14.0</v>
      </c>
      <c r="B50" s="26" t="b">
        <v>1</v>
      </c>
      <c r="C50" s="26" t="b">
        <v>1</v>
      </c>
      <c r="D50" s="26" t="s">
        <v>35</v>
      </c>
      <c r="E50" s="26" t="s">
        <v>3509</v>
      </c>
      <c r="F50" s="37" t="s">
        <v>3705</v>
      </c>
      <c r="G50" s="37" t="s">
        <v>3705</v>
      </c>
      <c r="H50" s="82" t="s">
        <v>3706</v>
      </c>
      <c r="I50" s="26">
        <v>24.0</v>
      </c>
      <c r="J50" s="26">
        <v>24.0</v>
      </c>
      <c r="K50" s="26" t="s">
        <v>3513</v>
      </c>
      <c r="L50" s="173" t="s">
        <v>339</v>
      </c>
      <c r="M50" s="176" t="s">
        <v>340</v>
      </c>
      <c r="N50" s="32" t="s">
        <v>3707</v>
      </c>
      <c r="O50" s="32" t="s">
        <v>3708</v>
      </c>
      <c r="P50" s="32" t="s">
        <v>3709</v>
      </c>
      <c r="Q50" s="177" t="s">
        <v>3710</v>
      </c>
      <c r="R50" s="34" t="b">
        <v>1</v>
      </c>
      <c r="S50" s="39" t="s">
        <v>3707</v>
      </c>
      <c r="T50" s="39" t="s">
        <v>3708</v>
      </c>
      <c r="U50" s="35"/>
      <c r="V50" s="37" t="s">
        <v>3522</v>
      </c>
      <c r="W50" s="37" t="s">
        <v>2300</v>
      </c>
      <c r="X50" s="175" t="s">
        <v>3542</v>
      </c>
      <c r="Y50" s="72" t="s">
        <v>3706</v>
      </c>
      <c r="Z50" s="37" t="s">
        <v>3525</v>
      </c>
      <c r="AA50" s="37" t="s">
        <v>3526</v>
      </c>
      <c r="AB50" s="37"/>
      <c r="AC50" s="37"/>
      <c r="AD50" s="142"/>
      <c r="AE50" s="142"/>
    </row>
    <row r="51">
      <c r="A51" s="26"/>
      <c r="B51" s="26"/>
      <c r="C51" s="26" t="b">
        <v>1</v>
      </c>
      <c r="D51" s="26" t="s">
        <v>42</v>
      </c>
      <c r="E51" s="26" t="s">
        <v>3509</v>
      </c>
      <c r="F51" s="39" t="s">
        <v>3705</v>
      </c>
      <c r="G51" s="39" t="s">
        <v>3711</v>
      </c>
      <c r="H51" s="66" t="s">
        <v>3712</v>
      </c>
      <c r="I51" s="26">
        <v>24.0</v>
      </c>
      <c r="J51" s="26">
        <v>24.0</v>
      </c>
      <c r="K51" s="26" t="s">
        <v>3513</v>
      </c>
      <c r="L51" s="26"/>
      <c r="M51" s="47"/>
      <c r="N51" s="61" t="s">
        <v>3713</v>
      </c>
      <c r="O51" s="61" t="s">
        <v>3575</v>
      </c>
      <c r="P51" s="61"/>
      <c r="Q51" s="179"/>
      <c r="R51" s="34" t="b">
        <v>1</v>
      </c>
      <c r="S51" s="39"/>
      <c r="T51" s="39"/>
      <c r="U51" s="35"/>
      <c r="V51" s="37" t="s">
        <v>3522</v>
      </c>
      <c r="W51" s="37" t="s">
        <v>2300</v>
      </c>
      <c r="X51" s="175" t="s">
        <v>3542</v>
      </c>
      <c r="Y51" s="72" t="s">
        <v>3714</v>
      </c>
      <c r="Z51" s="37" t="s">
        <v>3525</v>
      </c>
      <c r="AA51" s="37" t="s">
        <v>3526</v>
      </c>
      <c r="AB51" s="37"/>
      <c r="AC51" s="37"/>
      <c r="AD51" s="142"/>
      <c r="AE51" s="142"/>
    </row>
    <row r="52">
      <c r="A52" s="26">
        <v>15.0</v>
      </c>
      <c r="B52" s="26" t="b">
        <v>1</v>
      </c>
      <c r="C52" s="26" t="b">
        <v>1</v>
      </c>
      <c r="D52" s="26" t="s">
        <v>35</v>
      </c>
      <c r="E52" s="26" t="s">
        <v>3509</v>
      </c>
      <c r="F52" s="37" t="s">
        <v>3715</v>
      </c>
      <c r="G52" s="37" t="s">
        <v>3715</v>
      </c>
      <c r="H52" s="82" t="s">
        <v>3716</v>
      </c>
      <c r="I52" s="26">
        <v>81.0</v>
      </c>
      <c r="J52" s="26">
        <v>81.0</v>
      </c>
      <c r="K52" s="26" t="s">
        <v>3513</v>
      </c>
      <c r="L52" s="173" t="s">
        <v>3717</v>
      </c>
      <c r="M52" s="174" t="s">
        <v>123</v>
      </c>
      <c r="N52" s="32" t="s">
        <v>3570</v>
      </c>
      <c r="O52" s="32" t="s">
        <v>3718</v>
      </c>
      <c r="P52" s="32" t="s">
        <v>3719</v>
      </c>
      <c r="Q52" s="174" t="s">
        <v>3720</v>
      </c>
      <c r="R52" s="34" t="b">
        <v>1</v>
      </c>
      <c r="S52" s="39" t="s">
        <v>3721</v>
      </c>
      <c r="T52" s="39" t="s">
        <v>3722</v>
      </c>
      <c r="U52" s="35" t="s">
        <v>3719</v>
      </c>
      <c r="V52" s="37" t="s">
        <v>3522</v>
      </c>
      <c r="W52" s="37" t="s">
        <v>2300</v>
      </c>
      <c r="X52" s="175" t="s">
        <v>3542</v>
      </c>
      <c r="Y52" s="72" t="s">
        <v>3716</v>
      </c>
      <c r="Z52" s="37" t="s">
        <v>3525</v>
      </c>
      <c r="AA52" s="37" t="s">
        <v>3526</v>
      </c>
      <c r="AB52" s="37"/>
      <c r="AC52" s="37"/>
      <c r="AD52" s="142"/>
      <c r="AE52" s="142"/>
    </row>
    <row r="53">
      <c r="A53" s="26"/>
      <c r="B53" s="26"/>
      <c r="C53" s="26" t="b">
        <v>0</v>
      </c>
      <c r="D53" s="26" t="s">
        <v>42</v>
      </c>
      <c r="E53" s="26" t="s">
        <v>3509</v>
      </c>
      <c r="F53" s="39" t="s">
        <v>3715</v>
      </c>
      <c r="G53" s="39" t="s">
        <v>3723</v>
      </c>
      <c r="H53" s="66" t="s">
        <v>3724</v>
      </c>
      <c r="I53" s="43">
        <v>0.0</v>
      </c>
      <c r="J53" s="26" t="e">
        <v>#N/A</v>
      </c>
      <c r="K53" s="26" t="s">
        <v>3297</v>
      </c>
      <c r="L53" s="26"/>
      <c r="M53" s="41"/>
      <c r="N53" s="61" t="s">
        <v>3725</v>
      </c>
      <c r="O53" s="61" t="s">
        <v>3726</v>
      </c>
      <c r="P53" s="130" t="s">
        <v>3727</v>
      </c>
      <c r="Q53" s="54"/>
      <c r="R53" s="34" t="b">
        <v>1</v>
      </c>
      <c r="S53" s="39"/>
      <c r="T53" s="39" t="s">
        <v>3728</v>
      </c>
      <c r="U53" s="35"/>
      <c r="V53" s="37" t="s">
        <v>3561</v>
      </c>
      <c r="W53" s="37" t="s">
        <v>3562</v>
      </c>
      <c r="X53" s="175" t="s">
        <v>3562</v>
      </c>
      <c r="Y53" s="72" t="s">
        <v>3562</v>
      </c>
      <c r="Z53" s="37" t="s">
        <v>3526</v>
      </c>
      <c r="AA53" s="37" t="s">
        <v>3526</v>
      </c>
      <c r="AB53" s="37"/>
      <c r="AC53" s="37"/>
      <c r="AD53" s="142"/>
      <c r="AE53" s="142"/>
    </row>
    <row r="54">
      <c r="A54" s="26"/>
      <c r="B54" s="26"/>
      <c r="C54" s="26" t="b">
        <v>0</v>
      </c>
      <c r="D54" s="26" t="s">
        <v>42</v>
      </c>
      <c r="E54" s="26" t="s">
        <v>3509</v>
      </c>
      <c r="F54" s="39" t="s">
        <v>3715</v>
      </c>
      <c r="G54" s="39" t="s">
        <v>3729</v>
      </c>
      <c r="H54" s="66" t="s">
        <v>3730</v>
      </c>
      <c r="I54" s="43">
        <v>0.0</v>
      </c>
      <c r="J54" s="26" t="e">
        <v>#N/A</v>
      </c>
      <c r="K54" s="26" t="s">
        <v>3297</v>
      </c>
      <c r="L54" s="26"/>
      <c r="M54" s="41"/>
      <c r="N54" s="61" t="s">
        <v>55</v>
      </c>
      <c r="O54" s="61" t="s">
        <v>3731</v>
      </c>
      <c r="P54" s="136" t="s">
        <v>3732</v>
      </c>
      <c r="Q54" s="54"/>
      <c r="R54" s="34" t="b">
        <v>1</v>
      </c>
      <c r="S54" s="39"/>
      <c r="T54" s="39" t="s">
        <v>3733</v>
      </c>
      <c r="U54" s="35"/>
      <c r="V54" s="37" t="s">
        <v>3561</v>
      </c>
      <c r="W54" s="37" t="s">
        <v>3562</v>
      </c>
      <c r="X54" s="175" t="s">
        <v>3562</v>
      </c>
      <c r="Y54" s="72" t="s">
        <v>3562</v>
      </c>
      <c r="Z54" s="37" t="s">
        <v>3526</v>
      </c>
      <c r="AA54" s="37" t="s">
        <v>3526</v>
      </c>
      <c r="AB54" s="37"/>
      <c r="AC54" s="37"/>
      <c r="AD54" s="142"/>
      <c r="AE54" s="142"/>
    </row>
    <row r="55">
      <c r="A55" s="26">
        <v>16.0</v>
      </c>
      <c r="B55" s="26" t="b">
        <v>1</v>
      </c>
      <c r="C55" s="26" t="b">
        <v>1</v>
      </c>
      <c r="D55" s="26" t="s">
        <v>35</v>
      </c>
      <c r="E55" s="26" t="s">
        <v>3509</v>
      </c>
      <c r="F55" s="37" t="s">
        <v>3734</v>
      </c>
      <c r="G55" s="37" t="s">
        <v>3734</v>
      </c>
      <c r="H55" s="82" t="s">
        <v>3735</v>
      </c>
      <c r="I55" s="26">
        <v>84.0</v>
      </c>
      <c r="J55" s="26">
        <v>84.0</v>
      </c>
      <c r="K55" s="26" t="s">
        <v>3513</v>
      </c>
      <c r="L55" s="173" t="s">
        <v>339</v>
      </c>
      <c r="M55" s="174" t="s">
        <v>340</v>
      </c>
      <c r="N55" s="32" t="s">
        <v>3736</v>
      </c>
      <c r="O55" s="32" t="s">
        <v>3737</v>
      </c>
      <c r="P55" s="32" t="s">
        <v>3738</v>
      </c>
      <c r="Q55" s="174" t="s">
        <v>3739</v>
      </c>
      <c r="R55" s="34" t="b">
        <v>1</v>
      </c>
      <c r="S55" s="39" t="s">
        <v>3736</v>
      </c>
      <c r="T55" s="39" t="s">
        <v>3740</v>
      </c>
      <c r="U55" s="35" t="s">
        <v>3741</v>
      </c>
      <c r="V55" s="37" t="s">
        <v>3522</v>
      </c>
      <c r="W55" s="37" t="s">
        <v>3523</v>
      </c>
      <c r="X55" s="175" t="s">
        <v>3742</v>
      </c>
      <c r="Y55" s="72" t="s">
        <v>3735</v>
      </c>
      <c r="Z55" s="37" t="s">
        <v>3525</v>
      </c>
      <c r="AA55" s="37" t="s">
        <v>3526</v>
      </c>
      <c r="AB55" s="37"/>
      <c r="AC55" s="37"/>
      <c r="AD55" s="142"/>
      <c r="AE55" s="142"/>
    </row>
    <row r="56">
      <c r="A56" s="26"/>
      <c r="B56" s="26"/>
      <c r="C56" s="26" t="b">
        <v>1</v>
      </c>
      <c r="D56" s="26" t="s">
        <v>42</v>
      </c>
      <c r="E56" s="26" t="s">
        <v>3509</v>
      </c>
      <c r="F56" s="39" t="s">
        <v>3734</v>
      </c>
      <c r="G56" s="39" t="s">
        <v>3743</v>
      </c>
      <c r="H56" s="66" t="s">
        <v>3744</v>
      </c>
      <c r="I56" s="43">
        <v>84.0</v>
      </c>
      <c r="J56" s="26">
        <v>84.0</v>
      </c>
      <c r="K56" s="26" t="s">
        <v>3513</v>
      </c>
      <c r="L56" s="26"/>
      <c r="M56" s="41"/>
      <c r="N56" s="61"/>
      <c r="O56" s="61"/>
      <c r="P56" s="61"/>
      <c r="Q56" s="54"/>
      <c r="R56" s="44" t="b">
        <v>0</v>
      </c>
      <c r="S56" s="39"/>
      <c r="T56" s="39"/>
      <c r="U56" s="35"/>
      <c r="V56" s="37" t="s">
        <v>3522</v>
      </c>
      <c r="W56" s="37" t="s">
        <v>3523</v>
      </c>
      <c r="X56" s="175" t="s">
        <v>3742</v>
      </c>
      <c r="Y56" s="72" t="s">
        <v>3745</v>
      </c>
      <c r="Z56" s="37" t="s">
        <v>3525</v>
      </c>
      <c r="AA56" s="37" t="s">
        <v>3526</v>
      </c>
      <c r="AB56" s="37"/>
      <c r="AC56" s="37"/>
      <c r="AD56" s="142"/>
      <c r="AE56" s="142"/>
    </row>
  </sheetData>
  <customSheetViews>
    <customSheetView guid="{9FB70F27-B6DD-456A-B688-1649FBDCBF68}" filter="1" showAutoFilter="1">
      <autoFilter ref="$A$4:$AE$56">
        <filterColumn colId="18">
          <filters>
            <filter val="Lenovo"/>
            <filter val="CANON"/>
            <filter val="SONY"/>
            <filter val="HALION"/>
            <filter val="VIEW SONIC"/>
            <filter val="JUPE"/>
            <filter val="DJI"/>
            <filter val="IK Multimedia"/>
            <filter val="XP-Pen"/>
            <filter val="VIEWSONIC"/>
            <filter val="LENOVO"/>
            <filter val="Mackie"/>
            <filter val="EPSON"/>
            <filter val="Generico"/>
            <filter val="Microsoft"/>
            <filter val="JOBY"/>
          </filters>
        </filterColumn>
        <filterColumn colId="17">
          <filters>
            <filter val="FALSE"/>
          </filters>
        </filterColumn>
      </autoFilter>
    </customSheetView>
    <customSheetView guid="{A342DC37-92D1-4766-8AB5-11119745D3CD}" filter="1" showAutoFilter="1">
      <autoFilter ref="$A$4:$AD$56">
        <filterColumn colId="3">
          <filters>
            <filter val="BIEN"/>
          </filters>
        </filterColumn>
        <filterColumn colId="29">
          <filters>
            <filter val="C"/>
          </filters>
        </filterColumn>
      </autoFilter>
    </customSheetView>
    <customSheetView guid="{9063AE3F-660D-4527-A33A-71BB884ED82B}" filter="1" showAutoFilter="1">
      <autoFilter ref="$A$4:$AC$56">
        <filterColumn colId="3">
          <filters>
            <filter val="BIEN"/>
          </filters>
        </filterColumn>
        <sortState ref="A4:AC56">
          <sortCondition ref="G4:G56"/>
        </sortState>
      </autoFilter>
    </customSheetView>
    <customSheetView guid="{9085AB6F-8037-4797-9FB0-505AE80C8ECD}" filter="1" showAutoFilter="1">
      <autoFilter ref="$A$4:$AE$56">
        <filterColumn colId="21">
          <filters blank="1">
            <filter val="Técnica"/>
          </filters>
        </filterColumn>
        <filterColumn colId="18">
          <filters>
            <filter val="Lenovo"/>
            <filter val="CANON"/>
            <filter val="SONY"/>
            <filter val="HALION"/>
            <filter val="VIEW SONIC"/>
            <filter val="JUPE"/>
            <filter val="DJI"/>
            <filter val="IK Multimedia"/>
            <filter val="XP-Pen"/>
            <filter val="VIEWSONIC"/>
            <filter val="LENOVO"/>
            <filter val="Mackie"/>
            <filter val="EPSON"/>
            <filter val="Generico"/>
            <filter val="Microsoft"/>
            <filter val="JOBY"/>
          </filters>
        </filterColumn>
        <filterColumn colId="17">
          <filters>
            <filter val="FALSE"/>
          </filters>
        </filterColumn>
      </autoFilter>
    </customSheetView>
  </customSheetViews>
  <mergeCells count="6">
    <mergeCell ref="B2:G2"/>
    <mergeCell ref="N2:P2"/>
    <mergeCell ref="R2:U2"/>
    <mergeCell ref="N3:P3"/>
    <mergeCell ref="R3:U3"/>
    <mergeCell ref="V3:Y3"/>
  </mergeCells>
  <conditionalFormatting sqref="A5:L56">
    <cfRule type="expression" dxfId="0" priority="1">
      <formula>IF( AND ( IF(COUNTIF($G5, "*.*") &gt; 0, FALSE, TRUE), $G5 &lt;&gt; "" ), TRUE, FALSE)</formula>
    </cfRule>
  </conditionalFormatting>
  <dataValidations>
    <dataValidation type="list" allowBlank="1" showErrorMessage="1" sqref="W5:W56">
      <formula1>"NACIONAL,INTERNACIONAL,INT/NAC"</formula1>
    </dataValidation>
    <dataValidation type="list" allowBlank="1" showErrorMessage="1" sqref="L5 L9 L13 L16 L25:L34 L36:L40 L42 L48 L50 L52 L55">
      <formula1>"COCINA Y REPOSTERÍA,COMPUTACIÓN E INFORMÁTICA,CONSTRUCCIONES METÁLICAS,EBANISTERÍA,ELECTRICIDAD,ELECTRÓNICA,INDUSTRIA ALIMENTARIA,INDUSTRIA DEL VESTIDO,MECÁNICA AUTOMOTRÍZ"</formula1>
    </dataValidation>
    <dataValidation type="list" allowBlank="1" showErrorMessage="1" sqref="V5:V56">
      <formula1>"Técnica,Simple,Hugo,Camila,NO ESTÁ EN REQ"</formula1>
    </dataValidation>
    <dataValidation type="list" allowBlank="1" showErrorMessage="1" sqref="L6:L8 L10:L12 L14:L15 L17:L24 L35 L41 L43:L47 L49 L51 L53:L54 D5:D56 L56">
      <formula1>"BIEN,ACCESORIO"</formula1>
    </dataValidation>
  </dataValidations>
  <hyperlinks>
    <hyperlink r:id="rId2" ref="M5"/>
    <hyperlink r:id="rId3" location="gid=0" ref="Q5"/>
    <hyperlink r:id="rId4" ref="P8"/>
    <hyperlink r:id="rId5" ref="M9"/>
    <hyperlink r:id="rId6" location="gid=0" ref="Q9"/>
    <hyperlink r:id="rId7" ref="P12"/>
    <hyperlink r:id="rId8" ref="M13"/>
    <hyperlink r:id="rId9" location="gid=0" ref="Q13"/>
    <hyperlink r:id="rId10" ref="U13"/>
    <hyperlink r:id="rId11" ref="P14"/>
    <hyperlink r:id="rId12" ref="M16"/>
    <hyperlink r:id="rId13" ref="Q16"/>
    <hyperlink r:id="rId14" ref="P19"/>
    <hyperlink r:id="rId15" ref="M25"/>
    <hyperlink r:id="rId16" ref="Q25"/>
    <hyperlink r:id="rId17" ref="M28"/>
    <hyperlink r:id="rId18" location="gid=0" ref="Q28"/>
    <hyperlink r:id="rId19" ref="M31"/>
    <hyperlink r:id="rId20" location="gid=0" ref="Q31"/>
    <hyperlink r:id="rId21" ref="M34"/>
    <hyperlink r:id="rId22" location="gid=0" ref="Q34"/>
    <hyperlink r:id="rId23" ref="U34"/>
    <hyperlink r:id="rId24" ref="P35"/>
    <hyperlink r:id="rId25" ref="M36"/>
    <hyperlink r:id="rId26" location="gid=0" ref="Q36"/>
    <hyperlink r:id="rId27" ref="U36"/>
    <hyperlink r:id="rId28" ref="M38"/>
    <hyperlink r:id="rId29" location="gid=0" ref="Q38"/>
    <hyperlink r:id="rId30" ref="U38"/>
    <hyperlink r:id="rId31" ref="M40"/>
    <hyperlink r:id="rId32" location="gid=0" ref="Q40"/>
    <hyperlink r:id="rId33" ref="P41"/>
    <hyperlink r:id="rId34" ref="M42"/>
    <hyperlink r:id="rId35" ref="Q42"/>
    <hyperlink r:id="rId36" ref="P43"/>
    <hyperlink r:id="rId37" ref="M48"/>
    <hyperlink r:id="rId38" location="gid=0" ref="Q48"/>
    <hyperlink r:id="rId39" ref="M50"/>
    <hyperlink r:id="rId40" location="gid=0" ref="Q50"/>
    <hyperlink r:id="rId41" ref="M52"/>
    <hyperlink r:id="rId42" location="gid=0" ref="Q52"/>
    <hyperlink r:id="rId43" ref="P53"/>
    <hyperlink r:id="rId44" ref="P54"/>
    <hyperlink r:id="rId45" ref="M55"/>
    <hyperlink r:id="rId46" location="gid=0" ref="Q55"/>
  </hyperlinks>
  <drawing r:id="rId47"/>
  <legacyDrawing r:id="rId4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9BCB8"/>
    <outlinePr summaryBelow="0" summaryRight="0"/>
  </sheetPr>
  <sheetViews>
    <sheetView showGridLines="0" workbookViewId="0">
      <pane xSplit="9.0" ySplit="4.0" topLeftCell="J5" activePane="bottomRight" state="frozen"/>
      <selection activeCell="J1" sqref="J1" pane="topRight"/>
      <selection activeCell="A5" sqref="A5" pane="bottomLeft"/>
      <selection activeCell="J5" sqref="J5" pane="bottomRight"/>
    </sheetView>
  </sheetViews>
  <sheetFormatPr customHeight="1" defaultColWidth="12.63" defaultRowHeight="15.75"/>
  <cols>
    <col customWidth="1" min="1" max="1" width="3.88"/>
    <col customWidth="1" min="2" max="3" width="10.13"/>
    <col customWidth="1" min="4" max="7" width="12.63"/>
    <col customWidth="1" min="8" max="8" width="37.63"/>
    <col customWidth="1" min="9" max="10" width="9.5"/>
    <col customWidth="1" min="11" max="13" width="12.63"/>
    <col customWidth="1" hidden="1" min="14" max="14" width="25.13"/>
    <col customWidth="1" min="15" max="16" width="18.88"/>
    <col customWidth="1" min="17" max="18" width="12.63"/>
    <col customWidth="1" min="19" max="19" width="25.13"/>
    <col customWidth="1" hidden="1" min="20" max="23" width="11.13"/>
    <col customWidth="1" min="24" max="24" width="6.38"/>
  </cols>
  <sheetData>
    <row r="1">
      <c r="A1" s="2"/>
      <c r="B1" s="2"/>
      <c r="C1" s="2"/>
      <c r="D1" s="2"/>
      <c r="E1" s="2"/>
      <c r="F1" s="2"/>
      <c r="G1" s="2"/>
      <c r="H1" s="3"/>
      <c r="I1" s="4"/>
      <c r="J1" s="4"/>
      <c r="K1" s="71"/>
      <c r="L1" s="13"/>
      <c r="M1" s="4"/>
      <c r="N1" s="13"/>
      <c r="O1" s="13"/>
      <c r="P1" s="13"/>
      <c r="Q1" s="4"/>
      <c r="R1" s="4"/>
      <c r="S1" s="4"/>
      <c r="T1" s="8"/>
      <c r="U1" s="8"/>
      <c r="V1" s="8"/>
      <c r="W1" s="8"/>
      <c r="X1" s="8"/>
    </row>
    <row r="2">
      <c r="A2" s="2"/>
      <c r="B2" s="12" t="s">
        <v>3746</v>
      </c>
      <c r="C2" s="180"/>
      <c r="D2" s="180"/>
      <c r="E2" s="180"/>
      <c r="F2" s="180"/>
      <c r="G2" s="180"/>
      <c r="H2" s="3"/>
      <c r="I2" s="4"/>
      <c r="J2" s="4"/>
      <c r="K2" s="71"/>
      <c r="L2" s="13"/>
      <c r="M2" s="4"/>
      <c r="N2" s="13"/>
      <c r="O2" s="13"/>
      <c r="P2" s="13"/>
      <c r="Q2" s="4"/>
      <c r="R2" s="4"/>
      <c r="S2" s="4"/>
      <c r="T2" s="8"/>
      <c r="U2" s="8"/>
      <c r="V2" s="8"/>
      <c r="W2" s="8"/>
      <c r="X2" s="8"/>
    </row>
    <row r="3">
      <c r="A3" s="2"/>
      <c r="B3" s="2"/>
      <c r="C3" s="2"/>
      <c r="D3" s="2"/>
      <c r="E3" s="2"/>
      <c r="F3" s="2"/>
      <c r="G3" s="2"/>
      <c r="H3" s="13"/>
      <c r="I3" s="4">
        <v>78.0</v>
      </c>
      <c r="J3" s="4"/>
      <c r="K3" s="71"/>
      <c r="L3" s="13"/>
      <c r="M3" s="4"/>
      <c r="N3" s="13"/>
      <c r="O3" s="181"/>
      <c r="P3" s="13"/>
      <c r="Q3" s="182" t="s">
        <v>3</v>
      </c>
      <c r="R3" s="15"/>
      <c r="S3" s="16"/>
      <c r="T3" s="183" t="s">
        <v>4</v>
      </c>
      <c r="U3" s="15"/>
      <c r="V3" s="15"/>
      <c r="W3" s="16"/>
      <c r="X3" s="8"/>
    </row>
    <row r="4">
      <c r="A4" s="20" t="s">
        <v>6</v>
      </c>
      <c r="B4" s="20" t="s">
        <v>7</v>
      </c>
      <c r="C4" s="20" t="s">
        <v>8</v>
      </c>
      <c r="D4" s="20" t="s">
        <v>9</v>
      </c>
      <c r="E4" s="20" t="s">
        <v>10</v>
      </c>
      <c r="F4" s="20" t="s">
        <v>11</v>
      </c>
      <c r="G4" s="20" t="s">
        <v>12</v>
      </c>
      <c r="H4" s="20" t="s">
        <v>13</v>
      </c>
      <c r="I4" s="20" t="s">
        <v>14</v>
      </c>
      <c r="J4" s="184" t="s">
        <v>3747</v>
      </c>
      <c r="K4" s="25" t="s">
        <v>30</v>
      </c>
      <c r="L4" s="25" t="s">
        <v>31</v>
      </c>
      <c r="M4" s="25" t="s">
        <v>3748</v>
      </c>
      <c r="N4" s="185" t="s">
        <v>19</v>
      </c>
      <c r="O4" s="185" t="s">
        <v>18</v>
      </c>
      <c r="P4" s="185" t="s">
        <v>23</v>
      </c>
      <c r="Q4" s="186" t="s">
        <v>20</v>
      </c>
      <c r="R4" s="186" t="s">
        <v>21</v>
      </c>
      <c r="S4" s="186" t="s">
        <v>22</v>
      </c>
      <c r="T4" s="187" t="s">
        <v>24</v>
      </c>
      <c r="U4" s="187" t="s">
        <v>20</v>
      </c>
      <c r="V4" s="187" t="s">
        <v>21</v>
      </c>
      <c r="W4" s="187" t="s">
        <v>25</v>
      </c>
      <c r="X4" s="8" t="s">
        <v>3749</v>
      </c>
    </row>
    <row r="5">
      <c r="A5" s="121">
        <v>1.0</v>
      </c>
      <c r="B5" s="43"/>
      <c r="C5" s="26" t="b">
        <v>1</v>
      </c>
      <c r="D5" s="26" t="s">
        <v>35</v>
      </c>
      <c r="E5" s="26" t="s">
        <v>3750</v>
      </c>
      <c r="F5" s="59" t="s">
        <v>3751</v>
      </c>
      <c r="G5" s="27" t="s">
        <v>3751</v>
      </c>
      <c r="H5" s="119" t="s">
        <v>3752</v>
      </c>
      <c r="I5" s="27">
        <v>12.0</v>
      </c>
      <c r="J5" s="27">
        <v>12.0</v>
      </c>
      <c r="K5" s="37" t="s">
        <v>3525</v>
      </c>
      <c r="L5" s="37"/>
      <c r="M5" s="59"/>
      <c r="N5" s="188"/>
      <c r="O5" s="30" t="s">
        <v>181</v>
      </c>
      <c r="P5" s="86" t="s">
        <v>3753</v>
      </c>
      <c r="Q5" s="32" t="s">
        <v>3754</v>
      </c>
      <c r="R5" s="32">
        <v>180037.0</v>
      </c>
      <c r="S5" s="32" t="s">
        <v>3755</v>
      </c>
      <c r="T5" s="44" t="b">
        <v>0</v>
      </c>
      <c r="U5" s="44"/>
      <c r="V5" s="44"/>
      <c r="W5" s="44"/>
      <c r="X5" s="13" t="s">
        <v>3297</v>
      </c>
    </row>
    <row r="6">
      <c r="A6" s="121">
        <v>2.0</v>
      </c>
      <c r="B6" s="43"/>
      <c r="C6" s="26" t="b">
        <v>1</v>
      </c>
      <c r="D6" s="26" t="s">
        <v>35</v>
      </c>
      <c r="E6" s="26" t="s">
        <v>3750</v>
      </c>
      <c r="F6" s="59" t="s">
        <v>3756</v>
      </c>
      <c r="G6" s="27" t="s">
        <v>3756</v>
      </c>
      <c r="H6" s="119" t="s">
        <v>3757</v>
      </c>
      <c r="I6" s="27">
        <v>4.0</v>
      </c>
      <c r="J6" s="27">
        <v>4.0</v>
      </c>
      <c r="K6" s="37" t="s">
        <v>3525</v>
      </c>
      <c r="L6" s="37"/>
      <c r="M6" s="59"/>
      <c r="N6" s="188"/>
      <c r="O6" s="30" t="s">
        <v>40</v>
      </c>
      <c r="P6" s="86" t="s">
        <v>3758</v>
      </c>
      <c r="Q6" s="32" t="s">
        <v>3759</v>
      </c>
      <c r="R6" s="32" t="s">
        <v>3760</v>
      </c>
      <c r="S6" s="32" t="s">
        <v>3761</v>
      </c>
      <c r="T6" s="44" t="b">
        <v>0</v>
      </c>
      <c r="U6" s="44"/>
      <c r="V6" s="44"/>
      <c r="W6" s="44"/>
      <c r="X6" s="13" t="s">
        <v>3297</v>
      </c>
    </row>
    <row r="7">
      <c r="A7" s="117">
        <v>3.0</v>
      </c>
      <c r="B7" s="43"/>
      <c r="C7" s="26" t="b">
        <v>1</v>
      </c>
      <c r="D7" s="26" t="s">
        <v>35</v>
      </c>
      <c r="E7" s="26" t="s">
        <v>3750</v>
      </c>
      <c r="F7" s="59" t="s">
        <v>3762</v>
      </c>
      <c r="G7" s="27" t="s">
        <v>3762</v>
      </c>
      <c r="H7" s="119" t="s">
        <v>3763</v>
      </c>
      <c r="I7" s="27">
        <v>12.0</v>
      </c>
      <c r="J7" s="27">
        <v>12.0</v>
      </c>
      <c r="K7" s="37" t="s">
        <v>3525</v>
      </c>
      <c r="L7" s="37"/>
      <c r="M7" s="59"/>
      <c r="N7" s="188"/>
      <c r="O7" s="30" t="s">
        <v>105</v>
      </c>
      <c r="P7" s="86" t="s">
        <v>3764</v>
      </c>
      <c r="Q7" s="32" t="s">
        <v>303</v>
      </c>
      <c r="R7" s="32">
        <v>1.000386225E9</v>
      </c>
      <c r="S7" s="32" t="s">
        <v>3765</v>
      </c>
      <c r="T7" s="44" t="b">
        <v>0</v>
      </c>
      <c r="U7" s="44"/>
      <c r="V7" s="44"/>
      <c r="W7" s="44"/>
      <c r="X7" s="13" t="s">
        <v>3297</v>
      </c>
    </row>
    <row r="8">
      <c r="A8" s="121">
        <v>4.0</v>
      </c>
      <c r="B8" s="43"/>
      <c r="C8" s="26" t="b">
        <v>1</v>
      </c>
      <c r="D8" s="26" t="s">
        <v>35</v>
      </c>
      <c r="E8" s="26" t="s">
        <v>3750</v>
      </c>
      <c r="F8" s="59" t="s">
        <v>3766</v>
      </c>
      <c r="G8" s="27" t="s">
        <v>3766</v>
      </c>
      <c r="H8" s="119" t="s">
        <v>3767</v>
      </c>
      <c r="I8" s="27">
        <v>10.0</v>
      </c>
      <c r="J8" s="27">
        <v>10.0</v>
      </c>
      <c r="K8" s="37" t="s">
        <v>3525</v>
      </c>
      <c r="L8" s="37"/>
      <c r="M8" s="27"/>
      <c r="N8" s="189"/>
      <c r="O8" s="30" t="s">
        <v>40</v>
      </c>
      <c r="P8" s="86" t="s">
        <v>3768</v>
      </c>
      <c r="Q8" s="32" t="s">
        <v>3769</v>
      </c>
      <c r="R8" s="32" t="s">
        <v>3770</v>
      </c>
      <c r="S8" s="32" t="s">
        <v>3771</v>
      </c>
      <c r="T8" s="44" t="b">
        <v>0</v>
      </c>
      <c r="U8" s="44"/>
      <c r="V8" s="44"/>
      <c r="W8" s="44"/>
      <c r="X8" s="13" t="s">
        <v>3297</v>
      </c>
    </row>
    <row r="9">
      <c r="A9" s="121">
        <v>5.0</v>
      </c>
      <c r="B9" s="43"/>
      <c r="C9" s="26" t="b">
        <v>1</v>
      </c>
      <c r="D9" s="26" t="s">
        <v>35</v>
      </c>
      <c r="E9" s="26" t="s">
        <v>3750</v>
      </c>
      <c r="F9" s="59" t="s">
        <v>3772</v>
      </c>
      <c r="G9" s="27" t="s">
        <v>3772</v>
      </c>
      <c r="H9" s="119" t="s">
        <v>3773</v>
      </c>
      <c r="I9" s="27">
        <v>2.0</v>
      </c>
      <c r="J9" s="27">
        <v>2.0</v>
      </c>
      <c r="K9" s="37" t="s">
        <v>3525</v>
      </c>
      <c r="L9" s="37"/>
      <c r="M9" s="27"/>
      <c r="N9" s="189"/>
      <c r="O9" s="190" t="s">
        <v>297</v>
      </c>
      <c r="P9" s="190" t="s">
        <v>3774</v>
      </c>
      <c r="Q9" s="32" t="s">
        <v>99</v>
      </c>
      <c r="R9" s="32" t="s">
        <v>99</v>
      </c>
      <c r="S9" s="32" t="s">
        <v>99</v>
      </c>
      <c r="T9" s="44" t="b">
        <v>0</v>
      </c>
      <c r="U9" s="191"/>
      <c r="V9" s="191"/>
      <c r="W9" s="191"/>
      <c r="X9" s="13" t="s">
        <v>3297</v>
      </c>
    </row>
    <row r="10">
      <c r="A10" s="117">
        <v>6.0</v>
      </c>
      <c r="B10" s="43"/>
      <c r="C10" s="26" t="b">
        <v>1</v>
      </c>
      <c r="D10" s="26" t="s">
        <v>35</v>
      </c>
      <c r="E10" s="26" t="s">
        <v>3750</v>
      </c>
      <c r="F10" s="59" t="s">
        <v>3775</v>
      </c>
      <c r="G10" s="27" t="s">
        <v>3775</v>
      </c>
      <c r="H10" s="119" t="s">
        <v>3776</v>
      </c>
      <c r="I10" s="27">
        <v>2.0</v>
      </c>
      <c r="J10" s="27">
        <v>2.0</v>
      </c>
      <c r="K10" s="37" t="s">
        <v>3525</v>
      </c>
      <c r="L10" s="37"/>
      <c r="M10" s="27"/>
      <c r="N10" s="189"/>
      <c r="O10" s="30" t="s">
        <v>78</v>
      </c>
      <c r="P10" s="86" t="s">
        <v>3777</v>
      </c>
      <c r="Q10" s="32" t="s">
        <v>3778</v>
      </c>
      <c r="R10" s="32" t="s">
        <v>3779</v>
      </c>
      <c r="S10" s="32" t="s">
        <v>3780</v>
      </c>
      <c r="T10" s="44" t="b">
        <v>0</v>
      </c>
      <c r="U10" s="44"/>
      <c r="V10" s="44"/>
      <c r="W10" s="44"/>
      <c r="X10" s="13" t="s">
        <v>3297</v>
      </c>
    </row>
    <row r="11">
      <c r="A11" s="121">
        <v>7.0</v>
      </c>
      <c r="B11" s="43"/>
      <c r="C11" s="26" t="b">
        <v>1</v>
      </c>
      <c r="D11" s="26" t="s">
        <v>35</v>
      </c>
      <c r="E11" s="26" t="s">
        <v>3750</v>
      </c>
      <c r="F11" s="59" t="s">
        <v>1503</v>
      </c>
      <c r="G11" s="27" t="s">
        <v>1503</v>
      </c>
      <c r="H11" s="119" t="s">
        <v>3781</v>
      </c>
      <c r="I11" s="27">
        <v>2.0</v>
      </c>
      <c r="J11" s="27">
        <v>2.0</v>
      </c>
      <c r="K11" s="37" t="s">
        <v>3525</v>
      </c>
      <c r="L11" s="37"/>
      <c r="M11" s="27"/>
      <c r="N11" s="189"/>
      <c r="O11" s="30" t="s">
        <v>297</v>
      </c>
      <c r="P11" s="86" t="s">
        <v>1505</v>
      </c>
      <c r="Q11" s="32" t="s">
        <v>3782</v>
      </c>
      <c r="R11" s="32">
        <v>6197000.0</v>
      </c>
      <c r="S11" s="32" t="s">
        <v>3783</v>
      </c>
      <c r="T11" s="44" t="b">
        <v>0</v>
      </c>
      <c r="U11" s="44"/>
      <c r="V11" s="44"/>
      <c r="W11" s="44"/>
      <c r="X11" s="13" t="s">
        <v>3297</v>
      </c>
    </row>
    <row r="12">
      <c r="A12" s="121">
        <v>8.0</v>
      </c>
      <c r="B12" s="43"/>
      <c r="C12" s="26" t="b">
        <v>1</v>
      </c>
      <c r="D12" s="26" t="s">
        <v>35</v>
      </c>
      <c r="E12" s="26" t="s">
        <v>3750</v>
      </c>
      <c r="F12" s="59" t="s">
        <v>3784</v>
      </c>
      <c r="G12" s="27" t="s">
        <v>3784</v>
      </c>
      <c r="H12" s="119" t="s">
        <v>3785</v>
      </c>
      <c r="I12" s="27">
        <v>4.0</v>
      </c>
      <c r="J12" s="27">
        <v>4.0</v>
      </c>
      <c r="K12" s="37" t="s">
        <v>3525</v>
      </c>
      <c r="L12" s="37"/>
      <c r="M12" s="27"/>
      <c r="N12" s="189"/>
      <c r="O12" s="30" t="s">
        <v>186</v>
      </c>
      <c r="P12" s="86" t="s">
        <v>3786</v>
      </c>
      <c r="Q12" s="32" t="s">
        <v>3787</v>
      </c>
      <c r="R12" s="32" t="s">
        <v>3788</v>
      </c>
      <c r="S12" s="32" t="s">
        <v>3789</v>
      </c>
      <c r="T12" s="44" t="b">
        <v>0</v>
      </c>
      <c r="U12" s="44"/>
      <c r="V12" s="44"/>
      <c r="W12" s="44"/>
      <c r="X12" s="13" t="s">
        <v>3297</v>
      </c>
    </row>
    <row r="13">
      <c r="A13" s="117">
        <v>9.0</v>
      </c>
      <c r="B13" s="43"/>
      <c r="C13" s="26" t="b">
        <v>1</v>
      </c>
      <c r="D13" s="26" t="s">
        <v>35</v>
      </c>
      <c r="E13" s="26" t="s">
        <v>3790</v>
      </c>
      <c r="F13" s="192" t="s">
        <v>3791</v>
      </c>
      <c r="G13" s="193" t="s">
        <v>3791</v>
      </c>
      <c r="H13" s="194" t="s">
        <v>3792</v>
      </c>
      <c r="I13" s="27">
        <v>2.0</v>
      </c>
      <c r="J13" s="27">
        <v>2.0</v>
      </c>
      <c r="K13" s="37" t="s">
        <v>3525</v>
      </c>
      <c r="L13" s="37"/>
      <c r="M13" s="27"/>
      <c r="N13" s="189"/>
      <c r="O13" s="30" t="s">
        <v>297</v>
      </c>
      <c r="P13" s="86" t="s">
        <v>3793</v>
      </c>
      <c r="Q13" s="32" t="s">
        <v>99</v>
      </c>
      <c r="R13" s="32" t="s">
        <v>99</v>
      </c>
      <c r="S13" s="32" t="s">
        <v>99</v>
      </c>
      <c r="T13" s="44" t="b">
        <v>0</v>
      </c>
      <c r="U13" s="191"/>
      <c r="V13" s="191"/>
      <c r="W13" s="191"/>
      <c r="X13" s="13" t="s">
        <v>3297</v>
      </c>
    </row>
    <row r="14">
      <c r="A14" s="121">
        <v>10.0</v>
      </c>
      <c r="B14" s="43"/>
      <c r="C14" s="26" t="b">
        <v>1</v>
      </c>
      <c r="D14" s="26" t="s">
        <v>35</v>
      </c>
      <c r="E14" s="26" t="s">
        <v>3790</v>
      </c>
      <c r="F14" s="59" t="s">
        <v>3794</v>
      </c>
      <c r="G14" s="27" t="s">
        <v>3794</v>
      </c>
      <c r="H14" s="119" t="s">
        <v>3795</v>
      </c>
      <c r="I14" s="27">
        <v>8.0</v>
      </c>
      <c r="J14" s="27">
        <v>8.0</v>
      </c>
      <c r="K14" s="37" t="s">
        <v>3525</v>
      </c>
      <c r="L14" s="37"/>
      <c r="M14" s="27"/>
      <c r="N14" s="189"/>
      <c r="O14" s="30" t="s">
        <v>297</v>
      </c>
      <c r="P14" s="86" t="s">
        <v>3796</v>
      </c>
      <c r="Q14" s="32" t="s">
        <v>99</v>
      </c>
      <c r="R14" s="32" t="s">
        <v>99</v>
      </c>
      <c r="S14" s="32" t="s">
        <v>99</v>
      </c>
      <c r="T14" s="44" t="b">
        <v>0</v>
      </c>
      <c r="U14" s="191"/>
      <c r="V14" s="191"/>
      <c r="W14" s="191"/>
      <c r="X14" s="13" t="s">
        <v>3297</v>
      </c>
    </row>
    <row r="15">
      <c r="A15" s="121">
        <v>11.0</v>
      </c>
      <c r="B15" s="43"/>
      <c r="C15" s="26" t="b">
        <v>1</v>
      </c>
      <c r="D15" s="26" t="s">
        <v>35</v>
      </c>
      <c r="E15" s="26" t="s">
        <v>3790</v>
      </c>
      <c r="F15" s="59" t="s">
        <v>3797</v>
      </c>
      <c r="G15" s="27" t="s">
        <v>3797</v>
      </c>
      <c r="H15" s="119" t="s">
        <v>3798</v>
      </c>
      <c r="I15" s="27">
        <v>5.0</v>
      </c>
      <c r="J15" s="27">
        <v>5.0</v>
      </c>
      <c r="K15" s="37" t="s">
        <v>3525</v>
      </c>
      <c r="L15" s="37"/>
      <c r="M15" s="27"/>
      <c r="N15" s="189"/>
      <c r="O15" s="30" t="s">
        <v>92</v>
      </c>
      <c r="P15" s="86" t="s">
        <v>3799</v>
      </c>
      <c r="Q15" s="32" t="s">
        <v>99</v>
      </c>
      <c r="R15" s="32" t="s">
        <v>99</v>
      </c>
      <c r="S15" s="32" t="s">
        <v>99</v>
      </c>
      <c r="T15" s="44" t="b">
        <v>0</v>
      </c>
      <c r="U15" s="191"/>
      <c r="V15" s="191"/>
      <c r="W15" s="191"/>
      <c r="X15" s="13" t="s">
        <v>3297</v>
      </c>
    </row>
    <row r="16">
      <c r="A16" s="117">
        <v>12.0</v>
      </c>
      <c r="B16" s="43"/>
      <c r="C16" s="26" t="b">
        <v>1</v>
      </c>
      <c r="D16" s="26" t="s">
        <v>35</v>
      </c>
      <c r="E16" s="26" t="s">
        <v>3790</v>
      </c>
      <c r="F16" s="59" t="s">
        <v>3800</v>
      </c>
      <c r="G16" s="195" t="s">
        <v>3800</v>
      </c>
      <c r="H16" s="119" t="s">
        <v>3801</v>
      </c>
      <c r="I16" s="27">
        <v>12.0</v>
      </c>
      <c r="J16" s="27">
        <v>12.0</v>
      </c>
      <c r="K16" s="37" t="s">
        <v>3525</v>
      </c>
      <c r="L16" s="37"/>
      <c r="M16" s="27"/>
      <c r="N16" s="189"/>
      <c r="O16" s="30" t="s">
        <v>105</v>
      </c>
      <c r="P16" s="86" t="s">
        <v>3802</v>
      </c>
      <c r="Q16" s="32" t="s">
        <v>99</v>
      </c>
      <c r="R16" s="32" t="s">
        <v>99</v>
      </c>
      <c r="S16" s="32" t="s">
        <v>99</v>
      </c>
      <c r="T16" s="44" t="b">
        <v>0</v>
      </c>
      <c r="U16" s="191"/>
      <c r="V16" s="191"/>
      <c r="W16" s="191"/>
      <c r="X16" s="13" t="s">
        <v>3297</v>
      </c>
    </row>
    <row r="17">
      <c r="A17" s="121">
        <v>13.0</v>
      </c>
      <c r="B17" s="43"/>
      <c r="C17" s="26" t="b">
        <v>1</v>
      </c>
      <c r="D17" s="26" t="s">
        <v>35</v>
      </c>
      <c r="E17" s="26" t="s">
        <v>3750</v>
      </c>
      <c r="F17" s="59" t="s">
        <v>3803</v>
      </c>
      <c r="G17" s="27" t="s">
        <v>3803</v>
      </c>
      <c r="H17" s="119" t="s">
        <v>3804</v>
      </c>
      <c r="I17" s="27">
        <v>3.0</v>
      </c>
      <c r="J17" s="27">
        <v>3.0</v>
      </c>
      <c r="K17" s="37" t="s">
        <v>3525</v>
      </c>
      <c r="L17" s="37"/>
      <c r="M17" s="27"/>
      <c r="N17" s="189"/>
      <c r="O17" s="30" t="s">
        <v>40</v>
      </c>
      <c r="P17" s="32" t="s">
        <v>3805</v>
      </c>
      <c r="Q17" s="32" t="s">
        <v>3806</v>
      </c>
      <c r="R17" s="32" t="s">
        <v>3807</v>
      </c>
      <c r="S17" s="32"/>
      <c r="T17" s="44" t="b">
        <v>0</v>
      </c>
      <c r="U17" s="44"/>
      <c r="V17" s="44"/>
      <c r="W17" s="44"/>
      <c r="X17" s="13" t="s">
        <v>3297</v>
      </c>
    </row>
  </sheetData>
  <customSheetViews>
    <customSheetView guid="{9063AE3F-660D-4527-A33A-71BB884ED82B}" filter="1" showAutoFilter="1">
      <autoFilter ref="$A$4:$W$17">
        <filterColumn colId="11">
          <colorFilter dxfId="3"/>
        </filterColumn>
        <sortState ref="A4:W17">
          <sortCondition ref="G4:G17"/>
          <sortCondition ref="F4:F17"/>
          <sortCondition ref="H4:H17"/>
        </sortState>
      </autoFilter>
    </customSheetView>
  </customSheetViews>
  <mergeCells count="2">
    <mergeCell ref="Q3:S3"/>
    <mergeCell ref="T3:W3"/>
  </mergeCells>
  <conditionalFormatting sqref="A5:I17">
    <cfRule type="expression" dxfId="0" priority="1">
      <formula>IF( AND ( IF(COUNTIF($G5, "*.*") &gt; 0, FALSE, TRUE), $G5 &lt;&gt; "" ), TRUE, FALSE)</formula>
    </cfRule>
  </conditionalFormatting>
  <dataValidations>
    <dataValidation type="list" allowBlank="1" showErrorMessage="1" sqref="D5:D17">
      <formula1>"BIEN,ACCESORIO,COMPONENTE"</formula1>
    </dataValidation>
    <dataValidation type="list" allowBlank="1" showErrorMessage="1" sqref="M5:M17">
      <formula1>"SI,NO"</formula1>
    </dataValidation>
  </dataValidations>
  <hyperlinks>
    <hyperlink r:id="rId2" ref="O5"/>
    <hyperlink r:id="rId3" location="gid=0" ref="P5"/>
    <hyperlink r:id="rId4" ref="O6"/>
    <hyperlink r:id="rId5" location="gid=0" ref="P6"/>
    <hyperlink r:id="rId6" ref="O7"/>
    <hyperlink r:id="rId7" location="gid=0" ref="P7"/>
    <hyperlink r:id="rId8" ref="O8"/>
    <hyperlink r:id="rId9" location="gid=0" ref="P8"/>
    <hyperlink r:id="rId10" ref="O9"/>
    <hyperlink r:id="rId11" location="gid=0" ref="P9"/>
    <hyperlink r:id="rId12" ref="O10"/>
    <hyperlink r:id="rId13" location="gid=0" ref="P10"/>
    <hyperlink r:id="rId14" ref="O11"/>
    <hyperlink r:id="rId15" location="gid=0" ref="P11"/>
    <hyperlink r:id="rId16" ref="O12"/>
    <hyperlink r:id="rId17" location="gid=0" ref="P12"/>
    <hyperlink r:id="rId18" ref="O13"/>
    <hyperlink r:id="rId19" location="gid=0" ref="P13"/>
    <hyperlink r:id="rId20" ref="O14"/>
    <hyperlink r:id="rId21" location="gid=0" ref="P14"/>
    <hyperlink r:id="rId22" ref="O15"/>
    <hyperlink r:id="rId23" ref="P15"/>
    <hyperlink r:id="rId24" ref="O16"/>
    <hyperlink r:id="rId25" location="gid=0" ref="P16"/>
    <hyperlink r:id="rId26" ref="O17"/>
  </hyperlinks>
  <drawing r:id="rId27"/>
  <legacy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E132"/>
    <outlinePr summaryBelow="0" summaryRight="0"/>
  </sheetPr>
  <sheetViews>
    <sheetView showGridLines="0" workbookViewId="0"/>
  </sheetViews>
  <sheetFormatPr customHeight="1" defaultColWidth="12.63" defaultRowHeight="15.75"/>
  <cols>
    <col customWidth="1" min="1" max="1" width="6.38"/>
    <col customWidth="1" min="2" max="3" width="18.88"/>
    <col customWidth="1" min="4" max="4" width="6.38"/>
    <col customWidth="1" min="5" max="6" width="18.88"/>
    <col customWidth="1" min="7" max="7" width="6.38"/>
    <col customWidth="1" min="8" max="8" width="18.88"/>
    <col customWidth="1" min="10" max="10" width="6.38"/>
  </cols>
  <sheetData>
    <row r="1" ht="33.75" customHeight="1">
      <c r="A1" s="196"/>
      <c r="B1" s="196"/>
      <c r="C1" s="196"/>
      <c r="D1" s="196"/>
      <c r="E1" s="196"/>
      <c r="F1" s="196"/>
      <c r="G1" s="196"/>
      <c r="H1" s="196"/>
      <c r="I1" s="196"/>
      <c r="J1" s="196"/>
    </row>
    <row r="2" ht="3.75" customHeight="1">
      <c r="A2" s="196"/>
      <c r="B2" s="197"/>
      <c r="J2" s="196"/>
    </row>
    <row r="3">
      <c r="A3" s="196"/>
      <c r="B3" s="196"/>
      <c r="C3" s="196"/>
      <c r="D3" s="196"/>
      <c r="E3" s="198"/>
      <c r="F3" s="198"/>
      <c r="G3" s="196"/>
      <c r="H3" s="198"/>
      <c r="I3" s="198"/>
      <c r="J3" s="196"/>
    </row>
    <row r="4" ht="33.75" customHeight="1">
      <c r="A4" s="196"/>
      <c r="B4" s="199" t="s">
        <v>3808</v>
      </c>
      <c r="J4" s="196"/>
    </row>
    <row r="5">
      <c r="A5" s="196"/>
      <c r="B5" s="196"/>
      <c r="C5" s="196"/>
      <c r="D5" s="196"/>
      <c r="E5" s="196"/>
      <c r="F5" s="196"/>
      <c r="G5" s="196"/>
      <c r="H5" s="196"/>
      <c r="I5" s="196"/>
      <c r="J5" s="196"/>
    </row>
    <row r="6">
      <c r="A6" s="196"/>
      <c r="B6" s="198" t="s">
        <v>3809</v>
      </c>
      <c r="D6" s="200"/>
      <c r="E6" s="201" t="s">
        <v>3810</v>
      </c>
      <c r="G6" s="196"/>
      <c r="H6" s="198" t="s">
        <v>3811</v>
      </c>
      <c r="J6" s="196"/>
    </row>
    <row r="7" ht="3.75" customHeight="1">
      <c r="A7" s="196"/>
      <c r="B7" s="202"/>
      <c r="D7" s="200"/>
      <c r="E7" s="203"/>
      <c r="G7" s="196"/>
      <c r="H7" s="203"/>
      <c r="J7" s="196"/>
    </row>
    <row r="8">
      <c r="A8" s="204"/>
      <c r="D8" s="204"/>
      <c r="G8" s="196"/>
      <c r="H8" s="208" t="s">
        <v>3813</v>
      </c>
      <c r="I8" s="209">
        <f>VLOOKUP("Suma total",E9:F13, 2,0)/VLOOKUP("Suma total",B9:C10, 2,0)</f>
        <v>1</v>
      </c>
      <c r="J8" s="204"/>
    </row>
    <row r="9">
      <c r="A9" s="196"/>
      <c r="D9" s="196"/>
      <c r="G9" s="196"/>
      <c r="H9" s="196"/>
      <c r="I9" s="211"/>
      <c r="J9" s="196"/>
    </row>
    <row r="10">
      <c r="A10" s="196"/>
      <c r="D10" s="196"/>
      <c r="G10" s="196"/>
      <c r="H10" s="212"/>
      <c r="I10" s="196"/>
      <c r="J10" s="196"/>
    </row>
    <row r="11">
      <c r="A11" s="196"/>
      <c r="B11" s="196"/>
      <c r="C11" s="196"/>
      <c r="D11" s="196"/>
      <c r="E11" s="196"/>
      <c r="F11" s="196"/>
      <c r="G11" s="196"/>
      <c r="H11" s="212"/>
      <c r="I11" s="196"/>
      <c r="J11" s="196"/>
    </row>
    <row r="12">
      <c r="A12" s="196"/>
      <c r="B12" s="196"/>
      <c r="C12" s="196"/>
      <c r="D12" s="196"/>
      <c r="E12" s="196"/>
      <c r="F12" s="196"/>
      <c r="G12" s="196"/>
      <c r="H12" s="196"/>
      <c r="I12" s="196"/>
      <c r="J12" s="196"/>
    </row>
    <row r="13" ht="3.75" customHeight="1">
      <c r="A13" s="196"/>
      <c r="B13" s="197"/>
      <c r="J13" s="196"/>
    </row>
    <row r="14">
      <c r="A14" s="196"/>
      <c r="B14" s="196"/>
      <c r="C14" s="196"/>
      <c r="D14" s="196"/>
      <c r="E14" s="198"/>
      <c r="F14" s="198"/>
      <c r="G14" s="196"/>
      <c r="H14" s="198"/>
      <c r="I14" s="198"/>
      <c r="J14" s="196"/>
    </row>
    <row r="15" ht="33.75" customHeight="1">
      <c r="A15" s="196"/>
      <c r="B15" s="199" t="s">
        <v>3815</v>
      </c>
      <c r="J15" s="196"/>
    </row>
    <row r="16">
      <c r="A16" s="196"/>
      <c r="B16" s="196"/>
      <c r="C16" s="196"/>
      <c r="D16" s="196"/>
      <c r="E16" s="196"/>
      <c r="F16" s="196"/>
      <c r="G16" s="196"/>
      <c r="H16" s="196"/>
      <c r="I16" s="196"/>
      <c r="J16" s="196"/>
    </row>
    <row r="17">
      <c r="A17" s="196"/>
      <c r="B17" s="198" t="s">
        <v>3809</v>
      </c>
      <c r="D17" s="200"/>
      <c r="E17" s="201" t="s">
        <v>3810</v>
      </c>
      <c r="G17" s="196"/>
      <c r="H17" s="198" t="s">
        <v>3811</v>
      </c>
      <c r="J17" s="196"/>
    </row>
    <row r="18" ht="3.75" customHeight="1">
      <c r="A18" s="196"/>
      <c r="B18" s="202"/>
      <c r="D18" s="200"/>
      <c r="E18" s="203"/>
      <c r="G18" s="196"/>
      <c r="H18" s="203"/>
      <c r="J18" s="196"/>
    </row>
    <row r="19">
      <c r="A19" s="204"/>
      <c r="B19" s="205" t="s">
        <v>10</v>
      </c>
      <c r="C19" s="206" t="s">
        <v>3816</v>
      </c>
      <c r="D19" s="204"/>
      <c r="E19" s="207" t="s">
        <v>10</v>
      </c>
      <c r="F19" s="207" t="s">
        <v>3816</v>
      </c>
      <c r="G19" s="196"/>
      <c r="H19" s="208" t="s">
        <v>3813</v>
      </c>
      <c r="I19" s="209">
        <f>VLOOKUP("Suma total",E20:F24, 2,0)/VLOOKUP("Suma total",B20:C22, 2,0)</f>
        <v>1</v>
      </c>
      <c r="J19" s="204"/>
    </row>
    <row r="20">
      <c r="A20" s="196"/>
      <c r="B20" s="210" t="s">
        <v>36</v>
      </c>
      <c r="C20" s="196">
        <v>9.0</v>
      </c>
      <c r="D20" s="196"/>
      <c r="E20" s="196" t="s">
        <v>36</v>
      </c>
      <c r="F20" s="196">
        <v>9.0</v>
      </c>
      <c r="G20" s="196"/>
      <c r="H20" s="196"/>
      <c r="I20" s="211"/>
      <c r="J20" s="196"/>
    </row>
    <row r="21">
      <c r="A21" s="196"/>
      <c r="B21" s="205" t="s">
        <v>1510</v>
      </c>
      <c r="C21" s="205">
        <v>333.0</v>
      </c>
      <c r="D21" s="196"/>
      <c r="E21" s="196" t="s">
        <v>1510</v>
      </c>
      <c r="F21" s="196">
        <v>333.0</v>
      </c>
      <c r="G21" s="196"/>
      <c r="H21" s="196"/>
      <c r="I21" s="196"/>
      <c r="J21" s="196"/>
    </row>
    <row r="22">
      <c r="A22" s="196"/>
      <c r="B22" s="196" t="s">
        <v>3814</v>
      </c>
      <c r="C22" s="196">
        <v>342.0</v>
      </c>
      <c r="D22" s="196"/>
      <c r="E22" s="196" t="s">
        <v>3814</v>
      </c>
      <c r="F22" s="196">
        <v>342.0</v>
      </c>
      <c r="G22" s="196"/>
      <c r="H22" s="196"/>
      <c r="I22" s="196"/>
      <c r="J22" s="196"/>
    </row>
    <row r="23">
      <c r="A23" s="196"/>
      <c r="B23" s="196"/>
      <c r="C23" s="196"/>
      <c r="D23" s="196"/>
      <c r="E23" s="196"/>
      <c r="F23" s="196"/>
      <c r="G23" s="196"/>
      <c r="H23" s="196"/>
      <c r="I23" s="196"/>
      <c r="J23" s="196"/>
    </row>
    <row r="24" ht="3.75" customHeight="1">
      <c r="A24" s="196"/>
      <c r="B24" s="197"/>
      <c r="J24" s="196"/>
    </row>
    <row r="25">
      <c r="A25" s="196"/>
      <c r="B25" s="196"/>
      <c r="C25" s="196"/>
      <c r="D25" s="196"/>
      <c r="E25" s="198"/>
      <c r="F25" s="198"/>
      <c r="G25" s="196"/>
      <c r="H25" s="198"/>
      <c r="I25" s="198"/>
      <c r="J25" s="196"/>
    </row>
    <row r="26" ht="33.75" customHeight="1">
      <c r="A26" s="196"/>
      <c r="B26" s="199" t="s">
        <v>3817</v>
      </c>
      <c r="J26" s="196"/>
    </row>
    <row r="27">
      <c r="A27" s="196"/>
      <c r="B27" s="196"/>
      <c r="C27" s="196"/>
      <c r="D27" s="196"/>
      <c r="E27" s="196"/>
      <c r="F27" s="196"/>
      <c r="G27" s="196"/>
      <c r="H27" s="196"/>
      <c r="I27" s="196"/>
      <c r="J27" s="196"/>
    </row>
    <row r="28">
      <c r="A28" s="196"/>
      <c r="B28" s="198" t="s">
        <v>3809</v>
      </c>
      <c r="D28" s="200"/>
      <c r="E28" s="201" t="s">
        <v>3810</v>
      </c>
      <c r="G28" s="196"/>
      <c r="H28" s="198" t="s">
        <v>3811</v>
      </c>
      <c r="J28" s="196"/>
    </row>
    <row r="29" ht="3.75" customHeight="1">
      <c r="A29" s="196"/>
      <c r="B29" s="202"/>
      <c r="D29" s="200"/>
      <c r="E29" s="203"/>
      <c r="G29" s="196"/>
      <c r="H29" s="203"/>
      <c r="J29" s="196"/>
    </row>
    <row r="30">
      <c r="A30" s="204"/>
      <c r="B30" s="205" t="s">
        <v>10</v>
      </c>
      <c r="C30" s="206" t="s">
        <v>3816</v>
      </c>
      <c r="D30" s="204"/>
      <c r="E30" s="207" t="s">
        <v>10</v>
      </c>
      <c r="F30" s="207" t="s">
        <v>3816</v>
      </c>
      <c r="G30" s="196"/>
      <c r="H30" s="208" t="s">
        <v>3813</v>
      </c>
      <c r="I30" s="209">
        <f>VLOOKUP("Suma total",E31:F35, 2,0)/VLOOKUP("Suma total",B31:C32, 2,0)</f>
        <v>1</v>
      </c>
      <c r="J30" s="204"/>
    </row>
    <row r="31">
      <c r="A31" s="196"/>
      <c r="B31" s="210" t="s">
        <v>3509</v>
      </c>
      <c r="C31" s="196">
        <v>18.0</v>
      </c>
      <c r="D31" s="196"/>
      <c r="E31" s="196" t="s">
        <v>3509</v>
      </c>
      <c r="F31" s="196">
        <v>18.0</v>
      </c>
      <c r="G31" s="196"/>
      <c r="H31" s="196"/>
      <c r="I31" s="211"/>
      <c r="J31" s="196"/>
    </row>
    <row r="32">
      <c r="A32" s="196"/>
      <c r="B32" s="205" t="s">
        <v>3814</v>
      </c>
      <c r="C32" s="205">
        <v>18.0</v>
      </c>
      <c r="D32" s="196"/>
      <c r="E32" s="196" t="s">
        <v>3814</v>
      </c>
      <c r="F32" s="196">
        <v>18.0</v>
      </c>
      <c r="G32" s="196"/>
      <c r="H32" s="196"/>
      <c r="I32" s="196"/>
      <c r="J32" s="196"/>
    </row>
    <row r="33">
      <c r="A33" s="196"/>
      <c r="B33" s="196"/>
      <c r="C33" s="196"/>
      <c r="D33" s="196"/>
      <c r="E33" s="196"/>
      <c r="F33" s="196"/>
      <c r="G33" s="196"/>
      <c r="H33" s="196"/>
      <c r="I33" s="196"/>
      <c r="J33" s="196"/>
    </row>
    <row r="34">
      <c r="A34" s="196"/>
      <c r="B34" s="196"/>
      <c r="C34" s="196"/>
      <c r="D34" s="196"/>
      <c r="E34" s="196"/>
      <c r="F34" s="196"/>
      <c r="G34" s="196"/>
      <c r="H34" s="196"/>
      <c r="I34" s="196"/>
      <c r="J34" s="196"/>
    </row>
    <row r="35" ht="3.75" customHeight="1">
      <c r="A35" s="196"/>
      <c r="B35" s="197"/>
      <c r="J35" s="196"/>
    </row>
    <row r="36" ht="33.75" customHeight="1">
      <c r="A36" s="196"/>
      <c r="B36" s="196"/>
      <c r="C36" s="196"/>
      <c r="D36" s="196"/>
      <c r="E36" s="196"/>
      <c r="F36" s="196"/>
      <c r="G36" s="196"/>
      <c r="H36" s="196"/>
      <c r="I36" s="196"/>
      <c r="J36" s="196"/>
    </row>
  </sheetData>
  <mergeCells count="25">
    <mergeCell ref="B2:I2"/>
    <mergeCell ref="B4:I4"/>
    <mergeCell ref="B6:C6"/>
    <mergeCell ref="E6:F6"/>
    <mergeCell ref="H6:I6"/>
    <mergeCell ref="B7:C7"/>
    <mergeCell ref="E7:F7"/>
    <mergeCell ref="H17:I17"/>
    <mergeCell ref="H18:I18"/>
    <mergeCell ref="H7:I7"/>
    <mergeCell ref="B13:I13"/>
    <mergeCell ref="B15:I15"/>
    <mergeCell ref="B17:C17"/>
    <mergeCell ref="E17:F17"/>
    <mergeCell ref="B18:C18"/>
    <mergeCell ref="E18:F18"/>
    <mergeCell ref="H29:I29"/>
    <mergeCell ref="B35:I35"/>
    <mergeCell ref="B24:I24"/>
    <mergeCell ref="B26:I26"/>
    <mergeCell ref="B28:C28"/>
    <mergeCell ref="E28:F28"/>
    <mergeCell ref="H28:I28"/>
    <mergeCell ref="B29:C29"/>
    <mergeCell ref="E29:F29"/>
  </mergeCell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8" max="8" width="40.25"/>
    <col customWidth="1" min="9" max="9" width="53.25"/>
  </cols>
  <sheetData>
    <row r="1">
      <c r="A1" s="213" t="str">
        <f>IFERROR(__xludf.DUMMYFUNCTION("IMPORTRANGE(""https://docs.google.com/spreadsheets/d/1ZMR3WGw_c76s-qQkUOrdfQpAo4mdAKjy-Ipt2Dp4z1Y/edit?usp=sharing"",""CONSOLIDADO FINAL!A:AT"")"),"NO APLICAR FILTRO CREAR TU PROPIA VISTA PORFA, SINO VOY A RASTREAR QUIEN FUE :)""")</f>
        <v>NO APLICAR FILTRO CREAR TU PROPIA VISTA PORFA, SINO VOY A RASTREAR QUIEN FUE :)"</v>
      </c>
      <c r="B1" s="213"/>
      <c r="C1" s="213"/>
      <c r="D1" s="213"/>
      <c r="E1" s="213"/>
      <c r="F1" s="213"/>
      <c r="G1" s="213"/>
      <c r="H1" s="213"/>
      <c r="I1" s="213"/>
      <c r="J1" s="213"/>
      <c r="K1" s="213"/>
      <c r="L1" s="213"/>
      <c r="M1" s="213"/>
      <c r="N1" s="213"/>
      <c r="O1" s="213"/>
      <c r="P1" s="213"/>
      <c r="Q1" s="213">
        <f>IFERROR(__xludf.DUMMYFUNCTION("""COMPUTED_VALUE"""),604.0)</f>
        <v>604</v>
      </c>
      <c r="R1" s="213" t="str">
        <f>IFERROR(__xludf.DUMMYFUNCTION("""COMPUTED_VALUE"""),"-")</f>
        <v>-</v>
      </c>
      <c r="S1" s="214" t="str">
        <f>IFERROR(__xludf.DUMMYFUNCTION("""COMPUTED_VALUE"""),"-%")</f>
        <v>-%</v>
      </c>
      <c r="T1" s="213"/>
      <c r="U1" s="213" t="str">
        <f>IFERROR(__xludf.DUMMYFUNCTION("""COMPUTED_VALUE"""),"LLENAR PARA VALIDAR")</f>
        <v>LLENAR PARA VALIDAR</v>
      </c>
      <c r="V1" s="213" t="str">
        <f>IFERROR(__xludf.DUMMYFUNCTION("""COMPUTED_VALUE"""),"LLENAR PARA VALIDAR")</f>
        <v>LLENAR PARA VALIDAR</v>
      </c>
      <c r="W1" s="213" t="str">
        <f>IFERROR(__xludf.DUMMYFUNCTION("""COMPUTED_VALUE"""),"LLENAR PARA VALIDAR")</f>
        <v>LLENAR PARA VALIDAR</v>
      </c>
      <c r="X1" s="213" t="str">
        <f>IFERROR(__xludf.DUMMYFUNCTION("""COMPUTED_VALUE"""),"LLENAR PARA VALIDAR")</f>
        <v>LLENAR PARA VALIDAR</v>
      </c>
      <c r="Y1" s="213" t="str">
        <f>IFERROR(__xludf.DUMMYFUNCTION("""COMPUTED_VALUE"""),"LLENAR PARA VALIDAR")</f>
        <v>LLENAR PARA VALIDAR</v>
      </c>
      <c r="Z1" s="213" t="str">
        <f>IFERROR(__xludf.DUMMYFUNCTION("""COMPUTED_VALUE"""),"LLENAR PARA VALIDAR")</f>
        <v>LLENAR PARA VALIDAR</v>
      </c>
      <c r="AA1" s="213"/>
      <c r="AB1" s="213"/>
      <c r="AC1" s="213" t="str">
        <f>IFERROR(__xludf.DUMMYFUNCTION("""COMPUTED_VALUE"""),"LLENAR COTI")</f>
        <v>LLENAR COTI</v>
      </c>
      <c r="AD1" s="213"/>
      <c r="AE1" s="213"/>
      <c r="AF1" s="213"/>
      <c r="AG1" s="213"/>
      <c r="AH1" s="213"/>
      <c r="AI1" s="213"/>
      <c r="AJ1" s="213"/>
      <c r="AK1" s="213"/>
      <c r="AL1" s="213"/>
      <c r="AM1" s="213"/>
      <c r="AN1" s="213"/>
      <c r="AO1" s="213"/>
      <c r="AP1" s="213"/>
      <c r="AQ1" s="213"/>
      <c r="AR1" s="213"/>
      <c r="AS1" s="213"/>
      <c r="AT1" s="213"/>
      <c r="AU1" s="213"/>
      <c r="AV1" s="213"/>
      <c r="AW1" s="213"/>
      <c r="AX1" s="213"/>
      <c r="AY1" s="213"/>
      <c r="AZ1" s="213"/>
      <c r="BA1" s="213"/>
      <c r="BB1" s="213"/>
      <c r="BC1" s="213"/>
      <c r="BD1" s="213"/>
    </row>
    <row r="2">
      <c r="A2" s="213" t="str">
        <f>IFERROR(__xludf.DUMMYFUNCTION("""COMPUTED_VALUE"""),"Para la numeración se esta respetando el orden del anterior consolidado para una identificación más sencilla")</f>
        <v>Para la numeración se esta respetando el orden del anterior consolidado para una identificación más sencilla</v>
      </c>
      <c r="B2" s="213"/>
      <c r="C2" s="213"/>
      <c r="D2" s="213"/>
      <c r="E2" s="213"/>
      <c r="F2" s="213"/>
      <c r="G2" s="213"/>
      <c r="H2" s="213"/>
      <c r="I2" s="213"/>
      <c r="J2" s="213"/>
      <c r="K2" s="213"/>
      <c r="L2" s="213"/>
      <c r="M2" s="213"/>
      <c r="N2" s="213"/>
      <c r="O2" s="213">
        <f>IFERROR(__xludf.DUMMYFUNCTION("""COMPUTED_VALUE"""),10196.0)</f>
        <v>10196</v>
      </c>
      <c r="P2" s="213"/>
      <c r="Q2" s="213" t="str">
        <f>IFERROR(__xludf.DUMMYFUNCTION("""COMPUTED_VALUE"""),"COSTOS")</f>
        <v>COSTOS</v>
      </c>
      <c r="R2" s="213" t="str">
        <f>IFERROR(__xludf.DUMMYFUNCTION("""COMPUTED_VALUE"""),"COTIZADORES")</f>
        <v>COTIZADORES</v>
      </c>
      <c r="S2" s="213"/>
      <c r="T2" s="213" t="str">
        <f>IFERROR(__xludf.DUMMYFUNCTION("""COMPUTED_VALUE"""),"TÉCNICOS")</f>
        <v>TÉCNICOS</v>
      </c>
      <c r="U2" s="213"/>
      <c r="V2" s="213"/>
      <c r="W2" s="213"/>
      <c r="X2" s="213" t="str">
        <f>IFERROR(__xludf.DUMMYFUNCTION("""COMPUTED_VALUE"""),"TÉCNICOS")</f>
        <v>TÉCNICOS</v>
      </c>
      <c r="Y2" s="213"/>
      <c r="Z2" s="213"/>
      <c r="AA2" s="213" t="str">
        <f>IFERROR(__xludf.DUMMYFUNCTION("""COMPUTED_VALUE"""),"TÉCNICOS")</f>
        <v>TÉCNICOS</v>
      </c>
      <c r="AB2" s="213"/>
      <c r="AC2" s="213" t="str">
        <f>IFERROR(__xludf.DUMMYFUNCTION("""COMPUTED_VALUE"""),"COTIZADORES")</f>
        <v>COTIZADORES</v>
      </c>
      <c r="AD2" s="213"/>
      <c r="AE2" s="213"/>
      <c r="AF2" s="213"/>
      <c r="AG2" s="213"/>
      <c r="AH2" s="213"/>
      <c r="AI2" s="213"/>
      <c r="AJ2" s="213"/>
      <c r="AK2" s="213"/>
      <c r="AL2" s="213"/>
      <c r="AM2" s="213"/>
      <c r="AN2" s="213"/>
      <c r="AO2" s="213"/>
      <c r="AP2" s="213"/>
      <c r="AQ2" s="213" t="str">
        <f>IFERROR(__xludf.DUMMYFUNCTION("""COMPUTED_VALUE"""),"c")</f>
        <v>c</v>
      </c>
      <c r="AR2" s="213"/>
      <c r="AS2" s="213" t="str">
        <f>IFERROR(__xludf.DUMMYFUNCTION("""COMPUTED_VALUE"""),"OBSERVACIONES COSTOS")</f>
        <v>OBSERVACIONES COSTOS</v>
      </c>
      <c r="AT2" s="213"/>
      <c r="AU2" s="213"/>
      <c r="AV2" s="213"/>
      <c r="AW2" s="213"/>
      <c r="AX2" s="213"/>
      <c r="AY2" s="213"/>
      <c r="AZ2" s="213"/>
      <c r="BA2" s="213"/>
      <c r="BB2" s="213"/>
      <c r="BC2" s="213"/>
      <c r="BD2" s="213"/>
    </row>
    <row r="3">
      <c r="A3" s="213" t="str">
        <f>IFERROR(__xludf.DUMMYFUNCTION("""COMPUTED_VALUE"""),"N°")</f>
        <v>N°</v>
      </c>
      <c r="B3" s="213" t="str">
        <f>IFERROR(__xludf.DUMMYFUNCTION("""COMPUTED_VALUE"""),"COLEGIO")</f>
        <v>COLEGIO</v>
      </c>
      <c r="C3" s="213" t="str">
        <f>IFERROR(__xludf.DUMMYFUNCTION("""COMPUTED_VALUE"""),"TALLER")</f>
        <v>TALLER</v>
      </c>
      <c r="D3" s="213" t="str">
        <f>IFERROR(__xludf.DUMMYFUNCTION("""COMPUTED_VALUE"""),"TIPO DE PRODUCTO")</f>
        <v>TIPO DE PRODUCTO</v>
      </c>
      <c r="E3" s="213" t="str">
        <f>IFERROR(__xludf.DUMMYFUNCTION("""COMPUTED_VALUE"""),"CODIGO ENTIDAD")</f>
        <v>CODIGO ENTIDAD</v>
      </c>
      <c r="F3" s="213" t="str">
        <f>IFERROR(__xludf.DUMMYFUNCTION("""COMPUTED_VALUE"""),"CÓDIGO INTERNO (EETT)")</f>
        <v>CÓDIGO INTERNO (EETT)</v>
      </c>
      <c r="G3" s="213" t="str">
        <f>IFERROR(__xludf.DUMMYFUNCTION("""COMPUTED_VALUE"""),"NO ELIMINAR")</f>
        <v>NO ELIMINAR</v>
      </c>
      <c r="H3" s="213" t="str">
        <f>IFERROR(__xludf.DUMMYFUNCTION("""COMPUTED_VALUE"""),"PRODUCTO ")</f>
        <v>PRODUCTO </v>
      </c>
      <c r="I3" s="213" t="str">
        <f>IFERROR(__xludf.DUMMYFUNCTION("""COMPUTED_VALUE"""),"DES")</f>
        <v>DES</v>
      </c>
      <c r="J3" s="213" t="str">
        <f>IFERROR(__xludf.DUMMYFUNCTION("""COMPUTED_VALUE"""),"GARANTÍA (AÑOS)")</f>
        <v>GARANTÍA (AÑOS)</v>
      </c>
      <c r="K3" s="213" t="str">
        <f>IFERROR(__xludf.DUMMYFUNCTION("""COMPUTED_VALUE"""),"PLAZO ADQUISICIÓN")</f>
        <v>PLAZO ADQUISICIÓN</v>
      </c>
      <c r="L3" s="213" t="str">
        <f>IFERROR(__xludf.DUMMYFUNCTION("""COMPUTED_VALUE"""),"UM")</f>
        <v>UM</v>
      </c>
      <c r="M3" s="213" t="str">
        <f>IFERROR(__xludf.DUMMYFUNCTION("""COMPUTED_VALUE"""),"CANTIDAD POR KIT")</f>
        <v>CANTIDAD POR KIT</v>
      </c>
      <c r="N3" s="213" t="str">
        <f>IFERROR(__xludf.DUMMYFUNCTION("""COMPUTED_VALUE"""),"CANTIDAD DE KITS")</f>
        <v>CANTIDAD DE KITS</v>
      </c>
      <c r="O3" s="213" t="str">
        <f>IFERROR(__xludf.DUMMYFUNCTION("""COMPUTED_VALUE"""),"CANTIDAD TOTAL")</f>
        <v>CANTIDAD TOTAL</v>
      </c>
      <c r="P3" s="213" t="str">
        <f>IFERROR(__xludf.DUMMYFUNCTION("""COMPUTED_VALUE"""),"REVISADO")</f>
        <v>REVISADO</v>
      </c>
      <c r="Q3" s="213" t="str">
        <f>IFERROR(__xludf.DUMMYFUNCTION("""COMPUTED_VALUE"""),"REGISTRADO EN COSTOS")</f>
        <v>REGISTRADO EN COSTOS</v>
      </c>
      <c r="R3" s="213" t="str">
        <f>IFERROR(__xludf.DUMMYFUNCTION("""COMPUTED_VALUE"""),"COTIZADO")</f>
        <v>COTIZADO</v>
      </c>
      <c r="S3" s="213" t="str">
        <f>IFERROR(__xludf.DUMMYFUNCTION("""COMPUTED_VALUE"""),"MODELAR SI / NO")</f>
        <v>MODELAR SI / NO</v>
      </c>
      <c r="T3" s="213" t="str">
        <f>IFERROR(__xludf.DUMMYFUNCTION("""COMPUTED_VALUE"""),"VALIDADO POR TICS")</f>
        <v>VALIDADO POR TICS</v>
      </c>
      <c r="U3" s="213" t="str">
        <f>IFERROR(__xludf.DUMMYFUNCTION("""COMPUTED_VALUE"""),"CUMPLE E.T AL 100% (SI O NO)|")</f>
        <v>CUMPLE E.T AL 100% (SI O NO)|</v>
      </c>
      <c r="V3" s="213" t="str">
        <f>IFERROR(__xludf.DUMMYFUNCTION("""COMPUTED_VALUE"""),"ESTATUS DE LA VALIDACIÓN")</f>
        <v>ESTATUS DE LA VALIDACIÓN</v>
      </c>
      <c r="W3" s="213" t="str">
        <f>IFERROR(__xludf.DUMMYFUNCTION("""COMPUTED_VALUE"""),"COMPLEJIDAD DE SUSTENTO")</f>
        <v>COMPLEJIDAD DE SUSTENTO</v>
      </c>
      <c r="X3" s="213" t="str">
        <f>IFERROR(__xludf.DUMMYFUNCTION("""COMPUTED_VALUE"""),"MARCA")</f>
        <v>MARCA</v>
      </c>
      <c r="Y3" s="213" t="str">
        <f>IFERROR(__xludf.DUMMYFUNCTION("""COMPUTED_VALUE"""),"MODELO")</f>
        <v>MODELO</v>
      </c>
      <c r="Z3" s="213" t="str">
        <f>IFERROR(__xludf.DUMMYFUNCTION("""COMPUTED_VALUE"""),"LINK DE REFERENCIA")</f>
        <v>LINK DE REFERENCIA</v>
      </c>
      <c r="AA3" s="213" t="str">
        <f>IFERROR(__xludf.DUMMYFUNCTION("""COMPUTED_VALUE"""),"CUADRO DE EVALUACIÓN TÉCNICA (CET)")</f>
        <v>CUADRO DE EVALUACIÓN TÉCNICA (CET)</v>
      </c>
      <c r="AB3" s="213" t="str">
        <f>IFERROR(__xludf.DUMMYFUNCTION("""COMPUTED_VALUE"""),"LINK DE FICHA TECNICA")</f>
        <v>LINK DE FICHA TECNICA</v>
      </c>
      <c r="AC3" s="213" t="str">
        <f>IFERROR(__xludf.DUMMYFUNCTION("""COMPUTED_VALUE"""),"LINK DE COTIZACIÓN")</f>
        <v>LINK DE COTIZACIÓN</v>
      </c>
      <c r="AD3" s="213" t="str">
        <f>IFERROR(__xludf.DUMMYFUNCTION("""COMPUTED_VALUE"""),"PROYECTO HISTÓRICO REFERNCIA")</f>
        <v>PROYECTO HISTÓRICO REFERNCIA</v>
      </c>
      <c r="AE3" s="213" t="str">
        <f>IFERROR(__xludf.DUMMYFUNCTION("""COMPUTED_VALUE"""),"CÓDIGO HISTÓRICO REFERENCIA")</f>
        <v>CÓDIGO HISTÓRICO REFERENCIA</v>
      </c>
      <c r="AF3" s="213" t="str">
        <f>IFERROR(__xludf.DUMMYFUNCTION("""COMPUTED_VALUE"""),"DESCRIPCIÓN DEL HISTORICO")</f>
        <v>DESCRIPCIÓN DEL HISTORICO</v>
      </c>
      <c r="AG3" s="213" t="str">
        <f>IFERROR(__xludf.DUMMYFUNCTION("""COMPUTED_VALUE"""),"DIFERENCIADOR HISTORICO")</f>
        <v>DIFERENCIADOR HISTORICO</v>
      </c>
      <c r="AH3" s="213" t="str">
        <f>IFERROR(__xludf.DUMMYFUNCTION("""COMPUTED_VALUE"""),"PROCEDENCIA")</f>
        <v>PROCEDENCIA</v>
      </c>
      <c r="AI3" s="213" t="str">
        <f>IFERROR(__xludf.DUMMYFUNCTION("""COMPUTED_VALUE"""),"PAIS")</f>
        <v>PAIS</v>
      </c>
      <c r="AJ3" s="213" t="str">
        <f>IFERROR(__xludf.DUMMYFUNCTION("""COMPUTED_VALUE"""),"VIA DE TRANSPORTE")</f>
        <v>VIA DE TRANSPORTE</v>
      </c>
      <c r="AK3" s="213" t="str">
        <f>IFERROR(__xludf.DUMMYFUNCTION("""COMPUTED_VALUE"""),"MONEDA")</f>
        <v>MONEDA</v>
      </c>
      <c r="AL3" s="213" t="str">
        <f>IFERROR(__xludf.DUMMYFUNCTION("""COMPUTED_VALUE"""),"PLAZO DE ENTREGA PROVEEDOR")</f>
        <v>PLAZO DE ENTREGA PROVEEDOR</v>
      </c>
      <c r="AM3" s="213" t="str">
        <f>IFERROR(__xludf.DUMMYFUNCTION("""COMPUTED_VALUE"""),"PLAZO TRANSITO Y ADUANAS")</f>
        <v>PLAZO TRANSITO Y ADUANAS</v>
      </c>
      <c r="AN3" s="213" t="str">
        <f>IFERROR(__xludf.DUMMYFUNCTION("""COMPUTED_VALUE"""),"PLAZO DE ENTREGA TOTAL")</f>
        <v>PLAZO DE ENTREGA TOTAL</v>
      </c>
      <c r="AO3" s="213" t="str">
        <f>IFERROR(__xludf.DUMMYFUNCTION("""COMPUTED_VALUE"""),"RESPONSABLE COTIZACION")</f>
        <v>RESPONSABLE COTIZACION</v>
      </c>
      <c r="AP3" s="213" t="str">
        <f>IFERROR(__xludf.DUMMYFUNCTION("""COMPUTED_VALUE"""),"RESPONSABLE TÉCNICO")</f>
        <v>RESPONSABLE TÉCNICO</v>
      </c>
      <c r="AQ3" s="213" t="str">
        <f>IFERROR(__xludf.DUMMYFUNCTION("""COMPUTED_VALUE"""),"OBSERVACIONES TECNICAS")</f>
        <v>OBSERVACIONES TECNICAS</v>
      </c>
      <c r="AR3" s="213" t="str">
        <f>IFERROR(__xludf.DUMMYFUNCTION("""COMPUTED_VALUE"""),"OBSERVACIONES PARA LA ENTIDAD")</f>
        <v>OBSERVACIONES PARA LA ENTIDAD</v>
      </c>
      <c r="AS3" s="213" t="str">
        <f>IFERROR(__xludf.DUMMYFUNCTION("""COMPUTED_VALUE"""),"ACCESORIOS ADICIONALES
(OBLIGATORIO)")</f>
        <v>ACCESORIOS ADICIONALES
(OBLIGATORIO)</v>
      </c>
      <c r="AT3" s="213" t="str">
        <f>IFERROR(__xludf.DUMMYFUNCTION("""COMPUTED_VALUE"""),"LINK ACCESORIOS ADICIONALES
(OPCIONAL)")</f>
        <v>LINK ACCESORIOS ADICIONALES
(OPCIONAL)</v>
      </c>
      <c r="AU3" s="213"/>
      <c r="AV3" s="213"/>
      <c r="AW3" s="213"/>
      <c r="AX3" s="213"/>
      <c r="AY3" s="213"/>
      <c r="AZ3" s="213"/>
      <c r="BA3" s="213"/>
      <c r="BB3" s="213"/>
      <c r="BC3" s="213"/>
      <c r="BD3" s="213"/>
    </row>
    <row r="4">
      <c r="A4" s="213">
        <f>IFERROR(__xludf.DUMMYFUNCTION("""COMPUTED_VALUE"""),182.0)</f>
        <v>182</v>
      </c>
      <c r="B4" s="213" t="str">
        <f>IFERROR(__xludf.DUMMYFUNCTION("""COMPUTED_VALUE"""),"2026 SIMON BOLIVAR")</f>
        <v>2026 SIMON BOLIVAR</v>
      </c>
      <c r="C4" s="213" t="str">
        <f>IFERROR(__xludf.DUMMYFUNCTION("""COMPUTED_VALUE"""),"TALLER SFT DE INDUSTRIA DEL VESTIDO")</f>
        <v>TALLER SFT DE INDUSTRIA DEL VESTIDO</v>
      </c>
      <c r="D4" s="213" t="str">
        <f>IFERROR(__xludf.DUMMYFUNCTION("""COMPUTED_VALUE"""),"HERRAMIENTAS")</f>
        <v>HERRAMIENTAS</v>
      </c>
      <c r="E4" s="213" t="str">
        <f>IFERROR(__xludf.DUMMYFUNCTION("""COMPUTED_VALUE"""),"COM-101")</f>
        <v>COM-101</v>
      </c>
      <c r="F4" s="213" t="str">
        <f>IFERROR(__xludf.DUMMYFUNCTION("""COMPUTED_VALUE"""),"COM-101")</f>
        <v>COM-101</v>
      </c>
      <c r="G4" s="213"/>
      <c r="H4" s="213" t="str">
        <f>IFERROR(__xludf.DUMMYFUNCTION("""COMPUTED_VALUE"""),"ABREOJALES")</f>
        <v>ABREOJALES</v>
      </c>
      <c r="I4" s="213" t="str">
        <f>IFERROR(__xludf.DUMMYFUNCTION("""COMPUTED_VALUE"""),"·       Fabricado de material plástico y metal, para deshacer la costura fina.
·       Medida entre 8 a 10 cm de largo.
·       Tapa de plástico transparente, se convierte en un mango de extensión")</f>
        <v>·       Fabricado de material plástico y metal, para deshacer la costura fina.
·       Medida entre 8 a 10 cm de largo.
·       Tapa de plástico transparente, se convierte en un mango de extensión</v>
      </c>
      <c r="J4" s="213">
        <f>IFERROR(__xludf.DUMMYFUNCTION("""COMPUTED_VALUE"""),3.0)</f>
        <v>3</v>
      </c>
      <c r="K4" s="213" t="str">
        <f>IFERROR(__xludf.DUMMYFUNCTION("""COMPUTED_VALUE"""),"90 DÍAS CALENDARIO")</f>
        <v>90 DÍAS CALENDARIO</v>
      </c>
      <c r="L4" s="213" t="str">
        <f>IFERROR(__xludf.DUMMYFUNCTION("""COMPUTED_VALUE"""),"")</f>
        <v/>
      </c>
      <c r="M4" s="213">
        <f>IFERROR(__xludf.DUMMYFUNCTION("""COMPUTED_VALUE"""),1.0)</f>
        <v>1</v>
      </c>
      <c r="N4" s="213">
        <f>IFERROR(__xludf.DUMMYFUNCTION("""COMPUTED_VALUE"""),10.0)</f>
        <v>10</v>
      </c>
      <c r="O4" s="213">
        <f>IFERROR(__xludf.DUMMYFUNCTION("""COMPUTED_VALUE"""),10.0)</f>
        <v>10</v>
      </c>
      <c r="P4" s="213"/>
      <c r="Q4" s="213"/>
      <c r="R4" s="213" t="str">
        <f>IFERROR(__xludf.DUMMYFUNCTION("""COMPUTED_VALUE"""),"SI")</f>
        <v>SI</v>
      </c>
      <c r="S4" s="213"/>
      <c r="T4" s="213" t="str">
        <f>IFERROR(__xludf.DUMMYFUNCTION("""COMPUTED_VALUE"""),"SI")</f>
        <v>SI</v>
      </c>
      <c r="U4" s="213" t="str">
        <f>IFERROR(__xludf.DUMMYFUNCTION("""COMPUTED_VALUE"""),"SI")</f>
        <v>SI</v>
      </c>
      <c r="V4" s="213" t="str">
        <f>IFERROR(__xludf.DUMMYFUNCTION("""COMPUTED_VALUE"""),"-")</f>
        <v>-</v>
      </c>
      <c r="W4" s="213" t="str">
        <f>IFERROR(__xludf.DUMMYFUNCTION("""COMPUTED_VALUE"""),"-")</f>
        <v>-</v>
      </c>
      <c r="X4" s="213" t="str">
        <f>IFERROR(__xludf.DUMMYFUNCTION("""COMPUTED_VALUE"""),"GAMY")</f>
        <v>GAMY</v>
      </c>
      <c r="Y4" s="213" t="str">
        <f>IFERROR(__xludf.DUMMYFUNCTION("""COMPUTED_VALUE"""),"ABRE OJAL 8.7CM")</f>
        <v>ABRE OJAL 8.7CM</v>
      </c>
      <c r="Z4" s="215" t="str">
        <f>IFERROR(__xludf.DUMMYFUNCTION("""COMPUTED_VALUE"""),"https://gamypasamaneria.com/products/abre-ojal?srsltid=AfmBOooYEvFFR1U7-RAUbn9NMRSAeWHLCISh3wsH42p8MKxVN1l-nOSQ")</f>
        <v>https://gamypasamaneria.com/products/abre-ojal?srsltid=AfmBOooYEvFFR1U7-RAUbn9NMRSAeWHLCISh3wsH42p8MKxVN1l-nOSQ</v>
      </c>
      <c r="AA4" s="213" t="str">
        <f>IFERROR(__xludf.DUMMYFUNCTION("""COMPUTED_VALUE"""),"COM-101 ABREOJALES- CET")</f>
        <v>COM-101 ABREOJALES- CET</v>
      </c>
      <c r="AB4" s="215" t="str">
        <f>IFERROR(__xludf.DUMMYFUNCTION("""COMPUTED_VALUE"""),"https://drive.google.com/file/d/11rhhxZEt2R8ziCxcgS8jBIvfPOuhi72c/view?usp=sharing")</f>
        <v>https://drive.google.com/file/d/11rhhxZEt2R8ziCxcgS8jBIvfPOuhi72c/view?usp=sharing</v>
      </c>
      <c r="AC4" s="215" t="str">
        <f>IFERROR(__xludf.DUMMYFUNCTION("""COMPUTED_VALUE"""),"https://gamypasamaneria.com/products/abre-ojal?srsltid=AfmBOooYEvFFR1U7-RAUbn9NMRSAeWHLCISh3wsH42p8MKxVN1l-nOSQ")</f>
        <v>https://gamypasamaneria.com/products/abre-ojal?srsltid=AfmBOooYEvFFR1U7-RAUbn9NMRSAeWHLCISh3wsH42p8MKxVN1l-nOSQ</v>
      </c>
      <c r="AD4" s="213"/>
      <c r="AE4" s="213"/>
      <c r="AF4" s="213"/>
      <c r="AG4" s="213"/>
      <c r="AH4" s="213" t="str">
        <f>IFERROR(__xludf.DUMMYFUNCTION("""COMPUTED_VALUE"""),"NACIONAL")</f>
        <v>NACIONAL</v>
      </c>
      <c r="AI4" s="213"/>
      <c r="AJ4" s="213"/>
      <c r="AK4" s="213"/>
      <c r="AL4" s="213"/>
      <c r="AM4" s="213"/>
      <c r="AN4" s="213"/>
      <c r="AO4" s="213"/>
      <c r="AP4" s="213" t="str">
        <f>IFERROR(__xludf.DUMMYFUNCTION("""COMPUTED_VALUE"""),"SEBASTIAN")</f>
        <v>SEBASTIAN</v>
      </c>
      <c r="AQ4" s="213"/>
      <c r="AR4" s="213"/>
      <c r="AS4" s="213"/>
      <c r="AT4" s="213"/>
      <c r="AU4" s="213"/>
      <c r="AV4" s="213"/>
      <c r="AW4" s="213"/>
      <c r="AX4" s="213"/>
      <c r="AY4" s="213"/>
      <c r="AZ4" s="213"/>
      <c r="BA4" s="213"/>
      <c r="BB4" s="213"/>
      <c r="BC4" s="213"/>
      <c r="BD4" s="213"/>
    </row>
    <row r="5">
      <c r="A5" s="213">
        <f>IFERROR(__xludf.DUMMYFUNCTION("""COMPUTED_VALUE"""),2405.0)</f>
        <v>2405</v>
      </c>
      <c r="B5" s="213" t="str">
        <f>IFERROR(__xludf.DUMMYFUNCTION("""COMPUTED_VALUE"""),"MANUEL ANTONIO MESONES MURO")</f>
        <v>MANUEL ANTONIO MESONES MURO</v>
      </c>
      <c r="C5" s="213" t="str">
        <f>IFERROR(__xludf.DUMMYFUNCTION("""COMPUTED_VALUE"""),"TALLER SFT DE INDUSTRIA DEL VESTIDO")</f>
        <v>TALLER SFT DE INDUSTRIA DEL VESTIDO</v>
      </c>
      <c r="D5" s="213" t="str">
        <f>IFERROR(__xludf.DUMMYFUNCTION("""COMPUTED_VALUE"""),"HERRAMIENTAS")</f>
        <v>HERRAMIENTAS</v>
      </c>
      <c r="E5" s="213" t="str">
        <f>IFERROR(__xludf.DUMMYFUNCTION("""COMPUTED_VALUE"""),"COM-101")</f>
        <v>COM-101</v>
      </c>
      <c r="F5" s="213" t="str">
        <f>IFERROR(__xludf.DUMMYFUNCTION("""COMPUTED_VALUE"""),"COM-101")</f>
        <v>COM-101</v>
      </c>
      <c r="G5" s="213"/>
      <c r="H5" s="213" t="str">
        <f>IFERROR(__xludf.DUMMYFUNCTION("""COMPUTED_VALUE"""),"ABREOJALES")</f>
        <v>ABREOJALES</v>
      </c>
      <c r="I5" s="213" t="str">
        <f>IFERROR(__xludf.DUMMYFUNCTION("""COMPUTED_VALUE"""),"·       Fabricado de material plástico y metal, para deshacer la costura fina.
·       Medida entre 8 a 10 cm de largo.
·       Tapa de plástico transparente, se convierte en un mango de extensión")</f>
        <v>·       Fabricado de material plástico y metal, para deshacer la costura fina.
·       Medida entre 8 a 10 cm de largo.
·       Tapa de plástico transparente, se convierte en un mango de extensión</v>
      </c>
      <c r="J5" s="213">
        <f>IFERROR(__xludf.DUMMYFUNCTION("""COMPUTED_VALUE"""),3.0)</f>
        <v>3</v>
      </c>
      <c r="K5" s="213" t="str">
        <f>IFERROR(__xludf.DUMMYFUNCTION("""COMPUTED_VALUE"""),"90 DÍAS CALENDARIO")</f>
        <v>90 DÍAS CALENDARIO</v>
      </c>
      <c r="L5" s="213" t="str">
        <f>IFERROR(__xludf.DUMMYFUNCTION("""COMPUTED_VALUE"""),"")</f>
        <v/>
      </c>
      <c r="M5" s="213">
        <f>IFERROR(__xludf.DUMMYFUNCTION("""COMPUTED_VALUE"""),1.0)</f>
        <v>1</v>
      </c>
      <c r="N5" s="213">
        <f>IFERROR(__xludf.DUMMYFUNCTION("""COMPUTED_VALUE"""),10.0)</f>
        <v>10</v>
      </c>
      <c r="O5" s="213">
        <f>IFERROR(__xludf.DUMMYFUNCTION("""COMPUTED_VALUE"""),10.0)</f>
        <v>10</v>
      </c>
      <c r="P5" s="213"/>
      <c r="Q5" s="213"/>
      <c r="R5" s="213" t="str">
        <f>IFERROR(__xludf.DUMMYFUNCTION("""COMPUTED_VALUE"""),"SI")</f>
        <v>SI</v>
      </c>
      <c r="S5" s="213"/>
      <c r="T5" s="213" t="str">
        <f>IFERROR(__xludf.DUMMYFUNCTION("""COMPUTED_VALUE"""),"SI")</f>
        <v>SI</v>
      </c>
      <c r="U5" s="213" t="str">
        <f>IFERROR(__xludf.DUMMYFUNCTION("""COMPUTED_VALUE"""),"SI")</f>
        <v>SI</v>
      </c>
      <c r="V5" s="213" t="str">
        <f>IFERROR(__xludf.DUMMYFUNCTION("""COMPUTED_VALUE"""),"-")</f>
        <v>-</v>
      </c>
      <c r="W5" s="213" t="str">
        <f>IFERROR(__xludf.DUMMYFUNCTION("""COMPUTED_VALUE"""),"-")</f>
        <v>-</v>
      </c>
      <c r="X5" s="213" t="str">
        <f>IFERROR(__xludf.DUMMYFUNCTION("""COMPUTED_VALUE"""),"GAMY")</f>
        <v>GAMY</v>
      </c>
      <c r="Y5" s="213" t="str">
        <f>IFERROR(__xludf.DUMMYFUNCTION("""COMPUTED_VALUE"""),"ABRE OJAL 8.7CM")</f>
        <v>ABRE OJAL 8.7CM</v>
      </c>
      <c r="Z5" s="215" t="str">
        <f>IFERROR(__xludf.DUMMYFUNCTION("""COMPUTED_VALUE"""),"https://gamypasamaneria.com/products/abre-ojal?srsltid=AfmBOooYEvFFR1U7-RAUbn9NMRSAeWHLCISh3wsH42p8MKxVN1l-nOSQ")</f>
        <v>https://gamypasamaneria.com/products/abre-ojal?srsltid=AfmBOooYEvFFR1U7-RAUbn9NMRSAeWHLCISh3wsH42p8MKxVN1l-nOSQ</v>
      </c>
      <c r="AA5" s="213" t="str">
        <f>IFERROR(__xludf.DUMMYFUNCTION("""COMPUTED_VALUE"""),"COM-101 ABREOJALES- CET")</f>
        <v>COM-101 ABREOJALES- CET</v>
      </c>
      <c r="AB5" s="215" t="str">
        <f>IFERROR(__xludf.DUMMYFUNCTION("""COMPUTED_VALUE"""),"https://drive.google.com/file/d/11rhhxZEt2R8ziCxcgS8jBIvfPOuhi72c/view?usp=sharing")</f>
        <v>https://drive.google.com/file/d/11rhhxZEt2R8ziCxcgS8jBIvfPOuhi72c/view?usp=sharing</v>
      </c>
      <c r="AC5" s="215" t="str">
        <f>IFERROR(__xludf.DUMMYFUNCTION("""COMPUTED_VALUE"""),"https://gamypasamaneria.com/products/abre-ojal?srsltid=AfmBOooYEvFFR1U7-RAUbn9NMRSAeWHLCISh3wsH42p8MKxVN1l-nOSQ")</f>
        <v>https://gamypasamaneria.com/products/abre-ojal?srsltid=AfmBOooYEvFFR1U7-RAUbn9NMRSAeWHLCISh3wsH42p8MKxVN1l-nOSQ</v>
      </c>
      <c r="AD5" s="213"/>
      <c r="AE5" s="213"/>
      <c r="AF5" s="213"/>
      <c r="AG5" s="213"/>
      <c r="AH5" s="213" t="str">
        <f>IFERROR(__xludf.DUMMYFUNCTION("""COMPUTED_VALUE"""),"NACIONAL")</f>
        <v>NACIONAL</v>
      </c>
      <c r="AI5" s="213"/>
      <c r="AJ5" s="213"/>
      <c r="AK5" s="213"/>
      <c r="AL5" s="213"/>
      <c r="AM5" s="213"/>
      <c r="AN5" s="213"/>
      <c r="AO5" s="213"/>
      <c r="AP5" s="213" t="str">
        <f>IFERROR(__xludf.DUMMYFUNCTION("""COMPUTED_VALUE"""),"SEBASTIAN")</f>
        <v>SEBASTIAN</v>
      </c>
      <c r="AQ5" s="213"/>
      <c r="AR5" s="213"/>
      <c r="AS5" s="213"/>
      <c r="AT5" s="213"/>
      <c r="AU5" s="213"/>
      <c r="AV5" s="213"/>
      <c r="AW5" s="213"/>
      <c r="AX5" s="213"/>
      <c r="AY5" s="213"/>
      <c r="AZ5" s="213"/>
      <c r="BA5" s="213"/>
      <c r="BB5" s="213"/>
      <c r="BC5" s="213"/>
      <c r="BD5" s="213"/>
    </row>
    <row r="6">
      <c r="A6" s="213">
        <f>IFERROR(__xludf.DUMMYFUNCTION("""COMPUTED_VALUE"""),183.0)</f>
        <v>183</v>
      </c>
      <c r="B6" s="213" t="str">
        <f>IFERROR(__xludf.DUMMYFUNCTION("""COMPUTED_VALUE"""),"2026 SIMON BOLIVAR")</f>
        <v>2026 SIMON BOLIVAR</v>
      </c>
      <c r="C6" s="213" t="str">
        <f>IFERROR(__xludf.DUMMYFUNCTION("""COMPUTED_VALUE"""),"TALLER SFT DE INDUSTRIA DEL VESTIDO")</f>
        <v>TALLER SFT DE INDUSTRIA DEL VESTIDO</v>
      </c>
      <c r="D6" s="213" t="str">
        <f>IFERROR(__xludf.DUMMYFUNCTION("""COMPUTED_VALUE"""),"HERRAMIENTAS")</f>
        <v>HERRAMIENTAS</v>
      </c>
      <c r="E6" s="213" t="str">
        <f>IFERROR(__xludf.DUMMYFUNCTION("""COMPUTED_VALUE"""),"COM-102")</f>
        <v>COM-102</v>
      </c>
      <c r="F6" s="213" t="str">
        <f>IFERROR(__xludf.DUMMYFUNCTION("""COMPUTED_VALUE"""),"COM-102-Z")</f>
        <v>COM-102-Z</v>
      </c>
      <c r="G6" s="213"/>
      <c r="H6" s="213" t="str">
        <f>IFERROR(__xludf.DUMMYFUNCTION("""COMPUTED_VALUE"""),"ACEITERA")</f>
        <v>ACEITERA</v>
      </c>
      <c r="I6" s="213" t="str">
        <f>IFERROR(__xludf.DUMMYFUNCTION("""COMPUTED_VALUE"""),"- Aceitera de punta metálica
- Doblada en el extremo para acceder mejor a los diferentes puntos de engrase en cualquier tipo de máquina de coser, bordar, cortar, etc.
- Con tapón de rosca para facilitar su rellenado.
- Envase con capacidad de 125 ml aprox"&amp;"imadamente.")</f>
        <v>- Aceitera de punta metálica
- Doblada en el extremo para acceder mejor a los diferentes puntos de engrase en cualquier tipo de máquina de coser, bordar, cortar, etc.
- Con tapón de rosca para facilitar su rellenado.
- Envase con capacidad de 125 ml aproximadamente.</v>
      </c>
      <c r="J6" s="213">
        <f>IFERROR(__xludf.DUMMYFUNCTION("""COMPUTED_VALUE"""),3.0)</f>
        <v>3</v>
      </c>
      <c r="K6" s="213" t="str">
        <f>IFERROR(__xludf.DUMMYFUNCTION("""COMPUTED_VALUE"""),"90 DÍAS CALENDARIO")</f>
        <v>90 DÍAS CALENDARIO</v>
      </c>
      <c r="L6" s="213" t="str">
        <f>IFERROR(__xludf.DUMMYFUNCTION("""COMPUTED_VALUE"""),"")</f>
        <v/>
      </c>
      <c r="M6" s="213">
        <f>IFERROR(__xludf.DUMMYFUNCTION("""COMPUTED_VALUE"""),1.0)</f>
        <v>1</v>
      </c>
      <c r="N6" s="213">
        <f>IFERROR(__xludf.DUMMYFUNCTION("""COMPUTED_VALUE"""),5.0)</f>
        <v>5</v>
      </c>
      <c r="O6" s="213">
        <f>IFERROR(__xludf.DUMMYFUNCTION("""COMPUTED_VALUE"""),5.0)</f>
        <v>5</v>
      </c>
      <c r="P6" s="213"/>
      <c r="Q6" s="213"/>
      <c r="R6" s="213" t="str">
        <f>IFERROR(__xludf.DUMMYFUNCTION("""COMPUTED_VALUE"""),"SI")</f>
        <v>SI</v>
      </c>
      <c r="S6" s="213"/>
      <c r="T6" s="213" t="str">
        <f>IFERROR(__xludf.DUMMYFUNCTION("""COMPUTED_VALUE"""),"SI")</f>
        <v>SI</v>
      </c>
      <c r="U6" s="213" t="str">
        <f>IFERROR(__xludf.DUMMYFUNCTION("""COMPUTED_VALUE"""),"SI")</f>
        <v>SI</v>
      </c>
      <c r="V6" s="213" t="str">
        <f>IFERROR(__xludf.DUMMYFUNCTION("""COMPUTED_VALUE"""),"-")</f>
        <v>-</v>
      </c>
      <c r="W6" s="213" t="str">
        <f>IFERROR(__xludf.DUMMYFUNCTION("""COMPUTED_VALUE"""),"-")</f>
        <v>-</v>
      </c>
      <c r="X6" s="213" t="str">
        <f>IFERROR(__xludf.DUMMYFUNCTION("""COMPUTED_VALUE"""),"TRUPER")</f>
        <v>TRUPER</v>
      </c>
      <c r="Y6" s="213" t="str">
        <f>IFERROR(__xludf.DUMMYFUNCTION("""COMPUTED_VALUE"""),"ACEF-180")</f>
        <v>ACEF-180</v>
      </c>
      <c r="Z6" s="215" t="str">
        <f>IFERROR(__xludf.DUMMYFUNCTION("""COMPUTED_VALUE"""),"https://www.promart.pe/aceitera-con-pico-flecible-180-ml/p")</f>
        <v>https://www.promart.pe/aceitera-con-pico-flecible-180-ml/p</v>
      </c>
      <c r="AA6" s="213" t="str">
        <f>IFERROR(__xludf.DUMMYFUNCTION("""COMPUTED_VALUE"""),"COM-102-Z ACEITERA - CET")</f>
        <v>COM-102-Z ACEITERA - CET</v>
      </c>
      <c r="AB6" s="215" t="str">
        <f>IFERROR(__xludf.DUMMYFUNCTION("""COMPUTED_VALUE"""),"https://drive.google.com/file/d/1p6XPzojAeS_phxGT1uTRm1wrHfx0kblq/view?usp=sharing")</f>
        <v>https://drive.google.com/file/d/1p6XPzojAeS_phxGT1uTRm1wrHfx0kblq/view?usp=sharing</v>
      </c>
      <c r="AC6" s="215" t="str">
        <f>IFERROR(__xludf.DUMMYFUNCTION("""COMPUTED_VALUE"""),"https://www.promart.pe/aceitera-con-pico-flecible-180-ml/p")</f>
        <v>https://www.promart.pe/aceitera-con-pico-flecible-180-ml/p</v>
      </c>
      <c r="AD6" s="213"/>
      <c r="AE6" s="213"/>
      <c r="AF6" s="213"/>
      <c r="AG6" s="213"/>
      <c r="AH6" s="213" t="str">
        <f>IFERROR(__xludf.DUMMYFUNCTION("""COMPUTED_VALUE"""),"NACIONAL")</f>
        <v>NACIONAL</v>
      </c>
      <c r="AI6" s="213"/>
      <c r="AJ6" s="213"/>
      <c r="AK6" s="213"/>
      <c r="AL6" s="213"/>
      <c r="AM6" s="213"/>
      <c r="AN6" s="213"/>
      <c r="AO6" s="213"/>
      <c r="AP6" s="213" t="str">
        <f>IFERROR(__xludf.DUMMYFUNCTION("""COMPUTED_VALUE"""),"LUIS")</f>
        <v>LUIS</v>
      </c>
      <c r="AQ6" s="213"/>
      <c r="AR6" s="213"/>
      <c r="AS6" s="213"/>
      <c r="AT6" s="213"/>
      <c r="AU6" s="213"/>
      <c r="AV6" s="213"/>
      <c r="AW6" s="213"/>
      <c r="AX6" s="213"/>
      <c r="AY6" s="213"/>
      <c r="AZ6" s="213"/>
      <c r="BA6" s="213"/>
      <c r="BB6" s="213"/>
      <c r="BC6" s="213"/>
      <c r="BD6" s="213"/>
    </row>
    <row r="7">
      <c r="A7" s="213">
        <f>IFERROR(__xludf.DUMMYFUNCTION("""COMPUTED_VALUE"""),973.0)</f>
        <v>973</v>
      </c>
      <c r="B7" s="213" t="str">
        <f>IFERROR(__xludf.DUMMYFUNCTION("""COMPUTED_VALUE"""),"FRANCISCO IRAZOLA")</f>
        <v>FRANCISCO IRAZOLA</v>
      </c>
      <c r="C7" s="213" t="str">
        <f>IFERROR(__xludf.DUMMYFUNCTION("""COMPUTED_VALUE"""),"TALLER SFT DE MECÁNICA AUTOMOTRIZ")</f>
        <v>TALLER SFT DE MECÁNICA AUTOMOTRIZ</v>
      </c>
      <c r="D7" s="213" t="str">
        <f>IFERROR(__xludf.DUMMYFUNCTION("""COMPUTED_VALUE"""),"HERRAMIENTAS")</f>
        <v>HERRAMIENTAS</v>
      </c>
      <c r="E7" s="213" t="str">
        <f>IFERROR(__xludf.DUMMYFUNCTION("""COMPUTED_VALUE"""),"COM-102")</f>
        <v>COM-102</v>
      </c>
      <c r="F7" s="213" t="str">
        <f>IFERROR(__xludf.DUMMYFUNCTION("""COMPUTED_VALUE"""),"COM-102-Y")</f>
        <v>COM-102-Y</v>
      </c>
      <c r="G7" s="213"/>
      <c r="H7" s="213" t="str">
        <f>IFERROR(__xludf.DUMMYFUNCTION("""COMPUTED_VALUE"""),"ACEITERA")</f>
        <v>ACEITERA</v>
      </c>
      <c r="I7" s="213" t="str">
        <f>IFERROR(__xludf.DUMMYFUNCTION("""COMPUTED_VALUE"""),"Aceitera de metal. Capacidad minima:300 ml Depósito metálico.
Bomba-pistón de accionamiento por palanca, con pulsador.
Dos extensiones de salida: flexible y rígida , de longitud entre 140 a 155 mm")</f>
        <v>Aceitera de metal. Capacidad minima:300 ml Depósito metálico.
Bomba-pistón de accionamiento por palanca, con pulsador.
Dos extensiones de salida: flexible y rígida , de longitud entre 140 a 155 mm</v>
      </c>
      <c r="J7" s="213">
        <f>IFERROR(__xludf.DUMMYFUNCTION("""COMPUTED_VALUE"""),3.0)</f>
        <v>3</v>
      </c>
      <c r="K7" s="213" t="str">
        <f>IFERROR(__xludf.DUMMYFUNCTION("""COMPUTED_VALUE"""),"90 DÍAS CALENDARIO")</f>
        <v>90 DÍAS CALENDARIO</v>
      </c>
      <c r="L7" s="213" t="str">
        <f>IFERROR(__xludf.DUMMYFUNCTION("""COMPUTED_VALUE"""),"")</f>
        <v/>
      </c>
      <c r="M7" s="213">
        <f>IFERROR(__xludf.DUMMYFUNCTION("""COMPUTED_VALUE"""),1.0)</f>
        <v>1</v>
      </c>
      <c r="N7" s="213">
        <f>IFERROR(__xludf.DUMMYFUNCTION("""COMPUTED_VALUE"""),1.0)</f>
        <v>1</v>
      </c>
      <c r="O7" s="213">
        <f>IFERROR(__xludf.DUMMYFUNCTION("""COMPUTED_VALUE"""),1.0)</f>
        <v>1</v>
      </c>
      <c r="P7" s="213"/>
      <c r="Q7" s="213"/>
      <c r="R7" s="213" t="str">
        <f>IFERROR(__xludf.DUMMYFUNCTION("""COMPUTED_VALUE"""),"SI")</f>
        <v>SI</v>
      </c>
      <c r="S7" s="213"/>
      <c r="T7" s="213" t="str">
        <f>IFERROR(__xludf.DUMMYFUNCTION("""COMPUTED_VALUE"""),"SI")</f>
        <v>SI</v>
      </c>
      <c r="U7" s="213" t="str">
        <f>IFERROR(__xludf.DUMMYFUNCTION("""COMPUTED_VALUE"""),"SI")</f>
        <v>SI</v>
      </c>
      <c r="V7" s="213" t="str">
        <f>IFERROR(__xludf.DUMMYFUNCTION("""COMPUTED_VALUE"""),"-")</f>
        <v>-</v>
      </c>
      <c r="W7" s="213" t="str">
        <f>IFERROR(__xludf.DUMMYFUNCTION("""COMPUTED_VALUE"""),"-")</f>
        <v>-</v>
      </c>
      <c r="X7" s="213" t="str">
        <f>IFERROR(__xludf.DUMMYFUNCTION("""COMPUTED_VALUE"""),"SAMOA")</f>
        <v>SAMOA</v>
      </c>
      <c r="Y7" s="213" t="str">
        <f>IFERROR(__xludf.DUMMYFUNCTION("""COMPUTED_VALUE""")," MSM-500")</f>
        <v> MSM-500</v>
      </c>
      <c r="Z7" s="215" t="str">
        <f>IFERROR(__xludf.DUMMYFUNCTION("""COMPUTED_VALUE"""),"https://rodavigo.net/es/p/aceitera-metalica-msm-500-cc-ref-samoa-175250/294175250")</f>
        <v>https://rodavigo.net/es/p/aceitera-metalica-msm-500-cc-ref-samoa-175250/294175250</v>
      </c>
      <c r="AA7" s="213" t="str">
        <f>IFERROR(__xludf.DUMMYFUNCTION("""COMPUTED_VALUE"""),"COM-102-Y ACEITERA - CET")</f>
        <v>COM-102-Y ACEITERA - CET</v>
      </c>
      <c r="AB7" s="215" t="str">
        <f>IFERROR(__xludf.DUMMYFUNCTION("""COMPUTED_VALUE"""),"https://drive.google.com/file/d/19Fl0sGa3pS0FVx2xJHJH4F8n0yJTW7Xo/view?usp=sharing")</f>
        <v>https://drive.google.com/file/d/19Fl0sGa3pS0FVx2xJHJH4F8n0yJTW7Xo/view?usp=sharing</v>
      </c>
      <c r="AC7" s="215" t="str">
        <f>IFERROR(__xludf.DUMMYFUNCTION("""COMPUTED_VALUE"""),"https://rodavigo.net/es/p/aceitera-metalica-msm-500-cc-ref-samoa-175250/294175250")</f>
        <v>https://rodavigo.net/es/p/aceitera-metalica-msm-500-cc-ref-samoa-175250/294175250</v>
      </c>
      <c r="AD7" s="213"/>
      <c r="AE7" s="213"/>
      <c r="AF7" s="213"/>
      <c r="AG7" s="213"/>
      <c r="AH7" s="213" t="str">
        <f>IFERROR(__xludf.DUMMYFUNCTION("""COMPUTED_VALUE"""),"IMPORTADO")</f>
        <v>IMPORTADO</v>
      </c>
      <c r="AI7" s="213"/>
      <c r="AJ7" s="213"/>
      <c r="AK7" s="213"/>
      <c r="AL7" s="213"/>
      <c r="AM7" s="213"/>
      <c r="AN7" s="213"/>
      <c r="AO7" s="213"/>
      <c r="AP7" s="213" t="str">
        <f>IFERROR(__xludf.DUMMYFUNCTION("""COMPUTED_VALUE"""),"LUIS")</f>
        <v>LUIS</v>
      </c>
      <c r="AQ7" s="213"/>
      <c r="AR7" s="213"/>
      <c r="AS7" s="213"/>
      <c r="AT7" s="213"/>
      <c r="AU7" s="213"/>
      <c r="AV7" s="213"/>
      <c r="AW7" s="213"/>
      <c r="AX7" s="213"/>
      <c r="AY7" s="213"/>
      <c r="AZ7" s="213"/>
      <c r="BA7" s="213"/>
      <c r="BB7" s="213"/>
      <c r="BC7" s="213"/>
      <c r="BD7" s="213"/>
    </row>
    <row r="8">
      <c r="A8" s="213">
        <f>IFERROR(__xludf.DUMMYFUNCTION("""COMPUTED_VALUE"""),1574.0)</f>
        <v>1574</v>
      </c>
      <c r="B8" s="213" t="str">
        <f>IFERROR(__xludf.DUMMYFUNCTION("""COMPUTED_VALUE"""),"GUILLERMO E. BILLINGHURST ")</f>
        <v>GUILLERMO E. BILLINGHURST </v>
      </c>
      <c r="C8" s="213" t="str">
        <f>IFERROR(__xludf.DUMMYFUNCTION("""COMPUTED_VALUE"""),"TALLER SFT DE MECÁNICA AUTOMOTRIZ")</f>
        <v>TALLER SFT DE MECÁNICA AUTOMOTRIZ</v>
      </c>
      <c r="D8" s="213" t="str">
        <f>IFERROR(__xludf.DUMMYFUNCTION("""COMPUTED_VALUE"""),"HERRAMIENTAS")</f>
        <v>HERRAMIENTAS</v>
      </c>
      <c r="E8" s="213" t="str">
        <f>IFERROR(__xludf.DUMMYFUNCTION("""COMPUTED_VALUE"""),"COM-102")</f>
        <v>COM-102</v>
      </c>
      <c r="F8" s="213" t="str">
        <f>IFERROR(__xludf.DUMMYFUNCTION("""COMPUTED_VALUE"""),"COM-102-Y")</f>
        <v>COM-102-Y</v>
      </c>
      <c r="G8" s="213"/>
      <c r="H8" s="213" t="str">
        <f>IFERROR(__xludf.DUMMYFUNCTION("""COMPUTED_VALUE"""),"ACEITERA")</f>
        <v>ACEITERA</v>
      </c>
      <c r="I8" s="213" t="str">
        <f>IFERROR(__xludf.DUMMYFUNCTION("""COMPUTED_VALUE"""),"Aceitera de metal. Capacidad minima:300 ml Depósito metálico.
Bomba-pistón de accionamiento por palanca, con pulsador.
Dos extensiones de salida: flexible y rígida , de longitud entre 140 a 155 mm")</f>
        <v>Aceitera de metal. Capacidad minima:300 ml Depósito metálico.
Bomba-pistón de accionamiento por palanca, con pulsador.
Dos extensiones de salida: flexible y rígida , de longitud entre 140 a 155 mm</v>
      </c>
      <c r="J8" s="213">
        <f>IFERROR(__xludf.DUMMYFUNCTION("""COMPUTED_VALUE"""),3.0)</f>
        <v>3</v>
      </c>
      <c r="K8" s="213" t="str">
        <f>IFERROR(__xludf.DUMMYFUNCTION("""COMPUTED_VALUE"""),"90 DÍAS CALENDARIO")</f>
        <v>90 DÍAS CALENDARIO</v>
      </c>
      <c r="L8" s="213" t="str">
        <f>IFERROR(__xludf.DUMMYFUNCTION("""COMPUTED_VALUE"""),"")</f>
        <v/>
      </c>
      <c r="M8" s="213">
        <f>IFERROR(__xludf.DUMMYFUNCTION("""COMPUTED_VALUE"""),1.0)</f>
        <v>1</v>
      </c>
      <c r="N8" s="213">
        <f>IFERROR(__xludf.DUMMYFUNCTION("""COMPUTED_VALUE"""),1.0)</f>
        <v>1</v>
      </c>
      <c r="O8" s="213">
        <f>IFERROR(__xludf.DUMMYFUNCTION("""COMPUTED_VALUE"""),1.0)</f>
        <v>1</v>
      </c>
      <c r="P8" s="213"/>
      <c r="Q8" s="213"/>
      <c r="R8" s="213" t="str">
        <f>IFERROR(__xludf.DUMMYFUNCTION("""COMPUTED_VALUE"""),"SI")</f>
        <v>SI</v>
      </c>
      <c r="S8" s="213"/>
      <c r="T8" s="213" t="str">
        <f>IFERROR(__xludf.DUMMYFUNCTION("""COMPUTED_VALUE"""),"SI")</f>
        <v>SI</v>
      </c>
      <c r="U8" s="213" t="str">
        <f>IFERROR(__xludf.DUMMYFUNCTION("""COMPUTED_VALUE"""),"SI")</f>
        <v>SI</v>
      </c>
      <c r="V8" s="213" t="str">
        <f>IFERROR(__xludf.DUMMYFUNCTION("""COMPUTED_VALUE"""),"-")</f>
        <v>-</v>
      </c>
      <c r="W8" s="213" t="str">
        <f>IFERROR(__xludf.DUMMYFUNCTION("""COMPUTED_VALUE"""),"-")</f>
        <v>-</v>
      </c>
      <c r="X8" s="213" t="str">
        <f>IFERROR(__xludf.DUMMYFUNCTION("""COMPUTED_VALUE"""),"SAMOA")</f>
        <v>SAMOA</v>
      </c>
      <c r="Y8" s="213" t="str">
        <f>IFERROR(__xludf.DUMMYFUNCTION("""COMPUTED_VALUE""")," MSM-500")</f>
        <v> MSM-500</v>
      </c>
      <c r="Z8" s="215" t="str">
        <f>IFERROR(__xludf.DUMMYFUNCTION("""COMPUTED_VALUE"""),"https://rodavigo.net/es/p/aceitera-metalica-msm-500-cc-ref-samoa-175250/294175250")</f>
        <v>https://rodavigo.net/es/p/aceitera-metalica-msm-500-cc-ref-samoa-175250/294175250</v>
      </c>
      <c r="AA8" s="213" t="str">
        <f>IFERROR(__xludf.DUMMYFUNCTION("""COMPUTED_VALUE"""),"COM-102-Y ACEITERA - CET")</f>
        <v>COM-102-Y ACEITERA - CET</v>
      </c>
      <c r="AB8" s="215" t="str">
        <f>IFERROR(__xludf.DUMMYFUNCTION("""COMPUTED_VALUE"""),"https://drive.google.com/file/d/19Fl0sGa3pS0FVx2xJHJH4F8n0yJTW7Xo/view?usp=sharing")</f>
        <v>https://drive.google.com/file/d/19Fl0sGa3pS0FVx2xJHJH4F8n0yJTW7Xo/view?usp=sharing</v>
      </c>
      <c r="AC8" s="215" t="str">
        <f>IFERROR(__xludf.DUMMYFUNCTION("""COMPUTED_VALUE"""),"https://rodavigo.net/es/p/aceitera-metalica-msm-500-cc-ref-samoa-175250/294175250")</f>
        <v>https://rodavigo.net/es/p/aceitera-metalica-msm-500-cc-ref-samoa-175250/294175250</v>
      </c>
      <c r="AD8" s="213"/>
      <c r="AE8" s="213"/>
      <c r="AF8" s="213"/>
      <c r="AG8" s="213"/>
      <c r="AH8" s="213" t="str">
        <f>IFERROR(__xludf.DUMMYFUNCTION("""COMPUTED_VALUE"""),"IMPORTADO")</f>
        <v>IMPORTADO</v>
      </c>
      <c r="AI8" s="213"/>
      <c r="AJ8" s="213"/>
      <c r="AK8" s="213"/>
      <c r="AL8" s="213"/>
      <c r="AM8" s="213"/>
      <c r="AN8" s="213"/>
      <c r="AO8" s="213"/>
      <c r="AP8" s="213" t="str">
        <f>IFERROR(__xludf.DUMMYFUNCTION("""COMPUTED_VALUE"""),"LUIS")</f>
        <v>LUIS</v>
      </c>
      <c r="AQ8" s="213"/>
      <c r="AR8" s="213"/>
      <c r="AS8" s="213"/>
      <c r="AT8" s="213"/>
      <c r="AU8" s="213"/>
      <c r="AV8" s="213"/>
      <c r="AW8" s="213"/>
      <c r="AX8" s="213"/>
      <c r="AY8" s="213"/>
      <c r="AZ8" s="213"/>
      <c r="BA8" s="213"/>
      <c r="BB8" s="213"/>
      <c r="BC8" s="213"/>
      <c r="BD8" s="213"/>
    </row>
    <row r="9">
      <c r="A9" s="213">
        <f>IFERROR(__xludf.DUMMYFUNCTION("""COMPUTED_VALUE"""),1830.0)</f>
        <v>1830</v>
      </c>
      <c r="B9" s="213" t="str">
        <f>IFERROR(__xludf.DUMMYFUNCTION("""COMPUTED_VALUE"""),"GUILLERMO E. BILLINGHURST ")</f>
        <v>GUILLERMO E. BILLINGHURST </v>
      </c>
      <c r="C9" s="213" t="str">
        <f>IFERROR(__xludf.DUMMYFUNCTION("""COMPUTED_VALUE"""),"TALLER SFT DE EBANISTERÍA")</f>
        <v>TALLER SFT DE EBANISTERÍA</v>
      </c>
      <c r="D9" s="213" t="str">
        <f>IFERROR(__xludf.DUMMYFUNCTION("""COMPUTED_VALUE"""),"HERRAMIENTAS")</f>
        <v>HERRAMIENTAS</v>
      </c>
      <c r="E9" s="213" t="str">
        <f>IFERROR(__xludf.DUMMYFUNCTION("""COMPUTED_VALUE"""),"COM-102")</f>
        <v>COM-102</v>
      </c>
      <c r="F9" s="213" t="str">
        <f>IFERROR(__xludf.DUMMYFUNCTION("""COMPUTED_VALUE"""),"COM-102-X")</f>
        <v>COM-102-X</v>
      </c>
      <c r="G9" s="213"/>
      <c r="H9" s="213" t="str">
        <f>IFERROR(__xludf.DUMMYFUNCTION("""COMPUTED_VALUE"""),"ACEITERA")</f>
        <v>ACEITERA</v>
      </c>
      <c r="I9" s="213" t="str">
        <f>IFERROR(__xludf.DUMMYFUNCTION("""COMPUTED_VALUE"""),"Aceitera de metal. Depósito metálico.
Bomba-pistón de accionamiento por palanca, con pulsador.
Dos extensiones de salida: flexible y rígida, de longitud entre 145 mm a 155 mm.")</f>
        <v>Aceitera de metal. Depósito metálico.
Bomba-pistón de accionamiento por palanca, con pulsador.
Dos extensiones de salida: flexible y rígida, de longitud entre 145 mm a 155 mm.</v>
      </c>
      <c r="J9" s="213">
        <f>IFERROR(__xludf.DUMMYFUNCTION("""COMPUTED_VALUE"""),3.0)</f>
        <v>3</v>
      </c>
      <c r="K9" s="213" t="str">
        <f>IFERROR(__xludf.DUMMYFUNCTION("""COMPUTED_VALUE"""),"90 DÍAS CALENDARIO")</f>
        <v>90 DÍAS CALENDARIO</v>
      </c>
      <c r="L9" s="213" t="str">
        <f>IFERROR(__xludf.DUMMYFUNCTION("""COMPUTED_VALUE"""),"")</f>
        <v/>
      </c>
      <c r="M9" s="213">
        <f>IFERROR(__xludf.DUMMYFUNCTION("""COMPUTED_VALUE"""),1.0)</f>
        <v>1</v>
      </c>
      <c r="N9" s="213">
        <f>IFERROR(__xludf.DUMMYFUNCTION("""COMPUTED_VALUE"""),1.0)</f>
        <v>1</v>
      </c>
      <c r="O9" s="213">
        <f>IFERROR(__xludf.DUMMYFUNCTION("""COMPUTED_VALUE"""),1.0)</f>
        <v>1</v>
      </c>
      <c r="P9" s="213"/>
      <c r="Q9" s="213"/>
      <c r="R9" s="213" t="str">
        <f>IFERROR(__xludf.DUMMYFUNCTION("""COMPUTED_VALUE"""),"SI")</f>
        <v>SI</v>
      </c>
      <c r="S9" s="213"/>
      <c r="T9" s="213" t="str">
        <f>IFERROR(__xludf.DUMMYFUNCTION("""COMPUTED_VALUE"""),"SI")</f>
        <v>SI</v>
      </c>
      <c r="U9" s="213" t="str">
        <f>IFERROR(__xludf.DUMMYFUNCTION("""COMPUTED_VALUE"""),"SI")</f>
        <v>SI</v>
      </c>
      <c r="V9" s="213" t="str">
        <f>IFERROR(__xludf.DUMMYFUNCTION("""COMPUTED_VALUE"""),"-")</f>
        <v>-</v>
      </c>
      <c r="W9" s="213" t="str">
        <f>IFERROR(__xludf.DUMMYFUNCTION("""COMPUTED_VALUE"""),"-")</f>
        <v>-</v>
      </c>
      <c r="X9" s="213" t="str">
        <f>IFERROR(__xludf.DUMMYFUNCTION("""COMPUTED_VALUE"""),"SAMOA")</f>
        <v>SAMOA</v>
      </c>
      <c r="Y9" s="213" t="str">
        <f>IFERROR(__xludf.DUMMYFUNCTION("""COMPUTED_VALUE""")," MSM-500")</f>
        <v> MSM-500</v>
      </c>
      <c r="Z9" s="215" t="str">
        <f>IFERROR(__xludf.DUMMYFUNCTION("""COMPUTED_VALUE"""),"https://rodavigo.net/es/p/aceitera-metalica-msm-500-cc-ref-samoa-175250/294175250")</f>
        <v>https://rodavigo.net/es/p/aceitera-metalica-msm-500-cc-ref-samoa-175250/294175250</v>
      </c>
      <c r="AA9" s="213" t="str">
        <f>IFERROR(__xludf.DUMMYFUNCTION("""COMPUTED_VALUE"""),"COM-102-X ACEITERA - CET")</f>
        <v>COM-102-X ACEITERA - CET</v>
      </c>
      <c r="AB9" s="215" t="str">
        <f>IFERROR(__xludf.DUMMYFUNCTION("""COMPUTED_VALUE"""),"https://drive.google.com/file/d/19Fl0sGa3pS0FVx2xJHJH4F8n0yJTW7Xo/view?usp=sharing")</f>
        <v>https://drive.google.com/file/d/19Fl0sGa3pS0FVx2xJHJH4F8n0yJTW7Xo/view?usp=sharing</v>
      </c>
      <c r="AC9" s="215" t="str">
        <f>IFERROR(__xludf.DUMMYFUNCTION("""COMPUTED_VALUE"""),"https://rodavigo.net/es/p/aceitera-metalica-msm-500-cc-ref-samoa-175250/294175250")</f>
        <v>https://rodavigo.net/es/p/aceitera-metalica-msm-500-cc-ref-samoa-175250/294175250</v>
      </c>
      <c r="AD9" s="213"/>
      <c r="AE9" s="213"/>
      <c r="AF9" s="213"/>
      <c r="AG9" s="213"/>
      <c r="AH9" s="213" t="str">
        <f>IFERROR(__xludf.DUMMYFUNCTION("""COMPUTED_VALUE"""),"IMPORTADO")</f>
        <v>IMPORTADO</v>
      </c>
      <c r="AI9" s="213"/>
      <c r="AJ9" s="213"/>
      <c r="AK9" s="213"/>
      <c r="AL9" s="213"/>
      <c r="AM9" s="213"/>
      <c r="AN9" s="213"/>
      <c r="AO9" s="213"/>
      <c r="AP9" s="213" t="str">
        <f>IFERROR(__xludf.DUMMYFUNCTION("""COMPUTED_VALUE"""),"LUIS")</f>
        <v>LUIS</v>
      </c>
      <c r="AQ9" s="213"/>
      <c r="AR9" s="213"/>
      <c r="AS9" s="213"/>
      <c r="AT9" s="213"/>
      <c r="AU9" s="213"/>
      <c r="AV9" s="213"/>
      <c r="AW9" s="213"/>
      <c r="AX9" s="213"/>
      <c r="AY9" s="213"/>
      <c r="AZ9" s="213"/>
      <c r="BA9" s="213"/>
      <c r="BB9" s="213"/>
      <c r="BC9" s="213"/>
      <c r="BD9" s="213"/>
    </row>
    <row r="10">
      <c r="A10" s="213">
        <f>IFERROR(__xludf.DUMMYFUNCTION("""COMPUTED_VALUE"""),2266.0)</f>
        <v>2266</v>
      </c>
      <c r="B10" s="213" t="str">
        <f>IFERROR(__xludf.DUMMYFUNCTION("""COMPUTED_VALUE"""),"JOSE GRANDA")</f>
        <v>JOSE GRANDA</v>
      </c>
      <c r="C10" s="213" t="str">
        <f>IFERROR(__xludf.DUMMYFUNCTION("""COMPUTED_VALUE"""),"TALLER SFT DE MECÁNICA AUTOMOTRIZ")</f>
        <v>TALLER SFT DE MECÁNICA AUTOMOTRIZ</v>
      </c>
      <c r="D10" s="213" t="str">
        <f>IFERROR(__xludf.DUMMYFUNCTION("""COMPUTED_VALUE"""),"HERRAMIENTAS")</f>
        <v>HERRAMIENTAS</v>
      </c>
      <c r="E10" s="213" t="str">
        <f>IFERROR(__xludf.DUMMYFUNCTION("""COMPUTED_VALUE"""),"COM-102")</f>
        <v>COM-102</v>
      </c>
      <c r="F10" s="213" t="str">
        <f>IFERROR(__xludf.DUMMYFUNCTION("""COMPUTED_VALUE"""),"COM-102-Y")</f>
        <v>COM-102-Y</v>
      </c>
      <c r="G10" s="213"/>
      <c r="H10" s="213" t="str">
        <f>IFERROR(__xludf.DUMMYFUNCTION("""COMPUTED_VALUE"""),"ACEITERA")</f>
        <v>ACEITERA</v>
      </c>
      <c r="I10" s="213" t="str">
        <f>IFERROR(__xludf.DUMMYFUNCTION("""COMPUTED_VALUE"""),"Aceitera de metal. Capacidad minima:300 ml Depósito metálico.
Bomba-pistón de accionamiento por palanca, con pulsador.
Dos extensiones de salida: flexible y rígida , de longitud entre 140 a 155 mm")</f>
        <v>Aceitera de metal. Capacidad minima:300 ml Depósito metálico.
Bomba-pistón de accionamiento por palanca, con pulsador.
Dos extensiones de salida: flexible y rígida , de longitud entre 140 a 155 mm</v>
      </c>
      <c r="J10" s="213">
        <f>IFERROR(__xludf.DUMMYFUNCTION("""COMPUTED_VALUE"""),3.0)</f>
        <v>3</v>
      </c>
      <c r="K10" s="213" t="str">
        <f>IFERROR(__xludf.DUMMYFUNCTION("""COMPUTED_VALUE"""),"90 DÍAS CALENDARIO")</f>
        <v>90 DÍAS CALENDARIO</v>
      </c>
      <c r="L10" s="213" t="str">
        <f>IFERROR(__xludf.DUMMYFUNCTION("""COMPUTED_VALUE"""),"")</f>
        <v/>
      </c>
      <c r="M10" s="213">
        <f>IFERROR(__xludf.DUMMYFUNCTION("""COMPUTED_VALUE"""),1.0)</f>
        <v>1</v>
      </c>
      <c r="N10" s="213">
        <f>IFERROR(__xludf.DUMMYFUNCTION("""COMPUTED_VALUE"""),1.0)</f>
        <v>1</v>
      </c>
      <c r="O10" s="213">
        <f>IFERROR(__xludf.DUMMYFUNCTION("""COMPUTED_VALUE"""),1.0)</f>
        <v>1</v>
      </c>
      <c r="P10" s="213"/>
      <c r="Q10" s="213"/>
      <c r="R10" s="213" t="str">
        <f>IFERROR(__xludf.DUMMYFUNCTION("""COMPUTED_VALUE"""),"SI")</f>
        <v>SI</v>
      </c>
      <c r="S10" s="213"/>
      <c r="T10" s="213" t="str">
        <f>IFERROR(__xludf.DUMMYFUNCTION("""COMPUTED_VALUE"""),"SI")</f>
        <v>SI</v>
      </c>
      <c r="U10" s="213" t="str">
        <f>IFERROR(__xludf.DUMMYFUNCTION("""COMPUTED_VALUE"""),"SI")</f>
        <v>SI</v>
      </c>
      <c r="V10" s="213" t="str">
        <f>IFERROR(__xludf.DUMMYFUNCTION("""COMPUTED_VALUE"""),"-")</f>
        <v>-</v>
      </c>
      <c r="W10" s="213" t="str">
        <f>IFERROR(__xludf.DUMMYFUNCTION("""COMPUTED_VALUE"""),"-")</f>
        <v>-</v>
      </c>
      <c r="X10" s="213" t="str">
        <f>IFERROR(__xludf.DUMMYFUNCTION("""COMPUTED_VALUE"""),"SAMOA")</f>
        <v>SAMOA</v>
      </c>
      <c r="Y10" s="213" t="str">
        <f>IFERROR(__xludf.DUMMYFUNCTION("""COMPUTED_VALUE""")," MSM-500")</f>
        <v> MSM-500</v>
      </c>
      <c r="Z10" s="215" t="str">
        <f>IFERROR(__xludf.DUMMYFUNCTION("""COMPUTED_VALUE"""),"https://rodavigo.net/es/p/aceitera-metalica-msm-500-cc-ref-samoa-175250/294175250")</f>
        <v>https://rodavigo.net/es/p/aceitera-metalica-msm-500-cc-ref-samoa-175250/294175250</v>
      </c>
      <c r="AA10" s="213" t="str">
        <f>IFERROR(__xludf.DUMMYFUNCTION("""COMPUTED_VALUE"""),"COM-102-Y ACEITERA - CET")</f>
        <v>COM-102-Y ACEITERA - CET</v>
      </c>
      <c r="AB10" s="215" t="str">
        <f>IFERROR(__xludf.DUMMYFUNCTION("""COMPUTED_VALUE"""),"https://drive.google.com/file/d/19Fl0sGa3pS0FVx2xJHJH4F8n0yJTW7Xo/view?usp=sharing")</f>
        <v>https://drive.google.com/file/d/19Fl0sGa3pS0FVx2xJHJH4F8n0yJTW7Xo/view?usp=sharing</v>
      </c>
      <c r="AC10" s="215" t="str">
        <f>IFERROR(__xludf.DUMMYFUNCTION("""COMPUTED_VALUE"""),"https://rodavigo.net/es/p/aceitera-metalica-msm-500-cc-ref-samoa-175250/294175250")</f>
        <v>https://rodavigo.net/es/p/aceitera-metalica-msm-500-cc-ref-samoa-175250/294175250</v>
      </c>
      <c r="AD10" s="213"/>
      <c r="AE10" s="213"/>
      <c r="AF10" s="213"/>
      <c r="AG10" s="213"/>
      <c r="AH10" s="213" t="str">
        <f>IFERROR(__xludf.DUMMYFUNCTION("""COMPUTED_VALUE"""),"IMPORTADO")</f>
        <v>IMPORTADO</v>
      </c>
      <c r="AI10" s="213"/>
      <c r="AJ10" s="213"/>
      <c r="AK10" s="213"/>
      <c r="AL10" s="213"/>
      <c r="AM10" s="213"/>
      <c r="AN10" s="213"/>
      <c r="AO10" s="213"/>
      <c r="AP10" s="213" t="str">
        <f>IFERROR(__xludf.DUMMYFUNCTION("""COMPUTED_VALUE"""),"LUIS")</f>
        <v>LUIS</v>
      </c>
      <c r="AQ10" s="213"/>
      <c r="AR10" s="213"/>
      <c r="AS10" s="213"/>
      <c r="AT10" s="213"/>
      <c r="AU10" s="213"/>
      <c r="AV10" s="213"/>
      <c r="AW10" s="213"/>
      <c r="AX10" s="213"/>
      <c r="AY10" s="213"/>
      <c r="AZ10" s="213"/>
      <c r="BA10" s="213"/>
      <c r="BB10" s="213"/>
      <c r="BC10" s="213"/>
      <c r="BD10" s="213"/>
    </row>
    <row r="11">
      <c r="A11" s="213">
        <f>IFERROR(__xludf.DUMMYFUNCTION("""COMPUTED_VALUE"""),2406.0)</f>
        <v>2406</v>
      </c>
      <c r="B11" s="213" t="str">
        <f>IFERROR(__xludf.DUMMYFUNCTION("""COMPUTED_VALUE"""),"MANUEL ANTONIO MESONES MURO")</f>
        <v>MANUEL ANTONIO MESONES MURO</v>
      </c>
      <c r="C11" s="213" t="str">
        <f>IFERROR(__xludf.DUMMYFUNCTION("""COMPUTED_VALUE"""),"TALLER SFT DE INDUSTRIA DEL VESTIDO")</f>
        <v>TALLER SFT DE INDUSTRIA DEL VESTIDO</v>
      </c>
      <c r="D11" s="213" t="str">
        <f>IFERROR(__xludf.DUMMYFUNCTION("""COMPUTED_VALUE"""),"HERRAMIENTAS")</f>
        <v>HERRAMIENTAS</v>
      </c>
      <c r="E11" s="213" t="str">
        <f>IFERROR(__xludf.DUMMYFUNCTION("""COMPUTED_VALUE"""),"COM-102")</f>
        <v>COM-102</v>
      </c>
      <c r="F11" s="213" t="str">
        <f>IFERROR(__xludf.DUMMYFUNCTION("""COMPUTED_VALUE"""),"COM-102-Z")</f>
        <v>COM-102-Z</v>
      </c>
      <c r="G11" s="213"/>
      <c r="H11" s="213" t="str">
        <f>IFERROR(__xludf.DUMMYFUNCTION("""COMPUTED_VALUE"""),"ACEITERA")</f>
        <v>ACEITERA</v>
      </c>
      <c r="I11" s="213" t="str">
        <f>IFERROR(__xludf.DUMMYFUNCTION("""COMPUTED_VALUE"""),"- Aceitera de punta metálica
- Doblada en el extremo para acceder mejor a los diferentes puntos de engrase en cualquier tipo de máquina de coser, bordar, cortar, etc.
- Con tapón de rosca para facilitar su rellenado.
- Envase con capacidad de 125 ml aprox"&amp;"imadamente.")</f>
        <v>- Aceitera de punta metálica
- Doblada en el extremo para acceder mejor a los diferentes puntos de engrase en cualquier tipo de máquina de coser, bordar, cortar, etc.
- Con tapón de rosca para facilitar su rellenado.
- Envase con capacidad de 125 ml aproximadamente.</v>
      </c>
      <c r="J11" s="213">
        <f>IFERROR(__xludf.DUMMYFUNCTION("""COMPUTED_VALUE"""),3.0)</f>
        <v>3</v>
      </c>
      <c r="K11" s="213" t="str">
        <f>IFERROR(__xludf.DUMMYFUNCTION("""COMPUTED_VALUE"""),"90 DÍAS CALENDARIO")</f>
        <v>90 DÍAS CALENDARIO</v>
      </c>
      <c r="L11" s="213" t="str">
        <f>IFERROR(__xludf.DUMMYFUNCTION("""COMPUTED_VALUE"""),"")</f>
        <v/>
      </c>
      <c r="M11" s="213">
        <f>IFERROR(__xludf.DUMMYFUNCTION("""COMPUTED_VALUE"""),1.0)</f>
        <v>1</v>
      </c>
      <c r="N11" s="213">
        <f>IFERROR(__xludf.DUMMYFUNCTION("""COMPUTED_VALUE"""),5.0)</f>
        <v>5</v>
      </c>
      <c r="O11" s="213">
        <f>IFERROR(__xludf.DUMMYFUNCTION("""COMPUTED_VALUE"""),5.0)</f>
        <v>5</v>
      </c>
      <c r="P11" s="213"/>
      <c r="Q11" s="213"/>
      <c r="R11" s="213" t="str">
        <f>IFERROR(__xludf.DUMMYFUNCTION("""COMPUTED_VALUE"""),"SI")</f>
        <v>SI</v>
      </c>
      <c r="S11" s="213"/>
      <c r="T11" s="213" t="str">
        <f>IFERROR(__xludf.DUMMYFUNCTION("""COMPUTED_VALUE"""),"SI")</f>
        <v>SI</v>
      </c>
      <c r="U11" s="213" t="str">
        <f>IFERROR(__xludf.DUMMYFUNCTION("""COMPUTED_VALUE"""),"SI")</f>
        <v>SI</v>
      </c>
      <c r="V11" s="213" t="str">
        <f>IFERROR(__xludf.DUMMYFUNCTION("""COMPUTED_VALUE"""),"-")</f>
        <v>-</v>
      </c>
      <c r="W11" s="213" t="str">
        <f>IFERROR(__xludf.DUMMYFUNCTION("""COMPUTED_VALUE"""),"-")</f>
        <v>-</v>
      </c>
      <c r="X11" s="213" t="str">
        <f>IFERROR(__xludf.DUMMYFUNCTION("""COMPUTED_VALUE"""),"TRUPER")</f>
        <v>TRUPER</v>
      </c>
      <c r="Y11" s="213" t="str">
        <f>IFERROR(__xludf.DUMMYFUNCTION("""COMPUTED_VALUE"""),"ACEF-180")</f>
        <v>ACEF-180</v>
      </c>
      <c r="Z11" s="215" t="str">
        <f>IFERROR(__xludf.DUMMYFUNCTION("""COMPUTED_VALUE"""),"https://www.promart.pe/aceitera-con-pico-flecible-180-ml/p")</f>
        <v>https://www.promart.pe/aceitera-con-pico-flecible-180-ml/p</v>
      </c>
      <c r="AA11" s="213" t="str">
        <f>IFERROR(__xludf.DUMMYFUNCTION("""COMPUTED_VALUE"""),"COM-102-Z ACEITERA - CET")</f>
        <v>COM-102-Z ACEITERA - CET</v>
      </c>
      <c r="AB11" s="215" t="str">
        <f>IFERROR(__xludf.DUMMYFUNCTION("""COMPUTED_VALUE"""),"https://drive.google.com/file/d/1p6XPzojAeS_phxGT1uTRm1wrHfx0kblq/view?usp=sharing")</f>
        <v>https://drive.google.com/file/d/1p6XPzojAeS_phxGT1uTRm1wrHfx0kblq/view?usp=sharing</v>
      </c>
      <c r="AC11" s="215" t="str">
        <f>IFERROR(__xludf.DUMMYFUNCTION("""COMPUTED_VALUE"""),"https://www.promart.pe/aceitera-con-pico-flecible-180-ml/p")</f>
        <v>https://www.promart.pe/aceitera-con-pico-flecible-180-ml/p</v>
      </c>
      <c r="AD11" s="213"/>
      <c r="AE11" s="213"/>
      <c r="AF11" s="213"/>
      <c r="AG11" s="213"/>
      <c r="AH11" s="213" t="str">
        <f>IFERROR(__xludf.DUMMYFUNCTION("""COMPUTED_VALUE"""),"NACIONAL")</f>
        <v>NACIONAL</v>
      </c>
      <c r="AI11" s="213"/>
      <c r="AJ11" s="213"/>
      <c r="AK11" s="213"/>
      <c r="AL11" s="213"/>
      <c r="AM11" s="213"/>
      <c r="AN11" s="213"/>
      <c r="AO11" s="213"/>
      <c r="AP11" s="213" t="str">
        <f>IFERROR(__xludf.DUMMYFUNCTION("""COMPUTED_VALUE"""),"LUIS")</f>
        <v>LUIS</v>
      </c>
      <c r="AQ11" s="213"/>
      <c r="AR11" s="213"/>
      <c r="AS11" s="213"/>
      <c r="AT11" s="213"/>
      <c r="AU11" s="213"/>
      <c r="AV11" s="213"/>
      <c r="AW11" s="213"/>
      <c r="AX11" s="213"/>
      <c r="AY11" s="213"/>
      <c r="AZ11" s="213"/>
      <c r="BA11" s="213"/>
      <c r="BB11" s="213"/>
      <c r="BC11" s="213"/>
      <c r="BD11" s="213"/>
    </row>
    <row r="12">
      <c r="A12" s="213">
        <f>IFERROR(__xludf.DUMMYFUNCTION("""COMPUTED_VALUE"""),2501.0)</f>
        <v>2501</v>
      </c>
      <c r="B12" s="213" t="str">
        <f>IFERROR(__xludf.DUMMYFUNCTION("""COMPUTED_VALUE"""),"MANUEL ANTONIO MESONES MURO")</f>
        <v>MANUEL ANTONIO MESONES MURO</v>
      </c>
      <c r="C12" s="213" t="str">
        <f>IFERROR(__xludf.DUMMYFUNCTION("""COMPUTED_VALUE"""),"TALLER SFT DE CONSTRUCCIONES METÁLICAS")</f>
        <v>TALLER SFT DE CONSTRUCCIONES METÁLICAS</v>
      </c>
      <c r="D12" s="213" t="str">
        <f>IFERROR(__xludf.DUMMYFUNCTION("""COMPUTED_VALUE"""),"HERRAMIENTAS")</f>
        <v>HERRAMIENTAS</v>
      </c>
      <c r="E12" s="213" t="str">
        <f>IFERROR(__xludf.DUMMYFUNCTION("""COMPUTED_VALUE"""),"COM-102")</f>
        <v>COM-102</v>
      </c>
      <c r="F12" s="213" t="str">
        <f>IFERROR(__xludf.DUMMYFUNCTION("""COMPUTED_VALUE"""),"COM-102-W")</f>
        <v>COM-102-W</v>
      </c>
      <c r="G12" s="213"/>
      <c r="H12" s="213" t="str">
        <f>IFERROR(__xludf.DUMMYFUNCTION("""COMPUTED_VALUE"""),"ACEITERA")</f>
        <v>ACEITERA</v>
      </c>
      <c r="I12" s="213"/>
      <c r="J12" s="213">
        <f>IFERROR(__xludf.DUMMYFUNCTION("""COMPUTED_VALUE"""),3.0)</f>
        <v>3</v>
      </c>
      <c r="K12" s="213" t="str">
        <f>IFERROR(__xludf.DUMMYFUNCTION("""COMPUTED_VALUE"""),"90 DÍAS CALENDARIO")</f>
        <v>90 DÍAS CALENDARIO</v>
      </c>
      <c r="L12" s="213" t="str">
        <f>IFERROR(__xludf.DUMMYFUNCTION("""COMPUTED_VALUE"""),"")</f>
        <v/>
      </c>
      <c r="M12" s="213">
        <f>IFERROR(__xludf.DUMMYFUNCTION("""COMPUTED_VALUE"""),1.0)</f>
        <v>1</v>
      </c>
      <c r="N12" s="213">
        <f>IFERROR(__xludf.DUMMYFUNCTION("""COMPUTED_VALUE"""),10.0)</f>
        <v>10</v>
      </c>
      <c r="O12" s="213">
        <f>IFERROR(__xludf.DUMMYFUNCTION("""COMPUTED_VALUE"""),10.0)</f>
        <v>10</v>
      </c>
      <c r="P12" s="213"/>
      <c r="Q12" s="213"/>
      <c r="R12" s="213" t="str">
        <f>IFERROR(__xludf.DUMMYFUNCTION("""COMPUTED_VALUE"""),"SI")</f>
        <v>SI</v>
      </c>
      <c r="S12" s="213"/>
      <c r="T12" s="213" t="str">
        <f>IFERROR(__xludf.DUMMYFUNCTION("""COMPUTED_VALUE"""),"SI")</f>
        <v>SI</v>
      </c>
      <c r="U12" s="213" t="str">
        <f>IFERROR(__xludf.DUMMYFUNCTION("""COMPUTED_VALUE"""),"SI")</f>
        <v>SI</v>
      </c>
      <c r="V12" s="213" t="str">
        <f>IFERROR(__xludf.DUMMYFUNCTION("""COMPUTED_VALUE"""),"-")</f>
        <v>-</v>
      </c>
      <c r="W12" s="213" t="str">
        <f>IFERROR(__xludf.DUMMYFUNCTION("""COMPUTED_VALUE"""),"-")</f>
        <v>-</v>
      </c>
      <c r="X12" s="213" t="str">
        <f>IFERROR(__xludf.DUMMYFUNCTION("""COMPUTED_VALUE"""),"SAMOA")</f>
        <v>SAMOA</v>
      </c>
      <c r="Y12" s="213" t="str">
        <f>IFERROR(__xludf.DUMMYFUNCTION("""COMPUTED_VALUE""")," MSM-500")</f>
        <v> MSM-500</v>
      </c>
      <c r="Z12" s="215" t="str">
        <f>IFERROR(__xludf.DUMMYFUNCTION("""COMPUTED_VALUE"""),"https://rodavigo.net/es/p/aceitera-metalica-msm-500-cc-ref-samoa-175250/294175250")</f>
        <v>https://rodavigo.net/es/p/aceitera-metalica-msm-500-cc-ref-samoa-175250/294175250</v>
      </c>
      <c r="AA12" s="213" t="str">
        <f>IFERROR(__xludf.DUMMYFUNCTION("""COMPUTED_VALUE"""),"COM-102-W ACEITERA - CET")</f>
        <v>COM-102-W ACEITERA - CET</v>
      </c>
      <c r="AB12" s="215" t="str">
        <f>IFERROR(__xludf.DUMMYFUNCTION("""COMPUTED_VALUE"""),"https://drive.google.com/file/d/19Fl0sGa3pS0FVx2xJHJH4F8n0yJTW7Xo/view?usp=sharing")</f>
        <v>https://drive.google.com/file/d/19Fl0sGa3pS0FVx2xJHJH4F8n0yJTW7Xo/view?usp=sharing</v>
      </c>
      <c r="AC12" s="215" t="str">
        <f>IFERROR(__xludf.DUMMYFUNCTION("""COMPUTED_VALUE"""),"https://rodavigo.net/es/p/aceitera-metalica-msm-500-cc-ref-samoa-175250/294175250")</f>
        <v>https://rodavigo.net/es/p/aceitera-metalica-msm-500-cc-ref-samoa-175250/294175250</v>
      </c>
      <c r="AD12" s="213"/>
      <c r="AE12" s="213"/>
      <c r="AF12" s="213"/>
      <c r="AG12" s="213"/>
      <c r="AH12" s="213" t="str">
        <f>IFERROR(__xludf.DUMMYFUNCTION("""COMPUTED_VALUE"""),"IMPORTADO")</f>
        <v>IMPORTADO</v>
      </c>
      <c r="AI12" s="213"/>
      <c r="AJ12" s="213"/>
      <c r="AK12" s="213"/>
      <c r="AL12" s="213"/>
      <c r="AM12" s="213"/>
      <c r="AN12" s="213"/>
      <c r="AO12" s="213"/>
      <c r="AP12" s="213" t="str">
        <f>IFERROR(__xludf.DUMMYFUNCTION("""COMPUTED_VALUE"""),"LUIS")</f>
        <v>LUIS</v>
      </c>
      <c r="AQ12" s="213"/>
      <c r="AR12" s="213"/>
      <c r="AS12" s="213"/>
      <c r="AT12" s="213"/>
      <c r="AU12" s="213"/>
      <c r="AV12" s="213"/>
      <c r="AW12" s="213"/>
      <c r="AX12" s="213"/>
      <c r="AY12" s="213"/>
      <c r="AZ12" s="213"/>
      <c r="BA12" s="213"/>
      <c r="BB12" s="213"/>
      <c r="BC12" s="213"/>
      <c r="BD12" s="213"/>
    </row>
    <row r="13">
      <c r="A13" s="213">
        <f>IFERROR(__xludf.DUMMYFUNCTION("""COMPUTED_VALUE"""),2612.0)</f>
        <v>2612</v>
      </c>
      <c r="B13" s="213" t="str">
        <f>IFERROR(__xludf.DUMMYFUNCTION("""COMPUTED_VALUE"""),"MANUEL ANTONIO MESONES MURO")</f>
        <v>MANUEL ANTONIO MESONES MURO</v>
      </c>
      <c r="C13" s="213" t="str">
        <f>IFERROR(__xludf.DUMMYFUNCTION("""COMPUTED_VALUE"""),"TALLER SFT DE EBANISTERÍA")</f>
        <v>TALLER SFT DE EBANISTERÍA</v>
      </c>
      <c r="D13" s="213" t="str">
        <f>IFERROR(__xludf.DUMMYFUNCTION("""COMPUTED_VALUE"""),"HERRAMIENTAS")</f>
        <v>HERRAMIENTAS</v>
      </c>
      <c r="E13" s="213" t="str">
        <f>IFERROR(__xludf.DUMMYFUNCTION("""COMPUTED_VALUE"""),"COM-102")</f>
        <v>COM-102</v>
      </c>
      <c r="F13" s="213" t="str">
        <f>IFERROR(__xludf.DUMMYFUNCTION("""COMPUTED_VALUE"""),"COM-102-X")</f>
        <v>COM-102-X</v>
      </c>
      <c r="G13" s="213"/>
      <c r="H13" s="213" t="str">
        <f>IFERROR(__xludf.DUMMYFUNCTION("""COMPUTED_VALUE"""),"ACEITERA")</f>
        <v>ACEITERA</v>
      </c>
      <c r="I13" s="213" t="str">
        <f>IFERROR(__xludf.DUMMYFUNCTION("""COMPUTED_VALUE"""),"Aceitera de metal. Depósito metálico.
Bomba-pistón de accionamiento por palanca, con pulsador.
Dos extensiones de salida: flexible y rígida, de longitud entre 145 mm a 155 mm.")</f>
        <v>Aceitera de metal. Depósito metálico.
Bomba-pistón de accionamiento por palanca, con pulsador.
Dos extensiones de salida: flexible y rígida, de longitud entre 145 mm a 155 mm.</v>
      </c>
      <c r="J13" s="213">
        <f>IFERROR(__xludf.DUMMYFUNCTION("""COMPUTED_VALUE"""),3.0)</f>
        <v>3</v>
      </c>
      <c r="K13" s="213" t="str">
        <f>IFERROR(__xludf.DUMMYFUNCTION("""COMPUTED_VALUE"""),"90 DÍAS CALENDARIO")</f>
        <v>90 DÍAS CALENDARIO</v>
      </c>
      <c r="L13" s="213" t="str">
        <f>IFERROR(__xludf.DUMMYFUNCTION("""COMPUTED_VALUE"""),"")</f>
        <v/>
      </c>
      <c r="M13" s="213">
        <f>IFERROR(__xludf.DUMMYFUNCTION("""COMPUTED_VALUE"""),1.0)</f>
        <v>1</v>
      </c>
      <c r="N13" s="213">
        <f>IFERROR(__xludf.DUMMYFUNCTION("""COMPUTED_VALUE"""),1.0)</f>
        <v>1</v>
      </c>
      <c r="O13" s="213">
        <f>IFERROR(__xludf.DUMMYFUNCTION("""COMPUTED_VALUE"""),1.0)</f>
        <v>1</v>
      </c>
      <c r="P13" s="213"/>
      <c r="Q13" s="213"/>
      <c r="R13" s="213" t="str">
        <f>IFERROR(__xludf.DUMMYFUNCTION("""COMPUTED_VALUE"""),"SI")</f>
        <v>SI</v>
      </c>
      <c r="S13" s="213"/>
      <c r="T13" s="213" t="str">
        <f>IFERROR(__xludf.DUMMYFUNCTION("""COMPUTED_VALUE"""),"SI")</f>
        <v>SI</v>
      </c>
      <c r="U13" s="213" t="str">
        <f>IFERROR(__xludf.DUMMYFUNCTION("""COMPUTED_VALUE"""),"SI")</f>
        <v>SI</v>
      </c>
      <c r="V13" s="213" t="str">
        <f>IFERROR(__xludf.DUMMYFUNCTION("""COMPUTED_VALUE"""),"-")</f>
        <v>-</v>
      </c>
      <c r="W13" s="213" t="str">
        <f>IFERROR(__xludf.DUMMYFUNCTION("""COMPUTED_VALUE"""),"-")</f>
        <v>-</v>
      </c>
      <c r="X13" s="213" t="str">
        <f>IFERROR(__xludf.DUMMYFUNCTION("""COMPUTED_VALUE"""),"SAMOA")</f>
        <v>SAMOA</v>
      </c>
      <c r="Y13" s="213" t="str">
        <f>IFERROR(__xludf.DUMMYFUNCTION("""COMPUTED_VALUE""")," MSM-500")</f>
        <v> MSM-500</v>
      </c>
      <c r="Z13" s="215" t="str">
        <f>IFERROR(__xludf.DUMMYFUNCTION("""COMPUTED_VALUE"""),"https://rodavigo.net/es/p/aceitera-metalica-msm-500-cc-ref-samoa-175250/294175250")</f>
        <v>https://rodavigo.net/es/p/aceitera-metalica-msm-500-cc-ref-samoa-175250/294175250</v>
      </c>
      <c r="AA13" s="213" t="str">
        <f>IFERROR(__xludf.DUMMYFUNCTION("""COMPUTED_VALUE"""),"COM-102-X ACEITERA - CET")</f>
        <v>COM-102-X ACEITERA - CET</v>
      </c>
      <c r="AB13" s="215" t="str">
        <f>IFERROR(__xludf.DUMMYFUNCTION("""COMPUTED_VALUE"""),"https://drive.google.com/file/d/19Fl0sGa3pS0FVx2xJHJH4F8n0yJTW7Xo/view?usp=sharing")</f>
        <v>https://drive.google.com/file/d/19Fl0sGa3pS0FVx2xJHJH4F8n0yJTW7Xo/view?usp=sharing</v>
      </c>
      <c r="AC13" s="215" t="str">
        <f>IFERROR(__xludf.DUMMYFUNCTION("""COMPUTED_VALUE"""),"https://rodavigo.net/es/p/aceitera-metalica-msm-500-cc-ref-samoa-175250/294175250")</f>
        <v>https://rodavigo.net/es/p/aceitera-metalica-msm-500-cc-ref-samoa-175250/294175250</v>
      </c>
      <c r="AD13" s="213"/>
      <c r="AE13" s="213"/>
      <c r="AF13" s="213"/>
      <c r="AG13" s="213"/>
      <c r="AH13" s="213" t="str">
        <f>IFERROR(__xludf.DUMMYFUNCTION("""COMPUTED_VALUE"""),"IMPORTADO")</f>
        <v>IMPORTADO</v>
      </c>
      <c r="AI13" s="213"/>
      <c r="AJ13" s="213"/>
      <c r="AK13" s="213"/>
      <c r="AL13" s="213"/>
      <c r="AM13" s="213"/>
      <c r="AN13" s="213"/>
      <c r="AO13" s="213"/>
      <c r="AP13" s="213" t="str">
        <f>IFERROR(__xludf.DUMMYFUNCTION("""COMPUTED_VALUE"""),"LUIS")</f>
        <v>LUIS</v>
      </c>
      <c r="AQ13" s="213"/>
      <c r="AR13" s="213"/>
      <c r="AS13" s="213"/>
      <c r="AT13" s="213"/>
      <c r="AU13" s="213"/>
      <c r="AV13" s="213"/>
      <c r="AW13" s="213"/>
      <c r="AX13" s="213"/>
      <c r="AY13" s="213"/>
      <c r="AZ13" s="213"/>
      <c r="BA13" s="213"/>
      <c r="BB13" s="213"/>
      <c r="BC13" s="213"/>
      <c r="BD13" s="213"/>
    </row>
    <row r="14">
      <c r="A14" s="213">
        <f>IFERROR(__xludf.DUMMYFUNCTION("""COMPUTED_VALUE"""),1839.0)</f>
        <v>1839</v>
      </c>
      <c r="B14" s="213" t="str">
        <f>IFERROR(__xludf.DUMMYFUNCTION("""COMPUTED_VALUE"""),"GUILLERMO E. BILLINGHURST ")</f>
        <v>GUILLERMO E. BILLINGHURST </v>
      </c>
      <c r="C14" s="213" t="str">
        <f>IFERROR(__xludf.DUMMYFUNCTION("""COMPUTED_VALUE"""),"TALLER SFT DE EBANISTERÍA")</f>
        <v>TALLER SFT DE EBANISTERÍA</v>
      </c>
      <c r="D14" s="213" t="str">
        <f>IFERROR(__xludf.DUMMYFUNCTION("""COMPUTED_VALUE"""),"HERRAMIENTAS")</f>
        <v>HERRAMIENTAS</v>
      </c>
      <c r="E14" s="213" t="str">
        <f>IFERROR(__xludf.DUMMYFUNCTION("""COMPUTED_VALUE"""),"COM-103")</f>
        <v>COM-103</v>
      </c>
      <c r="F14" s="213" t="str">
        <f>IFERROR(__xludf.DUMMYFUNCTION("""COMPUTED_VALUE"""),"COM-103")</f>
        <v>COM-103</v>
      </c>
      <c r="G14" s="213"/>
      <c r="H14" s="213" t="str">
        <f>IFERROR(__xludf.DUMMYFUNCTION("""COMPUTED_VALUE"""),"ADAPTADOR MAGNETICO PARA PUNTAS")</f>
        <v>ADAPTADOR MAGNETICO PARA PUNTAS</v>
      </c>
      <c r="I14" s="213" t="str">
        <f>IFERROR(__xludf.DUMMYFUNCTION("""COMPUTED_VALUE"""),"Adaptador Flexible de 1/4"" Acero inoxidable
Permite trabajar en lugares de dificil acceso Medida aprox. 7 cm.
Inclinación aprox. 20°")</f>
        <v>Adaptador Flexible de 1/4" Acero inoxidable
Permite trabajar en lugares de dificil acceso Medida aprox. 7 cm.
Inclinación aprox. 20°</v>
      </c>
      <c r="J14" s="213">
        <f>IFERROR(__xludf.DUMMYFUNCTION("""COMPUTED_VALUE"""),3.0)</f>
        <v>3</v>
      </c>
      <c r="K14" s="213" t="str">
        <f>IFERROR(__xludf.DUMMYFUNCTION("""COMPUTED_VALUE"""),"90 DÍAS CALENDARIO")</f>
        <v>90 DÍAS CALENDARIO</v>
      </c>
      <c r="L14" s="213" t="str">
        <f>IFERROR(__xludf.DUMMYFUNCTION("""COMPUTED_VALUE"""),"")</f>
        <v/>
      </c>
      <c r="M14" s="213">
        <f>IFERROR(__xludf.DUMMYFUNCTION("""COMPUTED_VALUE"""),1.0)</f>
        <v>1</v>
      </c>
      <c r="N14" s="213">
        <f>IFERROR(__xludf.DUMMYFUNCTION("""COMPUTED_VALUE"""),4.0)</f>
        <v>4</v>
      </c>
      <c r="O14" s="213">
        <f>IFERROR(__xludf.DUMMYFUNCTION("""COMPUTED_VALUE"""),4.0)</f>
        <v>4</v>
      </c>
      <c r="P14" s="213"/>
      <c r="Q14" s="213"/>
      <c r="R14" s="213" t="str">
        <f>IFERROR(__xludf.DUMMYFUNCTION("""COMPUTED_VALUE"""),"SI")</f>
        <v>SI</v>
      </c>
      <c r="S14" s="213"/>
      <c r="T14" s="213" t="str">
        <f>IFERROR(__xludf.DUMMYFUNCTION("""COMPUTED_VALUE"""),"CONSULTA FINAL")</f>
        <v>CONSULTA FINAL</v>
      </c>
      <c r="U14" s="213" t="str">
        <f>IFERROR(__xludf.DUMMYFUNCTION("""COMPUTED_VALUE"""),"NO")</f>
        <v>NO</v>
      </c>
      <c r="V14" s="213" t="str">
        <f>IFERROR(__xludf.DUMMYFUNCTION("""COMPUTED_VALUE"""),"SUSTENTO")</f>
        <v>SUSTENTO</v>
      </c>
      <c r="W14" s="213" t="str">
        <f>IFERROR(__xludf.DUMMYFUNCTION("""COMPUTED_VALUE"""),"CRÍTICO")</f>
        <v>CRÍTICO</v>
      </c>
      <c r="X14" s="213" t="str">
        <f>IFERROR(__xludf.DUMMYFUNCTION("""COMPUTED_VALUE"""),"TOPTUL")</f>
        <v>TOPTUL</v>
      </c>
      <c r="Y14" s="213" t="str">
        <f>IFERROR(__xludf.DUMMYFUNCTION("""COMPUTED_VALUE"""),"‎TT0A0808")</f>
        <v>‎TT0A0808</v>
      </c>
      <c r="Z14" s="215" t="str">
        <f>IFERROR(__xludf.DUMMYFUNCTION("""COMPUTED_VALUE"""),"https://www.sip-scootershop.com/es/product/portapuntas-toptul-1-4-hexagonal_TT0A0808?q=TT0A0808")</f>
        <v>https://www.sip-scootershop.com/es/product/portapuntas-toptul-1-4-hexagonal_TT0A0808?q=TT0A0808</v>
      </c>
      <c r="AA14" s="213" t="str">
        <f>IFERROR(__xludf.DUMMYFUNCTION("""COMPUTED_VALUE"""),"COM-103 ADAPTADOR MAGNETICO PARA PUNTAS - CET")</f>
        <v>COM-103 ADAPTADOR MAGNETICO PARA PUNTAS - CET</v>
      </c>
      <c r="AB14" s="215" t="str">
        <f>IFERROR(__xludf.DUMMYFUNCTION("""COMPUTED_VALUE"""),"https://drive.google.com/file/d/15riS44__EE3A0AMUdsNl4A4noFzrjS0G/view?usp=sharing")</f>
        <v>https://drive.google.com/file/d/15riS44__EE3A0AMUdsNl4A4noFzrjS0G/view?usp=sharing</v>
      </c>
      <c r="AC14" s="215" t="str">
        <f>IFERROR(__xludf.DUMMYFUNCTION("""COMPUTED_VALUE"""),"https://www.sip-scootershop.com/es/product/portapuntas-toptul-1-4-hexagonal_TT0A0808?q=TT0A0808")</f>
        <v>https://www.sip-scootershop.com/es/product/portapuntas-toptul-1-4-hexagonal_TT0A0808?q=TT0A0808</v>
      </c>
      <c r="AD14" s="213"/>
      <c r="AE14" s="213"/>
      <c r="AF14" s="213"/>
      <c r="AG14" s="213"/>
      <c r="AH14" s="213" t="str">
        <f>IFERROR(__xludf.DUMMYFUNCTION("""COMPUTED_VALUE"""),"IMPORTADO")</f>
        <v>IMPORTADO</v>
      </c>
      <c r="AI14" s="213"/>
      <c r="AJ14" s="213"/>
      <c r="AK14" s="213"/>
      <c r="AL14" s="213"/>
      <c r="AM14" s="213"/>
      <c r="AN14" s="213"/>
      <c r="AO14" s="213"/>
      <c r="AP14" s="213" t="str">
        <f>IFERROR(__xludf.DUMMYFUNCTION("""COMPUTED_VALUE"""),"SEBASTIAN")</f>
        <v>SEBASTIAN</v>
      </c>
      <c r="AQ14" s="213"/>
      <c r="AR14" s="213"/>
      <c r="AS14" s="213"/>
      <c r="AT14" s="213"/>
      <c r="AU14" s="213"/>
      <c r="AV14" s="213"/>
      <c r="AW14" s="213"/>
      <c r="AX14" s="213"/>
      <c r="AY14" s="213"/>
      <c r="AZ14" s="213"/>
      <c r="BA14" s="213"/>
      <c r="BB14" s="213"/>
      <c r="BC14" s="213"/>
      <c r="BD14" s="213"/>
    </row>
    <row r="15">
      <c r="A15" s="213">
        <f>IFERROR(__xludf.DUMMYFUNCTION("""COMPUTED_VALUE"""),2621.0)</f>
        <v>2621</v>
      </c>
      <c r="B15" s="213" t="str">
        <f>IFERROR(__xludf.DUMMYFUNCTION("""COMPUTED_VALUE"""),"MANUEL ANTONIO MESONES MURO")</f>
        <v>MANUEL ANTONIO MESONES MURO</v>
      </c>
      <c r="C15" s="213" t="str">
        <f>IFERROR(__xludf.DUMMYFUNCTION("""COMPUTED_VALUE"""),"TALLER SFT DE EBANISTERÍA")</f>
        <v>TALLER SFT DE EBANISTERÍA</v>
      </c>
      <c r="D15" s="213" t="str">
        <f>IFERROR(__xludf.DUMMYFUNCTION("""COMPUTED_VALUE"""),"HERRAMIENTAS")</f>
        <v>HERRAMIENTAS</v>
      </c>
      <c r="E15" s="213" t="str">
        <f>IFERROR(__xludf.DUMMYFUNCTION("""COMPUTED_VALUE"""),"COM-103")</f>
        <v>COM-103</v>
      </c>
      <c r="F15" s="213" t="str">
        <f>IFERROR(__xludf.DUMMYFUNCTION("""COMPUTED_VALUE"""),"COM-103")</f>
        <v>COM-103</v>
      </c>
      <c r="G15" s="213"/>
      <c r="H15" s="213" t="str">
        <f>IFERROR(__xludf.DUMMYFUNCTION("""COMPUTED_VALUE"""),"ADAPTADOR MAGNETICO PARA PUNTAS")</f>
        <v>ADAPTADOR MAGNETICO PARA PUNTAS</v>
      </c>
      <c r="I15" s="213" t="str">
        <f>IFERROR(__xludf.DUMMYFUNCTION("""COMPUTED_VALUE"""),"Adaptador Flexible de 1/4"" Acero inoxidable
Permite trabajar en lugares de dificil acceso Medida aprox. 7 cm.
Inclinación aprox. 20°")</f>
        <v>Adaptador Flexible de 1/4" Acero inoxidable
Permite trabajar en lugares de dificil acceso Medida aprox. 7 cm.
Inclinación aprox. 20°</v>
      </c>
      <c r="J15" s="213">
        <f>IFERROR(__xludf.DUMMYFUNCTION("""COMPUTED_VALUE"""),3.0)</f>
        <v>3</v>
      </c>
      <c r="K15" s="213" t="str">
        <f>IFERROR(__xludf.DUMMYFUNCTION("""COMPUTED_VALUE"""),"90 DÍAS CALENDARIO")</f>
        <v>90 DÍAS CALENDARIO</v>
      </c>
      <c r="L15" s="213" t="str">
        <f>IFERROR(__xludf.DUMMYFUNCTION("""COMPUTED_VALUE"""),"")</f>
        <v/>
      </c>
      <c r="M15" s="213">
        <f>IFERROR(__xludf.DUMMYFUNCTION("""COMPUTED_VALUE"""),1.0)</f>
        <v>1</v>
      </c>
      <c r="N15" s="213">
        <f>IFERROR(__xludf.DUMMYFUNCTION("""COMPUTED_VALUE"""),4.0)</f>
        <v>4</v>
      </c>
      <c r="O15" s="213">
        <f>IFERROR(__xludf.DUMMYFUNCTION("""COMPUTED_VALUE"""),4.0)</f>
        <v>4</v>
      </c>
      <c r="P15" s="213"/>
      <c r="Q15" s="213"/>
      <c r="R15" s="213" t="str">
        <f>IFERROR(__xludf.DUMMYFUNCTION("""COMPUTED_VALUE"""),"SI")</f>
        <v>SI</v>
      </c>
      <c r="S15" s="213"/>
      <c r="T15" s="213" t="str">
        <f>IFERROR(__xludf.DUMMYFUNCTION("""COMPUTED_VALUE"""),"CONSULTA FINAL")</f>
        <v>CONSULTA FINAL</v>
      </c>
      <c r="U15" s="213" t="str">
        <f>IFERROR(__xludf.DUMMYFUNCTION("""COMPUTED_VALUE"""),"NO")</f>
        <v>NO</v>
      </c>
      <c r="V15" s="213" t="str">
        <f>IFERROR(__xludf.DUMMYFUNCTION("""COMPUTED_VALUE"""),"SUSTENTO")</f>
        <v>SUSTENTO</v>
      </c>
      <c r="W15" s="213" t="str">
        <f>IFERROR(__xludf.DUMMYFUNCTION("""COMPUTED_VALUE"""),"CRÍTICO")</f>
        <v>CRÍTICO</v>
      </c>
      <c r="X15" s="213" t="str">
        <f>IFERROR(__xludf.DUMMYFUNCTION("""COMPUTED_VALUE"""),"TOPTUL")</f>
        <v>TOPTUL</v>
      </c>
      <c r="Y15" s="213" t="str">
        <f>IFERROR(__xludf.DUMMYFUNCTION("""COMPUTED_VALUE"""),"‎TT0A0808")</f>
        <v>‎TT0A0808</v>
      </c>
      <c r="Z15" s="215" t="str">
        <f>IFERROR(__xludf.DUMMYFUNCTION("""COMPUTED_VALUE"""),"https://www.sip-scootershop.com/es/product/portapuntas-toptul-1-4-hexagonal_TT0A0808?q=TT0A0808")</f>
        <v>https://www.sip-scootershop.com/es/product/portapuntas-toptul-1-4-hexagonal_TT0A0808?q=TT0A0808</v>
      </c>
      <c r="AA15" s="213" t="str">
        <f>IFERROR(__xludf.DUMMYFUNCTION("""COMPUTED_VALUE"""),"COM-103 ADAPTADOR MAGNETICO PARA PUNTAS - CET")</f>
        <v>COM-103 ADAPTADOR MAGNETICO PARA PUNTAS - CET</v>
      </c>
      <c r="AB15" s="215" t="str">
        <f>IFERROR(__xludf.DUMMYFUNCTION("""COMPUTED_VALUE"""),"https://drive.google.com/file/d/15riS44__EE3A0AMUdsNl4A4noFzrjS0G/view?usp=sharing")</f>
        <v>https://drive.google.com/file/d/15riS44__EE3A0AMUdsNl4A4noFzrjS0G/view?usp=sharing</v>
      </c>
      <c r="AC15" s="215" t="str">
        <f>IFERROR(__xludf.DUMMYFUNCTION("""COMPUTED_VALUE"""),"https://www.sip-scootershop.com/es/product/portapuntas-toptul-1-4-hexagonal_TT0A0808?q=TT0A0808")</f>
        <v>https://www.sip-scootershop.com/es/product/portapuntas-toptul-1-4-hexagonal_TT0A0808?q=TT0A0808</v>
      </c>
      <c r="AD15" s="213"/>
      <c r="AE15" s="213"/>
      <c r="AF15" s="213"/>
      <c r="AG15" s="213"/>
      <c r="AH15" s="213" t="str">
        <f>IFERROR(__xludf.DUMMYFUNCTION("""COMPUTED_VALUE"""),"IMPORTADO")</f>
        <v>IMPORTADO</v>
      </c>
      <c r="AI15" s="213"/>
      <c r="AJ15" s="213"/>
      <c r="AK15" s="213"/>
      <c r="AL15" s="213"/>
      <c r="AM15" s="213"/>
      <c r="AN15" s="213"/>
      <c r="AO15" s="213"/>
      <c r="AP15" s="213" t="str">
        <f>IFERROR(__xludf.DUMMYFUNCTION("""COMPUTED_VALUE"""),"SEBASTIAN")</f>
        <v>SEBASTIAN</v>
      </c>
      <c r="AQ15" s="213"/>
      <c r="AR15" s="213"/>
      <c r="AS15" s="213"/>
      <c r="AT15" s="213"/>
      <c r="AU15" s="213"/>
      <c r="AV15" s="213"/>
      <c r="AW15" s="213"/>
      <c r="AX15" s="213"/>
      <c r="AY15" s="213"/>
      <c r="AZ15" s="213"/>
      <c r="BA15" s="213"/>
      <c r="BB15" s="213"/>
      <c r="BC15" s="213"/>
      <c r="BD15" s="213"/>
    </row>
    <row r="16">
      <c r="A16" s="213">
        <f>IFERROR(__xludf.DUMMYFUNCTION("""COMPUTED_VALUE"""),65.0)</f>
        <v>65</v>
      </c>
      <c r="B16" s="213" t="str">
        <f>IFERROR(__xludf.DUMMYFUNCTION("""COMPUTED_VALUE"""),"16449 ELOY SOBERON  FLORES")</f>
        <v>16449 ELOY SOBERON  FLORES</v>
      </c>
      <c r="C16" s="213" t="str">
        <f>IFERROR(__xludf.DUMMYFUNCTION("""COMPUTED_VALUE"""),"TALLER SFT DE COCINA Y REPOSTERÍA")</f>
        <v>TALLER SFT DE COCINA Y REPOSTERÍA</v>
      </c>
      <c r="D16" s="213" t="str">
        <f>IFERROR(__xludf.DUMMYFUNCTION("""COMPUTED_VALUE"""),"HERRAMIENTAS")</f>
        <v>HERRAMIENTAS</v>
      </c>
      <c r="E16" s="213" t="str">
        <f>IFERROR(__xludf.DUMMYFUNCTION("""COMPUTED_VALUE"""),"COM-105")</f>
        <v>COM-105</v>
      </c>
      <c r="F16" s="213" t="str">
        <f>IFERROR(__xludf.DUMMYFUNCTION("""COMPUTED_VALUE"""),"COM-105")</f>
        <v>COM-105</v>
      </c>
      <c r="G16" s="213"/>
      <c r="H16" s="213" t="str">
        <f>IFERROR(__xludf.DUMMYFUNCTION("""COMPUTED_VALUE"""),"BAILARINA METÁLICA")</f>
        <v>BAILARINA METÁLICA</v>
      </c>
      <c r="I16" s="213" t="str">
        <f>IFERROR(__xludf.DUMMYFUNCTION("""COMPUTED_VALUE"""),"· Material: acero inoxidable
· Uso: decoración de pasteles
· Tamaño aproximado (+-3cm) : Alto 20 cm, largo 25 cm diámetro 21")</f>
        <v>· Material: acero inoxidable
· Uso: decoración de pasteles
· Tamaño aproximado (+-3cm) : Alto 20 cm, largo 25 cm diámetro 21</v>
      </c>
      <c r="J16" s="213">
        <f>IFERROR(__xludf.DUMMYFUNCTION("""COMPUTED_VALUE"""),3.0)</f>
        <v>3</v>
      </c>
      <c r="K16" s="213" t="str">
        <f>IFERROR(__xludf.DUMMYFUNCTION("""COMPUTED_VALUE"""),"90 DÍAS CALENDARIO")</f>
        <v>90 DÍAS CALENDARIO</v>
      </c>
      <c r="L16" s="213" t="str">
        <f>IFERROR(__xludf.DUMMYFUNCTION("""COMPUTED_VALUE"""),"COCINA Y REPOSTERÍA, INDUSTRIA ALIMENTARIA")</f>
        <v>COCINA Y REPOSTERÍA, INDUSTRIA ALIMENTARIA</v>
      </c>
      <c r="M16" s="213">
        <f>IFERROR(__xludf.DUMMYFUNCTION("""COMPUTED_VALUE"""),1.0)</f>
        <v>1</v>
      </c>
      <c r="N16" s="213">
        <f>IFERROR(__xludf.DUMMYFUNCTION("""COMPUTED_VALUE"""),4.0)</f>
        <v>4</v>
      </c>
      <c r="O16" s="213">
        <f>IFERROR(__xludf.DUMMYFUNCTION("""COMPUTED_VALUE"""),4.0)</f>
        <v>4</v>
      </c>
      <c r="P16" s="213"/>
      <c r="Q16" s="213"/>
      <c r="R16" s="213"/>
      <c r="S16" s="213"/>
      <c r="T16" s="213" t="str">
        <f>IFERROR(__xludf.DUMMYFUNCTION("""COMPUTED_VALUE"""),"NO")</f>
        <v>NO</v>
      </c>
      <c r="U16" s="213" t="str">
        <f>IFERROR(__xludf.DUMMYFUNCTION("""COMPUTED_VALUE"""),"NO")</f>
        <v>NO</v>
      </c>
      <c r="V16" s="213" t="str">
        <f>IFERROR(__xludf.DUMMYFUNCTION("""COMPUTED_VALUE"""),"NO")</f>
        <v>NO</v>
      </c>
      <c r="W16" s="213" t="str">
        <f>IFERROR(__xludf.DUMMYFUNCTION("""COMPUTED_VALUE"""),"DIMENSIONAL")</f>
        <v>DIMENSIONAL</v>
      </c>
      <c r="X16" s="213" t="str">
        <f>IFERROR(__xludf.DUMMYFUNCTION("""COMPUTED_VALUE"""),"Winco")</f>
        <v>Winco</v>
      </c>
      <c r="Y16" s="213" t="str">
        <f>IFERROR(__xludf.DUMMYFUNCTION("""COMPUTED_VALUE"""),"Soporte para tarta de 13 pulgadas, Acero inoxidable")</f>
        <v>Soporte para tarta de 13 pulgadas, Acero inoxidable</v>
      </c>
      <c r="Z16" s="215" t="str">
        <f>IFERROR(__xludf.DUMMYFUNCTION("""COMPUTED_VALUE"""),"https://www.amazon.com/-/es/Soporte-tarta-pulgadas-Acero-inoxidable/dp/B007D0CDOG/ref=sr_1_5?__mk_es_US=%C3%85M%C3%85%C5%BD%C3%95%C3%91&amp;crid=11T5CJIGGA98H&amp;dib=eyJ2IjoiMSJ9.NPKc2Ocb6jch6NYQZyXWHHFoBqAwSC6KJsmYsTYdhlWpemKJbY1SO51-K7Kht8zC-C1c2Vem1bjJAvmgoNN"&amp;"1gbeCafdxxPn4L8PsSmezuuGUife0Yk9iJSuE4shRLKgs_j2hbV2Onc0AVgs2QeuxPOkgBUf_fYJGwIP0iPxCPs4HVbHT0HUnuYUf_tFVYGBjdwcsS5OLbiILbYJaTOZ2Lvj4YSII7tnoSwJ9QoQ679_BGXkxydfwXWdbC3nUn4k4IAEoM4qbYkj5J1_ksQE21MZpfirYTIv9g7r54i2LQxk.LLynjlCsWFrJysvuO7pUPvvAx6kc-UbrOUfLdY"&amp;"XMeoA&amp;dib_tag=se&amp;keywords=soporte%2Bpara%2Btarta%2Bacero%2Binoxidable&amp;qid=1761342085&amp;sprefix=soporte%2Bpara%2Btarta%2Bacero%2Binxidable%2Caps%2C178&amp;sr=8-5&amp;th=1")</f>
        <v>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v>
      </c>
      <c r="AA16" s="213" t="str">
        <f>IFERROR(__xludf.DUMMYFUNCTION("""COMPUTED_VALUE"""),"COM-105  BAILARINA METÁLICA - CET")</f>
        <v>COM-105  BAILARINA METÁLICA - CET</v>
      </c>
      <c r="AB16" s="213"/>
      <c r="AC16" s="213"/>
      <c r="AD16" s="213"/>
      <c r="AE16" s="213"/>
      <c r="AF16" s="213"/>
      <c r="AG16" s="213"/>
      <c r="AH16" s="213"/>
      <c r="AI16" s="213"/>
      <c r="AJ16" s="213"/>
      <c r="AK16" s="213"/>
      <c r="AL16" s="213"/>
      <c r="AM16" s="213"/>
      <c r="AN16" s="213"/>
      <c r="AO16" s="213"/>
      <c r="AP16" s="213" t="str">
        <f>IFERROR(__xludf.DUMMYFUNCTION("""COMPUTED_VALUE"""),"BRUNO")</f>
        <v>BRUNO</v>
      </c>
      <c r="AQ16" s="213"/>
      <c r="AR16" s="213"/>
      <c r="AS16" s="213"/>
      <c r="AT16" s="213"/>
      <c r="AU16" s="213"/>
      <c r="AV16" s="213"/>
      <c r="AW16" s="213"/>
      <c r="AX16" s="213"/>
      <c r="AY16" s="213"/>
      <c r="AZ16" s="213"/>
      <c r="BA16" s="213"/>
      <c r="BB16" s="213"/>
      <c r="BC16" s="213"/>
      <c r="BD16" s="213"/>
    </row>
    <row r="17">
      <c r="A17" s="213">
        <f>IFERROR(__xludf.DUMMYFUNCTION("""COMPUTED_VALUE"""),514.0)</f>
        <v>514</v>
      </c>
      <c r="B17" s="213" t="str">
        <f>IFERROR(__xludf.DUMMYFUNCTION("""COMPUTED_VALUE"""),"2026 SIMON BOLIVAR")</f>
        <v>2026 SIMON BOLIVAR</v>
      </c>
      <c r="C17" s="213" t="str">
        <f>IFERROR(__xludf.DUMMYFUNCTION("""COMPUTED_VALUE"""),"TALLER SFT DE INDUSTRIA ALIMENTARIA")</f>
        <v>TALLER SFT DE INDUSTRIA ALIMENTARIA</v>
      </c>
      <c r="D17" s="213" t="str">
        <f>IFERROR(__xludf.DUMMYFUNCTION("""COMPUTED_VALUE"""),"HERRAMIENTAS")</f>
        <v>HERRAMIENTAS</v>
      </c>
      <c r="E17" s="213" t="str">
        <f>IFERROR(__xludf.DUMMYFUNCTION("""COMPUTED_VALUE"""),"COM-105")</f>
        <v>COM-105</v>
      </c>
      <c r="F17" s="213" t="str">
        <f>IFERROR(__xludf.DUMMYFUNCTION("""COMPUTED_VALUE"""),"COM-105")</f>
        <v>COM-105</v>
      </c>
      <c r="G17" s="213"/>
      <c r="H17" s="213" t="str">
        <f>IFERROR(__xludf.DUMMYFUNCTION("""COMPUTED_VALUE"""),"BAILARINA METÁLICA")</f>
        <v>BAILARINA METÁLICA</v>
      </c>
      <c r="I17" s="213"/>
      <c r="J17" s="213">
        <f>IFERROR(__xludf.DUMMYFUNCTION("""COMPUTED_VALUE"""),3.0)</f>
        <v>3</v>
      </c>
      <c r="K17" s="213" t="str">
        <f>IFERROR(__xludf.DUMMYFUNCTION("""COMPUTED_VALUE"""),"90 DÍAS CALENDARIO")</f>
        <v>90 DÍAS CALENDARIO</v>
      </c>
      <c r="L17" s="213" t="str">
        <f>IFERROR(__xludf.DUMMYFUNCTION("""COMPUTED_VALUE"""),"COCINA Y REPOSTERÍA, INDUSTRIA ALIMENTARIA")</f>
        <v>COCINA Y REPOSTERÍA, INDUSTRIA ALIMENTARIA</v>
      </c>
      <c r="M17" s="213">
        <f>IFERROR(__xludf.DUMMYFUNCTION("""COMPUTED_VALUE"""),1.0)</f>
        <v>1</v>
      </c>
      <c r="N17" s="213">
        <f>IFERROR(__xludf.DUMMYFUNCTION("""COMPUTED_VALUE"""),4.0)</f>
        <v>4</v>
      </c>
      <c r="O17" s="213">
        <f>IFERROR(__xludf.DUMMYFUNCTION("""COMPUTED_VALUE"""),4.0)</f>
        <v>4</v>
      </c>
      <c r="P17" s="213"/>
      <c r="Q17" s="213"/>
      <c r="R17" s="213"/>
      <c r="S17" s="213"/>
      <c r="T17" s="213" t="str">
        <f>IFERROR(__xludf.DUMMYFUNCTION("""COMPUTED_VALUE"""),"NO")</f>
        <v>NO</v>
      </c>
      <c r="U17" s="213" t="str">
        <f>IFERROR(__xludf.DUMMYFUNCTION("""COMPUTED_VALUE"""),"NO")</f>
        <v>NO</v>
      </c>
      <c r="V17" s="213" t="str">
        <f>IFERROR(__xludf.DUMMYFUNCTION("""COMPUTED_VALUE"""),"NO")</f>
        <v>NO</v>
      </c>
      <c r="W17" s="213" t="str">
        <f>IFERROR(__xludf.DUMMYFUNCTION("""COMPUTED_VALUE"""),"DIMENSIONAL")</f>
        <v>DIMENSIONAL</v>
      </c>
      <c r="X17" s="213" t="str">
        <f>IFERROR(__xludf.DUMMYFUNCTION("""COMPUTED_VALUE"""),"Winco")</f>
        <v>Winco</v>
      </c>
      <c r="Y17" s="213" t="str">
        <f>IFERROR(__xludf.DUMMYFUNCTION("""COMPUTED_VALUE"""),"Soporte para tarta de 13 pulgadas, Acero inoxidable")</f>
        <v>Soporte para tarta de 13 pulgadas, Acero inoxidable</v>
      </c>
      <c r="Z17" s="215" t="str">
        <f>IFERROR(__xludf.DUMMYFUNCTION("""COMPUTED_VALUE"""),"https://www.amazon.com/-/es/Soporte-tarta-pulgadas-Acero-inoxidable/dp/B007D0CDOG/ref=sr_1_5?__mk_es_US=%C3%85M%C3%85%C5%BD%C3%95%C3%91&amp;crid=11T5CJIGGA98H&amp;dib=eyJ2IjoiMSJ9.NPKc2Ocb6jch6NYQZyXWHHFoBqAwSC6KJsmYsTYdhlWpemKJbY1SO51-K7Kht8zC-C1c2Vem1bjJAvmgoNN"&amp;"1gbeCafdxxPn4L8PsSmezuuGUife0Yk9iJSuE4shRLKgs_j2hbV2Onc0AVgs2QeuxPOkgBUf_fYJGwIP0iPxCPs4HVbHT0HUnuYUf_tFVYGBjdwcsS5OLbiILbYJaTOZ2Lvj4YSII7tnoSwJ9QoQ679_BGXkxydfwXWdbC3nUn4k4IAEoM4qbYkj5J1_ksQE21MZpfirYTIv9g7r54i2LQxk.LLynjlCsWFrJysvuO7pUPvvAx6kc-UbrOUfLdY"&amp;"XMeoA&amp;dib_tag=se&amp;keywords=soporte%2Bpara%2Btarta%2Bacero%2Binoxidable&amp;qid=1761342085&amp;sprefix=soporte%2Bpara%2Btarta%2Bacero%2Binxidable%2Caps%2C178&amp;sr=8-5&amp;th=1")</f>
        <v>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v>
      </c>
      <c r="AA17" s="213" t="str">
        <f>IFERROR(__xludf.DUMMYFUNCTION("""COMPUTED_VALUE"""),"COM-105  BAILARINA METÁLICA - CET")</f>
        <v>COM-105  BAILARINA METÁLICA - CET</v>
      </c>
      <c r="AB17" s="213"/>
      <c r="AC17" s="213"/>
      <c r="AD17" s="213"/>
      <c r="AE17" s="213"/>
      <c r="AF17" s="213"/>
      <c r="AG17" s="213"/>
      <c r="AH17" s="213"/>
      <c r="AI17" s="213"/>
      <c r="AJ17" s="213"/>
      <c r="AK17" s="213"/>
      <c r="AL17" s="213"/>
      <c r="AM17" s="213"/>
      <c r="AN17" s="213"/>
      <c r="AO17" s="213"/>
      <c r="AP17" s="213" t="str">
        <f>IFERROR(__xludf.DUMMYFUNCTION("""COMPUTED_VALUE"""),"BRUNO")</f>
        <v>BRUNO</v>
      </c>
      <c r="AQ17" s="213"/>
      <c r="AR17" s="213"/>
      <c r="AS17" s="213"/>
      <c r="AT17" s="213"/>
      <c r="AU17" s="213"/>
      <c r="AV17" s="213"/>
      <c r="AW17" s="213"/>
      <c r="AX17" s="213"/>
      <c r="AY17" s="213"/>
      <c r="AZ17" s="213"/>
      <c r="BA17" s="213"/>
      <c r="BB17" s="213"/>
      <c r="BC17" s="213"/>
      <c r="BD17" s="213"/>
    </row>
    <row r="18">
      <c r="A18" s="213">
        <f>IFERROR(__xludf.DUMMYFUNCTION("""COMPUTED_VALUE"""),1144.0)</f>
        <v>1144</v>
      </c>
      <c r="B18" s="213" t="str">
        <f>IFERROR(__xludf.DUMMYFUNCTION("""COMPUTED_VALUE"""),"FRANCISCO IRAZOLA")</f>
        <v>FRANCISCO IRAZOLA</v>
      </c>
      <c r="C18" s="213" t="str">
        <f>IFERROR(__xludf.DUMMYFUNCTION("""COMPUTED_VALUE"""),"TALLER SFT DE INDUSTRIA ALIMENTARIA")</f>
        <v>TALLER SFT DE INDUSTRIA ALIMENTARIA</v>
      </c>
      <c r="D18" s="213" t="str">
        <f>IFERROR(__xludf.DUMMYFUNCTION("""COMPUTED_VALUE"""),"HERRAMIENTAS")</f>
        <v>HERRAMIENTAS</v>
      </c>
      <c r="E18" s="213" t="str">
        <f>IFERROR(__xludf.DUMMYFUNCTION("""COMPUTED_VALUE"""),"COM-105")</f>
        <v>COM-105</v>
      </c>
      <c r="F18" s="213" t="str">
        <f>IFERROR(__xludf.DUMMYFUNCTION("""COMPUTED_VALUE"""),"COM-105")</f>
        <v>COM-105</v>
      </c>
      <c r="G18" s="213"/>
      <c r="H18" s="213" t="str">
        <f>IFERROR(__xludf.DUMMYFUNCTION("""COMPUTED_VALUE"""),"BAILARINA METÁLICA")</f>
        <v>BAILARINA METÁLICA</v>
      </c>
      <c r="I18" s="213"/>
      <c r="J18" s="213">
        <f>IFERROR(__xludf.DUMMYFUNCTION("""COMPUTED_VALUE"""),3.0)</f>
        <v>3</v>
      </c>
      <c r="K18" s="213" t="str">
        <f>IFERROR(__xludf.DUMMYFUNCTION("""COMPUTED_VALUE"""),"90 DÍAS CALENDARIO")</f>
        <v>90 DÍAS CALENDARIO</v>
      </c>
      <c r="L18" s="213" t="str">
        <f>IFERROR(__xludf.DUMMYFUNCTION("""COMPUTED_VALUE"""),"COCINA Y REPOSTERÍA, INDUSTRIA ALIMENTARIA")</f>
        <v>COCINA Y REPOSTERÍA, INDUSTRIA ALIMENTARIA</v>
      </c>
      <c r="M18" s="213">
        <f>IFERROR(__xludf.DUMMYFUNCTION("""COMPUTED_VALUE"""),1.0)</f>
        <v>1</v>
      </c>
      <c r="N18" s="213">
        <f>IFERROR(__xludf.DUMMYFUNCTION("""COMPUTED_VALUE"""),4.0)</f>
        <v>4</v>
      </c>
      <c r="O18" s="213">
        <f>IFERROR(__xludf.DUMMYFUNCTION("""COMPUTED_VALUE"""),4.0)</f>
        <v>4</v>
      </c>
      <c r="P18" s="213"/>
      <c r="Q18" s="213"/>
      <c r="R18" s="213"/>
      <c r="S18" s="213"/>
      <c r="T18" s="213" t="str">
        <f>IFERROR(__xludf.DUMMYFUNCTION("""COMPUTED_VALUE"""),"NO")</f>
        <v>NO</v>
      </c>
      <c r="U18" s="213" t="str">
        <f>IFERROR(__xludf.DUMMYFUNCTION("""COMPUTED_VALUE"""),"NO")</f>
        <v>NO</v>
      </c>
      <c r="V18" s="213" t="str">
        <f>IFERROR(__xludf.DUMMYFUNCTION("""COMPUTED_VALUE"""),"NO")</f>
        <v>NO</v>
      </c>
      <c r="W18" s="213" t="str">
        <f>IFERROR(__xludf.DUMMYFUNCTION("""COMPUTED_VALUE"""),"DIMENSIONAL")</f>
        <v>DIMENSIONAL</v>
      </c>
      <c r="X18" s="213" t="str">
        <f>IFERROR(__xludf.DUMMYFUNCTION("""COMPUTED_VALUE"""),"Winco")</f>
        <v>Winco</v>
      </c>
      <c r="Y18" s="213" t="str">
        <f>IFERROR(__xludf.DUMMYFUNCTION("""COMPUTED_VALUE"""),"Soporte para tarta de 13 pulgadas, Acero inoxidable")</f>
        <v>Soporte para tarta de 13 pulgadas, Acero inoxidable</v>
      </c>
      <c r="Z18" s="215" t="str">
        <f>IFERROR(__xludf.DUMMYFUNCTION("""COMPUTED_VALUE"""),"https://www.amazon.com/-/es/Soporte-tarta-pulgadas-Acero-inoxidable/dp/B007D0CDOG/ref=sr_1_5?__mk_es_US=%C3%85M%C3%85%C5%BD%C3%95%C3%91&amp;crid=11T5CJIGGA98H&amp;dib=eyJ2IjoiMSJ9.NPKc2Ocb6jch6NYQZyXWHHFoBqAwSC6KJsmYsTYdhlWpemKJbY1SO51-K7Kht8zC-C1c2Vem1bjJAvmgoNN"&amp;"1gbeCafdxxPn4L8PsSmezuuGUife0Yk9iJSuE4shRLKgs_j2hbV2Onc0AVgs2QeuxPOkgBUf_fYJGwIP0iPxCPs4HVbHT0HUnuYUf_tFVYGBjdwcsS5OLbiILbYJaTOZ2Lvj4YSII7tnoSwJ9QoQ679_BGXkxydfwXWdbC3nUn4k4IAEoM4qbYkj5J1_ksQE21MZpfirYTIv9g7r54i2LQxk.LLynjlCsWFrJysvuO7pUPvvAx6kc-UbrOUfLdY"&amp;"XMeoA&amp;dib_tag=se&amp;keywords=soporte%2Bpara%2Btarta%2Bacero%2Binoxidable&amp;qid=1761342085&amp;sprefix=soporte%2Bpara%2Btarta%2Bacero%2Binxidable%2Caps%2C178&amp;sr=8-5&amp;th=1")</f>
        <v>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v>
      </c>
      <c r="AA18" s="213" t="str">
        <f>IFERROR(__xludf.DUMMYFUNCTION("""COMPUTED_VALUE"""),"COM-105  BAILARINA METÁLICA - CET")</f>
        <v>COM-105  BAILARINA METÁLICA - CET</v>
      </c>
      <c r="AB18" s="213"/>
      <c r="AC18" s="213"/>
      <c r="AD18" s="213"/>
      <c r="AE18" s="213"/>
      <c r="AF18" s="213"/>
      <c r="AG18" s="213"/>
      <c r="AH18" s="213"/>
      <c r="AI18" s="213"/>
      <c r="AJ18" s="213"/>
      <c r="AK18" s="213"/>
      <c r="AL18" s="213"/>
      <c r="AM18" s="213"/>
      <c r="AN18" s="213"/>
      <c r="AO18" s="213"/>
      <c r="AP18" s="213" t="str">
        <f>IFERROR(__xludf.DUMMYFUNCTION("""COMPUTED_VALUE"""),"BRUNO")</f>
        <v>BRUNO</v>
      </c>
      <c r="AQ18" s="213"/>
      <c r="AR18" s="213"/>
      <c r="AS18" s="213"/>
      <c r="AT18" s="213"/>
      <c r="AU18" s="213"/>
      <c r="AV18" s="213"/>
      <c r="AW18" s="213"/>
      <c r="AX18" s="213"/>
      <c r="AY18" s="213"/>
      <c r="AZ18" s="213"/>
      <c r="BA18" s="213"/>
      <c r="BB18" s="213"/>
      <c r="BC18" s="213"/>
      <c r="BD18" s="213"/>
    </row>
    <row r="19">
      <c r="A19" s="213">
        <f>IFERROR(__xludf.DUMMYFUNCTION("""COMPUTED_VALUE"""),1416.0)</f>
        <v>1416</v>
      </c>
      <c r="B19" s="213" t="str">
        <f>IFERROR(__xludf.DUMMYFUNCTION("""COMPUTED_VALUE"""),"GUILLERMO E. BILLINGHURST ")</f>
        <v>GUILLERMO E. BILLINGHURST </v>
      </c>
      <c r="C19" s="213" t="str">
        <f>IFERROR(__xludf.DUMMYFUNCTION("""COMPUTED_VALUE"""),"TALLER SFT DE INDUSTRIA ALIMENTARIA")</f>
        <v>TALLER SFT DE INDUSTRIA ALIMENTARIA</v>
      </c>
      <c r="D19" s="213" t="str">
        <f>IFERROR(__xludf.DUMMYFUNCTION("""COMPUTED_VALUE"""),"HERRAMIENTAS")</f>
        <v>HERRAMIENTAS</v>
      </c>
      <c r="E19" s="213" t="str">
        <f>IFERROR(__xludf.DUMMYFUNCTION("""COMPUTED_VALUE"""),"COM-105")</f>
        <v>COM-105</v>
      </c>
      <c r="F19" s="213" t="str">
        <f>IFERROR(__xludf.DUMMYFUNCTION("""COMPUTED_VALUE"""),"COM-105")</f>
        <v>COM-105</v>
      </c>
      <c r="G19" s="213"/>
      <c r="H19" s="213" t="str">
        <f>IFERROR(__xludf.DUMMYFUNCTION("""COMPUTED_VALUE"""),"BAILARINA METÁLICA")</f>
        <v>BAILARINA METÁLICA</v>
      </c>
      <c r="I19" s="213"/>
      <c r="J19" s="213">
        <f>IFERROR(__xludf.DUMMYFUNCTION("""COMPUTED_VALUE"""),3.0)</f>
        <v>3</v>
      </c>
      <c r="K19" s="213" t="str">
        <f>IFERROR(__xludf.DUMMYFUNCTION("""COMPUTED_VALUE"""),"90 DÍAS CALENDARIO")</f>
        <v>90 DÍAS CALENDARIO</v>
      </c>
      <c r="L19" s="213" t="str">
        <f>IFERROR(__xludf.DUMMYFUNCTION("""COMPUTED_VALUE"""),"COCINA Y REPOSTERÍA, INDUSTRIA ALIMENTARIA")</f>
        <v>COCINA Y REPOSTERÍA, INDUSTRIA ALIMENTARIA</v>
      </c>
      <c r="M19" s="213">
        <f>IFERROR(__xludf.DUMMYFUNCTION("""COMPUTED_VALUE"""),1.0)</f>
        <v>1</v>
      </c>
      <c r="N19" s="213">
        <f>IFERROR(__xludf.DUMMYFUNCTION("""COMPUTED_VALUE"""),4.0)</f>
        <v>4</v>
      </c>
      <c r="O19" s="213">
        <f>IFERROR(__xludf.DUMMYFUNCTION("""COMPUTED_VALUE"""),4.0)</f>
        <v>4</v>
      </c>
      <c r="P19" s="213"/>
      <c r="Q19" s="213"/>
      <c r="R19" s="213"/>
      <c r="S19" s="213"/>
      <c r="T19" s="213" t="str">
        <f>IFERROR(__xludf.DUMMYFUNCTION("""COMPUTED_VALUE"""),"NO")</f>
        <v>NO</v>
      </c>
      <c r="U19" s="213" t="str">
        <f>IFERROR(__xludf.DUMMYFUNCTION("""COMPUTED_VALUE"""),"NO")</f>
        <v>NO</v>
      </c>
      <c r="V19" s="213" t="str">
        <f>IFERROR(__xludf.DUMMYFUNCTION("""COMPUTED_VALUE"""),"NO")</f>
        <v>NO</v>
      </c>
      <c r="W19" s="213" t="str">
        <f>IFERROR(__xludf.DUMMYFUNCTION("""COMPUTED_VALUE"""),"DIMENSIONAL")</f>
        <v>DIMENSIONAL</v>
      </c>
      <c r="X19" s="213" t="str">
        <f>IFERROR(__xludf.DUMMYFUNCTION("""COMPUTED_VALUE"""),"Winco")</f>
        <v>Winco</v>
      </c>
      <c r="Y19" s="213" t="str">
        <f>IFERROR(__xludf.DUMMYFUNCTION("""COMPUTED_VALUE"""),"Soporte para tarta de 13 pulgadas, Acero inoxidable")</f>
        <v>Soporte para tarta de 13 pulgadas, Acero inoxidable</v>
      </c>
      <c r="Z19" s="215" t="str">
        <f>IFERROR(__xludf.DUMMYFUNCTION("""COMPUTED_VALUE"""),"https://www.amazon.com/-/es/Soporte-tarta-pulgadas-Acero-inoxidable/dp/B007D0CDOG/ref=sr_1_5?__mk_es_US=%C3%85M%C3%85%C5%BD%C3%95%C3%91&amp;crid=11T5CJIGGA98H&amp;dib=eyJ2IjoiMSJ9.NPKc2Ocb6jch6NYQZyXWHHFoBqAwSC6KJsmYsTYdhlWpemKJbY1SO51-K7Kht8zC-C1c2Vem1bjJAvmgoNN"&amp;"1gbeCafdxxPn4L8PsSmezuuGUife0Yk9iJSuE4shRLKgs_j2hbV2Onc0AVgs2QeuxPOkgBUf_fYJGwIP0iPxCPs4HVbHT0HUnuYUf_tFVYGBjdwcsS5OLbiILbYJaTOZ2Lvj4YSII7tnoSwJ9QoQ679_BGXkxydfwXWdbC3nUn4k4IAEoM4qbYkj5J1_ksQE21MZpfirYTIv9g7r54i2LQxk.LLynjlCsWFrJysvuO7pUPvvAx6kc-UbrOUfLdY"&amp;"XMeoA&amp;dib_tag=se&amp;keywords=soporte%2Bpara%2Btarta%2Bacero%2Binoxidable&amp;qid=1761342085&amp;sprefix=soporte%2Bpara%2Btarta%2Bacero%2Binxidable%2Caps%2C178&amp;sr=8-5&amp;th=1")</f>
        <v>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v>
      </c>
      <c r="AA19" s="213" t="str">
        <f>IFERROR(__xludf.DUMMYFUNCTION("""COMPUTED_VALUE"""),"COM-105  BAILARINA METÁLICA - CET")</f>
        <v>COM-105  BAILARINA METÁLICA - CET</v>
      </c>
      <c r="AB19" s="213"/>
      <c r="AC19" s="213"/>
      <c r="AD19" s="213"/>
      <c r="AE19" s="213"/>
      <c r="AF19" s="213"/>
      <c r="AG19" s="213"/>
      <c r="AH19" s="213"/>
      <c r="AI19" s="213"/>
      <c r="AJ19" s="213"/>
      <c r="AK19" s="213"/>
      <c r="AL19" s="213"/>
      <c r="AM19" s="213"/>
      <c r="AN19" s="213"/>
      <c r="AO19" s="213"/>
      <c r="AP19" s="213" t="str">
        <f>IFERROR(__xludf.DUMMYFUNCTION("""COMPUTED_VALUE"""),"BRUNO")</f>
        <v>BRUNO</v>
      </c>
      <c r="AQ19" s="213"/>
      <c r="AR19" s="213"/>
      <c r="AS19" s="213"/>
      <c r="AT19" s="213"/>
      <c r="AU19" s="213"/>
      <c r="AV19" s="213"/>
      <c r="AW19" s="213"/>
      <c r="AX19" s="213"/>
      <c r="AY19" s="213"/>
      <c r="AZ19" s="213"/>
      <c r="BA19" s="213"/>
      <c r="BB19" s="213"/>
      <c r="BC19" s="213"/>
      <c r="BD19" s="213"/>
    </row>
    <row r="20">
      <c r="A20" s="213">
        <f>IFERROR(__xludf.DUMMYFUNCTION("""COMPUTED_VALUE"""),2103.0)</f>
        <v>2103</v>
      </c>
      <c r="B20" s="213" t="str">
        <f>IFERROR(__xludf.DUMMYFUNCTION("""COMPUTED_VALUE"""),"JOSE GRANDA")</f>
        <v>JOSE GRANDA</v>
      </c>
      <c r="C20" s="213" t="str">
        <f>IFERROR(__xludf.DUMMYFUNCTION("""COMPUTED_VALUE"""),"TALLER SFT DE INDUSTRIA ALIMENTARIA")</f>
        <v>TALLER SFT DE INDUSTRIA ALIMENTARIA</v>
      </c>
      <c r="D20" s="213" t="str">
        <f>IFERROR(__xludf.DUMMYFUNCTION("""COMPUTED_VALUE"""),"HERRAMIENTAS")</f>
        <v>HERRAMIENTAS</v>
      </c>
      <c r="E20" s="213" t="str">
        <f>IFERROR(__xludf.DUMMYFUNCTION("""COMPUTED_VALUE"""),"COM-105")</f>
        <v>COM-105</v>
      </c>
      <c r="F20" s="213" t="str">
        <f>IFERROR(__xludf.DUMMYFUNCTION("""COMPUTED_VALUE"""),"COM-105")</f>
        <v>COM-105</v>
      </c>
      <c r="G20" s="213"/>
      <c r="H20" s="213" t="str">
        <f>IFERROR(__xludf.DUMMYFUNCTION("""COMPUTED_VALUE"""),"BAILARINA METÁLICA")</f>
        <v>BAILARINA METÁLICA</v>
      </c>
      <c r="I20" s="213"/>
      <c r="J20" s="213">
        <f>IFERROR(__xludf.DUMMYFUNCTION("""COMPUTED_VALUE"""),3.0)</f>
        <v>3</v>
      </c>
      <c r="K20" s="213" t="str">
        <f>IFERROR(__xludf.DUMMYFUNCTION("""COMPUTED_VALUE"""),"90 DÍAS CALENDARIO")</f>
        <v>90 DÍAS CALENDARIO</v>
      </c>
      <c r="L20" s="213" t="str">
        <f>IFERROR(__xludf.DUMMYFUNCTION("""COMPUTED_VALUE"""),"COCINA Y REPOSTERÍA, INDUSTRIA ALIMENTARIA")</f>
        <v>COCINA Y REPOSTERÍA, INDUSTRIA ALIMENTARIA</v>
      </c>
      <c r="M20" s="213">
        <f>IFERROR(__xludf.DUMMYFUNCTION("""COMPUTED_VALUE"""),1.0)</f>
        <v>1</v>
      </c>
      <c r="N20" s="213">
        <f>IFERROR(__xludf.DUMMYFUNCTION("""COMPUTED_VALUE"""),4.0)</f>
        <v>4</v>
      </c>
      <c r="O20" s="213">
        <f>IFERROR(__xludf.DUMMYFUNCTION("""COMPUTED_VALUE"""),4.0)</f>
        <v>4</v>
      </c>
      <c r="P20" s="213"/>
      <c r="Q20" s="213"/>
      <c r="R20" s="213"/>
      <c r="S20" s="213"/>
      <c r="T20" s="213" t="str">
        <f>IFERROR(__xludf.DUMMYFUNCTION("""COMPUTED_VALUE"""),"NO")</f>
        <v>NO</v>
      </c>
      <c r="U20" s="213" t="str">
        <f>IFERROR(__xludf.DUMMYFUNCTION("""COMPUTED_VALUE"""),"NO")</f>
        <v>NO</v>
      </c>
      <c r="V20" s="213" t="str">
        <f>IFERROR(__xludf.DUMMYFUNCTION("""COMPUTED_VALUE"""),"NO")</f>
        <v>NO</v>
      </c>
      <c r="W20" s="213" t="str">
        <f>IFERROR(__xludf.DUMMYFUNCTION("""COMPUTED_VALUE"""),"DIMENSIONAL")</f>
        <v>DIMENSIONAL</v>
      </c>
      <c r="X20" s="213" t="str">
        <f>IFERROR(__xludf.DUMMYFUNCTION("""COMPUTED_VALUE"""),"Winco")</f>
        <v>Winco</v>
      </c>
      <c r="Y20" s="213" t="str">
        <f>IFERROR(__xludf.DUMMYFUNCTION("""COMPUTED_VALUE"""),"Soporte para tarta de 13 pulgadas, Acero inoxidable")</f>
        <v>Soporte para tarta de 13 pulgadas, Acero inoxidable</v>
      </c>
      <c r="Z20" s="215" t="str">
        <f>IFERROR(__xludf.DUMMYFUNCTION("""COMPUTED_VALUE"""),"https://www.amazon.com/-/es/Soporte-tarta-pulgadas-Acero-inoxidable/dp/B007D0CDOG/ref=sr_1_5?__mk_es_US=%C3%85M%C3%85%C5%BD%C3%95%C3%91&amp;crid=11T5CJIGGA98H&amp;dib=eyJ2IjoiMSJ9.NPKc2Ocb6jch6NYQZyXWHHFoBqAwSC6KJsmYsTYdhlWpemKJbY1SO51-K7Kht8zC-C1c2Vem1bjJAvmgoNN"&amp;"1gbeCafdxxPn4L8PsSmezuuGUife0Yk9iJSuE4shRLKgs_j2hbV2Onc0AVgs2QeuxPOkgBUf_fYJGwIP0iPxCPs4HVbHT0HUnuYUf_tFVYGBjdwcsS5OLbiILbYJaTOZ2Lvj4YSII7tnoSwJ9QoQ679_BGXkxydfwXWdbC3nUn4k4IAEoM4qbYkj5J1_ksQE21MZpfirYTIv9g7r54i2LQxk.LLynjlCsWFrJysvuO7pUPvvAx6kc-UbrOUfLdY"&amp;"XMeoA&amp;dib_tag=se&amp;keywords=soporte%2Bpara%2Btarta%2Bacero%2Binoxidable&amp;qid=1761342085&amp;sprefix=soporte%2Bpara%2Btarta%2Bacero%2Binxidable%2Caps%2C178&amp;sr=8-5&amp;th=1")</f>
        <v>https://www.amazon.com/-/es/Soporte-tarta-pulgadas-Acero-inoxidable/dp/B007D0CDOG/ref=sr_1_5?__mk_es_US=%C3%85M%C3%85%C5%BD%C3%95%C3%91&amp;crid=11T5CJIGGA98H&amp;dib=eyJ2IjoiMSJ9.NPKc2Ocb6jch6NYQZyXWHHFoBqAwSC6KJsmYsTYdhlWpemKJbY1SO51-K7Kht8zC-C1c2Vem1bjJAvmgoNN1gbeCafdxxPn4L8PsSmezuuGUife0Yk9iJSuE4shRLKgs_j2hbV2Onc0AVgs2QeuxPOkgBUf_fYJGwIP0iPxCPs4HVbHT0HUnuYUf_tFVYGBjdwcsS5OLbiILbYJaTOZ2Lvj4YSII7tnoSwJ9QoQ679_BGXkxydfwXWdbC3nUn4k4IAEoM4qbYkj5J1_ksQE21MZpfirYTIv9g7r54i2LQxk.LLynjlCsWFrJysvuO7pUPvvAx6kc-UbrOUfLdYXMeoA&amp;dib_tag=se&amp;keywords=soporte%2Bpara%2Btarta%2Bacero%2Binoxidable&amp;qid=1761342085&amp;sprefix=soporte%2Bpara%2Btarta%2Bacero%2Binxidable%2Caps%2C178&amp;sr=8-5&amp;th=1</v>
      </c>
      <c r="AA20" s="213" t="str">
        <f>IFERROR(__xludf.DUMMYFUNCTION("""COMPUTED_VALUE"""),"COM-105  BAILARINA METÁLICA - CET")</f>
        <v>COM-105  BAILARINA METÁLICA - CET</v>
      </c>
      <c r="AB20" s="213"/>
      <c r="AC20" s="213"/>
      <c r="AD20" s="213"/>
      <c r="AE20" s="213"/>
      <c r="AF20" s="213"/>
      <c r="AG20" s="213"/>
      <c r="AH20" s="213"/>
      <c r="AI20" s="213"/>
      <c r="AJ20" s="213"/>
      <c r="AK20" s="213"/>
      <c r="AL20" s="213"/>
      <c r="AM20" s="213"/>
      <c r="AN20" s="213"/>
      <c r="AO20" s="213"/>
      <c r="AP20" s="213" t="str">
        <f>IFERROR(__xludf.DUMMYFUNCTION("""COMPUTED_VALUE"""),"BRUNO")</f>
        <v>BRUNO</v>
      </c>
      <c r="AQ20" s="213"/>
      <c r="AR20" s="213"/>
      <c r="AS20" s="213"/>
      <c r="AT20" s="213"/>
      <c r="AU20" s="213"/>
      <c r="AV20" s="213"/>
      <c r="AW20" s="213"/>
      <c r="AX20" s="213"/>
      <c r="AY20" s="213"/>
      <c r="AZ20" s="213"/>
      <c r="BA20" s="213"/>
      <c r="BB20" s="213"/>
      <c r="BC20" s="213"/>
      <c r="BD20" s="213"/>
    </row>
    <row r="21">
      <c r="A21" s="213">
        <f>IFERROR(__xludf.DUMMYFUNCTION("""COMPUTED_VALUE"""),976.0)</f>
        <v>976</v>
      </c>
      <c r="B21" s="213" t="str">
        <f>IFERROR(__xludf.DUMMYFUNCTION("""COMPUTED_VALUE"""),"FRANCISCO IRAZOLA")</f>
        <v>FRANCISCO IRAZOLA</v>
      </c>
      <c r="C21" s="213" t="str">
        <f>IFERROR(__xludf.DUMMYFUNCTION("""COMPUTED_VALUE"""),"TALLER SFT DE MECÁNICA AUTOMOTRIZ")</f>
        <v>TALLER SFT DE MECÁNICA AUTOMOTRIZ</v>
      </c>
      <c r="D21" s="213" t="str">
        <f>IFERROR(__xludf.DUMMYFUNCTION("""COMPUTED_VALUE"""),"HERRAMIENTAS")</f>
        <v>HERRAMIENTAS</v>
      </c>
      <c r="E21" s="213" t="str">
        <f>IFERROR(__xludf.DUMMYFUNCTION("""COMPUTED_VALUE"""),"COM-113")</f>
        <v>COM-113</v>
      </c>
      <c r="F21" s="213" t="str">
        <f>IFERROR(__xludf.DUMMYFUNCTION("""COMPUTED_VALUE"""),"COM-113")</f>
        <v>COM-113</v>
      </c>
      <c r="G21" s="213"/>
      <c r="H21" s="213" t="str">
        <f>IFERROR(__xludf.DUMMYFUNCTION("""COMPUTED_VALUE"""),"BANDEJA PARA RECOLECTAR ACEITE.")</f>
        <v>BANDEJA PARA RECOLECTAR ACEITE.</v>
      </c>
      <c r="I21" s="213" t="str">
        <f>IFERROR(__xludf.DUMMYFUNCTION("""COMPUTED_VALUE"""),"Bandeja para recolectar aceite usado y poder realizar el cambio de aceite de una manera limpia y cómoda, así también recolectar otros líquidos.
Capacidad: mínima de 16 litros.
Posee boquilla para vaciado sin derrames
Altura de la bandeja para colocar deba"&amp;"jo de la mayoría de los equipos es ≤ 150 mm Fabricado en polietileno, resistente a productos químicos.")</f>
        <v>Bandeja para recolectar aceite usado y poder realizar el cambio de aceite de una manera limpia y cómoda, así también recolectar otros líquidos.
Capacidad: mínima de 16 litros.
Posee boquilla para vaciado sin derrames
Altura de la bandeja para colocar debajo de la mayoría de los equipos es ≤ 150 mm Fabricado en polietileno, resistente a productos químicos.</v>
      </c>
      <c r="J21" s="213">
        <f>IFERROR(__xludf.DUMMYFUNCTION("""COMPUTED_VALUE"""),3.0)</f>
        <v>3</v>
      </c>
      <c r="K21" s="213" t="str">
        <f>IFERROR(__xludf.DUMMYFUNCTION("""COMPUTED_VALUE"""),"90 DÍAS CALENDARIO")</f>
        <v>90 DÍAS CALENDARIO</v>
      </c>
      <c r="L21" s="213" t="str">
        <f>IFERROR(__xludf.DUMMYFUNCTION("""COMPUTED_VALUE"""),"")</f>
        <v/>
      </c>
      <c r="M21" s="213">
        <f>IFERROR(__xludf.DUMMYFUNCTION("""COMPUTED_VALUE"""),1.0)</f>
        <v>1</v>
      </c>
      <c r="N21" s="213">
        <f>IFERROR(__xludf.DUMMYFUNCTION("""COMPUTED_VALUE"""),4.0)</f>
        <v>4</v>
      </c>
      <c r="O21" s="213">
        <f>IFERROR(__xludf.DUMMYFUNCTION("""COMPUTED_VALUE"""),4.0)</f>
        <v>4</v>
      </c>
      <c r="P21" s="213"/>
      <c r="Q21" s="213"/>
      <c r="R21" s="213" t="str">
        <f>IFERROR(__xludf.DUMMYFUNCTION("""COMPUTED_VALUE"""),"SI")</f>
        <v>SI</v>
      </c>
      <c r="S21" s="213"/>
      <c r="T21" s="213" t="str">
        <f>IFERROR(__xludf.DUMMYFUNCTION("""COMPUTED_VALUE"""),"CONSULTA FINAL")</f>
        <v>CONSULTA FINAL</v>
      </c>
      <c r="U21" s="213" t="str">
        <f>IFERROR(__xludf.DUMMYFUNCTION("""COMPUTED_VALUE"""),"NO")</f>
        <v>NO</v>
      </c>
      <c r="V21" s="213" t="str">
        <f>IFERROR(__xludf.DUMMYFUNCTION("""COMPUTED_VALUE"""),"SUSTENTO")</f>
        <v>SUSTENTO</v>
      </c>
      <c r="W21" s="213" t="str">
        <f>IFERROR(__xludf.DUMMYFUNCTION("""COMPUTED_VALUE"""),"DIMENSIONAL")</f>
        <v>DIMENSIONAL</v>
      </c>
      <c r="X21" s="213" t="str">
        <f>IFERROR(__xludf.DUMMYFUNCTION("""COMPUTED_VALUE"""),"GENERICO")</f>
        <v>GENERICO</v>
      </c>
      <c r="Y21" s="213" t="str">
        <f>IFERROR(__xludf.DUMMYFUNCTION("""COMPUTED_VALUE"""),"BT10733")</f>
        <v>BT10733</v>
      </c>
      <c r="Z21" s="215" t="str">
        <f>IFERROR(__xludf.DUMMYFUNCTION("""COMPUTED_VALUE"""),"https://www.bt-ingenieros.com/bandejas-vaciado-aceite/733-bandeja-recogedora-de-aceite-16-litros.html?srsltid=AfmBOoqpJPLJ-mNGsXyfwiuKfmUkRj3zXtkFVCEC4g_IWkkIwPvG-Bhm&amp;utm_source=chatgpt.com")</f>
        <v>https://www.bt-ingenieros.com/bandejas-vaciado-aceite/733-bandeja-recogedora-de-aceite-16-litros.html?srsltid=AfmBOoqpJPLJ-mNGsXyfwiuKfmUkRj3zXtkFVCEC4g_IWkkIwPvG-Bhm&amp;utm_source=chatgpt.com</v>
      </c>
      <c r="AA21" s="213" t="str">
        <f>IFERROR(__xludf.DUMMYFUNCTION("""COMPUTED_VALUE"""),"COM-113 BANDEJA PARA RECOLECTAR ACEITE - CET")</f>
        <v>COM-113 BANDEJA PARA RECOLECTAR ACEITE - CET</v>
      </c>
      <c r="AB21" s="215" t="str">
        <f>IFERROR(__xludf.DUMMYFUNCTION("""COMPUTED_VALUE"""),"https://drive.google.com/file/d/1I-KHY9gaaExZBBJjHGa0x5n389d3xnvC/view?usp=sharing")</f>
        <v>https://drive.google.com/file/d/1I-KHY9gaaExZBBJjHGa0x5n389d3xnvC/view?usp=sharing</v>
      </c>
      <c r="AC21" s="215" t="str">
        <f>IFERROR(__xludf.DUMMYFUNCTION("""COMPUTED_VALUE"""),"https://www.bt-ingenieros.com/bandejas-vaciado-aceite/733-bandeja-recogedora-de-aceite-16-litros.html?srsltid=AfmBOoqpJPLJ-mNGsXyfwiuKfmUkRj3zXtkFVCEC4g_IWkkIwPvG-Bhm&amp;utm_source=chatgpt.com")</f>
        <v>https://www.bt-ingenieros.com/bandejas-vaciado-aceite/733-bandeja-recogedora-de-aceite-16-litros.html?srsltid=AfmBOoqpJPLJ-mNGsXyfwiuKfmUkRj3zXtkFVCEC4g_IWkkIwPvG-Bhm&amp;utm_source=chatgpt.com</v>
      </c>
      <c r="AD21" s="213"/>
      <c r="AE21" s="213"/>
      <c r="AF21" s="213"/>
      <c r="AG21" s="213"/>
      <c r="AH21" s="213" t="str">
        <f>IFERROR(__xludf.DUMMYFUNCTION("""COMPUTED_VALUE"""),"IMPORTADO")</f>
        <v>IMPORTADO</v>
      </c>
      <c r="AI21" s="213"/>
      <c r="AJ21" s="213"/>
      <c r="AK21" s="213"/>
      <c r="AL21" s="213"/>
      <c r="AM21" s="213"/>
      <c r="AN21" s="213"/>
      <c r="AO21" s="213"/>
      <c r="AP21" s="213" t="str">
        <f>IFERROR(__xludf.DUMMYFUNCTION("""COMPUTED_VALUE"""),"LUIS")</f>
        <v>LUIS</v>
      </c>
      <c r="AQ21" s="213"/>
      <c r="AR21" s="213"/>
      <c r="AS21" s="213" t="str">
        <f>IFERROR(__xludf.DUMMYFUNCTION("""COMPUTED_VALUE"""),"La altura es mayor a la solicitada. Se pueden conseguir modelos más baratos.")</f>
        <v>La altura es mayor a la solicitada. Se pueden conseguir modelos más baratos.</v>
      </c>
      <c r="AT21" s="213"/>
      <c r="AU21" s="213"/>
      <c r="AV21" s="213"/>
      <c r="AW21" s="213"/>
      <c r="AX21" s="213"/>
      <c r="AY21" s="213"/>
      <c r="AZ21" s="213"/>
      <c r="BA21" s="213"/>
      <c r="BB21" s="213"/>
      <c r="BC21" s="213"/>
      <c r="BD21" s="213"/>
    </row>
    <row r="22">
      <c r="A22" s="213">
        <f>IFERROR(__xludf.DUMMYFUNCTION("""COMPUTED_VALUE"""),1577.0)</f>
        <v>1577</v>
      </c>
      <c r="B22" s="213" t="str">
        <f>IFERROR(__xludf.DUMMYFUNCTION("""COMPUTED_VALUE"""),"GUILLERMO E. BILLINGHURST ")</f>
        <v>GUILLERMO E. BILLINGHURST </v>
      </c>
      <c r="C22" s="213" t="str">
        <f>IFERROR(__xludf.DUMMYFUNCTION("""COMPUTED_VALUE"""),"TALLER SFT DE MECÁNICA AUTOMOTRIZ")</f>
        <v>TALLER SFT DE MECÁNICA AUTOMOTRIZ</v>
      </c>
      <c r="D22" s="213" t="str">
        <f>IFERROR(__xludf.DUMMYFUNCTION("""COMPUTED_VALUE"""),"HERRAMIENTAS")</f>
        <v>HERRAMIENTAS</v>
      </c>
      <c r="E22" s="213" t="str">
        <f>IFERROR(__xludf.DUMMYFUNCTION("""COMPUTED_VALUE"""),"COM-113")</f>
        <v>COM-113</v>
      </c>
      <c r="F22" s="213" t="str">
        <f>IFERROR(__xludf.DUMMYFUNCTION("""COMPUTED_VALUE"""),"COM-113")</f>
        <v>COM-113</v>
      </c>
      <c r="G22" s="213"/>
      <c r="H22" s="213" t="str">
        <f>IFERROR(__xludf.DUMMYFUNCTION("""COMPUTED_VALUE"""),"BANDEJA PARA RECOLECTAR ACEITE.")</f>
        <v>BANDEJA PARA RECOLECTAR ACEITE.</v>
      </c>
      <c r="I22" s="213" t="str">
        <f>IFERROR(__xludf.DUMMYFUNCTION("""COMPUTED_VALUE"""),"Bandeja para recolectar aceite usado y poder realizar el cambio de aceite de una manera limpia y cómoda, así también recolectar otros líquidos.
Capacidad: mínima de 16 litros.
Posee boquilla para vaciado sin derrames
Altura de la bandeja para colocar deba"&amp;"jo de la mayoría de los equipos es ≤ 150 mm Fabricado en polietileno, resistente a productos químicos.")</f>
        <v>Bandeja para recolectar aceite usado y poder realizar el cambio de aceite de una manera limpia y cómoda, así también recolectar otros líquidos.
Capacidad: mínima de 16 litros.
Posee boquilla para vaciado sin derrames
Altura de la bandeja para colocar debajo de la mayoría de los equipos es ≤ 150 mm Fabricado en polietileno, resistente a productos químicos.</v>
      </c>
      <c r="J22" s="213">
        <f>IFERROR(__xludf.DUMMYFUNCTION("""COMPUTED_VALUE"""),3.0)</f>
        <v>3</v>
      </c>
      <c r="K22" s="213" t="str">
        <f>IFERROR(__xludf.DUMMYFUNCTION("""COMPUTED_VALUE"""),"90 DÍAS CALENDARIO")</f>
        <v>90 DÍAS CALENDARIO</v>
      </c>
      <c r="L22" s="213" t="str">
        <f>IFERROR(__xludf.DUMMYFUNCTION("""COMPUTED_VALUE"""),"")</f>
        <v/>
      </c>
      <c r="M22" s="213">
        <f>IFERROR(__xludf.DUMMYFUNCTION("""COMPUTED_VALUE"""),1.0)</f>
        <v>1</v>
      </c>
      <c r="N22" s="213">
        <f>IFERROR(__xludf.DUMMYFUNCTION("""COMPUTED_VALUE"""),4.0)</f>
        <v>4</v>
      </c>
      <c r="O22" s="213">
        <f>IFERROR(__xludf.DUMMYFUNCTION("""COMPUTED_VALUE"""),4.0)</f>
        <v>4</v>
      </c>
      <c r="P22" s="213"/>
      <c r="Q22" s="213"/>
      <c r="R22" s="213" t="str">
        <f>IFERROR(__xludf.DUMMYFUNCTION("""COMPUTED_VALUE"""),"SI")</f>
        <v>SI</v>
      </c>
      <c r="S22" s="213"/>
      <c r="T22" s="213" t="str">
        <f>IFERROR(__xludf.DUMMYFUNCTION("""COMPUTED_VALUE"""),"CONSULTA FINAL")</f>
        <v>CONSULTA FINAL</v>
      </c>
      <c r="U22" s="213" t="str">
        <f>IFERROR(__xludf.DUMMYFUNCTION("""COMPUTED_VALUE"""),"NO")</f>
        <v>NO</v>
      </c>
      <c r="V22" s="213" t="str">
        <f>IFERROR(__xludf.DUMMYFUNCTION("""COMPUTED_VALUE"""),"SUSTENTO")</f>
        <v>SUSTENTO</v>
      </c>
      <c r="W22" s="213" t="str">
        <f>IFERROR(__xludf.DUMMYFUNCTION("""COMPUTED_VALUE"""),"DIMENSIONAL")</f>
        <v>DIMENSIONAL</v>
      </c>
      <c r="X22" s="213" t="str">
        <f>IFERROR(__xludf.DUMMYFUNCTION("""COMPUTED_VALUE"""),"GENERICO")</f>
        <v>GENERICO</v>
      </c>
      <c r="Y22" s="213" t="str">
        <f>IFERROR(__xludf.DUMMYFUNCTION("""COMPUTED_VALUE"""),"BT10734")</f>
        <v>BT10734</v>
      </c>
      <c r="Z22" s="215" t="str">
        <f>IFERROR(__xludf.DUMMYFUNCTION("""COMPUTED_VALUE"""),"https://www.bt-ingenieros.com/bandejas-vaciado-aceite/733-bandeja-recogedora-de-aceite-16-litros.html?srsltid=AfmBOoqpJPLJ-mNGsXyfwiuKfmUkRj3zXtkFVCEC4g_IWkkIwPvG-Bhm&amp;utm_source=chatgpt.com")</f>
        <v>https://www.bt-ingenieros.com/bandejas-vaciado-aceite/733-bandeja-recogedora-de-aceite-16-litros.html?srsltid=AfmBOoqpJPLJ-mNGsXyfwiuKfmUkRj3zXtkFVCEC4g_IWkkIwPvG-Bhm&amp;utm_source=chatgpt.com</v>
      </c>
      <c r="AA22" s="213" t="str">
        <f>IFERROR(__xludf.DUMMYFUNCTION("""COMPUTED_VALUE"""),"COM-113 BANDEJA PARA RECOLECTAR ACEITE - CET")</f>
        <v>COM-113 BANDEJA PARA RECOLECTAR ACEITE - CET</v>
      </c>
      <c r="AB22" s="215" t="str">
        <f>IFERROR(__xludf.DUMMYFUNCTION("""COMPUTED_VALUE"""),"https://drive.google.com/file/d/1I-KHY9gaaExZBBJjHGa0x5n389d3xnvC/view?usp=sharing")</f>
        <v>https://drive.google.com/file/d/1I-KHY9gaaExZBBJjHGa0x5n389d3xnvC/view?usp=sharing</v>
      </c>
      <c r="AC22" s="215" t="str">
        <f>IFERROR(__xludf.DUMMYFUNCTION("""COMPUTED_VALUE"""),"https://www.bt-ingenieros.com/bandejas-vaciado-aceite/733-bandeja-recogedora-de-aceite-16-litros.html?srsltid=AfmBOoqpJPLJ-mNGsXyfwiuKfmUkRj3zXtkFVCEC4g_IWkkIwPvG-Bhm&amp;utm_source=chatgpt.com")</f>
        <v>https://www.bt-ingenieros.com/bandejas-vaciado-aceite/733-bandeja-recogedora-de-aceite-16-litros.html?srsltid=AfmBOoqpJPLJ-mNGsXyfwiuKfmUkRj3zXtkFVCEC4g_IWkkIwPvG-Bhm&amp;utm_source=chatgpt.com</v>
      </c>
      <c r="AD22" s="213"/>
      <c r="AE22" s="213"/>
      <c r="AF22" s="213"/>
      <c r="AG22" s="213"/>
      <c r="AH22" s="213" t="str">
        <f>IFERROR(__xludf.DUMMYFUNCTION("""COMPUTED_VALUE"""),"IMPORTADO")</f>
        <v>IMPORTADO</v>
      </c>
      <c r="AI22" s="213"/>
      <c r="AJ22" s="213"/>
      <c r="AK22" s="213"/>
      <c r="AL22" s="213"/>
      <c r="AM22" s="213"/>
      <c r="AN22" s="213"/>
      <c r="AO22" s="213"/>
      <c r="AP22" s="213" t="str">
        <f>IFERROR(__xludf.DUMMYFUNCTION("""COMPUTED_VALUE"""),"LUIS")</f>
        <v>LUIS</v>
      </c>
      <c r="AQ22" s="213"/>
      <c r="AR22" s="213"/>
      <c r="AS22" s="213" t="str">
        <f>IFERROR(__xludf.DUMMYFUNCTION("""COMPUTED_VALUE"""),"La altura es mayor a la solicitada. Se pueden conseguir modelos más baratos.")</f>
        <v>La altura es mayor a la solicitada. Se pueden conseguir modelos más baratos.</v>
      </c>
      <c r="AT22" s="213"/>
      <c r="AU22" s="213"/>
      <c r="AV22" s="213"/>
      <c r="AW22" s="213"/>
      <c r="AX22" s="213"/>
      <c r="AY22" s="213"/>
      <c r="AZ22" s="213"/>
      <c r="BA22" s="213"/>
      <c r="BB22" s="213"/>
      <c r="BC22" s="213"/>
      <c r="BD22" s="213"/>
    </row>
    <row r="23">
      <c r="A23" s="213">
        <f>IFERROR(__xludf.DUMMYFUNCTION("""COMPUTED_VALUE"""),2269.0)</f>
        <v>2269</v>
      </c>
      <c r="B23" s="213" t="str">
        <f>IFERROR(__xludf.DUMMYFUNCTION("""COMPUTED_VALUE"""),"JOSE GRANDA")</f>
        <v>JOSE GRANDA</v>
      </c>
      <c r="C23" s="213" t="str">
        <f>IFERROR(__xludf.DUMMYFUNCTION("""COMPUTED_VALUE"""),"TALLER SFT DE MECÁNICA AUTOMOTRIZ")</f>
        <v>TALLER SFT DE MECÁNICA AUTOMOTRIZ</v>
      </c>
      <c r="D23" s="213" t="str">
        <f>IFERROR(__xludf.DUMMYFUNCTION("""COMPUTED_VALUE"""),"HERRAMIENTAS")</f>
        <v>HERRAMIENTAS</v>
      </c>
      <c r="E23" s="213" t="str">
        <f>IFERROR(__xludf.DUMMYFUNCTION("""COMPUTED_VALUE"""),"COM-113")</f>
        <v>COM-113</v>
      </c>
      <c r="F23" s="213" t="str">
        <f>IFERROR(__xludf.DUMMYFUNCTION("""COMPUTED_VALUE"""),"COM-113")</f>
        <v>COM-113</v>
      </c>
      <c r="G23" s="213"/>
      <c r="H23" s="213" t="str">
        <f>IFERROR(__xludf.DUMMYFUNCTION("""COMPUTED_VALUE"""),"BANDEJA PARA RECOLECTAR ACEITE.")</f>
        <v>BANDEJA PARA RECOLECTAR ACEITE.</v>
      </c>
      <c r="I23" s="213" t="str">
        <f>IFERROR(__xludf.DUMMYFUNCTION("""COMPUTED_VALUE"""),"Bandeja para recolectar aceite usado y poder realizar el cambio de aceite de una manera limpia y cómoda, así también recolectar otros líquidos.
Capacidad: mínima de 16 litros.
Posee boquilla para vaciado sin derrames
Altura de la bandeja para colocar deba"&amp;"jo de la mayoría de los equipos es ≤ 150 mm Fabricado en polietileno, resistente a productos químicos.")</f>
        <v>Bandeja para recolectar aceite usado y poder realizar el cambio de aceite de una manera limpia y cómoda, así también recolectar otros líquidos.
Capacidad: mínima de 16 litros.
Posee boquilla para vaciado sin derrames
Altura de la bandeja para colocar debajo de la mayoría de los equipos es ≤ 150 mm Fabricado en polietileno, resistente a productos químicos.</v>
      </c>
      <c r="J23" s="213">
        <f>IFERROR(__xludf.DUMMYFUNCTION("""COMPUTED_VALUE"""),3.0)</f>
        <v>3</v>
      </c>
      <c r="K23" s="213" t="str">
        <f>IFERROR(__xludf.DUMMYFUNCTION("""COMPUTED_VALUE"""),"90 DÍAS CALENDARIO")</f>
        <v>90 DÍAS CALENDARIO</v>
      </c>
      <c r="L23" s="213" t="str">
        <f>IFERROR(__xludf.DUMMYFUNCTION("""COMPUTED_VALUE"""),"")</f>
        <v/>
      </c>
      <c r="M23" s="213">
        <f>IFERROR(__xludf.DUMMYFUNCTION("""COMPUTED_VALUE"""),1.0)</f>
        <v>1</v>
      </c>
      <c r="N23" s="213">
        <f>IFERROR(__xludf.DUMMYFUNCTION("""COMPUTED_VALUE"""),4.0)</f>
        <v>4</v>
      </c>
      <c r="O23" s="213">
        <f>IFERROR(__xludf.DUMMYFUNCTION("""COMPUTED_VALUE"""),4.0)</f>
        <v>4</v>
      </c>
      <c r="P23" s="213"/>
      <c r="Q23" s="213"/>
      <c r="R23" s="213" t="str">
        <f>IFERROR(__xludf.DUMMYFUNCTION("""COMPUTED_VALUE"""),"SI")</f>
        <v>SI</v>
      </c>
      <c r="S23" s="213"/>
      <c r="T23" s="213" t="str">
        <f>IFERROR(__xludf.DUMMYFUNCTION("""COMPUTED_VALUE"""),"CONSULTA FINAL")</f>
        <v>CONSULTA FINAL</v>
      </c>
      <c r="U23" s="213" t="str">
        <f>IFERROR(__xludf.DUMMYFUNCTION("""COMPUTED_VALUE"""),"NO")</f>
        <v>NO</v>
      </c>
      <c r="V23" s="213" t="str">
        <f>IFERROR(__xludf.DUMMYFUNCTION("""COMPUTED_VALUE"""),"SUSTENTO")</f>
        <v>SUSTENTO</v>
      </c>
      <c r="W23" s="213" t="str">
        <f>IFERROR(__xludf.DUMMYFUNCTION("""COMPUTED_VALUE"""),"DIMENSIONAL")</f>
        <v>DIMENSIONAL</v>
      </c>
      <c r="X23" s="213" t="str">
        <f>IFERROR(__xludf.DUMMYFUNCTION("""COMPUTED_VALUE"""),"GENERICO")</f>
        <v>GENERICO</v>
      </c>
      <c r="Y23" s="213" t="str">
        <f>IFERROR(__xludf.DUMMYFUNCTION("""COMPUTED_VALUE"""),"BT10735")</f>
        <v>BT10735</v>
      </c>
      <c r="Z23" s="215" t="str">
        <f>IFERROR(__xludf.DUMMYFUNCTION("""COMPUTED_VALUE"""),"https://www.bt-ingenieros.com/bandejas-vaciado-aceite/733-bandeja-recogedora-de-aceite-16-litros.html?srsltid=AfmBOoqpJPLJ-mNGsXyfwiuKfmUkRj3zXtkFVCEC4g_IWkkIwPvG-Bhm&amp;utm_source=chatgpt.com")</f>
        <v>https://www.bt-ingenieros.com/bandejas-vaciado-aceite/733-bandeja-recogedora-de-aceite-16-litros.html?srsltid=AfmBOoqpJPLJ-mNGsXyfwiuKfmUkRj3zXtkFVCEC4g_IWkkIwPvG-Bhm&amp;utm_source=chatgpt.com</v>
      </c>
      <c r="AA23" s="213" t="str">
        <f>IFERROR(__xludf.DUMMYFUNCTION("""COMPUTED_VALUE"""),"COM-113 BANDEJA PARA RECOLECTAR ACEITE - CET")</f>
        <v>COM-113 BANDEJA PARA RECOLECTAR ACEITE - CET</v>
      </c>
      <c r="AB23" s="215" t="str">
        <f>IFERROR(__xludf.DUMMYFUNCTION("""COMPUTED_VALUE"""),"https://drive.google.com/file/d/1I-KHY9gaaExZBBJjHGa0x5n389d3xnvC/view?usp=sharing")</f>
        <v>https://drive.google.com/file/d/1I-KHY9gaaExZBBJjHGa0x5n389d3xnvC/view?usp=sharing</v>
      </c>
      <c r="AC23" s="215" t="str">
        <f>IFERROR(__xludf.DUMMYFUNCTION("""COMPUTED_VALUE"""),"https://www.bt-ingenieros.com/bandejas-vaciado-aceite/733-bandeja-recogedora-de-aceite-16-litros.html?srsltid=AfmBOoqpJPLJ-mNGsXyfwiuKfmUkRj3zXtkFVCEC4g_IWkkIwPvG-Bhm&amp;utm_source=chatgpt.com")</f>
        <v>https://www.bt-ingenieros.com/bandejas-vaciado-aceite/733-bandeja-recogedora-de-aceite-16-litros.html?srsltid=AfmBOoqpJPLJ-mNGsXyfwiuKfmUkRj3zXtkFVCEC4g_IWkkIwPvG-Bhm&amp;utm_source=chatgpt.com</v>
      </c>
      <c r="AD23" s="213"/>
      <c r="AE23" s="213"/>
      <c r="AF23" s="213"/>
      <c r="AG23" s="213"/>
      <c r="AH23" s="213" t="str">
        <f>IFERROR(__xludf.DUMMYFUNCTION("""COMPUTED_VALUE"""),"IMPORTADO")</f>
        <v>IMPORTADO</v>
      </c>
      <c r="AI23" s="213"/>
      <c r="AJ23" s="213"/>
      <c r="AK23" s="213"/>
      <c r="AL23" s="213"/>
      <c r="AM23" s="213"/>
      <c r="AN23" s="213"/>
      <c r="AO23" s="213"/>
      <c r="AP23" s="213" t="str">
        <f>IFERROR(__xludf.DUMMYFUNCTION("""COMPUTED_VALUE"""),"LUIS")</f>
        <v>LUIS</v>
      </c>
      <c r="AQ23" s="213"/>
      <c r="AR23" s="213"/>
      <c r="AS23" s="213" t="str">
        <f>IFERROR(__xludf.DUMMYFUNCTION("""COMPUTED_VALUE"""),"La altura es mayor a la solicitada. Se pueden conseguir modelos más baratos.")</f>
        <v>La altura es mayor a la solicitada. Se pueden conseguir modelos más baratos.</v>
      </c>
      <c r="AT23" s="213"/>
      <c r="AU23" s="213"/>
      <c r="AV23" s="213"/>
      <c r="AW23" s="213"/>
      <c r="AX23" s="213"/>
      <c r="AY23" s="213"/>
      <c r="AZ23" s="213"/>
      <c r="BA23" s="213"/>
      <c r="BB23" s="213"/>
      <c r="BC23" s="213"/>
      <c r="BD23" s="213"/>
    </row>
    <row r="24">
      <c r="A24" s="213">
        <f>IFERROR(__xludf.DUMMYFUNCTION("""COMPUTED_VALUE"""),442.0)</f>
        <v>442</v>
      </c>
      <c r="B24" s="213" t="str">
        <f>IFERROR(__xludf.DUMMYFUNCTION("""COMPUTED_VALUE"""),"2026 SIMON BOLIVAR")</f>
        <v>2026 SIMON BOLIVAR</v>
      </c>
      <c r="C24" s="213" t="str">
        <f>IFERROR(__xludf.DUMMYFUNCTION("""COMPUTED_VALUE"""),"TALLER SFT DE INDUSTRIA ALIMENTARIA")</f>
        <v>TALLER SFT DE INDUSTRIA ALIMENTARIA</v>
      </c>
      <c r="D24" s="213" t="str">
        <f>IFERROR(__xludf.DUMMYFUNCTION("""COMPUTED_VALUE"""),"HERRAMIENTAS")</f>
        <v>HERRAMIENTAS</v>
      </c>
      <c r="E24" s="213" t="str">
        <f>IFERROR(__xludf.DUMMYFUNCTION("""COMPUTED_VALUE"""),"COM-114")</f>
        <v>COM-114</v>
      </c>
      <c r="F24" s="213" t="str">
        <f>IFERROR(__xludf.DUMMYFUNCTION("""COMPUTED_VALUE"""),"COM-114")</f>
        <v>COM-114</v>
      </c>
      <c r="G24" s="213"/>
      <c r="H24" s="213" t="str">
        <f>IFERROR(__xludf.DUMMYFUNCTION("""COMPUTED_VALUE"""),"BANDEJA BAGUETERA")</f>
        <v>BANDEJA BAGUETERA</v>
      </c>
      <c r="I24"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24" s="213">
        <f>IFERROR(__xludf.DUMMYFUNCTION("""COMPUTED_VALUE"""),3.0)</f>
        <v>3</v>
      </c>
      <c r="K24" s="213" t="str">
        <f>IFERROR(__xludf.DUMMYFUNCTION("""COMPUTED_VALUE"""),"90 DÍAS CALENDARIO")</f>
        <v>90 DÍAS CALENDARIO</v>
      </c>
      <c r="L24" s="213" t="str">
        <f>IFERROR(__xludf.DUMMYFUNCTION("""COMPUTED_VALUE"""),"")</f>
        <v/>
      </c>
      <c r="M24" s="213">
        <f>IFERROR(__xludf.DUMMYFUNCTION("""COMPUTED_VALUE"""),1.0)</f>
        <v>1</v>
      </c>
      <c r="N24" s="213">
        <f>IFERROR(__xludf.DUMMYFUNCTION("""COMPUTED_VALUE"""),5.0)</f>
        <v>5</v>
      </c>
      <c r="O24" s="213">
        <f>IFERROR(__xludf.DUMMYFUNCTION("""COMPUTED_VALUE"""),5.0)</f>
        <v>5</v>
      </c>
      <c r="P24" s="213"/>
      <c r="Q24" s="213"/>
      <c r="R24" s="213"/>
      <c r="S24" s="213"/>
      <c r="T24" s="213" t="str">
        <f>IFERROR(__xludf.DUMMYFUNCTION("""COMPUTED_VALUE"""),"CONSULTA FINAL")</f>
        <v>CONSULTA FINAL</v>
      </c>
      <c r="U24" s="213" t="str">
        <f>IFERROR(__xludf.DUMMYFUNCTION("""COMPUTED_VALUE"""),"NO")</f>
        <v>NO</v>
      </c>
      <c r="V24" s="213" t="str">
        <f>IFERROR(__xludf.DUMMYFUNCTION("""COMPUTED_VALUE"""),"NO")</f>
        <v>NO</v>
      </c>
      <c r="W24" s="213" t="str">
        <f>IFERROR(__xludf.DUMMYFUNCTION("""COMPUTED_VALUE"""),"EQU TEC")</f>
        <v>EQU TEC</v>
      </c>
      <c r="X24" s="213" t="str">
        <f>IFERROR(__xludf.DUMMYFUNCTION("""COMPUTED_VALUE"""),"Grupo Nova")</f>
        <v>Grupo Nova</v>
      </c>
      <c r="Y24" s="213" t="str">
        <f>IFERROR(__xludf.DUMMYFUNCTION("""COMPUTED_VALUE"""),"Bandeja Baguetera 65x45 Cm Aluminio 1.0 Mm")</f>
        <v>Bandeja Baguetera 65x45 Cm Aluminio 1.0 Mm</v>
      </c>
      <c r="Z24" s="215" t="str">
        <f>IFERROR(__xludf.DUMMYFUNCTION("""COMPUTED_VALUE"""),"https://www.gruponova.pe/products/bandeja-baguetera-65-x-45-cm-aluminio-1-0-mm?srsltid=AfmBOoqOwV7_WIbUufTObIZ8D2cjVsg3Rb8rq9_NE7ZV8Lr0Oxj6_bjO")</f>
        <v>https://www.gruponova.pe/products/bandeja-baguetera-65-x-45-cm-aluminio-1-0-mm?srsltid=AfmBOoqOwV7_WIbUufTObIZ8D2cjVsg3Rb8rq9_NE7ZV8Lr0Oxj6_bjO</v>
      </c>
      <c r="AA24" s="213" t="str">
        <f>IFERROR(__xludf.DUMMYFUNCTION("""COMPUTED_VALUE"""),"COM-114 BANDEJA BAGUETERA - CET")</f>
        <v>COM-114 BANDEJA BAGUETERA - CET</v>
      </c>
      <c r="AB24" s="213"/>
      <c r="AC24" s="213"/>
      <c r="AD24" s="213"/>
      <c r="AE24" s="213"/>
      <c r="AF24" s="213"/>
      <c r="AG24" s="213"/>
      <c r="AH24" s="213"/>
      <c r="AI24" s="213"/>
      <c r="AJ24" s="213"/>
      <c r="AK24" s="213"/>
      <c r="AL24" s="213"/>
      <c r="AM24" s="213"/>
      <c r="AN24" s="213"/>
      <c r="AO24" s="213"/>
      <c r="AP24" s="213" t="str">
        <f>IFERROR(__xludf.DUMMYFUNCTION("""COMPUTED_VALUE"""),"BRUNO")</f>
        <v>BRUNO</v>
      </c>
      <c r="AQ24" s="213"/>
      <c r="AR24" s="213"/>
      <c r="AS24" s="213"/>
      <c r="AT24" s="213"/>
      <c r="AU24" s="213"/>
      <c r="AV24" s="213"/>
      <c r="AW24" s="213"/>
      <c r="AX24" s="213"/>
      <c r="AY24" s="213"/>
      <c r="AZ24" s="213"/>
      <c r="BA24" s="213"/>
      <c r="BB24" s="213"/>
      <c r="BC24" s="213"/>
      <c r="BD24" s="213"/>
    </row>
    <row r="25">
      <c r="A25" s="213">
        <f>IFERROR(__xludf.DUMMYFUNCTION("""COMPUTED_VALUE"""),1072.0)</f>
        <v>1072</v>
      </c>
      <c r="B25" s="213" t="str">
        <f>IFERROR(__xludf.DUMMYFUNCTION("""COMPUTED_VALUE"""),"FRANCISCO IRAZOLA")</f>
        <v>FRANCISCO IRAZOLA</v>
      </c>
      <c r="C25" s="213" t="str">
        <f>IFERROR(__xludf.DUMMYFUNCTION("""COMPUTED_VALUE"""),"TALLER SFT DE INDUSTRIA ALIMENTARIA")</f>
        <v>TALLER SFT DE INDUSTRIA ALIMENTARIA</v>
      </c>
      <c r="D25" s="213" t="str">
        <f>IFERROR(__xludf.DUMMYFUNCTION("""COMPUTED_VALUE"""),"HERRAMIENTAS")</f>
        <v>HERRAMIENTAS</v>
      </c>
      <c r="E25" s="213" t="str">
        <f>IFERROR(__xludf.DUMMYFUNCTION("""COMPUTED_VALUE"""),"COM-114")</f>
        <v>COM-114</v>
      </c>
      <c r="F25" s="213" t="str">
        <f>IFERROR(__xludf.DUMMYFUNCTION("""COMPUTED_VALUE"""),"COM-114")</f>
        <v>COM-114</v>
      </c>
      <c r="G25" s="213"/>
      <c r="H25" s="213" t="str">
        <f>IFERROR(__xludf.DUMMYFUNCTION("""COMPUTED_VALUE"""),"BANDEJA BAGUETERA")</f>
        <v>BANDEJA BAGUETERA</v>
      </c>
      <c r="I25"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25" s="213">
        <f>IFERROR(__xludf.DUMMYFUNCTION("""COMPUTED_VALUE"""),3.0)</f>
        <v>3</v>
      </c>
      <c r="K25" s="213" t="str">
        <f>IFERROR(__xludf.DUMMYFUNCTION("""COMPUTED_VALUE"""),"90 DÍAS CALENDARIO")</f>
        <v>90 DÍAS CALENDARIO</v>
      </c>
      <c r="L25" s="213" t="str">
        <f>IFERROR(__xludf.DUMMYFUNCTION("""COMPUTED_VALUE"""),"")</f>
        <v/>
      </c>
      <c r="M25" s="213">
        <f>IFERROR(__xludf.DUMMYFUNCTION("""COMPUTED_VALUE"""),1.0)</f>
        <v>1</v>
      </c>
      <c r="N25" s="213">
        <f>IFERROR(__xludf.DUMMYFUNCTION("""COMPUTED_VALUE"""),5.0)</f>
        <v>5</v>
      </c>
      <c r="O25" s="213">
        <f>IFERROR(__xludf.DUMMYFUNCTION("""COMPUTED_VALUE"""),5.0)</f>
        <v>5</v>
      </c>
      <c r="P25" s="213"/>
      <c r="Q25" s="213"/>
      <c r="R25" s="213"/>
      <c r="S25" s="213"/>
      <c r="T25" s="213" t="str">
        <f>IFERROR(__xludf.DUMMYFUNCTION("""COMPUTED_VALUE"""),"CONSULTA FINAL")</f>
        <v>CONSULTA FINAL</v>
      </c>
      <c r="U25" s="213" t="str">
        <f>IFERROR(__xludf.DUMMYFUNCTION("""COMPUTED_VALUE"""),"NO")</f>
        <v>NO</v>
      </c>
      <c r="V25" s="213" t="str">
        <f>IFERROR(__xludf.DUMMYFUNCTION("""COMPUTED_VALUE"""),"NO")</f>
        <v>NO</v>
      </c>
      <c r="W25" s="213" t="str">
        <f>IFERROR(__xludf.DUMMYFUNCTION("""COMPUTED_VALUE"""),"EQU TEC")</f>
        <v>EQU TEC</v>
      </c>
      <c r="X25" s="213" t="str">
        <f>IFERROR(__xludf.DUMMYFUNCTION("""COMPUTED_VALUE"""),"Grupo Nova")</f>
        <v>Grupo Nova</v>
      </c>
      <c r="Y25" s="213" t="str">
        <f>IFERROR(__xludf.DUMMYFUNCTION("""COMPUTED_VALUE"""),"Bandeja Baguetera 65x45 Cm Aluminio 1.0 Mm")</f>
        <v>Bandeja Baguetera 65x45 Cm Aluminio 1.0 Mm</v>
      </c>
      <c r="Z25" s="215" t="str">
        <f>IFERROR(__xludf.DUMMYFUNCTION("""COMPUTED_VALUE"""),"https://www.gruponova.pe/products/bandeja-baguetera-65-x-45-cm-aluminio-1-0-mm?srsltid=AfmBOoqOwV7_WIbUufTObIZ8D2cjVsg3Rb8rq9_NE7ZV8Lr0Oxj6_bjO")</f>
        <v>https://www.gruponova.pe/products/bandeja-baguetera-65-x-45-cm-aluminio-1-0-mm?srsltid=AfmBOoqOwV7_WIbUufTObIZ8D2cjVsg3Rb8rq9_NE7ZV8Lr0Oxj6_bjO</v>
      </c>
      <c r="AA25" s="213" t="str">
        <f>IFERROR(__xludf.DUMMYFUNCTION("""COMPUTED_VALUE"""),"COM-114 BANDEJA BAGUETERA - CET")</f>
        <v>COM-114 BANDEJA BAGUETERA - CET</v>
      </c>
      <c r="AB25" s="213"/>
      <c r="AC25" s="213"/>
      <c r="AD25" s="213"/>
      <c r="AE25" s="213"/>
      <c r="AF25" s="213"/>
      <c r="AG25" s="213"/>
      <c r="AH25" s="213"/>
      <c r="AI25" s="213"/>
      <c r="AJ25" s="213"/>
      <c r="AK25" s="213"/>
      <c r="AL25" s="213"/>
      <c r="AM25" s="213"/>
      <c r="AN25" s="213"/>
      <c r="AO25" s="213"/>
      <c r="AP25" s="213" t="str">
        <f>IFERROR(__xludf.DUMMYFUNCTION("""COMPUTED_VALUE"""),"BRUNO")</f>
        <v>BRUNO</v>
      </c>
      <c r="AQ25" s="213"/>
      <c r="AR25" s="213"/>
      <c r="AS25" s="213"/>
      <c r="AT25" s="213"/>
      <c r="AU25" s="213"/>
      <c r="AV25" s="213"/>
      <c r="AW25" s="213"/>
      <c r="AX25" s="213"/>
      <c r="AY25" s="213"/>
      <c r="AZ25" s="213"/>
      <c r="BA25" s="213"/>
      <c r="BB25" s="213"/>
      <c r="BC25" s="213"/>
      <c r="BD25" s="213"/>
    </row>
    <row r="26">
      <c r="A26" s="213">
        <f>IFERROR(__xludf.DUMMYFUNCTION("""COMPUTED_VALUE"""),1348.0)</f>
        <v>1348</v>
      </c>
      <c r="B26" s="213" t="str">
        <f>IFERROR(__xludf.DUMMYFUNCTION("""COMPUTED_VALUE"""),"GUILLERMO E. BILLINGHURST ")</f>
        <v>GUILLERMO E. BILLINGHURST </v>
      </c>
      <c r="C26" s="213" t="str">
        <f>IFERROR(__xludf.DUMMYFUNCTION("""COMPUTED_VALUE"""),"TALLER SFT DE INDUSTRIA ALIMENTARIA")</f>
        <v>TALLER SFT DE INDUSTRIA ALIMENTARIA</v>
      </c>
      <c r="D26" s="213" t="str">
        <f>IFERROR(__xludf.DUMMYFUNCTION("""COMPUTED_VALUE"""),"HERRAMIENTAS")</f>
        <v>HERRAMIENTAS</v>
      </c>
      <c r="E26" s="213" t="str">
        <f>IFERROR(__xludf.DUMMYFUNCTION("""COMPUTED_VALUE"""),"COM-114")</f>
        <v>COM-114</v>
      </c>
      <c r="F26" s="213" t="str">
        <f>IFERROR(__xludf.DUMMYFUNCTION("""COMPUTED_VALUE"""),"COM-114")</f>
        <v>COM-114</v>
      </c>
      <c r="G26" s="213"/>
      <c r="H26" s="213" t="str">
        <f>IFERROR(__xludf.DUMMYFUNCTION("""COMPUTED_VALUE"""),"BANDEJA BAGUETERA")</f>
        <v>BANDEJA BAGUETERA</v>
      </c>
      <c r="I26"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26" s="213">
        <f>IFERROR(__xludf.DUMMYFUNCTION("""COMPUTED_VALUE"""),3.0)</f>
        <v>3</v>
      </c>
      <c r="K26" s="213" t="str">
        <f>IFERROR(__xludf.DUMMYFUNCTION("""COMPUTED_VALUE"""),"90 DÍAS CALENDARIO")</f>
        <v>90 DÍAS CALENDARIO</v>
      </c>
      <c r="L26" s="213" t="str">
        <f>IFERROR(__xludf.DUMMYFUNCTION("""COMPUTED_VALUE"""),"")</f>
        <v/>
      </c>
      <c r="M26" s="213">
        <f>IFERROR(__xludf.DUMMYFUNCTION("""COMPUTED_VALUE"""),1.0)</f>
        <v>1</v>
      </c>
      <c r="N26" s="213">
        <f>IFERROR(__xludf.DUMMYFUNCTION("""COMPUTED_VALUE"""),5.0)</f>
        <v>5</v>
      </c>
      <c r="O26" s="213">
        <f>IFERROR(__xludf.DUMMYFUNCTION("""COMPUTED_VALUE"""),5.0)</f>
        <v>5</v>
      </c>
      <c r="P26" s="213"/>
      <c r="Q26" s="213"/>
      <c r="R26" s="213"/>
      <c r="S26" s="213"/>
      <c r="T26" s="213" t="str">
        <f>IFERROR(__xludf.DUMMYFUNCTION("""COMPUTED_VALUE"""),"CONSULTA FINAL")</f>
        <v>CONSULTA FINAL</v>
      </c>
      <c r="U26" s="213" t="str">
        <f>IFERROR(__xludf.DUMMYFUNCTION("""COMPUTED_VALUE"""),"NO")</f>
        <v>NO</v>
      </c>
      <c r="V26" s="213" t="str">
        <f>IFERROR(__xludf.DUMMYFUNCTION("""COMPUTED_VALUE"""),"NO")</f>
        <v>NO</v>
      </c>
      <c r="W26" s="213" t="str">
        <f>IFERROR(__xludf.DUMMYFUNCTION("""COMPUTED_VALUE"""),"EQU TEC")</f>
        <v>EQU TEC</v>
      </c>
      <c r="X26" s="213" t="str">
        <f>IFERROR(__xludf.DUMMYFUNCTION("""COMPUTED_VALUE"""),"Grupo Nova")</f>
        <v>Grupo Nova</v>
      </c>
      <c r="Y26" s="213" t="str">
        <f>IFERROR(__xludf.DUMMYFUNCTION("""COMPUTED_VALUE"""),"Bandeja Baguetera 65x45 Cm Aluminio 1.0 Mm")</f>
        <v>Bandeja Baguetera 65x45 Cm Aluminio 1.0 Mm</v>
      </c>
      <c r="Z26" s="215" t="str">
        <f>IFERROR(__xludf.DUMMYFUNCTION("""COMPUTED_VALUE"""),"https://www.gruponova.pe/products/bandeja-baguetera-65-x-45-cm-aluminio-1-0-mm?srsltid=AfmBOoqOwV7_WIbUufTObIZ8D2cjVsg3Rb8rq9_NE7ZV8Lr0Oxj6_bjO")</f>
        <v>https://www.gruponova.pe/products/bandeja-baguetera-65-x-45-cm-aluminio-1-0-mm?srsltid=AfmBOoqOwV7_WIbUufTObIZ8D2cjVsg3Rb8rq9_NE7ZV8Lr0Oxj6_bjO</v>
      </c>
      <c r="AA26" s="213" t="str">
        <f>IFERROR(__xludf.DUMMYFUNCTION("""COMPUTED_VALUE"""),"COM-114 BANDEJA BAGUETERA - CET")</f>
        <v>COM-114 BANDEJA BAGUETERA - CET</v>
      </c>
      <c r="AB26" s="213"/>
      <c r="AC26" s="213"/>
      <c r="AD26" s="213"/>
      <c r="AE26" s="213"/>
      <c r="AF26" s="213"/>
      <c r="AG26" s="213"/>
      <c r="AH26" s="213"/>
      <c r="AI26" s="213"/>
      <c r="AJ26" s="213"/>
      <c r="AK26" s="213"/>
      <c r="AL26" s="213"/>
      <c r="AM26" s="213"/>
      <c r="AN26" s="213"/>
      <c r="AO26" s="213"/>
      <c r="AP26" s="213" t="str">
        <f>IFERROR(__xludf.DUMMYFUNCTION("""COMPUTED_VALUE"""),"BRUNO")</f>
        <v>BRUNO</v>
      </c>
      <c r="AQ26" s="213"/>
      <c r="AR26" s="213"/>
      <c r="AS26" s="213"/>
      <c r="AT26" s="213"/>
      <c r="AU26" s="213"/>
      <c r="AV26" s="213"/>
      <c r="AW26" s="213"/>
      <c r="AX26" s="213"/>
      <c r="AY26" s="213"/>
      <c r="AZ26" s="213"/>
      <c r="BA26" s="213"/>
      <c r="BB26" s="213"/>
      <c r="BC26" s="213"/>
      <c r="BD26" s="213"/>
    </row>
    <row r="27">
      <c r="A27" s="213">
        <f>IFERROR(__xludf.DUMMYFUNCTION("""COMPUTED_VALUE"""),2032.0)</f>
        <v>2032</v>
      </c>
      <c r="B27" s="213" t="str">
        <f>IFERROR(__xludf.DUMMYFUNCTION("""COMPUTED_VALUE"""),"JOSE GRANDA")</f>
        <v>JOSE GRANDA</v>
      </c>
      <c r="C27" s="213" t="str">
        <f>IFERROR(__xludf.DUMMYFUNCTION("""COMPUTED_VALUE"""),"TALLER SFT DE INDUSTRIA ALIMENTARIA")</f>
        <v>TALLER SFT DE INDUSTRIA ALIMENTARIA</v>
      </c>
      <c r="D27" s="213" t="str">
        <f>IFERROR(__xludf.DUMMYFUNCTION("""COMPUTED_VALUE"""),"HERRAMIENTAS")</f>
        <v>HERRAMIENTAS</v>
      </c>
      <c r="E27" s="213" t="str">
        <f>IFERROR(__xludf.DUMMYFUNCTION("""COMPUTED_VALUE"""),"COM-114")</f>
        <v>COM-114</v>
      </c>
      <c r="F27" s="213" t="str">
        <f>IFERROR(__xludf.DUMMYFUNCTION("""COMPUTED_VALUE"""),"COM-114")</f>
        <v>COM-114</v>
      </c>
      <c r="G27" s="213"/>
      <c r="H27" s="213" t="str">
        <f>IFERROR(__xludf.DUMMYFUNCTION("""COMPUTED_VALUE"""),"BANDEJA BAGUETERA")</f>
        <v>BANDEJA BAGUETERA</v>
      </c>
      <c r="I27"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27" s="213">
        <f>IFERROR(__xludf.DUMMYFUNCTION("""COMPUTED_VALUE"""),3.0)</f>
        <v>3</v>
      </c>
      <c r="K27" s="213" t="str">
        <f>IFERROR(__xludf.DUMMYFUNCTION("""COMPUTED_VALUE"""),"90 DÍAS CALENDARIO")</f>
        <v>90 DÍAS CALENDARIO</v>
      </c>
      <c r="L27" s="213" t="str">
        <f>IFERROR(__xludf.DUMMYFUNCTION("""COMPUTED_VALUE"""),"")</f>
        <v/>
      </c>
      <c r="M27" s="213">
        <f>IFERROR(__xludf.DUMMYFUNCTION("""COMPUTED_VALUE"""),1.0)</f>
        <v>1</v>
      </c>
      <c r="N27" s="213">
        <f>IFERROR(__xludf.DUMMYFUNCTION("""COMPUTED_VALUE"""),5.0)</f>
        <v>5</v>
      </c>
      <c r="O27" s="213">
        <f>IFERROR(__xludf.DUMMYFUNCTION("""COMPUTED_VALUE"""),5.0)</f>
        <v>5</v>
      </c>
      <c r="P27" s="213"/>
      <c r="Q27" s="213"/>
      <c r="R27" s="213"/>
      <c r="S27" s="213"/>
      <c r="T27" s="213" t="str">
        <f>IFERROR(__xludf.DUMMYFUNCTION("""COMPUTED_VALUE"""),"CONSULTA FINAL")</f>
        <v>CONSULTA FINAL</v>
      </c>
      <c r="U27" s="213" t="str">
        <f>IFERROR(__xludf.DUMMYFUNCTION("""COMPUTED_VALUE"""),"NO")</f>
        <v>NO</v>
      </c>
      <c r="V27" s="213" t="str">
        <f>IFERROR(__xludf.DUMMYFUNCTION("""COMPUTED_VALUE"""),"NO")</f>
        <v>NO</v>
      </c>
      <c r="W27" s="213" t="str">
        <f>IFERROR(__xludf.DUMMYFUNCTION("""COMPUTED_VALUE"""),"EQU TEC")</f>
        <v>EQU TEC</v>
      </c>
      <c r="X27" s="213" t="str">
        <f>IFERROR(__xludf.DUMMYFUNCTION("""COMPUTED_VALUE"""),"Grupo Nova")</f>
        <v>Grupo Nova</v>
      </c>
      <c r="Y27" s="213" t="str">
        <f>IFERROR(__xludf.DUMMYFUNCTION("""COMPUTED_VALUE"""),"Bandeja Baguetera 65x45 Cm Aluminio 1.0 Mm")</f>
        <v>Bandeja Baguetera 65x45 Cm Aluminio 1.0 Mm</v>
      </c>
      <c r="Z27" s="215" t="str">
        <f>IFERROR(__xludf.DUMMYFUNCTION("""COMPUTED_VALUE"""),"https://www.gruponova.pe/products/bandeja-baguetera-65-x-45-cm-aluminio-1-0-mm?srsltid=AfmBOoqOwV7_WIbUufTObIZ8D2cjVsg3Rb8rq9_NE7ZV8Lr0Oxj6_bjO")</f>
        <v>https://www.gruponova.pe/products/bandeja-baguetera-65-x-45-cm-aluminio-1-0-mm?srsltid=AfmBOoqOwV7_WIbUufTObIZ8D2cjVsg3Rb8rq9_NE7ZV8Lr0Oxj6_bjO</v>
      </c>
      <c r="AA27" s="213" t="str">
        <f>IFERROR(__xludf.DUMMYFUNCTION("""COMPUTED_VALUE"""),"COM-114 BANDEJA BAGUETERA - CET")</f>
        <v>COM-114 BANDEJA BAGUETERA - CET</v>
      </c>
      <c r="AB27" s="213"/>
      <c r="AC27" s="213"/>
      <c r="AD27" s="213"/>
      <c r="AE27" s="213"/>
      <c r="AF27" s="213"/>
      <c r="AG27" s="213"/>
      <c r="AH27" s="213"/>
      <c r="AI27" s="213"/>
      <c r="AJ27" s="213"/>
      <c r="AK27" s="213"/>
      <c r="AL27" s="213"/>
      <c r="AM27" s="213"/>
      <c r="AN27" s="213"/>
      <c r="AO27" s="213"/>
      <c r="AP27" s="213" t="str">
        <f>IFERROR(__xludf.DUMMYFUNCTION("""COMPUTED_VALUE"""),"BRUNO")</f>
        <v>BRUNO</v>
      </c>
      <c r="AQ27" s="213"/>
      <c r="AR27" s="213"/>
      <c r="AS27" s="213"/>
      <c r="AT27" s="213"/>
      <c r="AU27" s="213"/>
      <c r="AV27" s="213"/>
      <c r="AW27" s="213"/>
      <c r="AX27" s="213"/>
      <c r="AY27" s="213"/>
      <c r="AZ27" s="213"/>
      <c r="BA27" s="213"/>
      <c r="BB27" s="213"/>
      <c r="BC27" s="213"/>
      <c r="BD27" s="213"/>
    </row>
    <row r="28">
      <c r="A28" s="213">
        <f>IFERROR(__xludf.DUMMYFUNCTION("""COMPUTED_VALUE"""),443.0)</f>
        <v>443</v>
      </c>
      <c r="B28" s="213" t="str">
        <f>IFERROR(__xludf.DUMMYFUNCTION("""COMPUTED_VALUE"""),"2026 SIMON BOLIVAR")</f>
        <v>2026 SIMON BOLIVAR</v>
      </c>
      <c r="C28" s="213" t="str">
        <f>IFERROR(__xludf.DUMMYFUNCTION("""COMPUTED_VALUE"""),"TALLER SFT DE INDUSTRIA ALIMENTARIA")</f>
        <v>TALLER SFT DE INDUSTRIA ALIMENTARIA</v>
      </c>
      <c r="D28" s="213" t="str">
        <f>IFERROR(__xludf.DUMMYFUNCTION("""COMPUTED_VALUE"""),"HERRAMIENTAS")</f>
        <v>HERRAMIENTAS</v>
      </c>
      <c r="E28" s="213" t="str">
        <f>IFERROR(__xludf.DUMMYFUNCTION("""COMPUTED_VALUE"""),"COM-115")</f>
        <v>COM-115</v>
      </c>
      <c r="F28" s="213" t="str">
        <f>IFERROR(__xludf.DUMMYFUNCTION("""COMPUTED_VALUE"""),"COM-115")</f>
        <v>COM-115</v>
      </c>
      <c r="G28" s="213"/>
      <c r="H28" s="213" t="str">
        <f>IFERROR(__xludf.DUMMYFUNCTION("""COMPUTED_VALUE"""),"BANDEJA LISA")</f>
        <v>BANDEJA LISA</v>
      </c>
      <c r="I28"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28" s="213">
        <f>IFERROR(__xludf.DUMMYFUNCTION("""COMPUTED_VALUE"""),3.0)</f>
        <v>3</v>
      </c>
      <c r="K28" s="213" t="str">
        <f>IFERROR(__xludf.DUMMYFUNCTION("""COMPUTED_VALUE"""),"90 DÍAS CALENDARIO")</f>
        <v>90 DÍAS CALENDARIO</v>
      </c>
      <c r="L28" s="213" t="str">
        <f>IFERROR(__xludf.DUMMYFUNCTION("""COMPUTED_VALUE"""),"")</f>
        <v/>
      </c>
      <c r="M28" s="213">
        <f>IFERROR(__xludf.DUMMYFUNCTION("""COMPUTED_VALUE"""),1.0)</f>
        <v>1</v>
      </c>
      <c r="N28" s="213">
        <f>IFERROR(__xludf.DUMMYFUNCTION("""COMPUTED_VALUE"""),5.0)</f>
        <v>5</v>
      </c>
      <c r="O28" s="213">
        <f>IFERROR(__xludf.DUMMYFUNCTION("""COMPUTED_VALUE"""),5.0)</f>
        <v>5</v>
      </c>
      <c r="P28" s="213"/>
      <c r="Q28" s="213"/>
      <c r="R28" s="213"/>
      <c r="S28" s="213"/>
      <c r="T28" s="213" t="str">
        <f>IFERROR(__xludf.DUMMYFUNCTION("""COMPUTED_VALUE"""),"CONSULTA FINAL")</f>
        <v>CONSULTA FINAL</v>
      </c>
      <c r="U28" s="213" t="str">
        <f>IFERROR(__xludf.DUMMYFUNCTION("""COMPUTED_VALUE"""),"NO")</f>
        <v>NO</v>
      </c>
      <c r="V28" s="213" t="str">
        <f>IFERROR(__xludf.DUMMYFUNCTION("""COMPUTED_VALUE"""),"NO")</f>
        <v>NO</v>
      </c>
      <c r="W28" s="213" t="str">
        <f>IFERROR(__xludf.DUMMYFUNCTION("""COMPUTED_VALUE"""),"EQU TEC")</f>
        <v>EQU TEC</v>
      </c>
      <c r="X28" s="213" t="str">
        <f>IFERROR(__xludf.DUMMYFUNCTION("""COMPUTED_VALUE"""),"Grupo Nova")</f>
        <v>Grupo Nova</v>
      </c>
      <c r="Y28" s="213" t="str">
        <f>IFERROR(__xludf.DUMMYFUNCTION("""COMPUTED_VALUE"""),"Bandeja Lisa 65x45 Cm Aluminio 1.2 Mm")</f>
        <v>Bandeja Lisa 65x45 Cm Aluminio 1.2 Mm</v>
      </c>
      <c r="Z28" s="215" t="str">
        <f>IFERROR(__xludf.DUMMYFUNCTION("""COMPUTED_VALUE"""),"https://www.gruponova.pe/products/bandeja-lisa-53-x-32-5-cm-aluminio-gn-1-1?srsltid=AfmBOooyI3NpdPvdiqZyovJpsOyk-2LxuyNFKNCAcrHwYuHEynUd1rJO")</f>
        <v>https://www.gruponova.pe/products/bandeja-lisa-53-x-32-5-cm-aluminio-gn-1-1?srsltid=AfmBOooyI3NpdPvdiqZyovJpsOyk-2LxuyNFKNCAcrHwYuHEynUd1rJO</v>
      </c>
      <c r="AA28" s="213" t="str">
        <f>IFERROR(__xludf.DUMMYFUNCTION("""COMPUTED_VALUE"""),"COM-115 BANDEJA LISA - CET")</f>
        <v>COM-115 BANDEJA LISA - CET</v>
      </c>
      <c r="AB28" s="213"/>
      <c r="AC28" s="213"/>
      <c r="AD28" s="213"/>
      <c r="AE28" s="213"/>
      <c r="AF28" s="213"/>
      <c r="AG28" s="213"/>
      <c r="AH28" s="213"/>
      <c r="AI28" s="213"/>
      <c r="AJ28" s="213"/>
      <c r="AK28" s="213"/>
      <c r="AL28" s="213"/>
      <c r="AM28" s="213"/>
      <c r="AN28" s="213"/>
      <c r="AO28" s="213"/>
      <c r="AP28" s="213" t="str">
        <f>IFERROR(__xludf.DUMMYFUNCTION("""COMPUTED_VALUE"""),"BRUNO")</f>
        <v>BRUNO</v>
      </c>
      <c r="AQ28" s="213" t="str">
        <f>IFERROR(__xludf.DUMMYFUNCTION("""COMPUTED_VALUE"""),"Confirmar medidas del requisito")</f>
        <v>Confirmar medidas del requisito</v>
      </c>
      <c r="AR28" s="213"/>
      <c r="AS28" s="213"/>
      <c r="AT28" s="213"/>
      <c r="AU28" s="213"/>
      <c r="AV28" s="213"/>
      <c r="AW28" s="213"/>
      <c r="AX28" s="213"/>
      <c r="AY28" s="213"/>
      <c r="AZ28" s="213"/>
      <c r="BA28" s="213"/>
      <c r="BB28" s="213"/>
      <c r="BC28" s="213"/>
      <c r="BD28" s="213"/>
    </row>
    <row r="29">
      <c r="A29" s="213">
        <f>IFERROR(__xludf.DUMMYFUNCTION("""COMPUTED_VALUE"""),1073.0)</f>
        <v>1073</v>
      </c>
      <c r="B29" s="213" t="str">
        <f>IFERROR(__xludf.DUMMYFUNCTION("""COMPUTED_VALUE"""),"FRANCISCO IRAZOLA")</f>
        <v>FRANCISCO IRAZOLA</v>
      </c>
      <c r="C29" s="213" t="str">
        <f>IFERROR(__xludf.DUMMYFUNCTION("""COMPUTED_VALUE"""),"TALLER SFT DE INDUSTRIA ALIMENTARIA")</f>
        <v>TALLER SFT DE INDUSTRIA ALIMENTARIA</v>
      </c>
      <c r="D29" s="213" t="str">
        <f>IFERROR(__xludf.DUMMYFUNCTION("""COMPUTED_VALUE"""),"HERRAMIENTAS")</f>
        <v>HERRAMIENTAS</v>
      </c>
      <c r="E29" s="213" t="str">
        <f>IFERROR(__xludf.DUMMYFUNCTION("""COMPUTED_VALUE"""),"COM-115")</f>
        <v>COM-115</v>
      </c>
      <c r="F29" s="213" t="str">
        <f>IFERROR(__xludf.DUMMYFUNCTION("""COMPUTED_VALUE"""),"COM-115")</f>
        <v>COM-115</v>
      </c>
      <c r="G29" s="213"/>
      <c r="H29" s="213" t="str">
        <f>IFERROR(__xludf.DUMMYFUNCTION("""COMPUTED_VALUE"""),"BANDEJA LISA")</f>
        <v>BANDEJA LISA</v>
      </c>
      <c r="I29"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29" s="213">
        <f>IFERROR(__xludf.DUMMYFUNCTION("""COMPUTED_VALUE"""),3.0)</f>
        <v>3</v>
      </c>
      <c r="K29" s="213" t="str">
        <f>IFERROR(__xludf.DUMMYFUNCTION("""COMPUTED_VALUE"""),"90 DÍAS CALENDARIO")</f>
        <v>90 DÍAS CALENDARIO</v>
      </c>
      <c r="L29" s="213" t="str">
        <f>IFERROR(__xludf.DUMMYFUNCTION("""COMPUTED_VALUE"""),"")</f>
        <v/>
      </c>
      <c r="M29" s="213">
        <f>IFERROR(__xludf.DUMMYFUNCTION("""COMPUTED_VALUE"""),1.0)</f>
        <v>1</v>
      </c>
      <c r="N29" s="213">
        <f>IFERROR(__xludf.DUMMYFUNCTION("""COMPUTED_VALUE"""),5.0)</f>
        <v>5</v>
      </c>
      <c r="O29" s="213">
        <f>IFERROR(__xludf.DUMMYFUNCTION("""COMPUTED_VALUE"""),5.0)</f>
        <v>5</v>
      </c>
      <c r="P29" s="213"/>
      <c r="Q29" s="213"/>
      <c r="R29" s="213"/>
      <c r="S29" s="213"/>
      <c r="T29" s="213" t="str">
        <f>IFERROR(__xludf.DUMMYFUNCTION("""COMPUTED_VALUE"""),"CONSULTA FINAL")</f>
        <v>CONSULTA FINAL</v>
      </c>
      <c r="U29" s="213" t="str">
        <f>IFERROR(__xludf.DUMMYFUNCTION("""COMPUTED_VALUE"""),"NO")</f>
        <v>NO</v>
      </c>
      <c r="V29" s="213" t="str">
        <f>IFERROR(__xludf.DUMMYFUNCTION("""COMPUTED_VALUE"""),"NO")</f>
        <v>NO</v>
      </c>
      <c r="W29" s="213" t="str">
        <f>IFERROR(__xludf.DUMMYFUNCTION("""COMPUTED_VALUE"""),"EQU TEC")</f>
        <v>EQU TEC</v>
      </c>
      <c r="X29" s="213" t="str">
        <f>IFERROR(__xludf.DUMMYFUNCTION("""COMPUTED_VALUE"""),"Grupo Nova")</f>
        <v>Grupo Nova</v>
      </c>
      <c r="Y29" s="213" t="str">
        <f>IFERROR(__xludf.DUMMYFUNCTION("""COMPUTED_VALUE"""),"Bandeja Lisa 65x45 Cm Aluminio 1.2 Mm")</f>
        <v>Bandeja Lisa 65x45 Cm Aluminio 1.2 Mm</v>
      </c>
      <c r="Z29" s="215" t="str">
        <f>IFERROR(__xludf.DUMMYFUNCTION("""COMPUTED_VALUE"""),"https://www.gruponova.pe/products/bandeja-lisa-53-x-32-5-cm-aluminio-gn-1-1?srsltid=AfmBOooyI3NpdPvdiqZyovJpsOyk-2LxuyNFKNCAcrHwYuHEynUd1rJO")</f>
        <v>https://www.gruponova.pe/products/bandeja-lisa-53-x-32-5-cm-aluminio-gn-1-1?srsltid=AfmBOooyI3NpdPvdiqZyovJpsOyk-2LxuyNFKNCAcrHwYuHEynUd1rJO</v>
      </c>
      <c r="AA29" s="213" t="str">
        <f>IFERROR(__xludf.DUMMYFUNCTION("""COMPUTED_VALUE"""),"COM-115 BANDEJA LISA - CET")</f>
        <v>COM-115 BANDEJA LISA - CET</v>
      </c>
      <c r="AB29" s="213"/>
      <c r="AC29" s="213"/>
      <c r="AD29" s="213"/>
      <c r="AE29" s="213"/>
      <c r="AF29" s="213"/>
      <c r="AG29" s="213"/>
      <c r="AH29" s="213"/>
      <c r="AI29" s="213"/>
      <c r="AJ29" s="213"/>
      <c r="AK29" s="213"/>
      <c r="AL29" s="213"/>
      <c r="AM29" s="213"/>
      <c r="AN29" s="213"/>
      <c r="AO29" s="213"/>
      <c r="AP29" s="213" t="str">
        <f>IFERROR(__xludf.DUMMYFUNCTION("""COMPUTED_VALUE"""),"BRUNO")</f>
        <v>BRUNO</v>
      </c>
      <c r="AQ29" s="213" t="str">
        <f>IFERROR(__xludf.DUMMYFUNCTION("""COMPUTED_VALUE"""),"Confirmar medidas del requisito")</f>
        <v>Confirmar medidas del requisito</v>
      </c>
      <c r="AR29" s="213"/>
      <c r="AS29" s="213"/>
      <c r="AT29" s="213"/>
      <c r="AU29" s="213"/>
      <c r="AV29" s="213"/>
      <c r="AW29" s="213"/>
      <c r="AX29" s="213"/>
      <c r="AY29" s="213"/>
      <c r="AZ29" s="213"/>
      <c r="BA29" s="213"/>
      <c r="BB29" s="213"/>
      <c r="BC29" s="213"/>
      <c r="BD29" s="213"/>
    </row>
    <row r="30">
      <c r="A30" s="213">
        <f>IFERROR(__xludf.DUMMYFUNCTION("""COMPUTED_VALUE"""),1349.0)</f>
        <v>1349</v>
      </c>
      <c r="B30" s="213" t="str">
        <f>IFERROR(__xludf.DUMMYFUNCTION("""COMPUTED_VALUE"""),"GUILLERMO E. BILLINGHURST ")</f>
        <v>GUILLERMO E. BILLINGHURST </v>
      </c>
      <c r="C30" s="213" t="str">
        <f>IFERROR(__xludf.DUMMYFUNCTION("""COMPUTED_VALUE"""),"TALLER SFT DE INDUSTRIA ALIMENTARIA")</f>
        <v>TALLER SFT DE INDUSTRIA ALIMENTARIA</v>
      </c>
      <c r="D30" s="213" t="str">
        <f>IFERROR(__xludf.DUMMYFUNCTION("""COMPUTED_VALUE"""),"HERRAMIENTAS")</f>
        <v>HERRAMIENTAS</v>
      </c>
      <c r="E30" s="213" t="str">
        <f>IFERROR(__xludf.DUMMYFUNCTION("""COMPUTED_VALUE"""),"COM-115")</f>
        <v>COM-115</v>
      </c>
      <c r="F30" s="213" t="str">
        <f>IFERROR(__xludf.DUMMYFUNCTION("""COMPUTED_VALUE"""),"COM-115")</f>
        <v>COM-115</v>
      </c>
      <c r="G30" s="213"/>
      <c r="H30" s="213" t="str">
        <f>IFERROR(__xludf.DUMMYFUNCTION("""COMPUTED_VALUE"""),"BANDEJA LISA")</f>
        <v>BANDEJA LISA</v>
      </c>
      <c r="I30"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30" s="213">
        <f>IFERROR(__xludf.DUMMYFUNCTION("""COMPUTED_VALUE"""),3.0)</f>
        <v>3</v>
      </c>
      <c r="K30" s="213" t="str">
        <f>IFERROR(__xludf.DUMMYFUNCTION("""COMPUTED_VALUE"""),"90 DÍAS CALENDARIO")</f>
        <v>90 DÍAS CALENDARIO</v>
      </c>
      <c r="L30" s="213" t="str">
        <f>IFERROR(__xludf.DUMMYFUNCTION("""COMPUTED_VALUE"""),"")</f>
        <v/>
      </c>
      <c r="M30" s="213">
        <f>IFERROR(__xludf.DUMMYFUNCTION("""COMPUTED_VALUE"""),1.0)</f>
        <v>1</v>
      </c>
      <c r="N30" s="213">
        <f>IFERROR(__xludf.DUMMYFUNCTION("""COMPUTED_VALUE"""),5.0)</f>
        <v>5</v>
      </c>
      <c r="O30" s="213">
        <f>IFERROR(__xludf.DUMMYFUNCTION("""COMPUTED_VALUE"""),5.0)</f>
        <v>5</v>
      </c>
      <c r="P30" s="213"/>
      <c r="Q30" s="213"/>
      <c r="R30" s="213"/>
      <c r="S30" s="213"/>
      <c r="T30" s="213" t="str">
        <f>IFERROR(__xludf.DUMMYFUNCTION("""COMPUTED_VALUE"""),"CONSULTA FINAL")</f>
        <v>CONSULTA FINAL</v>
      </c>
      <c r="U30" s="213" t="str">
        <f>IFERROR(__xludf.DUMMYFUNCTION("""COMPUTED_VALUE"""),"NO")</f>
        <v>NO</v>
      </c>
      <c r="V30" s="213" t="str">
        <f>IFERROR(__xludf.DUMMYFUNCTION("""COMPUTED_VALUE"""),"NO")</f>
        <v>NO</v>
      </c>
      <c r="W30" s="213" t="str">
        <f>IFERROR(__xludf.DUMMYFUNCTION("""COMPUTED_VALUE"""),"EQU TEC")</f>
        <v>EQU TEC</v>
      </c>
      <c r="X30" s="213" t="str">
        <f>IFERROR(__xludf.DUMMYFUNCTION("""COMPUTED_VALUE"""),"Grupo Nova")</f>
        <v>Grupo Nova</v>
      </c>
      <c r="Y30" s="213" t="str">
        <f>IFERROR(__xludf.DUMMYFUNCTION("""COMPUTED_VALUE"""),"Bandeja Lisa 65x45 Cm Aluminio 1.2 Mm")</f>
        <v>Bandeja Lisa 65x45 Cm Aluminio 1.2 Mm</v>
      </c>
      <c r="Z30" s="215" t="str">
        <f>IFERROR(__xludf.DUMMYFUNCTION("""COMPUTED_VALUE"""),"https://www.gruponova.pe/products/bandeja-lisa-53-x-32-5-cm-aluminio-gn-1-1?srsltid=AfmBOooyI3NpdPvdiqZyovJpsOyk-2LxuyNFKNCAcrHwYuHEynUd1rJO")</f>
        <v>https://www.gruponova.pe/products/bandeja-lisa-53-x-32-5-cm-aluminio-gn-1-1?srsltid=AfmBOooyI3NpdPvdiqZyovJpsOyk-2LxuyNFKNCAcrHwYuHEynUd1rJO</v>
      </c>
      <c r="AA30" s="213" t="str">
        <f>IFERROR(__xludf.DUMMYFUNCTION("""COMPUTED_VALUE"""),"COM-115 BANDEJA LISA - CET")</f>
        <v>COM-115 BANDEJA LISA - CET</v>
      </c>
      <c r="AB30" s="213"/>
      <c r="AC30" s="213"/>
      <c r="AD30" s="213"/>
      <c r="AE30" s="213"/>
      <c r="AF30" s="213"/>
      <c r="AG30" s="213"/>
      <c r="AH30" s="213"/>
      <c r="AI30" s="213"/>
      <c r="AJ30" s="213"/>
      <c r="AK30" s="213"/>
      <c r="AL30" s="213"/>
      <c r="AM30" s="213"/>
      <c r="AN30" s="213"/>
      <c r="AO30" s="213"/>
      <c r="AP30" s="213" t="str">
        <f>IFERROR(__xludf.DUMMYFUNCTION("""COMPUTED_VALUE"""),"BRUNO")</f>
        <v>BRUNO</v>
      </c>
      <c r="AQ30" s="213" t="str">
        <f>IFERROR(__xludf.DUMMYFUNCTION("""COMPUTED_VALUE"""),"Confirmar medidas del requisito")</f>
        <v>Confirmar medidas del requisito</v>
      </c>
      <c r="AR30" s="213"/>
      <c r="AS30" s="213"/>
      <c r="AT30" s="213"/>
      <c r="AU30" s="213"/>
      <c r="AV30" s="213"/>
      <c r="AW30" s="213"/>
      <c r="AX30" s="213"/>
      <c r="AY30" s="213"/>
      <c r="AZ30" s="213"/>
      <c r="BA30" s="213"/>
      <c r="BB30" s="213"/>
      <c r="BC30" s="213"/>
      <c r="BD30" s="213"/>
    </row>
    <row r="31">
      <c r="A31" s="213">
        <f>IFERROR(__xludf.DUMMYFUNCTION("""COMPUTED_VALUE"""),2033.0)</f>
        <v>2033</v>
      </c>
      <c r="B31" s="213" t="str">
        <f>IFERROR(__xludf.DUMMYFUNCTION("""COMPUTED_VALUE"""),"JOSE GRANDA")</f>
        <v>JOSE GRANDA</v>
      </c>
      <c r="C31" s="213" t="str">
        <f>IFERROR(__xludf.DUMMYFUNCTION("""COMPUTED_VALUE"""),"TALLER SFT DE INDUSTRIA ALIMENTARIA")</f>
        <v>TALLER SFT DE INDUSTRIA ALIMENTARIA</v>
      </c>
      <c r="D31" s="213" t="str">
        <f>IFERROR(__xludf.DUMMYFUNCTION("""COMPUTED_VALUE"""),"HERRAMIENTAS")</f>
        <v>HERRAMIENTAS</v>
      </c>
      <c r="E31" s="213" t="str">
        <f>IFERROR(__xludf.DUMMYFUNCTION("""COMPUTED_VALUE"""),"COM-115")</f>
        <v>COM-115</v>
      </c>
      <c r="F31" s="213" t="str">
        <f>IFERROR(__xludf.DUMMYFUNCTION("""COMPUTED_VALUE"""),"COM-115")</f>
        <v>COM-115</v>
      </c>
      <c r="G31" s="213"/>
      <c r="H31" s="213" t="str">
        <f>IFERROR(__xludf.DUMMYFUNCTION("""COMPUTED_VALUE"""),"BANDEJA LISA")</f>
        <v>BANDEJA LISA</v>
      </c>
      <c r="I31"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31" s="213">
        <f>IFERROR(__xludf.DUMMYFUNCTION("""COMPUTED_VALUE"""),3.0)</f>
        <v>3</v>
      </c>
      <c r="K31" s="213" t="str">
        <f>IFERROR(__xludf.DUMMYFUNCTION("""COMPUTED_VALUE"""),"90 DÍAS CALENDARIO")</f>
        <v>90 DÍAS CALENDARIO</v>
      </c>
      <c r="L31" s="213" t="str">
        <f>IFERROR(__xludf.DUMMYFUNCTION("""COMPUTED_VALUE"""),"")</f>
        <v/>
      </c>
      <c r="M31" s="213">
        <f>IFERROR(__xludf.DUMMYFUNCTION("""COMPUTED_VALUE"""),1.0)</f>
        <v>1</v>
      </c>
      <c r="N31" s="213">
        <f>IFERROR(__xludf.DUMMYFUNCTION("""COMPUTED_VALUE"""),5.0)</f>
        <v>5</v>
      </c>
      <c r="O31" s="213">
        <f>IFERROR(__xludf.DUMMYFUNCTION("""COMPUTED_VALUE"""),5.0)</f>
        <v>5</v>
      </c>
      <c r="P31" s="213"/>
      <c r="Q31" s="213"/>
      <c r="R31" s="213"/>
      <c r="S31" s="213"/>
      <c r="T31" s="213" t="str">
        <f>IFERROR(__xludf.DUMMYFUNCTION("""COMPUTED_VALUE"""),"CONSULTA FINAL")</f>
        <v>CONSULTA FINAL</v>
      </c>
      <c r="U31" s="213" t="str">
        <f>IFERROR(__xludf.DUMMYFUNCTION("""COMPUTED_VALUE"""),"NO")</f>
        <v>NO</v>
      </c>
      <c r="V31" s="213" t="str">
        <f>IFERROR(__xludf.DUMMYFUNCTION("""COMPUTED_VALUE"""),"NO")</f>
        <v>NO</v>
      </c>
      <c r="W31" s="213" t="str">
        <f>IFERROR(__xludf.DUMMYFUNCTION("""COMPUTED_VALUE"""),"EQU TEC")</f>
        <v>EQU TEC</v>
      </c>
      <c r="X31" s="213" t="str">
        <f>IFERROR(__xludf.DUMMYFUNCTION("""COMPUTED_VALUE"""),"Grupo Nova")</f>
        <v>Grupo Nova</v>
      </c>
      <c r="Y31" s="213" t="str">
        <f>IFERROR(__xludf.DUMMYFUNCTION("""COMPUTED_VALUE"""),"Bandeja Lisa 65x45 Cm Aluminio 1.2 Mm")</f>
        <v>Bandeja Lisa 65x45 Cm Aluminio 1.2 Mm</v>
      </c>
      <c r="Z31" s="215" t="str">
        <f>IFERROR(__xludf.DUMMYFUNCTION("""COMPUTED_VALUE"""),"https://www.gruponova.pe/products/bandeja-lisa-53-x-32-5-cm-aluminio-gn-1-1?srsltid=AfmBOooyI3NpdPvdiqZyovJpsOyk-2LxuyNFKNCAcrHwYuHEynUd1rJO")</f>
        <v>https://www.gruponova.pe/products/bandeja-lisa-53-x-32-5-cm-aluminio-gn-1-1?srsltid=AfmBOooyI3NpdPvdiqZyovJpsOyk-2LxuyNFKNCAcrHwYuHEynUd1rJO</v>
      </c>
      <c r="AA31" s="213" t="str">
        <f>IFERROR(__xludf.DUMMYFUNCTION("""COMPUTED_VALUE"""),"COM-115 BANDEJA LISA - CET")</f>
        <v>COM-115 BANDEJA LISA - CET</v>
      </c>
      <c r="AB31" s="213"/>
      <c r="AC31" s="213"/>
      <c r="AD31" s="213"/>
      <c r="AE31" s="213"/>
      <c r="AF31" s="213"/>
      <c r="AG31" s="213"/>
      <c r="AH31" s="213"/>
      <c r="AI31" s="213"/>
      <c r="AJ31" s="213"/>
      <c r="AK31" s="213"/>
      <c r="AL31" s="213"/>
      <c r="AM31" s="213"/>
      <c r="AN31" s="213"/>
      <c r="AO31" s="213"/>
      <c r="AP31" s="213" t="str">
        <f>IFERROR(__xludf.DUMMYFUNCTION("""COMPUTED_VALUE"""),"BRUNO")</f>
        <v>BRUNO</v>
      </c>
      <c r="AQ31" s="213" t="str">
        <f>IFERROR(__xludf.DUMMYFUNCTION("""COMPUTED_VALUE"""),"Confirmar medidas del requisito")</f>
        <v>Confirmar medidas del requisito</v>
      </c>
      <c r="AR31" s="213"/>
      <c r="AS31" s="213"/>
      <c r="AT31" s="213"/>
      <c r="AU31" s="213"/>
      <c r="AV31" s="213"/>
      <c r="AW31" s="213"/>
      <c r="AX31" s="213"/>
      <c r="AY31" s="213"/>
      <c r="AZ31" s="213"/>
      <c r="BA31" s="213"/>
      <c r="BB31" s="213"/>
      <c r="BC31" s="213"/>
      <c r="BD31" s="213"/>
    </row>
    <row r="32">
      <c r="A32" s="213">
        <f>IFERROR(__xludf.DUMMYFUNCTION("""COMPUTED_VALUE"""),444.0)</f>
        <v>444</v>
      </c>
      <c r="B32" s="213" t="str">
        <f>IFERROR(__xludf.DUMMYFUNCTION("""COMPUTED_VALUE"""),"2026 SIMON BOLIVAR")</f>
        <v>2026 SIMON BOLIVAR</v>
      </c>
      <c r="C32" s="213" t="str">
        <f>IFERROR(__xludf.DUMMYFUNCTION("""COMPUTED_VALUE"""),"TALLER SFT DE INDUSTRIA ALIMENTARIA")</f>
        <v>TALLER SFT DE INDUSTRIA ALIMENTARIA</v>
      </c>
      <c r="D32" s="213" t="str">
        <f>IFERROR(__xludf.DUMMYFUNCTION("""COMPUTED_VALUE"""),"HERRAMIENTAS")</f>
        <v>HERRAMIENTAS</v>
      </c>
      <c r="E32" s="213" t="str">
        <f>IFERROR(__xludf.DUMMYFUNCTION("""COMPUTED_VALUE"""),"COM-116")</f>
        <v>COM-116</v>
      </c>
      <c r="F32" s="213" t="str">
        <f>IFERROR(__xludf.DUMMYFUNCTION("""COMPUTED_VALUE"""),"COM-116")</f>
        <v>COM-116</v>
      </c>
      <c r="G32" s="213"/>
      <c r="H32" s="213" t="str">
        <f>IFERROR(__xludf.DUMMYFUNCTION("""COMPUTED_VALUE"""),"BANDEJA PERFORADA")</f>
        <v>BANDEJA PERFORADA</v>
      </c>
      <c r="I32"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32" s="213">
        <f>IFERROR(__xludf.DUMMYFUNCTION("""COMPUTED_VALUE"""),3.0)</f>
        <v>3</v>
      </c>
      <c r="K32" s="213" t="str">
        <f>IFERROR(__xludf.DUMMYFUNCTION("""COMPUTED_VALUE"""),"90 DÍAS CALENDARIO")</f>
        <v>90 DÍAS CALENDARIO</v>
      </c>
      <c r="L32" s="213" t="str">
        <f>IFERROR(__xludf.DUMMYFUNCTION("""COMPUTED_VALUE"""),"")</f>
        <v/>
      </c>
      <c r="M32" s="213">
        <f>IFERROR(__xludf.DUMMYFUNCTION("""COMPUTED_VALUE"""),1.0)</f>
        <v>1</v>
      </c>
      <c r="N32" s="213">
        <f>IFERROR(__xludf.DUMMYFUNCTION("""COMPUTED_VALUE"""),5.0)</f>
        <v>5</v>
      </c>
      <c r="O32" s="213">
        <f>IFERROR(__xludf.DUMMYFUNCTION("""COMPUTED_VALUE"""),5.0)</f>
        <v>5</v>
      </c>
      <c r="P32" s="213"/>
      <c r="Q32" s="213"/>
      <c r="R32" s="213"/>
      <c r="S32" s="213"/>
      <c r="T32" s="213" t="str">
        <f>IFERROR(__xludf.DUMMYFUNCTION("""COMPUTED_VALUE"""),"CONSULTA FINAL")</f>
        <v>CONSULTA FINAL</v>
      </c>
      <c r="U32" s="213" t="str">
        <f>IFERROR(__xludf.DUMMYFUNCTION("""COMPUTED_VALUE"""),"NO")</f>
        <v>NO</v>
      </c>
      <c r="V32" s="213" t="str">
        <f>IFERROR(__xludf.DUMMYFUNCTION("""COMPUTED_VALUE"""),"NO")</f>
        <v>NO</v>
      </c>
      <c r="W32" s="213" t="str">
        <f>IFERROR(__xludf.DUMMYFUNCTION("""COMPUTED_VALUE"""),"EQU TEC")</f>
        <v>EQU TEC</v>
      </c>
      <c r="X32" s="213" t="str">
        <f>IFERROR(__xludf.DUMMYFUNCTION("""COMPUTED_VALUE"""),"Grupo Nova")</f>
        <v>Grupo Nova</v>
      </c>
      <c r="Y32" s="213" t="str">
        <f>IFERROR(__xludf.DUMMYFUNCTION("""COMPUTED_VALUE"""),"Bandeja Perforada 65x45 cm Aluminio 1.2 Mm")</f>
        <v>Bandeja Perforada 65x45 cm Aluminio 1.2 Mm</v>
      </c>
      <c r="Z32" s="215" t="str">
        <f>IFERROR(__xludf.DUMMYFUNCTION("""COMPUTED_VALUE"""),"https://www.gruponova.pe/products/bandeja-perforada-60-x-40-cm-aluminio-1-2-mm")</f>
        <v>https://www.gruponova.pe/products/bandeja-perforada-60-x-40-cm-aluminio-1-2-mm</v>
      </c>
      <c r="AA32" s="213" t="str">
        <f>IFERROR(__xludf.DUMMYFUNCTION("""COMPUTED_VALUE"""),"COM-116 BANDEJA PERFORADA - CET")</f>
        <v>COM-116 BANDEJA PERFORADA - CET</v>
      </c>
      <c r="AB32" s="213"/>
      <c r="AC32" s="213"/>
      <c r="AD32" s="213"/>
      <c r="AE32" s="213"/>
      <c r="AF32" s="213"/>
      <c r="AG32" s="213"/>
      <c r="AH32" s="213"/>
      <c r="AI32" s="213"/>
      <c r="AJ32" s="213"/>
      <c r="AK32" s="213"/>
      <c r="AL32" s="213"/>
      <c r="AM32" s="213"/>
      <c r="AN32" s="213"/>
      <c r="AO32" s="213"/>
      <c r="AP32" s="213" t="str">
        <f>IFERROR(__xludf.DUMMYFUNCTION("""COMPUTED_VALUE"""),"BRUNO")</f>
        <v>BRUNO</v>
      </c>
      <c r="AQ32" s="213" t="str">
        <f>IFERROR(__xludf.DUMMYFUNCTION("""COMPUTED_VALUE"""),"Confirmar medidas del requisito")</f>
        <v>Confirmar medidas del requisito</v>
      </c>
      <c r="AR32" s="213"/>
      <c r="AS32" s="213"/>
      <c r="AT32" s="213"/>
      <c r="AU32" s="213"/>
      <c r="AV32" s="213"/>
      <c r="AW32" s="213"/>
      <c r="AX32" s="213"/>
      <c r="AY32" s="213"/>
      <c r="AZ32" s="213"/>
      <c r="BA32" s="213"/>
      <c r="BB32" s="213"/>
      <c r="BC32" s="213"/>
      <c r="BD32" s="213"/>
    </row>
    <row r="33">
      <c r="A33" s="213">
        <f>IFERROR(__xludf.DUMMYFUNCTION("""COMPUTED_VALUE"""),1074.0)</f>
        <v>1074</v>
      </c>
      <c r="B33" s="213" t="str">
        <f>IFERROR(__xludf.DUMMYFUNCTION("""COMPUTED_VALUE"""),"FRANCISCO IRAZOLA")</f>
        <v>FRANCISCO IRAZOLA</v>
      </c>
      <c r="C33" s="213" t="str">
        <f>IFERROR(__xludf.DUMMYFUNCTION("""COMPUTED_VALUE"""),"TALLER SFT DE INDUSTRIA ALIMENTARIA")</f>
        <v>TALLER SFT DE INDUSTRIA ALIMENTARIA</v>
      </c>
      <c r="D33" s="213" t="str">
        <f>IFERROR(__xludf.DUMMYFUNCTION("""COMPUTED_VALUE"""),"HERRAMIENTAS")</f>
        <v>HERRAMIENTAS</v>
      </c>
      <c r="E33" s="213" t="str">
        <f>IFERROR(__xludf.DUMMYFUNCTION("""COMPUTED_VALUE"""),"COM-116")</f>
        <v>COM-116</v>
      </c>
      <c r="F33" s="213" t="str">
        <f>IFERROR(__xludf.DUMMYFUNCTION("""COMPUTED_VALUE"""),"COM-116")</f>
        <v>COM-116</v>
      </c>
      <c r="G33" s="213"/>
      <c r="H33" s="213" t="str">
        <f>IFERROR(__xludf.DUMMYFUNCTION("""COMPUTED_VALUE"""),"BANDEJA PERFORADA")</f>
        <v>BANDEJA PERFORADA</v>
      </c>
      <c r="I33"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33" s="213">
        <f>IFERROR(__xludf.DUMMYFUNCTION("""COMPUTED_VALUE"""),3.0)</f>
        <v>3</v>
      </c>
      <c r="K33" s="213" t="str">
        <f>IFERROR(__xludf.DUMMYFUNCTION("""COMPUTED_VALUE"""),"90 DÍAS CALENDARIO")</f>
        <v>90 DÍAS CALENDARIO</v>
      </c>
      <c r="L33" s="213" t="str">
        <f>IFERROR(__xludf.DUMMYFUNCTION("""COMPUTED_VALUE"""),"")</f>
        <v/>
      </c>
      <c r="M33" s="213">
        <f>IFERROR(__xludf.DUMMYFUNCTION("""COMPUTED_VALUE"""),1.0)</f>
        <v>1</v>
      </c>
      <c r="N33" s="213">
        <f>IFERROR(__xludf.DUMMYFUNCTION("""COMPUTED_VALUE"""),5.0)</f>
        <v>5</v>
      </c>
      <c r="O33" s="213">
        <f>IFERROR(__xludf.DUMMYFUNCTION("""COMPUTED_VALUE"""),5.0)</f>
        <v>5</v>
      </c>
      <c r="P33" s="213"/>
      <c r="Q33" s="213"/>
      <c r="R33" s="213"/>
      <c r="S33" s="213"/>
      <c r="T33" s="213" t="str">
        <f>IFERROR(__xludf.DUMMYFUNCTION("""COMPUTED_VALUE"""),"CONSULTA FINAL")</f>
        <v>CONSULTA FINAL</v>
      </c>
      <c r="U33" s="213" t="str">
        <f>IFERROR(__xludf.DUMMYFUNCTION("""COMPUTED_VALUE"""),"NO")</f>
        <v>NO</v>
      </c>
      <c r="V33" s="213" t="str">
        <f>IFERROR(__xludf.DUMMYFUNCTION("""COMPUTED_VALUE"""),"NO")</f>
        <v>NO</v>
      </c>
      <c r="W33" s="213" t="str">
        <f>IFERROR(__xludf.DUMMYFUNCTION("""COMPUTED_VALUE"""),"EQU TEC")</f>
        <v>EQU TEC</v>
      </c>
      <c r="X33" s="213" t="str">
        <f>IFERROR(__xludf.DUMMYFUNCTION("""COMPUTED_VALUE"""),"Grupo Nova")</f>
        <v>Grupo Nova</v>
      </c>
      <c r="Y33" s="213" t="str">
        <f>IFERROR(__xludf.DUMMYFUNCTION("""COMPUTED_VALUE"""),"Bandeja Perforada 65x45 cm Aluminio 1.2 Mm")</f>
        <v>Bandeja Perforada 65x45 cm Aluminio 1.2 Mm</v>
      </c>
      <c r="Z33" s="215" t="str">
        <f>IFERROR(__xludf.DUMMYFUNCTION("""COMPUTED_VALUE"""),"https://www.gruponova.pe/products/bandeja-perforada-60-x-40-cm-aluminio-1-2-mm")</f>
        <v>https://www.gruponova.pe/products/bandeja-perforada-60-x-40-cm-aluminio-1-2-mm</v>
      </c>
      <c r="AA33" s="213" t="str">
        <f>IFERROR(__xludf.DUMMYFUNCTION("""COMPUTED_VALUE"""),"COM-116 BANDEJA PERFORADA - CET")</f>
        <v>COM-116 BANDEJA PERFORADA - CET</v>
      </c>
      <c r="AB33" s="213"/>
      <c r="AC33" s="213"/>
      <c r="AD33" s="213"/>
      <c r="AE33" s="213"/>
      <c r="AF33" s="213"/>
      <c r="AG33" s="213"/>
      <c r="AH33" s="213"/>
      <c r="AI33" s="213"/>
      <c r="AJ33" s="213"/>
      <c r="AK33" s="213"/>
      <c r="AL33" s="213"/>
      <c r="AM33" s="213"/>
      <c r="AN33" s="213"/>
      <c r="AO33" s="213"/>
      <c r="AP33" s="213" t="str">
        <f>IFERROR(__xludf.DUMMYFUNCTION("""COMPUTED_VALUE"""),"BRUNO")</f>
        <v>BRUNO</v>
      </c>
      <c r="AQ33" s="213" t="str">
        <f>IFERROR(__xludf.DUMMYFUNCTION("""COMPUTED_VALUE"""),"Confirmar medidas del requisito")</f>
        <v>Confirmar medidas del requisito</v>
      </c>
      <c r="AR33" s="213"/>
      <c r="AS33" s="213"/>
      <c r="AT33" s="213"/>
      <c r="AU33" s="213"/>
      <c r="AV33" s="213"/>
      <c r="AW33" s="213"/>
      <c r="AX33" s="213"/>
      <c r="AY33" s="213"/>
      <c r="AZ33" s="213"/>
      <c r="BA33" s="213"/>
      <c r="BB33" s="213"/>
      <c r="BC33" s="213"/>
      <c r="BD33" s="213"/>
    </row>
    <row r="34">
      <c r="A34" s="213">
        <f>IFERROR(__xludf.DUMMYFUNCTION("""COMPUTED_VALUE"""),1350.0)</f>
        <v>1350</v>
      </c>
      <c r="B34" s="213" t="str">
        <f>IFERROR(__xludf.DUMMYFUNCTION("""COMPUTED_VALUE"""),"GUILLERMO E. BILLINGHURST ")</f>
        <v>GUILLERMO E. BILLINGHURST </v>
      </c>
      <c r="C34" s="213" t="str">
        <f>IFERROR(__xludf.DUMMYFUNCTION("""COMPUTED_VALUE"""),"TALLER SFT DE INDUSTRIA ALIMENTARIA")</f>
        <v>TALLER SFT DE INDUSTRIA ALIMENTARIA</v>
      </c>
      <c r="D34" s="213" t="str">
        <f>IFERROR(__xludf.DUMMYFUNCTION("""COMPUTED_VALUE"""),"HERRAMIENTAS")</f>
        <v>HERRAMIENTAS</v>
      </c>
      <c r="E34" s="213" t="str">
        <f>IFERROR(__xludf.DUMMYFUNCTION("""COMPUTED_VALUE"""),"COM-116")</f>
        <v>COM-116</v>
      </c>
      <c r="F34" s="213" t="str">
        <f>IFERROR(__xludf.DUMMYFUNCTION("""COMPUTED_VALUE"""),"COM-116")</f>
        <v>COM-116</v>
      </c>
      <c r="G34" s="213"/>
      <c r="H34" s="213" t="str">
        <f>IFERROR(__xludf.DUMMYFUNCTION("""COMPUTED_VALUE"""),"BANDEJA PERFORADA")</f>
        <v>BANDEJA PERFORADA</v>
      </c>
      <c r="I34"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34" s="213">
        <f>IFERROR(__xludf.DUMMYFUNCTION("""COMPUTED_VALUE"""),3.0)</f>
        <v>3</v>
      </c>
      <c r="K34" s="213" t="str">
        <f>IFERROR(__xludf.DUMMYFUNCTION("""COMPUTED_VALUE"""),"90 DÍAS CALENDARIO")</f>
        <v>90 DÍAS CALENDARIO</v>
      </c>
      <c r="L34" s="213" t="str">
        <f>IFERROR(__xludf.DUMMYFUNCTION("""COMPUTED_VALUE"""),"")</f>
        <v/>
      </c>
      <c r="M34" s="213">
        <f>IFERROR(__xludf.DUMMYFUNCTION("""COMPUTED_VALUE"""),1.0)</f>
        <v>1</v>
      </c>
      <c r="N34" s="213">
        <f>IFERROR(__xludf.DUMMYFUNCTION("""COMPUTED_VALUE"""),5.0)</f>
        <v>5</v>
      </c>
      <c r="O34" s="213">
        <f>IFERROR(__xludf.DUMMYFUNCTION("""COMPUTED_VALUE"""),5.0)</f>
        <v>5</v>
      </c>
      <c r="P34" s="213"/>
      <c r="Q34" s="213"/>
      <c r="R34" s="213"/>
      <c r="S34" s="213"/>
      <c r="T34" s="213" t="str">
        <f>IFERROR(__xludf.DUMMYFUNCTION("""COMPUTED_VALUE"""),"CONSULTA FINAL")</f>
        <v>CONSULTA FINAL</v>
      </c>
      <c r="U34" s="213" t="str">
        <f>IFERROR(__xludf.DUMMYFUNCTION("""COMPUTED_VALUE"""),"NO")</f>
        <v>NO</v>
      </c>
      <c r="V34" s="213" t="str">
        <f>IFERROR(__xludf.DUMMYFUNCTION("""COMPUTED_VALUE"""),"NO")</f>
        <v>NO</v>
      </c>
      <c r="W34" s="213" t="str">
        <f>IFERROR(__xludf.DUMMYFUNCTION("""COMPUTED_VALUE"""),"EQU TEC")</f>
        <v>EQU TEC</v>
      </c>
      <c r="X34" s="213" t="str">
        <f>IFERROR(__xludf.DUMMYFUNCTION("""COMPUTED_VALUE"""),"Grupo Nova")</f>
        <v>Grupo Nova</v>
      </c>
      <c r="Y34" s="213" t="str">
        <f>IFERROR(__xludf.DUMMYFUNCTION("""COMPUTED_VALUE"""),"Bandeja Perforada 65x45 cm Aluminio 1.2 Mm")</f>
        <v>Bandeja Perforada 65x45 cm Aluminio 1.2 Mm</v>
      </c>
      <c r="Z34" s="215" t="str">
        <f>IFERROR(__xludf.DUMMYFUNCTION("""COMPUTED_VALUE"""),"https://www.gruponova.pe/products/bandeja-perforada-60-x-40-cm-aluminio-1-2-mm")</f>
        <v>https://www.gruponova.pe/products/bandeja-perforada-60-x-40-cm-aluminio-1-2-mm</v>
      </c>
      <c r="AA34" s="213" t="str">
        <f>IFERROR(__xludf.DUMMYFUNCTION("""COMPUTED_VALUE"""),"COM-116 BANDEJA PERFORADA - CET")</f>
        <v>COM-116 BANDEJA PERFORADA - CET</v>
      </c>
      <c r="AB34" s="213"/>
      <c r="AC34" s="213"/>
      <c r="AD34" s="213"/>
      <c r="AE34" s="213"/>
      <c r="AF34" s="213"/>
      <c r="AG34" s="213"/>
      <c r="AH34" s="213"/>
      <c r="AI34" s="213"/>
      <c r="AJ34" s="213"/>
      <c r="AK34" s="213"/>
      <c r="AL34" s="213"/>
      <c r="AM34" s="213"/>
      <c r="AN34" s="213"/>
      <c r="AO34" s="213"/>
      <c r="AP34" s="213" t="str">
        <f>IFERROR(__xludf.DUMMYFUNCTION("""COMPUTED_VALUE"""),"BRUNO")</f>
        <v>BRUNO</v>
      </c>
      <c r="AQ34" s="213" t="str">
        <f>IFERROR(__xludf.DUMMYFUNCTION("""COMPUTED_VALUE"""),"Confirmar medidas del requisito")</f>
        <v>Confirmar medidas del requisito</v>
      </c>
      <c r="AR34" s="213"/>
      <c r="AS34" s="213"/>
      <c r="AT34" s="213"/>
      <c r="AU34" s="213"/>
      <c r="AV34" s="213"/>
      <c r="AW34" s="213"/>
      <c r="AX34" s="213"/>
      <c r="AY34" s="213"/>
      <c r="AZ34" s="213"/>
      <c r="BA34" s="213"/>
      <c r="BB34" s="213"/>
      <c r="BC34" s="213"/>
      <c r="BD34" s="213"/>
    </row>
    <row r="35">
      <c r="A35" s="213">
        <f>IFERROR(__xludf.DUMMYFUNCTION("""COMPUTED_VALUE"""),2034.0)</f>
        <v>2034</v>
      </c>
      <c r="B35" s="213" t="str">
        <f>IFERROR(__xludf.DUMMYFUNCTION("""COMPUTED_VALUE"""),"JOSE GRANDA")</f>
        <v>JOSE GRANDA</v>
      </c>
      <c r="C35" s="213" t="str">
        <f>IFERROR(__xludf.DUMMYFUNCTION("""COMPUTED_VALUE"""),"TALLER SFT DE INDUSTRIA ALIMENTARIA")</f>
        <v>TALLER SFT DE INDUSTRIA ALIMENTARIA</v>
      </c>
      <c r="D35" s="213" t="str">
        <f>IFERROR(__xludf.DUMMYFUNCTION("""COMPUTED_VALUE"""),"HERRAMIENTAS")</f>
        <v>HERRAMIENTAS</v>
      </c>
      <c r="E35" s="213" t="str">
        <f>IFERROR(__xludf.DUMMYFUNCTION("""COMPUTED_VALUE"""),"COM-116")</f>
        <v>COM-116</v>
      </c>
      <c r="F35" s="213" t="str">
        <f>IFERROR(__xludf.DUMMYFUNCTION("""COMPUTED_VALUE"""),"COM-116")</f>
        <v>COM-116</v>
      </c>
      <c r="G35" s="213"/>
      <c r="H35" s="213" t="str">
        <f>IFERROR(__xludf.DUMMYFUNCTION("""COMPUTED_VALUE"""),"BANDEJA PERFORADA")</f>
        <v>BANDEJA PERFORADA</v>
      </c>
      <c r="I35" s="213" t="str">
        <f>IFERROR(__xludf.DUMMYFUNCTION("""COMPUTED_VALUE"""),"· Fabricadas en aluminio aleación 3003 H14 Los
· Conducción térmica
· Bordes están reforzados con cabilla de alto calibre
· Largo: 0.60cm, ancho: 0.50 cm")</f>
        <v>· Fabricadas en aluminio aleación 3003 H14 Los
· Conducción térmica
· Bordes están reforzados con cabilla de alto calibre
· Largo: 0.60cm, ancho: 0.50 cm</v>
      </c>
      <c r="J35" s="213">
        <f>IFERROR(__xludf.DUMMYFUNCTION("""COMPUTED_VALUE"""),3.0)</f>
        <v>3</v>
      </c>
      <c r="K35" s="213" t="str">
        <f>IFERROR(__xludf.DUMMYFUNCTION("""COMPUTED_VALUE"""),"90 DÍAS CALENDARIO")</f>
        <v>90 DÍAS CALENDARIO</v>
      </c>
      <c r="L35" s="213" t="str">
        <f>IFERROR(__xludf.DUMMYFUNCTION("""COMPUTED_VALUE"""),"")</f>
        <v/>
      </c>
      <c r="M35" s="213">
        <f>IFERROR(__xludf.DUMMYFUNCTION("""COMPUTED_VALUE"""),1.0)</f>
        <v>1</v>
      </c>
      <c r="N35" s="213">
        <f>IFERROR(__xludf.DUMMYFUNCTION("""COMPUTED_VALUE"""),5.0)</f>
        <v>5</v>
      </c>
      <c r="O35" s="213">
        <f>IFERROR(__xludf.DUMMYFUNCTION("""COMPUTED_VALUE"""),5.0)</f>
        <v>5</v>
      </c>
      <c r="P35" s="213"/>
      <c r="Q35" s="213"/>
      <c r="R35" s="213"/>
      <c r="S35" s="213"/>
      <c r="T35" s="213" t="str">
        <f>IFERROR(__xludf.DUMMYFUNCTION("""COMPUTED_VALUE"""),"CONSULTA FINAL")</f>
        <v>CONSULTA FINAL</v>
      </c>
      <c r="U35" s="213" t="str">
        <f>IFERROR(__xludf.DUMMYFUNCTION("""COMPUTED_VALUE"""),"NO")</f>
        <v>NO</v>
      </c>
      <c r="V35" s="213" t="str">
        <f>IFERROR(__xludf.DUMMYFUNCTION("""COMPUTED_VALUE"""),"NO")</f>
        <v>NO</v>
      </c>
      <c r="W35" s="213" t="str">
        <f>IFERROR(__xludf.DUMMYFUNCTION("""COMPUTED_VALUE"""),"EQU TEC")</f>
        <v>EQU TEC</v>
      </c>
      <c r="X35" s="213" t="str">
        <f>IFERROR(__xludf.DUMMYFUNCTION("""COMPUTED_VALUE"""),"Grupo Nova")</f>
        <v>Grupo Nova</v>
      </c>
      <c r="Y35" s="213" t="str">
        <f>IFERROR(__xludf.DUMMYFUNCTION("""COMPUTED_VALUE"""),"Bandeja Perforada 65x45 cm Aluminio 1.2 Mm")</f>
        <v>Bandeja Perforada 65x45 cm Aluminio 1.2 Mm</v>
      </c>
      <c r="Z35" s="215" t="str">
        <f>IFERROR(__xludf.DUMMYFUNCTION("""COMPUTED_VALUE"""),"https://www.gruponova.pe/products/bandeja-perforada-60-x-40-cm-aluminio-1-2-mm")</f>
        <v>https://www.gruponova.pe/products/bandeja-perforada-60-x-40-cm-aluminio-1-2-mm</v>
      </c>
      <c r="AA35" s="213" t="str">
        <f>IFERROR(__xludf.DUMMYFUNCTION("""COMPUTED_VALUE"""),"COM-116 BANDEJA PERFORADA - CET")</f>
        <v>COM-116 BANDEJA PERFORADA - CET</v>
      </c>
      <c r="AB35" s="213"/>
      <c r="AC35" s="213"/>
      <c r="AD35" s="213"/>
      <c r="AE35" s="213"/>
      <c r="AF35" s="213"/>
      <c r="AG35" s="213"/>
      <c r="AH35" s="213"/>
      <c r="AI35" s="213"/>
      <c r="AJ35" s="213"/>
      <c r="AK35" s="213"/>
      <c r="AL35" s="213"/>
      <c r="AM35" s="213"/>
      <c r="AN35" s="213"/>
      <c r="AO35" s="213"/>
      <c r="AP35" s="213" t="str">
        <f>IFERROR(__xludf.DUMMYFUNCTION("""COMPUTED_VALUE"""),"BRUNO")</f>
        <v>BRUNO</v>
      </c>
      <c r="AQ35" s="213" t="str">
        <f>IFERROR(__xludf.DUMMYFUNCTION("""COMPUTED_VALUE"""),"Confirmar medidas del requisito")</f>
        <v>Confirmar medidas del requisito</v>
      </c>
      <c r="AR35" s="213"/>
      <c r="AS35" s="213"/>
      <c r="AT35" s="213"/>
      <c r="AU35" s="213"/>
      <c r="AV35" s="213"/>
      <c r="AW35" s="213"/>
      <c r="AX35" s="213"/>
      <c r="AY35" s="213"/>
      <c r="AZ35" s="213"/>
      <c r="BA35" s="213"/>
      <c r="BB35" s="213"/>
      <c r="BC35" s="213"/>
      <c r="BD35" s="213"/>
    </row>
    <row r="36">
      <c r="A36" s="213">
        <f>IFERROR(__xludf.DUMMYFUNCTION("""COMPUTED_VALUE"""),56.0)</f>
        <v>56</v>
      </c>
      <c r="B36" s="213" t="str">
        <f>IFERROR(__xludf.DUMMYFUNCTION("""COMPUTED_VALUE"""),"16449 ELOY SOBERON  FLORES")</f>
        <v>16449 ELOY SOBERON  FLORES</v>
      </c>
      <c r="C36" s="213" t="str">
        <f>IFERROR(__xludf.DUMMYFUNCTION("""COMPUTED_VALUE"""),"TALLER SFT DE COCINA Y REPOSTERÍA")</f>
        <v>TALLER SFT DE COCINA Y REPOSTERÍA</v>
      </c>
      <c r="D36" s="213" t="str">
        <f>IFERROR(__xludf.DUMMYFUNCTION("""COMPUTED_VALUE"""),"HERRAMIENTAS")</f>
        <v>HERRAMIENTAS</v>
      </c>
      <c r="E36" s="213" t="str">
        <f>IFERROR(__xludf.DUMMYFUNCTION("""COMPUTED_VALUE"""),"COM-117")</f>
        <v>COM-117</v>
      </c>
      <c r="F36" s="213" t="str">
        <f>IFERROR(__xludf.DUMMYFUNCTION("""COMPUTED_VALUE"""),"COM-117")</f>
        <v>COM-117</v>
      </c>
      <c r="G36" s="213"/>
      <c r="H36" s="213" t="str">
        <f>IFERROR(__xludf.DUMMYFUNCTION("""COMPUTED_VALUE"""),"BATAN")</f>
        <v>BATAN</v>
      </c>
      <c r="I36" s="213" t="str">
        <f>IFERROR(__xludf.DUMMYFUNCTION("""COMPUTED_VALUE"""),"· Medidas aproximadas (+-3cm): 30x18 cm. H= 6.
· Batanes y Morteros de granito")</f>
        <v>· Medidas aproximadas (+-3cm): 30x18 cm. H= 6.
· Batanes y Morteros de granito</v>
      </c>
      <c r="J36" s="213">
        <f>IFERROR(__xludf.DUMMYFUNCTION("""COMPUTED_VALUE"""),3.0)</f>
        <v>3</v>
      </c>
      <c r="K36" s="213" t="str">
        <f>IFERROR(__xludf.DUMMYFUNCTION("""COMPUTED_VALUE"""),"90 DÍAS CALENDARIO")</f>
        <v>90 DÍAS CALENDARIO</v>
      </c>
      <c r="L36" s="213" t="str">
        <f>IFERROR(__xludf.DUMMYFUNCTION("""COMPUTED_VALUE"""),"")</f>
        <v/>
      </c>
      <c r="M36" s="213">
        <f>IFERROR(__xludf.DUMMYFUNCTION("""COMPUTED_VALUE"""),1.0)</f>
        <v>1</v>
      </c>
      <c r="N36" s="213">
        <f>IFERROR(__xludf.DUMMYFUNCTION("""COMPUTED_VALUE"""),4.0)</f>
        <v>4</v>
      </c>
      <c r="O36" s="213">
        <f>IFERROR(__xludf.DUMMYFUNCTION("""COMPUTED_VALUE"""),4.0)</f>
        <v>4</v>
      </c>
      <c r="P36" s="213"/>
      <c r="Q36" s="213"/>
      <c r="R36" s="213"/>
      <c r="S36" s="213"/>
      <c r="T36" s="213" t="str">
        <f>IFERROR(__xludf.DUMMYFUNCTION("""COMPUTED_VALUE"""),"SI")</f>
        <v>SI</v>
      </c>
      <c r="U36" s="213" t="str">
        <f>IFERROR(__xludf.DUMMYFUNCTION("""COMPUTED_VALUE"""),"SI")</f>
        <v>SI</v>
      </c>
      <c r="V36" s="213" t="str">
        <f>IFERROR(__xludf.DUMMYFUNCTION("""COMPUTED_VALUE"""),"-")</f>
        <v>-</v>
      </c>
      <c r="W36" s="213" t="str">
        <f>IFERROR(__xludf.DUMMYFUNCTION("""COMPUTED_VALUE"""),"-")</f>
        <v>-</v>
      </c>
      <c r="X36" s="213" t="str">
        <f>IFERROR(__xludf.DUMMYFUNCTION("""COMPUTED_VALUE"""),"morteroypiedra")</f>
        <v>morteroypiedra</v>
      </c>
      <c r="Y36" s="213" t="str">
        <f>IFERROR(__xludf.DUMMYFUNCTION("""COMPUTED_VALUE"""),"Mini Batan de cocina")</f>
        <v>Mini Batan de cocina</v>
      </c>
      <c r="Z36" s="215" t="str">
        <f>IFERROR(__xludf.DUMMYFUNCTION("""COMPUTED_VALUE"""),"https://morteroypiedra.mobirisesite.com/")</f>
        <v>https://morteroypiedra.mobirisesite.com/</v>
      </c>
      <c r="AA36" s="213" t="str">
        <f>IFERROR(__xludf.DUMMYFUNCTION("""COMPUTED_VALUE"""),"COM-117 BATAN- CET")</f>
        <v>COM-117 BATAN- CET</v>
      </c>
      <c r="AB36" s="213"/>
      <c r="AC36" s="213"/>
      <c r="AD36" s="213"/>
      <c r="AE36" s="213"/>
      <c r="AF36" s="213"/>
      <c r="AG36" s="213"/>
      <c r="AH36" s="213"/>
      <c r="AI36" s="213"/>
      <c r="AJ36" s="213"/>
      <c r="AK36" s="213"/>
      <c r="AL36" s="213"/>
      <c r="AM36" s="213"/>
      <c r="AN36" s="213"/>
      <c r="AO36" s="213"/>
      <c r="AP36" s="213" t="str">
        <f>IFERROR(__xludf.DUMMYFUNCTION("""COMPUTED_VALUE"""),"BRUNO")</f>
        <v>BRUNO</v>
      </c>
      <c r="AQ36" s="213"/>
      <c r="AR36" s="213"/>
      <c r="AS36" s="213"/>
      <c r="AT36" s="213"/>
      <c r="AU36" s="213"/>
      <c r="AV36" s="213"/>
      <c r="AW36" s="213"/>
      <c r="AX36" s="213"/>
      <c r="AY36" s="213"/>
      <c r="AZ36" s="213"/>
      <c r="BA36" s="213"/>
      <c r="BB36" s="213"/>
      <c r="BC36" s="213"/>
      <c r="BD36" s="213"/>
    </row>
    <row r="37">
      <c r="A37" s="213">
        <f>IFERROR(__xludf.DUMMYFUNCTION("""COMPUTED_VALUE"""),20.0)</f>
        <v>20</v>
      </c>
      <c r="B37" s="213" t="str">
        <f>IFERROR(__xludf.DUMMYFUNCTION("""COMPUTED_VALUE"""),"16449 ELOY SOBERON  FLORES")</f>
        <v>16449 ELOY SOBERON  FLORES</v>
      </c>
      <c r="C37" s="213" t="str">
        <f>IFERROR(__xludf.DUMMYFUNCTION("""COMPUTED_VALUE"""),"TALLER SFT DE COCINA Y REPOSTERÍA")</f>
        <v>TALLER SFT DE COCINA Y REPOSTERÍA</v>
      </c>
      <c r="D37" s="213" t="str">
        <f>IFERROR(__xludf.DUMMYFUNCTION("""COMPUTED_VALUE"""),"HERRAMIENTAS")</f>
        <v>HERRAMIENTAS</v>
      </c>
      <c r="E37" s="213" t="str">
        <f>IFERROR(__xludf.DUMMYFUNCTION("""COMPUTED_VALUE"""),"COM-118")</f>
        <v>COM-118</v>
      </c>
      <c r="F37" s="213" t="str">
        <f>IFERROR(__xludf.DUMMYFUNCTION("""COMPUTED_VALUE"""),"COM-118")</f>
        <v>COM-118</v>
      </c>
      <c r="G37" s="213"/>
      <c r="H37" s="213" t="str">
        <f>IFERROR(__xludf.DUMMYFUNCTION("""COMPUTED_VALUE"""),"JUEGO DE BRACERA ROSTICERA")</f>
        <v>JUEGO DE BRACERA ROSTICERA</v>
      </c>
      <c r="I37" s="213" t="str">
        <f>IFERROR(__xludf.DUMMYFUNCTION("""COMPUTED_VALUE"""),"· Dimensión: 10 x 15 pulgadas (2 unidades) 9 x 5 pulgadas (3 unidades) rectángulo
· Material: Aluminio
· Antihaderente interno y externo.")</f>
        <v>· Dimensión: 10 x 15 pulgadas (2 unidades) 9 x 5 pulgadas (3 unidades) rectángulo
· Material: Aluminio
· Antihaderente interno y externo.</v>
      </c>
      <c r="J37" s="213">
        <f>IFERROR(__xludf.DUMMYFUNCTION("""COMPUTED_VALUE"""),3.0)</f>
        <v>3</v>
      </c>
      <c r="K37" s="213" t="str">
        <f>IFERROR(__xludf.DUMMYFUNCTION("""COMPUTED_VALUE"""),"90 DÍAS CALENDARIO")</f>
        <v>90 DÍAS CALENDARIO</v>
      </c>
      <c r="L37" s="213" t="str">
        <f>IFERROR(__xludf.DUMMYFUNCTION("""COMPUTED_VALUE"""),"")</f>
        <v/>
      </c>
      <c r="M37" s="213">
        <f>IFERROR(__xludf.DUMMYFUNCTION("""COMPUTED_VALUE"""),1.0)</f>
        <v>1</v>
      </c>
      <c r="N37" s="213">
        <f>IFERROR(__xludf.DUMMYFUNCTION("""COMPUTED_VALUE"""),4.0)</f>
        <v>4</v>
      </c>
      <c r="O37" s="213">
        <f>IFERROR(__xludf.DUMMYFUNCTION("""COMPUTED_VALUE"""),4.0)</f>
        <v>4</v>
      </c>
      <c r="P37" s="213"/>
      <c r="Q37" s="213"/>
      <c r="R37" s="213" t="str">
        <f>IFERROR(__xludf.DUMMYFUNCTION("""COMPUTED_VALUE"""),"SI")</f>
        <v>SI</v>
      </c>
      <c r="S37" s="213"/>
      <c r="T37" s="213" t="str">
        <f>IFERROR(__xludf.DUMMYFUNCTION("""COMPUTED_VALUE"""),"CONSULTA FINAL")</f>
        <v>CONSULTA FINAL</v>
      </c>
      <c r="U37" s="213" t="str">
        <f>IFERROR(__xludf.DUMMYFUNCTION("""COMPUTED_VALUE"""),"SI")</f>
        <v>SI</v>
      </c>
      <c r="V37" s="213" t="str">
        <f>IFERROR(__xludf.DUMMYFUNCTION("""COMPUTED_VALUE"""),"-")</f>
        <v>-</v>
      </c>
      <c r="W37" s="213" t="str">
        <f>IFERROR(__xludf.DUMMYFUNCTION("""COMPUTED_VALUE"""),"-")</f>
        <v>-</v>
      </c>
      <c r="X37" s="213" t="str">
        <f>IFERROR(__xludf.DUMMYFUNCTION("""COMPUTED_VALUE"""),"NORDIC WARE")</f>
        <v>NORDIC WARE</v>
      </c>
      <c r="Y37" s="213" t="str">
        <f>IFERROR(__xludf.DUMMYFUNCTION("""COMPUTED_VALUE"""),"130332765 / 130332769")</f>
        <v>130332765 / 130332769</v>
      </c>
      <c r="Z37" s="215" t="str">
        <f>IFERROR(__xludf.DUMMYFUNCTION("""COMPUTED_VALUE"""),"https://www.sodimac.com.pe/sodimac-pe/articulo/130332764/Bandeja-para-hornear-Eighth-de-aluminio-de-24cm-x-16cm/130332765")</f>
        <v>https://www.sodimac.com.pe/sodimac-pe/articulo/130332764/Bandeja-para-hornear-Eighth-de-aluminio-de-24cm-x-16cm/130332765</v>
      </c>
      <c r="AA37" s="213" t="str">
        <f>IFERROR(__xludf.DUMMYFUNCTION("""COMPUTED_VALUE"""),"COM-118 JUEGO DE BRACERA ROSTICERA - CET")</f>
        <v>COM-118 JUEGO DE BRACERA ROSTICERA - CET</v>
      </c>
      <c r="AB37" s="213"/>
      <c r="AC37" s="213"/>
      <c r="AD37" s="213"/>
      <c r="AE37" s="213"/>
      <c r="AF37" s="213"/>
      <c r="AG37" s="213"/>
      <c r="AH37" s="213"/>
      <c r="AI37" s="213"/>
      <c r="AJ37" s="213"/>
      <c r="AK37" s="213"/>
      <c r="AL37" s="213"/>
      <c r="AM37" s="213"/>
      <c r="AN37" s="213"/>
      <c r="AO37" s="213"/>
      <c r="AP37" s="213" t="str">
        <f>IFERROR(__xludf.DUMMYFUNCTION("""COMPUTED_VALUE"""),"SEBASTIAN")</f>
        <v>SEBASTIAN</v>
      </c>
      <c r="AQ37" s="213"/>
      <c r="AR37" s="213"/>
      <c r="AS37" s="213"/>
      <c r="AT37" s="213"/>
      <c r="AU37" s="213"/>
      <c r="AV37" s="213"/>
      <c r="AW37" s="213"/>
      <c r="AX37" s="213"/>
      <c r="AY37" s="213"/>
      <c r="AZ37" s="213"/>
      <c r="BA37" s="213"/>
      <c r="BB37" s="213"/>
      <c r="BC37" s="213"/>
      <c r="BD37" s="213"/>
    </row>
    <row r="38">
      <c r="A38" s="213">
        <f>IFERROR(__xludf.DUMMYFUNCTION("""COMPUTED_VALUE"""),1837.0)</f>
        <v>1837</v>
      </c>
      <c r="B38" s="213" t="str">
        <f>IFERROR(__xludf.DUMMYFUNCTION("""COMPUTED_VALUE"""),"GUILLERMO E. BILLINGHURST ")</f>
        <v>GUILLERMO E. BILLINGHURST </v>
      </c>
      <c r="C38" s="213" t="str">
        <f>IFERROR(__xludf.DUMMYFUNCTION("""COMPUTED_VALUE"""),"TALLER SFT DE EBANISTERÍA")</f>
        <v>TALLER SFT DE EBANISTERÍA</v>
      </c>
      <c r="D38" s="213" t="str">
        <f>IFERROR(__xludf.DUMMYFUNCTION("""COMPUTED_VALUE"""),"HERRAMIENTAS")</f>
        <v>HERRAMIENTAS</v>
      </c>
      <c r="E38" s="213" t="str">
        <f>IFERROR(__xludf.DUMMYFUNCTION("""COMPUTED_VALUE"""),"COM-119")</f>
        <v>COM-119</v>
      </c>
      <c r="F38" s="213" t="str">
        <f>IFERROR(__xludf.DUMMYFUNCTION("""COMPUTED_VALUE"""),"COM-119")</f>
        <v>COM-119</v>
      </c>
      <c r="G38" s="213"/>
      <c r="H38" s="213" t="str">
        <f>IFERROR(__xludf.DUMMYFUNCTION("""COMPUTED_VALUE"""),"JUEGO DE BROCAS PARA BISAGRA DE CANGREJO")</f>
        <v>JUEGO DE BROCAS PARA BISAGRA DE CANGREJO</v>
      </c>
      <c r="I38" s="213" t="str">
        <f>IFERROR(__xludf.DUMMYFUNCTION("""COMPUTED_VALUE"""),"Trabaja en taladros giratorios. Posee punta de centraje.
Genera agujeros para instalación de bisagra cangrejo en muebles de madera, MDF, melamina, entre otros.
Material: Acero de alta resistencia.
Medidas del Juego de Brocas: de 15, 20, 25, 30 y 35 mm.")</f>
        <v>Trabaja en taladros giratorios. Posee punta de centraje.
Genera agujeros para instalación de bisagra cangrejo en muebles de madera, MDF, melamina, entre otros.
Material: Acero de alta resistencia.
Medidas del Juego de Brocas: de 15, 20, 25, 30 y 35 mm.</v>
      </c>
      <c r="J38" s="213">
        <f>IFERROR(__xludf.DUMMYFUNCTION("""COMPUTED_VALUE"""),3.0)</f>
        <v>3</v>
      </c>
      <c r="K38" s="213" t="str">
        <f>IFERROR(__xludf.DUMMYFUNCTION("""COMPUTED_VALUE"""),"90 DÍAS CALENDARIO")</f>
        <v>90 DÍAS CALENDARIO</v>
      </c>
      <c r="L38" s="213" t="str">
        <f>IFERROR(__xludf.DUMMYFUNCTION("""COMPUTED_VALUE"""),"")</f>
        <v/>
      </c>
      <c r="M38" s="213">
        <f>IFERROR(__xludf.DUMMYFUNCTION("""COMPUTED_VALUE"""),1.0)</f>
        <v>1</v>
      </c>
      <c r="N38" s="213">
        <f>IFERROR(__xludf.DUMMYFUNCTION("""COMPUTED_VALUE"""),2.0)</f>
        <v>2</v>
      </c>
      <c r="O38" s="213">
        <f>IFERROR(__xludf.DUMMYFUNCTION("""COMPUTED_VALUE"""),2.0)</f>
        <v>2</v>
      </c>
      <c r="P38" s="213"/>
      <c r="Q38" s="213"/>
      <c r="R38" s="213" t="str">
        <f>IFERROR(__xludf.DUMMYFUNCTION("""COMPUTED_VALUE"""),"SI")</f>
        <v>SI</v>
      </c>
      <c r="S38" s="213"/>
      <c r="T38" s="213" t="str">
        <f>IFERROR(__xludf.DUMMYFUNCTION("""COMPUTED_VALUE"""),"SI")</f>
        <v>SI</v>
      </c>
      <c r="U38" s="213" t="str">
        <f>IFERROR(__xludf.DUMMYFUNCTION("""COMPUTED_VALUE"""),"SI")</f>
        <v>SI</v>
      </c>
      <c r="V38" s="213" t="str">
        <f>IFERROR(__xludf.DUMMYFUNCTION("""COMPUTED_VALUE"""),"-")</f>
        <v>-</v>
      </c>
      <c r="W38" s="213" t="str">
        <f>IFERROR(__xludf.DUMMYFUNCTION("""COMPUTED_VALUE"""),"-")</f>
        <v>-</v>
      </c>
      <c r="X38" s="213" t="str">
        <f>IFERROR(__xludf.DUMMYFUNCTION("""COMPUTED_VALUE"""),"Diager")</f>
        <v>Diager</v>
      </c>
      <c r="Y38" s="213" t="str">
        <f>IFERROR(__xludf.DUMMYFUNCTION("""COMPUTED_VALUE"""),"940D")</f>
        <v>940D</v>
      </c>
      <c r="Z38" s="215" t="str">
        <f>IFERROR(__xludf.DUMMYFUNCTION("""COMPUTED_VALUE"""),"https://www.diager.com/en/catalogue/forstner-woodmax-940d/")</f>
        <v>https://www.diager.com/en/catalogue/forstner-woodmax-940d/</v>
      </c>
      <c r="AA38" s="213" t="str">
        <f>IFERROR(__xludf.DUMMYFUNCTION("""COMPUTED_VALUE"""),"COM-119 JUEGO DE BROCAS PARA BISAGRA DE CANGREJO - CET")</f>
        <v>COM-119 JUEGO DE BROCAS PARA BISAGRA DE CANGREJO - CET</v>
      </c>
      <c r="AB38" s="213"/>
      <c r="AC38" s="213"/>
      <c r="AD38" s="213"/>
      <c r="AE38" s="213"/>
      <c r="AF38" s="213"/>
      <c r="AG38" s="213"/>
      <c r="AH38" s="213"/>
      <c r="AI38" s="213"/>
      <c r="AJ38" s="213"/>
      <c r="AK38" s="213"/>
      <c r="AL38" s="213"/>
      <c r="AM38" s="213"/>
      <c r="AN38" s="213"/>
      <c r="AO38" s="213"/>
      <c r="AP38" s="213" t="str">
        <f>IFERROR(__xludf.DUMMYFUNCTION("""COMPUTED_VALUE"""),"SEBASTIAN")</f>
        <v>SEBASTIAN</v>
      </c>
      <c r="AQ38" s="213"/>
      <c r="AR38" s="213"/>
      <c r="AS38" s="213"/>
      <c r="AT38" s="213"/>
      <c r="AU38" s="213"/>
      <c r="AV38" s="213"/>
      <c r="AW38" s="213"/>
      <c r="AX38" s="213"/>
      <c r="AY38" s="213"/>
      <c r="AZ38" s="213"/>
      <c r="BA38" s="213"/>
      <c r="BB38" s="213"/>
      <c r="BC38" s="213"/>
      <c r="BD38" s="213"/>
    </row>
    <row r="39">
      <c r="A39" s="213">
        <f>IFERROR(__xludf.DUMMYFUNCTION("""COMPUTED_VALUE"""),2619.0)</f>
        <v>2619</v>
      </c>
      <c r="B39" s="213" t="str">
        <f>IFERROR(__xludf.DUMMYFUNCTION("""COMPUTED_VALUE"""),"MANUEL ANTONIO MESONES MURO")</f>
        <v>MANUEL ANTONIO MESONES MURO</v>
      </c>
      <c r="C39" s="213" t="str">
        <f>IFERROR(__xludf.DUMMYFUNCTION("""COMPUTED_VALUE"""),"TALLER SFT DE EBANISTERÍA")</f>
        <v>TALLER SFT DE EBANISTERÍA</v>
      </c>
      <c r="D39" s="213" t="str">
        <f>IFERROR(__xludf.DUMMYFUNCTION("""COMPUTED_VALUE"""),"HERRAMIENTAS")</f>
        <v>HERRAMIENTAS</v>
      </c>
      <c r="E39" s="213" t="str">
        <f>IFERROR(__xludf.DUMMYFUNCTION("""COMPUTED_VALUE"""),"COM-119")</f>
        <v>COM-119</v>
      </c>
      <c r="F39" s="213" t="str">
        <f>IFERROR(__xludf.DUMMYFUNCTION("""COMPUTED_VALUE"""),"COM-119")</f>
        <v>COM-119</v>
      </c>
      <c r="G39" s="213"/>
      <c r="H39" s="213" t="str">
        <f>IFERROR(__xludf.DUMMYFUNCTION("""COMPUTED_VALUE"""),"JUEGO DE BROCAS PARA BISAGRA DE CANGREJO")</f>
        <v>JUEGO DE BROCAS PARA BISAGRA DE CANGREJO</v>
      </c>
      <c r="I39" s="213" t="str">
        <f>IFERROR(__xludf.DUMMYFUNCTION("""COMPUTED_VALUE"""),"Trabaja en taladros giratorios. Posee punta de centraje.
Genera agujeros para instalación de bisagra cangrejo en muebles de madera, MDF, melamina, entre otros.
Material: Acero de alta resistencia.
Medidas del Juego de Brocas: de 15, 20, 25, 30 y 35 mm.")</f>
        <v>Trabaja en taladros giratorios. Posee punta de centraje.
Genera agujeros para instalación de bisagra cangrejo en muebles de madera, MDF, melamina, entre otros.
Material: Acero de alta resistencia.
Medidas del Juego de Brocas: de 15, 20, 25, 30 y 35 mm.</v>
      </c>
      <c r="J39" s="213">
        <f>IFERROR(__xludf.DUMMYFUNCTION("""COMPUTED_VALUE"""),3.0)</f>
        <v>3</v>
      </c>
      <c r="K39" s="213" t="str">
        <f>IFERROR(__xludf.DUMMYFUNCTION("""COMPUTED_VALUE"""),"90 DÍAS CALENDARIO")</f>
        <v>90 DÍAS CALENDARIO</v>
      </c>
      <c r="L39" s="213" t="str">
        <f>IFERROR(__xludf.DUMMYFUNCTION("""COMPUTED_VALUE"""),"")</f>
        <v/>
      </c>
      <c r="M39" s="213">
        <f>IFERROR(__xludf.DUMMYFUNCTION("""COMPUTED_VALUE"""),1.0)</f>
        <v>1</v>
      </c>
      <c r="N39" s="213">
        <f>IFERROR(__xludf.DUMMYFUNCTION("""COMPUTED_VALUE"""),2.0)</f>
        <v>2</v>
      </c>
      <c r="O39" s="213">
        <f>IFERROR(__xludf.DUMMYFUNCTION("""COMPUTED_VALUE"""),2.0)</f>
        <v>2</v>
      </c>
      <c r="P39" s="213"/>
      <c r="Q39" s="213"/>
      <c r="R39" s="213" t="str">
        <f>IFERROR(__xludf.DUMMYFUNCTION("""COMPUTED_VALUE"""),"SI")</f>
        <v>SI</v>
      </c>
      <c r="S39" s="213"/>
      <c r="T39" s="213" t="str">
        <f>IFERROR(__xludf.DUMMYFUNCTION("""COMPUTED_VALUE"""),"SI")</f>
        <v>SI</v>
      </c>
      <c r="U39" s="213" t="str">
        <f>IFERROR(__xludf.DUMMYFUNCTION("""COMPUTED_VALUE"""),"SI")</f>
        <v>SI</v>
      </c>
      <c r="V39" s="213" t="str">
        <f>IFERROR(__xludf.DUMMYFUNCTION("""COMPUTED_VALUE"""),"-")</f>
        <v>-</v>
      </c>
      <c r="W39" s="213" t="str">
        <f>IFERROR(__xludf.DUMMYFUNCTION("""COMPUTED_VALUE"""),"-")</f>
        <v>-</v>
      </c>
      <c r="X39" s="213" t="str">
        <f>IFERROR(__xludf.DUMMYFUNCTION("""COMPUTED_VALUE"""),"Diager")</f>
        <v>Diager</v>
      </c>
      <c r="Y39" s="213" t="str">
        <f>IFERROR(__xludf.DUMMYFUNCTION("""COMPUTED_VALUE"""),"940D")</f>
        <v>940D</v>
      </c>
      <c r="Z39" s="215" t="str">
        <f>IFERROR(__xludf.DUMMYFUNCTION("""COMPUTED_VALUE"""),"https://www.diager.com/en/catalogue/forstner-woodmax-940d/")</f>
        <v>https://www.diager.com/en/catalogue/forstner-woodmax-940d/</v>
      </c>
      <c r="AA39" s="213" t="str">
        <f>IFERROR(__xludf.DUMMYFUNCTION("""COMPUTED_VALUE"""),"COM-119 JUEGO DE BROCAS PARA BISAGRA DE CANGREJO - CET")</f>
        <v>COM-119 JUEGO DE BROCAS PARA BISAGRA DE CANGREJO - CET</v>
      </c>
      <c r="AB39" s="213"/>
      <c r="AC39" s="213"/>
      <c r="AD39" s="213"/>
      <c r="AE39" s="213"/>
      <c r="AF39" s="213"/>
      <c r="AG39" s="213"/>
      <c r="AH39" s="213"/>
      <c r="AI39" s="213"/>
      <c r="AJ39" s="213"/>
      <c r="AK39" s="213"/>
      <c r="AL39" s="213"/>
      <c r="AM39" s="213"/>
      <c r="AN39" s="213"/>
      <c r="AO39" s="213"/>
      <c r="AP39" s="213" t="str">
        <f>IFERROR(__xludf.DUMMYFUNCTION("""COMPUTED_VALUE"""),"SEBASTIAN")</f>
        <v>SEBASTIAN</v>
      </c>
      <c r="AQ39" s="213"/>
      <c r="AR39" s="213"/>
      <c r="AS39" s="213"/>
      <c r="AT39" s="213"/>
      <c r="AU39" s="213"/>
      <c r="AV39" s="213"/>
      <c r="AW39" s="213"/>
      <c r="AX39" s="213"/>
      <c r="AY39" s="213"/>
      <c r="AZ39" s="213"/>
      <c r="BA39" s="213"/>
      <c r="BB39" s="213"/>
      <c r="BC39" s="213"/>
      <c r="BD39" s="213"/>
    </row>
    <row r="40">
      <c r="A40" s="213">
        <f>IFERROR(__xludf.DUMMYFUNCTION("""COMPUTED_VALUE"""),1769.0)</f>
        <v>1769</v>
      </c>
      <c r="B40" s="213" t="str">
        <f>IFERROR(__xludf.DUMMYFUNCTION("""COMPUTED_VALUE"""),"GUILLERMO E. BILLINGHURST ")</f>
        <v>GUILLERMO E. BILLINGHURST </v>
      </c>
      <c r="C40" s="213" t="str">
        <f>IFERROR(__xludf.DUMMYFUNCTION("""COMPUTED_VALUE"""),"TALLER SFT DE EBANISTERÍA")</f>
        <v>TALLER SFT DE EBANISTERÍA</v>
      </c>
      <c r="D40" s="213" t="str">
        <f>IFERROR(__xludf.DUMMYFUNCTION("""COMPUTED_VALUE"""),"HERRAMIENTAS")</f>
        <v>HERRAMIENTAS</v>
      </c>
      <c r="E40" s="213" t="str">
        <f>IFERROR(__xludf.DUMMYFUNCTION("""COMPUTED_VALUE"""),"COM-120")</f>
        <v>COM-120</v>
      </c>
      <c r="F40" s="213" t="str">
        <f>IFERROR(__xludf.DUMMYFUNCTION("""COMPUTED_VALUE"""),"COM-120")</f>
        <v>COM-120</v>
      </c>
      <c r="G40" s="213"/>
      <c r="H40" s="213" t="str">
        <f>IFERROR(__xludf.DUMMYFUNCTION("""COMPUTED_VALUE"""),"CABALLETES")</f>
        <v>CABALLETES</v>
      </c>
      <c r="I40" s="213" t="str">
        <f>IFERROR(__xludf.DUMMYFUNCTION("""COMPUTED_VALUE"""),"Caballete de altura ajustable. Capacidad máxima de carga: 150 kg.
Altura ajustable mínima y máxima: 805 mm y 1300 mm. Dimensiones mínimas: L=580 mm x A=580 mm.
Material de la estructura: acero dulce.")</f>
        <v>Caballete de altura ajustable. Capacidad máxima de carga: 150 kg.
Altura ajustable mínima y máxima: 805 mm y 1300 mm. Dimensiones mínimas: L=580 mm x A=580 mm.
Material de la estructura: acero dulce.</v>
      </c>
      <c r="J40" s="213">
        <f>IFERROR(__xludf.DUMMYFUNCTION("""COMPUTED_VALUE"""),3.0)</f>
        <v>3</v>
      </c>
      <c r="K40" s="213" t="str">
        <f>IFERROR(__xludf.DUMMYFUNCTION("""COMPUTED_VALUE"""),"90 DÍAS CALENDARIO")</f>
        <v>90 DÍAS CALENDARIO</v>
      </c>
      <c r="L40" s="213" t="str">
        <f>IFERROR(__xludf.DUMMYFUNCTION("""COMPUTED_VALUE"""),"")</f>
        <v/>
      </c>
      <c r="M40" s="213">
        <f>IFERROR(__xludf.DUMMYFUNCTION("""COMPUTED_VALUE"""),1.0)</f>
        <v>1</v>
      </c>
      <c r="N40" s="213">
        <f>IFERROR(__xludf.DUMMYFUNCTION("""COMPUTED_VALUE"""),6.0)</f>
        <v>6</v>
      </c>
      <c r="O40" s="213">
        <f>IFERROR(__xludf.DUMMYFUNCTION("""COMPUTED_VALUE"""),6.0)</f>
        <v>6</v>
      </c>
      <c r="P40" s="213"/>
      <c r="Q40" s="213"/>
      <c r="R40" s="213" t="str">
        <f>IFERROR(__xludf.DUMMYFUNCTION("""COMPUTED_VALUE"""),"SI")</f>
        <v>SI</v>
      </c>
      <c r="S40" s="213"/>
      <c r="T40" s="213" t="str">
        <f>IFERROR(__xludf.DUMMYFUNCTION("""COMPUTED_VALUE"""),"SI")</f>
        <v>SI</v>
      </c>
      <c r="U40" s="213" t="str">
        <f>IFERROR(__xludf.DUMMYFUNCTION("""COMPUTED_VALUE"""),"SI")</f>
        <v>SI</v>
      </c>
      <c r="V40" s="213" t="str">
        <f>IFERROR(__xludf.DUMMYFUNCTION("""COMPUTED_VALUE"""),"-")</f>
        <v>-</v>
      </c>
      <c r="W40" s="213" t="str">
        <f>IFERROR(__xludf.DUMMYFUNCTION("""COMPUTED_VALUE"""),"-")</f>
        <v>-</v>
      </c>
      <c r="X40" s="213" t="str">
        <f>IFERROR(__xludf.DUMMYFUNCTION("""COMPUTED_VALUE"""),"ASLAK")</f>
        <v>ASLAK</v>
      </c>
      <c r="Y40" s="213" t="str">
        <f>IFERROR(__xludf.DUMMYFUNCTION("""COMPUTED_VALUE"""),"TAB 1300")</f>
        <v>TAB 1300</v>
      </c>
      <c r="Z40" s="215" t="str">
        <f>IFERROR(__xludf.DUMMYFUNCTION("""COMPUTED_VALUE"""),"https://www.aslak.es/madera/5900007-caballete-extensible-tab-1300.htmL  ")</f>
        <v>https://www.aslak.es/madera/5900007-caballete-extensible-tab-1300.htmL  </v>
      </c>
      <c r="AA40" s="213" t="str">
        <f>IFERROR(__xludf.DUMMYFUNCTION("""COMPUTED_VALUE"""),"COM-120 CABALLETES - CET")</f>
        <v>COM-120 CABALLETES - CET</v>
      </c>
      <c r="AB40" s="213"/>
      <c r="AC40" s="215" t="str">
        <f>IFERROR(__xludf.DUMMYFUNCTION("""COMPUTED_VALUE"""),"https://www.bt-ingenieros.com/bancos-de-trabajo/4910-caballete-telescopico-resistente-150-kg.html?srsltid=AfmBOorMzvQl0wxAH4xVyFmQDWyGQ2BE4Iilk0RbNdajYxslAl0mQC9-&amp;utm_source=chatgpt.com")</f>
        <v>https://www.bt-ingenieros.com/bancos-de-trabajo/4910-caballete-telescopico-resistente-150-kg.html?srsltid=AfmBOorMzvQl0wxAH4xVyFmQDWyGQ2BE4Iilk0RbNdajYxslAl0mQC9-&amp;utm_source=chatgpt.com</v>
      </c>
      <c r="AD40" s="213"/>
      <c r="AE40" s="213"/>
      <c r="AF40" s="213"/>
      <c r="AG40" s="213"/>
      <c r="AH40" s="213" t="str">
        <f>IFERROR(__xludf.DUMMYFUNCTION("""COMPUTED_VALUE"""),"IMPORTADO")</f>
        <v>IMPORTADO</v>
      </c>
      <c r="AI40" s="213"/>
      <c r="AJ40" s="213"/>
      <c r="AK40" s="213"/>
      <c r="AL40" s="213"/>
      <c r="AM40" s="213"/>
      <c r="AN40" s="213"/>
      <c r="AO40" s="213"/>
      <c r="AP40" s="213" t="str">
        <f>IFERROR(__xludf.DUMMYFUNCTION("""COMPUTED_VALUE"""),"SEBASTIAN")</f>
        <v>SEBASTIAN</v>
      </c>
      <c r="AQ40" s="213"/>
      <c r="AR40" s="213"/>
      <c r="AS40" s="213"/>
      <c r="AT40" s="213"/>
      <c r="AU40" s="213"/>
      <c r="AV40" s="213"/>
      <c r="AW40" s="213"/>
      <c r="AX40" s="213"/>
      <c r="AY40" s="213"/>
      <c r="AZ40" s="213"/>
      <c r="BA40" s="213"/>
      <c r="BB40" s="213"/>
      <c r="BC40" s="213"/>
      <c r="BD40" s="213"/>
    </row>
    <row r="41">
      <c r="A41" s="213">
        <f>IFERROR(__xludf.DUMMYFUNCTION("""COMPUTED_VALUE"""),2533.0)</f>
        <v>2533</v>
      </c>
      <c r="B41" s="213" t="str">
        <f>IFERROR(__xludf.DUMMYFUNCTION("""COMPUTED_VALUE"""),"MANUEL ANTONIO MESONES MURO")</f>
        <v>MANUEL ANTONIO MESONES MURO</v>
      </c>
      <c r="C41" s="213" t="str">
        <f>IFERROR(__xludf.DUMMYFUNCTION("""COMPUTED_VALUE"""),"TALLER SFT DE CONSTRUCCIONES METÁLICAS")</f>
        <v>TALLER SFT DE CONSTRUCCIONES METÁLICAS</v>
      </c>
      <c r="D41" s="213" t="str">
        <f>IFERROR(__xludf.DUMMYFUNCTION("""COMPUTED_VALUE"""),"EQUIPOS")</f>
        <v>EQUIPOS</v>
      </c>
      <c r="E41" s="213" t="str">
        <f>IFERROR(__xludf.DUMMYFUNCTION("""COMPUTED_VALUE"""),"ESP-103")</f>
        <v>ESP-103</v>
      </c>
      <c r="F41" s="213" t="str">
        <f>IFERROR(__xludf.DUMMYFUNCTION("""COMPUTED_VALUE"""),"ESP-103")</f>
        <v>ESP-103</v>
      </c>
      <c r="G41" s="213"/>
      <c r="H41" s="213" t="str">
        <f>IFERROR(__xludf.DUMMYFUNCTION("""COMPUTED_VALUE"""),"AMOLADORA")</f>
        <v>AMOLADORA</v>
      </c>
      <c r="I41" s="213" t="str">
        <f>IFERROR(__xludf.DUMMYFUNCTION("""COMPUTED_VALUE"""),"Corte, desbaste, lijado, acabado, remoción de material en metales y concreto. Material: Carcasa de poliamida
Contenido:
1 llave de apriete, 1 tuerca de apoyo, 1 tuerca de apriete, 1 Capa protectora, 1 empuñadura auxiliar, 5 disco diamantado y 1 manual de "&amp;"instrucciones.
Potencia Mínima: 950 W Velocidad : 11000 RPM
Voltios de entrada: 220 V /60 HZ monofásica Diámetro de disco: 125 mm
Peso aproximado (+-100 gr): 2 kg")</f>
        <v>Corte, desbaste, lijado, acabado, remoción de material en metales y concreto. Material: Carcasa de poliamida
Contenido:
1 llave de apriete, 1 tuerca de apoyo, 1 tuerca de apriete, 1 Capa protectora, 1 empuñadura auxiliar, 5 disco diamantado y 1 manual de instrucciones.
Potencia Mínima: 950 W Velocidad : 11000 RPM
Voltios de entrada: 220 V /60 HZ monofásica Diámetro de disco: 125 mm
Peso aproximado (+-100 gr): 2 kg</v>
      </c>
      <c r="J41" s="213">
        <f>IFERROR(__xludf.DUMMYFUNCTION("""COMPUTED_VALUE"""),3.0)</f>
        <v>3</v>
      </c>
      <c r="K41" s="213" t="str">
        <f>IFERROR(__xludf.DUMMYFUNCTION("""COMPUTED_VALUE"""),"170 DÍAS CALENDARIO")</f>
        <v>170 DÍAS CALENDARIO</v>
      </c>
      <c r="L41" s="213" t="str">
        <f>IFERROR(__xludf.DUMMYFUNCTION("""COMPUTED_VALUE"""),"MECÁNICA AUTOMOTRÍZ, CONSTRUCCIONES METÁLICAS")</f>
        <v>MECÁNICA AUTOMOTRÍZ, CONSTRUCCIONES METÁLICAS</v>
      </c>
      <c r="M41" s="213">
        <f>IFERROR(__xludf.DUMMYFUNCTION("""COMPUTED_VALUE"""),1.0)</f>
        <v>1</v>
      </c>
      <c r="N41" s="213">
        <f>IFERROR(__xludf.DUMMYFUNCTION("""COMPUTED_VALUE"""),1.0)</f>
        <v>1</v>
      </c>
      <c r="O41" s="213">
        <f>IFERROR(__xludf.DUMMYFUNCTION("""COMPUTED_VALUE"""),1.0)</f>
        <v>1</v>
      </c>
      <c r="P41" s="213"/>
      <c r="Q41" s="213"/>
      <c r="R41" s="213"/>
      <c r="S41" s="213" t="str">
        <f>IFERROR(__xludf.DUMMYFUNCTION("""COMPUTED_VALUE"""),"SI")</f>
        <v>SI</v>
      </c>
      <c r="T41" s="213" t="str">
        <f>IFERROR(__xludf.DUMMYFUNCTION("""COMPUTED_VALUE"""),"SI")</f>
        <v>SI</v>
      </c>
      <c r="U41" s="213" t="str">
        <f>IFERROR(__xludf.DUMMYFUNCTION("""COMPUTED_VALUE"""),"NO")</f>
        <v>NO</v>
      </c>
      <c r="V41" s="213" t="str">
        <f>IFERROR(__xludf.DUMMYFUNCTION("""COMPUTED_VALUE"""),"SUSTENTO")</f>
        <v>SUSTENTO</v>
      </c>
      <c r="W41" s="213" t="str">
        <f>IFERROR(__xludf.DUMMYFUNCTION("""COMPUTED_VALUE"""),"ELÉCTRICO")</f>
        <v>ELÉCTRICO</v>
      </c>
      <c r="X41" s="213" t="str">
        <f>IFERROR(__xludf.DUMMYFUNCTION("""COMPUTED_VALUE"""),"BOSCH")</f>
        <v>BOSCH</v>
      </c>
      <c r="Y41" s="213" t="str">
        <f>IFERROR(__xludf.DUMMYFUNCTION("""COMPUTED_VALUE""")," GWS 9-125 P")</f>
        <v> GWS 9-125 P</v>
      </c>
      <c r="Z41" s="215" t="str">
        <f>IFERROR(__xludf.DUMMYFUNCTION("""COMPUTED_VALUE"""),"https://soelco.co/producto/mini-pulidora-angular-segura-900-w-125-mm-110-v-bosch/?srsltid=AfmBOorerIGp1jcFwSUGxZb2mjq5MenuM3THMVYyN7v09ItDhlwh_pEr")</f>
        <v>https://soelco.co/producto/mini-pulidora-angular-segura-900-w-125-mm-110-v-bosch/?srsltid=AfmBOorerIGp1jcFwSUGxZb2mjq5MenuM3THMVYyN7v09ItDhlwh_pEr</v>
      </c>
      <c r="AA41" s="213" t="str">
        <f>IFERROR(__xludf.DUMMYFUNCTION("""COMPUTED_VALUE"""),"ESP-103 AMOLADORA - CET")</f>
        <v>ESP-103 AMOLADORA - CET</v>
      </c>
      <c r="AB41" s="213"/>
      <c r="AC41" s="213"/>
      <c r="AD41" s="213"/>
      <c r="AE41" s="213"/>
      <c r="AF41" s="213"/>
      <c r="AG41" s="213"/>
      <c r="AH41" s="213" t="str">
        <f>IFERROR(__xludf.DUMMYFUNCTION("""COMPUTED_VALUE"""),"NACIONAL")</f>
        <v>NACIONAL</v>
      </c>
      <c r="AI41" s="213"/>
      <c r="AJ41" s="213"/>
      <c r="AK41" s="213"/>
      <c r="AL41" s="213"/>
      <c r="AM41" s="213"/>
      <c r="AN41" s="213"/>
      <c r="AO41" s="213"/>
      <c r="AP41" s="213" t="str">
        <f>IFERROR(__xludf.DUMMYFUNCTION("""COMPUTED_VALUE"""),"NALDI")</f>
        <v>NALDI</v>
      </c>
      <c r="AQ41" s="213"/>
      <c r="AR41" s="213"/>
      <c r="AS41" s="213" t="str">
        <f>IFERROR(__xludf.DUMMYFUNCTION("""COMPUTED_VALUE"""),"Cinco (5) discos diamantados")</f>
        <v>Cinco (5) discos diamantados</v>
      </c>
      <c r="AT41" s="216" t="str">
        <f>IFERROR(__xludf.DUMMYFUNCTION("""COMPUTED_VALUE"""),"https://www.maqcenter.pe/product/vaso-diamantado-para-concreto-segmentado-125-x-22-23mm-bosch-2608-601-762")</f>
        <v>https://www.maqcenter.pe/product/vaso-diamantado-para-concreto-segmentado-125-x-22-23mm-bosch-2608-601-762</v>
      </c>
      <c r="AU41" s="213"/>
      <c r="AV41" s="213"/>
      <c r="AW41" s="213"/>
      <c r="AX41" s="213"/>
      <c r="AY41" s="213"/>
      <c r="AZ41" s="213"/>
      <c r="BA41" s="213"/>
      <c r="BB41" s="213"/>
      <c r="BC41" s="213"/>
      <c r="BD41" s="213"/>
    </row>
    <row r="42">
      <c r="A42" s="213">
        <f>IFERROR(__xludf.DUMMYFUNCTION("""COMPUTED_VALUE"""),355.0)</f>
        <v>355</v>
      </c>
      <c r="B42" s="213" t="str">
        <f>IFERROR(__xludf.DUMMYFUNCTION("""COMPUTED_VALUE"""),"2026 SIMON BOLIVAR")</f>
        <v>2026 SIMON BOLIVAR</v>
      </c>
      <c r="C42" s="213" t="str">
        <f>IFERROR(__xludf.DUMMYFUNCTION("""COMPUTED_VALUE"""),"TALLER SFT DE ELECTRICIDAD")</f>
        <v>TALLER SFT DE ELECTRICIDAD</v>
      </c>
      <c r="D42" s="213" t="str">
        <f>IFERROR(__xludf.DUMMYFUNCTION("""COMPUTED_VALUE"""),"HERRAMIENTAS")</f>
        <v>HERRAMIENTAS</v>
      </c>
      <c r="E42" s="213" t="str">
        <f>IFERROR(__xludf.DUMMYFUNCTION("""COMPUTED_VALUE"""),"COM-125")</f>
        <v>COM-125</v>
      </c>
      <c r="F42" s="213" t="str">
        <f>IFERROR(__xludf.DUMMYFUNCTION("""COMPUTED_VALUE"""),"COM-125")</f>
        <v>COM-125</v>
      </c>
      <c r="G42" s="213"/>
      <c r="H42" s="213" t="str">
        <f>IFERROR(__xludf.DUMMYFUNCTION("""COMPUTED_VALUE"""),"CALIBRADOR DE CONDUCTORES ELÉCTRICOS AWG")</f>
        <v>CALIBRADOR DE CONDUCTORES ELÉCTRICOS AWG</v>
      </c>
      <c r="I42" s="213" t="str">
        <f>IFERROR(__xludf.DUMMYFUNCTION("""COMPUTED_VALUE"""),"· Características Técnicas:
- Con ranuras para medir el  calibre de los conductores eléctricos desde el Nº 0 hasta el Nº 36
- De acero Inoxidable")</f>
        <v>· Características Técnicas:
- Con ranuras para medir el  calibre de los conductores eléctricos desde el Nº 0 hasta el Nº 36
- De acero Inoxidable</v>
      </c>
      <c r="J42" s="213">
        <f>IFERROR(__xludf.DUMMYFUNCTION("""COMPUTED_VALUE"""),3.0)</f>
        <v>3</v>
      </c>
      <c r="K42" s="213" t="str">
        <f>IFERROR(__xludf.DUMMYFUNCTION("""COMPUTED_VALUE"""),"90 DÍAS CALENDARIO")</f>
        <v>90 DÍAS CALENDARIO</v>
      </c>
      <c r="L42" s="213" t="str">
        <f>IFERROR(__xludf.DUMMYFUNCTION("""COMPUTED_VALUE"""),"ELECTRICIDAD, ELECTRÓNICA")</f>
        <v>ELECTRICIDAD, ELECTRÓNICA</v>
      </c>
      <c r="M42" s="213">
        <f>IFERROR(__xludf.DUMMYFUNCTION("""COMPUTED_VALUE"""),1.0)</f>
        <v>1</v>
      </c>
      <c r="N42" s="213">
        <f>IFERROR(__xludf.DUMMYFUNCTION("""COMPUTED_VALUE"""),4.0)</f>
        <v>4</v>
      </c>
      <c r="O42" s="213">
        <f>IFERROR(__xludf.DUMMYFUNCTION("""COMPUTED_VALUE"""),4.0)</f>
        <v>4</v>
      </c>
      <c r="P42" s="213"/>
      <c r="Q42" s="213"/>
      <c r="R42" s="213" t="str">
        <f>IFERROR(__xludf.DUMMYFUNCTION("""COMPUTED_VALUE"""),"SI")</f>
        <v>SI</v>
      </c>
      <c r="S42" s="213"/>
      <c r="T42" s="213" t="str">
        <f>IFERROR(__xludf.DUMMYFUNCTION("""COMPUTED_VALUE"""),"SI")</f>
        <v>SI</v>
      </c>
      <c r="U42" s="213" t="str">
        <f>IFERROR(__xludf.DUMMYFUNCTION("""COMPUTED_VALUE"""),"SI")</f>
        <v>SI</v>
      </c>
      <c r="V42" s="213" t="str">
        <f>IFERROR(__xludf.DUMMYFUNCTION("""COMPUTED_VALUE"""),"-")</f>
        <v>-</v>
      </c>
      <c r="W42" s="213" t="str">
        <f>IFERROR(__xludf.DUMMYFUNCTION("""COMPUTED_VALUE"""),"-")</f>
        <v>-</v>
      </c>
      <c r="X42" s="213" t="str">
        <f>IFERROR(__xludf.DUMMYFUNCTION("""COMPUTED_VALUE"""),"EROPOO")</f>
        <v>EROPOO</v>
      </c>
      <c r="Y42" s="213" t="str">
        <f>IFERROR(__xludf.DUMMYFUNCTION("""COMPUTED_VALUE"""),"HFG29")</f>
        <v>HFG29</v>
      </c>
      <c r="Z42" s="215" t="str">
        <f>IFERROR(__xludf.DUMMYFUNCTION("""COMPUTED_VALUE"""),"https://spanish.alibaba.com/product-detail/winding-wire-gauge-precision-wire-sheet-1947040513.html")</f>
        <v>https://spanish.alibaba.com/product-detail/winding-wire-gauge-precision-wire-sheet-1947040513.html</v>
      </c>
      <c r="AA42" s="213" t="str">
        <f>IFERROR(__xludf.DUMMYFUNCTION("""COMPUTED_VALUE"""),"COM-125 CALIBRADOR DE CONDUCTORES ELÉCTRICOS AWG - CET")</f>
        <v>COM-125 CALIBRADOR DE CONDUCTORES ELÉCTRICOS AWG - CET</v>
      </c>
      <c r="AB42" s="213"/>
      <c r="AC42" s="213"/>
      <c r="AD42" s="213"/>
      <c r="AE42" s="213"/>
      <c r="AF42" s="213"/>
      <c r="AG42" s="213"/>
      <c r="AH42" s="213"/>
      <c r="AI42" s="213"/>
      <c r="AJ42" s="213"/>
      <c r="AK42" s="213"/>
      <c r="AL42" s="213"/>
      <c r="AM42" s="213"/>
      <c r="AN42" s="213"/>
      <c r="AO42" s="213"/>
      <c r="AP42" s="213" t="str">
        <f>IFERROR(__xludf.DUMMYFUNCTION("""COMPUTED_VALUE"""),"LUIS")</f>
        <v>LUIS</v>
      </c>
      <c r="AQ42" s="213"/>
      <c r="AR42" s="213"/>
      <c r="AS42" s="213"/>
      <c r="AT42" s="213"/>
      <c r="AU42" s="213"/>
      <c r="AV42" s="213"/>
      <c r="AW42" s="213"/>
      <c r="AX42" s="213"/>
      <c r="AY42" s="213"/>
      <c r="AZ42" s="213"/>
      <c r="BA42" s="213"/>
      <c r="BB42" s="213"/>
      <c r="BC42" s="213"/>
      <c r="BD42" s="213"/>
    </row>
    <row r="43">
      <c r="A43" s="213">
        <f>IFERROR(__xludf.DUMMYFUNCTION("""COMPUTED_VALUE"""),1038.0)</f>
        <v>1038</v>
      </c>
      <c r="B43" s="213" t="str">
        <f>IFERROR(__xludf.DUMMYFUNCTION("""COMPUTED_VALUE"""),"FRANCISCO IRAZOLA")</f>
        <v>FRANCISCO IRAZOLA</v>
      </c>
      <c r="C43" s="213" t="str">
        <f>IFERROR(__xludf.DUMMYFUNCTION("""COMPUTED_VALUE"""),"TALLER SFT DE MECÁNICA AUTOMOTRIZ")</f>
        <v>TALLER SFT DE MECÁNICA AUTOMOTRIZ</v>
      </c>
      <c r="D43" s="213" t="str">
        <f>IFERROR(__xludf.DUMMYFUNCTION("""COMPUTED_VALUE"""),"EQUIPOS")</f>
        <v>EQUIPOS</v>
      </c>
      <c r="E43" s="213" t="str">
        <f>IFERROR(__xludf.DUMMYFUNCTION("""COMPUTED_VALUE"""),"ESP-103")</f>
        <v>ESP-103</v>
      </c>
      <c r="F43" s="213" t="str">
        <f>IFERROR(__xludf.DUMMYFUNCTION("""COMPUTED_VALUE"""),"ESP-103")</f>
        <v>ESP-103</v>
      </c>
      <c r="G43" s="213"/>
      <c r="H43" s="213" t="str">
        <f>IFERROR(__xludf.DUMMYFUNCTION("""COMPUTED_VALUE"""),"AMOLADORA")</f>
        <v>AMOLADORA</v>
      </c>
      <c r="I43" s="213" t="str">
        <f>IFERROR(__xludf.DUMMYFUNCTION("""COMPUTED_VALUE"""),"Características:  Corte, desbaste, lijado, acabado, remoción de material en metales y concreto. Material: Carcasa de poliamida
Contenido:
1 llave de apriete, 1 tuerca de apoyo, 1 tuerca de apriete, 1 Capa protectora, 1 empuñadura auxiliar, 5 disco diamant"&amp;"ado y 1 manual de instrucciones.
Potencia Mínima: 950 W Velocidad : 11000 RPM
Voltios de entrada: 220 V /60 HZ monofásica Diámetro de disco: 125 mm
Peso aproximado (+-100 gr): 2 kg")</f>
        <v>Características:  Corte, desbaste, lijado, acabado, remoción de material en metales y concreto. Material: Carcasa de poliamida
Contenido:
1 llave de apriete, 1 tuerca de apoyo, 1 tuerca de apriete, 1 Capa protectora, 1 empuñadura auxiliar, 5 disco diamantado y 1 manual de instrucciones.
Potencia Mínima: 950 W Velocidad : 11000 RPM
Voltios de entrada: 220 V /60 HZ monofásica Diámetro de disco: 125 mm
Peso aproximado (+-100 gr): 2 kg</v>
      </c>
      <c r="J43" s="213">
        <f>IFERROR(__xludf.DUMMYFUNCTION("""COMPUTED_VALUE"""),3.0)</f>
        <v>3</v>
      </c>
      <c r="K43" s="213" t="str">
        <f>IFERROR(__xludf.DUMMYFUNCTION("""COMPUTED_VALUE"""),"170 DÍAS CALENDARIO")</f>
        <v>170 DÍAS CALENDARIO</v>
      </c>
      <c r="L43" s="213" t="str">
        <f>IFERROR(__xludf.DUMMYFUNCTION("""COMPUTED_VALUE"""),"MECÁNICA AUTOMOTRÍZ, CONSTRUCCIONES METÁLICAS")</f>
        <v>MECÁNICA AUTOMOTRÍZ, CONSTRUCCIONES METÁLICAS</v>
      </c>
      <c r="M43" s="213">
        <f>IFERROR(__xludf.DUMMYFUNCTION("""COMPUTED_VALUE"""),1.0)</f>
        <v>1</v>
      </c>
      <c r="N43" s="213">
        <f>IFERROR(__xludf.DUMMYFUNCTION("""COMPUTED_VALUE"""),1.0)</f>
        <v>1</v>
      </c>
      <c r="O43" s="213">
        <f>IFERROR(__xludf.DUMMYFUNCTION("""COMPUTED_VALUE"""),1.0)</f>
        <v>1</v>
      </c>
      <c r="P43" s="213"/>
      <c r="Q43" s="213"/>
      <c r="R43" s="213"/>
      <c r="S43" s="213" t="str">
        <f>IFERROR(__xludf.DUMMYFUNCTION("""COMPUTED_VALUE"""),"SI")</f>
        <v>SI</v>
      </c>
      <c r="T43" s="213" t="str">
        <f>IFERROR(__xludf.DUMMYFUNCTION("""COMPUTED_VALUE"""),"SI")</f>
        <v>SI</v>
      </c>
      <c r="U43" s="213" t="str">
        <f>IFERROR(__xludf.DUMMYFUNCTION("""COMPUTED_VALUE"""),"NO")</f>
        <v>NO</v>
      </c>
      <c r="V43" s="213" t="str">
        <f>IFERROR(__xludf.DUMMYFUNCTION("""COMPUTED_VALUE"""),"SUSTENTO")</f>
        <v>SUSTENTO</v>
      </c>
      <c r="W43" s="213" t="str">
        <f>IFERROR(__xludf.DUMMYFUNCTION("""COMPUTED_VALUE"""),"ELÉCTRICO")</f>
        <v>ELÉCTRICO</v>
      </c>
      <c r="X43" s="213" t="str">
        <f>IFERROR(__xludf.DUMMYFUNCTION("""COMPUTED_VALUE"""),"BOSCH")</f>
        <v>BOSCH</v>
      </c>
      <c r="Y43" s="213" t="str">
        <f>IFERROR(__xludf.DUMMYFUNCTION("""COMPUTED_VALUE""")," GWS 9-125 P")</f>
        <v> GWS 9-125 P</v>
      </c>
      <c r="Z43" s="215" t="str">
        <f>IFERROR(__xludf.DUMMYFUNCTION("""COMPUTED_VALUE"""),"https://soelco.co/producto/mini-pulidora-angular-segura-900-w-125-mm-110-v-bosch/?srsltid=AfmBOorerIGp1jcFwSUGxZb2mjq5MenuM3THMVYyN7v09ItDhlwh_pEr")</f>
        <v>https://soelco.co/producto/mini-pulidora-angular-segura-900-w-125-mm-110-v-bosch/?srsltid=AfmBOorerIGp1jcFwSUGxZb2mjq5MenuM3THMVYyN7v09ItDhlwh_pEr</v>
      </c>
      <c r="AA43" s="213" t="str">
        <f>IFERROR(__xludf.DUMMYFUNCTION("""COMPUTED_VALUE"""),"ESP-103 AMOLADORA - CET")</f>
        <v>ESP-103 AMOLADORA - CET</v>
      </c>
      <c r="AB43" s="213"/>
      <c r="AC43" s="213"/>
      <c r="AD43" s="213"/>
      <c r="AE43" s="213"/>
      <c r="AF43" s="213"/>
      <c r="AG43" s="213"/>
      <c r="AH43" s="213" t="str">
        <f>IFERROR(__xludf.DUMMYFUNCTION("""COMPUTED_VALUE"""),"NACIONAL")</f>
        <v>NACIONAL</v>
      </c>
      <c r="AI43" s="213"/>
      <c r="AJ43" s="213"/>
      <c r="AK43" s="213"/>
      <c r="AL43" s="213"/>
      <c r="AM43" s="213"/>
      <c r="AN43" s="213"/>
      <c r="AO43" s="213"/>
      <c r="AP43" s="213" t="str">
        <f>IFERROR(__xludf.DUMMYFUNCTION("""COMPUTED_VALUE"""),"NALDI")</f>
        <v>NALDI</v>
      </c>
      <c r="AQ43" s="213"/>
      <c r="AR43" s="213"/>
      <c r="AS43" s="213" t="str">
        <f>IFERROR(__xludf.DUMMYFUNCTION("""COMPUTED_VALUE"""),"Cinco (5) discos diamantados")</f>
        <v>Cinco (5) discos diamantados</v>
      </c>
      <c r="AT43" s="216" t="str">
        <f>IFERROR(__xludf.DUMMYFUNCTION("""COMPUTED_VALUE"""),"https://www.maqcenter.pe/product/vaso-diamantado-para-concreto-segmentado-125-x-22-23mm-bosch-2608-601-762")</f>
        <v>https://www.maqcenter.pe/product/vaso-diamantado-para-concreto-segmentado-125-x-22-23mm-bosch-2608-601-762</v>
      </c>
      <c r="AU43" s="213"/>
      <c r="AV43" s="213"/>
      <c r="AW43" s="213"/>
      <c r="AX43" s="213"/>
      <c r="AY43" s="213"/>
      <c r="AZ43" s="213"/>
      <c r="BA43" s="213"/>
      <c r="BB43" s="213"/>
      <c r="BC43" s="213"/>
      <c r="BD43" s="213"/>
    </row>
    <row r="44">
      <c r="A44" s="213">
        <f>IFERROR(__xludf.DUMMYFUNCTION("""COMPUTED_VALUE"""),1643.0)</f>
        <v>1643</v>
      </c>
      <c r="B44" s="213" t="str">
        <f>IFERROR(__xludf.DUMMYFUNCTION("""COMPUTED_VALUE"""),"GUILLERMO E. BILLINGHURST ")</f>
        <v>GUILLERMO E. BILLINGHURST </v>
      </c>
      <c r="C44" s="213" t="str">
        <f>IFERROR(__xludf.DUMMYFUNCTION("""COMPUTED_VALUE"""),"TALLER SFT DE MECÁNICA AUTOMOTRIZ")</f>
        <v>TALLER SFT DE MECÁNICA AUTOMOTRIZ</v>
      </c>
      <c r="D44" s="213" t="str">
        <f>IFERROR(__xludf.DUMMYFUNCTION("""COMPUTED_VALUE"""),"EQUIPOS")</f>
        <v>EQUIPOS</v>
      </c>
      <c r="E44" s="213" t="str">
        <f>IFERROR(__xludf.DUMMYFUNCTION("""COMPUTED_VALUE"""),"ESP-103")</f>
        <v>ESP-103</v>
      </c>
      <c r="F44" s="213" t="str">
        <f>IFERROR(__xludf.DUMMYFUNCTION("""COMPUTED_VALUE"""),"ESP-103")</f>
        <v>ESP-103</v>
      </c>
      <c r="G44" s="213"/>
      <c r="H44" s="213" t="str">
        <f>IFERROR(__xludf.DUMMYFUNCTION("""COMPUTED_VALUE"""),"AMOLADORA")</f>
        <v>AMOLADORA</v>
      </c>
      <c r="I44" s="213" t="str">
        <f>IFERROR(__xludf.DUMMYFUNCTION("""COMPUTED_VALUE"""),"Características:  Corte, desbaste, lijado, acabado, remoción de material en metales y concreto. Material: Carcasa de poliamida
Contenido:
1 llave de apriete, 1 tuerca de apoyo, 1 tuerca de apriete, 1 Capa protectora, 1 empuñadura auxiliar, 5 disco diamant"&amp;"ado y 1 manual de instrucciones.
Potencia Mínima: 950 W Velocidad : 11000 RPM
Voltios de entrada: 220 V /60 HZ monofásica Diámetro de disco: 125 mm
Peso aproximado (+-100 gr): 2 kg")</f>
        <v>Características:  Corte, desbaste, lijado, acabado, remoción de material en metales y concreto. Material: Carcasa de poliamida
Contenido:
1 llave de apriete, 1 tuerca de apoyo, 1 tuerca de apriete, 1 Capa protectora, 1 empuñadura auxiliar, 5 disco diamantado y 1 manual de instrucciones.
Potencia Mínima: 950 W Velocidad : 11000 RPM
Voltios de entrada: 220 V /60 HZ monofásica Diámetro de disco: 125 mm
Peso aproximado (+-100 gr): 2 kg</v>
      </c>
      <c r="J44" s="213">
        <f>IFERROR(__xludf.DUMMYFUNCTION("""COMPUTED_VALUE"""),3.0)</f>
        <v>3</v>
      </c>
      <c r="K44" s="213" t="str">
        <f>IFERROR(__xludf.DUMMYFUNCTION("""COMPUTED_VALUE"""),"170 DÍAS CALENDARIO")</f>
        <v>170 DÍAS CALENDARIO</v>
      </c>
      <c r="L44" s="213" t="str">
        <f>IFERROR(__xludf.DUMMYFUNCTION("""COMPUTED_VALUE"""),"MECÁNICA AUTOMOTRÍZ, CONSTRUCCIONES METÁLICAS")</f>
        <v>MECÁNICA AUTOMOTRÍZ, CONSTRUCCIONES METÁLICAS</v>
      </c>
      <c r="M44" s="213">
        <f>IFERROR(__xludf.DUMMYFUNCTION("""COMPUTED_VALUE"""),1.0)</f>
        <v>1</v>
      </c>
      <c r="N44" s="213">
        <f>IFERROR(__xludf.DUMMYFUNCTION("""COMPUTED_VALUE"""),1.0)</f>
        <v>1</v>
      </c>
      <c r="O44" s="213">
        <f>IFERROR(__xludf.DUMMYFUNCTION("""COMPUTED_VALUE"""),1.0)</f>
        <v>1</v>
      </c>
      <c r="P44" s="213"/>
      <c r="Q44" s="213"/>
      <c r="R44" s="213"/>
      <c r="S44" s="213" t="str">
        <f>IFERROR(__xludf.DUMMYFUNCTION("""COMPUTED_VALUE"""),"SI")</f>
        <v>SI</v>
      </c>
      <c r="T44" s="213" t="str">
        <f>IFERROR(__xludf.DUMMYFUNCTION("""COMPUTED_VALUE"""),"SI")</f>
        <v>SI</v>
      </c>
      <c r="U44" s="213" t="str">
        <f>IFERROR(__xludf.DUMMYFUNCTION("""COMPUTED_VALUE"""),"NO")</f>
        <v>NO</v>
      </c>
      <c r="V44" s="213" t="str">
        <f>IFERROR(__xludf.DUMMYFUNCTION("""COMPUTED_VALUE"""),"SUSTENTO")</f>
        <v>SUSTENTO</v>
      </c>
      <c r="W44" s="213" t="str">
        <f>IFERROR(__xludf.DUMMYFUNCTION("""COMPUTED_VALUE"""),"ELÉCTRICO")</f>
        <v>ELÉCTRICO</v>
      </c>
      <c r="X44" s="213" t="str">
        <f>IFERROR(__xludf.DUMMYFUNCTION("""COMPUTED_VALUE"""),"BOSCH")</f>
        <v>BOSCH</v>
      </c>
      <c r="Y44" s="213" t="str">
        <f>IFERROR(__xludf.DUMMYFUNCTION("""COMPUTED_VALUE""")," GWS 9-125 P")</f>
        <v> GWS 9-125 P</v>
      </c>
      <c r="Z44" s="215" t="str">
        <f>IFERROR(__xludf.DUMMYFUNCTION("""COMPUTED_VALUE"""),"https://soelco.co/producto/mini-pulidora-angular-segura-900-w-125-mm-110-v-bosch/?srsltid=AfmBOorerIGp1jcFwSUGxZb2mjq5MenuM3THMVYyN7v09ItDhlwh_pEr")</f>
        <v>https://soelco.co/producto/mini-pulidora-angular-segura-900-w-125-mm-110-v-bosch/?srsltid=AfmBOorerIGp1jcFwSUGxZb2mjq5MenuM3THMVYyN7v09ItDhlwh_pEr</v>
      </c>
      <c r="AA44" s="213" t="str">
        <f>IFERROR(__xludf.DUMMYFUNCTION("""COMPUTED_VALUE"""),"ESP-103 AMOLADORA - CET")</f>
        <v>ESP-103 AMOLADORA - CET</v>
      </c>
      <c r="AB44" s="213"/>
      <c r="AC44" s="213"/>
      <c r="AD44" s="213"/>
      <c r="AE44" s="213"/>
      <c r="AF44" s="213"/>
      <c r="AG44" s="213"/>
      <c r="AH44" s="213" t="str">
        <f>IFERROR(__xludf.DUMMYFUNCTION("""COMPUTED_VALUE"""),"NACIONAL")</f>
        <v>NACIONAL</v>
      </c>
      <c r="AI44" s="213"/>
      <c r="AJ44" s="213"/>
      <c r="AK44" s="213"/>
      <c r="AL44" s="213"/>
      <c r="AM44" s="213"/>
      <c r="AN44" s="213"/>
      <c r="AO44" s="213"/>
      <c r="AP44" s="213" t="str">
        <f>IFERROR(__xludf.DUMMYFUNCTION("""COMPUTED_VALUE"""),"NALDI")</f>
        <v>NALDI</v>
      </c>
      <c r="AQ44" s="213"/>
      <c r="AR44" s="213"/>
      <c r="AS44" s="213" t="str">
        <f>IFERROR(__xludf.DUMMYFUNCTION("""COMPUTED_VALUE"""),"Cinco (5) discos diamantados")</f>
        <v>Cinco (5) discos diamantados</v>
      </c>
      <c r="AT44" s="216" t="str">
        <f>IFERROR(__xludf.DUMMYFUNCTION("""COMPUTED_VALUE"""),"https://www.maqcenter.pe/product/vaso-diamantado-para-concreto-segmentado-125-x-22-23mm-bosch-2608-601-763")</f>
        <v>https://www.maqcenter.pe/product/vaso-diamantado-para-concreto-segmentado-125-x-22-23mm-bosch-2608-601-763</v>
      </c>
      <c r="AU44" s="213"/>
      <c r="AV44" s="213"/>
      <c r="AW44" s="213"/>
      <c r="AX44" s="213"/>
      <c r="AY44" s="213"/>
      <c r="AZ44" s="213"/>
      <c r="BA44" s="213"/>
      <c r="BB44" s="213"/>
      <c r="BC44" s="213"/>
      <c r="BD44" s="213"/>
    </row>
    <row r="45">
      <c r="A45" s="213">
        <f>IFERROR(__xludf.DUMMYFUNCTION("""COMPUTED_VALUE"""),2334.0)</f>
        <v>2334</v>
      </c>
      <c r="B45" s="213" t="str">
        <f>IFERROR(__xludf.DUMMYFUNCTION("""COMPUTED_VALUE"""),"JOSE GRANDA")</f>
        <v>JOSE GRANDA</v>
      </c>
      <c r="C45" s="213" t="str">
        <f>IFERROR(__xludf.DUMMYFUNCTION("""COMPUTED_VALUE"""),"TALLER SFT DE MECÁNICA AUTOMOTRIZ")</f>
        <v>TALLER SFT DE MECÁNICA AUTOMOTRIZ</v>
      </c>
      <c r="D45" s="213" t="str">
        <f>IFERROR(__xludf.DUMMYFUNCTION("""COMPUTED_VALUE"""),"EQUIPOS")</f>
        <v>EQUIPOS</v>
      </c>
      <c r="E45" s="213" t="str">
        <f>IFERROR(__xludf.DUMMYFUNCTION("""COMPUTED_VALUE"""),"ESP-103")</f>
        <v>ESP-103</v>
      </c>
      <c r="F45" s="213" t="str">
        <f>IFERROR(__xludf.DUMMYFUNCTION("""COMPUTED_VALUE"""),"ESP-103")</f>
        <v>ESP-103</v>
      </c>
      <c r="G45" s="213"/>
      <c r="H45" s="213" t="str">
        <f>IFERROR(__xludf.DUMMYFUNCTION("""COMPUTED_VALUE"""),"AMOLADORA")</f>
        <v>AMOLADORA</v>
      </c>
      <c r="I45" s="213" t="str">
        <f>IFERROR(__xludf.DUMMYFUNCTION("""COMPUTED_VALUE"""),"Características:  Corte, desbaste, lijado, acabado, remoción de material en metales y concreto. Material: Carcasa de poliamida
Contenido:
1 llave de apriete, 1 tuerca de apoyo, 1 tuerca de apriete, 1 Capa protectora, 1 empuñadura auxiliar, 5 disco diamant"&amp;"ado y 1 manual de instrucciones.
Potencia Mínima: 950 W Velocidad : 11000 RPM
Voltios de entrada: 220 V /60 HZ monofásica Diámetro de disco: 125 mm
Peso aproximado (+-100 gr): 2 kg")</f>
        <v>Características:  Corte, desbaste, lijado, acabado, remoción de material en metales y concreto. Material: Carcasa de poliamida
Contenido:
1 llave de apriete, 1 tuerca de apoyo, 1 tuerca de apriete, 1 Capa protectora, 1 empuñadura auxiliar, 5 disco diamantado y 1 manual de instrucciones.
Potencia Mínima: 950 W Velocidad : 11000 RPM
Voltios de entrada: 220 V /60 HZ monofásica Diámetro de disco: 125 mm
Peso aproximado (+-100 gr): 2 kg</v>
      </c>
      <c r="J45" s="213">
        <f>IFERROR(__xludf.DUMMYFUNCTION("""COMPUTED_VALUE"""),3.0)</f>
        <v>3</v>
      </c>
      <c r="K45" s="213" t="str">
        <f>IFERROR(__xludf.DUMMYFUNCTION("""COMPUTED_VALUE"""),"170 DÍAS CALENDARIO")</f>
        <v>170 DÍAS CALENDARIO</v>
      </c>
      <c r="L45" s="213" t="str">
        <f>IFERROR(__xludf.DUMMYFUNCTION("""COMPUTED_VALUE"""),"MECÁNICA AUTOMOTRÍZ, CONSTRUCCIONES METÁLICAS")</f>
        <v>MECÁNICA AUTOMOTRÍZ, CONSTRUCCIONES METÁLICAS</v>
      </c>
      <c r="M45" s="213">
        <f>IFERROR(__xludf.DUMMYFUNCTION("""COMPUTED_VALUE"""),1.0)</f>
        <v>1</v>
      </c>
      <c r="N45" s="213">
        <f>IFERROR(__xludf.DUMMYFUNCTION("""COMPUTED_VALUE"""),1.0)</f>
        <v>1</v>
      </c>
      <c r="O45" s="213">
        <f>IFERROR(__xludf.DUMMYFUNCTION("""COMPUTED_VALUE"""),1.0)</f>
        <v>1</v>
      </c>
      <c r="P45" s="213"/>
      <c r="Q45" s="213"/>
      <c r="R45" s="213"/>
      <c r="S45" s="213" t="str">
        <f>IFERROR(__xludf.DUMMYFUNCTION("""COMPUTED_VALUE"""),"SI")</f>
        <v>SI</v>
      </c>
      <c r="T45" s="213" t="str">
        <f>IFERROR(__xludf.DUMMYFUNCTION("""COMPUTED_VALUE"""),"SI")</f>
        <v>SI</v>
      </c>
      <c r="U45" s="213" t="str">
        <f>IFERROR(__xludf.DUMMYFUNCTION("""COMPUTED_VALUE"""),"NO")</f>
        <v>NO</v>
      </c>
      <c r="V45" s="213" t="str">
        <f>IFERROR(__xludf.DUMMYFUNCTION("""COMPUTED_VALUE"""),"SUSTENTO")</f>
        <v>SUSTENTO</v>
      </c>
      <c r="W45" s="213" t="str">
        <f>IFERROR(__xludf.DUMMYFUNCTION("""COMPUTED_VALUE"""),"ELÉCTRICO")</f>
        <v>ELÉCTRICO</v>
      </c>
      <c r="X45" s="213" t="str">
        <f>IFERROR(__xludf.DUMMYFUNCTION("""COMPUTED_VALUE"""),"BOSCH")</f>
        <v>BOSCH</v>
      </c>
      <c r="Y45" s="213" t="str">
        <f>IFERROR(__xludf.DUMMYFUNCTION("""COMPUTED_VALUE""")," GWS 9-125 P")</f>
        <v> GWS 9-125 P</v>
      </c>
      <c r="Z45" s="215" t="str">
        <f>IFERROR(__xludf.DUMMYFUNCTION("""COMPUTED_VALUE"""),"https://soelco.co/producto/mini-pulidora-angular-segura-900-w-125-mm-110-v-bosch/?srsltid=AfmBOorerIGp1jcFwSUGxZb2mjq5MenuM3THMVYyN7v09ItDhlwh_pEr")</f>
        <v>https://soelco.co/producto/mini-pulidora-angular-segura-900-w-125-mm-110-v-bosch/?srsltid=AfmBOorerIGp1jcFwSUGxZb2mjq5MenuM3THMVYyN7v09ItDhlwh_pEr</v>
      </c>
      <c r="AA45" s="213" t="str">
        <f>IFERROR(__xludf.DUMMYFUNCTION("""COMPUTED_VALUE"""),"ESP-103 AMOLADORA - CET")</f>
        <v>ESP-103 AMOLADORA - CET</v>
      </c>
      <c r="AB45" s="213"/>
      <c r="AC45" s="213"/>
      <c r="AD45" s="213"/>
      <c r="AE45" s="213"/>
      <c r="AF45" s="213"/>
      <c r="AG45" s="213"/>
      <c r="AH45" s="213" t="str">
        <f>IFERROR(__xludf.DUMMYFUNCTION("""COMPUTED_VALUE"""),"NACIONAL")</f>
        <v>NACIONAL</v>
      </c>
      <c r="AI45" s="213"/>
      <c r="AJ45" s="213"/>
      <c r="AK45" s="213"/>
      <c r="AL45" s="213"/>
      <c r="AM45" s="213"/>
      <c r="AN45" s="213"/>
      <c r="AO45" s="213"/>
      <c r="AP45" s="213" t="str">
        <f>IFERROR(__xludf.DUMMYFUNCTION("""COMPUTED_VALUE"""),"NALDI")</f>
        <v>NALDI</v>
      </c>
      <c r="AQ45" s="213"/>
      <c r="AR45" s="213"/>
      <c r="AS45" s="213" t="str">
        <f>IFERROR(__xludf.DUMMYFUNCTION("""COMPUTED_VALUE"""),"Cinco (5) discos diamantados")</f>
        <v>Cinco (5) discos diamantados</v>
      </c>
      <c r="AT45" s="216" t="str">
        <f>IFERROR(__xludf.DUMMYFUNCTION("""COMPUTED_VALUE"""),"https://www.maqcenter.pe/product/vaso-diamantado-para-concreto-segmentado-125-x-22-23mm-bosch-2608-601-764")</f>
        <v>https://www.maqcenter.pe/product/vaso-diamantado-para-concreto-segmentado-125-x-22-23mm-bosch-2608-601-764</v>
      </c>
      <c r="AU45" s="213"/>
      <c r="AV45" s="213"/>
      <c r="AW45" s="213"/>
      <c r="AX45" s="213"/>
      <c r="AY45" s="213"/>
      <c r="AZ45" s="213"/>
      <c r="BA45" s="213"/>
      <c r="BB45" s="213"/>
      <c r="BC45" s="213"/>
      <c r="BD45" s="213"/>
    </row>
    <row r="46">
      <c r="A46" s="213">
        <f>IFERROR(__xludf.DUMMYFUNCTION("""COMPUTED_VALUE"""),2472.0)</f>
        <v>2472</v>
      </c>
      <c r="B46" s="213" t="str">
        <f>IFERROR(__xludf.DUMMYFUNCTION("""COMPUTED_VALUE"""),"MANUEL ANTONIO MESONES MURO")</f>
        <v>MANUEL ANTONIO MESONES MURO</v>
      </c>
      <c r="C46" s="213" t="str">
        <f>IFERROR(__xludf.DUMMYFUNCTION("""COMPUTED_VALUE"""),"TALLER SFT DE CONSTRUCCIONES METÁLICAS")</f>
        <v>TALLER SFT DE CONSTRUCCIONES METÁLICAS</v>
      </c>
      <c r="D46" s="213" t="str">
        <f>IFERROR(__xludf.DUMMYFUNCTION("""COMPUTED_VALUE"""),"MOBILIARIO")</f>
        <v>MOBILIARIO</v>
      </c>
      <c r="E46" s="213" t="str">
        <f>IFERROR(__xludf.DUMMYFUNCTION("""COMPUTED_VALUE"""),"MOB-101")</f>
        <v>MOB-101</v>
      </c>
      <c r="F46" s="213" t="str">
        <f>IFERROR(__xludf.DUMMYFUNCTION("""COMPUTED_VALUE"""),"MOB-101")</f>
        <v>MOB-101</v>
      </c>
      <c r="G46" s="213"/>
      <c r="H46" s="213" t="str">
        <f>IFERROR(__xludf.DUMMYFUNCTION("""COMPUTED_VALUE"""),"ANAQUEL DE METAL (1.00 M X 0.40 MX 1.80 M)")</f>
        <v>ANAQUEL DE METAL (1.00 M X 0.40 MX 1.80 M)</v>
      </c>
      <c r="I46" s="213" t="str">
        <f>IFERROR(__xludf.DUMMYFUNCTION("""COMPUTED_VALUE"""),"· Cuenta con cuatro (04) ángulos ranurados de 1 1/2 x 1 1/2 x 1.80 mt.
· Cinco (05) paneles metálicos de 0.6 mm de espesor que soportara una carga max. Aproximada de 50 kg. por panel.
· Esquineros metálicos (08), distribuidos en tre la parte frontal y pos"&amp;"terior del bien
· Pernos y Tuercas
· Regatones
· Dimensiones: 1.00 x 0.40 x 1.80 mt. (se acepatará un márgen de +/- 5cm en las medidas)")</f>
        <v>· Cuenta con cuatro (04) ángulos ranurados de 1 1/2 x 1 1/2 x 1.80 mt.
· Cinco (05) paneles metálicos de 0.6 mm de espesor que soportara una carga max. Aproximada de 50 kg. por panel.
· Esquineros metálicos (08), distribuidos en tre la parte frontal y posterior del bien
· Pernos y Tuercas
· Regatones
· Dimensiones: 1.00 x 0.40 x 1.80 mt. (se acepatará un márgen de +/- 5cm en las medidas)</v>
      </c>
      <c r="J46" s="213">
        <f>IFERROR(__xludf.DUMMYFUNCTION("""COMPUTED_VALUE"""),3.0)</f>
        <v>3</v>
      </c>
      <c r="K46" s="213" t="str">
        <f>IFERROR(__xludf.DUMMYFUNCTION("""COMPUTED_VALUE"""),"90 DÍAS CALENDARIO")</f>
        <v>90 DÍAS CALENDARIO</v>
      </c>
      <c r="L46" s="213" t="str">
        <f>IFERROR(__xludf.DUMMYFUNCTION("""COMPUTED_VALUE"""),"")</f>
        <v/>
      </c>
      <c r="M46" s="213">
        <f>IFERROR(__xludf.DUMMYFUNCTION("""COMPUTED_VALUE"""),1.0)</f>
        <v>1</v>
      </c>
      <c r="N46" s="213">
        <f>IFERROR(__xludf.DUMMYFUNCTION("""COMPUTED_VALUE"""),6.0)</f>
        <v>6</v>
      </c>
      <c r="O46" s="213">
        <f>IFERROR(__xludf.DUMMYFUNCTION("""COMPUTED_VALUE"""),6.0)</f>
        <v>6</v>
      </c>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t="str">
        <f>IFERROR(__xludf.DUMMYFUNCTION("""COMPUTED_VALUE"""),"")</f>
        <v/>
      </c>
      <c r="AT46" s="217" t="str">
        <f>IFERROR(__xludf.DUMMYFUNCTION("""COMPUTED_VALUE"""),"")</f>
        <v/>
      </c>
      <c r="AU46" s="213"/>
      <c r="AV46" s="213"/>
      <c r="AW46" s="213"/>
      <c r="AX46" s="213"/>
      <c r="AY46" s="213"/>
      <c r="AZ46" s="213"/>
      <c r="BA46" s="213"/>
      <c r="BB46" s="213"/>
      <c r="BC46" s="213"/>
      <c r="BD46" s="213"/>
    </row>
    <row r="47">
      <c r="A47" s="213">
        <f>IFERROR(__xludf.DUMMYFUNCTION("""COMPUTED_VALUE"""),695.0)</f>
        <v>695</v>
      </c>
      <c r="B47" s="213" t="str">
        <f>IFERROR(__xludf.DUMMYFUNCTION("""COMPUTED_VALUE"""),"6049 RICARDO PALMA")</f>
        <v>6049 RICARDO PALMA</v>
      </c>
      <c r="C47" s="213" t="str">
        <f>IFERROR(__xludf.DUMMYFUNCTION("""COMPUTED_VALUE"""),"TALLER SFT DE ELECTRÓNICA")</f>
        <v>TALLER SFT DE ELECTRÓNICA</v>
      </c>
      <c r="D47" s="213" t="str">
        <f>IFERROR(__xludf.DUMMYFUNCTION("""COMPUTED_VALUE"""),"EQUIPOS")</f>
        <v>EQUIPOS</v>
      </c>
      <c r="E47" s="213" t="str">
        <f>IFERROR(__xludf.DUMMYFUNCTION("""COMPUTED_VALUE"""),"ESP-104")</f>
        <v>ESP-104</v>
      </c>
      <c r="F47" s="213" t="str">
        <f>IFERROR(__xludf.DUMMYFUNCTION("""COMPUTED_VALUE"""),"ESP-104")</f>
        <v>ESP-104</v>
      </c>
      <c r="G47" s="213"/>
      <c r="H47" s="213" t="str">
        <f>IFERROR(__xludf.DUMMYFUNCTION("""COMPUTED_VALUE"""),"ANALIZADOR DE ESPECTRO")</f>
        <v>ANALIZADOR DE ESPECTRO</v>
      </c>
      <c r="I47" s="213" t="str">
        <f>IFERROR(__xludf.DUMMYFUNCTION("""COMPUTED_VALUE"""),"· Visualizador de componentes espectrales de un espectro de frecuencia, pudiendo ser un tipo de onda.
· Margen de frecuencia, hasta: 3 GHz.
· Frecuencia central: 0,1 MHz.
· Amplitud, nivel de referencia: de +20 a -40 dBm.
· Entrada, impedancia: 50 Ω.
· Ti"&amp;"empo de barrido: ≤ 300 ms - ≥ 8,4 s.
· Pantalla: LCD.
· Interface de comunicación: Puerto USB.
· Voltaje, frecuencia: 220 V, 60 Hz.
· Incluye entrenador básico de radiofrecuencia, descrito a continuación:
· Formas de onda base del entrenador, mínimo: Seno"&amp;"idal, cuadrada y triangular.
· Margen de frecuencias: 0,1 - 3 MHz.
· Precisión de frecuencia FM / RF: + 0,15 Vpp.
· Diferencia de pico AM: ≥ -18 dBm.
· Voltaje, frecuencia: 220 V, 60 Hz
· Incluye cables para pruebas.")</f>
        <v>· Visualizador de componentes espectrales de un espectro de frecuencia, pudiendo ser un tipo de onda.
· Margen de frecuencia, hasta: 3 GHz.
· Frecuencia central: 0,1 MHz.
· Amplitud, nivel de referencia: de +20 a -40 dBm.
· Entrada, impedancia: 50 Ω.
· Tiempo de barrido: ≤ 300 ms - ≥ 8,4 s.
· Pantalla: LCD.
· Interface de comunicación: Puerto USB.
· Voltaje, frecuencia: 220 V, 60 Hz.
· Incluye entrenador básico de radiofrecuencia, descrito a continuación:
· Formas de onda base del entrenador, mínimo: Senoidal, cuadrada y triangular.
· Margen de frecuencias: 0,1 - 3 MHz.
· Precisión de frecuencia FM / RF: + 0,15 Vpp.
· Diferencia de pico AM: ≥ -18 dBm.
· Voltaje, frecuencia: 220 V, 60 Hz
· Incluye cables para pruebas.</v>
      </c>
      <c r="J47" s="213">
        <f>IFERROR(__xludf.DUMMYFUNCTION("""COMPUTED_VALUE"""),3.0)</f>
        <v>3</v>
      </c>
      <c r="K47" s="213" t="str">
        <f>IFERROR(__xludf.DUMMYFUNCTION("""COMPUTED_VALUE"""),"170 DÍAS CALENDARIO")</f>
        <v>170 DÍAS CALENDARIO</v>
      </c>
      <c r="L47" s="213" t="str">
        <f>IFERROR(__xludf.DUMMYFUNCTION("""COMPUTED_VALUE"""),"")</f>
        <v/>
      </c>
      <c r="M47" s="213">
        <f>IFERROR(__xludf.DUMMYFUNCTION("""COMPUTED_VALUE"""),1.0)</f>
        <v>1</v>
      </c>
      <c r="N47" s="213">
        <f>IFERROR(__xludf.DUMMYFUNCTION("""COMPUTED_VALUE"""),4.0)</f>
        <v>4</v>
      </c>
      <c r="O47" s="213">
        <f>IFERROR(__xludf.DUMMYFUNCTION("""COMPUTED_VALUE"""),4.0)</f>
        <v>4</v>
      </c>
      <c r="P47" s="213"/>
      <c r="Q47" s="213"/>
      <c r="R47" s="213"/>
      <c r="S47" s="213" t="str">
        <f>IFERROR(__xludf.DUMMYFUNCTION("""COMPUTED_VALUE"""),"SI")</f>
        <v>SI</v>
      </c>
      <c r="T47" s="213" t="str">
        <f>IFERROR(__xludf.DUMMYFUNCTION("""COMPUTED_VALUE"""),"SI")</f>
        <v>SI</v>
      </c>
      <c r="U47" s="213" t="str">
        <f>IFERROR(__xludf.DUMMYFUNCTION("""COMPUTED_VALUE"""),"SI")</f>
        <v>SI</v>
      </c>
      <c r="V47" s="213" t="str">
        <f>IFERROR(__xludf.DUMMYFUNCTION("""COMPUTED_VALUE"""),"-")</f>
        <v>-</v>
      </c>
      <c r="W47" s="213" t="str">
        <f>IFERROR(__xludf.DUMMYFUNCTION("""COMPUTED_VALUE"""),"-")</f>
        <v>-</v>
      </c>
      <c r="X47" s="213" t="str">
        <f>IFERROR(__xludf.DUMMYFUNCTION("""COMPUTED_VALUE"""),"Gwinstek")</f>
        <v>Gwinstek</v>
      </c>
      <c r="Y47" s="213" t="str">
        <f>IFERROR(__xludf.DUMMYFUNCTION("""COMPUTED_VALUE"""),"GSP-730")</f>
        <v>GSP-730</v>
      </c>
      <c r="Z47" s="215" t="str">
        <f>IFERROR(__xludf.DUMMYFUNCTION("""COMPUTED_VALUE"""),"https://www.gwinstek.com/en-US/products/detail/GSP-730")</f>
        <v>https://www.gwinstek.com/en-US/products/detail/GSP-730</v>
      </c>
      <c r="AA47" s="213" t="str">
        <f>IFERROR(__xludf.DUMMYFUNCTION("""COMPUTED_VALUE"""),"ESP-104 ANALIZADOR DE ESPECTRO - CET")</f>
        <v>ESP-104 ANALIZADOR DE ESPECTRO - CET</v>
      </c>
      <c r="AB47" s="215" t="str">
        <f>IFERROR(__xludf.DUMMYFUNCTION("""COMPUTED_VALUE"""),"https://drive.google.com/file/d/18_l4zUQKyGrXJAh-qmm2EvuZAqU9AGTj/view")</f>
        <v>https://drive.google.com/file/d/18_l4zUQKyGrXJAh-qmm2EvuZAqU9AGTj/view</v>
      </c>
      <c r="AC47" s="213"/>
      <c r="AD47" s="213"/>
      <c r="AE47" s="213"/>
      <c r="AF47" s="213"/>
      <c r="AG47" s="213"/>
      <c r="AH47" s="213"/>
      <c r="AI47" s="213"/>
      <c r="AJ47" s="213"/>
      <c r="AK47" s="213"/>
      <c r="AL47" s="213"/>
      <c r="AM47" s="213"/>
      <c r="AN47" s="213"/>
      <c r="AO47" s="213"/>
      <c r="AP47" s="213" t="str">
        <f>IFERROR(__xludf.DUMMYFUNCTION("""COMPUTED_VALUE"""),"BRUNO")</f>
        <v>BRUNO</v>
      </c>
      <c r="AQ47" s="213" t="str">
        <f>IFERROR(__xludf.DUMMYFUNCTION("""COMPUTED_VALUE"""),"Son dos equipos que componen uno")</f>
        <v>Son dos equipos que componen uno</v>
      </c>
      <c r="AR47" s="213"/>
      <c r="AS47" s="213"/>
      <c r="AT47" s="213"/>
      <c r="AU47" s="213"/>
      <c r="AV47" s="213"/>
      <c r="AW47" s="213"/>
      <c r="AX47" s="213"/>
      <c r="AY47" s="213"/>
      <c r="AZ47" s="213"/>
      <c r="BA47" s="213"/>
      <c r="BB47" s="213"/>
      <c r="BC47" s="213"/>
      <c r="BD47" s="213"/>
    </row>
    <row r="48">
      <c r="A48" s="213">
        <f>IFERROR(__xludf.DUMMYFUNCTION("""COMPUTED_VALUE"""),1045.0)</f>
        <v>1045</v>
      </c>
      <c r="B48" s="213" t="str">
        <f>IFERROR(__xludf.DUMMYFUNCTION("""COMPUTED_VALUE"""),"FRANCISCO IRAZOLA")</f>
        <v>FRANCISCO IRAZOLA</v>
      </c>
      <c r="C48" s="213" t="str">
        <f>IFERROR(__xludf.DUMMYFUNCTION("""COMPUTED_VALUE"""),"TALLER SFT DE MECÁNICA AUTOMOTRIZ")</f>
        <v>TALLER SFT DE MECÁNICA AUTOMOTRIZ</v>
      </c>
      <c r="D48" s="213" t="str">
        <f>IFERROR(__xludf.DUMMYFUNCTION("""COMPUTED_VALUE"""),"EQUIPOS")</f>
        <v>EQUIPOS</v>
      </c>
      <c r="E48" s="213" t="str">
        <f>IFERROR(__xludf.DUMMYFUNCTION("""COMPUTED_VALUE"""),"ESP-105")</f>
        <v>ESP-105</v>
      </c>
      <c r="F48" s="213" t="str">
        <f>IFERROR(__xludf.DUMMYFUNCTION("""COMPUTED_VALUE"""),"ESP-105")</f>
        <v>ESP-105</v>
      </c>
      <c r="G48" s="213"/>
      <c r="H48" s="213" t="str">
        <f>IFERROR(__xludf.DUMMYFUNCTION("""COMPUTED_VALUE"""),"ANALIZADOR DE GAS DE ESCAPE")</f>
        <v>ANALIZADOR DE GAS DE ESCAPE</v>
      </c>
      <c r="I48" s="213" t="str">
        <f>IFERROR(__xludf.DUMMYFUNCTION("""COMPUTED_VALUE"""),"Analizador de gases de mínimo CO, CO2, HC, O2
Permite ajustar el sistema de inyección y carburadores de gasolina con y sin plomo.
Tipo digital.
Características: Sin partes móviles que se desgasten ni filtros que cambiar. Preciso: Muestra digitalmente la m"&amp;"edición con una precisión de mínimo 0,5%. Funciona con conexión a la batería de 12V.
Incluye caja de acumulación de gas, bomba de pulsos, decantador de agua, sonda de prueba con muelles de fijación, 3 tubos flexibles e instrucciones.")</f>
        <v>Analizador de gases de mínimo CO, CO2, HC, O2
Permite ajustar el sistema de inyección y carburadores de gasolina con y sin plomo.
Tipo digital.
Características: Sin partes móviles que se desgasten ni filtros que cambiar. Preciso: Muestra digitalmente la medición con una precisión de mínimo 0,5%. Funciona con conexión a la batería de 12V.
Incluye caja de acumulación de gas, bomba de pulsos, decantador de agua, sonda de prueba con muelles de fijación, 3 tubos flexibles e instrucciones.</v>
      </c>
      <c r="J48" s="213">
        <f>IFERROR(__xludf.DUMMYFUNCTION("""COMPUTED_VALUE"""),3.0)</f>
        <v>3</v>
      </c>
      <c r="K48" s="213" t="str">
        <f>IFERROR(__xludf.DUMMYFUNCTION("""COMPUTED_VALUE"""),"170 DÍAS CALENDARIO")</f>
        <v>170 DÍAS CALENDARIO</v>
      </c>
      <c r="L48" s="213" t="str">
        <f>IFERROR(__xludf.DUMMYFUNCTION("""COMPUTED_VALUE"""),"")</f>
        <v/>
      </c>
      <c r="M48" s="213">
        <f>IFERROR(__xludf.DUMMYFUNCTION("""COMPUTED_VALUE"""),1.0)</f>
        <v>1</v>
      </c>
      <c r="N48" s="213">
        <f>IFERROR(__xludf.DUMMYFUNCTION("""COMPUTED_VALUE"""),1.0)</f>
        <v>1</v>
      </c>
      <c r="O48" s="213">
        <f>IFERROR(__xludf.DUMMYFUNCTION("""COMPUTED_VALUE"""),1.0)</f>
        <v>1</v>
      </c>
      <c r="P48" s="213"/>
      <c r="Q48" s="213"/>
      <c r="R48" s="213"/>
      <c r="S48" s="213" t="str">
        <f>IFERROR(__xludf.DUMMYFUNCTION("""COMPUTED_VALUE"""),"SI")</f>
        <v>SI</v>
      </c>
      <c r="T48" s="213" t="str">
        <f>IFERROR(__xludf.DUMMYFUNCTION("""COMPUTED_VALUE"""),"SI")</f>
        <v>SI</v>
      </c>
      <c r="U48" s="213" t="str">
        <f>IFERROR(__xludf.DUMMYFUNCTION("""COMPUTED_VALUE"""),"SI")</f>
        <v>SI</v>
      </c>
      <c r="V48" s="213" t="str">
        <f>IFERROR(__xludf.DUMMYFUNCTION("""COMPUTED_VALUE"""),"-")</f>
        <v>-</v>
      </c>
      <c r="W48" s="213" t="str">
        <f>IFERROR(__xludf.DUMMYFUNCTION("""COMPUTED_VALUE"""),"-")</f>
        <v>-</v>
      </c>
      <c r="X48" s="213" t="str">
        <f>IFERROR(__xludf.DUMMYFUNCTION("""COMPUTED_VALUE"""),"BRAIN BEE")</f>
        <v>BRAIN BEE</v>
      </c>
      <c r="Y48" s="213" t="str">
        <f>IFERROR(__xludf.DUMMYFUNCTION("""COMPUTED_VALUE"""),"AGS-688")</f>
        <v>AGS-688</v>
      </c>
      <c r="Z48" s="215" t="str">
        <f>IFERROR(__xludf.DUMMYFUNCTION("""COMPUTED_VALUE"""),"google.com/search?q=BRAIN+BEE+AGS-688&amp;rlz=1C1CHBD_esPE1168PE1168&amp;oq=BRAIN+BEE+AGS-688&amp;gs_lcrp=EgZjaHJvbWUyBggAEEUYOTIICAEQABgWGB4yCAgCEAAYFhgeMggIAxAAGBYYHjIICAQQABgWGB4yBggFEEUYPDIGCAYQRRg8MgYIBxBFGD3SAQgxMzcwajBqN6gCALACAA&amp;sourceid=chrome&amp;ie=UTF-8")</f>
        <v>google.com/search?q=BRAIN+BEE+AGS-688&amp;rlz=1C1CHBD_esPE1168PE1168&amp;oq=BRAIN+BEE+AGS-688&amp;gs_lcrp=EgZjaHJvbWUyBggAEEUYOTIICAEQABgWGB4yCAgCEAAYFhgeMggIAxAAGBYYHjIICAQQABgWGB4yBggFEEUYPDIGCAYQRRg8MgYIBxBFGD3SAQgxMzcwajBqN6gCALACAA&amp;sourceid=chrome&amp;ie=UTF-8</v>
      </c>
      <c r="AA48" s="213" t="str">
        <f>IFERROR(__xludf.DUMMYFUNCTION("""COMPUTED_VALUE"""),"ESP-105 ANALIZADOR DE GAS DE ESCAPE - CET")</f>
        <v>ESP-105 ANALIZADOR DE GAS DE ESCAPE - CET</v>
      </c>
      <c r="AB48" s="213"/>
      <c r="AC48" s="213"/>
      <c r="AD48" s="213"/>
      <c r="AE48" s="213"/>
      <c r="AF48" s="213"/>
      <c r="AG48" s="213"/>
      <c r="AH48" s="213"/>
      <c r="AI48" s="213"/>
      <c r="AJ48" s="213"/>
      <c r="AK48" s="213"/>
      <c r="AL48" s="213"/>
      <c r="AM48" s="213"/>
      <c r="AN48" s="213"/>
      <c r="AO48" s="213"/>
      <c r="AP48" s="213" t="str">
        <f>IFERROR(__xludf.DUMMYFUNCTION("""COMPUTED_VALUE"""),"NALDI")</f>
        <v>NALDI</v>
      </c>
      <c r="AQ48" s="213"/>
      <c r="AR48" s="213"/>
      <c r="AS48" s="213"/>
      <c r="AT48" s="213"/>
      <c r="AU48" s="213"/>
      <c r="AV48" s="213"/>
      <c r="AW48" s="213"/>
      <c r="AX48" s="213"/>
      <c r="AY48" s="213"/>
      <c r="AZ48" s="213"/>
      <c r="BA48" s="213"/>
      <c r="BB48" s="213"/>
      <c r="BC48" s="213"/>
      <c r="BD48" s="213"/>
    </row>
    <row r="49">
      <c r="A49" s="213">
        <f>IFERROR(__xludf.DUMMYFUNCTION("""COMPUTED_VALUE"""),1650.0)</f>
        <v>1650</v>
      </c>
      <c r="B49" s="213" t="str">
        <f>IFERROR(__xludf.DUMMYFUNCTION("""COMPUTED_VALUE"""),"GUILLERMO E. BILLINGHURST ")</f>
        <v>GUILLERMO E. BILLINGHURST </v>
      </c>
      <c r="C49" s="213" t="str">
        <f>IFERROR(__xludf.DUMMYFUNCTION("""COMPUTED_VALUE"""),"TALLER SFT DE MECÁNICA AUTOMOTRIZ")</f>
        <v>TALLER SFT DE MECÁNICA AUTOMOTRIZ</v>
      </c>
      <c r="D49" s="213" t="str">
        <f>IFERROR(__xludf.DUMMYFUNCTION("""COMPUTED_VALUE"""),"EQUIPOS")</f>
        <v>EQUIPOS</v>
      </c>
      <c r="E49" s="213" t="str">
        <f>IFERROR(__xludf.DUMMYFUNCTION("""COMPUTED_VALUE"""),"ESP-105")</f>
        <v>ESP-105</v>
      </c>
      <c r="F49" s="213" t="str">
        <f>IFERROR(__xludf.DUMMYFUNCTION("""COMPUTED_VALUE"""),"ESP-105")</f>
        <v>ESP-105</v>
      </c>
      <c r="G49" s="213"/>
      <c r="H49" s="213" t="str">
        <f>IFERROR(__xludf.DUMMYFUNCTION("""COMPUTED_VALUE"""),"ANALIZADOR DE GAS DE ESCAPE")</f>
        <v>ANALIZADOR DE GAS DE ESCAPE</v>
      </c>
      <c r="I49" s="213" t="str">
        <f>IFERROR(__xludf.DUMMYFUNCTION("""COMPUTED_VALUE"""),"Analizador de gases de mínimo CO, CO2, HC, O2
Permite ajustar el sistema de inyección y carburadores de gasolina con y sin plomo.
Tipo digital.
Características: Sin partes móviles que se desgasten ni filtros que cambiar. Preciso: Muestra digitalmente la m"&amp;"edición con una precisión de mínimo 0,5%. Funciona con conexión a la batería de 12V.
Incluye caja de acumulación de gas, bomba de pulsos, decantador de agua, sonda de prueba con muelles de fijación, 3 tubos flexibles e instrucciones.")</f>
        <v>Analizador de gases de mínimo CO, CO2, HC, O2
Permite ajustar el sistema de inyección y carburadores de gasolina con y sin plomo.
Tipo digital.
Características: Sin partes móviles que se desgasten ni filtros que cambiar. Preciso: Muestra digitalmente la medición con una precisión de mínimo 0,5%. Funciona con conexión a la batería de 12V.
Incluye caja de acumulación de gas, bomba de pulsos, decantador de agua, sonda de prueba con muelles de fijación, 3 tubos flexibles e instrucciones.</v>
      </c>
      <c r="J49" s="213">
        <f>IFERROR(__xludf.DUMMYFUNCTION("""COMPUTED_VALUE"""),3.0)</f>
        <v>3</v>
      </c>
      <c r="K49" s="213" t="str">
        <f>IFERROR(__xludf.DUMMYFUNCTION("""COMPUTED_VALUE"""),"170 DÍAS CALENDARIO")</f>
        <v>170 DÍAS CALENDARIO</v>
      </c>
      <c r="L49" s="213" t="str">
        <f>IFERROR(__xludf.DUMMYFUNCTION("""COMPUTED_VALUE"""),"")</f>
        <v/>
      </c>
      <c r="M49" s="213">
        <f>IFERROR(__xludf.DUMMYFUNCTION("""COMPUTED_VALUE"""),1.0)</f>
        <v>1</v>
      </c>
      <c r="N49" s="213">
        <f>IFERROR(__xludf.DUMMYFUNCTION("""COMPUTED_VALUE"""),1.0)</f>
        <v>1</v>
      </c>
      <c r="O49" s="213">
        <f>IFERROR(__xludf.DUMMYFUNCTION("""COMPUTED_VALUE"""),1.0)</f>
        <v>1</v>
      </c>
      <c r="P49" s="213"/>
      <c r="Q49" s="213"/>
      <c r="R49" s="213"/>
      <c r="S49" s="213" t="str">
        <f>IFERROR(__xludf.DUMMYFUNCTION("""COMPUTED_VALUE"""),"SI")</f>
        <v>SI</v>
      </c>
      <c r="T49" s="213" t="str">
        <f>IFERROR(__xludf.DUMMYFUNCTION("""COMPUTED_VALUE"""),"SI")</f>
        <v>SI</v>
      </c>
      <c r="U49" s="213" t="str">
        <f>IFERROR(__xludf.DUMMYFUNCTION("""COMPUTED_VALUE"""),"SI")</f>
        <v>SI</v>
      </c>
      <c r="V49" s="213" t="str">
        <f>IFERROR(__xludf.DUMMYFUNCTION("""COMPUTED_VALUE"""),"-")</f>
        <v>-</v>
      </c>
      <c r="W49" s="213" t="str">
        <f>IFERROR(__xludf.DUMMYFUNCTION("""COMPUTED_VALUE"""),"-")</f>
        <v>-</v>
      </c>
      <c r="X49" s="213" t="str">
        <f>IFERROR(__xludf.DUMMYFUNCTION("""COMPUTED_VALUE"""),"BRAIN BEE")</f>
        <v>BRAIN BEE</v>
      </c>
      <c r="Y49" s="213" t="str">
        <f>IFERROR(__xludf.DUMMYFUNCTION("""COMPUTED_VALUE"""),"AGS-689")</f>
        <v>AGS-689</v>
      </c>
      <c r="Z49" s="215" t="str">
        <f>IFERROR(__xludf.DUMMYFUNCTION("""COMPUTED_VALUE"""),"google.com/search?q=BRAIN+BEE+AGS-688&amp;rlz=1C1CHBD_esPE1168PE1168&amp;oq=BRAIN+BEE+AGS-688&amp;gs_lcrp=EgZjaHJvbWUyBggAEEUYOTIICAEQABgWGB4yCAgCEAAYFhgeMggIAxAAGBYYHjIICAQQABgWGB4yBggFEEUYPDIGCAYQRRg8MgYIBxBFGD3SAQgxMzcwajBqN6gCALACAA&amp;sourceid=chrome&amp;ie=UTF-9")</f>
        <v>google.com/search?q=BRAIN+BEE+AGS-688&amp;rlz=1C1CHBD_esPE1168PE1168&amp;oq=BRAIN+BEE+AGS-688&amp;gs_lcrp=EgZjaHJvbWUyBggAEEUYOTIICAEQABgWGB4yCAgCEAAYFhgeMggIAxAAGBYYHjIICAQQABgWGB4yBggFEEUYPDIGCAYQRRg8MgYIBxBFGD3SAQgxMzcwajBqN6gCALACAA&amp;sourceid=chrome&amp;ie=UTF-9</v>
      </c>
      <c r="AA49" s="213" t="str">
        <f>IFERROR(__xludf.DUMMYFUNCTION("""COMPUTED_VALUE"""),"ESP-105 ANALIZADOR DE GAS DE ESCAPE - CET")</f>
        <v>ESP-105 ANALIZADOR DE GAS DE ESCAPE - CET</v>
      </c>
      <c r="AB49" s="213"/>
      <c r="AC49" s="213"/>
      <c r="AD49" s="213"/>
      <c r="AE49" s="213"/>
      <c r="AF49" s="213"/>
      <c r="AG49" s="213"/>
      <c r="AH49" s="213"/>
      <c r="AI49" s="213"/>
      <c r="AJ49" s="213"/>
      <c r="AK49" s="213"/>
      <c r="AL49" s="213"/>
      <c r="AM49" s="213"/>
      <c r="AN49" s="213"/>
      <c r="AO49" s="213"/>
      <c r="AP49" s="213" t="str">
        <f>IFERROR(__xludf.DUMMYFUNCTION("""COMPUTED_VALUE"""),"NALDI")</f>
        <v>NALDI</v>
      </c>
      <c r="AQ49" s="213"/>
      <c r="AR49" s="213"/>
      <c r="AS49" s="213"/>
      <c r="AT49" s="213"/>
      <c r="AU49" s="213"/>
      <c r="AV49" s="213"/>
      <c r="AW49" s="213"/>
      <c r="AX49" s="213"/>
      <c r="AY49" s="213"/>
      <c r="AZ49" s="213"/>
      <c r="BA49" s="213"/>
      <c r="BB49" s="213"/>
      <c r="BC49" s="213"/>
      <c r="BD49" s="213"/>
    </row>
    <row r="50">
      <c r="A50" s="213">
        <f>IFERROR(__xludf.DUMMYFUNCTION("""COMPUTED_VALUE"""),2341.0)</f>
        <v>2341</v>
      </c>
      <c r="B50" s="213" t="str">
        <f>IFERROR(__xludf.DUMMYFUNCTION("""COMPUTED_VALUE"""),"JOSE GRANDA")</f>
        <v>JOSE GRANDA</v>
      </c>
      <c r="C50" s="213" t="str">
        <f>IFERROR(__xludf.DUMMYFUNCTION("""COMPUTED_VALUE"""),"TALLER SFT DE MECÁNICA AUTOMOTRIZ")</f>
        <v>TALLER SFT DE MECÁNICA AUTOMOTRIZ</v>
      </c>
      <c r="D50" s="213" t="str">
        <f>IFERROR(__xludf.DUMMYFUNCTION("""COMPUTED_VALUE"""),"EQUIPOS")</f>
        <v>EQUIPOS</v>
      </c>
      <c r="E50" s="213" t="str">
        <f>IFERROR(__xludf.DUMMYFUNCTION("""COMPUTED_VALUE"""),"ESP-105")</f>
        <v>ESP-105</v>
      </c>
      <c r="F50" s="213" t="str">
        <f>IFERROR(__xludf.DUMMYFUNCTION("""COMPUTED_VALUE"""),"ESP-105")</f>
        <v>ESP-105</v>
      </c>
      <c r="G50" s="213"/>
      <c r="H50" s="213" t="str">
        <f>IFERROR(__xludf.DUMMYFUNCTION("""COMPUTED_VALUE"""),"ANALIZADOR DE GAS DE ESCAPE")</f>
        <v>ANALIZADOR DE GAS DE ESCAPE</v>
      </c>
      <c r="I50" s="213" t="str">
        <f>IFERROR(__xludf.DUMMYFUNCTION("""COMPUTED_VALUE"""),"Analizador de gases de mínimo CO, CO2, HC, O2
Permite ajustar el sistema de inyección y carburadores de gasolina con y sin plomo.
Tipo digital.
Características: Sin partes móviles que se desgasten ni filtros que cambiar. Preciso: Muestra digitalmente la m"&amp;"edición con una precisión de mínimo 0,5%. Funciona con conexión a la batería de 12V.
Incluye caja de acumulación de gas, bomba de pulsos, decantador de agua, sonda de prueba con muelles de fijación, 3 tubos flexibles e instrucciones.")</f>
        <v>Analizador de gases de mínimo CO, CO2, HC, O2
Permite ajustar el sistema de inyección y carburadores de gasolina con y sin plomo.
Tipo digital.
Características: Sin partes móviles que se desgasten ni filtros que cambiar. Preciso: Muestra digitalmente la medición con una precisión de mínimo 0,5%. Funciona con conexión a la batería de 12V.
Incluye caja de acumulación de gas, bomba de pulsos, decantador de agua, sonda de prueba con muelles de fijación, 3 tubos flexibles e instrucciones.</v>
      </c>
      <c r="J50" s="213">
        <f>IFERROR(__xludf.DUMMYFUNCTION("""COMPUTED_VALUE"""),3.0)</f>
        <v>3</v>
      </c>
      <c r="K50" s="213" t="str">
        <f>IFERROR(__xludf.DUMMYFUNCTION("""COMPUTED_VALUE"""),"170 DÍAS CALENDARIO")</f>
        <v>170 DÍAS CALENDARIO</v>
      </c>
      <c r="L50" s="213" t="str">
        <f>IFERROR(__xludf.DUMMYFUNCTION("""COMPUTED_VALUE"""),"")</f>
        <v/>
      </c>
      <c r="M50" s="213">
        <f>IFERROR(__xludf.DUMMYFUNCTION("""COMPUTED_VALUE"""),1.0)</f>
        <v>1</v>
      </c>
      <c r="N50" s="213">
        <f>IFERROR(__xludf.DUMMYFUNCTION("""COMPUTED_VALUE"""),1.0)</f>
        <v>1</v>
      </c>
      <c r="O50" s="213">
        <f>IFERROR(__xludf.DUMMYFUNCTION("""COMPUTED_VALUE"""),1.0)</f>
        <v>1</v>
      </c>
      <c r="P50" s="213"/>
      <c r="Q50" s="213"/>
      <c r="R50" s="213"/>
      <c r="S50" s="213" t="str">
        <f>IFERROR(__xludf.DUMMYFUNCTION("""COMPUTED_VALUE"""),"SI")</f>
        <v>SI</v>
      </c>
      <c r="T50" s="213" t="str">
        <f>IFERROR(__xludf.DUMMYFUNCTION("""COMPUTED_VALUE"""),"SI")</f>
        <v>SI</v>
      </c>
      <c r="U50" s="213" t="str">
        <f>IFERROR(__xludf.DUMMYFUNCTION("""COMPUTED_VALUE"""),"SI")</f>
        <v>SI</v>
      </c>
      <c r="V50" s="213" t="str">
        <f>IFERROR(__xludf.DUMMYFUNCTION("""COMPUTED_VALUE"""),"-")</f>
        <v>-</v>
      </c>
      <c r="W50" s="213" t="str">
        <f>IFERROR(__xludf.DUMMYFUNCTION("""COMPUTED_VALUE"""),"-")</f>
        <v>-</v>
      </c>
      <c r="X50" s="213" t="str">
        <f>IFERROR(__xludf.DUMMYFUNCTION("""COMPUTED_VALUE"""),"BRAIN BEE")</f>
        <v>BRAIN BEE</v>
      </c>
      <c r="Y50" s="213" t="str">
        <f>IFERROR(__xludf.DUMMYFUNCTION("""COMPUTED_VALUE"""),"AGS-690")</f>
        <v>AGS-690</v>
      </c>
      <c r="Z50" s="215" t="str">
        <f>IFERROR(__xludf.DUMMYFUNCTION("""COMPUTED_VALUE"""),"google.com/search?q=BRAIN+BEE+AGS-688&amp;rlz=1C1CHBD_esPE1168PE1168&amp;oq=BRAIN+BEE+AGS-688&amp;gs_lcrp=EgZjaHJvbWUyBggAEEUYOTIICAEQABgWGB4yCAgCEAAYFhgeMggIAxAAGBYYHjIICAQQABgWGB4yBggFEEUYPDIGCAYQRRg8MgYIBxBFGD3SAQgxMzcwajBqN6gCALACAA&amp;sourceid=chrome&amp;ie=UTF-10")</f>
        <v>google.com/search?q=BRAIN+BEE+AGS-688&amp;rlz=1C1CHBD_esPE1168PE1168&amp;oq=BRAIN+BEE+AGS-688&amp;gs_lcrp=EgZjaHJvbWUyBggAEEUYOTIICAEQABgWGB4yCAgCEAAYFhgeMggIAxAAGBYYHjIICAQQABgWGB4yBggFEEUYPDIGCAYQRRg8MgYIBxBFGD3SAQgxMzcwajBqN6gCALACAA&amp;sourceid=chrome&amp;ie=UTF-10</v>
      </c>
      <c r="AA50" s="213" t="str">
        <f>IFERROR(__xludf.DUMMYFUNCTION("""COMPUTED_VALUE"""),"ESP-105 ANALIZADOR DE GAS DE ESCAPE - CET")</f>
        <v>ESP-105 ANALIZADOR DE GAS DE ESCAPE - CET</v>
      </c>
      <c r="AB50" s="213"/>
      <c r="AC50" s="213"/>
      <c r="AD50" s="213"/>
      <c r="AE50" s="213"/>
      <c r="AF50" s="213"/>
      <c r="AG50" s="213"/>
      <c r="AH50" s="213"/>
      <c r="AI50" s="213"/>
      <c r="AJ50" s="213"/>
      <c r="AK50" s="213"/>
      <c r="AL50" s="213"/>
      <c r="AM50" s="213"/>
      <c r="AN50" s="213"/>
      <c r="AO50" s="213"/>
      <c r="AP50" s="213" t="str">
        <f>IFERROR(__xludf.DUMMYFUNCTION("""COMPUTED_VALUE"""),"NALDI")</f>
        <v>NALDI</v>
      </c>
      <c r="AQ50" s="213"/>
      <c r="AR50" s="213"/>
      <c r="AS50" s="213"/>
      <c r="AT50" s="213"/>
      <c r="AU50" s="213"/>
      <c r="AV50" s="213"/>
      <c r="AW50" s="213"/>
      <c r="AX50" s="213"/>
      <c r="AY50" s="213"/>
      <c r="AZ50" s="213"/>
      <c r="BA50" s="213"/>
      <c r="BB50" s="213"/>
      <c r="BC50" s="213"/>
      <c r="BD50" s="213"/>
    </row>
    <row r="51">
      <c r="A51" s="213">
        <f>IFERROR(__xludf.DUMMYFUNCTION("""COMPUTED_VALUE"""),16.0)</f>
        <v>16</v>
      </c>
      <c r="B51" s="213" t="str">
        <f>IFERROR(__xludf.DUMMYFUNCTION("""COMPUTED_VALUE"""),"16449 ELOY SOBERON  FLORES")</f>
        <v>16449 ELOY SOBERON  FLORES</v>
      </c>
      <c r="C51" s="213" t="str">
        <f>IFERROR(__xludf.DUMMYFUNCTION("""COMPUTED_VALUE"""),"TALLER SFT DE COCINA Y REPOSTERÍA")</f>
        <v>TALLER SFT DE COCINA Y REPOSTERÍA</v>
      </c>
      <c r="D51" s="213" t="str">
        <f>IFERROR(__xludf.DUMMYFUNCTION("""COMPUTED_VALUE"""),"MOBILIARIO")</f>
        <v>MOBILIARIO</v>
      </c>
      <c r="E51" s="213" t="str">
        <f>IFERROR(__xludf.DUMMYFUNCTION("""COMPUTED_VALUE"""),"MOB-101")</f>
        <v>MOB-101</v>
      </c>
      <c r="F51" s="213" t="str">
        <f>IFERROR(__xludf.DUMMYFUNCTION("""COMPUTED_VALUE"""),"MOB-101")</f>
        <v>MOB-101</v>
      </c>
      <c r="G51" s="213"/>
      <c r="H51" s="213" t="str">
        <f>IFERROR(__xludf.DUMMYFUNCTION("""COMPUTED_VALUE"""),"ANAQUEL DE METAL (1.00 M X 0.40 MX 1.80 M)")</f>
        <v>ANAQUEL DE METAL (1.00 M X 0.40 MX 1.80 M)</v>
      </c>
      <c r="I51" s="213" t="str">
        <f>IFERROR(__xludf.DUMMYFUNCTION("""COMPUTED_VALUE"""),"· Cuenta con cuatro (04) ángulos ranurados de 1 1/2 x 1 1/2 x 1.80 mt.
· Cinco (05) paneles metálicos de 0.6 mm de espesor que soportara una carga max. Aproximada de 50 kg. por panel.
· Esquineros metálicos (08), distribuidos en tre la parte frontal y pos"&amp;"terior del bien
· Pernos y Tuercas
· Regatones
· Dimensiones: 1.00 x 0.40 x 1.80 mt. (se acepatará un márgen de +/- 5cm en las medidas)")</f>
        <v>· Cuenta con cuatro (04) ángulos ranurados de 1 1/2 x 1 1/2 x 1.80 mt.
· Cinco (05) paneles metálicos de 0.6 mm de espesor que soportara una carga max. Aproximada de 50 kg. por panel.
· Esquineros metálicos (08), distribuidos en tre la parte frontal y posterior del bien
· Pernos y Tuercas
· Regatones
· Dimensiones: 1.00 x 0.40 x 1.80 mt. (se acepatará un márgen de +/- 5cm en las medidas)</v>
      </c>
      <c r="J51" s="213">
        <f>IFERROR(__xludf.DUMMYFUNCTION("""COMPUTED_VALUE"""),3.0)</f>
        <v>3</v>
      </c>
      <c r="K51" s="213" t="str">
        <f>IFERROR(__xludf.DUMMYFUNCTION("""COMPUTED_VALUE"""),"90 DÍAS CALENDARIO")</f>
        <v>90 DÍAS CALENDARIO</v>
      </c>
      <c r="L51" s="213" t="str">
        <f>IFERROR(__xludf.DUMMYFUNCTION("""COMPUTED_VALUE"""),"")</f>
        <v/>
      </c>
      <c r="M51" s="213">
        <f>IFERROR(__xludf.DUMMYFUNCTION("""COMPUTED_VALUE"""),1.0)</f>
        <v>1</v>
      </c>
      <c r="N51" s="213">
        <f>IFERROR(__xludf.DUMMYFUNCTION("""COMPUTED_VALUE"""),1.0)</f>
        <v>1</v>
      </c>
      <c r="O51" s="213">
        <f>IFERROR(__xludf.DUMMYFUNCTION("""COMPUTED_VALUE"""),1.0)</f>
        <v>1</v>
      </c>
      <c r="P51" s="213"/>
      <c r="Q51" s="213"/>
      <c r="R51" s="213"/>
      <c r="S51" s="213"/>
      <c r="T51" s="213"/>
      <c r="U51" s="213"/>
      <c r="V51" s="213"/>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c r="AX51" s="213"/>
      <c r="AY51" s="213"/>
      <c r="AZ51" s="213"/>
      <c r="BA51" s="213"/>
      <c r="BB51" s="213"/>
      <c r="BC51" s="213"/>
      <c r="BD51" s="213"/>
    </row>
    <row r="52">
      <c r="A52" s="213">
        <f>IFERROR(__xludf.DUMMYFUNCTION("""COMPUTED_VALUE"""),171.0)</f>
        <v>171</v>
      </c>
      <c r="B52" s="213" t="str">
        <f>IFERROR(__xludf.DUMMYFUNCTION("""COMPUTED_VALUE"""),"2026 SIMON BOLIVAR")</f>
        <v>2026 SIMON BOLIVAR</v>
      </c>
      <c r="C52" s="213" t="str">
        <f>IFERROR(__xludf.DUMMYFUNCTION("""COMPUTED_VALUE"""),"TALLER SFT DE INDUSTRIA DEL VESTIDO")</f>
        <v>TALLER SFT DE INDUSTRIA DEL VESTIDO</v>
      </c>
      <c r="D52" s="213" t="str">
        <f>IFERROR(__xludf.DUMMYFUNCTION("""COMPUTED_VALUE"""),"MOBILIARIO")</f>
        <v>MOBILIARIO</v>
      </c>
      <c r="E52" s="213" t="str">
        <f>IFERROR(__xludf.DUMMYFUNCTION("""COMPUTED_VALUE"""),"MOB-101")</f>
        <v>MOB-101</v>
      </c>
      <c r="F52" s="213" t="str">
        <f>IFERROR(__xludf.DUMMYFUNCTION("""COMPUTED_VALUE"""),"MOB-101")</f>
        <v>MOB-101</v>
      </c>
      <c r="G52" s="213"/>
      <c r="H52" s="213" t="str">
        <f>IFERROR(__xludf.DUMMYFUNCTION("""COMPUTED_VALUE"""),"ANAQUEL DE METAL (1.00 M X 0.40 MX 1.80 M)")</f>
        <v>ANAQUEL DE METAL (1.00 M X 0.40 MX 1.80 M)</v>
      </c>
      <c r="I52" s="213" t="str">
        <f>IFERROR(__xludf.DUMMYFUNCTION("""COMPUTED_VALUE"""),"· Cuenta con cuatro (04) ángulos ranurados de 1 1/2 x 1 1/2 x 1.80 mt.
· Cinco (05) paneles metálicos de 0.6 mm de espesor que soportara una carga max. Aproximada de 50 kg. por panel.
· Esquineros metálicos (08), distribuidos en tre la parte frontal y pos"&amp;"terior del bien
· Pernos y Tuercas
· Regatones
· Dimensiones: 1.00 x 0.40 x 1.80 mt. (se acepatará un márgen de +/- 5cm en las medidas)")</f>
        <v>· Cuenta con cuatro (04) ángulos ranurados de 1 1/2 x 1 1/2 x 1.80 mt.
· Cinco (05) paneles metálicos de 0.6 mm de espesor que soportara una carga max. Aproximada de 50 kg. por panel.
· Esquineros metálicos (08), distribuidos en tre la parte frontal y posterior del bien
· Pernos y Tuercas
· Regatones
· Dimensiones: 1.00 x 0.40 x 1.80 mt. (se acepatará un márgen de +/- 5cm en las medidas)</v>
      </c>
      <c r="J52" s="213">
        <f>IFERROR(__xludf.DUMMYFUNCTION("""COMPUTED_VALUE"""),3.0)</f>
        <v>3</v>
      </c>
      <c r="K52" s="213" t="str">
        <f>IFERROR(__xludf.DUMMYFUNCTION("""COMPUTED_VALUE"""),"90 DÍAS CALENDARIO")</f>
        <v>90 DÍAS CALENDARIO</v>
      </c>
      <c r="L52" s="213" t="str">
        <f>IFERROR(__xludf.DUMMYFUNCTION("""COMPUTED_VALUE"""),"")</f>
        <v/>
      </c>
      <c r="M52" s="213">
        <f>IFERROR(__xludf.DUMMYFUNCTION("""COMPUTED_VALUE"""),1.0)</f>
        <v>1</v>
      </c>
      <c r="N52" s="213">
        <f>IFERROR(__xludf.DUMMYFUNCTION("""COMPUTED_VALUE"""),1.0)</f>
        <v>1</v>
      </c>
      <c r="O52" s="213">
        <f>IFERROR(__xludf.DUMMYFUNCTION("""COMPUTED_VALUE"""),1.0)</f>
        <v>1</v>
      </c>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row>
    <row r="53">
      <c r="A53" s="213">
        <f>IFERROR(__xludf.DUMMYFUNCTION("""COMPUTED_VALUE"""),920.0)</f>
        <v>920</v>
      </c>
      <c r="B53" s="213" t="str">
        <f>IFERROR(__xludf.DUMMYFUNCTION("""COMPUTED_VALUE"""),"FRANCISCO IRAZOLA")</f>
        <v>FRANCISCO IRAZOLA</v>
      </c>
      <c r="C53" s="213" t="str">
        <f>IFERROR(__xludf.DUMMYFUNCTION("""COMPUTED_VALUE"""),"TALLER SFT DE MECÁNICA AUTOMOTRIZ")</f>
        <v>TALLER SFT DE MECÁNICA AUTOMOTRIZ</v>
      </c>
      <c r="D53" s="213" t="str">
        <f>IFERROR(__xludf.DUMMYFUNCTION("""COMPUTED_VALUE"""),"MOBILIARIO")</f>
        <v>MOBILIARIO</v>
      </c>
      <c r="E53" s="213" t="str">
        <f>IFERROR(__xludf.DUMMYFUNCTION("""COMPUTED_VALUE"""),"MOB-101")</f>
        <v>MOB-101</v>
      </c>
      <c r="F53" s="213" t="str">
        <f>IFERROR(__xludf.DUMMYFUNCTION("""COMPUTED_VALUE"""),"MOB-101")</f>
        <v>MOB-101</v>
      </c>
      <c r="G53" s="213"/>
      <c r="H53" s="213" t="str">
        <f>IFERROR(__xludf.DUMMYFUNCTION("""COMPUTED_VALUE"""),"ANAQUEL DE METAL (1.00 M X 0.40 MX 1.80 M)")</f>
        <v>ANAQUEL DE METAL (1.00 M X 0.40 MX 1.80 M)</v>
      </c>
      <c r="I53" s="213" t="str">
        <f>IFERROR(__xludf.DUMMYFUNCTION("""COMPUTED_VALUE"""),"· Cuenta con cuatro (04) ángulos ranurados de 1 1/2 x 1 1/2 x 1.80 mt.
· Cinco (05) paneles metálicos de 0.6 mm de espesor que soportara una carga max. Aproximada de 50 kg. por panel.
· Esquineros metálicos (08), distribuidos en tre la parte frontal y pos"&amp;"terior del bien
· Pernos y Tuercas
· Regatones
· Dimensiones: 1.00 x 0.40 x 1.80 mt. (se acepatará un márgen de +/- 5cm en las medidas)")</f>
        <v>· Cuenta con cuatro (04) ángulos ranurados de 1 1/2 x 1 1/2 x 1.80 mt.
· Cinco (05) paneles metálicos de 0.6 mm de espesor que soportara una carga max. Aproximada de 50 kg. por panel.
· Esquineros metálicos (08), distribuidos en tre la parte frontal y posterior del bien
· Pernos y Tuercas
· Regatones
· Dimensiones: 1.00 x 0.40 x 1.80 mt. (se acepatará un márgen de +/- 5cm en las medidas)</v>
      </c>
      <c r="J53" s="213">
        <f>IFERROR(__xludf.DUMMYFUNCTION("""COMPUTED_VALUE"""),3.0)</f>
        <v>3</v>
      </c>
      <c r="K53" s="213" t="str">
        <f>IFERROR(__xludf.DUMMYFUNCTION("""COMPUTED_VALUE"""),"90 DÍAS CALENDARIO")</f>
        <v>90 DÍAS CALENDARIO</v>
      </c>
      <c r="L53" s="213" t="str">
        <f>IFERROR(__xludf.DUMMYFUNCTION("""COMPUTED_VALUE"""),"")</f>
        <v/>
      </c>
      <c r="M53" s="213">
        <f>IFERROR(__xludf.DUMMYFUNCTION("""COMPUTED_VALUE"""),1.0)</f>
        <v>1</v>
      </c>
      <c r="N53" s="213">
        <f>IFERROR(__xludf.DUMMYFUNCTION("""COMPUTED_VALUE"""),3.0)</f>
        <v>3</v>
      </c>
      <c r="O53" s="213">
        <f>IFERROR(__xludf.DUMMYFUNCTION("""COMPUTED_VALUE"""),3.0)</f>
        <v>3</v>
      </c>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row>
    <row r="54">
      <c r="A54" s="213">
        <f>IFERROR(__xludf.DUMMYFUNCTION("""COMPUTED_VALUE"""),1521.0)</f>
        <v>1521</v>
      </c>
      <c r="B54" s="213" t="str">
        <f>IFERROR(__xludf.DUMMYFUNCTION("""COMPUTED_VALUE"""),"GUILLERMO E. BILLINGHURST ")</f>
        <v>GUILLERMO E. BILLINGHURST </v>
      </c>
      <c r="C54" s="213" t="str">
        <f>IFERROR(__xludf.DUMMYFUNCTION("""COMPUTED_VALUE"""),"TALLER SFT DE MECÁNICA AUTOMOTRIZ")</f>
        <v>TALLER SFT DE MECÁNICA AUTOMOTRIZ</v>
      </c>
      <c r="D54" s="213" t="str">
        <f>IFERROR(__xludf.DUMMYFUNCTION("""COMPUTED_VALUE"""),"MOBILIARIO")</f>
        <v>MOBILIARIO</v>
      </c>
      <c r="E54" s="213" t="str">
        <f>IFERROR(__xludf.DUMMYFUNCTION("""COMPUTED_VALUE"""),"MOB-101")</f>
        <v>MOB-101</v>
      </c>
      <c r="F54" s="213" t="str">
        <f>IFERROR(__xludf.DUMMYFUNCTION("""COMPUTED_VALUE"""),"MOB-101")</f>
        <v>MOB-101</v>
      </c>
      <c r="G54" s="213"/>
      <c r="H54" s="213" t="str">
        <f>IFERROR(__xludf.DUMMYFUNCTION("""COMPUTED_VALUE"""),"ANAQUEL DE METAL (1.00 M X 0.40 MX 1.80 M)")</f>
        <v>ANAQUEL DE METAL (1.00 M X 0.40 MX 1.80 M)</v>
      </c>
      <c r="I54" s="213" t="str">
        <f>IFERROR(__xludf.DUMMYFUNCTION("""COMPUTED_VALUE"""),"· Cuenta con cuatro (04) ángulos ranurados de 1 1/2 x 1 1/2 x 1.80 mt.
· Cinco (05) paneles metálicos de 0.6 mm de espesor que soportara una carga max. Aproximada de 50 kg. por panel.
· Esquineros metálicos (08), distribuidos en tre la parte frontal y pos"&amp;"terior del bien
· Pernos y Tuercas
· Regatones
· Dimensiones: 1.00 x 0.40 x 1.80 mt. (se acepatará un márgen de +/- 5cm en las medidas)")</f>
        <v>· Cuenta con cuatro (04) ángulos ranurados de 1 1/2 x 1 1/2 x 1.80 mt.
· Cinco (05) paneles metálicos de 0.6 mm de espesor que soportara una carga max. Aproximada de 50 kg. por panel.
· Esquineros metálicos (08), distribuidos en tre la parte frontal y posterior del bien
· Pernos y Tuercas
· Regatones
· Dimensiones: 1.00 x 0.40 x 1.80 mt. (se acepatará un márgen de +/- 5cm en las medidas)</v>
      </c>
      <c r="J54" s="213">
        <f>IFERROR(__xludf.DUMMYFUNCTION("""COMPUTED_VALUE"""),3.0)</f>
        <v>3</v>
      </c>
      <c r="K54" s="213" t="str">
        <f>IFERROR(__xludf.DUMMYFUNCTION("""COMPUTED_VALUE"""),"90 DÍAS CALENDARIO")</f>
        <v>90 DÍAS CALENDARIO</v>
      </c>
      <c r="L54" s="213" t="str">
        <f>IFERROR(__xludf.DUMMYFUNCTION("""COMPUTED_VALUE"""),"")</f>
        <v/>
      </c>
      <c r="M54" s="213">
        <f>IFERROR(__xludf.DUMMYFUNCTION("""COMPUTED_VALUE"""),1.0)</f>
        <v>1</v>
      </c>
      <c r="N54" s="213">
        <f>IFERROR(__xludf.DUMMYFUNCTION("""COMPUTED_VALUE"""),3.0)</f>
        <v>3</v>
      </c>
      <c r="O54" s="213">
        <f>IFERROR(__xludf.DUMMYFUNCTION("""COMPUTED_VALUE"""),3.0)</f>
        <v>3</v>
      </c>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row>
    <row r="55">
      <c r="A55" s="213">
        <f>IFERROR(__xludf.DUMMYFUNCTION("""COMPUTED_VALUE"""),2207.0)</f>
        <v>2207</v>
      </c>
      <c r="B55" s="213" t="str">
        <f>IFERROR(__xludf.DUMMYFUNCTION("""COMPUTED_VALUE"""),"JOSE GRANDA")</f>
        <v>JOSE GRANDA</v>
      </c>
      <c r="C55" s="213" t="str">
        <f>IFERROR(__xludf.DUMMYFUNCTION("""COMPUTED_VALUE"""),"TALLER SFT DE MECÁNICA AUTOMOTRIZ")</f>
        <v>TALLER SFT DE MECÁNICA AUTOMOTRIZ</v>
      </c>
      <c r="D55" s="213" t="str">
        <f>IFERROR(__xludf.DUMMYFUNCTION("""COMPUTED_VALUE"""),"MOBILIARIO")</f>
        <v>MOBILIARIO</v>
      </c>
      <c r="E55" s="213" t="str">
        <f>IFERROR(__xludf.DUMMYFUNCTION("""COMPUTED_VALUE"""),"MOB-101")</f>
        <v>MOB-101</v>
      </c>
      <c r="F55" s="213" t="str">
        <f>IFERROR(__xludf.DUMMYFUNCTION("""COMPUTED_VALUE"""),"MOB-101")</f>
        <v>MOB-101</v>
      </c>
      <c r="G55" s="213"/>
      <c r="H55" s="213" t="str">
        <f>IFERROR(__xludf.DUMMYFUNCTION("""COMPUTED_VALUE"""),"ANAQUEL DE METAL (1.00 M X 0.40 MX 1.80 M)")</f>
        <v>ANAQUEL DE METAL (1.00 M X 0.40 MX 1.80 M)</v>
      </c>
      <c r="I55" s="213" t="str">
        <f>IFERROR(__xludf.DUMMYFUNCTION("""COMPUTED_VALUE"""),"· Cuenta con cuatro (04) ángulos ranurados de 1 1/2 x 1 1/2 x 1.80 mt.
· Cinco (05) paneles metálicos de 0.6 mm de espesor que soportara una carga max. Aproximada de 50 kg. por panel.
· Esquineros metálicos (08), distribuidos en tre la parte frontal y pos"&amp;"terior del bien
· Pernos y Tuercas
· Regatones
· Dimensiones: 1.00 x 0.40 x 1.80 mt. (se acepatará un márgen de +/- 5cm en las medidas)")</f>
        <v>· Cuenta con cuatro (04) ángulos ranurados de 1 1/2 x 1 1/2 x 1.80 mt.
· Cinco (05) paneles metálicos de 0.6 mm de espesor que soportara una carga max. Aproximada de 50 kg. por panel.
· Esquineros metálicos (08), distribuidos en tre la parte frontal y posterior del bien
· Pernos y Tuercas
· Regatones
· Dimensiones: 1.00 x 0.40 x 1.80 mt. (se acepatará un márgen de +/- 5cm en las medidas)</v>
      </c>
      <c r="J55" s="213">
        <f>IFERROR(__xludf.DUMMYFUNCTION("""COMPUTED_VALUE"""),3.0)</f>
        <v>3</v>
      </c>
      <c r="K55" s="213" t="str">
        <f>IFERROR(__xludf.DUMMYFUNCTION("""COMPUTED_VALUE"""),"90 DÍAS CALENDARIO")</f>
        <v>90 DÍAS CALENDARIO</v>
      </c>
      <c r="L55" s="213" t="str">
        <f>IFERROR(__xludf.DUMMYFUNCTION("""COMPUTED_VALUE"""),"")</f>
        <v/>
      </c>
      <c r="M55" s="213">
        <f>IFERROR(__xludf.DUMMYFUNCTION("""COMPUTED_VALUE"""),1.0)</f>
        <v>1</v>
      </c>
      <c r="N55" s="213">
        <f>IFERROR(__xludf.DUMMYFUNCTION("""COMPUTED_VALUE"""),3.0)</f>
        <v>3</v>
      </c>
      <c r="O55" s="213">
        <f>IFERROR(__xludf.DUMMYFUNCTION("""COMPUTED_VALUE"""),3.0)</f>
        <v>3</v>
      </c>
      <c r="P55" s="213"/>
      <c r="Q55" s="213"/>
      <c r="R55" s="213"/>
      <c r="S55" s="213"/>
      <c r="T55" s="213"/>
      <c r="U55" s="213"/>
      <c r="V55" s="213"/>
      <c r="W55" s="213"/>
      <c r="X55" s="213"/>
      <c r="Y55" s="213"/>
      <c r="Z55" s="213"/>
      <c r="AA55" s="213"/>
      <c r="AB55" s="213"/>
      <c r="AC55" s="213"/>
      <c r="AD55" s="213"/>
      <c r="AE55" s="213"/>
      <c r="AF55" s="213"/>
      <c r="AG55" s="213"/>
      <c r="AH55" s="213"/>
      <c r="AI55" s="213"/>
      <c r="AJ55" s="213"/>
      <c r="AK55" s="213"/>
      <c r="AL55" s="213"/>
      <c r="AM55" s="213"/>
      <c r="AN55" s="213"/>
      <c r="AO55" s="213"/>
      <c r="AP55" s="213"/>
      <c r="AQ55" s="213"/>
      <c r="AR55" s="213"/>
      <c r="AS55" s="213"/>
      <c r="AT55" s="213"/>
      <c r="AU55" s="213"/>
      <c r="AV55" s="213"/>
      <c r="AW55" s="213"/>
      <c r="AX55" s="213"/>
      <c r="AY55" s="213"/>
      <c r="AZ55" s="213"/>
      <c r="BA55" s="213"/>
      <c r="BB55" s="213"/>
      <c r="BC55" s="213"/>
      <c r="BD55" s="213"/>
    </row>
    <row r="56">
      <c r="A56" s="213">
        <f>IFERROR(__xludf.DUMMYFUNCTION("""COMPUTED_VALUE"""),2488.0)</f>
        <v>2488</v>
      </c>
      <c r="B56" s="213" t="str">
        <f>IFERROR(__xludf.DUMMYFUNCTION("""COMPUTED_VALUE"""),"MANUEL ANTONIO MESONES MURO")</f>
        <v>MANUEL ANTONIO MESONES MURO</v>
      </c>
      <c r="C56" s="213" t="str">
        <f>IFERROR(__xludf.DUMMYFUNCTION("""COMPUTED_VALUE"""),"TALLER SFT DE CONSTRUCCIONES METÁLICAS")</f>
        <v>TALLER SFT DE CONSTRUCCIONES METÁLICAS</v>
      </c>
      <c r="D56" s="213" t="str">
        <f>IFERROR(__xludf.DUMMYFUNCTION("""COMPUTED_VALUE"""),"HERRAMIENTAS")</f>
        <v>HERRAMIENTAS</v>
      </c>
      <c r="E56" s="213" t="str">
        <f>IFERROR(__xludf.DUMMYFUNCTION("""COMPUTED_VALUE"""),"HER-110")</f>
        <v>HER-110</v>
      </c>
      <c r="F56" s="213" t="str">
        <f>IFERROR(__xludf.DUMMYFUNCTION("""COMPUTED_VALUE"""),"HER-110-Y")</f>
        <v>HER-110-Y</v>
      </c>
      <c r="G56" s="213"/>
      <c r="H56" s="213" t="str">
        <f>IFERROR(__xludf.DUMMYFUNCTION("""COMPUTED_VALUE"""),"ARCO DE SIERRA")</f>
        <v>ARCO DE SIERRA</v>
      </c>
      <c r="I56" s="213" t="str">
        <f>IFERROR(__xludf.DUMMYFUNCTION("""COMPUTED_VALUE"""),"Mango de goma
-       Mango cerrado
-       Eje giratorio 90°
-       Tensión máxima 52 kg")</f>
        <v>Mango de goma
-       Mango cerrado
-       Eje giratorio 90°
-       Tensión máxima 52 kg</v>
      </c>
      <c r="J56" s="213">
        <f>IFERROR(__xludf.DUMMYFUNCTION("""COMPUTED_VALUE"""),3.0)</f>
        <v>3</v>
      </c>
      <c r="K56" s="213" t="str">
        <f>IFERROR(__xludf.DUMMYFUNCTION("""COMPUTED_VALUE"""),"90 DÍAS CALENDARIO")</f>
        <v>90 DÍAS CALENDARIO</v>
      </c>
      <c r="L56" s="213" t="str">
        <f>IFERROR(__xludf.DUMMYFUNCTION("""COMPUTED_VALUE"""),"")</f>
        <v/>
      </c>
      <c r="M56" s="213">
        <f>IFERROR(__xludf.DUMMYFUNCTION("""COMPUTED_VALUE"""),1.0)</f>
        <v>1</v>
      </c>
      <c r="N56" s="213">
        <f>IFERROR(__xludf.DUMMYFUNCTION("""COMPUTED_VALUE"""),10.0)</f>
        <v>10</v>
      </c>
      <c r="O56" s="213">
        <f>IFERROR(__xludf.DUMMYFUNCTION("""COMPUTED_VALUE"""),10.0)</f>
        <v>10</v>
      </c>
      <c r="P56" s="213"/>
      <c r="Q56" s="213"/>
      <c r="R56" s="213" t="str">
        <f>IFERROR(__xludf.DUMMYFUNCTION("""COMPUTED_VALUE"""),"SI")</f>
        <v>SI</v>
      </c>
      <c r="S56" s="213"/>
      <c r="T56" s="213" t="str">
        <f>IFERROR(__xludf.DUMMYFUNCTION("""COMPUTED_VALUE"""),"SI")</f>
        <v>SI</v>
      </c>
      <c r="U56" s="213" t="str">
        <f>IFERROR(__xludf.DUMMYFUNCTION("""COMPUTED_VALUE"""),"SI")</f>
        <v>SI</v>
      </c>
      <c r="V56" s="213" t="str">
        <f>IFERROR(__xludf.DUMMYFUNCTION("""COMPUTED_VALUE"""),"-")</f>
        <v>-</v>
      </c>
      <c r="W56" s="213" t="str">
        <f>IFERROR(__xludf.DUMMYFUNCTION("""COMPUTED_VALUE"""),"-")</f>
        <v>-</v>
      </c>
      <c r="X56" s="213" t="str">
        <f>IFERROR(__xludf.DUMMYFUNCTION("""COMPUTED_VALUE"""),"STANLEY")</f>
        <v>STANLEY</v>
      </c>
      <c r="Y56" s="213" t="str">
        <f>IFERROR(__xludf.DUMMYFUNCTION("""COMPUTED_VALUE"""),"15-555")</f>
        <v>15-555</v>
      </c>
      <c r="Z56" s="215" t="str">
        <f>IFERROR(__xludf.DUMMYFUNCTION("""COMPUTED_VALUE"""),"https://pe.stanleytools.global/producto/15-555/arco-de-sierra-ajustable-pro-12-pulg-305-mm")</f>
        <v>https://pe.stanleytools.global/producto/15-555/arco-de-sierra-ajustable-pro-12-pulg-305-mm</v>
      </c>
      <c r="AA56" s="213" t="str">
        <f>IFERROR(__xludf.DUMMYFUNCTION("""COMPUTED_VALUE"""),"HER-110-Y ARCO DE SIERRA - CET")</f>
        <v>HER-110-Y ARCO DE SIERRA - CET</v>
      </c>
      <c r="AB56" s="213"/>
      <c r="AC56" s="215" t="str">
        <f>IFERROR(__xludf.DUMMYFUNCTION("""COMPUTED_VALUE"""),"https://sodimac.falabella.com.pe/sodimac-pe/product/113085164/Arco-De-Sierra-Ajustable-Profesional-Stanley/113085168")</f>
        <v>https://sodimac.falabella.com.pe/sodimac-pe/product/113085164/Arco-De-Sierra-Ajustable-Profesional-Stanley/113085168</v>
      </c>
      <c r="AD56" s="213"/>
      <c r="AE56" s="213"/>
      <c r="AF56" s="213"/>
      <c r="AG56" s="213"/>
      <c r="AH56" s="213" t="str">
        <f>IFERROR(__xludf.DUMMYFUNCTION("""COMPUTED_VALUE"""),"NACIONAL")</f>
        <v>NACIONAL</v>
      </c>
      <c r="AI56" s="213"/>
      <c r="AJ56" s="213"/>
      <c r="AK56" s="213"/>
      <c r="AL56" s="213"/>
      <c r="AM56" s="213"/>
      <c r="AN56" s="213"/>
      <c r="AO56" s="213"/>
      <c r="AP56" s="213" t="str">
        <f>IFERROR(__xludf.DUMMYFUNCTION("""COMPUTED_VALUE"""),"LUIS")</f>
        <v>LUIS</v>
      </c>
      <c r="AQ56" s="213"/>
      <c r="AR56" s="213"/>
      <c r="AS56" s="213"/>
      <c r="AT56" s="213"/>
      <c r="AU56" s="213"/>
      <c r="AV56" s="213"/>
      <c r="AW56" s="213"/>
      <c r="AX56" s="213"/>
      <c r="AY56" s="213"/>
      <c r="AZ56" s="213"/>
      <c r="BA56" s="213"/>
      <c r="BB56" s="213"/>
      <c r="BC56" s="213"/>
      <c r="BD56" s="213"/>
    </row>
    <row r="57">
      <c r="A57" s="213">
        <f>IFERROR(__xludf.DUMMYFUNCTION("""COMPUTED_VALUE"""),463.0)</f>
        <v>463</v>
      </c>
      <c r="B57" s="213" t="str">
        <f>IFERROR(__xludf.DUMMYFUNCTION("""COMPUTED_VALUE"""),"2026 SIMON BOLIVAR")</f>
        <v>2026 SIMON BOLIVAR</v>
      </c>
      <c r="C57" s="213" t="str">
        <f>IFERROR(__xludf.DUMMYFUNCTION("""COMPUTED_VALUE"""),"TALLER SFT DE INDUSTRIA ALIMENTARIA")</f>
        <v>TALLER SFT DE INDUSTRIA ALIMENTARIA</v>
      </c>
      <c r="D57" s="213" t="str">
        <f>IFERROR(__xludf.DUMMYFUNCTION("""COMPUTED_VALUE"""),"MOBILIARIO")</f>
        <v>MOBILIARIO</v>
      </c>
      <c r="E57" s="213" t="str">
        <f>IFERROR(__xludf.DUMMYFUNCTION("""COMPUTED_VALUE"""),"MOB-102")</f>
        <v>MOB-102</v>
      </c>
      <c r="F57" s="213" t="str">
        <f>IFERROR(__xludf.DUMMYFUNCTION("""COMPUTED_VALUE"""),"MOB-102")</f>
        <v>MOB-102</v>
      </c>
      <c r="G57" s="213"/>
      <c r="H57" s="213" t="str">
        <f>IFERROR(__xludf.DUMMYFUNCTION("""COMPUTED_VALUE"""),"ANAQUEL DE METAL (1.20 X 0.40 X 1.80 MT.)")</f>
        <v>ANAQUEL DE METAL (1.20 X 0.40 X 1.80 MT.)</v>
      </c>
      <c r="I57" s="213" t="str">
        <f>IFERROR(__xludf.DUMMYFUNCTION("""COMPUTED_VALUE"""),"· Cuenta con cuatro (04) ángulos ranurados de 1 1/2"" x 1 1/2"" x 1.80 mt.
· Cinco (05) paneles metálicos de 0.6 mm de espesor que soportara una carga max. Aproximada de 50 kg. por panel.
· Esquineros metálicos (08), distribuidos entre la parte frontal y "&amp;"posterior del bien.
· Pernos y Tuercas
· Regatones
· Dimensiones: 1.20 mt x 0.40 mt x 1.80 mt. (se acepatará un márgen de +/- 5cm en las medidas)")</f>
        <v>· Cuenta con cuatro (04) ángulos ranurados de 1 1/2" x 1 1/2" x 1.80 mt.
· Cinco (05) paneles metálicos de 0.6 mm de espesor que soportara una carga max. Aproximada de 50 kg. por panel.
· Esquineros metálicos (08), distribuidos entre la parte frontal y posterior del bien.
· Pernos y Tuercas
· Regatones
· Dimensiones: 1.20 mt x 0.40 mt x 1.80 mt. (se acepatará un márgen de +/- 5cm en las medidas)</v>
      </c>
      <c r="J57" s="213">
        <f>IFERROR(__xludf.DUMMYFUNCTION("""COMPUTED_VALUE"""),3.0)</f>
        <v>3</v>
      </c>
      <c r="K57" s="213" t="str">
        <f>IFERROR(__xludf.DUMMYFUNCTION("""COMPUTED_VALUE"""),"90 DÍAS CALENDARIO")</f>
        <v>90 DÍAS CALENDARIO</v>
      </c>
      <c r="L57" s="213" t="str">
        <f>IFERROR(__xludf.DUMMYFUNCTION("""COMPUTED_VALUE"""),"")</f>
        <v/>
      </c>
      <c r="M57" s="213">
        <f>IFERROR(__xludf.DUMMYFUNCTION("""COMPUTED_VALUE"""),1.0)</f>
        <v>1</v>
      </c>
      <c r="N57" s="213">
        <f>IFERROR(__xludf.DUMMYFUNCTION("""COMPUTED_VALUE"""),5.0)</f>
        <v>5</v>
      </c>
      <c r="O57" s="213">
        <f>IFERROR(__xludf.DUMMYFUNCTION("""COMPUTED_VALUE"""),5.0)</f>
        <v>5</v>
      </c>
      <c r="P57" s="213"/>
      <c r="Q57" s="213"/>
      <c r="R57" s="213"/>
      <c r="S57" s="213"/>
      <c r="T57" s="213"/>
      <c r="U57" s="213"/>
      <c r="V57" s="213"/>
      <c r="W57" s="213"/>
      <c r="X57" s="213"/>
      <c r="Y57" s="213"/>
      <c r="Z57" s="213"/>
      <c r="AA57" s="213"/>
      <c r="AB57" s="213"/>
      <c r="AC57" s="213"/>
      <c r="AD57" s="213"/>
      <c r="AE57" s="213"/>
      <c r="AF57" s="213"/>
      <c r="AG57" s="213"/>
      <c r="AH57" s="213"/>
      <c r="AI57" s="213"/>
      <c r="AJ57" s="213"/>
      <c r="AK57" s="213"/>
      <c r="AL57" s="213"/>
      <c r="AM57" s="213"/>
      <c r="AN57" s="213"/>
      <c r="AO57" s="213"/>
      <c r="AP57" s="213"/>
      <c r="AQ57" s="213"/>
      <c r="AR57" s="213"/>
      <c r="AS57" s="213"/>
      <c r="AT57" s="213"/>
      <c r="AU57" s="213"/>
      <c r="AV57" s="213"/>
      <c r="AW57" s="213"/>
      <c r="AX57" s="213"/>
      <c r="AY57" s="213"/>
      <c r="AZ57" s="213"/>
      <c r="BA57" s="213"/>
      <c r="BB57" s="213"/>
      <c r="BC57" s="213"/>
      <c r="BD57" s="213"/>
    </row>
    <row r="58">
      <c r="A58" s="213">
        <f>IFERROR(__xludf.DUMMYFUNCTION("""COMPUTED_VALUE"""),1367.0)</f>
        <v>1367</v>
      </c>
      <c r="B58" s="213" t="str">
        <f>IFERROR(__xludf.DUMMYFUNCTION("""COMPUTED_VALUE"""),"GUILLERMO E. BILLINGHURST ")</f>
        <v>GUILLERMO E. BILLINGHURST </v>
      </c>
      <c r="C58" s="213" t="str">
        <f>IFERROR(__xludf.DUMMYFUNCTION("""COMPUTED_VALUE"""),"TALLER SFT DE INDUSTRIA ALIMENTARIA")</f>
        <v>TALLER SFT DE INDUSTRIA ALIMENTARIA</v>
      </c>
      <c r="D58" s="213" t="str">
        <f>IFERROR(__xludf.DUMMYFUNCTION("""COMPUTED_VALUE"""),"MOBILIARIO")</f>
        <v>MOBILIARIO</v>
      </c>
      <c r="E58" s="213" t="str">
        <f>IFERROR(__xludf.DUMMYFUNCTION("""COMPUTED_VALUE"""),"MOB-102")</f>
        <v>MOB-102</v>
      </c>
      <c r="F58" s="213" t="str">
        <f>IFERROR(__xludf.DUMMYFUNCTION("""COMPUTED_VALUE"""),"MOB-102")</f>
        <v>MOB-102</v>
      </c>
      <c r="G58" s="213"/>
      <c r="H58" s="213" t="str">
        <f>IFERROR(__xludf.DUMMYFUNCTION("""COMPUTED_VALUE"""),"ANAQUEL DE METAL (1.20 X 0.40 X 1.80 MT.)")</f>
        <v>ANAQUEL DE METAL (1.20 X 0.40 X 1.80 MT.)</v>
      </c>
      <c r="I58" s="213" t="str">
        <f>IFERROR(__xludf.DUMMYFUNCTION("""COMPUTED_VALUE"""),"· Cuenta con cuatro (04) ángulos ranurados de 1 1/2"" x 1 1/2"" x 1.80 mt.
· Cinco (05) paneles metálicos de 0.6 mm de espesor que soportara una carga max. Aproximada de 50 kg. por panel.
· Esquineros metálicos (08), distribuidos entre la parte frontal y "&amp;"posterior del bien.
· Pernos y Tuercas
· Regatones
· Dimensiones: 1.20 mt x 0.40 mt x 1.80 mt. (se acepatará un márgen de +/- 5cm en las medidas)")</f>
        <v>· Cuenta con cuatro (04) ángulos ranurados de 1 1/2" x 1 1/2" x 1.80 mt.
· Cinco (05) paneles metálicos de 0.6 mm de espesor que soportara una carga max. Aproximada de 50 kg. por panel.
· Esquineros metálicos (08), distribuidos entre la parte frontal y posterior del bien.
· Pernos y Tuercas
· Regatones
· Dimensiones: 1.20 mt x 0.40 mt x 1.80 mt. (se acepatará un márgen de +/- 5cm en las medidas)</v>
      </c>
      <c r="J58" s="213">
        <f>IFERROR(__xludf.DUMMYFUNCTION("""COMPUTED_VALUE"""),3.0)</f>
        <v>3</v>
      </c>
      <c r="K58" s="213" t="str">
        <f>IFERROR(__xludf.DUMMYFUNCTION("""COMPUTED_VALUE"""),"90 DÍAS CALENDARIO")</f>
        <v>90 DÍAS CALENDARIO</v>
      </c>
      <c r="L58" s="213" t="str">
        <f>IFERROR(__xludf.DUMMYFUNCTION("""COMPUTED_VALUE"""),"")</f>
        <v/>
      </c>
      <c r="M58" s="213">
        <f>IFERROR(__xludf.DUMMYFUNCTION("""COMPUTED_VALUE"""),1.0)</f>
        <v>1</v>
      </c>
      <c r="N58" s="213">
        <f>IFERROR(__xludf.DUMMYFUNCTION("""COMPUTED_VALUE"""),5.0)</f>
        <v>5</v>
      </c>
      <c r="O58" s="213">
        <f>IFERROR(__xludf.DUMMYFUNCTION("""COMPUTED_VALUE"""),5.0)</f>
        <v>5</v>
      </c>
      <c r="P58" s="213"/>
      <c r="Q58" s="213"/>
      <c r="R58" s="213"/>
      <c r="S58" s="213"/>
      <c r="T58" s="213"/>
      <c r="U58" s="213"/>
      <c r="V58" s="213"/>
      <c r="W58" s="213"/>
      <c r="X58" s="213"/>
      <c r="Y58" s="213"/>
      <c r="Z58" s="213"/>
      <c r="AA58" s="213"/>
      <c r="AB58" s="213"/>
      <c r="AC58" s="213"/>
      <c r="AD58" s="213"/>
      <c r="AE58" s="213"/>
      <c r="AF58" s="213"/>
      <c r="AG58" s="213"/>
      <c r="AH58" s="213"/>
      <c r="AI58" s="213"/>
      <c r="AJ58" s="213"/>
      <c r="AK58" s="213"/>
      <c r="AL58" s="213"/>
      <c r="AM58" s="213"/>
      <c r="AN58" s="213"/>
      <c r="AO58" s="213"/>
      <c r="AP58" s="213"/>
      <c r="AQ58" s="213"/>
      <c r="AR58" s="213"/>
      <c r="AS58" s="213"/>
      <c r="AT58" s="213"/>
      <c r="AU58" s="213"/>
      <c r="AV58" s="213"/>
      <c r="AW58" s="213"/>
      <c r="AX58" s="213"/>
      <c r="AY58" s="213"/>
      <c r="AZ58" s="213"/>
      <c r="BA58" s="213"/>
      <c r="BB58" s="213"/>
      <c r="BC58" s="213"/>
      <c r="BD58" s="213"/>
    </row>
    <row r="59">
      <c r="A59" s="213">
        <f>IFERROR(__xludf.DUMMYFUNCTION("""COMPUTED_VALUE"""),2052.0)</f>
        <v>2052</v>
      </c>
      <c r="B59" s="213" t="str">
        <f>IFERROR(__xludf.DUMMYFUNCTION("""COMPUTED_VALUE"""),"JOSE GRANDA")</f>
        <v>JOSE GRANDA</v>
      </c>
      <c r="C59" s="213" t="str">
        <f>IFERROR(__xludf.DUMMYFUNCTION("""COMPUTED_VALUE"""),"TALLER SFT DE INDUSTRIA ALIMENTARIA")</f>
        <v>TALLER SFT DE INDUSTRIA ALIMENTARIA</v>
      </c>
      <c r="D59" s="213" t="str">
        <f>IFERROR(__xludf.DUMMYFUNCTION("""COMPUTED_VALUE"""),"MOBILIARIO")</f>
        <v>MOBILIARIO</v>
      </c>
      <c r="E59" s="213" t="str">
        <f>IFERROR(__xludf.DUMMYFUNCTION("""COMPUTED_VALUE"""),"MOB-102")</f>
        <v>MOB-102</v>
      </c>
      <c r="F59" s="213" t="str">
        <f>IFERROR(__xludf.DUMMYFUNCTION("""COMPUTED_VALUE"""),"MOB-102")</f>
        <v>MOB-102</v>
      </c>
      <c r="G59" s="213"/>
      <c r="H59" s="213" t="str">
        <f>IFERROR(__xludf.DUMMYFUNCTION("""COMPUTED_VALUE"""),"ANAQUEL DE METAL (1.20 X 0.40 X 1.80 MT.)")</f>
        <v>ANAQUEL DE METAL (1.20 X 0.40 X 1.80 MT.)</v>
      </c>
      <c r="I59" s="213" t="str">
        <f>IFERROR(__xludf.DUMMYFUNCTION("""COMPUTED_VALUE"""),"· Cuenta con cuatro (04) ángulos ranurados de 1 1/2"" x 1 1/2"" x 1.80 mt.
· Cinco (05) paneles metálicos de 0.6 mm de espesor que soportara una carga max. Aproximada de 50 kg. por panel.
· Esquineros metálicos (08), distribuidos entre la parte frontal y "&amp;"posterior del bien.
· Pernos y Tuercas
· Regatones
· Dimensiones: 1.20 mt x 0.40 mt x 1.80 mt. (se acepatará un márgen de +/- 5cm en las medidas)")</f>
        <v>· Cuenta con cuatro (04) ángulos ranurados de 1 1/2" x 1 1/2" x 1.80 mt.
· Cinco (05) paneles metálicos de 0.6 mm de espesor que soportara una carga max. Aproximada de 50 kg. por panel.
· Esquineros metálicos (08), distribuidos entre la parte frontal y posterior del bien.
· Pernos y Tuercas
· Regatones
· Dimensiones: 1.20 mt x 0.40 mt x 1.80 mt. (se acepatará un márgen de +/- 5cm en las medidas)</v>
      </c>
      <c r="J59" s="213">
        <f>IFERROR(__xludf.DUMMYFUNCTION("""COMPUTED_VALUE"""),3.0)</f>
        <v>3</v>
      </c>
      <c r="K59" s="213" t="str">
        <f>IFERROR(__xludf.DUMMYFUNCTION("""COMPUTED_VALUE"""),"90 DÍAS CALENDARIO")</f>
        <v>90 DÍAS CALENDARIO</v>
      </c>
      <c r="L59" s="213" t="str">
        <f>IFERROR(__xludf.DUMMYFUNCTION("""COMPUTED_VALUE"""),"")</f>
        <v/>
      </c>
      <c r="M59" s="213">
        <f>IFERROR(__xludf.DUMMYFUNCTION("""COMPUTED_VALUE"""),1.0)</f>
        <v>1</v>
      </c>
      <c r="N59" s="213">
        <f>IFERROR(__xludf.DUMMYFUNCTION("""COMPUTED_VALUE"""),5.0)</f>
        <v>5</v>
      </c>
      <c r="O59" s="213">
        <f>IFERROR(__xludf.DUMMYFUNCTION("""COMPUTED_VALUE"""),5.0)</f>
        <v>5</v>
      </c>
      <c r="P59" s="213"/>
      <c r="Q59" s="213"/>
      <c r="R59" s="213"/>
      <c r="S59" s="213"/>
      <c r="T59" s="213"/>
      <c r="U59" s="213"/>
      <c r="V59" s="213"/>
      <c r="W59" s="213"/>
      <c r="X59" s="213"/>
      <c r="Y59" s="213"/>
      <c r="Z59" s="213"/>
      <c r="AA59" s="213"/>
      <c r="AB59" s="213"/>
      <c r="AC59" s="213"/>
      <c r="AD59" s="213"/>
      <c r="AE59" s="213"/>
      <c r="AF59" s="213"/>
      <c r="AG59" s="213"/>
      <c r="AH59" s="213"/>
      <c r="AI59" s="213"/>
      <c r="AJ59" s="213"/>
      <c r="AK59" s="213"/>
      <c r="AL59" s="213"/>
      <c r="AM59" s="213"/>
      <c r="AN59" s="213"/>
      <c r="AO59" s="213"/>
      <c r="AP59" s="213"/>
      <c r="AQ59" s="213"/>
      <c r="AR59" s="213"/>
      <c r="AS59" s="213"/>
      <c r="AT59" s="213"/>
      <c r="AU59" s="213"/>
      <c r="AV59" s="213"/>
      <c r="AW59" s="213"/>
      <c r="AX59" s="213"/>
      <c r="AY59" s="213"/>
      <c r="AZ59" s="213"/>
      <c r="BA59" s="213"/>
      <c r="BB59" s="213"/>
      <c r="BC59" s="213"/>
      <c r="BD59" s="213"/>
    </row>
    <row r="60">
      <c r="A60" s="213">
        <f>IFERROR(__xludf.DUMMYFUNCTION("""COMPUTED_VALUE"""),11.0)</f>
        <v>11</v>
      </c>
      <c r="B60" s="213" t="str">
        <f>IFERROR(__xludf.DUMMYFUNCTION("""COMPUTED_VALUE"""),"16449 ELOY SOBERON  FLORES")</f>
        <v>16449 ELOY SOBERON  FLORES</v>
      </c>
      <c r="C60" s="213" t="str">
        <f>IFERROR(__xludf.DUMMYFUNCTION("""COMPUTED_VALUE"""),"TALLER SFT DE COCINA Y REPOSTERÍA")</f>
        <v>TALLER SFT DE COCINA Y REPOSTERÍA</v>
      </c>
      <c r="D60" s="213" t="str">
        <f>IFERROR(__xludf.DUMMYFUNCTION("""COMPUTED_VALUE"""),"MOBILIARIO")</f>
        <v>MOBILIARIO</v>
      </c>
      <c r="E60" s="213" t="str">
        <f>IFERROR(__xludf.DUMMYFUNCTION("""COMPUTED_VALUE"""),"MOB-104")</f>
        <v>MOB-104</v>
      </c>
      <c r="F60" s="213" t="str">
        <f>IFERROR(__xludf.DUMMYFUNCTION("""COMPUTED_VALUE"""),"MOB-104")</f>
        <v>MOB-104</v>
      </c>
      <c r="G60" s="213"/>
      <c r="H60" s="213" t="str">
        <f>IFERROR(__xludf.DUMMYFUNCTION("""COMPUTED_VALUE"""),"ANAQUELES CON REPISA")</f>
        <v>ANAQUELES CON REPISA</v>
      </c>
      <c r="I60" s="213" t="str">
        <f>IFERROR(__xludf.DUMMYFUNCTION("""COMPUTED_VALUE"""),"· Material acero inoxidable c-304.
· Medidas A 60 cm X L  110 cm X H 90 cm, separación de repisas 25cm (aproximado).
· Mesada superior e inferior con dobles de refuerzo de 40 mm.
· Patas tubulares de od de 1 1/2""
· Regatones antideslizantes.
· Soldado co"&amp;"n proceso tig - acabado pulido sanitario.")</f>
        <v>· Material acero inoxidable c-304.
· Medidas A 60 cm X L  110 cm X H 90 cm, separación de repisas 25cm (aproximado).
· Mesada superior e inferior con dobles de refuerzo de 40 mm.
· Patas tubulares de od de 1 1/2"
· Regatones antideslizantes.
· Soldado con proceso tig - acabado pulido sanitario.</v>
      </c>
      <c r="J60" s="213">
        <f>IFERROR(__xludf.DUMMYFUNCTION("""COMPUTED_VALUE"""),3.0)</f>
        <v>3</v>
      </c>
      <c r="K60" s="213" t="str">
        <f>IFERROR(__xludf.DUMMYFUNCTION("""COMPUTED_VALUE"""),"90 DÍAS CALENDARIO")</f>
        <v>90 DÍAS CALENDARIO</v>
      </c>
      <c r="L60" s="213" t="str">
        <f>IFERROR(__xludf.DUMMYFUNCTION("""COMPUTED_VALUE"""),"")</f>
        <v/>
      </c>
      <c r="M60" s="213">
        <f>IFERROR(__xludf.DUMMYFUNCTION("""COMPUTED_VALUE"""),1.0)</f>
        <v>1</v>
      </c>
      <c r="N60" s="213">
        <f>IFERROR(__xludf.DUMMYFUNCTION("""COMPUTED_VALUE"""),1.0)</f>
        <v>1</v>
      </c>
      <c r="O60" s="213">
        <f>IFERROR(__xludf.DUMMYFUNCTION("""COMPUTED_VALUE"""),1.0)</f>
        <v>1</v>
      </c>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213"/>
      <c r="BB60" s="213"/>
      <c r="BC60" s="213"/>
      <c r="BD60" s="213"/>
    </row>
    <row r="61">
      <c r="A61" s="213">
        <f>IFERROR(__xludf.DUMMYFUNCTION("""COMPUTED_VALUE"""),642.0)</f>
        <v>642</v>
      </c>
      <c r="B61" s="213" t="str">
        <f>IFERROR(__xludf.DUMMYFUNCTION("""COMPUTED_VALUE"""),"6049 RICARDO PALMA")</f>
        <v>6049 RICARDO PALMA</v>
      </c>
      <c r="C61" s="213" t="str">
        <f>IFERROR(__xludf.DUMMYFUNCTION("""COMPUTED_VALUE"""),"TALLER SFT DE ELECTRÓNICA")</f>
        <v>TALLER SFT DE ELECTRÓNICA</v>
      </c>
      <c r="D61" s="213" t="str">
        <f>IFERROR(__xludf.DUMMYFUNCTION("""COMPUTED_VALUE"""),"HERRAMIENTAS")</f>
        <v>HERRAMIENTAS</v>
      </c>
      <c r="E61" s="213" t="str">
        <f>IFERROR(__xludf.DUMMYFUNCTION("""COMPUTED_VALUE"""),"COM-125")</f>
        <v>COM-125</v>
      </c>
      <c r="F61" s="213" t="str">
        <f>IFERROR(__xludf.DUMMYFUNCTION("""COMPUTED_VALUE"""),"COM-125")</f>
        <v>COM-125</v>
      </c>
      <c r="G61" s="213"/>
      <c r="H61" s="213" t="str">
        <f>IFERROR(__xludf.DUMMYFUNCTION("""COMPUTED_VALUE"""),"CALIBRADOR DE CONDUCTORES ELÉCTRICOS AWG")</f>
        <v>CALIBRADOR DE CONDUCTORES ELÉCTRICOS AWG</v>
      </c>
      <c r="I61" s="213" t="str">
        <f>IFERROR(__xludf.DUMMYFUNCTION("""COMPUTED_VALUE"""),"· Con ranuras para medir el calibre de los conductores eléctricos desde el número 0 hasta el número 36
· De acero Inoxidable.")</f>
        <v>· Con ranuras para medir el calibre de los conductores eléctricos desde el número 0 hasta el número 36
· De acero Inoxidable.</v>
      </c>
      <c r="J61" s="213">
        <f>IFERROR(__xludf.DUMMYFUNCTION("""COMPUTED_VALUE"""),3.0)</f>
        <v>3</v>
      </c>
      <c r="K61" s="213" t="str">
        <f>IFERROR(__xludf.DUMMYFUNCTION("""COMPUTED_VALUE"""),"90 DÍAS CALENDARIO")</f>
        <v>90 DÍAS CALENDARIO</v>
      </c>
      <c r="L61" s="213" t="str">
        <f>IFERROR(__xludf.DUMMYFUNCTION("""COMPUTED_VALUE"""),"ELECTRICIDAD, ELECTRÓNICA")</f>
        <v>ELECTRICIDAD, ELECTRÓNICA</v>
      </c>
      <c r="M61" s="213">
        <f>IFERROR(__xludf.DUMMYFUNCTION("""COMPUTED_VALUE"""),1.0)</f>
        <v>1</v>
      </c>
      <c r="N61" s="213">
        <f>IFERROR(__xludf.DUMMYFUNCTION("""COMPUTED_VALUE"""),4.0)</f>
        <v>4</v>
      </c>
      <c r="O61" s="213">
        <f>IFERROR(__xludf.DUMMYFUNCTION("""COMPUTED_VALUE"""),4.0)</f>
        <v>4</v>
      </c>
      <c r="P61" s="213"/>
      <c r="Q61" s="213"/>
      <c r="R61" s="213" t="str">
        <f>IFERROR(__xludf.DUMMYFUNCTION("""COMPUTED_VALUE"""),"SI")</f>
        <v>SI</v>
      </c>
      <c r="S61" s="213"/>
      <c r="T61" s="213" t="str">
        <f>IFERROR(__xludf.DUMMYFUNCTION("""COMPUTED_VALUE"""),"SI")</f>
        <v>SI</v>
      </c>
      <c r="U61" s="213" t="str">
        <f>IFERROR(__xludf.DUMMYFUNCTION("""COMPUTED_VALUE"""),"SI")</f>
        <v>SI</v>
      </c>
      <c r="V61" s="213" t="str">
        <f>IFERROR(__xludf.DUMMYFUNCTION("""COMPUTED_VALUE"""),"-")</f>
        <v>-</v>
      </c>
      <c r="W61" s="213" t="str">
        <f>IFERROR(__xludf.DUMMYFUNCTION("""COMPUTED_VALUE"""),"-")</f>
        <v>-</v>
      </c>
      <c r="X61" s="213" t="str">
        <f>IFERROR(__xludf.DUMMYFUNCTION("""COMPUTED_VALUE"""),"EROPOO")</f>
        <v>EROPOO</v>
      </c>
      <c r="Y61" s="213" t="str">
        <f>IFERROR(__xludf.DUMMYFUNCTION("""COMPUTED_VALUE"""),"HFG29")</f>
        <v>HFG29</v>
      </c>
      <c r="Z61" s="215" t="str">
        <f>IFERROR(__xludf.DUMMYFUNCTION("""COMPUTED_VALUE"""),"https://spanish.alibaba.com/product-detail/winding-wire-gauge-precision-wire-sheet-1947040513.html")</f>
        <v>https://spanish.alibaba.com/product-detail/winding-wire-gauge-precision-wire-sheet-1947040513.html</v>
      </c>
      <c r="AA61" s="213" t="str">
        <f>IFERROR(__xludf.DUMMYFUNCTION("""COMPUTED_VALUE"""),"COM-125 CALIBRADOR DE CONDUCTORES ELÉCTRICOS AWG - CET")</f>
        <v>COM-125 CALIBRADOR DE CONDUCTORES ELÉCTRICOS AWG - CET</v>
      </c>
      <c r="AB61" s="213"/>
      <c r="AC61" s="213"/>
      <c r="AD61" s="213"/>
      <c r="AE61" s="213"/>
      <c r="AF61" s="213"/>
      <c r="AG61" s="213"/>
      <c r="AH61" s="213"/>
      <c r="AI61" s="213"/>
      <c r="AJ61" s="213"/>
      <c r="AK61" s="213"/>
      <c r="AL61" s="213"/>
      <c r="AM61" s="213"/>
      <c r="AN61" s="213"/>
      <c r="AO61" s="213"/>
      <c r="AP61" s="213" t="str">
        <f>IFERROR(__xludf.DUMMYFUNCTION("""COMPUTED_VALUE"""),"LUIS")</f>
        <v>LUIS</v>
      </c>
      <c r="AQ61" s="213"/>
      <c r="AR61" s="213"/>
      <c r="AS61" s="213"/>
      <c r="AT61" s="213"/>
      <c r="AU61" s="213"/>
      <c r="AV61" s="213"/>
      <c r="AW61" s="213"/>
      <c r="AX61" s="213"/>
      <c r="AY61" s="213"/>
      <c r="AZ61" s="213"/>
      <c r="BA61" s="213"/>
      <c r="BB61" s="213"/>
      <c r="BC61" s="213"/>
      <c r="BD61" s="213"/>
    </row>
    <row r="62">
      <c r="A62" s="213">
        <f>IFERROR(__xludf.DUMMYFUNCTION("""COMPUTED_VALUE"""),841.0)</f>
        <v>841</v>
      </c>
      <c r="B62" s="213" t="str">
        <f>IFERROR(__xludf.DUMMYFUNCTION("""COMPUTED_VALUE"""),"6049 RICARDO PALMA")</f>
        <v>6049 RICARDO PALMA</v>
      </c>
      <c r="C62" s="213" t="str">
        <f>IFERROR(__xludf.DUMMYFUNCTION("""COMPUTED_VALUE"""),"TALLER SFT DE ELECTRICIDAD")</f>
        <v>TALLER SFT DE ELECTRICIDAD</v>
      </c>
      <c r="D62" s="213" t="str">
        <f>IFERROR(__xludf.DUMMYFUNCTION("""COMPUTED_VALUE"""),"HERRAMIENTAS")</f>
        <v>HERRAMIENTAS</v>
      </c>
      <c r="E62" s="213" t="str">
        <f>IFERROR(__xludf.DUMMYFUNCTION("""COMPUTED_VALUE"""),"COM-125")</f>
        <v>COM-125</v>
      </c>
      <c r="F62" s="213" t="str">
        <f>IFERROR(__xludf.DUMMYFUNCTION("""COMPUTED_VALUE"""),"COM-125")</f>
        <v>COM-125</v>
      </c>
      <c r="G62" s="213"/>
      <c r="H62" s="213" t="str">
        <f>IFERROR(__xludf.DUMMYFUNCTION("""COMPUTED_VALUE"""),"CALIBRADOR DE CONDUCTORES ELÉCTRICOS AWG")</f>
        <v>CALIBRADOR DE CONDUCTORES ELÉCTRICOS AWG</v>
      </c>
      <c r="I62" s="213" t="str">
        <f>IFERROR(__xludf.DUMMYFUNCTION("""COMPUTED_VALUE"""),"· Características Técnicas:
- Con ranuras para medir el  calibre de los conductores eléctricos desde el Nº 0 hasta el Nº 36
- De acero Inoxidable")</f>
        <v>· Características Técnicas:
- Con ranuras para medir el  calibre de los conductores eléctricos desde el Nº 0 hasta el Nº 36
- De acero Inoxidable</v>
      </c>
      <c r="J62" s="213">
        <f>IFERROR(__xludf.DUMMYFUNCTION("""COMPUTED_VALUE"""),3.0)</f>
        <v>3</v>
      </c>
      <c r="K62" s="213" t="str">
        <f>IFERROR(__xludf.DUMMYFUNCTION("""COMPUTED_VALUE"""),"90 DÍAS CALENDARIO")</f>
        <v>90 DÍAS CALENDARIO</v>
      </c>
      <c r="L62" s="213" t="str">
        <f>IFERROR(__xludf.DUMMYFUNCTION("""COMPUTED_VALUE"""),"ELECTRICIDAD, ELECTRÓNICA")</f>
        <v>ELECTRICIDAD, ELECTRÓNICA</v>
      </c>
      <c r="M62" s="213">
        <f>IFERROR(__xludf.DUMMYFUNCTION("""COMPUTED_VALUE"""),1.0)</f>
        <v>1</v>
      </c>
      <c r="N62" s="213">
        <f>IFERROR(__xludf.DUMMYFUNCTION("""COMPUTED_VALUE"""),4.0)</f>
        <v>4</v>
      </c>
      <c r="O62" s="213">
        <f>IFERROR(__xludf.DUMMYFUNCTION("""COMPUTED_VALUE"""),4.0)</f>
        <v>4</v>
      </c>
      <c r="P62" s="213"/>
      <c r="Q62" s="213"/>
      <c r="R62" s="213" t="str">
        <f>IFERROR(__xludf.DUMMYFUNCTION("""COMPUTED_VALUE"""),"SI")</f>
        <v>SI</v>
      </c>
      <c r="S62" s="213"/>
      <c r="T62" s="213" t="str">
        <f>IFERROR(__xludf.DUMMYFUNCTION("""COMPUTED_VALUE"""),"SI")</f>
        <v>SI</v>
      </c>
      <c r="U62" s="213" t="str">
        <f>IFERROR(__xludf.DUMMYFUNCTION("""COMPUTED_VALUE"""),"SI")</f>
        <v>SI</v>
      </c>
      <c r="V62" s="213" t="str">
        <f>IFERROR(__xludf.DUMMYFUNCTION("""COMPUTED_VALUE"""),"-")</f>
        <v>-</v>
      </c>
      <c r="W62" s="213" t="str">
        <f>IFERROR(__xludf.DUMMYFUNCTION("""COMPUTED_VALUE"""),"-")</f>
        <v>-</v>
      </c>
      <c r="X62" s="213" t="str">
        <f>IFERROR(__xludf.DUMMYFUNCTION("""COMPUTED_VALUE"""),"EROPOO")</f>
        <v>EROPOO</v>
      </c>
      <c r="Y62" s="213" t="str">
        <f>IFERROR(__xludf.DUMMYFUNCTION("""COMPUTED_VALUE"""),"HFG29")</f>
        <v>HFG29</v>
      </c>
      <c r="Z62" s="215" t="str">
        <f>IFERROR(__xludf.DUMMYFUNCTION("""COMPUTED_VALUE"""),"https://spanish.alibaba.com/product-detail/winding-wire-gauge-precision-wire-sheet-1947040513.html")</f>
        <v>https://spanish.alibaba.com/product-detail/winding-wire-gauge-precision-wire-sheet-1947040513.html</v>
      </c>
      <c r="AA62" s="213" t="str">
        <f>IFERROR(__xludf.DUMMYFUNCTION("""COMPUTED_VALUE"""),"COM-125 CALIBRADOR DE CONDUCTORES ELÉCTRICOS AWG - CET")</f>
        <v>COM-125 CALIBRADOR DE CONDUCTORES ELÉCTRICOS AWG - CET</v>
      </c>
      <c r="AB62" s="213"/>
      <c r="AC62" s="213"/>
      <c r="AD62" s="213"/>
      <c r="AE62" s="213"/>
      <c r="AF62" s="213"/>
      <c r="AG62" s="213"/>
      <c r="AH62" s="213"/>
      <c r="AI62" s="213"/>
      <c r="AJ62" s="213"/>
      <c r="AK62" s="213"/>
      <c r="AL62" s="213"/>
      <c r="AM62" s="213"/>
      <c r="AN62" s="213"/>
      <c r="AO62" s="213"/>
      <c r="AP62" s="213" t="str">
        <f>IFERROR(__xludf.DUMMYFUNCTION("""COMPUTED_VALUE"""),"LUIS")</f>
        <v>LUIS</v>
      </c>
      <c r="AQ62" s="213"/>
      <c r="AR62" s="213"/>
      <c r="AS62" s="213"/>
      <c r="AT62" s="213"/>
      <c r="AU62" s="213"/>
      <c r="AV62" s="213"/>
      <c r="AW62" s="213"/>
      <c r="AX62" s="213"/>
      <c r="AY62" s="213"/>
      <c r="AZ62" s="213"/>
      <c r="BA62" s="213"/>
      <c r="BB62" s="213"/>
      <c r="BC62" s="213"/>
      <c r="BD62" s="213"/>
    </row>
    <row r="63">
      <c r="A63" s="213">
        <f>IFERROR(__xludf.DUMMYFUNCTION("""COMPUTED_VALUE"""),1263.0)</f>
        <v>1263</v>
      </c>
      <c r="B63" s="213" t="str">
        <f>IFERROR(__xludf.DUMMYFUNCTION("""COMPUTED_VALUE"""),"GUILLERMO E. BILLINGHURST ")</f>
        <v>GUILLERMO E. BILLINGHURST </v>
      </c>
      <c r="C63" s="213" t="str">
        <f>IFERROR(__xludf.DUMMYFUNCTION("""COMPUTED_VALUE"""),"TALLER SFT DE ELECTRICIDAD")</f>
        <v>TALLER SFT DE ELECTRICIDAD</v>
      </c>
      <c r="D63" s="213" t="str">
        <f>IFERROR(__xludf.DUMMYFUNCTION("""COMPUTED_VALUE"""),"HERRAMIENTAS")</f>
        <v>HERRAMIENTAS</v>
      </c>
      <c r="E63" s="213" t="str">
        <f>IFERROR(__xludf.DUMMYFUNCTION("""COMPUTED_VALUE"""),"COM-125")</f>
        <v>COM-125</v>
      </c>
      <c r="F63" s="213" t="str">
        <f>IFERROR(__xludf.DUMMYFUNCTION("""COMPUTED_VALUE"""),"COM-125")</f>
        <v>COM-125</v>
      </c>
      <c r="G63" s="213"/>
      <c r="H63" s="213" t="str">
        <f>IFERROR(__xludf.DUMMYFUNCTION("""COMPUTED_VALUE"""),"CALIBRADOR DE CONDUCTORES ELÉCTRICOS AWG")</f>
        <v>CALIBRADOR DE CONDUCTORES ELÉCTRICOS AWG</v>
      </c>
      <c r="I63" s="213" t="str">
        <f>IFERROR(__xludf.DUMMYFUNCTION("""COMPUTED_VALUE"""),"· Características Técnicas:
- Con ranuras para medir el  calibre de los conductores eléctricos desde el Nº 0 hasta el Nº 36
- De acero Inoxidable")</f>
        <v>· Características Técnicas:
- Con ranuras para medir el  calibre de los conductores eléctricos desde el Nº 0 hasta el Nº 36
- De acero Inoxidable</v>
      </c>
      <c r="J63" s="213">
        <f>IFERROR(__xludf.DUMMYFUNCTION("""COMPUTED_VALUE"""),3.0)</f>
        <v>3</v>
      </c>
      <c r="K63" s="213" t="str">
        <f>IFERROR(__xludf.DUMMYFUNCTION("""COMPUTED_VALUE"""),"90 DÍAS CALENDARIO")</f>
        <v>90 DÍAS CALENDARIO</v>
      </c>
      <c r="L63" s="213" t="str">
        <f>IFERROR(__xludf.DUMMYFUNCTION("""COMPUTED_VALUE"""),"ELECTRICIDAD, ELECTRÓNICA")</f>
        <v>ELECTRICIDAD, ELECTRÓNICA</v>
      </c>
      <c r="M63" s="213">
        <f>IFERROR(__xludf.DUMMYFUNCTION("""COMPUTED_VALUE"""),1.0)</f>
        <v>1</v>
      </c>
      <c r="N63" s="213">
        <f>IFERROR(__xludf.DUMMYFUNCTION("""COMPUTED_VALUE"""),4.0)</f>
        <v>4</v>
      </c>
      <c r="O63" s="213">
        <f>IFERROR(__xludf.DUMMYFUNCTION("""COMPUTED_VALUE"""),4.0)</f>
        <v>4</v>
      </c>
      <c r="P63" s="213"/>
      <c r="Q63" s="213"/>
      <c r="R63" s="213" t="str">
        <f>IFERROR(__xludf.DUMMYFUNCTION("""COMPUTED_VALUE"""),"SI")</f>
        <v>SI</v>
      </c>
      <c r="S63" s="213"/>
      <c r="T63" s="213" t="str">
        <f>IFERROR(__xludf.DUMMYFUNCTION("""COMPUTED_VALUE"""),"SI")</f>
        <v>SI</v>
      </c>
      <c r="U63" s="213" t="str">
        <f>IFERROR(__xludf.DUMMYFUNCTION("""COMPUTED_VALUE"""),"SI")</f>
        <v>SI</v>
      </c>
      <c r="V63" s="213" t="str">
        <f>IFERROR(__xludf.DUMMYFUNCTION("""COMPUTED_VALUE"""),"-")</f>
        <v>-</v>
      </c>
      <c r="W63" s="213" t="str">
        <f>IFERROR(__xludf.DUMMYFUNCTION("""COMPUTED_VALUE"""),"-")</f>
        <v>-</v>
      </c>
      <c r="X63" s="213" t="str">
        <f>IFERROR(__xludf.DUMMYFUNCTION("""COMPUTED_VALUE"""),"EROPOO")</f>
        <v>EROPOO</v>
      </c>
      <c r="Y63" s="213" t="str">
        <f>IFERROR(__xludf.DUMMYFUNCTION("""COMPUTED_VALUE"""),"HFG29")</f>
        <v>HFG29</v>
      </c>
      <c r="Z63" s="215" t="str">
        <f>IFERROR(__xludf.DUMMYFUNCTION("""COMPUTED_VALUE"""),"https://spanish.alibaba.com/product-detail/winding-wire-gauge-precision-wire-sheet-1947040513.html")</f>
        <v>https://spanish.alibaba.com/product-detail/winding-wire-gauge-precision-wire-sheet-1947040513.html</v>
      </c>
      <c r="AA63" s="213" t="str">
        <f>IFERROR(__xludf.DUMMYFUNCTION("""COMPUTED_VALUE"""),"COM-125 CALIBRADOR DE CONDUCTORES ELÉCTRICOS AWG - CET")</f>
        <v>COM-125 CALIBRADOR DE CONDUCTORES ELÉCTRICOS AWG - CET</v>
      </c>
      <c r="AB63" s="213"/>
      <c r="AC63" s="213"/>
      <c r="AD63" s="213"/>
      <c r="AE63" s="213"/>
      <c r="AF63" s="213"/>
      <c r="AG63" s="213"/>
      <c r="AH63" s="213"/>
      <c r="AI63" s="213"/>
      <c r="AJ63" s="213"/>
      <c r="AK63" s="213"/>
      <c r="AL63" s="213"/>
      <c r="AM63" s="213"/>
      <c r="AN63" s="213"/>
      <c r="AO63" s="213"/>
      <c r="AP63" s="213" t="str">
        <f>IFERROR(__xludf.DUMMYFUNCTION("""COMPUTED_VALUE"""),"LUIS")</f>
        <v>LUIS</v>
      </c>
      <c r="AQ63" s="213"/>
      <c r="AR63" s="213"/>
      <c r="AS63" s="213"/>
      <c r="AT63" s="213"/>
      <c r="AU63" s="213"/>
      <c r="AV63" s="213"/>
      <c r="AW63" s="213"/>
      <c r="AX63" s="213"/>
      <c r="AY63" s="213"/>
      <c r="AZ63" s="213"/>
      <c r="BA63" s="213"/>
      <c r="BB63" s="213"/>
      <c r="BC63" s="213"/>
      <c r="BD63" s="213"/>
    </row>
    <row r="64">
      <c r="A64" s="213">
        <f>IFERROR(__xludf.DUMMYFUNCTION("""COMPUTED_VALUE"""),641.0)</f>
        <v>641</v>
      </c>
      <c r="B64" s="213" t="str">
        <f>IFERROR(__xludf.DUMMYFUNCTION("""COMPUTED_VALUE"""),"6049 RICARDO PALMA")</f>
        <v>6049 RICARDO PALMA</v>
      </c>
      <c r="C64" s="213" t="str">
        <f>IFERROR(__xludf.DUMMYFUNCTION("""COMPUTED_VALUE"""),"TALLER SFT DE ELECTRÓNICA")</f>
        <v>TALLER SFT DE ELECTRÓNICA</v>
      </c>
      <c r="D64" s="213" t="str">
        <f>IFERROR(__xludf.DUMMYFUNCTION("""COMPUTED_VALUE"""),"HERRAMIENTAS")</f>
        <v>HERRAMIENTAS</v>
      </c>
      <c r="E64" s="213" t="str">
        <f>IFERROR(__xludf.DUMMYFUNCTION("""COMPUTED_VALUE"""),"COM-126")</f>
        <v>COM-126</v>
      </c>
      <c r="F64" s="213" t="str">
        <f>IFERROR(__xludf.DUMMYFUNCTION("""COMPUTED_VALUE"""),"COM-126-X")</f>
        <v>COM-126-X</v>
      </c>
      <c r="G64" s="213"/>
      <c r="H64" s="213" t="str">
        <f>IFERROR(__xludf.DUMMYFUNCTION("""COMPUTED_VALUE"""),"CALIBRADOR DIGITAL")</f>
        <v>CALIBRADOR DIGITAL</v>
      </c>
      <c r="I64" s="213" t="str">
        <f>IFERROR(__xludf.DUMMYFUNCTION("""COMPUTED_VALUE"""),"· Rango de medición: de 0 - 150 mm.
· Resolución: 0,01 mm
· Funciones de encendido y apagado, puesta a cero en cualquier punto, bloqueo mediante tornillo, conversión en mm y pulgadas.
· Con pila.
· Fabricado conforme a la norma DIN 862.
· Calibrado de fáb"&amp;"rica.")</f>
        <v>· Rango de medición: de 0 - 150 mm.
· Resolución: 0,01 mm
· Funciones de encendido y apagado, puesta a cero en cualquier punto, bloqueo mediante tornillo, conversión en mm y pulgadas.
· Con pila.
· Fabricado conforme a la norma DIN 862.
· Calibrado de fábrica.</v>
      </c>
      <c r="J64" s="213">
        <f>IFERROR(__xludf.DUMMYFUNCTION("""COMPUTED_VALUE"""),3.0)</f>
        <v>3</v>
      </c>
      <c r="K64" s="213" t="str">
        <f>IFERROR(__xludf.DUMMYFUNCTION("""COMPUTED_VALUE"""),"90 DÍAS CALENDARIO")</f>
        <v>90 DÍAS CALENDARIO</v>
      </c>
      <c r="L64" s="213" t="str">
        <f>IFERROR(__xludf.DUMMYFUNCTION("""COMPUTED_VALUE"""),"")</f>
        <v/>
      </c>
      <c r="M64" s="213">
        <f>IFERROR(__xludf.DUMMYFUNCTION("""COMPUTED_VALUE"""),1.0)</f>
        <v>1</v>
      </c>
      <c r="N64" s="213">
        <f>IFERROR(__xludf.DUMMYFUNCTION("""COMPUTED_VALUE"""),4.0)</f>
        <v>4</v>
      </c>
      <c r="O64" s="213">
        <f>IFERROR(__xludf.DUMMYFUNCTION("""COMPUTED_VALUE"""),4.0)</f>
        <v>4</v>
      </c>
      <c r="P64" s="213"/>
      <c r="Q64" s="213"/>
      <c r="R64" s="213" t="str">
        <f>IFERROR(__xludf.DUMMYFUNCTION("""COMPUTED_VALUE"""),"SI")</f>
        <v>SI</v>
      </c>
      <c r="S64" s="213"/>
      <c r="T64" s="213" t="str">
        <f>IFERROR(__xludf.DUMMYFUNCTION("""COMPUTED_VALUE"""),"SI")</f>
        <v>SI</v>
      </c>
      <c r="U64" s="213" t="str">
        <f>IFERROR(__xludf.DUMMYFUNCTION("""COMPUTED_VALUE"""),"SI")</f>
        <v>SI</v>
      </c>
      <c r="V64" s="213" t="str">
        <f>IFERROR(__xludf.DUMMYFUNCTION("""COMPUTED_VALUE"""),"-")</f>
        <v>-</v>
      </c>
      <c r="W64" s="213" t="str">
        <f>IFERROR(__xludf.DUMMYFUNCTION("""COMPUTED_VALUE"""),"-")</f>
        <v>-</v>
      </c>
      <c r="X64" s="213" t="str">
        <f>IFERROR(__xludf.DUMMYFUNCTION("""COMPUTED_VALUE"""),"VOGEL GERMANY")</f>
        <v>VOGEL GERMANY</v>
      </c>
      <c r="Y64" s="213" t="str">
        <f>IFERROR(__xludf.DUMMYFUNCTION("""COMPUTED_VALUE"""),"IP54 – 202161-2")</f>
        <v>IP54 – 202161-2</v>
      </c>
      <c r="Z64" s="215" t="str">
        <f>IFERROR(__xludf.DUMMYFUNCTION("""COMPUTED_VALUE"""),"https://store.ferrindustrial.com.pe/producto/calibrador-pie-de-rey-digital-ip54-de-8-200mm-202161-2-vogel-germany/")</f>
        <v>https://store.ferrindustrial.com.pe/producto/calibrador-pie-de-rey-digital-ip54-de-8-200mm-202161-2-vogel-germany/</v>
      </c>
      <c r="AA64" s="213" t="str">
        <f>IFERROR(__xludf.DUMMYFUNCTION("""COMPUTED_VALUE"""),"COM-126-X CALIBRADOR DIGITAL - CET")</f>
        <v>COM-126-X CALIBRADOR DIGITAL - CET</v>
      </c>
      <c r="AB64" s="215" t="str">
        <f>IFERROR(__xludf.DUMMYFUNCTION("""COMPUTED_VALUE"""),"https://drive.google.com/file/d/1t5MWLG6OmDK9PMHwGVtL9r4V7Sna1wg5/view?usp=sharing")</f>
        <v>https://drive.google.com/file/d/1t5MWLG6OmDK9PMHwGVtL9r4V7Sna1wg5/view?usp=sharing</v>
      </c>
      <c r="AC64" s="215" t="str">
        <f>IFERROR(__xludf.DUMMYFUNCTION("""COMPUTED_VALUE"""),"https://store.ferrindustrial.com.pe/producto/calibrador-pie-de-rey-digital-ip54-de-8-200mm-202161-2-vogel-germany/")</f>
        <v>https://store.ferrindustrial.com.pe/producto/calibrador-pie-de-rey-digital-ip54-de-8-200mm-202161-2-vogel-germany/</v>
      </c>
      <c r="AD64" s="213"/>
      <c r="AE64" s="213"/>
      <c r="AF64" s="213"/>
      <c r="AG64" s="213"/>
      <c r="AH64" s="213" t="str">
        <f>IFERROR(__xludf.DUMMYFUNCTION("""COMPUTED_VALUE"""),"NACIONAL")</f>
        <v>NACIONAL</v>
      </c>
      <c r="AI64" s="213"/>
      <c r="AJ64" s="213"/>
      <c r="AK64" s="213"/>
      <c r="AL64" s="213"/>
      <c r="AM64" s="213"/>
      <c r="AN64" s="213"/>
      <c r="AO64" s="213"/>
      <c r="AP64" s="213" t="str">
        <f>IFERROR(__xludf.DUMMYFUNCTION("""COMPUTED_VALUE"""),"LUIS")</f>
        <v>LUIS</v>
      </c>
      <c r="AQ64" s="213"/>
      <c r="AR64" s="213"/>
      <c r="AS64" s="213"/>
      <c r="AT64" s="213"/>
      <c r="AU64" s="213"/>
      <c r="AV64" s="213"/>
      <c r="AW64" s="213"/>
      <c r="AX64" s="213"/>
      <c r="AY64" s="213"/>
      <c r="AZ64" s="213"/>
      <c r="BA64" s="213"/>
      <c r="BB64" s="213"/>
      <c r="BC64" s="213"/>
      <c r="BD64" s="213"/>
    </row>
    <row r="65">
      <c r="A65" s="213">
        <f>IFERROR(__xludf.DUMMYFUNCTION("""COMPUTED_VALUE"""),942.0)</f>
        <v>942</v>
      </c>
      <c r="B65" s="213" t="str">
        <f>IFERROR(__xludf.DUMMYFUNCTION("""COMPUTED_VALUE"""),"FRANCISCO IRAZOLA")</f>
        <v>FRANCISCO IRAZOLA</v>
      </c>
      <c r="C65" s="213" t="str">
        <f>IFERROR(__xludf.DUMMYFUNCTION("""COMPUTED_VALUE"""),"TALLER SFT DE MECÁNICA AUTOMOTRIZ")</f>
        <v>TALLER SFT DE MECÁNICA AUTOMOTRIZ</v>
      </c>
      <c r="D65" s="213" t="str">
        <f>IFERROR(__xludf.DUMMYFUNCTION("""COMPUTED_VALUE"""),"HERRAMIENTAS")</f>
        <v>HERRAMIENTAS</v>
      </c>
      <c r="E65" s="213" t="str">
        <f>IFERROR(__xludf.DUMMYFUNCTION("""COMPUTED_VALUE"""),"COM-126")</f>
        <v>COM-126</v>
      </c>
      <c r="F65" s="213" t="str">
        <f>IFERROR(__xludf.DUMMYFUNCTION("""COMPUTED_VALUE"""),"COM-126-Y")</f>
        <v>COM-126-Y</v>
      </c>
      <c r="G65" s="213"/>
      <c r="H65" s="213" t="str">
        <f>IFERROR(__xludf.DUMMYFUNCTION("""COMPUTED_VALUE"""),"CALIBRADOR DIGITAL")</f>
        <v>CALIBRADOR DIGITAL</v>
      </c>
      <c r="I65" s="213" t="str">
        <f>IFERROR(__xludf.DUMMYFUNCTION("""COMPUTED_VALUE"""),"Rango de medición: de 0 - 150 mm. Resolución: 0,01 mm
Funciones de encendido y apagado, puesta a cero en cualquier punto, bloqueo mediante tornillo, conversión en mm y pulgadas.
Con pila.
Fabricado conforme a la norma DIN 862. Calibrado de fábrica.
Incluy"&amp;"e estuche.")</f>
        <v>Rango de medición: de 0 - 150 mm. Resolución: 0,01 mm
Funciones de encendido y apagado, puesta a cero en cualquier punto, bloqueo mediante tornillo, conversión en mm y pulgadas.
Con pila.
Fabricado conforme a la norma DIN 862. Calibrado de fábrica.
Incluye estuche.</v>
      </c>
      <c r="J65" s="213">
        <f>IFERROR(__xludf.DUMMYFUNCTION("""COMPUTED_VALUE"""),3.0)</f>
        <v>3</v>
      </c>
      <c r="K65" s="213" t="str">
        <f>IFERROR(__xludf.DUMMYFUNCTION("""COMPUTED_VALUE"""),"90 DÍAS CALENDARIO")</f>
        <v>90 DÍAS CALENDARIO</v>
      </c>
      <c r="L65" s="213" t="str">
        <f>IFERROR(__xludf.DUMMYFUNCTION("""COMPUTED_VALUE"""),"")</f>
        <v/>
      </c>
      <c r="M65" s="213">
        <f>IFERROR(__xludf.DUMMYFUNCTION("""COMPUTED_VALUE"""),1.0)</f>
        <v>1</v>
      </c>
      <c r="N65" s="213">
        <f>IFERROR(__xludf.DUMMYFUNCTION("""COMPUTED_VALUE"""),1.0)</f>
        <v>1</v>
      </c>
      <c r="O65" s="213">
        <f>IFERROR(__xludf.DUMMYFUNCTION("""COMPUTED_VALUE"""),1.0)</f>
        <v>1</v>
      </c>
      <c r="P65" s="213"/>
      <c r="Q65" s="213"/>
      <c r="R65" s="213" t="str">
        <f>IFERROR(__xludf.DUMMYFUNCTION("""COMPUTED_VALUE"""),"SI")</f>
        <v>SI</v>
      </c>
      <c r="S65" s="213"/>
      <c r="T65" s="213" t="str">
        <f>IFERROR(__xludf.DUMMYFUNCTION("""COMPUTED_VALUE"""),"SI")</f>
        <v>SI</v>
      </c>
      <c r="U65" s="213" t="str">
        <f>IFERROR(__xludf.DUMMYFUNCTION("""COMPUTED_VALUE"""),"SI")</f>
        <v>SI</v>
      </c>
      <c r="V65" s="213" t="str">
        <f>IFERROR(__xludf.DUMMYFUNCTION("""COMPUTED_VALUE"""),"-")</f>
        <v>-</v>
      </c>
      <c r="W65" s="213" t="str">
        <f>IFERROR(__xludf.DUMMYFUNCTION("""COMPUTED_VALUE"""),"-")</f>
        <v>-</v>
      </c>
      <c r="X65" s="213" t="str">
        <f>IFERROR(__xludf.DUMMYFUNCTION("""COMPUTED_VALUE"""),"VOGEL GERMANY")</f>
        <v>VOGEL GERMANY</v>
      </c>
      <c r="Y65" s="213" t="str">
        <f>IFERROR(__xludf.DUMMYFUNCTION("""COMPUTED_VALUE"""),"IP54 – 202161-2")</f>
        <v>IP54 – 202161-2</v>
      </c>
      <c r="Z65" s="215" t="str">
        <f>IFERROR(__xludf.DUMMYFUNCTION("""COMPUTED_VALUE"""),"https://store.ferrindustrial.com.pe/producto/calibrador-pie-de-rey-digital-ip54-de-8-200mm-202161-2-vogel-germany/")</f>
        <v>https://store.ferrindustrial.com.pe/producto/calibrador-pie-de-rey-digital-ip54-de-8-200mm-202161-2-vogel-germany/</v>
      </c>
      <c r="AA65" s="213" t="str">
        <f>IFERROR(__xludf.DUMMYFUNCTION("""COMPUTED_VALUE"""),"COM-126-Y CALIBRADOR DIGITAL - CET")</f>
        <v>COM-126-Y CALIBRADOR DIGITAL - CET</v>
      </c>
      <c r="AB65" s="215" t="str">
        <f>IFERROR(__xludf.DUMMYFUNCTION("""COMPUTED_VALUE"""),"https://drive.google.com/file/d/1LL0662pFBbmL8ELBpNeH_yMtSfjMVp1D/view?usp=sharing")</f>
        <v>https://drive.google.com/file/d/1LL0662pFBbmL8ELBpNeH_yMtSfjMVp1D/view?usp=sharing</v>
      </c>
      <c r="AC65" s="215" t="str">
        <f>IFERROR(__xludf.DUMMYFUNCTION("""COMPUTED_VALUE"""),"https://store.ferrindustrial.com.pe/producto/calibrador-pie-de-rey-digital-ip54-de-8-200mm-202161-2-vogel-germany/")</f>
        <v>https://store.ferrindustrial.com.pe/producto/calibrador-pie-de-rey-digital-ip54-de-8-200mm-202161-2-vogel-germany/</v>
      </c>
      <c r="AD65" s="213"/>
      <c r="AE65" s="213"/>
      <c r="AF65" s="213"/>
      <c r="AG65" s="213"/>
      <c r="AH65" s="213" t="str">
        <f>IFERROR(__xludf.DUMMYFUNCTION("""COMPUTED_VALUE"""),"NACIONAL")</f>
        <v>NACIONAL</v>
      </c>
      <c r="AI65" s="213"/>
      <c r="AJ65" s="213"/>
      <c r="AK65" s="213"/>
      <c r="AL65" s="213"/>
      <c r="AM65" s="213"/>
      <c r="AN65" s="213"/>
      <c r="AO65" s="213"/>
      <c r="AP65" s="213" t="str">
        <f>IFERROR(__xludf.DUMMYFUNCTION("""COMPUTED_VALUE"""),"LUIS")</f>
        <v>LUIS</v>
      </c>
      <c r="AQ65" s="213"/>
      <c r="AR65" s="213"/>
      <c r="AS65" s="213"/>
      <c r="AT65" s="213"/>
      <c r="AU65" s="213"/>
      <c r="AV65" s="213"/>
      <c r="AW65" s="213"/>
      <c r="AX65" s="213"/>
      <c r="AY65" s="213"/>
      <c r="AZ65" s="213"/>
      <c r="BA65" s="213"/>
      <c r="BB65" s="213"/>
      <c r="BC65" s="213"/>
      <c r="BD65" s="213"/>
    </row>
    <row r="66">
      <c r="A66" s="213">
        <f>IFERROR(__xludf.DUMMYFUNCTION("""COMPUTED_VALUE"""),1543.0)</f>
        <v>1543</v>
      </c>
      <c r="B66" s="213" t="str">
        <f>IFERROR(__xludf.DUMMYFUNCTION("""COMPUTED_VALUE"""),"GUILLERMO E. BILLINGHURST ")</f>
        <v>GUILLERMO E. BILLINGHURST </v>
      </c>
      <c r="C66" s="213" t="str">
        <f>IFERROR(__xludf.DUMMYFUNCTION("""COMPUTED_VALUE"""),"TALLER SFT DE MECÁNICA AUTOMOTRIZ")</f>
        <v>TALLER SFT DE MECÁNICA AUTOMOTRIZ</v>
      </c>
      <c r="D66" s="213" t="str">
        <f>IFERROR(__xludf.DUMMYFUNCTION("""COMPUTED_VALUE"""),"HERRAMIENTAS")</f>
        <v>HERRAMIENTAS</v>
      </c>
      <c r="E66" s="213" t="str">
        <f>IFERROR(__xludf.DUMMYFUNCTION("""COMPUTED_VALUE"""),"COM-126")</f>
        <v>COM-126</v>
      </c>
      <c r="F66" s="213" t="str">
        <f>IFERROR(__xludf.DUMMYFUNCTION("""COMPUTED_VALUE"""),"COM-126-Y")</f>
        <v>COM-126-Y</v>
      </c>
      <c r="G66" s="213"/>
      <c r="H66" s="213" t="str">
        <f>IFERROR(__xludf.DUMMYFUNCTION("""COMPUTED_VALUE"""),"CALIBRADOR DIGITAL")</f>
        <v>CALIBRADOR DIGITAL</v>
      </c>
      <c r="I66" s="213" t="str">
        <f>IFERROR(__xludf.DUMMYFUNCTION("""COMPUTED_VALUE"""),"Rango de medición: de 0 - 150 mm. Resolución: 0,01 mm
Funciones de encendido y apagado, puesta a cero en cualquier punto, bloqueo mediante tornillo, conversión en mm y pulgadas.
Con pila.
Fabricado conforme a la norma DIN 862. Calibrado de fábrica.
Incluy"&amp;"e estuche.")</f>
        <v>Rango de medición: de 0 - 150 mm. Resolución: 0,01 mm
Funciones de encendido y apagado, puesta a cero en cualquier punto, bloqueo mediante tornillo, conversión en mm y pulgadas.
Con pila.
Fabricado conforme a la norma DIN 862. Calibrado de fábrica.
Incluye estuche.</v>
      </c>
      <c r="J66" s="213">
        <f>IFERROR(__xludf.DUMMYFUNCTION("""COMPUTED_VALUE"""),3.0)</f>
        <v>3</v>
      </c>
      <c r="K66" s="213" t="str">
        <f>IFERROR(__xludf.DUMMYFUNCTION("""COMPUTED_VALUE"""),"90 DÍAS CALENDARIO")</f>
        <v>90 DÍAS CALENDARIO</v>
      </c>
      <c r="L66" s="213" t="str">
        <f>IFERROR(__xludf.DUMMYFUNCTION("""COMPUTED_VALUE"""),"")</f>
        <v/>
      </c>
      <c r="M66" s="213">
        <f>IFERROR(__xludf.DUMMYFUNCTION("""COMPUTED_VALUE"""),1.0)</f>
        <v>1</v>
      </c>
      <c r="N66" s="213">
        <f>IFERROR(__xludf.DUMMYFUNCTION("""COMPUTED_VALUE"""),1.0)</f>
        <v>1</v>
      </c>
      <c r="O66" s="213">
        <f>IFERROR(__xludf.DUMMYFUNCTION("""COMPUTED_VALUE"""),1.0)</f>
        <v>1</v>
      </c>
      <c r="P66" s="213"/>
      <c r="Q66" s="213"/>
      <c r="R66" s="213" t="str">
        <f>IFERROR(__xludf.DUMMYFUNCTION("""COMPUTED_VALUE"""),"SI")</f>
        <v>SI</v>
      </c>
      <c r="S66" s="213"/>
      <c r="T66" s="213" t="str">
        <f>IFERROR(__xludf.DUMMYFUNCTION("""COMPUTED_VALUE"""),"SI")</f>
        <v>SI</v>
      </c>
      <c r="U66" s="213" t="str">
        <f>IFERROR(__xludf.DUMMYFUNCTION("""COMPUTED_VALUE"""),"SI")</f>
        <v>SI</v>
      </c>
      <c r="V66" s="213" t="str">
        <f>IFERROR(__xludf.DUMMYFUNCTION("""COMPUTED_VALUE"""),"-")</f>
        <v>-</v>
      </c>
      <c r="W66" s="213" t="str">
        <f>IFERROR(__xludf.DUMMYFUNCTION("""COMPUTED_VALUE"""),"-")</f>
        <v>-</v>
      </c>
      <c r="X66" s="213" t="str">
        <f>IFERROR(__xludf.DUMMYFUNCTION("""COMPUTED_VALUE"""),"VOGEL GERMANY")</f>
        <v>VOGEL GERMANY</v>
      </c>
      <c r="Y66" s="213" t="str">
        <f>IFERROR(__xludf.DUMMYFUNCTION("""COMPUTED_VALUE"""),"IP54 – 202161-2")</f>
        <v>IP54 – 202161-2</v>
      </c>
      <c r="Z66" s="215" t="str">
        <f>IFERROR(__xludf.DUMMYFUNCTION("""COMPUTED_VALUE"""),"https://store.ferrindustrial.com.pe/producto/calibrador-pie-de-rey-digital-ip54-de-8-200mm-202161-2-vogel-germany/")</f>
        <v>https://store.ferrindustrial.com.pe/producto/calibrador-pie-de-rey-digital-ip54-de-8-200mm-202161-2-vogel-germany/</v>
      </c>
      <c r="AA66" s="213" t="str">
        <f>IFERROR(__xludf.DUMMYFUNCTION("""COMPUTED_VALUE"""),"COM-126-Y CALIBRADOR DIGITAL - CET")</f>
        <v>COM-126-Y CALIBRADOR DIGITAL - CET</v>
      </c>
      <c r="AB66" s="215" t="str">
        <f>IFERROR(__xludf.DUMMYFUNCTION("""COMPUTED_VALUE"""),"https://drive.google.com/file/d/1LL0662pFBbmL8ELBpNeH_yMtSfjMVp1D/view?usp=sharing")</f>
        <v>https://drive.google.com/file/d/1LL0662pFBbmL8ELBpNeH_yMtSfjMVp1D/view?usp=sharing</v>
      </c>
      <c r="AC66" s="215" t="str">
        <f>IFERROR(__xludf.DUMMYFUNCTION("""COMPUTED_VALUE"""),"https://store.ferrindustrial.com.pe/producto/calibrador-pie-de-rey-digital-ip54-de-8-200mm-202161-2-vogel-germany/")</f>
        <v>https://store.ferrindustrial.com.pe/producto/calibrador-pie-de-rey-digital-ip54-de-8-200mm-202161-2-vogel-germany/</v>
      </c>
      <c r="AD66" s="213"/>
      <c r="AE66" s="213"/>
      <c r="AF66" s="213"/>
      <c r="AG66" s="213"/>
      <c r="AH66" s="213" t="str">
        <f>IFERROR(__xludf.DUMMYFUNCTION("""COMPUTED_VALUE"""),"NACIONAL")</f>
        <v>NACIONAL</v>
      </c>
      <c r="AI66" s="213"/>
      <c r="AJ66" s="213"/>
      <c r="AK66" s="213"/>
      <c r="AL66" s="213"/>
      <c r="AM66" s="213"/>
      <c r="AN66" s="213"/>
      <c r="AO66" s="213"/>
      <c r="AP66" s="213" t="str">
        <f>IFERROR(__xludf.DUMMYFUNCTION("""COMPUTED_VALUE"""),"LUIS")</f>
        <v>LUIS</v>
      </c>
      <c r="AQ66" s="213"/>
      <c r="AR66" s="213"/>
      <c r="AS66" s="213"/>
      <c r="AT66" s="213"/>
      <c r="AU66" s="213"/>
      <c r="AV66" s="213"/>
      <c r="AW66" s="213"/>
      <c r="AX66" s="213"/>
      <c r="AY66" s="213"/>
      <c r="AZ66" s="213"/>
      <c r="BA66" s="213"/>
      <c r="BB66" s="213"/>
      <c r="BC66" s="213"/>
      <c r="BD66" s="213"/>
    </row>
    <row r="67">
      <c r="A67" s="213">
        <f>IFERROR(__xludf.DUMMYFUNCTION("""COMPUTED_VALUE"""),1.0)</f>
        <v>1</v>
      </c>
      <c r="B67" s="213" t="str">
        <f>IFERROR(__xludf.DUMMYFUNCTION("""COMPUTED_VALUE"""),"16449 ELOY SOBERON  FLORES")</f>
        <v>16449 ELOY SOBERON  FLORES</v>
      </c>
      <c r="C67" s="213" t="str">
        <f>IFERROR(__xludf.DUMMYFUNCTION("""COMPUTED_VALUE"""),"TALLER SFT DE COCINA Y REPOSTERÍA")</f>
        <v>TALLER SFT DE COCINA Y REPOSTERÍA</v>
      </c>
      <c r="D67" s="213" t="str">
        <f>IFERROR(__xludf.DUMMYFUNCTION("""COMPUTED_VALUE"""),"MOBILIARIO")</f>
        <v>MOBILIARIO</v>
      </c>
      <c r="E67" s="213" t="str">
        <f>IFERROR(__xludf.DUMMYFUNCTION("""COMPUTED_VALUE"""),"MOB-105")</f>
        <v>MOB-105</v>
      </c>
      <c r="F67" s="213" t="str">
        <f>IFERROR(__xludf.DUMMYFUNCTION("""COMPUTED_VALUE"""),"MOB-105-Y")</f>
        <v>MOB-105-Y</v>
      </c>
      <c r="G67" s="213"/>
      <c r="H67" s="213" t="str">
        <f>IFERROR(__xludf.DUMMYFUNCTION("""COMPUTED_VALUE"""),"ARMARIO DE METAL (1.00 X 0.40 X 1.80M.)")</f>
        <v>ARMARIO DE METAL (1.00 X 0.40 X 1.80M.)</v>
      </c>
      <c r="I67"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67" s="213">
        <f>IFERROR(__xludf.DUMMYFUNCTION("""COMPUTED_VALUE"""),3.0)</f>
        <v>3</v>
      </c>
      <c r="K67" s="213" t="str">
        <f>IFERROR(__xludf.DUMMYFUNCTION("""COMPUTED_VALUE"""),"90 DÍAS CALENDARIO")</f>
        <v>90 DÍAS CALENDARIO</v>
      </c>
      <c r="L67" s="213" t="str">
        <f>IFERROR(__xludf.DUMMYFUNCTION("""COMPUTED_VALUE"""),"")</f>
        <v/>
      </c>
      <c r="M67" s="213">
        <f>IFERROR(__xludf.DUMMYFUNCTION("""COMPUTED_VALUE"""),1.0)</f>
        <v>1</v>
      </c>
      <c r="N67" s="213">
        <f>IFERROR(__xludf.DUMMYFUNCTION("""COMPUTED_VALUE"""),1.0)</f>
        <v>1</v>
      </c>
      <c r="O67" s="213">
        <f>IFERROR(__xludf.DUMMYFUNCTION("""COMPUTED_VALUE"""),1.0)</f>
        <v>1</v>
      </c>
      <c r="P67" s="213"/>
      <c r="Q67" s="213"/>
      <c r="R67" s="213"/>
      <c r="S67" s="213"/>
      <c r="T67" s="213"/>
      <c r="U67" s="213"/>
      <c r="V67" s="213"/>
      <c r="W67" s="213"/>
      <c r="X67" s="213"/>
      <c r="Y67" s="213"/>
      <c r="Z67" s="213"/>
      <c r="AA67" s="213"/>
      <c r="AB67" s="213"/>
      <c r="AC67" s="213"/>
      <c r="AD67" s="213"/>
      <c r="AE67" s="213"/>
      <c r="AF67" s="213"/>
      <c r="AG67" s="213"/>
      <c r="AH67" s="213"/>
      <c r="AI67" s="213"/>
      <c r="AJ67" s="213"/>
      <c r="AK67" s="213"/>
      <c r="AL67" s="213"/>
      <c r="AM67" s="213"/>
      <c r="AN67" s="213"/>
      <c r="AO67" s="213"/>
      <c r="AP67" s="213"/>
      <c r="AQ67" s="213"/>
      <c r="AR67" s="213"/>
      <c r="AS67" s="213"/>
      <c r="AT67" s="213"/>
      <c r="AU67" s="213"/>
      <c r="AV67" s="213"/>
      <c r="AW67" s="213"/>
      <c r="AX67" s="213"/>
      <c r="AY67" s="213"/>
      <c r="AZ67" s="213"/>
      <c r="BA67" s="213"/>
      <c r="BB67" s="213"/>
      <c r="BC67" s="213"/>
      <c r="BD67" s="213"/>
    </row>
    <row r="68">
      <c r="A68" s="213">
        <f>IFERROR(__xludf.DUMMYFUNCTION("""COMPUTED_VALUE"""),15.0)</f>
        <v>15</v>
      </c>
      <c r="B68" s="213" t="str">
        <f>IFERROR(__xludf.DUMMYFUNCTION("""COMPUTED_VALUE"""),"16449 ELOY SOBERON  FLORES")</f>
        <v>16449 ELOY SOBERON  FLORES</v>
      </c>
      <c r="C68" s="213" t="str">
        <f>IFERROR(__xludf.DUMMYFUNCTION("""COMPUTED_VALUE"""),"TALLER SFT DE COCINA Y REPOSTERÍA")</f>
        <v>TALLER SFT DE COCINA Y REPOSTERÍA</v>
      </c>
      <c r="D68" s="213" t="str">
        <f>IFERROR(__xludf.DUMMYFUNCTION("""COMPUTED_VALUE"""),"MOBILIARIO")</f>
        <v>MOBILIARIO</v>
      </c>
      <c r="E68" s="213" t="str">
        <f>IFERROR(__xludf.DUMMYFUNCTION("""COMPUTED_VALUE"""),"MOB-105")</f>
        <v>MOB-105</v>
      </c>
      <c r="F68" s="213" t="str">
        <f>IFERROR(__xludf.DUMMYFUNCTION("""COMPUTED_VALUE"""),"MOB-105-Y")</f>
        <v>MOB-105-Y</v>
      </c>
      <c r="G68" s="213"/>
      <c r="H68" s="213" t="str">
        <f>IFERROR(__xludf.DUMMYFUNCTION("""COMPUTED_VALUE"""),"ARMARIO DE METAL (1.00 X 0.40 X 1.80M.)")</f>
        <v>ARMARIO DE METAL (1.00 X 0.40 X 1.80M.)</v>
      </c>
      <c r="I68"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68" s="213">
        <f>IFERROR(__xludf.DUMMYFUNCTION("""COMPUTED_VALUE"""),3.0)</f>
        <v>3</v>
      </c>
      <c r="K68" s="213" t="str">
        <f>IFERROR(__xludf.DUMMYFUNCTION("""COMPUTED_VALUE"""),"90 DÍAS CALENDARIO")</f>
        <v>90 DÍAS CALENDARIO</v>
      </c>
      <c r="L68" s="213" t="str">
        <f>IFERROR(__xludf.DUMMYFUNCTION("""COMPUTED_VALUE"""),"")</f>
        <v/>
      </c>
      <c r="M68" s="213">
        <f>IFERROR(__xludf.DUMMYFUNCTION("""COMPUTED_VALUE"""),1.0)</f>
        <v>1</v>
      </c>
      <c r="N68" s="213">
        <f>IFERROR(__xludf.DUMMYFUNCTION("""COMPUTED_VALUE"""),2.0)</f>
        <v>2</v>
      </c>
      <c r="O68" s="213">
        <f>IFERROR(__xludf.DUMMYFUNCTION("""COMPUTED_VALUE"""),2.0)</f>
        <v>2</v>
      </c>
      <c r="P68" s="213"/>
      <c r="Q68" s="213"/>
      <c r="R68" s="213"/>
      <c r="S68" s="213"/>
      <c r="T68" s="213"/>
      <c r="U68" s="213"/>
      <c r="V68" s="213"/>
      <c r="W68" s="213"/>
      <c r="X68" s="213"/>
      <c r="Y68" s="213"/>
      <c r="Z68" s="213"/>
      <c r="AA68" s="213"/>
      <c r="AB68" s="213"/>
      <c r="AC68" s="213"/>
      <c r="AD68" s="213"/>
      <c r="AE68" s="213"/>
      <c r="AF68" s="213"/>
      <c r="AG68" s="213"/>
      <c r="AH68" s="213"/>
      <c r="AI68" s="213"/>
      <c r="AJ68" s="213"/>
      <c r="AK68" s="213"/>
      <c r="AL68" s="213"/>
      <c r="AM68" s="213"/>
      <c r="AN68" s="213"/>
      <c r="AO68" s="213"/>
      <c r="AP68" s="213"/>
      <c r="AQ68" s="213"/>
      <c r="AR68" s="213"/>
      <c r="AS68" s="213"/>
      <c r="AT68" s="213"/>
      <c r="AU68" s="213"/>
      <c r="AV68" s="213"/>
      <c r="AW68" s="213"/>
      <c r="AX68" s="213"/>
      <c r="AY68" s="213"/>
      <c r="AZ68" s="213"/>
      <c r="BA68" s="213"/>
      <c r="BB68" s="213"/>
      <c r="BC68" s="213"/>
      <c r="BD68" s="213"/>
    </row>
    <row r="69">
      <c r="A69" s="213">
        <f>IFERROR(__xludf.DUMMYFUNCTION("""COMPUTED_VALUE"""),143.0)</f>
        <v>143</v>
      </c>
      <c r="B69" s="213" t="str">
        <f>IFERROR(__xludf.DUMMYFUNCTION("""COMPUTED_VALUE"""),"2026 SIMON BOLIVAR")</f>
        <v>2026 SIMON BOLIVAR</v>
      </c>
      <c r="C69" s="213" t="str">
        <f>IFERROR(__xludf.DUMMYFUNCTION("""COMPUTED_VALUE"""),"TALLER SFT DE INDUSTRIA DEL VESTIDO")</f>
        <v>TALLER SFT DE INDUSTRIA DEL VESTIDO</v>
      </c>
      <c r="D69" s="213" t="str">
        <f>IFERROR(__xludf.DUMMYFUNCTION("""COMPUTED_VALUE"""),"MOBILIARIO")</f>
        <v>MOBILIARIO</v>
      </c>
      <c r="E69" s="213" t="str">
        <f>IFERROR(__xludf.DUMMYFUNCTION("""COMPUTED_VALUE"""),"MOB-105")</f>
        <v>MOB-105</v>
      </c>
      <c r="F69" s="213" t="str">
        <f>IFERROR(__xludf.DUMMYFUNCTION("""COMPUTED_VALUE"""),"MOB-105-Y")</f>
        <v>MOB-105-Y</v>
      </c>
      <c r="G69" s="213"/>
      <c r="H69" s="213" t="str">
        <f>IFERROR(__xludf.DUMMYFUNCTION("""COMPUTED_VALUE"""),"ARMARIO DE METAL (1.00 X 0.40 X 1.80M.)")</f>
        <v>ARMARIO DE METAL (1.00 X 0.40 X 1.80M.)</v>
      </c>
      <c r="I69"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69" s="213">
        <f>IFERROR(__xludf.DUMMYFUNCTION("""COMPUTED_VALUE"""),3.0)</f>
        <v>3</v>
      </c>
      <c r="K69" s="213" t="str">
        <f>IFERROR(__xludf.DUMMYFUNCTION("""COMPUTED_VALUE"""),"90 DÍAS CALENDARIO")</f>
        <v>90 DÍAS CALENDARIO</v>
      </c>
      <c r="L69" s="213" t="str">
        <f>IFERROR(__xludf.DUMMYFUNCTION("""COMPUTED_VALUE"""),"")</f>
        <v/>
      </c>
      <c r="M69" s="213">
        <f>IFERROR(__xludf.DUMMYFUNCTION("""COMPUTED_VALUE"""),1.0)</f>
        <v>1</v>
      </c>
      <c r="N69" s="213">
        <f>IFERROR(__xludf.DUMMYFUNCTION("""COMPUTED_VALUE"""),1.0)</f>
        <v>1</v>
      </c>
      <c r="O69" s="213">
        <f>IFERROR(__xludf.DUMMYFUNCTION("""COMPUTED_VALUE"""),1.0)</f>
        <v>1</v>
      </c>
      <c r="P69" s="213"/>
      <c r="Q69" s="213"/>
      <c r="R69" s="213"/>
      <c r="S69" s="213"/>
      <c r="T69" s="213"/>
      <c r="U69" s="213"/>
      <c r="V69" s="213"/>
      <c r="W69" s="213"/>
      <c r="X69" s="213"/>
      <c r="Y69" s="213"/>
      <c r="Z69" s="213"/>
      <c r="AA69" s="213"/>
      <c r="AB69" s="213"/>
      <c r="AC69" s="213"/>
      <c r="AD69" s="213"/>
      <c r="AE69" s="213"/>
      <c r="AF69" s="213"/>
      <c r="AG69" s="213"/>
      <c r="AH69" s="213"/>
      <c r="AI69" s="213"/>
      <c r="AJ69" s="213"/>
      <c r="AK69" s="213"/>
      <c r="AL69" s="213"/>
      <c r="AM69" s="213"/>
      <c r="AN69" s="213"/>
      <c r="AO69" s="213"/>
      <c r="AP69" s="213"/>
      <c r="AQ69" s="213"/>
      <c r="AR69" s="213"/>
      <c r="AS69" s="213"/>
      <c r="AT69" s="213"/>
      <c r="AU69" s="213"/>
      <c r="AV69" s="213"/>
      <c r="AW69" s="213"/>
      <c r="AX69" s="213"/>
      <c r="AY69" s="213"/>
      <c r="AZ69" s="213"/>
      <c r="BA69" s="213"/>
      <c r="BB69" s="213"/>
      <c r="BC69" s="213"/>
      <c r="BD69" s="213"/>
    </row>
    <row r="70">
      <c r="A70" s="213">
        <f>IFERROR(__xludf.DUMMYFUNCTION("""COMPUTED_VALUE"""),169.0)</f>
        <v>169</v>
      </c>
      <c r="B70" s="213" t="str">
        <f>IFERROR(__xludf.DUMMYFUNCTION("""COMPUTED_VALUE"""),"2026 SIMON BOLIVAR")</f>
        <v>2026 SIMON BOLIVAR</v>
      </c>
      <c r="C70" s="213" t="str">
        <f>IFERROR(__xludf.DUMMYFUNCTION("""COMPUTED_VALUE"""),"TALLER SFT DE INDUSTRIA DEL VESTIDO")</f>
        <v>TALLER SFT DE INDUSTRIA DEL VESTIDO</v>
      </c>
      <c r="D70" s="213" t="str">
        <f>IFERROR(__xludf.DUMMYFUNCTION("""COMPUTED_VALUE"""),"MOBILIARIO")</f>
        <v>MOBILIARIO</v>
      </c>
      <c r="E70" s="213" t="str">
        <f>IFERROR(__xludf.DUMMYFUNCTION("""COMPUTED_VALUE"""),"MOB-105")</f>
        <v>MOB-105</v>
      </c>
      <c r="F70" s="213" t="str">
        <f>IFERROR(__xludf.DUMMYFUNCTION("""COMPUTED_VALUE"""),"MOB-105-Y")</f>
        <v>MOB-105-Y</v>
      </c>
      <c r="G70" s="213"/>
      <c r="H70" s="213" t="str">
        <f>IFERROR(__xludf.DUMMYFUNCTION("""COMPUTED_VALUE"""),"ARMARIO DE METAL (1.00 X 0.40 X 1.80M.)")</f>
        <v>ARMARIO DE METAL (1.00 X 0.40 X 1.80M.)</v>
      </c>
      <c r="I70"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0" s="213">
        <f>IFERROR(__xludf.DUMMYFUNCTION("""COMPUTED_VALUE"""),3.0)</f>
        <v>3</v>
      </c>
      <c r="K70" s="213" t="str">
        <f>IFERROR(__xludf.DUMMYFUNCTION("""COMPUTED_VALUE"""),"90 DÍAS CALENDARIO")</f>
        <v>90 DÍAS CALENDARIO</v>
      </c>
      <c r="L70" s="213" t="str">
        <f>IFERROR(__xludf.DUMMYFUNCTION("""COMPUTED_VALUE"""),"")</f>
        <v/>
      </c>
      <c r="M70" s="213">
        <f>IFERROR(__xludf.DUMMYFUNCTION("""COMPUTED_VALUE"""),1.0)</f>
        <v>1</v>
      </c>
      <c r="N70" s="213">
        <f>IFERROR(__xludf.DUMMYFUNCTION("""COMPUTED_VALUE"""),1.0)</f>
        <v>1</v>
      </c>
      <c r="O70" s="213">
        <f>IFERROR(__xludf.DUMMYFUNCTION("""COMPUTED_VALUE"""),1.0)</f>
        <v>1</v>
      </c>
      <c r="P70" s="213"/>
      <c r="Q70" s="213"/>
      <c r="R70" s="213"/>
      <c r="S70" s="213"/>
      <c r="T70" s="213"/>
      <c r="U70" s="213"/>
      <c r="V70" s="213"/>
      <c r="W70" s="213"/>
      <c r="X70" s="213"/>
      <c r="Y70" s="213"/>
      <c r="Z70" s="213"/>
      <c r="AA70" s="213"/>
      <c r="AB70" s="213"/>
      <c r="AC70" s="213"/>
      <c r="AD70" s="213"/>
      <c r="AE70" s="213"/>
      <c r="AF70" s="213"/>
      <c r="AG70" s="213"/>
      <c r="AH70" s="213"/>
      <c r="AI70" s="213"/>
      <c r="AJ70" s="213"/>
      <c r="AK70" s="213"/>
      <c r="AL70" s="213"/>
      <c r="AM70" s="213"/>
      <c r="AN70" s="213"/>
      <c r="AO70" s="213"/>
      <c r="AP70" s="213"/>
      <c r="AQ70" s="213"/>
      <c r="AR70" s="213"/>
      <c r="AS70" s="213"/>
      <c r="AT70" s="213"/>
      <c r="AU70" s="213"/>
      <c r="AV70" s="213"/>
      <c r="AW70" s="213"/>
      <c r="AX70" s="213"/>
      <c r="AY70" s="213"/>
      <c r="AZ70" s="213"/>
      <c r="BA70" s="213"/>
      <c r="BB70" s="213"/>
      <c r="BC70" s="213"/>
      <c r="BD70" s="213"/>
    </row>
    <row r="71">
      <c r="A71" s="213">
        <f>IFERROR(__xludf.DUMMYFUNCTION("""COMPUTED_VALUE"""),170.0)</f>
        <v>170</v>
      </c>
      <c r="B71" s="213" t="str">
        <f>IFERROR(__xludf.DUMMYFUNCTION("""COMPUTED_VALUE"""),"2026 SIMON BOLIVAR")</f>
        <v>2026 SIMON BOLIVAR</v>
      </c>
      <c r="C71" s="213" t="str">
        <f>IFERROR(__xludf.DUMMYFUNCTION("""COMPUTED_VALUE"""),"TALLER SFT DE INDUSTRIA DEL VESTIDO")</f>
        <v>TALLER SFT DE INDUSTRIA DEL VESTIDO</v>
      </c>
      <c r="D71" s="213" t="str">
        <f>IFERROR(__xludf.DUMMYFUNCTION("""COMPUTED_VALUE"""),"MOBILIARIO")</f>
        <v>MOBILIARIO</v>
      </c>
      <c r="E71" s="213" t="str">
        <f>IFERROR(__xludf.DUMMYFUNCTION("""COMPUTED_VALUE"""),"MOB-105")</f>
        <v>MOB-105</v>
      </c>
      <c r="F71" s="213" t="str">
        <f>IFERROR(__xludf.DUMMYFUNCTION("""COMPUTED_VALUE"""),"MOB-105-Y")</f>
        <v>MOB-105-Y</v>
      </c>
      <c r="G71" s="213"/>
      <c r="H71" s="213" t="str">
        <f>IFERROR(__xludf.DUMMYFUNCTION("""COMPUTED_VALUE"""),"ARMARIO DE METAL (1.00 X 0.40 X 1.80M.)")</f>
        <v>ARMARIO DE METAL (1.00 X 0.40 X 1.80M.)</v>
      </c>
      <c r="I71"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1" s="213">
        <f>IFERROR(__xludf.DUMMYFUNCTION("""COMPUTED_VALUE"""),3.0)</f>
        <v>3</v>
      </c>
      <c r="K71" s="213" t="str">
        <f>IFERROR(__xludf.DUMMYFUNCTION("""COMPUTED_VALUE"""),"90 DÍAS CALENDARIO")</f>
        <v>90 DÍAS CALENDARIO</v>
      </c>
      <c r="L71" s="213" t="str">
        <f>IFERROR(__xludf.DUMMYFUNCTION("""COMPUTED_VALUE"""),"")</f>
        <v/>
      </c>
      <c r="M71" s="213">
        <f>IFERROR(__xludf.DUMMYFUNCTION("""COMPUTED_VALUE"""),1.0)</f>
        <v>1</v>
      </c>
      <c r="N71" s="213">
        <f>IFERROR(__xludf.DUMMYFUNCTION("""COMPUTED_VALUE"""),1.0)</f>
        <v>1</v>
      </c>
      <c r="O71" s="213">
        <f>IFERROR(__xludf.DUMMYFUNCTION("""COMPUTED_VALUE"""),1.0)</f>
        <v>1</v>
      </c>
      <c r="P71" s="213"/>
      <c r="Q71" s="213"/>
      <c r="R71" s="213"/>
      <c r="S71" s="213"/>
      <c r="T71" s="213"/>
      <c r="U71" s="213"/>
      <c r="V71" s="213"/>
      <c r="W71" s="213"/>
      <c r="X71" s="213"/>
      <c r="Y71" s="213"/>
      <c r="Z71" s="213"/>
      <c r="AA71" s="213"/>
      <c r="AB71" s="213"/>
      <c r="AC71" s="213"/>
      <c r="AD71" s="213"/>
      <c r="AE71" s="213"/>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row>
    <row r="72">
      <c r="A72" s="213">
        <f>IFERROR(__xludf.DUMMYFUNCTION("""COMPUTED_VALUE"""),247.0)</f>
        <v>247</v>
      </c>
      <c r="B72" s="213" t="str">
        <f>IFERROR(__xludf.DUMMYFUNCTION("""COMPUTED_VALUE"""),"2026 SIMON BOLIVAR")</f>
        <v>2026 SIMON BOLIVAR</v>
      </c>
      <c r="C72" s="213" t="str">
        <f>IFERROR(__xludf.DUMMYFUNCTION("""COMPUTED_VALUE"""),"TALLER SFT DE COMPUTACIÓN E INFORMÁTICA")</f>
        <v>TALLER SFT DE COMPUTACIÓN E INFORMÁTICA</v>
      </c>
      <c r="D72" s="213" t="str">
        <f>IFERROR(__xludf.DUMMYFUNCTION("""COMPUTED_VALUE"""),"MOBILIARIO")</f>
        <v>MOBILIARIO</v>
      </c>
      <c r="E72" s="213" t="str">
        <f>IFERROR(__xludf.DUMMYFUNCTION("""COMPUTED_VALUE"""),"MOB-105")</f>
        <v>MOB-105</v>
      </c>
      <c r="F72" s="213" t="str">
        <f>IFERROR(__xludf.DUMMYFUNCTION("""COMPUTED_VALUE"""),"MOB-105-Y")</f>
        <v>MOB-105-Y</v>
      </c>
      <c r="G72" s="213"/>
      <c r="H72" s="213" t="str">
        <f>IFERROR(__xludf.DUMMYFUNCTION("""COMPUTED_VALUE"""),"ARMARIO DE METAL (1.00 X 0.40 X 1.80M.)")</f>
        <v>ARMARIO DE METAL (1.00 X 0.40 X 1.80M.)</v>
      </c>
      <c r="I72"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2" s="213">
        <f>IFERROR(__xludf.DUMMYFUNCTION("""COMPUTED_VALUE"""),3.0)</f>
        <v>3</v>
      </c>
      <c r="K72" s="213" t="str">
        <f>IFERROR(__xludf.DUMMYFUNCTION("""COMPUTED_VALUE"""),"90 DÍAS CALENDARIO")</f>
        <v>90 DÍAS CALENDARIO</v>
      </c>
      <c r="L72" s="213" t="str">
        <f>IFERROR(__xludf.DUMMYFUNCTION("""COMPUTED_VALUE"""),"")</f>
        <v/>
      </c>
      <c r="M72" s="213">
        <f>IFERROR(__xludf.DUMMYFUNCTION("""COMPUTED_VALUE"""),1.0)</f>
        <v>1</v>
      </c>
      <c r="N72" s="213">
        <f>IFERROR(__xludf.DUMMYFUNCTION("""COMPUTED_VALUE"""),1.0)</f>
        <v>1</v>
      </c>
      <c r="O72" s="213">
        <f>IFERROR(__xludf.DUMMYFUNCTION("""COMPUTED_VALUE"""),1.0)</f>
        <v>1</v>
      </c>
      <c r="P72" s="213"/>
      <c r="Q72" s="213"/>
      <c r="R72" s="213"/>
      <c r="S72" s="213"/>
      <c r="T72" s="213"/>
      <c r="U72" s="213"/>
      <c r="V72" s="213"/>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row>
    <row r="73">
      <c r="A73" s="213">
        <f>IFERROR(__xludf.DUMMYFUNCTION("""COMPUTED_VALUE"""),257.0)</f>
        <v>257</v>
      </c>
      <c r="B73" s="213" t="str">
        <f>IFERROR(__xludf.DUMMYFUNCTION("""COMPUTED_VALUE"""),"2026 SIMON BOLIVAR")</f>
        <v>2026 SIMON BOLIVAR</v>
      </c>
      <c r="C73" s="213" t="str">
        <f>IFERROR(__xludf.DUMMYFUNCTION("""COMPUTED_VALUE"""),"TALLER SFT DE COMPUTACIÓN E INFORMÁTICA")</f>
        <v>TALLER SFT DE COMPUTACIÓN E INFORMÁTICA</v>
      </c>
      <c r="D73" s="213" t="str">
        <f>IFERROR(__xludf.DUMMYFUNCTION("""COMPUTED_VALUE"""),"MOBILIARIO")</f>
        <v>MOBILIARIO</v>
      </c>
      <c r="E73" s="213" t="str">
        <f>IFERROR(__xludf.DUMMYFUNCTION("""COMPUTED_VALUE"""),"MOB-105")</f>
        <v>MOB-105</v>
      </c>
      <c r="F73" s="213" t="str">
        <f>IFERROR(__xludf.DUMMYFUNCTION("""COMPUTED_VALUE"""),"MOB-105-Y")</f>
        <v>MOB-105-Y</v>
      </c>
      <c r="G73" s="213"/>
      <c r="H73" s="213" t="str">
        <f>IFERROR(__xludf.DUMMYFUNCTION("""COMPUTED_VALUE"""),"ARMARIO DE METAL (1.00 X 0.40 X 1.80M.)")</f>
        <v>ARMARIO DE METAL (1.00 X 0.40 X 1.80M.)</v>
      </c>
      <c r="I73"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3" s="213">
        <f>IFERROR(__xludf.DUMMYFUNCTION("""COMPUTED_VALUE"""),3.0)</f>
        <v>3</v>
      </c>
      <c r="K73" s="213" t="str">
        <f>IFERROR(__xludf.DUMMYFUNCTION("""COMPUTED_VALUE"""),"90 DÍAS CALENDARIO")</f>
        <v>90 DÍAS CALENDARIO</v>
      </c>
      <c r="L73" s="213" t="str">
        <f>IFERROR(__xludf.DUMMYFUNCTION("""COMPUTED_VALUE"""),"")</f>
        <v/>
      </c>
      <c r="M73" s="213">
        <f>IFERROR(__xludf.DUMMYFUNCTION("""COMPUTED_VALUE"""),1.0)</f>
        <v>1</v>
      </c>
      <c r="N73" s="213">
        <f>IFERROR(__xludf.DUMMYFUNCTION("""COMPUTED_VALUE"""),1.0)</f>
        <v>1</v>
      </c>
      <c r="O73" s="213">
        <f>IFERROR(__xludf.DUMMYFUNCTION("""COMPUTED_VALUE"""),1.0)</f>
        <v>1</v>
      </c>
      <c r="P73" s="213"/>
      <c r="Q73" s="213"/>
      <c r="R73" s="213"/>
      <c r="S73" s="213"/>
      <c r="T73" s="213"/>
      <c r="U73" s="213"/>
      <c r="V73" s="213"/>
      <c r="W73" s="213"/>
      <c r="X73" s="213"/>
      <c r="Y73" s="213"/>
      <c r="Z73" s="213"/>
      <c r="AA73" s="213"/>
      <c r="AB73" s="213"/>
      <c r="AC73" s="213"/>
      <c r="AD73" s="213"/>
      <c r="AE73" s="213"/>
      <c r="AF73" s="213"/>
      <c r="AG73" s="213"/>
      <c r="AH73" s="213"/>
      <c r="AI73" s="213"/>
      <c r="AJ73" s="213"/>
      <c r="AK73" s="213"/>
      <c r="AL73" s="213"/>
      <c r="AM73" s="213"/>
      <c r="AN73" s="213"/>
      <c r="AO73" s="213"/>
      <c r="AP73" s="213"/>
      <c r="AQ73" s="213"/>
      <c r="AR73" s="213"/>
      <c r="AS73" s="213"/>
      <c r="AT73" s="213"/>
      <c r="AU73" s="213"/>
      <c r="AV73" s="213"/>
      <c r="AW73" s="213"/>
      <c r="AX73" s="213"/>
      <c r="AY73" s="213"/>
      <c r="AZ73" s="213"/>
      <c r="BA73" s="213"/>
      <c r="BB73" s="213"/>
      <c r="BC73" s="213"/>
      <c r="BD73" s="213"/>
    </row>
    <row r="74">
      <c r="A74" s="213">
        <f>IFERROR(__xludf.DUMMYFUNCTION("""COMPUTED_VALUE"""),263.0)</f>
        <v>263</v>
      </c>
      <c r="B74" s="213" t="str">
        <f>IFERROR(__xludf.DUMMYFUNCTION("""COMPUTED_VALUE"""),"2026 SIMON BOLIVAR")</f>
        <v>2026 SIMON BOLIVAR</v>
      </c>
      <c r="C74" s="213" t="str">
        <f>IFERROR(__xludf.DUMMYFUNCTION("""COMPUTED_VALUE"""),"TALLER SFT DE COMPUTACIÓN E INFORMÁTICA")</f>
        <v>TALLER SFT DE COMPUTACIÓN E INFORMÁTICA</v>
      </c>
      <c r="D74" s="213" t="str">
        <f>IFERROR(__xludf.DUMMYFUNCTION("""COMPUTED_VALUE"""),"MOBILIARIO")</f>
        <v>MOBILIARIO</v>
      </c>
      <c r="E74" s="213" t="str">
        <f>IFERROR(__xludf.DUMMYFUNCTION("""COMPUTED_VALUE"""),"MOB-105")</f>
        <v>MOB-105</v>
      </c>
      <c r="F74" s="213" t="str">
        <f>IFERROR(__xludf.DUMMYFUNCTION("""COMPUTED_VALUE"""),"MOB-105-Y")</f>
        <v>MOB-105-Y</v>
      </c>
      <c r="G74" s="213"/>
      <c r="H74" s="213" t="str">
        <f>IFERROR(__xludf.DUMMYFUNCTION("""COMPUTED_VALUE"""),"ARMARIO DE METAL (1.00 X 0.40 X 1.80M.)")</f>
        <v>ARMARIO DE METAL (1.00 X 0.40 X 1.80M.)</v>
      </c>
      <c r="I74"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4" s="213">
        <f>IFERROR(__xludf.DUMMYFUNCTION("""COMPUTED_VALUE"""),3.0)</f>
        <v>3</v>
      </c>
      <c r="K74" s="213" t="str">
        <f>IFERROR(__xludf.DUMMYFUNCTION("""COMPUTED_VALUE"""),"90 DÍAS CALENDARIO")</f>
        <v>90 DÍAS CALENDARIO</v>
      </c>
      <c r="L74" s="213" t="str">
        <f>IFERROR(__xludf.DUMMYFUNCTION("""COMPUTED_VALUE"""),"")</f>
        <v/>
      </c>
      <c r="M74" s="213">
        <f>IFERROR(__xludf.DUMMYFUNCTION("""COMPUTED_VALUE"""),1.0)</f>
        <v>1</v>
      </c>
      <c r="N74" s="213">
        <f>IFERROR(__xludf.DUMMYFUNCTION("""COMPUTED_VALUE"""),1.0)</f>
        <v>1</v>
      </c>
      <c r="O74" s="213">
        <f>IFERROR(__xludf.DUMMYFUNCTION("""COMPUTED_VALUE"""),1.0)</f>
        <v>1</v>
      </c>
      <c r="P74" s="213"/>
      <c r="Q74" s="213"/>
      <c r="R74" s="213"/>
      <c r="S74" s="213"/>
      <c r="T74" s="213"/>
      <c r="U74" s="213"/>
      <c r="V74" s="213"/>
      <c r="W74" s="213"/>
      <c r="X74" s="213"/>
      <c r="Y74" s="213"/>
      <c r="Z74" s="213"/>
      <c r="AA74" s="213"/>
      <c r="AB74" s="213"/>
      <c r="AC74" s="213"/>
      <c r="AD74" s="213"/>
      <c r="AE74" s="213"/>
      <c r="AF74" s="213"/>
      <c r="AG74" s="213"/>
      <c r="AH74" s="213"/>
      <c r="AI74" s="213"/>
      <c r="AJ74" s="213"/>
      <c r="AK74" s="213"/>
      <c r="AL74" s="213"/>
      <c r="AM74" s="213"/>
      <c r="AN74" s="213"/>
      <c r="AO74" s="213"/>
      <c r="AP74" s="213"/>
      <c r="AQ74" s="213"/>
      <c r="AR74" s="213"/>
      <c r="AS74" s="213"/>
      <c r="AT74" s="213"/>
      <c r="AU74" s="213"/>
      <c r="AV74" s="213"/>
      <c r="AW74" s="213"/>
      <c r="AX74" s="213"/>
      <c r="AY74" s="213"/>
      <c r="AZ74" s="213"/>
      <c r="BA74" s="213"/>
      <c r="BB74" s="213"/>
      <c r="BC74" s="213"/>
      <c r="BD74" s="213"/>
    </row>
    <row r="75">
      <c r="A75" s="213">
        <f>IFERROR(__xludf.DUMMYFUNCTION("""COMPUTED_VALUE"""),339.0)</f>
        <v>339</v>
      </c>
      <c r="B75" s="213" t="str">
        <f>IFERROR(__xludf.DUMMYFUNCTION("""COMPUTED_VALUE"""),"2026 SIMON BOLIVAR")</f>
        <v>2026 SIMON BOLIVAR</v>
      </c>
      <c r="C75" s="213" t="str">
        <f>IFERROR(__xludf.DUMMYFUNCTION("""COMPUTED_VALUE"""),"TALLER SFT DE ELECTRICIDAD")</f>
        <v>TALLER SFT DE ELECTRICIDAD</v>
      </c>
      <c r="D75" s="213" t="str">
        <f>IFERROR(__xludf.DUMMYFUNCTION("""COMPUTED_VALUE"""),"MOBILIARIO")</f>
        <v>MOBILIARIO</v>
      </c>
      <c r="E75" s="213" t="str">
        <f>IFERROR(__xludf.DUMMYFUNCTION("""COMPUTED_VALUE"""),"MOB-105")</f>
        <v>MOB-105</v>
      </c>
      <c r="F75" s="213" t="str">
        <f>IFERROR(__xludf.DUMMYFUNCTION("""COMPUTED_VALUE"""),"MOB-105-Y")</f>
        <v>MOB-105-Y</v>
      </c>
      <c r="G75" s="213"/>
      <c r="H75" s="213" t="str">
        <f>IFERROR(__xludf.DUMMYFUNCTION("""COMPUTED_VALUE"""),"ARMARIO DE METAL (1.00 X 0.40 X 1.80M.)")</f>
        <v>ARMARIO DE METAL (1.00 X 0.40 X 1.80M.)</v>
      </c>
      <c r="I75"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5" s="213">
        <f>IFERROR(__xludf.DUMMYFUNCTION("""COMPUTED_VALUE"""),3.0)</f>
        <v>3</v>
      </c>
      <c r="K75" s="213" t="str">
        <f>IFERROR(__xludf.DUMMYFUNCTION("""COMPUTED_VALUE"""),"90 DÍAS CALENDARIO")</f>
        <v>90 DÍAS CALENDARIO</v>
      </c>
      <c r="L75" s="213" t="str">
        <f>IFERROR(__xludf.DUMMYFUNCTION("""COMPUTED_VALUE"""),"")</f>
        <v/>
      </c>
      <c r="M75" s="213">
        <f>IFERROR(__xludf.DUMMYFUNCTION("""COMPUTED_VALUE"""),1.0)</f>
        <v>1</v>
      </c>
      <c r="N75" s="213">
        <f>IFERROR(__xludf.DUMMYFUNCTION("""COMPUTED_VALUE"""),1.0)</f>
        <v>1</v>
      </c>
      <c r="O75" s="213">
        <f>IFERROR(__xludf.DUMMYFUNCTION("""COMPUTED_VALUE"""),1.0)</f>
        <v>1</v>
      </c>
      <c r="P75" s="213"/>
      <c r="Q75" s="213"/>
      <c r="R75" s="213"/>
      <c r="S75" s="213"/>
      <c r="T75" s="213"/>
      <c r="U75" s="213"/>
      <c r="V75" s="213"/>
      <c r="W75" s="213"/>
      <c r="X75" s="213"/>
      <c r="Y75" s="213"/>
      <c r="Z75" s="213"/>
      <c r="AA75" s="213"/>
      <c r="AB75" s="213"/>
      <c r="AC75" s="213"/>
      <c r="AD75" s="213"/>
      <c r="AE75" s="213"/>
      <c r="AF75" s="213"/>
      <c r="AG75" s="213"/>
      <c r="AH75" s="213"/>
      <c r="AI75" s="213"/>
      <c r="AJ75" s="213"/>
      <c r="AK75" s="213"/>
      <c r="AL75" s="213"/>
      <c r="AM75" s="213"/>
      <c r="AN75" s="213"/>
      <c r="AO75" s="213"/>
      <c r="AP75" s="213"/>
      <c r="AQ75" s="213"/>
      <c r="AR75" s="213"/>
      <c r="AS75" s="213"/>
      <c r="AT75" s="213"/>
      <c r="AU75" s="213"/>
      <c r="AV75" s="213"/>
      <c r="AW75" s="213"/>
      <c r="AX75" s="213"/>
      <c r="AY75" s="213"/>
      <c r="AZ75" s="213"/>
      <c r="BA75" s="213"/>
      <c r="BB75" s="213"/>
      <c r="BC75" s="213"/>
      <c r="BD75" s="213"/>
    </row>
    <row r="76">
      <c r="A76" s="213">
        <f>IFERROR(__xludf.DUMMYFUNCTION("""COMPUTED_VALUE"""),347.0)</f>
        <v>347</v>
      </c>
      <c r="B76" s="213" t="str">
        <f>IFERROR(__xludf.DUMMYFUNCTION("""COMPUTED_VALUE"""),"2026 SIMON BOLIVAR")</f>
        <v>2026 SIMON BOLIVAR</v>
      </c>
      <c r="C76" s="213" t="str">
        <f>IFERROR(__xludf.DUMMYFUNCTION("""COMPUTED_VALUE"""),"TALLER SFT DE ELECTRICIDAD")</f>
        <v>TALLER SFT DE ELECTRICIDAD</v>
      </c>
      <c r="D76" s="213" t="str">
        <f>IFERROR(__xludf.DUMMYFUNCTION("""COMPUTED_VALUE"""),"MOBILIARIO")</f>
        <v>MOBILIARIO</v>
      </c>
      <c r="E76" s="213" t="str">
        <f>IFERROR(__xludf.DUMMYFUNCTION("""COMPUTED_VALUE"""),"MOB-105")</f>
        <v>MOB-105</v>
      </c>
      <c r="F76" s="213" t="str">
        <f>IFERROR(__xludf.DUMMYFUNCTION("""COMPUTED_VALUE"""),"MOB-105-Y")</f>
        <v>MOB-105-Y</v>
      </c>
      <c r="G76" s="213"/>
      <c r="H76" s="213" t="str">
        <f>IFERROR(__xludf.DUMMYFUNCTION("""COMPUTED_VALUE"""),"ARMARIO DE METAL (1.00 X 0.40 X 1.80M.)")</f>
        <v>ARMARIO DE METAL (1.00 X 0.40 X 1.80M.)</v>
      </c>
      <c r="I76"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6" s="213">
        <f>IFERROR(__xludf.DUMMYFUNCTION("""COMPUTED_VALUE"""),3.0)</f>
        <v>3</v>
      </c>
      <c r="K76" s="213" t="str">
        <f>IFERROR(__xludf.DUMMYFUNCTION("""COMPUTED_VALUE"""),"90 DÍAS CALENDARIO")</f>
        <v>90 DÍAS CALENDARIO</v>
      </c>
      <c r="L76" s="213" t="str">
        <f>IFERROR(__xludf.DUMMYFUNCTION("""COMPUTED_VALUE"""),"")</f>
        <v/>
      </c>
      <c r="M76" s="213">
        <f>IFERROR(__xludf.DUMMYFUNCTION("""COMPUTED_VALUE"""),1.0)</f>
        <v>1</v>
      </c>
      <c r="N76" s="213">
        <f>IFERROR(__xludf.DUMMYFUNCTION("""COMPUTED_VALUE"""),2.0)</f>
        <v>2</v>
      </c>
      <c r="O76" s="213">
        <f>IFERROR(__xludf.DUMMYFUNCTION("""COMPUTED_VALUE"""),2.0)</f>
        <v>2</v>
      </c>
      <c r="P76" s="213"/>
      <c r="Q76" s="213"/>
      <c r="R76" s="213"/>
      <c r="S76" s="213"/>
      <c r="T76" s="213"/>
      <c r="U76" s="213"/>
      <c r="V76" s="213"/>
      <c r="W76" s="213"/>
      <c r="X76" s="213"/>
      <c r="Y76" s="213"/>
      <c r="Z76" s="213"/>
      <c r="AA76" s="213"/>
      <c r="AB76" s="213"/>
      <c r="AC76" s="213"/>
      <c r="AD76" s="213"/>
      <c r="AE76" s="213"/>
      <c r="AF76" s="213"/>
      <c r="AG76" s="213"/>
      <c r="AH76" s="213"/>
      <c r="AI76" s="213"/>
      <c r="AJ76" s="213"/>
      <c r="AK76" s="213"/>
      <c r="AL76" s="213"/>
      <c r="AM76" s="213"/>
      <c r="AN76" s="213"/>
      <c r="AO76" s="213"/>
      <c r="AP76" s="213"/>
      <c r="AQ76" s="213"/>
      <c r="AR76" s="213"/>
      <c r="AS76" s="213"/>
      <c r="AT76" s="213"/>
      <c r="AU76" s="213"/>
      <c r="AV76" s="213"/>
      <c r="AW76" s="213"/>
      <c r="AX76" s="213"/>
      <c r="AY76" s="213"/>
      <c r="AZ76" s="213"/>
      <c r="BA76" s="213"/>
      <c r="BB76" s="213"/>
      <c r="BC76" s="213"/>
      <c r="BD76" s="213"/>
    </row>
    <row r="77">
      <c r="A77" s="213">
        <f>IFERROR(__xludf.DUMMYFUNCTION("""COMPUTED_VALUE"""),424.0)</f>
        <v>424</v>
      </c>
      <c r="B77" s="213" t="str">
        <f>IFERROR(__xludf.DUMMYFUNCTION("""COMPUTED_VALUE"""),"2026 SIMON BOLIVAR")</f>
        <v>2026 SIMON BOLIVAR</v>
      </c>
      <c r="C77" s="213" t="str">
        <f>IFERROR(__xludf.DUMMYFUNCTION("""COMPUTED_VALUE"""),"TALLER SFT DE INDUSTRIA ALIMENTARIA")</f>
        <v>TALLER SFT DE INDUSTRIA ALIMENTARIA</v>
      </c>
      <c r="D77" s="213" t="str">
        <f>IFERROR(__xludf.DUMMYFUNCTION("""COMPUTED_VALUE"""),"MOBILIARIO")</f>
        <v>MOBILIARIO</v>
      </c>
      <c r="E77" s="213" t="str">
        <f>IFERROR(__xludf.DUMMYFUNCTION("""COMPUTED_VALUE"""),"MOB-105")</f>
        <v>MOB-105</v>
      </c>
      <c r="F77" s="213" t="str">
        <f>IFERROR(__xludf.DUMMYFUNCTION("""COMPUTED_VALUE"""),"MOB-105-Y")</f>
        <v>MOB-105-Y</v>
      </c>
      <c r="G77" s="213"/>
      <c r="H77" s="213" t="str">
        <f>IFERROR(__xludf.DUMMYFUNCTION("""COMPUTED_VALUE"""),"ARMARIO DE METAL (1.00 X 0.40 X 1.80M.)")</f>
        <v>ARMARIO DE METAL (1.00 X 0.40 X 1.80M.)</v>
      </c>
      <c r="I77"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7" s="213">
        <f>IFERROR(__xludf.DUMMYFUNCTION("""COMPUTED_VALUE"""),3.0)</f>
        <v>3</v>
      </c>
      <c r="K77" s="213" t="str">
        <f>IFERROR(__xludf.DUMMYFUNCTION("""COMPUTED_VALUE"""),"90 DÍAS CALENDARIO")</f>
        <v>90 DÍAS CALENDARIO</v>
      </c>
      <c r="L77" s="213" t="str">
        <f>IFERROR(__xludf.DUMMYFUNCTION("""COMPUTED_VALUE"""),"")</f>
        <v/>
      </c>
      <c r="M77" s="213">
        <f>IFERROR(__xludf.DUMMYFUNCTION("""COMPUTED_VALUE"""),1.0)</f>
        <v>1</v>
      </c>
      <c r="N77" s="213">
        <f>IFERROR(__xludf.DUMMYFUNCTION("""COMPUTED_VALUE"""),1.0)</f>
        <v>1</v>
      </c>
      <c r="O77" s="213">
        <f>IFERROR(__xludf.DUMMYFUNCTION("""COMPUTED_VALUE"""),1.0)</f>
        <v>1</v>
      </c>
      <c r="P77" s="213"/>
      <c r="Q77" s="213"/>
      <c r="R77" s="213"/>
      <c r="S77" s="213"/>
      <c r="T77" s="213"/>
      <c r="U77" s="213"/>
      <c r="V77" s="213"/>
      <c r="W77" s="213"/>
      <c r="X77" s="213"/>
      <c r="Y77" s="213"/>
      <c r="Z77" s="213"/>
      <c r="AA77" s="213"/>
      <c r="AB77" s="213"/>
      <c r="AC77" s="213"/>
      <c r="AD77" s="213"/>
      <c r="AE77" s="213"/>
      <c r="AF77" s="213"/>
      <c r="AG77" s="213"/>
      <c r="AH77" s="213"/>
      <c r="AI77" s="213"/>
      <c r="AJ77" s="213"/>
      <c r="AK77" s="213"/>
      <c r="AL77" s="213"/>
      <c r="AM77" s="213"/>
      <c r="AN77" s="213"/>
      <c r="AO77" s="213"/>
      <c r="AP77" s="213"/>
      <c r="AQ77" s="213"/>
      <c r="AR77" s="213"/>
      <c r="AS77" s="213"/>
      <c r="AT77" s="213"/>
      <c r="AU77" s="213"/>
      <c r="AV77" s="213"/>
      <c r="AW77" s="213"/>
      <c r="AX77" s="213"/>
      <c r="AY77" s="213"/>
      <c r="AZ77" s="213"/>
      <c r="BA77" s="213"/>
      <c r="BB77" s="213"/>
      <c r="BC77" s="213"/>
      <c r="BD77" s="213"/>
    </row>
    <row r="78">
      <c r="A78" s="213">
        <f>IFERROR(__xludf.DUMMYFUNCTION("""COMPUTED_VALUE"""),456.0)</f>
        <v>456</v>
      </c>
      <c r="B78" s="213" t="str">
        <f>IFERROR(__xludf.DUMMYFUNCTION("""COMPUTED_VALUE"""),"2026 SIMON BOLIVAR")</f>
        <v>2026 SIMON BOLIVAR</v>
      </c>
      <c r="C78" s="213" t="str">
        <f>IFERROR(__xludf.DUMMYFUNCTION("""COMPUTED_VALUE"""),"TALLER SFT DE INDUSTRIA ALIMENTARIA")</f>
        <v>TALLER SFT DE INDUSTRIA ALIMENTARIA</v>
      </c>
      <c r="D78" s="213" t="str">
        <f>IFERROR(__xludf.DUMMYFUNCTION("""COMPUTED_VALUE"""),"MOBILIARIO")</f>
        <v>MOBILIARIO</v>
      </c>
      <c r="E78" s="213" t="str">
        <f>IFERROR(__xludf.DUMMYFUNCTION("""COMPUTED_VALUE"""),"MOB-105")</f>
        <v>MOB-105</v>
      </c>
      <c r="F78" s="213" t="str">
        <f>IFERROR(__xludf.DUMMYFUNCTION("""COMPUTED_VALUE"""),"MOB-105-Y")</f>
        <v>MOB-105-Y</v>
      </c>
      <c r="G78" s="213"/>
      <c r="H78" s="213" t="str">
        <f>IFERROR(__xludf.DUMMYFUNCTION("""COMPUTED_VALUE"""),"ARMARIO DE METAL (1.00 X 0.40 X 1.80M.)")</f>
        <v>ARMARIO DE METAL (1.00 X 0.40 X 1.80M.)</v>
      </c>
      <c r="I78"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8" s="213">
        <f>IFERROR(__xludf.DUMMYFUNCTION("""COMPUTED_VALUE"""),3.0)</f>
        <v>3</v>
      </c>
      <c r="K78" s="213" t="str">
        <f>IFERROR(__xludf.DUMMYFUNCTION("""COMPUTED_VALUE"""),"90 DÍAS CALENDARIO")</f>
        <v>90 DÍAS CALENDARIO</v>
      </c>
      <c r="L78" s="213" t="str">
        <f>IFERROR(__xludf.DUMMYFUNCTION("""COMPUTED_VALUE"""),"")</f>
        <v/>
      </c>
      <c r="M78" s="213">
        <f>IFERROR(__xludf.DUMMYFUNCTION("""COMPUTED_VALUE"""),1.0)</f>
        <v>1</v>
      </c>
      <c r="N78" s="213">
        <f>IFERROR(__xludf.DUMMYFUNCTION("""COMPUTED_VALUE"""),2.0)</f>
        <v>2</v>
      </c>
      <c r="O78" s="213">
        <f>IFERROR(__xludf.DUMMYFUNCTION("""COMPUTED_VALUE"""),2.0)</f>
        <v>2</v>
      </c>
      <c r="P78" s="213"/>
      <c r="Q78" s="213"/>
      <c r="R78" s="213"/>
      <c r="S78" s="213"/>
      <c r="T78" s="213"/>
      <c r="U78" s="213"/>
      <c r="V78" s="213"/>
      <c r="W78" s="213"/>
      <c r="X78" s="213"/>
      <c r="Y78" s="213"/>
      <c r="Z78" s="213"/>
      <c r="AA78" s="213"/>
      <c r="AB78" s="213"/>
      <c r="AC78" s="213"/>
      <c r="AD78" s="213"/>
      <c r="AE78" s="213"/>
      <c r="AF78" s="213"/>
      <c r="AG78" s="213"/>
      <c r="AH78" s="213"/>
      <c r="AI78" s="213"/>
      <c r="AJ78" s="213"/>
      <c r="AK78" s="213"/>
      <c r="AL78" s="213"/>
      <c r="AM78" s="213"/>
      <c r="AN78" s="213"/>
      <c r="AO78" s="213"/>
      <c r="AP78" s="213"/>
      <c r="AQ78" s="213"/>
      <c r="AR78" s="213"/>
      <c r="AS78" s="213"/>
      <c r="AT78" s="213"/>
      <c r="AU78" s="213"/>
      <c r="AV78" s="213"/>
      <c r="AW78" s="213"/>
      <c r="AX78" s="213"/>
      <c r="AY78" s="213"/>
      <c r="AZ78" s="213"/>
      <c r="BA78" s="213"/>
      <c r="BB78" s="213"/>
      <c r="BC78" s="213"/>
      <c r="BD78" s="213"/>
    </row>
    <row r="79">
      <c r="A79" s="213">
        <f>IFERROR(__xludf.DUMMYFUNCTION("""COMPUTED_VALUE"""),613.0)</f>
        <v>613</v>
      </c>
      <c r="B79" s="213" t="str">
        <f>IFERROR(__xludf.DUMMYFUNCTION("""COMPUTED_VALUE"""),"6049 RICARDO PALMA")</f>
        <v>6049 RICARDO PALMA</v>
      </c>
      <c r="C79" s="213" t="str">
        <f>IFERROR(__xludf.DUMMYFUNCTION("""COMPUTED_VALUE"""),"TALLER SFT DE ELECTRÓNICA")</f>
        <v>TALLER SFT DE ELECTRÓNICA</v>
      </c>
      <c r="D79" s="213" t="str">
        <f>IFERROR(__xludf.DUMMYFUNCTION("""COMPUTED_VALUE"""),"MOBILIARIO")</f>
        <v>MOBILIARIO</v>
      </c>
      <c r="E79" s="213" t="str">
        <f>IFERROR(__xludf.DUMMYFUNCTION("""COMPUTED_VALUE"""),"MOB-105")</f>
        <v>MOB-105</v>
      </c>
      <c r="F79" s="213" t="str">
        <f>IFERROR(__xludf.DUMMYFUNCTION("""COMPUTED_VALUE"""),"MOB-105-Y")</f>
        <v>MOB-105-Y</v>
      </c>
      <c r="G79" s="213"/>
      <c r="H79" s="213" t="str">
        <f>IFERROR(__xludf.DUMMYFUNCTION("""COMPUTED_VALUE"""),"ARMARIO DE METAL (1.00 X 0.40 X 1.80M.)")</f>
        <v>ARMARIO DE METAL (1.00 X 0.40 X 1.80M.)</v>
      </c>
      <c r="I79"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79" s="213">
        <f>IFERROR(__xludf.DUMMYFUNCTION("""COMPUTED_VALUE"""),3.0)</f>
        <v>3</v>
      </c>
      <c r="K79" s="213" t="str">
        <f>IFERROR(__xludf.DUMMYFUNCTION("""COMPUTED_VALUE"""),"90 DÍAS CALENDARIO")</f>
        <v>90 DÍAS CALENDARIO</v>
      </c>
      <c r="L79" s="213" t="str">
        <f>IFERROR(__xludf.DUMMYFUNCTION("""COMPUTED_VALUE"""),"")</f>
        <v/>
      </c>
      <c r="M79" s="213">
        <f>IFERROR(__xludf.DUMMYFUNCTION("""COMPUTED_VALUE"""),1.0)</f>
        <v>1</v>
      </c>
      <c r="N79" s="213">
        <f>IFERROR(__xludf.DUMMYFUNCTION("""COMPUTED_VALUE"""),1.0)</f>
        <v>1</v>
      </c>
      <c r="O79" s="213">
        <f>IFERROR(__xludf.DUMMYFUNCTION("""COMPUTED_VALUE"""),1.0)</f>
        <v>1</v>
      </c>
      <c r="P79" s="213"/>
      <c r="Q79" s="213"/>
      <c r="R79" s="213"/>
      <c r="S79" s="213"/>
      <c r="T79" s="213"/>
      <c r="U79" s="213"/>
      <c r="V79" s="213"/>
      <c r="W79" s="213"/>
      <c r="X79" s="213"/>
      <c r="Y79" s="213"/>
      <c r="Z79" s="213"/>
      <c r="AA79" s="213"/>
      <c r="AB79" s="213"/>
      <c r="AC79" s="213"/>
      <c r="AD79" s="213"/>
      <c r="AE79" s="213"/>
      <c r="AF79" s="213"/>
      <c r="AG79" s="213"/>
      <c r="AH79" s="213"/>
      <c r="AI79" s="213"/>
      <c r="AJ79" s="213"/>
      <c r="AK79" s="213"/>
      <c r="AL79" s="213"/>
      <c r="AM79" s="213"/>
      <c r="AN79" s="213"/>
      <c r="AO79" s="213"/>
      <c r="AP79" s="213"/>
      <c r="AQ79" s="213"/>
      <c r="AR79" s="213"/>
      <c r="AS79" s="213"/>
      <c r="AT79" s="213"/>
      <c r="AU79" s="213"/>
      <c r="AV79" s="213"/>
      <c r="AW79" s="213"/>
      <c r="AX79" s="213"/>
      <c r="AY79" s="213"/>
      <c r="AZ79" s="213"/>
      <c r="BA79" s="213"/>
      <c r="BB79" s="213"/>
      <c r="BC79" s="213"/>
      <c r="BD79" s="213"/>
    </row>
    <row r="80">
      <c r="A80" s="213">
        <f>IFERROR(__xludf.DUMMYFUNCTION("""COMPUTED_VALUE"""),731.0)</f>
        <v>731</v>
      </c>
      <c r="B80" s="213" t="str">
        <f>IFERROR(__xludf.DUMMYFUNCTION("""COMPUTED_VALUE"""),"6049 RICARDO PALMA")</f>
        <v>6049 RICARDO PALMA</v>
      </c>
      <c r="C80" s="213" t="str">
        <f>IFERROR(__xludf.DUMMYFUNCTION("""COMPUTED_VALUE"""),"TALLER SFT DE COMPUTACIÓN E INFORMÁTICA")</f>
        <v>TALLER SFT DE COMPUTACIÓN E INFORMÁTICA</v>
      </c>
      <c r="D80" s="213" t="str">
        <f>IFERROR(__xludf.DUMMYFUNCTION("""COMPUTED_VALUE"""),"MOBILIARIO")</f>
        <v>MOBILIARIO</v>
      </c>
      <c r="E80" s="213" t="str">
        <f>IFERROR(__xludf.DUMMYFUNCTION("""COMPUTED_VALUE"""),"MOB-105")</f>
        <v>MOB-105</v>
      </c>
      <c r="F80" s="213" t="str">
        <f>IFERROR(__xludf.DUMMYFUNCTION("""COMPUTED_VALUE"""),"MOB-105-Y")</f>
        <v>MOB-105-Y</v>
      </c>
      <c r="G80" s="213"/>
      <c r="H80" s="213" t="str">
        <f>IFERROR(__xludf.DUMMYFUNCTION("""COMPUTED_VALUE"""),"ARMARIO DE METAL (1.00 X 0.40 X 1.80M.)")</f>
        <v>ARMARIO DE METAL (1.00 X 0.40 X 1.80M.)</v>
      </c>
      <c r="I80"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0" s="213">
        <f>IFERROR(__xludf.DUMMYFUNCTION("""COMPUTED_VALUE"""),3.0)</f>
        <v>3</v>
      </c>
      <c r="K80" s="213" t="str">
        <f>IFERROR(__xludf.DUMMYFUNCTION("""COMPUTED_VALUE"""),"90 DÍAS CALENDARIO")</f>
        <v>90 DÍAS CALENDARIO</v>
      </c>
      <c r="L80" s="213" t="str">
        <f>IFERROR(__xludf.DUMMYFUNCTION("""COMPUTED_VALUE"""),"")</f>
        <v/>
      </c>
      <c r="M80" s="213">
        <f>IFERROR(__xludf.DUMMYFUNCTION("""COMPUTED_VALUE"""),1.0)</f>
        <v>1</v>
      </c>
      <c r="N80" s="213">
        <f>IFERROR(__xludf.DUMMYFUNCTION("""COMPUTED_VALUE"""),1.0)</f>
        <v>1</v>
      </c>
      <c r="O80" s="213">
        <f>IFERROR(__xludf.DUMMYFUNCTION("""COMPUTED_VALUE"""),1.0)</f>
        <v>1</v>
      </c>
      <c r="P80" s="213"/>
      <c r="Q80" s="213"/>
      <c r="R80" s="213"/>
      <c r="S80" s="213"/>
      <c r="T80" s="213"/>
      <c r="U80" s="213"/>
      <c r="V80" s="213"/>
      <c r="W80" s="213"/>
      <c r="X80" s="213"/>
      <c r="Y80" s="213"/>
      <c r="Z80" s="213"/>
      <c r="AA80" s="213"/>
      <c r="AB80" s="213"/>
      <c r="AC80" s="213"/>
      <c r="AD80" s="213"/>
      <c r="AE80" s="213"/>
      <c r="AF80" s="213"/>
      <c r="AG80" s="213"/>
      <c r="AH80" s="213"/>
      <c r="AI80" s="213"/>
      <c r="AJ80" s="213"/>
      <c r="AK80" s="213"/>
      <c r="AL80" s="213"/>
      <c r="AM80" s="213"/>
      <c r="AN80" s="213"/>
      <c r="AO80" s="213"/>
      <c r="AP80" s="213"/>
      <c r="AQ80" s="213"/>
      <c r="AR80" s="213"/>
      <c r="AS80" s="213"/>
      <c r="AT80" s="213"/>
      <c r="AU80" s="213"/>
      <c r="AV80" s="213"/>
      <c r="AW80" s="213"/>
      <c r="AX80" s="213"/>
      <c r="AY80" s="213"/>
      <c r="AZ80" s="213"/>
      <c r="BA80" s="213"/>
      <c r="BB80" s="213"/>
      <c r="BC80" s="213"/>
      <c r="BD80" s="213"/>
    </row>
    <row r="81">
      <c r="A81" s="213">
        <f>IFERROR(__xludf.DUMMYFUNCTION("""COMPUTED_VALUE"""),742.0)</f>
        <v>742</v>
      </c>
      <c r="B81" s="213" t="str">
        <f>IFERROR(__xludf.DUMMYFUNCTION("""COMPUTED_VALUE"""),"6049 RICARDO PALMA")</f>
        <v>6049 RICARDO PALMA</v>
      </c>
      <c r="C81" s="213" t="str">
        <f>IFERROR(__xludf.DUMMYFUNCTION("""COMPUTED_VALUE"""),"TALLER SFT DE COMPUTACIÓN E INFORMÁTICA")</f>
        <v>TALLER SFT DE COMPUTACIÓN E INFORMÁTICA</v>
      </c>
      <c r="D81" s="213" t="str">
        <f>IFERROR(__xludf.DUMMYFUNCTION("""COMPUTED_VALUE"""),"MOBILIARIO")</f>
        <v>MOBILIARIO</v>
      </c>
      <c r="E81" s="213" t="str">
        <f>IFERROR(__xludf.DUMMYFUNCTION("""COMPUTED_VALUE"""),"MOB-105")</f>
        <v>MOB-105</v>
      </c>
      <c r="F81" s="213" t="str">
        <f>IFERROR(__xludf.DUMMYFUNCTION("""COMPUTED_VALUE"""),"MOB-105-Y")</f>
        <v>MOB-105-Y</v>
      </c>
      <c r="G81" s="213"/>
      <c r="H81" s="213" t="str">
        <f>IFERROR(__xludf.DUMMYFUNCTION("""COMPUTED_VALUE"""),"ARMARIO DE METAL (1.00 X 0.40 X 1.80M.)")</f>
        <v>ARMARIO DE METAL (1.00 X 0.40 X 1.80M.)</v>
      </c>
      <c r="I81"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1" s="213">
        <f>IFERROR(__xludf.DUMMYFUNCTION("""COMPUTED_VALUE"""),3.0)</f>
        <v>3</v>
      </c>
      <c r="K81" s="213" t="str">
        <f>IFERROR(__xludf.DUMMYFUNCTION("""COMPUTED_VALUE"""),"90 DÍAS CALENDARIO")</f>
        <v>90 DÍAS CALENDARIO</v>
      </c>
      <c r="L81" s="213" t="str">
        <f>IFERROR(__xludf.DUMMYFUNCTION("""COMPUTED_VALUE"""),"")</f>
        <v/>
      </c>
      <c r="M81" s="213">
        <f>IFERROR(__xludf.DUMMYFUNCTION("""COMPUTED_VALUE"""),1.0)</f>
        <v>1</v>
      </c>
      <c r="N81" s="213">
        <f>IFERROR(__xludf.DUMMYFUNCTION("""COMPUTED_VALUE"""),1.0)</f>
        <v>1</v>
      </c>
      <c r="O81" s="213">
        <f>IFERROR(__xludf.DUMMYFUNCTION("""COMPUTED_VALUE"""),1.0)</f>
        <v>1</v>
      </c>
      <c r="P81" s="213"/>
      <c r="Q81" s="213"/>
      <c r="R81" s="213"/>
      <c r="S81" s="213"/>
      <c r="T81" s="213"/>
      <c r="U81" s="213"/>
      <c r="V81" s="213"/>
      <c r="W81" s="213"/>
      <c r="X81" s="213"/>
      <c r="Y81" s="213"/>
      <c r="Z81" s="213"/>
      <c r="AA81" s="213"/>
      <c r="AB81" s="213"/>
      <c r="AC81" s="213"/>
      <c r="AD81" s="213"/>
      <c r="AE81" s="213"/>
      <c r="AF81" s="213"/>
      <c r="AG81" s="213"/>
      <c r="AH81" s="213"/>
      <c r="AI81" s="213"/>
      <c r="AJ81" s="213"/>
      <c r="AK81" s="213"/>
      <c r="AL81" s="213"/>
      <c r="AM81" s="213"/>
      <c r="AN81" s="213"/>
      <c r="AO81" s="213"/>
      <c r="AP81" s="213"/>
      <c r="AQ81" s="213"/>
      <c r="AR81" s="213"/>
      <c r="AS81" s="213"/>
      <c r="AT81" s="213"/>
      <c r="AU81" s="213"/>
      <c r="AV81" s="213"/>
      <c r="AW81" s="213"/>
      <c r="AX81" s="213"/>
      <c r="AY81" s="213"/>
      <c r="AZ81" s="213"/>
      <c r="BA81" s="213"/>
      <c r="BB81" s="213"/>
      <c r="BC81" s="213"/>
      <c r="BD81" s="213"/>
    </row>
    <row r="82">
      <c r="A82" s="213">
        <f>IFERROR(__xludf.DUMMYFUNCTION("""COMPUTED_VALUE"""),748.0)</f>
        <v>748</v>
      </c>
      <c r="B82" s="213" t="str">
        <f>IFERROR(__xludf.DUMMYFUNCTION("""COMPUTED_VALUE"""),"6049 RICARDO PALMA")</f>
        <v>6049 RICARDO PALMA</v>
      </c>
      <c r="C82" s="213" t="str">
        <f>IFERROR(__xludf.DUMMYFUNCTION("""COMPUTED_VALUE"""),"TALLER SFT DE COMPUTACIÓN E INFORMÁTICA")</f>
        <v>TALLER SFT DE COMPUTACIÓN E INFORMÁTICA</v>
      </c>
      <c r="D82" s="213" t="str">
        <f>IFERROR(__xludf.DUMMYFUNCTION("""COMPUTED_VALUE"""),"MOBILIARIO")</f>
        <v>MOBILIARIO</v>
      </c>
      <c r="E82" s="213" t="str">
        <f>IFERROR(__xludf.DUMMYFUNCTION("""COMPUTED_VALUE"""),"MOB-105")</f>
        <v>MOB-105</v>
      </c>
      <c r="F82" s="213" t="str">
        <f>IFERROR(__xludf.DUMMYFUNCTION("""COMPUTED_VALUE"""),"MOB-105-Y")</f>
        <v>MOB-105-Y</v>
      </c>
      <c r="G82" s="213"/>
      <c r="H82" s="213" t="str">
        <f>IFERROR(__xludf.DUMMYFUNCTION("""COMPUTED_VALUE"""),"ARMARIO DE METAL (1.00 X 0.40 X 1.80M.)")</f>
        <v>ARMARIO DE METAL (1.00 X 0.40 X 1.80M.)</v>
      </c>
      <c r="I82"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2" s="213">
        <f>IFERROR(__xludf.DUMMYFUNCTION("""COMPUTED_VALUE"""),3.0)</f>
        <v>3</v>
      </c>
      <c r="K82" s="213" t="str">
        <f>IFERROR(__xludf.DUMMYFUNCTION("""COMPUTED_VALUE"""),"90 DÍAS CALENDARIO")</f>
        <v>90 DÍAS CALENDARIO</v>
      </c>
      <c r="L82" s="213" t="str">
        <f>IFERROR(__xludf.DUMMYFUNCTION("""COMPUTED_VALUE"""),"")</f>
        <v/>
      </c>
      <c r="M82" s="213">
        <f>IFERROR(__xludf.DUMMYFUNCTION("""COMPUTED_VALUE"""),1.0)</f>
        <v>1</v>
      </c>
      <c r="N82" s="213">
        <f>IFERROR(__xludf.DUMMYFUNCTION("""COMPUTED_VALUE"""),1.0)</f>
        <v>1</v>
      </c>
      <c r="O82" s="213">
        <f>IFERROR(__xludf.DUMMYFUNCTION("""COMPUTED_VALUE"""),1.0)</f>
        <v>1</v>
      </c>
      <c r="P82" s="213"/>
      <c r="Q82" s="213"/>
      <c r="R82" s="213"/>
      <c r="S82" s="213"/>
      <c r="T82" s="213"/>
      <c r="U82" s="213"/>
      <c r="V82" s="213"/>
      <c r="W82" s="213"/>
      <c r="X82" s="213"/>
      <c r="Y82" s="213"/>
      <c r="Z82" s="213"/>
      <c r="AA82" s="213"/>
      <c r="AB82" s="213"/>
      <c r="AC82" s="213"/>
      <c r="AD82" s="213"/>
      <c r="AE82" s="213"/>
      <c r="AF82" s="213"/>
      <c r="AG82" s="213"/>
      <c r="AH82" s="213"/>
      <c r="AI82" s="213"/>
      <c r="AJ82" s="213"/>
      <c r="AK82" s="213"/>
      <c r="AL82" s="213"/>
      <c r="AM82" s="213"/>
      <c r="AN82" s="213"/>
      <c r="AO82" s="213"/>
      <c r="AP82" s="213"/>
      <c r="AQ82" s="213"/>
      <c r="AR82" s="213"/>
      <c r="AS82" s="213"/>
      <c r="AT82" s="213"/>
      <c r="AU82" s="213"/>
      <c r="AV82" s="213"/>
      <c r="AW82" s="213"/>
      <c r="AX82" s="213"/>
      <c r="AY82" s="213"/>
      <c r="AZ82" s="213"/>
      <c r="BA82" s="213"/>
      <c r="BB82" s="213"/>
      <c r="BC82" s="213"/>
      <c r="BD82" s="213"/>
    </row>
    <row r="83">
      <c r="A83" s="213">
        <f>IFERROR(__xludf.DUMMYFUNCTION("""COMPUTED_VALUE"""),825.0)</f>
        <v>825</v>
      </c>
      <c r="B83" s="213" t="str">
        <f>IFERROR(__xludf.DUMMYFUNCTION("""COMPUTED_VALUE"""),"6049 RICARDO PALMA")</f>
        <v>6049 RICARDO PALMA</v>
      </c>
      <c r="C83" s="213" t="str">
        <f>IFERROR(__xludf.DUMMYFUNCTION("""COMPUTED_VALUE"""),"TALLER SFT DE ELECTRICIDAD")</f>
        <v>TALLER SFT DE ELECTRICIDAD</v>
      </c>
      <c r="D83" s="213" t="str">
        <f>IFERROR(__xludf.DUMMYFUNCTION("""COMPUTED_VALUE"""),"MOBILIARIO")</f>
        <v>MOBILIARIO</v>
      </c>
      <c r="E83" s="213" t="str">
        <f>IFERROR(__xludf.DUMMYFUNCTION("""COMPUTED_VALUE"""),"MOB-105")</f>
        <v>MOB-105</v>
      </c>
      <c r="F83" s="213" t="str">
        <f>IFERROR(__xludf.DUMMYFUNCTION("""COMPUTED_VALUE"""),"MOB-105-Y")</f>
        <v>MOB-105-Y</v>
      </c>
      <c r="G83" s="213"/>
      <c r="H83" s="213" t="str">
        <f>IFERROR(__xludf.DUMMYFUNCTION("""COMPUTED_VALUE"""),"ARMARIO DE METAL (1.00 X 0.40 X 1.80M.)")</f>
        <v>ARMARIO DE METAL (1.00 X 0.40 X 1.80M.)</v>
      </c>
      <c r="I83"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3" s="213">
        <f>IFERROR(__xludf.DUMMYFUNCTION("""COMPUTED_VALUE"""),3.0)</f>
        <v>3</v>
      </c>
      <c r="K83" s="213" t="str">
        <f>IFERROR(__xludf.DUMMYFUNCTION("""COMPUTED_VALUE"""),"90 DÍAS CALENDARIO")</f>
        <v>90 DÍAS CALENDARIO</v>
      </c>
      <c r="L83" s="213" t="str">
        <f>IFERROR(__xludf.DUMMYFUNCTION("""COMPUTED_VALUE"""),"")</f>
        <v/>
      </c>
      <c r="M83" s="213">
        <f>IFERROR(__xludf.DUMMYFUNCTION("""COMPUTED_VALUE"""),1.0)</f>
        <v>1</v>
      </c>
      <c r="N83" s="213">
        <f>IFERROR(__xludf.DUMMYFUNCTION("""COMPUTED_VALUE"""),1.0)</f>
        <v>1</v>
      </c>
      <c r="O83" s="213">
        <f>IFERROR(__xludf.DUMMYFUNCTION("""COMPUTED_VALUE"""),1.0)</f>
        <v>1</v>
      </c>
      <c r="P83" s="213"/>
      <c r="Q83" s="213"/>
      <c r="R83" s="213"/>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row>
    <row r="84">
      <c r="A84" s="213">
        <f>IFERROR(__xludf.DUMMYFUNCTION("""COMPUTED_VALUE"""),833.0)</f>
        <v>833</v>
      </c>
      <c r="B84" s="213" t="str">
        <f>IFERROR(__xludf.DUMMYFUNCTION("""COMPUTED_VALUE"""),"6049 RICARDO PALMA")</f>
        <v>6049 RICARDO PALMA</v>
      </c>
      <c r="C84" s="213" t="str">
        <f>IFERROR(__xludf.DUMMYFUNCTION("""COMPUTED_VALUE"""),"TALLER SFT DE ELECTRICIDAD")</f>
        <v>TALLER SFT DE ELECTRICIDAD</v>
      </c>
      <c r="D84" s="213" t="str">
        <f>IFERROR(__xludf.DUMMYFUNCTION("""COMPUTED_VALUE"""),"MOBILIARIO")</f>
        <v>MOBILIARIO</v>
      </c>
      <c r="E84" s="213" t="str">
        <f>IFERROR(__xludf.DUMMYFUNCTION("""COMPUTED_VALUE"""),"MOB-105")</f>
        <v>MOB-105</v>
      </c>
      <c r="F84" s="213" t="str">
        <f>IFERROR(__xludf.DUMMYFUNCTION("""COMPUTED_VALUE"""),"MOB-105-Y")</f>
        <v>MOB-105-Y</v>
      </c>
      <c r="G84" s="213"/>
      <c r="H84" s="213" t="str">
        <f>IFERROR(__xludf.DUMMYFUNCTION("""COMPUTED_VALUE"""),"ARMARIO DE METAL (1.00 X 0.40 X 1.80M.)")</f>
        <v>ARMARIO DE METAL (1.00 X 0.40 X 1.80M.)</v>
      </c>
      <c r="I84"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4" s="213">
        <f>IFERROR(__xludf.DUMMYFUNCTION("""COMPUTED_VALUE"""),3.0)</f>
        <v>3</v>
      </c>
      <c r="K84" s="213" t="str">
        <f>IFERROR(__xludf.DUMMYFUNCTION("""COMPUTED_VALUE"""),"90 DÍAS CALENDARIO")</f>
        <v>90 DÍAS CALENDARIO</v>
      </c>
      <c r="L84" s="213" t="str">
        <f>IFERROR(__xludf.DUMMYFUNCTION("""COMPUTED_VALUE"""),"")</f>
        <v/>
      </c>
      <c r="M84" s="213">
        <f>IFERROR(__xludf.DUMMYFUNCTION("""COMPUTED_VALUE"""),1.0)</f>
        <v>1</v>
      </c>
      <c r="N84" s="213">
        <f>IFERROR(__xludf.DUMMYFUNCTION("""COMPUTED_VALUE"""),2.0)</f>
        <v>2</v>
      </c>
      <c r="O84" s="213">
        <f>IFERROR(__xludf.DUMMYFUNCTION("""COMPUTED_VALUE"""),2.0)</f>
        <v>2</v>
      </c>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row>
    <row r="85">
      <c r="A85" s="213">
        <f>IFERROR(__xludf.DUMMYFUNCTION("""COMPUTED_VALUE"""),909.0)</f>
        <v>909</v>
      </c>
      <c r="B85" s="213" t="str">
        <f>IFERROR(__xludf.DUMMYFUNCTION("""COMPUTED_VALUE"""),"FRANCISCO IRAZOLA")</f>
        <v>FRANCISCO IRAZOLA</v>
      </c>
      <c r="C85" s="213" t="str">
        <f>IFERROR(__xludf.DUMMYFUNCTION("""COMPUTED_VALUE"""),"TALLER SFT DE MECÁNICA AUTOMOTRIZ")</f>
        <v>TALLER SFT DE MECÁNICA AUTOMOTRIZ</v>
      </c>
      <c r="D85" s="213" t="str">
        <f>IFERROR(__xludf.DUMMYFUNCTION("""COMPUTED_VALUE"""),"MOBILIARIO")</f>
        <v>MOBILIARIO</v>
      </c>
      <c r="E85" s="213" t="str">
        <f>IFERROR(__xludf.DUMMYFUNCTION("""COMPUTED_VALUE"""),"MOB-105")</f>
        <v>MOB-105</v>
      </c>
      <c r="F85" s="213" t="str">
        <f>IFERROR(__xludf.DUMMYFUNCTION("""COMPUTED_VALUE"""),"MOB-105-Y")</f>
        <v>MOB-105-Y</v>
      </c>
      <c r="G85" s="213"/>
      <c r="H85" s="213" t="str">
        <f>IFERROR(__xludf.DUMMYFUNCTION("""COMPUTED_VALUE"""),"ARMARIO DE METAL (1.00 X 0.40 X 1.80M.)")</f>
        <v>ARMARIO DE METAL (1.00 X 0.40 X 1.80M.)</v>
      </c>
      <c r="I85"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5" s="213">
        <f>IFERROR(__xludf.DUMMYFUNCTION("""COMPUTED_VALUE"""),3.0)</f>
        <v>3</v>
      </c>
      <c r="K85" s="213" t="str">
        <f>IFERROR(__xludf.DUMMYFUNCTION("""COMPUTED_VALUE"""),"90 DÍAS CALENDARIO")</f>
        <v>90 DÍAS CALENDARIO</v>
      </c>
      <c r="L85" s="213" t="str">
        <f>IFERROR(__xludf.DUMMYFUNCTION("""COMPUTED_VALUE"""),"")</f>
        <v/>
      </c>
      <c r="M85" s="213">
        <f>IFERROR(__xludf.DUMMYFUNCTION("""COMPUTED_VALUE"""),1.0)</f>
        <v>1</v>
      </c>
      <c r="N85" s="213">
        <f>IFERROR(__xludf.DUMMYFUNCTION("""COMPUTED_VALUE"""),1.0)</f>
        <v>1</v>
      </c>
      <c r="O85" s="213">
        <f>IFERROR(__xludf.DUMMYFUNCTION("""COMPUTED_VALUE"""),1.0)</f>
        <v>1</v>
      </c>
      <c r="P85" s="213"/>
      <c r="Q85" s="213"/>
      <c r="R85" s="213"/>
      <c r="S85" s="213"/>
      <c r="T85" s="213"/>
      <c r="U85" s="213"/>
      <c r="V85" s="213"/>
      <c r="W85" s="213"/>
      <c r="X85" s="213"/>
      <c r="Y85" s="213"/>
      <c r="Z85" s="213"/>
      <c r="AA85" s="213"/>
      <c r="AB85" s="213"/>
      <c r="AC85" s="213"/>
      <c r="AD85" s="213"/>
      <c r="AE85" s="213"/>
      <c r="AF85" s="213"/>
      <c r="AG85" s="213"/>
      <c r="AH85" s="213"/>
      <c r="AI85" s="213"/>
      <c r="AJ85" s="213"/>
      <c r="AK85" s="213"/>
      <c r="AL85" s="213"/>
      <c r="AM85" s="213"/>
      <c r="AN85" s="213"/>
      <c r="AO85" s="213"/>
      <c r="AP85" s="213"/>
      <c r="AQ85" s="213"/>
      <c r="AR85" s="213"/>
      <c r="AS85" s="213"/>
      <c r="AT85" s="213"/>
      <c r="AU85" s="213"/>
      <c r="AV85" s="213"/>
      <c r="AW85" s="213"/>
      <c r="AX85" s="213"/>
      <c r="AY85" s="213"/>
      <c r="AZ85" s="213"/>
      <c r="BA85" s="213"/>
      <c r="BB85" s="213"/>
      <c r="BC85" s="213"/>
      <c r="BD85" s="213"/>
    </row>
    <row r="86">
      <c r="A86" s="213">
        <f>IFERROR(__xludf.DUMMYFUNCTION("""COMPUTED_VALUE"""),919.0)</f>
        <v>919</v>
      </c>
      <c r="B86" s="213" t="str">
        <f>IFERROR(__xludf.DUMMYFUNCTION("""COMPUTED_VALUE"""),"FRANCISCO IRAZOLA")</f>
        <v>FRANCISCO IRAZOLA</v>
      </c>
      <c r="C86" s="213" t="str">
        <f>IFERROR(__xludf.DUMMYFUNCTION("""COMPUTED_VALUE"""),"TALLER SFT DE MECÁNICA AUTOMOTRIZ")</f>
        <v>TALLER SFT DE MECÁNICA AUTOMOTRIZ</v>
      </c>
      <c r="D86" s="213" t="str">
        <f>IFERROR(__xludf.DUMMYFUNCTION("""COMPUTED_VALUE"""),"MOBILIARIO")</f>
        <v>MOBILIARIO</v>
      </c>
      <c r="E86" s="213" t="str">
        <f>IFERROR(__xludf.DUMMYFUNCTION("""COMPUTED_VALUE"""),"MOB-105")</f>
        <v>MOB-105</v>
      </c>
      <c r="F86" s="213" t="str">
        <f>IFERROR(__xludf.DUMMYFUNCTION("""COMPUTED_VALUE"""),"MOB-105-Y")</f>
        <v>MOB-105-Y</v>
      </c>
      <c r="G86" s="213"/>
      <c r="H86" s="213" t="str">
        <f>IFERROR(__xludf.DUMMYFUNCTION("""COMPUTED_VALUE"""),"ARMARIO DE METAL (1.00 X 0.40 X 1.80M.)")</f>
        <v>ARMARIO DE METAL (1.00 X 0.40 X 1.80M.)</v>
      </c>
      <c r="I86"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6" s="213">
        <f>IFERROR(__xludf.DUMMYFUNCTION("""COMPUTED_VALUE"""),3.0)</f>
        <v>3</v>
      </c>
      <c r="K86" s="213" t="str">
        <f>IFERROR(__xludf.DUMMYFUNCTION("""COMPUTED_VALUE"""),"90 DÍAS CALENDARIO")</f>
        <v>90 DÍAS CALENDARIO</v>
      </c>
      <c r="L86" s="213" t="str">
        <f>IFERROR(__xludf.DUMMYFUNCTION("""COMPUTED_VALUE"""),"")</f>
        <v/>
      </c>
      <c r="M86" s="213">
        <f>IFERROR(__xludf.DUMMYFUNCTION("""COMPUTED_VALUE"""),1.0)</f>
        <v>1</v>
      </c>
      <c r="N86" s="213">
        <f>IFERROR(__xludf.DUMMYFUNCTION("""COMPUTED_VALUE"""),4.0)</f>
        <v>4</v>
      </c>
      <c r="O86" s="213">
        <f>IFERROR(__xludf.DUMMYFUNCTION("""COMPUTED_VALUE"""),4.0)</f>
        <v>4</v>
      </c>
      <c r="P86" s="213"/>
      <c r="Q86" s="213"/>
      <c r="R86" s="213"/>
      <c r="S86" s="213"/>
      <c r="T86" s="213"/>
      <c r="U86" s="213"/>
      <c r="V86" s="213"/>
      <c r="W86" s="213"/>
      <c r="X86" s="213"/>
      <c r="Y86" s="213"/>
      <c r="Z86" s="213"/>
      <c r="AA86" s="213"/>
      <c r="AB86" s="213"/>
      <c r="AC86" s="213"/>
      <c r="AD86" s="213"/>
      <c r="AE86" s="213"/>
      <c r="AF86" s="213"/>
      <c r="AG86" s="213"/>
      <c r="AH86" s="213"/>
      <c r="AI86" s="213"/>
      <c r="AJ86" s="213"/>
      <c r="AK86" s="213"/>
      <c r="AL86" s="213"/>
      <c r="AM86" s="213"/>
      <c r="AN86" s="213"/>
      <c r="AO86" s="213"/>
      <c r="AP86" s="213"/>
      <c r="AQ86" s="213"/>
      <c r="AR86" s="213"/>
      <c r="AS86" s="213"/>
      <c r="AT86" s="213"/>
      <c r="AU86" s="213"/>
      <c r="AV86" s="213"/>
      <c r="AW86" s="213"/>
      <c r="AX86" s="213"/>
      <c r="AY86" s="213"/>
      <c r="AZ86" s="213"/>
      <c r="BA86" s="213"/>
      <c r="BB86" s="213"/>
      <c r="BC86" s="213"/>
      <c r="BD86" s="213"/>
    </row>
    <row r="87">
      <c r="A87" s="213">
        <f>IFERROR(__xludf.DUMMYFUNCTION("""COMPUTED_VALUE"""),1055.0)</f>
        <v>1055</v>
      </c>
      <c r="B87" s="213" t="str">
        <f>IFERROR(__xludf.DUMMYFUNCTION("""COMPUTED_VALUE"""),"FRANCISCO IRAZOLA")</f>
        <v>FRANCISCO IRAZOLA</v>
      </c>
      <c r="C87" s="213" t="str">
        <f>IFERROR(__xludf.DUMMYFUNCTION("""COMPUTED_VALUE"""),"TALLER SFT DE INDUSTRIA ALIMENTARIA")</f>
        <v>TALLER SFT DE INDUSTRIA ALIMENTARIA</v>
      </c>
      <c r="D87" s="213" t="str">
        <f>IFERROR(__xludf.DUMMYFUNCTION("""COMPUTED_VALUE"""),"MOBILIARIO")</f>
        <v>MOBILIARIO</v>
      </c>
      <c r="E87" s="213" t="str">
        <f>IFERROR(__xludf.DUMMYFUNCTION("""COMPUTED_VALUE"""),"MOB-105")</f>
        <v>MOB-105</v>
      </c>
      <c r="F87" s="213" t="str">
        <f>IFERROR(__xludf.DUMMYFUNCTION("""COMPUTED_VALUE"""),"MOB-105-Y")</f>
        <v>MOB-105-Y</v>
      </c>
      <c r="G87" s="213"/>
      <c r="H87" s="213" t="str">
        <f>IFERROR(__xludf.DUMMYFUNCTION("""COMPUTED_VALUE"""),"ARMARIO DE METAL (1.00 X 0.40 X 1.80M.)")</f>
        <v>ARMARIO DE METAL (1.00 X 0.40 X 1.80M.)</v>
      </c>
      <c r="I87"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7" s="213">
        <f>IFERROR(__xludf.DUMMYFUNCTION("""COMPUTED_VALUE"""),3.0)</f>
        <v>3</v>
      </c>
      <c r="K87" s="213" t="str">
        <f>IFERROR(__xludf.DUMMYFUNCTION("""COMPUTED_VALUE"""),"90 DÍAS CALENDARIO")</f>
        <v>90 DÍAS CALENDARIO</v>
      </c>
      <c r="L87" s="213" t="str">
        <f>IFERROR(__xludf.DUMMYFUNCTION("""COMPUTED_VALUE"""),"")</f>
        <v/>
      </c>
      <c r="M87" s="213">
        <f>IFERROR(__xludf.DUMMYFUNCTION("""COMPUTED_VALUE"""),1.0)</f>
        <v>1</v>
      </c>
      <c r="N87" s="213">
        <f>IFERROR(__xludf.DUMMYFUNCTION("""COMPUTED_VALUE"""),1.0)</f>
        <v>1</v>
      </c>
      <c r="O87" s="213">
        <f>IFERROR(__xludf.DUMMYFUNCTION("""COMPUTED_VALUE"""),1.0)</f>
        <v>1</v>
      </c>
      <c r="P87" s="213"/>
      <c r="Q87" s="213"/>
      <c r="R87" s="213"/>
      <c r="S87" s="213"/>
      <c r="T87" s="213"/>
      <c r="U87" s="213"/>
      <c r="V87" s="213"/>
      <c r="W87" s="213"/>
      <c r="X87" s="213"/>
      <c r="Y87" s="213"/>
      <c r="Z87" s="213"/>
      <c r="AA87" s="213"/>
      <c r="AB87" s="213"/>
      <c r="AC87" s="213"/>
      <c r="AD87" s="213"/>
      <c r="AE87" s="213"/>
      <c r="AF87" s="213"/>
      <c r="AG87" s="213"/>
      <c r="AH87" s="213"/>
      <c r="AI87" s="213"/>
      <c r="AJ87" s="213"/>
      <c r="AK87" s="213"/>
      <c r="AL87" s="213"/>
      <c r="AM87" s="213"/>
      <c r="AN87" s="213"/>
      <c r="AO87" s="213"/>
      <c r="AP87" s="213"/>
      <c r="AQ87" s="213"/>
      <c r="AR87" s="213"/>
      <c r="AS87" s="213"/>
      <c r="AT87" s="213"/>
      <c r="AU87" s="213"/>
      <c r="AV87" s="213"/>
      <c r="AW87" s="213"/>
      <c r="AX87" s="213"/>
      <c r="AY87" s="213"/>
      <c r="AZ87" s="213"/>
      <c r="BA87" s="213"/>
      <c r="BB87" s="213"/>
      <c r="BC87" s="213"/>
      <c r="BD87" s="213"/>
    </row>
    <row r="88">
      <c r="A88" s="213">
        <f>IFERROR(__xludf.DUMMYFUNCTION("""COMPUTED_VALUE"""),1246.0)</f>
        <v>1246</v>
      </c>
      <c r="B88" s="213" t="str">
        <f>IFERROR(__xludf.DUMMYFUNCTION("""COMPUTED_VALUE"""),"GUILLERMO E. BILLINGHURST ")</f>
        <v>GUILLERMO E. BILLINGHURST </v>
      </c>
      <c r="C88" s="213" t="str">
        <f>IFERROR(__xludf.DUMMYFUNCTION("""COMPUTED_VALUE"""),"TALLER SFT DE ELECTRICIDAD")</f>
        <v>TALLER SFT DE ELECTRICIDAD</v>
      </c>
      <c r="D88" s="213" t="str">
        <f>IFERROR(__xludf.DUMMYFUNCTION("""COMPUTED_VALUE"""),"MOBILIARIO")</f>
        <v>MOBILIARIO</v>
      </c>
      <c r="E88" s="213" t="str">
        <f>IFERROR(__xludf.DUMMYFUNCTION("""COMPUTED_VALUE"""),"MOB-105")</f>
        <v>MOB-105</v>
      </c>
      <c r="F88" s="213" t="str">
        <f>IFERROR(__xludf.DUMMYFUNCTION("""COMPUTED_VALUE"""),"MOB-105-Y")</f>
        <v>MOB-105-Y</v>
      </c>
      <c r="G88" s="213"/>
      <c r="H88" s="213" t="str">
        <f>IFERROR(__xludf.DUMMYFUNCTION("""COMPUTED_VALUE"""),"ARMARIO DE METAL (1.00 X 0.40 X 1.80M.)")</f>
        <v>ARMARIO DE METAL (1.00 X 0.40 X 1.80M.)</v>
      </c>
      <c r="I88"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8" s="213">
        <f>IFERROR(__xludf.DUMMYFUNCTION("""COMPUTED_VALUE"""),3.0)</f>
        <v>3</v>
      </c>
      <c r="K88" s="213" t="str">
        <f>IFERROR(__xludf.DUMMYFUNCTION("""COMPUTED_VALUE"""),"90 DÍAS CALENDARIO")</f>
        <v>90 DÍAS CALENDARIO</v>
      </c>
      <c r="L88" s="213" t="str">
        <f>IFERROR(__xludf.DUMMYFUNCTION("""COMPUTED_VALUE"""),"")</f>
        <v/>
      </c>
      <c r="M88" s="213">
        <f>IFERROR(__xludf.DUMMYFUNCTION("""COMPUTED_VALUE"""),1.0)</f>
        <v>1</v>
      </c>
      <c r="N88" s="213">
        <f>IFERROR(__xludf.DUMMYFUNCTION("""COMPUTED_VALUE"""),1.0)</f>
        <v>1</v>
      </c>
      <c r="O88" s="213">
        <f>IFERROR(__xludf.DUMMYFUNCTION("""COMPUTED_VALUE"""),1.0)</f>
        <v>1</v>
      </c>
      <c r="P88" s="213"/>
      <c r="Q88" s="213"/>
      <c r="R88" s="213"/>
      <c r="S88" s="213"/>
      <c r="T88" s="213"/>
      <c r="U88" s="213"/>
      <c r="V88" s="213"/>
      <c r="W88" s="213"/>
      <c r="X88" s="213"/>
      <c r="Y88" s="213"/>
      <c r="Z88" s="213"/>
      <c r="AA88" s="213"/>
      <c r="AB88" s="213"/>
      <c r="AC88" s="213"/>
      <c r="AD88" s="213"/>
      <c r="AE88" s="213"/>
      <c r="AF88" s="213"/>
      <c r="AG88" s="213"/>
      <c r="AH88" s="213"/>
      <c r="AI88" s="213"/>
      <c r="AJ88" s="213"/>
      <c r="AK88" s="213"/>
      <c r="AL88" s="213"/>
      <c r="AM88" s="213"/>
      <c r="AN88" s="213"/>
      <c r="AO88" s="213"/>
      <c r="AP88" s="213"/>
      <c r="AQ88" s="213"/>
      <c r="AR88" s="213"/>
      <c r="AS88" s="213"/>
      <c r="AT88" s="213"/>
      <c r="AU88" s="213"/>
      <c r="AV88" s="213"/>
      <c r="AW88" s="213"/>
      <c r="AX88" s="213"/>
      <c r="AY88" s="213"/>
      <c r="AZ88" s="213"/>
      <c r="BA88" s="213"/>
      <c r="BB88" s="213"/>
      <c r="BC88" s="213"/>
      <c r="BD88" s="213"/>
    </row>
    <row r="89">
      <c r="A89" s="213">
        <f>IFERROR(__xludf.DUMMYFUNCTION("""COMPUTED_VALUE"""),1248.0)</f>
        <v>1248</v>
      </c>
      <c r="B89" s="213" t="str">
        <f>IFERROR(__xludf.DUMMYFUNCTION("""COMPUTED_VALUE"""),"GUILLERMO E. BILLINGHURST ")</f>
        <v>GUILLERMO E. BILLINGHURST </v>
      </c>
      <c r="C89" s="213" t="str">
        <f>IFERROR(__xludf.DUMMYFUNCTION("""COMPUTED_VALUE"""),"TALLER SFT DE ELECTRICIDAD")</f>
        <v>TALLER SFT DE ELECTRICIDAD</v>
      </c>
      <c r="D89" s="213" t="str">
        <f>IFERROR(__xludf.DUMMYFUNCTION("""COMPUTED_VALUE"""),"MOBILIARIO")</f>
        <v>MOBILIARIO</v>
      </c>
      <c r="E89" s="213" t="str">
        <f>IFERROR(__xludf.DUMMYFUNCTION("""COMPUTED_VALUE"""),"MOB-105")</f>
        <v>MOB-105</v>
      </c>
      <c r="F89" s="213" t="str">
        <f>IFERROR(__xludf.DUMMYFUNCTION("""COMPUTED_VALUE"""),"MOB-105-Y")</f>
        <v>MOB-105-Y</v>
      </c>
      <c r="G89" s="213"/>
      <c r="H89" s="213" t="str">
        <f>IFERROR(__xludf.DUMMYFUNCTION("""COMPUTED_VALUE"""),"ARMARIO DE METAL (1.00 X 0.40 X 1.80M.)")</f>
        <v>ARMARIO DE METAL (1.00 X 0.40 X 1.80M.)</v>
      </c>
      <c r="I89"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89" s="213">
        <f>IFERROR(__xludf.DUMMYFUNCTION("""COMPUTED_VALUE"""),3.0)</f>
        <v>3</v>
      </c>
      <c r="K89" s="213" t="str">
        <f>IFERROR(__xludf.DUMMYFUNCTION("""COMPUTED_VALUE"""),"90 DÍAS CALENDARIO")</f>
        <v>90 DÍAS CALENDARIO</v>
      </c>
      <c r="L89" s="213" t="str">
        <f>IFERROR(__xludf.DUMMYFUNCTION("""COMPUTED_VALUE"""),"")</f>
        <v/>
      </c>
      <c r="M89" s="213">
        <f>IFERROR(__xludf.DUMMYFUNCTION("""COMPUTED_VALUE"""),1.0)</f>
        <v>1</v>
      </c>
      <c r="N89" s="213">
        <f>IFERROR(__xludf.DUMMYFUNCTION("""COMPUTED_VALUE"""),2.0)</f>
        <v>2</v>
      </c>
      <c r="O89" s="213">
        <f>IFERROR(__xludf.DUMMYFUNCTION("""COMPUTED_VALUE"""),2.0)</f>
        <v>2</v>
      </c>
      <c r="P89" s="213"/>
      <c r="Q89" s="213"/>
      <c r="R89" s="213"/>
      <c r="S89" s="213"/>
      <c r="T89" s="213"/>
      <c r="U89" s="213"/>
      <c r="V89" s="213"/>
      <c r="W89" s="213"/>
      <c r="X89" s="213"/>
      <c r="Y89" s="213"/>
      <c r="Z89" s="213"/>
      <c r="AA89" s="213"/>
      <c r="AB89" s="213"/>
      <c r="AC89" s="213"/>
      <c r="AD89" s="213"/>
      <c r="AE89" s="213"/>
      <c r="AF89" s="213"/>
      <c r="AG89" s="213"/>
      <c r="AH89" s="213"/>
      <c r="AI89" s="213"/>
      <c r="AJ89" s="213"/>
      <c r="AK89" s="213"/>
      <c r="AL89" s="213"/>
      <c r="AM89" s="213"/>
      <c r="AN89" s="213"/>
      <c r="AO89" s="213"/>
      <c r="AP89" s="213"/>
      <c r="AQ89" s="213"/>
      <c r="AR89" s="213"/>
      <c r="AS89" s="213"/>
      <c r="AT89" s="213"/>
      <c r="AU89" s="213"/>
      <c r="AV89" s="213"/>
      <c r="AW89" s="213"/>
      <c r="AX89" s="213"/>
      <c r="AY89" s="213"/>
      <c r="AZ89" s="213"/>
      <c r="BA89" s="213"/>
      <c r="BB89" s="213"/>
      <c r="BC89" s="213"/>
      <c r="BD89" s="213"/>
    </row>
    <row r="90">
      <c r="A90" s="213">
        <f>IFERROR(__xludf.DUMMYFUNCTION("""COMPUTED_VALUE"""),1332.0)</f>
        <v>1332</v>
      </c>
      <c r="B90" s="213" t="str">
        <f>IFERROR(__xludf.DUMMYFUNCTION("""COMPUTED_VALUE"""),"GUILLERMO E. BILLINGHURST ")</f>
        <v>GUILLERMO E. BILLINGHURST </v>
      </c>
      <c r="C90" s="213" t="str">
        <f>IFERROR(__xludf.DUMMYFUNCTION("""COMPUTED_VALUE"""),"TALLER SFT DE INDUSTRIA ALIMENTARIA")</f>
        <v>TALLER SFT DE INDUSTRIA ALIMENTARIA</v>
      </c>
      <c r="D90" s="213" t="str">
        <f>IFERROR(__xludf.DUMMYFUNCTION("""COMPUTED_VALUE"""),"MOBILIARIO")</f>
        <v>MOBILIARIO</v>
      </c>
      <c r="E90" s="213" t="str">
        <f>IFERROR(__xludf.DUMMYFUNCTION("""COMPUTED_VALUE"""),"MOB-105")</f>
        <v>MOB-105</v>
      </c>
      <c r="F90" s="213" t="str">
        <f>IFERROR(__xludf.DUMMYFUNCTION("""COMPUTED_VALUE"""),"MOB-105-Y")</f>
        <v>MOB-105-Y</v>
      </c>
      <c r="G90" s="213"/>
      <c r="H90" s="213" t="str">
        <f>IFERROR(__xludf.DUMMYFUNCTION("""COMPUTED_VALUE"""),"ARMARIO DE METAL (1.00 X 0.40 X 1.80M.)")</f>
        <v>ARMARIO DE METAL (1.00 X 0.40 X 1.80M.)</v>
      </c>
      <c r="I90"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0" s="213">
        <f>IFERROR(__xludf.DUMMYFUNCTION("""COMPUTED_VALUE"""),3.0)</f>
        <v>3</v>
      </c>
      <c r="K90" s="213" t="str">
        <f>IFERROR(__xludf.DUMMYFUNCTION("""COMPUTED_VALUE"""),"90 DÍAS CALENDARIO")</f>
        <v>90 DÍAS CALENDARIO</v>
      </c>
      <c r="L90" s="213" t="str">
        <f>IFERROR(__xludf.DUMMYFUNCTION("""COMPUTED_VALUE"""),"")</f>
        <v/>
      </c>
      <c r="M90" s="213">
        <f>IFERROR(__xludf.DUMMYFUNCTION("""COMPUTED_VALUE"""),1.0)</f>
        <v>1</v>
      </c>
      <c r="N90" s="213">
        <f>IFERROR(__xludf.DUMMYFUNCTION("""COMPUTED_VALUE"""),1.0)</f>
        <v>1</v>
      </c>
      <c r="O90" s="213">
        <f>IFERROR(__xludf.DUMMYFUNCTION("""COMPUTED_VALUE"""),1.0)</f>
        <v>1</v>
      </c>
      <c r="P90" s="213"/>
      <c r="Q90" s="213"/>
      <c r="R90" s="213"/>
      <c r="S90" s="213"/>
      <c r="T90" s="213"/>
      <c r="U90" s="213"/>
      <c r="V90" s="213"/>
      <c r="W90" s="213"/>
      <c r="X90" s="213"/>
      <c r="Y90" s="213"/>
      <c r="Z90" s="213"/>
      <c r="AA90" s="213"/>
      <c r="AB90" s="213"/>
      <c r="AC90" s="213"/>
      <c r="AD90" s="213"/>
      <c r="AE90" s="213"/>
      <c r="AF90" s="213"/>
      <c r="AG90" s="213"/>
      <c r="AH90" s="213"/>
      <c r="AI90" s="213"/>
      <c r="AJ90" s="213"/>
      <c r="AK90" s="213"/>
      <c r="AL90" s="213"/>
      <c r="AM90" s="213"/>
      <c r="AN90" s="213"/>
      <c r="AO90" s="213"/>
      <c r="AP90" s="213"/>
      <c r="AQ90" s="213"/>
      <c r="AR90" s="213"/>
      <c r="AS90" s="213"/>
      <c r="AT90" s="213"/>
      <c r="AU90" s="213"/>
      <c r="AV90" s="213"/>
      <c r="AW90" s="213"/>
      <c r="AX90" s="213"/>
      <c r="AY90" s="213"/>
      <c r="AZ90" s="213"/>
      <c r="BA90" s="213"/>
      <c r="BB90" s="213"/>
      <c r="BC90" s="213"/>
      <c r="BD90" s="213"/>
    </row>
    <row r="91">
      <c r="A91" s="213">
        <f>IFERROR(__xludf.DUMMYFUNCTION("""COMPUTED_VALUE"""),1360.0)</f>
        <v>1360</v>
      </c>
      <c r="B91" s="213" t="str">
        <f>IFERROR(__xludf.DUMMYFUNCTION("""COMPUTED_VALUE"""),"GUILLERMO E. BILLINGHURST ")</f>
        <v>GUILLERMO E. BILLINGHURST </v>
      </c>
      <c r="C91" s="213" t="str">
        <f>IFERROR(__xludf.DUMMYFUNCTION("""COMPUTED_VALUE"""),"TALLER SFT DE INDUSTRIA ALIMENTARIA")</f>
        <v>TALLER SFT DE INDUSTRIA ALIMENTARIA</v>
      </c>
      <c r="D91" s="213" t="str">
        <f>IFERROR(__xludf.DUMMYFUNCTION("""COMPUTED_VALUE"""),"MOBILIARIO")</f>
        <v>MOBILIARIO</v>
      </c>
      <c r="E91" s="213" t="str">
        <f>IFERROR(__xludf.DUMMYFUNCTION("""COMPUTED_VALUE"""),"MOB-105")</f>
        <v>MOB-105</v>
      </c>
      <c r="F91" s="213" t="str">
        <f>IFERROR(__xludf.DUMMYFUNCTION("""COMPUTED_VALUE"""),"MOB-105-Y")</f>
        <v>MOB-105-Y</v>
      </c>
      <c r="G91" s="213"/>
      <c r="H91" s="213" t="str">
        <f>IFERROR(__xludf.DUMMYFUNCTION("""COMPUTED_VALUE"""),"ARMARIO DE METAL (1.00 X 0.40 X 1.80M.)")</f>
        <v>ARMARIO DE METAL (1.00 X 0.40 X 1.80M.)</v>
      </c>
      <c r="I91"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1" s="213">
        <f>IFERROR(__xludf.DUMMYFUNCTION("""COMPUTED_VALUE"""),3.0)</f>
        <v>3</v>
      </c>
      <c r="K91" s="213" t="str">
        <f>IFERROR(__xludf.DUMMYFUNCTION("""COMPUTED_VALUE"""),"90 DÍAS CALENDARIO")</f>
        <v>90 DÍAS CALENDARIO</v>
      </c>
      <c r="L91" s="213" t="str">
        <f>IFERROR(__xludf.DUMMYFUNCTION("""COMPUTED_VALUE"""),"")</f>
        <v/>
      </c>
      <c r="M91" s="213">
        <f>IFERROR(__xludf.DUMMYFUNCTION("""COMPUTED_VALUE"""),1.0)</f>
        <v>1</v>
      </c>
      <c r="N91" s="213">
        <f>IFERROR(__xludf.DUMMYFUNCTION("""COMPUTED_VALUE"""),2.0)</f>
        <v>2</v>
      </c>
      <c r="O91" s="213">
        <f>IFERROR(__xludf.DUMMYFUNCTION("""COMPUTED_VALUE"""),2.0)</f>
        <v>2</v>
      </c>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3"/>
      <c r="AS91" s="213"/>
      <c r="AT91" s="213"/>
      <c r="AU91" s="213"/>
      <c r="AV91" s="213"/>
      <c r="AW91" s="213"/>
      <c r="AX91" s="213"/>
      <c r="AY91" s="213"/>
      <c r="AZ91" s="213"/>
      <c r="BA91" s="213"/>
      <c r="BB91" s="213"/>
      <c r="BC91" s="213"/>
      <c r="BD91" s="213"/>
    </row>
    <row r="92">
      <c r="A92" s="213">
        <f>IFERROR(__xludf.DUMMYFUNCTION("""COMPUTED_VALUE"""),1511.0)</f>
        <v>1511</v>
      </c>
      <c r="B92" s="213" t="str">
        <f>IFERROR(__xludf.DUMMYFUNCTION("""COMPUTED_VALUE"""),"GUILLERMO E. BILLINGHURST ")</f>
        <v>GUILLERMO E. BILLINGHURST </v>
      </c>
      <c r="C92" s="213" t="str">
        <f>IFERROR(__xludf.DUMMYFUNCTION("""COMPUTED_VALUE"""),"TALLER SFT DE MECÁNICA AUTOMOTRIZ")</f>
        <v>TALLER SFT DE MECÁNICA AUTOMOTRIZ</v>
      </c>
      <c r="D92" s="213" t="str">
        <f>IFERROR(__xludf.DUMMYFUNCTION("""COMPUTED_VALUE"""),"MOBILIARIO")</f>
        <v>MOBILIARIO</v>
      </c>
      <c r="E92" s="213" t="str">
        <f>IFERROR(__xludf.DUMMYFUNCTION("""COMPUTED_VALUE"""),"MOB-105")</f>
        <v>MOB-105</v>
      </c>
      <c r="F92" s="213" t="str">
        <f>IFERROR(__xludf.DUMMYFUNCTION("""COMPUTED_VALUE"""),"MOB-105-Y")</f>
        <v>MOB-105-Y</v>
      </c>
      <c r="G92" s="213"/>
      <c r="H92" s="213" t="str">
        <f>IFERROR(__xludf.DUMMYFUNCTION("""COMPUTED_VALUE"""),"ARMARIO DE METAL (1.00 X 0.40 X 1.80M.)")</f>
        <v>ARMARIO DE METAL (1.00 X 0.40 X 1.80M.)</v>
      </c>
      <c r="I92"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2" s="213">
        <f>IFERROR(__xludf.DUMMYFUNCTION("""COMPUTED_VALUE"""),3.0)</f>
        <v>3</v>
      </c>
      <c r="K92" s="213" t="str">
        <f>IFERROR(__xludf.DUMMYFUNCTION("""COMPUTED_VALUE"""),"90 DÍAS CALENDARIO")</f>
        <v>90 DÍAS CALENDARIO</v>
      </c>
      <c r="L92" s="213" t="str">
        <f>IFERROR(__xludf.DUMMYFUNCTION("""COMPUTED_VALUE"""),"")</f>
        <v/>
      </c>
      <c r="M92" s="213">
        <f>IFERROR(__xludf.DUMMYFUNCTION("""COMPUTED_VALUE"""),1.0)</f>
        <v>1</v>
      </c>
      <c r="N92" s="213">
        <f>IFERROR(__xludf.DUMMYFUNCTION("""COMPUTED_VALUE"""),1.0)</f>
        <v>1</v>
      </c>
      <c r="O92" s="213">
        <f>IFERROR(__xludf.DUMMYFUNCTION("""COMPUTED_VALUE"""),1.0)</f>
        <v>1</v>
      </c>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213"/>
      <c r="AT92" s="213"/>
      <c r="AU92" s="213"/>
      <c r="AV92" s="213"/>
      <c r="AW92" s="213"/>
      <c r="AX92" s="213"/>
      <c r="AY92" s="213"/>
      <c r="AZ92" s="213"/>
      <c r="BA92" s="213"/>
      <c r="BB92" s="213"/>
      <c r="BC92" s="213"/>
      <c r="BD92" s="213"/>
    </row>
    <row r="93">
      <c r="A93" s="213">
        <f>IFERROR(__xludf.DUMMYFUNCTION("""COMPUTED_VALUE"""),1520.0)</f>
        <v>1520</v>
      </c>
      <c r="B93" s="213" t="str">
        <f>IFERROR(__xludf.DUMMYFUNCTION("""COMPUTED_VALUE"""),"GUILLERMO E. BILLINGHURST ")</f>
        <v>GUILLERMO E. BILLINGHURST </v>
      </c>
      <c r="C93" s="213" t="str">
        <f>IFERROR(__xludf.DUMMYFUNCTION("""COMPUTED_VALUE"""),"TALLER SFT DE MECÁNICA AUTOMOTRIZ")</f>
        <v>TALLER SFT DE MECÁNICA AUTOMOTRIZ</v>
      </c>
      <c r="D93" s="213" t="str">
        <f>IFERROR(__xludf.DUMMYFUNCTION("""COMPUTED_VALUE"""),"MOBILIARIO")</f>
        <v>MOBILIARIO</v>
      </c>
      <c r="E93" s="213" t="str">
        <f>IFERROR(__xludf.DUMMYFUNCTION("""COMPUTED_VALUE"""),"MOB-105")</f>
        <v>MOB-105</v>
      </c>
      <c r="F93" s="213" t="str">
        <f>IFERROR(__xludf.DUMMYFUNCTION("""COMPUTED_VALUE"""),"MOB-105-Y")</f>
        <v>MOB-105-Y</v>
      </c>
      <c r="G93" s="213"/>
      <c r="H93" s="213" t="str">
        <f>IFERROR(__xludf.DUMMYFUNCTION("""COMPUTED_VALUE"""),"ARMARIO DE METAL (1.00 X 0.40 X 1.80M.)")</f>
        <v>ARMARIO DE METAL (1.00 X 0.40 X 1.80M.)</v>
      </c>
      <c r="I93"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3" s="213">
        <f>IFERROR(__xludf.DUMMYFUNCTION("""COMPUTED_VALUE"""),3.0)</f>
        <v>3</v>
      </c>
      <c r="K93" s="213" t="str">
        <f>IFERROR(__xludf.DUMMYFUNCTION("""COMPUTED_VALUE"""),"90 DÍAS CALENDARIO")</f>
        <v>90 DÍAS CALENDARIO</v>
      </c>
      <c r="L93" s="213" t="str">
        <f>IFERROR(__xludf.DUMMYFUNCTION("""COMPUTED_VALUE"""),"")</f>
        <v/>
      </c>
      <c r="M93" s="213">
        <f>IFERROR(__xludf.DUMMYFUNCTION("""COMPUTED_VALUE"""),1.0)</f>
        <v>1</v>
      </c>
      <c r="N93" s="213">
        <f>IFERROR(__xludf.DUMMYFUNCTION("""COMPUTED_VALUE"""),4.0)</f>
        <v>4</v>
      </c>
      <c r="O93" s="213">
        <f>IFERROR(__xludf.DUMMYFUNCTION("""COMPUTED_VALUE"""),4.0)</f>
        <v>4</v>
      </c>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213"/>
      <c r="AT93" s="213"/>
      <c r="AU93" s="213"/>
      <c r="AV93" s="213"/>
      <c r="AW93" s="213"/>
      <c r="AX93" s="213"/>
      <c r="AY93" s="213"/>
      <c r="AZ93" s="213"/>
      <c r="BA93" s="213"/>
      <c r="BB93" s="213"/>
      <c r="BC93" s="213"/>
      <c r="BD93" s="213"/>
    </row>
    <row r="94">
      <c r="A94" s="213">
        <f>IFERROR(__xludf.DUMMYFUNCTION("""COMPUTED_VALUE"""),1666.0)</f>
        <v>1666</v>
      </c>
      <c r="B94" s="213" t="str">
        <f>IFERROR(__xludf.DUMMYFUNCTION("""COMPUTED_VALUE"""),"GUILLERMO E. BILLINGHURST ")</f>
        <v>GUILLERMO E. BILLINGHURST </v>
      </c>
      <c r="C94" s="213" t="str">
        <f>IFERROR(__xludf.DUMMYFUNCTION("""COMPUTED_VALUE"""),"TALLER SFT DE COMPUTACIÓN E INFORMÁTICA")</f>
        <v>TALLER SFT DE COMPUTACIÓN E INFORMÁTICA</v>
      </c>
      <c r="D94" s="213" t="str">
        <f>IFERROR(__xludf.DUMMYFUNCTION("""COMPUTED_VALUE"""),"MOBILIARIO")</f>
        <v>MOBILIARIO</v>
      </c>
      <c r="E94" s="213" t="str">
        <f>IFERROR(__xludf.DUMMYFUNCTION("""COMPUTED_VALUE"""),"MOB-105")</f>
        <v>MOB-105</v>
      </c>
      <c r="F94" s="213" t="str">
        <f>IFERROR(__xludf.DUMMYFUNCTION("""COMPUTED_VALUE"""),"MOB-105-Y")</f>
        <v>MOB-105-Y</v>
      </c>
      <c r="G94" s="213"/>
      <c r="H94" s="213" t="str">
        <f>IFERROR(__xludf.DUMMYFUNCTION("""COMPUTED_VALUE"""),"ARMARIO DE METAL (1.00 X 0.40 X 1.80M.)")</f>
        <v>ARMARIO DE METAL (1.00 X 0.40 X 1.80M.)</v>
      </c>
      <c r="I94"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4" s="213">
        <f>IFERROR(__xludf.DUMMYFUNCTION("""COMPUTED_VALUE"""),3.0)</f>
        <v>3</v>
      </c>
      <c r="K94" s="213" t="str">
        <f>IFERROR(__xludf.DUMMYFUNCTION("""COMPUTED_VALUE"""),"90 DÍAS CALENDARIO")</f>
        <v>90 DÍAS CALENDARIO</v>
      </c>
      <c r="L94" s="213" t="str">
        <f>IFERROR(__xludf.DUMMYFUNCTION("""COMPUTED_VALUE"""),"")</f>
        <v/>
      </c>
      <c r="M94" s="213">
        <f>IFERROR(__xludf.DUMMYFUNCTION("""COMPUTED_VALUE"""),1.0)</f>
        <v>1</v>
      </c>
      <c r="N94" s="213">
        <f>IFERROR(__xludf.DUMMYFUNCTION("""COMPUTED_VALUE"""),1.0)</f>
        <v>1</v>
      </c>
      <c r="O94" s="213">
        <f>IFERROR(__xludf.DUMMYFUNCTION("""COMPUTED_VALUE"""),1.0)</f>
        <v>1</v>
      </c>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213"/>
      <c r="AT94" s="213"/>
      <c r="AU94" s="213"/>
      <c r="AV94" s="213"/>
      <c r="AW94" s="213"/>
      <c r="AX94" s="213"/>
      <c r="AY94" s="213"/>
      <c r="AZ94" s="213"/>
      <c r="BA94" s="213"/>
      <c r="BB94" s="213"/>
      <c r="BC94" s="213"/>
      <c r="BD94" s="213"/>
    </row>
    <row r="95">
      <c r="A95" s="213">
        <f>IFERROR(__xludf.DUMMYFUNCTION("""COMPUTED_VALUE"""),1677.0)</f>
        <v>1677</v>
      </c>
      <c r="B95" s="213" t="str">
        <f>IFERROR(__xludf.DUMMYFUNCTION("""COMPUTED_VALUE"""),"GUILLERMO E. BILLINGHURST ")</f>
        <v>GUILLERMO E. BILLINGHURST </v>
      </c>
      <c r="C95" s="213" t="str">
        <f>IFERROR(__xludf.DUMMYFUNCTION("""COMPUTED_VALUE"""),"TALLER SFT DE COMPUTACIÓN E INFORMÁTICA")</f>
        <v>TALLER SFT DE COMPUTACIÓN E INFORMÁTICA</v>
      </c>
      <c r="D95" s="213" t="str">
        <f>IFERROR(__xludf.DUMMYFUNCTION("""COMPUTED_VALUE"""),"MOBILIARIO")</f>
        <v>MOBILIARIO</v>
      </c>
      <c r="E95" s="213" t="str">
        <f>IFERROR(__xludf.DUMMYFUNCTION("""COMPUTED_VALUE"""),"MOB-105")</f>
        <v>MOB-105</v>
      </c>
      <c r="F95" s="213" t="str">
        <f>IFERROR(__xludf.DUMMYFUNCTION("""COMPUTED_VALUE"""),"MOB-105-Y")</f>
        <v>MOB-105-Y</v>
      </c>
      <c r="G95" s="213"/>
      <c r="H95" s="213" t="str">
        <f>IFERROR(__xludf.DUMMYFUNCTION("""COMPUTED_VALUE"""),"ARMARIO DE METAL (1.00 X 0.40 X 1.80M.)")</f>
        <v>ARMARIO DE METAL (1.00 X 0.40 X 1.80M.)</v>
      </c>
      <c r="I95"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5" s="213">
        <f>IFERROR(__xludf.DUMMYFUNCTION("""COMPUTED_VALUE"""),3.0)</f>
        <v>3</v>
      </c>
      <c r="K95" s="213" t="str">
        <f>IFERROR(__xludf.DUMMYFUNCTION("""COMPUTED_VALUE"""),"90 DÍAS CALENDARIO")</f>
        <v>90 DÍAS CALENDARIO</v>
      </c>
      <c r="L95" s="213" t="str">
        <f>IFERROR(__xludf.DUMMYFUNCTION("""COMPUTED_VALUE"""),"")</f>
        <v/>
      </c>
      <c r="M95" s="213">
        <f>IFERROR(__xludf.DUMMYFUNCTION("""COMPUTED_VALUE"""),1.0)</f>
        <v>1</v>
      </c>
      <c r="N95" s="213">
        <f>IFERROR(__xludf.DUMMYFUNCTION("""COMPUTED_VALUE"""),1.0)</f>
        <v>1</v>
      </c>
      <c r="O95" s="213">
        <f>IFERROR(__xludf.DUMMYFUNCTION("""COMPUTED_VALUE"""),1.0)</f>
        <v>1</v>
      </c>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213"/>
      <c r="AT95" s="213"/>
      <c r="AU95" s="213"/>
      <c r="AV95" s="213"/>
      <c r="AW95" s="213"/>
      <c r="AX95" s="213"/>
      <c r="AY95" s="213"/>
      <c r="AZ95" s="213"/>
      <c r="BA95" s="213"/>
      <c r="BB95" s="213"/>
      <c r="BC95" s="213"/>
      <c r="BD95" s="213"/>
    </row>
    <row r="96">
      <c r="A96" s="213">
        <f>IFERROR(__xludf.DUMMYFUNCTION("""COMPUTED_VALUE"""),1683.0)</f>
        <v>1683</v>
      </c>
      <c r="B96" s="213" t="str">
        <f>IFERROR(__xludf.DUMMYFUNCTION("""COMPUTED_VALUE"""),"GUILLERMO E. BILLINGHURST ")</f>
        <v>GUILLERMO E. BILLINGHURST </v>
      </c>
      <c r="C96" s="213" t="str">
        <f>IFERROR(__xludf.DUMMYFUNCTION("""COMPUTED_VALUE"""),"TALLER SFT DE COMPUTACIÓN E INFORMÁTICA")</f>
        <v>TALLER SFT DE COMPUTACIÓN E INFORMÁTICA</v>
      </c>
      <c r="D96" s="213" t="str">
        <f>IFERROR(__xludf.DUMMYFUNCTION("""COMPUTED_VALUE"""),"MOBILIARIO")</f>
        <v>MOBILIARIO</v>
      </c>
      <c r="E96" s="213" t="str">
        <f>IFERROR(__xludf.DUMMYFUNCTION("""COMPUTED_VALUE"""),"MOB-105")</f>
        <v>MOB-105</v>
      </c>
      <c r="F96" s="213" t="str">
        <f>IFERROR(__xludf.DUMMYFUNCTION("""COMPUTED_VALUE"""),"MOB-105-Y")</f>
        <v>MOB-105-Y</v>
      </c>
      <c r="G96" s="213"/>
      <c r="H96" s="213" t="str">
        <f>IFERROR(__xludf.DUMMYFUNCTION("""COMPUTED_VALUE"""),"ARMARIO DE METAL (1.00 X 0.40 X 1.80M.)")</f>
        <v>ARMARIO DE METAL (1.00 X 0.40 X 1.80M.)</v>
      </c>
      <c r="I96"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6" s="213">
        <f>IFERROR(__xludf.DUMMYFUNCTION("""COMPUTED_VALUE"""),3.0)</f>
        <v>3</v>
      </c>
      <c r="K96" s="213" t="str">
        <f>IFERROR(__xludf.DUMMYFUNCTION("""COMPUTED_VALUE"""),"90 DÍAS CALENDARIO")</f>
        <v>90 DÍAS CALENDARIO</v>
      </c>
      <c r="L96" s="213" t="str">
        <f>IFERROR(__xludf.DUMMYFUNCTION("""COMPUTED_VALUE"""),"")</f>
        <v/>
      </c>
      <c r="M96" s="213">
        <f>IFERROR(__xludf.DUMMYFUNCTION("""COMPUTED_VALUE"""),1.0)</f>
        <v>1</v>
      </c>
      <c r="N96" s="213">
        <f>IFERROR(__xludf.DUMMYFUNCTION("""COMPUTED_VALUE"""),1.0)</f>
        <v>1</v>
      </c>
      <c r="O96" s="213">
        <f>IFERROR(__xludf.DUMMYFUNCTION("""COMPUTED_VALUE"""),1.0)</f>
        <v>1</v>
      </c>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213"/>
      <c r="AT96" s="213"/>
      <c r="AU96" s="213"/>
      <c r="AV96" s="213"/>
      <c r="AW96" s="213"/>
      <c r="AX96" s="213"/>
      <c r="AY96" s="213"/>
      <c r="AZ96" s="213"/>
      <c r="BA96" s="213"/>
      <c r="BB96" s="213"/>
      <c r="BC96" s="213"/>
      <c r="BD96" s="213"/>
    </row>
    <row r="97">
      <c r="A97" s="213">
        <f>IFERROR(__xludf.DUMMYFUNCTION("""COMPUTED_VALUE"""),1761.0)</f>
        <v>1761</v>
      </c>
      <c r="B97" s="213" t="str">
        <f>IFERROR(__xludf.DUMMYFUNCTION("""COMPUTED_VALUE"""),"GUILLERMO E. BILLINGHURST ")</f>
        <v>GUILLERMO E. BILLINGHURST </v>
      </c>
      <c r="C97" s="213" t="str">
        <f>IFERROR(__xludf.DUMMYFUNCTION("""COMPUTED_VALUE"""),"TALLER SFT DE EBANISTERÍA")</f>
        <v>TALLER SFT DE EBANISTERÍA</v>
      </c>
      <c r="D97" s="213" t="str">
        <f>IFERROR(__xludf.DUMMYFUNCTION("""COMPUTED_VALUE"""),"MOBILIARIO")</f>
        <v>MOBILIARIO</v>
      </c>
      <c r="E97" s="213" t="str">
        <f>IFERROR(__xludf.DUMMYFUNCTION("""COMPUTED_VALUE"""),"MOB-105")</f>
        <v>MOB-105</v>
      </c>
      <c r="F97" s="213" t="str">
        <f>IFERROR(__xludf.DUMMYFUNCTION("""COMPUTED_VALUE"""),"MOB-105-Y")</f>
        <v>MOB-105-Y</v>
      </c>
      <c r="G97" s="213"/>
      <c r="H97" s="213" t="str">
        <f>IFERROR(__xludf.DUMMYFUNCTION("""COMPUTED_VALUE"""),"ARMARIO DE METAL (1.00 X 0.40 X 1.80M.)")</f>
        <v>ARMARIO DE METAL (1.00 X 0.40 X 1.80M.)</v>
      </c>
      <c r="I97"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7" s="213">
        <f>IFERROR(__xludf.DUMMYFUNCTION("""COMPUTED_VALUE"""),3.0)</f>
        <v>3</v>
      </c>
      <c r="K97" s="213" t="str">
        <f>IFERROR(__xludf.DUMMYFUNCTION("""COMPUTED_VALUE"""),"90 DÍAS CALENDARIO")</f>
        <v>90 DÍAS CALENDARIO</v>
      </c>
      <c r="L97" s="213" t="str">
        <f>IFERROR(__xludf.DUMMYFUNCTION("""COMPUTED_VALUE"""),"")</f>
        <v/>
      </c>
      <c r="M97" s="213">
        <f>IFERROR(__xludf.DUMMYFUNCTION("""COMPUTED_VALUE"""),1.0)</f>
        <v>1</v>
      </c>
      <c r="N97" s="213">
        <f>IFERROR(__xludf.DUMMYFUNCTION("""COMPUTED_VALUE"""),1.0)</f>
        <v>1</v>
      </c>
      <c r="O97" s="213">
        <f>IFERROR(__xludf.DUMMYFUNCTION("""COMPUTED_VALUE"""),1.0)</f>
        <v>1</v>
      </c>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3"/>
      <c r="AS97" s="213"/>
      <c r="AT97" s="213"/>
      <c r="AU97" s="213"/>
      <c r="AV97" s="213"/>
      <c r="AW97" s="213"/>
      <c r="AX97" s="213"/>
      <c r="AY97" s="213"/>
      <c r="AZ97" s="213"/>
      <c r="BA97" s="213"/>
      <c r="BB97" s="213"/>
      <c r="BC97" s="213"/>
      <c r="BD97" s="213"/>
    </row>
    <row r="98">
      <c r="A98" s="213">
        <f>IFERROR(__xludf.DUMMYFUNCTION("""COMPUTED_VALUE"""),1774.0)</f>
        <v>1774</v>
      </c>
      <c r="B98" s="213" t="str">
        <f>IFERROR(__xludf.DUMMYFUNCTION("""COMPUTED_VALUE"""),"GUILLERMO E. BILLINGHURST ")</f>
        <v>GUILLERMO E. BILLINGHURST </v>
      </c>
      <c r="C98" s="213" t="str">
        <f>IFERROR(__xludf.DUMMYFUNCTION("""COMPUTED_VALUE"""),"TALLER SFT DE EBANISTERÍA")</f>
        <v>TALLER SFT DE EBANISTERÍA</v>
      </c>
      <c r="D98" s="213" t="str">
        <f>IFERROR(__xludf.DUMMYFUNCTION("""COMPUTED_VALUE"""),"MOBILIARIO")</f>
        <v>MOBILIARIO</v>
      </c>
      <c r="E98" s="213" t="str">
        <f>IFERROR(__xludf.DUMMYFUNCTION("""COMPUTED_VALUE"""),"MOB-105")</f>
        <v>MOB-105</v>
      </c>
      <c r="F98" s="213" t="str">
        <f>IFERROR(__xludf.DUMMYFUNCTION("""COMPUTED_VALUE"""),"MOB-105-Y")</f>
        <v>MOB-105-Y</v>
      </c>
      <c r="G98" s="213"/>
      <c r="H98" s="213" t="str">
        <f>IFERROR(__xludf.DUMMYFUNCTION("""COMPUTED_VALUE"""),"ARMARIO DE METAL (1.00 X 0.40 X 1.80M.)")</f>
        <v>ARMARIO DE METAL (1.00 X 0.40 X 1.80M.)</v>
      </c>
      <c r="I98"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8" s="213">
        <f>IFERROR(__xludf.DUMMYFUNCTION("""COMPUTED_VALUE"""),3.0)</f>
        <v>3</v>
      </c>
      <c r="K98" s="213" t="str">
        <f>IFERROR(__xludf.DUMMYFUNCTION("""COMPUTED_VALUE"""),"90 DÍAS CALENDARIO")</f>
        <v>90 DÍAS CALENDARIO</v>
      </c>
      <c r="L98" s="213" t="str">
        <f>IFERROR(__xludf.DUMMYFUNCTION("""COMPUTED_VALUE"""),"")</f>
        <v/>
      </c>
      <c r="M98" s="213">
        <f>IFERROR(__xludf.DUMMYFUNCTION("""COMPUTED_VALUE"""),1.0)</f>
        <v>1</v>
      </c>
      <c r="N98" s="213">
        <f>IFERROR(__xludf.DUMMYFUNCTION("""COMPUTED_VALUE"""),2.0)</f>
        <v>2</v>
      </c>
      <c r="O98" s="213">
        <f>IFERROR(__xludf.DUMMYFUNCTION("""COMPUTED_VALUE"""),2.0)</f>
        <v>2</v>
      </c>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213"/>
      <c r="AT98" s="213"/>
      <c r="AU98" s="213"/>
      <c r="AV98" s="213"/>
      <c r="AW98" s="213"/>
      <c r="AX98" s="213"/>
      <c r="AY98" s="213"/>
      <c r="AZ98" s="213"/>
      <c r="BA98" s="213"/>
      <c r="BB98" s="213"/>
      <c r="BC98" s="213"/>
      <c r="BD98" s="213"/>
    </row>
    <row r="99">
      <c r="A99" s="213">
        <f>IFERROR(__xludf.DUMMYFUNCTION("""COMPUTED_VALUE"""),1775.0)</f>
        <v>1775</v>
      </c>
      <c r="B99" s="213" t="str">
        <f>IFERROR(__xludf.DUMMYFUNCTION("""COMPUTED_VALUE"""),"GUILLERMO E. BILLINGHURST ")</f>
        <v>GUILLERMO E. BILLINGHURST </v>
      </c>
      <c r="C99" s="213" t="str">
        <f>IFERROR(__xludf.DUMMYFUNCTION("""COMPUTED_VALUE"""),"TALLER SFT DE EBANISTERÍA")</f>
        <v>TALLER SFT DE EBANISTERÍA</v>
      </c>
      <c r="D99" s="213" t="str">
        <f>IFERROR(__xludf.DUMMYFUNCTION("""COMPUTED_VALUE"""),"MOBILIARIO")</f>
        <v>MOBILIARIO</v>
      </c>
      <c r="E99" s="213" t="str">
        <f>IFERROR(__xludf.DUMMYFUNCTION("""COMPUTED_VALUE"""),"MOB-105")</f>
        <v>MOB-105</v>
      </c>
      <c r="F99" s="213" t="str">
        <f>IFERROR(__xludf.DUMMYFUNCTION("""COMPUTED_VALUE"""),"MOB-105-Y")</f>
        <v>MOB-105-Y</v>
      </c>
      <c r="G99" s="213"/>
      <c r="H99" s="213" t="str">
        <f>IFERROR(__xludf.DUMMYFUNCTION("""COMPUTED_VALUE"""),"ARMARIO DE METAL (1.00 X 0.40 X 1.80M.)")</f>
        <v>ARMARIO DE METAL (1.00 X 0.40 X 1.80M.)</v>
      </c>
      <c r="I99"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99" s="213">
        <f>IFERROR(__xludf.DUMMYFUNCTION("""COMPUTED_VALUE"""),3.0)</f>
        <v>3</v>
      </c>
      <c r="K99" s="213" t="str">
        <f>IFERROR(__xludf.DUMMYFUNCTION("""COMPUTED_VALUE"""),"90 DÍAS CALENDARIO")</f>
        <v>90 DÍAS CALENDARIO</v>
      </c>
      <c r="L99" s="213" t="str">
        <f>IFERROR(__xludf.DUMMYFUNCTION("""COMPUTED_VALUE"""),"")</f>
        <v/>
      </c>
      <c r="M99" s="213">
        <f>IFERROR(__xludf.DUMMYFUNCTION("""COMPUTED_VALUE"""),1.0)</f>
        <v>1</v>
      </c>
      <c r="N99" s="213">
        <f>IFERROR(__xludf.DUMMYFUNCTION("""COMPUTED_VALUE"""),1.0)</f>
        <v>1</v>
      </c>
      <c r="O99" s="213">
        <f>IFERROR(__xludf.DUMMYFUNCTION("""COMPUTED_VALUE"""),1.0)</f>
        <v>1</v>
      </c>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213"/>
      <c r="AT99" s="213"/>
      <c r="AU99" s="213"/>
      <c r="AV99" s="213"/>
      <c r="AW99" s="213"/>
      <c r="AX99" s="213"/>
      <c r="AY99" s="213"/>
      <c r="AZ99" s="213"/>
      <c r="BA99" s="213"/>
      <c r="BB99" s="213"/>
      <c r="BC99" s="213"/>
      <c r="BD99" s="213"/>
    </row>
    <row r="100">
      <c r="A100" s="213">
        <f>IFERROR(__xludf.DUMMYFUNCTION("""COMPUTED_VALUE"""),1776.0)</f>
        <v>1776</v>
      </c>
      <c r="B100" s="213" t="str">
        <f>IFERROR(__xludf.DUMMYFUNCTION("""COMPUTED_VALUE"""),"GUILLERMO E. BILLINGHURST ")</f>
        <v>GUILLERMO E. BILLINGHURST </v>
      </c>
      <c r="C100" s="213" t="str">
        <f>IFERROR(__xludf.DUMMYFUNCTION("""COMPUTED_VALUE"""),"TALLER SFT DE EBANISTERÍA")</f>
        <v>TALLER SFT DE EBANISTERÍA</v>
      </c>
      <c r="D100" s="213" t="str">
        <f>IFERROR(__xludf.DUMMYFUNCTION("""COMPUTED_VALUE"""),"MOBILIARIO")</f>
        <v>MOBILIARIO</v>
      </c>
      <c r="E100" s="213" t="str">
        <f>IFERROR(__xludf.DUMMYFUNCTION("""COMPUTED_VALUE"""),"MOB-105")</f>
        <v>MOB-105</v>
      </c>
      <c r="F100" s="213" t="str">
        <f>IFERROR(__xludf.DUMMYFUNCTION("""COMPUTED_VALUE"""),"MOB-105-Y")</f>
        <v>MOB-105-Y</v>
      </c>
      <c r="G100" s="213"/>
      <c r="H100" s="213" t="str">
        <f>IFERROR(__xludf.DUMMYFUNCTION("""COMPUTED_VALUE"""),"ARMARIO DE METAL (1.00 X 0.40 X 1.80M.)")</f>
        <v>ARMARIO DE METAL (1.00 X 0.40 X 1.80M.)</v>
      </c>
      <c r="I100"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0" s="213">
        <f>IFERROR(__xludf.DUMMYFUNCTION("""COMPUTED_VALUE"""),3.0)</f>
        <v>3</v>
      </c>
      <c r="K100" s="213" t="str">
        <f>IFERROR(__xludf.DUMMYFUNCTION("""COMPUTED_VALUE"""),"90 DÍAS CALENDARIO")</f>
        <v>90 DÍAS CALENDARIO</v>
      </c>
      <c r="L100" s="213" t="str">
        <f>IFERROR(__xludf.DUMMYFUNCTION("""COMPUTED_VALUE"""),"")</f>
        <v/>
      </c>
      <c r="M100" s="213">
        <f>IFERROR(__xludf.DUMMYFUNCTION("""COMPUTED_VALUE"""),1.0)</f>
        <v>1</v>
      </c>
      <c r="N100" s="213">
        <f>IFERROR(__xludf.DUMMYFUNCTION("""COMPUTED_VALUE"""),1.0)</f>
        <v>1</v>
      </c>
      <c r="O100" s="213">
        <f>IFERROR(__xludf.DUMMYFUNCTION("""COMPUTED_VALUE"""),1.0)</f>
        <v>1</v>
      </c>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c r="AS100" s="213"/>
      <c r="AT100" s="213"/>
      <c r="AU100" s="213"/>
      <c r="AV100" s="213"/>
      <c r="AW100" s="213"/>
      <c r="AX100" s="213"/>
      <c r="AY100" s="213"/>
      <c r="AZ100" s="213"/>
      <c r="BA100" s="213"/>
      <c r="BB100" s="213"/>
      <c r="BC100" s="213"/>
      <c r="BD100" s="213"/>
    </row>
    <row r="101">
      <c r="A101" s="213">
        <f>IFERROR(__xludf.DUMMYFUNCTION("""COMPUTED_VALUE"""),1916.0)</f>
        <v>1916</v>
      </c>
      <c r="B101" s="213" t="str">
        <f>IFERROR(__xludf.DUMMYFUNCTION("""COMPUTED_VALUE"""),"JOSE GRANDA")</f>
        <v>JOSE GRANDA</v>
      </c>
      <c r="C101" s="213" t="str">
        <f>IFERROR(__xludf.DUMMYFUNCTION("""COMPUTED_VALUE"""),"TALLER SFT DE COMPUTACIÓN E INFORMÁTICA")</f>
        <v>TALLER SFT DE COMPUTACIÓN E INFORMÁTICA</v>
      </c>
      <c r="D101" s="213" t="str">
        <f>IFERROR(__xludf.DUMMYFUNCTION("""COMPUTED_VALUE"""),"MOBILIARIO")</f>
        <v>MOBILIARIO</v>
      </c>
      <c r="E101" s="213" t="str">
        <f>IFERROR(__xludf.DUMMYFUNCTION("""COMPUTED_VALUE"""),"MOB-105")</f>
        <v>MOB-105</v>
      </c>
      <c r="F101" s="213" t="str">
        <f>IFERROR(__xludf.DUMMYFUNCTION("""COMPUTED_VALUE"""),"MOB-105-Y")</f>
        <v>MOB-105-Y</v>
      </c>
      <c r="G101" s="213"/>
      <c r="H101" s="213" t="str">
        <f>IFERROR(__xludf.DUMMYFUNCTION("""COMPUTED_VALUE"""),"ARMARIO DE METAL (1.00 X 0.40 X 1.80M.)")</f>
        <v>ARMARIO DE METAL (1.00 X 0.40 X 1.80M.)</v>
      </c>
      <c r="I101"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1" s="213">
        <f>IFERROR(__xludf.DUMMYFUNCTION("""COMPUTED_VALUE"""),3.0)</f>
        <v>3</v>
      </c>
      <c r="K101" s="213" t="str">
        <f>IFERROR(__xludf.DUMMYFUNCTION("""COMPUTED_VALUE"""),"90 DÍAS CALENDARIO")</f>
        <v>90 DÍAS CALENDARIO</v>
      </c>
      <c r="L101" s="213" t="str">
        <f>IFERROR(__xludf.DUMMYFUNCTION("""COMPUTED_VALUE"""),"")</f>
        <v/>
      </c>
      <c r="M101" s="213">
        <f>IFERROR(__xludf.DUMMYFUNCTION("""COMPUTED_VALUE"""),1.0)</f>
        <v>1</v>
      </c>
      <c r="N101" s="213">
        <f>IFERROR(__xludf.DUMMYFUNCTION("""COMPUTED_VALUE"""),1.0)</f>
        <v>1</v>
      </c>
      <c r="O101" s="213">
        <f>IFERROR(__xludf.DUMMYFUNCTION("""COMPUTED_VALUE"""),1.0)</f>
        <v>1</v>
      </c>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213"/>
      <c r="AT101" s="213"/>
      <c r="AU101" s="213"/>
      <c r="AV101" s="213"/>
      <c r="AW101" s="213"/>
      <c r="AX101" s="213"/>
      <c r="AY101" s="213"/>
      <c r="AZ101" s="213"/>
      <c r="BA101" s="213"/>
      <c r="BB101" s="213"/>
      <c r="BC101" s="213"/>
      <c r="BD101" s="213"/>
    </row>
    <row r="102">
      <c r="A102" s="213">
        <f>IFERROR(__xludf.DUMMYFUNCTION("""COMPUTED_VALUE"""),1928.0)</f>
        <v>1928</v>
      </c>
      <c r="B102" s="213" t="str">
        <f>IFERROR(__xludf.DUMMYFUNCTION("""COMPUTED_VALUE"""),"JOSE GRANDA")</f>
        <v>JOSE GRANDA</v>
      </c>
      <c r="C102" s="213" t="str">
        <f>IFERROR(__xludf.DUMMYFUNCTION("""COMPUTED_VALUE"""),"TALLER SFT DE COMPUTACIÓN E INFORMÁTICA")</f>
        <v>TALLER SFT DE COMPUTACIÓN E INFORMÁTICA</v>
      </c>
      <c r="D102" s="213" t="str">
        <f>IFERROR(__xludf.DUMMYFUNCTION("""COMPUTED_VALUE"""),"MOBILIARIO")</f>
        <v>MOBILIARIO</v>
      </c>
      <c r="E102" s="213" t="str">
        <f>IFERROR(__xludf.DUMMYFUNCTION("""COMPUTED_VALUE"""),"MOB-105")</f>
        <v>MOB-105</v>
      </c>
      <c r="F102" s="213" t="str">
        <f>IFERROR(__xludf.DUMMYFUNCTION("""COMPUTED_VALUE"""),"MOB-105-Y")</f>
        <v>MOB-105-Y</v>
      </c>
      <c r="G102" s="213"/>
      <c r="H102" s="213" t="str">
        <f>IFERROR(__xludf.DUMMYFUNCTION("""COMPUTED_VALUE"""),"ARMARIO DE METAL (1.00 X 0.40 X 1.80M.)")</f>
        <v>ARMARIO DE METAL (1.00 X 0.40 X 1.80M.)</v>
      </c>
      <c r="I102"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2" s="213">
        <f>IFERROR(__xludf.DUMMYFUNCTION("""COMPUTED_VALUE"""),3.0)</f>
        <v>3</v>
      </c>
      <c r="K102" s="213" t="str">
        <f>IFERROR(__xludf.DUMMYFUNCTION("""COMPUTED_VALUE"""),"90 DÍAS CALENDARIO")</f>
        <v>90 DÍAS CALENDARIO</v>
      </c>
      <c r="L102" s="213" t="str">
        <f>IFERROR(__xludf.DUMMYFUNCTION("""COMPUTED_VALUE"""),"")</f>
        <v/>
      </c>
      <c r="M102" s="213">
        <f>IFERROR(__xludf.DUMMYFUNCTION("""COMPUTED_VALUE"""),1.0)</f>
        <v>1</v>
      </c>
      <c r="N102" s="213">
        <f>IFERROR(__xludf.DUMMYFUNCTION("""COMPUTED_VALUE"""),1.0)</f>
        <v>1</v>
      </c>
      <c r="O102" s="213">
        <f>IFERROR(__xludf.DUMMYFUNCTION("""COMPUTED_VALUE"""),1.0)</f>
        <v>1</v>
      </c>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213"/>
      <c r="AT102" s="213"/>
      <c r="AU102" s="213"/>
      <c r="AV102" s="213"/>
      <c r="AW102" s="213"/>
      <c r="AX102" s="213"/>
      <c r="AY102" s="213"/>
      <c r="AZ102" s="213"/>
      <c r="BA102" s="213"/>
      <c r="BB102" s="213"/>
      <c r="BC102" s="213"/>
      <c r="BD102" s="213"/>
    </row>
    <row r="103">
      <c r="A103" s="213">
        <f>IFERROR(__xludf.DUMMYFUNCTION("""COMPUTED_VALUE"""),1934.0)</f>
        <v>1934</v>
      </c>
      <c r="B103" s="213" t="str">
        <f>IFERROR(__xludf.DUMMYFUNCTION("""COMPUTED_VALUE"""),"JOSE GRANDA")</f>
        <v>JOSE GRANDA</v>
      </c>
      <c r="C103" s="213" t="str">
        <f>IFERROR(__xludf.DUMMYFUNCTION("""COMPUTED_VALUE"""),"TALLER SFT DE COMPUTACIÓN E INFORMÁTICA")</f>
        <v>TALLER SFT DE COMPUTACIÓN E INFORMÁTICA</v>
      </c>
      <c r="D103" s="213" t="str">
        <f>IFERROR(__xludf.DUMMYFUNCTION("""COMPUTED_VALUE"""),"MOBILIARIO")</f>
        <v>MOBILIARIO</v>
      </c>
      <c r="E103" s="213" t="str">
        <f>IFERROR(__xludf.DUMMYFUNCTION("""COMPUTED_VALUE"""),"MOB-105")</f>
        <v>MOB-105</v>
      </c>
      <c r="F103" s="213" t="str">
        <f>IFERROR(__xludf.DUMMYFUNCTION("""COMPUTED_VALUE"""),"MOB-105-Y")</f>
        <v>MOB-105-Y</v>
      </c>
      <c r="G103" s="213"/>
      <c r="H103" s="213" t="str">
        <f>IFERROR(__xludf.DUMMYFUNCTION("""COMPUTED_VALUE"""),"ARMARIO DE METAL (1.00 X 0.40 X 1.80M.)")</f>
        <v>ARMARIO DE METAL (1.00 X 0.40 X 1.80M.)</v>
      </c>
      <c r="I103"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3" s="213">
        <f>IFERROR(__xludf.DUMMYFUNCTION("""COMPUTED_VALUE"""),3.0)</f>
        <v>3</v>
      </c>
      <c r="K103" s="213" t="str">
        <f>IFERROR(__xludf.DUMMYFUNCTION("""COMPUTED_VALUE"""),"90 DÍAS CALENDARIO")</f>
        <v>90 DÍAS CALENDARIO</v>
      </c>
      <c r="L103" s="213" t="str">
        <f>IFERROR(__xludf.DUMMYFUNCTION("""COMPUTED_VALUE"""),"")</f>
        <v/>
      </c>
      <c r="M103" s="213">
        <f>IFERROR(__xludf.DUMMYFUNCTION("""COMPUTED_VALUE"""),1.0)</f>
        <v>1</v>
      </c>
      <c r="N103" s="213">
        <f>IFERROR(__xludf.DUMMYFUNCTION("""COMPUTED_VALUE"""),1.0)</f>
        <v>1</v>
      </c>
      <c r="O103" s="213">
        <f>IFERROR(__xludf.DUMMYFUNCTION("""COMPUTED_VALUE"""),1.0)</f>
        <v>1</v>
      </c>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3"/>
      <c r="AS103" s="213"/>
      <c r="AT103" s="213"/>
      <c r="AU103" s="213"/>
      <c r="AV103" s="213"/>
      <c r="AW103" s="213"/>
      <c r="AX103" s="213"/>
      <c r="AY103" s="213"/>
      <c r="AZ103" s="213"/>
      <c r="BA103" s="213"/>
      <c r="BB103" s="213"/>
      <c r="BC103" s="213"/>
      <c r="BD103" s="213"/>
    </row>
    <row r="104">
      <c r="A104" s="213">
        <f>IFERROR(__xludf.DUMMYFUNCTION("""COMPUTED_VALUE"""),2013.0)</f>
        <v>2013</v>
      </c>
      <c r="B104" s="213" t="str">
        <f>IFERROR(__xludf.DUMMYFUNCTION("""COMPUTED_VALUE"""),"JOSE GRANDA")</f>
        <v>JOSE GRANDA</v>
      </c>
      <c r="C104" s="213" t="str">
        <f>IFERROR(__xludf.DUMMYFUNCTION("""COMPUTED_VALUE"""),"TALLER SFT DE INDUSTRIA ALIMENTARIA")</f>
        <v>TALLER SFT DE INDUSTRIA ALIMENTARIA</v>
      </c>
      <c r="D104" s="213" t="str">
        <f>IFERROR(__xludf.DUMMYFUNCTION("""COMPUTED_VALUE"""),"MOBILIARIO")</f>
        <v>MOBILIARIO</v>
      </c>
      <c r="E104" s="213" t="str">
        <f>IFERROR(__xludf.DUMMYFUNCTION("""COMPUTED_VALUE"""),"MOB-105")</f>
        <v>MOB-105</v>
      </c>
      <c r="F104" s="213" t="str">
        <f>IFERROR(__xludf.DUMMYFUNCTION("""COMPUTED_VALUE"""),"MOB-105-Y")</f>
        <v>MOB-105-Y</v>
      </c>
      <c r="G104" s="213"/>
      <c r="H104" s="213" t="str">
        <f>IFERROR(__xludf.DUMMYFUNCTION("""COMPUTED_VALUE"""),"ARMARIO DE METAL (1.00 X 0.40 X 1.80M.)")</f>
        <v>ARMARIO DE METAL (1.00 X 0.40 X 1.80M.)</v>
      </c>
      <c r="I104"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4" s="213">
        <f>IFERROR(__xludf.DUMMYFUNCTION("""COMPUTED_VALUE"""),3.0)</f>
        <v>3</v>
      </c>
      <c r="K104" s="213" t="str">
        <f>IFERROR(__xludf.DUMMYFUNCTION("""COMPUTED_VALUE"""),"90 DÍAS CALENDARIO")</f>
        <v>90 DÍAS CALENDARIO</v>
      </c>
      <c r="L104" s="213" t="str">
        <f>IFERROR(__xludf.DUMMYFUNCTION("""COMPUTED_VALUE"""),"")</f>
        <v/>
      </c>
      <c r="M104" s="213">
        <f>IFERROR(__xludf.DUMMYFUNCTION("""COMPUTED_VALUE"""),1.0)</f>
        <v>1</v>
      </c>
      <c r="N104" s="213">
        <f>IFERROR(__xludf.DUMMYFUNCTION("""COMPUTED_VALUE"""),1.0)</f>
        <v>1</v>
      </c>
      <c r="O104" s="213">
        <f>IFERROR(__xludf.DUMMYFUNCTION("""COMPUTED_VALUE"""),1.0)</f>
        <v>1</v>
      </c>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213"/>
      <c r="AT104" s="213"/>
      <c r="AU104" s="213"/>
      <c r="AV104" s="213"/>
      <c r="AW104" s="213"/>
      <c r="AX104" s="213"/>
      <c r="AY104" s="213"/>
      <c r="AZ104" s="213"/>
      <c r="BA104" s="213"/>
      <c r="BB104" s="213"/>
      <c r="BC104" s="213"/>
      <c r="BD104" s="213"/>
    </row>
    <row r="105">
      <c r="A105" s="213">
        <f>IFERROR(__xludf.DUMMYFUNCTION("""COMPUTED_VALUE"""),2045.0)</f>
        <v>2045</v>
      </c>
      <c r="B105" s="213" t="str">
        <f>IFERROR(__xludf.DUMMYFUNCTION("""COMPUTED_VALUE"""),"JOSE GRANDA")</f>
        <v>JOSE GRANDA</v>
      </c>
      <c r="C105" s="213" t="str">
        <f>IFERROR(__xludf.DUMMYFUNCTION("""COMPUTED_VALUE"""),"TALLER SFT DE INDUSTRIA ALIMENTARIA")</f>
        <v>TALLER SFT DE INDUSTRIA ALIMENTARIA</v>
      </c>
      <c r="D105" s="213" t="str">
        <f>IFERROR(__xludf.DUMMYFUNCTION("""COMPUTED_VALUE"""),"MOBILIARIO")</f>
        <v>MOBILIARIO</v>
      </c>
      <c r="E105" s="213" t="str">
        <f>IFERROR(__xludf.DUMMYFUNCTION("""COMPUTED_VALUE"""),"MOB-105")</f>
        <v>MOB-105</v>
      </c>
      <c r="F105" s="213" t="str">
        <f>IFERROR(__xludf.DUMMYFUNCTION("""COMPUTED_VALUE"""),"MOB-105-Y")</f>
        <v>MOB-105-Y</v>
      </c>
      <c r="G105" s="213"/>
      <c r="H105" s="213" t="str">
        <f>IFERROR(__xludf.DUMMYFUNCTION("""COMPUTED_VALUE"""),"ARMARIO DE METAL (1.00 X 0.40 X 1.80M.)")</f>
        <v>ARMARIO DE METAL (1.00 X 0.40 X 1.80M.)</v>
      </c>
      <c r="I105"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5" s="213">
        <f>IFERROR(__xludf.DUMMYFUNCTION("""COMPUTED_VALUE"""),3.0)</f>
        <v>3</v>
      </c>
      <c r="K105" s="213" t="str">
        <f>IFERROR(__xludf.DUMMYFUNCTION("""COMPUTED_VALUE"""),"90 DÍAS CALENDARIO")</f>
        <v>90 DÍAS CALENDARIO</v>
      </c>
      <c r="L105" s="213" t="str">
        <f>IFERROR(__xludf.DUMMYFUNCTION("""COMPUTED_VALUE"""),"")</f>
        <v/>
      </c>
      <c r="M105" s="213">
        <f>IFERROR(__xludf.DUMMYFUNCTION("""COMPUTED_VALUE"""),1.0)</f>
        <v>1</v>
      </c>
      <c r="N105" s="213">
        <f>IFERROR(__xludf.DUMMYFUNCTION("""COMPUTED_VALUE"""),2.0)</f>
        <v>2</v>
      </c>
      <c r="O105" s="213">
        <f>IFERROR(__xludf.DUMMYFUNCTION("""COMPUTED_VALUE"""),2.0)</f>
        <v>2</v>
      </c>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213"/>
      <c r="AT105" s="213"/>
      <c r="AU105" s="213"/>
      <c r="AV105" s="213"/>
      <c r="AW105" s="213"/>
      <c r="AX105" s="213"/>
      <c r="AY105" s="213"/>
      <c r="AZ105" s="213"/>
      <c r="BA105" s="213"/>
      <c r="BB105" s="213"/>
      <c r="BC105" s="213"/>
      <c r="BD105" s="213"/>
    </row>
    <row r="106">
      <c r="A106" s="213">
        <f>IFERROR(__xludf.DUMMYFUNCTION("""COMPUTED_VALUE"""),2198.0)</f>
        <v>2198</v>
      </c>
      <c r="B106" s="213" t="str">
        <f>IFERROR(__xludf.DUMMYFUNCTION("""COMPUTED_VALUE"""),"JOSE GRANDA")</f>
        <v>JOSE GRANDA</v>
      </c>
      <c r="C106" s="213" t="str">
        <f>IFERROR(__xludf.DUMMYFUNCTION("""COMPUTED_VALUE"""),"TALLER SFT DE MECÁNICA AUTOMOTRIZ")</f>
        <v>TALLER SFT DE MECÁNICA AUTOMOTRIZ</v>
      </c>
      <c r="D106" s="213" t="str">
        <f>IFERROR(__xludf.DUMMYFUNCTION("""COMPUTED_VALUE"""),"MOBILIARIO")</f>
        <v>MOBILIARIO</v>
      </c>
      <c r="E106" s="213" t="str">
        <f>IFERROR(__xludf.DUMMYFUNCTION("""COMPUTED_VALUE"""),"MOB-105")</f>
        <v>MOB-105</v>
      </c>
      <c r="F106" s="213" t="str">
        <f>IFERROR(__xludf.DUMMYFUNCTION("""COMPUTED_VALUE"""),"MOB-105-Y")</f>
        <v>MOB-105-Y</v>
      </c>
      <c r="G106" s="213"/>
      <c r="H106" s="213" t="str">
        <f>IFERROR(__xludf.DUMMYFUNCTION("""COMPUTED_VALUE"""),"ARMARIO DE METAL (1.00 X 0.40 X 1.80M.)")</f>
        <v>ARMARIO DE METAL (1.00 X 0.40 X 1.80M.)</v>
      </c>
      <c r="I106"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6" s="213">
        <f>IFERROR(__xludf.DUMMYFUNCTION("""COMPUTED_VALUE"""),3.0)</f>
        <v>3</v>
      </c>
      <c r="K106" s="213" t="str">
        <f>IFERROR(__xludf.DUMMYFUNCTION("""COMPUTED_VALUE"""),"90 DÍAS CALENDARIO")</f>
        <v>90 DÍAS CALENDARIO</v>
      </c>
      <c r="L106" s="213" t="str">
        <f>IFERROR(__xludf.DUMMYFUNCTION("""COMPUTED_VALUE"""),"")</f>
        <v/>
      </c>
      <c r="M106" s="213">
        <f>IFERROR(__xludf.DUMMYFUNCTION("""COMPUTED_VALUE"""),1.0)</f>
        <v>1</v>
      </c>
      <c r="N106" s="213">
        <f>IFERROR(__xludf.DUMMYFUNCTION("""COMPUTED_VALUE"""),1.0)</f>
        <v>1</v>
      </c>
      <c r="O106" s="213">
        <f>IFERROR(__xludf.DUMMYFUNCTION("""COMPUTED_VALUE"""),1.0)</f>
        <v>1</v>
      </c>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3"/>
      <c r="AS106" s="213"/>
      <c r="AT106" s="213"/>
      <c r="AU106" s="213"/>
      <c r="AV106" s="213"/>
      <c r="AW106" s="213"/>
      <c r="AX106" s="213"/>
      <c r="AY106" s="213"/>
      <c r="AZ106" s="213"/>
      <c r="BA106" s="213"/>
      <c r="BB106" s="213"/>
      <c r="BC106" s="213"/>
      <c r="BD106" s="213"/>
    </row>
    <row r="107">
      <c r="A107" s="213">
        <f>IFERROR(__xludf.DUMMYFUNCTION("""COMPUTED_VALUE"""),2206.0)</f>
        <v>2206</v>
      </c>
      <c r="B107" s="213" t="str">
        <f>IFERROR(__xludf.DUMMYFUNCTION("""COMPUTED_VALUE"""),"JOSE GRANDA")</f>
        <v>JOSE GRANDA</v>
      </c>
      <c r="C107" s="213" t="str">
        <f>IFERROR(__xludf.DUMMYFUNCTION("""COMPUTED_VALUE"""),"TALLER SFT DE MECÁNICA AUTOMOTRIZ")</f>
        <v>TALLER SFT DE MECÁNICA AUTOMOTRIZ</v>
      </c>
      <c r="D107" s="213" t="str">
        <f>IFERROR(__xludf.DUMMYFUNCTION("""COMPUTED_VALUE"""),"MOBILIARIO")</f>
        <v>MOBILIARIO</v>
      </c>
      <c r="E107" s="213" t="str">
        <f>IFERROR(__xludf.DUMMYFUNCTION("""COMPUTED_VALUE"""),"MOB-105")</f>
        <v>MOB-105</v>
      </c>
      <c r="F107" s="213" t="str">
        <f>IFERROR(__xludf.DUMMYFUNCTION("""COMPUTED_VALUE"""),"MOB-105-Y")</f>
        <v>MOB-105-Y</v>
      </c>
      <c r="G107" s="213"/>
      <c r="H107" s="213" t="str">
        <f>IFERROR(__xludf.DUMMYFUNCTION("""COMPUTED_VALUE"""),"ARMARIO DE METAL (1.00 X 0.40 X 1.80M.)")</f>
        <v>ARMARIO DE METAL (1.00 X 0.40 X 1.80M.)</v>
      </c>
      <c r="I107"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7" s="213">
        <f>IFERROR(__xludf.DUMMYFUNCTION("""COMPUTED_VALUE"""),3.0)</f>
        <v>3</v>
      </c>
      <c r="K107" s="213" t="str">
        <f>IFERROR(__xludf.DUMMYFUNCTION("""COMPUTED_VALUE"""),"90 DÍAS CALENDARIO")</f>
        <v>90 DÍAS CALENDARIO</v>
      </c>
      <c r="L107" s="213" t="str">
        <f>IFERROR(__xludf.DUMMYFUNCTION("""COMPUTED_VALUE"""),"")</f>
        <v/>
      </c>
      <c r="M107" s="213">
        <f>IFERROR(__xludf.DUMMYFUNCTION("""COMPUTED_VALUE"""),1.0)</f>
        <v>1</v>
      </c>
      <c r="N107" s="213">
        <f>IFERROR(__xludf.DUMMYFUNCTION("""COMPUTED_VALUE"""),4.0)</f>
        <v>4</v>
      </c>
      <c r="O107" s="213">
        <f>IFERROR(__xludf.DUMMYFUNCTION("""COMPUTED_VALUE"""),4.0)</f>
        <v>4</v>
      </c>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213"/>
      <c r="AT107" s="213"/>
      <c r="AU107" s="213"/>
      <c r="AV107" s="213"/>
      <c r="AW107" s="213"/>
      <c r="AX107" s="213"/>
      <c r="AY107" s="213"/>
      <c r="AZ107" s="213"/>
      <c r="BA107" s="213"/>
      <c r="BB107" s="213"/>
      <c r="BC107" s="213"/>
      <c r="BD107" s="213"/>
    </row>
    <row r="108">
      <c r="A108" s="213">
        <f>IFERROR(__xludf.DUMMYFUNCTION("""COMPUTED_VALUE"""),2213.0)</f>
        <v>2213</v>
      </c>
      <c r="B108" s="213" t="str">
        <f>IFERROR(__xludf.DUMMYFUNCTION("""COMPUTED_VALUE"""),"JOSE GRANDA")</f>
        <v>JOSE GRANDA</v>
      </c>
      <c r="C108" s="213" t="str">
        <f>IFERROR(__xludf.DUMMYFUNCTION("""COMPUTED_VALUE"""),"TALLER SFT DE MECÁNICA AUTOMOTRIZ")</f>
        <v>TALLER SFT DE MECÁNICA AUTOMOTRIZ</v>
      </c>
      <c r="D108" s="213" t="str">
        <f>IFERROR(__xludf.DUMMYFUNCTION("""COMPUTED_VALUE"""),"MOBILIARIO")</f>
        <v>MOBILIARIO</v>
      </c>
      <c r="E108" s="213" t="str">
        <f>IFERROR(__xludf.DUMMYFUNCTION("""COMPUTED_VALUE"""),"MOB-105")</f>
        <v>MOB-105</v>
      </c>
      <c r="F108" s="213" t="str">
        <f>IFERROR(__xludf.DUMMYFUNCTION("""COMPUTED_VALUE"""),"MOB-105-Y")</f>
        <v>MOB-105-Y</v>
      </c>
      <c r="G108" s="213"/>
      <c r="H108" s="213" t="str">
        <f>IFERROR(__xludf.DUMMYFUNCTION("""COMPUTED_VALUE"""),"ARMARIO DE METAL (1.00 X 0.40 X 1.80M.)")</f>
        <v>ARMARIO DE METAL (1.00 X 0.40 X 1.80M.)</v>
      </c>
      <c r="I108"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8" s="213">
        <f>IFERROR(__xludf.DUMMYFUNCTION("""COMPUTED_VALUE"""),3.0)</f>
        <v>3</v>
      </c>
      <c r="K108" s="213" t="str">
        <f>IFERROR(__xludf.DUMMYFUNCTION("""COMPUTED_VALUE"""),"90 DÍAS CALENDARIO")</f>
        <v>90 DÍAS CALENDARIO</v>
      </c>
      <c r="L108" s="213" t="str">
        <f>IFERROR(__xludf.DUMMYFUNCTION("""COMPUTED_VALUE"""),"")</f>
        <v/>
      </c>
      <c r="M108" s="213">
        <f>IFERROR(__xludf.DUMMYFUNCTION("""COMPUTED_VALUE"""),1.0)</f>
        <v>1</v>
      </c>
      <c r="N108" s="213">
        <f>IFERROR(__xludf.DUMMYFUNCTION("""COMPUTED_VALUE"""),1.0)</f>
        <v>1</v>
      </c>
      <c r="O108" s="213">
        <f>IFERROR(__xludf.DUMMYFUNCTION("""COMPUTED_VALUE"""),1.0)</f>
        <v>1</v>
      </c>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213"/>
      <c r="AT108" s="213"/>
      <c r="AU108" s="213"/>
      <c r="AV108" s="213"/>
      <c r="AW108" s="213"/>
      <c r="AX108" s="213"/>
      <c r="AY108" s="213"/>
      <c r="AZ108" s="213"/>
      <c r="BA108" s="213"/>
      <c r="BB108" s="213"/>
      <c r="BC108" s="213"/>
      <c r="BD108" s="213"/>
    </row>
    <row r="109">
      <c r="A109" s="213">
        <f>IFERROR(__xludf.DUMMYFUNCTION("""COMPUTED_VALUE"""),2357.0)</f>
        <v>2357</v>
      </c>
      <c r="B109" s="213" t="str">
        <f>IFERROR(__xludf.DUMMYFUNCTION("""COMPUTED_VALUE"""),"MANUEL ANTONIO MESONES MURO")</f>
        <v>MANUEL ANTONIO MESONES MURO</v>
      </c>
      <c r="C109" s="213" t="str">
        <f>IFERROR(__xludf.DUMMYFUNCTION("""COMPUTED_VALUE"""),"TALLER SFT DE INDUSTRIA DEL VESTIDO")</f>
        <v>TALLER SFT DE INDUSTRIA DEL VESTIDO</v>
      </c>
      <c r="D109" s="213" t="str">
        <f>IFERROR(__xludf.DUMMYFUNCTION("""COMPUTED_VALUE"""),"MOBILIARIO")</f>
        <v>MOBILIARIO</v>
      </c>
      <c r="E109" s="213" t="str">
        <f>IFERROR(__xludf.DUMMYFUNCTION("""COMPUTED_VALUE"""),"MOB-105")</f>
        <v>MOB-105</v>
      </c>
      <c r="F109" s="213" t="str">
        <f>IFERROR(__xludf.DUMMYFUNCTION("""COMPUTED_VALUE"""),"MOB-105-Y")</f>
        <v>MOB-105-Y</v>
      </c>
      <c r="G109" s="213"/>
      <c r="H109" s="213" t="str">
        <f>IFERROR(__xludf.DUMMYFUNCTION("""COMPUTED_VALUE"""),"ARMARIO DE METAL (1.00 X 0.40 X 1.80M.)")</f>
        <v>ARMARIO DE METAL (1.00 X 0.40 X 1.80M.)</v>
      </c>
      <c r="I109"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09" s="213">
        <f>IFERROR(__xludf.DUMMYFUNCTION("""COMPUTED_VALUE"""),3.0)</f>
        <v>3</v>
      </c>
      <c r="K109" s="213" t="str">
        <f>IFERROR(__xludf.DUMMYFUNCTION("""COMPUTED_VALUE"""),"90 DÍAS CALENDARIO")</f>
        <v>90 DÍAS CALENDARIO</v>
      </c>
      <c r="L109" s="213" t="str">
        <f>IFERROR(__xludf.DUMMYFUNCTION("""COMPUTED_VALUE"""),"")</f>
        <v/>
      </c>
      <c r="M109" s="213">
        <f>IFERROR(__xludf.DUMMYFUNCTION("""COMPUTED_VALUE"""),1.0)</f>
        <v>1</v>
      </c>
      <c r="N109" s="213">
        <f>IFERROR(__xludf.DUMMYFUNCTION("""COMPUTED_VALUE"""),1.0)</f>
        <v>1</v>
      </c>
      <c r="O109" s="213">
        <f>IFERROR(__xludf.DUMMYFUNCTION("""COMPUTED_VALUE"""),1.0)</f>
        <v>1</v>
      </c>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3"/>
      <c r="AS109" s="213"/>
      <c r="AT109" s="213"/>
      <c r="AU109" s="213"/>
      <c r="AV109" s="213"/>
      <c r="AW109" s="213"/>
      <c r="AX109" s="213"/>
      <c r="AY109" s="213"/>
      <c r="AZ109" s="213"/>
      <c r="BA109" s="213"/>
      <c r="BB109" s="213"/>
      <c r="BC109" s="213"/>
      <c r="BD109" s="213"/>
    </row>
    <row r="110">
      <c r="A110" s="213">
        <f>IFERROR(__xludf.DUMMYFUNCTION("""COMPUTED_VALUE"""),2383.0)</f>
        <v>2383</v>
      </c>
      <c r="B110" s="213" t="str">
        <f>IFERROR(__xludf.DUMMYFUNCTION("""COMPUTED_VALUE"""),"MANUEL ANTONIO MESONES MURO")</f>
        <v>MANUEL ANTONIO MESONES MURO</v>
      </c>
      <c r="C110" s="213" t="str">
        <f>IFERROR(__xludf.DUMMYFUNCTION("""COMPUTED_VALUE"""),"TALLER SFT DE INDUSTRIA DEL VESTIDO")</f>
        <v>TALLER SFT DE INDUSTRIA DEL VESTIDO</v>
      </c>
      <c r="D110" s="213" t="str">
        <f>IFERROR(__xludf.DUMMYFUNCTION("""COMPUTED_VALUE"""),"MOBILIARIO")</f>
        <v>MOBILIARIO</v>
      </c>
      <c r="E110" s="213" t="str">
        <f>IFERROR(__xludf.DUMMYFUNCTION("""COMPUTED_VALUE"""),"MOB-105")</f>
        <v>MOB-105</v>
      </c>
      <c r="F110" s="213" t="str">
        <f>IFERROR(__xludf.DUMMYFUNCTION("""COMPUTED_VALUE"""),"MOB-105-Y")</f>
        <v>MOB-105-Y</v>
      </c>
      <c r="G110" s="213"/>
      <c r="H110" s="213" t="str">
        <f>IFERROR(__xludf.DUMMYFUNCTION("""COMPUTED_VALUE"""),"ARMARIO DE METAL (1.00 X 0.40 X 1.80M.)")</f>
        <v>ARMARIO DE METAL (1.00 X 0.40 X 1.80M.)</v>
      </c>
      <c r="I110"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0" s="213">
        <f>IFERROR(__xludf.DUMMYFUNCTION("""COMPUTED_VALUE"""),3.0)</f>
        <v>3</v>
      </c>
      <c r="K110" s="213" t="str">
        <f>IFERROR(__xludf.DUMMYFUNCTION("""COMPUTED_VALUE"""),"90 DÍAS CALENDARIO")</f>
        <v>90 DÍAS CALENDARIO</v>
      </c>
      <c r="L110" s="213" t="str">
        <f>IFERROR(__xludf.DUMMYFUNCTION("""COMPUTED_VALUE"""),"")</f>
        <v/>
      </c>
      <c r="M110" s="213">
        <f>IFERROR(__xludf.DUMMYFUNCTION("""COMPUTED_VALUE"""),1.0)</f>
        <v>1</v>
      </c>
      <c r="N110" s="213">
        <f>IFERROR(__xludf.DUMMYFUNCTION("""COMPUTED_VALUE"""),1.0)</f>
        <v>1</v>
      </c>
      <c r="O110" s="213">
        <f>IFERROR(__xludf.DUMMYFUNCTION("""COMPUTED_VALUE"""),1.0)</f>
        <v>1</v>
      </c>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213"/>
      <c r="AT110" s="213"/>
      <c r="AU110" s="213"/>
      <c r="AV110" s="213"/>
      <c r="AW110" s="213"/>
      <c r="AX110" s="213"/>
      <c r="AY110" s="213"/>
      <c r="AZ110" s="213"/>
      <c r="BA110" s="213"/>
      <c r="BB110" s="213"/>
      <c r="BC110" s="213"/>
      <c r="BD110" s="213"/>
    </row>
    <row r="111">
      <c r="A111" s="213">
        <f>IFERROR(__xludf.DUMMYFUNCTION("""COMPUTED_VALUE"""),2384.0)</f>
        <v>2384</v>
      </c>
      <c r="B111" s="213" t="str">
        <f>IFERROR(__xludf.DUMMYFUNCTION("""COMPUTED_VALUE"""),"MANUEL ANTONIO MESONES MURO")</f>
        <v>MANUEL ANTONIO MESONES MURO</v>
      </c>
      <c r="C111" s="213" t="str">
        <f>IFERROR(__xludf.DUMMYFUNCTION("""COMPUTED_VALUE"""),"TALLER SFT DE INDUSTRIA DEL VESTIDO")</f>
        <v>TALLER SFT DE INDUSTRIA DEL VESTIDO</v>
      </c>
      <c r="D111" s="213" t="str">
        <f>IFERROR(__xludf.DUMMYFUNCTION("""COMPUTED_VALUE"""),"MOBILIARIO")</f>
        <v>MOBILIARIO</v>
      </c>
      <c r="E111" s="213" t="str">
        <f>IFERROR(__xludf.DUMMYFUNCTION("""COMPUTED_VALUE"""),"MOB-105")</f>
        <v>MOB-105</v>
      </c>
      <c r="F111" s="213" t="str">
        <f>IFERROR(__xludf.DUMMYFUNCTION("""COMPUTED_VALUE"""),"MOB-105-Y")</f>
        <v>MOB-105-Y</v>
      </c>
      <c r="G111" s="213"/>
      <c r="H111" s="213" t="str">
        <f>IFERROR(__xludf.DUMMYFUNCTION("""COMPUTED_VALUE"""),"ARMARIO DE METAL (1.00 X 0.40 X 1.80M.)")</f>
        <v>ARMARIO DE METAL (1.00 X 0.40 X 1.80M.)</v>
      </c>
      <c r="I111"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1" s="213">
        <f>IFERROR(__xludf.DUMMYFUNCTION("""COMPUTED_VALUE"""),3.0)</f>
        <v>3</v>
      </c>
      <c r="K111" s="213" t="str">
        <f>IFERROR(__xludf.DUMMYFUNCTION("""COMPUTED_VALUE"""),"90 DÍAS CALENDARIO")</f>
        <v>90 DÍAS CALENDARIO</v>
      </c>
      <c r="L111" s="213" t="str">
        <f>IFERROR(__xludf.DUMMYFUNCTION("""COMPUTED_VALUE"""),"")</f>
        <v/>
      </c>
      <c r="M111" s="213">
        <f>IFERROR(__xludf.DUMMYFUNCTION("""COMPUTED_VALUE"""),1.0)</f>
        <v>1</v>
      </c>
      <c r="N111" s="213">
        <f>IFERROR(__xludf.DUMMYFUNCTION("""COMPUTED_VALUE"""),1.0)</f>
        <v>1</v>
      </c>
      <c r="O111" s="213">
        <f>IFERROR(__xludf.DUMMYFUNCTION("""COMPUTED_VALUE"""),1.0)</f>
        <v>1</v>
      </c>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213"/>
      <c r="AT111" s="213"/>
      <c r="AU111" s="213"/>
      <c r="AV111" s="213"/>
      <c r="AW111" s="213"/>
      <c r="AX111" s="213"/>
      <c r="AY111" s="213"/>
      <c r="AZ111" s="213"/>
      <c r="BA111" s="213"/>
      <c r="BB111" s="213"/>
      <c r="BC111" s="213"/>
      <c r="BD111" s="213"/>
    </row>
    <row r="112">
      <c r="A112" s="213">
        <f>IFERROR(__xludf.DUMMYFUNCTION("""COMPUTED_VALUE"""),2456.0)</f>
        <v>2456</v>
      </c>
      <c r="B112" s="213" t="str">
        <f>IFERROR(__xludf.DUMMYFUNCTION("""COMPUTED_VALUE"""),"MANUEL ANTONIO MESONES MURO")</f>
        <v>MANUEL ANTONIO MESONES MURO</v>
      </c>
      <c r="C112" s="213" t="str">
        <f>IFERROR(__xludf.DUMMYFUNCTION("""COMPUTED_VALUE"""),"TALLER SFT DE CONSTRUCCIONES METÁLICAS")</f>
        <v>TALLER SFT DE CONSTRUCCIONES METÁLICAS</v>
      </c>
      <c r="D112" s="213" t="str">
        <f>IFERROR(__xludf.DUMMYFUNCTION("""COMPUTED_VALUE"""),"MOBILIARIO")</f>
        <v>MOBILIARIO</v>
      </c>
      <c r="E112" s="213" t="str">
        <f>IFERROR(__xludf.DUMMYFUNCTION("""COMPUTED_VALUE"""),"MOB-105")</f>
        <v>MOB-105</v>
      </c>
      <c r="F112" s="213" t="str">
        <f>IFERROR(__xludf.DUMMYFUNCTION("""COMPUTED_VALUE"""),"MOB-105-Y")</f>
        <v>MOB-105-Y</v>
      </c>
      <c r="G112" s="213"/>
      <c r="H112" s="213" t="str">
        <f>IFERROR(__xludf.DUMMYFUNCTION("""COMPUTED_VALUE"""),"ARMARIO DE METAL (1.00 X 0.40 X 1.80M.)")</f>
        <v>ARMARIO DE METAL (1.00 X 0.40 X 1.80M.)</v>
      </c>
      <c r="I112"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2" s="213">
        <f>IFERROR(__xludf.DUMMYFUNCTION("""COMPUTED_VALUE"""),3.0)</f>
        <v>3</v>
      </c>
      <c r="K112" s="213" t="str">
        <f>IFERROR(__xludf.DUMMYFUNCTION("""COMPUTED_VALUE"""),"90 DÍAS CALENDARIO")</f>
        <v>90 DÍAS CALENDARIO</v>
      </c>
      <c r="L112" s="213" t="str">
        <f>IFERROR(__xludf.DUMMYFUNCTION("""COMPUTED_VALUE"""),"")</f>
        <v/>
      </c>
      <c r="M112" s="213">
        <f>IFERROR(__xludf.DUMMYFUNCTION("""COMPUTED_VALUE"""),1.0)</f>
        <v>1</v>
      </c>
      <c r="N112" s="213">
        <f>IFERROR(__xludf.DUMMYFUNCTION("""COMPUTED_VALUE"""),1.0)</f>
        <v>1</v>
      </c>
      <c r="O112" s="213">
        <f>IFERROR(__xludf.DUMMYFUNCTION("""COMPUTED_VALUE"""),1.0)</f>
        <v>1</v>
      </c>
      <c r="P112" s="213"/>
      <c r="Q112" s="213"/>
      <c r="R112" s="213"/>
      <c r="S112" s="213"/>
      <c r="T112" s="213"/>
      <c r="U112" s="213"/>
      <c r="V112" s="213"/>
      <c r="W112" s="213"/>
      <c r="X112" s="213"/>
      <c r="Y112" s="213"/>
      <c r="Z112" s="213"/>
      <c r="AA112" s="213"/>
      <c r="AB112" s="213"/>
      <c r="AC112" s="213"/>
      <c r="AD112" s="213"/>
      <c r="AE112" s="213"/>
      <c r="AF112" s="213"/>
      <c r="AG112" s="213"/>
      <c r="AH112" s="213"/>
      <c r="AI112" s="213"/>
      <c r="AJ112" s="213"/>
      <c r="AK112" s="213"/>
      <c r="AL112" s="213"/>
      <c r="AM112" s="213"/>
      <c r="AN112" s="213"/>
      <c r="AO112" s="213"/>
      <c r="AP112" s="213"/>
      <c r="AQ112" s="213"/>
      <c r="AR112" s="213"/>
      <c r="AS112" s="213" t="str">
        <f>IFERROR(__xludf.DUMMYFUNCTION("""COMPUTED_VALUE"""),"")</f>
        <v/>
      </c>
      <c r="AT112" s="217" t="str">
        <f>IFERROR(__xludf.DUMMYFUNCTION("""COMPUTED_VALUE"""),"")</f>
        <v/>
      </c>
      <c r="AU112" s="213"/>
      <c r="AV112" s="213"/>
      <c r="AW112" s="213"/>
      <c r="AX112" s="213"/>
      <c r="AY112" s="213"/>
      <c r="AZ112" s="213"/>
      <c r="BA112" s="213"/>
      <c r="BB112" s="213"/>
      <c r="BC112" s="213"/>
      <c r="BD112" s="213"/>
    </row>
    <row r="113">
      <c r="A113" s="213">
        <f>IFERROR(__xludf.DUMMYFUNCTION("""COMPUTED_VALUE"""),2546.0)</f>
        <v>2546</v>
      </c>
      <c r="B113" s="213" t="str">
        <f>IFERROR(__xludf.DUMMYFUNCTION("""COMPUTED_VALUE"""),"MANUEL ANTONIO MESONES MURO")</f>
        <v>MANUEL ANTONIO MESONES MURO</v>
      </c>
      <c r="C113" s="213" t="str">
        <f>IFERROR(__xludf.DUMMYFUNCTION("""COMPUTED_VALUE"""),"TALLER SFT DE EBANISTERÍA")</f>
        <v>TALLER SFT DE EBANISTERÍA</v>
      </c>
      <c r="D113" s="213" t="str">
        <f>IFERROR(__xludf.DUMMYFUNCTION("""COMPUTED_VALUE"""),"MOBILIARIO")</f>
        <v>MOBILIARIO</v>
      </c>
      <c r="E113" s="213" t="str">
        <f>IFERROR(__xludf.DUMMYFUNCTION("""COMPUTED_VALUE"""),"MOB-105")</f>
        <v>MOB-105</v>
      </c>
      <c r="F113" s="213" t="str">
        <f>IFERROR(__xludf.DUMMYFUNCTION("""COMPUTED_VALUE"""),"MOB-105-Y")</f>
        <v>MOB-105-Y</v>
      </c>
      <c r="G113" s="213"/>
      <c r="H113" s="213" t="str">
        <f>IFERROR(__xludf.DUMMYFUNCTION("""COMPUTED_VALUE"""),"ARMARIO DE METAL (1.00 X 0.40 X 1.80M.)")</f>
        <v>ARMARIO DE METAL (1.00 X 0.40 X 1.80M.)</v>
      </c>
      <c r="I113"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3" s="213">
        <f>IFERROR(__xludf.DUMMYFUNCTION("""COMPUTED_VALUE"""),3.0)</f>
        <v>3</v>
      </c>
      <c r="K113" s="213" t="str">
        <f>IFERROR(__xludf.DUMMYFUNCTION("""COMPUTED_VALUE"""),"90 DÍAS CALENDARIO")</f>
        <v>90 DÍAS CALENDARIO</v>
      </c>
      <c r="L113" s="213" t="str">
        <f>IFERROR(__xludf.DUMMYFUNCTION("""COMPUTED_VALUE"""),"")</f>
        <v/>
      </c>
      <c r="M113" s="213">
        <f>IFERROR(__xludf.DUMMYFUNCTION("""COMPUTED_VALUE"""),1.0)</f>
        <v>1</v>
      </c>
      <c r="N113" s="213">
        <f>IFERROR(__xludf.DUMMYFUNCTION("""COMPUTED_VALUE"""),1.0)</f>
        <v>1</v>
      </c>
      <c r="O113" s="213">
        <f>IFERROR(__xludf.DUMMYFUNCTION("""COMPUTED_VALUE"""),1.0)</f>
        <v>1</v>
      </c>
      <c r="P113" s="213"/>
      <c r="Q113" s="213"/>
      <c r="R113" s="213"/>
      <c r="S113" s="213"/>
      <c r="T113" s="213"/>
      <c r="U113" s="213"/>
      <c r="V113" s="213"/>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13"/>
      <c r="AV113" s="213"/>
      <c r="AW113" s="213"/>
      <c r="AX113" s="213"/>
      <c r="AY113" s="213"/>
      <c r="AZ113" s="213"/>
      <c r="BA113" s="213"/>
      <c r="BB113" s="213"/>
      <c r="BC113" s="213"/>
      <c r="BD113" s="213"/>
    </row>
    <row r="114">
      <c r="A114" s="213">
        <f>IFERROR(__xludf.DUMMYFUNCTION("""COMPUTED_VALUE"""),2556.0)</f>
        <v>2556</v>
      </c>
      <c r="B114" s="213" t="str">
        <f>IFERROR(__xludf.DUMMYFUNCTION("""COMPUTED_VALUE"""),"MANUEL ANTONIO MESONES MURO")</f>
        <v>MANUEL ANTONIO MESONES MURO</v>
      </c>
      <c r="C114" s="213" t="str">
        <f>IFERROR(__xludf.DUMMYFUNCTION("""COMPUTED_VALUE"""),"TALLER SFT DE EBANISTERÍA")</f>
        <v>TALLER SFT DE EBANISTERÍA</v>
      </c>
      <c r="D114" s="213" t="str">
        <f>IFERROR(__xludf.DUMMYFUNCTION("""COMPUTED_VALUE"""),"MOBILIARIO")</f>
        <v>MOBILIARIO</v>
      </c>
      <c r="E114" s="213" t="str">
        <f>IFERROR(__xludf.DUMMYFUNCTION("""COMPUTED_VALUE"""),"MOB-105")</f>
        <v>MOB-105</v>
      </c>
      <c r="F114" s="213" t="str">
        <f>IFERROR(__xludf.DUMMYFUNCTION("""COMPUTED_VALUE"""),"MOB-105-Y")</f>
        <v>MOB-105-Y</v>
      </c>
      <c r="G114" s="213"/>
      <c r="H114" s="213" t="str">
        <f>IFERROR(__xludf.DUMMYFUNCTION("""COMPUTED_VALUE"""),"ARMARIO DE METAL (1.00 X 0.40 X 1.80M.)")</f>
        <v>ARMARIO DE METAL (1.00 X 0.40 X 1.80M.)</v>
      </c>
      <c r="I114"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4" s="213">
        <f>IFERROR(__xludf.DUMMYFUNCTION("""COMPUTED_VALUE"""),3.0)</f>
        <v>3</v>
      </c>
      <c r="K114" s="213" t="str">
        <f>IFERROR(__xludf.DUMMYFUNCTION("""COMPUTED_VALUE"""),"90 DÍAS CALENDARIO")</f>
        <v>90 DÍAS CALENDARIO</v>
      </c>
      <c r="L114" s="213" t="str">
        <f>IFERROR(__xludf.DUMMYFUNCTION("""COMPUTED_VALUE"""),"")</f>
        <v/>
      </c>
      <c r="M114" s="213">
        <f>IFERROR(__xludf.DUMMYFUNCTION("""COMPUTED_VALUE"""),1.0)</f>
        <v>1</v>
      </c>
      <c r="N114" s="213">
        <f>IFERROR(__xludf.DUMMYFUNCTION("""COMPUTED_VALUE"""),2.0)</f>
        <v>2</v>
      </c>
      <c r="O114" s="213">
        <f>IFERROR(__xludf.DUMMYFUNCTION("""COMPUTED_VALUE"""),2.0)</f>
        <v>2</v>
      </c>
      <c r="P114" s="213"/>
      <c r="Q114" s="213"/>
      <c r="R114" s="213"/>
      <c r="S114" s="213"/>
      <c r="T114" s="213"/>
      <c r="U114" s="213"/>
      <c r="V114" s="213"/>
      <c r="W114" s="213"/>
      <c r="X114" s="213"/>
      <c r="Y114" s="213"/>
      <c r="Z114" s="213"/>
      <c r="AA114" s="213"/>
      <c r="AB114" s="213"/>
      <c r="AC114" s="213"/>
      <c r="AD114" s="213"/>
      <c r="AE114" s="213"/>
      <c r="AF114" s="213"/>
      <c r="AG114" s="213"/>
      <c r="AH114" s="213"/>
      <c r="AI114" s="213"/>
      <c r="AJ114" s="213"/>
      <c r="AK114" s="213"/>
      <c r="AL114" s="213"/>
      <c r="AM114" s="213"/>
      <c r="AN114" s="213"/>
      <c r="AO114" s="213"/>
      <c r="AP114" s="213"/>
      <c r="AQ114" s="213"/>
      <c r="AR114" s="213"/>
      <c r="AS114" s="213"/>
      <c r="AT114" s="213"/>
      <c r="AU114" s="213"/>
      <c r="AV114" s="213"/>
      <c r="AW114" s="213"/>
      <c r="AX114" s="213"/>
      <c r="AY114" s="213"/>
      <c r="AZ114" s="213"/>
      <c r="BA114" s="213"/>
      <c r="BB114" s="213"/>
      <c r="BC114" s="213"/>
      <c r="BD114" s="213"/>
    </row>
    <row r="115">
      <c r="A115" s="213">
        <f>IFERROR(__xludf.DUMMYFUNCTION("""COMPUTED_VALUE"""),2557.0)</f>
        <v>2557</v>
      </c>
      <c r="B115" s="213" t="str">
        <f>IFERROR(__xludf.DUMMYFUNCTION("""COMPUTED_VALUE"""),"MANUEL ANTONIO MESONES MURO")</f>
        <v>MANUEL ANTONIO MESONES MURO</v>
      </c>
      <c r="C115" s="213" t="str">
        <f>IFERROR(__xludf.DUMMYFUNCTION("""COMPUTED_VALUE"""),"TALLER SFT DE EBANISTERÍA")</f>
        <v>TALLER SFT DE EBANISTERÍA</v>
      </c>
      <c r="D115" s="213" t="str">
        <f>IFERROR(__xludf.DUMMYFUNCTION("""COMPUTED_VALUE"""),"MOBILIARIO")</f>
        <v>MOBILIARIO</v>
      </c>
      <c r="E115" s="213" t="str">
        <f>IFERROR(__xludf.DUMMYFUNCTION("""COMPUTED_VALUE"""),"MOB-105")</f>
        <v>MOB-105</v>
      </c>
      <c r="F115" s="213" t="str">
        <f>IFERROR(__xludf.DUMMYFUNCTION("""COMPUTED_VALUE"""),"MOB-105-Y")</f>
        <v>MOB-105-Y</v>
      </c>
      <c r="G115" s="213"/>
      <c r="H115" s="213" t="str">
        <f>IFERROR(__xludf.DUMMYFUNCTION("""COMPUTED_VALUE"""),"ARMARIO DE METAL (1.00 X 0.40 X 1.80M.)")</f>
        <v>ARMARIO DE METAL (1.00 X 0.40 X 1.80M.)</v>
      </c>
      <c r="I115"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5" s="213">
        <f>IFERROR(__xludf.DUMMYFUNCTION("""COMPUTED_VALUE"""),3.0)</f>
        <v>3</v>
      </c>
      <c r="K115" s="213" t="str">
        <f>IFERROR(__xludf.DUMMYFUNCTION("""COMPUTED_VALUE"""),"90 DÍAS CALENDARIO")</f>
        <v>90 DÍAS CALENDARIO</v>
      </c>
      <c r="L115" s="213" t="str">
        <f>IFERROR(__xludf.DUMMYFUNCTION("""COMPUTED_VALUE"""),"")</f>
        <v/>
      </c>
      <c r="M115" s="213">
        <f>IFERROR(__xludf.DUMMYFUNCTION("""COMPUTED_VALUE"""),1.0)</f>
        <v>1</v>
      </c>
      <c r="N115" s="213">
        <f>IFERROR(__xludf.DUMMYFUNCTION("""COMPUTED_VALUE"""),1.0)</f>
        <v>1</v>
      </c>
      <c r="O115" s="213">
        <f>IFERROR(__xludf.DUMMYFUNCTION("""COMPUTED_VALUE"""),1.0)</f>
        <v>1</v>
      </c>
      <c r="P115" s="213"/>
      <c r="Q115" s="213"/>
      <c r="R115" s="213"/>
      <c r="S115" s="213"/>
      <c r="T115" s="213"/>
      <c r="U115" s="213"/>
      <c r="V115" s="213"/>
      <c r="W115" s="213"/>
      <c r="X115" s="213"/>
      <c r="Y115" s="213"/>
      <c r="Z115" s="213"/>
      <c r="AA115" s="213"/>
      <c r="AB115" s="213"/>
      <c r="AC115" s="213"/>
      <c r="AD115" s="213"/>
      <c r="AE115" s="213"/>
      <c r="AF115" s="213"/>
      <c r="AG115" s="213"/>
      <c r="AH115" s="213"/>
      <c r="AI115" s="213"/>
      <c r="AJ115" s="213"/>
      <c r="AK115" s="213"/>
      <c r="AL115" s="213"/>
      <c r="AM115" s="213"/>
      <c r="AN115" s="213"/>
      <c r="AO115" s="213"/>
      <c r="AP115" s="213"/>
      <c r="AQ115" s="213"/>
      <c r="AR115" s="213"/>
      <c r="AS115" s="213"/>
      <c r="AT115" s="213"/>
      <c r="AU115" s="213"/>
      <c r="AV115" s="213"/>
      <c r="AW115" s="213"/>
      <c r="AX115" s="213"/>
      <c r="AY115" s="213"/>
      <c r="AZ115" s="213"/>
      <c r="BA115" s="213"/>
      <c r="BB115" s="213"/>
      <c r="BC115" s="213"/>
      <c r="BD115" s="213"/>
    </row>
    <row r="116">
      <c r="A116" s="213">
        <f>IFERROR(__xludf.DUMMYFUNCTION("""COMPUTED_VALUE"""),2558.0)</f>
        <v>2558</v>
      </c>
      <c r="B116" s="213" t="str">
        <f>IFERROR(__xludf.DUMMYFUNCTION("""COMPUTED_VALUE"""),"MANUEL ANTONIO MESONES MURO")</f>
        <v>MANUEL ANTONIO MESONES MURO</v>
      </c>
      <c r="C116" s="213" t="str">
        <f>IFERROR(__xludf.DUMMYFUNCTION("""COMPUTED_VALUE"""),"TALLER SFT DE EBANISTERÍA")</f>
        <v>TALLER SFT DE EBANISTERÍA</v>
      </c>
      <c r="D116" s="213" t="str">
        <f>IFERROR(__xludf.DUMMYFUNCTION("""COMPUTED_VALUE"""),"MOBILIARIO")</f>
        <v>MOBILIARIO</v>
      </c>
      <c r="E116" s="213" t="str">
        <f>IFERROR(__xludf.DUMMYFUNCTION("""COMPUTED_VALUE"""),"MOB-105")</f>
        <v>MOB-105</v>
      </c>
      <c r="F116" s="213" t="str">
        <f>IFERROR(__xludf.DUMMYFUNCTION("""COMPUTED_VALUE"""),"MOB-105-Y")</f>
        <v>MOB-105-Y</v>
      </c>
      <c r="G116" s="213"/>
      <c r="H116" s="213" t="str">
        <f>IFERROR(__xludf.DUMMYFUNCTION("""COMPUTED_VALUE"""),"ARMARIO DE METAL (1.00 X 0.40 X 1.80M.)")</f>
        <v>ARMARIO DE METAL (1.00 X 0.40 X 1.80M.)</v>
      </c>
      <c r="I116"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6" s="213">
        <f>IFERROR(__xludf.DUMMYFUNCTION("""COMPUTED_VALUE"""),3.0)</f>
        <v>3</v>
      </c>
      <c r="K116" s="213" t="str">
        <f>IFERROR(__xludf.DUMMYFUNCTION("""COMPUTED_VALUE"""),"90 DÍAS CALENDARIO")</f>
        <v>90 DÍAS CALENDARIO</v>
      </c>
      <c r="L116" s="213" t="str">
        <f>IFERROR(__xludf.DUMMYFUNCTION("""COMPUTED_VALUE"""),"")</f>
        <v/>
      </c>
      <c r="M116" s="213">
        <f>IFERROR(__xludf.DUMMYFUNCTION("""COMPUTED_VALUE"""),1.0)</f>
        <v>1</v>
      </c>
      <c r="N116" s="213">
        <f>IFERROR(__xludf.DUMMYFUNCTION("""COMPUTED_VALUE"""),1.0)</f>
        <v>1</v>
      </c>
      <c r="O116" s="213">
        <f>IFERROR(__xludf.DUMMYFUNCTION("""COMPUTED_VALUE"""),1.0)</f>
        <v>1</v>
      </c>
      <c r="P116" s="213"/>
      <c r="Q116" s="213"/>
      <c r="R116" s="213"/>
      <c r="S116" s="213"/>
      <c r="T116" s="213"/>
      <c r="U116" s="213"/>
      <c r="V116" s="213"/>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3"/>
      <c r="AR116" s="213"/>
      <c r="AS116" s="213"/>
      <c r="AT116" s="213"/>
      <c r="AU116" s="213"/>
      <c r="AV116" s="213"/>
      <c r="AW116" s="213"/>
      <c r="AX116" s="213"/>
      <c r="AY116" s="213"/>
      <c r="AZ116" s="213"/>
      <c r="BA116" s="213"/>
      <c r="BB116" s="213"/>
      <c r="BC116" s="213"/>
      <c r="BD116" s="213"/>
    </row>
    <row r="117">
      <c r="A117" s="213">
        <f>IFERROR(__xludf.DUMMYFUNCTION("""COMPUTED_VALUE"""),617.0)</f>
        <v>617</v>
      </c>
      <c r="B117" s="213" t="str">
        <f>IFERROR(__xludf.DUMMYFUNCTION("""COMPUTED_VALUE"""),"6049 RICARDO PALMA")</f>
        <v>6049 RICARDO PALMA</v>
      </c>
      <c r="C117" s="213" t="str">
        <f>IFERROR(__xludf.DUMMYFUNCTION("""COMPUTED_VALUE"""),"TALLER SFT DE ELECTRÓNICA")</f>
        <v>TALLER SFT DE ELECTRÓNICA</v>
      </c>
      <c r="D117" s="213" t="str">
        <f>IFERROR(__xludf.DUMMYFUNCTION("""COMPUTED_VALUE"""),"MOBILIARIO")</f>
        <v>MOBILIARIO</v>
      </c>
      <c r="E117" s="213" t="str">
        <f>IFERROR(__xludf.DUMMYFUNCTION("""COMPUTED_VALUE"""),"MOB-105")</f>
        <v>MOB-105</v>
      </c>
      <c r="F117" s="213" t="str">
        <f>IFERROR(__xludf.DUMMYFUNCTION("""COMPUTED_VALUE"""),"MOB-105-Y")</f>
        <v>MOB-105-Y</v>
      </c>
      <c r="G117" s="213"/>
      <c r="H117" s="213" t="str">
        <f>IFERROR(__xludf.DUMMYFUNCTION("""COMPUTED_VALUE"""),"ARMARIO DE METAL (1.00 X 0.40 X 1.80M.)")</f>
        <v>ARMARIO DE METAL (1.00 X 0.40 X 1.80M.)</v>
      </c>
      <c r="I117"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7" s="213">
        <f>IFERROR(__xludf.DUMMYFUNCTION("""COMPUTED_VALUE"""),3.0)</f>
        <v>3</v>
      </c>
      <c r="K117" s="213" t="str">
        <f>IFERROR(__xludf.DUMMYFUNCTION("""COMPUTED_VALUE"""),"90 DÍAS CALENDARIO")</f>
        <v>90 DÍAS CALENDARIO</v>
      </c>
      <c r="L117" s="213" t="str">
        <f>IFERROR(__xludf.DUMMYFUNCTION("""COMPUTED_VALUE"""),"")</f>
        <v/>
      </c>
      <c r="M117" s="213">
        <f>IFERROR(__xludf.DUMMYFUNCTION("""COMPUTED_VALUE"""),1.0)</f>
        <v>1</v>
      </c>
      <c r="N117" s="213">
        <f>IFERROR(__xludf.DUMMYFUNCTION("""COMPUTED_VALUE"""),1.0)</f>
        <v>1</v>
      </c>
      <c r="O117" s="213">
        <f>IFERROR(__xludf.DUMMYFUNCTION("""COMPUTED_VALUE"""),1.0)</f>
        <v>1</v>
      </c>
      <c r="P117" s="213"/>
      <c r="Q117" s="213"/>
      <c r="R117" s="213"/>
      <c r="S117" s="213"/>
      <c r="T117" s="213"/>
      <c r="U117" s="213"/>
      <c r="V117" s="213"/>
      <c r="W117" s="213"/>
      <c r="X117" s="213"/>
      <c r="Y117" s="213"/>
      <c r="Z117" s="213"/>
      <c r="AA117" s="213"/>
      <c r="AB117" s="213"/>
      <c r="AC117" s="213"/>
      <c r="AD117" s="213"/>
      <c r="AE117" s="213"/>
      <c r="AF117" s="213"/>
      <c r="AG117" s="213"/>
      <c r="AH117" s="213"/>
      <c r="AI117" s="213"/>
      <c r="AJ117" s="213"/>
      <c r="AK117" s="213"/>
      <c r="AL117" s="213"/>
      <c r="AM117" s="213"/>
      <c r="AN117" s="213"/>
      <c r="AO117" s="213"/>
      <c r="AP117" s="213"/>
      <c r="AQ117" s="213"/>
      <c r="AR117" s="213"/>
      <c r="AS117" s="213"/>
      <c r="AT117" s="213"/>
      <c r="AU117" s="213"/>
      <c r="AV117" s="213"/>
      <c r="AW117" s="213"/>
      <c r="AX117" s="213"/>
      <c r="AY117" s="213"/>
      <c r="AZ117" s="213"/>
      <c r="BA117" s="213"/>
      <c r="BB117" s="213"/>
      <c r="BC117" s="213"/>
      <c r="BD117" s="213"/>
    </row>
    <row r="118">
      <c r="A118" s="213">
        <f>IFERROR(__xludf.DUMMYFUNCTION("""COMPUTED_VALUE"""),626.0)</f>
        <v>626</v>
      </c>
      <c r="B118" s="213" t="str">
        <f>IFERROR(__xludf.DUMMYFUNCTION("""COMPUTED_VALUE"""),"6049 RICARDO PALMA")</f>
        <v>6049 RICARDO PALMA</v>
      </c>
      <c r="C118" s="213" t="str">
        <f>IFERROR(__xludf.DUMMYFUNCTION("""COMPUTED_VALUE"""),"TALLER SFT DE ELECTRÓNICA")</f>
        <v>TALLER SFT DE ELECTRÓNICA</v>
      </c>
      <c r="D118" s="213" t="str">
        <f>IFERROR(__xludf.DUMMYFUNCTION("""COMPUTED_VALUE"""),"MOBILIARIO")</f>
        <v>MOBILIARIO</v>
      </c>
      <c r="E118" s="213" t="str">
        <f>IFERROR(__xludf.DUMMYFUNCTION("""COMPUTED_VALUE"""),"MOB-105")</f>
        <v>MOB-105</v>
      </c>
      <c r="F118" s="213" t="str">
        <f>IFERROR(__xludf.DUMMYFUNCTION("""COMPUTED_VALUE"""),"MOB-105-Y")</f>
        <v>MOB-105-Y</v>
      </c>
      <c r="G118" s="213"/>
      <c r="H118" s="213" t="str">
        <f>IFERROR(__xludf.DUMMYFUNCTION("""COMPUTED_VALUE"""),"ARMARIO DE METAL (1.00 X 0.40 X 1.80M.)")</f>
        <v>ARMARIO DE METAL (1.00 X 0.40 X 1.80M.)</v>
      </c>
      <c r="I118"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8" s="213">
        <f>IFERROR(__xludf.DUMMYFUNCTION("""COMPUTED_VALUE"""),3.0)</f>
        <v>3</v>
      </c>
      <c r="K118" s="213" t="str">
        <f>IFERROR(__xludf.DUMMYFUNCTION("""COMPUTED_VALUE"""),"90 DÍAS CALENDARIO")</f>
        <v>90 DÍAS CALENDARIO</v>
      </c>
      <c r="L118" s="213" t="str">
        <f>IFERROR(__xludf.DUMMYFUNCTION("""COMPUTED_VALUE"""),"")</f>
        <v/>
      </c>
      <c r="M118" s="213">
        <f>IFERROR(__xludf.DUMMYFUNCTION("""COMPUTED_VALUE"""),1.0)</f>
        <v>1</v>
      </c>
      <c r="N118" s="213">
        <f>IFERROR(__xludf.DUMMYFUNCTION("""COMPUTED_VALUE"""),2.0)</f>
        <v>2</v>
      </c>
      <c r="O118" s="213">
        <f>IFERROR(__xludf.DUMMYFUNCTION("""COMPUTED_VALUE"""),2.0)</f>
        <v>2</v>
      </c>
      <c r="P118" s="213"/>
      <c r="Q118" s="213"/>
      <c r="R118" s="213"/>
      <c r="S118" s="213"/>
      <c r="T118" s="213"/>
      <c r="U118" s="213"/>
      <c r="V118" s="213"/>
      <c r="W118" s="213"/>
      <c r="X118" s="213"/>
      <c r="Y118" s="213"/>
      <c r="Z118" s="213"/>
      <c r="AA118" s="213"/>
      <c r="AB118" s="213"/>
      <c r="AC118" s="213"/>
      <c r="AD118" s="213"/>
      <c r="AE118" s="213"/>
      <c r="AF118" s="213"/>
      <c r="AG118" s="213"/>
      <c r="AH118" s="213"/>
      <c r="AI118" s="213"/>
      <c r="AJ118" s="213"/>
      <c r="AK118" s="213"/>
      <c r="AL118" s="213"/>
      <c r="AM118" s="213"/>
      <c r="AN118" s="213"/>
      <c r="AO118" s="213"/>
      <c r="AP118" s="213"/>
      <c r="AQ118" s="213"/>
      <c r="AR118" s="213"/>
      <c r="AS118" s="213"/>
      <c r="AT118" s="213"/>
      <c r="AU118" s="213"/>
      <c r="AV118" s="213"/>
      <c r="AW118" s="213"/>
      <c r="AX118" s="213"/>
      <c r="AY118" s="213"/>
      <c r="AZ118" s="213"/>
      <c r="BA118" s="213"/>
      <c r="BB118" s="213"/>
      <c r="BC118" s="213"/>
      <c r="BD118" s="213"/>
    </row>
    <row r="119">
      <c r="A119" s="213">
        <f>IFERROR(__xludf.DUMMYFUNCTION("""COMPUTED_VALUE"""),627.0)</f>
        <v>627</v>
      </c>
      <c r="B119" s="213" t="str">
        <f>IFERROR(__xludf.DUMMYFUNCTION("""COMPUTED_VALUE"""),"6049 RICARDO PALMA")</f>
        <v>6049 RICARDO PALMA</v>
      </c>
      <c r="C119" s="213" t="str">
        <f>IFERROR(__xludf.DUMMYFUNCTION("""COMPUTED_VALUE"""),"TALLER SFT DE ELECTRÓNICA")</f>
        <v>TALLER SFT DE ELECTRÓNICA</v>
      </c>
      <c r="D119" s="213" t="str">
        <f>IFERROR(__xludf.DUMMYFUNCTION("""COMPUTED_VALUE"""),"MOBILIARIO")</f>
        <v>MOBILIARIO</v>
      </c>
      <c r="E119" s="213" t="str">
        <f>IFERROR(__xludf.DUMMYFUNCTION("""COMPUTED_VALUE"""),"MOB-105")</f>
        <v>MOB-105</v>
      </c>
      <c r="F119" s="213" t="str">
        <f>IFERROR(__xludf.DUMMYFUNCTION("""COMPUTED_VALUE"""),"MOB-105-Y")</f>
        <v>MOB-105-Y</v>
      </c>
      <c r="G119" s="213"/>
      <c r="H119" s="213" t="str">
        <f>IFERROR(__xludf.DUMMYFUNCTION("""COMPUTED_VALUE"""),"ARMARIO DE METAL (1.00 X 0.40 X 1.80M.)")</f>
        <v>ARMARIO DE METAL (1.00 X 0.40 X 1.80M.)</v>
      </c>
      <c r="I119" s="213" t="str">
        <f>IFERROR(__xludf.DUMMYFUNCTION("""COMPUTED_VALUE"""),"· Armario con dos puertas batientes y cerradura con manija.
· Fabricado íntegramente con plancha de acero LAF, mínimo de 1.2 mm de espesor.
· Cuenta con 5 bandejas horizontales regulables en altura, y cremalleras para soportar las bandejas.
· Con tres bis"&amp;"agras internas por puerta.
· Soporte de  4 patas de tubo cuadrado de 1 1/2"" x 1,2 mm de espesor como mínimo, con regatones.
· Acabado en pintura de polvo electrostático (60 micras mínimo)
· Dimensiones:
- Altura: 1.80 m.
- Ancho: 1.00 m.
- Profundidad: 0"&amp;".40 m.")</f>
        <v>· Armario con dos puertas batientes y cerradura con manija.
· Fabricado íntegramente con plancha de acero LAF, mínimo de 1.2 mm de espesor.
· Cuenta con 5 bandejas horizontales regulables en altura, y cremalleras para soportar las bandejas.
· Con tres bisagras internas por puerta.
· Soporte de  4 patas de tubo cuadrado de 1 1/2" x 1,2 mm de espesor como mínimo, con regatones.
· Acabado en pintura de polvo electrostático (60 micras mínimo)
· Dimensiones:
- Altura: 1.80 m.
- Ancho: 1.00 m.
- Profundidad: 0.40 m.</v>
      </c>
      <c r="J119" s="213">
        <f>IFERROR(__xludf.DUMMYFUNCTION("""COMPUTED_VALUE"""),3.0)</f>
        <v>3</v>
      </c>
      <c r="K119" s="213" t="str">
        <f>IFERROR(__xludf.DUMMYFUNCTION("""COMPUTED_VALUE"""),"90 DÍAS CALENDARIO")</f>
        <v>90 DÍAS CALENDARIO</v>
      </c>
      <c r="L119" s="213" t="str">
        <f>IFERROR(__xludf.DUMMYFUNCTION("""COMPUTED_VALUE"""),"")</f>
        <v/>
      </c>
      <c r="M119" s="213">
        <f>IFERROR(__xludf.DUMMYFUNCTION("""COMPUTED_VALUE"""),1.0)</f>
        <v>1</v>
      </c>
      <c r="N119" s="213">
        <f>IFERROR(__xludf.DUMMYFUNCTION("""COMPUTED_VALUE"""),2.0)</f>
        <v>2</v>
      </c>
      <c r="O119" s="213">
        <f>IFERROR(__xludf.DUMMYFUNCTION("""COMPUTED_VALUE"""),2.0)</f>
        <v>2</v>
      </c>
      <c r="P119" s="213"/>
      <c r="Q119" s="213"/>
      <c r="R119" s="213"/>
      <c r="S119" s="213"/>
      <c r="T119" s="213"/>
      <c r="U119" s="213"/>
      <c r="V119" s="213"/>
      <c r="W119" s="213"/>
      <c r="X119" s="213"/>
      <c r="Y119" s="213"/>
      <c r="Z119" s="213"/>
      <c r="AA119" s="213"/>
      <c r="AB119" s="213"/>
      <c r="AC119" s="213"/>
      <c r="AD119" s="213"/>
      <c r="AE119" s="213"/>
      <c r="AF119" s="213"/>
      <c r="AG119" s="213"/>
      <c r="AH119" s="213"/>
      <c r="AI119" s="213"/>
      <c r="AJ119" s="213"/>
      <c r="AK119" s="213"/>
      <c r="AL119" s="213"/>
      <c r="AM119" s="213"/>
      <c r="AN119" s="213"/>
      <c r="AO119" s="213"/>
      <c r="AP119" s="213"/>
      <c r="AQ119" s="213"/>
      <c r="AR119" s="213"/>
      <c r="AS119" s="213"/>
      <c r="AT119" s="213"/>
      <c r="AU119" s="213"/>
      <c r="AV119" s="213"/>
      <c r="AW119" s="213"/>
      <c r="AX119" s="213"/>
      <c r="AY119" s="213"/>
      <c r="AZ119" s="213"/>
      <c r="BA119" s="213"/>
      <c r="BB119" s="213"/>
      <c r="BC119" s="213"/>
      <c r="BD119" s="213"/>
    </row>
    <row r="120">
      <c r="A120" s="213">
        <f>IFERROR(__xludf.DUMMYFUNCTION("""COMPUTED_VALUE"""),704.0)</f>
        <v>704</v>
      </c>
      <c r="B120" s="213" t="str">
        <f>IFERROR(__xludf.DUMMYFUNCTION("""COMPUTED_VALUE"""),"6049 RICARDO PALMA")</f>
        <v>6049 RICARDO PALMA</v>
      </c>
      <c r="C120" s="213" t="str">
        <f>IFERROR(__xludf.DUMMYFUNCTION("""COMPUTED_VALUE"""),"TALLER SFT DE ELECTRÓNICA")</f>
        <v>TALLER SFT DE ELECTRÓNICA</v>
      </c>
      <c r="D120" s="213" t="str">
        <f>IFERROR(__xludf.DUMMYFUNCTION("""COMPUTED_VALUE"""),"EQUIPOS")</f>
        <v>EQUIPOS</v>
      </c>
      <c r="E120" s="213" t="str">
        <f>IFERROR(__xludf.DUMMYFUNCTION("""COMPUTED_VALUE"""),"ESP-109")</f>
        <v>ESP-109</v>
      </c>
      <c r="F120" s="213" t="str">
        <f>IFERROR(__xludf.DUMMYFUNCTION("""COMPUTED_VALUE"""),"ESP-109")</f>
        <v>ESP-109</v>
      </c>
      <c r="G120" s="213"/>
      <c r="H120" s="213" t="str">
        <f>IFERROR(__xludf.DUMMYFUNCTION("""COMPUTED_VALUE"""),"ATORNILLADOR PORTÁTIL")</f>
        <v>ATORNILLADOR PORTÁTIL</v>
      </c>
      <c r="I120" s="213" t="str">
        <f>IFERROR(__xludf.DUMMYFUNCTION("""COMPUTED_VALUE"""),"*Batería de litio, con amperaje mínimo de 1,5 A.
*Con sistema de baterías recargables e intercambiables de 12 V.
*Porta brocas con máximo diámetro de abertura de: 10 mm.
*Torque mínimo 30 Nm.
*Velocidad de giro, mínimo: 1300 rpm.
*Con doble giro: atornill"&amp;"ador y destornillador.
*Con lampara LED para la iluminación del área de trabajo. Accesorios:Maletín para transporte
*Cargador de batería. Entrada a 220V Y 60 HZ.
*Set mínimo de 25 piezas de puntas diferentes para atornillar")</f>
        <v>*Batería de litio, con amperaje mínimo de 1,5 A.
*Con sistema de baterías recargables e intercambiables de 12 V.
*Porta brocas con máximo diámetro de abertura de: 10 mm.
*Torque mínimo 30 Nm.
*Velocidad de giro, mínimo: 1300 rpm.
*Con doble giro: atornillador y destornillador.
*Con lampara LED para la iluminación del área de trabajo. Accesorios:Maletín para transporte
*Cargador de batería. Entrada a 220V Y 60 HZ.
*Set mínimo de 25 piezas de puntas diferentes para atornillar</v>
      </c>
      <c r="J120" s="213">
        <f>IFERROR(__xludf.DUMMYFUNCTION("""COMPUTED_VALUE"""),3.0)</f>
        <v>3</v>
      </c>
      <c r="K120" s="213" t="str">
        <f>IFERROR(__xludf.DUMMYFUNCTION("""COMPUTED_VALUE"""),"170 DÍAS CALENDARIO")</f>
        <v>170 DÍAS CALENDARIO</v>
      </c>
      <c r="L120" s="213" t="str">
        <f>IFERROR(__xludf.DUMMYFUNCTION("""COMPUTED_VALUE"""),"")</f>
        <v/>
      </c>
      <c r="M120" s="213">
        <f>IFERROR(__xludf.DUMMYFUNCTION("""COMPUTED_VALUE"""),1.0)</f>
        <v>1</v>
      </c>
      <c r="N120" s="213">
        <f>IFERROR(__xludf.DUMMYFUNCTION("""COMPUTED_VALUE"""),3.0)</f>
        <v>3</v>
      </c>
      <c r="O120" s="213">
        <f>IFERROR(__xludf.DUMMYFUNCTION("""COMPUTED_VALUE"""),3.0)</f>
        <v>3</v>
      </c>
      <c r="P120" s="213"/>
      <c r="Q120" s="213"/>
      <c r="R120" s="213"/>
      <c r="S120" s="213" t="str">
        <f>IFERROR(__xludf.DUMMYFUNCTION("""COMPUTED_VALUE"""),"SI")</f>
        <v>SI</v>
      </c>
      <c r="T120" s="213" t="str">
        <f>IFERROR(__xludf.DUMMYFUNCTION("""COMPUTED_VALUE"""),"SI")</f>
        <v>SI</v>
      </c>
      <c r="U120" s="213" t="str">
        <f>IFERROR(__xludf.DUMMYFUNCTION("""COMPUTED_VALUE"""),"SI")</f>
        <v>SI</v>
      </c>
      <c r="V120" s="213" t="str">
        <f>IFERROR(__xludf.DUMMYFUNCTION("""COMPUTED_VALUE"""),"-")</f>
        <v>-</v>
      </c>
      <c r="W120" s="213" t="str">
        <f>IFERROR(__xludf.DUMMYFUNCTION("""COMPUTED_VALUE"""),"-")</f>
        <v>-</v>
      </c>
      <c r="X120" s="213" t="str">
        <f>IFERROR(__xludf.DUMMYFUNCTION("""COMPUTED_VALUE"""),"Bosch")</f>
        <v>Bosch</v>
      </c>
      <c r="Y120" s="213" t="str">
        <f>IFERROR(__xludf.DUMMYFUNCTION("""COMPUTED_VALUE"""),"Taladro percutor 3/8"" Bosch GSB 12V-30")</f>
        <v>Taladro percutor 3/8" Bosch GSB 12V-30</v>
      </c>
      <c r="Z120" s="215" t="str">
        <f>IFERROR(__xludf.DUMMYFUNCTION("""COMPUTED_VALUE"""),"https://www.pe.tiendaboschonline.com/taladro-percutor-3-8-bosch-gsb-12v-30-12v-2-baterias-y-maletin/p")</f>
        <v>https://www.pe.tiendaboschonline.com/taladro-percutor-3-8-bosch-gsb-12v-30-12v-2-baterias-y-maletin/p</v>
      </c>
      <c r="AA120" s="213" t="str">
        <f>IFERROR(__xludf.DUMMYFUNCTION("""COMPUTED_VALUE"""),"ESP-109 ATORNILLADOR PORTÁTIL - CET")</f>
        <v>ESP-109 ATORNILLADOR PORTÁTIL - CET</v>
      </c>
      <c r="AB120" s="213"/>
      <c r="AC120" s="213"/>
      <c r="AD120" s="213"/>
      <c r="AE120" s="213"/>
      <c r="AF120" s="213"/>
      <c r="AG120" s="213"/>
      <c r="AH120" s="213"/>
      <c r="AI120" s="213"/>
      <c r="AJ120" s="213"/>
      <c r="AK120" s="213"/>
      <c r="AL120" s="213"/>
      <c r="AM120" s="213"/>
      <c r="AN120" s="213"/>
      <c r="AO120" s="213"/>
      <c r="AP120" s="213" t="str">
        <f>IFERROR(__xludf.DUMMYFUNCTION("""COMPUTED_VALUE"""),"BRUNO")</f>
        <v>BRUNO</v>
      </c>
      <c r="AQ120" s="213" t="str">
        <f>IFERROR(__xludf.DUMMYFUNCTION("""COMPUTED_VALUE"""),"Se debe añadir set de minimo 25 piezas de puntas diferentes")</f>
        <v>Se debe añadir set de minimo 25 piezas de puntas diferentes</v>
      </c>
      <c r="AR120" s="213"/>
      <c r="AS120" s="213" t="str">
        <f>IFERROR(__xludf.DUMMYFUNCTION("""COMPUTED_VALUE"""),"Set Puntas y Brocas Titanio Bosch X-Line")</f>
        <v>Set Puntas y Brocas Titanio Bosch X-Line</v>
      </c>
      <c r="AT120" s="216" t="str">
        <f>IFERROR(__xludf.DUMMYFUNCTION("""COMPUTED_VALUE"""),"https://www.pe.tiendaboschonline.com/set-puntas-y-brocas-titanio-bosch-x-line-70-unidades/p")</f>
        <v>https://www.pe.tiendaboschonline.com/set-puntas-y-brocas-titanio-bosch-x-line-70-unidades/p</v>
      </c>
      <c r="AU120" s="213"/>
      <c r="AV120" s="213"/>
      <c r="AW120" s="213"/>
      <c r="AX120" s="213"/>
      <c r="AY120" s="213"/>
      <c r="AZ120" s="213"/>
      <c r="BA120" s="213"/>
      <c r="BB120" s="213"/>
      <c r="BC120" s="213"/>
      <c r="BD120" s="213"/>
    </row>
    <row r="121">
      <c r="A121" s="213">
        <f>IFERROR(__xludf.DUMMYFUNCTION("""COMPUTED_VALUE"""),281.0)</f>
        <v>281</v>
      </c>
      <c r="B121" s="213" t="str">
        <f>IFERROR(__xludf.DUMMYFUNCTION("""COMPUTED_VALUE"""),"2026 SIMON BOLIVAR")</f>
        <v>2026 SIMON BOLIVAR</v>
      </c>
      <c r="C121" s="213" t="str">
        <f>IFERROR(__xludf.DUMMYFUNCTION("""COMPUTED_VALUE"""),"TALLER SFT DE COMPUTACIÓN E INFORMÁTICA")</f>
        <v>TALLER SFT DE COMPUTACIÓN E INFORMÁTICA</v>
      </c>
      <c r="D121" s="213" t="str">
        <f>IFERROR(__xludf.DUMMYFUNCTION("""COMPUTED_VALUE"""),"TICS")</f>
        <v>TICS</v>
      </c>
      <c r="E121" s="213" t="str">
        <f>IFERROR(__xludf.DUMMYFUNCTION("""COMPUTED_VALUE"""),"TEC-116")</f>
        <v>TEC-116</v>
      </c>
      <c r="F121" s="213" t="str">
        <f>IFERROR(__xludf.DUMMYFUNCTION("""COMPUTED_VALUE"""),"TEC-116")</f>
        <v>TEC-116</v>
      </c>
      <c r="G121" s="213"/>
      <c r="H121" s="213" t="str">
        <f>IFERROR(__xludf.DUMMYFUNCTION("""COMPUTED_VALUE"""),"AUDÍFONOS")</f>
        <v>AUDÍFONOS</v>
      </c>
      <c r="I121" s="213"/>
      <c r="J121" s="213">
        <f>IFERROR(__xludf.DUMMYFUNCTION("""COMPUTED_VALUE"""),3.0)</f>
        <v>3</v>
      </c>
      <c r="K121" s="213" t="str">
        <f>IFERROR(__xludf.DUMMYFUNCTION("""COMPUTED_VALUE"""),"170 DÍAS CALENDARIO")</f>
        <v>170 DÍAS CALENDARIO</v>
      </c>
      <c r="L121" s="213" t="str">
        <f>IFERROR(__xludf.DUMMYFUNCTION("""COMPUTED_VALUE"""),"")</f>
        <v/>
      </c>
      <c r="M121" s="213">
        <f>IFERROR(__xludf.DUMMYFUNCTION("""COMPUTED_VALUE"""),1.0)</f>
        <v>1</v>
      </c>
      <c r="N121" s="213">
        <f>IFERROR(__xludf.DUMMYFUNCTION("""COMPUTED_VALUE"""),6.0)</f>
        <v>6</v>
      </c>
      <c r="O121" s="213">
        <f>IFERROR(__xludf.DUMMYFUNCTION("""COMPUTED_VALUE"""),6.0)</f>
        <v>6</v>
      </c>
      <c r="P121" s="213"/>
      <c r="Q121" s="213"/>
      <c r="R121" s="213"/>
      <c r="S121" s="213"/>
      <c r="T121" s="213" t="str">
        <f>IFERROR(__xludf.DUMMYFUNCTION("""COMPUTED_VALUE"""),"SI")</f>
        <v>SI</v>
      </c>
      <c r="U121" s="213" t="str">
        <f>IFERROR(__xludf.DUMMYFUNCTION("""COMPUTED_VALUE"""),"SI")</f>
        <v>SI</v>
      </c>
      <c r="V121" s="213" t="str">
        <f>IFERROR(__xludf.DUMMYFUNCTION("""COMPUTED_VALUE"""),"-")</f>
        <v>-</v>
      </c>
      <c r="W121" s="213" t="str">
        <f>IFERROR(__xludf.DUMMYFUNCTION("""COMPUTED_VALUE"""),"-")</f>
        <v>-</v>
      </c>
      <c r="X121" s="213" t="str">
        <f>IFERROR(__xludf.DUMMYFUNCTION("""COMPUTED_VALUE"""),"Mackie")</f>
        <v>Mackie</v>
      </c>
      <c r="Y121" s="213" t="str">
        <f>IFERROR(__xludf.DUMMYFUNCTION("""COMPUTED_VALUE"""),"MC-100")</f>
        <v>MC-100</v>
      </c>
      <c r="Z121" s="215" t="str">
        <f>IFERROR(__xludf.DUMMYFUNCTION("""COMPUTED_VALUE"""),"https://mackie.com/es/products/headphones/mc-series-headphones/MC_100.html?srsltid=AfmBOoq3fXxsDJ_Y3zc6agTGqqsPwcIfBHIzTJgkWbYjz_hddQIg7V0A")</f>
        <v>https://mackie.com/es/products/headphones/mc-series-headphones/MC_100.html?srsltid=AfmBOoq3fXxsDJ_Y3zc6agTGqqsPwcIfBHIzTJgkWbYjz_hddQIg7V0A</v>
      </c>
      <c r="AA121" s="213" t="str">
        <f>IFERROR(__xludf.DUMMYFUNCTION("""COMPUTED_VALUE"""),"TEC-116 AUDÍFONOS - CET")</f>
        <v>TEC-116 AUDÍFONOS - CET</v>
      </c>
      <c r="AB121" s="213"/>
      <c r="AC121" s="213"/>
      <c r="AD121" s="213"/>
      <c r="AE121" s="213"/>
      <c r="AF121" s="213"/>
      <c r="AG121" s="213"/>
      <c r="AH121" s="213"/>
      <c r="AI121" s="213"/>
      <c r="AJ121" s="213"/>
      <c r="AK121" s="213"/>
      <c r="AL121" s="213"/>
      <c r="AM121" s="213"/>
      <c r="AN121" s="213"/>
      <c r="AO121" s="213"/>
      <c r="AP121" s="213" t="str">
        <f>IFERROR(__xludf.DUMMYFUNCTION("""COMPUTED_VALUE"""),"NALDI")</f>
        <v>NALDI</v>
      </c>
      <c r="AQ121" s="213"/>
      <c r="AR121" s="213"/>
      <c r="AS121" s="217" t="str">
        <f>IFERROR(__xludf.DUMMYFUNCTION("""COMPUTED_VALUE"""),"Estuche protectora min 21.5 × 10 × 15.5 cm")</f>
        <v>Estuche protectora min 21.5 × 10 × 15.5 cm</v>
      </c>
      <c r="AT121" s="218" t="str">
        <f>IFERROR(__xludf.DUMMYFUNCTION("""COMPUTED_VALUE"""),"https://www.amazon.es/GLASSNOBLE-Protector-Auriculares-port%C3%A1til-Transporte/dp/B09BKJYN55")</f>
        <v>https://www.amazon.es/GLASSNOBLE-Protector-Auriculares-port%C3%A1til-Transporte/dp/B09BKJYN55</v>
      </c>
      <c r="AU121" s="213"/>
      <c r="AV121" s="213"/>
      <c r="AW121" s="213"/>
      <c r="AX121" s="213"/>
      <c r="AY121" s="213"/>
      <c r="AZ121" s="213"/>
      <c r="BA121" s="213"/>
      <c r="BB121" s="213"/>
      <c r="BC121" s="213"/>
      <c r="BD121" s="213"/>
    </row>
    <row r="122">
      <c r="A122" s="213">
        <f>IFERROR(__xludf.DUMMYFUNCTION("""COMPUTED_VALUE"""),767.0)</f>
        <v>767</v>
      </c>
      <c r="B122" s="213" t="str">
        <f>IFERROR(__xludf.DUMMYFUNCTION("""COMPUTED_VALUE"""),"6049 RICARDO PALMA")</f>
        <v>6049 RICARDO PALMA</v>
      </c>
      <c r="C122" s="213" t="str">
        <f>IFERROR(__xludf.DUMMYFUNCTION("""COMPUTED_VALUE"""),"TALLER SFT DE COMPUTACIÓN E INFORMÁTICA")</f>
        <v>TALLER SFT DE COMPUTACIÓN E INFORMÁTICA</v>
      </c>
      <c r="D122" s="213" t="str">
        <f>IFERROR(__xludf.DUMMYFUNCTION("""COMPUTED_VALUE"""),"TICS")</f>
        <v>TICS</v>
      </c>
      <c r="E122" s="213" t="str">
        <f>IFERROR(__xludf.DUMMYFUNCTION("""COMPUTED_VALUE"""),"TEC-116")</f>
        <v>TEC-116</v>
      </c>
      <c r="F122" s="213" t="str">
        <f>IFERROR(__xludf.DUMMYFUNCTION("""COMPUTED_VALUE"""),"TEC-116")</f>
        <v>TEC-116</v>
      </c>
      <c r="G122" s="213"/>
      <c r="H122" s="213" t="str">
        <f>IFERROR(__xludf.DUMMYFUNCTION("""COMPUTED_VALUE"""),"AUDÍFONOS")</f>
        <v>AUDÍFONOS</v>
      </c>
      <c r="I122" s="213"/>
      <c r="J122" s="213">
        <f>IFERROR(__xludf.DUMMYFUNCTION("""COMPUTED_VALUE"""),3.0)</f>
        <v>3</v>
      </c>
      <c r="K122" s="213" t="str">
        <f>IFERROR(__xludf.DUMMYFUNCTION("""COMPUTED_VALUE"""),"170 DÍAS CALENDARIO")</f>
        <v>170 DÍAS CALENDARIO</v>
      </c>
      <c r="L122" s="213" t="str">
        <f>IFERROR(__xludf.DUMMYFUNCTION("""COMPUTED_VALUE"""),"")</f>
        <v/>
      </c>
      <c r="M122" s="213">
        <f>IFERROR(__xludf.DUMMYFUNCTION("""COMPUTED_VALUE"""),1.0)</f>
        <v>1</v>
      </c>
      <c r="N122" s="213">
        <f>IFERROR(__xludf.DUMMYFUNCTION("""COMPUTED_VALUE"""),6.0)</f>
        <v>6</v>
      </c>
      <c r="O122" s="213">
        <f>IFERROR(__xludf.DUMMYFUNCTION("""COMPUTED_VALUE"""),6.0)</f>
        <v>6</v>
      </c>
      <c r="P122" s="213"/>
      <c r="Q122" s="213"/>
      <c r="R122" s="213"/>
      <c r="S122" s="213"/>
      <c r="T122" s="213" t="str">
        <f>IFERROR(__xludf.DUMMYFUNCTION("""COMPUTED_VALUE"""),"SI")</f>
        <v>SI</v>
      </c>
      <c r="U122" s="213" t="str">
        <f>IFERROR(__xludf.DUMMYFUNCTION("""COMPUTED_VALUE"""),"SI")</f>
        <v>SI</v>
      </c>
      <c r="V122" s="213" t="str">
        <f>IFERROR(__xludf.DUMMYFUNCTION("""COMPUTED_VALUE"""),"-")</f>
        <v>-</v>
      </c>
      <c r="W122" s="213" t="str">
        <f>IFERROR(__xludf.DUMMYFUNCTION("""COMPUTED_VALUE"""),"-")</f>
        <v>-</v>
      </c>
      <c r="X122" s="213" t="str">
        <f>IFERROR(__xludf.DUMMYFUNCTION("""COMPUTED_VALUE"""),"Mackie")</f>
        <v>Mackie</v>
      </c>
      <c r="Y122" s="213" t="str">
        <f>IFERROR(__xludf.DUMMYFUNCTION("""COMPUTED_VALUE"""),"MC-100")</f>
        <v>MC-100</v>
      </c>
      <c r="Z122" s="215" t="str">
        <f>IFERROR(__xludf.DUMMYFUNCTION("""COMPUTED_VALUE"""),"https://mackie.com/es/products/headphones/mc-series-headphones/MC_100.html?srsltid=AfmBOoq3fXxsDJ_Y3zc6agTGqqsPwcIfBHIzTJgkWbYjz_hddQIg7V0A")</f>
        <v>https://mackie.com/es/products/headphones/mc-series-headphones/MC_100.html?srsltid=AfmBOoq3fXxsDJ_Y3zc6agTGqqsPwcIfBHIzTJgkWbYjz_hddQIg7V0A</v>
      </c>
      <c r="AA122" s="213" t="str">
        <f>IFERROR(__xludf.DUMMYFUNCTION("""COMPUTED_VALUE"""),"TEC-116 AUDÍFONOS - CET")</f>
        <v>TEC-116 AUDÍFONOS - CET</v>
      </c>
      <c r="AB122" s="213"/>
      <c r="AC122" s="213"/>
      <c r="AD122" s="213"/>
      <c r="AE122" s="213"/>
      <c r="AF122" s="213"/>
      <c r="AG122" s="213"/>
      <c r="AH122" s="213"/>
      <c r="AI122" s="213"/>
      <c r="AJ122" s="213"/>
      <c r="AK122" s="213"/>
      <c r="AL122" s="213"/>
      <c r="AM122" s="213"/>
      <c r="AN122" s="213"/>
      <c r="AO122" s="213"/>
      <c r="AP122" s="213" t="str">
        <f>IFERROR(__xludf.DUMMYFUNCTION("""COMPUTED_VALUE"""),"NALDI")</f>
        <v>NALDI</v>
      </c>
      <c r="AQ122" s="213"/>
      <c r="AR122" s="213"/>
      <c r="AS122" s="217" t="str">
        <f>IFERROR(__xludf.DUMMYFUNCTION("""COMPUTED_VALUE"""),"Estuche protectora min 21.5 × 10 × 15.5 cm")</f>
        <v>Estuche protectora min 21.5 × 10 × 15.5 cm</v>
      </c>
      <c r="AT122" s="218" t="str">
        <f>IFERROR(__xludf.DUMMYFUNCTION("""COMPUTED_VALUE"""),"https://www.amazon.es/GLASSNOBLE-Protector-Auriculares-port%C3%A1til-Transporte/dp/B09BKJYN55")</f>
        <v>https://www.amazon.es/GLASSNOBLE-Protector-Auriculares-port%C3%A1til-Transporte/dp/B09BKJYN55</v>
      </c>
      <c r="AU122" s="213"/>
      <c r="AV122" s="213"/>
      <c r="AW122" s="213"/>
      <c r="AX122" s="213"/>
      <c r="AY122" s="213"/>
      <c r="AZ122" s="213"/>
      <c r="BA122" s="213"/>
      <c r="BB122" s="213"/>
      <c r="BC122" s="213"/>
      <c r="BD122" s="213"/>
    </row>
    <row r="123">
      <c r="A123" s="213">
        <f>IFERROR(__xludf.DUMMYFUNCTION("""COMPUTED_VALUE"""),1706.0)</f>
        <v>1706</v>
      </c>
      <c r="B123" s="213" t="str">
        <f>IFERROR(__xludf.DUMMYFUNCTION("""COMPUTED_VALUE"""),"GUILLERMO E. BILLINGHURST ")</f>
        <v>GUILLERMO E. BILLINGHURST </v>
      </c>
      <c r="C123" s="213" t="str">
        <f>IFERROR(__xludf.DUMMYFUNCTION("""COMPUTED_VALUE"""),"TALLER SFT DE COMPUTACIÓN E INFORMÁTICA")</f>
        <v>TALLER SFT DE COMPUTACIÓN E INFORMÁTICA</v>
      </c>
      <c r="D123" s="213" t="str">
        <f>IFERROR(__xludf.DUMMYFUNCTION("""COMPUTED_VALUE"""),"TICS")</f>
        <v>TICS</v>
      </c>
      <c r="E123" s="213" t="str">
        <f>IFERROR(__xludf.DUMMYFUNCTION("""COMPUTED_VALUE"""),"TEC-116")</f>
        <v>TEC-116</v>
      </c>
      <c r="F123" s="213" t="str">
        <f>IFERROR(__xludf.DUMMYFUNCTION("""COMPUTED_VALUE"""),"TEC-116")</f>
        <v>TEC-116</v>
      </c>
      <c r="G123" s="213"/>
      <c r="H123" s="213" t="str">
        <f>IFERROR(__xludf.DUMMYFUNCTION("""COMPUTED_VALUE"""),"AUDÍFONOS")</f>
        <v>AUDÍFONOS</v>
      </c>
      <c r="I123" s="213"/>
      <c r="J123" s="213">
        <f>IFERROR(__xludf.DUMMYFUNCTION("""COMPUTED_VALUE"""),3.0)</f>
        <v>3</v>
      </c>
      <c r="K123" s="213" t="str">
        <f>IFERROR(__xludf.DUMMYFUNCTION("""COMPUTED_VALUE"""),"170 DÍAS CALENDARIO")</f>
        <v>170 DÍAS CALENDARIO</v>
      </c>
      <c r="L123" s="213" t="str">
        <f>IFERROR(__xludf.DUMMYFUNCTION("""COMPUTED_VALUE"""),"")</f>
        <v/>
      </c>
      <c r="M123" s="213">
        <f>IFERROR(__xludf.DUMMYFUNCTION("""COMPUTED_VALUE"""),1.0)</f>
        <v>1</v>
      </c>
      <c r="N123" s="213">
        <f>IFERROR(__xludf.DUMMYFUNCTION("""COMPUTED_VALUE"""),6.0)</f>
        <v>6</v>
      </c>
      <c r="O123" s="213">
        <f>IFERROR(__xludf.DUMMYFUNCTION("""COMPUTED_VALUE"""),6.0)</f>
        <v>6</v>
      </c>
      <c r="P123" s="213"/>
      <c r="Q123" s="213"/>
      <c r="R123" s="213"/>
      <c r="S123" s="213"/>
      <c r="T123" s="213" t="str">
        <f>IFERROR(__xludf.DUMMYFUNCTION("""COMPUTED_VALUE"""),"SI")</f>
        <v>SI</v>
      </c>
      <c r="U123" s="213" t="str">
        <f>IFERROR(__xludf.DUMMYFUNCTION("""COMPUTED_VALUE"""),"SI")</f>
        <v>SI</v>
      </c>
      <c r="V123" s="213" t="str">
        <f>IFERROR(__xludf.DUMMYFUNCTION("""COMPUTED_VALUE"""),"-")</f>
        <v>-</v>
      </c>
      <c r="W123" s="213" t="str">
        <f>IFERROR(__xludf.DUMMYFUNCTION("""COMPUTED_VALUE"""),"-")</f>
        <v>-</v>
      </c>
      <c r="X123" s="213" t="str">
        <f>IFERROR(__xludf.DUMMYFUNCTION("""COMPUTED_VALUE"""),"Mackie")</f>
        <v>Mackie</v>
      </c>
      <c r="Y123" s="213" t="str">
        <f>IFERROR(__xludf.DUMMYFUNCTION("""COMPUTED_VALUE"""),"MC-100")</f>
        <v>MC-100</v>
      </c>
      <c r="Z123" s="215" t="str">
        <f>IFERROR(__xludf.DUMMYFUNCTION("""COMPUTED_VALUE"""),"https://mackie.com/es/products/headphones/mc-series-headphones/MC_100.html?srsltid=AfmBOoq3fXxsDJ_Y3zc6agTGqqsPwcIfBHIzTJgkWbYjz_hddQIg7V0A")</f>
        <v>https://mackie.com/es/products/headphones/mc-series-headphones/MC_100.html?srsltid=AfmBOoq3fXxsDJ_Y3zc6agTGqqsPwcIfBHIzTJgkWbYjz_hddQIg7V0A</v>
      </c>
      <c r="AA123" s="213" t="str">
        <f>IFERROR(__xludf.DUMMYFUNCTION("""COMPUTED_VALUE"""),"TEC-116 AUDÍFONOS - CET")</f>
        <v>TEC-116 AUDÍFONOS - CET</v>
      </c>
      <c r="AB123" s="213"/>
      <c r="AC123" s="213"/>
      <c r="AD123" s="213"/>
      <c r="AE123" s="213"/>
      <c r="AF123" s="213"/>
      <c r="AG123" s="213"/>
      <c r="AH123" s="213"/>
      <c r="AI123" s="213"/>
      <c r="AJ123" s="213"/>
      <c r="AK123" s="213"/>
      <c r="AL123" s="213"/>
      <c r="AM123" s="213"/>
      <c r="AN123" s="213"/>
      <c r="AO123" s="213"/>
      <c r="AP123" s="213" t="str">
        <f>IFERROR(__xludf.DUMMYFUNCTION("""COMPUTED_VALUE"""),"NALDI")</f>
        <v>NALDI</v>
      </c>
      <c r="AQ123" s="213"/>
      <c r="AR123" s="213"/>
      <c r="AS123" s="217" t="str">
        <f>IFERROR(__xludf.DUMMYFUNCTION("""COMPUTED_VALUE"""),"Estuche protectora min 21.5 × 10 × 15.5 cm")</f>
        <v>Estuche protectora min 21.5 × 10 × 15.5 cm</v>
      </c>
      <c r="AT123" s="218" t="str">
        <f>IFERROR(__xludf.DUMMYFUNCTION("""COMPUTED_VALUE"""),"https://www.amazon.es/GLASSNOBLE-Protector-Auriculares-port%C3%A1til-Transporte/dp/B09BKJYN55")</f>
        <v>https://www.amazon.es/GLASSNOBLE-Protector-Auriculares-port%C3%A1til-Transporte/dp/B09BKJYN55</v>
      </c>
      <c r="AU123" s="213"/>
      <c r="AV123" s="213"/>
      <c r="AW123" s="213"/>
      <c r="AX123" s="213"/>
      <c r="AY123" s="213"/>
      <c r="AZ123" s="213"/>
      <c r="BA123" s="213"/>
      <c r="BB123" s="213"/>
      <c r="BC123" s="213"/>
      <c r="BD123" s="213"/>
    </row>
    <row r="124">
      <c r="A124" s="213">
        <f>IFERROR(__xludf.DUMMYFUNCTION("""COMPUTED_VALUE"""),1957.0)</f>
        <v>1957</v>
      </c>
      <c r="B124" s="213" t="str">
        <f>IFERROR(__xludf.DUMMYFUNCTION("""COMPUTED_VALUE"""),"JOSE GRANDA")</f>
        <v>JOSE GRANDA</v>
      </c>
      <c r="C124" s="213" t="str">
        <f>IFERROR(__xludf.DUMMYFUNCTION("""COMPUTED_VALUE"""),"TALLER SFT DE COMPUTACIÓN E INFORMÁTICA")</f>
        <v>TALLER SFT DE COMPUTACIÓN E INFORMÁTICA</v>
      </c>
      <c r="D124" s="213" t="str">
        <f>IFERROR(__xludf.DUMMYFUNCTION("""COMPUTED_VALUE"""),"TICS")</f>
        <v>TICS</v>
      </c>
      <c r="E124" s="213" t="str">
        <f>IFERROR(__xludf.DUMMYFUNCTION("""COMPUTED_VALUE"""),"TEC-116")</f>
        <v>TEC-116</v>
      </c>
      <c r="F124" s="213" t="str">
        <f>IFERROR(__xludf.DUMMYFUNCTION("""COMPUTED_VALUE"""),"TEC-116")</f>
        <v>TEC-116</v>
      </c>
      <c r="G124" s="213"/>
      <c r="H124" s="213" t="str">
        <f>IFERROR(__xludf.DUMMYFUNCTION("""COMPUTED_VALUE"""),"AUDÍFONOS")</f>
        <v>AUDÍFONOS</v>
      </c>
      <c r="I124" s="213"/>
      <c r="J124" s="213">
        <f>IFERROR(__xludf.DUMMYFUNCTION("""COMPUTED_VALUE"""),3.0)</f>
        <v>3</v>
      </c>
      <c r="K124" s="213" t="str">
        <f>IFERROR(__xludf.DUMMYFUNCTION("""COMPUTED_VALUE"""),"170 DÍAS CALENDARIO")</f>
        <v>170 DÍAS CALENDARIO</v>
      </c>
      <c r="L124" s="213" t="str">
        <f>IFERROR(__xludf.DUMMYFUNCTION("""COMPUTED_VALUE"""),"")</f>
        <v/>
      </c>
      <c r="M124" s="213">
        <f>IFERROR(__xludf.DUMMYFUNCTION("""COMPUTED_VALUE"""),1.0)</f>
        <v>1</v>
      </c>
      <c r="N124" s="213">
        <f>IFERROR(__xludf.DUMMYFUNCTION("""COMPUTED_VALUE"""),6.0)</f>
        <v>6</v>
      </c>
      <c r="O124" s="213">
        <f>IFERROR(__xludf.DUMMYFUNCTION("""COMPUTED_VALUE"""),6.0)</f>
        <v>6</v>
      </c>
      <c r="P124" s="213"/>
      <c r="Q124" s="213"/>
      <c r="R124" s="213"/>
      <c r="S124" s="213"/>
      <c r="T124" s="213" t="str">
        <f>IFERROR(__xludf.DUMMYFUNCTION("""COMPUTED_VALUE"""),"SI")</f>
        <v>SI</v>
      </c>
      <c r="U124" s="213" t="str">
        <f>IFERROR(__xludf.DUMMYFUNCTION("""COMPUTED_VALUE"""),"SI")</f>
        <v>SI</v>
      </c>
      <c r="V124" s="213" t="str">
        <f>IFERROR(__xludf.DUMMYFUNCTION("""COMPUTED_VALUE"""),"-")</f>
        <v>-</v>
      </c>
      <c r="W124" s="213" t="str">
        <f>IFERROR(__xludf.DUMMYFUNCTION("""COMPUTED_VALUE"""),"-")</f>
        <v>-</v>
      </c>
      <c r="X124" s="213" t="str">
        <f>IFERROR(__xludf.DUMMYFUNCTION("""COMPUTED_VALUE"""),"Mackie")</f>
        <v>Mackie</v>
      </c>
      <c r="Y124" s="213" t="str">
        <f>IFERROR(__xludf.DUMMYFUNCTION("""COMPUTED_VALUE"""),"MC-100")</f>
        <v>MC-100</v>
      </c>
      <c r="Z124" s="215" t="str">
        <f>IFERROR(__xludf.DUMMYFUNCTION("""COMPUTED_VALUE"""),"https://mackie.com/es/products/headphones/mc-series-headphones/MC_100.html?srsltid=AfmBOoq3fXxsDJ_Y3zc6agTGqqsPwcIfBHIzTJgkWbYjz_hddQIg7V0A")</f>
        <v>https://mackie.com/es/products/headphones/mc-series-headphones/MC_100.html?srsltid=AfmBOoq3fXxsDJ_Y3zc6agTGqqsPwcIfBHIzTJgkWbYjz_hddQIg7V0A</v>
      </c>
      <c r="AA124" s="213" t="str">
        <f>IFERROR(__xludf.DUMMYFUNCTION("""COMPUTED_VALUE"""),"TEC-116 AUDÍFONOS - CET")</f>
        <v>TEC-116 AUDÍFONOS - CET</v>
      </c>
      <c r="AB124" s="213"/>
      <c r="AC124" s="213"/>
      <c r="AD124" s="213"/>
      <c r="AE124" s="213"/>
      <c r="AF124" s="213"/>
      <c r="AG124" s="213"/>
      <c r="AH124" s="213"/>
      <c r="AI124" s="213"/>
      <c r="AJ124" s="213"/>
      <c r="AK124" s="213"/>
      <c r="AL124" s="213"/>
      <c r="AM124" s="213"/>
      <c r="AN124" s="213"/>
      <c r="AO124" s="213"/>
      <c r="AP124" s="213" t="str">
        <f>IFERROR(__xludf.DUMMYFUNCTION("""COMPUTED_VALUE"""),"NALDI")</f>
        <v>NALDI</v>
      </c>
      <c r="AQ124" s="213"/>
      <c r="AR124" s="213"/>
      <c r="AS124" s="217" t="str">
        <f>IFERROR(__xludf.DUMMYFUNCTION("""COMPUTED_VALUE"""),"Estuche protectora min 21.5 × 10 × 15.5 cm")</f>
        <v>Estuche protectora min 21.5 × 10 × 15.5 cm</v>
      </c>
      <c r="AT124" s="218" t="str">
        <f>IFERROR(__xludf.DUMMYFUNCTION("""COMPUTED_VALUE"""),"https://www.amazon.es/GLASSNOBLE-Protector-Auriculares-port%C3%A1til-Transporte/dp/B09BKJYN55")</f>
        <v>https://www.amazon.es/GLASSNOBLE-Protector-Auriculares-port%C3%A1til-Transporte/dp/B09BKJYN55</v>
      </c>
      <c r="AU124" s="213"/>
      <c r="AV124" s="213"/>
      <c r="AW124" s="213"/>
      <c r="AX124" s="213"/>
      <c r="AY124" s="213"/>
      <c r="AZ124" s="213"/>
      <c r="BA124" s="213"/>
      <c r="BB124" s="213"/>
      <c r="BC124" s="213"/>
      <c r="BD124" s="213"/>
    </row>
    <row r="125">
      <c r="A125" s="213">
        <f>IFERROR(__xludf.DUMMYFUNCTION("""COMPUTED_VALUE"""),547.0)</f>
        <v>547</v>
      </c>
      <c r="B125" s="213" t="str">
        <f>IFERROR(__xludf.DUMMYFUNCTION("""COMPUTED_VALUE"""),"2026 SIMON BOLIVAR")</f>
        <v>2026 SIMON BOLIVAR</v>
      </c>
      <c r="C125" s="213" t="str">
        <f>IFERROR(__xludf.DUMMYFUNCTION("""COMPUTED_VALUE"""),"TALLER SFT DE INDUSTRIA ALIMENTARIA")</f>
        <v>TALLER SFT DE INDUSTRIA ALIMENTARIA</v>
      </c>
      <c r="D125" s="213" t="str">
        <f>IFERROR(__xludf.DUMMYFUNCTION("""COMPUTED_VALUE"""),"EQUIPOS")</f>
        <v>EQUIPOS</v>
      </c>
      <c r="E125" s="213" t="str">
        <f>IFERROR(__xludf.DUMMYFUNCTION("""COMPUTED_VALUE"""),"ESP-110")</f>
        <v>ESP-110</v>
      </c>
      <c r="F125" s="213" t="str">
        <f>IFERROR(__xludf.DUMMYFUNCTION("""COMPUTED_VALUE"""),"ESP-110")</f>
        <v>ESP-110</v>
      </c>
      <c r="G125" s="213"/>
      <c r="H125" s="213" t="str">
        <f>IFERROR(__xludf.DUMMYFUNCTION("""COMPUTED_VALUE"""),"AUTOCLAVE 18 LITROS (ESTERILIZACIÓN)")</f>
        <v>AUTOCLAVE 18 LITROS (ESTERILIZACIÓN)</v>
      </c>
      <c r="I125" s="213" t="str">
        <f>IFERROR(__xludf.DUMMYFUNCTION("""COMPUTED_VALUE"""),"· Volumen de esterilización: 18 Litros.
· Presión: 0.14 - 0.16 Mpa.
· Máxima presión: 0165 Mpa.
· Temperatura de funcionamiento: 121°C - 126°C.
· Rango de ajuste de presión: 0.05 - 0.14 Mpa.
· Rango de temporizador: 0 - 60 min.
· Consumo de energía: 2KW /"&amp;" AC220V - 60HZ
· Dimensiones mínimas: 41 cmx 41cm x 52 cm.
* Incluye una funda protectora impermeable para su almacenamiento.")</f>
        <v>· Volumen de esterilización: 18 Litros.
· Presión: 0.14 - 0.16 Mpa.
· Máxima presión: 0165 Mpa.
· Temperatura de funcionamiento: 121°C - 126°C.
· Rango de ajuste de presión: 0.05 - 0.14 Mpa.
· Rango de temporizador: 0 - 60 min.
· Consumo de energía: 2KW / AC220V - 60HZ
· Dimensiones mínimas: 41 cmx 41cm x 52 cm.
* Incluye una funda protectora impermeable para su almacenamiento.</v>
      </c>
      <c r="J125" s="213">
        <f>IFERROR(__xludf.DUMMYFUNCTION("""COMPUTED_VALUE"""),3.0)</f>
        <v>3</v>
      </c>
      <c r="K125" s="213" t="str">
        <f>IFERROR(__xludf.DUMMYFUNCTION("""COMPUTED_VALUE"""),"170 DÍAS CALENDARIO")</f>
        <v>170 DÍAS CALENDARIO</v>
      </c>
      <c r="L125" s="213" t="str">
        <f>IFERROR(__xludf.DUMMYFUNCTION("""COMPUTED_VALUE"""),"")</f>
        <v/>
      </c>
      <c r="M125" s="213">
        <f>IFERROR(__xludf.DUMMYFUNCTION("""COMPUTED_VALUE"""),1.0)</f>
        <v>1</v>
      </c>
      <c r="N125" s="213">
        <f>IFERROR(__xludf.DUMMYFUNCTION("""COMPUTED_VALUE"""),1.0)</f>
        <v>1</v>
      </c>
      <c r="O125" s="213">
        <f>IFERROR(__xludf.DUMMYFUNCTION("""COMPUTED_VALUE"""),1.0)</f>
        <v>1</v>
      </c>
      <c r="P125" s="213"/>
      <c r="Q125" s="213"/>
      <c r="R125" s="213"/>
      <c r="S125" s="213" t="str">
        <f>IFERROR(__xludf.DUMMYFUNCTION("""COMPUTED_VALUE"""),"SI")</f>
        <v>SI</v>
      </c>
      <c r="T125" s="213" t="str">
        <f>IFERROR(__xludf.DUMMYFUNCTION("""COMPUTED_VALUE"""),"SI")</f>
        <v>SI</v>
      </c>
      <c r="U125" s="213" t="str">
        <f>IFERROR(__xludf.DUMMYFUNCTION("""COMPUTED_VALUE"""),"NO")</f>
        <v>NO</v>
      </c>
      <c r="V125" s="213" t="str">
        <f>IFERROR(__xludf.DUMMYFUNCTION("""COMPUTED_VALUE"""),"SUSTENTO")</f>
        <v>SUSTENTO</v>
      </c>
      <c r="W125" s="213" t="str">
        <f>IFERROR(__xludf.DUMMYFUNCTION("""COMPUTED_VALUE"""),"CRÍTICO")</f>
        <v>CRÍTICO</v>
      </c>
      <c r="X125" s="213" t="str">
        <f>IFERROR(__xludf.DUMMYFUNCTION("""COMPUTED_VALUE"""),"JAMPAR")</f>
        <v>JAMPAR</v>
      </c>
      <c r="Y125" s="213" t="str">
        <f>IFERROR(__xludf.DUMMYFUNCTION("""COMPUTED_VALUE"""),"FSF-18LDJ")</f>
        <v>FSF-18LDJ</v>
      </c>
      <c r="Z125" s="215" t="str">
        <f>IFERROR(__xludf.DUMMYFUNCTION("""COMPUTED_VALUE"""),"https://www.appsheet.com/template/gettablefileurl?appName=APPDISTRIBUIDORES-2753577&amp;tableName=RECURSOS&amp;fileName=RECURSOS_Files_%2F186040010.DOC_INSERTO_SAP.140232.pdf")</f>
        <v>https://www.appsheet.com/template/gettablefileurl?appName=APPDISTRIBUIDORES-2753577&amp;tableName=RECURSOS&amp;fileName=RECURSOS_Files_%2F186040010.DOC_INSERTO_SAP.140232.pdf</v>
      </c>
      <c r="AA125" s="213" t="str">
        <f>IFERROR(__xludf.DUMMYFUNCTION("""COMPUTED_VALUE"""),"ESP-110 AUTOCLAVE 18 LITROS (ESTERILIZACIÓN) - CET")</f>
        <v>ESP-110 AUTOCLAVE 18 LITROS (ESTERILIZACIÓN) - CET</v>
      </c>
      <c r="AB125" s="213"/>
      <c r="AC125" s="213"/>
      <c r="AD125" s="213"/>
      <c r="AE125" s="213"/>
      <c r="AF125" s="213"/>
      <c r="AG125" s="213"/>
      <c r="AH125" s="213" t="str">
        <f>IFERROR(__xludf.DUMMYFUNCTION("""COMPUTED_VALUE"""),"NACIONAL")</f>
        <v>NACIONAL</v>
      </c>
      <c r="AI125" s="213"/>
      <c r="AJ125" s="213"/>
      <c r="AK125" s="213"/>
      <c r="AL125" s="213"/>
      <c r="AM125" s="213"/>
      <c r="AN125" s="213"/>
      <c r="AO125" s="213"/>
      <c r="AP125" s="213" t="str">
        <f>IFERROR(__xludf.DUMMYFUNCTION("""COMPUTED_VALUE"""),"ANTONELLA")</f>
        <v>ANTONELLA</v>
      </c>
      <c r="AQ125" s="213" t="str">
        <f>IFERROR(__xludf.DUMMYFUNCTION("""COMPUTED_VALUE"""),"Ningun modelo indica Rango de ajuste de presión: 0.05 - 0.14 Mpa.")</f>
        <v>Ningun modelo indica Rango de ajuste de presión: 0.05 - 0.14 Mpa.</v>
      </c>
      <c r="AR125" s="213"/>
      <c r="AS125" s="213" t="str">
        <f>IFERROR(__xludf.DUMMYFUNCTION("""COMPUTED_VALUE"""),"FUNDA")</f>
        <v>FUNDA</v>
      </c>
      <c r="AT125" s="213"/>
      <c r="AU125" s="213"/>
      <c r="AV125" s="213"/>
      <c r="AW125" s="213"/>
      <c r="AX125" s="213"/>
      <c r="AY125" s="213"/>
      <c r="AZ125" s="213"/>
      <c r="BA125" s="213"/>
      <c r="BB125" s="213"/>
      <c r="BC125" s="213"/>
      <c r="BD125" s="213"/>
    </row>
    <row r="126">
      <c r="A126" s="213">
        <f>IFERROR(__xludf.DUMMYFUNCTION("""COMPUTED_VALUE"""),1174.0)</f>
        <v>1174</v>
      </c>
      <c r="B126" s="213" t="str">
        <f>IFERROR(__xludf.DUMMYFUNCTION("""COMPUTED_VALUE"""),"FRANCISCO IRAZOLA")</f>
        <v>FRANCISCO IRAZOLA</v>
      </c>
      <c r="C126" s="213" t="str">
        <f>IFERROR(__xludf.DUMMYFUNCTION("""COMPUTED_VALUE"""),"TALLER SFT DE INDUSTRIA ALIMENTARIA")</f>
        <v>TALLER SFT DE INDUSTRIA ALIMENTARIA</v>
      </c>
      <c r="D126" s="213" t="str">
        <f>IFERROR(__xludf.DUMMYFUNCTION("""COMPUTED_VALUE"""),"EQUIPOS")</f>
        <v>EQUIPOS</v>
      </c>
      <c r="E126" s="213" t="str">
        <f>IFERROR(__xludf.DUMMYFUNCTION("""COMPUTED_VALUE"""),"ESP-110")</f>
        <v>ESP-110</v>
      </c>
      <c r="F126" s="213" t="str">
        <f>IFERROR(__xludf.DUMMYFUNCTION("""COMPUTED_VALUE"""),"ESP-110")</f>
        <v>ESP-110</v>
      </c>
      <c r="G126" s="213"/>
      <c r="H126" s="213" t="str">
        <f>IFERROR(__xludf.DUMMYFUNCTION("""COMPUTED_VALUE"""),"AUTOCLAVE 18 LITROS (ESTERILIZACIÓN)")</f>
        <v>AUTOCLAVE 18 LITROS (ESTERILIZACIÓN)</v>
      </c>
      <c r="I126" s="213" t="str">
        <f>IFERROR(__xludf.DUMMYFUNCTION("""COMPUTED_VALUE"""),"· Volumen de esterilización: 18 Litros.
· Presión: 0.14 - 0.16 Mpa.
· Máxima presión: 0165 Mpa.
· Temperatura de funcionamiento: 121°C - 126°C.
· Rango de ajuste de presión: 0.05 - 0.14 Mpa.
· Rango de temporizador: 0 - 60 min.
· Consumo de energía: 2KW /"&amp;" AC220V - 60HZ
· Dimensiones mínimas: 41 cmx 41cm x 52 cm.
* Incluye una funda protectora impermeable para su almacenamiento.")</f>
        <v>· Volumen de esterilización: 18 Litros.
· Presión: 0.14 - 0.16 Mpa.
· Máxima presión: 0165 Mpa.
· Temperatura de funcionamiento: 121°C - 126°C.
· Rango de ajuste de presión: 0.05 - 0.14 Mpa.
· Rango de temporizador: 0 - 60 min.
· Consumo de energía: 2KW / AC220V - 60HZ
· Dimensiones mínimas: 41 cmx 41cm x 52 cm.
* Incluye una funda protectora impermeable para su almacenamiento.</v>
      </c>
      <c r="J126" s="213">
        <f>IFERROR(__xludf.DUMMYFUNCTION("""COMPUTED_VALUE"""),3.0)</f>
        <v>3</v>
      </c>
      <c r="K126" s="213" t="str">
        <f>IFERROR(__xludf.DUMMYFUNCTION("""COMPUTED_VALUE"""),"170 DÍAS CALENDARIO")</f>
        <v>170 DÍAS CALENDARIO</v>
      </c>
      <c r="L126" s="213" t="str">
        <f>IFERROR(__xludf.DUMMYFUNCTION("""COMPUTED_VALUE"""),"")</f>
        <v/>
      </c>
      <c r="M126" s="213">
        <f>IFERROR(__xludf.DUMMYFUNCTION("""COMPUTED_VALUE"""),1.0)</f>
        <v>1</v>
      </c>
      <c r="N126" s="213">
        <f>IFERROR(__xludf.DUMMYFUNCTION("""COMPUTED_VALUE"""),1.0)</f>
        <v>1</v>
      </c>
      <c r="O126" s="213">
        <f>IFERROR(__xludf.DUMMYFUNCTION("""COMPUTED_VALUE"""),1.0)</f>
        <v>1</v>
      </c>
      <c r="P126" s="213"/>
      <c r="Q126" s="213"/>
      <c r="R126" s="213"/>
      <c r="S126" s="213" t="str">
        <f>IFERROR(__xludf.DUMMYFUNCTION("""COMPUTED_VALUE"""),"SI")</f>
        <v>SI</v>
      </c>
      <c r="T126" s="213" t="str">
        <f>IFERROR(__xludf.DUMMYFUNCTION("""COMPUTED_VALUE"""),"SI")</f>
        <v>SI</v>
      </c>
      <c r="U126" s="213" t="str">
        <f>IFERROR(__xludf.DUMMYFUNCTION("""COMPUTED_VALUE"""),"NO")</f>
        <v>NO</v>
      </c>
      <c r="V126" s="213" t="str">
        <f>IFERROR(__xludf.DUMMYFUNCTION("""COMPUTED_VALUE"""),"SUSTENTO")</f>
        <v>SUSTENTO</v>
      </c>
      <c r="W126" s="213" t="str">
        <f>IFERROR(__xludf.DUMMYFUNCTION("""COMPUTED_VALUE"""),"CRÍTICO")</f>
        <v>CRÍTICO</v>
      </c>
      <c r="X126" s="213" t="str">
        <f>IFERROR(__xludf.DUMMYFUNCTION("""COMPUTED_VALUE"""),"JAMPAR")</f>
        <v>JAMPAR</v>
      </c>
      <c r="Y126" s="213" t="str">
        <f>IFERROR(__xludf.DUMMYFUNCTION("""COMPUTED_VALUE"""),"FSF-18LDJ")</f>
        <v>FSF-18LDJ</v>
      </c>
      <c r="Z126" s="215" t="str">
        <f>IFERROR(__xludf.DUMMYFUNCTION("""COMPUTED_VALUE"""),"https://www.appsheet.com/template/gettablefileurl?appName=APPDISTRIBUIDORES-2753577&amp;tableName=RECURSOS&amp;fileName=RECURSOS_Files_%2F186040010.DOC_INSERTO_SAP.140232.pdf")</f>
        <v>https://www.appsheet.com/template/gettablefileurl?appName=APPDISTRIBUIDORES-2753577&amp;tableName=RECURSOS&amp;fileName=RECURSOS_Files_%2F186040010.DOC_INSERTO_SAP.140232.pdf</v>
      </c>
      <c r="AA126" s="215" t="str">
        <f>IFERROR(__xludf.DUMMYFUNCTION("""COMPUTED_VALUE"""),"https://docs.google.com/spreadsheets/d/110ICbz3sGTtgslgaI3Mmio00T5gXG-Gs6WI5p-t9_gs/edit?gid=0#gid=1")</f>
        <v>https://docs.google.com/spreadsheets/d/110ICbz3sGTtgslgaI3Mmio00T5gXG-Gs6WI5p-t9_gs/edit?gid=0#gid=1</v>
      </c>
      <c r="AB126" s="213"/>
      <c r="AC126" s="213"/>
      <c r="AD126" s="213"/>
      <c r="AE126" s="213"/>
      <c r="AF126" s="213"/>
      <c r="AG126" s="213"/>
      <c r="AH126" s="213" t="str">
        <f>IFERROR(__xludf.DUMMYFUNCTION("""COMPUTED_VALUE"""),"NACIONAL")</f>
        <v>NACIONAL</v>
      </c>
      <c r="AI126" s="213"/>
      <c r="AJ126" s="213"/>
      <c r="AK126" s="213"/>
      <c r="AL126" s="213"/>
      <c r="AM126" s="213"/>
      <c r="AN126" s="213"/>
      <c r="AO126" s="213"/>
      <c r="AP126" s="213" t="str">
        <f>IFERROR(__xludf.DUMMYFUNCTION("""COMPUTED_VALUE"""),"ANTONELLA")</f>
        <v>ANTONELLA</v>
      </c>
      <c r="AQ126" s="213" t="str">
        <f>IFERROR(__xludf.DUMMYFUNCTION("""COMPUTED_VALUE"""),"Ningun modelo indica Rango de ajuste de presión: 0.05 - 0.14 Mpa.")</f>
        <v>Ningun modelo indica Rango de ajuste de presión: 0.05 - 0.14 Mpa.</v>
      </c>
      <c r="AR126" s="213"/>
      <c r="AS126" s="213" t="str">
        <f>IFERROR(__xludf.DUMMYFUNCTION("""COMPUTED_VALUE"""),"FUNDA")</f>
        <v>FUNDA</v>
      </c>
      <c r="AT126" s="213"/>
      <c r="AU126" s="213"/>
      <c r="AV126" s="213"/>
      <c r="AW126" s="213"/>
      <c r="AX126" s="213"/>
      <c r="AY126" s="213"/>
      <c r="AZ126" s="213"/>
      <c r="BA126" s="213"/>
      <c r="BB126" s="213"/>
      <c r="BC126" s="213"/>
      <c r="BD126" s="213"/>
    </row>
    <row r="127">
      <c r="A127" s="213">
        <f>IFERROR(__xludf.DUMMYFUNCTION("""COMPUTED_VALUE"""),1449.0)</f>
        <v>1449</v>
      </c>
      <c r="B127" s="213" t="str">
        <f>IFERROR(__xludf.DUMMYFUNCTION("""COMPUTED_VALUE"""),"GUILLERMO E. BILLINGHURST ")</f>
        <v>GUILLERMO E. BILLINGHURST </v>
      </c>
      <c r="C127" s="213" t="str">
        <f>IFERROR(__xludf.DUMMYFUNCTION("""COMPUTED_VALUE"""),"TALLER SFT DE INDUSTRIA ALIMENTARIA")</f>
        <v>TALLER SFT DE INDUSTRIA ALIMENTARIA</v>
      </c>
      <c r="D127" s="213" t="str">
        <f>IFERROR(__xludf.DUMMYFUNCTION("""COMPUTED_VALUE"""),"EQUIPOS")</f>
        <v>EQUIPOS</v>
      </c>
      <c r="E127" s="213" t="str">
        <f>IFERROR(__xludf.DUMMYFUNCTION("""COMPUTED_VALUE"""),"ESP-110")</f>
        <v>ESP-110</v>
      </c>
      <c r="F127" s="213" t="str">
        <f>IFERROR(__xludf.DUMMYFUNCTION("""COMPUTED_VALUE"""),"ESP-110")</f>
        <v>ESP-110</v>
      </c>
      <c r="G127" s="213"/>
      <c r="H127" s="213" t="str">
        <f>IFERROR(__xludf.DUMMYFUNCTION("""COMPUTED_VALUE"""),"AUTOCLAVE 18 LITROS (ESTERILIZACIÓN)")</f>
        <v>AUTOCLAVE 18 LITROS (ESTERILIZACIÓN)</v>
      </c>
      <c r="I127" s="213" t="str">
        <f>IFERROR(__xludf.DUMMYFUNCTION("""COMPUTED_VALUE"""),"· Volumen de esterilización: 18 Litros.
· Presión: 0.14 - 0.16 Mpa.
· Máxima presión: 0165 Mpa.
· Temperatura de funcionamiento: 121°C - 126°C.
· Rango de ajuste de presión: 0.05 - 0.14 Mpa.
· Rango de temporizador: 0 - 60 min.
· Consumo de energía: 2KW /"&amp;" AC220V - 60HZ
· Dimensiones mínimas: 41 cmx 41cm x 52 cm.
* Incluye una funda protectora impermeable para su almacenamiento.")</f>
        <v>· Volumen de esterilización: 18 Litros.
· Presión: 0.14 - 0.16 Mpa.
· Máxima presión: 0165 Mpa.
· Temperatura de funcionamiento: 121°C - 126°C.
· Rango de ajuste de presión: 0.05 - 0.14 Mpa.
· Rango de temporizador: 0 - 60 min.
· Consumo de energía: 2KW / AC220V - 60HZ
· Dimensiones mínimas: 41 cmx 41cm x 52 cm.
* Incluye una funda protectora impermeable para su almacenamiento.</v>
      </c>
      <c r="J127" s="213">
        <f>IFERROR(__xludf.DUMMYFUNCTION("""COMPUTED_VALUE"""),3.0)</f>
        <v>3</v>
      </c>
      <c r="K127" s="213" t="str">
        <f>IFERROR(__xludf.DUMMYFUNCTION("""COMPUTED_VALUE"""),"170 DÍAS CALENDARIO")</f>
        <v>170 DÍAS CALENDARIO</v>
      </c>
      <c r="L127" s="213" t="str">
        <f>IFERROR(__xludf.DUMMYFUNCTION("""COMPUTED_VALUE"""),"")</f>
        <v/>
      </c>
      <c r="M127" s="213">
        <f>IFERROR(__xludf.DUMMYFUNCTION("""COMPUTED_VALUE"""),1.0)</f>
        <v>1</v>
      </c>
      <c r="N127" s="213">
        <f>IFERROR(__xludf.DUMMYFUNCTION("""COMPUTED_VALUE"""),1.0)</f>
        <v>1</v>
      </c>
      <c r="O127" s="213">
        <f>IFERROR(__xludf.DUMMYFUNCTION("""COMPUTED_VALUE"""),1.0)</f>
        <v>1</v>
      </c>
      <c r="P127" s="213"/>
      <c r="Q127" s="213"/>
      <c r="R127" s="213"/>
      <c r="S127" s="213" t="str">
        <f>IFERROR(__xludf.DUMMYFUNCTION("""COMPUTED_VALUE"""),"SI")</f>
        <v>SI</v>
      </c>
      <c r="T127" s="213" t="str">
        <f>IFERROR(__xludf.DUMMYFUNCTION("""COMPUTED_VALUE"""),"SI")</f>
        <v>SI</v>
      </c>
      <c r="U127" s="213" t="str">
        <f>IFERROR(__xludf.DUMMYFUNCTION("""COMPUTED_VALUE"""),"NO")</f>
        <v>NO</v>
      </c>
      <c r="V127" s="213" t="str">
        <f>IFERROR(__xludf.DUMMYFUNCTION("""COMPUTED_VALUE"""),"SUSTENTO")</f>
        <v>SUSTENTO</v>
      </c>
      <c r="W127" s="213" t="str">
        <f>IFERROR(__xludf.DUMMYFUNCTION("""COMPUTED_VALUE"""),"CRÍTICO")</f>
        <v>CRÍTICO</v>
      </c>
      <c r="X127" s="213" t="str">
        <f>IFERROR(__xludf.DUMMYFUNCTION("""COMPUTED_VALUE"""),"JAMPAR")</f>
        <v>JAMPAR</v>
      </c>
      <c r="Y127" s="213" t="str">
        <f>IFERROR(__xludf.DUMMYFUNCTION("""COMPUTED_VALUE"""),"FSF-18LDJ")</f>
        <v>FSF-18LDJ</v>
      </c>
      <c r="Z127" s="215" t="str">
        <f>IFERROR(__xludf.DUMMYFUNCTION("""COMPUTED_VALUE"""),"https://www.appsheet.com/template/gettablefileurl?appName=APPDISTRIBUIDORES-2753577&amp;tableName=RECURSOS&amp;fileName=RECURSOS_Files_%2F186040010.DOC_INSERTO_SAP.140232.pdf")</f>
        <v>https://www.appsheet.com/template/gettablefileurl?appName=APPDISTRIBUIDORES-2753577&amp;tableName=RECURSOS&amp;fileName=RECURSOS_Files_%2F186040010.DOC_INSERTO_SAP.140232.pdf</v>
      </c>
      <c r="AA127" s="215" t="str">
        <f>IFERROR(__xludf.DUMMYFUNCTION("""COMPUTED_VALUE"""),"https://docs.google.com/spreadsheets/d/110ICbz3sGTtgslgaI3Mmio00T5gXG-Gs6WI5p-t9_gs/edit?gid=0#gid=1")</f>
        <v>https://docs.google.com/spreadsheets/d/110ICbz3sGTtgslgaI3Mmio00T5gXG-Gs6WI5p-t9_gs/edit?gid=0#gid=1</v>
      </c>
      <c r="AB127" s="213"/>
      <c r="AC127" s="213"/>
      <c r="AD127" s="213"/>
      <c r="AE127" s="213"/>
      <c r="AF127" s="213"/>
      <c r="AG127" s="213"/>
      <c r="AH127" s="213" t="str">
        <f>IFERROR(__xludf.DUMMYFUNCTION("""COMPUTED_VALUE"""),"NACIONAL")</f>
        <v>NACIONAL</v>
      </c>
      <c r="AI127" s="213"/>
      <c r="AJ127" s="213"/>
      <c r="AK127" s="213"/>
      <c r="AL127" s="213"/>
      <c r="AM127" s="213"/>
      <c r="AN127" s="213"/>
      <c r="AO127" s="213"/>
      <c r="AP127" s="213" t="str">
        <f>IFERROR(__xludf.DUMMYFUNCTION("""COMPUTED_VALUE"""),"ANTONELLA")</f>
        <v>ANTONELLA</v>
      </c>
      <c r="AQ127" s="213" t="str">
        <f>IFERROR(__xludf.DUMMYFUNCTION("""COMPUTED_VALUE"""),"Ningun modelo indica Rango de ajuste de presión: 0.05 - 0.14 Mpa.")</f>
        <v>Ningun modelo indica Rango de ajuste de presión: 0.05 - 0.14 Mpa.</v>
      </c>
      <c r="AR127" s="213"/>
      <c r="AS127" s="213" t="str">
        <f>IFERROR(__xludf.DUMMYFUNCTION("""COMPUTED_VALUE"""),"FUNDA")</f>
        <v>FUNDA</v>
      </c>
      <c r="AT127" s="213"/>
      <c r="AU127" s="213"/>
      <c r="AV127" s="213"/>
      <c r="AW127" s="213"/>
      <c r="AX127" s="213"/>
      <c r="AY127" s="213"/>
      <c r="AZ127" s="213"/>
      <c r="BA127" s="213"/>
      <c r="BB127" s="213"/>
      <c r="BC127" s="213"/>
      <c r="BD127" s="213"/>
    </row>
    <row r="128">
      <c r="A128" s="213">
        <f>IFERROR(__xludf.DUMMYFUNCTION("""COMPUTED_VALUE"""),2136.0)</f>
        <v>2136</v>
      </c>
      <c r="B128" s="213" t="str">
        <f>IFERROR(__xludf.DUMMYFUNCTION("""COMPUTED_VALUE"""),"JOSE GRANDA")</f>
        <v>JOSE GRANDA</v>
      </c>
      <c r="C128" s="213" t="str">
        <f>IFERROR(__xludf.DUMMYFUNCTION("""COMPUTED_VALUE"""),"TALLER SFT DE INDUSTRIA ALIMENTARIA")</f>
        <v>TALLER SFT DE INDUSTRIA ALIMENTARIA</v>
      </c>
      <c r="D128" s="213" t="str">
        <f>IFERROR(__xludf.DUMMYFUNCTION("""COMPUTED_VALUE"""),"EQUIPOS")</f>
        <v>EQUIPOS</v>
      </c>
      <c r="E128" s="213" t="str">
        <f>IFERROR(__xludf.DUMMYFUNCTION("""COMPUTED_VALUE"""),"ESP-110")</f>
        <v>ESP-110</v>
      </c>
      <c r="F128" s="213" t="str">
        <f>IFERROR(__xludf.DUMMYFUNCTION("""COMPUTED_VALUE"""),"ESP-110")</f>
        <v>ESP-110</v>
      </c>
      <c r="G128" s="213"/>
      <c r="H128" s="213" t="str">
        <f>IFERROR(__xludf.DUMMYFUNCTION("""COMPUTED_VALUE"""),"AUTOCLAVE 18 LITROS (ESTERILIZACIÓN)")</f>
        <v>AUTOCLAVE 18 LITROS (ESTERILIZACIÓN)</v>
      </c>
      <c r="I128" s="213" t="str">
        <f>IFERROR(__xludf.DUMMYFUNCTION("""COMPUTED_VALUE"""),"· Volumen de esterilización: 18 Litros.
· Presión: 0.14 - 0.16 Mpa.
· Máxima presión: 0165 Mpa.
· Temperatura de funcionamiento: 121°C - 126°C.
· Rango de ajuste de presión: 0.05 - 0.14 Mpa.
· Rango de temporizador: 0 - 60 min.
· Consumo de energía: 2KW /"&amp;" AC220V - 60HZ
· Dimensiones mínimas: 41 cmx 41cm x 52 cm.
* Incluye una funda protectora impermeable para su almacenamiento.")</f>
        <v>· Volumen de esterilización: 18 Litros.
· Presión: 0.14 - 0.16 Mpa.
· Máxima presión: 0165 Mpa.
· Temperatura de funcionamiento: 121°C - 126°C.
· Rango de ajuste de presión: 0.05 - 0.14 Mpa.
· Rango de temporizador: 0 - 60 min.
· Consumo de energía: 2KW / AC220V - 60HZ
· Dimensiones mínimas: 41 cmx 41cm x 52 cm.
* Incluye una funda protectora impermeable para su almacenamiento.</v>
      </c>
      <c r="J128" s="213">
        <f>IFERROR(__xludf.DUMMYFUNCTION("""COMPUTED_VALUE"""),3.0)</f>
        <v>3</v>
      </c>
      <c r="K128" s="213" t="str">
        <f>IFERROR(__xludf.DUMMYFUNCTION("""COMPUTED_VALUE"""),"170 DÍAS CALENDARIO")</f>
        <v>170 DÍAS CALENDARIO</v>
      </c>
      <c r="L128" s="213" t="str">
        <f>IFERROR(__xludf.DUMMYFUNCTION("""COMPUTED_VALUE"""),"")</f>
        <v/>
      </c>
      <c r="M128" s="213">
        <f>IFERROR(__xludf.DUMMYFUNCTION("""COMPUTED_VALUE"""),1.0)</f>
        <v>1</v>
      </c>
      <c r="N128" s="213">
        <f>IFERROR(__xludf.DUMMYFUNCTION("""COMPUTED_VALUE"""),1.0)</f>
        <v>1</v>
      </c>
      <c r="O128" s="213">
        <f>IFERROR(__xludf.DUMMYFUNCTION("""COMPUTED_VALUE"""),1.0)</f>
        <v>1</v>
      </c>
      <c r="P128" s="213"/>
      <c r="Q128" s="213"/>
      <c r="R128" s="213"/>
      <c r="S128" s="213" t="str">
        <f>IFERROR(__xludf.DUMMYFUNCTION("""COMPUTED_VALUE"""),"SI")</f>
        <v>SI</v>
      </c>
      <c r="T128" s="213" t="str">
        <f>IFERROR(__xludf.DUMMYFUNCTION("""COMPUTED_VALUE"""),"SI")</f>
        <v>SI</v>
      </c>
      <c r="U128" s="213" t="str">
        <f>IFERROR(__xludf.DUMMYFUNCTION("""COMPUTED_VALUE"""),"NO")</f>
        <v>NO</v>
      </c>
      <c r="V128" s="213" t="str">
        <f>IFERROR(__xludf.DUMMYFUNCTION("""COMPUTED_VALUE"""),"SUSTENTO")</f>
        <v>SUSTENTO</v>
      </c>
      <c r="W128" s="213" t="str">
        <f>IFERROR(__xludf.DUMMYFUNCTION("""COMPUTED_VALUE"""),"CRÍTICO")</f>
        <v>CRÍTICO</v>
      </c>
      <c r="X128" s="213" t="str">
        <f>IFERROR(__xludf.DUMMYFUNCTION("""COMPUTED_VALUE"""),"JAMPAR")</f>
        <v>JAMPAR</v>
      </c>
      <c r="Y128" s="213" t="str">
        <f>IFERROR(__xludf.DUMMYFUNCTION("""COMPUTED_VALUE"""),"FSF-18LDJ")</f>
        <v>FSF-18LDJ</v>
      </c>
      <c r="Z128" s="215" t="str">
        <f>IFERROR(__xludf.DUMMYFUNCTION("""COMPUTED_VALUE"""),"https://www.appsheet.com/template/gettablefileurl?appName=APPDISTRIBUIDORES-2753577&amp;tableName=RECURSOS&amp;fileName=RECURSOS_Files_%2F186040010.DOC_INSERTO_SAP.140232.pdf")</f>
        <v>https://www.appsheet.com/template/gettablefileurl?appName=APPDISTRIBUIDORES-2753577&amp;tableName=RECURSOS&amp;fileName=RECURSOS_Files_%2F186040010.DOC_INSERTO_SAP.140232.pdf</v>
      </c>
      <c r="AA128" s="215" t="str">
        <f>IFERROR(__xludf.DUMMYFUNCTION("""COMPUTED_VALUE"""),"https://docs.google.com/spreadsheets/d/110ICbz3sGTtgslgaI3Mmio00T5gXG-Gs6WI5p-t9_gs/edit?gid=0#gid=1")</f>
        <v>https://docs.google.com/spreadsheets/d/110ICbz3sGTtgslgaI3Mmio00T5gXG-Gs6WI5p-t9_gs/edit?gid=0#gid=1</v>
      </c>
      <c r="AB128" s="213"/>
      <c r="AC128" s="213"/>
      <c r="AD128" s="213"/>
      <c r="AE128" s="213"/>
      <c r="AF128" s="213"/>
      <c r="AG128" s="213"/>
      <c r="AH128" s="213" t="str">
        <f>IFERROR(__xludf.DUMMYFUNCTION("""COMPUTED_VALUE"""),"NACIONAL")</f>
        <v>NACIONAL</v>
      </c>
      <c r="AI128" s="213"/>
      <c r="AJ128" s="213"/>
      <c r="AK128" s="213"/>
      <c r="AL128" s="213"/>
      <c r="AM128" s="213"/>
      <c r="AN128" s="213"/>
      <c r="AO128" s="213"/>
      <c r="AP128" s="213" t="str">
        <f>IFERROR(__xludf.DUMMYFUNCTION("""COMPUTED_VALUE"""),"ANTONELLA")</f>
        <v>ANTONELLA</v>
      </c>
      <c r="AQ128" s="213" t="str">
        <f>IFERROR(__xludf.DUMMYFUNCTION("""COMPUTED_VALUE"""),"Ningun modelo indica Rango de ajuste de presión: 0.05 - 0.14 Mpa.")</f>
        <v>Ningun modelo indica Rango de ajuste de presión: 0.05 - 0.14 Mpa.</v>
      </c>
      <c r="AR128" s="213"/>
      <c r="AS128" s="213" t="str">
        <f>IFERROR(__xludf.DUMMYFUNCTION("""COMPUTED_VALUE"""),"FUNDA")</f>
        <v>FUNDA</v>
      </c>
      <c r="AT128" s="213"/>
      <c r="AU128" s="213"/>
      <c r="AV128" s="213"/>
      <c r="AW128" s="213"/>
      <c r="AX128" s="213"/>
      <c r="AY128" s="213"/>
      <c r="AZ128" s="213"/>
      <c r="BA128" s="213"/>
      <c r="BB128" s="213"/>
      <c r="BC128" s="213"/>
      <c r="BD128" s="213"/>
    </row>
    <row r="129">
      <c r="A129" s="213">
        <f>IFERROR(__xludf.DUMMYFUNCTION("""COMPUTED_VALUE"""),1784.0)</f>
        <v>1784</v>
      </c>
      <c r="B129" s="213" t="str">
        <f>IFERROR(__xludf.DUMMYFUNCTION("""COMPUTED_VALUE"""),"GUILLERMO E. BILLINGHURST ")</f>
        <v>GUILLERMO E. BILLINGHURST </v>
      </c>
      <c r="C129" s="213" t="str">
        <f>IFERROR(__xludf.DUMMYFUNCTION("""COMPUTED_VALUE"""),"TALLER SFT DE EBANISTERÍA")</f>
        <v>TALLER SFT DE EBANISTERÍA</v>
      </c>
      <c r="D129" s="213" t="str">
        <f>IFERROR(__xludf.DUMMYFUNCTION("""COMPUTED_VALUE"""),"HERRAMIENTAS")</f>
        <v>HERRAMIENTAS</v>
      </c>
      <c r="E129" s="213" t="str">
        <f>IFERROR(__xludf.DUMMYFUNCTION("""COMPUTED_VALUE"""),"COM-126")</f>
        <v>COM-126</v>
      </c>
      <c r="F129" s="213" t="str">
        <f>IFERROR(__xludf.DUMMYFUNCTION("""COMPUTED_VALUE"""),"COM-126-W")</f>
        <v>COM-126-W</v>
      </c>
      <c r="G129" s="213"/>
      <c r="H129" s="213" t="str">
        <f>IFERROR(__xludf.DUMMYFUNCTION("""COMPUTED_VALUE"""),"CALIBRADOR DIGITAL")</f>
        <v>CALIBRADOR DIGITAL</v>
      </c>
      <c r="I129" s="213" t="str">
        <f>IFERROR(__xludf.DUMMYFUNCTION("""COMPUTED_VALUE"""),"Rango de medición: de 0 - 150 mm. Resolución: 0,01 mm
Pantalla LCD
Funciones de encendido y apagado, puesta a cero en cualquier punto, bloqueo mediante tornillo, conversión en mm y pulgadas.
Con pila.
Fabricado conforme a la norma DIN 862. Calibrado de fá"&amp;"brica.")</f>
        <v>Rango de medición: de 0 - 150 mm. Resolución: 0,01 mm
Pantalla LCD
Funciones de encendido y apagado, puesta a cero en cualquier punto, bloqueo mediante tornillo, conversión en mm y pulgadas.
Con pila.
Fabricado conforme a la norma DIN 862. Calibrado de fábrica.</v>
      </c>
      <c r="J129" s="213">
        <f>IFERROR(__xludf.DUMMYFUNCTION("""COMPUTED_VALUE"""),3.0)</f>
        <v>3</v>
      </c>
      <c r="K129" s="213" t="str">
        <f>IFERROR(__xludf.DUMMYFUNCTION("""COMPUTED_VALUE"""),"90 DÍAS CALENDARIO")</f>
        <v>90 DÍAS CALENDARIO</v>
      </c>
      <c r="L129" s="213" t="str">
        <f>IFERROR(__xludf.DUMMYFUNCTION("""COMPUTED_VALUE"""),"")</f>
        <v/>
      </c>
      <c r="M129" s="213">
        <f>IFERROR(__xludf.DUMMYFUNCTION("""COMPUTED_VALUE"""),1.0)</f>
        <v>1</v>
      </c>
      <c r="N129" s="213">
        <f>IFERROR(__xludf.DUMMYFUNCTION("""COMPUTED_VALUE"""),4.0)</f>
        <v>4</v>
      </c>
      <c r="O129" s="213">
        <f>IFERROR(__xludf.DUMMYFUNCTION("""COMPUTED_VALUE"""),4.0)</f>
        <v>4</v>
      </c>
      <c r="P129" s="213"/>
      <c r="Q129" s="213"/>
      <c r="R129" s="213" t="str">
        <f>IFERROR(__xludf.DUMMYFUNCTION("""COMPUTED_VALUE"""),"SI")</f>
        <v>SI</v>
      </c>
      <c r="S129" s="213"/>
      <c r="T129" s="213" t="str">
        <f>IFERROR(__xludf.DUMMYFUNCTION("""COMPUTED_VALUE"""),"SI")</f>
        <v>SI</v>
      </c>
      <c r="U129" s="213" t="str">
        <f>IFERROR(__xludf.DUMMYFUNCTION("""COMPUTED_VALUE"""),"SI")</f>
        <v>SI</v>
      </c>
      <c r="V129" s="213" t="str">
        <f>IFERROR(__xludf.DUMMYFUNCTION("""COMPUTED_VALUE"""),"-")</f>
        <v>-</v>
      </c>
      <c r="W129" s="213" t="str">
        <f>IFERROR(__xludf.DUMMYFUNCTION("""COMPUTED_VALUE"""),"-")</f>
        <v>-</v>
      </c>
      <c r="X129" s="213" t="str">
        <f>IFERROR(__xludf.DUMMYFUNCTION("""COMPUTED_VALUE"""),"VOGEL GERMANY")</f>
        <v>VOGEL GERMANY</v>
      </c>
      <c r="Y129" s="213" t="str">
        <f>IFERROR(__xludf.DUMMYFUNCTION("""COMPUTED_VALUE"""),"IP54 – 202161-2")</f>
        <v>IP54 – 202161-2</v>
      </c>
      <c r="Z129" s="215" t="str">
        <f>IFERROR(__xludf.DUMMYFUNCTION("""COMPUTED_VALUE"""),"https://store.ferrindustrial.com.pe/producto/calibrador-pie-de-rey-digital-ip54-de-8-200mm-202161-2-vogel-germany/")</f>
        <v>https://store.ferrindustrial.com.pe/producto/calibrador-pie-de-rey-digital-ip54-de-8-200mm-202161-2-vogel-germany/</v>
      </c>
      <c r="AA129" s="213" t="str">
        <f>IFERROR(__xludf.DUMMYFUNCTION("""COMPUTED_VALUE"""),"COM-126-W CALIBRADOR DIGITAL - CET")</f>
        <v>COM-126-W CALIBRADOR DIGITAL - CET</v>
      </c>
      <c r="AB129" s="215" t="str">
        <f>IFERROR(__xludf.DUMMYFUNCTION("""COMPUTED_VALUE"""),"https://drive.google.com/file/d/1yu12SyKHpCBISOqN0XMhx39zlU2Qg_U-/view?usp=sharing")</f>
        <v>https://drive.google.com/file/d/1yu12SyKHpCBISOqN0XMhx39zlU2Qg_U-/view?usp=sharing</v>
      </c>
      <c r="AC129" s="215" t="str">
        <f>IFERROR(__xludf.DUMMYFUNCTION("""COMPUTED_VALUE"""),"https://store.ferrindustrial.com.pe/producto/calibrador-pie-de-rey-digital-ip54-de-8-200mm-202161-2-vogel-germany/")</f>
        <v>https://store.ferrindustrial.com.pe/producto/calibrador-pie-de-rey-digital-ip54-de-8-200mm-202161-2-vogel-germany/</v>
      </c>
      <c r="AD129" s="213"/>
      <c r="AE129" s="213"/>
      <c r="AF129" s="213"/>
      <c r="AG129" s="213"/>
      <c r="AH129" s="213" t="str">
        <f>IFERROR(__xludf.DUMMYFUNCTION("""COMPUTED_VALUE"""),"NACIONAL")</f>
        <v>NACIONAL</v>
      </c>
      <c r="AI129" s="213"/>
      <c r="AJ129" s="213"/>
      <c r="AK129" s="213"/>
      <c r="AL129" s="213"/>
      <c r="AM129" s="213"/>
      <c r="AN129" s="213"/>
      <c r="AO129" s="213"/>
      <c r="AP129" s="213" t="str">
        <f>IFERROR(__xludf.DUMMYFUNCTION("""COMPUTED_VALUE"""),"LUIS")</f>
        <v>LUIS</v>
      </c>
      <c r="AQ129" s="213"/>
      <c r="AR129" s="213"/>
      <c r="AS129" s="213"/>
      <c r="AT129" s="213"/>
      <c r="AU129" s="213"/>
      <c r="AV129" s="213"/>
      <c r="AW129" s="213"/>
      <c r="AX129" s="213"/>
      <c r="AY129" s="213"/>
      <c r="AZ129" s="213"/>
      <c r="BA129" s="213"/>
      <c r="BB129" s="213"/>
      <c r="BC129" s="213"/>
      <c r="BD129" s="213"/>
    </row>
    <row r="130">
      <c r="A130" s="213">
        <f>IFERROR(__xludf.DUMMYFUNCTION("""COMPUTED_VALUE"""),2235.0)</f>
        <v>2235</v>
      </c>
      <c r="B130" s="213" t="str">
        <f>IFERROR(__xludf.DUMMYFUNCTION("""COMPUTED_VALUE"""),"JOSE GRANDA")</f>
        <v>JOSE GRANDA</v>
      </c>
      <c r="C130" s="213" t="str">
        <f>IFERROR(__xludf.DUMMYFUNCTION("""COMPUTED_VALUE"""),"TALLER SFT DE MECÁNICA AUTOMOTRIZ")</f>
        <v>TALLER SFT DE MECÁNICA AUTOMOTRIZ</v>
      </c>
      <c r="D130" s="213" t="str">
        <f>IFERROR(__xludf.DUMMYFUNCTION("""COMPUTED_VALUE"""),"HERRAMIENTAS")</f>
        <v>HERRAMIENTAS</v>
      </c>
      <c r="E130" s="213" t="str">
        <f>IFERROR(__xludf.DUMMYFUNCTION("""COMPUTED_VALUE"""),"COM-126")</f>
        <v>COM-126</v>
      </c>
      <c r="F130" s="213" t="str">
        <f>IFERROR(__xludf.DUMMYFUNCTION("""COMPUTED_VALUE"""),"COM-126-Y")</f>
        <v>COM-126-Y</v>
      </c>
      <c r="G130" s="213"/>
      <c r="H130" s="213" t="str">
        <f>IFERROR(__xludf.DUMMYFUNCTION("""COMPUTED_VALUE"""),"CALIBRADOR DIGITAL")</f>
        <v>CALIBRADOR DIGITAL</v>
      </c>
      <c r="I130" s="213" t="str">
        <f>IFERROR(__xludf.DUMMYFUNCTION("""COMPUTED_VALUE"""),"Rango de medición: de 0 - 150 mm. Resolución: 0,01 mm
Funciones de encendido y apagado, puesta a cero en cualquier punto, bloqueo mediante tornillo, conversión en mm y pulgadas.
Con pila.
Fabricado conforme a la norma DIN 862. Calibrado de fábrica.
Incluy"&amp;"e estuche.")</f>
        <v>Rango de medición: de 0 - 150 mm. Resolución: 0,01 mm
Funciones de encendido y apagado, puesta a cero en cualquier punto, bloqueo mediante tornillo, conversión en mm y pulgadas.
Con pila.
Fabricado conforme a la norma DIN 862. Calibrado de fábrica.
Incluye estuche.</v>
      </c>
      <c r="J130" s="213">
        <f>IFERROR(__xludf.DUMMYFUNCTION("""COMPUTED_VALUE"""),3.0)</f>
        <v>3</v>
      </c>
      <c r="K130" s="213" t="str">
        <f>IFERROR(__xludf.DUMMYFUNCTION("""COMPUTED_VALUE"""),"90 DÍAS CALENDARIO")</f>
        <v>90 DÍAS CALENDARIO</v>
      </c>
      <c r="L130" s="213" t="str">
        <f>IFERROR(__xludf.DUMMYFUNCTION("""COMPUTED_VALUE"""),"")</f>
        <v/>
      </c>
      <c r="M130" s="213">
        <f>IFERROR(__xludf.DUMMYFUNCTION("""COMPUTED_VALUE"""),1.0)</f>
        <v>1</v>
      </c>
      <c r="N130" s="213">
        <f>IFERROR(__xludf.DUMMYFUNCTION("""COMPUTED_VALUE"""),1.0)</f>
        <v>1</v>
      </c>
      <c r="O130" s="213">
        <f>IFERROR(__xludf.DUMMYFUNCTION("""COMPUTED_VALUE"""),1.0)</f>
        <v>1</v>
      </c>
      <c r="P130" s="213"/>
      <c r="Q130" s="213"/>
      <c r="R130" s="213" t="str">
        <f>IFERROR(__xludf.DUMMYFUNCTION("""COMPUTED_VALUE"""),"SI")</f>
        <v>SI</v>
      </c>
      <c r="S130" s="213"/>
      <c r="T130" s="213" t="str">
        <f>IFERROR(__xludf.DUMMYFUNCTION("""COMPUTED_VALUE"""),"SI")</f>
        <v>SI</v>
      </c>
      <c r="U130" s="213" t="str">
        <f>IFERROR(__xludf.DUMMYFUNCTION("""COMPUTED_VALUE"""),"SI")</f>
        <v>SI</v>
      </c>
      <c r="V130" s="213" t="str">
        <f>IFERROR(__xludf.DUMMYFUNCTION("""COMPUTED_VALUE"""),"-")</f>
        <v>-</v>
      </c>
      <c r="W130" s="213" t="str">
        <f>IFERROR(__xludf.DUMMYFUNCTION("""COMPUTED_VALUE"""),"-")</f>
        <v>-</v>
      </c>
      <c r="X130" s="213" t="str">
        <f>IFERROR(__xludf.DUMMYFUNCTION("""COMPUTED_VALUE"""),"VOGEL GERMANY")</f>
        <v>VOGEL GERMANY</v>
      </c>
      <c r="Y130" s="213" t="str">
        <f>IFERROR(__xludf.DUMMYFUNCTION("""COMPUTED_VALUE"""),"IP54 – 202161-2")</f>
        <v>IP54 – 202161-2</v>
      </c>
      <c r="Z130" s="215" t="str">
        <f>IFERROR(__xludf.DUMMYFUNCTION("""COMPUTED_VALUE"""),"https://store.ferrindustrial.com.pe/producto/calibrador-pie-de-rey-digital-ip54-de-8-200mm-202161-2-vogel-germany/")</f>
        <v>https://store.ferrindustrial.com.pe/producto/calibrador-pie-de-rey-digital-ip54-de-8-200mm-202161-2-vogel-germany/</v>
      </c>
      <c r="AA130" s="213" t="str">
        <f>IFERROR(__xludf.DUMMYFUNCTION("""COMPUTED_VALUE"""),"COM-126-Y CALIBRADOR DIGITAL - CET")</f>
        <v>COM-126-Y CALIBRADOR DIGITAL - CET</v>
      </c>
      <c r="AB130" s="215" t="str">
        <f>IFERROR(__xludf.DUMMYFUNCTION("""COMPUTED_VALUE"""),"https://drive.google.com/file/d/1LL0662pFBbmL8ELBpNeH_yMtSfjMVp1D/view?usp=sharing")</f>
        <v>https://drive.google.com/file/d/1LL0662pFBbmL8ELBpNeH_yMtSfjMVp1D/view?usp=sharing</v>
      </c>
      <c r="AC130" s="215" t="str">
        <f>IFERROR(__xludf.DUMMYFUNCTION("""COMPUTED_VALUE"""),"https://store.ferrindustrial.com.pe/producto/calibrador-pie-de-rey-digital-ip54-de-8-200mm-202161-2-vogel-germany/")</f>
        <v>https://store.ferrindustrial.com.pe/producto/calibrador-pie-de-rey-digital-ip54-de-8-200mm-202161-2-vogel-germany/</v>
      </c>
      <c r="AD130" s="213"/>
      <c r="AE130" s="213"/>
      <c r="AF130" s="213"/>
      <c r="AG130" s="213"/>
      <c r="AH130" s="213" t="str">
        <f>IFERROR(__xludf.DUMMYFUNCTION("""COMPUTED_VALUE"""),"NACIONAL")</f>
        <v>NACIONAL</v>
      </c>
      <c r="AI130" s="213"/>
      <c r="AJ130" s="213"/>
      <c r="AK130" s="213"/>
      <c r="AL130" s="213"/>
      <c r="AM130" s="213"/>
      <c r="AN130" s="213"/>
      <c r="AO130" s="213"/>
      <c r="AP130" s="213" t="str">
        <f>IFERROR(__xludf.DUMMYFUNCTION("""COMPUTED_VALUE"""),"LUIS")</f>
        <v>LUIS</v>
      </c>
      <c r="AQ130" s="213"/>
      <c r="AR130" s="213"/>
      <c r="AS130" s="213"/>
      <c r="AT130" s="213"/>
      <c r="AU130" s="213"/>
      <c r="AV130" s="213"/>
      <c r="AW130" s="213"/>
      <c r="AX130" s="213"/>
      <c r="AY130" s="213"/>
      <c r="AZ130" s="213"/>
      <c r="BA130" s="213"/>
      <c r="BB130" s="213"/>
      <c r="BC130" s="213"/>
      <c r="BD130" s="213"/>
    </row>
    <row r="131">
      <c r="A131" s="213">
        <f>IFERROR(__xludf.DUMMYFUNCTION("""COMPUTED_VALUE"""),2519.0)</f>
        <v>2519</v>
      </c>
      <c r="B131" s="213" t="str">
        <f>IFERROR(__xludf.DUMMYFUNCTION("""COMPUTED_VALUE"""),"MANUEL ANTONIO MESONES MURO")</f>
        <v>MANUEL ANTONIO MESONES MURO</v>
      </c>
      <c r="C131" s="213" t="str">
        <f>IFERROR(__xludf.DUMMYFUNCTION("""COMPUTED_VALUE"""),"TALLER SFT DE CONSTRUCCIONES METÁLICAS")</f>
        <v>TALLER SFT DE CONSTRUCCIONES METÁLICAS</v>
      </c>
      <c r="D131" s="213" t="str">
        <f>IFERROR(__xludf.DUMMYFUNCTION("""COMPUTED_VALUE"""),"HERRAMIENTAS")</f>
        <v>HERRAMIENTAS</v>
      </c>
      <c r="E131" s="213" t="str">
        <f>IFERROR(__xludf.DUMMYFUNCTION("""COMPUTED_VALUE"""),"MAT-112")</f>
        <v>MAT-112</v>
      </c>
      <c r="F131" s="213" t="str">
        <f>IFERROR(__xludf.DUMMYFUNCTION("""COMPUTED_VALUE"""),"MAT-112")</f>
        <v>MAT-112</v>
      </c>
      <c r="G131" s="213"/>
      <c r="H131" s="213" t="str">
        <f>IFERROR(__xludf.DUMMYFUNCTION("""COMPUTED_VALUE"""),"BALÓN DE ACETILENO")</f>
        <v>BALÓN DE ACETILENO</v>
      </c>
      <c r="I131" s="213" t="str">
        <f>IFERROR(__xludf.DUMMYFUNCTION("""COMPUTED_VALUE"""),"Cilindro de acero sin costura
-       Capacidad 6.5 kg
-       Protector de válvula
-       Color rojo")</f>
        <v>Cilindro de acero sin costura
-       Capacidad 6.5 kg
-       Protector de válvula
-       Color rojo</v>
      </c>
      <c r="J131" s="213">
        <f>IFERROR(__xludf.DUMMYFUNCTION("""COMPUTED_VALUE"""),3.0)</f>
        <v>3</v>
      </c>
      <c r="K131" s="213" t="str">
        <f>IFERROR(__xludf.DUMMYFUNCTION("""COMPUTED_VALUE"""),"170 DÍAS CALENDARIO")</f>
        <v>170 DÍAS CALENDARIO</v>
      </c>
      <c r="L131" s="213" t="str">
        <f>IFERROR(__xludf.DUMMYFUNCTION("""COMPUTED_VALUE"""),"")</f>
        <v/>
      </c>
      <c r="M131" s="213">
        <f>IFERROR(__xludf.DUMMYFUNCTION("""COMPUTED_VALUE"""),1.0)</f>
        <v>1</v>
      </c>
      <c r="N131" s="213">
        <f>IFERROR(__xludf.DUMMYFUNCTION("""COMPUTED_VALUE"""),1.0)</f>
        <v>1</v>
      </c>
      <c r="O131" s="213">
        <f>IFERROR(__xludf.DUMMYFUNCTION("""COMPUTED_VALUE"""),1.0)</f>
        <v>1</v>
      </c>
      <c r="P131" s="213"/>
      <c r="Q131" s="213"/>
      <c r="R131" s="213"/>
      <c r="S131" s="213"/>
      <c r="T131" s="213" t="str">
        <f>IFERROR(__xludf.DUMMYFUNCTION("""COMPUTED_VALUE"""),"CONSULTA FINAL")</f>
        <v>CONSULTA FINAL</v>
      </c>
      <c r="U131" s="213" t="str">
        <f>IFERROR(__xludf.DUMMYFUNCTION("""COMPUTED_VALUE"""),"NO")</f>
        <v>NO</v>
      </c>
      <c r="V131" s="213" t="str">
        <f>IFERROR(__xludf.DUMMYFUNCTION("""COMPUTED_VALUE"""),"SUSTENTO")</f>
        <v>SUSTENTO</v>
      </c>
      <c r="W131" s="213" t="str">
        <f>IFERROR(__xludf.DUMMYFUNCTION("""COMPUTED_VALUE"""),"EQU TEC")</f>
        <v>EQU TEC</v>
      </c>
      <c r="X131" s="213" t="str">
        <f>IFERROR(__xludf.DUMMYFUNCTION("""COMPUTED_VALUE"""),"Weldtech")</f>
        <v>Weldtech</v>
      </c>
      <c r="Y131" s="213" t="str">
        <f>IFERROR(__xludf.DUMMYFUNCTION("""COMPUTED_VALUE"""),"Cilindro de Acetileno 6Kg ")</f>
        <v>Cilindro de Acetileno 6Kg </v>
      </c>
      <c r="Z131" s="215" t="str">
        <f>IFERROR(__xludf.DUMMYFUNCTION("""COMPUTED_VALUE"""),"https://www.myweldtech.com/product/cilindro-de-acetileno-6kg-weldtech/")</f>
        <v>https://www.myweldtech.com/product/cilindro-de-acetileno-6kg-weldtech/</v>
      </c>
      <c r="AA131" s="213" t="str">
        <f>IFERROR(__xludf.DUMMYFUNCTION("""COMPUTED_VALUE"""),"MAT-112 BALÓN DE ACETILENO - CET")</f>
        <v>MAT-112 BALÓN DE ACETILENO - CET</v>
      </c>
      <c r="AB131" s="213"/>
      <c r="AC131" s="213"/>
      <c r="AD131" s="213"/>
      <c r="AE131" s="213"/>
      <c r="AF131" s="213"/>
      <c r="AG131" s="213"/>
      <c r="AH131" s="213"/>
      <c r="AI131" s="213"/>
      <c r="AJ131" s="213"/>
      <c r="AK131" s="213"/>
      <c r="AL131" s="213"/>
      <c r="AM131" s="213"/>
      <c r="AN131" s="213"/>
      <c r="AO131" s="213"/>
      <c r="AP131" s="213" t="str">
        <f>IFERROR(__xludf.DUMMYFUNCTION("""COMPUTED_VALUE"""),"BRUNO")</f>
        <v>BRUNO</v>
      </c>
      <c r="AQ131" s="213"/>
      <c r="AR131" s="213"/>
      <c r="AS131" s="213"/>
      <c r="AT131" s="213"/>
      <c r="AU131" s="213"/>
      <c r="AV131" s="213"/>
      <c r="AW131" s="213"/>
      <c r="AX131" s="213"/>
      <c r="AY131" s="213"/>
      <c r="AZ131" s="213"/>
      <c r="BA131" s="213"/>
      <c r="BB131" s="213"/>
      <c r="BC131" s="213"/>
      <c r="BD131" s="213"/>
    </row>
    <row r="132">
      <c r="A132" s="213">
        <f>IFERROR(__xludf.DUMMYFUNCTION("""COMPUTED_VALUE"""),2566.0)</f>
        <v>2566</v>
      </c>
      <c r="B132" s="213" t="str">
        <f>IFERROR(__xludf.DUMMYFUNCTION("""COMPUTED_VALUE"""),"MANUEL ANTONIO MESONES MURO")</f>
        <v>MANUEL ANTONIO MESONES MURO</v>
      </c>
      <c r="C132" s="213" t="str">
        <f>IFERROR(__xludf.DUMMYFUNCTION("""COMPUTED_VALUE"""),"TALLER SFT DE EBANISTERÍA")</f>
        <v>TALLER SFT DE EBANISTERÍA</v>
      </c>
      <c r="D132" s="213" t="str">
        <f>IFERROR(__xludf.DUMMYFUNCTION("""COMPUTED_VALUE"""),"HERRAMIENTAS")</f>
        <v>HERRAMIENTAS</v>
      </c>
      <c r="E132" s="213" t="str">
        <f>IFERROR(__xludf.DUMMYFUNCTION("""COMPUTED_VALUE"""),"COM-126")</f>
        <v>COM-126</v>
      </c>
      <c r="F132" s="213" t="str">
        <f>IFERROR(__xludf.DUMMYFUNCTION("""COMPUTED_VALUE"""),"COM-126-W")</f>
        <v>COM-126-W</v>
      </c>
      <c r="G132" s="213"/>
      <c r="H132" s="213" t="str">
        <f>IFERROR(__xludf.DUMMYFUNCTION("""COMPUTED_VALUE"""),"CALIBRADOR DIGITAL")</f>
        <v>CALIBRADOR DIGITAL</v>
      </c>
      <c r="I132" s="213" t="str">
        <f>IFERROR(__xludf.DUMMYFUNCTION("""COMPUTED_VALUE"""),"Rango de medición: de 0 - 150 mm. Resolución: 0,01 mm
Pantalla LCD
Funciones de encendido y apagado, puesta a cero en cualquier punto, bloqueo mediante tornillo, conversión en mm y pulgadas.
Con pila.
Fabricado conforme a la norma DIN 862. Calibrado de fá"&amp;"brica.")</f>
        <v>Rango de medición: de 0 - 150 mm. Resolución: 0,01 mm
Pantalla LCD
Funciones de encendido y apagado, puesta a cero en cualquier punto, bloqueo mediante tornillo, conversión en mm y pulgadas.
Con pila.
Fabricado conforme a la norma DIN 862. Calibrado de fábrica.</v>
      </c>
      <c r="J132" s="213">
        <f>IFERROR(__xludf.DUMMYFUNCTION("""COMPUTED_VALUE"""),3.0)</f>
        <v>3</v>
      </c>
      <c r="K132" s="213" t="str">
        <f>IFERROR(__xludf.DUMMYFUNCTION("""COMPUTED_VALUE"""),"90 DÍAS CALENDARIO")</f>
        <v>90 DÍAS CALENDARIO</v>
      </c>
      <c r="L132" s="213" t="str">
        <f>IFERROR(__xludf.DUMMYFUNCTION("""COMPUTED_VALUE"""),"")</f>
        <v/>
      </c>
      <c r="M132" s="213">
        <f>IFERROR(__xludf.DUMMYFUNCTION("""COMPUTED_VALUE"""),1.0)</f>
        <v>1</v>
      </c>
      <c r="N132" s="213">
        <f>IFERROR(__xludf.DUMMYFUNCTION("""COMPUTED_VALUE"""),4.0)</f>
        <v>4</v>
      </c>
      <c r="O132" s="213">
        <f>IFERROR(__xludf.DUMMYFUNCTION("""COMPUTED_VALUE"""),4.0)</f>
        <v>4</v>
      </c>
      <c r="P132" s="213"/>
      <c r="Q132" s="213"/>
      <c r="R132" s="213" t="str">
        <f>IFERROR(__xludf.DUMMYFUNCTION("""COMPUTED_VALUE"""),"SI")</f>
        <v>SI</v>
      </c>
      <c r="S132" s="213"/>
      <c r="T132" s="213" t="str">
        <f>IFERROR(__xludf.DUMMYFUNCTION("""COMPUTED_VALUE"""),"SI")</f>
        <v>SI</v>
      </c>
      <c r="U132" s="213" t="str">
        <f>IFERROR(__xludf.DUMMYFUNCTION("""COMPUTED_VALUE"""),"SI")</f>
        <v>SI</v>
      </c>
      <c r="V132" s="213" t="str">
        <f>IFERROR(__xludf.DUMMYFUNCTION("""COMPUTED_VALUE"""),"-")</f>
        <v>-</v>
      </c>
      <c r="W132" s="213" t="str">
        <f>IFERROR(__xludf.DUMMYFUNCTION("""COMPUTED_VALUE"""),"-")</f>
        <v>-</v>
      </c>
      <c r="X132" s="213" t="str">
        <f>IFERROR(__xludf.DUMMYFUNCTION("""COMPUTED_VALUE"""),"VOGEL GERMANY")</f>
        <v>VOGEL GERMANY</v>
      </c>
      <c r="Y132" s="213" t="str">
        <f>IFERROR(__xludf.DUMMYFUNCTION("""COMPUTED_VALUE"""),"IP54 – 202161-2")</f>
        <v>IP54 – 202161-2</v>
      </c>
      <c r="Z132" s="215" t="str">
        <f>IFERROR(__xludf.DUMMYFUNCTION("""COMPUTED_VALUE"""),"https://store.ferrindustrial.com.pe/producto/calibrador-pie-de-rey-digital-ip54-de-8-200mm-202161-2-vogel-germany/")</f>
        <v>https://store.ferrindustrial.com.pe/producto/calibrador-pie-de-rey-digital-ip54-de-8-200mm-202161-2-vogel-germany/</v>
      </c>
      <c r="AA132" s="213" t="str">
        <f>IFERROR(__xludf.DUMMYFUNCTION("""COMPUTED_VALUE"""),"COM-126-W CALIBRADOR DIGITAL - CET")</f>
        <v>COM-126-W CALIBRADOR DIGITAL - CET</v>
      </c>
      <c r="AB132" s="215" t="str">
        <f>IFERROR(__xludf.DUMMYFUNCTION("""COMPUTED_VALUE"""),"https://drive.google.com/file/d/1yu12SyKHpCBISOqN0XMhx39zlU2Qg_U-/view?usp=sharing")</f>
        <v>https://drive.google.com/file/d/1yu12SyKHpCBISOqN0XMhx39zlU2Qg_U-/view?usp=sharing</v>
      </c>
      <c r="AC132" s="215" t="str">
        <f>IFERROR(__xludf.DUMMYFUNCTION("""COMPUTED_VALUE"""),"https://store.ferrindustrial.com.pe/producto/calibrador-pie-de-rey-digital-ip54-de-8-200mm-202161-2-vogel-germany/")</f>
        <v>https://store.ferrindustrial.com.pe/producto/calibrador-pie-de-rey-digital-ip54-de-8-200mm-202161-2-vogel-germany/</v>
      </c>
      <c r="AD132" s="213"/>
      <c r="AE132" s="213"/>
      <c r="AF132" s="213"/>
      <c r="AG132" s="213"/>
      <c r="AH132" s="213" t="str">
        <f>IFERROR(__xludf.DUMMYFUNCTION("""COMPUTED_VALUE"""),"NACIONAL")</f>
        <v>NACIONAL</v>
      </c>
      <c r="AI132" s="213"/>
      <c r="AJ132" s="213"/>
      <c r="AK132" s="213"/>
      <c r="AL132" s="213"/>
      <c r="AM132" s="213"/>
      <c r="AN132" s="213"/>
      <c r="AO132" s="213"/>
      <c r="AP132" s="213" t="str">
        <f>IFERROR(__xludf.DUMMYFUNCTION("""COMPUTED_VALUE"""),"LUIS")</f>
        <v>LUIS</v>
      </c>
      <c r="AQ132" s="213"/>
      <c r="AR132" s="213"/>
      <c r="AS132" s="213"/>
      <c r="AT132" s="213"/>
      <c r="AU132" s="213"/>
      <c r="AV132" s="213"/>
      <c r="AW132" s="213"/>
      <c r="AX132" s="213"/>
      <c r="AY132" s="213"/>
      <c r="AZ132" s="213"/>
      <c r="BA132" s="213"/>
      <c r="BB132" s="213"/>
      <c r="BC132" s="213"/>
      <c r="BD132" s="213"/>
    </row>
    <row r="133">
      <c r="A133" s="213">
        <f>IFERROR(__xludf.DUMMYFUNCTION("""COMPUTED_VALUE"""),2516.0)</f>
        <v>2516</v>
      </c>
      <c r="B133" s="213" t="str">
        <f>IFERROR(__xludf.DUMMYFUNCTION("""COMPUTED_VALUE"""),"MANUEL ANTONIO MESONES MURO")</f>
        <v>MANUEL ANTONIO MESONES MURO</v>
      </c>
      <c r="C133" s="213" t="str">
        <f>IFERROR(__xludf.DUMMYFUNCTION("""COMPUTED_VALUE"""),"TALLER SFT DE CONSTRUCCIONES METÁLICAS")</f>
        <v>TALLER SFT DE CONSTRUCCIONES METÁLICAS</v>
      </c>
      <c r="D133" s="213" t="str">
        <f>IFERROR(__xludf.DUMMYFUNCTION("""COMPUTED_VALUE"""),"HERRAMIENTAS")</f>
        <v>HERRAMIENTAS</v>
      </c>
      <c r="E133" s="213" t="str">
        <f>IFERROR(__xludf.DUMMYFUNCTION("""COMPUTED_VALUE"""),"MAT-113")</f>
        <v>MAT-113</v>
      </c>
      <c r="F133" s="213" t="str">
        <f>IFERROR(__xludf.DUMMYFUNCTION("""COMPUTED_VALUE"""),"MAT-113")</f>
        <v>MAT-113</v>
      </c>
      <c r="G133" s="213"/>
      <c r="H133" s="213" t="str">
        <f>IFERROR(__xludf.DUMMYFUNCTION("""COMPUTED_VALUE"""),"BALÓN DE ARGÓN")</f>
        <v>BALÓN DE ARGÓN</v>
      </c>
      <c r="I133" s="213" t="str">
        <f>IFERROR(__xludf.DUMMYFUNCTION("""COMPUTED_VALUE"""),"Balón de 6m3 con coche para traslado
-       Presión a prueba 250 bar
-       Modelo cilindro de gas Argón con capacidad de 6m3
-       Color marrón oscuro
-       Presión de llenado 150 bar")</f>
        <v>Balón de 6m3 con coche para traslado
-       Presión a prueba 250 bar
-       Modelo cilindro de gas Argón con capacidad de 6m3
-       Color marrón oscuro
-       Presión de llenado 150 bar</v>
      </c>
      <c r="J133" s="213">
        <f>IFERROR(__xludf.DUMMYFUNCTION("""COMPUTED_VALUE"""),3.0)</f>
        <v>3</v>
      </c>
      <c r="K133" s="213" t="str">
        <f>IFERROR(__xludf.DUMMYFUNCTION("""COMPUTED_VALUE"""),"170 DÍAS CALENDARIO")</f>
        <v>170 DÍAS CALENDARIO</v>
      </c>
      <c r="L133" s="213" t="str">
        <f>IFERROR(__xludf.DUMMYFUNCTION("""COMPUTED_VALUE"""),"")</f>
        <v/>
      </c>
      <c r="M133" s="213">
        <f>IFERROR(__xludf.DUMMYFUNCTION("""COMPUTED_VALUE"""),1.0)</f>
        <v>1</v>
      </c>
      <c r="N133" s="213">
        <f>IFERROR(__xludf.DUMMYFUNCTION("""COMPUTED_VALUE"""),1.0)</f>
        <v>1</v>
      </c>
      <c r="O133" s="213">
        <f>IFERROR(__xludf.DUMMYFUNCTION("""COMPUTED_VALUE"""),1.0)</f>
        <v>1</v>
      </c>
      <c r="P133" s="213"/>
      <c r="Q133" s="213"/>
      <c r="R133" s="213"/>
      <c r="S133" s="213"/>
      <c r="T133" s="213" t="str">
        <f>IFERROR(__xludf.DUMMYFUNCTION("""COMPUTED_VALUE"""),"SI")</f>
        <v>SI</v>
      </c>
      <c r="U133" s="213" t="str">
        <f>IFERROR(__xludf.DUMMYFUNCTION("""COMPUTED_VALUE"""),"SI")</f>
        <v>SI</v>
      </c>
      <c r="V133" s="213" t="str">
        <f>IFERROR(__xludf.DUMMYFUNCTION("""COMPUTED_VALUE"""),"-")</f>
        <v>-</v>
      </c>
      <c r="W133" s="213" t="str">
        <f>IFERROR(__xludf.DUMMYFUNCTION("""COMPUTED_VALUE"""),"-")</f>
        <v>-</v>
      </c>
      <c r="X133" s="213" t="str">
        <f>IFERROR(__xludf.DUMMYFUNCTION("""COMPUTED_VALUE"""),"Air Products")</f>
        <v>Air Products</v>
      </c>
      <c r="Y133" s="213" t="str">
        <f>IFERROR(__xludf.DUMMYFUNCTION("""COMPUTED_VALUE"""),"Cilindro Argón 6m3 ISO 9809-1")</f>
        <v>Cilindro Argón 6m3 ISO 9809-1</v>
      </c>
      <c r="Z133" s="215" t="str">
        <f>IFERROR(__xludf.DUMMYFUNCTION("""COMPUTED_VALUE"""),"https://drive.google.com/file/d/1274JMsxSCkX64aanAH3iA_BuNqW0Jear/view")</f>
        <v>https://drive.google.com/file/d/1274JMsxSCkX64aanAH3iA_BuNqW0Jear/view</v>
      </c>
      <c r="AA133" s="213" t="str">
        <f>IFERROR(__xludf.DUMMYFUNCTION("""COMPUTED_VALUE"""),"MAT-113 BALÓN DE ARGÓN - CET")</f>
        <v>MAT-113 BALÓN DE ARGÓN - CET</v>
      </c>
      <c r="AB133" s="215" t="str">
        <f>IFERROR(__xludf.DUMMYFUNCTION("""COMPUTED_VALUE"""),"https://drive.google.com/file/d/1274JMsxSCkX64aanAH3iA_BuNqW0Jear/view")</f>
        <v>https://drive.google.com/file/d/1274JMsxSCkX64aanAH3iA_BuNqW0Jear/view</v>
      </c>
      <c r="AC133" s="213"/>
      <c r="AD133" s="213"/>
      <c r="AE133" s="213"/>
      <c r="AF133" s="213"/>
      <c r="AG133" s="213"/>
      <c r="AH133" s="213"/>
      <c r="AI133" s="213"/>
      <c r="AJ133" s="213"/>
      <c r="AK133" s="213"/>
      <c r="AL133" s="213"/>
      <c r="AM133" s="213"/>
      <c r="AN133" s="213"/>
      <c r="AO133" s="213"/>
      <c r="AP133" s="213" t="str">
        <f>IFERROR(__xludf.DUMMYFUNCTION("""COMPUTED_VALUE"""),"BRUNO")</f>
        <v>BRUNO</v>
      </c>
      <c r="AQ133" s="213" t="str">
        <f>IFERROR(__xludf.DUMMYFUNCTION("""COMPUTED_VALUE"""),"COTIZAR COCHE DE TRASLADO DE BALONES")</f>
        <v>COTIZAR COCHE DE TRASLADO DE BALONES</v>
      </c>
      <c r="AR133" s="213"/>
      <c r="AS133" s="213" t="str">
        <f>IFERROR(__xludf.DUMMYFUNCTION("""COMPUTED_VALUE"""),"coche porta balon 10mt3 con llantas buggy")</f>
        <v>coche porta balon 10mt3 con llantas buggy</v>
      </c>
      <c r="AT133" s="216" t="str">
        <f>IFERROR(__xludf.DUMMYFUNCTION("""COMPUTED_VALUE"""),"https://welderpower.com.pe/product/coche-porta-balon-10mt3-con-llantas-buggy/")</f>
        <v>https://welderpower.com.pe/product/coche-porta-balon-10mt3-con-llantas-buggy/</v>
      </c>
      <c r="AU133" s="213"/>
      <c r="AV133" s="213"/>
      <c r="AW133" s="213"/>
      <c r="AX133" s="213"/>
      <c r="AY133" s="213"/>
      <c r="AZ133" s="213"/>
      <c r="BA133" s="213"/>
      <c r="BB133" s="213"/>
      <c r="BC133" s="213"/>
      <c r="BD133" s="213"/>
    </row>
    <row r="134">
      <c r="A134" s="213">
        <f>IFERROR(__xludf.DUMMYFUNCTION("""COMPUTED_VALUE"""),436.0)</f>
        <v>436</v>
      </c>
      <c r="B134" s="213" t="str">
        <f>IFERROR(__xludf.DUMMYFUNCTION("""COMPUTED_VALUE"""),"2026 SIMON BOLIVAR")</f>
        <v>2026 SIMON BOLIVAR</v>
      </c>
      <c r="C134" s="213" t="str">
        <f>IFERROR(__xludf.DUMMYFUNCTION("""COMPUTED_VALUE"""),"TALLER SFT DE INDUSTRIA ALIMENTARIA")</f>
        <v>TALLER SFT DE INDUSTRIA ALIMENTARIA</v>
      </c>
      <c r="D134" s="213" t="str">
        <f>IFERROR(__xludf.DUMMYFUNCTION("""COMPUTED_VALUE"""),"EQUIPOS")</f>
        <v>EQUIPOS</v>
      </c>
      <c r="E134" s="213" t="str">
        <f>IFERROR(__xludf.DUMMYFUNCTION("""COMPUTED_VALUE"""),"COM-106")</f>
        <v>COM-106</v>
      </c>
      <c r="F134" s="213" t="str">
        <f>IFERROR(__xludf.DUMMYFUNCTION("""COMPUTED_VALUE"""),"COM-106")</f>
        <v>COM-106</v>
      </c>
      <c r="G134" s="213"/>
      <c r="H134" s="213" t="str">
        <f>IFERROR(__xludf.DUMMYFUNCTION("""COMPUTED_VALUE"""),"BALANZA 3KG")</f>
        <v>BALANZA 3KG</v>
      </c>
      <c r="I134" s="213" t="str">
        <f>IFERROR(__xludf.DUMMYFUNCTION("""COMPUTED_VALUE"""),"· Balanza electrónica digital.
· Capacidad: máxima 3 kg.
· División: 1g
· Funciones de peso bruto, tara, cero.
.  Electricidad  Adaptador de CA (incluido). preparado para tomas de 220V/60HZ.
· Pantalla: Mínimo LCD.
.  Batería recargable Duración de la bat"&amp;"ería  50 horas con batería recargable como mínimo.
.  Capacidad máx. / Lectura mínima 3 kg/0,5 g
.  Tamaño de la plataforma (LxA)  190 mm x 242 mm como mínimo. Debe incluir funda protectora impermable para su almacenamiento.")</f>
        <v>· Balanza electrónica digital.
· Capacidad: máxima 3 kg.
· División: 1g
· Funciones de peso bruto, tara, cero.
.  Electricidad  Adaptador de CA (incluido). preparado para tomas de 220V/60HZ.
· Pantalla: Mínimo LCD.
.  Batería recargable Duración de la batería  50 horas con batería recargable como mínimo.
.  Capacidad máx. / Lectura mínima 3 kg/0,5 g
.  Tamaño de la plataforma (LxA)  190 mm x 242 mm como mínimo. Debe incluir funda protectora impermable para su almacenamiento.</v>
      </c>
      <c r="J134" s="213">
        <f>IFERROR(__xludf.DUMMYFUNCTION("""COMPUTED_VALUE"""),3.0)</f>
        <v>3</v>
      </c>
      <c r="K134" s="213" t="str">
        <f>IFERROR(__xludf.DUMMYFUNCTION("""COMPUTED_VALUE"""),"90 DÍAS CALENDARIO")</f>
        <v>90 DÍAS CALENDARIO</v>
      </c>
      <c r="L134" s="213" t="str">
        <f>IFERROR(__xludf.DUMMYFUNCTION("""COMPUTED_VALUE"""),"")</f>
        <v/>
      </c>
      <c r="M134" s="213">
        <f>IFERROR(__xludf.DUMMYFUNCTION("""COMPUTED_VALUE"""),1.0)</f>
        <v>1</v>
      </c>
      <c r="N134" s="213">
        <f>IFERROR(__xludf.DUMMYFUNCTION("""COMPUTED_VALUE"""),1.0)</f>
        <v>1</v>
      </c>
      <c r="O134" s="213">
        <f>IFERROR(__xludf.DUMMYFUNCTION("""COMPUTED_VALUE"""),1.0)</f>
        <v>1</v>
      </c>
      <c r="P134" s="213"/>
      <c r="Q134" s="213"/>
      <c r="R134" s="213" t="str">
        <f>IFERROR(__xludf.DUMMYFUNCTION("""COMPUTED_VALUE"""),"SI")</f>
        <v>SI</v>
      </c>
      <c r="S134" s="213" t="str">
        <f>IFERROR(__xludf.DUMMYFUNCTION("""COMPUTED_VALUE"""),"SI")</f>
        <v>SI</v>
      </c>
      <c r="T134" s="213" t="str">
        <f>IFERROR(__xludf.DUMMYFUNCTION("""COMPUTED_VALUE"""),"CONSULTA FINAL")</f>
        <v>CONSULTA FINAL</v>
      </c>
      <c r="U134" s="213" t="str">
        <f>IFERROR(__xludf.DUMMYFUNCTION("""COMPUTED_VALUE"""),"SI")</f>
        <v>SI</v>
      </c>
      <c r="V134" s="213" t="str">
        <f>IFERROR(__xludf.DUMMYFUNCTION("""COMPUTED_VALUE"""),"-")</f>
        <v>-</v>
      </c>
      <c r="W134" s="213" t="str">
        <f>IFERROR(__xludf.DUMMYFUNCTION("""COMPUTED_VALUE"""),"-")</f>
        <v>-</v>
      </c>
      <c r="X134" s="213" t="str">
        <f>IFERROR(__xludf.DUMMYFUNCTION("""COMPUTED_VALUE"""),"OHAUS")</f>
        <v>OHAUS</v>
      </c>
      <c r="Y134" s="213" t="str">
        <f>IFERROR(__xludf.DUMMYFUNCTION("""COMPUTED_VALUE"""),"Valor™ 4000")</f>
        <v>Valor™ 4000</v>
      </c>
      <c r="Z134" s="215" t="str">
        <f>IFERROR(__xludf.DUMMYFUNCTION("""COMPUTED_VALUE"""),"https://eu-es.ohaus.com/es-eu/products/balances-scales/bench-scales/valor-4000/v41xwe3t")</f>
        <v>https://eu-es.ohaus.com/es-eu/products/balances-scales/bench-scales/valor-4000/v41xwe3t</v>
      </c>
      <c r="AA134" s="213" t="str">
        <f>IFERROR(__xludf.DUMMYFUNCTION("""COMPUTED_VALUE"""),"COM-106 BALANZA 3KG - CET")</f>
        <v>COM-106 BALANZA 3KG - CET</v>
      </c>
      <c r="AB134" s="215" t="str">
        <f>IFERROR(__xludf.DUMMYFUNCTION("""COMPUTED_VALUE"""),"https://drive.google.com/file/d/1qtiGw4XhEPgx5pPOZLb0hhPFJLnKBfsM/view?usp=sharing")</f>
        <v>https://drive.google.com/file/d/1qtiGw4XhEPgx5pPOZLb0hhPFJLnKBfsM/view?usp=sharing</v>
      </c>
      <c r="AC134" s="215" t="str">
        <f>IFERROR(__xludf.DUMMYFUNCTION("""COMPUTED_VALUE"""),"https://www.amazon.com/-/es/Ohaus-Escala-Valor-4000-V41XWE3T/dp/B00K5UJPWO")</f>
        <v>https://www.amazon.com/-/es/Ohaus-Escala-Valor-4000-V41XWE3T/dp/B00K5UJPWO</v>
      </c>
      <c r="AD134" s="213"/>
      <c r="AE134" s="213"/>
      <c r="AF134" s="213"/>
      <c r="AG134" s="213"/>
      <c r="AH134" s="213" t="str">
        <f>IFERROR(__xludf.DUMMYFUNCTION("""COMPUTED_VALUE"""),"IMPORTADO")</f>
        <v>IMPORTADO</v>
      </c>
      <c r="AI134" s="213"/>
      <c r="AJ134" s="213"/>
      <c r="AK134" s="213"/>
      <c r="AL134" s="213"/>
      <c r="AM134" s="213"/>
      <c r="AN134" s="213"/>
      <c r="AO134" s="213"/>
      <c r="AP134" s="213" t="str">
        <f>IFERROR(__xludf.DUMMYFUNCTION("""COMPUTED_VALUE"""),"LUIS")</f>
        <v>LUIS</v>
      </c>
      <c r="AQ134" s="213"/>
      <c r="AR134" s="213"/>
      <c r="AS134" s="213"/>
      <c r="AT134" s="213"/>
      <c r="AU134" s="213"/>
      <c r="AV134" s="213"/>
      <c r="AW134" s="213"/>
      <c r="AX134" s="213"/>
      <c r="AY134" s="213"/>
      <c r="AZ134" s="213"/>
      <c r="BA134" s="213"/>
      <c r="BB134" s="213"/>
      <c r="BC134" s="213"/>
      <c r="BD134" s="213"/>
    </row>
    <row r="135">
      <c r="A135" s="213">
        <f>IFERROR(__xludf.DUMMYFUNCTION("""COMPUTED_VALUE"""),1066.0)</f>
        <v>1066</v>
      </c>
      <c r="B135" s="213" t="str">
        <f>IFERROR(__xludf.DUMMYFUNCTION("""COMPUTED_VALUE"""),"FRANCISCO IRAZOLA")</f>
        <v>FRANCISCO IRAZOLA</v>
      </c>
      <c r="C135" s="213" t="str">
        <f>IFERROR(__xludf.DUMMYFUNCTION("""COMPUTED_VALUE"""),"TALLER SFT DE INDUSTRIA ALIMENTARIA")</f>
        <v>TALLER SFT DE INDUSTRIA ALIMENTARIA</v>
      </c>
      <c r="D135" s="213" t="str">
        <f>IFERROR(__xludf.DUMMYFUNCTION("""COMPUTED_VALUE"""),"EQUIPOS")</f>
        <v>EQUIPOS</v>
      </c>
      <c r="E135" s="213" t="str">
        <f>IFERROR(__xludf.DUMMYFUNCTION("""COMPUTED_VALUE"""),"COM-106")</f>
        <v>COM-106</v>
      </c>
      <c r="F135" s="213" t="str">
        <f>IFERROR(__xludf.DUMMYFUNCTION("""COMPUTED_VALUE"""),"COM-106")</f>
        <v>COM-106</v>
      </c>
      <c r="G135" s="213"/>
      <c r="H135" s="213" t="str">
        <f>IFERROR(__xludf.DUMMYFUNCTION("""COMPUTED_VALUE"""),"BALANZA 3KG")</f>
        <v>BALANZA 3KG</v>
      </c>
      <c r="I135" s="213" t="str">
        <f>IFERROR(__xludf.DUMMYFUNCTION("""COMPUTED_VALUE"""),"· Balanza electrónica digital.
· Capacidad: máxima 3 kg.
· División: 1g
· Funciones de peso bruto, tara, cero.
.  Electricidad  Adaptador de CA (incluido). preparado para tomas de 220V/60HZ.
· Pantalla: Mínimo LCD.
.  Batería recargable Duración de la bat"&amp;"ería  50 horas con batería recargable como mínimo.
.  Capacidad máx. / Lectura mínima 3 kg/0,5 g
.  Tamaño de la plataforma (LxA)  190 mm x 242 mm como mínimo. Debe incluir funda protectora impermable para su almacenamiento.")</f>
        <v>· Balanza electrónica digital.
· Capacidad: máxima 3 kg.
· División: 1g
· Funciones de peso bruto, tara, cero.
.  Electricidad  Adaptador de CA (incluido). preparado para tomas de 220V/60HZ.
· Pantalla: Mínimo LCD.
.  Batería recargable Duración de la batería  50 horas con batería recargable como mínimo.
.  Capacidad máx. / Lectura mínima 3 kg/0,5 g
.  Tamaño de la plataforma (LxA)  190 mm x 242 mm como mínimo. Debe incluir funda protectora impermable para su almacenamiento.</v>
      </c>
      <c r="J135" s="213">
        <f>IFERROR(__xludf.DUMMYFUNCTION("""COMPUTED_VALUE"""),3.0)</f>
        <v>3</v>
      </c>
      <c r="K135" s="213" t="str">
        <f>IFERROR(__xludf.DUMMYFUNCTION("""COMPUTED_VALUE"""),"90 DÍAS CALENDARIO")</f>
        <v>90 DÍAS CALENDARIO</v>
      </c>
      <c r="L135" s="213" t="str">
        <f>IFERROR(__xludf.DUMMYFUNCTION("""COMPUTED_VALUE"""),"")</f>
        <v/>
      </c>
      <c r="M135" s="213">
        <f>IFERROR(__xludf.DUMMYFUNCTION("""COMPUTED_VALUE"""),1.0)</f>
        <v>1</v>
      </c>
      <c r="N135" s="213">
        <f>IFERROR(__xludf.DUMMYFUNCTION("""COMPUTED_VALUE"""),1.0)</f>
        <v>1</v>
      </c>
      <c r="O135" s="213">
        <f>IFERROR(__xludf.DUMMYFUNCTION("""COMPUTED_VALUE"""),1.0)</f>
        <v>1</v>
      </c>
      <c r="P135" s="213"/>
      <c r="Q135" s="213"/>
      <c r="R135" s="213" t="str">
        <f>IFERROR(__xludf.DUMMYFUNCTION("""COMPUTED_VALUE"""),"SI")</f>
        <v>SI</v>
      </c>
      <c r="S135" s="213" t="str">
        <f>IFERROR(__xludf.DUMMYFUNCTION("""COMPUTED_VALUE"""),"SI")</f>
        <v>SI</v>
      </c>
      <c r="T135" s="213" t="str">
        <f>IFERROR(__xludf.DUMMYFUNCTION("""COMPUTED_VALUE"""),"CONSULTA FINAL")</f>
        <v>CONSULTA FINAL</v>
      </c>
      <c r="U135" s="213" t="str">
        <f>IFERROR(__xludf.DUMMYFUNCTION("""COMPUTED_VALUE"""),"SI")</f>
        <v>SI</v>
      </c>
      <c r="V135" s="213" t="str">
        <f>IFERROR(__xludf.DUMMYFUNCTION("""COMPUTED_VALUE"""),"-")</f>
        <v>-</v>
      </c>
      <c r="W135" s="213" t="str">
        <f>IFERROR(__xludf.DUMMYFUNCTION("""COMPUTED_VALUE"""),"-")</f>
        <v>-</v>
      </c>
      <c r="X135" s="213" t="str">
        <f>IFERROR(__xludf.DUMMYFUNCTION("""COMPUTED_VALUE"""),"OHAUS")</f>
        <v>OHAUS</v>
      </c>
      <c r="Y135" s="213" t="str">
        <f>IFERROR(__xludf.DUMMYFUNCTION("""COMPUTED_VALUE"""),"Valor™ 4001")</f>
        <v>Valor™ 4001</v>
      </c>
      <c r="Z135" s="215" t="str">
        <f>IFERROR(__xludf.DUMMYFUNCTION("""COMPUTED_VALUE"""),"https://eu-es.ohaus.com/es-eu/products/balances-scales/bench-scales/valor-4000/v41xwe3t")</f>
        <v>https://eu-es.ohaus.com/es-eu/products/balances-scales/bench-scales/valor-4000/v41xwe3t</v>
      </c>
      <c r="AA135" s="213" t="str">
        <f>IFERROR(__xludf.DUMMYFUNCTION("""COMPUTED_VALUE"""),"COM-106 BALANZA 3KG - CET")</f>
        <v>COM-106 BALANZA 3KG - CET</v>
      </c>
      <c r="AB135" s="215" t="str">
        <f>IFERROR(__xludf.DUMMYFUNCTION("""COMPUTED_VALUE"""),"https://drive.google.com/file/d/1qtiGw4XhEPgx5pPOZLb0hhPFJLnKBfsM/view?usp=sharing")</f>
        <v>https://drive.google.com/file/d/1qtiGw4XhEPgx5pPOZLb0hhPFJLnKBfsM/view?usp=sharing</v>
      </c>
      <c r="AC135" s="215" t="str">
        <f>IFERROR(__xludf.DUMMYFUNCTION("""COMPUTED_VALUE"""),"https://www.amazon.com/-/es/Ohaus-Escala-Valor-4000-V41XWE3T/dp/B00K5UJPWO")</f>
        <v>https://www.amazon.com/-/es/Ohaus-Escala-Valor-4000-V41XWE3T/dp/B00K5UJPWO</v>
      </c>
      <c r="AD135" s="213"/>
      <c r="AE135" s="213"/>
      <c r="AF135" s="213"/>
      <c r="AG135" s="213"/>
      <c r="AH135" s="213" t="str">
        <f>IFERROR(__xludf.DUMMYFUNCTION("""COMPUTED_VALUE"""),"IMPORTADO")</f>
        <v>IMPORTADO</v>
      </c>
      <c r="AI135" s="213"/>
      <c r="AJ135" s="213"/>
      <c r="AK135" s="213"/>
      <c r="AL135" s="213"/>
      <c r="AM135" s="213"/>
      <c r="AN135" s="213"/>
      <c r="AO135" s="213"/>
      <c r="AP135" s="213" t="str">
        <f>IFERROR(__xludf.DUMMYFUNCTION("""COMPUTED_VALUE"""),"LUIS")</f>
        <v>LUIS</v>
      </c>
      <c r="AQ135" s="213"/>
      <c r="AR135" s="213"/>
      <c r="AS135" s="213"/>
      <c r="AT135" s="213"/>
      <c r="AU135" s="213"/>
      <c r="AV135" s="213"/>
      <c r="AW135" s="213"/>
      <c r="AX135" s="213"/>
      <c r="AY135" s="213"/>
      <c r="AZ135" s="213"/>
      <c r="BA135" s="213"/>
      <c r="BB135" s="213"/>
      <c r="BC135" s="213"/>
      <c r="BD135" s="213"/>
    </row>
    <row r="136">
      <c r="A136" s="213">
        <f>IFERROR(__xludf.DUMMYFUNCTION("""COMPUTED_VALUE"""),1341.0)</f>
        <v>1341</v>
      </c>
      <c r="B136" s="213" t="str">
        <f>IFERROR(__xludf.DUMMYFUNCTION("""COMPUTED_VALUE"""),"GUILLERMO E. BILLINGHURST ")</f>
        <v>GUILLERMO E. BILLINGHURST </v>
      </c>
      <c r="C136" s="213" t="str">
        <f>IFERROR(__xludf.DUMMYFUNCTION("""COMPUTED_VALUE"""),"TALLER SFT DE INDUSTRIA ALIMENTARIA")</f>
        <v>TALLER SFT DE INDUSTRIA ALIMENTARIA</v>
      </c>
      <c r="D136" s="213" t="str">
        <f>IFERROR(__xludf.DUMMYFUNCTION("""COMPUTED_VALUE"""),"EQUIPOS")</f>
        <v>EQUIPOS</v>
      </c>
      <c r="E136" s="213" t="str">
        <f>IFERROR(__xludf.DUMMYFUNCTION("""COMPUTED_VALUE"""),"COM-106")</f>
        <v>COM-106</v>
      </c>
      <c r="F136" s="213" t="str">
        <f>IFERROR(__xludf.DUMMYFUNCTION("""COMPUTED_VALUE"""),"COM-106")</f>
        <v>COM-106</v>
      </c>
      <c r="G136" s="213"/>
      <c r="H136" s="213" t="str">
        <f>IFERROR(__xludf.DUMMYFUNCTION("""COMPUTED_VALUE"""),"BALANZA 3KG")</f>
        <v>BALANZA 3KG</v>
      </c>
      <c r="I136" s="213" t="str">
        <f>IFERROR(__xludf.DUMMYFUNCTION("""COMPUTED_VALUE"""),"· Balanza electrónica digital.
· Capacidad: máxima 3 kg.
· División: 1g
· Funciones de peso bruto, tara, cero.
.  Electricidad  Adaptador de CA (incluido). preparado para tomas de 220V/60HZ.
· Pantalla: Mínimo LCD.
.  Batería recargable Duración de la bat"&amp;"ería  50 horas con batería recargable como mínimo.
.  Capacidad máx. / Lectura mínima 3 kg/0,5 g
.  Tamaño de la plataforma (LxA)  190 mm x 242 mm como mínimo. Debe incluir funda protectora impermable para su almacenamiento.")</f>
        <v>· Balanza electrónica digital.
· Capacidad: máxima 3 kg.
· División: 1g
· Funciones de peso bruto, tara, cero.
.  Electricidad  Adaptador de CA (incluido). preparado para tomas de 220V/60HZ.
· Pantalla: Mínimo LCD.
.  Batería recargable Duración de la batería  50 horas con batería recargable como mínimo.
.  Capacidad máx. / Lectura mínima 3 kg/0,5 g
.  Tamaño de la plataforma (LxA)  190 mm x 242 mm como mínimo. Debe incluir funda protectora impermable para su almacenamiento.</v>
      </c>
      <c r="J136" s="213">
        <f>IFERROR(__xludf.DUMMYFUNCTION("""COMPUTED_VALUE"""),3.0)</f>
        <v>3</v>
      </c>
      <c r="K136" s="213" t="str">
        <f>IFERROR(__xludf.DUMMYFUNCTION("""COMPUTED_VALUE"""),"90 DÍAS CALENDARIO")</f>
        <v>90 DÍAS CALENDARIO</v>
      </c>
      <c r="L136" s="213" t="str">
        <f>IFERROR(__xludf.DUMMYFUNCTION("""COMPUTED_VALUE"""),"")</f>
        <v/>
      </c>
      <c r="M136" s="213">
        <f>IFERROR(__xludf.DUMMYFUNCTION("""COMPUTED_VALUE"""),1.0)</f>
        <v>1</v>
      </c>
      <c r="N136" s="213">
        <f>IFERROR(__xludf.DUMMYFUNCTION("""COMPUTED_VALUE"""),1.0)</f>
        <v>1</v>
      </c>
      <c r="O136" s="213">
        <f>IFERROR(__xludf.DUMMYFUNCTION("""COMPUTED_VALUE"""),1.0)</f>
        <v>1</v>
      </c>
      <c r="P136" s="213"/>
      <c r="Q136" s="213"/>
      <c r="R136" s="213" t="str">
        <f>IFERROR(__xludf.DUMMYFUNCTION("""COMPUTED_VALUE"""),"SI")</f>
        <v>SI</v>
      </c>
      <c r="S136" s="213" t="str">
        <f>IFERROR(__xludf.DUMMYFUNCTION("""COMPUTED_VALUE"""),"SI")</f>
        <v>SI</v>
      </c>
      <c r="T136" s="213" t="str">
        <f>IFERROR(__xludf.DUMMYFUNCTION("""COMPUTED_VALUE"""),"CONSULTA FINAL")</f>
        <v>CONSULTA FINAL</v>
      </c>
      <c r="U136" s="213" t="str">
        <f>IFERROR(__xludf.DUMMYFUNCTION("""COMPUTED_VALUE"""),"SI")</f>
        <v>SI</v>
      </c>
      <c r="V136" s="213" t="str">
        <f>IFERROR(__xludf.DUMMYFUNCTION("""COMPUTED_VALUE"""),"-")</f>
        <v>-</v>
      </c>
      <c r="W136" s="213" t="str">
        <f>IFERROR(__xludf.DUMMYFUNCTION("""COMPUTED_VALUE"""),"-")</f>
        <v>-</v>
      </c>
      <c r="X136" s="213" t="str">
        <f>IFERROR(__xludf.DUMMYFUNCTION("""COMPUTED_VALUE"""),"OHAUS")</f>
        <v>OHAUS</v>
      </c>
      <c r="Y136" s="213" t="str">
        <f>IFERROR(__xludf.DUMMYFUNCTION("""COMPUTED_VALUE"""),"Valor™ 4002")</f>
        <v>Valor™ 4002</v>
      </c>
      <c r="Z136" s="215" t="str">
        <f>IFERROR(__xludf.DUMMYFUNCTION("""COMPUTED_VALUE"""),"https://eu-es.ohaus.com/es-eu/products/balances-scales/bench-scales/valor-4000/v41xwe3t")</f>
        <v>https://eu-es.ohaus.com/es-eu/products/balances-scales/bench-scales/valor-4000/v41xwe3t</v>
      </c>
      <c r="AA136" s="213" t="str">
        <f>IFERROR(__xludf.DUMMYFUNCTION("""COMPUTED_VALUE"""),"COM-106 BALANZA 3KG - CET")</f>
        <v>COM-106 BALANZA 3KG - CET</v>
      </c>
      <c r="AB136" s="215" t="str">
        <f>IFERROR(__xludf.DUMMYFUNCTION("""COMPUTED_VALUE"""),"https://drive.google.com/file/d/1qtiGw4XhEPgx5pPOZLb0hhPFJLnKBfsM/view?usp=sharing")</f>
        <v>https://drive.google.com/file/d/1qtiGw4XhEPgx5pPOZLb0hhPFJLnKBfsM/view?usp=sharing</v>
      </c>
      <c r="AC136" s="215" t="str">
        <f>IFERROR(__xludf.DUMMYFUNCTION("""COMPUTED_VALUE"""),"https://www.amazon.com/-/es/Ohaus-Escala-Valor-4000-V41XWE3T/dp/B00K5UJPWO")</f>
        <v>https://www.amazon.com/-/es/Ohaus-Escala-Valor-4000-V41XWE3T/dp/B00K5UJPWO</v>
      </c>
      <c r="AD136" s="213"/>
      <c r="AE136" s="213"/>
      <c r="AF136" s="213"/>
      <c r="AG136" s="213"/>
      <c r="AH136" s="213" t="str">
        <f>IFERROR(__xludf.DUMMYFUNCTION("""COMPUTED_VALUE"""),"IMPORTADO")</f>
        <v>IMPORTADO</v>
      </c>
      <c r="AI136" s="213"/>
      <c r="AJ136" s="213"/>
      <c r="AK136" s="213"/>
      <c r="AL136" s="213"/>
      <c r="AM136" s="213"/>
      <c r="AN136" s="213"/>
      <c r="AO136" s="213"/>
      <c r="AP136" s="213" t="str">
        <f>IFERROR(__xludf.DUMMYFUNCTION("""COMPUTED_VALUE"""),"LUIS")</f>
        <v>LUIS</v>
      </c>
      <c r="AQ136" s="213"/>
      <c r="AR136" s="213"/>
      <c r="AS136" s="213"/>
      <c r="AT136" s="213"/>
      <c r="AU136" s="213"/>
      <c r="AV136" s="213"/>
      <c r="AW136" s="213"/>
      <c r="AX136" s="213"/>
      <c r="AY136" s="213"/>
      <c r="AZ136" s="213"/>
      <c r="BA136" s="213"/>
      <c r="BB136" s="213"/>
      <c r="BC136" s="213"/>
      <c r="BD136" s="213"/>
    </row>
    <row r="137">
      <c r="A137" s="213">
        <f>IFERROR(__xludf.DUMMYFUNCTION("""COMPUTED_VALUE"""),2025.0)</f>
        <v>2025</v>
      </c>
      <c r="B137" s="213" t="str">
        <f>IFERROR(__xludf.DUMMYFUNCTION("""COMPUTED_VALUE"""),"JOSE GRANDA")</f>
        <v>JOSE GRANDA</v>
      </c>
      <c r="C137" s="213" t="str">
        <f>IFERROR(__xludf.DUMMYFUNCTION("""COMPUTED_VALUE"""),"TALLER SFT DE INDUSTRIA ALIMENTARIA")</f>
        <v>TALLER SFT DE INDUSTRIA ALIMENTARIA</v>
      </c>
      <c r="D137" s="213" t="str">
        <f>IFERROR(__xludf.DUMMYFUNCTION("""COMPUTED_VALUE"""),"EQUIPOS")</f>
        <v>EQUIPOS</v>
      </c>
      <c r="E137" s="213" t="str">
        <f>IFERROR(__xludf.DUMMYFUNCTION("""COMPUTED_VALUE"""),"COM-106")</f>
        <v>COM-106</v>
      </c>
      <c r="F137" s="213" t="str">
        <f>IFERROR(__xludf.DUMMYFUNCTION("""COMPUTED_VALUE"""),"COM-106")</f>
        <v>COM-106</v>
      </c>
      <c r="G137" s="213"/>
      <c r="H137" s="213" t="str">
        <f>IFERROR(__xludf.DUMMYFUNCTION("""COMPUTED_VALUE"""),"BALANZA 3KG")</f>
        <v>BALANZA 3KG</v>
      </c>
      <c r="I137" s="213" t="str">
        <f>IFERROR(__xludf.DUMMYFUNCTION("""COMPUTED_VALUE"""),"· Balanza electrónica digital.
· Capacidad: máxima 3 kg.
· División: 1g
· Funciones de peso bruto, tara, cero.
.  Electricidad  Adaptador de CA (incluido). preparado para tomas de 220V/60HZ.
· Pantalla: Mínimo LCD.
.  Batería recargable Duración de la bat"&amp;"ería  50 horas con batería recargable como mínimo.
.  Capacidad máx. / Lectura mínima 3 kg/0,5 g
.  Tamaño de la plataforma (LxA)  190 mm x 242 mm como mínimo. Debe incluir funda protectora impermable para su almacenamiento.")</f>
        <v>· Balanza electrónica digital.
· Capacidad: máxima 3 kg.
· División: 1g
· Funciones de peso bruto, tara, cero.
.  Electricidad  Adaptador de CA (incluido). preparado para tomas de 220V/60HZ.
· Pantalla: Mínimo LCD.
.  Batería recargable Duración de la batería  50 horas con batería recargable como mínimo.
.  Capacidad máx. / Lectura mínima 3 kg/0,5 g
.  Tamaño de la plataforma (LxA)  190 mm x 242 mm como mínimo. Debe incluir funda protectora impermable para su almacenamiento.</v>
      </c>
      <c r="J137" s="213">
        <f>IFERROR(__xludf.DUMMYFUNCTION("""COMPUTED_VALUE"""),3.0)</f>
        <v>3</v>
      </c>
      <c r="K137" s="213" t="str">
        <f>IFERROR(__xludf.DUMMYFUNCTION("""COMPUTED_VALUE"""),"90 DÍAS CALENDARIO")</f>
        <v>90 DÍAS CALENDARIO</v>
      </c>
      <c r="L137" s="213" t="str">
        <f>IFERROR(__xludf.DUMMYFUNCTION("""COMPUTED_VALUE"""),"")</f>
        <v/>
      </c>
      <c r="M137" s="213">
        <f>IFERROR(__xludf.DUMMYFUNCTION("""COMPUTED_VALUE"""),1.0)</f>
        <v>1</v>
      </c>
      <c r="N137" s="213">
        <f>IFERROR(__xludf.DUMMYFUNCTION("""COMPUTED_VALUE"""),1.0)</f>
        <v>1</v>
      </c>
      <c r="O137" s="213">
        <f>IFERROR(__xludf.DUMMYFUNCTION("""COMPUTED_VALUE"""),1.0)</f>
        <v>1</v>
      </c>
      <c r="P137" s="213"/>
      <c r="Q137" s="213"/>
      <c r="R137" s="213" t="str">
        <f>IFERROR(__xludf.DUMMYFUNCTION("""COMPUTED_VALUE"""),"SI")</f>
        <v>SI</v>
      </c>
      <c r="S137" s="213" t="str">
        <f>IFERROR(__xludf.DUMMYFUNCTION("""COMPUTED_VALUE"""),"SI")</f>
        <v>SI</v>
      </c>
      <c r="T137" s="213" t="str">
        <f>IFERROR(__xludf.DUMMYFUNCTION("""COMPUTED_VALUE"""),"CONSULTA FINAL")</f>
        <v>CONSULTA FINAL</v>
      </c>
      <c r="U137" s="213" t="str">
        <f>IFERROR(__xludf.DUMMYFUNCTION("""COMPUTED_VALUE"""),"SI")</f>
        <v>SI</v>
      </c>
      <c r="V137" s="213" t="str">
        <f>IFERROR(__xludf.DUMMYFUNCTION("""COMPUTED_VALUE"""),"-")</f>
        <v>-</v>
      </c>
      <c r="W137" s="213" t="str">
        <f>IFERROR(__xludf.DUMMYFUNCTION("""COMPUTED_VALUE"""),"-")</f>
        <v>-</v>
      </c>
      <c r="X137" s="213" t="str">
        <f>IFERROR(__xludf.DUMMYFUNCTION("""COMPUTED_VALUE"""),"OHAUS")</f>
        <v>OHAUS</v>
      </c>
      <c r="Y137" s="213" t="str">
        <f>IFERROR(__xludf.DUMMYFUNCTION("""COMPUTED_VALUE"""),"Valor™ 4003")</f>
        <v>Valor™ 4003</v>
      </c>
      <c r="Z137" s="215" t="str">
        <f>IFERROR(__xludf.DUMMYFUNCTION("""COMPUTED_VALUE"""),"https://eu-es.ohaus.com/es-eu/products/balances-scales/bench-scales/valor-4000/v41xwe3t")</f>
        <v>https://eu-es.ohaus.com/es-eu/products/balances-scales/bench-scales/valor-4000/v41xwe3t</v>
      </c>
      <c r="AA137" s="213" t="str">
        <f>IFERROR(__xludf.DUMMYFUNCTION("""COMPUTED_VALUE"""),"COM-106 BALANZA 3KG - CET")</f>
        <v>COM-106 BALANZA 3KG - CET</v>
      </c>
      <c r="AB137" s="215" t="str">
        <f>IFERROR(__xludf.DUMMYFUNCTION("""COMPUTED_VALUE"""),"https://drive.google.com/file/d/1qtiGw4XhEPgx5pPOZLb0hhPFJLnKBfsM/view?usp=sharing")</f>
        <v>https://drive.google.com/file/d/1qtiGw4XhEPgx5pPOZLb0hhPFJLnKBfsM/view?usp=sharing</v>
      </c>
      <c r="AC137" s="215" t="str">
        <f>IFERROR(__xludf.DUMMYFUNCTION("""COMPUTED_VALUE"""),"https://www.amazon.com/-/es/Ohaus-Escala-Valor-4000-V41XWE3T/dp/B00K5UJPWO")</f>
        <v>https://www.amazon.com/-/es/Ohaus-Escala-Valor-4000-V41XWE3T/dp/B00K5UJPWO</v>
      </c>
      <c r="AD137" s="213"/>
      <c r="AE137" s="213"/>
      <c r="AF137" s="213"/>
      <c r="AG137" s="213"/>
      <c r="AH137" s="213" t="str">
        <f>IFERROR(__xludf.DUMMYFUNCTION("""COMPUTED_VALUE"""),"IMPORTADO")</f>
        <v>IMPORTADO</v>
      </c>
      <c r="AI137" s="213"/>
      <c r="AJ137" s="213"/>
      <c r="AK137" s="213"/>
      <c r="AL137" s="213"/>
      <c r="AM137" s="213"/>
      <c r="AN137" s="213"/>
      <c r="AO137" s="213"/>
      <c r="AP137" s="213" t="str">
        <f>IFERROR(__xludf.DUMMYFUNCTION("""COMPUTED_VALUE"""),"LUIS")</f>
        <v>LUIS</v>
      </c>
      <c r="AQ137" s="213"/>
      <c r="AR137" s="213"/>
      <c r="AS137" s="213"/>
      <c r="AT137" s="213"/>
      <c r="AU137" s="213"/>
      <c r="AV137" s="213"/>
      <c r="AW137" s="213"/>
      <c r="AX137" s="213"/>
      <c r="AY137" s="213"/>
      <c r="AZ137" s="213"/>
      <c r="BA137" s="213"/>
      <c r="BB137" s="213"/>
      <c r="BC137" s="213"/>
      <c r="BD137" s="213"/>
    </row>
    <row r="138">
      <c r="A138" s="213">
        <f>IFERROR(__xludf.DUMMYFUNCTION("""COMPUTED_VALUE"""),427.0)</f>
        <v>427</v>
      </c>
      <c r="B138" s="213" t="str">
        <f>IFERROR(__xludf.DUMMYFUNCTION("""COMPUTED_VALUE"""),"2026 SIMON BOLIVAR")</f>
        <v>2026 SIMON BOLIVAR</v>
      </c>
      <c r="C138" s="213" t="str">
        <f>IFERROR(__xludf.DUMMYFUNCTION("""COMPUTED_VALUE"""),"TALLER SFT DE INDUSTRIA ALIMENTARIA")</f>
        <v>TALLER SFT DE INDUSTRIA ALIMENTARIA</v>
      </c>
      <c r="D138" s="213" t="str">
        <f>IFERROR(__xludf.DUMMYFUNCTION("""COMPUTED_VALUE"""),"EQUIPOS")</f>
        <v>EQUIPOS</v>
      </c>
      <c r="E138" s="213" t="str">
        <f>IFERROR(__xludf.DUMMYFUNCTION("""COMPUTED_VALUE"""),"COM-107")</f>
        <v>COM-107</v>
      </c>
      <c r="F138" s="213" t="str">
        <f>IFERROR(__xludf.DUMMYFUNCTION("""COMPUTED_VALUE"""),"COM-107")</f>
        <v>COM-107</v>
      </c>
      <c r="G138" s="213"/>
      <c r="H138" s="213" t="str">
        <f>IFERROR(__xludf.DUMMYFUNCTION("""COMPUTED_VALUE"""),"BALANZA 40KG")</f>
        <v>BALANZA 40KG</v>
      </c>
      <c r="I138" s="213" t="str">
        <f>IFERROR(__xludf.DUMMYFUNCTION("""COMPUTED_VALUE"""),"· Balanza electrónica digital con torre de mesa.
· Capacidad: máxima 40kg.
· División: 5g o inferior.
· Funciones de peso bruto, tara, cero.
· Pantalla: Mínimo LCD
· Conectividad: USB
· Alimentación: 220VAC / 60 HZ y Batería Recargable aproximadamente 100"&amp;" horas de duración.
· Plato mínimo: 29 cm x 35 cm.
· Accesorios: 01 cable cargador Powers.
· Medidas aproximadas: L35 x A35 x H15 cm (Altura de Torreta 35 cm).
. Incluye funda protectora impermeable para su almacenamiento.")</f>
        <v>· Balanza electrónica digital con torre de mesa.
· Capacidad: máxima 40kg.
· División: 5g o inferior.
· Funciones de peso bruto, tara, cero.
· Pantalla: Mínimo LCD
· Conectividad: USB
· Alimentación: 220VAC / 60 HZ y Batería Recargable aproximadamente 100 horas de duración.
· Plato mínimo: 29 cm x 35 cm.
· Accesorios: 01 cable cargador Powers.
· Medidas aproximadas: L35 x A35 x H15 cm (Altura de Torreta 35 cm).
. Incluye funda protectora impermeable para su almacenamiento.</v>
      </c>
      <c r="J138" s="213">
        <f>IFERROR(__xludf.DUMMYFUNCTION("""COMPUTED_VALUE"""),3.0)</f>
        <v>3</v>
      </c>
      <c r="K138" s="213" t="str">
        <f>IFERROR(__xludf.DUMMYFUNCTION("""COMPUTED_VALUE"""),"90 DÍAS CALENDARIO")</f>
        <v>90 DÍAS CALENDARIO</v>
      </c>
      <c r="L138" s="213" t="str">
        <f>IFERROR(__xludf.DUMMYFUNCTION("""COMPUTED_VALUE"""),"")</f>
        <v/>
      </c>
      <c r="M138" s="213">
        <f>IFERROR(__xludf.DUMMYFUNCTION("""COMPUTED_VALUE"""),1.0)</f>
        <v>1</v>
      </c>
      <c r="N138" s="213">
        <f>IFERROR(__xludf.DUMMYFUNCTION("""COMPUTED_VALUE"""),1.0)</f>
        <v>1</v>
      </c>
      <c r="O138" s="213">
        <f>IFERROR(__xludf.DUMMYFUNCTION("""COMPUTED_VALUE"""),1.0)</f>
        <v>1</v>
      </c>
      <c r="P138" s="213"/>
      <c r="Q138" s="213"/>
      <c r="R138" s="213" t="str">
        <f>IFERROR(__xludf.DUMMYFUNCTION("""COMPUTED_VALUE"""),"SI")</f>
        <v>SI</v>
      </c>
      <c r="S138" s="213" t="str">
        <f>IFERROR(__xludf.DUMMYFUNCTION("""COMPUTED_VALUE"""),"SI")</f>
        <v>SI</v>
      </c>
      <c r="T138" s="213" t="str">
        <f>IFERROR(__xludf.DUMMYFUNCTION("""COMPUTED_VALUE"""),"CONSULTA FINAL")</f>
        <v>CONSULTA FINAL</v>
      </c>
      <c r="U138" s="213" t="str">
        <f>IFERROR(__xludf.DUMMYFUNCTION("""COMPUTED_VALUE"""),"NO")</f>
        <v>NO</v>
      </c>
      <c r="V138" s="213" t="str">
        <f>IFERROR(__xludf.DUMMYFUNCTION("""COMPUTED_VALUE"""),"SUSTENTO")</f>
        <v>SUSTENTO</v>
      </c>
      <c r="W138" s="213" t="str">
        <f>IFERROR(__xludf.DUMMYFUNCTION("""COMPUTED_VALUE"""),"DIMENSIONAL")</f>
        <v>DIMENSIONAL</v>
      </c>
      <c r="X138" s="213" t="str">
        <f>IFERROR(__xludf.DUMMYFUNCTION("""COMPUTED_VALUE"""),"OPALUX")</f>
        <v>OPALUX</v>
      </c>
      <c r="Y138" s="213" t="str">
        <f>IFERROR(__xludf.DUMMYFUNCTION("""COMPUTED_VALUE"""),"OPALUX")</f>
        <v>OPALUX</v>
      </c>
      <c r="Z138" s="215" t="str">
        <f>IFERROR(__xludf.DUMMYFUNCTION("""COMPUTED_VALUE"""),"https://opalux.lifestore.pe/producto/balanza-electronica-digital-de-mesa-40kgs-opalux-lcd-recargable-con-brazo-y-bateria-4v4ah-220v/")</f>
        <v>https://opalux.lifestore.pe/producto/balanza-electronica-digital-de-mesa-40kgs-opalux-lcd-recargable-con-brazo-y-bateria-4v4ah-220v/</v>
      </c>
      <c r="AA138" s="213" t="str">
        <f>IFERROR(__xludf.DUMMYFUNCTION("""COMPUTED_VALUE"""),"COM-107 BALANZA 40KG - CET")</f>
        <v>COM-107 BALANZA 40KG - CET</v>
      </c>
      <c r="AB138" s="213"/>
      <c r="AC138" s="213"/>
      <c r="AD138" s="213" t="str">
        <f>IFERROR(__xludf.DUMMYFUNCTION("""COMPUTED_VALUE"""),"PAQ 2 CHINA")</f>
        <v>PAQ 2 CHINA</v>
      </c>
      <c r="AE138" s="213" t="str">
        <f>IFERROR(__xludf.DUMMYFUNCTION("""COMPUTED_VALUE"""),"BAL-01")</f>
        <v>BAL-01</v>
      </c>
      <c r="AF138" s="213"/>
      <c r="AG138" s="213"/>
      <c r="AH138" s="213" t="str">
        <f>IFERROR(__xludf.DUMMYFUNCTION("""COMPUTED_VALUE"""),"NACIONAL")</f>
        <v>NACIONAL</v>
      </c>
      <c r="AI138" s="213"/>
      <c r="AJ138" s="213"/>
      <c r="AK138" s="213"/>
      <c r="AL138" s="213"/>
      <c r="AM138" s="213"/>
      <c r="AN138" s="213"/>
      <c r="AO138" s="213"/>
      <c r="AP138" s="213" t="str">
        <f>IFERROR(__xludf.DUMMYFUNCTION("""COMPUTED_VALUE"""),"LUIS")</f>
        <v>LUIS</v>
      </c>
      <c r="AQ138" s="213"/>
      <c r="AR138" s="213"/>
      <c r="AS138" s="213"/>
      <c r="AT138" s="213"/>
      <c r="AU138" s="213"/>
      <c r="AV138" s="213"/>
      <c r="AW138" s="213"/>
      <c r="AX138" s="213"/>
      <c r="AY138" s="213"/>
      <c r="AZ138" s="213"/>
      <c r="BA138" s="213"/>
      <c r="BB138" s="213"/>
      <c r="BC138" s="213"/>
      <c r="BD138" s="213"/>
    </row>
    <row r="139">
      <c r="A139" s="213">
        <f>IFERROR(__xludf.DUMMYFUNCTION("""COMPUTED_VALUE"""),435.0)</f>
        <v>435</v>
      </c>
      <c r="B139" s="213" t="str">
        <f>IFERROR(__xludf.DUMMYFUNCTION("""COMPUTED_VALUE"""),"2026 SIMON BOLIVAR")</f>
        <v>2026 SIMON BOLIVAR</v>
      </c>
      <c r="C139" s="213" t="str">
        <f>IFERROR(__xludf.DUMMYFUNCTION("""COMPUTED_VALUE"""),"TALLER SFT DE INDUSTRIA ALIMENTARIA")</f>
        <v>TALLER SFT DE INDUSTRIA ALIMENTARIA</v>
      </c>
      <c r="D139" s="213" t="str">
        <f>IFERROR(__xludf.DUMMYFUNCTION("""COMPUTED_VALUE"""),"EQUIPOS")</f>
        <v>EQUIPOS</v>
      </c>
      <c r="E139" s="213" t="str">
        <f>IFERROR(__xludf.DUMMYFUNCTION("""COMPUTED_VALUE"""),"COM-107")</f>
        <v>COM-107</v>
      </c>
      <c r="F139" s="213" t="str">
        <f>IFERROR(__xludf.DUMMYFUNCTION("""COMPUTED_VALUE"""),"COM-107")</f>
        <v>COM-107</v>
      </c>
      <c r="G139" s="213"/>
      <c r="H139" s="213" t="str">
        <f>IFERROR(__xludf.DUMMYFUNCTION("""COMPUTED_VALUE"""),"BALANZA 40KG")</f>
        <v>BALANZA 40KG</v>
      </c>
      <c r="I139" s="213" t="str">
        <f>IFERROR(__xludf.DUMMYFUNCTION("""COMPUTED_VALUE"""),"· Balanza electrónica digital con torre de mesa.
· Capacidad: máxima 40kg.
· División: 5g o inferior.
· Funciones de peso bruto, tara, cero.
· Pantalla: Mínimo LCD
· Conectividad: USB
· Alimentación: 220VAC / 60 HZ y Batería Recargable aproximadamente 100"&amp;" horas de duración.
· Plato mínimo: 29 cm x 35 cm.
· Accesorios: 01 cable cargador Powers.
· Medidas aproximadas: L35 x A35 x H15 cm (Altura de Torreta 35 cm).
. Incluye funda protectora impermeable para su almacenamiento.")</f>
        <v>· Balanza electrónica digital con torre de mesa.
· Capacidad: máxima 40kg.
· División: 5g o inferior.
· Funciones de peso bruto, tara, cero.
· Pantalla: Mínimo LCD
· Conectividad: USB
· Alimentación: 220VAC / 60 HZ y Batería Recargable aproximadamente 100 horas de duración.
· Plato mínimo: 29 cm x 35 cm.
· Accesorios: 01 cable cargador Powers.
· Medidas aproximadas: L35 x A35 x H15 cm (Altura de Torreta 35 cm).
. Incluye funda protectora impermeable para su almacenamiento.</v>
      </c>
      <c r="J139" s="213">
        <f>IFERROR(__xludf.DUMMYFUNCTION("""COMPUTED_VALUE"""),3.0)</f>
        <v>3</v>
      </c>
      <c r="K139" s="213" t="str">
        <f>IFERROR(__xludf.DUMMYFUNCTION("""COMPUTED_VALUE"""),"90 DÍAS CALENDARIO")</f>
        <v>90 DÍAS CALENDARIO</v>
      </c>
      <c r="L139" s="213" t="str">
        <f>IFERROR(__xludf.DUMMYFUNCTION("""COMPUTED_VALUE"""),"")</f>
        <v/>
      </c>
      <c r="M139" s="213">
        <f>IFERROR(__xludf.DUMMYFUNCTION("""COMPUTED_VALUE"""),1.0)</f>
        <v>1</v>
      </c>
      <c r="N139" s="213">
        <f>IFERROR(__xludf.DUMMYFUNCTION("""COMPUTED_VALUE"""),1.0)</f>
        <v>1</v>
      </c>
      <c r="O139" s="213">
        <f>IFERROR(__xludf.DUMMYFUNCTION("""COMPUTED_VALUE"""),1.0)</f>
        <v>1</v>
      </c>
      <c r="P139" s="213"/>
      <c r="Q139" s="213"/>
      <c r="R139" s="213" t="str">
        <f>IFERROR(__xludf.DUMMYFUNCTION("""COMPUTED_VALUE"""),"SI")</f>
        <v>SI</v>
      </c>
      <c r="S139" s="213" t="str">
        <f>IFERROR(__xludf.DUMMYFUNCTION("""COMPUTED_VALUE"""),"SI")</f>
        <v>SI</v>
      </c>
      <c r="T139" s="213" t="str">
        <f>IFERROR(__xludf.DUMMYFUNCTION("""COMPUTED_VALUE"""),"CONSULTA FINAL")</f>
        <v>CONSULTA FINAL</v>
      </c>
      <c r="U139" s="213" t="str">
        <f>IFERROR(__xludf.DUMMYFUNCTION("""COMPUTED_VALUE"""),"NO")</f>
        <v>NO</v>
      </c>
      <c r="V139" s="213" t="str">
        <f>IFERROR(__xludf.DUMMYFUNCTION("""COMPUTED_VALUE"""),"SUSTENTO")</f>
        <v>SUSTENTO</v>
      </c>
      <c r="W139" s="213" t="str">
        <f>IFERROR(__xludf.DUMMYFUNCTION("""COMPUTED_VALUE"""),"DIMENSIONAL")</f>
        <v>DIMENSIONAL</v>
      </c>
      <c r="X139" s="213" t="str">
        <f>IFERROR(__xludf.DUMMYFUNCTION("""COMPUTED_VALUE"""),"OPALUX")</f>
        <v>OPALUX</v>
      </c>
      <c r="Y139" s="213" t="str">
        <f>IFERROR(__xludf.DUMMYFUNCTION("""COMPUTED_VALUE"""),"OPALUX")</f>
        <v>OPALUX</v>
      </c>
      <c r="Z139" s="215" t="str">
        <f>IFERROR(__xludf.DUMMYFUNCTION("""COMPUTED_VALUE"""),"https://opalux.lifestore.pe/producto/balanza-electronica-digital-de-mesa-40kgs-opalux-lcd-recargable-con-brazo-y-bateria-4v4ah-220v/")</f>
        <v>https://opalux.lifestore.pe/producto/balanza-electronica-digital-de-mesa-40kgs-opalux-lcd-recargable-con-brazo-y-bateria-4v4ah-220v/</v>
      </c>
      <c r="AA139" s="213" t="str">
        <f>IFERROR(__xludf.DUMMYFUNCTION("""COMPUTED_VALUE"""),"COM-107 BALANZA 40KG - CET")</f>
        <v>COM-107 BALANZA 40KG - CET</v>
      </c>
      <c r="AB139" s="213"/>
      <c r="AC139" s="213"/>
      <c r="AD139" s="213" t="str">
        <f>IFERROR(__xludf.DUMMYFUNCTION("""COMPUTED_VALUE"""),"PAQ 2 CHINA")</f>
        <v>PAQ 2 CHINA</v>
      </c>
      <c r="AE139" s="213" t="str">
        <f>IFERROR(__xludf.DUMMYFUNCTION("""COMPUTED_VALUE"""),"BAL-01")</f>
        <v>BAL-01</v>
      </c>
      <c r="AF139" s="213"/>
      <c r="AG139" s="213"/>
      <c r="AH139" s="213" t="str">
        <f>IFERROR(__xludf.DUMMYFUNCTION("""COMPUTED_VALUE"""),"NACIONAL")</f>
        <v>NACIONAL</v>
      </c>
      <c r="AI139" s="213"/>
      <c r="AJ139" s="213"/>
      <c r="AK139" s="213"/>
      <c r="AL139" s="213"/>
      <c r="AM139" s="213"/>
      <c r="AN139" s="213"/>
      <c r="AO139" s="213"/>
      <c r="AP139" s="213" t="str">
        <f>IFERROR(__xludf.DUMMYFUNCTION("""COMPUTED_VALUE"""),"LUIS")</f>
        <v>LUIS</v>
      </c>
      <c r="AQ139" s="213"/>
      <c r="AR139" s="213"/>
      <c r="AS139" s="213"/>
      <c r="AT139" s="213"/>
      <c r="AU139" s="213"/>
      <c r="AV139" s="213"/>
      <c r="AW139" s="213"/>
      <c r="AX139" s="213"/>
      <c r="AY139" s="213"/>
      <c r="AZ139" s="213"/>
      <c r="BA139" s="213"/>
      <c r="BB139" s="213"/>
      <c r="BC139" s="213"/>
      <c r="BD139" s="213"/>
    </row>
    <row r="140">
      <c r="A140" s="213">
        <f>IFERROR(__xludf.DUMMYFUNCTION("""COMPUTED_VALUE"""),1057.0)</f>
        <v>1057</v>
      </c>
      <c r="B140" s="213" t="str">
        <f>IFERROR(__xludf.DUMMYFUNCTION("""COMPUTED_VALUE"""),"FRANCISCO IRAZOLA")</f>
        <v>FRANCISCO IRAZOLA</v>
      </c>
      <c r="C140" s="213" t="str">
        <f>IFERROR(__xludf.DUMMYFUNCTION("""COMPUTED_VALUE"""),"TALLER SFT DE INDUSTRIA ALIMENTARIA")</f>
        <v>TALLER SFT DE INDUSTRIA ALIMENTARIA</v>
      </c>
      <c r="D140" s="213" t="str">
        <f>IFERROR(__xludf.DUMMYFUNCTION("""COMPUTED_VALUE"""),"EQUIPOS")</f>
        <v>EQUIPOS</v>
      </c>
      <c r="E140" s="213" t="str">
        <f>IFERROR(__xludf.DUMMYFUNCTION("""COMPUTED_VALUE"""),"COM-107")</f>
        <v>COM-107</v>
      </c>
      <c r="F140" s="213" t="str">
        <f>IFERROR(__xludf.DUMMYFUNCTION("""COMPUTED_VALUE"""),"COM-107")</f>
        <v>COM-107</v>
      </c>
      <c r="G140" s="213"/>
      <c r="H140" s="213" t="str">
        <f>IFERROR(__xludf.DUMMYFUNCTION("""COMPUTED_VALUE"""),"BALANZA 40KG")</f>
        <v>BALANZA 40KG</v>
      </c>
      <c r="I140" s="213" t="str">
        <f>IFERROR(__xludf.DUMMYFUNCTION("""COMPUTED_VALUE"""),"· Balanza electrónica digital con torre de mesa.
· Capacidad: máxima 40kg.
· División: 5g o inferior.
· Funciones de peso bruto, tara, cero.
· Pantalla: Mínimo LCD
· Conectividad: USB
· Alimentación: 220VAC / 60 HZ y Batería Recargable aproximadamente 100"&amp;" horas de duración.
· Plato mínimo: 29 cm x 35 cm.
· Accesorios: 01 cable cargador Powers.
· Medidas aproximadas: L35 x A35 x H15 cm (Altura de Torreta 35 cm).
. Incluye funda protectora impermeable para su almacenamiento.")</f>
        <v>· Balanza electrónica digital con torre de mesa.
· Capacidad: máxima 40kg.
· División: 5g o inferior.
· Funciones de peso bruto, tara, cero.
· Pantalla: Mínimo LCD
· Conectividad: USB
· Alimentación: 220VAC / 60 HZ y Batería Recargable aproximadamente 100 horas de duración.
· Plato mínimo: 29 cm x 35 cm.
· Accesorios: 01 cable cargador Powers.
· Medidas aproximadas: L35 x A35 x H15 cm (Altura de Torreta 35 cm).
. Incluye funda protectora impermeable para su almacenamiento.</v>
      </c>
      <c r="J140" s="213">
        <f>IFERROR(__xludf.DUMMYFUNCTION("""COMPUTED_VALUE"""),3.0)</f>
        <v>3</v>
      </c>
      <c r="K140" s="213" t="str">
        <f>IFERROR(__xludf.DUMMYFUNCTION("""COMPUTED_VALUE"""),"90 DÍAS CALENDARIO")</f>
        <v>90 DÍAS CALENDARIO</v>
      </c>
      <c r="L140" s="213" t="str">
        <f>IFERROR(__xludf.DUMMYFUNCTION("""COMPUTED_VALUE"""),"")</f>
        <v/>
      </c>
      <c r="M140" s="213">
        <f>IFERROR(__xludf.DUMMYFUNCTION("""COMPUTED_VALUE"""),1.0)</f>
        <v>1</v>
      </c>
      <c r="N140" s="213">
        <f>IFERROR(__xludf.DUMMYFUNCTION("""COMPUTED_VALUE"""),1.0)</f>
        <v>1</v>
      </c>
      <c r="O140" s="213">
        <f>IFERROR(__xludf.DUMMYFUNCTION("""COMPUTED_VALUE"""),1.0)</f>
        <v>1</v>
      </c>
      <c r="P140" s="213"/>
      <c r="Q140" s="213"/>
      <c r="R140" s="213" t="str">
        <f>IFERROR(__xludf.DUMMYFUNCTION("""COMPUTED_VALUE"""),"SI")</f>
        <v>SI</v>
      </c>
      <c r="S140" s="213" t="str">
        <f>IFERROR(__xludf.DUMMYFUNCTION("""COMPUTED_VALUE"""),"SI")</f>
        <v>SI</v>
      </c>
      <c r="T140" s="213" t="str">
        <f>IFERROR(__xludf.DUMMYFUNCTION("""COMPUTED_VALUE"""),"CONSULTA FINAL")</f>
        <v>CONSULTA FINAL</v>
      </c>
      <c r="U140" s="213" t="str">
        <f>IFERROR(__xludf.DUMMYFUNCTION("""COMPUTED_VALUE"""),"NO")</f>
        <v>NO</v>
      </c>
      <c r="V140" s="213" t="str">
        <f>IFERROR(__xludf.DUMMYFUNCTION("""COMPUTED_VALUE"""),"SUSTENTO")</f>
        <v>SUSTENTO</v>
      </c>
      <c r="W140" s="213" t="str">
        <f>IFERROR(__xludf.DUMMYFUNCTION("""COMPUTED_VALUE"""),"DIMENSIONAL")</f>
        <v>DIMENSIONAL</v>
      </c>
      <c r="X140" s="213" t="str">
        <f>IFERROR(__xludf.DUMMYFUNCTION("""COMPUTED_VALUE"""),"OPALUX")</f>
        <v>OPALUX</v>
      </c>
      <c r="Y140" s="213" t="str">
        <f>IFERROR(__xludf.DUMMYFUNCTION("""COMPUTED_VALUE"""),"OPALUX")</f>
        <v>OPALUX</v>
      </c>
      <c r="Z140" s="215" t="str">
        <f>IFERROR(__xludf.DUMMYFUNCTION("""COMPUTED_VALUE"""),"https://opalux.lifestore.pe/producto/balanza-electronica-digital-de-mesa-40kgs-opalux-lcd-recargable-con-brazo-y-bateria-4v4ah-220v/")</f>
        <v>https://opalux.lifestore.pe/producto/balanza-electronica-digital-de-mesa-40kgs-opalux-lcd-recargable-con-brazo-y-bateria-4v4ah-220v/</v>
      </c>
      <c r="AA140" s="213" t="str">
        <f>IFERROR(__xludf.DUMMYFUNCTION("""COMPUTED_VALUE"""),"COM-107 BALANZA 40KG - CET")</f>
        <v>COM-107 BALANZA 40KG - CET</v>
      </c>
      <c r="AB140" s="213"/>
      <c r="AC140" s="213"/>
      <c r="AD140" s="213" t="str">
        <f>IFERROR(__xludf.DUMMYFUNCTION("""COMPUTED_VALUE"""),"PAQ 2 CHINA")</f>
        <v>PAQ 2 CHINA</v>
      </c>
      <c r="AE140" s="213" t="str">
        <f>IFERROR(__xludf.DUMMYFUNCTION("""COMPUTED_VALUE"""),"BAL-01")</f>
        <v>BAL-01</v>
      </c>
      <c r="AF140" s="213"/>
      <c r="AG140" s="213"/>
      <c r="AH140" s="213" t="str">
        <f>IFERROR(__xludf.DUMMYFUNCTION("""COMPUTED_VALUE"""),"NACIONAL")</f>
        <v>NACIONAL</v>
      </c>
      <c r="AI140" s="213"/>
      <c r="AJ140" s="213"/>
      <c r="AK140" s="213"/>
      <c r="AL140" s="213"/>
      <c r="AM140" s="213"/>
      <c r="AN140" s="213"/>
      <c r="AO140" s="213"/>
      <c r="AP140" s="213" t="str">
        <f>IFERROR(__xludf.DUMMYFUNCTION("""COMPUTED_VALUE"""),"LUIS")</f>
        <v>LUIS</v>
      </c>
      <c r="AQ140" s="213"/>
      <c r="AR140" s="213"/>
      <c r="AS140" s="213"/>
      <c r="AT140" s="213"/>
      <c r="AU140" s="213"/>
      <c r="AV140" s="213"/>
      <c r="AW140" s="213"/>
      <c r="AX140" s="213"/>
      <c r="AY140" s="213"/>
      <c r="AZ140" s="213"/>
      <c r="BA140" s="213"/>
      <c r="BB140" s="213"/>
      <c r="BC140" s="213"/>
      <c r="BD140" s="213"/>
    </row>
    <row r="141">
      <c r="A141" s="213">
        <f>IFERROR(__xludf.DUMMYFUNCTION("""COMPUTED_VALUE"""),1065.0)</f>
        <v>1065</v>
      </c>
      <c r="B141" s="213" t="str">
        <f>IFERROR(__xludf.DUMMYFUNCTION("""COMPUTED_VALUE"""),"FRANCISCO IRAZOLA")</f>
        <v>FRANCISCO IRAZOLA</v>
      </c>
      <c r="C141" s="213" t="str">
        <f>IFERROR(__xludf.DUMMYFUNCTION("""COMPUTED_VALUE"""),"TALLER SFT DE INDUSTRIA ALIMENTARIA")</f>
        <v>TALLER SFT DE INDUSTRIA ALIMENTARIA</v>
      </c>
      <c r="D141" s="213" t="str">
        <f>IFERROR(__xludf.DUMMYFUNCTION("""COMPUTED_VALUE"""),"EQUIPOS")</f>
        <v>EQUIPOS</v>
      </c>
      <c r="E141" s="213" t="str">
        <f>IFERROR(__xludf.DUMMYFUNCTION("""COMPUTED_VALUE"""),"COM-107")</f>
        <v>COM-107</v>
      </c>
      <c r="F141" s="213" t="str">
        <f>IFERROR(__xludf.DUMMYFUNCTION("""COMPUTED_VALUE"""),"COM-107")</f>
        <v>COM-107</v>
      </c>
      <c r="G141" s="213"/>
      <c r="H141" s="213" t="str">
        <f>IFERROR(__xludf.DUMMYFUNCTION("""COMPUTED_VALUE"""),"BALANZA 40KG")</f>
        <v>BALANZA 40KG</v>
      </c>
      <c r="I141" s="213" t="str">
        <f>IFERROR(__xludf.DUMMYFUNCTION("""COMPUTED_VALUE"""),"· Balanza electrónica digital con torre de mesa.
· Capacidad: máxima 40kg.
· División: 5g o inferior.
· Funciones de peso bruto, tara, cero.
· Pantalla: Mínimo LCD
· Conectividad: USB
· Alimentación: 220VAC / 60 HZ y Batería Recargable aproximadamente 100"&amp;" horas de duración.
· Plato mínimo: 29 cm x 35 cm.
· Accesorios: 01 cable cargador Powers.
· Medidas aproximadas: L35 x A35 x H15 cm (Altura de Torreta 35 cm).
. Incluye funda protectora impermeable para su almacenamiento.")</f>
        <v>· Balanza electrónica digital con torre de mesa.
· Capacidad: máxima 40kg.
· División: 5g o inferior.
· Funciones de peso bruto, tara, cero.
· Pantalla: Mínimo LCD
· Conectividad: USB
· Alimentación: 220VAC / 60 HZ y Batería Recargable aproximadamente 100 horas de duración.
· Plato mínimo: 29 cm x 35 cm.
· Accesorios: 01 cable cargador Powers.
· Medidas aproximadas: L35 x A35 x H15 cm (Altura de Torreta 35 cm).
. Incluye funda protectora impermeable para su almacenamiento.</v>
      </c>
      <c r="J141" s="213">
        <f>IFERROR(__xludf.DUMMYFUNCTION("""COMPUTED_VALUE"""),3.0)</f>
        <v>3</v>
      </c>
      <c r="K141" s="213" t="str">
        <f>IFERROR(__xludf.DUMMYFUNCTION("""COMPUTED_VALUE"""),"90 DÍAS CALENDARIO")</f>
        <v>90 DÍAS CALENDARIO</v>
      </c>
      <c r="L141" s="213" t="str">
        <f>IFERROR(__xludf.DUMMYFUNCTION("""COMPUTED_VALUE"""),"")</f>
        <v/>
      </c>
      <c r="M141" s="213">
        <f>IFERROR(__xludf.DUMMYFUNCTION("""COMPUTED_VALUE"""),1.0)</f>
        <v>1</v>
      </c>
      <c r="N141" s="213">
        <f>IFERROR(__xludf.DUMMYFUNCTION("""COMPUTED_VALUE"""),1.0)</f>
        <v>1</v>
      </c>
      <c r="O141" s="213">
        <f>IFERROR(__xludf.DUMMYFUNCTION("""COMPUTED_VALUE"""),1.0)</f>
        <v>1</v>
      </c>
      <c r="P141" s="213"/>
      <c r="Q141" s="213"/>
      <c r="R141" s="213" t="str">
        <f>IFERROR(__xludf.DUMMYFUNCTION("""COMPUTED_VALUE"""),"SI")</f>
        <v>SI</v>
      </c>
      <c r="S141" s="213" t="str">
        <f>IFERROR(__xludf.DUMMYFUNCTION("""COMPUTED_VALUE"""),"SI")</f>
        <v>SI</v>
      </c>
      <c r="T141" s="213" t="str">
        <f>IFERROR(__xludf.DUMMYFUNCTION("""COMPUTED_VALUE"""),"CONSULTA FINAL")</f>
        <v>CONSULTA FINAL</v>
      </c>
      <c r="U141" s="213" t="str">
        <f>IFERROR(__xludf.DUMMYFUNCTION("""COMPUTED_VALUE"""),"NO")</f>
        <v>NO</v>
      </c>
      <c r="V141" s="213" t="str">
        <f>IFERROR(__xludf.DUMMYFUNCTION("""COMPUTED_VALUE"""),"SUSTENTO")</f>
        <v>SUSTENTO</v>
      </c>
      <c r="W141" s="213" t="str">
        <f>IFERROR(__xludf.DUMMYFUNCTION("""COMPUTED_VALUE"""),"DIMENSIONAL")</f>
        <v>DIMENSIONAL</v>
      </c>
      <c r="X141" s="213" t="str">
        <f>IFERROR(__xludf.DUMMYFUNCTION("""COMPUTED_VALUE"""),"OPALUX")</f>
        <v>OPALUX</v>
      </c>
      <c r="Y141" s="213" t="str">
        <f>IFERROR(__xludf.DUMMYFUNCTION("""COMPUTED_VALUE"""),"OPALUX")</f>
        <v>OPALUX</v>
      </c>
      <c r="Z141" s="215" t="str">
        <f>IFERROR(__xludf.DUMMYFUNCTION("""COMPUTED_VALUE"""),"https://opalux.lifestore.pe/producto/balanza-electronica-digital-de-mesa-40kgs-opalux-lcd-recargable-con-brazo-y-bateria-4v4ah-220v/")</f>
        <v>https://opalux.lifestore.pe/producto/balanza-electronica-digital-de-mesa-40kgs-opalux-lcd-recargable-con-brazo-y-bateria-4v4ah-220v/</v>
      </c>
      <c r="AA141" s="213" t="str">
        <f>IFERROR(__xludf.DUMMYFUNCTION("""COMPUTED_VALUE"""),"COM-107 BALANZA 40KG - CET")</f>
        <v>COM-107 BALANZA 40KG - CET</v>
      </c>
      <c r="AB141" s="213"/>
      <c r="AC141" s="213"/>
      <c r="AD141" s="213" t="str">
        <f>IFERROR(__xludf.DUMMYFUNCTION("""COMPUTED_VALUE"""),"PAQ 2 CHINA")</f>
        <v>PAQ 2 CHINA</v>
      </c>
      <c r="AE141" s="213" t="str">
        <f>IFERROR(__xludf.DUMMYFUNCTION("""COMPUTED_VALUE"""),"BAL-01")</f>
        <v>BAL-01</v>
      </c>
      <c r="AF141" s="213"/>
      <c r="AG141" s="213"/>
      <c r="AH141" s="213" t="str">
        <f>IFERROR(__xludf.DUMMYFUNCTION("""COMPUTED_VALUE"""),"NACIONAL")</f>
        <v>NACIONAL</v>
      </c>
      <c r="AI141" s="213"/>
      <c r="AJ141" s="213"/>
      <c r="AK141" s="213"/>
      <c r="AL141" s="213"/>
      <c r="AM141" s="213"/>
      <c r="AN141" s="213"/>
      <c r="AO141" s="213"/>
      <c r="AP141" s="213" t="str">
        <f>IFERROR(__xludf.DUMMYFUNCTION("""COMPUTED_VALUE"""),"LUIS")</f>
        <v>LUIS</v>
      </c>
      <c r="AQ141" s="213"/>
      <c r="AR141" s="213"/>
      <c r="AS141" s="213"/>
      <c r="AT141" s="213"/>
      <c r="AU141" s="213"/>
      <c r="AV141" s="213"/>
      <c r="AW141" s="213"/>
      <c r="AX141" s="213"/>
      <c r="AY141" s="213"/>
      <c r="AZ141" s="213"/>
      <c r="BA141" s="213"/>
      <c r="BB141" s="213"/>
      <c r="BC141" s="213"/>
      <c r="BD141" s="213"/>
    </row>
    <row r="142">
      <c r="A142" s="213">
        <f>IFERROR(__xludf.DUMMYFUNCTION("""COMPUTED_VALUE"""),1335.0)</f>
        <v>1335</v>
      </c>
      <c r="B142" s="213" t="str">
        <f>IFERROR(__xludf.DUMMYFUNCTION("""COMPUTED_VALUE"""),"GUILLERMO E. BILLINGHURST ")</f>
        <v>GUILLERMO E. BILLINGHURST </v>
      </c>
      <c r="C142" s="213" t="str">
        <f>IFERROR(__xludf.DUMMYFUNCTION("""COMPUTED_VALUE"""),"TALLER SFT DE INDUSTRIA ALIMENTARIA")</f>
        <v>TALLER SFT DE INDUSTRIA ALIMENTARIA</v>
      </c>
      <c r="D142" s="213" t="str">
        <f>IFERROR(__xludf.DUMMYFUNCTION("""COMPUTED_VALUE"""),"EQUIPOS")</f>
        <v>EQUIPOS</v>
      </c>
      <c r="E142" s="213" t="str">
        <f>IFERROR(__xludf.DUMMYFUNCTION("""COMPUTED_VALUE"""),"COM-107")</f>
        <v>COM-107</v>
      </c>
      <c r="F142" s="213" t="str">
        <f>IFERROR(__xludf.DUMMYFUNCTION("""COMPUTED_VALUE"""),"COM-107")</f>
        <v>COM-107</v>
      </c>
      <c r="G142" s="213"/>
      <c r="H142" s="213" t="str">
        <f>IFERROR(__xludf.DUMMYFUNCTION("""COMPUTED_VALUE"""),"BALANZA 40KG")</f>
        <v>BALANZA 40KG</v>
      </c>
      <c r="I142" s="213" t="str">
        <f>IFERROR(__xludf.DUMMYFUNCTION("""COMPUTED_VALUE"""),"· Balanza electrónica digital con torre de mesa.
· Capacidad: máxima 40kg.
· División: 5g o inferior.
· Funciones de peso bruto, tara, cero.
· Pantalla: Mínimo LCD
· Conectividad: USB
· Alimentación: 220VAC / 60 HZ y Batería Recargable aproximadamente 100"&amp;" horas de duración.
· Plato mínimo: 29 cm x 35 cm.
· Accesorios: 01 cable cargador Powers.
· Medidas aproximadas: L35 x A35 x H15 cm (Altura de Torreta 35 cm).
. Incluye funda protectora impermeable para su almacenamiento.")</f>
        <v>· Balanza electrónica digital con torre de mesa.
· Capacidad: máxima 40kg.
· División: 5g o inferior.
· Funciones de peso bruto, tara, cero.
· Pantalla: Mínimo LCD
· Conectividad: USB
· Alimentación: 220VAC / 60 HZ y Batería Recargable aproximadamente 100 horas de duración.
· Plato mínimo: 29 cm x 35 cm.
· Accesorios: 01 cable cargador Powers.
· Medidas aproximadas: L35 x A35 x H15 cm (Altura de Torreta 35 cm).
. Incluye funda protectora impermeable para su almacenamiento.</v>
      </c>
      <c r="J142" s="213">
        <f>IFERROR(__xludf.DUMMYFUNCTION("""COMPUTED_VALUE"""),3.0)</f>
        <v>3</v>
      </c>
      <c r="K142" s="213" t="str">
        <f>IFERROR(__xludf.DUMMYFUNCTION("""COMPUTED_VALUE"""),"90 DÍAS CALENDARIO")</f>
        <v>90 DÍAS CALENDARIO</v>
      </c>
      <c r="L142" s="213" t="str">
        <f>IFERROR(__xludf.DUMMYFUNCTION("""COMPUTED_VALUE"""),"")</f>
        <v/>
      </c>
      <c r="M142" s="213">
        <f>IFERROR(__xludf.DUMMYFUNCTION("""COMPUTED_VALUE"""),1.0)</f>
        <v>1</v>
      </c>
      <c r="N142" s="213">
        <f>IFERROR(__xludf.DUMMYFUNCTION("""COMPUTED_VALUE"""),1.0)</f>
        <v>1</v>
      </c>
      <c r="O142" s="213">
        <f>IFERROR(__xludf.DUMMYFUNCTION("""COMPUTED_VALUE"""),1.0)</f>
        <v>1</v>
      </c>
      <c r="P142" s="213"/>
      <c r="Q142" s="213"/>
      <c r="R142" s="213" t="str">
        <f>IFERROR(__xludf.DUMMYFUNCTION("""COMPUTED_VALUE"""),"SI")</f>
        <v>SI</v>
      </c>
      <c r="S142" s="213" t="str">
        <f>IFERROR(__xludf.DUMMYFUNCTION("""COMPUTED_VALUE"""),"SI")</f>
        <v>SI</v>
      </c>
      <c r="T142" s="213" t="str">
        <f>IFERROR(__xludf.DUMMYFUNCTION("""COMPUTED_VALUE"""),"CONSULTA FINAL")</f>
        <v>CONSULTA FINAL</v>
      </c>
      <c r="U142" s="213" t="str">
        <f>IFERROR(__xludf.DUMMYFUNCTION("""COMPUTED_VALUE"""),"NO")</f>
        <v>NO</v>
      </c>
      <c r="V142" s="213" t="str">
        <f>IFERROR(__xludf.DUMMYFUNCTION("""COMPUTED_VALUE"""),"SUSTENTO")</f>
        <v>SUSTENTO</v>
      </c>
      <c r="W142" s="213" t="str">
        <f>IFERROR(__xludf.DUMMYFUNCTION("""COMPUTED_VALUE"""),"DIMENSIONAL")</f>
        <v>DIMENSIONAL</v>
      </c>
      <c r="X142" s="213" t="str">
        <f>IFERROR(__xludf.DUMMYFUNCTION("""COMPUTED_VALUE"""),"OPALUX")</f>
        <v>OPALUX</v>
      </c>
      <c r="Y142" s="213" t="str">
        <f>IFERROR(__xludf.DUMMYFUNCTION("""COMPUTED_VALUE"""),"OPALUX")</f>
        <v>OPALUX</v>
      </c>
      <c r="Z142" s="215" t="str">
        <f>IFERROR(__xludf.DUMMYFUNCTION("""COMPUTED_VALUE"""),"https://opalux.lifestore.pe/producto/balanza-electronica-digital-de-mesa-40kgs-opalux-lcd-recargable-con-brazo-y-bateria-4v4ah-220v/")</f>
        <v>https://opalux.lifestore.pe/producto/balanza-electronica-digital-de-mesa-40kgs-opalux-lcd-recargable-con-brazo-y-bateria-4v4ah-220v/</v>
      </c>
      <c r="AA142" s="213" t="str">
        <f>IFERROR(__xludf.DUMMYFUNCTION("""COMPUTED_VALUE"""),"COM-107 BALANZA 40KG - CET")</f>
        <v>COM-107 BALANZA 40KG - CET</v>
      </c>
      <c r="AB142" s="213"/>
      <c r="AC142" s="213"/>
      <c r="AD142" s="213" t="str">
        <f>IFERROR(__xludf.DUMMYFUNCTION("""COMPUTED_VALUE"""),"PAQ 2 CHINA")</f>
        <v>PAQ 2 CHINA</v>
      </c>
      <c r="AE142" s="213" t="str">
        <f>IFERROR(__xludf.DUMMYFUNCTION("""COMPUTED_VALUE"""),"BAL-01")</f>
        <v>BAL-01</v>
      </c>
      <c r="AF142" s="213"/>
      <c r="AG142" s="213"/>
      <c r="AH142" s="213" t="str">
        <f>IFERROR(__xludf.DUMMYFUNCTION("""COMPUTED_VALUE"""),"NACIONAL")</f>
        <v>NACIONAL</v>
      </c>
      <c r="AI142" s="213"/>
      <c r="AJ142" s="213"/>
      <c r="AK142" s="213"/>
      <c r="AL142" s="213"/>
      <c r="AM142" s="213"/>
      <c r="AN142" s="213"/>
      <c r="AO142" s="213"/>
      <c r="AP142" s="213" t="str">
        <f>IFERROR(__xludf.DUMMYFUNCTION("""COMPUTED_VALUE"""),"LUIS")</f>
        <v>LUIS</v>
      </c>
      <c r="AQ142" s="213"/>
      <c r="AR142" s="213"/>
      <c r="AS142" s="213"/>
      <c r="AT142" s="213"/>
      <c r="AU142" s="213"/>
      <c r="AV142" s="213"/>
      <c r="AW142" s="213"/>
      <c r="AX142" s="213"/>
      <c r="AY142" s="213"/>
      <c r="AZ142" s="213"/>
      <c r="BA142" s="213"/>
      <c r="BB142" s="213"/>
      <c r="BC142" s="213"/>
      <c r="BD142" s="213"/>
    </row>
    <row r="143">
      <c r="A143" s="213">
        <f>IFERROR(__xludf.DUMMYFUNCTION("""COMPUTED_VALUE"""),1340.0)</f>
        <v>1340</v>
      </c>
      <c r="B143" s="213" t="str">
        <f>IFERROR(__xludf.DUMMYFUNCTION("""COMPUTED_VALUE"""),"GUILLERMO E. BILLINGHURST ")</f>
        <v>GUILLERMO E. BILLINGHURST </v>
      </c>
      <c r="C143" s="213" t="str">
        <f>IFERROR(__xludf.DUMMYFUNCTION("""COMPUTED_VALUE"""),"TALLER SFT DE INDUSTRIA ALIMENTARIA")</f>
        <v>TALLER SFT DE INDUSTRIA ALIMENTARIA</v>
      </c>
      <c r="D143" s="213" t="str">
        <f>IFERROR(__xludf.DUMMYFUNCTION("""COMPUTED_VALUE"""),"EQUIPOS")</f>
        <v>EQUIPOS</v>
      </c>
      <c r="E143" s="213" t="str">
        <f>IFERROR(__xludf.DUMMYFUNCTION("""COMPUTED_VALUE"""),"COM-107")</f>
        <v>COM-107</v>
      </c>
      <c r="F143" s="213" t="str">
        <f>IFERROR(__xludf.DUMMYFUNCTION("""COMPUTED_VALUE"""),"COM-107")</f>
        <v>COM-107</v>
      </c>
      <c r="G143" s="213"/>
      <c r="H143" s="213" t="str">
        <f>IFERROR(__xludf.DUMMYFUNCTION("""COMPUTED_VALUE"""),"BALANZA 40KG")</f>
        <v>BALANZA 40KG</v>
      </c>
      <c r="I143" s="213" t="str">
        <f>IFERROR(__xludf.DUMMYFUNCTION("""COMPUTED_VALUE"""),"· Balanza electrónica digital con torre de mesa.
· Capacidad: máxima 40kg.
· División: 5g o inferior.
· Funciones de peso bruto, tara, cero.
· Pantalla: Mínimo LCD
· Conectividad: USB
· Alimentación: 220VAC / 60 HZ y Batería Recargable aproximadamente 100"&amp;" horas de duración.
· Plato mínimo: 29 cm x 35 cm.
· Accesorios: 01 cable cargador Powers.
· Medidas aproximadas: L35 x A35 x H15 cm (Altura de Torreta 35 cm).
. Incluye funda protectora impermeable para su almacenamiento.")</f>
        <v>· Balanza electrónica digital con torre de mesa.
· Capacidad: máxima 40kg.
· División: 5g o inferior.
· Funciones de peso bruto, tara, cero.
· Pantalla: Mínimo LCD
· Conectividad: USB
· Alimentación: 220VAC / 60 HZ y Batería Recargable aproximadamente 100 horas de duración.
· Plato mínimo: 29 cm x 35 cm.
· Accesorios: 01 cable cargador Powers.
· Medidas aproximadas: L35 x A35 x H15 cm (Altura de Torreta 35 cm).
. Incluye funda protectora impermeable para su almacenamiento.</v>
      </c>
      <c r="J143" s="213">
        <f>IFERROR(__xludf.DUMMYFUNCTION("""COMPUTED_VALUE"""),3.0)</f>
        <v>3</v>
      </c>
      <c r="K143" s="213" t="str">
        <f>IFERROR(__xludf.DUMMYFUNCTION("""COMPUTED_VALUE"""),"90 DÍAS CALENDARIO")</f>
        <v>90 DÍAS CALENDARIO</v>
      </c>
      <c r="L143" s="213" t="str">
        <f>IFERROR(__xludf.DUMMYFUNCTION("""COMPUTED_VALUE"""),"")</f>
        <v/>
      </c>
      <c r="M143" s="213">
        <f>IFERROR(__xludf.DUMMYFUNCTION("""COMPUTED_VALUE"""),1.0)</f>
        <v>1</v>
      </c>
      <c r="N143" s="213">
        <f>IFERROR(__xludf.DUMMYFUNCTION("""COMPUTED_VALUE"""),1.0)</f>
        <v>1</v>
      </c>
      <c r="O143" s="213">
        <f>IFERROR(__xludf.DUMMYFUNCTION("""COMPUTED_VALUE"""),1.0)</f>
        <v>1</v>
      </c>
      <c r="P143" s="213"/>
      <c r="Q143" s="213"/>
      <c r="R143" s="213" t="str">
        <f>IFERROR(__xludf.DUMMYFUNCTION("""COMPUTED_VALUE"""),"SI")</f>
        <v>SI</v>
      </c>
      <c r="S143" s="213" t="str">
        <f>IFERROR(__xludf.DUMMYFUNCTION("""COMPUTED_VALUE"""),"SI")</f>
        <v>SI</v>
      </c>
      <c r="T143" s="213" t="str">
        <f>IFERROR(__xludf.DUMMYFUNCTION("""COMPUTED_VALUE"""),"CONSULTA FINAL")</f>
        <v>CONSULTA FINAL</v>
      </c>
      <c r="U143" s="213" t="str">
        <f>IFERROR(__xludf.DUMMYFUNCTION("""COMPUTED_VALUE"""),"NO")</f>
        <v>NO</v>
      </c>
      <c r="V143" s="213" t="str">
        <f>IFERROR(__xludf.DUMMYFUNCTION("""COMPUTED_VALUE"""),"SUSTENTO")</f>
        <v>SUSTENTO</v>
      </c>
      <c r="W143" s="213" t="str">
        <f>IFERROR(__xludf.DUMMYFUNCTION("""COMPUTED_VALUE"""),"DIMENSIONAL")</f>
        <v>DIMENSIONAL</v>
      </c>
      <c r="X143" s="213" t="str">
        <f>IFERROR(__xludf.DUMMYFUNCTION("""COMPUTED_VALUE"""),"OPALUX")</f>
        <v>OPALUX</v>
      </c>
      <c r="Y143" s="213" t="str">
        <f>IFERROR(__xludf.DUMMYFUNCTION("""COMPUTED_VALUE"""),"OPALUX")</f>
        <v>OPALUX</v>
      </c>
      <c r="Z143" s="215" t="str">
        <f>IFERROR(__xludf.DUMMYFUNCTION("""COMPUTED_VALUE"""),"https://opalux.lifestore.pe/producto/balanza-electronica-digital-de-mesa-40kgs-opalux-lcd-recargable-con-brazo-y-bateria-4v4ah-220v/")</f>
        <v>https://opalux.lifestore.pe/producto/balanza-electronica-digital-de-mesa-40kgs-opalux-lcd-recargable-con-brazo-y-bateria-4v4ah-220v/</v>
      </c>
      <c r="AA143" s="213" t="str">
        <f>IFERROR(__xludf.DUMMYFUNCTION("""COMPUTED_VALUE"""),"COM-107 BALANZA 40KG - CET")</f>
        <v>COM-107 BALANZA 40KG - CET</v>
      </c>
      <c r="AB143" s="213"/>
      <c r="AC143" s="213"/>
      <c r="AD143" s="213" t="str">
        <f>IFERROR(__xludf.DUMMYFUNCTION("""COMPUTED_VALUE"""),"PAQ 2 CHINA")</f>
        <v>PAQ 2 CHINA</v>
      </c>
      <c r="AE143" s="213" t="str">
        <f>IFERROR(__xludf.DUMMYFUNCTION("""COMPUTED_VALUE"""),"BAL-01")</f>
        <v>BAL-01</v>
      </c>
      <c r="AF143" s="213"/>
      <c r="AG143" s="213"/>
      <c r="AH143" s="213" t="str">
        <f>IFERROR(__xludf.DUMMYFUNCTION("""COMPUTED_VALUE"""),"NACIONAL")</f>
        <v>NACIONAL</v>
      </c>
      <c r="AI143" s="213"/>
      <c r="AJ143" s="213"/>
      <c r="AK143" s="213"/>
      <c r="AL143" s="213"/>
      <c r="AM143" s="213"/>
      <c r="AN143" s="213"/>
      <c r="AO143" s="213"/>
      <c r="AP143" s="213" t="str">
        <f>IFERROR(__xludf.DUMMYFUNCTION("""COMPUTED_VALUE"""),"LUIS")</f>
        <v>LUIS</v>
      </c>
      <c r="AQ143" s="213"/>
      <c r="AR143" s="213"/>
      <c r="AS143" s="213"/>
      <c r="AT143" s="213"/>
      <c r="AU143" s="213"/>
      <c r="AV143" s="213"/>
      <c r="AW143" s="213"/>
      <c r="AX143" s="213"/>
      <c r="AY143" s="213"/>
      <c r="AZ143" s="213"/>
      <c r="BA143" s="213"/>
      <c r="BB143" s="213"/>
      <c r="BC143" s="213"/>
      <c r="BD143" s="213"/>
    </row>
    <row r="144">
      <c r="A144" s="213">
        <f>IFERROR(__xludf.DUMMYFUNCTION("""COMPUTED_VALUE"""),2016.0)</f>
        <v>2016</v>
      </c>
      <c r="B144" s="213" t="str">
        <f>IFERROR(__xludf.DUMMYFUNCTION("""COMPUTED_VALUE"""),"JOSE GRANDA")</f>
        <v>JOSE GRANDA</v>
      </c>
      <c r="C144" s="213" t="str">
        <f>IFERROR(__xludf.DUMMYFUNCTION("""COMPUTED_VALUE"""),"TALLER SFT DE INDUSTRIA ALIMENTARIA")</f>
        <v>TALLER SFT DE INDUSTRIA ALIMENTARIA</v>
      </c>
      <c r="D144" s="213" t="str">
        <f>IFERROR(__xludf.DUMMYFUNCTION("""COMPUTED_VALUE"""),"EQUIPOS")</f>
        <v>EQUIPOS</v>
      </c>
      <c r="E144" s="213" t="str">
        <f>IFERROR(__xludf.DUMMYFUNCTION("""COMPUTED_VALUE"""),"COM-107")</f>
        <v>COM-107</v>
      </c>
      <c r="F144" s="213" t="str">
        <f>IFERROR(__xludf.DUMMYFUNCTION("""COMPUTED_VALUE"""),"COM-107")</f>
        <v>COM-107</v>
      </c>
      <c r="G144" s="213"/>
      <c r="H144" s="213" t="str">
        <f>IFERROR(__xludf.DUMMYFUNCTION("""COMPUTED_VALUE"""),"BALANZA 40KG")</f>
        <v>BALANZA 40KG</v>
      </c>
      <c r="I144" s="213" t="str">
        <f>IFERROR(__xludf.DUMMYFUNCTION("""COMPUTED_VALUE"""),"· Balanza electrónica digital con torre de mesa.
· Capacidad: máxima 40kg.
· División: 5g o inferior.
· Funciones de peso bruto, tara, cero.
· Pantalla: Mínimo LCD
· Conectividad: USB
· Alimentación: 220VAC / 60 HZ y Batería Recargable aproximadamente 100"&amp;" horas de duración.
· Plato mínimo: 29 cm x 35 cm.
· Accesorios: 01 cable cargador Powers.
· Medidas aproximadas: L35 x A35 x H15 cm (Altura de Torreta 35 cm).
. Incluye funda protectora impermeable para su almacenamiento.")</f>
        <v>· Balanza electrónica digital con torre de mesa.
· Capacidad: máxima 40kg.
· División: 5g o inferior.
· Funciones de peso bruto, tara, cero.
· Pantalla: Mínimo LCD
· Conectividad: USB
· Alimentación: 220VAC / 60 HZ y Batería Recargable aproximadamente 100 horas de duración.
· Plato mínimo: 29 cm x 35 cm.
· Accesorios: 01 cable cargador Powers.
· Medidas aproximadas: L35 x A35 x H15 cm (Altura de Torreta 35 cm).
. Incluye funda protectora impermeable para su almacenamiento.</v>
      </c>
      <c r="J144" s="213">
        <f>IFERROR(__xludf.DUMMYFUNCTION("""COMPUTED_VALUE"""),3.0)</f>
        <v>3</v>
      </c>
      <c r="K144" s="213" t="str">
        <f>IFERROR(__xludf.DUMMYFUNCTION("""COMPUTED_VALUE"""),"90 DÍAS CALENDARIO")</f>
        <v>90 DÍAS CALENDARIO</v>
      </c>
      <c r="L144" s="213" t="str">
        <f>IFERROR(__xludf.DUMMYFUNCTION("""COMPUTED_VALUE"""),"")</f>
        <v/>
      </c>
      <c r="M144" s="213">
        <f>IFERROR(__xludf.DUMMYFUNCTION("""COMPUTED_VALUE"""),1.0)</f>
        <v>1</v>
      </c>
      <c r="N144" s="213">
        <f>IFERROR(__xludf.DUMMYFUNCTION("""COMPUTED_VALUE"""),1.0)</f>
        <v>1</v>
      </c>
      <c r="O144" s="213">
        <f>IFERROR(__xludf.DUMMYFUNCTION("""COMPUTED_VALUE"""),1.0)</f>
        <v>1</v>
      </c>
      <c r="P144" s="213"/>
      <c r="Q144" s="213"/>
      <c r="R144" s="213" t="str">
        <f>IFERROR(__xludf.DUMMYFUNCTION("""COMPUTED_VALUE"""),"SI")</f>
        <v>SI</v>
      </c>
      <c r="S144" s="213" t="str">
        <f>IFERROR(__xludf.DUMMYFUNCTION("""COMPUTED_VALUE"""),"SI")</f>
        <v>SI</v>
      </c>
      <c r="T144" s="213" t="str">
        <f>IFERROR(__xludf.DUMMYFUNCTION("""COMPUTED_VALUE"""),"CONSULTA FINAL")</f>
        <v>CONSULTA FINAL</v>
      </c>
      <c r="U144" s="213" t="str">
        <f>IFERROR(__xludf.DUMMYFUNCTION("""COMPUTED_VALUE"""),"NO")</f>
        <v>NO</v>
      </c>
      <c r="V144" s="213" t="str">
        <f>IFERROR(__xludf.DUMMYFUNCTION("""COMPUTED_VALUE"""),"SUSTENTO")</f>
        <v>SUSTENTO</v>
      </c>
      <c r="W144" s="213" t="str">
        <f>IFERROR(__xludf.DUMMYFUNCTION("""COMPUTED_VALUE"""),"DIMENSIONAL")</f>
        <v>DIMENSIONAL</v>
      </c>
      <c r="X144" s="213" t="str">
        <f>IFERROR(__xludf.DUMMYFUNCTION("""COMPUTED_VALUE"""),"OPALUX")</f>
        <v>OPALUX</v>
      </c>
      <c r="Y144" s="213" t="str">
        <f>IFERROR(__xludf.DUMMYFUNCTION("""COMPUTED_VALUE"""),"OPALUX")</f>
        <v>OPALUX</v>
      </c>
      <c r="Z144" s="215" t="str">
        <f>IFERROR(__xludf.DUMMYFUNCTION("""COMPUTED_VALUE"""),"https://opalux.lifestore.pe/producto/balanza-electronica-digital-de-mesa-40kgs-opalux-lcd-recargable-con-brazo-y-bateria-4v4ah-220v/")</f>
        <v>https://opalux.lifestore.pe/producto/balanza-electronica-digital-de-mesa-40kgs-opalux-lcd-recargable-con-brazo-y-bateria-4v4ah-220v/</v>
      </c>
      <c r="AA144" s="213" t="str">
        <f>IFERROR(__xludf.DUMMYFUNCTION("""COMPUTED_VALUE"""),"COM-107 BALANZA 40KG - CET")</f>
        <v>COM-107 BALANZA 40KG - CET</v>
      </c>
      <c r="AB144" s="213"/>
      <c r="AC144" s="213"/>
      <c r="AD144" s="213" t="str">
        <f>IFERROR(__xludf.DUMMYFUNCTION("""COMPUTED_VALUE"""),"PAQ 2 CHINA")</f>
        <v>PAQ 2 CHINA</v>
      </c>
      <c r="AE144" s="213" t="str">
        <f>IFERROR(__xludf.DUMMYFUNCTION("""COMPUTED_VALUE"""),"BAL-01")</f>
        <v>BAL-01</v>
      </c>
      <c r="AF144" s="213"/>
      <c r="AG144" s="213"/>
      <c r="AH144" s="213" t="str">
        <f>IFERROR(__xludf.DUMMYFUNCTION("""COMPUTED_VALUE"""),"NACIONAL")</f>
        <v>NACIONAL</v>
      </c>
      <c r="AI144" s="213"/>
      <c r="AJ144" s="213"/>
      <c r="AK144" s="213"/>
      <c r="AL144" s="213"/>
      <c r="AM144" s="213"/>
      <c r="AN144" s="213"/>
      <c r="AO144" s="213"/>
      <c r="AP144" s="213" t="str">
        <f>IFERROR(__xludf.DUMMYFUNCTION("""COMPUTED_VALUE"""),"LUIS")</f>
        <v>LUIS</v>
      </c>
      <c r="AQ144" s="213"/>
      <c r="AR144" s="213"/>
      <c r="AS144" s="213"/>
      <c r="AT144" s="213"/>
      <c r="AU144" s="213"/>
      <c r="AV144" s="213"/>
      <c r="AW144" s="213"/>
      <c r="AX144" s="213"/>
      <c r="AY144" s="213"/>
      <c r="AZ144" s="213"/>
      <c r="BA144" s="213"/>
      <c r="BB144" s="213"/>
      <c r="BC144" s="213"/>
      <c r="BD144" s="213"/>
    </row>
    <row r="145">
      <c r="A145" s="213">
        <f>IFERROR(__xludf.DUMMYFUNCTION("""COMPUTED_VALUE"""),2024.0)</f>
        <v>2024</v>
      </c>
      <c r="B145" s="213" t="str">
        <f>IFERROR(__xludf.DUMMYFUNCTION("""COMPUTED_VALUE"""),"JOSE GRANDA")</f>
        <v>JOSE GRANDA</v>
      </c>
      <c r="C145" s="213" t="str">
        <f>IFERROR(__xludf.DUMMYFUNCTION("""COMPUTED_VALUE"""),"TALLER SFT DE INDUSTRIA ALIMENTARIA")</f>
        <v>TALLER SFT DE INDUSTRIA ALIMENTARIA</v>
      </c>
      <c r="D145" s="213" t="str">
        <f>IFERROR(__xludf.DUMMYFUNCTION("""COMPUTED_VALUE"""),"EQUIPOS")</f>
        <v>EQUIPOS</v>
      </c>
      <c r="E145" s="213" t="str">
        <f>IFERROR(__xludf.DUMMYFUNCTION("""COMPUTED_VALUE"""),"COM-107")</f>
        <v>COM-107</v>
      </c>
      <c r="F145" s="213" t="str">
        <f>IFERROR(__xludf.DUMMYFUNCTION("""COMPUTED_VALUE"""),"COM-107")</f>
        <v>COM-107</v>
      </c>
      <c r="G145" s="213"/>
      <c r="H145" s="213" t="str">
        <f>IFERROR(__xludf.DUMMYFUNCTION("""COMPUTED_VALUE"""),"BALANZA 40KG")</f>
        <v>BALANZA 40KG</v>
      </c>
      <c r="I145" s="213" t="str">
        <f>IFERROR(__xludf.DUMMYFUNCTION("""COMPUTED_VALUE"""),"· Balanza electrónica digital con torre de mesa.
· Capacidad: máxima 40kg.
· División: 5g o inferior.
· Funciones de peso bruto, tara, cero.
· Pantalla: Mínimo LCD
· Conectividad: USB
· Alimentación: 220VAC / 60 HZ y Batería Recargable aproximadamente 100"&amp;" horas de duración.
· Plato mínimo: 29 cm x 35 cm.
· Accesorios: 01 cable cargador Powers.
· Medidas aproximadas: L35 x A35 x H15 cm (Altura de Torreta 35 cm).
. Incluye funda protectora impermeable para su almacenamiento.")</f>
        <v>· Balanza electrónica digital con torre de mesa.
· Capacidad: máxima 40kg.
· División: 5g o inferior.
· Funciones de peso bruto, tara, cero.
· Pantalla: Mínimo LCD
· Conectividad: USB
· Alimentación: 220VAC / 60 HZ y Batería Recargable aproximadamente 100 horas de duración.
· Plato mínimo: 29 cm x 35 cm.
· Accesorios: 01 cable cargador Powers.
· Medidas aproximadas: L35 x A35 x H15 cm (Altura de Torreta 35 cm).
. Incluye funda protectora impermeable para su almacenamiento.</v>
      </c>
      <c r="J145" s="213">
        <f>IFERROR(__xludf.DUMMYFUNCTION("""COMPUTED_VALUE"""),3.0)</f>
        <v>3</v>
      </c>
      <c r="K145" s="213" t="str">
        <f>IFERROR(__xludf.DUMMYFUNCTION("""COMPUTED_VALUE"""),"90 DÍAS CALENDARIO")</f>
        <v>90 DÍAS CALENDARIO</v>
      </c>
      <c r="L145" s="213" t="str">
        <f>IFERROR(__xludf.DUMMYFUNCTION("""COMPUTED_VALUE"""),"")</f>
        <v/>
      </c>
      <c r="M145" s="213">
        <f>IFERROR(__xludf.DUMMYFUNCTION("""COMPUTED_VALUE"""),1.0)</f>
        <v>1</v>
      </c>
      <c r="N145" s="213">
        <f>IFERROR(__xludf.DUMMYFUNCTION("""COMPUTED_VALUE"""),1.0)</f>
        <v>1</v>
      </c>
      <c r="O145" s="213">
        <f>IFERROR(__xludf.DUMMYFUNCTION("""COMPUTED_VALUE"""),1.0)</f>
        <v>1</v>
      </c>
      <c r="P145" s="213"/>
      <c r="Q145" s="213"/>
      <c r="R145" s="213" t="str">
        <f>IFERROR(__xludf.DUMMYFUNCTION("""COMPUTED_VALUE"""),"SI")</f>
        <v>SI</v>
      </c>
      <c r="S145" s="213" t="str">
        <f>IFERROR(__xludf.DUMMYFUNCTION("""COMPUTED_VALUE"""),"SI")</f>
        <v>SI</v>
      </c>
      <c r="T145" s="213" t="str">
        <f>IFERROR(__xludf.DUMMYFUNCTION("""COMPUTED_VALUE"""),"CONSULTA FINAL")</f>
        <v>CONSULTA FINAL</v>
      </c>
      <c r="U145" s="213" t="str">
        <f>IFERROR(__xludf.DUMMYFUNCTION("""COMPUTED_VALUE"""),"NO")</f>
        <v>NO</v>
      </c>
      <c r="V145" s="213" t="str">
        <f>IFERROR(__xludf.DUMMYFUNCTION("""COMPUTED_VALUE"""),"SUSTENTO")</f>
        <v>SUSTENTO</v>
      </c>
      <c r="W145" s="213" t="str">
        <f>IFERROR(__xludf.DUMMYFUNCTION("""COMPUTED_VALUE"""),"DIMENSIONAL")</f>
        <v>DIMENSIONAL</v>
      </c>
      <c r="X145" s="213" t="str">
        <f>IFERROR(__xludf.DUMMYFUNCTION("""COMPUTED_VALUE"""),"OPALUX")</f>
        <v>OPALUX</v>
      </c>
      <c r="Y145" s="213" t="str">
        <f>IFERROR(__xludf.DUMMYFUNCTION("""COMPUTED_VALUE"""),"OPALUX")</f>
        <v>OPALUX</v>
      </c>
      <c r="Z145" s="215" t="str">
        <f>IFERROR(__xludf.DUMMYFUNCTION("""COMPUTED_VALUE"""),"https://opalux.lifestore.pe/producto/balanza-electronica-digital-de-mesa-40kgs-opalux-lcd-recargable-con-brazo-y-bateria-4v4ah-220v/")</f>
        <v>https://opalux.lifestore.pe/producto/balanza-electronica-digital-de-mesa-40kgs-opalux-lcd-recargable-con-brazo-y-bateria-4v4ah-220v/</v>
      </c>
      <c r="AA145" s="213" t="str">
        <f>IFERROR(__xludf.DUMMYFUNCTION("""COMPUTED_VALUE"""),"COM-107 BALANZA 40KG - CET")</f>
        <v>COM-107 BALANZA 40KG - CET</v>
      </c>
      <c r="AB145" s="213"/>
      <c r="AC145" s="213"/>
      <c r="AD145" s="213" t="str">
        <f>IFERROR(__xludf.DUMMYFUNCTION("""COMPUTED_VALUE"""),"PAQ 2 CHINA")</f>
        <v>PAQ 2 CHINA</v>
      </c>
      <c r="AE145" s="213" t="str">
        <f>IFERROR(__xludf.DUMMYFUNCTION("""COMPUTED_VALUE"""),"BAL-01")</f>
        <v>BAL-01</v>
      </c>
      <c r="AF145" s="213"/>
      <c r="AG145" s="213"/>
      <c r="AH145" s="213" t="str">
        <f>IFERROR(__xludf.DUMMYFUNCTION("""COMPUTED_VALUE"""),"NACIONAL")</f>
        <v>NACIONAL</v>
      </c>
      <c r="AI145" s="213"/>
      <c r="AJ145" s="213"/>
      <c r="AK145" s="213"/>
      <c r="AL145" s="213"/>
      <c r="AM145" s="213"/>
      <c r="AN145" s="213"/>
      <c r="AO145" s="213"/>
      <c r="AP145" s="213" t="str">
        <f>IFERROR(__xludf.DUMMYFUNCTION("""COMPUTED_VALUE"""),"LUIS")</f>
        <v>LUIS</v>
      </c>
      <c r="AQ145" s="213"/>
      <c r="AR145" s="213"/>
      <c r="AS145" s="213"/>
      <c r="AT145" s="213"/>
      <c r="AU145" s="213"/>
      <c r="AV145" s="213"/>
      <c r="AW145" s="213"/>
      <c r="AX145" s="213"/>
      <c r="AY145" s="213"/>
      <c r="AZ145" s="213"/>
      <c r="BA145" s="213"/>
      <c r="BB145" s="213"/>
      <c r="BC145" s="213"/>
      <c r="BD145" s="213"/>
    </row>
    <row r="146">
      <c r="A146" s="213">
        <f>IFERROR(__xludf.DUMMYFUNCTION("""COMPUTED_VALUE"""),467.0)</f>
        <v>467</v>
      </c>
      <c r="B146" s="213" t="str">
        <f>IFERROR(__xludf.DUMMYFUNCTION("""COMPUTED_VALUE"""),"2026 SIMON BOLIVAR")</f>
        <v>2026 SIMON BOLIVAR</v>
      </c>
      <c r="C146" s="213" t="str">
        <f>IFERROR(__xludf.DUMMYFUNCTION("""COMPUTED_VALUE"""),"TALLER SFT DE INDUSTRIA ALIMENTARIA")</f>
        <v>TALLER SFT DE INDUSTRIA ALIMENTARIA</v>
      </c>
      <c r="D146" s="213" t="str">
        <f>IFERROR(__xludf.DUMMYFUNCTION("""COMPUTED_VALUE"""),"EQUIPOS")</f>
        <v>EQUIPOS</v>
      </c>
      <c r="E146" s="213" t="str">
        <f>IFERROR(__xludf.DUMMYFUNCTION("""COMPUTED_VALUE"""),"COM-108")</f>
        <v>COM-108</v>
      </c>
      <c r="F146" s="213" t="str">
        <f>IFERROR(__xludf.DUMMYFUNCTION("""COMPUTED_VALUE"""),"COM-108")</f>
        <v>COM-108</v>
      </c>
      <c r="G146" s="213"/>
      <c r="H146" s="213" t="str">
        <f>IFERROR(__xludf.DUMMYFUNCTION("""COMPUTED_VALUE"""),"BALANZA 5KG")</f>
        <v>BALANZA 5KG</v>
      </c>
      <c r="I146" s="213" t="str">
        <f>IFERROR(__xludf.DUMMYFUNCTION("""COMPUTED_VALUE"""),"· Balanza electrónica digital
· Capacidad: máxima 5kg
· División: 1g
· Funciones de peso bruto, tara, cero.
. Pantalla: Mínimo LCD.
· Dimensiones aproximadas: 24x17x4cm.
· Bandeja redonda de 15cm de diámetro como mínimo.
. Sistema de batería recargable /c"&amp;"on cargador preparado para tomas de 220V/60HZ. Incluir funda protectora impermeable para su almacenamiento.")</f>
        <v>· Balanza electrónica digital
· Capacidad: máxima 5kg
· División: 1g
· Funciones de peso bruto, tara, cero.
. Pantalla: Mínimo LCD.
· Dimensiones aproximadas: 24x17x4cm.
· Bandeja redonda de 15cm de diámetro como mínimo.
. Sistema de batería recargable /con cargador preparado para tomas de 220V/60HZ. Incluir funda protectora impermeable para su almacenamiento.</v>
      </c>
      <c r="J146" s="213">
        <f>IFERROR(__xludf.DUMMYFUNCTION("""COMPUTED_VALUE"""),3.0)</f>
        <v>3</v>
      </c>
      <c r="K146" s="213" t="str">
        <f>IFERROR(__xludf.DUMMYFUNCTION("""COMPUTED_VALUE"""),"90 DÍAS CALENDARIO")</f>
        <v>90 DÍAS CALENDARIO</v>
      </c>
      <c r="L146" s="213" t="str">
        <f>IFERROR(__xludf.DUMMYFUNCTION("""COMPUTED_VALUE"""),"")</f>
        <v/>
      </c>
      <c r="M146" s="213">
        <f>IFERROR(__xludf.DUMMYFUNCTION("""COMPUTED_VALUE"""),1.0)</f>
        <v>1</v>
      </c>
      <c r="N146" s="213">
        <f>IFERROR(__xludf.DUMMYFUNCTION("""COMPUTED_VALUE"""),1.0)</f>
        <v>1</v>
      </c>
      <c r="O146" s="213">
        <f>IFERROR(__xludf.DUMMYFUNCTION("""COMPUTED_VALUE"""),1.0)</f>
        <v>1</v>
      </c>
      <c r="P146" s="213"/>
      <c r="Q146" s="213"/>
      <c r="R146" s="213"/>
      <c r="S146" s="213" t="str">
        <f>IFERROR(__xludf.DUMMYFUNCTION("""COMPUTED_VALUE"""),"SI")</f>
        <v>SI</v>
      </c>
      <c r="T146" s="213" t="str">
        <f>IFERROR(__xludf.DUMMYFUNCTION("""COMPUTED_VALUE"""),"SI")</f>
        <v>SI</v>
      </c>
      <c r="U146" s="213" t="str">
        <f>IFERROR(__xludf.DUMMYFUNCTION("""COMPUTED_VALUE"""),"SI")</f>
        <v>SI</v>
      </c>
      <c r="V146" s="213" t="str">
        <f>IFERROR(__xludf.DUMMYFUNCTION("""COMPUTED_VALUE"""),"-")</f>
        <v>-</v>
      </c>
      <c r="W146" s="213" t="str">
        <f>IFERROR(__xludf.DUMMYFUNCTION("""COMPUTED_VALUE"""),"-")</f>
        <v>-</v>
      </c>
      <c r="X146" s="213" t="str">
        <f>IFERROR(__xludf.DUMMYFUNCTION("""COMPUTED_VALUE"""),"Precisur")</f>
        <v>Precisur</v>
      </c>
      <c r="Y146" s="213" t="str">
        <f>IFERROR(__xludf.DUMMYFUNCTION("""COMPUTED_VALUE"""),"BRD")</f>
        <v>BRD</v>
      </c>
      <c r="Z146" s="215" t="str">
        <f>IFERROR(__xludf.DUMMYFUNCTION("""COMPUTED_VALUE"""),"https://lacasadelabalanzaperu.com/producto/balanza-gramera-brd-de-5-kilos/?srsltid=AfmBOoqESFO4ybWNXMKI8ni8CSFROATsEcEQxFdxgt7due_hwv2yVsh2")</f>
        <v>https://lacasadelabalanzaperu.com/producto/balanza-gramera-brd-de-5-kilos/?srsltid=AfmBOoqESFO4ybWNXMKI8ni8CSFROATsEcEQxFdxgt7due_hwv2yVsh2</v>
      </c>
      <c r="AA146" s="213" t="str">
        <f>IFERROR(__xludf.DUMMYFUNCTION("""COMPUTED_VALUE"""),"COM-108 BALANZA 5KG - CET")</f>
        <v>COM-108 BALANZA 5KG - CET</v>
      </c>
      <c r="AB146" s="213"/>
      <c r="AC146" s="213"/>
      <c r="AD146" s="213"/>
      <c r="AE146" s="213"/>
      <c r="AF146" s="213"/>
      <c r="AG146" s="213"/>
      <c r="AH146" s="213"/>
      <c r="AI146" s="213"/>
      <c r="AJ146" s="213"/>
      <c r="AK146" s="213"/>
      <c r="AL146" s="213"/>
      <c r="AM146" s="213"/>
      <c r="AN146" s="213"/>
      <c r="AO146" s="213"/>
      <c r="AP146" s="213" t="str">
        <f>IFERROR(__xludf.DUMMYFUNCTION("""COMPUTED_VALUE"""),"BRUNO")</f>
        <v>BRUNO</v>
      </c>
      <c r="AQ146" s="213" t="str">
        <f>IFERROR(__xludf.DUMMYFUNCTION("""COMPUTED_VALUE"""),"Funda, Pilas recargables y cargardor para las pilas")</f>
        <v>Funda, Pilas recargables y cargardor para las pilas</v>
      </c>
      <c r="AR146" s="213"/>
      <c r="AS146" s="213"/>
      <c r="AT146" s="213"/>
      <c r="AU146" s="213"/>
      <c r="AV146" s="213"/>
      <c r="AW146" s="213"/>
      <c r="AX146" s="213"/>
      <c r="AY146" s="213"/>
      <c r="AZ146" s="213"/>
      <c r="BA146" s="213"/>
      <c r="BB146" s="213"/>
      <c r="BC146" s="213"/>
      <c r="BD146" s="213"/>
    </row>
    <row r="147">
      <c r="A147" s="213">
        <f>IFERROR(__xludf.DUMMYFUNCTION("""COMPUTED_VALUE"""),1097.0)</f>
        <v>1097</v>
      </c>
      <c r="B147" s="213" t="str">
        <f>IFERROR(__xludf.DUMMYFUNCTION("""COMPUTED_VALUE"""),"FRANCISCO IRAZOLA")</f>
        <v>FRANCISCO IRAZOLA</v>
      </c>
      <c r="C147" s="213" t="str">
        <f>IFERROR(__xludf.DUMMYFUNCTION("""COMPUTED_VALUE"""),"TALLER SFT DE INDUSTRIA ALIMENTARIA")</f>
        <v>TALLER SFT DE INDUSTRIA ALIMENTARIA</v>
      </c>
      <c r="D147" s="213" t="str">
        <f>IFERROR(__xludf.DUMMYFUNCTION("""COMPUTED_VALUE"""),"EQUIPOS")</f>
        <v>EQUIPOS</v>
      </c>
      <c r="E147" s="213" t="str">
        <f>IFERROR(__xludf.DUMMYFUNCTION("""COMPUTED_VALUE"""),"COM-108")</f>
        <v>COM-108</v>
      </c>
      <c r="F147" s="213" t="str">
        <f>IFERROR(__xludf.DUMMYFUNCTION("""COMPUTED_VALUE"""),"COM-108")</f>
        <v>COM-108</v>
      </c>
      <c r="G147" s="213"/>
      <c r="H147" s="213" t="str">
        <f>IFERROR(__xludf.DUMMYFUNCTION("""COMPUTED_VALUE"""),"BALANZA 5KG")</f>
        <v>BALANZA 5KG</v>
      </c>
      <c r="I147" s="213" t="str">
        <f>IFERROR(__xludf.DUMMYFUNCTION("""COMPUTED_VALUE"""),"· Balanza electrónica digital
· Capacidad: máxima 5kg
· División: 1g
· Funciones de peso bruto, tara, cero.
. Pantalla: Mínimo LCD.
· Dimensiones aproximadas: 24x17x4cm.
· Bandeja redonda de 15cm de diámetro como mínimo.
. Sistema de batería recargable /c"&amp;"on cargador preparado para tomas de 220V/60HZ. Incluir funda protectora impermeable para su almacenamiento.")</f>
        <v>· Balanza electrónica digital
· Capacidad: máxima 5kg
· División: 1g
· Funciones de peso bruto, tara, cero.
. Pantalla: Mínimo LCD.
· Dimensiones aproximadas: 24x17x4cm.
· Bandeja redonda de 15cm de diámetro como mínimo.
. Sistema de batería recargable /con cargador preparado para tomas de 220V/60HZ. Incluir funda protectora impermeable para su almacenamiento.</v>
      </c>
      <c r="J147" s="213">
        <f>IFERROR(__xludf.DUMMYFUNCTION("""COMPUTED_VALUE"""),3.0)</f>
        <v>3</v>
      </c>
      <c r="K147" s="213" t="str">
        <f>IFERROR(__xludf.DUMMYFUNCTION("""COMPUTED_VALUE"""),"90 DÍAS CALENDARIO")</f>
        <v>90 DÍAS CALENDARIO</v>
      </c>
      <c r="L147" s="213" t="str">
        <f>IFERROR(__xludf.DUMMYFUNCTION("""COMPUTED_VALUE"""),"")</f>
        <v/>
      </c>
      <c r="M147" s="213">
        <f>IFERROR(__xludf.DUMMYFUNCTION("""COMPUTED_VALUE"""),1.0)</f>
        <v>1</v>
      </c>
      <c r="N147" s="213">
        <f>IFERROR(__xludf.DUMMYFUNCTION("""COMPUTED_VALUE"""),1.0)</f>
        <v>1</v>
      </c>
      <c r="O147" s="213">
        <f>IFERROR(__xludf.DUMMYFUNCTION("""COMPUTED_VALUE"""),1.0)</f>
        <v>1</v>
      </c>
      <c r="P147" s="213"/>
      <c r="Q147" s="213"/>
      <c r="R147" s="213"/>
      <c r="S147" s="213" t="str">
        <f>IFERROR(__xludf.DUMMYFUNCTION("""COMPUTED_VALUE"""),"SI")</f>
        <v>SI</v>
      </c>
      <c r="T147" s="213" t="str">
        <f>IFERROR(__xludf.DUMMYFUNCTION("""COMPUTED_VALUE"""),"SI")</f>
        <v>SI</v>
      </c>
      <c r="U147" s="213" t="str">
        <f>IFERROR(__xludf.DUMMYFUNCTION("""COMPUTED_VALUE"""),"SI")</f>
        <v>SI</v>
      </c>
      <c r="V147" s="213" t="str">
        <f>IFERROR(__xludf.DUMMYFUNCTION("""COMPUTED_VALUE"""),"-")</f>
        <v>-</v>
      </c>
      <c r="W147" s="213" t="str">
        <f>IFERROR(__xludf.DUMMYFUNCTION("""COMPUTED_VALUE"""),"-")</f>
        <v>-</v>
      </c>
      <c r="X147" s="213" t="str">
        <f>IFERROR(__xludf.DUMMYFUNCTION("""COMPUTED_VALUE"""),"Precisur")</f>
        <v>Precisur</v>
      </c>
      <c r="Y147" s="213" t="str">
        <f>IFERROR(__xludf.DUMMYFUNCTION("""COMPUTED_VALUE"""),"BRD")</f>
        <v>BRD</v>
      </c>
      <c r="Z147" s="215" t="str">
        <f>IFERROR(__xludf.DUMMYFUNCTION("""COMPUTED_VALUE"""),"https://lacasadelabalanzaperu.com/producto/balanza-gramera-brd-de-5-kilos/?srsltid=AfmBOoqESFO4ybWNXMKI8ni8CSFROATsEcEQxFdxgt7due_hwv2yVsh2")</f>
        <v>https://lacasadelabalanzaperu.com/producto/balanza-gramera-brd-de-5-kilos/?srsltid=AfmBOoqESFO4ybWNXMKI8ni8CSFROATsEcEQxFdxgt7due_hwv2yVsh2</v>
      </c>
      <c r="AA147" s="213" t="str">
        <f>IFERROR(__xludf.DUMMYFUNCTION("""COMPUTED_VALUE"""),"COM-108 BALANZA 5KG - CET")</f>
        <v>COM-108 BALANZA 5KG - CET</v>
      </c>
      <c r="AB147" s="213"/>
      <c r="AC147" s="213"/>
      <c r="AD147" s="213"/>
      <c r="AE147" s="213"/>
      <c r="AF147" s="213"/>
      <c r="AG147" s="213"/>
      <c r="AH147" s="213"/>
      <c r="AI147" s="213"/>
      <c r="AJ147" s="213"/>
      <c r="AK147" s="213"/>
      <c r="AL147" s="213"/>
      <c r="AM147" s="213"/>
      <c r="AN147" s="213"/>
      <c r="AO147" s="213"/>
      <c r="AP147" s="213" t="str">
        <f>IFERROR(__xludf.DUMMYFUNCTION("""COMPUTED_VALUE"""),"BRUNO")</f>
        <v>BRUNO</v>
      </c>
      <c r="AQ147" s="213" t="str">
        <f>IFERROR(__xludf.DUMMYFUNCTION("""COMPUTED_VALUE"""),"Funda, Pilas recargables y cargardor para las pilas")</f>
        <v>Funda, Pilas recargables y cargardor para las pilas</v>
      </c>
      <c r="AR147" s="213"/>
      <c r="AS147" s="213"/>
      <c r="AT147" s="213"/>
      <c r="AU147" s="213"/>
      <c r="AV147" s="213"/>
      <c r="AW147" s="213"/>
      <c r="AX147" s="213"/>
      <c r="AY147" s="213"/>
      <c r="AZ147" s="213"/>
      <c r="BA147" s="213"/>
      <c r="BB147" s="213"/>
      <c r="BC147" s="213"/>
      <c r="BD147" s="213"/>
    </row>
    <row r="148">
      <c r="A148" s="213">
        <f>IFERROR(__xludf.DUMMYFUNCTION("""COMPUTED_VALUE"""),1369.0)</f>
        <v>1369</v>
      </c>
      <c r="B148" s="213" t="str">
        <f>IFERROR(__xludf.DUMMYFUNCTION("""COMPUTED_VALUE"""),"GUILLERMO E. BILLINGHURST ")</f>
        <v>GUILLERMO E. BILLINGHURST </v>
      </c>
      <c r="C148" s="213" t="str">
        <f>IFERROR(__xludf.DUMMYFUNCTION("""COMPUTED_VALUE"""),"TALLER SFT DE INDUSTRIA ALIMENTARIA")</f>
        <v>TALLER SFT DE INDUSTRIA ALIMENTARIA</v>
      </c>
      <c r="D148" s="213" t="str">
        <f>IFERROR(__xludf.DUMMYFUNCTION("""COMPUTED_VALUE"""),"EQUIPOS")</f>
        <v>EQUIPOS</v>
      </c>
      <c r="E148" s="213" t="str">
        <f>IFERROR(__xludf.DUMMYFUNCTION("""COMPUTED_VALUE"""),"COM-108")</f>
        <v>COM-108</v>
      </c>
      <c r="F148" s="213" t="str">
        <f>IFERROR(__xludf.DUMMYFUNCTION("""COMPUTED_VALUE"""),"COM-108")</f>
        <v>COM-108</v>
      </c>
      <c r="G148" s="213"/>
      <c r="H148" s="213" t="str">
        <f>IFERROR(__xludf.DUMMYFUNCTION("""COMPUTED_VALUE"""),"BALANZA 5KG")</f>
        <v>BALANZA 5KG</v>
      </c>
      <c r="I148" s="213" t="str">
        <f>IFERROR(__xludf.DUMMYFUNCTION("""COMPUTED_VALUE"""),"· Balanza electrónica digital
· Capacidad: máxima 5kg
· División: 1g
· Funciones de peso bruto, tara, cero.
. Pantalla: Mínimo LCD.
· Dimensiones aproximadas: 24x17x4cm.
· Bandeja redonda de 15cm de diámetro como mínimo.
. Sistema de batería recargable /c"&amp;"on cargador preparado para tomas de 220V/60HZ. Incluir funda protectora impermeable para su almacenamiento.")</f>
        <v>· Balanza electrónica digital
· Capacidad: máxima 5kg
· División: 1g
· Funciones de peso bruto, tara, cero.
. Pantalla: Mínimo LCD.
· Dimensiones aproximadas: 24x17x4cm.
· Bandeja redonda de 15cm de diámetro como mínimo.
. Sistema de batería recargable /con cargador preparado para tomas de 220V/60HZ. Incluir funda protectora impermeable para su almacenamiento.</v>
      </c>
      <c r="J148" s="213">
        <f>IFERROR(__xludf.DUMMYFUNCTION("""COMPUTED_VALUE"""),3.0)</f>
        <v>3</v>
      </c>
      <c r="K148" s="213" t="str">
        <f>IFERROR(__xludf.DUMMYFUNCTION("""COMPUTED_VALUE"""),"90 DÍAS CALENDARIO")</f>
        <v>90 DÍAS CALENDARIO</v>
      </c>
      <c r="L148" s="213" t="str">
        <f>IFERROR(__xludf.DUMMYFUNCTION("""COMPUTED_VALUE"""),"")</f>
        <v/>
      </c>
      <c r="M148" s="213">
        <f>IFERROR(__xludf.DUMMYFUNCTION("""COMPUTED_VALUE"""),1.0)</f>
        <v>1</v>
      </c>
      <c r="N148" s="213">
        <f>IFERROR(__xludf.DUMMYFUNCTION("""COMPUTED_VALUE"""),1.0)</f>
        <v>1</v>
      </c>
      <c r="O148" s="213">
        <f>IFERROR(__xludf.DUMMYFUNCTION("""COMPUTED_VALUE"""),1.0)</f>
        <v>1</v>
      </c>
      <c r="P148" s="213"/>
      <c r="Q148" s="213"/>
      <c r="R148" s="213"/>
      <c r="S148" s="213" t="str">
        <f>IFERROR(__xludf.DUMMYFUNCTION("""COMPUTED_VALUE"""),"SI")</f>
        <v>SI</v>
      </c>
      <c r="T148" s="213" t="str">
        <f>IFERROR(__xludf.DUMMYFUNCTION("""COMPUTED_VALUE"""),"SI")</f>
        <v>SI</v>
      </c>
      <c r="U148" s="213" t="str">
        <f>IFERROR(__xludf.DUMMYFUNCTION("""COMPUTED_VALUE"""),"SI")</f>
        <v>SI</v>
      </c>
      <c r="V148" s="213" t="str">
        <f>IFERROR(__xludf.DUMMYFUNCTION("""COMPUTED_VALUE"""),"-")</f>
        <v>-</v>
      </c>
      <c r="W148" s="213" t="str">
        <f>IFERROR(__xludf.DUMMYFUNCTION("""COMPUTED_VALUE"""),"-")</f>
        <v>-</v>
      </c>
      <c r="X148" s="213" t="str">
        <f>IFERROR(__xludf.DUMMYFUNCTION("""COMPUTED_VALUE"""),"Precisur")</f>
        <v>Precisur</v>
      </c>
      <c r="Y148" s="213" t="str">
        <f>IFERROR(__xludf.DUMMYFUNCTION("""COMPUTED_VALUE"""),"BRD")</f>
        <v>BRD</v>
      </c>
      <c r="Z148" s="215" t="str">
        <f>IFERROR(__xludf.DUMMYFUNCTION("""COMPUTED_VALUE"""),"https://lacasadelabalanzaperu.com/producto/balanza-gramera-brd-de-5-kilos/?srsltid=AfmBOoqESFO4ybWNXMKI8ni8CSFROATsEcEQxFdxgt7due_hwv2yVsh2")</f>
        <v>https://lacasadelabalanzaperu.com/producto/balanza-gramera-brd-de-5-kilos/?srsltid=AfmBOoqESFO4ybWNXMKI8ni8CSFROATsEcEQxFdxgt7due_hwv2yVsh2</v>
      </c>
      <c r="AA148" s="213" t="str">
        <f>IFERROR(__xludf.DUMMYFUNCTION("""COMPUTED_VALUE"""),"COM-108 BALANZA 5KG - CET")</f>
        <v>COM-108 BALANZA 5KG - CET</v>
      </c>
      <c r="AB148" s="213"/>
      <c r="AC148" s="213"/>
      <c r="AD148" s="213"/>
      <c r="AE148" s="213"/>
      <c r="AF148" s="213"/>
      <c r="AG148" s="213"/>
      <c r="AH148" s="213"/>
      <c r="AI148" s="213"/>
      <c r="AJ148" s="213"/>
      <c r="AK148" s="213"/>
      <c r="AL148" s="213"/>
      <c r="AM148" s="213"/>
      <c r="AN148" s="213"/>
      <c r="AO148" s="213"/>
      <c r="AP148" s="213" t="str">
        <f>IFERROR(__xludf.DUMMYFUNCTION("""COMPUTED_VALUE"""),"BRUNO")</f>
        <v>BRUNO</v>
      </c>
      <c r="AQ148" s="213" t="str">
        <f>IFERROR(__xludf.DUMMYFUNCTION("""COMPUTED_VALUE"""),"Funda, Pilas recargables y cargardor para las pilas")</f>
        <v>Funda, Pilas recargables y cargardor para las pilas</v>
      </c>
      <c r="AR148" s="213"/>
      <c r="AS148" s="213"/>
      <c r="AT148" s="213"/>
      <c r="AU148" s="213"/>
      <c r="AV148" s="213"/>
      <c r="AW148" s="213"/>
      <c r="AX148" s="213"/>
      <c r="AY148" s="213"/>
      <c r="AZ148" s="213"/>
      <c r="BA148" s="213"/>
      <c r="BB148" s="213"/>
      <c r="BC148" s="213"/>
      <c r="BD148" s="213"/>
    </row>
    <row r="149">
      <c r="A149" s="213">
        <f>IFERROR(__xludf.DUMMYFUNCTION("""COMPUTED_VALUE"""),2056.0)</f>
        <v>2056</v>
      </c>
      <c r="B149" s="213" t="str">
        <f>IFERROR(__xludf.DUMMYFUNCTION("""COMPUTED_VALUE"""),"JOSE GRANDA")</f>
        <v>JOSE GRANDA</v>
      </c>
      <c r="C149" s="213" t="str">
        <f>IFERROR(__xludf.DUMMYFUNCTION("""COMPUTED_VALUE"""),"TALLER SFT DE INDUSTRIA ALIMENTARIA")</f>
        <v>TALLER SFT DE INDUSTRIA ALIMENTARIA</v>
      </c>
      <c r="D149" s="213" t="str">
        <f>IFERROR(__xludf.DUMMYFUNCTION("""COMPUTED_VALUE"""),"EQUIPOS")</f>
        <v>EQUIPOS</v>
      </c>
      <c r="E149" s="213" t="str">
        <f>IFERROR(__xludf.DUMMYFUNCTION("""COMPUTED_VALUE"""),"COM-108")</f>
        <v>COM-108</v>
      </c>
      <c r="F149" s="213" t="str">
        <f>IFERROR(__xludf.DUMMYFUNCTION("""COMPUTED_VALUE"""),"COM-108")</f>
        <v>COM-108</v>
      </c>
      <c r="G149" s="213"/>
      <c r="H149" s="213" t="str">
        <f>IFERROR(__xludf.DUMMYFUNCTION("""COMPUTED_VALUE"""),"BALANZA 5KG")</f>
        <v>BALANZA 5KG</v>
      </c>
      <c r="I149" s="213" t="str">
        <f>IFERROR(__xludf.DUMMYFUNCTION("""COMPUTED_VALUE"""),"· Balanza electrónica digital
· Capacidad: máxima 5kg
· División: 1g
· Funciones de peso bruto, tara, cero.
. Pantalla: Mínimo LCD.
· Dimensiones aproximadas: 24x17x4cm.
· Bandeja redonda de 15cm de diámetro como mínimo.
. Sistema de batería recargable /c"&amp;"on cargador preparado para tomas de 220V/60HZ. Incluir funda protectora impermeable para su almacenamiento.")</f>
        <v>· Balanza electrónica digital
· Capacidad: máxima 5kg
· División: 1g
· Funciones de peso bruto, tara, cero.
. Pantalla: Mínimo LCD.
· Dimensiones aproximadas: 24x17x4cm.
· Bandeja redonda de 15cm de diámetro como mínimo.
. Sistema de batería recargable /con cargador preparado para tomas de 220V/60HZ. Incluir funda protectora impermeable para su almacenamiento.</v>
      </c>
      <c r="J149" s="213">
        <f>IFERROR(__xludf.DUMMYFUNCTION("""COMPUTED_VALUE"""),3.0)</f>
        <v>3</v>
      </c>
      <c r="K149" s="213" t="str">
        <f>IFERROR(__xludf.DUMMYFUNCTION("""COMPUTED_VALUE"""),"90 DÍAS CALENDARIO")</f>
        <v>90 DÍAS CALENDARIO</v>
      </c>
      <c r="L149" s="213" t="str">
        <f>IFERROR(__xludf.DUMMYFUNCTION("""COMPUTED_VALUE"""),"")</f>
        <v/>
      </c>
      <c r="M149" s="213">
        <f>IFERROR(__xludf.DUMMYFUNCTION("""COMPUTED_VALUE"""),1.0)</f>
        <v>1</v>
      </c>
      <c r="N149" s="213">
        <f>IFERROR(__xludf.DUMMYFUNCTION("""COMPUTED_VALUE"""),1.0)</f>
        <v>1</v>
      </c>
      <c r="O149" s="213">
        <f>IFERROR(__xludf.DUMMYFUNCTION("""COMPUTED_VALUE"""),1.0)</f>
        <v>1</v>
      </c>
      <c r="P149" s="213"/>
      <c r="Q149" s="213"/>
      <c r="R149" s="213"/>
      <c r="S149" s="213" t="str">
        <f>IFERROR(__xludf.DUMMYFUNCTION("""COMPUTED_VALUE"""),"SI")</f>
        <v>SI</v>
      </c>
      <c r="T149" s="213" t="str">
        <f>IFERROR(__xludf.DUMMYFUNCTION("""COMPUTED_VALUE"""),"SI")</f>
        <v>SI</v>
      </c>
      <c r="U149" s="213" t="str">
        <f>IFERROR(__xludf.DUMMYFUNCTION("""COMPUTED_VALUE"""),"SI")</f>
        <v>SI</v>
      </c>
      <c r="V149" s="213" t="str">
        <f>IFERROR(__xludf.DUMMYFUNCTION("""COMPUTED_VALUE"""),"-")</f>
        <v>-</v>
      </c>
      <c r="W149" s="213" t="str">
        <f>IFERROR(__xludf.DUMMYFUNCTION("""COMPUTED_VALUE"""),"-")</f>
        <v>-</v>
      </c>
      <c r="X149" s="213" t="str">
        <f>IFERROR(__xludf.DUMMYFUNCTION("""COMPUTED_VALUE"""),"Precisur")</f>
        <v>Precisur</v>
      </c>
      <c r="Y149" s="213" t="str">
        <f>IFERROR(__xludf.DUMMYFUNCTION("""COMPUTED_VALUE"""),"BRD")</f>
        <v>BRD</v>
      </c>
      <c r="Z149" s="215" t="str">
        <f>IFERROR(__xludf.DUMMYFUNCTION("""COMPUTED_VALUE"""),"https://lacasadelabalanzaperu.com/producto/balanza-gramera-brd-de-5-kilos/?srsltid=AfmBOoqESFO4ybWNXMKI8ni8CSFROATsEcEQxFdxgt7due_hwv2yVsh2")</f>
        <v>https://lacasadelabalanzaperu.com/producto/balanza-gramera-brd-de-5-kilos/?srsltid=AfmBOoqESFO4ybWNXMKI8ni8CSFROATsEcEQxFdxgt7due_hwv2yVsh2</v>
      </c>
      <c r="AA149" s="213" t="str">
        <f>IFERROR(__xludf.DUMMYFUNCTION("""COMPUTED_VALUE"""),"COM-108 BALANZA 5KG - CET")</f>
        <v>COM-108 BALANZA 5KG - CET</v>
      </c>
      <c r="AB149" s="213"/>
      <c r="AC149" s="213"/>
      <c r="AD149" s="213"/>
      <c r="AE149" s="213"/>
      <c r="AF149" s="213"/>
      <c r="AG149" s="213"/>
      <c r="AH149" s="213"/>
      <c r="AI149" s="213"/>
      <c r="AJ149" s="213"/>
      <c r="AK149" s="213"/>
      <c r="AL149" s="213"/>
      <c r="AM149" s="213"/>
      <c r="AN149" s="213"/>
      <c r="AO149" s="213"/>
      <c r="AP149" s="213" t="str">
        <f>IFERROR(__xludf.DUMMYFUNCTION("""COMPUTED_VALUE"""),"BRUNO")</f>
        <v>BRUNO</v>
      </c>
      <c r="AQ149" s="213" t="str">
        <f>IFERROR(__xludf.DUMMYFUNCTION("""COMPUTED_VALUE"""),"Funda, Pilas recargables y cargardor para las pilas")</f>
        <v>Funda, Pilas recargables y cargardor para las pilas</v>
      </c>
      <c r="AR149" s="213"/>
      <c r="AS149" s="213"/>
      <c r="AT149" s="213"/>
      <c r="AU149" s="213"/>
      <c r="AV149" s="213"/>
      <c r="AW149" s="213"/>
      <c r="AX149" s="213"/>
      <c r="AY149" s="213"/>
      <c r="AZ149" s="213"/>
      <c r="BA149" s="213"/>
      <c r="BB149" s="213"/>
      <c r="BC149" s="213"/>
      <c r="BD149" s="213"/>
    </row>
    <row r="150">
      <c r="A150" s="213">
        <f>IFERROR(__xludf.DUMMYFUNCTION("""COMPUTED_VALUE"""),21.0)</f>
        <v>21</v>
      </c>
      <c r="B150" s="213" t="str">
        <f>IFERROR(__xludf.DUMMYFUNCTION("""COMPUTED_VALUE"""),"16449 ELOY SOBERON  FLORES")</f>
        <v>16449 ELOY SOBERON  FLORES</v>
      </c>
      <c r="C150" s="213" t="str">
        <f>IFERROR(__xludf.DUMMYFUNCTION("""COMPUTED_VALUE"""),"TALLER SFT DE COCINA Y REPOSTERÍA")</f>
        <v>TALLER SFT DE COCINA Y REPOSTERÍA</v>
      </c>
      <c r="D150" s="213" t="str">
        <f>IFERROR(__xludf.DUMMYFUNCTION("""COMPUTED_VALUE"""),"EQUIPOS")</f>
        <v>EQUIPOS</v>
      </c>
      <c r="E150" s="213" t="str">
        <f>IFERROR(__xludf.DUMMYFUNCTION("""COMPUTED_VALUE"""),"COM-110")</f>
        <v>COM-110</v>
      </c>
      <c r="F150" s="213" t="str">
        <f>IFERROR(__xludf.DUMMYFUNCTION("""COMPUTED_VALUE"""),"COM-110-X")</f>
        <v>COM-110-X</v>
      </c>
      <c r="G150" s="213"/>
      <c r="H150" s="213" t="str">
        <f>IFERROR(__xludf.DUMMYFUNCTION("""COMPUTED_VALUE"""),"BALANZA DIGITAL")</f>
        <v>BALANZA DIGITAL</v>
      </c>
      <c r="I150" s="213" t="str">
        <f>IFERROR(__xludf.DUMMYFUNCTION("""COMPUTED_VALUE"""),".  Balanza electrónica digital con torre de mesa
.  Capacidad: máxima 40kg
.  División: 5g o inferior
.  Funciones de peso bruto, tara, cero.
.  Pantalla: Cristal Líquido con luz de fondo verde
.  Conectividad: USB
.  Alimentación: 220VAC / 60 HZ y Baterí"&amp;"a Recargable aproximadamente 100 horas de duración.
· Plato mínimo: 29 cm x 35 cm.
· Accesorios: 01 cable cargador Powers.
. Incluye funda protectora impermeable para su almacenamiento.")</f>
        <v>.  Balanza electrónica digital con torre de mesa
.  Capacidad: máxima 40kg
.  División: 5g o inferior
.  Funciones de peso bruto, tara, cero.
.  Pantalla: Cristal Líquido con luz de fondo verde
.  Conectividad: USB
.  Alimentación: 220VAC / 60 HZ y Batería Recargable aproximadamente 100 horas de duración.
· Plato mínimo: 29 cm x 35 cm.
· Accesorios: 01 cable cargador Powers.
. Incluye funda protectora impermeable para su almacenamiento.</v>
      </c>
      <c r="J150" s="213">
        <f>IFERROR(__xludf.DUMMYFUNCTION("""COMPUTED_VALUE"""),3.0)</f>
        <v>3</v>
      </c>
      <c r="K150" s="213" t="str">
        <f>IFERROR(__xludf.DUMMYFUNCTION("""COMPUTED_VALUE"""),"90 DÍAS CALENDARIO")</f>
        <v>90 DÍAS CALENDARIO</v>
      </c>
      <c r="L150" s="213" t="str">
        <f>IFERROR(__xludf.DUMMYFUNCTION("""COMPUTED_VALUE"""),"")</f>
        <v/>
      </c>
      <c r="M150" s="213">
        <f>IFERROR(__xludf.DUMMYFUNCTION("""COMPUTED_VALUE"""),1.0)</f>
        <v>1</v>
      </c>
      <c r="N150" s="213">
        <f>IFERROR(__xludf.DUMMYFUNCTION("""COMPUTED_VALUE"""),1.0)</f>
        <v>1</v>
      </c>
      <c r="O150" s="213">
        <f>IFERROR(__xludf.DUMMYFUNCTION("""COMPUTED_VALUE"""),1.0)</f>
        <v>1</v>
      </c>
      <c r="P150" s="213"/>
      <c r="Q150" s="213"/>
      <c r="R150" s="213"/>
      <c r="S150" s="213" t="str">
        <f>IFERROR(__xludf.DUMMYFUNCTION("""COMPUTED_VALUE"""),"SI")</f>
        <v>SI</v>
      </c>
      <c r="T150" s="213" t="str">
        <f>IFERROR(__xludf.DUMMYFUNCTION("""COMPUTED_VALUE"""),"SI")</f>
        <v>SI</v>
      </c>
      <c r="U150" s="213" t="str">
        <f>IFERROR(__xludf.DUMMYFUNCTION("""COMPUTED_VALUE"""),"SI")</f>
        <v>SI</v>
      </c>
      <c r="V150" s="213" t="str">
        <f>IFERROR(__xludf.DUMMYFUNCTION("""COMPUTED_VALUE"""),"-")</f>
        <v>-</v>
      </c>
      <c r="W150" s="213" t="str">
        <f>IFERROR(__xludf.DUMMYFUNCTION("""COMPUTED_VALUE"""),"-")</f>
        <v>-</v>
      </c>
      <c r="X150" s="213" t="str">
        <f>IFERROR(__xludf.DUMMYFUNCTION("""COMPUTED_VALUE"""),"Torrey")</f>
        <v>Torrey</v>
      </c>
      <c r="Y150" s="213" t="str">
        <f>IFERROR(__xludf.DUMMYFUNCTION("""COMPUTED_VALUE"""),"PCR – 40T")</f>
        <v>PCR – 40T</v>
      </c>
      <c r="Z150" s="215" t="str">
        <f>IFERROR(__xludf.DUMMYFUNCTION("""COMPUTED_VALUE"""),"https://balanzasprecisur.com/balanzas-comerciales/balanza-torrey-pcr-40t-de-40-kilos/")</f>
        <v>https://balanzasprecisur.com/balanzas-comerciales/balanza-torrey-pcr-40t-de-40-kilos/</v>
      </c>
      <c r="AA150" s="213" t="str">
        <f>IFERROR(__xludf.DUMMYFUNCTION("""COMPUTED_VALUE"""),"COM-110-X BALANZA DIGITAL - CET")</f>
        <v>COM-110-X BALANZA DIGITAL - CET</v>
      </c>
      <c r="AB150" s="213"/>
      <c r="AC150" s="213"/>
      <c r="AD150" s="213"/>
      <c r="AE150" s="213"/>
      <c r="AF150" s="213"/>
      <c r="AG150" s="213"/>
      <c r="AH150" s="213"/>
      <c r="AI150" s="213"/>
      <c r="AJ150" s="213"/>
      <c r="AK150" s="213"/>
      <c r="AL150" s="213"/>
      <c r="AM150" s="213"/>
      <c r="AN150" s="213"/>
      <c r="AO150" s="213"/>
      <c r="AP150" s="213" t="str">
        <f>IFERROR(__xludf.DUMMYFUNCTION("""COMPUTED_VALUE"""),"BRUNO")</f>
        <v>BRUNO</v>
      </c>
      <c r="AQ150" s="213"/>
      <c r="AR150" s="213"/>
      <c r="AS150" s="213"/>
      <c r="AT150" s="213"/>
      <c r="AU150" s="213"/>
      <c r="AV150" s="213"/>
      <c r="AW150" s="213"/>
      <c r="AX150" s="213"/>
      <c r="AY150" s="213"/>
      <c r="AZ150" s="213"/>
      <c r="BA150" s="213"/>
      <c r="BB150" s="213"/>
      <c r="BC150" s="213"/>
      <c r="BD150" s="213"/>
    </row>
    <row r="151">
      <c r="A151" s="213">
        <f>IFERROR(__xludf.DUMMYFUNCTION("""COMPUTED_VALUE"""),441.0)</f>
        <v>441</v>
      </c>
      <c r="B151" s="213" t="str">
        <f>IFERROR(__xludf.DUMMYFUNCTION("""COMPUTED_VALUE"""),"2026 SIMON BOLIVAR")</f>
        <v>2026 SIMON BOLIVAR</v>
      </c>
      <c r="C151" s="213" t="str">
        <f>IFERROR(__xludf.DUMMYFUNCTION("""COMPUTED_VALUE"""),"TALLER SFT DE INDUSTRIA ALIMENTARIA")</f>
        <v>TALLER SFT DE INDUSTRIA ALIMENTARIA</v>
      </c>
      <c r="D151" s="213" t="str">
        <f>IFERROR(__xludf.DUMMYFUNCTION("""COMPUTED_VALUE"""),"EQUIPOS")</f>
        <v>EQUIPOS</v>
      </c>
      <c r="E151" s="213" t="str">
        <f>IFERROR(__xludf.DUMMYFUNCTION("""COMPUTED_VALUE"""),"COM-110")</f>
        <v>COM-110</v>
      </c>
      <c r="F151" s="213" t="str">
        <f>IFERROR(__xludf.DUMMYFUNCTION("""COMPUTED_VALUE"""),"COM-110-Y")</f>
        <v>COM-110-Y</v>
      </c>
      <c r="G151" s="213"/>
      <c r="H151" s="213" t="str">
        <f>IFERROR(__xludf.DUMMYFUNCTION("""COMPUTED_VALUE"""),"BALANZA DIGITAL")</f>
        <v>BALANZA DIGITAL</v>
      </c>
      <c r="I151" s="213" t="str">
        <f>IFERROR(__xludf.DUMMYFUNCTION("""COMPUTED_VALUE"""),"Balanza electrónica digital con torre de mesa.
· Capacidad: máxima 40kg.
· División: 5g o inferior.
· Funciones de peso bruto, tara, cero.
· Pantalla: Mínimo LCD.
· Conectividad: USB
· Alimentación: 220VAC/60 HZ y Batería Recargable aproximadamente 100 ho"&amp;"ras de duración.
· Plato mínimo: 29 cm x 35 cm.
· Accesorios: 01 cable cargador Powers.
· Medidas aproximadas: L35 cm x A35 cm x H15 cm (Altura de Torreta 35 cm).
. Incluye funda protectora impermeable para su almacenamiento.")</f>
        <v>Balanza electrónica digital con torre de mesa.
· Capacidad: máxima 40kg.
· División: 5g o inferior.
· Funciones de peso bruto, tara, cero.
· Pantalla: Mínimo LCD.
· Conectividad: USB
· Alimentación: 220VAC/60 HZ y Batería Recargable aproximadamente 100 horas de duración.
· Plato mínimo: 29 cm x 35 cm.
· Accesorios: 01 cable cargador Powers.
· Medidas aproximadas: L35 cm x A35 cm x H15 cm (Altura de Torreta 35 cm).
. Incluye funda protectora impermeable para su almacenamiento.</v>
      </c>
      <c r="J151" s="213">
        <f>IFERROR(__xludf.DUMMYFUNCTION("""COMPUTED_VALUE"""),3.0)</f>
        <v>3</v>
      </c>
      <c r="K151" s="213" t="str">
        <f>IFERROR(__xludf.DUMMYFUNCTION("""COMPUTED_VALUE"""),"90 DÍAS CALENDARIO")</f>
        <v>90 DÍAS CALENDARIO</v>
      </c>
      <c r="L151" s="213" t="str">
        <f>IFERROR(__xludf.DUMMYFUNCTION("""COMPUTED_VALUE"""),"")</f>
        <v/>
      </c>
      <c r="M151" s="213">
        <f>IFERROR(__xludf.DUMMYFUNCTION("""COMPUTED_VALUE"""),1.0)</f>
        <v>1</v>
      </c>
      <c r="N151" s="213">
        <f>IFERROR(__xludf.DUMMYFUNCTION("""COMPUTED_VALUE"""),1.0)</f>
        <v>1</v>
      </c>
      <c r="O151" s="213">
        <f>IFERROR(__xludf.DUMMYFUNCTION("""COMPUTED_VALUE"""),1.0)</f>
        <v>1</v>
      </c>
      <c r="P151" s="213"/>
      <c r="Q151" s="213"/>
      <c r="R151" s="213"/>
      <c r="S151" s="213" t="str">
        <f>IFERROR(__xludf.DUMMYFUNCTION("""COMPUTED_VALUE"""),"SI")</f>
        <v>SI</v>
      </c>
      <c r="T151" s="213" t="str">
        <f>IFERROR(__xludf.DUMMYFUNCTION("""COMPUTED_VALUE"""),"SI")</f>
        <v>SI</v>
      </c>
      <c r="U151" s="213" t="str">
        <f>IFERROR(__xludf.DUMMYFUNCTION("""COMPUTED_VALUE"""),"SI")</f>
        <v>SI</v>
      </c>
      <c r="V151" s="213" t="str">
        <f>IFERROR(__xludf.DUMMYFUNCTION("""COMPUTED_VALUE"""),"-")</f>
        <v>-</v>
      </c>
      <c r="W151" s="213" t="str">
        <f>IFERROR(__xludf.DUMMYFUNCTION("""COMPUTED_VALUE"""),"-")</f>
        <v>-</v>
      </c>
      <c r="X151" s="213" t="str">
        <f>IFERROR(__xludf.DUMMYFUNCTION("""COMPUTED_VALUE"""),"Torrey")</f>
        <v>Torrey</v>
      </c>
      <c r="Y151" s="213" t="str">
        <f>IFERROR(__xludf.DUMMYFUNCTION("""COMPUTED_VALUE"""),"PCR – 40T")</f>
        <v>PCR – 40T</v>
      </c>
      <c r="Z151" s="215" t="str">
        <f>IFERROR(__xludf.DUMMYFUNCTION("""COMPUTED_VALUE"""),"https://balanzasprecisur.com/balanzas-comerciales/balanza-torrey-pcr-40t-de-40-kilos/")</f>
        <v>https://balanzasprecisur.com/balanzas-comerciales/balanza-torrey-pcr-40t-de-40-kilos/</v>
      </c>
      <c r="AA151" s="213" t="str">
        <f>IFERROR(__xludf.DUMMYFUNCTION("""COMPUTED_VALUE"""),"COM-110-Y BALANZA DIGITAL - CET")</f>
        <v>COM-110-Y BALANZA DIGITAL - CET</v>
      </c>
      <c r="AB151" s="213"/>
      <c r="AC151" s="213"/>
      <c r="AD151" s="213"/>
      <c r="AE151" s="213"/>
      <c r="AF151" s="213"/>
      <c r="AG151" s="213"/>
      <c r="AH151" s="213"/>
      <c r="AI151" s="213"/>
      <c r="AJ151" s="213"/>
      <c r="AK151" s="213"/>
      <c r="AL151" s="213"/>
      <c r="AM151" s="213"/>
      <c r="AN151" s="213"/>
      <c r="AO151" s="213"/>
      <c r="AP151" s="213" t="str">
        <f>IFERROR(__xludf.DUMMYFUNCTION("""COMPUTED_VALUE"""),"BRUNO")</f>
        <v>BRUNO</v>
      </c>
      <c r="AQ151" s="213"/>
      <c r="AR151" s="213"/>
      <c r="AS151" s="213"/>
      <c r="AT151" s="213"/>
      <c r="AU151" s="213"/>
      <c r="AV151" s="213"/>
      <c r="AW151" s="213"/>
      <c r="AX151" s="213"/>
      <c r="AY151" s="213"/>
      <c r="AZ151" s="213"/>
      <c r="BA151" s="213"/>
      <c r="BB151" s="213"/>
      <c r="BC151" s="213"/>
      <c r="BD151" s="213"/>
    </row>
    <row r="152">
      <c r="A152" s="213">
        <f>IFERROR(__xludf.DUMMYFUNCTION("""COMPUTED_VALUE"""),526.0)</f>
        <v>526</v>
      </c>
      <c r="B152" s="213" t="str">
        <f>IFERROR(__xludf.DUMMYFUNCTION("""COMPUTED_VALUE"""),"2026 SIMON BOLIVAR")</f>
        <v>2026 SIMON BOLIVAR</v>
      </c>
      <c r="C152" s="213" t="str">
        <f>IFERROR(__xludf.DUMMYFUNCTION("""COMPUTED_VALUE"""),"TALLER SFT DE INDUSTRIA ALIMENTARIA")</f>
        <v>TALLER SFT DE INDUSTRIA ALIMENTARIA</v>
      </c>
      <c r="D152" s="213" t="str">
        <f>IFERROR(__xludf.DUMMYFUNCTION("""COMPUTED_VALUE"""),"EQUIPOS")</f>
        <v>EQUIPOS</v>
      </c>
      <c r="E152" s="213" t="str">
        <f>IFERROR(__xludf.DUMMYFUNCTION("""COMPUTED_VALUE"""),"COM-110")</f>
        <v>COM-110</v>
      </c>
      <c r="F152" s="213" t="str">
        <f>IFERROR(__xludf.DUMMYFUNCTION("""COMPUTED_VALUE"""),"COM-110-Y")</f>
        <v>COM-110-Y</v>
      </c>
      <c r="G152" s="213"/>
      <c r="H152" s="213" t="str">
        <f>IFERROR(__xludf.DUMMYFUNCTION("""COMPUTED_VALUE"""),"BALANZA DIGITAL")</f>
        <v>BALANZA DIGITAL</v>
      </c>
      <c r="I152" s="213" t="str">
        <f>IFERROR(__xludf.DUMMYFUNCTION("""COMPUTED_VALUE"""),"Balanza electrónica digital con torre de mesa.
· Capacidad: máxima 40kg.
· División: 5g o inferior.
· Funciones de peso bruto, tara, cero.
· Pantalla: Mínimo LCD.
· Conectividad: USB
· Alimentación: 220VAC/60 HZ y Batería Recargable aproximadamente 100 ho"&amp;"ras de duración.
· Plato mínimo: 29 cm x 35 cm.
· Accesorios: 01 cable cargador Powers.
· Medidas aproximadas: L35 cm x A35 cm x H15 cm (Altura de Torreta 35 cm).
. Incluye funda protectora impermeable para su almacenamiento.")</f>
        <v>Balanza electrónica digital con torre de mesa.
· Capacidad: máxima 40kg.
· División: 5g o inferior.
· Funciones de peso bruto, tara, cero.
· Pantalla: Mínimo LCD.
· Conectividad: USB
· Alimentación: 220VAC/60 HZ y Batería Recargable aproximadamente 100 horas de duración.
· Plato mínimo: 29 cm x 35 cm.
· Accesorios: 01 cable cargador Powers.
· Medidas aproximadas: L35 cm x A35 cm x H15 cm (Altura de Torreta 35 cm).
. Incluye funda protectora impermeable para su almacenamiento.</v>
      </c>
      <c r="J152" s="213">
        <f>IFERROR(__xludf.DUMMYFUNCTION("""COMPUTED_VALUE"""),3.0)</f>
        <v>3</v>
      </c>
      <c r="K152" s="213" t="str">
        <f>IFERROR(__xludf.DUMMYFUNCTION("""COMPUTED_VALUE"""),"90 DÍAS CALENDARIO")</f>
        <v>90 DÍAS CALENDARIO</v>
      </c>
      <c r="L152" s="213" t="str">
        <f>IFERROR(__xludf.DUMMYFUNCTION("""COMPUTED_VALUE"""),"")</f>
        <v/>
      </c>
      <c r="M152" s="213">
        <f>IFERROR(__xludf.DUMMYFUNCTION("""COMPUTED_VALUE"""),1.0)</f>
        <v>1</v>
      </c>
      <c r="N152" s="213">
        <f>IFERROR(__xludf.DUMMYFUNCTION("""COMPUTED_VALUE"""),1.0)</f>
        <v>1</v>
      </c>
      <c r="O152" s="213">
        <f>IFERROR(__xludf.DUMMYFUNCTION("""COMPUTED_VALUE"""),1.0)</f>
        <v>1</v>
      </c>
      <c r="P152" s="213"/>
      <c r="Q152" s="213"/>
      <c r="R152" s="213"/>
      <c r="S152" s="213" t="str">
        <f>IFERROR(__xludf.DUMMYFUNCTION("""COMPUTED_VALUE"""),"SI")</f>
        <v>SI</v>
      </c>
      <c r="T152" s="213" t="str">
        <f>IFERROR(__xludf.DUMMYFUNCTION("""COMPUTED_VALUE"""),"SI")</f>
        <v>SI</v>
      </c>
      <c r="U152" s="213" t="str">
        <f>IFERROR(__xludf.DUMMYFUNCTION("""COMPUTED_VALUE"""),"SI")</f>
        <v>SI</v>
      </c>
      <c r="V152" s="213" t="str">
        <f>IFERROR(__xludf.DUMMYFUNCTION("""COMPUTED_VALUE"""),"-")</f>
        <v>-</v>
      </c>
      <c r="W152" s="213" t="str">
        <f>IFERROR(__xludf.DUMMYFUNCTION("""COMPUTED_VALUE"""),"-")</f>
        <v>-</v>
      </c>
      <c r="X152" s="213" t="str">
        <f>IFERROR(__xludf.DUMMYFUNCTION("""COMPUTED_VALUE"""),"Torrey")</f>
        <v>Torrey</v>
      </c>
      <c r="Y152" s="213" t="str">
        <f>IFERROR(__xludf.DUMMYFUNCTION("""COMPUTED_VALUE"""),"PCR – 40T")</f>
        <v>PCR – 40T</v>
      </c>
      <c r="Z152" s="215" t="str">
        <f>IFERROR(__xludf.DUMMYFUNCTION("""COMPUTED_VALUE"""),"https://balanzasprecisur.com/balanzas-comerciales/balanza-torrey-pcr-40t-de-40-kilos/")</f>
        <v>https://balanzasprecisur.com/balanzas-comerciales/balanza-torrey-pcr-40t-de-40-kilos/</v>
      </c>
      <c r="AA152" s="213" t="str">
        <f>IFERROR(__xludf.DUMMYFUNCTION("""COMPUTED_VALUE"""),"COM-110-Y BALANZA DIGITAL - CET")</f>
        <v>COM-110-Y BALANZA DIGITAL - CET</v>
      </c>
      <c r="AB152" s="213"/>
      <c r="AC152" s="213"/>
      <c r="AD152" s="213"/>
      <c r="AE152" s="213"/>
      <c r="AF152" s="213"/>
      <c r="AG152" s="213"/>
      <c r="AH152" s="213"/>
      <c r="AI152" s="213"/>
      <c r="AJ152" s="213"/>
      <c r="AK152" s="213"/>
      <c r="AL152" s="213"/>
      <c r="AM152" s="213"/>
      <c r="AN152" s="213"/>
      <c r="AO152" s="213"/>
      <c r="AP152" s="213" t="str">
        <f>IFERROR(__xludf.DUMMYFUNCTION("""COMPUTED_VALUE"""),"BRUNO")</f>
        <v>BRUNO</v>
      </c>
      <c r="AQ152" s="213"/>
      <c r="AR152" s="213"/>
      <c r="AS152" s="213"/>
      <c r="AT152" s="213"/>
      <c r="AU152" s="213"/>
      <c r="AV152" s="213"/>
      <c r="AW152" s="213"/>
      <c r="AX152" s="213"/>
      <c r="AY152" s="213"/>
      <c r="AZ152" s="213"/>
      <c r="BA152" s="213"/>
      <c r="BB152" s="213"/>
      <c r="BC152" s="213"/>
      <c r="BD152" s="213"/>
    </row>
    <row r="153">
      <c r="A153" s="213">
        <f>IFERROR(__xludf.DUMMYFUNCTION("""COMPUTED_VALUE"""),1071.0)</f>
        <v>1071</v>
      </c>
      <c r="B153" s="213" t="str">
        <f>IFERROR(__xludf.DUMMYFUNCTION("""COMPUTED_VALUE"""),"FRANCISCO IRAZOLA")</f>
        <v>FRANCISCO IRAZOLA</v>
      </c>
      <c r="C153" s="213" t="str">
        <f>IFERROR(__xludf.DUMMYFUNCTION("""COMPUTED_VALUE"""),"TALLER SFT DE INDUSTRIA ALIMENTARIA")</f>
        <v>TALLER SFT DE INDUSTRIA ALIMENTARIA</v>
      </c>
      <c r="D153" s="213" t="str">
        <f>IFERROR(__xludf.DUMMYFUNCTION("""COMPUTED_VALUE"""),"EQUIPOS")</f>
        <v>EQUIPOS</v>
      </c>
      <c r="E153" s="213" t="str">
        <f>IFERROR(__xludf.DUMMYFUNCTION("""COMPUTED_VALUE"""),"COM-110")</f>
        <v>COM-110</v>
      </c>
      <c r="F153" s="213" t="str">
        <f>IFERROR(__xludf.DUMMYFUNCTION("""COMPUTED_VALUE"""),"COM-110-Y")</f>
        <v>COM-110-Y</v>
      </c>
      <c r="G153" s="213"/>
      <c r="H153" s="213" t="str">
        <f>IFERROR(__xludf.DUMMYFUNCTION("""COMPUTED_VALUE"""),"BALANZA DIGITAL")</f>
        <v>BALANZA DIGITAL</v>
      </c>
      <c r="I153" s="213" t="str">
        <f>IFERROR(__xludf.DUMMYFUNCTION("""COMPUTED_VALUE"""),"Balanza electrónica digital con torre de mesa.
· Capacidad: máxima 40kg.
· División: 5g o inferior.
· Funciones de peso bruto, tara, cero.
· Pantalla: Mínimo LCD.
· Conectividad: USB
· Alimentación: 220VAC/60 HZ y Batería Recargable aproximadamente 100 ho"&amp;"ras de duración.
· Plato mínimo: 29 cm x 35 cm.
· Accesorios: 01 cable cargador Powers.
· Medidas aproximadas: L35 cm x A35 cm x H15 cm (Altura de Torreta 35 cm).
. Incluye funda protectora impermeable para su almacenamiento.")</f>
        <v>Balanza electrónica digital con torre de mesa.
· Capacidad: máxima 40kg.
· División: 5g o inferior.
· Funciones de peso bruto, tara, cero.
· Pantalla: Mínimo LCD.
· Conectividad: USB
· Alimentación: 220VAC/60 HZ y Batería Recargable aproximadamente 100 horas de duración.
· Plato mínimo: 29 cm x 35 cm.
· Accesorios: 01 cable cargador Powers.
· Medidas aproximadas: L35 cm x A35 cm x H15 cm (Altura de Torreta 35 cm).
. Incluye funda protectora impermeable para su almacenamiento.</v>
      </c>
      <c r="J153" s="213">
        <f>IFERROR(__xludf.DUMMYFUNCTION("""COMPUTED_VALUE"""),3.0)</f>
        <v>3</v>
      </c>
      <c r="K153" s="213" t="str">
        <f>IFERROR(__xludf.DUMMYFUNCTION("""COMPUTED_VALUE"""),"90 DÍAS CALENDARIO")</f>
        <v>90 DÍAS CALENDARIO</v>
      </c>
      <c r="L153" s="213" t="str">
        <f>IFERROR(__xludf.DUMMYFUNCTION("""COMPUTED_VALUE"""),"")</f>
        <v/>
      </c>
      <c r="M153" s="213">
        <f>IFERROR(__xludf.DUMMYFUNCTION("""COMPUTED_VALUE"""),1.0)</f>
        <v>1</v>
      </c>
      <c r="N153" s="213">
        <f>IFERROR(__xludf.DUMMYFUNCTION("""COMPUTED_VALUE"""),1.0)</f>
        <v>1</v>
      </c>
      <c r="O153" s="213">
        <f>IFERROR(__xludf.DUMMYFUNCTION("""COMPUTED_VALUE"""),1.0)</f>
        <v>1</v>
      </c>
      <c r="P153" s="213"/>
      <c r="Q153" s="213"/>
      <c r="R153" s="213"/>
      <c r="S153" s="213" t="str">
        <f>IFERROR(__xludf.DUMMYFUNCTION("""COMPUTED_VALUE"""),"SI")</f>
        <v>SI</v>
      </c>
      <c r="T153" s="213" t="str">
        <f>IFERROR(__xludf.DUMMYFUNCTION("""COMPUTED_VALUE"""),"SI")</f>
        <v>SI</v>
      </c>
      <c r="U153" s="213" t="str">
        <f>IFERROR(__xludf.DUMMYFUNCTION("""COMPUTED_VALUE"""),"SI")</f>
        <v>SI</v>
      </c>
      <c r="V153" s="213" t="str">
        <f>IFERROR(__xludf.DUMMYFUNCTION("""COMPUTED_VALUE"""),"-")</f>
        <v>-</v>
      </c>
      <c r="W153" s="213" t="str">
        <f>IFERROR(__xludf.DUMMYFUNCTION("""COMPUTED_VALUE"""),"-")</f>
        <v>-</v>
      </c>
      <c r="X153" s="213" t="str">
        <f>IFERROR(__xludf.DUMMYFUNCTION("""COMPUTED_VALUE"""),"Torrey")</f>
        <v>Torrey</v>
      </c>
      <c r="Y153" s="213" t="str">
        <f>IFERROR(__xludf.DUMMYFUNCTION("""COMPUTED_VALUE"""),"PCR – 40T")</f>
        <v>PCR – 40T</v>
      </c>
      <c r="Z153" s="215" t="str">
        <f>IFERROR(__xludf.DUMMYFUNCTION("""COMPUTED_VALUE"""),"https://balanzasprecisur.com/balanzas-comerciales/balanza-torrey-pcr-40t-de-40-kilos/")</f>
        <v>https://balanzasprecisur.com/balanzas-comerciales/balanza-torrey-pcr-40t-de-40-kilos/</v>
      </c>
      <c r="AA153" s="213" t="str">
        <f>IFERROR(__xludf.DUMMYFUNCTION("""COMPUTED_VALUE"""),"COM-110-Y BALANZA DIGITAL - CET")</f>
        <v>COM-110-Y BALANZA DIGITAL - CET</v>
      </c>
      <c r="AB153" s="213"/>
      <c r="AC153" s="213"/>
      <c r="AD153" s="213"/>
      <c r="AE153" s="213"/>
      <c r="AF153" s="213"/>
      <c r="AG153" s="213"/>
      <c r="AH153" s="213"/>
      <c r="AI153" s="213"/>
      <c r="AJ153" s="213"/>
      <c r="AK153" s="213"/>
      <c r="AL153" s="213"/>
      <c r="AM153" s="213"/>
      <c r="AN153" s="213"/>
      <c r="AO153" s="213"/>
      <c r="AP153" s="213" t="str">
        <f>IFERROR(__xludf.DUMMYFUNCTION("""COMPUTED_VALUE"""),"BRUNO")</f>
        <v>BRUNO</v>
      </c>
      <c r="AQ153" s="213"/>
      <c r="AR153" s="213"/>
      <c r="AS153" s="213"/>
      <c r="AT153" s="213"/>
      <c r="AU153" s="213"/>
      <c r="AV153" s="213"/>
      <c r="AW153" s="213"/>
      <c r="AX153" s="213"/>
      <c r="AY153" s="213"/>
      <c r="AZ153" s="213"/>
      <c r="BA153" s="213"/>
      <c r="BB153" s="213"/>
      <c r="BC153" s="213"/>
      <c r="BD153" s="213"/>
    </row>
    <row r="154">
      <c r="A154" s="213">
        <f>IFERROR(__xludf.DUMMYFUNCTION("""COMPUTED_VALUE"""),1156.0)</f>
        <v>1156</v>
      </c>
      <c r="B154" s="213" t="str">
        <f>IFERROR(__xludf.DUMMYFUNCTION("""COMPUTED_VALUE"""),"FRANCISCO IRAZOLA")</f>
        <v>FRANCISCO IRAZOLA</v>
      </c>
      <c r="C154" s="213" t="str">
        <f>IFERROR(__xludf.DUMMYFUNCTION("""COMPUTED_VALUE"""),"TALLER SFT DE INDUSTRIA ALIMENTARIA")</f>
        <v>TALLER SFT DE INDUSTRIA ALIMENTARIA</v>
      </c>
      <c r="D154" s="213" t="str">
        <f>IFERROR(__xludf.DUMMYFUNCTION("""COMPUTED_VALUE"""),"EQUIPOS")</f>
        <v>EQUIPOS</v>
      </c>
      <c r="E154" s="213" t="str">
        <f>IFERROR(__xludf.DUMMYFUNCTION("""COMPUTED_VALUE"""),"COM-110")</f>
        <v>COM-110</v>
      </c>
      <c r="F154" s="213" t="str">
        <f>IFERROR(__xludf.DUMMYFUNCTION("""COMPUTED_VALUE"""),"COM-110-Y")</f>
        <v>COM-110-Y</v>
      </c>
      <c r="G154" s="213"/>
      <c r="H154" s="213" t="str">
        <f>IFERROR(__xludf.DUMMYFUNCTION("""COMPUTED_VALUE"""),"BALANZA DIGITAL")</f>
        <v>BALANZA DIGITAL</v>
      </c>
      <c r="I154" s="213" t="str">
        <f>IFERROR(__xludf.DUMMYFUNCTION("""COMPUTED_VALUE"""),"Balanza electrónica digital con torre de mesa.
· Capacidad: máxima 40kg.
· División: 5g o inferior.
· Funciones de peso bruto, tara, cero.
· Pantalla: Mínimo LCD.
· Conectividad: USB
· Alimentación: 220VAC/60 HZ y Batería Recargable aproximadamente 100 ho"&amp;"ras de duración.
· Plato mínimo: 29 cm x 35 cm.
· Accesorios: 01 cable cargador Powers.
· Medidas aproximadas: L35 cm x A35 cm x H15 cm (Altura de Torreta 35 cm).
. Incluye funda protectora impermeable para su almacenamiento.")</f>
        <v>Balanza electrónica digital con torre de mesa.
· Capacidad: máxima 40kg.
· División: 5g o inferior.
· Funciones de peso bruto, tara, cero.
· Pantalla: Mínimo LCD.
· Conectividad: USB
· Alimentación: 220VAC/60 HZ y Batería Recargable aproximadamente 100 horas de duración.
· Plato mínimo: 29 cm x 35 cm.
· Accesorios: 01 cable cargador Powers.
· Medidas aproximadas: L35 cm x A35 cm x H15 cm (Altura de Torreta 35 cm).
. Incluye funda protectora impermeable para su almacenamiento.</v>
      </c>
      <c r="J154" s="213">
        <f>IFERROR(__xludf.DUMMYFUNCTION("""COMPUTED_VALUE"""),3.0)</f>
        <v>3</v>
      </c>
      <c r="K154" s="213" t="str">
        <f>IFERROR(__xludf.DUMMYFUNCTION("""COMPUTED_VALUE"""),"90 DÍAS CALENDARIO")</f>
        <v>90 DÍAS CALENDARIO</v>
      </c>
      <c r="L154" s="213" t="str">
        <f>IFERROR(__xludf.DUMMYFUNCTION("""COMPUTED_VALUE"""),"")</f>
        <v/>
      </c>
      <c r="M154" s="213">
        <f>IFERROR(__xludf.DUMMYFUNCTION("""COMPUTED_VALUE"""),1.0)</f>
        <v>1</v>
      </c>
      <c r="N154" s="213">
        <f>IFERROR(__xludf.DUMMYFUNCTION("""COMPUTED_VALUE"""),1.0)</f>
        <v>1</v>
      </c>
      <c r="O154" s="213">
        <f>IFERROR(__xludf.DUMMYFUNCTION("""COMPUTED_VALUE"""),1.0)</f>
        <v>1</v>
      </c>
      <c r="P154" s="213"/>
      <c r="Q154" s="213"/>
      <c r="R154" s="213"/>
      <c r="S154" s="213" t="str">
        <f>IFERROR(__xludf.DUMMYFUNCTION("""COMPUTED_VALUE"""),"SI")</f>
        <v>SI</v>
      </c>
      <c r="T154" s="213" t="str">
        <f>IFERROR(__xludf.DUMMYFUNCTION("""COMPUTED_VALUE"""),"SI")</f>
        <v>SI</v>
      </c>
      <c r="U154" s="213" t="str">
        <f>IFERROR(__xludf.DUMMYFUNCTION("""COMPUTED_VALUE"""),"SI")</f>
        <v>SI</v>
      </c>
      <c r="V154" s="213" t="str">
        <f>IFERROR(__xludf.DUMMYFUNCTION("""COMPUTED_VALUE"""),"-")</f>
        <v>-</v>
      </c>
      <c r="W154" s="213" t="str">
        <f>IFERROR(__xludf.DUMMYFUNCTION("""COMPUTED_VALUE"""),"-")</f>
        <v>-</v>
      </c>
      <c r="X154" s="213" t="str">
        <f>IFERROR(__xludf.DUMMYFUNCTION("""COMPUTED_VALUE"""),"Torrey")</f>
        <v>Torrey</v>
      </c>
      <c r="Y154" s="213" t="str">
        <f>IFERROR(__xludf.DUMMYFUNCTION("""COMPUTED_VALUE"""),"PCR – 40T")</f>
        <v>PCR – 40T</v>
      </c>
      <c r="Z154" s="215" t="str">
        <f>IFERROR(__xludf.DUMMYFUNCTION("""COMPUTED_VALUE"""),"https://balanzasprecisur.com/balanzas-comerciales/balanza-torrey-pcr-40t-de-40-kilos/")</f>
        <v>https://balanzasprecisur.com/balanzas-comerciales/balanza-torrey-pcr-40t-de-40-kilos/</v>
      </c>
      <c r="AA154" s="213" t="str">
        <f>IFERROR(__xludf.DUMMYFUNCTION("""COMPUTED_VALUE"""),"COM-110-Y BALANZA DIGITAL - CET")</f>
        <v>COM-110-Y BALANZA DIGITAL - CET</v>
      </c>
      <c r="AB154" s="213"/>
      <c r="AC154" s="213"/>
      <c r="AD154" s="213"/>
      <c r="AE154" s="213"/>
      <c r="AF154" s="213"/>
      <c r="AG154" s="213"/>
      <c r="AH154" s="213"/>
      <c r="AI154" s="213"/>
      <c r="AJ154" s="213"/>
      <c r="AK154" s="213"/>
      <c r="AL154" s="213"/>
      <c r="AM154" s="213"/>
      <c r="AN154" s="213"/>
      <c r="AO154" s="213"/>
      <c r="AP154" s="213" t="str">
        <f>IFERROR(__xludf.DUMMYFUNCTION("""COMPUTED_VALUE"""),"BRUNO")</f>
        <v>BRUNO</v>
      </c>
      <c r="AQ154" s="213"/>
      <c r="AR154" s="213"/>
      <c r="AS154" s="213"/>
      <c r="AT154" s="213"/>
      <c r="AU154" s="213"/>
      <c r="AV154" s="213"/>
      <c r="AW154" s="213"/>
      <c r="AX154" s="213"/>
      <c r="AY154" s="213"/>
      <c r="AZ154" s="213"/>
      <c r="BA154" s="213"/>
      <c r="BB154" s="213"/>
      <c r="BC154" s="213"/>
      <c r="BD154" s="213"/>
    </row>
    <row r="155">
      <c r="A155" s="213">
        <f>IFERROR(__xludf.DUMMYFUNCTION("""COMPUTED_VALUE"""),1347.0)</f>
        <v>1347</v>
      </c>
      <c r="B155" s="213" t="str">
        <f>IFERROR(__xludf.DUMMYFUNCTION("""COMPUTED_VALUE"""),"GUILLERMO E. BILLINGHURST ")</f>
        <v>GUILLERMO E. BILLINGHURST </v>
      </c>
      <c r="C155" s="213" t="str">
        <f>IFERROR(__xludf.DUMMYFUNCTION("""COMPUTED_VALUE"""),"TALLER SFT DE INDUSTRIA ALIMENTARIA")</f>
        <v>TALLER SFT DE INDUSTRIA ALIMENTARIA</v>
      </c>
      <c r="D155" s="213" t="str">
        <f>IFERROR(__xludf.DUMMYFUNCTION("""COMPUTED_VALUE"""),"EQUIPOS")</f>
        <v>EQUIPOS</v>
      </c>
      <c r="E155" s="213" t="str">
        <f>IFERROR(__xludf.DUMMYFUNCTION("""COMPUTED_VALUE"""),"COM-110")</f>
        <v>COM-110</v>
      </c>
      <c r="F155" s="213" t="str">
        <f>IFERROR(__xludf.DUMMYFUNCTION("""COMPUTED_VALUE"""),"COM-110-Y")</f>
        <v>COM-110-Y</v>
      </c>
      <c r="G155" s="213"/>
      <c r="H155" s="213" t="str">
        <f>IFERROR(__xludf.DUMMYFUNCTION("""COMPUTED_VALUE"""),"BALANZA DIGITAL")</f>
        <v>BALANZA DIGITAL</v>
      </c>
      <c r="I155" s="213" t="str">
        <f>IFERROR(__xludf.DUMMYFUNCTION("""COMPUTED_VALUE"""),"Balanza electrónica digital con torre de mesa.
· Capacidad: máxima 40kg.
· División: 5g o inferior.
· Funciones de peso bruto, tara, cero.
· Pantalla: Mínimo LCD.
· Conectividad: USB
· Alimentación: 220VAC/60 HZ y Batería Recargable aproximadamente 100 ho"&amp;"ras de duración.
· Plato mínimo: 29 cm x 35 cm.
· Accesorios: 01 cable cargador Powers.
· Medidas aproximadas: L35 cm x A35 cm x H15 cm (Altura de Torreta 35 cm).
. Incluye funda protectora impermeable para su almacenamiento.")</f>
        <v>Balanza electrónica digital con torre de mesa.
· Capacidad: máxima 40kg.
· División: 5g o inferior.
· Funciones de peso bruto, tara, cero.
· Pantalla: Mínimo LCD.
· Conectividad: USB
· Alimentación: 220VAC/60 HZ y Batería Recargable aproximadamente 100 horas de duración.
· Plato mínimo: 29 cm x 35 cm.
· Accesorios: 01 cable cargador Powers.
· Medidas aproximadas: L35 cm x A35 cm x H15 cm (Altura de Torreta 35 cm).
. Incluye funda protectora impermeable para su almacenamiento.</v>
      </c>
      <c r="J155" s="213">
        <f>IFERROR(__xludf.DUMMYFUNCTION("""COMPUTED_VALUE"""),3.0)</f>
        <v>3</v>
      </c>
      <c r="K155" s="213" t="str">
        <f>IFERROR(__xludf.DUMMYFUNCTION("""COMPUTED_VALUE"""),"90 DÍAS CALENDARIO")</f>
        <v>90 DÍAS CALENDARIO</v>
      </c>
      <c r="L155" s="213" t="str">
        <f>IFERROR(__xludf.DUMMYFUNCTION("""COMPUTED_VALUE"""),"")</f>
        <v/>
      </c>
      <c r="M155" s="213">
        <f>IFERROR(__xludf.DUMMYFUNCTION("""COMPUTED_VALUE"""),1.0)</f>
        <v>1</v>
      </c>
      <c r="N155" s="213">
        <f>IFERROR(__xludf.DUMMYFUNCTION("""COMPUTED_VALUE"""),1.0)</f>
        <v>1</v>
      </c>
      <c r="O155" s="213">
        <f>IFERROR(__xludf.DUMMYFUNCTION("""COMPUTED_VALUE"""),1.0)</f>
        <v>1</v>
      </c>
      <c r="P155" s="213"/>
      <c r="Q155" s="213"/>
      <c r="R155" s="213"/>
      <c r="S155" s="213" t="str">
        <f>IFERROR(__xludf.DUMMYFUNCTION("""COMPUTED_VALUE"""),"SI")</f>
        <v>SI</v>
      </c>
      <c r="T155" s="213" t="str">
        <f>IFERROR(__xludf.DUMMYFUNCTION("""COMPUTED_VALUE"""),"SI")</f>
        <v>SI</v>
      </c>
      <c r="U155" s="213" t="str">
        <f>IFERROR(__xludf.DUMMYFUNCTION("""COMPUTED_VALUE"""),"SI")</f>
        <v>SI</v>
      </c>
      <c r="V155" s="213" t="str">
        <f>IFERROR(__xludf.DUMMYFUNCTION("""COMPUTED_VALUE"""),"-")</f>
        <v>-</v>
      </c>
      <c r="W155" s="213" t="str">
        <f>IFERROR(__xludf.DUMMYFUNCTION("""COMPUTED_VALUE"""),"-")</f>
        <v>-</v>
      </c>
      <c r="X155" s="213" t="str">
        <f>IFERROR(__xludf.DUMMYFUNCTION("""COMPUTED_VALUE"""),"Torrey")</f>
        <v>Torrey</v>
      </c>
      <c r="Y155" s="213" t="str">
        <f>IFERROR(__xludf.DUMMYFUNCTION("""COMPUTED_VALUE"""),"PCR – 40T")</f>
        <v>PCR – 40T</v>
      </c>
      <c r="Z155" s="215" t="str">
        <f>IFERROR(__xludf.DUMMYFUNCTION("""COMPUTED_VALUE"""),"https://balanzasprecisur.com/balanzas-comerciales/balanza-torrey-pcr-40t-de-40-kilos/")</f>
        <v>https://balanzasprecisur.com/balanzas-comerciales/balanza-torrey-pcr-40t-de-40-kilos/</v>
      </c>
      <c r="AA155" s="213" t="str">
        <f>IFERROR(__xludf.DUMMYFUNCTION("""COMPUTED_VALUE"""),"COM-110-Y BALANZA DIGITAL - CET")</f>
        <v>COM-110-Y BALANZA DIGITAL - CET</v>
      </c>
      <c r="AB155" s="213"/>
      <c r="AC155" s="213"/>
      <c r="AD155" s="213"/>
      <c r="AE155" s="213"/>
      <c r="AF155" s="213"/>
      <c r="AG155" s="213"/>
      <c r="AH155" s="213"/>
      <c r="AI155" s="213"/>
      <c r="AJ155" s="213"/>
      <c r="AK155" s="213"/>
      <c r="AL155" s="213"/>
      <c r="AM155" s="213"/>
      <c r="AN155" s="213"/>
      <c r="AO155" s="213"/>
      <c r="AP155" s="213" t="str">
        <f>IFERROR(__xludf.DUMMYFUNCTION("""COMPUTED_VALUE"""),"BRUNO")</f>
        <v>BRUNO</v>
      </c>
      <c r="AQ155" s="213"/>
      <c r="AR155" s="213"/>
      <c r="AS155" s="213"/>
      <c r="AT155" s="213"/>
      <c r="AU155" s="213"/>
      <c r="AV155" s="213"/>
      <c r="AW155" s="213"/>
      <c r="AX155" s="213"/>
      <c r="AY155" s="213"/>
      <c r="AZ155" s="213"/>
      <c r="BA155" s="213"/>
      <c r="BB155" s="213"/>
      <c r="BC155" s="213"/>
      <c r="BD155" s="213"/>
    </row>
    <row r="156">
      <c r="A156" s="213">
        <f>IFERROR(__xludf.DUMMYFUNCTION("""COMPUTED_VALUE"""),1428.0)</f>
        <v>1428</v>
      </c>
      <c r="B156" s="213" t="str">
        <f>IFERROR(__xludf.DUMMYFUNCTION("""COMPUTED_VALUE"""),"GUILLERMO E. BILLINGHURST ")</f>
        <v>GUILLERMO E. BILLINGHURST </v>
      </c>
      <c r="C156" s="213" t="str">
        <f>IFERROR(__xludf.DUMMYFUNCTION("""COMPUTED_VALUE"""),"TALLER SFT DE INDUSTRIA ALIMENTARIA")</f>
        <v>TALLER SFT DE INDUSTRIA ALIMENTARIA</v>
      </c>
      <c r="D156" s="213" t="str">
        <f>IFERROR(__xludf.DUMMYFUNCTION("""COMPUTED_VALUE"""),"EQUIPOS")</f>
        <v>EQUIPOS</v>
      </c>
      <c r="E156" s="213" t="str">
        <f>IFERROR(__xludf.DUMMYFUNCTION("""COMPUTED_VALUE"""),"COM-110")</f>
        <v>COM-110</v>
      </c>
      <c r="F156" s="213" t="str">
        <f>IFERROR(__xludf.DUMMYFUNCTION("""COMPUTED_VALUE"""),"COM-110-Y")</f>
        <v>COM-110-Y</v>
      </c>
      <c r="G156" s="213"/>
      <c r="H156" s="213" t="str">
        <f>IFERROR(__xludf.DUMMYFUNCTION("""COMPUTED_VALUE"""),"BALANZA DIGITAL")</f>
        <v>BALANZA DIGITAL</v>
      </c>
      <c r="I156" s="213" t="str">
        <f>IFERROR(__xludf.DUMMYFUNCTION("""COMPUTED_VALUE"""),"Balanza electrónica digital con torre de mesa.
· Capacidad: máxima 40kg.
· División: 5g o inferior.
· Funciones de peso bruto, tara, cero.
· Pantalla: Mínimo LCD.
· Conectividad: USB
· Alimentación: 220VAC/60 HZ y Batería Recargable aproximadamente 100 ho"&amp;"ras de duración.
· Plato mínimo: 29 cm x 35 cm.
· Accesorios: 01 cable cargador Powers.
· Medidas aproximadas: L35 cm x A35 cm x H15 cm (Altura de Torreta 35 cm).
. Incluye funda protectora impermeable para su almacenamiento.")</f>
        <v>Balanza electrónica digital con torre de mesa.
· Capacidad: máxima 40kg.
· División: 5g o inferior.
· Funciones de peso bruto, tara, cero.
· Pantalla: Mínimo LCD.
· Conectividad: USB
· Alimentación: 220VAC/60 HZ y Batería Recargable aproximadamente 100 horas de duración.
· Plato mínimo: 29 cm x 35 cm.
· Accesorios: 01 cable cargador Powers.
· Medidas aproximadas: L35 cm x A35 cm x H15 cm (Altura de Torreta 35 cm).
. Incluye funda protectora impermeable para su almacenamiento.</v>
      </c>
      <c r="J156" s="213">
        <f>IFERROR(__xludf.DUMMYFUNCTION("""COMPUTED_VALUE"""),3.0)</f>
        <v>3</v>
      </c>
      <c r="K156" s="213" t="str">
        <f>IFERROR(__xludf.DUMMYFUNCTION("""COMPUTED_VALUE"""),"90 DÍAS CALENDARIO")</f>
        <v>90 DÍAS CALENDARIO</v>
      </c>
      <c r="L156" s="213" t="str">
        <f>IFERROR(__xludf.DUMMYFUNCTION("""COMPUTED_VALUE"""),"")</f>
        <v/>
      </c>
      <c r="M156" s="213">
        <f>IFERROR(__xludf.DUMMYFUNCTION("""COMPUTED_VALUE"""),1.0)</f>
        <v>1</v>
      </c>
      <c r="N156" s="213">
        <f>IFERROR(__xludf.DUMMYFUNCTION("""COMPUTED_VALUE"""),1.0)</f>
        <v>1</v>
      </c>
      <c r="O156" s="213">
        <f>IFERROR(__xludf.DUMMYFUNCTION("""COMPUTED_VALUE"""),1.0)</f>
        <v>1</v>
      </c>
      <c r="P156" s="213"/>
      <c r="Q156" s="213"/>
      <c r="R156" s="213"/>
      <c r="S156" s="213" t="str">
        <f>IFERROR(__xludf.DUMMYFUNCTION("""COMPUTED_VALUE"""),"SI")</f>
        <v>SI</v>
      </c>
      <c r="T156" s="213" t="str">
        <f>IFERROR(__xludf.DUMMYFUNCTION("""COMPUTED_VALUE"""),"SI")</f>
        <v>SI</v>
      </c>
      <c r="U156" s="213" t="str">
        <f>IFERROR(__xludf.DUMMYFUNCTION("""COMPUTED_VALUE"""),"SI")</f>
        <v>SI</v>
      </c>
      <c r="V156" s="213" t="str">
        <f>IFERROR(__xludf.DUMMYFUNCTION("""COMPUTED_VALUE"""),"-")</f>
        <v>-</v>
      </c>
      <c r="W156" s="213" t="str">
        <f>IFERROR(__xludf.DUMMYFUNCTION("""COMPUTED_VALUE"""),"-")</f>
        <v>-</v>
      </c>
      <c r="X156" s="213" t="str">
        <f>IFERROR(__xludf.DUMMYFUNCTION("""COMPUTED_VALUE"""),"Torrey")</f>
        <v>Torrey</v>
      </c>
      <c r="Y156" s="213" t="str">
        <f>IFERROR(__xludf.DUMMYFUNCTION("""COMPUTED_VALUE"""),"PCR – 40T")</f>
        <v>PCR – 40T</v>
      </c>
      <c r="Z156" s="215" t="str">
        <f>IFERROR(__xludf.DUMMYFUNCTION("""COMPUTED_VALUE"""),"https://balanzasprecisur.com/balanzas-comerciales/balanza-torrey-pcr-40t-de-40-kilos/")</f>
        <v>https://balanzasprecisur.com/balanzas-comerciales/balanza-torrey-pcr-40t-de-40-kilos/</v>
      </c>
      <c r="AA156" s="213" t="str">
        <f>IFERROR(__xludf.DUMMYFUNCTION("""COMPUTED_VALUE"""),"COM-110-Y BALANZA DIGITAL - CET")</f>
        <v>COM-110-Y BALANZA DIGITAL - CET</v>
      </c>
      <c r="AB156" s="213"/>
      <c r="AC156" s="213"/>
      <c r="AD156" s="213"/>
      <c r="AE156" s="213"/>
      <c r="AF156" s="213"/>
      <c r="AG156" s="213"/>
      <c r="AH156" s="213"/>
      <c r="AI156" s="213"/>
      <c r="AJ156" s="213"/>
      <c r="AK156" s="213"/>
      <c r="AL156" s="213"/>
      <c r="AM156" s="213"/>
      <c r="AN156" s="213"/>
      <c r="AO156" s="213"/>
      <c r="AP156" s="213" t="str">
        <f>IFERROR(__xludf.DUMMYFUNCTION("""COMPUTED_VALUE"""),"BRUNO")</f>
        <v>BRUNO</v>
      </c>
      <c r="AQ156" s="213"/>
      <c r="AR156" s="213"/>
      <c r="AS156" s="213"/>
      <c r="AT156" s="213"/>
      <c r="AU156" s="213"/>
      <c r="AV156" s="213"/>
      <c r="AW156" s="213"/>
      <c r="AX156" s="213"/>
      <c r="AY156" s="213"/>
      <c r="AZ156" s="213"/>
      <c r="BA156" s="213"/>
      <c r="BB156" s="213"/>
      <c r="BC156" s="213"/>
      <c r="BD156" s="213"/>
    </row>
    <row r="157">
      <c r="A157" s="213">
        <f>IFERROR(__xludf.DUMMYFUNCTION("""COMPUTED_VALUE"""),2031.0)</f>
        <v>2031</v>
      </c>
      <c r="B157" s="213" t="str">
        <f>IFERROR(__xludf.DUMMYFUNCTION("""COMPUTED_VALUE"""),"JOSE GRANDA")</f>
        <v>JOSE GRANDA</v>
      </c>
      <c r="C157" s="213" t="str">
        <f>IFERROR(__xludf.DUMMYFUNCTION("""COMPUTED_VALUE"""),"TALLER SFT DE INDUSTRIA ALIMENTARIA")</f>
        <v>TALLER SFT DE INDUSTRIA ALIMENTARIA</v>
      </c>
      <c r="D157" s="213" t="str">
        <f>IFERROR(__xludf.DUMMYFUNCTION("""COMPUTED_VALUE"""),"EQUIPOS")</f>
        <v>EQUIPOS</v>
      </c>
      <c r="E157" s="213" t="str">
        <f>IFERROR(__xludf.DUMMYFUNCTION("""COMPUTED_VALUE"""),"COM-110")</f>
        <v>COM-110</v>
      </c>
      <c r="F157" s="213" t="str">
        <f>IFERROR(__xludf.DUMMYFUNCTION("""COMPUTED_VALUE"""),"COM-110-Y")</f>
        <v>COM-110-Y</v>
      </c>
      <c r="G157" s="213"/>
      <c r="H157" s="213" t="str">
        <f>IFERROR(__xludf.DUMMYFUNCTION("""COMPUTED_VALUE"""),"BALANZA DIGITAL")</f>
        <v>BALANZA DIGITAL</v>
      </c>
      <c r="I157" s="213" t="str">
        <f>IFERROR(__xludf.DUMMYFUNCTION("""COMPUTED_VALUE"""),"Balanza electrónica digital con torre de mesa.
· Capacidad: máxima 40kg.
· División: 5g o inferior.
· Funciones de peso bruto, tara, cero.
· Pantalla: Mínimo LCD.
· Conectividad: USB
· Alimentación: 220VAC/60 HZ y Batería Recargable aproximadamente 100 ho"&amp;"ras de duración.
· Plato mínimo: 29 cm x 35 cm.
· Accesorios: 01 cable cargador Powers.
· Medidas aproximadas: L35 cm x A35 cm x H15 cm (Altura de Torreta 35 cm).
. Incluye funda protectora impermeable para su almacenamiento.")</f>
        <v>Balanza electrónica digital con torre de mesa.
· Capacidad: máxima 40kg.
· División: 5g o inferior.
· Funciones de peso bruto, tara, cero.
· Pantalla: Mínimo LCD.
· Conectividad: USB
· Alimentación: 220VAC/60 HZ y Batería Recargable aproximadamente 100 horas de duración.
· Plato mínimo: 29 cm x 35 cm.
· Accesorios: 01 cable cargador Powers.
· Medidas aproximadas: L35 cm x A35 cm x H15 cm (Altura de Torreta 35 cm).
. Incluye funda protectora impermeable para su almacenamiento.</v>
      </c>
      <c r="J157" s="213">
        <f>IFERROR(__xludf.DUMMYFUNCTION("""COMPUTED_VALUE"""),3.0)</f>
        <v>3</v>
      </c>
      <c r="K157" s="213" t="str">
        <f>IFERROR(__xludf.DUMMYFUNCTION("""COMPUTED_VALUE"""),"90 DÍAS CALENDARIO")</f>
        <v>90 DÍAS CALENDARIO</v>
      </c>
      <c r="L157" s="213" t="str">
        <f>IFERROR(__xludf.DUMMYFUNCTION("""COMPUTED_VALUE"""),"")</f>
        <v/>
      </c>
      <c r="M157" s="213">
        <f>IFERROR(__xludf.DUMMYFUNCTION("""COMPUTED_VALUE"""),1.0)</f>
        <v>1</v>
      </c>
      <c r="N157" s="213">
        <f>IFERROR(__xludf.DUMMYFUNCTION("""COMPUTED_VALUE"""),1.0)</f>
        <v>1</v>
      </c>
      <c r="O157" s="213">
        <f>IFERROR(__xludf.DUMMYFUNCTION("""COMPUTED_VALUE"""),1.0)</f>
        <v>1</v>
      </c>
      <c r="P157" s="213"/>
      <c r="Q157" s="213"/>
      <c r="R157" s="213"/>
      <c r="S157" s="213" t="str">
        <f>IFERROR(__xludf.DUMMYFUNCTION("""COMPUTED_VALUE"""),"SI")</f>
        <v>SI</v>
      </c>
      <c r="T157" s="213" t="str">
        <f>IFERROR(__xludf.DUMMYFUNCTION("""COMPUTED_VALUE"""),"SI")</f>
        <v>SI</v>
      </c>
      <c r="U157" s="213" t="str">
        <f>IFERROR(__xludf.DUMMYFUNCTION("""COMPUTED_VALUE"""),"SI")</f>
        <v>SI</v>
      </c>
      <c r="V157" s="213" t="str">
        <f>IFERROR(__xludf.DUMMYFUNCTION("""COMPUTED_VALUE"""),"-")</f>
        <v>-</v>
      </c>
      <c r="W157" s="213" t="str">
        <f>IFERROR(__xludf.DUMMYFUNCTION("""COMPUTED_VALUE"""),"-")</f>
        <v>-</v>
      </c>
      <c r="X157" s="213" t="str">
        <f>IFERROR(__xludf.DUMMYFUNCTION("""COMPUTED_VALUE"""),"Torrey")</f>
        <v>Torrey</v>
      </c>
      <c r="Y157" s="213" t="str">
        <f>IFERROR(__xludf.DUMMYFUNCTION("""COMPUTED_VALUE"""),"PCR – 40T")</f>
        <v>PCR – 40T</v>
      </c>
      <c r="Z157" s="215" t="str">
        <f>IFERROR(__xludf.DUMMYFUNCTION("""COMPUTED_VALUE"""),"https://balanzasprecisur.com/balanzas-comerciales/balanza-torrey-pcr-40t-de-40-kilos/")</f>
        <v>https://balanzasprecisur.com/balanzas-comerciales/balanza-torrey-pcr-40t-de-40-kilos/</v>
      </c>
      <c r="AA157" s="213" t="str">
        <f>IFERROR(__xludf.DUMMYFUNCTION("""COMPUTED_VALUE"""),"COM-110-Y BALANZA DIGITAL - CET")</f>
        <v>COM-110-Y BALANZA DIGITAL - CET</v>
      </c>
      <c r="AB157" s="213"/>
      <c r="AC157" s="213"/>
      <c r="AD157" s="213"/>
      <c r="AE157" s="213"/>
      <c r="AF157" s="213"/>
      <c r="AG157" s="213"/>
      <c r="AH157" s="213"/>
      <c r="AI157" s="213"/>
      <c r="AJ157" s="213"/>
      <c r="AK157" s="213"/>
      <c r="AL157" s="213"/>
      <c r="AM157" s="213"/>
      <c r="AN157" s="213"/>
      <c r="AO157" s="213"/>
      <c r="AP157" s="213" t="str">
        <f>IFERROR(__xludf.DUMMYFUNCTION("""COMPUTED_VALUE"""),"BRUNO")</f>
        <v>BRUNO</v>
      </c>
      <c r="AQ157" s="213"/>
      <c r="AR157" s="213"/>
      <c r="AS157" s="213"/>
      <c r="AT157" s="213"/>
      <c r="AU157" s="213"/>
      <c r="AV157" s="213"/>
      <c r="AW157" s="213"/>
      <c r="AX157" s="213"/>
      <c r="AY157" s="213"/>
      <c r="AZ157" s="213"/>
      <c r="BA157" s="213"/>
      <c r="BB157" s="213"/>
      <c r="BC157" s="213"/>
      <c r="BD157" s="213"/>
    </row>
    <row r="158">
      <c r="A158" s="213">
        <f>IFERROR(__xludf.DUMMYFUNCTION("""COMPUTED_VALUE"""),2115.0)</f>
        <v>2115</v>
      </c>
      <c r="B158" s="213" t="str">
        <f>IFERROR(__xludf.DUMMYFUNCTION("""COMPUTED_VALUE"""),"JOSE GRANDA")</f>
        <v>JOSE GRANDA</v>
      </c>
      <c r="C158" s="213" t="str">
        <f>IFERROR(__xludf.DUMMYFUNCTION("""COMPUTED_VALUE"""),"TALLER SFT DE INDUSTRIA ALIMENTARIA")</f>
        <v>TALLER SFT DE INDUSTRIA ALIMENTARIA</v>
      </c>
      <c r="D158" s="213" t="str">
        <f>IFERROR(__xludf.DUMMYFUNCTION("""COMPUTED_VALUE"""),"EQUIPOS")</f>
        <v>EQUIPOS</v>
      </c>
      <c r="E158" s="213" t="str">
        <f>IFERROR(__xludf.DUMMYFUNCTION("""COMPUTED_VALUE"""),"COM-110")</f>
        <v>COM-110</v>
      </c>
      <c r="F158" s="213" t="str">
        <f>IFERROR(__xludf.DUMMYFUNCTION("""COMPUTED_VALUE"""),"COM-110-Y")</f>
        <v>COM-110-Y</v>
      </c>
      <c r="G158" s="213"/>
      <c r="H158" s="213" t="str">
        <f>IFERROR(__xludf.DUMMYFUNCTION("""COMPUTED_VALUE"""),"BALANZA DIGITAL")</f>
        <v>BALANZA DIGITAL</v>
      </c>
      <c r="I158" s="213" t="str">
        <f>IFERROR(__xludf.DUMMYFUNCTION("""COMPUTED_VALUE"""),"Balanza electrónica digital con torre de mesa.
· Capacidad: máxima 40kg.
· División: 5g o inferior.
· Funciones de peso bruto, tara, cero.
· Pantalla: Mínimo LCD.
· Conectividad: USB
· Alimentación: 220VAC/60 HZ y Batería Recargable aproximadamente 100 ho"&amp;"ras de duración.
· Plato mínimo: 29 cm x 35 cm.
· Accesorios: 01 cable cargador Powers.
· Medidas aproximadas: L35 cm x A35 cm x H15 cm (Altura de Torreta 35 cm).
. Incluye funda protectora impermeable para su almacenamiento.")</f>
        <v>Balanza electrónica digital con torre de mesa.
· Capacidad: máxima 40kg.
· División: 5g o inferior.
· Funciones de peso bruto, tara, cero.
· Pantalla: Mínimo LCD.
· Conectividad: USB
· Alimentación: 220VAC/60 HZ y Batería Recargable aproximadamente 100 horas de duración.
· Plato mínimo: 29 cm x 35 cm.
· Accesorios: 01 cable cargador Powers.
· Medidas aproximadas: L35 cm x A35 cm x H15 cm (Altura de Torreta 35 cm).
. Incluye funda protectora impermeable para su almacenamiento.</v>
      </c>
      <c r="J158" s="213">
        <f>IFERROR(__xludf.DUMMYFUNCTION("""COMPUTED_VALUE"""),3.0)</f>
        <v>3</v>
      </c>
      <c r="K158" s="213" t="str">
        <f>IFERROR(__xludf.DUMMYFUNCTION("""COMPUTED_VALUE"""),"90 DÍAS CALENDARIO")</f>
        <v>90 DÍAS CALENDARIO</v>
      </c>
      <c r="L158" s="213" t="str">
        <f>IFERROR(__xludf.DUMMYFUNCTION("""COMPUTED_VALUE"""),"")</f>
        <v/>
      </c>
      <c r="M158" s="213">
        <f>IFERROR(__xludf.DUMMYFUNCTION("""COMPUTED_VALUE"""),1.0)</f>
        <v>1</v>
      </c>
      <c r="N158" s="213">
        <f>IFERROR(__xludf.DUMMYFUNCTION("""COMPUTED_VALUE"""),1.0)</f>
        <v>1</v>
      </c>
      <c r="O158" s="213">
        <f>IFERROR(__xludf.DUMMYFUNCTION("""COMPUTED_VALUE"""),1.0)</f>
        <v>1</v>
      </c>
      <c r="P158" s="213"/>
      <c r="Q158" s="213"/>
      <c r="R158" s="213"/>
      <c r="S158" s="213" t="str">
        <f>IFERROR(__xludf.DUMMYFUNCTION("""COMPUTED_VALUE"""),"SI")</f>
        <v>SI</v>
      </c>
      <c r="T158" s="213" t="str">
        <f>IFERROR(__xludf.DUMMYFUNCTION("""COMPUTED_VALUE"""),"SI")</f>
        <v>SI</v>
      </c>
      <c r="U158" s="213" t="str">
        <f>IFERROR(__xludf.DUMMYFUNCTION("""COMPUTED_VALUE"""),"SI")</f>
        <v>SI</v>
      </c>
      <c r="V158" s="213" t="str">
        <f>IFERROR(__xludf.DUMMYFUNCTION("""COMPUTED_VALUE"""),"-")</f>
        <v>-</v>
      </c>
      <c r="W158" s="213" t="str">
        <f>IFERROR(__xludf.DUMMYFUNCTION("""COMPUTED_VALUE"""),"-")</f>
        <v>-</v>
      </c>
      <c r="X158" s="213" t="str">
        <f>IFERROR(__xludf.DUMMYFUNCTION("""COMPUTED_VALUE"""),"Torrey")</f>
        <v>Torrey</v>
      </c>
      <c r="Y158" s="213" t="str">
        <f>IFERROR(__xludf.DUMMYFUNCTION("""COMPUTED_VALUE"""),"PCR – 40T")</f>
        <v>PCR – 40T</v>
      </c>
      <c r="Z158" s="215" t="str">
        <f>IFERROR(__xludf.DUMMYFUNCTION("""COMPUTED_VALUE"""),"https://balanzasprecisur.com/balanzas-comerciales/balanza-torrey-pcr-40t-de-40-kilos/")</f>
        <v>https://balanzasprecisur.com/balanzas-comerciales/balanza-torrey-pcr-40t-de-40-kilos/</v>
      </c>
      <c r="AA158" s="213" t="str">
        <f>IFERROR(__xludf.DUMMYFUNCTION("""COMPUTED_VALUE"""),"COM-110-Y BALANZA DIGITAL - CET")</f>
        <v>COM-110-Y BALANZA DIGITAL - CET</v>
      </c>
      <c r="AB158" s="213"/>
      <c r="AC158" s="213"/>
      <c r="AD158" s="213"/>
      <c r="AE158" s="213"/>
      <c r="AF158" s="213"/>
      <c r="AG158" s="213"/>
      <c r="AH158" s="213"/>
      <c r="AI158" s="213"/>
      <c r="AJ158" s="213"/>
      <c r="AK158" s="213"/>
      <c r="AL158" s="213"/>
      <c r="AM158" s="213"/>
      <c r="AN158" s="213"/>
      <c r="AO158" s="213"/>
      <c r="AP158" s="213" t="str">
        <f>IFERROR(__xludf.DUMMYFUNCTION("""COMPUTED_VALUE"""),"BRUNO")</f>
        <v>BRUNO</v>
      </c>
      <c r="AQ158" s="213"/>
      <c r="AR158" s="213"/>
      <c r="AS158" s="213"/>
      <c r="AT158" s="213"/>
      <c r="AU158" s="213"/>
      <c r="AV158" s="213"/>
      <c r="AW158" s="213"/>
      <c r="AX158" s="213"/>
      <c r="AY158" s="213"/>
      <c r="AZ158" s="213"/>
      <c r="BA158" s="213"/>
      <c r="BB158" s="213"/>
      <c r="BC158" s="213"/>
      <c r="BD158" s="213"/>
    </row>
    <row r="159">
      <c r="A159" s="213">
        <f>IFERROR(__xludf.DUMMYFUNCTION("""COMPUTED_VALUE"""),468.0)</f>
        <v>468</v>
      </c>
      <c r="B159" s="213" t="str">
        <f>IFERROR(__xludf.DUMMYFUNCTION("""COMPUTED_VALUE"""),"2026 SIMON BOLIVAR")</f>
        <v>2026 SIMON BOLIVAR</v>
      </c>
      <c r="C159" s="213" t="str">
        <f>IFERROR(__xludf.DUMMYFUNCTION("""COMPUTED_VALUE"""),"TALLER SFT DE INDUSTRIA ALIMENTARIA")</f>
        <v>TALLER SFT DE INDUSTRIA ALIMENTARIA</v>
      </c>
      <c r="D159" s="213" t="str">
        <f>IFERROR(__xludf.DUMMYFUNCTION("""COMPUTED_VALUE"""),"EQUIPOS")</f>
        <v>EQUIPOS</v>
      </c>
      <c r="E159" s="213" t="str">
        <f>IFERROR(__xludf.DUMMYFUNCTION("""COMPUTED_VALUE"""),"COM-111")</f>
        <v>COM-111</v>
      </c>
      <c r="F159" s="213" t="str">
        <f>IFERROR(__xludf.DUMMYFUNCTION("""COMPUTED_VALUE"""),"COM-111")</f>
        <v>COM-111</v>
      </c>
      <c r="G159" s="213"/>
      <c r="H159" s="213" t="str">
        <f>IFERROR(__xludf.DUMMYFUNCTION("""COMPUTED_VALUE"""),"BALANZA GRAMERA 500G")</f>
        <v>BALANZA GRAMERA 500G</v>
      </c>
      <c r="I159" s="213" t="str">
        <f>IFERROR(__xludf.DUMMYFUNCTION("""COMPUTED_VALUE"""),"· Balanza electrónica digital
· Capacidad: máxima 500g
· Precisión: 0.1g
· Funciones de peso bruto, tara, cero.
· Pantalla: Mínimo LCD
· Dimensiones aproximadas: 15 x 10 x 2 cm.
· Bandeja 8 x 7 cm como mínimo.
· Accesorios: Pilas AAA")</f>
        <v>· Balanza electrónica digital
· Capacidad: máxima 500g
· Precisión: 0.1g
· Funciones de peso bruto, tara, cero.
· Pantalla: Mínimo LCD
· Dimensiones aproximadas: 15 x 10 x 2 cm.
· Bandeja 8 x 7 cm como mínimo.
· Accesorios: Pilas AAA</v>
      </c>
      <c r="J159" s="213">
        <f>IFERROR(__xludf.DUMMYFUNCTION("""COMPUTED_VALUE"""),3.0)</f>
        <v>3</v>
      </c>
      <c r="K159" s="213" t="str">
        <f>IFERROR(__xludf.DUMMYFUNCTION("""COMPUTED_VALUE"""),"90 DÍAS CALENDARIO")</f>
        <v>90 DÍAS CALENDARIO</v>
      </c>
      <c r="L159" s="213" t="str">
        <f>IFERROR(__xludf.DUMMYFUNCTION("""COMPUTED_VALUE"""),"")</f>
        <v/>
      </c>
      <c r="M159" s="213">
        <f>IFERROR(__xludf.DUMMYFUNCTION("""COMPUTED_VALUE"""),1.0)</f>
        <v>1</v>
      </c>
      <c r="N159" s="213">
        <f>IFERROR(__xludf.DUMMYFUNCTION("""COMPUTED_VALUE"""),1.0)</f>
        <v>1</v>
      </c>
      <c r="O159" s="213">
        <f>IFERROR(__xludf.DUMMYFUNCTION("""COMPUTED_VALUE"""),1.0)</f>
        <v>1</v>
      </c>
      <c r="P159" s="213"/>
      <c r="Q159" s="213"/>
      <c r="R159" s="213"/>
      <c r="S159" s="213" t="str">
        <f>IFERROR(__xludf.DUMMYFUNCTION("""COMPUTED_VALUE"""),"SI")</f>
        <v>SI</v>
      </c>
      <c r="T159" s="213" t="str">
        <f>IFERROR(__xludf.DUMMYFUNCTION("""COMPUTED_VALUE"""),"SI")</f>
        <v>SI</v>
      </c>
      <c r="U159" s="213" t="str">
        <f>IFERROR(__xludf.DUMMYFUNCTION("""COMPUTED_VALUE"""),"SI")</f>
        <v>SI</v>
      </c>
      <c r="V159" s="213" t="str">
        <f>IFERROR(__xludf.DUMMYFUNCTION("""COMPUTED_VALUE"""),"-")</f>
        <v>-</v>
      </c>
      <c r="W159" s="213" t="str">
        <f>IFERROR(__xludf.DUMMYFUNCTION("""COMPUTED_VALUE"""),"-")</f>
        <v>-</v>
      </c>
      <c r="X159" s="213" t="str">
        <f>IFERROR(__xludf.DUMMYFUNCTION("""COMPUTED_VALUE"""),"Truper")</f>
        <v>Truper</v>
      </c>
      <c r="Y159" s="213" t="str">
        <f>IFERROR(__xludf.DUMMYFUNCTION("""COMPUTED_VALUE"""),"Báscula electrónica de precisión, de bolsillo, 500 g")</f>
        <v>Báscula electrónica de precisión, de bolsillo, 500 g</v>
      </c>
      <c r="Z159" s="215" t="str">
        <f>IFERROR(__xludf.DUMMYFUNCTION("""COMPUTED_VALUE"""),"https://www.truper.com/ficha_tecnica/Bascula-digital-de-precision-de-bolsillo-500g-Truper.html?code=102316")</f>
        <v>https://www.truper.com/ficha_tecnica/Bascula-digital-de-precision-de-bolsillo-500g-Truper.html?code=102316</v>
      </c>
      <c r="AA159" s="213" t="str">
        <f>IFERROR(__xludf.DUMMYFUNCTION("""COMPUTED_VALUE"""),"COM-111 BALANZA GRAMERA 500G - CET")</f>
        <v>COM-111 BALANZA GRAMERA 500G - CET</v>
      </c>
      <c r="AB159" s="215" t="str">
        <f>IFERROR(__xludf.DUMMYFUNCTION("""COMPUTED_VALUE"""),"https://www.truper.com/ficha_tecnica_pdf/views/ficha-print.php?id=256753")</f>
        <v>https://www.truper.com/ficha_tecnica_pdf/views/ficha-print.php?id=256753</v>
      </c>
      <c r="AC159" s="213"/>
      <c r="AD159" s="213"/>
      <c r="AE159" s="213"/>
      <c r="AF159" s="213"/>
      <c r="AG159" s="213"/>
      <c r="AH159" s="213"/>
      <c r="AI159" s="213"/>
      <c r="AJ159" s="213"/>
      <c r="AK159" s="213"/>
      <c r="AL159" s="213"/>
      <c r="AM159" s="213"/>
      <c r="AN159" s="213"/>
      <c r="AO159" s="213"/>
      <c r="AP159" s="213" t="str">
        <f>IFERROR(__xludf.DUMMYFUNCTION("""COMPUTED_VALUE"""),"BRUNO")</f>
        <v>BRUNO</v>
      </c>
      <c r="AQ159" s="213"/>
      <c r="AR159" s="213"/>
      <c r="AS159" s="213"/>
      <c r="AT159" s="213"/>
      <c r="AU159" s="213"/>
      <c r="AV159" s="213"/>
      <c r="AW159" s="213"/>
      <c r="AX159" s="213"/>
      <c r="AY159" s="213"/>
      <c r="AZ159" s="213"/>
      <c r="BA159" s="213"/>
      <c r="BB159" s="213"/>
      <c r="BC159" s="213"/>
      <c r="BD159" s="213"/>
    </row>
    <row r="160">
      <c r="A160" s="213">
        <f>IFERROR(__xludf.DUMMYFUNCTION("""COMPUTED_VALUE"""),1098.0)</f>
        <v>1098</v>
      </c>
      <c r="B160" s="213" t="str">
        <f>IFERROR(__xludf.DUMMYFUNCTION("""COMPUTED_VALUE"""),"FRANCISCO IRAZOLA")</f>
        <v>FRANCISCO IRAZOLA</v>
      </c>
      <c r="C160" s="213" t="str">
        <f>IFERROR(__xludf.DUMMYFUNCTION("""COMPUTED_VALUE"""),"TALLER SFT DE INDUSTRIA ALIMENTARIA")</f>
        <v>TALLER SFT DE INDUSTRIA ALIMENTARIA</v>
      </c>
      <c r="D160" s="213" t="str">
        <f>IFERROR(__xludf.DUMMYFUNCTION("""COMPUTED_VALUE"""),"EQUIPOS")</f>
        <v>EQUIPOS</v>
      </c>
      <c r="E160" s="213" t="str">
        <f>IFERROR(__xludf.DUMMYFUNCTION("""COMPUTED_VALUE"""),"COM-111")</f>
        <v>COM-111</v>
      </c>
      <c r="F160" s="213" t="str">
        <f>IFERROR(__xludf.DUMMYFUNCTION("""COMPUTED_VALUE"""),"COM-111")</f>
        <v>COM-111</v>
      </c>
      <c r="G160" s="213"/>
      <c r="H160" s="213" t="str">
        <f>IFERROR(__xludf.DUMMYFUNCTION("""COMPUTED_VALUE"""),"BALANZA GRAMERA 500G")</f>
        <v>BALANZA GRAMERA 500G</v>
      </c>
      <c r="I160" s="213" t="str">
        <f>IFERROR(__xludf.DUMMYFUNCTION("""COMPUTED_VALUE"""),"· Balanza electrónica digital
· Capacidad: máxima 500g
· Precisión: 0.1g
· Funciones de peso bruto, tara, cero.
· Pantalla: Mínimo LCD
· Dimensiones aproximadas: 15 x 10 x 2 cm.
· Bandeja 8 x 7 cm como mínimo.
· Accesorios: Pilas AAA")</f>
        <v>· Balanza electrónica digital
· Capacidad: máxima 500g
· Precisión: 0.1g
· Funciones de peso bruto, tara, cero.
· Pantalla: Mínimo LCD
· Dimensiones aproximadas: 15 x 10 x 2 cm.
· Bandeja 8 x 7 cm como mínimo.
· Accesorios: Pilas AAA</v>
      </c>
      <c r="J160" s="213">
        <f>IFERROR(__xludf.DUMMYFUNCTION("""COMPUTED_VALUE"""),3.0)</f>
        <v>3</v>
      </c>
      <c r="K160" s="213" t="str">
        <f>IFERROR(__xludf.DUMMYFUNCTION("""COMPUTED_VALUE"""),"90 DÍAS CALENDARIO")</f>
        <v>90 DÍAS CALENDARIO</v>
      </c>
      <c r="L160" s="213" t="str">
        <f>IFERROR(__xludf.DUMMYFUNCTION("""COMPUTED_VALUE"""),"")</f>
        <v/>
      </c>
      <c r="M160" s="213">
        <f>IFERROR(__xludf.DUMMYFUNCTION("""COMPUTED_VALUE"""),1.0)</f>
        <v>1</v>
      </c>
      <c r="N160" s="213">
        <f>IFERROR(__xludf.DUMMYFUNCTION("""COMPUTED_VALUE"""),1.0)</f>
        <v>1</v>
      </c>
      <c r="O160" s="213">
        <f>IFERROR(__xludf.DUMMYFUNCTION("""COMPUTED_VALUE"""),1.0)</f>
        <v>1</v>
      </c>
      <c r="P160" s="213"/>
      <c r="Q160" s="213"/>
      <c r="R160" s="213"/>
      <c r="S160" s="213" t="str">
        <f>IFERROR(__xludf.DUMMYFUNCTION("""COMPUTED_VALUE"""),"SI")</f>
        <v>SI</v>
      </c>
      <c r="T160" s="213" t="str">
        <f>IFERROR(__xludf.DUMMYFUNCTION("""COMPUTED_VALUE"""),"SI")</f>
        <v>SI</v>
      </c>
      <c r="U160" s="213" t="str">
        <f>IFERROR(__xludf.DUMMYFUNCTION("""COMPUTED_VALUE"""),"SI")</f>
        <v>SI</v>
      </c>
      <c r="V160" s="213" t="str">
        <f>IFERROR(__xludf.DUMMYFUNCTION("""COMPUTED_VALUE"""),"-")</f>
        <v>-</v>
      </c>
      <c r="W160" s="213" t="str">
        <f>IFERROR(__xludf.DUMMYFUNCTION("""COMPUTED_VALUE"""),"-")</f>
        <v>-</v>
      </c>
      <c r="X160" s="213" t="str">
        <f>IFERROR(__xludf.DUMMYFUNCTION("""COMPUTED_VALUE"""),"Truper")</f>
        <v>Truper</v>
      </c>
      <c r="Y160" s="213" t="str">
        <f>IFERROR(__xludf.DUMMYFUNCTION("""COMPUTED_VALUE"""),"Báscula electrónica de precisión, de bolsillo, 500 g")</f>
        <v>Báscula electrónica de precisión, de bolsillo, 500 g</v>
      </c>
      <c r="Z160" s="215" t="str">
        <f>IFERROR(__xludf.DUMMYFUNCTION("""COMPUTED_VALUE"""),"https://www.truper.com/ficha_tecnica/Bascula-digital-de-precision-de-bolsillo-500g-Truper.html?code=102316")</f>
        <v>https://www.truper.com/ficha_tecnica/Bascula-digital-de-precision-de-bolsillo-500g-Truper.html?code=102316</v>
      </c>
      <c r="AA160" s="213" t="str">
        <f>IFERROR(__xludf.DUMMYFUNCTION("""COMPUTED_VALUE"""),"COM-111 BALANZA GRAMERA 500G - CET")</f>
        <v>COM-111 BALANZA GRAMERA 500G - CET</v>
      </c>
      <c r="AB160" s="215" t="str">
        <f>IFERROR(__xludf.DUMMYFUNCTION("""COMPUTED_VALUE"""),"https://www.truper.com/ficha_tecnica_pdf/views/ficha-print.php?id=256753")</f>
        <v>https://www.truper.com/ficha_tecnica_pdf/views/ficha-print.php?id=256753</v>
      </c>
      <c r="AC160" s="213"/>
      <c r="AD160" s="213"/>
      <c r="AE160" s="213"/>
      <c r="AF160" s="213"/>
      <c r="AG160" s="213"/>
      <c r="AH160" s="213"/>
      <c r="AI160" s="213"/>
      <c r="AJ160" s="213"/>
      <c r="AK160" s="213"/>
      <c r="AL160" s="213"/>
      <c r="AM160" s="213"/>
      <c r="AN160" s="213"/>
      <c r="AO160" s="213"/>
      <c r="AP160" s="213" t="str">
        <f>IFERROR(__xludf.DUMMYFUNCTION("""COMPUTED_VALUE"""),"BRUNO")</f>
        <v>BRUNO</v>
      </c>
      <c r="AQ160" s="213"/>
      <c r="AR160" s="213"/>
      <c r="AS160" s="213"/>
      <c r="AT160" s="213"/>
      <c r="AU160" s="213"/>
      <c r="AV160" s="213"/>
      <c r="AW160" s="213"/>
      <c r="AX160" s="213"/>
      <c r="AY160" s="213"/>
      <c r="AZ160" s="213"/>
      <c r="BA160" s="213"/>
      <c r="BB160" s="213"/>
      <c r="BC160" s="213"/>
      <c r="BD160" s="213"/>
    </row>
    <row r="161">
      <c r="A161" s="213">
        <f>IFERROR(__xludf.DUMMYFUNCTION("""COMPUTED_VALUE"""),1370.0)</f>
        <v>1370</v>
      </c>
      <c r="B161" s="213" t="str">
        <f>IFERROR(__xludf.DUMMYFUNCTION("""COMPUTED_VALUE"""),"GUILLERMO E. BILLINGHURST ")</f>
        <v>GUILLERMO E. BILLINGHURST </v>
      </c>
      <c r="C161" s="213" t="str">
        <f>IFERROR(__xludf.DUMMYFUNCTION("""COMPUTED_VALUE"""),"TALLER SFT DE INDUSTRIA ALIMENTARIA")</f>
        <v>TALLER SFT DE INDUSTRIA ALIMENTARIA</v>
      </c>
      <c r="D161" s="213" t="str">
        <f>IFERROR(__xludf.DUMMYFUNCTION("""COMPUTED_VALUE"""),"EQUIPOS")</f>
        <v>EQUIPOS</v>
      </c>
      <c r="E161" s="213" t="str">
        <f>IFERROR(__xludf.DUMMYFUNCTION("""COMPUTED_VALUE"""),"COM-111")</f>
        <v>COM-111</v>
      </c>
      <c r="F161" s="213" t="str">
        <f>IFERROR(__xludf.DUMMYFUNCTION("""COMPUTED_VALUE"""),"COM-111")</f>
        <v>COM-111</v>
      </c>
      <c r="G161" s="213"/>
      <c r="H161" s="213" t="str">
        <f>IFERROR(__xludf.DUMMYFUNCTION("""COMPUTED_VALUE"""),"BALANZA GRAMERA 500G")</f>
        <v>BALANZA GRAMERA 500G</v>
      </c>
      <c r="I161" s="213" t="str">
        <f>IFERROR(__xludf.DUMMYFUNCTION("""COMPUTED_VALUE"""),"· Balanza electrónica digital
· Capacidad: máxima 500g
· Precisión: 0.1g
· Funciones de peso bruto, tara, cero.
· Pantalla: Mínimo LCD
· Dimensiones aproximadas: 15 x 10 x 2 cm.
· Bandeja 8 x 7 cm como mínimo.
· Accesorios: Pilas AAA")</f>
        <v>· Balanza electrónica digital
· Capacidad: máxima 500g
· Precisión: 0.1g
· Funciones de peso bruto, tara, cero.
· Pantalla: Mínimo LCD
· Dimensiones aproximadas: 15 x 10 x 2 cm.
· Bandeja 8 x 7 cm como mínimo.
· Accesorios: Pilas AAA</v>
      </c>
      <c r="J161" s="213">
        <f>IFERROR(__xludf.DUMMYFUNCTION("""COMPUTED_VALUE"""),3.0)</f>
        <v>3</v>
      </c>
      <c r="K161" s="213" t="str">
        <f>IFERROR(__xludf.DUMMYFUNCTION("""COMPUTED_VALUE"""),"90 DÍAS CALENDARIO")</f>
        <v>90 DÍAS CALENDARIO</v>
      </c>
      <c r="L161" s="213" t="str">
        <f>IFERROR(__xludf.DUMMYFUNCTION("""COMPUTED_VALUE"""),"")</f>
        <v/>
      </c>
      <c r="M161" s="213">
        <f>IFERROR(__xludf.DUMMYFUNCTION("""COMPUTED_VALUE"""),1.0)</f>
        <v>1</v>
      </c>
      <c r="N161" s="213">
        <f>IFERROR(__xludf.DUMMYFUNCTION("""COMPUTED_VALUE"""),1.0)</f>
        <v>1</v>
      </c>
      <c r="O161" s="213">
        <f>IFERROR(__xludf.DUMMYFUNCTION("""COMPUTED_VALUE"""),1.0)</f>
        <v>1</v>
      </c>
      <c r="P161" s="213"/>
      <c r="Q161" s="213"/>
      <c r="R161" s="213"/>
      <c r="S161" s="213" t="str">
        <f>IFERROR(__xludf.DUMMYFUNCTION("""COMPUTED_VALUE"""),"SI")</f>
        <v>SI</v>
      </c>
      <c r="T161" s="213" t="str">
        <f>IFERROR(__xludf.DUMMYFUNCTION("""COMPUTED_VALUE"""),"SI")</f>
        <v>SI</v>
      </c>
      <c r="U161" s="213" t="str">
        <f>IFERROR(__xludf.DUMMYFUNCTION("""COMPUTED_VALUE"""),"SI")</f>
        <v>SI</v>
      </c>
      <c r="V161" s="213" t="str">
        <f>IFERROR(__xludf.DUMMYFUNCTION("""COMPUTED_VALUE"""),"-")</f>
        <v>-</v>
      </c>
      <c r="W161" s="213" t="str">
        <f>IFERROR(__xludf.DUMMYFUNCTION("""COMPUTED_VALUE"""),"-")</f>
        <v>-</v>
      </c>
      <c r="X161" s="213" t="str">
        <f>IFERROR(__xludf.DUMMYFUNCTION("""COMPUTED_VALUE"""),"Truper")</f>
        <v>Truper</v>
      </c>
      <c r="Y161" s="213" t="str">
        <f>IFERROR(__xludf.DUMMYFUNCTION("""COMPUTED_VALUE"""),"Báscula electrónica de precisión, de bolsillo, 500 g")</f>
        <v>Báscula electrónica de precisión, de bolsillo, 500 g</v>
      </c>
      <c r="Z161" s="215" t="str">
        <f>IFERROR(__xludf.DUMMYFUNCTION("""COMPUTED_VALUE"""),"https://www.truper.com/ficha_tecnica/Bascula-digital-de-precision-de-bolsillo-500g-Truper.html?code=102316")</f>
        <v>https://www.truper.com/ficha_tecnica/Bascula-digital-de-precision-de-bolsillo-500g-Truper.html?code=102316</v>
      </c>
      <c r="AA161" s="213" t="str">
        <f>IFERROR(__xludf.DUMMYFUNCTION("""COMPUTED_VALUE"""),"COM-111 BALANZA GRAMERA 500G - CET")</f>
        <v>COM-111 BALANZA GRAMERA 500G - CET</v>
      </c>
      <c r="AB161" s="215" t="str">
        <f>IFERROR(__xludf.DUMMYFUNCTION("""COMPUTED_VALUE"""),"https://www.truper.com/ficha_tecnica_pdf/views/ficha-print.php?id=256753")</f>
        <v>https://www.truper.com/ficha_tecnica_pdf/views/ficha-print.php?id=256753</v>
      </c>
      <c r="AC161" s="213"/>
      <c r="AD161" s="213"/>
      <c r="AE161" s="213"/>
      <c r="AF161" s="213"/>
      <c r="AG161" s="213"/>
      <c r="AH161" s="213"/>
      <c r="AI161" s="213"/>
      <c r="AJ161" s="213"/>
      <c r="AK161" s="213"/>
      <c r="AL161" s="213"/>
      <c r="AM161" s="213"/>
      <c r="AN161" s="213"/>
      <c r="AO161" s="213"/>
      <c r="AP161" s="213" t="str">
        <f>IFERROR(__xludf.DUMMYFUNCTION("""COMPUTED_VALUE"""),"BRUNO")</f>
        <v>BRUNO</v>
      </c>
      <c r="AQ161" s="213"/>
      <c r="AR161" s="213"/>
      <c r="AS161" s="213"/>
      <c r="AT161" s="213"/>
      <c r="AU161" s="213"/>
      <c r="AV161" s="213"/>
      <c r="AW161" s="213"/>
      <c r="AX161" s="213"/>
      <c r="AY161" s="213"/>
      <c r="AZ161" s="213"/>
      <c r="BA161" s="213"/>
      <c r="BB161" s="213"/>
      <c r="BC161" s="213"/>
      <c r="BD161" s="213"/>
    </row>
    <row r="162">
      <c r="A162" s="213">
        <f>IFERROR(__xludf.DUMMYFUNCTION("""COMPUTED_VALUE"""),2057.0)</f>
        <v>2057</v>
      </c>
      <c r="B162" s="213" t="str">
        <f>IFERROR(__xludf.DUMMYFUNCTION("""COMPUTED_VALUE"""),"JOSE GRANDA")</f>
        <v>JOSE GRANDA</v>
      </c>
      <c r="C162" s="213" t="str">
        <f>IFERROR(__xludf.DUMMYFUNCTION("""COMPUTED_VALUE"""),"TALLER SFT DE INDUSTRIA ALIMENTARIA")</f>
        <v>TALLER SFT DE INDUSTRIA ALIMENTARIA</v>
      </c>
      <c r="D162" s="213" t="str">
        <f>IFERROR(__xludf.DUMMYFUNCTION("""COMPUTED_VALUE"""),"EQUIPOS")</f>
        <v>EQUIPOS</v>
      </c>
      <c r="E162" s="213" t="str">
        <f>IFERROR(__xludf.DUMMYFUNCTION("""COMPUTED_VALUE"""),"COM-111")</f>
        <v>COM-111</v>
      </c>
      <c r="F162" s="213" t="str">
        <f>IFERROR(__xludf.DUMMYFUNCTION("""COMPUTED_VALUE"""),"COM-111")</f>
        <v>COM-111</v>
      </c>
      <c r="G162" s="213"/>
      <c r="H162" s="213" t="str">
        <f>IFERROR(__xludf.DUMMYFUNCTION("""COMPUTED_VALUE"""),"BALANZA GRAMERA 500G")</f>
        <v>BALANZA GRAMERA 500G</v>
      </c>
      <c r="I162" s="213" t="str">
        <f>IFERROR(__xludf.DUMMYFUNCTION("""COMPUTED_VALUE"""),"· Balanza electrónica digital
· Capacidad: máxima 500g
· Precisión: 0.1g
· Funciones de peso bruto, tara, cero.
· Pantalla: Mínimo LCD
· Dimensiones aproximadas: 15 x 10 x 2 cm.
· Bandeja 8 x 7 cm como mínimo.
· Accesorios: Pilas AAA")</f>
        <v>· Balanza electrónica digital
· Capacidad: máxima 500g
· Precisión: 0.1g
· Funciones de peso bruto, tara, cero.
· Pantalla: Mínimo LCD
· Dimensiones aproximadas: 15 x 10 x 2 cm.
· Bandeja 8 x 7 cm como mínimo.
· Accesorios: Pilas AAA</v>
      </c>
      <c r="J162" s="213">
        <f>IFERROR(__xludf.DUMMYFUNCTION("""COMPUTED_VALUE"""),3.0)</f>
        <v>3</v>
      </c>
      <c r="K162" s="213" t="str">
        <f>IFERROR(__xludf.DUMMYFUNCTION("""COMPUTED_VALUE"""),"90 DÍAS CALENDARIO")</f>
        <v>90 DÍAS CALENDARIO</v>
      </c>
      <c r="L162" s="213" t="str">
        <f>IFERROR(__xludf.DUMMYFUNCTION("""COMPUTED_VALUE"""),"")</f>
        <v/>
      </c>
      <c r="M162" s="213">
        <f>IFERROR(__xludf.DUMMYFUNCTION("""COMPUTED_VALUE"""),1.0)</f>
        <v>1</v>
      </c>
      <c r="N162" s="213">
        <f>IFERROR(__xludf.DUMMYFUNCTION("""COMPUTED_VALUE"""),1.0)</f>
        <v>1</v>
      </c>
      <c r="O162" s="213">
        <f>IFERROR(__xludf.DUMMYFUNCTION("""COMPUTED_VALUE"""),1.0)</f>
        <v>1</v>
      </c>
      <c r="P162" s="213"/>
      <c r="Q162" s="213"/>
      <c r="R162" s="213"/>
      <c r="S162" s="213" t="str">
        <f>IFERROR(__xludf.DUMMYFUNCTION("""COMPUTED_VALUE"""),"SI")</f>
        <v>SI</v>
      </c>
      <c r="T162" s="213" t="str">
        <f>IFERROR(__xludf.DUMMYFUNCTION("""COMPUTED_VALUE"""),"SI")</f>
        <v>SI</v>
      </c>
      <c r="U162" s="213" t="str">
        <f>IFERROR(__xludf.DUMMYFUNCTION("""COMPUTED_VALUE"""),"SI")</f>
        <v>SI</v>
      </c>
      <c r="V162" s="213" t="str">
        <f>IFERROR(__xludf.DUMMYFUNCTION("""COMPUTED_VALUE"""),"-")</f>
        <v>-</v>
      </c>
      <c r="W162" s="213" t="str">
        <f>IFERROR(__xludf.DUMMYFUNCTION("""COMPUTED_VALUE"""),"-")</f>
        <v>-</v>
      </c>
      <c r="X162" s="213" t="str">
        <f>IFERROR(__xludf.DUMMYFUNCTION("""COMPUTED_VALUE"""),"Truper")</f>
        <v>Truper</v>
      </c>
      <c r="Y162" s="213" t="str">
        <f>IFERROR(__xludf.DUMMYFUNCTION("""COMPUTED_VALUE"""),"Báscula electrónica de precisión, de bolsillo, 500 g")</f>
        <v>Báscula electrónica de precisión, de bolsillo, 500 g</v>
      </c>
      <c r="Z162" s="215" t="str">
        <f>IFERROR(__xludf.DUMMYFUNCTION("""COMPUTED_VALUE"""),"https://www.truper.com/ficha_tecnica/Bascula-digital-de-precision-de-bolsillo-500g-Truper.html?code=102316")</f>
        <v>https://www.truper.com/ficha_tecnica/Bascula-digital-de-precision-de-bolsillo-500g-Truper.html?code=102316</v>
      </c>
      <c r="AA162" s="213" t="str">
        <f>IFERROR(__xludf.DUMMYFUNCTION("""COMPUTED_VALUE"""),"COM-111 BALANZA GRAMERA 500G - CET")</f>
        <v>COM-111 BALANZA GRAMERA 500G - CET</v>
      </c>
      <c r="AB162" s="215" t="str">
        <f>IFERROR(__xludf.DUMMYFUNCTION("""COMPUTED_VALUE"""),"https://www.truper.com/ficha_tecnica_pdf/views/ficha-print.php?id=256753")</f>
        <v>https://www.truper.com/ficha_tecnica_pdf/views/ficha-print.php?id=256753</v>
      </c>
      <c r="AC162" s="213"/>
      <c r="AD162" s="213"/>
      <c r="AE162" s="213"/>
      <c r="AF162" s="213"/>
      <c r="AG162" s="213"/>
      <c r="AH162" s="213"/>
      <c r="AI162" s="213"/>
      <c r="AJ162" s="213"/>
      <c r="AK162" s="213"/>
      <c r="AL162" s="213"/>
      <c r="AM162" s="213"/>
      <c r="AN162" s="213"/>
      <c r="AO162" s="213"/>
      <c r="AP162" s="213" t="str">
        <f>IFERROR(__xludf.DUMMYFUNCTION("""COMPUTED_VALUE"""),"BRUNO")</f>
        <v>BRUNO</v>
      </c>
      <c r="AQ162" s="213"/>
      <c r="AR162" s="213"/>
      <c r="AS162" s="213"/>
      <c r="AT162" s="213"/>
      <c r="AU162" s="213"/>
      <c r="AV162" s="213"/>
      <c r="AW162" s="213"/>
      <c r="AX162" s="213"/>
      <c r="AY162" s="213"/>
      <c r="AZ162" s="213"/>
      <c r="BA162" s="213"/>
      <c r="BB162" s="213"/>
      <c r="BC162" s="213"/>
      <c r="BD162" s="213"/>
    </row>
    <row r="163">
      <c r="A163" s="213">
        <f>IFERROR(__xludf.DUMMYFUNCTION("""COMPUTED_VALUE"""),348.0)</f>
        <v>348</v>
      </c>
      <c r="B163" s="213" t="str">
        <f>IFERROR(__xludf.DUMMYFUNCTION("""COMPUTED_VALUE"""),"2026 SIMON BOLIVAR")</f>
        <v>2026 SIMON BOLIVAR</v>
      </c>
      <c r="C163" s="213" t="str">
        <f>IFERROR(__xludf.DUMMYFUNCTION("""COMPUTED_VALUE"""),"TALLER SFT DE ELECTRICIDAD")</f>
        <v>TALLER SFT DE ELECTRICIDAD</v>
      </c>
      <c r="D163" s="213" t="str">
        <f>IFERROR(__xludf.DUMMYFUNCTION("""COMPUTED_VALUE"""),"MOBILIARIO")</f>
        <v>MOBILIARIO</v>
      </c>
      <c r="E163" s="213" t="str">
        <f>IFERROR(__xludf.DUMMYFUNCTION("""COMPUTED_VALUE"""),"COM-129")</f>
        <v>COM-129</v>
      </c>
      <c r="F163" s="213" t="str">
        <f>IFERROR(__xludf.DUMMYFUNCTION("""COMPUTED_VALUE"""),"COM-129")</f>
        <v>COM-129</v>
      </c>
      <c r="G163" s="213"/>
      <c r="H163" s="213" t="str">
        <f>IFERROR(__xludf.DUMMYFUNCTION("""COMPUTED_VALUE"""),"CARRITOS PARA TRANSPORTE DE EQUIPOS")</f>
        <v>CARRITOS PARA TRANSPORTE DE EQUIPOS</v>
      </c>
      <c r="I163" s="213" t="str">
        <f>IFERROR(__xludf.DUMMYFUNCTION("""COMPUTED_VALUE"""),"· Aplicación universal en muchas áreas industriales
· Versión abierta por todos lados con 2 estantes
· Gran resistencia frente a ácidos y bases
· Muy resistente a la temperatura: de -20 a +140° C
· Ruedas guía (TPE) ""antihuella"" con freno
· Soportes de "&amp;"conexión en aluminio cepillado
· Estantes y asas de plástico (PP) con superficies lisas: fácil de limpiar
· Dimensiones plataforma 1000 L x 430 A x 950 H [mm]
· Capacidad de carga total (kg) 160
· Altura estantes 1 (mm) 180
· Altura estantes 2 (mm) 820
· "&amp;"Carga por estante (kg) 80")</f>
        <v>· Aplicación universal en muchas áreas industriales
· Versión abierta por todos lados con 2 estantes
· Gran resistencia frente a ácidos y bases
· Muy resistente a la temperatura: de -20 a +140° C
· Ruedas guía (TPE) "antihuella" con freno
· Soportes de conexión en aluminio cepillado
· Estantes y asas de plástico (PP) con superficies lisas: fácil de limpiar
· Dimensiones plataforma 1000 L x 430 A x 950 H [mm]
· Capacidad de carga total (kg) 160
· Altura estantes 1 (mm) 180
· Altura estantes 2 (mm) 820
· Carga por estante (kg) 80</v>
      </c>
      <c r="J163" s="213">
        <f>IFERROR(__xludf.DUMMYFUNCTION("""COMPUTED_VALUE"""),3.0)</f>
        <v>3</v>
      </c>
      <c r="K163" s="213" t="str">
        <f>IFERROR(__xludf.DUMMYFUNCTION("""COMPUTED_VALUE"""),"90 DÍAS CALENDARIO")</f>
        <v>90 DÍAS CALENDARIO</v>
      </c>
      <c r="L163" s="213" t="str">
        <f>IFERROR(__xludf.DUMMYFUNCTION("""COMPUTED_VALUE"""),"")</f>
        <v/>
      </c>
      <c r="M163" s="213">
        <f>IFERROR(__xludf.DUMMYFUNCTION("""COMPUTED_VALUE"""),1.0)</f>
        <v>1</v>
      </c>
      <c r="N163" s="213">
        <f>IFERROR(__xludf.DUMMYFUNCTION("""COMPUTED_VALUE"""),4.0)</f>
        <v>4</v>
      </c>
      <c r="O163" s="213">
        <f>IFERROR(__xludf.DUMMYFUNCTION("""COMPUTED_VALUE"""),4.0)</f>
        <v>4</v>
      </c>
      <c r="P163" s="213"/>
      <c r="Q163" s="213"/>
      <c r="R163" s="213"/>
      <c r="S163" s="213"/>
      <c r="T163" s="213" t="str">
        <f>IFERROR(__xludf.DUMMYFUNCTION("""COMPUTED_VALUE"""),"NO")</f>
        <v>NO</v>
      </c>
      <c r="U163" s="213" t="str">
        <f>IFERROR(__xludf.DUMMYFUNCTION("""COMPUTED_VALUE"""),"NO")</f>
        <v>NO</v>
      </c>
      <c r="V163" s="213" t="str">
        <f>IFERROR(__xludf.DUMMYFUNCTION("""COMPUTED_VALUE"""),"NO")</f>
        <v>NO</v>
      </c>
      <c r="W163" s="213" t="str">
        <f>IFERROR(__xludf.DUMMYFUNCTION("""COMPUTED_VALUE"""),"DIMENSIONAL")</f>
        <v>DIMENSIONAL</v>
      </c>
      <c r="X163" s="213" t="str">
        <f>IFERROR(__xludf.DUMMYFUNCTION("""COMPUTED_VALUE"""),"DENIOS")</f>
        <v>DENIOS</v>
      </c>
      <c r="Y163" s="213">
        <f>IFERROR(__xludf.DUMMYFUNCTION("""COMPUTED_VALUE"""),180037.0)</f>
        <v>180037</v>
      </c>
      <c r="Z163" s="215" t="str">
        <f>IFERROR(__xludf.DUMMYFUNCTION("""COMPUTED_VALUE"""),"https://www.denios.es/carrito-multiusos-en-plastico-tubos-de-aluminio-cepillado-2-pisos-180037/180037?13=1")</f>
        <v>https://www.denios.es/carrito-multiusos-en-plastico-tubos-de-aluminio-cepillado-2-pisos-180037/180037?13=1</v>
      </c>
      <c r="AA163" s="213" t="str">
        <f>IFERROR(__xludf.DUMMYFUNCTION("""COMPUTED_VALUE"""),"COM-129 CARRITOS PARA TRANSPORTE DE EQUIPOS - CET")</f>
        <v>COM-129 CARRITOS PARA TRANSPORTE DE EQUIPOS - CET</v>
      </c>
      <c r="AB163" s="213"/>
      <c r="AC163" s="213"/>
      <c r="AD163" s="213"/>
      <c r="AE163" s="213"/>
      <c r="AF163" s="213"/>
      <c r="AG163" s="213"/>
      <c r="AH163" s="213"/>
      <c r="AI163" s="213"/>
      <c r="AJ163" s="213"/>
      <c r="AK163" s="213"/>
      <c r="AL163" s="213"/>
      <c r="AM163" s="213"/>
      <c r="AN163" s="213"/>
      <c r="AO163" s="213"/>
      <c r="AP163" s="213" t="str">
        <f>IFERROR(__xludf.DUMMYFUNCTION("""COMPUTED_VALUE"""),"BRUNO")</f>
        <v>BRUNO</v>
      </c>
      <c r="AQ163" s="213"/>
      <c r="AR163" s="213"/>
      <c r="AS163" s="213"/>
      <c r="AT163" s="213"/>
      <c r="AU163" s="213"/>
      <c r="AV163" s="213"/>
      <c r="AW163" s="213"/>
      <c r="AX163" s="213"/>
      <c r="AY163" s="213"/>
      <c r="AZ163" s="213"/>
      <c r="BA163" s="213"/>
      <c r="BB163" s="213"/>
      <c r="BC163" s="213"/>
      <c r="BD163" s="213"/>
    </row>
    <row r="164">
      <c r="A164" s="213">
        <f>IFERROR(__xludf.DUMMYFUNCTION("""COMPUTED_VALUE"""),834.0)</f>
        <v>834</v>
      </c>
      <c r="B164" s="213" t="str">
        <f>IFERROR(__xludf.DUMMYFUNCTION("""COMPUTED_VALUE"""),"6049 RICARDO PALMA")</f>
        <v>6049 RICARDO PALMA</v>
      </c>
      <c r="C164" s="213" t="str">
        <f>IFERROR(__xludf.DUMMYFUNCTION("""COMPUTED_VALUE"""),"TALLER SFT DE ELECTRICIDAD")</f>
        <v>TALLER SFT DE ELECTRICIDAD</v>
      </c>
      <c r="D164" s="213" t="str">
        <f>IFERROR(__xludf.DUMMYFUNCTION("""COMPUTED_VALUE"""),"MOBILIARIO")</f>
        <v>MOBILIARIO</v>
      </c>
      <c r="E164" s="213" t="str">
        <f>IFERROR(__xludf.DUMMYFUNCTION("""COMPUTED_VALUE"""),"COM-129")</f>
        <v>COM-129</v>
      </c>
      <c r="F164" s="213" t="str">
        <f>IFERROR(__xludf.DUMMYFUNCTION("""COMPUTED_VALUE"""),"COM-129")</f>
        <v>COM-129</v>
      </c>
      <c r="G164" s="213"/>
      <c r="H164" s="213" t="str">
        <f>IFERROR(__xludf.DUMMYFUNCTION("""COMPUTED_VALUE"""),"CARRITOS PARA TRANSPORTE DE EQUIPOS")</f>
        <v>CARRITOS PARA TRANSPORTE DE EQUIPOS</v>
      </c>
      <c r="I164" s="213" t="str">
        <f>IFERROR(__xludf.DUMMYFUNCTION("""COMPUTED_VALUE"""),"· Aplicación universal en muchas áreas industriales
· Versión abierta por todos lados con 2 estantes
· Gran resistencia frente a ácidos y bases
· Muy resistente a la temperatura: de -20 a +140° C
· Ruedas guía (TPE) ""antihuella"" con freno
· Soportes de "&amp;"conexión en aluminio cepillado
· Estantes y asas de plástico (PP) con superficies lisas: fácil de limpiar
· Dimensiones plataforma 1000 L x 430 A x 950 H [mm]
· Capacidad de carga total (kg) 160
· Altura estantes 1 (mm) 180
· Altura estantes 2 (mm) 820
· "&amp;"Carga por estante (kg) 80")</f>
        <v>· Aplicación universal en muchas áreas industriales
· Versión abierta por todos lados con 2 estantes
· Gran resistencia frente a ácidos y bases
· Muy resistente a la temperatura: de -20 a +140° C
· Ruedas guía (TPE) "antihuella" con freno
· Soportes de conexión en aluminio cepillado
· Estantes y asas de plástico (PP) con superficies lisas: fácil de limpiar
· Dimensiones plataforma 1000 L x 430 A x 950 H [mm]
· Capacidad de carga total (kg) 160
· Altura estantes 1 (mm) 180
· Altura estantes 2 (mm) 820
· Carga por estante (kg) 80</v>
      </c>
      <c r="J164" s="213">
        <f>IFERROR(__xludf.DUMMYFUNCTION("""COMPUTED_VALUE"""),3.0)</f>
        <v>3</v>
      </c>
      <c r="K164" s="213" t="str">
        <f>IFERROR(__xludf.DUMMYFUNCTION("""COMPUTED_VALUE"""),"90 DÍAS CALENDARIO")</f>
        <v>90 DÍAS CALENDARIO</v>
      </c>
      <c r="L164" s="213" t="str">
        <f>IFERROR(__xludf.DUMMYFUNCTION("""COMPUTED_VALUE"""),"")</f>
        <v/>
      </c>
      <c r="M164" s="213">
        <f>IFERROR(__xludf.DUMMYFUNCTION("""COMPUTED_VALUE"""),1.0)</f>
        <v>1</v>
      </c>
      <c r="N164" s="213">
        <f>IFERROR(__xludf.DUMMYFUNCTION("""COMPUTED_VALUE"""),4.0)</f>
        <v>4</v>
      </c>
      <c r="O164" s="213">
        <f>IFERROR(__xludf.DUMMYFUNCTION("""COMPUTED_VALUE"""),4.0)</f>
        <v>4</v>
      </c>
      <c r="P164" s="213"/>
      <c r="Q164" s="213"/>
      <c r="R164" s="213"/>
      <c r="S164" s="213"/>
      <c r="T164" s="213" t="str">
        <f>IFERROR(__xludf.DUMMYFUNCTION("""COMPUTED_VALUE"""),"NO")</f>
        <v>NO</v>
      </c>
      <c r="U164" s="213" t="str">
        <f>IFERROR(__xludf.DUMMYFUNCTION("""COMPUTED_VALUE"""),"NO")</f>
        <v>NO</v>
      </c>
      <c r="V164" s="213" t="str">
        <f>IFERROR(__xludf.DUMMYFUNCTION("""COMPUTED_VALUE"""),"NO")</f>
        <v>NO</v>
      </c>
      <c r="W164" s="213" t="str">
        <f>IFERROR(__xludf.DUMMYFUNCTION("""COMPUTED_VALUE"""),"DIMENSIONAL")</f>
        <v>DIMENSIONAL</v>
      </c>
      <c r="X164" s="213" t="str">
        <f>IFERROR(__xludf.DUMMYFUNCTION("""COMPUTED_VALUE"""),"DENIOS")</f>
        <v>DENIOS</v>
      </c>
      <c r="Y164" s="213">
        <f>IFERROR(__xludf.DUMMYFUNCTION("""COMPUTED_VALUE"""),180037.0)</f>
        <v>180037</v>
      </c>
      <c r="Z164" s="215" t="str">
        <f>IFERROR(__xludf.DUMMYFUNCTION("""COMPUTED_VALUE"""),"https://www.denios.es/carrito-multiusos-en-plastico-tubos-de-aluminio-cepillado-2-pisos-180037/180037?13=1")</f>
        <v>https://www.denios.es/carrito-multiusos-en-plastico-tubos-de-aluminio-cepillado-2-pisos-180037/180037?13=1</v>
      </c>
      <c r="AA164" s="213" t="str">
        <f>IFERROR(__xludf.DUMMYFUNCTION("""COMPUTED_VALUE"""),"COM-129 CARRITOS PARA TRANSPORTE DE EQUIPOS - CET")</f>
        <v>COM-129 CARRITOS PARA TRANSPORTE DE EQUIPOS - CET</v>
      </c>
      <c r="AB164" s="213"/>
      <c r="AC164" s="213"/>
      <c r="AD164" s="213"/>
      <c r="AE164" s="213"/>
      <c r="AF164" s="213"/>
      <c r="AG164" s="213"/>
      <c r="AH164" s="213"/>
      <c r="AI164" s="213"/>
      <c r="AJ164" s="213"/>
      <c r="AK164" s="213"/>
      <c r="AL164" s="213"/>
      <c r="AM164" s="213"/>
      <c r="AN164" s="213"/>
      <c r="AO164" s="213"/>
      <c r="AP164" s="213" t="str">
        <f>IFERROR(__xludf.DUMMYFUNCTION("""COMPUTED_VALUE"""),"BRUNO")</f>
        <v>BRUNO</v>
      </c>
      <c r="AQ164" s="213"/>
      <c r="AR164" s="213"/>
      <c r="AS164" s="213"/>
      <c r="AT164" s="213"/>
      <c r="AU164" s="213"/>
      <c r="AV164" s="213"/>
      <c r="AW164" s="213"/>
      <c r="AX164" s="213"/>
      <c r="AY164" s="213"/>
      <c r="AZ164" s="213"/>
      <c r="BA164" s="213"/>
      <c r="BB164" s="213"/>
      <c r="BC164" s="213"/>
      <c r="BD164" s="213"/>
    </row>
    <row r="165">
      <c r="A165" s="213">
        <f>IFERROR(__xludf.DUMMYFUNCTION("""COMPUTED_VALUE"""),1249.0)</f>
        <v>1249</v>
      </c>
      <c r="B165" s="213" t="str">
        <f>IFERROR(__xludf.DUMMYFUNCTION("""COMPUTED_VALUE"""),"GUILLERMO E. BILLINGHURST ")</f>
        <v>GUILLERMO E. BILLINGHURST </v>
      </c>
      <c r="C165" s="213" t="str">
        <f>IFERROR(__xludf.DUMMYFUNCTION("""COMPUTED_VALUE"""),"TALLER SFT DE ELECTRICIDAD")</f>
        <v>TALLER SFT DE ELECTRICIDAD</v>
      </c>
      <c r="D165" s="213" t="str">
        <f>IFERROR(__xludf.DUMMYFUNCTION("""COMPUTED_VALUE"""),"MOBILIARIO")</f>
        <v>MOBILIARIO</v>
      </c>
      <c r="E165" s="213" t="str">
        <f>IFERROR(__xludf.DUMMYFUNCTION("""COMPUTED_VALUE"""),"COM-129")</f>
        <v>COM-129</v>
      </c>
      <c r="F165" s="213" t="str">
        <f>IFERROR(__xludf.DUMMYFUNCTION("""COMPUTED_VALUE"""),"COM-129")</f>
        <v>COM-129</v>
      </c>
      <c r="G165" s="213"/>
      <c r="H165" s="213" t="str">
        <f>IFERROR(__xludf.DUMMYFUNCTION("""COMPUTED_VALUE"""),"CARRITOS PARA TRANSPORTE DE EQUIPOS")</f>
        <v>CARRITOS PARA TRANSPORTE DE EQUIPOS</v>
      </c>
      <c r="I165" s="213" t="str">
        <f>IFERROR(__xludf.DUMMYFUNCTION("""COMPUTED_VALUE"""),"· Aplicación universal en muchas áreas industriales
· Versión abierta por todos lados con 2 estantes
· Gran resistencia frente a ácidos y bases
· Muy resistente a la temperatura: de -20 a +140° C
· Ruedas guía (TPE) ""antihuella"" con freno
· Soportes de "&amp;"conexión en aluminio cepillado
· Estantes y asas de plástico (PP) con superficies lisas: fácil de limpiar
· Dimensiones plataforma 1000 L x 430 A x 950 H [mm]
· Capacidad de carga total (kg) 160
· Altura estantes 1 (mm) 180
· Altura estantes 2 (mm) 820
· "&amp;"Carga por estante (kg) 80")</f>
        <v>· Aplicación universal en muchas áreas industriales
· Versión abierta por todos lados con 2 estantes
· Gran resistencia frente a ácidos y bases
· Muy resistente a la temperatura: de -20 a +140° C
· Ruedas guía (TPE) "antihuella" con freno
· Soportes de conexión en aluminio cepillado
· Estantes y asas de plástico (PP) con superficies lisas: fácil de limpiar
· Dimensiones plataforma 1000 L x 430 A x 950 H [mm]
· Capacidad de carga total (kg) 160
· Altura estantes 1 (mm) 180
· Altura estantes 2 (mm) 820
· Carga por estante (kg) 80</v>
      </c>
      <c r="J165" s="213">
        <f>IFERROR(__xludf.DUMMYFUNCTION("""COMPUTED_VALUE"""),3.0)</f>
        <v>3</v>
      </c>
      <c r="K165" s="213" t="str">
        <f>IFERROR(__xludf.DUMMYFUNCTION("""COMPUTED_VALUE"""),"90 DÍAS CALENDARIO")</f>
        <v>90 DÍAS CALENDARIO</v>
      </c>
      <c r="L165" s="213" t="str">
        <f>IFERROR(__xludf.DUMMYFUNCTION("""COMPUTED_VALUE"""),"")</f>
        <v/>
      </c>
      <c r="M165" s="213">
        <f>IFERROR(__xludf.DUMMYFUNCTION("""COMPUTED_VALUE"""),1.0)</f>
        <v>1</v>
      </c>
      <c r="N165" s="213">
        <f>IFERROR(__xludf.DUMMYFUNCTION("""COMPUTED_VALUE"""),4.0)</f>
        <v>4</v>
      </c>
      <c r="O165" s="213">
        <f>IFERROR(__xludf.DUMMYFUNCTION("""COMPUTED_VALUE"""),4.0)</f>
        <v>4</v>
      </c>
      <c r="P165" s="213"/>
      <c r="Q165" s="213"/>
      <c r="R165" s="213"/>
      <c r="S165" s="213"/>
      <c r="T165" s="213" t="str">
        <f>IFERROR(__xludf.DUMMYFUNCTION("""COMPUTED_VALUE"""),"NO")</f>
        <v>NO</v>
      </c>
      <c r="U165" s="213" t="str">
        <f>IFERROR(__xludf.DUMMYFUNCTION("""COMPUTED_VALUE"""),"NO")</f>
        <v>NO</v>
      </c>
      <c r="V165" s="213" t="str">
        <f>IFERROR(__xludf.DUMMYFUNCTION("""COMPUTED_VALUE"""),"NO")</f>
        <v>NO</v>
      </c>
      <c r="W165" s="213" t="str">
        <f>IFERROR(__xludf.DUMMYFUNCTION("""COMPUTED_VALUE"""),"DIMENSIONAL")</f>
        <v>DIMENSIONAL</v>
      </c>
      <c r="X165" s="213" t="str">
        <f>IFERROR(__xludf.DUMMYFUNCTION("""COMPUTED_VALUE"""),"DENIOS")</f>
        <v>DENIOS</v>
      </c>
      <c r="Y165" s="213">
        <f>IFERROR(__xludf.DUMMYFUNCTION("""COMPUTED_VALUE"""),180037.0)</f>
        <v>180037</v>
      </c>
      <c r="Z165" s="215" t="str">
        <f>IFERROR(__xludf.DUMMYFUNCTION("""COMPUTED_VALUE"""),"https://www.denios.es/carrito-multiusos-en-plastico-tubos-de-aluminio-cepillado-2-pisos-180037/180037?13=1")</f>
        <v>https://www.denios.es/carrito-multiusos-en-plastico-tubos-de-aluminio-cepillado-2-pisos-180037/180037?13=1</v>
      </c>
      <c r="AA165" s="213" t="str">
        <f>IFERROR(__xludf.DUMMYFUNCTION("""COMPUTED_VALUE"""),"COM-129 CARRITOS PARA TRANSPORTE DE EQUIPOS - CET")</f>
        <v>COM-129 CARRITOS PARA TRANSPORTE DE EQUIPOS - CET</v>
      </c>
      <c r="AB165" s="213"/>
      <c r="AC165" s="213"/>
      <c r="AD165" s="213"/>
      <c r="AE165" s="213"/>
      <c r="AF165" s="213"/>
      <c r="AG165" s="213"/>
      <c r="AH165" s="213"/>
      <c r="AI165" s="213"/>
      <c r="AJ165" s="213"/>
      <c r="AK165" s="213"/>
      <c r="AL165" s="213"/>
      <c r="AM165" s="213"/>
      <c r="AN165" s="213"/>
      <c r="AO165" s="213"/>
      <c r="AP165" s="213" t="str">
        <f>IFERROR(__xludf.DUMMYFUNCTION("""COMPUTED_VALUE"""),"BRUNO")</f>
        <v>BRUNO</v>
      </c>
      <c r="AQ165" s="213"/>
      <c r="AR165" s="213"/>
      <c r="AS165" s="213"/>
      <c r="AT165" s="213"/>
      <c r="AU165" s="213"/>
      <c r="AV165" s="213"/>
      <c r="AW165" s="213"/>
      <c r="AX165" s="213"/>
      <c r="AY165" s="213"/>
      <c r="AZ165" s="213"/>
      <c r="BA165" s="213"/>
      <c r="BB165" s="213"/>
      <c r="BC165" s="213"/>
      <c r="BD165" s="213"/>
    </row>
    <row r="166">
      <c r="A166" s="213">
        <f>IFERROR(__xludf.DUMMYFUNCTION("""COMPUTED_VALUE"""),448.0)</f>
        <v>448</v>
      </c>
      <c r="B166" s="213" t="str">
        <f>IFERROR(__xludf.DUMMYFUNCTION("""COMPUTED_VALUE"""),"2026 SIMON BOLIVAR")</f>
        <v>2026 SIMON BOLIVAR</v>
      </c>
      <c r="C166" s="213" t="str">
        <f>IFERROR(__xludf.DUMMYFUNCTION("""COMPUTED_VALUE"""),"TALLER SFT DE INDUSTRIA ALIMENTARIA")</f>
        <v>TALLER SFT DE INDUSTRIA ALIMENTARIA</v>
      </c>
      <c r="D166" s="213" t="str">
        <f>IFERROR(__xludf.DUMMYFUNCTION("""COMPUTED_VALUE"""),"MOBILIARIO")</f>
        <v>MOBILIARIO</v>
      </c>
      <c r="E166" s="213" t="str">
        <f>IFERROR(__xludf.DUMMYFUNCTION("""COMPUTED_VALUE"""),"COM-132")</f>
        <v>COM-132</v>
      </c>
      <c r="F166" s="213" t="str">
        <f>IFERROR(__xludf.DUMMYFUNCTION("""COMPUTED_VALUE"""),"COM-132")</f>
        <v>COM-132</v>
      </c>
      <c r="G166" s="213"/>
      <c r="H166" s="213" t="str">
        <f>IFERROR(__xludf.DUMMYFUNCTION("""COMPUTED_VALUE"""),"CARRO PORTA BANDEJAS")</f>
        <v>CARRO PORTA BANDEJAS</v>
      </c>
      <c r="I166" s="213" t="str">
        <f>IFERROR(__xludf.DUMMYFUNCTION("""COMPUTED_VALUE"""),"· Dimensiones 1800mm (Al) x 600mm (An) x 700 (P)mm.
· Material de acero inoxidable.
· Para recipientes de 600mm x 400mm
· Máxima capacidad de carga 250kg
· De 12 niveles.
· Espacio entre niveles 120mm. (+/- 50mm)
· Con 4 ruedas, 2 ruedas con freno.
· Cuat"&amp;"ro para-golpes.
· Sección del tubo cuadrado 25mm x 25mm,  espesor 1.5mm (mínimo)
· Construcción soldada, robusta y sólida.
· Para un transporte fácil y cómodo.")</f>
        <v>· Dimensiones 1800mm (Al) x 600mm (An) x 700 (P)mm.
· Material de acero inoxidable.
· Para recipientes de 600mm x 400mm
· Máxima capacidad de carga 250kg
· De 12 niveles.
· Espacio entre niveles 120mm. (+/- 50mm)
· Con 4 ruedas, 2 ruedas con freno.
· Cuatro para-golpes.
· Sección del tubo cuadrado 25mm x 25mm,  espesor 1.5mm (mínimo)
· Construcción soldada, robusta y sólida.
· Para un transporte fácil y cómodo.</v>
      </c>
      <c r="J166" s="213">
        <f>IFERROR(__xludf.DUMMYFUNCTION("""COMPUTED_VALUE"""),3.0)</f>
        <v>3</v>
      </c>
      <c r="K166" s="213" t="str">
        <f>IFERROR(__xludf.DUMMYFUNCTION("""COMPUTED_VALUE"""),"90 DÍAS CALENDARIO")</f>
        <v>90 DÍAS CALENDARIO</v>
      </c>
      <c r="L166" s="213" t="str">
        <f>IFERROR(__xludf.DUMMYFUNCTION("""COMPUTED_VALUE"""),"")</f>
        <v/>
      </c>
      <c r="M166" s="213">
        <f>IFERROR(__xludf.DUMMYFUNCTION("""COMPUTED_VALUE"""),1.0)</f>
        <v>1</v>
      </c>
      <c r="N166" s="213">
        <f>IFERROR(__xludf.DUMMYFUNCTION("""COMPUTED_VALUE"""),1.0)</f>
        <v>1</v>
      </c>
      <c r="O166" s="213">
        <f>IFERROR(__xludf.DUMMYFUNCTION("""COMPUTED_VALUE"""),1.0)</f>
        <v>1</v>
      </c>
      <c r="P166" s="213"/>
      <c r="Q166" s="213"/>
      <c r="R166" s="213"/>
      <c r="S166" s="213"/>
      <c r="T166" s="213" t="str">
        <f>IFERROR(__xludf.DUMMYFUNCTION("""COMPUTED_VALUE"""),"CONSULTA FINAL")</f>
        <v>CONSULTA FINAL</v>
      </c>
      <c r="U166" s="213" t="str">
        <f>IFERROR(__xludf.DUMMYFUNCTION("""COMPUTED_VALUE"""),"NO")</f>
        <v>NO</v>
      </c>
      <c r="V166" s="213" t="str">
        <f>IFERROR(__xludf.DUMMYFUNCTION("""COMPUTED_VALUE"""),"NO")</f>
        <v>NO</v>
      </c>
      <c r="W166" s="213" t="str">
        <f>IFERROR(__xludf.DUMMYFUNCTION("""COMPUTED_VALUE"""),"DIMENSIONAL, EQU TEC")</f>
        <v>DIMENSIONAL, EQU TEC</v>
      </c>
      <c r="X166" s="213" t="str">
        <f>IFERROR(__xludf.DUMMYFUNCTION("""COMPUTED_VALUE"""),"IRIMAR")</f>
        <v>IRIMAR</v>
      </c>
      <c r="Y166" s="213" t="str">
        <f>IFERROR(__xludf.DUMMYFUNCTION("""COMPUTED_VALUE"""),"CB-156040")</f>
        <v>CB-156040</v>
      </c>
      <c r="Z166" s="215" t="str">
        <f>IFERROR(__xludf.DUMMYFUNCTION("""COMPUTED_VALUE"""),"https://www.equipoh.com/mobiliario-de-acero-inoxidable/carro-bandejero-de-panaderia-simple-irimar-1965.html?srsltid=AfmBOoqyjSijjxwMdLLeCVv7JVbln4YFZUMtkSHobk_fxbVHsOmvkM01")</f>
        <v>https://www.equipoh.com/mobiliario-de-acero-inoxidable/carro-bandejero-de-panaderia-simple-irimar-1965.html?srsltid=AfmBOoqyjSijjxwMdLLeCVv7JVbln4YFZUMtkSHobk_fxbVHsOmvkM01</v>
      </c>
      <c r="AA166" s="213" t="str">
        <f>IFERROR(__xludf.DUMMYFUNCTION("""COMPUTED_VALUE"""),"COM-132  CARRO PORTA BANDEJAS - CET")</f>
        <v>COM-132  CARRO PORTA BANDEJAS - CET</v>
      </c>
      <c r="AB166" s="213"/>
      <c r="AC166" s="213"/>
      <c r="AD166" s="213"/>
      <c r="AE166" s="213"/>
      <c r="AF166" s="213"/>
      <c r="AG166" s="213"/>
      <c r="AH166" s="213"/>
      <c r="AI166" s="213"/>
      <c r="AJ166" s="213"/>
      <c r="AK166" s="213"/>
      <c r="AL166" s="213"/>
      <c r="AM166" s="213"/>
      <c r="AN166" s="213"/>
      <c r="AO166" s="213"/>
      <c r="AP166" s="213" t="str">
        <f>IFERROR(__xludf.DUMMYFUNCTION("""COMPUTED_VALUE"""),"BRUNO")</f>
        <v>BRUNO</v>
      </c>
      <c r="AQ166" s="213"/>
      <c r="AR166" s="213"/>
      <c r="AS166" s="213"/>
      <c r="AT166" s="213"/>
      <c r="AU166" s="213"/>
      <c r="AV166" s="213"/>
      <c r="AW166" s="213"/>
      <c r="AX166" s="213"/>
      <c r="AY166" s="213"/>
      <c r="AZ166" s="213"/>
      <c r="BA166" s="213"/>
      <c r="BB166" s="213"/>
      <c r="BC166" s="213"/>
      <c r="BD166" s="213"/>
    </row>
    <row r="167">
      <c r="A167" s="213">
        <f>IFERROR(__xludf.DUMMYFUNCTION("""COMPUTED_VALUE"""),1076.0)</f>
        <v>1076</v>
      </c>
      <c r="B167" s="213" t="str">
        <f>IFERROR(__xludf.DUMMYFUNCTION("""COMPUTED_VALUE"""),"FRANCISCO IRAZOLA")</f>
        <v>FRANCISCO IRAZOLA</v>
      </c>
      <c r="C167" s="213" t="str">
        <f>IFERROR(__xludf.DUMMYFUNCTION("""COMPUTED_VALUE"""),"TALLER SFT DE INDUSTRIA ALIMENTARIA")</f>
        <v>TALLER SFT DE INDUSTRIA ALIMENTARIA</v>
      </c>
      <c r="D167" s="213" t="str">
        <f>IFERROR(__xludf.DUMMYFUNCTION("""COMPUTED_VALUE"""),"MOBILIARIO")</f>
        <v>MOBILIARIO</v>
      </c>
      <c r="E167" s="213" t="str">
        <f>IFERROR(__xludf.DUMMYFUNCTION("""COMPUTED_VALUE"""),"COM-132")</f>
        <v>COM-132</v>
      </c>
      <c r="F167" s="213" t="str">
        <f>IFERROR(__xludf.DUMMYFUNCTION("""COMPUTED_VALUE"""),"COM-132")</f>
        <v>COM-132</v>
      </c>
      <c r="G167" s="213"/>
      <c r="H167" s="213" t="str">
        <f>IFERROR(__xludf.DUMMYFUNCTION("""COMPUTED_VALUE"""),"CARRO PORTA BANDEJAS")</f>
        <v>CARRO PORTA BANDEJAS</v>
      </c>
      <c r="I167" s="213" t="str">
        <f>IFERROR(__xludf.DUMMYFUNCTION("""COMPUTED_VALUE"""),"· Dimensiones 1800mm (Al) x 600mm (An) x 700 (P)mm.
· Material de acero inoxidable.
· Para recipientes de 600mm x 400mm
· Máxima capacidad de carga 250kg
· De 12 niveles.
· Espacio entre niveles 120mm. (+/- 50mm)
· Con 4 ruedas, 2 ruedas con freno.
· Cuat"&amp;"ro para-golpes.
· Sección del tubo cuadrado 25mm x 25mm,  espesor 1.5mm (mínimo)
· Construcción soldada, robusta y sólida.
· Para un transporte fácil y cómodo.")</f>
        <v>· Dimensiones 1800mm (Al) x 600mm (An) x 700 (P)mm.
· Material de acero inoxidable.
· Para recipientes de 600mm x 400mm
· Máxima capacidad de carga 250kg
· De 12 niveles.
· Espacio entre niveles 120mm. (+/- 50mm)
· Con 4 ruedas, 2 ruedas con freno.
· Cuatro para-golpes.
· Sección del tubo cuadrado 25mm x 25mm,  espesor 1.5mm (mínimo)
· Construcción soldada, robusta y sólida.
· Para un transporte fácil y cómodo.</v>
      </c>
      <c r="J167" s="213">
        <f>IFERROR(__xludf.DUMMYFUNCTION("""COMPUTED_VALUE"""),3.0)</f>
        <v>3</v>
      </c>
      <c r="K167" s="213" t="str">
        <f>IFERROR(__xludf.DUMMYFUNCTION("""COMPUTED_VALUE"""),"90 DÍAS CALENDARIO")</f>
        <v>90 DÍAS CALENDARIO</v>
      </c>
      <c r="L167" s="213" t="str">
        <f>IFERROR(__xludf.DUMMYFUNCTION("""COMPUTED_VALUE"""),"")</f>
        <v/>
      </c>
      <c r="M167" s="213">
        <f>IFERROR(__xludf.DUMMYFUNCTION("""COMPUTED_VALUE"""),1.0)</f>
        <v>1</v>
      </c>
      <c r="N167" s="213">
        <f>IFERROR(__xludf.DUMMYFUNCTION("""COMPUTED_VALUE"""),1.0)</f>
        <v>1</v>
      </c>
      <c r="O167" s="213">
        <f>IFERROR(__xludf.DUMMYFUNCTION("""COMPUTED_VALUE"""),1.0)</f>
        <v>1</v>
      </c>
      <c r="P167" s="213"/>
      <c r="Q167" s="213"/>
      <c r="R167" s="213"/>
      <c r="S167" s="213"/>
      <c r="T167" s="213" t="str">
        <f>IFERROR(__xludf.DUMMYFUNCTION("""COMPUTED_VALUE"""),"CONSULTA FINAL")</f>
        <v>CONSULTA FINAL</v>
      </c>
      <c r="U167" s="213" t="str">
        <f>IFERROR(__xludf.DUMMYFUNCTION("""COMPUTED_VALUE"""),"NO")</f>
        <v>NO</v>
      </c>
      <c r="V167" s="213" t="str">
        <f>IFERROR(__xludf.DUMMYFUNCTION("""COMPUTED_VALUE"""),"NO")</f>
        <v>NO</v>
      </c>
      <c r="W167" s="213" t="str">
        <f>IFERROR(__xludf.DUMMYFUNCTION("""COMPUTED_VALUE"""),"DIMENSIONAL, EQU TEC")</f>
        <v>DIMENSIONAL, EQU TEC</v>
      </c>
      <c r="X167" s="213" t="str">
        <f>IFERROR(__xludf.DUMMYFUNCTION("""COMPUTED_VALUE"""),"IRIMAR")</f>
        <v>IRIMAR</v>
      </c>
      <c r="Y167" s="213" t="str">
        <f>IFERROR(__xludf.DUMMYFUNCTION("""COMPUTED_VALUE"""),"CB-156040")</f>
        <v>CB-156040</v>
      </c>
      <c r="Z167" s="215" t="str">
        <f>IFERROR(__xludf.DUMMYFUNCTION("""COMPUTED_VALUE"""),"https://www.equipoh.com/mobiliario-de-acero-inoxidable/carro-bandejero-de-panaderia-simple-irimar-1965.html?srsltid=AfmBOoqyjSijjxwMdLLeCVv7JVbln4YFZUMtkSHobk_fxbVHsOmvkM01")</f>
        <v>https://www.equipoh.com/mobiliario-de-acero-inoxidable/carro-bandejero-de-panaderia-simple-irimar-1965.html?srsltid=AfmBOoqyjSijjxwMdLLeCVv7JVbln4YFZUMtkSHobk_fxbVHsOmvkM01</v>
      </c>
      <c r="AA167" s="213" t="str">
        <f>IFERROR(__xludf.DUMMYFUNCTION("""COMPUTED_VALUE"""),"COM-132  CARRO PORTA BANDEJAS - CET")</f>
        <v>COM-132  CARRO PORTA BANDEJAS - CET</v>
      </c>
      <c r="AB167" s="213"/>
      <c r="AC167" s="213"/>
      <c r="AD167" s="213"/>
      <c r="AE167" s="213"/>
      <c r="AF167" s="213"/>
      <c r="AG167" s="213"/>
      <c r="AH167" s="213"/>
      <c r="AI167" s="213"/>
      <c r="AJ167" s="213"/>
      <c r="AK167" s="213"/>
      <c r="AL167" s="213"/>
      <c r="AM167" s="213"/>
      <c r="AN167" s="213"/>
      <c r="AO167" s="213"/>
      <c r="AP167" s="213" t="str">
        <f>IFERROR(__xludf.DUMMYFUNCTION("""COMPUTED_VALUE"""),"BRUNO")</f>
        <v>BRUNO</v>
      </c>
      <c r="AQ167" s="213"/>
      <c r="AR167" s="213"/>
      <c r="AS167" s="213"/>
      <c r="AT167" s="213"/>
      <c r="AU167" s="213"/>
      <c r="AV167" s="213"/>
      <c r="AW167" s="213"/>
      <c r="AX167" s="213"/>
      <c r="AY167" s="213"/>
      <c r="AZ167" s="213"/>
      <c r="BA167" s="213"/>
      <c r="BB167" s="213"/>
      <c r="BC167" s="213"/>
      <c r="BD167" s="213"/>
    </row>
    <row r="168">
      <c r="A168" s="213">
        <f>IFERROR(__xludf.DUMMYFUNCTION("""COMPUTED_VALUE"""),1353.0)</f>
        <v>1353</v>
      </c>
      <c r="B168" s="213" t="str">
        <f>IFERROR(__xludf.DUMMYFUNCTION("""COMPUTED_VALUE"""),"GUILLERMO E. BILLINGHURST ")</f>
        <v>GUILLERMO E. BILLINGHURST </v>
      </c>
      <c r="C168" s="213" t="str">
        <f>IFERROR(__xludf.DUMMYFUNCTION("""COMPUTED_VALUE"""),"TALLER SFT DE INDUSTRIA ALIMENTARIA")</f>
        <v>TALLER SFT DE INDUSTRIA ALIMENTARIA</v>
      </c>
      <c r="D168" s="213" t="str">
        <f>IFERROR(__xludf.DUMMYFUNCTION("""COMPUTED_VALUE"""),"MOBILIARIO")</f>
        <v>MOBILIARIO</v>
      </c>
      <c r="E168" s="213" t="str">
        <f>IFERROR(__xludf.DUMMYFUNCTION("""COMPUTED_VALUE"""),"COM-132")</f>
        <v>COM-132</v>
      </c>
      <c r="F168" s="213" t="str">
        <f>IFERROR(__xludf.DUMMYFUNCTION("""COMPUTED_VALUE"""),"COM-132")</f>
        <v>COM-132</v>
      </c>
      <c r="G168" s="213"/>
      <c r="H168" s="213" t="str">
        <f>IFERROR(__xludf.DUMMYFUNCTION("""COMPUTED_VALUE"""),"CARRO PORTA BANDEJAS")</f>
        <v>CARRO PORTA BANDEJAS</v>
      </c>
      <c r="I168" s="213" t="str">
        <f>IFERROR(__xludf.DUMMYFUNCTION("""COMPUTED_VALUE"""),"· Dimensiones 1800mm (Al) x 600mm (An) x 700 (P)mm.
· Material de acero inoxidable.
· Para recipientes de 600mm x 400mm
· Máxima capacidad de carga 250kg
· De 12 niveles.
· Espacio entre niveles 120mm. (+/- 50mm)
· Con 4 ruedas, 2 ruedas con freno.
· Cuat"&amp;"ro para-golpes.
· Sección del tubo cuadrado 25mm x 25mm,  espesor 1.5mm (mínimo)
· Construcción soldada, robusta y sólida.
· Para un transporte fácil y cómodo.")</f>
        <v>· Dimensiones 1800mm (Al) x 600mm (An) x 700 (P)mm.
· Material de acero inoxidable.
· Para recipientes de 600mm x 400mm
· Máxima capacidad de carga 250kg
· De 12 niveles.
· Espacio entre niveles 120mm. (+/- 50mm)
· Con 4 ruedas, 2 ruedas con freno.
· Cuatro para-golpes.
· Sección del tubo cuadrado 25mm x 25mm,  espesor 1.5mm (mínimo)
· Construcción soldada, robusta y sólida.
· Para un transporte fácil y cómodo.</v>
      </c>
      <c r="J168" s="213">
        <f>IFERROR(__xludf.DUMMYFUNCTION("""COMPUTED_VALUE"""),3.0)</f>
        <v>3</v>
      </c>
      <c r="K168" s="213" t="str">
        <f>IFERROR(__xludf.DUMMYFUNCTION("""COMPUTED_VALUE"""),"90 DÍAS CALENDARIO")</f>
        <v>90 DÍAS CALENDARIO</v>
      </c>
      <c r="L168" s="213" t="str">
        <f>IFERROR(__xludf.DUMMYFUNCTION("""COMPUTED_VALUE"""),"")</f>
        <v/>
      </c>
      <c r="M168" s="213">
        <f>IFERROR(__xludf.DUMMYFUNCTION("""COMPUTED_VALUE"""),1.0)</f>
        <v>1</v>
      </c>
      <c r="N168" s="213">
        <f>IFERROR(__xludf.DUMMYFUNCTION("""COMPUTED_VALUE"""),1.0)</f>
        <v>1</v>
      </c>
      <c r="O168" s="213">
        <f>IFERROR(__xludf.DUMMYFUNCTION("""COMPUTED_VALUE"""),1.0)</f>
        <v>1</v>
      </c>
      <c r="P168" s="213"/>
      <c r="Q168" s="213"/>
      <c r="R168" s="213"/>
      <c r="S168" s="213"/>
      <c r="T168" s="213" t="str">
        <f>IFERROR(__xludf.DUMMYFUNCTION("""COMPUTED_VALUE"""),"CONSULTA FINAL")</f>
        <v>CONSULTA FINAL</v>
      </c>
      <c r="U168" s="213" t="str">
        <f>IFERROR(__xludf.DUMMYFUNCTION("""COMPUTED_VALUE"""),"NO")</f>
        <v>NO</v>
      </c>
      <c r="V168" s="213" t="str">
        <f>IFERROR(__xludf.DUMMYFUNCTION("""COMPUTED_VALUE"""),"NO")</f>
        <v>NO</v>
      </c>
      <c r="W168" s="213" t="str">
        <f>IFERROR(__xludf.DUMMYFUNCTION("""COMPUTED_VALUE"""),"DIMENSIONAL, EQU TEC")</f>
        <v>DIMENSIONAL, EQU TEC</v>
      </c>
      <c r="X168" s="213" t="str">
        <f>IFERROR(__xludf.DUMMYFUNCTION("""COMPUTED_VALUE"""),"IRIMAR")</f>
        <v>IRIMAR</v>
      </c>
      <c r="Y168" s="213" t="str">
        <f>IFERROR(__xludf.DUMMYFUNCTION("""COMPUTED_VALUE"""),"CB-156040")</f>
        <v>CB-156040</v>
      </c>
      <c r="Z168" s="215" t="str">
        <f>IFERROR(__xludf.DUMMYFUNCTION("""COMPUTED_VALUE"""),"https://www.equipoh.com/mobiliario-de-acero-inoxidable/carro-bandejero-de-panaderia-simple-irimar-1965.html?srsltid=AfmBOoqyjSijjxwMdLLeCVv7JVbln4YFZUMtkSHobk_fxbVHsOmvkM01")</f>
        <v>https://www.equipoh.com/mobiliario-de-acero-inoxidable/carro-bandejero-de-panaderia-simple-irimar-1965.html?srsltid=AfmBOoqyjSijjxwMdLLeCVv7JVbln4YFZUMtkSHobk_fxbVHsOmvkM01</v>
      </c>
      <c r="AA168" s="213" t="str">
        <f>IFERROR(__xludf.DUMMYFUNCTION("""COMPUTED_VALUE"""),"COM-132  CARRO PORTA BANDEJAS - CET")</f>
        <v>COM-132  CARRO PORTA BANDEJAS - CET</v>
      </c>
      <c r="AB168" s="213"/>
      <c r="AC168" s="213"/>
      <c r="AD168" s="213"/>
      <c r="AE168" s="213"/>
      <c r="AF168" s="213"/>
      <c r="AG168" s="213"/>
      <c r="AH168" s="213"/>
      <c r="AI168" s="213"/>
      <c r="AJ168" s="213"/>
      <c r="AK168" s="213"/>
      <c r="AL168" s="213"/>
      <c r="AM168" s="213"/>
      <c r="AN168" s="213"/>
      <c r="AO168" s="213"/>
      <c r="AP168" s="213" t="str">
        <f>IFERROR(__xludf.DUMMYFUNCTION("""COMPUTED_VALUE"""),"BRUNO")</f>
        <v>BRUNO</v>
      </c>
      <c r="AQ168" s="213"/>
      <c r="AR168" s="213"/>
      <c r="AS168" s="213"/>
      <c r="AT168" s="213"/>
      <c r="AU168" s="213"/>
      <c r="AV168" s="213"/>
      <c r="AW168" s="213"/>
      <c r="AX168" s="213"/>
      <c r="AY168" s="213"/>
      <c r="AZ168" s="213"/>
      <c r="BA168" s="213"/>
      <c r="BB168" s="213"/>
      <c r="BC168" s="213"/>
      <c r="BD168" s="213"/>
    </row>
    <row r="169">
      <c r="A169" s="213">
        <f>IFERROR(__xludf.DUMMYFUNCTION("""COMPUTED_VALUE"""),2036.0)</f>
        <v>2036</v>
      </c>
      <c r="B169" s="213" t="str">
        <f>IFERROR(__xludf.DUMMYFUNCTION("""COMPUTED_VALUE"""),"JOSE GRANDA")</f>
        <v>JOSE GRANDA</v>
      </c>
      <c r="C169" s="213" t="str">
        <f>IFERROR(__xludf.DUMMYFUNCTION("""COMPUTED_VALUE"""),"TALLER SFT DE INDUSTRIA ALIMENTARIA")</f>
        <v>TALLER SFT DE INDUSTRIA ALIMENTARIA</v>
      </c>
      <c r="D169" s="213" t="str">
        <f>IFERROR(__xludf.DUMMYFUNCTION("""COMPUTED_VALUE"""),"MOBILIARIO")</f>
        <v>MOBILIARIO</v>
      </c>
      <c r="E169" s="213" t="str">
        <f>IFERROR(__xludf.DUMMYFUNCTION("""COMPUTED_VALUE"""),"COM-132")</f>
        <v>COM-132</v>
      </c>
      <c r="F169" s="213" t="str">
        <f>IFERROR(__xludf.DUMMYFUNCTION("""COMPUTED_VALUE"""),"COM-132")</f>
        <v>COM-132</v>
      </c>
      <c r="G169" s="213"/>
      <c r="H169" s="213" t="str">
        <f>IFERROR(__xludf.DUMMYFUNCTION("""COMPUTED_VALUE"""),"CARRO PORTA BANDEJAS")</f>
        <v>CARRO PORTA BANDEJAS</v>
      </c>
      <c r="I169" s="213" t="str">
        <f>IFERROR(__xludf.DUMMYFUNCTION("""COMPUTED_VALUE"""),"· Dimensiones 1800mm (Al) x 600mm (An) x 700 (P)mm.
· Material de acero inoxidable.
· Para recipientes de 600mm x 400mm
· Máxima capacidad de carga 250kg
· De 12 niveles.
· Espacio entre niveles 120mm. (+/- 50mm)
· Con 4 ruedas, 2 ruedas con freno.
· Cuat"&amp;"ro para-golpes.
· Sección del tubo cuadrado 25mm x 25mm,  espesor 1.5mm (mínimo)
· Construcción soldada, robusta y sólida.
· Para un transporte fácil y cómodo.")</f>
        <v>· Dimensiones 1800mm (Al) x 600mm (An) x 700 (P)mm.
· Material de acero inoxidable.
· Para recipientes de 600mm x 400mm
· Máxima capacidad de carga 250kg
· De 12 niveles.
· Espacio entre niveles 120mm. (+/- 50mm)
· Con 4 ruedas, 2 ruedas con freno.
· Cuatro para-golpes.
· Sección del tubo cuadrado 25mm x 25mm,  espesor 1.5mm (mínimo)
· Construcción soldada, robusta y sólida.
· Para un transporte fácil y cómodo.</v>
      </c>
      <c r="J169" s="213">
        <f>IFERROR(__xludf.DUMMYFUNCTION("""COMPUTED_VALUE"""),3.0)</f>
        <v>3</v>
      </c>
      <c r="K169" s="213" t="str">
        <f>IFERROR(__xludf.DUMMYFUNCTION("""COMPUTED_VALUE"""),"90 DÍAS CALENDARIO")</f>
        <v>90 DÍAS CALENDARIO</v>
      </c>
      <c r="L169" s="213" t="str">
        <f>IFERROR(__xludf.DUMMYFUNCTION("""COMPUTED_VALUE"""),"")</f>
        <v/>
      </c>
      <c r="M169" s="213">
        <f>IFERROR(__xludf.DUMMYFUNCTION("""COMPUTED_VALUE"""),1.0)</f>
        <v>1</v>
      </c>
      <c r="N169" s="213">
        <f>IFERROR(__xludf.DUMMYFUNCTION("""COMPUTED_VALUE"""),1.0)</f>
        <v>1</v>
      </c>
      <c r="O169" s="213">
        <f>IFERROR(__xludf.DUMMYFUNCTION("""COMPUTED_VALUE"""),1.0)</f>
        <v>1</v>
      </c>
      <c r="P169" s="213"/>
      <c r="Q169" s="213"/>
      <c r="R169" s="213"/>
      <c r="S169" s="213"/>
      <c r="T169" s="213" t="str">
        <f>IFERROR(__xludf.DUMMYFUNCTION("""COMPUTED_VALUE"""),"CONSULTA FINAL")</f>
        <v>CONSULTA FINAL</v>
      </c>
      <c r="U169" s="213" t="str">
        <f>IFERROR(__xludf.DUMMYFUNCTION("""COMPUTED_VALUE"""),"NO")</f>
        <v>NO</v>
      </c>
      <c r="V169" s="213" t="str">
        <f>IFERROR(__xludf.DUMMYFUNCTION("""COMPUTED_VALUE"""),"NO")</f>
        <v>NO</v>
      </c>
      <c r="W169" s="213" t="str">
        <f>IFERROR(__xludf.DUMMYFUNCTION("""COMPUTED_VALUE"""),"DIMENSIONAL, EQU TEC")</f>
        <v>DIMENSIONAL, EQU TEC</v>
      </c>
      <c r="X169" s="213" t="str">
        <f>IFERROR(__xludf.DUMMYFUNCTION("""COMPUTED_VALUE"""),"IRIMAR")</f>
        <v>IRIMAR</v>
      </c>
      <c r="Y169" s="213" t="str">
        <f>IFERROR(__xludf.DUMMYFUNCTION("""COMPUTED_VALUE"""),"CB-156040")</f>
        <v>CB-156040</v>
      </c>
      <c r="Z169" s="215" t="str">
        <f>IFERROR(__xludf.DUMMYFUNCTION("""COMPUTED_VALUE"""),"https://www.equipoh.com/mobiliario-de-acero-inoxidable/carro-bandejero-de-panaderia-simple-irimar-1965.html?srsltid=AfmBOoqyjSijjxwMdLLeCVv7JVbln4YFZUMtkSHobk_fxbVHsOmvkM01")</f>
        <v>https://www.equipoh.com/mobiliario-de-acero-inoxidable/carro-bandejero-de-panaderia-simple-irimar-1965.html?srsltid=AfmBOoqyjSijjxwMdLLeCVv7JVbln4YFZUMtkSHobk_fxbVHsOmvkM01</v>
      </c>
      <c r="AA169" s="213" t="str">
        <f>IFERROR(__xludf.DUMMYFUNCTION("""COMPUTED_VALUE"""),"COM-132  CARRO PORTA BANDEJAS - CET")</f>
        <v>COM-132  CARRO PORTA BANDEJAS - CET</v>
      </c>
      <c r="AB169" s="213"/>
      <c r="AC169" s="213"/>
      <c r="AD169" s="213"/>
      <c r="AE169" s="213"/>
      <c r="AF169" s="213"/>
      <c r="AG169" s="213"/>
      <c r="AH169" s="213"/>
      <c r="AI169" s="213"/>
      <c r="AJ169" s="213"/>
      <c r="AK169" s="213"/>
      <c r="AL169" s="213"/>
      <c r="AM169" s="213"/>
      <c r="AN169" s="213"/>
      <c r="AO169" s="213"/>
      <c r="AP169" s="213" t="str">
        <f>IFERROR(__xludf.DUMMYFUNCTION("""COMPUTED_VALUE"""),"BRUNO")</f>
        <v>BRUNO</v>
      </c>
      <c r="AQ169" s="213"/>
      <c r="AR169" s="213"/>
      <c r="AS169" s="213"/>
      <c r="AT169" s="213"/>
      <c r="AU169" s="213"/>
      <c r="AV169" s="213"/>
      <c r="AW169" s="213"/>
      <c r="AX169" s="213"/>
      <c r="AY169" s="213"/>
      <c r="AZ169" s="213"/>
      <c r="BA169" s="213"/>
      <c r="BB169" s="213"/>
      <c r="BC169" s="213"/>
      <c r="BD169" s="213"/>
    </row>
    <row r="170">
      <c r="A170" s="213">
        <f>IFERROR(__xludf.DUMMYFUNCTION("""COMPUTED_VALUE"""),921.0)</f>
        <v>921</v>
      </c>
      <c r="B170" s="213" t="str">
        <f>IFERROR(__xludf.DUMMYFUNCTION("""COMPUTED_VALUE"""),"FRANCISCO IRAZOLA")</f>
        <v>FRANCISCO IRAZOLA</v>
      </c>
      <c r="C170" s="213" t="str">
        <f>IFERROR(__xludf.DUMMYFUNCTION("""COMPUTED_VALUE"""),"TALLER SFT DE MECÁNICA AUTOMOTRIZ")</f>
        <v>TALLER SFT DE MECÁNICA AUTOMOTRIZ</v>
      </c>
      <c r="D170" s="213" t="str">
        <f>IFERROR(__xludf.DUMMYFUNCTION("""COMPUTED_VALUE"""),"MOBILIARIO")</f>
        <v>MOBILIARIO</v>
      </c>
      <c r="E170" s="213" t="str">
        <f>IFERROR(__xludf.DUMMYFUNCTION("""COMPUTED_VALUE"""),"COM-133")</f>
        <v>COM-133</v>
      </c>
      <c r="F170" s="213" t="str">
        <f>IFERROR(__xludf.DUMMYFUNCTION("""COMPUTED_VALUE"""),"COM-133")</f>
        <v>COM-133</v>
      </c>
      <c r="G170" s="213"/>
      <c r="H170" s="213" t="str">
        <f>IFERROR(__xludf.DUMMYFUNCTION("""COMPUTED_VALUE"""),"CARRO PORTA HERRAMIENTAS")</f>
        <v>CARRO PORTA HERRAMIENTAS</v>
      </c>
      <c r="I170" s="213" t="str">
        <f>IFERROR(__xludf.DUMMYFUNCTION("""COMPUTED_VALUE"""),"Carro de servicio, de mínimo 3 compartimientos. Capacidad de carga: mínima 110 kilos.
Longitud: mínimo 700 mm. Ancho: mínimo 350 mm. Altura: mínimo  770 mm. Cuenta con 4 ruedas.")</f>
        <v>Carro de servicio, de mínimo 3 compartimientos. Capacidad de carga: mínima 110 kilos.
Longitud: mínimo 700 mm. Ancho: mínimo 350 mm. Altura: mínimo  770 mm. Cuenta con 4 ruedas.</v>
      </c>
      <c r="J170" s="213">
        <f>IFERROR(__xludf.DUMMYFUNCTION("""COMPUTED_VALUE"""),3.0)</f>
        <v>3</v>
      </c>
      <c r="K170" s="213" t="str">
        <f>IFERROR(__xludf.DUMMYFUNCTION("""COMPUTED_VALUE"""),"90 DÍAS CALENDARIO")</f>
        <v>90 DÍAS CALENDARIO</v>
      </c>
      <c r="L170" s="213" t="str">
        <f>IFERROR(__xludf.DUMMYFUNCTION("""COMPUTED_VALUE"""),"")</f>
        <v/>
      </c>
      <c r="M170" s="213">
        <f>IFERROR(__xludf.DUMMYFUNCTION("""COMPUTED_VALUE"""),1.0)</f>
        <v>1</v>
      </c>
      <c r="N170" s="213">
        <f>IFERROR(__xludf.DUMMYFUNCTION("""COMPUTED_VALUE"""),4.0)</f>
        <v>4</v>
      </c>
      <c r="O170" s="213">
        <f>IFERROR(__xludf.DUMMYFUNCTION("""COMPUTED_VALUE"""),4.0)</f>
        <v>4</v>
      </c>
      <c r="P170" s="213"/>
      <c r="Q170" s="213"/>
      <c r="R170" s="213" t="str">
        <f>IFERROR(__xludf.DUMMYFUNCTION("""COMPUTED_VALUE"""),"SI")</f>
        <v>SI</v>
      </c>
      <c r="S170" s="213"/>
      <c r="T170" s="213" t="str">
        <f>IFERROR(__xludf.DUMMYFUNCTION("""COMPUTED_VALUE"""),"SI")</f>
        <v>SI</v>
      </c>
      <c r="U170" s="213" t="str">
        <f>IFERROR(__xludf.DUMMYFUNCTION("""COMPUTED_VALUE"""),"SI")</f>
        <v>SI</v>
      </c>
      <c r="V170" s="213" t="str">
        <f>IFERROR(__xludf.DUMMYFUNCTION("""COMPUTED_VALUE"""),"-")</f>
        <v>-</v>
      </c>
      <c r="W170" s="213" t="str">
        <f>IFERROR(__xludf.DUMMYFUNCTION("""COMPUTED_VALUE"""),"-")</f>
        <v>-</v>
      </c>
      <c r="X170" s="213" t="str">
        <f>IFERROR(__xludf.DUMMYFUNCTION("""COMPUTED_VALUE"""),"TRUPER")</f>
        <v>TRUPER</v>
      </c>
      <c r="Y170" s="213">
        <f>IFERROR(__xludf.DUMMYFUNCTION("""COMPUTED_VALUE"""),1.000386225E9)</f>
        <v>1000386225</v>
      </c>
      <c r="Z170" s="215" t="str">
        <f>IFERROR(__xludf.DUMMYFUNCTION("""COMPUTED_VALUE"""),"https://www.promart.pe/carro-de-servicio-porta-herramientas-con-3-niveles-truper-11528-1000365598/p?gad_source=1&amp;gad_campaignid=17392014661&amp;gbraid=0AAAAADJIfALRcE3f16KPw_ELhMbCuZ0gE&amp;gclid...")</f>
        <v>https://www.promart.pe/carro-de-servicio-porta-herramientas-con-3-niveles-truper-11528-1000365598/p?gad_source=1&amp;gad_campaignid=17392014661&amp;gbraid=0AAAAADJIfALRcE3f16KPw_ELhMbCuZ0gE&amp;gclid...</v>
      </c>
      <c r="AA170" s="213" t="str">
        <f>IFERROR(__xludf.DUMMYFUNCTION("""COMPUTED_VALUE"""),"COM-133 CARRO PORTA HERRAMIENTAS - CET")</f>
        <v>COM-133 CARRO PORTA HERRAMIENTAS - CET</v>
      </c>
      <c r="AB170" s="215" t="str">
        <f>IFERROR(__xludf.DUMMYFUNCTION("""COMPUTED_VALUE"""),"https://drive.google.com/file/d/126GiFTSxQRvebWXZeP8sOqYSK6sQCwq1/view?usp=sharing")</f>
        <v>https://drive.google.com/file/d/126GiFTSxQRvebWXZeP8sOqYSK6sQCwq1/view?usp=sharing</v>
      </c>
      <c r="AC170" s="215" t="str">
        <f>IFERROR(__xludf.DUMMYFUNCTION("""COMPUTED_VALUE"""),"https://www.promart.pe/carro-de-servicio-porta-herramientas-con-3-niveles-truper-11528-1000365598/p?gad_source=1&amp;gad_campaignid=17392014661&amp;gbraid=0AAAAADJIfALRcE3f16KPw_ELhMbCuZ0gE&amp;gclid...")</f>
        <v>https://www.promart.pe/carro-de-servicio-porta-herramientas-con-3-niveles-truper-11528-1000365598/p?gad_source=1&amp;gad_campaignid=17392014661&amp;gbraid=0AAAAADJIfALRcE3f16KPw_ELhMbCuZ0gE&amp;gclid...</v>
      </c>
      <c r="AD170" s="213"/>
      <c r="AE170" s="213"/>
      <c r="AF170" s="213"/>
      <c r="AG170" s="213"/>
      <c r="AH170" s="213" t="str">
        <f>IFERROR(__xludf.DUMMYFUNCTION("""COMPUTED_VALUE"""),"NACIONAL")</f>
        <v>NACIONAL</v>
      </c>
      <c r="AI170" s="213"/>
      <c r="AJ170" s="213"/>
      <c r="AK170" s="213"/>
      <c r="AL170" s="213"/>
      <c r="AM170" s="213"/>
      <c r="AN170" s="213"/>
      <c r="AO170" s="213"/>
      <c r="AP170" s="213" t="str">
        <f>IFERROR(__xludf.DUMMYFUNCTION("""COMPUTED_VALUE"""),"LUIS")</f>
        <v>LUIS</v>
      </c>
      <c r="AQ170" s="213"/>
      <c r="AR170" s="213"/>
      <c r="AS170" s="213"/>
      <c r="AT170" s="213"/>
      <c r="AU170" s="213"/>
      <c r="AV170" s="213"/>
      <c r="AW170" s="213"/>
      <c r="AX170" s="213"/>
      <c r="AY170" s="213"/>
      <c r="AZ170" s="213"/>
      <c r="BA170" s="213"/>
      <c r="BB170" s="213"/>
      <c r="BC170" s="213"/>
      <c r="BD170" s="213"/>
    </row>
    <row r="171">
      <c r="A171" s="213">
        <f>IFERROR(__xludf.DUMMYFUNCTION("""COMPUTED_VALUE"""),1522.0)</f>
        <v>1522</v>
      </c>
      <c r="B171" s="213" t="str">
        <f>IFERROR(__xludf.DUMMYFUNCTION("""COMPUTED_VALUE"""),"GUILLERMO E. BILLINGHURST ")</f>
        <v>GUILLERMO E. BILLINGHURST </v>
      </c>
      <c r="C171" s="213" t="str">
        <f>IFERROR(__xludf.DUMMYFUNCTION("""COMPUTED_VALUE"""),"TALLER SFT DE MECÁNICA AUTOMOTRIZ")</f>
        <v>TALLER SFT DE MECÁNICA AUTOMOTRIZ</v>
      </c>
      <c r="D171" s="213" t="str">
        <f>IFERROR(__xludf.DUMMYFUNCTION("""COMPUTED_VALUE"""),"MOBILIARIO")</f>
        <v>MOBILIARIO</v>
      </c>
      <c r="E171" s="213" t="str">
        <f>IFERROR(__xludf.DUMMYFUNCTION("""COMPUTED_VALUE"""),"COM-133")</f>
        <v>COM-133</v>
      </c>
      <c r="F171" s="213" t="str">
        <f>IFERROR(__xludf.DUMMYFUNCTION("""COMPUTED_VALUE"""),"COM-133")</f>
        <v>COM-133</v>
      </c>
      <c r="G171" s="213"/>
      <c r="H171" s="213" t="str">
        <f>IFERROR(__xludf.DUMMYFUNCTION("""COMPUTED_VALUE"""),"CARRO PORTA HERRAMIENTAS")</f>
        <v>CARRO PORTA HERRAMIENTAS</v>
      </c>
      <c r="I171" s="213" t="str">
        <f>IFERROR(__xludf.DUMMYFUNCTION("""COMPUTED_VALUE"""),"Carro de servicio, de mínimo 3 compartimientos. Capacidad de carga: mínima 110 kilos.
Longitud: mínimo 700 mm. Ancho: mínimo 350 mm. Altura: mínimo  770 mm. Cuenta con 4 ruedas.")</f>
        <v>Carro de servicio, de mínimo 3 compartimientos. Capacidad de carga: mínima 110 kilos.
Longitud: mínimo 700 mm. Ancho: mínimo 350 mm. Altura: mínimo  770 mm. Cuenta con 4 ruedas.</v>
      </c>
      <c r="J171" s="213">
        <f>IFERROR(__xludf.DUMMYFUNCTION("""COMPUTED_VALUE"""),3.0)</f>
        <v>3</v>
      </c>
      <c r="K171" s="213" t="str">
        <f>IFERROR(__xludf.DUMMYFUNCTION("""COMPUTED_VALUE"""),"90 DÍAS CALENDARIO")</f>
        <v>90 DÍAS CALENDARIO</v>
      </c>
      <c r="L171" s="213" t="str">
        <f>IFERROR(__xludf.DUMMYFUNCTION("""COMPUTED_VALUE"""),"")</f>
        <v/>
      </c>
      <c r="M171" s="213">
        <f>IFERROR(__xludf.DUMMYFUNCTION("""COMPUTED_VALUE"""),1.0)</f>
        <v>1</v>
      </c>
      <c r="N171" s="213">
        <f>IFERROR(__xludf.DUMMYFUNCTION("""COMPUTED_VALUE"""),4.0)</f>
        <v>4</v>
      </c>
      <c r="O171" s="213">
        <f>IFERROR(__xludf.DUMMYFUNCTION("""COMPUTED_VALUE"""),4.0)</f>
        <v>4</v>
      </c>
      <c r="P171" s="213"/>
      <c r="Q171" s="213"/>
      <c r="R171" s="213" t="str">
        <f>IFERROR(__xludf.DUMMYFUNCTION("""COMPUTED_VALUE"""),"SI")</f>
        <v>SI</v>
      </c>
      <c r="S171" s="213"/>
      <c r="T171" s="213" t="str">
        <f>IFERROR(__xludf.DUMMYFUNCTION("""COMPUTED_VALUE"""),"SI")</f>
        <v>SI</v>
      </c>
      <c r="U171" s="213" t="str">
        <f>IFERROR(__xludf.DUMMYFUNCTION("""COMPUTED_VALUE"""),"SI")</f>
        <v>SI</v>
      </c>
      <c r="V171" s="213" t="str">
        <f>IFERROR(__xludf.DUMMYFUNCTION("""COMPUTED_VALUE"""),"-")</f>
        <v>-</v>
      </c>
      <c r="W171" s="213" t="str">
        <f>IFERROR(__xludf.DUMMYFUNCTION("""COMPUTED_VALUE"""),"-")</f>
        <v>-</v>
      </c>
      <c r="X171" s="213" t="str">
        <f>IFERROR(__xludf.DUMMYFUNCTION("""COMPUTED_VALUE"""),"TRUPER")</f>
        <v>TRUPER</v>
      </c>
      <c r="Y171" s="213">
        <f>IFERROR(__xludf.DUMMYFUNCTION("""COMPUTED_VALUE"""),1.000386225E9)</f>
        <v>1000386225</v>
      </c>
      <c r="Z171" s="215" t="str">
        <f>IFERROR(__xludf.DUMMYFUNCTION("""COMPUTED_VALUE"""),"https://www.promart.pe/carro-de-servicio-porta-herramientas-con-3-niveles-truper-11528-1000365598/p?gad_source=1&amp;gad_campaignid=17392014661&amp;gbraid=0AAAAADJIfALRcE3f16KPw_ELhMbCuZ0gE&amp;gclid...")</f>
        <v>https://www.promart.pe/carro-de-servicio-porta-herramientas-con-3-niveles-truper-11528-1000365598/p?gad_source=1&amp;gad_campaignid=17392014661&amp;gbraid=0AAAAADJIfALRcE3f16KPw_ELhMbCuZ0gE&amp;gclid...</v>
      </c>
      <c r="AA171" s="213" t="str">
        <f>IFERROR(__xludf.DUMMYFUNCTION("""COMPUTED_VALUE"""),"COM-133 CARRO PORTA HERRAMIENTAS - CET")</f>
        <v>COM-133 CARRO PORTA HERRAMIENTAS - CET</v>
      </c>
      <c r="AB171" s="215" t="str">
        <f>IFERROR(__xludf.DUMMYFUNCTION("""COMPUTED_VALUE"""),"https://drive.google.com/file/d/126GiFTSxQRvebWXZeP8sOqYSK6sQCwq1/view?usp=sharing")</f>
        <v>https://drive.google.com/file/d/126GiFTSxQRvebWXZeP8sOqYSK6sQCwq1/view?usp=sharing</v>
      </c>
      <c r="AC171" s="215" t="str">
        <f>IFERROR(__xludf.DUMMYFUNCTION("""COMPUTED_VALUE"""),"https://www.promart.pe/carro-de-servicio-porta-herramientas-con-3-niveles-truper-11528-1000365598/p?gad_source=1&amp;gad_campaignid=17392014661&amp;gbraid=0AAAAADJIfALRcE3f16KPw_ELhMbCuZ0gE&amp;gclid...")</f>
        <v>https://www.promart.pe/carro-de-servicio-porta-herramientas-con-3-niveles-truper-11528-1000365598/p?gad_source=1&amp;gad_campaignid=17392014661&amp;gbraid=0AAAAADJIfALRcE3f16KPw_ELhMbCuZ0gE&amp;gclid...</v>
      </c>
      <c r="AD171" s="213"/>
      <c r="AE171" s="213"/>
      <c r="AF171" s="213"/>
      <c r="AG171" s="213"/>
      <c r="AH171" s="213" t="str">
        <f>IFERROR(__xludf.DUMMYFUNCTION("""COMPUTED_VALUE"""),"NACIONAL")</f>
        <v>NACIONAL</v>
      </c>
      <c r="AI171" s="213"/>
      <c r="AJ171" s="213"/>
      <c r="AK171" s="213"/>
      <c r="AL171" s="213"/>
      <c r="AM171" s="213"/>
      <c r="AN171" s="213"/>
      <c r="AO171" s="213"/>
      <c r="AP171" s="213" t="str">
        <f>IFERROR(__xludf.DUMMYFUNCTION("""COMPUTED_VALUE"""),"LUIS")</f>
        <v>LUIS</v>
      </c>
      <c r="AQ171" s="213"/>
      <c r="AR171" s="213"/>
      <c r="AS171" s="213"/>
      <c r="AT171" s="213"/>
      <c r="AU171" s="213"/>
      <c r="AV171" s="213"/>
      <c r="AW171" s="213"/>
      <c r="AX171" s="213"/>
      <c r="AY171" s="213"/>
      <c r="AZ171" s="213"/>
      <c r="BA171" s="213"/>
      <c r="BB171" s="213"/>
      <c r="BC171" s="213"/>
      <c r="BD171" s="213"/>
    </row>
    <row r="172">
      <c r="A172" s="213">
        <f>IFERROR(__xludf.DUMMYFUNCTION("""COMPUTED_VALUE"""),2208.0)</f>
        <v>2208</v>
      </c>
      <c r="B172" s="213" t="str">
        <f>IFERROR(__xludf.DUMMYFUNCTION("""COMPUTED_VALUE"""),"JOSE GRANDA")</f>
        <v>JOSE GRANDA</v>
      </c>
      <c r="C172" s="213" t="str">
        <f>IFERROR(__xludf.DUMMYFUNCTION("""COMPUTED_VALUE"""),"TALLER SFT DE MECÁNICA AUTOMOTRIZ")</f>
        <v>TALLER SFT DE MECÁNICA AUTOMOTRIZ</v>
      </c>
      <c r="D172" s="213" t="str">
        <f>IFERROR(__xludf.DUMMYFUNCTION("""COMPUTED_VALUE"""),"MOBILIARIO")</f>
        <v>MOBILIARIO</v>
      </c>
      <c r="E172" s="213" t="str">
        <f>IFERROR(__xludf.DUMMYFUNCTION("""COMPUTED_VALUE"""),"COM-133")</f>
        <v>COM-133</v>
      </c>
      <c r="F172" s="213" t="str">
        <f>IFERROR(__xludf.DUMMYFUNCTION("""COMPUTED_VALUE"""),"COM-133")</f>
        <v>COM-133</v>
      </c>
      <c r="G172" s="213"/>
      <c r="H172" s="213" t="str">
        <f>IFERROR(__xludf.DUMMYFUNCTION("""COMPUTED_VALUE"""),"CARRO PORTA HERRAMIENTAS")</f>
        <v>CARRO PORTA HERRAMIENTAS</v>
      </c>
      <c r="I172" s="213" t="str">
        <f>IFERROR(__xludf.DUMMYFUNCTION("""COMPUTED_VALUE"""),"Carro de servicio, de mínimo 3 compartimientos. Capacidad de carga: mínima 110 kilos.
Longitud: mínimo 700 mm. Ancho: mínimo 350 mm. Altura: mínimo  770 mm. Cuenta con 4 ruedas.")</f>
        <v>Carro de servicio, de mínimo 3 compartimientos. Capacidad de carga: mínima 110 kilos.
Longitud: mínimo 700 mm. Ancho: mínimo 350 mm. Altura: mínimo  770 mm. Cuenta con 4 ruedas.</v>
      </c>
      <c r="J172" s="213">
        <f>IFERROR(__xludf.DUMMYFUNCTION("""COMPUTED_VALUE"""),3.0)</f>
        <v>3</v>
      </c>
      <c r="K172" s="213" t="str">
        <f>IFERROR(__xludf.DUMMYFUNCTION("""COMPUTED_VALUE"""),"90 DÍAS CALENDARIO")</f>
        <v>90 DÍAS CALENDARIO</v>
      </c>
      <c r="L172" s="213" t="str">
        <f>IFERROR(__xludf.DUMMYFUNCTION("""COMPUTED_VALUE"""),"")</f>
        <v/>
      </c>
      <c r="M172" s="213">
        <f>IFERROR(__xludf.DUMMYFUNCTION("""COMPUTED_VALUE"""),1.0)</f>
        <v>1</v>
      </c>
      <c r="N172" s="213">
        <f>IFERROR(__xludf.DUMMYFUNCTION("""COMPUTED_VALUE"""),4.0)</f>
        <v>4</v>
      </c>
      <c r="O172" s="213">
        <f>IFERROR(__xludf.DUMMYFUNCTION("""COMPUTED_VALUE"""),4.0)</f>
        <v>4</v>
      </c>
      <c r="P172" s="213"/>
      <c r="Q172" s="213"/>
      <c r="R172" s="213" t="str">
        <f>IFERROR(__xludf.DUMMYFUNCTION("""COMPUTED_VALUE"""),"SI")</f>
        <v>SI</v>
      </c>
      <c r="S172" s="213"/>
      <c r="T172" s="213" t="str">
        <f>IFERROR(__xludf.DUMMYFUNCTION("""COMPUTED_VALUE"""),"SI")</f>
        <v>SI</v>
      </c>
      <c r="U172" s="213" t="str">
        <f>IFERROR(__xludf.DUMMYFUNCTION("""COMPUTED_VALUE"""),"SI")</f>
        <v>SI</v>
      </c>
      <c r="V172" s="213" t="str">
        <f>IFERROR(__xludf.DUMMYFUNCTION("""COMPUTED_VALUE"""),"-")</f>
        <v>-</v>
      </c>
      <c r="W172" s="213" t="str">
        <f>IFERROR(__xludf.DUMMYFUNCTION("""COMPUTED_VALUE"""),"-")</f>
        <v>-</v>
      </c>
      <c r="X172" s="213" t="str">
        <f>IFERROR(__xludf.DUMMYFUNCTION("""COMPUTED_VALUE"""),"TRUPER")</f>
        <v>TRUPER</v>
      </c>
      <c r="Y172" s="213">
        <f>IFERROR(__xludf.DUMMYFUNCTION("""COMPUTED_VALUE"""),1.000386225E9)</f>
        <v>1000386225</v>
      </c>
      <c r="Z172" s="215" t="str">
        <f>IFERROR(__xludf.DUMMYFUNCTION("""COMPUTED_VALUE"""),"https://www.promart.pe/carro-de-servicio-porta-herramientas-con-3-niveles-truper-11528-1000365598/p?gad_source=1&amp;gad_campaignid=17392014661&amp;gbraid=0AAAAADJIfALRcE3f16KPw_ELhMbCuZ0gE&amp;gclid...")</f>
        <v>https://www.promart.pe/carro-de-servicio-porta-herramientas-con-3-niveles-truper-11528-1000365598/p?gad_source=1&amp;gad_campaignid=17392014661&amp;gbraid=0AAAAADJIfALRcE3f16KPw_ELhMbCuZ0gE&amp;gclid...</v>
      </c>
      <c r="AA172" s="213" t="str">
        <f>IFERROR(__xludf.DUMMYFUNCTION("""COMPUTED_VALUE"""),"COM-133 CARRO PORTA HERRAMIENTAS - CET")</f>
        <v>COM-133 CARRO PORTA HERRAMIENTAS - CET</v>
      </c>
      <c r="AB172" s="215" t="str">
        <f>IFERROR(__xludf.DUMMYFUNCTION("""COMPUTED_VALUE"""),"https://drive.google.com/file/d/126GiFTSxQRvebWXZeP8sOqYSK6sQCwq1/view?usp=sharing")</f>
        <v>https://drive.google.com/file/d/126GiFTSxQRvebWXZeP8sOqYSK6sQCwq1/view?usp=sharing</v>
      </c>
      <c r="AC172" s="215" t="str">
        <f>IFERROR(__xludf.DUMMYFUNCTION("""COMPUTED_VALUE"""),"https://www.promart.pe/carro-de-servicio-porta-herramientas-con-3-niveles-truper-11528-1000365598/p?gad_source=1&amp;gad_campaignid=17392014661&amp;gbraid=0AAAAADJIfALRcE3f16KPw_ELhMbCuZ0gE&amp;gclid...")</f>
        <v>https://www.promart.pe/carro-de-servicio-porta-herramientas-con-3-niveles-truper-11528-1000365598/p?gad_source=1&amp;gad_campaignid=17392014661&amp;gbraid=0AAAAADJIfALRcE3f16KPw_ELhMbCuZ0gE&amp;gclid...</v>
      </c>
      <c r="AD172" s="213"/>
      <c r="AE172" s="213"/>
      <c r="AF172" s="213"/>
      <c r="AG172" s="213"/>
      <c r="AH172" s="213" t="str">
        <f>IFERROR(__xludf.DUMMYFUNCTION("""COMPUTED_VALUE"""),"NACIONAL")</f>
        <v>NACIONAL</v>
      </c>
      <c r="AI172" s="213"/>
      <c r="AJ172" s="213"/>
      <c r="AK172" s="213"/>
      <c r="AL172" s="213"/>
      <c r="AM172" s="213"/>
      <c r="AN172" s="213"/>
      <c r="AO172" s="213"/>
      <c r="AP172" s="213" t="str">
        <f>IFERROR(__xludf.DUMMYFUNCTION("""COMPUTED_VALUE"""),"LUIS")</f>
        <v>LUIS</v>
      </c>
      <c r="AQ172" s="213"/>
      <c r="AR172" s="213"/>
      <c r="AS172" s="213"/>
      <c r="AT172" s="213"/>
      <c r="AU172" s="213"/>
      <c r="AV172" s="213"/>
      <c r="AW172" s="213"/>
      <c r="AX172" s="213"/>
      <c r="AY172" s="213"/>
      <c r="AZ172" s="213"/>
      <c r="BA172" s="213"/>
      <c r="BB172" s="213"/>
      <c r="BC172" s="213"/>
      <c r="BD172" s="213"/>
    </row>
    <row r="173">
      <c r="A173" s="213">
        <f>IFERROR(__xludf.DUMMYFUNCTION("""COMPUTED_VALUE"""),1807.0)</f>
        <v>1807</v>
      </c>
      <c r="B173" s="213" t="str">
        <f>IFERROR(__xludf.DUMMYFUNCTION("""COMPUTED_VALUE"""),"GUILLERMO E. BILLINGHURST ")</f>
        <v>GUILLERMO E. BILLINGHURST </v>
      </c>
      <c r="C173" s="213" t="str">
        <f>IFERROR(__xludf.DUMMYFUNCTION("""COMPUTED_VALUE"""),"TALLER SFT DE EBANISTERÍA")</f>
        <v>TALLER SFT DE EBANISTERÍA</v>
      </c>
      <c r="D173" s="213" t="str">
        <f>IFERROR(__xludf.DUMMYFUNCTION("""COMPUTED_VALUE"""),"HERRAMIENTAS")</f>
        <v>HERRAMIENTAS</v>
      </c>
      <c r="E173" s="213" t="str">
        <f>IFERROR(__xludf.DUMMYFUNCTION("""COMPUTED_VALUE"""),"COM-134")</f>
        <v>COM-134</v>
      </c>
      <c r="F173" s="213" t="str">
        <f>IFERROR(__xludf.DUMMYFUNCTION("""COMPUTED_VALUE"""),"COM-134")</f>
        <v>COM-134</v>
      </c>
      <c r="G173" s="213"/>
      <c r="H173" s="213" t="str">
        <f>IFERROR(__xludf.DUMMYFUNCTION("""COMPUTED_VALUE"""),"JUEGO DE CINTA DENTADA PARA SIERRA CINTA")</f>
        <v>JUEGO DE CINTA DENTADA PARA SIERRA CINTA</v>
      </c>
      <c r="I173" s="213" t="str">
        <f>IFERROR(__xludf.DUMMYFUNCTION("""COMPUTED_VALUE"""),"Longitud de la cinta de sierra: 3345 mm., sierra cinta bimetal M42 Juego según ancho y espesor:
- 13 mm x 0.65 mm
- 16 mm x 0.8 mm
- 25 mm x 0.5 mm")</f>
        <v>Longitud de la cinta de sierra: 3345 mm., sierra cinta bimetal M42 Juego según ancho y espesor:
- 13 mm x 0.65 mm
- 16 mm x 0.8 mm
- 25 mm x 0.5 mm</v>
      </c>
      <c r="J173" s="213">
        <f>IFERROR(__xludf.DUMMYFUNCTION("""COMPUTED_VALUE"""),3.0)</f>
        <v>3</v>
      </c>
      <c r="K173" s="213" t="str">
        <f>IFERROR(__xludf.DUMMYFUNCTION("""COMPUTED_VALUE"""),"90 DÍAS CALENDARIO")</f>
        <v>90 DÍAS CALENDARIO</v>
      </c>
      <c r="L173" s="213" t="str">
        <f>IFERROR(__xludf.DUMMYFUNCTION("""COMPUTED_VALUE"""),"")</f>
        <v/>
      </c>
      <c r="M173" s="213">
        <f>IFERROR(__xludf.DUMMYFUNCTION("""COMPUTED_VALUE"""),1.0)</f>
        <v>1</v>
      </c>
      <c r="N173" s="213">
        <f>IFERROR(__xludf.DUMMYFUNCTION("""COMPUTED_VALUE"""),3.0)</f>
        <v>3</v>
      </c>
      <c r="O173" s="213">
        <f>IFERROR(__xludf.DUMMYFUNCTION("""COMPUTED_VALUE"""),3.0)</f>
        <v>3</v>
      </c>
      <c r="P173" s="213"/>
      <c r="Q173" s="213"/>
      <c r="R173" s="213" t="str">
        <f>IFERROR(__xludf.DUMMYFUNCTION("""COMPUTED_VALUE"""),"SI")</f>
        <v>SI</v>
      </c>
      <c r="S173" s="213"/>
      <c r="T173" s="213" t="str">
        <f>IFERROR(__xludf.DUMMYFUNCTION("""COMPUTED_VALUE"""),"SI")</f>
        <v>SI</v>
      </c>
      <c r="U173" s="213" t="str">
        <f>IFERROR(__xludf.DUMMYFUNCTION("""COMPUTED_VALUE"""),"SI")</f>
        <v>SI</v>
      </c>
      <c r="V173" s="213" t="str">
        <f>IFERROR(__xludf.DUMMYFUNCTION("""COMPUTED_VALUE"""),"-")</f>
        <v>-</v>
      </c>
      <c r="W173" s="213" t="str">
        <f>IFERROR(__xludf.DUMMYFUNCTION("""COMPUTED_VALUE"""),"-")</f>
        <v>-</v>
      </c>
      <c r="X173" s="213" t="str">
        <f>IFERROR(__xludf.DUMMYFUNCTION("""COMPUTED_VALUE"""),"VAN OMMEN")</f>
        <v>VAN OMMEN</v>
      </c>
      <c r="Y173" s="213" t="str">
        <f>IFERROR(__xludf.DUMMYFUNCTION("""COMPUTED_VALUE"""),"V66.450.193345 / V66.450.283540 / V66.460.344315")</f>
        <v>V66.450.193345 / V66.450.283540 / V66.460.344315</v>
      </c>
      <c r="Z173" s="215" t="str">
        <f>IFERROR(__xludf.DUMMYFUNCTION("""COMPUTED_VALUE"""),"https://www.wikus.de/es/productos/hojas-de-sierra-de-cinta/hojas-de-sierra-de-cinta-bimetalicas/proflex-m42")</f>
        <v>https://www.wikus.de/es/productos/hojas-de-sierra-de-cinta/hojas-de-sierra-de-cinta-bimetalicas/proflex-m42</v>
      </c>
      <c r="AA173" s="213" t="str">
        <f>IFERROR(__xludf.DUMMYFUNCTION("""COMPUTED_VALUE"""),"COM-134 JUEGO DE CINTA DENTADA PARA SIERRA CINTA - CET")</f>
        <v>COM-134 JUEGO DE CINTA DENTADA PARA SIERRA CINTA - CET</v>
      </c>
      <c r="AB173" s="213"/>
      <c r="AC173" s="213"/>
      <c r="AD173" s="213"/>
      <c r="AE173" s="213"/>
      <c r="AF173" s="213"/>
      <c r="AG173" s="213"/>
      <c r="AH173" s="213"/>
      <c r="AI173" s="213"/>
      <c r="AJ173" s="213"/>
      <c r="AK173" s="213"/>
      <c r="AL173" s="213"/>
      <c r="AM173" s="213"/>
      <c r="AN173" s="213"/>
      <c r="AO173" s="213"/>
      <c r="AP173" s="213" t="str">
        <f>IFERROR(__xludf.DUMMYFUNCTION("""COMPUTED_VALUE"""),"SEBASTIAN")</f>
        <v>SEBASTIAN</v>
      </c>
      <c r="AQ173" s="213"/>
      <c r="AR173" s="213"/>
      <c r="AS173" s="213"/>
      <c r="AT173" s="213"/>
      <c r="AU173" s="213"/>
      <c r="AV173" s="213"/>
      <c r="AW173" s="213"/>
      <c r="AX173" s="213"/>
      <c r="AY173" s="213"/>
      <c r="AZ173" s="213"/>
      <c r="BA173" s="213"/>
      <c r="BB173" s="213"/>
      <c r="BC173" s="213"/>
      <c r="BD173" s="213"/>
    </row>
    <row r="174">
      <c r="A174" s="213">
        <f>IFERROR(__xludf.DUMMYFUNCTION("""COMPUTED_VALUE"""),2589.0)</f>
        <v>2589</v>
      </c>
      <c r="B174" s="213" t="str">
        <f>IFERROR(__xludf.DUMMYFUNCTION("""COMPUTED_VALUE"""),"MANUEL ANTONIO MESONES MURO")</f>
        <v>MANUEL ANTONIO MESONES MURO</v>
      </c>
      <c r="C174" s="213" t="str">
        <f>IFERROR(__xludf.DUMMYFUNCTION("""COMPUTED_VALUE"""),"TALLER SFT DE EBANISTERÍA")</f>
        <v>TALLER SFT DE EBANISTERÍA</v>
      </c>
      <c r="D174" s="213" t="str">
        <f>IFERROR(__xludf.DUMMYFUNCTION("""COMPUTED_VALUE"""),"HERRAMIENTAS")</f>
        <v>HERRAMIENTAS</v>
      </c>
      <c r="E174" s="213" t="str">
        <f>IFERROR(__xludf.DUMMYFUNCTION("""COMPUTED_VALUE"""),"COM-134")</f>
        <v>COM-134</v>
      </c>
      <c r="F174" s="213" t="str">
        <f>IFERROR(__xludf.DUMMYFUNCTION("""COMPUTED_VALUE"""),"COM-134")</f>
        <v>COM-134</v>
      </c>
      <c r="G174" s="213"/>
      <c r="H174" s="213" t="str">
        <f>IFERROR(__xludf.DUMMYFUNCTION("""COMPUTED_VALUE"""),"JUEGO DE CINTA DENTADA PARA SIERRA CINTA")</f>
        <v>JUEGO DE CINTA DENTADA PARA SIERRA CINTA</v>
      </c>
      <c r="I174" s="213" t="str">
        <f>IFERROR(__xludf.DUMMYFUNCTION("""COMPUTED_VALUE"""),"Longitud de la cinta de sierra: 3345 mm., sierra cinta bimetal M42 Juego según ancho y espesor:
- 13 mm x 0.65 mm
- 16 mm x 0.8 mm
- 25 mm x 0.5 mm")</f>
        <v>Longitud de la cinta de sierra: 3345 mm., sierra cinta bimetal M42 Juego según ancho y espesor:
- 13 mm x 0.65 mm
- 16 mm x 0.8 mm
- 25 mm x 0.5 mm</v>
      </c>
      <c r="J174" s="213">
        <f>IFERROR(__xludf.DUMMYFUNCTION("""COMPUTED_VALUE"""),3.0)</f>
        <v>3</v>
      </c>
      <c r="K174" s="213" t="str">
        <f>IFERROR(__xludf.DUMMYFUNCTION("""COMPUTED_VALUE"""),"90 DÍAS CALENDARIO")</f>
        <v>90 DÍAS CALENDARIO</v>
      </c>
      <c r="L174" s="213" t="str">
        <f>IFERROR(__xludf.DUMMYFUNCTION("""COMPUTED_VALUE"""),"")</f>
        <v/>
      </c>
      <c r="M174" s="213">
        <f>IFERROR(__xludf.DUMMYFUNCTION("""COMPUTED_VALUE"""),1.0)</f>
        <v>1</v>
      </c>
      <c r="N174" s="213">
        <f>IFERROR(__xludf.DUMMYFUNCTION("""COMPUTED_VALUE"""),3.0)</f>
        <v>3</v>
      </c>
      <c r="O174" s="213">
        <f>IFERROR(__xludf.DUMMYFUNCTION("""COMPUTED_VALUE"""),3.0)</f>
        <v>3</v>
      </c>
      <c r="P174" s="213"/>
      <c r="Q174" s="213"/>
      <c r="R174" s="213" t="str">
        <f>IFERROR(__xludf.DUMMYFUNCTION("""COMPUTED_VALUE"""),"SI")</f>
        <v>SI</v>
      </c>
      <c r="S174" s="213"/>
      <c r="T174" s="213" t="str">
        <f>IFERROR(__xludf.DUMMYFUNCTION("""COMPUTED_VALUE"""),"SI")</f>
        <v>SI</v>
      </c>
      <c r="U174" s="213" t="str">
        <f>IFERROR(__xludf.DUMMYFUNCTION("""COMPUTED_VALUE"""),"SI")</f>
        <v>SI</v>
      </c>
      <c r="V174" s="213" t="str">
        <f>IFERROR(__xludf.DUMMYFUNCTION("""COMPUTED_VALUE"""),"-")</f>
        <v>-</v>
      </c>
      <c r="W174" s="213" t="str">
        <f>IFERROR(__xludf.DUMMYFUNCTION("""COMPUTED_VALUE"""),"-")</f>
        <v>-</v>
      </c>
      <c r="X174" s="213" t="str">
        <f>IFERROR(__xludf.DUMMYFUNCTION("""COMPUTED_VALUE"""),"VAN OMMEN")</f>
        <v>VAN OMMEN</v>
      </c>
      <c r="Y174" s="213" t="str">
        <f>IFERROR(__xludf.DUMMYFUNCTION("""COMPUTED_VALUE"""),"V66.450.193345 / V66.450.283540 / V66.460.344315")</f>
        <v>V66.450.193345 / V66.450.283540 / V66.460.344315</v>
      </c>
      <c r="Z174" s="215" t="str">
        <f>IFERROR(__xludf.DUMMYFUNCTION("""COMPUTED_VALUE"""),"https://www.wikus.de/es/productos/hojas-de-sierra-de-cinta/hojas-de-sierra-de-cinta-bimetalicas/proflex-m42")</f>
        <v>https://www.wikus.de/es/productos/hojas-de-sierra-de-cinta/hojas-de-sierra-de-cinta-bimetalicas/proflex-m42</v>
      </c>
      <c r="AA174" s="213" t="str">
        <f>IFERROR(__xludf.DUMMYFUNCTION("""COMPUTED_VALUE"""),"COM-134 JUEGO DE CINTA DENTADA PARA SIERRA CINTA - CET")</f>
        <v>COM-134 JUEGO DE CINTA DENTADA PARA SIERRA CINTA - CET</v>
      </c>
      <c r="AB174" s="213"/>
      <c r="AC174" s="213"/>
      <c r="AD174" s="213"/>
      <c r="AE174" s="213"/>
      <c r="AF174" s="213"/>
      <c r="AG174" s="213"/>
      <c r="AH174" s="213"/>
      <c r="AI174" s="213"/>
      <c r="AJ174" s="213"/>
      <c r="AK174" s="213"/>
      <c r="AL174" s="213"/>
      <c r="AM174" s="213"/>
      <c r="AN174" s="213"/>
      <c r="AO174" s="213"/>
      <c r="AP174" s="213" t="str">
        <f>IFERROR(__xludf.DUMMYFUNCTION("""COMPUTED_VALUE"""),"SEBASTIAN")</f>
        <v>SEBASTIAN</v>
      </c>
      <c r="AQ174" s="213"/>
      <c r="AR174" s="213"/>
      <c r="AS174" s="213"/>
      <c r="AT174" s="213"/>
      <c r="AU174" s="213"/>
      <c r="AV174" s="213"/>
      <c r="AW174" s="213"/>
      <c r="AX174" s="213"/>
      <c r="AY174" s="213"/>
      <c r="AZ174" s="213"/>
      <c r="BA174" s="213"/>
      <c r="BB174" s="213"/>
      <c r="BC174" s="213"/>
      <c r="BD174" s="213"/>
    </row>
    <row r="175">
      <c r="A175" s="213">
        <f>IFERROR(__xludf.DUMMYFUNCTION("""COMPUTED_VALUE"""),248.0)</f>
        <v>248</v>
      </c>
      <c r="B175" s="213" t="str">
        <f>IFERROR(__xludf.DUMMYFUNCTION("""COMPUTED_VALUE"""),"2026 SIMON BOLIVAR")</f>
        <v>2026 SIMON BOLIVAR</v>
      </c>
      <c r="C175" s="213" t="str">
        <f>IFERROR(__xludf.DUMMYFUNCTION("""COMPUTED_VALUE"""),"TALLER SFT DE COMPUTACIÓN E INFORMÁTICA")</f>
        <v>TALLER SFT DE COMPUTACIÓN E INFORMÁTICA</v>
      </c>
      <c r="D175" s="213" t="str">
        <f>IFERROR(__xludf.DUMMYFUNCTION("""COMPUTED_VALUE"""),"HERRAMIENTAS")</f>
        <v>HERRAMIENTAS</v>
      </c>
      <c r="E175" s="213" t="str">
        <f>IFERROR(__xludf.DUMMYFUNCTION("""COMPUTED_VALUE"""),"COM-135")</f>
        <v>COM-135</v>
      </c>
      <c r="F175" s="213" t="str">
        <f>IFERROR(__xludf.DUMMYFUNCTION("""COMPUTED_VALUE"""),"COM-135")</f>
        <v>COM-135</v>
      </c>
      <c r="G175" s="213"/>
      <c r="H175" s="213" t="str">
        <f>IFERROR(__xludf.DUMMYFUNCTION("""COMPUTED_VALUE"""),"CIZALLA")</f>
        <v>CIZALLA</v>
      </c>
      <c r="I175" s="213" t="str">
        <f>IFERROR(__xludf.DUMMYFUNCTION("""COMPUTED_VALUE"""),"·  Longitud de corte 330 mm tamaño A-4
·  Capacidad de corte 10 hojas
·  Prensador transparente con protector de dedos
·  Base sólida de plástico con guía pre-impresa en formatos
·  Mango retráctil de fácil almacenamiento y ahorra espacio
·  Escuadra ajus"&amp;"table.")</f>
        <v>·  Longitud de corte 330 mm tamaño A-4
·  Capacidad de corte 10 hojas
·  Prensador transparente con protector de dedos
·  Base sólida de plástico con guía pre-impresa en formatos
·  Mango retráctil de fácil almacenamiento y ahorra espacio
·  Escuadra ajustable.</v>
      </c>
      <c r="J175" s="213">
        <f>IFERROR(__xludf.DUMMYFUNCTION("""COMPUTED_VALUE"""),3.0)</f>
        <v>3</v>
      </c>
      <c r="K175" s="213" t="str">
        <f>IFERROR(__xludf.DUMMYFUNCTION("""COMPUTED_VALUE"""),"90 DÍAS CALENDARIO")</f>
        <v>90 DÍAS CALENDARIO</v>
      </c>
      <c r="L175" s="213" t="str">
        <f>IFERROR(__xludf.DUMMYFUNCTION("""COMPUTED_VALUE"""),"")</f>
        <v/>
      </c>
      <c r="M175" s="213">
        <f>IFERROR(__xludf.DUMMYFUNCTION("""COMPUTED_VALUE"""),1.0)</f>
        <v>1</v>
      </c>
      <c r="N175" s="213">
        <f>IFERROR(__xludf.DUMMYFUNCTION("""COMPUTED_VALUE"""),1.0)</f>
        <v>1</v>
      </c>
      <c r="O175" s="213">
        <f>IFERROR(__xludf.DUMMYFUNCTION("""COMPUTED_VALUE"""),1.0)</f>
        <v>1</v>
      </c>
      <c r="P175" s="213"/>
      <c r="Q175" s="213"/>
      <c r="R175" s="213" t="str">
        <f>IFERROR(__xludf.DUMMYFUNCTION("""COMPUTED_VALUE"""),"SI")</f>
        <v>SI</v>
      </c>
      <c r="S175" s="213"/>
      <c r="T175" s="213" t="str">
        <f>IFERROR(__xludf.DUMMYFUNCTION("""COMPUTED_VALUE"""),"SI")</f>
        <v>SI</v>
      </c>
      <c r="U175" s="213" t="str">
        <f>IFERROR(__xludf.DUMMYFUNCTION("""COMPUTED_VALUE"""),"SI")</f>
        <v>SI</v>
      </c>
      <c r="V175" s="213" t="str">
        <f>IFERROR(__xludf.DUMMYFUNCTION("""COMPUTED_VALUE"""),"-")</f>
        <v>-</v>
      </c>
      <c r="W175" s="213" t="str">
        <f>IFERROR(__xludf.DUMMYFUNCTION("""COMPUTED_VALUE"""),"-")</f>
        <v>-</v>
      </c>
      <c r="X175" s="213" t="str">
        <f>IFERROR(__xludf.DUMMYFUNCTION("""COMPUTED_VALUE"""),"RAZER")</f>
        <v>RAZER</v>
      </c>
      <c r="Y175" s="213" t="str">
        <f>IFERROR(__xludf.DUMMYFUNCTION("""COMPUTED_VALUE"""),"RAZER")</f>
        <v>RAZER</v>
      </c>
      <c r="Z175" s="215" t="str">
        <f>IFERROR(__xludf.DUMMYFUNCTION("""COMPUTED_VALUE"""),"https://www.falabella.com.pe/falabella-pe/product/136016854/Guillotina-A4-Oficio-Razer-Yide-color-azul-10-hojas/136016855")</f>
        <v>https://www.falabella.com.pe/falabella-pe/product/136016854/Guillotina-A4-Oficio-Razer-Yide-color-azul-10-hojas/136016855</v>
      </c>
      <c r="AA175" s="213" t="str">
        <f>IFERROR(__xludf.DUMMYFUNCTION("""COMPUTED_VALUE"""),"COM-135 CIZALLA - CET")</f>
        <v>COM-135 CIZALLA - CET</v>
      </c>
      <c r="AB175" s="213"/>
      <c r="AC175" s="213"/>
      <c r="AD175" s="213" t="str">
        <f>IFERROR(__xludf.DUMMYFUNCTION("""COMPUTED_VALUE"""),"PAQ 5 TALLER ESPECIALIZADO ")</f>
        <v>PAQ 5 TALLER ESPECIALIZADO </v>
      </c>
      <c r="AE175" s="213" t="str">
        <f>IFERROR(__xludf.DUMMYFUNCTION("""COMPUTED_VALUE"""),"CZ-02")</f>
        <v>CZ-02</v>
      </c>
      <c r="AF175" s="213"/>
      <c r="AG175" s="213"/>
      <c r="AH175" s="213" t="str">
        <f>IFERROR(__xludf.DUMMYFUNCTION("""COMPUTED_VALUE"""),"IMPORTADO")</f>
        <v>IMPORTADO</v>
      </c>
      <c r="AI175" s="213"/>
      <c r="AJ175" s="213"/>
      <c r="AK175" s="213"/>
      <c r="AL175" s="213"/>
      <c r="AM175" s="213"/>
      <c r="AN175" s="213"/>
      <c r="AO175" s="213"/>
      <c r="AP175" s="213" t="str">
        <f>IFERROR(__xludf.DUMMYFUNCTION("""COMPUTED_VALUE"""),"LUIS")</f>
        <v>LUIS</v>
      </c>
      <c r="AQ175" s="213"/>
      <c r="AR175" s="213"/>
      <c r="AS175" s="213" t="str">
        <f>IFERROR(__xludf.DUMMYFUNCTION("""COMPUTED_VALUE"""),"Se ofrece una cizalla de mayor tamaño. No se especifica que cuente con prensador ni mango retráctil.")</f>
        <v>Se ofrece una cizalla de mayor tamaño. No se especifica que cuente con prensador ni mango retráctil.</v>
      </c>
      <c r="AT175" s="213"/>
      <c r="AU175" s="213"/>
      <c r="AV175" s="213"/>
      <c r="AW175" s="213"/>
      <c r="AX175" s="213"/>
      <c r="AY175" s="213"/>
      <c r="AZ175" s="213"/>
      <c r="BA175" s="213"/>
      <c r="BB175" s="213"/>
      <c r="BC175" s="213"/>
      <c r="BD175" s="213"/>
    </row>
    <row r="176">
      <c r="A176" s="213">
        <f>IFERROR(__xludf.DUMMYFUNCTION("""COMPUTED_VALUE"""),733.0)</f>
        <v>733</v>
      </c>
      <c r="B176" s="213" t="str">
        <f>IFERROR(__xludf.DUMMYFUNCTION("""COMPUTED_VALUE"""),"6049 RICARDO PALMA")</f>
        <v>6049 RICARDO PALMA</v>
      </c>
      <c r="C176" s="213" t="str">
        <f>IFERROR(__xludf.DUMMYFUNCTION("""COMPUTED_VALUE"""),"TALLER SFT DE COMPUTACIÓN E INFORMÁTICA")</f>
        <v>TALLER SFT DE COMPUTACIÓN E INFORMÁTICA</v>
      </c>
      <c r="D176" s="213" t="str">
        <f>IFERROR(__xludf.DUMMYFUNCTION("""COMPUTED_VALUE"""),"HERRAMIENTAS")</f>
        <v>HERRAMIENTAS</v>
      </c>
      <c r="E176" s="213" t="str">
        <f>IFERROR(__xludf.DUMMYFUNCTION("""COMPUTED_VALUE"""),"COM-135")</f>
        <v>COM-135</v>
      </c>
      <c r="F176" s="213" t="str">
        <f>IFERROR(__xludf.DUMMYFUNCTION("""COMPUTED_VALUE"""),"COM-135")</f>
        <v>COM-135</v>
      </c>
      <c r="G176" s="213"/>
      <c r="H176" s="213" t="str">
        <f>IFERROR(__xludf.DUMMYFUNCTION("""COMPUTED_VALUE"""),"CIZALLA")</f>
        <v>CIZALLA</v>
      </c>
      <c r="I176" s="213" t="str">
        <f>IFERROR(__xludf.DUMMYFUNCTION("""COMPUTED_VALUE"""),"·  Longitud de corte 330 mm tamaño A-4
·  Capacidad de corte 10 hojas
·  Prensador transparente con protector de dedos
·  Base sólida de plástico con guía pre-impresa en formatos
·  Mango retráctil de fácil almacenamiento y ahorra espacio
·  Escuadra ajus"&amp;"table.")</f>
        <v>·  Longitud de corte 330 mm tamaño A-4
·  Capacidad de corte 10 hojas
·  Prensador transparente con protector de dedos
·  Base sólida de plástico con guía pre-impresa en formatos
·  Mango retráctil de fácil almacenamiento y ahorra espacio
·  Escuadra ajustable.</v>
      </c>
      <c r="J176" s="213">
        <f>IFERROR(__xludf.DUMMYFUNCTION("""COMPUTED_VALUE"""),3.0)</f>
        <v>3</v>
      </c>
      <c r="K176" s="213" t="str">
        <f>IFERROR(__xludf.DUMMYFUNCTION("""COMPUTED_VALUE"""),"90 DÍAS CALENDARIO")</f>
        <v>90 DÍAS CALENDARIO</v>
      </c>
      <c r="L176" s="213" t="str">
        <f>IFERROR(__xludf.DUMMYFUNCTION("""COMPUTED_VALUE"""),"")</f>
        <v/>
      </c>
      <c r="M176" s="213">
        <f>IFERROR(__xludf.DUMMYFUNCTION("""COMPUTED_VALUE"""),1.0)</f>
        <v>1</v>
      </c>
      <c r="N176" s="213">
        <f>IFERROR(__xludf.DUMMYFUNCTION("""COMPUTED_VALUE"""),1.0)</f>
        <v>1</v>
      </c>
      <c r="O176" s="213">
        <f>IFERROR(__xludf.DUMMYFUNCTION("""COMPUTED_VALUE"""),1.0)</f>
        <v>1</v>
      </c>
      <c r="P176" s="213"/>
      <c r="Q176" s="213"/>
      <c r="R176" s="213" t="str">
        <f>IFERROR(__xludf.DUMMYFUNCTION("""COMPUTED_VALUE"""),"SI")</f>
        <v>SI</v>
      </c>
      <c r="S176" s="213"/>
      <c r="T176" s="213" t="str">
        <f>IFERROR(__xludf.DUMMYFUNCTION("""COMPUTED_VALUE"""),"SI")</f>
        <v>SI</v>
      </c>
      <c r="U176" s="213" t="str">
        <f>IFERROR(__xludf.DUMMYFUNCTION("""COMPUTED_VALUE"""),"SI")</f>
        <v>SI</v>
      </c>
      <c r="V176" s="213" t="str">
        <f>IFERROR(__xludf.DUMMYFUNCTION("""COMPUTED_VALUE"""),"-")</f>
        <v>-</v>
      </c>
      <c r="W176" s="213" t="str">
        <f>IFERROR(__xludf.DUMMYFUNCTION("""COMPUTED_VALUE"""),"-")</f>
        <v>-</v>
      </c>
      <c r="X176" s="213" t="str">
        <f>IFERROR(__xludf.DUMMYFUNCTION("""COMPUTED_VALUE"""),"RAZER")</f>
        <v>RAZER</v>
      </c>
      <c r="Y176" s="213" t="str">
        <f>IFERROR(__xludf.DUMMYFUNCTION("""COMPUTED_VALUE"""),"RAZER")</f>
        <v>RAZER</v>
      </c>
      <c r="Z176" s="215" t="str">
        <f>IFERROR(__xludf.DUMMYFUNCTION("""COMPUTED_VALUE"""),"https://www.falabella.com.pe/falabella-pe/product/136016854/Guillotina-A4-Oficio-Razer-Yide-color-azul-10-hojas/136016855")</f>
        <v>https://www.falabella.com.pe/falabella-pe/product/136016854/Guillotina-A4-Oficio-Razer-Yide-color-azul-10-hojas/136016855</v>
      </c>
      <c r="AA176" s="213" t="str">
        <f>IFERROR(__xludf.DUMMYFUNCTION("""COMPUTED_VALUE"""),"COM-135 CIZALLA - CET")</f>
        <v>COM-135 CIZALLA - CET</v>
      </c>
      <c r="AB176" s="213"/>
      <c r="AC176" s="213"/>
      <c r="AD176" s="213" t="str">
        <f>IFERROR(__xludf.DUMMYFUNCTION("""COMPUTED_VALUE"""),"PAQ 5 TALLER ESPECIALIZADO ")</f>
        <v>PAQ 5 TALLER ESPECIALIZADO </v>
      </c>
      <c r="AE176" s="213" t="str">
        <f>IFERROR(__xludf.DUMMYFUNCTION("""COMPUTED_VALUE"""),"CZ-02")</f>
        <v>CZ-02</v>
      </c>
      <c r="AF176" s="213"/>
      <c r="AG176" s="213"/>
      <c r="AH176" s="213" t="str">
        <f>IFERROR(__xludf.DUMMYFUNCTION("""COMPUTED_VALUE"""),"IMPORTADO")</f>
        <v>IMPORTADO</v>
      </c>
      <c r="AI176" s="213"/>
      <c r="AJ176" s="213"/>
      <c r="AK176" s="213"/>
      <c r="AL176" s="213"/>
      <c r="AM176" s="213"/>
      <c r="AN176" s="213"/>
      <c r="AO176" s="213"/>
      <c r="AP176" s="213" t="str">
        <f>IFERROR(__xludf.DUMMYFUNCTION("""COMPUTED_VALUE"""),"LUIS")</f>
        <v>LUIS</v>
      </c>
      <c r="AQ176" s="213"/>
      <c r="AR176" s="213"/>
      <c r="AS176" s="213" t="str">
        <f>IFERROR(__xludf.DUMMYFUNCTION("""COMPUTED_VALUE"""),"Se ofrece una cizalla de mayor tamaño. No se especifica que cuente con prensador ni mango retráctil.")</f>
        <v>Se ofrece una cizalla de mayor tamaño. No se especifica que cuente con prensador ni mango retráctil.</v>
      </c>
      <c r="AT176" s="213"/>
      <c r="AU176" s="213"/>
      <c r="AV176" s="213"/>
      <c r="AW176" s="213"/>
      <c r="AX176" s="213"/>
      <c r="AY176" s="213"/>
      <c r="AZ176" s="213"/>
      <c r="BA176" s="213"/>
      <c r="BB176" s="213"/>
      <c r="BC176" s="213"/>
      <c r="BD176" s="213"/>
    </row>
    <row r="177">
      <c r="A177" s="213">
        <f>IFERROR(__xludf.DUMMYFUNCTION("""COMPUTED_VALUE"""),1668.0)</f>
        <v>1668</v>
      </c>
      <c r="B177" s="213" t="str">
        <f>IFERROR(__xludf.DUMMYFUNCTION("""COMPUTED_VALUE"""),"GUILLERMO E. BILLINGHURST ")</f>
        <v>GUILLERMO E. BILLINGHURST </v>
      </c>
      <c r="C177" s="213" t="str">
        <f>IFERROR(__xludf.DUMMYFUNCTION("""COMPUTED_VALUE"""),"TALLER SFT DE COMPUTACIÓN E INFORMÁTICA")</f>
        <v>TALLER SFT DE COMPUTACIÓN E INFORMÁTICA</v>
      </c>
      <c r="D177" s="213" t="str">
        <f>IFERROR(__xludf.DUMMYFUNCTION("""COMPUTED_VALUE"""),"HERRAMIENTAS")</f>
        <v>HERRAMIENTAS</v>
      </c>
      <c r="E177" s="213" t="str">
        <f>IFERROR(__xludf.DUMMYFUNCTION("""COMPUTED_VALUE"""),"COM-135")</f>
        <v>COM-135</v>
      </c>
      <c r="F177" s="213" t="str">
        <f>IFERROR(__xludf.DUMMYFUNCTION("""COMPUTED_VALUE"""),"COM-135")</f>
        <v>COM-135</v>
      </c>
      <c r="G177" s="213"/>
      <c r="H177" s="213" t="str">
        <f>IFERROR(__xludf.DUMMYFUNCTION("""COMPUTED_VALUE"""),"CIZALLA")</f>
        <v>CIZALLA</v>
      </c>
      <c r="I177" s="213" t="str">
        <f>IFERROR(__xludf.DUMMYFUNCTION("""COMPUTED_VALUE"""),"·  Longitud de corte 330 mm tamaño A-4
·  Capacidad de corte 10 hojas
·  Prensador transparente con protector de dedos
·  Base sólida de plástico con guía pre-impresa en formatos
·  Mango retráctil de fácil almacenamiento y ahorra espacio
·  Escuadra ajus"&amp;"table.")</f>
        <v>·  Longitud de corte 330 mm tamaño A-4
·  Capacidad de corte 10 hojas
·  Prensador transparente con protector de dedos
·  Base sólida de plástico con guía pre-impresa en formatos
·  Mango retráctil de fácil almacenamiento y ahorra espacio
·  Escuadra ajustable.</v>
      </c>
      <c r="J177" s="213">
        <f>IFERROR(__xludf.DUMMYFUNCTION("""COMPUTED_VALUE"""),3.0)</f>
        <v>3</v>
      </c>
      <c r="K177" s="213" t="str">
        <f>IFERROR(__xludf.DUMMYFUNCTION("""COMPUTED_VALUE"""),"90 DÍAS CALENDARIO")</f>
        <v>90 DÍAS CALENDARIO</v>
      </c>
      <c r="L177" s="213" t="str">
        <f>IFERROR(__xludf.DUMMYFUNCTION("""COMPUTED_VALUE"""),"")</f>
        <v/>
      </c>
      <c r="M177" s="213">
        <f>IFERROR(__xludf.DUMMYFUNCTION("""COMPUTED_VALUE"""),1.0)</f>
        <v>1</v>
      </c>
      <c r="N177" s="213">
        <f>IFERROR(__xludf.DUMMYFUNCTION("""COMPUTED_VALUE"""),1.0)</f>
        <v>1</v>
      </c>
      <c r="O177" s="213">
        <f>IFERROR(__xludf.DUMMYFUNCTION("""COMPUTED_VALUE"""),1.0)</f>
        <v>1</v>
      </c>
      <c r="P177" s="213"/>
      <c r="Q177" s="213"/>
      <c r="R177" s="213" t="str">
        <f>IFERROR(__xludf.DUMMYFUNCTION("""COMPUTED_VALUE"""),"SI")</f>
        <v>SI</v>
      </c>
      <c r="S177" s="213"/>
      <c r="T177" s="213" t="str">
        <f>IFERROR(__xludf.DUMMYFUNCTION("""COMPUTED_VALUE"""),"SI")</f>
        <v>SI</v>
      </c>
      <c r="U177" s="213" t="str">
        <f>IFERROR(__xludf.DUMMYFUNCTION("""COMPUTED_VALUE"""),"SI")</f>
        <v>SI</v>
      </c>
      <c r="V177" s="213" t="str">
        <f>IFERROR(__xludf.DUMMYFUNCTION("""COMPUTED_VALUE"""),"-")</f>
        <v>-</v>
      </c>
      <c r="W177" s="213" t="str">
        <f>IFERROR(__xludf.DUMMYFUNCTION("""COMPUTED_VALUE"""),"-")</f>
        <v>-</v>
      </c>
      <c r="X177" s="213" t="str">
        <f>IFERROR(__xludf.DUMMYFUNCTION("""COMPUTED_VALUE"""),"RAZER")</f>
        <v>RAZER</v>
      </c>
      <c r="Y177" s="213" t="str">
        <f>IFERROR(__xludf.DUMMYFUNCTION("""COMPUTED_VALUE"""),"RAZER")</f>
        <v>RAZER</v>
      </c>
      <c r="Z177" s="215" t="str">
        <f>IFERROR(__xludf.DUMMYFUNCTION("""COMPUTED_VALUE"""),"https://www.falabella.com.pe/falabella-pe/product/136016854/Guillotina-A4-Oficio-Razer-Yide-color-azul-10-hojas/136016855")</f>
        <v>https://www.falabella.com.pe/falabella-pe/product/136016854/Guillotina-A4-Oficio-Razer-Yide-color-azul-10-hojas/136016855</v>
      </c>
      <c r="AA177" s="213" t="str">
        <f>IFERROR(__xludf.DUMMYFUNCTION("""COMPUTED_VALUE"""),"COM-135 CIZALLA - CET")</f>
        <v>COM-135 CIZALLA - CET</v>
      </c>
      <c r="AB177" s="213"/>
      <c r="AC177" s="213"/>
      <c r="AD177" s="213" t="str">
        <f>IFERROR(__xludf.DUMMYFUNCTION("""COMPUTED_VALUE"""),"PAQ 5 TALLER ESPECIALIZADO ")</f>
        <v>PAQ 5 TALLER ESPECIALIZADO </v>
      </c>
      <c r="AE177" s="213" t="str">
        <f>IFERROR(__xludf.DUMMYFUNCTION("""COMPUTED_VALUE"""),"CZ-02")</f>
        <v>CZ-02</v>
      </c>
      <c r="AF177" s="213"/>
      <c r="AG177" s="213"/>
      <c r="AH177" s="213" t="str">
        <f>IFERROR(__xludf.DUMMYFUNCTION("""COMPUTED_VALUE"""),"IMPORTADO")</f>
        <v>IMPORTADO</v>
      </c>
      <c r="AI177" s="213"/>
      <c r="AJ177" s="213"/>
      <c r="AK177" s="213"/>
      <c r="AL177" s="213"/>
      <c r="AM177" s="213"/>
      <c r="AN177" s="213"/>
      <c r="AO177" s="213"/>
      <c r="AP177" s="213" t="str">
        <f>IFERROR(__xludf.DUMMYFUNCTION("""COMPUTED_VALUE"""),"LUIS")</f>
        <v>LUIS</v>
      </c>
      <c r="AQ177" s="213"/>
      <c r="AR177" s="213"/>
      <c r="AS177" s="213" t="str">
        <f>IFERROR(__xludf.DUMMYFUNCTION("""COMPUTED_VALUE"""),"Se ofrece una cizalla de mayor tamaño. No se especifica que cuente con prensador ni mango retráctil.")</f>
        <v>Se ofrece una cizalla de mayor tamaño. No se especifica que cuente con prensador ni mango retráctil.</v>
      </c>
      <c r="AT177" s="213"/>
      <c r="AU177" s="213"/>
      <c r="AV177" s="213"/>
      <c r="AW177" s="213"/>
      <c r="AX177" s="213"/>
      <c r="AY177" s="213"/>
      <c r="AZ177" s="213"/>
      <c r="BA177" s="213"/>
      <c r="BB177" s="213"/>
      <c r="BC177" s="213"/>
      <c r="BD177" s="213"/>
    </row>
    <row r="178">
      <c r="A178" s="213">
        <f>IFERROR(__xludf.DUMMYFUNCTION("""COMPUTED_VALUE"""),1918.0)</f>
        <v>1918</v>
      </c>
      <c r="B178" s="213" t="str">
        <f>IFERROR(__xludf.DUMMYFUNCTION("""COMPUTED_VALUE"""),"JOSE GRANDA")</f>
        <v>JOSE GRANDA</v>
      </c>
      <c r="C178" s="213" t="str">
        <f>IFERROR(__xludf.DUMMYFUNCTION("""COMPUTED_VALUE"""),"TALLER SFT DE COMPUTACIÓN E INFORMÁTICA")</f>
        <v>TALLER SFT DE COMPUTACIÓN E INFORMÁTICA</v>
      </c>
      <c r="D178" s="213" t="str">
        <f>IFERROR(__xludf.DUMMYFUNCTION("""COMPUTED_VALUE"""),"HERRAMIENTAS")</f>
        <v>HERRAMIENTAS</v>
      </c>
      <c r="E178" s="213" t="str">
        <f>IFERROR(__xludf.DUMMYFUNCTION("""COMPUTED_VALUE"""),"COM-135")</f>
        <v>COM-135</v>
      </c>
      <c r="F178" s="213" t="str">
        <f>IFERROR(__xludf.DUMMYFUNCTION("""COMPUTED_VALUE"""),"COM-135")</f>
        <v>COM-135</v>
      </c>
      <c r="G178" s="213"/>
      <c r="H178" s="213" t="str">
        <f>IFERROR(__xludf.DUMMYFUNCTION("""COMPUTED_VALUE"""),"CIZALLA")</f>
        <v>CIZALLA</v>
      </c>
      <c r="I178" s="213" t="str">
        <f>IFERROR(__xludf.DUMMYFUNCTION("""COMPUTED_VALUE"""),"·  Longitud de corte 330 mm tamaño A-4
·  Capacidad de corte 10 hojas
·  Prensador transparente con protector de dedos
·  Base sólida de plástico con guía pre-impresa en formatos
·  Mango retráctil de fácil almacenamiento y ahorra espacio
·  Escuadra ajus"&amp;"table.")</f>
        <v>·  Longitud de corte 330 mm tamaño A-4
·  Capacidad de corte 10 hojas
·  Prensador transparente con protector de dedos
·  Base sólida de plástico con guía pre-impresa en formatos
·  Mango retráctil de fácil almacenamiento y ahorra espacio
·  Escuadra ajustable.</v>
      </c>
      <c r="J178" s="213">
        <f>IFERROR(__xludf.DUMMYFUNCTION("""COMPUTED_VALUE"""),3.0)</f>
        <v>3</v>
      </c>
      <c r="K178" s="213" t="str">
        <f>IFERROR(__xludf.DUMMYFUNCTION("""COMPUTED_VALUE"""),"90 DÍAS CALENDARIO")</f>
        <v>90 DÍAS CALENDARIO</v>
      </c>
      <c r="L178" s="213" t="str">
        <f>IFERROR(__xludf.DUMMYFUNCTION("""COMPUTED_VALUE"""),"")</f>
        <v/>
      </c>
      <c r="M178" s="213">
        <f>IFERROR(__xludf.DUMMYFUNCTION("""COMPUTED_VALUE"""),1.0)</f>
        <v>1</v>
      </c>
      <c r="N178" s="213">
        <f>IFERROR(__xludf.DUMMYFUNCTION("""COMPUTED_VALUE"""),1.0)</f>
        <v>1</v>
      </c>
      <c r="O178" s="213">
        <f>IFERROR(__xludf.DUMMYFUNCTION("""COMPUTED_VALUE"""),1.0)</f>
        <v>1</v>
      </c>
      <c r="P178" s="213"/>
      <c r="Q178" s="213"/>
      <c r="R178" s="213" t="str">
        <f>IFERROR(__xludf.DUMMYFUNCTION("""COMPUTED_VALUE"""),"SI")</f>
        <v>SI</v>
      </c>
      <c r="S178" s="213"/>
      <c r="T178" s="213" t="str">
        <f>IFERROR(__xludf.DUMMYFUNCTION("""COMPUTED_VALUE"""),"SI")</f>
        <v>SI</v>
      </c>
      <c r="U178" s="213" t="str">
        <f>IFERROR(__xludf.DUMMYFUNCTION("""COMPUTED_VALUE"""),"SI")</f>
        <v>SI</v>
      </c>
      <c r="V178" s="213" t="str">
        <f>IFERROR(__xludf.DUMMYFUNCTION("""COMPUTED_VALUE"""),"-")</f>
        <v>-</v>
      </c>
      <c r="W178" s="213" t="str">
        <f>IFERROR(__xludf.DUMMYFUNCTION("""COMPUTED_VALUE"""),"-")</f>
        <v>-</v>
      </c>
      <c r="X178" s="213" t="str">
        <f>IFERROR(__xludf.DUMMYFUNCTION("""COMPUTED_VALUE"""),"RAZER")</f>
        <v>RAZER</v>
      </c>
      <c r="Y178" s="213" t="str">
        <f>IFERROR(__xludf.DUMMYFUNCTION("""COMPUTED_VALUE"""),"RAZER")</f>
        <v>RAZER</v>
      </c>
      <c r="Z178" s="215" t="str">
        <f>IFERROR(__xludf.DUMMYFUNCTION("""COMPUTED_VALUE"""),"https://www.falabella.com.pe/falabella-pe/product/136016854/Guillotina-A4-Oficio-Razer-Yide-color-azul-10-hojas/136016855")</f>
        <v>https://www.falabella.com.pe/falabella-pe/product/136016854/Guillotina-A4-Oficio-Razer-Yide-color-azul-10-hojas/136016855</v>
      </c>
      <c r="AA178" s="213" t="str">
        <f>IFERROR(__xludf.DUMMYFUNCTION("""COMPUTED_VALUE"""),"COM-135 CIZALLA - CET")</f>
        <v>COM-135 CIZALLA - CET</v>
      </c>
      <c r="AB178" s="213"/>
      <c r="AC178" s="213"/>
      <c r="AD178" s="213" t="str">
        <f>IFERROR(__xludf.DUMMYFUNCTION("""COMPUTED_VALUE"""),"PAQ 5 TALLER ESPECIALIZADO ")</f>
        <v>PAQ 5 TALLER ESPECIALIZADO </v>
      </c>
      <c r="AE178" s="213" t="str">
        <f>IFERROR(__xludf.DUMMYFUNCTION("""COMPUTED_VALUE"""),"CZ-02")</f>
        <v>CZ-02</v>
      </c>
      <c r="AF178" s="213"/>
      <c r="AG178" s="213"/>
      <c r="AH178" s="213" t="str">
        <f>IFERROR(__xludf.DUMMYFUNCTION("""COMPUTED_VALUE"""),"IMPORTADO")</f>
        <v>IMPORTADO</v>
      </c>
      <c r="AI178" s="213"/>
      <c r="AJ178" s="213"/>
      <c r="AK178" s="213"/>
      <c r="AL178" s="213"/>
      <c r="AM178" s="213"/>
      <c r="AN178" s="213"/>
      <c r="AO178" s="213"/>
      <c r="AP178" s="213" t="str">
        <f>IFERROR(__xludf.DUMMYFUNCTION("""COMPUTED_VALUE"""),"LUIS")</f>
        <v>LUIS</v>
      </c>
      <c r="AQ178" s="213"/>
      <c r="AR178" s="213"/>
      <c r="AS178" s="213" t="str">
        <f>IFERROR(__xludf.DUMMYFUNCTION("""COMPUTED_VALUE"""),"Se ofrece una cizalla de mayor tamaño. No se especifica que cuente con prensador ni mango retráctil.")</f>
        <v>Se ofrece una cizalla de mayor tamaño. No se especifica que cuente con prensador ni mango retráctil.</v>
      </c>
      <c r="AT178" s="213"/>
      <c r="AU178" s="213"/>
      <c r="AV178" s="213"/>
      <c r="AW178" s="213"/>
      <c r="AX178" s="213"/>
      <c r="AY178" s="213"/>
      <c r="AZ178" s="213"/>
      <c r="BA178" s="213"/>
      <c r="BB178" s="213"/>
      <c r="BC178" s="213"/>
      <c r="BD178" s="213"/>
    </row>
    <row r="179">
      <c r="A179" s="213">
        <f>IFERROR(__xludf.DUMMYFUNCTION("""COMPUTED_VALUE"""),1766.0)</f>
        <v>1766</v>
      </c>
      <c r="B179" s="213" t="str">
        <f>IFERROR(__xludf.DUMMYFUNCTION("""COMPUTED_VALUE"""),"GUILLERMO E. BILLINGHURST ")</f>
        <v>GUILLERMO E. BILLINGHURST </v>
      </c>
      <c r="C179" s="213" t="str">
        <f>IFERROR(__xludf.DUMMYFUNCTION("""COMPUTED_VALUE"""),"TALLER SFT DE EBANISTERÍA")</f>
        <v>TALLER SFT DE EBANISTERÍA</v>
      </c>
      <c r="D179" s="213" t="str">
        <f>IFERROR(__xludf.DUMMYFUNCTION("""COMPUTED_VALUE"""),"MOBILIARIO")</f>
        <v>MOBILIARIO</v>
      </c>
      <c r="E179" s="213" t="str">
        <f>IFERROR(__xludf.DUMMYFUNCTION("""COMPUTED_VALUE"""),"MOB-108")</f>
        <v>MOB-108</v>
      </c>
      <c r="F179" s="213" t="str">
        <f>IFERROR(__xludf.DUMMYFUNCTION("""COMPUTED_VALUE"""),"MOB-108")</f>
        <v>MOB-108</v>
      </c>
      <c r="G179" s="213"/>
      <c r="H179" s="213" t="str">
        <f>IFERROR(__xludf.DUMMYFUNCTION("""COMPUTED_VALUE"""),"BANCO DE TRABAJO (1800 X 900 X 850 MM.)")</f>
        <v>BANCO DE TRABAJO (1800 X 900 X 850 MM.)</v>
      </c>
      <c r="I179" s="213" t="str">
        <f>IFERROR(__xludf.DUMMYFUNCTION("""COMPUTED_VALUE"""),"Fabricación en madera tornillo u otra especie similar, deberá contener 13% de humedad como máximo, con accesorios de metal.
Tablero superior de 50 mm de espesor.
Perfiles inferiores de 40 mm x 75 mm de espesor.
Provisto de dos mordazas laterales horizonta"&amp;"les para corchetes  y cuatro mordazas frontales verticales, distribuida en cada lado externo de las patas.
Cuenta con 4 patas de madera rectangular de  75 mm x 100 mm de sección. Dimensiones (solo madera): 1800 mm x 900 mm x 850 mm")</f>
        <v>Fabricación en madera tornillo u otra especie similar, deberá contener 13% de humedad como máximo, con accesorios de metal.
Tablero superior de 50 mm de espesor.
Perfiles inferiores de 40 mm x 75 mm de espesor.
Provisto de dos mordazas laterales horizontales para corchetes  y cuatro mordazas frontales verticales, distribuida en cada lado externo de las patas.
Cuenta con 4 patas de madera rectangular de  75 mm x 100 mm de sección. Dimensiones (solo madera): 1800 mm x 900 mm x 850 mm</v>
      </c>
      <c r="J179" s="213">
        <f>IFERROR(__xludf.DUMMYFUNCTION("""COMPUTED_VALUE"""),3.0)</f>
        <v>3</v>
      </c>
      <c r="K179" s="213" t="str">
        <f>IFERROR(__xludf.DUMMYFUNCTION("""COMPUTED_VALUE"""),"90 DÍAS CALENDARIO")</f>
        <v>90 DÍAS CALENDARIO</v>
      </c>
      <c r="L179" s="213" t="str">
        <f>IFERROR(__xludf.DUMMYFUNCTION("""COMPUTED_VALUE"""),"")</f>
        <v/>
      </c>
      <c r="M179" s="213">
        <f>IFERROR(__xludf.DUMMYFUNCTION("""COMPUTED_VALUE"""),1.0)</f>
        <v>1</v>
      </c>
      <c r="N179" s="213">
        <f>IFERROR(__xludf.DUMMYFUNCTION("""COMPUTED_VALUE"""),4.0)</f>
        <v>4</v>
      </c>
      <c r="O179" s="213">
        <f>IFERROR(__xludf.DUMMYFUNCTION("""COMPUTED_VALUE"""),4.0)</f>
        <v>4</v>
      </c>
      <c r="P179" s="213"/>
      <c r="Q179" s="213"/>
      <c r="R179" s="213"/>
      <c r="S179" s="213"/>
      <c r="T179" s="213"/>
      <c r="U179" s="213"/>
      <c r="V179" s="213"/>
      <c r="W179" s="213"/>
      <c r="X179" s="213"/>
      <c r="Y179" s="213"/>
      <c r="Z179" s="213"/>
      <c r="AA179" s="213"/>
      <c r="AB179" s="213"/>
      <c r="AC179" s="213"/>
      <c r="AD179" s="213"/>
      <c r="AE179" s="213"/>
      <c r="AF179" s="213"/>
      <c r="AG179" s="213"/>
      <c r="AH179" s="213"/>
      <c r="AI179" s="213"/>
      <c r="AJ179" s="213"/>
      <c r="AK179" s="213"/>
      <c r="AL179" s="213"/>
      <c r="AM179" s="213"/>
      <c r="AN179" s="213"/>
      <c r="AO179" s="213"/>
      <c r="AP179" s="213"/>
      <c r="AQ179" s="213"/>
      <c r="AR179" s="213"/>
      <c r="AS179" s="213"/>
      <c r="AT179" s="213"/>
      <c r="AU179" s="213"/>
      <c r="AV179" s="213"/>
      <c r="AW179" s="213"/>
      <c r="AX179" s="213"/>
      <c r="AY179" s="213"/>
      <c r="AZ179" s="213"/>
      <c r="BA179" s="213"/>
      <c r="BB179" s="213"/>
      <c r="BC179" s="213"/>
      <c r="BD179" s="213"/>
    </row>
    <row r="180">
      <c r="A180" s="213">
        <f>IFERROR(__xludf.DUMMYFUNCTION("""COMPUTED_VALUE"""),2551.0)</f>
        <v>2551</v>
      </c>
      <c r="B180" s="213" t="str">
        <f>IFERROR(__xludf.DUMMYFUNCTION("""COMPUTED_VALUE"""),"MANUEL ANTONIO MESONES MURO")</f>
        <v>MANUEL ANTONIO MESONES MURO</v>
      </c>
      <c r="C180" s="213" t="str">
        <f>IFERROR(__xludf.DUMMYFUNCTION("""COMPUTED_VALUE"""),"TALLER SFT DE EBANISTERÍA")</f>
        <v>TALLER SFT DE EBANISTERÍA</v>
      </c>
      <c r="D180" s="213" t="str">
        <f>IFERROR(__xludf.DUMMYFUNCTION("""COMPUTED_VALUE"""),"MOBILIARIO")</f>
        <v>MOBILIARIO</v>
      </c>
      <c r="E180" s="213" t="str">
        <f>IFERROR(__xludf.DUMMYFUNCTION("""COMPUTED_VALUE"""),"MOB-108")</f>
        <v>MOB-108</v>
      </c>
      <c r="F180" s="213" t="str">
        <f>IFERROR(__xludf.DUMMYFUNCTION("""COMPUTED_VALUE"""),"MOB-108")</f>
        <v>MOB-108</v>
      </c>
      <c r="G180" s="213"/>
      <c r="H180" s="213" t="str">
        <f>IFERROR(__xludf.DUMMYFUNCTION("""COMPUTED_VALUE"""),"BANCO DE TRABAJO (1800 X 900 X 850 MM.)")</f>
        <v>BANCO DE TRABAJO (1800 X 900 X 850 MM.)</v>
      </c>
      <c r="I180" s="213" t="str">
        <f>IFERROR(__xludf.DUMMYFUNCTION("""COMPUTED_VALUE"""),"Fabricación en madera tornillo u otra especie similar, deberá contener 13% de humedad como máximo, con accesorios de metal.
Tablero superior de 50 mm de espesor.
Perfiles inferiores de 40 mm x 75 mm de espesor.
Provisto de dos mordazas laterales horizonta"&amp;"les para corchetes  y cuatro mordazas frontales verticales, distribuida en cada lado externo de las patas.
Cuenta con 4 patas de madera rectangular de  75 mm x 100 mm de sección. Dimensiones (solo madera): 1800 mm x 900 mm x 850 mm")</f>
        <v>Fabricación en madera tornillo u otra especie similar, deberá contener 13% de humedad como máximo, con accesorios de metal.
Tablero superior de 50 mm de espesor.
Perfiles inferiores de 40 mm x 75 mm de espesor.
Provisto de dos mordazas laterales horizontales para corchetes  y cuatro mordazas frontales verticales, distribuida en cada lado externo de las patas.
Cuenta con 4 patas de madera rectangular de  75 mm x 100 mm de sección. Dimensiones (solo madera): 1800 mm x 900 mm x 850 mm</v>
      </c>
      <c r="J180" s="213">
        <f>IFERROR(__xludf.DUMMYFUNCTION("""COMPUTED_VALUE"""),3.0)</f>
        <v>3</v>
      </c>
      <c r="K180" s="213" t="str">
        <f>IFERROR(__xludf.DUMMYFUNCTION("""COMPUTED_VALUE"""),"90 DÍAS CALENDARIO")</f>
        <v>90 DÍAS CALENDARIO</v>
      </c>
      <c r="L180" s="213" t="str">
        <f>IFERROR(__xludf.DUMMYFUNCTION("""COMPUTED_VALUE"""),"")</f>
        <v/>
      </c>
      <c r="M180" s="213">
        <f>IFERROR(__xludf.DUMMYFUNCTION("""COMPUTED_VALUE"""),1.0)</f>
        <v>1</v>
      </c>
      <c r="N180" s="213">
        <f>IFERROR(__xludf.DUMMYFUNCTION("""COMPUTED_VALUE"""),3.0)</f>
        <v>3</v>
      </c>
      <c r="O180" s="213">
        <f>IFERROR(__xludf.DUMMYFUNCTION("""COMPUTED_VALUE"""),3.0)</f>
        <v>3</v>
      </c>
      <c r="P180" s="213"/>
      <c r="Q180" s="213"/>
      <c r="R180" s="213"/>
      <c r="S180" s="213"/>
      <c r="T180" s="213"/>
      <c r="U180" s="213"/>
      <c r="V180" s="213"/>
      <c r="W180" s="213"/>
      <c r="X180" s="213"/>
      <c r="Y180" s="213"/>
      <c r="Z180" s="213"/>
      <c r="AA180" s="213"/>
      <c r="AB180" s="213"/>
      <c r="AC180" s="213"/>
      <c r="AD180" s="213"/>
      <c r="AE180" s="213"/>
      <c r="AF180" s="213"/>
      <c r="AG180" s="213"/>
      <c r="AH180" s="213"/>
      <c r="AI180" s="213"/>
      <c r="AJ180" s="213"/>
      <c r="AK180" s="213"/>
      <c r="AL180" s="213"/>
      <c r="AM180" s="213"/>
      <c r="AN180" s="213"/>
      <c r="AO180" s="213"/>
      <c r="AP180" s="213"/>
      <c r="AQ180" s="213"/>
      <c r="AR180" s="213"/>
      <c r="AS180" s="213"/>
      <c r="AT180" s="213"/>
      <c r="AU180" s="213"/>
      <c r="AV180" s="213"/>
      <c r="AW180" s="213"/>
      <c r="AX180" s="213"/>
      <c r="AY180" s="213"/>
      <c r="AZ180" s="213"/>
      <c r="BA180" s="213"/>
      <c r="BB180" s="213"/>
      <c r="BC180" s="213"/>
      <c r="BD180" s="213"/>
    </row>
    <row r="181">
      <c r="A181" s="213">
        <f>IFERROR(__xludf.DUMMYFUNCTION("""COMPUTED_VALUE"""),915.0)</f>
        <v>915</v>
      </c>
      <c r="B181" s="213" t="str">
        <f>IFERROR(__xludf.DUMMYFUNCTION("""COMPUTED_VALUE"""),"FRANCISCO IRAZOLA")</f>
        <v>FRANCISCO IRAZOLA</v>
      </c>
      <c r="C181" s="213" t="str">
        <f>IFERROR(__xludf.DUMMYFUNCTION("""COMPUTED_VALUE"""),"TALLER SFT DE MECÁNICA AUTOMOTRIZ")</f>
        <v>TALLER SFT DE MECÁNICA AUTOMOTRIZ</v>
      </c>
      <c r="D181" s="213" t="str">
        <f>IFERROR(__xludf.DUMMYFUNCTION("""COMPUTED_VALUE"""),"MOBILIARIO")</f>
        <v>MOBILIARIO</v>
      </c>
      <c r="E181" s="213" t="str">
        <f>IFERROR(__xludf.DUMMYFUNCTION("""COMPUTED_VALUE"""),"MOB-111")</f>
        <v>MOB-111</v>
      </c>
      <c r="F181" s="213" t="str">
        <f>IFERROR(__xludf.DUMMYFUNCTION("""COMPUTED_VALUE"""),"MOB-111")</f>
        <v>MOB-111</v>
      </c>
      <c r="G181" s="213"/>
      <c r="H181" s="213" t="str">
        <f>IFERROR(__xludf.DUMMYFUNCTION("""COMPUTED_VALUE"""),"BANCO DE TRABAJO CON TORNILLO DE BANCO (1800 X 900 X 850 MM.)")</f>
        <v>BANCO DE TRABAJO CON TORNILLO DE BANCO (1800 X 900 X 850 MM.)</v>
      </c>
      <c r="I181" s="213" t="str">
        <f>IFERROR(__xludf.DUMMYFUNCTION("""COMPUTED_VALUE"""),"Banco de trabajo:
· Fabricación: estructuras de metal y tableros de madera tornillo u otras especies similares.
· Tablero superior de 32 mm de espesor como mínimo, deberá contener 13% humedad como máximo, barnizada, previo sellado de la madera.
· Tablero "&amp;"inferior de 25 mm de espesor como mínimo, deberá contener 13% humedad como máximo, barnizada, previo sellado de la madera.
· Cuenta con 6 patas de acero de tubo cuadrado de 2”x2”x1.5 mm de espesor, acabados en pintura polvo electrostático de 60 micras com"&amp;"o mínimo.
· Patas con regatones de goma resistentes.
. Dimensiones mínimas: 3000 mm x 1100 mm x 850 mm Incluye:
- 01 Tornillo de banco.
. Minimo 4 pulgadas de apertura.
. Fabricado de hierro fundido pesado para brindar fortaleza y durabilidad .
. Bases gi"&amp;"ratorias y cerraduras para mayor versatilidad .
. Manijas recubiertas de cromo resistente a la corrosión.
. Peso aproximado: 18 kg.
. Debe estar fijado a la mesa con tornillos, tuercas y arandelas de seguridad,  que eviten aflojarse por vibración.")</f>
        <v>Banco de trabajo:
· Fabricación: estructuras de metal y tableros de madera tornillo u otras especies similares.
· Tablero superior de 32 mm de espesor como mínimo, deberá contener 13% humedad como máximo, barnizada, previo sellado de la madera.
· Tablero inferior de 25 mm de espesor como mínimo, deberá contener 13% humedad como máximo, barnizada, previo sellado de la madera.
· Cuenta con 6 patas de acero de tubo cuadrado de 2”x2”x1.5 mm de espesor, acabados en pintura polvo electrostático de 60 micras como mínimo.
· Patas con regatones de goma resistentes.
. Dimensiones mínimas: 3000 mm x 1100 mm x 850 mm Incluye:
- 01 Tornillo de banco.
. Minimo 4 pulgadas de apertura.
. Fabricado de hierro fundido pesado para brindar fortaleza y durabilidad .
. Bases giratorias y cerraduras para mayor versatilidad .
. Manijas recubiertas de cromo resistente a la corrosión.
. Peso aproximado: 18 kg.
. Debe estar fijado a la mesa con tornillos, tuercas y arandelas de seguridad,  que eviten aflojarse por vibración.</v>
      </c>
      <c r="J181" s="213">
        <f>IFERROR(__xludf.DUMMYFUNCTION("""COMPUTED_VALUE"""),3.0)</f>
        <v>3</v>
      </c>
      <c r="K181" s="213" t="str">
        <f>IFERROR(__xludf.DUMMYFUNCTION("""COMPUTED_VALUE"""),"90 DÍAS CALENDARIO")</f>
        <v>90 DÍAS CALENDARIO</v>
      </c>
      <c r="L181" s="213" t="str">
        <f>IFERROR(__xludf.DUMMYFUNCTION("""COMPUTED_VALUE"""),"")</f>
        <v/>
      </c>
      <c r="M181" s="213">
        <f>IFERROR(__xludf.DUMMYFUNCTION("""COMPUTED_VALUE"""),1.0)</f>
        <v>1</v>
      </c>
      <c r="N181" s="213">
        <f>IFERROR(__xludf.DUMMYFUNCTION("""COMPUTED_VALUE"""),2.0)</f>
        <v>2</v>
      </c>
      <c r="O181" s="213">
        <f>IFERROR(__xludf.DUMMYFUNCTION("""COMPUTED_VALUE"""),2.0)</f>
        <v>2</v>
      </c>
      <c r="P181" s="213"/>
      <c r="Q181" s="213"/>
      <c r="R181" s="213"/>
      <c r="S181" s="213"/>
      <c r="T181" s="213"/>
      <c r="U181" s="213"/>
      <c r="V181" s="213"/>
      <c r="W181" s="213"/>
      <c r="X181" s="213"/>
      <c r="Y181" s="213"/>
      <c r="Z181" s="213"/>
      <c r="AA181" s="213"/>
      <c r="AB181" s="213"/>
      <c r="AC181" s="213"/>
      <c r="AD181" s="213"/>
      <c r="AE181" s="213"/>
      <c r="AF181" s="213"/>
      <c r="AG181" s="213"/>
      <c r="AH181" s="213"/>
      <c r="AI181" s="213"/>
      <c r="AJ181" s="213"/>
      <c r="AK181" s="213"/>
      <c r="AL181" s="213"/>
      <c r="AM181" s="213"/>
      <c r="AN181" s="213"/>
      <c r="AO181" s="213"/>
      <c r="AP181" s="213"/>
      <c r="AQ181" s="213"/>
      <c r="AR181" s="213"/>
      <c r="AS181" s="213"/>
      <c r="AT181" s="213"/>
      <c r="AU181" s="213"/>
      <c r="AV181" s="213"/>
      <c r="AW181" s="213"/>
      <c r="AX181" s="213"/>
      <c r="AY181" s="213"/>
      <c r="AZ181" s="213"/>
      <c r="BA181" s="213"/>
      <c r="BB181" s="213"/>
      <c r="BC181" s="213"/>
      <c r="BD181" s="213"/>
    </row>
    <row r="182">
      <c r="A182" s="213">
        <f>IFERROR(__xludf.DUMMYFUNCTION("""COMPUTED_VALUE"""),1516.0)</f>
        <v>1516</v>
      </c>
      <c r="B182" s="213" t="str">
        <f>IFERROR(__xludf.DUMMYFUNCTION("""COMPUTED_VALUE"""),"GUILLERMO E. BILLINGHURST ")</f>
        <v>GUILLERMO E. BILLINGHURST </v>
      </c>
      <c r="C182" s="213" t="str">
        <f>IFERROR(__xludf.DUMMYFUNCTION("""COMPUTED_VALUE"""),"TALLER SFT DE MECÁNICA AUTOMOTRIZ")</f>
        <v>TALLER SFT DE MECÁNICA AUTOMOTRIZ</v>
      </c>
      <c r="D182" s="213" t="str">
        <f>IFERROR(__xludf.DUMMYFUNCTION("""COMPUTED_VALUE"""),"MOBILIARIO")</f>
        <v>MOBILIARIO</v>
      </c>
      <c r="E182" s="213" t="str">
        <f>IFERROR(__xludf.DUMMYFUNCTION("""COMPUTED_VALUE"""),"MOB-111")</f>
        <v>MOB-111</v>
      </c>
      <c r="F182" s="213" t="str">
        <f>IFERROR(__xludf.DUMMYFUNCTION("""COMPUTED_VALUE"""),"MOB-111")</f>
        <v>MOB-111</v>
      </c>
      <c r="G182" s="213"/>
      <c r="H182" s="213" t="str">
        <f>IFERROR(__xludf.DUMMYFUNCTION("""COMPUTED_VALUE"""),"BANCO DE TRABAJO CON TORNILLO DE BANCO (1800 X 900 X 850 MM.)")</f>
        <v>BANCO DE TRABAJO CON TORNILLO DE BANCO (1800 X 900 X 850 MM.)</v>
      </c>
      <c r="I182" s="213" t="str">
        <f>IFERROR(__xludf.DUMMYFUNCTION("""COMPUTED_VALUE"""),"Banco de trabajo:
· Fabricación: estructuras de metal y tableros de madera tornillo u otras especies similares.
· Tablero superior de 32 mm de espesor como mínimo, deberá contener 13% humedad como máximo, barnizada, previo sellado de la madera.
· Tablero "&amp;"inferior de 25 mm de espesor como mínimo, deberá contener 13% humedad como máximo, barnizada, previo sellado de la madera.
· Cuenta con 6 patas de acero de tubo cuadrado de 2”x2”x1.5 mm de espesor, acabados en pintura polvo electrostático de 60 micras com"&amp;"o mínimo.
· Patas con regatones de goma resistentes.
. Dimensiones mínimas: 3000 mm x 1100 mm x 850 mm Incluye:
- 01 Tornillo de banco.
. Minimo 4 pulgadas de apertura.
. Fabricado de hierro fundido pesado para brindar fortaleza y durabilidad .
. Bases gi"&amp;"ratorias y cerraduras para mayor versatilidad .
. Manijas recubiertas de cromo resistente a la corrosión.
. Peso aproximado: 18 kg.
. Debe estar fijado a la mesa con tornillos, tuercas y arandelas de seguridad,  que eviten aflojarse por vibración.")</f>
        <v>Banco de trabajo:
· Fabricación: estructuras de metal y tableros de madera tornillo u otras especies similares.
· Tablero superior de 32 mm de espesor como mínimo, deberá contener 13% humedad como máximo, barnizada, previo sellado de la madera.
· Tablero inferior de 25 mm de espesor como mínimo, deberá contener 13% humedad como máximo, barnizada, previo sellado de la madera.
· Cuenta con 6 patas de acero de tubo cuadrado de 2”x2”x1.5 mm de espesor, acabados en pintura polvo electrostático de 60 micras como mínimo.
· Patas con regatones de goma resistentes.
. Dimensiones mínimas: 3000 mm x 1100 mm x 850 mm Incluye:
- 01 Tornillo de banco.
. Minimo 4 pulgadas de apertura.
. Fabricado de hierro fundido pesado para brindar fortaleza y durabilidad .
. Bases giratorias y cerraduras para mayor versatilidad .
. Manijas recubiertas de cromo resistente a la corrosión.
. Peso aproximado: 18 kg.
. Debe estar fijado a la mesa con tornillos, tuercas y arandelas de seguridad,  que eviten aflojarse por vibración.</v>
      </c>
      <c r="J182" s="213">
        <f>IFERROR(__xludf.DUMMYFUNCTION("""COMPUTED_VALUE"""),3.0)</f>
        <v>3</v>
      </c>
      <c r="K182" s="213" t="str">
        <f>IFERROR(__xludf.DUMMYFUNCTION("""COMPUTED_VALUE"""),"90 DÍAS CALENDARIO")</f>
        <v>90 DÍAS CALENDARIO</v>
      </c>
      <c r="L182" s="213" t="str">
        <f>IFERROR(__xludf.DUMMYFUNCTION("""COMPUTED_VALUE"""),"")</f>
        <v/>
      </c>
      <c r="M182" s="213">
        <f>IFERROR(__xludf.DUMMYFUNCTION("""COMPUTED_VALUE"""),1.0)</f>
        <v>1</v>
      </c>
      <c r="N182" s="213">
        <f>IFERROR(__xludf.DUMMYFUNCTION("""COMPUTED_VALUE"""),4.0)</f>
        <v>4</v>
      </c>
      <c r="O182" s="213">
        <f>IFERROR(__xludf.DUMMYFUNCTION("""COMPUTED_VALUE"""),4.0)</f>
        <v>4</v>
      </c>
      <c r="P182" s="213"/>
      <c r="Q182" s="213"/>
      <c r="R182" s="213"/>
      <c r="S182" s="213"/>
      <c r="T182" s="213"/>
      <c r="U182" s="213"/>
      <c r="V182" s="213"/>
      <c r="W182" s="213"/>
      <c r="X182" s="213"/>
      <c r="Y182" s="213"/>
      <c r="Z182" s="213"/>
      <c r="AA182" s="213"/>
      <c r="AB182" s="213"/>
      <c r="AC182" s="213"/>
      <c r="AD182" s="213"/>
      <c r="AE182" s="213"/>
      <c r="AF182" s="213"/>
      <c r="AG182" s="213"/>
      <c r="AH182" s="213"/>
      <c r="AI182" s="213"/>
      <c r="AJ182" s="213"/>
      <c r="AK182" s="213"/>
      <c r="AL182" s="213"/>
      <c r="AM182" s="213"/>
      <c r="AN182" s="213"/>
      <c r="AO182" s="213"/>
      <c r="AP182" s="213"/>
      <c r="AQ182" s="213"/>
      <c r="AR182" s="213"/>
      <c r="AS182" s="213"/>
      <c r="AT182" s="213"/>
      <c r="AU182" s="213"/>
      <c r="AV182" s="213"/>
      <c r="AW182" s="213"/>
      <c r="AX182" s="213"/>
      <c r="AY182" s="213"/>
      <c r="AZ182" s="213"/>
      <c r="BA182" s="213"/>
      <c r="BB182" s="213"/>
      <c r="BC182" s="213"/>
      <c r="BD182" s="213"/>
    </row>
    <row r="183">
      <c r="A183" s="213">
        <f>IFERROR(__xludf.DUMMYFUNCTION("""COMPUTED_VALUE"""),2202.0)</f>
        <v>2202</v>
      </c>
      <c r="B183" s="213" t="str">
        <f>IFERROR(__xludf.DUMMYFUNCTION("""COMPUTED_VALUE"""),"JOSE GRANDA")</f>
        <v>JOSE GRANDA</v>
      </c>
      <c r="C183" s="213" t="str">
        <f>IFERROR(__xludf.DUMMYFUNCTION("""COMPUTED_VALUE"""),"TALLER SFT DE MECÁNICA AUTOMOTRIZ")</f>
        <v>TALLER SFT DE MECÁNICA AUTOMOTRIZ</v>
      </c>
      <c r="D183" s="213" t="str">
        <f>IFERROR(__xludf.DUMMYFUNCTION("""COMPUTED_VALUE"""),"MOBILIARIO")</f>
        <v>MOBILIARIO</v>
      </c>
      <c r="E183" s="213" t="str">
        <f>IFERROR(__xludf.DUMMYFUNCTION("""COMPUTED_VALUE"""),"MOB-111")</f>
        <v>MOB-111</v>
      </c>
      <c r="F183" s="213" t="str">
        <f>IFERROR(__xludf.DUMMYFUNCTION("""COMPUTED_VALUE"""),"MOB-111")</f>
        <v>MOB-111</v>
      </c>
      <c r="G183" s="213"/>
      <c r="H183" s="213" t="str">
        <f>IFERROR(__xludf.DUMMYFUNCTION("""COMPUTED_VALUE"""),"BANCO DE TRABAJO CON TORNILLO DE BANCO (1800 X 900 X 850 MM.)")</f>
        <v>BANCO DE TRABAJO CON TORNILLO DE BANCO (1800 X 900 X 850 MM.)</v>
      </c>
      <c r="I183" s="213" t="str">
        <f>IFERROR(__xludf.DUMMYFUNCTION("""COMPUTED_VALUE"""),"Banco de trabajo:
· Fabricación: estructuras de metal y tableros de madera tornillo u otras especies similares.
· Tablero superior de 32 mm de espesor como mínimo, deberá contener 13% humedad como máximo, barnizada, previo sellado de la madera.
· Tablero "&amp;"inferior de 25 mm de espesor como mínimo, deberá contener 13% humedad como máximo, barnizada, previo sellado de la madera.
· Cuenta con 6 patas de acero de tubo cuadrado de 2”x2”x1.5 mm de espesor, acabados en pintura polvo electrostático de 60 micras com"&amp;"o mínimo.
· Patas con regatones de goma resistentes.
. Dimensiones mínimas: 3000 mm x 1100 mm x 850 mm Incluye:
- 01 Tornillo de banco.
. Minimo 4 pulgadas de apertura.
. Fabricado de hierro fundido pesado para brindar fortaleza y durabilidad .
. Bases gi"&amp;"ratorias y cerraduras para mayor versatilidad .
. Manijas recubiertas de cromo resistente a la corrosión.
. Peso aproximado: 18 kg.
. Debe estar fijado a la mesa con tornillos, tuercas y arandelas de seguridad,  que eviten aflojarse por vibración.")</f>
        <v>Banco de trabajo:
· Fabricación: estructuras de metal y tableros de madera tornillo u otras especies similares.
· Tablero superior de 32 mm de espesor como mínimo, deberá contener 13% humedad como máximo, barnizada, previo sellado de la madera.
· Tablero inferior de 25 mm de espesor como mínimo, deberá contener 13% humedad como máximo, barnizada, previo sellado de la madera.
· Cuenta con 6 patas de acero de tubo cuadrado de 2”x2”x1.5 mm de espesor, acabados en pintura polvo electrostático de 60 micras como mínimo.
· Patas con regatones de goma resistentes.
. Dimensiones mínimas: 3000 mm x 1100 mm x 850 mm Incluye:
- 01 Tornillo de banco.
. Minimo 4 pulgadas de apertura.
. Fabricado de hierro fundido pesado para brindar fortaleza y durabilidad .
. Bases giratorias y cerraduras para mayor versatilidad .
. Manijas recubiertas de cromo resistente a la corrosión.
. Peso aproximado: 18 kg.
. Debe estar fijado a la mesa con tornillos, tuercas y arandelas de seguridad,  que eviten aflojarse por vibración.</v>
      </c>
      <c r="J183" s="213">
        <f>IFERROR(__xludf.DUMMYFUNCTION("""COMPUTED_VALUE"""),3.0)</f>
        <v>3</v>
      </c>
      <c r="K183" s="213" t="str">
        <f>IFERROR(__xludf.DUMMYFUNCTION("""COMPUTED_VALUE"""),"90 DÍAS CALENDARIO")</f>
        <v>90 DÍAS CALENDARIO</v>
      </c>
      <c r="L183" s="213" t="str">
        <f>IFERROR(__xludf.DUMMYFUNCTION("""COMPUTED_VALUE"""),"")</f>
        <v/>
      </c>
      <c r="M183" s="213">
        <f>IFERROR(__xludf.DUMMYFUNCTION("""COMPUTED_VALUE"""),1.0)</f>
        <v>1</v>
      </c>
      <c r="N183" s="213">
        <f>IFERROR(__xludf.DUMMYFUNCTION("""COMPUTED_VALUE"""),2.0)</f>
        <v>2</v>
      </c>
      <c r="O183" s="213">
        <f>IFERROR(__xludf.DUMMYFUNCTION("""COMPUTED_VALUE"""),2.0)</f>
        <v>2</v>
      </c>
      <c r="P183" s="213"/>
      <c r="Q183" s="213"/>
      <c r="R183" s="213"/>
      <c r="S183" s="213"/>
      <c r="T183" s="213"/>
      <c r="U183" s="213"/>
      <c r="V183" s="213"/>
      <c r="W183" s="213"/>
      <c r="X183" s="213"/>
      <c r="Y183" s="213"/>
      <c r="Z183" s="213"/>
      <c r="AA183" s="213"/>
      <c r="AB183" s="213"/>
      <c r="AC183" s="213"/>
      <c r="AD183" s="213"/>
      <c r="AE183" s="213"/>
      <c r="AF183" s="213"/>
      <c r="AG183" s="213"/>
      <c r="AH183" s="213"/>
      <c r="AI183" s="213"/>
      <c r="AJ183" s="213"/>
      <c r="AK183" s="213"/>
      <c r="AL183" s="213"/>
      <c r="AM183" s="213"/>
      <c r="AN183" s="213"/>
      <c r="AO183" s="213"/>
      <c r="AP183" s="213"/>
      <c r="AQ183" s="213"/>
      <c r="AR183" s="213"/>
      <c r="AS183" s="213"/>
      <c r="AT183" s="213"/>
      <c r="AU183" s="213"/>
      <c r="AV183" s="213"/>
      <c r="AW183" s="213"/>
      <c r="AX183" s="213"/>
      <c r="AY183" s="213"/>
      <c r="AZ183" s="213"/>
      <c r="BA183" s="213"/>
      <c r="BB183" s="213"/>
      <c r="BC183" s="213"/>
      <c r="BD183" s="213"/>
    </row>
    <row r="184">
      <c r="A184" s="213">
        <f>IFERROR(__xludf.DUMMYFUNCTION("""COMPUTED_VALUE"""),2517.0)</f>
        <v>2517</v>
      </c>
      <c r="B184" s="213" t="str">
        <f>IFERROR(__xludf.DUMMYFUNCTION("""COMPUTED_VALUE"""),"MANUEL ANTONIO MESONES MURO")</f>
        <v>MANUEL ANTONIO MESONES MURO</v>
      </c>
      <c r="C184" s="213" t="str">
        <f>IFERROR(__xludf.DUMMYFUNCTION("""COMPUTED_VALUE"""),"TALLER SFT DE CONSTRUCCIONES METÁLICAS")</f>
        <v>TALLER SFT DE CONSTRUCCIONES METÁLICAS</v>
      </c>
      <c r="D184" s="213" t="str">
        <f>IFERROR(__xludf.DUMMYFUNCTION("""COMPUTED_VALUE"""),"HERRAMIENTAS")</f>
        <v>HERRAMIENTAS</v>
      </c>
      <c r="E184" s="213" t="str">
        <f>IFERROR(__xludf.DUMMYFUNCTION("""COMPUTED_VALUE"""),"MAT-114")</f>
        <v>MAT-114</v>
      </c>
      <c r="F184" s="213" t="str">
        <f>IFERROR(__xludf.DUMMYFUNCTION("""COMPUTED_VALUE"""),"MAT-114")</f>
        <v>MAT-114</v>
      </c>
      <c r="G184" s="213"/>
      <c r="H184" s="213" t="str">
        <f>IFERROR(__xludf.DUMMYFUNCTION("""COMPUTED_VALUE"""),"BALÓN DE CO2")</f>
        <v>BALÓN DE CO2</v>
      </c>
      <c r="I184" s="213" t="str">
        <f>IFERROR(__xludf.DUMMYFUNCTION("""COMPUTED_VALUE"""),"Balón con capacidad de 5 kg con coche para traslado
-       Modelo cilindro de gas color aluminio")</f>
        <v>Balón con capacidad de 5 kg con coche para traslado
-       Modelo cilindro de gas color aluminio</v>
      </c>
      <c r="J184" s="213">
        <f>IFERROR(__xludf.DUMMYFUNCTION("""COMPUTED_VALUE"""),3.0)</f>
        <v>3</v>
      </c>
      <c r="K184" s="213" t="str">
        <f>IFERROR(__xludf.DUMMYFUNCTION("""COMPUTED_VALUE"""),"170 DÍAS CALENDARIO")</f>
        <v>170 DÍAS CALENDARIO</v>
      </c>
      <c r="L184" s="213" t="str">
        <f>IFERROR(__xludf.DUMMYFUNCTION("""COMPUTED_VALUE"""),"")</f>
        <v/>
      </c>
      <c r="M184" s="213">
        <f>IFERROR(__xludf.DUMMYFUNCTION("""COMPUTED_VALUE"""),1.0)</f>
        <v>1</v>
      </c>
      <c r="N184" s="213">
        <f>IFERROR(__xludf.DUMMYFUNCTION("""COMPUTED_VALUE"""),1.0)</f>
        <v>1</v>
      </c>
      <c r="O184" s="213">
        <f>IFERROR(__xludf.DUMMYFUNCTION("""COMPUTED_VALUE"""),1.0)</f>
        <v>1</v>
      </c>
      <c r="P184" s="213"/>
      <c r="Q184" s="213"/>
      <c r="R184" s="213"/>
      <c r="S184" s="213"/>
      <c r="T184" s="213" t="str">
        <f>IFERROR(__xludf.DUMMYFUNCTION("""COMPUTED_VALUE"""),"SI")</f>
        <v>SI</v>
      </c>
      <c r="U184" s="213" t="str">
        <f>IFERROR(__xludf.DUMMYFUNCTION("""COMPUTED_VALUE"""),"SI")</f>
        <v>SI</v>
      </c>
      <c r="V184" s="213" t="str">
        <f>IFERROR(__xludf.DUMMYFUNCTION("""COMPUTED_VALUE"""),"-")</f>
        <v>-</v>
      </c>
      <c r="W184" s="213" t="str">
        <f>IFERROR(__xludf.DUMMYFUNCTION("""COMPUTED_VALUE"""),"-")</f>
        <v>-</v>
      </c>
      <c r="X184" s="213" t="str">
        <f>IFERROR(__xludf.DUMMYFUNCTION("""COMPUTED_VALUE"""),"Catalina")</f>
        <v>Catalina</v>
      </c>
      <c r="Y184" s="213" t="str">
        <f>IFERROR(__xludf.DUMMYFUNCTION("""COMPUTED_VALUE"""),"Balón De Co2 Americano Catalina 5 Kg Carboxiterapia")</f>
        <v>Balón De Co2 Americano Catalina 5 Kg Carboxiterapia</v>
      </c>
      <c r="Z184" s="215" t="str">
        <f>IFERROR(__xludf.DUMMYFUNCTION("""COMPUTED_VALUE"""),"https://www.mercadolibre.com.pe/balon-de-co2-americano-catalina-5-kg-carboxiterapia/up/MPEU2463409900")</f>
        <v>https://www.mercadolibre.com.pe/balon-de-co2-americano-catalina-5-kg-carboxiterapia/up/MPEU2463409900</v>
      </c>
      <c r="AA184" s="213" t="str">
        <f>IFERROR(__xludf.DUMMYFUNCTION("""COMPUTED_VALUE"""),"MAT-114 BALÓN DE CO2- CET")</f>
        <v>MAT-114 BALÓN DE CO2- CET</v>
      </c>
      <c r="AB184" s="213"/>
      <c r="AC184" s="213"/>
      <c r="AD184" s="213"/>
      <c r="AE184" s="213"/>
      <c r="AF184" s="213"/>
      <c r="AG184" s="213"/>
      <c r="AH184" s="213"/>
      <c r="AI184" s="213"/>
      <c r="AJ184" s="213"/>
      <c r="AK184" s="213"/>
      <c r="AL184" s="213"/>
      <c r="AM184" s="213"/>
      <c r="AN184" s="213"/>
      <c r="AO184" s="213"/>
      <c r="AP184" s="213" t="str">
        <f>IFERROR(__xludf.DUMMYFUNCTION("""COMPUTED_VALUE"""),"BRUNO")</f>
        <v>BRUNO</v>
      </c>
      <c r="AQ184" s="213"/>
      <c r="AR184" s="213"/>
      <c r="AS184" s="213"/>
      <c r="AT184" s="213"/>
      <c r="AU184" s="213"/>
      <c r="AV184" s="213"/>
      <c r="AW184" s="213"/>
      <c r="AX184" s="213"/>
      <c r="AY184" s="213"/>
      <c r="AZ184" s="213"/>
      <c r="BA184" s="213"/>
      <c r="BB184" s="213"/>
      <c r="BC184" s="213"/>
      <c r="BD184" s="213"/>
    </row>
    <row r="185">
      <c r="A185" s="213">
        <f>IFERROR(__xludf.DUMMYFUNCTION("""COMPUTED_VALUE"""),2518.0)</f>
        <v>2518</v>
      </c>
      <c r="B185" s="213" t="str">
        <f>IFERROR(__xludf.DUMMYFUNCTION("""COMPUTED_VALUE"""),"MANUEL ANTONIO MESONES MURO")</f>
        <v>MANUEL ANTONIO MESONES MURO</v>
      </c>
      <c r="C185" s="213" t="str">
        <f>IFERROR(__xludf.DUMMYFUNCTION("""COMPUTED_VALUE"""),"TALLER SFT DE CONSTRUCCIONES METÁLICAS")</f>
        <v>TALLER SFT DE CONSTRUCCIONES METÁLICAS</v>
      </c>
      <c r="D185" s="213" t="str">
        <f>IFERROR(__xludf.DUMMYFUNCTION("""COMPUTED_VALUE"""),"HERRAMIENTAS")</f>
        <v>HERRAMIENTAS</v>
      </c>
      <c r="E185" s="213" t="str">
        <f>IFERROR(__xludf.DUMMYFUNCTION("""COMPUTED_VALUE"""),"MAT-115")</f>
        <v>MAT-115</v>
      </c>
      <c r="F185" s="213" t="str">
        <f>IFERROR(__xludf.DUMMYFUNCTION("""COMPUTED_VALUE"""),"MAT-115")</f>
        <v>MAT-115</v>
      </c>
      <c r="G185" s="213"/>
      <c r="H185" s="213" t="str">
        <f>IFERROR(__xludf.DUMMYFUNCTION("""COMPUTED_VALUE"""),"BALÓN DE OXÍGENO")</f>
        <v>BALÓN DE OXÍGENO</v>
      </c>
      <c r="I185" s="213" t="str">
        <f>IFERROR(__xludf.DUMMYFUNCTION("""COMPUTED_VALUE"""),"Tubo de acero sin costura
. Capacidad mínima 6 m3
. Trabajo 50 L
. Presión hidrostática 200 bar
. Altura aproximada (+- 5cm,) 1 500 mm
. Protector de válvula
. Color verde")</f>
        <v>Tubo de acero sin costura
. Capacidad mínima 6 m3
. Trabajo 50 L
. Presión hidrostática 200 bar
. Altura aproximada (+- 5cm,) 1 500 mm
. Protector de válvula
. Color verde</v>
      </c>
      <c r="J185" s="213">
        <f>IFERROR(__xludf.DUMMYFUNCTION("""COMPUTED_VALUE"""),3.0)</f>
        <v>3</v>
      </c>
      <c r="K185" s="213" t="str">
        <f>IFERROR(__xludf.DUMMYFUNCTION("""COMPUTED_VALUE"""),"170 DÍAS CALENDARIO")</f>
        <v>170 DÍAS CALENDARIO</v>
      </c>
      <c r="L185" s="213" t="str">
        <f>IFERROR(__xludf.DUMMYFUNCTION("""COMPUTED_VALUE"""),"")</f>
        <v/>
      </c>
      <c r="M185" s="213">
        <f>IFERROR(__xludf.DUMMYFUNCTION("""COMPUTED_VALUE"""),1.0)</f>
        <v>1</v>
      </c>
      <c r="N185" s="213">
        <f>IFERROR(__xludf.DUMMYFUNCTION("""COMPUTED_VALUE"""),1.0)</f>
        <v>1</v>
      </c>
      <c r="O185" s="213">
        <f>IFERROR(__xludf.DUMMYFUNCTION("""COMPUTED_VALUE"""),1.0)</f>
        <v>1</v>
      </c>
      <c r="P185" s="213"/>
      <c r="Q185" s="213"/>
      <c r="R185" s="213"/>
      <c r="S185" s="213"/>
      <c r="T185" s="213" t="str">
        <f>IFERROR(__xludf.DUMMYFUNCTION("""COMPUTED_VALUE"""),"SI")</f>
        <v>SI</v>
      </c>
      <c r="U185" s="213" t="str">
        <f>IFERROR(__xludf.DUMMYFUNCTION("""COMPUTED_VALUE"""),"SI")</f>
        <v>SI</v>
      </c>
      <c r="V185" s="213" t="str">
        <f>IFERROR(__xludf.DUMMYFUNCTION("""COMPUTED_VALUE"""),"-")</f>
        <v>-</v>
      </c>
      <c r="W185" s="213" t="str">
        <f>IFERROR(__xludf.DUMMYFUNCTION("""COMPUTED_VALUE"""),"-")</f>
        <v>-</v>
      </c>
      <c r="X185" s="213" t="str">
        <f>IFERROR(__xludf.DUMMYFUNCTION("""COMPUTED_VALUE"""),"Norris")</f>
        <v>Norris</v>
      </c>
      <c r="Y185" s="213" t="str">
        <f>IFERROR(__xludf.DUMMYFUNCTION("""COMPUTED_VALUE"""),"Balón de oxígeno medicinal 10 m3 (8BC75A)")</f>
        <v>Balón de oxígeno medicinal 10 m3 (8BC75A)</v>
      </c>
      <c r="Z185" s="215" t="str">
        <f>IFERROR(__xludf.DUMMYFUNCTION("""COMPUTED_VALUE"""),"https://respiramedical.com.pe/producto/cilindro-de-oxigeno-medicinal-de-acero-norris/")</f>
        <v>https://respiramedical.com.pe/producto/cilindro-de-oxigeno-medicinal-de-acero-norris/</v>
      </c>
      <c r="AA185" s="213" t="str">
        <f>IFERROR(__xludf.DUMMYFUNCTION("""COMPUTED_VALUE"""),"MAT-115 BALÓN DE OXÍGENO - CET")</f>
        <v>MAT-115 BALÓN DE OXÍGENO - CET</v>
      </c>
      <c r="AB185" s="213"/>
      <c r="AC185" s="213"/>
      <c r="AD185" s="213"/>
      <c r="AE185" s="213"/>
      <c r="AF185" s="213"/>
      <c r="AG185" s="213"/>
      <c r="AH185" s="213"/>
      <c r="AI185" s="213"/>
      <c r="AJ185" s="213"/>
      <c r="AK185" s="213"/>
      <c r="AL185" s="213"/>
      <c r="AM185" s="213"/>
      <c r="AN185" s="213"/>
      <c r="AO185" s="213"/>
      <c r="AP185" s="213" t="str">
        <f>IFERROR(__xludf.DUMMYFUNCTION("""COMPUTED_VALUE"""),"BRUNO")</f>
        <v>BRUNO</v>
      </c>
      <c r="AQ185" s="213"/>
      <c r="AR185" s="213"/>
      <c r="AS185" s="213"/>
      <c r="AT185" s="213"/>
      <c r="AU185" s="213"/>
      <c r="AV185" s="213"/>
      <c r="AW185" s="213"/>
      <c r="AX185" s="213"/>
      <c r="AY185" s="213"/>
      <c r="AZ185" s="213"/>
      <c r="BA185" s="213"/>
      <c r="BB185" s="213"/>
      <c r="BC185" s="213"/>
      <c r="BD185" s="213"/>
    </row>
    <row r="186">
      <c r="A186" s="213">
        <f>IFERROR(__xludf.DUMMYFUNCTION("""COMPUTED_VALUE"""),963.0)</f>
        <v>963</v>
      </c>
      <c r="B186" s="213" t="str">
        <f>IFERROR(__xludf.DUMMYFUNCTION("""COMPUTED_VALUE"""),"FRANCISCO IRAZOLA")</f>
        <v>FRANCISCO IRAZOLA</v>
      </c>
      <c r="C186" s="213" t="str">
        <f>IFERROR(__xludf.DUMMYFUNCTION("""COMPUTED_VALUE"""),"TALLER SFT DE MECÁNICA AUTOMOTRIZ")</f>
        <v>TALLER SFT DE MECÁNICA AUTOMOTRIZ</v>
      </c>
      <c r="D186" s="213" t="str">
        <f>IFERROR(__xludf.DUMMYFUNCTION("""COMPUTED_VALUE"""),"HERRAMIENTAS")</f>
        <v>HERRAMIENTAS</v>
      </c>
      <c r="E186" s="213" t="str">
        <f>IFERROR(__xludf.DUMMYFUNCTION("""COMPUTED_VALUE"""),"COM-138")</f>
        <v>COM-138</v>
      </c>
      <c r="F186" s="213" t="str">
        <f>IFERROR(__xludf.DUMMYFUNCTION("""COMPUTED_VALUE"""),"COM-138")</f>
        <v>COM-138</v>
      </c>
      <c r="G186" s="213"/>
      <c r="H186" s="213" t="str">
        <f>IFERROR(__xludf.DUMMYFUNCTION("""COMPUTED_VALUE"""),"COMPRESÍMETRO DE ANILLOS")</f>
        <v>COMPRESÍMETRO DE ANILLOS</v>
      </c>
      <c r="I186" s="213" t="str">
        <f>IFERROR(__xludf.DUMMYFUNCTION("""COMPUTED_VALUE"""),"Juego útil, de herramientas para compresión de pistones y su instalación. Contenido mínimo:
Compresor de anillo de pistón, mínima altura 75 mm y rango de diámetro: entre 53 - 125 mm. Compresor de anillo de pistón, mínima altura 88 mm y rango de diámetro: "&amp;"entre 90 - 175 mm. Compresor de anillo de pistón, mínima altura 100 mm y rango de diámetro: entre 90 - 175 mm. Incluye mínimo, un alicate expansor de anillo de pistón, de rango de diámetro: entre 50 - 100 mm.")</f>
        <v>Juego útil, de herramientas para compresión de pistones y su instalación. Contenido mínimo:
Compresor de anillo de pistón, mínima altura 75 mm y rango de diámetro: entre 53 - 125 mm. Compresor de anillo de pistón, mínima altura 88 mm y rango de diámetro: entre 90 - 175 mm. Compresor de anillo de pistón, mínima altura 100 mm y rango de diámetro: entre 90 - 175 mm. Incluye mínimo, un alicate expansor de anillo de pistón, de rango de diámetro: entre 50 - 100 mm.</v>
      </c>
      <c r="J186" s="213">
        <f>IFERROR(__xludf.DUMMYFUNCTION("""COMPUTED_VALUE"""),3.0)</f>
        <v>3</v>
      </c>
      <c r="K186" s="213" t="str">
        <f>IFERROR(__xludf.DUMMYFUNCTION("""COMPUTED_VALUE"""),"90 DÍAS CALENDARIO")</f>
        <v>90 DÍAS CALENDARIO</v>
      </c>
      <c r="L186" s="213" t="str">
        <f>IFERROR(__xludf.DUMMYFUNCTION("""COMPUTED_VALUE"""),"")</f>
        <v/>
      </c>
      <c r="M186" s="213">
        <f>IFERROR(__xludf.DUMMYFUNCTION("""COMPUTED_VALUE"""),1.0)</f>
        <v>1</v>
      </c>
      <c r="N186" s="213">
        <f>IFERROR(__xludf.DUMMYFUNCTION("""COMPUTED_VALUE"""),1.0)</f>
        <v>1</v>
      </c>
      <c r="O186" s="213">
        <f>IFERROR(__xludf.DUMMYFUNCTION("""COMPUTED_VALUE"""),1.0)</f>
        <v>1</v>
      </c>
      <c r="P186" s="213"/>
      <c r="Q186" s="213"/>
      <c r="R186" s="213"/>
      <c r="S186" s="213"/>
      <c r="T186" s="213" t="str">
        <f>IFERROR(__xludf.DUMMYFUNCTION("""COMPUTED_VALUE"""),"SI")</f>
        <v>SI</v>
      </c>
      <c r="U186" s="213" t="str">
        <f>IFERROR(__xludf.DUMMYFUNCTION("""COMPUTED_VALUE"""),"SI")</f>
        <v>SI</v>
      </c>
      <c r="V186" s="213" t="str">
        <f>IFERROR(__xludf.DUMMYFUNCTION("""COMPUTED_VALUE"""),"-")</f>
        <v>-</v>
      </c>
      <c r="W186" s="213" t="str">
        <f>IFERROR(__xludf.DUMMYFUNCTION("""COMPUTED_VALUE"""),"-")</f>
        <v>-</v>
      </c>
      <c r="X186" s="213" t="str">
        <f>IFERROR(__xludf.DUMMYFUNCTION("""COMPUTED_VALUE"""),"BGS technic KG")</f>
        <v>BGS technic KG</v>
      </c>
      <c r="Y186" s="213" t="str">
        <f>IFERROR(__xludf.DUMMYFUNCTION("""COMPUTED_VALUE"""),"T-582740")</f>
        <v>T-582740</v>
      </c>
      <c r="Z186" s="215" t="str">
        <f>IFERROR(__xludf.DUMMYFUNCTION("""COMPUTED_VALUE"""),"https://www.toolteam.com/en-GB/bgs-piston-ring-compressor-set-1890-t-582740-4026947018904")</f>
        <v>https://www.toolteam.com/en-GB/bgs-piston-ring-compressor-set-1890-t-582740-4026947018904</v>
      </c>
      <c r="AA186" s="213" t="str">
        <f>IFERROR(__xludf.DUMMYFUNCTION("""COMPUTED_VALUE"""),"COM-138 COMPRESÍMETRO DE ANILLOS - CET")</f>
        <v>COM-138 COMPRESÍMETRO DE ANILLOS - CET</v>
      </c>
      <c r="AB186" s="213"/>
      <c r="AC186" s="213"/>
      <c r="AD186" s="213"/>
      <c r="AE186" s="213"/>
      <c r="AF186" s="213"/>
      <c r="AG186" s="213"/>
      <c r="AH186" s="213"/>
      <c r="AI186" s="213"/>
      <c r="AJ186" s="213"/>
      <c r="AK186" s="213"/>
      <c r="AL186" s="213"/>
      <c r="AM186" s="213"/>
      <c r="AN186" s="213"/>
      <c r="AO186" s="213"/>
      <c r="AP186" s="213" t="str">
        <f>IFERROR(__xludf.DUMMYFUNCTION("""COMPUTED_VALUE"""),"SEBASTIAN")</f>
        <v>SEBASTIAN</v>
      </c>
      <c r="AQ186" s="213"/>
      <c r="AR186" s="213"/>
      <c r="AS186" s="213"/>
      <c r="AT186" s="213"/>
      <c r="AU186" s="213"/>
      <c r="AV186" s="213"/>
      <c r="AW186" s="213"/>
      <c r="AX186" s="213"/>
      <c r="AY186" s="213"/>
      <c r="AZ186" s="213"/>
      <c r="BA186" s="213"/>
      <c r="BB186" s="213"/>
      <c r="BC186" s="213"/>
      <c r="BD186" s="213"/>
    </row>
    <row r="187">
      <c r="A187" s="213">
        <f>IFERROR(__xludf.DUMMYFUNCTION("""COMPUTED_VALUE"""),1564.0)</f>
        <v>1564</v>
      </c>
      <c r="B187" s="213" t="str">
        <f>IFERROR(__xludf.DUMMYFUNCTION("""COMPUTED_VALUE"""),"GUILLERMO E. BILLINGHURST ")</f>
        <v>GUILLERMO E. BILLINGHURST </v>
      </c>
      <c r="C187" s="213" t="str">
        <f>IFERROR(__xludf.DUMMYFUNCTION("""COMPUTED_VALUE"""),"TALLER SFT DE MECÁNICA AUTOMOTRIZ")</f>
        <v>TALLER SFT DE MECÁNICA AUTOMOTRIZ</v>
      </c>
      <c r="D187" s="213" t="str">
        <f>IFERROR(__xludf.DUMMYFUNCTION("""COMPUTED_VALUE"""),"HERRAMIENTAS")</f>
        <v>HERRAMIENTAS</v>
      </c>
      <c r="E187" s="213" t="str">
        <f>IFERROR(__xludf.DUMMYFUNCTION("""COMPUTED_VALUE"""),"COM-138")</f>
        <v>COM-138</v>
      </c>
      <c r="F187" s="213" t="str">
        <f>IFERROR(__xludf.DUMMYFUNCTION("""COMPUTED_VALUE"""),"COM-138")</f>
        <v>COM-138</v>
      </c>
      <c r="G187" s="213"/>
      <c r="H187" s="213" t="str">
        <f>IFERROR(__xludf.DUMMYFUNCTION("""COMPUTED_VALUE"""),"COMPRESÍMETRO DE ANILLOS")</f>
        <v>COMPRESÍMETRO DE ANILLOS</v>
      </c>
      <c r="I187" s="213" t="str">
        <f>IFERROR(__xludf.DUMMYFUNCTION("""COMPUTED_VALUE"""),"Juego útil, de herramientas para compresión de pistones y su instalación. Contenido mínimo:
Compresor de anillo de pistón, mínima altura 75 mm y rango de diámetro: entre 53 - 125 mm. Compresor de anillo de pistón, mínima altura 88 mm y rango de diámetro: "&amp;"entre 90 - 175 mm. Compresor de anillo de pistón, mínima altura 100 mm y rango de diámetro: entre 90 - 175 mm. Incluye mínimo, un alicate expansor de anillo de pistón, de rango de diámetro: entre 50 - 100 mm.")</f>
        <v>Juego útil, de herramientas para compresión de pistones y su instalación. Contenido mínimo:
Compresor de anillo de pistón, mínima altura 75 mm y rango de diámetro: entre 53 - 125 mm. Compresor de anillo de pistón, mínima altura 88 mm y rango de diámetro: entre 90 - 175 mm. Compresor de anillo de pistón, mínima altura 100 mm y rango de diámetro: entre 90 - 175 mm. Incluye mínimo, un alicate expansor de anillo de pistón, de rango de diámetro: entre 50 - 100 mm.</v>
      </c>
      <c r="J187" s="213">
        <f>IFERROR(__xludf.DUMMYFUNCTION("""COMPUTED_VALUE"""),3.0)</f>
        <v>3</v>
      </c>
      <c r="K187" s="213" t="str">
        <f>IFERROR(__xludf.DUMMYFUNCTION("""COMPUTED_VALUE"""),"90 DÍAS CALENDARIO")</f>
        <v>90 DÍAS CALENDARIO</v>
      </c>
      <c r="L187" s="213" t="str">
        <f>IFERROR(__xludf.DUMMYFUNCTION("""COMPUTED_VALUE"""),"")</f>
        <v/>
      </c>
      <c r="M187" s="213">
        <f>IFERROR(__xludf.DUMMYFUNCTION("""COMPUTED_VALUE"""),1.0)</f>
        <v>1</v>
      </c>
      <c r="N187" s="213">
        <f>IFERROR(__xludf.DUMMYFUNCTION("""COMPUTED_VALUE"""),1.0)</f>
        <v>1</v>
      </c>
      <c r="O187" s="213">
        <f>IFERROR(__xludf.DUMMYFUNCTION("""COMPUTED_VALUE"""),1.0)</f>
        <v>1</v>
      </c>
      <c r="P187" s="213"/>
      <c r="Q187" s="213"/>
      <c r="R187" s="213"/>
      <c r="S187" s="213"/>
      <c r="T187" s="213" t="str">
        <f>IFERROR(__xludf.DUMMYFUNCTION("""COMPUTED_VALUE"""),"SI")</f>
        <v>SI</v>
      </c>
      <c r="U187" s="213" t="str">
        <f>IFERROR(__xludf.DUMMYFUNCTION("""COMPUTED_VALUE"""),"SI")</f>
        <v>SI</v>
      </c>
      <c r="V187" s="213" t="str">
        <f>IFERROR(__xludf.DUMMYFUNCTION("""COMPUTED_VALUE"""),"-")</f>
        <v>-</v>
      </c>
      <c r="W187" s="213" t="str">
        <f>IFERROR(__xludf.DUMMYFUNCTION("""COMPUTED_VALUE"""),"-")</f>
        <v>-</v>
      </c>
      <c r="X187" s="213" t="str">
        <f>IFERROR(__xludf.DUMMYFUNCTION("""COMPUTED_VALUE"""),"BGS technic KG")</f>
        <v>BGS technic KG</v>
      </c>
      <c r="Y187" s="213" t="str">
        <f>IFERROR(__xludf.DUMMYFUNCTION("""COMPUTED_VALUE"""),"T-582740")</f>
        <v>T-582740</v>
      </c>
      <c r="Z187" s="215" t="str">
        <f>IFERROR(__xludf.DUMMYFUNCTION("""COMPUTED_VALUE"""),"https://www.toolteam.com/en-GB/bgs-piston-ring-compressor-set-1890-t-582740-4026947018905")</f>
        <v>https://www.toolteam.com/en-GB/bgs-piston-ring-compressor-set-1890-t-582740-4026947018905</v>
      </c>
      <c r="AA187" s="215" t="str">
        <f>IFERROR(__xludf.DUMMYFUNCTION("""COMPUTED_VALUE"""),"https://docs.google.com/spreadsheets/d/1QFNYMDEYmYaWC31o7LTF19RQn8zCKHMs6sp3UisnU8E/edit?gid=0#gid=1")</f>
        <v>https://docs.google.com/spreadsheets/d/1QFNYMDEYmYaWC31o7LTF19RQn8zCKHMs6sp3UisnU8E/edit?gid=0#gid=1</v>
      </c>
      <c r="AB187" s="213"/>
      <c r="AC187" s="213"/>
      <c r="AD187" s="213"/>
      <c r="AE187" s="213"/>
      <c r="AF187" s="213"/>
      <c r="AG187" s="213"/>
      <c r="AH187" s="213"/>
      <c r="AI187" s="213"/>
      <c r="AJ187" s="213"/>
      <c r="AK187" s="213"/>
      <c r="AL187" s="213"/>
      <c r="AM187" s="213"/>
      <c r="AN187" s="213"/>
      <c r="AO187" s="213"/>
      <c r="AP187" s="213" t="str">
        <f>IFERROR(__xludf.DUMMYFUNCTION("""COMPUTED_VALUE"""),"SEBASTIAN")</f>
        <v>SEBASTIAN</v>
      </c>
      <c r="AQ187" s="213"/>
      <c r="AR187" s="213"/>
      <c r="AS187" s="213"/>
      <c r="AT187" s="213"/>
      <c r="AU187" s="213"/>
      <c r="AV187" s="213"/>
      <c r="AW187" s="213"/>
      <c r="AX187" s="213"/>
      <c r="AY187" s="213"/>
      <c r="AZ187" s="213"/>
      <c r="BA187" s="213"/>
      <c r="BB187" s="213"/>
      <c r="BC187" s="213"/>
      <c r="BD187" s="213"/>
    </row>
    <row r="188">
      <c r="A188" s="213">
        <f>IFERROR(__xludf.DUMMYFUNCTION("""COMPUTED_VALUE"""),2256.0)</f>
        <v>2256</v>
      </c>
      <c r="B188" s="213" t="str">
        <f>IFERROR(__xludf.DUMMYFUNCTION("""COMPUTED_VALUE"""),"JOSE GRANDA")</f>
        <v>JOSE GRANDA</v>
      </c>
      <c r="C188" s="213" t="str">
        <f>IFERROR(__xludf.DUMMYFUNCTION("""COMPUTED_VALUE"""),"TALLER SFT DE MECÁNICA AUTOMOTRIZ")</f>
        <v>TALLER SFT DE MECÁNICA AUTOMOTRIZ</v>
      </c>
      <c r="D188" s="213" t="str">
        <f>IFERROR(__xludf.DUMMYFUNCTION("""COMPUTED_VALUE"""),"HERRAMIENTAS")</f>
        <v>HERRAMIENTAS</v>
      </c>
      <c r="E188" s="213" t="str">
        <f>IFERROR(__xludf.DUMMYFUNCTION("""COMPUTED_VALUE"""),"COM-138")</f>
        <v>COM-138</v>
      </c>
      <c r="F188" s="213" t="str">
        <f>IFERROR(__xludf.DUMMYFUNCTION("""COMPUTED_VALUE"""),"COM-138")</f>
        <v>COM-138</v>
      </c>
      <c r="G188" s="213"/>
      <c r="H188" s="213" t="str">
        <f>IFERROR(__xludf.DUMMYFUNCTION("""COMPUTED_VALUE"""),"COMPRESÍMETRO DE ANILLOS")</f>
        <v>COMPRESÍMETRO DE ANILLOS</v>
      </c>
      <c r="I188" s="213" t="str">
        <f>IFERROR(__xludf.DUMMYFUNCTION("""COMPUTED_VALUE"""),"Juego útil, de herramientas para compresión de pistones y su instalación. Contenido mínimo:
Compresor de anillo de pistón, mínima altura 75 mm y rango de diámetro: entre 53 - 125 mm. Compresor de anillo de pistón, mínima altura 88 mm y rango de diámetro: "&amp;"entre 90 - 175 mm. Compresor de anillo de pistón, mínima altura 100 mm y rango de diámetro: entre 90 - 175 mm. Incluye mínimo, un alicate expansor de anillo de pistón, de rango de diámetro: entre 50 - 100 mm.")</f>
        <v>Juego útil, de herramientas para compresión de pistones y su instalación. Contenido mínimo:
Compresor de anillo de pistón, mínima altura 75 mm y rango de diámetro: entre 53 - 125 mm. Compresor de anillo de pistón, mínima altura 88 mm y rango de diámetro: entre 90 - 175 mm. Compresor de anillo de pistón, mínima altura 100 mm y rango de diámetro: entre 90 - 175 mm. Incluye mínimo, un alicate expansor de anillo de pistón, de rango de diámetro: entre 50 - 100 mm.</v>
      </c>
      <c r="J188" s="213">
        <f>IFERROR(__xludf.DUMMYFUNCTION("""COMPUTED_VALUE"""),3.0)</f>
        <v>3</v>
      </c>
      <c r="K188" s="213" t="str">
        <f>IFERROR(__xludf.DUMMYFUNCTION("""COMPUTED_VALUE"""),"90 DÍAS CALENDARIO")</f>
        <v>90 DÍAS CALENDARIO</v>
      </c>
      <c r="L188" s="213" t="str">
        <f>IFERROR(__xludf.DUMMYFUNCTION("""COMPUTED_VALUE"""),"")</f>
        <v/>
      </c>
      <c r="M188" s="213">
        <f>IFERROR(__xludf.DUMMYFUNCTION("""COMPUTED_VALUE"""),1.0)</f>
        <v>1</v>
      </c>
      <c r="N188" s="213">
        <f>IFERROR(__xludf.DUMMYFUNCTION("""COMPUTED_VALUE"""),1.0)</f>
        <v>1</v>
      </c>
      <c r="O188" s="213">
        <f>IFERROR(__xludf.DUMMYFUNCTION("""COMPUTED_VALUE"""),1.0)</f>
        <v>1</v>
      </c>
      <c r="P188" s="213"/>
      <c r="Q188" s="213"/>
      <c r="R188" s="213"/>
      <c r="S188" s="213"/>
      <c r="T188" s="213" t="str">
        <f>IFERROR(__xludf.DUMMYFUNCTION("""COMPUTED_VALUE"""),"SI")</f>
        <v>SI</v>
      </c>
      <c r="U188" s="213" t="str">
        <f>IFERROR(__xludf.DUMMYFUNCTION("""COMPUTED_VALUE"""),"SI")</f>
        <v>SI</v>
      </c>
      <c r="V188" s="213" t="str">
        <f>IFERROR(__xludf.DUMMYFUNCTION("""COMPUTED_VALUE"""),"-")</f>
        <v>-</v>
      </c>
      <c r="W188" s="213" t="str">
        <f>IFERROR(__xludf.DUMMYFUNCTION("""COMPUTED_VALUE"""),"-")</f>
        <v>-</v>
      </c>
      <c r="X188" s="213" t="str">
        <f>IFERROR(__xludf.DUMMYFUNCTION("""COMPUTED_VALUE"""),"BGS technic KG")</f>
        <v>BGS technic KG</v>
      </c>
      <c r="Y188" s="213" t="str">
        <f>IFERROR(__xludf.DUMMYFUNCTION("""COMPUTED_VALUE"""),"T-582740")</f>
        <v>T-582740</v>
      </c>
      <c r="Z188" s="215" t="str">
        <f>IFERROR(__xludf.DUMMYFUNCTION("""COMPUTED_VALUE"""),"https://www.toolteam.com/en-GB/bgs-piston-ring-compressor-set-1890-t-582740-4026947018906")</f>
        <v>https://www.toolteam.com/en-GB/bgs-piston-ring-compressor-set-1890-t-582740-4026947018906</v>
      </c>
      <c r="AA188" s="215" t="str">
        <f>IFERROR(__xludf.DUMMYFUNCTION("""COMPUTED_VALUE"""),"https://docs.google.com/spreadsheets/d/1QFNYMDEYmYaWC31o7LTF19RQn8zCKHMs6sp3UisnU8E/edit?gid=0#gid=2")</f>
        <v>https://docs.google.com/spreadsheets/d/1QFNYMDEYmYaWC31o7LTF19RQn8zCKHMs6sp3UisnU8E/edit?gid=0#gid=2</v>
      </c>
      <c r="AB188" s="213"/>
      <c r="AC188" s="213"/>
      <c r="AD188" s="213"/>
      <c r="AE188" s="213"/>
      <c r="AF188" s="213"/>
      <c r="AG188" s="213"/>
      <c r="AH188" s="213"/>
      <c r="AI188" s="213"/>
      <c r="AJ188" s="213"/>
      <c r="AK188" s="213"/>
      <c r="AL188" s="213"/>
      <c r="AM188" s="213"/>
      <c r="AN188" s="213"/>
      <c r="AO188" s="213"/>
      <c r="AP188" s="213" t="str">
        <f>IFERROR(__xludf.DUMMYFUNCTION("""COMPUTED_VALUE"""),"SEBASTIAN")</f>
        <v>SEBASTIAN</v>
      </c>
      <c r="AQ188" s="213"/>
      <c r="AR188" s="213"/>
      <c r="AS188" s="213"/>
      <c r="AT188" s="213"/>
      <c r="AU188" s="213"/>
      <c r="AV188" s="213"/>
      <c r="AW188" s="213"/>
      <c r="AX188" s="213"/>
      <c r="AY188" s="213"/>
      <c r="AZ188" s="213"/>
      <c r="BA188" s="213"/>
      <c r="BB188" s="213"/>
      <c r="BC188" s="213"/>
      <c r="BD188" s="213"/>
    </row>
    <row r="189">
      <c r="A189" s="213">
        <f>IFERROR(__xludf.DUMMYFUNCTION("""COMPUTED_VALUE"""),23.0)</f>
        <v>23</v>
      </c>
      <c r="B189" s="213" t="str">
        <f>IFERROR(__xludf.DUMMYFUNCTION("""COMPUTED_VALUE"""),"16449 ELOY SOBERON  FLORES")</f>
        <v>16449 ELOY SOBERON  FLORES</v>
      </c>
      <c r="C189" s="213" t="str">
        <f>IFERROR(__xludf.DUMMYFUNCTION("""COMPUTED_VALUE"""),"TALLER SFT DE COCINA Y REPOSTERÍA")</f>
        <v>TALLER SFT DE COCINA Y REPOSTERÍA</v>
      </c>
      <c r="D189" s="213" t="str">
        <f>IFERROR(__xludf.DUMMYFUNCTION("""COMPUTED_VALUE"""),"HERRAMIENTAS")</f>
        <v>HERRAMIENTAS</v>
      </c>
      <c r="E189" s="213" t="str">
        <f>IFERROR(__xludf.DUMMYFUNCTION("""COMPUTED_VALUE"""),"COM-140")</f>
        <v>COM-140</v>
      </c>
      <c r="F189" s="213" t="str">
        <f>IFERROR(__xludf.DUMMYFUNCTION("""COMPUTED_VALUE"""),"COM-140")</f>
        <v>COM-140</v>
      </c>
      <c r="G189" s="213"/>
      <c r="H189" s="213" t="str">
        <f>IFERROR(__xludf.DUMMYFUNCTION("""COMPUTED_VALUE"""),"CORTADOR DE HUEVOS")</f>
        <v>CORTADOR DE HUEVOS</v>
      </c>
      <c r="I189" s="213" t="str">
        <f>IFERROR(__xludf.DUMMYFUNCTION("""COMPUTED_VALUE"""),"· Material: Acero inoxidable
· Medidas aproximadas ( +- 3 cm ) : Largo 15 cm, ancho 9.5 cm
· Características: cortador de Huevo en rodajas
· Incluye: Orificio para colgar
· Tipo: Cortadores y rebanadores")</f>
        <v>· Material: Acero inoxidable
· Medidas aproximadas ( +- 3 cm ) : Largo 15 cm, ancho 9.5 cm
· Características: cortador de Huevo en rodajas
· Incluye: Orificio para colgar
· Tipo: Cortadores y rebanadores</v>
      </c>
      <c r="J189" s="213">
        <f>IFERROR(__xludf.DUMMYFUNCTION("""COMPUTED_VALUE"""),3.0)</f>
        <v>3</v>
      </c>
      <c r="K189" s="213" t="str">
        <f>IFERROR(__xludf.DUMMYFUNCTION("""COMPUTED_VALUE"""),"90 DÍAS CALENDARIO")</f>
        <v>90 DÍAS CALENDARIO</v>
      </c>
      <c r="L189" s="213" t="str">
        <f>IFERROR(__xludf.DUMMYFUNCTION("""COMPUTED_VALUE"""),"")</f>
        <v/>
      </c>
      <c r="M189" s="213">
        <f>IFERROR(__xludf.DUMMYFUNCTION("""COMPUTED_VALUE"""),1.0)</f>
        <v>1</v>
      </c>
      <c r="N189" s="213">
        <f>IFERROR(__xludf.DUMMYFUNCTION("""COMPUTED_VALUE"""),1.0)</f>
        <v>1</v>
      </c>
      <c r="O189" s="213">
        <f>IFERROR(__xludf.DUMMYFUNCTION("""COMPUTED_VALUE"""),1.0)</f>
        <v>1</v>
      </c>
      <c r="P189" s="213"/>
      <c r="Q189" s="213"/>
      <c r="R189" s="213"/>
      <c r="S189" s="213"/>
      <c r="T189" s="213" t="str">
        <f>IFERROR(__xludf.DUMMYFUNCTION("""COMPUTED_VALUE"""),"SI")</f>
        <v>SI</v>
      </c>
      <c r="U189" s="213" t="str">
        <f>IFERROR(__xludf.DUMMYFUNCTION("""COMPUTED_VALUE"""),"SI")</f>
        <v>SI</v>
      </c>
      <c r="V189" s="213" t="str">
        <f>IFERROR(__xludf.DUMMYFUNCTION("""COMPUTED_VALUE"""),"-")</f>
        <v>-</v>
      </c>
      <c r="W189" s="213" t="str">
        <f>IFERROR(__xludf.DUMMYFUNCTION("""COMPUTED_VALUE"""),"-")</f>
        <v>-</v>
      </c>
      <c r="X189" s="213" t="str">
        <f>IFERROR(__xludf.DUMMYFUNCTION("""COMPUTED_VALUE"""),"FACUSA")</f>
        <v>FACUSA</v>
      </c>
      <c r="Y189" s="213">
        <f>IFERROR(__xludf.DUMMYFUNCTION("""COMPUTED_VALUE"""),1.33001007E8)</f>
        <v>133001007</v>
      </c>
      <c r="Z189" s="215" t="str">
        <f>IFERROR(__xludf.DUMMYFUNCTION("""COMPUTED_VALUE"""),"https://www.facusa.com.pe/accesorios-de-cocina/579-cortador-de-huevos.html?srsltid=AfmBOooh8JUgXIR_3aJBL-0NPgCvNow2HnBgb4uX1LIRxggET9YUnCKO")</f>
        <v>https://www.facusa.com.pe/accesorios-de-cocina/579-cortador-de-huevos.html?srsltid=AfmBOooh8JUgXIR_3aJBL-0NPgCvNow2HnBgb4uX1LIRxggET9YUnCKO</v>
      </c>
      <c r="AA189" s="213" t="str">
        <f>IFERROR(__xludf.DUMMYFUNCTION("""COMPUTED_VALUE"""),"COM-140 CORTADOR DE HUEVOS - CET")</f>
        <v>COM-140 CORTADOR DE HUEVOS - CET</v>
      </c>
      <c r="AB189" s="213"/>
      <c r="AC189" s="213"/>
      <c r="AD189" s="213"/>
      <c r="AE189" s="213"/>
      <c r="AF189" s="213"/>
      <c r="AG189" s="213"/>
      <c r="AH189" s="213"/>
      <c r="AI189" s="213"/>
      <c r="AJ189" s="213"/>
      <c r="AK189" s="213"/>
      <c r="AL189" s="213"/>
      <c r="AM189" s="213"/>
      <c r="AN189" s="213"/>
      <c r="AO189" s="213"/>
      <c r="AP189" s="213" t="str">
        <f>IFERROR(__xludf.DUMMYFUNCTION("""COMPUTED_VALUE"""),"LUIS")</f>
        <v>LUIS</v>
      </c>
      <c r="AQ189" s="213"/>
      <c r="AR189" s="213"/>
      <c r="AS189" s="213"/>
      <c r="AT189" s="213"/>
      <c r="AU189" s="213"/>
      <c r="AV189" s="213"/>
      <c r="AW189" s="213"/>
      <c r="AX189" s="213"/>
      <c r="AY189" s="213"/>
      <c r="AZ189" s="213"/>
      <c r="BA189" s="213"/>
      <c r="BB189" s="213"/>
      <c r="BC189" s="213"/>
      <c r="BD189" s="213"/>
    </row>
    <row r="190">
      <c r="A190" s="213">
        <f>IFERROR(__xludf.DUMMYFUNCTION("""COMPUTED_VALUE"""),2.0)</f>
        <v>2</v>
      </c>
      <c r="B190" s="213" t="str">
        <f>IFERROR(__xludf.DUMMYFUNCTION("""COMPUTED_VALUE"""),"16449 ELOY SOBERON  FLORES")</f>
        <v>16449 ELOY SOBERON  FLORES</v>
      </c>
      <c r="C190" s="213" t="str">
        <f>IFERROR(__xludf.DUMMYFUNCTION("""COMPUTED_VALUE"""),"TALLER SFT DE COCINA Y REPOSTERÍA")</f>
        <v>TALLER SFT DE COCINA Y REPOSTERÍA</v>
      </c>
      <c r="D190" s="213" t="str">
        <f>IFERROR(__xludf.DUMMYFUNCTION("""COMPUTED_VALUE"""),"HERRAMIENTAS")</f>
        <v>HERRAMIENTAS</v>
      </c>
      <c r="E190" s="213" t="str">
        <f>IFERROR(__xludf.DUMMYFUNCTION("""COMPUTED_VALUE"""),"COM-141")</f>
        <v>COM-141</v>
      </c>
      <c r="F190" s="213" t="str">
        <f>IFERROR(__xludf.DUMMYFUNCTION("""COMPUTED_VALUE"""),"COM-141")</f>
        <v>COM-141</v>
      </c>
      <c r="G190" s="213"/>
      <c r="H190" s="213" t="str">
        <f>IFERROR(__xludf.DUMMYFUNCTION("""COMPUTED_VALUE"""),"CORTADOR DE PATATAS DE PALANCA")</f>
        <v>CORTADOR DE PATATAS DE PALANCA</v>
      </c>
      <c r="I190" s="213" t="str">
        <f>IFERROR(__xludf.DUMMYFUNCTION("""COMPUTED_VALUE"""),".  Máquina fabricada de fierro fundido pintado con componentes de acero inoxidable.
.  Cuchillas de acero inoxidable resistente.
.  Se desarma para una fácil limpieza.
.  Se puede montar en cualquier superficie plana - inclusive en la pared.
.  Incluye pa"&amp;"tas de jebe.
.  Se utiliza para todo tipo de vegetales, no sólo papas.")</f>
        <v>.  Máquina fabricada de fierro fundido pintado con componentes de acero inoxidable.
.  Cuchillas de acero inoxidable resistente.
.  Se desarma para una fácil limpieza.
.  Se puede montar en cualquier superficie plana - inclusive en la pared.
.  Incluye patas de jebe.
.  Se utiliza para todo tipo de vegetales, no sólo papas.</v>
      </c>
      <c r="J190" s="213">
        <f>IFERROR(__xludf.DUMMYFUNCTION("""COMPUTED_VALUE"""),3.0)</f>
        <v>3</v>
      </c>
      <c r="K190" s="213" t="str">
        <f>IFERROR(__xludf.DUMMYFUNCTION("""COMPUTED_VALUE"""),"90 DÍAS CALENDARIO")</f>
        <v>90 DÍAS CALENDARIO</v>
      </c>
      <c r="L190" s="213" t="str">
        <f>IFERROR(__xludf.DUMMYFUNCTION("""COMPUTED_VALUE"""),"")</f>
        <v/>
      </c>
      <c r="M190" s="213">
        <f>IFERROR(__xludf.DUMMYFUNCTION("""COMPUTED_VALUE"""),1.0)</f>
        <v>1</v>
      </c>
      <c r="N190" s="213">
        <f>IFERROR(__xludf.DUMMYFUNCTION("""COMPUTED_VALUE"""),1.0)</f>
        <v>1</v>
      </c>
      <c r="O190" s="213">
        <f>IFERROR(__xludf.DUMMYFUNCTION("""COMPUTED_VALUE"""),1.0)</f>
        <v>1</v>
      </c>
      <c r="P190" s="213"/>
      <c r="Q190" s="213"/>
      <c r="R190" s="213"/>
      <c r="S190" s="213"/>
      <c r="T190" s="213" t="str">
        <f>IFERROR(__xludf.DUMMYFUNCTION("""COMPUTED_VALUE"""),"SI")</f>
        <v>SI</v>
      </c>
      <c r="U190" s="213" t="str">
        <f>IFERROR(__xludf.DUMMYFUNCTION("""COMPUTED_VALUE"""),"SI")</f>
        <v>SI</v>
      </c>
      <c r="V190" s="213" t="str">
        <f>IFERROR(__xludf.DUMMYFUNCTION("""COMPUTED_VALUE"""),"-")</f>
        <v>-</v>
      </c>
      <c r="W190" s="213" t="str">
        <f>IFERROR(__xludf.DUMMYFUNCTION("""COMPUTED_VALUE"""),"-")</f>
        <v>-</v>
      </c>
      <c r="X190" s="213" t="str">
        <f>IFERROR(__xludf.DUMMYFUNCTION("""COMPUTED_VALUE"""),"New Star Foodservice")</f>
        <v>New Star Foodservice</v>
      </c>
      <c r="Y190" s="213">
        <f>IFERROR(__xludf.DUMMYFUNCTION("""COMPUTED_VALUE"""),37357.0)</f>
        <v>37357</v>
      </c>
      <c r="Z190" s="215" t="str">
        <f>IFERROR(__xludf.DUMMYFUNCTION("""COMPUTED_VALUE"""),"https://es.made-in-china.com/co_ipsp-chn/product_Cast-Aluminum-Potato-Chips-Cutting-Machine_hoysyoniu.html")</f>
        <v>https://es.made-in-china.com/co_ipsp-chn/product_Cast-Aluminum-Potato-Chips-Cutting-Machine_hoysyoniu.html</v>
      </c>
      <c r="AA190" s="213" t="str">
        <f>IFERROR(__xludf.DUMMYFUNCTION("""COMPUTED_VALUE"""),"COM-141 CORTADOR DE PATATAS DE PALANCA - CET")</f>
        <v>COM-141 CORTADOR DE PATATAS DE PALANCA - CET</v>
      </c>
      <c r="AB190" s="213"/>
      <c r="AC190" s="213"/>
      <c r="AD190" s="213"/>
      <c r="AE190" s="213"/>
      <c r="AF190" s="213"/>
      <c r="AG190" s="213"/>
      <c r="AH190" s="213"/>
      <c r="AI190" s="213"/>
      <c r="AJ190" s="213"/>
      <c r="AK190" s="213"/>
      <c r="AL190" s="213"/>
      <c r="AM190" s="213"/>
      <c r="AN190" s="213"/>
      <c r="AO190" s="213"/>
      <c r="AP190" s="213" t="str">
        <f>IFERROR(__xludf.DUMMYFUNCTION("""COMPUTED_VALUE"""),"LUIS")</f>
        <v>LUIS</v>
      </c>
      <c r="AQ190" s="213"/>
      <c r="AR190" s="213"/>
      <c r="AS190" s="213"/>
      <c r="AT190" s="213"/>
      <c r="AU190" s="213"/>
      <c r="AV190" s="213"/>
      <c r="AW190" s="213"/>
      <c r="AX190" s="213"/>
      <c r="AY190" s="213"/>
      <c r="AZ190" s="213"/>
      <c r="BA190" s="213"/>
      <c r="BB190" s="213"/>
      <c r="BC190" s="213"/>
      <c r="BD190" s="213"/>
    </row>
    <row r="191">
      <c r="A191" s="213">
        <f>IFERROR(__xludf.DUMMYFUNCTION("""COMPUTED_VALUE"""),974.0)</f>
        <v>974</v>
      </c>
      <c r="B191" s="213" t="str">
        <f>IFERROR(__xludf.DUMMYFUNCTION("""COMPUTED_VALUE"""),"FRANCISCO IRAZOLA")</f>
        <v>FRANCISCO IRAZOLA</v>
      </c>
      <c r="C191" s="213" t="str">
        <f>IFERROR(__xludf.DUMMYFUNCTION("""COMPUTED_VALUE"""),"TALLER SFT DE MECÁNICA AUTOMOTRIZ")</f>
        <v>TALLER SFT DE MECÁNICA AUTOMOTRIZ</v>
      </c>
      <c r="D191" s="213" t="str">
        <f>IFERROR(__xludf.DUMMYFUNCTION("""COMPUTED_VALUE"""),"HERRAMIENTAS")</f>
        <v>HERRAMIENTAS</v>
      </c>
      <c r="E191" s="213" t="str">
        <f>IFERROR(__xludf.DUMMYFUNCTION("""COMPUTED_VALUE"""),"COM-143")</f>
        <v>COM-143</v>
      </c>
      <c r="F191" s="213" t="str">
        <f>IFERROR(__xludf.DUMMYFUNCTION("""COMPUTED_VALUE"""),"COM-143")</f>
        <v>COM-143</v>
      </c>
      <c r="G191" s="213"/>
      <c r="H191" s="213" t="str">
        <f>IFERROR(__xludf.DUMMYFUNCTION("""COMPUTED_VALUE"""),"JUEGO DE DADOS PARA BUJÍAS")</f>
        <v>JUEGO DE DADOS PARA BUJÍAS</v>
      </c>
      <c r="I191" s="213" t="str">
        <f>IFERROR(__xludf.DUMMYFUNCTION("""COMPUTED_VALUE"""),"Dos dados de Bujía para medidas de 5/8"" y 13/16"". Con encastre de: 1/2"".
Resistente a la corrosión.
Fabricadas de acero cromo, vanadio. Acabado cromado.")</f>
        <v>Dos dados de Bujía para medidas de 5/8" y 13/16". Con encastre de: 1/2".
Resistente a la corrosión.
Fabricadas de acero cromo, vanadio. Acabado cromado.</v>
      </c>
      <c r="J191" s="213">
        <f>IFERROR(__xludf.DUMMYFUNCTION("""COMPUTED_VALUE"""),3.0)</f>
        <v>3</v>
      </c>
      <c r="K191" s="213" t="str">
        <f>IFERROR(__xludf.DUMMYFUNCTION("""COMPUTED_VALUE"""),"90 DÍAS CALENDARIO")</f>
        <v>90 DÍAS CALENDARIO</v>
      </c>
      <c r="L191" s="213" t="str">
        <f>IFERROR(__xludf.DUMMYFUNCTION("""COMPUTED_VALUE"""),"")</f>
        <v/>
      </c>
      <c r="M191" s="213">
        <f>IFERROR(__xludf.DUMMYFUNCTION("""COMPUTED_VALUE"""),1.0)</f>
        <v>1</v>
      </c>
      <c r="N191" s="213">
        <f>IFERROR(__xludf.DUMMYFUNCTION("""COMPUTED_VALUE"""),4.0)</f>
        <v>4</v>
      </c>
      <c r="O191" s="213">
        <f>IFERROR(__xludf.DUMMYFUNCTION("""COMPUTED_VALUE"""),4.0)</f>
        <v>4</v>
      </c>
      <c r="P191" s="213"/>
      <c r="Q191" s="213"/>
      <c r="R191" s="213"/>
      <c r="S191" s="213"/>
      <c r="T191" s="213" t="str">
        <f>IFERROR(__xludf.DUMMYFUNCTION("""COMPUTED_VALUE"""),"CONSULTA FINAL")</f>
        <v>CONSULTA FINAL</v>
      </c>
      <c r="U191" s="213" t="str">
        <f>IFERROR(__xludf.DUMMYFUNCTION("""COMPUTED_VALUE"""),"NO")</f>
        <v>NO</v>
      </c>
      <c r="V191" s="213" t="str">
        <f>IFERROR(__xludf.DUMMYFUNCTION("""COMPUTED_VALUE"""),"SUSTENTO")</f>
        <v>SUSTENTO</v>
      </c>
      <c r="W191" s="213" t="str">
        <f>IFERROR(__xludf.DUMMYFUNCTION("""COMPUTED_VALUE"""),"DIMENSIONAL")</f>
        <v>DIMENSIONAL</v>
      </c>
      <c r="X191" s="213" t="str">
        <f>IFERROR(__xludf.DUMMYFUNCTION("""COMPUTED_VALUE"""),"CASOMAN")</f>
        <v>CASOMAN</v>
      </c>
      <c r="Y191" s="213" t="str">
        <f>IFERROR(__xludf.DUMMYFUNCTION("""COMPUTED_VALUE"""),"CS384")</f>
        <v>CS384</v>
      </c>
      <c r="Z191" s="215" t="str">
        <f>IFERROR(__xludf.DUMMYFUNCTION("""COMPUTED_VALUE"""),"https://www.amazon.com/-/es/CASOMAN-pulgadas-incluye-extensi%C3%B3n-universal/dp/B0C9HZKW3Q?th=1")</f>
        <v>https://www.amazon.com/-/es/CASOMAN-pulgadas-incluye-extensi%C3%B3n-universal/dp/B0C9HZKW3Q?th=1</v>
      </c>
      <c r="AA191" s="213" t="str">
        <f>IFERROR(__xludf.DUMMYFUNCTION("""COMPUTED_VALUE"""),"COM-143 JUEGO DE DADOS PARA BUJÍAS - CET")</f>
        <v>COM-143 JUEGO DE DADOS PARA BUJÍAS - CET</v>
      </c>
      <c r="AB191" s="213"/>
      <c r="AC191" s="213"/>
      <c r="AD191" s="213"/>
      <c r="AE191" s="213"/>
      <c r="AF191" s="213"/>
      <c r="AG191" s="213"/>
      <c r="AH191" s="213"/>
      <c r="AI191" s="213"/>
      <c r="AJ191" s="213"/>
      <c r="AK191" s="213"/>
      <c r="AL191" s="213"/>
      <c r="AM191" s="213"/>
      <c r="AN191" s="213"/>
      <c r="AO191" s="213"/>
      <c r="AP191" s="213" t="str">
        <f>IFERROR(__xludf.DUMMYFUNCTION("""COMPUTED_VALUE"""),"SEBASTIAN")</f>
        <v>SEBASTIAN</v>
      </c>
      <c r="AQ191" s="213"/>
      <c r="AR191" s="213"/>
      <c r="AS191" s="213"/>
      <c r="AT191" s="213"/>
      <c r="AU191" s="213"/>
      <c r="AV191" s="213"/>
      <c r="AW191" s="213"/>
      <c r="AX191" s="213"/>
      <c r="AY191" s="213"/>
      <c r="AZ191" s="213"/>
      <c r="BA191" s="213"/>
      <c r="BB191" s="213"/>
      <c r="BC191" s="213"/>
      <c r="BD191" s="213"/>
    </row>
    <row r="192">
      <c r="A192" s="213">
        <f>IFERROR(__xludf.DUMMYFUNCTION("""COMPUTED_VALUE"""),1575.0)</f>
        <v>1575</v>
      </c>
      <c r="B192" s="213" t="str">
        <f>IFERROR(__xludf.DUMMYFUNCTION("""COMPUTED_VALUE"""),"GUILLERMO E. BILLINGHURST ")</f>
        <v>GUILLERMO E. BILLINGHURST </v>
      </c>
      <c r="C192" s="213" t="str">
        <f>IFERROR(__xludf.DUMMYFUNCTION("""COMPUTED_VALUE"""),"TALLER SFT DE MECÁNICA AUTOMOTRIZ")</f>
        <v>TALLER SFT DE MECÁNICA AUTOMOTRIZ</v>
      </c>
      <c r="D192" s="213" t="str">
        <f>IFERROR(__xludf.DUMMYFUNCTION("""COMPUTED_VALUE"""),"HERRAMIENTAS")</f>
        <v>HERRAMIENTAS</v>
      </c>
      <c r="E192" s="213" t="str">
        <f>IFERROR(__xludf.DUMMYFUNCTION("""COMPUTED_VALUE"""),"COM-143")</f>
        <v>COM-143</v>
      </c>
      <c r="F192" s="213" t="str">
        <f>IFERROR(__xludf.DUMMYFUNCTION("""COMPUTED_VALUE"""),"COM-143")</f>
        <v>COM-143</v>
      </c>
      <c r="G192" s="213"/>
      <c r="H192" s="213" t="str">
        <f>IFERROR(__xludf.DUMMYFUNCTION("""COMPUTED_VALUE"""),"JUEGO DE DADOS PARA BUJÍAS")</f>
        <v>JUEGO DE DADOS PARA BUJÍAS</v>
      </c>
      <c r="I192" s="213" t="str">
        <f>IFERROR(__xludf.DUMMYFUNCTION("""COMPUTED_VALUE"""),"Dos dados de Bujía para medidas de 5/8"" y 13/16"". Con encastre de: 1/2"".
Resistente a la corrosión.
Fabricadas de acero cromo, vanadio. Acabado cromado.")</f>
        <v>Dos dados de Bujía para medidas de 5/8" y 13/16". Con encastre de: 1/2".
Resistente a la corrosión.
Fabricadas de acero cromo, vanadio. Acabado cromado.</v>
      </c>
      <c r="J192" s="213">
        <f>IFERROR(__xludf.DUMMYFUNCTION("""COMPUTED_VALUE"""),3.0)</f>
        <v>3</v>
      </c>
      <c r="K192" s="213" t="str">
        <f>IFERROR(__xludf.DUMMYFUNCTION("""COMPUTED_VALUE"""),"90 DÍAS CALENDARIO")</f>
        <v>90 DÍAS CALENDARIO</v>
      </c>
      <c r="L192" s="213" t="str">
        <f>IFERROR(__xludf.DUMMYFUNCTION("""COMPUTED_VALUE"""),"")</f>
        <v/>
      </c>
      <c r="M192" s="213">
        <f>IFERROR(__xludf.DUMMYFUNCTION("""COMPUTED_VALUE"""),1.0)</f>
        <v>1</v>
      </c>
      <c r="N192" s="213">
        <f>IFERROR(__xludf.DUMMYFUNCTION("""COMPUTED_VALUE"""),4.0)</f>
        <v>4</v>
      </c>
      <c r="O192" s="213">
        <f>IFERROR(__xludf.DUMMYFUNCTION("""COMPUTED_VALUE"""),4.0)</f>
        <v>4</v>
      </c>
      <c r="P192" s="213"/>
      <c r="Q192" s="213"/>
      <c r="R192" s="213"/>
      <c r="S192" s="213"/>
      <c r="T192" s="213" t="str">
        <f>IFERROR(__xludf.DUMMYFUNCTION("""COMPUTED_VALUE"""),"CONSULTA FINAL")</f>
        <v>CONSULTA FINAL</v>
      </c>
      <c r="U192" s="213" t="str">
        <f>IFERROR(__xludf.DUMMYFUNCTION("""COMPUTED_VALUE"""),"NO")</f>
        <v>NO</v>
      </c>
      <c r="V192" s="213" t="str">
        <f>IFERROR(__xludf.DUMMYFUNCTION("""COMPUTED_VALUE"""),"SUSTENTO")</f>
        <v>SUSTENTO</v>
      </c>
      <c r="W192" s="213" t="str">
        <f>IFERROR(__xludf.DUMMYFUNCTION("""COMPUTED_VALUE"""),"DIMENSIONAL")</f>
        <v>DIMENSIONAL</v>
      </c>
      <c r="X192" s="213" t="str">
        <f>IFERROR(__xludf.DUMMYFUNCTION("""COMPUTED_VALUE"""),"CASOMAN")</f>
        <v>CASOMAN</v>
      </c>
      <c r="Y192" s="213" t="str">
        <f>IFERROR(__xludf.DUMMYFUNCTION("""COMPUTED_VALUE"""),"CS385")</f>
        <v>CS385</v>
      </c>
      <c r="Z192" s="215" t="str">
        <f>IFERROR(__xludf.DUMMYFUNCTION("""COMPUTED_VALUE"""),"https://www.amazon.com/-/es/CASOMAN-pulgadas-incluye-extensi%C3%B3n-universal/dp/B0C9HZKW3Q?th=1")</f>
        <v>https://www.amazon.com/-/es/CASOMAN-pulgadas-incluye-extensi%C3%B3n-universal/dp/B0C9HZKW3Q?th=1</v>
      </c>
      <c r="AA192" s="213" t="str">
        <f>IFERROR(__xludf.DUMMYFUNCTION("""COMPUTED_VALUE"""),"COM-143 JUEGO DE DADOS PARA BUJÍAS - CET")</f>
        <v>COM-143 JUEGO DE DADOS PARA BUJÍAS - CET</v>
      </c>
      <c r="AB192" s="213"/>
      <c r="AC192" s="213"/>
      <c r="AD192" s="213"/>
      <c r="AE192" s="213"/>
      <c r="AF192" s="213"/>
      <c r="AG192" s="213"/>
      <c r="AH192" s="213"/>
      <c r="AI192" s="213"/>
      <c r="AJ192" s="213"/>
      <c r="AK192" s="213"/>
      <c r="AL192" s="213"/>
      <c r="AM192" s="213"/>
      <c r="AN192" s="213"/>
      <c r="AO192" s="213"/>
      <c r="AP192" s="213" t="str">
        <f>IFERROR(__xludf.DUMMYFUNCTION("""COMPUTED_VALUE"""),"SEBASTIAN")</f>
        <v>SEBASTIAN</v>
      </c>
      <c r="AQ192" s="213"/>
      <c r="AR192" s="213"/>
      <c r="AS192" s="213"/>
      <c r="AT192" s="213"/>
      <c r="AU192" s="213"/>
      <c r="AV192" s="213"/>
      <c r="AW192" s="213"/>
      <c r="AX192" s="213"/>
      <c r="AY192" s="213"/>
      <c r="AZ192" s="213"/>
      <c r="BA192" s="213"/>
      <c r="BB192" s="213"/>
      <c r="BC192" s="213"/>
      <c r="BD192" s="213"/>
    </row>
    <row r="193">
      <c r="A193" s="213">
        <f>IFERROR(__xludf.DUMMYFUNCTION("""COMPUTED_VALUE"""),2267.0)</f>
        <v>2267</v>
      </c>
      <c r="B193" s="213" t="str">
        <f>IFERROR(__xludf.DUMMYFUNCTION("""COMPUTED_VALUE"""),"JOSE GRANDA")</f>
        <v>JOSE GRANDA</v>
      </c>
      <c r="C193" s="213" t="str">
        <f>IFERROR(__xludf.DUMMYFUNCTION("""COMPUTED_VALUE"""),"TALLER SFT DE MECÁNICA AUTOMOTRIZ")</f>
        <v>TALLER SFT DE MECÁNICA AUTOMOTRIZ</v>
      </c>
      <c r="D193" s="213" t="str">
        <f>IFERROR(__xludf.DUMMYFUNCTION("""COMPUTED_VALUE"""),"HERRAMIENTAS")</f>
        <v>HERRAMIENTAS</v>
      </c>
      <c r="E193" s="213" t="str">
        <f>IFERROR(__xludf.DUMMYFUNCTION("""COMPUTED_VALUE"""),"COM-143")</f>
        <v>COM-143</v>
      </c>
      <c r="F193" s="213" t="str">
        <f>IFERROR(__xludf.DUMMYFUNCTION("""COMPUTED_VALUE"""),"COM-143")</f>
        <v>COM-143</v>
      </c>
      <c r="G193" s="213"/>
      <c r="H193" s="213" t="str">
        <f>IFERROR(__xludf.DUMMYFUNCTION("""COMPUTED_VALUE"""),"JUEGO DE DADOS PARA BUJÍAS")</f>
        <v>JUEGO DE DADOS PARA BUJÍAS</v>
      </c>
      <c r="I193" s="213" t="str">
        <f>IFERROR(__xludf.DUMMYFUNCTION("""COMPUTED_VALUE"""),"Dos dados de Bujía para medidas de 5/8"" y 13/16"". Con encastre de: 1/2"".
Resistente a la corrosión.
Fabricadas de acero cromo, vanadio. Acabado cromado.")</f>
        <v>Dos dados de Bujía para medidas de 5/8" y 13/16". Con encastre de: 1/2".
Resistente a la corrosión.
Fabricadas de acero cromo, vanadio. Acabado cromado.</v>
      </c>
      <c r="J193" s="213">
        <f>IFERROR(__xludf.DUMMYFUNCTION("""COMPUTED_VALUE"""),3.0)</f>
        <v>3</v>
      </c>
      <c r="K193" s="213" t="str">
        <f>IFERROR(__xludf.DUMMYFUNCTION("""COMPUTED_VALUE"""),"90 DÍAS CALENDARIO")</f>
        <v>90 DÍAS CALENDARIO</v>
      </c>
      <c r="L193" s="213" t="str">
        <f>IFERROR(__xludf.DUMMYFUNCTION("""COMPUTED_VALUE"""),"")</f>
        <v/>
      </c>
      <c r="M193" s="213">
        <f>IFERROR(__xludf.DUMMYFUNCTION("""COMPUTED_VALUE"""),1.0)</f>
        <v>1</v>
      </c>
      <c r="N193" s="213">
        <f>IFERROR(__xludf.DUMMYFUNCTION("""COMPUTED_VALUE"""),4.0)</f>
        <v>4</v>
      </c>
      <c r="O193" s="213">
        <f>IFERROR(__xludf.DUMMYFUNCTION("""COMPUTED_VALUE"""),4.0)</f>
        <v>4</v>
      </c>
      <c r="P193" s="213"/>
      <c r="Q193" s="213"/>
      <c r="R193" s="213"/>
      <c r="S193" s="213"/>
      <c r="T193" s="213" t="str">
        <f>IFERROR(__xludf.DUMMYFUNCTION("""COMPUTED_VALUE"""),"CONSULTA FINAL")</f>
        <v>CONSULTA FINAL</v>
      </c>
      <c r="U193" s="213" t="str">
        <f>IFERROR(__xludf.DUMMYFUNCTION("""COMPUTED_VALUE"""),"NO")</f>
        <v>NO</v>
      </c>
      <c r="V193" s="213" t="str">
        <f>IFERROR(__xludf.DUMMYFUNCTION("""COMPUTED_VALUE"""),"SUSTENTO")</f>
        <v>SUSTENTO</v>
      </c>
      <c r="W193" s="213" t="str">
        <f>IFERROR(__xludf.DUMMYFUNCTION("""COMPUTED_VALUE"""),"DIMENSIONAL")</f>
        <v>DIMENSIONAL</v>
      </c>
      <c r="X193" s="213" t="str">
        <f>IFERROR(__xludf.DUMMYFUNCTION("""COMPUTED_VALUE"""),"CASOMAN")</f>
        <v>CASOMAN</v>
      </c>
      <c r="Y193" s="213" t="str">
        <f>IFERROR(__xludf.DUMMYFUNCTION("""COMPUTED_VALUE"""),"CS386")</f>
        <v>CS386</v>
      </c>
      <c r="Z193" s="215" t="str">
        <f>IFERROR(__xludf.DUMMYFUNCTION("""COMPUTED_VALUE"""),"https://www.amazon.com/-/es/CASOMAN-pulgadas-incluye-extensi%C3%B3n-universal/dp/B0C9HZKW3Q?th=1")</f>
        <v>https://www.amazon.com/-/es/CASOMAN-pulgadas-incluye-extensi%C3%B3n-universal/dp/B0C9HZKW3Q?th=1</v>
      </c>
      <c r="AA193" s="213" t="str">
        <f>IFERROR(__xludf.DUMMYFUNCTION("""COMPUTED_VALUE"""),"COM-143 JUEGO DE DADOS PARA BUJÍAS - CET")</f>
        <v>COM-143 JUEGO DE DADOS PARA BUJÍAS - CET</v>
      </c>
      <c r="AB193" s="213"/>
      <c r="AC193" s="213"/>
      <c r="AD193" s="213"/>
      <c r="AE193" s="213"/>
      <c r="AF193" s="213"/>
      <c r="AG193" s="213"/>
      <c r="AH193" s="213"/>
      <c r="AI193" s="213"/>
      <c r="AJ193" s="213"/>
      <c r="AK193" s="213"/>
      <c r="AL193" s="213"/>
      <c r="AM193" s="213"/>
      <c r="AN193" s="213"/>
      <c r="AO193" s="213"/>
      <c r="AP193" s="213" t="str">
        <f>IFERROR(__xludf.DUMMYFUNCTION("""COMPUTED_VALUE"""),"SEBASTIAN")</f>
        <v>SEBASTIAN</v>
      </c>
      <c r="AQ193" s="213"/>
      <c r="AR193" s="213"/>
      <c r="AS193" s="213"/>
      <c r="AT193" s="213"/>
      <c r="AU193" s="213"/>
      <c r="AV193" s="213"/>
      <c r="AW193" s="213"/>
      <c r="AX193" s="213"/>
      <c r="AY193" s="213"/>
      <c r="AZ193" s="213"/>
      <c r="BA193" s="213"/>
      <c r="BB193" s="213"/>
      <c r="BC193" s="213"/>
      <c r="BD193" s="213"/>
    </row>
    <row r="194">
      <c r="A194" s="213">
        <f>IFERROR(__xludf.DUMMYFUNCTION("""COMPUTED_VALUE"""),524.0)</f>
        <v>524</v>
      </c>
      <c r="B194" s="213" t="str">
        <f>IFERROR(__xludf.DUMMYFUNCTION("""COMPUTED_VALUE"""),"2026 SIMON BOLIVAR")</f>
        <v>2026 SIMON BOLIVAR</v>
      </c>
      <c r="C194" s="213" t="str">
        <f>IFERROR(__xludf.DUMMYFUNCTION("""COMPUTED_VALUE"""),"TALLER SFT DE INDUSTRIA ALIMENTARIA")</f>
        <v>TALLER SFT DE INDUSTRIA ALIMENTARIA</v>
      </c>
      <c r="D194" s="213" t="str">
        <f>IFERROR(__xludf.DUMMYFUNCTION("""COMPUTED_VALUE"""),"HERRAMIENTAS")</f>
        <v>HERRAMIENTAS</v>
      </c>
      <c r="E194" s="213" t="str">
        <f>IFERROR(__xludf.DUMMYFUNCTION("""COMPUTED_VALUE"""),"COM-144")</f>
        <v>COM-144</v>
      </c>
      <c r="F194" s="213" t="str">
        <f>IFERROR(__xludf.DUMMYFUNCTION("""COMPUTED_VALUE"""),"COM-144")</f>
        <v>COM-144</v>
      </c>
      <c r="G194" s="213"/>
      <c r="H194" s="213" t="str">
        <f>IFERROR(__xludf.DUMMYFUNCTION("""COMPUTED_VALUE"""),"DESCASCARILLADOR")</f>
        <v>DESCASCARILLADOR</v>
      </c>
      <c r="I194" s="213" t="str">
        <f>IFERROR(__xludf.DUMMYFUNCTION("""COMPUTED_VALUE"""),"· Fabricado en acero inoxidable 304.
· Respaldo de goma en la mariposa de ajuste y fijación.
· Posee tolva y disco demoledor.
· Peso aproximado: 5,5 kg.
· Medidas aproximadas: 34 cm de largo; 16 cm de ancho y 42 cm de alto.
. Incluye funda protectora impe"&amp;"rmeable para su almacenamiento.")</f>
        <v>· Fabricado en acero inoxidable 304.
· Respaldo de goma en la mariposa de ajuste y fijación.
· Posee tolva y disco demoledor.
· Peso aproximado: 5,5 kg.
· Medidas aproximadas: 34 cm de largo; 16 cm de ancho y 42 cm de alto.
. Incluye funda protectora impermeable para su almacenamiento.</v>
      </c>
      <c r="J194" s="213">
        <f>IFERROR(__xludf.DUMMYFUNCTION("""COMPUTED_VALUE"""),3.0)</f>
        <v>3</v>
      </c>
      <c r="K194" s="213" t="str">
        <f>IFERROR(__xludf.DUMMYFUNCTION("""COMPUTED_VALUE"""),"90 DÍAS CALENDARIO")</f>
        <v>90 DÍAS CALENDARIO</v>
      </c>
      <c r="L194" s="213" t="str">
        <f>IFERROR(__xludf.DUMMYFUNCTION("""COMPUTED_VALUE"""),"")</f>
        <v/>
      </c>
      <c r="M194" s="213">
        <f>IFERROR(__xludf.DUMMYFUNCTION("""COMPUTED_VALUE"""),1.0)</f>
        <v>1</v>
      </c>
      <c r="N194" s="213">
        <f>IFERROR(__xludf.DUMMYFUNCTION("""COMPUTED_VALUE"""),1.0)</f>
        <v>1</v>
      </c>
      <c r="O194" s="213">
        <f>IFERROR(__xludf.DUMMYFUNCTION("""COMPUTED_VALUE"""),1.0)</f>
        <v>1</v>
      </c>
      <c r="P194" s="213"/>
      <c r="Q194" s="213"/>
      <c r="R194" s="213"/>
      <c r="S194" s="213"/>
      <c r="T194" s="213" t="str">
        <f>IFERROR(__xludf.DUMMYFUNCTION("""COMPUTED_VALUE"""),"SI")</f>
        <v>SI</v>
      </c>
      <c r="U194" s="213" t="str">
        <f>IFERROR(__xludf.DUMMYFUNCTION("""COMPUTED_VALUE"""),"SI")</f>
        <v>SI</v>
      </c>
      <c r="V194" s="213" t="str">
        <f>IFERROR(__xludf.DUMMYFUNCTION("""COMPUTED_VALUE"""),"-")</f>
        <v>-</v>
      </c>
      <c r="W194" s="213" t="str">
        <f>IFERROR(__xludf.DUMMYFUNCTION("""COMPUTED_VALUE"""),"-")</f>
        <v>-</v>
      </c>
      <c r="X194" s="213" t="str">
        <f>IFERROR(__xludf.DUMMYFUNCTION("""COMPUTED_VALUE"""),"INDPOOOR")</f>
        <v>INDPOOOR</v>
      </c>
      <c r="Y194" s="213" t="str">
        <f>IFERROR(__xludf.DUMMYFUNCTION("""COMPUTED_VALUE"""),"Molinillo de grano manual profesional, Molino de grano de manivela manual, Molinillo de trigo de acero inoxidable 304, Molinillo de maíz de mango de madera, Molinillo de café manual")</f>
        <v>Molinillo de grano manual profesional, Molino de grano de manivela manual, Molinillo de trigo de acero inoxidable 304, Molinillo de maíz de mango de madera, Molinillo de café manual</v>
      </c>
      <c r="Z194" s="215" t="str">
        <f>IFERROR(__xludf.DUMMYFUNCTION("""COMPUTED_VALUE"""),"https://www.amazon.com/-/es/INDPOOOR-Molinillo-profesional-manivela-inoxidable/dp/B0B65KJJSV")</f>
        <v>https://www.amazon.com/-/es/INDPOOOR-Molinillo-profesional-manivela-inoxidable/dp/B0B65KJJSV</v>
      </c>
      <c r="AA194" s="213" t="str">
        <f>IFERROR(__xludf.DUMMYFUNCTION("""COMPUTED_VALUE"""),"COM-144 DESCASCARILLADOR - CET")</f>
        <v>COM-144 DESCASCARILLADOR - CET</v>
      </c>
      <c r="AB194" s="213"/>
      <c r="AC194" s="213"/>
      <c r="AD194" s="213"/>
      <c r="AE194" s="213"/>
      <c r="AF194" s="213"/>
      <c r="AG194" s="213"/>
      <c r="AH194" s="213"/>
      <c r="AI194" s="213"/>
      <c r="AJ194" s="213"/>
      <c r="AK194" s="213"/>
      <c r="AL194" s="213"/>
      <c r="AM194" s="213"/>
      <c r="AN194" s="213"/>
      <c r="AO194" s="213"/>
      <c r="AP194" s="213" t="str">
        <f>IFERROR(__xludf.DUMMYFUNCTION("""COMPUTED_VALUE"""),"BRUNO")</f>
        <v>BRUNO</v>
      </c>
      <c r="AQ194" s="213" t="str">
        <f>IFERROR(__xludf.DUMMYFUNCTION("""COMPUTED_VALUE"""),"FUNDA IMPERMEABLE")</f>
        <v>FUNDA IMPERMEABLE</v>
      </c>
      <c r="AR194" s="213"/>
      <c r="AS194" s="213"/>
      <c r="AT194" s="213"/>
      <c r="AU194" s="213"/>
      <c r="AV194" s="213"/>
      <c r="AW194" s="213"/>
      <c r="AX194" s="213"/>
      <c r="AY194" s="213"/>
      <c r="AZ194" s="213"/>
      <c r="BA194" s="213"/>
      <c r="BB194" s="213"/>
      <c r="BC194" s="213"/>
      <c r="BD194" s="213"/>
    </row>
    <row r="195">
      <c r="A195" s="213">
        <f>IFERROR(__xludf.DUMMYFUNCTION("""COMPUTED_VALUE"""),1154.0)</f>
        <v>1154</v>
      </c>
      <c r="B195" s="213" t="str">
        <f>IFERROR(__xludf.DUMMYFUNCTION("""COMPUTED_VALUE"""),"FRANCISCO IRAZOLA")</f>
        <v>FRANCISCO IRAZOLA</v>
      </c>
      <c r="C195" s="213" t="str">
        <f>IFERROR(__xludf.DUMMYFUNCTION("""COMPUTED_VALUE"""),"TALLER SFT DE INDUSTRIA ALIMENTARIA")</f>
        <v>TALLER SFT DE INDUSTRIA ALIMENTARIA</v>
      </c>
      <c r="D195" s="213" t="str">
        <f>IFERROR(__xludf.DUMMYFUNCTION("""COMPUTED_VALUE"""),"HERRAMIENTAS")</f>
        <v>HERRAMIENTAS</v>
      </c>
      <c r="E195" s="213" t="str">
        <f>IFERROR(__xludf.DUMMYFUNCTION("""COMPUTED_VALUE"""),"COM-144")</f>
        <v>COM-144</v>
      </c>
      <c r="F195" s="213" t="str">
        <f>IFERROR(__xludf.DUMMYFUNCTION("""COMPUTED_VALUE"""),"COM-144")</f>
        <v>COM-144</v>
      </c>
      <c r="G195" s="213"/>
      <c r="H195" s="213" t="str">
        <f>IFERROR(__xludf.DUMMYFUNCTION("""COMPUTED_VALUE"""),"DESCASCARILLADOR")</f>
        <v>DESCASCARILLADOR</v>
      </c>
      <c r="I195" s="213" t="str">
        <f>IFERROR(__xludf.DUMMYFUNCTION("""COMPUTED_VALUE"""),"· Fabricado en acero inoxidable 304.
· Respaldo de goma en la mariposa de ajuste y fijación.
· Posee tolva y disco demoledor.
· Peso aproximado: 5,5 kg.
· Medidas aproximadas: 34 cm de largo; 16 cm de ancho y 42 cm de alto.
. Incluye funda protectora impe"&amp;"rmeable para su almacenamiento.")</f>
        <v>· Fabricado en acero inoxidable 304.
· Respaldo de goma en la mariposa de ajuste y fijación.
· Posee tolva y disco demoledor.
· Peso aproximado: 5,5 kg.
· Medidas aproximadas: 34 cm de largo; 16 cm de ancho y 42 cm de alto.
. Incluye funda protectora impermeable para su almacenamiento.</v>
      </c>
      <c r="J195" s="213">
        <f>IFERROR(__xludf.DUMMYFUNCTION("""COMPUTED_VALUE"""),3.0)</f>
        <v>3</v>
      </c>
      <c r="K195" s="213" t="str">
        <f>IFERROR(__xludf.DUMMYFUNCTION("""COMPUTED_VALUE"""),"90 DÍAS CALENDARIO")</f>
        <v>90 DÍAS CALENDARIO</v>
      </c>
      <c r="L195" s="213" t="str">
        <f>IFERROR(__xludf.DUMMYFUNCTION("""COMPUTED_VALUE"""),"")</f>
        <v/>
      </c>
      <c r="M195" s="213">
        <f>IFERROR(__xludf.DUMMYFUNCTION("""COMPUTED_VALUE"""),1.0)</f>
        <v>1</v>
      </c>
      <c r="N195" s="213">
        <f>IFERROR(__xludf.DUMMYFUNCTION("""COMPUTED_VALUE"""),1.0)</f>
        <v>1</v>
      </c>
      <c r="O195" s="213">
        <f>IFERROR(__xludf.DUMMYFUNCTION("""COMPUTED_VALUE"""),1.0)</f>
        <v>1</v>
      </c>
      <c r="P195" s="213"/>
      <c r="Q195" s="213"/>
      <c r="R195" s="213"/>
      <c r="S195" s="213"/>
      <c r="T195" s="213" t="str">
        <f>IFERROR(__xludf.DUMMYFUNCTION("""COMPUTED_VALUE"""),"SI")</f>
        <v>SI</v>
      </c>
      <c r="U195" s="213" t="str">
        <f>IFERROR(__xludf.DUMMYFUNCTION("""COMPUTED_VALUE"""),"SI")</f>
        <v>SI</v>
      </c>
      <c r="V195" s="213" t="str">
        <f>IFERROR(__xludf.DUMMYFUNCTION("""COMPUTED_VALUE"""),"-")</f>
        <v>-</v>
      </c>
      <c r="W195" s="213" t="str">
        <f>IFERROR(__xludf.DUMMYFUNCTION("""COMPUTED_VALUE"""),"-")</f>
        <v>-</v>
      </c>
      <c r="X195" s="213" t="str">
        <f>IFERROR(__xludf.DUMMYFUNCTION("""COMPUTED_VALUE"""),"INDPOOOR")</f>
        <v>INDPOOOR</v>
      </c>
      <c r="Y195" s="213" t="str">
        <f>IFERROR(__xludf.DUMMYFUNCTION("""COMPUTED_VALUE"""),"Molinillo de grano manual profesional, Molino de grano de manivela manual, Molinillo de trigo de acero inoxidable 304, Molinillo de maíz de mango de madera, Molinillo de café manual")</f>
        <v>Molinillo de grano manual profesional, Molino de grano de manivela manual, Molinillo de trigo de acero inoxidable 304, Molinillo de maíz de mango de madera, Molinillo de café manual</v>
      </c>
      <c r="Z195" s="215" t="str">
        <f>IFERROR(__xludf.DUMMYFUNCTION("""COMPUTED_VALUE"""),"https://www.amazon.com/-/es/INDPOOOR-Molinillo-profesional-manivela-inoxidable/dp/B0B65KJJSV")</f>
        <v>https://www.amazon.com/-/es/INDPOOOR-Molinillo-profesional-manivela-inoxidable/dp/B0B65KJJSV</v>
      </c>
      <c r="AA195" s="213" t="str">
        <f>IFERROR(__xludf.DUMMYFUNCTION("""COMPUTED_VALUE"""),"COM-144 DESCASCARILLADOR - CET")</f>
        <v>COM-144 DESCASCARILLADOR - CET</v>
      </c>
      <c r="AB195" s="213"/>
      <c r="AC195" s="213"/>
      <c r="AD195" s="213"/>
      <c r="AE195" s="213"/>
      <c r="AF195" s="213"/>
      <c r="AG195" s="213"/>
      <c r="AH195" s="213"/>
      <c r="AI195" s="213"/>
      <c r="AJ195" s="213"/>
      <c r="AK195" s="213"/>
      <c r="AL195" s="213"/>
      <c r="AM195" s="213"/>
      <c r="AN195" s="213"/>
      <c r="AO195" s="213"/>
      <c r="AP195" s="213" t="str">
        <f>IFERROR(__xludf.DUMMYFUNCTION("""COMPUTED_VALUE"""),"BRUNO")</f>
        <v>BRUNO</v>
      </c>
      <c r="AQ195" s="213" t="str">
        <f>IFERROR(__xludf.DUMMYFUNCTION("""COMPUTED_VALUE"""),"FUNDA IMPERMEABLE")</f>
        <v>FUNDA IMPERMEABLE</v>
      </c>
      <c r="AR195" s="213"/>
      <c r="AS195" s="213"/>
      <c r="AT195" s="213"/>
      <c r="AU195" s="213"/>
      <c r="AV195" s="213"/>
      <c r="AW195" s="213"/>
      <c r="AX195" s="213"/>
      <c r="AY195" s="213"/>
      <c r="AZ195" s="213"/>
      <c r="BA195" s="213"/>
      <c r="BB195" s="213"/>
      <c r="BC195" s="213"/>
      <c r="BD195" s="213"/>
    </row>
    <row r="196">
      <c r="A196" s="213">
        <f>IFERROR(__xludf.DUMMYFUNCTION("""COMPUTED_VALUE"""),1426.0)</f>
        <v>1426</v>
      </c>
      <c r="B196" s="213" t="str">
        <f>IFERROR(__xludf.DUMMYFUNCTION("""COMPUTED_VALUE"""),"GUILLERMO E. BILLINGHURST ")</f>
        <v>GUILLERMO E. BILLINGHURST </v>
      </c>
      <c r="C196" s="213" t="str">
        <f>IFERROR(__xludf.DUMMYFUNCTION("""COMPUTED_VALUE"""),"TALLER SFT DE INDUSTRIA ALIMENTARIA")</f>
        <v>TALLER SFT DE INDUSTRIA ALIMENTARIA</v>
      </c>
      <c r="D196" s="213" t="str">
        <f>IFERROR(__xludf.DUMMYFUNCTION("""COMPUTED_VALUE"""),"HERRAMIENTAS")</f>
        <v>HERRAMIENTAS</v>
      </c>
      <c r="E196" s="213" t="str">
        <f>IFERROR(__xludf.DUMMYFUNCTION("""COMPUTED_VALUE"""),"COM-144")</f>
        <v>COM-144</v>
      </c>
      <c r="F196" s="213" t="str">
        <f>IFERROR(__xludf.DUMMYFUNCTION("""COMPUTED_VALUE"""),"COM-144")</f>
        <v>COM-144</v>
      </c>
      <c r="G196" s="213"/>
      <c r="H196" s="213" t="str">
        <f>IFERROR(__xludf.DUMMYFUNCTION("""COMPUTED_VALUE"""),"DESCASCARILLADOR")</f>
        <v>DESCASCARILLADOR</v>
      </c>
      <c r="I196" s="213" t="str">
        <f>IFERROR(__xludf.DUMMYFUNCTION("""COMPUTED_VALUE"""),"· Fabricado en acero inoxidable 304.
· Respaldo de goma en la mariposa de ajuste y fijación.
· Posee tolva y disco demoledor.
· Peso aproximado: 5,5 kg.
· Medidas aproximadas: 34 cm de largo; 16 cm de ancho y 42 cm de alto.
. Incluye funda protectora impe"&amp;"rmeable para su almacenamiento.")</f>
        <v>· Fabricado en acero inoxidable 304.
· Respaldo de goma en la mariposa de ajuste y fijación.
· Posee tolva y disco demoledor.
· Peso aproximado: 5,5 kg.
· Medidas aproximadas: 34 cm de largo; 16 cm de ancho y 42 cm de alto.
. Incluye funda protectora impermeable para su almacenamiento.</v>
      </c>
      <c r="J196" s="213">
        <f>IFERROR(__xludf.DUMMYFUNCTION("""COMPUTED_VALUE"""),3.0)</f>
        <v>3</v>
      </c>
      <c r="K196" s="213" t="str">
        <f>IFERROR(__xludf.DUMMYFUNCTION("""COMPUTED_VALUE"""),"90 DÍAS CALENDARIO")</f>
        <v>90 DÍAS CALENDARIO</v>
      </c>
      <c r="L196" s="213" t="str">
        <f>IFERROR(__xludf.DUMMYFUNCTION("""COMPUTED_VALUE"""),"")</f>
        <v/>
      </c>
      <c r="M196" s="213">
        <f>IFERROR(__xludf.DUMMYFUNCTION("""COMPUTED_VALUE"""),1.0)</f>
        <v>1</v>
      </c>
      <c r="N196" s="213">
        <f>IFERROR(__xludf.DUMMYFUNCTION("""COMPUTED_VALUE"""),1.0)</f>
        <v>1</v>
      </c>
      <c r="O196" s="213">
        <f>IFERROR(__xludf.DUMMYFUNCTION("""COMPUTED_VALUE"""),1.0)</f>
        <v>1</v>
      </c>
      <c r="P196" s="213"/>
      <c r="Q196" s="213"/>
      <c r="R196" s="213"/>
      <c r="S196" s="213"/>
      <c r="T196" s="213" t="str">
        <f>IFERROR(__xludf.DUMMYFUNCTION("""COMPUTED_VALUE"""),"SI")</f>
        <v>SI</v>
      </c>
      <c r="U196" s="213" t="str">
        <f>IFERROR(__xludf.DUMMYFUNCTION("""COMPUTED_VALUE"""),"SI")</f>
        <v>SI</v>
      </c>
      <c r="V196" s="213" t="str">
        <f>IFERROR(__xludf.DUMMYFUNCTION("""COMPUTED_VALUE"""),"-")</f>
        <v>-</v>
      </c>
      <c r="W196" s="213" t="str">
        <f>IFERROR(__xludf.DUMMYFUNCTION("""COMPUTED_VALUE"""),"-")</f>
        <v>-</v>
      </c>
      <c r="X196" s="213" t="str">
        <f>IFERROR(__xludf.DUMMYFUNCTION("""COMPUTED_VALUE"""),"INDPOOOR")</f>
        <v>INDPOOOR</v>
      </c>
      <c r="Y196" s="213" t="str">
        <f>IFERROR(__xludf.DUMMYFUNCTION("""COMPUTED_VALUE"""),"Molinillo de grano manual profesional, Molino de grano de manivela manual, Molinillo de trigo de acero inoxidable 304, Molinillo de maíz de mango de madera, Molinillo de café manual")</f>
        <v>Molinillo de grano manual profesional, Molino de grano de manivela manual, Molinillo de trigo de acero inoxidable 304, Molinillo de maíz de mango de madera, Molinillo de café manual</v>
      </c>
      <c r="Z196" s="215" t="str">
        <f>IFERROR(__xludf.DUMMYFUNCTION("""COMPUTED_VALUE"""),"https://www.amazon.com/-/es/INDPOOOR-Molinillo-profesional-manivela-inoxidable/dp/B0B65KJJSV")</f>
        <v>https://www.amazon.com/-/es/INDPOOOR-Molinillo-profesional-manivela-inoxidable/dp/B0B65KJJSV</v>
      </c>
      <c r="AA196" s="213" t="str">
        <f>IFERROR(__xludf.DUMMYFUNCTION("""COMPUTED_VALUE"""),"COM-144 DESCASCARILLADOR - CET")</f>
        <v>COM-144 DESCASCARILLADOR - CET</v>
      </c>
      <c r="AB196" s="213"/>
      <c r="AC196" s="213"/>
      <c r="AD196" s="213"/>
      <c r="AE196" s="213"/>
      <c r="AF196" s="213"/>
      <c r="AG196" s="213"/>
      <c r="AH196" s="213"/>
      <c r="AI196" s="213"/>
      <c r="AJ196" s="213"/>
      <c r="AK196" s="213"/>
      <c r="AL196" s="213"/>
      <c r="AM196" s="213"/>
      <c r="AN196" s="213"/>
      <c r="AO196" s="213"/>
      <c r="AP196" s="213" t="str">
        <f>IFERROR(__xludf.DUMMYFUNCTION("""COMPUTED_VALUE"""),"BRUNO")</f>
        <v>BRUNO</v>
      </c>
      <c r="AQ196" s="213" t="str">
        <f>IFERROR(__xludf.DUMMYFUNCTION("""COMPUTED_VALUE"""),"FUNDA IMPERMEABLE")</f>
        <v>FUNDA IMPERMEABLE</v>
      </c>
      <c r="AR196" s="213"/>
      <c r="AS196" s="213"/>
      <c r="AT196" s="213"/>
      <c r="AU196" s="213"/>
      <c r="AV196" s="213"/>
      <c r="AW196" s="213"/>
      <c r="AX196" s="213"/>
      <c r="AY196" s="213"/>
      <c r="AZ196" s="213"/>
      <c r="BA196" s="213"/>
      <c r="BB196" s="213"/>
      <c r="BC196" s="213"/>
      <c r="BD196" s="213"/>
    </row>
    <row r="197">
      <c r="A197" s="213">
        <f>IFERROR(__xludf.DUMMYFUNCTION("""COMPUTED_VALUE"""),2113.0)</f>
        <v>2113</v>
      </c>
      <c r="B197" s="213" t="str">
        <f>IFERROR(__xludf.DUMMYFUNCTION("""COMPUTED_VALUE"""),"JOSE GRANDA")</f>
        <v>JOSE GRANDA</v>
      </c>
      <c r="C197" s="213" t="str">
        <f>IFERROR(__xludf.DUMMYFUNCTION("""COMPUTED_VALUE"""),"TALLER SFT DE INDUSTRIA ALIMENTARIA")</f>
        <v>TALLER SFT DE INDUSTRIA ALIMENTARIA</v>
      </c>
      <c r="D197" s="213" t="str">
        <f>IFERROR(__xludf.DUMMYFUNCTION("""COMPUTED_VALUE"""),"HERRAMIENTAS")</f>
        <v>HERRAMIENTAS</v>
      </c>
      <c r="E197" s="213" t="str">
        <f>IFERROR(__xludf.DUMMYFUNCTION("""COMPUTED_VALUE"""),"COM-144")</f>
        <v>COM-144</v>
      </c>
      <c r="F197" s="213" t="str">
        <f>IFERROR(__xludf.DUMMYFUNCTION("""COMPUTED_VALUE"""),"COM-144")</f>
        <v>COM-144</v>
      </c>
      <c r="G197" s="213"/>
      <c r="H197" s="213" t="str">
        <f>IFERROR(__xludf.DUMMYFUNCTION("""COMPUTED_VALUE"""),"DESCASCARILLADOR")</f>
        <v>DESCASCARILLADOR</v>
      </c>
      <c r="I197" s="213" t="str">
        <f>IFERROR(__xludf.DUMMYFUNCTION("""COMPUTED_VALUE"""),"· Fabricado en acero inoxidable 304.
· Respaldo de goma en la mariposa de ajuste y fijación.
· Posee tolva y disco demoledor.
· Peso aproximado: 5,5 kg.
· Medidas aproximadas: 34 cm de largo; 16 cm de ancho y 42 cm de alto.
. Incluye funda protectora impe"&amp;"rmeable para su almacenamiento.")</f>
        <v>· Fabricado en acero inoxidable 304.
· Respaldo de goma en la mariposa de ajuste y fijación.
· Posee tolva y disco demoledor.
· Peso aproximado: 5,5 kg.
· Medidas aproximadas: 34 cm de largo; 16 cm de ancho y 42 cm de alto.
. Incluye funda protectora impermeable para su almacenamiento.</v>
      </c>
      <c r="J197" s="213">
        <f>IFERROR(__xludf.DUMMYFUNCTION("""COMPUTED_VALUE"""),3.0)</f>
        <v>3</v>
      </c>
      <c r="K197" s="213" t="str">
        <f>IFERROR(__xludf.DUMMYFUNCTION("""COMPUTED_VALUE"""),"90 DÍAS CALENDARIO")</f>
        <v>90 DÍAS CALENDARIO</v>
      </c>
      <c r="L197" s="213" t="str">
        <f>IFERROR(__xludf.DUMMYFUNCTION("""COMPUTED_VALUE"""),"")</f>
        <v/>
      </c>
      <c r="M197" s="213">
        <f>IFERROR(__xludf.DUMMYFUNCTION("""COMPUTED_VALUE"""),1.0)</f>
        <v>1</v>
      </c>
      <c r="N197" s="213">
        <f>IFERROR(__xludf.DUMMYFUNCTION("""COMPUTED_VALUE"""),1.0)</f>
        <v>1</v>
      </c>
      <c r="O197" s="213">
        <f>IFERROR(__xludf.DUMMYFUNCTION("""COMPUTED_VALUE"""),1.0)</f>
        <v>1</v>
      </c>
      <c r="P197" s="213"/>
      <c r="Q197" s="213"/>
      <c r="R197" s="213"/>
      <c r="S197" s="213"/>
      <c r="T197" s="213" t="str">
        <f>IFERROR(__xludf.DUMMYFUNCTION("""COMPUTED_VALUE"""),"SI")</f>
        <v>SI</v>
      </c>
      <c r="U197" s="213" t="str">
        <f>IFERROR(__xludf.DUMMYFUNCTION("""COMPUTED_VALUE"""),"SI")</f>
        <v>SI</v>
      </c>
      <c r="V197" s="213" t="str">
        <f>IFERROR(__xludf.DUMMYFUNCTION("""COMPUTED_VALUE"""),"-")</f>
        <v>-</v>
      </c>
      <c r="W197" s="213" t="str">
        <f>IFERROR(__xludf.DUMMYFUNCTION("""COMPUTED_VALUE"""),"-")</f>
        <v>-</v>
      </c>
      <c r="X197" s="213" t="str">
        <f>IFERROR(__xludf.DUMMYFUNCTION("""COMPUTED_VALUE"""),"INDPOOOR")</f>
        <v>INDPOOOR</v>
      </c>
      <c r="Y197" s="213" t="str">
        <f>IFERROR(__xludf.DUMMYFUNCTION("""COMPUTED_VALUE"""),"Molinillo de grano manual profesional, Molino de grano de manivela manual, Molinillo de trigo de acero inoxidable 304, Molinillo de maíz de mango de madera, Molinillo de café manual")</f>
        <v>Molinillo de grano manual profesional, Molino de grano de manivela manual, Molinillo de trigo de acero inoxidable 304, Molinillo de maíz de mango de madera, Molinillo de café manual</v>
      </c>
      <c r="Z197" s="215" t="str">
        <f>IFERROR(__xludf.DUMMYFUNCTION("""COMPUTED_VALUE"""),"https://www.amazon.com/-/es/INDPOOOR-Molinillo-profesional-manivela-inoxidable/dp/B0B65KJJSV")</f>
        <v>https://www.amazon.com/-/es/INDPOOOR-Molinillo-profesional-manivela-inoxidable/dp/B0B65KJJSV</v>
      </c>
      <c r="AA197" s="213" t="str">
        <f>IFERROR(__xludf.DUMMYFUNCTION("""COMPUTED_VALUE"""),"COM-144 DESCASCARILLADOR - CET")</f>
        <v>COM-144 DESCASCARILLADOR - CET</v>
      </c>
      <c r="AB197" s="213"/>
      <c r="AC197" s="213"/>
      <c r="AD197" s="213"/>
      <c r="AE197" s="213"/>
      <c r="AF197" s="213"/>
      <c r="AG197" s="213"/>
      <c r="AH197" s="213"/>
      <c r="AI197" s="213"/>
      <c r="AJ197" s="213"/>
      <c r="AK197" s="213"/>
      <c r="AL197" s="213"/>
      <c r="AM197" s="213"/>
      <c r="AN197" s="213"/>
      <c r="AO197" s="213"/>
      <c r="AP197" s="213" t="str">
        <f>IFERROR(__xludf.DUMMYFUNCTION("""COMPUTED_VALUE"""),"BRUNO")</f>
        <v>BRUNO</v>
      </c>
      <c r="AQ197" s="213" t="str">
        <f>IFERROR(__xludf.DUMMYFUNCTION("""COMPUTED_VALUE"""),"FUNDA IMPERMEABLE")</f>
        <v>FUNDA IMPERMEABLE</v>
      </c>
      <c r="AR197" s="213"/>
      <c r="AS197" s="213"/>
      <c r="AT197" s="213"/>
      <c r="AU197" s="213"/>
      <c r="AV197" s="213"/>
      <c r="AW197" s="213"/>
      <c r="AX197" s="213"/>
      <c r="AY197" s="213"/>
      <c r="AZ197" s="213"/>
      <c r="BA197" s="213"/>
      <c r="BB197" s="213"/>
      <c r="BC197" s="213"/>
      <c r="BD197" s="213"/>
    </row>
    <row r="198">
      <c r="A198" s="213">
        <f>IFERROR(__xludf.DUMMYFUNCTION("""COMPUTED_VALUE"""),440.0)</f>
        <v>440</v>
      </c>
      <c r="B198" s="213" t="str">
        <f>IFERROR(__xludf.DUMMYFUNCTION("""COMPUTED_VALUE"""),"2026 SIMON BOLIVAR")</f>
        <v>2026 SIMON BOLIVAR</v>
      </c>
      <c r="C198" s="213" t="str">
        <f>IFERROR(__xludf.DUMMYFUNCTION("""COMPUTED_VALUE"""),"TALLER SFT DE INDUSTRIA ALIMENTARIA")</f>
        <v>TALLER SFT DE INDUSTRIA ALIMENTARIA</v>
      </c>
      <c r="D198" s="213" t="str">
        <f>IFERROR(__xludf.DUMMYFUNCTION("""COMPUTED_VALUE"""),"EQUIPOS")</f>
        <v>EQUIPOS</v>
      </c>
      <c r="E198" s="213" t="str">
        <f>IFERROR(__xludf.DUMMYFUNCTION("""COMPUTED_VALUE"""),"COM-145")</f>
        <v>COM-145</v>
      </c>
      <c r="F198" s="213" t="str">
        <f>IFERROR(__xludf.DUMMYFUNCTION("""COMPUTED_VALUE"""),"COM-145")</f>
        <v>COM-145</v>
      </c>
      <c r="G198" s="213"/>
      <c r="H198" s="213" t="str">
        <f>IFERROR(__xludf.DUMMYFUNCTION("""COMPUTED_VALUE"""),"DESCREMADORA MANUAL")</f>
        <v>DESCREMADORA MANUAL</v>
      </c>
      <c r="I198" s="213" t="str">
        <f>IFERROR(__xludf.DUMMYFUNCTION("""COMPUTED_VALUE"""),"· Material tolva y turbina: Aluminio procesado sanitario
· Material estructura: Aluminio pintado al horno
· Número De Discos Del Tambor: 12 unid.
· Rotación del tambor: 10,500
· Máximo contenido de grasa en leche descremada: 0.05%
· Capacidad máxima de re"&amp;"ceptor o tolva: 12 Litros
· Medidas arpoximadas:  L20 cm x A20 cm x H50 cm
· Diámetro de tambor mínimo 30cm
. Incluye funda protectora impermeable para su almacenamiento.")</f>
        <v>· Material tolva y turbina: Aluminio procesado sanitario
· Material estructura: Aluminio pintado al horno
· Número De Discos Del Tambor: 12 unid.
· Rotación del tambor: 10,500
· Máximo contenido de grasa en leche descremada: 0.05%
· Capacidad máxima de receptor o tolva: 12 Litros
· Medidas arpoximadas:  L20 cm x A20 cm x H50 cm
· Diámetro de tambor mínimo 30cm
. Incluye funda protectora impermeable para su almacenamiento.</v>
      </c>
      <c r="J198" s="213">
        <f>IFERROR(__xludf.DUMMYFUNCTION("""COMPUTED_VALUE"""),3.0)</f>
        <v>3</v>
      </c>
      <c r="K198" s="213" t="str">
        <f>IFERROR(__xludf.DUMMYFUNCTION("""COMPUTED_VALUE"""),"90 DÍAS CALENDARIO")</f>
        <v>90 DÍAS CALENDARIO</v>
      </c>
      <c r="L198" s="213" t="str">
        <f>IFERROR(__xludf.DUMMYFUNCTION("""COMPUTED_VALUE"""),"")</f>
        <v/>
      </c>
      <c r="M198" s="213">
        <f>IFERROR(__xludf.DUMMYFUNCTION("""COMPUTED_VALUE"""),1.0)</f>
        <v>1</v>
      </c>
      <c r="N198" s="213">
        <f>IFERROR(__xludf.DUMMYFUNCTION("""COMPUTED_VALUE"""),1.0)</f>
        <v>1</v>
      </c>
      <c r="O198" s="213">
        <f>IFERROR(__xludf.DUMMYFUNCTION("""COMPUTED_VALUE"""),1.0)</f>
        <v>1</v>
      </c>
      <c r="P198" s="213"/>
      <c r="Q198" s="213"/>
      <c r="R198" s="213" t="str">
        <f>IFERROR(__xludf.DUMMYFUNCTION("""COMPUTED_VALUE"""),"SI")</f>
        <v>SI</v>
      </c>
      <c r="S198" s="213"/>
      <c r="T198" s="213" t="str">
        <f>IFERROR(__xludf.DUMMYFUNCTION("""COMPUTED_VALUE"""),"SI")</f>
        <v>SI</v>
      </c>
      <c r="U198" s="213" t="str">
        <f>IFERROR(__xludf.DUMMYFUNCTION("""COMPUTED_VALUE"""),"SI")</f>
        <v>SI</v>
      </c>
      <c r="V198" s="213" t="str">
        <f>IFERROR(__xludf.DUMMYFUNCTION("""COMPUTED_VALUE"""),"-")</f>
        <v>-</v>
      </c>
      <c r="W198" s="213" t="str">
        <f>IFERROR(__xludf.DUMMYFUNCTION("""COMPUTED_VALUE"""),"-")</f>
        <v>-</v>
      </c>
      <c r="X198" s="213" t="str">
        <f>IFERROR(__xludf.DUMMYFUNCTION("""COMPUTED_VALUE"""),"SICH")</f>
        <v>SICH</v>
      </c>
      <c r="Y198" s="213" t="str">
        <f>IFERROR(__xludf.DUMMYFUNCTION("""COMPUTED_VALUE"""),"SCM-80")</f>
        <v>SCM-80</v>
      </c>
      <c r="Z198" s="215" t="str">
        <f>IFERROR(__xludf.DUMMYFUNCTION("""COMPUTED_VALUE"""),"https://boxa.com.pe/lacteos/descremador-de-leche-electrica-de-110-litros/")</f>
        <v>https://boxa.com.pe/lacteos/descremador-de-leche-electrica-de-110-litros/</v>
      </c>
      <c r="AA198" s="213" t="str">
        <f>IFERROR(__xludf.DUMMYFUNCTION("""COMPUTED_VALUE"""),"COM-145 DESCREMADORA MANUAL - CET")</f>
        <v>COM-145 DESCREMADORA MANUAL - CET</v>
      </c>
      <c r="AB198" s="215" t="str">
        <f>IFERROR(__xludf.DUMMYFUNCTION("""COMPUTED_VALUE"""),"https://boxa.com.pe/lacteos/descremador-de-leche-electrica-de-110-litros/")</f>
        <v>https://boxa.com.pe/lacteos/descremador-de-leche-electrica-de-110-litros/</v>
      </c>
      <c r="AC198" s="215" t="str">
        <f>IFERROR(__xludf.DUMMYFUNCTION("""COMPUTED_VALUE"""),"https://drive.google.com/file/d/1-FTtmelmqzHqjN5pzPye6Z2vNHmMphwU/view?usp=sharing")</f>
        <v>https://drive.google.com/file/d/1-FTtmelmqzHqjN5pzPye6Z2vNHmMphwU/view?usp=sharing</v>
      </c>
      <c r="AD198" s="213"/>
      <c r="AE198" s="213"/>
      <c r="AF198" s="213"/>
      <c r="AG198" s="213"/>
      <c r="AH198" s="213" t="str">
        <f>IFERROR(__xludf.DUMMYFUNCTION("""COMPUTED_VALUE"""),"NACIONAL")</f>
        <v>NACIONAL</v>
      </c>
      <c r="AI198" s="213"/>
      <c r="AJ198" s="213"/>
      <c r="AK198" s="213"/>
      <c r="AL198" s="213"/>
      <c r="AM198" s="213"/>
      <c r="AN198" s="213"/>
      <c r="AO198" s="213"/>
      <c r="AP198" s="213" t="str">
        <f>IFERROR(__xludf.DUMMYFUNCTION("""COMPUTED_VALUE"""),"LUIS")</f>
        <v>LUIS</v>
      </c>
      <c r="AQ198" s="213"/>
      <c r="AR198" s="213"/>
      <c r="AS198" s="213"/>
      <c r="AT198" s="213"/>
      <c r="AU198" s="213"/>
      <c r="AV198" s="213"/>
      <c r="AW198" s="213"/>
      <c r="AX198" s="213"/>
      <c r="AY198" s="213"/>
      <c r="AZ198" s="213"/>
      <c r="BA198" s="213"/>
      <c r="BB198" s="213"/>
      <c r="BC198" s="213"/>
      <c r="BD198" s="213"/>
    </row>
    <row r="199">
      <c r="A199" s="213">
        <f>IFERROR(__xludf.DUMMYFUNCTION("""COMPUTED_VALUE"""),1070.0)</f>
        <v>1070</v>
      </c>
      <c r="B199" s="213" t="str">
        <f>IFERROR(__xludf.DUMMYFUNCTION("""COMPUTED_VALUE"""),"FRANCISCO IRAZOLA")</f>
        <v>FRANCISCO IRAZOLA</v>
      </c>
      <c r="C199" s="213" t="str">
        <f>IFERROR(__xludf.DUMMYFUNCTION("""COMPUTED_VALUE"""),"TALLER SFT DE INDUSTRIA ALIMENTARIA")</f>
        <v>TALLER SFT DE INDUSTRIA ALIMENTARIA</v>
      </c>
      <c r="D199" s="213" t="str">
        <f>IFERROR(__xludf.DUMMYFUNCTION("""COMPUTED_VALUE"""),"EQUIPOS")</f>
        <v>EQUIPOS</v>
      </c>
      <c r="E199" s="213" t="str">
        <f>IFERROR(__xludf.DUMMYFUNCTION("""COMPUTED_VALUE"""),"COM-145")</f>
        <v>COM-145</v>
      </c>
      <c r="F199" s="213" t="str">
        <f>IFERROR(__xludf.DUMMYFUNCTION("""COMPUTED_VALUE"""),"COM-145")</f>
        <v>COM-145</v>
      </c>
      <c r="G199" s="213"/>
      <c r="H199" s="213" t="str">
        <f>IFERROR(__xludf.DUMMYFUNCTION("""COMPUTED_VALUE"""),"DESCREMADORA MANUAL")</f>
        <v>DESCREMADORA MANUAL</v>
      </c>
      <c r="I199" s="213" t="str">
        <f>IFERROR(__xludf.DUMMYFUNCTION("""COMPUTED_VALUE"""),"· Material tolva y turbina: Aluminio procesado sanitario
· Material estructura: Aluminio pintado al horno
· Número De Discos Del Tambor: 12 unid.
· Rotación del tambor: 10,500
· Máximo contenido de grasa en leche descremada: 0.05%
· Capacidad máxima de re"&amp;"ceptor o tolva: 12 Litros
· Medidas arpoximadas:  L20 cm x A20 cm x H50 cm
· Diámetro de tambor mínimo 30cm
. Incluye funda protectora impermeable para su almacenamiento.")</f>
        <v>· Material tolva y turbina: Aluminio procesado sanitario
· Material estructura: Aluminio pintado al horno
· Número De Discos Del Tambor: 12 unid.
· Rotación del tambor: 10,500
· Máximo contenido de grasa en leche descremada: 0.05%
· Capacidad máxima de receptor o tolva: 12 Litros
· Medidas arpoximadas:  L20 cm x A20 cm x H50 cm
· Diámetro de tambor mínimo 30cm
. Incluye funda protectora impermeable para su almacenamiento.</v>
      </c>
      <c r="J199" s="213">
        <f>IFERROR(__xludf.DUMMYFUNCTION("""COMPUTED_VALUE"""),3.0)</f>
        <v>3</v>
      </c>
      <c r="K199" s="213" t="str">
        <f>IFERROR(__xludf.DUMMYFUNCTION("""COMPUTED_VALUE"""),"90 DÍAS CALENDARIO")</f>
        <v>90 DÍAS CALENDARIO</v>
      </c>
      <c r="L199" s="213" t="str">
        <f>IFERROR(__xludf.DUMMYFUNCTION("""COMPUTED_VALUE"""),"")</f>
        <v/>
      </c>
      <c r="M199" s="213">
        <f>IFERROR(__xludf.DUMMYFUNCTION("""COMPUTED_VALUE"""),1.0)</f>
        <v>1</v>
      </c>
      <c r="N199" s="213">
        <f>IFERROR(__xludf.DUMMYFUNCTION("""COMPUTED_VALUE"""),1.0)</f>
        <v>1</v>
      </c>
      <c r="O199" s="213">
        <f>IFERROR(__xludf.DUMMYFUNCTION("""COMPUTED_VALUE"""),1.0)</f>
        <v>1</v>
      </c>
      <c r="P199" s="213"/>
      <c r="Q199" s="213"/>
      <c r="R199" s="213" t="str">
        <f>IFERROR(__xludf.DUMMYFUNCTION("""COMPUTED_VALUE"""),"SI")</f>
        <v>SI</v>
      </c>
      <c r="S199" s="213"/>
      <c r="T199" s="213" t="str">
        <f>IFERROR(__xludf.DUMMYFUNCTION("""COMPUTED_VALUE"""),"SI")</f>
        <v>SI</v>
      </c>
      <c r="U199" s="213" t="str">
        <f>IFERROR(__xludf.DUMMYFUNCTION("""COMPUTED_VALUE"""),"SI")</f>
        <v>SI</v>
      </c>
      <c r="V199" s="213" t="str">
        <f>IFERROR(__xludf.DUMMYFUNCTION("""COMPUTED_VALUE"""),"-")</f>
        <v>-</v>
      </c>
      <c r="W199" s="213" t="str">
        <f>IFERROR(__xludf.DUMMYFUNCTION("""COMPUTED_VALUE"""),"-")</f>
        <v>-</v>
      </c>
      <c r="X199" s="213" t="str">
        <f>IFERROR(__xludf.DUMMYFUNCTION("""COMPUTED_VALUE"""),"SICH")</f>
        <v>SICH</v>
      </c>
      <c r="Y199" s="213" t="str">
        <f>IFERROR(__xludf.DUMMYFUNCTION("""COMPUTED_VALUE"""),"SCM-80")</f>
        <v>SCM-80</v>
      </c>
      <c r="Z199" s="215" t="str">
        <f>IFERROR(__xludf.DUMMYFUNCTION("""COMPUTED_VALUE"""),"https://boxa.com.pe/lacteos/descremador-de-leche-electrica-de-110-litros/")</f>
        <v>https://boxa.com.pe/lacteos/descremador-de-leche-electrica-de-110-litros/</v>
      </c>
      <c r="AA199" s="213" t="str">
        <f>IFERROR(__xludf.DUMMYFUNCTION("""COMPUTED_VALUE"""),"COM-145 DESCREMADORA MANUAL - CET")</f>
        <v>COM-145 DESCREMADORA MANUAL - CET</v>
      </c>
      <c r="AB199" s="215" t="str">
        <f>IFERROR(__xludf.DUMMYFUNCTION("""COMPUTED_VALUE"""),"https://boxa.com.pe/lacteos/descremador-de-leche-electrica-de-110-litros/")</f>
        <v>https://boxa.com.pe/lacteos/descremador-de-leche-electrica-de-110-litros/</v>
      </c>
      <c r="AC199" s="215" t="str">
        <f>IFERROR(__xludf.DUMMYFUNCTION("""COMPUTED_VALUE"""),"https://drive.google.com/file/d/1-FTtmelmqzHqjN5pzPye6Z2vNHmMphwU/view?usp=sharing")</f>
        <v>https://drive.google.com/file/d/1-FTtmelmqzHqjN5pzPye6Z2vNHmMphwU/view?usp=sharing</v>
      </c>
      <c r="AD199" s="213"/>
      <c r="AE199" s="213"/>
      <c r="AF199" s="213"/>
      <c r="AG199" s="213"/>
      <c r="AH199" s="213" t="str">
        <f>IFERROR(__xludf.DUMMYFUNCTION("""COMPUTED_VALUE"""),"NACIONAL")</f>
        <v>NACIONAL</v>
      </c>
      <c r="AI199" s="213"/>
      <c r="AJ199" s="213"/>
      <c r="AK199" s="213"/>
      <c r="AL199" s="213"/>
      <c r="AM199" s="213"/>
      <c r="AN199" s="213"/>
      <c r="AO199" s="213"/>
      <c r="AP199" s="213" t="str">
        <f>IFERROR(__xludf.DUMMYFUNCTION("""COMPUTED_VALUE"""),"LUIS")</f>
        <v>LUIS</v>
      </c>
      <c r="AQ199" s="213"/>
      <c r="AR199" s="213"/>
      <c r="AS199" s="213"/>
      <c r="AT199" s="213"/>
      <c r="AU199" s="213"/>
      <c r="AV199" s="213"/>
      <c r="AW199" s="213"/>
      <c r="AX199" s="213"/>
      <c r="AY199" s="213"/>
      <c r="AZ199" s="213"/>
      <c r="BA199" s="213"/>
      <c r="BB199" s="213"/>
      <c r="BC199" s="213"/>
      <c r="BD199" s="213"/>
    </row>
    <row r="200">
      <c r="A200" s="213">
        <f>IFERROR(__xludf.DUMMYFUNCTION("""COMPUTED_VALUE"""),1346.0)</f>
        <v>1346</v>
      </c>
      <c r="B200" s="213" t="str">
        <f>IFERROR(__xludf.DUMMYFUNCTION("""COMPUTED_VALUE"""),"GUILLERMO E. BILLINGHURST ")</f>
        <v>GUILLERMO E. BILLINGHURST </v>
      </c>
      <c r="C200" s="213" t="str">
        <f>IFERROR(__xludf.DUMMYFUNCTION("""COMPUTED_VALUE"""),"TALLER SFT DE INDUSTRIA ALIMENTARIA")</f>
        <v>TALLER SFT DE INDUSTRIA ALIMENTARIA</v>
      </c>
      <c r="D200" s="213" t="str">
        <f>IFERROR(__xludf.DUMMYFUNCTION("""COMPUTED_VALUE"""),"EQUIPOS")</f>
        <v>EQUIPOS</v>
      </c>
      <c r="E200" s="213" t="str">
        <f>IFERROR(__xludf.DUMMYFUNCTION("""COMPUTED_VALUE"""),"COM-145")</f>
        <v>COM-145</v>
      </c>
      <c r="F200" s="213" t="str">
        <f>IFERROR(__xludf.DUMMYFUNCTION("""COMPUTED_VALUE"""),"COM-145")</f>
        <v>COM-145</v>
      </c>
      <c r="G200" s="213"/>
      <c r="H200" s="213" t="str">
        <f>IFERROR(__xludf.DUMMYFUNCTION("""COMPUTED_VALUE"""),"DESCREMADORA MANUAL")</f>
        <v>DESCREMADORA MANUAL</v>
      </c>
      <c r="I200" s="213" t="str">
        <f>IFERROR(__xludf.DUMMYFUNCTION("""COMPUTED_VALUE"""),"· Material tolva y turbina: Aluminio procesado sanitario
· Material estructura: Aluminio pintado al horno
· Número De Discos Del Tambor: 12 unid.
· Rotación del tambor: 10,500
· Máximo contenido de grasa en leche descremada: 0.05%
· Capacidad máxima de re"&amp;"ceptor o tolva: 12 Litros
· Medidas arpoximadas:  L20 cm x A20 cm x H50 cm
· Diámetro de tambor mínimo 30cm
. Incluye funda protectora impermeable para su almacenamiento.")</f>
        <v>· Material tolva y turbina: Aluminio procesado sanitario
· Material estructura: Aluminio pintado al horno
· Número De Discos Del Tambor: 12 unid.
· Rotación del tambor: 10,500
· Máximo contenido de grasa en leche descremada: 0.05%
· Capacidad máxima de receptor o tolva: 12 Litros
· Medidas arpoximadas:  L20 cm x A20 cm x H50 cm
· Diámetro de tambor mínimo 30cm
. Incluye funda protectora impermeable para su almacenamiento.</v>
      </c>
      <c r="J200" s="213">
        <f>IFERROR(__xludf.DUMMYFUNCTION("""COMPUTED_VALUE"""),3.0)</f>
        <v>3</v>
      </c>
      <c r="K200" s="213" t="str">
        <f>IFERROR(__xludf.DUMMYFUNCTION("""COMPUTED_VALUE"""),"90 DÍAS CALENDARIO")</f>
        <v>90 DÍAS CALENDARIO</v>
      </c>
      <c r="L200" s="213" t="str">
        <f>IFERROR(__xludf.DUMMYFUNCTION("""COMPUTED_VALUE"""),"")</f>
        <v/>
      </c>
      <c r="M200" s="213">
        <f>IFERROR(__xludf.DUMMYFUNCTION("""COMPUTED_VALUE"""),1.0)</f>
        <v>1</v>
      </c>
      <c r="N200" s="213">
        <f>IFERROR(__xludf.DUMMYFUNCTION("""COMPUTED_VALUE"""),1.0)</f>
        <v>1</v>
      </c>
      <c r="O200" s="213">
        <f>IFERROR(__xludf.DUMMYFUNCTION("""COMPUTED_VALUE"""),1.0)</f>
        <v>1</v>
      </c>
      <c r="P200" s="213"/>
      <c r="Q200" s="213"/>
      <c r="R200" s="213" t="str">
        <f>IFERROR(__xludf.DUMMYFUNCTION("""COMPUTED_VALUE"""),"SI")</f>
        <v>SI</v>
      </c>
      <c r="S200" s="213"/>
      <c r="T200" s="213" t="str">
        <f>IFERROR(__xludf.DUMMYFUNCTION("""COMPUTED_VALUE"""),"SI")</f>
        <v>SI</v>
      </c>
      <c r="U200" s="213" t="str">
        <f>IFERROR(__xludf.DUMMYFUNCTION("""COMPUTED_VALUE"""),"SI")</f>
        <v>SI</v>
      </c>
      <c r="V200" s="213" t="str">
        <f>IFERROR(__xludf.DUMMYFUNCTION("""COMPUTED_VALUE"""),"-")</f>
        <v>-</v>
      </c>
      <c r="W200" s="213" t="str">
        <f>IFERROR(__xludf.DUMMYFUNCTION("""COMPUTED_VALUE"""),"-")</f>
        <v>-</v>
      </c>
      <c r="X200" s="213" t="str">
        <f>IFERROR(__xludf.DUMMYFUNCTION("""COMPUTED_VALUE"""),"SICH")</f>
        <v>SICH</v>
      </c>
      <c r="Y200" s="213" t="str">
        <f>IFERROR(__xludf.DUMMYFUNCTION("""COMPUTED_VALUE"""),"SCM-80")</f>
        <v>SCM-80</v>
      </c>
      <c r="Z200" s="215" t="str">
        <f>IFERROR(__xludf.DUMMYFUNCTION("""COMPUTED_VALUE"""),"https://boxa.com.pe/lacteos/descremador-de-leche-electrica-de-110-litros/")</f>
        <v>https://boxa.com.pe/lacteos/descremador-de-leche-electrica-de-110-litros/</v>
      </c>
      <c r="AA200" s="213" t="str">
        <f>IFERROR(__xludf.DUMMYFUNCTION("""COMPUTED_VALUE"""),"COM-145 DESCREMADORA MANUAL - CET")</f>
        <v>COM-145 DESCREMADORA MANUAL - CET</v>
      </c>
      <c r="AB200" s="215" t="str">
        <f>IFERROR(__xludf.DUMMYFUNCTION("""COMPUTED_VALUE"""),"https://boxa.com.pe/lacteos/descremador-de-leche-electrica-de-110-litros/")</f>
        <v>https://boxa.com.pe/lacteos/descremador-de-leche-electrica-de-110-litros/</v>
      </c>
      <c r="AC200" s="215" t="str">
        <f>IFERROR(__xludf.DUMMYFUNCTION("""COMPUTED_VALUE"""),"https://drive.google.com/file/d/1-FTtmelmqzHqjN5pzPye6Z2vNHmMphwU/view?usp=sharing")</f>
        <v>https://drive.google.com/file/d/1-FTtmelmqzHqjN5pzPye6Z2vNHmMphwU/view?usp=sharing</v>
      </c>
      <c r="AD200" s="213"/>
      <c r="AE200" s="213"/>
      <c r="AF200" s="213"/>
      <c r="AG200" s="213"/>
      <c r="AH200" s="213" t="str">
        <f>IFERROR(__xludf.DUMMYFUNCTION("""COMPUTED_VALUE"""),"NACIONAL")</f>
        <v>NACIONAL</v>
      </c>
      <c r="AI200" s="213"/>
      <c r="AJ200" s="213"/>
      <c r="AK200" s="213"/>
      <c r="AL200" s="213"/>
      <c r="AM200" s="213"/>
      <c r="AN200" s="213"/>
      <c r="AO200" s="213"/>
      <c r="AP200" s="213" t="str">
        <f>IFERROR(__xludf.DUMMYFUNCTION("""COMPUTED_VALUE"""),"LUIS")</f>
        <v>LUIS</v>
      </c>
      <c r="AQ200" s="213"/>
      <c r="AR200" s="213"/>
      <c r="AS200" s="213"/>
      <c r="AT200" s="213"/>
      <c r="AU200" s="213"/>
      <c r="AV200" s="213"/>
      <c r="AW200" s="213"/>
      <c r="AX200" s="213"/>
      <c r="AY200" s="213"/>
      <c r="AZ200" s="213"/>
      <c r="BA200" s="213"/>
      <c r="BB200" s="213"/>
      <c r="BC200" s="213"/>
      <c r="BD200" s="213"/>
    </row>
    <row r="201">
      <c r="A201" s="213">
        <f>IFERROR(__xludf.DUMMYFUNCTION("""COMPUTED_VALUE"""),2030.0)</f>
        <v>2030</v>
      </c>
      <c r="B201" s="213" t="str">
        <f>IFERROR(__xludf.DUMMYFUNCTION("""COMPUTED_VALUE"""),"JOSE GRANDA")</f>
        <v>JOSE GRANDA</v>
      </c>
      <c r="C201" s="213" t="str">
        <f>IFERROR(__xludf.DUMMYFUNCTION("""COMPUTED_VALUE"""),"TALLER SFT DE INDUSTRIA ALIMENTARIA")</f>
        <v>TALLER SFT DE INDUSTRIA ALIMENTARIA</v>
      </c>
      <c r="D201" s="213" t="str">
        <f>IFERROR(__xludf.DUMMYFUNCTION("""COMPUTED_VALUE"""),"EQUIPOS")</f>
        <v>EQUIPOS</v>
      </c>
      <c r="E201" s="213" t="str">
        <f>IFERROR(__xludf.DUMMYFUNCTION("""COMPUTED_VALUE"""),"COM-145")</f>
        <v>COM-145</v>
      </c>
      <c r="F201" s="213" t="str">
        <f>IFERROR(__xludf.DUMMYFUNCTION("""COMPUTED_VALUE"""),"COM-145")</f>
        <v>COM-145</v>
      </c>
      <c r="G201" s="213"/>
      <c r="H201" s="213" t="str">
        <f>IFERROR(__xludf.DUMMYFUNCTION("""COMPUTED_VALUE"""),"DESCREMADORA MANUAL")</f>
        <v>DESCREMADORA MANUAL</v>
      </c>
      <c r="I201" s="213" t="str">
        <f>IFERROR(__xludf.DUMMYFUNCTION("""COMPUTED_VALUE"""),"· Material tolva y turbina: Aluminio procesado sanitario
· Material estructura: Aluminio pintado al horno
· Número De Discos Del Tambor: 12 unid.
· Rotación del tambor: 10,500
· Máximo contenido de grasa en leche descremada: 0.05%
· Capacidad máxima de re"&amp;"ceptor o tolva: 12 Litros
· Medidas arpoximadas:  L20 cm x A20 cm x H50 cm
· Diámetro de tambor mínimo 30cm
. Incluye funda protectora impermeable para su almacenamiento.")</f>
        <v>· Material tolva y turbina: Aluminio procesado sanitario
· Material estructura: Aluminio pintado al horno
· Número De Discos Del Tambor: 12 unid.
· Rotación del tambor: 10,500
· Máximo contenido de grasa en leche descremada: 0.05%
· Capacidad máxima de receptor o tolva: 12 Litros
· Medidas arpoximadas:  L20 cm x A20 cm x H50 cm
· Diámetro de tambor mínimo 30cm
. Incluye funda protectora impermeable para su almacenamiento.</v>
      </c>
      <c r="J201" s="213">
        <f>IFERROR(__xludf.DUMMYFUNCTION("""COMPUTED_VALUE"""),3.0)</f>
        <v>3</v>
      </c>
      <c r="K201" s="213" t="str">
        <f>IFERROR(__xludf.DUMMYFUNCTION("""COMPUTED_VALUE"""),"90 DÍAS CALENDARIO")</f>
        <v>90 DÍAS CALENDARIO</v>
      </c>
      <c r="L201" s="213" t="str">
        <f>IFERROR(__xludf.DUMMYFUNCTION("""COMPUTED_VALUE"""),"")</f>
        <v/>
      </c>
      <c r="M201" s="213">
        <f>IFERROR(__xludf.DUMMYFUNCTION("""COMPUTED_VALUE"""),1.0)</f>
        <v>1</v>
      </c>
      <c r="N201" s="213">
        <f>IFERROR(__xludf.DUMMYFUNCTION("""COMPUTED_VALUE"""),1.0)</f>
        <v>1</v>
      </c>
      <c r="O201" s="213">
        <f>IFERROR(__xludf.DUMMYFUNCTION("""COMPUTED_VALUE"""),1.0)</f>
        <v>1</v>
      </c>
      <c r="P201" s="213"/>
      <c r="Q201" s="213"/>
      <c r="R201" s="213" t="str">
        <f>IFERROR(__xludf.DUMMYFUNCTION("""COMPUTED_VALUE"""),"SI")</f>
        <v>SI</v>
      </c>
      <c r="S201" s="213"/>
      <c r="T201" s="213" t="str">
        <f>IFERROR(__xludf.DUMMYFUNCTION("""COMPUTED_VALUE"""),"SI")</f>
        <v>SI</v>
      </c>
      <c r="U201" s="213" t="str">
        <f>IFERROR(__xludf.DUMMYFUNCTION("""COMPUTED_VALUE"""),"SI")</f>
        <v>SI</v>
      </c>
      <c r="V201" s="213" t="str">
        <f>IFERROR(__xludf.DUMMYFUNCTION("""COMPUTED_VALUE"""),"-")</f>
        <v>-</v>
      </c>
      <c r="W201" s="213" t="str">
        <f>IFERROR(__xludf.DUMMYFUNCTION("""COMPUTED_VALUE"""),"-")</f>
        <v>-</v>
      </c>
      <c r="X201" s="213" t="str">
        <f>IFERROR(__xludf.DUMMYFUNCTION("""COMPUTED_VALUE"""),"SICH")</f>
        <v>SICH</v>
      </c>
      <c r="Y201" s="213" t="str">
        <f>IFERROR(__xludf.DUMMYFUNCTION("""COMPUTED_VALUE"""),"SCM-80")</f>
        <v>SCM-80</v>
      </c>
      <c r="Z201" s="215" t="str">
        <f>IFERROR(__xludf.DUMMYFUNCTION("""COMPUTED_VALUE"""),"https://boxa.com.pe/lacteos/descremador-de-leche-electrica-de-110-litros/")</f>
        <v>https://boxa.com.pe/lacteos/descremador-de-leche-electrica-de-110-litros/</v>
      </c>
      <c r="AA201" s="213" t="str">
        <f>IFERROR(__xludf.DUMMYFUNCTION("""COMPUTED_VALUE"""),"COM-145 DESCREMADORA MANUAL - CET")</f>
        <v>COM-145 DESCREMADORA MANUAL - CET</v>
      </c>
      <c r="AB201" s="215" t="str">
        <f>IFERROR(__xludf.DUMMYFUNCTION("""COMPUTED_VALUE"""),"https://boxa.com.pe/lacteos/descremador-de-leche-electrica-de-110-litros/")</f>
        <v>https://boxa.com.pe/lacteos/descremador-de-leche-electrica-de-110-litros/</v>
      </c>
      <c r="AC201" s="215" t="str">
        <f>IFERROR(__xludf.DUMMYFUNCTION("""COMPUTED_VALUE"""),"https://drive.google.com/file/d/1-FTtmelmqzHqjN5pzPye6Z2vNHmMphwU/view?usp=sharing")</f>
        <v>https://drive.google.com/file/d/1-FTtmelmqzHqjN5pzPye6Z2vNHmMphwU/view?usp=sharing</v>
      </c>
      <c r="AD201" s="213"/>
      <c r="AE201" s="213"/>
      <c r="AF201" s="213"/>
      <c r="AG201" s="213"/>
      <c r="AH201" s="213" t="str">
        <f>IFERROR(__xludf.DUMMYFUNCTION("""COMPUTED_VALUE"""),"NACIONAL")</f>
        <v>NACIONAL</v>
      </c>
      <c r="AI201" s="213"/>
      <c r="AJ201" s="213"/>
      <c r="AK201" s="213"/>
      <c r="AL201" s="213"/>
      <c r="AM201" s="213"/>
      <c r="AN201" s="213"/>
      <c r="AO201" s="213"/>
      <c r="AP201" s="213" t="str">
        <f>IFERROR(__xludf.DUMMYFUNCTION("""COMPUTED_VALUE"""),"LUIS")</f>
        <v>LUIS</v>
      </c>
      <c r="AQ201" s="213"/>
      <c r="AR201" s="213"/>
      <c r="AS201" s="213"/>
      <c r="AT201" s="213"/>
      <c r="AU201" s="213"/>
      <c r="AV201" s="213"/>
      <c r="AW201" s="213"/>
      <c r="AX201" s="213"/>
      <c r="AY201" s="213"/>
      <c r="AZ201" s="213"/>
      <c r="BA201" s="213"/>
      <c r="BB201" s="213"/>
      <c r="BC201" s="213"/>
      <c r="BD201" s="213"/>
    </row>
    <row r="202">
      <c r="A202" s="213">
        <f>IFERROR(__xludf.DUMMYFUNCTION("""COMPUTED_VALUE"""),428.0)</f>
        <v>428</v>
      </c>
      <c r="B202" s="213" t="str">
        <f>IFERROR(__xludf.DUMMYFUNCTION("""COMPUTED_VALUE"""),"2026 SIMON BOLIVAR")</f>
        <v>2026 SIMON BOLIVAR</v>
      </c>
      <c r="C202" s="213" t="str">
        <f>IFERROR(__xludf.DUMMYFUNCTION("""COMPUTED_VALUE"""),"TALLER SFT DE INDUSTRIA ALIMENTARIA")</f>
        <v>TALLER SFT DE INDUSTRIA ALIMENTARIA</v>
      </c>
      <c r="D202" s="213" t="str">
        <f>IFERROR(__xludf.DUMMYFUNCTION("""COMPUTED_VALUE"""),"HERRAMIENTAS")</f>
        <v>HERRAMIENTAS</v>
      </c>
      <c r="E202" s="213" t="str">
        <f>IFERROR(__xludf.DUMMYFUNCTION("""COMPUTED_VALUE"""),"COM-146")</f>
        <v>COM-146</v>
      </c>
      <c r="F202" s="213" t="str">
        <f>IFERROR(__xludf.DUMMYFUNCTION("""COMPUTED_VALUE"""),"COM-146")</f>
        <v>COM-146</v>
      </c>
      <c r="G202" s="213"/>
      <c r="H202" s="213" t="str">
        <f>IFERROR(__xludf.DUMMYFUNCTION("""COMPUTED_VALUE"""),"DESPULPADORA MANUAL DE FRUTAS")</f>
        <v>DESPULPADORA MANUAL DE FRUTAS</v>
      </c>
      <c r="I202" s="213" t="str">
        <f>IFERROR(__xludf.DUMMYFUNCTION("""COMPUTED_VALUE"""),"· Gusano y cuerpo del artefacto hecho en hierro fundido estañado
· Tolva y colector en acero inoxidable
· Especialmente diseñada para procesar las frutas, separa las semillas, la cáscara y la pulpa.
· Capacidad diseñada para trabajar con frutas desde 1Kg
"&amp;"* Incluye funda protectora impermeable para su almacenamiento.")</f>
        <v>· Gusano y cuerpo del artefacto hecho en hierro fundido estañado
· Tolva y colector en acero inoxidable
· Especialmente diseñada para procesar las frutas, separa las semillas, la cáscara y la pulpa.
· Capacidad diseñada para trabajar con frutas desde 1Kg
* Incluye funda protectora impermeable para su almacenamiento.</v>
      </c>
      <c r="J202" s="213">
        <f>IFERROR(__xludf.DUMMYFUNCTION("""COMPUTED_VALUE"""),3.0)</f>
        <v>3</v>
      </c>
      <c r="K202" s="213" t="str">
        <f>IFERROR(__xludf.DUMMYFUNCTION("""COMPUTED_VALUE"""),"90 DÍAS CALENDARIO")</f>
        <v>90 DÍAS CALENDARIO</v>
      </c>
      <c r="L202" s="213" t="str">
        <f>IFERROR(__xludf.DUMMYFUNCTION("""COMPUTED_VALUE"""),"")</f>
        <v/>
      </c>
      <c r="M202" s="213">
        <f>IFERROR(__xludf.DUMMYFUNCTION("""COMPUTED_VALUE"""),1.0)</f>
        <v>1</v>
      </c>
      <c r="N202" s="213">
        <f>IFERROR(__xludf.DUMMYFUNCTION("""COMPUTED_VALUE"""),1.0)</f>
        <v>1</v>
      </c>
      <c r="O202" s="213">
        <f>IFERROR(__xludf.DUMMYFUNCTION("""COMPUTED_VALUE"""),1.0)</f>
        <v>1</v>
      </c>
      <c r="P202" s="213"/>
      <c r="Q202" s="213"/>
      <c r="R202" s="213" t="str">
        <f>IFERROR(__xludf.DUMMYFUNCTION("""COMPUTED_VALUE"""),"SI")</f>
        <v>SI</v>
      </c>
      <c r="S202" s="213"/>
      <c r="T202" s="213" t="str">
        <f>IFERROR(__xludf.DUMMYFUNCTION("""COMPUTED_VALUE"""),"SI")</f>
        <v>SI</v>
      </c>
      <c r="U202" s="213" t="str">
        <f>IFERROR(__xludf.DUMMYFUNCTION("""COMPUTED_VALUE"""),"SI")</f>
        <v>SI</v>
      </c>
      <c r="V202" s="213" t="str">
        <f>IFERROR(__xludf.DUMMYFUNCTION("""COMPUTED_VALUE"""),"-")</f>
        <v>-</v>
      </c>
      <c r="W202" s="213" t="str">
        <f>IFERROR(__xludf.DUMMYFUNCTION("""COMPUTED_VALUE"""),"-")</f>
        <v>-</v>
      </c>
      <c r="X202" s="213" t="str">
        <f>IFERROR(__xludf.DUMMYFUNCTION("""COMPUTED_VALUE"""),"SACS")</f>
        <v>SACS</v>
      </c>
      <c r="Y202" s="213" t="str">
        <f>IFERROR(__xludf.DUMMYFUNCTION("""COMPUTED_VALUE"""),"SACS")</f>
        <v>SACS</v>
      </c>
      <c r="Z202" s="215" t="str">
        <f>IFERROR(__xludf.DUMMYFUNCTION("""COMPUTED_VALUE"""),"https://sacsparisoutlet.com/producto-p-838265.html")</f>
        <v>https://sacsparisoutlet.com/producto-p-838265.html</v>
      </c>
      <c r="AA202" s="213" t="str">
        <f>IFERROR(__xludf.DUMMYFUNCTION("""COMPUTED_VALUE"""),"COM-146 DESPULPADORA MANUAL DE FRUTAS - CET")</f>
        <v>COM-146 DESPULPADORA MANUAL DE FRUTAS - CET</v>
      </c>
      <c r="AB202" s="215" t="str">
        <f>IFERROR(__xludf.DUMMYFUNCTION("""COMPUTED_VALUE"""),"https://drive.google.com/file/d/18sqYJRmianGBRLxMt5saYwcB72knb0QG/view?usp=sharing")</f>
        <v>https://drive.google.com/file/d/18sqYJRmianGBRLxMt5saYwcB72knb0QG/view?usp=sharing</v>
      </c>
      <c r="AC202" s="215" t="str">
        <f>IFERROR(__xludf.DUMMYFUNCTION("""COMPUTED_VALUE"""),"https://drive.google.com/file/d/18sqYJRmianGBRLxMt5saYwcB72knb0QG/view?usp=sharing")</f>
        <v>https://drive.google.com/file/d/18sqYJRmianGBRLxMt5saYwcB72knb0QG/view?usp=sharing</v>
      </c>
      <c r="AD202" s="213"/>
      <c r="AE202" s="213"/>
      <c r="AF202" s="213"/>
      <c r="AG202" s="213"/>
      <c r="AH202" s="213" t="str">
        <f>IFERROR(__xludf.DUMMYFUNCTION("""COMPUTED_VALUE"""),"IMPORTADO")</f>
        <v>IMPORTADO</v>
      </c>
      <c r="AI202" s="213"/>
      <c r="AJ202" s="213"/>
      <c r="AK202" s="213"/>
      <c r="AL202" s="213"/>
      <c r="AM202" s="213"/>
      <c r="AN202" s="213"/>
      <c r="AO202" s="213"/>
      <c r="AP202" s="213" t="str">
        <f>IFERROR(__xludf.DUMMYFUNCTION("""COMPUTED_VALUE"""),"LUIS")</f>
        <v>LUIS</v>
      </c>
      <c r="AQ202" s="213" t="str">
        <f>IFERROR(__xludf.DUMMYFUNCTION("""COMPUTED_VALUE"""),"Es de acero inoxidable todo el equipo")</f>
        <v>Es de acero inoxidable todo el equipo</v>
      </c>
      <c r="AR202" s="213"/>
      <c r="AS202" s="213" t="str">
        <f>IFERROR(__xludf.DUMMYFUNCTION("""COMPUTED_VALUE"""),"COMPRAR FUNDA")</f>
        <v>COMPRAR FUNDA</v>
      </c>
      <c r="AT202" s="213"/>
      <c r="AU202" s="213"/>
      <c r="AV202" s="213"/>
      <c r="AW202" s="213"/>
      <c r="AX202" s="213"/>
      <c r="AY202" s="213"/>
      <c r="AZ202" s="213"/>
      <c r="BA202" s="213"/>
      <c r="BB202" s="213"/>
      <c r="BC202" s="213"/>
      <c r="BD202" s="213"/>
    </row>
    <row r="203">
      <c r="A203" s="213">
        <f>IFERROR(__xludf.DUMMYFUNCTION("""COMPUTED_VALUE"""),1058.0)</f>
        <v>1058</v>
      </c>
      <c r="B203" s="213" t="str">
        <f>IFERROR(__xludf.DUMMYFUNCTION("""COMPUTED_VALUE"""),"FRANCISCO IRAZOLA")</f>
        <v>FRANCISCO IRAZOLA</v>
      </c>
      <c r="C203" s="213" t="str">
        <f>IFERROR(__xludf.DUMMYFUNCTION("""COMPUTED_VALUE"""),"TALLER SFT DE INDUSTRIA ALIMENTARIA")</f>
        <v>TALLER SFT DE INDUSTRIA ALIMENTARIA</v>
      </c>
      <c r="D203" s="213" t="str">
        <f>IFERROR(__xludf.DUMMYFUNCTION("""COMPUTED_VALUE"""),"HERRAMIENTAS")</f>
        <v>HERRAMIENTAS</v>
      </c>
      <c r="E203" s="213" t="str">
        <f>IFERROR(__xludf.DUMMYFUNCTION("""COMPUTED_VALUE"""),"COM-146")</f>
        <v>COM-146</v>
      </c>
      <c r="F203" s="213" t="str">
        <f>IFERROR(__xludf.DUMMYFUNCTION("""COMPUTED_VALUE"""),"COM-146")</f>
        <v>COM-146</v>
      </c>
      <c r="G203" s="213"/>
      <c r="H203" s="213" t="str">
        <f>IFERROR(__xludf.DUMMYFUNCTION("""COMPUTED_VALUE"""),"DESPULPADORA MANUAL DE FRUTAS")</f>
        <v>DESPULPADORA MANUAL DE FRUTAS</v>
      </c>
      <c r="I203" s="213" t="str">
        <f>IFERROR(__xludf.DUMMYFUNCTION("""COMPUTED_VALUE"""),"· Gusano y cuerpo del artefacto hecho en hierro fundido estañado
· Tolva y colector en acero inoxidable
· Especialmente diseñada para procesar las frutas, separa las semillas, la cáscara y la pulpa.
· Capacidad diseñada para trabajar con frutas desde 1Kg
"&amp;"* Incluye funda protectora impermeable para su almacenamiento.")</f>
        <v>· Gusano y cuerpo del artefacto hecho en hierro fundido estañado
· Tolva y colector en acero inoxidable
· Especialmente diseñada para procesar las frutas, separa las semillas, la cáscara y la pulpa.
· Capacidad diseñada para trabajar con frutas desde 1Kg
* Incluye funda protectora impermeable para su almacenamiento.</v>
      </c>
      <c r="J203" s="213">
        <f>IFERROR(__xludf.DUMMYFUNCTION("""COMPUTED_VALUE"""),3.0)</f>
        <v>3</v>
      </c>
      <c r="K203" s="213" t="str">
        <f>IFERROR(__xludf.DUMMYFUNCTION("""COMPUTED_VALUE"""),"90 DÍAS CALENDARIO")</f>
        <v>90 DÍAS CALENDARIO</v>
      </c>
      <c r="L203" s="213" t="str">
        <f>IFERROR(__xludf.DUMMYFUNCTION("""COMPUTED_VALUE"""),"")</f>
        <v/>
      </c>
      <c r="M203" s="213">
        <f>IFERROR(__xludf.DUMMYFUNCTION("""COMPUTED_VALUE"""),1.0)</f>
        <v>1</v>
      </c>
      <c r="N203" s="213">
        <f>IFERROR(__xludf.DUMMYFUNCTION("""COMPUTED_VALUE"""),1.0)</f>
        <v>1</v>
      </c>
      <c r="O203" s="213">
        <f>IFERROR(__xludf.DUMMYFUNCTION("""COMPUTED_VALUE"""),1.0)</f>
        <v>1</v>
      </c>
      <c r="P203" s="213"/>
      <c r="Q203" s="213"/>
      <c r="R203" s="213" t="str">
        <f>IFERROR(__xludf.DUMMYFUNCTION("""COMPUTED_VALUE"""),"SI")</f>
        <v>SI</v>
      </c>
      <c r="S203" s="213"/>
      <c r="T203" s="213" t="str">
        <f>IFERROR(__xludf.DUMMYFUNCTION("""COMPUTED_VALUE"""),"SI")</f>
        <v>SI</v>
      </c>
      <c r="U203" s="213" t="str">
        <f>IFERROR(__xludf.DUMMYFUNCTION("""COMPUTED_VALUE"""),"SI")</f>
        <v>SI</v>
      </c>
      <c r="V203" s="213" t="str">
        <f>IFERROR(__xludf.DUMMYFUNCTION("""COMPUTED_VALUE"""),"-")</f>
        <v>-</v>
      </c>
      <c r="W203" s="213" t="str">
        <f>IFERROR(__xludf.DUMMYFUNCTION("""COMPUTED_VALUE"""),"-")</f>
        <v>-</v>
      </c>
      <c r="X203" s="213" t="str">
        <f>IFERROR(__xludf.DUMMYFUNCTION("""COMPUTED_VALUE"""),"SACS")</f>
        <v>SACS</v>
      </c>
      <c r="Y203" s="213" t="str">
        <f>IFERROR(__xludf.DUMMYFUNCTION("""COMPUTED_VALUE"""),"SACS")</f>
        <v>SACS</v>
      </c>
      <c r="Z203" s="215" t="str">
        <f>IFERROR(__xludf.DUMMYFUNCTION("""COMPUTED_VALUE"""),"https://sacsparisoutlet.com/producto-p-838265.html")</f>
        <v>https://sacsparisoutlet.com/producto-p-838265.html</v>
      </c>
      <c r="AA203" s="213" t="str">
        <f>IFERROR(__xludf.DUMMYFUNCTION("""COMPUTED_VALUE"""),"COM-146 DESPULPADORA MANUAL DE FRUTAS - CET")</f>
        <v>COM-146 DESPULPADORA MANUAL DE FRUTAS - CET</v>
      </c>
      <c r="AB203" s="215" t="str">
        <f>IFERROR(__xludf.DUMMYFUNCTION("""COMPUTED_VALUE"""),"https://drive.google.com/file/d/18sqYJRmianGBRLxMt5saYwcB72knb0QG/view?usp=sharing")</f>
        <v>https://drive.google.com/file/d/18sqYJRmianGBRLxMt5saYwcB72knb0QG/view?usp=sharing</v>
      </c>
      <c r="AC203" s="215" t="str">
        <f>IFERROR(__xludf.DUMMYFUNCTION("""COMPUTED_VALUE"""),"https://drive.google.com/file/d/18sqYJRmianGBRLxMt5saYwcB72knb0QG/view?usp=sharing")</f>
        <v>https://drive.google.com/file/d/18sqYJRmianGBRLxMt5saYwcB72knb0QG/view?usp=sharing</v>
      </c>
      <c r="AD203" s="213"/>
      <c r="AE203" s="213"/>
      <c r="AF203" s="213"/>
      <c r="AG203" s="213"/>
      <c r="AH203" s="213" t="str">
        <f>IFERROR(__xludf.DUMMYFUNCTION("""COMPUTED_VALUE"""),"IMPORTADO")</f>
        <v>IMPORTADO</v>
      </c>
      <c r="AI203" s="213"/>
      <c r="AJ203" s="213"/>
      <c r="AK203" s="213"/>
      <c r="AL203" s="213"/>
      <c r="AM203" s="213"/>
      <c r="AN203" s="213"/>
      <c r="AO203" s="213"/>
      <c r="AP203" s="213" t="str">
        <f>IFERROR(__xludf.DUMMYFUNCTION("""COMPUTED_VALUE"""),"LUIS")</f>
        <v>LUIS</v>
      </c>
      <c r="AQ203" s="213" t="str">
        <f>IFERROR(__xludf.DUMMYFUNCTION("""COMPUTED_VALUE"""),"Es de acero inoxidable todo el equipo")</f>
        <v>Es de acero inoxidable todo el equipo</v>
      </c>
      <c r="AR203" s="213"/>
      <c r="AS203" s="213" t="str">
        <f>IFERROR(__xludf.DUMMYFUNCTION("""COMPUTED_VALUE"""),"COMPRAR FUNDA")</f>
        <v>COMPRAR FUNDA</v>
      </c>
      <c r="AT203" s="213"/>
      <c r="AU203" s="213"/>
      <c r="AV203" s="213"/>
      <c r="AW203" s="213"/>
      <c r="AX203" s="213"/>
      <c r="AY203" s="213"/>
      <c r="AZ203" s="213"/>
      <c r="BA203" s="213"/>
      <c r="BB203" s="213"/>
      <c r="BC203" s="213"/>
      <c r="BD203" s="213"/>
    </row>
    <row r="204">
      <c r="A204" s="213">
        <f>IFERROR(__xludf.DUMMYFUNCTION("""COMPUTED_VALUE"""),1336.0)</f>
        <v>1336</v>
      </c>
      <c r="B204" s="213" t="str">
        <f>IFERROR(__xludf.DUMMYFUNCTION("""COMPUTED_VALUE"""),"GUILLERMO E. BILLINGHURST ")</f>
        <v>GUILLERMO E. BILLINGHURST </v>
      </c>
      <c r="C204" s="213" t="str">
        <f>IFERROR(__xludf.DUMMYFUNCTION("""COMPUTED_VALUE"""),"TALLER SFT DE INDUSTRIA ALIMENTARIA")</f>
        <v>TALLER SFT DE INDUSTRIA ALIMENTARIA</v>
      </c>
      <c r="D204" s="213" t="str">
        <f>IFERROR(__xludf.DUMMYFUNCTION("""COMPUTED_VALUE"""),"HERRAMIENTAS")</f>
        <v>HERRAMIENTAS</v>
      </c>
      <c r="E204" s="213" t="str">
        <f>IFERROR(__xludf.DUMMYFUNCTION("""COMPUTED_VALUE"""),"COM-146")</f>
        <v>COM-146</v>
      </c>
      <c r="F204" s="213" t="str">
        <f>IFERROR(__xludf.DUMMYFUNCTION("""COMPUTED_VALUE"""),"COM-146")</f>
        <v>COM-146</v>
      </c>
      <c r="G204" s="213"/>
      <c r="H204" s="213" t="str">
        <f>IFERROR(__xludf.DUMMYFUNCTION("""COMPUTED_VALUE"""),"DESPULPADORA MANUAL DE FRUTAS")</f>
        <v>DESPULPADORA MANUAL DE FRUTAS</v>
      </c>
      <c r="I204" s="213" t="str">
        <f>IFERROR(__xludf.DUMMYFUNCTION("""COMPUTED_VALUE"""),"· Gusano y cuerpo del artefacto hecho en hierro fundido estañado
· Tolva y colector en acero inoxidable
· Especialmente diseñada para procesar las frutas, separa las semillas, la cáscara y la pulpa.
· Capacidad diseñada para trabajar con frutas desde 1Kg
"&amp;"* Incluye funda protectora impermeable para su almacenamiento.")</f>
        <v>· Gusano y cuerpo del artefacto hecho en hierro fundido estañado
· Tolva y colector en acero inoxidable
· Especialmente diseñada para procesar las frutas, separa las semillas, la cáscara y la pulpa.
· Capacidad diseñada para trabajar con frutas desde 1Kg
* Incluye funda protectora impermeable para su almacenamiento.</v>
      </c>
      <c r="J204" s="213">
        <f>IFERROR(__xludf.DUMMYFUNCTION("""COMPUTED_VALUE"""),3.0)</f>
        <v>3</v>
      </c>
      <c r="K204" s="213" t="str">
        <f>IFERROR(__xludf.DUMMYFUNCTION("""COMPUTED_VALUE"""),"90 DÍAS CALENDARIO")</f>
        <v>90 DÍAS CALENDARIO</v>
      </c>
      <c r="L204" s="213" t="str">
        <f>IFERROR(__xludf.DUMMYFUNCTION("""COMPUTED_VALUE"""),"")</f>
        <v/>
      </c>
      <c r="M204" s="213">
        <f>IFERROR(__xludf.DUMMYFUNCTION("""COMPUTED_VALUE"""),1.0)</f>
        <v>1</v>
      </c>
      <c r="N204" s="213">
        <f>IFERROR(__xludf.DUMMYFUNCTION("""COMPUTED_VALUE"""),1.0)</f>
        <v>1</v>
      </c>
      <c r="O204" s="213">
        <f>IFERROR(__xludf.DUMMYFUNCTION("""COMPUTED_VALUE"""),1.0)</f>
        <v>1</v>
      </c>
      <c r="P204" s="213"/>
      <c r="Q204" s="213"/>
      <c r="R204" s="213" t="str">
        <f>IFERROR(__xludf.DUMMYFUNCTION("""COMPUTED_VALUE"""),"SI")</f>
        <v>SI</v>
      </c>
      <c r="S204" s="213"/>
      <c r="T204" s="213" t="str">
        <f>IFERROR(__xludf.DUMMYFUNCTION("""COMPUTED_VALUE"""),"SI")</f>
        <v>SI</v>
      </c>
      <c r="U204" s="213" t="str">
        <f>IFERROR(__xludf.DUMMYFUNCTION("""COMPUTED_VALUE"""),"SI")</f>
        <v>SI</v>
      </c>
      <c r="V204" s="213" t="str">
        <f>IFERROR(__xludf.DUMMYFUNCTION("""COMPUTED_VALUE"""),"-")</f>
        <v>-</v>
      </c>
      <c r="W204" s="213" t="str">
        <f>IFERROR(__xludf.DUMMYFUNCTION("""COMPUTED_VALUE"""),"-")</f>
        <v>-</v>
      </c>
      <c r="X204" s="213" t="str">
        <f>IFERROR(__xludf.DUMMYFUNCTION("""COMPUTED_VALUE"""),"SACS")</f>
        <v>SACS</v>
      </c>
      <c r="Y204" s="213" t="str">
        <f>IFERROR(__xludf.DUMMYFUNCTION("""COMPUTED_VALUE"""),"SACS")</f>
        <v>SACS</v>
      </c>
      <c r="Z204" s="215" t="str">
        <f>IFERROR(__xludf.DUMMYFUNCTION("""COMPUTED_VALUE"""),"https://sacsparisoutlet.com/producto-p-838265.html")</f>
        <v>https://sacsparisoutlet.com/producto-p-838265.html</v>
      </c>
      <c r="AA204" s="213" t="str">
        <f>IFERROR(__xludf.DUMMYFUNCTION("""COMPUTED_VALUE"""),"COM-146 DESPULPADORA MANUAL DE FRUTAS - CET")</f>
        <v>COM-146 DESPULPADORA MANUAL DE FRUTAS - CET</v>
      </c>
      <c r="AB204" s="215" t="str">
        <f>IFERROR(__xludf.DUMMYFUNCTION("""COMPUTED_VALUE"""),"https://drive.google.com/file/d/18sqYJRmianGBRLxMt5saYwcB72knb0QG/view?usp=sharing")</f>
        <v>https://drive.google.com/file/d/18sqYJRmianGBRLxMt5saYwcB72knb0QG/view?usp=sharing</v>
      </c>
      <c r="AC204" s="215" t="str">
        <f>IFERROR(__xludf.DUMMYFUNCTION("""COMPUTED_VALUE"""),"https://drive.google.com/file/d/18sqYJRmianGBRLxMt5saYwcB72knb0QG/view?usp=sharing")</f>
        <v>https://drive.google.com/file/d/18sqYJRmianGBRLxMt5saYwcB72knb0QG/view?usp=sharing</v>
      </c>
      <c r="AD204" s="213"/>
      <c r="AE204" s="213"/>
      <c r="AF204" s="213"/>
      <c r="AG204" s="213"/>
      <c r="AH204" s="213" t="str">
        <f>IFERROR(__xludf.DUMMYFUNCTION("""COMPUTED_VALUE"""),"IMPORTADO")</f>
        <v>IMPORTADO</v>
      </c>
      <c r="AI204" s="213"/>
      <c r="AJ204" s="213"/>
      <c r="AK204" s="213"/>
      <c r="AL204" s="213"/>
      <c r="AM204" s="213"/>
      <c r="AN204" s="213"/>
      <c r="AO204" s="213"/>
      <c r="AP204" s="213" t="str">
        <f>IFERROR(__xludf.DUMMYFUNCTION("""COMPUTED_VALUE"""),"LUIS")</f>
        <v>LUIS</v>
      </c>
      <c r="AQ204" s="213" t="str">
        <f>IFERROR(__xludf.DUMMYFUNCTION("""COMPUTED_VALUE"""),"Es de acero inoxidable todo el equipo")</f>
        <v>Es de acero inoxidable todo el equipo</v>
      </c>
      <c r="AR204" s="213"/>
      <c r="AS204" s="213" t="str">
        <f>IFERROR(__xludf.DUMMYFUNCTION("""COMPUTED_VALUE"""),"COMPRAR FUNDA")</f>
        <v>COMPRAR FUNDA</v>
      </c>
      <c r="AT204" s="213"/>
      <c r="AU204" s="213"/>
      <c r="AV204" s="213"/>
      <c r="AW204" s="213"/>
      <c r="AX204" s="213"/>
      <c r="AY204" s="213"/>
      <c r="AZ204" s="213"/>
      <c r="BA204" s="213"/>
      <c r="BB204" s="213"/>
      <c r="BC204" s="213"/>
      <c r="BD204" s="213"/>
    </row>
    <row r="205">
      <c r="A205" s="213">
        <f>IFERROR(__xludf.DUMMYFUNCTION("""COMPUTED_VALUE"""),2017.0)</f>
        <v>2017</v>
      </c>
      <c r="B205" s="213" t="str">
        <f>IFERROR(__xludf.DUMMYFUNCTION("""COMPUTED_VALUE"""),"JOSE GRANDA")</f>
        <v>JOSE GRANDA</v>
      </c>
      <c r="C205" s="213" t="str">
        <f>IFERROR(__xludf.DUMMYFUNCTION("""COMPUTED_VALUE"""),"TALLER SFT DE INDUSTRIA ALIMENTARIA")</f>
        <v>TALLER SFT DE INDUSTRIA ALIMENTARIA</v>
      </c>
      <c r="D205" s="213" t="str">
        <f>IFERROR(__xludf.DUMMYFUNCTION("""COMPUTED_VALUE"""),"HERRAMIENTAS")</f>
        <v>HERRAMIENTAS</v>
      </c>
      <c r="E205" s="213" t="str">
        <f>IFERROR(__xludf.DUMMYFUNCTION("""COMPUTED_VALUE"""),"COM-146")</f>
        <v>COM-146</v>
      </c>
      <c r="F205" s="213" t="str">
        <f>IFERROR(__xludf.DUMMYFUNCTION("""COMPUTED_VALUE"""),"COM-146")</f>
        <v>COM-146</v>
      </c>
      <c r="G205" s="213"/>
      <c r="H205" s="213" t="str">
        <f>IFERROR(__xludf.DUMMYFUNCTION("""COMPUTED_VALUE"""),"DESPULPADORA MANUAL DE FRUTAS")</f>
        <v>DESPULPADORA MANUAL DE FRUTAS</v>
      </c>
      <c r="I205" s="213" t="str">
        <f>IFERROR(__xludf.DUMMYFUNCTION("""COMPUTED_VALUE"""),"· Gusano y cuerpo del artefacto hecho en hierro fundido estañado
· Tolva y colector en acero inoxidable
· Especialmente diseñada para procesar las frutas, separa las semillas, la cáscara y la pulpa.
· Capacidad diseñada para trabajar con frutas desde 1Kg
"&amp;"* Incluye funda protectora impermeable para su almacenamiento.")</f>
        <v>· Gusano y cuerpo del artefacto hecho en hierro fundido estañado
· Tolva y colector en acero inoxidable
· Especialmente diseñada para procesar las frutas, separa las semillas, la cáscara y la pulpa.
· Capacidad diseñada para trabajar con frutas desde 1Kg
* Incluye funda protectora impermeable para su almacenamiento.</v>
      </c>
      <c r="J205" s="213">
        <f>IFERROR(__xludf.DUMMYFUNCTION("""COMPUTED_VALUE"""),3.0)</f>
        <v>3</v>
      </c>
      <c r="K205" s="213" t="str">
        <f>IFERROR(__xludf.DUMMYFUNCTION("""COMPUTED_VALUE"""),"90 DÍAS CALENDARIO")</f>
        <v>90 DÍAS CALENDARIO</v>
      </c>
      <c r="L205" s="213" t="str">
        <f>IFERROR(__xludf.DUMMYFUNCTION("""COMPUTED_VALUE"""),"")</f>
        <v/>
      </c>
      <c r="M205" s="213">
        <f>IFERROR(__xludf.DUMMYFUNCTION("""COMPUTED_VALUE"""),1.0)</f>
        <v>1</v>
      </c>
      <c r="N205" s="213">
        <f>IFERROR(__xludf.DUMMYFUNCTION("""COMPUTED_VALUE"""),1.0)</f>
        <v>1</v>
      </c>
      <c r="O205" s="213">
        <f>IFERROR(__xludf.DUMMYFUNCTION("""COMPUTED_VALUE"""),1.0)</f>
        <v>1</v>
      </c>
      <c r="P205" s="213"/>
      <c r="Q205" s="213"/>
      <c r="R205" s="213" t="str">
        <f>IFERROR(__xludf.DUMMYFUNCTION("""COMPUTED_VALUE"""),"SI")</f>
        <v>SI</v>
      </c>
      <c r="S205" s="213"/>
      <c r="T205" s="213" t="str">
        <f>IFERROR(__xludf.DUMMYFUNCTION("""COMPUTED_VALUE"""),"SI")</f>
        <v>SI</v>
      </c>
      <c r="U205" s="213" t="str">
        <f>IFERROR(__xludf.DUMMYFUNCTION("""COMPUTED_VALUE"""),"SI")</f>
        <v>SI</v>
      </c>
      <c r="V205" s="213" t="str">
        <f>IFERROR(__xludf.DUMMYFUNCTION("""COMPUTED_VALUE"""),"-")</f>
        <v>-</v>
      </c>
      <c r="W205" s="213" t="str">
        <f>IFERROR(__xludf.DUMMYFUNCTION("""COMPUTED_VALUE"""),"-")</f>
        <v>-</v>
      </c>
      <c r="X205" s="213" t="str">
        <f>IFERROR(__xludf.DUMMYFUNCTION("""COMPUTED_VALUE"""),"SACS")</f>
        <v>SACS</v>
      </c>
      <c r="Y205" s="213" t="str">
        <f>IFERROR(__xludf.DUMMYFUNCTION("""COMPUTED_VALUE"""),"SACS")</f>
        <v>SACS</v>
      </c>
      <c r="Z205" s="215" t="str">
        <f>IFERROR(__xludf.DUMMYFUNCTION("""COMPUTED_VALUE"""),"https://sacsparisoutlet.com/producto-p-838265.html")</f>
        <v>https://sacsparisoutlet.com/producto-p-838265.html</v>
      </c>
      <c r="AA205" s="213" t="str">
        <f>IFERROR(__xludf.DUMMYFUNCTION("""COMPUTED_VALUE"""),"COM-146 DESPULPADORA MANUAL DE FRUTAS - CET")</f>
        <v>COM-146 DESPULPADORA MANUAL DE FRUTAS - CET</v>
      </c>
      <c r="AB205" s="215" t="str">
        <f>IFERROR(__xludf.DUMMYFUNCTION("""COMPUTED_VALUE"""),"https://drive.google.com/file/d/18sqYJRmianGBRLxMt5saYwcB72knb0QG/view?usp=sharing")</f>
        <v>https://drive.google.com/file/d/18sqYJRmianGBRLxMt5saYwcB72knb0QG/view?usp=sharing</v>
      </c>
      <c r="AC205" s="215" t="str">
        <f>IFERROR(__xludf.DUMMYFUNCTION("""COMPUTED_VALUE"""),"https://drive.google.com/file/d/18sqYJRmianGBRLxMt5saYwcB72knb0QG/view?usp=sharing")</f>
        <v>https://drive.google.com/file/d/18sqYJRmianGBRLxMt5saYwcB72knb0QG/view?usp=sharing</v>
      </c>
      <c r="AD205" s="213"/>
      <c r="AE205" s="213"/>
      <c r="AF205" s="213"/>
      <c r="AG205" s="213"/>
      <c r="AH205" s="213" t="str">
        <f>IFERROR(__xludf.DUMMYFUNCTION("""COMPUTED_VALUE"""),"IMPORTADO")</f>
        <v>IMPORTADO</v>
      </c>
      <c r="AI205" s="213"/>
      <c r="AJ205" s="213"/>
      <c r="AK205" s="213"/>
      <c r="AL205" s="213"/>
      <c r="AM205" s="213"/>
      <c r="AN205" s="213"/>
      <c r="AO205" s="213"/>
      <c r="AP205" s="213" t="str">
        <f>IFERROR(__xludf.DUMMYFUNCTION("""COMPUTED_VALUE"""),"LUIS")</f>
        <v>LUIS</v>
      </c>
      <c r="AQ205" s="213" t="str">
        <f>IFERROR(__xludf.DUMMYFUNCTION("""COMPUTED_VALUE"""),"Es de acero inoxidable todo el equipo")</f>
        <v>Es de acero inoxidable todo el equipo</v>
      </c>
      <c r="AR205" s="213"/>
      <c r="AS205" s="213" t="str">
        <f>IFERROR(__xludf.DUMMYFUNCTION("""COMPUTED_VALUE"""),"COMPRAR FUNDA")</f>
        <v>COMPRAR FUNDA</v>
      </c>
      <c r="AT205" s="213"/>
      <c r="AU205" s="213"/>
      <c r="AV205" s="213"/>
      <c r="AW205" s="213"/>
      <c r="AX205" s="213"/>
      <c r="AY205" s="213"/>
      <c r="AZ205" s="213"/>
      <c r="BA205" s="213"/>
      <c r="BB205" s="213"/>
      <c r="BC205" s="213"/>
      <c r="BD205" s="213"/>
    </row>
    <row r="206">
      <c r="A206" s="213">
        <f>IFERROR(__xludf.DUMMYFUNCTION("""COMPUTED_VALUE"""),1795.0)</f>
        <v>1795</v>
      </c>
      <c r="B206" s="213" t="str">
        <f>IFERROR(__xludf.DUMMYFUNCTION("""COMPUTED_VALUE"""),"GUILLERMO E. BILLINGHURST ")</f>
        <v>GUILLERMO E. BILLINGHURST </v>
      </c>
      <c r="C206" s="213" t="str">
        <f>IFERROR(__xludf.DUMMYFUNCTION("""COMPUTED_VALUE"""),"TALLER SFT DE EBANISTERÍA")</f>
        <v>TALLER SFT DE EBANISTERÍA</v>
      </c>
      <c r="D206" s="213" t="str">
        <f>IFERROR(__xludf.DUMMYFUNCTION("""COMPUTED_VALUE"""),"HERRAMIENTAS")</f>
        <v>HERRAMIENTAS</v>
      </c>
      <c r="E206" s="213" t="str">
        <f>IFERROR(__xludf.DUMMYFUNCTION("""COMPUTED_VALUE"""),"COM-147")</f>
        <v>COM-147</v>
      </c>
      <c r="F206" s="213" t="str">
        <f>IFERROR(__xludf.DUMMYFUNCTION("""COMPUTED_VALUE"""),"COM-147")</f>
        <v>COM-147</v>
      </c>
      <c r="G206" s="213"/>
      <c r="H206" s="213" t="str">
        <f>IFERROR(__xludf.DUMMYFUNCTION("""COMPUTED_VALUE"""),"DISCO DE SIERRA CIRCULAR")</f>
        <v>DISCO DE SIERRA CIRCULAR</v>
      </c>
      <c r="I206" s="213" t="str">
        <f>IFERROR(__xludf.DUMMYFUNCTION("""COMPUTED_VALUE"""),"Disco de acero al carbono templado generalmente provistos de ranuras de expansión y revestidos de teflon para reducir el calentamiento y evitar torceduras.
80 dientes
12"" de Diametro
Dientes con pastillas de carburo")</f>
        <v>Disco de acero al carbono templado generalmente provistos de ranuras de expansión y revestidos de teflon para reducir el calentamiento y evitar torceduras.
80 dientes
12" de Diametro
Dientes con pastillas de carburo</v>
      </c>
      <c r="J206" s="213">
        <f>IFERROR(__xludf.DUMMYFUNCTION("""COMPUTED_VALUE"""),3.0)</f>
        <v>3</v>
      </c>
      <c r="K206" s="213" t="str">
        <f>IFERROR(__xludf.DUMMYFUNCTION("""COMPUTED_VALUE"""),"90 DÍAS CALENDARIO")</f>
        <v>90 DÍAS CALENDARIO</v>
      </c>
      <c r="L206" s="213" t="str">
        <f>IFERROR(__xludf.DUMMYFUNCTION("""COMPUTED_VALUE"""),"")</f>
        <v/>
      </c>
      <c r="M206" s="213">
        <f>IFERROR(__xludf.DUMMYFUNCTION("""COMPUTED_VALUE"""),1.0)</f>
        <v>1</v>
      </c>
      <c r="N206" s="213">
        <f>IFERROR(__xludf.DUMMYFUNCTION("""COMPUTED_VALUE"""),2.0)</f>
        <v>2</v>
      </c>
      <c r="O206" s="213">
        <f>IFERROR(__xludf.DUMMYFUNCTION("""COMPUTED_VALUE"""),2.0)</f>
        <v>2</v>
      </c>
      <c r="P206" s="213"/>
      <c r="Q206" s="213"/>
      <c r="R206" s="213" t="str">
        <f>IFERROR(__xludf.DUMMYFUNCTION("""COMPUTED_VALUE"""),"SI")</f>
        <v>SI</v>
      </c>
      <c r="S206" s="213"/>
      <c r="T206" s="213" t="str">
        <f>IFERROR(__xludf.DUMMYFUNCTION("""COMPUTED_VALUE"""),"SI")</f>
        <v>SI</v>
      </c>
      <c r="U206" s="213" t="str">
        <f>IFERROR(__xludf.DUMMYFUNCTION("""COMPUTED_VALUE"""),"SI")</f>
        <v>SI</v>
      </c>
      <c r="V206" s="213" t="str">
        <f>IFERROR(__xludf.DUMMYFUNCTION("""COMPUTED_VALUE"""),"-")</f>
        <v>-</v>
      </c>
      <c r="W206" s="213" t="str">
        <f>IFERROR(__xludf.DUMMYFUNCTION("""COMPUTED_VALUE"""),"-")</f>
        <v>-</v>
      </c>
      <c r="X206" s="213" t="str">
        <f>IFERROR(__xludf.DUMMYFUNCTION("""COMPUTED_VALUE"""),"De Walt")</f>
        <v>De Walt</v>
      </c>
      <c r="Y206" s="213" t="str">
        <f>IFERROR(__xludf.DUMMYFUNCTION("""COMPUTED_VALUE"""),"DWA03230")</f>
        <v>DWA03230</v>
      </c>
      <c r="Z206" s="215" t="str">
        <f>IFERROR(__xludf.DUMMYFUNCTION("""COMPUTED_VALUE"""),"https://sodimac.falabella.com.pe/sodimac-pe/product/113093111/Disco-Sierra-de-12''-de-80-Dientes-Dewalt/113093118")</f>
        <v>https://sodimac.falabella.com.pe/sodimac-pe/product/113093111/Disco-Sierra-de-12''-de-80-Dientes-Dewalt/113093118</v>
      </c>
      <c r="AA206" s="213" t="str">
        <f>IFERROR(__xludf.DUMMYFUNCTION("""COMPUTED_VALUE"""),"COM-147 DISCO DE SIERRA CIRCULAR - CET")</f>
        <v>COM-147 DISCO DE SIERRA CIRCULAR - CET</v>
      </c>
      <c r="AB206" s="215" t="str">
        <f>IFERROR(__xludf.DUMMYFUNCTION("""COMPUTED_VALUE"""),"https://drive.google.com/file/d/1R0Ebt7C0HXIck5ynYzQIXVQy_Xdpa8i5/view?usp=sharing")</f>
        <v>https://drive.google.com/file/d/1R0Ebt7C0HXIck5ynYzQIXVQy_Xdpa8i5/view?usp=sharing</v>
      </c>
      <c r="AC206" s="215" t="str">
        <f>IFERROR(__xludf.DUMMYFUNCTION("""COMPUTED_VALUE"""),"https://drive.google.com/file/d/1R0Ebt7C0HXIck5ynYzQIXVQy_Xdpa8i5/view?usp=sharing")</f>
        <v>https://drive.google.com/file/d/1R0Ebt7C0HXIck5ynYzQIXVQy_Xdpa8i5/view?usp=sharing</v>
      </c>
      <c r="AD206" s="213"/>
      <c r="AE206" s="213"/>
      <c r="AF206" s="213"/>
      <c r="AG206" s="213"/>
      <c r="AH206" s="213" t="str">
        <f>IFERROR(__xludf.DUMMYFUNCTION("""COMPUTED_VALUE"""),"IMPORTADO")</f>
        <v>IMPORTADO</v>
      </c>
      <c r="AI206" s="213"/>
      <c r="AJ206" s="213"/>
      <c r="AK206" s="213"/>
      <c r="AL206" s="213"/>
      <c r="AM206" s="213"/>
      <c r="AN206" s="213"/>
      <c r="AO206" s="213"/>
      <c r="AP206" s="213" t="str">
        <f>IFERROR(__xludf.DUMMYFUNCTION("""COMPUTED_VALUE"""),"SEBASTIAN")</f>
        <v>SEBASTIAN</v>
      </c>
      <c r="AQ206" s="213"/>
      <c r="AR206" s="213"/>
      <c r="AS206" s="213" t="str">
        <f>IFERROR(__xludf.DUMMYFUNCTION("""COMPUTED_VALUE"""),"No está recubierto de teflón")</f>
        <v>No está recubierto de teflón</v>
      </c>
      <c r="AT206" s="213"/>
      <c r="AU206" s="213"/>
      <c r="AV206" s="213"/>
      <c r="AW206" s="213"/>
      <c r="AX206" s="213"/>
      <c r="AY206" s="213"/>
      <c r="AZ206" s="213"/>
      <c r="BA206" s="213"/>
      <c r="BB206" s="213"/>
      <c r="BC206" s="213"/>
      <c r="BD206" s="213"/>
    </row>
    <row r="207">
      <c r="A207" s="213">
        <f>IFERROR(__xludf.DUMMYFUNCTION("""COMPUTED_VALUE"""),2577.0)</f>
        <v>2577</v>
      </c>
      <c r="B207" s="213" t="str">
        <f>IFERROR(__xludf.DUMMYFUNCTION("""COMPUTED_VALUE"""),"MANUEL ANTONIO MESONES MURO")</f>
        <v>MANUEL ANTONIO MESONES MURO</v>
      </c>
      <c r="C207" s="213" t="str">
        <f>IFERROR(__xludf.DUMMYFUNCTION("""COMPUTED_VALUE"""),"TALLER SFT DE EBANISTERÍA")</f>
        <v>TALLER SFT DE EBANISTERÍA</v>
      </c>
      <c r="D207" s="213" t="str">
        <f>IFERROR(__xludf.DUMMYFUNCTION("""COMPUTED_VALUE"""),"HERRAMIENTAS")</f>
        <v>HERRAMIENTAS</v>
      </c>
      <c r="E207" s="213" t="str">
        <f>IFERROR(__xludf.DUMMYFUNCTION("""COMPUTED_VALUE"""),"COM-147")</f>
        <v>COM-147</v>
      </c>
      <c r="F207" s="213" t="str">
        <f>IFERROR(__xludf.DUMMYFUNCTION("""COMPUTED_VALUE"""),"COM-147")</f>
        <v>COM-147</v>
      </c>
      <c r="G207" s="213"/>
      <c r="H207" s="213" t="str">
        <f>IFERROR(__xludf.DUMMYFUNCTION("""COMPUTED_VALUE"""),"DISCO DE SIERRA CIRCULAR")</f>
        <v>DISCO DE SIERRA CIRCULAR</v>
      </c>
      <c r="I207" s="213" t="str">
        <f>IFERROR(__xludf.DUMMYFUNCTION("""COMPUTED_VALUE"""),"Disco de acero al carbono templado generalmente provistos de ranuras de expansión y revestidos de teflon para reducir el calentamiento y evitar torceduras.
80 dientes
12"" de Diametro
Dientes con pastillas de carburo")</f>
        <v>Disco de acero al carbono templado generalmente provistos de ranuras de expansión y revestidos de teflon para reducir el calentamiento y evitar torceduras.
80 dientes
12" de Diametro
Dientes con pastillas de carburo</v>
      </c>
      <c r="J207" s="213">
        <f>IFERROR(__xludf.DUMMYFUNCTION("""COMPUTED_VALUE"""),3.0)</f>
        <v>3</v>
      </c>
      <c r="K207" s="213" t="str">
        <f>IFERROR(__xludf.DUMMYFUNCTION("""COMPUTED_VALUE"""),"90 DÍAS CALENDARIO")</f>
        <v>90 DÍAS CALENDARIO</v>
      </c>
      <c r="L207" s="213" t="str">
        <f>IFERROR(__xludf.DUMMYFUNCTION("""COMPUTED_VALUE"""),"")</f>
        <v/>
      </c>
      <c r="M207" s="213">
        <f>IFERROR(__xludf.DUMMYFUNCTION("""COMPUTED_VALUE"""),1.0)</f>
        <v>1</v>
      </c>
      <c r="N207" s="213">
        <f>IFERROR(__xludf.DUMMYFUNCTION("""COMPUTED_VALUE"""),2.0)</f>
        <v>2</v>
      </c>
      <c r="O207" s="213">
        <f>IFERROR(__xludf.DUMMYFUNCTION("""COMPUTED_VALUE"""),2.0)</f>
        <v>2</v>
      </c>
      <c r="P207" s="213"/>
      <c r="Q207" s="213"/>
      <c r="R207" s="213" t="str">
        <f>IFERROR(__xludf.DUMMYFUNCTION("""COMPUTED_VALUE"""),"SI")</f>
        <v>SI</v>
      </c>
      <c r="S207" s="213"/>
      <c r="T207" s="213" t="str">
        <f>IFERROR(__xludf.DUMMYFUNCTION("""COMPUTED_VALUE"""),"SI")</f>
        <v>SI</v>
      </c>
      <c r="U207" s="213" t="str">
        <f>IFERROR(__xludf.DUMMYFUNCTION("""COMPUTED_VALUE"""),"SI")</f>
        <v>SI</v>
      </c>
      <c r="V207" s="213" t="str">
        <f>IFERROR(__xludf.DUMMYFUNCTION("""COMPUTED_VALUE"""),"-")</f>
        <v>-</v>
      </c>
      <c r="W207" s="213" t="str">
        <f>IFERROR(__xludf.DUMMYFUNCTION("""COMPUTED_VALUE"""),"-")</f>
        <v>-</v>
      </c>
      <c r="X207" s="213" t="str">
        <f>IFERROR(__xludf.DUMMYFUNCTION("""COMPUTED_VALUE"""),"De Walt")</f>
        <v>De Walt</v>
      </c>
      <c r="Y207" s="213" t="str">
        <f>IFERROR(__xludf.DUMMYFUNCTION("""COMPUTED_VALUE"""),"DWA03230")</f>
        <v>DWA03230</v>
      </c>
      <c r="Z207" s="215" t="str">
        <f>IFERROR(__xludf.DUMMYFUNCTION("""COMPUTED_VALUE"""),"https://sodimac.falabella.com.pe/sodimac-pe/product/113093111/Disco-Sierra-de-12''-de-80-Dientes-Dewalt/113093118")</f>
        <v>https://sodimac.falabella.com.pe/sodimac-pe/product/113093111/Disco-Sierra-de-12''-de-80-Dientes-Dewalt/113093118</v>
      </c>
      <c r="AA207" s="213" t="str">
        <f>IFERROR(__xludf.DUMMYFUNCTION("""COMPUTED_VALUE"""),"COM-147 DISCO DE SIERRA CIRCULAR - CET")</f>
        <v>COM-147 DISCO DE SIERRA CIRCULAR - CET</v>
      </c>
      <c r="AB207" s="215" t="str">
        <f>IFERROR(__xludf.DUMMYFUNCTION("""COMPUTED_VALUE"""),"https://drive.google.com/file/d/1R0Ebt7C0HXIck5ynYzQIXVQy_Xdpa8i5/view?usp=sharing")</f>
        <v>https://drive.google.com/file/d/1R0Ebt7C0HXIck5ynYzQIXVQy_Xdpa8i5/view?usp=sharing</v>
      </c>
      <c r="AC207" s="215" t="str">
        <f>IFERROR(__xludf.DUMMYFUNCTION("""COMPUTED_VALUE"""),"https://drive.google.com/file/d/1R0Ebt7C0HXIck5ynYzQIXVQy_Xdpa8i5/view?usp=sharing")</f>
        <v>https://drive.google.com/file/d/1R0Ebt7C0HXIck5ynYzQIXVQy_Xdpa8i5/view?usp=sharing</v>
      </c>
      <c r="AD207" s="213"/>
      <c r="AE207" s="213"/>
      <c r="AF207" s="213"/>
      <c r="AG207" s="213"/>
      <c r="AH207" s="213" t="str">
        <f>IFERROR(__xludf.DUMMYFUNCTION("""COMPUTED_VALUE"""),"IMPORTADO")</f>
        <v>IMPORTADO</v>
      </c>
      <c r="AI207" s="213"/>
      <c r="AJ207" s="213"/>
      <c r="AK207" s="213"/>
      <c r="AL207" s="213"/>
      <c r="AM207" s="213"/>
      <c r="AN207" s="213"/>
      <c r="AO207" s="213"/>
      <c r="AP207" s="213" t="str">
        <f>IFERROR(__xludf.DUMMYFUNCTION("""COMPUTED_VALUE"""),"SEBASTIAN")</f>
        <v>SEBASTIAN</v>
      </c>
      <c r="AQ207" s="213"/>
      <c r="AR207" s="213"/>
      <c r="AS207" s="213" t="str">
        <f>IFERROR(__xludf.DUMMYFUNCTION("""COMPUTED_VALUE"""),"No está recubierto de teflón")</f>
        <v>No está recubierto de teflón</v>
      </c>
      <c r="AT207" s="213"/>
      <c r="AU207" s="213"/>
      <c r="AV207" s="213"/>
      <c r="AW207" s="213"/>
      <c r="AX207" s="213"/>
      <c r="AY207" s="213"/>
      <c r="AZ207" s="213"/>
      <c r="BA207" s="213"/>
      <c r="BB207" s="213"/>
      <c r="BC207" s="213"/>
      <c r="BD207" s="213"/>
    </row>
    <row r="208">
      <c r="A208" s="213">
        <f>IFERROR(__xludf.DUMMYFUNCTION("""COMPUTED_VALUE"""),1796.0)</f>
        <v>1796</v>
      </c>
      <c r="B208" s="213" t="str">
        <f>IFERROR(__xludf.DUMMYFUNCTION("""COMPUTED_VALUE"""),"GUILLERMO E. BILLINGHURST ")</f>
        <v>GUILLERMO E. BILLINGHURST </v>
      </c>
      <c r="C208" s="213" t="str">
        <f>IFERROR(__xludf.DUMMYFUNCTION("""COMPUTED_VALUE"""),"TALLER SFT DE EBANISTERÍA")</f>
        <v>TALLER SFT DE EBANISTERÍA</v>
      </c>
      <c r="D208" s="213" t="str">
        <f>IFERROR(__xludf.DUMMYFUNCTION("""COMPUTED_VALUE"""),"HERRAMIENTAS")</f>
        <v>HERRAMIENTAS</v>
      </c>
      <c r="E208" s="213" t="str">
        <f>IFERROR(__xludf.DUMMYFUNCTION("""COMPUTED_VALUE"""),"COM-148")</f>
        <v>COM-148</v>
      </c>
      <c r="F208" s="213" t="str">
        <f>IFERROR(__xludf.DUMMYFUNCTION("""COMPUTED_VALUE"""),"COM-148")</f>
        <v>COM-148</v>
      </c>
      <c r="G208" s="213"/>
      <c r="H208" s="213" t="str">
        <f>IFERROR(__xludf.DUMMYFUNCTION("""COMPUTED_VALUE"""),"DISCO DE SIERRA RADIAL")</f>
        <v>DISCO DE SIERRA RADIAL</v>
      </c>
      <c r="I208" s="213" t="str">
        <f>IFERROR(__xludf.DUMMYFUNCTION("""COMPUTED_VALUE"""),"Disco de acero al carbono templado generalmente provistos de ranuras de expansión y revestidos de teflon para reducir el calentamiento y evitar torceduras.
70 dientes
12"" de Diametro
dientes con pastillas de carburo")</f>
        <v>Disco de acero al carbono templado generalmente provistos de ranuras de expansión y revestidos de teflon para reducir el calentamiento y evitar torceduras.
70 dientes
12" de Diametro
dientes con pastillas de carburo</v>
      </c>
      <c r="J208" s="213">
        <f>IFERROR(__xludf.DUMMYFUNCTION("""COMPUTED_VALUE"""),3.0)</f>
        <v>3</v>
      </c>
      <c r="K208" s="213" t="str">
        <f>IFERROR(__xludf.DUMMYFUNCTION("""COMPUTED_VALUE"""),"90 DÍAS CALENDARIO")</f>
        <v>90 DÍAS CALENDARIO</v>
      </c>
      <c r="L208" s="213" t="str">
        <f>IFERROR(__xludf.DUMMYFUNCTION("""COMPUTED_VALUE"""),"")</f>
        <v/>
      </c>
      <c r="M208" s="213">
        <f>IFERROR(__xludf.DUMMYFUNCTION("""COMPUTED_VALUE"""),1.0)</f>
        <v>1</v>
      </c>
      <c r="N208" s="213">
        <f>IFERROR(__xludf.DUMMYFUNCTION("""COMPUTED_VALUE"""),2.0)</f>
        <v>2</v>
      </c>
      <c r="O208" s="213">
        <f>IFERROR(__xludf.DUMMYFUNCTION("""COMPUTED_VALUE"""),2.0)</f>
        <v>2</v>
      </c>
      <c r="P208" s="213"/>
      <c r="Q208" s="213"/>
      <c r="R208" s="213" t="str">
        <f>IFERROR(__xludf.DUMMYFUNCTION("""COMPUTED_VALUE"""),"SI")</f>
        <v>SI</v>
      </c>
      <c r="S208" s="213"/>
      <c r="T208" s="213" t="str">
        <f>IFERROR(__xludf.DUMMYFUNCTION("""COMPUTED_VALUE"""),"SI")</f>
        <v>SI</v>
      </c>
      <c r="U208" s="213" t="str">
        <f>IFERROR(__xludf.DUMMYFUNCTION("""COMPUTED_VALUE"""),"SI")</f>
        <v>SI</v>
      </c>
      <c r="V208" s="213" t="str">
        <f>IFERROR(__xludf.DUMMYFUNCTION("""COMPUTED_VALUE"""),"-")</f>
        <v>-</v>
      </c>
      <c r="W208" s="213" t="str">
        <f>IFERROR(__xludf.DUMMYFUNCTION("""COMPUTED_VALUE"""),"-")</f>
        <v>-</v>
      </c>
      <c r="X208" s="213" t="str">
        <f>IFERROR(__xludf.DUMMYFUNCTION("""COMPUTED_VALUE"""),"Makita")</f>
        <v>Makita</v>
      </c>
      <c r="Y208" s="213" t="str">
        <f>IFERROR(__xludf.DUMMYFUNCTION("""COMPUTED_VALUE"""),"A-94443")</f>
        <v>A-94443</v>
      </c>
      <c r="Z208" s="215" t="str">
        <f>IFERROR(__xludf.DUMMYFUNCTION("""COMPUTED_VALUE"""),"https://cahema.pe/discos-de-sierra/20629-disco-de-sierra-para-madera-tct-12-x-254-mm-70-dientes-makita-a-94443.html")</f>
        <v>https://cahema.pe/discos-de-sierra/20629-disco-de-sierra-para-madera-tct-12-x-254-mm-70-dientes-makita-a-94443.html</v>
      </c>
      <c r="AA208" s="213" t="str">
        <f>IFERROR(__xludf.DUMMYFUNCTION("""COMPUTED_VALUE"""),"COM-148 DISCO DE SIERRA RADIAL - CET")</f>
        <v>COM-148 DISCO DE SIERRA RADIAL - CET</v>
      </c>
      <c r="AB208" s="213"/>
      <c r="AC208" s="213" t="str">
        <f>IFERROR(__xludf.DUMMYFUNCTION("""COMPUTED_VALUE"""),"DSR-01")</f>
        <v>DSR-01</v>
      </c>
      <c r="AD208" s="213" t="str">
        <f>IFERROR(__xludf.DUMMYFUNCTION("""COMPUTED_VALUE"""),"PAQ 2 CHINA CIVIL")</f>
        <v>PAQ 2 CHINA CIVIL</v>
      </c>
      <c r="AE208" s="213" t="str">
        <f>IFERROR(__xludf.DUMMYFUNCTION("""COMPUTED_VALUE"""),"DSR-01")</f>
        <v>DSR-01</v>
      </c>
      <c r="AF208" s="213"/>
      <c r="AG208" s="213"/>
      <c r="AH208" s="213" t="str">
        <f>IFERROR(__xludf.DUMMYFUNCTION("""COMPUTED_VALUE"""),"IMPORTADO")</f>
        <v>IMPORTADO</v>
      </c>
      <c r="AI208" s="213"/>
      <c r="AJ208" s="213"/>
      <c r="AK208" s="213"/>
      <c r="AL208" s="213"/>
      <c r="AM208" s="213"/>
      <c r="AN208" s="213"/>
      <c r="AO208" s="213"/>
      <c r="AP208" s="213" t="str">
        <f>IFERROR(__xludf.DUMMYFUNCTION("""COMPUTED_VALUE"""),"SEBASTIAN")</f>
        <v>SEBASTIAN</v>
      </c>
      <c r="AQ208" s="213"/>
      <c r="AR208" s="213"/>
      <c r="AS208" s="213"/>
      <c r="AT208" s="213"/>
      <c r="AU208" s="213"/>
      <c r="AV208" s="213"/>
      <c r="AW208" s="213"/>
      <c r="AX208" s="213"/>
      <c r="AY208" s="213"/>
      <c r="AZ208" s="213"/>
      <c r="BA208" s="213"/>
      <c r="BB208" s="213"/>
      <c r="BC208" s="213"/>
      <c r="BD208" s="213"/>
    </row>
    <row r="209">
      <c r="A209" s="213">
        <f>IFERROR(__xludf.DUMMYFUNCTION("""COMPUTED_VALUE"""),2578.0)</f>
        <v>2578</v>
      </c>
      <c r="B209" s="213" t="str">
        <f>IFERROR(__xludf.DUMMYFUNCTION("""COMPUTED_VALUE"""),"MANUEL ANTONIO MESONES MURO")</f>
        <v>MANUEL ANTONIO MESONES MURO</v>
      </c>
      <c r="C209" s="213" t="str">
        <f>IFERROR(__xludf.DUMMYFUNCTION("""COMPUTED_VALUE"""),"TALLER SFT DE EBANISTERÍA")</f>
        <v>TALLER SFT DE EBANISTERÍA</v>
      </c>
      <c r="D209" s="213" t="str">
        <f>IFERROR(__xludf.DUMMYFUNCTION("""COMPUTED_VALUE"""),"HERRAMIENTAS")</f>
        <v>HERRAMIENTAS</v>
      </c>
      <c r="E209" s="213" t="str">
        <f>IFERROR(__xludf.DUMMYFUNCTION("""COMPUTED_VALUE"""),"COM-148")</f>
        <v>COM-148</v>
      </c>
      <c r="F209" s="213" t="str">
        <f>IFERROR(__xludf.DUMMYFUNCTION("""COMPUTED_VALUE"""),"COM-148")</f>
        <v>COM-148</v>
      </c>
      <c r="G209" s="213"/>
      <c r="H209" s="213" t="str">
        <f>IFERROR(__xludf.DUMMYFUNCTION("""COMPUTED_VALUE"""),"DISCO DE SIERRA RADIAL")</f>
        <v>DISCO DE SIERRA RADIAL</v>
      </c>
      <c r="I209" s="213" t="str">
        <f>IFERROR(__xludf.DUMMYFUNCTION("""COMPUTED_VALUE"""),"Disco de acero al carbono templado generalmente provistos de ranuras de expansión y revestidos de teflon para reducir el calentamiento y evitar torceduras.
70 dientes
12"" de Diametro
dientes con pastillas de carburo")</f>
        <v>Disco de acero al carbono templado generalmente provistos de ranuras de expansión y revestidos de teflon para reducir el calentamiento y evitar torceduras.
70 dientes
12" de Diametro
dientes con pastillas de carburo</v>
      </c>
      <c r="J209" s="213">
        <f>IFERROR(__xludf.DUMMYFUNCTION("""COMPUTED_VALUE"""),3.0)</f>
        <v>3</v>
      </c>
      <c r="K209" s="213" t="str">
        <f>IFERROR(__xludf.DUMMYFUNCTION("""COMPUTED_VALUE"""),"90 DÍAS CALENDARIO")</f>
        <v>90 DÍAS CALENDARIO</v>
      </c>
      <c r="L209" s="213" t="str">
        <f>IFERROR(__xludf.DUMMYFUNCTION("""COMPUTED_VALUE"""),"")</f>
        <v/>
      </c>
      <c r="M209" s="213">
        <f>IFERROR(__xludf.DUMMYFUNCTION("""COMPUTED_VALUE"""),1.0)</f>
        <v>1</v>
      </c>
      <c r="N209" s="213">
        <f>IFERROR(__xludf.DUMMYFUNCTION("""COMPUTED_VALUE"""),2.0)</f>
        <v>2</v>
      </c>
      <c r="O209" s="213">
        <f>IFERROR(__xludf.DUMMYFUNCTION("""COMPUTED_VALUE"""),2.0)</f>
        <v>2</v>
      </c>
      <c r="P209" s="213"/>
      <c r="Q209" s="213"/>
      <c r="R209" s="213" t="str">
        <f>IFERROR(__xludf.DUMMYFUNCTION("""COMPUTED_VALUE"""),"SI")</f>
        <v>SI</v>
      </c>
      <c r="S209" s="213"/>
      <c r="T209" s="213" t="str">
        <f>IFERROR(__xludf.DUMMYFUNCTION("""COMPUTED_VALUE"""),"SI")</f>
        <v>SI</v>
      </c>
      <c r="U209" s="213" t="str">
        <f>IFERROR(__xludf.DUMMYFUNCTION("""COMPUTED_VALUE"""),"SI")</f>
        <v>SI</v>
      </c>
      <c r="V209" s="213" t="str">
        <f>IFERROR(__xludf.DUMMYFUNCTION("""COMPUTED_VALUE"""),"-")</f>
        <v>-</v>
      </c>
      <c r="W209" s="213" t="str">
        <f>IFERROR(__xludf.DUMMYFUNCTION("""COMPUTED_VALUE"""),"-")</f>
        <v>-</v>
      </c>
      <c r="X209" s="213" t="str">
        <f>IFERROR(__xludf.DUMMYFUNCTION("""COMPUTED_VALUE"""),"Makita")</f>
        <v>Makita</v>
      </c>
      <c r="Y209" s="213" t="str">
        <f>IFERROR(__xludf.DUMMYFUNCTION("""COMPUTED_VALUE"""),"A-94443")</f>
        <v>A-94443</v>
      </c>
      <c r="Z209" s="215" t="str">
        <f>IFERROR(__xludf.DUMMYFUNCTION("""COMPUTED_VALUE"""),"https://cahema.pe/discos-de-sierra/20629-disco-de-sierra-para-madera-tct-12-x-254-mm-70-dientes-makita-a-94443.html")</f>
        <v>https://cahema.pe/discos-de-sierra/20629-disco-de-sierra-para-madera-tct-12-x-254-mm-70-dientes-makita-a-94443.html</v>
      </c>
      <c r="AA209" s="213" t="str">
        <f>IFERROR(__xludf.DUMMYFUNCTION("""COMPUTED_VALUE"""),"COM-148 DISCO DE SIERRA RADIAL - CET")</f>
        <v>COM-148 DISCO DE SIERRA RADIAL - CET</v>
      </c>
      <c r="AB209" s="213"/>
      <c r="AC209" s="213" t="str">
        <f>IFERROR(__xludf.DUMMYFUNCTION("""COMPUTED_VALUE"""),"DSR-01")</f>
        <v>DSR-01</v>
      </c>
      <c r="AD209" s="213" t="str">
        <f>IFERROR(__xludf.DUMMYFUNCTION("""COMPUTED_VALUE"""),"PAQ 2 CHINA CIVIL")</f>
        <v>PAQ 2 CHINA CIVIL</v>
      </c>
      <c r="AE209" s="213" t="str">
        <f>IFERROR(__xludf.DUMMYFUNCTION("""COMPUTED_VALUE"""),"DSR-01")</f>
        <v>DSR-01</v>
      </c>
      <c r="AF209" s="213"/>
      <c r="AG209" s="213"/>
      <c r="AH209" s="213" t="str">
        <f>IFERROR(__xludf.DUMMYFUNCTION("""COMPUTED_VALUE"""),"IMPORTADO")</f>
        <v>IMPORTADO</v>
      </c>
      <c r="AI209" s="213"/>
      <c r="AJ209" s="213"/>
      <c r="AK209" s="213"/>
      <c r="AL209" s="213"/>
      <c r="AM209" s="213"/>
      <c r="AN209" s="213"/>
      <c r="AO209" s="213"/>
      <c r="AP209" s="213" t="str">
        <f>IFERROR(__xludf.DUMMYFUNCTION("""COMPUTED_VALUE"""),"SEBASTIAN")</f>
        <v>SEBASTIAN</v>
      </c>
      <c r="AQ209" s="213"/>
      <c r="AR209" s="213"/>
      <c r="AS209" s="213"/>
      <c r="AT209" s="213"/>
      <c r="AU209" s="213"/>
      <c r="AV209" s="213"/>
      <c r="AW209" s="213"/>
      <c r="AX209" s="213"/>
      <c r="AY209" s="213"/>
      <c r="AZ209" s="213"/>
      <c r="BA209" s="213"/>
      <c r="BB209" s="213"/>
      <c r="BC209" s="213"/>
      <c r="BD209" s="213"/>
    </row>
    <row r="210">
      <c r="A210" s="213">
        <f>IFERROR(__xludf.DUMMYFUNCTION("""COMPUTED_VALUE"""),1834.0)</f>
        <v>1834</v>
      </c>
      <c r="B210" s="213" t="str">
        <f>IFERROR(__xludf.DUMMYFUNCTION("""COMPUTED_VALUE"""),"GUILLERMO E. BILLINGHURST ")</f>
        <v>GUILLERMO E. BILLINGHURST </v>
      </c>
      <c r="C210" s="213" t="str">
        <f>IFERROR(__xludf.DUMMYFUNCTION("""COMPUTED_VALUE"""),"TALLER SFT DE EBANISTERÍA")</f>
        <v>TALLER SFT DE EBANISTERÍA</v>
      </c>
      <c r="D210" s="213" t="str">
        <f>IFERROR(__xludf.DUMMYFUNCTION("""COMPUTED_VALUE"""),"HERRAMIENTAS")</f>
        <v>HERRAMIENTAS</v>
      </c>
      <c r="E210" s="213" t="str">
        <f>IFERROR(__xludf.DUMMYFUNCTION("""COMPUTED_VALUE"""),"COM-149")</f>
        <v>COM-149</v>
      </c>
      <c r="F210" s="213" t="str">
        <f>IFERROR(__xludf.DUMMYFUNCTION("""COMPUTED_VALUE"""),"COM-149")</f>
        <v>COM-149</v>
      </c>
      <c r="G210" s="213"/>
      <c r="H210" s="213" t="str">
        <f>IFERROR(__xludf.DUMMYFUNCTION("""COMPUTED_VALUE"""),"DISCO PARA SIERRA CIRCULAR PARA CORTE DE TABLEROS MELAMINICOS")</f>
        <v>DISCO PARA SIERRA CIRCULAR PARA CORTE DE TABLEROS MELAMINICOS</v>
      </c>
      <c r="I210" s="213" t="str">
        <f>IFERROR(__xludf.DUMMYFUNCTION("""COMPUTED_VALUE"""),"Disco de acero al carbono templado generalmente provistos de ranuras de expansión para reducir el calentamiento y evitar torceduras.
100 dientes
10"" de Diametro
dientes con pastillas de carburo")</f>
        <v>Disco de acero al carbono templado generalmente provistos de ranuras de expansión para reducir el calentamiento y evitar torceduras.
100 dientes
10" de Diametro
dientes con pastillas de carburo</v>
      </c>
      <c r="J210" s="213">
        <f>IFERROR(__xludf.DUMMYFUNCTION("""COMPUTED_VALUE"""),3.0)</f>
        <v>3</v>
      </c>
      <c r="K210" s="213" t="str">
        <f>IFERROR(__xludf.DUMMYFUNCTION("""COMPUTED_VALUE"""),"90 DÍAS CALENDARIO")</f>
        <v>90 DÍAS CALENDARIO</v>
      </c>
      <c r="L210" s="213" t="str">
        <f>IFERROR(__xludf.DUMMYFUNCTION("""COMPUTED_VALUE"""),"")</f>
        <v/>
      </c>
      <c r="M210" s="213">
        <f>IFERROR(__xludf.DUMMYFUNCTION("""COMPUTED_VALUE"""),1.0)</f>
        <v>1</v>
      </c>
      <c r="N210" s="213">
        <f>IFERROR(__xludf.DUMMYFUNCTION("""COMPUTED_VALUE"""),2.0)</f>
        <v>2</v>
      </c>
      <c r="O210" s="213">
        <f>IFERROR(__xludf.DUMMYFUNCTION("""COMPUTED_VALUE"""),2.0)</f>
        <v>2</v>
      </c>
      <c r="P210" s="213"/>
      <c r="Q210" s="213"/>
      <c r="R210" s="213" t="str">
        <f>IFERROR(__xludf.DUMMYFUNCTION("""COMPUTED_VALUE"""),"SI")</f>
        <v>SI</v>
      </c>
      <c r="S210" s="213"/>
      <c r="T210" s="213" t="str">
        <f>IFERROR(__xludf.DUMMYFUNCTION("""COMPUTED_VALUE"""),"SI")</f>
        <v>SI</v>
      </c>
      <c r="U210" s="213" t="str">
        <f>IFERROR(__xludf.DUMMYFUNCTION("""COMPUTED_VALUE"""),"SI")</f>
        <v>SI</v>
      </c>
      <c r="V210" s="213" t="str">
        <f>IFERROR(__xludf.DUMMYFUNCTION("""COMPUTED_VALUE"""),"-")</f>
        <v>-</v>
      </c>
      <c r="W210" s="213" t="str">
        <f>IFERROR(__xludf.DUMMYFUNCTION("""COMPUTED_VALUE"""),"-")</f>
        <v>-</v>
      </c>
      <c r="X210" s="213" t="str">
        <f>IFERROR(__xludf.DUMMYFUNCTION("""COMPUTED_VALUE"""),"BOSCH")</f>
        <v>BOSCH</v>
      </c>
      <c r="Y210" s="213" t="str">
        <f>IFERROR(__xludf.DUMMYFUNCTION("""COMPUTED_VALUE"""),"2608.642.202-000")</f>
        <v>2608.642.202-000</v>
      </c>
      <c r="Z210" s="215" t="str">
        <f>IFERROR(__xludf.DUMMYFUNCTION("""COMPUTED_VALUE"""),"https://cahema.pe/discos-de-sierra/1799-disco-sierra-10-x-100-dientes-multimaterial-bosch-3165140602099.html")</f>
        <v>https://cahema.pe/discos-de-sierra/1799-disco-sierra-10-x-100-dientes-multimaterial-bosch-3165140602099.html</v>
      </c>
      <c r="AA210" s="213" t="str">
        <f>IFERROR(__xludf.DUMMYFUNCTION("""COMPUTED_VALUE"""),"COM-149 DISCO PARA SIERRA CIRCULAR PARA CORTE DE TABLEROS MELAMINICOS - CET")</f>
        <v>COM-149 DISCO PARA SIERRA CIRCULAR PARA CORTE DE TABLEROS MELAMINICOS - CET</v>
      </c>
      <c r="AB210" s="215" t="str">
        <f>IFERROR(__xludf.DUMMYFUNCTION("""COMPUTED_VALUE"""),"https://drive.google.com/file/d/1aOoDE1JxBlkDTm_3H4GB4JmtJM6ScPMe/view?usp=sharing")</f>
        <v>https://drive.google.com/file/d/1aOoDE1JxBlkDTm_3H4GB4JmtJM6ScPMe/view?usp=sharing</v>
      </c>
      <c r="AC210" s="215" t="str">
        <f>IFERROR(__xludf.DUMMYFUNCTION("""COMPUTED_VALUE"""),"https://cahema.pe/discos-de-sierra/1799-disco-sierra-10-x-100-dientes-multimaterial-bosch-3165140602099.html")</f>
        <v>https://cahema.pe/discos-de-sierra/1799-disco-sierra-10-x-100-dientes-multimaterial-bosch-3165140602099.html</v>
      </c>
      <c r="AD210" s="213"/>
      <c r="AE210" s="213"/>
      <c r="AF210" s="213"/>
      <c r="AG210" s="213"/>
      <c r="AH210" s="213" t="str">
        <f>IFERROR(__xludf.DUMMYFUNCTION("""COMPUTED_VALUE"""),"NACIONAL")</f>
        <v>NACIONAL</v>
      </c>
      <c r="AI210" s="213"/>
      <c r="AJ210" s="213"/>
      <c r="AK210" s="213"/>
      <c r="AL210" s="213"/>
      <c r="AM210" s="213"/>
      <c r="AN210" s="213"/>
      <c r="AO210" s="213"/>
      <c r="AP210" s="213" t="str">
        <f>IFERROR(__xludf.DUMMYFUNCTION("""COMPUTED_VALUE"""),"SEBASTIAN")</f>
        <v>SEBASTIAN</v>
      </c>
      <c r="AQ210" s="213"/>
      <c r="AR210" s="213"/>
      <c r="AS210" s="213"/>
      <c r="AT210" s="213"/>
      <c r="AU210" s="213"/>
      <c r="AV210" s="213"/>
      <c r="AW210" s="213"/>
      <c r="AX210" s="213"/>
      <c r="AY210" s="213"/>
      <c r="AZ210" s="213"/>
      <c r="BA210" s="213"/>
      <c r="BB210" s="213"/>
      <c r="BC210" s="213"/>
      <c r="BD210" s="213"/>
    </row>
    <row r="211">
      <c r="A211" s="213">
        <f>IFERROR(__xludf.DUMMYFUNCTION("""COMPUTED_VALUE"""),2616.0)</f>
        <v>2616</v>
      </c>
      <c r="B211" s="213" t="str">
        <f>IFERROR(__xludf.DUMMYFUNCTION("""COMPUTED_VALUE"""),"MANUEL ANTONIO MESONES MURO")</f>
        <v>MANUEL ANTONIO MESONES MURO</v>
      </c>
      <c r="C211" s="213" t="str">
        <f>IFERROR(__xludf.DUMMYFUNCTION("""COMPUTED_VALUE"""),"TALLER SFT DE EBANISTERÍA")</f>
        <v>TALLER SFT DE EBANISTERÍA</v>
      </c>
      <c r="D211" s="213" t="str">
        <f>IFERROR(__xludf.DUMMYFUNCTION("""COMPUTED_VALUE"""),"HERRAMIENTAS")</f>
        <v>HERRAMIENTAS</v>
      </c>
      <c r="E211" s="213" t="str">
        <f>IFERROR(__xludf.DUMMYFUNCTION("""COMPUTED_VALUE"""),"COM-149")</f>
        <v>COM-149</v>
      </c>
      <c r="F211" s="213" t="str">
        <f>IFERROR(__xludf.DUMMYFUNCTION("""COMPUTED_VALUE"""),"COM-149")</f>
        <v>COM-149</v>
      </c>
      <c r="G211" s="213"/>
      <c r="H211" s="213" t="str">
        <f>IFERROR(__xludf.DUMMYFUNCTION("""COMPUTED_VALUE"""),"DISCO PARA SIERRA CIRCULAR PARA CORTE DE TABLEROS MELAMINICOS")</f>
        <v>DISCO PARA SIERRA CIRCULAR PARA CORTE DE TABLEROS MELAMINICOS</v>
      </c>
      <c r="I211" s="213" t="str">
        <f>IFERROR(__xludf.DUMMYFUNCTION("""COMPUTED_VALUE"""),"Disco de acero al carbono templado generalmente provistos de ranuras de expansión para reducir el calentamiento y evitar torceduras.
100 dientes
10"" de Diametro
dientes con pastillas de carburo")</f>
        <v>Disco de acero al carbono templado generalmente provistos de ranuras de expansión para reducir el calentamiento y evitar torceduras.
100 dientes
10" de Diametro
dientes con pastillas de carburo</v>
      </c>
      <c r="J211" s="213">
        <f>IFERROR(__xludf.DUMMYFUNCTION("""COMPUTED_VALUE"""),3.0)</f>
        <v>3</v>
      </c>
      <c r="K211" s="213" t="str">
        <f>IFERROR(__xludf.DUMMYFUNCTION("""COMPUTED_VALUE"""),"90 DÍAS CALENDARIO")</f>
        <v>90 DÍAS CALENDARIO</v>
      </c>
      <c r="L211" s="213" t="str">
        <f>IFERROR(__xludf.DUMMYFUNCTION("""COMPUTED_VALUE"""),"")</f>
        <v/>
      </c>
      <c r="M211" s="213">
        <f>IFERROR(__xludf.DUMMYFUNCTION("""COMPUTED_VALUE"""),1.0)</f>
        <v>1</v>
      </c>
      <c r="N211" s="213">
        <f>IFERROR(__xludf.DUMMYFUNCTION("""COMPUTED_VALUE"""),2.0)</f>
        <v>2</v>
      </c>
      <c r="O211" s="213">
        <f>IFERROR(__xludf.DUMMYFUNCTION("""COMPUTED_VALUE"""),2.0)</f>
        <v>2</v>
      </c>
      <c r="P211" s="213"/>
      <c r="Q211" s="213"/>
      <c r="R211" s="213" t="str">
        <f>IFERROR(__xludf.DUMMYFUNCTION("""COMPUTED_VALUE"""),"SI")</f>
        <v>SI</v>
      </c>
      <c r="S211" s="213"/>
      <c r="T211" s="213" t="str">
        <f>IFERROR(__xludf.DUMMYFUNCTION("""COMPUTED_VALUE"""),"SI")</f>
        <v>SI</v>
      </c>
      <c r="U211" s="213" t="str">
        <f>IFERROR(__xludf.DUMMYFUNCTION("""COMPUTED_VALUE"""),"SI")</f>
        <v>SI</v>
      </c>
      <c r="V211" s="213" t="str">
        <f>IFERROR(__xludf.DUMMYFUNCTION("""COMPUTED_VALUE"""),"-")</f>
        <v>-</v>
      </c>
      <c r="W211" s="213" t="str">
        <f>IFERROR(__xludf.DUMMYFUNCTION("""COMPUTED_VALUE"""),"-")</f>
        <v>-</v>
      </c>
      <c r="X211" s="213" t="str">
        <f>IFERROR(__xludf.DUMMYFUNCTION("""COMPUTED_VALUE"""),"BOSCH")</f>
        <v>BOSCH</v>
      </c>
      <c r="Y211" s="213" t="str">
        <f>IFERROR(__xludf.DUMMYFUNCTION("""COMPUTED_VALUE"""),"2608.642.202-000")</f>
        <v>2608.642.202-000</v>
      </c>
      <c r="Z211" s="215" t="str">
        <f>IFERROR(__xludf.DUMMYFUNCTION("""COMPUTED_VALUE"""),"https://cahema.pe/discos-de-sierra/1799-disco-sierra-10-x-100-dientes-multimaterial-bosch-3165140602099.html")</f>
        <v>https://cahema.pe/discos-de-sierra/1799-disco-sierra-10-x-100-dientes-multimaterial-bosch-3165140602099.html</v>
      </c>
      <c r="AA211" s="213" t="str">
        <f>IFERROR(__xludf.DUMMYFUNCTION("""COMPUTED_VALUE"""),"COM-149 DISCO PARA SIERRA CIRCULAR PARA CORTE DE TABLEROS MELAMINICOS - CET")</f>
        <v>COM-149 DISCO PARA SIERRA CIRCULAR PARA CORTE DE TABLEROS MELAMINICOS - CET</v>
      </c>
      <c r="AB211" s="215" t="str">
        <f>IFERROR(__xludf.DUMMYFUNCTION("""COMPUTED_VALUE"""),"https://drive.google.com/file/d/1aOoDE1JxBlkDTm_3H4GB4JmtJM6ScPMe/view?usp=sharing")</f>
        <v>https://drive.google.com/file/d/1aOoDE1JxBlkDTm_3H4GB4JmtJM6ScPMe/view?usp=sharing</v>
      </c>
      <c r="AC211" s="215" t="str">
        <f>IFERROR(__xludf.DUMMYFUNCTION("""COMPUTED_VALUE"""),"https://cahema.pe/discos-de-sierra/1799-disco-sierra-10-x-100-dientes-multimaterial-bosch-3165140602099.html")</f>
        <v>https://cahema.pe/discos-de-sierra/1799-disco-sierra-10-x-100-dientes-multimaterial-bosch-3165140602099.html</v>
      </c>
      <c r="AD211" s="213"/>
      <c r="AE211" s="213"/>
      <c r="AF211" s="213"/>
      <c r="AG211" s="213"/>
      <c r="AH211" s="213" t="str">
        <f>IFERROR(__xludf.DUMMYFUNCTION("""COMPUTED_VALUE"""),"NACIONAL")</f>
        <v>NACIONAL</v>
      </c>
      <c r="AI211" s="213"/>
      <c r="AJ211" s="213"/>
      <c r="AK211" s="213"/>
      <c r="AL211" s="213"/>
      <c r="AM211" s="213"/>
      <c r="AN211" s="213"/>
      <c r="AO211" s="213"/>
      <c r="AP211" s="213" t="str">
        <f>IFERROR(__xludf.DUMMYFUNCTION("""COMPUTED_VALUE"""),"SEBASTIAN")</f>
        <v>SEBASTIAN</v>
      </c>
      <c r="AQ211" s="213"/>
      <c r="AR211" s="213"/>
      <c r="AS211" s="213"/>
      <c r="AT211" s="213"/>
      <c r="AU211" s="213"/>
      <c r="AV211" s="213"/>
      <c r="AW211" s="213"/>
      <c r="AX211" s="213"/>
      <c r="AY211" s="213"/>
      <c r="AZ211" s="213"/>
      <c r="BA211" s="213"/>
      <c r="BB211" s="213"/>
      <c r="BC211" s="213"/>
      <c r="BD211" s="213"/>
    </row>
    <row r="212">
      <c r="A212" s="213">
        <f>IFERROR(__xludf.DUMMYFUNCTION("""COMPUTED_VALUE"""),1783.0)</f>
        <v>1783</v>
      </c>
      <c r="B212" s="213" t="str">
        <f>IFERROR(__xludf.DUMMYFUNCTION("""COMPUTED_VALUE"""),"GUILLERMO E. BILLINGHURST ")</f>
        <v>GUILLERMO E. BILLINGHURST </v>
      </c>
      <c r="C212" s="213" t="str">
        <f>IFERROR(__xludf.DUMMYFUNCTION("""COMPUTED_VALUE"""),"TALLER SFT DE EBANISTERÍA")</f>
        <v>TALLER SFT DE EBANISTERÍA</v>
      </c>
      <c r="D212" s="213" t="str">
        <f>IFERROR(__xludf.DUMMYFUNCTION("""COMPUTED_VALUE"""),"HERRAMIENTAS")</f>
        <v>HERRAMIENTAS</v>
      </c>
      <c r="E212" s="213" t="str">
        <f>IFERROR(__xludf.DUMMYFUNCTION("""COMPUTED_VALUE"""),"COM-153")</f>
        <v>COM-153</v>
      </c>
      <c r="F212" s="213" t="str">
        <f>IFERROR(__xludf.DUMMYFUNCTION("""COMPUTED_VALUE"""),"COM-153")</f>
        <v>COM-153</v>
      </c>
      <c r="G212" s="213"/>
      <c r="H212" s="213" t="str">
        <f>IFERROR(__xludf.DUMMYFUNCTION("""COMPUTED_VALUE"""),"DISTANCIÓMETRO LASER DE 20 M")</f>
        <v>DISTANCIÓMETRO LASER DE 20 M</v>
      </c>
      <c r="I212" s="213" t="str">
        <f>IFERROR(__xludf.DUMMYFUNCTION("""COMPUTED_VALUE"""),"Para trabajar en distancia de 20 m. Precisión de medida: + 3 mm.
Cálculo de áreas y vólumenes.
Funciones adecuadas para ser utilizada como flexómetro. 02 pilas AAA de 1.5 V.")</f>
        <v>Para trabajar en distancia de 20 m. Precisión de medida: + 3 mm.
Cálculo de áreas y vólumenes.
Funciones adecuadas para ser utilizada como flexómetro. 02 pilas AAA de 1.5 V.</v>
      </c>
      <c r="J212" s="213">
        <f>IFERROR(__xludf.DUMMYFUNCTION("""COMPUTED_VALUE"""),3.0)</f>
        <v>3</v>
      </c>
      <c r="K212" s="213" t="str">
        <f>IFERROR(__xludf.DUMMYFUNCTION("""COMPUTED_VALUE"""),"90 DÍAS CALENDARIO")</f>
        <v>90 DÍAS CALENDARIO</v>
      </c>
      <c r="L212" s="213" t="str">
        <f>IFERROR(__xludf.DUMMYFUNCTION("""COMPUTED_VALUE"""),"")</f>
        <v/>
      </c>
      <c r="M212" s="213">
        <f>IFERROR(__xludf.DUMMYFUNCTION("""COMPUTED_VALUE"""),1.0)</f>
        <v>1</v>
      </c>
      <c r="N212" s="213">
        <f>IFERROR(__xludf.DUMMYFUNCTION("""COMPUTED_VALUE"""),4.0)</f>
        <v>4</v>
      </c>
      <c r="O212" s="213">
        <f>IFERROR(__xludf.DUMMYFUNCTION("""COMPUTED_VALUE"""),4.0)</f>
        <v>4</v>
      </c>
      <c r="P212" s="213"/>
      <c r="Q212" s="213"/>
      <c r="R212" s="213" t="str">
        <f>IFERROR(__xludf.DUMMYFUNCTION("""COMPUTED_VALUE"""),"SI")</f>
        <v>SI</v>
      </c>
      <c r="S212" s="213"/>
      <c r="T212" s="213" t="str">
        <f>IFERROR(__xludf.DUMMYFUNCTION("""COMPUTED_VALUE"""),"SI")</f>
        <v>SI</v>
      </c>
      <c r="U212" s="213" t="str">
        <f>IFERROR(__xludf.DUMMYFUNCTION("""COMPUTED_VALUE"""),"SI")</f>
        <v>SI</v>
      </c>
      <c r="V212" s="213" t="str">
        <f>IFERROR(__xludf.DUMMYFUNCTION("""COMPUTED_VALUE"""),"-")</f>
        <v>-</v>
      </c>
      <c r="W212" s="213" t="str">
        <f>IFERROR(__xludf.DUMMYFUNCTION("""COMPUTED_VALUE"""),"-")</f>
        <v>-</v>
      </c>
      <c r="X212" s="213" t="str">
        <f>IFERROR(__xludf.DUMMYFUNCTION("""COMPUTED_VALUE"""),"MULTICOMP")</f>
        <v>MULTICOMP</v>
      </c>
      <c r="Y212" s="213" t="str">
        <f>IFERROR(__xludf.DUMMYFUNCTION("""COMPUTED_VALUE"""),"MP780997")</f>
        <v>MP780997</v>
      </c>
      <c r="Z212" s="215" t="str">
        <f>IFERROR(__xludf.DUMMYFUNCTION("""COMPUTED_VALUE"""),"https://es.farnell.com/en-ES/multicomp-pro/mp780997/laser-distance-meter-50m-lcd-2xaaa/dp/4179002?srsltid=AfmBOoreugdqCmy_36Zv7n25NHkQ1r4ejExpmv-bbTJmh6vQ2h2UsHWb")</f>
        <v>https://es.farnell.com/en-ES/multicomp-pro/mp780997/laser-distance-meter-50m-lcd-2xaaa/dp/4179002?srsltid=AfmBOoreugdqCmy_36Zv7n25NHkQ1r4ejExpmv-bbTJmh6vQ2h2UsHWb</v>
      </c>
      <c r="AA212" s="213" t="str">
        <f>IFERROR(__xludf.DUMMYFUNCTION("""COMPUTED_VALUE"""),"COM-153 DISTANCIÓMETRO LASER DE 20 M - CET")</f>
        <v>COM-153 DISTANCIÓMETRO LASER DE 20 M - CET</v>
      </c>
      <c r="AB212" s="215" t="str">
        <f>IFERROR(__xludf.DUMMYFUNCTION("""COMPUTED_VALUE"""),"https://drive.google.com/file/d/1lvWvOWE1w7deQO8Q2dCaZNS7vv-s00m6/view?usp=sharing")</f>
        <v>https://drive.google.com/file/d/1lvWvOWE1w7deQO8Q2dCaZNS7vv-s00m6/view?usp=sharing</v>
      </c>
      <c r="AC212" s="215" t="str">
        <f>IFERROR(__xludf.DUMMYFUNCTION("""COMPUTED_VALUE"""),"https://es.farnell.com/en-ES/multicomp-pro/mp780997/laser-distance-meter-50m-lcd-2xaaa/dp/4179002?srsltid=AfmBOoreugdqCmy_36Zv7n25NHkQ1r4ejExpmv-bbTJmh6vQ2h2UsHWb")</f>
        <v>https://es.farnell.com/en-ES/multicomp-pro/mp780997/laser-distance-meter-50m-lcd-2xaaa/dp/4179002?srsltid=AfmBOoreugdqCmy_36Zv7n25NHkQ1r4ejExpmv-bbTJmh6vQ2h2UsHWb</v>
      </c>
      <c r="AD212" s="213"/>
      <c r="AE212" s="213"/>
      <c r="AF212" s="213"/>
      <c r="AG212" s="213"/>
      <c r="AH212" s="213" t="str">
        <f>IFERROR(__xludf.DUMMYFUNCTION("""COMPUTED_VALUE"""),"IMPORTADO")</f>
        <v>IMPORTADO</v>
      </c>
      <c r="AI212" s="213"/>
      <c r="AJ212" s="213"/>
      <c r="AK212" s="213"/>
      <c r="AL212" s="213"/>
      <c r="AM212" s="213"/>
      <c r="AN212" s="213"/>
      <c r="AO212" s="213"/>
      <c r="AP212" s="213" t="str">
        <f>IFERROR(__xludf.DUMMYFUNCTION("""COMPUTED_VALUE"""),"SEBASTIAN")</f>
        <v>SEBASTIAN</v>
      </c>
      <c r="AQ212" s="213"/>
      <c r="AR212" s="213"/>
      <c r="AS212" s="213"/>
      <c r="AT212" s="213"/>
      <c r="AU212" s="213"/>
      <c r="AV212" s="213"/>
      <c r="AW212" s="213"/>
      <c r="AX212" s="213"/>
      <c r="AY212" s="213"/>
      <c r="AZ212" s="213"/>
      <c r="BA212" s="213"/>
      <c r="BB212" s="213"/>
      <c r="BC212" s="213"/>
      <c r="BD212" s="213"/>
    </row>
    <row r="213">
      <c r="A213" s="213">
        <f>IFERROR(__xludf.DUMMYFUNCTION("""COMPUTED_VALUE"""),2565.0)</f>
        <v>2565</v>
      </c>
      <c r="B213" s="213" t="str">
        <f>IFERROR(__xludf.DUMMYFUNCTION("""COMPUTED_VALUE"""),"MANUEL ANTONIO MESONES MURO")</f>
        <v>MANUEL ANTONIO MESONES MURO</v>
      </c>
      <c r="C213" s="213" t="str">
        <f>IFERROR(__xludf.DUMMYFUNCTION("""COMPUTED_VALUE"""),"TALLER SFT DE EBANISTERÍA")</f>
        <v>TALLER SFT DE EBANISTERÍA</v>
      </c>
      <c r="D213" s="213" t="str">
        <f>IFERROR(__xludf.DUMMYFUNCTION("""COMPUTED_VALUE"""),"HERRAMIENTAS")</f>
        <v>HERRAMIENTAS</v>
      </c>
      <c r="E213" s="213" t="str">
        <f>IFERROR(__xludf.DUMMYFUNCTION("""COMPUTED_VALUE"""),"COM-153")</f>
        <v>COM-153</v>
      </c>
      <c r="F213" s="213" t="str">
        <f>IFERROR(__xludf.DUMMYFUNCTION("""COMPUTED_VALUE"""),"COM-153")</f>
        <v>COM-153</v>
      </c>
      <c r="G213" s="213"/>
      <c r="H213" s="213" t="str">
        <f>IFERROR(__xludf.DUMMYFUNCTION("""COMPUTED_VALUE"""),"DISTANCIÓMETRO LASER DE 20 M")</f>
        <v>DISTANCIÓMETRO LASER DE 20 M</v>
      </c>
      <c r="I213" s="213" t="str">
        <f>IFERROR(__xludf.DUMMYFUNCTION("""COMPUTED_VALUE"""),"Para trabajar en distancia de 20 m. Precisión de medida: + 3 mm.
Cálculo de áreas y vólumenes.
Funciones adecuadas para ser utilizada como flexómetro. 02 pilas AAA de 1.5 V.")</f>
        <v>Para trabajar en distancia de 20 m. Precisión de medida: + 3 mm.
Cálculo de áreas y vólumenes.
Funciones adecuadas para ser utilizada como flexómetro. 02 pilas AAA de 1.5 V.</v>
      </c>
      <c r="J213" s="213">
        <f>IFERROR(__xludf.DUMMYFUNCTION("""COMPUTED_VALUE"""),3.0)</f>
        <v>3</v>
      </c>
      <c r="K213" s="213" t="str">
        <f>IFERROR(__xludf.DUMMYFUNCTION("""COMPUTED_VALUE"""),"90 DÍAS CALENDARIO")</f>
        <v>90 DÍAS CALENDARIO</v>
      </c>
      <c r="L213" s="213" t="str">
        <f>IFERROR(__xludf.DUMMYFUNCTION("""COMPUTED_VALUE"""),"")</f>
        <v/>
      </c>
      <c r="M213" s="213">
        <f>IFERROR(__xludf.DUMMYFUNCTION("""COMPUTED_VALUE"""),1.0)</f>
        <v>1</v>
      </c>
      <c r="N213" s="213">
        <f>IFERROR(__xludf.DUMMYFUNCTION("""COMPUTED_VALUE"""),4.0)</f>
        <v>4</v>
      </c>
      <c r="O213" s="213">
        <f>IFERROR(__xludf.DUMMYFUNCTION("""COMPUTED_VALUE"""),4.0)</f>
        <v>4</v>
      </c>
      <c r="P213" s="213"/>
      <c r="Q213" s="213"/>
      <c r="R213" s="213" t="str">
        <f>IFERROR(__xludf.DUMMYFUNCTION("""COMPUTED_VALUE"""),"SI")</f>
        <v>SI</v>
      </c>
      <c r="S213" s="213"/>
      <c r="T213" s="213" t="str">
        <f>IFERROR(__xludf.DUMMYFUNCTION("""COMPUTED_VALUE"""),"SI")</f>
        <v>SI</v>
      </c>
      <c r="U213" s="213" t="str">
        <f>IFERROR(__xludf.DUMMYFUNCTION("""COMPUTED_VALUE"""),"SI")</f>
        <v>SI</v>
      </c>
      <c r="V213" s="213" t="str">
        <f>IFERROR(__xludf.DUMMYFUNCTION("""COMPUTED_VALUE"""),"-")</f>
        <v>-</v>
      </c>
      <c r="W213" s="213" t="str">
        <f>IFERROR(__xludf.DUMMYFUNCTION("""COMPUTED_VALUE"""),"-")</f>
        <v>-</v>
      </c>
      <c r="X213" s="213" t="str">
        <f>IFERROR(__xludf.DUMMYFUNCTION("""COMPUTED_VALUE"""),"MULTICOMP")</f>
        <v>MULTICOMP</v>
      </c>
      <c r="Y213" s="213" t="str">
        <f>IFERROR(__xludf.DUMMYFUNCTION("""COMPUTED_VALUE"""),"MP780997")</f>
        <v>MP780997</v>
      </c>
      <c r="Z213" s="215" t="str">
        <f>IFERROR(__xludf.DUMMYFUNCTION("""COMPUTED_VALUE"""),"https://es.farnell.com/en-ES/multicomp-pro/mp780997/laser-distance-meter-50m-lcd-2xaaa/dp/4179002?srsltid=AfmBOoreugdqCmy_36Zv7n25NHkQ1r4ejExpmv-bbTJmh6vQ2h2UsHWb")</f>
        <v>https://es.farnell.com/en-ES/multicomp-pro/mp780997/laser-distance-meter-50m-lcd-2xaaa/dp/4179002?srsltid=AfmBOoreugdqCmy_36Zv7n25NHkQ1r4ejExpmv-bbTJmh6vQ2h2UsHWb</v>
      </c>
      <c r="AA213" s="213" t="str">
        <f>IFERROR(__xludf.DUMMYFUNCTION("""COMPUTED_VALUE"""),"COM-153 DISTANCIÓMETRO LASER DE 20 M - CET")</f>
        <v>COM-153 DISTANCIÓMETRO LASER DE 20 M - CET</v>
      </c>
      <c r="AB213" s="215" t="str">
        <f>IFERROR(__xludf.DUMMYFUNCTION("""COMPUTED_VALUE"""),"https://drive.google.com/file/d/1lvWvOWE1w7deQO8Q2dCaZNS7vv-s00m6/view?usp=sharing")</f>
        <v>https://drive.google.com/file/d/1lvWvOWE1w7deQO8Q2dCaZNS7vv-s00m6/view?usp=sharing</v>
      </c>
      <c r="AC213" s="215" t="str">
        <f>IFERROR(__xludf.DUMMYFUNCTION("""COMPUTED_VALUE"""),"https://es.farnell.com/en-ES/multicomp-pro/mp780997/laser-distance-meter-50m-lcd-2xaaa/dp/4179002?srsltid=AfmBOoreugdqCmy_36Zv7n25NHkQ1r4ejExpmv-bbTJmh6vQ2h2UsHWb")</f>
        <v>https://es.farnell.com/en-ES/multicomp-pro/mp780997/laser-distance-meter-50m-lcd-2xaaa/dp/4179002?srsltid=AfmBOoreugdqCmy_36Zv7n25NHkQ1r4ejExpmv-bbTJmh6vQ2h2UsHWb</v>
      </c>
      <c r="AD213" s="213"/>
      <c r="AE213" s="213"/>
      <c r="AF213" s="213"/>
      <c r="AG213" s="213"/>
      <c r="AH213" s="213" t="str">
        <f>IFERROR(__xludf.DUMMYFUNCTION("""COMPUTED_VALUE"""),"IMPORTADO")</f>
        <v>IMPORTADO</v>
      </c>
      <c r="AI213" s="213"/>
      <c r="AJ213" s="213"/>
      <c r="AK213" s="213"/>
      <c r="AL213" s="213"/>
      <c r="AM213" s="213"/>
      <c r="AN213" s="213"/>
      <c r="AO213" s="213"/>
      <c r="AP213" s="213" t="str">
        <f>IFERROR(__xludf.DUMMYFUNCTION("""COMPUTED_VALUE"""),"SEBASTIAN")</f>
        <v>SEBASTIAN</v>
      </c>
      <c r="AQ213" s="213"/>
      <c r="AR213" s="213"/>
      <c r="AS213" s="213"/>
      <c r="AT213" s="213"/>
      <c r="AU213" s="213"/>
      <c r="AV213" s="213"/>
      <c r="AW213" s="213"/>
      <c r="AX213" s="213"/>
      <c r="AY213" s="213"/>
      <c r="AZ213" s="213"/>
      <c r="BA213" s="213"/>
      <c r="BB213" s="213"/>
      <c r="BC213" s="213"/>
      <c r="BD213" s="213"/>
    </row>
    <row r="214">
      <c r="A214" s="213">
        <f>IFERROR(__xludf.DUMMYFUNCTION("""COMPUTED_VALUE"""),977.0)</f>
        <v>977</v>
      </c>
      <c r="B214" s="213" t="str">
        <f>IFERROR(__xludf.DUMMYFUNCTION("""COMPUTED_VALUE"""),"FRANCISCO IRAZOLA")</f>
        <v>FRANCISCO IRAZOLA</v>
      </c>
      <c r="C214" s="213" t="str">
        <f>IFERROR(__xludf.DUMMYFUNCTION("""COMPUTED_VALUE"""),"TALLER SFT DE MECÁNICA AUTOMOTRIZ")</f>
        <v>TALLER SFT DE MECÁNICA AUTOMOTRIZ</v>
      </c>
      <c r="D214" s="213" t="str">
        <f>IFERROR(__xludf.DUMMYFUNCTION("""COMPUTED_VALUE"""),"HERRAMIENTAS")</f>
        <v>HERRAMIENTAS</v>
      </c>
      <c r="E214" s="213" t="str">
        <f>IFERROR(__xludf.DUMMYFUNCTION("""COMPUTED_VALUE"""),"COM-155")</f>
        <v>COM-155</v>
      </c>
      <c r="F214" s="213" t="str">
        <f>IFERROR(__xludf.DUMMYFUNCTION("""COMPUTED_VALUE"""),"COM-155")</f>
        <v>COM-155</v>
      </c>
      <c r="G214" s="213"/>
      <c r="H214" s="213" t="str">
        <f>IFERROR(__xludf.DUMMYFUNCTION("""COMPUTED_VALUE"""),"EMBUDO DE USO INDUSTRIAL")</f>
        <v>EMBUDO DE USO INDUSTRIAL</v>
      </c>
      <c r="I214" s="213" t="str">
        <f>IFERROR(__xludf.DUMMYFUNCTION("""COMPUTED_VALUE"""),"Uso industrial
Capacidad de mínima 3 litros Con asa, para mejor agarre Fabricado en acero.
Con rejilla o filtro.
Dímetro mínimo de salida 20mm")</f>
        <v>Uso industrial
Capacidad de mínima 3 litros Con asa, para mejor agarre Fabricado en acero.
Con rejilla o filtro.
Dímetro mínimo de salida 20mm</v>
      </c>
      <c r="J214" s="213">
        <f>IFERROR(__xludf.DUMMYFUNCTION("""COMPUTED_VALUE"""),3.0)</f>
        <v>3</v>
      </c>
      <c r="K214" s="213" t="str">
        <f>IFERROR(__xludf.DUMMYFUNCTION("""COMPUTED_VALUE"""),"90 DÍAS CALENDARIO")</f>
        <v>90 DÍAS CALENDARIO</v>
      </c>
      <c r="L214" s="213" t="str">
        <f>IFERROR(__xludf.DUMMYFUNCTION("""COMPUTED_VALUE"""),"")</f>
        <v/>
      </c>
      <c r="M214" s="213">
        <f>IFERROR(__xludf.DUMMYFUNCTION("""COMPUTED_VALUE"""),1.0)</f>
        <v>1</v>
      </c>
      <c r="N214" s="213">
        <f>IFERROR(__xludf.DUMMYFUNCTION("""COMPUTED_VALUE"""),1.0)</f>
        <v>1</v>
      </c>
      <c r="O214" s="213">
        <f>IFERROR(__xludf.DUMMYFUNCTION("""COMPUTED_VALUE"""),1.0)</f>
        <v>1</v>
      </c>
      <c r="P214" s="213"/>
      <c r="Q214" s="213"/>
      <c r="R214" s="213"/>
      <c r="S214" s="213"/>
      <c r="T214" s="213" t="str">
        <f>IFERROR(__xludf.DUMMYFUNCTION("""COMPUTED_VALUE"""),"CONSULTA FINAL")</f>
        <v>CONSULTA FINAL</v>
      </c>
      <c r="U214" s="213" t="str">
        <f>IFERROR(__xludf.DUMMYFUNCTION("""COMPUTED_VALUE"""),"NO")</f>
        <v>NO</v>
      </c>
      <c r="V214" s="213" t="str">
        <f>IFERROR(__xludf.DUMMYFUNCTION("""COMPUTED_VALUE"""),"SUSTENTO")</f>
        <v>SUSTENTO</v>
      </c>
      <c r="W214" s="213" t="str">
        <f>IFERROR(__xludf.DUMMYFUNCTION("""COMPUTED_VALUE"""),"CRÍTICO")</f>
        <v>CRÍTICO</v>
      </c>
      <c r="X214" s="213" t="str">
        <f>IFERROR(__xludf.DUMMYFUNCTION("""COMPUTED_VALUE"""),"YUANYAO		")</f>
        <v>YUANYAO		</v>
      </c>
      <c r="Y214" s="213" t="str">
        <f>IFERROR(__xludf.DUMMYFUNCTION("""COMPUTED_VALUE"""),"B0F7G8SP8L")</f>
        <v>B0F7G8SP8L</v>
      </c>
      <c r="Z214" s="215" t="str">
        <f>IFERROR(__xludf.DUMMYFUNCTION("""COMPUTED_VALUE"""),"https://www.amazon.es/inoxidable-espesante-maquinaria-alimentos-alimentaci%C3%B3n/dp/B0F7G8SP8L?th=1")</f>
        <v>https://www.amazon.es/inoxidable-espesante-maquinaria-alimentos-alimentaci%C3%B3n/dp/B0F7G8SP8L?th=1</v>
      </c>
      <c r="AA214" s="213" t="str">
        <f>IFERROR(__xludf.DUMMYFUNCTION("""COMPUTED_VALUE"""),"COM-155 EMBUDO DE USO INDUSTRIAL - CET")</f>
        <v>COM-155 EMBUDO DE USO INDUSTRIAL - CET</v>
      </c>
      <c r="AB214" s="213"/>
      <c r="AC214" s="213"/>
      <c r="AD214" s="213"/>
      <c r="AE214" s="213"/>
      <c r="AF214" s="213"/>
      <c r="AG214" s="213"/>
      <c r="AH214" s="213"/>
      <c r="AI214" s="213"/>
      <c r="AJ214" s="213"/>
      <c r="AK214" s="213"/>
      <c r="AL214" s="213"/>
      <c r="AM214" s="213"/>
      <c r="AN214" s="213"/>
      <c r="AO214" s="213"/>
      <c r="AP214" s="213" t="str">
        <f>IFERROR(__xludf.DUMMYFUNCTION("""COMPUTED_VALUE"""),"SEBASTIAN")</f>
        <v>SEBASTIAN</v>
      </c>
      <c r="AQ214" s="213"/>
      <c r="AR214" s="213"/>
      <c r="AS214" s="213" t="str">
        <f>IFERROR(__xludf.DUMMYFUNCTION("""COMPUTED_VALUE"""),"No es completamente de acero, sino que también tiene HDPE.")</f>
        <v>No es completamente de acero, sino que también tiene HDPE.</v>
      </c>
      <c r="AT214" s="213"/>
      <c r="AU214" s="213"/>
      <c r="AV214" s="213"/>
      <c r="AW214" s="213"/>
      <c r="AX214" s="213"/>
      <c r="AY214" s="213"/>
      <c r="AZ214" s="213"/>
      <c r="BA214" s="213"/>
      <c r="BB214" s="213"/>
      <c r="BC214" s="213"/>
      <c r="BD214" s="213"/>
    </row>
    <row r="215">
      <c r="A215" s="213">
        <f>IFERROR(__xludf.DUMMYFUNCTION("""COMPUTED_VALUE"""),1578.0)</f>
        <v>1578</v>
      </c>
      <c r="B215" s="213" t="str">
        <f>IFERROR(__xludf.DUMMYFUNCTION("""COMPUTED_VALUE"""),"GUILLERMO E. BILLINGHURST ")</f>
        <v>GUILLERMO E. BILLINGHURST </v>
      </c>
      <c r="C215" s="213" t="str">
        <f>IFERROR(__xludf.DUMMYFUNCTION("""COMPUTED_VALUE"""),"TALLER SFT DE MECÁNICA AUTOMOTRIZ")</f>
        <v>TALLER SFT DE MECÁNICA AUTOMOTRIZ</v>
      </c>
      <c r="D215" s="213" t="str">
        <f>IFERROR(__xludf.DUMMYFUNCTION("""COMPUTED_VALUE"""),"HERRAMIENTAS")</f>
        <v>HERRAMIENTAS</v>
      </c>
      <c r="E215" s="213" t="str">
        <f>IFERROR(__xludf.DUMMYFUNCTION("""COMPUTED_VALUE"""),"COM-155")</f>
        <v>COM-155</v>
      </c>
      <c r="F215" s="213" t="str">
        <f>IFERROR(__xludf.DUMMYFUNCTION("""COMPUTED_VALUE"""),"COM-155")</f>
        <v>COM-155</v>
      </c>
      <c r="G215" s="213"/>
      <c r="H215" s="213" t="str">
        <f>IFERROR(__xludf.DUMMYFUNCTION("""COMPUTED_VALUE"""),"EMBUDO DE USO INDUSTRIAL")</f>
        <v>EMBUDO DE USO INDUSTRIAL</v>
      </c>
      <c r="I215" s="213" t="str">
        <f>IFERROR(__xludf.DUMMYFUNCTION("""COMPUTED_VALUE"""),"Uso industrial
Capacidad de mínima 3 litros Con asa, para mejor agarre Fabricado en acero.
Con rejilla o filtro.
Dímetro mínimo de salida 20mm")</f>
        <v>Uso industrial
Capacidad de mínima 3 litros Con asa, para mejor agarre Fabricado en acero.
Con rejilla o filtro.
Dímetro mínimo de salida 20mm</v>
      </c>
      <c r="J215" s="213">
        <f>IFERROR(__xludf.DUMMYFUNCTION("""COMPUTED_VALUE"""),3.0)</f>
        <v>3</v>
      </c>
      <c r="K215" s="213" t="str">
        <f>IFERROR(__xludf.DUMMYFUNCTION("""COMPUTED_VALUE"""),"90 DÍAS CALENDARIO")</f>
        <v>90 DÍAS CALENDARIO</v>
      </c>
      <c r="L215" s="213" t="str">
        <f>IFERROR(__xludf.DUMMYFUNCTION("""COMPUTED_VALUE"""),"")</f>
        <v/>
      </c>
      <c r="M215" s="213">
        <f>IFERROR(__xludf.DUMMYFUNCTION("""COMPUTED_VALUE"""),1.0)</f>
        <v>1</v>
      </c>
      <c r="N215" s="213">
        <f>IFERROR(__xludf.DUMMYFUNCTION("""COMPUTED_VALUE"""),1.0)</f>
        <v>1</v>
      </c>
      <c r="O215" s="213">
        <f>IFERROR(__xludf.DUMMYFUNCTION("""COMPUTED_VALUE"""),1.0)</f>
        <v>1</v>
      </c>
      <c r="P215" s="213"/>
      <c r="Q215" s="213"/>
      <c r="R215" s="213"/>
      <c r="S215" s="213"/>
      <c r="T215" s="213" t="str">
        <f>IFERROR(__xludf.DUMMYFUNCTION("""COMPUTED_VALUE"""),"CONSULTA FINAL")</f>
        <v>CONSULTA FINAL</v>
      </c>
      <c r="U215" s="213" t="str">
        <f>IFERROR(__xludf.DUMMYFUNCTION("""COMPUTED_VALUE"""),"NO")</f>
        <v>NO</v>
      </c>
      <c r="V215" s="213" t="str">
        <f>IFERROR(__xludf.DUMMYFUNCTION("""COMPUTED_VALUE"""),"SUSTENTO")</f>
        <v>SUSTENTO</v>
      </c>
      <c r="W215" s="213" t="str">
        <f>IFERROR(__xludf.DUMMYFUNCTION("""COMPUTED_VALUE"""),"CRÍTICO")</f>
        <v>CRÍTICO</v>
      </c>
      <c r="X215" s="213" t="str">
        <f>IFERROR(__xludf.DUMMYFUNCTION("""COMPUTED_VALUE"""),"YUANYAO		")</f>
        <v>YUANYAO		</v>
      </c>
      <c r="Y215" s="213" t="str">
        <f>IFERROR(__xludf.DUMMYFUNCTION("""COMPUTED_VALUE"""),"B0F7G8SP8L")</f>
        <v>B0F7G8SP8L</v>
      </c>
      <c r="Z215" s="215" t="str">
        <f>IFERROR(__xludf.DUMMYFUNCTION("""COMPUTED_VALUE"""),"https://www.amazon.es/inoxidable-espesante-maquinaria-alimentos-alimentaci%C3%B3n/dp/B0F7G8SP8L?th=1")</f>
        <v>https://www.amazon.es/inoxidable-espesante-maquinaria-alimentos-alimentaci%C3%B3n/dp/B0F7G8SP8L?th=1</v>
      </c>
      <c r="AA215" s="215" t="str">
        <f>IFERROR(__xludf.DUMMYFUNCTION("""COMPUTED_VALUE"""),"https://docs.google.com/spreadsheets/d/10-F5GkEDVjxVTrWs0qKhAWWDQbXKvCWNscT26_47t2M/edit?gid=0#gid=1")</f>
        <v>https://docs.google.com/spreadsheets/d/10-F5GkEDVjxVTrWs0qKhAWWDQbXKvCWNscT26_47t2M/edit?gid=0#gid=1</v>
      </c>
      <c r="AB215" s="213"/>
      <c r="AC215" s="213"/>
      <c r="AD215" s="213"/>
      <c r="AE215" s="213"/>
      <c r="AF215" s="213"/>
      <c r="AG215" s="213"/>
      <c r="AH215" s="213"/>
      <c r="AI215" s="213"/>
      <c r="AJ215" s="213"/>
      <c r="AK215" s="213"/>
      <c r="AL215" s="213"/>
      <c r="AM215" s="213"/>
      <c r="AN215" s="213"/>
      <c r="AO215" s="213"/>
      <c r="AP215" s="213" t="str">
        <f>IFERROR(__xludf.DUMMYFUNCTION("""COMPUTED_VALUE"""),"SEBASTIAN")</f>
        <v>SEBASTIAN</v>
      </c>
      <c r="AQ215" s="213"/>
      <c r="AR215" s="213"/>
      <c r="AS215" s="213" t="str">
        <f>IFERROR(__xludf.DUMMYFUNCTION("""COMPUTED_VALUE"""),"No es completamente de acero, sino que también tiene HDPE.")</f>
        <v>No es completamente de acero, sino que también tiene HDPE.</v>
      </c>
      <c r="AT215" s="213"/>
      <c r="AU215" s="213"/>
      <c r="AV215" s="213"/>
      <c r="AW215" s="213"/>
      <c r="AX215" s="213"/>
      <c r="AY215" s="213"/>
      <c r="AZ215" s="213"/>
      <c r="BA215" s="213"/>
      <c r="BB215" s="213"/>
      <c r="BC215" s="213"/>
      <c r="BD215" s="213"/>
    </row>
    <row r="216">
      <c r="A216" s="213">
        <f>IFERROR(__xludf.DUMMYFUNCTION("""COMPUTED_VALUE"""),123.0)</f>
        <v>123</v>
      </c>
      <c r="B216" s="213" t="str">
        <f>IFERROR(__xludf.DUMMYFUNCTION("""COMPUTED_VALUE"""),"16449 ELOY SOBERON  FLORES")</f>
        <v>16449 ELOY SOBERON  FLORES</v>
      </c>
      <c r="C216" s="213" t="str">
        <f>IFERROR(__xludf.DUMMYFUNCTION("""COMPUTED_VALUE"""),"TALLER SFT DE COCINA Y REPOSTERÍA")</f>
        <v>TALLER SFT DE COCINA Y REPOSTERÍA</v>
      </c>
      <c r="D216" s="213" t="str">
        <f>IFERROR(__xludf.DUMMYFUNCTION("""COMPUTED_VALUE"""),"EQUIPOS")</f>
        <v>EQUIPOS</v>
      </c>
      <c r="E216" s="213" t="str">
        <f>IFERROR(__xludf.DUMMYFUNCTION("""COMPUTED_VALUE"""),"ESP-111")</f>
        <v>ESP-111</v>
      </c>
      <c r="F216" s="213" t="str">
        <f>IFERROR(__xludf.DUMMYFUNCTION("""COMPUTED_VALUE"""),"ESP-111")</f>
        <v>ESP-111</v>
      </c>
      <c r="G216" s="213"/>
      <c r="H216" s="213" t="str">
        <f>IFERROR(__xludf.DUMMYFUNCTION("""COMPUTED_VALUE"""),"BATIDORA")</f>
        <v>BATIDORA</v>
      </c>
      <c r="I216" s="213" t="str">
        <f>IFERROR(__xludf.DUMMYFUNCTION("""COMPUTED_VALUE"""),".  Elevación de bowl: manual
.  Volumen de bowl minima : 40lts.
.  Velocidades: 3/105-210-323 rpm.
. Control: mecánico
. Votaje: 220V/60Hz.
.  Potencia Elétrica minima : 0.75Kw")</f>
        <v>.  Elevación de bowl: manual
.  Volumen de bowl minima : 40lts.
.  Velocidades: 3/105-210-323 rpm.
. Control: mecánico
. Votaje: 220V/60Hz.
.  Potencia Elétrica minima : 0.75Kw</v>
      </c>
      <c r="J216" s="213">
        <f>IFERROR(__xludf.DUMMYFUNCTION("""COMPUTED_VALUE"""),3.0)</f>
        <v>3</v>
      </c>
      <c r="K216" s="213" t="str">
        <f>IFERROR(__xludf.DUMMYFUNCTION("""COMPUTED_VALUE"""),"170 DÍAS CALENDARIO")</f>
        <v>170 DÍAS CALENDARIO</v>
      </c>
      <c r="L216" s="213" t="str">
        <f>IFERROR(__xludf.DUMMYFUNCTION("""COMPUTED_VALUE"""),"")</f>
        <v/>
      </c>
      <c r="M216" s="213">
        <f>IFERROR(__xludf.DUMMYFUNCTION("""COMPUTED_VALUE"""),1.0)</f>
        <v>1</v>
      </c>
      <c r="N216" s="213">
        <f>IFERROR(__xludf.DUMMYFUNCTION("""COMPUTED_VALUE"""),1.0)</f>
        <v>1</v>
      </c>
      <c r="O216" s="213">
        <f>IFERROR(__xludf.DUMMYFUNCTION("""COMPUTED_VALUE"""),1.0)</f>
        <v>1</v>
      </c>
      <c r="P216" s="213"/>
      <c r="Q216" s="213"/>
      <c r="R216" s="213"/>
      <c r="S216" s="213" t="str">
        <f>IFERROR(__xludf.DUMMYFUNCTION("""COMPUTED_VALUE"""),"SI")</f>
        <v>SI</v>
      </c>
      <c r="T216" s="213" t="str">
        <f>IFERROR(__xludf.DUMMYFUNCTION("""COMPUTED_VALUE"""),"SI")</f>
        <v>SI</v>
      </c>
      <c r="U216" s="213" t="str">
        <f>IFERROR(__xludf.DUMMYFUNCTION("""COMPUTED_VALUE"""),"SI")</f>
        <v>SI</v>
      </c>
      <c r="V216" s="213" t="str">
        <f>IFERROR(__xludf.DUMMYFUNCTION("""COMPUTED_VALUE"""),"-")</f>
        <v>-</v>
      </c>
      <c r="W216" s="213" t="str">
        <f>IFERROR(__xludf.DUMMYFUNCTION("""COMPUTED_VALUE"""),"-")</f>
        <v>-</v>
      </c>
      <c r="X216" s="213" t="str">
        <f>IFERROR(__xludf.DUMMYFUNCTION("""COMPUTED_VALUE"""),"SINMAG")</f>
        <v>SINMAG</v>
      </c>
      <c r="Y216" s="213" t="str">
        <f>IFERROR(__xludf.DUMMYFUNCTION("""COMPUTED_VALUE"""),"SM-401")</f>
        <v>SM-401</v>
      </c>
      <c r="Z216" s="215" t="str">
        <f>IFERROR(__xludf.DUMMYFUNCTION("""COMPUTED_VALUE"""),"https://www.sinmag.com/en/prodetails/136/511.html")</f>
        <v>https://www.sinmag.com/en/prodetails/136/511.html</v>
      </c>
      <c r="AA216" s="213" t="str">
        <f>IFERROR(__xludf.DUMMYFUNCTION("""COMPUTED_VALUE"""),"ESP-111 BATIDORA - CET")</f>
        <v>ESP-111 BATIDORA - CET</v>
      </c>
      <c r="AB216" s="213"/>
      <c r="AC216" s="213"/>
      <c r="AD216" s="213"/>
      <c r="AE216" s="213"/>
      <c r="AF216" s="213"/>
      <c r="AG216" s="213"/>
      <c r="AH216" s="213" t="str">
        <f>IFERROR(__xludf.DUMMYFUNCTION("""COMPUTED_VALUE"""),"NACIONAL")</f>
        <v>NACIONAL</v>
      </c>
      <c r="AI216" s="213"/>
      <c r="AJ216" s="213"/>
      <c r="AK216" s="213"/>
      <c r="AL216" s="213"/>
      <c r="AM216" s="213"/>
      <c r="AN216" s="213"/>
      <c r="AO216" s="213"/>
      <c r="AP216" s="213" t="str">
        <f>IFERROR(__xludf.DUMMYFUNCTION("""COMPUTED_VALUE"""),"JASON")</f>
        <v>JASON</v>
      </c>
      <c r="AQ216" s="213"/>
      <c r="AR216" s="213"/>
      <c r="AS216" s="213" t="str">
        <f>IFERROR(__xludf.DUMMYFUNCTION("""COMPUTED_VALUE"""),"BANCO O TABLA DE SOPORTE")</f>
        <v>BANCO O TABLA DE SOPORTE</v>
      </c>
      <c r="AT216" s="213"/>
      <c r="AU216" s="213"/>
      <c r="AV216" s="213"/>
      <c r="AW216" s="213"/>
      <c r="AX216" s="213"/>
      <c r="AY216" s="213"/>
      <c r="AZ216" s="213"/>
      <c r="BA216" s="213"/>
      <c r="BB216" s="213"/>
      <c r="BC216" s="213"/>
      <c r="BD216" s="213"/>
    </row>
    <row r="217">
      <c r="A217" s="213">
        <f>IFERROR(__xludf.DUMMYFUNCTION("""COMPUTED_VALUE"""),556.0)</f>
        <v>556</v>
      </c>
      <c r="B217" s="213" t="str">
        <f>IFERROR(__xludf.DUMMYFUNCTION("""COMPUTED_VALUE"""),"2026 SIMON BOLIVAR")</f>
        <v>2026 SIMON BOLIVAR</v>
      </c>
      <c r="C217" s="213" t="str">
        <f>IFERROR(__xludf.DUMMYFUNCTION("""COMPUTED_VALUE"""),"TALLER SFT DE INDUSTRIA ALIMENTARIA")</f>
        <v>TALLER SFT DE INDUSTRIA ALIMENTARIA</v>
      </c>
      <c r="D217" s="213" t="str">
        <f>IFERROR(__xludf.DUMMYFUNCTION("""COMPUTED_VALUE"""),"EQUIPOS")</f>
        <v>EQUIPOS</v>
      </c>
      <c r="E217" s="213" t="str">
        <f>IFERROR(__xludf.DUMMYFUNCTION("""COMPUTED_VALUE"""),"ESP-112")</f>
        <v>ESP-112</v>
      </c>
      <c r="F217" s="213" t="str">
        <f>IFERROR(__xludf.DUMMYFUNCTION("""COMPUTED_VALUE"""),"ESP-112")</f>
        <v>ESP-112</v>
      </c>
      <c r="G217" s="213"/>
      <c r="H217" s="213" t="str">
        <f>IFERROR(__xludf.DUMMYFUNCTION("""COMPUTED_VALUE"""),"BATIDORA AMASADORA MEZCLADORA 5 LT")</f>
        <v>BATIDORA AMASADORA MEZCLADORA 5 LT</v>
      </c>
      <c r="I217" s="213" t="str">
        <f>IFERROR(__xludf.DUMMYFUNCTION("""COMPUTED_VALUE"""),"· Capacidad: 5 LITROS
· Material: Vinilo y acero inoxidable
· Medida de Cable Poder: 1.3 metros
· Energía: 220 V
· Frecuencia: 60 Hz
· Potencia Watts: 800 Watts
· Dimensión aproximada del Producto (cm): 38 x 18 x 36 cm
· Peso Neto (kg): 6.42 Kg
* Incluye "&amp;"una funda protectora impermeable para su almacenamiento.")</f>
        <v>· Capacidad: 5 LITROS
· Material: Vinilo y acero inoxidable
· Medida de Cable Poder: 1.3 metros
· Energía: 220 V
· Frecuencia: 60 Hz
· Potencia Watts: 800 Watts
· Dimensión aproximada del Producto (cm): 38 x 18 x 36 cm
· Peso Neto (kg): 6.42 Kg
* Incluye una funda protectora impermeable para su almacenamiento.</v>
      </c>
      <c r="J217" s="213">
        <f>IFERROR(__xludf.DUMMYFUNCTION("""COMPUTED_VALUE"""),3.0)</f>
        <v>3</v>
      </c>
      <c r="K217" s="213" t="str">
        <f>IFERROR(__xludf.DUMMYFUNCTION("""COMPUTED_VALUE"""),"170 DÍAS CALENDARIO")</f>
        <v>170 DÍAS CALENDARIO</v>
      </c>
      <c r="L217" s="213" t="str">
        <f>IFERROR(__xludf.DUMMYFUNCTION("""COMPUTED_VALUE"""),"")</f>
        <v/>
      </c>
      <c r="M217" s="213">
        <f>IFERROR(__xludf.DUMMYFUNCTION("""COMPUTED_VALUE"""),1.0)</f>
        <v>1</v>
      </c>
      <c r="N217" s="213">
        <f>IFERROR(__xludf.DUMMYFUNCTION("""COMPUTED_VALUE"""),1.0)</f>
        <v>1</v>
      </c>
      <c r="O217" s="213">
        <f>IFERROR(__xludf.DUMMYFUNCTION("""COMPUTED_VALUE"""),1.0)</f>
        <v>1</v>
      </c>
      <c r="P217" s="213"/>
      <c r="Q217" s="213"/>
      <c r="R217" s="213"/>
      <c r="S217" s="213" t="str">
        <f>IFERROR(__xludf.DUMMYFUNCTION("""COMPUTED_VALUE"""),"SI")</f>
        <v>SI</v>
      </c>
      <c r="T217" s="213" t="str">
        <f>IFERROR(__xludf.DUMMYFUNCTION("""COMPUTED_VALUE"""),"CONSULTA FINAL")</f>
        <v>CONSULTA FINAL</v>
      </c>
      <c r="U217" s="213" t="str">
        <f>IFERROR(__xludf.DUMMYFUNCTION("""COMPUTED_VALUE"""),"SI")</f>
        <v>SI</v>
      </c>
      <c r="V217" s="213" t="str">
        <f>IFERROR(__xludf.DUMMYFUNCTION("""COMPUTED_VALUE"""),"-")</f>
        <v>-</v>
      </c>
      <c r="W217" s="213" t="str">
        <f>IFERROR(__xludf.DUMMYFUNCTION("""COMPUTED_VALUE"""),"-")</f>
        <v>-</v>
      </c>
      <c r="X217" s="213" t="str">
        <f>IFERROR(__xludf.DUMMYFUNCTION("""COMPUTED_VALUE"""),"VIKALE")</f>
        <v>VIKALE</v>
      </c>
      <c r="Y217" s="213" t="str">
        <f>IFERROR(__xludf.DUMMYFUNCTION("""COMPUTED_VALUE"""),"B5HH-983")</f>
        <v>B5HH-983</v>
      </c>
      <c r="Z217" s="215" t="str">
        <f>IFERROR(__xludf.DUMMYFUNCTION("""COMPUTED_VALUE"""),"https://www.maquinaelectroperu.com/vikale-b5hh-983/vikale-b5hh-983/")</f>
        <v>https://www.maquinaelectroperu.com/vikale-b5hh-983/vikale-b5hh-983/</v>
      </c>
      <c r="AA217" s="213" t="str">
        <f>IFERROR(__xludf.DUMMYFUNCTION("""COMPUTED_VALUE"""),"ESP-112 BATIDORA AMASADORA MEZCLADORA 5 LT - CET")</f>
        <v>ESP-112 BATIDORA AMASADORA MEZCLADORA 5 LT - CET</v>
      </c>
      <c r="AB217" s="213"/>
      <c r="AC217" s="213"/>
      <c r="AD217" s="213"/>
      <c r="AE217" s="213"/>
      <c r="AF217" s="213"/>
      <c r="AG217" s="213"/>
      <c r="AH217" s="213"/>
      <c r="AI217" s="213"/>
      <c r="AJ217" s="213"/>
      <c r="AK217" s="213"/>
      <c r="AL217" s="213"/>
      <c r="AM217" s="213"/>
      <c r="AN217" s="213"/>
      <c r="AO217" s="213"/>
      <c r="AP217" s="213" t="str">
        <f>IFERROR(__xludf.DUMMYFUNCTION("""COMPUTED_VALUE"""),"ANTONELLA")</f>
        <v>ANTONELLA</v>
      </c>
      <c r="AQ217" s="213" t="str">
        <f>IFERROR(__xludf.DUMMYFUNCTION("""COMPUTED_VALUE"""),"No se tiene certeza de la longitud del cable. El material es ABS, no vinilo")</f>
        <v>No se tiene certeza de la longitud del cable. El material es ABS, no vinilo</v>
      </c>
      <c r="AR217" s="213"/>
      <c r="AS217" s="213" t="str">
        <f>IFERROR(__xludf.DUMMYFUNCTION("""COMPUTED_VALUE"""),"FUNDA PROTECTORA")</f>
        <v>FUNDA PROTECTORA</v>
      </c>
      <c r="AT217" s="213"/>
      <c r="AU217" s="213"/>
      <c r="AV217" s="213"/>
      <c r="AW217" s="213"/>
      <c r="AX217" s="213"/>
      <c r="AY217" s="213"/>
      <c r="AZ217" s="213"/>
      <c r="BA217" s="213"/>
      <c r="BB217" s="213"/>
      <c r="BC217" s="213"/>
      <c r="BD217" s="213"/>
    </row>
    <row r="218">
      <c r="A218" s="213">
        <f>IFERROR(__xludf.DUMMYFUNCTION("""COMPUTED_VALUE"""),1183.0)</f>
        <v>1183</v>
      </c>
      <c r="B218" s="213" t="str">
        <f>IFERROR(__xludf.DUMMYFUNCTION("""COMPUTED_VALUE"""),"FRANCISCO IRAZOLA")</f>
        <v>FRANCISCO IRAZOLA</v>
      </c>
      <c r="C218" s="213" t="str">
        <f>IFERROR(__xludf.DUMMYFUNCTION("""COMPUTED_VALUE"""),"TALLER SFT DE INDUSTRIA ALIMENTARIA")</f>
        <v>TALLER SFT DE INDUSTRIA ALIMENTARIA</v>
      </c>
      <c r="D218" s="213" t="str">
        <f>IFERROR(__xludf.DUMMYFUNCTION("""COMPUTED_VALUE"""),"EQUIPOS")</f>
        <v>EQUIPOS</v>
      </c>
      <c r="E218" s="213" t="str">
        <f>IFERROR(__xludf.DUMMYFUNCTION("""COMPUTED_VALUE"""),"ESP-112")</f>
        <v>ESP-112</v>
      </c>
      <c r="F218" s="213" t="str">
        <f>IFERROR(__xludf.DUMMYFUNCTION("""COMPUTED_VALUE"""),"ESP-112")</f>
        <v>ESP-112</v>
      </c>
      <c r="G218" s="213"/>
      <c r="H218" s="213" t="str">
        <f>IFERROR(__xludf.DUMMYFUNCTION("""COMPUTED_VALUE"""),"BATIDORA AMASADORA MEZCLADORA 5 LT")</f>
        <v>BATIDORA AMASADORA MEZCLADORA 5 LT</v>
      </c>
      <c r="I218" s="213" t="str">
        <f>IFERROR(__xludf.DUMMYFUNCTION("""COMPUTED_VALUE"""),"· Capacidad: 5 LITROS
· Material: Vinilo y acero inoxidable
· Medida de Cable Poder: 1.3 metros
· Energía: 220 V
· Frecuencia: 60 Hz
· Potencia Watts: 800 Watts
· Dimensión aproximada del Producto (cm): 38 x 18 x 36 cm
· Peso Neto (kg): 6.42 Kg
* Incluye "&amp;"una funda protectora impermeable para su almacenamiento.")</f>
        <v>· Capacidad: 5 LITROS
· Material: Vinilo y acero inoxidable
· Medida de Cable Poder: 1.3 metros
· Energía: 220 V
· Frecuencia: 60 Hz
· Potencia Watts: 800 Watts
· Dimensión aproximada del Producto (cm): 38 x 18 x 36 cm
· Peso Neto (kg): 6.42 Kg
* Incluye una funda protectora impermeable para su almacenamiento.</v>
      </c>
      <c r="J218" s="213">
        <f>IFERROR(__xludf.DUMMYFUNCTION("""COMPUTED_VALUE"""),3.0)</f>
        <v>3</v>
      </c>
      <c r="K218" s="213" t="str">
        <f>IFERROR(__xludf.DUMMYFUNCTION("""COMPUTED_VALUE"""),"170 DÍAS CALENDARIO")</f>
        <v>170 DÍAS CALENDARIO</v>
      </c>
      <c r="L218" s="213" t="str">
        <f>IFERROR(__xludf.DUMMYFUNCTION("""COMPUTED_VALUE"""),"")</f>
        <v/>
      </c>
      <c r="M218" s="213">
        <f>IFERROR(__xludf.DUMMYFUNCTION("""COMPUTED_VALUE"""),1.0)</f>
        <v>1</v>
      </c>
      <c r="N218" s="213">
        <f>IFERROR(__xludf.DUMMYFUNCTION("""COMPUTED_VALUE"""),1.0)</f>
        <v>1</v>
      </c>
      <c r="O218" s="213">
        <f>IFERROR(__xludf.DUMMYFUNCTION("""COMPUTED_VALUE"""),1.0)</f>
        <v>1</v>
      </c>
      <c r="P218" s="213"/>
      <c r="Q218" s="213"/>
      <c r="R218" s="213"/>
      <c r="S218" s="213" t="str">
        <f>IFERROR(__xludf.DUMMYFUNCTION("""COMPUTED_VALUE"""),"SI")</f>
        <v>SI</v>
      </c>
      <c r="T218" s="213" t="str">
        <f>IFERROR(__xludf.DUMMYFUNCTION("""COMPUTED_VALUE"""),"CONSULTA FINAL")</f>
        <v>CONSULTA FINAL</v>
      </c>
      <c r="U218" s="213" t="str">
        <f>IFERROR(__xludf.DUMMYFUNCTION("""COMPUTED_VALUE"""),"SI")</f>
        <v>SI</v>
      </c>
      <c r="V218" s="213" t="str">
        <f>IFERROR(__xludf.DUMMYFUNCTION("""COMPUTED_VALUE"""),"-")</f>
        <v>-</v>
      </c>
      <c r="W218" s="213" t="str">
        <f>IFERROR(__xludf.DUMMYFUNCTION("""COMPUTED_VALUE"""),"-")</f>
        <v>-</v>
      </c>
      <c r="X218" s="213" t="str">
        <f>IFERROR(__xludf.DUMMYFUNCTION("""COMPUTED_VALUE"""),"VIKALE")</f>
        <v>VIKALE</v>
      </c>
      <c r="Y218" s="213" t="str">
        <f>IFERROR(__xludf.DUMMYFUNCTION("""COMPUTED_VALUE"""),"B5HH-983")</f>
        <v>B5HH-983</v>
      </c>
      <c r="Z218" s="215" t="str">
        <f>IFERROR(__xludf.DUMMYFUNCTION("""COMPUTED_VALUE"""),"https://www.maquinaelectroperu.com/vikale-b5hh-983/vikale-b5hh-983/")</f>
        <v>https://www.maquinaelectroperu.com/vikale-b5hh-983/vikale-b5hh-983/</v>
      </c>
      <c r="AA218" s="213" t="str">
        <f>IFERROR(__xludf.DUMMYFUNCTION("""COMPUTED_VALUE"""),"ESP-112 BATIDORA AMASADORA MEZCLADORA 5 LT - CET")</f>
        <v>ESP-112 BATIDORA AMASADORA MEZCLADORA 5 LT - CET</v>
      </c>
      <c r="AB218" s="213"/>
      <c r="AC218" s="213"/>
      <c r="AD218" s="213"/>
      <c r="AE218" s="213"/>
      <c r="AF218" s="213"/>
      <c r="AG218" s="213"/>
      <c r="AH218" s="213"/>
      <c r="AI218" s="213"/>
      <c r="AJ218" s="213"/>
      <c r="AK218" s="213"/>
      <c r="AL218" s="213"/>
      <c r="AM218" s="213"/>
      <c r="AN218" s="213"/>
      <c r="AO218" s="213"/>
      <c r="AP218" s="213" t="str">
        <f>IFERROR(__xludf.DUMMYFUNCTION("""COMPUTED_VALUE"""),"ANTONELLA")</f>
        <v>ANTONELLA</v>
      </c>
      <c r="AQ218" s="213" t="str">
        <f>IFERROR(__xludf.DUMMYFUNCTION("""COMPUTED_VALUE"""),"No se tiene certeza de la longitud del cable. El material es ABS, no vinilo")</f>
        <v>No se tiene certeza de la longitud del cable. El material es ABS, no vinilo</v>
      </c>
      <c r="AR218" s="213"/>
      <c r="AS218" s="213" t="str">
        <f>IFERROR(__xludf.DUMMYFUNCTION("""COMPUTED_VALUE"""),"FUNDA PROTECTORA")</f>
        <v>FUNDA PROTECTORA</v>
      </c>
      <c r="AT218" s="213"/>
      <c r="AU218" s="213"/>
      <c r="AV218" s="213"/>
      <c r="AW218" s="213"/>
      <c r="AX218" s="213"/>
      <c r="AY218" s="213"/>
      <c r="AZ218" s="213"/>
      <c r="BA218" s="213"/>
      <c r="BB218" s="213"/>
      <c r="BC218" s="213"/>
      <c r="BD218" s="213"/>
    </row>
    <row r="219">
      <c r="A219" s="213">
        <f>IFERROR(__xludf.DUMMYFUNCTION("""COMPUTED_VALUE"""),1458.0)</f>
        <v>1458</v>
      </c>
      <c r="B219" s="213" t="str">
        <f>IFERROR(__xludf.DUMMYFUNCTION("""COMPUTED_VALUE"""),"GUILLERMO E. BILLINGHURST ")</f>
        <v>GUILLERMO E. BILLINGHURST </v>
      </c>
      <c r="C219" s="213" t="str">
        <f>IFERROR(__xludf.DUMMYFUNCTION("""COMPUTED_VALUE"""),"TALLER SFT DE INDUSTRIA ALIMENTARIA")</f>
        <v>TALLER SFT DE INDUSTRIA ALIMENTARIA</v>
      </c>
      <c r="D219" s="213" t="str">
        <f>IFERROR(__xludf.DUMMYFUNCTION("""COMPUTED_VALUE"""),"EQUIPOS")</f>
        <v>EQUIPOS</v>
      </c>
      <c r="E219" s="213" t="str">
        <f>IFERROR(__xludf.DUMMYFUNCTION("""COMPUTED_VALUE"""),"ESP-112")</f>
        <v>ESP-112</v>
      </c>
      <c r="F219" s="213" t="str">
        <f>IFERROR(__xludf.DUMMYFUNCTION("""COMPUTED_VALUE"""),"ESP-112")</f>
        <v>ESP-112</v>
      </c>
      <c r="G219" s="213"/>
      <c r="H219" s="213" t="str">
        <f>IFERROR(__xludf.DUMMYFUNCTION("""COMPUTED_VALUE"""),"BATIDORA AMASADORA MEZCLADORA 5 LT")</f>
        <v>BATIDORA AMASADORA MEZCLADORA 5 LT</v>
      </c>
      <c r="I219" s="213" t="str">
        <f>IFERROR(__xludf.DUMMYFUNCTION("""COMPUTED_VALUE"""),"· Capacidad: 5 LITROS
· Material: Vinilo y acero inoxidable
· Medida de Cable Poder: 1.3 metros
· Energía: 220 V
· Frecuencia: 60 Hz
· Potencia Watts: 800 Watts
· Dimensión aproximada del Producto (cm): 38 x 18 x 36 cm
· Peso Neto (kg): 6.42 Kg
* Incluye "&amp;"una funda protectora impermeable para su almacenamiento.")</f>
        <v>· Capacidad: 5 LITROS
· Material: Vinilo y acero inoxidable
· Medida de Cable Poder: 1.3 metros
· Energía: 220 V
· Frecuencia: 60 Hz
· Potencia Watts: 800 Watts
· Dimensión aproximada del Producto (cm): 38 x 18 x 36 cm
· Peso Neto (kg): 6.42 Kg
* Incluye una funda protectora impermeable para su almacenamiento.</v>
      </c>
      <c r="J219" s="213">
        <f>IFERROR(__xludf.DUMMYFUNCTION("""COMPUTED_VALUE"""),3.0)</f>
        <v>3</v>
      </c>
      <c r="K219" s="213" t="str">
        <f>IFERROR(__xludf.DUMMYFUNCTION("""COMPUTED_VALUE"""),"170 DÍAS CALENDARIO")</f>
        <v>170 DÍAS CALENDARIO</v>
      </c>
      <c r="L219" s="213" t="str">
        <f>IFERROR(__xludf.DUMMYFUNCTION("""COMPUTED_VALUE"""),"")</f>
        <v/>
      </c>
      <c r="M219" s="213">
        <f>IFERROR(__xludf.DUMMYFUNCTION("""COMPUTED_VALUE"""),1.0)</f>
        <v>1</v>
      </c>
      <c r="N219" s="213">
        <f>IFERROR(__xludf.DUMMYFUNCTION("""COMPUTED_VALUE"""),1.0)</f>
        <v>1</v>
      </c>
      <c r="O219" s="213">
        <f>IFERROR(__xludf.DUMMYFUNCTION("""COMPUTED_VALUE"""),1.0)</f>
        <v>1</v>
      </c>
      <c r="P219" s="213"/>
      <c r="Q219" s="213"/>
      <c r="R219" s="213"/>
      <c r="S219" s="213" t="str">
        <f>IFERROR(__xludf.DUMMYFUNCTION("""COMPUTED_VALUE"""),"SI")</f>
        <v>SI</v>
      </c>
      <c r="T219" s="213" t="str">
        <f>IFERROR(__xludf.DUMMYFUNCTION("""COMPUTED_VALUE"""),"CONSULTA FINAL")</f>
        <v>CONSULTA FINAL</v>
      </c>
      <c r="U219" s="213" t="str">
        <f>IFERROR(__xludf.DUMMYFUNCTION("""COMPUTED_VALUE"""),"SI")</f>
        <v>SI</v>
      </c>
      <c r="V219" s="213" t="str">
        <f>IFERROR(__xludf.DUMMYFUNCTION("""COMPUTED_VALUE"""),"-")</f>
        <v>-</v>
      </c>
      <c r="W219" s="213" t="str">
        <f>IFERROR(__xludf.DUMMYFUNCTION("""COMPUTED_VALUE"""),"-")</f>
        <v>-</v>
      </c>
      <c r="X219" s="213" t="str">
        <f>IFERROR(__xludf.DUMMYFUNCTION("""COMPUTED_VALUE"""),"VIKALE")</f>
        <v>VIKALE</v>
      </c>
      <c r="Y219" s="213" t="str">
        <f>IFERROR(__xludf.DUMMYFUNCTION("""COMPUTED_VALUE"""),"B5HH-983")</f>
        <v>B5HH-983</v>
      </c>
      <c r="Z219" s="215" t="str">
        <f>IFERROR(__xludf.DUMMYFUNCTION("""COMPUTED_VALUE"""),"https://www.maquinaelectroperu.com/vikale-b5hh-983/vikale-b5hh-983/")</f>
        <v>https://www.maquinaelectroperu.com/vikale-b5hh-983/vikale-b5hh-983/</v>
      </c>
      <c r="AA219" s="213" t="str">
        <f>IFERROR(__xludf.DUMMYFUNCTION("""COMPUTED_VALUE"""),"ESP-112 BATIDORA AMASADORA MEZCLADORA 5 LT - CET")</f>
        <v>ESP-112 BATIDORA AMASADORA MEZCLADORA 5 LT - CET</v>
      </c>
      <c r="AB219" s="213"/>
      <c r="AC219" s="213"/>
      <c r="AD219" s="213"/>
      <c r="AE219" s="213"/>
      <c r="AF219" s="213"/>
      <c r="AG219" s="213"/>
      <c r="AH219" s="213"/>
      <c r="AI219" s="213"/>
      <c r="AJ219" s="213"/>
      <c r="AK219" s="213"/>
      <c r="AL219" s="213"/>
      <c r="AM219" s="213"/>
      <c r="AN219" s="213"/>
      <c r="AO219" s="213"/>
      <c r="AP219" s="213" t="str">
        <f>IFERROR(__xludf.DUMMYFUNCTION("""COMPUTED_VALUE"""),"ANTONELLA")</f>
        <v>ANTONELLA</v>
      </c>
      <c r="AQ219" s="213" t="str">
        <f>IFERROR(__xludf.DUMMYFUNCTION("""COMPUTED_VALUE"""),"No se tiene certeza de la longitud del cable. El material es ABS, no vinilo")</f>
        <v>No se tiene certeza de la longitud del cable. El material es ABS, no vinilo</v>
      </c>
      <c r="AR219" s="213"/>
      <c r="AS219" s="213" t="str">
        <f>IFERROR(__xludf.DUMMYFUNCTION("""COMPUTED_VALUE"""),"FUNDA PROTECTORA")</f>
        <v>FUNDA PROTECTORA</v>
      </c>
      <c r="AT219" s="213"/>
      <c r="AU219" s="213"/>
      <c r="AV219" s="213"/>
      <c r="AW219" s="213"/>
      <c r="AX219" s="213"/>
      <c r="AY219" s="213"/>
      <c r="AZ219" s="213"/>
      <c r="BA219" s="213"/>
      <c r="BB219" s="213"/>
      <c r="BC219" s="213"/>
      <c r="BD219" s="213"/>
    </row>
    <row r="220">
      <c r="A220" s="213">
        <f>IFERROR(__xludf.DUMMYFUNCTION("""COMPUTED_VALUE"""),2145.0)</f>
        <v>2145</v>
      </c>
      <c r="B220" s="213" t="str">
        <f>IFERROR(__xludf.DUMMYFUNCTION("""COMPUTED_VALUE"""),"JOSE GRANDA")</f>
        <v>JOSE GRANDA</v>
      </c>
      <c r="C220" s="213" t="str">
        <f>IFERROR(__xludf.DUMMYFUNCTION("""COMPUTED_VALUE"""),"TALLER SFT DE INDUSTRIA ALIMENTARIA")</f>
        <v>TALLER SFT DE INDUSTRIA ALIMENTARIA</v>
      </c>
      <c r="D220" s="213" t="str">
        <f>IFERROR(__xludf.DUMMYFUNCTION("""COMPUTED_VALUE"""),"EQUIPOS")</f>
        <v>EQUIPOS</v>
      </c>
      <c r="E220" s="213" t="str">
        <f>IFERROR(__xludf.DUMMYFUNCTION("""COMPUTED_VALUE"""),"ESP-112")</f>
        <v>ESP-112</v>
      </c>
      <c r="F220" s="213" t="str">
        <f>IFERROR(__xludf.DUMMYFUNCTION("""COMPUTED_VALUE"""),"ESP-112")</f>
        <v>ESP-112</v>
      </c>
      <c r="G220" s="213"/>
      <c r="H220" s="213" t="str">
        <f>IFERROR(__xludf.DUMMYFUNCTION("""COMPUTED_VALUE"""),"BATIDORA AMASADORA MEZCLADORA 5 LT")</f>
        <v>BATIDORA AMASADORA MEZCLADORA 5 LT</v>
      </c>
      <c r="I220" s="213" t="str">
        <f>IFERROR(__xludf.DUMMYFUNCTION("""COMPUTED_VALUE"""),"· Capacidad: 5 LITROS
· Material: Vinilo y acero inoxidable
· Medida de Cable Poder: 1.3 metros
· Energía: 220 V
· Frecuencia: 60 Hz
· Potencia Watts: 800 Watts
· Dimensión aproximada del Producto (cm): 38 x 18 x 36 cm
· Peso Neto (kg): 6.42 Kg
* Incluye "&amp;"una funda protectora impermeable para su almacenamiento.")</f>
        <v>· Capacidad: 5 LITROS
· Material: Vinilo y acero inoxidable
· Medida de Cable Poder: 1.3 metros
· Energía: 220 V
· Frecuencia: 60 Hz
· Potencia Watts: 800 Watts
· Dimensión aproximada del Producto (cm): 38 x 18 x 36 cm
· Peso Neto (kg): 6.42 Kg
* Incluye una funda protectora impermeable para su almacenamiento.</v>
      </c>
      <c r="J220" s="213">
        <f>IFERROR(__xludf.DUMMYFUNCTION("""COMPUTED_VALUE"""),3.0)</f>
        <v>3</v>
      </c>
      <c r="K220" s="213" t="str">
        <f>IFERROR(__xludf.DUMMYFUNCTION("""COMPUTED_VALUE"""),"170 DÍAS CALENDARIO")</f>
        <v>170 DÍAS CALENDARIO</v>
      </c>
      <c r="L220" s="213" t="str">
        <f>IFERROR(__xludf.DUMMYFUNCTION("""COMPUTED_VALUE"""),"")</f>
        <v/>
      </c>
      <c r="M220" s="213">
        <f>IFERROR(__xludf.DUMMYFUNCTION("""COMPUTED_VALUE"""),1.0)</f>
        <v>1</v>
      </c>
      <c r="N220" s="213">
        <f>IFERROR(__xludf.DUMMYFUNCTION("""COMPUTED_VALUE"""),1.0)</f>
        <v>1</v>
      </c>
      <c r="O220" s="213">
        <f>IFERROR(__xludf.DUMMYFUNCTION("""COMPUTED_VALUE"""),1.0)</f>
        <v>1</v>
      </c>
      <c r="P220" s="213"/>
      <c r="Q220" s="213"/>
      <c r="R220" s="213"/>
      <c r="S220" s="213" t="str">
        <f>IFERROR(__xludf.DUMMYFUNCTION("""COMPUTED_VALUE"""),"SI")</f>
        <v>SI</v>
      </c>
      <c r="T220" s="213" t="str">
        <f>IFERROR(__xludf.DUMMYFUNCTION("""COMPUTED_VALUE"""),"CONSULTA FINAL")</f>
        <v>CONSULTA FINAL</v>
      </c>
      <c r="U220" s="213" t="str">
        <f>IFERROR(__xludf.DUMMYFUNCTION("""COMPUTED_VALUE"""),"SI")</f>
        <v>SI</v>
      </c>
      <c r="V220" s="213" t="str">
        <f>IFERROR(__xludf.DUMMYFUNCTION("""COMPUTED_VALUE"""),"-")</f>
        <v>-</v>
      </c>
      <c r="W220" s="213" t="str">
        <f>IFERROR(__xludf.DUMMYFUNCTION("""COMPUTED_VALUE"""),"-")</f>
        <v>-</v>
      </c>
      <c r="X220" s="213" t="str">
        <f>IFERROR(__xludf.DUMMYFUNCTION("""COMPUTED_VALUE"""),"VIKALE")</f>
        <v>VIKALE</v>
      </c>
      <c r="Y220" s="213" t="str">
        <f>IFERROR(__xludf.DUMMYFUNCTION("""COMPUTED_VALUE"""),"B5HH-983")</f>
        <v>B5HH-983</v>
      </c>
      <c r="Z220" s="215" t="str">
        <f>IFERROR(__xludf.DUMMYFUNCTION("""COMPUTED_VALUE"""),"https://www.maquinaelectroperu.com/vikale-b5hh-983/vikale-b5hh-983/")</f>
        <v>https://www.maquinaelectroperu.com/vikale-b5hh-983/vikale-b5hh-983/</v>
      </c>
      <c r="AA220" s="213" t="str">
        <f>IFERROR(__xludf.DUMMYFUNCTION("""COMPUTED_VALUE"""),"ESP-112 BATIDORA AMASADORA MEZCLADORA 5 LT - CET")</f>
        <v>ESP-112 BATIDORA AMASADORA MEZCLADORA 5 LT - CET</v>
      </c>
      <c r="AB220" s="213"/>
      <c r="AC220" s="213"/>
      <c r="AD220" s="213"/>
      <c r="AE220" s="213"/>
      <c r="AF220" s="213"/>
      <c r="AG220" s="213"/>
      <c r="AH220" s="213"/>
      <c r="AI220" s="213"/>
      <c r="AJ220" s="213"/>
      <c r="AK220" s="213"/>
      <c r="AL220" s="213"/>
      <c r="AM220" s="213"/>
      <c r="AN220" s="213"/>
      <c r="AO220" s="213"/>
      <c r="AP220" s="213" t="str">
        <f>IFERROR(__xludf.DUMMYFUNCTION("""COMPUTED_VALUE"""),"ANTONELLA")</f>
        <v>ANTONELLA</v>
      </c>
      <c r="AQ220" s="213" t="str">
        <f>IFERROR(__xludf.DUMMYFUNCTION("""COMPUTED_VALUE"""),"No se tiene certeza de la longitud del cable. El material es ABS, no vinilo")</f>
        <v>No se tiene certeza de la longitud del cable. El material es ABS, no vinilo</v>
      </c>
      <c r="AR220" s="213"/>
      <c r="AS220" s="213" t="str">
        <f>IFERROR(__xludf.DUMMYFUNCTION("""COMPUTED_VALUE"""),"FUNDA PROTECTORA")</f>
        <v>FUNDA PROTECTORA</v>
      </c>
      <c r="AT220" s="213"/>
      <c r="AU220" s="213"/>
      <c r="AV220" s="213"/>
      <c r="AW220" s="213"/>
      <c r="AX220" s="213"/>
      <c r="AY220" s="213"/>
      <c r="AZ220" s="213"/>
      <c r="BA220" s="213"/>
      <c r="BB220" s="213"/>
      <c r="BC220" s="213"/>
      <c r="BD220" s="213"/>
    </row>
    <row r="221">
      <c r="A221" s="213">
        <f>IFERROR(__xludf.DUMMYFUNCTION("""COMPUTED_VALUE"""),604.0)</f>
        <v>604</v>
      </c>
      <c r="B221" s="213" t="str">
        <f>IFERROR(__xludf.DUMMYFUNCTION("""COMPUTED_VALUE"""),"2026 SIMON BOLIVAR")</f>
        <v>2026 SIMON BOLIVAR</v>
      </c>
      <c r="C221" s="213" t="str">
        <f>IFERROR(__xludf.DUMMYFUNCTION("""COMPUTED_VALUE"""),"TALLER SFT DE INDUSTRIA ALIMENTARIA")</f>
        <v>TALLER SFT DE INDUSTRIA ALIMENTARIA</v>
      </c>
      <c r="D221" s="213" t="str">
        <f>IFERROR(__xludf.DUMMYFUNCTION("""COMPUTED_VALUE"""),"EQUIPOS")</f>
        <v>EQUIPOS</v>
      </c>
      <c r="E221" s="213" t="str">
        <f>IFERROR(__xludf.DUMMYFUNCTION("""COMPUTED_VALUE"""),"ESP-113")</f>
        <v>ESP-113</v>
      </c>
      <c r="F221" s="213" t="str">
        <f>IFERROR(__xludf.DUMMYFUNCTION("""COMPUTED_VALUE"""),"ESP-113")</f>
        <v>ESP-113</v>
      </c>
      <c r="G221" s="213"/>
      <c r="H221" s="213" t="str">
        <f>IFERROR(__xludf.DUMMYFUNCTION("""COMPUTED_VALUE"""),"BATIDORA MULTIFUNCIONAL")</f>
        <v>BATIDORA MULTIFUNCIONAL</v>
      </c>
      <c r="I221" s="213" t="str">
        <f>IFERROR(__xludf.DUMMYFUNCTION("""COMPUTED_VALUE"""),"Capacidad de batido y mezclado mínimo: 4 Litros.
· Peso del equipo aproximado 5.5 kg.
· Material del tazón: acero inoxidable.
· Velocidad mínimo: 4.
· Potencia nominal mínima: 1200 W.
· Voltaje: 220 V, 60Hz.
· Material del cuerpo de la batidora: Plástico."&amp;"
· Accesorios:
- 1 mezclador del soporte.
- 1 Batidor.
- 1 gancho para masa.
- 1 Batidor de globo.
- 1 manual de usuario.
. Inclye funda protectora impermeable para su almacenamiento")</f>
        <v>Capacidad de batido y mezclado mínimo: 4 Litros.
· Peso del equipo aproximado 5.5 kg.
· Material del tazón: acero inoxidable.
· Velocidad mínimo: 4.
· Potencia nominal mínima: 1200 W.
· Voltaje: 220 V, 60Hz.
· Material del cuerpo de la batidora: Plástico.
· Accesorios:
- 1 mezclador del soporte.
- 1 Batidor.
- 1 gancho para masa.
- 1 Batidor de globo.
- 1 manual de usuario.
. Inclye funda protectora impermeable para su almacenamiento</v>
      </c>
      <c r="J221" s="213">
        <f>IFERROR(__xludf.DUMMYFUNCTION("""COMPUTED_VALUE"""),3.0)</f>
        <v>3</v>
      </c>
      <c r="K221" s="213" t="str">
        <f>IFERROR(__xludf.DUMMYFUNCTION("""COMPUTED_VALUE"""),"170 DÍAS CALENDARIO")</f>
        <v>170 DÍAS CALENDARIO</v>
      </c>
      <c r="L221" s="213" t="str">
        <f>IFERROR(__xludf.DUMMYFUNCTION("""COMPUTED_VALUE"""),"")</f>
        <v/>
      </c>
      <c r="M221" s="213">
        <f>IFERROR(__xludf.DUMMYFUNCTION("""COMPUTED_VALUE"""),1.0)</f>
        <v>1</v>
      </c>
      <c r="N221" s="213">
        <f>IFERROR(__xludf.DUMMYFUNCTION("""COMPUTED_VALUE"""),1.0)</f>
        <v>1</v>
      </c>
      <c r="O221" s="213">
        <f>IFERROR(__xludf.DUMMYFUNCTION("""COMPUTED_VALUE"""),1.0)</f>
        <v>1</v>
      </c>
      <c r="P221" s="213"/>
      <c r="Q221" s="213"/>
      <c r="R221" s="213"/>
      <c r="S221" s="213" t="str">
        <f>IFERROR(__xludf.DUMMYFUNCTION("""COMPUTED_VALUE"""),"SI")</f>
        <v>SI</v>
      </c>
      <c r="T221" s="213" t="str">
        <f>IFERROR(__xludf.DUMMYFUNCTION("""COMPUTED_VALUE"""),"SI")</f>
        <v>SI</v>
      </c>
      <c r="U221" s="213" t="str">
        <f>IFERROR(__xludf.DUMMYFUNCTION("""COMPUTED_VALUE"""),"SI")</f>
        <v>SI</v>
      </c>
      <c r="V221" s="213" t="str">
        <f>IFERROR(__xludf.DUMMYFUNCTION("""COMPUTED_VALUE"""),"-")</f>
        <v>-</v>
      </c>
      <c r="W221" s="213" t="str">
        <f>IFERROR(__xludf.DUMMYFUNCTION("""COMPUTED_VALUE"""),"-")</f>
        <v>-</v>
      </c>
      <c r="X221" s="213" t="str">
        <f>IFERROR(__xludf.DUMMYFUNCTION("""COMPUTED_VALUE"""),"BIOLOMIX")</f>
        <v>BIOLOMIX</v>
      </c>
      <c r="Y221" s="213" t="str">
        <f>IFERROR(__xludf.DUMMYFUNCTION("""COMPUTED_VALUE"""),"BM601")</f>
        <v>BM601</v>
      </c>
      <c r="Z221" s="215" t="str">
        <f>IFERROR(__xludf.DUMMYFUNCTION("""COMPUTED_VALUE"""),"https://drive.google.com/file/d/1Ti61n5CvjYbERQd_WBKo61P__TL78SWh/view?usp=sharing")</f>
        <v>https://drive.google.com/file/d/1Ti61n5CvjYbERQd_WBKo61P__TL78SWh/view?usp=sharing</v>
      </c>
      <c r="AA221" s="213" t="str">
        <f>IFERROR(__xludf.DUMMYFUNCTION("""COMPUTED_VALUE"""),"ESP-113 BATIDORA MULTIFUNCIONAL - CET")</f>
        <v>ESP-113 BATIDORA MULTIFUNCIONAL - CET</v>
      </c>
      <c r="AB221" s="215" t="str">
        <f>IFERROR(__xludf.DUMMYFUNCTION("""COMPUTED_VALUE"""),"https://drive.google.com/file/d/1Ti61n5CvjYbERQd_WBKo61P__TL78SWh/view?usp=sharing")</f>
        <v>https://drive.google.com/file/d/1Ti61n5CvjYbERQd_WBKo61P__TL78SWh/view?usp=sharing</v>
      </c>
      <c r="AC221" s="213"/>
      <c r="AD221" s="213"/>
      <c r="AE221" s="213"/>
      <c r="AF221" s="213"/>
      <c r="AG221" s="213"/>
      <c r="AH221" s="213"/>
      <c r="AI221" s="213"/>
      <c r="AJ221" s="213"/>
      <c r="AK221" s="213"/>
      <c r="AL221" s="213"/>
      <c r="AM221" s="213"/>
      <c r="AN221" s="213"/>
      <c r="AO221" s="213"/>
      <c r="AP221" s="213" t="str">
        <f>IFERROR(__xludf.DUMMYFUNCTION("""COMPUTED_VALUE"""),"ANTONELLA")</f>
        <v>ANTONELLA</v>
      </c>
      <c r="AQ221" s="213"/>
      <c r="AR221" s="213"/>
      <c r="AS221" s="213" t="str">
        <f>IFERROR(__xludf.DUMMYFUNCTION("""COMPUTED_VALUE"""),"FUNDA PROTECTORA")</f>
        <v>FUNDA PROTECTORA</v>
      </c>
      <c r="AT221" s="213"/>
      <c r="AU221" s="213"/>
      <c r="AV221" s="213"/>
      <c r="AW221" s="213"/>
      <c r="AX221" s="213"/>
      <c r="AY221" s="213"/>
      <c r="AZ221" s="213"/>
      <c r="BA221" s="213"/>
      <c r="BB221" s="213"/>
      <c r="BC221" s="213"/>
      <c r="BD221" s="213"/>
    </row>
    <row r="222">
      <c r="A222" s="213">
        <f>IFERROR(__xludf.DUMMYFUNCTION("""COMPUTED_VALUE"""),1230.0)</f>
        <v>1230</v>
      </c>
      <c r="B222" s="213" t="str">
        <f>IFERROR(__xludf.DUMMYFUNCTION("""COMPUTED_VALUE"""),"FRANCISCO IRAZOLA")</f>
        <v>FRANCISCO IRAZOLA</v>
      </c>
      <c r="C222" s="213" t="str">
        <f>IFERROR(__xludf.DUMMYFUNCTION("""COMPUTED_VALUE"""),"TALLER SFT DE INDUSTRIA ALIMENTARIA")</f>
        <v>TALLER SFT DE INDUSTRIA ALIMENTARIA</v>
      </c>
      <c r="D222" s="213" t="str">
        <f>IFERROR(__xludf.DUMMYFUNCTION("""COMPUTED_VALUE"""),"EQUIPOS")</f>
        <v>EQUIPOS</v>
      </c>
      <c r="E222" s="213" t="str">
        <f>IFERROR(__xludf.DUMMYFUNCTION("""COMPUTED_VALUE"""),"ESP-113")</f>
        <v>ESP-113</v>
      </c>
      <c r="F222" s="213" t="str">
        <f>IFERROR(__xludf.DUMMYFUNCTION("""COMPUTED_VALUE"""),"ESP-113")</f>
        <v>ESP-113</v>
      </c>
      <c r="G222" s="213"/>
      <c r="H222" s="213" t="str">
        <f>IFERROR(__xludf.DUMMYFUNCTION("""COMPUTED_VALUE"""),"BATIDORA MULTIFUNCIONAL")</f>
        <v>BATIDORA MULTIFUNCIONAL</v>
      </c>
      <c r="I222" s="213" t="str">
        <f>IFERROR(__xludf.DUMMYFUNCTION("""COMPUTED_VALUE"""),"Capacidad de batido y mezclado mínimo: 4 Litros.
· Peso del equipo aproximado 5.5 kg.
· Material del tazón: acero inoxidable.
· Velocidad mínimo: 4.
· Potencia nominal mínima: 1200 W.
· Voltaje: 220 V, 60Hz.
· Material del cuerpo de la batidora: Plástico."&amp;"
· Accesorios:
- 1 mezclador del soporte.
- 1 Batidor.
- 1 gancho para masa.
- 1 Batidor de globo.
- 1 manual de usuario.
. Inclye funda protectora impermeable para su almacenamiento")</f>
        <v>Capacidad de batido y mezclado mínimo: 4 Litros.
· Peso del equipo aproximado 5.5 kg.
· Material del tazón: acero inoxidable.
· Velocidad mínimo: 4.
· Potencia nominal mínima: 1200 W.
· Voltaje: 220 V, 60Hz.
· Material del cuerpo de la batidora: Plástico.
· Accesorios:
- 1 mezclador del soporte.
- 1 Batidor.
- 1 gancho para masa.
- 1 Batidor de globo.
- 1 manual de usuario.
. Inclye funda protectora impermeable para su almacenamiento</v>
      </c>
      <c r="J222" s="213">
        <f>IFERROR(__xludf.DUMMYFUNCTION("""COMPUTED_VALUE"""),3.0)</f>
        <v>3</v>
      </c>
      <c r="K222" s="213" t="str">
        <f>IFERROR(__xludf.DUMMYFUNCTION("""COMPUTED_VALUE"""),"170 DÍAS CALENDARIO")</f>
        <v>170 DÍAS CALENDARIO</v>
      </c>
      <c r="L222" s="213" t="str">
        <f>IFERROR(__xludf.DUMMYFUNCTION("""COMPUTED_VALUE"""),"")</f>
        <v/>
      </c>
      <c r="M222" s="213">
        <f>IFERROR(__xludf.DUMMYFUNCTION("""COMPUTED_VALUE"""),1.0)</f>
        <v>1</v>
      </c>
      <c r="N222" s="213">
        <f>IFERROR(__xludf.DUMMYFUNCTION("""COMPUTED_VALUE"""),1.0)</f>
        <v>1</v>
      </c>
      <c r="O222" s="213">
        <f>IFERROR(__xludf.DUMMYFUNCTION("""COMPUTED_VALUE"""),1.0)</f>
        <v>1</v>
      </c>
      <c r="P222" s="213"/>
      <c r="Q222" s="213"/>
      <c r="R222" s="213"/>
      <c r="S222" s="213" t="str">
        <f>IFERROR(__xludf.DUMMYFUNCTION("""COMPUTED_VALUE"""),"SI")</f>
        <v>SI</v>
      </c>
      <c r="T222" s="213" t="str">
        <f>IFERROR(__xludf.DUMMYFUNCTION("""COMPUTED_VALUE"""),"SI")</f>
        <v>SI</v>
      </c>
      <c r="U222" s="213" t="str">
        <f>IFERROR(__xludf.DUMMYFUNCTION("""COMPUTED_VALUE"""),"SI")</f>
        <v>SI</v>
      </c>
      <c r="V222" s="213" t="str">
        <f>IFERROR(__xludf.DUMMYFUNCTION("""COMPUTED_VALUE"""),"-")</f>
        <v>-</v>
      </c>
      <c r="W222" s="213" t="str">
        <f>IFERROR(__xludf.DUMMYFUNCTION("""COMPUTED_VALUE"""),"-")</f>
        <v>-</v>
      </c>
      <c r="X222" s="213" t="str">
        <f>IFERROR(__xludf.DUMMYFUNCTION("""COMPUTED_VALUE"""),"BIOLOMIX")</f>
        <v>BIOLOMIX</v>
      </c>
      <c r="Y222" s="213" t="str">
        <f>IFERROR(__xludf.DUMMYFUNCTION("""COMPUTED_VALUE"""),"BM601")</f>
        <v>BM601</v>
      </c>
      <c r="Z222" s="215" t="str">
        <f>IFERROR(__xludf.DUMMYFUNCTION("""COMPUTED_VALUE"""),"https://drive.google.com/file/d/1Ti61n5CvjYbERQd_WBKo61P__TL78SWh/view?usp=sharing")</f>
        <v>https://drive.google.com/file/d/1Ti61n5CvjYbERQd_WBKo61P__TL78SWh/view?usp=sharing</v>
      </c>
      <c r="AA222" s="213" t="str">
        <f>IFERROR(__xludf.DUMMYFUNCTION("""COMPUTED_VALUE"""),"ESP-113 BATIDORA MULTIFUNCIONAL - CET")</f>
        <v>ESP-113 BATIDORA MULTIFUNCIONAL - CET</v>
      </c>
      <c r="AB222" s="215" t="str">
        <f>IFERROR(__xludf.DUMMYFUNCTION("""COMPUTED_VALUE"""),"https://drive.google.com/file/d/1Ti61n5CvjYbERQd_WBKo61P__TL78SWh/view?usp=sharing")</f>
        <v>https://drive.google.com/file/d/1Ti61n5CvjYbERQd_WBKo61P__TL78SWh/view?usp=sharing</v>
      </c>
      <c r="AC222" s="213"/>
      <c r="AD222" s="213"/>
      <c r="AE222" s="213"/>
      <c r="AF222" s="213"/>
      <c r="AG222" s="213"/>
      <c r="AH222" s="213"/>
      <c r="AI222" s="213"/>
      <c r="AJ222" s="213"/>
      <c r="AK222" s="213"/>
      <c r="AL222" s="213"/>
      <c r="AM222" s="213"/>
      <c r="AN222" s="213"/>
      <c r="AO222" s="213"/>
      <c r="AP222" s="213" t="str">
        <f>IFERROR(__xludf.DUMMYFUNCTION("""COMPUTED_VALUE"""),"ANTONELLA")</f>
        <v>ANTONELLA</v>
      </c>
      <c r="AQ222" s="213"/>
      <c r="AR222" s="213"/>
      <c r="AS222" s="213" t="str">
        <f>IFERROR(__xludf.DUMMYFUNCTION("""COMPUTED_VALUE"""),"FUNDA PROTECTORA")</f>
        <v>FUNDA PROTECTORA</v>
      </c>
      <c r="AT222" s="213"/>
      <c r="AU222" s="213"/>
      <c r="AV222" s="213"/>
      <c r="AW222" s="213"/>
      <c r="AX222" s="213"/>
      <c r="AY222" s="213"/>
      <c r="AZ222" s="213"/>
      <c r="BA222" s="213"/>
      <c r="BB222" s="213"/>
      <c r="BC222" s="213"/>
      <c r="BD222" s="213"/>
    </row>
    <row r="223">
      <c r="A223" s="213">
        <f>IFERROR(__xludf.DUMMYFUNCTION("""COMPUTED_VALUE"""),1501.0)</f>
        <v>1501</v>
      </c>
      <c r="B223" s="213" t="str">
        <f>IFERROR(__xludf.DUMMYFUNCTION("""COMPUTED_VALUE"""),"GUILLERMO E. BILLINGHURST ")</f>
        <v>GUILLERMO E. BILLINGHURST </v>
      </c>
      <c r="C223" s="213" t="str">
        <f>IFERROR(__xludf.DUMMYFUNCTION("""COMPUTED_VALUE"""),"TALLER SFT DE INDUSTRIA ALIMENTARIA")</f>
        <v>TALLER SFT DE INDUSTRIA ALIMENTARIA</v>
      </c>
      <c r="D223" s="213" t="str">
        <f>IFERROR(__xludf.DUMMYFUNCTION("""COMPUTED_VALUE"""),"EQUIPOS")</f>
        <v>EQUIPOS</v>
      </c>
      <c r="E223" s="213" t="str">
        <f>IFERROR(__xludf.DUMMYFUNCTION("""COMPUTED_VALUE"""),"ESP-113")</f>
        <v>ESP-113</v>
      </c>
      <c r="F223" s="213" t="str">
        <f>IFERROR(__xludf.DUMMYFUNCTION("""COMPUTED_VALUE"""),"ESP-113")</f>
        <v>ESP-113</v>
      </c>
      <c r="G223" s="213"/>
      <c r="H223" s="213" t="str">
        <f>IFERROR(__xludf.DUMMYFUNCTION("""COMPUTED_VALUE"""),"BATIDORA MULTIFUNCIONAL")</f>
        <v>BATIDORA MULTIFUNCIONAL</v>
      </c>
      <c r="I223" s="213" t="str">
        <f>IFERROR(__xludf.DUMMYFUNCTION("""COMPUTED_VALUE"""),"Capacidad de batido y mezclado mínimo: 4 Litros.
· Peso del equipo aproximado 5.5 kg.
· Material del tazón: acero inoxidable.
· Velocidad mínimo: 4.
· Potencia nominal mínima: 1200 W.
· Voltaje: 220 V, 60Hz.
· Material del cuerpo de la batidora: Plástico."&amp;"
· Accesorios:
- 1 mezclador del soporte.
- 1 Batidor.
- 1 gancho para masa.
- 1 Batidor de globo.
- 1 manual de usuario.
. Inclye funda protectora impermeable para su almacenamiento")</f>
        <v>Capacidad de batido y mezclado mínimo: 4 Litros.
· Peso del equipo aproximado 5.5 kg.
· Material del tazón: acero inoxidable.
· Velocidad mínimo: 4.
· Potencia nominal mínima: 1200 W.
· Voltaje: 220 V, 60Hz.
· Material del cuerpo de la batidora: Plástico.
· Accesorios:
- 1 mezclador del soporte.
- 1 Batidor.
- 1 gancho para masa.
- 1 Batidor de globo.
- 1 manual de usuario.
. Inclye funda protectora impermeable para su almacenamiento</v>
      </c>
      <c r="J223" s="213">
        <f>IFERROR(__xludf.DUMMYFUNCTION("""COMPUTED_VALUE"""),3.0)</f>
        <v>3</v>
      </c>
      <c r="K223" s="213" t="str">
        <f>IFERROR(__xludf.DUMMYFUNCTION("""COMPUTED_VALUE"""),"170 DÍAS CALENDARIO")</f>
        <v>170 DÍAS CALENDARIO</v>
      </c>
      <c r="L223" s="213" t="str">
        <f>IFERROR(__xludf.DUMMYFUNCTION("""COMPUTED_VALUE"""),"")</f>
        <v/>
      </c>
      <c r="M223" s="213">
        <f>IFERROR(__xludf.DUMMYFUNCTION("""COMPUTED_VALUE"""),1.0)</f>
        <v>1</v>
      </c>
      <c r="N223" s="213">
        <f>IFERROR(__xludf.DUMMYFUNCTION("""COMPUTED_VALUE"""),1.0)</f>
        <v>1</v>
      </c>
      <c r="O223" s="213">
        <f>IFERROR(__xludf.DUMMYFUNCTION("""COMPUTED_VALUE"""),1.0)</f>
        <v>1</v>
      </c>
      <c r="P223" s="213"/>
      <c r="Q223" s="213"/>
      <c r="R223" s="213"/>
      <c r="S223" s="213" t="str">
        <f>IFERROR(__xludf.DUMMYFUNCTION("""COMPUTED_VALUE"""),"SI")</f>
        <v>SI</v>
      </c>
      <c r="T223" s="213" t="str">
        <f>IFERROR(__xludf.DUMMYFUNCTION("""COMPUTED_VALUE"""),"SI")</f>
        <v>SI</v>
      </c>
      <c r="U223" s="213" t="str">
        <f>IFERROR(__xludf.DUMMYFUNCTION("""COMPUTED_VALUE"""),"SI")</f>
        <v>SI</v>
      </c>
      <c r="V223" s="213" t="str">
        <f>IFERROR(__xludf.DUMMYFUNCTION("""COMPUTED_VALUE"""),"-")</f>
        <v>-</v>
      </c>
      <c r="W223" s="213" t="str">
        <f>IFERROR(__xludf.DUMMYFUNCTION("""COMPUTED_VALUE"""),"-")</f>
        <v>-</v>
      </c>
      <c r="X223" s="213" t="str">
        <f>IFERROR(__xludf.DUMMYFUNCTION("""COMPUTED_VALUE"""),"BIOLOMIX")</f>
        <v>BIOLOMIX</v>
      </c>
      <c r="Y223" s="213" t="str">
        <f>IFERROR(__xludf.DUMMYFUNCTION("""COMPUTED_VALUE"""),"BM601")</f>
        <v>BM601</v>
      </c>
      <c r="Z223" s="215" t="str">
        <f>IFERROR(__xludf.DUMMYFUNCTION("""COMPUTED_VALUE"""),"https://drive.google.com/file/d/1Ti61n5CvjYbERQd_WBKo61P__TL78SWh/view?usp=sharing")</f>
        <v>https://drive.google.com/file/d/1Ti61n5CvjYbERQd_WBKo61P__TL78SWh/view?usp=sharing</v>
      </c>
      <c r="AA223" s="213" t="str">
        <f>IFERROR(__xludf.DUMMYFUNCTION("""COMPUTED_VALUE"""),"ESP-113 BATIDORA MULTIFUNCIONAL - CET")</f>
        <v>ESP-113 BATIDORA MULTIFUNCIONAL - CET</v>
      </c>
      <c r="AB223" s="215" t="str">
        <f>IFERROR(__xludf.DUMMYFUNCTION("""COMPUTED_VALUE"""),"https://drive.google.com/file/d/1Ti61n5CvjYbERQd_WBKo61P__TL78SWh/view?usp=sharing")</f>
        <v>https://drive.google.com/file/d/1Ti61n5CvjYbERQd_WBKo61P__TL78SWh/view?usp=sharing</v>
      </c>
      <c r="AC223" s="213"/>
      <c r="AD223" s="213"/>
      <c r="AE223" s="213"/>
      <c r="AF223" s="213"/>
      <c r="AG223" s="213"/>
      <c r="AH223" s="213"/>
      <c r="AI223" s="213"/>
      <c r="AJ223" s="213"/>
      <c r="AK223" s="213"/>
      <c r="AL223" s="213"/>
      <c r="AM223" s="213"/>
      <c r="AN223" s="213"/>
      <c r="AO223" s="213"/>
      <c r="AP223" s="213" t="str">
        <f>IFERROR(__xludf.DUMMYFUNCTION("""COMPUTED_VALUE"""),"ANTONELLA")</f>
        <v>ANTONELLA</v>
      </c>
      <c r="AQ223" s="213"/>
      <c r="AR223" s="213"/>
      <c r="AS223" s="213" t="str">
        <f>IFERROR(__xludf.DUMMYFUNCTION("""COMPUTED_VALUE"""),"FUNDA PROTECTORA")</f>
        <v>FUNDA PROTECTORA</v>
      </c>
      <c r="AT223" s="213"/>
      <c r="AU223" s="213"/>
      <c r="AV223" s="213"/>
      <c r="AW223" s="213"/>
      <c r="AX223" s="213"/>
      <c r="AY223" s="213"/>
      <c r="AZ223" s="213"/>
      <c r="BA223" s="213"/>
      <c r="BB223" s="213"/>
      <c r="BC223" s="213"/>
      <c r="BD223" s="213"/>
    </row>
    <row r="224">
      <c r="A224" s="213">
        <f>IFERROR(__xludf.DUMMYFUNCTION("""COMPUTED_VALUE"""),2193.0)</f>
        <v>2193</v>
      </c>
      <c r="B224" s="213" t="str">
        <f>IFERROR(__xludf.DUMMYFUNCTION("""COMPUTED_VALUE"""),"JOSE GRANDA")</f>
        <v>JOSE GRANDA</v>
      </c>
      <c r="C224" s="213" t="str">
        <f>IFERROR(__xludf.DUMMYFUNCTION("""COMPUTED_VALUE"""),"TALLER SFT DE INDUSTRIA ALIMENTARIA")</f>
        <v>TALLER SFT DE INDUSTRIA ALIMENTARIA</v>
      </c>
      <c r="D224" s="213" t="str">
        <f>IFERROR(__xludf.DUMMYFUNCTION("""COMPUTED_VALUE"""),"EQUIPOS")</f>
        <v>EQUIPOS</v>
      </c>
      <c r="E224" s="213" t="str">
        <f>IFERROR(__xludf.DUMMYFUNCTION("""COMPUTED_VALUE"""),"ESP-113")</f>
        <v>ESP-113</v>
      </c>
      <c r="F224" s="213" t="str">
        <f>IFERROR(__xludf.DUMMYFUNCTION("""COMPUTED_VALUE"""),"ESP-113")</f>
        <v>ESP-113</v>
      </c>
      <c r="G224" s="213"/>
      <c r="H224" s="213" t="str">
        <f>IFERROR(__xludf.DUMMYFUNCTION("""COMPUTED_VALUE"""),"BATIDORA MULTIFUNCIONAL")</f>
        <v>BATIDORA MULTIFUNCIONAL</v>
      </c>
      <c r="I224" s="213" t="str">
        <f>IFERROR(__xludf.DUMMYFUNCTION("""COMPUTED_VALUE"""),"Capacidad de batido y mezclado mínimo: 4 Litros.
· Peso del equipo aproximado 5.5 kg.
· Material del tazón: acero inoxidable.
· Velocidad mínimo: 4.
· Potencia nominal mínima: 1200 W.
· Voltaje: 220 V, 60Hz.
· Material del cuerpo de la batidora: Plástico."&amp;"
· Accesorios:
- 1 mezclador del soporte.
- 1 Batidor.
- 1 gancho para masa.
- 1 Batidor de globo.
- 1 manual de usuario.
. Inclye funda protectora impermeable para su almacenamiento")</f>
        <v>Capacidad de batido y mezclado mínimo: 4 Litros.
· Peso del equipo aproximado 5.5 kg.
· Material del tazón: acero inoxidable.
· Velocidad mínimo: 4.
· Potencia nominal mínima: 1200 W.
· Voltaje: 220 V, 60Hz.
· Material del cuerpo de la batidora: Plástico.
· Accesorios:
- 1 mezclador del soporte.
- 1 Batidor.
- 1 gancho para masa.
- 1 Batidor de globo.
- 1 manual de usuario.
. Inclye funda protectora impermeable para su almacenamiento</v>
      </c>
      <c r="J224" s="213">
        <f>IFERROR(__xludf.DUMMYFUNCTION("""COMPUTED_VALUE"""),3.0)</f>
        <v>3</v>
      </c>
      <c r="K224" s="213" t="str">
        <f>IFERROR(__xludf.DUMMYFUNCTION("""COMPUTED_VALUE"""),"170 DÍAS CALENDARIO")</f>
        <v>170 DÍAS CALENDARIO</v>
      </c>
      <c r="L224" s="213" t="str">
        <f>IFERROR(__xludf.DUMMYFUNCTION("""COMPUTED_VALUE"""),"")</f>
        <v/>
      </c>
      <c r="M224" s="213">
        <f>IFERROR(__xludf.DUMMYFUNCTION("""COMPUTED_VALUE"""),1.0)</f>
        <v>1</v>
      </c>
      <c r="N224" s="213">
        <f>IFERROR(__xludf.DUMMYFUNCTION("""COMPUTED_VALUE"""),1.0)</f>
        <v>1</v>
      </c>
      <c r="O224" s="213">
        <f>IFERROR(__xludf.DUMMYFUNCTION("""COMPUTED_VALUE"""),1.0)</f>
        <v>1</v>
      </c>
      <c r="P224" s="213"/>
      <c r="Q224" s="213"/>
      <c r="R224" s="213"/>
      <c r="S224" s="213" t="str">
        <f>IFERROR(__xludf.DUMMYFUNCTION("""COMPUTED_VALUE"""),"SI")</f>
        <v>SI</v>
      </c>
      <c r="T224" s="213" t="str">
        <f>IFERROR(__xludf.DUMMYFUNCTION("""COMPUTED_VALUE"""),"SI")</f>
        <v>SI</v>
      </c>
      <c r="U224" s="213" t="str">
        <f>IFERROR(__xludf.DUMMYFUNCTION("""COMPUTED_VALUE"""),"SI")</f>
        <v>SI</v>
      </c>
      <c r="V224" s="213" t="str">
        <f>IFERROR(__xludf.DUMMYFUNCTION("""COMPUTED_VALUE"""),"-")</f>
        <v>-</v>
      </c>
      <c r="W224" s="213" t="str">
        <f>IFERROR(__xludf.DUMMYFUNCTION("""COMPUTED_VALUE"""),"-")</f>
        <v>-</v>
      </c>
      <c r="X224" s="213" t="str">
        <f>IFERROR(__xludf.DUMMYFUNCTION("""COMPUTED_VALUE"""),"BIOLOMIX")</f>
        <v>BIOLOMIX</v>
      </c>
      <c r="Y224" s="213" t="str">
        <f>IFERROR(__xludf.DUMMYFUNCTION("""COMPUTED_VALUE"""),"BM601")</f>
        <v>BM601</v>
      </c>
      <c r="Z224" s="215" t="str">
        <f>IFERROR(__xludf.DUMMYFUNCTION("""COMPUTED_VALUE"""),"https://drive.google.com/file/d/1Ti61n5CvjYbERQd_WBKo61P__TL78SWh/view?usp=sharing")</f>
        <v>https://drive.google.com/file/d/1Ti61n5CvjYbERQd_WBKo61P__TL78SWh/view?usp=sharing</v>
      </c>
      <c r="AA224" s="213" t="str">
        <f>IFERROR(__xludf.DUMMYFUNCTION("""COMPUTED_VALUE"""),"ESP-113 BATIDORA MULTIFUNCIONAL - CET")</f>
        <v>ESP-113 BATIDORA MULTIFUNCIONAL - CET</v>
      </c>
      <c r="AB224" s="215" t="str">
        <f>IFERROR(__xludf.DUMMYFUNCTION("""COMPUTED_VALUE"""),"https://drive.google.com/file/d/1Ti61n5CvjYbERQd_WBKo61P__TL78SWh/view?usp=sharing")</f>
        <v>https://drive.google.com/file/d/1Ti61n5CvjYbERQd_WBKo61P__TL78SWh/view?usp=sharing</v>
      </c>
      <c r="AC224" s="213"/>
      <c r="AD224" s="213"/>
      <c r="AE224" s="213"/>
      <c r="AF224" s="213"/>
      <c r="AG224" s="213"/>
      <c r="AH224" s="213"/>
      <c r="AI224" s="213"/>
      <c r="AJ224" s="213"/>
      <c r="AK224" s="213"/>
      <c r="AL224" s="213"/>
      <c r="AM224" s="213"/>
      <c r="AN224" s="213"/>
      <c r="AO224" s="213"/>
      <c r="AP224" s="213" t="str">
        <f>IFERROR(__xludf.DUMMYFUNCTION("""COMPUTED_VALUE"""),"ANTONELLA")</f>
        <v>ANTONELLA</v>
      </c>
      <c r="AQ224" s="213"/>
      <c r="AR224" s="213"/>
      <c r="AS224" s="213" t="str">
        <f>IFERROR(__xludf.DUMMYFUNCTION("""COMPUTED_VALUE"""),"FUNDA PROTECTORA")</f>
        <v>FUNDA PROTECTORA</v>
      </c>
      <c r="AT224" s="213"/>
      <c r="AU224" s="213"/>
      <c r="AV224" s="213"/>
      <c r="AW224" s="213"/>
      <c r="AX224" s="213"/>
      <c r="AY224" s="213"/>
      <c r="AZ224" s="213"/>
      <c r="BA224" s="213"/>
      <c r="BB224" s="213"/>
      <c r="BC224" s="213"/>
      <c r="BD224" s="213"/>
    </row>
    <row r="225">
      <c r="A225" s="213">
        <f>IFERROR(__xludf.DUMMYFUNCTION("""COMPUTED_VALUE"""),410.0)</f>
        <v>410</v>
      </c>
      <c r="B225" s="213" t="str">
        <f>IFERROR(__xludf.DUMMYFUNCTION("""COMPUTED_VALUE"""),"2026 SIMON BOLIVAR")</f>
        <v>2026 SIMON BOLIVAR</v>
      </c>
      <c r="C225" s="213" t="str">
        <f>IFERROR(__xludf.DUMMYFUNCTION("""COMPUTED_VALUE"""),"TALLER SFT DE ELECTRICIDAD")</f>
        <v>TALLER SFT DE ELECTRICIDAD</v>
      </c>
      <c r="D225" s="213" t="str">
        <f>IFERROR(__xludf.DUMMYFUNCTION("""COMPUTED_VALUE"""),"EQUIPOS")</f>
        <v>EQUIPOS</v>
      </c>
      <c r="E225" s="213" t="str">
        <f>IFERROR(__xludf.DUMMYFUNCTION("""COMPUTED_VALUE"""),"ESP-114")</f>
        <v>ESP-114</v>
      </c>
      <c r="F225" s="213" t="str">
        <f>IFERROR(__xludf.DUMMYFUNCTION("""COMPUTED_VALUE"""),"ESP-114")</f>
        <v>ESP-114</v>
      </c>
      <c r="G225" s="213"/>
      <c r="H225" s="213" t="str">
        <f>IFERROR(__xludf.DUMMYFUNCTION("""COMPUTED_VALUE"""),"BLOCK DE CONTACTORES AUXILIAR NC - NO")</f>
        <v>BLOCK DE CONTACTORES AUXILIAR NC - NO</v>
      </c>
      <c r="I225" s="213"/>
      <c r="J225" s="213">
        <f>IFERROR(__xludf.DUMMYFUNCTION("""COMPUTED_VALUE"""),3.0)</f>
        <v>3</v>
      </c>
      <c r="K225" s="213" t="str">
        <f>IFERROR(__xludf.DUMMYFUNCTION("""COMPUTED_VALUE"""),"170 DÍAS CALENDARIO")</f>
        <v>170 DÍAS CALENDARIO</v>
      </c>
      <c r="L225" s="213" t="str">
        <f>IFERROR(__xludf.DUMMYFUNCTION("""COMPUTED_VALUE"""),"")</f>
        <v/>
      </c>
      <c r="M225" s="213">
        <f>IFERROR(__xludf.DUMMYFUNCTION("""COMPUTED_VALUE"""),1.0)</f>
        <v>1</v>
      </c>
      <c r="N225" s="213">
        <f>IFERROR(__xludf.DUMMYFUNCTION("""COMPUTED_VALUE"""),4.0)</f>
        <v>4</v>
      </c>
      <c r="O225" s="213">
        <f>IFERROR(__xludf.DUMMYFUNCTION("""COMPUTED_VALUE"""),4.0)</f>
        <v>4</v>
      </c>
      <c r="P225" s="213"/>
      <c r="Q225" s="213"/>
      <c r="R225" s="213"/>
      <c r="S225" s="213" t="str">
        <f>IFERROR(__xludf.DUMMYFUNCTION("""COMPUTED_VALUE"""),"SI")</f>
        <v>SI</v>
      </c>
      <c r="T225" s="213" t="str">
        <f>IFERROR(__xludf.DUMMYFUNCTION("""COMPUTED_VALUE"""),"SI")</f>
        <v>SI</v>
      </c>
      <c r="U225" s="213" t="str">
        <f>IFERROR(__xludf.DUMMYFUNCTION("""COMPUTED_VALUE"""),"SI")</f>
        <v>SI</v>
      </c>
      <c r="V225" s="213" t="str">
        <f>IFERROR(__xludf.DUMMYFUNCTION("""COMPUTED_VALUE"""),"-")</f>
        <v>-</v>
      </c>
      <c r="W225" s="213" t="str">
        <f>IFERROR(__xludf.DUMMYFUNCTION("""COMPUTED_VALUE"""),"-")</f>
        <v>-</v>
      </c>
      <c r="X225" s="213" t="str">
        <f>IFERROR(__xludf.DUMMYFUNCTION("""COMPUTED_VALUE"""),"Schneider Electric")</f>
        <v>Schneider Electric</v>
      </c>
      <c r="Y225" s="213" t="str">
        <f>IFERROR(__xludf.DUMMYFUNCTION("""COMPUTED_VALUE"""),"LADN40")</f>
        <v>LADN40</v>
      </c>
      <c r="Z225" s="215" t="str">
        <f>IFERROR(__xludf.DUMMYFUNCTION("""COMPUTED_VALUE"""),"https://www.se.com/pe/es/product/LADN40/bloque-de-contacto-auxiliar-tesys-d-4-na-terminales-de-abrazaderas-de-tornillo/")</f>
        <v>https://www.se.com/pe/es/product/LADN40/bloque-de-contacto-auxiliar-tesys-d-4-na-terminales-de-abrazaderas-de-tornillo/</v>
      </c>
      <c r="AA225" s="213" t="str">
        <f>IFERROR(__xludf.DUMMYFUNCTION("""COMPUTED_VALUE"""),"ESP-114 BLOCK DE CONTACTORES AUXILIAR NC - NO - CET")</f>
        <v>ESP-114 BLOCK DE CONTACTORES AUXILIAR NC - NO - CET</v>
      </c>
      <c r="AB225" s="215" t="str">
        <f>IFERROR(__xludf.DUMMYFUNCTION("""COMPUTED_VALUE"""),"https://drive.google.com/file/d/1fJ9_rePbS1nBpLLH5Frbosk2h6y6vwf1/view")</f>
        <v>https://drive.google.com/file/d/1fJ9_rePbS1nBpLLH5Frbosk2h6y6vwf1/view</v>
      </c>
      <c r="AC225" s="213"/>
      <c r="AD225" s="213"/>
      <c r="AE225" s="213"/>
      <c r="AF225" s="213"/>
      <c r="AG225" s="213"/>
      <c r="AH225" s="213"/>
      <c r="AI225" s="213"/>
      <c r="AJ225" s="213"/>
      <c r="AK225" s="213"/>
      <c r="AL225" s="213"/>
      <c r="AM225" s="213"/>
      <c r="AN225" s="213"/>
      <c r="AO225" s="213"/>
      <c r="AP225" s="213" t="str">
        <f>IFERROR(__xludf.DUMMYFUNCTION("""COMPUTED_VALUE"""),"BRUNO")</f>
        <v>BRUNO</v>
      </c>
      <c r="AQ225" s="213"/>
      <c r="AR225" s="213"/>
      <c r="AS225" s="213"/>
      <c r="AT225" s="213"/>
      <c r="AU225" s="213"/>
      <c r="AV225" s="213"/>
      <c r="AW225" s="213"/>
      <c r="AX225" s="213"/>
      <c r="AY225" s="213"/>
      <c r="AZ225" s="213"/>
      <c r="BA225" s="213"/>
      <c r="BB225" s="213"/>
      <c r="BC225" s="213"/>
      <c r="BD225" s="213"/>
    </row>
    <row r="226">
      <c r="A226" s="213">
        <f>IFERROR(__xludf.DUMMYFUNCTION("""COMPUTED_VALUE"""),896.0)</f>
        <v>896</v>
      </c>
      <c r="B226" s="213" t="str">
        <f>IFERROR(__xludf.DUMMYFUNCTION("""COMPUTED_VALUE"""),"6049 RICARDO PALMA")</f>
        <v>6049 RICARDO PALMA</v>
      </c>
      <c r="C226" s="213" t="str">
        <f>IFERROR(__xludf.DUMMYFUNCTION("""COMPUTED_VALUE"""),"TALLER SFT DE ELECTRICIDAD")</f>
        <v>TALLER SFT DE ELECTRICIDAD</v>
      </c>
      <c r="D226" s="213" t="str">
        <f>IFERROR(__xludf.DUMMYFUNCTION("""COMPUTED_VALUE"""),"EQUIPOS")</f>
        <v>EQUIPOS</v>
      </c>
      <c r="E226" s="213" t="str">
        <f>IFERROR(__xludf.DUMMYFUNCTION("""COMPUTED_VALUE"""),"ESP-114")</f>
        <v>ESP-114</v>
      </c>
      <c r="F226" s="213" t="str">
        <f>IFERROR(__xludf.DUMMYFUNCTION("""COMPUTED_VALUE"""),"ESP-114")</f>
        <v>ESP-114</v>
      </c>
      <c r="G226" s="213"/>
      <c r="H226" s="213" t="str">
        <f>IFERROR(__xludf.DUMMYFUNCTION("""COMPUTED_VALUE"""),"BLOCK DE CONTACTORES AUXILIAR NC - NO")</f>
        <v>BLOCK DE CONTACTORES AUXILIAR NC - NO</v>
      </c>
      <c r="I226" s="213"/>
      <c r="J226" s="213">
        <f>IFERROR(__xludf.DUMMYFUNCTION("""COMPUTED_VALUE"""),3.0)</f>
        <v>3</v>
      </c>
      <c r="K226" s="213" t="str">
        <f>IFERROR(__xludf.DUMMYFUNCTION("""COMPUTED_VALUE"""),"170 DÍAS CALENDARIO")</f>
        <v>170 DÍAS CALENDARIO</v>
      </c>
      <c r="L226" s="213" t="str">
        <f>IFERROR(__xludf.DUMMYFUNCTION("""COMPUTED_VALUE"""),"")</f>
        <v/>
      </c>
      <c r="M226" s="213">
        <f>IFERROR(__xludf.DUMMYFUNCTION("""COMPUTED_VALUE"""),1.0)</f>
        <v>1</v>
      </c>
      <c r="N226" s="213">
        <f>IFERROR(__xludf.DUMMYFUNCTION("""COMPUTED_VALUE"""),4.0)</f>
        <v>4</v>
      </c>
      <c r="O226" s="213">
        <f>IFERROR(__xludf.DUMMYFUNCTION("""COMPUTED_VALUE"""),4.0)</f>
        <v>4</v>
      </c>
      <c r="P226" s="213"/>
      <c r="Q226" s="213"/>
      <c r="R226" s="213"/>
      <c r="S226" s="213" t="str">
        <f>IFERROR(__xludf.DUMMYFUNCTION("""COMPUTED_VALUE"""),"SI")</f>
        <v>SI</v>
      </c>
      <c r="T226" s="213" t="str">
        <f>IFERROR(__xludf.DUMMYFUNCTION("""COMPUTED_VALUE"""),"SI")</f>
        <v>SI</v>
      </c>
      <c r="U226" s="213" t="str">
        <f>IFERROR(__xludf.DUMMYFUNCTION("""COMPUTED_VALUE"""),"SI")</f>
        <v>SI</v>
      </c>
      <c r="V226" s="213" t="str">
        <f>IFERROR(__xludf.DUMMYFUNCTION("""COMPUTED_VALUE"""),"-")</f>
        <v>-</v>
      </c>
      <c r="W226" s="213" t="str">
        <f>IFERROR(__xludf.DUMMYFUNCTION("""COMPUTED_VALUE"""),"-")</f>
        <v>-</v>
      </c>
      <c r="X226" s="213" t="str">
        <f>IFERROR(__xludf.DUMMYFUNCTION("""COMPUTED_VALUE"""),"Schneider Electric")</f>
        <v>Schneider Electric</v>
      </c>
      <c r="Y226" s="213" t="str">
        <f>IFERROR(__xludf.DUMMYFUNCTION("""COMPUTED_VALUE"""),"LADN40")</f>
        <v>LADN40</v>
      </c>
      <c r="Z226" s="215" t="str">
        <f>IFERROR(__xludf.DUMMYFUNCTION("""COMPUTED_VALUE"""),"https://www.se.com/pe/es/product/LADN40/bloque-de-contacto-auxiliar-tesys-d-4-na-terminales-de-abrazaderas-de-tornillo/")</f>
        <v>https://www.se.com/pe/es/product/LADN40/bloque-de-contacto-auxiliar-tesys-d-4-na-terminales-de-abrazaderas-de-tornillo/</v>
      </c>
      <c r="AA226" s="213" t="str">
        <f>IFERROR(__xludf.DUMMYFUNCTION("""COMPUTED_VALUE"""),"ESP-114 BLOCK DE CONTACTORES AUXILIAR NC - NO - CET")</f>
        <v>ESP-114 BLOCK DE CONTACTORES AUXILIAR NC - NO - CET</v>
      </c>
      <c r="AB226" s="215" t="str">
        <f>IFERROR(__xludf.DUMMYFUNCTION("""COMPUTED_VALUE"""),"https://drive.google.com/file/d/1fJ9_rePbS1nBpLLH5Frbosk2h6y6vwf1/view")</f>
        <v>https://drive.google.com/file/d/1fJ9_rePbS1nBpLLH5Frbosk2h6y6vwf1/view</v>
      </c>
      <c r="AC226" s="213"/>
      <c r="AD226" s="213"/>
      <c r="AE226" s="213"/>
      <c r="AF226" s="213"/>
      <c r="AG226" s="213"/>
      <c r="AH226" s="213"/>
      <c r="AI226" s="213"/>
      <c r="AJ226" s="213"/>
      <c r="AK226" s="213"/>
      <c r="AL226" s="213"/>
      <c r="AM226" s="213"/>
      <c r="AN226" s="213"/>
      <c r="AO226" s="213"/>
      <c r="AP226" s="213" t="str">
        <f>IFERROR(__xludf.DUMMYFUNCTION("""COMPUTED_VALUE"""),"BRUNO")</f>
        <v>BRUNO</v>
      </c>
      <c r="AQ226" s="213"/>
      <c r="AR226" s="213"/>
      <c r="AS226" s="213"/>
      <c r="AT226" s="213"/>
      <c r="AU226" s="213"/>
      <c r="AV226" s="213"/>
      <c r="AW226" s="213"/>
      <c r="AX226" s="213"/>
      <c r="AY226" s="213"/>
      <c r="AZ226" s="213"/>
      <c r="BA226" s="213"/>
      <c r="BB226" s="213"/>
      <c r="BC226" s="213"/>
      <c r="BD226" s="213"/>
    </row>
    <row r="227">
      <c r="A227" s="213">
        <f>IFERROR(__xludf.DUMMYFUNCTION("""COMPUTED_VALUE"""),1318.0)</f>
        <v>1318</v>
      </c>
      <c r="B227" s="213" t="str">
        <f>IFERROR(__xludf.DUMMYFUNCTION("""COMPUTED_VALUE"""),"GUILLERMO E. BILLINGHURST ")</f>
        <v>GUILLERMO E. BILLINGHURST </v>
      </c>
      <c r="C227" s="213" t="str">
        <f>IFERROR(__xludf.DUMMYFUNCTION("""COMPUTED_VALUE"""),"TALLER SFT DE ELECTRICIDAD")</f>
        <v>TALLER SFT DE ELECTRICIDAD</v>
      </c>
      <c r="D227" s="213" t="str">
        <f>IFERROR(__xludf.DUMMYFUNCTION("""COMPUTED_VALUE"""),"EQUIPOS")</f>
        <v>EQUIPOS</v>
      </c>
      <c r="E227" s="213" t="str">
        <f>IFERROR(__xludf.DUMMYFUNCTION("""COMPUTED_VALUE"""),"ESP-114")</f>
        <v>ESP-114</v>
      </c>
      <c r="F227" s="213" t="str">
        <f>IFERROR(__xludf.DUMMYFUNCTION("""COMPUTED_VALUE"""),"ESP-114")</f>
        <v>ESP-114</v>
      </c>
      <c r="G227" s="213"/>
      <c r="H227" s="213" t="str">
        <f>IFERROR(__xludf.DUMMYFUNCTION("""COMPUTED_VALUE"""),"BLOCK DE CONTACTORES AUXILIAR NC - NO")</f>
        <v>BLOCK DE CONTACTORES AUXILIAR NC - NO</v>
      </c>
      <c r="I227" s="213"/>
      <c r="J227" s="213">
        <f>IFERROR(__xludf.DUMMYFUNCTION("""COMPUTED_VALUE"""),3.0)</f>
        <v>3</v>
      </c>
      <c r="K227" s="213" t="str">
        <f>IFERROR(__xludf.DUMMYFUNCTION("""COMPUTED_VALUE"""),"170 DÍAS CALENDARIO")</f>
        <v>170 DÍAS CALENDARIO</v>
      </c>
      <c r="L227" s="213" t="str">
        <f>IFERROR(__xludf.DUMMYFUNCTION("""COMPUTED_VALUE"""),"")</f>
        <v/>
      </c>
      <c r="M227" s="213">
        <f>IFERROR(__xludf.DUMMYFUNCTION("""COMPUTED_VALUE"""),1.0)</f>
        <v>1</v>
      </c>
      <c r="N227" s="213">
        <f>IFERROR(__xludf.DUMMYFUNCTION("""COMPUTED_VALUE"""),4.0)</f>
        <v>4</v>
      </c>
      <c r="O227" s="213">
        <f>IFERROR(__xludf.DUMMYFUNCTION("""COMPUTED_VALUE"""),4.0)</f>
        <v>4</v>
      </c>
      <c r="P227" s="213"/>
      <c r="Q227" s="213"/>
      <c r="R227" s="213"/>
      <c r="S227" s="213" t="str">
        <f>IFERROR(__xludf.DUMMYFUNCTION("""COMPUTED_VALUE"""),"SI")</f>
        <v>SI</v>
      </c>
      <c r="T227" s="213" t="str">
        <f>IFERROR(__xludf.DUMMYFUNCTION("""COMPUTED_VALUE"""),"SI")</f>
        <v>SI</v>
      </c>
      <c r="U227" s="213" t="str">
        <f>IFERROR(__xludf.DUMMYFUNCTION("""COMPUTED_VALUE"""),"SI")</f>
        <v>SI</v>
      </c>
      <c r="V227" s="213" t="str">
        <f>IFERROR(__xludf.DUMMYFUNCTION("""COMPUTED_VALUE"""),"-")</f>
        <v>-</v>
      </c>
      <c r="W227" s="213" t="str">
        <f>IFERROR(__xludf.DUMMYFUNCTION("""COMPUTED_VALUE"""),"-")</f>
        <v>-</v>
      </c>
      <c r="X227" s="213" t="str">
        <f>IFERROR(__xludf.DUMMYFUNCTION("""COMPUTED_VALUE"""),"Schneider Electric")</f>
        <v>Schneider Electric</v>
      </c>
      <c r="Y227" s="213" t="str">
        <f>IFERROR(__xludf.DUMMYFUNCTION("""COMPUTED_VALUE"""),"LADN40")</f>
        <v>LADN40</v>
      </c>
      <c r="Z227" s="215" t="str">
        <f>IFERROR(__xludf.DUMMYFUNCTION("""COMPUTED_VALUE"""),"https://www.se.com/pe/es/product/LADN40/bloque-de-contacto-auxiliar-tesys-d-4-na-terminales-de-abrazaderas-de-tornillo/")</f>
        <v>https://www.se.com/pe/es/product/LADN40/bloque-de-contacto-auxiliar-tesys-d-4-na-terminales-de-abrazaderas-de-tornillo/</v>
      </c>
      <c r="AA227" s="213" t="str">
        <f>IFERROR(__xludf.DUMMYFUNCTION("""COMPUTED_VALUE"""),"ESP-114 BLOCK DE CONTACTORES AUXILIAR NC - NO - CET")</f>
        <v>ESP-114 BLOCK DE CONTACTORES AUXILIAR NC - NO - CET</v>
      </c>
      <c r="AB227" s="215" t="str">
        <f>IFERROR(__xludf.DUMMYFUNCTION("""COMPUTED_VALUE"""),"https://drive.google.com/file/d/1fJ9_rePbS1nBpLLH5Frbosk2h6y6vwf1/view")</f>
        <v>https://drive.google.com/file/d/1fJ9_rePbS1nBpLLH5Frbosk2h6y6vwf1/view</v>
      </c>
      <c r="AC227" s="213"/>
      <c r="AD227" s="213"/>
      <c r="AE227" s="213"/>
      <c r="AF227" s="213"/>
      <c r="AG227" s="213"/>
      <c r="AH227" s="213"/>
      <c r="AI227" s="213"/>
      <c r="AJ227" s="213"/>
      <c r="AK227" s="213"/>
      <c r="AL227" s="213"/>
      <c r="AM227" s="213"/>
      <c r="AN227" s="213"/>
      <c r="AO227" s="213"/>
      <c r="AP227" s="213" t="str">
        <f>IFERROR(__xludf.DUMMYFUNCTION("""COMPUTED_VALUE"""),"BRUNO")</f>
        <v>BRUNO</v>
      </c>
      <c r="AQ227" s="213"/>
      <c r="AR227" s="213"/>
      <c r="AS227" s="213"/>
      <c r="AT227" s="213"/>
      <c r="AU227" s="213"/>
      <c r="AV227" s="213"/>
      <c r="AW227" s="213"/>
      <c r="AX227" s="213"/>
      <c r="AY227" s="213"/>
      <c r="AZ227" s="213"/>
      <c r="BA227" s="213"/>
      <c r="BB227" s="213"/>
      <c r="BC227" s="213"/>
      <c r="BD227" s="213"/>
    </row>
    <row r="228">
      <c r="A228" s="213">
        <f>IFERROR(__xludf.DUMMYFUNCTION("""COMPUTED_VALUE"""),195.0)</f>
        <v>195</v>
      </c>
      <c r="B228" s="213" t="str">
        <f>IFERROR(__xludf.DUMMYFUNCTION("""COMPUTED_VALUE"""),"2026 SIMON BOLIVAR")</f>
        <v>2026 SIMON BOLIVAR</v>
      </c>
      <c r="C228" s="213" t="str">
        <f>IFERROR(__xludf.DUMMYFUNCTION("""COMPUTED_VALUE"""),"TALLER SFT DE INDUSTRIA DEL VESTIDO")</f>
        <v>TALLER SFT DE INDUSTRIA DEL VESTIDO</v>
      </c>
      <c r="D228" s="213" t="str">
        <f>IFERROR(__xludf.DUMMYFUNCTION("""COMPUTED_VALUE"""),"EQUIPOS")</f>
        <v>EQUIPOS</v>
      </c>
      <c r="E228" s="213" t="str">
        <f>IFERROR(__xludf.DUMMYFUNCTION("""COMPUTED_VALUE"""),"ESP-116")</f>
        <v>ESP-116</v>
      </c>
      <c r="F228" s="213" t="str">
        <f>IFERROR(__xludf.DUMMYFUNCTION("""COMPUTED_VALUE"""),"ESP-116")</f>
        <v>ESP-116</v>
      </c>
      <c r="G228" s="213"/>
      <c r="H228" s="213" t="str">
        <f>IFERROR(__xludf.DUMMYFUNCTION("""COMPUTED_VALUE"""),"BORDADORA DOMESTICA DIGITAL, ÁREA DE TRABAJO DE 300 MM X 180 MM")</f>
        <v>BORDADORA DOMESTICA DIGITAL, ÁREA DE TRABAJO DE 300 MM X 180 MM</v>
      </c>
      <c r="I228" s="213" t="str">
        <f>IFERROR(__xludf.DUMMYFUNCTION("""COMPUTED_VALUE"""),"·       Máquina electrónica de bordado y costura
·       Área de bordado de 300 mm x 180 mm
·       Superficie de trabajo de 28,5 cm x 12,7 cm
·       Pantalla táctil LCD
·       Velocidad de bordado  hasta 1050 ppm
·       Control de velocidad
·       En"&amp;"hebrado y cortador de hilos automático
·       2 puertas USB – fácil importar/exportar
·       Luz LED
·       227 diseños de bordado incorporados y 14 alfabetos
·       Prensatelas continua y automático; se adapta automáticamente según el tipo y la grosu"&amp;"ra del tejido para conseguir una puntada perfecta
·       Transporte de 7 dientes
12 tipos de ojales automáticos en un sólo tiempo.
·       Pie transporte superior motorizado para facilitar un transporte óptimo de cualquier tipo de tejido y conseguir un r"&amp;"esultado perfecto
·       Guía Láser
·       Pie de bordado marcado con luz LED
·       531 funciones de costura
·       Juegos bastidor incluidos 10 cm x10cm, 18 cmx13cm,30 cmx18cm
·       Voltaje: 220 voltios / 60 Hz
.       Profundidad: 45 cm, Alto: 38"&amp;".5 cm, Ancho: 51.5 cm")</f>
        <v>·       Máquina electrónica de bordado y costura
·       Área de bordado de 300 mm x 180 mm
·       Superficie de trabajo de 28,5 cm x 12,7 cm
·       Pantalla táctil LCD
·       Velocidad de bordado  hasta 1050 ppm
·       Control de velocidad
·       Enhebrado y cortador de hilos automático
·       2 puertas USB – fácil importar/exportar
·       Luz LED
·       227 diseños de bordado incorporados y 14 alfabetos
·       Prensatelas continua y automático; se adapta automáticamente según el tipo y la grosura del tejido para conseguir una puntada perfecta
·       Transporte de 7 dientes
12 tipos de ojales automáticos en un sólo tiempo.
·       Pie transporte superior motorizado para facilitar un transporte óptimo de cualquier tipo de tejido y conseguir un resultado perfecto
·       Guía Láser
·       Pie de bordado marcado con luz LED
·       531 funciones de costura
·       Juegos bastidor incluidos 10 cm x10cm, 18 cmx13cm,30 cmx18cm
·       Voltaje: 220 voltios / 60 Hz
.       Profundidad: 45 cm, Alto: 38.5 cm, Ancho: 51.5 cm</v>
      </c>
      <c r="J228" s="213">
        <f>IFERROR(__xludf.DUMMYFUNCTION("""COMPUTED_VALUE"""),3.0)</f>
        <v>3</v>
      </c>
      <c r="K228" s="213" t="str">
        <f>IFERROR(__xludf.DUMMYFUNCTION("""COMPUTED_VALUE"""),"170 DÍAS CALENDARIO")</f>
        <v>170 DÍAS CALENDARIO</v>
      </c>
      <c r="L228" s="213" t="str">
        <f>IFERROR(__xludf.DUMMYFUNCTION("""COMPUTED_VALUE"""),"")</f>
        <v/>
      </c>
      <c r="M228" s="213">
        <f>IFERROR(__xludf.DUMMYFUNCTION("""COMPUTED_VALUE"""),1.0)</f>
        <v>1</v>
      </c>
      <c r="N228" s="213">
        <f>IFERROR(__xludf.DUMMYFUNCTION("""COMPUTED_VALUE"""),5.0)</f>
        <v>5</v>
      </c>
      <c r="O228" s="213">
        <f>IFERROR(__xludf.DUMMYFUNCTION("""COMPUTED_VALUE"""),5.0)</f>
        <v>5</v>
      </c>
      <c r="P228" s="213"/>
      <c r="Q228" s="213"/>
      <c r="R228" s="213"/>
      <c r="S228" s="213" t="str">
        <f>IFERROR(__xludf.DUMMYFUNCTION("""COMPUTED_VALUE"""),"SI")</f>
        <v>SI</v>
      </c>
      <c r="T228" s="213" t="str">
        <f>IFERROR(__xludf.DUMMYFUNCTION("""COMPUTED_VALUE"""),"SI")</f>
        <v>SI</v>
      </c>
      <c r="U228" s="213" t="str">
        <f>IFERROR(__xludf.DUMMYFUNCTION("""COMPUTED_VALUE"""),"NO")</f>
        <v>NO</v>
      </c>
      <c r="V228" s="213" t="str">
        <f>IFERROR(__xludf.DUMMYFUNCTION("""COMPUTED_VALUE"""),"SUSTENTO")</f>
        <v>SUSTENTO</v>
      </c>
      <c r="W228" s="213" t="str">
        <f>IFERROR(__xludf.DUMMYFUNCTION("""COMPUTED_VALUE"""),"EQU TEC")</f>
        <v>EQU TEC</v>
      </c>
      <c r="X228" s="213" t="str">
        <f>IFERROR(__xludf.DUMMYFUNCTION("""COMPUTED_VALUE"""),"BROTHER")</f>
        <v>BROTHER</v>
      </c>
      <c r="Y228" s="213" t="str">
        <f>IFERROR(__xludf.DUMMYFUNCTION("""COMPUTED_VALUE"""),"Innov-is V5LE")</f>
        <v>Innov-is V5LE</v>
      </c>
      <c r="Z228" s="215" t="str">
        <f>IFERROR(__xludf.DUMMYFUNCTION("""COMPUTED_VALUE"""),"https://sewingcraft.brother.eu/en/products/machines/combination-machines/combination-machines/innov-is-v5le")</f>
        <v>https://sewingcraft.brother.eu/en/products/machines/combination-machines/combination-machines/innov-is-v5le</v>
      </c>
      <c r="AA228" s="213" t="str">
        <f>IFERROR(__xludf.DUMMYFUNCTION("""COMPUTED_VALUE"""),"ESP-116 BORDADORA DOMESTICA DIGITAL, ÁREA DE TRABAJO DE 300 MM X 180 MM - CET")</f>
        <v>ESP-116 BORDADORA DOMESTICA DIGITAL, ÁREA DE TRABAJO DE 300 MM X 180 MM - CET</v>
      </c>
      <c r="AB228" s="215" t="str">
        <f>IFERROR(__xludf.DUMMYFUNCTION("""COMPUTED_VALUE"""),"https://drive.google.com/file/d/1VJ5yBrlVNIGlqK0le9YIhJFSOhZGN6MM/view?usp=sharing")</f>
        <v>https://drive.google.com/file/d/1VJ5yBrlVNIGlqK0le9YIhJFSOhZGN6MM/view?usp=sharing</v>
      </c>
      <c r="AC228" s="213"/>
      <c r="AD228" s="213"/>
      <c r="AE228" s="213"/>
      <c r="AF228" s="213"/>
      <c r="AG228" s="213"/>
      <c r="AH228" s="213" t="str">
        <f>IFERROR(__xludf.DUMMYFUNCTION("""COMPUTED_VALUE"""),"IMPORTADO / NACIONAL")</f>
        <v>IMPORTADO / NACIONAL</v>
      </c>
      <c r="AI228" s="213"/>
      <c r="AJ228" s="213"/>
      <c r="AK228" s="213"/>
      <c r="AL228" s="213"/>
      <c r="AM228" s="213"/>
      <c r="AN228" s="213"/>
      <c r="AO228" s="213"/>
      <c r="AP228" s="213" t="str">
        <f>IFERROR(__xludf.DUMMYFUNCTION("""COMPUTED_VALUE"""),"ANTONELLA")</f>
        <v>ANTONELLA</v>
      </c>
      <c r="AQ228" s="213" t="str">
        <f>IFERROR(__xludf.DUMMYFUNCTION("""COMPUTED_VALUE"""),"El equipo debe ser sustentado porque no cumple con dimensiones exactas, cantidad de diseños y superficie de trabajo.")</f>
        <v>El equipo debe ser sustentado porque no cumple con dimensiones exactas, cantidad de diseños y superficie de trabajo.</v>
      </c>
      <c r="AR228" s="213"/>
      <c r="AS228" s="213" t="str">
        <f>IFERROR(__xludf.DUMMYFUNCTION("""COMPUTED_VALUE"""),"PIE DE TRANSPORTE SUPERIOR MOTORIZADO
PUNTERO LÁSER
PIE DE BORDADO MARCADO CON LUZ LED
BASTIDOR 10 x 10 cM
BASTIDOR 18 X 13 CM
BASTIDOR 30 X 18 CM")</f>
        <v>PIE DE TRANSPORTE SUPERIOR MOTORIZADO
PUNTERO LÁSER
PIE DE BORDADO MARCADO CON LUZ LED
BASTIDOR 10 x 10 cM
BASTIDOR 18 X 13 CM
BASTIDOR 30 X 18 CM</v>
      </c>
      <c r="AT228" s="217" t="str">
        <f>IFERROR(__xludf.DUMMYFUNCTION("""COMPUTED_VALUE"""),"https://sewingcraft.brother.eu/en/products/machines/combination-machines/combination-machines/innov-is-v5le?utm_source=chatgpt.com 
https://sewingcraft.brother.eu/en/products/machines/combination-machines/combination-machines/innov-is-v5le?utm_source=cha"&amp;"tgpt.com 
https://sewingcraft.brother.eu/en/accessories/sewing-machine-accessories/fled1  
https://sewingcraft.brother.eu/en/accessories/sewing-machine-accessories/ef74 
https://sewingcraft.brother.eu/en/accessories/sewing-machine-accessories/ef75 
ht"&amp;"tps://sewingcraft.brother.eu/en/accessories/sewing-machine-accessories/ef76 ")</f>
        <v>https://sewingcraft.brother.eu/en/products/machines/combination-machines/combination-machines/innov-is-v5le?utm_source=chatgpt.com 
https://sewingcraft.brother.eu/en/products/machines/combination-machines/combination-machines/innov-is-v5le?utm_source=chatgpt.com 
https://sewingcraft.brother.eu/en/accessories/sewing-machine-accessories/fled1  
https://sewingcraft.brother.eu/en/accessories/sewing-machine-accessories/ef74 
https://sewingcraft.brother.eu/en/accessories/sewing-machine-accessories/ef75 
https://sewingcraft.brother.eu/en/accessories/sewing-machine-accessories/ef76 </v>
      </c>
      <c r="AU228" s="213"/>
      <c r="AV228" s="213"/>
      <c r="AW228" s="213"/>
      <c r="AX228" s="213"/>
      <c r="AY228" s="213"/>
      <c r="AZ228" s="213"/>
      <c r="BA228" s="213"/>
      <c r="BB228" s="213"/>
      <c r="BC228" s="213"/>
      <c r="BD228" s="213"/>
    </row>
    <row r="229">
      <c r="A229" s="213">
        <f>IFERROR(__xludf.DUMMYFUNCTION("""COMPUTED_VALUE"""),2418.0)</f>
        <v>2418</v>
      </c>
      <c r="B229" s="213" t="str">
        <f>IFERROR(__xludf.DUMMYFUNCTION("""COMPUTED_VALUE"""),"MANUEL ANTONIO MESONES MURO")</f>
        <v>MANUEL ANTONIO MESONES MURO</v>
      </c>
      <c r="C229" s="213" t="str">
        <f>IFERROR(__xludf.DUMMYFUNCTION("""COMPUTED_VALUE"""),"TALLER SFT DE INDUSTRIA DEL VESTIDO")</f>
        <v>TALLER SFT DE INDUSTRIA DEL VESTIDO</v>
      </c>
      <c r="D229" s="213" t="str">
        <f>IFERROR(__xludf.DUMMYFUNCTION("""COMPUTED_VALUE"""),"EQUIPOS")</f>
        <v>EQUIPOS</v>
      </c>
      <c r="E229" s="213" t="str">
        <f>IFERROR(__xludf.DUMMYFUNCTION("""COMPUTED_VALUE"""),"ESP-116")</f>
        <v>ESP-116</v>
      </c>
      <c r="F229" s="213" t="str">
        <f>IFERROR(__xludf.DUMMYFUNCTION("""COMPUTED_VALUE"""),"ESP-116")</f>
        <v>ESP-116</v>
      </c>
      <c r="G229" s="213"/>
      <c r="H229" s="213" t="str">
        <f>IFERROR(__xludf.DUMMYFUNCTION("""COMPUTED_VALUE"""),"BORDADORA DOMESTICA DIGITAL, ÁREA DE TRABAJO DE 300 MM X 180 MM")</f>
        <v>BORDADORA DOMESTICA DIGITAL, ÁREA DE TRABAJO DE 300 MM X 180 MM</v>
      </c>
      <c r="I229" s="213" t="str">
        <f>IFERROR(__xludf.DUMMYFUNCTION("""COMPUTED_VALUE"""),"·       Máquina electrónica de bordado y costura
·       Área de bordado de 300 mm x 180 mm
·       Superficie de trabajo de 28,5 cm x 12,7 cm
·       Pantalla táctil LCD
·       Velocidad de bordado  hasta 1050 ppm
·       Control de velocidad
·       En"&amp;"hebrado y cortador de hilos automático
·       2 puertas USB – fácil importar/exportar
·       Luz LED
·       227 diseños de bordado incorporados y 14 alfabetos
·       Prensatelas continua y automático; se adapta automáticamente según el tipo y la grosu"&amp;"ra del tejido para conseguir una puntada perfecta
·       Transporte de 7 dientes
12 tipos de ojales automáticos en un sólo tiempo.
·       Pie transporte superior motorizado para facilitar un transporte óptimo de cualquier tipo de tejido y conseguir un r"&amp;"esultado perfecto
·       Guía Láser
·       Pie de bordado marcado con luz LED
·       531 funciones de costura
·       Juegos bastidor incluidos 10 cm x10cm, 18 cmx13cm,30 cmx18cm
·       Voltaje: 220 voltios / 60 Hz
.       Profundidad: 45 cm, Alto: 38"&amp;".5 cm, Ancho: 51.5 cm")</f>
        <v>·       Máquina electrónica de bordado y costura
·       Área de bordado de 300 mm x 180 mm
·       Superficie de trabajo de 28,5 cm x 12,7 cm
·       Pantalla táctil LCD
·       Velocidad de bordado  hasta 1050 ppm
·       Control de velocidad
·       Enhebrado y cortador de hilos automático
·       2 puertas USB – fácil importar/exportar
·       Luz LED
·       227 diseños de bordado incorporados y 14 alfabetos
·       Prensatelas continua y automático; se adapta automáticamente según el tipo y la grosura del tejido para conseguir una puntada perfecta
·       Transporte de 7 dientes
12 tipos de ojales automáticos en un sólo tiempo.
·       Pie transporte superior motorizado para facilitar un transporte óptimo de cualquier tipo de tejido y conseguir un resultado perfecto
·       Guía Láser
·       Pie de bordado marcado con luz LED
·       531 funciones de costura
·       Juegos bastidor incluidos 10 cm x10cm, 18 cmx13cm,30 cmx18cm
·       Voltaje: 220 voltios / 60 Hz
.       Profundidad: 45 cm, Alto: 38.5 cm, Ancho: 51.5 cm</v>
      </c>
      <c r="J229" s="213">
        <f>IFERROR(__xludf.DUMMYFUNCTION("""COMPUTED_VALUE"""),3.0)</f>
        <v>3</v>
      </c>
      <c r="K229" s="213" t="str">
        <f>IFERROR(__xludf.DUMMYFUNCTION("""COMPUTED_VALUE"""),"170 DÍAS CALENDARIO")</f>
        <v>170 DÍAS CALENDARIO</v>
      </c>
      <c r="L229" s="213" t="str">
        <f>IFERROR(__xludf.DUMMYFUNCTION("""COMPUTED_VALUE"""),"")</f>
        <v/>
      </c>
      <c r="M229" s="213">
        <f>IFERROR(__xludf.DUMMYFUNCTION("""COMPUTED_VALUE"""),1.0)</f>
        <v>1</v>
      </c>
      <c r="N229" s="213">
        <f>IFERROR(__xludf.DUMMYFUNCTION("""COMPUTED_VALUE"""),4.0)</f>
        <v>4</v>
      </c>
      <c r="O229" s="213">
        <f>IFERROR(__xludf.DUMMYFUNCTION("""COMPUTED_VALUE"""),4.0)</f>
        <v>4</v>
      </c>
      <c r="P229" s="213"/>
      <c r="Q229" s="213"/>
      <c r="R229" s="213"/>
      <c r="S229" s="213" t="str">
        <f>IFERROR(__xludf.DUMMYFUNCTION("""COMPUTED_VALUE"""),"SI")</f>
        <v>SI</v>
      </c>
      <c r="T229" s="213" t="str">
        <f>IFERROR(__xludf.DUMMYFUNCTION("""COMPUTED_VALUE"""),"SI")</f>
        <v>SI</v>
      </c>
      <c r="U229" s="213" t="str">
        <f>IFERROR(__xludf.DUMMYFUNCTION("""COMPUTED_VALUE"""),"NO")</f>
        <v>NO</v>
      </c>
      <c r="V229" s="213" t="str">
        <f>IFERROR(__xludf.DUMMYFUNCTION("""COMPUTED_VALUE"""),"SUSTENTO")</f>
        <v>SUSTENTO</v>
      </c>
      <c r="W229" s="213" t="str">
        <f>IFERROR(__xludf.DUMMYFUNCTION("""COMPUTED_VALUE"""),"EQU TEC")</f>
        <v>EQU TEC</v>
      </c>
      <c r="X229" s="213" t="str">
        <f>IFERROR(__xludf.DUMMYFUNCTION("""COMPUTED_VALUE"""),"BROTHER")</f>
        <v>BROTHER</v>
      </c>
      <c r="Y229" s="213" t="str">
        <f>IFERROR(__xludf.DUMMYFUNCTION("""COMPUTED_VALUE"""),"Innov-is V5LE")</f>
        <v>Innov-is V5LE</v>
      </c>
      <c r="Z229" s="215" t="str">
        <f>IFERROR(__xludf.DUMMYFUNCTION("""COMPUTED_VALUE"""),"https://sewingcraft.brother.eu/en/products/machines/combination-machines/combination-machines/innov-is-v5le")</f>
        <v>https://sewingcraft.brother.eu/en/products/machines/combination-machines/combination-machines/innov-is-v5le</v>
      </c>
      <c r="AA229" s="213" t="str">
        <f>IFERROR(__xludf.DUMMYFUNCTION("""COMPUTED_VALUE"""),"ESP-116 BORDADORA DOMESTICA DIGITAL, ÁREA DE TRABAJO DE 300 MM X 180 MM - CET")</f>
        <v>ESP-116 BORDADORA DOMESTICA DIGITAL, ÁREA DE TRABAJO DE 300 MM X 180 MM - CET</v>
      </c>
      <c r="AB229" s="215" t="str">
        <f>IFERROR(__xludf.DUMMYFUNCTION("""COMPUTED_VALUE"""),"https://drive.google.com/file/d/1VJ5yBrlVNIGlqK0le9YIhJFSOhZGN6MM/view?usp=sharing")</f>
        <v>https://drive.google.com/file/d/1VJ5yBrlVNIGlqK0le9YIhJFSOhZGN6MM/view?usp=sharing</v>
      </c>
      <c r="AC229" s="213"/>
      <c r="AD229" s="213"/>
      <c r="AE229" s="213"/>
      <c r="AF229" s="213"/>
      <c r="AG229" s="213"/>
      <c r="AH229" s="213" t="str">
        <f>IFERROR(__xludf.DUMMYFUNCTION("""COMPUTED_VALUE"""),"IMPORTADO / NACIONAL")</f>
        <v>IMPORTADO / NACIONAL</v>
      </c>
      <c r="AI229" s="213"/>
      <c r="AJ229" s="213"/>
      <c r="AK229" s="213"/>
      <c r="AL229" s="213"/>
      <c r="AM229" s="213"/>
      <c r="AN229" s="213"/>
      <c r="AO229" s="213"/>
      <c r="AP229" s="213" t="str">
        <f>IFERROR(__xludf.DUMMYFUNCTION("""COMPUTED_VALUE"""),"ANTONELLA")</f>
        <v>ANTONELLA</v>
      </c>
      <c r="AQ229" s="213" t="str">
        <f>IFERROR(__xludf.DUMMYFUNCTION("""COMPUTED_VALUE"""),"El equipo debe ser sustentado porque no cumple con dimensiones exactas, cantidad de diseños y superficie de trabajo.")</f>
        <v>El equipo debe ser sustentado porque no cumple con dimensiones exactas, cantidad de diseños y superficie de trabajo.</v>
      </c>
      <c r="AR229" s="213"/>
      <c r="AS229" s="213" t="str">
        <f>IFERROR(__xludf.DUMMYFUNCTION("""COMPUTED_VALUE"""),"PIE DE TRANSPORTE SUPERIOR MOTORIZADO
PUNTERO LÁSER
PIE DE BORDADO MARCADO CON LUZ LED
BASTIDOR 10 x 10 cM
BASTIDOR 18 X 13 CM
BASTIDOR 30 X 18 CM")</f>
        <v>PIE DE TRANSPORTE SUPERIOR MOTORIZADO
PUNTERO LÁSER
PIE DE BORDADO MARCADO CON LUZ LED
BASTIDOR 10 x 10 cM
BASTIDOR 18 X 13 CM
BASTIDOR 30 X 18 CM</v>
      </c>
      <c r="AT229" s="217" t="str">
        <f>IFERROR(__xludf.DUMMYFUNCTION("""COMPUTED_VALUE"""),"https://sewingcraft.brother.eu/en/products/machines/combination-machines/combination-machines/innov-is-v5le?utm_source=chatgpt.com 
https://sewingcraft.brother.eu/en/products/machines/combination-machines/combination-machines/innov-is-v5le?utm_source=cha"&amp;"tgpt.com 
https://sewingcraft.brother.eu/en/accessories/sewing-machine-accessories/fled1  
https://sewingcraft.brother.eu/en/accessories/sewing-machine-accessories/ef74 
https://sewingcraft.brother.eu/en/accessories/sewing-machine-accessories/ef75 
ht"&amp;"tps://sewingcraft.brother.eu/en/accessories/sewing-machine-accessories/ef76 ")</f>
        <v>https://sewingcraft.brother.eu/en/products/machines/combination-machines/combination-machines/innov-is-v5le?utm_source=chatgpt.com 
https://sewingcraft.brother.eu/en/products/machines/combination-machines/combination-machines/innov-is-v5le?utm_source=chatgpt.com 
https://sewingcraft.brother.eu/en/accessories/sewing-machine-accessories/fled1  
https://sewingcraft.brother.eu/en/accessories/sewing-machine-accessories/ef74 
https://sewingcraft.brother.eu/en/accessories/sewing-machine-accessories/ef75 
https://sewingcraft.brother.eu/en/accessories/sewing-machine-accessories/ef76 </v>
      </c>
      <c r="AU229" s="213"/>
      <c r="AV229" s="213"/>
      <c r="AW229" s="213"/>
      <c r="AX229" s="213"/>
      <c r="AY229" s="213"/>
      <c r="AZ229" s="213"/>
      <c r="BA229" s="213"/>
      <c r="BB229" s="213"/>
      <c r="BC229" s="213"/>
      <c r="BD229" s="213"/>
    </row>
    <row r="230">
      <c r="A230" s="213">
        <f>IFERROR(__xludf.DUMMYFUNCTION("""COMPUTED_VALUE"""),2270.0)</f>
        <v>2270</v>
      </c>
      <c r="B230" s="213" t="str">
        <f>IFERROR(__xludf.DUMMYFUNCTION("""COMPUTED_VALUE"""),"JOSE GRANDA")</f>
        <v>JOSE GRANDA</v>
      </c>
      <c r="C230" s="213" t="str">
        <f>IFERROR(__xludf.DUMMYFUNCTION("""COMPUTED_VALUE"""),"TALLER SFT DE MECÁNICA AUTOMOTRIZ")</f>
        <v>TALLER SFT DE MECÁNICA AUTOMOTRIZ</v>
      </c>
      <c r="D230" s="213" t="str">
        <f>IFERROR(__xludf.DUMMYFUNCTION("""COMPUTED_VALUE"""),"HERRAMIENTAS")</f>
        <v>HERRAMIENTAS</v>
      </c>
      <c r="E230" s="213" t="str">
        <f>IFERROR(__xludf.DUMMYFUNCTION("""COMPUTED_VALUE"""),"COM-155")</f>
        <v>COM-155</v>
      </c>
      <c r="F230" s="213" t="str">
        <f>IFERROR(__xludf.DUMMYFUNCTION("""COMPUTED_VALUE"""),"COM-155")</f>
        <v>COM-155</v>
      </c>
      <c r="G230" s="213"/>
      <c r="H230" s="213" t="str">
        <f>IFERROR(__xludf.DUMMYFUNCTION("""COMPUTED_VALUE"""),"EMBUDO DE USO INDUSTRIAL")</f>
        <v>EMBUDO DE USO INDUSTRIAL</v>
      </c>
      <c r="I230" s="213" t="str">
        <f>IFERROR(__xludf.DUMMYFUNCTION("""COMPUTED_VALUE"""),"Uso industrial
Capacidad de mínima 3 litros Con asa, para mejor agarre Fabricado en acero.
Con rejilla o filtro.
Dímetro mínimo de salida 20mm")</f>
        <v>Uso industrial
Capacidad de mínima 3 litros Con asa, para mejor agarre Fabricado en acero.
Con rejilla o filtro.
Dímetro mínimo de salida 20mm</v>
      </c>
      <c r="J230" s="213">
        <f>IFERROR(__xludf.DUMMYFUNCTION("""COMPUTED_VALUE"""),3.0)</f>
        <v>3</v>
      </c>
      <c r="K230" s="213" t="str">
        <f>IFERROR(__xludf.DUMMYFUNCTION("""COMPUTED_VALUE"""),"90 DÍAS CALENDARIO")</f>
        <v>90 DÍAS CALENDARIO</v>
      </c>
      <c r="L230" s="213" t="str">
        <f>IFERROR(__xludf.DUMMYFUNCTION("""COMPUTED_VALUE"""),"")</f>
        <v/>
      </c>
      <c r="M230" s="213">
        <f>IFERROR(__xludf.DUMMYFUNCTION("""COMPUTED_VALUE"""),1.0)</f>
        <v>1</v>
      </c>
      <c r="N230" s="213">
        <f>IFERROR(__xludf.DUMMYFUNCTION("""COMPUTED_VALUE"""),1.0)</f>
        <v>1</v>
      </c>
      <c r="O230" s="213">
        <f>IFERROR(__xludf.DUMMYFUNCTION("""COMPUTED_VALUE"""),1.0)</f>
        <v>1</v>
      </c>
      <c r="P230" s="213"/>
      <c r="Q230" s="213"/>
      <c r="R230" s="213"/>
      <c r="S230" s="213"/>
      <c r="T230" s="213" t="str">
        <f>IFERROR(__xludf.DUMMYFUNCTION("""COMPUTED_VALUE"""),"CONSULTA FINAL")</f>
        <v>CONSULTA FINAL</v>
      </c>
      <c r="U230" s="213" t="str">
        <f>IFERROR(__xludf.DUMMYFUNCTION("""COMPUTED_VALUE"""),"NO")</f>
        <v>NO</v>
      </c>
      <c r="V230" s="213" t="str">
        <f>IFERROR(__xludf.DUMMYFUNCTION("""COMPUTED_VALUE"""),"SUSTENTO")</f>
        <v>SUSTENTO</v>
      </c>
      <c r="W230" s="213" t="str">
        <f>IFERROR(__xludf.DUMMYFUNCTION("""COMPUTED_VALUE"""),"CRÍTICO")</f>
        <v>CRÍTICO</v>
      </c>
      <c r="X230" s="213" t="str">
        <f>IFERROR(__xludf.DUMMYFUNCTION("""COMPUTED_VALUE"""),"YUANYAO		")</f>
        <v>YUANYAO		</v>
      </c>
      <c r="Y230" s="213" t="str">
        <f>IFERROR(__xludf.DUMMYFUNCTION("""COMPUTED_VALUE"""),"B0F7G8SP8L")</f>
        <v>B0F7G8SP8L</v>
      </c>
      <c r="Z230" s="215" t="str">
        <f>IFERROR(__xludf.DUMMYFUNCTION("""COMPUTED_VALUE"""),"https://www.amazon.es/inoxidable-espesante-maquinaria-alimentos-alimentaci%C3%B3n/dp/B0F7G8SP8L?th=1")</f>
        <v>https://www.amazon.es/inoxidable-espesante-maquinaria-alimentos-alimentaci%C3%B3n/dp/B0F7G8SP8L?th=1</v>
      </c>
      <c r="AA230" s="215" t="str">
        <f>IFERROR(__xludf.DUMMYFUNCTION("""COMPUTED_VALUE"""),"https://docs.google.com/spreadsheets/d/10-F5GkEDVjxVTrWs0qKhAWWDQbXKvCWNscT26_47t2M/edit?gid=0#gid=2")</f>
        <v>https://docs.google.com/spreadsheets/d/10-F5GkEDVjxVTrWs0qKhAWWDQbXKvCWNscT26_47t2M/edit?gid=0#gid=2</v>
      </c>
      <c r="AB230" s="213"/>
      <c r="AC230" s="213"/>
      <c r="AD230" s="213"/>
      <c r="AE230" s="213"/>
      <c r="AF230" s="213"/>
      <c r="AG230" s="213"/>
      <c r="AH230" s="213"/>
      <c r="AI230" s="213"/>
      <c r="AJ230" s="213"/>
      <c r="AK230" s="213"/>
      <c r="AL230" s="213"/>
      <c r="AM230" s="213"/>
      <c r="AN230" s="213"/>
      <c r="AO230" s="213"/>
      <c r="AP230" s="213" t="str">
        <f>IFERROR(__xludf.DUMMYFUNCTION("""COMPUTED_VALUE"""),"SEBASTIAN")</f>
        <v>SEBASTIAN</v>
      </c>
      <c r="AQ230" s="213"/>
      <c r="AR230" s="213"/>
      <c r="AS230" s="213" t="str">
        <f>IFERROR(__xludf.DUMMYFUNCTION("""COMPUTED_VALUE"""),"No es completamente de acero, sino que también tiene HDPE.")</f>
        <v>No es completamente de acero, sino que también tiene HDPE.</v>
      </c>
      <c r="AT230" s="213"/>
      <c r="AU230" s="213"/>
      <c r="AV230" s="213"/>
      <c r="AW230" s="213"/>
      <c r="AX230" s="213"/>
      <c r="AY230" s="213"/>
      <c r="AZ230" s="213"/>
      <c r="BA230" s="213"/>
      <c r="BB230" s="213"/>
      <c r="BC230" s="213"/>
      <c r="BD230" s="213"/>
    </row>
    <row r="231">
      <c r="A231" s="213">
        <f>IFERROR(__xludf.DUMMYFUNCTION("""COMPUTED_VALUE"""),177.0)</f>
        <v>177</v>
      </c>
      <c r="B231" s="213" t="str">
        <f>IFERROR(__xludf.DUMMYFUNCTION("""COMPUTED_VALUE"""),"2026 SIMON BOLIVAR")</f>
        <v>2026 SIMON BOLIVAR</v>
      </c>
      <c r="C231" s="213" t="str">
        <f>IFERROR(__xludf.DUMMYFUNCTION("""COMPUTED_VALUE"""),"TALLER SFT DE INDUSTRIA DEL VESTIDO")</f>
        <v>TALLER SFT DE INDUSTRIA DEL VESTIDO</v>
      </c>
      <c r="D231" s="213" t="str">
        <f>IFERROR(__xludf.DUMMYFUNCTION("""COMPUTED_VALUE"""),"HERRAMIENTAS")</f>
        <v>HERRAMIENTAS</v>
      </c>
      <c r="E231" s="213" t="str">
        <f>IFERROR(__xludf.DUMMYFUNCTION("""COMPUTED_VALUE"""),"COM-156")</f>
        <v>COM-156</v>
      </c>
      <c r="F231" s="213" t="str">
        <f>IFERROR(__xludf.DUMMYFUNCTION("""COMPUTED_VALUE"""),"COM-156")</f>
        <v>COM-156</v>
      </c>
      <c r="G231" s="213"/>
      <c r="H231" s="213" t="str">
        <f>IFERROR(__xludf.DUMMYFUNCTION("""COMPUTED_VALUE"""),"EMBUDO PARA SESGO")</f>
        <v>EMBUDO PARA SESGO</v>
      </c>
      <c r="I231" s="213" t="str">
        <f>IFERROR(__xludf.DUMMYFUNCTION("""COMPUTED_VALUE"""),"·      Para máquinas industriales de una aguja y costura recta.
·      Este accesorio se utiliza para insertar bies o cinta a lo largo del borde de la prenda
·      Medida entrada, de la cinta sin doblar: 30 mm.
·      Medida salida: 8,5 mm.")</f>
        <v>·      Para máquinas industriales de una aguja y costura recta.
·      Este accesorio se utiliza para insertar bies o cinta a lo largo del borde de la prenda
·      Medida entrada, de la cinta sin doblar: 30 mm.
·      Medida salida: 8,5 mm.</v>
      </c>
      <c r="J231" s="213">
        <f>IFERROR(__xludf.DUMMYFUNCTION("""COMPUTED_VALUE"""),3.0)</f>
        <v>3</v>
      </c>
      <c r="K231" s="213" t="str">
        <f>IFERROR(__xludf.DUMMYFUNCTION("""COMPUTED_VALUE"""),"90 DÍAS CALENDARIO")</f>
        <v>90 DÍAS CALENDARIO</v>
      </c>
      <c r="L231" s="213" t="str">
        <f>IFERROR(__xludf.DUMMYFUNCTION("""COMPUTED_VALUE"""),"")</f>
        <v/>
      </c>
      <c r="M231" s="213">
        <f>IFERROR(__xludf.DUMMYFUNCTION("""COMPUTED_VALUE"""),1.0)</f>
        <v>1</v>
      </c>
      <c r="N231" s="213">
        <f>IFERROR(__xludf.DUMMYFUNCTION("""COMPUTED_VALUE"""),4.0)</f>
        <v>4</v>
      </c>
      <c r="O231" s="213">
        <f>IFERROR(__xludf.DUMMYFUNCTION("""COMPUTED_VALUE"""),4.0)</f>
        <v>4</v>
      </c>
      <c r="P231" s="213"/>
      <c r="Q231" s="213"/>
      <c r="R231" s="213"/>
      <c r="S231" s="213"/>
      <c r="T231" s="213" t="str">
        <f>IFERROR(__xludf.DUMMYFUNCTION("""COMPUTED_VALUE"""),"CONSULTA FINAL")</f>
        <v>CONSULTA FINAL</v>
      </c>
      <c r="U231" s="213" t="str">
        <f>IFERROR(__xludf.DUMMYFUNCTION("""COMPUTED_VALUE"""),"NO")</f>
        <v>NO</v>
      </c>
      <c r="V231" s="213" t="str">
        <f>IFERROR(__xludf.DUMMYFUNCTION("""COMPUTED_VALUE"""),"SUSTENTO")</f>
        <v>SUSTENTO</v>
      </c>
      <c r="W231" s="213" t="str">
        <f>IFERROR(__xludf.DUMMYFUNCTION("""COMPUTED_VALUE"""),"DIMENSIONAL")</f>
        <v>DIMENSIONAL</v>
      </c>
      <c r="X231" s="213" t="str">
        <f>IFERROR(__xludf.DUMMYFUNCTION("""COMPUTED_VALUE"""),"GENERICO")</f>
        <v>GENERICO</v>
      </c>
      <c r="Y231" s="213" t="str">
        <f>IFERROR(__xludf.DUMMYFUNCTION("""COMPUTED_VALUE"""),"GENERICO")</f>
        <v>GENERICO</v>
      </c>
      <c r="Z231" s="215" t="str">
        <f>IFERROR(__xludf.DUMMYFUNCTION("""COMPUTED_VALUE"""),"https://articulo.mercadolibre.com.pe/MPE-606865336-embudo-para-maquina-coser-recta-industrial-25cm-al-4cm-x-ud-_JM?searchVariation=174116342699#polycard_client=search-nordic&amp;searchVariation=174116342699&amp;search_layout=stack&amp;position=5&amp;type=item&amp;tracking_id"&amp;"=69771774-2c82-435c-9e0b-7f45ec6c388d")</f>
        <v>https://articulo.mercadolibre.com.pe/MPE-606865336-embudo-para-maquina-coser-recta-industrial-25cm-al-4cm-x-ud-_JM?searchVariation=174116342699#polycard_client=search-nordic&amp;searchVariation=174116342699&amp;search_layout=stack&amp;position=5&amp;type=item&amp;tracking_id=69771774-2c82-435c-9e0b-7f45ec6c388d</v>
      </c>
      <c r="AA231" s="213" t="str">
        <f>IFERROR(__xludf.DUMMYFUNCTION("""COMPUTED_VALUE"""),"COM-156 EMBUDO PARA SESGO - CET")</f>
        <v>COM-156 EMBUDO PARA SESGO - CET</v>
      </c>
      <c r="AB231" s="213"/>
      <c r="AC231" s="213"/>
      <c r="AD231" s="213"/>
      <c r="AE231" s="213"/>
      <c r="AF231" s="213"/>
      <c r="AG231" s="213"/>
      <c r="AH231" s="213"/>
      <c r="AI231" s="213"/>
      <c r="AJ231" s="213"/>
      <c r="AK231" s="213"/>
      <c r="AL231" s="213"/>
      <c r="AM231" s="213"/>
      <c r="AN231" s="213"/>
      <c r="AO231" s="213"/>
      <c r="AP231" s="213" t="str">
        <f>IFERROR(__xludf.DUMMYFUNCTION("""COMPUTED_VALUE"""),"LUIS")</f>
        <v>LUIS</v>
      </c>
      <c r="AQ231" s="213"/>
      <c r="AR231" s="213"/>
      <c r="AS231" s="213"/>
      <c r="AT231" s="213"/>
      <c r="AU231" s="213"/>
      <c r="AV231" s="213"/>
      <c r="AW231" s="213"/>
      <c r="AX231" s="213"/>
      <c r="AY231" s="213"/>
      <c r="AZ231" s="213"/>
      <c r="BA231" s="213"/>
      <c r="BB231" s="213"/>
      <c r="BC231" s="213"/>
      <c r="BD231" s="213"/>
    </row>
    <row r="232">
      <c r="A232" s="213">
        <f>IFERROR(__xludf.DUMMYFUNCTION("""COMPUTED_VALUE"""),2399.0)</f>
        <v>2399</v>
      </c>
      <c r="B232" s="213" t="str">
        <f>IFERROR(__xludf.DUMMYFUNCTION("""COMPUTED_VALUE"""),"MANUEL ANTONIO MESONES MURO")</f>
        <v>MANUEL ANTONIO MESONES MURO</v>
      </c>
      <c r="C232" s="213" t="str">
        <f>IFERROR(__xludf.DUMMYFUNCTION("""COMPUTED_VALUE"""),"TALLER SFT DE INDUSTRIA DEL VESTIDO")</f>
        <v>TALLER SFT DE INDUSTRIA DEL VESTIDO</v>
      </c>
      <c r="D232" s="213" t="str">
        <f>IFERROR(__xludf.DUMMYFUNCTION("""COMPUTED_VALUE"""),"HERRAMIENTAS")</f>
        <v>HERRAMIENTAS</v>
      </c>
      <c r="E232" s="213" t="str">
        <f>IFERROR(__xludf.DUMMYFUNCTION("""COMPUTED_VALUE"""),"COM-156")</f>
        <v>COM-156</v>
      </c>
      <c r="F232" s="213" t="str">
        <f>IFERROR(__xludf.DUMMYFUNCTION("""COMPUTED_VALUE"""),"COM-156")</f>
        <v>COM-156</v>
      </c>
      <c r="G232" s="213"/>
      <c r="H232" s="213" t="str">
        <f>IFERROR(__xludf.DUMMYFUNCTION("""COMPUTED_VALUE"""),"EMBUDO PARA SESGO")</f>
        <v>EMBUDO PARA SESGO</v>
      </c>
      <c r="I232" s="213" t="str">
        <f>IFERROR(__xludf.DUMMYFUNCTION("""COMPUTED_VALUE"""),"·      Para máquinas industriales de una aguja y costura recta.
·      Este accesorio se utiliza para insertar bies o cinta a lo largo del borde de la prenda
·      Medida entrada, de la cinta sin doblar: 30 mm.
·      Medida salida: 8,5 mm.")</f>
        <v>·      Para máquinas industriales de una aguja y costura recta.
·      Este accesorio se utiliza para insertar bies o cinta a lo largo del borde de la prenda
·      Medida entrada, de la cinta sin doblar: 30 mm.
·      Medida salida: 8,5 mm.</v>
      </c>
      <c r="J232" s="213">
        <f>IFERROR(__xludf.DUMMYFUNCTION("""COMPUTED_VALUE"""),3.0)</f>
        <v>3</v>
      </c>
      <c r="K232" s="213" t="str">
        <f>IFERROR(__xludf.DUMMYFUNCTION("""COMPUTED_VALUE"""),"90 DÍAS CALENDARIO")</f>
        <v>90 DÍAS CALENDARIO</v>
      </c>
      <c r="L232" s="213" t="str">
        <f>IFERROR(__xludf.DUMMYFUNCTION("""COMPUTED_VALUE"""),"")</f>
        <v/>
      </c>
      <c r="M232" s="213">
        <f>IFERROR(__xludf.DUMMYFUNCTION("""COMPUTED_VALUE"""),1.0)</f>
        <v>1</v>
      </c>
      <c r="N232" s="213">
        <f>IFERROR(__xludf.DUMMYFUNCTION("""COMPUTED_VALUE"""),4.0)</f>
        <v>4</v>
      </c>
      <c r="O232" s="213">
        <f>IFERROR(__xludf.DUMMYFUNCTION("""COMPUTED_VALUE"""),4.0)</f>
        <v>4</v>
      </c>
      <c r="P232" s="213"/>
      <c r="Q232" s="213"/>
      <c r="R232" s="213"/>
      <c r="S232" s="213"/>
      <c r="T232" s="213" t="str">
        <f>IFERROR(__xludf.DUMMYFUNCTION("""COMPUTED_VALUE"""),"CONSULTA FINAL")</f>
        <v>CONSULTA FINAL</v>
      </c>
      <c r="U232" s="213" t="str">
        <f>IFERROR(__xludf.DUMMYFUNCTION("""COMPUTED_VALUE"""),"NO")</f>
        <v>NO</v>
      </c>
      <c r="V232" s="213" t="str">
        <f>IFERROR(__xludf.DUMMYFUNCTION("""COMPUTED_VALUE"""),"SUSTENTO")</f>
        <v>SUSTENTO</v>
      </c>
      <c r="W232" s="213" t="str">
        <f>IFERROR(__xludf.DUMMYFUNCTION("""COMPUTED_VALUE"""),"DIMENSIONAL")</f>
        <v>DIMENSIONAL</v>
      </c>
      <c r="X232" s="213" t="str">
        <f>IFERROR(__xludf.DUMMYFUNCTION("""COMPUTED_VALUE"""),"GENERICO")</f>
        <v>GENERICO</v>
      </c>
      <c r="Y232" s="213" t="str">
        <f>IFERROR(__xludf.DUMMYFUNCTION("""COMPUTED_VALUE"""),"GENERICO")</f>
        <v>GENERICO</v>
      </c>
      <c r="Z232" s="215" t="str">
        <f>IFERROR(__xludf.DUMMYFUNCTION("""COMPUTED_VALUE"""),"https://articulo.mercadolibre.com.pe/MPE-606865336-embudo-para-maquina-coser-recta-industrial-25cm-al-4cm-x-ud-_JM?searchVariation=174116342699#polycard_client=search-nordic&amp;searchVariation=174116342699&amp;search_layout=stack&amp;position=5&amp;type=item&amp;tracking_id"&amp;"=69771774-2c82-435c-9e0b-7f45ec6c388d")</f>
        <v>https://articulo.mercadolibre.com.pe/MPE-606865336-embudo-para-maquina-coser-recta-industrial-25cm-al-4cm-x-ud-_JM?searchVariation=174116342699#polycard_client=search-nordic&amp;searchVariation=174116342699&amp;search_layout=stack&amp;position=5&amp;type=item&amp;tracking_id=69771774-2c82-435c-9e0b-7f45ec6c388d</v>
      </c>
      <c r="AA232" s="213" t="str">
        <f>IFERROR(__xludf.DUMMYFUNCTION("""COMPUTED_VALUE"""),"COM-156 EMBUDO PARA SESGO - CET")</f>
        <v>COM-156 EMBUDO PARA SESGO - CET</v>
      </c>
      <c r="AB232" s="213"/>
      <c r="AC232" s="213"/>
      <c r="AD232" s="213"/>
      <c r="AE232" s="213"/>
      <c r="AF232" s="213"/>
      <c r="AG232" s="213"/>
      <c r="AH232" s="213"/>
      <c r="AI232" s="213"/>
      <c r="AJ232" s="213"/>
      <c r="AK232" s="213"/>
      <c r="AL232" s="213"/>
      <c r="AM232" s="213"/>
      <c r="AN232" s="213"/>
      <c r="AO232" s="213"/>
      <c r="AP232" s="213" t="str">
        <f>IFERROR(__xludf.DUMMYFUNCTION("""COMPUTED_VALUE"""),"LUIS")</f>
        <v>LUIS</v>
      </c>
      <c r="AQ232" s="213"/>
      <c r="AR232" s="213"/>
      <c r="AS232" s="213"/>
      <c r="AT232" s="213"/>
      <c r="AU232" s="213"/>
      <c r="AV232" s="213"/>
      <c r="AW232" s="213"/>
      <c r="AX232" s="213"/>
      <c r="AY232" s="213"/>
      <c r="AZ232" s="213"/>
      <c r="BA232" s="213"/>
      <c r="BB232" s="213"/>
      <c r="BC232" s="213"/>
      <c r="BD232" s="213"/>
    </row>
    <row r="233">
      <c r="A233" s="213">
        <f>IFERROR(__xludf.DUMMYFUNCTION("""COMPUTED_VALUE"""),958.0)</f>
        <v>958</v>
      </c>
      <c r="B233" s="213" t="str">
        <f>IFERROR(__xludf.DUMMYFUNCTION("""COMPUTED_VALUE"""),"FRANCISCO IRAZOLA")</f>
        <v>FRANCISCO IRAZOLA</v>
      </c>
      <c r="C233" s="213" t="str">
        <f>IFERROR(__xludf.DUMMYFUNCTION("""COMPUTED_VALUE"""),"TALLER SFT DE MECÁNICA AUTOMOTRIZ")</f>
        <v>TALLER SFT DE MECÁNICA AUTOMOTRIZ</v>
      </c>
      <c r="D233" s="213" t="str">
        <f>IFERROR(__xludf.DUMMYFUNCTION("""COMPUTED_VALUE"""),"HERRAMIENTAS")</f>
        <v>HERRAMIENTAS</v>
      </c>
      <c r="E233" s="213" t="str">
        <f>IFERROR(__xludf.DUMMYFUNCTION("""COMPUTED_VALUE"""),"COM-157")</f>
        <v>COM-157</v>
      </c>
      <c r="F233" s="213" t="str">
        <f>IFERROR(__xludf.DUMMYFUNCTION("""COMPUTED_VALUE"""),"COM-157")</f>
        <v>COM-157</v>
      </c>
      <c r="G233" s="213"/>
      <c r="H233" s="213" t="str">
        <f>IFERROR(__xludf.DUMMYFUNCTION("""COMPUTED_VALUE"""),"ENGRASADORA")</f>
        <v>ENGRASADORA</v>
      </c>
      <c r="I233" s="213" t="str">
        <f>IFERROR(__xludf.DUMMYFUNCTION("""COMPUTED_VALUE"""),"Grasera industrial.  Manual de palanca. Capacidad: mínimo 14 oz. Para utilizar en inyectado de grasa.")</f>
        <v>Grasera industrial.  Manual de palanca. Capacidad: mínimo 14 oz. Para utilizar en inyectado de grasa.</v>
      </c>
      <c r="J233" s="213">
        <f>IFERROR(__xludf.DUMMYFUNCTION("""COMPUTED_VALUE"""),3.0)</f>
        <v>3</v>
      </c>
      <c r="K233" s="213" t="str">
        <f>IFERROR(__xludf.DUMMYFUNCTION("""COMPUTED_VALUE"""),"90 DÍAS CALENDARIO")</f>
        <v>90 DÍAS CALENDARIO</v>
      </c>
      <c r="L233" s="213" t="str">
        <f>IFERROR(__xludf.DUMMYFUNCTION("""COMPUTED_VALUE"""),"")</f>
        <v/>
      </c>
      <c r="M233" s="213">
        <f>IFERROR(__xludf.DUMMYFUNCTION("""COMPUTED_VALUE"""),1.0)</f>
        <v>1</v>
      </c>
      <c r="N233" s="213">
        <f>IFERROR(__xludf.DUMMYFUNCTION("""COMPUTED_VALUE"""),1.0)</f>
        <v>1</v>
      </c>
      <c r="O233" s="213">
        <f>IFERROR(__xludf.DUMMYFUNCTION("""COMPUTED_VALUE"""),1.0)</f>
        <v>1</v>
      </c>
      <c r="P233" s="213"/>
      <c r="Q233" s="213"/>
      <c r="R233" s="213" t="str">
        <f>IFERROR(__xludf.DUMMYFUNCTION("""COMPUTED_VALUE"""),"SI")</f>
        <v>SI</v>
      </c>
      <c r="S233" s="213"/>
      <c r="T233" s="213" t="str">
        <f>IFERROR(__xludf.DUMMYFUNCTION("""COMPUTED_VALUE"""),"SI")</f>
        <v>SI</v>
      </c>
      <c r="U233" s="213" t="str">
        <f>IFERROR(__xludf.DUMMYFUNCTION("""COMPUTED_VALUE"""),"SI")</f>
        <v>SI</v>
      </c>
      <c r="V233" s="213" t="str">
        <f>IFERROR(__xludf.DUMMYFUNCTION("""COMPUTED_VALUE"""),"-")</f>
        <v>-</v>
      </c>
      <c r="W233" s="213" t="str">
        <f>IFERROR(__xludf.DUMMYFUNCTION("""COMPUTED_VALUE"""),"-")</f>
        <v>-</v>
      </c>
      <c r="X233" s="213" t="str">
        <f>IFERROR(__xludf.DUMMYFUNCTION("""COMPUTED_VALUE"""),"TRUPER")</f>
        <v>TRUPER</v>
      </c>
      <c r="Y233" s="213" t="str">
        <f>IFERROR(__xludf.DUMMYFUNCTION("""COMPUTED_VALUE"""),"14 Oz GRAS-13")</f>
        <v>14 Oz GRAS-13</v>
      </c>
      <c r="Z233" s="215" t="str">
        <f>IFERROR(__xludf.DUMMYFUNCTION("""COMPUTED_VALUE"""),"https://www.promart.pe/grasera-industrial-14-oz-6000-lb-pul2/p?srsltid=AfmBOorqzj4GgXjGt1olTcPu1-s1O2auQCiUm9iKnPi3Y7RQuZT-qWqk&amp;utm_source=chatgpt.com")</f>
        <v>https://www.promart.pe/grasera-industrial-14-oz-6000-lb-pul2/p?srsltid=AfmBOorqzj4GgXjGt1olTcPu1-s1O2auQCiUm9iKnPi3Y7RQuZT-qWqk&amp;utm_source=chatgpt.com</v>
      </c>
      <c r="AA233" s="213" t="str">
        <f>IFERROR(__xludf.DUMMYFUNCTION("""COMPUTED_VALUE"""),"COM-157 ENGRASADORA - CET")</f>
        <v>COM-157 ENGRASADORA - CET</v>
      </c>
      <c r="AB233" s="215" t="str">
        <f>IFERROR(__xludf.DUMMYFUNCTION("""COMPUTED_VALUE"""),"https://drive.google.com/file/d/1Ky3q6_f4TYphTlRHqPHF9gyv50q-0rQ1/view?usp=sharing")</f>
        <v>https://drive.google.com/file/d/1Ky3q6_f4TYphTlRHqPHF9gyv50q-0rQ1/view?usp=sharing</v>
      </c>
      <c r="AC233" s="215" t="str">
        <f>IFERROR(__xludf.DUMMYFUNCTION("""COMPUTED_VALUE"""),"https://www.promart.pe/grasera-industrial-14-oz-6000-lb-pul2/p?srsltid=AfmBOorqzj4GgXjGt1olTcPu1-s1O2auQCiUm9iKnPi3Y7RQuZT-qWqk&amp;utm_source=chatgpt.com")</f>
        <v>https://www.promart.pe/grasera-industrial-14-oz-6000-lb-pul2/p?srsltid=AfmBOorqzj4GgXjGt1olTcPu1-s1O2auQCiUm9iKnPi3Y7RQuZT-qWqk&amp;utm_source=chatgpt.com</v>
      </c>
      <c r="AD233" s="213"/>
      <c r="AE233" s="213"/>
      <c r="AF233" s="213"/>
      <c r="AG233" s="213"/>
      <c r="AH233" s="213" t="str">
        <f>IFERROR(__xludf.DUMMYFUNCTION("""COMPUTED_VALUE"""),"NACIONAL")</f>
        <v>NACIONAL</v>
      </c>
      <c r="AI233" s="213"/>
      <c r="AJ233" s="213"/>
      <c r="AK233" s="213"/>
      <c r="AL233" s="213"/>
      <c r="AM233" s="213"/>
      <c r="AN233" s="213"/>
      <c r="AO233" s="213"/>
      <c r="AP233" s="213" t="str">
        <f>IFERROR(__xludf.DUMMYFUNCTION("""COMPUTED_VALUE"""),"LUIS")</f>
        <v>LUIS</v>
      </c>
      <c r="AQ233" s="213"/>
      <c r="AR233" s="213"/>
      <c r="AS233" s="213"/>
      <c r="AT233" s="213"/>
      <c r="AU233" s="213"/>
      <c r="AV233" s="213"/>
      <c r="AW233" s="213"/>
      <c r="AX233" s="213"/>
      <c r="AY233" s="213"/>
      <c r="AZ233" s="213"/>
      <c r="BA233" s="213"/>
      <c r="BB233" s="213"/>
      <c r="BC233" s="213"/>
      <c r="BD233" s="213"/>
    </row>
    <row r="234">
      <c r="A234" s="213">
        <f>IFERROR(__xludf.DUMMYFUNCTION("""COMPUTED_VALUE"""),1559.0)</f>
        <v>1559</v>
      </c>
      <c r="B234" s="213" t="str">
        <f>IFERROR(__xludf.DUMMYFUNCTION("""COMPUTED_VALUE"""),"GUILLERMO E. BILLINGHURST ")</f>
        <v>GUILLERMO E. BILLINGHURST </v>
      </c>
      <c r="C234" s="213" t="str">
        <f>IFERROR(__xludf.DUMMYFUNCTION("""COMPUTED_VALUE"""),"TALLER SFT DE MECÁNICA AUTOMOTRIZ")</f>
        <v>TALLER SFT DE MECÁNICA AUTOMOTRIZ</v>
      </c>
      <c r="D234" s="213" t="str">
        <f>IFERROR(__xludf.DUMMYFUNCTION("""COMPUTED_VALUE"""),"HERRAMIENTAS")</f>
        <v>HERRAMIENTAS</v>
      </c>
      <c r="E234" s="213" t="str">
        <f>IFERROR(__xludf.DUMMYFUNCTION("""COMPUTED_VALUE"""),"COM-157")</f>
        <v>COM-157</v>
      </c>
      <c r="F234" s="213" t="str">
        <f>IFERROR(__xludf.DUMMYFUNCTION("""COMPUTED_VALUE"""),"COM-157")</f>
        <v>COM-157</v>
      </c>
      <c r="G234" s="213"/>
      <c r="H234" s="213" t="str">
        <f>IFERROR(__xludf.DUMMYFUNCTION("""COMPUTED_VALUE"""),"ENGRASADORA")</f>
        <v>ENGRASADORA</v>
      </c>
      <c r="I234" s="213" t="str">
        <f>IFERROR(__xludf.DUMMYFUNCTION("""COMPUTED_VALUE"""),"Grasera industrial.  Manual de palanca. Capacidad: mínimo 14 oz.
Para utilizar en inyectado de grasa.")</f>
        <v>Grasera industrial.  Manual de palanca. Capacidad: mínimo 14 oz.
Para utilizar en inyectado de grasa.</v>
      </c>
      <c r="J234" s="213">
        <f>IFERROR(__xludf.DUMMYFUNCTION("""COMPUTED_VALUE"""),3.0)</f>
        <v>3</v>
      </c>
      <c r="K234" s="213" t="str">
        <f>IFERROR(__xludf.DUMMYFUNCTION("""COMPUTED_VALUE"""),"90 DÍAS CALENDARIO")</f>
        <v>90 DÍAS CALENDARIO</v>
      </c>
      <c r="L234" s="213" t="str">
        <f>IFERROR(__xludf.DUMMYFUNCTION("""COMPUTED_VALUE"""),"")</f>
        <v/>
      </c>
      <c r="M234" s="213">
        <f>IFERROR(__xludf.DUMMYFUNCTION("""COMPUTED_VALUE"""),1.0)</f>
        <v>1</v>
      </c>
      <c r="N234" s="213">
        <f>IFERROR(__xludf.DUMMYFUNCTION("""COMPUTED_VALUE"""),1.0)</f>
        <v>1</v>
      </c>
      <c r="O234" s="213">
        <f>IFERROR(__xludf.DUMMYFUNCTION("""COMPUTED_VALUE"""),1.0)</f>
        <v>1</v>
      </c>
      <c r="P234" s="213"/>
      <c r="Q234" s="213"/>
      <c r="R234" s="213" t="str">
        <f>IFERROR(__xludf.DUMMYFUNCTION("""COMPUTED_VALUE"""),"SI")</f>
        <v>SI</v>
      </c>
      <c r="S234" s="213"/>
      <c r="T234" s="213" t="str">
        <f>IFERROR(__xludf.DUMMYFUNCTION("""COMPUTED_VALUE"""),"SI")</f>
        <v>SI</v>
      </c>
      <c r="U234" s="213" t="str">
        <f>IFERROR(__xludf.DUMMYFUNCTION("""COMPUTED_VALUE"""),"SI")</f>
        <v>SI</v>
      </c>
      <c r="V234" s="213" t="str">
        <f>IFERROR(__xludf.DUMMYFUNCTION("""COMPUTED_VALUE"""),"-")</f>
        <v>-</v>
      </c>
      <c r="W234" s="213" t="str">
        <f>IFERROR(__xludf.DUMMYFUNCTION("""COMPUTED_VALUE"""),"-")</f>
        <v>-</v>
      </c>
      <c r="X234" s="213" t="str">
        <f>IFERROR(__xludf.DUMMYFUNCTION("""COMPUTED_VALUE"""),"TRUPER")</f>
        <v>TRUPER</v>
      </c>
      <c r="Y234" s="213" t="str">
        <f>IFERROR(__xludf.DUMMYFUNCTION("""COMPUTED_VALUE"""),"14 Oz GRAS-13")</f>
        <v>14 Oz GRAS-13</v>
      </c>
      <c r="Z234" s="215" t="str">
        <f>IFERROR(__xludf.DUMMYFUNCTION("""COMPUTED_VALUE"""),"https://www.promart.pe/grasera-industrial-14-oz-6000-lb-pul2/p?srsltid=AfmBOorqzj4GgXjGt1olTcPu1-s1O2auQCiUm9iKnPi3Y7RQuZT-qWqk&amp;utm_source=chatgpt.com")</f>
        <v>https://www.promart.pe/grasera-industrial-14-oz-6000-lb-pul2/p?srsltid=AfmBOorqzj4GgXjGt1olTcPu1-s1O2auQCiUm9iKnPi3Y7RQuZT-qWqk&amp;utm_source=chatgpt.com</v>
      </c>
      <c r="AA234" s="213" t="str">
        <f>IFERROR(__xludf.DUMMYFUNCTION("""COMPUTED_VALUE"""),"COM-157 ENGRASADORA - CET")</f>
        <v>COM-157 ENGRASADORA - CET</v>
      </c>
      <c r="AB234" s="215" t="str">
        <f>IFERROR(__xludf.DUMMYFUNCTION("""COMPUTED_VALUE"""),"https://drive.google.com/file/d/1Ky3q6_f4TYphTlRHqPHF9gyv50q-0rQ1/view?usp=sharing")</f>
        <v>https://drive.google.com/file/d/1Ky3q6_f4TYphTlRHqPHF9gyv50q-0rQ1/view?usp=sharing</v>
      </c>
      <c r="AC234" s="215" t="str">
        <f>IFERROR(__xludf.DUMMYFUNCTION("""COMPUTED_VALUE"""),"https://www.promart.pe/grasera-industrial-14-oz-6000-lb-pul2/p?srsltid=AfmBOorqzj4GgXjGt1olTcPu1-s1O2auQCiUm9iKnPi3Y7RQuZT-qWqk&amp;utm_source=chatgpt.com")</f>
        <v>https://www.promart.pe/grasera-industrial-14-oz-6000-lb-pul2/p?srsltid=AfmBOorqzj4GgXjGt1olTcPu1-s1O2auQCiUm9iKnPi3Y7RQuZT-qWqk&amp;utm_source=chatgpt.com</v>
      </c>
      <c r="AD234" s="213"/>
      <c r="AE234" s="213"/>
      <c r="AF234" s="213"/>
      <c r="AG234" s="213"/>
      <c r="AH234" s="213" t="str">
        <f>IFERROR(__xludf.DUMMYFUNCTION("""COMPUTED_VALUE"""),"NACIONAL")</f>
        <v>NACIONAL</v>
      </c>
      <c r="AI234" s="213"/>
      <c r="AJ234" s="213"/>
      <c r="AK234" s="213"/>
      <c r="AL234" s="213"/>
      <c r="AM234" s="213"/>
      <c r="AN234" s="213"/>
      <c r="AO234" s="213"/>
      <c r="AP234" s="213" t="str">
        <f>IFERROR(__xludf.DUMMYFUNCTION("""COMPUTED_VALUE"""),"LUIS")</f>
        <v>LUIS</v>
      </c>
      <c r="AQ234" s="213"/>
      <c r="AR234" s="213"/>
      <c r="AS234" s="213"/>
      <c r="AT234" s="213"/>
      <c r="AU234" s="213"/>
      <c r="AV234" s="213"/>
      <c r="AW234" s="213"/>
      <c r="AX234" s="213"/>
      <c r="AY234" s="213"/>
      <c r="AZ234" s="213"/>
      <c r="BA234" s="213"/>
      <c r="BB234" s="213"/>
      <c r="BC234" s="213"/>
      <c r="BD234" s="213"/>
    </row>
    <row r="235">
      <c r="A235" s="213">
        <f>IFERROR(__xludf.DUMMYFUNCTION("""COMPUTED_VALUE"""),2251.0)</f>
        <v>2251</v>
      </c>
      <c r="B235" s="213" t="str">
        <f>IFERROR(__xludf.DUMMYFUNCTION("""COMPUTED_VALUE"""),"JOSE GRANDA")</f>
        <v>JOSE GRANDA</v>
      </c>
      <c r="C235" s="213" t="str">
        <f>IFERROR(__xludf.DUMMYFUNCTION("""COMPUTED_VALUE"""),"TALLER SFT DE MECÁNICA AUTOMOTRIZ")</f>
        <v>TALLER SFT DE MECÁNICA AUTOMOTRIZ</v>
      </c>
      <c r="D235" s="213" t="str">
        <f>IFERROR(__xludf.DUMMYFUNCTION("""COMPUTED_VALUE"""),"HERRAMIENTAS")</f>
        <v>HERRAMIENTAS</v>
      </c>
      <c r="E235" s="213" t="str">
        <f>IFERROR(__xludf.DUMMYFUNCTION("""COMPUTED_VALUE"""),"COM-157")</f>
        <v>COM-157</v>
      </c>
      <c r="F235" s="213" t="str">
        <f>IFERROR(__xludf.DUMMYFUNCTION("""COMPUTED_VALUE"""),"COM-157")</f>
        <v>COM-157</v>
      </c>
      <c r="G235" s="213"/>
      <c r="H235" s="213" t="str">
        <f>IFERROR(__xludf.DUMMYFUNCTION("""COMPUTED_VALUE"""),"ENGRASADORA")</f>
        <v>ENGRASADORA</v>
      </c>
      <c r="I235" s="213" t="str">
        <f>IFERROR(__xludf.DUMMYFUNCTION("""COMPUTED_VALUE"""),"Grasera industrial.  Manual de palanca. Capacidad: mínimo 14 oz.
Para utilizar en inyectado de grasa.")</f>
        <v>Grasera industrial.  Manual de palanca. Capacidad: mínimo 14 oz.
Para utilizar en inyectado de grasa.</v>
      </c>
      <c r="J235" s="213">
        <f>IFERROR(__xludf.DUMMYFUNCTION("""COMPUTED_VALUE"""),3.0)</f>
        <v>3</v>
      </c>
      <c r="K235" s="213" t="str">
        <f>IFERROR(__xludf.DUMMYFUNCTION("""COMPUTED_VALUE"""),"90 DÍAS CALENDARIO")</f>
        <v>90 DÍAS CALENDARIO</v>
      </c>
      <c r="L235" s="213" t="str">
        <f>IFERROR(__xludf.DUMMYFUNCTION("""COMPUTED_VALUE"""),"")</f>
        <v/>
      </c>
      <c r="M235" s="213">
        <f>IFERROR(__xludf.DUMMYFUNCTION("""COMPUTED_VALUE"""),1.0)</f>
        <v>1</v>
      </c>
      <c r="N235" s="213">
        <f>IFERROR(__xludf.DUMMYFUNCTION("""COMPUTED_VALUE"""),1.0)</f>
        <v>1</v>
      </c>
      <c r="O235" s="213">
        <f>IFERROR(__xludf.DUMMYFUNCTION("""COMPUTED_VALUE"""),1.0)</f>
        <v>1</v>
      </c>
      <c r="P235" s="213"/>
      <c r="Q235" s="213"/>
      <c r="R235" s="213" t="str">
        <f>IFERROR(__xludf.DUMMYFUNCTION("""COMPUTED_VALUE"""),"SI")</f>
        <v>SI</v>
      </c>
      <c r="S235" s="213"/>
      <c r="T235" s="213" t="str">
        <f>IFERROR(__xludf.DUMMYFUNCTION("""COMPUTED_VALUE"""),"SI")</f>
        <v>SI</v>
      </c>
      <c r="U235" s="213" t="str">
        <f>IFERROR(__xludf.DUMMYFUNCTION("""COMPUTED_VALUE"""),"SI")</f>
        <v>SI</v>
      </c>
      <c r="V235" s="213" t="str">
        <f>IFERROR(__xludf.DUMMYFUNCTION("""COMPUTED_VALUE"""),"-")</f>
        <v>-</v>
      </c>
      <c r="W235" s="213" t="str">
        <f>IFERROR(__xludf.DUMMYFUNCTION("""COMPUTED_VALUE"""),"-")</f>
        <v>-</v>
      </c>
      <c r="X235" s="213" t="str">
        <f>IFERROR(__xludf.DUMMYFUNCTION("""COMPUTED_VALUE"""),"TRUPER")</f>
        <v>TRUPER</v>
      </c>
      <c r="Y235" s="213" t="str">
        <f>IFERROR(__xludf.DUMMYFUNCTION("""COMPUTED_VALUE"""),"14 Oz GRAS-13")</f>
        <v>14 Oz GRAS-13</v>
      </c>
      <c r="Z235" s="215" t="str">
        <f>IFERROR(__xludf.DUMMYFUNCTION("""COMPUTED_VALUE"""),"https://www.promart.pe/grasera-industrial-14-oz-6000-lb-pul2/p?srsltid=AfmBOorqzj4GgXjGt1olTcPu1-s1O2auQCiUm9iKnPi3Y7RQuZT-qWqk&amp;utm_source=chatgpt.com")</f>
        <v>https://www.promart.pe/grasera-industrial-14-oz-6000-lb-pul2/p?srsltid=AfmBOorqzj4GgXjGt1olTcPu1-s1O2auQCiUm9iKnPi3Y7RQuZT-qWqk&amp;utm_source=chatgpt.com</v>
      </c>
      <c r="AA235" s="213" t="str">
        <f>IFERROR(__xludf.DUMMYFUNCTION("""COMPUTED_VALUE"""),"COM-157 ENGRASADORA - CET")</f>
        <v>COM-157 ENGRASADORA - CET</v>
      </c>
      <c r="AB235" s="215" t="str">
        <f>IFERROR(__xludf.DUMMYFUNCTION("""COMPUTED_VALUE"""),"https://drive.google.com/file/d/1Ky3q6_f4TYphTlRHqPHF9gyv50q-0rQ1/view?usp=sharing")</f>
        <v>https://drive.google.com/file/d/1Ky3q6_f4TYphTlRHqPHF9gyv50q-0rQ1/view?usp=sharing</v>
      </c>
      <c r="AC235" s="215" t="str">
        <f>IFERROR(__xludf.DUMMYFUNCTION("""COMPUTED_VALUE"""),"https://www.promart.pe/grasera-industrial-14-oz-6000-lb-pul2/p?srsltid=AfmBOorqzj4GgXjGt1olTcPu1-s1O2auQCiUm9iKnPi3Y7RQuZT-qWqk&amp;utm_source=chatgpt.com")</f>
        <v>https://www.promart.pe/grasera-industrial-14-oz-6000-lb-pul2/p?srsltid=AfmBOorqzj4GgXjGt1olTcPu1-s1O2auQCiUm9iKnPi3Y7RQuZT-qWqk&amp;utm_source=chatgpt.com</v>
      </c>
      <c r="AD235" s="213"/>
      <c r="AE235" s="213"/>
      <c r="AF235" s="213"/>
      <c r="AG235" s="213"/>
      <c r="AH235" s="213" t="str">
        <f>IFERROR(__xludf.DUMMYFUNCTION("""COMPUTED_VALUE"""),"NACIONAL")</f>
        <v>NACIONAL</v>
      </c>
      <c r="AI235" s="213"/>
      <c r="AJ235" s="213"/>
      <c r="AK235" s="213"/>
      <c r="AL235" s="213"/>
      <c r="AM235" s="213"/>
      <c r="AN235" s="213"/>
      <c r="AO235" s="213"/>
      <c r="AP235" s="213" t="str">
        <f>IFERROR(__xludf.DUMMYFUNCTION("""COMPUTED_VALUE"""),"LUIS")</f>
        <v>LUIS</v>
      </c>
      <c r="AQ235" s="213"/>
      <c r="AR235" s="213"/>
      <c r="AS235" s="213"/>
      <c r="AT235" s="213"/>
      <c r="AU235" s="213"/>
      <c r="AV235" s="213"/>
      <c r="AW235" s="213"/>
      <c r="AX235" s="213"/>
      <c r="AY235" s="213"/>
      <c r="AZ235" s="213"/>
      <c r="BA235" s="213"/>
      <c r="BB235" s="213"/>
      <c r="BC235" s="213"/>
      <c r="BD235" s="213"/>
    </row>
    <row r="236">
      <c r="A236" s="213">
        <f>IFERROR(__xludf.DUMMYFUNCTION("""COMPUTED_VALUE"""),1081.0)</f>
        <v>1081</v>
      </c>
      <c r="B236" s="213" t="str">
        <f>IFERROR(__xludf.DUMMYFUNCTION("""COMPUTED_VALUE"""),"FRANCISCO IRAZOLA")</f>
        <v>FRANCISCO IRAZOLA</v>
      </c>
      <c r="C236" s="213" t="str">
        <f>IFERROR(__xludf.DUMMYFUNCTION("""COMPUTED_VALUE"""),"TALLER SFT DE INDUSTRIA ALIMENTARIA")</f>
        <v>TALLER SFT DE INDUSTRIA ALIMENTARIA</v>
      </c>
      <c r="D236" s="213" t="str">
        <f>IFERROR(__xludf.DUMMYFUNCTION("""COMPUTED_VALUE"""),"EQUIPOS")</f>
        <v>EQUIPOS</v>
      </c>
      <c r="E236" s="213" t="str">
        <f>IFERROR(__xludf.DUMMYFUNCTION("""COMPUTED_VALUE"""),"COM-159")</f>
        <v>COM-159</v>
      </c>
      <c r="F236" s="213" t="str">
        <f>IFERROR(__xludf.DUMMYFUNCTION("""COMPUTED_VALUE"""),"COM-159")</f>
        <v>COM-159</v>
      </c>
      <c r="G236" s="213"/>
      <c r="H236" s="213" t="str">
        <f>IFERROR(__xludf.DUMMYFUNCTION("""COMPUTED_VALUE"""),"ESCARIFICADORA (DESAPONIFICADORA) DE QUINUA")</f>
        <v>ESCARIFICADORA (DESAPONIFICADORA) DE QUINUA</v>
      </c>
      <c r="I236" s="213" t="str">
        <f>IFERROR(__xludf.DUMMYFUNCTION("""COMPUTED_VALUE"""),". Medidas aproximadas: 80 cm x 30cm x 100cm.
· Construido todo en acero inoxidable.
· Utiliza 3 tolvas: una de entrada y dos de salida.
· Potencia mínima: 1 HP.
· Capacidad mínima: 50 Kg/hr.
· Un Extractor de polvo.")</f>
        <v>. Medidas aproximadas: 80 cm x 30cm x 100cm.
· Construido todo en acero inoxidable.
· Utiliza 3 tolvas: una de entrada y dos de salida.
· Potencia mínima: 1 HP.
· Capacidad mínima: 50 Kg/hr.
· Un Extractor de polvo.</v>
      </c>
      <c r="J236" s="213">
        <f>IFERROR(__xludf.DUMMYFUNCTION("""COMPUTED_VALUE"""),3.0)</f>
        <v>3</v>
      </c>
      <c r="K236" s="213" t="str">
        <f>IFERROR(__xludf.DUMMYFUNCTION("""COMPUTED_VALUE"""),"90 DÍAS CALENDARIO")</f>
        <v>90 DÍAS CALENDARIO</v>
      </c>
      <c r="L236" s="213" t="str">
        <f>IFERROR(__xludf.DUMMYFUNCTION("""COMPUTED_VALUE"""),"")</f>
        <v/>
      </c>
      <c r="M236" s="213">
        <f>IFERROR(__xludf.DUMMYFUNCTION("""COMPUTED_VALUE"""),1.0)</f>
        <v>1</v>
      </c>
      <c r="N236" s="213">
        <f>IFERROR(__xludf.DUMMYFUNCTION("""COMPUTED_VALUE"""),1.0)</f>
        <v>1</v>
      </c>
      <c r="O236" s="213">
        <f>IFERROR(__xludf.DUMMYFUNCTION("""COMPUTED_VALUE"""),1.0)</f>
        <v>1</v>
      </c>
      <c r="P236" s="213"/>
      <c r="Q236" s="213"/>
      <c r="R236" s="213"/>
      <c r="S236" s="213"/>
      <c r="T236" s="213" t="str">
        <f>IFERROR(__xludf.DUMMYFUNCTION("""COMPUTED_VALUE"""),"SI")</f>
        <v>SI</v>
      </c>
      <c r="U236" s="213" t="str">
        <f>IFERROR(__xludf.DUMMYFUNCTION("""COMPUTED_VALUE"""),"SI")</f>
        <v>SI</v>
      </c>
      <c r="V236" s="213" t="str">
        <f>IFERROR(__xludf.DUMMYFUNCTION("""COMPUTED_VALUE"""),"-")</f>
        <v>-</v>
      </c>
      <c r="W236" s="213" t="str">
        <f>IFERROR(__xludf.DUMMYFUNCTION("""COMPUTED_VALUE"""),"-")</f>
        <v>-</v>
      </c>
      <c r="X236" s="213" t="str">
        <f>IFERROR(__xludf.DUMMYFUNCTION("""COMPUTED_VALUE"""),"agromarketglobal")</f>
        <v>agromarketglobal</v>
      </c>
      <c r="Y236" s="213" t="str">
        <f>IFERROR(__xludf.DUMMYFUNCTION("""COMPUTED_VALUE"""),"DESAP 1 - PER")</f>
        <v>DESAP 1 - PER</v>
      </c>
      <c r="Z236" s="215" t="str">
        <f>IFERROR(__xludf.DUMMYFUNCTION("""COMPUTED_VALUE"""),"https://drive.google.com/file/d/1MamiglnsgYtIm2sp7jNE8HCPKLiZqMlz/view")</f>
        <v>https://drive.google.com/file/d/1MamiglnsgYtIm2sp7jNE8HCPKLiZqMlz/view</v>
      </c>
      <c r="AA236" s="213" t="str">
        <f>IFERROR(__xludf.DUMMYFUNCTION("""COMPUTED_VALUE"""),"COM-159 ESCARIFICADORA (DESAPONIFICADORA) DE QUINUA - CET")</f>
        <v>COM-159 ESCARIFICADORA (DESAPONIFICADORA) DE QUINUA - CET</v>
      </c>
      <c r="AB236" s="213"/>
      <c r="AC236" s="213"/>
      <c r="AD236" s="213"/>
      <c r="AE236" s="213"/>
      <c r="AF236" s="213"/>
      <c r="AG236" s="213"/>
      <c r="AH236" s="213"/>
      <c r="AI236" s="213"/>
      <c r="AJ236" s="213"/>
      <c r="AK236" s="213"/>
      <c r="AL236" s="213"/>
      <c r="AM236" s="213"/>
      <c r="AN236" s="213"/>
      <c r="AO236" s="213"/>
      <c r="AP236" s="213" t="str">
        <f>IFERROR(__xludf.DUMMYFUNCTION("""COMPUTED_VALUE"""),"BRUNO")</f>
        <v>BRUNO</v>
      </c>
      <c r="AQ236" s="213" t="str">
        <f>IFERROR(__xludf.DUMMYFUNCTION("""COMPUTED_VALUE"""),"El motor es trifásico. La potencia es mayor, Dimensiones mayores. Tal vez sea necesario otra toma eléctrica para el extractor.")</f>
        <v>El motor es trifásico. La potencia es mayor, Dimensiones mayores. Tal vez sea necesario otra toma eléctrica para el extractor.</v>
      </c>
      <c r="AR236" s="213"/>
      <c r="AS236" s="213"/>
      <c r="AT236" s="213"/>
      <c r="AU236" s="213"/>
      <c r="AV236" s="213"/>
      <c r="AW236" s="213"/>
      <c r="AX236" s="213"/>
      <c r="AY236" s="213"/>
      <c r="AZ236" s="213"/>
      <c r="BA236" s="213"/>
      <c r="BB236" s="213"/>
      <c r="BC236" s="213"/>
      <c r="BD236" s="213"/>
    </row>
    <row r="237">
      <c r="A237" s="213">
        <f>IFERROR(__xludf.DUMMYFUNCTION("""COMPUTED_VALUE"""),1357.0)</f>
        <v>1357</v>
      </c>
      <c r="B237" s="213" t="str">
        <f>IFERROR(__xludf.DUMMYFUNCTION("""COMPUTED_VALUE"""),"GUILLERMO E. BILLINGHURST ")</f>
        <v>GUILLERMO E. BILLINGHURST </v>
      </c>
      <c r="C237" s="213" t="str">
        <f>IFERROR(__xludf.DUMMYFUNCTION("""COMPUTED_VALUE"""),"TALLER SFT DE INDUSTRIA ALIMENTARIA")</f>
        <v>TALLER SFT DE INDUSTRIA ALIMENTARIA</v>
      </c>
      <c r="D237" s="213" t="str">
        <f>IFERROR(__xludf.DUMMYFUNCTION("""COMPUTED_VALUE"""),"EQUIPOS")</f>
        <v>EQUIPOS</v>
      </c>
      <c r="E237" s="213" t="str">
        <f>IFERROR(__xludf.DUMMYFUNCTION("""COMPUTED_VALUE"""),"COM-159")</f>
        <v>COM-159</v>
      </c>
      <c r="F237" s="213" t="str">
        <f>IFERROR(__xludf.DUMMYFUNCTION("""COMPUTED_VALUE"""),"COM-159")</f>
        <v>COM-159</v>
      </c>
      <c r="G237" s="213"/>
      <c r="H237" s="213" t="str">
        <f>IFERROR(__xludf.DUMMYFUNCTION("""COMPUTED_VALUE"""),"ESCARIFICADORA (DESAPONIFICADORA) DE QUINUA")</f>
        <v>ESCARIFICADORA (DESAPONIFICADORA) DE QUINUA</v>
      </c>
      <c r="I237" s="213" t="str">
        <f>IFERROR(__xludf.DUMMYFUNCTION("""COMPUTED_VALUE"""),". Medidas aproximadas: 80 cm x 30cm x 100cm.
· Construido todo en acero inoxidable.
· Utiliza 3 tolvas: una de entrada y dos de salida.
· Potencia mínima: 1 HP.
· Capacidad mínima: 50 Kg/hr.
· Un Extractor de polvo.")</f>
        <v>. Medidas aproximadas: 80 cm x 30cm x 100cm.
· Construido todo en acero inoxidable.
· Utiliza 3 tolvas: una de entrada y dos de salida.
· Potencia mínima: 1 HP.
· Capacidad mínima: 50 Kg/hr.
· Un Extractor de polvo.</v>
      </c>
      <c r="J237" s="213">
        <f>IFERROR(__xludf.DUMMYFUNCTION("""COMPUTED_VALUE"""),3.0)</f>
        <v>3</v>
      </c>
      <c r="K237" s="213" t="str">
        <f>IFERROR(__xludf.DUMMYFUNCTION("""COMPUTED_VALUE"""),"90 DÍAS CALENDARIO")</f>
        <v>90 DÍAS CALENDARIO</v>
      </c>
      <c r="L237" s="213" t="str">
        <f>IFERROR(__xludf.DUMMYFUNCTION("""COMPUTED_VALUE"""),"")</f>
        <v/>
      </c>
      <c r="M237" s="213">
        <f>IFERROR(__xludf.DUMMYFUNCTION("""COMPUTED_VALUE"""),1.0)</f>
        <v>1</v>
      </c>
      <c r="N237" s="213">
        <f>IFERROR(__xludf.DUMMYFUNCTION("""COMPUTED_VALUE"""),1.0)</f>
        <v>1</v>
      </c>
      <c r="O237" s="213">
        <f>IFERROR(__xludf.DUMMYFUNCTION("""COMPUTED_VALUE"""),1.0)</f>
        <v>1</v>
      </c>
      <c r="P237" s="213"/>
      <c r="Q237" s="213"/>
      <c r="R237" s="213"/>
      <c r="S237" s="213"/>
      <c r="T237" s="213" t="str">
        <f>IFERROR(__xludf.DUMMYFUNCTION("""COMPUTED_VALUE"""),"SI")</f>
        <v>SI</v>
      </c>
      <c r="U237" s="213" t="str">
        <f>IFERROR(__xludf.DUMMYFUNCTION("""COMPUTED_VALUE"""),"SI")</f>
        <v>SI</v>
      </c>
      <c r="V237" s="213" t="str">
        <f>IFERROR(__xludf.DUMMYFUNCTION("""COMPUTED_VALUE"""),"-")</f>
        <v>-</v>
      </c>
      <c r="W237" s="213" t="str">
        <f>IFERROR(__xludf.DUMMYFUNCTION("""COMPUTED_VALUE"""),"-")</f>
        <v>-</v>
      </c>
      <c r="X237" s="213" t="str">
        <f>IFERROR(__xludf.DUMMYFUNCTION("""COMPUTED_VALUE"""),"agromarketglobal")</f>
        <v>agromarketglobal</v>
      </c>
      <c r="Y237" s="213" t="str">
        <f>IFERROR(__xludf.DUMMYFUNCTION("""COMPUTED_VALUE"""),"DESAP 1 - PER")</f>
        <v>DESAP 1 - PER</v>
      </c>
      <c r="Z237" s="215" t="str">
        <f>IFERROR(__xludf.DUMMYFUNCTION("""COMPUTED_VALUE"""),"https://drive.google.com/file/d/1MamiglnsgYtIm2sp7jNE8HCPKLiZqMlz/view")</f>
        <v>https://drive.google.com/file/d/1MamiglnsgYtIm2sp7jNE8HCPKLiZqMlz/view</v>
      </c>
      <c r="AA237" s="213" t="str">
        <f>IFERROR(__xludf.DUMMYFUNCTION("""COMPUTED_VALUE"""),"COM-159 ESCARIFICADORA (DESAPONIFICADORA) DE QUINUA - CET")</f>
        <v>COM-159 ESCARIFICADORA (DESAPONIFICADORA) DE QUINUA - CET</v>
      </c>
      <c r="AB237" s="213"/>
      <c r="AC237" s="213"/>
      <c r="AD237" s="213"/>
      <c r="AE237" s="213"/>
      <c r="AF237" s="213"/>
      <c r="AG237" s="213"/>
      <c r="AH237" s="213"/>
      <c r="AI237" s="213"/>
      <c r="AJ237" s="213"/>
      <c r="AK237" s="213"/>
      <c r="AL237" s="213"/>
      <c r="AM237" s="213"/>
      <c r="AN237" s="213"/>
      <c r="AO237" s="213"/>
      <c r="AP237" s="213" t="str">
        <f>IFERROR(__xludf.DUMMYFUNCTION("""COMPUTED_VALUE"""),"BRUNO")</f>
        <v>BRUNO</v>
      </c>
      <c r="AQ237" s="213" t="str">
        <f>IFERROR(__xludf.DUMMYFUNCTION("""COMPUTED_VALUE"""),"El motor es trifásico. La potencia es mayor, Dimensiones mayores. Tal vez sea necesario otra toma eléctrica para el extractor.")</f>
        <v>El motor es trifásico. La potencia es mayor, Dimensiones mayores. Tal vez sea necesario otra toma eléctrica para el extractor.</v>
      </c>
      <c r="AR237" s="213"/>
      <c r="AS237" s="213"/>
      <c r="AT237" s="213"/>
      <c r="AU237" s="213"/>
      <c r="AV237" s="213"/>
      <c r="AW237" s="213"/>
      <c r="AX237" s="213"/>
      <c r="AY237" s="213"/>
      <c r="AZ237" s="213"/>
      <c r="BA237" s="213"/>
      <c r="BB237" s="213"/>
      <c r="BC237" s="213"/>
      <c r="BD237" s="213"/>
    </row>
    <row r="238">
      <c r="A238" s="213">
        <f>IFERROR(__xludf.DUMMYFUNCTION("""COMPUTED_VALUE"""),2041.0)</f>
        <v>2041</v>
      </c>
      <c r="B238" s="213" t="str">
        <f>IFERROR(__xludf.DUMMYFUNCTION("""COMPUTED_VALUE"""),"JOSE GRANDA")</f>
        <v>JOSE GRANDA</v>
      </c>
      <c r="C238" s="213" t="str">
        <f>IFERROR(__xludf.DUMMYFUNCTION("""COMPUTED_VALUE"""),"TALLER SFT DE INDUSTRIA ALIMENTARIA")</f>
        <v>TALLER SFT DE INDUSTRIA ALIMENTARIA</v>
      </c>
      <c r="D238" s="213" t="str">
        <f>IFERROR(__xludf.DUMMYFUNCTION("""COMPUTED_VALUE"""),"EQUIPOS")</f>
        <v>EQUIPOS</v>
      </c>
      <c r="E238" s="213" t="str">
        <f>IFERROR(__xludf.DUMMYFUNCTION("""COMPUTED_VALUE"""),"COM-159")</f>
        <v>COM-159</v>
      </c>
      <c r="F238" s="213" t="str">
        <f>IFERROR(__xludf.DUMMYFUNCTION("""COMPUTED_VALUE"""),"COM-159")</f>
        <v>COM-159</v>
      </c>
      <c r="G238" s="213"/>
      <c r="H238" s="213" t="str">
        <f>IFERROR(__xludf.DUMMYFUNCTION("""COMPUTED_VALUE"""),"ESCARIFICADORA (DESAPONIFICADORA) DE QUINUA")</f>
        <v>ESCARIFICADORA (DESAPONIFICADORA) DE QUINUA</v>
      </c>
      <c r="I238" s="213" t="str">
        <f>IFERROR(__xludf.DUMMYFUNCTION("""COMPUTED_VALUE"""),". Medidas aproximadas: 80 cm x 30cm x 100cm.
· Construido todo en acero inoxidable.
· Utiliza 3 tolvas: una de entrada y dos de salida.
· Potencia mínima: 1 HP.
· Capacidad mínima: 50 Kg/hr.
· Un Extractor de polvo.")</f>
        <v>. Medidas aproximadas: 80 cm x 30cm x 100cm.
· Construido todo en acero inoxidable.
· Utiliza 3 tolvas: una de entrada y dos de salida.
· Potencia mínima: 1 HP.
· Capacidad mínima: 50 Kg/hr.
· Un Extractor de polvo.</v>
      </c>
      <c r="J238" s="213">
        <f>IFERROR(__xludf.DUMMYFUNCTION("""COMPUTED_VALUE"""),3.0)</f>
        <v>3</v>
      </c>
      <c r="K238" s="213" t="str">
        <f>IFERROR(__xludf.DUMMYFUNCTION("""COMPUTED_VALUE"""),"90 DÍAS CALENDARIO")</f>
        <v>90 DÍAS CALENDARIO</v>
      </c>
      <c r="L238" s="213" t="str">
        <f>IFERROR(__xludf.DUMMYFUNCTION("""COMPUTED_VALUE"""),"")</f>
        <v/>
      </c>
      <c r="M238" s="213">
        <f>IFERROR(__xludf.DUMMYFUNCTION("""COMPUTED_VALUE"""),1.0)</f>
        <v>1</v>
      </c>
      <c r="N238" s="213">
        <f>IFERROR(__xludf.DUMMYFUNCTION("""COMPUTED_VALUE"""),1.0)</f>
        <v>1</v>
      </c>
      <c r="O238" s="213">
        <f>IFERROR(__xludf.DUMMYFUNCTION("""COMPUTED_VALUE"""),1.0)</f>
        <v>1</v>
      </c>
      <c r="P238" s="213"/>
      <c r="Q238" s="213"/>
      <c r="R238" s="213"/>
      <c r="S238" s="213"/>
      <c r="T238" s="213" t="str">
        <f>IFERROR(__xludf.DUMMYFUNCTION("""COMPUTED_VALUE"""),"SI")</f>
        <v>SI</v>
      </c>
      <c r="U238" s="213" t="str">
        <f>IFERROR(__xludf.DUMMYFUNCTION("""COMPUTED_VALUE"""),"SI")</f>
        <v>SI</v>
      </c>
      <c r="V238" s="213" t="str">
        <f>IFERROR(__xludf.DUMMYFUNCTION("""COMPUTED_VALUE"""),"-")</f>
        <v>-</v>
      </c>
      <c r="W238" s="213" t="str">
        <f>IFERROR(__xludf.DUMMYFUNCTION("""COMPUTED_VALUE"""),"-")</f>
        <v>-</v>
      </c>
      <c r="X238" s="213" t="str">
        <f>IFERROR(__xludf.DUMMYFUNCTION("""COMPUTED_VALUE"""),"agromarketglobal")</f>
        <v>agromarketglobal</v>
      </c>
      <c r="Y238" s="213" t="str">
        <f>IFERROR(__xludf.DUMMYFUNCTION("""COMPUTED_VALUE"""),"DESAP 1 - PER")</f>
        <v>DESAP 1 - PER</v>
      </c>
      <c r="Z238" s="215" t="str">
        <f>IFERROR(__xludf.DUMMYFUNCTION("""COMPUTED_VALUE"""),"https://drive.google.com/file/d/1MamiglnsgYtIm2sp7jNE8HCPKLiZqMlz/view")</f>
        <v>https://drive.google.com/file/d/1MamiglnsgYtIm2sp7jNE8HCPKLiZqMlz/view</v>
      </c>
      <c r="AA238" s="213" t="str">
        <f>IFERROR(__xludf.DUMMYFUNCTION("""COMPUTED_VALUE"""),"COM-159 ESCARIFICADORA (DESAPONIFICADORA) DE QUINUA - CET")</f>
        <v>COM-159 ESCARIFICADORA (DESAPONIFICADORA) DE QUINUA - CET</v>
      </c>
      <c r="AB238" s="213"/>
      <c r="AC238" s="213"/>
      <c r="AD238" s="213"/>
      <c r="AE238" s="213"/>
      <c r="AF238" s="213"/>
      <c r="AG238" s="213"/>
      <c r="AH238" s="213"/>
      <c r="AI238" s="213"/>
      <c r="AJ238" s="213"/>
      <c r="AK238" s="213"/>
      <c r="AL238" s="213"/>
      <c r="AM238" s="213"/>
      <c r="AN238" s="213"/>
      <c r="AO238" s="213"/>
      <c r="AP238" s="213" t="str">
        <f>IFERROR(__xludf.DUMMYFUNCTION("""COMPUTED_VALUE"""),"BRUNO")</f>
        <v>BRUNO</v>
      </c>
      <c r="AQ238" s="213" t="str">
        <f>IFERROR(__xludf.DUMMYFUNCTION("""COMPUTED_VALUE"""),"El motor es trifásico. La potencia es mayor, Dimensiones mayores. Tal vez sea necesario otra toma eléctrica para el extractor.")</f>
        <v>El motor es trifásico. La potencia es mayor, Dimensiones mayores. Tal vez sea necesario otra toma eléctrica para el extractor.</v>
      </c>
      <c r="AR238" s="213"/>
      <c r="AS238" s="213"/>
      <c r="AT238" s="213"/>
      <c r="AU238" s="213"/>
      <c r="AV238" s="213"/>
      <c r="AW238" s="213"/>
      <c r="AX238" s="213"/>
      <c r="AY238" s="213"/>
      <c r="AZ238" s="213"/>
      <c r="BA238" s="213"/>
      <c r="BB238" s="213"/>
      <c r="BC238" s="213"/>
      <c r="BD238" s="213"/>
    </row>
    <row r="239">
      <c r="A239" s="213">
        <f>IFERROR(__xludf.DUMMYFUNCTION("""COMPUTED_VALUE"""),172.0)</f>
        <v>172</v>
      </c>
      <c r="B239" s="213" t="str">
        <f>IFERROR(__xludf.DUMMYFUNCTION("""COMPUTED_VALUE"""),"2026 SIMON BOLIVAR")</f>
        <v>2026 SIMON BOLIVAR</v>
      </c>
      <c r="C239" s="213" t="str">
        <f>IFERROR(__xludf.DUMMYFUNCTION("""COMPUTED_VALUE"""),"TALLER SFT DE INDUSTRIA DEL VESTIDO")</f>
        <v>TALLER SFT DE INDUSTRIA DEL VESTIDO</v>
      </c>
      <c r="D239" s="213" t="str">
        <f>IFERROR(__xludf.DUMMYFUNCTION("""COMPUTED_VALUE"""),"HERRAMIENTAS")</f>
        <v>HERRAMIENTAS</v>
      </c>
      <c r="E239" s="213" t="str">
        <f>IFERROR(__xludf.DUMMYFUNCTION("""COMPUTED_VALUE"""),"COM-160")</f>
        <v>COM-160</v>
      </c>
      <c r="F239" s="213" t="str">
        <f>IFERROR(__xludf.DUMMYFUNCTION("""COMPUTED_VALUE"""),"COM-160")</f>
        <v>COM-160</v>
      </c>
      <c r="G239" s="213"/>
      <c r="H239" s="213" t="str">
        <f>IFERROR(__xludf.DUMMYFUNCTION("""COMPUTED_VALUE"""),"ESCUADRA")</f>
        <v>ESCUADRA</v>
      </c>
      <c r="I239" s="213" t="str">
        <f>IFERROR(__xludf.DUMMYFUNCTION("""COMPUTED_VALUE"""),"·       Fabricadas de material  plástico duro
·       Con un ángulo de 90º
·       Tamaño: Aprox. 21 x 21,4 cm / 8,26 x 8,4 pulgadas
·       Graduada en milímetro y centímetros
·       Ideal para alinear telas y moldes")</f>
        <v>·       Fabricadas de material  plástico duro
·       Con un ángulo de 90º
·       Tamaño: Aprox. 21 x 21,4 cm / 8,26 x 8,4 pulgadas
·       Graduada en milímetro y centímetros
·       Ideal para alinear telas y moldes</v>
      </c>
      <c r="J239" s="213">
        <f>IFERROR(__xludf.DUMMYFUNCTION("""COMPUTED_VALUE"""),3.0)</f>
        <v>3</v>
      </c>
      <c r="K239" s="213" t="str">
        <f>IFERROR(__xludf.DUMMYFUNCTION("""COMPUTED_VALUE"""),"90 DÍAS CALENDARIO")</f>
        <v>90 DÍAS CALENDARIO</v>
      </c>
      <c r="L239" s="213" t="str">
        <f>IFERROR(__xludf.DUMMYFUNCTION("""COMPUTED_VALUE"""),"")</f>
        <v/>
      </c>
      <c r="M239" s="213">
        <f>IFERROR(__xludf.DUMMYFUNCTION("""COMPUTED_VALUE"""),1.0)</f>
        <v>1</v>
      </c>
      <c r="N239" s="213">
        <f>IFERROR(__xludf.DUMMYFUNCTION("""COMPUTED_VALUE"""),5.0)</f>
        <v>5</v>
      </c>
      <c r="O239" s="213">
        <f>IFERROR(__xludf.DUMMYFUNCTION("""COMPUTED_VALUE"""),5.0)</f>
        <v>5</v>
      </c>
      <c r="P239" s="213"/>
      <c r="Q239" s="213"/>
      <c r="R239" s="213"/>
      <c r="S239" s="213"/>
      <c r="T239" s="213" t="str">
        <f>IFERROR(__xludf.DUMMYFUNCTION("""COMPUTED_VALUE"""),"SI")</f>
        <v>SI</v>
      </c>
      <c r="U239" s="213" t="str">
        <f>IFERROR(__xludf.DUMMYFUNCTION("""COMPUTED_VALUE"""),"SI")</f>
        <v>SI</v>
      </c>
      <c r="V239" s="213" t="str">
        <f>IFERROR(__xludf.DUMMYFUNCTION("""COMPUTED_VALUE"""),"-")</f>
        <v>-</v>
      </c>
      <c r="W239" s="213" t="str">
        <f>IFERROR(__xludf.DUMMYFUNCTION("""COMPUTED_VALUE"""),"-")</f>
        <v>-</v>
      </c>
      <c r="X239" s="213" t="str">
        <f>IFERROR(__xludf.DUMMYFUNCTION("""COMPUTED_VALUE"""),"FRIENDA")</f>
        <v>FRIENDA</v>
      </c>
      <c r="Y239" s="213" t="str">
        <f>IFERROR(__xludf.DUMMYFUNCTION("""COMPUTED_VALUE"""),"FRIENDA")</f>
        <v>FRIENDA</v>
      </c>
      <c r="Z239" s="215" t="str">
        <f>IFERROR(__xludf.DUMMYFUNCTION("""COMPUTED_VALUE"""),"https://www.amazon.es/Costura-Pl%C3%A1stico-Cuadrada-Confecci%C3%B3n-Artesanal/dp/B09V853R98")</f>
        <v>https://www.amazon.es/Costura-Pl%C3%A1stico-Cuadrada-Confecci%C3%B3n-Artesanal/dp/B09V853R98</v>
      </c>
      <c r="AA239" s="213" t="str">
        <f>IFERROR(__xludf.DUMMYFUNCTION("""COMPUTED_VALUE"""),"COM-160 ESCUADRA - CET")</f>
        <v>COM-160 ESCUADRA - CET</v>
      </c>
      <c r="AB239" s="213"/>
      <c r="AC239" s="213"/>
      <c r="AD239" s="213"/>
      <c r="AE239" s="213"/>
      <c r="AF239" s="213"/>
      <c r="AG239" s="213"/>
      <c r="AH239" s="213"/>
      <c r="AI239" s="213"/>
      <c r="AJ239" s="213"/>
      <c r="AK239" s="213"/>
      <c r="AL239" s="213"/>
      <c r="AM239" s="213"/>
      <c r="AN239" s="213"/>
      <c r="AO239" s="213"/>
      <c r="AP239" s="213" t="str">
        <f>IFERROR(__xludf.DUMMYFUNCTION("""COMPUTED_VALUE"""),"LUIS")</f>
        <v>LUIS</v>
      </c>
      <c r="AQ239" s="213"/>
      <c r="AR239" s="213"/>
      <c r="AS239" s="213"/>
      <c r="AT239" s="213"/>
      <c r="AU239" s="213"/>
      <c r="AV239" s="213"/>
      <c r="AW239" s="213"/>
      <c r="AX239" s="213"/>
      <c r="AY239" s="213"/>
      <c r="AZ239" s="213"/>
      <c r="BA239" s="213"/>
      <c r="BB239" s="213"/>
      <c r="BC239" s="213"/>
      <c r="BD239" s="213"/>
    </row>
    <row r="240">
      <c r="A240" s="213">
        <f>IFERROR(__xludf.DUMMYFUNCTION("""COMPUTED_VALUE"""),2390.0)</f>
        <v>2390</v>
      </c>
      <c r="B240" s="213" t="str">
        <f>IFERROR(__xludf.DUMMYFUNCTION("""COMPUTED_VALUE"""),"MANUEL ANTONIO MESONES MURO")</f>
        <v>MANUEL ANTONIO MESONES MURO</v>
      </c>
      <c r="C240" s="213" t="str">
        <f>IFERROR(__xludf.DUMMYFUNCTION("""COMPUTED_VALUE"""),"TALLER SFT DE INDUSTRIA DEL VESTIDO")</f>
        <v>TALLER SFT DE INDUSTRIA DEL VESTIDO</v>
      </c>
      <c r="D240" s="213" t="str">
        <f>IFERROR(__xludf.DUMMYFUNCTION("""COMPUTED_VALUE"""),"HERRAMIENTAS")</f>
        <v>HERRAMIENTAS</v>
      </c>
      <c r="E240" s="213" t="str">
        <f>IFERROR(__xludf.DUMMYFUNCTION("""COMPUTED_VALUE"""),"COM-160")</f>
        <v>COM-160</v>
      </c>
      <c r="F240" s="213" t="str">
        <f>IFERROR(__xludf.DUMMYFUNCTION("""COMPUTED_VALUE"""),"COM-160")</f>
        <v>COM-160</v>
      </c>
      <c r="G240" s="213"/>
      <c r="H240" s="213" t="str">
        <f>IFERROR(__xludf.DUMMYFUNCTION("""COMPUTED_VALUE"""),"ESCUADRA")</f>
        <v>ESCUADRA</v>
      </c>
      <c r="I240" s="213" t="str">
        <f>IFERROR(__xludf.DUMMYFUNCTION("""COMPUTED_VALUE"""),"·       Fabricadas de material  plástico duro
·       Con un ángulo de 90º
·       Tamaño: Aprox. 21 x 21,4 cm / 8,26 x 8,4 pulgadas
·       Graduada en milímetro y centímetros
·       Ideal para alinear telas y moldes")</f>
        <v>·       Fabricadas de material  plástico duro
·       Con un ángulo de 90º
·       Tamaño: Aprox. 21 x 21,4 cm / 8,26 x 8,4 pulgadas
·       Graduada en milímetro y centímetros
·       Ideal para alinear telas y moldes</v>
      </c>
      <c r="J240" s="213">
        <f>IFERROR(__xludf.DUMMYFUNCTION("""COMPUTED_VALUE"""),3.0)</f>
        <v>3</v>
      </c>
      <c r="K240" s="213" t="str">
        <f>IFERROR(__xludf.DUMMYFUNCTION("""COMPUTED_VALUE"""),"90 DÍAS CALENDARIO")</f>
        <v>90 DÍAS CALENDARIO</v>
      </c>
      <c r="L240" s="213" t="str">
        <f>IFERROR(__xludf.DUMMYFUNCTION("""COMPUTED_VALUE"""),"")</f>
        <v/>
      </c>
      <c r="M240" s="213">
        <f>IFERROR(__xludf.DUMMYFUNCTION("""COMPUTED_VALUE"""),1.0)</f>
        <v>1</v>
      </c>
      <c r="N240" s="213">
        <f>IFERROR(__xludf.DUMMYFUNCTION("""COMPUTED_VALUE"""),5.0)</f>
        <v>5</v>
      </c>
      <c r="O240" s="213">
        <f>IFERROR(__xludf.DUMMYFUNCTION("""COMPUTED_VALUE"""),5.0)</f>
        <v>5</v>
      </c>
      <c r="P240" s="213"/>
      <c r="Q240" s="213"/>
      <c r="R240" s="213"/>
      <c r="S240" s="213"/>
      <c r="T240" s="213" t="str">
        <f>IFERROR(__xludf.DUMMYFUNCTION("""COMPUTED_VALUE"""),"SI")</f>
        <v>SI</v>
      </c>
      <c r="U240" s="213" t="str">
        <f>IFERROR(__xludf.DUMMYFUNCTION("""COMPUTED_VALUE"""),"SI")</f>
        <v>SI</v>
      </c>
      <c r="V240" s="213" t="str">
        <f>IFERROR(__xludf.DUMMYFUNCTION("""COMPUTED_VALUE"""),"-")</f>
        <v>-</v>
      </c>
      <c r="W240" s="213" t="str">
        <f>IFERROR(__xludf.DUMMYFUNCTION("""COMPUTED_VALUE"""),"-")</f>
        <v>-</v>
      </c>
      <c r="X240" s="213" t="str">
        <f>IFERROR(__xludf.DUMMYFUNCTION("""COMPUTED_VALUE"""),"FRIENDA")</f>
        <v>FRIENDA</v>
      </c>
      <c r="Y240" s="213" t="str">
        <f>IFERROR(__xludf.DUMMYFUNCTION("""COMPUTED_VALUE"""),"FRIENDA")</f>
        <v>FRIENDA</v>
      </c>
      <c r="Z240" s="215" t="str">
        <f>IFERROR(__xludf.DUMMYFUNCTION("""COMPUTED_VALUE"""),"https://www.amazon.es/Costura-Pl%C3%A1stico-Cuadrada-Confecci%C3%B3n-Artesanal/dp/B09V853R98")</f>
        <v>https://www.amazon.es/Costura-Pl%C3%A1stico-Cuadrada-Confecci%C3%B3n-Artesanal/dp/B09V853R98</v>
      </c>
      <c r="AA240" s="213" t="str">
        <f>IFERROR(__xludf.DUMMYFUNCTION("""COMPUTED_VALUE"""),"COM-160 ESCUADRA - CET")</f>
        <v>COM-160 ESCUADRA - CET</v>
      </c>
      <c r="AB240" s="213"/>
      <c r="AC240" s="213"/>
      <c r="AD240" s="213"/>
      <c r="AE240" s="213"/>
      <c r="AF240" s="213"/>
      <c r="AG240" s="213"/>
      <c r="AH240" s="213"/>
      <c r="AI240" s="213"/>
      <c r="AJ240" s="213"/>
      <c r="AK240" s="213"/>
      <c r="AL240" s="213"/>
      <c r="AM240" s="213"/>
      <c r="AN240" s="213"/>
      <c r="AO240" s="213"/>
      <c r="AP240" s="213" t="str">
        <f>IFERROR(__xludf.DUMMYFUNCTION("""COMPUTED_VALUE"""),"LUIS")</f>
        <v>LUIS</v>
      </c>
      <c r="AQ240" s="213"/>
      <c r="AR240" s="213"/>
      <c r="AS240" s="213"/>
      <c r="AT240" s="213"/>
      <c r="AU240" s="213"/>
      <c r="AV240" s="213"/>
      <c r="AW240" s="213"/>
      <c r="AX240" s="213"/>
      <c r="AY240" s="213"/>
      <c r="AZ240" s="213"/>
      <c r="BA240" s="213"/>
      <c r="BB240" s="213"/>
      <c r="BC240" s="213"/>
      <c r="BD240" s="213"/>
    </row>
    <row r="241">
      <c r="A241" s="213">
        <f>IFERROR(__xludf.DUMMYFUNCTION("""COMPUTED_VALUE"""),1788.0)</f>
        <v>1788</v>
      </c>
      <c r="B241" s="213" t="str">
        <f>IFERROR(__xludf.DUMMYFUNCTION("""COMPUTED_VALUE"""),"GUILLERMO E. BILLINGHURST ")</f>
        <v>GUILLERMO E. BILLINGHURST </v>
      </c>
      <c r="C241" s="213" t="str">
        <f>IFERROR(__xludf.DUMMYFUNCTION("""COMPUTED_VALUE"""),"TALLER SFT DE EBANISTERÍA")</f>
        <v>TALLER SFT DE EBANISTERÍA</v>
      </c>
      <c r="D241" s="213" t="str">
        <f>IFERROR(__xludf.DUMMYFUNCTION("""COMPUTED_VALUE"""),"HERRAMIENTAS")</f>
        <v>HERRAMIENTAS</v>
      </c>
      <c r="E241" s="213" t="str">
        <f>IFERROR(__xludf.DUMMYFUNCTION("""COMPUTED_VALUE"""),"COM-161")</f>
        <v>COM-161</v>
      </c>
      <c r="F241" s="213" t="str">
        <f>IFERROR(__xludf.DUMMYFUNCTION("""COMPUTED_VALUE"""),"COM-161-X")</f>
        <v>COM-161-X</v>
      </c>
      <c r="G241" s="213"/>
      <c r="H241" s="213" t="str">
        <f>IFERROR(__xludf.DUMMYFUNCTION("""COMPUTED_VALUE"""),"ESCUADRA DE COMBINACIÓN")</f>
        <v>ESCUADRA DE COMBINACIÓN</v>
      </c>
      <c r="I241" s="213" t="str">
        <f>IFERROR(__xludf.DUMMYFUNCTION("""COMPUTED_VALUE"""),"Escuadra combinada de 300 mm.
Comprende 4 piezas, regla metalica graduada, transportador, escuadra combinada y escuadra busca centros.
Con escala métrica y pulgadas.
Fabricado con burbuja para marcados aproximados y con trazador metálico en su extremo. Pu"&amp;"ede marcar 90° grados y 45°grados.
Profundidad configurable.")</f>
        <v>Escuadra combinada de 300 mm.
Comprende 4 piezas, regla metalica graduada, transportador, escuadra combinada y escuadra busca centros.
Con escala métrica y pulgadas.
Fabricado con burbuja para marcados aproximados y con trazador metálico en su extremo. Puede marcar 90° grados y 45°grados.
Profundidad configurable.</v>
      </c>
      <c r="J241" s="213">
        <f>IFERROR(__xludf.DUMMYFUNCTION("""COMPUTED_VALUE"""),3.0)</f>
        <v>3</v>
      </c>
      <c r="K241" s="213" t="str">
        <f>IFERROR(__xludf.DUMMYFUNCTION("""COMPUTED_VALUE"""),"90 DÍAS CALENDARIO")</f>
        <v>90 DÍAS CALENDARIO</v>
      </c>
      <c r="L241" s="213" t="str">
        <f>IFERROR(__xludf.DUMMYFUNCTION("""COMPUTED_VALUE"""),"")</f>
        <v/>
      </c>
      <c r="M241" s="213">
        <f>IFERROR(__xludf.DUMMYFUNCTION("""COMPUTED_VALUE"""),1.0)</f>
        <v>1</v>
      </c>
      <c r="N241" s="213">
        <f>IFERROR(__xludf.DUMMYFUNCTION("""COMPUTED_VALUE"""),4.0)</f>
        <v>4</v>
      </c>
      <c r="O241" s="213">
        <f>IFERROR(__xludf.DUMMYFUNCTION("""COMPUTED_VALUE"""),4.0)</f>
        <v>4</v>
      </c>
      <c r="P241" s="213"/>
      <c r="Q241" s="213"/>
      <c r="R241" s="213" t="str">
        <f>IFERROR(__xludf.DUMMYFUNCTION("""COMPUTED_VALUE"""),"SI")</f>
        <v>SI</v>
      </c>
      <c r="S241" s="213"/>
      <c r="T241" s="213" t="str">
        <f>IFERROR(__xludf.DUMMYFUNCTION("""COMPUTED_VALUE"""),"SI")</f>
        <v>SI</v>
      </c>
      <c r="U241" s="213" t="str">
        <f>IFERROR(__xludf.DUMMYFUNCTION("""COMPUTED_VALUE"""),"SI")</f>
        <v>SI</v>
      </c>
      <c r="V241" s="213" t="str">
        <f>IFERROR(__xludf.DUMMYFUNCTION("""COMPUTED_VALUE"""),"-")</f>
        <v>-</v>
      </c>
      <c r="W241" s="213" t="str">
        <f>IFERROR(__xludf.DUMMYFUNCTION("""COMPUTED_VALUE"""),"-")</f>
        <v>-</v>
      </c>
      <c r="X241" s="213" t="str">
        <f>IFERROR(__xludf.DUMMYFUNCTION("""COMPUTED_VALUE"""),"Vogel")</f>
        <v>Vogel</v>
      </c>
      <c r="Y241" s="213">
        <f>IFERROR(__xludf.DUMMYFUNCTION("""COMPUTED_VALUE"""),508090.0)</f>
        <v>508090</v>
      </c>
      <c r="Z241" s="215" t="str">
        <f>IFERROR(__xludf.DUMMYFUNCTION("""COMPUTED_VALUE"""),"https://store.ferrindustrial.com.pe/producto/escuadra-de-combinacion-12-300mm-set-de-4pzas-508090-vogel-germany/")</f>
        <v>https://store.ferrindustrial.com.pe/producto/escuadra-de-combinacion-12-300mm-set-de-4pzas-508090-vogel-germany/</v>
      </c>
      <c r="AA241" s="213" t="str">
        <f>IFERROR(__xludf.DUMMYFUNCTION("""COMPUTED_VALUE"""),"COM-161-X ESCUADRA DE COMBINACIÓN- CET")</f>
        <v>COM-161-X ESCUADRA DE COMBINACIÓN- CET</v>
      </c>
      <c r="AB241" s="215" t="str">
        <f>IFERROR(__xludf.DUMMYFUNCTION("""COMPUTED_VALUE"""),"https://drive.google.com/file/d/1lhfK67J5ciHogsZcE4ENgyv85dCjKjF1/view?usp=sharing")</f>
        <v>https://drive.google.com/file/d/1lhfK67J5ciHogsZcE4ENgyv85dCjKjF1/view?usp=sharing</v>
      </c>
      <c r="AC241" s="215" t="str">
        <f>IFERROR(__xludf.DUMMYFUNCTION("""COMPUTED_VALUE"""),"https://store.ferrindustrial.com.pe/producto/escuadra-de-combinacion-12-300mm-set-de-4pzas-508090-vogel-germany/")</f>
        <v>https://store.ferrindustrial.com.pe/producto/escuadra-de-combinacion-12-300mm-set-de-4pzas-508090-vogel-germany/</v>
      </c>
      <c r="AD241" s="213"/>
      <c r="AE241" s="213"/>
      <c r="AF241" s="213"/>
      <c r="AG241" s="213"/>
      <c r="AH241" s="213" t="str">
        <f>IFERROR(__xludf.DUMMYFUNCTION("""COMPUTED_VALUE"""),"NACIONAL")</f>
        <v>NACIONAL</v>
      </c>
      <c r="AI241" s="213"/>
      <c r="AJ241" s="213"/>
      <c r="AK241" s="213"/>
      <c r="AL241" s="213"/>
      <c r="AM241" s="213"/>
      <c r="AN241" s="213"/>
      <c r="AO241" s="213"/>
      <c r="AP241" s="213" t="str">
        <f>IFERROR(__xludf.DUMMYFUNCTION("""COMPUTED_VALUE"""),"SEBASTIAN")</f>
        <v>SEBASTIAN</v>
      </c>
      <c r="AQ241" s="213"/>
      <c r="AR241" s="213"/>
      <c r="AS241" s="213"/>
      <c r="AT241" s="213"/>
      <c r="AU241" s="213"/>
      <c r="AV241" s="213"/>
      <c r="AW241" s="213"/>
      <c r="AX241" s="213"/>
      <c r="AY241" s="213"/>
      <c r="AZ241" s="213"/>
      <c r="BA241" s="213"/>
      <c r="BB241" s="213"/>
      <c r="BC241" s="213"/>
      <c r="BD241" s="213"/>
    </row>
    <row r="242">
      <c r="A242" s="213">
        <f>IFERROR(__xludf.DUMMYFUNCTION("""COMPUTED_VALUE"""),2465.0)</f>
        <v>2465</v>
      </c>
      <c r="B242" s="213" t="str">
        <f>IFERROR(__xludf.DUMMYFUNCTION("""COMPUTED_VALUE"""),"MANUEL ANTONIO MESONES MURO")</f>
        <v>MANUEL ANTONIO MESONES MURO</v>
      </c>
      <c r="C242" s="213" t="str">
        <f>IFERROR(__xludf.DUMMYFUNCTION("""COMPUTED_VALUE"""),"TALLER SFT DE CONSTRUCCIONES METÁLICAS")</f>
        <v>TALLER SFT DE CONSTRUCCIONES METÁLICAS</v>
      </c>
      <c r="D242" s="213" t="str">
        <f>IFERROR(__xludf.DUMMYFUNCTION("""COMPUTED_VALUE"""),"MOBILIARIO")</f>
        <v>MOBILIARIO</v>
      </c>
      <c r="E242" s="213" t="str">
        <f>IFERROR(__xludf.DUMMYFUNCTION("""COMPUTED_VALUE"""),"MOB-112")</f>
        <v>MOB-112</v>
      </c>
      <c r="F242" s="213" t="str">
        <f>IFERROR(__xludf.DUMMYFUNCTION("""COMPUTED_VALUE"""),"MOB-112")</f>
        <v>MOB-112</v>
      </c>
      <c r="G242" s="213"/>
      <c r="H242" s="213" t="str">
        <f>IFERROR(__xludf.DUMMYFUNCTION("""COMPUTED_VALUE"""),"Banco de trabajo con tornillo de banco (3000 x 1100 x 850
mm.)")</f>
        <v>Banco de trabajo con tornillo de banco (3000 x 1100 x 850
mm.)</v>
      </c>
      <c r="I242" s="213" t="str">
        <f>IFERROR(__xludf.DUMMYFUNCTION("""COMPUTED_VALUE"""),"Banco de trabajo:
· Fabricación: estructuras de metal y tableros de madera tornillo u otras especies similares.
· Tablero superior de 32 mm de espesor como mínimo, deberá contener 13% humedad como máximo, barnizada, previo sellado de la madera.
· Tablero "&amp;"inferior de 25 mm de espesor como mínimo, deberá contener 13% humedad como máximo, barnizada, previo sellado de la madera.
· Cuenta con 6 patas de acero de tubo cuadrado de 2”x2”x1.5 mm de espesor, acabados en pintura polvo electrostático de 60 micras com"&amp;"o mínimo.
· Patas con regatones de goma resistentes.
. Dimensiones mínimas: 3000 mm x 1100 mm x 850 mm
.
Tornillo de banco.
. Minimo 4 pulgadas de apertura.
. Fabricado de hierro fundido pesado para brindar fortaleza y durabilidad .
. Bases giratorias y c"&amp;"erraduras para mayor versatilidad .
. Manijas recubiertas de cromo resistente a la corrosión.
. Peso aproximado: 18 kg.
. Debe estar fijado a la mesa con tornillos, tuercas y arandelas de seguridad,  que eviten aflojarse por vibración.")</f>
        <v>Banco de trabajo:
· Fabricación: estructuras de metal y tableros de madera tornillo u otras especies similares.
· Tablero superior de 32 mm de espesor como mínimo, deberá contener 13% humedad como máximo, barnizada, previo sellado de la madera.
· Tablero inferior de 25 mm de espesor como mínimo, deberá contener 13% humedad como máximo, barnizada, previo sellado de la madera.
· Cuenta con 6 patas de acero de tubo cuadrado de 2”x2”x1.5 mm de espesor, acabados en pintura polvo electrostático de 60 micras como mínimo.
· Patas con regatones de goma resistentes.
. Dimensiones mínimas: 3000 mm x 1100 mm x 850 mm
.
Tornillo de banco.
. Minimo 4 pulgadas de apertura.
. Fabricado de hierro fundido pesado para brindar fortaleza y durabilidad .
. Bases giratorias y cerraduras para mayor versatilidad .
. Manijas recubiertas de cromo resistente a la corrosión.
. Peso aproximado: 18 kg.
. Debe estar fijado a la mesa con tornillos, tuercas y arandelas de seguridad,  que eviten aflojarse por vibración.</v>
      </c>
      <c r="J242" s="213">
        <f>IFERROR(__xludf.DUMMYFUNCTION("""COMPUTED_VALUE"""),3.0)</f>
        <v>3</v>
      </c>
      <c r="K242" s="213" t="str">
        <f>IFERROR(__xludf.DUMMYFUNCTION("""COMPUTED_VALUE"""),"90 DÍAS CALENDARIO")</f>
        <v>90 DÍAS CALENDARIO</v>
      </c>
      <c r="L242" s="213" t="str">
        <f>IFERROR(__xludf.DUMMYFUNCTION("""COMPUTED_VALUE"""),"")</f>
        <v/>
      </c>
      <c r="M242" s="213">
        <f>IFERROR(__xludf.DUMMYFUNCTION("""COMPUTED_VALUE"""),1.0)</f>
        <v>1</v>
      </c>
      <c r="N242" s="213">
        <f>IFERROR(__xludf.DUMMYFUNCTION("""COMPUTED_VALUE"""),3.0)</f>
        <v>3</v>
      </c>
      <c r="O242" s="213">
        <f>IFERROR(__xludf.DUMMYFUNCTION("""COMPUTED_VALUE"""),3.0)</f>
        <v>3</v>
      </c>
      <c r="P242" s="213"/>
      <c r="Q242" s="213"/>
      <c r="R242" s="213"/>
      <c r="S242" s="213"/>
      <c r="T242" s="213"/>
      <c r="U242" s="213"/>
      <c r="V242" s="213"/>
      <c r="W242" s="213"/>
      <c r="X242" s="213"/>
      <c r="Y242" s="213"/>
      <c r="Z242" s="213"/>
      <c r="AA242" s="213"/>
      <c r="AB242" s="213"/>
      <c r="AC242" s="213"/>
      <c r="AD242" s="213"/>
      <c r="AE242" s="213"/>
      <c r="AF242" s="213"/>
      <c r="AG242" s="213"/>
      <c r="AH242" s="213"/>
      <c r="AI242" s="213"/>
      <c r="AJ242" s="213"/>
      <c r="AK242" s="213"/>
      <c r="AL242" s="213"/>
      <c r="AM242" s="213"/>
      <c r="AN242" s="213"/>
      <c r="AO242" s="213"/>
      <c r="AP242" s="213"/>
      <c r="AQ242" s="213"/>
      <c r="AR242" s="213"/>
      <c r="AS242" s="213"/>
      <c r="AT242" s="213"/>
      <c r="AU242" s="213"/>
      <c r="AV242" s="213"/>
      <c r="AW242" s="213"/>
      <c r="AX242" s="213"/>
      <c r="AY242" s="213"/>
      <c r="AZ242" s="213"/>
      <c r="BA242" s="213"/>
      <c r="BB242" s="213"/>
      <c r="BC242" s="213"/>
      <c r="BD242" s="213"/>
    </row>
    <row r="243">
      <c r="A243" s="213">
        <f>IFERROR(__xludf.DUMMYFUNCTION("""COMPUTED_VALUE"""),2570.0)</f>
        <v>2570</v>
      </c>
      <c r="B243" s="213" t="str">
        <f>IFERROR(__xludf.DUMMYFUNCTION("""COMPUTED_VALUE"""),"MANUEL ANTONIO MESONES MURO")</f>
        <v>MANUEL ANTONIO MESONES MURO</v>
      </c>
      <c r="C243" s="213" t="str">
        <f>IFERROR(__xludf.DUMMYFUNCTION("""COMPUTED_VALUE"""),"TALLER SFT DE EBANISTERÍA")</f>
        <v>TALLER SFT DE EBANISTERÍA</v>
      </c>
      <c r="D243" s="213" t="str">
        <f>IFERROR(__xludf.DUMMYFUNCTION("""COMPUTED_VALUE"""),"HERRAMIENTAS")</f>
        <v>HERRAMIENTAS</v>
      </c>
      <c r="E243" s="213" t="str">
        <f>IFERROR(__xludf.DUMMYFUNCTION("""COMPUTED_VALUE"""),"COM-161")</f>
        <v>COM-161</v>
      </c>
      <c r="F243" s="213" t="str">
        <f>IFERROR(__xludf.DUMMYFUNCTION("""COMPUTED_VALUE"""),"COM-161-X")</f>
        <v>COM-161-X</v>
      </c>
      <c r="G243" s="213"/>
      <c r="H243" s="213" t="str">
        <f>IFERROR(__xludf.DUMMYFUNCTION("""COMPUTED_VALUE"""),"ESCUADRA DE COMBINACIÓN")</f>
        <v>ESCUADRA DE COMBINACIÓN</v>
      </c>
      <c r="I243" s="213" t="str">
        <f>IFERROR(__xludf.DUMMYFUNCTION("""COMPUTED_VALUE"""),"Escuadra combinada de 300 mm.
Comprende 4 piezas, regla metalica graduada, transportador, escuadra combinada y escuadra busca centros.
Con escala métrica y pulgadas.
Fabricado con burbuja para marcados aproximados y con trazador metálico en su extremo. Pu"&amp;"ede marcar 90° grados y 45°grados.
Profundidad configurable.")</f>
        <v>Escuadra combinada de 300 mm.
Comprende 4 piezas, regla metalica graduada, transportador, escuadra combinada y escuadra busca centros.
Con escala métrica y pulgadas.
Fabricado con burbuja para marcados aproximados y con trazador metálico en su extremo. Puede marcar 90° grados y 45°grados.
Profundidad configurable.</v>
      </c>
      <c r="J243" s="213">
        <f>IFERROR(__xludf.DUMMYFUNCTION("""COMPUTED_VALUE"""),3.0)</f>
        <v>3</v>
      </c>
      <c r="K243" s="213" t="str">
        <f>IFERROR(__xludf.DUMMYFUNCTION("""COMPUTED_VALUE"""),"90 DÍAS CALENDARIO")</f>
        <v>90 DÍAS CALENDARIO</v>
      </c>
      <c r="L243" s="213" t="str">
        <f>IFERROR(__xludf.DUMMYFUNCTION("""COMPUTED_VALUE"""),"")</f>
        <v/>
      </c>
      <c r="M243" s="213">
        <f>IFERROR(__xludf.DUMMYFUNCTION("""COMPUTED_VALUE"""),1.0)</f>
        <v>1</v>
      </c>
      <c r="N243" s="213">
        <f>IFERROR(__xludf.DUMMYFUNCTION("""COMPUTED_VALUE"""),4.0)</f>
        <v>4</v>
      </c>
      <c r="O243" s="213">
        <f>IFERROR(__xludf.DUMMYFUNCTION("""COMPUTED_VALUE"""),4.0)</f>
        <v>4</v>
      </c>
      <c r="P243" s="213"/>
      <c r="Q243" s="213"/>
      <c r="R243" s="213" t="str">
        <f>IFERROR(__xludf.DUMMYFUNCTION("""COMPUTED_VALUE"""),"SI")</f>
        <v>SI</v>
      </c>
      <c r="S243" s="213"/>
      <c r="T243" s="213" t="str">
        <f>IFERROR(__xludf.DUMMYFUNCTION("""COMPUTED_VALUE"""),"SI")</f>
        <v>SI</v>
      </c>
      <c r="U243" s="213" t="str">
        <f>IFERROR(__xludf.DUMMYFUNCTION("""COMPUTED_VALUE"""),"SI")</f>
        <v>SI</v>
      </c>
      <c r="V243" s="213" t="str">
        <f>IFERROR(__xludf.DUMMYFUNCTION("""COMPUTED_VALUE"""),"-")</f>
        <v>-</v>
      </c>
      <c r="W243" s="213" t="str">
        <f>IFERROR(__xludf.DUMMYFUNCTION("""COMPUTED_VALUE"""),"-")</f>
        <v>-</v>
      </c>
      <c r="X243" s="213" t="str">
        <f>IFERROR(__xludf.DUMMYFUNCTION("""COMPUTED_VALUE"""),"Vogel")</f>
        <v>Vogel</v>
      </c>
      <c r="Y243" s="213">
        <f>IFERROR(__xludf.DUMMYFUNCTION("""COMPUTED_VALUE"""),508090.0)</f>
        <v>508090</v>
      </c>
      <c r="Z243" s="215" t="str">
        <f>IFERROR(__xludf.DUMMYFUNCTION("""COMPUTED_VALUE"""),"https://store.ferrindustrial.com.pe/producto/escuadra-de-combinacion-12-300mm-set-de-4pzas-508090-vogel-germany/")</f>
        <v>https://store.ferrindustrial.com.pe/producto/escuadra-de-combinacion-12-300mm-set-de-4pzas-508090-vogel-germany/</v>
      </c>
      <c r="AA243" s="213" t="str">
        <f>IFERROR(__xludf.DUMMYFUNCTION("""COMPUTED_VALUE"""),"COM-161-X ESCUADRA DE COMBINACIÓN- CET")</f>
        <v>COM-161-X ESCUADRA DE COMBINACIÓN- CET</v>
      </c>
      <c r="AB243" s="215" t="str">
        <f>IFERROR(__xludf.DUMMYFUNCTION("""COMPUTED_VALUE"""),"https://drive.google.com/file/d/1lhfK67J5ciHogsZcE4ENgyv85dCjKjF1/view?usp=sharing")</f>
        <v>https://drive.google.com/file/d/1lhfK67J5ciHogsZcE4ENgyv85dCjKjF1/view?usp=sharing</v>
      </c>
      <c r="AC243" s="215" t="str">
        <f>IFERROR(__xludf.DUMMYFUNCTION("""COMPUTED_VALUE"""),"https://store.ferrindustrial.com.pe/producto/escuadra-de-combinacion-12-300mm-set-de-4pzas-508090-vogel-germany/")</f>
        <v>https://store.ferrindustrial.com.pe/producto/escuadra-de-combinacion-12-300mm-set-de-4pzas-508090-vogel-germany/</v>
      </c>
      <c r="AD243" s="213"/>
      <c r="AE243" s="213"/>
      <c r="AF243" s="213"/>
      <c r="AG243" s="213"/>
      <c r="AH243" s="213" t="str">
        <f>IFERROR(__xludf.DUMMYFUNCTION("""COMPUTED_VALUE"""),"NACIONAL")</f>
        <v>NACIONAL</v>
      </c>
      <c r="AI243" s="213"/>
      <c r="AJ243" s="213"/>
      <c r="AK243" s="213"/>
      <c r="AL243" s="213"/>
      <c r="AM243" s="213"/>
      <c r="AN243" s="213"/>
      <c r="AO243" s="213"/>
      <c r="AP243" s="213" t="str">
        <f>IFERROR(__xludf.DUMMYFUNCTION("""COMPUTED_VALUE"""),"SEBASTIAN")</f>
        <v>SEBASTIAN</v>
      </c>
      <c r="AQ243" s="213"/>
      <c r="AR243" s="213"/>
      <c r="AS243" s="213"/>
      <c r="AT243" s="213"/>
      <c r="AU243" s="213"/>
      <c r="AV243" s="213"/>
      <c r="AW243" s="213"/>
      <c r="AX243" s="213"/>
      <c r="AY243" s="213"/>
      <c r="AZ243" s="213"/>
      <c r="BA243" s="213"/>
      <c r="BB243" s="213"/>
      <c r="BC243" s="213"/>
      <c r="BD243" s="213"/>
    </row>
    <row r="244">
      <c r="A244" s="213">
        <f>IFERROR(__xludf.DUMMYFUNCTION("""COMPUTED_VALUE"""),1789.0)</f>
        <v>1789</v>
      </c>
      <c r="B244" s="213" t="str">
        <f>IFERROR(__xludf.DUMMYFUNCTION("""COMPUTED_VALUE"""),"GUILLERMO E. BILLINGHURST ")</f>
        <v>GUILLERMO E. BILLINGHURST </v>
      </c>
      <c r="C244" s="213" t="str">
        <f>IFERROR(__xludf.DUMMYFUNCTION("""COMPUTED_VALUE"""),"TALLER SFT DE EBANISTERÍA")</f>
        <v>TALLER SFT DE EBANISTERÍA</v>
      </c>
      <c r="D244" s="213" t="str">
        <f>IFERROR(__xludf.DUMMYFUNCTION("""COMPUTED_VALUE"""),"HERRAMIENTAS")</f>
        <v>HERRAMIENTAS</v>
      </c>
      <c r="E244" s="213" t="str">
        <f>IFERROR(__xludf.DUMMYFUNCTION("""COMPUTED_VALUE"""),"COM-162")</f>
        <v>COM-162</v>
      </c>
      <c r="F244" s="213" t="str">
        <f>IFERROR(__xludf.DUMMYFUNCTION("""COMPUTED_VALUE"""),"COM-162")</f>
        <v>COM-162</v>
      </c>
      <c r="G244" s="213"/>
      <c r="H244" s="213" t="str">
        <f>IFERROR(__xludf.DUMMYFUNCTION("""COMPUTED_VALUE"""),"ESCUADRA DE PLANCHA")</f>
        <v>ESCUADRA DE PLANCHA</v>
      </c>
      <c r="I244" s="213" t="str">
        <f>IFERROR(__xludf.DUMMYFUNCTION("""COMPUTED_VALUE"""),"· Graduaciones grabadas en bajo relieve en ambos lados.
· Recubrimiento transparente resistente al óxido.
· Longitud de lado mayor: mínimo 12"".
· Escala: milimetros y pulgadas.
· Material: Acero templado.")</f>
        <v>· Graduaciones grabadas en bajo relieve en ambos lados.
· Recubrimiento transparente resistente al óxido.
· Longitud de lado mayor: mínimo 12".
· Escala: milimetros y pulgadas.
· Material: Acero templado.</v>
      </c>
      <c r="J244" s="213">
        <f>IFERROR(__xludf.DUMMYFUNCTION("""COMPUTED_VALUE"""),3.0)</f>
        <v>3</v>
      </c>
      <c r="K244" s="213" t="str">
        <f>IFERROR(__xludf.DUMMYFUNCTION("""COMPUTED_VALUE"""),"90 DÍAS CALENDARIO")</f>
        <v>90 DÍAS CALENDARIO</v>
      </c>
      <c r="L244" s="213" t="str">
        <f>IFERROR(__xludf.DUMMYFUNCTION("""COMPUTED_VALUE"""),"")</f>
        <v/>
      </c>
      <c r="M244" s="213">
        <f>IFERROR(__xludf.DUMMYFUNCTION("""COMPUTED_VALUE"""),1.0)</f>
        <v>1</v>
      </c>
      <c r="N244" s="213">
        <f>IFERROR(__xludf.DUMMYFUNCTION("""COMPUTED_VALUE"""),4.0)</f>
        <v>4</v>
      </c>
      <c r="O244" s="213">
        <f>IFERROR(__xludf.DUMMYFUNCTION("""COMPUTED_VALUE"""),4.0)</f>
        <v>4</v>
      </c>
      <c r="P244" s="213"/>
      <c r="Q244" s="213"/>
      <c r="R244" s="213" t="str">
        <f>IFERROR(__xludf.DUMMYFUNCTION("""COMPUTED_VALUE"""),"SI")</f>
        <v>SI</v>
      </c>
      <c r="S244" s="213"/>
      <c r="T244" s="213" t="str">
        <f>IFERROR(__xludf.DUMMYFUNCTION("""COMPUTED_VALUE"""),"SI")</f>
        <v>SI</v>
      </c>
      <c r="U244" s="213" t="str">
        <f>IFERROR(__xludf.DUMMYFUNCTION("""COMPUTED_VALUE"""),"SI")</f>
        <v>SI</v>
      </c>
      <c r="V244" s="213" t="str">
        <f>IFERROR(__xludf.DUMMYFUNCTION("""COMPUTED_VALUE"""),"-")</f>
        <v>-</v>
      </c>
      <c r="W244" s="213" t="str">
        <f>IFERROR(__xludf.DUMMYFUNCTION("""COMPUTED_VALUE"""),"-")</f>
        <v>-</v>
      </c>
      <c r="X244" s="213" t="str">
        <f>IFERROR(__xludf.DUMMYFUNCTION("""COMPUTED_VALUE"""),"TRUPER")</f>
        <v>TRUPER</v>
      </c>
      <c r="Y244" s="213">
        <f>IFERROR(__xludf.DUMMYFUNCTION("""COMPUTED_VALUE"""),14376.0)</f>
        <v>14376</v>
      </c>
      <c r="Z244" s="215" t="str">
        <f>IFERROR(__xludf.DUMMYFUNCTION("""COMPUTED_VALUE"""),"https://cahema.pe/escuadras/15187-escuadra-tipo-l-12-truper-14376-7501206625255.html")</f>
        <v>https://cahema.pe/escuadras/15187-escuadra-tipo-l-12-truper-14376-7501206625255.html</v>
      </c>
      <c r="AA244" s="213" t="str">
        <f>IFERROR(__xludf.DUMMYFUNCTION("""COMPUTED_VALUE"""),"COM-162 ESCUADRA DE PLANCHA - CET")</f>
        <v>COM-162 ESCUADRA DE PLANCHA - CET</v>
      </c>
      <c r="AB244" s="215" t="str">
        <f>IFERROR(__xludf.DUMMYFUNCTION("""COMPUTED_VALUE"""),"https://drive.google.com/file/d/1LS-mEpnY3-XmJegZy7QLFyzNB0DTDAEL/view?usp=sharing")</f>
        <v>https://drive.google.com/file/d/1LS-mEpnY3-XmJegZy7QLFyzNB0DTDAEL/view?usp=sharing</v>
      </c>
      <c r="AC244" s="215" t="str">
        <f>IFERROR(__xludf.DUMMYFUNCTION("""COMPUTED_VALUE"""),"https://cahema.pe/escuadras/15187-escuadra-tipo-l-12-truper-14376-7501206625255.html")</f>
        <v>https://cahema.pe/escuadras/15187-escuadra-tipo-l-12-truper-14376-7501206625255.html</v>
      </c>
      <c r="AD244" s="213"/>
      <c r="AE244" s="213"/>
      <c r="AF244" s="213"/>
      <c r="AG244" s="213"/>
      <c r="AH244" s="213" t="str">
        <f>IFERROR(__xludf.DUMMYFUNCTION("""COMPUTED_VALUE"""),"NACIONAL")</f>
        <v>NACIONAL</v>
      </c>
      <c r="AI244" s="213"/>
      <c r="AJ244" s="213"/>
      <c r="AK244" s="213"/>
      <c r="AL244" s="213"/>
      <c r="AM244" s="213"/>
      <c r="AN244" s="213"/>
      <c r="AO244" s="213"/>
      <c r="AP244" s="213" t="str">
        <f>IFERROR(__xludf.DUMMYFUNCTION("""COMPUTED_VALUE"""),"SEBASTIAN")</f>
        <v>SEBASTIAN</v>
      </c>
      <c r="AQ244" s="213"/>
      <c r="AR244" s="213"/>
      <c r="AS244" s="213"/>
      <c r="AT244" s="213"/>
      <c r="AU244" s="213"/>
      <c r="AV244" s="213"/>
      <c r="AW244" s="213"/>
      <c r="AX244" s="213"/>
      <c r="AY244" s="213"/>
      <c r="AZ244" s="213"/>
      <c r="BA244" s="213"/>
      <c r="BB244" s="213"/>
      <c r="BC244" s="213"/>
      <c r="BD244" s="213"/>
    </row>
    <row r="245">
      <c r="A245" s="213">
        <f>IFERROR(__xludf.DUMMYFUNCTION("""COMPUTED_VALUE"""),2571.0)</f>
        <v>2571</v>
      </c>
      <c r="B245" s="213" t="str">
        <f>IFERROR(__xludf.DUMMYFUNCTION("""COMPUTED_VALUE"""),"MANUEL ANTONIO MESONES MURO")</f>
        <v>MANUEL ANTONIO MESONES MURO</v>
      </c>
      <c r="C245" s="213" t="str">
        <f>IFERROR(__xludf.DUMMYFUNCTION("""COMPUTED_VALUE"""),"TALLER SFT DE EBANISTERÍA")</f>
        <v>TALLER SFT DE EBANISTERÍA</v>
      </c>
      <c r="D245" s="213" t="str">
        <f>IFERROR(__xludf.DUMMYFUNCTION("""COMPUTED_VALUE"""),"HERRAMIENTAS")</f>
        <v>HERRAMIENTAS</v>
      </c>
      <c r="E245" s="213" t="str">
        <f>IFERROR(__xludf.DUMMYFUNCTION("""COMPUTED_VALUE"""),"COM-162")</f>
        <v>COM-162</v>
      </c>
      <c r="F245" s="213" t="str">
        <f>IFERROR(__xludf.DUMMYFUNCTION("""COMPUTED_VALUE"""),"COM-162")</f>
        <v>COM-162</v>
      </c>
      <c r="G245" s="213"/>
      <c r="H245" s="213" t="str">
        <f>IFERROR(__xludf.DUMMYFUNCTION("""COMPUTED_VALUE"""),"ESCUADRA DE PLANCHA")</f>
        <v>ESCUADRA DE PLANCHA</v>
      </c>
      <c r="I245" s="213" t="str">
        <f>IFERROR(__xludf.DUMMYFUNCTION("""COMPUTED_VALUE"""),"· Graduaciones grabadas en bajo relieve en ambos lados.
· Recubrimiento transparente resistente al óxido.
· Longitud de lado mayor: mínimo 12"".
· Escala: milimetros y pulgadas.
· Material: Acero templado.")</f>
        <v>· Graduaciones grabadas en bajo relieve en ambos lados.
· Recubrimiento transparente resistente al óxido.
· Longitud de lado mayor: mínimo 12".
· Escala: milimetros y pulgadas.
· Material: Acero templado.</v>
      </c>
      <c r="J245" s="213">
        <f>IFERROR(__xludf.DUMMYFUNCTION("""COMPUTED_VALUE"""),3.0)</f>
        <v>3</v>
      </c>
      <c r="K245" s="213" t="str">
        <f>IFERROR(__xludf.DUMMYFUNCTION("""COMPUTED_VALUE"""),"90 DÍAS CALENDARIO")</f>
        <v>90 DÍAS CALENDARIO</v>
      </c>
      <c r="L245" s="213" t="str">
        <f>IFERROR(__xludf.DUMMYFUNCTION("""COMPUTED_VALUE"""),"")</f>
        <v/>
      </c>
      <c r="M245" s="213">
        <f>IFERROR(__xludf.DUMMYFUNCTION("""COMPUTED_VALUE"""),1.0)</f>
        <v>1</v>
      </c>
      <c r="N245" s="213">
        <f>IFERROR(__xludf.DUMMYFUNCTION("""COMPUTED_VALUE"""),4.0)</f>
        <v>4</v>
      </c>
      <c r="O245" s="213">
        <f>IFERROR(__xludf.DUMMYFUNCTION("""COMPUTED_VALUE"""),4.0)</f>
        <v>4</v>
      </c>
      <c r="P245" s="213"/>
      <c r="Q245" s="213"/>
      <c r="R245" s="213" t="str">
        <f>IFERROR(__xludf.DUMMYFUNCTION("""COMPUTED_VALUE"""),"SI")</f>
        <v>SI</v>
      </c>
      <c r="S245" s="213"/>
      <c r="T245" s="213" t="str">
        <f>IFERROR(__xludf.DUMMYFUNCTION("""COMPUTED_VALUE"""),"SI")</f>
        <v>SI</v>
      </c>
      <c r="U245" s="213" t="str">
        <f>IFERROR(__xludf.DUMMYFUNCTION("""COMPUTED_VALUE"""),"SI")</f>
        <v>SI</v>
      </c>
      <c r="V245" s="213" t="str">
        <f>IFERROR(__xludf.DUMMYFUNCTION("""COMPUTED_VALUE"""),"-")</f>
        <v>-</v>
      </c>
      <c r="W245" s="213" t="str">
        <f>IFERROR(__xludf.DUMMYFUNCTION("""COMPUTED_VALUE"""),"-")</f>
        <v>-</v>
      </c>
      <c r="X245" s="213" t="str">
        <f>IFERROR(__xludf.DUMMYFUNCTION("""COMPUTED_VALUE"""),"TRUPER")</f>
        <v>TRUPER</v>
      </c>
      <c r="Y245" s="213">
        <f>IFERROR(__xludf.DUMMYFUNCTION("""COMPUTED_VALUE"""),14376.0)</f>
        <v>14376</v>
      </c>
      <c r="Z245" s="215" t="str">
        <f>IFERROR(__xludf.DUMMYFUNCTION("""COMPUTED_VALUE"""),"https://cahema.pe/escuadras/15187-escuadra-tipo-l-12-truper-14376-7501206625255.html")</f>
        <v>https://cahema.pe/escuadras/15187-escuadra-tipo-l-12-truper-14376-7501206625255.html</v>
      </c>
      <c r="AA245" s="213" t="str">
        <f>IFERROR(__xludf.DUMMYFUNCTION("""COMPUTED_VALUE"""),"COM-162 ESCUADRA DE PLANCHA - CET")</f>
        <v>COM-162 ESCUADRA DE PLANCHA - CET</v>
      </c>
      <c r="AB245" s="215" t="str">
        <f>IFERROR(__xludf.DUMMYFUNCTION("""COMPUTED_VALUE"""),"https://drive.google.com/file/d/1LS-mEpnY3-XmJegZy7QLFyzNB0DTDAEL/view?usp=sharing")</f>
        <v>https://drive.google.com/file/d/1LS-mEpnY3-XmJegZy7QLFyzNB0DTDAEL/view?usp=sharing</v>
      </c>
      <c r="AC245" s="215" t="str">
        <f>IFERROR(__xludf.DUMMYFUNCTION("""COMPUTED_VALUE"""),"https://cahema.pe/escuadras/15187-escuadra-tipo-l-12-truper-14376-7501206625255.html")</f>
        <v>https://cahema.pe/escuadras/15187-escuadra-tipo-l-12-truper-14376-7501206625255.html</v>
      </c>
      <c r="AD245" s="213"/>
      <c r="AE245" s="213"/>
      <c r="AF245" s="213"/>
      <c r="AG245" s="213"/>
      <c r="AH245" s="213" t="str">
        <f>IFERROR(__xludf.DUMMYFUNCTION("""COMPUTED_VALUE"""),"NACIONAL")</f>
        <v>NACIONAL</v>
      </c>
      <c r="AI245" s="213"/>
      <c r="AJ245" s="213"/>
      <c r="AK245" s="213"/>
      <c r="AL245" s="213"/>
      <c r="AM245" s="213"/>
      <c r="AN245" s="213"/>
      <c r="AO245" s="213"/>
      <c r="AP245" s="213" t="str">
        <f>IFERROR(__xludf.DUMMYFUNCTION("""COMPUTED_VALUE"""),"SEBASTIAN")</f>
        <v>SEBASTIAN</v>
      </c>
      <c r="AQ245" s="213"/>
      <c r="AR245" s="213"/>
      <c r="AS245" s="213"/>
      <c r="AT245" s="213"/>
      <c r="AU245" s="213"/>
      <c r="AV245" s="213"/>
      <c r="AW245" s="213"/>
      <c r="AX245" s="213"/>
      <c r="AY245" s="213"/>
      <c r="AZ245" s="213"/>
      <c r="BA245" s="213"/>
      <c r="BB245" s="213"/>
      <c r="BC245" s="213"/>
      <c r="BD245" s="213"/>
    </row>
    <row r="246">
      <c r="A246" s="213">
        <f>IFERROR(__xludf.DUMMYFUNCTION("""COMPUTED_VALUE"""),1787.0)</f>
        <v>1787</v>
      </c>
      <c r="B246" s="213" t="str">
        <f>IFERROR(__xludf.DUMMYFUNCTION("""COMPUTED_VALUE"""),"GUILLERMO E. BILLINGHURST ")</f>
        <v>GUILLERMO E. BILLINGHURST </v>
      </c>
      <c r="C246" s="213" t="str">
        <f>IFERROR(__xludf.DUMMYFUNCTION("""COMPUTED_VALUE"""),"TALLER SFT DE EBANISTERÍA")</f>
        <v>TALLER SFT DE EBANISTERÍA</v>
      </c>
      <c r="D246" s="213" t="str">
        <f>IFERROR(__xludf.DUMMYFUNCTION("""COMPUTED_VALUE"""),"HERRAMIENTAS")</f>
        <v>HERRAMIENTAS</v>
      </c>
      <c r="E246" s="213" t="str">
        <f>IFERROR(__xludf.DUMMYFUNCTION("""COMPUTED_VALUE"""),"COM-163")</f>
        <v>COM-163</v>
      </c>
      <c r="F246" s="213" t="str">
        <f>IFERROR(__xludf.DUMMYFUNCTION("""COMPUTED_VALUE"""),"COM-163-X")</f>
        <v>COM-163-X</v>
      </c>
      <c r="G246" s="213"/>
      <c r="H246" s="213" t="str">
        <f>IFERROR(__xludf.DUMMYFUNCTION("""COMPUTED_VALUE"""),"ESCUADRA DE TOPE")</f>
        <v>ESCUADRA DE TOPE</v>
      </c>
      <c r="I246" s="213" t="str">
        <f>IFERROR(__xludf.DUMMYFUNCTION("""COMPUTED_VALUE"""),"Escuadra de 90°grados. Hoja de acero inoxidable. Base de aluminio.
Medida de 300 mm.")</f>
        <v>Escuadra de 90°grados. Hoja de acero inoxidable. Base de aluminio.
Medida de 300 mm.</v>
      </c>
      <c r="J246" s="213">
        <f>IFERROR(__xludf.DUMMYFUNCTION("""COMPUTED_VALUE"""),3.0)</f>
        <v>3</v>
      </c>
      <c r="K246" s="213" t="str">
        <f>IFERROR(__xludf.DUMMYFUNCTION("""COMPUTED_VALUE"""),"90 DÍAS CALENDARIO")</f>
        <v>90 DÍAS CALENDARIO</v>
      </c>
      <c r="L246" s="213" t="str">
        <f>IFERROR(__xludf.DUMMYFUNCTION("""COMPUTED_VALUE"""),"")</f>
        <v/>
      </c>
      <c r="M246" s="213">
        <f>IFERROR(__xludf.DUMMYFUNCTION("""COMPUTED_VALUE"""),1.0)</f>
        <v>1</v>
      </c>
      <c r="N246" s="213">
        <f>IFERROR(__xludf.DUMMYFUNCTION("""COMPUTED_VALUE"""),4.0)</f>
        <v>4</v>
      </c>
      <c r="O246" s="213">
        <f>IFERROR(__xludf.DUMMYFUNCTION("""COMPUTED_VALUE"""),4.0)</f>
        <v>4</v>
      </c>
      <c r="P246" s="213"/>
      <c r="Q246" s="213"/>
      <c r="R246" s="213" t="str">
        <f>IFERROR(__xludf.DUMMYFUNCTION("""COMPUTED_VALUE"""),"SI")</f>
        <v>SI</v>
      </c>
      <c r="S246" s="213"/>
      <c r="T246" s="213" t="str">
        <f>IFERROR(__xludf.DUMMYFUNCTION("""COMPUTED_VALUE"""),"SI")</f>
        <v>SI</v>
      </c>
      <c r="U246" s="213" t="str">
        <f>IFERROR(__xludf.DUMMYFUNCTION("""COMPUTED_VALUE"""),"SI")</f>
        <v>SI</v>
      </c>
      <c r="V246" s="213" t="str">
        <f>IFERROR(__xludf.DUMMYFUNCTION("""COMPUTED_VALUE"""),"-")</f>
        <v>-</v>
      </c>
      <c r="W246" s="213" t="str">
        <f>IFERROR(__xludf.DUMMYFUNCTION("""COMPUTED_VALUE"""),"-")</f>
        <v>-</v>
      </c>
      <c r="X246" s="213" t="str">
        <f>IFERROR(__xludf.DUMMYFUNCTION("""COMPUTED_VALUE"""),"Bahco")</f>
        <v>Bahco</v>
      </c>
      <c r="Y246" s="213" t="str">
        <f>IFERROR(__xludf.DUMMYFUNCTION("""COMPUTED_VALUE"""),"9048-300")</f>
        <v>9048-300</v>
      </c>
      <c r="Z246" s="215" t="str">
        <f>IFERROR(__xludf.DUMMYFUNCTION("""COMPUTED_VALUE"""),"https://cahema.pe/escuadras/16218-escuadra-tipo-l-300mm-bahco-9048-300-7314150138173.html")</f>
        <v>https://cahema.pe/escuadras/16218-escuadra-tipo-l-300mm-bahco-9048-300-7314150138173.html</v>
      </c>
      <c r="AA246" s="213" t="str">
        <f>IFERROR(__xludf.DUMMYFUNCTION("""COMPUTED_VALUE"""),"COM-163-X ESCUADRA DE TOPE- CET")</f>
        <v>COM-163-X ESCUADRA DE TOPE- CET</v>
      </c>
      <c r="AB246" s="215" t="str">
        <f>IFERROR(__xludf.DUMMYFUNCTION("""COMPUTED_VALUE"""),"https://drive.google.com/file/d/1Db2sbfiHdAFoRjdrKHf4kKkolGjxfqzM/view?usp=sharing")</f>
        <v>https://drive.google.com/file/d/1Db2sbfiHdAFoRjdrKHf4kKkolGjxfqzM/view?usp=sharing</v>
      </c>
      <c r="AC246" s="215" t="str">
        <f>IFERROR(__xludf.DUMMYFUNCTION("""COMPUTED_VALUE"""),"https://cahema.pe/escuadras/16218-escuadra-tipo-l-300mm-bahco-9048-300-7314150138173.html")</f>
        <v>https://cahema.pe/escuadras/16218-escuadra-tipo-l-300mm-bahco-9048-300-7314150138173.html</v>
      </c>
      <c r="AD246" s="213"/>
      <c r="AE246" s="213"/>
      <c r="AF246" s="213"/>
      <c r="AG246" s="213"/>
      <c r="AH246" s="213" t="str">
        <f>IFERROR(__xludf.DUMMYFUNCTION("""COMPUTED_VALUE"""),"NACIONAL")</f>
        <v>NACIONAL</v>
      </c>
      <c r="AI246" s="213"/>
      <c r="AJ246" s="213"/>
      <c r="AK246" s="213"/>
      <c r="AL246" s="213"/>
      <c r="AM246" s="213"/>
      <c r="AN246" s="213"/>
      <c r="AO246" s="213"/>
      <c r="AP246" s="213" t="str">
        <f>IFERROR(__xludf.DUMMYFUNCTION("""COMPUTED_VALUE"""),"SEBASTIAN")</f>
        <v>SEBASTIAN</v>
      </c>
      <c r="AQ246" s="213"/>
      <c r="AR246" s="213"/>
      <c r="AS246" s="213"/>
      <c r="AT246" s="213"/>
      <c r="AU246" s="213"/>
      <c r="AV246" s="213"/>
      <c r="AW246" s="213"/>
      <c r="AX246" s="213"/>
      <c r="AY246" s="213"/>
      <c r="AZ246" s="213"/>
      <c r="BA246" s="213"/>
      <c r="BB246" s="213"/>
      <c r="BC246" s="213"/>
      <c r="BD246" s="213"/>
    </row>
    <row r="247">
      <c r="A247" s="213">
        <f>IFERROR(__xludf.DUMMYFUNCTION("""COMPUTED_VALUE"""),2467.0)</f>
        <v>2467</v>
      </c>
      <c r="B247" s="213" t="str">
        <f>IFERROR(__xludf.DUMMYFUNCTION("""COMPUTED_VALUE"""),"MANUEL ANTONIO MESONES MURO")</f>
        <v>MANUEL ANTONIO MESONES MURO</v>
      </c>
      <c r="C247" s="213" t="str">
        <f>IFERROR(__xludf.DUMMYFUNCTION("""COMPUTED_VALUE"""),"TALLER SFT DE CONSTRUCCIONES METÁLICAS")</f>
        <v>TALLER SFT DE CONSTRUCCIONES METÁLICAS</v>
      </c>
      <c r="D247" s="213" t="str">
        <f>IFERROR(__xludf.DUMMYFUNCTION("""COMPUTED_VALUE"""),"HERRAMIENTAS")</f>
        <v>HERRAMIENTAS</v>
      </c>
      <c r="E247" s="213" t="str">
        <f>IFERROR(__xludf.DUMMYFUNCTION("""COMPUTED_VALUE"""),"MAT-123")</f>
        <v>MAT-123</v>
      </c>
      <c r="F247" s="213" t="str">
        <f>IFERROR(__xludf.DUMMYFUNCTION("""COMPUTED_VALUE"""),"MAT-123-X")</f>
        <v>MAT-123-X</v>
      </c>
      <c r="G247" s="213"/>
      <c r="H247" s="213" t="str">
        <f>IFERROR(__xludf.DUMMYFUNCTION("""COMPUTED_VALUE"""),"BOTIQUÍN")</f>
        <v>BOTIQUÍN</v>
      </c>
      <c r="I247" s="213" t="str">
        <f>IFERROR(__xludf.DUMMYFUNCTION("""COMPUTED_VALUE"""),"· Contiene materiales para curar heridas, controlar hemorragias, limpiar, cubrir quemaduras o zonas expuestas, y prevenir la contaminación e infección.
· Dimensiones mínimas: 30 x 25 x 10 cm, con divisiones para guardar los medicamentos.
· Conformado por:"&amp;"
- 01 caja x 20 unid. de gasas esterilizadas (10 × 10 cm).
- 01 venda elástica de 4"" x 5 yd, y una venda elástica de 2"" x 5 yd, con sus seguros.
- 01 esparadrapo de 2,5 cm x 5 yd.
- 02 guantes quirúrgicos.
- 01 caja de 100 curitas.
- 06 bajalenguas.
- 0"&amp;"1 jabón antiséptico.
- 01 termómetro clínico.
- 01 paquete de algodón de 20 g.
- 01 tijera punta roma de 5"", mango de plástico.
- 01 botella de alcohol de 250 ml.
- 01 botella de agua oxigenada de 250 ml.")</f>
        <v>· Contiene materiales para curar heridas, controlar hemorragias, limpiar, cubrir quemaduras o zonas expuestas, y prevenir la contaminación e infección.
· Dimensiones mínimas: 30 x 25 x 10 cm, con divisiones para guardar los medicamentos.
· Conformado por:
- 01 caja x 20 unid. de gasas esterilizadas (10 × 10 cm).
- 01 venda elástica de 4" x 5 yd, y una venda elástica de 2" x 5 yd, con sus seguros.
- 01 esparadrapo de 2,5 cm x 5 yd.
- 02 guantes quirúrgicos.
- 01 caja de 100 curitas.
- 06 bajalenguas.
- 01 jabón antiséptico.
- 01 termómetro clínico.
- 01 paquete de algodón de 20 g.
- 01 tijera punta roma de 5", mango de plástico.
- 01 botella de alcohol de 250 ml.
- 01 botella de agua oxigenada de 250 ml.</v>
      </c>
      <c r="J247" s="213">
        <f>IFERROR(__xludf.DUMMYFUNCTION("""COMPUTED_VALUE"""),3.0)</f>
        <v>3</v>
      </c>
      <c r="K247" s="213" t="str">
        <f>IFERROR(__xludf.DUMMYFUNCTION("""COMPUTED_VALUE"""),"90 DÍAS CALENDARIO")</f>
        <v>90 DÍAS CALENDARIO</v>
      </c>
      <c r="L247"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247" s="213">
        <f>IFERROR(__xludf.DUMMYFUNCTION("""COMPUTED_VALUE"""),1.0)</f>
        <v>1</v>
      </c>
      <c r="N247" s="213">
        <f>IFERROR(__xludf.DUMMYFUNCTION("""COMPUTED_VALUE"""),1.0)</f>
        <v>1</v>
      </c>
      <c r="O247" s="213">
        <f>IFERROR(__xludf.DUMMYFUNCTION("""COMPUTED_VALUE"""),1.0)</f>
        <v>1</v>
      </c>
      <c r="P247" s="213"/>
      <c r="Q247" s="213"/>
      <c r="R247" s="213"/>
      <c r="S247" s="213"/>
      <c r="T247" s="213" t="str">
        <f>IFERROR(__xludf.DUMMYFUNCTION("""COMPUTED_VALUE"""),"CONSULTA FINAL")</f>
        <v>CONSULTA FINAL</v>
      </c>
      <c r="U247" s="213"/>
      <c r="V247" s="213"/>
      <c r="W247" s="213"/>
      <c r="X247" s="213"/>
      <c r="Y247" s="213" t="str">
        <f>IFERROR(__xludf.DUMMYFUNCTION("""COMPUTED_VALUE"""),"A MEDIDA")</f>
        <v>A MEDIDA</v>
      </c>
      <c r="Z247" s="213"/>
      <c r="AA247" s="213" t="str">
        <f>IFERROR(__xludf.DUMMYFUNCTION("""COMPUTED_VALUE"""),"MAT-123 BOTIQUÍN-X - CET")</f>
        <v>MAT-123 BOTIQUÍN-X - CET</v>
      </c>
      <c r="AB247" s="213"/>
      <c r="AC247" s="213"/>
      <c r="AD247" s="213"/>
      <c r="AE247" s="213"/>
      <c r="AF247" s="213"/>
      <c r="AG247" s="213"/>
      <c r="AH247" s="213"/>
      <c r="AI247" s="213"/>
      <c r="AJ247" s="213"/>
      <c r="AK247" s="213"/>
      <c r="AL247" s="213"/>
      <c r="AM247" s="213"/>
      <c r="AN247" s="213"/>
      <c r="AO247" s="213"/>
      <c r="AP247" s="213" t="str">
        <f>IFERROR(__xludf.DUMMYFUNCTION("""COMPUTED_VALUE"""),"BRUNO")</f>
        <v>BRUNO</v>
      </c>
      <c r="AQ247" s="213"/>
      <c r="AR247" s="213"/>
      <c r="AS247" s="213"/>
      <c r="AT247" s="213"/>
      <c r="AU247" s="213"/>
      <c r="AV247" s="213"/>
      <c r="AW247" s="213"/>
      <c r="AX247" s="213"/>
      <c r="AY247" s="213"/>
      <c r="AZ247" s="213"/>
      <c r="BA247" s="213"/>
      <c r="BB247" s="213"/>
      <c r="BC247" s="213"/>
      <c r="BD247" s="213"/>
    </row>
    <row r="248">
      <c r="A248" s="213">
        <f>IFERROR(__xludf.DUMMYFUNCTION("""COMPUTED_VALUE"""),2569.0)</f>
        <v>2569</v>
      </c>
      <c r="B248" s="213" t="str">
        <f>IFERROR(__xludf.DUMMYFUNCTION("""COMPUTED_VALUE"""),"MANUEL ANTONIO MESONES MURO")</f>
        <v>MANUEL ANTONIO MESONES MURO</v>
      </c>
      <c r="C248" s="213" t="str">
        <f>IFERROR(__xludf.DUMMYFUNCTION("""COMPUTED_VALUE"""),"TALLER SFT DE EBANISTERÍA")</f>
        <v>TALLER SFT DE EBANISTERÍA</v>
      </c>
      <c r="D248" s="213" t="str">
        <f>IFERROR(__xludf.DUMMYFUNCTION("""COMPUTED_VALUE"""),"HERRAMIENTAS")</f>
        <v>HERRAMIENTAS</v>
      </c>
      <c r="E248" s="213" t="str">
        <f>IFERROR(__xludf.DUMMYFUNCTION("""COMPUTED_VALUE"""),"COM-163")</f>
        <v>COM-163</v>
      </c>
      <c r="F248" s="213" t="str">
        <f>IFERROR(__xludf.DUMMYFUNCTION("""COMPUTED_VALUE"""),"COM-163-X")</f>
        <v>COM-163-X</v>
      </c>
      <c r="G248" s="213"/>
      <c r="H248" s="213" t="str">
        <f>IFERROR(__xludf.DUMMYFUNCTION("""COMPUTED_VALUE"""),"ESCUADRA DE TOPE")</f>
        <v>ESCUADRA DE TOPE</v>
      </c>
      <c r="I248" s="213" t="str">
        <f>IFERROR(__xludf.DUMMYFUNCTION("""COMPUTED_VALUE"""),"Escuadra de 90°grados. Hoja de acero inoxidable. Base de aluminio.
Medida de 300 mm.")</f>
        <v>Escuadra de 90°grados. Hoja de acero inoxidable. Base de aluminio.
Medida de 300 mm.</v>
      </c>
      <c r="J248" s="213">
        <f>IFERROR(__xludf.DUMMYFUNCTION("""COMPUTED_VALUE"""),3.0)</f>
        <v>3</v>
      </c>
      <c r="K248" s="213" t="str">
        <f>IFERROR(__xludf.DUMMYFUNCTION("""COMPUTED_VALUE"""),"90 DÍAS CALENDARIO")</f>
        <v>90 DÍAS CALENDARIO</v>
      </c>
      <c r="L248" s="213" t="str">
        <f>IFERROR(__xludf.DUMMYFUNCTION("""COMPUTED_VALUE"""),"")</f>
        <v/>
      </c>
      <c r="M248" s="213">
        <f>IFERROR(__xludf.DUMMYFUNCTION("""COMPUTED_VALUE"""),1.0)</f>
        <v>1</v>
      </c>
      <c r="N248" s="213">
        <f>IFERROR(__xludf.DUMMYFUNCTION("""COMPUTED_VALUE"""),4.0)</f>
        <v>4</v>
      </c>
      <c r="O248" s="213">
        <f>IFERROR(__xludf.DUMMYFUNCTION("""COMPUTED_VALUE"""),4.0)</f>
        <v>4</v>
      </c>
      <c r="P248" s="213"/>
      <c r="Q248" s="213"/>
      <c r="R248" s="213" t="str">
        <f>IFERROR(__xludf.DUMMYFUNCTION("""COMPUTED_VALUE"""),"SI")</f>
        <v>SI</v>
      </c>
      <c r="S248" s="213"/>
      <c r="T248" s="213" t="str">
        <f>IFERROR(__xludf.DUMMYFUNCTION("""COMPUTED_VALUE"""),"SI")</f>
        <v>SI</v>
      </c>
      <c r="U248" s="213" t="str">
        <f>IFERROR(__xludf.DUMMYFUNCTION("""COMPUTED_VALUE"""),"SI")</f>
        <v>SI</v>
      </c>
      <c r="V248" s="213" t="str">
        <f>IFERROR(__xludf.DUMMYFUNCTION("""COMPUTED_VALUE"""),"-")</f>
        <v>-</v>
      </c>
      <c r="W248" s="213" t="str">
        <f>IFERROR(__xludf.DUMMYFUNCTION("""COMPUTED_VALUE"""),"-")</f>
        <v>-</v>
      </c>
      <c r="X248" s="213" t="str">
        <f>IFERROR(__xludf.DUMMYFUNCTION("""COMPUTED_VALUE"""),"Bahco")</f>
        <v>Bahco</v>
      </c>
      <c r="Y248" s="213" t="str">
        <f>IFERROR(__xludf.DUMMYFUNCTION("""COMPUTED_VALUE"""),"9048-300")</f>
        <v>9048-300</v>
      </c>
      <c r="Z248" s="215" t="str">
        <f>IFERROR(__xludf.DUMMYFUNCTION("""COMPUTED_VALUE"""),"https://cahema.pe/escuadras/16218-escuadra-tipo-l-300mm-bahco-9048-300-7314150138173.html")</f>
        <v>https://cahema.pe/escuadras/16218-escuadra-tipo-l-300mm-bahco-9048-300-7314150138173.html</v>
      </c>
      <c r="AA248" s="213" t="str">
        <f>IFERROR(__xludf.DUMMYFUNCTION("""COMPUTED_VALUE"""),"COM-163-X ESCUADRA DE TOPE- CET")</f>
        <v>COM-163-X ESCUADRA DE TOPE- CET</v>
      </c>
      <c r="AB248" s="215" t="str">
        <f>IFERROR(__xludf.DUMMYFUNCTION("""COMPUTED_VALUE"""),"https://drive.google.com/file/d/1Db2sbfiHdAFoRjdrKHf4kKkolGjxfqzM/view?usp=sharing")</f>
        <v>https://drive.google.com/file/d/1Db2sbfiHdAFoRjdrKHf4kKkolGjxfqzM/view?usp=sharing</v>
      </c>
      <c r="AC248" s="215" t="str">
        <f>IFERROR(__xludf.DUMMYFUNCTION("""COMPUTED_VALUE"""),"https://cahema.pe/escuadras/16218-escuadra-tipo-l-300mm-bahco-9048-300-7314150138173.html")</f>
        <v>https://cahema.pe/escuadras/16218-escuadra-tipo-l-300mm-bahco-9048-300-7314150138173.html</v>
      </c>
      <c r="AD248" s="213"/>
      <c r="AE248" s="213"/>
      <c r="AF248" s="213"/>
      <c r="AG248" s="213"/>
      <c r="AH248" s="213" t="str">
        <f>IFERROR(__xludf.DUMMYFUNCTION("""COMPUTED_VALUE"""),"NACIONAL")</f>
        <v>NACIONAL</v>
      </c>
      <c r="AI248" s="213"/>
      <c r="AJ248" s="213"/>
      <c r="AK248" s="213"/>
      <c r="AL248" s="213"/>
      <c r="AM248" s="213"/>
      <c r="AN248" s="213"/>
      <c r="AO248" s="213"/>
      <c r="AP248" s="213" t="str">
        <f>IFERROR(__xludf.DUMMYFUNCTION("""COMPUTED_VALUE"""),"SEBASTIAN")</f>
        <v>SEBASTIAN</v>
      </c>
      <c r="AQ248" s="213"/>
      <c r="AR248" s="213"/>
      <c r="AS248" s="213"/>
      <c r="AT248" s="213"/>
      <c r="AU248" s="213"/>
      <c r="AV248" s="213"/>
      <c r="AW248" s="213"/>
      <c r="AX248" s="213"/>
      <c r="AY248" s="213"/>
      <c r="AZ248" s="213"/>
      <c r="BA248" s="213"/>
      <c r="BB248" s="213"/>
      <c r="BC248" s="213"/>
      <c r="BD248" s="213"/>
    </row>
    <row r="249">
      <c r="A249" s="213">
        <f>IFERROR(__xludf.DUMMYFUNCTION("""COMPUTED_VALUE"""),148.0)</f>
        <v>148</v>
      </c>
      <c r="B249" s="213" t="str">
        <f>IFERROR(__xludf.DUMMYFUNCTION("""COMPUTED_VALUE"""),"2026 SIMON BOLIVAR")</f>
        <v>2026 SIMON BOLIVAR</v>
      </c>
      <c r="C249" s="213" t="str">
        <f>IFERROR(__xludf.DUMMYFUNCTION("""COMPUTED_VALUE"""),"TALLER SFT DE INDUSTRIA DEL VESTIDO")</f>
        <v>TALLER SFT DE INDUSTRIA DEL VESTIDO</v>
      </c>
      <c r="D249" s="213" t="str">
        <f>IFERROR(__xludf.DUMMYFUNCTION("""COMPUTED_VALUE"""),"HERRAMIENTAS")</f>
        <v>HERRAMIENTAS</v>
      </c>
      <c r="E249" s="213" t="str">
        <f>IFERROR(__xludf.DUMMYFUNCTION("""COMPUTED_VALUE"""),"COM-164")</f>
        <v>COM-164</v>
      </c>
      <c r="F249" s="213" t="str">
        <f>IFERROR(__xludf.DUMMYFUNCTION("""COMPUTED_VALUE"""),"COM-164")</f>
        <v>COM-164</v>
      </c>
      <c r="G249" s="213"/>
      <c r="H249" s="213" t="str">
        <f>IFERROR(__xludf.DUMMYFUNCTION("""COMPUTED_VALUE"""),"ESPEJO")</f>
        <v>ESPEJO</v>
      </c>
      <c r="I249" s="213" t="str">
        <f>IFERROR(__xludf.DUMMYFUNCTION("""COMPUTED_VALUE"""),"·       Forma rectangular
·       Tipo de montaje: para colgar
·       Bastidor metálico o Madera
·       Tamaño aproximado: ancho 60 cm, alto 150 cms.")</f>
        <v>·       Forma rectangular
·       Tipo de montaje: para colgar
·       Bastidor metálico o Madera
·       Tamaño aproximado: ancho 60 cm, alto 150 cms.</v>
      </c>
      <c r="J249" s="213">
        <f>IFERROR(__xludf.DUMMYFUNCTION("""COMPUTED_VALUE"""),3.0)</f>
        <v>3</v>
      </c>
      <c r="K249" s="213" t="str">
        <f>IFERROR(__xludf.DUMMYFUNCTION("""COMPUTED_VALUE"""),"90 DÍAS CALENDARIO")</f>
        <v>90 DÍAS CALENDARIO</v>
      </c>
      <c r="L249" s="213" t="str">
        <f>IFERROR(__xludf.DUMMYFUNCTION("""COMPUTED_VALUE"""),"")</f>
        <v/>
      </c>
      <c r="M249" s="213">
        <f>IFERROR(__xludf.DUMMYFUNCTION("""COMPUTED_VALUE"""),1.0)</f>
        <v>1</v>
      </c>
      <c r="N249" s="213">
        <f>IFERROR(__xludf.DUMMYFUNCTION("""COMPUTED_VALUE"""),1.0)</f>
        <v>1</v>
      </c>
      <c r="O249" s="213">
        <f>IFERROR(__xludf.DUMMYFUNCTION("""COMPUTED_VALUE"""),1.0)</f>
        <v>1</v>
      </c>
      <c r="P249" s="213"/>
      <c r="Q249" s="213"/>
      <c r="R249" s="213" t="str">
        <f>IFERROR(__xludf.DUMMYFUNCTION("""COMPUTED_VALUE"""),"SI")</f>
        <v>SI</v>
      </c>
      <c r="S249" s="213"/>
      <c r="T249" s="213" t="str">
        <f>IFERROR(__xludf.DUMMYFUNCTION("""COMPUTED_VALUE"""),"CONSULTA FINAL")</f>
        <v>CONSULTA FINAL</v>
      </c>
      <c r="U249" s="213" t="str">
        <f>IFERROR(__xludf.DUMMYFUNCTION("""COMPUTED_VALUE"""),"SI")</f>
        <v>SI</v>
      </c>
      <c r="V249" s="213" t="str">
        <f>IFERROR(__xludf.DUMMYFUNCTION("""COMPUTED_VALUE"""),"-")</f>
        <v>-</v>
      </c>
      <c r="W249" s="213" t="str">
        <f>IFERROR(__xludf.DUMMYFUNCTION("""COMPUTED_VALUE"""),"-")</f>
        <v>-</v>
      </c>
      <c r="X249" s="213" t="str">
        <f>IFERROR(__xludf.DUMMYFUNCTION("""COMPUTED_VALUE"""),"RIPLEY HOME")</f>
        <v>RIPLEY HOME</v>
      </c>
      <c r="Y249" s="213">
        <f>IFERROR(__xludf.DUMMYFUNCTION("""COMPUTED_VALUE"""),2.030351767817E12)</f>
        <v>2030351767817</v>
      </c>
      <c r="Z249" s="215" t="str">
        <f>IFERROR(__xludf.DUMMYFUNCTION("""COMPUTED_VALUE"""),"https://simple.ripley.com.pe/espejo-ripley-home-pie-marco-60x150-cm-negro-2030351767817p?srsltid=AfmBOooZ1pDO0r85SOpIxiedC2baSlMvxGhLdN6BHptPW31J4piCWhxr&amp;color_80=negro&amp;s=mdco")</f>
        <v>https://simple.ripley.com.pe/espejo-ripley-home-pie-marco-60x150-cm-negro-2030351767817p?srsltid=AfmBOooZ1pDO0r85SOpIxiedC2baSlMvxGhLdN6BHptPW31J4piCWhxr&amp;color_80=negro&amp;s=mdco</v>
      </c>
      <c r="AA249" s="213" t="str">
        <f>IFERROR(__xludf.DUMMYFUNCTION("""COMPUTED_VALUE"""),"COM-164 ESPEJO - CET")</f>
        <v>COM-164 ESPEJO - CET</v>
      </c>
      <c r="AB249" s="213"/>
      <c r="AC249" s="215" t="str">
        <f>IFERROR(__xludf.DUMMYFUNCTION("""COMPUTED_VALUE"""),"https://drive.google.com/file/d/1VZjCoPnVX8hCfKBqcFrGlRgLN8MiZ6Uk/view?usp=drive_link")</f>
        <v>https://drive.google.com/file/d/1VZjCoPnVX8hCfKBqcFrGlRgLN8MiZ6Uk/view?usp=drive_link</v>
      </c>
      <c r="AD249" s="213"/>
      <c r="AE249" s="213"/>
      <c r="AF249" s="213"/>
      <c r="AG249" s="213"/>
      <c r="AH249" s="213" t="str">
        <f>IFERROR(__xludf.DUMMYFUNCTION("""COMPUTED_VALUE"""),"NACIONAL")</f>
        <v>NACIONAL</v>
      </c>
      <c r="AI249" s="213"/>
      <c r="AJ249" s="213"/>
      <c r="AK249" s="213"/>
      <c r="AL249" s="213"/>
      <c r="AM249" s="213"/>
      <c r="AN249" s="213"/>
      <c r="AO249" s="213"/>
      <c r="AP249" s="213" t="str">
        <f>IFERROR(__xludf.DUMMYFUNCTION("""COMPUTED_VALUE"""),"SEBASTIAN")</f>
        <v>SEBASTIAN</v>
      </c>
      <c r="AQ249" s="213"/>
      <c r="AR249" s="213"/>
      <c r="AS249" s="213"/>
      <c r="AT249" s="213"/>
      <c r="AU249" s="213"/>
      <c r="AV249" s="213"/>
      <c r="AW249" s="213"/>
      <c r="AX249" s="213"/>
      <c r="AY249" s="213"/>
      <c r="AZ249" s="213"/>
      <c r="BA249" s="213"/>
      <c r="BB249" s="213"/>
      <c r="BC249" s="213"/>
      <c r="BD249" s="213"/>
    </row>
    <row r="250">
      <c r="A250" s="213">
        <f>IFERROR(__xludf.DUMMYFUNCTION("""COMPUTED_VALUE"""),2364.0)</f>
        <v>2364</v>
      </c>
      <c r="B250" s="213" t="str">
        <f>IFERROR(__xludf.DUMMYFUNCTION("""COMPUTED_VALUE"""),"MANUEL ANTONIO MESONES MURO")</f>
        <v>MANUEL ANTONIO MESONES MURO</v>
      </c>
      <c r="C250" s="213" t="str">
        <f>IFERROR(__xludf.DUMMYFUNCTION("""COMPUTED_VALUE"""),"TALLER SFT DE INDUSTRIA DEL VESTIDO")</f>
        <v>TALLER SFT DE INDUSTRIA DEL VESTIDO</v>
      </c>
      <c r="D250" s="213" t="str">
        <f>IFERROR(__xludf.DUMMYFUNCTION("""COMPUTED_VALUE"""),"HERRAMIENTAS")</f>
        <v>HERRAMIENTAS</v>
      </c>
      <c r="E250" s="213" t="str">
        <f>IFERROR(__xludf.DUMMYFUNCTION("""COMPUTED_VALUE"""),"COM-164")</f>
        <v>COM-164</v>
      </c>
      <c r="F250" s="213" t="str">
        <f>IFERROR(__xludf.DUMMYFUNCTION("""COMPUTED_VALUE"""),"COM-164")</f>
        <v>COM-164</v>
      </c>
      <c r="G250" s="213"/>
      <c r="H250" s="213" t="str">
        <f>IFERROR(__xludf.DUMMYFUNCTION("""COMPUTED_VALUE"""),"ESPEJO")</f>
        <v>ESPEJO</v>
      </c>
      <c r="I250" s="213" t="str">
        <f>IFERROR(__xludf.DUMMYFUNCTION("""COMPUTED_VALUE"""),"·       Forma rectangular
·       Tipo de montaje: para colgar
·       Bastidor metálico o Madera
·       Tamaño aproximado: ancho 60 cm, alto 150 cms.")</f>
        <v>·       Forma rectangular
·       Tipo de montaje: para colgar
·       Bastidor metálico o Madera
·       Tamaño aproximado: ancho 60 cm, alto 150 cms.</v>
      </c>
      <c r="J250" s="213">
        <f>IFERROR(__xludf.DUMMYFUNCTION("""COMPUTED_VALUE"""),3.0)</f>
        <v>3</v>
      </c>
      <c r="K250" s="213" t="str">
        <f>IFERROR(__xludf.DUMMYFUNCTION("""COMPUTED_VALUE"""),"90 DÍAS CALENDARIO")</f>
        <v>90 DÍAS CALENDARIO</v>
      </c>
      <c r="L250" s="213" t="str">
        <f>IFERROR(__xludf.DUMMYFUNCTION("""COMPUTED_VALUE"""),"")</f>
        <v/>
      </c>
      <c r="M250" s="213">
        <f>IFERROR(__xludf.DUMMYFUNCTION("""COMPUTED_VALUE"""),1.0)</f>
        <v>1</v>
      </c>
      <c r="N250" s="213">
        <f>IFERROR(__xludf.DUMMYFUNCTION("""COMPUTED_VALUE"""),1.0)</f>
        <v>1</v>
      </c>
      <c r="O250" s="213">
        <f>IFERROR(__xludf.DUMMYFUNCTION("""COMPUTED_VALUE"""),1.0)</f>
        <v>1</v>
      </c>
      <c r="P250" s="213"/>
      <c r="Q250" s="213"/>
      <c r="R250" s="213" t="str">
        <f>IFERROR(__xludf.DUMMYFUNCTION("""COMPUTED_VALUE"""),"SI")</f>
        <v>SI</v>
      </c>
      <c r="S250" s="213"/>
      <c r="T250" s="213" t="str">
        <f>IFERROR(__xludf.DUMMYFUNCTION("""COMPUTED_VALUE"""),"CONSULTA FINAL")</f>
        <v>CONSULTA FINAL</v>
      </c>
      <c r="U250" s="213" t="str">
        <f>IFERROR(__xludf.DUMMYFUNCTION("""COMPUTED_VALUE"""),"SI")</f>
        <v>SI</v>
      </c>
      <c r="V250" s="213" t="str">
        <f>IFERROR(__xludf.DUMMYFUNCTION("""COMPUTED_VALUE"""),"-")</f>
        <v>-</v>
      </c>
      <c r="W250" s="213" t="str">
        <f>IFERROR(__xludf.DUMMYFUNCTION("""COMPUTED_VALUE"""),"-")</f>
        <v>-</v>
      </c>
      <c r="X250" s="213" t="str">
        <f>IFERROR(__xludf.DUMMYFUNCTION("""COMPUTED_VALUE"""),"RIPLEY HOME")</f>
        <v>RIPLEY HOME</v>
      </c>
      <c r="Y250" s="213">
        <f>IFERROR(__xludf.DUMMYFUNCTION("""COMPUTED_VALUE"""),2.030351767817E12)</f>
        <v>2030351767817</v>
      </c>
      <c r="Z250" s="215" t="str">
        <f>IFERROR(__xludf.DUMMYFUNCTION("""COMPUTED_VALUE"""),"https://simple.ripley.com.pe/espejo-ripley-home-pie-marco-60x150-cm-negro-2030351767817p?srsltid=AfmBOooZ1pDO0r85SOpIxiedC2baSlMvxGhLdN6BHptPW31J4piCWhxr&amp;color_80=negro&amp;s=mdco")</f>
        <v>https://simple.ripley.com.pe/espejo-ripley-home-pie-marco-60x150-cm-negro-2030351767817p?srsltid=AfmBOooZ1pDO0r85SOpIxiedC2baSlMvxGhLdN6BHptPW31J4piCWhxr&amp;color_80=negro&amp;s=mdco</v>
      </c>
      <c r="AA250" s="213" t="str">
        <f>IFERROR(__xludf.DUMMYFUNCTION("""COMPUTED_VALUE"""),"COM-164 ESPEJO - CET")</f>
        <v>COM-164 ESPEJO - CET</v>
      </c>
      <c r="AB250" s="213"/>
      <c r="AC250" s="215" t="str">
        <f>IFERROR(__xludf.DUMMYFUNCTION("""COMPUTED_VALUE"""),"https://drive.google.com/file/d/1VZjCoPnVX8hCfKBqcFrGlRgLN8MiZ6Uk/view?usp=drive_link")</f>
        <v>https://drive.google.com/file/d/1VZjCoPnVX8hCfKBqcFrGlRgLN8MiZ6Uk/view?usp=drive_link</v>
      </c>
      <c r="AD250" s="213"/>
      <c r="AE250" s="213"/>
      <c r="AF250" s="213"/>
      <c r="AG250" s="213"/>
      <c r="AH250" s="213" t="str">
        <f>IFERROR(__xludf.DUMMYFUNCTION("""COMPUTED_VALUE"""),"NACIONAL")</f>
        <v>NACIONAL</v>
      </c>
      <c r="AI250" s="213"/>
      <c r="AJ250" s="213"/>
      <c r="AK250" s="213"/>
      <c r="AL250" s="213"/>
      <c r="AM250" s="213"/>
      <c r="AN250" s="213"/>
      <c r="AO250" s="213"/>
      <c r="AP250" s="213" t="str">
        <f>IFERROR(__xludf.DUMMYFUNCTION("""COMPUTED_VALUE"""),"SEBASTIAN")</f>
        <v>SEBASTIAN</v>
      </c>
      <c r="AQ250" s="213"/>
      <c r="AR250" s="213"/>
      <c r="AS250" s="213"/>
      <c r="AT250" s="213"/>
      <c r="AU250" s="213"/>
      <c r="AV250" s="213"/>
      <c r="AW250" s="213"/>
      <c r="AX250" s="213"/>
      <c r="AY250" s="213"/>
      <c r="AZ250" s="213"/>
      <c r="BA250" s="213"/>
      <c r="BB250" s="213"/>
      <c r="BC250" s="213"/>
      <c r="BD250" s="213"/>
    </row>
    <row r="251">
      <c r="A251" s="213">
        <f>IFERROR(__xludf.DUMMYFUNCTION("""COMPUTED_VALUE"""),433.0)</f>
        <v>433</v>
      </c>
      <c r="B251" s="213" t="str">
        <f>IFERROR(__xludf.DUMMYFUNCTION("""COMPUTED_VALUE"""),"2026 SIMON BOLIVAR")</f>
        <v>2026 SIMON BOLIVAR</v>
      </c>
      <c r="C251" s="213" t="str">
        <f>IFERROR(__xludf.DUMMYFUNCTION("""COMPUTED_VALUE"""),"TALLER SFT DE INDUSTRIA ALIMENTARIA")</f>
        <v>TALLER SFT DE INDUSTRIA ALIMENTARIA</v>
      </c>
      <c r="D251" s="213" t="str">
        <f>IFERROR(__xludf.DUMMYFUNCTION("""COMPUTED_VALUE"""),"EQUIPOS")</f>
        <v>EQUIPOS</v>
      </c>
      <c r="E251" s="213" t="str">
        <f>IFERROR(__xludf.DUMMYFUNCTION("""COMPUTED_VALUE"""),"COM-167")</f>
        <v>COM-167</v>
      </c>
      <c r="F251" s="213" t="str">
        <f>IFERROR(__xludf.DUMMYFUNCTION("""COMPUTED_VALUE"""),"COM-167")</f>
        <v>COM-167</v>
      </c>
      <c r="G251" s="213"/>
      <c r="H251" s="213" t="str">
        <f>IFERROR(__xludf.DUMMYFUNCTION("""COMPUTED_VALUE"""),"EXPRIMIDOR DE CITRICOS DE 4 TAMBORES")</f>
        <v>EXPRIMIDOR DE CITRICOS DE 4 TAMBORES</v>
      </c>
      <c r="I251" s="213" t="str">
        <f>IFERROR(__xludf.DUMMYFUNCTION("""COMPUTED_VALUE"""),"Tiene 4 tambores ajustables.
· Son desarmables.
. Sistema continuo.
· Capacidad: Min 1 Kg.
· Voltaje 220V, 60 Hz.
· Conducir caballos de fuerza 1 / 8HP motor de engranajes.
· Peso mecánico aproximado 24 kg.
· Tamaño aplicable mínimo 1 ~ 11 cm (diámetro).
"&amp;"· Tamaño del producto mínimo 33 cm* 34cm * 50 cm.
. Incluye funda protectora impermeable para su almacenamiento.
· Con sistema de parada automática de seguridad en caso de apertura o acceso al dispositivo.")</f>
        <v>Tiene 4 tambores ajustables.
· Son desarmables.
. Sistema continuo.
· Capacidad: Min 1 Kg.
· Voltaje 220V, 60 Hz.
· Conducir caballos de fuerza 1 / 8HP motor de engranajes.
· Peso mecánico aproximado 24 kg.
· Tamaño aplicable mínimo 1 ~ 11 cm (diámetro).
· Tamaño del producto mínimo 33 cm* 34cm * 50 cm.
. Incluye funda protectora impermeable para su almacenamiento.
· Con sistema de parada automática de seguridad en caso de apertura o acceso al dispositivo.</v>
      </c>
      <c r="J251" s="213">
        <f>IFERROR(__xludf.DUMMYFUNCTION("""COMPUTED_VALUE"""),3.0)</f>
        <v>3</v>
      </c>
      <c r="K251" s="213" t="str">
        <f>IFERROR(__xludf.DUMMYFUNCTION("""COMPUTED_VALUE"""),"90 DÍAS CALENDARIO")</f>
        <v>90 DÍAS CALENDARIO</v>
      </c>
      <c r="L251" s="213" t="str">
        <f>IFERROR(__xludf.DUMMYFUNCTION("""COMPUTED_VALUE"""),"")</f>
        <v/>
      </c>
      <c r="M251" s="213">
        <f>IFERROR(__xludf.DUMMYFUNCTION("""COMPUTED_VALUE"""),1.0)</f>
        <v>1</v>
      </c>
      <c r="N251" s="213">
        <f>IFERROR(__xludf.DUMMYFUNCTION("""COMPUTED_VALUE"""),1.0)</f>
        <v>1</v>
      </c>
      <c r="O251" s="213">
        <f>IFERROR(__xludf.DUMMYFUNCTION("""COMPUTED_VALUE"""),1.0)</f>
        <v>1</v>
      </c>
      <c r="P251" s="213"/>
      <c r="Q251" s="213"/>
      <c r="R251" s="213" t="str">
        <f>IFERROR(__xludf.DUMMYFUNCTION("""COMPUTED_VALUE"""),"SI")</f>
        <v>SI</v>
      </c>
      <c r="S251" s="213"/>
      <c r="T251" s="213" t="str">
        <f>IFERROR(__xludf.DUMMYFUNCTION("""COMPUTED_VALUE"""),"SI")</f>
        <v>SI</v>
      </c>
      <c r="U251" s="213" t="str">
        <f>IFERROR(__xludf.DUMMYFUNCTION("""COMPUTED_VALUE"""),"SI")</f>
        <v>SI</v>
      </c>
      <c r="V251" s="213" t="str">
        <f>IFERROR(__xludf.DUMMYFUNCTION("""COMPUTED_VALUE"""),"-")</f>
        <v>-</v>
      </c>
      <c r="W251" s="213" t="str">
        <f>IFERROR(__xludf.DUMMYFUNCTION("""COMPUTED_VALUE"""),"-")</f>
        <v>-</v>
      </c>
      <c r="X251" s="213" t="str">
        <f>IFERROR(__xludf.DUMMYFUNCTION("""COMPUTED_VALUE"""),"DASIN")</f>
        <v>DASIN</v>
      </c>
      <c r="Y251" s="213" t="str">
        <f>IFERROR(__xludf.DUMMYFUNCTION("""COMPUTED_VALUE"""),"JH100")</f>
        <v>JH100</v>
      </c>
      <c r="Z251" s="215" t="str">
        <f>IFERROR(__xludf.DUMMYFUNCTION("""COMPUTED_VALUE"""),"https://www.dasin-tw.com/es/product/commercial-citrus-juicer-with-PP-roller-for-lemon-and-kumquat_JH100.html")</f>
        <v>https://www.dasin-tw.com/es/product/commercial-citrus-juicer-with-PP-roller-for-lemon-and-kumquat_JH100.html</v>
      </c>
      <c r="AA251" s="213" t="str">
        <f>IFERROR(__xludf.DUMMYFUNCTION("""COMPUTED_VALUE"""),"COM-167 EXPRIMIDOR DE CITRICOS DE 4 TAMBORES - CET")</f>
        <v>COM-167 EXPRIMIDOR DE CITRICOS DE 4 TAMBORES - CET</v>
      </c>
      <c r="AB251" s="213"/>
      <c r="AC251" s="215" t="str">
        <f>IFERROR(__xludf.DUMMYFUNCTION("""COMPUTED_VALUE"""),"https://drive.google.com/file/d/1q3UCD9nw1-mJ9aqynuTqhdurV9nlkRCe/view?usp=drive_link")</f>
        <v>https://drive.google.com/file/d/1q3UCD9nw1-mJ9aqynuTqhdurV9nlkRCe/view?usp=drive_link</v>
      </c>
      <c r="AD251" s="213" t="str">
        <f>IFERROR(__xludf.DUMMYFUNCTION("""COMPUTED_VALUE"""),"JJC PAQ 5-COCINA")</f>
        <v>JJC PAQ 5-COCINA</v>
      </c>
      <c r="AE251" s="213" t="str">
        <f>IFERROR(__xludf.DUMMYFUNCTION("""COMPUTED_VALUE"""),"EXPR-03")</f>
        <v>EXPR-03</v>
      </c>
      <c r="AF251" s="219" t="str">
        <f>IFERROR(__xludf.DUMMYFUNCTION("""COMPUTED_VALUE"""),"EXPRIMIDOR DE CITRICOS JH100")</f>
        <v>EXPRIMIDOR DE CITRICOS JH100</v>
      </c>
      <c r="AG251" s="213"/>
      <c r="AH251" s="213" t="str">
        <f>IFERROR(__xludf.DUMMYFUNCTION("""COMPUTED_VALUE"""),"IMPORTADO")</f>
        <v>IMPORTADO</v>
      </c>
      <c r="AI251" s="213"/>
      <c r="AJ251" s="213"/>
      <c r="AK251" s="213"/>
      <c r="AL251" s="213"/>
      <c r="AM251" s="213"/>
      <c r="AN251" s="213"/>
      <c r="AO251" s="213"/>
      <c r="AP251" s="213" t="str">
        <f>IFERROR(__xludf.DUMMYFUNCTION("""COMPUTED_VALUE"""),"LUIS")</f>
        <v>LUIS</v>
      </c>
      <c r="AQ251" s="213"/>
      <c r="AR251" s="213"/>
      <c r="AS251" s="213" t="str">
        <f>IFERROR(__xludf.DUMMYFUNCTION("""COMPUTED_VALUE"""),"No se menciona en la FT que tenga parada automática de emergencia, pero hay un correo en que el fabricante dice que cuenta con ello.")</f>
        <v>No se menciona en la FT que tenga parada automática de emergencia, pero hay un correo en que el fabricante dice que cuenta con ello.</v>
      </c>
      <c r="AT251" s="213"/>
      <c r="AU251" s="213"/>
      <c r="AV251" s="213"/>
      <c r="AW251" s="213"/>
      <c r="AX251" s="213"/>
      <c r="AY251" s="213"/>
      <c r="AZ251" s="213"/>
      <c r="BA251" s="213"/>
      <c r="BB251" s="213"/>
      <c r="BC251" s="213"/>
      <c r="BD251" s="213"/>
    </row>
    <row r="252">
      <c r="A252" s="213">
        <f>IFERROR(__xludf.DUMMYFUNCTION("""COMPUTED_VALUE"""),1063.0)</f>
        <v>1063</v>
      </c>
      <c r="B252" s="213" t="str">
        <f>IFERROR(__xludf.DUMMYFUNCTION("""COMPUTED_VALUE"""),"FRANCISCO IRAZOLA")</f>
        <v>FRANCISCO IRAZOLA</v>
      </c>
      <c r="C252" s="213" t="str">
        <f>IFERROR(__xludf.DUMMYFUNCTION("""COMPUTED_VALUE"""),"TALLER SFT DE INDUSTRIA ALIMENTARIA")</f>
        <v>TALLER SFT DE INDUSTRIA ALIMENTARIA</v>
      </c>
      <c r="D252" s="213" t="str">
        <f>IFERROR(__xludf.DUMMYFUNCTION("""COMPUTED_VALUE"""),"EQUIPOS")</f>
        <v>EQUIPOS</v>
      </c>
      <c r="E252" s="213" t="str">
        <f>IFERROR(__xludf.DUMMYFUNCTION("""COMPUTED_VALUE"""),"COM-167")</f>
        <v>COM-167</v>
      </c>
      <c r="F252" s="213" t="str">
        <f>IFERROR(__xludf.DUMMYFUNCTION("""COMPUTED_VALUE"""),"COM-167")</f>
        <v>COM-167</v>
      </c>
      <c r="G252" s="213"/>
      <c r="H252" s="213" t="str">
        <f>IFERROR(__xludf.DUMMYFUNCTION("""COMPUTED_VALUE"""),"EXPRIMIDOR DE CITRICOS DE 4 TAMBORES")</f>
        <v>EXPRIMIDOR DE CITRICOS DE 4 TAMBORES</v>
      </c>
      <c r="I252" s="213" t="str">
        <f>IFERROR(__xludf.DUMMYFUNCTION("""COMPUTED_VALUE"""),"Tiene 4 tambores ajustables.
· Son desarmables.
. Sistema continuo.
· Capacidad: Min 1 Kg.
· Voltaje 220V, 60 Hz.
· Conducir caballos de fuerza 1 / 8HP motor de engranajes.
· Peso mecánico aproximado 24 kg.
· Tamaño aplicable mínimo 1 ~ 11 cm (diámetro).
"&amp;"· Tamaño del producto mínimo 33 cm* 34cm * 50 cm.
. Incluye funda protectora impermeable para su almacenamiento.
· Con sistema de parada automática de seguridad en caso de apertura o acceso al dispositivo.")</f>
        <v>Tiene 4 tambores ajustables.
· Son desarmables.
. Sistema continuo.
· Capacidad: Min 1 Kg.
· Voltaje 220V, 60 Hz.
· Conducir caballos de fuerza 1 / 8HP motor de engranajes.
· Peso mecánico aproximado 24 kg.
· Tamaño aplicable mínimo 1 ~ 11 cm (diámetro).
· Tamaño del producto mínimo 33 cm* 34cm * 50 cm.
. Incluye funda protectora impermeable para su almacenamiento.
· Con sistema de parada automática de seguridad en caso de apertura o acceso al dispositivo.</v>
      </c>
      <c r="J252" s="213">
        <f>IFERROR(__xludf.DUMMYFUNCTION("""COMPUTED_VALUE"""),3.0)</f>
        <v>3</v>
      </c>
      <c r="K252" s="213" t="str">
        <f>IFERROR(__xludf.DUMMYFUNCTION("""COMPUTED_VALUE"""),"90 DÍAS CALENDARIO")</f>
        <v>90 DÍAS CALENDARIO</v>
      </c>
      <c r="L252" s="213" t="str">
        <f>IFERROR(__xludf.DUMMYFUNCTION("""COMPUTED_VALUE"""),"")</f>
        <v/>
      </c>
      <c r="M252" s="213">
        <f>IFERROR(__xludf.DUMMYFUNCTION("""COMPUTED_VALUE"""),1.0)</f>
        <v>1</v>
      </c>
      <c r="N252" s="213">
        <f>IFERROR(__xludf.DUMMYFUNCTION("""COMPUTED_VALUE"""),1.0)</f>
        <v>1</v>
      </c>
      <c r="O252" s="213">
        <f>IFERROR(__xludf.DUMMYFUNCTION("""COMPUTED_VALUE"""),1.0)</f>
        <v>1</v>
      </c>
      <c r="P252" s="213"/>
      <c r="Q252" s="213"/>
      <c r="R252" s="213" t="str">
        <f>IFERROR(__xludf.DUMMYFUNCTION("""COMPUTED_VALUE"""),"SI")</f>
        <v>SI</v>
      </c>
      <c r="S252" s="213"/>
      <c r="T252" s="213" t="str">
        <f>IFERROR(__xludf.DUMMYFUNCTION("""COMPUTED_VALUE"""),"SI")</f>
        <v>SI</v>
      </c>
      <c r="U252" s="213" t="str">
        <f>IFERROR(__xludf.DUMMYFUNCTION("""COMPUTED_VALUE"""),"SI")</f>
        <v>SI</v>
      </c>
      <c r="V252" s="213" t="str">
        <f>IFERROR(__xludf.DUMMYFUNCTION("""COMPUTED_VALUE"""),"-")</f>
        <v>-</v>
      </c>
      <c r="W252" s="213" t="str">
        <f>IFERROR(__xludf.DUMMYFUNCTION("""COMPUTED_VALUE"""),"-")</f>
        <v>-</v>
      </c>
      <c r="X252" s="213" t="str">
        <f>IFERROR(__xludf.DUMMYFUNCTION("""COMPUTED_VALUE"""),"DASIN")</f>
        <v>DASIN</v>
      </c>
      <c r="Y252" s="213" t="str">
        <f>IFERROR(__xludf.DUMMYFUNCTION("""COMPUTED_VALUE"""),"JH100")</f>
        <v>JH100</v>
      </c>
      <c r="Z252" s="215" t="str">
        <f>IFERROR(__xludf.DUMMYFUNCTION("""COMPUTED_VALUE"""),"https://www.dasin-tw.com/es/product/commercial-citrus-juicer-with-PP-roller-for-lemon-and-kumquat_JH100.html")</f>
        <v>https://www.dasin-tw.com/es/product/commercial-citrus-juicer-with-PP-roller-for-lemon-and-kumquat_JH100.html</v>
      </c>
      <c r="AA252" s="213" t="str">
        <f>IFERROR(__xludf.DUMMYFUNCTION("""COMPUTED_VALUE"""),"COM-167 EXPRIMIDOR DE CITRICOS DE 4 TAMBORES - CET")</f>
        <v>COM-167 EXPRIMIDOR DE CITRICOS DE 4 TAMBORES - CET</v>
      </c>
      <c r="AB252" s="213"/>
      <c r="AC252" s="215" t="str">
        <f>IFERROR(__xludf.DUMMYFUNCTION("""COMPUTED_VALUE"""),"https://drive.google.com/file/d/1q3UCD9nw1-mJ9aqynuTqhdurV9nlkRCe/view?usp=drive_link")</f>
        <v>https://drive.google.com/file/d/1q3UCD9nw1-mJ9aqynuTqhdurV9nlkRCe/view?usp=drive_link</v>
      </c>
      <c r="AD252" s="213" t="str">
        <f>IFERROR(__xludf.DUMMYFUNCTION("""COMPUTED_VALUE"""),"JJC PAQ 5-COCINA")</f>
        <v>JJC PAQ 5-COCINA</v>
      </c>
      <c r="AE252" s="213" t="str">
        <f>IFERROR(__xludf.DUMMYFUNCTION("""COMPUTED_VALUE"""),"EXPR-03")</f>
        <v>EXPR-03</v>
      </c>
      <c r="AF252" s="219" t="str">
        <f>IFERROR(__xludf.DUMMYFUNCTION("""COMPUTED_VALUE"""),"EXPRIMIDOR DE CITRICOS JH100")</f>
        <v>EXPRIMIDOR DE CITRICOS JH100</v>
      </c>
      <c r="AG252" s="213"/>
      <c r="AH252" s="213" t="str">
        <f>IFERROR(__xludf.DUMMYFUNCTION("""COMPUTED_VALUE"""),"IMPORTADO")</f>
        <v>IMPORTADO</v>
      </c>
      <c r="AI252" s="213"/>
      <c r="AJ252" s="213"/>
      <c r="AK252" s="213"/>
      <c r="AL252" s="213"/>
      <c r="AM252" s="213"/>
      <c r="AN252" s="213"/>
      <c r="AO252" s="213"/>
      <c r="AP252" s="213" t="str">
        <f>IFERROR(__xludf.DUMMYFUNCTION("""COMPUTED_VALUE"""),"LUIS")</f>
        <v>LUIS</v>
      </c>
      <c r="AQ252" s="213"/>
      <c r="AR252" s="213"/>
      <c r="AS252" s="213" t="str">
        <f>IFERROR(__xludf.DUMMYFUNCTION("""COMPUTED_VALUE"""),"No se menciona en la FT que tenga parada automática de emergencia, pero hay un correo en que el fabricante dice que cuenta con ello.")</f>
        <v>No se menciona en la FT que tenga parada automática de emergencia, pero hay un correo en que el fabricante dice que cuenta con ello.</v>
      </c>
      <c r="AT252" s="213"/>
      <c r="AU252" s="213"/>
      <c r="AV252" s="213"/>
      <c r="AW252" s="213"/>
      <c r="AX252" s="213"/>
      <c r="AY252" s="213"/>
      <c r="AZ252" s="213"/>
      <c r="BA252" s="213"/>
      <c r="BB252" s="213"/>
      <c r="BC252" s="213"/>
      <c r="BD252" s="213"/>
    </row>
    <row r="253">
      <c r="A253" s="213">
        <f>IFERROR(__xludf.DUMMYFUNCTION("""COMPUTED_VALUE"""),411.0)</f>
        <v>411</v>
      </c>
      <c r="B253" s="213" t="str">
        <f>IFERROR(__xludf.DUMMYFUNCTION("""COMPUTED_VALUE"""),"2026 SIMON BOLIVAR")</f>
        <v>2026 SIMON BOLIVAR</v>
      </c>
      <c r="C253" s="213" t="str">
        <f>IFERROR(__xludf.DUMMYFUNCTION("""COMPUTED_VALUE"""),"TALLER SFT DE ELECTRICIDAD")</f>
        <v>TALLER SFT DE ELECTRICIDAD</v>
      </c>
      <c r="D253" s="213" t="str">
        <f>IFERROR(__xludf.DUMMYFUNCTION("""COMPUTED_VALUE"""),"EQUIPOS")</f>
        <v>EQUIPOS</v>
      </c>
      <c r="E253" s="213" t="str">
        <f>IFERROR(__xludf.DUMMYFUNCTION("""COMPUTED_VALUE"""),"ESP-117")</f>
        <v>ESP-117</v>
      </c>
      <c r="F253" s="213" t="str">
        <f>IFERROR(__xludf.DUMMYFUNCTION("""COMPUTED_VALUE"""),"ESP-117")</f>
        <v>ESP-117</v>
      </c>
      <c r="G253" s="213"/>
      <c r="H253" s="213" t="str">
        <f>IFERROR(__xludf.DUMMYFUNCTION("""COMPUTED_VALUE"""),"BOTÓN PULSADOR INDUSTRIAL (VERDE, AMARILLO, ROJO)")</f>
        <v>BOTÓN PULSADOR INDUSTRIAL (VERDE, AMARILLO, ROJO)</v>
      </c>
      <c r="I253" s="213"/>
      <c r="J253" s="213">
        <f>IFERROR(__xludf.DUMMYFUNCTION("""COMPUTED_VALUE"""),3.0)</f>
        <v>3</v>
      </c>
      <c r="K253" s="213" t="str">
        <f>IFERROR(__xludf.DUMMYFUNCTION("""COMPUTED_VALUE"""),"170 DÍAS CALENDARIO")</f>
        <v>170 DÍAS CALENDARIO</v>
      </c>
      <c r="L253" s="213" t="str">
        <f>IFERROR(__xludf.DUMMYFUNCTION("""COMPUTED_VALUE"""),"")</f>
        <v/>
      </c>
      <c r="M253" s="213">
        <f>IFERROR(__xludf.DUMMYFUNCTION("""COMPUTED_VALUE"""),1.0)</f>
        <v>1</v>
      </c>
      <c r="N253" s="213">
        <f>IFERROR(__xludf.DUMMYFUNCTION("""COMPUTED_VALUE"""),12.0)</f>
        <v>12</v>
      </c>
      <c r="O253" s="213">
        <f>IFERROR(__xludf.DUMMYFUNCTION("""COMPUTED_VALUE"""),12.0)</f>
        <v>12</v>
      </c>
      <c r="P253" s="213"/>
      <c r="Q253" s="213"/>
      <c r="R253" s="213"/>
      <c r="S253" s="213" t="str">
        <f>IFERROR(__xludf.DUMMYFUNCTION("""COMPUTED_VALUE"""),"SI")</f>
        <v>SI</v>
      </c>
      <c r="T253" s="213" t="str">
        <f>IFERROR(__xludf.DUMMYFUNCTION("""COMPUTED_VALUE"""),"SI")</f>
        <v>SI</v>
      </c>
      <c r="U253" s="213" t="str">
        <f>IFERROR(__xludf.DUMMYFUNCTION("""COMPUTED_VALUE"""),"SI")</f>
        <v>SI</v>
      </c>
      <c r="V253" s="213" t="str">
        <f>IFERROR(__xludf.DUMMYFUNCTION("""COMPUTED_VALUE"""),"-")</f>
        <v>-</v>
      </c>
      <c r="W253" s="213" t="str">
        <f>IFERROR(__xludf.DUMMYFUNCTION("""COMPUTED_VALUE"""),"-")</f>
        <v>-</v>
      </c>
      <c r="X253" s="213" t="str">
        <f>IFERROR(__xludf.DUMMYFUNCTION("""COMPUTED_VALUE"""),"EAO")</f>
        <v>EAO</v>
      </c>
      <c r="Y253" s="213" t="str">
        <f>IFERROR(__xludf.DUMMYFUNCTION("""COMPUTED_VALUE"""),"Botón Pulsador Industrial, Serie 45, 22 mm")</f>
        <v>Botón Pulsador Industrial, Serie 45, 22 mm</v>
      </c>
      <c r="Z253" s="215" t="str">
        <f>IFERROR(__xludf.DUMMYFUNCTION("""COMPUTED_VALUE"""),"https://mexico.newark.com/eao/45-1231-31e6-000-101/illum-industrial-pb-sw-spst-10a/dp/98Y4507")</f>
        <v>https://mexico.newark.com/eao/45-1231-31e6-000-101/illum-industrial-pb-sw-spst-10a/dp/98Y4507</v>
      </c>
      <c r="AA253" s="213" t="str">
        <f>IFERROR(__xludf.DUMMYFUNCTION("""COMPUTED_VALUE"""),"ESP-117 BOTÓN PULSADOR INDUSTRIAL (VERDE, AMARILLO, ROJO) - CET")</f>
        <v>ESP-117 BOTÓN PULSADOR INDUSTRIAL (VERDE, AMARILLO, ROJO) - CET</v>
      </c>
      <c r="AB253" s="213"/>
      <c r="AC253" s="213"/>
      <c r="AD253" s="213"/>
      <c r="AE253" s="213"/>
      <c r="AF253" s="213"/>
      <c r="AG253" s="213"/>
      <c r="AH253" s="213"/>
      <c r="AI253" s="213"/>
      <c r="AJ253" s="213"/>
      <c r="AK253" s="213"/>
      <c r="AL253" s="213"/>
      <c r="AM253" s="213"/>
      <c r="AN253" s="213"/>
      <c r="AO253" s="213"/>
      <c r="AP253" s="213" t="str">
        <f>IFERROR(__xludf.DUMMYFUNCTION("""COMPUTED_VALUE"""),"BRUNO")</f>
        <v>BRUNO</v>
      </c>
      <c r="AQ253" s="213"/>
      <c r="AR253" s="213"/>
      <c r="AS253" s="213"/>
      <c r="AT253" s="213"/>
      <c r="AU253" s="213"/>
      <c r="AV253" s="213"/>
      <c r="AW253" s="213"/>
      <c r="AX253" s="213"/>
      <c r="AY253" s="213"/>
      <c r="AZ253" s="213"/>
      <c r="BA253" s="213"/>
      <c r="BB253" s="213"/>
      <c r="BC253" s="213"/>
      <c r="BD253" s="213"/>
    </row>
    <row r="254">
      <c r="A254" s="213">
        <f>IFERROR(__xludf.DUMMYFUNCTION("""COMPUTED_VALUE"""),897.0)</f>
        <v>897</v>
      </c>
      <c r="B254" s="213" t="str">
        <f>IFERROR(__xludf.DUMMYFUNCTION("""COMPUTED_VALUE"""),"6049 RICARDO PALMA")</f>
        <v>6049 RICARDO PALMA</v>
      </c>
      <c r="C254" s="213" t="str">
        <f>IFERROR(__xludf.DUMMYFUNCTION("""COMPUTED_VALUE"""),"TALLER SFT DE ELECTRICIDAD")</f>
        <v>TALLER SFT DE ELECTRICIDAD</v>
      </c>
      <c r="D254" s="213" t="str">
        <f>IFERROR(__xludf.DUMMYFUNCTION("""COMPUTED_VALUE"""),"EQUIPOS")</f>
        <v>EQUIPOS</v>
      </c>
      <c r="E254" s="213" t="str">
        <f>IFERROR(__xludf.DUMMYFUNCTION("""COMPUTED_VALUE"""),"ESP-117")</f>
        <v>ESP-117</v>
      </c>
      <c r="F254" s="213" t="str">
        <f>IFERROR(__xludf.DUMMYFUNCTION("""COMPUTED_VALUE"""),"ESP-117")</f>
        <v>ESP-117</v>
      </c>
      <c r="G254" s="213"/>
      <c r="H254" s="213" t="str">
        <f>IFERROR(__xludf.DUMMYFUNCTION("""COMPUTED_VALUE"""),"BOTÓN PULSADOR INDUSTRIAL (VERDE, AMARILLO, ROJO)")</f>
        <v>BOTÓN PULSADOR INDUSTRIAL (VERDE, AMARILLO, ROJO)</v>
      </c>
      <c r="I254" s="213"/>
      <c r="J254" s="213">
        <f>IFERROR(__xludf.DUMMYFUNCTION("""COMPUTED_VALUE"""),3.0)</f>
        <v>3</v>
      </c>
      <c r="K254" s="213" t="str">
        <f>IFERROR(__xludf.DUMMYFUNCTION("""COMPUTED_VALUE"""),"170 DÍAS CALENDARIO")</f>
        <v>170 DÍAS CALENDARIO</v>
      </c>
      <c r="L254" s="213" t="str">
        <f>IFERROR(__xludf.DUMMYFUNCTION("""COMPUTED_VALUE"""),"")</f>
        <v/>
      </c>
      <c r="M254" s="213">
        <f>IFERROR(__xludf.DUMMYFUNCTION("""COMPUTED_VALUE"""),1.0)</f>
        <v>1</v>
      </c>
      <c r="N254" s="213">
        <f>IFERROR(__xludf.DUMMYFUNCTION("""COMPUTED_VALUE"""),12.0)</f>
        <v>12</v>
      </c>
      <c r="O254" s="213">
        <f>IFERROR(__xludf.DUMMYFUNCTION("""COMPUTED_VALUE"""),12.0)</f>
        <v>12</v>
      </c>
      <c r="P254" s="213"/>
      <c r="Q254" s="213"/>
      <c r="R254" s="213"/>
      <c r="S254" s="213" t="str">
        <f>IFERROR(__xludf.DUMMYFUNCTION("""COMPUTED_VALUE"""),"SI")</f>
        <v>SI</v>
      </c>
      <c r="T254" s="213" t="str">
        <f>IFERROR(__xludf.DUMMYFUNCTION("""COMPUTED_VALUE"""),"SI")</f>
        <v>SI</v>
      </c>
      <c r="U254" s="213" t="str">
        <f>IFERROR(__xludf.DUMMYFUNCTION("""COMPUTED_VALUE"""),"SI")</f>
        <v>SI</v>
      </c>
      <c r="V254" s="213" t="str">
        <f>IFERROR(__xludf.DUMMYFUNCTION("""COMPUTED_VALUE"""),"-")</f>
        <v>-</v>
      </c>
      <c r="W254" s="213" t="str">
        <f>IFERROR(__xludf.DUMMYFUNCTION("""COMPUTED_VALUE"""),"-")</f>
        <v>-</v>
      </c>
      <c r="X254" s="213" t="str">
        <f>IFERROR(__xludf.DUMMYFUNCTION("""COMPUTED_VALUE"""),"EAO")</f>
        <v>EAO</v>
      </c>
      <c r="Y254" s="213" t="str">
        <f>IFERROR(__xludf.DUMMYFUNCTION("""COMPUTED_VALUE"""),"Botón Pulsador Industrial, Serie 45, 22 mm")</f>
        <v>Botón Pulsador Industrial, Serie 45, 22 mm</v>
      </c>
      <c r="Z254" s="215" t="str">
        <f>IFERROR(__xludf.DUMMYFUNCTION("""COMPUTED_VALUE"""),"https://mexico.newark.com/eao/45-1231-31e6-000-101/illum-industrial-pb-sw-spst-10a/dp/98Y4507")</f>
        <v>https://mexico.newark.com/eao/45-1231-31e6-000-101/illum-industrial-pb-sw-spst-10a/dp/98Y4507</v>
      </c>
      <c r="AA254" s="213" t="str">
        <f>IFERROR(__xludf.DUMMYFUNCTION("""COMPUTED_VALUE"""),"ESP-117 BOTÓN PULSADOR INDUSTRIAL (VERDE, AMARILLO, ROJO) - CET")</f>
        <v>ESP-117 BOTÓN PULSADOR INDUSTRIAL (VERDE, AMARILLO, ROJO) - CET</v>
      </c>
      <c r="AB254" s="213"/>
      <c r="AC254" s="213"/>
      <c r="AD254" s="213"/>
      <c r="AE254" s="213"/>
      <c r="AF254" s="213"/>
      <c r="AG254" s="213"/>
      <c r="AH254" s="213"/>
      <c r="AI254" s="213"/>
      <c r="AJ254" s="213"/>
      <c r="AK254" s="213"/>
      <c r="AL254" s="213"/>
      <c r="AM254" s="213"/>
      <c r="AN254" s="213"/>
      <c r="AO254" s="213"/>
      <c r="AP254" s="213" t="str">
        <f>IFERROR(__xludf.DUMMYFUNCTION("""COMPUTED_VALUE"""),"BRUNO")</f>
        <v>BRUNO</v>
      </c>
      <c r="AQ254" s="213"/>
      <c r="AR254" s="213"/>
      <c r="AS254" s="213"/>
      <c r="AT254" s="213"/>
      <c r="AU254" s="213"/>
      <c r="AV254" s="213"/>
      <c r="AW254" s="213"/>
      <c r="AX254" s="213"/>
      <c r="AY254" s="213"/>
      <c r="AZ254" s="213"/>
      <c r="BA254" s="213"/>
      <c r="BB254" s="213"/>
      <c r="BC254" s="213"/>
      <c r="BD254" s="213"/>
    </row>
    <row r="255">
      <c r="A255" s="213">
        <f>IFERROR(__xludf.DUMMYFUNCTION("""COMPUTED_VALUE"""),1319.0)</f>
        <v>1319</v>
      </c>
      <c r="B255" s="213" t="str">
        <f>IFERROR(__xludf.DUMMYFUNCTION("""COMPUTED_VALUE"""),"GUILLERMO E. BILLINGHURST ")</f>
        <v>GUILLERMO E. BILLINGHURST </v>
      </c>
      <c r="C255" s="213" t="str">
        <f>IFERROR(__xludf.DUMMYFUNCTION("""COMPUTED_VALUE"""),"TALLER SFT DE ELECTRICIDAD")</f>
        <v>TALLER SFT DE ELECTRICIDAD</v>
      </c>
      <c r="D255" s="213" t="str">
        <f>IFERROR(__xludf.DUMMYFUNCTION("""COMPUTED_VALUE"""),"EQUIPOS")</f>
        <v>EQUIPOS</v>
      </c>
      <c r="E255" s="213" t="str">
        <f>IFERROR(__xludf.DUMMYFUNCTION("""COMPUTED_VALUE"""),"ESP-117")</f>
        <v>ESP-117</v>
      </c>
      <c r="F255" s="213" t="str">
        <f>IFERROR(__xludf.DUMMYFUNCTION("""COMPUTED_VALUE"""),"ESP-117")</f>
        <v>ESP-117</v>
      </c>
      <c r="G255" s="213"/>
      <c r="H255" s="213" t="str">
        <f>IFERROR(__xludf.DUMMYFUNCTION("""COMPUTED_VALUE"""),"BOTÓN PULSADOR INDUSTRIAL (VERDE, AMARILLO, ROJO)")</f>
        <v>BOTÓN PULSADOR INDUSTRIAL (VERDE, AMARILLO, ROJO)</v>
      </c>
      <c r="I255" s="213"/>
      <c r="J255" s="213">
        <f>IFERROR(__xludf.DUMMYFUNCTION("""COMPUTED_VALUE"""),3.0)</f>
        <v>3</v>
      </c>
      <c r="K255" s="213" t="str">
        <f>IFERROR(__xludf.DUMMYFUNCTION("""COMPUTED_VALUE"""),"170 DÍAS CALENDARIO")</f>
        <v>170 DÍAS CALENDARIO</v>
      </c>
      <c r="L255" s="213" t="str">
        <f>IFERROR(__xludf.DUMMYFUNCTION("""COMPUTED_VALUE"""),"")</f>
        <v/>
      </c>
      <c r="M255" s="213">
        <f>IFERROR(__xludf.DUMMYFUNCTION("""COMPUTED_VALUE"""),1.0)</f>
        <v>1</v>
      </c>
      <c r="N255" s="213">
        <f>IFERROR(__xludf.DUMMYFUNCTION("""COMPUTED_VALUE"""),12.0)</f>
        <v>12</v>
      </c>
      <c r="O255" s="213">
        <f>IFERROR(__xludf.DUMMYFUNCTION("""COMPUTED_VALUE"""),12.0)</f>
        <v>12</v>
      </c>
      <c r="P255" s="213"/>
      <c r="Q255" s="213"/>
      <c r="R255" s="213"/>
      <c r="S255" s="213" t="str">
        <f>IFERROR(__xludf.DUMMYFUNCTION("""COMPUTED_VALUE"""),"SI")</f>
        <v>SI</v>
      </c>
      <c r="T255" s="213" t="str">
        <f>IFERROR(__xludf.DUMMYFUNCTION("""COMPUTED_VALUE"""),"SI")</f>
        <v>SI</v>
      </c>
      <c r="U255" s="213" t="str">
        <f>IFERROR(__xludf.DUMMYFUNCTION("""COMPUTED_VALUE"""),"SI")</f>
        <v>SI</v>
      </c>
      <c r="V255" s="213" t="str">
        <f>IFERROR(__xludf.DUMMYFUNCTION("""COMPUTED_VALUE"""),"-")</f>
        <v>-</v>
      </c>
      <c r="W255" s="213" t="str">
        <f>IFERROR(__xludf.DUMMYFUNCTION("""COMPUTED_VALUE"""),"-")</f>
        <v>-</v>
      </c>
      <c r="X255" s="213" t="str">
        <f>IFERROR(__xludf.DUMMYFUNCTION("""COMPUTED_VALUE"""),"EAO")</f>
        <v>EAO</v>
      </c>
      <c r="Y255" s="213" t="str">
        <f>IFERROR(__xludf.DUMMYFUNCTION("""COMPUTED_VALUE"""),"Botón Pulsador Industrial, Serie 45, 22 mm")</f>
        <v>Botón Pulsador Industrial, Serie 45, 22 mm</v>
      </c>
      <c r="Z255" s="215" t="str">
        <f>IFERROR(__xludf.DUMMYFUNCTION("""COMPUTED_VALUE"""),"https://mexico.newark.com/eao/45-1231-31e6-000-101/illum-industrial-pb-sw-spst-10a/dp/98Y4507")</f>
        <v>https://mexico.newark.com/eao/45-1231-31e6-000-101/illum-industrial-pb-sw-spst-10a/dp/98Y4507</v>
      </c>
      <c r="AA255" s="213" t="str">
        <f>IFERROR(__xludf.DUMMYFUNCTION("""COMPUTED_VALUE"""),"ESP-117 BOTÓN PULSADOR INDUSTRIAL (VERDE, AMARILLO, ROJO) - CET")</f>
        <v>ESP-117 BOTÓN PULSADOR INDUSTRIAL (VERDE, AMARILLO, ROJO) - CET</v>
      </c>
      <c r="AB255" s="213"/>
      <c r="AC255" s="213"/>
      <c r="AD255" s="213"/>
      <c r="AE255" s="213"/>
      <c r="AF255" s="213"/>
      <c r="AG255" s="213"/>
      <c r="AH255" s="213"/>
      <c r="AI255" s="213"/>
      <c r="AJ255" s="213"/>
      <c r="AK255" s="213"/>
      <c r="AL255" s="213"/>
      <c r="AM255" s="213"/>
      <c r="AN255" s="213"/>
      <c r="AO255" s="213"/>
      <c r="AP255" s="213" t="str">
        <f>IFERROR(__xludf.DUMMYFUNCTION("""COMPUTED_VALUE"""),"BRUNO")</f>
        <v>BRUNO</v>
      </c>
      <c r="AQ255" s="213"/>
      <c r="AR255" s="213"/>
      <c r="AS255" s="213"/>
      <c r="AT255" s="213"/>
      <c r="AU255" s="213"/>
      <c r="AV255" s="213"/>
      <c r="AW255" s="213"/>
      <c r="AX255" s="213"/>
      <c r="AY255" s="213"/>
      <c r="AZ255" s="213"/>
      <c r="BA255" s="213"/>
      <c r="BB255" s="213"/>
      <c r="BC255" s="213"/>
      <c r="BD255" s="213"/>
    </row>
    <row r="256">
      <c r="A256" s="213">
        <f>IFERROR(__xludf.DUMMYFUNCTION("""COMPUTED_VALUE"""),1338.0)</f>
        <v>1338</v>
      </c>
      <c r="B256" s="213" t="str">
        <f>IFERROR(__xludf.DUMMYFUNCTION("""COMPUTED_VALUE"""),"GUILLERMO E. BILLINGHURST ")</f>
        <v>GUILLERMO E. BILLINGHURST </v>
      </c>
      <c r="C256" s="213" t="str">
        <f>IFERROR(__xludf.DUMMYFUNCTION("""COMPUTED_VALUE"""),"TALLER SFT DE INDUSTRIA ALIMENTARIA")</f>
        <v>TALLER SFT DE INDUSTRIA ALIMENTARIA</v>
      </c>
      <c r="D256" s="213" t="str">
        <f>IFERROR(__xludf.DUMMYFUNCTION("""COMPUTED_VALUE"""),"EQUIPOS")</f>
        <v>EQUIPOS</v>
      </c>
      <c r="E256" s="213" t="str">
        <f>IFERROR(__xludf.DUMMYFUNCTION("""COMPUTED_VALUE"""),"COM-167")</f>
        <v>COM-167</v>
      </c>
      <c r="F256" s="213" t="str">
        <f>IFERROR(__xludf.DUMMYFUNCTION("""COMPUTED_VALUE"""),"COM-167")</f>
        <v>COM-167</v>
      </c>
      <c r="G256" s="213"/>
      <c r="H256" s="213" t="str">
        <f>IFERROR(__xludf.DUMMYFUNCTION("""COMPUTED_VALUE"""),"EXPRIMIDOR DE CITRICOS DE 4 TAMBORES")</f>
        <v>EXPRIMIDOR DE CITRICOS DE 4 TAMBORES</v>
      </c>
      <c r="I256" s="213" t="str">
        <f>IFERROR(__xludf.DUMMYFUNCTION("""COMPUTED_VALUE"""),"Tiene 4 tambores ajustables.
· Son desarmables.
. Sistema continuo.
· Capacidad: Min 1 Kg.
· Voltaje 220V, 60 Hz.
· Conducir caballos de fuerza 1 / 8HP motor de engranajes.
· Peso mecánico aproximado 24 kg.
· Tamaño aplicable mínimo 1 ~ 11 cm (diámetro).
"&amp;"· Tamaño del producto mínimo 33 cm* 34cm * 50 cm.
. Incluye funda protectora impermeable para su almacenamiento.
· Con sistema de parada automática de seguridad en caso de apertura o acceso al dispositivo.")</f>
        <v>Tiene 4 tambores ajustables.
· Son desarmables.
. Sistema continuo.
· Capacidad: Min 1 Kg.
· Voltaje 220V, 60 Hz.
· Conducir caballos de fuerza 1 / 8HP motor de engranajes.
· Peso mecánico aproximado 24 kg.
· Tamaño aplicable mínimo 1 ~ 11 cm (diámetro).
· Tamaño del producto mínimo 33 cm* 34cm * 50 cm.
. Incluye funda protectora impermeable para su almacenamiento.
· Con sistema de parada automática de seguridad en caso de apertura o acceso al dispositivo.</v>
      </c>
      <c r="J256" s="213">
        <f>IFERROR(__xludf.DUMMYFUNCTION("""COMPUTED_VALUE"""),3.0)</f>
        <v>3</v>
      </c>
      <c r="K256" s="213" t="str">
        <f>IFERROR(__xludf.DUMMYFUNCTION("""COMPUTED_VALUE"""),"90 DÍAS CALENDARIO")</f>
        <v>90 DÍAS CALENDARIO</v>
      </c>
      <c r="L256" s="213" t="str">
        <f>IFERROR(__xludf.DUMMYFUNCTION("""COMPUTED_VALUE"""),"")</f>
        <v/>
      </c>
      <c r="M256" s="213">
        <f>IFERROR(__xludf.DUMMYFUNCTION("""COMPUTED_VALUE"""),1.0)</f>
        <v>1</v>
      </c>
      <c r="N256" s="213">
        <f>IFERROR(__xludf.DUMMYFUNCTION("""COMPUTED_VALUE"""),1.0)</f>
        <v>1</v>
      </c>
      <c r="O256" s="213">
        <f>IFERROR(__xludf.DUMMYFUNCTION("""COMPUTED_VALUE"""),1.0)</f>
        <v>1</v>
      </c>
      <c r="P256" s="213"/>
      <c r="Q256" s="213"/>
      <c r="R256" s="213" t="str">
        <f>IFERROR(__xludf.DUMMYFUNCTION("""COMPUTED_VALUE"""),"SI")</f>
        <v>SI</v>
      </c>
      <c r="S256" s="213"/>
      <c r="T256" s="213" t="str">
        <f>IFERROR(__xludf.DUMMYFUNCTION("""COMPUTED_VALUE"""),"SI")</f>
        <v>SI</v>
      </c>
      <c r="U256" s="213" t="str">
        <f>IFERROR(__xludf.DUMMYFUNCTION("""COMPUTED_VALUE"""),"SI")</f>
        <v>SI</v>
      </c>
      <c r="V256" s="213" t="str">
        <f>IFERROR(__xludf.DUMMYFUNCTION("""COMPUTED_VALUE"""),"-")</f>
        <v>-</v>
      </c>
      <c r="W256" s="213" t="str">
        <f>IFERROR(__xludf.DUMMYFUNCTION("""COMPUTED_VALUE"""),"-")</f>
        <v>-</v>
      </c>
      <c r="X256" s="213" t="str">
        <f>IFERROR(__xludf.DUMMYFUNCTION("""COMPUTED_VALUE"""),"DASIN")</f>
        <v>DASIN</v>
      </c>
      <c r="Y256" s="213" t="str">
        <f>IFERROR(__xludf.DUMMYFUNCTION("""COMPUTED_VALUE"""),"JH100")</f>
        <v>JH100</v>
      </c>
      <c r="Z256" s="215" t="str">
        <f>IFERROR(__xludf.DUMMYFUNCTION("""COMPUTED_VALUE"""),"https://www.dasin-tw.com/es/product/commercial-citrus-juicer-with-PP-roller-for-lemon-and-kumquat_JH100.html")</f>
        <v>https://www.dasin-tw.com/es/product/commercial-citrus-juicer-with-PP-roller-for-lemon-and-kumquat_JH100.html</v>
      </c>
      <c r="AA256" s="213" t="str">
        <f>IFERROR(__xludf.DUMMYFUNCTION("""COMPUTED_VALUE"""),"COM-167 EXPRIMIDOR DE CITRICOS DE 4 TAMBORES - CET")</f>
        <v>COM-167 EXPRIMIDOR DE CITRICOS DE 4 TAMBORES - CET</v>
      </c>
      <c r="AB256" s="213"/>
      <c r="AC256" s="215" t="str">
        <f>IFERROR(__xludf.DUMMYFUNCTION("""COMPUTED_VALUE"""),"https://drive.google.com/file/d/1q3UCD9nw1-mJ9aqynuTqhdurV9nlkRCe/view?usp=drive_link")</f>
        <v>https://drive.google.com/file/d/1q3UCD9nw1-mJ9aqynuTqhdurV9nlkRCe/view?usp=drive_link</v>
      </c>
      <c r="AD256" s="213" t="str">
        <f>IFERROR(__xludf.DUMMYFUNCTION("""COMPUTED_VALUE"""),"JJC PAQ 5-COCINA")</f>
        <v>JJC PAQ 5-COCINA</v>
      </c>
      <c r="AE256" s="213" t="str">
        <f>IFERROR(__xludf.DUMMYFUNCTION("""COMPUTED_VALUE"""),"EXPR-03")</f>
        <v>EXPR-03</v>
      </c>
      <c r="AF256" s="219" t="str">
        <f>IFERROR(__xludf.DUMMYFUNCTION("""COMPUTED_VALUE"""),"EXPRIMIDOR DE CITRICOS JH100")</f>
        <v>EXPRIMIDOR DE CITRICOS JH100</v>
      </c>
      <c r="AG256" s="213"/>
      <c r="AH256" s="213" t="str">
        <f>IFERROR(__xludf.DUMMYFUNCTION("""COMPUTED_VALUE"""),"IMPORTADO")</f>
        <v>IMPORTADO</v>
      </c>
      <c r="AI256" s="213"/>
      <c r="AJ256" s="213"/>
      <c r="AK256" s="213"/>
      <c r="AL256" s="213"/>
      <c r="AM256" s="213"/>
      <c r="AN256" s="213"/>
      <c r="AO256" s="213"/>
      <c r="AP256" s="213" t="str">
        <f>IFERROR(__xludf.DUMMYFUNCTION("""COMPUTED_VALUE"""),"LUIS")</f>
        <v>LUIS</v>
      </c>
      <c r="AQ256" s="213"/>
      <c r="AR256" s="213"/>
      <c r="AS256" s="213" t="str">
        <f>IFERROR(__xludf.DUMMYFUNCTION("""COMPUTED_VALUE"""),"No se menciona en la FT que tenga parada automática de emergencia, pero hay un correo en que el fabricante dice que cuenta con ello.")</f>
        <v>No se menciona en la FT que tenga parada automática de emergencia, pero hay un correo en que el fabricante dice que cuenta con ello.</v>
      </c>
      <c r="AT256" s="213"/>
      <c r="AU256" s="213"/>
      <c r="AV256" s="213"/>
      <c r="AW256" s="213"/>
      <c r="AX256" s="213"/>
      <c r="AY256" s="213"/>
      <c r="AZ256" s="213"/>
      <c r="BA256" s="213"/>
      <c r="BB256" s="213"/>
      <c r="BC256" s="213"/>
      <c r="BD256" s="213"/>
    </row>
    <row r="257">
      <c r="A257" s="213">
        <f>IFERROR(__xludf.DUMMYFUNCTION("""COMPUTED_VALUE"""),2022.0)</f>
        <v>2022</v>
      </c>
      <c r="B257" s="213" t="str">
        <f>IFERROR(__xludf.DUMMYFUNCTION("""COMPUTED_VALUE"""),"JOSE GRANDA")</f>
        <v>JOSE GRANDA</v>
      </c>
      <c r="C257" s="213" t="str">
        <f>IFERROR(__xludf.DUMMYFUNCTION("""COMPUTED_VALUE"""),"TALLER SFT DE INDUSTRIA ALIMENTARIA")</f>
        <v>TALLER SFT DE INDUSTRIA ALIMENTARIA</v>
      </c>
      <c r="D257" s="213" t="str">
        <f>IFERROR(__xludf.DUMMYFUNCTION("""COMPUTED_VALUE"""),"EQUIPOS")</f>
        <v>EQUIPOS</v>
      </c>
      <c r="E257" s="213" t="str">
        <f>IFERROR(__xludf.DUMMYFUNCTION("""COMPUTED_VALUE"""),"COM-167")</f>
        <v>COM-167</v>
      </c>
      <c r="F257" s="213" t="str">
        <f>IFERROR(__xludf.DUMMYFUNCTION("""COMPUTED_VALUE"""),"COM-167")</f>
        <v>COM-167</v>
      </c>
      <c r="G257" s="213"/>
      <c r="H257" s="213" t="str">
        <f>IFERROR(__xludf.DUMMYFUNCTION("""COMPUTED_VALUE"""),"EXPRIMIDOR DE CITRICOS DE 4 TAMBORES")</f>
        <v>EXPRIMIDOR DE CITRICOS DE 4 TAMBORES</v>
      </c>
      <c r="I257" s="213" t="str">
        <f>IFERROR(__xludf.DUMMYFUNCTION("""COMPUTED_VALUE"""),"Tiene 4 tambores ajustables.
· Son desarmables.
. Sistema continuo.
· Capacidad: Min 1 Kg.
· Voltaje 220V, 60 Hz.
· Conducir caballos de fuerza 1 / 8HP motor de engranajes.
· Peso mecánico aproximado 24 kg.
· Tamaño aplicable mínimo 1 ~ 11 cm (diámetro).
"&amp;"· Tamaño del producto mínimo 33 cm* 34cm * 50 cm.
. Incluye funda protectora impermeable para su almacenamiento.
· Con sistema de parada automática de seguridad en caso de apertura o acceso al dispositivo.")</f>
        <v>Tiene 4 tambores ajustables.
· Son desarmables.
. Sistema continuo.
· Capacidad: Min 1 Kg.
· Voltaje 220V, 60 Hz.
· Conducir caballos de fuerza 1 / 8HP motor de engranajes.
· Peso mecánico aproximado 24 kg.
· Tamaño aplicable mínimo 1 ~ 11 cm (diámetro).
· Tamaño del producto mínimo 33 cm* 34cm * 50 cm.
. Incluye funda protectora impermeable para su almacenamiento.
· Con sistema de parada automática de seguridad en caso de apertura o acceso al dispositivo.</v>
      </c>
      <c r="J257" s="213">
        <f>IFERROR(__xludf.DUMMYFUNCTION("""COMPUTED_VALUE"""),3.0)</f>
        <v>3</v>
      </c>
      <c r="K257" s="213" t="str">
        <f>IFERROR(__xludf.DUMMYFUNCTION("""COMPUTED_VALUE"""),"90 DÍAS CALENDARIO")</f>
        <v>90 DÍAS CALENDARIO</v>
      </c>
      <c r="L257" s="213" t="str">
        <f>IFERROR(__xludf.DUMMYFUNCTION("""COMPUTED_VALUE"""),"")</f>
        <v/>
      </c>
      <c r="M257" s="213">
        <f>IFERROR(__xludf.DUMMYFUNCTION("""COMPUTED_VALUE"""),1.0)</f>
        <v>1</v>
      </c>
      <c r="N257" s="213">
        <f>IFERROR(__xludf.DUMMYFUNCTION("""COMPUTED_VALUE"""),1.0)</f>
        <v>1</v>
      </c>
      <c r="O257" s="213">
        <f>IFERROR(__xludf.DUMMYFUNCTION("""COMPUTED_VALUE"""),1.0)</f>
        <v>1</v>
      </c>
      <c r="P257" s="213"/>
      <c r="Q257" s="213"/>
      <c r="R257" s="213" t="str">
        <f>IFERROR(__xludf.DUMMYFUNCTION("""COMPUTED_VALUE"""),"SI")</f>
        <v>SI</v>
      </c>
      <c r="S257" s="213"/>
      <c r="T257" s="213" t="str">
        <f>IFERROR(__xludf.DUMMYFUNCTION("""COMPUTED_VALUE"""),"SI")</f>
        <v>SI</v>
      </c>
      <c r="U257" s="213" t="str">
        <f>IFERROR(__xludf.DUMMYFUNCTION("""COMPUTED_VALUE"""),"SI")</f>
        <v>SI</v>
      </c>
      <c r="V257" s="213" t="str">
        <f>IFERROR(__xludf.DUMMYFUNCTION("""COMPUTED_VALUE"""),"-")</f>
        <v>-</v>
      </c>
      <c r="W257" s="213" t="str">
        <f>IFERROR(__xludf.DUMMYFUNCTION("""COMPUTED_VALUE"""),"-")</f>
        <v>-</v>
      </c>
      <c r="X257" s="213" t="str">
        <f>IFERROR(__xludf.DUMMYFUNCTION("""COMPUTED_VALUE"""),"DASIN")</f>
        <v>DASIN</v>
      </c>
      <c r="Y257" s="213" t="str">
        <f>IFERROR(__xludf.DUMMYFUNCTION("""COMPUTED_VALUE"""),"JH100")</f>
        <v>JH100</v>
      </c>
      <c r="Z257" s="215" t="str">
        <f>IFERROR(__xludf.DUMMYFUNCTION("""COMPUTED_VALUE"""),"https://www.dasin-tw.com/es/product/commercial-citrus-juicer-with-PP-roller-for-lemon-and-kumquat_JH100.html")</f>
        <v>https://www.dasin-tw.com/es/product/commercial-citrus-juicer-with-PP-roller-for-lemon-and-kumquat_JH100.html</v>
      </c>
      <c r="AA257" s="213" t="str">
        <f>IFERROR(__xludf.DUMMYFUNCTION("""COMPUTED_VALUE"""),"COM-167 EXPRIMIDOR DE CITRICOS DE 4 TAMBORES - CET")</f>
        <v>COM-167 EXPRIMIDOR DE CITRICOS DE 4 TAMBORES - CET</v>
      </c>
      <c r="AB257" s="213"/>
      <c r="AC257" s="215" t="str">
        <f>IFERROR(__xludf.DUMMYFUNCTION("""COMPUTED_VALUE"""),"https://drive.google.com/file/d/1q3UCD9nw1-mJ9aqynuTqhdurV9nlkRCe/view?usp=drive_link")</f>
        <v>https://drive.google.com/file/d/1q3UCD9nw1-mJ9aqynuTqhdurV9nlkRCe/view?usp=drive_link</v>
      </c>
      <c r="AD257" s="213" t="str">
        <f>IFERROR(__xludf.DUMMYFUNCTION("""COMPUTED_VALUE"""),"JJC PAQ 5-COCINA")</f>
        <v>JJC PAQ 5-COCINA</v>
      </c>
      <c r="AE257" s="213" t="str">
        <f>IFERROR(__xludf.DUMMYFUNCTION("""COMPUTED_VALUE"""),"EXPR-03")</f>
        <v>EXPR-03</v>
      </c>
      <c r="AF257" s="219" t="str">
        <f>IFERROR(__xludf.DUMMYFUNCTION("""COMPUTED_VALUE"""),"EXPRIMIDOR DE CITRICOS JH100")</f>
        <v>EXPRIMIDOR DE CITRICOS JH100</v>
      </c>
      <c r="AG257" s="213"/>
      <c r="AH257" s="213" t="str">
        <f>IFERROR(__xludf.DUMMYFUNCTION("""COMPUTED_VALUE"""),"IMPORTADO")</f>
        <v>IMPORTADO</v>
      </c>
      <c r="AI257" s="213"/>
      <c r="AJ257" s="213"/>
      <c r="AK257" s="213"/>
      <c r="AL257" s="213"/>
      <c r="AM257" s="213"/>
      <c r="AN257" s="213"/>
      <c r="AO257" s="213"/>
      <c r="AP257" s="213" t="str">
        <f>IFERROR(__xludf.DUMMYFUNCTION("""COMPUTED_VALUE"""),"LUIS")</f>
        <v>LUIS</v>
      </c>
      <c r="AQ257" s="213"/>
      <c r="AR257" s="213"/>
      <c r="AS257" s="213" t="str">
        <f>IFERROR(__xludf.DUMMYFUNCTION("""COMPUTED_VALUE"""),"No se menciona en la FT que tenga parada automática de emergencia, pero hay un correo en que el fabricante dice que cuenta con ello.")</f>
        <v>No se menciona en la FT que tenga parada automática de emergencia, pero hay un correo en que el fabricante dice que cuenta con ello.</v>
      </c>
      <c r="AT257" s="213"/>
      <c r="AU257" s="213"/>
      <c r="AV257" s="213"/>
      <c r="AW257" s="213"/>
      <c r="AX257" s="213"/>
      <c r="AY257" s="213"/>
      <c r="AZ257" s="213"/>
      <c r="BA257" s="213"/>
      <c r="BB257" s="213"/>
      <c r="BC257" s="213"/>
      <c r="BD257" s="213"/>
    </row>
    <row r="258">
      <c r="A258" s="213">
        <f>IFERROR(__xludf.DUMMYFUNCTION("""COMPUTED_VALUE"""),22.0)</f>
        <v>22</v>
      </c>
      <c r="B258" s="213" t="str">
        <f>IFERROR(__xludf.DUMMYFUNCTION("""COMPUTED_VALUE"""),"16449 ELOY SOBERON  FLORES")</f>
        <v>16449 ELOY SOBERON  FLORES</v>
      </c>
      <c r="C258" s="213" t="str">
        <f>IFERROR(__xludf.DUMMYFUNCTION("""COMPUTED_VALUE"""),"TALLER SFT DE COCINA Y REPOSTERÍA")</f>
        <v>TALLER SFT DE COCINA Y REPOSTERÍA</v>
      </c>
      <c r="D258" s="213" t="str">
        <f>IFERROR(__xludf.DUMMYFUNCTION("""COMPUTED_VALUE"""),"EQUIPOS")</f>
        <v>EQUIPOS</v>
      </c>
      <c r="E258" s="213" t="str">
        <f>IFERROR(__xludf.DUMMYFUNCTION("""COMPUTED_VALUE"""),"COM-168")</f>
        <v>COM-168</v>
      </c>
      <c r="F258" s="213" t="str">
        <f>IFERROR(__xludf.DUMMYFUNCTION("""COMPUTED_VALUE"""),"COM-168")</f>
        <v>COM-168</v>
      </c>
      <c r="G258" s="213"/>
      <c r="H258" s="213" t="str">
        <f>IFERROR(__xludf.DUMMYFUNCTION("""COMPUTED_VALUE"""),"EXPRIMIDOR DE LIMÓN")</f>
        <v>EXPRIMIDOR DE LIMÓN</v>
      </c>
      <c r="I258" s="213" t="str">
        <f>IFERROR(__xludf.DUMMYFUNCTION("""COMPUTED_VALUE"""),".  Capacidad mínima: 0.5 litros
.  Potencia mínima: 160 vatios
· Voltaje 220v/60 HZ, aismaliento mínimo clase II o estar preparado para aterrarse a través del encufe.
.  Material: De plástico, Acero inoxidable
.  Apagado automático: No
.  Boquilla de segu"&amp;"ridad, que manteniéndola cerrada evita que el zumo se pierda.
.  Cuenta con un brazo de palanca de aluminio fundido.
* Debe incluir una funda protectora impermeable para su almacenamiento.")</f>
        <v>.  Capacidad mínima: 0.5 litros
.  Potencia mínima: 160 vatios
· Voltaje 220v/60 HZ, aismaliento mínimo clase II o estar preparado para aterrarse a través del encufe.
.  Material: De plástico, Acero inoxidable
.  Apagado automático: No
.  Boquilla de seguridad, que manteniéndola cerrada evita que el zumo se pierda.
.  Cuenta con un brazo de palanca de aluminio fundido.
* Debe incluir una funda protectora impermeable para su almacenamiento.</v>
      </c>
      <c r="J258" s="213">
        <f>IFERROR(__xludf.DUMMYFUNCTION("""COMPUTED_VALUE"""),3.0)</f>
        <v>3</v>
      </c>
      <c r="K258" s="213" t="str">
        <f>IFERROR(__xludf.DUMMYFUNCTION("""COMPUTED_VALUE"""),"90 DÍAS CALENDARIO")</f>
        <v>90 DÍAS CALENDARIO</v>
      </c>
      <c r="L258" s="213" t="str">
        <f>IFERROR(__xludf.DUMMYFUNCTION("""COMPUTED_VALUE"""),"")</f>
        <v/>
      </c>
      <c r="M258" s="213">
        <f>IFERROR(__xludf.DUMMYFUNCTION("""COMPUTED_VALUE"""),1.0)</f>
        <v>1</v>
      </c>
      <c r="N258" s="213">
        <f>IFERROR(__xludf.DUMMYFUNCTION("""COMPUTED_VALUE"""),1.0)</f>
        <v>1</v>
      </c>
      <c r="O258" s="213">
        <f>IFERROR(__xludf.DUMMYFUNCTION("""COMPUTED_VALUE"""),1.0)</f>
        <v>1</v>
      </c>
      <c r="P258" s="213"/>
      <c r="Q258" s="213"/>
      <c r="R258" s="213" t="str">
        <f>IFERROR(__xludf.DUMMYFUNCTION("""COMPUTED_VALUE"""),"SI")</f>
        <v>SI</v>
      </c>
      <c r="S258" s="213"/>
      <c r="T258" s="213" t="str">
        <f>IFERROR(__xludf.DUMMYFUNCTION("""COMPUTED_VALUE"""),"CONSULTA FINAL")</f>
        <v>CONSULTA FINAL</v>
      </c>
      <c r="U258" s="213" t="str">
        <f>IFERROR(__xludf.DUMMYFUNCTION("""COMPUTED_VALUE"""),"SI")</f>
        <v>SI</v>
      </c>
      <c r="V258" s="213" t="str">
        <f>IFERROR(__xludf.DUMMYFUNCTION("""COMPUTED_VALUE"""),"-")</f>
        <v>-</v>
      </c>
      <c r="W258" s="213" t="str">
        <f>IFERROR(__xludf.DUMMYFUNCTION("""COMPUTED_VALUE"""),"-")</f>
        <v>-</v>
      </c>
      <c r="X258" s="213" t="str">
        <f>IFERROR(__xludf.DUMMYFUNCTION("""COMPUTED_VALUE"""),"DSP Professional")</f>
        <v>DSP Professional</v>
      </c>
      <c r="Y258" s="213">
        <f>IFERROR(__xludf.DUMMYFUNCTION("""COMPUTED_VALUE"""),1.00132466E9)</f>
        <v>1001324660</v>
      </c>
      <c r="Z258" s="215" t="str">
        <f>IFERROR(__xludf.DUMMYFUNCTION("""COMPUTED_VALUE"""),"https://www.oechsle.pe/exprimidor-de-citricos-electrico-dsp-kj1051-1001188967/p?srsltid=AfmBOorAWeNq_9iGqVBBUQm54TBAZwlM4b1d0YH8_S2T5_77Cx_amEYc#detalles")</f>
        <v>https://www.oechsle.pe/exprimidor-de-citricos-electrico-dsp-kj1051-1001188967/p?srsltid=AfmBOorAWeNq_9iGqVBBUQm54TBAZwlM4b1d0YH8_S2T5_77Cx_amEYc#detalles</v>
      </c>
      <c r="AA258" s="213" t="str">
        <f>IFERROR(__xludf.DUMMYFUNCTION("""COMPUTED_VALUE"""),"COM-168 EXPRIMIDOR DE LIMÓN - CET")</f>
        <v>COM-168 EXPRIMIDOR DE LIMÓN - CET</v>
      </c>
      <c r="AB258" s="213"/>
      <c r="AC258" s="215" t="str">
        <f>IFERROR(__xludf.DUMMYFUNCTION("""COMPUTED_VALUE"""),"https://drive.google.com/file/d/1lokuK7hLvnpdnXNgTBbDMTia3WO5WYn4/view?usp=drive_link")</f>
        <v>https://drive.google.com/file/d/1lokuK7hLvnpdnXNgTBbDMTia3WO5WYn4/view?usp=drive_link</v>
      </c>
      <c r="AD258" s="213"/>
      <c r="AE258" s="213"/>
      <c r="AF258" s="213"/>
      <c r="AG258" s="213"/>
      <c r="AH258" s="213"/>
      <c r="AI258" s="213"/>
      <c r="AJ258" s="213"/>
      <c r="AK258" s="213"/>
      <c r="AL258" s="213"/>
      <c r="AM258" s="213"/>
      <c r="AN258" s="213"/>
      <c r="AO258" s="213"/>
      <c r="AP258" s="213" t="str">
        <f>IFERROR(__xludf.DUMMYFUNCTION("""COMPUTED_VALUE"""),"SEBASTIAN")</f>
        <v>SEBASTIAN</v>
      </c>
      <c r="AQ258" s="213"/>
      <c r="AR258" s="213"/>
      <c r="AS258" s="213"/>
      <c r="AT258" s="213"/>
      <c r="AU258" s="213"/>
      <c r="AV258" s="213"/>
      <c r="AW258" s="213"/>
      <c r="AX258" s="213"/>
      <c r="AY258" s="213"/>
      <c r="AZ258" s="213"/>
      <c r="BA258" s="213"/>
      <c r="BB258" s="213"/>
      <c r="BC258" s="213"/>
      <c r="BD258" s="213"/>
    </row>
    <row r="259">
      <c r="A259" s="213">
        <f>IFERROR(__xludf.DUMMYFUNCTION("""COMPUTED_VALUE"""),493.0)</f>
        <v>493</v>
      </c>
      <c r="B259" s="213" t="str">
        <f>IFERROR(__xludf.DUMMYFUNCTION("""COMPUTED_VALUE"""),"2026 SIMON BOLIVAR")</f>
        <v>2026 SIMON BOLIVAR</v>
      </c>
      <c r="C259" s="213" t="str">
        <f>IFERROR(__xludf.DUMMYFUNCTION("""COMPUTED_VALUE"""),"TALLER SFT DE INDUSTRIA ALIMENTARIA")</f>
        <v>TALLER SFT DE INDUSTRIA ALIMENTARIA</v>
      </c>
      <c r="D259" s="213" t="str">
        <f>IFERROR(__xludf.DUMMYFUNCTION("""COMPUTED_VALUE"""),"EQUIPOS")</f>
        <v>EQUIPOS</v>
      </c>
      <c r="E259" s="213" t="str">
        <f>IFERROR(__xludf.DUMMYFUNCTION("""COMPUTED_VALUE"""),"COM-169")</f>
        <v>COM-169</v>
      </c>
      <c r="F259" s="213" t="str">
        <f>IFERROR(__xludf.DUMMYFUNCTION("""COMPUTED_VALUE"""),"COM-169")</f>
        <v>COM-169</v>
      </c>
      <c r="G259" s="213"/>
      <c r="H259" s="213" t="str">
        <f>IFERROR(__xludf.DUMMYFUNCTION("""COMPUTED_VALUE"""),"EXPRIMIDOR MANUAL DE JUGOS MELAZA")</f>
        <v>EXPRIMIDOR MANUAL DE JUGOS MELAZA</v>
      </c>
      <c r="I259" s="213" t="str">
        <f>IFERROR(__xludf.DUMMYFUNCTION("""COMPUTED_VALUE"""),"Peso: 32 kg
· Dimensión mínimas: L: 500mm, W: 380mm, H: 400 mm.
· Capacidad mínima de: 50 kg/h
· Función: exprimido de jugos de frutas y verduras (caña de azúcar y jengibre).
· Material: Acero inoxidable 304")</f>
        <v>Peso: 32 kg
· Dimensión mínimas: L: 500mm, W: 380mm, H: 400 mm.
· Capacidad mínima de: 50 kg/h
· Función: exprimido de jugos de frutas y verduras (caña de azúcar y jengibre).
· Material: Acero inoxidable 304</v>
      </c>
      <c r="J259" s="213">
        <f>IFERROR(__xludf.DUMMYFUNCTION("""COMPUTED_VALUE"""),3.0)</f>
        <v>3</v>
      </c>
      <c r="K259" s="213" t="str">
        <f>IFERROR(__xludf.DUMMYFUNCTION("""COMPUTED_VALUE"""),"90 DÍAS CALENDARIO")</f>
        <v>90 DÍAS CALENDARIO</v>
      </c>
      <c r="L259" s="213" t="str">
        <f>IFERROR(__xludf.DUMMYFUNCTION("""COMPUTED_VALUE"""),"")</f>
        <v/>
      </c>
      <c r="M259" s="213">
        <f>IFERROR(__xludf.DUMMYFUNCTION("""COMPUTED_VALUE"""),1.0)</f>
        <v>1</v>
      </c>
      <c r="N259" s="213">
        <f>IFERROR(__xludf.DUMMYFUNCTION("""COMPUTED_VALUE"""),1.0)</f>
        <v>1</v>
      </c>
      <c r="O259" s="213">
        <f>IFERROR(__xludf.DUMMYFUNCTION("""COMPUTED_VALUE"""),1.0)</f>
        <v>1</v>
      </c>
      <c r="P259" s="213"/>
      <c r="Q259" s="213"/>
      <c r="R259" s="213" t="str">
        <f>IFERROR(__xludf.DUMMYFUNCTION("""COMPUTED_VALUE"""),"SI")</f>
        <v>SI</v>
      </c>
      <c r="S259" s="213"/>
      <c r="T259" s="213" t="str">
        <f>IFERROR(__xludf.DUMMYFUNCTION("""COMPUTED_VALUE"""),"SI")</f>
        <v>SI</v>
      </c>
      <c r="U259" s="213" t="str">
        <f>IFERROR(__xludf.DUMMYFUNCTION("""COMPUTED_VALUE"""),"SI")</f>
        <v>SI</v>
      </c>
      <c r="V259" s="213" t="str">
        <f>IFERROR(__xludf.DUMMYFUNCTION("""COMPUTED_VALUE"""),"-")</f>
        <v>-</v>
      </c>
      <c r="W259" s="213" t="str">
        <f>IFERROR(__xludf.DUMMYFUNCTION("""COMPUTED_VALUE"""),"-")</f>
        <v>-</v>
      </c>
      <c r="X259" s="213" t="str">
        <f>IFERROR(__xludf.DUMMYFUNCTION("""COMPUTED_VALUE"""),"DAKOTA")</f>
        <v>DAKOTA</v>
      </c>
      <c r="Y259" s="213" t="str">
        <f>IFERROR(__xludf.DUMMYFUNCTION("""COMPUTED_VALUE"""),"GR-EXCÑM")</f>
        <v>GR-EXCÑM</v>
      </c>
      <c r="Z259" s="215" t="str">
        <f>IFERROR(__xludf.DUMMYFUNCTION("""COMPUTED_VALUE"""),"https://grondoy.com/productos/Dispensadores/exprimidor-de-cana-de-azucar-manual?srsltid=AfmBOopMm1WxNbhYLzCfpEDBSG0DVxW2Vrr61u5HDpWd5wD9dY_TQTfR#")</f>
        <v>https://grondoy.com/productos/Dispensadores/exprimidor-de-cana-de-azucar-manual?srsltid=AfmBOopMm1WxNbhYLzCfpEDBSG0DVxW2Vrr61u5HDpWd5wD9dY_TQTfR#</v>
      </c>
      <c r="AA259" s="213" t="str">
        <f>IFERROR(__xludf.DUMMYFUNCTION("""COMPUTED_VALUE"""),"COM-169 EXPRIMIDOR MANUAL DE JUGOS MELAZA - CET")</f>
        <v>COM-169 EXPRIMIDOR MANUAL DE JUGOS MELAZA - CET</v>
      </c>
      <c r="AB259" s="213"/>
      <c r="AC259" s="215" t="str">
        <f>IFERROR(__xludf.DUMMYFUNCTION("""COMPUTED_VALUE"""),"https://drive.google.com/file/d/1M5RwlZXc666TrrdmEiYNAk1Q9W2u5L1X/view?usp=drive_link")</f>
        <v>https://drive.google.com/file/d/1M5RwlZXc666TrrdmEiYNAk1Q9W2u5L1X/view?usp=drive_link</v>
      </c>
      <c r="AD259" s="213" t="str">
        <f>IFERROR(__xludf.DUMMYFUNCTION("""COMPUTED_VALUE"""),"JJC PAQ 5-COCINA")</f>
        <v>JJC PAQ 5-COCINA</v>
      </c>
      <c r="AE259" s="213" t="str">
        <f>IFERROR(__xludf.DUMMYFUNCTION("""COMPUTED_VALUE"""),"EXPR-02")</f>
        <v>EXPR-02</v>
      </c>
      <c r="AF259" s="219" t="str">
        <f>IFERROR(__xludf.DUMMYFUNCTION("""COMPUTED_VALUE"""),"EXPRIMIDOR DE CAÑA DE
AZUCAR 50 KG/H ZX-100")</f>
        <v>EXPRIMIDOR DE CAÑA DE
AZUCAR 50 KG/H ZX-100</v>
      </c>
      <c r="AG259" s="213"/>
      <c r="AH259" s="213" t="str">
        <f>IFERROR(__xludf.DUMMYFUNCTION("""COMPUTED_VALUE"""),"IMPORTADO")</f>
        <v>IMPORTADO</v>
      </c>
      <c r="AI259" s="213"/>
      <c r="AJ259" s="213"/>
      <c r="AK259" s="213"/>
      <c r="AL259" s="213"/>
      <c r="AM259" s="213"/>
      <c r="AN259" s="213"/>
      <c r="AO259" s="213"/>
      <c r="AP259" s="213" t="str">
        <f>IFERROR(__xludf.DUMMYFUNCTION("""COMPUTED_VALUE"""),"LUIS")</f>
        <v>LUIS</v>
      </c>
      <c r="AQ259" s="213"/>
      <c r="AR259" s="213"/>
      <c r="AS259" s="213" t="str">
        <f>IFERROR(__xludf.DUMMYFUNCTION("""COMPUTED_VALUE"""),"El equipo propuesto es menor en dimensiones.")</f>
        <v>El equipo propuesto es menor en dimensiones.</v>
      </c>
      <c r="AT259" s="213"/>
      <c r="AU259" s="213"/>
      <c r="AV259" s="213"/>
      <c r="AW259" s="213"/>
      <c r="AX259" s="213"/>
      <c r="AY259" s="213"/>
      <c r="AZ259" s="213"/>
      <c r="BA259" s="213"/>
      <c r="BB259" s="213"/>
      <c r="BC259" s="213"/>
      <c r="BD259" s="213"/>
    </row>
    <row r="260">
      <c r="A260" s="213">
        <f>IFERROR(__xludf.DUMMYFUNCTION("""COMPUTED_VALUE"""),1123.0)</f>
        <v>1123</v>
      </c>
      <c r="B260" s="213" t="str">
        <f>IFERROR(__xludf.DUMMYFUNCTION("""COMPUTED_VALUE"""),"FRANCISCO IRAZOLA")</f>
        <v>FRANCISCO IRAZOLA</v>
      </c>
      <c r="C260" s="213" t="str">
        <f>IFERROR(__xludf.DUMMYFUNCTION("""COMPUTED_VALUE"""),"TALLER SFT DE INDUSTRIA ALIMENTARIA")</f>
        <v>TALLER SFT DE INDUSTRIA ALIMENTARIA</v>
      </c>
      <c r="D260" s="213" t="str">
        <f>IFERROR(__xludf.DUMMYFUNCTION("""COMPUTED_VALUE"""),"EQUIPOS")</f>
        <v>EQUIPOS</v>
      </c>
      <c r="E260" s="213" t="str">
        <f>IFERROR(__xludf.DUMMYFUNCTION("""COMPUTED_VALUE"""),"COM-169")</f>
        <v>COM-169</v>
      </c>
      <c r="F260" s="213" t="str">
        <f>IFERROR(__xludf.DUMMYFUNCTION("""COMPUTED_VALUE"""),"COM-169")</f>
        <v>COM-169</v>
      </c>
      <c r="G260" s="213"/>
      <c r="H260" s="213" t="str">
        <f>IFERROR(__xludf.DUMMYFUNCTION("""COMPUTED_VALUE"""),"EXPRIMIDOR MANUAL DE JUGOS MELAZA")</f>
        <v>EXPRIMIDOR MANUAL DE JUGOS MELAZA</v>
      </c>
      <c r="I260" s="213" t="str">
        <f>IFERROR(__xludf.DUMMYFUNCTION("""COMPUTED_VALUE"""),"Peso: 32 kg
· Dimensión mínimas: L: 500mm, W: 380mm, H: 400 mm.
· Capacidad mínima de: 50 kg/h
· Función: exprimido de jugos de frutas y verduras (caña de azúcar y jengibre).
· Material: Acero inoxidable 304")</f>
        <v>Peso: 32 kg
· Dimensión mínimas: L: 500mm, W: 380mm, H: 400 mm.
· Capacidad mínima de: 50 kg/h
· Función: exprimido de jugos de frutas y verduras (caña de azúcar y jengibre).
· Material: Acero inoxidable 304</v>
      </c>
      <c r="J260" s="213">
        <f>IFERROR(__xludf.DUMMYFUNCTION("""COMPUTED_VALUE"""),3.0)</f>
        <v>3</v>
      </c>
      <c r="K260" s="213" t="str">
        <f>IFERROR(__xludf.DUMMYFUNCTION("""COMPUTED_VALUE"""),"90 DÍAS CALENDARIO")</f>
        <v>90 DÍAS CALENDARIO</v>
      </c>
      <c r="L260" s="213" t="str">
        <f>IFERROR(__xludf.DUMMYFUNCTION("""COMPUTED_VALUE"""),"")</f>
        <v/>
      </c>
      <c r="M260" s="213">
        <f>IFERROR(__xludf.DUMMYFUNCTION("""COMPUTED_VALUE"""),1.0)</f>
        <v>1</v>
      </c>
      <c r="N260" s="213">
        <f>IFERROR(__xludf.DUMMYFUNCTION("""COMPUTED_VALUE"""),1.0)</f>
        <v>1</v>
      </c>
      <c r="O260" s="213">
        <f>IFERROR(__xludf.DUMMYFUNCTION("""COMPUTED_VALUE"""),1.0)</f>
        <v>1</v>
      </c>
      <c r="P260" s="213"/>
      <c r="Q260" s="213"/>
      <c r="R260" s="213" t="str">
        <f>IFERROR(__xludf.DUMMYFUNCTION("""COMPUTED_VALUE"""),"SI")</f>
        <v>SI</v>
      </c>
      <c r="S260" s="213"/>
      <c r="T260" s="213" t="str">
        <f>IFERROR(__xludf.DUMMYFUNCTION("""COMPUTED_VALUE"""),"SI")</f>
        <v>SI</v>
      </c>
      <c r="U260" s="213" t="str">
        <f>IFERROR(__xludf.DUMMYFUNCTION("""COMPUTED_VALUE"""),"SI")</f>
        <v>SI</v>
      </c>
      <c r="V260" s="213" t="str">
        <f>IFERROR(__xludf.DUMMYFUNCTION("""COMPUTED_VALUE"""),"-")</f>
        <v>-</v>
      </c>
      <c r="W260" s="213" t="str">
        <f>IFERROR(__xludf.DUMMYFUNCTION("""COMPUTED_VALUE"""),"-")</f>
        <v>-</v>
      </c>
      <c r="X260" s="213" t="str">
        <f>IFERROR(__xludf.DUMMYFUNCTION("""COMPUTED_VALUE"""),"DAKOTA")</f>
        <v>DAKOTA</v>
      </c>
      <c r="Y260" s="213" t="str">
        <f>IFERROR(__xludf.DUMMYFUNCTION("""COMPUTED_VALUE"""),"GR-EXCÑM")</f>
        <v>GR-EXCÑM</v>
      </c>
      <c r="Z260" s="215" t="str">
        <f>IFERROR(__xludf.DUMMYFUNCTION("""COMPUTED_VALUE"""),"https://grondoy.com/productos/Dispensadores/exprimidor-de-cana-de-azucar-manual?srsltid=AfmBOopMm1WxNbhYLzCfpEDBSG0DVxW2Vrr61u5HDpWd5wD9dY_TQTfR#")</f>
        <v>https://grondoy.com/productos/Dispensadores/exprimidor-de-cana-de-azucar-manual?srsltid=AfmBOopMm1WxNbhYLzCfpEDBSG0DVxW2Vrr61u5HDpWd5wD9dY_TQTfR#</v>
      </c>
      <c r="AA260" s="213" t="str">
        <f>IFERROR(__xludf.DUMMYFUNCTION("""COMPUTED_VALUE"""),"COM-169 EXPRIMIDOR MANUAL DE JUGOS MELAZA - CET")</f>
        <v>COM-169 EXPRIMIDOR MANUAL DE JUGOS MELAZA - CET</v>
      </c>
      <c r="AB260" s="213"/>
      <c r="AC260" s="215" t="str">
        <f>IFERROR(__xludf.DUMMYFUNCTION("""COMPUTED_VALUE"""),"https://drive.google.com/file/d/1M5RwlZXc666TrrdmEiYNAk1Q9W2u5L1X/view?usp=drive_link")</f>
        <v>https://drive.google.com/file/d/1M5RwlZXc666TrrdmEiYNAk1Q9W2u5L1X/view?usp=drive_link</v>
      </c>
      <c r="AD260" s="213" t="str">
        <f>IFERROR(__xludf.DUMMYFUNCTION("""COMPUTED_VALUE"""),"JJC PAQ 5-COCINA")</f>
        <v>JJC PAQ 5-COCINA</v>
      </c>
      <c r="AE260" s="213" t="str">
        <f>IFERROR(__xludf.DUMMYFUNCTION("""COMPUTED_VALUE"""),"EXPR-02")</f>
        <v>EXPR-02</v>
      </c>
      <c r="AF260" s="219" t="str">
        <f>IFERROR(__xludf.DUMMYFUNCTION("""COMPUTED_VALUE"""),"EXPRIMIDOR DE CAÑA DE
AZUCAR 50 KG/H ZX-100")</f>
        <v>EXPRIMIDOR DE CAÑA DE
AZUCAR 50 KG/H ZX-100</v>
      </c>
      <c r="AG260" s="213"/>
      <c r="AH260" s="213" t="str">
        <f>IFERROR(__xludf.DUMMYFUNCTION("""COMPUTED_VALUE"""),"IMPORTADO")</f>
        <v>IMPORTADO</v>
      </c>
      <c r="AI260" s="213"/>
      <c r="AJ260" s="213"/>
      <c r="AK260" s="213"/>
      <c r="AL260" s="213"/>
      <c r="AM260" s="213"/>
      <c r="AN260" s="213"/>
      <c r="AO260" s="213"/>
      <c r="AP260" s="213" t="str">
        <f>IFERROR(__xludf.DUMMYFUNCTION("""COMPUTED_VALUE"""),"LUIS")</f>
        <v>LUIS</v>
      </c>
      <c r="AQ260" s="213"/>
      <c r="AR260" s="213"/>
      <c r="AS260" s="213" t="str">
        <f>IFERROR(__xludf.DUMMYFUNCTION("""COMPUTED_VALUE"""),"El equipo propuesto es menor en dimensiones.")</f>
        <v>El equipo propuesto es menor en dimensiones.</v>
      </c>
      <c r="AT260" s="213"/>
      <c r="AU260" s="213"/>
      <c r="AV260" s="213"/>
      <c r="AW260" s="213"/>
      <c r="AX260" s="213"/>
      <c r="AY260" s="213"/>
      <c r="AZ260" s="213"/>
      <c r="BA260" s="213"/>
      <c r="BB260" s="213"/>
      <c r="BC260" s="213"/>
      <c r="BD260" s="213"/>
    </row>
    <row r="261">
      <c r="A261" s="213">
        <f>IFERROR(__xludf.DUMMYFUNCTION("""COMPUTED_VALUE"""),1395.0)</f>
        <v>1395</v>
      </c>
      <c r="B261" s="213" t="str">
        <f>IFERROR(__xludf.DUMMYFUNCTION("""COMPUTED_VALUE"""),"GUILLERMO E. BILLINGHURST ")</f>
        <v>GUILLERMO E. BILLINGHURST </v>
      </c>
      <c r="C261" s="213" t="str">
        <f>IFERROR(__xludf.DUMMYFUNCTION("""COMPUTED_VALUE"""),"TALLER SFT DE INDUSTRIA ALIMENTARIA")</f>
        <v>TALLER SFT DE INDUSTRIA ALIMENTARIA</v>
      </c>
      <c r="D261" s="213" t="str">
        <f>IFERROR(__xludf.DUMMYFUNCTION("""COMPUTED_VALUE"""),"EQUIPOS")</f>
        <v>EQUIPOS</v>
      </c>
      <c r="E261" s="213" t="str">
        <f>IFERROR(__xludf.DUMMYFUNCTION("""COMPUTED_VALUE"""),"COM-169")</f>
        <v>COM-169</v>
      </c>
      <c r="F261" s="213" t="str">
        <f>IFERROR(__xludf.DUMMYFUNCTION("""COMPUTED_VALUE"""),"COM-169")</f>
        <v>COM-169</v>
      </c>
      <c r="G261" s="213"/>
      <c r="H261" s="213" t="str">
        <f>IFERROR(__xludf.DUMMYFUNCTION("""COMPUTED_VALUE"""),"EXPRIMIDOR MANUAL DE JUGOS MELAZA")</f>
        <v>EXPRIMIDOR MANUAL DE JUGOS MELAZA</v>
      </c>
      <c r="I261" s="213" t="str">
        <f>IFERROR(__xludf.DUMMYFUNCTION("""COMPUTED_VALUE"""),"Peso: 32 kg
· Dimensión mínimas: L: 500mm, W: 380mm, H: 400 mm.
· Capacidad mínima de: 50 kg/h
· Función: exprimido de jugos de frutas y verduras (caña de azúcar y jengibre).
· Material: Acero inoxidable 304")</f>
        <v>Peso: 32 kg
· Dimensión mínimas: L: 500mm, W: 380mm, H: 400 mm.
· Capacidad mínima de: 50 kg/h
· Función: exprimido de jugos de frutas y verduras (caña de azúcar y jengibre).
· Material: Acero inoxidable 304</v>
      </c>
      <c r="J261" s="213">
        <f>IFERROR(__xludf.DUMMYFUNCTION("""COMPUTED_VALUE"""),3.0)</f>
        <v>3</v>
      </c>
      <c r="K261" s="213" t="str">
        <f>IFERROR(__xludf.DUMMYFUNCTION("""COMPUTED_VALUE"""),"90 DÍAS CALENDARIO")</f>
        <v>90 DÍAS CALENDARIO</v>
      </c>
      <c r="L261" s="213" t="str">
        <f>IFERROR(__xludf.DUMMYFUNCTION("""COMPUTED_VALUE"""),"")</f>
        <v/>
      </c>
      <c r="M261" s="213">
        <f>IFERROR(__xludf.DUMMYFUNCTION("""COMPUTED_VALUE"""),1.0)</f>
        <v>1</v>
      </c>
      <c r="N261" s="213">
        <f>IFERROR(__xludf.DUMMYFUNCTION("""COMPUTED_VALUE"""),1.0)</f>
        <v>1</v>
      </c>
      <c r="O261" s="213">
        <f>IFERROR(__xludf.DUMMYFUNCTION("""COMPUTED_VALUE"""),1.0)</f>
        <v>1</v>
      </c>
      <c r="P261" s="213"/>
      <c r="Q261" s="213"/>
      <c r="R261" s="213" t="str">
        <f>IFERROR(__xludf.DUMMYFUNCTION("""COMPUTED_VALUE"""),"SI")</f>
        <v>SI</v>
      </c>
      <c r="S261" s="213"/>
      <c r="T261" s="213" t="str">
        <f>IFERROR(__xludf.DUMMYFUNCTION("""COMPUTED_VALUE"""),"SI")</f>
        <v>SI</v>
      </c>
      <c r="U261" s="213" t="str">
        <f>IFERROR(__xludf.DUMMYFUNCTION("""COMPUTED_VALUE"""),"SI")</f>
        <v>SI</v>
      </c>
      <c r="V261" s="213" t="str">
        <f>IFERROR(__xludf.DUMMYFUNCTION("""COMPUTED_VALUE"""),"-")</f>
        <v>-</v>
      </c>
      <c r="W261" s="213" t="str">
        <f>IFERROR(__xludf.DUMMYFUNCTION("""COMPUTED_VALUE"""),"-")</f>
        <v>-</v>
      </c>
      <c r="X261" s="213" t="str">
        <f>IFERROR(__xludf.DUMMYFUNCTION("""COMPUTED_VALUE"""),"DAKOTA")</f>
        <v>DAKOTA</v>
      </c>
      <c r="Y261" s="213" t="str">
        <f>IFERROR(__xludf.DUMMYFUNCTION("""COMPUTED_VALUE"""),"GR-EXCÑM")</f>
        <v>GR-EXCÑM</v>
      </c>
      <c r="Z261" s="215" t="str">
        <f>IFERROR(__xludf.DUMMYFUNCTION("""COMPUTED_VALUE"""),"https://grondoy.com/productos/Dispensadores/exprimidor-de-cana-de-azucar-manual?srsltid=AfmBOopMm1WxNbhYLzCfpEDBSG0DVxW2Vrr61u5HDpWd5wD9dY_TQTfR#")</f>
        <v>https://grondoy.com/productos/Dispensadores/exprimidor-de-cana-de-azucar-manual?srsltid=AfmBOopMm1WxNbhYLzCfpEDBSG0DVxW2Vrr61u5HDpWd5wD9dY_TQTfR#</v>
      </c>
      <c r="AA261" s="213" t="str">
        <f>IFERROR(__xludf.DUMMYFUNCTION("""COMPUTED_VALUE"""),"COM-169 EXPRIMIDOR MANUAL DE JUGOS MELAZA - CET")</f>
        <v>COM-169 EXPRIMIDOR MANUAL DE JUGOS MELAZA - CET</v>
      </c>
      <c r="AB261" s="213"/>
      <c r="AC261" s="215" t="str">
        <f>IFERROR(__xludf.DUMMYFUNCTION("""COMPUTED_VALUE"""),"https://drive.google.com/file/d/1M5RwlZXc666TrrdmEiYNAk1Q9W2u5L1X/view?usp=drive_link")</f>
        <v>https://drive.google.com/file/d/1M5RwlZXc666TrrdmEiYNAk1Q9W2u5L1X/view?usp=drive_link</v>
      </c>
      <c r="AD261" s="213" t="str">
        <f>IFERROR(__xludf.DUMMYFUNCTION("""COMPUTED_VALUE"""),"JJC PAQ 5-COCINA")</f>
        <v>JJC PAQ 5-COCINA</v>
      </c>
      <c r="AE261" s="213" t="str">
        <f>IFERROR(__xludf.DUMMYFUNCTION("""COMPUTED_VALUE"""),"EXPR-02")</f>
        <v>EXPR-02</v>
      </c>
      <c r="AF261" s="219" t="str">
        <f>IFERROR(__xludf.DUMMYFUNCTION("""COMPUTED_VALUE"""),"EXPRIMIDOR DE CAÑA DE
AZUCAR 50 KG/H ZX-100")</f>
        <v>EXPRIMIDOR DE CAÑA DE
AZUCAR 50 KG/H ZX-100</v>
      </c>
      <c r="AG261" s="213"/>
      <c r="AH261" s="213" t="str">
        <f>IFERROR(__xludf.DUMMYFUNCTION("""COMPUTED_VALUE"""),"IMPORTADO")</f>
        <v>IMPORTADO</v>
      </c>
      <c r="AI261" s="213"/>
      <c r="AJ261" s="213"/>
      <c r="AK261" s="213"/>
      <c r="AL261" s="213"/>
      <c r="AM261" s="213"/>
      <c r="AN261" s="213"/>
      <c r="AO261" s="213"/>
      <c r="AP261" s="213" t="str">
        <f>IFERROR(__xludf.DUMMYFUNCTION("""COMPUTED_VALUE"""),"LUIS")</f>
        <v>LUIS</v>
      </c>
      <c r="AQ261" s="213"/>
      <c r="AR261" s="213"/>
      <c r="AS261" s="213" t="str">
        <f>IFERROR(__xludf.DUMMYFUNCTION("""COMPUTED_VALUE"""),"El equipo propuesto es menor en dimensiones.")</f>
        <v>El equipo propuesto es menor en dimensiones.</v>
      </c>
      <c r="AT261" s="213"/>
      <c r="AU261" s="213"/>
      <c r="AV261" s="213"/>
      <c r="AW261" s="213"/>
      <c r="AX261" s="213"/>
      <c r="AY261" s="213"/>
      <c r="AZ261" s="213"/>
      <c r="BA261" s="213"/>
      <c r="BB261" s="213"/>
      <c r="BC261" s="213"/>
      <c r="BD261" s="213"/>
    </row>
    <row r="262">
      <c r="A262" s="213">
        <f>IFERROR(__xludf.DUMMYFUNCTION("""COMPUTED_VALUE"""),1770.0)</f>
        <v>1770</v>
      </c>
      <c r="B262" s="213" t="str">
        <f>IFERROR(__xludf.DUMMYFUNCTION("""COMPUTED_VALUE"""),"GUILLERMO E. BILLINGHURST ")</f>
        <v>GUILLERMO E. BILLINGHURST </v>
      </c>
      <c r="C262" s="213" t="str">
        <f>IFERROR(__xludf.DUMMYFUNCTION("""COMPUTED_VALUE"""),"TALLER SFT DE EBANISTERÍA")</f>
        <v>TALLER SFT DE EBANISTERÍA</v>
      </c>
      <c r="D262" s="213" t="str">
        <f>IFERROR(__xludf.DUMMYFUNCTION("""COMPUTED_VALUE"""),"MOBILIARIO")</f>
        <v>MOBILIARIO</v>
      </c>
      <c r="E262" s="213" t="str">
        <f>IFERROR(__xludf.DUMMYFUNCTION("""COMPUTED_VALUE"""),"COM-121")</f>
        <v>COM-121</v>
      </c>
      <c r="F262" s="213" t="str">
        <f>IFERROR(__xludf.DUMMYFUNCTION("""COMPUTED_VALUE"""),"COM-121")</f>
        <v>COM-121</v>
      </c>
      <c r="G262" s="213"/>
      <c r="H262" s="213" t="str">
        <f>IFERROR(__xludf.DUMMYFUNCTION("""COMPUTED_VALUE"""),"CABINA DE PINTURA")</f>
        <v>CABINA DE PINTURA</v>
      </c>
      <c r="I262" s="213" t="str">
        <f>IFERROR(__xludf.DUMMYFUNCTION("""COMPUTED_VALUE"""),"· Las cabinas de pintura líquida están fabricadas para contener el overspray durante la aplicación de pintura manual o automatizada.
· Pueden ser fabricadas para aplicación por batcheo o por transportador.
· El aire entra a través de la cara abierta de la"&amp;" cabina, pasando por el área de trabajo mientras que el overspray es capturando por el extractor, manteniendo la cabina libre de tóxicos.
· Dimensiones: Largo 1.80 m.
Profundidad 2.80 m.
Alto 2.40 m.")</f>
        <v>· Las cabinas de pintura líquida están fabricadas para contener el overspray durante la aplicación de pintura manual o automatizada.
· Pueden ser fabricadas para aplicación por batcheo o por transportador.
· El aire entra a través de la cara abierta de la cabina, pasando por el área de trabajo mientras que el overspray es capturando por el extractor, manteniendo la cabina libre de tóxicos.
· Dimensiones: Largo 1.80 m.
Profundidad 2.80 m.
Alto 2.40 m.</v>
      </c>
      <c r="J262" s="213">
        <f>IFERROR(__xludf.DUMMYFUNCTION("""COMPUTED_VALUE"""),3.0)</f>
        <v>3</v>
      </c>
      <c r="K262" s="213" t="str">
        <f>IFERROR(__xludf.DUMMYFUNCTION("""COMPUTED_VALUE"""),"90 DÍAS CALENDARIO")</f>
        <v>90 DÍAS CALENDARIO</v>
      </c>
      <c r="L262" s="213" t="str">
        <f>IFERROR(__xludf.DUMMYFUNCTION("""COMPUTED_VALUE"""),"")</f>
        <v/>
      </c>
      <c r="M262" s="213">
        <f>IFERROR(__xludf.DUMMYFUNCTION("""COMPUTED_VALUE"""),1.0)</f>
        <v>1</v>
      </c>
      <c r="N262" s="213">
        <f>IFERROR(__xludf.DUMMYFUNCTION("""COMPUTED_VALUE"""),1.0)</f>
        <v>1</v>
      </c>
      <c r="O262" s="213">
        <f>IFERROR(__xludf.DUMMYFUNCTION("""COMPUTED_VALUE"""),1.0)</f>
        <v>1</v>
      </c>
      <c r="P262" s="213"/>
      <c r="Q262" s="213"/>
      <c r="R262" s="213"/>
      <c r="S262" s="213" t="str">
        <f>IFERROR(__xludf.DUMMYFUNCTION("""COMPUTED_VALUE"""),"SI")</f>
        <v>SI</v>
      </c>
      <c r="T262" s="213"/>
      <c r="U262" s="213"/>
      <c r="V262" s="213" t="str">
        <f>IFERROR(__xludf.DUMMYFUNCTION("""COMPUTED_VALUE"""),"-")</f>
        <v>-</v>
      </c>
      <c r="W262" s="213"/>
      <c r="X262" s="213" t="str">
        <f>IFERROR(__xludf.DUMMYFUNCTION("""COMPUTED_VALUE"""),"A MEDIDA")</f>
        <v>A MEDIDA</v>
      </c>
      <c r="Y262" s="213" t="str">
        <f>IFERROR(__xludf.DUMMYFUNCTION("""COMPUTED_VALUE"""),"A MEDIDA")</f>
        <v>A MEDIDA</v>
      </c>
      <c r="Z262" s="213" t="str">
        <f>IFERROR(__xludf.DUMMYFUNCTION("""COMPUTED_VALUE"""),"A MEDIDA")</f>
        <v>A MEDIDA</v>
      </c>
      <c r="AA262" s="213" t="str">
        <f>IFERROR(__xludf.DUMMYFUNCTION("""COMPUTED_VALUE"""),"COM-121 CABINA DE PINTURA - CET")</f>
        <v>COM-121 CABINA DE PINTURA - CET</v>
      </c>
      <c r="AB262" s="213"/>
      <c r="AC262" s="213"/>
      <c r="AD262" s="213"/>
      <c r="AE262" s="213"/>
      <c r="AF262" s="213"/>
      <c r="AG262" s="213"/>
      <c r="AH262" s="213"/>
      <c r="AI262" s="213"/>
      <c r="AJ262" s="213"/>
      <c r="AK262" s="213"/>
      <c r="AL262" s="213"/>
      <c r="AM262" s="213"/>
      <c r="AN262" s="213"/>
      <c r="AO262" s="213"/>
      <c r="AP262" s="213"/>
      <c r="AQ262" s="213"/>
      <c r="AR262" s="213"/>
      <c r="AS262" s="213"/>
      <c r="AT262" s="213"/>
      <c r="AU262" s="213"/>
      <c r="AV262" s="213"/>
      <c r="AW262" s="213"/>
      <c r="AX262" s="213"/>
      <c r="AY262" s="213"/>
      <c r="AZ262" s="213"/>
      <c r="BA262" s="213"/>
      <c r="BB262" s="213"/>
      <c r="BC262" s="213"/>
      <c r="BD262" s="213"/>
    </row>
    <row r="263">
      <c r="A263" s="213">
        <f>IFERROR(__xludf.DUMMYFUNCTION("""COMPUTED_VALUE"""),2468.0)</f>
        <v>2468</v>
      </c>
      <c r="B263" s="213" t="str">
        <f>IFERROR(__xludf.DUMMYFUNCTION("""COMPUTED_VALUE"""),"MANUEL ANTONIO MESONES MURO")</f>
        <v>MANUEL ANTONIO MESONES MURO</v>
      </c>
      <c r="C263" s="213" t="str">
        <f>IFERROR(__xludf.DUMMYFUNCTION("""COMPUTED_VALUE"""),"TALLER SFT DE CONSTRUCCIONES METÁLICAS")</f>
        <v>TALLER SFT DE CONSTRUCCIONES METÁLICAS</v>
      </c>
      <c r="D263" s="213" t="str">
        <f>IFERROR(__xludf.DUMMYFUNCTION("""COMPUTED_VALUE"""),"EQUIPOS")</f>
        <v>EQUIPOS</v>
      </c>
      <c r="E263" s="213" t="str">
        <f>IFERROR(__xludf.DUMMYFUNCTION("""COMPUTED_VALUE"""),"COM-123")</f>
        <v>COM-123</v>
      </c>
      <c r="F263" s="213" t="str">
        <f>IFERROR(__xludf.DUMMYFUNCTION("""COMPUTED_VALUE"""),"COM-123")</f>
        <v>COM-123</v>
      </c>
      <c r="G263" s="213"/>
      <c r="H263" s="213" t="str">
        <f>IFERROR(__xludf.DUMMYFUNCTION("""COMPUTED_VALUE"""),"CABINA DE SOLDAR CON MESA DE TRABAJO")</f>
        <v>CABINA DE SOLDAR CON MESA DE TRABAJO</v>
      </c>
      <c r="I263" s="213" t="str">
        <f>IFERROR(__xludf.DUMMYFUNCTION("""COMPUTED_VALUE"""),"Medidas mínimas: Alto : 2.20 m, Fondo : 0.90 m, Lados : 0.90 m
· Estructura de tubo cuadrado de 1”x 2 mm
· Cubierto con plancha lisa 1/20” galvanizado
· Patas para anclaje
· Pintado de color negro mate
· Incluye mesa de soldadura móvil (medidas mínimas: L"&amp;" 0.80m x A 0.60m x H 0.75m)")</f>
        <v>Medidas mínimas: Alto : 2.20 m, Fondo : 0.90 m, Lados : 0.90 m
· Estructura de tubo cuadrado de 1”x 2 mm
· Cubierto con plancha lisa 1/20” galvanizado
· Patas para anclaje
· Pintado de color negro mate
· Incluye mesa de soldadura móvil (medidas mínimas: L 0.80m x A 0.60m x H 0.75m)</v>
      </c>
      <c r="J263" s="213">
        <f>IFERROR(__xludf.DUMMYFUNCTION("""COMPUTED_VALUE"""),3.0)</f>
        <v>3</v>
      </c>
      <c r="K263" s="213" t="str">
        <f>IFERROR(__xludf.DUMMYFUNCTION("""COMPUTED_VALUE"""),"90 DÍAS CALENDARIO")</f>
        <v>90 DÍAS CALENDARIO</v>
      </c>
      <c r="L263" s="213" t="str">
        <f>IFERROR(__xludf.DUMMYFUNCTION("""COMPUTED_VALUE"""),"")</f>
        <v/>
      </c>
      <c r="M263" s="213">
        <f>IFERROR(__xludf.DUMMYFUNCTION("""COMPUTED_VALUE"""),1.0)</f>
        <v>1</v>
      </c>
      <c r="N263" s="213">
        <f>IFERROR(__xludf.DUMMYFUNCTION("""COMPUTED_VALUE"""),4.0)</f>
        <v>4</v>
      </c>
      <c r="O263" s="213">
        <f>IFERROR(__xludf.DUMMYFUNCTION("""COMPUTED_VALUE"""),4.0)</f>
        <v>4</v>
      </c>
      <c r="P263" s="213"/>
      <c r="Q263" s="213"/>
      <c r="R263" s="213"/>
      <c r="S263" s="213" t="str">
        <f>IFERROR(__xludf.DUMMYFUNCTION("""COMPUTED_VALUE"""),"SI")</f>
        <v>SI</v>
      </c>
      <c r="T263" s="213" t="str">
        <f>IFERROR(__xludf.DUMMYFUNCTION("""COMPUTED_VALUE"""),"CONSULTA FINAL")</f>
        <v>CONSULTA FINAL</v>
      </c>
      <c r="U263" s="213" t="str">
        <f>IFERROR(__xludf.DUMMYFUNCTION("""COMPUTED_VALUE"""),"SI")</f>
        <v>SI</v>
      </c>
      <c r="V263" s="213" t="str">
        <f>IFERROR(__xludf.DUMMYFUNCTION("""COMPUTED_VALUE"""),"-")</f>
        <v>-</v>
      </c>
      <c r="W263" s="213" t="str">
        <f>IFERROR(__xludf.DUMMYFUNCTION("""COMPUTED_VALUE"""),"-")</f>
        <v>-</v>
      </c>
      <c r="X263" s="213" t="str">
        <f>IFERROR(__xludf.DUMMYFUNCTION("""COMPUTED_VALUE"""),"NUPRINOX")</f>
        <v>NUPRINOX</v>
      </c>
      <c r="Y263" s="213" t="str">
        <f>IFERROR(__xludf.DUMMYFUNCTION("""COMPUTED_VALUE"""),"A medida")</f>
        <v>A medida</v>
      </c>
      <c r="Z263" s="215" t="str">
        <f>IFERROR(__xludf.DUMMYFUNCTION("""COMPUTED_VALUE"""),"https://www.amazon.com/-/es/soldadura-pulgadas-industrial-capacidad-port%C3%A1til/dp/B0DDPVR3L1")</f>
        <v>https://www.amazon.com/-/es/soldadura-pulgadas-industrial-capacidad-port%C3%A1til/dp/B0DDPVR3L1</v>
      </c>
      <c r="AA263" s="213" t="str">
        <f>IFERROR(__xludf.DUMMYFUNCTION("""COMPUTED_VALUE"""),"COM-123 CABINA DE SOLDAR CON MESA DE TRABAJO - CET")</f>
        <v>COM-123 CABINA DE SOLDAR CON MESA DE TRABAJO - CET</v>
      </c>
      <c r="AB263" s="213"/>
      <c r="AC263" s="213"/>
      <c r="AD263" s="213"/>
      <c r="AE263" s="213"/>
      <c r="AF263" s="213"/>
      <c r="AG263" s="213"/>
      <c r="AH263" s="213" t="str">
        <f>IFERROR(__xludf.DUMMYFUNCTION("""COMPUTED_VALUE"""),"NACIONAL")</f>
        <v>NACIONAL</v>
      </c>
      <c r="AI263" s="213"/>
      <c r="AJ263" s="213"/>
      <c r="AK263" s="213"/>
      <c r="AL263" s="213"/>
      <c r="AM263" s="213"/>
      <c r="AN263" s="213"/>
      <c r="AO263" s="213"/>
      <c r="AP263" s="213" t="str">
        <f>IFERROR(__xludf.DUMMYFUNCTION("""COMPUTED_VALUE"""),"NALDI")</f>
        <v>NALDI</v>
      </c>
      <c r="AQ263" s="213" t="str">
        <f>IFERROR(__xludf.DUMMYFUNCTION("""COMPUTED_VALUE"""),"La cabina de soldar se mandará a fabricar a medida")</f>
        <v>La cabina de soldar se mandará a fabricar a medida</v>
      </c>
      <c r="AR263" s="213"/>
      <c r="AS263" s="213"/>
      <c r="AT263" s="213"/>
      <c r="AU263" s="213"/>
      <c r="AV263" s="213"/>
      <c r="AW263" s="213"/>
      <c r="AX263" s="213"/>
      <c r="AY263" s="213"/>
      <c r="AZ263" s="213"/>
      <c r="BA263" s="213"/>
      <c r="BB263" s="213"/>
      <c r="BC263" s="213"/>
      <c r="BD263" s="213"/>
    </row>
    <row r="264">
      <c r="A264" s="213">
        <f>IFERROR(__xludf.DUMMYFUNCTION("""COMPUTED_VALUE"""),2082.0)</f>
        <v>2082</v>
      </c>
      <c r="B264" s="213" t="str">
        <f>IFERROR(__xludf.DUMMYFUNCTION("""COMPUTED_VALUE"""),"JOSE GRANDA")</f>
        <v>JOSE GRANDA</v>
      </c>
      <c r="C264" s="213" t="str">
        <f>IFERROR(__xludf.DUMMYFUNCTION("""COMPUTED_VALUE"""),"TALLER SFT DE INDUSTRIA ALIMENTARIA")</f>
        <v>TALLER SFT DE INDUSTRIA ALIMENTARIA</v>
      </c>
      <c r="D264" s="213" t="str">
        <f>IFERROR(__xludf.DUMMYFUNCTION("""COMPUTED_VALUE"""),"EQUIPOS")</f>
        <v>EQUIPOS</v>
      </c>
      <c r="E264" s="213" t="str">
        <f>IFERROR(__xludf.DUMMYFUNCTION("""COMPUTED_VALUE"""),"COM-169")</f>
        <v>COM-169</v>
      </c>
      <c r="F264" s="213" t="str">
        <f>IFERROR(__xludf.DUMMYFUNCTION("""COMPUTED_VALUE"""),"COM-169")</f>
        <v>COM-169</v>
      </c>
      <c r="G264" s="213"/>
      <c r="H264" s="213" t="str">
        <f>IFERROR(__xludf.DUMMYFUNCTION("""COMPUTED_VALUE"""),"EXPRIMIDOR MANUAL DE JUGOS MELAZA")</f>
        <v>EXPRIMIDOR MANUAL DE JUGOS MELAZA</v>
      </c>
      <c r="I264" s="213" t="str">
        <f>IFERROR(__xludf.DUMMYFUNCTION("""COMPUTED_VALUE"""),"Peso: 32 kg
· Dimensión mínimas: L: 500mm, W: 380mm, H: 400 mm.
· Capacidad mínima de: 50 kg/h
· Función: exprimido de jugos de frutas y verduras (caña de azúcar y jengibre).
· Material: Acero inoxidable 304")</f>
        <v>Peso: 32 kg
· Dimensión mínimas: L: 500mm, W: 380mm, H: 400 mm.
· Capacidad mínima de: 50 kg/h
· Función: exprimido de jugos de frutas y verduras (caña de azúcar y jengibre).
· Material: Acero inoxidable 304</v>
      </c>
      <c r="J264" s="213">
        <f>IFERROR(__xludf.DUMMYFUNCTION("""COMPUTED_VALUE"""),3.0)</f>
        <v>3</v>
      </c>
      <c r="K264" s="213" t="str">
        <f>IFERROR(__xludf.DUMMYFUNCTION("""COMPUTED_VALUE"""),"90 DÍAS CALENDARIO")</f>
        <v>90 DÍAS CALENDARIO</v>
      </c>
      <c r="L264" s="213" t="str">
        <f>IFERROR(__xludf.DUMMYFUNCTION("""COMPUTED_VALUE"""),"")</f>
        <v/>
      </c>
      <c r="M264" s="213">
        <f>IFERROR(__xludf.DUMMYFUNCTION("""COMPUTED_VALUE"""),1.0)</f>
        <v>1</v>
      </c>
      <c r="N264" s="213">
        <f>IFERROR(__xludf.DUMMYFUNCTION("""COMPUTED_VALUE"""),1.0)</f>
        <v>1</v>
      </c>
      <c r="O264" s="213">
        <f>IFERROR(__xludf.DUMMYFUNCTION("""COMPUTED_VALUE"""),1.0)</f>
        <v>1</v>
      </c>
      <c r="P264" s="213"/>
      <c r="Q264" s="213"/>
      <c r="R264" s="213" t="str">
        <f>IFERROR(__xludf.DUMMYFUNCTION("""COMPUTED_VALUE"""),"SI")</f>
        <v>SI</v>
      </c>
      <c r="S264" s="213"/>
      <c r="T264" s="213" t="str">
        <f>IFERROR(__xludf.DUMMYFUNCTION("""COMPUTED_VALUE"""),"SI")</f>
        <v>SI</v>
      </c>
      <c r="U264" s="213" t="str">
        <f>IFERROR(__xludf.DUMMYFUNCTION("""COMPUTED_VALUE"""),"SI")</f>
        <v>SI</v>
      </c>
      <c r="V264" s="213" t="str">
        <f>IFERROR(__xludf.DUMMYFUNCTION("""COMPUTED_VALUE"""),"-")</f>
        <v>-</v>
      </c>
      <c r="W264" s="213" t="str">
        <f>IFERROR(__xludf.DUMMYFUNCTION("""COMPUTED_VALUE"""),"-")</f>
        <v>-</v>
      </c>
      <c r="X264" s="213" t="str">
        <f>IFERROR(__xludf.DUMMYFUNCTION("""COMPUTED_VALUE"""),"DAKOTA")</f>
        <v>DAKOTA</v>
      </c>
      <c r="Y264" s="213" t="str">
        <f>IFERROR(__xludf.DUMMYFUNCTION("""COMPUTED_VALUE"""),"GR-EXCÑM")</f>
        <v>GR-EXCÑM</v>
      </c>
      <c r="Z264" s="215" t="str">
        <f>IFERROR(__xludf.DUMMYFUNCTION("""COMPUTED_VALUE"""),"https://grondoy.com/productos/Dispensadores/exprimidor-de-cana-de-azucar-manual?srsltid=AfmBOopMm1WxNbhYLzCfpEDBSG0DVxW2Vrr61u5HDpWd5wD9dY_TQTfR#")</f>
        <v>https://grondoy.com/productos/Dispensadores/exprimidor-de-cana-de-azucar-manual?srsltid=AfmBOopMm1WxNbhYLzCfpEDBSG0DVxW2Vrr61u5HDpWd5wD9dY_TQTfR#</v>
      </c>
      <c r="AA264" s="213" t="str">
        <f>IFERROR(__xludf.DUMMYFUNCTION("""COMPUTED_VALUE"""),"COM-169 EXPRIMIDOR MANUAL DE JUGOS MELAZA - CET")</f>
        <v>COM-169 EXPRIMIDOR MANUAL DE JUGOS MELAZA - CET</v>
      </c>
      <c r="AB264" s="213"/>
      <c r="AC264" s="215" t="str">
        <f>IFERROR(__xludf.DUMMYFUNCTION("""COMPUTED_VALUE"""),"https://drive.google.com/file/d/1M5RwlZXc666TrrdmEiYNAk1Q9W2u5L1X/view?usp=drive_link")</f>
        <v>https://drive.google.com/file/d/1M5RwlZXc666TrrdmEiYNAk1Q9W2u5L1X/view?usp=drive_link</v>
      </c>
      <c r="AD264" s="213" t="str">
        <f>IFERROR(__xludf.DUMMYFUNCTION("""COMPUTED_VALUE"""),"JJC PAQ 5-COCINA")</f>
        <v>JJC PAQ 5-COCINA</v>
      </c>
      <c r="AE264" s="213" t="str">
        <f>IFERROR(__xludf.DUMMYFUNCTION("""COMPUTED_VALUE"""),"EXPR-02")</f>
        <v>EXPR-02</v>
      </c>
      <c r="AF264" s="219" t="str">
        <f>IFERROR(__xludf.DUMMYFUNCTION("""COMPUTED_VALUE"""),"EXPRIMIDOR DE CAÑA DE
AZUCAR 50 KG/H ZX-100")</f>
        <v>EXPRIMIDOR DE CAÑA DE
AZUCAR 50 KG/H ZX-100</v>
      </c>
      <c r="AG264" s="213"/>
      <c r="AH264" s="213" t="str">
        <f>IFERROR(__xludf.DUMMYFUNCTION("""COMPUTED_VALUE"""),"IMPORTADO")</f>
        <v>IMPORTADO</v>
      </c>
      <c r="AI264" s="213"/>
      <c r="AJ264" s="213"/>
      <c r="AK264" s="213"/>
      <c r="AL264" s="213"/>
      <c r="AM264" s="213"/>
      <c r="AN264" s="213"/>
      <c r="AO264" s="213"/>
      <c r="AP264" s="213" t="str">
        <f>IFERROR(__xludf.DUMMYFUNCTION("""COMPUTED_VALUE"""),"LUIS")</f>
        <v>LUIS</v>
      </c>
      <c r="AQ264" s="213"/>
      <c r="AR264" s="213"/>
      <c r="AS264" s="213" t="str">
        <f>IFERROR(__xludf.DUMMYFUNCTION("""COMPUTED_VALUE"""),"El equipo propuesto es menor en dimensiones.")</f>
        <v>El equipo propuesto es menor en dimensiones.</v>
      </c>
      <c r="AT264" s="213"/>
      <c r="AU264" s="213"/>
      <c r="AV264" s="213"/>
      <c r="AW264" s="213"/>
      <c r="AX264" s="213"/>
      <c r="AY264" s="213"/>
      <c r="AZ264" s="213"/>
      <c r="BA264" s="213"/>
      <c r="BB264" s="213"/>
      <c r="BC264" s="213"/>
      <c r="BD264" s="213"/>
    </row>
    <row r="265">
      <c r="A265" s="213">
        <f>IFERROR(__xludf.DUMMYFUNCTION("""COMPUTED_VALUE"""),426.0)</f>
        <v>426</v>
      </c>
      <c r="B265" s="213" t="str">
        <f>IFERROR(__xludf.DUMMYFUNCTION("""COMPUTED_VALUE"""),"2026 SIMON BOLIVAR")</f>
        <v>2026 SIMON BOLIVAR</v>
      </c>
      <c r="C265" s="213" t="str">
        <f>IFERROR(__xludf.DUMMYFUNCTION("""COMPUTED_VALUE"""),"TALLER SFT DE INDUSTRIA ALIMENTARIA")</f>
        <v>TALLER SFT DE INDUSTRIA ALIMENTARIA</v>
      </c>
      <c r="D265" s="213" t="str">
        <f>IFERROR(__xludf.DUMMYFUNCTION("""COMPUTED_VALUE"""),"EQUIPOS")</f>
        <v>EQUIPOS</v>
      </c>
      <c r="E265" s="213" t="str">
        <f>IFERROR(__xludf.DUMMYFUNCTION("""COMPUTED_VALUE"""),"COM-170")</f>
        <v>COM-170</v>
      </c>
      <c r="F265" s="213" t="str">
        <f>IFERROR(__xludf.DUMMYFUNCTION("""COMPUTED_VALUE"""),"COM-170")</f>
        <v>COM-170</v>
      </c>
      <c r="G265" s="213"/>
      <c r="H265" s="213" t="str">
        <f>IFERROR(__xludf.DUMMYFUNCTION("""COMPUTED_VALUE"""),"EXPRIMIDORA")</f>
        <v>EXPRIMIDORA</v>
      </c>
      <c r="I265" s="213" t="str">
        <f>IFERROR(__xludf.DUMMYFUNCTION("""COMPUTED_VALUE"""),"· Capacidad mínima: 0.5 litros
· Potencia mínina: 160 vatios
· Voltaje 220v/60 HZ,  aismaliento mínimo clase II o estar preparado para aterrarse a través del encufe.
.  Material: de plástico, Acero inoxidable
· Apagado automático
· Boquilla de seguridad, "&amp;"que manteniéndola cerrada evita que el zumo se pierda
· Medidas aproximadas  0,3 x 0,2 x 0,3 m
· Cuenta con un brazo de palanca de aluminio fundido
· Para la instalación de este equipo se requiere un espacio no menos a  0.8 x 0.8 m. donde debe haber un pu"&amp;"nto de conexión eléctrica.
* Debe incluir una funda protectora impermeable para su almacenamiento.")</f>
        <v>· Capacidad mínima: 0.5 litros
· Potencia mínina: 160 vatios
· Voltaje 220v/60 HZ,  aismaliento mínimo clase II o estar preparado para aterrarse a través del encufe.
.  Material: de plástico, Acero inoxidable
· Apagado automático
· Boquilla de seguridad, que manteniéndola cerrada evita que el zumo se pierda
· Medidas aproximadas  0,3 x 0,2 x 0,3 m
· Cuenta con un brazo de palanca de aluminio fundido
· Para la instalación de este equipo se requiere un espacio no menos a  0.8 x 0.8 m. donde debe haber un punto de conexión eléctrica.
* Debe incluir una funda protectora impermeable para su almacenamiento.</v>
      </c>
      <c r="J265" s="213">
        <f>IFERROR(__xludf.DUMMYFUNCTION("""COMPUTED_VALUE"""),3.0)</f>
        <v>3</v>
      </c>
      <c r="K265" s="213" t="str">
        <f>IFERROR(__xludf.DUMMYFUNCTION("""COMPUTED_VALUE"""),"90 DÍAS CALENDARIO")</f>
        <v>90 DÍAS CALENDARIO</v>
      </c>
      <c r="L265" s="213" t="str">
        <f>IFERROR(__xludf.DUMMYFUNCTION("""COMPUTED_VALUE"""),"")</f>
        <v/>
      </c>
      <c r="M265" s="213">
        <f>IFERROR(__xludf.DUMMYFUNCTION("""COMPUTED_VALUE"""),1.0)</f>
        <v>1</v>
      </c>
      <c r="N265" s="213">
        <f>IFERROR(__xludf.DUMMYFUNCTION("""COMPUTED_VALUE"""),1.0)</f>
        <v>1</v>
      </c>
      <c r="O265" s="213">
        <f>IFERROR(__xludf.DUMMYFUNCTION("""COMPUTED_VALUE"""),1.0)</f>
        <v>1</v>
      </c>
      <c r="P265" s="213"/>
      <c r="Q265" s="213"/>
      <c r="R265" s="213" t="str">
        <f>IFERROR(__xludf.DUMMYFUNCTION("""COMPUTED_VALUE"""),"SI")</f>
        <v>SI</v>
      </c>
      <c r="S265" s="213"/>
      <c r="T265" s="213" t="str">
        <f>IFERROR(__xludf.DUMMYFUNCTION("""COMPUTED_VALUE"""),"SI")</f>
        <v>SI</v>
      </c>
      <c r="U265" s="213" t="str">
        <f>IFERROR(__xludf.DUMMYFUNCTION("""COMPUTED_VALUE"""),"SI")</f>
        <v>SI</v>
      </c>
      <c r="V265" s="213" t="str">
        <f>IFERROR(__xludf.DUMMYFUNCTION("""COMPUTED_VALUE"""),"-")</f>
        <v>-</v>
      </c>
      <c r="W265" s="213" t="str">
        <f>IFERROR(__xludf.DUMMYFUNCTION("""COMPUTED_VALUE"""),"-")</f>
        <v>-</v>
      </c>
      <c r="X265" s="213" t="str">
        <f>IFERROR(__xludf.DUMMYFUNCTION("""COMPUTED_VALUE"""),"DSP Professional")</f>
        <v>DSP Professional</v>
      </c>
      <c r="Y265" s="213">
        <f>IFERROR(__xludf.DUMMYFUNCTION("""COMPUTED_VALUE"""),3721294.0)</f>
        <v>3721294</v>
      </c>
      <c r="Z265" s="215" t="str">
        <f>IFERROR(__xludf.DUMMYFUNCTION("""COMPUTED_VALUE"""),"https://simple.ripley.com.pe/exprimidor-de-citricos-dsp-160-w-electrico-kj1051-pmp20000365151?srsltid=AfmBOop5GPvaAs9qjxGgD6beMUMPSS6wNTPVLkS2vpRug84HljfGNciF&amp;color_80=negro&amp;s=mdco")</f>
        <v>https://simple.ripley.com.pe/exprimidor-de-citricos-dsp-160-w-electrico-kj1051-pmp20000365151?srsltid=AfmBOop5GPvaAs9qjxGgD6beMUMPSS6wNTPVLkS2vpRug84HljfGNciF&amp;color_80=negro&amp;s=mdco</v>
      </c>
      <c r="AA265" s="213" t="str">
        <f>IFERROR(__xludf.DUMMYFUNCTION("""COMPUTED_VALUE"""),"COM-170 EXPRIMIDORA - CET")</f>
        <v>COM-170 EXPRIMIDORA - CET</v>
      </c>
      <c r="AB265" s="213"/>
      <c r="AC265" s="215" t="str">
        <f>IFERROR(__xludf.DUMMYFUNCTION("""COMPUTED_VALUE"""),"https://drive.google.com/file/d/1lokuK7hLvnpdnXNgTBbDMTia3WO5WYn4/view?usp=drive_link")</f>
        <v>https://drive.google.com/file/d/1lokuK7hLvnpdnXNgTBbDMTia3WO5WYn4/view?usp=drive_link</v>
      </c>
      <c r="AD265" s="213"/>
      <c r="AE265" s="213"/>
      <c r="AF265" s="213"/>
      <c r="AG265" s="213"/>
      <c r="AH265" s="213"/>
      <c r="AI265" s="213"/>
      <c r="AJ265" s="213"/>
      <c r="AK265" s="213"/>
      <c r="AL265" s="213"/>
      <c r="AM265" s="213"/>
      <c r="AN265" s="213"/>
      <c r="AO265" s="213"/>
      <c r="AP265" s="213" t="str">
        <f>IFERROR(__xludf.DUMMYFUNCTION("""COMPUTED_VALUE"""),"LUIS")</f>
        <v>LUIS</v>
      </c>
      <c r="AQ265" s="213"/>
      <c r="AR265" s="213"/>
      <c r="AS265" s="213"/>
      <c r="AT265" s="213"/>
      <c r="AU265" s="213"/>
      <c r="AV265" s="213"/>
      <c r="AW265" s="213"/>
      <c r="AX265" s="213"/>
      <c r="AY265" s="213"/>
      <c r="AZ265" s="213"/>
      <c r="BA265" s="213"/>
      <c r="BB265" s="213"/>
      <c r="BC265" s="213"/>
      <c r="BD265" s="213"/>
    </row>
    <row r="266">
      <c r="A266" s="213">
        <f>IFERROR(__xludf.DUMMYFUNCTION("""COMPUTED_VALUE"""),1056.0)</f>
        <v>1056</v>
      </c>
      <c r="B266" s="213" t="str">
        <f>IFERROR(__xludf.DUMMYFUNCTION("""COMPUTED_VALUE"""),"FRANCISCO IRAZOLA")</f>
        <v>FRANCISCO IRAZOLA</v>
      </c>
      <c r="C266" s="213" t="str">
        <f>IFERROR(__xludf.DUMMYFUNCTION("""COMPUTED_VALUE"""),"TALLER SFT DE INDUSTRIA ALIMENTARIA")</f>
        <v>TALLER SFT DE INDUSTRIA ALIMENTARIA</v>
      </c>
      <c r="D266" s="213" t="str">
        <f>IFERROR(__xludf.DUMMYFUNCTION("""COMPUTED_VALUE"""),"EQUIPOS")</f>
        <v>EQUIPOS</v>
      </c>
      <c r="E266" s="213" t="str">
        <f>IFERROR(__xludf.DUMMYFUNCTION("""COMPUTED_VALUE"""),"COM-170")</f>
        <v>COM-170</v>
      </c>
      <c r="F266" s="213" t="str">
        <f>IFERROR(__xludf.DUMMYFUNCTION("""COMPUTED_VALUE"""),"COM-170")</f>
        <v>COM-170</v>
      </c>
      <c r="G266" s="213"/>
      <c r="H266" s="213" t="str">
        <f>IFERROR(__xludf.DUMMYFUNCTION("""COMPUTED_VALUE"""),"EXPRIMIDORA")</f>
        <v>EXPRIMIDORA</v>
      </c>
      <c r="I266" s="213" t="str">
        <f>IFERROR(__xludf.DUMMYFUNCTION("""COMPUTED_VALUE"""),"· Capacidad mínima: 0.5 litros
· Potencia mínina: 160 vatios
· Voltaje 220v/60 HZ,  aismaliento mínimo clase II o estar preparado para aterrarse a través del encufe.
.  Material: de plástico, Acero inoxidable
· Apagado automático
· Boquilla de seguridad, "&amp;"que manteniéndola cerrada evita que el zumo se pierda
· Medidas aproximadas  0,3 x 0,2 x 0,3 m
· Cuenta con un brazo de palanca de aluminio fundido
· Para la instalación de este equipo se requiere un espacio no menos a  0.8 x 0.8 m. donde debe haber un pu"&amp;"nto de conexión eléctrica.
* Debe incluir una funda protectora impermeable para su almacenamiento.")</f>
        <v>· Capacidad mínima: 0.5 litros
· Potencia mínina: 160 vatios
· Voltaje 220v/60 HZ,  aismaliento mínimo clase II o estar preparado para aterrarse a través del encufe.
.  Material: de plástico, Acero inoxidable
· Apagado automático
· Boquilla de seguridad, que manteniéndola cerrada evita que el zumo se pierda
· Medidas aproximadas  0,3 x 0,2 x 0,3 m
· Cuenta con un brazo de palanca de aluminio fundido
· Para la instalación de este equipo se requiere un espacio no menos a  0.8 x 0.8 m. donde debe haber un punto de conexión eléctrica.
* Debe incluir una funda protectora impermeable para su almacenamiento.</v>
      </c>
      <c r="J266" s="213">
        <f>IFERROR(__xludf.DUMMYFUNCTION("""COMPUTED_VALUE"""),3.0)</f>
        <v>3</v>
      </c>
      <c r="K266" s="213" t="str">
        <f>IFERROR(__xludf.DUMMYFUNCTION("""COMPUTED_VALUE"""),"90 DÍAS CALENDARIO")</f>
        <v>90 DÍAS CALENDARIO</v>
      </c>
      <c r="L266" s="213" t="str">
        <f>IFERROR(__xludf.DUMMYFUNCTION("""COMPUTED_VALUE"""),"")</f>
        <v/>
      </c>
      <c r="M266" s="213">
        <f>IFERROR(__xludf.DUMMYFUNCTION("""COMPUTED_VALUE"""),1.0)</f>
        <v>1</v>
      </c>
      <c r="N266" s="213">
        <f>IFERROR(__xludf.DUMMYFUNCTION("""COMPUTED_VALUE"""),1.0)</f>
        <v>1</v>
      </c>
      <c r="O266" s="213">
        <f>IFERROR(__xludf.DUMMYFUNCTION("""COMPUTED_VALUE"""),1.0)</f>
        <v>1</v>
      </c>
      <c r="P266" s="213"/>
      <c r="Q266" s="213"/>
      <c r="R266" s="213" t="str">
        <f>IFERROR(__xludf.DUMMYFUNCTION("""COMPUTED_VALUE"""),"SI")</f>
        <v>SI</v>
      </c>
      <c r="S266" s="213"/>
      <c r="T266" s="213" t="str">
        <f>IFERROR(__xludf.DUMMYFUNCTION("""COMPUTED_VALUE"""),"SI")</f>
        <v>SI</v>
      </c>
      <c r="U266" s="213" t="str">
        <f>IFERROR(__xludf.DUMMYFUNCTION("""COMPUTED_VALUE"""),"SI")</f>
        <v>SI</v>
      </c>
      <c r="V266" s="213" t="str">
        <f>IFERROR(__xludf.DUMMYFUNCTION("""COMPUTED_VALUE"""),"-")</f>
        <v>-</v>
      </c>
      <c r="W266" s="213" t="str">
        <f>IFERROR(__xludf.DUMMYFUNCTION("""COMPUTED_VALUE"""),"-")</f>
        <v>-</v>
      </c>
      <c r="X266" s="213" t="str">
        <f>IFERROR(__xludf.DUMMYFUNCTION("""COMPUTED_VALUE"""),"DSP Professional")</f>
        <v>DSP Professional</v>
      </c>
      <c r="Y266" s="213">
        <f>IFERROR(__xludf.DUMMYFUNCTION("""COMPUTED_VALUE"""),3721294.0)</f>
        <v>3721294</v>
      </c>
      <c r="Z266" s="215" t="str">
        <f>IFERROR(__xludf.DUMMYFUNCTION("""COMPUTED_VALUE"""),"https://simple.ripley.com.pe/exprimidor-de-citricos-dsp-160-w-electrico-kj1051-pmp20000365151?srsltid=AfmBOop5GPvaAs9qjxGgD6beMUMPSS6wNTPVLkS2vpRug84HljfGNciF&amp;color_80=negro&amp;s=mdco")</f>
        <v>https://simple.ripley.com.pe/exprimidor-de-citricos-dsp-160-w-electrico-kj1051-pmp20000365151?srsltid=AfmBOop5GPvaAs9qjxGgD6beMUMPSS6wNTPVLkS2vpRug84HljfGNciF&amp;color_80=negro&amp;s=mdco</v>
      </c>
      <c r="AA266" s="213" t="str">
        <f>IFERROR(__xludf.DUMMYFUNCTION("""COMPUTED_VALUE"""),"COM-170 EXPRIMIDORA - CET")</f>
        <v>COM-170 EXPRIMIDORA - CET</v>
      </c>
      <c r="AB266" s="213"/>
      <c r="AC266" s="215" t="str">
        <f>IFERROR(__xludf.DUMMYFUNCTION("""COMPUTED_VALUE"""),"https://drive.google.com/file/d/1lokuK7hLvnpdnXNgTBbDMTia3WO5WYn4/view?usp=drive_link")</f>
        <v>https://drive.google.com/file/d/1lokuK7hLvnpdnXNgTBbDMTia3WO5WYn4/view?usp=drive_link</v>
      </c>
      <c r="AD266" s="213"/>
      <c r="AE266" s="213"/>
      <c r="AF266" s="213"/>
      <c r="AG266" s="213"/>
      <c r="AH266" s="213"/>
      <c r="AI266" s="213"/>
      <c r="AJ266" s="213"/>
      <c r="AK266" s="213"/>
      <c r="AL266" s="213"/>
      <c r="AM266" s="213"/>
      <c r="AN266" s="213"/>
      <c r="AO266" s="213"/>
      <c r="AP266" s="213" t="str">
        <f>IFERROR(__xludf.DUMMYFUNCTION("""COMPUTED_VALUE"""),"LUIS")</f>
        <v>LUIS</v>
      </c>
      <c r="AQ266" s="213"/>
      <c r="AR266" s="213"/>
      <c r="AS266" s="213"/>
      <c r="AT266" s="213"/>
      <c r="AU266" s="213"/>
      <c r="AV266" s="213"/>
      <c r="AW266" s="213"/>
      <c r="AX266" s="213"/>
      <c r="AY266" s="213"/>
      <c r="AZ266" s="213"/>
      <c r="BA266" s="213"/>
      <c r="BB266" s="213"/>
      <c r="BC266" s="213"/>
      <c r="BD266" s="213"/>
    </row>
    <row r="267">
      <c r="A267" s="213">
        <f>IFERROR(__xludf.DUMMYFUNCTION("""COMPUTED_VALUE"""),1334.0)</f>
        <v>1334</v>
      </c>
      <c r="B267" s="213" t="str">
        <f>IFERROR(__xludf.DUMMYFUNCTION("""COMPUTED_VALUE"""),"GUILLERMO E. BILLINGHURST ")</f>
        <v>GUILLERMO E. BILLINGHURST </v>
      </c>
      <c r="C267" s="213" t="str">
        <f>IFERROR(__xludf.DUMMYFUNCTION("""COMPUTED_VALUE"""),"TALLER SFT DE INDUSTRIA ALIMENTARIA")</f>
        <v>TALLER SFT DE INDUSTRIA ALIMENTARIA</v>
      </c>
      <c r="D267" s="213" t="str">
        <f>IFERROR(__xludf.DUMMYFUNCTION("""COMPUTED_VALUE"""),"EQUIPOS")</f>
        <v>EQUIPOS</v>
      </c>
      <c r="E267" s="213" t="str">
        <f>IFERROR(__xludf.DUMMYFUNCTION("""COMPUTED_VALUE"""),"COM-170")</f>
        <v>COM-170</v>
      </c>
      <c r="F267" s="213" t="str">
        <f>IFERROR(__xludf.DUMMYFUNCTION("""COMPUTED_VALUE"""),"COM-170")</f>
        <v>COM-170</v>
      </c>
      <c r="G267" s="213"/>
      <c r="H267" s="213" t="str">
        <f>IFERROR(__xludf.DUMMYFUNCTION("""COMPUTED_VALUE"""),"EXPRIMIDORA")</f>
        <v>EXPRIMIDORA</v>
      </c>
      <c r="I267" s="213" t="str">
        <f>IFERROR(__xludf.DUMMYFUNCTION("""COMPUTED_VALUE"""),"· Capacidad mínima: 0.5 litros
· Potencia mínina: 160 vatios
· Voltaje 220v/60 HZ,  aismaliento mínimo clase II o estar preparado para aterrarse a través del encufe.
.  Material: de plástico, Acero inoxidable
· Apagado automático
· Boquilla de seguridad, "&amp;"que manteniéndola cerrada evita que el zumo se pierda
· Medidas aproximadas  0,3 x 0,2 x 0,3 m
· Cuenta con un brazo de palanca de aluminio fundido
· Para la instalación de este equipo se requiere un espacio no menos a  0.8 x 0.8 m. donde debe haber un pu"&amp;"nto de conexión eléctrica.
* Debe incluir una funda protectora impermeable para su almacenamiento.")</f>
        <v>· Capacidad mínima: 0.5 litros
· Potencia mínina: 160 vatios
· Voltaje 220v/60 HZ,  aismaliento mínimo clase II o estar preparado para aterrarse a través del encufe.
.  Material: de plástico, Acero inoxidable
· Apagado automático
· Boquilla de seguridad, que manteniéndola cerrada evita que el zumo se pierda
· Medidas aproximadas  0,3 x 0,2 x 0,3 m
· Cuenta con un brazo de palanca de aluminio fundido
· Para la instalación de este equipo se requiere un espacio no menos a  0.8 x 0.8 m. donde debe haber un punto de conexión eléctrica.
* Debe incluir una funda protectora impermeable para su almacenamiento.</v>
      </c>
      <c r="J267" s="213">
        <f>IFERROR(__xludf.DUMMYFUNCTION("""COMPUTED_VALUE"""),3.0)</f>
        <v>3</v>
      </c>
      <c r="K267" s="213" t="str">
        <f>IFERROR(__xludf.DUMMYFUNCTION("""COMPUTED_VALUE"""),"90 DÍAS CALENDARIO")</f>
        <v>90 DÍAS CALENDARIO</v>
      </c>
      <c r="L267" s="213" t="str">
        <f>IFERROR(__xludf.DUMMYFUNCTION("""COMPUTED_VALUE"""),"")</f>
        <v/>
      </c>
      <c r="M267" s="213">
        <f>IFERROR(__xludf.DUMMYFUNCTION("""COMPUTED_VALUE"""),1.0)</f>
        <v>1</v>
      </c>
      <c r="N267" s="213">
        <f>IFERROR(__xludf.DUMMYFUNCTION("""COMPUTED_VALUE"""),1.0)</f>
        <v>1</v>
      </c>
      <c r="O267" s="213">
        <f>IFERROR(__xludf.DUMMYFUNCTION("""COMPUTED_VALUE"""),1.0)</f>
        <v>1</v>
      </c>
      <c r="P267" s="213"/>
      <c r="Q267" s="213"/>
      <c r="R267" s="213" t="str">
        <f>IFERROR(__xludf.DUMMYFUNCTION("""COMPUTED_VALUE"""),"SI")</f>
        <v>SI</v>
      </c>
      <c r="S267" s="213"/>
      <c r="T267" s="213" t="str">
        <f>IFERROR(__xludf.DUMMYFUNCTION("""COMPUTED_VALUE"""),"SI")</f>
        <v>SI</v>
      </c>
      <c r="U267" s="213" t="str">
        <f>IFERROR(__xludf.DUMMYFUNCTION("""COMPUTED_VALUE"""),"SI")</f>
        <v>SI</v>
      </c>
      <c r="V267" s="213" t="str">
        <f>IFERROR(__xludf.DUMMYFUNCTION("""COMPUTED_VALUE"""),"-")</f>
        <v>-</v>
      </c>
      <c r="W267" s="213" t="str">
        <f>IFERROR(__xludf.DUMMYFUNCTION("""COMPUTED_VALUE"""),"-")</f>
        <v>-</v>
      </c>
      <c r="X267" s="213" t="str">
        <f>IFERROR(__xludf.DUMMYFUNCTION("""COMPUTED_VALUE"""),"DSP Professional")</f>
        <v>DSP Professional</v>
      </c>
      <c r="Y267" s="213">
        <f>IFERROR(__xludf.DUMMYFUNCTION("""COMPUTED_VALUE"""),3721294.0)</f>
        <v>3721294</v>
      </c>
      <c r="Z267" s="215" t="str">
        <f>IFERROR(__xludf.DUMMYFUNCTION("""COMPUTED_VALUE"""),"https://simple.ripley.com.pe/exprimidor-de-citricos-dsp-160-w-electrico-kj1051-pmp20000365151?srsltid=AfmBOop5GPvaAs9qjxGgD6beMUMPSS6wNTPVLkS2vpRug84HljfGNciF&amp;color_80=negro&amp;s=mdco")</f>
        <v>https://simple.ripley.com.pe/exprimidor-de-citricos-dsp-160-w-electrico-kj1051-pmp20000365151?srsltid=AfmBOop5GPvaAs9qjxGgD6beMUMPSS6wNTPVLkS2vpRug84HljfGNciF&amp;color_80=negro&amp;s=mdco</v>
      </c>
      <c r="AA267" s="213" t="str">
        <f>IFERROR(__xludf.DUMMYFUNCTION("""COMPUTED_VALUE"""),"COM-170 EXPRIMIDORA - CET")</f>
        <v>COM-170 EXPRIMIDORA - CET</v>
      </c>
      <c r="AB267" s="213"/>
      <c r="AC267" s="215" t="str">
        <f>IFERROR(__xludf.DUMMYFUNCTION("""COMPUTED_VALUE"""),"https://drive.google.com/file/d/1lokuK7hLvnpdnXNgTBbDMTia3WO5WYn4/view?usp=drive_link")</f>
        <v>https://drive.google.com/file/d/1lokuK7hLvnpdnXNgTBbDMTia3WO5WYn4/view?usp=drive_link</v>
      </c>
      <c r="AD267" s="213"/>
      <c r="AE267" s="213"/>
      <c r="AF267" s="213"/>
      <c r="AG267" s="213"/>
      <c r="AH267" s="213"/>
      <c r="AI267" s="213"/>
      <c r="AJ267" s="213"/>
      <c r="AK267" s="213"/>
      <c r="AL267" s="213"/>
      <c r="AM267" s="213"/>
      <c r="AN267" s="213"/>
      <c r="AO267" s="213"/>
      <c r="AP267" s="213" t="str">
        <f>IFERROR(__xludf.DUMMYFUNCTION("""COMPUTED_VALUE"""),"LUIS")</f>
        <v>LUIS</v>
      </c>
      <c r="AQ267" s="213"/>
      <c r="AR267" s="213"/>
      <c r="AS267" s="213"/>
      <c r="AT267" s="213"/>
      <c r="AU267" s="213"/>
      <c r="AV267" s="213"/>
      <c r="AW267" s="213"/>
      <c r="AX267" s="213"/>
      <c r="AY267" s="213"/>
      <c r="AZ267" s="213"/>
      <c r="BA267" s="213"/>
      <c r="BB267" s="213"/>
      <c r="BC267" s="213"/>
      <c r="BD267" s="213"/>
    </row>
    <row r="268">
      <c r="A268" s="213">
        <f>IFERROR(__xludf.DUMMYFUNCTION("""COMPUTED_VALUE"""),2015.0)</f>
        <v>2015</v>
      </c>
      <c r="B268" s="213" t="str">
        <f>IFERROR(__xludf.DUMMYFUNCTION("""COMPUTED_VALUE"""),"JOSE GRANDA")</f>
        <v>JOSE GRANDA</v>
      </c>
      <c r="C268" s="213" t="str">
        <f>IFERROR(__xludf.DUMMYFUNCTION("""COMPUTED_VALUE"""),"TALLER SFT DE INDUSTRIA ALIMENTARIA")</f>
        <v>TALLER SFT DE INDUSTRIA ALIMENTARIA</v>
      </c>
      <c r="D268" s="213" t="str">
        <f>IFERROR(__xludf.DUMMYFUNCTION("""COMPUTED_VALUE"""),"EQUIPOS")</f>
        <v>EQUIPOS</v>
      </c>
      <c r="E268" s="213" t="str">
        <f>IFERROR(__xludf.DUMMYFUNCTION("""COMPUTED_VALUE"""),"COM-170")</f>
        <v>COM-170</v>
      </c>
      <c r="F268" s="213" t="str">
        <f>IFERROR(__xludf.DUMMYFUNCTION("""COMPUTED_VALUE"""),"COM-170")</f>
        <v>COM-170</v>
      </c>
      <c r="G268" s="213"/>
      <c r="H268" s="213" t="str">
        <f>IFERROR(__xludf.DUMMYFUNCTION("""COMPUTED_VALUE"""),"EXPRIMIDORA")</f>
        <v>EXPRIMIDORA</v>
      </c>
      <c r="I268" s="213" t="str">
        <f>IFERROR(__xludf.DUMMYFUNCTION("""COMPUTED_VALUE"""),"· Capacidad mínima: 0.5 litros
· Potencia mínina: 160 vatios
· Voltaje 220v/60 HZ,  aismaliento mínimo clase II o estar preparado para aterrarse a través del encufe.
.  Material: de plástico, Acero inoxidable
· Apagado automático
· Boquilla de seguridad, "&amp;"que manteniéndola cerrada evita que el zumo se pierda
· Medidas aproximadas  0,3 x 0,2 x 0,3 m
· Cuenta con un brazo de palanca de aluminio fundido
· Para la instalación de este equipo se requiere un espacio no menos a  0.8 x 0.8 m. donde debe haber un pu"&amp;"nto de conexión eléctrica.
* Debe incluir una funda protectora impermeable para su almacenamiento.")</f>
        <v>· Capacidad mínima: 0.5 litros
· Potencia mínina: 160 vatios
· Voltaje 220v/60 HZ,  aismaliento mínimo clase II o estar preparado para aterrarse a través del encufe.
.  Material: de plástico, Acero inoxidable
· Apagado automático
· Boquilla de seguridad, que manteniéndola cerrada evita que el zumo se pierda
· Medidas aproximadas  0,3 x 0,2 x 0,3 m
· Cuenta con un brazo de palanca de aluminio fundido
· Para la instalación de este equipo se requiere un espacio no menos a  0.8 x 0.8 m. donde debe haber un punto de conexión eléctrica.
* Debe incluir una funda protectora impermeable para su almacenamiento.</v>
      </c>
      <c r="J268" s="213">
        <f>IFERROR(__xludf.DUMMYFUNCTION("""COMPUTED_VALUE"""),3.0)</f>
        <v>3</v>
      </c>
      <c r="K268" s="213" t="str">
        <f>IFERROR(__xludf.DUMMYFUNCTION("""COMPUTED_VALUE"""),"90 DÍAS CALENDARIO")</f>
        <v>90 DÍAS CALENDARIO</v>
      </c>
      <c r="L268" s="213" t="str">
        <f>IFERROR(__xludf.DUMMYFUNCTION("""COMPUTED_VALUE"""),"")</f>
        <v/>
      </c>
      <c r="M268" s="213">
        <f>IFERROR(__xludf.DUMMYFUNCTION("""COMPUTED_VALUE"""),1.0)</f>
        <v>1</v>
      </c>
      <c r="N268" s="213">
        <f>IFERROR(__xludf.DUMMYFUNCTION("""COMPUTED_VALUE"""),1.0)</f>
        <v>1</v>
      </c>
      <c r="O268" s="213">
        <f>IFERROR(__xludf.DUMMYFUNCTION("""COMPUTED_VALUE"""),1.0)</f>
        <v>1</v>
      </c>
      <c r="P268" s="213"/>
      <c r="Q268" s="213"/>
      <c r="R268" s="213" t="str">
        <f>IFERROR(__xludf.DUMMYFUNCTION("""COMPUTED_VALUE"""),"SI")</f>
        <v>SI</v>
      </c>
      <c r="S268" s="213"/>
      <c r="T268" s="213" t="str">
        <f>IFERROR(__xludf.DUMMYFUNCTION("""COMPUTED_VALUE"""),"SI")</f>
        <v>SI</v>
      </c>
      <c r="U268" s="213" t="str">
        <f>IFERROR(__xludf.DUMMYFUNCTION("""COMPUTED_VALUE"""),"SI")</f>
        <v>SI</v>
      </c>
      <c r="V268" s="213" t="str">
        <f>IFERROR(__xludf.DUMMYFUNCTION("""COMPUTED_VALUE"""),"-")</f>
        <v>-</v>
      </c>
      <c r="W268" s="213" t="str">
        <f>IFERROR(__xludf.DUMMYFUNCTION("""COMPUTED_VALUE"""),"-")</f>
        <v>-</v>
      </c>
      <c r="X268" s="213" t="str">
        <f>IFERROR(__xludf.DUMMYFUNCTION("""COMPUTED_VALUE"""),"DSP Professional")</f>
        <v>DSP Professional</v>
      </c>
      <c r="Y268" s="213">
        <f>IFERROR(__xludf.DUMMYFUNCTION("""COMPUTED_VALUE"""),3721294.0)</f>
        <v>3721294</v>
      </c>
      <c r="Z268" s="215" t="str">
        <f>IFERROR(__xludf.DUMMYFUNCTION("""COMPUTED_VALUE"""),"https://simple.ripley.com.pe/exprimidor-de-citricos-dsp-160-w-electrico-kj1051-pmp20000365151?srsltid=AfmBOop5GPvaAs9qjxGgD6beMUMPSS6wNTPVLkS2vpRug84HljfGNciF&amp;color_80=negro&amp;s=mdco")</f>
        <v>https://simple.ripley.com.pe/exprimidor-de-citricos-dsp-160-w-electrico-kj1051-pmp20000365151?srsltid=AfmBOop5GPvaAs9qjxGgD6beMUMPSS6wNTPVLkS2vpRug84HljfGNciF&amp;color_80=negro&amp;s=mdco</v>
      </c>
      <c r="AA268" s="213" t="str">
        <f>IFERROR(__xludf.DUMMYFUNCTION("""COMPUTED_VALUE"""),"COM-170 EXPRIMIDORA - CET")</f>
        <v>COM-170 EXPRIMIDORA - CET</v>
      </c>
      <c r="AB268" s="213"/>
      <c r="AC268" s="215" t="str">
        <f>IFERROR(__xludf.DUMMYFUNCTION("""COMPUTED_VALUE"""),"https://drive.google.com/file/d/1lokuK7hLvnpdnXNgTBbDMTia3WO5WYn4/view?usp=drive_link")</f>
        <v>https://drive.google.com/file/d/1lokuK7hLvnpdnXNgTBbDMTia3WO5WYn4/view?usp=drive_link</v>
      </c>
      <c r="AD268" s="213"/>
      <c r="AE268" s="213"/>
      <c r="AF268" s="213"/>
      <c r="AG268" s="213"/>
      <c r="AH268" s="213"/>
      <c r="AI268" s="213"/>
      <c r="AJ268" s="213"/>
      <c r="AK268" s="213"/>
      <c r="AL268" s="213"/>
      <c r="AM268" s="213"/>
      <c r="AN268" s="213"/>
      <c r="AO268" s="213"/>
      <c r="AP268" s="213" t="str">
        <f>IFERROR(__xludf.DUMMYFUNCTION("""COMPUTED_VALUE"""),"LUIS")</f>
        <v>LUIS</v>
      </c>
      <c r="AQ268" s="213"/>
      <c r="AR268" s="213"/>
      <c r="AS268" s="213"/>
      <c r="AT268" s="213"/>
      <c r="AU268" s="213"/>
      <c r="AV268" s="213"/>
      <c r="AW268" s="213"/>
      <c r="AX268" s="213"/>
      <c r="AY268" s="213"/>
      <c r="AZ268" s="213"/>
      <c r="BA268" s="213"/>
      <c r="BB268" s="213"/>
      <c r="BC268" s="213"/>
      <c r="BD268" s="213"/>
    </row>
    <row r="269">
      <c r="A269" s="213">
        <f>IFERROR(__xludf.DUMMYFUNCTION("""COMPUTED_VALUE"""),1792.0)</f>
        <v>1792</v>
      </c>
      <c r="B269" s="213" t="str">
        <f>IFERROR(__xludf.DUMMYFUNCTION("""COMPUTED_VALUE"""),"GUILLERMO E. BILLINGHURST ")</f>
        <v>GUILLERMO E. BILLINGHURST </v>
      </c>
      <c r="C269" s="213" t="str">
        <f>IFERROR(__xludf.DUMMYFUNCTION("""COMPUTED_VALUE"""),"TALLER SFT DE EBANISTERÍA")</f>
        <v>TALLER SFT DE EBANISTERÍA</v>
      </c>
      <c r="D269" s="213" t="str">
        <f>IFERROR(__xludf.DUMMYFUNCTION("""COMPUTED_VALUE"""),"HERRAMIENTAS")</f>
        <v>HERRAMIENTAS</v>
      </c>
      <c r="E269" s="213" t="str">
        <f>IFERROR(__xludf.DUMMYFUNCTION("""COMPUTED_VALUE"""),"COM-171")</f>
        <v>COM-171</v>
      </c>
      <c r="F269" s="213" t="str">
        <f>IFERROR(__xludf.DUMMYFUNCTION("""COMPUTED_VALUE"""),"COM-171")</f>
        <v>COM-171</v>
      </c>
      <c r="G269" s="213"/>
      <c r="H269" s="213" t="str">
        <f>IFERROR(__xludf.DUMMYFUNCTION("""COMPUTED_VALUE"""),"FALSA ESCUADRA")</f>
        <v>FALSA ESCUADRA</v>
      </c>
      <c r="I269" s="213" t="str">
        <f>IFERROR(__xludf.DUMMYFUNCTION("""COMPUTED_VALUE"""),"Transfiere un ángulo medido a una pieza a cortar o mecanizar. Longitud mínima de 250 mm.
La cuchilla puede apretarse con el tornillo del bastidor del final de la misma. Material: acero y plástico.")</f>
        <v>Transfiere un ángulo medido a una pieza a cortar o mecanizar. Longitud mínima de 250 mm.
La cuchilla puede apretarse con el tornillo del bastidor del final de la misma. Material: acero y plástico.</v>
      </c>
      <c r="J269" s="213">
        <f>IFERROR(__xludf.DUMMYFUNCTION("""COMPUTED_VALUE"""),3.0)</f>
        <v>3</v>
      </c>
      <c r="K269" s="213" t="str">
        <f>IFERROR(__xludf.DUMMYFUNCTION("""COMPUTED_VALUE"""),"90 DÍAS CALENDARIO")</f>
        <v>90 DÍAS CALENDARIO</v>
      </c>
      <c r="L269" s="213" t="str">
        <f>IFERROR(__xludf.DUMMYFUNCTION("""COMPUTED_VALUE"""),"")</f>
        <v/>
      </c>
      <c r="M269" s="213">
        <f>IFERROR(__xludf.DUMMYFUNCTION("""COMPUTED_VALUE"""),1.0)</f>
        <v>1</v>
      </c>
      <c r="N269" s="213">
        <f>IFERROR(__xludf.DUMMYFUNCTION("""COMPUTED_VALUE"""),4.0)</f>
        <v>4</v>
      </c>
      <c r="O269" s="213">
        <f>IFERROR(__xludf.DUMMYFUNCTION("""COMPUTED_VALUE"""),4.0)</f>
        <v>4</v>
      </c>
      <c r="P269" s="213"/>
      <c r="Q269" s="213"/>
      <c r="R269" s="213" t="str">
        <f>IFERROR(__xludf.DUMMYFUNCTION("""COMPUTED_VALUE"""),"SI")</f>
        <v>SI</v>
      </c>
      <c r="S269" s="213"/>
      <c r="T269" s="213" t="str">
        <f>IFERROR(__xludf.DUMMYFUNCTION("""COMPUTED_VALUE"""),"SI")</f>
        <v>SI</v>
      </c>
      <c r="U269" s="213" t="str">
        <f>IFERROR(__xludf.DUMMYFUNCTION("""COMPUTED_VALUE"""),"SI")</f>
        <v>SI</v>
      </c>
      <c r="V269" s="213" t="str">
        <f>IFERROR(__xludf.DUMMYFUNCTION("""COMPUTED_VALUE"""),"-")</f>
        <v>-</v>
      </c>
      <c r="W269" s="213" t="str">
        <f>IFERROR(__xludf.DUMMYFUNCTION("""COMPUTED_VALUE"""),"-")</f>
        <v>-</v>
      </c>
      <c r="X269" s="213" t="str">
        <f>IFERROR(__xludf.DUMMYFUNCTION("""COMPUTED_VALUE"""),"SOLA")</f>
        <v>SOLA</v>
      </c>
      <c r="Y269" s="213" t="str">
        <f>IFERROR(__xludf.DUMMYFUNCTION("""COMPUTED_VALUE"""),"VSTG 250")</f>
        <v>VSTG 250</v>
      </c>
      <c r="Z269" s="215" t="str">
        <f>IFERROR(__xludf.DUMMYFUNCTION("""COMPUTED_VALUE"""),"https://productos.aghasaturis.com/pdf/2056945")</f>
        <v>https://productos.aghasaturis.com/pdf/2056945</v>
      </c>
      <c r="AA269" s="213" t="str">
        <f>IFERROR(__xludf.DUMMYFUNCTION("""COMPUTED_VALUE"""),"COM-171 FALSA ESCUADRA - CET")</f>
        <v>COM-171 FALSA ESCUADRA - CET</v>
      </c>
      <c r="AB269" s="213"/>
      <c r="AC269" s="215" t="str">
        <f>IFERROR(__xludf.DUMMYFUNCTION("""COMPUTED_VALUE"""),"https://drive.google.com/file/d/1DhN-qBqOPB7WcKkH-siolO4n5k-8_T1h/view?usp=sharing")</f>
        <v>https://drive.google.com/file/d/1DhN-qBqOPB7WcKkH-siolO4n5k-8_T1h/view?usp=sharing</v>
      </c>
      <c r="AD269" s="213"/>
      <c r="AE269" s="213"/>
      <c r="AF269" s="213"/>
      <c r="AG269" s="213"/>
      <c r="AH269" s="213" t="str">
        <f>IFERROR(__xludf.DUMMYFUNCTION("""COMPUTED_VALUE"""),"IMPORTADO")</f>
        <v>IMPORTADO</v>
      </c>
      <c r="AI269" s="213"/>
      <c r="AJ269" s="213"/>
      <c r="AK269" s="213"/>
      <c r="AL269" s="213"/>
      <c r="AM269" s="213"/>
      <c r="AN269" s="213"/>
      <c r="AO269" s="213"/>
      <c r="AP269" s="213" t="str">
        <f>IFERROR(__xludf.DUMMYFUNCTION("""COMPUTED_VALUE"""),"SEBASTIAN")</f>
        <v>SEBASTIAN</v>
      </c>
      <c r="AQ269" s="213"/>
      <c r="AR269" s="213"/>
      <c r="AS269" s="213"/>
      <c r="AT269" s="213"/>
      <c r="AU269" s="213"/>
      <c r="AV269" s="213"/>
      <c r="AW269" s="213"/>
      <c r="AX269" s="213"/>
      <c r="AY269" s="213"/>
      <c r="AZ269" s="213"/>
      <c r="BA269" s="213"/>
      <c r="BB269" s="213"/>
      <c r="BC269" s="213"/>
      <c r="BD269" s="213"/>
    </row>
    <row r="270">
      <c r="A270" s="213">
        <f>IFERROR(__xludf.DUMMYFUNCTION("""COMPUTED_VALUE"""),2574.0)</f>
        <v>2574</v>
      </c>
      <c r="B270" s="213" t="str">
        <f>IFERROR(__xludf.DUMMYFUNCTION("""COMPUTED_VALUE"""),"MANUEL ANTONIO MESONES MURO")</f>
        <v>MANUEL ANTONIO MESONES MURO</v>
      </c>
      <c r="C270" s="213" t="str">
        <f>IFERROR(__xludf.DUMMYFUNCTION("""COMPUTED_VALUE"""),"TALLER SFT DE EBANISTERÍA")</f>
        <v>TALLER SFT DE EBANISTERÍA</v>
      </c>
      <c r="D270" s="213" t="str">
        <f>IFERROR(__xludf.DUMMYFUNCTION("""COMPUTED_VALUE"""),"HERRAMIENTAS")</f>
        <v>HERRAMIENTAS</v>
      </c>
      <c r="E270" s="213" t="str">
        <f>IFERROR(__xludf.DUMMYFUNCTION("""COMPUTED_VALUE"""),"COM-171")</f>
        <v>COM-171</v>
      </c>
      <c r="F270" s="213" t="str">
        <f>IFERROR(__xludf.DUMMYFUNCTION("""COMPUTED_VALUE"""),"COM-171")</f>
        <v>COM-171</v>
      </c>
      <c r="G270" s="213"/>
      <c r="H270" s="213" t="str">
        <f>IFERROR(__xludf.DUMMYFUNCTION("""COMPUTED_VALUE"""),"FALSA ESCUADRA")</f>
        <v>FALSA ESCUADRA</v>
      </c>
      <c r="I270" s="213" t="str">
        <f>IFERROR(__xludf.DUMMYFUNCTION("""COMPUTED_VALUE"""),"Transfiere un ángulo medido a una pieza a cortar o mecanizar. Longitud mínima de 250 mm.
La cuchilla puede apretarse con el tornillo del bastidor del final de la misma. Material: acero y plástico.")</f>
        <v>Transfiere un ángulo medido a una pieza a cortar o mecanizar. Longitud mínima de 250 mm.
La cuchilla puede apretarse con el tornillo del bastidor del final de la misma. Material: acero y plástico.</v>
      </c>
      <c r="J270" s="213">
        <f>IFERROR(__xludf.DUMMYFUNCTION("""COMPUTED_VALUE"""),3.0)</f>
        <v>3</v>
      </c>
      <c r="K270" s="213" t="str">
        <f>IFERROR(__xludf.DUMMYFUNCTION("""COMPUTED_VALUE"""),"90 DÍAS CALENDARIO")</f>
        <v>90 DÍAS CALENDARIO</v>
      </c>
      <c r="L270" s="213" t="str">
        <f>IFERROR(__xludf.DUMMYFUNCTION("""COMPUTED_VALUE"""),"")</f>
        <v/>
      </c>
      <c r="M270" s="213">
        <f>IFERROR(__xludf.DUMMYFUNCTION("""COMPUTED_VALUE"""),1.0)</f>
        <v>1</v>
      </c>
      <c r="N270" s="213">
        <f>IFERROR(__xludf.DUMMYFUNCTION("""COMPUTED_VALUE"""),4.0)</f>
        <v>4</v>
      </c>
      <c r="O270" s="213">
        <f>IFERROR(__xludf.DUMMYFUNCTION("""COMPUTED_VALUE"""),4.0)</f>
        <v>4</v>
      </c>
      <c r="P270" s="213"/>
      <c r="Q270" s="213"/>
      <c r="R270" s="213" t="str">
        <f>IFERROR(__xludf.DUMMYFUNCTION("""COMPUTED_VALUE"""),"SI")</f>
        <v>SI</v>
      </c>
      <c r="S270" s="213"/>
      <c r="T270" s="213" t="str">
        <f>IFERROR(__xludf.DUMMYFUNCTION("""COMPUTED_VALUE"""),"SI")</f>
        <v>SI</v>
      </c>
      <c r="U270" s="213" t="str">
        <f>IFERROR(__xludf.DUMMYFUNCTION("""COMPUTED_VALUE"""),"SI")</f>
        <v>SI</v>
      </c>
      <c r="V270" s="213" t="str">
        <f>IFERROR(__xludf.DUMMYFUNCTION("""COMPUTED_VALUE"""),"-")</f>
        <v>-</v>
      </c>
      <c r="W270" s="213" t="str">
        <f>IFERROR(__xludf.DUMMYFUNCTION("""COMPUTED_VALUE"""),"-")</f>
        <v>-</v>
      </c>
      <c r="X270" s="213" t="str">
        <f>IFERROR(__xludf.DUMMYFUNCTION("""COMPUTED_VALUE"""),"SOLA")</f>
        <v>SOLA</v>
      </c>
      <c r="Y270" s="213" t="str">
        <f>IFERROR(__xludf.DUMMYFUNCTION("""COMPUTED_VALUE"""),"VSTG 250")</f>
        <v>VSTG 250</v>
      </c>
      <c r="Z270" s="215" t="str">
        <f>IFERROR(__xludf.DUMMYFUNCTION("""COMPUTED_VALUE"""),"https://productos.aghasaturis.com/pdf/2056945")</f>
        <v>https://productos.aghasaturis.com/pdf/2056945</v>
      </c>
      <c r="AA270" s="213" t="str">
        <f>IFERROR(__xludf.DUMMYFUNCTION("""COMPUTED_VALUE"""),"COM-171 FALSA ESCUADRA - CET")</f>
        <v>COM-171 FALSA ESCUADRA - CET</v>
      </c>
      <c r="AB270" s="213"/>
      <c r="AC270" s="215" t="str">
        <f>IFERROR(__xludf.DUMMYFUNCTION("""COMPUTED_VALUE"""),"https://drive.google.com/file/d/1DhN-qBqOPB7WcKkH-siolO4n5k-8_T1h/view?usp=sharing")</f>
        <v>https://drive.google.com/file/d/1DhN-qBqOPB7WcKkH-siolO4n5k-8_T1h/view?usp=sharing</v>
      </c>
      <c r="AD270" s="213"/>
      <c r="AE270" s="213"/>
      <c r="AF270" s="213"/>
      <c r="AG270" s="213"/>
      <c r="AH270" s="213" t="str">
        <f>IFERROR(__xludf.DUMMYFUNCTION("""COMPUTED_VALUE"""),"IMPORTADO")</f>
        <v>IMPORTADO</v>
      </c>
      <c r="AI270" s="213"/>
      <c r="AJ270" s="213"/>
      <c r="AK270" s="213"/>
      <c r="AL270" s="213"/>
      <c r="AM270" s="213"/>
      <c r="AN270" s="213"/>
      <c r="AO270" s="213"/>
      <c r="AP270" s="213" t="str">
        <f>IFERROR(__xludf.DUMMYFUNCTION("""COMPUTED_VALUE"""),"SEBASTIAN")</f>
        <v>SEBASTIAN</v>
      </c>
      <c r="AQ270" s="213"/>
      <c r="AR270" s="213"/>
      <c r="AS270" s="213"/>
      <c r="AT270" s="213"/>
      <c r="AU270" s="213"/>
      <c r="AV270" s="213"/>
      <c r="AW270" s="213"/>
      <c r="AX270" s="213"/>
      <c r="AY270" s="213"/>
      <c r="AZ270" s="213"/>
      <c r="BA270" s="213"/>
      <c r="BB270" s="213"/>
      <c r="BC270" s="213"/>
      <c r="BD270" s="213"/>
    </row>
    <row r="271">
      <c r="A271" s="213">
        <f>IFERROR(__xludf.DUMMYFUNCTION("""COMPUTED_VALUE"""),946.0)</f>
        <v>946</v>
      </c>
      <c r="B271" s="213" t="str">
        <f>IFERROR(__xludf.DUMMYFUNCTION("""COMPUTED_VALUE"""),"FRANCISCO IRAZOLA")</f>
        <v>FRANCISCO IRAZOLA</v>
      </c>
      <c r="C271" s="213" t="str">
        <f>IFERROR(__xludf.DUMMYFUNCTION("""COMPUTED_VALUE"""),"TALLER SFT DE MECÁNICA AUTOMOTRIZ")</f>
        <v>TALLER SFT DE MECÁNICA AUTOMOTRIZ</v>
      </c>
      <c r="D271" s="213" t="str">
        <f>IFERROR(__xludf.DUMMYFUNCTION("""COMPUTED_VALUE"""),"HERRAMIENTAS")</f>
        <v>HERRAMIENTAS</v>
      </c>
      <c r="E271" s="213" t="str">
        <f>IFERROR(__xludf.DUMMYFUNCTION("""COMPUTED_VALUE"""),"COM-172")</f>
        <v>COM-172</v>
      </c>
      <c r="F271" s="213" t="str">
        <f>IFERROR(__xludf.DUMMYFUNCTION("""COMPUTED_VALUE"""),"COM-172-X")</f>
        <v>COM-172-X</v>
      </c>
      <c r="G271" s="213"/>
      <c r="H271" s="213" t="str">
        <f>IFERROR(__xludf.DUMMYFUNCTION("""COMPUTED_VALUE"""),"GONIÓMETRO DIGITAL")</f>
        <v>GONIÓMETRO DIGITAL</v>
      </c>
      <c r="I271" s="213" t="str">
        <f>IFERROR(__xludf.DUMMYFUNCTION("""COMPUTED_VALUE"""),"Goniómetro digital con ejes verticales y horizontales
- Los niveles verticales y horizontales absolutas integrales se incorporan de forma permanente en el brazo del goniómetro digital.
- El exterior es de acero con recubrimiento de pintura en polvo con ma"&amp;"rcas de pulgadas / cm impresas en los brazos.
- Tiene capacidad de congelar la medición de ángulos.
- Lee 0° - 180° en la pantalla LCD.
- Alimentado por una batería de 9 V.")</f>
        <v>Goniómetro digital con ejes verticales y horizontales
- Los niveles verticales y horizontales absolutas integrales se incorporan de forma permanente en el brazo del goniómetro digital.
- El exterior es de acero con recubrimiento de pintura en polvo con marcas de pulgadas / cm impresas en los brazos.
- Tiene capacidad de congelar la medición de ángulos.
- Lee 0° - 180° en la pantalla LCD.
- Alimentado por una batería de 9 V.</v>
      </c>
      <c r="J271" s="213">
        <f>IFERROR(__xludf.DUMMYFUNCTION("""COMPUTED_VALUE"""),3.0)</f>
        <v>3</v>
      </c>
      <c r="K271" s="213" t="str">
        <f>IFERROR(__xludf.DUMMYFUNCTION("""COMPUTED_VALUE"""),"90 DÍAS CALENDARIO")</f>
        <v>90 DÍAS CALENDARIO</v>
      </c>
      <c r="L271" s="213" t="str">
        <f>IFERROR(__xludf.DUMMYFUNCTION("""COMPUTED_VALUE"""),"")</f>
        <v/>
      </c>
      <c r="M271" s="213">
        <f>IFERROR(__xludf.DUMMYFUNCTION("""COMPUTED_VALUE"""),1.0)</f>
        <v>1</v>
      </c>
      <c r="N271" s="213">
        <f>IFERROR(__xludf.DUMMYFUNCTION("""COMPUTED_VALUE"""),4.0)</f>
        <v>4</v>
      </c>
      <c r="O271" s="213">
        <f>IFERROR(__xludf.DUMMYFUNCTION("""COMPUTED_VALUE"""),4.0)</f>
        <v>4</v>
      </c>
      <c r="P271" s="213"/>
      <c r="Q271" s="213"/>
      <c r="R271" s="213" t="str">
        <f>IFERROR(__xludf.DUMMYFUNCTION("""COMPUTED_VALUE"""),"SI")</f>
        <v>SI</v>
      </c>
      <c r="S271" s="213"/>
      <c r="T271" s="213" t="str">
        <f>IFERROR(__xludf.DUMMYFUNCTION("""COMPUTED_VALUE"""),"SI")</f>
        <v>SI</v>
      </c>
      <c r="U271" s="213" t="str">
        <f>IFERROR(__xludf.DUMMYFUNCTION("""COMPUTED_VALUE"""),"SI")</f>
        <v>SI</v>
      </c>
      <c r="V271" s="213" t="str">
        <f>IFERROR(__xludf.DUMMYFUNCTION("""COMPUTED_VALUE"""),"-")</f>
        <v>-</v>
      </c>
      <c r="W271" s="213" t="str">
        <f>IFERROR(__xludf.DUMMYFUNCTION("""COMPUTED_VALUE"""),"-")</f>
        <v>-</v>
      </c>
      <c r="X271" s="213" t="str">
        <f>IFERROR(__xludf.DUMMYFUNCTION("""COMPUTED_VALUE"""),"BOSCH")</f>
        <v>BOSCH</v>
      </c>
      <c r="Y271" s="213" t="str">
        <f>IFERROR(__xludf.DUMMYFUNCTION("""COMPUTED_VALUE"""),"GAM 220 MF")</f>
        <v>GAM 220 MF</v>
      </c>
      <c r="Z271" s="215" t="str">
        <f>IFERROR(__xludf.DUMMYFUNCTION("""COMPUTED_VALUE"""),"https://www.bosch-professional.com/pe/es/products/gam-220-mf-0601076600")</f>
        <v>https://www.bosch-professional.com/pe/es/products/gam-220-mf-0601076600</v>
      </c>
      <c r="AA271" s="213" t="str">
        <f>IFERROR(__xludf.DUMMYFUNCTION("""COMPUTED_VALUE"""),"COM-172-X GONIOMETRO DIGITAL - CET")</f>
        <v>COM-172-X GONIOMETRO DIGITAL - CET</v>
      </c>
      <c r="AB271" s="213"/>
      <c r="AC271" s="213"/>
      <c r="AD271" s="213"/>
      <c r="AE271" s="213"/>
      <c r="AF271" s="213"/>
      <c r="AG271" s="213"/>
      <c r="AH271" s="213"/>
      <c r="AI271" s="213"/>
      <c r="AJ271" s="213"/>
      <c r="AK271" s="213"/>
      <c r="AL271" s="213"/>
      <c r="AM271" s="213"/>
      <c r="AN271" s="213"/>
      <c r="AO271" s="213"/>
      <c r="AP271" s="213" t="str">
        <f>IFERROR(__xludf.DUMMYFUNCTION("""COMPUTED_VALUE"""),"LUIS")</f>
        <v>LUIS</v>
      </c>
      <c r="AQ271" s="213"/>
      <c r="AR271" s="213"/>
      <c r="AS271" s="213"/>
      <c r="AT271" s="213"/>
      <c r="AU271" s="213"/>
      <c r="AV271" s="213"/>
      <c r="AW271" s="213"/>
      <c r="AX271" s="213"/>
      <c r="AY271" s="213"/>
      <c r="AZ271" s="213"/>
      <c r="BA271" s="213"/>
      <c r="BB271" s="213"/>
      <c r="BC271" s="213"/>
      <c r="BD271" s="213"/>
    </row>
    <row r="272">
      <c r="A272" s="213">
        <f>IFERROR(__xludf.DUMMYFUNCTION("""COMPUTED_VALUE"""),1547.0)</f>
        <v>1547</v>
      </c>
      <c r="B272" s="213" t="str">
        <f>IFERROR(__xludf.DUMMYFUNCTION("""COMPUTED_VALUE"""),"GUILLERMO E. BILLINGHURST ")</f>
        <v>GUILLERMO E. BILLINGHURST </v>
      </c>
      <c r="C272" s="213" t="str">
        <f>IFERROR(__xludf.DUMMYFUNCTION("""COMPUTED_VALUE"""),"TALLER SFT DE MECÁNICA AUTOMOTRIZ")</f>
        <v>TALLER SFT DE MECÁNICA AUTOMOTRIZ</v>
      </c>
      <c r="D272" s="213" t="str">
        <f>IFERROR(__xludf.DUMMYFUNCTION("""COMPUTED_VALUE"""),"HERRAMIENTAS")</f>
        <v>HERRAMIENTAS</v>
      </c>
      <c r="E272" s="213" t="str">
        <f>IFERROR(__xludf.DUMMYFUNCTION("""COMPUTED_VALUE"""),"COM-172")</f>
        <v>COM-172</v>
      </c>
      <c r="F272" s="213" t="str">
        <f>IFERROR(__xludf.DUMMYFUNCTION("""COMPUTED_VALUE"""),"COM-172-X")</f>
        <v>COM-172-X</v>
      </c>
      <c r="G272" s="213"/>
      <c r="H272" s="213" t="str">
        <f>IFERROR(__xludf.DUMMYFUNCTION("""COMPUTED_VALUE"""),"GONIÓMETRO DIGITAL")</f>
        <v>GONIÓMETRO DIGITAL</v>
      </c>
      <c r="I272" s="213" t="str">
        <f>IFERROR(__xludf.DUMMYFUNCTION("""COMPUTED_VALUE"""),"Goniómetro digital con ejes verticales y horizontales
- Los niveles verticales y horizontales absolutas integrales se incorporan de forma permanente en el brazo del goniómetro digital.
- El exterior es de acero con recubrimiento de pintura en polvo con ma"&amp;"rcas de pulgadas / cm impresas en los brazos.
- Tiene capacidad de congelar la medición de ángulos.
- Lee 0° - 180° en la pantalla LCD.
- Alimentado por una batería de 9 V.")</f>
        <v>Goniómetro digital con ejes verticales y horizontales
- Los niveles verticales y horizontales absolutas integrales se incorporan de forma permanente en el brazo del goniómetro digital.
- El exterior es de acero con recubrimiento de pintura en polvo con marcas de pulgadas / cm impresas en los brazos.
- Tiene capacidad de congelar la medición de ángulos.
- Lee 0° - 180° en la pantalla LCD.
- Alimentado por una batería de 9 V.</v>
      </c>
      <c r="J272" s="213">
        <f>IFERROR(__xludf.DUMMYFUNCTION("""COMPUTED_VALUE"""),3.0)</f>
        <v>3</v>
      </c>
      <c r="K272" s="213" t="str">
        <f>IFERROR(__xludf.DUMMYFUNCTION("""COMPUTED_VALUE"""),"90 DÍAS CALENDARIO")</f>
        <v>90 DÍAS CALENDARIO</v>
      </c>
      <c r="L272" s="213" t="str">
        <f>IFERROR(__xludf.DUMMYFUNCTION("""COMPUTED_VALUE"""),"")</f>
        <v/>
      </c>
      <c r="M272" s="213">
        <f>IFERROR(__xludf.DUMMYFUNCTION("""COMPUTED_VALUE"""),1.0)</f>
        <v>1</v>
      </c>
      <c r="N272" s="213">
        <f>IFERROR(__xludf.DUMMYFUNCTION("""COMPUTED_VALUE"""),4.0)</f>
        <v>4</v>
      </c>
      <c r="O272" s="213">
        <f>IFERROR(__xludf.DUMMYFUNCTION("""COMPUTED_VALUE"""),4.0)</f>
        <v>4</v>
      </c>
      <c r="P272" s="213"/>
      <c r="Q272" s="213"/>
      <c r="R272" s="213" t="str">
        <f>IFERROR(__xludf.DUMMYFUNCTION("""COMPUTED_VALUE"""),"SI")</f>
        <v>SI</v>
      </c>
      <c r="S272" s="213"/>
      <c r="T272" s="213" t="str">
        <f>IFERROR(__xludf.DUMMYFUNCTION("""COMPUTED_VALUE"""),"SI")</f>
        <v>SI</v>
      </c>
      <c r="U272" s="213" t="str">
        <f>IFERROR(__xludf.DUMMYFUNCTION("""COMPUTED_VALUE"""),"SI")</f>
        <v>SI</v>
      </c>
      <c r="V272" s="213" t="str">
        <f>IFERROR(__xludf.DUMMYFUNCTION("""COMPUTED_VALUE"""),"-")</f>
        <v>-</v>
      </c>
      <c r="W272" s="213" t="str">
        <f>IFERROR(__xludf.DUMMYFUNCTION("""COMPUTED_VALUE"""),"-")</f>
        <v>-</v>
      </c>
      <c r="X272" s="213" t="str">
        <f>IFERROR(__xludf.DUMMYFUNCTION("""COMPUTED_VALUE"""),"BOSCH")</f>
        <v>BOSCH</v>
      </c>
      <c r="Y272" s="213" t="str">
        <f>IFERROR(__xludf.DUMMYFUNCTION("""COMPUTED_VALUE"""),"GAM 220 MF")</f>
        <v>GAM 220 MF</v>
      </c>
      <c r="Z272" s="215" t="str">
        <f>IFERROR(__xludf.DUMMYFUNCTION("""COMPUTED_VALUE"""),"https://www.bosch-professional.com/pe/es/products/gam-220-mf-0601076600")</f>
        <v>https://www.bosch-professional.com/pe/es/products/gam-220-mf-0601076600</v>
      </c>
      <c r="AA272" s="213" t="str">
        <f>IFERROR(__xludf.DUMMYFUNCTION("""COMPUTED_VALUE"""),"COM-172-X GONIOMETRO DIGITAL - CET")</f>
        <v>COM-172-X GONIOMETRO DIGITAL - CET</v>
      </c>
      <c r="AB272" s="213"/>
      <c r="AC272" s="213"/>
      <c r="AD272" s="213"/>
      <c r="AE272" s="213"/>
      <c r="AF272" s="213"/>
      <c r="AG272" s="213"/>
      <c r="AH272" s="213"/>
      <c r="AI272" s="213"/>
      <c r="AJ272" s="213"/>
      <c r="AK272" s="213"/>
      <c r="AL272" s="213"/>
      <c r="AM272" s="213"/>
      <c r="AN272" s="213"/>
      <c r="AO272" s="213"/>
      <c r="AP272" s="213" t="str">
        <f>IFERROR(__xludf.DUMMYFUNCTION("""COMPUTED_VALUE"""),"LUIS")</f>
        <v>LUIS</v>
      </c>
      <c r="AQ272" s="213"/>
      <c r="AR272" s="213"/>
      <c r="AS272" s="213"/>
      <c r="AT272" s="213"/>
      <c r="AU272" s="213"/>
      <c r="AV272" s="213"/>
      <c r="AW272" s="213"/>
      <c r="AX272" s="213"/>
      <c r="AY272" s="213"/>
      <c r="AZ272" s="213"/>
      <c r="BA272" s="213"/>
      <c r="BB272" s="213"/>
      <c r="BC272" s="213"/>
      <c r="BD272" s="213"/>
    </row>
    <row r="273">
      <c r="A273" s="213">
        <f>IFERROR(__xludf.DUMMYFUNCTION("""COMPUTED_VALUE"""),2239.0)</f>
        <v>2239</v>
      </c>
      <c r="B273" s="213" t="str">
        <f>IFERROR(__xludf.DUMMYFUNCTION("""COMPUTED_VALUE"""),"JOSE GRANDA")</f>
        <v>JOSE GRANDA</v>
      </c>
      <c r="C273" s="213" t="str">
        <f>IFERROR(__xludf.DUMMYFUNCTION("""COMPUTED_VALUE"""),"TALLER SFT DE MECÁNICA AUTOMOTRIZ")</f>
        <v>TALLER SFT DE MECÁNICA AUTOMOTRIZ</v>
      </c>
      <c r="D273" s="213" t="str">
        <f>IFERROR(__xludf.DUMMYFUNCTION("""COMPUTED_VALUE"""),"HERRAMIENTAS")</f>
        <v>HERRAMIENTAS</v>
      </c>
      <c r="E273" s="213" t="str">
        <f>IFERROR(__xludf.DUMMYFUNCTION("""COMPUTED_VALUE"""),"COM-172")</f>
        <v>COM-172</v>
      </c>
      <c r="F273" s="213" t="str">
        <f>IFERROR(__xludf.DUMMYFUNCTION("""COMPUTED_VALUE"""),"COM-172-X")</f>
        <v>COM-172-X</v>
      </c>
      <c r="G273" s="213"/>
      <c r="H273" s="213" t="str">
        <f>IFERROR(__xludf.DUMMYFUNCTION("""COMPUTED_VALUE"""),"GONIÓMETRO DIGITAL")</f>
        <v>GONIÓMETRO DIGITAL</v>
      </c>
      <c r="I273" s="213" t="str">
        <f>IFERROR(__xludf.DUMMYFUNCTION("""COMPUTED_VALUE"""),"Goniómetro digital con ejes verticales y horizontales
- Los niveles verticales y horizontales absolutas integrales se incorporan de forma permanente en el brazo del goniómetro digital.
- El exterior es de acero con recubrimiento de pintura en polvo con ma"&amp;"rcas de pulgadas / cm impresas en los brazos.
- Tiene capacidad de congelar la medición de ángulos.
- Lee 0° - 180° en la pantalla LCD.
- Alimentado por una batería de 9 V.")</f>
        <v>Goniómetro digital con ejes verticales y horizontales
- Los niveles verticales y horizontales absolutas integrales se incorporan de forma permanente en el brazo del goniómetro digital.
- El exterior es de acero con recubrimiento de pintura en polvo con marcas de pulgadas / cm impresas en los brazos.
- Tiene capacidad de congelar la medición de ángulos.
- Lee 0° - 180° en la pantalla LCD.
- Alimentado por una batería de 9 V.</v>
      </c>
      <c r="J273" s="213">
        <f>IFERROR(__xludf.DUMMYFUNCTION("""COMPUTED_VALUE"""),3.0)</f>
        <v>3</v>
      </c>
      <c r="K273" s="213" t="str">
        <f>IFERROR(__xludf.DUMMYFUNCTION("""COMPUTED_VALUE"""),"90 DÍAS CALENDARIO")</f>
        <v>90 DÍAS CALENDARIO</v>
      </c>
      <c r="L273" s="213" t="str">
        <f>IFERROR(__xludf.DUMMYFUNCTION("""COMPUTED_VALUE"""),"")</f>
        <v/>
      </c>
      <c r="M273" s="213">
        <f>IFERROR(__xludf.DUMMYFUNCTION("""COMPUTED_VALUE"""),1.0)</f>
        <v>1</v>
      </c>
      <c r="N273" s="213">
        <f>IFERROR(__xludf.DUMMYFUNCTION("""COMPUTED_VALUE"""),4.0)</f>
        <v>4</v>
      </c>
      <c r="O273" s="213">
        <f>IFERROR(__xludf.DUMMYFUNCTION("""COMPUTED_VALUE"""),4.0)</f>
        <v>4</v>
      </c>
      <c r="P273" s="213"/>
      <c r="Q273" s="213"/>
      <c r="R273" s="213" t="str">
        <f>IFERROR(__xludf.DUMMYFUNCTION("""COMPUTED_VALUE"""),"SI")</f>
        <v>SI</v>
      </c>
      <c r="S273" s="213"/>
      <c r="T273" s="213" t="str">
        <f>IFERROR(__xludf.DUMMYFUNCTION("""COMPUTED_VALUE"""),"SI")</f>
        <v>SI</v>
      </c>
      <c r="U273" s="213" t="str">
        <f>IFERROR(__xludf.DUMMYFUNCTION("""COMPUTED_VALUE"""),"SI")</f>
        <v>SI</v>
      </c>
      <c r="V273" s="213" t="str">
        <f>IFERROR(__xludf.DUMMYFUNCTION("""COMPUTED_VALUE"""),"-")</f>
        <v>-</v>
      </c>
      <c r="W273" s="213" t="str">
        <f>IFERROR(__xludf.DUMMYFUNCTION("""COMPUTED_VALUE"""),"-")</f>
        <v>-</v>
      </c>
      <c r="X273" s="213" t="str">
        <f>IFERROR(__xludf.DUMMYFUNCTION("""COMPUTED_VALUE"""),"BOSCH")</f>
        <v>BOSCH</v>
      </c>
      <c r="Y273" s="213" t="str">
        <f>IFERROR(__xludf.DUMMYFUNCTION("""COMPUTED_VALUE"""),"GAM 220 MF")</f>
        <v>GAM 220 MF</v>
      </c>
      <c r="Z273" s="215" t="str">
        <f>IFERROR(__xludf.DUMMYFUNCTION("""COMPUTED_VALUE"""),"https://www.bosch-professional.com/pe/es/products/gam-220-mf-0601076600")</f>
        <v>https://www.bosch-professional.com/pe/es/products/gam-220-mf-0601076600</v>
      </c>
      <c r="AA273" s="213" t="str">
        <f>IFERROR(__xludf.DUMMYFUNCTION("""COMPUTED_VALUE"""),"COM-172-X GONIOMETRO DIGITAL - CET")</f>
        <v>COM-172-X GONIOMETRO DIGITAL - CET</v>
      </c>
      <c r="AB273" s="213"/>
      <c r="AC273" s="213"/>
      <c r="AD273" s="213"/>
      <c r="AE273" s="213"/>
      <c r="AF273" s="213"/>
      <c r="AG273" s="213"/>
      <c r="AH273" s="213"/>
      <c r="AI273" s="213"/>
      <c r="AJ273" s="213"/>
      <c r="AK273" s="213"/>
      <c r="AL273" s="213"/>
      <c r="AM273" s="213"/>
      <c r="AN273" s="213"/>
      <c r="AO273" s="213"/>
      <c r="AP273" s="213" t="str">
        <f>IFERROR(__xludf.DUMMYFUNCTION("""COMPUTED_VALUE"""),"LUIS")</f>
        <v>LUIS</v>
      </c>
      <c r="AQ273" s="213"/>
      <c r="AR273" s="213"/>
      <c r="AS273" s="213"/>
      <c r="AT273" s="213"/>
      <c r="AU273" s="213"/>
      <c r="AV273" s="213"/>
      <c r="AW273" s="213"/>
      <c r="AX273" s="213"/>
      <c r="AY273" s="213"/>
      <c r="AZ273" s="213"/>
      <c r="BA273" s="213"/>
      <c r="BB273" s="213"/>
      <c r="BC273" s="213"/>
      <c r="BD273" s="213"/>
    </row>
    <row r="274">
      <c r="A274" s="213">
        <f>IFERROR(__xludf.DUMMYFUNCTION("""COMPUTED_VALUE"""),2480.0)</f>
        <v>2480</v>
      </c>
      <c r="B274" s="213" t="str">
        <f>IFERROR(__xludf.DUMMYFUNCTION("""COMPUTED_VALUE"""),"MANUEL ANTONIO MESONES MURO")</f>
        <v>MANUEL ANTONIO MESONES MURO</v>
      </c>
      <c r="C274" s="213" t="str">
        <f>IFERROR(__xludf.DUMMYFUNCTION("""COMPUTED_VALUE"""),"TALLER SFT DE CONSTRUCCIONES METÁLICAS")</f>
        <v>TALLER SFT DE CONSTRUCCIONES METÁLICAS</v>
      </c>
      <c r="D274" s="213" t="str">
        <f>IFERROR(__xludf.DUMMYFUNCTION("""COMPUTED_VALUE"""),"HERRAMIENTAS")</f>
        <v>HERRAMIENTAS</v>
      </c>
      <c r="E274" s="213" t="str">
        <f>IFERROR(__xludf.DUMMYFUNCTION("""COMPUTED_VALUE"""),"COM-124")</f>
        <v>COM-124</v>
      </c>
      <c r="F274" s="213" t="str">
        <f>IFERROR(__xludf.DUMMYFUNCTION("""COMPUTED_VALUE"""),"COM-124")</f>
        <v>COM-124</v>
      </c>
      <c r="G274" s="213"/>
      <c r="H274" s="213" t="str">
        <f>IFERROR(__xludf.DUMMYFUNCTION("""COMPUTED_VALUE"""),"CALIBRADOR ANALÓGICO")</f>
        <v>CALIBRADOR ANALÓGICO</v>
      </c>
      <c r="I274" s="213" t="str">
        <f>IFERROR(__xludf.DUMMYFUNCTION("""COMPUTED_VALUE"""),"Calibrado analógico en milímetros y pulgadas Tipo de medida:
-        Pulgada 6”
-        Milímetros 150 mm")</f>
        <v>Calibrado analógico en milímetros y pulgadas Tipo de medida:
-        Pulgada 6”
-        Milímetros 150 mm</v>
      </c>
      <c r="J274" s="213">
        <f>IFERROR(__xludf.DUMMYFUNCTION("""COMPUTED_VALUE"""),3.0)</f>
        <v>3</v>
      </c>
      <c r="K274" s="213" t="str">
        <f>IFERROR(__xludf.DUMMYFUNCTION("""COMPUTED_VALUE"""),"90 DÍAS CALENDARIO")</f>
        <v>90 DÍAS CALENDARIO</v>
      </c>
      <c r="L274" s="213" t="str">
        <f>IFERROR(__xludf.DUMMYFUNCTION("""COMPUTED_VALUE"""),"")</f>
        <v/>
      </c>
      <c r="M274" s="213">
        <f>IFERROR(__xludf.DUMMYFUNCTION("""COMPUTED_VALUE"""),1.0)</f>
        <v>1</v>
      </c>
      <c r="N274" s="213">
        <f>IFERROR(__xludf.DUMMYFUNCTION("""COMPUTED_VALUE"""),10.0)</f>
        <v>10</v>
      </c>
      <c r="O274" s="213">
        <f>IFERROR(__xludf.DUMMYFUNCTION("""COMPUTED_VALUE"""),10.0)</f>
        <v>10</v>
      </c>
      <c r="P274" s="213"/>
      <c r="Q274" s="213"/>
      <c r="R274" s="213" t="str">
        <f>IFERROR(__xludf.DUMMYFUNCTION("""COMPUTED_VALUE"""),"SI")</f>
        <v>SI</v>
      </c>
      <c r="S274" s="213"/>
      <c r="T274" s="213" t="str">
        <f>IFERROR(__xludf.DUMMYFUNCTION("""COMPUTED_VALUE"""),"SI")</f>
        <v>SI</v>
      </c>
      <c r="U274" s="213" t="str">
        <f>IFERROR(__xludf.DUMMYFUNCTION("""COMPUTED_VALUE"""),"SI")</f>
        <v>SI</v>
      </c>
      <c r="V274" s="213" t="str">
        <f>IFERROR(__xludf.DUMMYFUNCTION("""COMPUTED_VALUE"""),"-")</f>
        <v>-</v>
      </c>
      <c r="W274" s="213" t="str">
        <f>IFERROR(__xludf.DUMMYFUNCTION("""COMPUTED_VALUE"""),"-")</f>
        <v>-</v>
      </c>
      <c r="X274" s="213" t="str">
        <f>IFERROR(__xludf.DUMMYFUNCTION("""COMPUTED_VALUE"""),"TRUPER")</f>
        <v>TRUPER</v>
      </c>
      <c r="Y274" s="213" t="str">
        <f>IFERROR(__xludf.DUMMYFUNCTION("""COMPUTED_VALUE"""),"CAL-6MP")</f>
        <v>CAL-6MP</v>
      </c>
      <c r="Z274" s="215" t="str">
        <f>IFERROR(__xludf.DUMMYFUNCTION("""COMPUTED_VALUE"""),"https://www.agrobesser.com/calibradores/calibrador-analogico-pulgadas-y-milimetros-6-o-150mm-en-acero-inoxidable-cal-6mp-14394-truper-1256.html?utm_source=chatgpt.com?utm_source=chatgpt.com")</f>
        <v>https://www.agrobesser.com/calibradores/calibrador-analogico-pulgadas-y-milimetros-6-o-150mm-en-acero-inoxidable-cal-6mp-14394-truper-1256.html?utm_source=chatgpt.com?utm_source=chatgpt.com</v>
      </c>
      <c r="AA274" s="213" t="str">
        <f>IFERROR(__xludf.DUMMYFUNCTION("""COMPUTED_VALUE"""),"COM-124 CALIBRADOR ANALOGICO - CET")</f>
        <v>COM-124 CALIBRADOR ANALOGICO - CET</v>
      </c>
      <c r="AB274" s="215" t="str">
        <f>IFERROR(__xludf.DUMMYFUNCTION("""COMPUTED_VALUE"""),"https://drive.google.com/file/d/181IOHA5LLPEtRzCmKYpMYGmnSM9U07P6/view?usp=sharing")</f>
        <v>https://drive.google.com/file/d/181IOHA5LLPEtRzCmKYpMYGmnSM9U07P6/view?usp=sharing</v>
      </c>
      <c r="AC274" s="215" t="str">
        <f>IFERROR(__xludf.DUMMYFUNCTION("""COMPUTED_VALUE"""),"https://www.agrobesser.com/calibradores/calibrador-analogico-pulgadas-y-milimetros-6-o-150mm-en-acero-inoxidable-cal-6mp-14394-truper-1256.html?utm_source=chatgpt.com?utm_source=chatgpt.com")</f>
        <v>https://www.agrobesser.com/calibradores/calibrador-analogico-pulgadas-y-milimetros-6-o-150mm-en-acero-inoxidable-cal-6mp-14394-truper-1256.html?utm_source=chatgpt.com?utm_source=chatgpt.com</v>
      </c>
      <c r="AD274" s="213"/>
      <c r="AE274" s="213"/>
      <c r="AF274" s="213"/>
      <c r="AG274" s="213"/>
      <c r="AH274" s="213" t="str">
        <f>IFERROR(__xludf.DUMMYFUNCTION("""COMPUTED_VALUE"""),"NACIONAL")</f>
        <v>NACIONAL</v>
      </c>
      <c r="AI274" s="213"/>
      <c r="AJ274" s="213"/>
      <c r="AK274" s="213"/>
      <c r="AL274" s="213"/>
      <c r="AM274" s="213"/>
      <c r="AN274" s="213"/>
      <c r="AO274" s="213"/>
      <c r="AP274" s="213" t="str">
        <f>IFERROR(__xludf.DUMMYFUNCTION("""COMPUTED_VALUE"""),"LUIS")</f>
        <v>LUIS</v>
      </c>
      <c r="AQ274" s="213"/>
      <c r="AR274" s="213"/>
      <c r="AS274" s="213"/>
      <c r="AT274" s="213"/>
      <c r="AU274" s="213"/>
      <c r="AV274" s="213"/>
      <c r="AW274" s="213"/>
      <c r="AX274" s="213"/>
      <c r="AY274" s="213"/>
      <c r="AZ274" s="213"/>
      <c r="BA274" s="213"/>
      <c r="BB274" s="213"/>
      <c r="BC274" s="213"/>
      <c r="BD274" s="213"/>
    </row>
    <row r="275">
      <c r="A275" s="213">
        <f>IFERROR(__xludf.DUMMYFUNCTION("""COMPUTED_VALUE"""),1791.0)</f>
        <v>1791</v>
      </c>
      <c r="B275" s="213" t="str">
        <f>IFERROR(__xludf.DUMMYFUNCTION("""COMPUTED_VALUE"""),"GUILLERMO E. BILLINGHURST ")</f>
        <v>GUILLERMO E. BILLINGHURST </v>
      </c>
      <c r="C275" s="213" t="str">
        <f>IFERROR(__xludf.DUMMYFUNCTION("""COMPUTED_VALUE"""),"TALLER SFT DE EBANISTERÍA")</f>
        <v>TALLER SFT DE EBANISTERÍA</v>
      </c>
      <c r="D275" s="213" t="str">
        <f>IFERROR(__xludf.DUMMYFUNCTION("""COMPUTED_VALUE"""),"HERRAMIENTAS")</f>
        <v>HERRAMIENTAS</v>
      </c>
      <c r="E275" s="213" t="str">
        <f>IFERROR(__xludf.DUMMYFUNCTION("""COMPUTED_VALUE"""),"COM-173")</f>
        <v>COM-173</v>
      </c>
      <c r="F275" s="213" t="str">
        <f>IFERROR(__xludf.DUMMYFUNCTION("""COMPUTED_VALUE"""),"COM-173")</f>
        <v>COM-173</v>
      </c>
      <c r="G275" s="213"/>
      <c r="H275" s="213" t="str">
        <f>IFERROR(__xludf.DUMMYFUNCTION("""COMPUTED_VALUE"""),"GRAMIL DIGITAL")</f>
        <v>GRAMIL DIGITAL</v>
      </c>
      <c r="I275" s="213" t="str">
        <f>IFERROR(__xludf.DUMMYFUNCTION("""COMPUTED_VALUE"""),"Calibrador de trazado digital. Rango de medición: mínimo 6"". Precisión: 0.001"".
Visualización digital en pantalla de medidas en pulgadas y métricas. Marcador de aleación endurecida
Resistencia: mínima IP54 (a la humedad y polvo).")</f>
        <v>Calibrador de trazado digital. Rango de medición: mínimo 6". Precisión: 0.001".
Visualización digital en pantalla de medidas en pulgadas y métricas. Marcador de aleación endurecida
Resistencia: mínima IP54 (a la humedad y polvo).</v>
      </c>
      <c r="J275" s="213">
        <f>IFERROR(__xludf.DUMMYFUNCTION("""COMPUTED_VALUE"""),3.0)</f>
        <v>3</v>
      </c>
      <c r="K275" s="213" t="str">
        <f>IFERROR(__xludf.DUMMYFUNCTION("""COMPUTED_VALUE"""),"90 DÍAS CALENDARIO")</f>
        <v>90 DÍAS CALENDARIO</v>
      </c>
      <c r="L275" s="213" t="str">
        <f>IFERROR(__xludf.DUMMYFUNCTION("""COMPUTED_VALUE"""),"")</f>
        <v/>
      </c>
      <c r="M275" s="213">
        <f>IFERROR(__xludf.DUMMYFUNCTION("""COMPUTED_VALUE"""),1.0)</f>
        <v>1</v>
      </c>
      <c r="N275" s="213">
        <f>IFERROR(__xludf.DUMMYFUNCTION("""COMPUTED_VALUE"""),4.0)</f>
        <v>4</v>
      </c>
      <c r="O275" s="213">
        <f>IFERROR(__xludf.DUMMYFUNCTION("""COMPUTED_VALUE"""),4.0)</f>
        <v>4</v>
      </c>
      <c r="P275" s="213"/>
      <c r="Q275" s="213"/>
      <c r="R275" s="213" t="str">
        <f>IFERROR(__xludf.DUMMYFUNCTION("""COMPUTED_VALUE"""),"SI")</f>
        <v>SI</v>
      </c>
      <c r="S275" s="213"/>
      <c r="T275" s="213" t="str">
        <f>IFERROR(__xludf.DUMMYFUNCTION("""COMPUTED_VALUE"""),"CONSULTA FINAL")</f>
        <v>CONSULTA FINAL</v>
      </c>
      <c r="U275" s="213" t="str">
        <f>IFERROR(__xludf.DUMMYFUNCTION("""COMPUTED_VALUE"""),"SI")</f>
        <v>SI</v>
      </c>
      <c r="V275" s="213" t="str">
        <f>IFERROR(__xludf.DUMMYFUNCTION("""COMPUTED_VALUE"""),"-")</f>
        <v>-</v>
      </c>
      <c r="W275" s="213" t="str">
        <f>IFERROR(__xludf.DUMMYFUNCTION("""COMPUTED_VALUE"""),"-")</f>
        <v>-</v>
      </c>
      <c r="X275" s="213" t="str">
        <f>IFERROR(__xludf.DUMMYFUNCTION("""COMPUTED_VALUE"""),"MITUTOYO")</f>
        <v>MITUTOYO</v>
      </c>
      <c r="Y275" s="213" t="str">
        <f>IFERROR(__xludf.DUMMYFUNCTION("""COMPUTED_VALUE"""),"570-227")</f>
        <v>570-227</v>
      </c>
      <c r="Z275" s="215" t="str">
        <f>IFERROR(__xludf.DUMMYFUNCTION("""COMPUTED_VALUE"""),"https://www.hoffmann-group.com/ES/es/hoe/p/570-227-#description")</f>
        <v>https://www.hoffmann-group.com/ES/es/hoe/p/570-227-#description</v>
      </c>
      <c r="AA275" s="213" t="str">
        <f>IFERROR(__xludf.DUMMYFUNCTION("""COMPUTED_VALUE"""),"COM-173 GRAMIL DIGITAL - CET")</f>
        <v>COM-173 GRAMIL DIGITAL - CET</v>
      </c>
      <c r="AB275" s="213"/>
      <c r="AC275" s="215" t="str">
        <f>IFERROR(__xludf.DUMMYFUNCTION("""COMPUTED_VALUE"""),"https://drive.google.com/file/d/1f0k-6oKMbwbfKiADMysF6U7q1_Odp4Rw/view?usp=sharing")</f>
        <v>https://drive.google.com/file/d/1f0k-6oKMbwbfKiADMysF6U7q1_Odp4Rw/view?usp=sharing</v>
      </c>
      <c r="AD275" s="213"/>
      <c r="AE275" s="213"/>
      <c r="AF275" s="213"/>
      <c r="AG275" s="213"/>
      <c r="AH275" s="213" t="str">
        <f>IFERROR(__xludf.DUMMYFUNCTION("""COMPUTED_VALUE"""),"IMPORTADO")</f>
        <v>IMPORTADO</v>
      </c>
      <c r="AI275" s="213"/>
      <c r="AJ275" s="213"/>
      <c r="AK275" s="213"/>
      <c r="AL275" s="213"/>
      <c r="AM275" s="213"/>
      <c r="AN275" s="213"/>
      <c r="AO275" s="213"/>
      <c r="AP275" s="213" t="str">
        <f>IFERROR(__xludf.DUMMYFUNCTION("""COMPUTED_VALUE"""),"SEBASTIAN")</f>
        <v>SEBASTIAN</v>
      </c>
      <c r="AQ275" s="213"/>
      <c r="AR275" s="213"/>
      <c r="AS275" s="213" t="str">
        <f>IFERROR(__xludf.DUMMYFUNCTION("""COMPUTED_VALUE"""),"No presenta protección IP54, sino IP40")</f>
        <v>No presenta protección IP54, sino IP40</v>
      </c>
      <c r="AT275" s="213"/>
      <c r="AU275" s="213"/>
      <c r="AV275" s="213"/>
      <c r="AW275" s="213"/>
      <c r="AX275" s="213"/>
      <c r="AY275" s="213"/>
      <c r="AZ275" s="213"/>
      <c r="BA275" s="213"/>
      <c r="BB275" s="213"/>
      <c r="BC275" s="213"/>
      <c r="BD275" s="213"/>
    </row>
    <row r="276">
      <c r="A276" s="213">
        <f>IFERROR(__xludf.DUMMYFUNCTION("""COMPUTED_VALUE"""),132.0)</f>
        <v>132</v>
      </c>
      <c r="B276" s="213" t="str">
        <f>IFERROR(__xludf.DUMMYFUNCTION("""COMPUTED_VALUE"""),"16449 ELOY SOBERON  FLORES")</f>
        <v>16449 ELOY SOBERON  FLORES</v>
      </c>
      <c r="C276" s="213" t="str">
        <f>IFERROR(__xludf.DUMMYFUNCTION("""COMPUTED_VALUE"""),"TALLER SFT DE COCINA Y REPOSTERÍA")</f>
        <v>TALLER SFT DE COCINA Y REPOSTERÍA</v>
      </c>
      <c r="D276" s="213" t="str">
        <f>IFERROR(__xludf.DUMMYFUNCTION("""COMPUTED_VALUE"""),"TICS")</f>
        <v>TICS</v>
      </c>
      <c r="E276" s="213" t="str">
        <f>IFERROR(__xludf.DUMMYFUNCTION("""COMPUTED_VALUE"""),"TEC-102")</f>
        <v>TEC-102</v>
      </c>
      <c r="F276" s="213" t="str">
        <f>IFERROR(__xludf.DUMMYFUNCTION("""COMPUTED_VALUE"""),"TEC-102-X")</f>
        <v>TEC-102-X</v>
      </c>
      <c r="G276" s="213"/>
      <c r="H276" s="213" t="str">
        <f>IFERROR(__xludf.DUMMYFUNCTION("""COMPUTED_VALUE"""),"CÁMARA DE VIDEO CON TRÍPODE")</f>
        <v>CÁMARA DE VIDEO CON TRÍPODE</v>
      </c>
      <c r="I276" s="213" t="str">
        <f>IFERROR(__xludf.DUMMYFUNCTION("""COMPUTED_VALUE"""),"·      Videocámara que graba videos en alta calidad con detalles en 4K ultra HD.
·      Tipo de sensor con tecnología CMOS.
·      Pantalla LCD de 3,0"", panorámica (16:9). Mínimo.
·      Zoom óptico hasta 20X. mínimo
·      Formato de imagen JPEG.
·     "&amp;" Resolución de 8 megapíxeles reales. Mínimo
·      Con sistema de detección de rostro.
·      Con temporizador de toma de hasta 10 segundos.
·      Interfaces de conexión a la computadora (USB, entrada DC, entrada MIC), o en su defecto se proporciona adic"&amp;"ionalmente un conector  (cable) con las 3 posibles conexiones.
.      Incluye memoria externa de 128 GB.
·      Compatibilidad con Windows 10.
·      Temperatura de trabajo de 0 a 40°.
·      Incluye: un trípode con soporte, plegable, altura regulable de "&amp;"mínimo 46 a 150 cm.
·      Incluye: un trípode con soporte de aluminio o material superior, con cabezal de 3 vías (giro horizontal, vertical y lateral) como mínimo, con columna central sujetadas por barras a las 3 patas con terminales antideslizantes. Alt"&amp;"ura regulable de mínimo 46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76" s="213">
        <f>IFERROR(__xludf.DUMMYFUNCTION("""COMPUTED_VALUE"""),3.0)</f>
        <v>3</v>
      </c>
      <c r="K276" s="213" t="str">
        <f>IFERROR(__xludf.DUMMYFUNCTION("""COMPUTED_VALUE"""),"170 DÍAS CALENDARIO")</f>
        <v>170 DÍAS CALENDARIO</v>
      </c>
      <c r="L276"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76" s="213">
        <f>IFERROR(__xludf.DUMMYFUNCTION("""COMPUTED_VALUE"""),1.0)</f>
        <v>1</v>
      </c>
      <c r="N276" s="213">
        <f>IFERROR(__xludf.DUMMYFUNCTION("""COMPUTED_VALUE"""),4.0)</f>
        <v>4</v>
      </c>
      <c r="O276" s="213">
        <f>IFERROR(__xludf.DUMMYFUNCTION("""COMPUTED_VALUE"""),4.0)</f>
        <v>4</v>
      </c>
      <c r="P276" s="213"/>
      <c r="Q276" s="213"/>
      <c r="R276" s="213"/>
      <c r="S276" s="213"/>
      <c r="T276" s="213" t="str">
        <f>IFERROR(__xludf.DUMMYFUNCTION("""COMPUTED_VALUE"""),"SI")</f>
        <v>SI</v>
      </c>
      <c r="U276" s="213" t="str">
        <f>IFERROR(__xludf.DUMMYFUNCTION("""COMPUTED_VALUE"""),"SI")</f>
        <v>SI</v>
      </c>
      <c r="V276" s="213" t="str">
        <f>IFERROR(__xludf.DUMMYFUNCTION("""COMPUTED_VALUE"""),"-")</f>
        <v>-</v>
      </c>
      <c r="W276" s="213" t="str">
        <f>IFERROR(__xludf.DUMMYFUNCTION("""COMPUTED_VALUE"""),"-")</f>
        <v>-</v>
      </c>
      <c r="X276" s="213" t="str">
        <f>IFERROR(__xludf.DUMMYFUNCTION("""COMPUTED_VALUE"""),"PANASONIC")</f>
        <v>PANASONIC</v>
      </c>
      <c r="Y276" s="213" t="str">
        <f>IFERROR(__xludf.DUMMYFUNCTION("""COMPUTED_VALUE"""),"HC-VX3E-K")</f>
        <v>HC-VX3E-K</v>
      </c>
      <c r="Z276" s="215" t="str">
        <f>IFERROR(__xludf.DUMMYFUNCTION("""COMPUTED_VALUE"""),"https://store.eu.panasonic.com/es-es/hc-vx3e-k-videocamara-4k")</f>
        <v>https://store.eu.panasonic.com/es-es/hc-vx3e-k-videocamara-4k</v>
      </c>
      <c r="AA276" s="213" t="str">
        <f>IFERROR(__xludf.DUMMYFUNCTION("""COMPUTED_VALUE"""),"TEC-102-A CÁMARA DE VIDEO CON TRÍPODE - CET")</f>
        <v>TEC-102-A CÁMARA DE VIDEO CON TRÍPODE - CET</v>
      </c>
      <c r="AB276" s="213"/>
      <c r="AC276" s="213"/>
      <c r="AD276" s="213"/>
      <c r="AE276" s="213"/>
      <c r="AF276" s="213"/>
      <c r="AG276" s="213"/>
      <c r="AH276" s="213"/>
      <c r="AI276" s="213"/>
      <c r="AJ276" s="213"/>
      <c r="AK276" s="213"/>
      <c r="AL276" s="213"/>
      <c r="AM276" s="213"/>
      <c r="AN276" s="213"/>
      <c r="AO276" s="213"/>
      <c r="AP276" s="213" t="str">
        <f>IFERROR(__xludf.DUMMYFUNCTION("""COMPUTED_VALUE"""),"NALDI")</f>
        <v>NALDI</v>
      </c>
      <c r="AQ276" s="213"/>
      <c r="AR276" s="213"/>
      <c r="AS276" s="213"/>
      <c r="AT276" s="213"/>
      <c r="AU276" s="213"/>
      <c r="AV276" s="213"/>
      <c r="AW276" s="213"/>
      <c r="AX276" s="213"/>
      <c r="AY276" s="213"/>
      <c r="AZ276" s="213"/>
      <c r="BA276" s="213"/>
      <c r="BB276" s="213"/>
      <c r="BC276" s="213"/>
      <c r="BD276" s="213"/>
    </row>
    <row r="277">
      <c r="A277" s="213">
        <f>IFERROR(__xludf.DUMMYFUNCTION("""COMPUTED_VALUE"""),205.0)</f>
        <v>205</v>
      </c>
      <c r="B277" s="213" t="str">
        <f>IFERROR(__xludf.DUMMYFUNCTION("""COMPUTED_VALUE"""),"2026 SIMON BOLIVAR")</f>
        <v>2026 SIMON BOLIVAR</v>
      </c>
      <c r="C277" s="213" t="str">
        <f>IFERROR(__xludf.DUMMYFUNCTION("""COMPUTED_VALUE"""),"TALLER SFT DE INDUSTRIA DEL VESTIDO")</f>
        <v>TALLER SFT DE INDUSTRIA DEL VESTIDO</v>
      </c>
      <c r="D277" s="213" t="str">
        <f>IFERROR(__xludf.DUMMYFUNCTION("""COMPUTED_VALUE"""),"TICS")</f>
        <v>TICS</v>
      </c>
      <c r="E277" s="213" t="str">
        <f>IFERROR(__xludf.DUMMYFUNCTION("""COMPUTED_VALUE"""),"TEC-102")</f>
        <v>TEC-102</v>
      </c>
      <c r="F277" s="213" t="str">
        <f>IFERROR(__xludf.DUMMYFUNCTION("""COMPUTED_VALUE"""),"TEC-102-X")</f>
        <v>TEC-102-X</v>
      </c>
      <c r="G277" s="213"/>
      <c r="H277" s="213" t="str">
        <f>IFERROR(__xludf.DUMMYFUNCTION("""COMPUTED_VALUE"""),"CÁMARA DE VIDEO CON TRÍPODE")</f>
        <v>CÁMARA DE VIDEO CON TRÍPODE</v>
      </c>
      <c r="I277"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77" s="213">
        <f>IFERROR(__xludf.DUMMYFUNCTION("""COMPUTED_VALUE"""),3.0)</f>
        <v>3</v>
      </c>
      <c r="K277" s="213" t="str">
        <f>IFERROR(__xludf.DUMMYFUNCTION("""COMPUTED_VALUE"""),"170 DÍAS CALENDARIO")</f>
        <v>170 DÍAS CALENDARIO</v>
      </c>
      <c r="L277"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77" s="213">
        <f>IFERROR(__xludf.DUMMYFUNCTION("""COMPUTED_VALUE"""),1.0)</f>
        <v>1</v>
      </c>
      <c r="N277" s="213">
        <f>IFERROR(__xludf.DUMMYFUNCTION("""COMPUTED_VALUE"""),4.0)</f>
        <v>4</v>
      </c>
      <c r="O277" s="213">
        <f>IFERROR(__xludf.DUMMYFUNCTION("""COMPUTED_VALUE"""),4.0)</f>
        <v>4</v>
      </c>
      <c r="P277" s="213"/>
      <c r="Q277" s="213"/>
      <c r="R277" s="213"/>
      <c r="S277" s="213"/>
      <c r="T277" s="213" t="str">
        <f>IFERROR(__xludf.DUMMYFUNCTION("""COMPUTED_VALUE"""),"SI")</f>
        <v>SI</v>
      </c>
      <c r="U277" s="213" t="str">
        <f>IFERROR(__xludf.DUMMYFUNCTION("""COMPUTED_VALUE"""),"SI")</f>
        <v>SI</v>
      </c>
      <c r="V277" s="213" t="str">
        <f>IFERROR(__xludf.DUMMYFUNCTION("""COMPUTED_VALUE"""),"-")</f>
        <v>-</v>
      </c>
      <c r="W277" s="213" t="str">
        <f>IFERROR(__xludf.DUMMYFUNCTION("""COMPUTED_VALUE"""),"-")</f>
        <v>-</v>
      </c>
      <c r="X277" s="213" t="str">
        <f>IFERROR(__xludf.DUMMYFUNCTION("""COMPUTED_VALUE"""),"PANASONIC")</f>
        <v>PANASONIC</v>
      </c>
      <c r="Y277" s="213" t="str">
        <f>IFERROR(__xludf.DUMMYFUNCTION("""COMPUTED_VALUE"""),"HC-VX3E-K")</f>
        <v>HC-VX3E-K</v>
      </c>
      <c r="Z277" s="215" t="str">
        <f>IFERROR(__xludf.DUMMYFUNCTION("""COMPUTED_VALUE"""),"https://store.eu.panasonic.com/es-es/hc-vx3e-k-videocamara-4k")</f>
        <v>https://store.eu.panasonic.com/es-es/hc-vx3e-k-videocamara-4k</v>
      </c>
      <c r="AA277" s="213" t="str">
        <f>IFERROR(__xludf.DUMMYFUNCTION("""COMPUTED_VALUE"""),"TEC-102-A CÁMARA DE VIDEO CON TRÍPODE - CET")</f>
        <v>TEC-102-A CÁMARA DE VIDEO CON TRÍPODE - CET</v>
      </c>
      <c r="AB277" s="213"/>
      <c r="AC277" s="213"/>
      <c r="AD277" s="213"/>
      <c r="AE277" s="213"/>
      <c r="AF277" s="213"/>
      <c r="AG277" s="213"/>
      <c r="AH277" s="213"/>
      <c r="AI277" s="213"/>
      <c r="AJ277" s="213"/>
      <c r="AK277" s="213"/>
      <c r="AL277" s="213"/>
      <c r="AM277" s="213"/>
      <c r="AN277" s="213"/>
      <c r="AO277" s="213"/>
      <c r="AP277" s="213" t="str">
        <f>IFERROR(__xludf.DUMMYFUNCTION("""COMPUTED_VALUE"""),"NALDI")</f>
        <v>NALDI</v>
      </c>
      <c r="AQ277" s="213"/>
      <c r="AR277" s="213"/>
      <c r="AS277" s="213"/>
      <c r="AT277" s="213"/>
      <c r="AU277" s="213"/>
      <c r="AV277" s="213"/>
      <c r="AW277" s="213"/>
      <c r="AX277" s="213"/>
      <c r="AY277" s="213"/>
      <c r="AZ277" s="213"/>
      <c r="BA277" s="213"/>
      <c r="BB277" s="213"/>
      <c r="BC277" s="213"/>
      <c r="BD277" s="213"/>
    </row>
    <row r="278">
      <c r="A278" s="213">
        <f>IFERROR(__xludf.DUMMYFUNCTION("""COMPUTED_VALUE"""),292.0)</f>
        <v>292</v>
      </c>
      <c r="B278" s="213" t="str">
        <f>IFERROR(__xludf.DUMMYFUNCTION("""COMPUTED_VALUE"""),"2026 SIMON BOLIVAR")</f>
        <v>2026 SIMON BOLIVAR</v>
      </c>
      <c r="C278" s="213" t="str">
        <f>IFERROR(__xludf.DUMMYFUNCTION("""COMPUTED_VALUE"""),"TALLER SFT DE COMPUTACIÓN E INFORMÁTICA")</f>
        <v>TALLER SFT DE COMPUTACIÓN E INFORMÁTICA</v>
      </c>
      <c r="D278" s="213" t="str">
        <f>IFERROR(__xludf.DUMMYFUNCTION("""COMPUTED_VALUE"""),"TICS")</f>
        <v>TICS</v>
      </c>
      <c r="E278" s="213" t="str">
        <f>IFERROR(__xludf.DUMMYFUNCTION("""COMPUTED_VALUE"""),"TEC-102")</f>
        <v>TEC-102</v>
      </c>
      <c r="F278" s="213" t="str">
        <f>IFERROR(__xludf.DUMMYFUNCTION("""COMPUTED_VALUE"""),"TEC-102-X")</f>
        <v>TEC-102-X</v>
      </c>
      <c r="G278" s="213"/>
      <c r="H278" s="213" t="str">
        <f>IFERROR(__xludf.DUMMYFUNCTION("""COMPUTED_VALUE"""),"CÁMARA DE VIDEO CON TRÍPODE")</f>
        <v>CÁMARA DE VIDEO CON TRÍPODE</v>
      </c>
      <c r="I278"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78" s="213">
        <f>IFERROR(__xludf.DUMMYFUNCTION("""COMPUTED_VALUE"""),3.0)</f>
        <v>3</v>
      </c>
      <c r="K278" s="213" t="str">
        <f>IFERROR(__xludf.DUMMYFUNCTION("""COMPUTED_VALUE"""),"170 DÍAS CALENDARIO")</f>
        <v>170 DÍAS CALENDARIO</v>
      </c>
      <c r="L278"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78" s="213">
        <f>IFERROR(__xludf.DUMMYFUNCTION("""COMPUTED_VALUE"""),1.0)</f>
        <v>1</v>
      </c>
      <c r="N278" s="213">
        <f>IFERROR(__xludf.DUMMYFUNCTION("""COMPUTED_VALUE"""),4.0)</f>
        <v>4</v>
      </c>
      <c r="O278" s="213">
        <f>IFERROR(__xludf.DUMMYFUNCTION("""COMPUTED_VALUE"""),4.0)</f>
        <v>4</v>
      </c>
      <c r="P278" s="213"/>
      <c r="Q278" s="213"/>
      <c r="R278" s="213"/>
      <c r="S278" s="213"/>
      <c r="T278" s="213" t="str">
        <f>IFERROR(__xludf.DUMMYFUNCTION("""COMPUTED_VALUE"""),"SI")</f>
        <v>SI</v>
      </c>
      <c r="U278" s="213" t="str">
        <f>IFERROR(__xludf.DUMMYFUNCTION("""COMPUTED_VALUE"""),"SI")</f>
        <v>SI</v>
      </c>
      <c r="V278" s="213" t="str">
        <f>IFERROR(__xludf.DUMMYFUNCTION("""COMPUTED_VALUE"""),"-")</f>
        <v>-</v>
      </c>
      <c r="W278" s="213" t="str">
        <f>IFERROR(__xludf.DUMMYFUNCTION("""COMPUTED_VALUE"""),"-")</f>
        <v>-</v>
      </c>
      <c r="X278" s="213" t="str">
        <f>IFERROR(__xludf.DUMMYFUNCTION("""COMPUTED_VALUE"""),"PANASONIC")</f>
        <v>PANASONIC</v>
      </c>
      <c r="Y278" s="213" t="str">
        <f>IFERROR(__xludf.DUMMYFUNCTION("""COMPUTED_VALUE"""),"HC-VX3E-K")</f>
        <v>HC-VX3E-K</v>
      </c>
      <c r="Z278" s="215" t="str">
        <f>IFERROR(__xludf.DUMMYFUNCTION("""COMPUTED_VALUE"""),"https://store.eu.panasonic.com/es-es/hc-vx3e-k-videocamara-4k")</f>
        <v>https://store.eu.panasonic.com/es-es/hc-vx3e-k-videocamara-4k</v>
      </c>
      <c r="AA278" s="213" t="str">
        <f>IFERROR(__xludf.DUMMYFUNCTION("""COMPUTED_VALUE"""),"TEC-102-A CÁMARA DE VIDEO CON TRÍPODE - CET")</f>
        <v>TEC-102-A CÁMARA DE VIDEO CON TRÍPODE - CET</v>
      </c>
      <c r="AB278" s="213"/>
      <c r="AC278" s="213"/>
      <c r="AD278" s="213"/>
      <c r="AE278" s="213"/>
      <c r="AF278" s="213"/>
      <c r="AG278" s="213"/>
      <c r="AH278" s="213"/>
      <c r="AI278" s="213"/>
      <c r="AJ278" s="213"/>
      <c r="AK278" s="213"/>
      <c r="AL278" s="213"/>
      <c r="AM278" s="213"/>
      <c r="AN278" s="213"/>
      <c r="AO278" s="213"/>
      <c r="AP278" s="213" t="str">
        <f>IFERROR(__xludf.DUMMYFUNCTION("""COMPUTED_VALUE"""),"NALDI")</f>
        <v>NALDI</v>
      </c>
      <c r="AQ278" s="213"/>
      <c r="AR278" s="213"/>
      <c r="AS278" s="213"/>
      <c r="AT278" s="213"/>
      <c r="AU278" s="213"/>
      <c r="AV278" s="213"/>
      <c r="AW278" s="213"/>
      <c r="AX278" s="213"/>
      <c r="AY278" s="213"/>
      <c r="AZ278" s="213"/>
      <c r="BA278" s="213"/>
      <c r="BB278" s="213"/>
      <c r="BC278" s="213"/>
      <c r="BD278" s="213"/>
    </row>
    <row r="279">
      <c r="A279" s="213">
        <f>IFERROR(__xludf.DUMMYFUNCTION("""COMPUTED_VALUE"""),315.0)</f>
        <v>315</v>
      </c>
      <c r="B279" s="213" t="str">
        <f>IFERROR(__xludf.DUMMYFUNCTION("""COMPUTED_VALUE"""),"2026 SIMON BOLIVAR")</f>
        <v>2026 SIMON BOLIVAR</v>
      </c>
      <c r="C279" s="213" t="str">
        <f>IFERROR(__xludf.DUMMYFUNCTION("""COMPUTED_VALUE"""),"TALLER SFT DE COMPUTACIÓN E INFORMÁTICA")</f>
        <v>TALLER SFT DE COMPUTACIÓN E INFORMÁTICA</v>
      </c>
      <c r="D279" s="213" t="str">
        <f>IFERROR(__xludf.DUMMYFUNCTION("""COMPUTED_VALUE"""),"TICS")</f>
        <v>TICS</v>
      </c>
      <c r="E279" s="213" t="str">
        <f>IFERROR(__xludf.DUMMYFUNCTION("""COMPUTED_VALUE"""),"TEC-102")</f>
        <v>TEC-102</v>
      </c>
      <c r="F279" s="213" t="str">
        <f>IFERROR(__xludf.DUMMYFUNCTION("""COMPUTED_VALUE"""),"TEC-102-X")</f>
        <v>TEC-102-X</v>
      </c>
      <c r="G279" s="213"/>
      <c r="H279" s="213" t="str">
        <f>IFERROR(__xludf.DUMMYFUNCTION("""COMPUTED_VALUE"""),"CÁMARA DE VIDEO CON TRÍPODE")</f>
        <v>CÁMARA DE VIDEO CON TRÍPODE</v>
      </c>
      <c r="I279"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79" s="213">
        <f>IFERROR(__xludf.DUMMYFUNCTION("""COMPUTED_VALUE"""),3.0)</f>
        <v>3</v>
      </c>
      <c r="K279" s="213" t="str">
        <f>IFERROR(__xludf.DUMMYFUNCTION("""COMPUTED_VALUE"""),"170 DÍAS CALENDARIO")</f>
        <v>170 DÍAS CALENDARIO</v>
      </c>
      <c r="L279"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79" s="213">
        <f>IFERROR(__xludf.DUMMYFUNCTION("""COMPUTED_VALUE"""),1.0)</f>
        <v>1</v>
      </c>
      <c r="N279" s="213">
        <f>IFERROR(__xludf.DUMMYFUNCTION("""COMPUTED_VALUE"""),1.0)</f>
        <v>1</v>
      </c>
      <c r="O279" s="213">
        <f>IFERROR(__xludf.DUMMYFUNCTION("""COMPUTED_VALUE"""),1.0)</f>
        <v>1</v>
      </c>
      <c r="P279" s="213"/>
      <c r="Q279" s="213"/>
      <c r="R279" s="213"/>
      <c r="S279" s="213"/>
      <c r="T279" s="213" t="str">
        <f>IFERROR(__xludf.DUMMYFUNCTION("""COMPUTED_VALUE"""),"SI")</f>
        <v>SI</v>
      </c>
      <c r="U279" s="213" t="str">
        <f>IFERROR(__xludf.DUMMYFUNCTION("""COMPUTED_VALUE"""),"SI")</f>
        <v>SI</v>
      </c>
      <c r="V279" s="213" t="str">
        <f>IFERROR(__xludf.DUMMYFUNCTION("""COMPUTED_VALUE"""),"-")</f>
        <v>-</v>
      </c>
      <c r="W279" s="213" t="str">
        <f>IFERROR(__xludf.DUMMYFUNCTION("""COMPUTED_VALUE"""),"-")</f>
        <v>-</v>
      </c>
      <c r="X279" s="213" t="str">
        <f>IFERROR(__xludf.DUMMYFUNCTION("""COMPUTED_VALUE"""),"PANASONIC")</f>
        <v>PANASONIC</v>
      </c>
      <c r="Y279" s="213" t="str">
        <f>IFERROR(__xludf.DUMMYFUNCTION("""COMPUTED_VALUE"""),"HC-VX3E-K")</f>
        <v>HC-VX3E-K</v>
      </c>
      <c r="Z279" s="215" t="str">
        <f>IFERROR(__xludf.DUMMYFUNCTION("""COMPUTED_VALUE"""),"https://store.eu.panasonic.com/es-es/hc-vx3e-k-videocamara-4k")</f>
        <v>https://store.eu.panasonic.com/es-es/hc-vx3e-k-videocamara-4k</v>
      </c>
      <c r="AA279" s="213" t="str">
        <f>IFERROR(__xludf.DUMMYFUNCTION("""COMPUTED_VALUE"""),"TEC-102-A CÁMARA DE VIDEO CON TRÍPODE - CET")</f>
        <v>TEC-102-A CÁMARA DE VIDEO CON TRÍPODE - CET</v>
      </c>
      <c r="AB279" s="213"/>
      <c r="AC279" s="213"/>
      <c r="AD279" s="213"/>
      <c r="AE279" s="213"/>
      <c r="AF279" s="213"/>
      <c r="AG279" s="213"/>
      <c r="AH279" s="213"/>
      <c r="AI279" s="213"/>
      <c r="AJ279" s="213"/>
      <c r="AK279" s="213"/>
      <c r="AL279" s="213"/>
      <c r="AM279" s="213"/>
      <c r="AN279" s="213"/>
      <c r="AO279" s="213"/>
      <c r="AP279" s="213" t="str">
        <f>IFERROR(__xludf.DUMMYFUNCTION("""COMPUTED_VALUE"""),"NALDI")</f>
        <v>NALDI</v>
      </c>
      <c r="AQ279" s="213"/>
      <c r="AR279" s="213"/>
      <c r="AS279" s="213"/>
      <c r="AT279" s="213"/>
      <c r="AU279" s="213"/>
      <c r="AV279" s="213"/>
      <c r="AW279" s="213"/>
      <c r="AX279" s="213"/>
      <c r="AY279" s="213"/>
      <c r="AZ279" s="213"/>
      <c r="BA279" s="213"/>
      <c r="BB279" s="213"/>
      <c r="BC279" s="213"/>
      <c r="BD279" s="213"/>
    </row>
    <row r="280">
      <c r="A280" s="213">
        <f>IFERROR(__xludf.DUMMYFUNCTION("""COMPUTED_VALUE"""),372.0)</f>
        <v>372</v>
      </c>
      <c r="B280" s="213" t="str">
        <f>IFERROR(__xludf.DUMMYFUNCTION("""COMPUTED_VALUE"""),"2026 SIMON BOLIVAR")</f>
        <v>2026 SIMON BOLIVAR</v>
      </c>
      <c r="C280" s="213" t="str">
        <f>IFERROR(__xludf.DUMMYFUNCTION("""COMPUTED_VALUE"""),"TALLER SFT DE ELECTRICIDAD")</f>
        <v>TALLER SFT DE ELECTRICIDAD</v>
      </c>
      <c r="D280" s="213" t="str">
        <f>IFERROR(__xludf.DUMMYFUNCTION("""COMPUTED_VALUE"""),"TICS")</f>
        <v>TICS</v>
      </c>
      <c r="E280" s="213" t="str">
        <f>IFERROR(__xludf.DUMMYFUNCTION("""COMPUTED_VALUE"""),"TEC-102")</f>
        <v>TEC-102</v>
      </c>
      <c r="F280" s="213" t="str">
        <f>IFERROR(__xludf.DUMMYFUNCTION("""COMPUTED_VALUE"""),"TEC-102-Y")</f>
        <v>TEC-102-Y</v>
      </c>
      <c r="G280" s="213"/>
      <c r="H280" s="213" t="str">
        <f>IFERROR(__xludf.DUMMYFUNCTION("""COMPUTED_VALUE"""),"CÁMARA DE VIDEO CON TRÍPODE")</f>
        <v>CÁMARA DE VIDEO CON TRÍPODE</v>
      </c>
      <c r="I280" s="213" t="str">
        <f>IFERROR(__xludf.DUMMYFUNCTION("""COMPUTED_VALUE"""),"·       Videocámara que graba videos en alta calidad con detalles en 4K ultra HD.				
·       Tipo de sensor con tecnología CMOS.				
·       Pantalla LCD de 3,0"", panorámica (16:9). Mínimo.				
·       Zoom óptico hasta 20X. mínimo				
·       Formato d"&amp;"e imagen JPEG.				
·       Resolución de 8 megapíxeles reales. Mínimo				
·       Con sistema de detección de rostro.				
·       Con temporizador de toma de hasta 10 segundos.				
·       Interfaces de conexión a la computadora (USB, entrada DC, entrada "&amp;"MIC).				
.       Incluye memoria externa de 128 GB.				
·       Compatibilidad con Windows 10.				
·       Temperatura de trabajo de 0 a 40°.				
·       Incluye: un trípode con soporte, plegable, altura regulable de mínimo 46 a 150 cm.				
·       Inclu"&amp;"ye: un trípode con soporte de aluminio o material superior, con cabezal de 3 vías (giro horizontal,				
vertical y lateral) como mínimo, con columna central sujetadas por barras a las 3 patas con terminales				
antideslizantes. Altura regulable de mínimo "&amp;"46 a 159 cm.				")</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				</v>
      </c>
      <c r="J280" s="213">
        <f>IFERROR(__xludf.DUMMYFUNCTION("""COMPUTED_VALUE"""),3.0)</f>
        <v>3</v>
      </c>
      <c r="K280" s="213" t="str">
        <f>IFERROR(__xludf.DUMMYFUNCTION("""COMPUTED_VALUE"""),"170 DÍAS CALENDARIO")</f>
        <v>170 DÍAS CALENDARIO</v>
      </c>
      <c r="L280" s="213" t="str">
        <f>IFERROR(__xludf.DUMMYFUNCTION("""COMPUTED_VALUE"""),"ELECTRICIDAD, INDUSTRIA ALIMENTARIA")</f>
        <v>ELECTRICIDAD, INDUSTRIA ALIMENTARIA</v>
      </c>
      <c r="M280" s="213">
        <f>IFERROR(__xludf.DUMMYFUNCTION("""COMPUTED_VALUE"""),1.0)</f>
        <v>1</v>
      </c>
      <c r="N280" s="213">
        <f>IFERROR(__xludf.DUMMYFUNCTION("""COMPUTED_VALUE"""),4.0)</f>
        <v>4</v>
      </c>
      <c r="O280" s="213">
        <f>IFERROR(__xludf.DUMMYFUNCTION("""COMPUTED_VALUE"""),4.0)</f>
        <v>4</v>
      </c>
      <c r="P280" s="213"/>
      <c r="Q280" s="213"/>
      <c r="R280" s="213"/>
      <c r="S280" s="213"/>
      <c r="T280" s="213" t="str">
        <f>IFERROR(__xludf.DUMMYFUNCTION("""COMPUTED_VALUE"""),"SI")</f>
        <v>SI</v>
      </c>
      <c r="U280" s="213" t="str">
        <f>IFERROR(__xludf.DUMMYFUNCTION("""COMPUTED_VALUE"""),"SI")</f>
        <v>SI</v>
      </c>
      <c r="V280" s="213" t="str">
        <f>IFERROR(__xludf.DUMMYFUNCTION("""COMPUTED_VALUE"""),"-")</f>
        <v>-</v>
      </c>
      <c r="W280" s="213" t="str">
        <f>IFERROR(__xludf.DUMMYFUNCTION("""COMPUTED_VALUE"""),"-")</f>
        <v>-</v>
      </c>
      <c r="X280" s="213" t="str">
        <f>IFERROR(__xludf.DUMMYFUNCTION("""COMPUTED_VALUE"""),"PANASONIC")</f>
        <v>PANASONIC</v>
      </c>
      <c r="Y280" s="213" t="str">
        <f>IFERROR(__xludf.DUMMYFUNCTION("""COMPUTED_VALUE"""),"HC-VX3E-K")</f>
        <v>HC-VX3E-K</v>
      </c>
      <c r="Z280" s="215" t="str">
        <f>IFERROR(__xludf.DUMMYFUNCTION("""COMPUTED_VALUE"""),"https://store.eu.panasonic.com/es-es/hc-vx3e-k-videocamara-4k")</f>
        <v>https://store.eu.panasonic.com/es-es/hc-vx3e-k-videocamara-4k</v>
      </c>
      <c r="AA280" s="213" t="str">
        <f>IFERROR(__xludf.DUMMYFUNCTION("""COMPUTED_VALUE"""),"TEC-102-B CÁMARA DE VIDEO CON TRÍPODE - CET")</f>
        <v>TEC-102-B CÁMARA DE VIDEO CON TRÍPODE - CET</v>
      </c>
      <c r="AB280" s="213"/>
      <c r="AC280" s="213"/>
      <c r="AD280" s="213"/>
      <c r="AE280" s="213"/>
      <c r="AF280" s="213"/>
      <c r="AG280" s="213"/>
      <c r="AH280" s="213"/>
      <c r="AI280" s="213"/>
      <c r="AJ280" s="213"/>
      <c r="AK280" s="213"/>
      <c r="AL280" s="213"/>
      <c r="AM280" s="213"/>
      <c r="AN280" s="213"/>
      <c r="AO280" s="213"/>
      <c r="AP280" s="213" t="str">
        <f>IFERROR(__xludf.DUMMYFUNCTION("""COMPUTED_VALUE"""),"NALDI")</f>
        <v>NALDI</v>
      </c>
      <c r="AQ280" s="213"/>
      <c r="AR280" s="213"/>
      <c r="AS280" s="213"/>
      <c r="AT280" s="213"/>
      <c r="AU280" s="213"/>
      <c r="AV280" s="213"/>
      <c r="AW280" s="213"/>
      <c r="AX280" s="213"/>
      <c r="AY280" s="213"/>
      <c r="AZ280" s="213"/>
      <c r="BA280" s="213"/>
      <c r="BB280" s="213"/>
      <c r="BC280" s="213"/>
      <c r="BD280" s="213"/>
    </row>
    <row r="281">
      <c r="A281" s="213">
        <f>IFERROR(__xludf.DUMMYFUNCTION("""COMPUTED_VALUE"""),569.0)</f>
        <v>569</v>
      </c>
      <c r="B281" s="213" t="str">
        <f>IFERROR(__xludf.DUMMYFUNCTION("""COMPUTED_VALUE"""),"2026 SIMON BOLIVAR")</f>
        <v>2026 SIMON BOLIVAR</v>
      </c>
      <c r="C281" s="213" t="str">
        <f>IFERROR(__xludf.DUMMYFUNCTION("""COMPUTED_VALUE"""),"TALLER SFT DE INDUSTRIA ALIMENTARIA")</f>
        <v>TALLER SFT DE INDUSTRIA ALIMENTARIA</v>
      </c>
      <c r="D281" s="213" t="str">
        <f>IFERROR(__xludf.DUMMYFUNCTION("""COMPUTED_VALUE"""),"TICS")</f>
        <v>TICS</v>
      </c>
      <c r="E281" s="213" t="str">
        <f>IFERROR(__xludf.DUMMYFUNCTION("""COMPUTED_VALUE"""),"TEC-102")</f>
        <v>TEC-102</v>
      </c>
      <c r="F281" s="213" t="str">
        <f>IFERROR(__xludf.DUMMYFUNCTION("""COMPUTED_VALUE"""),"TEC-102-Y")</f>
        <v>TEC-102-Y</v>
      </c>
      <c r="G281" s="213"/>
      <c r="H281" s="213" t="str">
        <f>IFERROR(__xludf.DUMMYFUNCTION("""COMPUTED_VALUE"""),"CÁMARA DE VIDEO CON TRÍPODE")</f>
        <v>CÁMARA DE VIDEO CON TRÍPODE</v>
      </c>
      <c r="I281" s="213" t="str">
        <f>IFERROR(__xludf.DUMMYFUNCTION("""COMPUTED_VALUE"""),"·      Videocámara que graba videos en alta calidad con detalles en 4K ultra HD.
·      Tipo de sensor con tecnología CMOS.
·      Pantalla LCD de 3,0"", panorámica (16:9). Mínimo.
·      Zoom óptico hasta 20X. mínimo
·      Formato de imagen JPEG.
·     "&amp;" Resolución de 8 megapíxeles reales. Mínimo
·      Con sistema de detección de rostro.
·      Con temporizador de toma de hasta 10 segundos.
·      Interfaces de conexión a la computadora (USB, entrada DC, entrada MIC).
.       Incluye memoria externa de "&amp;"128 GB.
·      Compatibilidad con Windows 10.
·      Temperatura de trabajo de 0 a 40°.
·      Incluye: un trípode con soporte, plegable, altura regulable de mínimo 46 a 150 cm.
·      Incluye: un trípode con soporte de aluminio o material superior, con c"&amp;"abezal de 3 vías (giro horizontal, vertical y lateral) como mínimo, con columna central sujetadas por barras a las 3 patas con terminales antideslizantes. Altura regulable de mínimo 46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81" s="213">
        <f>IFERROR(__xludf.DUMMYFUNCTION("""COMPUTED_VALUE"""),3.0)</f>
        <v>3</v>
      </c>
      <c r="K281" s="213" t="str">
        <f>IFERROR(__xludf.DUMMYFUNCTION("""COMPUTED_VALUE"""),"170 DÍAS CALENDARIO")</f>
        <v>170 DÍAS CALENDARIO</v>
      </c>
      <c r="L281" s="213" t="str">
        <f>IFERROR(__xludf.DUMMYFUNCTION("""COMPUTED_VALUE"""),"ELECTRICIDAD, INDUSTRIA ALIMENTARIA")</f>
        <v>ELECTRICIDAD, INDUSTRIA ALIMENTARIA</v>
      </c>
      <c r="M281" s="213">
        <f>IFERROR(__xludf.DUMMYFUNCTION("""COMPUTED_VALUE"""),1.0)</f>
        <v>1</v>
      </c>
      <c r="N281" s="213">
        <f>IFERROR(__xludf.DUMMYFUNCTION("""COMPUTED_VALUE"""),4.0)</f>
        <v>4</v>
      </c>
      <c r="O281" s="213">
        <f>IFERROR(__xludf.DUMMYFUNCTION("""COMPUTED_VALUE"""),4.0)</f>
        <v>4</v>
      </c>
      <c r="P281" s="213"/>
      <c r="Q281" s="213"/>
      <c r="R281" s="213"/>
      <c r="S281" s="213"/>
      <c r="T281" s="213" t="str">
        <f>IFERROR(__xludf.DUMMYFUNCTION("""COMPUTED_VALUE"""),"SI")</f>
        <v>SI</v>
      </c>
      <c r="U281" s="213" t="str">
        <f>IFERROR(__xludf.DUMMYFUNCTION("""COMPUTED_VALUE"""),"SI")</f>
        <v>SI</v>
      </c>
      <c r="V281" s="213" t="str">
        <f>IFERROR(__xludf.DUMMYFUNCTION("""COMPUTED_VALUE"""),"-")</f>
        <v>-</v>
      </c>
      <c r="W281" s="213" t="str">
        <f>IFERROR(__xludf.DUMMYFUNCTION("""COMPUTED_VALUE"""),"-")</f>
        <v>-</v>
      </c>
      <c r="X281" s="213" t="str">
        <f>IFERROR(__xludf.DUMMYFUNCTION("""COMPUTED_VALUE"""),"PANASONIC")</f>
        <v>PANASONIC</v>
      </c>
      <c r="Y281" s="213" t="str">
        <f>IFERROR(__xludf.DUMMYFUNCTION("""COMPUTED_VALUE"""),"HC-VX3E-K")</f>
        <v>HC-VX3E-K</v>
      </c>
      <c r="Z281" s="215" t="str">
        <f>IFERROR(__xludf.DUMMYFUNCTION("""COMPUTED_VALUE"""),"https://store.eu.panasonic.com/es-es/hc-vx3e-k-videocamara-4k")</f>
        <v>https://store.eu.panasonic.com/es-es/hc-vx3e-k-videocamara-4k</v>
      </c>
      <c r="AA281" s="213" t="str">
        <f>IFERROR(__xludf.DUMMYFUNCTION("""COMPUTED_VALUE"""),"TEC-102-B CÁMARA DE VIDEO CON TRÍPODE - CET")</f>
        <v>TEC-102-B CÁMARA DE VIDEO CON TRÍPODE - CET</v>
      </c>
      <c r="AB281" s="213"/>
      <c r="AC281" s="213"/>
      <c r="AD281" s="213"/>
      <c r="AE281" s="213"/>
      <c r="AF281" s="213"/>
      <c r="AG281" s="213"/>
      <c r="AH281" s="213"/>
      <c r="AI281" s="213"/>
      <c r="AJ281" s="213"/>
      <c r="AK281" s="213"/>
      <c r="AL281" s="213"/>
      <c r="AM281" s="213"/>
      <c r="AN281" s="213"/>
      <c r="AO281" s="213"/>
      <c r="AP281" s="213" t="str">
        <f>IFERROR(__xludf.DUMMYFUNCTION("""COMPUTED_VALUE"""),"NALDI")</f>
        <v>NALDI</v>
      </c>
      <c r="AQ281" s="213"/>
      <c r="AR281" s="213"/>
      <c r="AS281" s="213"/>
      <c r="AT281" s="213"/>
      <c r="AU281" s="213"/>
      <c r="AV281" s="213"/>
      <c r="AW281" s="213"/>
      <c r="AX281" s="213"/>
      <c r="AY281" s="213"/>
      <c r="AZ281" s="213"/>
      <c r="BA281" s="213"/>
      <c r="BB281" s="213"/>
      <c r="BC281" s="213"/>
      <c r="BD281" s="213"/>
    </row>
    <row r="282">
      <c r="A282" s="213">
        <f>IFERROR(__xludf.DUMMYFUNCTION("""COMPUTED_VALUE"""),657.0)</f>
        <v>657</v>
      </c>
      <c r="B282" s="213" t="str">
        <f>IFERROR(__xludf.DUMMYFUNCTION("""COMPUTED_VALUE"""),"6049 RICARDO PALMA")</f>
        <v>6049 RICARDO PALMA</v>
      </c>
      <c r="C282" s="213" t="str">
        <f>IFERROR(__xludf.DUMMYFUNCTION("""COMPUTED_VALUE"""),"TALLER SFT DE ELECTRÓNICA")</f>
        <v>TALLER SFT DE ELECTRÓNICA</v>
      </c>
      <c r="D282" s="213" t="str">
        <f>IFERROR(__xludf.DUMMYFUNCTION("""COMPUTED_VALUE"""),"TICS")</f>
        <v>TICS</v>
      </c>
      <c r="E282" s="213" t="str">
        <f>IFERROR(__xludf.DUMMYFUNCTION("""COMPUTED_VALUE"""),"TEC-102")</f>
        <v>TEC-102</v>
      </c>
      <c r="F282" s="213" t="str">
        <f>IFERROR(__xludf.DUMMYFUNCTION("""COMPUTED_VALUE"""),"TEC-102-X")</f>
        <v>TEC-102-X</v>
      </c>
      <c r="G282" s="213"/>
      <c r="H282" s="213" t="str">
        <f>IFERROR(__xludf.DUMMYFUNCTION("""COMPUTED_VALUE"""),"CÁMARA DE VIDEO CON TRÍPODE")</f>
        <v>CÁMARA DE VIDEO CON TRÍPODE</v>
      </c>
      <c r="I282" s="213" t="str">
        <f>IFERROR(__xludf.DUMMYFUNCTION("""COMPUTED_VALUE"""),"·       Videocámara que graba videos en alta calidad con detalles en 4K ultra HD.
·       Tipo de sensor con tecnología CMOS.
·       Pantalla LCD de 3,0"", panorámica (16:9). Mínimo.
·       Zoom óptico hasta 20X. mínimo
·       Formato de imagen JPEG.
·"&amp;"       Resolución de 8 megapíxeles reales. Mínimo
·       Con sistema de detección de rostro.
·       Con temporizador de toma de hasta 10 segundos.
·       Interfaces de conexión a la computadora (USB, entrada DC, entrada MIC),  o en su defecto se propor"&amp;"ciona adicionalmente un conector  (cable) con las 3 posibles conexiones.
.       Incluye memoria externa de 128 GB.
·       Compatibilidad con Windows 10.
·       Temperatura de trabajo de 0 a 40°.
·       Incluye: un trípode con soporte, plegable, altura"&amp;" regulable de mínimo 46 a 150 cm.
·       Incluye: un trípode con soporte de aluminio o material superior, con cabezal de 3 vías (giro horizontal, vertical y lateral) como mínimo, con columna central sujetadas por barras a las 3 patas con terminales antid"&amp;"eslizantes. Altura regulable de mínimo 46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82" s="213">
        <f>IFERROR(__xludf.DUMMYFUNCTION("""COMPUTED_VALUE"""),3.0)</f>
        <v>3</v>
      </c>
      <c r="K282" s="213" t="str">
        <f>IFERROR(__xludf.DUMMYFUNCTION("""COMPUTED_VALUE"""),"170 DÍAS CALENDARIO")</f>
        <v>170 DÍAS CALENDARIO</v>
      </c>
      <c r="L282"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82" s="213">
        <f>IFERROR(__xludf.DUMMYFUNCTION("""COMPUTED_VALUE"""),1.0)</f>
        <v>1</v>
      </c>
      <c r="N282" s="213">
        <f>IFERROR(__xludf.DUMMYFUNCTION("""COMPUTED_VALUE"""),4.0)</f>
        <v>4</v>
      </c>
      <c r="O282" s="213">
        <f>IFERROR(__xludf.DUMMYFUNCTION("""COMPUTED_VALUE"""),4.0)</f>
        <v>4</v>
      </c>
      <c r="P282" s="213"/>
      <c r="Q282" s="213"/>
      <c r="R282" s="213"/>
      <c r="S282" s="213"/>
      <c r="T282" s="213" t="str">
        <f>IFERROR(__xludf.DUMMYFUNCTION("""COMPUTED_VALUE"""),"SI")</f>
        <v>SI</v>
      </c>
      <c r="U282" s="213" t="str">
        <f>IFERROR(__xludf.DUMMYFUNCTION("""COMPUTED_VALUE"""),"SI")</f>
        <v>SI</v>
      </c>
      <c r="V282" s="213" t="str">
        <f>IFERROR(__xludf.DUMMYFUNCTION("""COMPUTED_VALUE"""),"-")</f>
        <v>-</v>
      </c>
      <c r="W282" s="213" t="str">
        <f>IFERROR(__xludf.DUMMYFUNCTION("""COMPUTED_VALUE"""),"-")</f>
        <v>-</v>
      </c>
      <c r="X282" s="213" t="str">
        <f>IFERROR(__xludf.DUMMYFUNCTION("""COMPUTED_VALUE"""),"PANASONIC")</f>
        <v>PANASONIC</v>
      </c>
      <c r="Y282" s="213" t="str">
        <f>IFERROR(__xludf.DUMMYFUNCTION("""COMPUTED_VALUE"""),"HC-VX3E-K")</f>
        <v>HC-VX3E-K</v>
      </c>
      <c r="Z282" s="215" t="str">
        <f>IFERROR(__xludf.DUMMYFUNCTION("""COMPUTED_VALUE"""),"https://store.eu.panasonic.com/es-es/hc-vx3e-k-videocamara-4k")</f>
        <v>https://store.eu.panasonic.com/es-es/hc-vx3e-k-videocamara-4k</v>
      </c>
      <c r="AA282" s="213" t="str">
        <f>IFERROR(__xludf.DUMMYFUNCTION("""COMPUTED_VALUE"""),"TEC-102-A CÁMARA DE VIDEO CON TRÍPODE - CET")</f>
        <v>TEC-102-A CÁMARA DE VIDEO CON TRÍPODE - CET</v>
      </c>
      <c r="AB282" s="213"/>
      <c r="AC282" s="213"/>
      <c r="AD282" s="213"/>
      <c r="AE282" s="213"/>
      <c r="AF282" s="213"/>
      <c r="AG282" s="213"/>
      <c r="AH282" s="213"/>
      <c r="AI282" s="213"/>
      <c r="AJ282" s="213"/>
      <c r="AK282" s="213"/>
      <c r="AL282" s="213"/>
      <c r="AM282" s="213"/>
      <c r="AN282" s="213"/>
      <c r="AO282" s="213"/>
      <c r="AP282" s="213" t="str">
        <f>IFERROR(__xludf.DUMMYFUNCTION("""COMPUTED_VALUE"""),"NALDI")</f>
        <v>NALDI</v>
      </c>
      <c r="AQ282" s="213"/>
      <c r="AR282" s="213"/>
      <c r="AS282" s="213"/>
      <c r="AT282" s="213"/>
      <c r="AU282" s="213"/>
      <c r="AV282" s="213"/>
      <c r="AW282" s="213"/>
      <c r="AX282" s="213"/>
      <c r="AY282" s="213"/>
      <c r="AZ282" s="213"/>
      <c r="BA282" s="213"/>
      <c r="BB282" s="213"/>
      <c r="BC282" s="213"/>
      <c r="BD282" s="213"/>
    </row>
    <row r="283">
      <c r="A283" s="213">
        <f>IFERROR(__xludf.DUMMYFUNCTION("""COMPUTED_VALUE"""),778.0)</f>
        <v>778</v>
      </c>
      <c r="B283" s="213" t="str">
        <f>IFERROR(__xludf.DUMMYFUNCTION("""COMPUTED_VALUE"""),"6049 RICARDO PALMA")</f>
        <v>6049 RICARDO PALMA</v>
      </c>
      <c r="C283" s="213" t="str">
        <f>IFERROR(__xludf.DUMMYFUNCTION("""COMPUTED_VALUE"""),"TALLER SFT DE COMPUTACIÓN E INFORMÁTICA")</f>
        <v>TALLER SFT DE COMPUTACIÓN E INFORMÁTICA</v>
      </c>
      <c r="D283" s="213" t="str">
        <f>IFERROR(__xludf.DUMMYFUNCTION("""COMPUTED_VALUE"""),"TICS")</f>
        <v>TICS</v>
      </c>
      <c r="E283" s="213" t="str">
        <f>IFERROR(__xludf.DUMMYFUNCTION("""COMPUTED_VALUE"""),"TEC-102")</f>
        <v>TEC-102</v>
      </c>
      <c r="F283" s="213" t="str">
        <f>IFERROR(__xludf.DUMMYFUNCTION("""COMPUTED_VALUE"""),"TEC-102-X")</f>
        <v>TEC-102-X</v>
      </c>
      <c r="G283" s="213"/>
      <c r="H283" s="213" t="str">
        <f>IFERROR(__xludf.DUMMYFUNCTION("""COMPUTED_VALUE"""),"CÁMARA DE VIDEO CON TRÍPODE")</f>
        <v>CÁMARA DE VIDEO CON TRÍPODE</v>
      </c>
      <c r="I283"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83" s="213">
        <f>IFERROR(__xludf.DUMMYFUNCTION("""COMPUTED_VALUE"""),3.0)</f>
        <v>3</v>
      </c>
      <c r="K283" s="213" t="str">
        <f>IFERROR(__xludf.DUMMYFUNCTION("""COMPUTED_VALUE"""),"170 DÍAS CALENDARIO")</f>
        <v>170 DÍAS CALENDARIO</v>
      </c>
      <c r="L283"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83" s="213">
        <f>IFERROR(__xludf.DUMMYFUNCTION("""COMPUTED_VALUE"""),1.0)</f>
        <v>1</v>
      </c>
      <c r="N283" s="213">
        <f>IFERROR(__xludf.DUMMYFUNCTION("""COMPUTED_VALUE"""),4.0)</f>
        <v>4</v>
      </c>
      <c r="O283" s="213">
        <f>IFERROR(__xludf.DUMMYFUNCTION("""COMPUTED_VALUE"""),4.0)</f>
        <v>4</v>
      </c>
      <c r="P283" s="213"/>
      <c r="Q283" s="213"/>
      <c r="R283" s="213"/>
      <c r="S283" s="213"/>
      <c r="T283" s="213" t="str">
        <f>IFERROR(__xludf.DUMMYFUNCTION("""COMPUTED_VALUE"""),"SI")</f>
        <v>SI</v>
      </c>
      <c r="U283" s="213" t="str">
        <f>IFERROR(__xludf.DUMMYFUNCTION("""COMPUTED_VALUE"""),"SI")</f>
        <v>SI</v>
      </c>
      <c r="V283" s="213" t="str">
        <f>IFERROR(__xludf.DUMMYFUNCTION("""COMPUTED_VALUE"""),"-")</f>
        <v>-</v>
      </c>
      <c r="W283" s="213" t="str">
        <f>IFERROR(__xludf.DUMMYFUNCTION("""COMPUTED_VALUE"""),"-")</f>
        <v>-</v>
      </c>
      <c r="X283" s="213" t="str">
        <f>IFERROR(__xludf.DUMMYFUNCTION("""COMPUTED_VALUE"""),"PANASONIC")</f>
        <v>PANASONIC</v>
      </c>
      <c r="Y283" s="213" t="str">
        <f>IFERROR(__xludf.DUMMYFUNCTION("""COMPUTED_VALUE"""),"HC-VX3E-K")</f>
        <v>HC-VX3E-K</v>
      </c>
      <c r="Z283" s="215" t="str">
        <f>IFERROR(__xludf.DUMMYFUNCTION("""COMPUTED_VALUE"""),"https://store.eu.panasonic.com/es-es/hc-vx3e-k-videocamara-4k")</f>
        <v>https://store.eu.panasonic.com/es-es/hc-vx3e-k-videocamara-4k</v>
      </c>
      <c r="AA283" s="213" t="str">
        <f>IFERROR(__xludf.DUMMYFUNCTION("""COMPUTED_VALUE"""),"TEC-102-A CÁMARA DE VIDEO CON TRÍPODE - CET")</f>
        <v>TEC-102-A CÁMARA DE VIDEO CON TRÍPODE - CET</v>
      </c>
      <c r="AB283" s="213"/>
      <c r="AC283" s="213"/>
      <c r="AD283" s="213"/>
      <c r="AE283" s="213"/>
      <c r="AF283" s="213"/>
      <c r="AG283" s="213"/>
      <c r="AH283" s="213"/>
      <c r="AI283" s="213"/>
      <c r="AJ283" s="213"/>
      <c r="AK283" s="213"/>
      <c r="AL283" s="213"/>
      <c r="AM283" s="213"/>
      <c r="AN283" s="213"/>
      <c r="AO283" s="213"/>
      <c r="AP283" s="213" t="str">
        <f>IFERROR(__xludf.DUMMYFUNCTION("""COMPUTED_VALUE"""),"NALDI")</f>
        <v>NALDI</v>
      </c>
      <c r="AQ283" s="213"/>
      <c r="AR283" s="213"/>
      <c r="AS283" s="213"/>
      <c r="AT283" s="213"/>
      <c r="AU283" s="213"/>
      <c r="AV283" s="213"/>
      <c r="AW283" s="213"/>
      <c r="AX283" s="213"/>
      <c r="AY283" s="213"/>
      <c r="AZ283" s="213"/>
      <c r="BA283" s="213"/>
      <c r="BB283" s="213"/>
      <c r="BC283" s="213"/>
      <c r="BD283" s="213"/>
    </row>
    <row r="284">
      <c r="A284" s="213">
        <f>IFERROR(__xludf.DUMMYFUNCTION("""COMPUTED_VALUE"""),801.0)</f>
        <v>801</v>
      </c>
      <c r="B284" s="213" t="str">
        <f>IFERROR(__xludf.DUMMYFUNCTION("""COMPUTED_VALUE"""),"6049 RICARDO PALMA")</f>
        <v>6049 RICARDO PALMA</v>
      </c>
      <c r="C284" s="213" t="str">
        <f>IFERROR(__xludf.DUMMYFUNCTION("""COMPUTED_VALUE"""),"TALLER SFT DE COMPUTACIÓN E INFORMÁTICA")</f>
        <v>TALLER SFT DE COMPUTACIÓN E INFORMÁTICA</v>
      </c>
      <c r="D284" s="213" t="str">
        <f>IFERROR(__xludf.DUMMYFUNCTION("""COMPUTED_VALUE"""),"TICS")</f>
        <v>TICS</v>
      </c>
      <c r="E284" s="213" t="str">
        <f>IFERROR(__xludf.DUMMYFUNCTION("""COMPUTED_VALUE"""),"TEC-102")</f>
        <v>TEC-102</v>
      </c>
      <c r="F284" s="213" t="str">
        <f>IFERROR(__xludf.DUMMYFUNCTION("""COMPUTED_VALUE"""),"TEC-102-X")</f>
        <v>TEC-102-X</v>
      </c>
      <c r="G284" s="213"/>
      <c r="H284" s="213" t="str">
        <f>IFERROR(__xludf.DUMMYFUNCTION("""COMPUTED_VALUE"""),"CÁMARA DE VIDEO CON TRÍPODE")</f>
        <v>CÁMARA DE VIDEO CON TRÍPODE</v>
      </c>
      <c r="I284"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84" s="213">
        <f>IFERROR(__xludf.DUMMYFUNCTION("""COMPUTED_VALUE"""),3.0)</f>
        <v>3</v>
      </c>
      <c r="K284" s="213" t="str">
        <f>IFERROR(__xludf.DUMMYFUNCTION("""COMPUTED_VALUE"""),"170 DÍAS CALENDARIO")</f>
        <v>170 DÍAS CALENDARIO</v>
      </c>
      <c r="L284"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84" s="213">
        <f>IFERROR(__xludf.DUMMYFUNCTION("""COMPUTED_VALUE"""),1.0)</f>
        <v>1</v>
      </c>
      <c r="N284" s="213">
        <f>IFERROR(__xludf.DUMMYFUNCTION("""COMPUTED_VALUE"""),1.0)</f>
        <v>1</v>
      </c>
      <c r="O284" s="213">
        <f>IFERROR(__xludf.DUMMYFUNCTION("""COMPUTED_VALUE"""),1.0)</f>
        <v>1</v>
      </c>
      <c r="P284" s="213"/>
      <c r="Q284" s="213"/>
      <c r="R284" s="213"/>
      <c r="S284" s="213"/>
      <c r="T284" s="213" t="str">
        <f>IFERROR(__xludf.DUMMYFUNCTION("""COMPUTED_VALUE"""),"SI")</f>
        <v>SI</v>
      </c>
      <c r="U284" s="213" t="str">
        <f>IFERROR(__xludf.DUMMYFUNCTION("""COMPUTED_VALUE"""),"SI")</f>
        <v>SI</v>
      </c>
      <c r="V284" s="213" t="str">
        <f>IFERROR(__xludf.DUMMYFUNCTION("""COMPUTED_VALUE"""),"-")</f>
        <v>-</v>
      </c>
      <c r="W284" s="213" t="str">
        <f>IFERROR(__xludf.DUMMYFUNCTION("""COMPUTED_VALUE"""),"-")</f>
        <v>-</v>
      </c>
      <c r="X284" s="213" t="str">
        <f>IFERROR(__xludf.DUMMYFUNCTION("""COMPUTED_VALUE"""),"PANASONIC")</f>
        <v>PANASONIC</v>
      </c>
      <c r="Y284" s="213" t="str">
        <f>IFERROR(__xludf.DUMMYFUNCTION("""COMPUTED_VALUE"""),"HC-VX3E-K")</f>
        <v>HC-VX3E-K</v>
      </c>
      <c r="Z284" s="215" t="str">
        <f>IFERROR(__xludf.DUMMYFUNCTION("""COMPUTED_VALUE"""),"https://store.eu.panasonic.com/es-es/hc-vx3e-k-videocamara-4k")</f>
        <v>https://store.eu.panasonic.com/es-es/hc-vx3e-k-videocamara-4k</v>
      </c>
      <c r="AA284" s="213" t="str">
        <f>IFERROR(__xludf.DUMMYFUNCTION("""COMPUTED_VALUE"""),"TEC-102-A CÁMARA DE VIDEO CON TRÍPODE - CET")</f>
        <v>TEC-102-A CÁMARA DE VIDEO CON TRÍPODE - CET</v>
      </c>
      <c r="AB284" s="213"/>
      <c r="AC284" s="213"/>
      <c r="AD284" s="213"/>
      <c r="AE284" s="213"/>
      <c r="AF284" s="213"/>
      <c r="AG284" s="213"/>
      <c r="AH284" s="213"/>
      <c r="AI284" s="213"/>
      <c r="AJ284" s="213"/>
      <c r="AK284" s="213"/>
      <c r="AL284" s="213"/>
      <c r="AM284" s="213"/>
      <c r="AN284" s="213"/>
      <c r="AO284" s="213"/>
      <c r="AP284" s="213" t="str">
        <f>IFERROR(__xludf.DUMMYFUNCTION("""COMPUTED_VALUE"""),"NALDI")</f>
        <v>NALDI</v>
      </c>
      <c r="AQ284" s="213"/>
      <c r="AR284" s="213"/>
      <c r="AS284" s="213"/>
      <c r="AT284" s="213"/>
      <c r="AU284" s="213"/>
      <c r="AV284" s="213"/>
      <c r="AW284" s="213"/>
      <c r="AX284" s="213"/>
      <c r="AY284" s="213"/>
      <c r="AZ284" s="213"/>
      <c r="BA284" s="213"/>
      <c r="BB284" s="213"/>
      <c r="BC284" s="213"/>
      <c r="BD284" s="213"/>
    </row>
    <row r="285">
      <c r="A285" s="213">
        <f>IFERROR(__xludf.DUMMYFUNCTION("""COMPUTED_VALUE"""),858.0)</f>
        <v>858</v>
      </c>
      <c r="B285" s="213" t="str">
        <f>IFERROR(__xludf.DUMMYFUNCTION("""COMPUTED_VALUE"""),"6049 RICARDO PALMA")</f>
        <v>6049 RICARDO PALMA</v>
      </c>
      <c r="C285" s="213" t="str">
        <f>IFERROR(__xludf.DUMMYFUNCTION("""COMPUTED_VALUE"""),"TALLER SFT DE ELECTRICIDAD")</f>
        <v>TALLER SFT DE ELECTRICIDAD</v>
      </c>
      <c r="D285" s="213" t="str">
        <f>IFERROR(__xludf.DUMMYFUNCTION("""COMPUTED_VALUE"""),"TICS")</f>
        <v>TICS</v>
      </c>
      <c r="E285" s="213" t="str">
        <f>IFERROR(__xludf.DUMMYFUNCTION("""COMPUTED_VALUE"""),"TEC-102")</f>
        <v>TEC-102</v>
      </c>
      <c r="F285" s="213" t="str">
        <f>IFERROR(__xludf.DUMMYFUNCTION("""COMPUTED_VALUE"""),"TEC-102-Y")</f>
        <v>TEC-102-Y</v>
      </c>
      <c r="G285" s="213"/>
      <c r="H285" s="213" t="str">
        <f>IFERROR(__xludf.DUMMYFUNCTION("""COMPUTED_VALUE"""),"CÁMARA DE VIDEO CON TRÍPODE")</f>
        <v>CÁMARA DE VIDEO CON TRÍPODE</v>
      </c>
      <c r="I285" s="213" t="str">
        <f>IFERROR(__xludf.DUMMYFUNCTION("""COMPUTED_VALUE"""),"·       Videocámara que graba videos en alta calidad con detalles en 4K ultra HD.				
·       Tipo de sensor con tecnología CMOS.				
·       Pantalla LCD de 3,0"", panorámica (16:9). Mínimo.				
·       Zoom óptico hasta 20X. mínimo				
·       Formato d"&amp;"e imagen JPEG.				
·       Resolución de 8 megapíxeles reales. Mínimo				
·       Con sistema de detección de rostro.				
·       Con temporizador de toma de hasta 10 segundos.				
·       Interfaces de conexión a la computadora (USB, entrada DC, entrada "&amp;"MIC).				
.       Incluye memoria externa de 128 GB.				
·       Compatibilidad con Windows 10.				
·       Temperatura de trabajo de 0 a 40°.				
·       Incluye: un trípode con soporte, plegable, altura regulable de mínimo 46 a 150 cm.				
·       Inclu"&amp;"ye: un trípode con soporte de aluminio o material superior, con cabezal de 3 vías (giro horizontal,				
vertical y lateral) como mínimo, con columna central sujetadas por barras a las 3 patas con terminales				
antideslizantes. Altura regulable de mínimo "&amp;"46 a 159 cm.				")</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				</v>
      </c>
      <c r="J285" s="213">
        <f>IFERROR(__xludf.DUMMYFUNCTION("""COMPUTED_VALUE"""),3.0)</f>
        <v>3</v>
      </c>
      <c r="K285" s="213" t="str">
        <f>IFERROR(__xludf.DUMMYFUNCTION("""COMPUTED_VALUE"""),"170 DÍAS CALENDARIO")</f>
        <v>170 DÍAS CALENDARIO</v>
      </c>
      <c r="L285" s="213" t="str">
        <f>IFERROR(__xludf.DUMMYFUNCTION("""COMPUTED_VALUE"""),"ELECTRICIDAD, INDUSTRIA ALIMENTARIA")</f>
        <v>ELECTRICIDAD, INDUSTRIA ALIMENTARIA</v>
      </c>
      <c r="M285" s="213">
        <f>IFERROR(__xludf.DUMMYFUNCTION("""COMPUTED_VALUE"""),1.0)</f>
        <v>1</v>
      </c>
      <c r="N285" s="213">
        <f>IFERROR(__xludf.DUMMYFUNCTION("""COMPUTED_VALUE"""),4.0)</f>
        <v>4</v>
      </c>
      <c r="O285" s="213">
        <f>IFERROR(__xludf.DUMMYFUNCTION("""COMPUTED_VALUE"""),4.0)</f>
        <v>4</v>
      </c>
      <c r="P285" s="213"/>
      <c r="Q285" s="213"/>
      <c r="R285" s="213"/>
      <c r="S285" s="213"/>
      <c r="T285" s="213" t="str">
        <f>IFERROR(__xludf.DUMMYFUNCTION("""COMPUTED_VALUE"""),"SI")</f>
        <v>SI</v>
      </c>
      <c r="U285" s="213" t="str">
        <f>IFERROR(__xludf.DUMMYFUNCTION("""COMPUTED_VALUE"""),"SI")</f>
        <v>SI</v>
      </c>
      <c r="V285" s="213" t="str">
        <f>IFERROR(__xludf.DUMMYFUNCTION("""COMPUTED_VALUE"""),"-")</f>
        <v>-</v>
      </c>
      <c r="W285" s="213" t="str">
        <f>IFERROR(__xludf.DUMMYFUNCTION("""COMPUTED_VALUE"""),"-")</f>
        <v>-</v>
      </c>
      <c r="X285" s="213" t="str">
        <f>IFERROR(__xludf.DUMMYFUNCTION("""COMPUTED_VALUE"""),"PANASONIC")</f>
        <v>PANASONIC</v>
      </c>
      <c r="Y285" s="213" t="str">
        <f>IFERROR(__xludf.DUMMYFUNCTION("""COMPUTED_VALUE"""),"HC-VX3E-K")</f>
        <v>HC-VX3E-K</v>
      </c>
      <c r="Z285" s="215" t="str">
        <f>IFERROR(__xludf.DUMMYFUNCTION("""COMPUTED_VALUE"""),"https://store.eu.panasonic.com/es-es/hc-vx3e-k-videocamara-4k")</f>
        <v>https://store.eu.panasonic.com/es-es/hc-vx3e-k-videocamara-4k</v>
      </c>
      <c r="AA285" s="213" t="str">
        <f>IFERROR(__xludf.DUMMYFUNCTION("""COMPUTED_VALUE"""),"TEC-102-B CÁMARA DE VIDEO CON TRÍPODE - CET")</f>
        <v>TEC-102-B CÁMARA DE VIDEO CON TRÍPODE - CET</v>
      </c>
      <c r="AB285" s="213"/>
      <c r="AC285" s="213"/>
      <c r="AD285" s="213"/>
      <c r="AE285" s="213"/>
      <c r="AF285" s="213"/>
      <c r="AG285" s="213"/>
      <c r="AH285" s="213"/>
      <c r="AI285" s="213"/>
      <c r="AJ285" s="213"/>
      <c r="AK285" s="213"/>
      <c r="AL285" s="213"/>
      <c r="AM285" s="213"/>
      <c r="AN285" s="213"/>
      <c r="AO285" s="213"/>
      <c r="AP285" s="213" t="str">
        <f>IFERROR(__xludf.DUMMYFUNCTION("""COMPUTED_VALUE"""),"NALDI")</f>
        <v>NALDI</v>
      </c>
      <c r="AQ285" s="213"/>
      <c r="AR285" s="213"/>
      <c r="AS285" s="213"/>
      <c r="AT285" s="213"/>
      <c r="AU285" s="213"/>
      <c r="AV285" s="213"/>
      <c r="AW285" s="213"/>
      <c r="AX285" s="213"/>
      <c r="AY285" s="213"/>
      <c r="AZ285" s="213"/>
      <c r="BA285" s="213"/>
      <c r="BB285" s="213"/>
      <c r="BC285" s="213"/>
      <c r="BD285" s="213"/>
    </row>
    <row r="286">
      <c r="A286" s="213">
        <f>IFERROR(__xludf.DUMMYFUNCTION("""COMPUTED_VALUE"""),1003.0)</f>
        <v>1003</v>
      </c>
      <c r="B286" s="213" t="str">
        <f>IFERROR(__xludf.DUMMYFUNCTION("""COMPUTED_VALUE"""),"FRANCISCO IRAZOLA")</f>
        <v>FRANCISCO IRAZOLA</v>
      </c>
      <c r="C286" s="213" t="str">
        <f>IFERROR(__xludf.DUMMYFUNCTION("""COMPUTED_VALUE"""),"TALLER SFT DE MECÁNICA AUTOMOTRIZ")</f>
        <v>TALLER SFT DE MECÁNICA AUTOMOTRIZ</v>
      </c>
      <c r="D286" s="213" t="str">
        <f>IFERROR(__xludf.DUMMYFUNCTION("""COMPUTED_VALUE"""),"TICS")</f>
        <v>TICS</v>
      </c>
      <c r="E286" s="213" t="str">
        <f>IFERROR(__xludf.DUMMYFUNCTION("""COMPUTED_VALUE"""),"TEC-102")</f>
        <v>TEC-102</v>
      </c>
      <c r="F286" s="213" t="str">
        <f>IFERROR(__xludf.DUMMYFUNCTION("""COMPUTED_VALUE"""),"TEC-102-X")</f>
        <v>TEC-102-X</v>
      </c>
      <c r="G286" s="213"/>
      <c r="H286" s="213" t="str">
        <f>IFERROR(__xludf.DUMMYFUNCTION("""COMPUTED_VALUE"""),"CÁMARA DE VIDEO CON TRÍPODE")</f>
        <v>CÁMARA DE VIDEO CON TRÍPODE</v>
      </c>
      <c r="I286" s="213" t="str">
        <f>IFERROR(__xludf.DUMMYFUNCTION("""COMPUTED_VALUE"""),"·       Videocámara que graba videos en alta calidad con detalles en 4K ultra HD.
·       Tipo de sensor con tecnología CMOS.
·       Pantalla LCD de 3,0"", panorámica (16:9). Mínimo.
·       Zoom óptico hasta 20X. mínimo
·       Formato de imagen JPEG.
·"&amp;"       Resolución de 8 megapíxeles reales. Mínimo
·       Con sistema de detección de rostro.
·       Con temporizador de toma de hasta 10 segundos.
·       Interfaces de conexión a la computadora (USB, entrada DC, entrada MIC), , o en su defecto se propo"&amp;"rciona adicionalmente un conector  (cable) con las 3 posibles conexiones.
.       Incluye memoria externa de 128 GB.
·       Compatibilidad con Windows 10.
·       Temperatura de trabajo de 0 a 40°.
·       Incluye: un trípode con soporte, plegable, altur"&amp;"a regulable de mínimo 46 a 150 cm.
·       Incluye: un trípode con soporte de aluminio o material superior, con cabezal de 3 vías (giro horizontal, vertical y lateral) como mínimo, con columna central sujetadas por barras a las 3 patas con terminales anti"&amp;"deslizantes. Altura regulable de mínimo 46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86" s="213">
        <f>IFERROR(__xludf.DUMMYFUNCTION("""COMPUTED_VALUE"""),3.0)</f>
        <v>3</v>
      </c>
      <c r="K286" s="213" t="str">
        <f>IFERROR(__xludf.DUMMYFUNCTION("""COMPUTED_VALUE"""),"170 DÍAS CALENDARIO")</f>
        <v>170 DÍAS CALENDARIO</v>
      </c>
      <c r="L286"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86" s="213">
        <f>IFERROR(__xludf.DUMMYFUNCTION("""COMPUTED_VALUE"""),1.0)</f>
        <v>1</v>
      </c>
      <c r="N286" s="213">
        <f>IFERROR(__xludf.DUMMYFUNCTION("""COMPUTED_VALUE"""),4.0)</f>
        <v>4</v>
      </c>
      <c r="O286" s="213">
        <f>IFERROR(__xludf.DUMMYFUNCTION("""COMPUTED_VALUE"""),4.0)</f>
        <v>4</v>
      </c>
      <c r="P286" s="213"/>
      <c r="Q286" s="213"/>
      <c r="R286" s="213"/>
      <c r="S286" s="213"/>
      <c r="T286" s="213" t="str">
        <f>IFERROR(__xludf.DUMMYFUNCTION("""COMPUTED_VALUE"""),"SI")</f>
        <v>SI</v>
      </c>
      <c r="U286" s="213" t="str">
        <f>IFERROR(__xludf.DUMMYFUNCTION("""COMPUTED_VALUE"""),"SI")</f>
        <v>SI</v>
      </c>
      <c r="V286" s="213" t="str">
        <f>IFERROR(__xludf.DUMMYFUNCTION("""COMPUTED_VALUE"""),"-")</f>
        <v>-</v>
      </c>
      <c r="W286" s="213" t="str">
        <f>IFERROR(__xludf.DUMMYFUNCTION("""COMPUTED_VALUE"""),"-")</f>
        <v>-</v>
      </c>
      <c r="X286" s="213" t="str">
        <f>IFERROR(__xludf.DUMMYFUNCTION("""COMPUTED_VALUE"""),"PANASONIC")</f>
        <v>PANASONIC</v>
      </c>
      <c r="Y286" s="213" t="str">
        <f>IFERROR(__xludf.DUMMYFUNCTION("""COMPUTED_VALUE"""),"HC-VX3E-K")</f>
        <v>HC-VX3E-K</v>
      </c>
      <c r="Z286" s="215" t="str">
        <f>IFERROR(__xludf.DUMMYFUNCTION("""COMPUTED_VALUE"""),"https://store.eu.panasonic.com/es-es/hc-vx3e-k-videocamara-4k")</f>
        <v>https://store.eu.panasonic.com/es-es/hc-vx3e-k-videocamara-4k</v>
      </c>
      <c r="AA286" s="213" t="str">
        <f>IFERROR(__xludf.DUMMYFUNCTION("""COMPUTED_VALUE"""),"TEC-102-A CÁMARA DE VIDEO CON TRÍPODE - CET")</f>
        <v>TEC-102-A CÁMARA DE VIDEO CON TRÍPODE - CET</v>
      </c>
      <c r="AB286" s="213"/>
      <c r="AC286" s="213"/>
      <c r="AD286" s="213"/>
      <c r="AE286" s="213"/>
      <c r="AF286" s="213"/>
      <c r="AG286" s="213"/>
      <c r="AH286" s="213"/>
      <c r="AI286" s="213"/>
      <c r="AJ286" s="213"/>
      <c r="AK286" s="213"/>
      <c r="AL286" s="213"/>
      <c r="AM286" s="213"/>
      <c r="AN286" s="213"/>
      <c r="AO286" s="213"/>
      <c r="AP286" s="213" t="str">
        <f>IFERROR(__xludf.DUMMYFUNCTION("""COMPUTED_VALUE"""),"NALDI")</f>
        <v>NALDI</v>
      </c>
      <c r="AQ286" s="213"/>
      <c r="AR286" s="213"/>
      <c r="AS286" s="213"/>
      <c r="AT286" s="213"/>
      <c r="AU286" s="213"/>
      <c r="AV286" s="213"/>
      <c r="AW286" s="213"/>
      <c r="AX286" s="213"/>
      <c r="AY286" s="213"/>
      <c r="AZ286" s="213"/>
      <c r="BA286" s="213"/>
      <c r="BB286" s="213"/>
      <c r="BC286" s="213"/>
      <c r="BD286" s="213"/>
    </row>
    <row r="287">
      <c r="A287" s="213">
        <f>IFERROR(__xludf.DUMMYFUNCTION("""COMPUTED_VALUE"""),1235.0)</f>
        <v>1235</v>
      </c>
      <c r="B287" s="213" t="str">
        <f>IFERROR(__xludf.DUMMYFUNCTION("""COMPUTED_VALUE"""),"FRANCISCO IRAZOLA")</f>
        <v>FRANCISCO IRAZOLA</v>
      </c>
      <c r="C287" s="213" t="str">
        <f>IFERROR(__xludf.DUMMYFUNCTION("""COMPUTED_VALUE"""),"TALLER SFT DE INDUSTRIA ALIMENTARIA")</f>
        <v>TALLER SFT DE INDUSTRIA ALIMENTARIA</v>
      </c>
      <c r="D287" s="213" t="str">
        <f>IFERROR(__xludf.DUMMYFUNCTION("""COMPUTED_VALUE"""),"TICS")</f>
        <v>TICS</v>
      </c>
      <c r="E287" s="213" t="str">
        <f>IFERROR(__xludf.DUMMYFUNCTION("""COMPUTED_VALUE"""),"TEC-102")</f>
        <v>TEC-102</v>
      </c>
      <c r="F287" s="213" t="str">
        <f>IFERROR(__xludf.DUMMYFUNCTION("""COMPUTED_VALUE"""),"TEC-102-Y")</f>
        <v>TEC-102-Y</v>
      </c>
      <c r="G287" s="213"/>
      <c r="H287" s="213" t="str">
        <f>IFERROR(__xludf.DUMMYFUNCTION("""COMPUTED_VALUE"""),"CÁMARA DE VIDEO CON TRÍPODE")</f>
        <v>CÁMARA DE VIDEO CON TRÍPODE</v>
      </c>
      <c r="I287" s="213" t="str">
        <f>IFERROR(__xludf.DUMMYFUNCTION("""COMPUTED_VALUE"""),"·      Videocámara que graba videos en alta calidad con detalles en 4K ultra HD.
·      Tipo de sensor con tecnología CMOS.
·      Pantalla LCD de 3,0"", panorámica (16:9). Mínimo.
·      Zoom óptico hasta 20X. mínimo
·      Formato de imagen JPEG.
·     "&amp;" Resolución de 8 megapíxeles reales. Mínimo
·      Con sistema de detección de rostro.
·      Con temporizador de toma de hasta 10 segundos.
·      Interfaces de conexión a la computadora (USB, entrada DC, entrada MIC).
.       Incluye memoria externa de "&amp;"128 GB.
·      Compatibilidad con Windows 10.
·      Temperatura de trabajo de 0 a 40°.
·      Incluye: un trípode con soporte, plegable, altura regulable de mínimo 46 a 150 cm.
·      Incluye: un trípode con soporte de aluminio o material superior, con c"&amp;"abezal de 3 vías (giro horizontal, vertical y lateral) como mínimo, con columna central sujetadas por barras a las 3 patas con terminales antideslizantes. Altura regulable de mínimo 46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87" s="213">
        <f>IFERROR(__xludf.DUMMYFUNCTION("""COMPUTED_VALUE"""),3.0)</f>
        <v>3</v>
      </c>
      <c r="K287" s="213" t="str">
        <f>IFERROR(__xludf.DUMMYFUNCTION("""COMPUTED_VALUE"""),"170 DÍAS CALENDARIO")</f>
        <v>170 DÍAS CALENDARIO</v>
      </c>
      <c r="L287" s="213" t="str">
        <f>IFERROR(__xludf.DUMMYFUNCTION("""COMPUTED_VALUE"""),"ELECTRICIDAD, INDUSTRIA ALIMENTARIA")</f>
        <v>ELECTRICIDAD, INDUSTRIA ALIMENTARIA</v>
      </c>
      <c r="M287" s="213">
        <f>IFERROR(__xludf.DUMMYFUNCTION("""COMPUTED_VALUE"""),1.0)</f>
        <v>1</v>
      </c>
      <c r="N287" s="213">
        <f>IFERROR(__xludf.DUMMYFUNCTION("""COMPUTED_VALUE"""),4.0)</f>
        <v>4</v>
      </c>
      <c r="O287" s="213">
        <f>IFERROR(__xludf.DUMMYFUNCTION("""COMPUTED_VALUE"""),4.0)</f>
        <v>4</v>
      </c>
      <c r="P287" s="213"/>
      <c r="Q287" s="213"/>
      <c r="R287" s="213"/>
      <c r="S287" s="213"/>
      <c r="T287" s="213" t="str">
        <f>IFERROR(__xludf.DUMMYFUNCTION("""COMPUTED_VALUE"""),"SI")</f>
        <v>SI</v>
      </c>
      <c r="U287" s="213" t="str">
        <f>IFERROR(__xludf.DUMMYFUNCTION("""COMPUTED_VALUE"""),"SI")</f>
        <v>SI</v>
      </c>
      <c r="V287" s="213" t="str">
        <f>IFERROR(__xludf.DUMMYFUNCTION("""COMPUTED_VALUE"""),"-")</f>
        <v>-</v>
      </c>
      <c r="W287" s="213" t="str">
        <f>IFERROR(__xludf.DUMMYFUNCTION("""COMPUTED_VALUE"""),"-")</f>
        <v>-</v>
      </c>
      <c r="X287" s="213" t="str">
        <f>IFERROR(__xludf.DUMMYFUNCTION("""COMPUTED_VALUE"""),"PANASONIC")</f>
        <v>PANASONIC</v>
      </c>
      <c r="Y287" s="213" t="str">
        <f>IFERROR(__xludf.DUMMYFUNCTION("""COMPUTED_VALUE"""),"HC-VX3E-K")</f>
        <v>HC-VX3E-K</v>
      </c>
      <c r="Z287" s="215" t="str">
        <f>IFERROR(__xludf.DUMMYFUNCTION("""COMPUTED_VALUE"""),"https://store.eu.panasonic.com/es-es/hc-vx3e-k-videocamara-4k")</f>
        <v>https://store.eu.panasonic.com/es-es/hc-vx3e-k-videocamara-4k</v>
      </c>
      <c r="AA287" s="213" t="str">
        <f>IFERROR(__xludf.DUMMYFUNCTION("""COMPUTED_VALUE"""),"TEC-102-B CÁMARA DE VIDEO CON TRÍPODE - CET")</f>
        <v>TEC-102-B CÁMARA DE VIDEO CON TRÍPODE - CET</v>
      </c>
      <c r="AB287" s="213"/>
      <c r="AC287" s="213"/>
      <c r="AD287" s="213"/>
      <c r="AE287" s="213"/>
      <c r="AF287" s="213"/>
      <c r="AG287" s="213"/>
      <c r="AH287" s="213"/>
      <c r="AI287" s="213"/>
      <c r="AJ287" s="213"/>
      <c r="AK287" s="213"/>
      <c r="AL287" s="213"/>
      <c r="AM287" s="213"/>
      <c r="AN287" s="213"/>
      <c r="AO287" s="213"/>
      <c r="AP287" s="213" t="str">
        <f>IFERROR(__xludf.DUMMYFUNCTION("""COMPUTED_VALUE"""),"NALDI")</f>
        <v>NALDI</v>
      </c>
      <c r="AQ287" s="213"/>
      <c r="AR287" s="213"/>
      <c r="AS287" s="213"/>
      <c r="AT287" s="213"/>
      <c r="AU287" s="213"/>
      <c r="AV287" s="213"/>
      <c r="AW287" s="213"/>
      <c r="AX287" s="213"/>
      <c r="AY287" s="213"/>
      <c r="AZ287" s="213"/>
      <c r="BA287" s="213"/>
      <c r="BB287" s="213"/>
      <c r="BC287" s="213"/>
      <c r="BD287" s="213"/>
    </row>
    <row r="288">
      <c r="A288" s="213">
        <f>IFERROR(__xludf.DUMMYFUNCTION("""COMPUTED_VALUE"""),1280.0)</f>
        <v>1280</v>
      </c>
      <c r="B288" s="213" t="str">
        <f>IFERROR(__xludf.DUMMYFUNCTION("""COMPUTED_VALUE"""),"GUILLERMO E. BILLINGHURST ")</f>
        <v>GUILLERMO E. BILLINGHURST </v>
      </c>
      <c r="C288" s="213" t="str">
        <f>IFERROR(__xludf.DUMMYFUNCTION("""COMPUTED_VALUE"""),"TALLER SFT DE ELECTRICIDAD")</f>
        <v>TALLER SFT DE ELECTRICIDAD</v>
      </c>
      <c r="D288" s="213" t="str">
        <f>IFERROR(__xludf.DUMMYFUNCTION("""COMPUTED_VALUE"""),"TICS")</f>
        <v>TICS</v>
      </c>
      <c r="E288" s="213" t="str">
        <f>IFERROR(__xludf.DUMMYFUNCTION("""COMPUTED_VALUE"""),"TEC-102")</f>
        <v>TEC-102</v>
      </c>
      <c r="F288" s="213" t="str">
        <f>IFERROR(__xludf.DUMMYFUNCTION("""COMPUTED_VALUE"""),"TEC-102-Y")</f>
        <v>TEC-102-Y</v>
      </c>
      <c r="G288" s="213"/>
      <c r="H288" s="213" t="str">
        <f>IFERROR(__xludf.DUMMYFUNCTION("""COMPUTED_VALUE"""),"CÁMARA DE VIDEO CON TRÍPODE")</f>
        <v>CÁMARA DE VIDEO CON TRÍPODE</v>
      </c>
      <c r="I288" s="213" t="str">
        <f>IFERROR(__xludf.DUMMYFUNCTION("""COMPUTED_VALUE"""),"·       Videocámara que graba videos en alta calidad con detalles en 4K ultra HD.				
·       Tipo de sensor con tecnología CMOS.				
·       Pantalla LCD de 3,0"", panorámica (16:9). Mínimo.				
·       Zoom óptico hasta 20X. mínimo				
·       Formato d"&amp;"e imagen JPEG.				
·       Resolución de 8 megapíxeles reales. Mínimo				
·       Con sistema de detección de rostro.				
·       Con temporizador de toma de hasta 10 segundos.				
·       Interfaces de conexión a la computadora (USB, entrada DC, entrada "&amp;"MIC).				
.       Incluye memoria externa de 128 GB.				
·       Compatibilidad con Windows 10.				
·       Temperatura de trabajo de 0 a 40°.				
·       Incluye: un trípode con soporte, plegable, altura regulable de mínimo 46 a 150 cm.				
·       Inclu"&amp;"ye: un trípode con soporte de aluminio o material superior, con cabezal de 3 vías (giro horizontal,				
vertical y lateral) como mínimo, con columna central sujetadas por barras a las 3 patas con terminales				
antideslizantes. Altura regulable de mínimo "&amp;"46 a 159 cm.				")</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				</v>
      </c>
      <c r="J288" s="213">
        <f>IFERROR(__xludf.DUMMYFUNCTION("""COMPUTED_VALUE"""),3.0)</f>
        <v>3</v>
      </c>
      <c r="K288" s="213" t="str">
        <f>IFERROR(__xludf.DUMMYFUNCTION("""COMPUTED_VALUE"""),"170 DÍAS CALENDARIO")</f>
        <v>170 DÍAS CALENDARIO</v>
      </c>
      <c r="L288" s="213" t="str">
        <f>IFERROR(__xludf.DUMMYFUNCTION("""COMPUTED_VALUE"""),"ELECTRICIDAD, INDUSTRIA ALIMENTARIA")</f>
        <v>ELECTRICIDAD, INDUSTRIA ALIMENTARIA</v>
      </c>
      <c r="M288" s="213">
        <f>IFERROR(__xludf.DUMMYFUNCTION("""COMPUTED_VALUE"""),1.0)</f>
        <v>1</v>
      </c>
      <c r="N288" s="213">
        <f>IFERROR(__xludf.DUMMYFUNCTION("""COMPUTED_VALUE"""),4.0)</f>
        <v>4</v>
      </c>
      <c r="O288" s="213">
        <f>IFERROR(__xludf.DUMMYFUNCTION("""COMPUTED_VALUE"""),4.0)</f>
        <v>4</v>
      </c>
      <c r="P288" s="213"/>
      <c r="Q288" s="213"/>
      <c r="R288" s="213"/>
      <c r="S288" s="213"/>
      <c r="T288" s="213" t="str">
        <f>IFERROR(__xludf.DUMMYFUNCTION("""COMPUTED_VALUE"""),"SI")</f>
        <v>SI</v>
      </c>
      <c r="U288" s="213" t="str">
        <f>IFERROR(__xludf.DUMMYFUNCTION("""COMPUTED_VALUE"""),"SI")</f>
        <v>SI</v>
      </c>
      <c r="V288" s="213" t="str">
        <f>IFERROR(__xludf.DUMMYFUNCTION("""COMPUTED_VALUE"""),"-")</f>
        <v>-</v>
      </c>
      <c r="W288" s="213" t="str">
        <f>IFERROR(__xludf.DUMMYFUNCTION("""COMPUTED_VALUE"""),"-")</f>
        <v>-</v>
      </c>
      <c r="X288" s="213" t="str">
        <f>IFERROR(__xludf.DUMMYFUNCTION("""COMPUTED_VALUE"""),"PANASONIC")</f>
        <v>PANASONIC</v>
      </c>
      <c r="Y288" s="213" t="str">
        <f>IFERROR(__xludf.DUMMYFUNCTION("""COMPUTED_VALUE"""),"HC-VX3E-K")</f>
        <v>HC-VX3E-K</v>
      </c>
      <c r="Z288" s="215" t="str">
        <f>IFERROR(__xludf.DUMMYFUNCTION("""COMPUTED_VALUE"""),"https://store.eu.panasonic.com/es-es/hc-vx3e-k-videocamara-4k")</f>
        <v>https://store.eu.panasonic.com/es-es/hc-vx3e-k-videocamara-4k</v>
      </c>
      <c r="AA288" s="213" t="str">
        <f>IFERROR(__xludf.DUMMYFUNCTION("""COMPUTED_VALUE"""),"TEC-102-B CÁMARA DE VIDEO CON TRÍPODE - CET")</f>
        <v>TEC-102-B CÁMARA DE VIDEO CON TRÍPODE - CET</v>
      </c>
      <c r="AB288" s="213"/>
      <c r="AC288" s="213"/>
      <c r="AD288" s="213"/>
      <c r="AE288" s="213"/>
      <c r="AF288" s="213"/>
      <c r="AG288" s="213"/>
      <c r="AH288" s="213"/>
      <c r="AI288" s="213"/>
      <c r="AJ288" s="213"/>
      <c r="AK288" s="213"/>
      <c r="AL288" s="213"/>
      <c r="AM288" s="213"/>
      <c r="AN288" s="213"/>
      <c r="AO288" s="213"/>
      <c r="AP288" s="213" t="str">
        <f>IFERROR(__xludf.DUMMYFUNCTION("""COMPUTED_VALUE"""),"NALDI")</f>
        <v>NALDI</v>
      </c>
      <c r="AQ288" s="213"/>
      <c r="AR288" s="213"/>
      <c r="AS288" s="213"/>
      <c r="AT288" s="213"/>
      <c r="AU288" s="213"/>
      <c r="AV288" s="213"/>
      <c r="AW288" s="213"/>
      <c r="AX288" s="213"/>
      <c r="AY288" s="213"/>
      <c r="AZ288" s="213"/>
      <c r="BA288" s="213"/>
      <c r="BB288" s="213"/>
      <c r="BC288" s="213"/>
      <c r="BD288" s="213"/>
    </row>
    <row r="289">
      <c r="A289" s="213">
        <f>IFERROR(__xludf.DUMMYFUNCTION("""COMPUTED_VALUE"""),1608.0)</f>
        <v>1608</v>
      </c>
      <c r="B289" s="213" t="str">
        <f>IFERROR(__xludf.DUMMYFUNCTION("""COMPUTED_VALUE"""),"GUILLERMO E. BILLINGHURST ")</f>
        <v>GUILLERMO E. BILLINGHURST </v>
      </c>
      <c r="C289" s="213" t="str">
        <f>IFERROR(__xludf.DUMMYFUNCTION("""COMPUTED_VALUE"""),"TALLER SFT DE MECÁNICA AUTOMOTRIZ")</f>
        <v>TALLER SFT DE MECÁNICA AUTOMOTRIZ</v>
      </c>
      <c r="D289" s="213" t="str">
        <f>IFERROR(__xludf.DUMMYFUNCTION("""COMPUTED_VALUE"""),"TICS")</f>
        <v>TICS</v>
      </c>
      <c r="E289" s="213" t="str">
        <f>IFERROR(__xludf.DUMMYFUNCTION("""COMPUTED_VALUE"""),"TEC-102")</f>
        <v>TEC-102</v>
      </c>
      <c r="F289" s="213" t="str">
        <f>IFERROR(__xludf.DUMMYFUNCTION("""COMPUTED_VALUE"""),"TEC-102-X")</f>
        <v>TEC-102-X</v>
      </c>
      <c r="G289" s="213"/>
      <c r="H289" s="213" t="str">
        <f>IFERROR(__xludf.DUMMYFUNCTION("""COMPUTED_VALUE"""),"CÁMARA DE VIDEO CON TRÍPODE")</f>
        <v>CÁMARA DE VIDEO CON TRÍPODE</v>
      </c>
      <c r="I289" s="213" t="str">
        <f>IFERROR(__xludf.DUMMYFUNCTION("""COMPUTED_VALUE"""),"·       Videocámara que graba videos en alta calidad con detalles en 4K ultra HD.
·       Tipo de sensor con tecnología CMOS.
·       Pantalla LCD de 3,0"", panorámica (16:9). Mínimo.
·       Zoom óptico hasta 20X. mínimo
·       Formato de imagen JPEG.
·"&amp;"       Resolución de 8 megapíxeles reales. Mínimo
·       Con sistema de detección de rostro.
·       Con temporizador de toma de hasta 10 segundos.
·       Interfaces de conexión a la computadora (USB, entrada DC, entrada MIC), , o en su defecto se propo"&amp;"rciona adicionalmente un conector  (cable) con las 3 posibles conexiones.
.       Incluye memoria externa de 128 GB.
·       Compatibilidad con Windows 10.
·       Temperatura de trabajo de 0 a 40°.
·       Incluye: un trípode con soporte, plegable, altur"&amp;"a regulable de mínimo 46 a 150 cm.
·       Incluye: un trípode con soporte de aluminio o material superior, con cabezal de 3 vías (giro horizontal, vertical y lateral) como mínimo, con columna central sujetadas por barras a las 3 patas con terminales anti"&amp;"deslizantes. Altura regulable de mínimo 46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89" s="213">
        <f>IFERROR(__xludf.DUMMYFUNCTION("""COMPUTED_VALUE"""),3.0)</f>
        <v>3</v>
      </c>
      <c r="K289" s="213" t="str">
        <f>IFERROR(__xludf.DUMMYFUNCTION("""COMPUTED_VALUE"""),"170 DÍAS CALENDARIO")</f>
        <v>170 DÍAS CALENDARIO</v>
      </c>
      <c r="L289"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89" s="213">
        <f>IFERROR(__xludf.DUMMYFUNCTION("""COMPUTED_VALUE"""),1.0)</f>
        <v>1</v>
      </c>
      <c r="N289" s="213">
        <f>IFERROR(__xludf.DUMMYFUNCTION("""COMPUTED_VALUE"""),4.0)</f>
        <v>4</v>
      </c>
      <c r="O289" s="213">
        <f>IFERROR(__xludf.DUMMYFUNCTION("""COMPUTED_VALUE"""),4.0)</f>
        <v>4</v>
      </c>
      <c r="P289" s="213"/>
      <c r="Q289" s="213"/>
      <c r="R289" s="213"/>
      <c r="S289" s="213"/>
      <c r="T289" s="213" t="str">
        <f>IFERROR(__xludf.DUMMYFUNCTION("""COMPUTED_VALUE"""),"SI")</f>
        <v>SI</v>
      </c>
      <c r="U289" s="213" t="str">
        <f>IFERROR(__xludf.DUMMYFUNCTION("""COMPUTED_VALUE"""),"SI")</f>
        <v>SI</v>
      </c>
      <c r="V289" s="213" t="str">
        <f>IFERROR(__xludf.DUMMYFUNCTION("""COMPUTED_VALUE"""),"-")</f>
        <v>-</v>
      </c>
      <c r="W289" s="213" t="str">
        <f>IFERROR(__xludf.DUMMYFUNCTION("""COMPUTED_VALUE"""),"-")</f>
        <v>-</v>
      </c>
      <c r="X289" s="213" t="str">
        <f>IFERROR(__xludf.DUMMYFUNCTION("""COMPUTED_VALUE"""),"PANASONIC")</f>
        <v>PANASONIC</v>
      </c>
      <c r="Y289" s="213" t="str">
        <f>IFERROR(__xludf.DUMMYFUNCTION("""COMPUTED_VALUE"""),"HC-VX3E-K")</f>
        <v>HC-VX3E-K</v>
      </c>
      <c r="Z289" s="215" t="str">
        <f>IFERROR(__xludf.DUMMYFUNCTION("""COMPUTED_VALUE"""),"https://store.eu.panasonic.com/es-es/hc-vx3e-k-videocamara-4k")</f>
        <v>https://store.eu.panasonic.com/es-es/hc-vx3e-k-videocamara-4k</v>
      </c>
      <c r="AA289" s="213" t="str">
        <f>IFERROR(__xludf.DUMMYFUNCTION("""COMPUTED_VALUE"""),"TEC-102-A CÁMARA DE VIDEO CON TRÍPODE - CET")</f>
        <v>TEC-102-A CÁMARA DE VIDEO CON TRÍPODE - CET</v>
      </c>
      <c r="AB289" s="213"/>
      <c r="AC289" s="213"/>
      <c r="AD289" s="213"/>
      <c r="AE289" s="213"/>
      <c r="AF289" s="213"/>
      <c r="AG289" s="213"/>
      <c r="AH289" s="213"/>
      <c r="AI289" s="213"/>
      <c r="AJ289" s="213"/>
      <c r="AK289" s="213"/>
      <c r="AL289" s="213"/>
      <c r="AM289" s="213"/>
      <c r="AN289" s="213"/>
      <c r="AO289" s="213"/>
      <c r="AP289" s="213" t="str">
        <f>IFERROR(__xludf.DUMMYFUNCTION("""COMPUTED_VALUE"""),"NALDI")</f>
        <v>NALDI</v>
      </c>
      <c r="AQ289" s="213"/>
      <c r="AR289" s="213"/>
      <c r="AS289" s="213"/>
      <c r="AT289" s="213"/>
      <c r="AU289" s="213"/>
      <c r="AV289" s="213"/>
      <c r="AW289" s="213"/>
      <c r="AX289" s="213"/>
      <c r="AY289" s="213"/>
      <c r="AZ289" s="213"/>
      <c r="BA289" s="213"/>
      <c r="BB289" s="213"/>
      <c r="BC289" s="213"/>
      <c r="BD289" s="213"/>
    </row>
    <row r="290">
      <c r="A290" s="213">
        <f>IFERROR(__xludf.DUMMYFUNCTION("""COMPUTED_VALUE"""),1701.0)</f>
        <v>1701</v>
      </c>
      <c r="B290" s="213" t="str">
        <f>IFERROR(__xludf.DUMMYFUNCTION("""COMPUTED_VALUE"""),"GUILLERMO E. BILLINGHURST ")</f>
        <v>GUILLERMO E. BILLINGHURST </v>
      </c>
      <c r="C290" s="213" t="str">
        <f>IFERROR(__xludf.DUMMYFUNCTION("""COMPUTED_VALUE"""),"TALLER SFT DE COMPUTACIÓN E INFORMÁTICA")</f>
        <v>TALLER SFT DE COMPUTACIÓN E INFORMÁTICA</v>
      </c>
      <c r="D290" s="213" t="str">
        <f>IFERROR(__xludf.DUMMYFUNCTION("""COMPUTED_VALUE"""),"TICS")</f>
        <v>TICS</v>
      </c>
      <c r="E290" s="213" t="str">
        <f>IFERROR(__xludf.DUMMYFUNCTION("""COMPUTED_VALUE"""),"TEC-102")</f>
        <v>TEC-102</v>
      </c>
      <c r="F290" s="213" t="str">
        <f>IFERROR(__xludf.DUMMYFUNCTION("""COMPUTED_VALUE"""),"TEC-102-X")</f>
        <v>TEC-102-X</v>
      </c>
      <c r="G290" s="213"/>
      <c r="H290" s="213" t="str">
        <f>IFERROR(__xludf.DUMMYFUNCTION("""COMPUTED_VALUE"""),"CÁMARA DE VIDEO CON TRÍPODE")</f>
        <v>CÁMARA DE VIDEO CON TRÍPODE</v>
      </c>
      <c r="I290"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90" s="213">
        <f>IFERROR(__xludf.DUMMYFUNCTION("""COMPUTED_VALUE"""),3.0)</f>
        <v>3</v>
      </c>
      <c r="K290" s="213" t="str">
        <f>IFERROR(__xludf.DUMMYFUNCTION("""COMPUTED_VALUE"""),"170 DÍAS CALENDARIO")</f>
        <v>170 DÍAS CALENDARIO</v>
      </c>
      <c r="L290"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90" s="213">
        <f>IFERROR(__xludf.DUMMYFUNCTION("""COMPUTED_VALUE"""),1.0)</f>
        <v>1</v>
      </c>
      <c r="N290" s="213">
        <f>IFERROR(__xludf.DUMMYFUNCTION("""COMPUTED_VALUE"""),1.0)</f>
        <v>1</v>
      </c>
      <c r="O290" s="213">
        <f>IFERROR(__xludf.DUMMYFUNCTION("""COMPUTED_VALUE"""),1.0)</f>
        <v>1</v>
      </c>
      <c r="P290" s="213"/>
      <c r="Q290" s="213"/>
      <c r="R290" s="213"/>
      <c r="S290" s="213"/>
      <c r="T290" s="213" t="str">
        <f>IFERROR(__xludf.DUMMYFUNCTION("""COMPUTED_VALUE"""),"SI")</f>
        <v>SI</v>
      </c>
      <c r="U290" s="213" t="str">
        <f>IFERROR(__xludf.DUMMYFUNCTION("""COMPUTED_VALUE"""),"SI")</f>
        <v>SI</v>
      </c>
      <c r="V290" s="213" t="str">
        <f>IFERROR(__xludf.DUMMYFUNCTION("""COMPUTED_VALUE"""),"-")</f>
        <v>-</v>
      </c>
      <c r="W290" s="213" t="str">
        <f>IFERROR(__xludf.DUMMYFUNCTION("""COMPUTED_VALUE"""),"-")</f>
        <v>-</v>
      </c>
      <c r="X290" s="213" t="str">
        <f>IFERROR(__xludf.DUMMYFUNCTION("""COMPUTED_VALUE"""),"PANASONIC")</f>
        <v>PANASONIC</v>
      </c>
      <c r="Y290" s="213" t="str">
        <f>IFERROR(__xludf.DUMMYFUNCTION("""COMPUTED_VALUE"""),"HC-VX3E-K")</f>
        <v>HC-VX3E-K</v>
      </c>
      <c r="Z290" s="215" t="str">
        <f>IFERROR(__xludf.DUMMYFUNCTION("""COMPUTED_VALUE"""),"https://store.eu.panasonic.com/es-es/hc-vx3e-k-videocamara-4k")</f>
        <v>https://store.eu.panasonic.com/es-es/hc-vx3e-k-videocamara-4k</v>
      </c>
      <c r="AA290" s="213" t="str">
        <f>IFERROR(__xludf.DUMMYFUNCTION("""COMPUTED_VALUE"""),"TEC-102-A CÁMARA DE VIDEO CON TRÍPODE - CET")</f>
        <v>TEC-102-A CÁMARA DE VIDEO CON TRÍPODE - CET</v>
      </c>
      <c r="AB290" s="213"/>
      <c r="AC290" s="213"/>
      <c r="AD290" s="213"/>
      <c r="AE290" s="213"/>
      <c r="AF290" s="213"/>
      <c r="AG290" s="213"/>
      <c r="AH290" s="213"/>
      <c r="AI290" s="213"/>
      <c r="AJ290" s="213"/>
      <c r="AK290" s="213"/>
      <c r="AL290" s="213"/>
      <c r="AM290" s="213"/>
      <c r="AN290" s="213"/>
      <c r="AO290" s="213"/>
      <c r="AP290" s="213" t="str">
        <f>IFERROR(__xludf.DUMMYFUNCTION("""COMPUTED_VALUE"""),"NALDI")</f>
        <v>NALDI</v>
      </c>
      <c r="AQ290" s="213"/>
      <c r="AR290" s="213"/>
      <c r="AS290" s="213"/>
      <c r="AT290" s="213"/>
      <c r="AU290" s="213"/>
      <c r="AV290" s="213"/>
      <c r="AW290" s="213"/>
      <c r="AX290" s="213"/>
      <c r="AY290" s="213"/>
      <c r="AZ290" s="213"/>
      <c r="BA290" s="213"/>
      <c r="BB290" s="213"/>
      <c r="BC290" s="213"/>
      <c r="BD290" s="213"/>
    </row>
    <row r="291">
      <c r="A291" s="213">
        <f>IFERROR(__xludf.DUMMYFUNCTION("""COMPUTED_VALUE"""),1716.0)</f>
        <v>1716</v>
      </c>
      <c r="B291" s="213" t="str">
        <f>IFERROR(__xludf.DUMMYFUNCTION("""COMPUTED_VALUE"""),"GUILLERMO E. BILLINGHURST ")</f>
        <v>GUILLERMO E. BILLINGHURST </v>
      </c>
      <c r="C291" s="213" t="str">
        <f>IFERROR(__xludf.DUMMYFUNCTION("""COMPUTED_VALUE"""),"TALLER SFT DE COMPUTACIÓN E INFORMÁTICA")</f>
        <v>TALLER SFT DE COMPUTACIÓN E INFORMÁTICA</v>
      </c>
      <c r="D291" s="213" t="str">
        <f>IFERROR(__xludf.DUMMYFUNCTION("""COMPUTED_VALUE"""),"TICS")</f>
        <v>TICS</v>
      </c>
      <c r="E291" s="213" t="str">
        <f>IFERROR(__xludf.DUMMYFUNCTION("""COMPUTED_VALUE"""),"TEC-102")</f>
        <v>TEC-102</v>
      </c>
      <c r="F291" s="213" t="str">
        <f>IFERROR(__xludf.DUMMYFUNCTION("""COMPUTED_VALUE"""),"TEC-102-X")</f>
        <v>TEC-102-X</v>
      </c>
      <c r="G291" s="213"/>
      <c r="H291" s="213" t="str">
        <f>IFERROR(__xludf.DUMMYFUNCTION("""COMPUTED_VALUE"""),"CÁMARA DE VIDEO CON TRÍPODE")</f>
        <v>CÁMARA DE VIDEO CON TRÍPODE</v>
      </c>
      <c r="I291"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91" s="213">
        <f>IFERROR(__xludf.DUMMYFUNCTION("""COMPUTED_VALUE"""),3.0)</f>
        <v>3</v>
      </c>
      <c r="K291" s="213" t="str">
        <f>IFERROR(__xludf.DUMMYFUNCTION("""COMPUTED_VALUE"""),"170 DÍAS CALENDARIO")</f>
        <v>170 DÍAS CALENDARIO</v>
      </c>
      <c r="L291"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91" s="213">
        <f>IFERROR(__xludf.DUMMYFUNCTION("""COMPUTED_VALUE"""),1.0)</f>
        <v>1</v>
      </c>
      <c r="N291" s="213">
        <f>IFERROR(__xludf.DUMMYFUNCTION("""COMPUTED_VALUE"""),4.0)</f>
        <v>4</v>
      </c>
      <c r="O291" s="213">
        <f>IFERROR(__xludf.DUMMYFUNCTION("""COMPUTED_VALUE"""),4.0)</f>
        <v>4</v>
      </c>
      <c r="P291" s="213"/>
      <c r="Q291" s="213"/>
      <c r="R291" s="213"/>
      <c r="S291" s="213"/>
      <c r="T291" s="213" t="str">
        <f>IFERROR(__xludf.DUMMYFUNCTION("""COMPUTED_VALUE"""),"SI")</f>
        <v>SI</v>
      </c>
      <c r="U291" s="213" t="str">
        <f>IFERROR(__xludf.DUMMYFUNCTION("""COMPUTED_VALUE"""),"SI")</f>
        <v>SI</v>
      </c>
      <c r="V291" s="213" t="str">
        <f>IFERROR(__xludf.DUMMYFUNCTION("""COMPUTED_VALUE"""),"-")</f>
        <v>-</v>
      </c>
      <c r="W291" s="213" t="str">
        <f>IFERROR(__xludf.DUMMYFUNCTION("""COMPUTED_VALUE"""),"-")</f>
        <v>-</v>
      </c>
      <c r="X291" s="213" t="str">
        <f>IFERROR(__xludf.DUMMYFUNCTION("""COMPUTED_VALUE"""),"PANASONIC")</f>
        <v>PANASONIC</v>
      </c>
      <c r="Y291" s="213" t="str">
        <f>IFERROR(__xludf.DUMMYFUNCTION("""COMPUTED_VALUE"""),"HC-VX3E-K")</f>
        <v>HC-VX3E-K</v>
      </c>
      <c r="Z291" s="215" t="str">
        <f>IFERROR(__xludf.DUMMYFUNCTION("""COMPUTED_VALUE"""),"https://store.eu.panasonic.com/es-es/hc-vx3e-k-videocamara-4k")</f>
        <v>https://store.eu.panasonic.com/es-es/hc-vx3e-k-videocamara-4k</v>
      </c>
      <c r="AA291" s="213" t="str">
        <f>IFERROR(__xludf.DUMMYFUNCTION("""COMPUTED_VALUE"""),"TEC-102-A CÁMARA DE VIDEO CON TRÍPODE - CET")</f>
        <v>TEC-102-A CÁMARA DE VIDEO CON TRÍPODE - CET</v>
      </c>
      <c r="AB291" s="213"/>
      <c r="AC291" s="213"/>
      <c r="AD291" s="213"/>
      <c r="AE291" s="213"/>
      <c r="AF291" s="213"/>
      <c r="AG291" s="213"/>
      <c r="AH291" s="213"/>
      <c r="AI291" s="213"/>
      <c r="AJ291" s="213"/>
      <c r="AK291" s="213"/>
      <c r="AL291" s="213"/>
      <c r="AM291" s="213"/>
      <c r="AN291" s="213"/>
      <c r="AO291" s="213"/>
      <c r="AP291" s="213" t="str">
        <f>IFERROR(__xludf.DUMMYFUNCTION("""COMPUTED_VALUE"""),"NALDI")</f>
        <v>NALDI</v>
      </c>
      <c r="AQ291" s="213"/>
      <c r="AR291" s="213"/>
      <c r="AS291" s="213"/>
      <c r="AT291" s="213"/>
      <c r="AU291" s="213"/>
      <c r="AV291" s="213"/>
      <c r="AW291" s="213"/>
      <c r="AX291" s="213"/>
      <c r="AY291" s="213"/>
      <c r="AZ291" s="213"/>
      <c r="BA291" s="213"/>
      <c r="BB291" s="213"/>
      <c r="BC291" s="213"/>
      <c r="BD291" s="213"/>
    </row>
    <row r="292">
      <c r="A292" s="213">
        <f>IFERROR(__xludf.DUMMYFUNCTION("""COMPUTED_VALUE"""),1871.0)</f>
        <v>1871</v>
      </c>
      <c r="B292" s="213" t="str">
        <f>IFERROR(__xludf.DUMMYFUNCTION("""COMPUTED_VALUE"""),"GUILLERMO E. BILLINGHURST ")</f>
        <v>GUILLERMO E. BILLINGHURST </v>
      </c>
      <c r="C292" s="213" t="str">
        <f>IFERROR(__xludf.DUMMYFUNCTION("""COMPUTED_VALUE"""),"TALLER SFT DE EBANISTERÍA")</f>
        <v>TALLER SFT DE EBANISTERÍA</v>
      </c>
      <c r="D292" s="213" t="str">
        <f>IFERROR(__xludf.DUMMYFUNCTION("""COMPUTED_VALUE"""),"TICS")</f>
        <v>TICS</v>
      </c>
      <c r="E292" s="213" t="str">
        <f>IFERROR(__xludf.DUMMYFUNCTION("""COMPUTED_VALUE"""),"TEC-102")</f>
        <v>TEC-102</v>
      </c>
      <c r="F292" s="213" t="str">
        <f>IFERROR(__xludf.DUMMYFUNCTION("""COMPUTED_VALUE"""),"TEC-102-X")</f>
        <v>TEC-102-X</v>
      </c>
      <c r="G292" s="213"/>
      <c r="H292" s="213" t="str">
        <f>IFERROR(__xludf.DUMMYFUNCTION("""COMPUTED_VALUE"""),"CÁMARA DE VIDEO CON TRÍPODE")</f>
        <v>CÁMARA DE VIDEO CON TRÍPODE</v>
      </c>
      <c r="I292" s="213" t="str">
        <f>IFERROR(__xludf.DUMMYFUNCTION("""COMPUTED_VALUE"""),"·      Videocámara que graba videos en alta calidad con detalles en 4K ultra HD.
·      Tipo de sensor con tecnología CMOS.
·      Pantalla LCD de 3,0"", panorámica (16:9). Mínimo.
·      Zoom óptico hasta 20X. mínimo
·      Formato de imagen JPEG.
·     "&amp;" Resolución de 8 megapíxeles reales. Mínimo
·      Con sistema de detección de rostro.
·      Con temporizador de toma de hasta 10 segundos.
·      Interfaces de conexión a la computadora (USB, entrada DC, entrada MIC), o en su defecto se proporciona adic"&amp;"ionalmente un conector  (cable) con las 3 posibles conexiones.
.      Incluye memoria externa de 128 GB.
·      Compatibilidad con Windows 10.
·      Temperatura de trabajo de 0° a 40°.
·      Incluye: un trípode con soporte, plegable, altura regulable de"&amp;" mínimo 46 cm a 150 cm.
·      Incluye: un trípode con soporte de aluminio o material superior, con cabezal de 3 vías (giro horizontal, vertical y lateral) como mínimo, con columna central sujetadas por barras a las 3 patas con terminales antideslizantes."&amp;" Altura regulable de mínimo 46 cm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o en su defecto se proporciona adicionalmente un conector  (cable) con las 3 posibles conexiones.
.      Incluye memoria externa de 128 GB.
·      Compatibilidad con Windows 10.
·      Temperatura de trabajo de 0° a 40°.
·      Incluye: un trípode con soporte, plegable, altura regulable de mínimo 46 cm a 150 cm.
·      Incluye: un trípode con soporte de aluminio o material superior, con cabezal de 3 vías (giro horizontal, vertical y lateral) como mínimo, con columna central sujetadas por barras a las 3 patas con terminales antideslizantes. Altura regulable de mínimo 46 cm a 159 cm.</v>
      </c>
      <c r="J292" s="213">
        <f>IFERROR(__xludf.DUMMYFUNCTION("""COMPUTED_VALUE"""),3.0)</f>
        <v>3</v>
      </c>
      <c r="K292" s="213" t="str">
        <f>IFERROR(__xludf.DUMMYFUNCTION("""COMPUTED_VALUE"""),"170 DÍAS CALENDARIO")</f>
        <v>170 DÍAS CALENDARIO</v>
      </c>
      <c r="L292"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92" s="213">
        <f>IFERROR(__xludf.DUMMYFUNCTION("""COMPUTED_VALUE"""),1.0)</f>
        <v>1</v>
      </c>
      <c r="N292" s="213">
        <f>IFERROR(__xludf.DUMMYFUNCTION("""COMPUTED_VALUE"""),4.0)</f>
        <v>4</v>
      </c>
      <c r="O292" s="213">
        <f>IFERROR(__xludf.DUMMYFUNCTION("""COMPUTED_VALUE"""),4.0)</f>
        <v>4</v>
      </c>
      <c r="P292" s="213"/>
      <c r="Q292" s="213"/>
      <c r="R292" s="213"/>
      <c r="S292" s="213"/>
      <c r="T292" s="213" t="str">
        <f>IFERROR(__xludf.DUMMYFUNCTION("""COMPUTED_VALUE"""),"SI")</f>
        <v>SI</v>
      </c>
      <c r="U292" s="213" t="str">
        <f>IFERROR(__xludf.DUMMYFUNCTION("""COMPUTED_VALUE"""),"SI")</f>
        <v>SI</v>
      </c>
      <c r="V292" s="213" t="str">
        <f>IFERROR(__xludf.DUMMYFUNCTION("""COMPUTED_VALUE"""),"-")</f>
        <v>-</v>
      </c>
      <c r="W292" s="213" t="str">
        <f>IFERROR(__xludf.DUMMYFUNCTION("""COMPUTED_VALUE"""),"-")</f>
        <v>-</v>
      </c>
      <c r="X292" s="213" t="str">
        <f>IFERROR(__xludf.DUMMYFUNCTION("""COMPUTED_VALUE"""),"PANASONIC")</f>
        <v>PANASONIC</v>
      </c>
      <c r="Y292" s="213" t="str">
        <f>IFERROR(__xludf.DUMMYFUNCTION("""COMPUTED_VALUE"""),"HC-VX3E-K")</f>
        <v>HC-VX3E-K</v>
      </c>
      <c r="Z292" s="215" t="str">
        <f>IFERROR(__xludf.DUMMYFUNCTION("""COMPUTED_VALUE"""),"https://store.eu.panasonic.com/es-es/hc-vx3e-k-videocamara-4k")</f>
        <v>https://store.eu.panasonic.com/es-es/hc-vx3e-k-videocamara-4k</v>
      </c>
      <c r="AA292" s="213" t="str">
        <f>IFERROR(__xludf.DUMMYFUNCTION("""COMPUTED_VALUE"""),"TEC-102-A CÁMARA DE VIDEO CON TRÍPODE - CET")</f>
        <v>TEC-102-A CÁMARA DE VIDEO CON TRÍPODE - CET</v>
      </c>
      <c r="AB292" s="213"/>
      <c r="AC292" s="213"/>
      <c r="AD292" s="213"/>
      <c r="AE292" s="213"/>
      <c r="AF292" s="213"/>
      <c r="AG292" s="213"/>
      <c r="AH292" s="213"/>
      <c r="AI292" s="213"/>
      <c r="AJ292" s="213"/>
      <c r="AK292" s="213"/>
      <c r="AL292" s="213"/>
      <c r="AM292" s="213"/>
      <c r="AN292" s="213"/>
      <c r="AO292" s="213"/>
      <c r="AP292" s="213" t="str">
        <f>IFERROR(__xludf.DUMMYFUNCTION("""COMPUTED_VALUE"""),"NALDI")</f>
        <v>NALDI</v>
      </c>
      <c r="AQ292" s="213"/>
      <c r="AR292" s="213"/>
      <c r="AS292" s="213"/>
      <c r="AT292" s="213"/>
      <c r="AU292" s="213"/>
      <c r="AV292" s="213"/>
      <c r="AW292" s="213"/>
      <c r="AX292" s="213"/>
      <c r="AY292" s="213"/>
      <c r="AZ292" s="213"/>
      <c r="BA292" s="213"/>
      <c r="BB292" s="213"/>
      <c r="BC292" s="213"/>
      <c r="BD292" s="213"/>
    </row>
    <row r="293">
      <c r="A293" s="213">
        <f>IFERROR(__xludf.DUMMYFUNCTION("""COMPUTED_VALUE"""),1966.0)</f>
        <v>1966</v>
      </c>
      <c r="B293" s="213" t="str">
        <f>IFERROR(__xludf.DUMMYFUNCTION("""COMPUTED_VALUE"""),"JOSE GRANDA")</f>
        <v>JOSE GRANDA</v>
      </c>
      <c r="C293" s="213" t="str">
        <f>IFERROR(__xludf.DUMMYFUNCTION("""COMPUTED_VALUE"""),"TALLER SFT DE COMPUTACIÓN E INFORMÁTICA")</f>
        <v>TALLER SFT DE COMPUTACIÓN E INFORMÁTICA</v>
      </c>
      <c r="D293" s="213" t="str">
        <f>IFERROR(__xludf.DUMMYFUNCTION("""COMPUTED_VALUE"""),"TICS")</f>
        <v>TICS</v>
      </c>
      <c r="E293" s="213" t="str">
        <f>IFERROR(__xludf.DUMMYFUNCTION("""COMPUTED_VALUE"""),"TEC-102")</f>
        <v>TEC-102</v>
      </c>
      <c r="F293" s="213" t="str">
        <f>IFERROR(__xludf.DUMMYFUNCTION("""COMPUTED_VALUE"""),"TEC-102-X")</f>
        <v>TEC-102-X</v>
      </c>
      <c r="G293" s="213"/>
      <c r="H293" s="213" t="str">
        <f>IFERROR(__xludf.DUMMYFUNCTION("""COMPUTED_VALUE"""),"CÁMARA DE VIDEO CON TRÍPODE")</f>
        <v>CÁMARA DE VIDEO CON TRÍPODE</v>
      </c>
      <c r="I293"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93" s="213">
        <f>IFERROR(__xludf.DUMMYFUNCTION("""COMPUTED_VALUE"""),3.0)</f>
        <v>3</v>
      </c>
      <c r="K293" s="213" t="str">
        <f>IFERROR(__xludf.DUMMYFUNCTION("""COMPUTED_VALUE"""),"170 DÍAS CALENDARIO")</f>
        <v>170 DÍAS CALENDARIO</v>
      </c>
      <c r="L293"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93" s="213">
        <f>IFERROR(__xludf.DUMMYFUNCTION("""COMPUTED_VALUE"""),1.0)</f>
        <v>1</v>
      </c>
      <c r="N293" s="213">
        <f>IFERROR(__xludf.DUMMYFUNCTION("""COMPUTED_VALUE"""),4.0)</f>
        <v>4</v>
      </c>
      <c r="O293" s="213">
        <f>IFERROR(__xludf.DUMMYFUNCTION("""COMPUTED_VALUE"""),4.0)</f>
        <v>4</v>
      </c>
      <c r="P293" s="213"/>
      <c r="Q293" s="213"/>
      <c r="R293" s="213"/>
      <c r="S293" s="213"/>
      <c r="T293" s="213" t="str">
        <f>IFERROR(__xludf.DUMMYFUNCTION("""COMPUTED_VALUE"""),"SI")</f>
        <v>SI</v>
      </c>
      <c r="U293" s="213" t="str">
        <f>IFERROR(__xludf.DUMMYFUNCTION("""COMPUTED_VALUE"""),"SI")</f>
        <v>SI</v>
      </c>
      <c r="V293" s="213" t="str">
        <f>IFERROR(__xludf.DUMMYFUNCTION("""COMPUTED_VALUE"""),"-")</f>
        <v>-</v>
      </c>
      <c r="W293" s="213" t="str">
        <f>IFERROR(__xludf.DUMMYFUNCTION("""COMPUTED_VALUE"""),"-")</f>
        <v>-</v>
      </c>
      <c r="X293" s="213" t="str">
        <f>IFERROR(__xludf.DUMMYFUNCTION("""COMPUTED_VALUE"""),"PANASONIC")</f>
        <v>PANASONIC</v>
      </c>
      <c r="Y293" s="213" t="str">
        <f>IFERROR(__xludf.DUMMYFUNCTION("""COMPUTED_VALUE"""),"HC-VX3E-K")</f>
        <v>HC-VX3E-K</v>
      </c>
      <c r="Z293" s="215" t="str">
        <f>IFERROR(__xludf.DUMMYFUNCTION("""COMPUTED_VALUE"""),"https://store.eu.panasonic.com/es-es/hc-vx3e-k-videocamara-4k")</f>
        <v>https://store.eu.panasonic.com/es-es/hc-vx3e-k-videocamara-4k</v>
      </c>
      <c r="AA293" s="213" t="str">
        <f>IFERROR(__xludf.DUMMYFUNCTION("""COMPUTED_VALUE"""),"TEC-102-A CÁMARA DE VIDEO CON TRÍPODE - CET")</f>
        <v>TEC-102-A CÁMARA DE VIDEO CON TRÍPODE - CET</v>
      </c>
      <c r="AB293" s="213"/>
      <c r="AC293" s="213"/>
      <c r="AD293" s="213"/>
      <c r="AE293" s="213"/>
      <c r="AF293" s="213"/>
      <c r="AG293" s="213"/>
      <c r="AH293" s="213"/>
      <c r="AI293" s="213"/>
      <c r="AJ293" s="213"/>
      <c r="AK293" s="213"/>
      <c r="AL293" s="213"/>
      <c r="AM293" s="213"/>
      <c r="AN293" s="213"/>
      <c r="AO293" s="213"/>
      <c r="AP293" s="213" t="str">
        <f>IFERROR(__xludf.DUMMYFUNCTION("""COMPUTED_VALUE"""),"NALDI")</f>
        <v>NALDI</v>
      </c>
      <c r="AQ293" s="213"/>
      <c r="AR293" s="213"/>
      <c r="AS293" s="213"/>
      <c r="AT293" s="213"/>
      <c r="AU293" s="213"/>
      <c r="AV293" s="213"/>
      <c r="AW293" s="213"/>
      <c r="AX293" s="213"/>
      <c r="AY293" s="213"/>
      <c r="AZ293" s="213"/>
      <c r="BA293" s="213"/>
      <c r="BB293" s="213"/>
      <c r="BC293" s="213"/>
      <c r="BD293" s="213"/>
    </row>
    <row r="294">
      <c r="A294" s="213">
        <f>IFERROR(__xludf.DUMMYFUNCTION("""COMPUTED_VALUE"""),1989.0)</f>
        <v>1989</v>
      </c>
      <c r="B294" s="213" t="str">
        <f>IFERROR(__xludf.DUMMYFUNCTION("""COMPUTED_VALUE"""),"JOSE GRANDA")</f>
        <v>JOSE GRANDA</v>
      </c>
      <c r="C294" s="213" t="str">
        <f>IFERROR(__xludf.DUMMYFUNCTION("""COMPUTED_VALUE"""),"TALLER SFT DE COMPUTACIÓN E INFORMÁTICA")</f>
        <v>TALLER SFT DE COMPUTACIÓN E INFORMÁTICA</v>
      </c>
      <c r="D294" s="213" t="str">
        <f>IFERROR(__xludf.DUMMYFUNCTION("""COMPUTED_VALUE"""),"TICS")</f>
        <v>TICS</v>
      </c>
      <c r="E294" s="213" t="str">
        <f>IFERROR(__xludf.DUMMYFUNCTION("""COMPUTED_VALUE"""),"TEC-102")</f>
        <v>TEC-102</v>
      </c>
      <c r="F294" s="213" t="str">
        <f>IFERROR(__xludf.DUMMYFUNCTION("""COMPUTED_VALUE"""),"TEC-102-X")</f>
        <v>TEC-102-X</v>
      </c>
      <c r="G294" s="213"/>
      <c r="H294" s="213" t="str">
        <f>IFERROR(__xludf.DUMMYFUNCTION("""COMPUTED_VALUE"""),"CÁMARA DE VIDEO CON TRÍPODE")</f>
        <v>CÁMARA DE VIDEO CON TRÍPODE</v>
      </c>
      <c r="I294"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94" s="213">
        <f>IFERROR(__xludf.DUMMYFUNCTION("""COMPUTED_VALUE"""),3.0)</f>
        <v>3</v>
      </c>
      <c r="K294" s="213" t="str">
        <f>IFERROR(__xludf.DUMMYFUNCTION("""COMPUTED_VALUE"""),"170 DÍAS CALENDARIO")</f>
        <v>170 DÍAS CALENDARIO</v>
      </c>
      <c r="L294"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94" s="213">
        <f>IFERROR(__xludf.DUMMYFUNCTION("""COMPUTED_VALUE"""),1.0)</f>
        <v>1</v>
      </c>
      <c r="N294" s="213">
        <f>IFERROR(__xludf.DUMMYFUNCTION("""COMPUTED_VALUE"""),1.0)</f>
        <v>1</v>
      </c>
      <c r="O294" s="213">
        <f>IFERROR(__xludf.DUMMYFUNCTION("""COMPUTED_VALUE"""),1.0)</f>
        <v>1</v>
      </c>
      <c r="P294" s="213"/>
      <c r="Q294" s="213"/>
      <c r="R294" s="213"/>
      <c r="S294" s="213"/>
      <c r="T294" s="213" t="str">
        <f>IFERROR(__xludf.DUMMYFUNCTION("""COMPUTED_VALUE"""),"SI")</f>
        <v>SI</v>
      </c>
      <c r="U294" s="213" t="str">
        <f>IFERROR(__xludf.DUMMYFUNCTION("""COMPUTED_VALUE"""),"SI")</f>
        <v>SI</v>
      </c>
      <c r="V294" s="213" t="str">
        <f>IFERROR(__xludf.DUMMYFUNCTION("""COMPUTED_VALUE"""),"-")</f>
        <v>-</v>
      </c>
      <c r="W294" s="213" t="str">
        <f>IFERROR(__xludf.DUMMYFUNCTION("""COMPUTED_VALUE"""),"-")</f>
        <v>-</v>
      </c>
      <c r="X294" s="213" t="str">
        <f>IFERROR(__xludf.DUMMYFUNCTION("""COMPUTED_VALUE"""),"PANASONIC")</f>
        <v>PANASONIC</v>
      </c>
      <c r="Y294" s="213" t="str">
        <f>IFERROR(__xludf.DUMMYFUNCTION("""COMPUTED_VALUE"""),"HC-VX3E-K")</f>
        <v>HC-VX3E-K</v>
      </c>
      <c r="Z294" s="215" t="str">
        <f>IFERROR(__xludf.DUMMYFUNCTION("""COMPUTED_VALUE"""),"https://store.eu.panasonic.com/es-es/hc-vx3e-k-videocamara-4k")</f>
        <v>https://store.eu.panasonic.com/es-es/hc-vx3e-k-videocamara-4k</v>
      </c>
      <c r="AA294" s="213" t="str">
        <f>IFERROR(__xludf.DUMMYFUNCTION("""COMPUTED_VALUE"""),"TEC-102-A CÁMARA DE VIDEO CON TRÍPODE - CET")</f>
        <v>TEC-102-A CÁMARA DE VIDEO CON TRÍPODE - CET</v>
      </c>
      <c r="AB294" s="213"/>
      <c r="AC294" s="213"/>
      <c r="AD294" s="213"/>
      <c r="AE294" s="213"/>
      <c r="AF294" s="213"/>
      <c r="AG294" s="213"/>
      <c r="AH294" s="213"/>
      <c r="AI294" s="213"/>
      <c r="AJ294" s="213"/>
      <c r="AK294" s="213"/>
      <c r="AL294" s="213"/>
      <c r="AM294" s="213"/>
      <c r="AN294" s="213"/>
      <c r="AO294" s="213"/>
      <c r="AP294" s="213" t="str">
        <f>IFERROR(__xludf.DUMMYFUNCTION("""COMPUTED_VALUE"""),"NALDI")</f>
        <v>NALDI</v>
      </c>
      <c r="AQ294" s="213"/>
      <c r="AR294" s="213"/>
      <c r="AS294" s="213"/>
      <c r="AT294" s="213"/>
      <c r="AU294" s="213"/>
      <c r="AV294" s="213"/>
      <c r="AW294" s="213"/>
      <c r="AX294" s="213"/>
      <c r="AY294" s="213"/>
      <c r="AZ294" s="213"/>
      <c r="BA294" s="213"/>
      <c r="BB294" s="213"/>
      <c r="BC294" s="213"/>
      <c r="BD294" s="213"/>
    </row>
    <row r="295">
      <c r="A295" s="213">
        <f>IFERROR(__xludf.DUMMYFUNCTION("""COMPUTED_VALUE"""),2158.0)</f>
        <v>2158</v>
      </c>
      <c r="B295" s="213" t="str">
        <f>IFERROR(__xludf.DUMMYFUNCTION("""COMPUTED_VALUE"""),"JOSE GRANDA")</f>
        <v>JOSE GRANDA</v>
      </c>
      <c r="C295" s="213" t="str">
        <f>IFERROR(__xludf.DUMMYFUNCTION("""COMPUTED_VALUE"""),"TALLER SFT DE INDUSTRIA ALIMENTARIA")</f>
        <v>TALLER SFT DE INDUSTRIA ALIMENTARIA</v>
      </c>
      <c r="D295" s="213" t="str">
        <f>IFERROR(__xludf.DUMMYFUNCTION("""COMPUTED_VALUE"""),"TICS")</f>
        <v>TICS</v>
      </c>
      <c r="E295" s="213" t="str">
        <f>IFERROR(__xludf.DUMMYFUNCTION("""COMPUTED_VALUE"""),"TEC-102")</f>
        <v>TEC-102</v>
      </c>
      <c r="F295" s="213" t="str">
        <f>IFERROR(__xludf.DUMMYFUNCTION("""COMPUTED_VALUE"""),"TEC-102-Y")</f>
        <v>TEC-102-Y</v>
      </c>
      <c r="G295" s="213"/>
      <c r="H295" s="213" t="str">
        <f>IFERROR(__xludf.DUMMYFUNCTION("""COMPUTED_VALUE"""),"CÁMARA DE VIDEO CON TRÍPODE")</f>
        <v>CÁMARA DE VIDEO CON TRÍPODE</v>
      </c>
      <c r="I295" s="213" t="str">
        <f>IFERROR(__xludf.DUMMYFUNCTION("""COMPUTED_VALUE"""),"·      Videocámara que graba videos en alta calidad con detalles en 4K ultra HD.
·      Tipo de sensor con tecnología CMOS.
·      Pantalla LCD de 3,0"", panorámica (16:9). Mínimo.
·      Zoom óptico hasta 20X. mínimo
·      Formato de imagen JPEG.
·     "&amp;" Resolución de 8 megapíxeles reales. Mínimo
·      Con sistema de detección de rostro.
·      Con temporizador de toma de hasta 10 segundos.
·      Interfaces de conexión a la computadora (USB, entrada DC, entrada MIC).
.       Incluye memoria externa de "&amp;"128 GB.
·      Compatibilidad con Windows 10.
·      Temperatura de trabajo de 0 a 40°.
·      Incluye: un trípode con soporte, plegable, altura regulable de mínimo 46 a 150 cm.
·      Incluye: un trípode con soporte de aluminio o material superior, con c"&amp;"abezal de 3 vías (giro horizontal, vertical y lateral) como mínimo, con columna central sujetadas por barras a las 3 patas con terminales antideslizantes. Altura regulable de mínimo 46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95" s="213">
        <f>IFERROR(__xludf.DUMMYFUNCTION("""COMPUTED_VALUE"""),3.0)</f>
        <v>3</v>
      </c>
      <c r="K295" s="213" t="str">
        <f>IFERROR(__xludf.DUMMYFUNCTION("""COMPUTED_VALUE"""),"170 DÍAS CALENDARIO")</f>
        <v>170 DÍAS CALENDARIO</v>
      </c>
      <c r="L295" s="213" t="str">
        <f>IFERROR(__xludf.DUMMYFUNCTION("""COMPUTED_VALUE"""),"ELECTRICIDAD, INDUSTRIA ALIMENTARIA")</f>
        <v>ELECTRICIDAD, INDUSTRIA ALIMENTARIA</v>
      </c>
      <c r="M295" s="213">
        <f>IFERROR(__xludf.DUMMYFUNCTION("""COMPUTED_VALUE"""),1.0)</f>
        <v>1</v>
      </c>
      <c r="N295" s="213">
        <f>IFERROR(__xludf.DUMMYFUNCTION("""COMPUTED_VALUE"""),4.0)</f>
        <v>4</v>
      </c>
      <c r="O295" s="213">
        <f>IFERROR(__xludf.DUMMYFUNCTION("""COMPUTED_VALUE"""),4.0)</f>
        <v>4</v>
      </c>
      <c r="P295" s="213"/>
      <c r="Q295" s="213"/>
      <c r="R295" s="213"/>
      <c r="S295" s="213"/>
      <c r="T295" s="213" t="str">
        <f>IFERROR(__xludf.DUMMYFUNCTION("""COMPUTED_VALUE"""),"SI")</f>
        <v>SI</v>
      </c>
      <c r="U295" s="213" t="str">
        <f>IFERROR(__xludf.DUMMYFUNCTION("""COMPUTED_VALUE"""),"SI")</f>
        <v>SI</v>
      </c>
      <c r="V295" s="213" t="str">
        <f>IFERROR(__xludf.DUMMYFUNCTION("""COMPUTED_VALUE"""),"-")</f>
        <v>-</v>
      </c>
      <c r="W295" s="213" t="str">
        <f>IFERROR(__xludf.DUMMYFUNCTION("""COMPUTED_VALUE"""),"-")</f>
        <v>-</v>
      </c>
      <c r="X295" s="213" t="str">
        <f>IFERROR(__xludf.DUMMYFUNCTION("""COMPUTED_VALUE"""),"PANASONIC")</f>
        <v>PANASONIC</v>
      </c>
      <c r="Y295" s="213" t="str">
        <f>IFERROR(__xludf.DUMMYFUNCTION("""COMPUTED_VALUE"""),"HC-VX3E-K")</f>
        <v>HC-VX3E-K</v>
      </c>
      <c r="Z295" s="215" t="str">
        <f>IFERROR(__xludf.DUMMYFUNCTION("""COMPUTED_VALUE"""),"https://store.eu.panasonic.com/es-es/hc-vx3e-k-videocamara-4k")</f>
        <v>https://store.eu.panasonic.com/es-es/hc-vx3e-k-videocamara-4k</v>
      </c>
      <c r="AA295" s="213" t="str">
        <f>IFERROR(__xludf.DUMMYFUNCTION("""COMPUTED_VALUE"""),"TEC-102-B CÁMARA DE VIDEO CON TRÍPODE - CET")</f>
        <v>TEC-102-B CÁMARA DE VIDEO CON TRÍPODE - CET</v>
      </c>
      <c r="AB295" s="213"/>
      <c r="AC295" s="213"/>
      <c r="AD295" s="213"/>
      <c r="AE295" s="213"/>
      <c r="AF295" s="213"/>
      <c r="AG295" s="213"/>
      <c r="AH295" s="213"/>
      <c r="AI295" s="213"/>
      <c r="AJ295" s="213"/>
      <c r="AK295" s="213"/>
      <c r="AL295" s="213"/>
      <c r="AM295" s="213"/>
      <c r="AN295" s="213"/>
      <c r="AO295" s="213"/>
      <c r="AP295" s="213" t="str">
        <f>IFERROR(__xludf.DUMMYFUNCTION("""COMPUTED_VALUE"""),"NALDI")</f>
        <v>NALDI</v>
      </c>
      <c r="AQ295" s="213"/>
      <c r="AR295" s="213"/>
      <c r="AS295" s="213"/>
      <c r="AT295" s="213"/>
      <c r="AU295" s="213"/>
      <c r="AV295" s="213"/>
      <c r="AW295" s="213"/>
      <c r="AX295" s="213"/>
      <c r="AY295" s="213"/>
      <c r="AZ295" s="213"/>
      <c r="BA295" s="213"/>
      <c r="BB295" s="213"/>
      <c r="BC295" s="213"/>
      <c r="BD295" s="213"/>
    </row>
    <row r="296">
      <c r="A296" s="213">
        <f>IFERROR(__xludf.DUMMYFUNCTION("""COMPUTED_VALUE"""),2299.0)</f>
        <v>2299</v>
      </c>
      <c r="B296" s="213" t="str">
        <f>IFERROR(__xludf.DUMMYFUNCTION("""COMPUTED_VALUE"""),"JOSE GRANDA")</f>
        <v>JOSE GRANDA</v>
      </c>
      <c r="C296" s="213" t="str">
        <f>IFERROR(__xludf.DUMMYFUNCTION("""COMPUTED_VALUE"""),"TALLER SFT DE MECÁNICA AUTOMOTRIZ")</f>
        <v>TALLER SFT DE MECÁNICA AUTOMOTRIZ</v>
      </c>
      <c r="D296" s="213" t="str">
        <f>IFERROR(__xludf.DUMMYFUNCTION("""COMPUTED_VALUE"""),"TICS")</f>
        <v>TICS</v>
      </c>
      <c r="E296" s="213" t="str">
        <f>IFERROR(__xludf.DUMMYFUNCTION("""COMPUTED_VALUE"""),"TEC-102")</f>
        <v>TEC-102</v>
      </c>
      <c r="F296" s="213" t="str">
        <f>IFERROR(__xludf.DUMMYFUNCTION("""COMPUTED_VALUE"""),"TEC-102-X")</f>
        <v>TEC-102-X</v>
      </c>
      <c r="G296" s="213"/>
      <c r="H296" s="213" t="str">
        <f>IFERROR(__xludf.DUMMYFUNCTION("""COMPUTED_VALUE"""),"CÁMARA DE VIDEO CON TRÍPODE")</f>
        <v>CÁMARA DE VIDEO CON TRÍPODE</v>
      </c>
      <c r="I296" s="213" t="str">
        <f>IFERROR(__xludf.DUMMYFUNCTION("""COMPUTED_VALUE"""),"·       Videocámara que graba videos en alta calidad con detalles en 4K ultra HD.
·       Tipo de sensor con tecnología CMOS.
·       Pantalla LCD de 3,0"", panorámica (16:9). Mínimo.
·       Zoom óptico hasta 20X. mínimo
·       Formato de imagen JPEG.
·"&amp;"       Resolución de 8 megapíxeles reales. Mínimo
·       Con sistema de detección de rostro.
·       Con temporizador de toma de hasta 10 segundos.
·       Interfaces de conexión a la computadora (USB, entrada DC, entrada MIC), , o en su defecto se propo"&amp;"rciona adicionalmente un conector  (cable) con las 3 posibles conexiones.
.       Incluye memoria externa de 128 GB.
·       Compatibilidad con Windows 10.
·       Temperatura de trabajo de 0 a 40°.
·       Incluye: un trípode con soporte, plegable, altur"&amp;"a regulable de mínimo 46 a 150 cm.
·       Incluye: un trípode con soporte de aluminio o material superior, con cabezal de 3 vías (giro horizontal, vertical y lateral) como mínimo, con columna central sujetadas por barras a las 3 patas con terminales anti"&amp;"deslizantes. Altura regulable de mínimo 46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96" s="213">
        <f>IFERROR(__xludf.DUMMYFUNCTION("""COMPUTED_VALUE"""),3.0)</f>
        <v>3</v>
      </c>
      <c r="K296" s="213" t="str">
        <f>IFERROR(__xludf.DUMMYFUNCTION("""COMPUTED_VALUE"""),"170 DÍAS CALENDARIO")</f>
        <v>170 DÍAS CALENDARIO</v>
      </c>
      <c r="L296"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96" s="213">
        <f>IFERROR(__xludf.DUMMYFUNCTION("""COMPUTED_VALUE"""),1.0)</f>
        <v>1</v>
      </c>
      <c r="N296" s="213">
        <f>IFERROR(__xludf.DUMMYFUNCTION("""COMPUTED_VALUE"""),4.0)</f>
        <v>4</v>
      </c>
      <c r="O296" s="213">
        <f>IFERROR(__xludf.DUMMYFUNCTION("""COMPUTED_VALUE"""),4.0)</f>
        <v>4</v>
      </c>
      <c r="P296" s="213"/>
      <c r="Q296" s="213"/>
      <c r="R296" s="213"/>
      <c r="S296" s="213"/>
      <c r="T296" s="213" t="str">
        <f>IFERROR(__xludf.DUMMYFUNCTION("""COMPUTED_VALUE"""),"SI")</f>
        <v>SI</v>
      </c>
      <c r="U296" s="213" t="str">
        <f>IFERROR(__xludf.DUMMYFUNCTION("""COMPUTED_VALUE"""),"SI")</f>
        <v>SI</v>
      </c>
      <c r="V296" s="213" t="str">
        <f>IFERROR(__xludf.DUMMYFUNCTION("""COMPUTED_VALUE"""),"-")</f>
        <v>-</v>
      </c>
      <c r="W296" s="213" t="str">
        <f>IFERROR(__xludf.DUMMYFUNCTION("""COMPUTED_VALUE"""),"-")</f>
        <v>-</v>
      </c>
      <c r="X296" s="213" t="str">
        <f>IFERROR(__xludf.DUMMYFUNCTION("""COMPUTED_VALUE"""),"PANASONIC")</f>
        <v>PANASONIC</v>
      </c>
      <c r="Y296" s="213" t="str">
        <f>IFERROR(__xludf.DUMMYFUNCTION("""COMPUTED_VALUE"""),"HC-VX3E-K")</f>
        <v>HC-VX3E-K</v>
      </c>
      <c r="Z296" s="215" t="str">
        <f>IFERROR(__xludf.DUMMYFUNCTION("""COMPUTED_VALUE"""),"https://store.eu.panasonic.com/es-es/hc-vx3e-k-videocamara-4k")</f>
        <v>https://store.eu.panasonic.com/es-es/hc-vx3e-k-videocamara-4k</v>
      </c>
      <c r="AA296" s="213" t="str">
        <f>IFERROR(__xludf.DUMMYFUNCTION("""COMPUTED_VALUE"""),"TEC-102-A CÁMARA DE VIDEO CON TRÍPODE - CET")</f>
        <v>TEC-102-A CÁMARA DE VIDEO CON TRÍPODE - CET</v>
      </c>
      <c r="AB296" s="213"/>
      <c r="AC296" s="213"/>
      <c r="AD296" s="213"/>
      <c r="AE296" s="213"/>
      <c r="AF296" s="213"/>
      <c r="AG296" s="213"/>
      <c r="AH296" s="213"/>
      <c r="AI296" s="213"/>
      <c r="AJ296" s="213"/>
      <c r="AK296" s="213"/>
      <c r="AL296" s="213"/>
      <c r="AM296" s="213"/>
      <c r="AN296" s="213"/>
      <c r="AO296" s="213"/>
      <c r="AP296" s="213" t="str">
        <f>IFERROR(__xludf.DUMMYFUNCTION("""COMPUTED_VALUE"""),"NALDI")</f>
        <v>NALDI</v>
      </c>
      <c r="AQ296" s="213"/>
      <c r="AR296" s="213"/>
      <c r="AS296" s="213"/>
      <c r="AT296" s="213"/>
      <c r="AU296" s="213"/>
      <c r="AV296" s="213"/>
      <c r="AW296" s="213"/>
      <c r="AX296" s="213"/>
      <c r="AY296" s="213"/>
      <c r="AZ296" s="213"/>
      <c r="BA296" s="213"/>
      <c r="BB296" s="213"/>
      <c r="BC296" s="213"/>
      <c r="BD296" s="213"/>
    </row>
    <row r="297">
      <c r="A297" s="213">
        <f>IFERROR(__xludf.DUMMYFUNCTION("""COMPUTED_VALUE"""),2427.0)</f>
        <v>2427</v>
      </c>
      <c r="B297" s="213" t="str">
        <f>IFERROR(__xludf.DUMMYFUNCTION("""COMPUTED_VALUE"""),"MANUEL ANTONIO MESONES MURO")</f>
        <v>MANUEL ANTONIO MESONES MURO</v>
      </c>
      <c r="C297" s="213" t="str">
        <f>IFERROR(__xludf.DUMMYFUNCTION("""COMPUTED_VALUE"""),"TALLER SFT DE INDUSTRIA DEL VESTIDO")</f>
        <v>TALLER SFT DE INDUSTRIA DEL VESTIDO</v>
      </c>
      <c r="D297" s="213" t="str">
        <f>IFERROR(__xludf.DUMMYFUNCTION("""COMPUTED_VALUE"""),"TICS")</f>
        <v>TICS</v>
      </c>
      <c r="E297" s="213" t="str">
        <f>IFERROR(__xludf.DUMMYFUNCTION("""COMPUTED_VALUE"""),"TEC-102")</f>
        <v>TEC-102</v>
      </c>
      <c r="F297" s="213" t="str">
        <f>IFERROR(__xludf.DUMMYFUNCTION("""COMPUTED_VALUE"""),"TEC-102-X")</f>
        <v>TEC-102-X</v>
      </c>
      <c r="G297" s="213"/>
      <c r="H297" s="213" t="str">
        <f>IFERROR(__xludf.DUMMYFUNCTION("""COMPUTED_VALUE"""),"CÁMARA DE VIDEO CON TRÍPODE")</f>
        <v>CÁMARA DE VIDEO CON TRÍPODE</v>
      </c>
      <c r="I297" s="213" t="str">
        <f>IFERROR(__xludf.DUMMYFUNCTION("""COMPUTED_VALUE"""),"·   Videocámara que graba videos en alta calidad con detalles en 4K ultra HD.
·  Tipo de sensor con tecnología CMOS.
·   Pantalla LCD de 3,0"", panorámica (16:9). Mínimo.
·   Zoom óptico hasta 20X. mínimo
·   Formato de imagen JPEG.
·   Resolución de 8 me"&amp;"gapíxeles reales. Mínimo
·   Con sistema de detección de rostro.
·   Con temporizador de toma de hasta 10 segundos.
·   Interfaces de conexión a la computadora (USB, entrada DC, entrada MIC), , o en su defecto se proporciona adicionalmente un conector  (c"&amp;"able) con las 3 posibles conexiones.
.      Incluye memoria externa de 128 GB.
·      Compatibilidad con Windows 10.
·      Temperatura de trabajo de 0 a 40°.
·      Incluye: un trípode con soporte, plegable, altura regulable de mínimo 46 a 150 cm.
·     "&amp;" Incluye: un trípode con soporte de aluminio o material superior, con cabezal de 3 vías (giro horizontal, vertical y lateral) como mínimo, con columna central sujetadas por barras a las 3 patas con terminales antideslizantes. Altura regulable de mínimo 46"&amp;"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v>
      </c>
      <c r="J297" s="213">
        <f>IFERROR(__xludf.DUMMYFUNCTION("""COMPUTED_VALUE"""),3.0)</f>
        <v>3</v>
      </c>
      <c r="K297" s="213" t="str">
        <f>IFERROR(__xludf.DUMMYFUNCTION("""COMPUTED_VALUE"""),"170 DÍAS CALENDARIO")</f>
        <v>170 DÍAS CALENDARIO</v>
      </c>
      <c r="L297"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97" s="213">
        <f>IFERROR(__xludf.DUMMYFUNCTION("""COMPUTED_VALUE"""),1.0)</f>
        <v>1</v>
      </c>
      <c r="N297" s="213">
        <f>IFERROR(__xludf.DUMMYFUNCTION("""COMPUTED_VALUE"""),4.0)</f>
        <v>4</v>
      </c>
      <c r="O297" s="213">
        <f>IFERROR(__xludf.DUMMYFUNCTION("""COMPUTED_VALUE"""),4.0)</f>
        <v>4</v>
      </c>
      <c r="P297" s="213"/>
      <c r="Q297" s="213"/>
      <c r="R297" s="213"/>
      <c r="S297" s="213"/>
      <c r="T297" s="213" t="str">
        <f>IFERROR(__xludf.DUMMYFUNCTION("""COMPUTED_VALUE"""),"SI")</f>
        <v>SI</v>
      </c>
      <c r="U297" s="213" t="str">
        <f>IFERROR(__xludf.DUMMYFUNCTION("""COMPUTED_VALUE"""),"SI")</f>
        <v>SI</v>
      </c>
      <c r="V297" s="213" t="str">
        <f>IFERROR(__xludf.DUMMYFUNCTION("""COMPUTED_VALUE"""),"-")</f>
        <v>-</v>
      </c>
      <c r="W297" s="213" t="str">
        <f>IFERROR(__xludf.DUMMYFUNCTION("""COMPUTED_VALUE"""),"-")</f>
        <v>-</v>
      </c>
      <c r="X297" s="213" t="str">
        <f>IFERROR(__xludf.DUMMYFUNCTION("""COMPUTED_VALUE"""),"PANASONIC")</f>
        <v>PANASONIC</v>
      </c>
      <c r="Y297" s="213" t="str">
        <f>IFERROR(__xludf.DUMMYFUNCTION("""COMPUTED_VALUE"""),"HC-VX3E-K")</f>
        <v>HC-VX3E-K</v>
      </c>
      <c r="Z297" s="215" t="str">
        <f>IFERROR(__xludf.DUMMYFUNCTION("""COMPUTED_VALUE"""),"https://store.eu.panasonic.com/es-es/hc-vx3e-k-videocamara-4k")</f>
        <v>https://store.eu.panasonic.com/es-es/hc-vx3e-k-videocamara-4k</v>
      </c>
      <c r="AA297" s="213" t="str">
        <f>IFERROR(__xludf.DUMMYFUNCTION("""COMPUTED_VALUE"""),"TEC-102-A CÁMARA DE VIDEO CON TRÍPODE - CET")</f>
        <v>TEC-102-A CÁMARA DE VIDEO CON TRÍPODE - CET</v>
      </c>
      <c r="AB297" s="213"/>
      <c r="AC297" s="213"/>
      <c r="AD297" s="213"/>
      <c r="AE297" s="213"/>
      <c r="AF297" s="213"/>
      <c r="AG297" s="213"/>
      <c r="AH297" s="213"/>
      <c r="AI297" s="213"/>
      <c r="AJ297" s="213"/>
      <c r="AK297" s="213"/>
      <c r="AL297" s="213"/>
      <c r="AM297" s="213"/>
      <c r="AN297" s="213"/>
      <c r="AO297" s="213"/>
      <c r="AP297" s="213" t="str">
        <f>IFERROR(__xludf.DUMMYFUNCTION("""COMPUTED_VALUE"""),"NALDI")</f>
        <v>NALDI</v>
      </c>
      <c r="AQ297" s="213"/>
      <c r="AR297" s="213"/>
      <c r="AS297" s="213"/>
      <c r="AT297" s="213"/>
      <c r="AU297" s="213"/>
      <c r="AV297" s="213"/>
      <c r="AW297" s="213"/>
      <c r="AX297" s="213"/>
      <c r="AY297" s="213"/>
      <c r="AZ297" s="213"/>
      <c r="BA297" s="213"/>
      <c r="BB297" s="213"/>
      <c r="BC297" s="213"/>
      <c r="BD297" s="213"/>
    </row>
    <row r="298">
      <c r="A298" s="213">
        <f>IFERROR(__xludf.DUMMYFUNCTION("""COMPUTED_VALUE"""),2479.0)</f>
        <v>2479</v>
      </c>
      <c r="B298" s="213" t="str">
        <f>IFERROR(__xludf.DUMMYFUNCTION("""COMPUTED_VALUE"""),"MANUEL ANTONIO MESONES MURO")</f>
        <v>MANUEL ANTONIO MESONES MURO</v>
      </c>
      <c r="C298" s="213" t="str">
        <f>IFERROR(__xludf.DUMMYFUNCTION("""COMPUTED_VALUE"""),"TALLER SFT DE CONSTRUCCIONES METÁLICAS")</f>
        <v>TALLER SFT DE CONSTRUCCIONES METÁLICAS</v>
      </c>
      <c r="D298" s="213" t="str">
        <f>IFERROR(__xludf.DUMMYFUNCTION("""COMPUTED_VALUE"""),"HERRAMIENTAS")</f>
        <v>HERRAMIENTAS</v>
      </c>
      <c r="E298" s="213" t="str">
        <f>IFERROR(__xludf.DUMMYFUNCTION("""COMPUTED_VALUE"""),"COM-126")</f>
        <v>COM-126</v>
      </c>
      <c r="F298" s="213" t="str">
        <f>IFERROR(__xludf.DUMMYFUNCTION("""COMPUTED_VALUE"""),"COM-126-Z")</f>
        <v>COM-126-Z</v>
      </c>
      <c r="G298" s="213"/>
      <c r="H298" s="213" t="str">
        <f>IFERROR(__xludf.DUMMYFUNCTION("""COMPUTED_VALUE"""),"CALIBRADOR DIGITAL")</f>
        <v>CALIBRADOR DIGITAL</v>
      </c>
      <c r="I298" s="213" t="str">
        <f>IFERROR(__xludf.DUMMYFUNCTION("""COMPUTED_VALUE"""),"Calibrador digital o pie de rey
-       Rango de 0.6 in
-       Resolución 0.1 mm / 0.01
-       Batería 1.5 V
-       Mordaza para medida externa
-       Mordaza para medida interna
-       Coliza para medir profundidad
-       Escala en centímetros y mi"&amp;"límetros
-       Escala pulgadas y fracción de pulgadas")</f>
        <v>Calibrador digital o pie de rey
-       Rango de 0.6 in
-       Resolución 0.1 mm / 0.01
-       Batería 1.5 V
-       Mordaza para medida externa
-       Mordaza para medida interna
-       Coliza para medir profundidad
-       Escala en centímetros y milímetros
-       Escala pulgadas y fracción de pulgadas</v>
      </c>
      <c r="J298" s="213">
        <f>IFERROR(__xludf.DUMMYFUNCTION("""COMPUTED_VALUE"""),3.0)</f>
        <v>3</v>
      </c>
      <c r="K298" s="213" t="str">
        <f>IFERROR(__xludf.DUMMYFUNCTION("""COMPUTED_VALUE"""),"90 DÍAS CALENDARIO")</f>
        <v>90 DÍAS CALENDARIO</v>
      </c>
      <c r="L298" s="213" t="str">
        <f>IFERROR(__xludf.DUMMYFUNCTION("""COMPUTED_VALUE"""),"")</f>
        <v/>
      </c>
      <c r="M298" s="213">
        <f>IFERROR(__xludf.DUMMYFUNCTION("""COMPUTED_VALUE"""),1.0)</f>
        <v>1</v>
      </c>
      <c r="N298" s="213">
        <f>IFERROR(__xludf.DUMMYFUNCTION("""COMPUTED_VALUE"""),5.0)</f>
        <v>5</v>
      </c>
      <c r="O298" s="213">
        <f>IFERROR(__xludf.DUMMYFUNCTION("""COMPUTED_VALUE"""),5.0)</f>
        <v>5</v>
      </c>
      <c r="P298" s="213"/>
      <c r="Q298" s="213"/>
      <c r="R298" s="213" t="str">
        <f>IFERROR(__xludf.DUMMYFUNCTION("""COMPUTED_VALUE"""),"SI")</f>
        <v>SI</v>
      </c>
      <c r="S298" s="213"/>
      <c r="T298" s="213" t="str">
        <f>IFERROR(__xludf.DUMMYFUNCTION("""COMPUTED_VALUE"""),"SI")</f>
        <v>SI</v>
      </c>
      <c r="U298" s="213" t="str">
        <f>IFERROR(__xludf.DUMMYFUNCTION("""COMPUTED_VALUE"""),"SI")</f>
        <v>SI</v>
      </c>
      <c r="V298" s="213" t="str">
        <f>IFERROR(__xludf.DUMMYFUNCTION("""COMPUTED_VALUE"""),"-")</f>
        <v>-</v>
      </c>
      <c r="W298" s="213" t="str">
        <f>IFERROR(__xludf.DUMMYFUNCTION("""COMPUTED_VALUE"""),"-")</f>
        <v>-</v>
      </c>
      <c r="X298" s="213" t="str">
        <f>IFERROR(__xludf.DUMMYFUNCTION("""COMPUTED_VALUE"""),"MITUTOYO")</f>
        <v>MITUTOYO</v>
      </c>
      <c r="Y298" s="213" t="str">
        <f>IFERROR(__xludf.DUMMYFUNCTION("""COMPUTED_VALUE"""),"500-196-30")</f>
        <v>500-196-30</v>
      </c>
      <c r="Z298" s="215" t="str">
        <f>IFERROR(__xludf.DUMMYFUNCTION("""COMPUTED_VALUE"""),"https://es.rs-online.com/web/p/calibres/2455676")</f>
        <v>https://es.rs-online.com/web/p/calibres/2455676</v>
      </c>
      <c r="AA298" s="213" t="str">
        <f>IFERROR(__xludf.DUMMYFUNCTION("""COMPUTED_VALUE"""),"COM-126-Z CALIBRADOR DIGITAL - CET")</f>
        <v>COM-126-Z CALIBRADOR DIGITAL - CET</v>
      </c>
      <c r="AB298" s="215" t="str">
        <f>IFERROR(__xludf.DUMMYFUNCTION("""COMPUTED_VALUE"""),"https://drive.google.com/file/d/1AN5fdi5ngmGIJsbsyZ0t29R4ekL1-nT3/view?usp=sharing")</f>
        <v>https://drive.google.com/file/d/1AN5fdi5ngmGIJsbsyZ0t29R4ekL1-nT3/view?usp=sharing</v>
      </c>
      <c r="AC298" s="215" t="str">
        <f>IFERROR(__xludf.DUMMYFUNCTION("""COMPUTED_VALUE"""),"https://es.rs-online.com/web/p/calibres/2455676")</f>
        <v>https://es.rs-online.com/web/p/calibres/2455676</v>
      </c>
      <c r="AD298" s="213"/>
      <c r="AE298" s="213"/>
      <c r="AF298" s="213"/>
      <c r="AG298" s="213"/>
      <c r="AH298" s="213" t="str">
        <f>IFERROR(__xludf.DUMMYFUNCTION("""COMPUTED_VALUE"""),"IMPORTADO")</f>
        <v>IMPORTADO</v>
      </c>
      <c r="AI298" s="213"/>
      <c r="AJ298" s="213"/>
      <c r="AK298" s="213"/>
      <c r="AL298" s="213"/>
      <c r="AM298" s="213"/>
      <c r="AN298" s="213"/>
      <c r="AO298" s="213"/>
      <c r="AP298" s="213" t="str">
        <f>IFERROR(__xludf.DUMMYFUNCTION("""COMPUTED_VALUE"""),"LUIS")</f>
        <v>LUIS</v>
      </c>
      <c r="AQ298" s="213"/>
      <c r="AR298" s="213"/>
      <c r="AS298" s="213"/>
      <c r="AT298" s="213"/>
      <c r="AU298" s="213"/>
      <c r="AV298" s="213"/>
      <c r="AW298" s="213"/>
      <c r="AX298" s="213"/>
      <c r="AY298" s="213"/>
      <c r="AZ298" s="213"/>
      <c r="BA298" s="213"/>
      <c r="BB298" s="213"/>
      <c r="BC298" s="213"/>
      <c r="BD298" s="213"/>
    </row>
    <row r="299">
      <c r="A299" s="213">
        <f>IFERROR(__xludf.DUMMYFUNCTION("""COMPUTED_VALUE"""),2652.0)</f>
        <v>2652</v>
      </c>
      <c r="B299" s="213" t="str">
        <f>IFERROR(__xludf.DUMMYFUNCTION("""COMPUTED_VALUE"""),"MANUEL ANTONIO MESONES MURO")</f>
        <v>MANUEL ANTONIO MESONES MURO</v>
      </c>
      <c r="C299" s="213" t="str">
        <f>IFERROR(__xludf.DUMMYFUNCTION("""COMPUTED_VALUE"""),"TALLER SFT DE EBANISTERÍA")</f>
        <v>TALLER SFT DE EBANISTERÍA</v>
      </c>
      <c r="D299" s="213" t="str">
        <f>IFERROR(__xludf.DUMMYFUNCTION("""COMPUTED_VALUE"""),"TICS")</f>
        <v>TICS</v>
      </c>
      <c r="E299" s="213" t="str">
        <f>IFERROR(__xludf.DUMMYFUNCTION("""COMPUTED_VALUE"""),"TEC-102")</f>
        <v>TEC-102</v>
      </c>
      <c r="F299" s="213" t="str">
        <f>IFERROR(__xludf.DUMMYFUNCTION("""COMPUTED_VALUE"""),"TEC-102-X")</f>
        <v>TEC-102-X</v>
      </c>
      <c r="G299" s="213"/>
      <c r="H299" s="213" t="str">
        <f>IFERROR(__xludf.DUMMYFUNCTION("""COMPUTED_VALUE"""),"CÁMARA DE VIDEO CON TRÍPODE")</f>
        <v>CÁMARA DE VIDEO CON TRÍPODE</v>
      </c>
      <c r="I299" s="213" t="str">
        <f>IFERROR(__xludf.DUMMYFUNCTION("""COMPUTED_VALUE"""),"·      Videocámara que graba videos en alta calidad con detalles en 4K ultra HD.
·      Tipo de sensor con tecnología CMOS.
·      Pantalla LCD de 3,0"", panorámica (16:9). Mínimo.
·      Zoom óptico hasta 20X. mínimo
·      Formato de imagen JPEG.
·     "&amp;" Resolución de 8 megapíxeles reales. Mínimo
·      Con sistema de detección de rostro.
·      Con temporizador de toma de hasta 10 segundos.
·      Interfaces de conexión a la computadora (USB, entrada DC, entrada MIC), o en su defecto se proporciona adic"&amp;"ionalmente un conector  (cable) con las 3 posibles conexiones.
.      Incluye memoria externa de 128 GB.
·      Compatibilidad con Windows 10.
·      Temperatura de trabajo de 0° a 40°.
·      Incluye: un trípode con soporte, plegable, altura regulable de"&amp;" mínimo 46 cm a 150 cm.
·      Incluye: un trípode con soporte de aluminio o material superior, con cabezal de 3 vías (giro horizontal, vertical y lateral) como mínimo, con columna central sujetadas por barras a las 3 patas con terminales antideslizantes."&amp;" Altura regulable de mínimo 46 cm a 159 cm.")</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o en su defecto se proporciona adicionalmente un conector  (cable) con las 3 posibles conexiones.
.      Incluye memoria externa de 128 GB.
·      Compatibilidad con Windows 10.
·      Temperatura de trabajo de 0° a 40°.
·      Incluye: un trípode con soporte, plegable, altura regulable de mínimo 46 cm a 150 cm.
·      Incluye: un trípode con soporte de aluminio o material superior, con cabezal de 3 vías (giro horizontal, vertical y lateral) como mínimo, con columna central sujetadas por barras a las 3 patas con terminales antideslizantes. Altura regulable de mínimo 46 cm a 159 cm.</v>
      </c>
      <c r="J299" s="213">
        <f>IFERROR(__xludf.DUMMYFUNCTION("""COMPUTED_VALUE"""),3.0)</f>
        <v>3</v>
      </c>
      <c r="K299" s="213" t="str">
        <f>IFERROR(__xludf.DUMMYFUNCTION("""COMPUTED_VALUE"""),"170 DÍAS CALENDARIO")</f>
        <v>170 DÍAS CALENDARIO</v>
      </c>
      <c r="L299"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299" s="213">
        <f>IFERROR(__xludf.DUMMYFUNCTION("""COMPUTED_VALUE"""),1.0)</f>
        <v>1</v>
      </c>
      <c r="N299" s="213">
        <f>IFERROR(__xludf.DUMMYFUNCTION("""COMPUTED_VALUE"""),4.0)</f>
        <v>4</v>
      </c>
      <c r="O299" s="213">
        <f>IFERROR(__xludf.DUMMYFUNCTION("""COMPUTED_VALUE"""),4.0)</f>
        <v>4</v>
      </c>
      <c r="P299" s="213"/>
      <c r="Q299" s="213"/>
      <c r="R299" s="213"/>
      <c r="S299" s="213"/>
      <c r="T299" s="213" t="str">
        <f>IFERROR(__xludf.DUMMYFUNCTION("""COMPUTED_VALUE"""),"SI")</f>
        <v>SI</v>
      </c>
      <c r="U299" s="213" t="str">
        <f>IFERROR(__xludf.DUMMYFUNCTION("""COMPUTED_VALUE"""),"SI")</f>
        <v>SI</v>
      </c>
      <c r="V299" s="213" t="str">
        <f>IFERROR(__xludf.DUMMYFUNCTION("""COMPUTED_VALUE"""),"-")</f>
        <v>-</v>
      </c>
      <c r="W299" s="213" t="str">
        <f>IFERROR(__xludf.DUMMYFUNCTION("""COMPUTED_VALUE"""),"-")</f>
        <v>-</v>
      </c>
      <c r="X299" s="213" t="str">
        <f>IFERROR(__xludf.DUMMYFUNCTION("""COMPUTED_VALUE"""),"PANASONIC")</f>
        <v>PANASONIC</v>
      </c>
      <c r="Y299" s="213" t="str">
        <f>IFERROR(__xludf.DUMMYFUNCTION("""COMPUTED_VALUE"""),"HC-VX3E-K")</f>
        <v>HC-VX3E-K</v>
      </c>
      <c r="Z299" s="215" t="str">
        <f>IFERROR(__xludf.DUMMYFUNCTION("""COMPUTED_VALUE"""),"https://store.eu.panasonic.com/es-es/hc-vx3e-k-videocamara-4k")</f>
        <v>https://store.eu.panasonic.com/es-es/hc-vx3e-k-videocamara-4k</v>
      </c>
      <c r="AA299" s="213" t="str">
        <f>IFERROR(__xludf.DUMMYFUNCTION("""COMPUTED_VALUE"""),"TEC-102-A CÁMARA DE VIDEO CON TRÍPODE - CET")</f>
        <v>TEC-102-A CÁMARA DE VIDEO CON TRÍPODE - CET</v>
      </c>
      <c r="AB299" s="213"/>
      <c r="AC299" s="213"/>
      <c r="AD299" s="213"/>
      <c r="AE299" s="213"/>
      <c r="AF299" s="213"/>
      <c r="AG299" s="213"/>
      <c r="AH299" s="213"/>
      <c r="AI299" s="213"/>
      <c r="AJ299" s="213"/>
      <c r="AK299" s="213"/>
      <c r="AL299" s="213"/>
      <c r="AM299" s="213"/>
      <c r="AN299" s="213"/>
      <c r="AO299" s="213"/>
      <c r="AP299" s="213" t="str">
        <f>IFERROR(__xludf.DUMMYFUNCTION("""COMPUTED_VALUE"""),"NALDI")</f>
        <v>NALDI</v>
      </c>
      <c r="AQ299" s="213"/>
      <c r="AR299" s="213"/>
      <c r="AS299" s="213"/>
      <c r="AT299" s="213"/>
      <c r="AU299" s="213"/>
      <c r="AV299" s="213"/>
      <c r="AW299" s="213"/>
      <c r="AX299" s="213"/>
      <c r="AY299" s="213"/>
      <c r="AZ299" s="213"/>
      <c r="BA299" s="213"/>
      <c r="BB299" s="213"/>
      <c r="BC299" s="213"/>
      <c r="BD299" s="213"/>
    </row>
    <row r="300">
      <c r="A300" s="213">
        <f>IFERROR(__xludf.DUMMYFUNCTION("""COMPUTED_VALUE"""),131.0)</f>
        <v>131</v>
      </c>
      <c r="B300" s="213" t="str">
        <f>IFERROR(__xludf.DUMMYFUNCTION("""COMPUTED_VALUE"""),"16449 ELOY SOBERON  FLORES")</f>
        <v>16449 ELOY SOBERON  FLORES</v>
      </c>
      <c r="C300" s="213" t="str">
        <f>IFERROR(__xludf.DUMMYFUNCTION("""COMPUTED_VALUE"""),"TALLER SFT DE COCINA Y REPOSTERÍA")</f>
        <v>TALLER SFT DE COCINA Y REPOSTERÍA</v>
      </c>
      <c r="D300" s="213" t="str">
        <f>IFERROR(__xludf.DUMMYFUNCTION("""COMPUTED_VALUE"""),"TICS")</f>
        <v>TICS</v>
      </c>
      <c r="E300" s="213" t="str">
        <f>IFERROR(__xludf.DUMMYFUNCTION("""COMPUTED_VALUE"""),"TEC-103")</f>
        <v>TEC-103</v>
      </c>
      <c r="F300" s="213" t="str">
        <f>IFERROR(__xludf.DUMMYFUNCTION("""COMPUTED_VALUE"""),"TEC-103")</f>
        <v>TEC-103</v>
      </c>
      <c r="G300" s="213"/>
      <c r="H300" s="213" t="str">
        <f>IFERROR(__xludf.DUMMYFUNCTION("""COMPUTED_VALUE"""),"CÁMARA FOTOGRÁFICA")</f>
        <v>CÁMARA FOTOGRÁFICA</v>
      </c>
      <c r="I300"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0" s="213">
        <f>IFERROR(__xludf.DUMMYFUNCTION("""COMPUTED_VALUE"""),3.0)</f>
        <v>3</v>
      </c>
      <c r="K300" s="213" t="str">
        <f>IFERROR(__xludf.DUMMYFUNCTION("""COMPUTED_VALUE"""),"170 DÍAS CALENDARIO")</f>
        <v>170 DÍAS CALENDARIO</v>
      </c>
      <c r="L300"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0" s="213">
        <f>IFERROR(__xludf.DUMMYFUNCTION("""COMPUTED_VALUE"""),1.0)</f>
        <v>1</v>
      </c>
      <c r="N300" s="213">
        <f>IFERROR(__xludf.DUMMYFUNCTION("""COMPUTED_VALUE"""),4.0)</f>
        <v>4</v>
      </c>
      <c r="O300" s="213">
        <f>IFERROR(__xludf.DUMMYFUNCTION("""COMPUTED_VALUE"""),4.0)</f>
        <v>4</v>
      </c>
      <c r="P300" s="213"/>
      <c r="Q300" s="213"/>
      <c r="R300" s="213"/>
      <c r="S300" s="213"/>
      <c r="T300" s="213" t="str">
        <f>IFERROR(__xludf.DUMMYFUNCTION("""COMPUTED_VALUE"""),"SI")</f>
        <v>SI</v>
      </c>
      <c r="U300" s="213" t="str">
        <f>IFERROR(__xludf.DUMMYFUNCTION("""COMPUTED_VALUE"""),"NO")</f>
        <v>NO</v>
      </c>
      <c r="V300" s="213" t="str">
        <f>IFERROR(__xludf.DUMMYFUNCTION("""COMPUTED_VALUE"""),"SUSTENTO")</f>
        <v>SUSTENTO</v>
      </c>
      <c r="W300" s="213" t="str">
        <f>IFERROR(__xludf.DUMMYFUNCTION("""COMPUTED_VALUE"""),"EQU TEC")</f>
        <v>EQU TEC</v>
      </c>
      <c r="X300" s="213" t="str">
        <f>IFERROR(__xludf.DUMMYFUNCTION("""COMPUTED_VALUE"""),"CANON")</f>
        <v>CANON</v>
      </c>
      <c r="Y300" s="213" t="str">
        <f>IFERROR(__xludf.DUMMYFUNCTION("""COMPUTED_VALUE"""),"EOS R100")</f>
        <v>EOS R100</v>
      </c>
      <c r="Z300"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0" s="213" t="str">
        <f>IFERROR(__xludf.DUMMYFUNCTION("""COMPUTED_VALUE"""),"TEC-103 CÁMARA FOTOGRÁFICA - CET")</f>
        <v>TEC-103 CÁMARA FOTOGRÁFICA - CET</v>
      </c>
      <c r="AB300" s="213"/>
      <c r="AC300" s="213"/>
      <c r="AD300" s="213"/>
      <c r="AE300" s="213"/>
      <c r="AF300" s="213"/>
      <c r="AG300" s="213"/>
      <c r="AH300" s="213"/>
      <c r="AI300" s="213"/>
      <c r="AJ300" s="213"/>
      <c r="AK300" s="213"/>
      <c r="AL300" s="213"/>
      <c r="AM300" s="213"/>
      <c r="AN300" s="213"/>
      <c r="AO300" s="213"/>
      <c r="AP300" s="213" t="str">
        <f>IFERROR(__xludf.DUMMYFUNCTION("""COMPUTED_VALUE"""),"NALDI")</f>
        <v>NALDI</v>
      </c>
      <c r="AQ300" s="213"/>
      <c r="AR300" s="213"/>
      <c r="AS300"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00" s="217" t="str">
        <f>IFERROR(__xludf.DUMMYFUNCTION("""COMPUTED_VALUE"""),"02 Memoria externa, para tarjeta SD 32 GB como mínimo.")</f>
        <v>02 Memoria externa, para tarjeta SD 32 GB como mínimo.</v>
      </c>
      <c r="AU300" s="213"/>
      <c r="AV300" s="213"/>
      <c r="AW300" s="213"/>
      <c r="AX300" s="213"/>
      <c r="AY300" s="213"/>
      <c r="AZ300" s="213"/>
      <c r="BA300" s="213"/>
      <c r="BB300" s="213"/>
      <c r="BC300" s="213"/>
      <c r="BD300" s="213"/>
    </row>
    <row r="301">
      <c r="A301" s="213">
        <f>IFERROR(__xludf.DUMMYFUNCTION("""COMPUTED_VALUE"""),204.0)</f>
        <v>204</v>
      </c>
      <c r="B301" s="213" t="str">
        <f>IFERROR(__xludf.DUMMYFUNCTION("""COMPUTED_VALUE"""),"2026 SIMON BOLIVAR")</f>
        <v>2026 SIMON BOLIVAR</v>
      </c>
      <c r="C301" s="213" t="str">
        <f>IFERROR(__xludf.DUMMYFUNCTION("""COMPUTED_VALUE"""),"TALLER SFT DE INDUSTRIA DEL VESTIDO")</f>
        <v>TALLER SFT DE INDUSTRIA DEL VESTIDO</v>
      </c>
      <c r="D301" s="213" t="str">
        <f>IFERROR(__xludf.DUMMYFUNCTION("""COMPUTED_VALUE"""),"TICS")</f>
        <v>TICS</v>
      </c>
      <c r="E301" s="213" t="str">
        <f>IFERROR(__xludf.DUMMYFUNCTION("""COMPUTED_VALUE"""),"TEC-103")</f>
        <v>TEC-103</v>
      </c>
      <c r="F301" s="213" t="str">
        <f>IFERROR(__xludf.DUMMYFUNCTION("""COMPUTED_VALUE"""),"TEC-103")</f>
        <v>TEC-103</v>
      </c>
      <c r="G301" s="213"/>
      <c r="H301" s="213" t="str">
        <f>IFERROR(__xludf.DUMMYFUNCTION("""COMPUTED_VALUE"""),"CÁMARA FOTOGRÁFICA")</f>
        <v>CÁMARA FOTOGRÁFICA</v>
      </c>
      <c r="I301"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1" s="213">
        <f>IFERROR(__xludf.DUMMYFUNCTION("""COMPUTED_VALUE"""),3.0)</f>
        <v>3</v>
      </c>
      <c r="K301" s="213" t="str">
        <f>IFERROR(__xludf.DUMMYFUNCTION("""COMPUTED_VALUE"""),"170 DÍAS CALENDARIO")</f>
        <v>170 DÍAS CALENDARIO</v>
      </c>
      <c r="L301"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1" s="213">
        <f>IFERROR(__xludf.DUMMYFUNCTION("""COMPUTED_VALUE"""),1.0)</f>
        <v>1</v>
      </c>
      <c r="N301" s="213">
        <f>IFERROR(__xludf.DUMMYFUNCTION("""COMPUTED_VALUE"""),4.0)</f>
        <v>4</v>
      </c>
      <c r="O301" s="213">
        <f>IFERROR(__xludf.DUMMYFUNCTION("""COMPUTED_VALUE"""),4.0)</f>
        <v>4</v>
      </c>
      <c r="P301" s="213"/>
      <c r="Q301" s="213"/>
      <c r="R301" s="213"/>
      <c r="S301" s="213"/>
      <c r="T301" s="213" t="str">
        <f>IFERROR(__xludf.DUMMYFUNCTION("""COMPUTED_VALUE"""),"SI")</f>
        <v>SI</v>
      </c>
      <c r="U301" s="213" t="str">
        <f>IFERROR(__xludf.DUMMYFUNCTION("""COMPUTED_VALUE"""),"NO")</f>
        <v>NO</v>
      </c>
      <c r="V301" s="213" t="str">
        <f>IFERROR(__xludf.DUMMYFUNCTION("""COMPUTED_VALUE"""),"SUSTENTO")</f>
        <v>SUSTENTO</v>
      </c>
      <c r="W301" s="213" t="str">
        <f>IFERROR(__xludf.DUMMYFUNCTION("""COMPUTED_VALUE"""),"EQU TEC")</f>
        <v>EQU TEC</v>
      </c>
      <c r="X301" s="213" t="str">
        <f>IFERROR(__xludf.DUMMYFUNCTION("""COMPUTED_VALUE"""),"CANON")</f>
        <v>CANON</v>
      </c>
      <c r="Y301" s="213" t="str">
        <f>IFERROR(__xludf.DUMMYFUNCTION("""COMPUTED_VALUE"""),"EOS R100")</f>
        <v>EOS R100</v>
      </c>
      <c r="Z301"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1" s="213" t="str">
        <f>IFERROR(__xludf.DUMMYFUNCTION("""COMPUTED_VALUE"""),"TEC-103 CÁMARA FOTOGRÁFICA - CET")</f>
        <v>TEC-103 CÁMARA FOTOGRÁFICA - CET</v>
      </c>
      <c r="AB301" s="213"/>
      <c r="AC301" s="213"/>
      <c r="AD301" s="213"/>
      <c r="AE301" s="213"/>
      <c r="AF301" s="213"/>
      <c r="AG301" s="213"/>
      <c r="AH301" s="213"/>
      <c r="AI301" s="213"/>
      <c r="AJ301" s="213"/>
      <c r="AK301" s="213"/>
      <c r="AL301" s="213"/>
      <c r="AM301" s="213"/>
      <c r="AN301" s="213"/>
      <c r="AO301" s="213"/>
      <c r="AP301" s="213" t="str">
        <f>IFERROR(__xludf.DUMMYFUNCTION("""COMPUTED_VALUE"""),"NALDI")</f>
        <v>NALDI</v>
      </c>
      <c r="AQ301" s="213"/>
      <c r="AR301" s="213"/>
      <c r="AS301"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01" s="217" t="str">
        <f>IFERROR(__xludf.DUMMYFUNCTION("""COMPUTED_VALUE"""),"02 Memoria externa, para tarjeta SD 32 GB como mínimo.")</f>
        <v>02 Memoria externa, para tarjeta SD 32 GB como mínimo.</v>
      </c>
      <c r="AU301" s="213"/>
      <c r="AV301" s="213"/>
      <c r="AW301" s="213"/>
      <c r="AX301" s="213"/>
      <c r="AY301" s="213"/>
      <c r="AZ301" s="213"/>
      <c r="BA301" s="213"/>
      <c r="BB301" s="213"/>
      <c r="BC301" s="213"/>
      <c r="BD301" s="213"/>
    </row>
    <row r="302">
      <c r="A302" s="213">
        <f>IFERROR(__xludf.DUMMYFUNCTION("""COMPUTED_VALUE"""),291.0)</f>
        <v>291</v>
      </c>
      <c r="B302" s="213" t="str">
        <f>IFERROR(__xludf.DUMMYFUNCTION("""COMPUTED_VALUE"""),"2026 SIMON BOLIVAR")</f>
        <v>2026 SIMON BOLIVAR</v>
      </c>
      <c r="C302" s="213" t="str">
        <f>IFERROR(__xludf.DUMMYFUNCTION("""COMPUTED_VALUE"""),"TALLER SFT DE COMPUTACIÓN E INFORMÁTICA")</f>
        <v>TALLER SFT DE COMPUTACIÓN E INFORMÁTICA</v>
      </c>
      <c r="D302" s="213" t="str">
        <f>IFERROR(__xludf.DUMMYFUNCTION("""COMPUTED_VALUE"""),"TICS")</f>
        <v>TICS</v>
      </c>
      <c r="E302" s="213" t="str">
        <f>IFERROR(__xludf.DUMMYFUNCTION("""COMPUTED_VALUE"""),"TEC-103")</f>
        <v>TEC-103</v>
      </c>
      <c r="F302" s="213" t="str">
        <f>IFERROR(__xludf.DUMMYFUNCTION("""COMPUTED_VALUE"""),"TEC-103")</f>
        <v>TEC-103</v>
      </c>
      <c r="G302" s="213"/>
      <c r="H302" s="213" t="str">
        <f>IFERROR(__xludf.DUMMYFUNCTION("""COMPUTED_VALUE"""),"CÁMARA FOTOGRÁFICA")</f>
        <v>CÁMARA FOTOGRÁFICA</v>
      </c>
      <c r="I302"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2" s="213">
        <f>IFERROR(__xludf.DUMMYFUNCTION("""COMPUTED_VALUE"""),3.0)</f>
        <v>3</v>
      </c>
      <c r="K302" s="213" t="str">
        <f>IFERROR(__xludf.DUMMYFUNCTION("""COMPUTED_VALUE"""),"170 DÍAS CALENDARIO")</f>
        <v>170 DÍAS CALENDARIO</v>
      </c>
      <c r="L302"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2" s="213">
        <f>IFERROR(__xludf.DUMMYFUNCTION("""COMPUTED_VALUE"""),1.0)</f>
        <v>1</v>
      </c>
      <c r="N302" s="213">
        <f>IFERROR(__xludf.DUMMYFUNCTION("""COMPUTED_VALUE"""),4.0)</f>
        <v>4</v>
      </c>
      <c r="O302" s="213">
        <f>IFERROR(__xludf.DUMMYFUNCTION("""COMPUTED_VALUE"""),4.0)</f>
        <v>4</v>
      </c>
      <c r="P302" s="213"/>
      <c r="Q302" s="213"/>
      <c r="R302" s="213"/>
      <c r="S302" s="213"/>
      <c r="T302" s="213" t="str">
        <f>IFERROR(__xludf.DUMMYFUNCTION("""COMPUTED_VALUE"""),"SI")</f>
        <v>SI</v>
      </c>
      <c r="U302" s="213" t="str">
        <f>IFERROR(__xludf.DUMMYFUNCTION("""COMPUTED_VALUE"""),"NO")</f>
        <v>NO</v>
      </c>
      <c r="V302" s="213" t="str">
        <f>IFERROR(__xludf.DUMMYFUNCTION("""COMPUTED_VALUE"""),"SUSTENTO")</f>
        <v>SUSTENTO</v>
      </c>
      <c r="W302" s="213" t="str">
        <f>IFERROR(__xludf.DUMMYFUNCTION("""COMPUTED_VALUE"""),"EQU TEC")</f>
        <v>EQU TEC</v>
      </c>
      <c r="X302" s="213" t="str">
        <f>IFERROR(__xludf.DUMMYFUNCTION("""COMPUTED_VALUE"""),"CANON")</f>
        <v>CANON</v>
      </c>
      <c r="Y302" s="213" t="str">
        <f>IFERROR(__xludf.DUMMYFUNCTION("""COMPUTED_VALUE"""),"EOS R100")</f>
        <v>EOS R100</v>
      </c>
      <c r="Z302"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2" s="213" t="str">
        <f>IFERROR(__xludf.DUMMYFUNCTION("""COMPUTED_VALUE"""),"TEC-103 CÁMARA FOTOGRÁFICA - CET")</f>
        <v>TEC-103 CÁMARA FOTOGRÁFICA - CET</v>
      </c>
      <c r="AB302" s="213"/>
      <c r="AC302" s="213"/>
      <c r="AD302" s="213"/>
      <c r="AE302" s="213"/>
      <c r="AF302" s="213"/>
      <c r="AG302" s="213"/>
      <c r="AH302" s="213"/>
      <c r="AI302" s="213"/>
      <c r="AJ302" s="213"/>
      <c r="AK302" s="213"/>
      <c r="AL302" s="213"/>
      <c r="AM302" s="213"/>
      <c r="AN302" s="213"/>
      <c r="AO302" s="213"/>
      <c r="AP302" s="213" t="str">
        <f>IFERROR(__xludf.DUMMYFUNCTION("""COMPUTED_VALUE"""),"NALDI")</f>
        <v>NALDI</v>
      </c>
      <c r="AQ302" s="213"/>
      <c r="AR302" s="213"/>
      <c r="AS302" s="213" t="str">
        <f>IFERROR(__xludf.DUMMYFUNCTION("""COMPUTED_VALUE"""),"No existe camara con similares prestaciones con memoria interna de 32 mb. Se puede sustentar suministrando la camara con 2 memorias de 128GB, una para cumplir con la EETT y otra para compensar la ausencia de memoria interna.UNA OPCION A ESTA CAMARA ES LA "&amp;"CANON EOS REBEL T7 posiblemente mas barata")</f>
        <v>No existe camara con similares prestaciones con memoria interna de 32 mb. Se puede sustentar suministrando la camara con 2 memorias de 128GB, una para cumplir con la EETT y otra para compensar la ausencia de memoria interna.UNA OPCION A ESTA CAMARA ES LA CANON EOS REBEL T7 posiblemente mas barata</v>
      </c>
      <c r="AT302" s="217" t="str">
        <f>IFERROR(__xludf.DUMMYFUNCTION("""COMPUTED_VALUE"""),"02 Memoria externa, para tarjeta SD 32 GB como mínimo.")</f>
        <v>02 Memoria externa, para tarjeta SD 32 GB como mínimo.</v>
      </c>
      <c r="AU302" s="213"/>
      <c r="AV302" s="213"/>
      <c r="AW302" s="213"/>
      <c r="AX302" s="213"/>
      <c r="AY302" s="213"/>
      <c r="AZ302" s="213"/>
      <c r="BA302" s="213"/>
      <c r="BB302" s="213"/>
      <c r="BC302" s="213"/>
      <c r="BD302" s="213"/>
    </row>
    <row r="303">
      <c r="A303" s="213">
        <f>IFERROR(__xludf.DUMMYFUNCTION("""COMPUTED_VALUE"""),314.0)</f>
        <v>314</v>
      </c>
      <c r="B303" s="213" t="str">
        <f>IFERROR(__xludf.DUMMYFUNCTION("""COMPUTED_VALUE"""),"2026 SIMON BOLIVAR")</f>
        <v>2026 SIMON BOLIVAR</v>
      </c>
      <c r="C303" s="213" t="str">
        <f>IFERROR(__xludf.DUMMYFUNCTION("""COMPUTED_VALUE"""),"TALLER SFT DE COMPUTACIÓN E INFORMÁTICA")</f>
        <v>TALLER SFT DE COMPUTACIÓN E INFORMÁTICA</v>
      </c>
      <c r="D303" s="213" t="str">
        <f>IFERROR(__xludf.DUMMYFUNCTION("""COMPUTED_VALUE"""),"TICS")</f>
        <v>TICS</v>
      </c>
      <c r="E303" s="213" t="str">
        <f>IFERROR(__xludf.DUMMYFUNCTION("""COMPUTED_VALUE"""),"TEC-103")</f>
        <v>TEC-103</v>
      </c>
      <c r="F303" s="213" t="str">
        <f>IFERROR(__xludf.DUMMYFUNCTION("""COMPUTED_VALUE"""),"TEC-103")</f>
        <v>TEC-103</v>
      </c>
      <c r="G303" s="213"/>
      <c r="H303" s="213" t="str">
        <f>IFERROR(__xludf.DUMMYFUNCTION("""COMPUTED_VALUE"""),"CÁMARA FOTOGRÁFICA")</f>
        <v>CÁMARA FOTOGRÁFICA</v>
      </c>
      <c r="I303"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3" s="213">
        <f>IFERROR(__xludf.DUMMYFUNCTION("""COMPUTED_VALUE"""),3.0)</f>
        <v>3</v>
      </c>
      <c r="K303" s="213" t="str">
        <f>IFERROR(__xludf.DUMMYFUNCTION("""COMPUTED_VALUE"""),"170 DÍAS CALENDARIO")</f>
        <v>170 DÍAS CALENDARIO</v>
      </c>
      <c r="L303"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3" s="213">
        <f>IFERROR(__xludf.DUMMYFUNCTION("""COMPUTED_VALUE"""),1.0)</f>
        <v>1</v>
      </c>
      <c r="N303" s="213">
        <f>IFERROR(__xludf.DUMMYFUNCTION("""COMPUTED_VALUE"""),4.0)</f>
        <v>4</v>
      </c>
      <c r="O303" s="213">
        <f>IFERROR(__xludf.DUMMYFUNCTION("""COMPUTED_VALUE"""),4.0)</f>
        <v>4</v>
      </c>
      <c r="P303" s="213"/>
      <c r="Q303" s="213"/>
      <c r="R303" s="213"/>
      <c r="S303" s="213"/>
      <c r="T303" s="213" t="str">
        <f>IFERROR(__xludf.DUMMYFUNCTION("""COMPUTED_VALUE"""),"SI")</f>
        <v>SI</v>
      </c>
      <c r="U303" s="213" t="str">
        <f>IFERROR(__xludf.DUMMYFUNCTION("""COMPUTED_VALUE"""),"NO")</f>
        <v>NO</v>
      </c>
      <c r="V303" s="213" t="str">
        <f>IFERROR(__xludf.DUMMYFUNCTION("""COMPUTED_VALUE"""),"SUSTENTO")</f>
        <v>SUSTENTO</v>
      </c>
      <c r="W303" s="213" t="str">
        <f>IFERROR(__xludf.DUMMYFUNCTION("""COMPUTED_VALUE"""),"EQU TEC")</f>
        <v>EQU TEC</v>
      </c>
      <c r="X303" s="213" t="str">
        <f>IFERROR(__xludf.DUMMYFUNCTION("""COMPUTED_VALUE"""),"CANON")</f>
        <v>CANON</v>
      </c>
      <c r="Y303" s="213" t="str">
        <f>IFERROR(__xludf.DUMMYFUNCTION("""COMPUTED_VALUE"""),"EOS R100")</f>
        <v>EOS R100</v>
      </c>
      <c r="Z303"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3" s="213" t="str">
        <f>IFERROR(__xludf.DUMMYFUNCTION("""COMPUTED_VALUE"""),"TEC-103 CÁMARA FOTOGRÁFICA - CET")</f>
        <v>TEC-103 CÁMARA FOTOGRÁFICA - CET</v>
      </c>
      <c r="AB303" s="213"/>
      <c r="AC303" s="213"/>
      <c r="AD303" s="213"/>
      <c r="AE303" s="213"/>
      <c r="AF303" s="213"/>
      <c r="AG303" s="213"/>
      <c r="AH303" s="213"/>
      <c r="AI303" s="213"/>
      <c r="AJ303" s="213"/>
      <c r="AK303" s="213"/>
      <c r="AL303" s="213"/>
      <c r="AM303" s="213"/>
      <c r="AN303" s="213"/>
      <c r="AO303" s="213"/>
      <c r="AP303" s="213" t="str">
        <f>IFERROR(__xludf.DUMMYFUNCTION("""COMPUTED_VALUE"""),"NALDI")</f>
        <v>NALDI</v>
      </c>
      <c r="AQ303" s="213"/>
      <c r="AR303" s="213"/>
      <c r="AS303" s="213" t="str">
        <f>IFERROR(__xludf.DUMMYFUNCTION("""COMPUTED_VALUE"""),"No existe camara con similares prestaciones con memoria interna de 32 mb. Se puede sustentar suministrando la camara con 2 memorias de 128GB, una para cumplir con la EETT y otra para compensar la ausencia de memoria interna.UNA OPCION A ESTA CAMARA ES LA "&amp;"CANON EOS REBEL T7 posiblemente mas barata")</f>
        <v>No existe camara con similares prestaciones con memoria interna de 32 mb. Se puede sustentar suministrando la camara con 2 memorias de 128GB, una para cumplir con la EETT y otra para compensar la ausencia de memoria interna.UNA OPCION A ESTA CAMARA ES LA CANON EOS REBEL T7 posiblemente mas barata</v>
      </c>
      <c r="AT303" s="217" t="str">
        <f>IFERROR(__xludf.DUMMYFUNCTION("""COMPUTED_VALUE"""),"02 Memoria externa, para tarjeta SD 32 GB como mínimo.")</f>
        <v>02 Memoria externa, para tarjeta SD 32 GB como mínimo.</v>
      </c>
      <c r="AU303" s="213"/>
      <c r="AV303" s="213"/>
      <c r="AW303" s="213"/>
      <c r="AX303" s="213"/>
      <c r="AY303" s="213"/>
      <c r="AZ303" s="213"/>
      <c r="BA303" s="213"/>
      <c r="BB303" s="213"/>
      <c r="BC303" s="213"/>
      <c r="BD303" s="213"/>
    </row>
    <row r="304">
      <c r="A304" s="213">
        <f>IFERROR(__xludf.DUMMYFUNCTION("""COMPUTED_VALUE"""),371.0)</f>
        <v>371</v>
      </c>
      <c r="B304" s="213" t="str">
        <f>IFERROR(__xludf.DUMMYFUNCTION("""COMPUTED_VALUE"""),"2026 SIMON BOLIVAR")</f>
        <v>2026 SIMON BOLIVAR</v>
      </c>
      <c r="C304" s="213" t="str">
        <f>IFERROR(__xludf.DUMMYFUNCTION("""COMPUTED_VALUE"""),"TALLER SFT DE ELECTRICIDAD")</f>
        <v>TALLER SFT DE ELECTRICIDAD</v>
      </c>
      <c r="D304" s="213" t="str">
        <f>IFERROR(__xludf.DUMMYFUNCTION("""COMPUTED_VALUE"""),"TICS")</f>
        <v>TICS</v>
      </c>
      <c r="E304" s="213" t="str">
        <f>IFERROR(__xludf.DUMMYFUNCTION("""COMPUTED_VALUE"""),"TEC-103")</f>
        <v>TEC-103</v>
      </c>
      <c r="F304" s="213" t="str">
        <f>IFERROR(__xludf.DUMMYFUNCTION("""COMPUTED_VALUE"""),"TEC-103")</f>
        <v>TEC-103</v>
      </c>
      <c r="G304" s="213"/>
      <c r="H304" s="213" t="str">
        <f>IFERROR(__xludf.DUMMYFUNCTION("""COMPUTED_VALUE"""),"CÁMARA FOTOGRÁFICA")</f>
        <v>CÁMARA FOTOGRÁFICA</v>
      </c>
      <c r="I304"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4" s="213">
        <f>IFERROR(__xludf.DUMMYFUNCTION("""COMPUTED_VALUE"""),3.0)</f>
        <v>3</v>
      </c>
      <c r="K304" s="213" t="str">
        <f>IFERROR(__xludf.DUMMYFUNCTION("""COMPUTED_VALUE"""),"170 DÍAS CALENDARIO")</f>
        <v>170 DÍAS CALENDARIO</v>
      </c>
      <c r="L304"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4" s="213">
        <f>IFERROR(__xludf.DUMMYFUNCTION("""COMPUTED_VALUE"""),1.0)</f>
        <v>1</v>
      </c>
      <c r="N304" s="213">
        <f>IFERROR(__xludf.DUMMYFUNCTION("""COMPUTED_VALUE"""),4.0)</f>
        <v>4</v>
      </c>
      <c r="O304" s="213">
        <f>IFERROR(__xludf.DUMMYFUNCTION("""COMPUTED_VALUE"""),4.0)</f>
        <v>4</v>
      </c>
      <c r="P304" s="213"/>
      <c r="Q304" s="213"/>
      <c r="R304" s="213"/>
      <c r="S304" s="213"/>
      <c r="T304" s="213" t="str">
        <f>IFERROR(__xludf.DUMMYFUNCTION("""COMPUTED_VALUE"""),"SI")</f>
        <v>SI</v>
      </c>
      <c r="U304" s="213" t="str">
        <f>IFERROR(__xludf.DUMMYFUNCTION("""COMPUTED_VALUE"""),"NO")</f>
        <v>NO</v>
      </c>
      <c r="V304" s="213" t="str">
        <f>IFERROR(__xludf.DUMMYFUNCTION("""COMPUTED_VALUE"""),"SUSTENTO")</f>
        <v>SUSTENTO</v>
      </c>
      <c r="W304" s="213" t="str">
        <f>IFERROR(__xludf.DUMMYFUNCTION("""COMPUTED_VALUE"""),"EQU TEC")</f>
        <v>EQU TEC</v>
      </c>
      <c r="X304" s="213" t="str">
        <f>IFERROR(__xludf.DUMMYFUNCTION("""COMPUTED_VALUE"""),"CANON")</f>
        <v>CANON</v>
      </c>
      <c r="Y304" s="213" t="str">
        <f>IFERROR(__xludf.DUMMYFUNCTION("""COMPUTED_VALUE"""),"EOS R100")</f>
        <v>EOS R100</v>
      </c>
      <c r="Z304"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4" s="213" t="str">
        <f>IFERROR(__xludf.DUMMYFUNCTION("""COMPUTED_VALUE"""),"TEC-103 CÁMARA FOTOGRÁFICA - CET")</f>
        <v>TEC-103 CÁMARA FOTOGRÁFICA - CET</v>
      </c>
      <c r="AB304" s="213"/>
      <c r="AC304" s="213"/>
      <c r="AD304" s="213"/>
      <c r="AE304" s="213"/>
      <c r="AF304" s="213"/>
      <c r="AG304" s="213"/>
      <c r="AH304" s="213"/>
      <c r="AI304" s="213"/>
      <c r="AJ304" s="213"/>
      <c r="AK304" s="213"/>
      <c r="AL304" s="213"/>
      <c r="AM304" s="213"/>
      <c r="AN304" s="213"/>
      <c r="AO304" s="213"/>
      <c r="AP304" s="213" t="str">
        <f>IFERROR(__xludf.DUMMYFUNCTION("""COMPUTED_VALUE"""),"NALDI")</f>
        <v>NALDI</v>
      </c>
      <c r="AQ304" s="213"/>
      <c r="AR304" s="213"/>
      <c r="AS304"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04" s="217" t="str">
        <f>IFERROR(__xludf.DUMMYFUNCTION("""COMPUTED_VALUE"""),"02 Memoria externa, para tarjeta SD 32 GB como mínimo.")</f>
        <v>02 Memoria externa, para tarjeta SD 32 GB como mínimo.</v>
      </c>
      <c r="AU304" s="213"/>
      <c r="AV304" s="213"/>
      <c r="AW304" s="213"/>
      <c r="AX304" s="213"/>
      <c r="AY304" s="213"/>
      <c r="AZ304" s="213"/>
      <c r="BA304" s="213"/>
      <c r="BB304" s="213"/>
      <c r="BC304" s="213"/>
      <c r="BD304" s="213"/>
    </row>
    <row r="305">
      <c r="A305" s="213">
        <f>IFERROR(__xludf.DUMMYFUNCTION("""COMPUTED_VALUE"""),568.0)</f>
        <v>568</v>
      </c>
      <c r="B305" s="213" t="str">
        <f>IFERROR(__xludf.DUMMYFUNCTION("""COMPUTED_VALUE"""),"2026 SIMON BOLIVAR")</f>
        <v>2026 SIMON BOLIVAR</v>
      </c>
      <c r="C305" s="213" t="str">
        <f>IFERROR(__xludf.DUMMYFUNCTION("""COMPUTED_VALUE"""),"TALLER SFT DE INDUSTRIA ALIMENTARIA")</f>
        <v>TALLER SFT DE INDUSTRIA ALIMENTARIA</v>
      </c>
      <c r="D305" s="213" t="str">
        <f>IFERROR(__xludf.DUMMYFUNCTION("""COMPUTED_VALUE"""),"TICS")</f>
        <v>TICS</v>
      </c>
      <c r="E305" s="213" t="str">
        <f>IFERROR(__xludf.DUMMYFUNCTION("""COMPUTED_VALUE"""),"TEC-103")</f>
        <v>TEC-103</v>
      </c>
      <c r="F305" s="213" t="str">
        <f>IFERROR(__xludf.DUMMYFUNCTION("""COMPUTED_VALUE"""),"TEC-103")</f>
        <v>TEC-103</v>
      </c>
      <c r="G305" s="213"/>
      <c r="H305" s="213" t="str">
        <f>IFERROR(__xludf.DUMMYFUNCTION("""COMPUTED_VALUE"""),"CÁMARA FOTOGRÁFICA")</f>
        <v>CÁMARA FOTOGRÁFICA</v>
      </c>
      <c r="I305"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5" s="213">
        <f>IFERROR(__xludf.DUMMYFUNCTION("""COMPUTED_VALUE"""),3.0)</f>
        <v>3</v>
      </c>
      <c r="K305" s="213" t="str">
        <f>IFERROR(__xludf.DUMMYFUNCTION("""COMPUTED_VALUE"""),"170 DÍAS CALENDARIO")</f>
        <v>170 DÍAS CALENDARIO</v>
      </c>
      <c r="L305"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5" s="213">
        <f>IFERROR(__xludf.DUMMYFUNCTION("""COMPUTED_VALUE"""),1.0)</f>
        <v>1</v>
      </c>
      <c r="N305" s="213">
        <f>IFERROR(__xludf.DUMMYFUNCTION("""COMPUTED_VALUE"""),4.0)</f>
        <v>4</v>
      </c>
      <c r="O305" s="213">
        <f>IFERROR(__xludf.DUMMYFUNCTION("""COMPUTED_VALUE"""),4.0)</f>
        <v>4</v>
      </c>
      <c r="P305" s="213"/>
      <c r="Q305" s="213"/>
      <c r="R305" s="213"/>
      <c r="S305" s="213"/>
      <c r="T305" s="213" t="str">
        <f>IFERROR(__xludf.DUMMYFUNCTION("""COMPUTED_VALUE"""),"SI")</f>
        <v>SI</v>
      </c>
      <c r="U305" s="213" t="str">
        <f>IFERROR(__xludf.DUMMYFUNCTION("""COMPUTED_VALUE"""),"NO")</f>
        <v>NO</v>
      </c>
      <c r="V305" s="213" t="str">
        <f>IFERROR(__xludf.DUMMYFUNCTION("""COMPUTED_VALUE"""),"SUSTENTO")</f>
        <v>SUSTENTO</v>
      </c>
      <c r="W305" s="213" t="str">
        <f>IFERROR(__xludf.DUMMYFUNCTION("""COMPUTED_VALUE"""),"EQU TEC")</f>
        <v>EQU TEC</v>
      </c>
      <c r="X305" s="213" t="str">
        <f>IFERROR(__xludf.DUMMYFUNCTION("""COMPUTED_VALUE"""),"CANON")</f>
        <v>CANON</v>
      </c>
      <c r="Y305" s="213" t="str">
        <f>IFERROR(__xludf.DUMMYFUNCTION("""COMPUTED_VALUE"""),"EOS R100")</f>
        <v>EOS R100</v>
      </c>
      <c r="Z305"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5" s="213" t="str">
        <f>IFERROR(__xludf.DUMMYFUNCTION("""COMPUTED_VALUE"""),"TEC-103 CÁMARA FOTOGRÁFICA - CET")</f>
        <v>TEC-103 CÁMARA FOTOGRÁFICA - CET</v>
      </c>
      <c r="AB305" s="213"/>
      <c r="AC305" s="213"/>
      <c r="AD305" s="213"/>
      <c r="AE305" s="213"/>
      <c r="AF305" s="213"/>
      <c r="AG305" s="213"/>
      <c r="AH305" s="213"/>
      <c r="AI305" s="213"/>
      <c r="AJ305" s="213"/>
      <c r="AK305" s="213"/>
      <c r="AL305" s="213"/>
      <c r="AM305" s="213"/>
      <c r="AN305" s="213"/>
      <c r="AO305" s="213"/>
      <c r="AP305" s="213" t="str">
        <f>IFERROR(__xludf.DUMMYFUNCTION("""COMPUTED_VALUE"""),"NALDI")</f>
        <v>NALDI</v>
      </c>
      <c r="AQ305" s="213"/>
      <c r="AR305" s="213"/>
      <c r="AS305"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05" s="217" t="str">
        <f>IFERROR(__xludf.DUMMYFUNCTION("""COMPUTED_VALUE"""),"02 Memoria externa, para tarjeta SD 32 GB como mínimo.")</f>
        <v>02 Memoria externa, para tarjeta SD 32 GB como mínimo.</v>
      </c>
      <c r="AU305" s="213"/>
      <c r="AV305" s="213"/>
      <c r="AW305" s="213"/>
      <c r="AX305" s="213"/>
      <c r="AY305" s="213"/>
      <c r="AZ305" s="213"/>
      <c r="BA305" s="213"/>
      <c r="BB305" s="213"/>
      <c r="BC305" s="213"/>
      <c r="BD305" s="213"/>
    </row>
    <row r="306">
      <c r="A306" s="213">
        <f>IFERROR(__xludf.DUMMYFUNCTION("""COMPUTED_VALUE"""),656.0)</f>
        <v>656</v>
      </c>
      <c r="B306" s="213" t="str">
        <f>IFERROR(__xludf.DUMMYFUNCTION("""COMPUTED_VALUE"""),"6049 RICARDO PALMA")</f>
        <v>6049 RICARDO PALMA</v>
      </c>
      <c r="C306" s="213" t="str">
        <f>IFERROR(__xludf.DUMMYFUNCTION("""COMPUTED_VALUE"""),"TALLER SFT DE ELECTRÓNICA")</f>
        <v>TALLER SFT DE ELECTRÓNICA</v>
      </c>
      <c r="D306" s="213" t="str">
        <f>IFERROR(__xludf.DUMMYFUNCTION("""COMPUTED_VALUE"""),"TICS")</f>
        <v>TICS</v>
      </c>
      <c r="E306" s="213" t="str">
        <f>IFERROR(__xludf.DUMMYFUNCTION("""COMPUTED_VALUE"""),"TEC-103")</f>
        <v>TEC-103</v>
      </c>
      <c r="F306" s="213" t="str">
        <f>IFERROR(__xludf.DUMMYFUNCTION("""COMPUTED_VALUE"""),"TEC-103")</f>
        <v>TEC-103</v>
      </c>
      <c r="G306" s="213"/>
      <c r="H306" s="213" t="str">
        <f>IFERROR(__xludf.DUMMYFUNCTION("""COMPUTED_VALUE"""),"CÁMARA FOTOGRÁFICA")</f>
        <v>CÁMARA FOTOGRÁFICA</v>
      </c>
      <c r="I306"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6" s="213">
        <f>IFERROR(__xludf.DUMMYFUNCTION("""COMPUTED_VALUE"""),3.0)</f>
        <v>3</v>
      </c>
      <c r="K306" s="213" t="str">
        <f>IFERROR(__xludf.DUMMYFUNCTION("""COMPUTED_VALUE"""),"170 DÍAS CALENDARIO")</f>
        <v>170 DÍAS CALENDARIO</v>
      </c>
      <c r="L306"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6" s="213">
        <f>IFERROR(__xludf.DUMMYFUNCTION("""COMPUTED_VALUE"""),1.0)</f>
        <v>1</v>
      </c>
      <c r="N306" s="213">
        <f>IFERROR(__xludf.DUMMYFUNCTION("""COMPUTED_VALUE"""),4.0)</f>
        <v>4</v>
      </c>
      <c r="O306" s="213">
        <f>IFERROR(__xludf.DUMMYFUNCTION("""COMPUTED_VALUE"""),4.0)</f>
        <v>4</v>
      </c>
      <c r="P306" s="213"/>
      <c r="Q306" s="213"/>
      <c r="R306" s="213"/>
      <c r="S306" s="213"/>
      <c r="T306" s="213" t="str">
        <f>IFERROR(__xludf.DUMMYFUNCTION("""COMPUTED_VALUE"""),"SI")</f>
        <v>SI</v>
      </c>
      <c r="U306" s="213" t="str">
        <f>IFERROR(__xludf.DUMMYFUNCTION("""COMPUTED_VALUE"""),"NO")</f>
        <v>NO</v>
      </c>
      <c r="V306" s="213" t="str">
        <f>IFERROR(__xludf.DUMMYFUNCTION("""COMPUTED_VALUE"""),"SUSTENTO")</f>
        <v>SUSTENTO</v>
      </c>
      <c r="W306" s="213" t="str">
        <f>IFERROR(__xludf.DUMMYFUNCTION("""COMPUTED_VALUE"""),"EQU TEC")</f>
        <v>EQU TEC</v>
      </c>
      <c r="X306" s="213" t="str">
        <f>IFERROR(__xludf.DUMMYFUNCTION("""COMPUTED_VALUE"""),"CANON")</f>
        <v>CANON</v>
      </c>
      <c r="Y306" s="213" t="str">
        <f>IFERROR(__xludf.DUMMYFUNCTION("""COMPUTED_VALUE"""),"EOS R100")</f>
        <v>EOS R100</v>
      </c>
      <c r="Z306"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6" s="213" t="str">
        <f>IFERROR(__xludf.DUMMYFUNCTION("""COMPUTED_VALUE"""),"TEC-103 CÁMARA FOTOGRÁFICA - CET")</f>
        <v>TEC-103 CÁMARA FOTOGRÁFICA - CET</v>
      </c>
      <c r="AB306" s="213"/>
      <c r="AC306" s="213"/>
      <c r="AD306" s="213"/>
      <c r="AE306" s="213"/>
      <c r="AF306" s="213"/>
      <c r="AG306" s="213"/>
      <c r="AH306" s="213"/>
      <c r="AI306" s="213"/>
      <c r="AJ306" s="213"/>
      <c r="AK306" s="213"/>
      <c r="AL306" s="213"/>
      <c r="AM306" s="213"/>
      <c r="AN306" s="213"/>
      <c r="AO306" s="213"/>
      <c r="AP306" s="213" t="str">
        <f>IFERROR(__xludf.DUMMYFUNCTION("""COMPUTED_VALUE"""),"NALDI")</f>
        <v>NALDI</v>
      </c>
      <c r="AQ306" s="213"/>
      <c r="AR306" s="213"/>
      <c r="AS306"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06" s="217" t="str">
        <f>IFERROR(__xludf.DUMMYFUNCTION("""COMPUTED_VALUE"""),"02 Memoria externa, para tarjeta SD 32 GB como mínimo.")</f>
        <v>02 Memoria externa, para tarjeta SD 32 GB como mínimo.</v>
      </c>
      <c r="AU306" s="213"/>
      <c r="AV306" s="213"/>
      <c r="AW306" s="213"/>
      <c r="AX306" s="213"/>
      <c r="AY306" s="213"/>
      <c r="AZ306" s="213"/>
      <c r="BA306" s="213"/>
      <c r="BB306" s="213"/>
      <c r="BC306" s="213"/>
      <c r="BD306" s="213"/>
    </row>
    <row r="307">
      <c r="A307" s="213">
        <f>IFERROR(__xludf.DUMMYFUNCTION("""COMPUTED_VALUE"""),777.0)</f>
        <v>777</v>
      </c>
      <c r="B307" s="213" t="str">
        <f>IFERROR(__xludf.DUMMYFUNCTION("""COMPUTED_VALUE"""),"6049 RICARDO PALMA")</f>
        <v>6049 RICARDO PALMA</v>
      </c>
      <c r="C307" s="213" t="str">
        <f>IFERROR(__xludf.DUMMYFUNCTION("""COMPUTED_VALUE"""),"TALLER SFT DE COMPUTACIÓN E INFORMÁTICA")</f>
        <v>TALLER SFT DE COMPUTACIÓN E INFORMÁTICA</v>
      </c>
      <c r="D307" s="213" t="str">
        <f>IFERROR(__xludf.DUMMYFUNCTION("""COMPUTED_VALUE"""),"TICS")</f>
        <v>TICS</v>
      </c>
      <c r="E307" s="213" t="str">
        <f>IFERROR(__xludf.DUMMYFUNCTION("""COMPUTED_VALUE"""),"TEC-103")</f>
        <v>TEC-103</v>
      </c>
      <c r="F307" s="213" t="str">
        <f>IFERROR(__xludf.DUMMYFUNCTION("""COMPUTED_VALUE"""),"TEC-103")</f>
        <v>TEC-103</v>
      </c>
      <c r="G307" s="213"/>
      <c r="H307" s="213" t="str">
        <f>IFERROR(__xludf.DUMMYFUNCTION("""COMPUTED_VALUE"""),"CÁMARA FOTOGRÁFICA")</f>
        <v>CÁMARA FOTOGRÁFICA</v>
      </c>
      <c r="I307"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7" s="213">
        <f>IFERROR(__xludf.DUMMYFUNCTION("""COMPUTED_VALUE"""),3.0)</f>
        <v>3</v>
      </c>
      <c r="K307" s="213" t="str">
        <f>IFERROR(__xludf.DUMMYFUNCTION("""COMPUTED_VALUE"""),"170 DÍAS CALENDARIO")</f>
        <v>170 DÍAS CALENDARIO</v>
      </c>
      <c r="L307"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7" s="213">
        <f>IFERROR(__xludf.DUMMYFUNCTION("""COMPUTED_VALUE"""),1.0)</f>
        <v>1</v>
      </c>
      <c r="N307" s="213">
        <f>IFERROR(__xludf.DUMMYFUNCTION("""COMPUTED_VALUE"""),4.0)</f>
        <v>4</v>
      </c>
      <c r="O307" s="213">
        <f>IFERROR(__xludf.DUMMYFUNCTION("""COMPUTED_VALUE"""),4.0)</f>
        <v>4</v>
      </c>
      <c r="P307" s="213"/>
      <c r="Q307" s="213"/>
      <c r="R307" s="213"/>
      <c r="S307" s="213"/>
      <c r="T307" s="213" t="str">
        <f>IFERROR(__xludf.DUMMYFUNCTION("""COMPUTED_VALUE"""),"SI")</f>
        <v>SI</v>
      </c>
      <c r="U307" s="213" t="str">
        <f>IFERROR(__xludf.DUMMYFUNCTION("""COMPUTED_VALUE"""),"NO")</f>
        <v>NO</v>
      </c>
      <c r="V307" s="213" t="str">
        <f>IFERROR(__xludf.DUMMYFUNCTION("""COMPUTED_VALUE"""),"SUSTENTO")</f>
        <v>SUSTENTO</v>
      </c>
      <c r="W307" s="213" t="str">
        <f>IFERROR(__xludf.DUMMYFUNCTION("""COMPUTED_VALUE"""),"EQU TEC")</f>
        <v>EQU TEC</v>
      </c>
      <c r="X307" s="213" t="str">
        <f>IFERROR(__xludf.DUMMYFUNCTION("""COMPUTED_VALUE"""),"CANON")</f>
        <v>CANON</v>
      </c>
      <c r="Y307" s="213" t="str">
        <f>IFERROR(__xludf.DUMMYFUNCTION("""COMPUTED_VALUE"""),"EOS R100")</f>
        <v>EOS R100</v>
      </c>
      <c r="Z307"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7" s="213" t="str">
        <f>IFERROR(__xludf.DUMMYFUNCTION("""COMPUTED_VALUE"""),"TEC-103 CÁMARA FOTOGRÁFICA - CET")</f>
        <v>TEC-103 CÁMARA FOTOGRÁFICA - CET</v>
      </c>
      <c r="AB307" s="213"/>
      <c r="AC307" s="213"/>
      <c r="AD307" s="213"/>
      <c r="AE307" s="213"/>
      <c r="AF307" s="213"/>
      <c r="AG307" s="213"/>
      <c r="AH307" s="213"/>
      <c r="AI307" s="213"/>
      <c r="AJ307" s="213"/>
      <c r="AK307" s="213"/>
      <c r="AL307" s="213"/>
      <c r="AM307" s="213"/>
      <c r="AN307" s="213"/>
      <c r="AO307" s="213"/>
      <c r="AP307" s="213" t="str">
        <f>IFERROR(__xludf.DUMMYFUNCTION("""COMPUTED_VALUE"""),"NALDI")</f>
        <v>NALDI</v>
      </c>
      <c r="AQ307" s="213"/>
      <c r="AR307" s="213"/>
      <c r="AS307" s="213" t="str">
        <f>IFERROR(__xludf.DUMMYFUNCTION("""COMPUTED_VALUE"""),"No existe camara con similares prestaciones con memoria interna de 32 mb. Se puede sustentar suministrando la camara con 2 memorias de 128GB, una para cumplir con la EETT y otra para compensar la ausencia de memoria interna.UNA OPCION A ESTA CAMARA ES LA "&amp;"CANON EOS REBEL T7 posiblemente mas barata")</f>
        <v>No existe camara con similares prestaciones con memoria interna de 32 mb. Se puede sustentar suministrando la camara con 2 memorias de 128GB, una para cumplir con la EETT y otra para compensar la ausencia de memoria interna.UNA OPCION A ESTA CAMARA ES LA CANON EOS REBEL T7 posiblemente mas barata</v>
      </c>
      <c r="AT307" s="217" t="str">
        <f>IFERROR(__xludf.DUMMYFUNCTION("""COMPUTED_VALUE"""),"02 Memoria externa, para tarjeta SD 32 GB como mínimo.")</f>
        <v>02 Memoria externa, para tarjeta SD 32 GB como mínimo.</v>
      </c>
      <c r="AU307" s="213"/>
      <c r="AV307" s="213"/>
      <c r="AW307" s="213"/>
      <c r="AX307" s="213"/>
      <c r="AY307" s="213"/>
      <c r="AZ307" s="213"/>
      <c r="BA307" s="213"/>
      <c r="BB307" s="213"/>
      <c r="BC307" s="213"/>
      <c r="BD307" s="213"/>
    </row>
    <row r="308">
      <c r="A308" s="213">
        <f>IFERROR(__xludf.DUMMYFUNCTION("""COMPUTED_VALUE"""),800.0)</f>
        <v>800</v>
      </c>
      <c r="B308" s="213" t="str">
        <f>IFERROR(__xludf.DUMMYFUNCTION("""COMPUTED_VALUE"""),"6049 RICARDO PALMA")</f>
        <v>6049 RICARDO PALMA</v>
      </c>
      <c r="C308" s="213" t="str">
        <f>IFERROR(__xludf.DUMMYFUNCTION("""COMPUTED_VALUE"""),"TALLER SFT DE COMPUTACIÓN E INFORMÁTICA")</f>
        <v>TALLER SFT DE COMPUTACIÓN E INFORMÁTICA</v>
      </c>
      <c r="D308" s="213" t="str">
        <f>IFERROR(__xludf.DUMMYFUNCTION("""COMPUTED_VALUE"""),"TICS")</f>
        <v>TICS</v>
      </c>
      <c r="E308" s="213" t="str">
        <f>IFERROR(__xludf.DUMMYFUNCTION("""COMPUTED_VALUE"""),"TEC-103")</f>
        <v>TEC-103</v>
      </c>
      <c r="F308" s="213" t="str">
        <f>IFERROR(__xludf.DUMMYFUNCTION("""COMPUTED_VALUE"""),"TEC-103")</f>
        <v>TEC-103</v>
      </c>
      <c r="G308" s="213"/>
      <c r="H308" s="213" t="str">
        <f>IFERROR(__xludf.DUMMYFUNCTION("""COMPUTED_VALUE"""),"CÁMARA FOTOGRÁFICA")</f>
        <v>CÁMARA FOTOGRÁFICA</v>
      </c>
      <c r="I308"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8" s="213">
        <f>IFERROR(__xludf.DUMMYFUNCTION("""COMPUTED_VALUE"""),3.0)</f>
        <v>3</v>
      </c>
      <c r="K308" s="213" t="str">
        <f>IFERROR(__xludf.DUMMYFUNCTION("""COMPUTED_VALUE"""),"170 DÍAS CALENDARIO")</f>
        <v>170 DÍAS CALENDARIO</v>
      </c>
      <c r="L308"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8" s="213">
        <f>IFERROR(__xludf.DUMMYFUNCTION("""COMPUTED_VALUE"""),1.0)</f>
        <v>1</v>
      </c>
      <c r="N308" s="213">
        <f>IFERROR(__xludf.DUMMYFUNCTION("""COMPUTED_VALUE"""),4.0)</f>
        <v>4</v>
      </c>
      <c r="O308" s="213">
        <f>IFERROR(__xludf.DUMMYFUNCTION("""COMPUTED_VALUE"""),4.0)</f>
        <v>4</v>
      </c>
      <c r="P308" s="213"/>
      <c r="Q308" s="213"/>
      <c r="R308" s="213"/>
      <c r="S308" s="213"/>
      <c r="T308" s="213" t="str">
        <f>IFERROR(__xludf.DUMMYFUNCTION("""COMPUTED_VALUE"""),"SI")</f>
        <v>SI</v>
      </c>
      <c r="U308" s="213" t="str">
        <f>IFERROR(__xludf.DUMMYFUNCTION("""COMPUTED_VALUE"""),"NO")</f>
        <v>NO</v>
      </c>
      <c r="V308" s="213" t="str">
        <f>IFERROR(__xludf.DUMMYFUNCTION("""COMPUTED_VALUE"""),"SUSTENTO")</f>
        <v>SUSTENTO</v>
      </c>
      <c r="W308" s="213" t="str">
        <f>IFERROR(__xludf.DUMMYFUNCTION("""COMPUTED_VALUE"""),"EQU TEC")</f>
        <v>EQU TEC</v>
      </c>
      <c r="X308" s="213" t="str">
        <f>IFERROR(__xludf.DUMMYFUNCTION("""COMPUTED_VALUE"""),"CANON")</f>
        <v>CANON</v>
      </c>
      <c r="Y308" s="213" t="str">
        <f>IFERROR(__xludf.DUMMYFUNCTION("""COMPUTED_VALUE"""),"EOS R100")</f>
        <v>EOS R100</v>
      </c>
      <c r="Z308"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8" s="213" t="str">
        <f>IFERROR(__xludf.DUMMYFUNCTION("""COMPUTED_VALUE"""),"TEC-103 CÁMARA FOTOGRÁFICA - CET")</f>
        <v>TEC-103 CÁMARA FOTOGRÁFICA - CET</v>
      </c>
      <c r="AB308" s="213"/>
      <c r="AC308" s="213"/>
      <c r="AD308" s="213"/>
      <c r="AE308" s="213"/>
      <c r="AF308" s="213"/>
      <c r="AG308" s="213"/>
      <c r="AH308" s="213"/>
      <c r="AI308" s="213"/>
      <c r="AJ308" s="213"/>
      <c r="AK308" s="213"/>
      <c r="AL308" s="213"/>
      <c r="AM308" s="213"/>
      <c r="AN308" s="213"/>
      <c r="AO308" s="213"/>
      <c r="AP308" s="213" t="str">
        <f>IFERROR(__xludf.DUMMYFUNCTION("""COMPUTED_VALUE"""),"NALDI")</f>
        <v>NALDI</v>
      </c>
      <c r="AQ308" s="213"/>
      <c r="AR308" s="213"/>
      <c r="AS308" s="213" t="str">
        <f>IFERROR(__xludf.DUMMYFUNCTION("""COMPUTED_VALUE"""),"No existe camara con similares prestaciones con memoria interna de 32 mb. Se puede sustentar suministrando la camara con 2 memorias de 128GB, una para cumplir con la EETT y otra para compensar la ausencia de memoria interna.UNA OPCION A ESTA CAMARA ES LA "&amp;"CANON EOS REBEL T7 posiblemente mas barata")</f>
        <v>No existe camara con similares prestaciones con memoria interna de 32 mb. Se puede sustentar suministrando la camara con 2 memorias de 128GB, una para cumplir con la EETT y otra para compensar la ausencia de memoria interna.UNA OPCION A ESTA CAMARA ES LA CANON EOS REBEL T7 posiblemente mas barata</v>
      </c>
      <c r="AT308" s="217" t="str">
        <f>IFERROR(__xludf.DUMMYFUNCTION("""COMPUTED_VALUE"""),"02 Memoria externa, para tarjeta SD 32 GB como mínimo.")</f>
        <v>02 Memoria externa, para tarjeta SD 32 GB como mínimo.</v>
      </c>
      <c r="AU308" s="213"/>
      <c r="AV308" s="213"/>
      <c r="AW308" s="213"/>
      <c r="AX308" s="213"/>
      <c r="AY308" s="213"/>
      <c r="AZ308" s="213"/>
      <c r="BA308" s="213"/>
      <c r="BB308" s="213"/>
      <c r="BC308" s="213"/>
      <c r="BD308" s="213"/>
    </row>
    <row r="309">
      <c r="A309" s="213">
        <f>IFERROR(__xludf.DUMMYFUNCTION("""COMPUTED_VALUE"""),857.0)</f>
        <v>857</v>
      </c>
      <c r="B309" s="213" t="str">
        <f>IFERROR(__xludf.DUMMYFUNCTION("""COMPUTED_VALUE"""),"6049 RICARDO PALMA")</f>
        <v>6049 RICARDO PALMA</v>
      </c>
      <c r="C309" s="213" t="str">
        <f>IFERROR(__xludf.DUMMYFUNCTION("""COMPUTED_VALUE"""),"TALLER SFT DE ELECTRICIDAD")</f>
        <v>TALLER SFT DE ELECTRICIDAD</v>
      </c>
      <c r="D309" s="213" t="str">
        <f>IFERROR(__xludf.DUMMYFUNCTION("""COMPUTED_VALUE"""),"TICS")</f>
        <v>TICS</v>
      </c>
      <c r="E309" s="213" t="str">
        <f>IFERROR(__xludf.DUMMYFUNCTION("""COMPUTED_VALUE"""),"TEC-103")</f>
        <v>TEC-103</v>
      </c>
      <c r="F309" s="213" t="str">
        <f>IFERROR(__xludf.DUMMYFUNCTION("""COMPUTED_VALUE"""),"TEC-103")</f>
        <v>TEC-103</v>
      </c>
      <c r="G309" s="213"/>
      <c r="H309" s="213" t="str">
        <f>IFERROR(__xludf.DUMMYFUNCTION("""COMPUTED_VALUE"""),"CÁMARA FOTOGRÁFICA")</f>
        <v>CÁMARA FOTOGRÁFICA</v>
      </c>
      <c r="I309"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09" s="213">
        <f>IFERROR(__xludf.DUMMYFUNCTION("""COMPUTED_VALUE"""),3.0)</f>
        <v>3</v>
      </c>
      <c r="K309" s="213" t="str">
        <f>IFERROR(__xludf.DUMMYFUNCTION("""COMPUTED_VALUE"""),"170 DÍAS CALENDARIO")</f>
        <v>170 DÍAS CALENDARIO</v>
      </c>
      <c r="L309"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09" s="213">
        <f>IFERROR(__xludf.DUMMYFUNCTION("""COMPUTED_VALUE"""),1.0)</f>
        <v>1</v>
      </c>
      <c r="N309" s="213">
        <f>IFERROR(__xludf.DUMMYFUNCTION("""COMPUTED_VALUE"""),4.0)</f>
        <v>4</v>
      </c>
      <c r="O309" s="213">
        <f>IFERROR(__xludf.DUMMYFUNCTION("""COMPUTED_VALUE"""),4.0)</f>
        <v>4</v>
      </c>
      <c r="P309" s="213"/>
      <c r="Q309" s="213"/>
      <c r="R309" s="213"/>
      <c r="S309" s="213"/>
      <c r="T309" s="213" t="str">
        <f>IFERROR(__xludf.DUMMYFUNCTION("""COMPUTED_VALUE"""),"SI")</f>
        <v>SI</v>
      </c>
      <c r="U309" s="213" t="str">
        <f>IFERROR(__xludf.DUMMYFUNCTION("""COMPUTED_VALUE"""),"NO")</f>
        <v>NO</v>
      </c>
      <c r="V309" s="213" t="str">
        <f>IFERROR(__xludf.DUMMYFUNCTION("""COMPUTED_VALUE"""),"SUSTENTO")</f>
        <v>SUSTENTO</v>
      </c>
      <c r="W309" s="213" t="str">
        <f>IFERROR(__xludf.DUMMYFUNCTION("""COMPUTED_VALUE"""),"EQU TEC")</f>
        <v>EQU TEC</v>
      </c>
      <c r="X309" s="213" t="str">
        <f>IFERROR(__xludf.DUMMYFUNCTION("""COMPUTED_VALUE"""),"CANON")</f>
        <v>CANON</v>
      </c>
      <c r="Y309" s="213" t="str">
        <f>IFERROR(__xludf.DUMMYFUNCTION("""COMPUTED_VALUE"""),"EOS R100")</f>
        <v>EOS R100</v>
      </c>
      <c r="Z309"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09" s="213" t="str">
        <f>IFERROR(__xludf.DUMMYFUNCTION("""COMPUTED_VALUE"""),"TEC-103 CÁMARA FOTOGRÁFICA - CET")</f>
        <v>TEC-103 CÁMARA FOTOGRÁFICA - CET</v>
      </c>
      <c r="AB309" s="213"/>
      <c r="AC309" s="213"/>
      <c r="AD309" s="213"/>
      <c r="AE309" s="213"/>
      <c r="AF309" s="213"/>
      <c r="AG309" s="213"/>
      <c r="AH309" s="213"/>
      <c r="AI309" s="213"/>
      <c r="AJ309" s="213"/>
      <c r="AK309" s="213"/>
      <c r="AL309" s="213"/>
      <c r="AM309" s="213"/>
      <c r="AN309" s="213"/>
      <c r="AO309" s="213"/>
      <c r="AP309" s="213" t="str">
        <f>IFERROR(__xludf.DUMMYFUNCTION("""COMPUTED_VALUE"""),"NALDI")</f>
        <v>NALDI</v>
      </c>
      <c r="AQ309" s="213"/>
      <c r="AR309" s="213"/>
      <c r="AS309"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09" s="217" t="str">
        <f>IFERROR(__xludf.DUMMYFUNCTION("""COMPUTED_VALUE"""),"02 Memoria externa, para tarjeta SD 32 GB como mínimo.")</f>
        <v>02 Memoria externa, para tarjeta SD 32 GB como mínimo.</v>
      </c>
      <c r="AU309" s="213"/>
      <c r="AV309" s="213"/>
      <c r="AW309" s="213"/>
      <c r="AX309" s="213"/>
      <c r="AY309" s="213"/>
      <c r="AZ309" s="213"/>
      <c r="BA309" s="213"/>
      <c r="BB309" s="213"/>
      <c r="BC309" s="213"/>
      <c r="BD309" s="213"/>
    </row>
    <row r="310">
      <c r="A310" s="213">
        <f>IFERROR(__xludf.DUMMYFUNCTION("""COMPUTED_VALUE"""),1002.0)</f>
        <v>1002</v>
      </c>
      <c r="B310" s="213" t="str">
        <f>IFERROR(__xludf.DUMMYFUNCTION("""COMPUTED_VALUE"""),"FRANCISCO IRAZOLA")</f>
        <v>FRANCISCO IRAZOLA</v>
      </c>
      <c r="C310" s="213" t="str">
        <f>IFERROR(__xludf.DUMMYFUNCTION("""COMPUTED_VALUE"""),"TALLER SFT DE MECÁNICA AUTOMOTRIZ")</f>
        <v>TALLER SFT DE MECÁNICA AUTOMOTRIZ</v>
      </c>
      <c r="D310" s="213" t="str">
        <f>IFERROR(__xludf.DUMMYFUNCTION("""COMPUTED_VALUE"""),"TICS")</f>
        <v>TICS</v>
      </c>
      <c r="E310" s="213" t="str">
        <f>IFERROR(__xludf.DUMMYFUNCTION("""COMPUTED_VALUE"""),"TEC-103")</f>
        <v>TEC-103</v>
      </c>
      <c r="F310" s="213" t="str">
        <f>IFERROR(__xludf.DUMMYFUNCTION("""COMPUTED_VALUE"""),"TEC-103")</f>
        <v>TEC-103</v>
      </c>
      <c r="G310" s="213"/>
      <c r="H310" s="213" t="str">
        <f>IFERROR(__xludf.DUMMYFUNCTION("""COMPUTED_VALUE"""),"CÁMARA FOTOGRÁFICA")</f>
        <v>CÁMARA FOTOGRÁFICA</v>
      </c>
      <c r="I310"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0" s="213">
        <f>IFERROR(__xludf.DUMMYFUNCTION("""COMPUTED_VALUE"""),3.0)</f>
        <v>3</v>
      </c>
      <c r="K310" s="213" t="str">
        <f>IFERROR(__xludf.DUMMYFUNCTION("""COMPUTED_VALUE"""),"170 DÍAS CALENDARIO")</f>
        <v>170 DÍAS CALENDARIO</v>
      </c>
      <c r="L310"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0" s="213">
        <f>IFERROR(__xludf.DUMMYFUNCTION("""COMPUTED_VALUE"""),1.0)</f>
        <v>1</v>
      </c>
      <c r="N310" s="213">
        <f>IFERROR(__xludf.DUMMYFUNCTION("""COMPUTED_VALUE"""),4.0)</f>
        <v>4</v>
      </c>
      <c r="O310" s="213">
        <f>IFERROR(__xludf.DUMMYFUNCTION("""COMPUTED_VALUE"""),4.0)</f>
        <v>4</v>
      </c>
      <c r="P310" s="213"/>
      <c r="Q310" s="213"/>
      <c r="R310" s="213"/>
      <c r="S310" s="213"/>
      <c r="T310" s="213" t="str">
        <f>IFERROR(__xludf.DUMMYFUNCTION("""COMPUTED_VALUE"""),"SI")</f>
        <v>SI</v>
      </c>
      <c r="U310" s="213" t="str">
        <f>IFERROR(__xludf.DUMMYFUNCTION("""COMPUTED_VALUE"""),"NO")</f>
        <v>NO</v>
      </c>
      <c r="V310" s="213" t="str">
        <f>IFERROR(__xludf.DUMMYFUNCTION("""COMPUTED_VALUE"""),"SUSTENTO")</f>
        <v>SUSTENTO</v>
      </c>
      <c r="W310" s="213" t="str">
        <f>IFERROR(__xludf.DUMMYFUNCTION("""COMPUTED_VALUE"""),"EQU TEC")</f>
        <v>EQU TEC</v>
      </c>
      <c r="X310" s="213" t="str">
        <f>IFERROR(__xludf.DUMMYFUNCTION("""COMPUTED_VALUE"""),"CANON")</f>
        <v>CANON</v>
      </c>
      <c r="Y310" s="213" t="str">
        <f>IFERROR(__xludf.DUMMYFUNCTION("""COMPUTED_VALUE"""),"EOS R100")</f>
        <v>EOS R100</v>
      </c>
      <c r="Z310"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0" s="213" t="str">
        <f>IFERROR(__xludf.DUMMYFUNCTION("""COMPUTED_VALUE"""),"TEC-103 CÁMARA FOTOGRÁFICA - CET")</f>
        <v>TEC-103 CÁMARA FOTOGRÁFICA - CET</v>
      </c>
      <c r="AB310" s="213"/>
      <c r="AC310" s="213"/>
      <c r="AD310" s="213"/>
      <c r="AE310" s="213"/>
      <c r="AF310" s="213"/>
      <c r="AG310" s="213"/>
      <c r="AH310" s="213"/>
      <c r="AI310" s="213"/>
      <c r="AJ310" s="213"/>
      <c r="AK310" s="213"/>
      <c r="AL310" s="213"/>
      <c r="AM310" s="213"/>
      <c r="AN310" s="213"/>
      <c r="AO310" s="213"/>
      <c r="AP310" s="213" t="str">
        <f>IFERROR(__xludf.DUMMYFUNCTION("""COMPUTED_VALUE"""),"NALDI")</f>
        <v>NALDI</v>
      </c>
      <c r="AQ310" s="213"/>
      <c r="AR310" s="213"/>
      <c r="AS310"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10" s="217" t="str">
        <f>IFERROR(__xludf.DUMMYFUNCTION("""COMPUTED_VALUE"""),"02 Memoria externa, para tarjeta SD 32 GB como mínimo.")</f>
        <v>02 Memoria externa, para tarjeta SD 32 GB como mínimo.</v>
      </c>
      <c r="AU310" s="213"/>
      <c r="AV310" s="213"/>
      <c r="AW310" s="213"/>
      <c r="AX310" s="213"/>
      <c r="AY310" s="213"/>
      <c r="AZ310" s="213"/>
      <c r="BA310" s="213"/>
      <c r="BB310" s="213"/>
      <c r="BC310" s="213"/>
      <c r="BD310" s="213"/>
    </row>
    <row r="311">
      <c r="A311" s="213">
        <f>IFERROR(__xludf.DUMMYFUNCTION("""COMPUTED_VALUE"""),1234.0)</f>
        <v>1234</v>
      </c>
      <c r="B311" s="213" t="str">
        <f>IFERROR(__xludf.DUMMYFUNCTION("""COMPUTED_VALUE"""),"FRANCISCO IRAZOLA")</f>
        <v>FRANCISCO IRAZOLA</v>
      </c>
      <c r="C311" s="213" t="str">
        <f>IFERROR(__xludf.DUMMYFUNCTION("""COMPUTED_VALUE"""),"TALLER SFT DE INDUSTRIA ALIMENTARIA")</f>
        <v>TALLER SFT DE INDUSTRIA ALIMENTARIA</v>
      </c>
      <c r="D311" s="213" t="str">
        <f>IFERROR(__xludf.DUMMYFUNCTION("""COMPUTED_VALUE"""),"TICS")</f>
        <v>TICS</v>
      </c>
      <c r="E311" s="213" t="str">
        <f>IFERROR(__xludf.DUMMYFUNCTION("""COMPUTED_VALUE"""),"TEC-103")</f>
        <v>TEC-103</v>
      </c>
      <c r="F311" s="213" t="str">
        <f>IFERROR(__xludf.DUMMYFUNCTION("""COMPUTED_VALUE"""),"TEC-103")</f>
        <v>TEC-103</v>
      </c>
      <c r="G311" s="213"/>
      <c r="H311" s="213" t="str">
        <f>IFERROR(__xludf.DUMMYFUNCTION("""COMPUTED_VALUE"""),"CÁMARA FOTOGRÁFICA")</f>
        <v>CÁMARA FOTOGRÁFICA</v>
      </c>
      <c r="I311"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1" s="213">
        <f>IFERROR(__xludf.DUMMYFUNCTION("""COMPUTED_VALUE"""),3.0)</f>
        <v>3</v>
      </c>
      <c r="K311" s="213" t="str">
        <f>IFERROR(__xludf.DUMMYFUNCTION("""COMPUTED_VALUE"""),"170 DÍAS CALENDARIO")</f>
        <v>170 DÍAS CALENDARIO</v>
      </c>
      <c r="L311"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1" s="213">
        <f>IFERROR(__xludf.DUMMYFUNCTION("""COMPUTED_VALUE"""),1.0)</f>
        <v>1</v>
      </c>
      <c r="N311" s="213">
        <f>IFERROR(__xludf.DUMMYFUNCTION("""COMPUTED_VALUE"""),4.0)</f>
        <v>4</v>
      </c>
      <c r="O311" s="213">
        <f>IFERROR(__xludf.DUMMYFUNCTION("""COMPUTED_VALUE"""),4.0)</f>
        <v>4</v>
      </c>
      <c r="P311" s="213"/>
      <c r="Q311" s="213"/>
      <c r="R311" s="213"/>
      <c r="S311" s="213"/>
      <c r="T311" s="213" t="str">
        <f>IFERROR(__xludf.DUMMYFUNCTION("""COMPUTED_VALUE"""),"SI")</f>
        <v>SI</v>
      </c>
      <c r="U311" s="213" t="str">
        <f>IFERROR(__xludf.DUMMYFUNCTION("""COMPUTED_VALUE"""),"NO")</f>
        <v>NO</v>
      </c>
      <c r="V311" s="213" t="str">
        <f>IFERROR(__xludf.DUMMYFUNCTION("""COMPUTED_VALUE"""),"SUSTENTO")</f>
        <v>SUSTENTO</v>
      </c>
      <c r="W311" s="213" t="str">
        <f>IFERROR(__xludf.DUMMYFUNCTION("""COMPUTED_VALUE"""),"EQU TEC")</f>
        <v>EQU TEC</v>
      </c>
      <c r="X311" s="213" t="str">
        <f>IFERROR(__xludf.DUMMYFUNCTION("""COMPUTED_VALUE"""),"CANON")</f>
        <v>CANON</v>
      </c>
      <c r="Y311" s="213" t="str">
        <f>IFERROR(__xludf.DUMMYFUNCTION("""COMPUTED_VALUE"""),"EOS R100")</f>
        <v>EOS R100</v>
      </c>
      <c r="Z311"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1" s="213" t="str">
        <f>IFERROR(__xludf.DUMMYFUNCTION("""COMPUTED_VALUE"""),"TEC-103 CÁMARA FOTOGRÁFICA - CET")</f>
        <v>TEC-103 CÁMARA FOTOGRÁFICA - CET</v>
      </c>
      <c r="AB311" s="213"/>
      <c r="AC311" s="213"/>
      <c r="AD311" s="213"/>
      <c r="AE311" s="213"/>
      <c r="AF311" s="213"/>
      <c r="AG311" s="213"/>
      <c r="AH311" s="213"/>
      <c r="AI311" s="213"/>
      <c r="AJ311" s="213"/>
      <c r="AK311" s="213"/>
      <c r="AL311" s="213"/>
      <c r="AM311" s="213"/>
      <c r="AN311" s="213"/>
      <c r="AO311" s="213"/>
      <c r="AP311" s="213" t="str">
        <f>IFERROR(__xludf.DUMMYFUNCTION("""COMPUTED_VALUE"""),"NALDI")</f>
        <v>NALDI</v>
      </c>
      <c r="AQ311" s="213"/>
      <c r="AR311" s="213"/>
      <c r="AS311"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11" s="217" t="str">
        <f>IFERROR(__xludf.DUMMYFUNCTION("""COMPUTED_VALUE"""),"02 Memoria externa, para tarjeta SD 32 GB como mínimo.")</f>
        <v>02 Memoria externa, para tarjeta SD 32 GB como mínimo.</v>
      </c>
      <c r="AU311" s="213"/>
      <c r="AV311" s="213"/>
      <c r="AW311" s="213"/>
      <c r="AX311" s="213"/>
      <c r="AY311" s="213"/>
      <c r="AZ311" s="213"/>
      <c r="BA311" s="213"/>
      <c r="BB311" s="213"/>
      <c r="BC311" s="213"/>
      <c r="BD311" s="213"/>
    </row>
    <row r="312">
      <c r="A312" s="213">
        <f>IFERROR(__xludf.DUMMYFUNCTION("""COMPUTED_VALUE"""),1279.0)</f>
        <v>1279</v>
      </c>
      <c r="B312" s="213" t="str">
        <f>IFERROR(__xludf.DUMMYFUNCTION("""COMPUTED_VALUE"""),"GUILLERMO E. BILLINGHURST ")</f>
        <v>GUILLERMO E. BILLINGHURST </v>
      </c>
      <c r="C312" s="213" t="str">
        <f>IFERROR(__xludf.DUMMYFUNCTION("""COMPUTED_VALUE"""),"TALLER SFT DE ELECTRICIDAD")</f>
        <v>TALLER SFT DE ELECTRICIDAD</v>
      </c>
      <c r="D312" s="213" t="str">
        <f>IFERROR(__xludf.DUMMYFUNCTION("""COMPUTED_VALUE"""),"TICS")</f>
        <v>TICS</v>
      </c>
      <c r="E312" s="213" t="str">
        <f>IFERROR(__xludf.DUMMYFUNCTION("""COMPUTED_VALUE"""),"TEC-103")</f>
        <v>TEC-103</v>
      </c>
      <c r="F312" s="213" t="str">
        <f>IFERROR(__xludf.DUMMYFUNCTION("""COMPUTED_VALUE"""),"TEC-103")</f>
        <v>TEC-103</v>
      </c>
      <c r="G312" s="213"/>
      <c r="H312" s="213" t="str">
        <f>IFERROR(__xludf.DUMMYFUNCTION("""COMPUTED_VALUE"""),"CÁMARA FOTOGRÁFICA")</f>
        <v>CÁMARA FOTOGRÁFICA</v>
      </c>
      <c r="I312"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2" s="213">
        <f>IFERROR(__xludf.DUMMYFUNCTION("""COMPUTED_VALUE"""),3.0)</f>
        <v>3</v>
      </c>
      <c r="K312" s="213" t="str">
        <f>IFERROR(__xludf.DUMMYFUNCTION("""COMPUTED_VALUE"""),"170 DÍAS CALENDARIO")</f>
        <v>170 DÍAS CALENDARIO</v>
      </c>
      <c r="L312"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2" s="213">
        <f>IFERROR(__xludf.DUMMYFUNCTION("""COMPUTED_VALUE"""),1.0)</f>
        <v>1</v>
      </c>
      <c r="N312" s="213">
        <f>IFERROR(__xludf.DUMMYFUNCTION("""COMPUTED_VALUE"""),4.0)</f>
        <v>4</v>
      </c>
      <c r="O312" s="213">
        <f>IFERROR(__xludf.DUMMYFUNCTION("""COMPUTED_VALUE"""),4.0)</f>
        <v>4</v>
      </c>
      <c r="P312" s="213"/>
      <c r="Q312" s="213"/>
      <c r="R312" s="213"/>
      <c r="S312" s="213"/>
      <c r="T312" s="213" t="str">
        <f>IFERROR(__xludf.DUMMYFUNCTION("""COMPUTED_VALUE"""),"SI")</f>
        <v>SI</v>
      </c>
      <c r="U312" s="213" t="str">
        <f>IFERROR(__xludf.DUMMYFUNCTION("""COMPUTED_VALUE"""),"NO")</f>
        <v>NO</v>
      </c>
      <c r="V312" s="213" t="str">
        <f>IFERROR(__xludf.DUMMYFUNCTION("""COMPUTED_VALUE"""),"SUSTENTO")</f>
        <v>SUSTENTO</v>
      </c>
      <c r="W312" s="213" t="str">
        <f>IFERROR(__xludf.DUMMYFUNCTION("""COMPUTED_VALUE"""),"EQU TEC")</f>
        <v>EQU TEC</v>
      </c>
      <c r="X312" s="213" t="str">
        <f>IFERROR(__xludf.DUMMYFUNCTION("""COMPUTED_VALUE"""),"CANON")</f>
        <v>CANON</v>
      </c>
      <c r="Y312" s="213" t="str">
        <f>IFERROR(__xludf.DUMMYFUNCTION("""COMPUTED_VALUE"""),"EOS R100")</f>
        <v>EOS R100</v>
      </c>
      <c r="Z312"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2" s="213" t="str">
        <f>IFERROR(__xludf.DUMMYFUNCTION("""COMPUTED_VALUE"""),"TEC-103 CÁMARA FOTOGRÁFICA - CET")</f>
        <v>TEC-103 CÁMARA FOTOGRÁFICA - CET</v>
      </c>
      <c r="AB312" s="213"/>
      <c r="AC312" s="213"/>
      <c r="AD312" s="213"/>
      <c r="AE312" s="213"/>
      <c r="AF312" s="213"/>
      <c r="AG312" s="213"/>
      <c r="AH312" s="213"/>
      <c r="AI312" s="213"/>
      <c r="AJ312" s="213"/>
      <c r="AK312" s="213"/>
      <c r="AL312" s="213"/>
      <c r="AM312" s="213"/>
      <c r="AN312" s="213"/>
      <c r="AO312" s="213"/>
      <c r="AP312" s="213" t="str">
        <f>IFERROR(__xludf.DUMMYFUNCTION("""COMPUTED_VALUE"""),"NALDI")</f>
        <v>NALDI</v>
      </c>
      <c r="AQ312" s="213"/>
      <c r="AR312" s="213"/>
      <c r="AS312"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12" s="217" t="str">
        <f>IFERROR(__xludf.DUMMYFUNCTION("""COMPUTED_VALUE"""),"02 Memoria externa, para tarjeta SD 32 GB como mínimo.")</f>
        <v>02 Memoria externa, para tarjeta SD 32 GB como mínimo.</v>
      </c>
      <c r="AU312" s="213"/>
      <c r="AV312" s="213"/>
      <c r="AW312" s="213"/>
      <c r="AX312" s="213"/>
      <c r="AY312" s="213"/>
      <c r="AZ312" s="213"/>
      <c r="BA312" s="213"/>
      <c r="BB312" s="213"/>
      <c r="BC312" s="213"/>
      <c r="BD312" s="213"/>
    </row>
    <row r="313">
      <c r="A313" s="213">
        <f>IFERROR(__xludf.DUMMYFUNCTION("""COMPUTED_VALUE"""),1607.0)</f>
        <v>1607</v>
      </c>
      <c r="B313" s="213" t="str">
        <f>IFERROR(__xludf.DUMMYFUNCTION("""COMPUTED_VALUE"""),"GUILLERMO E. BILLINGHURST ")</f>
        <v>GUILLERMO E. BILLINGHURST </v>
      </c>
      <c r="C313" s="213" t="str">
        <f>IFERROR(__xludf.DUMMYFUNCTION("""COMPUTED_VALUE"""),"TALLER SFT DE MECÁNICA AUTOMOTRIZ")</f>
        <v>TALLER SFT DE MECÁNICA AUTOMOTRIZ</v>
      </c>
      <c r="D313" s="213" t="str">
        <f>IFERROR(__xludf.DUMMYFUNCTION("""COMPUTED_VALUE"""),"TICS")</f>
        <v>TICS</v>
      </c>
      <c r="E313" s="213" t="str">
        <f>IFERROR(__xludf.DUMMYFUNCTION("""COMPUTED_VALUE"""),"TEC-103")</f>
        <v>TEC-103</v>
      </c>
      <c r="F313" s="213" t="str">
        <f>IFERROR(__xludf.DUMMYFUNCTION("""COMPUTED_VALUE"""),"TEC-103")</f>
        <v>TEC-103</v>
      </c>
      <c r="G313" s="213"/>
      <c r="H313" s="213" t="str">
        <f>IFERROR(__xludf.DUMMYFUNCTION("""COMPUTED_VALUE"""),"CÁMARA FOTOGRÁFICA")</f>
        <v>CÁMARA FOTOGRÁFICA</v>
      </c>
      <c r="I313"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3" s="213">
        <f>IFERROR(__xludf.DUMMYFUNCTION("""COMPUTED_VALUE"""),3.0)</f>
        <v>3</v>
      </c>
      <c r="K313" s="213" t="str">
        <f>IFERROR(__xludf.DUMMYFUNCTION("""COMPUTED_VALUE"""),"170 DÍAS CALENDARIO")</f>
        <v>170 DÍAS CALENDARIO</v>
      </c>
      <c r="L313"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3" s="213">
        <f>IFERROR(__xludf.DUMMYFUNCTION("""COMPUTED_VALUE"""),1.0)</f>
        <v>1</v>
      </c>
      <c r="N313" s="213">
        <f>IFERROR(__xludf.DUMMYFUNCTION("""COMPUTED_VALUE"""),4.0)</f>
        <v>4</v>
      </c>
      <c r="O313" s="213">
        <f>IFERROR(__xludf.DUMMYFUNCTION("""COMPUTED_VALUE"""),4.0)</f>
        <v>4</v>
      </c>
      <c r="P313" s="213"/>
      <c r="Q313" s="213"/>
      <c r="R313" s="213"/>
      <c r="S313" s="213"/>
      <c r="T313" s="213" t="str">
        <f>IFERROR(__xludf.DUMMYFUNCTION("""COMPUTED_VALUE"""),"SI")</f>
        <v>SI</v>
      </c>
      <c r="U313" s="213" t="str">
        <f>IFERROR(__xludf.DUMMYFUNCTION("""COMPUTED_VALUE"""),"NO")</f>
        <v>NO</v>
      </c>
      <c r="V313" s="213" t="str">
        <f>IFERROR(__xludf.DUMMYFUNCTION("""COMPUTED_VALUE"""),"SUSTENTO")</f>
        <v>SUSTENTO</v>
      </c>
      <c r="W313" s="213" t="str">
        <f>IFERROR(__xludf.DUMMYFUNCTION("""COMPUTED_VALUE"""),"EQU TEC")</f>
        <v>EQU TEC</v>
      </c>
      <c r="X313" s="213" t="str">
        <f>IFERROR(__xludf.DUMMYFUNCTION("""COMPUTED_VALUE"""),"CANON")</f>
        <v>CANON</v>
      </c>
      <c r="Y313" s="213" t="str">
        <f>IFERROR(__xludf.DUMMYFUNCTION("""COMPUTED_VALUE"""),"EOS R100")</f>
        <v>EOS R100</v>
      </c>
      <c r="Z313"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3" s="213" t="str">
        <f>IFERROR(__xludf.DUMMYFUNCTION("""COMPUTED_VALUE"""),"TEC-103 CÁMARA FOTOGRÁFICA - CET")</f>
        <v>TEC-103 CÁMARA FOTOGRÁFICA - CET</v>
      </c>
      <c r="AB313" s="213"/>
      <c r="AC313" s="213"/>
      <c r="AD313" s="213"/>
      <c r="AE313" s="213"/>
      <c r="AF313" s="213"/>
      <c r="AG313" s="213"/>
      <c r="AH313" s="213"/>
      <c r="AI313" s="213"/>
      <c r="AJ313" s="213"/>
      <c r="AK313" s="213"/>
      <c r="AL313" s="213"/>
      <c r="AM313" s="213"/>
      <c r="AN313" s="213"/>
      <c r="AO313" s="213"/>
      <c r="AP313" s="213" t="str">
        <f>IFERROR(__xludf.DUMMYFUNCTION("""COMPUTED_VALUE"""),"NALDI")</f>
        <v>NALDI</v>
      </c>
      <c r="AQ313" s="213"/>
      <c r="AR313" s="213"/>
      <c r="AS313"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13" s="217" t="str">
        <f>IFERROR(__xludf.DUMMYFUNCTION("""COMPUTED_VALUE"""),"02 Memoria externa, para tarjeta SD 32 GB como mínimo.")</f>
        <v>02 Memoria externa, para tarjeta SD 32 GB como mínimo.</v>
      </c>
      <c r="AU313" s="213"/>
      <c r="AV313" s="213"/>
      <c r="AW313" s="213"/>
      <c r="AX313" s="213"/>
      <c r="AY313" s="213"/>
      <c r="AZ313" s="213"/>
      <c r="BA313" s="213"/>
      <c r="BB313" s="213"/>
      <c r="BC313" s="213"/>
      <c r="BD313" s="213"/>
    </row>
    <row r="314">
      <c r="A314" s="213">
        <f>IFERROR(__xludf.DUMMYFUNCTION("""COMPUTED_VALUE"""),1715.0)</f>
        <v>1715</v>
      </c>
      <c r="B314" s="213" t="str">
        <f>IFERROR(__xludf.DUMMYFUNCTION("""COMPUTED_VALUE"""),"GUILLERMO E. BILLINGHURST ")</f>
        <v>GUILLERMO E. BILLINGHURST </v>
      </c>
      <c r="C314" s="213" t="str">
        <f>IFERROR(__xludf.DUMMYFUNCTION("""COMPUTED_VALUE"""),"TALLER SFT DE COMPUTACIÓN E INFORMÁTICA")</f>
        <v>TALLER SFT DE COMPUTACIÓN E INFORMÁTICA</v>
      </c>
      <c r="D314" s="213" t="str">
        <f>IFERROR(__xludf.DUMMYFUNCTION("""COMPUTED_VALUE"""),"TICS")</f>
        <v>TICS</v>
      </c>
      <c r="E314" s="213" t="str">
        <f>IFERROR(__xludf.DUMMYFUNCTION("""COMPUTED_VALUE"""),"TEC-103")</f>
        <v>TEC-103</v>
      </c>
      <c r="F314" s="213" t="str">
        <f>IFERROR(__xludf.DUMMYFUNCTION("""COMPUTED_VALUE"""),"TEC-103")</f>
        <v>TEC-103</v>
      </c>
      <c r="G314" s="213"/>
      <c r="H314" s="213" t="str">
        <f>IFERROR(__xludf.DUMMYFUNCTION("""COMPUTED_VALUE"""),"CÁMARA FOTOGRÁFICA")</f>
        <v>CÁMARA FOTOGRÁFICA</v>
      </c>
      <c r="I314"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4" s="213">
        <f>IFERROR(__xludf.DUMMYFUNCTION("""COMPUTED_VALUE"""),3.0)</f>
        <v>3</v>
      </c>
      <c r="K314" s="213" t="str">
        <f>IFERROR(__xludf.DUMMYFUNCTION("""COMPUTED_VALUE"""),"170 DÍAS CALENDARIO")</f>
        <v>170 DÍAS CALENDARIO</v>
      </c>
      <c r="L314"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4" s="213">
        <f>IFERROR(__xludf.DUMMYFUNCTION("""COMPUTED_VALUE"""),1.0)</f>
        <v>1</v>
      </c>
      <c r="N314" s="213">
        <f>IFERROR(__xludf.DUMMYFUNCTION("""COMPUTED_VALUE"""),4.0)</f>
        <v>4</v>
      </c>
      <c r="O314" s="213">
        <f>IFERROR(__xludf.DUMMYFUNCTION("""COMPUTED_VALUE"""),4.0)</f>
        <v>4</v>
      </c>
      <c r="P314" s="213"/>
      <c r="Q314" s="213"/>
      <c r="R314" s="213"/>
      <c r="S314" s="213"/>
      <c r="T314" s="213" t="str">
        <f>IFERROR(__xludf.DUMMYFUNCTION("""COMPUTED_VALUE"""),"SI")</f>
        <v>SI</v>
      </c>
      <c r="U314" s="213" t="str">
        <f>IFERROR(__xludf.DUMMYFUNCTION("""COMPUTED_VALUE"""),"NO")</f>
        <v>NO</v>
      </c>
      <c r="V314" s="213" t="str">
        <f>IFERROR(__xludf.DUMMYFUNCTION("""COMPUTED_VALUE"""),"SUSTENTO")</f>
        <v>SUSTENTO</v>
      </c>
      <c r="W314" s="213" t="str">
        <f>IFERROR(__xludf.DUMMYFUNCTION("""COMPUTED_VALUE"""),"EQU TEC")</f>
        <v>EQU TEC</v>
      </c>
      <c r="X314" s="213" t="str">
        <f>IFERROR(__xludf.DUMMYFUNCTION("""COMPUTED_VALUE"""),"CANON")</f>
        <v>CANON</v>
      </c>
      <c r="Y314" s="213" t="str">
        <f>IFERROR(__xludf.DUMMYFUNCTION("""COMPUTED_VALUE"""),"EOS R100")</f>
        <v>EOS R100</v>
      </c>
      <c r="Z314"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4" s="213" t="str">
        <f>IFERROR(__xludf.DUMMYFUNCTION("""COMPUTED_VALUE"""),"TEC-103 CÁMARA FOTOGRÁFICA - CET")</f>
        <v>TEC-103 CÁMARA FOTOGRÁFICA - CET</v>
      </c>
      <c r="AB314" s="213"/>
      <c r="AC314" s="213"/>
      <c r="AD314" s="213"/>
      <c r="AE314" s="213"/>
      <c r="AF314" s="213"/>
      <c r="AG314" s="213"/>
      <c r="AH314" s="213"/>
      <c r="AI314" s="213"/>
      <c r="AJ314" s="213"/>
      <c r="AK314" s="213"/>
      <c r="AL314" s="213"/>
      <c r="AM314" s="213"/>
      <c r="AN314" s="213"/>
      <c r="AO314" s="213"/>
      <c r="AP314" s="213" t="str">
        <f>IFERROR(__xludf.DUMMYFUNCTION("""COMPUTED_VALUE"""),"NALDI")</f>
        <v>NALDI</v>
      </c>
      <c r="AQ314" s="213"/>
      <c r="AR314" s="213"/>
      <c r="AS314" s="213" t="str">
        <f>IFERROR(__xludf.DUMMYFUNCTION("""COMPUTED_VALUE"""),"No existe camara con similares prestaciones con memoria interna de 32 mb. Se puede sustentar suministrando la camara con 2 memorias de 128GB, una para cumplir con la EETT y otra para compensar la ausencia de memoria interna.UNA OPCION A ESTA CAMARA ES LA "&amp;"CANON EOS REBEL T7 posiblemente mas barata")</f>
        <v>No existe camara con similares prestaciones con memoria interna de 32 mb. Se puede sustentar suministrando la camara con 2 memorias de 128GB, una para cumplir con la EETT y otra para compensar la ausencia de memoria interna.UNA OPCION A ESTA CAMARA ES LA CANON EOS REBEL T7 posiblemente mas barata</v>
      </c>
      <c r="AT314" s="217" t="str">
        <f>IFERROR(__xludf.DUMMYFUNCTION("""COMPUTED_VALUE"""),"02 Memoria externa, para tarjeta SD 32 GB como mínimo.")</f>
        <v>02 Memoria externa, para tarjeta SD 32 GB como mínimo.</v>
      </c>
      <c r="AU314" s="213"/>
      <c r="AV314" s="213"/>
      <c r="AW314" s="213"/>
      <c r="AX314" s="213"/>
      <c r="AY314" s="213"/>
      <c r="AZ314" s="213"/>
      <c r="BA314" s="213"/>
      <c r="BB314" s="213"/>
      <c r="BC314" s="213"/>
      <c r="BD314" s="213"/>
    </row>
    <row r="315">
      <c r="A315" s="213">
        <f>IFERROR(__xludf.DUMMYFUNCTION("""COMPUTED_VALUE"""),1738.0)</f>
        <v>1738</v>
      </c>
      <c r="B315" s="213" t="str">
        <f>IFERROR(__xludf.DUMMYFUNCTION("""COMPUTED_VALUE"""),"GUILLERMO E. BILLINGHURST ")</f>
        <v>GUILLERMO E. BILLINGHURST </v>
      </c>
      <c r="C315" s="213" t="str">
        <f>IFERROR(__xludf.DUMMYFUNCTION("""COMPUTED_VALUE"""),"TALLER SFT DE COMPUTACIÓN E INFORMÁTICA")</f>
        <v>TALLER SFT DE COMPUTACIÓN E INFORMÁTICA</v>
      </c>
      <c r="D315" s="213" t="str">
        <f>IFERROR(__xludf.DUMMYFUNCTION("""COMPUTED_VALUE"""),"TICS")</f>
        <v>TICS</v>
      </c>
      <c r="E315" s="213" t="str">
        <f>IFERROR(__xludf.DUMMYFUNCTION("""COMPUTED_VALUE"""),"TEC-103")</f>
        <v>TEC-103</v>
      </c>
      <c r="F315" s="213" t="str">
        <f>IFERROR(__xludf.DUMMYFUNCTION("""COMPUTED_VALUE"""),"TEC-103")</f>
        <v>TEC-103</v>
      </c>
      <c r="G315" s="213"/>
      <c r="H315" s="213" t="str">
        <f>IFERROR(__xludf.DUMMYFUNCTION("""COMPUTED_VALUE"""),"CÁMARA FOTOGRÁFICA")</f>
        <v>CÁMARA FOTOGRÁFICA</v>
      </c>
      <c r="I315"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5" s="213">
        <f>IFERROR(__xludf.DUMMYFUNCTION("""COMPUTED_VALUE"""),3.0)</f>
        <v>3</v>
      </c>
      <c r="K315" s="213" t="str">
        <f>IFERROR(__xludf.DUMMYFUNCTION("""COMPUTED_VALUE"""),"170 DÍAS CALENDARIO")</f>
        <v>170 DÍAS CALENDARIO</v>
      </c>
      <c r="L315"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5" s="213">
        <f>IFERROR(__xludf.DUMMYFUNCTION("""COMPUTED_VALUE"""),1.0)</f>
        <v>1</v>
      </c>
      <c r="N315" s="213">
        <f>IFERROR(__xludf.DUMMYFUNCTION("""COMPUTED_VALUE"""),4.0)</f>
        <v>4</v>
      </c>
      <c r="O315" s="213">
        <f>IFERROR(__xludf.DUMMYFUNCTION("""COMPUTED_VALUE"""),4.0)</f>
        <v>4</v>
      </c>
      <c r="P315" s="213"/>
      <c r="Q315" s="213"/>
      <c r="R315" s="213"/>
      <c r="S315" s="213"/>
      <c r="T315" s="213" t="str">
        <f>IFERROR(__xludf.DUMMYFUNCTION("""COMPUTED_VALUE"""),"SI")</f>
        <v>SI</v>
      </c>
      <c r="U315" s="213" t="str">
        <f>IFERROR(__xludf.DUMMYFUNCTION("""COMPUTED_VALUE"""),"NO")</f>
        <v>NO</v>
      </c>
      <c r="V315" s="213" t="str">
        <f>IFERROR(__xludf.DUMMYFUNCTION("""COMPUTED_VALUE"""),"SUSTENTO")</f>
        <v>SUSTENTO</v>
      </c>
      <c r="W315" s="213" t="str">
        <f>IFERROR(__xludf.DUMMYFUNCTION("""COMPUTED_VALUE"""),"EQU TEC")</f>
        <v>EQU TEC</v>
      </c>
      <c r="X315" s="213" t="str">
        <f>IFERROR(__xludf.DUMMYFUNCTION("""COMPUTED_VALUE"""),"CANON")</f>
        <v>CANON</v>
      </c>
      <c r="Y315" s="213" t="str">
        <f>IFERROR(__xludf.DUMMYFUNCTION("""COMPUTED_VALUE"""),"EOS R100")</f>
        <v>EOS R100</v>
      </c>
      <c r="Z315"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5" s="213" t="str">
        <f>IFERROR(__xludf.DUMMYFUNCTION("""COMPUTED_VALUE"""),"TEC-103 CÁMARA FOTOGRÁFICA - CET")</f>
        <v>TEC-103 CÁMARA FOTOGRÁFICA - CET</v>
      </c>
      <c r="AB315" s="213"/>
      <c r="AC315" s="213"/>
      <c r="AD315" s="213"/>
      <c r="AE315" s="213"/>
      <c r="AF315" s="213"/>
      <c r="AG315" s="213"/>
      <c r="AH315" s="213"/>
      <c r="AI315" s="213"/>
      <c r="AJ315" s="213"/>
      <c r="AK315" s="213"/>
      <c r="AL315" s="213"/>
      <c r="AM315" s="213"/>
      <c r="AN315" s="213"/>
      <c r="AO315" s="213"/>
      <c r="AP315" s="213" t="str">
        <f>IFERROR(__xludf.DUMMYFUNCTION("""COMPUTED_VALUE"""),"NALDI")</f>
        <v>NALDI</v>
      </c>
      <c r="AQ315" s="213"/>
      <c r="AR315" s="213"/>
      <c r="AS315" s="213" t="str">
        <f>IFERROR(__xludf.DUMMYFUNCTION("""COMPUTED_VALUE"""),"No existe camara con similares prestaciones con memoria interna de 32 mb. Se puede sustentar suministrando la camara con 2 memorias de 128GB, una para cumplir con la EETT y otra para compensar la ausencia de memoria interna.UNA OPCION A ESTA CAMARA ES LA "&amp;"CANON EOS REBEL T7 posiblemente mas barata")</f>
        <v>No existe camara con similares prestaciones con memoria interna de 32 mb. Se puede sustentar suministrando la camara con 2 memorias de 128GB, una para cumplir con la EETT y otra para compensar la ausencia de memoria interna.UNA OPCION A ESTA CAMARA ES LA CANON EOS REBEL T7 posiblemente mas barata</v>
      </c>
      <c r="AT315" s="217" t="str">
        <f>IFERROR(__xludf.DUMMYFUNCTION("""COMPUTED_VALUE"""),"02 Memoria externa, para tarjeta SD 32 GB como mínimo.")</f>
        <v>02 Memoria externa, para tarjeta SD 32 GB como mínimo.</v>
      </c>
      <c r="AU315" s="213"/>
      <c r="AV315" s="213"/>
      <c r="AW315" s="213"/>
      <c r="AX315" s="213"/>
      <c r="AY315" s="213"/>
      <c r="AZ315" s="213"/>
      <c r="BA315" s="213"/>
      <c r="BB315" s="213"/>
      <c r="BC315" s="213"/>
      <c r="BD315" s="213"/>
    </row>
    <row r="316">
      <c r="A316" s="213">
        <f>IFERROR(__xludf.DUMMYFUNCTION("""COMPUTED_VALUE"""),1870.0)</f>
        <v>1870</v>
      </c>
      <c r="B316" s="213" t="str">
        <f>IFERROR(__xludf.DUMMYFUNCTION("""COMPUTED_VALUE"""),"GUILLERMO E. BILLINGHURST ")</f>
        <v>GUILLERMO E. BILLINGHURST </v>
      </c>
      <c r="C316" s="213" t="str">
        <f>IFERROR(__xludf.DUMMYFUNCTION("""COMPUTED_VALUE"""),"TALLER SFT DE EBANISTERÍA")</f>
        <v>TALLER SFT DE EBANISTERÍA</v>
      </c>
      <c r="D316" s="213" t="str">
        <f>IFERROR(__xludf.DUMMYFUNCTION("""COMPUTED_VALUE"""),"TICS")</f>
        <v>TICS</v>
      </c>
      <c r="E316" s="213" t="str">
        <f>IFERROR(__xludf.DUMMYFUNCTION("""COMPUTED_VALUE"""),"TEC-103")</f>
        <v>TEC-103</v>
      </c>
      <c r="F316" s="213" t="str">
        <f>IFERROR(__xludf.DUMMYFUNCTION("""COMPUTED_VALUE"""),"TEC-103")</f>
        <v>TEC-103</v>
      </c>
      <c r="G316" s="213"/>
      <c r="H316" s="213" t="str">
        <f>IFERROR(__xludf.DUMMYFUNCTION("""COMPUTED_VALUE"""),"CÁMARA FOTOGRÁFICA")</f>
        <v>CÁMARA FOTOGRÁFICA</v>
      </c>
      <c r="I316"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6" s="213">
        <f>IFERROR(__xludf.DUMMYFUNCTION("""COMPUTED_VALUE"""),3.0)</f>
        <v>3</v>
      </c>
      <c r="K316" s="213" t="str">
        <f>IFERROR(__xludf.DUMMYFUNCTION("""COMPUTED_VALUE"""),"170 DÍAS CALENDARIO")</f>
        <v>170 DÍAS CALENDARIO</v>
      </c>
      <c r="L316"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6" s="213">
        <f>IFERROR(__xludf.DUMMYFUNCTION("""COMPUTED_VALUE"""),1.0)</f>
        <v>1</v>
      </c>
      <c r="N316" s="213">
        <f>IFERROR(__xludf.DUMMYFUNCTION("""COMPUTED_VALUE"""),4.0)</f>
        <v>4</v>
      </c>
      <c r="O316" s="213">
        <f>IFERROR(__xludf.DUMMYFUNCTION("""COMPUTED_VALUE"""),4.0)</f>
        <v>4</v>
      </c>
      <c r="P316" s="213"/>
      <c r="Q316" s="213"/>
      <c r="R316" s="213"/>
      <c r="S316" s="213"/>
      <c r="T316" s="213" t="str">
        <f>IFERROR(__xludf.DUMMYFUNCTION("""COMPUTED_VALUE"""),"SI")</f>
        <v>SI</v>
      </c>
      <c r="U316" s="213" t="str">
        <f>IFERROR(__xludf.DUMMYFUNCTION("""COMPUTED_VALUE"""),"NO")</f>
        <v>NO</v>
      </c>
      <c r="V316" s="213" t="str">
        <f>IFERROR(__xludf.DUMMYFUNCTION("""COMPUTED_VALUE"""),"SUSTENTO")</f>
        <v>SUSTENTO</v>
      </c>
      <c r="W316" s="213" t="str">
        <f>IFERROR(__xludf.DUMMYFUNCTION("""COMPUTED_VALUE"""),"EQU TEC")</f>
        <v>EQU TEC</v>
      </c>
      <c r="X316" s="213" t="str">
        <f>IFERROR(__xludf.DUMMYFUNCTION("""COMPUTED_VALUE"""),"CANON")</f>
        <v>CANON</v>
      </c>
      <c r="Y316" s="213" t="str">
        <f>IFERROR(__xludf.DUMMYFUNCTION("""COMPUTED_VALUE"""),"EOS R100")</f>
        <v>EOS R100</v>
      </c>
      <c r="Z316"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6" s="213" t="str">
        <f>IFERROR(__xludf.DUMMYFUNCTION("""COMPUTED_VALUE"""),"TEC-103 CÁMARA FOTOGRÁFICA - CET")</f>
        <v>TEC-103 CÁMARA FOTOGRÁFICA - CET</v>
      </c>
      <c r="AB316" s="213"/>
      <c r="AC316" s="213"/>
      <c r="AD316" s="213"/>
      <c r="AE316" s="213"/>
      <c r="AF316" s="213"/>
      <c r="AG316" s="213"/>
      <c r="AH316" s="213"/>
      <c r="AI316" s="213"/>
      <c r="AJ316" s="213"/>
      <c r="AK316" s="213"/>
      <c r="AL316" s="213"/>
      <c r="AM316" s="213"/>
      <c r="AN316" s="213"/>
      <c r="AO316" s="213"/>
      <c r="AP316" s="213" t="str">
        <f>IFERROR(__xludf.DUMMYFUNCTION("""COMPUTED_VALUE"""),"NALDI")</f>
        <v>NALDI</v>
      </c>
      <c r="AQ316" s="213"/>
      <c r="AR316" s="213"/>
      <c r="AS316"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16" s="217" t="str">
        <f>IFERROR(__xludf.DUMMYFUNCTION("""COMPUTED_VALUE"""),"02 Memoria externa, para tarjeta SD 32 GB como mínimo.")</f>
        <v>02 Memoria externa, para tarjeta SD 32 GB como mínimo.</v>
      </c>
      <c r="AU316" s="213"/>
      <c r="AV316" s="213"/>
      <c r="AW316" s="213"/>
      <c r="AX316" s="213"/>
      <c r="AY316" s="213"/>
      <c r="AZ316" s="213"/>
      <c r="BA316" s="213"/>
      <c r="BB316" s="213"/>
      <c r="BC316" s="213"/>
      <c r="BD316" s="213"/>
    </row>
    <row r="317">
      <c r="A317" s="213">
        <f>IFERROR(__xludf.DUMMYFUNCTION("""COMPUTED_VALUE"""),1965.0)</f>
        <v>1965</v>
      </c>
      <c r="B317" s="213" t="str">
        <f>IFERROR(__xludf.DUMMYFUNCTION("""COMPUTED_VALUE"""),"JOSE GRANDA")</f>
        <v>JOSE GRANDA</v>
      </c>
      <c r="C317" s="213" t="str">
        <f>IFERROR(__xludf.DUMMYFUNCTION("""COMPUTED_VALUE"""),"TALLER SFT DE COMPUTACIÓN E INFORMÁTICA")</f>
        <v>TALLER SFT DE COMPUTACIÓN E INFORMÁTICA</v>
      </c>
      <c r="D317" s="213" t="str">
        <f>IFERROR(__xludf.DUMMYFUNCTION("""COMPUTED_VALUE"""),"TICS")</f>
        <v>TICS</v>
      </c>
      <c r="E317" s="213" t="str">
        <f>IFERROR(__xludf.DUMMYFUNCTION("""COMPUTED_VALUE"""),"TEC-103")</f>
        <v>TEC-103</v>
      </c>
      <c r="F317" s="213" t="str">
        <f>IFERROR(__xludf.DUMMYFUNCTION("""COMPUTED_VALUE"""),"TEC-103")</f>
        <v>TEC-103</v>
      </c>
      <c r="G317" s="213"/>
      <c r="H317" s="213" t="str">
        <f>IFERROR(__xludf.DUMMYFUNCTION("""COMPUTED_VALUE"""),"CÁMARA FOTOGRÁFICA")</f>
        <v>CÁMARA FOTOGRÁFICA</v>
      </c>
      <c r="I317"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7" s="213">
        <f>IFERROR(__xludf.DUMMYFUNCTION("""COMPUTED_VALUE"""),3.0)</f>
        <v>3</v>
      </c>
      <c r="K317" s="213" t="str">
        <f>IFERROR(__xludf.DUMMYFUNCTION("""COMPUTED_VALUE"""),"170 DÍAS CALENDARIO")</f>
        <v>170 DÍAS CALENDARIO</v>
      </c>
      <c r="L317"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7" s="213">
        <f>IFERROR(__xludf.DUMMYFUNCTION("""COMPUTED_VALUE"""),1.0)</f>
        <v>1</v>
      </c>
      <c r="N317" s="213">
        <f>IFERROR(__xludf.DUMMYFUNCTION("""COMPUTED_VALUE"""),4.0)</f>
        <v>4</v>
      </c>
      <c r="O317" s="213">
        <f>IFERROR(__xludf.DUMMYFUNCTION("""COMPUTED_VALUE"""),4.0)</f>
        <v>4</v>
      </c>
      <c r="P317" s="213"/>
      <c r="Q317" s="213"/>
      <c r="R317" s="213"/>
      <c r="S317" s="213"/>
      <c r="T317" s="213" t="str">
        <f>IFERROR(__xludf.DUMMYFUNCTION("""COMPUTED_VALUE"""),"SI")</f>
        <v>SI</v>
      </c>
      <c r="U317" s="213" t="str">
        <f>IFERROR(__xludf.DUMMYFUNCTION("""COMPUTED_VALUE"""),"NO")</f>
        <v>NO</v>
      </c>
      <c r="V317" s="213" t="str">
        <f>IFERROR(__xludf.DUMMYFUNCTION("""COMPUTED_VALUE"""),"SUSTENTO")</f>
        <v>SUSTENTO</v>
      </c>
      <c r="W317" s="213" t="str">
        <f>IFERROR(__xludf.DUMMYFUNCTION("""COMPUTED_VALUE"""),"EQU TEC")</f>
        <v>EQU TEC</v>
      </c>
      <c r="X317" s="213" t="str">
        <f>IFERROR(__xludf.DUMMYFUNCTION("""COMPUTED_VALUE"""),"CANON")</f>
        <v>CANON</v>
      </c>
      <c r="Y317" s="213" t="str">
        <f>IFERROR(__xludf.DUMMYFUNCTION("""COMPUTED_VALUE"""),"EOS R100")</f>
        <v>EOS R100</v>
      </c>
      <c r="Z317"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7" s="213" t="str">
        <f>IFERROR(__xludf.DUMMYFUNCTION("""COMPUTED_VALUE"""),"TEC-103 CÁMARA FOTOGRÁFICA - CET")</f>
        <v>TEC-103 CÁMARA FOTOGRÁFICA - CET</v>
      </c>
      <c r="AB317" s="213"/>
      <c r="AC317" s="213"/>
      <c r="AD317" s="213"/>
      <c r="AE317" s="213"/>
      <c r="AF317" s="213"/>
      <c r="AG317" s="213"/>
      <c r="AH317" s="213"/>
      <c r="AI317" s="213"/>
      <c r="AJ317" s="213"/>
      <c r="AK317" s="213"/>
      <c r="AL317" s="213"/>
      <c r="AM317" s="213"/>
      <c r="AN317" s="213"/>
      <c r="AO317" s="213"/>
      <c r="AP317" s="213" t="str">
        <f>IFERROR(__xludf.DUMMYFUNCTION("""COMPUTED_VALUE"""),"NALDI")</f>
        <v>NALDI</v>
      </c>
      <c r="AQ317" s="213"/>
      <c r="AR317" s="213"/>
      <c r="AS317" s="213" t="str">
        <f>IFERROR(__xludf.DUMMYFUNCTION("""COMPUTED_VALUE"""),"No existe camara con similares prestaciones con memoria interna de 32 mb. Se puede sustentar suministrando la camara con 2 memorias de 128GB, una para cumplir con la EETT y otra para compensar la ausencia de memoria interna.UNA OPCION A ESTA CAMARA ES LA "&amp;"CANON EOS REBEL T7 posiblemente mas barata")</f>
        <v>No existe camara con similares prestaciones con memoria interna de 32 mb. Se puede sustentar suministrando la camara con 2 memorias de 128GB, una para cumplir con la EETT y otra para compensar la ausencia de memoria interna.UNA OPCION A ESTA CAMARA ES LA CANON EOS REBEL T7 posiblemente mas barata</v>
      </c>
      <c r="AT317" s="217" t="str">
        <f>IFERROR(__xludf.DUMMYFUNCTION("""COMPUTED_VALUE"""),"02 Memoria externa, para tarjeta SD 32 GB como mínimo.")</f>
        <v>02 Memoria externa, para tarjeta SD 32 GB como mínimo.</v>
      </c>
      <c r="AU317" s="213"/>
      <c r="AV317" s="213"/>
      <c r="AW317" s="213"/>
      <c r="AX317" s="213"/>
      <c r="AY317" s="213"/>
      <c r="AZ317" s="213"/>
      <c r="BA317" s="213"/>
      <c r="BB317" s="213"/>
      <c r="BC317" s="213"/>
      <c r="BD317" s="213"/>
    </row>
    <row r="318">
      <c r="A318" s="213">
        <f>IFERROR(__xludf.DUMMYFUNCTION("""COMPUTED_VALUE"""),1988.0)</f>
        <v>1988</v>
      </c>
      <c r="B318" s="213" t="str">
        <f>IFERROR(__xludf.DUMMYFUNCTION("""COMPUTED_VALUE"""),"JOSE GRANDA")</f>
        <v>JOSE GRANDA</v>
      </c>
      <c r="C318" s="213" t="str">
        <f>IFERROR(__xludf.DUMMYFUNCTION("""COMPUTED_VALUE"""),"TALLER SFT DE COMPUTACIÓN E INFORMÁTICA")</f>
        <v>TALLER SFT DE COMPUTACIÓN E INFORMÁTICA</v>
      </c>
      <c r="D318" s="213" t="str">
        <f>IFERROR(__xludf.DUMMYFUNCTION("""COMPUTED_VALUE"""),"TICS")</f>
        <v>TICS</v>
      </c>
      <c r="E318" s="213" t="str">
        <f>IFERROR(__xludf.DUMMYFUNCTION("""COMPUTED_VALUE"""),"TEC-103")</f>
        <v>TEC-103</v>
      </c>
      <c r="F318" s="213" t="str">
        <f>IFERROR(__xludf.DUMMYFUNCTION("""COMPUTED_VALUE"""),"TEC-103")</f>
        <v>TEC-103</v>
      </c>
      <c r="G318" s="213"/>
      <c r="H318" s="213" t="str">
        <f>IFERROR(__xludf.DUMMYFUNCTION("""COMPUTED_VALUE"""),"CÁMARA FOTOGRÁFICA")</f>
        <v>CÁMARA FOTOGRÁFICA</v>
      </c>
      <c r="I318"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8" s="213">
        <f>IFERROR(__xludf.DUMMYFUNCTION("""COMPUTED_VALUE"""),3.0)</f>
        <v>3</v>
      </c>
      <c r="K318" s="213" t="str">
        <f>IFERROR(__xludf.DUMMYFUNCTION("""COMPUTED_VALUE"""),"170 DÍAS CALENDARIO")</f>
        <v>170 DÍAS CALENDARIO</v>
      </c>
      <c r="L318"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8" s="213">
        <f>IFERROR(__xludf.DUMMYFUNCTION("""COMPUTED_VALUE"""),1.0)</f>
        <v>1</v>
      </c>
      <c r="N318" s="213">
        <f>IFERROR(__xludf.DUMMYFUNCTION("""COMPUTED_VALUE"""),4.0)</f>
        <v>4</v>
      </c>
      <c r="O318" s="213">
        <f>IFERROR(__xludf.DUMMYFUNCTION("""COMPUTED_VALUE"""),4.0)</f>
        <v>4</v>
      </c>
      <c r="P318" s="213"/>
      <c r="Q318" s="213"/>
      <c r="R318" s="213"/>
      <c r="S318" s="213"/>
      <c r="T318" s="213" t="str">
        <f>IFERROR(__xludf.DUMMYFUNCTION("""COMPUTED_VALUE"""),"SI")</f>
        <v>SI</v>
      </c>
      <c r="U318" s="213" t="str">
        <f>IFERROR(__xludf.DUMMYFUNCTION("""COMPUTED_VALUE"""),"NO")</f>
        <v>NO</v>
      </c>
      <c r="V318" s="213" t="str">
        <f>IFERROR(__xludf.DUMMYFUNCTION("""COMPUTED_VALUE"""),"SUSTENTO")</f>
        <v>SUSTENTO</v>
      </c>
      <c r="W318" s="213" t="str">
        <f>IFERROR(__xludf.DUMMYFUNCTION("""COMPUTED_VALUE"""),"EQU TEC")</f>
        <v>EQU TEC</v>
      </c>
      <c r="X318" s="213" t="str">
        <f>IFERROR(__xludf.DUMMYFUNCTION("""COMPUTED_VALUE"""),"CANON")</f>
        <v>CANON</v>
      </c>
      <c r="Y318" s="213" t="str">
        <f>IFERROR(__xludf.DUMMYFUNCTION("""COMPUTED_VALUE"""),"EOS R100")</f>
        <v>EOS R100</v>
      </c>
      <c r="Z318"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8" s="213" t="str">
        <f>IFERROR(__xludf.DUMMYFUNCTION("""COMPUTED_VALUE"""),"TEC-103 CÁMARA FOTOGRÁFICA - CET")</f>
        <v>TEC-103 CÁMARA FOTOGRÁFICA - CET</v>
      </c>
      <c r="AB318" s="213"/>
      <c r="AC318" s="213"/>
      <c r="AD318" s="213"/>
      <c r="AE318" s="213"/>
      <c r="AF318" s="213"/>
      <c r="AG318" s="213"/>
      <c r="AH318" s="213"/>
      <c r="AI318" s="213"/>
      <c r="AJ318" s="213"/>
      <c r="AK318" s="213"/>
      <c r="AL318" s="213"/>
      <c r="AM318" s="213"/>
      <c r="AN318" s="213"/>
      <c r="AO318" s="213"/>
      <c r="AP318" s="213" t="str">
        <f>IFERROR(__xludf.DUMMYFUNCTION("""COMPUTED_VALUE"""),"NALDI")</f>
        <v>NALDI</v>
      </c>
      <c r="AQ318" s="213"/>
      <c r="AR318" s="213"/>
      <c r="AS318" s="213" t="str">
        <f>IFERROR(__xludf.DUMMYFUNCTION("""COMPUTED_VALUE"""),"No existe camara con similares prestaciones con memoria interna de 32 mb. Se puede sustentar suministrando la camara con 2 memorias de 128GB, una para cumplir con la EETT y otra para compensar la ausencia de memoria interna.UNA OPCION A ESTA CAMARA ES LA "&amp;"CANON EOS REBEL T7 posiblemente mas barata")</f>
        <v>No existe camara con similares prestaciones con memoria interna de 32 mb. Se puede sustentar suministrando la camara con 2 memorias de 128GB, una para cumplir con la EETT y otra para compensar la ausencia de memoria interna.UNA OPCION A ESTA CAMARA ES LA CANON EOS REBEL T7 posiblemente mas barata</v>
      </c>
      <c r="AT318" s="217" t="str">
        <f>IFERROR(__xludf.DUMMYFUNCTION("""COMPUTED_VALUE"""),"02 Memoria externa, para tarjeta SD 32 GB como mínimo.")</f>
        <v>02 Memoria externa, para tarjeta SD 32 GB como mínimo.</v>
      </c>
      <c r="AU318" s="213"/>
      <c r="AV318" s="213"/>
      <c r="AW318" s="213"/>
      <c r="AX318" s="213"/>
      <c r="AY318" s="213"/>
      <c r="AZ318" s="213"/>
      <c r="BA318" s="213"/>
      <c r="BB318" s="213"/>
      <c r="BC318" s="213"/>
      <c r="BD318" s="213"/>
    </row>
    <row r="319">
      <c r="A319" s="213">
        <f>IFERROR(__xludf.DUMMYFUNCTION("""COMPUTED_VALUE"""),2157.0)</f>
        <v>2157</v>
      </c>
      <c r="B319" s="213" t="str">
        <f>IFERROR(__xludf.DUMMYFUNCTION("""COMPUTED_VALUE"""),"JOSE GRANDA")</f>
        <v>JOSE GRANDA</v>
      </c>
      <c r="C319" s="213" t="str">
        <f>IFERROR(__xludf.DUMMYFUNCTION("""COMPUTED_VALUE"""),"TALLER SFT DE INDUSTRIA ALIMENTARIA")</f>
        <v>TALLER SFT DE INDUSTRIA ALIMENTARIA</v>
      </c>
      <c r="D319" s="213" t="str">
        <f>IFERROR(__xludf.DUMMYFUNCTION("""COMPUTED_VALUE"""),"TICS")</f>
        <v>TICS</v>
      </c>
      <c r="E319" s="213" t="str">
        <f>IFERROR(__xludf.DUMMYFUNCTION("""COMPUTED_VALUE"""),"TEC-103")</f>
        <v>TEC-103</v>
      </c>
      <c r="F319" s="213" t="str">
        <f>IFERROR(__xludf.DUMMYFUNCTION("""COMPUTED_VALUE"""),"TEC-103")</f>
        <v>TEC-103</v>
      </c>
      <c r="G319" s="213"/>
      <c r="H319" s="213" t="str">
        <f>IFERROR(__xludf.DUMMYFUNCTION("""COMPUTED_VALUE"""),"CÁMARA FOTOGRÁFICA")</f>
        <v>CÁMARA FOTOGRÁFICA</v>
      </c>
      <c r="I319"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19" s="213">
        <f>IFERROR(__xludf.DUMMYFUNCTION("""COMPUTED_VALUE"""),3.0)</f>
        <v>3</v>
      </c>
      <c r="K319" s="213" t="str">
        <f>IFERROR(__xludf.DUMMYFUNCTION("""COMPUTED_VALUE"""),"170 DÍAS CALENDARIO")</f>
        <v>170 DÍAS CALENDARIO</v>
      </c>
      <c r="L319"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19" s="213">
        <f>IFERROR(__xludf.DUMMYFUNCTION("""COMPUTED_VALUE"""),1.0)</f>
        <v>1</v>
      </c>
      <c r="N319" s="213">
        <f>IFERROR(__xludf.DUMMYFUNCTION("""COMPUTED_VALUE"""),4.0)</f>
        <v>4</v>
      </c>
      <c r="O319" s="213">
        <f>IFERROR(__xludf.DUMMYFUNCTION("""COMPUTED_VALUE"""),4.0)</f>
        <v>4</v>
      </c>
      <c r="P319" s="213"/>
      <c r="Q319" s="213"/>
      <c r="R319" s="213"/>
      <c r="S319" s="213"/>
      <c r="T319" s="213" t="str">
        <f>IFERROR(__xludf.DUMMYFUNCTION("""COMPUTED_VALUE"""),"SI")</f>
        <v>SI</v>
      </c>
      <c r="U319" s="213" t="str">
        <f>IFERROR(__xludf.DUMMYFUNCTION("""COMPUTED_VALUE"""),"NO")</f>
        <v>NO</v>
      </c>
      <c r="V319" s="213" t="str">
        <f>IFERROR(__xludf.DUMMYFUNCTION("""COMPUTED_VALUE"""),"SUSTENTO")</f>
        <v>SUSTENTO</v>
      </c>
      <c r="W319" s="213" t="str">
        <f>IFERROR(__xludf.DUMMYFUNCTION("""COMPUTED_VALUE"""),"EQU TEC")</f>
        <v>EQU TEC</v>
      </c>
      <c r="X319" s="213" t="str">
        <f>IFERROR(__xludf.DUMMYFUNCTION("""COMPUTED_VALUE"""),"CANON")</f>
        <v>CANON</v>
      </c>
      <c r="Y319" s="213" t="str">
        <f>IFERROR(__xludf.DUMMYFUNCTION("""COMPUTED_VALUE"""),"EOS R100")</f>
        <v>EOS R100</v>
      </c>
      <c r="Z319"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19" s="213" t="str">
        <f>IFERROR(__xludf.DUMMYFUNCTION("""COMPUTED_VALUE"""),"TEC-103 CÁMARA FOTOGRÁFICA - CET")</f>
        <v>TEC-103 CÁMARA FOTOGRÁFICA - CET</v>
      </c>
      <c r="AB319" s="213"/>
      <c r="AC319" s="213"/>
      <c r="AD319" s="213"/>
      <c r="AE319" s="213"/>
      <c r="AF319" s="213"/>
      <c r="AG319" s="213"/>
      <c r="AH319" s="213"/>
      <c r="AI319" s="213"/>
      <c r="AJ319" s="213"/>
      <c r="AK319" s="213"/>
      <c r="AL319" s="213"/>
      <c r="AM319" s="213"/>
      <c r="AN319" s="213"/>
      <c r="AO319" s="213"/>
      <c r="AP319" s="213" t="str">
        <f>IFERROR(__xludf.DUMMYFUNCTION("""COMPUTED_VALUE"""),"NALDI")</f>
        <v>NALDI</v>
      </c>
      <c r="AQ319" s="213"/>
      <c r="AR319" s="213"/>
      <c r="AS319"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19" s="217" t="str">
        <f>IFERROR(__xludf.DUMMYFUNCTION("""COMPUTED_VALUE"""),"02 Memoria externa, para tarjeta SD 32 GB como mínimo.")</f>
        <v>02 Memoria externa, para tarjeta SD 32 GB como mínimo.</v>
      </c>
      <c r="AU319" s="213"/>
      <c r="AV319" s="213"/>
      <c r="AW319" s="213"/>
      <c r="AX319" s="213"/>
      <c r="AY319" s="213"/>
      <c r="AZ319" s="213"/>
      <c r="BA319" s="213"/>
      <c r="BB319" s="213"/>
      <c r="BC319" s="213"/>
      <c r="BD319" s="213"/>
    </row>
    <row r="320">
      <c r="A320" s="213">
        <f>IFERROR(__xludf.DUMMYFUNCTION("""COMPUTED_VALUE"""),2298.0)</f>
        <v>2298</v>
      </c>
      <c r="B320" s="213" t="str">
        <f>IFERROR(__xludf.DUMMYFUNCTION("""COMPUTED_VALUE"""),"JOSE GRANDA")</f>
        <v>JOSE GRANDA</v>
      </c>
      <c r="C320" s="213" t="str">
        <f>IFERROR(__xludf.DUMMYFUNCTION("""COMPUTED_VALUE"""),"TALLER SFT DE MECÁNICA AUTOMOTRIZ")</f>
        <v>TALLER SFT DE MECÁNICA AUTOMOTRIZ</v>
      </c>
      <c r="D320" s="213" t="str">
        <f>IFERROR(__xludf.DUMMYFUNCTION("""COMPUTED_VALUE"""),"TICS")</f>
        <v>TICS</v>
      </c>
      <c r="E320" s="213" t="str">
        <f>IFERROR(__xludf.DUMMYFUNCTION("""COMPUTED_VALUE"""),"TEC-103")</f>
        <v>TEC-103</v>
      </c>
      <c r="F320" s="213" t="str">
        <f>IFERROR(__xludf.DUMMYFUNCTION("""COMPUTED_VALUE"""),"TEC-103")</f>
        <v>TEC-103</v>
      </c>
      <c r="G320" s="213"/>
      <c r="H320" s="213" t="str">
        <f>IFERROR(__xludf.DUMMYFUNCTION("""COMPUTED_VALUE"""),"CÁMARA FOTOGRÁFICA")</f>
        <v>CÁMARA FOTOGRÁFICA</v>
      </c>
      <c r="I320"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20" s="213">
        <f>IFERROR(__xludf.DUMMYFUNCTION("""COMPUTED_VALUE"""),3.0)</f>
        <v>3</v>
      </c>
      <c r="K320" s="213" t="str">
        <f>IFERROR(__xludf.DUMMYFUNCTION("""COMPUTED_VALUE"""),"170 DÍAS CALENDARIO")</f>
        <v>170 DÍAS CALENDARIO</v>
      </c>
      <c r="L320"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20" s="213">
        <f>IFERROR(__xludf.DUMMYFUNCTION("""COMPUTED_VALUE"""),1.0)</f>
        <v>1</v>
      </c>
      <c r="N320" s="213">
        <f>IFERROR(__xludf.DUMMYFUNCTION("""COMPUTED_VALUE"""),4.0)</f>
        <v>4</v>
      </c>
      <c r="O320" s="213">
        <f>IFERROR(__xludf.DUMMYFUNCTION("""COMPUTED_VALUE"""),4.0)</f>
        <v>4</v>
      </c>
      <c r="P320" s="213"/>
      <c r="Q320" s="213"/>
      <c r="R320" s="213"/>
      <c r="S320" s="213"/>
      <c r="T320" s="213" t="str">
        <f>IFERROR(__xludf.DUMMYFUNCTION("""COMPUTED_VALUE"""),"SI")</f>
        <v>SI</v>
      </c>
      <c r="U320" s="213" t="str">
        <f>IFERROR(__xludf.DUMMYFUNCTION("""COMPUTED_VALUE"""),"NO")</f>
        <v>NO</v>
      </c>
      <c r="V320" s="213" t="str">
        <f>IFERROR(__xludf.DUMMYFUNCTION("""COMPUTED_VALUE"""),"SUSTENTO")</f>
        <v>SUSTENTO</v>
      </c>
      <c r="W320" s="213" t="str">
        <f>IFERROR(__xludf.DUMMYFUNCTION("""COMPUTED_VALUE"""),"EQU TEC")</f>
        <v>EQU TEC</v>
      </c>
      <c r="X320" s="213" t="str">
        <f>IFERROR(__xludf.DUMMYFUNCTION("""COMPUTED_VALUE"""),"CANON")</f>
        <v>CANON</v>
      </c>
      <c r="Y320" s="213" t="str">
        <f>IFERROR(__xludf.DUMMYFUNCTION("""COMPUTED_VALUE"""),"EOS R100")</f>
        <v>EOS R100</v>
      </c>
      <c r="Z320"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20" s="213" t="str">
        <f>IFERROR(__xludf.DUMMYFUNCTION("""COMPUTED_VALUE"""),"TEC-103 CÁMARA FOTOGRÁFICA - CET")</f>
        <v>TEC-103 CÁMARA FOTOGRÁFICA - CET</v>
      </c>
      <c r="AB320" s="213"/>
      <c r="AC320" s="213"/>
      <c r="AD320" s="213"/>
      <c r="AE320" s="213"/>
      <c r="AF320" s="213"/>
      <c r="AG320" s="213"/>
      <c r="AH320" s="213"/>
      <c r="AI320" s="213"/>
      <c r="AJ320" s="213"/>
      <c r="AK320" s="213"/>
      <c r="AL320" s="213"/>
      <c r="AM320" s="213"/>
      <c r="AN320" s="213"/>
      <c r="AO320" s="213"/>
      <c r="AP320" s="213" t="str">
        <f>IFERROR(__xludf.DUMMYFUNCTION("""COMPUTED_VALUE"""),"NALDI")</f>
        <v>NALDI</v>
      </c>
      <c r="AQ320" s="213"/>
      <c r="AR320" s="213"/>
      <c r="AS320"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20" s="217" t="str">
        <f>IFERROR(__xludf.DUMMYFUNCTION("""COMPUTED_VALUE"""),"02 Memoria externa, para tarjeta SD 32 GB como mínimo.")</f>
        <v>02 Memoria externa, para tarjeta SD 32 GB como mínimo.</v>
      </c>
      <c r="AU320" s="213"/>
      <c r="AV320" s="213"/>
      <c r="AW320" s="213"/>
      <c r="AX320" s="213"/>
      <c r="AY320" s="213"/>
      <c r="AZ320" s="213"/>
      <c r="BA320" s="213"/>
      <c r="BB320" s="213"/>
      <c r="BC320" s="213"/>
      <c r="BD320" s="213"/>
    </row>
    <row r="321">
      <c r="A321" s="213">
        <f>IFERROR(__xludf.DUMMYFUNCTION("""COMPUTED_VALUE"""),2426.0)</f>
        <v>2426</v>
      </c>
      <c r="B321" s="213" t="str">
        <f>IFERROR(__xludf.DUMMYFUNCTION("""COMPUTED_VALUE"""),"MANUEL ANTONIO MESONES MURO")</f>
        <v>MANUEL ANTONIO MESONES MURO</v>
      </c>
      <c r="C321" s="213" t="str">
        <f>IFERROR(__xludf.DUMMYFUNCTION("""COMPUTED_VALUE"""),"TALLER SFT DE INDUSTRIA DEL VESTIDO")</f>
        <v>TALLER SFT DE INDUSTRIA DEL VESTIDO</v>
      </c>
      <c r="D321" s="213" t="str">
        <f>IFERROR(__xludf.DUMMYFUNCTION("""COMPUTED_VALUE"""),"TICS")</f>
        <v>TICS</v>
      </c>
      <c r="E321" s="213" t="str">
        <f>IFERROR(__xludf.DUMMYFUNCTION("""COMPUTED_VALUE"""),"TEC-103")</f>
        <v>TEC-103</v>
      </c>
      <c r="F321" s="213" t="str">
        <f>IFERROR(__xludf.DUMMYFUNCTION("""COMPUTED_VALUE"""),"TEC-103")</f>
        <v>TEC-103</v>
      </c>
      <c r="G321" s="213"/>
      <c r="H321" s="213" t="str">
        <f>IFERROR(__xludf.DUMMYFUNCTION("""COMPUTED_VALUE"""),"CÁMARA FOTOGRÁFICA")</f>
        <v>CÁMARA FOTOGRÁFICA</v>
      </c>
      <c r="I321"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21" s="213">
        <f>IFERROR(__xludf.DUMMYFUNCTION("""COMPUTED_VALUE"""),3.0)</f>
        <v>3</v>
      </c>
      <c r="K321" s="213" t="str">
        <f>IFERROR(__xludf.DUMMYFUNCTION("""COMPUTED_VALUE"""),"170 DÍAS CALENDARIO")</f>
        <v>170 DÍAS CALENDARIO</v>
      </c>
      <c r="L321"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21" s="213">
        <f>IFERROR(__xludf.DUMMYFUNCTION("""COMPUTED_VALUE"""),1.0)</f>
        <v>1</v>
      </c>
      <c r="N321" s="213">
        <f>IFERROR(__xludf.DUMMYFUNCTION("""COMPUTED_VALUE"""),4.0)</f>
        <v>4</v>
      </c>
      <c r="O321" s="213">
        <f>IFERROR(__xludf.DUMMYFUNCTION("""COMPUTED_VALUE"""),4.0)</f>
        <v>4</v>
      </c>
      <c r="P321" s="213"/>
      <c r="Q321" s="213"/>
      <c r="R321" s="213"/>
      <c r="S321" s="213"/>
      <c r="T321" s="213" t="str">
        <f>IFERROR(__xludf.DUMMYFUNCTION("""COMPUTED_VALUE"""),"SI")</f>
        <v>SI</v>
      </c>
      <c r="U321" s="213" t="str">
        <f>IFERROR(__xludf.DUMMYFUNCTION("""COMPUTED_VALUE"""),"NO")</f>
        <v>NO</v>
      </c>
      <c r="V321" s="213" t="str">
        <f>IFERROR(__xludf.DUMMYFUNCTION("""COMPUTED_VALUE"""),"SUSTENTO")</f>
        <v>SUSTENTO</v>
      </c>
      <c r="W321" s="213" t="str">
        <f>IFERROR(__xludf.DUMMYFUNCTION("""COMPUTED_VALUE"""),"EQU TEC")</f>
        <v>EQU TEC</v>
      </c>
      <c r="X321" s="213" t="str">
        <f>IFERROR(__xludf.DUMMYFUNCTION("""COMPUTED_VALUE"""),"CANON")</f>
        <v>CANON</v>
      </c>
      <c r="Y321" s="213" t="str">
        <f>IFERROR(__xludf.DUMMYFUNCTION("""COMPUTED_VALUE"""),"EOS R100")</f>
        <v>EOS R100</v>
      </c>
      <c r="Z321"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21" s="213" t="str">
        <f>IFERROR(__xludf.DUMMYFUNCTION("""COMPUTED_VALUE"""),"TEC-103 CÁMARA FOTOGRÁFICA - CET")</f>
        <v>TEC-103 CÁMARA FOTOGRÁFICA - CET</v>
      </c>
      <c r="AB321" s="213"/>
      <c r="AC321" s="213"/>
      <c r="AD321" s="213"/>
      <c r="AE321" s="213"/>
      <c r="AF321" s="213"/>
      <c r="AG321" s="213"/>
      <c r="AH321" s="213"/>
      <c r="AI321" s="213"/>
      <c r="AJ321" s="213"/>
      <c r="AK321" s="213"/>
      <c r="AL321" s="213"/>
      <c r="AM321" s="213"/>
      <c r="AN321" s="213"/>
      <c r="AO321" s="213"/>
      <c r="AP321" s="213" t="str">
        <f>IFERROR(__xludf.DUMMYFUNCTION("""COMPUTED_VALUE"""),"NALDI")</f>
        <v>NALDI</v>
      </c>
      <c r="AQ321" s="213"/>
      <c r="AR321" s="213"/>
      <c r="AS321"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21" s="217" t="str">
        <f>IFERROR(__xludf.DUMMYFUNCTION("""COMPUTED_VALUE"""),"02 Memoria externa, para tarjeta SD 32 GB como mínimo.")</f>
        <v>02 Memoria externa, para tarjeta SD 32 GB como mínimo.</v>
      </c>
      <c r="AU321" s="213"/>
      <c r="AV321" s="213"/>
      <c r="AW321" s="213"/>
      <c r="AX321" s="213"/>
      <c r="AY321" s="213"/>
      <c r="AZ321" s="213"/>
      <c r="BA321" s="213"/>
      <c r="BB321" s="213"/>
      <c r="BC321" s="213"/>
      <c r="BD321" s="213"/>
    </row>
    <row r="322">
      <c r="A322" s="213">
        <f>IFERROR(__xludf.DUMMYFUNCTION("""COMPUTED_VALUE"""),2525.0)</f>
        <v>2525</v>
      </c>
      <c r="B322" s="213" t="str">
        <f>IFERROR(__xludf.DUMMYFUNCTION("""COMPUTED_VALUE"""),"MANUEL ANTONIO MESONES MURO")</f>
        <v>MANUEL ANTONIO MESONES MURO</v>
      </c>
      <c r="C322" s="213" t="str">
        <f>IFERROR(__xludf.DUMMYFUNCTION("""COMPUTED_VALUE"""),"TALLER SFT DE CONSTRUCCIONES METÁLICAS")</f>
        <v>TALLER SFT DE CONSTRUCCIONES METÁLICAS</v>
      </c>
      <c r="D322" s="213" t="str">
        <f>IFERROR(__xludf.DUMMYFUNCTION("""COMPUTED_VALUE"""),"TICS")</f>
        <v>TICS</v>
      </c>
      <c r="E322" s="213" t="str">
        <f>IFERROR(__xludf.DUMMYFUNCTION("""COMPUTED_VALUE"""),"TEC-102")</f>
        <v>TEC-102</v>
      </c>
      <c r="F322" s="213" t="str">
        <f>IFERROR(__xludf.DUMMYFUNCTION("""COMPUTED_VALUE"""),"TEC-102-X")</f>
        <v>TEC-102-X</v>
      </c>
      <c r="G322" s="213"/>
      <c r="H322" s="213" t="str">
        <f>IFERROR(__xludf.DUMMYFUNCTION("""COMPUTED_VALUE"""),"CÁMARA DE VIDEO CON TRÍPODE")</f>
        <v>CÁMARA DE VIDEO CON TRÍPODE</v>
      </c>
      <c r="I322" s="213" t="str">
        <f>IFERROR(__xludf.DUMMYFUNCTION("""COMPUTED_VALUE"""),"·      Videocámara que graba videos en alta calidad con detalles en 4K ultra HD.		
·      Tipo de sensor con tecnología CMOS.		
·      Pantalla LCD de 3,0"", panorámica (16:9). Mínimo.		
·      Zoom óptico hasta 20X. mínimo		
·      Formato de imagen JPEG"&amp;".		
·      Resolución de 8 megapíxeles reales. Mínimo		
·      Con sistema de detección de rostro.		
·      Con temporizador de toma de hasta 10 segundos.		
·      Interfaces de conexión a la computadora (USB, entrada DC, entrada MIC), o en su defecto se	"&amp;"	
proporciona adicionalmente un conector  (cable) con las 3 posibles conexiones.		
.      Incluye memoria externa de 128 GB.		
·      Compatibilidad con Windows 10.		
·      Temperatura de trabajo de 0 a 40°.		
·      Incluye: un trípode con soporte, pleg"&amp;"able, altura regulable de mínimo 46 a 150 cm.		
·      Incluye: un trípode con soporte de aluminio o material superior, con cabezal de 3 vías (giro horizontal,		
vertical y lateral) como mínimo, con columna central sujetadas por barras a las 3 patas con t"&amp;"erminales		
antideslizantes. Altura regulable de mínimo 46 a 159 cm.		")</f>
        <v>·      Videocámara que graba videos en alta calidad con detalles en 4K ultra HD.		
·      Tipo de sensor con tecnología CMOS.		
·      Pantalla LCD de 3,0", panorámica (16:9). Mínimo.		
·      Zoom óptico hasta 20X. mínimo		
·      Formato de imagen JPEG.		
·      Resolución de 8 megapíxeles reales. Mínimo		
·      Con sistema de detección de rostro.		
·      Con temporizador de toma de hasta 10 segundos.		
·      Interfaces de conexión a la computadora (USB, entrada DC, entrada MIC), o en su defecto se		
proporciona adicionalmente un conector  (cable) con las 3 posibles conexiones.		
.      Incluye memoria externa de 128 GB.		
·      Compatibilidad con Windows 10.		
·      Temperatura de trabajo de 0 a 40°.		
·      Incluye: un trípode con soporte, plegable, altura regulable de mínimo 46 a 150 cm.		
·      Incluye: un trípode con soporte de aluminio o material superior, con cabezal de 3 vías (giro horizontal,		
vertical y lateral) como mínimo, con columna central sujetadas por barras a las 3 patas con terminales		
antideslizantes. Altura regulable de mínimo 46 a 159 cm.		</v>
      </c>
      <c r="J322" s="213">
        <f>IFERROR(__xludf.DUMMYFUNCTION("""COMPUTED_VALUE"""),3.0)</f>
        <v>3</v>
      </c>
      <c r="K322" s="213" t="str">
        <f>IFERROR(__xludf.DUMMYFUNCTION("""COMPUTED_VALUE"""),"170 DÍAS CALENDARIO")</f>
        <v>170 DÍAS CALENDARIO</v>
      </c>
      <c r="L322" s="213" t="str">
        <f>IFERROR(__xludf.DUMMYFUNCTION("""COMPUTED_VALUE"""),"COCINA Y REPOSTERÍA, COMPUTACIÓN E INFORMÁTICA, CONSTRUCCIONES METÁLICAS, EBANISTERÍA, ELECTRÓNICA, INDUSTRIA DEL VESTIDO, MECÁNICA AUTOMOTRÍZ")</f>
        <v>COCINA Y REPOSTERÍA, COMPUTACIÓN E INFORMÁTICA, CONSTRUCCIONES METÁLICAS, EBANISTERÍA, ELECTRÓNICA, INDUSTRIA DEL VESTIDO, MECÁNICA AUTOMOTRÍZ</v>
      </c>
      <c r="M322" s="213">
        <f>IFERROR(__xludf.DUMMYFUNCTION("""COMPUTED_VALUE"""),1.0)</f>
        <v>1</v>
      </c>
      <c r="N322" s="213">
        <f>IFERROR(__xludf.DUMMYFUNCTION("""COMPUTED_VALUE"""),5.0)</f>
        <v>5</v>
      </c>
      <c r="O322" s="213">
        <f>IFERROR(__xludf.DUMMYFUNCTION("""COMPUTED_VALUE"""),5.0)</f>
        <v>5</v>
      </c>
      <c r="P322" s="213"/>
      <c r="Q322" s="213"/>
      <c r="R322" s="213"/>
      <c r="S322" s="213"/>
      <c r="T322" s="213" t="str">
        <f>IFERROR(__xludf.DUMMYFUNCTION("""COMPUTED_VALUE"""),"SI")</f>
        <v>SI</v>
      </c>
      <c r="U322" s="213" t="str">
        <f>IFERROR(__xludf.DUMMYFUNCTION("""COMPUTED_VALUE"""),"SI")</f>
        <v>SI</v>
      </c>
      <c r="V322" s="213" t="str">
        <f>IFERROR(__xludf.DUMMYFUNCTION("""COMPUTED_VALUE"""),"-")</f>
        <v>-</v>
      </c>
      <c r="W322" s="213" t="str">
        <f>IFERROR(__xludf.DUMMYFUNCTION("""COMPUTED_VALUE"""),"-")</f>
        <v>-</v>
      </c>
      <c r="X322" s="213" t="str">
        <f>IFERROR(__xludf.DUMMYFUNCTION("""COMPUTED_VALUE"""),"PANASONIC")</f>
        <v>PANASONIC</v>
      </c>
      <c r="Y322" s="213" t="str">
        <f>IFERROR(__xludf.DUMMYFUNCTION("""COMPUTED_VALUE"""),"HC-VX3E-K")</f>
        <v>HC-VX3E-K</v>
      </c>
      <c r="Z322" s="215" t="str">
        <f>IFERROR(__xludf.DUMMYFUNCTION("""COMPUTED_VALUE"""),"https://store.eu.panasonic.com/es-es/hc-vx3e-k-videocamara-4k")</f>
        <v>https://store.eu.panasonic.com/es-es/hc-vx3e-k-videocamara-4k</v>
      </c>
      <c r="AA322" s="213" t="str">
        <f>IFERROR(__xludf.DUMMYFUNCTION("""COMPUTED_VALUE"""),"TEC-102-A CÁMARA DE VIDEO CON TRÍPODE - CET")</f>
        <v>TEC-102-A CÁMARA DE VIDEO CON TRÍPODE - CET</v>
      </c>
      <c r="AB322" s="213"/>
      <c r="AC322" s="213"/>
      <c r="AD322" s="213"/>
      <c r="AE322" s="213"/>
      <c r="AF322" s="213"/>
      <c r="AG322" s="213"/>
      <c r="AH322" s="213"/>
      <c r="AI322" s="213"/>
      <c r="AJ322" s="213"/>
      <c r="AK322" s="213"/>
      <c r="AL322" s="213"/>
      <c r="AM322" s="213"/>
      <c r="AN322" s="213"/>
      <c r="AO322" s="213"/>
      <c r="AP322" s="213" t="str">
        <f>IFERROR(__xludf.DUMMYFUNCTION("""COMPUTED_VALUE"""),"NALDI")</f>
        <v>NALDI</v>
      </c>
      <c r="AQ322" s="213"/>
      <c r="AR322" s="213"/>
      <c r="AS322" s="213"/>
      <c r="AT322" s="213"/>
      <c r="AU322" s="213"/>
      <c r="AV322" s="213"/>
      <c r="AW322" s="213"/>
      <c r="AX322" s="213"/>
      <c r="AY322" s="213"/>
      <c r="AZ322" s="213"/>
      <c r="BA322" s="213"/>
      <c r="BB322" s="213"/>
      <c r="BC322" s="213"/>
      <c r="BD322" s="213"/>
    </row>
    <row r="323">
      <c r="A323" s="213">
        <f>IFERROR(__xludf.DUMMYFUNCTION("""COMPUTED_VALUE"""),2651.0)</f>
        <v>2651</v>
      </c>
      <c r="B323" s="213" t="str">
        <f>IFERROR(__xludf.DUMMYFUNCTION("""COMPUTED_VALUE"""),"MANUEL ANTONIO MESONES MURO")</f>
        <v>MANUEL ANTONIO MESONES MURO</v>
      </c>
      <c r="C323" s="213" t="str">
        <f>IFERROR(__xludf.DUMMYFUNCTION("""COMPUTED_VALUE"""),"TALLER SFT DE EBANISTERÍA")</f>
        <v>TALLER SFT DE EBANISTERÍA</v>
      </c>
      <c r="D323" s="213" t="str">
        <f>IFERROR(__xludf.DUMMYFUNCTION("""COMPUTED_VALUE"""),"TICS")</f>
        <v>TICS</v>
      </c>
      <c r="E323" s="213" t="str">
        <f>IFERROR(__xludf.DUMMYFUNCTION("""COMPUTED_VALUE"""),"TEC-103")</f>
        <v>TEC-103</v>
      </c>
      <c r="F323" s="213" t="str">
        <f>IFERROR(__xludf.DUMMYFUNCTION("""COMPUTED_VALUE"""),"TEC-103")</f>
        <v>TEC-103</v>
      </c>
      <c r="G323" s="213"/>
      <c r="H323" s="213" t="str">
        <f>IFERROR(__xludf.DUMMYFUNCTION("""COMPUTED_VALUE"""),"CÁMARA FOTOGRÁFICA")</f>
        <v>CÁMARA FOTOGRÁFICA</v>
      </c>
      <c r="I323"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23" s="213">
        <f>IFERROR(__xludf.DUMMYFUNCTION("""COMPUTED_VALUE"""),3.0)</f>
        <v>3</v>
      </c>
      <c r="K323" s="213" t="str">
        <f>IFERROR(__xludf.DUMMYFUNCTION("""COMPUTED_VALUE"""),"170 DÍAS CALENDARIO")</f>
        <v>170 DÍAS CALENDARIO</v>
      </c>
      <c r="L323"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23" s="213">
        <f>IFERROR(__xludf.DUMMYFUNCTION("""COMPUTED_VALUE"""),1.0)</f>
        <v>1</v>
      </c>
      <c r="N323" s="213">
        <f>IFERROR(__xludf.DUMMYFUNCTION("""COMPUTED_VALUE"""),4.0)</f>
        <v>4</v>
      </c>
      <c r="O323" s="213">
        <f>IFERROR(__xludf.DUMMYFUNCTION("""COMPUTED_VALUE"""),4.0)</f>
        <v>4</v>
      </c>
      <c r="P323" s="213"/>
      <c r="Q323" s="213"/>
      <c r="R323" s="213"/>
      <c r="S323" s="213"/>
      <c r="T323" s="213" t="str">
        <f>IFERROR(__xludf.DUMMYFUNCTION("""COMPUTED_VALUE"""),"SI")</f>
        <v>SI</v>
      </c>
      <c r="U323" s="213" t="str">
        <f>IFERROR(__xludf.DUMMYFUNCTION("""COMPUTED_VALUE"""),"NO")</f>
        <v>NO</v>
      </c>
      <c r="V323" s="213" t="str">
        <f>IFERROR(__xludf.DUMMYFUNCTION("""COMPUTED_VALUE"""),"SUSTENTO")</f>
        <v>SUSTENTO</v>
      </c>
      <c r="W323" s="213" t="str">
        <f>IFERROR(__xludf.DUMMYFUNCTION("""COMPUTED_VALUE"""),"EQU TEC")</f>
        <v>EQU TEC</v>
      </c>
      <c r="X323" s="213" t="str">
        <f>IFERROR(__xludf.DUMMYFUNCTION("""COMPUTED_VALUE"""),"CANON")</f>
        <v>CANON</v>
      </c>
      <c r="Y323" s="213" t="str">
        <f>IFERROR(__xludf.DUMMYFUNCTION("""COMPUTED_VALUE"""),"EOS R100")</f>
        <v>EOS R100</v>
      </c>
      <c r="Z323"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23" s="213" t="str">
        <f>IFERROR(__xludf.DUMMYFUNCTION("""COMPUTED_VALUE"""),"TEC-103 CÁMARA FOTOGRÁFICA - CET")</f>
        <v>TEC-103 CÁMARA FOTOGRÁFICA - CET</v>
      </c>
      <c r="AB323" s="213"/>
      <c r="AC323" s="213"/>
      <c r="AD323" s="213"/>
      <c r="AE323" s="213"/>
      <c r="AF323" s="213"/>
      <c r="AG323" s="213"/>
      <c r="AH323" s="213"/>
      <c r="AI323" s="213"/>
      <c r="AJ323" s="213"/>
      <c r="AK323" s="213"/>
      <c r="AL323" s="213"/>
      <c r="AM323" s="213"/>
      <c r="AN323" s="213"/>
      <c r="AO323" s="213"/>
      <c r="AP323" s="213" t="str">
        <f>IFERROR(__xludf.DUMMYFUNCTION("""COMPUTED_VALUE"""),"NALDI")</f>
        <v>NALDI</v>
      </c>
      <c r="AQ323" s="213"/>
      <c r="AR323" s="213"/>
      <c r="AS323"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23" s="217" t="str">
        <f>IFERROR(__xludf.DUMMYFUNCTION("""COMPUTED_VALUE"""),"02 Memoria externa, para tarjeta SD 32 GB como mínimo.")</f>
        <v>02 Memoria externa, para tarjeta SD 32 GB como mínimo.</v>
      </c>
      <c r="AU323" s="213"/>
      <c r="AV323" s="213"/>
      <c r="AW323" s="213"/>
      <c r="AX323" s="213"/>
      <c r="AY323" s="213"/>
      <c r="AZ323" s="213"/>
      <c r="BA323" s="213"/>
      <c r="BB323" s="213"/>
      <c r="BC323" s="213"/>
      <c r="BD323" s="213"/>
    </row>
    <row r="324">
      <c r="A324" s="213">
        <f>IFERROR(__xludf.DUMMYFUNCTION("""COMPUTED_VALUE"""),87.0)</f>
        <v>87</v>
      </c>
      <c r="B324" s="213" t="str">
        <f>IFERROR(__xludf.DUMMYFUNCTION("""COMPUTED_VALUE"""),"16449 ELOY SOBERON  FLORES")</f>
        <v>16449 ELOY SOBERON  FLORES</v>
      </c>
      <c r="C324" s="213" t="str">
        <f>IFERROR(__xludf.DUMMYFUNCTION("""COMPUTED_VALUE"""),"TALLER SFT DE COCINA Y REPOSTERÍA")</f>
        <v>TALLER SFT DE COCINA Y REPOSTERÍA</v>
      </c>
      <c r="D324" s="213" t="str">
        <f>IFERROR(__xludf.DUMMYFUNCTION("""COMPUTED_VALUE"""),"EQUIPOS")</f>
        <v>EQUIPOS</v>
      </c>
      <c r="E324" s="213" t="str">
        <f>IFERROR(__xludf.DUMMYFUNCTION("""COMPUTED_VALUE"""),"ESP-118")</f>
        <v>ESP-118</v>
      </c>
      <c r="F324" s="213" t="str">
        <f>IFERROR(__xludf.DUMMYFUNCTION("""COMPUTED_VALUE"""),"ESP-118")</f>
        <v>ESP-118</v>
      </c>
      <c r="G324" s="213"/>
      <c r="H324" s="213" t="str">
        <f>IFERROR(__xludf.DUMMYFUNCTION("""COMPUTED_VALUE"""),"CAMPANA EXTRACTORA ISLA CON EQUIPOS DE EXTRACCIÓN")</f>
        <v>CAMPANA EXTRACTORA ISLA CON EQUIPOS DE EXTRACCIÓN</v>
      </c>
      <c r="I324" s="213" t="str">
        <f>IFERROR(__xludf.DUMMYFUNCTION("""COMPUTED_VALUE"""),"· Capacidad de extracción: proporciona hasta 1000 m3/h.
· Especialmente silencioso:
· Alta performance con sólo 60 dB.
· Iluminación. LED
· Resetea automáticamente la campana a la velocidad normal después de 5 min.
· Motor de doble turbina de alto rendimi"&amp;"ento.
· Teclas de corto recorrido. 3 niveles + 2 intensivos.
· Encendido y apagado gradual de la luz.
· Filtros metálicos lavables en lavavajillas.
. Alimentación Eléctrica: 220V / 60 HZ.")</f>
        <v>· Capacidad de extracción: proporciona hasta 1000 m3/h.
· Especialmente silencioso:
· Alta performance con sólo 60 dB.
· Iluminación. LED
· Resetea automáticamente la campana a la velocidad normal después de 5 min.
· Motor de doble turbina de alto rendimiento.
· Teclas de corto recorrido. 3 niveles + 2 intensivos.
· Encendido y apagado gradual de la luz.
· Filtros metálicos lavables en lavavajillas.
. Alimentación Eléctrica: 220V / 60 HZ.</v>
      </c>
      <c r="J324" s="213">
        <f>IFERROR(__xludf.DUMMYFUNCTION("""COMPUTED_VALUE"""),3.0)</f>
        <v>3</v>
      </c>
      <c r="K324" s="213" t="str">
        <f>IFERROR(__xludf.DUMMYFUNCTION("""COMPUTED_VALUE"""),"170 DÍAS CALENDARIO")</f>
        <v>170 DÍAS CALENDARIO</v>
      </c>
      <c r="L324" s="213" t="str">
        <f>IFERROR(__xludf.DUMMYFUNCTION("""COMPUTED_VALUE"""),"")</f>
        <v/>
      </c>
      <c r="M324" s="213">
        <f>IFERROR(__xludf.DUMMYFUNCTION("""COMPUTED_VALUE"""),1.0)</f>
        <v>1</v>
      </c>
      <c r="N324" s="213">
        <f>IFERROR(__xludf.DUMMYFUNCTION("""COMPUTED_VALUE"""),1.0)</f>
        <v>1</v>
      </c>
      <c r="O324" s="213">
        <f>IFERROR(__xludf.DUMMYFUNCTION("""COMPUTED_VALUE"""),1.0)</f>
        <v>1</v>
      </c>
      <c r="P324" s="213"/>
      <c r="Q324" s="213"/>
      <c r="R324" s="213"/>
      <c r="S324" s="213" t="str">
        <f>IFERROR(__xludf.DUMMYFUNCTION("""COMPUTED_VALUE"""),"SI")</f>
        <v>SI</v>
      </c>
      <c r="T324" s="213" t="str">
        <f>IFERROR(__xludf.DUMMYFUNCTION("""COMPUTED_VALUE"""),"SI")</f>
        <v>SI</v>
      </c>
      <c r="U324" s="213" t="str">
        <f>IFERROR(__xludf.DUMMYFUNCTION("""COMPUTED_VALUE"""),"NO")</f>
        <v>NO</v>
      </c>
      <c r="V324" s="213" t="str">
        <f>IFERROR(__xludf.DUMMYFUNCTION("""COMPUTED_VALUE"""),"SUSTENTO")</f>
        <v>SUSTENTO</v>
      </c>
      <c r="W324" s="213" t="str">
        <f>IFERROR(__xludf.DUMMYFUNCTION("""COMPUTED_VALUE"""),"EQU TEC")</f>
        <v>EQU TEC</v>
      </c>
      <c r="X324" s="213" t="str">
        <f>IFERROR(__xludf.DUMMYFUNCTION("""COMPUTED_VALUE"""),"BOSCH")</f>
        <v>BOSCH</v>
      </c>
      <c r="Y324" s="213" t="str">
        <f>IFERROR(__xludf.DUMMYFUNCTION("""COMPUTED_VALUE"""),"DIB091E50")</f>
        <v>DIB091E50</v>
      </c>
      <c r="Z324" s="215" t="str">
        <f>IFERROR(__xludf.DUMMYFUNCTION("""COMPUTED_VALUE"""),"https://www.bosch-home.pe/electrodomesticos/DIB091E50#/Tabs=section-technicalspecs/Togglebox=manuals/")</f>
        <v>https://www.bosch-home.pe/electrodomesticos/DIB091E50#/Tabs=section-technicalspecs/Togglebox=manuals/</v>
      </c>
      <c r="AA324" s="213" t="str">
        <f>IFERROR(__xludf.DUMMYFUNCTION("""COMPUTED_VALUE"""),"ESP-118 CAMPANA EXTRACTORA ISLA CON EQUIPOS DE EXTRACCIÓN - CET")</f>
        <v>ESP-118 CAMPANA EXTRACTORA ISLA CON EQUIPOS DE EXTRACCIÓN - CET</v>
      </c>
      <c r="AB324" s="215" t="str">
        <f>IFERROR(__xludf.DUMMYFUNCTION("""COMPUTED_VALUE"""),"https://media3.bosch-home.com/Documents/specsheet/es-PE/DIB091E50.pdf")</f>
        <v>https://media3.bosch-home.com/Documents/specsheet/es-PE/DIB091E50.pdf</v>
      </c>
      <c r="AC324" s="213"/>
      <c r="AD324" s="213"/>
      <c r="AE324" s="213"/>
      <c r="AF324" s="213"/>
      <c r="AG324" s="213"/>
      <c r="AH324" s="213" t="str">
        <f>IFERROR(__xludf.DUMMYFUNCTION("""COMPUTED_VALUE"""),"NACIONAL")</f>
        <v>NACIONAL</v>
      </c>
      <c r="AI324" s="213"/>
      <c r="AJ324" s="213"/>
      <c r="AK324" s="213"/>
      <c r="AL324" s="213"/>
      <c r="AM324" s="213"/>
      <c r="AN324" s="213"/>
      <c r="AO324" s="213"/>
      <c r="AP324" s="213" t="str">
        <f>IFERROR(__xludf.DUMMYFUNCTION("""COMPUTED_VALUE"""),"JASON")</f>
        <v>JASON</v>
      </c>
      <c r="AQ324" s="213"/>
      <c r="AR324" s="213"/>
      <c r="AS324" s="213" t="str">
        <f>IFERROR(__xludf.DUMMYFUNCTION("""COMPUTED_VALUE"""),"CONDUCTO CILÍNDRICO DE DIÁMETRO 150 MM
CONDUCTO PLANO Ø 150 mm aprox. 177 cm2")</f>
        <v>CONDUCTO CILÍNDRICO DE DIÁMETRO 150 MM
CONDUCTO PLANO Ø 150 mm aprox. 177 cm2</v>
      </c>
      <c r="AT324" s="213"/>
      <c r="AU324" s="213"/>
      <c r="AV324" s="213"/>
      <c r="AW324" s="213"/>
      <c r="AX324" s="213"/>
      <c r="AY324" s="213"/>
      <c r="AZ324" s="213"/>
      <c r="BA324" s="213"/>
      <c r="BB324" s="213"/>
      <c r="BC324" s="213"/>
      <c r="BD324" s="213"/>
    </row>
    <row r="325">
      <c r="A325" s="213">
        <f>IFERROR(__xludf.DUMMYFUNCTION("""COMPUTED_VALUE"""),697.0)</f>
        <v>697</v>
      </c>
      <c r="B325" s="213" t="str">
        <f>IFERROR(__xludf.DUMMYFUNCTION("""COMPUTED_VALUE"""),"6049 RICARDO PALMA")</f>
        <v>6049 RICARDO PALMA</v>
      </c>
      <c r="C325" s="213" t="str">
        <f>IFERROR(__xludf.DUMMYFUNCTION("""COMPUTED_VALUE"""),"TALLER SFT DE ELECTRÓNICA")</f>
        <v>TALLER SFT DE ELECTRÓNICA</v>
      </c>
      <c r="D325" s="213" t="str">
        <f>IFERROR(__xludf.DUMMYFUNCTION("""COMPUTED_VALUE"""),"EQUIPOS")</f>
        <v>EQUIPOS</v>
      </c>
      <c r="E325" s="213" t="str">
        <f>IFERROR(__xludf.DUMMYFUNCTION("""COMPUTED_VALUE"""),"ESP-119")</f>
        <v>ESP-119</v>
      </c>
      <c r="F325" s="213" t="str">
        <f>IFERROR(__xludf.DUMMYFUNCTION("""COMPUTED_VALUE"""),"ESP-119")</f>
        <v>ESP-119</v>
      </c>
      <c r="G325" s="213"/>
      <c r="H325" s="213" t="str">
        <f>IFERROR(__xludf.DUMMYFUNCTION("""COMPUTED_VALUE"""),"CAPACÍMETRO DIGITAL")</f>
        <v>CAPACÍMETRO DIGITAL</v>
      </c>
      <c r="I325" s="213"/>
      <c r="J325" s="213">
        <f>IFERROR(__xludf.DUMMYFUNCTION("""COMPUTED_VALUE"""),3.0)</f>
        <v>3</v>
      </c>
      <c r="K325" s="213" t="str">
        <f>IFERROR(__xludf.DUMMYFUNCTION("""COMPUTED_VALUE"""),"170 DÍAS CALENDARIO")</f>
        <v>170 DÍAS CALENDARIO</v>
      </c>
      <c r="L325" s="213" t="str">
        <f>IFERROR(__xludf.DUMMYFUNCTION("""COMPUTED_VALUE"""),"")</f>
        <v/>
      </c>
      <c r="M325" s="213">
        <f>IFERROR(__xludf.DUMMYFUNCTION("""COMPUTED_VALUE"""),1.0)</f>
        <v>1</v>
      </c>
      <c r="N325" s="213">
        <f>IFERROR(__xludf.DUMMYFUNCTION("""COMPUTED_VALUE"""),4.0)</f>
        <v>4</v>
      </c>
      <c r="O325" s="213">
        <f>IFERROR(__xludf.DUMMYFUNCTION("""COMPUTED_VALUE"""),4.0)</f>
        <v>4</v>
      </c>
      <c r="P325" s="213"/>
      <c r="Q325" s="213"/>
      <c r="R325" s="213"/>
      <c r="S325" s="213" t="str">
        <f>IFERROR(__xludf.DUMMYFUNCTION("""COMPUTED_VALUE"""),"SI")</f>
        <v>SI</v>
      </c>
      <c r="T325" s="213" t="str">
        <f>IFERROR(__xludf.DUMMYFUNCTION("""COMPUTED_VALUE"""),"SI")</f>
        <v>SI</v>
      </c>
      <c r="U325" s="213" t="str">
        <f>IFERROR(__xludf.DUMMYFUNCTION("""COMPUTED_VALUE"""),"SI")</f>
        <v>SI</v>
      </c>
      <c r="V325" s="213" t="str">
        <f>IFERROR(__xludf.DUMMYFUNCTION("""COMPUTED_VALUE"""),"-")</f>
        <v>-</v>
      </c>
      <c r="W325" s="213" t="str">
        <f>IFERROR(__xludf.DUMMYFUNCTION("""COMPUTED_VALUE"""),"-")</f>
        <v>-</v>
      </c>
      <c r="X325" s="213" t="str">
        <f>IFERROR(__xludf.DUMMYFUNCTION("""COMPUTED_VALUE"""),"B&amp;K Precision")</f>
        <v>B&amp;K Precision</v>
      </c>
      <c r="Y325" s="213" t="str">
        <f>IFERROR(__xludf.DUMMYFUNCTION("""COMPUTED_VALUE"""),"879B")</f>
        <v>879B</v>
      </c>
      <c r="Z325" s="215" t="str">
        <f>IFERROR(__xludf.DUMMYFUNCTION("""COMPUTED_VALUE"""),"https://www.bkprecision.com/products/component-testers/879B")</f>
        <v>https://www.bkprecision.com/products/component-testers/879B</v>
      </c>
      <c r="AA325" s="213" t="str">
        <f>IFERROR(__xludf.DUMMYFUNCTION("""COMPUTED_VALUE"""),"ESP-119 CAPACÍMETRO DIGITAL - CET")</f>
        <v>ESP-119 CAPACÍMETRO DIGITAL - CET</v>
      </c>
      <c r="AB325" s="215" t="str">
        <f>IFERROR(__xludf.DUMMYFUNCTION("""COMPUTED_VALUE"""),"https://drive.google.com/file/d/15J6A1GGhGUh7Q7z0bgicWF5GpW84OorX/view")</f>
        <v>https://drive.google.com/file/d/15J6A1GGhGUh7Q7z0bgicWF5GpW84OorX/view</v>
      </c>
      <c r="AC325" s="213"/>
      <c r="AD325" s="213"/>
      <c r="AE325" s="213"/>
      <c r="AF325" s="213"/>
      <c r="AG325" s="213"/>
      <c r="AH325" s="213"/>
      <c r="AI325" s="213"/>
      <c r="AJ325" s="213"/>
      <c r="AK325" s="213"/>
      <c r="AL325" s="213"/>
      <c r="AM325" s="213"/>
      <c r="AN325" s="213"/>
      <c r="AO325" s="213"/>
      <c r="AP325" s="213" t="str">
        <f>IFERROR(__xludf.DUMMYFUNCTION("""COMPUTED_VALUE"""),"BRUNO")</f>
        <v>BRUNO</v>
      </c>
      <c r="AQ325" s="213"/>
      <c r="AR325" s="213"/>
      <c r="AS325" s="213"/>
      <c r="AT325" s="213"/>
      <c r="AU325" s="213"/>
      <c r="AV325" s="213"/>
      <c r="AW325" s="213"/>
      <c r="AX325" s="213"/>
      <c r="AY325" s="213"/>
      <c r="AZ325" s="213"/>
      <c r="BA325" s="213"/>
      <c r="BB325" s="213"/>
      <c r="BC325" s="213"/>
      <c r="BD325" s="213"/>
    </row>
    <row r="326">
      <c r="A326" s="213">
        <f>IFERROR(__xludf.DUMMYFUNCTION("""COMPUTED_VALUE"""),2573.0)</f>
        <v>2573</v>
      </c>
      <c r="B326" s="213" t="str">
        <f>IFERROR(__xludf.DUMMYFUNCTION("""COMPUTED_VALUE"""),"MANUEL ANTONIO MESONES MURO")</f>
        <v>MANUEL ANTONIO MESONES MURO</v>
      </c>
      <c r="C326" s="213" t="str">
        <f>IFERROR(__xludf.DUMMYFUNCTION("""COMPUTED_VALUE"""),"TALLER SFT DE EBANISTERÍA")</f>
        <v>TALLER SFT DE EBANISTERÍA</v>
      </c>
      <c r="D326" s="213" t="str">
        <f>IFERROR(__xludf.DUMMYFUNCTION("""COMPUTED_VALUE"""),"HERRAMIENTAS")</f>
        <v>HERRAMIENTAS</v>
      </c>
      <c r="E326" s="213" t="str">
        <f>IFERROR(__xludf.DUMMYFUNCTION("""COMPUTED_VALUE"""),"COM-173")</f>
        <v>COM-173</v>
      </c>
      <c r="F326" s="213" t="str">
        <f>IFERROR(__xludf.DUMMYFUNCTION("""COMPUTED_VALUE"""),"COM-173")</f>
        <v>COM-173</v>
      </c>
      <c r="G326" s="213"/>
      <c r="H326" s="213" t="str">
        <f>IFERROR(__xludf.DUMMYFUNCTION("""COMPUTED_VALUE"""),"GRAMIL DIGITAL")</f>
        <v>GRAMIL DIGITAL</v>
      </c>
      <c r="I326" s="213" t="str">
        <f>IFERROR(__xludf.DUMMYFUNCTION("""COMPUTED_VALUE"""),"Calibrador de trazado digital. Rango de medición: mínimo 6"". Precisión: 0.001"".
Visualización digital en pantalla de medidas en pulgadas y métricas. Marcador de aleación endurecida
Resistencia: mínima IP54 (a la humedad y polvo).")</f>
        <v>Calibrador de trazado digital. Rango de medición: mínimo 6". Precisión: 0.001".
Visualización digital en pantalla de medidas en pulgadas y métricas. Marcador de aleación endurecida
Resistencia: mínima IP54 (a la humedad y polvo).</v>
      </c>
      <c r="J326" s="213">
        <f>IFERROR(__xludf.DUMMYFUNCTION("""COMPUTED_VALUE"""),3.0)</f>
        <v>3</v>
      </c>
      <c r="K326" s="213" t="str">
        <f>IFERROR(__xludf.DUMMYFUNCTION("""COMPUTED_VALUE"""),"90 DÍAS CALENDARIO")</f>
        <v>90 DÍAS CALENDARIO</v>
      </c>
      <c r="L326" s="213" t="str">
        <f>IFERROR(__xludf.DUMMYFUNCTION("""COMPUTED_VALUE"""),"")</f>
        <v/>
      </c>
      <c r="M326" s="213">
        <f>IFERROR(__xludf.DUMMYFUNCTION("""COMPUTED_VALUE"""),1.0)</f>
        <v>1</v>
      </c>
      <c r="N326" s="213">
        <f>IFERROR(__xludf.DUMMYFUNCTION("""COMPUTED_VALUE"""),4.0)</f>
        <v>4</v>
      </c>
      <c r="O326" s="213">
        <f>IFERROR(__xludf.DUMMYFUNCTION("""COMPUTED_VALUE"""),4.0)</f>
        <v>4</v>
      </c>
      <c r="P326" s="213"/>
      <c r="Q326" s="213"/>
      <c r="R326" s="213" t="str">
        <f>IFERROR(__xludf.DUMMYFUNCTION("""COMPUTED_VALUE"""),"SI")</f>
        <v>SI</v>
      </c>
      <c r="S326" s="213"/>
      <c r="T326" s="213" t="str">
        <f>IFERROR(__xludf.DUMMYFUNCTION("""COMPUTED_VALUE"""),"CONSULTA FINAL")</f>
        <v>CONSULTA FINAL</v>
      </c>
      <c r="U326" s="213" t="str">
        <f>IFERROR(__xludf.DUMMYFUNCTION("""COMPUTED_VALUE"""),"SI")</f>
        <v>SI</v>
      </c>
      <c r="V326" s="213" t="str">
        <f>IFERROR(__xludf.DUMMYFUNCTION("""COMPUTED_VALUE"""),"-")</f>
        <v>-</v>
      </c>
      <c r="W326" s="213" t="str">
        <f>IFERROR(__xludf.DUMMYFUNCTION("""COMPUTED_VALUE"""),"-")</f>
        <v>-</v>
      </c>
      <c r="X326" s="213" t="str">
        <f>IFERROR(__xludf.DUMMYFUNCTION("""COMPUTED_VALUE"""),"MITUTOYO")</f>
        <v>MITUTOYO</v>
      </c>
      <c r="Y326" s="213" t="str">
        <f>IFERROR(__xludf.DUMMYFUNCTION("""COMPUTED_VALUE"""),"570-227")</f>
        <v>570-227</v>
      </c>
      <c r="Z326" s="215" t="str">
        <f>IFERROR(__xludf.DUMMYFUNCTION("""COMPUTED_VALUE"""),"https://www.hoffmann-group.com/ES/es/hoe/p/570-227-#description")</f>
        <v>https://www.hoffmann-group.com/ES/es/hoe/p/570-227-#description</v>
      </c>
      <c r="AA326" s="213" t="str">
        <f>IFERROR(__xludf.DUMMYFUNCTION("""COMPUTED_VALUE"""),"COM-173 GRAMIL DIGITAL - CET")</f>
        <v>COM-173 GRAMIL DIGITAL - CET</v>
      </c>
      <c r="AB326" s="213"/>
      <c r="AC326" s="215" t="str">
        <f>IFERROR(__xludf.DUMMYFUNCTION("""COMPUTED_VALUE"""),"https://drive.google.com/file/d/1f0k-6oKMbwbfKiADMysF6U7q1_Odp4Rw/view?usp=sharing")</f>
        <v>https://drive.google.com/file/d/1f0k-6oKMbwbfKiADMysF6U7q1_Odp4Rw/view?usp=sharing</v>
      </c>
      <c r="AD326" s="213"/>
      <c r="AE326" s="213"/>
      <c r="AF326" s="213"/>
      <c r="AG326" s="213"/>
      <c r="AH326" s="213" t="str">
        <f>IFERROR(__xludf.DUMMYFUNCTION("""COMPUTED_VALUE"""),"IMPORTADO")</f>
        <v>IMPORTADO</v>
      </c>
      <c r="AI326" s="213"/>
      <c r="AJ326" s="213"/>
      <c r="AK326" s="213"/>
      <c r="AL326" s="213"/>
      <c r="AM326" s="213"/>
      <c r="AN326" s="213"/>
      <c r="AO326" s="213"/>
      <c r="AP326" s="213" t="str">
        <f>IFERROR(__xludf.DUMMYFUNCTION("""COMPUTED_VALUE"""),"SEBASTIAN")</f>
        <v>SEBASTIAN</v>
      </c>
      <c r="AQ326" s="213"/>
      <c r="AR326" s="213"/>
      <c r="AS326" s="213" t="str">
        <f>IFERROR(__xludf.DUMMYFUNCTION("""COMPUTED_VALUE"""),"No presenta protección IP54, sino IP40")</f>
        <v>No presenta protección IP54, sino IP40</v>
      </c>
      <c r="AT326" s="213"/>
      <c r="AU326" s="213"/>
      <c r="AV326" s="213"/>
      <c r="AW326" s="213"/>
      <c r="AX326" s="213"/>
      <c r="AY326" s="213"/>
      <c r="AZ326" s="213"/>
      <c r="BA326" s="213"/>
      <c r="BB326" s="213"/>
      <c r="BC326" s="213"/>
      <c r="BD326" s="213"/>
    </row>
    <row r="327">
      <c r="A327" s="213">
        <f>IFERROR(__xludf.DUMMYFUNCTION("""COMPUTED_VALUE"""),2524.0)</f>
        <v>2524</v>
      </c>
      <c r="B327" s="213" t="str">
        <f>IFERROR(__xludf.DUMMYFUNCTION("""COMPUTED_VALUE"""),"MANUEL ANTONIO MESONES MURO")</f>
        <v>MANUEL ANTONIO MESONES MURO</v>
      </c>
      <c r="C327" s="213" t="str">
        <f>IFERROR(__xludf.DUMMYFUNCTION("""COMPUTED_VALUE"""),"TALLER SFT DE CONSTRUCCIONES METÁLICAS")</f>
        <v>TALLER SFT DE CONSTRUCCIONES METÁLICAS</v>
      </c>
      <c r="D327" s="213" t="str">
        <f>IFERROR(__xludf.DUMMYFUNCTION("""COMPUTED_VALUE"""),"TICS")</f>
        <v>TICS</v>
      </c>
      <c r="E327" s="213" t="str">
        <f>IFERROR(__xludf.DUMMYFUNCTION("""COMPUTED_VALUE"""),"TEC-103")</f>
        <v>TEC-103</v>
      </c>
      <c r="F327" s="213" t="str">
        <f>IFERROR(__xludf.DUMMYFUNCTION("""COMPUTED_VALUE"""),"TEC-103")</f>
        <v>TEC-103</v>
      </c>
      <c r="G327" s="213"/>
      <c r="H327" s="213" t="str">
        <f>IFERROR(__xludf.DUMMYFUNCTION("""COMPUTED_VALUE"""),"CÁMARA FOTOGRÁFICA")</f>
        <v>CÁMARA FOTOGRÁFICA</v>
      </c>
      <c r="I327" s="213" t="str">
        <f>IFERROR(__xludf.DUMMYFUNCTION("""COMPUTED_VALUE"""),"Cámara digital.
· Tipo de sensor con tecnología CMOS.
· Pantalla LCD de 3,0"", como mínimo.
· Formato de imagen JPEG.
· Resolución mínima de 8 megapíxeles reales.
· Memoria interna de 8 MB, como mínimo.
· Memoria externa, para tarjeta SD 32 GB como mínimo"&amp;".
· Puertos micro USB 2.0 y HDMI.
· Compatibilidad con Windows.
· Micrófono y altavoz incorporado")</f>
        <v>Cámara digital.
· Tipo de sensor con tecnología CMOS.
· Pantalla LCD de 3,0", como mínimo.
· Formato de imagen JPEG.
· Resolución mínima de 8 megapíxeles reales.
· Memoria interna de 8 MB, como mínimo.
· Memoria externa, para tarjeta SD 32 GB como mínimo.
· Puertos micro USB 2.0 y HDMI.
· Compatibilidad con Windows.
· Micrófono y altavoz incorporado</v>
      </c>
      <c r="J327" s="213">
        <f>IFERROR(__xludf.DUMMYFUNCTION("""COMPUTED_VALUE"""),3.0)</f>
        <v>3</v>
      </c>
      <c r="K327" s="213" t="str">
        <f>IFERROR(__xludf.DUMMYFUNCTION("""COMPUTED_VALUE"""),"170 DÍAS CALENDARIO")</f>
        <v>170 DÍAS CALENDARIO</v>
      </c>
      <c r="L327"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27" s="213">
        <f>IFERROR(__xludf.DUMMYFUNCTION("""COMPUTED_VALUE"""),1.0)</f>
        <v>1</v>
      </c>
      <c r="N327" s="213">
        <f>IFERROR(__xludf.DUMMYFUNCTION("""COMPUTED_VALUE"""),5.0)</f>
        <v>5</v>
      </c>
      <c r="O327" s="213">
        <f>IFERROR(__xludf.DUMMYFUNCTION("""COMPUTED_VALUE"""),5.0)</f>
        <v>5</v>
      </c>
      <c r="P327" s="213"/>
      <c r="Q327" s="213"/>
      <c r="R327" s="213"/>
      <c r="S327" s="213"/>
      <c r="T327" s="213" t="str">
        <f>IFERROR(__xludf.DUMMYFUNCTION("""COMPUTED_VALUE"""),"SI")</f>
        <v>SI</v>
      </c>
      <c r="U327" s="213" t="str">
        <f>IFERROR(__xludf.DUMMYFUNCTION("""COMPUTED_VALUE"""),"NO")</f>
        <v>NO</v>
      </c>
      <c r="V327" s="213" t="str">
        <f>IFERROR(__xludf.DUMMYFUNCTION("""COMPUTED_VALUE"""),"SUSTENTO")</f>
        <v>SUSTENTO</v>
      </c>
      <c r="W327" s="213" t="str">
        <f>IFERROR(__xludf.DUMMYFUNCTION("""COMPUTED_VALUE"""),"EQU TEC")</f>
        <v>EQU TEC</v>
      </c>
      <c r="X327" s="213" t="str">
        <f>IFERROR(__xludf.DUMMYFUNCTION("""COMPUTED_VALUE"""),"CANON")</f>
        <v>CANON</v>
      </c>
      <c r="Y327" s="213" t="str">
        <f>IFERROR(__xludf.DUMMYFUNCTION("""COMPUTED_VALUE"""),"EOS R100")</f>
        <v>EOS R100</v>
      </c>
      <c r="Z327" s="215" t="str">
        <f>IFERROR(__xludf.DUMMYFUNCTION("""COMPUTED_VALUE"""),"https://www.ptmarket.com.pe/canon-eos-r10-con-lente-rf-s-18-45mm-f-3-5-6-3-is-stm.html?srsltid=AfmBOopY6MZJwJf4fCbuSXMFAZwfvVI--tSIecg-w_OzOLtASchaQEoU")</f>
        <v>https://www.ptmarket.com.pe/canon-eos-r10-con-lente-rf-s-18-45mm-f-3-5-6-3-is-stm.html?srsltid=AfmBOopY6MZJwJf4fCbuSXMFAZwfvVI--tSIecg-w_OzOLtASchaQEoU</v>
      </c>
      <c r="AA327" s="213" t="str">
        <f>IFERROR(__xludf.DUMMYFUNCTION("""COMPUTED_VALUE"""),"TEC-103 CÁMARA FOTOGRÁFICA - CET")</f>
        <v>TEC-103 CÁMARA FOTOGRÁFICA - CET</v>
      </c>
      <c r="AB327" s="213"/>
      <c r="AC327" s="213"/>
      <c r="AD327" s="213"/>
      <c r="AE327" s="213"/>
      <c r="AF327" s="213"/>
      <c r="AG327" s="213"/>
      <c r="AH327" s="213"/>
      <c r="AI327" s="213"/>
      <c r="AJ327" s="213"/>
      <c r="AK327" s="213"/>
      <c r="AL327" s="213"/>
      <c r="AM327" s="213"/>
      <c r="AN327" s="213"/>
      <c r="AO327" s="213"/>
      <c r="AP327" s="213" t="str">
        <f>IFERROR(__xludf.DUMMYFUNCTION("""COMPUTED_VALUE"""),"NALDI")</f>
        <v>NALDI</v>
      </c>
      <c r="AQ327" s="213"/>
      <c r="AR327" s="213"/>
      <c r="AS327" s="213" t="str">
        <f>IFERROR(__xludf.DUMMYFUNCTION("""COMPUTED_VALUE"""),"No existe camara con similares prestaciones con memoria interna de 32 mb. Se puede sustentar suministrando la camara con 2 memorias de 128GB, una para cumplir con la EETT y otra para compensar la ausencia de memoria interna.
UNA OPCION A ESTA CAMARA ES LA"&amp;" CANON EOS REBEL T7 posiblemente mas barata")</f>
        <v>No existe camara con similares prestaciones con memoria interna de 32 mb. Se puede sustentar suministrando la camara con 2 memorias de 128GB, una para cumplir con la EETT y otra para compensar la ausencia de memoria interna.
UNA OPCION A ESTA CAMARA ES LA CANON EOS REBEL T7 posiblemente mas barata</v>
      </c>
      <c r="AT327" s="217" t="str">
        <f>IFERROR(__xludf.DUMMYFUNCTION("""COMPUTED_VALUE"""),"02 Memoria externa, para tarjeta SD 32 GB como mínimo.")</f>
        <v>02 Memoria externa, para tarjeta SD 32 GB como mínimo.</v>
      </c>
      <c r="AU327" s="213"/>
      <c r="AV327" s="213"/>
      <c r="AW327" s="213"/>
      <c r="AX327" s="213"/>
      <c r="AY327" s="213"/>
      <c r="AZ327" s="213"/>
      <c r="BA327" s="213"/>
      <c r="BB327" s="213"/>
      <c r="BC327" s="213"/>
      <c r="BD327" s="213"/>
    </row>
    <row r="328">
      <c r="A328" s="213">
        <f>IFERROR(__xludf.DUMMYFUNCTION("""COMPUTED_VALUE"""),250.0)</f>
        <v>250</v>
      </c>
      <c r="B328" s="213" t="str">
        <f>IFERROR(__xludf.DUMMYFUNCTION("""COMPUTED_VALUE"""),"2026 SIMON BOLIVAR")</f>
        <v>2026 SIMON BOLIVAR</v>
      </c>
      <c r="C328" s="213" t="str">
        <f>IFERROR(__xludf.DUMMYFUNCTION("""COMPUTED_VALUE"""),"TALLER SFT DE COMPUTACIÓN E INFORMÁTICA")</f>
        <v>TALLER SFT DE COMPUTACIÓN E INFORMÁTICA</v>
      </c>
      <c r="D328" s="213" t="str">
        <f>IFERROR(__xludf.DUMMYFUNCTION("""COMPUTED_VALUE"""),"HERRAMIENTAS")</f>
        <v>HERRAMIENTAS</v>
      </c>
      <c r="E328" s="213" t="str">
        <f>IFERROR(__xludf.DUMMYFUNCTION("""COMPUTED_VALUE"""),"COM-175")</f>
        <v>COM-175</v>
      </c>
      <c r="F328" s="213" t="str">
        <f>IFERROR(__xludf.DUMMYFUNCTION("""COMPUTED_VALUE"""),"COM-175")</f>
        <v>COM-175</v>
      </c>
      <c r="G328" s="213"/>
      <c r="H328" s="213" t="str">
        <f>IFERROR(__xludf.DUMMYFUNCTION("""COMPUTED_VALUE"""),"GREEN SCREEN")</f>
        <v>GREEN SCREEN</v>
      </c>
      <c r="I328" s="213" t="str">
        <f>IFERROR(__xludf.DUMMYFUNCTION("""COMPUTED_VALUE"""),"·  Medidas del equipo: 148 cm x 10.5 cm
·  Medidas de pantalla: 148 cm x 180 cm
·  Peso: 9.3 kg.
·  Materiales: Pantalla 100% Poliéster y armazón de aluminio y hierro
·  Color: Verde")</f>
        <v>·  Medidas del equipo: 148 cm x 10.5 cm
·  Medidas de pantalla: 148 cm x 180 cm
·  Peso: 9.3 kg.
·  Materiales: Pantalla 100% Poliéster y armazón de aluminio y hierro
·  Color: Verde</v>
      </c>
      <c r="J328" s="213">
        <f>IFERROR(__xludf.DUMMYFUNCTION("""COMPUTED_VALUE"""),3.0)</f>
        <v>3</v>
      </c>
      <c r="K328" s="213" t="str">
        <f>IFERROR(__xludf.DUMMYFUNCTION("""COMPUTED_VALUE"""),"90 DÍAS CALENDARIO")</f>
        <v>90 DÍAS CALENDARIO</v>
      </c>
      <c r="L328" s="213" t="str">
        <f>IFERROR(__xludf.DUMMYFUNCTION("""COMPUTED_VALUE"""),"")</f>
        <v/>
      </c>
      <c r="M328" s="213">
        <f>IFERROR(__xludf.DUMMYFUNCTION("""COMPUTED_VALUE"""),1.0)</f>
        <v>1</v>
      </c>
      <c r="N328" s="213">
        <f>IFERROR(__xludf.DUMMYFUNCTION("""COMPUTED_VALUE"""),1.0)</f>
        <v>1</v>
      </c>
      <c r="O328" s="213">
        <f>IFERROR(__xludf.DUMMYFUNCTION("""COMPUTED_VALUE"""),1.0)</f>
        <v>1</v>
      </c>
      <c r="P328" s="213"/>
      <c r="Q328" s="213"/>
      <c r="R328" s="213" t="str">
        <f>IFERROR(__xludf.DUMMYFUNCTION("""COMPUTED_VALUE"""),"SI")</f>
        <v>SI</v>
      </c>
      <c r="S328" s="213"/>
      <c r="T328" s="213" t="str">
        <f>IFERROR(__xludf.DUMMYFUNCTION("""COMPUTED_VALUE"""),"CONSULTA FINAL")</f>
        <v>CONSULTA FINAL</v>
      </c>
      <c r="U328" s="213" t="str">
        <f>IFERROR(__xludf.DUMMYFUNCTION("""COMPUTED_VALUE"""),"NO")</f>
        <v>NO</v>
      </c>
      <c r="V328" s="213" t="str">
        <f>IFERROR(__xludf.DUMMYFUNCTION("""COMPUTED_VALUE"""),"SUSTENTO")</f>
        <v>SUSTENTO</v>
      </c>
      <c r="W328" s="213" t="str">
        <f>IFERROR(__xludf.DUMMYFUNCTION("""COMPUTED_VALUE"""),"DIMENSIONAL")</f>
        <v>DIMENSIONAL</v>
      </c>
      <c r="X328" s="213" t="str">
        <f>IFERROR(__xludf.DUMMYFUNCTION("""COMPUTED_VALUE"""),"INTERLUD")</f>
        <v>INTERLUD</v>
      </c>
      <c r="Y328" s="213" t="str">
        <f>IFERROR(__xludf.DUMMYFUNCTION("""COMPUTED_VALUE"""),"EBKCR205132")</f>
        <v>EBKCR205132</v>
      </c>
      <c r="Z328" s="215" t="str">
        <f>IFERROR(__xludf.DUMMYFUNCTION("""COMPUTED_VALUE"""),"https://www.coolbox.pe/kit-chroma-fondo-verde-para-estudio-foto-y-video-con-parantes-100419263/p")</f>
        <v>https://www.coolbox.pe/kit-chroma-fondo-verde-para-estudio-foto-y-video-con-parantes-100419263/p</v>
      </c>
      <c r="AA328" s="213" t="str">
        <f>IFERROR(__xludf.DUMMYFUNCTION("""COMPUTED_VALUE"""),"COM-175 GREEN SCREEN - CET")</f>
        <v>COM-175 GREEN SCREEN - CET</v>
      </c>
      <c r="AB328" s="213"/>
      <c r="AC328" s="213" t="str">
        <f>IFERROR(__xludf.DUMMYFUNCTION("""COMPUTED_VALUE"""),"GRS-01 GREEN SCREEN (EB GESTORES PAQ 08)")</f>
        <v>GRS-01 GREEN SCREEN (EB GESTORES PAQ 08)</v>
      </c>
      <c r="AD328" s="213" t="str">
        <f>IFERROR(__xludf.DUMMYFUNCTION("""COMPUTED_VALUE"""),"EB GESTORES PAQ 08")</f>
        <v>EB GESTORES PAQ 08</v>
      </c>
      <c r="AE328" s="213"/>
      <c r="AF328" s="213"/>
      <c r="AG328" s="213"/>
      <c r="AH328" s="213" t="str">
        <f>IFERROR(__xludf.DUMMYFUNCTION("""COMPUTED_VALUE"""),"IMPORTADO")</f>
        <v>IMPORTADO</v>
      </c>
      <c r="AI328" s="213"/>
      <c r="AJ328" s="213"/>
      <c r="AK328" s="213"/>
      <c r="AL328" s="213"/>
      <c r="AM328" s="213"/>
      <c r="AN328" s="213"/>
      <c r="AO328" s="213"/>
      <c r="AP328" s="213" t="str">
        <f>IFERROR(__xludf.DUMMYFUNCTION("""COMPUTED_VALUE"""),"LUIS")</f>
        <v>LUIS</v>
      </c>
      <c r="AQ328" s="213"/>
      <c r="AR328" s="213"/>
      <c r="AS328" s="213"/>
      <c r="AT328" s="213"/>
      <c r="AU328" s="213"/>
      <c r="AV328" s="213"/>
      <c r="AW328" s="213"/>
      <c r="AX328" s="213"/>
      <c r="AY328" s="213"/>
      <c r="AZ328" s="213"/>
      <c r="BA328" s="213"/>
      <c r="BB328" s="213"/>
      <c r="BC328" s="213"/>
      <c r="BD328" s="213"/>
    </row>
    <row r="329">
      <c r="A329" s="213">
        <f>IFERROR(__xludf.DUMMYFUNCTION("""COMPUTED_VALUE"""),1000.0)</f>
        <v>1000</v>
      </c>
      <c r="B329" s="213" t="str">
        <f>IFERROR(__xludf.DUMMYFUNCTION("""COMPUTED_VALUE"""),"FRANCISCO IRAZOLA")</f>
        <v>FRANCISCO IRAZOLA</v>
      </c>
      <c r="C329" s="213" t="str">
        <f>IFERROR(__xludf.DUMMYFUNCTION("""COMPUTED_VALUE"""),"TALLER SFT DE MECÁNICA AUTOMOTRIZ")</f>
        <v>TALLER SFT DE MECÁNICA AUTOMOTRIZ</v>
      </c>
      <c r="D329" s="213" t="str">
        <f>IFERROR(__xludf.DUMMYFUNCTION("""COMPUTED_VALUE"""),"EQUIPOS")</f>
        <v>EQUIPOS</v>
      </c>
      <c r="E329" s="213" t="str">
        <f>IFERROR(__xludf.DUMMYFUNCTION("""COMPUTED_VALUE"""),"ESP-120")</f>
        <v>ESP-120</v>
      </c>
      <c r="F329" s="213" t="str">
        <f>IFERROR(__xludf.DUMMYFUNCTION("""COMPUTED_VALUE"""),"ESP-120")</f>
        <v>ESP-120</v>
      </c>
      <c r="G329" s="213"/>
      <c r="H329" s="213" t="str">
        <f>IFERROR(__xludf.DUMMYFUNCTION("""COMPUTED_VALUE"""),"CARGADOR DE BATERÍA")</f>
        <v>CARGADOR DE BATERÍA</v>
      </c>
      <c r="I329" s="213" t="str">
        <f>IFERROR(__xludf.DUMMYFUNCTION("""COMPUTED_VALUE"""),"Cargador de baterías y arrancador de todo tipo de automóvil. Tensión de carga, de: 12 - 24 V.
Protección contra sobre cargas.
Visualización de la corriente de carga y de arranque. Corriente de carga: mínimo 30 A.
Corriente de pico: mínimo 300 A.
Voltaje, "&amp;"frecuencia: 220 V, 60 Hz.
SDIimLVenEsRioAneHs ailpdraoximadas (L x An x H)  0.45 x  0. 35 x 0.75m.
70998 soft")</f>
        <v>Cargador de baterías y arrancador de todo tipo de automóvil. Tensión de carga, de: 12 - 24 V.
Protección contra sobre cargas.
Visualización de la corriente de carga y de arranque. Corriente de carga: mínimo 30 A.
Corriente de pico: mínimo 300 A.
Voltaje, frecuencia: 220 V, 60 Hz.
SDIimLVenEsRioAneHs ailpdraoximadas (L x An x H)  0.45 x  0. 35 x 0.75m.
70998 soft</v>
      </c>
      <c r="J329" s="213">
        <f>IFERROR(__xludf.DUMMYFUNCTION("""COMPUTED_VALUE"""),3.0)</f>
        <v>3</v>
      </c>
      <c r="K329" s="213" t="str">
        <f>IFERROR(__xludf.DUMMYFUNCTION("""COMPUTED_VALUE"""),"170 DÍAS CALENDARIO")</f>
        <v>170 DÍAS CALENDARIO</v>
      </c>
      <c r="L329" s="213" t="str">
        <f>IFERROR(__xludf.DUMMYFUNCTION("""COMPUTED_VALUE"""),"")</f>
        <v/>
      </c>
      <c r="M329" s="213">
        <f>IFERROR(__xludf.DUMMYFUNCTION("""COMPUTED_VALUE"""),1.0)</f>
        <v>1</v>
      </c>
      <c r="N329" s="213">
        <f>IFERROR(__xludf.DUMMYFUNCTION("""COMPUTED_VALUE"""),1.0)</f>
        <v>1</v>
      </c>
      <c r="O329" s="213">
        <f>IFERROR(__xludf.DUMMYFUNCTION("""COMPUTED_VALUE"""),1.0)</f>
        <v>1</v>
      </c>
      <c r="P329" s="213"/>
      <c r="Q329" s="213"/>
      <c r="R329" s="213"/>
      <c r="S329" s="213" t="str">
        <f>IFERROR(__xludf.DUMMYFUNCTION("""COMPUTED_VALUE"""),"SI")</f>
        <v>SI</v>
      </c>
      <c r="T329" s="213" t="str">
        <f>IFERROR(__xludf.DUMMYFUNCTION("""COMPUTED_VALUE"""),"SI")</f>
        <v>SI</v>
      </c>
      <c r="U329" s="213" t="str">
        <f>IFERROR(__xludf.DUMMYFUNCTION("""COMPUTED_VALUE"""),"SI")</f>
        <v>SI</v>
      </c>
      <c r="V329" s="213" t="str">
        <f>IFERROR(__xludf.DUMMYFUNCTION("""COMPUTED_VALUE"""),"-")</f>
        <v>-</v>
      </c>
      <c r="W329" s="213" t="str">
        <f>IFERROR(__xludf.DUMMYFUNCTION("""COMPUTED_VALUE"""),"-")</f>
        <v>-</v>
      </c>
      <c r="X329" s="213" t="str">
        <f>IFERROR(__xludf.DUMMYFUNCTION("""COMPUTED_VALUE"""),"TELWIN")</f>
        <v>TELWIN</v>
      </c>
      <c r="Y329" s="213" t="str">
        <f>IFERROR(__xludf.DUMMYFUNCTION("""COMPUTED_VALUE"""),"SPRINTER 4000 START 230V 12-24V		")</f>
        <v>SPRINTER 4000 START 230V 12-24V		</v>
      </c>
      <c r="Z329" s="215" t="str">
        <f>IFERROR(__xludf.DUMMYFUNCTION("""COMPUTED_VALUE"""),"https://drive.google.com/file/d/1_jn_UgeZqoo6IhAYYliXXq72AL2uHU93/view?usp=sharing")</f>
        <v>https://drive.google.com/file/d/1_jn_UgeZqoo6IhAYYliXXq72AL2uHU93/view?usp=sharing</v>
      </c>
      <c r="AA329" s="213" t="str">
        <f>IFERROR(__xludf.DUMMYFUNCTION("""COMPUTED_VALUE"""),"ESP-120 CARGADOR DE BATERÍA - CET")</f>
        <v>ESP-120 CARGADOR DE BATERÍA - CET</v>
      </c>
      <c r="AB329" s="215" t="str">
        <f>IFERROR(__xludf.DUMMYFUNCTION("""COMPUTED_VALUE"""),"https://drive.google.com/file/d/1_jn_UgeZqoo6IhAYYliXXq72AL2uHU93/view?usp=sharing")</f>
        <v>https://drive.google.com/file/d/1_jn_UgeZqoo6IhAYYliXXq72AL2uHU93/view?usp=sharing</v>
      </c>
      <c r="AC329" s="215" t="str">
        <f>IFERROR(__xludf.DUMMYFUNCTION("""COMPUTED_VALUE"""),"https://drive.google.com/file/d/1yWESF86adhq86H-m1WHBJEzKkrm7zHwA/view?usp=sharing")</f>
        <v>https://drive.google.com/file/d/1yWESF86adhq86H-m1WHBJEzKkrm7zHwA/view?usp=sharing</v>
      </c>
      <c r="AD329" s="213"/>
      <c r="AE329" s="213"/>
      <c r="AF329" s="213"/>
      <c r="AG329" s="213"/>
      <c r="AH329" s="213" t="str">
        <f>IFERROR(__xludf.DUMMYFUNCTION("""COMPUTED_VALUE"""),"NACIONAL")</f>
        <v>NACIONAL</v>
      </c>
      <c r="AI329" s="213"/>
      <c r="AJ329" s="213"/>
      <c r="AK329" s="213"/>
      <c r="AL329" s="213"/>
      <c r="AM329" s="213"/>
      <c r="AN329" s="213"/>
      <c r="AO329" s="213"/>
      <c r="AP329" s="213" t="str">
        <f>IFERROR(__xludf.DUMMYFUNCTION("""COMPUTED_VALUE"""),"NALDI")</f>
        <v>NALDI</v>
      </c>
      <c r="AQ329" s="213"/>
      <c r="AR329" s="213"/>
      <c r="AS329" s="213"/>
      <c r="AT329" s="213"/>
      <c r="AU329" s="213"/>
      <c r="AV329" s="213"/>
      <c r="AW329" s="213"/>
      <c r="AX329" s="213"/>
      <c r="AY329" s="213"/>
      <c r="AZ329" s="213"/>
      <c r="BA329" s="213"/>
      <c r="BB329" s="213"/>
      <c r="BC329" s="213"/>
      <c r="BD329" s="213"/>
    </row>
    <row r="330">
      <c r="A330" s="213">
        <f>IFERROR(__xludf.DUMMYFUNCTION("""COMPUTED_VALUE"""),1605.0)</f>
        <v>1605</v>
      </c>
      <c r="B330" s="213" t="str">
        <f>IFERROR(__xludf.DUMMYFUNCTION("""COMPUTED_VALUE"""),"GUILLERMO E. BILLINGHURST ")</f>
        <v>GUILLERMO E. BILLINGHURST </v>
      </c>
      <c r="C330" s="213" t="str">
        <f>IFERROR(__xludf.DUMMYFUNCTION("""COMPUTED_VALUE"""),"TALLER SFT DE MECÁNICA AUTOMOTRIZ")</f>
        <v>TALLER SFT DE MECÁNICA AUTOMOTRIZ</v>
      </c>
      <c r="D330" s="213" t="str">
        <f>IFERROR(__xludf.DUMMYFUNCTION("""COMPUTED_VALUE"""),"EQUIPOS")</f>
        <v>EQUIPOS</v>
      </c>
      <c r="E330" s="213" t="str">
        <f>IFERROR(__xludf.DUMMYFUNCTION("""COMPUTED_VALUE"""),"ESP-120")</f>
        <v>ESP-120</v>
      </c>
      <c r="F330" s="213" t="str">
        <f>IFERROR(__xludf.DUMMYFUNCTION("""COMPUTED_VALUE"""),"ESP-120")</f>
        <v>ESP-120</v>
      </c>
      <c r="G330" s="213"/>
      <c r="H330" s="213" t="str">
        <f>IFERROR(__xludf.DUMMYFUNCTION("""COMPUTED_VALUE"""),"CARGADOR DE BATERÍA")</f>
        <v>CARGADOR DE BATERÍA</v>
      </c>
      <c r="I330" s="213" t="str">
        <f>IFERROR(__xludf.DUMMYFUNCTION("""COMPUTED_VALUE"""),"Cargador de baterías y arrancador de todo tipo de automóvil. Tensión de carga, de: 12 - 24 V.
Protección contra sobre cargas.
Visualización de la corriente de carga y de arranque. Corriente de carga: mínimo 30 A.
Corriente de pico: mínimo 300 A.
Voltaje, "&amp;"frecuencia: 220 V, 60 Hz.
SDIimLVenEsRioAneHs ailpdraoximadas (L x An x H)  0.45 x  0. 35 x 0.75m.
70998 soft")</f>
        <v>Cargador de baterías y arrancador de todo tipo de automóvil. Tensión de carga, de: 12 - 24 V.
Protección contra sobre cargas.
Visualización de la corriente de carga y de arranque. Corriente de carga: mínimo 30 A.
Corriente de pico: mínimo 300 A.
Voltaje, frecuencia: 220 V, 60 Hz.
SDIimLVenEsRioAneHs ailpdraoximadas (L x An x H)  0.45 x  0. 35 x 0.75m.
70998 soft</v>
      </c>
      <c r="J330" s="213">
        <f>IFERROR(__xludf.DUMMYFUNCTION("""COMPUTED_VALUE"""),3.0)</f>
        <v>3</v>
      </c>
      <c r="K330" s="213" t="str">
        <f>IFERROR(__xludf.DUMMYFUNCTION("""COMPUTED_VALUE"""),"170 DÍAS CALENDARIO")</f>
        <v>170 DÍAS CALENDARIO</v>
      </c>
      <c r="L330" s="213" t="str">
        <f>IFERROR(__xludf.DUMMYFUNCTION("""COMPUTED_VALUE"""),"")</f>
        <v/>
      </c>
      <c r="M330" s="213">
        <f>IFERROR(__xludf.DUMMYFUNCTION("""COMPUTED_VALUE"""),1.0)</f>
        <v>1</v>
      </c>
      <c r="N330" s="213">
        <f>IFERROR(__xludf.DUMMYFUNCTION("""COMPUTED_VALUE"""),1.0)</f>
        <v>1</v>
      </c>
      <c r="O330" s="213">
        <f>IFERROR(__xludf.DUMMYFUNCTION("""COMPUTED_VALUE"""),1.0)</f>
        <v>1</v>
      </c>
      <c r="P330" s="213"/>
      <c r="Q330" s="213"/>
      <c r="R330" s="213"/>
      <c r="S330" s="213" t="str">
        <f>IFERROR(__xludf.DUMMYFUNCTION("""COMPUTED_VALUE"""),"SI")</f>
        <v>SI</v>
      </c>
      <c r="T330" s="213" t="str">
        <f>IFERROR(__xludf.DUMMYFUNCTION("""COMPUTED_VALUE"""),"SI")</f>
        <v>SI</v>
      </c>
      <c r="U330" s="213" t="str">
        <f>IFERROR(__xludf.DUMMYFUNCTION("""COMPUTED_VALUE"""),"SI")</f>
        <v>SI</v>
      </c>
      <c r="V330" s="213" t="str">
        <f>IFERROR(__xludf.DUMMYFUNCTION("""COMPUTED_VALUE"""),"-")</f>
        <v>-</v>
      </c>
      <c r="W330" s="213" t="str">
        <f>IFERROR(__xludf.DUMMYFUNCTION("""COMPUTED_VALUE"""),"-")</f>
        <v>-</v>
      </c>
      <c r="X330" s="213" t="str">
        <f>IFERROR(__xludf.DUMMYFUNCTION("""COMPUTED_VALUE"""),"TELWIN")</f>
        <v>TELWIN</v>
      </c>
      <c r="Y330" s="213" t="str">
        <f>IFERROR(__xludf.DUMMYFUNCTION("""COMPUTED_VALUE"""),"SPRINTER 4000 START 230V 12-24V		")</f>
        <v>SPRINTER 4000 START 230V 12-24V		</v>
      </c>
      <c r="Z330" s="215" t="str">
        <f>IFERROR(__xludf.DUMMYFUNCTION("""COMPUTED_VALUE"""),"https://drive.google.com/file/d/1_jn_UgeZqoo6IhAYYliXXq72AL2uHU93/view?usp=sharing")</f>
        <v>https://drive.google.com/file/d/1_jn_UgeZqoo6IhAYYliXXq72AL2uHU93/view?usp=sharing</v>
      </c>
      <c r="AA330" s="213" t="str">
        <f>IFERROR(__xludf.DUMMYFUNCTION("""COMPUTED_VALUE"""),"ESP-120 CARGADOR DE BATERÍA - CET")</f>
        <v>ESP-120 CARGADOR DE BATERÍA - CET</v>
      </c>
      <c r="AB330" s="215" t="str">
        <f>IFERROR(__xludf.DUMMYFUNCTION("""COMPUTED_VALUE"""),"https://drive.google.com/file/d/1_jn_UgeZqoo6IhAYYliXXq72AL2uHU93/view?usp=sharing")</f>
        <v>https://drive.google.com/file/d/1_jn_UgeZqoo6IhAYYliXXq72AL2uHU93/view?usp=sharing</v>
      </c>
      <c r="AC330" s="215" t="str">
        <f>IFERROR(__xludf.DUMMYFUNCTION("""COMPUTED_VALUE"""),"https://drive.google.com/file/d/1yWESF86adhq86H-m1WHBJEzKkrm7zHwA/view?usp=sharing")</f>
        <v>https://drive.google.com/file/d/1yWESF86adhq86H-m1WHBJEzKkrm7zHwA/view?usp=sharing</v>
      </c>
      <c r="AD330" s="213"/>
      <c r="AE330" s="213"/>
      <c r="AF330" s="213"/>
      <c r="AG330" s="213"/>
      <c r="AH330" s="213" t="str">
        <f>IFERROR(__xludf.DUMMYFUNCTION("""COMPUTED_VALUE"""),"NACIONAL")</f>
        <v>NACIONAL</v>
      </c>
      <c r="AI330" s="213"/>
      <c r="AJ330" s="213"/>
      <c r="AK330" s="213"/>
      <c r="AL330" s="213"/>
      <c r="AM330" s="213"/>
      <c r="AN330" s="213"/>
      <c r="AO330" s="213"/>
      <c r="AP330" s="213" t="str">
        <f>IFERROR(__xludf.DUMMYFUNCTION("""COMPUTED_VALUE"""),"NALDI")</f>
        <v>NALDI</v>
      </c>
      <c r="AQ330" s="213"/>
      <c r="AR330" s="213"/>
      <c r="AS330" s="213"/>
      <c r="AT330" s="213"/>
      <c r="AU330" s="213"/>
      <c r="AV330" s="213"/>
      <c r="AW330" s="213"/>
      <c r="AX330" s="213"/>
      <c r="AY330" s="213"/>
      <c r="AZ330" s="213"/>
      <c r="BA330" s="213"/>
      <c r="BB330" s="213"/>
      <c r="BC330" s="213"/>
      <c r="BD330" s="213"/>
    </row>
    <row r="331">
      <c r="A331" s="213">
        <f>IFERROR(__xludf.DUMMYFUNCTION("""COMPUTED_VALUE"""),2292.0)</f>
        <v>2292</v>
      </c>
      <c r="B331" s="213" t="str">
        <f>IFERROR(__xludf.DUMMYFUNCTION("""COMPUTED_VALUE"""),"JOSE GRANDA")</f>
        <v>JOSE GRANDA</v>
      </c>
      <c r="C331" s="213" t="str">
        <f>IFERROR(__xludf.DUMMYFUNCTION("""COMPUTED_VALUE"""),"TALLER SFT DE MECÁNICA AUTOMOTRIZ")</f>
        <v>TALLER SFT DE MECÁNICA AUTOMOTRIZ</v>
      </c>
      <c r="D331" s="213" t="str">
        <f>IFERROR(__xludf.DUMMYFUNCTION("""COMPUTED_VALUE"""),"EQUIPOS")</f>
        <v>EQUIPOS</v>
      </c>
      <c r="E331" s="213" t="str">
        <f>IFERROR(__xludf.DUMMYFUNCTION("""COMPUTED_VALUE"""),"ESP-120")</f>
        <v>ESP-120</v>
      </c>
      <c r="F331" s="213" t="str">
        <f>IFERROR(__xludf.DUMMYFUNCTION("""COMPUTED_VALUE"""),"ESP-120")</f>
        <v>ESP-120</v>
      </c>
      <c r="G331" s="213"/>
      <c r="H331" s="213" t="str">
        <f>IFERROR(__xludf.DUMMYFUNCTION("""COMPUTED_VALUE"""),"CARGADOR DE BATERÍA")</f>
        <v>CARGADOR DE BATERÍA</v>
      </c>
      <c r="I331" s="213" t="str">
        <f>IFERROR(__xludf.DUMMYFUNCTION("""COMPUTED_VALUE"""),"Cargador de baterías y arrancador de todo tipo de automóvil. Tensión de carga, de: 12 - 24 V.
Protección contra sobre cargas.
Visualización de la corriente de carga y de arranque. Corriente de carga: mínimo 30 A.
Corriente de pico: mínimo 300 A.
Voltaje, "&amp;"frecuencia: 220 V, 60 Hz.
SDIimLVenEsRioAneHs ailpdraoximadas (L x An x H)  0.45 x  0. 35 x 0.75m.
70998 soft")</f>
        <v>Cargador de baterías y arrancador de todo tipo de automóvil. Tensión de carga, de: 12 - 24 V.
Protección contra sobre cargas.
Visualización de la corriente de carga y de arranque. Corriente de carga: mínimo 30 A.
Corriente de pico: mínimo 300 A.
Voltaje, frecuencia: 220 V, 60 Hz.
SDIimLVenEsRioAneHs ailpdraoximadas (L x An x H)  0.45 x  0. 35 x 0.75m.
70998 soft</v>
      </c>
      <c r="J331" s="213">
        <f>IFERROR(__xludf.DUMMYFUNCTION("""COMPUTED_VALUE"""),3.0)</f>
        <v>3</v>
      </c>
      <c r="K331" s="213" t="str">
        <f>IFERROR(__xludf.DUMMYFUNCTION("""COMPUTED_VALUE"""),"170 DÍAS CALENDARIO")</f>
        <v>170 DÍAS CALENDARIO</v>
      </c>
      <c r="L331" s="213" t="str">
        <f>IFERROR(__xludf.DUMMYFUNCTION("""COMPUTED_VALUE"""),"")</f>
        <v/>
      </c>
      <c r="M331" s="213">
        <f>IFERROR(__xludf.DUMMYFUNCTION("""COMPUTED_VALUE"""),1.0)</f>
        <v>1</v>
      </c>
      <c r="N331" s="213">
        <f>IFERROR(__xludf.DUMMYFUNCTION("""COMPUTED_VALUE"""),1.0)</f>
        <v>1</v>
      </c>
      <c r="O331" s="213">
        <f>IFERROR(__xludf.DUMMYFUNCTION("""COMPUTED_VALUE"""),1.0)</f>
        <v>1</v>
      </c>
      <c r="P331" s="213"/>
      <c r="Q331" s="213"/>
      <c r="R331" s="213"/>
      <c r="S331" s="213" t="str">
        <f>IFERROR(__xludf.DUMMYFUNCTION("""COMPUTED_VALUE"""),"SI")</f>
        <v>SI</v>
      </c>
      <c r="T331" s="213" t="str">
        <f>IFERROR(__xludf.DUMMYFUNCTION("""COMPUTED_VALUE"""),"SI")</f>
        <v>SI</v>
      </c>
      <c r="U331" s="213" t="str">
        <f>IFERROR(__xludf.DUMMYFUNCTION("""COMPUTED_VALUE"""),"SI")</f>
        <v>SI</v>
      </c>
      <c r="V331" s="213" t="str">
        <f>IFERROR(__xludf.DUMMYFUNCTION("""COMPUTED_VALUE"""),"-")</f>
        <v>-</v>
      </c>
      <c r="W331" s="213" t="str">
        <f>IFERROR(__xludf.DUMMYFUNCTION("""COMPUTED_VALUE"""),"-")</f>
        <v>-</v>
      </c>
      <c r="X331" s="213" t="str">
        <f>IFERROR(__xludf.DUMMYFUNCTION("""COMPUTED_VALUE"""),"TELWIN")</f>
        <v>TELWIN</v>
      </c>
      <c r="Y331" s="213" t="str">
        <f>IFERROR(__xludf.DUMMYFUNCTION("""COMPUTED_VALUE"""),"SPRINTER 4000 START 230V 12-24V		")</f>
        <v>SPRINTER 4000 START 230V 12-24V		</v>
      </c>
      <c r="Z331" s="215" t="str">
        <f>IFERROR(__xludf.DUMMYFUNCTION("""COMPUTED_VALUE"""),"https://drive.google.com/file/d/1_jn_UgeZqoo6IhAYYliXXq72AL2uHU93/view?usp=sharing")</f>
        <v>https://drive.google.com/file/d/1_jn_UgeZqoo6IhAYYliXXq72AL2uHU93/view?usp=sharing</v>
      </c>
      <c r="AA331" s="213" t="str">
        <f>IFERROR(__xludf.DUMMYFUNCTION("""COMPUTED_VALUE"""),"ESP-120 CARGADOR DE BATERÍA - CET")</f>
        <v>ESP-120 CARGADOR DE BATERÍA - CET</v>
      </c>
      <c r="AB331" s="215" t="str">
        <f>IFERROR(__xludf.DUMMYFUNCTION("""COMPUTED_VALUE"""),"https://drive.google.com/file/d/1_jn_UgeZqoo6IhAYYliXXq72AL2uHU93/view?usp=sharing")</f>
        <v>https://drive.google.com/file/d/1_jn_UgeZqoo6IhAYYliXXq72AL2uHU93/view?usp=sharing</v>
      </c>
      <c r="AC331" s="215" t="str">
        <f>IFERROR(__xludf.DUMMYFUNCTION("""COMPUTED_VALUE"""),"https://drive.google.com/file/d/1yWESF86adhq86H-m1WHBJEzKkrm7zHwA/view?usp=sharing")</f>
        <v>https://drive.google.com/file/d/1yWESF86adhq86H-m1WHBJEzKkrm7zHwA/view?usp=sharing</v>
      </c>
      <c r="AD331" s="213"/>
      <c r="AE331" s="213"/>
      <c r="AF331" s="213"/>
      <c r="AG331" s="213"/>
      <c r="AH331" s="213" t="str">
        <f>IFERROR(__xludf.DUMMYFUNCTION("""COMPUTED_VALUE"""),"NACIONAL")</f>
        <v>NACIONAL</v>
      </c>
      <c r="AI331" s="213"/>
      <c r="AJ331" s="213"/>
      <c r="AK331" s="213"/>
      <c r="AL331" s="213"/>
      <c r="AM331" s="213"/>
      <c r="AN331" s="213"/>
      <c r="AO331" s="213"/>
      <c r="AP331" s="213" t="str">
        <f>IFERROR(__xludf.DUMMYFUNCTION("""COMPUTED_VALUE"""),"NALDI")</f>
        <v>NALDI</v>
      </c>
      <c r="AQ331" s="213"/>
      <c r="AR331" s="213"/>
      <c r="AS331" s="213"/>
      <c r="AT331" s="213"/>
      <c r="AU331" s="213"/>
      <c r="AV331" s="213"/>
      <c r="AW331" s="213"/>
      <c r="AX331" s="213"/>
      <c r="AY331" s="213"/>
      <c r="AZ331" s="213"/>
      <c r="BA331" s="213"/>
      <c r="BB331" s="213"/>
      <c r="BC331" s="213"/>
      <c r="BD331" s="213"/>
    </row>
    <row r="332">
      <c r="A332" s="213">
        <f>IFERROR(__xludf.DUMMYFUNCTION("""COMPUTED_VALUE"""),735.0)</f>
        <v>735</v>
      </c>
      <c r="B332" s="213" t="str">
        <f>IFERROR(__xludf.DUMMYFUNCTION("""COMPUTED_VALUE"""),"6049 RICARDO PALMA")</f>
        <v>6049 RICARDO PALMA</v>
      </c>
      <c r="C332" s="213" t="str">
        <f>IFERROR(__xludf.DUMMYFUNCTION("""COMPUTED_VALUE"""),"TALLER SFT DE COMPUTACIÓN E INFORMÁTICA")</f>
        <v>TALLER SFT DE COMPUTACIÓN E INFORMÁTICA</v>
      </c>
      <c r="D332" s="213" t="str">
        <f>IFERROR(__xludf.DUMMYFUNCTION("""COMPUTED_VALUE"""),"HERRAMIENTAS")</f>
        <v>HERRAMIENTAS</v>
      </c>
      <c r="E332" s="213" t="str">
        <f>IFERROR(__xludf.DUMMYFUNCTION("""COMPUTED_VALUE"""),"COM-175")</f>
        <v>COM-175</v>
      </c>
      <c r="F332" s="213" t="str">
        <f>IFERROR(__xludf.DUMMYFUNCTION("""COMPUTED_VALUE"""),"COM-175")</f>
        <v>COM-175</v>
      </c>
      <c r="G332" s="213"/>
      <c r="H332" s="213" t="str">
        <f>IFERROR(__xludf.DUMMYFUNCTION("""COMPUTED_VALUE"""),"GREEN SCREEN")</f>
        <v>GREEN SCREEN</v>
      </c>
      <c r="I332" s="213" t="str">
        <f>IFERROR(__xludf.DUMMYFUNCTION("""COMPUTED_VALUE"""),"·  Medidas del equipo: 148 cm x 10.5 cm
·  Medidas de pantalla: 148 cm x 180 cm
·  Peso: 9.3 kg.
·  Materiales: Pantalla 100% Poliéster y armazón de aluminio y hierro
·  Color: Verde")</f>
        <v>·  Medidas del equipo: 148 cm x 10.5 cm
·  Medidas de pantalla: 148 cm x 180 cm
·  Peso: 9.3 kg.
·  Materiales: Pantalla 100% Poliéster y armazón de aluminio y hierro
·  Color: Verde</v>
      </c>
      <c r="J332" s="213">
        <f>IFERROR(__xludf.DUMMYFUNCTION("""COMPUTED_VALUE"""),3.0)</f>
        <v>3</v>
      </c>
      <c r="K332" s="213" t="str">
        <f>IFERROR(__xludf.DUMMYFUNCTION("""COMPUTED_VALUE"""),"90 DÍAS CALENDARIO")</f>
        <v>90 DÍAS CALENDARIO</v>
      </c>
      <c r="L332" s="213" t="str">
        <f>IFERROR(__xludf.DUMMYFUNCTION("""COMPUTED_VALUE"""),"")</f>
        <v/>
      </c>
      <c r="M332" s="213">
        <f>IFERROR(__xludf.DUMMYFUNCTION("""COMPUTED_VALUE"""),1.0)</f>
        <v>1</v>
      </c>
      <c r="N332" s="213">
        <f>IFERROR(__xludf.DUMMYFUNCTION("""COMPUTED_VALUE"""),1.0)</f>
        <v>1</v>
      </c>
      <c r="O332" s="213">
        <f>IFERROR(__xludf.DUMMYFUNCTION("""COMPUTED_VALUE"""),1.0)</f>
        <v>1</v>
      </c>
      <c r="P332" s="213"/>
      <c r="Q332" s="213"/>
      <c r="R332" s="213" t="str">
        <f>IFERROR(__xludf.DUMMYFUNCTION("""COMPUTED_VALUE"""),"SI")</f>
        <v>SI</v>
      </c>
      <c r="S332" s="213"/>
      <c r="T332" s="213" t="str">
        <f>IFERROR(__xludf.DUMMYFUNCTION("""COMPUTED_VALUE"""),"CONSULTA FINAL")</f>
        <v>CONSULTA FINAL</v>
      </c>
      <c r="U332" s="213" t="str">
        <f>IFERROR(__xludf.DUMMYFUNCTION("""COMPUTED_VALUE"""),"NO")</f>
        <v>NO</v>
      </c>
      <c r="V332" s="213" t="str">
        <f>IFERROR(__xludf.DUMMYFUNCTION("""COMPUTED_VALUE"""),"SUSTENTO")</f>
        <v>SUSTENTO</v>
      </c>
      <c r="W332" s="213" t="str">
        <f>IFERROR(__xludf.DUMMYFUNCTION("""COMPUTED_VALUE"""),"DIMENSIONAL")</f>
        <v>DIMENSIONAL</v>
      </c>
      <c r="X332" s="213" t="str">
        <f>IFERROR(__xludf.DUMMYFUNCTION("""COMPUTED_VALUE"""),"INTERLUD")</f>
        <v>INTERLUD</v>
      </c>
      <c r="Y332" s="213" t="str">
        <f>IFERROR(__xludf.DUMMYFUNCTION("""COMPUTED_VALUE"""),"EBKCR205133")</f>
        <v>EBKCR205133</v>
      </c>
      <c r="Z332" s="215" t="str">
        <f>IFERROR(__xludf.DUMMYFUNCTION("""COMPUTED_VALUE"""),"https://www.coolbox.pe/kit-chroma-fondo-verde-para-estudio-foto-y-video-con-parantes-100419263/p")</f>
        <v>https://www.coolbox.pe/kit-chroma-fondo-verde-para-estudio-foto-y-video-con-parantes-100419263/p</v>
      </c>
      <c r="AA332" s="213" t="str">
        <f>IFERROR(__xludf.DUMMYFUNCTION("""COMPUTED_VALUE"""),"COM-175 GREEN SCREEN - CET")</f>
        <v>COM-175 GREEN SCREEN - CET</v>
      </c>
      <c r="AB332" s="213"/>
      <c r="AC332" s="213" t="str">
        <f>IFERROR(__xludf.DUMMYFUNCTION("""COMPUTED_VALUE"""),"GRS-01 GREEN SCREEN (EB GESTORES PAQ 08)")</f>
        <v>GRS-01 GREEN SCREEN (EB GESTORES PAQ 08)</v>
      </c>
      <c r="AD332" s="213" t="str">
        <f>IFERROR(__xludf.DUMMYFUNCTION("""COMPUTED_VALUE"""),"EB GESTORES PAQ 08")</f>
        <v>EB GESTORES PAQ 08</v>
      </c>
      <c r="AE332" s="213"/>
      <c r="AF332" s="213"/>
      <c r="AG332" s="213"/>
      <c r="AH332" s="213" t="str">
        <f>IFERROR(__xludf.DUMMYFUNCTION("""COMPUTED_VALUE"""),"IMPORTADO")</f>
        <v>IMPORTADO</v>
      </c>
      <c r="AI332" s="213"/>
      <c r="AJ332" s="213"/>
      <c r="AK332" s="213"/>
      <c r="AL332" s="213"/>
      <c r="AM332" s="213"/>
      <c r="AN332" s="213"/>
      <c r="AO332" s="213"/>
      <c r="AP332" s="213" t="str">
        <f>IFERROR(__xludf.DUMMYFUNCTION("""COMPUTED_VALUE"""),"LUIS")</f>
        <v>LUIS</v>
      </c>
      <c r="AQ332" s="213"/>
      <c r="AR332" s="213"/>
      <c r="AS332" s="213"/>
      <c r="AT332" s="213"/>
      <c r="AU332" s="213"/>
      <c r="AV332" s="213"/>
      <c r="AW332" s="213"/>
      <c r="AX332" s="213"/>
      <c r="AY332" s="213"/>
      <c r="AZ332" s="213"/>
      <c r="BA332" s="213"/>
      <c r="BB332" s="213"/>
      <c r="BC332" s="213"/>
      <c r="BD332" s="213"/>
    </row>
    <row r="333">
      <c r="A333" s="213">
        <f>IFERROR(__xludf.DUMMYFUNCTION("""COMPUTED_VALUE"""),1670.0)</f>
        <v>1670</v>
      </c>
      <c r="B333" s="213" t="str">
        <f>IFERROR(__xludf.DUMMYFUNCTION("""COMPUTED_VALUE"""),"GUILLERMO E. BILLINGHURST ")</f>
        <v>GUILLERMO E. BILLINGHURST </v>
      </c>
      <c r="C333" s="213" t="str">
        <f>IFERROR(__xludf.DUMMYFUNCTION("""COMPUTED_VALUE"""),"TALLER SFT DE COMPUTACIÓN E INFORMÁTICA")</f>
        <v>TALLER SFT DE COMPUTACIÓN E INFORMÁTICA</v>
      </c>
      <c r="D333" s="213" t="str">
        <f>IFERROR(__xludf.DUMMYFUNCTION("""COMPUTED_VALUE"""),"HERRAMIENTAS")</f>
        <v>HERRAMIENTAS</v>
      </c>
      <c r="E333" s="213" t="str">
        <f>IFERROR(__xludf.DUMMYFUNCTION("""COMPUTED_VALUE"""),"COM-175")</f>
        <v>COM-175</v>
      </c>
      <c r="F333" s="213" t="str">
        <f>IFERROR(__xludf.DUMMYFUNCTION("""COMPUTED_VALUE"""),"COM-175")</f>
        <v>COM-175</v>
      </c>
      <c r="G333" s="213"/>
      <c r="H333" s="213" t="str">
        <f>IFERROR(__xludf.DUMMYFUNCTION("""COMPUTED_VALUE"""),"GREEN SCREEN")</f>
        <v>GREEN SCREEN</v>
      </c>
      <c r="I333" s="213" t="str">
        <f>IFERROR(__xludf.DUMMYFUNCTION("""COMPUTED_VALUE"""),"·  Medidas del equipo: 148 cm x 10.5 cm
·  Medidas de pantalla: 148 cm x 180 cm
·  Peso: 9.3 kg.
·  Materiales: Pantalla 100% Poliéster y armazón de aluminio y hierro
·  Color: Verde")</f>
        <v>·  Medidas del equipo: 148 cm x 10.5 cm
·  Medidas de pantalla: 148 cm x 180 cm
·  Peso: 9.3 kg.
·  Materiales: Pantalla 100% Poliéster y armazón de aluminio y hierro
·  Color: Verde</v>
      </c>
      <c r="J333" s="213">
        <f>IFERROR(__xludf.DUMMYFUNCTION("""COMPUTED_VALUE"""),3.0)</f>
        <v>3</v>
      </c>
      <c r="K333" s="213" t="str">
        <f>IFERROR(__xludf.DUMMYFUNCTION("""COMPUTED_VALUE"""),"90 DÍAS CALENDARIO")</f>
        <v>90 DÍAS CALENDARIO</v>
      </c>
      <c r="L333" s="213" t="str">
        <f>IFERROR(__xludf.DUMMYFUNCTION("""COMPUTED_VALUE"""),"")</f>
        <v/>
      </c>
      <c r="M333" s="213">
        <f>IFERROR(__xludf.DUMMYFUNCTION("""COMPUTED_VALUE"""),1.0)</f>
        <v>1</v>
      </c>
      <c r="N333" s="213">
        <f>IFERROR(__xludf.DUMMYFUNCTION("""COMPUTED_VALUE"""),1.0)</f>
        <v>1</v>
      </c>
      <c r="O333" s="213">
        <f>IFERROR(__xludf.DUMMYFUNCTION("""COMPUTED_VALUE"""),1.0)</f>
        <v>1</v>
      </c>
      <c r="P333" s="213"/>
      <c r="Q333" s="213"/>
      <c r="R333" s="213" t="str">
        <f>IFERROR(__xludf.DUMMYFUNCTION("""COMPUTED_VALUE"""),"SI")</f>
        <v>SI</v>
      </c>
      <c r="S333" s="213"/>
      <c r="T333" s="213" t="str">
        <f>IFERROR(__xludf.DUMMYFUNCTION("""COMPUTED_VALUE"""),"CONSULTA FINAL")</f>
        <v>CONSULTA FINAL</v>
      </c>
      <c r="U333" s="213" t="str">
        <f>IFERROR(__xludf.DUMMYFUNCTION("""COMPUTED_VALUE"""),"NO")</f>
        <v>NO</v>
      </c>
      <c r="V333" s="213" t="str">
        <f>IFERROR(__xludf.DUMMYFUNCTION("""COMPUTED_VALUE"""),"SUSTENTO")</f>
        <v>SUSTENTO</v>
      </c>
      <c r="W333" s="213" t="str">
        <f>IFERROR(__xludf.DUMMYFUNCTION("""COMPUTED_VALUE"""),"DIMENSIONAL")</f>
        <v>DIMENSIONAL</v>
      </c>
      <c r="X333" s="213" t="str">
        <f>IFERROR(__xludf.DUMMYFUNCTION("""COMPUTED_VALUE"""),"INTERLUD")</f>
        <v>INTERLUD</v>
      </c>
      <c r="Y333" s="213" t="str">
        <f>IFERROR(__xludf.DUMMYFUNCTION("""COMPUTED_VALUE"""),"EBKCR205134")</f>
        <v>EBKCR205134</v>
      </c>
      <c r="Z333" s="215" t="str">
        <f>IFERROR(__xludf.DUMMYFUNCTION("""COMPUTED_VALUE"""),"https://www.coolbox.pe/kit-chroma-fondo-verde-para-estudio-foto-y-video-con-parantes-100419263/p")</f>
        <v>https://www.coolbox.pe/kit-chroma-fondo-verde-para-estudio-foto-y-video-con-parantes-100419263/p</v>
      </c>
      <c r="AA333" s="213" t="str">
        <f>IFERROR(__xludf.DUMMYFUNCTION("""COMPUTED_VALUE"""),"COM-175 GREEN SCREEN - CET")</f>
        <v>COM-175 GREEN SCREEN - CET</v>
      </c>
      <c r="AB333" s="213"/>
      <c r="AC333" s="213" t="str">
        <f>IFERROR(__xludf.DUMMYFUNCTION("""COMPUTED_VALUE"""),"GRS-01 GREEN SCREEN (EB GESTORES PAQ 08)")</f>
        <v>GRS-01 GREEN SCREEN (EB GESTORES PAQ 08)</v>
      </c>
      <c r="AD333" s="213" t="str">
        <f>IFERROR(__xludf.DUMMYFUNCTION("""COMPUTED_VALUE"""),"EB GESTORES PAQ 08")</f>
        <v>EB GESTORES PAQ 08</v>
      </c>
      <c r="AE333" s="213"/>
      <c r="AF333" s="213"/>
      <c r="AG333" s="213"/>
      <c r="AH333" s="213" t="str">
        <f>IFERROR(__xludf.DUMMYFUNCTION("""COMPUTED_VALUE"""),"IMPORTADO")</f>
        <v>IMPORTADO</v>
      </c>
      <c r="AI333" s="213"/>
      <c r="AJ333" s="213"/>
      <c r="AK333" s="213"/>
      <c r="AL333" s="213"/>
      <c r="AM333" s="213"/>
      <c r="AN333" s="213"/>
      <c r="AO333" s="213"/>
      <c r="AP333" s="213" t="str">
        <f>IFERROR(__xludf.DUMMYFUNCTION("""COMPUTED_VALUE"""),"LUIS")</f>
        <v>LUIS</v>
      </c>
      <c r="AQ333" s="213"/>
      <c r="AR333" s="213"/>
      <c r="AS333" s="213"/>
      <c r="AT333" s="213"/>
      <c r="AU333" s="213"/>
      <c r="AV333" s="213"/>
      <c r="AW333" s="213"/>
      <c r="AX333" s="213"/>
      <c r="AY333" s="213"/>
      <c r="AZ333" s="213"/>
      <c r="BA333" s="213"/>
      <c r="BB333" s="213"/>
      <c r="BC333" s="213"/>
      <c r="BD333" s="213"/>
    </row>
    <row r="334">
      <c r="A334" s="213">
        <f>IFERROR(__xludf.DUMMYFUNCTION("""COMPUTED_VALUE"""),1921.0)</f>
        <v>1921</v>
      </c>
      <c r="B334" s="213" t="str">
        <f>IFERROR(__xludf.DUMMYFUNCTION("""COMPUTED_VALUE"""),"JOSE GRANDA")</f>
        <v>JOSE GRANDA</v>
      </c>
      <c r="C334" s="213" t="str">
        <f>IFERROR(__xludf.DUMMYFUNCTION("""COMPUTED_VALUE"""),"TALLER SFT DE COMPUTACIÓN E INFORMÁTICA")</f>
        <v>TALLER SFT DE COMPUTACIÓN E INFORMÁTICA</v>
      </c>
      <c r="D334" s="213" t="str">
        <f>IFERROR(__xludf.DUMMYFUNCTION("""COMPUTED_VALUE"""),"HERRAMIENTAS")</f>
        <v>HERRAMIENTAS</v>
      </c>
      <c r="E334" s="213" t="str">
        <f>IFERROR(__xludf.DUMMYFUNCTION("""COMPUTED_VALUE"""),"COM-175")</f>
        <v>COM-175</v>
      </c>
      <c r="F334" s="213" t="str">
        <f>IFERROR(__xludf.DUMMYFUNCTION("""COMPUTED_VALUE"""),"COM-175")</f>
        <v>COM-175</v>
      </c>
      <c r="G334" s="213"/>
      <c r="H334" s="213" t="str">
        <f>IFERROR(__xludf.DUMMYFUNCTION("""COMPUTED_VALUE"""),"GREEN SCREEN")</f>
        <v>GREEN SCREEN</v>
      </c>
      <c r="I334" s="213" t="str">
        <f>IFERROR(__xludf.DUMMYFUNCTION("""COMPUTED_VALUE"""),"·  Medidas del equipo: 148 cm x 10.5 cm
·  Medidas de pantalla: 148 cm x 180 cm
·  Peso: 9.3 kg.
·  Materiales: Pantalla 100% Poliéster y armazón de aluminio y hierro
·  Color: Verde")</f>
        <v>·  Medidas del equipo: 148 cm x 10.5 cm
·  Medidas de pantalla: 148 cm x 180 cm
·  Peso: 9.3 kg.
·  Materiales: Pantalla 100% Poliéster y armazón de aluminio y hierro
·  Color: Verde</v>
      </c>
      <c r="J334" s="213">
        <f>IFERROR(__xludf.DUMMYFUNCTION("""COMPUTED_VALUE"""),3.0)</f>
        <v>3</v>
      </c>
      <c r="K334" s="213" t="str">
        <f>IFERROR(__xludf.DUMMYFUNCTION("""COMPUTED_VALUE"""),"90 DÍAS CALENDARIO")</f>
        <v>90 DÍAS CALENDARIO</v>
      </c>
      <c r="L334" s="213" t="str">
        <f>IFERROR(__xludf.DUMMYFUNCTION("""COMPUTED_VALUE"""),"")</f>
        <v/>
      </c>
      <c r="M334" s="213">
        <f>IFERROR(__xludf.DUMMYFUNCTION("""COMPUTED_VALUE"""),1.0)</f>
        <v>1</v>
      </c>
      <c r="N334" s="213">
        <f>IFERROR(__xludf.DUMMYFUNCTION("""COMPUTED_VALUE"""),1.0)</f>
        <v>1</v>
      </c>
      <c r="O334" s="213">
        <f>IFERROR(__xludf.DUMMYFUNCTION("""COMPUTED_VALUE"""),1.0)</f>
        <v>1</v>
      </c>
      <c r="P334" s="213"/>
      <c r="Q334" s="213"/>
      <c r="R334" s="213" t="str">
        <f>IFERROR(__xludf.DUMMYFUNCTION("""COMPUTED_VALUE"""),"SI")</f>
        <v>SI</v>
      </c>
      <c r="S334" s="213"/>
      <c r="T334" s="213" t="str">
        <f>IFERROR(__xludf.DUMMYFUNCTION("""COMPUTED_VALUE"""),"CONSULTA FINAL")</f>
        <v>CONSULTA FINAL</v>
      </c>
      <c r="U334" s="213" t="str">
        <f>IFERROR(__xludf.DUMMYFUNCTION("""COMPUTED_VALUE"""),"NO")</f>
        <v>NO</v>
      </c>
      <c r="V334" s="213" t="str">
        <f>IFERROR(__xludf.DUMMYFUNCTION("""COMPUTED_VALUE"""),"SUSTENTO")</f>
        <v>SUSTENTO</v>
      </c>
      <c r="W334" s="213" t="str">
        <f>IFERROR(__xludf.DUMMYFUNCTION("""COMPUTED_VALUE"""),"DIMENSIONAL")</f>
        <v>DIMENSIONAL</v>
      </c>
      <c r="X334" s="213" t="str">
        <f>IFERROR(__xludf.DUMMYFUNCTION("""COMPUTED_VALUE"""),"INTERLUD")</f>
        <v>INTERLUD</v>
      </c>
      <c r="Y334" s="213" t="str">
        <f>IFERROR(__xludf.DUMMYFUNCTION("""COMPUTED_VALUE"""),"EBKCR205135")</f>
        <v>EBKCR205135</v>
      </c>
      <c r="Z334" s="215" t="str">
        <f>IFERROR(__xludf.DUMMYFUNCTION("""COMPUTED_VALUE"""),"https://www.coolbox.pe/kit-chroma-fondo-verde-para-estudio-foto-y-video-con-parantes-100419263/p")</f>
        <v>https://www.coolbox.pe/kit-chroma-fondo-verde-para-estudio-foto-y-video-con-parantes-100419263/p</v>
      </c>
      <c r="AA334" s="213" t="str">
        <f>IFERROR(__xludf.DUMMYFUNCTION("""COMPUTED_VALUE"""),"COM-175 GREEN SCREEN - CET")</f>
        <v>COM-175 GREEN SCREEN - CET</v>
      </c>
      <c r="AB334" s="213"/>
      <c r="AC334" s="213" t="str">
        <f>IFERROR(__xludf.DUMMYFUNCTION("""COMPUTED_VALUE"""),"GRS-01 GREEN SCREEN (EB GESTORES PAQ 08)")</f>
        <v>GRS-01 GREEN SCREEN (EB GESTORES PAQ 08)</v>
      </c>
      <c r="AD334" s="213" t="str">
        <f>IFERROR(__xludf.DUMMYFUNCTION("""COMPUTED_VALUE"""),"EB GESTORES PAQ 08")</f>
        <v>EB GESTORES PAQ 08</v>
      </c>
      <c r="AE334" s="213"/>
      <c r="AF334" s="213"/>
      <c r="AG334" s="213"/>
      <c r="AH334" s="213" t="str">
        <f>IFERROR(__xludf.DUMMYFUNCTION("""COMPUTED_VALUE"""),"IMPORTADO")</f>
        <v>IMPORTADO</v>
      </c>
      <c r="AI334" s="213"/>
      <c r="AJ334" s="213"/>
      <c r="AK334" s="213"/>
      <c r="AL334" s="213"/>
      <c r="AM334" s="213"/>
      <c r="AN334" s="213"/>
      <c r="AO334" s="213"/>
      <c r="AP334" s="213" t="str">
        <f>IFERROR(__xludf.DUMMYFUNCTION("""COMPUTED_VALUE"""),"LUIS")</f>
        <v>LUIS</v>
      </c>
      <c r="AQ334" s="213"/>
      <c r="AR334" s="213"/>
      <c r="AS334" s="213"/>
      <c r="AT334" s="213"/>
      <c r="AU334" s="213"/>
      <c r="AV334" s="213"/>
      <c r="AW334" s="213"/>
      <c r="AX334" s="213"/>
      <c r="AY334" s="213"/>
      <c r="AZ334" s="213"/>
      <c r="BA334" s="213"/>
      <c r="BB334" s="213"/>
      <c r="BC334" s="213"/>
      <c r="BD334" s="213"/>
    </row>
    <row r="335">
      <c r="A335" s="213">
        <f>IFERROR(__xludf.DUMMYFUNCTION("""COMPUTED_VALUE"""),1835.0)</f>
        <v>1835</v>
      </c>
      <c r="B335" s="213" t="str">
        <f>IFERROR(__xludf.DUMMYFUNCTION("""COMPUTED_VALUE"""),"GUILLERMO E. BILLINGHURST ")</f>
        <v>GUILLERMO E. BILLINGHURST </v>
      </c>
      <c r="C335" s="213" t="str">
        <f>IFERROR(__xludf.DUMMYFUNCTION("""COMPUTED_VALUE"""),"TALLER SFT DE EBANISTERÍA")</f>
        <v>TALLER SFT DE EBANISTERÍA</v>
      </c>
      <c r="D335" s="213" t="str">
        <f>IFERROR(__xludf.DUMMYFUNCTION("""COMPUTED_VALUE"""),"HERRAMIENTAS")</f>
        <v>HERRAMIENTAS</v>
      </c>
      <c r="E335" s="213" t="str">
        <f>IFERROR(__xludf.DUMMYFUNCTION("""COMPUTED_VALUE"""),"COM-176")</f>
        <v>COM-176</v>
      </c>
      <c r="F335" s="213" t="str">
        <f>IFERROR(__xludf.DUMMYFUNCTION("""COMPUTED_VALUE"""),"COM-176")</f>
        <v>COM-176</v>
      </c>
      <c r="G335" s="213"/>
      <c r="H335" s="213" t="str">
        <f>IFERROR(__xludf.DUMMYFUNCTION("""COMPUTED_VALUE"""),"KIT DE GUIA DE SISTEMA DE ENSAMBLAJE INVISIBLE")</f>
        <v>KIT DE GUIA DE SISTEMA DE ENSAMBLAJE INVISIBLE</v>
      </c>
      <c r="I335" s="213" t="str">
        <f>IFERROR(__xludf.DUMMYFUNCTION("""COMPUTED_VALUE"""),"Kit de Guia para taladro extraible para ser usada en forma fija o portatil contiene: Nucleo de acero endurecido.
Mecha escalonada de 3/8""
Tres orificios para piezas entre 1/2"" y 1 1/2"" Destornilladores de cabeza cuadrada")</f>
        <v>Kit de Guia para taladro extraible para ser usada en forma fija o portatil contiene: Nucleo de acero endurecido.
Mecha escalonada de 3/8"
Tres orificios para piezas entre 1/2" y 1 1/2" Destornilladores de cabeza cuadrada</v>
      </c>
      <c r="J335" s="213">
        <f>IFERROR(__xludf.DUMMYFUNCTION("""COMPUTED_VALUE"""),3.0)</f>
        <v>3</v>
      </c>
      <c r="K335" s="213" t="str">
        <f>IFERROR(__xludf.DUMMYFUNCTION("""COMPUTED_VALUE"""),"90 DÍAS CALENDARIO")</f>
        <v>90 DÍAS CALENDARIO</v>
      </c>
      <c r="L335" s="213" t="str">
        <f>IFERROR(__xludf.DUMMYFUNCTION("""COMPUTED_VALUE"""),"")</f>
        <v/>
      </c>
      <c r="M335" s="213">
        <f>IFERROR(__xludf.DUMMYFUNCTION("""COMPUTED_VALUE"""),1.0)</f>
        <v>1</v>
      </c>
      <c r="N335" s="213">
        <f>IFERROR(__xludf.DUMMYFUNCTION("""COMPUTED_VALUE"""),4.0)</f>
        <v>4</v>
      </c>
      <c r="O335" s="213">
        <f>IFERROR(__xludf.DUMMYFUNCTION("""COMPUTED_VALUE"""),4.0)</f>
        <v>4</v>
      </c>
      <c r="P335" s="213"/>
      <c r="Q335" s="213"/>
      <c r="R335" s="213" t="str">
        <f>IFERROR(__xludf.DUMMYFUNCTION("""COMPUTED_VALUE"""),"SI")</f>
        <v>SI</v>
      </c>
      <c r="S335" s="213"/>
      <c r="T335" s="213" t="str">
        <f>IFERROR(__xludf.DUMMYFUNCTION("""COMPUTED_VALUE"""),"CONSULTA FINAL")</f>
        <v>CONSULTA FINAL</v>
      </c>
      <c r="U335" s="213" t="str">
        <f>IFERROR(__xludf.DUMMYFUNCTION("""COMPUTED_VALUE"""),"NO")</f>
        <v>NO</v>
      </c>
      <c r="V335" s="213" t="str">
        <f>IFERROR(__xludf.DUMMYFUNCTION("""COMPUTED_VALUE"""),"SUSTENTO")</f>
        <v>SUSTENTO</v>
      </c>
      <c r="W335" s="213" t="str">
        <f>IFERROR(__xludf.DUMMYFUNCTION("""COMPUTED_VALUE"""),"EQU TEC")</f>
        <v>EQU TEC</v>
      </c>
      <c r="X335" s="213" t="str">
        <f>IFERROR(__xludf.DUMMYFUNCTION("""COMPUTED_VALUE"""),"TIVOLY")</f>
        <v>TIVOLY</v>
      </c>
      <c r="Y335" s="213" t="str">
        <f>IFERROR(__xludf.DUMMYFUNCTION("""COMPUTED_VALUE"""),"B09NJN7DFV")</f>
        <v>B09NJN7DFV</v>
      </c>
      <c r="Z335" s="215" t="str">
        <f>IFERROR(__xludf.DUMMYFUNCTION("""COMPUTED_VALUE"""),"https://www.amazon.com/-/es/Tivoly-11110220006-invisible-di%C3%A1metro-escalonado/dp/B09NJN7DFV")</f>
        <v>https://www.amazon.com/-/es/Tivoly-11110220006-invisible-di%C3%A1metro-escalonado/dp/B09NJN7DFV</v>
      </c>
      <c r="AA335" s="213" t="str">
        <f>IFERROR(__xludf.DUMMYFUNCTION("""COMPUTED_VALUE"""),"COM-176 KIT DE GUIA DE SISTEMA DE ENSAMBLAJE INVISIBLE- CET")</f>
        <v>COM-176 KIT DE GUIA DE SISTEMA DE ENSAMBLAJE INVISIBLE- CET</v>
      </c>
      <c r="AB335" s="213"/>
      <c r="AC335" s="213"/>
      <c r="AD335" s="213"/>
      <c r="AE335" s="213"/>
      <c r="AF335" s="213"/>
      <c r="AG335" s="213"/>
      <c r="AH335" s="213"/>
      <c r="AI335" s="213"/>
      <c r="AJ335" s="213"/>
      <c r="AK335" s="213"/>
      <c r="AL335" s="213"/>
      <c r="AM335" s="213"/>
      <c r="AN335" s="213"/>
      <c r="AO335" s="213"/>
      <c r="AP335" s="213" t="str">
        <f>IFERROR(__xludf.DUMMYFUNCTION("""COMPUTED_VALUE"""),"SEBASTIAN")</f>
        <v>SEBASTIAN</v>
      </c>
      <c r="AQ335" s="213"/>
      <c r="AR335" s="213"/>
      <c r="AS335" s="213"/>
      <c r="AT335" s="213"/>
      <c r="AU335" s="213"/>
      <c r="AV335" s="213"/>
      <c r="AW335" s="213"/>
      <c r="AX335" s="213"/>
      <c r="AY335" s="213"/>
      <c r="AZ335" s="213"/>
      <c r="BA335" s="213"/>
      <c r="BB335" s="213"/>
      <c r="BC335" s="213"/>
      <c r="BD335" s="213"/>
    </row>
    <row r="336">
      <c r="A336" s="213">
        <f>IFERROR(__xludf.DUMMYFUNCTION("""COMPUTED_VALUE"""),2617.0)</f>
        <v>2617</v>
      </c>
      <c r="B336" s="213" t="str">
        <f>IFERROR(__xludf.DUMMYFUNCTION("""COMPUTED_VALUE"""),"MANUEL ANTONIO MESONES MURO")</f>
        <v>MANUEL ANTONIO MESONES MURO</v>
      </c>
      <c r="C336" s="213" t="str">
        <f>IFERROR(__xludf.DUMMYFUNCTION("""COMPUTED_VALUE"""),"TALLER SFT DE EBANISTERÍA")</f>
        <v>TALLER SFT DE EBANISTERÍA</v>
      </c>
      <c r="D336" s="213" t="str">
        <f>IFERROR(__xludf.DUMMYFUNCTION("""COMPUTED_VALUE"""),"HERRAMIENTAS")</f>
        <v>HERRAMIENTAS</v>
      </c>
      <c r="E336" s="213" t="str">
        <f>IFERROR(__xludf.DUMMYFUNCTION("""COMPUTED_VALUE"""),"COM-176")</f>
        <v>COM-176</v>
      </c>
      <c r="F336" s="213" t="str">
        <f>IFERROR(__xludf.DUMMYFUNCTION("""COMPUTED_VALUE"""),"COM-176")</f>
        <v>COM-176</v>
      </c>
      <c r="G336" s="213"/>
      <c r="H336" s="213" t="str">
        <f>IFERROR(__xludf.DUMMYFUNCTION("""COMPUTED_VALUE"""),"KIT DE GUIA DE SISTEMA DE ENSAMBLAJE INVISIBLE")</f>
        <v>KIT DE GUIA DE SISTEMA DE ENSAMBLAJE INVISIBLE</v>
      </c>
      <c r="I336" s="213" t="str">
        <f>IFERROR(__xludf.DUMMYFUNCTION("""COMPUTED_VALUE"""),"Kit de Guia para taladro extraible para ser usada en forma fija o portatil contiene: Nucleo de acero endurecido.
Mecha escalonada de 3/8""
Tres orificios para piezas entre 1/2"" y 1 1/2"" Destornilladores de cabeza cuadrada")</f>
        <v>Kit de Guia para taladro extraible para ser usada en forma fija o portatil contiene: Nucleo de acero endurecido.
Mecha escalonada de 3/8"
Tres orificios para piezas entre 1/2" y 1 1/2" Destornilladores de cabeza cuadrada</v>
      </c>
      <c r="J336" s="213">
        <f>IFERROR(__xludf.DUMMYFUNCTION("""COMPUTED_VALUE"""),3.0)</f>
        <v>3</v>
      </c>
      <c r="K336" s="213" t="str">
        <f>IFERROR(__xludf.DUMMYFUNCTION("""COMPUTED_VALUE"""),"90 DÍAS CALENDARIO")</f>
        <v>90 DÍAS CALENDARIO</v>
      </c>
      <c r="L336" s="213" t="str">
        <f>IFERROR(__xludf.DUMMYFUNCTION("""COMPUTED_VALUE"""),"")</f>
        <v/>
      </c>
      <c r="M336" s="213">
        <f>IFERROR(__xludf.DUMMYFUNCTION("""COMPUTED_VALUE"""),1.0)</f>
        <v>1</v>
      </c>
      <c r="N336" s="213">
        <f>IFERROR(__xludf.DUMMYFUNCTION("""COMPUTED_VALUE"""),4.0)</f>
        <v>4</v>
      </c>
      <c r="O336" s="213">
        <f>IFERROR(__xludf.DUMMYFUNCTION("""COMPUTED_VALUE"""),4.0)</f>
        <v>4</v>
      </c>
      <c r="P336" s="213"/>
      <c r="Q336" s="213"/>
      <c r="R336" s="213" t="str">
        <f>IFERROR(__xludf.DUMMYFUNCTION("""COMPUTED_VALUE"""),"SI")</f>
        <v>SI</v>
      </c>
      <c r="S336" s="213"/>
      <c r="T336" s="213" t="str">
        <f>IFERROR(__xludf.DUMMYFUNCTION("""COMPUTED_VALUE"""),"CONSULTA FINAL")</f>
        <v>CONSULTA FINAL</v>
      </c>
      <c r="U336" s="213" t="str">
        <f>IFERROR(__xludf.DUMMYFUNCTION("""COMPUTED_VALUE"""),"NO")</f>
        <v>NO</v>
      </c>
      <c r="V336" s="213" t="str">
        <f>IFERROR(__xludf.DUMMYFUNCTION("""COMPUTED_VALUE"""),"SUSTENTO")</f>
        <v>SUSTENTO</v>
      </c>
      <c r="W336" s="213" t="str">
        <f>IFERROR(__xludf.DUMMYFUNCTION("""COMPUTED_VALUE"""),"EQU TEC")</f>
        <v>EQU TEC</v>
      </c>
      <c r="X336" s="213" t="str">
        <f>IFERROR(__xludf.DUMMYFUNCTION("""COMPUTED_VALUE"""),"TIVOLY")</f>
        <v>TIVOLY</v>
      </c>
      <c r="Y336" s="213" t="str">
        <f>IFERROR(__xludf.DUMMYFUNCTION("""COMPUTED_VALUE"""),"B09NJN7DFV")</f>
        <v>B09NJN7DFV</v>
      </c>
      <c r="Z336" s="215" t="str">
        <f>IFERROR(__xludf.DUMMYFUNCTION("""COMPUTED_VALUE"""),"https://www.amazon.com/-/es/Tivoly-11110220006-invisible-di%C3%A1metro-escalonado/dp/B09NJN7DFV")</f>
        <v>https://www.amazon.com/-/es/Tivoly-11110220006-invisible-di%C3%A1metro-escalonado/dp/B09NJN7DFV</v>
      </c>
      <c r="AA336" s="213" t="str">
        <f>IFERROR(__xludf.DUMMYFUNCTION("""COMPUTED_VALUE"""),"COM-176 KIT DE GUIA DE SISTEMA DE ENSAMBLAJE INVISIBLE- CET")</f>
        <v>COM-176 KIT DE GUIA DE SISTEMA DE ENSAMBLAJE INVISIBLE- CET</v>
      </c>
      <c r="AB336" s="213"/>
      <c r="AC336" s="213"/>
      <c r="AD336" s="213"/>
      <c r="AE336" s="213"/>
      <c r="AF336" s="213"/>
      <c r="AG336" s="213"/>
      <c r="AH336" s="213"/>
      <c r="AI336" s="213"/>
      <c r="AJ336" s="213"/>
      <c r="AK336" s="213"/>
      <c r="AL336" s="213"/>
      <c r="AM336" s="213"/>
      <c r="AN336" s="213"/>
      <c r="AO336" s="213"/>
      <c r="AP336" s="213" t="str">
        <f>IFERROR(__xludf.DUMMYFUNCTION("""COMPUTED_VALUE"""),"SEBASTIAN")</f>
        <v>SEBASTIAN</v>
      </c>
      <c r="AQ336" s="213"/>
      <c r="AR336" s="213"/>
      <c r="AS336" s="213"/>
      <c r="AT336" s="213"/>
      <c r="AU336" s="213"/>
      <c r="AV336" s="213"/>
      <c r="AW336" s="213"/>
      <c r="AX336" s="213"/>
      <c r="AY336" s="213"/>
      <c r="AZ336" s="213"/>
      <c r="BA336" s="213"/>
      <c r="BB336" s="213"/>
      <c r="BC336" s="213"/>
      <c r="BD336" s="213"/>
    </row>
    <row r="337">
      <c r="A337" s="213">
        <f>IFERROR(__xludf.DUMMYFUNCTION("""COMPUTED_VALUE"""),1836.0)</f>
        <v>1836</v>
      </c>
      <c r="B337" s="213" t="str">
        <f>IFERROR(__xludf.DUMMYFUNCTION("""COMPUTED_VALUE"""),"GUILLERMO E. BILLINGHURST ")</f>
        <v>GUILLERMO E. BILLINGHURST </v>
      </c>
      <c r="C337" s="213" t="str">
        <f>IFERROR(__xludf.DUMMYFUNCTION("""COMPUTED_VALUE"""),"TALLER SFT DE EBANISTERÍA")</f>
        <v>TALLER SFT DE EBANISTERÍA</v>
      </c>
      <c r="D337" s="213" t="str">
        <f>IFERROR(__xludf.DUMMYFUNCTION("""COMPUTED_VALUE"""),"HERRAMIENTAS")</f>
        <v>HERRAMIENTAS</v>
      </c>
      <c r="E337" s="213" t="str">
        <f>IFERROR(__xludf.DUMMYFUNCTION("""COMPUTED_VALUE"""),"COM-177")</f>
        <v>COM-177</v>
      </c>
      <c r="F337" s="213" t="str">
        <f>IFERROR(__xludf.DUMMYFUNCTION("""COMPUTED_VALUE"""),"COM-177")</f>
        <v>COM-177</v>
      </c>
      <c r="G337" s="213"/>
      <c r="H337" s="213" t="str">
        <f>IFERROR(__xludf.DUMMYFUNCTION("""COMPUTED_VALUE"""),"JUEGO DE GUIA PARA ESPIGAS O TARUGOS")</f>
        <v>JUEGO DE GUIA PARA ESPIGAS O TARUGOS</v>
      </c>
      <c r="I337" s="213" t="str">
        <f>IFERROR(__xludf.DUMMYFUNCTION("""COMPUTED_VALUE"""),"El juego contiene:
Plantilla autoregulable, matriz de aluminio, bocinas de perforación de acero. Para tarugos de 6 mm - 8 mm - 10 mm.
Para piezas de 15 mm a 50 mm., como maximo.")</f>
        <v>El juego contiene:
Plantilla autoregulable, matriz de aluminio, bocinas de perforación de acero. Para tarugos de 6 mm - 8 mm - 10 mm.
Para piezas de 15 mm a 50 mm., como maximo.</v>
      </c>
      <c r="J337" s="213">
        <f>IFERROR(__xludf.DUMMYFUNCTION("""COMPUTED_VALUE"""),3.0)</f>
        <v>3</v>
      </c>
      <c r="K337" s="213" t="str">
        <f>IFERROR(__xludf.DUMMYFUNCTION("""COMPUTED_VALUE"""),"90 DÍAS CALENDARIO")</f>
        <v>90 DÍAS CALENDARIO</v>
      </c>
      <c r="L337" s="213" t="str">
        <f>IFERROR(__xludf.DUMMYFUNCTION("""COMPUTED_VALUE"""),"")</f>
        <v/>
      </c>
      <c r="M337" s="213">
        <f>IFERROR(__xludf.DUMMYFUNCTION("""COMPUTED_VALUE"""),1.0)</f>
        <v>1</v>
      </c>
      <c r="N337" s="213">
        <f>IFERROR(__xludf.DUMMYFUNCTION("""COMPUTED_VALUE"""),4.0)</f>
        <v>4</v>
      </c>
      <c r="O337" s="213">
        <f>IFERROR(__xludf.DUMMYFUNCTION("""COMPUTED_VALUE"""),4.0)</f>
        <v>4</v>
      </c>
      <c r="P337" s="213"/>
      <c r="Q337" s="213"/>
      <c r="R337" s="213" t="str">
        <f>IFERROR(__xludf.DUMMYFUNCTION("""COMPUTED_VALUE"""),"SI")</f>
        <v>SI</v>
      </c>
      <c r="S337" s="213"/>
      <c r="T337" s="213" t="str">
        <f>IFERROR(__xludf.DUMMYFUNCTION("""COMPUTED_VALUE"""),"CONSULTA FINAL")</f>
        <v>CONSULTA FINAL</v>
      </c>
      <c r="U337" s="213" t="str">
        <f>IFERROR(__xludf.DUMMYFUNCTION("""COMPUTED_VALUE"""),"NO")</f>
        <v>NO</v>
      </c>
      <c r="V337" s="213" t="str">
        <f>IFERROR(__xludf.DUMMYFUNCTION("""COMPUTED_VALUE"""),"SUSTENTO")</f>
        <v>SUSTENTO</v>
      </c>
      <c r="W337" s="213" t="str">
        <f>IFERROR(__xludf.DUMMYFUNCTION("""COMPUTED_VALUE"""),"DIMENSIONAL")</f>
        <v>DIMENSIONAL</v>
      </c>
      <c r="X337" s="213" t="str">
        <f>IFERROR(__xludf.DUMMYFUNCTION("""COMPUTED_VALUE"""),"FICTORY")</f>
        <v>FICTORY</v>
      </c>
      <c r="Y337" s="213" t="str">
        <f>IFERROR(__xludf.DUMMYFUNCTION("""COMPUTED_VALUE"""),"B07XTDHGQD")</f>
        <v>B07XTDHGQD</v>
      </c>
      <c r="Z337" s="215" t="str">
        <f>IFERROR(__xludf.DUMMYFUNCTION("""COMPUTED_VALUE"""),"https://spanish.alibaba.com/product-detail/Self-Centering-Woodworking-Doweling-Jig-Kit-1600116500237.html")</f>
        <v>https://spanish.alibaba.com/product-detail/Self-Centering-Woodworking-Doweling-Jig-Kit-1600116500237.html</v>
      </c>
      <c r="AA337" s="213" t="str">
        <f>IFERROR(__xludf.DUMMYFUNCTION("""COMPUTED_VALUE"""),"COM-177 JUEGO DE GUIA PARA ESPIGAS O TARUGOS - CET")</f>
        <v>COM-177 JUEGO DE GUIA PARA ESPIGAS O TARUGOS - CET</v>
      </c>
      <c r="AB337" s="213"/>
      <c r="AC337" s="213"/>
      <c r="AD337" s="213"/>
      <c r="AE337" s="213"/>
      <c r="AF337" s="213"/>
      <c r="AG337" s="213"/>
      <c r="AH337" s="213"/>
      <c r="AI337" s="213"/>
      <c r="AJ337" s="213"/>
      <c r="AK337" s="213"/>
      <c r="AL337" s="213"/>
      <c r="AM337" s="213"/>
      <c r="AN337" s="213"/>
      <c r="AO337" s="213"/>
      <c r="AP337" s="213" t="str">
        <f>IFERROR(__xludf.DUMMYFUNCTION("""COMPUTED_VALUE"""),"SEBASTIAN")</f>
        <v>SEBASTIAN</v>
      </c>
      <c r="AQ337" s="213"/>
      <c r="AR337" s="213"/>
      <c r="AS337" s="213"/>
      <c r="AT337" s="213"/>
      <c r="AU337" s="213"/>
      <c r="AV337" s="213"/>
      <c r="AW337" s="213"/>
      <c r="AX337" s="213"/>
      <c r="AY337" s="213"/>
      <c r="AZ337" s="213"/>
      <c r="BA337" s="213"/>
      <c r="BB337" s="213"/>
      <c r="BC337" s="213"/>
      <c r="BD337" s="213"/>
    </row>
    <row r="338">
      <c r="A338" s="213">
        <f>IFERROR(__xludf.DUMMYFUNCTION("""COMPUTED_VALUE"""),2618.0)</f>
        <v>2618</v>
      </c>
      <c r="B338" s="213" t="str">
        <f>IFERROR(__xludf.DUMMYFUNCTION("""COMPUTED_VALUE"""),"MANUEL ANTONIO MESONES MURO")</f>
        <v>MANUEL ANTONIO MESONES MURO</v>
      </c>
      <c r="C338" s="213" t="str">
        <f>IFERROR(__xludf.DUMMYFUNCTION("""COMPUTED_VALUE"""),"TALLER SFT DE EBANISTERÍA")</f>
        <v>TALLER SFT DE EBANISTERÍA</v>
      </c>
      <c r="D338" s="213" t="str">
        <f>IFERROR(__xludf.DUMMYFUNCTION("""COMPUTED_VALUE"""),"HERRAMIENTAS")</f>
        <v>HERRAMIENTAS</v>
      </c>
      <c r="E338" s="213" t="str">
        <f>IFERROR(__xludf.DUMMYFUNCTION("""COMPUTED_VALUE"""),"COM-177")</f>
        <v>COM-177</v>
      </c>
      <c r="F338" s="213" t="str">
        <f>IFERROR(__xludf.DUMMYFUNCTION("""COMPUTED_VALUE"""),"COM-177")</f>
        <v>COM-177</v>
      </c>
      <c r="G338" s="213"/>
      <c r="H338" s="213" t="str">
        <f>IFERROR(__xludf.DUMMYFUNCTION("""COMPUTED_VALUE"""),"JUEGO DE GUIA PARA ESPIGAS O TARUGOS")</f>
        <v>JUEGO DE GUIA PARA ESPIGAS O TARUGOS</v>
      </c>
      <c r="I338" s="213" t="str">
        <f>IFERROR(__xludf.DUMMYFUNCTION("""COMPUTED_VALUE"""),"El juego contiene:
Plantilla autoregulable, matriz de aluminio, bocinas de perforación de acero. Para tarugos de 6 mm - 8 mm - 10 mm.
Para piezas de 15 mm a 50 mm., como maximo.")</f>
        <v>El juego contiene:
Plantilla autoregulable, matriz de aluminio, bocinas de perforación de acero. Para tarugos de 6 mm - 8 mm - 10 mm.
Para piezas de 15 mm a 50 mm., como maximo.</v>
      </c>
      <c r="J338" s="213">
        <f>IFERROR(__xludf.DUMMYFUNCTION("""COMPUTED_VALUE"""),3.0)</f>
        <v>3</v>
      </c>
      <c r="K338" s="213" t="str">
        <f>IFERROR(__xludf.DUMMYFUNCTION("""COMPUTED_VALUE"""),"90 DÍAS CALENDARIO")</f>
        <v>90 DÍAS CALENDARIO</v>
      </c>
      <c r="L338" s="213" t="str">
        <f>IFERROR(__xludf.DUMMYFUNCTION("""COMPUTED_VALUE"""),"")</f>
        <v/>
      </c>
      <c r="M338" s="213">
        <f>IFERROR(__xludf.DUMMYFUNCTION("""COMPUTED_VALUE"""),1.0)</f>
        <v>1</v>
      </c>
      <c r="N338" s="213">
        <f>IFERROR(__xludf.DUMMYFUNCTION("""COMPUTED_VALUE"""),4.0)</f>
        <v>4</v>
      </c>
      <c r="O338" s="213">
        <f>IFERROR(__xludf.DUMMYFUNCTION("""COMPUTED_VALUE"""),4.0)</f>
        <v>4</v>
      </c>
      <c r="P338" s="213"/>
      <c r="Q338" s="213"/>
      <c r="R338" s="213" t="str">
        <f>IFERROR(__xludf.DUMMYFUNCTION("""COMPUTED_VALUE"""),"SI")</f>
        <v>SI</v>
      </c>
      <c r="S338" s="213"/>
      <c r="T338" s="213" t="str">
        <f>IFERROR(__xludf.DUMMYFUNCTION("""COMPUTED_VALUE"""),"CONSULTA FINAL")</f>
        <v>CONSULTA FINAL</v>
      </c>
      <c r="U338" s="213" t="str">
        <f>IFERROR(__xludf.DUMMYFUNCTION("""COMPUTED_VALUE"""),"NO")</f>
        <v>NO</v>
      </c>
      <c r="V338" s="213" t="str">
        <f>IFERROR(__xludf.DUMMYFUNCTION("""COMPUTED_VALUE"""),"SUSTENTO")</f>
        <v>SUSTENTO</v>
      </c>
      <c r="W338" s="213" t="str">
        <f>IFERROR(__xludf.DUMMYFUNCTION("""COMPUTED_VALUE"""),"DIMENSIONAL")</f>
        <v>DIMENSIONAL</v>
      </c>
      <c r="X338" s="213" t="str">
        <f>IFERROR(__xludf.DUMMYFUNCTION("""COMPUTED_VALUE"""),"FICTORY")</f>
        <v>FICTORY</v>
      </c>
      <c r="Y338" s="213" t="str">
        <f>IFERROR(__xludf.DUMMYFUNCTION("""COMPUTED_VALUE"""),"B07XTDHGQD")</f>
        <v>B07XTDHGQD</v>
      </c>
      <c r="Z338" s="215" t="str">
        <f>IFERROR(__xludf.DUMMYFUNCTION("""COMPUTED_VALUE"""),"https://spanish.alibaba.com/product-detail/Self-Centering-Woodworking-Doweling-Jig-Kit-1600116500237.html")</f>
        <v>https://spanish.alibaba.com/product-detail/Self-Centering-Woodworking-Doweling-Jig-Kit-1600116500237.html</v>
      </c>
      <c r="AA338" s="213" t="str">
        <f>IFERROR(__xludf.DUMMYFUNCTION("""COMPUTED_VALUE"""),"COM-177 JUEGO DE GUIA PARA ESPIGAS O TARUGOS - CET")</f>
        <v>COM-177 JUEGO DE GUIA PARA ESPIGAS O TARUGOS - CET</v>
      </c>
      <c r="AB338" s="213"/>
      <c r="AC338" s="213"/>
      <c r="AD338" s="213"/>
      <c r="AE338" s="213"/>
      <c r="AF338" s="213"/>
      <c r="AG338" s="213"/>
      <c r="AH338" s="213"/>
      <c r="AI338" s="213"/>
      <c r="AJ338" s="213"/>
      <c r="AK338" s="213"/>
      <c r="AL338" s="213"/>
      <c r="AM338" s="213"/>
      <c r="AN338" s="213"/>
      <c r="AO338" s="213"/>
      <c r="AP338" s="213" t="str">
        <f>IFERROR(__xludf.DUMMYFUNCTION("""COMPUTED_VALUE"""),"SEBASTIAN")</f>
        <v>SEBASTIAN</v>
      </c>
      <c r="AQ338" s="213"/>
      <c r="AR338" s="213"/>
      <c r="AS338" s="213"/>
      <c r="AT338" s="213"/>
      <c r="AU338" s="213"/>
      <c r="AV338" s="213"/>
      <c r="AW338" s="213"/>
      <c r="AX338" s="213"/>
      <c r="AY338" s="213"/>
      <c r="AZ338" s="213"/>
      <c r="BA338" s="213"/>
      <c r="BB338" s="213"/>
      <c r="BC338" s="213"/>
      <c r="BD338" s="213"/>
    </row>
    <row r="339">
      <c r="A339" s="213">
        <f>IFERROR(__xludf.DUMMYFUNCTION("""COMPUTED_VALUE"""),354.0)</f>
        <v>354</v>
      </c>
      <c r="B339" s="213" t="str">
        <f>IFERROR(__xludf.DUMMYFUNCTION("""COMPUTED_VALUE"""),"2026 SIMON BOLIVAR")</f>
        <v>2026 SIMON BOLIVAR</v>
      </c>
      <c r="C339" s="213" t="str">
        <f>IFERROR(__xludf.DUMMYFUNCTION("""COMPUTED_VALUE"""),"TALLER SFT DE ELECTRICIDAD")</f>
        <v>TALLER SFT DE ELECTRICIDAD</v>
      </c>
      <c r="D339" s="213" t="str">
        <f>IFERROR(__xludf.DUMMYFUNCTION("""COMPUTED_VALUE"""),"HERRAMIENTAS")</f>
        <v>HERRAMIENTAS</v>
      </c>
      <c r="E339" s="213" t="str">
        <f>IFERROR(__xludf.DUMMYFUNCTION("""COMPUTED_VALUE"""),"COM-178")</f>
        <v>COM-178</v>
      </c>
      <c r="F339" s="213" t="str">
        <f>IFERROR(__xludf.DUMMYFUNCTION("""COMPUTED_VALUE"""),"COM-178")</f>
        <v>COM-178</v>
      </c>
      <c r="G339" s="213"/>
      <c r="H339" s="213" t="str">
        <f>IFERROR(__xludf.DUMMYFUNCTION("""COMPUTED_VALUE"""),"GUÍA PASACABLES")</f>
        <v>GUÍA PASACABLES</v>
      </c>
      <c r="I339" s="213" t="str">
        <f>IFERROR(__xludf.DUMMYFUNCTION("""COMPUTED_VALUE"""),"· Características Técnicas:
- Pasacables, útil para la instalación del cableado.
- Cinta de nylon, resistencia óptima en la introducción de los cables
- Punta de paso metálico en ambos extremos
- Tracción máxima aprox. 110 Kg.
- Dimensiones promedio: Ø 3 "&amp;"mm x 10 m.
- Con estuche para el guardado.")</f>
        <v>· Características Técnicas:
- Pasacables, útil para la instalación del cableado.
- Cinta de nylon, resistencia óptima en la introducción de los cables
- Punta de paso metálico en ambos extremos
- Tracción máxima aprox. 110 Kg.
- Dimensiones promedio: Ø 3 mm x 10 m.
- Con estuche para el guardado.</v>
      </c>
      <c r="J339" s="213">
        <f>IFERROR(__xludf.DUMMYFUNCTION("""COMPUTED_VALUE"""),3.0)</f>
        <v>3</v>
      </c>
      <c r="K339" s="213" t="str">
        <f>IFERROR(__xludf.DUMMYFUNCTION("""COMPUTED_VALUE"""),"90 DÍAS CALENDARIO")</f>
        <v>90 DÍAS CALENDARIO</v>
      </c>
      <c r="L339" s="213" t="str">
        <f>IFERROR(__xludf.DUMMYFUNCTION("""COMPUTED_VALUE"""),"")</f>
        <v/>
      </c>
      <c r="M339" s="213">
        <f>IFERROR(__xludf.DUMMYFUNCTION("""COMPUTED_VALUE"""),1.0)</f>
        <v>1</v>
      </c>
      <c r="N339" s="213">
        <f>IFERROR(__xludf.DUMMYFUNCTION("""COMPUTED_VALUE"""),5.0)</f>
        <v>5</v>
      </c>
      <c r="O339" s="213">
        <f>IFERROR(__xludf.DUMMYFUNCTION("""COMPUTED_VALUE"""),5.0)</f>
        <v>5</v>
      </c>
      <c r="P339" s="213"/>
      <c r="Q339" s="213"/>
      <c r="R339" s="213" t="str">
        <f>IFERROR(__xludf.DUMMYFUNCTION("""COMPUTED_VALUE"""),"SI")</f>
        <v>SI</v>
      </c>
      <c r="S339" s="213"/>
      <c r="T339" s="213" t="str">
        <f>IFERROR(__xludf.DUMMYFUNCTION("""COMPUTED_VALUE"""),"SI")</f>
        <v>SI</v>
      </c>
      <c r="U339" s="213" t="str">
        <f>IFERROR(__xludf.DUMMYFUNCTION("""COMPUTED_VALUE"""),"SI")</f>
        <v>SI</v>
      </c>
      <c r="V339" s="213" t="str">
        <f>IFERROR(__xludf.DUMMYFUNCTION("""COMPUTED_VALUE"""),"-")</f>
        <v>-</v>
      </c>
      <c r="W339" s="213" t="str">
        <f>IFERROR(__xludf.DUMMYFUNCTION("""COMPUTED_VALUE"""),"-")</f>
        <v>-</v>
      </c>
      <c r="X339" s="213" t="str">
        <f>IFERROR(__xludf.DUMMYFUNCTION("""COMPUTED_VALUE"""),"TRUPER")</f>
        <v>TRUPER</v>
      </c>
      <c r="Y339" s="213">
        <f>IFERROR(__xludf.DUMMYFUNCTION("""COMPUTED_VALUE"""),1.000209793E9)</f>
        <v>1000209793</v>
      </c>
      <c r="Z339" s="215" t="str">
        <f>IFERROR(__xludf.DUMMYFUNCTION("""COMPUTED_VALUE"""),"https://www.promart.pe/guia-pasa-cable-de-nylon-10-mts-truper-17755-1000191264/p?gad_source=1&amp;gad_campaignid=22581639037&amp;gbraid=0AAAAADJIfAJXmU2RfdvXdCFef7WD8U-e-&amp;gclid=CjwKCAjwr8LHBhBKEiwAy47uUiZ_no5rteSXZ5KvKKmyesMfMVKx4EDfTvnTLwpV8_U28pMxk5tU5xoCgowQAv"&amp;"D_BwE")</f>
        <v>https://www.promart.pe/guia-pasa-cable-de-nylon-10-mts-truper-17755-1000191264/p?gad_source=1&amp;gad_campaignid=22581639037&amp;gbraid=0AAAAADJIfAJXmU2RfdvXdCFef7WD8U-e-&amp;gclid=CjwKCAjwr8LHBhBKEiwAy47uUiZ_no5rteSXZ5KvKKmyesMfMVKx4EDfTvnTLwpV8_U28pMxk5tU5xoCgowQAvD_BwE</v>
      </c>
      <c r="AA339" s="213" t="str">
        <f>IFERROR(__xludf.DUMMYFUNCTION("""COMPUTED_VALUE"""),"COM-178 GUÍA PASACABLES - CET")</f>
        <v>COM-178 GUÍA PASACABLES - CET</v>
      </c>
      <c r="AB339" s="213"/>
      <c r="AC339" s="213"/>
      <c r="AD339" s="213"/>
      <c r="AE339" s="213"/>
      <c r="AF339" s="213"/>
      <c r="AG339" s="213"/>
      <c r="AH339" s="213"/>
      <c r="AI339" s="213"/>
      <c r="AJ339" s="213"/>
      <c r="AK339" s="213"/>
      <c r="AL339" s="213"/>
      <c r="AM339" s="213"/>
      <c r="AN339" s="213"/>
      <c r="AO339" s="213"/>
      <c r="AP339" s="213" t="str">
        <f>IFERROR(__xludf.DUMMYFUNCTION("""COMPUTED_VALUE"""),"LUIS")</f>
        <v>LUIS</v>
      </c>
      <c r="AQ339" s="213"/>
      <c r="AR339" s="213"/>
      <c r="AS339" s="213"/>
      <c r="AT339" s="213"/>
      <c r="AU339" s="213"/>
      <c r="AV339" s="213"/>
      <c r="AW339" s="213"/>
      <c r="AX339" s="213"/>
      <c r="AY339" s="213"/>
      <c r="AZ339" s="213"/>
      <c r="BA339" s="213"/>
      <c r="BB339" s="213"/>
      <c r="BC339" s="213"/>
      <c r="BD339" s="213"/>
    </row>
    <row r="340">
      <c r="A340" s="213">
        <f>IFERROR(__xludf.DUMMYFUNCTION("""COMPUTED_VALUE"""),840.0)</f>
        <v>840</v>
      </c>
      <c r="B340" s="213" t="str">
        <f>IFERROR(__xludf.DUMMYFUNCTION("""COMPUTED_VALUE"""),"6049 RICARDO PALMA")</f>
        <v>6049 RICARDO PALMA</v>
      </c>
      <c r="C340" s="213" t="str">
        <f>IFERROR(__xludf.DUMMYFUNCTION("""COMPUTED_VALUE"""),"TALLER SFT DE ELECTRICIDAD")</f>
        <v>TALLER SFT DE ELECTRICIDAD</v>
      </c>
      <c r="D340" s="213" t="str">
        <f>IFERROR(__xludf.DUMMYFUNCTION("""COMPUTED_VALUE"""),"HERRAMIENTAS")</f>
        <v>HERRAMIENTAS</v>
      </c>
      <c r="E340" s="213" t="str">
        <f>IFERROR(__xludf.DUMMYFUNCTION("""COMPUTED_VALUE"""),"COM-178")</f>
        <v>COM-178</v>
      </c>
      <c r="F340" s="213" t="str">
        <f>IFERROR(__xludf.DUMMYFUNCTION("""COMPUTED_VALUE"""),"COM-178")</f>
        <v>COM-178</v>
      </c>
      <c r="G340" s="213"/>
      <c r="H340" s="213" t="str">
        <f>IFERROR(__xludf.DUMMYFUNCTION("""COMPUTED_VALUE"""),"GUÍA PASACABLES")</f>
        <v>GUÍA PASACABLES</v>
      </c>
      <c r="I340" s="213" t="str">
        <f>IFERROR(__xludf.DUMMYFUNCTION("""COMPUTED_VALUE"""),"· Características Técnicas:
- Pasacables, útil para la instalación del cableado.
- Cinta de nylon, resistencia óptima en la introducción de los cables
- Punta de paso metálico en ambos extremos
- Tracción máxima aprox. 110 Kg.
- Dimensiones promedio: Ø 3 "&amp;"mm x 10 m.
- Con estuche para el guardado.")</f>
        <v>· Características Técnicas:
- Pasacables, útil para la instalación del cableado.
- Cinta de nylon, resistencia óptima en la introducción de los cables
- Punta de paso metálico en ambos extremos
- Tracción máxima aprox. 110 Kg.
- Dimensiones promedio: Ø 3 mm x 10 m.
- Con estuche para el guardado.</v>
      </c>
      <c r="J340" s="213">
        <f>IFERROR(__xludf.DUMMYFUNCTION("""COMPUTED_VALUE"""),3.0)</f>
        <v>3</v>
      </c>
      <c r="K340" s="213" t="str">
        <f>IFERROR(__xludf.DUMMYFUNCTION("""COMPUTED_VALUE"""),"90 DÍAS CALENDARIO")</f>
        <v>90 DÍAS CALENDARIO</v>
      </c>
      <c r="L340" s="213" t="str">
        <f>IFERROR(__xludf.DUMMYFUNCTION("""COMPUTED_VALUE"""),"")</f>
        <v/>
      </c>
      <c r="M340" s="213">
        <f>IFERROR(__xludf.DUMMYFUNCTION("""COMPUTED_VALUE"""),1.0)</f>
        <v>1</v>
      </c>
      <c r="N340" s="213">
        <f>IFERROR(__xludf.DUMMYFUNCTION("""COMPUTED_VALUE"""),5.0)</f>
        <v>5</v>
      </c>
      <c r="O340" s="213">
        <f>IFERROR(__xludf.DUMMYFUNCTION("""COMPUTED_VALUE"""),5.0)</f>
        <v>5</v>
      </c>
      <c r="P340" s="213"/>
      <c r="Q340" s="213"/>
      <c r="R340" s="213" t="str">
        <f>IFERROR(__xludf.DUMMYFUNCTION("""COMPUTED_VALUE"""),"SI")</f>
        <v>SI</v>
      </c>
      <c r="S340" s="213"/>
      <c r="T340" s="213" t="str">
        <f>IFERROR(__xludf.DUMMYFUNCTION("""COMPUTED_VALUE"""),"SI")</f>
        <v>SI</v>
      </c>
      <c r="U340" s="213" t="str">
        <f>IFERROR(__xludf.DUMMYFUNCTION("""COMPUTED_VALUE"""),"SI")</f>
        <v>SI</v>
      </c>
      <c r="V340" s="213" t="str">
        <f>IFERROR(__xludf.DUMMYFUNCTION("""COMPUTED_VALUE"""),"-")</f>
        <v>-</v>
      </c>
      <c r="W340" s="213" t="str">
        <f>IFERROR(__xludf.DUMMYFUNCTION("""COMPUTED_VALUE"""),"-")</f>
        <v>-</v>
      </c>
      <c r="X340" s="213" t="str">
        <f>IFERROR(__xludf.DUMMYFUNCTION("""COMPUTED_VALUE"""),"TRUPER")</f>
        <v>TRUPER</v>
      </c>
      <c r="Y340" s="213">
        <f>IFERROR(__xludf.DUMMYFUNCTION("""COMPUTED_VALUE"""),1.000209793E9)</f>
        <v>1000209793</v>
      </c>
      <c r="Z340" s="215" t="str">
        <f>IFERROR(__xludf.DUMMYFUNCTION("""COMPUTED_VALUE"""),"https://www.promart.pe/guia-pasa-cable-de-nylon-10-mts-truper-17755-1000191264/p?gad_source=1&amp;gad_campaignid=22581639037&amp;gbraid=0AAAAADJIfAJXmU2RfdvXdCFef7WD8U-e-&amp;gclid=CjwKCAjwr8LHBhBKEiwAy47uUiZ_no5rteSXZ5KvKKmyesMfMVKx4EDfTvnTLwpV8_U28pMxk5tU5xoCgowQAv"&amp;"D_BwE")</f>
        <v>https://www.promart.pe/guia-pasa-cable-de-nylon-10-mts-truper-17755-1000191264/p?gad_source=1&amp;gad_campaignid=22581639037&amp;gbraid=0AAAAADJIfAJXmU2RfdvXdCFef7WD8U-e-&amp;gclid=CjwKCAjwr8LHBhBKEiwAy47uUiZ_no5rteSXZ5KvKKmyesMfMVKx4EDfTvnTLwpV8_U28pMxk5tU5xoCgowQAvD_BwE</v>
      </c>
      <c r="AA340" s="213" t="str">
        <f>IFERROR(__xludf.DUMMYFUNCTION("""COMPUTED_VALUE"""),"COM-178 GUÍA PASACABLES - CET")</f>
        <v>COM-178 GUÍA PASACABLES - CET</v>
      </c>
      <c r="AB340" s="213"/>
      <c r="AC340" s="213"/>
      <c r="AD340" s="213"/>
      <c r="AE340" s="213"/>
      <c r="AF340" s="213"/>
      <c r="AG340" s="213"/>
      <c r="AH340" s="213"/>
      <c r="AI340" s="213"/>
      <c r="AJ340" s="213"/>
      <c r="AK340" s="213"/>
      <c r="AL340" s="213"/>
      <c r="AM340" s="213"/>
      <c r="AN340" s="213"/>
      <c r="AO340" s="213"/>
      <c r="AP340" s="213" t="str">
        <f>IFERROR(__xludf.DUMMYFUNCTION("""COMPUTED_VALUE"""),"LUIS")</f>
        <v>LUIS</v>
      </c>
      <c r="AQ340" s="213"/>
      <c r="AR340" s="213"/>
      <c r="AS340" s="213"/>
      <c r="AT340" s="213"/>
      <c r="AU340" s="213"/>
      <c r="AV340" s="213"/>
      <c r="AW340" s="213"/>
      <c r="AX340" s="213"/>
      <c r="AY340" s="213"/>
      <c r="AZ340" s="213"/>
      <c r="BA340" s="213"/>
      <c r="BB340" s="213"/>
      <c r="BC340" s="213"/>
      <c r="BD340" s="213"/>
    </row>
    <row r="341">
      <c r="A341" s="213">
        <f>IFERROR(__xludf.DUMMYFUNCTION("""COMPUTED_VALUE"""),1262.0)</f>
        <v>1262</v>
      </c>
      <c r="B341" s="213" t="str">
        <f>IFERROR(__xludf.DUMMYFUNCTION("""COMPUTED_VALUE"""),"GUILLERMO E. BILLINGHURST ")</f>
        <v>GUILLERMO E. BILLINGHURST </v>
      </c>
      <c r="C341" s="213" t="str">
        <f>IFERROR(__xludf.DUMMYFUNCTION("""COMPUTED_VALUE"""),"TALLER SFT DE ELECTRICIDAD")</f>
        <v>TALLER SFT DE ELECTRICIDAD</v>
      </c>
      <c r="D341" s="213" t="str">
        <f>IFERROR(__xludf.DUMMYFUNCTION("""COMPUTED_VALUE"""),"HERRAMIENTAS")</f>
        <v>HERRAMIENTAS</v>
      </c>
      <c r="E341" s="213" t="str">
        <f>IFERROR(__xludf.DUMMYFUNCTION("""COMPUTED_VALUE"""),"COM-178")</f>
        <v>COM-178</v>
      </c>
      <c r="F341" s="213" t="str">
        <f>IFERROR(__xludf.DUMMYFUNCTION("""COMPUTED_VALUE"""),"COM-178")</f>
        <v>COM-178</v>
      </c>
      <c r="G341" s="213"/>
      <c r="H341" s="213" t="str">
        <f>IFERROR(__xludf.DUMMYFUNCTION("""COMPUTED_VALUE"""),"GUÍA PASACABLES")</f>
        <v>GUÍA PASACABLES</v>
      </c>
      <c r="I341" s="213" t="str">
        <f>IFERROR(__xludf.DUMMYFUNCTION("""COMPUTED_VALUE"""),"· Características Técnicas:
- Pasacables, útil para la instalación del cableado.
- Cinta de nylon, resistencia óptima en la introducción de los cables
- Punta de paso metálico en ambos extremos
- Tracción máxima aprox. 110 Kg.
- Dimensiones promedio: Ø 3 "&amp;"mm x 10 m.
- Con estuche para el guardado.")</f>
        <v>· Características Técnicas:
- Pasacables, útil para la instalación del cableado.
- Cinta de nylon, resistencia óptima en la introducción de los cables
- Punta de paso metálico en ambos extremos
- Tracción máxima aprox. 110 Kg.
- Dimensiones promedio: Ø 3 mm x 10 m.
- Con estuche para el guardado.</v>
      </c>
      <c r="J341" s="213">
        <f>IFERROR(__xludf.DUMMYFUNCTION("""COMPUTED_VALUE"""),3.0)</f>
        <v>3</v>
      </c>
      <c r="K341" s="213" t="str">
        <f>IFERROR(__xludf.DUMMYFUNCTION("""COMPUTED_VALUE"""),"90 DÍAS CALENDARIO")</f>
        <v>90 DÍAS CALENDARIO</v>
      </c>
      <c r="L341" s="213" t="str">
        <f>IFERROR(__xludf.DUMMYFUNCTION("""COMPUTED_VALUE"""),"")</f>
        <v/>
      </c>
      <c r="M341" s="213">
        <f>IFERROR(__xludf.DUMMYFUNCTION("""COMPUTED_VALUE"""),1.0)</f>
        <v>1</v>
      </c>
      <c r="N341" s="213">
        <f>IFERROR(__xludf.DUMMYFUNCTION("""COMPUTED_VALUE"""),5.0)</f>
        <v>5</v>
      </c>
      <c r="O341" s="213">
        <f>IFERROR(__xludf.DUMMYFUNCTION("""COMPUTED_VALUE"""),5.0)</f>
        <v>5</v>
      </c>
      <c r="P341" s="213"/>
      <c r="Q341" s="213"/>
      <c r="R341" s="213" t="str">
        <f>IFERROR(__xludf.DUMMYFUNCTION("""COMPUTED_VALUE"""),"SI")</f>
        <v>SI</v>
      </c>
      <c r="S341" s="213"/>
      <c r="T341" s="213" t="str">
        <f>IFERROR(__xludf.DUMMYFUNCTION("""COMPUTED_VALUE"""),"SI")</f>
        <v>SI</v>
      </c>
      <c r="U341" s="213" t="str">
        <f>IFERROR(__xludf.DUMMYFUNCTION("""COMPUTED_VALUE"""),"SI")</f>
        <v>SI</v>
      </c>
      <c r="V341" s="213" t="str">
        <f>IFERROR(__xludf.DUMMYFUNCTION("""COMPUTED_VALUE"""),"-")</f>
        <v>-</v>
      </c>
      <c r="W341" s="213" t="str">
        <f>IFERROR(__xludf.DUMMYFUNCTION("""COMPUTED_VALUE"""),"-")</f>
        <v>-</v>
      </c>
      <c r="X341" s="213" t="str">
        <f>IFERROR(__xludf.DUMMYFUNCTION("""COMPUTED_VALUE"""),"TRUPER")</f>
        <v>TRUPER</v>
      </c>
      <c r="Y341" s="213">
        <f>IFERROR(__xludf.DUMMYFUNCTION("""COMPUTED_VALUE"""),1.000209793E9)</f>
        <v>1000209793</v>
      </c>
      <c r="Z341" s="215" t="str">
        <f>IFERROR(__xludf.DUMMYFUNCTION("""COMPUTED_VALUE"""),"https://www.promart.pe/guia-pasa-cable-de-nylon-10-mts-truper-17755-1000191264/p?gad_source=1&amp;gad_campaignid=22581639037&amp;gbraid=0AAAAADJIfAJXmU2RfdvXdCFef7WD8U-e-&amp;gclid=CjwKCAjwr8LHBhBKEiwAy47uUiZ_no5rteSXZ5KvKKmyesMfMVKx4EDfTvnTLwpV8_U28pMxk5tU5xoCgowQAv"&amp;"D_BwE")</f>
        <v>https://www.promart.pe/guia-pasa-cable-de-nylon-10-mts-truper-17755-1000191264/p?gad_source=1&amp;gad_campaignid=22581639037&amp;gbraid=0AAAAADJIfAJXmU2RfdvXdCFef7WD8U-e-&amp;gclid=CjwKCAjwr8LHBhBKEiwAy47uUiZ_no5rteSXZ5KvKKmyesMfMVKx4EDfTvnTLwpV8_U28pMxk5tU5xoCgowQAvD_BwE</v>
      </c>
      <c r="AA341" s="213" t="str">
        <f>IFERROR(__xludf.DUMMYFUNCTION("""COMPUTED_VALUE"""),"COM-178 GUÍA PASACABLES - CET")</f>
        <v>COM-178 GUÍA PASACABLES - CET</v>
      </c>
      <c r="AB341" s="213"/>
      <c r="AC341" s="213"/>
      <c r="AD341" s="213"/>
      <c r="AE341" s="213"/>
      <c r="AF341" s="213"/>
      <c r="AG341" s="213"/>
      <c r="AH341" s="213"/>
      <c r="AI341" s="213"/>
      <c r="AJ341" s="213"/>
      <c r="AK341" s="213"/>
      <c r="AL341" s="213"/>
      <c r="AM341" s="213"/>
      <c r="AN341" s="213"/>
      <c r="AO341" s="213"/>
      <c r="AP341" s="213" t="str">
        <f>IFERROR(__xludf.DUMMYFUNCTION("""COMPUTED_VALUE"""),"LUIS")</f>
        <v>LUIS</v>
      </c>
      <c r="AQ341" s="213"/>
      <c r="AR341" s="213"/>
      <c r="AS341" s="213"/>
      <c r="AT341" s="213"/>
      <c r="AU341" s="213"/>
      <c r="AV341" s="213"/>
      <c r="AW341" s="213"/>
      <c r="AX341" s="213"/>
      <c r="AY341" s="213"/>
      <c r="AZ341" s="213"/>
      <c r="BA341" s="213"/>
      <c r="BB341" s="213"/>
      <c r="BC341" s="213"/>
      <c r="BD341" s="213"/>
    </row>
    <row r="342">
      <c r="A342" s="213">
        <f>IFERROR(__xludf.DUMMYFUNCTION("""COMPUTED_VALUE"""),701.0)</f>
        <v>701</v>
      </c>
      <c r="B342" s="213" t="str">
        <f>IFERROR(__xludf.DUMMYFUNCTION("""COMPUTED_VALUE"""),"6049 RICARDO PALMA")</f>
        <v>6049 RICARDO PALMA</v>
      </c>
      <c r="C342" s="213" t="str">
        <f>IFERROR(__xludf.DUMMYFUNCTION("""COMPUTED_VALUE"""),"TALLER SFT DE ELECTRÓNICA")</f>
        <v>TALLER SFT DE ELECTRÓNICA</v>
      </c>
      <c r="D342" s="213" t="str">
        <f>IFERROR(__xludf.DUMMYFUNCTION("""COMPUTED_VALUE"""),"EQUIPOS")</f>
        <v>EQUIPOS</v>
      </c>
      <c r="E342" s="213" t="str">
        <f>IFERROR(__xludf.DUMMYFUNCTION("""COMPUTED_VALUE"""),"ESP-121")</f>
        <v>ESP-121</v>
      </c>
      <c r="F342" s="213" t="str">
        <f>IFERROR(__xludf.DUMMYFUNCTION("""COMPUTED_VALUE"""),"ESP-121")</f>
        <v>ESP-121</v>
      </c>
      <c r="G342" s="213"/>
      <c r="H342" s="213" t="str">
        <f>IFERROR(__xludf.DUMMYFUNCTION("""COMPUTED_VALUE"""),"CAUTÍN")</f>
        <v>CAUTÍN</v>
      </c>
      <c r="I342" s="213" t="str">
        <f>IFERROR(__xludf.DUMMYFUNCTION("""COMPUTED_VALUE"""),"· Soldador eléctrico en forma de lápiz, generalmente usado para soldar con estaño.
· Potencia: 30 W
· Longitud, mínima: 190 mm
· Voltaje, frecuencia: 220 V, 60 Hz
· Incluye soporte y limpiador de punta.")</f>
        <v>· Soldador eléctrico en forma de lápiz, generalmente usado para soldar con estaño.
· Potencia: 30 W
· Longitud, mínima: 190 mm
· Voltaje, frecuencia: 220 V, 60 Hz
· Incluye soporte y limpiador de punta.</v>
      </c>
      <c r="J342" s="213">
        <f>IFERROR(__xludf.DUMMYFUNCTION("""COMPUTED_VALUE"""),3.0)</f>
        <v>3</v>
      </c>
      <c r="K342" s="213" t="str">
        <f>IFERROR(__xludf.DUMMYFUNCTION("""COMPUTED_VALUE"""),"170 DÍAS CALENDARIO")</f>
        <v>170 DÍAS CALENDARIO</v>
      </c>
      <c r="L342" s="213" t="str">
        <f>IFERROR(__xludf.DUMMYFUNCTION("""COMPUTED_VALUE"""),"")</f>
        <v/>
      </c>
      <c r="M342" s="213">
        <f>IFERROR(__xludf.DUMMYFUNCTION("""COMPUTED_VALUE"""),1.0)</f>
        <v>1</v>
      </c>
      <c r="N342" s="213">
        <f>IFERROR(__xludf.DUMMYFUNCTION("""COMPUTED_VALUE"""),4.0)</f>
        <v>4</v>
      </c>
      <c r="O342" s="213">
        <f>IFERROR(__xludf.DUMMYFUNCTION("""COMPUTED_VALUE"""),4.0)</f>
        <v>4</v>
      </c>
      <c r="P342" s="213"/>
      <c r="Q342" s="213"/>
      <c r="R342" s="213"/>
      <c r="S342" s="213" t="str">
        <f>IFERROR(__xludf.DUMMYFUNCTION("""COMPUTED_VALUE"""),"SI")</f>
        <v>SI</v>
      </c>
      <c r="T342" s="213" t="str">
        <f>IFERROR(__xludf.DUMMYFUNCTION("""COMPUTED_VALUE"""),"SI")</f>
        <v>SI</v>
      </c>
      <c r="U342" s="213" t="str">
        <f>IFERROR(__xludf.DUMMYFUNCTION("""COMPUTED_VALUE"""),"SI")</f>
        <v>SI</v>
      </c>
      <c r="V342" s="213" t="str">
        <f>IFERROR(__xludf.DUMMYFUNCTION("""COMPUTED_VALUE"""),"-")</f>
        <v>-</v>
      </c>
      <c r="W342" s="213" t="str">
        <f>IFERROR(__xludf.DUMMYFUNCTION("""COMPUTED_VALUE"""),"-")</f>
        <v>-</v>
      </c>
      <c r="X342" s="213" t="str">
        <f>IFERROR(__xludf.DUMMYFUNCTION("""COMPUTED_VALUE"""),"Promatisa")</f>
        <v>Promatisa</v>
      </c>
      <c r="Y342" s="213" t="str">
        <f>IFERROR(__xludf.DUMMYFUNCTION("""COMPUTED_VALUE"""),"Cautín eléctrico 220V – 30W tipo lapicero de madera")</f>
        <v>Cautín eléctrico 220V – 30W tipo lapicero de madera</v>
      </c>
      <c r="Z342" s="215" t="str">
        <f>IFERROR(__xludf.DUMMYFUNCTION("""COMPUTED_VALUE"""),"https://www.promart.pe/cautin-electrico-220v-30w-t-lapicero-madera/p")</f>
        <v>https://www.promart.pe/cautin-electrico-220v-30w-t-lapicero-madera/p</v>
      </c>
      <c r="AA342" s="213" t="str">
        <f>IFERROR(__xludf.DUMMYFUNCTION("""COMPUTED_VALUE"""),"ESP-121 CAUTÍN - CET")</f>
        <v>ESP-121 CAUTÍN - CET</v>
      </c>
      <c r="AB342" s="215" t="str">
        <f>IFERROR(__xludf.DUMMYFUNCTION("""COMPUTED_VALUE"""),"https://drive.google.com/file/d/11yceZohMOtPHWH3hI-tdHc4o2VdW9XM5/view")</f>
        <v>https://drive.google.com/file/d/11yceZohMOtPHWH3hI-tdHc4o2VdW9XM5/view</v>
      </c>
      <c r="AC342" s="213"/>
      <c r="AD342" s="213"/>
      <c r="AE342" s="213"/>
      <c r="AF342" s="213"/>
      <c r="AG342" s="213"/>
      <c r="AH342" s="213"/>
      <c r="AI342" s="213"/>
      <c r="AJ342" s="213"/>
      <c r="AK342" s="213"/>
      <c r="AL342" s="213"/>
      <c r="AM342" s="213"/>
      <c r="AN342" s="213"/>
      <c r="AO342" s="213"/>
      <c r="AP342" s="213" t="str">
        <f>IFERROR(__xludf.DUMMYFUNCTION("""COMPUTED_VALUE"""),"BRUNO")</f>
        <v>BRUNO</v>
      </c>
      <c r="AQ342" s="213" t="str">
        <f>IFERROR(__xludf.DUMMYFUNCTION("""COMPUTED_VALUE"""),"Agregar soporte y Limpiador al costo.")</f>
        <v>Agregar soporte y Limpiador al costo.</v>
      </c>
      <c r="AR342" s="213"/>
      <c r="AS342" s="213" t="str">
        <f>IFERROR(__xludf.DUMMYFUNCTION("""COMPUTED_VALUE"""),"Soporte de cautin metal pesado Takema  /  Limpiador De Puntas Metálico Para Cautin - Takema")</f>
        <v>Soporte de cautin metal pesado Takema  /  Limpiador De Puntas Metálico Para Cautin - Takema</v>
      </c>
      <c r="AT342" s="216" t="str">
        <f>IFERROR(__xludf.DUMMYFUNCTION("""COMPUTED_VALUE"""),"https://www.promart.pe/soporte-de-cautin-metal-pesado/p?gad_source=1&amp;gad_campaignid=22932501259&amp;gbraid=0AAAAADJIfAJgSvKabG2GnPwrq3k6Yqddv&amp;gclid=CjwKCAjw6P3GBhBVEiwAJPjmLvm3ljkm0SxQnmi1tkLz487IL7dbrcUNBI-gC94vkstPyfZ7CNI2shoCEQQQAvD_BwE
https://www.mercad"&amp;"olibre.com.pe/limpiador-de-puntas-metalico-para-cautin--takema/up/MPEU2463401498?has_official_store=false&amp;highlight=false&amp;headerTopBrand=false#polycard_client=search-nordic&amp;search_layout=grid&amp;position=3&amp;type=product&amp;tracking_id=b698c16e-d0c3-44e1-afb3-1f6"&amp;"3d512b4de&amp;wid=MPE622495745&amp;sid=search")</f>
        <v>https://www.promart.pe/soporte-de-cautin-metal-pesado/p?gad_source=1&amp;gad_campaignid=22932501259&amp;gbraid=0AAAAADJIfAJgSvKabG2GnPwrq3k6Yqddv&amp;gclid=CjwKCAjw6P3GBhBVEiwAJPjmLvm3ljkm0SxQnmi1tkLz487IL7dbrcUNBI-gC94vkstPyfZ7CNI2shoCEQQQAvD_BwE
https://www.mercadolibre.com.pe/limpiador-de-puntas-metalico-para-cautin--takema/up/MPEU2463401498?has_official_store=false&amp;highlight=false&amp;headerTopBrand=false#polycard_client=search-nordic&amp;search_layout=grid&amp;position=3&amp;type=product&amp;tracking_id=b698c16e-d0c3-44e1-afb3-1f63d512b4de&amp;wid=MPE622495745&amp;sid=search</v>
      </c>
      <c r="AU342" s="213"/>
      <c r="AV342" s="213"/>
      <c r="AW342" s="213"/>
      <c r="AX342" s="213"/>
      <c r="AY342" s="213"/>
      <c r="AZ342" s="213"/>
      <c r="BA342" s="213"/>
      <c r="BB342" s="213"/>
      <c r="BC342" s="213"/>
      <c r="BD342" s="213"/>
    </row>
    <row r="343">
      <c r="A343" s="213">
        <f>IFERROR(__xludf.DUMMYFUNCTION("""COMPUTED_VALUE"""),60.0)</f>
        <v>60</v>
      </c>
      <c r="B343" s="213" t="str">
        <f>IFERROR(__xludf.DUMMYFUNCTION("""COMPUTED_VALUE"""),"16449 ELOY SOBERON  FLORES")</f>
        <v>16449 ELOY SOBERON  FLORES</v>
      </c>
      <c r="C343" s="213" t="str">
        <f>IFERROR(__xludf.DUMMYFUNCTION("""COMPUTED_VALUE"""),"TALLER SFT DE COCINA Y REPOSTERÍA")</f>
        <v>TALLER SFT DE COCINA Y REPOSTERÍA</v>
      </c>
      <c r="D343" s="213" t="str">
        <f>IFERROR(__xludf.DUMMYFUNCTION("""COMPUTED_VALUE"""),"HERRAMIENTAS")</f>
        <v>HERRAMIENTAS</v>
      </c>
      <c r="E343" s="213" t="str">
        <f>IFERROR(__xludf.DUMMYFUNCTION("""COMPUTED_VALUE"""),"COM-179")</f>
        <v>COM-179</v>
      </c>
      <c r="F343" s="213" t="str">
        <f>IFERROR(__xludf.DUMMYFUNCTION("""COMPUTED_VALUE"""),"COM-179")</f>
        <v>COM-179</v>
      </c>
      <c r="G343" s="213"/>
      <c r="H343" s="213" t="str">
        <f>IFERROR(__xludf.DUMMYFUNCTION("""COMPUTED_VALUE"""),"JUEGO DE BOQUILLAS DECORATIVAS")</f>
        <v>JUEGO DE BOQUILLAS DECORATIVAS</v>
      </c>
      <c r="I343" s="213" t="str">
        <f>IFERROR(__xludf.DUMMYFUNCTION("""COMPUTED_VALUE"""),"· Material: acero inoxidable grado alimentario
· Color: plata
· Tamaño aproximado: 3.7cm (boquilla)*4.2cm de diámetro inferior (Altura)*2.5cm (Boquilla de diámetro superior)
· Adecuado para uso profesional.
· Uso: Permita hacer distintas forma flor para d"&amp;"ecorar sus pasteles y galletas.")</f>
        <v>· Material: acero inoxidable grado alimentario
· Color: plata
· Tamaño aproximado: 3.7cm (boquilla)*4.2cm de diámetro inferior (Altura)*2.5cm (Boquilla de diámetro superior)
· Adecuado para uso profesional.
· Uso: Permita hacer distintas forma flor para decorar sus pasteles y galletas.</v>
      </c>
      <c r="J343" s="213">
        <f>IFERROR(__xludf.DUMMYFUNCTION("""COMPUTED_VALUE"""),3.0)</f>
        <v>3</v>
      </c>
      <c r="K343" s="213" t="str">
        <f>IFERROR(__xludf.DUMMYFUNCTION("""COMPUTED_VALUE"""),"90 DÍAS CALENDARIO")</f>
        <v>90 DÍAS CALENDARIO</v>
      </c>
      <c r="L343" s="213" t="str">
        <f>IFERROR(__xludf.DUMMYFUNCTION("""COMPUTED_VALUE"""),"")</f>
        <v/>
      </c>
      <c r="M343" s="213">
        <f>IFERROR(__xludf.DUMMYFUNCTION("""COMPUTED_VALUE"""),1.0)</f>
        <v>1</v>
      </c>
      <c r="N343" s="213">
        <f>IFERROR(__xludf.DUMMYFUNCTION("""COMPUTED_VALUE"""),4.0)</f>
        <v>4</v>
      </c>
      <c r="O343" s="213">
        <f>IFERROR(__xludf.DUMMYFUNCTION("""COMPUTED_VALUE"""),4.0)</f>
        <v>4</v>
      </c>
      <c r="P343" s="213"/>
      <c r="Q343" s="213"/>
      <c r="R343" s="213" t="str">
        <f>IFERROR(__xludf.DUMMYFUNCTION("""COMPUTED_VALUE"""),"SI")</f>
        <v>SI</v>
      </c>
      <c r="S343" s="213"/>
      <c r="T343" s="213" t="str">
        <f>IFERROR(__xludf.DUMMYFUNCTION("""COMPUTED_VALUE"""),"SI")</f>
        <v>SI</v>
      </c>
      <c r="U343" s="213" t="str">
        <f>IFERROR(__xludf.DUMMYFUNCTION("""COMPUTED_VALUE"""),"SI")</f>
        <v>SI</v>
      </c>
      <c r="V343" s="213" t="str">
        <f>IFERROR(__xludf.DUMMYFUNCTION("""COMPUTED_VALUE"""),"-")</f>
        <v>-</v>
      </c>
      <c r="W343" s="213" t="str">
        <f>IFERROR(__xludf.DUMMYFUNCTION("""COMPUTED_VALUE"""),"-")</f>
        <v>-</v>
      </c>
      <c r="X343" s="213" t="str">
        <f>IFERROR(__xludf.DUMMYFUNCTION("""COMPUTED_VALUE"""),"Fdit")</f>
        <v>Fdit</v>
      </c>
      <c r="Y343" s="213" t="str">
        <f>IFERROR(__xludf.DUMMYFUNCTION("""COMPUTED_VALUE"""),"Juego de boquillas de esfera de acero inoxidable")</f>
        <v>Juego de boquillas de esfera de acero inoxidable</v>
      </c>
      <c r="Z343" s="215" t="str">
        <f>IFERROR(__xludf.DUMMYFUNCTION("""COMPUTED_VALUE"""),"https://www.amazon.com/-/es/boquillas-inoxidable-suministros-decoraci%C3%B3n-herramienta/dp/B07NBXVYP1")</f>
        <v>https://www.amazon.com/-/es/boquillas-inoxidable-suministros-decoraci%C3%B3n-herramienta/dp/B07NBXVYP1</v>
      </c>
      <c r="AA343" s="213" t="str">
        <f>IFERROR(__xludf.DUMMYFUNCTION("""COMPUTED_VALUE"""),"COM-179 JUEGO DE BOQUILLAS DECORATIVAS - CET")</f>
        <v>COM-179 JUEGO DE BOQUILLAS DECORATIVAS - CET</v>
      </c>
      <c r="AB343" s="213"/>
      <c r="AC343" s="213"/>
      <c r="AD343" s="213"/>
      <c r="AE343" s="213"/>
      <c r="AF343" s="213"/>
      <c r="AG343" s="213"/>
      <c r="AH343" s="213"/>
      <c r="AI343" s="213"/>
      <c r="AJ343" s="213"/>
      <c r="AK343" s="213"/>
      <c r="AL343" s="213"/>
      <c r="AM343" s="213"/>
      <c r="AN343" s="213"/>
      <c r="AO343" s="213"/>
      <c r="AP343" s="213" t="str">
        <f>IFERROR(__xludf.DUMMYFUNCTION("""COMPUTED_VALUE"""),"SEBASTIAN")</f>
        <v>SEBASTIAN</v>
      </c>
      <c r="AQ343" s="213"/>
      <c r="AR343" s="213"/>
      <c r="AS343" s="213"/>
      <c r="AT343" s="213"/>
      <c r="AU343" s="213"/>
      <c r="AV343" s="213"/>
      <c r="AW343" s="213"/>
      <c r="AX343" s="213"/>
      <c r="AY343" s="213"/>
      <c r="AZ343" s="213"/>
      <c r="BA343" s="213"/>
      <c r="BB343" s="213"/>
      <c r="BC343" s="213"/>
      <c r="BD343" s="213"/>
    </row>
    <row r="344">
      <c r="A344" s="213">
        <f>IFERROR(__xludf.DUMMYFUNCTION("""COMPUTED_VALUE"""),951.0)</f>
        <v>951</v>
      </c>
      <c r="B344" s="213" t="str">
        <f>IFERROR(__xludf.DUMMYFUNCTION("""COMPUTED_VALUE"""),"FRANCISCO IRAZOLA")</f>
        <v>FRANCISCO IRAZOLA</v>
      </c>
      <c r="C344" s="213" t="str">
        <f>IFERROR(__xludf.DUMMYFUNCTION("""COMPUTED_VALUE"""),"TALLER SFT DE MECÁNICA AUTOMOTRIZ")</f>
        <v>TALLER SFT DE MECÁNICA AUTOMOTRIZ</v>
      </c>
      <c r="D344" s="213" t="str">
        <f>IFERROR(__xludf.DUMMYFUNCTION("""COMPUTED_VALUE"""),"HERRAMIENTAS")</f>
        <v>HERRAMIENTAS</v>
      </c>
      <c r="E344" s="213" t="str">
        <f>IFERROR(__xludf.DUMMYFUNCTION("""COMPUTED_VALUE"""),"COM-180")</f>
        <v>COM-180</v>
      </c>
      <c r="F344" s="213" t="str">
        <f>IFERROR(__xludf.DUMMYFUNCTION("""COMPUTED_VALUE"""),"COM-180")</f>
        <v>COM-180</v>
      </c>
      <c r="G344" s="213"/>
      <c r="H344" s="213" t="str">
        <f>IFERROR(__xludf.DUMMYFUNCTION("""COMPUTED_VALUE"""),"JUEGO DE BROCAS")</f>
        <v>JUEGO DE BROCAS</v>
      </c>
      <c r="I344" s="213" t="str">
        <f>IFERROR(__xludf.DUMMYFUNCTION("""COMPUTED_VALUE"""),"Juego de 9 brocas minimo para metal
-Grado de dureza máximo de 67 HRC y están afiladas en cruz a 135 grados conforme a DIN 1412C.
- Acero de alta velocidad
- Caña recta fraccional
- 9 piezas deben tener las siguientes medidas minimas: 3/32”; 1/8; 5/32”; 3"&amp;"/16”; ¼”; 5/16”; 3/8”; 7/16”; ½”
- Estuche organizador")</f>
        <v>Juego de 9 brocas minimo para metal
-Grado de dureza máximo de 67 HRC y están afiladas en cruz a 135 grados conforme a DIN 1412C.
- Acero de alta velocidad
- Caña recta fraccional
- 9 piezas deben tener las siguientes medidas minimas: 3/32”; 1/8; 5/32”; 3/16”; ¼”; 5/16”; 3/8”; 7/16”; ½”
- Estuche organizador</v>
      </c>
      <c r="J344" s="213">
        <f>IFERROR(__xludf.DUMMYFUNCTION("""COMPUTED_VALUE"""),3.0)</f>
        <v>3</v>
      </c>
      <c r="K344" s="213" t="str">
        <f>IFERROR(__xludf.DUMMYFUNCTION("""COMPUTED_VALUE"""),"90 DÍAS CALENDARIO")</f>
        <v>90 DÍAS CALENDARIO</v>
      </c>
      <c r="L344" s="213" t="str">
        <f>IFERROR(__xludf.DUMMYFUNCTION("""COMPUTED_VALUE"""),"")</f>
        <v/>
      </c>
      <c r="M344" s="213">
        <f>IFERROR(__xludf.DUMMYFUNCTION("""COMPUTED_VALUE"""),1.0)</f>
        <v>1</v>
      </c>
      <c r="N344" s="213">
        <f>IFERROR(__xludf.DUMMYFUNCTION("""COMPUTED_VALUE"""),1.0)</f>
        <v>1</v>
      </c>
      <c r="O344" s="213">
        <f>IFERROR(__xludf.DUMMYFUNCTION("""COMPUTED_VALUE"""),1.0)</f>
        <v>1</v>
      </c>
      <c r="P344" s="213"/>
      <c r="Q344" s="213"/>
      <c r="R344" s="213" t="str">
        <f>IFERROR(__xludf.DUMMYFUNCTION("""COMPUTED_VALUE"""),"SI")</f>
        <v>SI</v>
      </c>
      <c r="S344" s="213"/>
      <c r="T344" s="213" t="str">
        <f>IFERROR(__xludf.DUMMYFUNCTION("""COMPUTED_VALUE"""),"SI")</f>
        <v>SI</v>
      </c>
      <c r="U344" s="213" t="str">
        <f>IFERROR(__xludf.DUMMYFUNCTION("""COMPUTED_VALUE"""),"SI")</f>
        <v>SI</v>
      </c>
      <c r="V344" s="213" t="str">
        <f>IFERROR(__xludf.DUMMYFUNCTION("""COMPUTED_VALUE"""),"-")</f>
        <v>-</v>
      </c>
      <c r="W344" s="213" t="str">
        <f>IFERROR(__xludf.DUMMYFUNCTION("""COMPUTED_VALUE"""),"-")</f>
        <v>-</v>
      </c>
      <c r="X344" s="213" t="str">
        <f>IFERROR(__xludf.DUMMYFUNCTION("""COMPUTED_VALUE"""),"TRUPER ")</f>
        <v>TRUPER </v>
      </c>
      <c r="Y344" s="213" t="str">
        <f>IFERROR(__xludf.DUMMYFUNCTION("""COMPUTED_VALUE"""),"EXPERT 50004")</f>
        <v>EXPERT 50004</v>
      </c>
      <c r="Z344" s="215" t="str">
        <f>IFERROR(__xludf.DUMMYFUNCTION("""COMPUTED_VALUE"""),"https://cahema.pe/brocas/17064-set-de-29-brocas-hss-split-point-truper-50004.html")</f>
        <v>https://cahema.pe/brocas/17064-set-de-29-brocas-hss-split-point-truper-50004.html</v>
      </c>
      <c r="AA344" s="213" t="str">
        <f>IFERROR(__xludf.DUMMYFUNCTION("""COMPUTED_VALUE"""),"COM-180 JUEGO DE BROCAS - CET")</f>
        <v>COM-180 JUEGO DE BROCAS - CET</v>
      </c>
      <c r="AB344" s="213"/>
      <c r="AC344" s="213"/>
      <c r="AD344" s="213"/>
      <c r="AE344" s="213"/>
      <c r="AF344" s="213"/>
      <c r="AG344" s="213"/>
      <c r="AH344" s="213"/>
      <c r="AI344" s="213"/>
      <c r="AJ344" s="213"/>
      <c r="AK344" s="213"/>
      <c r="AL344" s="213"/>
      <c r="AM344" s="213"/>
      <c r="AN344" s="213"/>
      <c r="AO344" s="213"/>
      <c r="AP344" s="213" t="str">
        <f>IFERROR(__xludf.DUMMYFUNCTION("""COMPUTED_VALUE"""),"LUIS")</f>
        <v>LUIS</v>
      </c>
      <c r="AQ344" s="213"/>
      <c r="AR344" s="213"/>
      <c r="AS344" s="213"/>
      <c r="AT344" s="213"/>
      <c r="AU344" s="213"/>
      <c r="AV344" s="213"/>
      <c r="AW344" s="213"/>
      <c r="AX344" s="213"/>
      <c r="AY344" s="213"/>
      <c r="AZ344" s="213"/>
      <c r="BA344" s="213"/>
      <c r="BB344" s="213"/>
      <c r="BC344" s="213"/>
      <c r="BD344" s="213"/>
    </row>
    <row r="345">
      <c r="A345" s="213">
        <f>IFERROR(__xludf.DUMMYFUNCTION("""COMPUTED_VALUE"""),1552.0)</f>
        <v>1552</v>
      </c>
      <c r="B345" s="213" t="str">
        <f>IFERROR(__xludf.DUMMYFUNCTION("""COMPUTED_VALUE"""),"GUILLERMO E. BILLINGHURST ")</f>
        <v>GUILLERMO E. BILLINGHURST </v>
      </c>
      <c r="C345" s="213" t="str">
        <f>IFERROR(__xludf.DUMMYFUNCTION("""COMPUTED_VALUE"""),"TALLER SFT DE MECÁNICA AUTOMOTRIZ")</f>
        <v>TALLER SFT DE MECÁNICA AUTOMOTRIZ</v>
      </c>
      <c r="D345" s="213" t="str">
        <f>IFERROR(__xludf.DUMMYFUNCTION("""COMPUTED_VALUE"""),"HERRAMIENTAS")</f>
        <v>HERRAMIENTAS</v>
      </c>
      <c r="E345" s="213" t="str">
        <f>IFERROR(__xludf.DUMMYFUNCTION("""COMPUTED_VALUE"""),"COM-180")</f>
        <v>COM-180</v>
      </c>
      <c r="F345" s="213" t="str">
        <f>IFERROR(__xludf.DUMMYFUNCTION("""COMPUTED_VALUE"""),"COM-180")</f>
        <v>COM-180</v>
      </c>
      <c r="G345" s="213"/>
      <c r="H345" s="213" t="str">
        <f>IFERROR(__xludf.DUMMYFUNCTION("""COMPUTED_VALUE"""),"JUEGO DE BROCAS")</f>
        <v>JUEGO DE BROCAS</v>
      </c>
      <c r="I345" s="213" t="str">
        <f>IFERROR(__xludf.DUMMYFUNCTION("""COMPUTED_VALUE"""),"Juego de 9 brocas minimo para metal
-Grado de dureza máximo de 67 HRC y están afiladas en cruz a 135 grados conforme a DIN 1412C.
- Acero de alta velocidad
- Caña recta fraccional
- 9 piezas deben tener las siguientes medidas minimas: 3/32”; 1/8; 5/32”; 3"&amp;"/16”; ¼”; 5/16”; 3/8”; 7/16”; ½”
- Estuche organizador")</f>
        <v>Juego de 9 brocas minimo para metal
-Grado de dureza máximo de 67 HRC y están afiladas en cruz a 135 grados conforme a DIN 1412C.
- Acero de alta velocidad
- Caña recta fraccional
- 9 piezas deben tener las siguientes medidas minimas: 3/32”; 1/8; 5/32”; 3/16”; ¼”; 5/16”; 3/8”; 7/16”; ½”
- Estuche organizador</v>
      </c>
      <c r="J345" s="213">
        <f>IFERROR(__xludf.DUMMYFUNCTION("""COMPUTED_VALUE"""),3.0)</f>
        <v>3</v>
      </c>
      <c r="K345" s="213" t="str">
        <f>IFERROR(__xludf.DUMMYFUNCTION("""COMPUTED_VALUE"""),"90 DÍAS CALENDARIO")</f>
        <v>90 DÍAS CALENDARIO</v>
      </c>
      <c r="L345" s="213" t="str">
        <f>IFERROR(__xludf.DUMMYFUNCTION("""COMPUTED_VALUE"""),"")</f>
        <v/>
      </c>
      <c r="M345" s="213">
        <f>IFERROR(__xludf.DUMMYFUNCTION("""COMPUTED_VALUE"""),1.0)</f>
        <v>1</v>
      </c>
      <c r="N345" s="213">
        <f>IFERROR(__xludf.DUMMYFUNCTION("""COMPUTED_VALUE"""),1.0)</f>
        <v>1</v>
      </c>
      <c r="O345" s="213">
        <f>IFERROR(__xludf.DUMMYFUNCTION("""COMPUTED_VALUE"""),1.0)</f>
        <v>1</v>
      </c>
      <c r="P345" s="213"/>
      <c r="Q345" s="213"/>
      <c r="R345" s="213" t="str">
        <f>IFERROR(__xludf.DUMMYFUNCTION("""COMPUTED_VALUE"""),"SI")</f>
        <v>SI</v>
      </c>
      <c r="S345" s="213"/>
      <c r="T345" s="213" t="str">
        <f>IFERROR(__xludf.DUMMYFUNCTION("""COMPUTED_VALUE"""),"SI")</f>
        <v>SI</v>
      </c>
      <c r="U345" s="213" t="str">
        <f>IFERROR(__xludf.DUMMYFUNCTION("""COMPUTED_VALUE"""),"SI")</f>
        <v>SI</v>
      </c>
      <c r="V345" s="213" t="str">
        <f>IFERROR(__xludf.DUMMYFUNCTION("""COMPUTED_VALUE"""),"-")</f>
        <v>-</v>
      </c>
      <c r="W345" s="213" t="str">
        <f>IFERROR(__xludf.DUMMYFUNCTION("""COMPUTED_VALUE"""),"-")</f>
        <v>-</v>
      </c>
      <c r="X345" s="213" t="str">
        <f>IFERROR(__xludf.DUMMYFUNCTION("""COMPUTED_VALUE"""),"TRUPER ")</f>
        <v>TRUPER </v>
      </c>
      <c r="Y345" s="213" t="str">
        <f>IFERROR(__xludf.DUMMYFUNCTION("""COMPUTED_VALUE"""),"EXPERT 50004")</f>
        <v>EXPERT 50004</v>
      </c>
      <c r="Z345" s="215" t="str">
        <f>IFERROR(__xludf.DUMMYFUNCTION("""COMPUTED_VALUE"""),"https://cahema.pe/brocas/17064-set-de-29-brocas-hss-split-point-truper-50004.html")</f>
        <v>https://cahema.pe/brocas/17064-set-de-29-brocas-hss-split-point-truper-50004.html</v>
      </c>
      <c r="AA345" s="213" t="str">
        <f>IFERROR(__xludf.DUMMYFUNCTION("""COMPUTED_VALUE"""),"COM-180 JUEGO DE BROCAS - CET")</f>
        <v>COM-180 JUEGO DE BROCAS - CET</v>
      </c>
      <c r="AB345" s="213"/>
      <c r="AC345" s="213"/>
      <c r="AD345" s="213"/>
      <c r="AE345" s="213"/>
      <c r="AF345" s="213"/>
      <c r="AG345" s="213"/>
      <c r="AH345" s="213"/>
      <c r="AI345" s="213"/>
      <c r="AJ345" s="213"/>
      <c r="AK345" s="213"/>
      <c r="AL345" s="213"/>
      <c r="AM345" s="213"/>
      <c r="AN345" s="213"/>
      <c r="AO345" s="213"/>
      <c r="AP345" s="213" t="str">
        <f>IFERROR(__xludf.DUMMYFUNCTION("""COMPUTED_VALUE"""),"LUIS")</f>
        <v>LUIS</v>
      </c>
      <c r="AQ345" s="213"/>
      <c r="AR345" s="213"/>
      <c r="AS345" s="213"/>
      <c r="AT345" s="213"/>
      <c r="AU345" s="213"/>
      <c r="AV345" s="213"/>
      <c r="AW345" s="213"/>
      <c r="AX345" s="213"/>
      <c r="AY345" s="213"/>
      <c r="AZ345" s="213"/>
      <c r="BA345" s="213"/>
      <c r="BB345" s="213"/>
      <c r="BC345" s="213"/>
      <c r="BD345" s="213"/>
    </row>
    <row r="346">
      <c r="A346" s="213">
        <f>IFERROR(__xludf.DUMMYFUNCTION("""COMPUTED_VALUE"""),2244.0)</f>
        <v>2244</v>
      </c>
      <c r="B346" s="213" t="str">
        <f>IFERROR(__xludf.DUMMYFUNCTION("""COMPUTED_VALUE"""),"JOSE GRANDA")</f>
        <v>JOSE GRANDA</v>
      </c>
      <c r="C346" s="213" t="str">
        <f>IFERROR(__xludf.DUMMYFUNCTION("""COMPUTED_VALUE"""),"TALLER SFT DE MECÁNICA AUTOMOTRIZ")</f>
        <v>TALLER SFT DE MECÁNICA AUTOMOTRIZ</v>
      </c>
      <c r="D346" s="213" t="str">
        <f>IFERROR(__xludf.DUMMYFUNCTION("""COMPUTED_VALUE"""),"HERRAMIENTAS")</f>
        <v>HERRAMIENTAS</v>
      </c>
      <c r="E346" s="213" t="str">
        <f>IFERROR(__xludf.DUMMYFUNCTION("""COMPUTED_VALUE"""),"COM-180")</f>
        <v>COM-180</v>
      </c>
      <c r="F346" s="213" t="str">
        <f>IFERROR(__xludf.DUMMYFUNCTION("""COMPUTED_VALUE"""),"COM-180")</f>
        <v>COM-180</v>
      </c>
      <c r="G346" s="213"/>
      <c r="H346" s="213" t="str">
        <f>IFERROR(__xludf.DUMMYFUNCTION("""COMPUTED_VALUE"""),"JUEGO DE BROCAS")</f>
        <v>JUEGO DE BROCAS</v>
      </c>
      <c r="I346" s="213" t="str">
        <f>IFERROR(__xludf.DUMMYFUNCTION("""COMPUTED_VALUE"""),"Juego de 9 brocas minimo para metal
-Grado de dureza máximo de 67 HRC y están afiladas en cruz a 135 grados conforme a DIN 1412C.
- Acero de alta velocidad
- Caña recta fraccional
- 9 piezas deben tener las siguientes medidas minimas: 3/32”; 1/8; 5/32”; 3"&amp;"/16”; ¼”; 5/16”; 3/8”; 7/16”; ½”
- Estuche organizador")</f>
        <v>Juego de 9 brocas minimo para metal
-Grado de dureza máximo de 67 HRC y están afiladas en cruz a 135 grados conforme a DIN 1412C.
- Acero de alta velocidad
- Caña recta fraccional
- 9 piezas deben tener las siguientes medidas minimas: 3/32”; 1/8; 5/32”; 3/16”; ¼”; 5/16”; 3/8”; 7/16”; ½”
- Estuche organizador</v>
      </c>
      <c r="J346" s="213">
        <f>IFERROR(__xludf.DUMMYFUNCTION("""COMPUTED_VALUE"""),3.0)</f>
        <v>3</v>
      </c>
      <c r="K346" s="213" t="str">
        <f>IFERROR(__xludf.DUMMYFUNCTION("""COMPUTED_VALUE"""),"90 DÍAS CALENDARIO")</f>
        <v>90 DÍAS CALENDARIO</v>
      </c>
      <c r="L346" s="213" t="str">
        <f>IFERROR(__xludf.DUMMYFUNCTION("""COMPUTED_VALUE"""),"")</f>
        <v/>
      </c>
      <c r="M346" s="213">
        <f>IFERROR(__xludf.DUMMYFUNCTION("""COMPUTED_VALUE"""),1.0)</f>
        <v>1</v>
      </c>
      <c r="N346" s="213">
        <f>IFERROR(__xludf.DUMMYFUNCTION("""COMPUTED_VALUE"""),1.0)</f>
        <v>1</v>
      </c>
      <c r="O346" s="213">
        <f>IFERROR(__xludf.DUMMYFUNCTION("""COMPUTED_VALUE"""),1.0)</f>
        <v>1</v>
      </c>
      <c r="P346" s="213"/>
      <c r="Q346" s="213"/>
      <c r="R346" s="213" t="str">
        <f>IFERROR(__xludf.DUMMYFUNCTION("""COMPUTED_VALUE"""),"SI")</f>
        <v>SI</v>
      </c>
      <c r="S346" s="213"/>
      <c r="T346" s="213" t="str">
        <f>IFERROR(__xludf.DUMMYFUNCTION("""COMPUTED_VALUE"""),"SI")</f>
        <v>SI</v>
      </c>
      <c r="U346" s="213" t="str">
        <f>IFERROR(__xludf.DUMMYFUNCTION("""COMPUTED_VALUE"""),"SI")</f>
        <v>SI</v>
      </c>
      <c r="V346" s="213" t="str">
        <f>IFERROR(__xludf.DUMMYFUNCTION("""COMPUTED_VALUE"""),"-")</f>
        <v>-</v>
      </c>
      <c r="W346" s="213" t="str">
        <f>IFERROR(__xludf.DUMMYFUNCTION("""COMPUTED_VALUE"""),"-")</f>
        <v>-</v>
      </c>
      <c r="X346" s="213" t="str">
        <f>IFERROR(__xludf.DUMMYFUNCTION("""COMPUTED_VALUE"""),"TRUPER ")</f>
        <v>TRUPER </v>
      </c>
      <c r="Y346" s="213" t="str">
        <f>IFERROR(__xludf.DUMMYFUNCTION("""COMPUTED_VALUE"""),"EXPERT 50004")</f>
        <v>EXPERT 50004</v>
      </c>
      <c r="Z346" s="215" t="str">
        <f>IFERROR(__xludf.DUMMYFUNCTION("""COMPUTED_VALUE"""),"https://cahema.pe/brocas/17064-set-de-29-brocas-hss-split-point-truper-50004.html")</f>
        <v>https://cahema.pe/brocas/17064-set-de-29-brocas-hss-split-point-truper-50004.html</v>
      </c>
      <c r="AA346" s="213" t="str">
        <f>IFERROR(__xludf.DUMMYFUNCTION("""COMPUTED_VALUE"""),"COM-180 JUEGO DE BROCAS - CET")</f>
        <v>COM-180 JUEGO DE BROCAS - CET</v>
      </c>
      <c r="AB346" s="213"/>
      <c r="AC346" s="213"/>
      <c r="AD346" s="213"/>
      <c r="AE346" s="213"/>
      <c r="AF346" s="213"/>
      <c r="AG346" s="213"/>
      <c r="AH346" s="213"/>
      <c r="AI346" s="213"/>
      <c r="AJ346" s="213"/>
      <c r="AK346" s="213"/>
      <c r="AL346" s="213"/>
      <c r="AM346" s="213"/>
      <c r="AN346" s="213"/>
      <c r="AO346" s="213"/>
      <c r="AP346" s="213" t="str">
        <f>IFERROR(__xludf.DUMMYFUNCTION("""COMPUTED_VALUE"""),"LUIS")</f>
        <v>LUIS</v>
      </c>
      <c r="AQ346" s="213"/>
      <c r="AR346" s="213"/>
      <c r="AS346" s="213"/>
      <c r="AT346" s="213"/>
      <c r="AU346" s="213"/>
      <c r="AV346" s="213"/>
      <c r="AW346" s="213"/>
      <c r="AX346" s="213"/>
      <c r="AY346" s="213"/>
      <c r="AZ346" s="213"/>
      <c r="BA346" s="213"/>
      <c r="BB346" s="213"/>
      <c r="BC346" s="213"/>
      <c r="BD346" s="213"/>
    </row>
    <row r="347">
      <c r="A347" s="213">
        <f>IFERROR(__xludf.DUMMYFUNCTION("""COMPUTED_VALUE"""),1800.0)</f>
        <v>1800</v>
      </c>
      <c r="B347" s="213" t="str">
        <f>IFERROR(__xludf.DUMMYFUNCTION("""COMPUTED_VALUE"""),"GUILLERMO E. BILLINGHURST ")</f>
        <v>GUILLERMO E. BILLINGHURST </v>
      </c>
      <c r="C347" s="213" t="str">
        <f>IFERROR(__xludf.DUMMYFUNCTION("""COMPUTED_VALUE"""),"TALLER SFT DE EBANISTERÍA")</f>
        <v>TALLER SFT DE EBANISTERÍA</v>
      </c>
      <c r="D347" s="213" t="str">
        <f>IFERROR(__xludf.DUMMYFUNCTION("""COMPUTED_VALUE"""),"HERRAMIENTAS")</f>
        <v>HERRAMIENTAS</v>
      </c>
      <c r="E347" s="213" t="str">
        <f>IFERROR(__xludf.DUMMYFUNCTION("""COMPUTED_VALUE"""),"COM-181")</f>
        <v>COM-181</v>
      </c>
      <c r="F347" s="213" t="str">
        <f>IFERROR(__xludf.DUMMYFUNCTION("""COMPUTED_VALUE"""),"COM-181")</f>
        <v>COM-181</v>
      </c>
      <c r="G347" s="213"/>
      <c r="H347" s="213" t="str">
        <f>IFERROR(__xludf.DUMMYFUNCTION("""COMPUTED_VALUE"""),"JUEGO DE BROCAS DE COPA PARA MADERA")</f>
        <v>JUEGO DE BROCAS DE COPA PARA MADERA</v>
      </c>
      <c r="I347" s="213" t="str">
        <f>IFERROR(__xludf.DUMMYFUNCTION("""COMPUTED_VALUE"""),"El Juego contiene:
- Caja ordenadora
- 12 Sierras de copa de 3/4"" a 5""
- 2 porta ejes porta sierra de copa con broca guia incluida
- 1 soporte metalico
- 1 llave allen")</f>
        <v>El Juego contiene:
- Caja ordenadora
- 12 Sierras de copa de 3/4" a 5"
- 2 porta ejes porta sierra de copa con broca guia incluida
- 1 soporte metalico
- 1 llave allen</v>
      </c>
      <c r="J347" s="213">
        <f>IFERROR(__xludf.DUMMYFUNCTION("""COMPUTED_VALUE"""),3.0)</f>
        <v>3</v>
      </c>
      <c r="K347" s="213" t="str">
        <f>IFERROR(__xludf.DUMMYFUNCTION("""COMPUTED_VALUE"""),"90 DÍAS CALENDARIO")</f>
        <v>90 DÍAS CALENDARIO</v>
      </c>
      <c r="L347" s="213" t="str">
        <f>IFERROR(__xludf.DUMMYFUNCTION("""COMPUTED_VALUE"""),"")</f>
        <v/>
      </c>
      <c r="M347" s="213">
        <f>IFERROR(__xludf.DUMMYFUNCTION("""COMPUTED_VALUE"""),1.0)</f>
        <v>1</v>
      </c>
      <c r="N347" s="213">
        <f>IFERROR(__xludf.DUMMYFUNCTION("""COMPUTED_VALUE"""),4.0)</f>
        <v>4</v>
      </c>
      <c r="O347" s="213">
        <f>IFERROR(__xludf.DUMMYFUNCTION("""COMPUTED_VALUE"""),4.0)</f>
        <v>4</v>
      </c>
      <c r="P347" s="213"/>
      <c r="Q347" s="213"/>
      <c r="R347" s="213" t="str">
        <f>IFERROR(__xludf.DUMMYFUNCTION("""COMPUTED_VALUE"""),"SI")</f>
        <v>SI</v>
      </c>
      <c r="S347" s="213"/>
      <c r="T347" s="213" t="str">
        <f>IFERROR(__xludf.DUMMYFUNCTION("""COMPUTED_VALUE"""),"SI")</f>
        <v>SI</v>
      </c>
      <c r="U347" s="213" t="str">
        <f>IFERROR(__xludf.DUMMYFUNCTION("""COMPUTED_VALUE"""),"SI")</f>
        <v>SI</v>
      </c>
      <c r="V347" s="213" t="str">
        <f>IFERROR(__xludf.DUMMYFUNCTION("""COMPUTED_VALUE"""),"-")</f>
        <v>-</v>
      </c>
      <c r="W347" s="213" t="str">
        <f>IFERROR(__xludf.DUMMYFUNCTION("""COMPUTED_VALUE"""),"-")</f>
        <v>-</v>
      </c>
      <c r="X347" s="213" t="str">
        <f>IFERROR(__xludf.DUMMYFUNCTION("""COMPUTED_VALUE"""),"  Stalwart")</f>
        <v>  Stalwart</v>
      </c>
      <c r="Y347" s="213" t="str">
        <f>IFERROR(__xludf.DUMMYFUNCTION("""COMPUTED_VALUE"""),"Ref:00191344520733")</f>
        <v>Ref:00191344520733</v>
      </c>
      <c r="Z347" s="215" t="str">
        <f>IFERROR(__xludf.DUMMYFUNCTION("""COMPUTED_VALUE"""),"https://www.wayfair.com/storage-organization/pdp/stalwart-hole-saw-set-16-piece-kit-with-12-saws-5-inch-hex-key-wrench-drive-plate-and-storage-case-tcwj1151.html")</f>
        <v>https://www.wayfair.com/storage-organization/pdp/stalwart-hole-saw-set-16-piece-kit-with-12-saws-5-inch-hex-key-wrench-drive-plate-and-storage-case-tcwj1151.html</v>
      </c>
      <c r="AA347" s="213" t="str">
        <f>IFERROR(__xludf.DUMMYFUNCTION("""COMPUTED_VALUE"""),"COM-181 JUEGO DE BROCAS DE COPA PARA MADERA - CET")</f>
        <v>COM-181 JUEGO DE BROCAS DE COPA PARA MADERA - CET</v>
      </c>
      <c r="AB347" s="213"/>
      <c r="AC347" s="213"/>
      <c r="AD347" s="213"/>
      <c r="AE347" s="213"/>
      <c r="AF347" s="213"/>
      <c r="AG347" s="213"/>
      <c r="AH347" s="213"/>
      <c r="AI347" s="213"/>
      <c r="AJ347" s="213"/>
      <c r="AK347" s="213"/>
      <c r="AL347" s="213"/>
      <c r="AM347" s="213"/>
      <c r="AN347" s="213"/>
      <c r="AO347" s="213"/>
      <c r="AP347" s="213" t="str">
        <f>IFERROR(__xludf.DUMMYFUNCTION("""COMPUTED_VALUE"""),"SEBASTIAN")</f>
        <v>SEBASTIAN</v>
      </c>
      <c r="AQ347" s="213"/>
      <c r="AR347" s="213"/>
      <c r="AS347" s="213"/>
      <c r="AT347" s="213"/>
      <c r="AU347" s="213"/>
      <c r="AV347" s="213"/>
      <c r="AW347" s="213"/>
      <c r="AX347" s="213"/>
      <c r="AY347" s="213"/>
      <c r="AZ347" s="213"/>
      <c r="BA347" s="213"/>
      <c r="BB347" s="213"/>
      <c r="BC347" s="213"/>
      <c r="BD347" s="213"/>
    </row>
    <row r="348">
      <c r="A348" s="213">
        <f>IFERROR(__xludf.DUMMYFUNCTION("""COMPUTED_VALUE"""),2582.0)</f>
        <v>2582</v>
      </c>
      <c r="B348" s="213" t="str">
        <f>IFERROR(__xludf.DUMMYFUNCTION("""COMPUTED_VALUE"""),"MANUEL ANTONIO MESONES MURO")</f>
        <v>MANUEL ANTONIO MESONES MURO</v>
      </c>
      <c r="C348" s="213" t="str">
        <f>IFERROR(__xludf.DUMMYFUNCTION("""COMPUTED_VALUE"""),"TALLER SFT DE EBANISTERÍA")</f>
        <v>TALLER SFT DE EBANISTERÍA</v>
      </c>
      <c r="D348" s="213" t="str">
        <f>IFERROR(__xludf.DUMMYFUNCTION("""COMPUTED_VALUE"""),"HERRAMIENTAS")</f>
        <v>HERRAMIENTAS</v>
      </c>
      <c r="E348" s="213" t="str">
        <f>IFERROR(__xludf.DUMMYFUNCTION("""COMPUTED_VALUE"""),"COM-181")</f>
        <v>COM-181</v>
      </c>
      <c r="F348" s="213" t="str">
        <f>IFERROR(__xludf.DUMMYFUNCTION("""COMPUTED_VALUE"""),"COM-181")</f>
        <v>COM-181</v>
      </c>
      <c r="G348" s="213"/>
      <c r="H348" s="213" t="str">
        <f>IFERROR(__xludf.DUMMYFUNCTION("""COMPUTED_VALUE"""),"JUEGO DE BROCAS DE COPA PARA MADERA")</f>
        <v>JUEGO DE BROCAS DE COPA PARA MADERA</v>
      </c>
      <c r="I348" s="213" t="str">
        <f>IFERROR(__xludf.DUMMYFUNCTION("""COMPUTED_VALUE"""),"El Juego contiene:
- Caja ordenadora
- 12 Sierras de copa de 3/4"" a 5""
- 2 porta ejes porta sierra de copa con broca guia incluida
- 1 soporte metalico
- 1 llave allen")</f>
        <v>El Juego contiene:
- Caja ordenadora
- 12 Sierras de copa de 3/4" a 5"
- 2 porta ejes porta sierra de copa con broca guia incluida
- 1 soporte metalico
- 1 llave allen</v>
      </c>
      <c r="J348" s="213">
        <f>IFERROR(__xludf.DUMMYFUNCTION("""COMPUTED_VALUE"""),3.0)</f>
        <v>3</v>
      </c>
      <c r="K348" s="213" t="str">
        <f>IFERROR(__xludf.DUMMYFUNCTION("""COMPUTED_VALUE"""),"90 DÍAS CALENDARIO")</f>
        <v>90 DÍAS CALENDARIO</v>
      </c>
      <c r="L348" s="213" t="str">
        <f>IFERROR(__xludf.DUMMYFUNCTION("""COMPUTED_VALUE"""),"")</f>
        <v/>
      </c>
      <c r="M348" s="213">
        <f>IFERROR(__xludf.DUMMYFUNCTION("""COMPUTED_VALUE"""),1.0)</f>
        <v>1</v>
      </c>
      <c r="N348" s="213">
        <f>IFERROR(__xludf.DUMMYFUNCTION("""COMPUTED_VALUE"""),4.0)</f>
        <v>4</v>
      </c>
      <c r="O348" s="213">
        <f>IFERROR(__xludf.DUMMYFUNCTION("""COMPUTED_VALUE"""),4.0)</f>
        <v>4</v>
      </c>
      <c r="P348" s="213"/>
      <c r="Q348" s="213"/>
      <c r="R348" s="213" t="str">
        <f>IFERROR(__xludf.DUMMYFUNCTION("""COMPUTED_VALUE"""),"SI")</f>
        <v>SI</v>
      </c>
      <c r="S348" s="213"/>
      <c r="T348" s="213" t="str">
        <f>IFERROR(__xludf.DUMMYFUNCTION("""COMPUTED_VALUE"""),"SI")</f>
        <v>SI</v>
      </c>
      <c r="U348" s="213" t="str">
        <f>IFERROR(__xludf.DUMMYFUNCTION("""COMPUTED_VALUE"""),"SI")</f>
        <v>SI</v>
      </c>
      <c r="V348" s="213" t="str">
        <f>IFERROR(__xludf.DUMMYFUNCTION("""COMPUTED_VALUE"""),"-")</f>
        <v>-</v>
      </c>
      <c r="W348" s="213" t="str">
        <f>IFERROR(__xludf.DUMMYFUNCTION("""COMPUTED_VALUE"""),"-")</f>
        <v>-</v>
      </c>
      <c r="X348" s="213" t="str">
        <f>IFERROR(__xludf.DUMMYFUNCTION("""COMPUTED_VALUE"""),"  Stalwart")</f>
        <v>  Stalwart</v>
      </c>
      <c r="Y348" s="213" t="str">
        <f>IFERROR(__xludf.DUMMYFUNCTION("""COMPUTED_VALUE"""),"Ref:00191344520733")</f>
        <v>Ref:00191344520733</v>
      </c>
      <c r="Z348" s="215" t="str">
        <f>IFERROR(__xludf.DUMMYFUNCTION("""COMPUTED_VALUE"""),"https://www.wayfair.com/storage-organization/pdp/stalwart-hole-saw-set-16-piece-kit-with-12-saws-5-inch-hex-key-wrench-drive-plate-and-storage-case-tcwj1151.html")</f>
        <v>https://www.wayfair.com/storage-organization/pdp/stalwart-hole-saw-set-16-piece-kit-with-12-saws-5-inch-hex-key-wrench-drive-plate-and-storage-case-tcwj1151.html</v>
      </c>
      <c r="AA348" s="213" t="str">
        <f>IFERROR(__xludf.DUMMYFUNCTION("""COMPUTED_VALUE"""),"COM-181 JUEGO DE BROCAS DE COPA PARA MADERA - CET")</f>
        <v>COM-181 JUEGO DE BROCAS DE COPA PARA MADERA - CET</v>
      </c>
      <c r="AB348" s="213"/>
      <c r="AC348" s="213"/>
      <c r="AD348" s="213"/>
      <c r="AE348" s="213"/>
      <c r="AF348" s="213"/>
      <c r="AG348" s="213"/>
      <c r="AH348" s="213"/>
      <c r="AI348" s="213"/>
      <c r="AJ348" s="213"/>
      <c r="AK348" s="213"/>
      <c r="AL348" s="213"/>
      <c r="AM348" s="213"/>
      <c r="AN348" s="213"/>
      <c r="AO348" s="213"/>
      <c r="AP348" s="213" t="str">
        <f>IFERROR(__xludf.DUMMYFUNCTION("""COMPUTED_VALUE"""),"SEBASTIAN")</f>
        <v>SEBASTIAN</v>
      </c>
      <c r="AQ348" s="213"/>
      <c r="AR348" s="213"/>
      <c r="AS348" s="213"/>
      <c r="AT348" s="213"/>
      <c r="AU348" s="213"/>
      <c r="AV348" s="213"/>
      <c r="AW348" s="213"/>
      <c r="AX348" s="213"/>
      <c r="AY348" s="213"/>
      <c r="AZ348" s="213"/>
      <c r="BA348" s="213"/>
      <c r="BB348" s="213"/>
      <c r="BC348" s="213"/>
      <c r="BD348" s="213"/>
    </row>
    <row r="349">
      <c r="A349" s="213">
        <f>IFERROR(__xludf.DUMMYFUNCTION("""COMPUTED_VALUE"""),2474.0)</f>
        <v>2474</v>
      </c>
      <c r="B349" s="213" t="str">
        <f>IFERROR(__xludf.DUMMYFUNCTION("""COMPUTED_VALUE"""),"MANUEL ANTONIO MESONES MURO")</f>
        <v>MANUEL ANTONIO MESONES MURO</v>
      </c>
      <c r="C349" s="213" t="str">
        <f>IFERROR(__xludf.DUMMYFUNCTION("""COMPUTED_VALUE"""),"TALLER SFT DE CONSTRUCCIONES METÁLICAS")</f>
        <v>TALLER SFT DE CONSTRUCCIONES METÁLICAS</v>
      </c>
      <c r="D349" s="213" t="str">
        <f>IFERROR(__xludf.DUMMYFUNCTION("""COMPUTED_VALUE"""),"HERRAMIENTAS")</f>
        <v>HERRAMIENTAS</v>
      </c>
      <c r="E349" s="213" t="str">
        <f>IFERROR(__xludf.DUMMYFUNCTION("""COMPUTED_VALUE"""),"COM-127")</f>
        <v>COM-127</v>
      </c>
      <c r="F349" s="213" t="str">
        <f>IFERROR(__xludf.DUMMYFUNCTION("""COMPUTED_VALUE"""),"COM-127")</f>
        <v>COM-127</v>
      </c>
      <c r="G349" s="213"/>
      <c r="H349" s="213" t="str">
        <f>IFERROR(__xludf.DUMMYFUNCTION("""COMPUTED_VALUE"""),"CARETA DE SOLDAR FOTOSENSIBLE")</f>
        <v>CARETA DE SOLDAR FOTOSENSIBLE</v>
      </c>
      <c r="I349" s="213" t="str">
        <f>IFERROR(__xludf.DUMMYFUNCTION("""COMPUTED_VALUE"""),"Protección visual y facial
. Protección de cabeza avanzada
. Tonos oscuros ADF-5-8-9-13
. Número de sensores: 03
. Sensibilidad (TIG-MIG/MAG)
. Tipo de batería 3V + solar cell
. Vida Mínima de batería: 2 500 horas")</f>
        <v>Protección visual y facial
. Protección de cabeza avanzada
. Tonos oscuros ADF-5-8-9-13
. Número de sensores: 03
. Sensibilidad (TIG-MIG/MAG)
. Tipo de batería 3V + solar cell
. Vida Mínima de batería: 2 500 horas</v>
      </c>
      <c r="J349" s="213">
        <f>IFERROR(__xludf.DUMMYFUNCTION("""COMPUTED_VALUE"""),3.0)</f>
        <v>3</v>
      </c>
      <c r="K349" s="213" t="str">
        <f>IFERROR(__xludf.DUMMYFUNCTION("""COMPUTED_VALUE"""),"90 DÍAS CALENDARIO")</f>
        <v>90 DÍAS CALENDARIO</v>
      </c>
      <c r="L349" s="213" t="str">
        <f>IFERROR(__xludf.DUMMYFUNCTION("""COMPUTED_VALUE"""),"")</f>
        <v/>
      </c>
      <c r="M349" s="213">
        <f>IFERROR(__xludf.DUMMYFUNCTION("""COMPUTED_VALUE"""),1.0)</f>
        <v>1</v>
      </c>
      <c r="N349" s="213">
        <f>IFERROR(__xludf.DUMMYFUNCTION("""COMPUTED_VALUE"""),20.0)</f>
        <v>20</v>
      </c>
      <c r="O349" s="213">
        <f>IFERROR(__xludf.DUMMYFUNCTION("""COMPUTED_VALUE"""),20.0)</f>
        <v>20</v>
      </c>
      <c r="P349" s="213"/>
      <c r="Q349" s="213"/>
      <c r="R349" s="213" t="str">
        <f>IFERROR(__xludf.DUMMYFUNCTION("""COMPUTED_VALUE"""),"SI")</f>
        <v>SI</v>
      </c>
      <c r="S349" s="213"/>
      <c r="T349" s="213" t="str">
        <f>IFERROR(__xludf.DUMMYFUNCTION("""COMPUTED_VALUE"""),"SI")</f>
        <v>SI</v>
      </c>
      <c r="U349" s="213" t="str">
        <f>IFERROR(__xludf.DUMMYFUNCTION("""COMPUTED_VALUE"""),"SI")</f>
        <v>SI</v>
      </c>
      <c r="V349" s="213" t="str">
        <f>IFERROR(__xludf.DUMMYFUNCTION("""COMPUTED_VALUE"""),"-")</f>
        <v>-</v>
      </c>
      <c r="W349" s="213" t="str">
        <f>IFERROR(__xludf.DUMMYFUNCTION("""COMPUTED_VALUE"""),"-")</f>
        <v>-</v>
      </c>
      <c r="X349" s="213" t="str">
        <f>IFERROR(__xludf.DUMMYFUNCTION("""COMPUTED_VALUE"""),"SELLSTROM")</f>
        <v>SELLSTROM</v>
      </c>
      <c r="Y349" s="213" t="str">
        <f>IFERROR(__xludf.DUMMYFUNCTION("""COMPUTED_VALUE"""),"WHP4000")</f>
        <v>WHP4000</v>
      </c>
      <c r="Z349" s="215" t="str">
        <f>IFERROR(__xludf.DUMMYFUNCTION("""COMPUTED_VALUE"""),"https://www.cimasafety.com/careta-para-soldar-sellstrom-whp4000-adf-5-13--det--SEL-S26400")</f>
        <v>https://www.cimasafety.com/careta-para-soldar-sellstrom-whp4000-adf-5-13--det--SEL-S26400</v>
      </c>
      <c r="AA349" s="213" t="str">
        <f>IFERROR(__xludf.DUMMYFUNCTION("""COMPUTED_VALUE"""),"COM-127 CARETA DE SOLDAR FOTOSENSIBLE - CET")</f>
        <v>COM-127 CARETA DE SOLDAR FOTOSENSIBLE - CET</v>
      </c>
      <c r="AB349" s="213"/>
      <c r="AC349" s="213"/>
      <c r="AD349" s="213" t="str">
        <f>IFERROR(__xludf.DUMMYFUNCTION("""COMPUTED_VALUE"""),"PAQ 5 CIENCIA Y SALUD")</f>
        <v>PAQ 5 CIENCIA Y SALUD</v>
      </c>
      <c r="AE349" s="213" t="str">
        <f>IFERROR(__xludf.DUMMYFUNCTION("""COMPUTED_VALUE"""),"MASC-01")</f>
        <v>MASC-01</v>
      </c>
      <c r="AF349" s="213"/>
      <c r="AG349" s="213"/>
      <c r="AH349" s="213" t="str">
        <f>IFERROR(__xludf.DUMMYFUNCTION("""COMPUTED_VALUE"""),"IMPORTADO")</f>
        <v>IMPORTADO</v>
      </c>
      <c r="AI349" s="213"/>
      <c r="AJ349" s="213"/>
      <c r="AK349" s="213"/>
      <c r="AL349" s="213"/>
      <c r="AM349" s="213"/>
      <c r="AN349" s="213"/>
      <c r="AO349" s="213"/>
      <c r="AP349" s="213" t="str">
        <f>IFERROR(__xludf.DUMMYFUNCTION("""COMPUTED_VALUE"""),"LUIS")</f>
        <v>LUIS</v>
      </c>
      <c r="AQ349" s="213"/>
      <c r="AR349" s="213"/>
      <c r="AS349" s="213"/>
      <c r="AT349" s="213"/>
      <c r="AU349" s="213"/>
      <c r="AV349" s="213"/>
      <c r="AW349" s="213"/>
      <c r="AX349" s="213"/>
      <c r="AY349" s="213"/>
      <c r="AZ349" s="213"/>
      <c r="BA349" s="213"/>
      <c r="BB349" s="213"/>
      <c r="BC349" s="213"/>
      <c r="BD349" s="213"/>
    </row>
    <row r="350">
      <c r="A350" s="213">
        <f>IFERROR(__xludf.DUMMYFUNCTION("""COMPUTED_VALUE"""),1801.0)</f>
        <v>1801</v>
      </c>
      <c r="B350" s="213" t="str">
        <f>IFERROR(__xludf.DUMMYFUNCTION("""COMPUTED_VALUE"""),"GUILLERMO E. BILLINGHURST ")</f>
        <v>GUILLERMO E. BILLINGHURST </v>
      </c>
      <c r="C350" s="213" t="str">
        <f>IFERROR(__xludf.DUMMYFUNCTION("""COMPUTED_VALUE"""),"TALLER SFT DE EBANISTERÍA")</f>
        <v>TALLER SFT DE EBANISTERÍA</v>
      </c>
      <c r="D350" s="213" t="str">
        <f>IFERROR(__xludf.DUMMYFUNCTION("""COMPUTED_VALUE"""),"HERRAMIENTAS")</f>
        <v>HERRAMIENTAS</v>
      </c>
      <c r="E350" s="213" t="str">
        <f>IFERROR(__xludf.DUMMYFUNCTION("""COMPUTED_VALUE"""),"COM-183")</f>
        <v>COM-183</v>
      </c>
      <c r="F350" s="213" t="str">
        <f>IFERROR(__xludf.DUMMYFUNCTION("""COMPUTED_VALUE"""),"COM-183")</f>
        <v>COM-183</v>
      </c>
      <c r="G350" s="213"/>
      <c r="H350" s="213" t="str">
        <f>IFERROR(__xludf.DUMMYFUNCTION("""COMPUTED_VALUE"""),"JUEGO DE BROCAS PARA METAL, MADERA, CEMENTO.")</f>
        <v>JUEGO DE BROCAS PARA METAL, MADERA, CEMENTO.</v>
      </c>
      <c r="I350" s="213" t="str">
        <f>IFERROR(__xludf.DUMMYFUNCTION("""COMPUTED_VALUE"""),"Fabricadas en acero M2 de larga duracion, con baño de cobalto, para metal, madera y concreto. El Juego consta de 29 pzas de brocas
Incluye:  1 Broca de 1/16 ""(1.5 mm), 1 Broca de 5/64"" (1.9 mm), 1 Broca de 3/32 ""(2.3 mm), 1 Broca de
7/64"" (2.7 mm), 1 "&amp;"Broca de 1/8 ""(3,1 mm) 1 Broca de 9/64"" (3,5 mm) 1 Broca de 5/32 ""(3,9 mm) 1 Broca de
11/64"" (4,3 mm) 1 Broca de 3/16 ""(4,7 mm), 1 Broca de 13/64"" (5.1 mm), 1 Broca de 7/32 ""(5.5 mm), 1
Broca de 15/64"" (5.9 mm) ), 1 Broca de 1/4 ""(6,3 mm), 1 Broc"&amp;"a de 17/64"" (6,7 mm), 1 Broca de 9/32 ""(7,1
mm), 1 Broca de 19/64 ""(7,5 mm), 1 Broca de 5/16"" (7,9 mm), 1 Broca de 21/64 ""(8,3 mm), 1 Broca de
11/32"" (8,7 mm), 1 Broca de 23/64 ""(9.1 mm), 1 Broca de 3/8"" (9.5 mm)), 1 Broca de 25/64 ""(9,9 mm), 1 B"&amp;"roca de 13/32"" (10,3 mm) , 1 Broca de 27/64 ""(10,7 mm), 1 Broca de 7/16"" (11,1 mm)),1 Broca de 29/64 ""(11,5 mm, 1 Broca de 15/32"" (11,9 mm), 1 Broca de 31/64 ""(12,3 mm), 1 Broca de 1/2"" (12,7 mm).")</f>
        <v>Fabricadas en acero M2 de larga duracion, con baño de cobalto, para metal, madera y concreto. El Juego consta de 29 pzas de brocas
Incluye:  1 Broca de 1/16 "(1.5 mm), 1 Broca de 5/64" (1.9 mm), 1 Broca de 3/32 "(2.3 mm), 1 Broca de
7/64" (2.7 mm), 1 Broca de 1/8 "(3,1 mm) 1 Broca de 9/64" (3,5 mm) 1 Broca de 5/32 "(3,9 mm) 1 Broca de
11/64" (4,3 mm) 1 Broca de 3/16 "(4,7 mm), 1 Broca de 13/64" (5.1 mm), 1 Broca de 7/32 "(5.5 mm), 1
Broca de 15/64" (5.9 mm) ), 1 Broca de 1/4 "(6,3 mm), 1 Broca de 17/64" (6,7 mm), 1 Broca de 9/32 "(7,1
mm), 1 Broca de 19/64 "(7,5 mm), 1 Broca de 5/16" (7,9 mm), 1 Broca de 21/64 "(8,3 mm), 1 Broca de
11/32" (8,7 mm), 1 Broca de 23/64 "(9.1 mm), 1 Broca de 3/8" (9.5 mm)), 1 Broca de 25/64 "(9,9 mm), 1 Broca de 13/32" (10,3 mm) , 1 Broca de 27/64 "(10,7 mm), 1 Broca de 7/16" (11,1 mm)),1 Broca de 29/64 "(11,5 mm, 1 Broca de 15/32" (11,9 mm), 1 Broca de 31/64 "(12,3 mm), 1 Broca de 1/2" (12,7 mm).</v>
      </c>
      <c r="J350" s="213">
        <f>IFERROR(__xludf.DUMMYFUNCTION("""COMPUTED_VALUE"""),3.0)</f>
        <v>3</v>
      </c>
      <c r="K350" s="213" t="str">
        <f>IFERROR(__xludf.DUMMYFUNCTION("""COMPUTED_VALUE"""),"90 DÍAS CALENDARIO")</f>
        <v>90 DÍAS CALENDARIO</v>
      </c>
      <c r="L350" s="213" t="str">
        <f>IFERROR(__xludf.DUMMYFUNCTION("""COMPUTED_VALUE"""),"")</f>
        <v/>
      </c>
      <c r="M350" s="213">
        <f>IFERROR(__xludf.DUMMYFUNCTION("""COMPUTED_VALUE"""),1.0)</f>
        <v>1</v>
      </c>
      <c r="N350" s="213">
        <f>IFERROR(__xludf.DUMMYFUNCTION("""COMPUTED_VALUE"""),4.0)</f>
        <v>4</v>
      </c>
      <c r="O350" s="213">
        <f>IFERROR(__xludf.DUMMYFUNCTION("""COMPUTED_VALUE"""),4.0)</f>
        <v>4</v>
      </c>
      <c r="P350" s="213"/>
      <c r="Q350" s="213"/>
      <c r="R350" s="213" t="str">
        <f>IFERROR(__xludf.DUMMYFUNCTION("""COMPUTED_VALUE"""),"SI")</f>
        <v>SI</v>
      </c>
      <c r="S350" s="213"/>
      <c r="T350" s="213" t="str">
        <f>IFERROR(__xludf.DUMMYFUNCTION("""COMPUTED_VALUE"""),"SI")</f>
        <v>SI</v>
      </c>
      <c r="U350" s="213" t="str">
        <f>IFERROR(__xludf.DUMMYFUNCTION("""COMPUTED_VALUE"""),"SI")</f>
        <v>SI</v>
      </c>
      <c r="V350" s="213" t="str">
        <f>IFERROR(__xludf.DUMMYFUNCTION("""COMPUTED_VALUE"""),"-")</f>
        <v>-</v>
      </c>
      <c r="W350" s="213" t="str">
        <f>IFERROR(__xludf.DUMMYFUNCTION("""COMPUTED_VALUE"""),"-")</f>
        <v>-</v>
      </c>
      <c r="X350" s="213" t="str">
        <f>IFERROR(__xludf.DUMMYFUNCTION("""COMPUTED_VALUE"""),"Truper")</f>
        <v>Truper</v>
      </c>
      <c r="Y350" s="213" t="str">
        <f>IFERROR(__xludf.DUMMYFUNCTION("""COMPUTED_VALUE"""),"Expert 29-pz")</f>
        <v>Expert 29-pz</v>
      </c>
      <c r="Z350" s="215" t="str">
        <f>IFERROR(__xludf.DUMMYFUNCTION("""COMPUTED_VALUE"""),"https://www.sodimac.com.pe/sodimac-pe/articulo/127278928/Juego-de-Brocas-HSS-para-Metal-29-Piezas-Expert-Truper/127278929?srsltid=AfmBOopYjaRcXWCSkCyRmFWHZkk9mY50FCF7KuJixynHc_ojKwwFQ9mA")</f>
        <v>https://www.sodimac.com.pe/sodimac-pe/articulo/127278928/Juego-de-Brocas-HSS-para-Metal-29-Piezas-Expert-Truper/127278929?srsltid=AfmBOopYjaRcXWCSkCyRmFWHZkk9mY50FCF7KuJixynHc_ojKwwFQ9mA</v>
      </c>
      <c r="AA350" s="213" t="str">
        <f>IFERROR(__xludf.DUMMYFUNCTION("""COMPUTED_VALUE"""),"COM-183 JUEGO DE BROCAS PARA METAL, MADERA, CEMENTO - CET")</f>
        <v>COM-183 JUEGO DE BROCAS PARA METAL, MADERA, CEMENTO - CET</v>
      </c>
      <c r="AB350" s="213"/>
      <c r="AC350" s="213"/>
      <c r="AD350" s="213"/>
      <c r="AE350" s="213"/>
      <c r="AF350" s="213"/>
      <c r="AG350" s="213"/>
      <c r="AH350" s="213"/>
      <c r="AI350" s="213"/>
      <c r="AJ350" s="213"/>
      <c r="AK350" s="213"/>
      <c r="AL350" s="213"/>
      <c r="AM350" s="213"/>
      <c r="AN350" s="213"/>
      <c r="AO350" s="213"/>
      <c r="AP350" s="213" t="str">
        <f>IFERROR(__xludf.DUMMYFUNCTION("""COMPUTED_VALUE"""),"SEBASTIAN")</f>
        <v>SEBASTIAN</v>
      </c>
      <c r="AQ350" s="213"/>
      <c r="AR350" s="213"/>
      <c r="AS350" s="213"/>
      <c r="AT350" s="213"/>
      <c r="AU350" s="213"/>
      <c r="AV350" s="213"/>
      <c r="AW350" s="213"/>
      <c r="AX350" s="213"/>
      <c r="AY350" s="213"/>
      <c r="AZ350" s="213"/>
      <c r="BA350" s="213"/>
      <c r="BB350" s="213"/>
      <c r="BC350" s="213"/>
      <c r="BD350" s="213"/>
    </row>
    <row r="351">
      <c r="A351" s="213">
        <f>IFERROR(__xludf.DUMMYFUNCTION("""COMPUTED_VALUE"""),2583.0)</f>
        <v>2583</v>
      </c>
      <c r="B351" s="213" t="str">
        <f>IFERROR(__xludf.DUMMYFUNCTION("""COMPUTED_VALUE"""),"MANUEL ANTONIO MESONES MURO")</f>
        <v>MANUEL ANTONIO MESONES MURO</v>
      </c>
      <c r="C351" s="213" t="str">
        <f>IFERROR(__xludf.DUMMYFUNCTION("""COMPUTED_VALUE"""),"TALLER SFT DE EBANISTERÍA")</f>
        <v>TALLER SFT DE EBANISTERÍA</v>
      </c>
      <c r="D351" s="213" t="str">
        <f>IFERROR(__xludf.DUMMYFUNCTION("""COMPUTED_VALUE"""),"HERRAMIENTAS")</f>
        <v>HERRAMIENTAS</v>
      </c>
      <c r="E351" s="213" t="str">
        <f>IFERROR(__xludf.DUMMYFUNCTION("""COMPUTED_VALUE"""),"COM-183")</f>
        <v>COM-183</v>
      </c>
      <c r="F351" s="213" t="str">
        <f>IFERROR(__xludf.DUMMYFUNCTION("""COMPUTED_VALUE"""),"COM-183")</f>
        <v>COM-183</v>
      </c>
      <c r="G351" s="213"/>
      <c r="H351" s="213" t="str">
        <f>IFERROR(__xludf.DUMMYFUNCTION("""COMPUTED_VALUE"""),"JUEGO DE BROCAS PARA METAL, MADERA, CEMENTO.")</f>
        <v>JUEGO DE BROCAS PARA METAL, MADERA, CEMENTO.</v>
      </c>
      <c r="I351" s="213" t="str">
        <f>IFERROR(__xludf.DUMMYFUNCTION("""COMPUTED_VALUE"""),"Fabricadas en acero M2 de larga duracion, con baño de cobalto, para metal, madera y concreto. El Juego consta de 29 pzas de brocas
Incluye:  1 Broca de 1/16 ""(1.5 mm), 1 Broca de 5/64"" (1.9 mm), 1 Broca de 3/32 ""(2.3 mm), 1 Broca de
7/64"" (2.7 mm), 1 "&amp;"Broca de 1/8 ""(3,1 mm) 1 Broca de 9/64"" (3,5 mm) 1 Broca de 5/32 ""(3,9 mm) 1 Broca de
11/64"" (4,3 mm) 1 Broca de 3/16 ""(4,7 mm), 1 Broca de 13/64"" (5.1 mm), 1 Broca de 7/32 ""(5.5 mm), 1
Broca de 15/64"" (5.9 mm) ), 1 Broca de 1/4 ""(6,3 mm), 1 Broc"&amp;"a de 17/64"" (6,7 mm), 1 Broca de 9/32 ""(7,1
mm), 1 Broca de 19/64 ""(7,5 mm), 1 Broca de 5/16"" (7,9 mm), 1 Broca de 21/64 ""(8,3 mm), 1 Broca de
11/32"" (8,7 mm), 1 Broca de 23/64 ""(9.1 mm), 1 Broca de 3/8"" (9.5 mm)), 1 Broca de 25/64 ""(9,9 mm), 1 B"&amp;"roca de 13/32"" (10,3 mm) , 1 Broca de 27/64 ""(10,7 mm), 1 Broca de 7/16"" (11,1 mm)),1 Broca de 29/64 ""(11,5 mm, 1 Broca de 15/32"" (11,9 mm), 1 Broca de 31/64 ""(12,3 mm), 1 Broca de 1/2"" (12,7 mm).")</f>
        <v>Fabricadas en acero M2 de larga duracion, con baño de cobalto, para metal, madera y concreto. El Juego consta de 29 pzas de brocas
Incluye:  1 Broca de 1/16 "(1.5 mm), 1 Broca de 5/64" (1.9 mm), 1 Broca de 3/32 "(2.3 mm), 1 Broca de
7/64" (2.7 mm), 1 Broca de 1/8 "(3,1 mm) 1 Broca de 9/64" (3,5 mm) 1 Broca de 5/32 "(3,9 mm) 1 Broca de
11/64" (4,3 mm) 1 Broca de 3/16 "(4,7 mm), 1 Broca de 13/64" (5.1 mm), 1 Broca de 7/32 "(5.5 mm), 1
Broca de 15/64" (5.9 mm) ), 1 Broca de 1/4 "(6,3 mm), 1 Broca de 17/64" (6,7 mm), 1 Broca de 9/32 "(7,1
mm), 1 Broca de 19/64 "(7,5 mm), 1 Broca de 5/16" (7,9 mm), 1 Broca de 21/64 "(8,3 mm), 1 Broca de
11/32" (8,7 mm), 1 Broca de 23/64 "(9.1 mm), 1 Broca de 3/8" (9.5 mm)), 1 Broca de 25/64 "(9,9 mm), 1 Broca de 13/32" (10,3 mm) , 1 Broca de 27/64 "(10,7 mm), 1 Broca de 7/16" (11,1 mm)),1 Broca de 29/64 "(11,5 mm, 1 Broca de 15/32" (11,9 mm), 1 Broca de 31/64 "(12,3 mm), 1 Broca de 1/2" (12,7 mm).</v>
      </c>
      <c r="J351" s="213">
        <f>IFERROR(__xludf.DUMMYFUNCTION("""COMPUTED_VALUE"""),3.0)</f>
        <v>3</v>
      </c>
      <c r="K351" s="213" t="str">
        <f>IFERROR(__xludf.DUMMYFUNCTION("""COMPUTED_VALUE"""),"90 DÍAS CALENDARIO")</f>
        <v>90 DÍAS CALENDARIO</v>
      </c>
      <c r="L351" s="213" t="str">
        <f>IFERROR(__xludf.DUMMYFUNCTION("""COMPUTED_VALUE"""),"")</f>
        <v/>
      </c>
      <c r="M351" s="213">
        <f>IFERROR(__xludf.DUMMYFUNCTION("""COMPUTED_VALUE"""),1.0)</f>
        <v>1</v>
      </c>
      <c r="N351" s="213">
        <f>IFERROR(__xludf.DUMMYFUNCTION("""COMPUTED_VALUE"""),4.0)</f>
        <v>4</v>
      </c>
      <c r="O351" s="213">
        <f>IFERROR(__xludf.DUMMYFUNCTION("""COMPUTED_VALUE"""),4.0)</f>
        <v>4</v>
      </c>
      <c r="P351" s="213"/>
      <c r="Q351" s="213"/>
      <c r="R351" s="213" t="str">
        <f>IFERROR(__xludf.DUMMYFUNCTION("""COMPUTED_VALUE"""),"SI")</f>
        <v>SI</v>
      </c>
      <c r="S351" s="213"/>
      <c r="T351" s="213" t="str">
        <f>IFERROR(__xludf.DUMMYFUNCTION("""COMPUTED_VALUE"""),"SI")</f>
        <v>SI</v>
      </c>
      <c r="U351" s="213" t="str">
        <f>IFERROR(__xludf.DUMMYFUNCTION("""COMPUTED_VALUE"""),"SI")</f>
        <v>SI</v>
      </c>
      <c r="V351" s="213" t="str">
        <f>IFERROR(__xludf.DUMMYFUNCTION("""COMPUTED_VALUE"""),"-")</f>
        <v>-</v>
      </c>
      <c r="W351" s="213" t="str">
        <f>IFERROR(__xludf.DUMMYFUNCTION("""COMPUTED_VALUE"""),"-")</f>
        <v>-</v>
      </c>
      <c r="X351" s="213" t="str">
        <f>IFERROR(__xludf.DUMMYFUNCTION("""COMPUTED_VALUE"""),"Truper")</f>
        <v>Truper</v>
      </c>
      <c r="Y351" s="213" t="str">
        <f>IFERROR(__xludf.DUMMYFUNCTION("""COMPUTED_VALUE"""),"Expert 29-pz")</f>
        <v>Expert 29-pz</v>
      </c>
      <c r="Z351" s="215" t="str">
        <f>IFERROR(__xludf.DUMMYFUNCTION("""COMPUTED_VALUE"""),"https://www.sodimac.com.pe/sodimac-pe/articulo/127278928/Juego-de-Brocas-HSS-para-Metal-29-Piezas-Expert-Truper/127278929?srsltid=AfmBOopYjaRcXWCSkCyRmFWHZkk9mY50FCF7KuJixynHc_ojKwwFQ9mA")</f>
        <v>https://www.sodimac.com.pe/sodimac-pe/articulo/127278928/Juego-de-Brocas-HSS-para-Metal-29-Piezas-Expert-Truper/127278929?srsltid=AfmBOopYjaRcXWCSkCyRmFWHZkk9mY50FCF7KuJixynHc_ojKwwFQ9mA</v>
      </c>
      <c r="AA351" s="213" t="str">
        <f>IFERROR(__xludf.DUMMYFUNCTION("""COMPUTED_VALUE"""),"COM-183 JUEGO DE BROCAS PARA METAL, MADERA, CEMENTO - CET")</f>
        <v>COM-183 JUEGO DE BROCAS PARA METAL, MADERA, CEMENTO - CET</v>
      </c>
      <c r="AB351" s="213"/>
      <c r="AC351" s="213"/>
      <c r="AD351" s="213"/>
      <c r="AE351" s="213"/>
      <c r="AF351" s="213"/>
      <c r="AG351" s="213"/>
      <c r="AH351" s="213"/>
      <c r="AI351" s="213"/>
      <c r="AJ351" s="213"/>
      <c r="AK351" s="213"/>
      <c r="AL351" s="213"/>
      <c r="AM351" s="213"/>
      <c r="AN351" s="213"/>
      <c r="AO351" s="213"/>
      <c r="AP351" s="213" t="str">
        <f>IFERROR(__xludf.DUMMYFUNCTION("""COMPUTED_VALUE"""),"SEBASTIAN")</f>
        <v>SEBASTIAN</v>
      </c>
      <c r="AQ351" s="213"/>
      <c r="AR351" s="213"/>
      <c r="AS351" s="213"/>
      <c r="AT351" s="213"/>
      <c r="AU351" s="213"/>
      <c r="AV351" s="213"/>
      <c r="AW351" s="213"/>
      <c r="AX351" s="213"/>
      <c r="AY351" s="213"/>
      <c r="AZ351" s="213"/>
      <c r="BA351" s="213"/>
      <c r="BB351" s="213"/>
      <c r="BC351" s="213"/>
      <c r="BD351" s="213"/>
    </row>
    <row r="352">
      <c r="A352" s="213">
        <f>IFERROR(__xludf.DUMMYFUNCTION("""COMPUTED_VALUE"""),1813.0)</f>
        <v>1813</v>
      </c>
      <c r="B352" s="213" t="str">
        <f>IFERROR(__xludf.DUMMYFUNCTION("""COMPUTED_VALUE"""),"GUILLERMO E. BILLINGHURST ")</f>
        <v>GUILLERMO E. BILLINGHURST </v>
      </c>
      <c r="C352" s="213" t="str">
        <f>IFERROR(__xludf.DUMMYFUNCTION("""COMPUTED_VALUE"""),"TALLER SFT DE EBANISTERÍA")</f>
        <v>TALLER SFT DE EBANISTERÍA</v>
      </c>
      <c r="D352" s="213" t="str">
        <f>IFERROR(__xludf.DUMMYFUNCTION("""COMPUTED_VALUE"""),"HERRAMIENTAS")</f>
        <v>HERRAMIENTAS</v>
      </c>
      <c r="E352" s="213" t="str">
        <f>IFERROR(__xludf.DUMMYFUNCTION("""COMPUTED_VALUE"""),"COM-184")</f>
        <v>COM-184</v>
      </c>
      <c r="F352" s="213" t="str">
        <f>IFERROR(__xludf.DUMMYFUNCTION("""COMPUTED_VALUE"""),"COM-184")</f>
        <v>COM-184</v>
      </c>
      <c r="G352" s="213"/>
      <c r="H352" s="213" t="str">
        <f>IFERROR(__xludf.DUMMYFUNCTION("""COMPUTED_VALUE"""),"JUEGO DE COMPASES")</f>
        <v>JUEGO DE COMPASES</v>
      </c>
      <c r="I352" s="213" t="str">
        <f>IFERROR(__xludf.DUMMYFUNCTION("""COMPUTED_VALUE"""),"03 compases de articulación de resorte con brazo, diseñados para tomar mediciones finas y hacer ajustes:
- 01 compás de exteriores.
- 01 compás de interiores.
- 01 compás de puntas.
Fabricados con precisión: el pin de articulación es templado, la estructu"&amp;"ra de los brazos es robusta y evita la deflexión lateral.
Posee en la articulación un resorte en forma de arco, fuerte y flexible.
Cada compás tiene un tornillo de ajuste. Se encuentra cerca a los centros de los brazos y asegura ajustes suaves rápidamente"&amp;".
Material de acero con puntas endurecidas. Altura mínima de 180 mm.")</f>
        <v>03 compases de articulación de resorte con brazo, diseñados para tomar mediciones finas y hacer ajustes:
- 01 compás de exteriores.
- 01 compás de interiores.
- 01 compás de puntas.
Fabricados con precisión: el pin de articulación es templado, la estructura de los brazos es robusta y evita la deflexión lateral.
Posee en la articulación un resorte en forma de arco, fuerte y flexible.
Cada compás tiene un tornillo de ajuste. Se encuentra cerca a los centros de los brazos y asegura ajustes suaves rápidamente.
Material de acero con puntas endurecidas. Altura mínima de 180 mm.</v>
      </c>
      <c r="J352" s="213">
        <f>IFERROR(__xludf.DUMMYFUNCTION("""COMPUTED_VALUE"""),3.0)</f>
        <v>3</v>
      </c>
      <c r="K352" s="213" t="str">
        <f>IFERROR(__xludf.DUMMYFUNCTION("""COMPUTED_VALUE"""),"90 DÍAS CALENDARIO")</f>
        <v>90 DÍAS CALENDARIO</v>
      </c>
      <c r="L352" s="213" t="str">
        <f>IFERROR(__xludf.DUMMYFUNCTION("""COMPUTED_VALUE"""),"")</f>
        <v/>
      </c>
      <c r="M352" s="213">
        <f>IFERROR(__xludf.DUMMYFUNCTION("""COMPUTED_VALUE"""),1.0)</f>
        <v>1</v>
      </c>
      <c r="N352" s="213">
        <f>IFERROR(__xludf.DUMMYFUNCTION("""COMPUTED_VALUE"""),4.0)</f>
        <v>4</v>
      </c>
      <c r="O352" s="213">
        <f>IFERROR(__xludf.DUMMYFUNCTION("""COMPUTED_VALUE"""),4.0)</f>
        <v>4</v>
      </c>
      <c r="P352" s="213"/>
      <c r="Q352" s="213"/>
      <c r="R352" s="213" t="str">
        <f>IFERROR(__xludf.DUMMYFUNCTION("""COMPUTED_VALUE"""),"SI")</f>
        <v>SI</v>
      </c>
      <c r="S352" s="213"/>
      <c r="T352" s="213" t="str">
        <f>IFERROR(__xludf.DUMMYFUNCTION("""COMPUTED_VALUE"""),"SI")</f>
        <v>SI</v>
      </c>
      <c r="U352" s="213" t="str">
        <f>IFERROR(__xludf.DUMMYFUNCTION("""COMPUTED_VALUE"""),"SI")</f>
        <v>SI</v>
      </c>
      <c r="V352" s="213" t="str">
        <f>IFERROR(__xludf.DUMMYFUNCTION("""COMPUTED_VALUE"""),"-")</f>
        <v>-</v>
      </c>
      <c r="W352" s="213" t="str">
        <f>IFERROR(__xludf.DUMMYFUNCTION("""COMPUTED_VALUE"""),"-")</f>
        <v>-</v>
      </c>
      <c r="X352" s="213" t="str">
        <f>IFERROR(__xludf.DUMMYFUNCTION("""COMPUTED_VALUE"""),"Vogel")</f>
        <v>Vogel</v>
      </c>
      <c r="Y352" s="213" t="str">
        <f>IFERROR(__xludf.DUMMYFUNCTION("""COMPUTED_VALUE"""),"302466 /  302446 /  302426")</f>
        <v>302466 /  302446 /  302426</v>
      </c>
      <c r="Z352" s="215" t="str">
        <f>IFERROR(__xludf.DUMMYFUNCTION("""COMPUTED_VALUE"""),"https://store.ferrindustrial.com.pe/producto/compas-exterior-de-12-302466-vogel-germany/")</f>
        <v>https://store.ferrindustrial.com.pe/producto/compas-exterior-de-12-302466-vogel-germany/</v>
      </c>
      <c r="AA352" s="213" t="str">
        <f>IFERROR(__xludf.DUMMYFUNCTION("""COMPUTED_VALUE"""),"COM-184JUEGO DE COMPASES - CET")</f>
        <v>COM-184JUEGO DE COMPASES - CET</v>
      </c>
      <c r="AB352" s="213"/>
      <c r="AC352" s="213"/>
      <c r="AD352" s="213"/>
      <c r="AE352" s="213"/>
      <c r="AF352" s="213"/>
      <c r="AG352" s="213"/>
      <c r="AH352" s="213"/>
      <c r="AI352" s="213"/>
      <c r="AJ352" s="213"/>
      <c r="AK352" s="213"/>
      <c r="AL352" s="213"/>
      <c r="AM352" s="213"/>
      <c r="AN352" s="213"/>
      <c r="AO352" s="213"/>
      <c r="AP352" s="213" t="str">
        <f>IFERROR(__xludf.DUMMYFUNCTION("""COMPUTED_VALUE"""),"SEBASTIAN")</f>
        <v>SEBASTIAN</v>
      </c>
      <c r="AQ352" s="213"/>
      <c r="AR352" s="213"/>
      <c r="AS352" s="213"/>
      <c r="AT352" s="213"/>
      <c r="AU352" s="213"/>
      <c r="AV352" s="213"/>
      <c r="AW352" s="213"/>
      <c r="AX352" s="213"/>
      <c r="AY352" s="213"/>
      <c r="AZ352" s="213"/>
      <c r="BA352" s="213"/>
      <c r="BB352" s="213"/>
      <c r="BC352" s="213"/>
      <c r="BD352" s="213"/>
    </row>
    <row r="353">
      <c r="A353" s="213">
        <f>IFERROR(__xludf.DUMMYFUNCTION("""COMPUTED_VALUE"""),2595.0)</f>
        <v>2595</v>
      </c>
      <c r="B353" s="213" t="str">
        <f>IFERROR(__xludf.DUMMYFUNCTION("""COMPUTED_VALUE"""),"MANUEL ANTONIO MESONES MURO")</f>
        <v>MANUEL ANTONIO MESONES MURO</v>
      </c>
      <c r="C353" s="213" t="str">
        <f>IFERROR(__xludf.DUMMYFUNCTION("""COMPUTED_VALUE"""),"TALLER SFT DE EBANISTERÍA")</f>
        <v>TALLER SFT DE EBANISTERÍA</v>
      </c>
      <c r="D353" s="213" t="str">
        <f>IFERROR(__xludf.DUMMYFUNCTION("""COMPUTED_VALUE"""),"HERRAMIENTAS")</f>
        <v>HERRAMIENTAS</v>
      </c>
      <c r="E353" s="213" t="str">
        <f>IFERROR(__xludf.DUMMYFUNCTION("""COMPUTED_VALUE"""),"COM-184")</f>
        <v>COM-184</v>
      </c>
      <c r="F353" s="213" t="str">
        <f>IFERROR(__xludf.DUMMYFUNCTION("""COMPUTED_VALUE"""),"COM-184")</f>
        <v>COM-184</v>
      </c>
      <c r="G353" s="213"/>
      <c r="H353" s="213" t="str">
        <f>IFERROR(__xludf.DUMMYFUNCTION("""COMPUTED_VALUE"""),"JUEGO DE COMPASES")</f>
        <v>JUEGO DE COMPASES</v>
      </c>
      <c r="I353" s="213" t="str">
        <f>IFERROR(__xludf.DUMMYFUNCTION("""COMPUTED_VALUE"""),"03 compases de articulación de resorte con brazo, diseñados para tomar mediciones finas y hacer ajustes:
- 01 compás de exteriores.
- 01 compás de interiores.
- 01 compás de puntas.
Fabricados con precisión: el pin de articulación es templado, la estructu"&amp;"ra de los brazos es robusta y evita la deflexión lateral.
Posee en la articulación un resorte en forma de arco, fuerte y flexible.
Cada compás tiene un tornillo de ajuste. Se encuentra cerca a los centros de los brazos y asegura ajustes suaves rápidamente"&amp;".
Material de acero con puntas endurecidas. Altura mínima de 180 mm.")</f>
        <v>03 compases de articulación de resorte con brazo, diseñados para tomar mediciones finas y hacer ajustes:
- 01 compás de exteriores.
- 01 compás de interiores.
- 01 compás de puntas.
Fabricados con precisión: el pin de articulación es templado, la estructura de los brazos es robusta y evita la deflexión lateral.
Posee en la articulación un resorte en forma de arco, fuerte y flexible.
Cada compás tiene un tornillo de ajuste. Se encuentra cerca a los centros de los brazos y asegura ajustes suaves rápidamente.
Material de acero con puntas endurecidas. Altura mínima de 180 mm.</v>
      </c>
      <c r="J353" s="213">
        <f>IFERROR(__xludf.DUMMYFUNCTION("""COMPUTED_VALUE"""),3.0)</f>
        <v>3</v>
      </c>
      <c r="K353" s="213" t="str">
        <f>IFERROR(__xludf.DUMMYFUNCTION("""COMPUTED_VALUE"""),"90 DÍAS CALENDARIO")</f>
        <v>90 DÍAS CALENDARIO</v>
      </c>
      <c r="L353" s="213" t="str">
        <f>IFERROR(__xludf.DUMMYFUNCTION("""COMPUTED_VALUE"""),"")</f>
        <v/>
      </c>
      <c r="M353" s="213">
        <f>IFERROR(__xludf.DUMMYFUNCTION("""COMPUTED_VALUE"""),1.0)</f>
        <v>1</v>
      </c>
      <c r="N353" s="213">
        <f>IFERROR(__xludf.DUMMYFUNCTION("""COMPUTED_VALUE"""),4.0)</f>
        <v>4</v>
      </c>
      <c r="O353" s="213">
        <f>IFERROR(__xludf.DUMMYFUNCTION("""COMPUTED_VALUE"""),4.0)</f>
        <v>4</v>
      </c>
      <c r="P353" s="213"/>
      <c r="Q353" s="213"/>
      <c r="R353" s="213" t="str">
        <f>IFERROR(__xludf.DUMMYFUNCTION("""COMPUTED_VALUE"""),"SI")</f>
        <v>SI</v>
      </c>
      <c r="S353" s="213"/>
      <c r="T353" s="213" t="str">
        <f>IFERROR(__xludf.DUMMYFUNCTION("""COMPUTED_VALUE"""),"SI")</f>
        <v>SI</v>
      </c>
      <c r="U353" s="213" t="str">
        <f>IFERROR(__xludf.DUMMYFUNCTION("""COMPUTED_VALUE"""),"SI")</f>
        <v>SI</v>
      </c>
      <c r="V353" s="213" t="str">
        <f>IFERROR(__xludf.DUMMYFUNCTION("""COMPUTED_VALUE"""),"-")</f>
        <v>-</v>
      </c>
      <c r="W353" s="213" t="str">
        <f>IFERROR(__xludf.DUMMYFUNCTION("""COMPUTED_VALUE"""),"-")</f>
        <v>-</v>
      </c>
      <c r="X353" s="213" t="str">
        <f>IFERROR(__xludf.DUMMYFUNCTION("""COMPUTED_VALUE"""),"Vogel")</f>
        <v>Vogel</v>
      </c>
      <c r="Y353" s="213" t="str">
        <f>IFERROR(__xludf.DUMMYFUNCTION("""COMPUTED_VALUE"""),"302466 /  302446 /  302426")</f>
        <v>302466 /  302446 /  302426</v>
      </c>
      <c r="Z353" s="215" t="str">
        <f>IFERROR(__xludf.DUMMYFUNCTION("""COMPUTED_VALUE"""),"https://store.ferrindustrial.com.pe/producto/compas-exterior-de-12-302466-vogel-germany/")</f>
        <v>https://store.ferrindustrial.com.pe/producto/compas-exterior-de-12-302466-vogel-germany/</v>
      </c>
      <c r="AA353" s="213" t="str">
        <f>IFERROR(__xludf.DUMMYFUNCTION("""COMPUTED_VALUE"""),"COM-184JUEGO DE COMPASES - CET")</f>
        <v>COM-184JUEGO DE COMPASES - CET</v>
      </c>
      <c r="AB353" s="213"/>
      <c r="AC353" s="213"/>
      <c r="AD353" s="213"/>
      <c r="AE353" s="213"/>
      <c r="AF353" s="213"/>
      <c r="AG353" s="213"/>
      <c r="AH353" s="213"/>
      <c r="AI353" s="213"/>
      <c r="AJ353" s="213"/>
      <c r="AK353" s="213"/>
      <c r="AL353" s="213"/>
      <c r="AM353" s="213"/>
      <c r="AN353" s="213"/>
      <c r="AO353" s="213"/>
      <c r="AP353" s="213" t="str">
        <f>IFERROR(__xludf.DUMMYFUNCTION("""COMPUTED_VALUE"""),"SEBASTIAN")</f>
        <v>SEBASTIAN</v>
      </c>
      <c r="AQ353" s="213"/>
      <c r="AR353" s="213"/>
      <c r="AS353" s="213"/>
      <c r="AT353" s="213"/>
      <c r="AU353" s="213"/>
      <c r="AV353" s="213"/>
      <c r="AW353" s="213"/>
      <c r="AX353" s="213"/>
      <c r="AY353" s="213"/>
      <c r="AZ353" s="213"/>
      <c r="BA353" s="213"/>
      <c r="BB353" s="213"/>
      <c r="BC353" s="213"/>
      <c r="BD353" s="213"/>
    </row>
    <row r="354">
      <c r="A354" s="213">
        <f>IFERROR(__xludf.DUMMYFUNCTION("""COMPUTED_VALUE"""),1829.0)</f>
        <v>1829</v>
      </c>
      <c r="B354" s="213" t="str">
        <f>IFERROR(__xludf.DUMMYFUNCTION("""COMPUTED_VALUE"""),"GUILLERMO E. BILLINGHURST ")</f>
        <v>GUILLERMO E. BILLINGHURST </v>
      </c>
      <c r="C354" s="213" t="str">
        <f>IFERROR(__xludf.DUMMYFUNCTION("""COMPUTED_VALUE"""),"TALLER SFT DE EBANISTERÍA")</f>
        <v>TALLER SFT DE EBANISTERÍA</v>
      </c>
      <c r="D354" s="213" t="str">
        <f>IFERROR(__xludf.DUMMYFUNCTION("""COMPUTED_VALUE"""),"HERRAMIENTAS")</f>
        <v>HERRAMIENTAS</v>
      </c>
      <c r="E354" s="213" t="str">
        <f>IFERROR(__xludf.DUMMYFUNCTION("""COMPUTED_VALUE"""),"COM-185")</f>
        <v>COM-185</v>
      </c>
      <c r="F354" s="213" t="str">
        <f>IFERROR(__xludf.DUMMYFUNCTION("""COMPUTED_VALUE"""),"COM-185")</f>
        <v>COM-185</v>
      </c>
      <c r="G354" s="213"/>
      <c r="H354" s="213" t="str">
        <f>IFERROR(__xludf.DUMMYFUNCTION("""COMPUTED_VALUE"""),"JUEGO DE DADOS")</f>
        <v>JUEGO DE DADOS</v>
      </c>
      <c r="I354" s="213"/>
      <c r="J354" s="213">
        <f>IFERROR(__xludf.DUMMYFUNCTION("""COMPUTED_VALUE"""),3.0)</f>
        <v>3</v>
      </c>
      <c r="K354" s="213" t="str">
        <f>IFERROR(__xludf.DUMMYFUNCTION("""COMPUTED_VALUE"""),"90 DÍAS CALENDARIO")</f>
        <v>90 DÍAS CALENDARIO</v>
      </c>
      <c r="L354" s="213" t="str">
        <f>IFERROR(__xludf.DUMMYFUNCTION("""COMPUTED_VALUE"""),"")</f>
        <v/>
      </c>
      <c r="M354" s="213">
        <f>IFERROR(__xludf.DUMMYFUNCTION("""COMPUTED_VALUE"""),1.0)</f>
        <v>1</v>
      </c>
      <c r="N354" s="213">
        <f>IFERROR(__xludf.DUMMYFUNCTION("""COMPUTED_VALUE"""),1.0)</f>
        <v>1</v>
      </c>
      <c r="O354" s="213">
        <f>IFERROR(__xludf.DUMMYFUNCTION("""COMPUTED_VALUE"""),1.0)</f>
        <v>1</v>
      </c>
      <c r="P354" s="213"/>
      <c r="Q354" s="213"/>
      <c r="R354" s="213"/>
      <c r="S354" s="213"/>
      <c r="T354" s="213" t="str">
        <f>IFERROR(__xludf.DUMMYFUNCTION("""COMPUTED_VALUE"""),"CONSULTA FINAL")</f>
        <v>CONSULTA FINAL</v>
      </c>
      <c r="U354" s="213" t="str">
        <f>IFERROR(__xludf.DUMMYFUNCTION("""COMPUTED_VALUE"""),"NO")</f>
        <v>NO</v>
      </c>
      <c r="V354" s="213" t="str">
        <f>IFERROR(__xludf.DUMMYFUNCTION("""COMPUTED_VALUE"""),"SUSTENTO")</f>
        <v>SUSTENTO</v>
      </c>
      <c r="W354" s="213" t="str">
        <f>IFERROR(__xludf.DUMMYFUNCTION("""COMPUTED_VALUE"""),"DIMENSIONAL")</f>
        <v>DIMENSIONAL</v>
      </c>
      <c r="X354" s="213" t="str">
        <f>IFERROR(__xludf.DUMMYFUNCTION("""COMPUTED_VALUE"""),"Stanley / Bosch")</f>
        <v>Stanley / Bosch</v>
      </c>
      <c r="Y354" s="213" t="str">
        <f>IFERROR(__xludf.DUMMYFUNCTION("""COMPUTED_VALUE"""),"STMT74084 / 2608003042")</f>
        <v>STMT74084 / 2608003042</v>
      </c>
      <c r="Z354" s="215" t="str">
        <f>IFERROR(__xludf.DUMMYFUNCTION("""COMPUTED_VALUE"""),"https://cahema.pe/juego-de-herramientas/10393-juego-de-herramientas-14-38-y-12-143-piezas-stanley-stmt74084.html")</f>
        <v>https://cahema.pe/juego-de-herramientas/10393-juego-de-herramientas-14-38-y-12-143-piezas-stanley-stmt74084.html</v>
      </c>
      <c r="AA354" s="213" t="str">
        <f>IFERROR(__xludf.DUMMYFUNCTION("""COMPUTED_VALUE"""),"COM-185 JUEGO DE DADOS - CET")</f>
        <v>COM-185 JUEGO DE DADOS - CET</v>
      </c>
      <c r="AB354" s="213"/>
      <c r="AC354" s="213"/>
      <c r="AD354" s="213"/>
      <c r="AE354" s="213"/>
      <c r="AF354" s="213"/>
      <c r="AG354" s="213"/>
      <c r="AH354" s="213"/>
      <c r="AI354" s="213"/>
      <c r="AJ354" s="213"/>
      <c r="AK354" s="213"/>
      <c r="AL354" s="213"/>
      <c r="AM354" s="213"/>
      <c r="AN354" s="213"/>
      <c r="AO354" s="213"/>
      <c r="AP354" s="213" t="str">
        <f>IFERROR(__xludf.DUMMYFUNCTION("""COMPUTED_VALUE"""),"SEBASTIAN")</f>
        <v>SEBASTIAN</v>
      </c>
      <c r="AQ354" s="213"/>
      <c r="AR354" s="213"/>
      <c r="AS354" s="213"/>
      <c r="AT354" s="213"/>
      <c r="AU354" s="213"/>
      <c r="AV354" s="213"/>
      <c r="AW354" s="213"/>
      <c r="AX354" s="213"/>
      <c r="AY354" s="213"/>
      <c r="AZ354" s="213"/>
      <c r="BA354" s="213"/>
      <c r="BB354" s="213"/>
      <c r="BC354" s="213"/>
      <c r="BD354" s="213"/>
    </row>
    <row r="355">
      <c r="A355" s="213">
        <f>IFERROR(__xludf.DUMMYFUNCTION("""COMPUTED_VALUE"""),2611.0)</f>
        <v>2611</v>
      </c>
      <c r="B355" s="213" t="str">
        <f>IFERROR(__xludf.DUMMYFUNCTION("""COMPUTED_VALUE"""),"MANUEL ANTONIO MESONES MURO")</f>
        <v>MANUEL ANTONIO MESONES MURO</v>
      </c>
      <c r="C355" s="213" t="str">
        <f>IFERROR(__xludf.DUMMYFUNCTION("""COMPUTED_VALUE"""),"TALLER SFT DE EBANISTERÍA")</f>
        <v>TALLER SFT DE EBANISTERÍA</v>
      </c>
      <c r="D355" s="213" t="str">
        <f>IFERROR(__xludf.DUMMYFUNCTION("""COMPUTED_VALUE"""),"HERRAMIENTAS")</f>
        <v>HERRAMIENTAS</v>
      </c>
      <c r="E355" s="213" t="str">
        <f>IFERROR(__xludf.DUMMYFUNCTION("""COMPUTED_VALUE"""),"COM-185")</f>
        <v>COM-185</v>
      </c>
      <c r="F355" s="213" t="str">
        <f>IFERROR(__xludf.DUMMYFUNCTION("""COMPUTED_VALUE"""),"COM-185")</f>
        <v>COM-185</v>
      </c>
      <c r="G355" s="213"/>
      <c r="H355" s="213" t="str">
        <f>IFERROR(__xludf.DUMMYFUNCTION("""COMPUTED_VALUE"""),"JUEGO DE DADOS")</f>
        <v>JUEGO DE DADOS</v>
      </c>
      <c r="I355" s="213"/>
      <c r="J355" s="213">
        <f>IFERROR(__xludf.DUMMYFUNCTION("""COMPUTED_VALUE"""),3.0)</f>
        <v>3</v>
      </c>
      <c r="K355" s="213" t="str">
        <f>IFERROR(__xludf.DUMMYFUNCTION("""COMPUTED_VALUE"""),"90 DÍAS CALENDARIO")</f>
        <v>90 DÍAS CALENDARIO</v>
      </c>
      <c r="L355" s="213" t="str">
        <f>IFERROR(__xludf.DUMMYFUNCTION("""COMPUTED_VALUE"""),"")</f>
        <v/>
      </c>
      <c r="M355" s="213">
        <f>IFERROR(__xludf.DUMMYFUNCTION("""COMPUTED_VALUE"""),1.0)</f>
        <v>1</v>
      </c>
      <c r="N355" s="213">
        <f>IFERROR(__xludf.DUMMYFUNCTION("""COMPUTED_VALUE"""),1.0)</f>
        <v>1</v>
      </c>
      <c r="O355" s="213">
        <f>IFERROR(__xludf.DUMMYFUNCTION("""COMPUTED_VALUE"""),1.0)</f>
        <v>1</v>
      </c>
      <c r="P355" s="213"/>
      <c r="Q355" s="213"/>
      <c r="R355" s="213"/>
      <c r="S355" s="213"/>
      <c r="T355" s="213" t="str">
        <f>IFERROR(__xludf.DUMMYFUNCTION("""COMPUTED_VALUE"""),"CONSULTA FINAL")</f>
        <v>CONSULTA FINAL</v>
      </c>
      <c r="U355" s="213" t="str">
        <f>IFERROR(__xludf.DUMMYFUNCTION("""COMPUTED_VALUE"""),"NO")</f>
        <v>NO</v>
      </c>
      <c r="V355" s="213" t="str">
        <f>IFERROR(__xludf.DUMMYFUNCTION("""COMPUTED_VALUE"""),"SUSTENTO")</f>
        <v>SUSTENTO</v>
      </c>
      <c r="W355" s="213" t="str">
        <f>IFERROR(__xludf.DUMMYFUNCTION("""COMPUTED_VALUE"""),"DIMENSIONAL")</f>
        <v>DIMENSIONAL</v>
      </c>
      <c r="X355" s="213" t="str">
        <f>IFERROR(__xludf.DUMMYFUNCTION("""COMPUTED_VALUE"""),"Stanley / Bosch")</f>
        <v>Stanley / Bosch</v>
      </c>
      <c r="Y355" s="213" t="str">
        <f>IFERROR(__xludf.DUMMYFUNCTION("""COMPUTED_VALUE"""),"STMT74084 / 2608003042")</f>
        <v>STMT74084 / 2608003042</v>
      </c>
      <c r="Z355" s="215" t="str">
        <f>IFERROR(__xludf.DUMMYFUNCTION("""COMPUTED_VALUE"""),"https://cahema.pe/juego-de-herramientas/10393-juego-de-herramientas-14-38-y-12-143-piezas-stanley-stmt74084.html")</f>
        <v>https://cahema.pe/juego-de-herramientas/10393-juego-de-herramientas-14-38-y-12-143-piezas-stanley-stmt74084.html</v>
      </c>
      <c r="AA355" s="213" t="str">
        <f>IFERROR(__xludf.DUMMYFUNCTION("""COMPUTED_VALUE"""),"COM-185 JUEGO DE DADOS - CET")</f>
        <v>COM-185 JUEGO DE DADOS - CET</v>
      </c>
      <c r="AB355" s="213"/>
      <c r="AC355" s="213"/>
      <c r="AD355" s="213"/>
      <c r="AE355" s="213"/>
      <c r="AF355" s="213"/>
      <c r="AG355" s="213"/>
      <c r="AH355" s="213"/>
      <c r="AI355" s="213"/>
      <c r="AJ355" s="213"/>
      <c r="AK355" s="213"/>
      <c r="AL355" s="213"/>
      <c r="AM355" s="213"/>
      <c r="AN355" s="213"/>
      <c r="AO355" s="213"/>
      <c r="AP355" s="213" t="str">
        <f>IFERROR(__xludf.DUMMYFUNCTION("""COMPUTED_VALUE"""),"SEBASTIAN")</f>
        <v>SEBASTIAN</v>
      </c>
      <c r="AQ355" s="213"/>
      <c r="AR355" s="213"/>
      <c r="AS355" s="213"/>
      <c r="AT355" s="213"/>
      <c r="AU355" s="213"/>
      <c r="AV355" s="213"/>
      <c r="AW355" s="213"/>
      <c r="AX355" s="213"/>
      <c r="AY355" s="213"/>
      <c r="AZ355" s="213"/>
      <c r="BA355" s="213"/>
      <c r="BB355" s="213"/>
      <c r="BC355" s="213"/>
      <c r="BD355" s="213"/>
    </row>
    <row r="356">
      <c r="A356" s="213">
        <f>IFERROR(__xludf.DUMMYFUNCTION("""COMPUTED_VALUE"""),1811.0)</f>
        <v>1811</v>
      </c>
      <c r="B356" s="213" t="str">
        <f>IFERROR(__xludf.DUMMYFUNCTION("""COMPUTED_VALUE"""),"GUILLERMO E. BILLINGHURST ")</f>
        <v>GUILLERMO E. BILLINGHURST </v>
      </c>
      <c r="C356" s="213" t="str">
        <f>IFERROR(__xludf.DUMMYFUNCTION("""COMPUTED_VALUE"""),"TALLER SFT DE EBANISTERÍA")</f>
        <v>TALLER SFT DE EBANISTERÍA</v>
      </c>
      <c r="D356" s="213" t="str">
        <f>IFERROR(__xludf.DUMMYFUNCTION("""COMPUTED_VALUE"""),"HERRAMIENTAS")</f>
        <v>HERRAMIENTAS</v>
      </c>
      <c r="E356" s="213" t="str">
        <f>IFERROR(__xludf.DUMMYFUNCTION("""COMPUTED_VALUE"""),"COM-186")</f>
        <v>COM-186</v>
      </c>
      <c r="F356" s="213" t="str">
        <f>IFERROR(__xludf.DUMMYFUNCTION("""COMPUTED_VALUE"""),"COM-186")</f>
        <v>COM-186</v>
      </c>
      <c r="G356" s="213"/>
      <c r="H356" s="213" t="str">
        <f>IFERROR(__xludf.DUMMYFUNCTION("""COMPUTED_VALUE"""),"JUEGO DE FRESAS PARA RUTEADORA")</f>
        <v>JUEGO DE FRESAS PARA RUTEADORA</v>
      </c>
      <c r="I356" s="213" t="str">
        <f>IFERROR(__xludf.DUMMYFUNCTION("""COMPUTED_VALUE"""),"Fresas de vastago de carburo de 1/4"" Cuchillas de carburo de tungsteno.
Caja con 24 molduras como minimo.
VERA Hilda
998 soft
A")</f>
        <v>Fresas de vastago de carburo de 1/4" Cuchillas de carburo de tungsteno.
Caja con 24 molduras como minimo.
VERA Hilda
998 soft
A</v>
      </c>
      <c r="J356" s="213">
        <f>IFERROR(__xludf.DUMMYFUNCTION("""COMPUTED_VALUE"""),3.0)</f>
        <v>3</v>
      </c>
      <c r="K356" s="213" t="str">
        <f>IFERROR(__xludf.DUMMYFUNCTION("""COMPUTED_VALUE"""),"90 DÍAS CALENDARIO")</f>
        <v>90 DÍAS CALENDARIO</v>
      </c>
      <c r="L356" s="213" t="str">
        <f>IFERROR(__xludf.DUMMYFUNCTION("""COMPUTED_VALUE"""),"")</f>
        <v/>
      </c>
      <c r="M356" s="213">
        <f>IFERROR(__xludf.DUMMYFUNCTION("""COMPUTED_VALUE"""),1.0)</f>
        <v>1</v>
      </c>
      <c r="N356" s="213">
        <f>IFERROR(__xludf.DUMMYFUNCTION("""COMPUTED_VALUE"""),1.0)</f>
        <v>1</v>
      </c>
      <c r="O356" s="213">
        <f>IFERROR(__xludf.DUMMYFUNCTION("""COMPUTED_VALUE"""),1.0)</f>
        <v>1</v>
      </c>
      <c r="P356" s="213"/>
      <c r="Q356" s="213"/>
      <c r="R356" s="213" t="str">
        <f>IFERROR(__xludf.DUMMYFUNCTION("""COMPUTED_VALUE"""),"SI")</f>
        <v>SI</v>
      </c>
      <c r="S356" s="213"/>
      <c r="T356" s="213" t="str">
        <f>IFERROR(__xludf.DUMMYFUNCTION("""COMPUTED_VALUE"""),"SI")</f>
        <v>SI</v>
      </c>
      <c r="U356" s="213" t="str">
        <f>IFERROR(__xludf.DUMMYFUNCTION("""COMPUTED_VALUE"""),"SI")</f>
        <v>SI</v>
      </c>
      <c r="V356" s="213" t="str">
        <f>IFERROR(__xludf.DUMMYFUNCTION("""COMPUTED_VALUE"""),"-")</f>
        <v>-</v>
      </c>
      <c r="W356" s="213" t="str">
        <f>IFERROR(__xludf.DUMMYFUNCTION("""COMPUTED_VALUE"""),"-")</f>
        <v>-</v>
      </c>
      <c r="X356" s="213" t="str">
        <f>IFERROR(__xludf.DUMMYFUNCTION("""COMPUTED_VALUE"""),"TOTAL TOOLS")</f>
        <v>TOTAL TOOLS</v>
      </c>
      <c r="Y356" s="213" t="str">
        <f>IFERROR(__xludf.DUMMYFUNCTION("""COMPUTED_VALUE"""),"TACSR02406")</f>
        <v>TACSR02406</v>
      </c>
      <c r="Z356" s="215" t="str">
        <f>IFERROR(__xludf.DUMMYFUNCTION("""COMPUTED_VALUE"""),"https://www.falabella.com.pe/falabella-pe/product/122883887/SET-DE-24-FRESAS-PRO-6MM-PARA-RUTEADORA-CANTEADORA-TOTAL-TACSR02406/122883889")</f>
        <v>https://www.falabella.com.pe/falabella-pe/product/122883887/SET-DE-24-FRESAS-PRO-6MM-PARA-RUTEADORA-CANTEADORA-TOTAL-TACSR02406/122883889</v>
      </c>
      <c r="AA356" s="213" t="str">
        <f>IFERROR(__xludf.DUMMYFUNCTION("""COMPUTED_VALUE"""),"COM-186 JUEGO DE FRESAS PARA RUTEADORA - CET")</f>
        <v>COM-186 JUEGO DE FRESAS PARA RUTEADORA - CET</v>
      </c>
      <c r="AB356" s="213"/>
      <c r="AC356" s="213"/>
      <c r="AD356" s="213"/>
      <c r="AE356" s="213"/>
      <c r="AF356" s="213"/>
      <c r="AG356" s="213"/>
      <c r="AH356" s="213"/>
      <c r="AI356" s="213"/>
      <c r="AJ356" s="213"/>
      <c r="AK356" s="213"/>
      <c r="AL356" s="213"/>
      <c r="AM356" s="213"/>
      <c r="AN356" s="213"/>
      <c r="AO356" s="213"/>
      <c r="AP356" s="213" t="str">
        <f>IFERROR(__xludf.DUMMYFUNCTION("""COMPUTED_VALUE"""),"SEBASTIAN")</f>
        <v>SEBASTIAN</v>
      </c>
      <c r="AQ356" s="213"/>
      <c r="AR356" s="213"/>
      <c r="AS356" s="213"/>
      <c r="AT356" s="213"/>
      <c r="AU356" s="213"/>
      <c r="AV356" s="213"/>
      <c r="AW356" s="213"/>
      <c r="AX356" s="213"/>
      <c r="AY356" s="213"/>
      <c r="AZ356" s="213"/>
      <c r="BA356" s="213"/>
      <c r="BB356" s="213"/>
      <c r="BC356" s="213"/>
      <c r="BD356" s="213"/>
    </row>
    <row r="357">
      <c r="A357" s="213">
        <f>IFERROR(__xludf.DUMMYFUNCTION("""COMPUTED_VALUE"""),2475.0)</f>
        <v>2475</v>
      </c>
      <c r="B357" s="213" t="str">
        <f>IFERROR(__xludf.DUMMYFUNCTION("""COMPUTED_VALUE"""),"MANUEL ANTONIO MESONES MURO")</f>
        <v>MANUEL ANTONIO MESONES MURO</v>
      </c>
      <c r="C357" s="213" t="str">
        <f>IFERROR(__xludf.DUMMYFUNCTION("""COMPUTED_VALUE"""),"TALLER SFT DE CONSTRUCCIONES METÁLICAS")</f>
        <v>TALLER SFT DE CONSTRUCCIONES METÁLICAS</v>
      </c>
      <c r="D357" s="213" t="str">
        <f>IFERROR(__xludf.DUMMYFUNCTION("""COMPUTED_VALUE"""),"HERRAMIENTAS")</f>
        <v>HERRAMIENTAS</v>
      </c>
      <c r="E357" s="213" t="str">
        <f>IFERROR(__xludf.DUMMYFUNCTION("""COMPUTED_VALUE"""),"MAT-132")</f>
        <v>MAT-132</v>
      </c>
      <c r="F357" s="213" t="str">
        <f>IFERROR(__xludf.DUMMYFUNCTION("""COMPUTED_VALUE"""),"MAT-132-Y")</f>
        <v>MAT-132-Y</v>
      </c>
      <c r="G357" s="213"/>
      <c r="H357" s="213" t="str">
        <f>IFERROR(__xludf.DUMMYFUNCTION("""COMPUTED_VALUE"""),"CEPILLO DE ACERO")</f>
        <v>CEPILLO DE ACERO</v>
      </c>
      <c r="I357" s="213" t="str">
        <f>IFERROR(__xludf.DUMMYFUNCTION("""COMPUTED_VALUE"""),"Cepillo de acero con mango de madera
-       Cerda #25")</f>
        <v>Cepillo de acero con mango de madera
-       Cerda #25</v>
      </c>
      <c r="J357" s="213">
        <f>IFERROR(__xludf.DUMMYFUNCTION("""COMPUTED_VALUE"""),3.0)</f>
        <v>3</v>
      </c>
      <c r="K357" s="213" t="str">
        <f>IFERROR(__xludf.DUMMYFUNCTION("""COMPUTED_VALUE"""),"90 DÍAS CALENDARIO")</f>
        <v>90 DÍAS CALENDARIO</v>
      </c>
      <c r="L357" s="213" t="str">
        <f>IFERROR(__xludf.DUMMYFUNCTION("""COMPUTED_VALUE"""),"")</f>
        <v/>
      </c>
      <c r="M357" s="213">
        <f>IFERROR(__xludf.DUMMYFUNCTION("""COMPUTED_VALUE"""),1.0)</f>
        <v>1</v>
      </c>
      <c r="N357" s="213">
        <f>IFERROR(__xludf.DUMMYFUNCTION("""COMPUTED_VALUE"""),5.0)</f>
        <v>5</v>
      </c>
      <c r="O357" s="213">
        <f>IFERROR(__xludf.DUMMYFUNCTION("""COMPUTED_VALUE"""),5.0)</f>
        <v>5</v>
      </c>
      <c r="P357" s="213"/>
      <c r="Q357" s="213"/>
      <c r="R357" s="213"/>
      <c r="S357" s="213"/>
      <c r="T357" s="213" t="str">
        <f>IFERROR(__xludf.DUMMYFUNCTION("""COMPUTED_VALUE"""),"SI")</f>
        <v>SI</v>
      </c>
      <c r="U357" s="213" t="str">
        <f>IFERROR(__xludf.DUMMYFUNCTION("""COMPUTED_VALUE"""),"SI")</f>
        <v>SI</v>
      </c>
      <c r="V357" s="213" t="str">
        <f>IFERROR(__xludf.DUMMYFUNCTION("""COMPUTED_VALUE"""),"-")</f>
        <v>-</v>
      </c>
      <c r="W357" s="213" t="str">
        <f>IFERROR(__xludf.DUMMYFUNCTION("""COMPUTED_VALUE"""),"-")</f>
        <v>-</v>
      </c>
      <c r="X357" s="213" t="str">
        <f>IFERROR(__xludf.DUMMYFUNCTION("""COMPUTED_VALUE"""),"LUDEPA")</f>
        <v>LUDEPA</v>
      </c>
      <c r="Y357" s="213" t="str">
        <f>IFERROR(__xludf.DUMMYFUNCTION("""COMPUTED_VALUE"""),"CMT11025RZ")</f>
        <v>CMT11025RZ</v>
      </c>
      <c r="Z357" s="215" t="str">
        <f>IFERROR(__xludf.DUMMYFUNCTION("""COMPUTED_VALUE"""),"https://www.ludepa.ec/productos/herramientas-manuales/cepillo-cerdas-de-acero-25/")</f>
        <v>https://www.ludepa.ec/productos/herramientas-manuales/cepillo-cerdas-de-acero-25/</v>
      </c>
      <c r="AA357" s="213" t="str">
        <f>IFERROR(__xludf.DUMMYFUNCTION("""COMPUTED_VALUE"""),"MAT-132-Y CEPILLO DE ACERO - CET")</f>
        <v>MAT-132-Y CEPILLO DE ACERO - CET</v>
      </c>
      <c r="AB357" s="213"/>
      <c r="AC357" s="213"/>
      <c r="AD357" s="213"/>
      <c r="AE357" s="213"/>
      <c r="AF357" s="213"/>
      <c r="AG357" s="213"/>
      <c r="AH357" s="213"/>
      <c r="AI357" s="213"/>
      <c r="AJ357" s="213"/>
      <c r="AK357" s="213"/>
      <c r="AL357" s="213"/>
      <c r="AM357" s="213"/>
      <c r="AN357" s="213"/>
      <c r="AO357" s="213"/>
      <c r="AP357" s="213" t="str">
        <f>IFERROR(__xludf.DUMMYFUNCTION("""COMPUTED_VALUE"""),"BRUNO")</f>
        <v>BRUNO</v>
      </c>
      <c r="AQ357" s="213"/>
      <c r="AR357" s="213"/>
      <c r="AS357" s="213"/>
      <c r="AT357" s="213"/>
      <c r="AU357" s="213"/>
      <c r="AV357" s="213"/>
      <c r="AW357" s="213"/>
      <c r="AX357" s="213"/>
      <c r="AY357" s="213"/>
      <c r="AZ357" s="213"/>
      <c r="BA357" s="213"/>
      <c r="BB357" s="213"/>
      <c r="BC357" s="213"/>
      <c r="BD357" s="213"/>
    </row>
    <row r="358">
      <c r="A358" s="213">
        <f>IFERROR(__xludf.DUMMYFUNCTION("""COMPUTED_VALUE"""),552.0)</f>
        <v>552</v>
      </c>
      <c r="B358" s="213" t="str">
        <f>IFERROR(__xludf.DUMMYFUNCTION("""COMPUTED_VALUE"""),"2026 SIMON BOLIVAR")</f>
        <v>2026 SIMON BOLIVAR</v>
      </c>
      <c r="C358" s="213" t="str">
        <f>IFERROR(__xludf.DUMMYFUNCTION("""COMPUTED_VALUE"""),"TALLER SFT DE INDUSTRIA ALIMENTARIA")</f>
        <v>TALLER SFT DE INDUSTRIA ALIMENTARIA</v>
      </c>
      <c r="D358" s="213" t="str">
        <f>IFERROR(__xludf.DUMMYFUNCTION("""COMPUTED_VALUE"""),"EQUIPOS")</f>
        <v>EQUIPOS</v>
      </c>
      <c r="E358" s="213" t="str">
        <f>IFERROR(__xludf.DUMMYFUNCTION("""COMPUTED_VALUE"""),"ESP-124")</f>
        <v>ESP-124</v>
      </c>
      <c r="F358" s="213" t="str">
        <f>IFERROR(__xludf.DUMMYFUNCTION("""COMPUTED_VALUE"""),"ESP-124")</f>
        <v>ESP-124</v>
      </c>
      <c r="G358" s="213"/>
      <c r="H358" s="213" t="str">
        <f>IFERROR(__xludf.DUMMYFUNCTION("""COMPUTED_VALUE"""),"COCINA 1 HORNILLA A GAS")</f>
        <v>COCINA 1 HORNILLA A GAS</v>
      </c>
      <c r="I358" s="213" t="str">
        <f>IFERROR(__xludf.DUMMYFUNCTION("""COMPUTED_VALUE"""),"1 Hornilla
· Quemador N° 1
· Medidas mínimas 35  cm (Al) x 25 cm (An) x 30 (P) cm
· Bandejas para desperdicios
· Llama potente y regulable.")</f>
        <v>1 Hornilla
· Quemador N° 1
· Medidas mínimas 35  cm (Al) x 25 cm (An) x 30 (P) cm
· Bandejas para desperdicios
· Llama potente y regulable.</v>
      </c>
      <c r="J358" s="213">
        <f>IFERROR(__xludf.DUMMYFUNCTION("""COMPUTED_VALUE"""),3.0)</f>
        <v>3</v>
      </c>
      <c r="K358" s="213" t="str">
        <f>IFERROR(__xludf.DUMMYFUNCTION("""COMPUTED_VALUE"""),"170 DÍAS CALENDARIO")</f>
        <v>170 DÍAS CALENDARIO</v>
      </c>
      <c r="L358" s="213" t="str">
        <f>IFERROR(__xludf.DUMMYFUNCTION("""COMPUTED_VALUE"""),"")</f>
        <v/>
      </c>
      <c r="M358" s="213">
        <f>IFERROR(__xludf.DUMMYFUNCTION("""COMPUTED_VALUE"""),1.0)</f>
        <v>1</v>
      </c>
      <c r="N358" s="213">
        <f>IFERROR(__xludf.DUMMYFUNCTION("""COMPUTED_VALUE"""),1.0)</f>
        <v>1</v>
      </c>
      <c r="O358" s="213">
        <f>IFERROR(__xludf.DUMMYFUNCTION("""COMPUTED_VALUE"""),1.0)</f>
        <v>1</v>
      </c>
      <c r="P358" s="213"/>
      <c r="Q358" s="213"/>
      <c r="R358" s="213"/>
      <c r="S358" s="213" t="str">
        <f>IFERROR(__xludf.DUMMYFUNCTION("""COMPUTED_VALUE"""),"SI")</f>
        <v>SI</v>
      </c>
      <c r="T358" s="213" t="str">
        <f>IFERROR(__xludf.DUMMYFUNCTION("""COMPUTED_VALUE"""),"SI")</f>
        <v>SI</v>
      </c>
      <c r="U358" s="213" t="str">
        <f>IFERROR(__xludf.DUMMYFUNCTION("""COMPUTED_VALUE"""),"SI")</f>
        <v>SI</v>
      </c>
      <c r="V358" s="213" t="str">
        <f>IFERROR(__xludf.DUMMYFUNCTION("""COMPUTED_VALUE"""),"-")</f>
        <v>-</v>
      </c>
      <c r="W358" s="213" t="str">
        <f>IFERROR(__xludf.DUMMYFUNCTION("""COMPUTED_VALUE"""),"-")</f>
        <v>-</v>
      </c>
      <c r="X358" s="213" t="str">
        <f>IFERROR(__xludf.DUMMYFUNCTION("""COMPUTED_VALUE"""),"LINOX")</f>
        <v>LINOX</v>
      </c>
      <c r="Y358" s="213" t="str">
        <f>IFERROR(__xludf.DUMMYFUNCTION("""COMPUTED_VALUE"""),"Cocina Sobremesa Industrial de 1 Hornilla")</f>
        <v>Cocina Sobremesa Industrial de 1 Hornilla</v>
      </c>
      <c r="Z358" s="215" t="str">
        <f>IFERROR(__xludf.DUMMYFUNCTION("""COMPUTED_VALUE"""),"https://linoxperu.com/producto/cocina-sobremesa-industrial-de-1-hornilla/?utm_source=chatgpt.com")</f>
        <v>https://linoxperu.com/producto/cocina-sobremesa-industrial-de-1-hornilla/?utm_source=chatgpt.com</v>
      </c>
      <c r="AA358" s="213" t="str">
        <f>IFERROR(__xludf.DUMMYFUNCTION("""COMPUTED_VALUE"""),"ESP-124 COCINA 1 HORNILLA A GAS - CET")</f>
        <v>ESP-124 COCINA 1 HORNILLA A GAS - CET</v>
      </c>
      <c r="AB358" s="213"/>
      <c r="AC358" s="213"/>
      <c r="AD358" s="213"/>
      <c r="AE358" s="213"/>
      <c r="AF358" s="213"/>
      <c r="AG358" s="213"/>
      <c r="AH358" s="213"/>
      <c r="AI358" s="213"/>
      <c r="AJ358" s="213"/>
      <c r="AK358" s="213"/>
      <c r="AL358" s="213"/>
      <c r="AM358" s="213"/>
      <c r="AN358" s="213"/>
      <c r="AO358" s="213"/>
      <c r="AP358" s="213" t="str">
        <f>IFERROR(__xludf.DUMMYFUNCTION("""COMPUTED_VALUE"""),"ANTONELLA")</f>
        <v>ANTONELLA</v>
      </c>
      <c r="AQ358" s="213"/>
      <c r="AR358" s="213"/>
      <c r="AS358" s="213" t="str">
        <f>IFERROR(__xludf.DUMMYFUNCTION("""COMPUTED_VALUE"""),"MANGUERA PARA INSTALACIÓN")</f>
        <v>MANGUERA PARA INSTALACIÓN</v>
      </c>
      <c r="AT358" s="213"/>
      <c r="AU358" s="213"/>
      <c r="AV358" s="213"/>
      <c r="AW358" s="213"/>
      <c r="AX358" s="213"/>
      <c r="AY358" s="213"/>
      <c r="AZ358" s="213"/>
      <c r="BA358" s="213"/>
      <c r="BB358" s="213"/>
      <c r="BC358" s="213"/>
      <c r="BD358" s="213"/>
    </row>
    <row r="359">
      <c r="A359" s="213">
        <f>IFERROR(__xludf.DUMMYFUNCTION("""COMPUTED_VALUE"""),1179.0)</f>
        <v>1179</v>
      </c>
      <c r="B359" s="213" t="str">
        <f>IFERROR(__xludf.DUMMYFUNCTION("""COMPUTED_VALUE"""),"FRANCISCO IRAZOLA")</f>
        <v>FRANCISCO IRAZOLA</v>
      </c>
      <c r="C359" s="213" t="str">
        <f>IFERROR(__xludf.DUMMYFUNCTION("""COMPUTED_VALUE"""),"TALLER SFT DE INDUSTRIA ALIMENTARIA")</f>
        <v>TALLER SFT DE INDUSTRIA ALIMENTARIA</v>
      </c>
      <c r="D359" s="213" t="str">
        <f>IFERROR(__xludf.DUMMYFUNCTION("""COMPUTED_VALUE"""),"EQUIPOS")</f>
        <v>EQUIPOS</v>
      </c>
      <c r="E359" s="213" t="str">
        <f>IFERROR(__xludf.DUMMYFUNCTION("""COMPUTED_VALUE"""),"ESP-124")</f>
        <v>ESP-124</v>
      </c>
      <c r="F359" s="213" t="str">
        <f>IFERROR(__xludf.DUMMYFUNCTION("""COMPUTED_VALUE"""),"ESP-124")</f>
        <v>ESP-124</v>
      </c>
      <c r="G359" s="213"/>
      <c r="H359" s="213" t="str">
        <f>IFERROR(__xludf.DUMMYFUNCTION("""COMPUTED_VALUE"""),"COCINA 1 HORNILLA A GAS")</f>
        <v>COCINA 1 HORNILLA A GAS</v>
      </c>
      <c r="I359" s="213" t="str">
        <f>IFERROR(__xludf.DUMMYFUNCTION("""COMPUTED_VALUE"""),"1 Hornilla
· Quemador N° 1
· Medidas mínimas 35  cm (Al) x 25 cm (An) x 30 (P) cm
· Bandejas para desperdicios
· Llama potente y regulable.")</f>
        <v>1 Hornilla
· Quemador N° 1
· Medidas mínimas 35  cm (Al) x 25 cm (An) x 30 (P) cm
· Bandejas para desperdicios
· Llama potente y regulable.</v>
      </c>
      <c r="J359" s="213">
        <f>IFERROR(__xludf.DUMMYFUNCTION("""COMPUTED_VALUE"""),3.0)</f>
        <v>3</v>
      </c>
      <c r="K359" s="213" t="str">
        <f>IFERROR(__xludf.DUMMYFUNCTION("""COMPUTED_VALUE"""),"170 DÍAS CALENDARIO")</f>
        <v>170 DÍAS CALENDARIO</v>
      </c>
      <c r="L359" s="213" t="str">
        <f>IFERROR(__xludf.DUMMYFUNCTION("""COMPUTED_VALUE"""),"")</f>
        <v/>
      </c>
      <c r="M359" s="213">
        <f>IFERROR(__xludf.DUMMYFUNCTION("""COMPUTED_VALUE"""),1.0)</f>
        <v>1</v>
      </c>
      <c r="N359" s="213">
        <f>IFERROR(__xludf.DUMMYFUNCTION("""COMPUTED_VALUE"""),1.0)</f>
        <v>1</v>
      </c>
      <c r="O359" s="213">
        <f>IFERROR(__xludf.DUMMYFUNCTION("""COMPUTED_VALUE"""),1.0)</f>
        <v>1</v>
      </c>
      <c r="P359" s="213"/>
      <c r="Q359" s="213"/>
      <c r="R359" s="213"/>
      <c r="S359" s="213" t="str">
        <f>IFERROR(__xludf.DUMMYFUNCTION("""COMPUTED_VALUE"""),"SI")</f>
        <v>SI</v>
      </c>
      <c r="T359" s="213" t="str">
        <f>IFERROR(__xludf.DUMMYFUNCTION("""COMPUTED_VALUE"""),"SI")</f>
        <v>SI</v>
      </c>
      <c r="U359" s="213" t="str">
        <f>IFERROR(__xludf.DUMMYFUNCTION("""COMPUTED_VALUE"""),"SI")</f>
        <v>SI</v>
      </c>
      <c r="V359" s="213" t="str">
        <f>IFERROR(__xludf.DUMMYFUNCTION("""COMPUTED_VALUE"""),"-")</f>
        <v>-</v>
      </c>
      <c r="W359" s="213" t="str">
        <f>IFERROR(__xludf.DUMMYFUNCTION("""COMPUTED_VALUE"""),"-")</f>
        <v>-</v>
      </c>
      <c r="X359" s="213" t="str">
        <f>IFERROR(__xludf.DUMMYFUNCTION("""COMPUTED_VALUE"""),"LINOX")</f>
        <v>LINOX</v>
      </c>
      <c r="Y359" s="213" t="str">
        <f>IFERROR(__xludf.DUMMYFUNCTION("""COMPUTED_VALUE"""),"Cocina Sobremesa Industrial de 1 Hornilla")</f>
        <v>Cocina Sobremesa Industrial de 1 Hornilla</v>
      </c>
      <c r="Z359" s="215" t="str">
        <f>IFERROR(__xludf.DUMMYFUNCTION("""COMPUTED_VALUE"""),"https://linoxperu.com/producto/cocina-sobremesa-industrial-de-1-hornilla/?utm_source=chatgpt.com")</f>
        <v>https://linoxperu.com/producto/cocina-sobremesa-industrial-de-1-hornilla/?utm_source=chatgpt.com</v>
      </c>
      <c r="AA359" s="213" t="str">
        <f>IFERROR(__xludf.DUMMYFUNCTION("""COMPUTED_VALUE"""),"ESP-124 COCINA 1 HORNILLA A GAS - CET")</f>
        <v>ESP-124 COCINA 1 HORNILLA A GAS - CET</v>
      </c>
      <c r="AB359" s="213"/>
      <c r="AC359" s="213"/>
      <c r="AD359" s="213"/>
      <c r="AE359" s="213"/>
      <c r="AF359" s="213"/>
      <c r="AG359" s="213"/>
      <c r="AH359" s="213"/>
      <c r="AI359" s="213"/>
      <c r="AJ359" s="213"/>
      <c r="AK359" s="213"/>
      <c r="AL359" s="213"/>
      <c r="AM359" s="213"/>
      <c r="AN359" s="213"/>
      <c r="AO359" s="213"/>
      <c r="AP359" s="213" t="str">
        <f>IFERROR(__xludf.DUMMYFUNCTION("""COMPUTED_VALUE"""),"ANTONELLA")</f>
        <v>ANTONELLA</v>
      </c>
      <c r="AQ359" s="213"/>
      <c r="AR359" s="213"/>
      <c r="AS359" s="213" t="str">
        <f>IFERROR(__xludf.DUMMYFUNCTION("""COMPUTED_VALUE"""),"MANGUERA PARA INSTALACIÓN")</f>
        <v>MANGUERA PARA INSTALACIÓN</v>
      </c>
      <c r="AT359" s="213"/>
      <c r="AU359" s="213"/>
      <c r="AV359" s="213"/>
      <c r="AW359" s="213"/>
      <c r="AX359" s="213"/>
      <c r="AY359" s="213"/>
      <c r="AZ359" s="213"/>
      <c r="BA359" s="213"/>
      <c r="BB359" s="213"/>
      <c r="BC359" s="213"/>
      <c r="BD359" s="213"/>
    </row>
    <row r="360">
      <c r="A360" s="213">
        <f>IFERROR(__xludf.DUMMYFUNCTION("""COMPUTED_VALUE"""),1454.0)</f>
        <v>1454</v>
      </c>
      <c r="B360" s="213" t="str">
        <f>IFERROR(__xludf.DUMMYFUNCTION("""COMPUTED_VALUE"""),"GUILLERMO E. BILLINGHURST ")</f>
        <v>GUILLERMO E. BILLINGHURST </v>
      </c>
      <c r="C360" s="213" t="str">
        <f>IFERROR(__xludf.DUMMYFUNCTION("""COMPUTED_VALUE"""),"TALLER SFT DE INDUSTRIA ALIMENTARIA")</f>
        <v>TALLER SFT DE INDUSTRIA ALIMENTARIA</v>
      </c>
      <c r="D360" s="213" t="str">
        <f>IFERROR(__xludf.DUMMYFUNCTION("""COMPUTED_VALUE"""),"EQUIPOS")</f>
        <v>EQUIPOS</v>
      </c>
      <c r="E360" s="213" t="str">
        <f>IFERROR(__xludf.DUMMYFUNCTION("""COMPUTED_VALUE"""),"ESP-124")</f>
        <v>ESP-124</v>
      </c>
      <c r="F360" s="213" t="str">
        <f>IFERROR(__xludf.DUMMYFUNCTION("""COMPUTED_VALUE"""),"ESP-124")</f>
        <v>ESP-124</v>
      </c>
      <c r="G360" s="213"/>
      <c r="H360" s="213" t="str">
        <f>IFERROR(__xludf.DUMMYFUNCTION("""COMPUTED_VALUE"""),"COCINA 1 HORNILLA A GAS")</f>
        <v>COCINA 1 HORNILLA A GAS</v>
      </c>
      <c r="I360" s="213" t="str">
        <f>IFERROR(__xludf.DUMMYFUNCTION("""COMPUTED_VALUE"""),"1 Hornilla
· Quemador N° 1
· Medidas mínimas 35  cm (Al) x 25 cm (An) x 30 (P) cm
· Bandejas para desperdicios
· Llama potente y regulable.")</f>
        <v>1 Hornilla
· Quemador N° 1
· Medidas mínimas 35  cm (Al) x 25 cm (An) x 30 (P) cm
· Bandejas para desperdicios
· Llama potente y regulable.</v>
      </c>
      <c r="J360" s="213">
        <f>IFERROR(__xludf.DUMMYFUNCTION("""COMPUTED_VALUE"""),3.0)</f>
        <v>3</v>
      </c>
      <c r="K360" s="213" t="str">
        <f>IFERROR(__xludf.DUMMYFUNCTION("""COMPUTED_VALUE"""),"170 DÍAS CALENDARIO")</f>
        <v>170 DÍAS CALENDARIO</v>
      </c>
      <c r="L360" s="213" t="str">
        <f>IFERROR(__xludf.DUMMYFUNCTION("""COMPUTED_VALUE"""),"")</f>
        <v/>
      </c>
      <c r="M360" s="213">
        <f>IFERROR(__xludf.DUMMYFUNCTION("""COMPUTED_VALUE"""),1.0)</f>
        <v>1</v>
      </c>
      <c r="N360" s="213">
        <f>IFERROR(__xludf.DUMMYFUNCTION("""COMPUTED_VALUE"""),1.0)</f>
        <v>1</v>
      </c>
      <c r="O360" s="213">
        <f>IFERROR(__xludf.DUMMYFUNCTION("""COMPUTED_VALUE"""),1.0)</f>
        <v>1</v>
      </c>
      <c r="P360" s="213"/>
      <c r="Q360" s="213"/>
      <c r="R360" s="213"/>
      <c r="S360" s="213" t="str">
        <f>IFERROR(__xludf.DUMMYFUNCTION("""COMPUTED_VALUE"""),"SI")</f>
        <v>SI</v>
      </c>
      <c r="T360" s="213" t="str">
        <f>IFERROR(__xludf.DUMMYFUNCTION("""COMPUTED_VALUE"""),"SI")</f>
        <v>SI</v>
      </c>
      <c r="U360" s="213" t="str">
        <f>IFERROR(__xludf.DUMMYFUNCTION("""COMPUTED_VALUE"""),"SI")</f>
        <v>SI</v>
      </c>
      <c r="V360" s="213" t="str">
        <f>IFERROR(__xludf.DUMMYFUNCTION("""COMPUTED_VALUE"""),"-")</f>
        <v>-</v>
      </c>
      <c r="W360" s="213" t="str">
        <f>IFERROR(__xludf.DUMMYFUNCTION("""COMPUTED_VALUE"""),"-")</f>
        <v>-</v>
      </c>
      <c r="X360" s="213" t="str">
        <f>IFERROR(__xludf.DUMMYFUNCTION("""COMPUTED_VALUE"""),"LINOX")</f>
        <v>LINOX</v>
      </c>
      <c r="Y360" s="213" t="str">
        <f>IFERROR(__xludf.DUMMYFUNCTION("""COMPUTED_VALUE"""),"Cocina Sobremesa Industrial de 1 Hornilla")</f>
        <v>Cocina Sobremesa Industrial de 1 Hornilla</v>
      </c>
      <c r="Z360" s="215" t="str">
        <f>IFERROR(__xludf.DUMMYFUNCTION("""COMPUTED_VALUE"""),"https://linoxperu.com/producto/cocina-sobremesa-industrial-de-1-hornilla/?utm_source=chatgpt.com")</f>
        <v>https://linoxperu.com/producto/cocina-sobremesa-industrial-de-1-hornilla/?utm_source=chatgpt.com</v>
      </c>
      <c r="AA360" s="213" t="str">
        <f>IFERROR(__xludf.DUMMYFUNCTION("""COMPUTED_VALUE"""),"ESP-124 COCINA 1 HORNILLA A GAS - CET")</f>
        <v>ESP-124 COCINA 1 HORNILLA A GAS - CET</v>
      </c>
      <c r="AB360" s="213"/>
      <c r="AC360" s="213"/>
      <c r="AD360" s="213"/>
      <c r="AE360" s="213"/>
      <c r="AF360" s="213"/>
      <c r="AG360" s="213"/>
      <c r="AH360" s="213"/>
      <c r="AI360" s="213"/>
      <c r="AJ360" s="213"/>
      <c r="AK360" s="213"/>
      <c r="AL360" s="213"/>
      <c r="AM360" s="213"/>
      <c r="AN360" s="213"/>
      <c r="AO360" s="213"/>
      <c r="AP360" s="213" t="str">
        <f>IFERROR(__xludf.DUMMYFUNCTION("""COMPUTED_VALUE"""),"ANTONELLA")</f>
        <v>ANTONELLA</v>
      </c>
      <c r="AQ360" s="213"/>
      <c r="AR360" s="213"/>
      <c r="AS360" s="213" t="str">
        <f>IFERROR(__xludf.DUMMYFUNCTION("""COMPUTED_VALUE"""),"MANGUERA PARA INSTALACIÓN")</f>
        <v>MANGUERA PARA INSTALACIÓN</v>
      </c>
      <c r="AT360" s="213"/>
      <c r="AU360" s="213"/>
      <c r="AV360" s="213"/>
      <c r="AW360" s="213"/>
      <c r="AX360" s="213"/>
      <c r="AY360" s="213"/>
      <c r="AZ360" s="213"/>
      <c r="BA360" s="213"/>
      <c r="BB360" s="213"/>
      <c r="BC360" s="213"/>
      <c r="BD360" s="213"/>
    </row>
    <row r="361">
      <c r="A361" s="213">
        <f>IFERROR(__xludf.DUMMYFUNCTION("""COMPUTED_VALUE"""),2141.0)</f>
        <v>2141</v>
      </c>
      <c r="B361" s="213" t="str">
        <f>IFERROR(__xludf.DUMMYFUNCTION("""COMPUTED_VALUE"""),"JOSE GRANDA")</f>
        <v>JOSE GRANDA</v>
      </c>
      <c r="C361" s="213" t="str">
        <f>IFERROR(__xludf.DUMMYFUNCTION("""COMPUTED_VALUE"""),"TALLER SFT DE INDUSTRIA ALIMENTARIA")</f>
        <v>TALLER SFT DE INDUSTRIA ALIMENTARIA</v>
      </c>
      <c r="D361" s="213" t="str">
        <f>IFERROR(__xludf.DUMMYFUNCTION("""COMPUTED_VALUE"""),"EQUIPOS")</f>
        <v>EQUIPOS</v>
      </c>
      <c r="E361" s="213" t="str">
        <f>IFERROR(__xludf.DUMMYFUNCTION("""COMPUTED_VALUE"""),"ESP-124")</f>
        <v>ESP-124</v>
      </c>
      <c r="F361" s="213" t="str">
        <f>IFERROR(__xludf.DUMMYFUNCTION("""COMPUTED_VALUE"""),"ESP-124")</f>
        <v>ESP-124</v>
      </c>
      <c r="G361" s="213"/>
      <c r="H361" s="213" t="str">
        <f>IFERROR(__xludf.DUMMYFUNCTION("""COMPUTED_VALUE"""),"COCINA 1 HORNILLA A GAS")</f>
        <v>COCINA 1 HORNILLA A GAS</v>
      </c>
      <c r="I361" s="213" t="str">
        <f>IFERROR(__xludf.DUMMYFUNCTION("""COMPUTED_VALUE"""),"1 Hornilla
· Quemador N° 1
· Medidas mínimas 35  cm (Al) x 25 cm (An) x 30 (P) cm
· Bandejas para desperdicios
· Llama potente y regulable.")</f>
        <v>1 Hornilla
· Quemador N° 1
· Medidas mínimas 35  cm (Al) x 25 cm (An) x 30 (P) cm
· Bandejas para desperdicios
· Llama potente y regulable.</v>
      </c>
      <c r="J361" s="213">
        <f>IFERROR(__xludf.DUMMYFUNCTION("""COMPUTED_VALUE"""),3.0)</f>
        <v>3</v>
      </c>
      <c r="K361" s="213" t="str">
        <f>IFERROR(__xludf.DUMMYFUNCTION("""COMPUTED_VALUE"""),"170 DÍAS CALENDARIO")</f>
        <v>170 DÍAS CALENDARIO</v>
      </c>
      <c r="L361" s="213" t="str">
        <f>IFERROR(__xludf.DUMMYFUNCTION("""COMPUTED_VALUE"""),"")</f>
        <v/>
      </c>
      <c r="M361" s="213">
        <f>IFERROR(__xludf.DUMMYFUNCTION("""COMPUTED_VALUE"""),1.0)</f>
        <v>1</v>
      </c>
      <c r="N361" s="213">
        <f>IFERROR(__xludf.DUMMYFUNCTION("""COMPUTED_VALUE"""),1.0)</f>
        <v>1</v>
      </c>
      <c r="O361" s="213">
        <f>IFERROR(__xludf.DUMMYFUNCTION("""COMPUTED_VALUE"""),1.0)</f>
        <v>1</v>
      </c>
      <c r="P361" s="213"/>
      <c r="Q361" s="213"/>
      <c r="R361" s="213"/>
      <c r="S361" s="213" t="str">
        <f>IFERROR(__xludf.DUMMYFUNCTION("""COMPUTED_VALUE"""),"SI")</f>
        <v>SI</v>
      </c>
      <c r="T361" s="213" t="str">
        <f>IFERROR(__xludf.DUMMYFUNCTION("""COMPUTED_VALUE"""),"SI")</f>
        <v>SI</v>
      </c>
      <c r="U361" s="213" t="str">
        <f>IFERROR(__xludf.DUMMYFUNCTION("""COMPUTED_VALUE"""),"SI")</f>
        <v>SI</v>
      </c>
      <c r="V361" s="213" t="str">
        <f>IFERROR(__xludf.DUMMYFUNCTION("""COMPUTED_VALUE"""),"-")</f>
        <v>-</v>
      </c>
      <c r="W361" s="213" t="str">
        <f>IFERROR(__xludf.DUMMYFUNCTION("""COMPUTED_VALUE"""),"-")</f>
        <v>-</v>
      </c>
      <c r="X361" s="213" t="str">
        <f>IFERROR(__xludf.DUMMYFUNCTION("""COMPUTED_VALUE"""),"LINOX")</f>
        <v>LINOX</v>
      </c>
      <c r="Y361" s="213" t="str">
        <f>IFERROR(__xludf.DUMMYFUNCTION("""COMPUTED_VALUE"""),"Cocina Sobremesa Industrial de 1 Hornilla")</f>
        <v>Cocina Sobremesa Industrial de 1 Hornilla</v>
      </c>
      <c r="Z361" s="215" t="str">
        <f>IFERROR(__xludf.DUMMYFUNCTION("""COMPUTED_VALUE"""),"https://linoxperu.com/producto/cocina-sobremesa-industrial-de-1-hornilla/?utm_source=chatgpt.com")</f>
        <v>https://linoxperu.com/producto/cocina-sobremesa-industrial-de-1-hornilla/?utm_source=chatgpt.com</v>
      </c>
      <c r="AA361" s="213" t="str">
        <f>IFERROR(__xludf.DUMMYFUNCTION("""COMPUTED_VALUE"""),"ESP-124 COCINA 1 HORNILLA A GAS - CET")</f>
        <v>ESP-124 COCINA 1 HORNILLA A GAS - CET</v>
      </c>
      <c r="AB361" s="213"/>
      <c r="AC361" s="213"/>
      <c r="AD361" s="213"/>
      <c r="AE361" s="213"/>
      <c r="AF361" s="213"/>
      <c r="AG361" s="213"/>
      <c r="AH361" s="213"/>
      <c r="AI361" s="213"/>
      <c r="AJ361" s="213"/>
      <c r="AK361" s="213"/>
      <c r="AL361" s="213"/>
      <c r="AM361" s="213"/>
      <c r="AN361" s="213"/>
      <c r="AO361" s="213"/>
      <c r="AP361" s="213" t="str">
        <f>IFERROR(__xludf.DUMMYFUNCTION("""COMPUTED_VALUE"""),"ANTONELLA")</f>
        <v>ANTONELLA</v>
      </c>
      <c r="AQ361" s="213"/>
      <c r="AR361" s="213"/>
      <c r="AS361" s="213" t="str">
        <f>IFERROR(__xludf.DUMMYFUNCTION("""COMPUTED_VALUE"""),"MANGUERA PARA INSTALACIÓN")</f>
        <v>MANGUERA PARA INSTALACIÓN</v>
      </c>
      <c r="AT361" s="213"/>
      <c r="AU361" s="213"/>
      <c r="AV361" s="213"/>
      <c r="AW361" s="213"/>
      <c r="AX361" s="213"/>
      <c r="AY361" s="213"/>
      <c r="AZ361" s="213"/>
      <c r="BA361" s="213"/>
      <c r="BB361" s="213"/>
      <c r="BC361" s="213"/>
      <c r="BD361" s="213"/>
    </row>
    <row r="362">
      <c r="A362" s="213">
        <f>IFERROR(__xludf.DUMMYFUNCTION("""COMPUTED_VALUE"""),84.0)</f>
        <v>84</v>
      </c>
      <c r="B362" s="213" t="str">
        <f>IFERROR(__xludf.DUMMYFUNCTION("""COMPUTED_VALUE"""),"16449 ELOY SOBERON  FLORES")</f>
        <v>16449 ELOY SOBERON  FLORES</v>
      </c>
      <c r="C362" s="213" t="str">
        <f>IFERROR(__xludf.DUMMYFUNCTION("""COMPUTED_VALUE"""),"TALLER SFT DE COCINA Y REPOSTERÍA")</f>
        <v>TALLER SFT DE COCINA Y REPOSTERÍA</v>
      </c>
      <c r="D362" s="213" t="str">
        <f>IFERROR(__xludf.DUMMYFUNCTION("""COMPUTED_VALUE"""),"EQUIPOS")</f>
        <v>EQUIPOS</v>
      </c>
      <c r="E362" s="213" t="str">
        <f>IFERROR(__xludf.DUMMYFUNCTION("""COMPUTED_VALUE"""),"ESP-125")</f>
        <v>ESP-125</v>
      </c>
      <c r="F362" s="213" t="str">
        <f>IFERROR(__xludf.DUMMYFUNCTION("""COMPUTED_VALUE"""),"ESP-125")</f>
        <v>ESP-125</v>
      </c>
      <c r="G362" s="213"/>
      <c r="H362" s="213" t="str">
        <f>IFERROR(__xludf.DUMMYFUNCTION("""COMPUTED_VALUE"""),"COCINA DE INDUCCIÓN CON 5 ZONAS DE COCCIÓN Y CON HORNO MULTIFUNCIONAL")</f>
        <v>COCINA DE INDUCCIÓN CON 5 ZONAS DE COCCIÓN Y CON HORNO MULTIFUNCIONAL</v>
      </c>
      <c r="I362" s="213" t="str">
        <f>IFERROR(__xludf.DUMMYFUNCTION("""COMPUTED_VALUE"""),".  N.° de mandos minima 7
.  Número total de zonas de cocción minima 5
.  Número ventiladores minima 3
.  Nº luces minima 4
.  Capacidad bruta (Lt) horno minimo : 1 129
.  N.° de estantes minimo :  5
.  Dimensiones  minimas útiles  interior cavidad (axlxp"&amp;") 371x724x418mm
.  Resistencia inferior - Potencia minima :  1700 W
.  Resistencia superior - Potencia minima : 1200 W
.  Resistencia grill - Potencia  minima 1700 W
.  Resistencia grill ancho - Potencia  minima 2900 W
.  Resistencia circular - Potencia m"&amp;"inima1850 W
.  Programador de tiempo
.  Alarma acústica de fin de cocción
.  Temperatura mínima-máxima 50 °C-260 °C
.  Equipo accesorios horno principal y encimera
.  Rascador 1
.  Asador 1
.  Rejilla del horno con stop 2
.  Rejilla inserción bandeja 1
. "&amp;" Bandeja profunda 40mm 2
.  Datos nominales de conexión eléctrica 11400 W
·  Dimensiones minimas : L 90 cm x A60 cm x H85 cm.")</f>
        <v>.  N.° de mandos minima 7
.  Número total de zonas de cocción minima 5
.  Número ventiladores minima 3
.  Nº luces minima 4
.  Capacidad bruta (Lt) horno minimo : 1 129
.  N.° de estantes minimo :  5
.  Dimensiones  minimas útiles  interior cavidad (axlxp) 371x724x418mm
.  Resistencia inferior - Potencia minima :  1700 W
.  Resistencia superior - Potencia minima : 1200 W
.  Resistencia grill - Potencia  minima 1700 W
.  Resistencia grill ancho - Potencia  minima 2900 W
.  Resistencia circular - Potencia minima1850 W
.  Programador de tiempo
.  Alarma acústica de fin de cocción
.  Temperatura mínima-máxima 50 °C-260 °C
.  Equipo accesorios horno principal y encimera
.  Rascador 1
.  Asador 1
.  Rejilla del horno con stop 2
.  Rejilla inserción bandeja 1
.  Bandeja profunda 40mm 2
.  Datos nominales de conexión eléctrica 11400 W
·  Dimensiones minimas : L 90 cm x A60 cm x H85 cm.</v>
      </c>
      <c r="J362" s="213">
        <f>IFERROR(__xludf.DUMMYFUNCTION("""COMPUTED_VALUE"""),3.0)</f>
        <v>3</v>
      </c>
      <c r="K362" s="213" t="str">
        <f>IFERROR(__xludf.DUMMYFUNCTION("""COMPUTED_VALUE"""),"170 DÍAS CALENDARIO")</f>
        <v>170 DÍAS CALENDARIO</v>
      </c>
      <c r="L362" s="213" t="str">
        <f>IFERROR(__xludf.DUMMYFUNCTION("""COMPUTED_VALUE"""),"")</f>
        <v/>
      </c>
      <c r="M362" s="213">
        <f>IFERROR(__xludf.DUMMYFUNCTION("""COMPUTED_VALUE"""),1.0)</f>
        <v>1</v>
      </c>
      <c r="N362" s="213">
        <f>IFERROR(__xludf.DUMMYFUNCTION("""COMPUTED_VALUE"""),1.0)</f>
        <v>1</v>
      </c>
      <c r="O362" s="213">
        <f>IFERROR(__xludf.DUMMYFUNCTION("""COMPUTED_VALUE"""),1.0)</f>
        <v>1</v>
      </c>
      <c r="P362" s="213"/>
      <c r="Q362" s="213"/>
      <c r="R362" s="213"/>
      <c r="S362" s="213" t="str">
        <f>IFERROR(__xludf.DUMMYFUNCTION("""COMPUTED_VALUE"""),"SI")</f>
        <v>SI</v>
      </c>
      <c r="T362" s="213" t="str">
        <f>IFERROR(__xludf.DUMMYFUNCTION("""COMPUTED_VALUE"""),"SI")</f>
        <v>SI</v>
      </c>
      <c r="U362" s="213" t="str">
        <f>IFERROR(__xludf.DUMMYFUNCTION("""COMPUTED_VALUE"""),"NO")</f>
        <v>NO</v>
      </c>
      <c r="V362" s="213" t="str">
        <f>IFERROR(__xludf.DUMMYFUNCTION("""COMPUTED_VALUE"""),"SUSTENTO")</f>
        <v>SUSTENTO</v>
      </c>
      <c r="W362" s="213" t="str">
        <f>IFERROR(__xludf.DUMMYFUNCTION("""COMPUTED_VALUE"""),"EQU TEC")</f>
        <v>EQU TEC</v>
      </c>
      <c r="X362" s="213" t="str">
        <f>IFERROR(__xludf.DUMMYFUNCTION("""COMPUTED_VALUE"""),"SMEG")</f>
        <v>SMEG</v>
      </c>
      <c r="Y362" s="213" t="str">
        <f>IFERROR(__xludf.DUMMYFUNCTION("""COMPUTED_VALUE"""),"Portofino CPF9IPOR")</f>
        <v>Portofino CPF9IPOR</v>
      </c>
      <c r="Z362" s="215" t="str">
        <f>IFERROR(__xludf.DUMMYFUNCTION("""COMPUTED_VALUE"""),"https://www.smeguk.com/products/CPF9IPOR")</f>
        <v>https://www.smeguk.com/products/CPF9IPOR</v>
      </c>
      <c r="AA362" s="213" t="str">
        <f>IFERROR(__xludf.DUMMYFUNCTION("""COMPUTED_VALUE"""),"ESP-125 COCINA DE INDUCCIÓN CON 5 ZONAS DE COCCIÓN Y CON HORNO MULTIFUNCIONAL - CET")</f>
        <v>ESP-125 COCINA DE INDUCCIÓN CON 5 ZONAS DE COCCIÓN Y CON HORNO MULTIFUNCIONAL - CET</v>
      </c>
      <c r="AB362" s="213"/>
      <c r="AC362" s="213"/>
      <c r="AD362" s="213"/>
      <c r="AE362" s="213"/>
      <c r="AF362" s="213"/>
      <c r="AG362" s="213"/>
      <c r="AH362" s="213" t="str">
        <f>IFERROR(__xludf.DUMMYFUNCTION("""COMPUTED_VALUE"""),"IMPORTADO")</f>
        <v>IMPORTADO</v>
      </c>
      <c r="AI362" s="213"/>
      <c r="AJ362" s="213"/>
      <c r="AK362" s="213"/>
      <c r="AL362" s="213"/>
      <c r="AM362" s="213"/>
      <c r="AN362" s="213"/>
      <c r="AO362" s="213"/>
      <c r="AP362" s="213" t="str">
        <f>IFERROR(__xludf.DUMMYFUNCTION("""COMPUTED_VALUE"""),"JASON")</f>
        <v>JASON</v>
      </c>
      <c r="AQ362" s="213"/>
      <c r="AR362" s="213"/>
      <c r="AS362" s="213" t="str">
        <f>IFERROR(__xludf.DUMMYFUNCTION("""COMPUTED_VALUE"""),"1 rascador (scrapper), 1 asador (rotisserie)")</f>
        <v>1 rascador (scrapper), 1 asador (rotisserie)</v>
      </c>
      <c r="AT362" s="213"/>
      <c r="AU362" s="213"/>
      <c r="AV362" s="213"/>
      <c r="AW362" s="213"/>
      <c r="AX362" s="213"/>
      <c r="AY362" s="213"/>
      <c r="AZ362" s="213"/>
      <c r="BA362" s="213"/>
      <c r="BB362" s="213"/>
      <c r="BC362" s="213"/>
      <c r="BD362" s="213"/>
    </row>
    <row r="363">
      <c r="A363" s="213">
        <f>IFERROR(__xludf.DUMMYFUNCTION("""COMPUTED_VALUE"""),94.0)</f>
        <v>94</v>
      </c>
      <c r="B363" s="213" t="str">
        <f>IFERROR(__xludf.DUMMYFUNCTION("""COMPUTED_VALUE"""),"16449 ELOY SOBERON  FLORES")</f>
        <v>16449 ELOY SOBERON  FLORES</v>
      </c>
      <c r="C363" s="213" t="str">
        <f>IFERROR(__xludf.DUMMYFUNCTION("""COMPUTED_VALUE"""),"TALLER SFT DE COCINA Y REPOSTERÍA")</f>
        <v>TALLER SFT DE COCINA Y REPOSTERÍA</v>
      </c>
      <c r="D363" s="213" t="str">
        <f>IFERROR(__xludf.DUMMYFUNCTION("""COMPUTED_VALUE"""),"EQUIPOS")</f>
        <v>EQUIPOS</v>
      </c>
      <c r="E363" s="213" t="str">
        <f>IFERROR(__xludf.DUMMYFUNCTION("""COMPUTED_VALUE"""),"ESP-126")</f>
        <v>ESP-126</v>
      </c>
      <c r="F363" s="213" t="str">
        <f>IFERROR(__xludf.DUMMYFUNCTION("""COMPUTED_VALUE"""),"ESP-126-X")</f>
        <v>ESP-126-X</v>
      </c>
      <c r="G363" s="213"/>
      <c r="H363" s="213" t="str">
        <f>IFERROR(__xludf.DUMMYFUNCTION("""COMPUTED_VALUE"""),"COCINA SEMI INDUSTRIAL")</f>
        <v>COCINA SEMI INDUSTRIAL</v>
      </c>
      <c r="I363" s="213" t="str">
        <f>IFERROR(__xludf.DUMMYFUNCTION("""COMPUTED_VALUE"""),"· Dimensiones  aproximadas ( +-  4"")  50"" ancho x 30"" profundidad x 67"" alto.
· Llama potente y regulable
· Exterior totalmente en fierro prepintado.
· Quemador N° 4.
· Equipada dos hornillas con  parrillas  de fierro fundido de 34 cm x 34 cm.
· Bande"&amp;"ja de desperdicios.")</f>
        <v>· Dimensiones  aproximadas ( +-  4")  50" ancho x 30" profundidad x 67" alto.
· Llama potente y regulable
· Exterior totalmente en fierro prepintado.
· Quemador N° 4.
· Equipada dos hornillas con  parrillas  de fierro fundido de 34 cm x 34 cm.
· Bandeja de desperdicios.</v>
      </c>
      <c r="J363" s="213">
        <f>IFERROR(__xludf.DUMMYFUNCTION("""COMPUTED_VALUE"""),3.0)</f>
        <v>3</v>
      </c>
      <c r="K363" s="213" t="str">
        <f>IFERROR(__xludf.DUMMYFUNCTION("""COMPUTED_VALUE"""),"170 DÍAS CALENDARIO")</f>
        <v>170 DÍAS CALENDARIO</v>
      </c>
      <c r="L363" s="213" t="str">
        <f>IFERROR(__xludf.DUMMYFUNCTION("""COMPUTED_VALUE"""),"")</f>
        <v/>
      </c>
      <c r="M363" s="213">
        <f>IFERROR(__xludf.DUMMYFUNCTION("""COMPUTED_VALUE"""),1.0)</f>
        <v>1</v>
      </c>
      <c r="N363" s="213">
        <f>IFERROR(__xludf.DUMMYFUNCTION("""COMPUTED_VALUE"""),1.0)</f>
        <v>1</v>
      </c>
      <c r="O363" s="213">
        <f>IFERROR(__xludf.DUMMYFUNCTION("""COMPUTED_VALUE"""),1.0)</f>
        <v>1</v>
      </c>
      <c r="P363" s="213"/>
      <c r="Q363" s="213"/>
      <c r="R363" s="213"/>
      <c r="S363" s="213" t="str">
        <f>IFERROR(__xludf.DUMMYFUNCTION("""COMPUTED_VALUE"""),"SI")</f>
        <v>SI</v>
      </c>
      <c r="T363" s="213" t="str">
        <f>IFERROR(__xludf.DUMMYFUNCTION("""COMPUTED_VALUE"""),"SI")</f>
        <v>SI</v>
      </c>
      <c r="U363" s="213" t="str">
        <f>IFERROR(__xludf.DUMMYFUNCTION("""COMPUTED_VALUE"""),"NO")</f>
        <v>NO</v>
      </c>
      <c r="V363" s="213" t="str">
        <f>IFERROR(__xludf.DUMMYFUNCTION("""COMPUTED_VALUE"""),"SUSTENTO")</f>
        <v>SUSTENTO</v>
      </c>
      <c r="W363" s="213" t="str">
        <f>IFERROR(__xludf.DUMMYFUNCTION("""COMPUTED_VALUE"""),"DIMENSIONAL")</f>
        <v>DIMENSIONAL</v>
      </c>
      <c r="X363" s="213" t="str">
        <f>IFERROR(__xludf.DUMMYFUNCTION("""COMPUTED_VALUE"""),"LINOX")</f>
        <v>LINOX</v>
      </c>
      <c r="Y363" s="213" t="str">
        <f>IFERROR(__xludf.DUMMYFUNCTION("""COMPUTED_VALUE"""),"Cocina Industrial de 2 Hornillas")</f>
        <v>Cocina Industrial de 2 Hornillas</v>
      </c>
      <c r="Z363" s="215" t="str">
        <f>IFERROR(__xludf.DUMMYFUNCTION("""COMPUTED_VALUE"""),"https://linoxperu.com/producto/cocina-industrial-de-2-hornillas/?utm_source=chatgpt.com")</f>
        <v>https://linoxperu.com/producto/cocina-industrial-de-2-hornillas/?utm_source=chatgpt.com</v>
      </c>
      <c r="AA363" s="213" t="str">
        <f>IFERROR(__xludf.DUMMYFUNCTION("""COMPUTED_VALUE"""),"ESP-126-X COCINA SEMI INDUSTRIAL - CET")</f>
        <v>ESP-126-X COCINA SEMI INDUSTRIAL - CET</v>
      </c>
      <c r="AB363" s="213"/>
      <c r="AC363" s="213"/>
      <c r="AD363" s="213"/>
      <c r="AE363" s="213"/>
      <c r="AF363" s="213"/>
      <c r="AG363" s="213"/>
      <c r="AH363" s="213" t="str">
        <f>IFERROR(__xludf.DUMMYFUNCTION("""COMPUTED_VALUE"""),"NACIONAL")</f>
        <v>NACIONAL</v>
      </c>
      <c r="AI363" s="213"/>
      <c r="AJ363" s="213"/>
      <c r="AK363" s="213"/>
      <c r="AL363" s="213"/>
      <c r="AM363" s="213"/>
      <c r="AN363" s="213"/>
      <c r="AO363" s="213"/>
      <c r="AP363" s="213" t="str">
        <f>IFERROR(__xludf.DUMMYFUNCTION("""COMPUTED_VALUE"""),"JASON")</f>
        <v>JASON</v>
      </c>
      <c r="AQ363" s="213"/>
      <c r="AR363" s="213"/>
      <c r="AS363" s="213" t="str">
        <f>IFERROR(__xludf.DUMMYFUNCTION("""COMPUTED_VALUE"""),"ACCESORIOS DE CONEXIÓN A GAS")</f>
        <v>ACCESORIOS DE CONEXIÓN A GAS</v>
      </c>
      <c r="AT363" s="213"/>
      <c r="AU363" s="213"/>
      <c r="AV363" s="213"/>
      <c r="AW363" s="213"/>
      <c r="AX363" s="213"/>
      <c r="AY363" s="213"/>
      <c r="AZ363" s="213"/>
      <c r="BA363" s="213"/>
      <c r="BB363" s="213"/>
      <c r="BC363" s="213"/>
      <c r="BD363" s="213"/>
    </row>
    <row r="364">
      <c r="A364" s="213">
        <f>IFERROR(__xludf.DUMMYFUNCTION("""COMPUTED_VALUE"""),540.0)</f>
        <v>540</v>
      </c>
      <c r="B364" s="213" t="str">
        <f>IFERROR(__xludf.DUMMYFUNCTION("""COMPUTED_VALUE"""),"2026 SIMON BOLIVAR")</f>
        <v>2026 SIMON BOLIVAR</v>
      </c>
      <c r="C364" s="213" t="str">
        <f>IFERROR(__xludf.DUMMYFUNCTION("""COMPUTED_VALUE"""),"TALLER SFT DE INDUSTRIA ALIMENTARIA")</f>
        <v>TALLER SFT DE INDUSTRIA ALIMENTARIA</v>
      </c>
      <c r="D364" s="213" t="str">
        <f>IFERROR(__xludf.DUMMYFUNCTION("""COMPUTED_VALUE"""),"EQUIPOS")</f>
        <v>EQUIPOS</v>
      </c>
      <c r="E364" s="213" t="str">
        <f>IFERROR(__xludf.DUMMYFUNCTION("""COMPUTED_VALUE"""),"ESP-126")</f>
        <v>ESP-126</v>
      </c>
      <c r="F364" s="213" t="str">
        <f>IFERROR(__xludf.DUMMYFUNCTION("""COMPUTED_VALUE"""),"ESP-126-Y")</f>
        <v>ESP-126-Y</v>
      </c>
      <c r="G364" s="213"/>
      <c r="H364" s="213" t="str">
        <f>IFERROR(__xludf.DUMMYFUNCTION("""COMPUTED_VALUE"""),"COCINA SEMI INDUSTRIAL A GAS")</f>
        <v>COCINA SEMI INDUSTRIAL A GAS</v>
      </c>
      <c r="I364" s="213" t="str">
        <f>IFERROR(__xludf.DUMMYFUNCTION("""COMPUTED_VALUE"""),"· 2 Hornillas
· Quemador N° 4
· Medidas  50  cm x  30 cm x  67 cm
· Bandejas para desperdicios
· Llama potente y regulable.")</f>
        <v>· 2 Hornillas
· Quemador N° 4
· Medidas  50  cm x  30 cm x  67 cm
· Bandejas para desperdicios
· Llama potente y regulable.</v>
      </c>
      <c r="J364" s="213">
        <f>IFERROR(__xludf.DUMMYFUNCTION("""COMPUTED_VALUE"""),3.0)</f>
        <v>3</v>
      </c>
      <c r="K364" s="213" t="str">
        <f>IFERROR(__xludf.DUMMYFUNCTION("""COMPUTED_VALUE"""),"170 DÍAS CALENDARIO")</f>
        <v>170 DÍAS CALENDARIO</v>
      </c>
      <c r="L364" s="213" t="str">
        <f>IFERROR(__xludf.DUMMYFUNCTION("""COMPUTED_VALUE"""),"")</f>
        <v/>
      </c>
      <c r="M364" s="213">
        <f>IFERROR(__xludf.DUMMYFUNCTION("""COMPUTED_VALUE"""),1.0)</f>
        <v>1</v>
      </c>
      <c r="N364" s="213">
        <f>IFERROR(__xludf.DUMMYFUNCTION("""COMPUTED_VALUE"""),1.0)</f>
        <v>1</v>
      </c>
      <c r="O364" s="213">
        <f>IFERROR(__xludf.DUMMYFUNCTION("""COMPUTED_VALUE"""),1.0)</f>
        <v>1</v>
      </c>
      <c r="P364" s="213"/>
      <c r="Q364" s="213"/>
      <c r="R364" s="213"/>
      <c r="S364" s="213" t="str">
        <f>IFERROR(__xludf.DUMMYFUNCTION("""COMPUTED_VALUE"""),"SI")</f>
        <v>SI</v>
      </c>
      <c r="T364" s="213" t="str">
        <f>IFERROR(__xludf.DUMMYFUNCTION("""COMPUTED_VALUE"""),"SI")</f>
        <v>SI</v>
      </c>
      <c r="U364" s="213" t="str">
        <f>IFERROR(__xludf.DUMMYFUNCTION("""COMPUTED_VALUE"""),"NO")</f>
        <v>NO</v>
      </c>
      <c r="V364" s="213" t="str">
        <f>IFERROR(__xludf.DUMMYFUNCTION("""COMPUTED_VALUE"""),"SUSTENTO")</f>
        <v>SUSTENTO</v>
      </c>
      <c r="W364" s="213" t="str">
        <f>IFERROR(__xludf.DUMMYFUNCTION("""COMPUTED_VALUE"""),"DIMENSIONAL")</f>
        <v>DIMENSIONAL</v>
      </c>
      <c r="X364" s="213" t="str">
        <f>IFERROR(__xludf.DUMMYFUNCTION("""COMPUTED_VALUE"""),"DRACCO")</f>
        <v>DRACCO</v>
      </c>
      <c r="Y364" s="213" t="str">
        <f>IFERROR(__xludf.DUMMYFUNCTION("""COMPUTED_VALUE"""),"CSI-2H")</f>
        <v>CSI-2H</v>
      </c>
      <c r="Z364" s="215" t="str">
        <f>IFERROR(__xludf.DUMMYFUNCTION("""COMPUTED_VALUE"""),"https://drive.google.com/file/d/1L2xTfes6smSwtJk_Ok6YfxYiLIC_YUcY/view?usp=sharing")</f>
        <v>https://drive.google.com/file/d/1L2xTfes6smSwtJk_Ok6YfxYiLIC_YUcY/view?usp=sharing</v>
      </c>
      <c r="AA364" s="213" t="str">
        <f>IFERROR(__xludf.DUMMYFUNCTION("""COMPUTED_VALUE"""),"ESP-126-Y COCINA SEMI INDUSTRIAL A GAS - CET")</f>
        <v>ESP-126-Y COCINA SEMI INDUSTRIAL A GAS - CET</v>
      </c>
      <c r="AB364" s="213"/>
      <c r="AC364" s="213"/>
      <c r="AD364" s="213"/>
      <c r="AE364" s="213"/>
      <c r="AF364" s="213"/>
      <c r="AG364" s="213"/>
      <c r="AH364" s="213"/>
      <c r="AI364" s="213"/>
      <c r="AJ364" s="213"/>
      <c r="AK364" s="213"/>
      <c r="AL364" s="213"/>
      <c r="AM364" s="213"/>
      <c r="AN364" s="213"/>
      <c r="AO364" s="213"/>
      <c r="AP364" s="213" t="str">
        <f>IFERROR(__xludf.DUMMYFUNCTION("""COMPUTED_VALUE"""),"ANTONELLA")</f>
        <v>ANTONELLA</v>
      </c>
      <c r="AQ364" s="213" t="str">
        <f>IFERROR(__xludf.DUMMYFUNCTION("""COMPUTED_VALUE"""),"El equipo tiene mayores dimensiones a las solicitadas, puede sustentarse como mejora.")</f>
        <v>El equipo tiene mayores dimensiones a las solicitadas, puede sustentarse como mejora.</v>
      </c>
      <c r="AR364" s="213"/>
      <c r="AS364" s="213" t="str">
        <f>IFERROR(__xludf.DUMMYFUNCTION("""COMPUTED_VALUE"""),"ACCESORIOS DE CONEXIÓN A GAS")</f>
        <v>ACCESORIOS DE CONEXIÓN A GAS</v>
      </c>
      <c r="AT364" s="213"/>
      <c r="AU364" s="213"/>
      <c r="AV364" s="213"/>
      <c r="AW364" s="213"/>
      <c r="AX364" s="213"/>
      <c r="AY364" s="213"/>
      <c r="AZ364" s="213"/>
      <c r="BA364" s="213"/>
      <c r="BB364" s="213"/>
      <c r="BC364" s="213"/>
      <c r="BD364" s="213"/>
    </row>
    <row r="365">
      <c r="A365" s="213">
        <f>IFERROR(__xludf.DUMMYFUNCTION("""COMPUTED_VALUE"""),557.0)</f>
        <v>557</v>
      </c>
      <c r="B365" s="213" t="str">
        <f>IFERROR(__xludf.DUMMYFUNCTION("""COMPUTED_VALUE"""),"2026 SIMON BOLIVAR")</f>
        <v>2026 SIMON BOLIVAR</v>
      </c>
      <c r="C365" s="213" t="str">
        <f>IFERROR(__xludf.DUMMYFUNCTION("""COMPUTED_VALUE"""),"TALLER SFT DE INDUSTRIA ALIMENTARIA")</f>
        <v>TALLER SFT DE INDUSTRIA ALIMENTARIA</v>
      </c>
      <c r="D365" s="213" t="str">
        <f>IFERROR(__xludf.DUMMYFUNCTION("""COMPUTED_VALUE"""),"EQUIPOS")</f>
        <v>EQUIPOS</v>
      </c>
      <c r="E365" s="213" t="str">
        <f>IFERROR(__xludf.DUMMYFUNCTION("""COMPUTED_VALUE"""),"ESP-126")</f>
        <v>ESP-126</v>
      </c>
      <c r="F365" s="213" t="str">
        <f>IFERROR(__xludf.DUMMYFUNCTION("""COMPUTED_VALUE"""),"ESP-126-Y")</f>
        <v>ESP-126-Y</v>
      </c>
      <c r="G365" s="213"/>
      <c r="H365" s="213" t="str">
        <f>IFERROR(__xludf.DUMMYFUNCTION("""COMPUTED_VALUE"""),"COCINA SEMI INDUSTRIAL A GAS")</f>
        <v>COCINA SEMI INDUSTRIAL A GAS</v>
      </c>
      <c r="I365" s="213" t="str">
        <f>IFERROR(__xludf.DUMMYFUNCTION("""COMPUTED_VALUE"""),"· 2 Hornillas
· Quemador N° 4
· Medidas  50  cm x  30 cm x  67 cm
· Bandejas para desperdicios
· Llama potente y regulable.")</f>
        <v>· 2 Hornillas
· Quemador N° 4
· Medidas  50  cm x  30 cm x  67 cm
· Bandejas para desperdicios
· Llama potente y regulable.</v>
      </c>
      <c r="J365" s="213">
        <f>IFERROR(__xludf.DUMMYFUNCTION("""COMPUTED_VALUE"""),3.0)</f>
        <v>3</v>
      </c>
      <c r="K365" s="213" t="str">
        <f>IFERROR(__xludf.DUMMYFUNCTION("""COMPUTED_VALUE"""),"170 DÍAS CALENDARIO")</f>
        <v>170 DÍAS CALENDARIO</v>
      </c>
      <c r="L365" s="213" t="str">
        <f>IFERROR(__xludf.DUMMYFUNCTION("""COMPUTED_VALUE"""),"")</f>
        <v/>
      </c>
      <c r="M365" s="213">
        <f>IFERROR(__xludf.DUMMYFUNCTION("""COMPUTED_VALUE"""),1.0)</f>
        <v>1</v>
      </c>
      <c r="N365" s="213">
        <f>IFERROR(__xludf.DUMMYFUNCTION("""COMPUTED_VALUE"""),1.0)</f>
        <v>1</v>
      </c>
      <c r="O365" s="213">
        <f>IFERROR(__xludf.DUMMYFUNCTION("""COMPUTED_VALUE"""),1.0)</f>
        <v>1</v>
      </c>
      <c r="P365" s="213"/>
      <c r="Q365" s="213"/>
      <c r="R365" s="213"/>
      <c r="S365" s="213" t="str">
        <f>IFERROR(__xludf.DUMMYFUNCTION("""COMPUTED_VALUE"""),"SI")</f>
        <v>SI</v>
      </c>
      <c r="T365" s="213" t="str">
        <f>IFERROR(__xludf.DUMMYFUNCTION("""COMPUTED_VALUE"""),"SI")</f>
        <v>SI</v>
      </c>
      <c r="U365" s="213" t="str">
        <f>IFERROR(__xludf.DUMMYFUNCTION("""COMPUTED_VALUE"""),"NO")</f>
        <v>NO</v>
      </c>
      <c r="V365" s="213" t="str">
        <f>IFERROR(__xludf.DUMMYFUNCTION("""COMPUTED_VALUE"""),"SUSTENTO")</f>
        <v>SUSTENTO</v>
      </c>
      <c r="W365" s="213" t="str">
        <f>IFERROR(__xludf.DUMMYFUNCTION("""COMPUTED_VALUE"""),"DIMENSIONAL")</f>
        <v>DIMENSIONAL</v>
      </c>
      <c r="X365" s="213" t="str">
        <f>IFERROR(__xludf.DUMMYFUNCTION("""COMPUTED_VALUE"""),"DRACCO")</f>
        <v>DRACCO</v>
      </c>
      <c r="Y365" s="213" t="str">
        <f>IFERROR(__xludf.DUMMYFUNCTION("""COMPUTED_VALUE"""),"CSI-2H")</f>
        <v>CSI-2H</v>
      </c>
      <c r="Z365" s="215" t="str">
        <f>IFERROR(__xludf.DUMMYFUNCTION("""COMPUTED_VALUE"""),"https://drive.google.com/file/d/1L2xTfes6smSwtJk_Ok6YfxYiLIC_YUcY/view?usp=sharing")</f>
        <v>https://drive.google.com/file/d/1L2xTfes6smSwtJk_Ok6YfxYiLIC_YUcY/view?usp=sharing</v>
      </c>
      <c r="AA365" s="213" t="str">
        <f>IFERROR(__xludf.DUMMYFUNCTION("""COMPUTED_VALUE"""),"ESP-126-Y COCINA SEMI INDUSTRIAL A GAS - CET")</f>
        <v>ESP-126-Y COCINA SEMI INDUSTRIAL A GAS - CET</v>
      </c>
      <c r="AB365" s="213"/>
      <c r="AC365" s="213"/>
      <c r="AD365" s="213"/>
      <c r="AE365" s="213"/>
      <c r="AF365" s="213"/>
      <c r="AG365" s="213"/>
      <c r="AH365" s="213"/>
      <c r="AI365" s="213"/>
      <c r="AJ365" s="213"/>
      <c r="AK365" s="213"/>
      <c r="AL365" s="213"/>
      <c r="AM365" s="213"/>
      <c r="AN365" s="213"/>
      <c r="AO365" s="213"/>
      <c r="AP365" s="213" t="str">
        <f>IFERROR(__xludf.DUMMYFUNCTION("""COMPUTED_VALUE"""),"ANTONELLA")</f>
        <v>ANTONELLA</v>
      </c>
      <c r="AQ365" s="213" t="str">
        <f>IFERROR(__xludf.DUMMYFUNCTION("""COMPUTED_VALUE"""),"El equipo tiene mayores dimensiones a las solicitadas, puede sustentarse como mejora.")</f>
        <v>El equipo tiene mayores dimensiones a las solicitadas, puede sustentarse como mejora.</v>
      </c>
      <c r="AR365" s="213"/>
      <c r="AS365" s="213" t="str">
        <f>IFERROR(__xludf.DUMMYFUNCTION("""COMPUTED_VALUE"""),"ACCESORIOS DE CONEXIÓN A GAS")</f>
        <v>ACCESORIOS DE CONEXIÓN A GAS</v>
      </c>
      <c r="AT365" s="213"/>
      <c r="AU365" s="213"/>
      <c r="AV365" s="213"/>
      <c r="AW365" s="213"/>
      <c r="AX365" s="213"/>
      <c r="AY365" s="213"/>
      <c r="AZ365" s="213"/>
      <c r="BA365" s="213"/>
      <c r="BB365" s="213"/>
      <c r="BC365" s="213"/>
      <c r="BD365" s="213"/>
    </row>
    <row r="366">
      <c r="A366" s="213">
        <f>IFERROR(__xludf.DUMMYFUNCTION("""COMPUTED_VALUE"""),1167.0)</f>
        <v>1167</v>
      </c>
      <c r="B366" s="213" t="str">
        <f>IFERROR(__xludf.DUMMYFUNCTION("""COMPUTED_VALUE"""),"FRANCISCO IRAZOLA")</f>
        <v>FRANCISCO IRAZOLA</v>
      </c>
      <c r="C366" s="213" t="str">
        <f>IFERROR(__xludf.DUMMYFUNCTION("""COMPUTED_VALUE"""),"TALLER SFT DE INDUSTRIA ALIMENTARIA")</f>
        <v>TALLER SFT DE INDUSTRIA ALIMENTARIA</v>
      </c>
      <c r="D366" s="213" t="str">
        <f>IFERROR(__xludf.DUMMYFUNCTION("""COMPUTED_VALUE"""),"EQUIPOS")</f>
        <v>EQUIPOS</v>
      </c>
      <c r="E366" s="213" t="str">
        <f>IFERROR(__xludf.DUMMYFUNCTION("""COMPUTED_VALUE"""),"ESP-126")</f>
        <v>ESP-126</v>
      </c>
      <c r="F366" s="213" t="str">
        <f>IFERROR(__xludf.DUMMYFUNCTION("""COMPUTED_VALUE"""),"ESP-126-Y")</f>
        <v>ESP-126-Y</v>
      </c>
      <c r="G366" s="213"/>
      <c r="H366" s="213" t="str">
        <f>IFERROR(__xludf.DUMMYFUNCTION("""COMPUTED_VALUE"""),"COCINA SEMI INDUSTRIAL A GAS")</f>
        <v>COCINA SEMI INDUSTRIAL A GAS</v>
      </c>
      <c r="I366" s="213" t="str">
        <f>IFERROR(__xludf.DUMMYFUNCTION("""COMPUTED_VALUE"""),"· 2 Hornillas
· Quemador N° 4
· Medidas  50  cm x  30 cm x  67 cm
· Bandejas para desperdicios
· Llama potente y regulable.")</f>
        <v>· 2 Hornillas
· Quemador N° 4
· Medidas  50  cm x  30 cm x  67 cm
· Bandejas para desperdicios
· Llama potente y regulable.</v>
      </c>
      <c r="J366" s="213">
        <f>IFERROR(__xludf.DUMMYFUNCTION("""COMPUTED_VALUE"""),3.0)</f>
        <v>3</v>
      </c>
      <c r="K366" s="213" t="str">
        <f>IFERROR(__xludf.DUMMYFUNCTION("""COMPUTED_VALUE"""),"170 DÍAS CALENDARIO")</f>
        <v>170 DÍAS CALENDARIO</v>
      </c>
      <c r="L366" s="213" t="str">
        <f>IFERROR(__xludf.DUMMYFUNCTION("""COMPUTED_VALUE"""),"")</f>
        <v/>
      </c>
      <c r="M366" s="213">
        <f>IFERROR(__xludf.DUMMYFUNCTION("""COMPUTED_VALUE"""),1.0)</f>
        <v>1</v>
      </c>
      <c r="N366" s="213">
        <f>IFERROR(__xludf.DUMMYFUNCTION("""COMPUTED_VALUE"""),1.0)</f>
        <v>1</v>
      </c>
      <c r="O366" s="213">
        <f>IFERROR(__xludf.DUMMYFUNCTION("""COMPUTED_VALUE"""),1.0)</f>
        <v>1</v>
      </c>
      <c r="P366" s="213"/>
      <c r="Q366" s="213"/>
      <c r="R366" s="213"/>
      <c r="S366" s="213" t="str">
        <f>IFERROR(__xludf.DUMMYFUNCTION("""COMPUTED_VALUE"""),"SI")</f>
        <v>SI</v>
      </c>
      <c r="T366" s="213" t="str">
        <f>IFERROR(__xludf.DUMMYFUNCTION("""COMPUTED_VALUE"""),"SI")</f>
        <v>SI</v>
      </c>
      <c r="U366" s="213" t="str">
        <f>IFERROR(__xludf.DUMMYFUNCTION("""COMPUTED_VALUE"""),"NO")</f>
        <v>NO</v>
      </c>
      <c r="V366" s="213" t="str">
        <f>IFERROR(__xludf.DUMMYFUNCTION("""COMPUTED_VALUE"""),"SUSTENTO")</f>
        <v>SUSTENTO</v>
      </c>
      <c r="W366" s="213" t="str">
        <f>IFERROR(__xludf.DUMMYFUNCTION("""COMPUTED_VALUE"""),"DIMENSIONAL")</f>
        <v>DIMENSIONAL</v>
      </c>
      <c r="X366" s="213" t="str">
        <f>IFERROR(__xludf.DUMMYFUNCTION("""COMPUTED_VALUE"""),"DRACCO")</f>
        <v>DRACCO</v>
      </c>
      <c r="Y366" s="213" t="str">
        <f>IFERROR(__xludf.DUMMYFUNCTION("""COMPUTED_VALUE"""),"CSI-2H")</f>
        <v>CSI-2H</v>
      </c>
      <c r="Z366" s="215" t="str">
        <f>IFERROR(__xludf.DUMMYFUNCTION("""COMPUTED_VALUE"""),"https://drive.google.com/file/d/1L2xTfes6smSwtJk_Ok6YfxYiLIC_YUcY/view?usp=sharing")</f>
        <v>https://drive.google.com/file/d/1L2xTfes6smSwtJk_Ok6YfxYiLIC_YUcY/view?usp=sharing</v>
      </c>
      <c r="AA366" s="213" t="str">
        <f>IFERROR(__xludf.DUMMYFUNCTION("""COMPUTED_VALUE"""),"ESP-126-Y COCINA SEMI INDUSTRIAL A GAS - CET")</f>
        <v>ESP-126-Y COCINA SEMI INDUSTRIAL A GAS - CET</v>
      </c>
      <c r="AB366" s="213"/>
      <c r="AC366" s="213"/>
      <c r="AD366" s="213"/>
      <c r="AE366" s="213"/>
      <c r="AF366" s="213"/>
      <c r="AG366" s="213"/>
      <c r="AH366" s="213"/>
      <c r="AI366" s="213"/>
      <c r="AJ366" s="213"/>
      <c r="AK366" s="213"/>
      <c r="AL366" s="213"/>
      <c r="AM366" s="213"/>
      <c r="AN366" s="213"/>
      <c r="AO366" s="213"/>
      <c r="AP366" s="213" t="str">
        <f>IFERROR(__xludf.DUMMYFUNCTION("""COMPUTED_VALUE"""),"ANTONELLA")</f>
        <v>ANTONELLA</v>
      </c>
      <c r="AQ366" s="213" t="str">
        <f>IFERROR(__xludf.DUMMYFUNCTION("""COMPUTED_VALUE"""),"El equipo tiene mayores dimensiones a las solicitadas, puede sustentarse como mejora.")</f>
        <v>El equipo tiene mayores dimensiones a las solicitadas, puede sustentarse como mejora.</v>
      </c>
      <c r="AR366" s="213"/>
      <c r="AS366" s="213" t="str">
        <f>IFERROR(__xludf.DUMMYFUNCTION("""COMPUTED_VALUE"""),"ACCESORIOS DE CONEXIÓN A GAS")</f>
        <v>ACCESORIOS DE CONEXIÓN A GAS</v>
      </c>
      <c r="AT366" s="213"/>
      <c r="AU366" s="213"/>
      <c r="AV366" s="213"/>
      <c r="AW366" s="213"/>
      <c r="AX366" s="213"/>
      <c r="AY366" s="213"/>
      <c r="AZ366" s="213"/>
      <c r="BA366" s="213"/>
      <c r="BB366" s="213"/>
      <c r="BC366" s="213"/>
      <c r="BD366" s="213"/>
    </row>
    <row r="367">
      <c r="A367" s="213">
        <f>IFERROR(__xludf.DUMMYFUNCTION("""COMPUTED_VALUE"""),1184.0)</f>
        <v>1184</v>
      </c>
      <c r="B367" s="213" t="str">
        <f>IFERROR(__xludf.DUMMYFUNCTION("""COMPUTED_VALUE"""),"FRANCISCO IRAZOLA")</f>
        <v>FRANCISCO IRAZOLA</v>
      </c>
      <c r="C367" s="213" t="str">
        <f>IFERROR(__xludf.DUMMYFUNCTION("""COMPUTED_VALUE"""),"TALLER SFT DE INDUSTRIA ALIMENTARIA")</f>
        <v>TALLER SFT DE INDUSTRIA ALIMENTARIA</v>
      </c>
      <c r="D367" s="213" t="str">
        <f>IFERROR(__xludf.DUMMYFUNCTION("""COMPUTED_VALUE"""),"EQUIPOS")</f>
        <v>EQUIPOS</v>
      </c>
      <c r="E367" s="213" t="str">
        <f>IFERROR(__xludf.DUMMYFUNCTION("""COMPUTED_VALUE"""),"ESP-126")</f>
        <v>ESP-126</v>
      </c>
      <c r="F367" s="213" t="str">
        <f>IFERROR(__xludf.DUMMYFUNCTION("""COMPUTED_VALUE"""),"ESP-126-Y")</f>
        <v>ESP-126-Y</v>
      </c>
      <c r="G367" s="213"/>
      <c r="H367" s="213" t="str">
        <f>IFERROR(__xludf.DUMMYFUNCTION("""COMPUTED_VALUE"""),"COCINA SEMI INDUSTRIAL A GAS")</f>
        <v>COCINA SEMI INDUSTRIAL A GAS</v>
      </c>
      <c r="I367" s="213" t="str">
        <f>IFERROR(__xludf.DUMMYFUNCTION("""COMPUTED_VALUE"""),"· 2 Hornillas
· Quemador N° 4
· Medidas  50  cm x  30 cm x  67 cm
· Bandejas para desperdicios
· Llama potente y regulable.")</f>
        <v>· 2 Hornillas
· Quemador N° 4
· Medidas  50  cm x  30 cm x  67 cm
· Bandejas para desperdicios
· Llama potente y regulable.</v>
      </c>
      <c r="J367" s="213">
        <f>IFERROR(__xludf.DUMMYFUNCTION("""COMPUTED_VALUE"""),3.0)</f>
        <v>3</v>
      </c>
      <c r="K367" s="213" t="str">
        <f>IFERROR(__xludf.DUMMYFUNCTION("""COMPUTED_VALUE"""),"170 DÍAS CALENDARIO")</f>
        <v>170 DÍAS CALENDARIO</v>
      </c>
      <c r="L367" s="213" t="str">
        <f>IFERROR(__xludf.DUMMYFUNCTION("""COMPUTED_VALUE"""),"")</f>
        <v/>
      </c>
      <c r="M367" s="213">
        <f>IFERROR(__xludf.DUMMYFUNCTION("""COMPUTED_VALUE"""),1.0)</f>
        <v>1</v>
      </c>
      <c r="N367" s="213">
        <f>IFERROR(__xludf.DUMMYFUNCTION("""COMPUTED_VALUE"""),1.0)</f>
        <v>1</v>
      </c>
      <c r="O367" s="213">
        <f>IFERROR(__xludf.DUMMYFUNCTION("""COMPUTED_VALUE"""),1.0)</f>
        <v>1</v>
      </c>
      <c r="P367" s="213"/>
      <c r="Q367" s="213"/>
      <c r="R367" s="213"/>
      <c r="S367" s="213" t="str">
        <f>IFERROR(__xludf.DUMMYFUNCTION("""COMPUTED_VALUE"""),"SI")</f>
        <v>SI</v>
      </c>
      <c r="T367" s="213" t="str">
        <f>IFERROR(__xludf.DUMMYFUNCTION("""COMPUTED_VALUE"""),"SI")</f>
        <v>SI</v>
      </c>
      <c r="U367" s="213" t="str">
        <f>IFERROR(__xludf.DUMMYFUNCTION("""COMPUTED_VALUE"""),"NO")</f>
        <v>NO</v>
      </c>
      <c r="V367" s="213" t="str">
        <f>IFERROR(__xludf.DUMMYFUNCTION("""COMPUTED_VALUE"""),"SUSTENTO")</f>
        <v>SUSTENTO</v>
      </c>
      <c r="W367" s="213" t="str">
        <f>IFERROR(__xludf.DUMMYFUNCTION("""COMPUTED_VALUE"""),"DIMENSIONAL")</f>
        <v>DIMENSIONAL</v>
      </c>
      <c r="X367" s="213" t="str">
        <f>IFERROR(__xludf.DUMMYFUNCTION("""COMPUTED_VALUE"""),"DRACCO")</f>
        <v>DRACCO</v>
      </c>
      <c r="Y367" s="213" t="str">
        <f>IFERROR(__xludf.DUMMYFUNCTION("""COMPUTED_VALUE"""),"CSI-2H")</f>
        <v>CSI-2H</v>
      </c>
      <c r="Z367" s="215" t="str">
        <f>IFERROR(__xludf.DUMMYFUNCTION("""COMPUTED_VALUE"""),"https://drive.google.com/file/d/1L2xTfes6smSwtJk_Ok6YfxYiLIC_YUcY/view?usp=sharing")</f>
        <v>https://drive.google.com/file/d/1L2xTfes6smSwtJk_Ok6YfxYiLIC_YUcY/view?usp=sharing</v>
      </c>
      <c r="AA367" s="213" t="str">
        <f>IFERROR(__xludf.DUMMYFUNCTION("""COMPUTED_VALUE"""),"ESP-126-Y COCINA SEMI INDUSTRIAL A GAS - CET")</f>
        <v>ESP-126-Y COCINA SEMI INDUSTRIAL A GAS - CET</v>
      </c>
      <c r="AB367" s="213"/>
      <c r="AC367" s="213"/>
      <c r="AD367" s="213"/>
      <c r="AE367" s="213"/>
      <c r="AF367" s="213"/>
      <c r="AG367" s="213"/>
      <c r="AH367" s="213"/>
      <c r="AI367" s="213"/>
      <c r="AJ367" s="213"/>
      <c r="AK367" s="213"/>
      <c r="AL367" s="213"/>
      <c r="AM367" s="213"/>
      <c r="AN367" s="213"/>
      <c r="AO367" s="213"/>
      <c r="AP367" s="213" t="str">
        <f>IFERROR(__xludf.DUMMYFUNCTION("""COMPUTED_VALUE"""),"ANTONELLA")</f>
        <v>ANTONELLA</v>
      </c>
      <c r="AQ367" s="213" t="str">
        <f>IFERROR(__xludf.DUMMYFUNCTION("""COMPUTED_VALUE"""),"El equipo tiene mayores dimensiones a las solicitadas, puede sustentarse como mejora.")</f>
        <v>El equipo tiene mayores dimensiones a las solicitadas, puede sustentarse como mejora.</v>
      </c>
      <c r="AR367" s="213"/>
      <c r="AS367" s="213" t="str">
        <f>IFERROR(__xludf.DUMMYFUNCTION("""COMPUTED_VALUE"""),"ACCESORIOS DE CONEXIÓN A GAS")</f>
        <v>ACCESORIOS DE CONEXIÓN A GAS</v>
      </c>
      <c r="AT367" s="213"/>
      <c r="AU367" s="213"/>
      <c r="AV367" s="213"/>
      <c r="AW367" s="213"/>
      <c r="AX367" s="213"/>
      <c r="AY367" s="213"/>
      <c r="AZ367" s="213"/>
      <c r="BA367" s="213"/>
      <c r="BB367" s="213"/>
      <c r="BC367" s="213"/>
      <c r="BD367" s="213"/>
    </row>
    <row r="368">
      <c r="A368" s="213">
        <f>IFERROR(__xludf.DUMMYFUNCTION("""COMPUTED_VALUE"""),1442.0)</f>
        <v>1442</v>
      </c>
      <c r="B368" s="213" t="str">
        <f>IFERROR(__xludf.DUMMYFUNCTION("""COMPUTED_VALUE"""),"GUILLERMO E. BILLINGHURST ")</f>
        <v>GUILLERMO E. BILLINGHURST </v>
      </c>
      <c r="C368" s="213" t="str">
        <f>IFERROR(__xludf.DUMMYFUNCTION("""COMPUTED_VALUE"""),"TALLER SFT DE INDUSTRIA ALIMENTARIA")</f>
        <v>TALLER SFT DE INDUSTRIA ALIMENTARIA</v>
      </c>
      <c r="D368" s="213" t="str">
        <f>IFERROR(__xludf.DUMMYFUNCTION("""COMPUTED_VALUE"""),"EQUIPOS")</f>
        <v>EQUIPOS</v>
      </c>
      <c r="E368" s="213" t="str">
        <f>IFERROR(__xludf.DUMMYFUNCTION("""COMPUTED_VALUE"""),"ESP-126")</f>
        <v>ESP-126</v>
      </c>
      <c r="F368" s="213" t="str">
        <f>IFERROR(__xludf.DUMMYFUNCTION("""COMPUTED_VALUE"""),"ESP-126-Y")</f>
        <v>ESP-126-Y</v>
      </c>
      <c r="G368" s="213"/>
      <c r="H368" s="213" t="str">
        <f>IFERROR(__xludf.DUMMYFUNCTION("""COMPUTED_VALUE"""),"COCINA SEMI INDUSTRIAL A GAS")</f>
        <v>COCINA SEMI INDUSTRIAL A GAS</v>
      </c>
      <c r="I368" s="213" t="str">
        <f>IFERROR(__xludf.DUMMYFUNCTION("""COMPUTED_VALUE"""),"· 2 Hornillas
· Quemador N° 4
· Medidas  50  cm x  30 cm x  67 cm
· Bandejas para desperdicios
· Llama potente y regulable.")</f>
        <v>· 2 Hornillas
· Quemador N° 4
· Medidas  50  cm x  30 cm x  67 cm
· Bandejas para desperdicios
· Llama potente y regulable.</v>
      </c>
      <c r="J368" s="213">
        <f>IFERROR(__xludf.DUMMYFUNCTION("""COMPUTED_VALUE"""),3.0)</f>
        <v>3</v>
      </c>
      <c r="K368" s="213" t="str">
        <f>IFERROR(__xludf.DUMMYFUNCTION("""COMPUTED_VALUE"""),"170 DÍAS CALENDARIO")</f>
        <v>170 DÍAS CALENDARIO</v>
      </c>
      <c r="L368" s="213" t="str">
        <f>IFERROR(__xludf.DUMMYFUNCTION("""COMPUTED_VALUE"""),"")</f>
        <v/>
      </c>
      <c r="M368" s="213">
        <f>IFERROR(__xludf.DUMMYFUNCTION("""COMPUTED_VALUE"""),1.0)</f>
        <v>1</v>
      </c>
      <c r="N368" s="213">
        <f>IFERROR(__xludf.DUMMYFUNCTION("""COMPUTED_VALUE"""),1.0)</f>
        <v>1</v>
      </c>
      <c r="O368" s="213">
        <f>IFERROR(__xludf.DUMMYFUNCTION("""COMPUTED_VALUE"""),1.0)</f>
        <v>1</v>
      </c>
      <c r="P368" s="213"/>
      <c r="Q368" s="213"/>
      <c r="R368" s="213"/>
      <c r="S368" s="213" t="str">
        <f>IFERROR(__xludf.DUMMYFUNCTION("""COMPUTED_VALUE"""),"SI")</f>
        <v>SI</v>
      </c>
      <c r="T368" s="213" t="str">
        <f>IFERROR(__xludf.DUMMYFUNCTION("""COMPUTED_VALUE"""),"SI")</f>
        <v>SI</v>
      </c>
      <c r="U368" s="213" t="str">
        <f>IFERROR(__xludf.DUMMYFUNCTION("""COMPUTED_VALUE"""),"NO")</f>
        <v>NO</v>
      </c>
      <c r="V368" s="213" t="str">
        <f>IFERROR(__xludf.DUMMYFUNCTION("""COMPUTED_VALUE"""),"SUSTENTO")</f>
        <v>SUSTENTO</v>
      </c>
      <c r="W368" s="213" t="str">
        <f>IFERROR(__xludf.DUMMYFUNCTION("""COMPUTED_VALUE"""),"DIMENSIONAL")</f>
        <v>DIMENSIONAL</v>
      </c>
      <c r="X368" s="213" t="str">
        <f>IFERROR(__xludf.DUMMYFUNCTION("""COMPUTED_VALUE"""),"DRACCO")</f>
        <v>DRACCO</v>
      </c>
      <c r="Y368" s="213" t="str">
        <f>IFERROR(__xludf.DUMMYFUNCTION("""COMPUTED_VALUE"""),"CSI-2H")</f>
        <v>CSI-2H</v>
      </c>
      <c r="Z368" s="215" t="str">
        <f>IFERROR(__xludf.DUMMYFUNCTION("""COMPUTED_VALUE"""),"https://drive.google.com/file/d/1L2xTfes6smSwtJk_Ok6YfxYiLIC_YUcY/view?usp=sharing")</f>
        <v>https://drive.google.com/file/d/1L2xTfes6smSwtJk_Ok6YfxYiLIC_YUcY/view?usp=sharing</v>
      </c>
      <c r="AA368" s="213" t="str">
        <f>IFERROR(__xludf.DUMMYFUNCTION("""COMPUTED_VALUE"""),"ESP-126-Y COCINA SEMI INDUSTRIAL A GAS - CET")</f>
        <v>ESP-126-Y COCINA SEMI INDUSTRIAL A GAS - CET</v>
      </c>
      <c r="AB368" s="213"/>
      <c r="AC368" s="213"/>
      <c r="AD368" s="213"/>
      <c r="AE368" s="213"/>
      <c r="AF368" s="213"/>
      <c r="AG368" s="213"/>
      <c r="AH368" s="213"/>
      <c r="AI368" s="213"/>
      <c r="AJ368" s="213"/>
      <c r="AK368" s="213"/>
      <c r="AL368" s="213"/>
      <c r="AM368" s="213"/>
      <c r="AN368" s="213"/>
      <c r="AO368" s="213"/>
      <c r="AP368" s="213" t="str">
        <f>IFERROR(__xludf.DUMMYFUNCTION("""COMPUTED_VALUE"""),"ANTONELLA")</f>
        <v>ANTONELLA</v>
      </c>
      <c r="AQ368" s="213" t="str">
        <f>IFERROR(__xludf.DUMMYFUNCTION("""COMPUTED_VALUE"""),"El equipo tiene mayores dimensiones a las solicitadas, puede sustentarse como mejora.")</f>
        <v>El equipo tiene mayores dimensiones a las solicitadas, puede sustentarse como mejora.</v>
      </c>
      <c r="AR368" s="213"/>
      <c r="AS368" s="213" t="str">
        <f>IFERROR(__xludf.DUMMYFUNCTION("""COMPUTED_VALUE"""),"ACCESORIOS DE CONEXIÓN A GAS")</f>
        <v>ACCESORIOS DE CONEXIÓN A GAS</v>
      </c>
      <c r="AT368" s="213"/>
      <c r="AU368" s="213"/>
      <c r="AV368" s="213"/>
      <c r="AW368" s="213"/>
      <c r="AX368" s="213"/>
      <c r="AY368" s="213"/>
      <c r="AZ368" s="213"/>
      <c r="BA368" s="213"/>
      <c r="BB368" s="213"/>
      <c r="BC368" s="213"/>
      <c r="BD368" s="213"/>
    </row>
    <row r="369">
      <c r="A369" s="213">
        <f>IFERROR(__xludf.DUMMYFUNCTION("""COMPUTED_VALUE"""),1459.0)</f>
        <v>1459</v>
      </c>
      <c r="B369" s="213" t="str">
        <f>IFERROR(__xludf.DUMMYFUNCTION("""COMPUTED_VALUE"""),"GUILLERMO E. BILLINGHURST ")</f>
        <v>GUILLERMO E. BILLINGHURST </v>
      </c>
      <c r="C369" s="213" t="str">
        <f>IFERROR(__xludf.DUMMYFUNCTION("""COMPUTED_VALUE"""),"TALLER SFT DE INDUSTRIA ALIMENTARIA")</f>
        <v>TALLER SFT DE INDUSTRIA ALIMENTARIA</v>
      </c>
      <c r="D369" s="213" t="str">
        <f>IFERROR(__xludf.DUMMYFUNCTION("""COMPUTED_VALUE"""),"EQUIPOS")</f>
        <v>EQUIPOS</v>
      </c>
      <c r="E369" s="213" t="str">
        <f>IFERROR(__xludf.DUMMYFUNCTION("""COMPUTED_VALUE"""),"ESP-126")</f>
        <v>ESP-126</v>
      </c>
      <c r="F369" s="213" t="str">
        <f>IFERROR(__xludf.DUMMYFUNCTION("""COMPUTED_VALUE"""),"ESP-126-Y")</f>
        <v>ESP-126-Y</v>
      </c>
      <c r="G369" s="213"/>
      <c r="H369" s="213" t="str">
        <f>IFERROR(__xludf.DUMMYFUNCTION("""COMPUTED_VALUE"""),"COCINA SEMI INDUSTRIAL A GAS")</f>
        <v>COCINA SEMI INDUSTRIAL A GAS</v>
      </c>
      <c r="I369" s="213" t="str">
        <f>IFERROR(__xludf.DUMMYFUNCTION("""COMPUTED_VALUE"""),"· 2 Hornillas
· Quemador N° 4
· Medidas  50  cm x  30 cm x  67 cm
· Bandejas para desperdicios
· Llama potente y regulable.")</f>
        <v>· 2 Hornillas
· Quemador N° 4
· Medidas  50  cm x  30 cm x  67 cm
· Bandejas para desperdicios
· Llama potente y regulable.</v>
      </c>
      <c r="J369" s="213">
        <f>IFERROR(__xludf.DUMMYFUNCTION("""COMPUTED_VALUE"""),3.0)</f>
        <v>3</v>
      </c>
      <c r="K369" s="213" t="str">
        <f>IFERROR(__xludf.DUMMYFUNCTION("""COMPUTED_VALUE"""),"170 DÍAS CALENDARIO")</f>
        <v>170 DÍAS CALENDARIO</v>
      </c>
      <c r="L369" s="213" t="str">
        <f>IFERROR(__xludf.DUMMYFUNCTION("""COMPUTED_VALUE"""),"")</f>
        <v/>
      </c>
      <c r="M369" s="213">
        <f>IFERROR(__xludf.DUMMYFUNCTION("""COMPUTED_VALUE"""),1.0)</f>
        <v>1</v>
      </c>
      <c r="N369" s="213">
        <f>IFERROR(__xludf.DUMMYFUNCTION("""COMPUTED_VALUE"""),1.0)</f>
        <v>1</v>
      </c>
      <c r="O369" s="213">
        <f>IFERROR(__xludf.DUMMYFUNCTION("""COMPUTED_VALUE"""),1.0)</f>
        <v>1</v>
      </c>
      <c r="P369" s="213"/>
      <c r="Q369" s="213"/>
      <c r="R369" s="213"/>
      <c r="S369" s="213" t="str">
        <f>IFERROR(__xludf.DUMMYFUNCTION("""COMPUTED_VALUE"""),"SI")</f>
        <v>SI</v>
      </c>
      <c r="T369" s="213" t="str">
        <f>IFERROR(__xludf.DUMMYFUNCTION("""COMPUTED_VALUE"""),"SI")</f>
        <v>SI</v>
      </c>
      <c r="U369" s="213" t="str">
        <f>IFERROR(__xludf.DUMMYFUNCTION("""COMPUTED_VALUE"""),"NO")</f>
        <v>NO</v>
      </c>
      <c r="V369" s="213" t="str">
        <f>IFERROR(__xludf.DUMMYFUNCTION("""COMPUTED_VALUE"""),"SUSTENTO")</f>
        <v>SUSTENTO</v>
      </c>
      <c r="W369" s="213" t="str">
        <f>IFERROR(__xludf.DUMMYFUNCTION("""COMPUTED_VALUE"""),"DIMENSIONAL")</f>
        <v>DIMENSIONAL</v>
      </c>
      <c r="X369" s="213" t="str">
        <f>IFERROR(__xludf.DUMMYFUNCTION("""COMPUTED_VALUE"""),"DRACCO")</f>
        <v>DRACCO</v>
      </c>
      <c r="Y369" s="213" t="str">
        <f>IFERROR(__xludf.DUMMYFUNCTION("""COMPUTED_VALUE"""),"CSI-2H")</f>
        <v>CSI-2H</v>
      </c>
      <c r="Z369" s="215" t="str">
        <f>IFERROR(__xludf.DUMMYFUNCTION("""COMPUTED_VALUE"""),"https://drive.google.com/file/d/1L2xTfes6smSwtJk_Ok6YfxYiLIC_YUcY/view?usp=sharing")</f>
        <v>https://drive.google.com/file/d/1L2xTfes6smSwtJk_Ok6YfxYiLIC_YUcY/view?usp=sharing</v>
      </c>
      <c r="AA369" s="213" t="str">
        <f>IFERROR(__xludf.DUMMYFUNCTION("""COMPUTED_VALUE"""),"ESP-126-Y COCINA SEMI INDUSTRIAL A GAS - CET")</f>
        <v>ESP-126-Y COCINA SEMI INDUSTRIAL A GAS - CET</v>
      </c>
      <c r="AB369" s="213"/>
      <c r="AC369" s="213"/>
      <c r="AD369" s="213"/>
      <c r="AE369" s="213"/>
      <c r="AF369" s="213"/>
      <c r="AG369" s="213"/>
      <c r="AH369" s="213"/>
      <c r="AI369" s="213"/>
      <c r="AJ369" s="213"/>
      <c r="AK369" s="213"/>
      <c r="AL369" s="213"/>
      <c r="AM369" s="213"/>
      <c r="AN369" s="213"/>
      <c r="AO369" s="213"/>
      <c r="AP369" s="213" t="str">
        <f>IFERROR(__xludf.DUMMYFUNCTION("""COMPUTED_VALUE"""),"ANTONELLA")</f>
        <v>ANTONELLA</v>
      </c>
      <c r="AQ369" s="213" t="str">
        <f>IFERROR(__xludf.DUMMYFUNCTION("""COMPUTED_VALUE"""),"El equipo tiene mayores dimensiones a las solicitadas, puede sustentarse como mejora.")</f>
        <v>El equipo tiene mayores dimensiones a las solicitadas, puede sustentarse como mejora.</v>
      </c>
      <c r="AR369" s="213"/>
      <c r="AS369" s="213" t="str">
        <f>IFERROR(__xludf.DUMMYFUNCTION("""COMPUTED_VALUE"""),"ACCESORIOS DE CONEXIÓN A GAS")</f>
        <v>ACCESORIOS DE CONEXIÓN A GAS</v>
      </c>
      <c r="AT369" s="213"/>
      <c r="AU369" s="213"/>
      <c r="AV369" s="213"/>
      <c r="AW369" s="213"/>
      <c r="AX369" s="213"/>
      <c r="AY369" s="213"/>
      <c r="AZ369" s="213"/>
      <c r="BA369" s="213"/>
      <c r="BB369" s="213"/>
      <c r="BC369" s="213"/>
      <c r="BD369" s="213"/>
    </row>
    <row r="370">
      <c r="A370" s="213">
        <f>IFERROR(__xludf.DUMMYFUNCTION("""COMPUTED_VALUE"""),2129.0)</f>
        <v>2129</v>
      </c>
      <c r="B370" s="213" t="str">
        <f>IFERROR(__xludf.DUMMYFUNCTION("""COMPUTED_VALUE"""),"JOSE GRANDA")</f>
        <v>JOSE GRANDA</v>
      </c>
      <c r="C370" s="213" t="str">
        <f>IFERROR(__xludf.DUMMYFUNCTION("""COMPUTED_VALUE"""),"TALLER SFT DE INDUSTRIA ALIMENTARIA")</f>
        <v>TALLER SFT DE INDUSTRIA ALIMENTARIA</v>
      </c>
      <c r="D370" s="213" t="str">
        <f>IFERROR(__xludf.DUMMYFUNCTION("""COMPUTED_VALUE"""),"EQUIPOS")</f>
        <v>EQUIPOS</v>
      </c>
      <c r="E370" s="213" t="str">
        <f>IFERROR(__xludf.DUMMYFUNCTION("""COMPUTED_VALUE"""),"ESP-126")</f>
        <v>ESP-126</v>
      </c>
      <c r="F370" s="213" t="str">
        <f>IFERROR(__xludf.DUMMYFUNCTION("""COMPUTED_VALUE"""),"ESP-126-Y")</f>
        <v>ESP-126-Y</v>
      </c>
      <c r="G370" s="213"/>
      <c r="H370" s="213" t="str">
        <f>IFERROR(__xludf.DUMMYFUNCTION("""COMPUTED_VALUE"""),"COCINA SEMI INDUSTRIAL A GAS")</f>
        <v>COCINA SEMI INDUSTRIAL A GAS</v>
      </c>
      <c r="I370" s="213" t="str">
        <f>IFERROR(__xludf.DUMMYFUNCTION("""COMPUTED_VALUE"""),"· 2 Hornillas
· Quemador N° 4
· Medidas  50  cm x  30 cm x  67 cm
· Bandejas para desperdicios
· Llama potente y regulable.")</f>
        <v>· 2 Hornillas
· Quemador N° 4
· Medidas  50  cm x  30 cm x  67 cm
· Bandejas para desperdicios
· Llama potente y regulable.</v>
      </c>
      <c r="J370" s="213">
        <f>IFERROR(__xludf.DUMMYFUNCTION("""COMPUTED_VALUE"""),3.0)</f>
        <v>3</v>
      </c>
      <c r="K370" s="213" t="str">
        <f>IFERROR(__xludf.DUMMYFUNCTION("""COMPUTED_VALUE"""),"170 DÍAS CALENDARIO")</f>
        <v>170 DÍAS CALENDARIO</v>
      </c>
      <c r="L370" s="213" t="str">
        <f>IFERROR(__xludf.DUMMYFUNCTION("""COMPUTED_VALUE"""),"")</f>
        <v/>
      </c>
      <c r="M370" s="213">
        <f>IFERROR(__xludf.DUMMYFUNCTION("""COMPUTED_VALUE"""),1.0)</f>
        <v>1</v>
      </c>
      <c r="N370" s="213">
        <f>IFERROR(__xludf.DUMMYFUNCTION("""COMPUTED_VALUE"""),1.0)</f>
        <v>1</v>
      </c>
      <c r="O370" s="213">
        <f>IFERROR(__xludf.DUMMYFUNCTION("""COMPUTED_VALUE"""),1.0)</f>
        <v>1</v>
      </c>
      <c r="P370" s="213"/>
      <c r="Q370" s="213"/>
      <c r="R370" s="213"/>
      <c r="S370" s="213" t="str">
        <f>IFERROR(__xludf.DUMMYFUNCTION("""COMPUTED_VALUE"""),"SI")</f>
        <v>SI</v>
      </c>
      <c r="T370" s="213" t="str">
        <f>IFERROR(__xludf.DUMMYFUNCTION("""COMPUTED_VALUE"""),"SI")</f>
        <v>SI</v>
      </c>
      <c r="U370" s="213" t="str">
        <f>IFERROR(__xludf.DUMMYFUNCTION("""COMPUTED_VALUE"""),"NO")</f>
        <v>NO</v>
      </c>
      <c r="V370" s="213" t="str">
        <f>IFERROR(__xludf.DUMMYFUNCTION("""COMPUTED_VALUE"""),"SUSTENTO")</f>
        <v>SUSTENTO</v>
      </c>
      <c r="W370" s="213" t="str">
        <f>IFERROR(__xludf.DUMMYFUNCTION("""COMPUTED_VALUE"""),"DIMENSIONAL")</f>
        <v>DIMENSIONAL</v>
      </c>
      <c r="X370" s="213" t="str">
        <f>IFERROR(__xludf.DUMMYFUNCTION("""COMPUTED_VALUE"""),"DRACCO")</f>
        <v>DRACCO</v>
      </c>
      <c r="Y370" s="213" t="str">
        <f>IFERROR(__xludf.DUMMYFUNCTION("""COMPUTED_VALUE"""),"CSI-2H")</f>
        <v>CSI-2H</v>
      </c>
      <c r="Z370" s="215" t="str">
        <f>IFERROR(__xludf.DUMMYFUNCTION("""COMPUTED_VALUE"""),"https://drive.google.com/file/d/1L2xTfes6smSwtJk_Ok6YfxYiLIC_YUcY/view?usp=sharing")</f>
        <v>https://drive.google.com/file/d/1L2xTfes6smSwtJk_Ok6YfxYiLIC_YUcY/view?usp=sharing</v>
      </c>
      <c r="AA370" s="213" t="str">
        <f>IFERROR(__xludf.DUMMYFUNCTION("""COMPUTED_VALUE"""),"ESP-126-Y COCINA SEMI INDUSTRIAL A GAS - CET")</f>
        <v>ESP-126-Y COCINA SEMI INDUSTRIAL A GAS - CET</v>
      </c>
      <c r="AB370" s="213"/>
      <c r="AC370" s="213"/>
      <c r="AD370" s="213"/>
      <c r="AE370" s="213"/>
      <c r="AF370" s="213"/>
      <c r="AG370" s="213"/>
      <c r="AH370" s="213"/>
      <c r="AI370" s="213"/>
      <c r="AJ370" s="213"/>
      <c r="AK370" s="213"/>
      <c r="AL370" s="213"/>
      <c r="AM370" s="213"/>
      <c r="AN370" s="213"/>
      <c r="AO370" s="213"/>
      <c r="AP370" s="213" t="str">
        <f>IFERROR(__xludf.DUMMYFUNCTION("""COMPUTED_VALUE"""),"ANTONELLA")</f>
        <v>ANTONELLA</v>
      </c>
      <c r="AQ370" s="213" t="str">
        <f>IFERROR(__xludf.DUMMYFUNCTION("""COMPUTED_VALUE"""),"El equipo tiene mayores dimensiones a las solicitadas, puede sustentarse como mejora.")</f>
        <v>El equipo tiene mayores dimensiones a las solicitadas, puede sustentarse como mejora.</v>
      </c>
      <c r="AR370" s="213"/>
      <c r="AS370" s="213" t="str">
        <f>IFERROR(__xludf.DUMMYFUNCTION("""COMPUTED_VALUE"""),"ACCESORIOS DE CONEXIÓN A GAS")</f>
        <v>ACCESORIOS DE CONEXIÓN A GAS</v>
      </c>
      <c r="AT370" s="213"/>
      <c r="AU370" s="213"/>
      <c r="AV370" s="213"/>
      <c r="AW370" s="213"/>
      <c r="AX370" s="213"/>
      <c r="AY370" s="213"/>
      <c r="AZ370" s="213"/>
      <c r="BA370" s="213"/>
      <c r="BB370" s="213"/>
      <c r="BC370" s="213"/>
      <c r="BD370" s="213"/>
    </row>
    <row r="371">
      <c r="A371" s="213">
        <f>IFERROR(__xludf.DUMMYFUNCTION("""COMPUTED_VALUE"""),2146.0)</f>
        <v>2146</v>
      </c>
      <c r="B371" s="213" t="str">
        <f>IFERROR(__xludf.DUMMYFUNCTION("""COMPUTED_VALUE"""),"JOSE GRANDA")</f>
        <v>JOSE GRANDA</v>
      </c>
      <c r="C371" s="213" t="str">
        <f>IFERROR(__xludf.DUMMYFUNCTION("""COMPUTED_VALUE"""),"TALLER SFT DE INDUSTRIA ALIMENTARIA")</f>
        <v>TALLER SFT DE INDUSTRIA ALIMENTARIA</v>
      </c>
      <c r="D371" s="213" t="str">
        <f>IFERROR(__xludf.DUMMYFUNCTION("""COMPUTED_VALUE"""),"EQUIPOS")</f>
        <v>EQUIPOS</v>
      </c>
      <c r="E371" s="213" t="str">
        <f>IFERROR(__xludf.DUMMYFUNCTION("""COMPUTED_VALUE"""),"ESP-126")</f>
        <v>ESP-126</v>
      </c>
      <c r="F371" s="213" t="str">
        <f>IFERROR(__xludf.DUMMYFUNCTION("""COMPUTED_VALUE"""),"ESP-126-Y")</f>
        <v>ESP-126-Y</v>
      </c>
      <c r="G371" s="213"/>
      <c r="H371" s="213" t="str">
        <f>IFERROR(__xludf.DUMMYFUNCTION("""COMPUTED_VALUE"""),"COCINA SEMI INDUSTRIAL A GAS")</f>
        <v>COCINA SEMI INDUSTRIAL A GAS</v>
      </c>
      <c r="I371" s="213" t="str">
        <f>IFERROR(__xludf.DUMMYFUNCTION("""COMPUTED_VALUE"""),"· 2 Hornillas
· Quemador N° 4
· Medidas  50  cm x  30 cm x  67 cm
· Bandejas para desperdicios
· Llama potente y regulable.")</f>
        <v>· 2 Hornillas
· Quemador N° 4
· Medidas  50  cm x  30 cm x  67 cm
· Bandejas para desperdicios
· Llama potente y regulable.</v>
      </c>
      <c r="J371" s="213">
        <f>IFERROR(__xludf.DUMMYFUNCTION("""COMPUTED_VALUE"""),3.0)</f>
        <v>3</v>
      </c>
      <c r="K371" s="213" t="str">
        <f>IFERROR(__xludf.DUMMYFUNCTION("""COMPUTED_VALUE"""),"170 DÍAS CALENDARIO")</f>
        <v>170 DÍAS CALENDARIO</v>
      </c>
      <c r="L371" s="213" t="str">
        <f>IFERROR(__xludf.DUMMYFUNCTION("""COMPUTED_VALUE"""),"")</f>
        <v/>
      </c>
      <c r="M371" s="213">
        <f>IFERROR(__xludf.DUMMYFUNCTION("""COMPUTED_VALUE"""),1.0)</f>
        <v>1</v>
      </c>
      <c r="N371" s="213">
        <f>IFERROR(__xludf.DUMMYFUNCTION("""COMPUTED_VALUE"""),1.0)</f>
        <v>1</v>
      </c>
      <c r="O371" s="213">
        <f>IFERROR(__xludf.DUMMYFUNCTION("""COMPUTED_VALUE"""),1.0)</f>
        <v>1</v>
      </c>
      <c r="P371" s="213"/>
      <c r="Q371" s="213"/>
      <c r="R371" s="213"/>
      <c r="S371" s="213" t="str">
        <f>IFERROR(__xludf.DUMMYFUNCTION("""COMPUTED_VALUE"""),"SI")</f>
        <v>SI</v>
      </c>
      <c r="T371" s="213" t="str">
        <f>IFERROR(__xludf.DUMMYFUNCTION("""COMPUTED_VALUE"""),"SI")</f>
        <v>SI</v>
      </c>
      <c r="U371" s="213" t="str">
        <f>IFERROR(__xludf.DUMMYFUNCTION("""COMPUTED_VALUE"""),"NO")</f>
        <v>NO</v>
      </c>
      <c r="V371" s="213" t="str">
        <f>IFERROR(__xludf.DUMMYFUNCTION("""COMPUTED_VALUE"""),"SUSTENTO")</f>
        <v>SUSTENTO</v>
      </c>
      <c r="W371" s="213" t="str">
        <f>IFERROR(__xludf.DUMMYFUNCTION("""COMPUTED_VALUE"""),"DIMENSIONAL")</f>
        <v>DIMENSIONAL</v>
      </c>
      <c r="X371" s="213" t="str">
        <f>IFERROR(__xludf.DUMMYFUNCTION("""COMPUTED_VALUE"""),"DRACCO")</f>
        <v>DRACCO</v>
      </c>
      <c r="Y371" s="213" t="str">
        <f>IFERROR(__xludf.DUMMYFUNCTION("""COMPUTED_VALUE"""),"CSI-2H")</f>
        <v>CSI-2H</v>
      </c>
      <c r="Z371" s="215" t="str">
        <f>IFERROR(__xludf.DUMMYFUNCTION("""COMPUTED_VALUE"""),"https://drive.google.com/file/d/1L2xTfes6smSwtJk_Ok6YfxYiLIC_YUcY/view?usp=sharing")</f>
        <v>https://drive.google.com/file/d/1L2xTfes6smSwtJk_Ok6YfxYiLIC_YUcY/view?usp=sharing</v>
      </c>
      <c r="AA371" s="213" t="str">
        <f>IFERROR(__xludf.DUMMYFUNCTION("""COMPUTED_VALUE"""),"ESP-126-Y COCINA SEMI INDUSTRIAL A GAS - CET")</f>
        <v>ESP-126-Y COCINA SEMI INDUSTRIAL A GAS - CET</v>
      </c>
      <c r="AB371" s="213"/>
      <c r="AC371" s="213"/>
      <c r="AD371" s="213"/>
      <c r="AE371" s="213"/>
      <c r="AF371" s="213"/>
      <c r="AG371" s="213"/>
      <c r="AH371" s="213"/>
      <c r="AI371" s="213"/>
      <c r="AJ371" s="213"/>
      <c r="AK371" s="213"/>
      <c r="AL371" s="213"/>
      <c r="AM371" s="213"/>
      <c r="AN371" s="213"/>
      <c r="AO371" s="213"/>
      <c r="AP371" s="213" t="str">
        <f>IFERROR(__xludf.DUMMYFUNCTION("""COMPUTED_VALUE"""),"ANTONELLA")</f>
        <v>ANTONELLA</v>
      </c>
      <c r="AQ371" s="213" t="str">
        <f>IFERROR(__xludf.DUMMYFUNCTION("""COMPUTED_VALUE"""),"El equipo tiene mayores dimensiones a las solicitadas, puede sustentarse como mejora.")</f>
        <v>El equipo tiene mayores dimensiones a las solicitadas, puede sustentarse como mejora.</v>
      </c>
      <c r="AR371" s="213"/>
      <c r="AS371" s="213" t="str">
        <f>IFERROR(__xludf.DUMMYFUNCTION("""COMPUTED_VALUE"""),"ACCESORIOS DE CONEXIÓN A GAS")</f>
        <v>ACCESORIOS DE CONEXIÓN A GAS</v>
      </c>
      <c r="AT371" s="213"/>
      <c r="AU371" s="213"/>
      <c r="AV371" s="213"/>
      <c r="AW371" s="213"/>
      <c r="AX371" s="213"/>
      <c r="AY371" s="213"/>
      <c r="AZ371" s="213"/>
      <c r="BA371" s="213"/>
      <c r="BB371" s="213"/>
      <c r="BC371" s="213"/>
      <c r="BD371" s="213"/>
    </row>
    <row r="372">
      <c r="A372" s="213">
        <f>IFERROR(__xludf.DUMMYFUNCTION("""COMPUTED_VALUE"""),2593.0)</f>
        <v>2593</v>
      </c>
      <c r="B372" s="213" t="str">
        <f>IFERROR(__xludf.DUMMYFUNCTION("""COMPUTED_VALUE"""),"MANUEL ANTONIO MESONES MURO")</f>
        <v>MANUEL ANTONIO MESONES MURO</v>
      </c>
      <c r="C372" s="213" t="str">
        <f>IFERROR(__xludf.DUMMYFUNCTION("""COMPUTED_VALUE"""),"TALLER SFT DE EBANISTERÍA")</f>
        <v>TALLER SFT DE EBANISTERÍA</v>
      </c>
      <c r="D372" s="213" t="str">
        <f>IFERROR(__xludf.DUMMYFUNCTION("""COMPUTED_VALUE"""),"HERRAMIENTAS")</f>
        <v>HERRAMIENTAS</v>
      </c>
      <c r="E372" s="213" t="str">
        <f>IFERROR(__xludf.DUMMYFUNCTION("""COMPUTED_VALUE"""),"COM-186")</f>
        <v>COM-186</v>
      </c>
      <c r="F372" s="213" t="str">
        <f>IFERROR(__xludf.DUMMYFUNCTION("""COMPUTED_VALUE"""),"COM-186")</f>
        <v>COM-186</v>
      </c>
      <c r="G372" s="213"/>
      <c r="H372" s="213" t="str">
        <f>IFERROR(__xludf.DUMMYFUNCTION("""COMPUTED_VALUE"""),"JUEGO DE FRESAS PARA RUTEADORA")</f>
        <v>JUEGO DE FRESAS PARA RUTEADORA</v>
      </c>
      <c r="I372" s="213" t="str">
        <f>IFERROR(__xludf.DUMMYFUNCTION("""COMPUTED_VALUE"""),"Fresas de vastago de carburo de 1/4"" Cuchillas de carburo de tungsteno.
Caja con 24 molduras como minimo.
VERA Hilda
998 soft
A")</f>
        <v>Fresas de vastago de carburo de 1/4" Cuchillas de carburo de tungsteno.
Caja con 24 molduras como minimo.
VERA Hilda
998 soft
A</v>
      </c>
      <c r="J372" s="213">
        <f>IFERROR(__xludf.DUMMYFUNCTION("""COMPUTED_VALUE"""),3.0)</f>
        <v>3</v>
      </c>
      <c r="K372" s="213" t="str">
        <f>IFERROR(__xludf.DUMMYFUNCTION("""COMPUTED_VALUE"""),"90 DÍAS CALENDARIO")</f>
        <v>90 DÍAS CALENDARIO</v>
      </c>
      <c r="L372" s="213" t="str">
        <f>IFERROR(__xludf.DUMMYFUNCTION("""COMPUTED_VALUE"""),"")</f>
        <v/>
      </c>
      <c r="M372" s="213">
        <f>IFERROR(__xludf.DUMMYFUNCTION("""COMPUTED_VALUE"""),1.0)</f>
        <v>1</v>
      </c>
      <c r="N372" s="213">
        <f>IFERROR(__xludf.DUMMYFUNCTION("""COMPUTED_VALUE"""),1.0)</f>
        <v>1</v>
      </c>
      <c r="O372" s="213">
        <f>IFERROR(__xludf.DUMMYFUNCTION("""COMPUTED_VALUE"""),1.0)</f>
        <v>1</v>
      </c>
      <c r="P372" s="213"/>
      <c r="Q372" s="213"/>
      <c r="R372" s="213" t="str">
        <f>IFERROR(__xludf.DUMMYFUNCTION("""COMPUTED_VALUE"""),"SI")</f>
        <v>SI</v>
      </c>
      <c r="S372" s="213"/>
      <c r="T372" s="213" t="str">
        <f>IFERROR(__xludf.DUMMYFUNCTION("""COMPUTED_VALUE"""),"SI")</f>
        <v>SI</v>
      </c>
      <c r="U372" s="213" t="str">
        <f>IFERROR(__xludf.DUMMYFUNCTION("""COMPUTED_VALUE"""),"SI")</f>
        <v>SI</v>
      </c>
      <c r="V372" s="213" t="str">
        <f>IFERROR(__xludf.DUMMYFUNCTION("""COMPUTED_VALUE"""),"-")</f>
        <v>-</v>
      </c>
      <c r="W372" s="213" t="str">
        <f>IFERROR(__xludf.DUMMYFUNCTION("""COMPUTED_VALUE"""),"-")</f>
        <v>-</v>
      </c>
      <c r="X372" s="213" t="str">
        <f>IFERROR(__xludf.DUMMYFUNCTION("""COMPUTED_VALUE"""),"TOTAL TOOLS")</f>
        <v>TOTAL TOOLS</v>
      </c>
      <c r="Y372" s="213" t="str">
        <f>IFERROR(__xludf.DUMMYFUNCTION("""COMPUTED_VALUE"""),"TACSR02406")</f>
        <v>TACSR02406</v>
      </c>
      <c r="Z372" s="215" t="str">
        <f>IFERROR(__xludf.DUMMYFUNCTION("""COMPUTED_VALUE"""),"https://www.falabella.com.pe/falabella-pe/product/122883887/SET-DE-24-FRESAS-PRO-6MM-PARA-RUTEADORA-CANTEADORA-TOTAL-TACSR02406/122883889")</f>
        <v>https://www.falabella.com.pe/falabella-pe/product/122883887/SET-DE-24-FRESAS-PRO-6MM-PARA-RUTEADORA-CANTEADORA-TOTAL-TACSR02406/122883889</v>
      </c>
      <c r="AA372" s="213" t="str">
        <f>IFERROR(__xludf.DUMMYFUNCTION("""COMPUTED_VALUE"""),"COM-186 JUEGO DE FRESAS PARA RUTEADORA - CET")</f>
        <v>COM-186 JUEGO DE FRESAS PARA RUTEADORA - CET</v>
      </c>
      <c r="AB372" s="213"/>
      <c r="AC372" s="213"/>
      <c r="AD372" s="213"/>
      <c r="AE372" s="213"/>
      <c r="AF372" s="213"/>
      <c r="AG372" s="213"/>
      <c r="AH372" s="213"/>
      <c r="AI372" s="213"/>
      <c r="AJ372" s="213"/>
      <c r="AK372" s="213"/>
      <c r="AL372" s="213"/>
      <c r="AM372" s="213"/>
      <c r="AN372" s="213"/>
      <c r="AO372" s="213"/>
      <c r="AP372" s="213" t="str">
        <f>IFERROR(__xludf.DUMMYFUNCTION("""COMPUTED_VALUE"""),"SEBASTIAN")</f>
        <v>SEBASTIAN</v>
      </c>
      <c r="AQ372" s="213"/>
      <c r="AR372" s="213"/>
      <c r="AS372" s="213"/>
      <c r="AT372" s="213"/>
      <c r="AU372" s="213"/>
      <c r="AV372" s="213"/>
      <c r="AW372" s="213"/>
      <c r="AX372" s="213"/>
      <c r="AY372" s="213"/>
      <c r="AZ372" s="213"/>
      <c r="BA372" s="213"/>
      <c r="BB372" s="213"/>
      <c r="BC372" s="213"/>
      <c r="BD372" s="213"/>
    </row>
    <row r="373">
      <c r="A373" s="213">
        <f>IFERROR(__xludf.DUMMYFUNCTION("""COMPUTED_VALUE"""),1812.0)</f>
        <v>1812</v>
      </c>
      <c r="B373" s="213" t="str">
        <f>IFERROR(__xludf.DUMMYFUNCTION("""COMPUTED_VALUE"""),"GUILLERMO E. BILLINGHURST ")</f>
        <v>GUILLERMO E. BILLINGHURST </v>
      </c>
      <c r="C373" s="213" t="str">
        <f>IFERROR(__xludf.DUMMYFUNCTION("""COMPUTED_VALUE"""),"TALLER SFT DE EBANISTERÍA")</f>
        <v>TALLER SFT DE EBANISTERÍA</v>
      </c>
      <c r="D373" s="213" t="str">
        <f>IFERROR(__xludf.DUMMYFUNCTION("""COMPUTED_VALUE"""),"HERRAMIENTAS")</f>
        <v>HERRAMIENTAS</v>
      </c>
      <c r="E373" s="213" t="str">
        <f>IFERROR(__xludf.DUMMYFUNCTION("""COMPUTED_VALUE"""),"COM-187")</f>
        <v>COM-187</v>
      </c>
      <c r="F373" s="213" t="str">
        <f>IFERROR(__xludf.DUMMYFUNCTION("""COMPUTED_VALUE"""),"COM-187")</f>
        <v>COM-187</v>
      </c>
      <c r="G373" s="213"/>
      <c r="H373" s="213" t="str">
        <f>IFERROR(__xludf.DUMMYFUNCTION("""COMPUTED_VALUE"""),"JUEGO DE GUBIAS PARA TORNO")</f>
        <v>JUEGO DE GUBIAS PARA TORNO</v>
      </c>
      <c r="I373" s="213" t="str">
        <f>IFERROR(__xludf.DUMMYFUNCTION("""COMPUTED_VALUE"""),"Juego de 8 gubias con mango de madera:
-01 gubia de desbaste de 1 pulgada;
- 01 gubia de desbaste de 7/8 pulgadas;
- 01 gubia de husillo de 5/16 pulgadas;
- 01 gubia sesgado de 1 pulgada;
- 01 gubia sesgado de 5/8 pulgadas;
- 01 gubia rascador de lanza de"&amp;" 5/8 pulgadas;
- 01 gubia rascador de nariz redonda de 5/8 pulgadas;
- 01 gubia de separación de 5/8 pulgadas Hojas de Calidad HSS.
Mango: el mango de madera de nogal de 10 pulgadas es más duro y cómodo de usar.")</f>
        <v>Juego de 8 gubias con mango de madera:
-01 gubia de desbaste de 1 pulgada;
- 01 gubia de desbaste de 7/8 pulgadas;
- 01 gubia de husillo de 5/16 pulgadas;
- 01 gubia sesgado de 1 pulgada;
- 01 gubia sesgado de 5/8 pulgadas;
- 01 gubia rascador de lanza de 5/8 pulgadas;
- 01 gubia rascador de nariz redonda de 5/8 pulgadas;
- 01 gubia de separación de 5/8 pulgadas Hojas de Calidad HSS.
Mango: el mango de madera de nogal de 10 pulgadas es más duro y cómodo de usar.</v>
      </c>
      <c r="J373" s="213">
        <f>IFERROR(__xludf.DUMMYFUNCTION("""COMPUTED_VALUE"""),3.0)</f>
        <v>3</v>
      </c>
      <c r="K373" s="213" t="str">
        <f>IFERROR(__xludf.DUMMYFUNCTION("""COMPUTED_VALUE"""),"90 DÍAS CALENDARIO")</f>
        <v>90 DÍAS CALENDARIO</v>
      </c>
      <c r="L373" s="213" t="str">
        <f>IFERROR(__xludf.DUMMYFUNCTION("""COMPUTED_VALUE"""),"")</f>
        <v/>
      </c>
      <c r="M373" s="213">
        <f>IFERROR(__xludf.DUMMYFUNCTION("""COMPUTED_VALUE"""),1.0)</f>
        <v>1</v>
      </c>
      <c r="N373" s="213">
        <f>IFERROR(__xludf.DUMMYFUNCTION("""COMPUTED_VALUE"""),1.0)</f>
        <v>1</v>
      </c>
      <c r="O373" s="213">
        <f>IFERROR(__xludf.DUMMYFUNCTION("""COMPUTED_VALUE"""),1.0)</f>
        <v>1</v>
      </c>
      <c r="P373" s="213"/>
      <c r="Q373" s="213"/>
      <c r="R373" s="213" t="str">
        <f>IFERROR(__xludf.DUMMYFUNCTION("""COMPUTED_VALUE"""),"SI")</f>
        <v>SI</v>
      </c>
      <c r="S373" s="213"/>
      <c r="T373" s="213" t="str">
        <f>IFERROR(__xludf.DUMMYFUNCTION("""COMPUTED_VALUE"""),"CONSULTA FINAL")</f>
        <v>CONSULTA FINAL</v>
      </c>
      <c r="U373" s="213" t="str">
        <f>IFERROR(__xludf.DUMMYFUNCTION("""COMPUTED_VALUE"""),"NO")</f>
        <v>NO</v>
      </c>
      <c r="V373" s="213" t="str">
        <f>IFERROR(__xludf.DUMMYFUNCTION("""COMPUTED_VALUE"""),"SUSTENTO")</f>
        <v>SUSTENTO</v>
      </c>
      <c r="W373" s="213" t="str">
        <f>IFERROR(__xludf.DUMMYFUNCTION("""COMPUTED_VALUE"""),"DIMENSIONAL")</f>
        <v>DIMENSIONAL</v>
      </c>
      <c r="X373" s="213" t="str">
        <f>IFERROR(__xludf.DUMMYFUNCTION("""COMPUTED_VALUE"""),"Powertec")</f>
        <v>Powertec</v>
      </c>
      <c r="Y373" s="213">
        <f>IFERROR(__xludf.DUMMYFUNCTION("""COMPUTED_VALUE"""),71824.0)</f>
        <v>71824</v>
      </c>
      <c r="Z373" s="215" t="str">
        <f>IFERROR(__xludf.DUMMYFUNCTION("""COMPUTED_VALUE"""),"https://powertecproducts.com/71824-wood-lathe-chisel-8-piece-set-wood-lathe-turning-tools/?srsltid=AfmBOooWj-HEZhPkgZrfepRVd1jqJFXxLhqmtZ9ksQ8ixv9WpfGwXJxg")</f>
        <v>https://powertecproducts.com/71824-wood-lathe-chisel-8-piece-set-wood-lathe-turning-tools/?srsltid=AfmBOooWj-HEZhPkgZrfepRVd1jqJFXxLhqmtZ9ksQ8ixv9WpfGwXJxg</v>
      </c>
      <c r="AA373" s="213" t="str">
        <f>IFERROR(__xludf.DUMMYFUNCTION("""COMPUTED_VALUE"""),"COM-187 JUEGO DE GUBIAS PARA TORNO - CET")</f>
        <v>COM-187 JUEGO DE GUBIAS PARA TORNO - CET</v>
      </c>
      <c r="AB373" s="213"/>
      <c r="AC373" s="213"/>
      <c r="AD373" s="213"/>
      <c r="AE373" s="213"/>
      <c r="AF373" s="213"/>
      <c r="AG373" s="213"/>
      <c r="AH373" s="213"/>
      <c r="AI373" s="213"/>
      <c r="AJ373" s="213"/>
      <c r="AK373" s="213"/>
      <c r="AL373" s="213"/>
      <c r="AM373" s="213"/>
      <c r="AN373" s="213"/>
      <c r="AO373" s="213"/>
      <c r="AP373" s="213" t="str">
        <f>IFERROR(__xludf.DUMMYFUNCTION("""COMPUTED_VALUE"""),"SEBASTIAN")</f>
        <v>SEBASTIAN</v>
      </c>
      <c r="AQ373" s="213"/>
      <c r="AR373" s="213"/>
      <c r="AS373" s="213"/>
      <c r="AT373" s="213"/>
      <c r="AU373" s="213"/>
      <c r="AV373" s="213"/>
      <c r="AW373" s="213"/>
      <c r="AX373" s="213"/>
      <c r="AY373" s="213"/>
      <c r="AZ373" s="213"/>
      <c r="BA373" s="213"/>
      <c r="BB373" s="213"/>
      <c r="BC373" s="213"/>
      <c r="BD373" s="213"/>
    </row>
    <row r="374">
      <c r="A374" s="213">
        <f>IFERROR(__xludf.DUMMYFUNCTION("""COMPUTED_VALUE"""),2594.0)</f>
        <v>2594</v>
      </c>
      <c r="B374" s="213" t="str">
        <f>IFERROR(__xludf.DUMMYFUNCTION("""COMPUTED_VALUE"""),"MANUEL ANTONIO MESONES MURO")</f>
        <v>MANUEL ANTONIO MESONES MURO</v>
      </c>
      <c r="C374" s="213" t="str">
        <f>IFERROR(__xludf.DUMMYFUNCTION("""COMPUTED_VALUE"""),"TALLER SFT DE EBANISTERÍA")</f>
        <v>TALLER SFT DE EBANISTERÍA</v>
      </c>
      <c r="D374" s="213" t="str">
        <f>IFERROR(__xludf.DUMMYFUNCTION("""COMPUTED_VALUE"""),"HERRAMIENTAS")</f>
        <v>HERRAMIENTAS</v>
      </c>
      <c r="E374" s="213" t="str">
        <f>IFERROR(__xludf.DUMMYFUNCTION("""COMPUTED_VALUE"""),"COM-187")</f>
        <v>COM-187</v>
      </c>
      <c r="F374" s="213" t="str">
        <f>IFERROR(__xludf.DUMMYFUNCTION("""COMPUTED_VALUE"""),"COM-187")</f>
        <v>COM-187</v>
      </c>
      <c r="G374" s="213"/>
      <c r="H374" s="213" t="str">
        <f>IFERROR(__xludf.DUMMYFUNCTION("""COMPUTED_VALUE"""),"JUEGO DE GUBIAS PARA TORNO")</f>
        <v>JUEGO DE GUBIAS PARA TORNO</v>
      </c>
      <c r="I374" s="213" t="str">
        <f>IFERROR(__xludf.DUMMYFUNCTION("""COMPUTED_VALUE"""),"Juego de 8 gubias con mango de madera:
-01 gubia de desbaste de 1 pulgada;
- 01 gubia de desbaste de 7/8 pulgadas;
- 01 gubia de husillo de 5/16 pulgadas;
- 01 gubia sesgado de 1 pulgada;
- 01 gubia sesgado de 5/8 pulgadas;
- 01 gubia rascador de lanza de"&amp;" 5/8 pulgadas;
- 01 gubia rascador de nariz redonda de 5/8 pulgadas;
- 01 gubia de separación de 5/8 pulgadas Hojas de Calidad HSS.
Mango: el mango de madera de nogal de 10 pulgadas es más duro y cómodo de usar.")</f>
        <v>Juego de 8 gubias con mango de madera:
-01 gubia de desbaste de 1 pulgada;
- 01 gubia de desbaste de 7/8 pulgadas;
- 01 gubia de husillo de 5/16 pulgadas;
- 01 gubia sesgado de 1 pulgada;
- 01 gubia sesgado de 5/8 pulgadas;
- 01 gubia rascador de lanza de 5/8 pulgadas;
- 01 gubia rascador de nariz redonda de 5/8 pulgadas;
- 01 gubia de separación de 5/8 pulgadas Hojas de Calidad HSS.
Mango: el mango de madera de nogal de 10 pulgadas es más duro y cómodo de usar.</v>
      </c>
      <c r="J374" s="213">
        <f>IFERROR(__xludf.DUMMYFUNCTION("""COMPUTED_VALUE"""),3.0)</f>
        <v>3</v>
      </c>
      <c r="K374" s="213" t="str">
        <f>IFERROR(__xludf.DUMMYFUNCTION("""COMPUTED_VALUE"""),"90 DÍAS CALENDARIO")</f>
        <v>90 DÍAS CALENDARIO</v>
      </c>
      <c r="L374" s="213" t="str">
        <f>IFERROR(__xludf.DUMMYFUNCTION("""COMPUTED_VALUE"""),"")</f>
        <v/>
      </c>
      <c r="M374" s="213">
        <f>IFERROR(__xludf.DUMMYFUNCTION("""COMPUTED_VALUE"""),1.0)</f>
        <v>1</v>
      </c>
      <c r="N374" s="213">
        <f>IFERROR(__xludf.DUMMYFUNCTION("""COMPUTED_VALUE"""),1.0)</f>
        <v>1</v>
      </c>
      <c r="O374" s="213">
        <f>IFERROR(__xludf.DUMMYFUNCTION("""COMPUTED_VALUE"""),1.0)</f>
        <v>1</v>
      </c>
      <c r="P374" s="213"/>
      <c r="Q374" s="213"/>
      <c r="R374" s="213" t="str">
        <f>IFERROR(__xludf.DUMMYFUNCTION("""COMPUTED_VALUE"""),"SI")</f>
        <v>SI</v>
      </c>
      <c r="S374" s="213"/>
      <c r="T374" s="213" t="str">
        <f>IFERROR(__xludf.DUMMYFUNCTION("""COMPUTED_VALUE"""),"CONSULTA FINAL")</f>
        <v>CONSULTA FINAL</v>
      </c>
      <c r="U374" s="213" t="str">
        <f>IFERROR(__xludf.DUMMYFUNCTION("""COMPUTED_VALUE"""),"NO")</f>
        <v>NO</v>
      </c>
      <c r="V374" s="213" t="str">
        <f>IFERROR(__xludf.DUMMYFUNCTION("""COMPUTED_VALUE"""),"SUSTENTO")</f>
        <v>SUSTENTO</v>
      </c>
      <c r="W374" s="213" t="str">
        <f>IFERROR(__xludf.DUMMYFUNCTION("""COMPUTED_VALUE"""),"DIMENSIONAL")</f>
        <v>DIMENSIONAL</v>
      </c>
      <c r="X374" s="213" t="str">
        <f>IFERROR(__xludf.DUMMYFUNCTION("""COMPUTED_VALUE"""),"Powertec")</f>
        <v>Powertec</v>
      </c>
      <c r="Y374" s="213">
        <f>IFERROR(__xludf.DUMMYFUNCTION("""COMPUTED_VALUE"""),71824.0)</f>
        <v>71824</v>
      </c>
      <c r="Z374" s="215" t="str">
        <f>IFERROR(__xludf.DUMMYFUNCTION("""COMPUTED_VALUE"""),"https://powertecproducts.com/71824-wood-lathe-chisel-8-piece-set-wood-lathe-turning-tools/?srsltid=AfmBOooWj-HEZhPkgZrfepRVd1jqJFXxLhqmtZ9ksQ8ixv9WpfGwXJxg")</f>
        <v>https://powertecproducts.com/71824-wood-lathe-chisel-8-piece-set-wood-lathe-turning-tools/?srsltid=AfmBOooWj-HEZhPkgZrfepRVd1jqJFXxLhqmtZ9ksQ8ixv9WpfGwXJxg</v>
      </c>
      <c r="AA374" s="213" t="str">
        <f>IFERROR(__xludf.DUMMYFUNCTION("""COMPUTED_VALUE"""),"COM-187 JUEGO DE GUBIAS PARA TORNO - CET")</f>
        <v>COM-187 JUEGO DE GUBIAS PARA TORNO - CET</v>
      </c>
      <c r="AB374" s="213"/>
      <c r="AC374" s="213"/>
      <c r="AD374" s="213"/>
      <c r="AE374" s="213"/>
      <c r="AF374" s="213"/>
      <c r="AG374" s="213"/>
      <c r="AH374" s="213"/>
      <c r="AI374" s="213"/>
      <c r="AJ374" s="213"/>
      <c r="AK374" s="213"/>
      <c r="AL374" s="213"/>
      <c r="AM374" s="213"/>
      <c r="AN374" s="213"/>
      <c r="AO374" s="213"/>
      <c r="AP374" s="213" t="str">
        <f>IFERROR(__xludf.DUMMYFUNCTION("""COMPUTED_VALUE"""),"SEBASTIAN")</f>
        <v>SEBASTIAN</v>
      </c>
      <c r="AQ374" s="213"/>
      <c r="AR374" s="213"/>
      <c r="AS374" s="213"/>
      <c r="AT374" s="213"/>
      <c r="AU374" s="213"/>
      <c r="AV374" s="213"/>
      <c r="AW374" s="213"/>
      <c r="AX374" s="213"/>
      <c r="AY374" s="213"/>
      <c r="AZ374" s="213"/>
      <c r="BA374" s="213"/>
      <c r="BB374" s="213"/>
      <c r="BC374" s="213"/>
      <c r="BD374" s="213"/>
    </row>
    <row r="375">
      <c r="A375" s="213">
        <f>IFERROR(__xludf.DUMMYFUNCTION("""COMPUTED_VALUE"""),1808.0)</f>
        <v>1808</v>
      </c>
      <c r="B375" s="213" t="str">
        <f>IFERROR(__xludf.DUMMYFUNCTION("""COMPUTED_VALUE"""),"GUILLERMO E. BILLINGHURST ")</f>
        <v>GUILLERMO E. BILLINGHURST </v>
      </c>
      <c r="C375" s="213" t="str">
        <f>IFERROR(__xludf.DUMMYFUNCTION("""COMPUTED_VALUE"""),"TALLER SFT DE EBANISTERÍA")</f>
        <v>TALLER SFT DE EBANISTERÍA</v>
      </c>
      <c r="D375" s="213" t="str">
        <f>IFERROR(__xludf.DUMMYFUNCTION("""COMPUTED_VALUE"""),"HERRAMIENTAS")</f>
        <v>HERRAMIENTAS</v>
      </c>
      <c r="E375" s="213" t="str">
        <f>IFERROR(__xludf.DUMMYFUNCTION("""COMPUTED_VALUE"""),"COM-188")</f>
        <v>COM-188</v>
      </c>
      <c r="F375" s="213" t="str">
        <f>IFERROR(__xludf.DUMMYFUNCTION("""COMPUTED_VALUE"""),"COM-188")</f>
        <v>COM-188</v>
      </c>
      <c r="G375" s="213"/>
      <c r="H375" s="213" t="str">
        <f>IFERROR(__xludf.DUMMYFUNCTION("""COMPUTED_VALUE"""),"JUEGO DE HOJAS DE SIERRA")</f>
        <v>JUEGO DE HOJAS DE SIERRA</v>
      </c>
      <c r="I375" s="213" t="str">
        <f>IFERROR(__xludf.DUMMYFUNCTION("""COMPUTED_VALUE"""),"Diseño de espiga en T
Para corte recto, longitudinal, transversal, curvo.
Para madera maciza, contraplacados, aglomerados, tableros melaminicos, metales y otros materiales no ferrosos.
Construidas en acero de alto carbono. Estuche plastico resistente.
Alt"&amp;"ura maxima de corte 50 mm. Aprox.
10 hojas de sierra de calar (2 x T 119 BO, 4 x T 119 B, 4 x T 111 C)")</f>
        <v>Diseño de espiga en T
Para corte recto, longitudinal, transversal, curvo.
Para madera maciza, contraplacados, aglomerados, tableros melaminicos, metales y otros materiales no ferrosos.
Construidas en acero de alto carbono. Estuche plastico resistente.
Altura maxima de corte 50 mm. Aprox.
10 hojas de sierra de calar (2 x T 119 BO, 4 x T 119 B, 4 x T 111 C)</v>
      </c>
      <c r="J375" s="213">
        <f>IFERROR(__xludf.DUMMYFUNCTION("""COMPUTED_VALUE"""),3.0)</f>
        <v>3</v>
      </c>
      <c r="K375" s="213" t="str">
        <f>IFERROR(__xludf.DUMMYFUNCTION("""COMPUTED_VALUE"""),"90 DÍAS CALENDARIO")</f>
        <v>90 DÍAS CALENDARIO</v>
      </c>
      <c r="L375" s="213" t="str">
        <f>IFERROR(__xludf.DUMMYFUNCTION("""COMPUTED_VALUE"""),"")</f>
        <v/>
      </c>
      <c r="M375" s="213">
        <f>IFERROR(__xludf.DUMMYFUNCTION("""COMPUTED_VALUE"""),1.0)</f>
        <v>1</v>
      </c>
      <c r="N375" s="213">
        <f>IFERROR(__xludf.DUMMYFUNCTION("""COMPUTED_VALUE"""),4.0)</f>
        <v>4</v>
      </c>
      <c r="O375" s="213">
        <f>IFERROR(__xludf.DUMMYFUNCTION("""COMPUTED_VALUE"""),4.0)</f>
        <v>4</v>
      </c>
      <c r="P375" s="213"/>
      <c r="Q375" s="213"/>
      <c r="R375" s="213" t="str">
        <f>IFERROR(__xludf.DUMMYFUNCTION("""COMPUTED_VALUE"""),"SI")</f>
        <v>SI</v>
      </c>
      <c r="S375" s="213"/>
      <c r="T375" s="213" t="str">
        <f>IFERROR(__xludf.DUMMYFUNCTION("""COMPUTED_VALUE"""),"SI")</f>
        <v>SI</v>
      </c>
      <c r="U375" s="213" t="str">
        <f>IFERROR(__xludf.DUMMYFUNCTION("""COMPUTED_VALUE"""),"SI")</f>
        <v>SI</v>
      </c>
      <c r="V375" s="213" t="str">
        <f>IFERROR(__xludf.DUMMYFUNCTION("""COMPUTED_VALUE"""),"-")</f>
        <v>-</v>
      </c>
      <c r="W375" s="213" t="str">
        <f>IFERROR(__xludf.DUMMYFUNCTION("""COMPUTED_VALUE"""),"-")</f>
        <v>-</v>
      </c>
      <c r="X375" s="213" t="str">
        <f>IFERROR(__xludf.DUMMYFUNCTION("""COMPUTED_VALUE"""),"Bosch")</f>
        <v>Bosch</v>
      </c>
      <c r="Y375" s="213" t="str">
        <f>IFERROR(__xludf.DUMMYFUNCTION("""COMPUTED_VALUE"""),"‎2607010629")</f>
        <v>‎2607010629</v>
      </c>
      <c r="Z375" s="215" t="str">
        <f>IFERROR(__xludf.DUMMYFUNCTION("""COMPUTED_VALUE"""),"https://www.amazon.es/gp/aw/d/B003TWP1QO/?_encoding=UTF8&amp;pd_rd_plhdr=t&amp;aaxitk=ceec0845d84f627cb4098bd391f12fc1&amp;hsa_cr_id=0&amp;qid=1759012999&amp;sr=1-1-e0fa1fdd-d857-4087-adda-5bd576b25987&amp;ref_=sbx_be_s_sparkle_dlcd_asin_0_title&amp;pd_rd_w=qidzl&amp;content-id=amzn1.sy"&amp;"m.4b9f096f-8599-402f-8225-de45f1b84474%3Aamzn1.sym.4b9f096f-8599-402f-8225-de45f1b84474&amp;pf_rd_p=4b9f096f-8599-402f-8225-de45f1b84474&amp;pf_rd_r=AEYKGXZKKBTNJ113WC6F&amp;pd_rd_wg=kSyy1&amp;pd_rd_r=c92e7bd8-2f09-4ab6-ba23-47715b7249f8&amp;th=1")</f>
        <v>https://www.amazon.es/gp/aw/d/B003TWP1QO/?_encoding=UTF8&amp;pd_rd_plhdr=t&amp;aaxitk=ceec0845d84f627cb4098bd391f12fc1&amp;hsa_cr_id=0&amp;qid=1759012999&amp;sr=1-1-e0fa1fdd-d857-4087-adda-5bd576b25987&amp;ref_=sbx_be_s_sparkle_dlcd_asin_0_title&amp;pd_rd_w=qidzl&amp;content-id=amzn1.sym.4b9f096f-8599-402f-8225-de45f1b84474%3Aamzn1.sym.4b9f096f-8599-402f-8225-de45f1b84474&amp;pf_rd_p=4b9f096f-8599-402f-8225-de45f1b84474&amp;pf_rd_r=AEYKGXZKKBTNJ113WC6F&amp;pd_rd_wg=kSyy1&amp;pd_rd_r=c92e7bd8-2f09-4ab6-ba23-47715b7249f8&amp;th=1</v>
      </c>
      <c r="AA375" s="213" t="str">
        <f>IFERROR(__xludf.DUMMYFUNCTION("""COMPUTED_VALUE"""),"COM-188 JUEGO DE HOJAS DE SIERRA - CET")</f>
        <v>COM-188 JUEGO DE HOJAS DE SIERRA - CET</v>
      </c>
      <c r="AB375" s="213"/>
      <c r="AC375" s="213"/>
      <c r="AD375" s="213"/>
      <c r="AE375" s="213"/>
      <c r="AF375" s="213"/>
      <c r="AG375" s="213"/>
      <c r="AH375" s="213"/>
      <c r="AI375" s="213"/>
      <c r="AJ375" s="213"/>
      <c r="AK375" s="213"/>
      <c r="AL375" s="213"/>
      <c r="AM375" s="213"/>
      <c r="AN375" s="213"/>
      <c r="AO375" s="213"/>
      <c r="AP375" s="213" t="str">
        <f>IFERROR(__xludf.DUMMYFUNCTION("""COMPUTED_VALUE"""),"SEBASTIAN")</f>
        <v>SEBASTIAN</v>
      </c>
      <c r="AQ375" s="213"/>
      <c r="AR375" s="213"/>
      <c r="AS375" s="213"/>
      <c r="AT375" s="213"/>
      <c r="AU375" s="213"/>
      <c r="AV375" s="213"/>
      <c r="AW375" s="213"/>
      <c r="AX375" s="213"/>
      <c r="AY375" s="213"/>
      <c r="AZ375" s="213"/>
      <c r="BA375" s="213"/>
      <c r="BB375" s="213"/>
      <c r="BC375" s="213"/>
      <c r="BD375" s="213"/>
    </row>
    <row r="376">
      <c r="A376" s="213">
        <f>IFERROR(__xludf.DUMMYFUNCTION("""COMPUTED_VALUE"""),2590.0)</f>
        <v>2590</v>
      </c>
      <c r="B376" s="213" t="str">
        <f>IFERROR(__xludf.DUMMYFUNCTION("""COMPUTED_VALUE"""),"MANUEL ANTONIO MESONES MURO")</f>
        <v>MANUEL ANTONIO MESONES MURO</v>
      </c>
      <c r="C376" s="213" t="str">
        <f>IFERROR(__xludf.DUMMYFUNCTION("""COMPUTED_VALUE"""),"TALLER SFT DE EBANISTERÍA")</f>
        <v>TALLER SFT DE EBANISTERÍA</v>
      </c>
      <c r="D376" s="213" t="str">
        <f>IFERROR(__xludf.DUMMYFUNCTION("""COMPUTED_VALUE"""),"HERRAMIENTAS")</f>
        <v>HERRAMIENTAS</v>
      </c>
      <c r="E376" s="213" t="str">
        <f>IFERROR(__xludf.DUMMYFUNCTION("""COMPUTED_VALUE"""),"COM-188")</f>
        <v>COM-188</v>
      </c>
      <c r="F376" s="213" t="str">
        <f>IFERROR(__xludf.DUMMYFUNCTION("""COMPUTED_VALUE"""),"COM-188")</f>
        <v>COM-188</v>
      </c>
      <c r="G376" s="213"/>
      <c r="H376" s="213" t="str">
        <f>IFERROR(__xludf.DUMMYFUNCTION("""COMPUTED_VALUE"""),"JUEGO DE HOJAS DE SIERRA")</f>
        <v>JUEGO DE HOJAS DE SIERRA</v>
      </c>
      <c r="I376" s="213" t="str">
        <f>IFERROR(__xludf.DUMMYFUNCTION("""COMPUTED_VALUE"""),"Diseño de espiga en T
Para corte recto, longitudinal, transversal, curvo.
Para madera maciza, contraplacados, aglomerados, tableros melaminicos, metales y otros materiales no ferrosos.
Construidas en acero de alto carbono. Estuche plastico resistente.
Alt"&amp;"ura maxima de corte 50 mm. Aprox.
10 hojas de sierra de calar (2 x T 119 BO, 4 x T 119 B, 4 x T 111 C)")</f>
        <v>Diseño de espiga en T
Para corte recto, longitudinal, transversal, curvo.
Para madera maciza, contraplacados, aglomerados, tableros melaminicos, metales y otros materiales no ferrosos.
Construidas en acero de alto carbono. Estuche plastico resistente.
Altura maxima de corte 50 mm. Aprox.
10 hojas de sierra de calar (2 x T 119 BO, 4 x T 119 B, 4 x T 111 C)</v>
      </c>
      <c r="J376" s="213">
        <f>IFERROR(__xludf.DUMMYFUNCTION("""COMPUTED_VALUE"""),3.0)</f>
        <v>3</v>
      </c>
      <c r="K376" s="213" t="str">
        <f>IFERROR(__xludf.DUMMYFUNCTION("""COMPUTED_VALUE"""),"90 DÍAS CALENDARIO")</f>
        <v>90 DÍAS CALENDARIO</v>
      </c>
      <c r="L376" s="213" t="str">
        <f>IFERROR(__xludf.DUMMYFUNCTION("""COMPUTED_VALUE"""),"")</f>
        <v/>
      </c>
      <c r="M376" s="213">
        <f>IFERROR(__xludf.DUMMYFUNCTION("""COMPUTED_VALUE"""),1.0)</f>
        <v>1</v>
      </c>
      <c r="N376" s="213">
        <f>IFERROR(__xludf.DUMMYFUNCTION("""COMPUTED_VALUE"""),4.0)</f>
        <v>4</v>
      </c>
      <c r="O376" s="213">
        <f>IFERROR(__xludf.DUMMYFUNCTION("""COMPUTED_VALUE"""),4.0)</f>
        <v>4</v>
      </c>
      <c r="P376" s="213"/>
      <c r="Q376" s="213"/>
      <c r="R376" s="213" t="str">
        <f>IFERROR(__xludf.DUMMYFUNCTION("""COMPUTED_VALUE"""),"SI")</f>
        <v>SI</v>
      </c>
      <c r="S376" s="213"/>
      <c r="T376" s="213" t="str">
        <f>IFERROR(__xludf.DUMMYFUNCTION("""COMPUTED_VALUE"""),"SI")</f>
        <v>SI</v>
      </c>
      <c r="U376" s="213" t="str">
        <f>IFERROR(__xludf.DUMMYFUNCTION("""COMPUTED_VALUE"""),"SI")</f>
        <v>SI</v>
      </c>
      <c r="V376" s="213" t="str">
        <f>IFERROR(__xludf.DUMMYFUNCTION("""COMPUTED_VALUE"""),"-")</f>
        <v>-</v>
      </c>
      <c r="W376" s="213" t="str">
        <f>IFERROR(__xludf.DUMMYFUNCTION("""COMPUTED_VALUE"""),"-")</f>
        <v>-</v>
      </c>
      <c r="X376" s="213" t="str">
        <f>IFERROR(__xludf.DUMMYFUNCTION("""COMPUTED_VALUE"""),"Bosch")</f>
        <v>Bosch</v>
      </c>
      <c r="Y376" s="213" t="str">
        <f>IFERROR(__xludf.DUMMYFUNCTION("""COMPUTED_VALUE"""),"‎2607010629")</f>
        <v>‎2607010629</v>
      </c>
      <c r="Z376" s="215" t="str">
        <f>IFERROR(__xludf.DUMMYFUNCTION("""COMPUTED_VALUE"""),"https://www.amazon.es/gp/aw/d/B003TWP1QO/?_encoding=UTF8&amp;pd_rd_plhdr=t&amp;aaxitk=ceec0845d84f627cb4098bd391f12fc1&amp;hsa_cr_id=0&amp;qid=1759012999&amp;sr=1-1-e0fa1fdd-d857-4087-adda-5bd576b25987&amp;ref_=sbx_be_s_sparkle_dlcd_asin_0_title&amp;pd_rd_w=qidzl&amp;content-id=amzn1.sy"&amp;"m.4b9f096f-8599-402f-8225-de45f1b84474%3Aamzn1.sym.4b9f096f-8599-402f-8225-de45f1b84474&amp;pf_rd_p=4b9f096f-8599-402f-8225-de45f1b84474&amp;pf_rd_r=AEYKGXZKKBTNJ113WC6F&amp;pd_rd_wg=kSyy1&amp;pd_rd_r=c92e7bd8-2f09-4ab6-ba23-47715b7249f8&amp;th=1")</f>
        <v>https://www.amazon.es/gp/aw/d/B003TWP1QO/?_encoding=UTF8&amp;pd_rd_plhdr=t&amp;aaxitk=ceec0845d84f627cb4098bd391f12fc1&amp;hsa_cr_id=0&amp;qid=1759012999&amp;sr=1-1-e0fa1fdd-d857-4087-adda-5bd576b25987&amp;ref_=sbx_be_s_sparkle_dlcd_asin_0_title&amp;pd_rd_w=qidzl&amp;content-id=amzn1.sym.4b9f096f-8599-402f-8225-de45f1b84474%3Aamzn1.sym.4b9f096f-8599-402f-8225-de45f1b84474&amp;pf_rd_p=4b9f096f-8599-402f-8225-de45f1b84474&amp;pf_rd_r=AEYKGXZKKBTNJ113WC6F&amp;pd_rd_wg=kSyy1&amp;pd_rd_r=c92e7bd8-2f09-4ab6-ba23-47715b7249f8&amp;th=1</v>
      </c>
      <c r="AA376" s="213" t="str">
        <f>IFERROR(__xludf.DUMMYFUNCTION("""COMPUTED_VALUE"""),"COM-188 JUEGO DE HOJAS DE SIERRA - CET")</f>
        <v>COM-188 JUEGO DE HOJAS DE SIERRA - CET</v>
      </c>
      <c r="AB376" s="213"/>
      <c r="AC376" s="213"/>
      <c r="AD376" s="213"/>
      <c r="AE376" s="213"/>
      <c r="AF376" s="213"/>
      <c r="AG376" s="213"/>
      <c r="AH376" s="213"/>
      <c r="AI376" s="213"/>
      <c r="AJ376" s="213"/>
      <c r="AK376" s="213"/>
      <c r="AL376" s="213"/>
      <c r="AM376" s="213"/>
      <c r="AN376" s="213"/>
      <c r="AO376" s="213"/>
      <c r="AP376" s="213" t="str">
        <f>IFERROR(__xludf.DUMMYFUNCTION("""COMPUTED_VALUE"""),"SEBASTIAN")</f>
        <v>SEBASTIAN</v>
      </c>
      <c r="AQ376" s="213"/>
      <c r="AR376" s="213"/>
      <c r="AS376" s="213"/>
      <c r="AT376" s="213"/>
      <c r="AU376" s="213"/>
      <c r="AV376" s="213"/>
      <c r="AW376" s="213"/>
      <c r="AX376" s="213"/>
      <c r="AY376" s="213"/>
      <c r="AZ376" s="213"/>
      <c r="BA376" s="213"/>
      <c r="BB376" s="213"/>
      <c r="BC376" s="213"/>
      <c r="BD376" s="213"/>
    </row>
    <row r="377">
      <c r="A377" s="213">
        <f>IFERROR(__xludf.DUMMYFUNCTION("""COMPUTED_VALUE"""),966.0)</f>
        <v>966</v>
      </c>
      <c r="B377" s="213" t="str">
        <f>IFERROR(__xludf.DUMMYFUNCTION("""COMPUTED_VALUE"""),"FRANCISCO IRAZOLA")</f>
        <v>FRANCISCO IRAZOLA</v>
      </c>
      <c r="C377" s="213" t="str">
        <f>IFERROR(__xludf.DUMMYFUNCTION("""COMPUTED_VALUE"""),"TALLER SFT DE MECÁNICA AUTOMOTRIZ")</f>
        <v>TALLER SFT DE MECÁNICA AUTOMOTRIZ</v>
      </c>
      <c r="D377" s="213" t="str">
        <f>IFERROR(__xludf.DUMMYFUNCTION("""COMPUTED_VALUE"""),"HERRAMIENTAS")</f>
        <v>HERRAMIENTAS</v>
      </c>
      <c r="E377" s="213" t="str">
        <f>IFERROR(__xludf.DUMMYFUNCTION("""COMPUTED_VALUE"""),"COM-189")</f>
        <v>COM-189</v>
      </c>
      <c r="F377" s="213" t="str">
        <f>IFERROR(__xludf.DUMMYFUNCTION("""COMPUTED_VALUE"""),"COM-189")</f>
        <v>COM-189</v>
      </c>
      <c r="G377" s="213"/>
      <c r="H377" s="213" t="str">
        <f>IFERROR(__xludf.DUMMYFUNCTION("""COMPUTED_VALUE"""),"JUEGO DE LAPEADORES DE VÁLVULA")</f>
        <v>JUEGO DE LAPEADORES DE VÁLVULA</v>
      </c>
      <c r="I377" s="213" t="str">
        <f>IFERROR(__xludf.DUMMYFUNCTION("""COMPUTED_VALUE"""),"Juego de herramientas para pulir y acentar las válvulas.
La herramienta se adhiere a la válvula, haciéndolo girar y desgastando el borde de la válvula en su propio asiento.
Compuesto por dos herramientas con dos caras a los extremos:
Una para pulir válvul"&amp;"as pequeñas, diámetros de copa de 5/8"" y 13/16"". Otra para pulir válvulas grandes, diámetros de copa de 1-1/8"" y 1-3/8"".")</f>
        <v>Juego de herramientas para pulir y acentar las válvulas.
La herramienta se adhiere a la válvula, haciéndolo girar y desgastando el borde de la válvula en su propio asiento.
Compuesto por dos herramientas con dos caras a los extremos:
Una para pulir válvulas pequeñas, diámetros de copa de 5/8" y 13/16". Otra para pulir válvulas grandes, diámetros de copa de 1-1/8" y 1-3/8".</v>
      </c>
      <c r="J377" s="213">
        <f>IFERROR(__xludf.DUMMYFUNCTION("""COMPUTED_VALUE"""),3.0)</f>
        <v>3</v>
      </c>
      <c r="K377" s="213" t="str">
        <f>IFERROR(__xludf.DUMMYFUNCTION("""COMPUTED_VALUE"""),"90 DÍAS CALENDARIO")</f>
        <v>90 DÍAS CALENDARIO</v>
      </c>
      <c r="L377" s="213" t="str">
        <f>IFERROR(__xludf.DUMMYFUNCTION("""COMPUTED_VALUE"""),"")</f>
        <v/>
      </c>
      <c r="M377" s="213">
        <f>IFERROR(__xludf.DUMMYFUNCTION("""COMPUTED_VALUE"""),1.0)</f>
        <v>1</v>
      </c>
      <c r="N377" s="213">
        <f>IFERROR(__xludf.DUMMYFUNCTION("""COMPUTED_VALUE"""),1.0)</f>
        <v>1</v>
      </c>
      <c r="O377" s="213">
        <f>IFERROR(__xludf.DUMMYFUNCTION("""COMPUTED_VALUE"""),1.0)</f>
        <v>1</v>
      </c>
      <c r="P377" s="213"/>
      <c r="Q377" s="213"/>
      <c r="R377" s="213" t="str">
        <f>IFERROR(__xludf.DUMMYFUNCTION("""COMPUTED_VALUE"""),"SI")</f>
        <v>SI</v>
      </c>
      <c r="S377" s="213"/>
      <c r="T377" s="213" t="str">
        <f>IFERROR(__xludf.DUMMYFUNCTION("""COMPUTED_VALUE"""),"SI")</f>
        <v>SI</v>
      </c>
      <c r="U377" s="213" t="str">
        <f>IFERROR(__xludf.DUMMYFUNCTION("""COMPUTED_VALUE"""),"SI")</f>
        <v>SI</v>
      </c>
      <c r="V377" s="213" t="str">
        <f>IFERROR(__xludf.DUMMYFUNCTION("""COMPUTED_VALUE"""),"-")</f>
        <v>-</v>
      </c>
      <c r="W377" s="213" t="str">
        <f>IFERROR(__xludf.DUMMYFUNCTION("""COMPUTED_VALUE"""),"-")</f>
        <v>-</v>
      </c>
      <c r="X377" s="213" t="str">
        <f>IFERROR(__xludf.DUMMYFUNCTION("""COMPUTED_VALUE"""),"TOPTUL")</f>
        <v>TOPTUL</v>
      </c>
      <c r="Y377" s="213" t="str">
        <f>IFERROR(__xludf.DUMMYFUNCTION("""COMPUTED_VALUE"""),"JGAR0201")</f>
        <v>JGAR0201</v>
      </c>
      <c r="Z377" s="215" t="str">
        <f>IFERROR(__xludf.DUMMYFUNCTION("""COMPUTED_VALUE"""),"https://www.pronellomaquinarias.com/product-page/asentador-manual-de-v%C3%A1lvulas-de-2-piezas")</f>
        <v>https://www.pronellomaquinarias.com/product-page/asentador-manual-de-v%C3%A1lvulas-de-2-piezas</v>
      </c>
      <c r="AA377" s="213" t="str">
        <f>IFERROR(__xludf.DUMMYFUNCTION("""COMPUTED_VALUE"""),"COM-189 JUEGO DE LAPEADORES DE VALVULA - CET")</f>
        <v>COM-189 JUEGO DE LAPEADORES DE VALVULA - CET</v>
      </c>
      <c r="AB377" s="213"/>
      <c r="AC377" s="213"/>
      <c r="AD377" s="213"/>
      <c r="AE377" s="213"/>
      <c r="AF377" s="213"/>
      <c r="AG377" s="213"/>
      <c r="AH377" s="213"/>
      <c r="AI377" s="213"/>
      <c r="AJ377" s="213"/>
      <c r="AK377" s="213"/>
      <c r="AL377" s="213"/>
      <c r="AM377" s="213"/>
      <c r="AN377" s="213"/>
      <c r="AO377" s="213"/>
      <c r="AP377" s="213" t="str">
        <f>IFERROR(__xludf.DUMMYFUNCTION("""COMPUTED_VALUE"""),"LUIS")</f>
        <v>LUIS</v>
      </c>
      <c r="AQ377" s="213"/>
      <c r="AR377" s="213"/>
      <c r="AS377" s="213"/>
      <c r="AT377" s="213"/>
      <c r="AU377" s="213"/>
      <c r="AV377" s="213"/>
      <c r="AW377" s="213"/>
      <c r="AX377" s="213"/>
      <c r="AY377" s="213"/>
      <c r="AZ377" s="213"/>
      <c r="BA377" s="213"/>
      <c r="BB377" s="213"/>
      <c r="BC377" s="213"/>
      <c r="BD377" s="213"/>
    </row>
    <row r="378">
      <c r="A378" s="213">
        <f>IFERROR(__xludf.DUMMYFUNCTION("""COMPUTED_VALUE"""),1567.0)</f>
        <v>1567</v>
      </c>
      <c r="B378" s="213" t="str">
        <f>IFERROR(__xludf.DUMMYFUNCTION("""COMPUTED_VALUE"""),"GUILLERMO E. BILLINGHURST ")</f>
        <v>GUILLERMO E. BILLINGHURST </v>
      </c>
      <c r="C378" s="213" t="str">
        <f>IFERROR(__xludf.DUMMYFUNCTION("""COMPUTED_VALUE"""),"TALLER SFT DE MECÁNICA AUTOMOTRIZ")</f>
        <v>TALLER SFT DE MECÁNICA AUTOMOTRIZ</v>
      </c>
      <c r="D378" s="213" t="str">
        <f>IFERROR(__xludf.DUMMYFUNCTION("""COMPUTED_VALUE"""),"HERRAMIENTAS")</f>
        <v>HERRAMIENTAS</v>
      </c>
      <c r="E378" s="213" t="str">
        <f>IFERROR(__xludf.DUMMYFUNCTION("""COMPUTED_VALUE"""),"COM-189")</f>
        <v>COM-189</v>
      </c>
      <c r="F378" s="213" t="str">
        <f>IFERROR(__xludf.DUMMYFUNCTION("""COMPUTED_VALUE"""),"COM-189")</f>
        <v>COM-189</v>
      </c>
      <c r="G378" s="213"/>
      <c r="H378" s="213" t="str">
        <f>IFERROR(__xludf.DUMMYFUNCTION("""COMPUTED_VALUE"""),"JUEGO DE LAPEADORES DE VÁLVULA")</f>
        <v>JUEGO DE LAPEADORES DE VÁLVULA</v>
      </c>
      <c r="I378" s="213" t="str">
        <f>IFERROR(__xludf.DUMMYFUNCTION("""COMPUTED_VALUE"""),"Juego de herramientas para pulir y acentar las válvulas.
La herramienta se adhiere a la válvula, haciéndolo girar y desgastando el borde de la válvula en su propio asiento.
Compuesto por dos herramientas con dos caras a los extremos:
Una para pulir válvul"&amp;"as pequeñas, diámetros de copa de 5/8"" y 13/16"". Otra para pulir válvulas grandes, diámetros de copa de 1-1/8"" y 1-3/8"".")</f>
        <v>Juego de herramientas para pulir y acentar las válvulas.
La herramienta se adhiere a la válvula, haciéndolo girar y desgastando el borde de la válvula en su propio asiento.
Compuesto por dos herramientas con dos caras a los extremos:
Una para pulir válvulas pequeñas, diámetros de copa de 5/8" y 13/16". Otra para pulir válvulas grandes, diámetros de copa de 1-1/8" y 1-3/8".</v>
      </c>
      <c r="J378" s="213">
        <f>IFERROR(__xludf.DUMMYFUNCTION("""COMPUTED_VALUE"""),3.0)</f>
        <v>3</v>
      </c>
      <c r="K378" s="213" t="str">
        <f>IFERROR(__xludf.DUMMYFUNCTION("""COMPUTED_VALUE"""),"90 DÍAS CALENDARIO")</f>
        <v>90 DÍAS CALENDARIO</v>
      </c>
      <c r="L378" s="213" t="str">
        <f>IFERROR(__xludf.DUMMYFUNCTION("""COMPUTED_VALUE"""),"")</f>
        <v/>
      </c>
      <c r="M378" s="213">
        <f>IFERROR(__xludf.DUMMYFUNCTION("""COMPUTED_VALUE"""),1.0)</f>
        <v>1</v>
      </c>
      <c r="N378" s="213">
        <f>IFERROR(__xludf.DUMMYFUNCTION("""COMPUTED_VALUE"""),1.0)</f>
        <v>1</v>
      </c>
      <c r="O378" s="213">
        <f>IFERROR(__xludf.DUMMYFUNCTION("""COMPUTED_VALUE"""),1.0)</f>
        <v>1</v>
      </c>
      <c r="P378" s="213"/>
      <c r="Q378" s="213"/>
      <c r="R378" s="213" t="str">
        <f>IFERROR(__xludf.DUMMYFUNCTION("""COMPUTED_VALUE"""),"SI")</f>
        <v>SI</v>
      </c>
      <c r="S378" s="213"/>
      <c r="T378" s="213" t="str">
        <f>IFERROR(__xludf.DUMMYFUNCTION("""COMPUTED_VALUE"""),"SI")</f>
        <v>SI</v>
      </c>
      <c r="U378" s="213" t="str">
        <f>IFERROR(__xludf.DUMMYFUNCTION("""COMPUTED_VALUE"""),"SI")</f>
        <v>SI</v>
      </c>
      <c r="V378" s="213" t="str">
        <f>IFERROR(__xludf.DUMMYFUNCTION("""COMPUTED_VALUE"""),"-")</f>
        <v>-</v>
      </c>
      <c r="W378" s="213" t="str">
        <f>IFERROR(__xludf.DUMMYFUNCTION("""COMPUTED_VALUE"""),"-")</f>
        <v>-</v>
      </c>
      <c r="X378" s="213" t="str">
        <f>IFERROR(__xludf.DUMMYFUNCTION("""COMPUTED_VALUE"""),"TOPTUL")</f>
        <v>TOPTUL</v>
      </c>
      <c r="Y378" s="213" t="str">
        <f>IFERROR(__xludf.DUMMYFUNCTION("""COMPUTED_VALUE"""),"JGAR0201")</f>
        <v>JGAR0201</v>
      </c>
      <c r="Z378" s="215" t="str">
        <f>IFERROR(__xludf.DUMMYFUNCTION("""COMPUTED_VALUE"""),"https://www.pronellomaquinarias.com/product-page/asentador-manual-de-v%C3%A1lvulas-de-2-piezas")</f>
        <v>https://www.pronellomaquinarias.com/product-page/asentador-manual-de-v%C3%A1lvulas-de-2-piezas</v>
      </c>
      <c r="AA378" s="213" t="str">
        <f>IFERROR(__xludf.DUMMYFUNCTION("""COMPUTED_VALUE"""),"COM-189 JUEGO DE LAPEADORES DE VALVULA - CET")</f>
        <v>COM-189 JUEGO DE LAPEADORES DE VALVULA - CET</v>
      </c>
      <c r="AB378" s="213"/>
      <c r="AC378" s="213"/>
      <c r="AD378" s="213"/>
      <c r="AE378" s="213"/>
      <c r="AF378" s="213"/>
      <c r="AG378" s="213"/>
      <c r="AH378" s="213"/>
      <c r="AI378" s="213"/>
      <c r="AJ378" s="213"/>
      <c r="AK378" s="213"/>
      <c r="AL378" s="213"/>
      <c r="AM378" s="213"/>
      <c r="AN378" s="213"/>
      <c r="AO378" s="213"/>
      <c r="AP378" s="213" t="str">
        <f>IFERROR(__xludf.DUMMYFUNCTION("""COMPUTED_VALUE"""),"LUIS")</f>
        <v>LUIS</v>
      </c>
      <c r="AQ378" s="213"/>
      <c r="AR378" s="213"/>
      <c r="AS378" s="213"/>
      <c r="AT378" s="213"/>
      <c r="AU378" s="213"/>
      <c r="AV378" s="213"/>
      <c r="AW378" s="213"/>
      <c r="AX378" s="213"/>
      <c r="AY378" s="213"/>
      <c r="AZ378" s="213"/>
      <c r="BA378" s="213"/>
      <c r="BB378" s="213"/>
      <c r="BC378" s="213"/>
      <c r="BD378" s="213"/>
    </row>
    <row r="379">
      <c r="A379" s="213">
        <f>IFERROR(__xludf.DUMMYFUNCTION("""COMPUTED_VALUE"""),2259.0)</f>
        <v>2259</v>
      </c>
      <c r="B379" s="213" t="str">
        <f>IFERROR(__xludf.DUMMYFUNCTION("""COMPUTED_VALUE"""),"JOSE GRANDA")</f>
        <v>JOSE GRANDA</v>
      </c>
      <c r="C379" s="213" t="str">
        <f>IFERROR(__xludf.DUMMYFUNCTION("""COMPUTED_VALUE"""),"TALLER SFT DE MECÁNICA AUTOMOTRIZ")</f>
        <v>TALLER SFT DE MECÁNICA AUTOMOTRIZ</v>
      </c>
      <c r="D379" s="213" t="str">
        <f>IFERROR(__xludf.DUMMYFUNCTION("""COMPUTED_VALUE"""),"HERRAMIENTAS")</f>
        <v>HERRAMIENTAS</v>
      </c>
      <c r="E379" s="213" t="str">
        <f>IFERROR(__xludf.DUMMYFUNCTION("""COMPUTED_VALUE"""),"COM-189")</f>
        <v>COM-189</v>
      </c>
      <c r="F379" s="213" t="str">
        <f>IFERROR(__xludf.DUMMYFUNCTION("""COMPUTED_VALUE"""),"COM-189")</f>
        <v>COM-189</v>
      </c>
      <c r="G379" s="213"/>
      <c r="H379" s="213" t="str">
        <f>IFERROR(__xludf.DUMMYFUNCTION("""COMPUTED_VALUE"""),"JUEGO DE LAPEADORES DE VÁLVULA")</f>
        <v>JUEGO DE LAPEADORES DE VÁLVULA</v>
      </c>
      <c r="I379" s="213" t="str">
        <f>IFERROR(__xludf.DUMMYFUNCTION("""COMPUTED_VALUE"""),"Juego de herramientas para pulir y acentar las válvulas.
La herramienta se adhiere a la válvula, haciéndolo girar y desgastando el borde de la válvula en su propio asiento.
Compuesto por dos herramientas con dos caras a los extremos:
Una para pulir válvul"&amp;"as pequeñas, diámetros de copa de 5/8"" y 13/16"". Otra para pulir válvulas grandes, diámetros de copa de 1-1/8"" y 1-3/8"".")</f>
        <v>Juego de herramientas para pulir y acentar las válvulas.
La herramienta se adhiere a la válvula, haciéndolo girar y desgastando el borde de la válvula en su propio asiento.
Compuesto por dos herramientas con dos caras a los extremos:
Una para pulir válvulas pequeñas, diámetros de copa de 5/8" y 13/16". Otra para pulir válvulas grandes, diámetros de copa de 1-1/8" y 1-3/8".</v>
      </c>
      <c r="J379" s="213">
        <f>IFERROR(__xludf.DUMMYFUNCTION("""COMPUTED_VALUE"""),3.0)</f>
        <v>3</v>
      </c>
      <c r="K379" s="213" t="str">
        <f>IFERROR(__xludf.DUMMYFUNCTION("""COMPUTED_VALUE"""),"90 DÍAS CALENDARIO")</f>
        <v>90 DÍAS CALENDARIO</v>
      </c>
      <c r="L379" s="213" t="str">
        <f>IFERROR(__xludf.DUMMYFUNCTION("""COMPUTED_VALUE"""),"")</f>
        <v/>
      </c>
      <c r="M379" s="213">
        <f>IFERROR(__xludf.DUMMYFUNCTION("""COMPUTED_VALUE"""),1.0)</f>
        <v>1</v>
      </c>
      <c r="N379" s="213">
        <f>IFERROR(__xludf.DUMMYFUNCTION("""COMPUTED_VALUE"""),1.0)</f>
        <v>1</v>
      </c>
      <c r="O379" s="213">
        <f>IFERROR(__xludf.DUMMYFUNCTION("""COMPUTED_VALUE"""),1.0)</f>
        <v>1</v>
      </c>
      <c r="P379" s="213"/>
      <c r="Q379" s="213"/>
      <c r="R379" s="213" t="str">
        <f>IFERROR(__xludf.DUMMYFUNCTION("""COMPUTED_VALUE"""),"SI")</f>
        <v>SI</v>
      </c>
      <c r="S379" s="213"/>
      <c r="T379" s="213" t="str">
        <f>IFERROR(__xludf.DUMMYFUNCTION("""COMPUTED_VALUE"""),"SI")</f>
        <v>SI</v>
      </c>
      <c r="U379" s="213" t="str">
        <f>IFERROR(__xludf.DUMMYFUNCTION("""COMPUTED_VALUE"""),"SI")</f>
        <v>SI</v>
      </c>
      <c r="V379" s="213" t="str">
        <f>IFERROR(__xludf.DUMMYFUNCTION("""COMPUTED_VALUE"""),"-")</f>
        <v>-</v>
      </c>
      <c r="W379" s="213" t="str">
        <f>IFERROR(__xludf.DUMMYFUNCTION("""COMPUTED_VALUE"""),"-")</f>
        <v>-</v>
      </c>
      <c r="X379" s="213" t="str">
        <f>IFERROR(__xludf.DUMMYFUNCTION("""COMPUTED_VALUE"""),"TOPTUL")</f>
        <v>TOPTUL</v>
      </c>
      <c r="Y379" s="213" t="str">
        <f>IFERROR(__xludf.DUMMYFUNCTION("""COMPUTED_VALUE"""),"JGAR0201")</f>
        <v>JGAR0201</v>
      </c>
      <c r="Z379" s="215" t="str">
        <f>IFERROR(__xludf.DUMMYFUNCTION("""COMPUTED_VALUE"""),"https://www.pronellomaquinarias.com/product-page/asentador-manual-de-v%C3%A1lvulas-de-2-piezas")</f>
        <v>https://www.pronellomaquinarias.com/product-page/asentador-manual-de-v%C3%A1lvulas-de-2-piezas</v>
      </c>
      <c r="AA379" s="213" t="str">
        <f>IFERROR(__xludf.DUMMYFUNCTION("""COMPUTED_VALUE"""),"COM-189 JUEGO DE LAPEADORES DE VALVULA - CET")</f>
        <v>COM-189 JUEGO DE LAPEADORES DE VALVULA - CET</v>
      </c>
      <c r="AB379" s="213"/>
      <c r="AC379" s="213"/>
      <c r="AD379" s="213"/>
      <c r="AE379" s="213"/>
      <c r="AF379" s="213"/>
      <c r="AG379" s="213"/>
      <c r="AH379" s="213"/>
      <c r="AI379" s="213"/>
      <c r="AJ379" s="213"/>
      <c r="AK379" s="213"/>
      <c r="AL379" s="213"/>
      <c r="AM379" s="213"/>
      <c r="AN379" s="213"/>
      <c r="AO379" s="213"/>
      <c r="AP379" s="213" t="str">
        <f>IFERROR(__xludf.DUMMYFUNCTION("""COMPUTED_VALUE"""),"LUIS")</f>
        <v>LUIS</v>
      </c>
      <c r="AQ379" s="213"/>
      <c r="AR379" s="213"/>
      <c r="AS379" s="213"/>
      <c r="AT379" s="213"/>
      <c r="AU379" s="213"/>
      <c r="AV379" s="213"/>
      <c r="AW379" s="213"/>
      <c r="AX379" s="213"/>
      <c r="AY379" s="213"/>
      <c r="AZ379" s="213"/>
      <c r="BA379" s="213"/>
      <c r="BB379" s="213"/>
      <c r="BC379" s="213"/>
      <c r="BD379" s="213"/>
    </row>
    <row r="380">
      <c r="A380" s="213">
        <f>IFERROR(__xludf.DUMMYFUNCTION("""COMPUTED_VALUE"""),1810.0)</f>
        <v>1810</v>
      </c>
      <c r="B380" s="213" t="str">
        <f>IFERROR(__xludf.DUMMYFUNCTION("""COMPUTED_VALUE"""),"GUILLERMO E. BILLINGHURST ")</f>
        <v>GUILLERMO E. BILLINGHURST </v>
      </c>
      <c r="C380" s="213" t="str">
        <f>IFERROR(__xludf.DUMMYFUNCTION("""COMPUTED_VALUE"""),"TALLER SFT DE EBANISTERÍA")</f>
        <v>TALLER SFT DE EBANISTERÍA</v>
      </c>
      <c r="D380" s="213" t="str">
        <f>IFERROR(__xludf.DUMMYFUNCTION("""COMPUTED_VALUE"""),"HERRAMIENTAS")</f>
        <v>HERRAMIENTAS</v>
      </c>
      <c r="E380" s="213" t="str">
        <f>IFERROR(__xludf.DUMMYFUNCTION("""COMPUTED_VALUE"""),"COM-191")</f>
        <v>COM-191</v>
      </c>
      <c r="F380" s="213" t="str">
        <f>IFERROR(__xludf.DUMMYFUNCTION("""COMPUTED_VALUE"""),"COM-191")</f>
        <v>COM-191</v>
      </c>
      <c r="G380" s="213"/>
      <c r="H380" s="213" t="str">
        <f>IFERROR(__xludf.DUMMYFUNCTION("""COMPUTED_VALUE"""),"JUEGO DE MECHAS O FRESAS PARA RUTEADORA CNC")</f>
        <v>JUEGO DE MECHAS O FRESAS PARA RUTEADORA CNC</v>
      </c>
      <c r="I380" s="213" t="str">
        <f>IFERROR(__xludf.DUMMYFUNCTION("""COMPUTED_VALUE"""),"Material HSS reforzado. El juego contiene:
02 Fresas de grabado 02 Fresas conicas
02 fresas de desbaste 02 fresas de un filo
02 fresasde 2 filos
02 fresas punta esferica")</f>
        <v>Material HSS reforzado. El juego contiene:
02 Fresas de grabado 02 Fresas conicas
02 fresas de desbaste 02 fresas de un filo
02 fresasde 2 filos
02 fresas punta esferica</v>
      </c>
      <c r="J380" s="213">
        <f>IFERROR(__xludf.DUMMYFUNCTION("""COMPUTED_VALUE"""),3.0)</f>
        <v>3</v>
      </c>
      <c r="K380" s="213" t="str">
        <f>IFERROR(__xludf.DUMMYFUNCTION("""COMPUTED_VALUE"""),"90 DÍAS CALENDARIO")</f>
        <v>90 DÍAS CALENDARIO</v>
      </c>
      <c r="L380" s="213" t="str">
        <f>IFERROR(__xludf.DUMMYFUNCTION("""COMPUTED_VALUE"""),"")</f>
        <v/>
      </c>
      <c r="M380" s="213">
        <f>IFERROR(__xludf.DUMMYFUNCTION("""COMPUTED_VALUE"""),1.0)</f>
        <v>1</v>
      </c>
      <c r="N380" s="213">
        <f>IFERROR(__xludf.DUMMYFUNCTION("""COMPUTED_VALUE"""),1.0)</f>
        <v>1</v>
      </c>
      <c r="O380" s="213">
        <f>IFERROR(__xludf.DUMMYFUNCTION("""COMPUTED_VALUE"""),1.0)</f>
        <v>1</v>
      </c>
      <c r="P380" s="213"/>
      <c r="Q380" s="213"/>
      <c r="R380" s="213"/>
      <c r="S380" s="213"/>
      <c r="T380" s="213" t="str">
        <f>IFERROR(__xludf.DUMMYFUNCTION("""COMPUTED_VALUE"""),"CONSULTA FINAL")</f>
        <v>CONSULTA FINAL</v>
      </c>
      <c r="U380" s="213" t="str">
        <f>IFERROR(__xludf.DUMMYFUNCTION("""COMPUTED_VALUE"""),"NO")</f>
        <v>NO</v>
      </c>
      <c r="V380" s="213" t="str">
        <f>IFERROR(__xludf.DUMMYFUNCTION("""COMPUTED_VALUE"""),"SUSTENTO")</f>
        <v>SUSTENTO</v>
      </c>
      <c r="W380" s="213" t="str">
        <f>IFERROR(__xludf.DUMMYFUNCTION("""COMPUTED_VALUE"""),"EQU TEC")</f>
        <v>EQU TEC</v>
      </c>
      <c r="X380" s="213" t="str">
        <f>IFERROR(__xludf.DUMMYFUNCTION("""COMPUTED_VALUE"""),"SPTA")</f>
        <v>SPTA</v>
      </c>
      <c r="Y380" s="213" t="str">
        <f>IFERROR(__xludf.DUMMYFUNCTION("""COMPUTED_VALUE"""),"        ‎QA0384-FBA")</f>
        <v>        ‎QA0384-FBA</v>
      </c>
      <c r="Z380" s="215" t="str">
        <f>IFERROR(__xludf.DUMMYFUNCTION("""COMPUTED_VALUE"""),"https://www.amazon.com/SPTA-Carbide-Engraving-Woodworking-Drilling/dp/B013P10ES8")</f>
        <v>https://www.amazon.com/SPTA-Carbide-Engraving-Woodworking-Drilling/dp/B013P10ES8</v>
      </c>
      <c r="AA380" s="213" t="str">
        <f>IFERROR(__xludf.DUMMYFUNCTION("""COMPUTED_VALUE"""),"COM-191 JUEGO DE MECHAS O FRESAS PARA RUTEADORA CNC - CET")</f>
        <v>COM-191 JUEGO DE MECHAS O FRESAS PARA RUTEADORA CNC - CET</v>
      </c>
      <c r="AB380" s="213"/>
      <c r="AC380" s="213"/>
      <c r="AD380" s="213"/>
      <c r="AE380" s="213"/>
      <c r="AF380" s="213"/>
      <c r="AG380" s="213"/>
      <c r="AH380" s="213"/>
      <c r="AI380" s="213"/>
      <c r="AJ380" s="213"/>
      <c r="AK380" s="213"/>
      <c r="AL380" s="213"/>
      <c r="AM380" s="213"/>
      <c r="AN380" s="213"/>
      <c r="AO380" s="213"/>
      <c r="AP380" s="213" t="str">
        <f>IFERROR(__xludf.DUMMYFUNCTION("""COMPUTED_VALUE"""),"SEBASTIAN")</f>
        <v>SEBASTIAN</v>
      </c>
      <c r="AQ380" s="213"/>
      <c r="AR380" s="213"/>
      <c r="AS380" s="213" t="str">
        <f>IFERROR(__xludf.DUMMYFUNCTION("""COMPUTED_VALUE"""),"Se recomienda cambiar la EETT o buscar las que sí cumplen.")</f>
        <v>Se recomienda cambiar la EETT o buscar las que sí cumplen.</v>
      </c>
      <c r="AT380" s="213"/>
      <c r="AU380" s="213"/>
      <c r="AV380" s="213"/>
      <c r="AW380" s="213"/>
      <c r="AX380" s="213"/>
      <c r="AY380" s="213"/>
      <c r="AZ380" s="213"/>
      <c r="BA380" s="213"/>
      <c r="BB380" s="213"/>
      <c r="BC380" s="213"/>
      <c r="BD380" s="213"/>
    </row>
    <row r="381">
      <c r="A381" s="213">
        <f>IFERROR(__xludf.DUMMYFUNCTION("""COMPUTED_VALUE"""),2592.0)</f>
        <v>2592</v>
      </c>
      <c r="B381" s="213" t="str">
        <f>IFERROR(__xludf.DUMMYFUNCTION("""COMPUTED_VALUE"""),"MANUEL ANTONIO MESONES MURO")</f>
        <v>MANUEL ANTONIO MESONES MURO</v>
      </c>
      <c r="C381" s="213" t="str">
        <f>IFERROR(__xludf.DUMMYFUNCTION("""COMPUTED_VALUE"""),"TALLER SFT DE EBANISTERÍA")</f>
        <v>TALLER SFT DE EBANISTERÍA</v>
      </c>
      <c r="D381" s="213" t="str">
        <f>IFERROR(__xludf.DUMMYFUNCTION("""COMPUTED_VALUE"""),"HERRAMIENTAS")</f>
        <v>HERRAMIENTAS</v>
      </c>
      <c r="E381" s="213" t="str">
        <f>IFERROR(__xludf.DUMMYFUNCTION("""COMPUTED_VALUE"""),"COM-191")</f>
        <v>COM-191</v>
      </c>
      <c r="F381" s="213" t="str">
        <f>IFERROR(__xludf.DUMMYFUNCTION("""COMPUTED_VALUE"""),"COM-191")</f>
        <v>COM-191</v>
      </c>
      <c r="G381" s="213"/>
      <c r="H381" s="213" t="str">
        <f>IFERROR(__xludf.DUMMYFUNCTION("""COMPUTED_VALUE"""),"JUEGO DE MECHAS O FRESAS PARA RUTEADORA CNC")</f>
        <v>JUEGO DE MECHAS O FRESAS PARA RUTEADORA CNC</v>
      </c>
      <c r="I381" s="213" t="str">
        <f>IFERROR(__xludf.DUMMYFUNCTION("""COMPUTED_VALUE"""),"Material HSS reforzado. El juego contiene:
02 Fresas de grabado 02 Fresas conicas
02 fresas de desbaste 02 fresas de un filo
02 fresasde 2 filos
02 fresas punta esferica")</f>
        <v>Material HSS reforzado. El juego contiene:
02 Fresas de grabado 02 Fresas conicas
02 fresas de desbaste 02 fresas de un filo
02 fresasde 2 filos
02 fresas punta esferica</v>
      </c>
      <c r="J381" s="213">
        <f>IFERROR(__xludf.DUMMYFUNCTION("""COMPUTED_VALUE"""),3.0)</f>
        <v>3</v>
      </c>
      <c r="K381" s="213" t="str">
        <f>IFERROR(__xludf.DUMMYFUNCTION("""COMPUTED_VALUE"""),"90 DÍAS CALENDARIO")</f>
        <v>90 DÍAS CALENDARIO</v>
      </c>
      <c r="L381" s="213" t="str">
        <f>IFERROR(__xludf.DUMMYFUNCTION("""COMPUTED_VALUE"""),"")</f>
        <v/>
      </c>
      <c r="M381" s="213">
        <f>IFERROR(__xludf.DUMMYFUNCTION("""COMPUTED_VALUE"""),1.0)</f>
        <v>1</v>
      </c>
      <c r="N381" s="213">
        <f>IFERROR(__xludf.DUMMYFUNCTION("""COMPUTED_VALUE"""),1.0)</f>
        <v>1</v>
      </c>
      <c r="O381" s="213">
        <f>IFERROR(__xludf.DUMMYFUNCTION("""COMPUTED_VALUE"""),1.0)</f>
        <v>1</v>
      </c>
      <c r="P381" s="213"/>
      <c r="Q381" s="213"/>
      <c r="R381" s="213"/>
      <c r="S381" s="213"/>
      <c r="T381" s="213" t="str">
        <f>IFERROR(__xludf.DUMMYFUNCTION("""COMPUTED_VALUE"""),"CONSULTA FINAL")</f>
        <v>CONSULTA FINAL</v>
      </c>
      <c r="U381" s="213" t="str">
        <f>IFERROR(__xludf.DUMMYFUNCTION("""COMPUTED_VALUE"""),"NO")</f>
        <v>NO</v>
      </c>
      <c r="V381" s="213" t="str">
        <f>IFERROR(__xludf.DUMMYFUNCTION("""COMPUTED_VALUE"""),"SUSTENTO")</f>
        <v>SUSTENTO</v>
      </c>
      <c r="W381" s="213" t="str">
        <f>IFERROR(__xludf.DUMMYFUNCTION("""COMPUTED_VALUE"""),"EQU TEC")</f>
        <v>EQU TEC</v>
      </c>
      <c r="X381" s="213" t="str">
        <f>IFERROR(__xludf.DUMMYFUNCTION("""COMPUTED_VALUE"""),"SPTA")</f>
        <v>SPTA</v>
      </c>
      <c r="Y381" s="213" t="str">
        <f>IFERROR(__xludf.DUMMYFUNCTION("""COMPUTED_VALUE"""),"        ‎QA0384-FBA")</f>
        <v>        ‎QA0384-FBA</v>
      </c>
      <c r="Z381" s="215" t="str">
        <f>IFERROR(__xludf.DUMMYFUNCTION("""COMPUTED_VALUE"""),"https://www.amazon.com/SPTA-Carbide-Engraving-Woodworking-Drilling/dp/B013P10ES8")</f>
        <v>https://www.amazon.com/SPTA-Carbide-Engraving-Woodworking-Drilling/dp/B013P10ES8</v>
      </c>
      <c r="AA381" s="213" t="str">
        <f>IFERROR(__xludf.DUMMYFUNCTION("""COMPUTED_VALUE"""),"COM-191 JUEGO DE MECHAS O FRESAS PARA RUTEADORA CNC - CET")</f>
        <v>COM-191 JUEGO DE MECHAS O FRESAS PARA RUTEADORA CNC - CET</v>
      </c>
      <c r="AB381" s="213"/>
      <c r="AC381" s="213"/>
      <c r="AD381" s="213"/>
      <c r="AE381" s="213"/>
      <c r="AF381" s="213"/>
      <c r="AG381" s="213"/>
      <c r="AH381" s="213"/>
      <c r="AI381" s="213"/>
      <c r="AJ381" s="213"/>
      <c r="AK381" s="213"/>
      <c r="AL381" s="213"/>
      <c r="AM381" s="213"/>
      <c r="AN381" s="213"/>
      <c r="AO381" s="213"/>
      <c r="AP381" s="213" t="str">
        <f>IFERROR(__xludf.DUMMYFUNCTION("""COMPUTED_VALUE"""),"SEBASTIAN")</f>
        <v>SEBASTIAN</v>
      </c>
      <c r="AQ381" s="213"/>
      <c r="AR381" s="213"/>
      <c r="AS381" s="213" t="str">
        <f>IFERROR(__xludf.DUMMYFUNCTION("""COMPUTED_VALUE"""),"Se recomienda cambiar la EETT o buscar las que sí cumplen.")</f>
        <v>Se recomienda cambiar la EETT o buscar las que sí cumplen.</v>
      </c>
      <c r="AT381" s="213"/>
      <c r="AU381" s="213"/>
      <c r="AV381" s="213"/>
      <c r="AW381" s="213"/>
      <c r="AX381" s="213"/>
      <c r="AY381" s="213"/>
      <c r="AZ381" s="213"/>
      <c r="BA381" s="213"/>
      <c r="BB381" s="213"/>
      <c r="BC381" s="213"/>
      <c r="BD381" s="213"/>
    </row>
    <row r="382">
      <c r="A382" s="213">
        <f>IFERROR(__xludf.DUMMYFUNCTION("""COMPUTED_VALUE"""),1868.0)</f>
        <v>1868</v>
      </c>
      <c r="B382" s="213" t="str">
        <f>IFERROR(__xludf.DUMMYFUNCTION("""COMPUTED_VALUE"""),"GUILLERMO E. BILLINGHURST ")</f>
        <v>GUILLERMO E. BILLINGHURST </v>
      </c>
      <c r="C382" s="213" t="str">
        <f>IFERROR(__xludf.DUMMYFUNCTION("""COMPUTED_VALUE"""),"TALLER SFT DE EBANISTERÍA")</f>
        <v>TALLER SFT DE EBANISTERÍA</v>
      </c>
      <c r="D382" s="213" t="str">
        <f>IFERROR(__xludf.DUMMYFUNCTION("""COMPUTED_VALUE"""),"EQUIPOS")</f>
        <v>EQUIPOS</v>
      </c>
      <c r="E382" s="213" t="str">
        <f>IFERROR(__xludf.DUMMYFUNCTION("""COMPUTED_VALUE"""),"ESP-128")</f>
        <v>ESP-128</v>
      </c>
      <c r="F382" s="213" t="str">
        <f>IFERROR(__xludf.DUMMYFUNCTION("""COMPUTED_VALUE"""),"ESP-128")</f>
        <v>ESP-128</v>
      </c>
      <c r="G382" s="213"/>
      <c r="H382" s="213" t="str">
        <f>IFERROR(__xludf.DUMMYFUNCTION("""COMPUTED_VALUE"""),"COMPRENSORA DE AIRE DE 50 LITROS")</f>
        <v>COMPRENSORA DE AIRE DE 50 LITROS</v>
      </c>
      <c r="I382" s="213" t="str">
        <f>IFERROR(__xludf.DUMMYFUNCTION("""COMPUTED_VALUE"""),"· Compresor de pistón, robusto, compacto y potente.
· Cilindro de fundición.
· Lubricado interiormente.
· Posee filtro de agua y aceite.
· Aire aspirado: mínimo 330 L/min.
· Presión de operación: mínimo 130 PSI (9 bar).
· Capacidad del tanque de aire comp"&amp;"rimido: 50 Litros.
· Cantidad de cilindros: 2.
· Rosca de conexión (válvula de servicio): 1/2"".
· Potencia instalada del motor: mínimo 3 HP.
· Voltaje, frecuencia: 220 V, 60 Hz.
· Medidas aproximadas (+-3cm)  L55 cm x A25 cm x H60 cm Incluye:Mangueras, i"&amp;"nstrumentos y válvulas de control.")</f>
        <v>· Compresor de pistón, robusto, compacto y potente.
· Cilindro de fundición.
· Lubricado interiormente.
· Posee filtro de agua y aceite.
· Aire aspirado: mínimo 330 L/min.
· Presión de operación: mínimo 130 PSI (9 bar).
· Capacidad del tanque de aire comprimido: 50 Litros.
· Cantidad de cilindros: 2.
· Rosca de conexión (válvula de servicio): 1/2".
· Potencia instalada del motor: mínimo 3 HP.
· Voltaje, frecuencia: 220 V, 60 Hz.
· Medidas aproximadas (+-3cm)  L55 cm x A25 cm x H60 cm Incluye:Mangueras, instrumentos y válvulas de control.</v>
      </c>
      <c r="J382" s="213">
        <f>IFERROR(__xludf.DUMMYFUNCTION("""COMPUTED_VALUE"""),3.0)</f>
        <v>3</v>
      </c>
      <c r="K382" s="213" t="str">
        <f>IFERROR(__xludf.DUMMYFUNCTION("""COMPUTED_VALUE"""),"170 DÍAS CALENDARIO")</f>
        <v>170 DÍAS CALENDARIO</v>
      </c>
      <c r="L382" s="213" t="str">
        <f>IFERROR(__xludf.DUMMYFUNCTION("""COMPUTED_VALUE"""),"")</f>
        <v/>
      </c>
      <c r="M382" s="213">
        <f>IFERROR(__xludf.DUMMYFUNCTION("""COMPUTED_VALUE"""),1.0)</f>
        <v>1</v>
      </c>
      <c r="N382" s="213">
        <f>IFERROR(__xludf.DUMMYFUNCTION("""COMPUTED_VALUE"""),1.0)</f>
        <v>1</v>
      </c>
      <c r="O382" s="213">
        <f>IFERROR(__xludf.DUMMYFUNCTION("""COMPUTED_VALUE"""),1.0)</f>
        <v>1</v>
      </c>
      <c r="P382" s="213"/>
      <c r="Q382" s="213"/>
      <c r="R382" s="213"/>
      <c r="S382" s="213" t="str">
        <f>IFERROR(__xludf.DUMMYFUNCTION("""COMPUTED_VALUE"""),"SI")</f>
        <v>SI</v>
      </c>
      <c r="T382" s="213" t="str">
        <f>IFERROR(__xludf.DUMMYFUNCTION("""COMPUTED_VALUE"""),"SI")</f>
        <v>SI</v>
      </c>
      <c r="U382" s="213" t="str">
        <f>IFERROR(__xludf.DUMMYFUNCTION("""COMPUTED_VALUE"""),"NO")</f>
        <v>NO</v>
      </c>
      <c r="V382" s="213" t="str">
        <f>IFERROR(__xludf.DUMMYFUNCTION("""COMPUTED_VALUE"""),"SUSTENTO")</f>
        <v>SUSTENTO</v>
      </c>
      <c r="W382" s="213" t="str">
        <f>IFERROR(__xludf.DUMMYFUNCTION("""COMPUTED_VALUE"""),"DIMENSIONAL, ELÉCTRICO")</f>
        <v>DIMENSIONAL, ELÉCTRICO</v>
      </c>
      <c r="X382" s="213" t="str">
        <f>IFERROR(__xludf.DUMMYFUNCTION("""COMPUTED_VALUE"""),"GOODYEAR")</f>
        <v>GOODYEAR</v>
      </c>
      <c r="Y382" s="213" t="str">
        <f>IFERROR(__xludf.DUMMYFUNCTION("""COMPUTED_VALUE"""),"GY 351D")</f>
        <v>GY 351D</v>
      </c>
      <c r="Z382" s="215" t="str">
        <f>IFERROR(__xludf.DUMMYFUNCTION("""COMPUTED_VALUE"""),"https://www.leroymerlin.es/productos/compresor-goodyear-gy351d-3hp-50l-86538711.html")</f>
        <v>https://www.leroymerlin.es/productos/compresor-goodyear-gy351d-3hp-50l-86538711.html</v>
      </c>
      <c r="AA382" s="213" t="str">
        <f>IFERROR(__xludf.DUMMYFUNCTION("""COMPUTED_VALUE"""),"ESP-128 COMPRENSORA DE AIRE DE 50 LITROS - CET")</f>
        <v>ESP-128 COMPRENSORA DE AIRE DE 50 LITROS - CET</v>
      </c>
      <c r="AB382" s="215" t="str">
        <f>IFERROR(__xludf.DUMMYFUNCTION("""COMPUTED_VALUE"""),"https://drive.google.com/file/d/1zfXiymZCi2T8lKACuvPPGf3M3FBJcK-J/view?usp=sharing")</f>
        <v>https://drive.google.com/file/d/1zfXiymZCi2T8lKACuvPPGf3M3FBJcK-J/view?usp=sharing</v>
      </c>
      <c r="AC382" s="213"/>
      <c r="AD382" s="213"/>
      <c r="AE382" s="213"/>
      <c r="AF382" s="213"/>
      <c r="AG382" s="213"/>
      <c r="AH382" s="213"/>
      <c r="AI382" s="213"/>
      <c r="AJ382" s="213"/>
      <c r="AK382" s="213"/>
      <c r="AL382" s="213"/>
      <c r="AM382" s="213"/>
      <c r="AN382" s="213"/>
      <c r="AO382" s="213"/>
      <c r="AP382" s="213" t="str">
        <f>IFERROR(__xludf.DUMMYFUNCTION("""COMPUTED_VALUE"""),"MICHEL")</f>
        <v>MICHEL</v>
      </c>
      <c r="AQ382" s="213"/>
      <c r="AR382" s="213"/>
      <c r="AS382" s="213" t="str">
        <f>IFERROR(__xludf.DUMMYFUNCTION("""COMPUTED_VALUE"""),"Filtro y Regulador de Aire 1/4"" NPT Truper 19238
Kit Accesorios Compresor Aire 1/4 14 Pzas TC2029 Toolcraft")</f>
        <v>Filtro y Regulador de Aire 1/4" NPT Truper 19238
Kit Accesorios Compresor Aire 1/4 14 Pzas TC2029 Toolcraft</v>
      </c>
      <c r="AT382" s="217" t="str">
        <f>IFERROR(__xludf.DUMMYFUNCTION("""COMPUTED_VALUE"""),"https://cahema.pe/filtro/16133-filtro-y-regulador-de-aire-14-npt-truper-19238-7501206628607.html
https://cahema.pe/juego-de-accesorios/8237-kit-accesorios-compresor-aire-14-14-pzas-tc2029-toolcraft-7501892804026.html")</f>
        <v>https://cahema.pe/filtro/16133-filtro-y-regulador-de-aire-14-npt-truper-19238-7501206628607.html
https://cahema.pe/juego-de-accesorios/8237-kit-accesorios-compresor-aire-14-14-pzas-tc2029-toolcraft-7501892804026.html</v>
      </c>
      <c r="AU382" s="213"/>
      <c r="AV382" s="213"/>
      <c r="AW382" s="213"/>
      <c r="AX382" s="213"/>
      <c r="AY382" s="213"/>
      <c r="AZ382" s="213"/>
      <c r="BA382" s="213"/>
      <c r="BB382" s="213"/>
      <c r="BC382" s="213"/>
      <c r="BD382" s="213"/>
    </row>
    <row r="383">
      <c r="A383" s="213">
        <f>IFERROR(__xludf.DUMMYFUNCTION("""COMPUTED_VALUE"""),2649.0)</f>
        <v>2649</v>
      </c>
      <c r="B383" s="213" t="str">
        <f>IFERROR(__xludf.DUMMYFUNCTION("""COMPUTED_VALUE"""),"MANUEL ANTONIO MESONES MURO")</f>
        <v>MANUEL ANTONIO MESONES MURO</v>
      </c>
      <c r="C383" s="213" t="str">
        <f>IFERROR(__xludf.DUMMYFUNCTION("""COMPUTED_VALUE"""),"TALLER SFT DE EBANISTERÍA")</f>
        <v>TALLER SFT DE EBANISTERÍA</v>
      </c>
      <c r="D383" s="213" t="str">
        <f>IFERROR(__xludf.DUMMYFUNCTION("""COMPUTED_VALUE"""),"EQUIPOS")</f>
        <v>EQUIPOS</v>
      </c>
      <c r="E383" s="213" t="str">
        <f>IFERROR(__xludf.DUMMYFUNCTION("""COMPUTED_VALUE"""),"ESP-128")</f>
        <v>ESP-128</v>
      </c>
      <c r="F383" s="213" t="str">
        <f>IFERROR(__xludf.DUMMYFUNCTION("""COMPUTED_VALUE"""),"ESP-128")</f>
        <v>ESP-128</v>
      </c>
      <c r="G383" s="213"/>
      <c r="H383" s="213" t="str">
        <f>IFERROR(__xludf.DUMMYFUNCTION("""COMPUTED_VALUE"""),"COMPRENSORA DE AIRE DE 50 LITROS")</f>
        <v>COMPRENSORA DE AIRE DE 50 LITROS</v>
      </c>
      <c r="I383" s="213" t="str">
        <f>IFERROR(__xludf.DUMMYFUNCTION("""COMPUTED_VALUE"""),"· Compresor de pistón, robusto, compacto y potente.
· Cilindro de fundición.
· Lubricado interiormente.
· Posee filtro de agua y aceite.
· Aire aspirado: mínimo 330 L/min.
· Presión de operación: mínimo 130 PSI (9 bar).
· Capacidad del tanque de aire comp"&amp;"rimido: 50 Litros.
· Cantidad de cilindros: 2.
· Rosca de conexión (válvula de servicio): 1/2"".
· Potencia instalada del motor: mínimo 3 HP.
· Voltaje, frecuencia: 220 V, 60 Hz.
· Medidas aproximadas (+-3cm)  L55 cm x A25 cm x H60 cm Incluye:Mangueras, i"&amp;"nstrumentos y válvulas de control.")</f>
        <v>· Compresor de pistón, robusto, compacto y potente.
· Cilindro de fundición.
· Lubricado interiormente.
· Posee filtro de agua y aceite.
· Aire aspirado: mínimo 330 L/min.
· Presión de operación: mínimo 130 PSI (9 bar).
· Capacidad del tanque de aire comprimido: 50 Litros.
· Cantidad de cilindros: 2.
· Rosca de conexión (válvula de servicio): 1/2".
· Potencia instalada del motor: mínimo 3 HP.
· Voltaje, frecuencia: 220 V, 60 Hz.
· Medidas aproximadas (+-3cm)  L55 cm x A25 cm x H60 cm Incluye:Mangueras, instrumentos y válvulas de control.</v>
      </c>
      <c r="J383" s="213">
        <f>IFERROR(__xludf.DUMMYFUNCTION("""COMPUTED_VALUE"""),3.0)</f>
        <v>3</v>
      </c>
      <c r="K383" s="213" t="str">
        <f>IFERROR(__xludf.DUMMYFUNCTION("""COMPUTED_VALUE"""),"170 DÍAS CALENDARIO")</f>
        <v>170 DÍAS CALENDARIO</v>
      </c>
      <c r="L383" s="213" t="str">
        <f>IFERROR(__xludf.DUMMYFUNCTION("""COMPUTED_VALUE"""),"")</f>
        <v/>
      </c>
      <c r="M383" s="213">
        <f>IFERROR(__xludf.DUMMYFUNCTION("""COMPUTED_VALUE"""),1.0)</f>
        <v>1</v>
      </c>
      <c r="N383" s="213">
        <f>IFERROR(__xludf.DUMMYFUNCTION("""COMPUTED_VALUE"""),1.0)</f>
        <v>1</v>
      </c>
      <c r="O383" s="213">
        <f>IFERROR(__xludf.DUMMYFUNCTION("""COMPUTED_VALUE"""),1.0)</f>
        <v>1</v>
      </c>
      <c r="P383" s="213"/>
      <c r="Q383" s="213"/>
      <c r="R383" s="213"/>
      <c r="S383" s="213" t="str">
        <f>IFERROR(__xludf.DUMMYFUNCTION("""COMPUTED_VALUE"""),"SI")</f>
        <v>SI</v>
      </c>
      <c r="T383" s="213" t="str">
        <f>IFERROR(__xludf.DUMMYFUNCTION("""COMPUTED_VALUE"""),"SI")</f>
        <v>SI</v>
      </c>
      <c r="U383" s="213" t="str">
        <f>IFERROR(__xludf.DUMMYFUNCTION("""COMPUTED_VALUE"""),"NO")</f>
        <v>NO</v>
      </c>
      <c r="V383" s="213" t="str">
        <f>IFERROR(__xludf.DUMMYFUNCTION("""COMPUTED_VALUE"""),"SUSTENTO")</f>
        <v>SUSTENTO</v>
      </c>
      <c r="W383" s="213" t="str">
        <f>IFERROR(__xludf.DUMMYFUNCTION("""COMPUTED_VALUE"""),"DIMENSIONAL, ELÉCTRICO")</f>
        <v>DIMENSIONAL, ELÉCTRICO</v>
      </c>
      <c r="X383" s="213" t="str">
        <f>IFERROR(__xludf.DUMMYFUNCTION("""COMPUTED_VALUE"""),"GOODYEAR")</f>
        <v>GOODYEAR</v>
      </c>
      <c r="Y383" s="213" t="str">
        <f>IFERROR(__xludf.DUMMYFUNCTION("""COMPUTED_VALUE"""),"GY 351D")</f>
        <v>GY 351D</v>
      </c>
      <c r="Z383" s="215" t="str">
        <f>IFERROR(__xludf.DUMMYFUNCTION("""COMPUTED_VALUE"""),"https://www.leroymerlin.es/productos/compresor-goodyear-gy351d-3hp-50l-86538711.html")</f>
        <v>https://www.leroymerlin.es/productos/compresor-goodyear-gy351d-3hp-50l-86538711.html</v>
      </c>
      <c r="AA383" s="213" t="str">
        <f>IFERROR(__xludf.DUMMYFUNCTION("""COMPUTED_VALUE"""),"ESP-128 COMPRENSORA DE AIRE DE 50 LITROS - CET")</f>
        <v>ESP-128 COMPRENSORA DE AIRE DE 50 LITROS - CET</v>
      </c>
      <c r="AB383" s="215" t="str">
        <f>IFERROR(__xludf.DUMMYFUNCTION("""COMPUTED_VALUE"""),"https://drive.google.com/file/d/1zfXiymZCi2T8lKACuvPPGf3M3FBJcK-J/view?usp=sharing")</f>
        <v>https://drive.google.com/file/d/1zfXiymZCi2T8lKACuvPPGf3M3FBJcK-J/view?usp=sharing</v>
      </c>
      <c r="AC383" s="213"/>
      <c r="AD383" s="213"/>
      <c r="AE383" s="213"/>
      <c r="AF383" s="213"/>
      <c r="AG383" s="213"/>
      <c r="AH383" s="213"/>
      <c r="AI383" s="213"/>
      <c r="AJ383" s="213"/>
      <c r="AK383" s="213"/>
      <c r="AL383" s="213"/>
      <c r="AM383" s="213"/>
      <c r="AN383" s="213"/>
      <c r="AO383" s="213"/>
      <c r="AP383" s="213" t="str">
        <f>IFERROR(__xludf.DUMMYFUNCTION("""COMPUTED_VALUE"""),"MICHEL")</f>
        <v>MICHEL</v>
      </c>
      <c r="AQ383" s="213"/>
      <c r="AR383" s="213"/>
      <c r="AS383" s="213" t="str">
        <f>IFERROR(__xludf.DUMMYFUNCTION("""COMPUTED_VALUE"""),"Filtro y Regulador de Aire 1/4"" NPT Truper 19238
Kit Accesorios Compresor Aire 1/4 14 Pzas TC2029 Toolcraft")</f>
        <v>Filtro y Regulador de Aire 1/4" NPT Truper 19238
Kit Accesorios Compresor Aire 1/4 14 Pzas TC2029 Toolcraft</v>
      </c>
      <c r="AT383" s="217" t="str">
        <f>IFERROR(__xludf.DUMMYFUNCTION("""COMPUTED_VALUE"""),"https://cahema.pe/filtro/16133-filtro-y-regulador-de-aire-14-npt-truper-19238-7501206628607.html
https://cahema.pe/juego-de-accesorios/8237-kit-accesorios-compresor-aire-14-14-pzas-tc2029-toolcraft-7501892804026.html")</f>
        <v>https://cahema.pe/filtro/16133-filtro-y-regulador-de-aire-14-npt-truper-19238-7501206628607.html
https://cahema.pe/juego-de-accesorios/8237-kit-accesorios-compresor-aire-14-14-pzas-tc2029-toolcraft-7501892804026.html</v>
      </c>
      <c r="AU383" s="213"/>
      <c r="AV383" s="213"/>
      <c r="AW383" s="213"/>
      <c r="AX383" s="213"/>
      <c r="AY383" s="213"/>
      <c r="AZ383" s="213"/>
      <c r="BA383" s="213"/>
      <c r="BB383" s="213"/>
      <c r="BC383" s="213"/>
      <c r="BD383" s="213"/>
    </row>
    <row r="384">
      <c r="A384" s="213">
        <f>IFERROR(__xludf.DUMMYFUNCTION("""COMPUTED_VALUE"""),965.0)</f>
        <v>965</v>
      </c>
      <c r="B384" s="213" t="str">
        <f>IFERROR(__xludf.DUMMYFUNCTION("""COMPUTED_VALUE"""),"FRANCISCO IRAZOLA")</f>
        <v>FRANCISCO IRAZOLA</v>
      </c>
      <c r="C384" s="213" t="str">
        <f>IFERROR(__xludf.DUMMYFUNCTION("""COMPUTED_VALUE"""),"TALLER SFT DE MECÁNICA AUTOMOTRIZ")</f>
        <v>TALLER SFT DE MECÁNICA AUTOMOTRIZ</v>
      </c>
      <c r="D384" s="213" t="str">
        <f>IFERROR(__xludf.DUMMYFUNCTION("""COMPUTED_VALUE"""),"HERRAMIENTAS")</f>
        <v>HERRAMIENTAS</v>
      </c>
      <c r="E384" s="213" t="str">
        <f>IFERROR(__xludf.DUMMYFUNCTION("""COMPUTED_VALUE"""),"COM-192")</f>
        <v>COM-192</v>
      </c>
      <c r="F384" s="213" t="str">
        <f>IFERROR(__xludf.DUMMYFUNCTION("""COMPUTED_VALUE"""),"COM-192")</f>
        <v>COM-192</v>
      </c>
      <c r="G384" s="213"/>
      <c r="H384" s="213" t="str">
        <f>IFERROR(__xludf.DUMMYFUNCTION("""COMPUTED_VALUE"""),"JUEGO DE MICRÓMETRO DE INTERIORES")</f>
        <v>JUEGO DE MICRÓMETRO DE INTERIORES</v>
      </c>
      <c r="I384" s="213" t="str">
        <f>IFERROR(__xludf.DUMMYFUNCTION("""COMPUTED_VALUE"""),"Juego de mínimo 7 micrómetros. Lectura 0.01 mm
Puntos de contacto de metal. Intervalo mínimo de: 50 a 300mm.
Incluir anillos de ajuste de diferentes medidas. Con estuche para su guardado y conservación.")</f>
        <v>Juego de mínimo 7 micrómetros. Lectura 0.01 mm
Puntos de contacto de metal. Intervalo mínimo de: 50 a 300mm.
Incluir anillos de ajuste de diferentes medidas. Con estuche para su guardado y conservación.</v>
      </c>
      <c r="J384" s="213">
        <f>IFERROR(__xludf.DUMMYFUNCTION("""COMPUTED_VALUE"""),3.0)</f>
        <v>3</v>
      </c>
      <c r="K384" s="213" t="str">
        <f>IFERROR(__xludf.DUMMYFUNCTION("""COMPUTED_VALUE"""),"90 DÍAS CALENDARIO")</f>
        <v>90 DÍAS CALENDARIO</v>
      </c>
      <c r="L384" s="213" t="str">
        <f>IFERROR(__xludf.DUMMYFUNCTION("""COMPUTED_VALUE"""),"")</f>
        <v/>
      </c>
      <c r="M384" s="213">
        <f>IFERROR(__xludf.DUMMYFUNCTION("""COMPUTED_VALUE"""),1.0)</f>
        <v>1</v>
      </c>
      <c r="N384" s="213">
        <f>IFERROR(__xludf.DUMMYFUNCTION("""COMPUTED_VALUE"""),1.0)</f>
        <v>1</v>
      </c>
      <c r="O384" s="213">
        <f>IFERROR(__xludf.DUMMYFUNCTION("""COMPUTED_VALUE"""),1.0)</f>
        <v>1</v>
      </c>
      <c r="P384" s="213"/>
      <c r="Q384" s="213"/>
      <c r="R384" s="213"/>
      <c r="S384" s="213"/>
      <c r="T384" s="213" t="str">
        <f>IFERROR(__xludf.DUMMYFUNCTION("""COMPUTED_VALUE"""),"SI")</f>
        <v>SI</v>
      </c>
      <c r="U384" s="213" t="str">
        <f>IFERROR(__xludf.DUMMYFUNCTION("""COMPUTED_VALUE"""),"SI")</f>
        <v>SI</v>
      </c>
      <c r="V384" s="213" t="str">
        <f>IFERROR(__xludf.DUMMYFUNCTION("""COMPUTED_VALUE"""),"-")</f>
        <v>-</v>
      </c>
      <c r="W384" s="213" t="str">
        <f>IFERROR(__xludf.DUMMYFUNCTION("""COMPUTED_VALUE"""),"-")</f>
        <v>-</v>
      </c>
      <c r="X384" s="213" t="str">
        <f>IFERROR(__xludf.DUMMYFUNCTION("""COMPUTED_VALUE"""),"Starrett")</f>
        <v>Starrett</v>
      </c>
      <c r="Y384" s="213" t="str">
        <f>IFERROR(__xludf.DUMMYFUNCTION("""COMPUTED_VALUE"""),"S824DZ")</f>
        <v>S824DZ</v>
      </c>
      <c r="Z384" s="215" t="str">
        <f>IFERROR(__xludf.DUMMYFUNCTION("""COMPUTED_VALUE"""),"https://articulo.mercadolibre.com.co/MCO-1542376235-micrometro-interior-starrett-s824dz-2-12-rango-precisi-_JM")</f>
        <v>https://articulo.mercadolibre.com.co/MCO-1542376235-micrometro-interior-starrett-s824dz-2-12-rango-precisi-_JM</v>
      </c>
      <c r="AA384" s="213" t="str">
        <f>IFERROR(__xludf.DUMMYFUNCTION("""COMPUTED_VALUE"""),"COM-192 JUEGO DE MICRÓMETRO DE INTERIORES - CET")</f>
        <v>COM-192 JUEGO DE MICRÓMETRO DE INTERIORES - CET</v>
      </c>
      <c r="AB384" s="213"/>
      <c r="AC384" s="213"/>
      <c r="AD384" s="213"/>
      <c r="AE384" s="213"/>
      <c r="AF384" s="213"/>
      <c r="AG384" s="213"/>
      <c r="AH384" s="213"/>
      <c r="AI384" s="213"/>
      <c r="AJ384" s="213"/>
      <c r="AK384" s="213"/>
      <c r="AL384" s="213"/>
      <c r="AM384" s="213"/>
      <c r="AN384" s="213"/>
      <c r="AO384" s="213"/>
      <c r="AP384" s="213" t="str">
        <f>IFERROR(__xludf.DUMMYFUNCTION("""COMPUTED_VALUE"""),"SEBASTIAN")</f>
        <v>SEBASTIAN</v>
      </c>
      <c r="AQ384" s="213"/>
      <c r="AR384" s="213"/>
      <c r="AS384" s="213" t="str">
        <f>IFERROR(__xludf.DUMMYFUNCTION("""COMPUTED_VALUE"""),"Tal vez se refiera a micrómetros de interiores de tres puntas, pero no se indica.")</f>
        <v>Tal vez se refiera a micrómetros de interiores de tres puntas, pero no se indica.</v>
      </c>
      <c r="AT384" s="213"/>
      <c r="AU384" s="213"/>
      <c r="AV384" s="213"/>
      <c r="AW384" s="213"/>
      <c r="AX384" s="213"/>
      <c r="AY384" s="213"/>
      <c r="AZ384" s="213"/>
      <c r="BA384" s="213"/>
      <c r="BB384" s="213"/>
      <c r="BC384" s="213"/>
      <c r="BD384" s="213"/>
    </row>
    <row r="385">
      <c r="A385" s="213">
        <f>IFERROR(__xludf.DUMMYFUNCTION("""COMPUTED_VALUE"""),1566.0)</f>
        <v>1566</v>
      </c>
      <c r="B385" s="213" t="str">
        <f>IFERROR(__xludf.DUMMYFUNCTION("""COMPUTED_VALUE"""),"GUILLERMO E. BILLINGHURST ")</f>
        <v>GUILLERMO E. BILLINGHURST </v>
      </c>
      <c r="C385" s="213" t="str">
        <f>IFERROR(__xludf.DUMMYFUNCTION("""COMPUTED_VALUE"""),"TALLER SFT DE MECÁNICA AUTOMOTRIZ")</f>
        <v>TALLER SFT DE MECÁNICA AUTOMOTRIZ</v>
      </c>
      <c r="D385" s="213" t="str">
        <f>IFERROR(__xludf.DUMMYFUNCTION("""COMPUTED_VALUE"""),"HERRAMIENTAS")</f>
        <v>HERRAMIENTAS</v>
      </c>
      <c r="E385" s="213" t="str">
        <f>IFERROR(__xludf.DUMMYFUNCTION("""COMPUTED_VALUE"""),"COM-192")</f>
        <v>COM-192</v>
      </c>
      <c r="F385" s="213" t="str">
        <f>IFERROR(__xludf.DUMMYFUNCTION("""COMPUTED_VALUE"""),"COM-192")</f>
        <v>COM-192</v>
      </c>
      <c r="G385" s="213"/>
      <c r="H385" s="213" t="str">
        <f>IFERROR(__xludf.DUMMYFUNCTION("""COMPUTED_VALUE"""),"JUEGO DE MICRÓMETRO DE INTERIORES")</f>
        <v>JUEGO DE MICRÓMETRO DE INTERIORES</v>
      </c>
      <c r="I385" s="213" t="str">
        <f>IFERROR(__xludf.DUMMYFUNCTION("""COMPUTED_VALUE"""),"Juego de mínimo 7 micrómetros. Lectura 0.01 mm
Puntos de contacto de metal. Intervalo mínimo de: 50 a 300mm.
Incluir anillos de ajuste de diferentes medidas. Con estuche para su guardado y conservación.")</f>
        <v>Juego de mínimo 7 micrómetros. Lectura 0.01 mm
Puntos de contacto de metal. Intervalo mínimo de: 50 a 300mm.
Incluir anillos de ajuste de diferentes medidas. Con estuche para su guardado y conservación.</v>
      </c>
      <c r="J385" s="213">
        <f>IFERROR(__xludf.DUMMYFUNCTION("""COMPUTED_VALUE"""),3.0)</f>
        <v>3</v>
      </c>
      <c r="K385" s="213" t="str">
        <f>IFERROR(__xludf.DUMMYFUNCTION("""COMPUTED_VALUE"""),"90 DÍAS CALENDARIO")</f>
        <v>90 DÍAS CALENDARIO</v>
      </c>
      <c r="L385" s="213" t="str">
        <f>IFERROR(__xludf.DUMMYFUNCTION("""COMPUTED_VALUE"""),"")</f>
        <v/>
      </c>
      <c r="M385" s="213">
        <f>IFERROR(__xludf.DUMMYFUNCTION("""COMPUTED_VALUE"""),1.0)</f>
        <v>1</v>
      </c>
      <c r="N385" s="213">
        <f>IFERROR(__xludf.DUMMYFUNCTION("""COMPUTED_VALUE"""),1.0)</f>
        <v>1</v>
      </c>
      <c r="O385" s="213">
        <f>IFERROR(__xludf.DUMMYFUNCTION("""COMPUTED_VALUE"""),1.0)</f>
        <v>1</v>
      </c>
      <c r="P385" s="213"/>
      <c r="Q385" s="213"/>
      <c r="R385" s="213"/>
      <c r="S385" s="213"/>
      <c r="T385" s="213" t="str">
        <f>IFERROR(__xludf.DUMMYFUNCTION("""COMPUTED_VALUE"""),"SI")</f>
        <v>SI</v>
      </c>
      <c r="U385" s="213" t="str">
        <f>IFERROR(__xludf.DUMMYFUNCTION("""COMPUTED_VALUE"""),"SI")</f>
        <v>SI</v>
      </c>
      <c r="V385" s="213" t="str">
        <f>IFERROR(__xludf.DUMMYFUNCTION("""COMPUTED_VALUE"""),"-")</f>
        <v>-</v>
      </c>
      <c r="W385" s="213" t="str">
        <f>IFERROR(__xludf.DUMMYFUNCTION("""COMPUTED_VALUE"""),"-")</f>
        <v>-</v>
      </c>
      <c r="X385" s="213" t="str">
        <f>IFERROR(__xludf.DUMMYFUNCTION("""COMPUTED_VALUE"""),"Starrett")</f>
        <v>Starrett</v>
      </c>
      <c r="Y385" s="213" t="str">
        <f>IFERROR(__xludf.DUMMYFUNCTION("""COMPUTED_VALUE"""),"S824DZ")</f>
        <v>S824DZ</v>
      </c>
      <c r="Z385" s="215" t="str">
        <f>IFERROR(__xludf.DUMMYFUNCTION("""COMPUTED_VALUE"""),"https://articulo.mercadolibre.com.co/MCO-1542376235-micrometro-interior-starrett-s824dz-2-12-rango-precisi-_JM")</f>
        <v>https://articulo.mercadolibre.com.co/MCO-1542376235-micrometro-interior-starrett-s824dz-2-12-rango-precisi-_JM</v>
      </c>
      <c r="AA385" s="215" t="str">
        <f>IFERROR(__xludf.DUMMYFUNCTION("""COMPUTED_VALUE"""),"https://docs.google.com/spreadsheets/d/1gZRkd8NOxpHH9iVHti0M6tSaImuoXfAvW4T6M_HKBHw/edit?gid=0#gid=1")</f>
        <v>https://docs.google.com/spreadsheets/d/1gZRkd8NOxpHH9iVHti0M6tSaImuoXfAvW4T6M_HKBHw/edit?gid=0#gid=1</v>
      </c>
      <c r="AB385" s="213"/>
      <c r="AC385" s="213"/>
      <c r="AD385" s="213"/>
      <c r="AE385" s="213"/>
      <c r="AF385" s="213"/>
      <c r="AG385" s="213"/>
      <c r="AH385" s="213"/>
      <c r="AI385" s="213"/>
      <c r="AJ385" s="213"/>
      <c r="AK385" s="213"/>
      <c r="AL385" s="213"/>
      <c r="AM385" s="213"/>
      <c r="AN385" s="213"/>
      <c r="AO385" s="213"/>
      <c r="AP385" s="213" t="str">
        <f>IFERROR(__xludf.DUMMYFUNCTION("""COMPUTED_VALUE"""),"SEBASTIAN")</f>
        <v>SEBASTIAN</v>
      </c>
      <c r="AQ385" s="213"/>
      <c r="AR385" s="213"/>
      <c r="AS385" s="213" t="str">
        <f>IFERROR(__xludf.DUMMYFUNCTION("""COMPUTED_VALUE"""),"Tal vez se refiera a micrómetros de interiores de tres puntas, pero no se indica.")</f>
        <v>Tal vez se refiera a micrómetros de interiores de tres puntas, pero no se indica.</v>
      </c>
      <c r="AT385" s="213"/>
      <c r="AU385" s="213"/>
      <c r="AV385" s="213"/>
      <c r="AW385" s="213"/>
      <c r="AX385" s="213"/>
      <c r="AY385" s="213"/>
      <c r="AZ385" s="213"/>
      <c r="BA385" s="213"/>
      <c r="BB385" s="213"/>
      <c r="BC385" s="213"/>
      <c r="BD385" s="213"/>
    </row>
    <row r="386">
      <c r="A386" s="213">
        <f>IFERROR(__xludf.DUMMYFUNCTION("""COMPUTED_VALUE"""),2258.0)</f>
        <v>2258</v>
      </c>
      <c r="B386" s="213" t="str">
        <f>IFERROR(__xludf.DUMMYFUNCTION("""COMPUTED_VALUE"""),"JOSE GRANDA")</f>
        <v>JOSE GRANDA</v>
      </c>
      <c r="C386" s="213" t="str">
        <f>IFERROR(__xludf.DUMMYFUNCTION("""COMPUTED_VALUE"""),"TALLER SFT DE MECÁNICA AUTOMOTRIZ")</f>
        <v>TALLER SFT DE MECÁNICA AUTOMOTRIZ</v>
      </c>
      <c r="D386" s="213" t="str">
        <f>IFERROR(__xludf.DUMMYFUNCTION("""COMPUTED_VALUE"""),"HERRAMIENTAS")</f>
        <v>HERRAMIENTAS</v>
      </c>
      <c r="E386" s="213" t="str">
        <f>IFERROR(__xludf.DUMMYFUNCTION("""COMPUTED_VALUE"""),"COM-192")</f>
        <v>COM-192</v>
      </c>
      <c r="F386" s="213" t="str">
        <f>IFERROR(__xludf.DUMMYFUNCTION("""COMPUTED_VALUE"""),"COM-192")</f>
        <v>COM-192</v>
      </c>
      <c r="G386" s="213"/>
      <c r="H386" s="213" t="str">
        <f>IFERROR(__xludf.DUMMYFUNCTION("""COMPUTED_VALUE"""),"JUEGO DE MICRÓMETRO DE INTERIORES")</f>
        <v>JUEGO DE MICRÓMETRO DE INTERIORES</v>
      </c>
      <c r="I386" s="213" t="str">
        <f>IFERROR(__xludf.DUMMYFUNCTION("""COMPUTED_VALUE"""),"Juego de mínimo 7 micrómetros. Lectura 0.01 mm
Puntos de contacto de metal. Intervalo mínimo de: 50 a 300mm.
Incluir anillos de ajuste de diferentes medidas. Con estuche para su guardado y conservación.")</f>
        <v>Juego de mínimo 7 micrómetros. Lectura 0.01 mm
Puntos de contacto de metal. Intervalo mínimo de: 50 a 300mm.
Incluir anillos de ajuste de diferentes medidas. Con estuche para su guardado y conservación.</v>
      </c>
      <c r="J386" s="213">
        <f>IFERROR(__xludf.DUMMYFUNCTION("""COMPUTED_VALUE"""),3.0)</f>
        <v>3</v>
      </c>
      <c r="K386" s="213" t="str">
        <f>IFERROR(__xludf.DUMMYFUNCTION("""COMPUTED_VALUE"""),"90 DÍAS CALENDARIO")</f>
        <v>90 DÍAS CALENDARIO</v>
      </c>
      <c r="L386" s="213" t="str">
        <f>IFERROR(__xludf.DUMMYFUNCTION("""COMPUTED_VALUE"""),"")</f>
        <v/>
      </c>
      <c r="M386" s="213">
        <f>IFERROR(__xludf.DUMMYFUNCTION("""COMPUTED_VALUE"""),1.0)</f>
        <v>1</v>
      </c>
      <c r="N386" s="213">
        <f>IFERROR(__xludf.DUMMYFUNCTION("""COMPUTED_VALUE"""),1.0)</f>
        <v>1</v>
      </c>
      <c r="O386" s="213">
        <f>IFERROR(__xludf.DUMMYFUNCTION("""COMPUTED_VALUE"""),1.0)</f>
        <v>1</v>
      </c>
      <c r="P386" s="213"/>
      <c r="Q386" s="213"/>
      <c r="R386" s="213"/>
      <c r="S386" s="213"/>
      <c r="T386" s="213" t="str">
        <f>IFERROR(__xludf.DUMMYFUNCTION("""COMPUTED_VALUE"""),"SI")</f>
        <v>SI</v>
      </c>
      <c r="U386" s="213" t="str">
        <f>IFERROR(__xludf.DUMMYFUNCTION("""COMPUTED_VALUE"""),"SI")</f>
        <v>SI</v>
      </c>
      <c r="V386" s="213" t="str">
        <f>IFERROR(__xludf.DUMMYFUNCTION("""COMPUTED_VALUE"""),"-")</f>
        <v>-</v>
      </c>
      <c r="W386" s="213" t="str">
        <f>IFERROR(__xludf.DUMMYFUNCTION("""COMPUTED_VALUE"""),"-")</f>
        <v>-</v>
      </c>
      <c r="X386" s="213" t="str">
        <f>IFERROR(__xludf.DUMMYFUNCTION("""COMPUTED_VALUE"""),"Starrett")</f>
        <v>Starrett</v>
      </c>
      <c r="Y386" s="213" t="str">
        <f>IFERROR(__xludf.DUMMYFUNCTION("""COMPUTED_VALUE"""),"S824DZ")</f>
        <v>S824DZ</v>
      </c>
      <c r="Z386" s="215" t="str">
        <f>IFERROR(__xludf.DUMMYFUNCTION("""COMPUTED_VALUE"""),"https://articulo.mercadolibre.com.co/MCO-1542376235-micrometro-interior-starrett-s824dz-2-12-rango-precisi-_JM")</f>
        <v>https://articulo.mercadolibre.com.co/MCO-1542376235-micrometro-interior-starrett-s824dz-2-12-rango-precisi-_JM</v>
      </c>
      <c r="AA386" s="215" t="str">
        <f>IFERROR(__xludf.DUMMYFUNCTION("""COMPUTED_VALUE"""),"https://docs.google.com/spreadsheets/d/1gZRkd8NOxpHH9iVHti0M6tSaImuoXfAvW4T6M_HKBHw/edit?gid=0#gid=2")</f>
        <v>https://docs.google.com/spreadsheets/d/1gZRkd8NOxpHH9iVHti0M6tSaImuoXfAvW4T6M_HKBHw/edit?gid=0#gid=2</v>
      </c>
      <c r="AB386" s="213"/>
      <c r="AC386" s="213"/>
      <c r="AD386" s="213"/>
      <c r="AE386" s="213"/>
      <c r="AF386" s="213"/>
      <c r="AG386" s="213"/>
      <c r="AH386" s="213"/>
      <c r="AI386" s="213"/>
      <c r="AJ386" s="213"/>
      <c r="AK386" s="213"/>
      <c r="AL386" s="213"/>
      <c r="AM386" s="213"/>
      <c r="AN386" s="213"/>
      <c r="AO386" s="213"/>
      <c r="AP386" s="213" t="str">
        <f>IFERROR(__xludf.DUMMYFUNCTION("""COMPUTED_VALUE"""),"SEBASTIAN")</f>
        <v>SEBASTIAN</v>
      </c>
      <c r="AQ386" s="213"/>
      <c r="AR386" s="213"/>
      <c r="AS386" s="213" t="str">
        <f>IFERROR(__xludf.DUMMYFUNCTION("""COMPUTED_VALUE"""),"Tal vez se refiera a micrómetros de interiores de tres puntas, pero no se indica.")</f>
        <v>Tal vez se refiera a micrómetros de interiores de tres puntas, pero no se indica.</v>
      </c>
      <c r="AT386" s="213"/>
      <c r="AU386" s="213"/>
      <c r="AV386" s="213"/>
      <c r="AW386" s="213"/>
      <c r="AX386" s="213"/>
      <c r="AY386" s="213"/>
      <c r="AZ386" s="213"/>
      <c r="BA386" s="213"/>
      <c r="BB386" s="213"/>
      <c r="BC386" s="213"/>
      <c r="BD386" s="213"/>
    </row>
    <row r="387">
      <c r="A387" s="213">
        <f>IFERROR(__xludf.DUMMYFUNCTION("""COMPUTED_VALUE"""),2515.0)</f>
        <v>2515</v>
      </c>
      <c r="B387" s="213" t="str">
        <f>IFERROR(__xludf.DUMMYFUNCTION("""COMPUTED_VALUE"""),"MANUEL ANTONIO MESONES MURO")</f>
        <v>MANUEL ANTONIO MESONES MURO</v>
      </c>
      <c r="C387" s="213" t="str">
        <f>IFERROR(__xludf.DUMMYFUNCTION("""COMPUTED_VALUE"""),"TALLER SFT DE CONSTRUCCIONES METÁLICAS")</f>
        <v>TALLER SFT DE CONSTRUCCIONES METÁLICAS</v>
      </c>
      <c r="D387" s="213" t="str">
        <f>IFERROR(__xludf.DUMMYFUNCTION("""COMPUTED_VALUE"""),"EQUIPOS")</f>
        <v>EQUIPOS</v>
      </c>
      <c r="E387" s="213" t="str">
        <f>IFERROR(__xludf.DUMMYFUNCTION("""COMPUTED_VALUE"""),"ESP-122")</f>
        <v>ESP-122</v>
      </c>
      <c r="F387" s="213" t="str">
        <f>IFERROR(__xludf.DUMMYFUNCTION("""COMPUTED_VALUE"""),"ESP-122")</f>
        <v>ESP-122</v>
      </c>
      <c r="G387" s="213"/>
      <c r="H387" s="213" t="str">
        <f>IFERROR(__xludf.DUMMYFUNCTION("""COMPUTED_VALUE"""),"CIZALLA GUILLOTINA MECÁNICA")</f>
        <v>CIZALLA GUILLOTINA MECÁNICA</v>
      </c>
      <c r="I387" s="213" t="str">
        <f>IFERROR(__xludf.DUMMYFUNCTION("""COMPUTED_VALUE"""),"· Cizalla guillotina mecánica
· Accionamiento manual
· Groso de chapa Mínimo    0 mm
Máximo   2 mm
· Longitud de trabajo mínimo: 1.020 m Tipo de palanca
· Dimensiones aproximadas: L 1.20m x A 0.50m x H 0.65m")</f>
        <v>· Cizalla guillotina mecánica
· Accionamiento manual
· Groso de chapa Mínimo    0 mm
Máximo   2 mm
· Longitud de trabajo mínimo: 1.020 m Tipo de palanca
· Dimensiones aproximadas: L 1.20m x A 0.50m x H 0.65m</v>
      </c>
      <c r="J387" s="213">
        <f>IFERROR(__xludf.DUMMYFUNCTION("""COMPUTED_VALUE"""),3.0)</f>
        <v>3</v>
      </c>
      <c r="K387" s="213" t="str">
        <f>IFERROR(__xludf.DUMMYFUNCTION("""COMPUTED_VALUE"""),"170 DÍAS CALENDARIO")</f>
        <v>170 DÍAS CALENDARIO</v>
      </c>
      <c r="L387" s="213" t="str">
        <f>IFERROR(__xludf.DUMMYFUNCTION("""COMPUTED_VALUE"""),"")</f>
        <v/>
      </c>
      <c r="M387" s="213">
        <f>IFERROR(__xludf.DUMMYFUNCTION("""COMPUTED_VALUE"""),1.0)</f>
        <v>1</v>
      </c>
      <c r="N387" s="213">
        <f>IFERROR(__xludf.DUMMYFUNCTION("""COMPUTED_VALUE"""),1.0)</f>
        <v>1</v>
      </c>
      <c r="O387" s="213">
        <f>IFERROR(__xludf.DUMMYFUNCTION("""COMPUTED_VALUE"""),1.0)</f>
        <v>1</v>
      </c>
      <c r="P387" s="213"/>
      <c r="Q387" s="213"/>
      <c r="R387" s="213"/>
      <c r="S387" s="213" t="str">
        <f>IFERROR(__xludf.DUMMYFUNCTION("""COMPUTED_VALUE"""),"SI")</f>
        <v>SI</v>
      </c>
      <c r="T387" s="213" t="str">
        <f>IFERROR(__xludf.DUMMYFUNCTION("""COMPUTED_VALUE"""),"SI")</f>
        <v>SI</v>
      </c>
      <c r="U387" s="213" t="str">
        <f>IFERROR(__xludf.DUMMYFUNCTION("""COMPUTED_VALUE"""),"NO")</f>
        <v>NO</v>
      </c>
      <c r="V387" s="213" t="str">
        <f>IFERROR(__xludf.DUMMYFUNCTION("""COMPUTED_VALUE"""),"SUSTENTO")</f>
        <v>SUSTENTO</v>
      </c>
      <c r="W387" s="213" t="str">
        <f>IFERROR(__xludf.DUMMYFUNCTION("""COMPUTED_VALUE"""),"DIMENSIONAL")</f>
        <v>DIMENSIONAL</v>
      </c>
      <c r="X387" s="213" t="str">
        <f>IFERROR(__xludf.DUMMYFUNCTION("""COMPUTED_VALUE"""),"METALLKRAFT")</f>
        <v>METALLKRAFT</v>
      </c>
      <c r="Y387" s="213" t="str">
        <f>IFERROR(__xludf.DUMMYFUNCTION("""COMPUTED_VALUE"""),"TBS 1051-20")</f>
        <v>TBS 1051-20</v>
      </c>
      <c r="Z387" s="215" t="str">
        <f>IFERROR(__xludf.DUMMYFUNCTION("""COMPUTED_VALUE"""),"https://dimmtex.com/cizalla-manual-metal/cizalla-manual-tbs-1051-20.html")</f>
        <v>https://dimmtex.com/cizalla-manual-metal/cizalla-manual-tbs-1051-20.html</v>
      </c>
      <c r="AA387" s="213" t="str">
        <f>IFERROR(__xludf.DUMMYFUNCTION("""COMPUTED_VALUE"""),"ESP-122 CIZALLA GUILLOTINA MECÁNICA - CET")</f>
        <v>ESP-122 CIZALLA GUILLOTINA MECÁNICA - CET</v>
      </c>
      <c r="AB387" s="215" t="str">
        <f>IFERROR(__xludf.DUMMYFUNCTION("""COMPUTED_VALUE"""),"https://drive.google.com/file/d/1VdCwNxIu_5bxALGvMzeYi0vpky5sjEsw/view")</f>
        <v>https://drive.google.com/file/d/1VdCwNxIu_5bxALGvMzeYi0vpky5sjEsw/view</v>
      </c>
      <c r="AC387" s="213"/>
      <c r="AD387" s="213"/>
      <c r="AE387" s="213"/>
      <c r="AF387" s="213"/>
      <c r="AG387" s="213"/>
      <c r="AH387" s="213" t="str">
        <f>IFERROR(__xludf.DUMMYFUNCTION("""COMPUTED_VALUE"""),"IMPORTADO")</f>
        <v>IMPORTADO</v>
      </c>
      <c r="AI387" s="213"/>
      <c r="AJ387" s="213"/>
      <c r="AK387" s="213"/>
      <c r="AL387" s="213"/>
      <c r="AM387" s="213"/>
      <c r="AN387" s="213"/>
      <c r="AO387" s="213"/>
      <c r="AP387" s="213" t="str">
        <f>IFERROR(__xludf.DUMMYFUNCTION("""COMPUTED_VALUE"""),"NALDI")</f>
        <v>NALDI</v>
      </c>
      <c r="AQ387" s="213"/>
      <c r="AR387" s="213"/>
      <c r="AS387" s="213"/>
      <c r="AT387" s="213"/>
      <c r="AU387" s="213"/>
      <c r="AV387" s="213"/>
      <c r="AW387" s="213"/>
      <c r="AX387" s="213"/>
      <c r="AY387" s="213"/>
      <c r="AZ387" s="213"/>
      <c r="BA387" s="213"/>
      <c r="BB387" s="213"/>
      <c r="BC387" s="213"/>
      <c r="BD387" s="213"/>
    </row>
    <row r="388">
      <c r="A388" s="213">
        <f>IFERROR(__xludf.DUMMYFUNCTION("""COMPUTED_VALUE"""),983.0)</f>
        <v>983</v>
      </c>
      <c r="B388" s="213" t="str">
        <f>IFERROR(__xludf.DUMMYFUNCTION("""COMPUTED_VALUE"""),"FRANCISCO IRAZOLA")</f>
        <v>FRANCISCO IRAZOLA</v>
      </c>
      <c r="C388" s="213" t="str">
        <f>IFERROR(__xludf.DUMMYFUNCTION("""COMPUTED_VALUE"""),"TALLER SFT DE MECÁNICA AUTOMOTRIZ")</f>
        <v>TALLER SFT DE MECÁNICA AUTOMOTRIZ</v>
      </c>
      <c r="D388" s="213" t="str">
        <f>IFERROR(__xludf.DUMMYFUNCTION("""COMPUTED_VALUE"""),"EQUIPOS")</f>
        <v>EQUIPOS</v>
      </c>
      <c r="E388" s="213" t="str">
        <f>IFERROR(__xludf.DUMMYFUNCTION("""COMPUTED_VALUE"""),"ESP-131")</f>
        <v>ESP-131</v>
      </c>
      <c r="F388" s="213" t="str">
        <f>IFERROR(__xludf.DUMMYFUNCTION("""COMPUTED_VALUE"""),"ESP-131")</f>
        <v>ESP-131</v>
      </c>
      <c r="G388" s="213"/>
      <c r="H388" s="213" t="str">
        <f>IFERROR(__xludf.DUMMYFUNCTION("""COMPUTED_VALUE"""),"COMPRESORA DE AIRE (50L - 3HP)")</f>
        <v>COMPRESORA DE AIRE (50L - 3HP)</v>
      </c>
      <c r="I388" s="213" t="str">
        <f>IFERROR(__xludf.DUMMYFUNCTION("""COMPUTED_VALUE"""),"Motor mínimo 3 HP (caballo de fuerza)
· Tanque mínimo 50 L
· Capacidad mínima 90 L/min
· Presión mínimo 130 PSI (9 bar).
· Peso aproximado (+-100gr) 40 kg
· Voltaje primario 220 v; 60 Hz monofásico
· Dimensiones aproximados (+-3cm): L 120cm x A70cm x H85 "&amp;"cm                                                  - incluye minimo 5 metros de manguera de aire e instrumentos de medicion y control.")</f>
        <v>Motor mínimo 3 HP (caballo de fuerza)
· Tanque mínimo 50 L
· Capacidad mínima 90 L/min
· Presión mínimo 130 PSI (9 bar).
· Peso aproximado (+-100gr) 40 kg
· Voltaje primario 220 v; 60 Hz monofásico
· Dimensiones aproximados (+-3cm): L 120cm x A70cm x H85 cm                                                  - incluye minimo 5 metros de manguera de aire e instrumentos de medicion y control.</v>
      </c>
      <c r="J388" s="213">
        <f>IFERROR(__xludf.DUMMYFUNCTION("""COMPUTED_VALUE"""),3.0)</f>
        <v>3</v>
      </c>
      <c r="K388" s="213" t="str">
        <f>IFERROR(__xludf.DUMMYFUNCTION("""COMPUTED_VALUE"""),"170 DÍAS CALENDARIO")</f>
        <v>170 DÍAS CALENDARIO</v>
      </c>
      <c r="L388" s="213" t="str">
        <f>IFERROR(__xludf.DUMMYFUNCTION("""COMPUTED_VALUE"""),"")</f>
        <v/>
      </c>
      <c r="M388" s="213">
        <f>IFERROR(__xludf.DUMMYFUNCTION("""COMPUTED_VALUE"""),1.0)</f>
        <v>1</v>
      </c>
      <c r="N388" s="213">
        <f>IFERROR(__xludf.DUMMYFUNCTION("""COMPUTED_VALUE"""),1.0)</f>
        <v>1</v>
      </c>
      <c r="O388" s="213">
        <f>IFERROR(__xludf.DUMMYFUNCTION("""COMPUTED_VALUE"""),1.0)</f>
        <v>1</v>
      </c>
      <c r="P388" s="213"/>
      <c r="Q388" s="213"/>
      <c r="R388" s="213"/>
      <c r="S388" s="213" t="str">
        <f>IFERROR(__xludf.DUMMYFUNCTION("""COMPUTED_VALUE"""),"SI")</f>
        <v>SI</v>
      </c>
      <c r="T388" s="213" t="str">
        <f>IFERROR(__xludf.DUMMYFUNCTION("""COMPUTED_VALUE"""),"SI")</f>
        <v>SI</v>
      </c>
      <c r="U388" s="213" t="str">
        <f>IFERROR(__xludf.DUMMYFUNCTION("""COMPUTED_VALUE"""),"NO")</f>
        <v>NO</v>
      </c>
      <c r="V388" s="213" t="str">
        <f>IFERROR(__xludf.DUMMYFUNCTION("""COMPUTED_VALUE"""),"SUSTENTO")</f>
        <v>SUSTENTO</v>
      </c>
      <c r="W388" s="213" t="str">
        <f>IFERROR(__xludf.DUMMYFUNCTION("""COMPUTED_VALUE"""),"-")</f>
        <v>-</v>
      </c>
      <c r="X388" s="213" t="str">
        <f>IFERROR(__xludf.DUMMYFUNCTION("""COMPUTED_VALUE"""),"TRUPER")</f>
        <v>TRUPER</v>
      </c>
      <c r="Y388" s="213" t="str">
        <f>IFERROR(__xludf.DUMMYFUNCTION("""COMPUTED_VALUE"""),"COMP-KIT50-260")</f>
        <v>COMP-KIT50-260</v>
      </c>
      <c r="Z388" s="215" t="str">
        <f>IFERROR(__xludf.DUMMYFUNCTION("""COMPUTED_VALUE"""),"https://www.aibitech.com/herramientas-electricas/sierras/compresora-de-aire/compresora-de-aire-de-35-hp-50l-arranque-automatico-comp-50lt-260-11837-truper-16441.html?srsltid=AfmBOopR8FWY-1gVYn-_wN1--TVCWMoTpxXvVOxalx6Owo6EUWkqzOgQ")</f>
        <v>https://www.aibitech.com/herramientas-electricas/sierras/compresora-de-aire/compresora-de-aire-de-35-hp-50l-arranque-automatico-comp-50lt-260-11837-truper-16441.html?srsltid=AfmBOopR8FWY-1gVYn-_wN1--TVCWMoTpxXvVOxalx6Owo6EUWkqzOgQ</v>
      </c>
      <c r="AA388" s="213" t="str">
        <f>IFERROR(__xludf.DUMMYFUNCTION("""COMPUTED_VALUE"""),"ESP-131 COMPRESORA DE AIRE (50L - 3HP) - CET")</f>
        <v>ESP-131 COMPRESORA DE AIRE (50L - 3HP) - CET</v>
      </c>
      <c r="AB388" s="215" t="str">
        <f>IFERROR(__xludf.DUMMYFUNCTION("""COMPUTED_VALUE"""),"https://drive.google.com/file/d/16BfVYuTQApATtCdeEBUKWu441rnLK2Ch/view?usp=drive_link")</f>
        <v>https://drive.google.com/file/d/16BfVYuTQApATtCdeEBUKWu441rnLK2Ch/view?usp=drive_link</v>
      </c>
      <c r="AC388" s="213"/>
      <c r="AD388" s="213"/>
      <c r="AE388" s="213"/>
      <c r="AF388" s="213"/>
      <c r="AG388" s="213"/>
      <c r="AH388" s="213" t="str">
        <f>IFERROR(__xludf.DUMMYFUNCTION("""COMPUTED_VALUE"""),"NACIONAL")</f>
        <v>NACIONAL</v>
      </c>
      <c r="AI388" s="213"/>
      <c r="AJ388" s="213"/>
      <c r="AK388" s="213"/>
      <c r="AL388" s="213"/>
      <c r="AM388" s="213"/>
      <c r="AN388" s="213"/>
      <c r="AO388" s="213"/>
      <c r="AP388" s="213" t="str">
        <f>IFERROR(__xludf.DUMMYFUNCTION("""COMPUTED_VALUE"""),"NALDI")</f>
        <v>NALDI</v>
      </c>
      <c r="AQ388" s="213"/>
      <c r="AR388" s="213"/>
      <c r="AS388" s="217" t="str">
        <f>IFERROR(__xludf.DUMMYFUNCTION("""COMPUTED_VALUE"""),"Combo Compresora 50 Litros Manguera y Pistola para Pintar")</f>
        <v>Combo Compresora 50 Litros Manguera y Pistola para Pintar</v>
      </c>
      <c r="AT388" s="215" t="str">
        <f>IFERROR(__xludf.DUMMYFUNCTION("""COMPUTED_VALUE"""),"https://www.promart.pe/combo-compresora-50-litros-manguera-y-pistola-para-pintar-101744-1000306713/p?srsltid=AfmBOooDl6HH41C464jpBn6pZSnGuZJX2yHYTrNmndZQ-rUeZYSo2PCq")</f>
        <v>https://www.promart.pe/combo-compresora-50-litros-manguera-y-pistola-para-pintar-101744-1000306713/p?srsltid=AfmBOooDl6HH41C464jpBn6pZSnGuZJX2yHYTrNmndZQ-rUeZYSo2PCq</v>
      </c>
      <c r="AU388" s="213"/>
      <c r="AV388" s="213"/>
      <c r="AW388" s="213"/>
      <c r="AX388" s="213"/>
      <c r="AY388" s="213"/>
      <c r="AZ388" s="213"/>
      <c r="BA388" s="213"/>
      <c r="BB388" s="213"/>
      <c r="BC388" s="213"/>
      <c r="BD388" s="213"/>
    </row>
    <row r="389">
      <c r="A389" s="213">
        <f>IFERROR(__xludf.DUMMYFUNCTION("""COMPUTED_VALUE"""),1586.0)</f>
        <v>1586</v>
      </c>
      <c r="B389" s="213" t="str">
        <f>IFERROR(__xludf.DUMMYFUNCTION("""COMPUTED_VALUE"""),"GUILLERMO E. BILLINGHURST ")</f>
        <v>GUILLERMO E. BILLINGHURST </v>
      </c>
      <c r="C389" s="213" t="str">
        <f>IFERROR(__xludf.DUMMYFUNCTION("""COMPUTED_VALUE"""),"TALLER SFT DE MECÁNICA AUTOMOTRIZ")</f>
        <v>TALLER SFT DE MECÁNICA AUTOMOTRIZ</v>
      </c>
      <c r="D389" s="213" t="str">
        <f>IFERROR(__xludf.DUMMYFUNCTION("""COMPUTED_VALUE"""),"EQUIPOS")</f>
        <v>EQUIPOS</v>
      </c>
      <c r="E389" s="213" t="str">
        <f>IFERROR(__xludf.DUMMYFUNCTION("""COMPUTED_VALUE"""),"ESP-131")</f>
        <v>ESP-131</v>
      </c>
      <c r="F389" s="213" t="str">
        <f>IFERROR(__xludf.DUMMYFUNCTION("""COMPUTED_VALUE"""),"ESP-131")</f>
        <v>ESP-131</v>
      </c>
      <c r="G389" s="213"/>
      <c r="H389" s="213" t="str">
        <f>IFERROR(__xludf.DUMMYFUNCTION("""COMPUTED_VALUE"""),"COMPRESORA DE AIRE (50L - 3HP)")</f>
        <v>COMPRESORA DE AIRE (50L - 3HP)</v>
      </c>
      <c r="I389" s="213" t="str">
        <f>IFERROR(__xludf.DUMMYFUNCTION("""COMPUTED_VALUE"""),"Motor mínimo 3 HP (caballo de fuerza)
· Tanque mínimo 50 L
· Capacidad mínima 90 L/min
· Presión mínimo 130 PSI (9 bar).
· Peso aproximado (+-100gr) 40 kg
· Voltaje primario 220 v; 60 Hz monofásico
· Dimensiones aproximados (+-3cm): L 120cm x A70cm x H85 "&amp;"cm                                                  - incluye minimo 5 metros de manguera de aire e instrumentos de medicion y control.")</f>
        <v>Motor mínimo 3 HP (caballo de fuerza)
· Tanque mínimo 50 L
· Capacidad mínima 90 L/min
· Presión mínimo 130 PSI (9 bar).
· Peso aproximado (+-100gr) 40 kg
· Voltaje primario 220 v; 60 Hz monofásico
· Dimensiones aproximados (+-3cm): L 120cm x A70cm x H85 cm                                                  - incluye minimo 5 metros de manguera de aire e instrumentos de medicion y control.</v>
      </c>
      <c r="J389" s="213">
        <f>IFERROR(__xludf.DUMMYFUNCTION("""COMPUTED_VALUE"""),3.0)</f>
        <v>3</v>
      </c>
      <c r="K389" s="213" t="str">
        <f>IFERROR(__xludf.DUMMYFUNCTION("""COMPUTED_VALUE"""),"170 DÍAS CALENDARIO")</f>
        <v>170 DÍAS CALENDARIO</v>
      </c>
      <c r="L389" s="213" t="str">
        <f>IFERROR(__xludf.DUMMYFUNCTION("""COMPUTED_VALUE"""),"")</f>
        <v/>
      </c>
      <c r="M389" s="213">
        <f>IFERROR(__xludf.DUMMYFUNCTION("""COMPUTED_VALUE"""),1.0)</f>
        <v>1</v>
      </c>
      <c r="N389" s="213">
        <f>IFERROR(__xludf.DUMMYFUNCTION("""COMPUTED_VALUE"""),1.0)</f>
        <v>1</v>
      </c>
      <c r="O389" s="213">
        <f>IFERROR(__xludf.DUMMYFUNCTION("""COMPUTED_VALUE"""),1.0)</f>
        <v>1</v>
      </c>
      <c r="P389" s="213"/>
      <c r="Q389" s="213"/>
      <c r="R389" s="213"/>
      <c r="S389" s="213" t="str">
        <f>IFERROR(__xludf.DUMMYFUNCTION("""COMPUTED_VALUE"""),"SI")</f>
        <v>SI</v>
      </c>
      <c r="T389" s="213" t="str">
        <f>IFERROR(__xludf.DUMMYFUNCTION("""COMPUTED_VALUE"""),"SI")</f>
        <v>SI</v>
      </c>
      <c r="U389" s="213" t="str">
        <f>IFERROR(__xludf.DUMMYFUNCTION("""COMPUTED_VALUE"""),"NO")</f>
        <v>NO</v>
      </c>
      <c r="V389" s="213" t="str">
        <f>IFERROR(__xludf.DUMMYFUNCTION("""COMPUTED_VALUE"""),"SUSTENTO")</f>
        <v>SUSTENTO</v>
      </c>
      <c r="W389" s="213" t="str">
        <f>IFERROR(__xludf.DUMMYFUNCTION("""COMPUTED_VALUE"""),"-")</f>
        <v>-</v>
      </c>
      <c r="X389" s="213" t="str">
        <f>IFERROR(__xludf.DUMMYFUNCTION("""COMPUTED_VALUE"""),"TRUPER")</f>
        <v>TRUPER</v>
      </c>
      <c r="Y389" s="213" t="str">
        <f>IFERROR(__xludf.DUMMYFUNCTION("""COMPUTED_VALUE"""),"COMP-KIT50-260")</f>
        <v>COMP-KIT50-260</v>
      </c>
      <c r="Z389" s="215" t="str">
        <f>IFERROR(__xludf.DUMMYFUNCTION("""COMPUTED_VALUE"""),"https://www.aibitech.com/herramientas-electricas/sierras/compresora-de-aire/compresora-de-aire-de-35-hp-50l-arranque-automatico-comp-50lt-260-11837-truper-16441.html?srsltid=AfmBOopR8FWY-1gVYn-_wN1--TVCWMoTpxXvVOxalx6Owo6EUWkqzOgQ")</f>
        <v>https://www.aibitech.com/herramientas-electricas/sierras/compresora-de-aire/compresora-de-aire-de-35-hp-50l-arranque-automatico-comp-50lt-260-11837-truper-16441.html?srsltid=AfmBOopR8FWY-1gVYn-_wN1--TVCWMoTpxXvVOxalx6Owo6EUWkqzOgQ</v>
      </c>
      <c r="AA389" s="213" t="str">
        <f>IFERROR(__xludf.DUMMYFUNCTION("""COMPUTED_VALUE"""),"ESP-131 COMPRESORA DE AIRE (50L - 3HP) - CET")</f>
        <v>ESP-131 COMPRESORA DE AIRE (50L - 3HP) - CET</v>
      </c>
      <c r="AB389" s="215" t="str">
        <f>IFERROR(__xludf.DUMMYFUNCTION("""COMPUTED_VALUE"""),"https://drive.google.com/file/d/16BfVYuTQApATtCdeEBUKWu441rnLK2Ch/view?usp=drive_link")</f>
        <v>https://drive.google.com/file/d/16BfVYuTQApATtCdeEBUKWu441rnLK2Ch/view?usp=drive_link</v>
      </c>
      <c r="AC389" s="213"/>
      <c r="AD389" s="213"/>
      <c r="AE389" s="213"/>
      <c r="AF389" s="213"/>
      <c r="AG389" s="213"/>
      <c r="AH389" s="213" t="str">
        <f>IFERROR(__xludf.DUMMYFUNCTION("""COMPUTED_VALUE"""),"NACIONAL")</f>
        <v>NACIONAL</v>
      </c>
      <c r="AI389" s="213"/>
      <c r="AJ389" s="213"/>
      <c r="AK389" s="213"/>
      <c r="AL389" s="213"/>
      <c r="AM389" s="213"/>
      <c r="AN389" s="213"/>
      <c r="AO389" s="213"/>
      <c r="AP389" s="213" t="str">
        <f>IFERROR(__xludf.DUMMYFUNCTION("""COMPUTED_VALUE"""),"NALDI")</f>
        <v>NALDI</v>
      </c>
      <c r="AQ389" s="213"/>
      <c r="AR389" s="213"/>
      <c r="AS389" s="217" t="str">
        <f>IFERROR(__xludf.DUMMYFUNCTION("""COMPUTED_VALUE"""),"Combo Compresora 50 Litros Manguera y Pistola para Pintar")</f>
        <v>Combo Compresora 50 Litros Manguera y Pistola para Pintar</v>
      </c>
      <c r="AT389" s="215" t="str">
        <f>IFERROR(__xludf.DUMMYFUNCTION("""COMPUTED_VALUE"""),"https://www.promart.pe/combo-compresora-50-litros-manguera-y-pistola-para-pintar-101744-1000306713/p?srsltid=AfmBOooDl6HH41C464jpBn6pZSnGuZJX2yHYTrNmndZQ-rUeZYSo2PCq")</f>
        <v>https://www.promart.pe/combo-compresora-50-litros-manguera-y-pistola-para-pintar-101744-1000306713/p?srsltid=AfmBOooDl6HH41C464jpBn6pZSnGuZJX2yHYTrNmndZQ-rUeZYSo2PCq</v>
      </c>
      <c r="AU389" s="213"/>
      <c r="AV389" s="213"/>
      <c r="AW389" s="213"/>
      <c r="AX389" s="213"/>
      <c r="AY389" s="213"/>
      <c r="AZ389" s="213"/>
      <c r="BA389" s="213"/>
      <c r="BB389" s="213"/>
      <c r="BC389" s="213"/>
      <c r="BD389" s="213"/>
    </row>
    <row r="390">
      <c r="A390" s="213">
        <f>IFERROR(__xludf.DUMMYFUNCTION("""COMPUTED_VALUE"""),2273.0)</f>
        <v>2273</v>
      </c>
      <c r="B390" s="213" t="str">
        <f>IFERROR(__xludf.DUMMYFUNCTION("""COMPUTED_VALUE"""),"JOSE GRANDA")</f>
        <v>JOSE GRANDA</v>
      </c>
      <c r="C390" s="213" t="str">
        <f>IFERROR(__xludf.DUMMYFUNCTION("""COMPUTED_VALUE"""),"TALLER SFT DE MECÁNICA AUTOMOTRIZ")</f>
        <v>TALLER SFT DE MECÁNICA AUTOMOTRIZ</v>
      </c>
      <c r="D390" s="213" t="str">
        <f>IFERROR(__xludf.DUMMYFUNCTION("""COMPUTED_VALUE"""),"EQUIPOS")</f>
        <v>EQUIPOS</v>
      </c>
      <c r="E390" s="213" t="str">
        <f>IFERROR(__xludf.DUMMYFUNCTION("""COMPUTED_VALUE"""),"ESP-131")</f>
        <v>ESP-131</v>
      </c>
      <c r="F390" s="213" t="str">
        <f>IFERROR(__xludf.DUMMYFUNCTION("""COMPUTED_VALUE"""),"ESP-131")</f>
        <v>ESP-131</v>
      </c>
      <c r="G390" s="213"/>
      <c r="H390" s="213" t="str">
        <f>IFERROR(__xludf.DUMMYFUNCTION("""COMPUTED_VALUE"""),"COMPRESORA DE AIRE (50L - 3HP)")</f>
        <v>COMPRESORA DE AIRE (50L - 3HP)</v>
      </c>
      <c r="I390" s="213" t="str">
        <f>IFERROR(__xludf.DUMMYFUNCTION("""COMPUTED_VALUE"""),"Motor mínimo 3 HP (caballo de fuerza)
· Tanque mínimo 50 L
· Capacidad mínima 90 L/min
· Presión mínimo 130 PSI (9 bar).
· Peso aproximado (+-100gr) 40 kg
· Voltaje primario 220 v; 60 Hz monofásico
· Dimensiones aproximados (+-3cm): L 120cm x A70cm x H85 "&amp;"cm                                                  - incluye minimo 5 metros de manguera de aire e instrumentos de medicion y control.")</f>
        <v>Motor mínimo 3 HP (caballo de fuerza)
· Tanque mínimo 50 L
· Capacidad mínima 90 L/min
· Presión mínimo 130 PSI (9 bar).
· Peso aproximado (+-100gr) 40 kg
· Voltaje primario 220 v; 60 Hz monofásico
· Dimensiones aproximados (+-3cm): L 120cm x A70cm x H85 cm                                                  - incluye minimo 5 metros de manguera de aire e instrumentos de medicion y control.</v>
      </c>
      <c r="J390" s="213">
        <f>IFERROR(__xludf.DUMMYFUNCTION("""COMPUTED_VALUE"""),3.0)</f>
        <v>3</v>
      </c>
      <c r="K390" s="213" t="str">
        <f>IFERROR(__xludf.DUMMYFUNCTION("""COMPUTED_VALUE"""),"170 DÍAS CALENDARIO")</f>
        <v>170 DÍAS CALENDARIO</v>
      </c>
      <c r="L390" s="213" t="str">
        <f>IFERROR(__xludf.DUMMYFUNCTION("""COMPUTED_VALUE"""),"")</f>
        <v/>
      </c>
      <c r="M390" s="213">
        <f>IFERROR(__xludf.DUMMYFUNCTION("""COMPUTED_VALUE"""),1.0)</f>
        <v>1</v>
      </c>
      <c r="N390" s="213">
        <f>IFERROR(__xludf.DUMMYFUNCTION("""COMPUTED_VALUE"""),1.0)</f>
        <v>1</v>
      </c>
      <c r="O390" s="213">
        <f>IFERROR(__xludf.DUMMYFUNCTION("""COMPUTED_VALUE"""),1.0)</f>
        <v>1</v>
      </c>
      <c r="P390" s="213"/>
      <c r="Q390" s="213"/>
      <c r="R390" s="213"/>
      <c r="S390" s="213" t="str">
        <f>IFERROR(__xludf.DUMMYFUNCTION("""COMPUTED_VALUE"""),"SI")</f>
        <v>SI</v>
      </c>
      <c r="T390" s="213" t="str">
        <f>IFERROR(__xludf.DUMMYFUNCTION("""COMPUTED_VALUE"""),"SI")</f>
        <v>SI</v>
      </c>
      <c r="U390" s="213" t="str">
        <f>IFERROR(__xludf.DUMMYFUNCTION("""COMPUTED_VALUE"""),"NO")</f>
        <v>NO</v>
      </c>
      <c r="V390" s="213" t="str">
        <f>IFERROR(__xludf.DUMMYFUNCTION("""COMPUTED_VALUE"""),"SUSTENTO")</f>
        <v>SUSTENTO</v>
      </c>
      <c r="W390" s="213" t="str">
        <f>IFERROR(__xludf.DUMMYFUNCTION("""COMPUTED_VALUE"""),"-")</f>
        <v>-</v>
      </c>
      <c r="X390" s="213" t="str">
        <f>IFERROR(__xludf.DUMMYFUNCTION("""COMPUTED_VALUE"""),"TRUPER")</f>
        <v>TRUPER</v>
      </c>
      <c r="Y390" s="213" t="str">
        <f>IFERROR(__xludf.DUMMYFUNCTION("""COMPUTED_VALUE"""),"COMP-KIT50-260")</f>
        <v>COMP-KIT50-260</v>
      </c>
      <c r="Z390" s="215" t="str">
        <f>IFERROR(__xludf.DUMMYFUNCTION("""COMPUTED_VALUE"""),"https://www.aibitech.com/herramientas-electricas/sierras/compresora-de-aire/compresora-de-aire-de-35-hp-50l-arranque-automatico-comp-50lt-260-11837-truper-16441.html?srsltid=AfmBOopR8FWY-1gVYn-_wN1--TVCWMoTpxXvVOxalx6Owo6EUWkqzOgQ")</f>
        <v>https://www.aibitech.com/herramientas-electricas/sierras/compresora-de-aire/compresora-de-aire-de-35-hp-50l-arranque-automatico-comp-50lt-260-11837-truper-16441.html?srsltid=AfmBOopR8FWY-1gVYn-_wN1--TVCWMoTpxXvVOxalx6Owo6EUWkqzOgQ</v>
      </c>
      <c r="AA390" s="213" t="str">
        <f>IFERROR(__xludf.DUMMYFUNCTION("""COMPUTED_VALUE"""),"ESP-131 COMPRESORA DE AIRE (50L - 3HP) - CET")</f>
        <v>ESP-131 COMPRESORA DE AIRE (50L - 3HP) - CET</v>
      </c>
      <c r="AB390" s="215" t="str">
        <f>IFERROR(__xludf.DUMMYFUNCTION("""COMPUTED_VALUE"""),"https://drive.google.com/file/d/16BfVYuTQApATtCdeEBUKWu441rnLK2Ch/view?usp=drive_link")</f>
        <v>https://drive.google.com/file/d/16BfVYuTQApATtCdeEBUKWu441rnLK2Ch/view?usp=drive_link</v>
      </c>
      <c r="AC390" s="213"/>
      <c r="AD390" s="213"/>
      <c r="AE390" s="213"/>
      <c r="AF390" s="213"/>
      <c r="AG390" s="213"/>
      <c r="AH390" s="213" t="str">
        <f>IFERROR(__xludf.DUMMYFUNCTION("""COMPUTED_VALUE"""),"NACIONAL")</f>
        <v>NACIONAL</v>
      </c>
      <c r="AI390" s="213"/>
      <c r="AJ390" s="213"/>
      <c r="AK390" s="213"/>
      <c r="AL390" s="213"/>
      <c r="AM390" s="213"/>
      <c r="AN390" s="213"/>
      <c r="AO390" s="213"/>
      <c r="AP390" s="213" t="str">
        <f>IFERROR(__xludf.DUMMYFUNCTION("""COMPUTED_VALUE"""),"NALDI")</f>
        <v>NALDI</v>
      </c>
      <c r="AQ390" s="213"/>
      <c r="AR390" s="213"/>
      <c r="AS390" s="217" t="str">
        <f>IFERROR(__xludf.DUMMYFUNCTION("""COMPUTED_VALUE"""),"Combo Compresora 50 Litros Manguera y Pistola para Pintar")</f>
        <v>Combo Compresora 50 Litros Manguera y Pistola para Pintar</v>
      </c>
      <c r="AT390" s="215" t="str">
        <f>IFERROR(__xludf.DUMMYFUNCTION("""COMPUTED_VALUE"""),"https://www.promart.pe/combo-compresora-50-litros-manguera-y-pistola-para-pintar-101744-1000306713/p?srsltid=AfmBOooDl6HH41C464jpBn6pZSnGuZJX2yHYTrNmndZQ-rUeZYSo2PCq")</f>
        <v>https://www.promart.pe/combo-compresora-50-litros-manguera-y-pistola-para-pintar-101744-1000306713/p?srsltid=AfmBOooDl6HH41C464jpBn6pZSnGuZJX2yHYTrNmndZQ-rUeZYSo2PCq</v>
      </c>
      <c r="AU390" s="213"/>
      <c r="AV390" s="213"/>
      <c r="AW390" s="213"/>
      <c r="AX390" s="213"/>
      <c r="AY390" s="213"/>
      <c r="AZ390" s="213"/>
      <c r="BA390" s="213"/>
      <c r="BB390" s="213"/>
      <c r="BC390" s="213"/>
      <c r="BD390" s="213"/>
    </row>
    <row r="391">
      <c r="A391" s="213">
        <f>IFERROR(__xludf.DUMMYFUNCTION("""COMPUTED_VALUE"""),1049.0)</f>
        <v>1049</v>
      </c>
      <c r="B391" s="213" t="str">
        <f>IFERROR(__xludf.DUMMYFUNCTION("""COMPUTED_VALUE"""),"FRANCISCO IRAZOLA")</f>
        <v>FRANCISCO IRAZOLA</v>
      </c>
      <c r="C391" s="213" t="str">
        <f>IFERROR(__xludf.DUMMYFUNCTION("""COMPUTED_VALUE"""),"TALLER SFT DE MECÁNICA AUTOMOTRIZ")</f>
        <v>TALLER SFT DE MECÁNICA AUTOMOTRIZ</v>
      </c>
      <c r="D391" s="213" t="str">
        <f>IFERROR(__xludf.DUMMYFUNCTION("""COMPUTED_VALUE"""),"EQUIPOS")</f>
        <v>EQUIPOS</v>
      </c>
      <c r="E391" s="213" t="str">
        <f>IFERROR(__xludf.DUMMYFUNCTION("""COMPUTED_VALUE"""),"ESP-132")</f>
        <v>ESP-132</v>
      </c>
      <c r="F391" s="213" t="str">
        <f>IFERROR(__xludf.DUMMYFUNCTION("""COMPUTED_VALUE"""),"ESP-132")</f>
        <v>ESP-132</v>
      </c>
      <c r="G391" s="213"/>
      <c r="H391" s="213" t="str">
        <f>IFERROR(__xludf.DUMMYFUNCTION("""COMPUTED_VALUE"""),"COMPROBADORES DE ENCENDIDO")</f>
        <v>COMPROBADORES DE ENCENDIDO</v>
      </c>
      <c r="I391" s="213" t="str">
        <f>IFERROR(__xludf.DUMMYFUNCTION("""COMPUTED_VALUE"""),"Del tipo Digital, Adecuado para todos los motores de encendido por chispa Display mínimo LCD
Seguridad ante cortocircuito Apagado automático: Batería incuída")</f>
        <v>Del tipo Digital, Adecuado para todos los motores de encendido por chispa Display mínimo LCD
Seguridad ante cortocircuito Apagado automático: Batería incuída</v>
      </c>
      <c r="J391" s="213">
        <f>IFERROR(__xludf.DUMMYFUNCTION("""COMPUTED_VALUE"""),3.0)</f>
        <v>3</v>
      </c>
      <c r="K391" s="213" t="str">
        <f>IFERROR(__xludf.DUMMYFUNCTION("""COMPUTED_VALUE"""),"170 DÍAS CALENDARIO")</f>
        <v>170 DÍAS CALENDARIO</v>
      </c>
      <c r="L391" s="213" t="str">
        <f>IFERROR(__xludf.DUMMYFUNCTION("""COMPUTED_VALUE"""),"")</f>
        <v/>
      </c>
      <c r="M391" s="213">
        <f>IFERROR(__xludf.DUMMYFUNCTION("""COMPUTED_VALUE"""),1.0)</f>
        <v>1</v>
      </c>
      <c r="N391" s="213">
        <f>IFERROR(__xludf.DUMMYFUNCTION("""COMPUTED_VALUE"""),1.0)</f>
        <v>1</v>
      </c>
      <c r="O391" s="213">
        <f>IFERROR(__xludf.DUMMYFUNCTION("""COMPUTED_VALUE"""),1.0)</f>
        <v>1</v>
      </c>
      <c r="P391" s="213"/>
      <c r="Q391" s="213"/>
      <c r="R391" s="213"/>
      <c r="S391" s="213" t="str">
        <f>IFERROR(__xludf.DUMMYFUNCTION("""COMPUTED_VALUE"""),"SI")</f>
        <v>SI</v>
      </c>
      <c r="T391" s="213" t="str">
        <f>IFERROR(__xludf.DUMMYFUNCTION("""COMPUTED_VALUE"""),"SI")</f>
        <v>SI</v>
      </c>
      <c r="U391" s="213" t="str">
        <f>IFERROR(__xludf.DUMMYFUNCTION("""COMPUTED_VALUE"""),"NO")</f>
        <v>NO</v>
      </c>
      <c r="V391" s="213" t="str">
        <f>IFERROR(__xludf.DUMMYFUNCTION("""COMPUTED_VALUE"""),"SUSTENTO")</f>
        <v>SUSTENTO</v>
      </c>
      <c r="W391" s="213" t="str">
        <f>IFERROR(__xludf.DUMMYFUNCTION("""COMPUTED_VALUE"""),"CRÍTICO")</f>
        <v>CRÍTICO</v>
      </c>
      <c r="X391" s="213" t="str">
        <f>IFERROR(__xludf.DUMMYFUNCTION("""COMPUTED_VALUE"""),"JASTIND")</f>
        <v>JASTIND</v>
      </c>
      <c r="Y391" s="213" t="str">
        <f>IFERROR(__xludf.DUMMYFUNCTION("""COMPUTED_VALUE"""),"Automotive Test Light")</f>
        <v>Automotive Test Light</v>
      </c>
      <c r="Z391" s="215" t="str">
        <f>IFERROR(__xludf.DUMMYFUNCTION("""COMPUTED_VALUE"""),"https://www.amazon.com/-/es/JASTIND-Probador-retroiluminado-extendido-inoxidable/dp/B07PX16XDX")</f>
        <v>https://www.amazon.com/-/es/JASTIND-Probador-retroiluminado-extendido-inoxidable/dp/B07PX16XDX</v>
      </c>
      <c r="AA391" s="213" t="str">
        <f>IFERROR(__xludf.DUMMYFUNCTION("""COMPUTED_VALUE"""),"ESP-132 COMPROBADORES DE ENCENDIDOA - CET")</f>
        <v>ESP-132 COMPROBADORES DE ENCENDIDOA - CET</v>
      </c>
      <c r="AB391" s="213"/>
      <c r="AC391" s="213"/>
      <c r="AD391" s="213"/>
      <c r="AE391" s="213"/>
      <c r="AF391" s="213"/>
      <c r="AG391" s="213"/>
      <c r="AH391" s="213" t="str">
        <f>IFERROR(__xludf.DUMMYFUNCTION("""COMPUTED_VALUE"""),"IMPORTADO")</f>
        <v>IMPORTADO</v>
      </c>
      <c r="AI391" s="213"/>
      <c r="AJ391" s="213"/>
      <c r="AK391" s="213"/>
      <c r="AL391" s="213"/>
      <c r="AM391" s="213"/>
      <c r="AN391" s="213"/>
      <c r="AO391" s="213"/>
      <c r="AP391" s="213" t="str">
        <f>IFERROR(__xludf.DUMMYFUNCTION("""COMPUTED_VALUE"""),"NALDI")</f>
        <v>NALDI</v>
      </c>
      <c r="AQ391" s="213"/>
      <c r="AR391" s="213"/>
      <c r="AS391" s="213"/>
      <c r="AT391" s="213"/>
      <c r="AU391" s="213"/>
      <c r="AV391" s="213"/>
      <c r="AW391" s="213"/>
      <c r="AX391" s="213"/>
      <c r="AY391" s="213"/>
      <c r="AZ391" s="213"/>
      <c r="BA391" s="213"/>
      <c r="BB391" s="213"/>
      <c r="BC391" s="213"/>
      <c r="BD391" s="213"/>
    </row>
    <row r="392">
      <c r="A392" s="213">
        <f>IFERROR(__xludf.DUMMYFUNCTION("""COMPUTED_VALUE"""),1654.0)</f>
        <v>1654</v>
      </c>
      <c r="B392" s="213" t="str">
        <f>IFERROR(__xludf.DUMMYFUNCTION("""COMPUTED_VALUE"""),"GUILLERMO E. BILLINGHURST ")</f>
        <v>GUILLERMO E. BILLINGHURST </v>
      </c>
      <c r="C392" s="213" t="str">
        <f>IFERROR(__xludf.DUMMYFUNCTION("""COMPUTED_VALUE"""),"TALLER SFT DE MECÁNICA AUTOMOTRIZ")</f>
        <v>TALLER SFT DE MECÁNICA AUTOMOTRIZ</v>
      </c>
      <c r="D392" s="213" t="str">
        <f>IFERROR(__xludf.DUMMYFUNCTION("""COMPUTED_VALUE"""),"EQUIPOS")</f>
        <v>EQUIPOS</v>
      </c>
      <c r="E392" s="213" t="str">
        <f>IFERROR(__xludf.DUMMYFUNCTION("""COMPUTED_VALUE"""),"ESP-132")</f>
        <v>ESP-132</v>
      </c>
      <c r="F392" s="213" t="str">
        <f>IFERROR(__xludf.DUMMYFUNCTION("""COMPUTED_VALUE"""),"ESP-132")</f>
        <v>ESP-132</v>
      </c>
      <c r="G392" s="213"/>
      <c r="H392" s="213" t="str">
        <f>IFERROR(__xludf.DUMMYFUNCTION("""COMPUTED_VALUE"""),"COMPROBADORES DE ENCENDIDO")</f>
        <v>COMPROBADORES DE ENCENDIDO</v>
      </c>
      <c r="I392" s="213" t="str">
        <f>IFERROR(__xludf.DUMMYFUNCTION("""COMPUTED_VALUE"""),"Del tipo Digital, Adecuado para todos los motores de encendido por chispa Display mínimo LCD
Seguridad ante cortocircuito Apagado automático: Batería incuída")</f>
        <v>Del tipo Digital, Adecuado para todos los motores de encendido por chispa Display mínimo LCD
Seguridad ante cortocircuito Apagado automático: Batería incuída</v>
      </c>
      <c r="J392" s="213">
        <f>IFERROR(__xludf.DUMMYFUNCTION("""COMPUTED_VALUE"""),3.0)</f>
        <v>3</v>
      </c>
      <c r="K392" s="213" t="str">
        <f>IFERROR(__xludf.DUMMYFUNCTION("""COMPUTED_VALUE"""),"170 DÍAS CALENDARIO")</f>
        <v>170 DÍAS CALENDARIO</v>
      </c>
      <c r="L392" s="213" t="str">
        <f>IFERROR(__xludf.DUMMYFUNCTION("""COMPUTED_VALUE"""),"")</f>
        <v/>
      </c>
      <c r="M392" s="213">
        <f>IFERROR(__xludf.DUMMYFUNCTION("""COMPUTED_VALUE"""),1.0)</f>
        <v>1</v>
      </c>
      <c r="N392" s="213">
        <f>IFERROR(__xludf.DUMMYFUNCTION("""COMPUTED_VALUE"""),1.0)</f>
        <v>1</v>
      </c>
      <c r="O392" s="213">
        <f>IFERROR(__xludf.DUMMYFUNCTION("""COMPUTED_VALUE"""),1.0)</f>
        <v>1</v>
      </c>
      <c r="P392" s="213"/>
      <c r="Q392" s="213"/>
      <c r="R392" s="213"/>
      <c r="S392" s="213" t="str">
        <f>IFERROR(__xludf.DUMMYFUNCTION("""COMPUTED_VALUE"""),"SI")</f>
        <v>SI</v>
      </c>
      <c r="T392" s="213" t="str">
        <f>IFERROR(__xludf.DUMMYFUNCTION("""COMPUTED_VALUE"""),"SI")</f>
        <v>SI</v>
      </c>
      <c r="U392" s="213" t="str">
        <f>IFERROR(__xludf.DUMMYFUNCTION("""COMPUTED_VALUE"""),"NO")</f>
        <v>NO</v>
      </c>
      <c r="V392" s="213" t="str">
        <f>IFERROR(__xludf.DUMMYFUNCTION("""COMPUTED_VALUE"""),"SUSTENTO")</f>
        <v>SUSTENTO</v>
      </c>
      <c r="W392" s="213" t="str">
        <f>IFERROR(__xludf.DUMMYFUNCTION("""COMPUTED_VALUE"""),"CRÍTICO")</f>
        <v>CRÍTICO</v>
      </c>
      <c r="X392" s="213" t="str">
        <f>IFERROR(__xludf.DUMMYFUNCTION("""COMPUTED_VALUE"""),"JASTIND")</f>
        <v>JASTIND</v>
      </c>
      <c r="Y392" s="213" t="str">
        <f>IFERROR(__xludf.DUMMYFUNCTION("""COMPUTED_VALUE"""),"Automotive Test Light")</f>
        <v>Automotive Test Light</v>
      </c>
      <c r="Z392" s="215" t="str">
        <f>IFERROR(__xludf.DUMMYFUNCTION("""COMPUTED_VALUE"""),"https://www.amazon.com/-/es/JASTIND-Probador-retroiluminado-extendido-inoxidable/dp/B07PX16XDX")</f>
        <v>https://www.amazon.com/-/es/JASTIND-Probador-retroiluminado-extendido-inoxidable/dp/B07PX16XDX</v>
      </c>
      <c r="AA392" s="213" t="str">
        <f>IFERROR(__xludf.DUMMYFUNCTION("""COMPUTED_VALUE"""),"ESP-132 COMPROBADORES DE ENCENDIDOA - CET")</f>
        <v>ESP-132 COMPROBADORES DE ENCENDIDOA - CET</v>
      </c>
      <c r="AB392" s="213"/>
      <c r="AC392" s="213"/>
      <c r="AD392" s="213"/>
      <c r="AE392" s="213"/>
      <c r="AF392" s="213"/>
      <c r="AG392" s="213"/>
      <c r="AH392" s="213" t="str">
        <f>IFERROR(__xludf.DUMMYFUNCTION("""COMPUTED_VALUE"""),"IMPORTADO")</f>
        <v>IMPORTADO</v>
      </c>
      <c r="AI392" s="213"/>
      <c r="AJ392" s="213"/>
      <c r="AK392" s="213"/>
      <c r="AL392" s="213"/>
      <c r="AM392" s="213"/>
      <c r="AN392" s="213"/>
      <c r="AO392" s="213"/>
      <c r="AP392" s="213" t="str">
        <f>IFERROR(__xludf.DUMMYFUNCTION("""COMPUTED_VALUE"""),"NALDI")</f>
        <v>NALDI</v>
      </c>
      <c r="AQ392" s="213"/>
      <c r="AR392" s="213"/>
      <c r="AS392" s="213"/>
      <c r="AT392" s="213"/>
      <c r="AU392" s="213"/>
      <c r="AV392" s="213"/>
      <c r="AW392" s="213"/>
      <c r="AX392" s="213"/>
      <c r="AY392" s="213"/>
      <c r="AZ392" s="213"/>
      <c r="BA392" s="213"/>
      <c r="BB392" s="213"/>
      <c r="BC392" s="213"/>
      <c r="BD392" s="213"/>
    </row>
    <row r="393">
      <c r="A393" s="213">
        <f>IFERROR(__xludf.DUMMYFUNCTION("""COMPUTED_VALUE"""),2345.0)</f>
        <v>2345</v>
      </c>
      <c r="B393" s="213" t="str">
        <f>IFERROR(__xludf.DUMMYFUNCTION("""COMPUTED_VALUE"""),"JOSE GRANDA")</f>
        <v>JOSE GRANDA</v>
      </c>
      <c r="C393" s="213" t="str">
        <f>IFERROR(__xludf.DUMMYFUNCTION("""COMPUTED_VALUE"""),"TALLER SFT DE MECÁNICA AUTOMOTRIZ")</f>
        <v>TALLER SFT DE MECÁNICA AUTOMOTRIZ</v>
      </c>
      <c r="D393" s="213" t="str">
        <f>IFERROR(__xludf.DUMMYFUNCTION("""COMPUTED_VALUE"""),"EQUIPOS")</f>
        <v>EQUIPOS</v>
      </c>
      <c r="E393" s="213" t="str">
        <f>IFERROR(__xludf.DUMMYFUNCTION("""COMPUTED_VALUE"""),"ESP-132")</f>
        <v>ESP-132</v>
      </c>
      <c r="F393" s="213" t="str">
        <f>IFERROR(__xludf.DUMMYFUNCTION("""COMPUTED_VALUE"""),"ESP-132")</f>
        <v>ESP-132</v>
      </c>
      <c r="G393" s="213"/>
      <c r="H393" s="213" t="str">
        <f>IFERROR(__xludf.DUMMYFUNCTION("""COMPUTED_VALUE"""),"COMPROBADORES DE ENCENDIDO")</f>
        <v>COMPROBADORES DE ENCENDIDO</v>
      </c>
      <c r="I393" s="213" t="str">
        <f>IFERROR(__xludf.DUMMYFUNCTION("""COMPUTED_VALUE"""),"Del tipo Digital, Adecuado para todos los motores de encendido por chispa Display mínimo LCD
Seguridad ante cortocircuito Apagado automático: Batería incuída")</f>
        <v>Del tipo Digital, Adecuado para todos los motores de encendido por chispa Display mínimo LCD
Seguridad ante cortocircuito Apagado automático: Batería incuída</v>
      </c>
      <c r="J393" s="213">
        <f>IFERROR(__xludf.DUMMYFUNCTION("""COMPUTED_VALUE"""),3.0)</f>
        <v>3</v>
      </c>
      <c r="K393" s="213" t="str">
        <f>IFERROR(__xludf.DUMMYFUNCTION("""COMPUTED_VALUE"""),"170 DÍAS CALENDARIO")</f>
        <v>170 DÍAS CALENDARIO</v>
      </c>
      <c r="L393" s="213" t="str">
        <f>IFERROR(__xludf.DUMMYFUNCTION("""COMPUTED_VALUE"""),"")</f>
        <v/>
      </c>
      <c r="M393" s="213">
        <f>IFERROR(__xludf.DUMMYFUNCTION("""COMPUTED_VALUE"""),1.0)</f>
        <v>1</v>
      </c>
      <c r="N393" s="213">
        <f>IFERROR(__xludf.DUMMYFUNCTION("""COMPUTED_VALUE"""),1.0)</f>
        <v>1</v>
      </c>
      <c r="O393" s="213">
        <f>IFERROR(__xludf.DUMMYFUNCTION("""COMPUTED_VALUE"""),1.0)</f>
        <v>1</v>
      </c>
      <c r="P393" s="213"/>
      <c r="Q393" s="213"/>
      <c r="R393" s="213"/>
      <c r="S393" s="213" t="str">
        <f>IFERROR(__xludf.DUMMYFUNCTION("""COMPUTED_VALUE"""),"SI")</f>
        <v>SI</v>
      </c>
      <c r="T393" s="213" t="str">
        <f>IFERROR(__xludf.DUMMYFUNCTION("""COMPUTED_VALUE"""),"SI")</f>
        <v>SI</v>
      </c>
      <c r="U393" s="213" t="str">
        <f>IFERROR(__xludf.DUMMYFUNCTION("""COMPUTED_VALUE"""),"NO")</f>
        <v>NO</v>
      </c>
      <c r="V393" s="213" t="str">
        <f>IFERROR(__xludf.DUMMYFUNCTION("""COMPUTED_VALUE"""),"SUSTENTO")</f>
        <v>SUSTENTO</v>
      </c>
      <c r="W393" s="213" t="str">
        <f>IFERROR(__xludf.DUMMYFUNCTION("""COMPUTED_VALUE"""),"CRÍTICO")</f>
        <v>CRÍTICO</v>
      </c>
      <c r="X393" s="213" t="str">
        <f>IFERROR(__xludf.DUMMYFUNCTION("""COMPUTED_VALUE"""),"JASTIND")</f>
        <v>JASTIND</v>
      </c>
      <c r="Y393" s="213" t="str">
        <f>IFERROR(__xludf.DUMMYFUNCTION("""COMPUTED_VALUE"""),"Automotive Test Light")</f>
        <v>Automotive Test Light</v>
      </c>
      <c r="Z393" s="215" t="str">
        <f>IFERROR(__xludf.DUMMYFUNCTION("""COMPUTED_VALUE"""),"https://www.amazon.com/-/es/JASTIND-Probador-retroiluminado-extendido-inoxidable/dp/B07PX16XDX")</f>
        <v>https://www.amazon.com/-/es/JASTIND-Probador-retroiluminado-extendido-inoxidable/dp/B07PX16XDX</v>
      </c>
      <c r="AA393" s="213" t="str">
        <f>IFERROR(__xludf.DUMMYFUNCTION("""COMPUTED_VALUE"""),"ESP-132 COMPROBADORES DE ENCENDIDOA - CET")</f>
        <v>ESP-132 COMPROBADORES DE ENCENDIDOA - CET</v>
      </c>
      <c r="AB393" s="213"/>
      <c r="AC393" s="213"/>
      <c r="AD393" s="213"/>
      <c r="AE393" s="213"/>
      <c r="AF393" s="213"/>
      <c r="AG393" s="213"/>
      <c r="AH393" s="213" t="str">
        <f>IFERROR(__xludf.DUMMYFUNCTION("""COMPUTED_VALUE"""),"IMPORTADO")</f>
        <v>IMPORTADO</v>
      </c>
      <c r="AI393" s="213"/>
      <c r="AJ393" s="213"/>
      <c r="AK393" s="213"/>
      <c r="AL393" s="213"/>
      <c r="AM393" s="213"/>
      <c r="AN393" s="213"/>
      <c r="AO393" s="213"/>
      <c r="AP393" s="213" t="str">
        <f>IFERROR(__xludf.DUMMYFUNCTION("""COMPUTED_VALUE"""),"NALDI")</f>
        <v>NALDI</v>
      </c>
      <c r="AQ393" s="213"/>
      <c r="AR393" s="213"/>
      <c r="AS393" s="213"/>
      <c r="AT393" s="213"/>
      <c r="AU393" s="213"/>
      <c r="AV393" s="213"/>
      <c r="AW393" s="213"/>
      <c r="AX393" s="213"/>
      <c r="AY393" s="213"/>
      <c r="AZ393" s="213"/>
      <c r="BA393" s="213"/>
      <c r="BB393" s="213"/>
      <c r="BC393" s="213"/>
      <c r="BD393" s="213"/>
    </row>
    <row r="394">
      <c r="A394" s="213">
        <f>IFERROR(__xludf.DUMMYFUNCTION("""COMPUTED_VALUE"""),126.0)</f>
        <v>126</v>
      </c>
      <c r="B394" s="213" t="str">
        <f>IFERROR(__xludf.DUMMYFUNCTION("""COMPUTED_VALUE"""),"16449 ELOY SOBERON  FLORES")</f>
        <v>16449 ELOY SOBERON  FLORES</v>
      </c>
      <c r="C394" s="213" t="str">
        <f>IFERROR(__xludf.DUMMYFUNCTION("""COMPUTED_VALUE"""),"TALLER SFT DE COCINA Y REPOSTERÍA")</f>
        <v>TALLER SFT DE COCINA Y REPOSTERÍA</v>
      </c>
      <c r="D394" s="213" t="str">
        <f>IFERROR(__xludf.DUMMYFUNCTION("""COMPUTED_VALUE"""),"TICS")</f>
        <v>TICS</v>
      </c>
      <c r="E394" s="213" t="str">
        <f>IFERROR(__xludf.DUMMYFUNCTION("""COMPUTED_VALUE"""),"TEC-104")</f>
        <v>TEC-104</v>
      </c>
      <c r="F394" s="213" t="str">
        <f>IFERROR(__xludf.DUMMYFUNCTION("""COMPUTED_VALUE"""),"TEC-104")</f>
        <v>TEC-104</v>
      </c>
      <c r="G394" s="213"/>
      <c r="H394" s="213" t="str">
        <f>IFERROR(__xludf.DUMMYFUNCTION("""COMPUTED_VALUE"""),"COMPUTADORA DE ESCRITORIO")</f>
        <v>COMPUTADORA DE ESCRITORIO</v>
      </c>
      <c r="I394"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394" s="213">
        <f>IFERROR(__xludf.DUMMYFUNCTION("""COMPUTED_VALUE"""),3.0)</f>
        <v>3</v>
      </c>
      <c r="K394" s="213" t="str">
        <f>IFERROR(__xludf.DUMMYFUNCTION("""COMPUTED_VALUE"""),"170 DÍAS CALENDARIO")</f>
        <v>170 DÍAS CALENDARIO</v>
      </c>
      <c r="L394"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94" s="213">
        <f>IFERROR(__xludf.DUMMYFUNCTION("""COMPUTED_VALUE"""),1.0)</f>
        <v>1</v>
      </c>
      <c r="N394" s="213">
        <f>IFERROR(__xludf.DUMMYFUNCTION("""COMPUTED_VALUE"""),21.0)</f>
        <v>21</v>
      </c>
      <c r="O394" s="213">
        <f>IFERROR(__xludf.DUMMYFUNCTION("""COMPUTED_VALUE"""),21.0)</f>
        <v>21</v>
      </c>
      <c r="P394" s="213"/>
      <c r="Q394" s="213"/>
      <c r="R394" s="213"/>
      <c r="S394" s="213"/>
      <c r="T394" s="213" t="str">
        <f>IFERROR(__xludf.DUMMYFUNCTION("""COMPUTED_VALUE"""),"CONSULTA FINAL")</f>
        <v>CONSULTA FINAL</v>
      </c>
      <c r="U394" s="213" t="str">
        <f>IFERROR(__xludf.DUMMYFUNCTION("""COMPUTED_VALUE"""),"NO")</f>
        <v>NO</v>
      </c>
      <c r="V394" s="213" t="str">
        <f>IFERROR(__xludf.DUMMYFUNCTION("""COMPUTED_VALUE"""),"SUSTENTO")</f>
        <v>SUSTENTO</v>
      </c>
      <c r="W394" s="213" t="str">
        <f>IFERROR(__xludf.DUMMYFUNCTION("""COMPUTED_VALUE"""),"EQU TEC")</f>
        <v>EQU TEC</v>
      </c>
      <c r="X394" s="213" t="str">
        <f>IFERROR(__xludf.DUMMYFUNCTION("""COMPUTED_VALUE"""),"HP")</f>
        <v>HP</v>
      </c>
      <c r="Y394" s="213" t="str">
        <f>IFERROR(__xludf.DUMMYFUNCTION("""COMPUTED_VALUE"""),"ProOne 440 G9")</f>
        <v>ProOne 440 G9</v>
      </c>
      <c r="Z394" s="215" t="str">
        <f>IFERROR(__xludf.DUMMYFUNCTION("""COMPUTED_VALUE"""),"https://support.hp.com/pe-es/document/ish_5956566-5987452-16")</f>
        <v>https://support.hp.com/pe-es/document/ish_5956566-5987452-16</v>
      </c>
      <c r="AA394" s="213" t="str">
        <f>IFERROR(__xludf.DUMMYFUNCTION("""COMPUTED_VALUE"""),"TEC-104 COMPUTADORA DE ESCRITORIO - CET")</f>
        <v>TEC-104 COMPUTADORA DE ESCRITORIO - CET</v>
      </c>
      <c r="AB394" s="213"/>
      <c r="AC394" s="213"/>
      <c r="AD394" s="213"/>
      <c r="AE394" s="213"/>
      <c r="AF394" s="213"/>
      <c r="AG394" s="213"/>
      <c r="AH394" s="213"/>
      <c r="AI394" s="213"/>
      <c r="AJ394" s="213"/>
      <c r="AK394" s="213"/>
      <c r="AL394" s="213"/>
      <c r="AM394" s="213"/>
      <c r="AN394" s="213"/>
      <c r="AO394" s="213"/>
      <c r="AP394" s="213" t="str">
        <f>IFERROR(__xludf.DUMMYFUNCTION("""COMPUTED_VALUE"""),"NALDI")</f>
        <v>NALDI</v>
      </c>
      <c r="AQ394" s="213" t="str">
        <f>IFERROR(__xludf.DUMMYFUNCTION("""COMPUTED_VALUE"""),"Solicitar versión de teclado en español")</f>
        <v>Solicitar versión de teclado en español</v>
      </c>
      <c r="AR394" s="213"/>
      <c r="AS394"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394" s="213"/>
      <c r="AU394" s="213"/>
      <c r="AV394" s="213"/>
      <c r="AW394" s="213"/>
      <c r="AX394" s="213"/>
      <c r="AY394" s="213"/>
      <c r="AZ394" s="213"/>
      <c r="BA394" s="213"/>
      <c r="BB394" s="213"/>
      <c r="BC394" s="213"/>
      <c r="BD394" s="213"/>
    </row>
    <row r="395">
      <c r="A395" s="213">
        <f>IFERROR(__xludf.DUMMYFUNCTION("""COMPUTED_VALUE"""),187.0)</f>
        <v>187</v>
      </c>
      <c r="B395" s="213" t="str">
        <f>IFERROR(__xludf.DUMMYFUNCTION("""COMPUTED_VALUE"""),"2026 SIMON BOLIVAR")</f>
        <v>2026 SIMON BOLIVAR</v>
      </c>
      <c r="C395" s="213" t="str">
        <f>IFERROR(__xludf.DUMMYFUNCTION("""COMPUTED_VALUE"""),"TALLER SFT DE INDUSTRIA DEL VESTIDO")</f>
        <v>TALLER SFT DE INDUSTRIA DEL VESTIDO</v>
      </c>
      <c r="D395" s="213" t="str">
        <f>IFERROR(__xludf.DUMMYFUNCTION("""COMPUTED_VALUE"""),"TICS")</f>
        <v>TICS</v>
      </c>
      <c r="E395" s="213" t="str">
        <f>IFERROR(__xludf.DUMMYFUNCTION("""COMPUTED_VALUE"""),"TEC-104")</f>
        <v>TEC-104</v>
      </c>
      <c r="F395" s="213" t="str">
        <f>IFERROR(__xludf.DUMMYFUNCTION("""COMPUTED_VALUE"""),"TEC-104")</f>
        <v>TEC-104</v>
      </c>
      <c r="G395" s="213"/>
      <c r="H395" s="213" t="str">
        <f>IFERROR(__xludf.DUMMYFUNCTION("""COMPUTED_VALUE"""),"COMPUTADORA DE ESCRITORIO")</f>
        <v>COMPUTADORA DE ESCRITORIO</v>
      </c>
      <c r="I395"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Pe"&amp;"rmite diseño de prototipos e interfaces para aplicaciones y sitios web / Entre las alternativas gratuitas /libres: Gimp, krita, Inkscape, Pencil Proyect, entre otros.
· Software para diseño y edición de videos – spot publicitarios:
- Gratuitos /libres (de"&amp;" código abierto) / Idioma español / Compatible con el sistema operativo de la computadora (Windows 8 o posterior) / Permite diseñar y  editar videos / Trabaja con diferentes formatos: Un amplio soporte para diferentes formatos, incluyendo MP4, AVI, MOV, A"&amp;"VCHD y más / Permite crear videos de alta resolución: 4K, y trabajar en formato SD y HD / Dispone de las herramientas más utilizadas en los editores de vídeos: cortar, recortar, dividir y combinar en unos pocos clics / Permite generar acabados: Varios fil"&amp;"tros y efectos visuales para retocar el vídeo, efectos especiales en 2D y 3D / Dispone de herramientas para realizar diseños y animaciones en 3D y plantillas animadas gratuitas / Permite editar, ajustar perfeccionar el audio / Entre las alternativas gratu"&amp;"itas /libres: Windows Movie Maker, Video editor Wondershare filmadora, Lightworks, VSDC Free Video editor, Blender,  entre otros.
· Software / programas para elaborar flujogramas:
- Gratuitos /libres (de código abierto) / Idioma español / Compatible con e"&amp;"l sistema operativo de la computadora (Windows 11 o posterior) / Diseña diagramas de flujos y organigramas / Contiene una variedad de símbolos y estilos de conexión de líneas / Edita, personaliza colores, rellenos y trazos / Entre las alternativas gratuit"&amp;"as /libres: clickCharts, CreatelyDia, yEd Graph Editor, Pencil project, entre otros.
· Software para elaborar presupuestos
- Gratuitos /libres (de código abierto) / Idioma español / Compatible con el sistema operativo de la computadora (Windows 8 o poster"&amp;"ior)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395" s="213">
        <f>IFERROR(__xludf.DUMMYFUNCTION("""COMPUTED_VALUE"""),3.0)</f>
        <v>3</v>
      </c>
      <c r="K395" s="213" t="str">
        <f>IFERROR(__xludf.DUMMYFUNCTION("""COMPUTED_VALUE"""),"170 DÍAS CALENDARIO")</f>
        <v>170 DÍAS CALENDARIO</v>
      </c>
      <c r="L395"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95" s="213">
        <f>IFERROR(__xludf.DUMMYFUNCTION("""COMPUTED_VALUE"""),1.0)</f>
        <v>1</v>
      </c>
      <c r="N395" s="213">
        <f>IFERROR(__xludf.DUMMYFUNCTION("""COMPUTED_VALUE"""),16.0)</f>
        <v>16</v>
      </c>
      <c r="O395" s="213">
        <f>IFERROR(__xludf.DUMMYFUNCTION("""COMPUTED_VALUE"""),16.0)</f>
        <v>16</v>
      </c>
      <c r="P395" s="213"/>
      <c r="Q395" s="213"/>
      <c r="R395" s="213"/>
      <c r="S395" s="213"/>
      <c r="T395" s="213" t="str">
        <f>IFERROR(__xludf.DUMMYFUNCTION("""COMPUTED_VALUE"""),"CONSULTA FINAL")</f>
        <v>CONSULTA FINAL</v>
      </c>
      <c r="U395" s="213" t="str">
        <f>IFERROR(__xludf.DUMMYFUNCTION("""COMPUTED_VALUE"""),"NO")</f>
        <v>NO</v>
      </c>
      <c r="V395" s="213" t="str">
        <f>IFERROR(__xludf.DUMMYFUNCTION("""COMPUTED_VALUE"""),"SUSTENTO")</f>
        <v>SUSTENTO</v>
      </c>
      <c r="W395" s="213" t="str">
        <f>IFERROR(__xludf.DUMMYFUNCTION("""COMPUTED_VALUE"""),"EQU TEC")</f>
        <v>EQU TEC</v>
      </c>
      <c r="X395" s="213" t="str">
        <f>IFERROR(__xludf.DUMMYFUNCTION("""COMPUTED_VALUE"""),"HP")</f>
        <v>HP</v>
      </c>
      <c r="Y395" s="213" t="str">
        <f>IFERROR(__xludf.DUMMYFUNCTION("""COMPUTED_VALUE"""),"ProOne 440 G9")</f>
        <v>ProOne 440 G9</v>
      </c>
      <c r="Z395" s="215" t="str">
        <f>IFERROR(__xludf.DUMMYFUNCTION("""COMPUTED_VALUE"""),"https://support.hp.com/pe-es/document/ish_5956566-5987452-17")</f>
        <v>https://support.hp.com/pe-es/document/ish_5956566-5987452-17</v>
      </c>
      <c r="AA395" s="213" t="str">
        <f>IFERROR(__xludf.DUMMYFUNCTION("""COMPUTED_VALUE"""),"TEC-104 COMPUTADORA DE ESCRITORIO - CET")</f>
        <v>TEC-104 COMPUTADORA DE ESCRITORIO - CET</v>
      </c>
      <c r="AB395" s="213"/>
      <c r="AC395" s="213"/>
      <c r="AD395" s="213"/>
      <c r="AE395" s="213"/>
      <c r="AF395" s="213"/>
      <c r="AG395" s="213"/>
      <c r="AH395" s="213"/>
      <c r="AI395" s="213"/>
      <c r="AJ395" s="213"/>
      <c r="AK395" s="213"/>
      <c r="AL395" s="213"/>
      <c r="AM395" s="213"/>
      <c r="AN395" s="213"/>
      <c r="AO395" s="213"/>
      <c r="AP395" s="213" t="str">
        <f>IFERROR(__xludf.DUMMYFUNCTION("""COMPUTED_VALUE"""),"NALDI")</f>
        <v>NALDI</v>
      </c>
      <c r="AQ395" s="213" t="str">
        <f>IFERROR(__xludf.DUMMYFUNCTION("""COMPUTED_VALUE"""),"Solicitar versión de teclado en español")</f>
        <v>Solicitar versión de teclado en español</v>
      </c>
      <c r="AR395" s="213"/>
      <c r="AS395"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395" s="213"/>
      <c r="AU395" s="213"/>
      <c r="AV395" s="213"/>
      <c r="AW395" s="213"/>
      <c r="AX395" s="213"/>
      <c r="AY395" s="213"/>
      <c r="AZ395" s="213"/>
      <c r="BA395" s="213"/>
      <c r="BB395" s="213"/>
      <c r="BC395" s="213"/>
      <c r="BD395" s="213"/>
    </row>
    <row r="396">
      <c r="A396" s="213">
        <f>IFERROR(__xludf.DUMMYFUNCTION("""COMPUTED_VALUE"""),272.0)</f>
        <v>272</v>
      </c>
      <c r="B396" s="213" t="str">
        <f>IFERROR(__xludf.DUMMYFUNCTION("""COMPUTED_VALUE"""),"2026 SIMON BOLIVAR")</f>
        <v>2026 SIMON BOLIVAR</v>
      </c>
      <c r="C396" s="213" t="str">
        <f>IFERROR(__xludf.DUMMYFUNCTION("""COMPUTED_VALUE"""),"TALLER SFT DE COMPUTACIÓN E INFORMÁTICA")</f>
        <v>TALLER SFT DE COMPUTACIÓN E INFORMÁTICA</v>
      </c>
      <c r="D396" s="213" t="str">
        <f>IFERROR(__xludf.DUMMYFUNCTION("""COMPUTED_VALUE"""),"TICS")</f>
        <v>TICS</v>
      </c>
      <c r="E396" s="213" t="str">
        <f>IFERROR(__xludf.DUMMYFUNCTION("""COMPUTED_VALUE"""),"TEC-104")</f>
        <v>TEC-104</v>
      </c>
      <c r="F396" s="213" t="str">
        <f>IFERROR(__xludf.DUMMYFUNCTION("""COMPUTED_VALUE"""),"TEC-104")</f>
        <v>TEC-104</v>
      </c>
      <c r="G396" s="213"/>
      <c r="H396" s="213" t="str">
        <f>IFERROR(__xludf.DUMMYFUNCTION("""COMPUTED_VALUE"""),"COMPUTADORA DE ESCRITORIO")</f>
        <v>COMPUTADORA DE ESCRITORIO</v>
      </c>
      <c r="I396"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396" s="213">
        <f>IFERROR(__xludf.DUMMYFUNCTION("""COMPUTED_VALUE"""),3.0)</f>
        <v>3</v>
      </c>
      <c r="K396" s="213" t="str">
        <f>IFERROR(__xludf.DUMMYFUNCTION("""COMPUTED_VALUE"""),"170 DÍAS CALENDARIO")</f>
        <v>170 DÍAS CALENDARIO</v>
      </c>
      <c r="L396"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96" s="213">
        <f>IFERROR(__xludf.DUMMYFUNCTION("""COMPUTED_VALUE"""),1.0)</f>
        <v>1</v>
      </c>
      <c r="N396" s="213">
        <f>IFERROR(__xludf.DUMMYFUNCTION("""COMPUTED_VALUE"""),16.0)</f>
        <v>16</v>
      </c>
      <c r="O396" s="213">
        <f>IFERROR(__xludf.DUMMYFUNCTION("""COMPUTED_VALUE"""),16.0)</f>
        <v>16</v>
      </c>
      <c r="P396" s="213"/>
      <c r="Q396" s="213"/>
      <c r="R396" s="213"/>
      <c r="S396" s="213"/>
      <c r="T396" s="213" t="str">
        <f>IFERROR(__xludf.DUMMYFUNCTION("""COMPUTED_VALUE"""),"CONSULTA FINAL")</f>
        <v>CONSULTA FINAL</v>
      </c>
      <c r="U396" s="213" t="str">
        <f>IFERROR(__xludf.DUMMYFUNCTION("""COMPUTED_VALUE"""),"NO")</f>
        <v>NO</v>
      </c>
      <c r="V396" s="213" t="str">
        <f>IFERROR(__xludf.DUMMYFUNCTION("""COMPUTED_VALUE"""),"SUSTENTO")</f>
        <v>SUSTENTO</v>
      </c>
      <c r="W396" s="213" t="str">
        <f>IFERROR(__xludf.DUMMYFUNCTION("""COMPUTED_VALUE"""),"EQU TEC")</f>
        <v>EQU TEC</v>
      </c>
      <c r="X396" s="213" t="str">
        <f>IFERROR(__xludf.DUMMYFUNCTION("""COMPUTED_VALUE"""),"HP")</f>
        <v>HP</v>
      </c>
      <c r="Y396" s="213" t="str">
        <f>IFERROR(__xludf.DUMMYFUNCTION("""COMPUTED_VALUE"""),"ProOne 440 G9")</f>
        <v>ProOne 440 G9</v>
      </c>
      <c r="Z396" s="215" t="str">
        <f>IFERROR(__xludf.DUMMYFUNCTION("""COMPUTED_VALUE"""),"https://support.hp.com/pe-es/document/ish_5956566-5987452-18")</f>
        <v>https://support.hp.com/pe-es/document/ish_5956566-5987452-18</v>
      </c>
      <c r="AA396" s="213" t="str">
        <f>IFERROR(__xludf.DUMMYFUNCTION("""COMPUTED_VALUE"""),"TEC-104 COMPUTADORA DE ESCRITORIO - CET")</f>
        <v>TEC-104 COMPUTADORA DE ESCRITORIO - CET</v>
      </c>
      <c r="AB396" s="213"/>
      <c r="AC396" s="213"/>
      <c r="AD396" s="213"/>
      <c r="AE396" s="213"/>
      <c r="AF396" s="213"/>
      <c r="AG396" s="213"/>
      <c r="AH396" s="213"/>
      <c r="AI396" s="213"/>
      <c r="AJ396" s="213"/>
      <c r="AK396" s="213"/>
      <c r="AL396" s="213"/>
      <c r="AM396" s="213"/>
      <c r="AN396" s="213"/>
      <c r="AO396" s="213"/>
      <c r="AP396" s="213" t="str">
        <f>IFERROR(__xludf.DUMMYFUNCTION("""COMPUTED_VALUE"""),"NALDI")</f>
        <v>NALDI</v>
      </c>
      <c r="AQ396" s="213" t="str">
        <f>IFERROR(__xludf.DUMMYFUNCTION("""COMPUTED_VALUE"""),"Solicitar versión de teclado en español")</f>
        <v>Solicitar versión de teclado en español</v>
      </c>
      <c r="AR396" s="213"/>
      <c r="AS396"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396" s="213"/>
      <c r="AU396" s="213"/>
      <c r="AV396" s="213"/>
      <c r="AW396" s="213"/>
      <c r="AX396" s="213"/>
      <c r="AY396" s="213"/>
      <c r="AZ396" s="213"/>
      <c r="BA396" s="213"/>
      <c r="BB396" s="213"/>
      <c r="BC396" s="213"/>
      <c r="BD396" s="213"/>
    </row>
    <row r="397">
      <c r="A397" s="213">
        <f>IFERROR(__xludf.DUMMYFUNCTION("""COMPUTED_VALUE"""),283.0)</f>
        <v>283</v>
      </c>
      <c r="B397" s="213" t="str">
        <f>IFERROR(__xludf.DUMMYFUNCTION("""COMPUTED_VALUE"""),"2026 SIMON BOLIVAR")</f>
        <v>2026 SIMON BOLIVAR</v>
      </c>
      <c r="C397" s="213" t="str">
        <f>IFERROR(__xludf.DUMMYFUNCTION("""COMPUTED_VALUE"""),"TALLER SFT DE COMPUTACIÓN E INFORMÁTICA")</f>
        <v>TALLER SFT DE COMPUTACIÓN E INFORMÁTICA</v>
      </c>
      <c r="D397" s="213" t="str">
        <f>IFERROR(__xludf.DUMMYFUNCTION("""COMPUTED_VALUE"""),"TICS")</f>
        <v>TICS</v>
      </c>
      <c r="E397" s="213" t="str">
        <f>IFERROR(__xludf.DUMMYFUNCTION("""COMPUTED_VALUE"""),"TEC-104")</f>
        <v>TEC-104</v>
      </c>
      <c r="F397" s="213" t="str">
        <f>IFERROR(__xludf.DUMMYFUNCTION("""COMPUTED_VALUE"""),"TEC-104")</f>
        <v>TEC-104</v>
      </c>
      <c r="G397" s="213"/>
      <c r="H397" s="213" t="str">
        <f>IFERROR(__xludf.DUMMYFUNCTION("""COMPUTED_VALUE"""),"COMPUTADORA DE ESCRITORIO")</f>
        <v>COMPUTADORA DE ESCRITORIO</v>
      </c>
      <c r="I397"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397" s="213">
        <f>IFERROR(__xludf.DUMMYFUNCTION("""COMPUTED_VALUE"""),3.0)</f>
        <v>3</v>
      </c>
      <c r="K397" s="213" t="str">
        <f>IFERROR(__xludf.DUMMYFUNCTION("""COMPUTED_VALUE"""),"170 DÍAS CALENDARIO")</f>
        <v>170 DÍAS CALENDARIO</v>
      </c>
      <c r="L397"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97" s="213">
        <f>IFERROR(__xludf.DUMMYFUNCTION("""COMPUTED_VALUE"""),1.0)</f>
        <v>1</v>
      </c>
      <c r="N397" s="213">
        <f>IFERROR(__xludf.DUMMYFUNCTION("""COMPUTED_VALUE"""),1.0)</f>
        <v>1</v>
      </c>
      <c r="O397" s="213">
        <f>IFERROR(__xludf.DUMMYFUNCTION("""COMPUTED_VALUE"""),1.0)</f>
        <v>1</v>
      </c>
      <c r="P397" s="213"/>
      <c r="Q397" s="213"/>
      <c r="R397" s="213"/>
      <c r="S397" s="213"/>
      <c r="T397" s="213" t="str">
        <f>IFERROR(__xludf.DUMMYFUNCTION("""COMPUTED_VALUE"""),"CONSULTA FINAL")</f>
        <v>CONSULTA FINAL</v>
      </c>
      <c r="U397" s="213" t="str">
        <f>IFERROR(__xludf.DUMMYFUNCTION("""COMPUTED_VALUE"""),"NO")</f>
        <v>NO</v>
      </c>
      <c r="V397" s="213" t="str">
        <f>IFERROR(__xludf.DUMMYFUNCTION("""COMPUTED_VALUE"""),"SUSTENTO")</f>
        <v>SUSTENTO</v>
      </c>
      <c r="W397" s="213" t="str">
        <f>IFERROR(__xludf.DUMMYFUNCTION("""COMPUTED_VALUE"""),"EQU TEC")</f>
        <v>EQU TEC</v>
      </c>
      <c r="X397" s="213" t="str">
        <f>IFERROR(__xludf.DUMMYFUNCTION("""COMPUTED_VALUE"""),"HP")</f>
        <v>HP</v>
      </c>
      <c r="Y397" s="213" t="str">
        <f>IFERROR(__xludf.DUMMYFUNCTION("""COMPUTED_VALUE"""),"ProOne 440 G9")</f>
        <v>ProOne 440 G9</v>
      </c>
      <c r="Z397" s="215" t="str">
        <f>IFERROR(__xludf.DUMMYFUNCTION("""COMPUTED_VALUE"""),"https://support.hp.com/pe-es/document/ish_5956566-5987452-19")</f>
        <v>https://support.hp.com/pe-es/document/ish_5956566-5987452-19</v>
      </c>
      <c r="AA397" s="213" t="str">
        <f>IFERROR(__xludf.DUMMYFUNCTION("""COMPUTED_VALUE"""),"TEC-104 COMPUTADORA DE ESCRITORIO - CET")</f>
        <v>TEC-104 COMPUTADORA DE ESCRITORIO - CET</v>
      </c>
      <c r="AB397" s="213"/>
      <c r="AC397" s="213"/>
      <c r="AD397" s="213"/>
      <c r="AE397" s="213"/>
      <c r="AF397" s="213"/>
      <c r="AG397" s="213"/>
      <c r="AH397" s="213"/>
      <c r="AI397" s="213"/>
      <c r="AJ397" s="213"/>
      <c r="AK397" s="213"/>
      <c r="AL397" s="213"/>
      <c r="AM397" s="213"/>
      <c r="AN397" s="213"/>
      <c r="AO397" s="213"/>
      <c r="AP397" s="213" t="str">
        <f>IFERROR(__xludf.DUMMYFUNCTION("""COMPUTED_VALUE"""),"NALDI")</f>
        <v>NALDI</v>
      </c>
      <c r="AQ397" s="213" t="str">
        <f>IFERROR(__xludf.DUMMYFUNCTION("""COMPUTED_VALUE"""),"Solicitar versión de teclado en español")</f>
        <v>Solicitar versión de teclado en español</v>
      </c>
      <c r="AR397" s="213"/>
      <c r="AS397"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397" s="213"/>
      <c r="AU397" s="213"/>
      <c r="AV397" s="213"/>
      <c r="AW397" s="213"/>
      <c r="AX397" s="213"/>
      <c r="AY397" s="213"/>
      <c r="AZ397" s="213"/>
      <c r="BA397" s="213"/>
      <c r="BB397" s="213"/>
      <c r="BC397" s="213"/>
      <c r="BD397" s="213"/>
    </row>
    <row r="398">
      <c r="A398" s="213">
        <f>IFERROR(__xludf.DUMMYFUNCTION("""COMPUTED_VALUE"""),285.0)</f>
        <v>285</v>
      </c>
      <c r="B398" s="213" t="str">
        <f>IFERROR(__xludf.DUMMYFUNCTION("""COMPUTED_VALUE"""),"2026 SIMON BOLIVAR")</f>
        <v>2026 SIMON BOLIVAR</v>
      </c>
      <c r="C398" s="213" t="str">
        <f>IFERROR(__xludf.DUMMYFUNCTION("""COMPUTED_VALUE"""),"TALLER SFT DE COMPUTACIÓN E INFORMÁTICA")</f>
        <v>TALLER SFT DE COMPUTACIÓN E INFORMÁTICA</v>
      </c>
      <c r="D398" s="213" t="str">
        <f>IFERROR(__xludf.DUMMYFUNCTION("""COMPUTED_VALUE"""),"TICS")</f>
        <v>TICS</v>
      </c>
      <c r="E398" s="213" t="str">
        <f>IFERROR(__xludf.DUMMYFUNCTION("""COMPUTED_VALUE"""),"TEC-104")</f>
        <v>TEC-104</v>
      </c>
      <c r="F398" s="213" t="str">
        <f>IFERROR(__xludf.DUMMYFUNCTION("""COMPUTED_VALUE"""),"TEC-104")</f>
        <v>TEC-104</v>
      </c>
      <c r="G398" s="213"/>
      <c r="H398" s="213" t="str">
        <f>IFERROR(__xludf.DUMMYFUNCTION("""COMPUTED_VALUE"""),"COMPUTADORA DE ESCRITORIO")</f>
        <v>COMPUTADORA DE ESCRITORIO</v>
      </c>
      <c r="I398"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398" s="213">
        <f>IFERROR(__xludf.DUMMYFUNCTION("""COMPUTED_VALUE"""),3.0)</f>
        <v>3</v>
      </c>
      <c r="K398" s="213" t="str">
        <f>IFERROR(__xludf.DUMMYFUNCTION("""COMPUTED_VALUE"""),"170 DÍAS CALENDARIO")</f>
        <v>170 DÍAS CALENDARIO</v>
      </c>
      <c r="L398"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98" s="213">
        <f>IFERROR(__xludf.DUMMYFUNCTION("""COMPUTED_VALUE"""),1.0)</f>
        <v>1</v>
      </c>
      <c r="N398" s="213">
        <f>IFERROR(__xludf.DUMMYFUNCTION("""COMPUTED_VALUE"""),8.0)</f>
        <v>8</v>
      </c>
      <c r="O398" s="213">
        <f>IFERROR(__xludf.DUMMYFUNCTION("""COMPUTED_VALUE"""),8.0)</f>
        <v>8</v>
      </c>
      <c r="P398" s="213"/>
      <c r="Q398" s="213"/>
      <c r="R398" s="213"/>
      <c r="S398" s="213"/>
      <c r="T398" s="213" t="str">
        <f>IFERROR(__xludf.DUMMYFUNCTION("""COMPUTED_VALUE"""),"CONSULTA FINAL")</f>
        <v>CONSULTA FINAL</v>
      </c>
      <c r="U398" s="213" t="str">
        <f>IFERROR(__xludf.DUMMYFUNCTION("""COMPUTED_VALUE"""),"NO")</f>
        <v>NO</v>
      </c>
      <c r="V398" s="213" t="str">
        <f>IFERROR(__xludf.DUMMYFUNCTION("""COMPUTED_VALUE"""),"SUSTENTO")</f>
        <v>SUSTENTO</v>
      </c>
      <c r="W398" s="213" t="str">
        <f>IFERROR(__xludf.DUMMYFUNCTION("""COMPUTED_VALUE"""),"EQU TEC")</f>
        <v>EQU TEC</v>
      </c>
      <c r="X398" s="213" t="str">
        <f>IFERROR(__xludf.DUMMYFUNCTION("""COMPUTED_VALUE"""),"HP")</f>
        <v>HP</v>
      </c>
      <c r="Y398" s="213" t="str">
        <f>IFERROR(__xludf.DUMMYFUNCTION("""COMPUTED_VALUE"""),"ProOne 440 G9")</f>
        <v>ProOne 440 G9</v>
      </c>
      <c r="Z398" s="215" t="str">
        <f>IFERROR(__xludf.DUMMYFUNCTION("""COMPUTED_VALUE"""),"https://support.hp.com/pe-es/document/ish_5956566-5987452-20")</f>
        <v>https://support.hp.com/pe-es/document/ish_5956566-5987452-20</v>
      </c>
      <c r="AA398" s="213" t="str">
        <f>IFERROR(__xludf.DUMMYFUNCTION("""COMPUTED_VALUE"""),"TEC-104 COMPUTADORA DE ESCRITORIO - CET")</f>
        <v>TEC-104 COMPUTADORA DE ESCRITORIO - CET</v>
      </c>
      <c r="AB398" s="213"/>
      <c r="AC398" s="213"/>
      <c r="AD398" s="213"/>
      <c r="AE398" s="213"/>
      <c r="AF398" s="213"/>
      <c r="AG398" s="213"/>
      <c r="AH398" s="213"/>
      <c r="AI398" s="213"/>
      <c r="AJ398" s="213"/>
      <c r="AK398" s="213"/>
      <c r="AL398" s="213"/>
      <c r="AM398" s="213"/>
      <c r="AN398" s="213"/>
      <c r="AO398" s="213"/>
      <c r="AP398" s="213" t="str">
        <f>IFERROR(__xludf.DUMMYFUNCTION("""COMPUTED_VALUE"""),"NALDI")</f>
        <v>NALDI</v>
      </c>
      <c r="AQ398" s="213" t="str">
        <f>IFERROR(__xludf.DUMMYFUNCTION("""COMPUTED_VALUE"""),"Solicitar versión de teclado en español")</f>
        <v>Solicitar versión de teclado en español</v>
      </c>
      <c r="AR398" s="213"/>
      <c r="AS398"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398" s="213"/>
      <c r="AU398" s="213"/>
      <c r="AV398" s="213"/>
      <c r="AW398" s="213"/>
      <c r="AX398" s="213"/>
      <c r="AY398" s="213"/>
      <c r="AZ398" s="213"/>
      <c r="BA398" s="213"/>
      <c r="BB398" s="213"/>
      <c r="BC398" s="213"/>
      <c r="BD398" s="213"/>
    </row>
    <row r="399">
      <c r="A399" s="213">
        <f>IFERROR(__xludf.DUMMYFUNCTION("""COMPUTED_VALUE"""),359.0)</f>
        <v>359</v>
      </c>
      <c r="B399" s="213" t="str">
        <f>IFERROR(__xludf.DUMMYFUNCTION("""COMPUTED_VALUE"""),"2026 SIMON BOLIVAR")</f>
        <v>2026 SIMON BOLIVAR</v>
      </c>
      <c r="C399" s="213" t="str">
        <f>IFERROR(__xludf.DUMMYFUNCTION("""COMPUTED_VALUE"""),"TALLER SFT DE ELECTRICIDAD")</f>
        <v>TALLER SFT DE ELECTRICIDAD</v>
      </c>
      <c r="D399" s="213" t="str">
        <f>IFERROR(__xludf.DUMMYFUNCTION("""COMPUTED_VALUE"""),"TICS")</f>
        <v>TICS</v>
      </c>
      <c r="E399" s="213" t="str">
        <f>IFERROR(__xludf.DUMMYFUNCTION("""COMPUTED_VALUE"""),"TEC-104")</f>
        <v>TEC-104</v>
      </c>
      <c r="F399" s="213" t="str">
        <f>IFERROR(__xludf.DUMMYFUNCTION("""COMPUTED_VALUE"""),"TEC-104")</f>
        <v>TEC-104</v>
      </c>
      <c r="G399" s="213"/>
      <c r="H399" s="213" t="str">
        <f>IFERROR(__xludf.DUMMYFUNCTION("""COMPUTED_VALUE"""),"COMPUTADORA DE ESCRITORIO")</f>
        <v>COMPUTADORA DE ESCRITORIO</v>
      </c>
      <c r="I399"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"&amp;"MEMORIA RAM: Capacidad 8 GB - Tecnología DDR4 - Velocidad 2400 MHz ---""				
DISCO DURO: Capacidad 1 TB SSD o superior --- UNIDAD OPTICA: Multigrabador Integrado - DVD RW --- PUERTO ES         Video integrado 01 HDMI (Entrada) -				
""01 HDMI (Salida) ---"&amp;" Puerto USB Integrado:  4 USB Tipo A (Incluye mínimo 01 USB 3.0) --- Red Integrada 01 RJ-45 (100/1000 Mbps) --- Lector de Tarjeta
Integrado SD y/o SDHC y/o SDXC --- Audio Integrado 01 Salida de audio o Entrada de micrófono.""				
CAMARA WEB: integrada. --"&amp;"- CONECTIVIDAD: Inalámbrica Integrado: Sí. --- FUENTE DE PODER Entrada de voltaje 220VAC /60 HZ ---ALTAVOCES: Integrada.				
PANTALLA INTEGRADA: --- Tamaño Desde 23.8” --- Tecnología LCD con Retroiluminación LED  --- Resolución 1920 x 1080.				
TECLADO: T"&amp;"ecnología Estándar en español - Tipo USB --- MOUSE: Tipo de Cable Alámbrico de 0.90 m. minimo (No retráctil) - Tecnología Óptico - Conexión				
USB - Rueda de deslizamiento vertical SI (SCROLL) --- SISTEMA OPERATIVO: Microsoft Windows 11 (edición Professi"&amp;"onal), en español – Licenciado. ---				
CERTIFICADOS: --- Certificado que no perjudique la salud o presente un impacto negativo al medio ambiente EPEAT        Certificado de eficiencia de energía				
(Energy Star). --- MIL-STD-810G.  --- Otros: CE o FCC o"&amp;" RoHS --- LICENCIA DE SOFTWARE OFIMATICA --- Interfaz en idioma español. ---Tiene la posibilidad de				
exportar archivos en formatos PDF. --- Permite diseñar y producir documentos de texto que contienen imágenes, tablas o diagramas. --- Permite guardar		"&amp;"		
documentos en formatos RTF, HTML, entre otros. --- Permite hacer uso de hojas de cálculo que puede usar para calcular, analizar y gestionar datos. ---				
Compatibilidad con Sistema Operativo Microsoft Windows. --- En su ultima versión liberada (Licenc"&amp;"iado). --- GARANTIA: Tres (03) Años Onsite				
CONTIENE:				
· Software Microsoft Office 2019 o superior (Word, Excel, PowerPoint, Visio, One Note y Ms Forms), idioma Español, de 64 Bits.				
· Software Antivirus:				
- Licenciada / Idioma español / Prote"&amp;"cción antivirus en tiempo real para proteger de virus, troyanos, adware, malware y phishing / Protección contra firewall				
/Gestionada a traves de una consola web				
· Software - Programas CAD para dibujos en 2D, 3D y renderizado / Gratuitos /libres (d"&amp;"e código abierto) / Idioma español / Compatible con el sistema operativo				
de la computadora (Windows 11 o posterior) / Cuenta con herramientas de edición y modelado de muebles / Cuenta con editor geométrico interactivo,				
procesamiento de imágenes y "&amp;"señales / Alta capacidad de renderizado / Entre las alternativas gratuitas: SketchUp, Polyboard, Sweet Home 3, entre otros.				
· Software para diseño gráfico publicitario:				
- Gratuitos /libres (de código abierto) / Idioma español / Compatible con el s"&amp;"istema operativo de la computadora (Windows 8 o posterior) / Permite crear diseños,				
gráficos, fotografías y sitios web / Dispone de herramientas profesionales de diseño, edición de imágenes y fotografías y diseño de páginas web.  Funciones				
táctile"&amp;"s y para lápices intuitivas / Dispone de editor de gráficos vectoriales, textos y logos / Permite diseño de prototipos e interfaces para aplicaciones y sitios				
web / Entre las alternativas gratuitas /libres: Gimp, krita, Inkscape, Pencil Proyect, entre"&amp;" otros.				
· Software para diseño y edición de videos – spot publicitarios:				
- Gratuitos /libres (de código abierto) / Idioma español / Compatible con el sistema operativo de la computadora (Windows 8 o posterior) / Permite diseñar y editar				
videos"&amp;" / Trabaja con diferentes formatos: Un amplio soporte para diferentes formatos, incluyendo MP4, AVI, MOV, AVCHD y más / Permite crear videos de alta				
resolución: 4K, y trabajar en formato SD y HD / Dispone de las herramientas más utilizadas en los edit"&amp;"ores de vídeos: cortar, recortar, dividir y combinar en unos				
pocos clics / Permite generar acabados: Varios filtros y efectos visuales para retocar el vídeo, efectos especiales en 2D y 3D / Dispone de herramientas para				
realizar diseños y animacion"&amp;"es en 3D y plantillas animadas gratuitas / Permite editar, ajustar perfeccionar el audio / Entre las alternativas gratuitas /libres:				
Windows Movie Maker, Video editor Wondershare filmadora, Lightworks, VSDC Free Video editor, Blender,  entre otros.			"&amp;"	
· Software / programas para elaborar flujogramas:				
- Gratuitos /libres (de código abierto) / Idioma español / Compatible con el sistema operativo de la computadora (Windows 11 o posterior) / Diseña diagramas de				
flujos y organigramas / Contiene un"&amp;"a variedad de símbolos y estilos de conexión de líneas / Edita, personaliza colores, rellenos y trazos / Entre las alternativas				
gratuitas /libres: clickCharts, CreatelyDia, yEd Graph Editor, Pencil project, entre otros.				
· Software para elaborar pr"&amp;"esupuestos				
- Gratuitos /libres (de código abierto) / Idioma español / Compatible con el sistema operativo de la computadora (Windows 8 o posterior) / Crea presupuestos,				
gestiona la facturación y la planificación de presupuestos / Entre las alterna"&amp;"tivas gratuitas /libres: Holded, debitor,  Billage, entre otros / Estabilizador Rango de				
Voltaje: 170 - 265vac.				")</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 Lector de Tarjeta
Integrado SD y/o SDHC y/o SDXC --- Audio Integrado 01 Salida de audio o Entrada de micrófono."				
CAMARA WEB: integrada. --- CONECTIVIDAD: Inalámbrica Integrado: Sí. --- FUENTE DE PODER Entrada de voltaje 220VAC /60 HZ ---ALTAVOCES: Integrada.				
PANTALLA INTEGRADA: --- Tamaño Desde 23.8” --- Tecnología LCD con Retroiluminación LED  --- Resolución 1920 x 1080.				
TECLADO: Tecnología Estándar en español - Tipo USB ---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 Permite guardar				
documentos en formatos RTF, HTML, entre otros. --- Permite hacer uso de hojas de cálculo que puede usar para calcular, analizar y gestionar datos. ---				
Compatibilidad con Sistema Operativo Microsoft Windows. --- En su ultima versión liberada (Licenciado). ---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				</v>
      </c>
      <c r="J399" s="213">
        <f>IFERROR(__xludf.DUMMYFUNCTION("""COMPUTED_VALUE"""),3.0)</f>
        <v>3</v>
      </c>
      <c r="K399" s="213" t="str">
        <f>IFERROR(__xludf.DUMMYFUNCTION("""COMPUTED_VALUE"""),"170 DÍAS CALENDARIO")</f>
        <v>170 DÍAS CALENDARIO</v>
      </c>
      <c r="L399"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399" s="213">
        <f>IFERROR(__xludf.DUMMYFUNCTION("""COMPUTED_VALUE"""),1.0)</f>
        <v>1</v>
      </c>
      <c r="N399" s="213">
        <f>IFERROR(__xludf.DUMMYFUNCTION("""COMPUTED_VALUE"""),17.0)</f>
        <v>17</v>
      </c>
      <c r="O399" s="213">
        <f>IFERROR(__xludf.DUMMYFUNCTION("""COMPUTED_VALUE"""),17.0)</f>
        <v>17</v>
      </c>
      <c r="P399" s="213"/>
      <c r="Q399" s="213"/>
      <c r="R399" s="213"/>
      <c r="S399" s="213"/>
      <c r="T399" s="213" t="str">
        <f>IFERROR(__xludf.DUMMYFUNCTION("""COMPUTED_VALUE"""),"CONSULTA FINAL")</f>
        <v>CONSULTA FINAL</v>
      </c>
      <c r="U399" s="213" t="str">
        <f>IFERROR(__xludf.DUMMYFUNCTION("""COMPUTED_VALUE"""),"NO")</f>
        <v>NO</v>
      </c>
      <c r="V399" s="213" t="str">
        <f>IFERROR(__xludf.DUMMYFUNCTION("""COMPUTED_VALUE"""),"SUSTENTO")</f>
        <v>SUSTENTO</v>
      </c>
      <c r="W399" s="213" t="str">
        <f>IFERROR(__xludf.DUMMYFUNCTION("""COMPUTED_VALUE"""),"EQU TEC")</f>
        <v>EQU TEC</v>
      </c>
      <c r="X399" s="213" t="str">
        <f>IFERROR(__xludf.DUMMYFUNCTION("""COMPUTED_VALUE"""),"HP")</f>
        <v>HP</v>
      </c>
      <c r="Y399" s="213" t="str">
        <f>IFERROR(__xludf.DUMMYFUNCTION("""COMPUTED_VALUE"""),"ProOne 440 G9")</f>
        <v>ProOne 440 G9</v>
      </c>
      <c r="Z399" s="215" t="str">
        <f>IFERROR(__xludf.DUMMYFUNCTION("""COMPUTED_VALUE"""),"https://support.hp.com/pe-es/document/ish_5956566-5987452-21")</f>
        <v>https://support.hp.com/pe-es/document/ish_5956566-5987452-21</v>
      </c>
      <c r="AA399" s="213" t="str">
        <f>IFERROR(__xludf.DUMMYFUNCTION("""COMPUTED_VALUE"""),"TEC-104 COMPUTADORA DE ESCRITORIO - CET")</f>
        <v>TEC-104 COMPUTADORA DE ESCRITORIO - CET</v>
      </c>
      <c r="AB399" s="213"/>
      <c r="AC399" s="213"/>
      <c r="AD399" s="213"/>
      <c r="AE399" s="213"/>
      <c r="AF399" s="213"/>
      <c r="AG399" s="213"/>
      <c r="AH399" s="213"/>
      <c r="AI399" s="213"/>
      <c r="AJ399" s="213"/>
      <c r="AK399" s="213"/>
      <c r="AL399" s="213"/>
      <c r="AM399" s="213"/>
      <c r="AN399" s="213"/>
      <c r="AO399" s="213"/>
      <c r="AP399" s="213" t="str">
        <f>IFERROR(__xludf.DUMMYFUNCTION("""COMPUTED_VALUE"""),"NALDI")</f>
        <v>NALDI</v>
      </c>
      <c r="AQ399" s="213" t="str">
        <f>IFERROR(__xludf.DUMMYFUNCTION("""COMPUTED_VALUE"""),"Solicitar versión de teclado en español")</f>
        <v>Solicitar versión de teclado en español</v>
      </c>
      <c r="AR399" s="213"/>
      <c r="AS399"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399" s="213"/>
      <c r="AU399" s="213"/>
      <c r="AV399" s="213"/>
      <c r="AW399" s="213"/>
      <c r="AX399" s="213"/>
      <c r="AY399" s="213"/>
      <c r="AZ399" s="213"/>
      <c r="BA399" s="213"/>
      <c r="BB399" s="213"/>
      <c r="BC399" s="213"/>
      <c r="BD399" s="213"/>
    </row>
    <row r="400">
      <c r="A400" s="213">
        <f>IFERROR(__xludf.DUMMYFUNCTION("""COMPUTED_VALUE"""),538.0)</f>
        <v>538</v>
      </c>
      <c r="B400" s="213" t="str">
        <f>IFERROR(__xludf.DUMMYFUNCTION("""COMPUTED_VALUE"""),"2026 SIMON BOLIVAR")</f>
        <v>2026 SIMON BOLIVAR</v>
      </c>
      <c r="C400" s="213" t="str">
        <f>IFERROR(__xludf.DUMMYFUNCTION("""COMPUTED_VALUE"""),"TALLER SFT DE INDUSTRIA ALIMENTARIA")</f>
        <v>TALLER SFT DE INDUSTRIA ALIMENTARIA</v>
      </c>
      <c r="D400" s="213" t="str">
        <f>IFERROR(__xludf.DUMMYFUNCTION("""COMPUTED_VALUE"""),"TICS")</f>
        <v>TICS</v>
      </c>
      <c r="E400" s="213" t="str">
        <f>IFERROR(__xludf.DUMMYFUNCTION("""COMPUTED_VALUE"""),"TEC-104")</f>
        <v>TEC-104</v>
      </c>
      <c r="F400" s="213" t="str">
        <f>IFERROR(__xludf.DUMMYFUNCTION("""COMPUTED_VALUE"""),"TEC-104")</f>
        <v>TEC-104</v>
      </c>
      <c r="G400" s="213"/>
      <c r="H400" s="213" t="str">
        <f>IFERROR(__xludf.DUMMYFUNCTION("""COMPUTED_VALUE"""),"COMPUTADORA DE ESCRITORIO")</f>
        <v>COMPUTADORA DE ESCRITORIO</v>
      </c>
      <c r="I400"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 Video integrado 01 HDMI (Entrada) - 01 HDMI (Salida) --- Puerto USB Inte"&amp;"grado:  4 USB Tipo A (Incluye mínimo 01 USB 3.0) --- Red Integrada 01 RJ-45 (100/1000 Mbps) --- Lector de Tarjeta Integrado SD y/o SDHC y/o SDXC --- Audio Integrado 01 Salida de audio o Entrada de    micrófono.
CAMARA WEB: integrada. --- CONECTIVIDAD: Ina"&amp;"lámbrica Integrado: Sí. --- FUENTE DE PODER Entrada de voltaje 220VAC /60 HZ ---ALTAVOCES: Integrada. PANTALLA INTEGRADA: --- Tamaño Desde 23.8” --- Tecnología LCD con Retroiluminación LED  --- Resolución 1920 x 1080.
TECLADO: Tecnología Estándar en españ"&amp;"ol - Tipo USB --- MOUSE: Tipo de Cable Alámbrico de 0.90 m. minimo (No retráctil) - Tecnología Óptico - Conexión USB - Rueda de deslizamiento vertical SI (SCROLL) --- SISTEMA OPERATIVO: Microsoft Windows 11 (edición Professional), en español – Licenciado."&amp;" --- CERTIFICADOS: --- Certificado que no perjudique la salud o presente un impacto negativo al medio ambiente EPEAT. ---- Certificado de eficiencia de energía (Energy Star). --- MIL-STD-810G.  --- Otros: CE o FCC o RoHS --
- LICENCIA DE SOFTWARE OFIMATIC"&amp;"A --- Interfaz en idioma español. ---Tiene la posibilidad de exportar archivos en formatos PDF. --- Permite diseñar y producir documentos de texto que contienen imágenes, tablas o diagramas. --- Permite guardar documentos en formatos RTF, HTML, entre otro"&amp;"s. --- Permite hacer uso de hojas de cálculo que puede usar para calcular, analizar y gestionar datos. --- Compatibilidad con Sistema Operativo Microsoft Windows. --- En su ultima versión liberada (Licenciado). --- GARANTIA: Tres (03) Años Onsite
CONTIENE"&amp;":
· Software Microsoft Office 2019 o superior (Word, Excel, PowerPoint, Visio, One Note y Ms Forms), idioma Español, de 64 Bits.
· Software Antivirus:
- Licenciada / Idioma español / Protección antivirus en tiempo real para proteger de virus, troyanos, ad"&amp;"ware, malware y phishing / Protección contra firewall /Gestionada a traves de una consola web
· Software - Programas CAD para dibujos en 2D, 3D y renderizado / Gratuitos /libres (de código abierto) / Idioma español / Compatible con el sistema operativo de"&amp;" la computadora (Windows 11 o posterior) / Cuenta con herramientas de edición y modelado de muebles / Cuenta con editor geométrico interactivo, procesamiento de imágenes y señales / Alta capacidad de renderizado / Entre las alternativas gratuitas: SketchU"&amp;"p, Polyboard, Sweet Home 3, entre otros.
· Software para diseño gráfico publicitario:
- Gratuitos /libres (de código abierto) / Idioma español / Compatible con el sistema operativo de la computadora (Windows 8 o posterior) / Permite crear diseños, gráfico"&amp;"s, fotografías y sitios web / Dispone de herramientas profesionales de diseño, edición de imágenes y fotografías y diseño de páginas web.  Funciones táctiles y para lápices intuitivas / Dispone de editor de gráficos vectoriales, textos y logos / Permite d"&amp;"iseño de prototipos e interfaces para aplicaciones y sitios web / Entre las alternativas gratuitas /libres: Gimp, krita, Inkscape, Pencil Proyect, entre otros.
· Software para diseño y edición de videos – spot publicitarios:
- Gratuitos /libres (de código"&amp;" abierto) / Idioma español / Compatible con el sistema operativo de la computadora (Windows 8 o posterior) / Permite diseñar y editar videos / Trabaja con diferentes formatos: Un amplio soporte para diferentes formatos, incluyendo MP4, AVI, MOV, AVCHD y m"&amp;"ás / Permite crear videos de alta resolución: 4K, y trabajar en formato SD y HD / Dispone de las herramientas más utilizadas en los editores de vídeos: cortar, recortar, dividir y combinar en unos pocos clics / Permite generar acabados: Varios filtros y e"&amp;"fectos visuales para retocar el vídeo, efectos especiales en 2D y 3D / Dispone de herramientas para realizar diseños y animaciones en 3D y plantillas animadas gratuitas / Permite editar, ajustar perfeccionar el audio / Entre las alternativas gratuitas /li"&amp;"bres: Windows Movie Maker, Video editor Wondershare filmadora, Lightworks, VSDC Free Video editor, Blender,  entre otros.
· Software / programas para elaborar flujogramas:
- Gratuitos /libres (de código abierto) / Idioma español / Compatible con el sistem"&amp;"a operativo de la computadora (Windows 11 o posterior) / Diseña diagramas de flujos y organigramas / Contiene una variedad de símbolos y estilos de conexión de líneas / Edita, personaliza colores, rellenos y trazos / Entre las alternativas gratuitas /libr"&amp;"es: clickCharts, CreatelyDia, yEd Graph Editor, Pencil project, entre otros.
· Software para elaborar presupuestos
- Gratuitos /libres (de código abierto) / Idioma español / Compatible con el sistema operativo de la computadora (Windows 8 o posterior) / C"&amp;"rea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 Video integrado 01 HDMI (Entrada) - 01 HDMI (Salida) --- Puerto USB Integrado:  4 USB Tipo A (Incluye mínimo 01 USB 3.0) --- Red Integrada 01 RJ-45 (100/1000 Mbps) --- Lector de Tarjeta Integrado SD y/o SDHC y/o SDXC --- Audio Integrado 01 Salida de audio o Entrada de    micrófono.
CAMARA WEB: integrada. --- CONECTIVIDAD: Inalámbrica Integrado: Sí. --- FUENTE DE PODER Entrada de voltaje 220VAC /60 HZ ---ALTAVOCES: Integrada. PANTALLA INTEGRADA: --- Tamaño Desde 23.8” --- Tecnología LCD con Retroiluminación LED  --- Resolución 1920 x 1080.
TECLADO: Tecnología Estándar en español - Tipo USB ---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 Certificado de eficiencia de energía (Energy Star). --- MIL-STD-810G.  --- Otros: CE o FCC o RoHS --
- LICENCIA DE SOFTWARE OFIMATICA --- Interfaz en idioma español. ---Tiene la posibilidad de exportar archivos en formatos PDF. --- Permite diseñar y producir documentos de texto que contienen imágenes, tablas o diagramas. --- Permite guardar documentos en formatos RTF, HTML, entre otros. --- Permite hacer uso de hojas de cálculo que puede usar para calcular, analizar y gestionar datos. --- Compatibilidad con Sistema Operativo Microsoft Windows. --- En su ultima versión liberada (Licenciado). ---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00" s="213">
        <f>IFERROR(__xludf.DUMMYFUNCTION("""COMPUTED_VALUE"""),3.0)</f>
        <v>3</v>
      </c>
      <c r="K400" s="213" t="str">
        <f>IFERROR(__xludf.DUMMYFUNCTION("""COMPUTED_VALUE"""),"170 DÍAS CALENDARIO")</f>
        <v>170 DÍAS CALENDARIO</v>
      </c>
      <c r="L400"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0" s="213">
        <f>IFERROR(__xludf.DUMMYFUNCTION("""COMPUTED_VALUE"""),1.0)</f>
        <v>1</v>
      </c>
      <c r="N400" s="213">
        <f>IFERROR(__xludf.DUMMYFUNCTION("""COMPUTED_VALUE"""),21.0)</f>
        <v>21</v>
      </c>
      <c r="O400" s="213">
        <f>IFERROR(__xludf.DUMMYFUNCTION("""COMPUTED_VALUE"""),21.0)</f>
        <v>21</v>
      </c>
      <c r="P400" s="213"/>
      <c r="Q400" s="213"/>
      <c r="R400" s="213"/>
      <c r="S400" s="213"/>
      <c r="T400" s="213" t="str">
        <f>IFERROR(__xludf.DUMMYFUNCTION("""COMPUTED_VALUE"""),"CONSULTA FINAL")</f>
        <v>CONSULTA FINAL</v>
      </c>
      <c r="U400" s="213" t="str">
        <f>IFERROR(__xludf.DUMMYFUNCTION("""COMPUTED_VALUE"""),"NO")</f>
        <v>NO</v>
      </c>
      <c r="V400" s="213" t="str">
        <f>IFERROR(__xludf.DUMMYFUNCTION("""COMPUTED_VALUE"""),"SUSTENTO")</f>
        <v>SUSTENTO</v>
      </c>
      <c r="W400" s="213" t="str">
        <f>IFERROR(__xludf.DUMMYFUNCTION("""COMPUTED_VALUE"""),"EQU TEC")</f>
        <v>EQU TEC</v>
      </c>
      <c r="X400" s="213" t="str">
        <f>IFERROR(__xludf.DUMMYFUNCTION("""COMPUTED_VALUE"""),"HP")</f>
        <v>HP</v>
      </c>
      <c r="Y400" s="213" t="str">
        <f>IFERROR(__xludf.DUMMYFUNCTION("""COMPUTED_VALUE"""),"ProOne 440 G9")</f>
        <v>ProOne 440 G9</v>
      </c>
      <c r="Z400" s="215" t="str">
        <f>IFERROR(__xludf.DUMMYFUNCTION("""COMPUTED_VALUE"""),"https://support.hp.com/pe-es/document/ish_5956566-5987452-22")</f>
        <v>https://support.hp.com/pe-es/document/ish_5956566-5987452-22</v>
      </c>
      <c r="AA400" s="213" t="str">
        <f>IFERROR(__xludf.DUMMYFUNCTION("""COMPUTED_VALUE"""),"TEC-104 COMPUTADORA DE ESCRITORIO - CET")</f>
        <v>TEC-104 COMPUTADORA DE ESCRITORIO - CET</v>
      </c>
      <c r="AB400" s="213"/>
      <c r="AC400" s="213"/>
      <c r="AD400" s="213"/>
      <c r="AE400" s="213"/>
      <c r="AF400" s="213"/>
      <c r="AG400" s="213"/>
      <c r="AH400" s="213"/>
      <c r="AI400" s="213"/>
      <c r="AJ400" s="213"/>
      <c r="AK400" s="213"/>
      <c r="AL400" s="213"/>
      <c r="AM400" s="213"/>
      <c r="AN400" s="213"/>
      <c r="AO400" s="213"/>
      <c r="AP400" s="213" t="str">
        <f>IFERROR(__xludf.DUMMYFUNCTION("""COMPUTED_VALUE"""),"NALDI")</f>
        <v>NALDI</v>
      </c>
      <c r="AQ400" s="213" t="str">
        <f>IFERROR(__xludf.DUMMYFUNCTION("""COMPUTED_VALUE"""),"Solicitar versión de teclado en español")</f>
        <v>Solicitar versión de teclado en español</v>
      </c>
      <c r="AR400" s="213"/>
      <c r="AS400"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0" s="213"/>
      <c r="AU400" s="213"/>
      <c r="AV400" s="213"/>
      <c r="AW400" s="213"/>
      <c r="AX400" s="213"/>
      <c r="AY400" s="213"/>
      <c r="AZ400" s="213"/>
      <c r="BA400" s="213"/>
      <c r="BB400" s="213"/>
      <c r="BC400" s="213"/>
      <c r="BD400" s="213"/>
    </row>
    <row r="401">
      <c r="A401" s="213">
        <f>IFERROR(__xludf.DUMMYFUNCTION("""COMPUTED_VALUE"""),647.0)</f>
        <v>647</v>
      </c>
      <c r="B401" s="213" t="str">
        <f>IFERROR(__xludf.DUMMYFUNCTION("""COMPUTED_VALUE"""),"6049 RICARDO PALMA")</f>
        <v>6049 RICARDO PALMA</v>
      </c>
      <c r="C401" s="213" t="str">
        <f>IFERROR(__xludf.DUMMYFUNCTION("""COMPUTED_VALUE"""),"TALLER SFT DE ELECTRÓNICA")</f>
        <v>TALLER SFT DE ELECTRÓNICA</v>
      </c>
      <c r="D401" s="213" t="str">
        <f>IFERROR(__xludf.DUMMYFUNCTION("""COMPUTED_VALUE"""),"TICS")</f>
        <v>TICS</v>
      </c>
      <c r="E401" s="213" t="str">
        <f>IFERROR(__xludf.DUMMYFUNCTION("""COMPUTED_VALUE"""),"TEC-104")</f>
        <v>TEC-104</v>
      </c>
      <c r="F401" s="213" t="str">
        <f>IFERROR(__xludf.DUMMYFUNCTION("""COMPUTED_VALUE"""),"TEC-104")</f>
        <v>TEC-104</v>
      </c>
      <c r="G401" s="213"/>
      <c r="H401" s="213" t="str">
        <f>IFERROR(__xludf.DUMMYFUNCTION("""COMPUTED_VALUE"""),"COMPUTADORA DE ESCRITORIO")</f>
        <v>COMPUTADORA DE ESCRITORIO</v>
      </c>
      <c r="I401"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I"&amp;"ntegrado:   4 USB Tipo A (Incluye mínimo 01 USB 3.0) --- Red Integrada 01 RJ-45 (100/1000 Mbps)      Lector de
Tarjeta Integrado SD y/o SDHC y/o SDXC      Audio Integrado 01 Salida de audio o Entrada de micrófono.
CAMARA WEB: integrada. --- CONECTIVIDAD: "&amp;"Inalámbrica Integrado: Sí. --- FUENTE DE PODER Entrada de voltaje 220VAC /60 HZ     ALTAVOCES:
Integrada.
PANTALLA INTEGRADA: --- Tamaño Desde 23.8” --- Tecnología LCD con Retroiluminación LED       Resolución 1920 x 1080.
TECLADO: Tecnología Estándar en "&amp;"español - Tipo USB      MOUSE: Tipo de Cable Alámbrico de 0.90 m. minimo (No retráctil) - Tecnología Óptico - Conexión
USB - Rueda de deslizamiento vertical SI (SCROLL) --- SISTEMA OPERATIVO: Microsoft Windows 11 (edición Professional), en español – Licen"&amp;"ciado. --- CERTIFICADOS: --- Certificado que no perjudique la salud o presente un impacto negativo al medio ambiente EPEAT        Certificado de eficiencia de energía
(Energy Star). --- MIL-STD-810G.   --- Otros: CE o FCC o RoHS --- LICENCIA DE SOFTWARE O"&amp;"FIMATICA --- Interfaz en idioma español      Tiene la posibilidad
de exportar archivos en formatos PDF. --- Permite diseñar y producir documentos de texto que contienen imágenes, tablas o diagramas       Permite guardar
documentos en formatos RTF, HTML, e"&amp;"ntre otros. --- Permite hacer uso de hojas de cálculo que puede usar para calcular, analizar y gestionar datos. --- Compatibilidad con Sistema Operativo Microsoft Windows. --- En su ultima versión liberada (Licenciado).      GARANTIA: Tres (03) Años Onsit"&amp;"e
CONTIENE:
· Software Microsoft Office 2019 o superior (Word, Excel, PowerPoint, Visio, One Note y Ms Forms), idioma Español, de 64 Bits.
· Software Antivirus:
- Licenciada / Idioma español / Protección antivirus en tiempo real para proteger de virus, tr"&amp;"oyanos, adware, malware y phishing / Protección contra firewall
/Gestionada a traves de una consola web
· Software - Programas CAD para dibujos en 2D, 3D y renderizado / Gratuitos /libres (de código abierto) / Idioma español / Compatible con el sistema op"&amp;"erativo de la computadora (Windows 11 o posterior) / Cuenta con herramientas de edición y modelado de muebles / Cuenta con editor geométrico interactivo, procesamiento de imágenes y señales / Alta capacidad de renderizado / Entre las alternativas gratuita"&amp;"s: SketchUp, Polyboard, Sweet Home 3, entre otros.
· Software para diseño gráfico publicitario:
- Gratuitos /libres (de código abierto) / Idioma español / Compatible con el sistema operativo de la computadora (Windows 8 o posterior) / Permite crear diseño"&amp;"s, gráficos, fotografías y sitios web / Dispone de herramientas profesionales de diseño, edición de imágenes y fotografías y diseño de páginas web. Funciones táctiles y para lápices intuitivas / Dispone de editor de gráficos vectoriales, textos y logos / "&amp;"Permite diseño de prototipos e interfaces para aplicaciones y sitios web / Entre las alternativas gratuitas /libres: Gimp, krita, Inkscape, Pencil Proyect, entre otros.
· Software para diseño y edición de videos – spot publicitarios:
- Gratuitos /libres ("&amp;"de código abierto) / Idioma español / Compatible con el sistema operativo de la computadora (Windows 8 o posterior) / Permite diseñar y editar videos / Trabaja con diferentes formatos: Un amplio soporte para diferentes formatos, incluyendo MP4, AVI, MOV, "&amp;"AVCHD y más / Permite crear videos de alta resolución: 4K, y trabajar en formato SD y HD / Dispone de las herramientas más utilizadas en los editores de vídeos: cortar, recortar, dividir y  combinar en unos pocos clics / Permite generar acabados: Varios f"&amp;"iltros y efectos visuales para retocar el vídeo, efectos especiales en 2D y 3D / Dispone de herramientas para realizar diseños y animaciones en 3D y plantillas animadas gratuitas / Permite editar, ajustar perfeccionar el audio / Entre las alternativas gra"&amp;"tuitas /libres: Windows Movie Maker, Video editor Wondershare filmadora, Lightworks, VSDC Free Video editor, Blender,   entre otros.
· Software / programas para elaborar flujogramas:
- Gratuitos /libres (de código abierto) / Idioma español / Compatible co"&amp;"n el sistema operativo de la computadora (Windows 11 o posterior) / Diseña diagramas de flujos y organigramas / Contiene una variedad de símbolos y estilos de conexión de líneas / Edita, personaliza colores, rellenos y trazos / Entre las alternativas grat"&amp;"uitas /libres: clickCharts, CreatelyDia, yEd Graph Editor, Pencil project, entre otros.
· Software para elaborar presupuestos
- Gratuitos /libres (de código abierto) / Idioma español / Compatible con el sistema operativo de la computadora (Windows 8 o pos"&amp;"terior)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01" s="213">
        <f>IFERROR(__xludf.DUMMYFUNCTION("""COMPUTED_VALUE"""),3.0)</f>
        <v>3</v>
      </c>
      <c r="K401" s="213" t="str">
        <f>IFERROR(__xludf.DUMMYFUNCTION("""COMPUTED_VALUE"""),"170 DÍAS CALENDARIO")</f>
        <v>170 DÍAS CALENDARIO</v>
      </c>
      <c r="L401"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1" s="213">
        <f>IFERROR(__xludf.DUMMYFUNCTION("""COMPUTED_VALUE"""),1.0)</f>
        <v>1</v>
      </c>
      <c r="N401" s="213">
        <f>IFERROR(__xludf.DUMMYFUNCTION("""COMPUTED_VALUE"""),21.0)</f>
        <v>21</v>
      </c>
      <c r="O401" s="213">
        <f>IFERROR(__xludf.DUMMYFUNCTION("""COMPUTED_VALUE"""),21.0)</f>
        <v>21</v>
      </c>
      <c r="P401" s="213"/>
      <c r="Q401" s="213"/>
      <c r="R401" s="213"/>
      <c r="S401" s="213"/>
      <c r="T401" s="213" t="str">
        <f>IFERROR(__xludf.DUMMYFUNCTION("""COMPUTED_VALUE"""),"CONSULTA FINAL")</f>
        <v>CONSULTA FINAL</v>
      </c>
      <c r="U401" s="213" t="str">
        <f>IFERROR(__xludf.DUMMYFUNCTION("""COMPUTED_VALUE"""),"NO")</f>
        <v>NO</v>
      </c>
      <c r="V401" s="213" t="str">
        <f>IFERROR(__xludf.DUMMYFUNCTION("""COMPUTED_VALUE"""),"SUSTENTO")</f>
        <v>SUSTENTO</v>
      </c>
      <c r="W401" s="213" t="str">
        <f>IFERROR(__xludf.DUMMYFUNCTION("""COMPUTED_VALUE"""),"EQU TEC")</f>
        <v>EQU TEC</v>
      </c>
      <c r="X401" s="213" t="str">
        <f>IFERROR(__xludf.DUMMYFUNCTION("""COMPUTED_VALUE"""),"HP")</f>
        <v>HP</v>
      </c>
      <c r="Y401" s="213" t="str">
        <f>IFERROR(__xludf.DUMMYFUNCTION("""COMPUTED_VALUE"""),"ProOne 440 G9")</f>
        <v>ProOne 440 G9</v>
      </c>
      <c r="Z401" s="215" t="str">
        <f>IFERROR(__xludf.DUMMYFUNCTION("""COMPUTED_VALUE"""),"https://support.hp.com/pe-es/document/ish_5956566-5987452-23")</f>
        <v>https://support.hp.com/pe-es/document/ish_5956566-5987452-23</v>
      </c>
      <c r="AA401" s="213" t="str">
        <f>IFERROR(__xludf.DUMMYFUNCTION("""COMPUTED_VALUE"""),"TEC-104 COMPUTADORA DE ESCRITORIO - CET")</f>
        <v>TEC-104 COMPUTADORA DE ESCRITORIO - CET</v>
      </c>
      <c r="AB401" s="213"/>
      <c r="AC401" s="213"/>
      <c r="AD401" s="213"/>
      <c r="AE401" s="213"/>
      <c r="AF401" s="213"/>
      <c r="AG401" s="213"/>
      <c r="AH401" s="213"/>
      <c r="AI401" s="213"/>
      <c r="AJ401" s="213"/>
      <c r="AK401" s="213"/>
      <c r="AL401" s="213"/>
      <c r="AM401" s="213"/>
      <c r="AN401" s="213"/>
      <c r="AO401" s="213"/>
      <c r="AP401" s="213" t="str">
        <f>IFERROR(__xludf.DUMMYFUNCTION("""COMPUTED_VALUE"""),"NALDI")</f>
        <v>NALDI</v>
      </c>
      <c r="AQ401" s="213" t="str">
        <f>IFERROR(__xludf.DUMMYFUNCTION("""COMPUTED_VALUE"""),"Solicitar versión de teclado en español")</f>
        <v>Solicitar versión de teclado en español</v>
      </c>
      <c r="AR401" s="213"/>
      <c r="AS401"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1" s="213"/>
      <c r="AU401" s="213"/>
      <c r="AV401" s="213"/>
      <c r="AW401" s="213"/>
      <c r="AX401" s="213"/>
      <c r="AY401" s="213"/>
      <c r="AZ401" s="213"/>
      <c r="BA401" s="213"/>
      <c r="BB401" s="213"/>
      <c r="BC401" s="213"/>
      <c r="BD401" s="213"/>
    </row>
    <row r="402">
      <c r="A402" s="213">
        <f>IFERROR(__xludf.DUMMYFUNCTION("""COMPUTED_VALUE"""),757.0)</f>
        <v>757</v>
      </c>
      <c r="B402" s="213" t="str">
        <f>IFERROR(__xludf.DUMMYFUNCTION("""COMPUTED_VALUE"""),"6049 RICARDO PALMA")</f>
        <v>6049 RICARDO PALMA</v>
      </c>
      <c r="C402" s="213" t="str">
        <f>IFERROR(__xludf.DUMMYFUNCTION("""COMPUTED_VALUE"""),"TALLER SFT DE COMPUTACIÓN E INFORMÁTICA")</f>
        <v>TALLER SFT DE COMPUTACIÓN E INFORMÁTICA</v>
      </c>
      <c r="D402" s="213" t="str">
        <f>IFERROR(__xludf.DUMMYFUNCTION("""COMPUTED_VALUE"""),"TICS")</f>
        <v>TICS</v>
      </c>
      <c r="E402" s="213" t="str">
        <f>IFERROR(__xludf.DUMMYFUNCTION("""COMPUTED_VALUE"""),"TEC-104")</f>
        <v>TEC-104</v>
      </c>
      <c r="F402" s="213" t="str">
        <f>IFERROR(__xludf.DUMMYFUNCTION("""COMPUTED_VALUE"""),"TEC-104")</f>
        <v>TEC-104</v>
      </c>
      <c r="G402" s="213"/>
      <c r="H402" s="213" t="str">
        <f>IFERROR(__xludf.DUMMYFUNCTION("""COMPUTED_VALUE"""),"COMPUTADORA DE ESCRITORIO")</f>
        <v>COMPUTADORA DE ESCRITORIO</v>
      </c>
      <c r="I402"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02" s="213">
        <f>IFERROR(__xludf.DUMMYFUNCTION("""COMPUTED_VALUE"""),3.0)</f>
        <v>3</v>
      </c>
      <c r="K402" s="213" t="str">
        <f>IFERROR(__xludf.DUMMYFUNCTION("""COMPUTED_VALUE"""),"170 DÍAS CALENDARIO")</f>
        <v>170 DÍAS CALENDARIO</v>
      </c>
      <c r="L402"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2" s="213">
        <f>IFERROR(__xludf.DUMMYFUNCTION("""COMPUTED_VALUE"""),1.0)</f>
        <v>1</v>
      </c>
      <c r="N402" s="213">
        <f>IFERROR(__xludf.DUMMYFUNCTION("""COMPUTED_VALUE"""),18.0)</f>
        <v>18</v>
      </c>
      <c r="O402" s="213">
        <f>IFERROR(__xludf.DUMMYFUNCTION("""COMPUTED_VALUE"""),18.0)</f>
        <v>18</v>
      </c>
      <c r="P402" s="213"/>
      <c r="Q402" s="213"/>
      <c r="R402" s="213"/>
      <c r="S402" s="213"/>
      <c r="T402" s="213" t="str">
        <f>IFERROR(__xludf.DUMMYFUNCTION("""COMPUTED_VALUE"""),"CONSULTA FINAL")</f>
        <v>CONSULTA FINAL</v>
      </c>
      <c r="U402" s="213" t="str">
        <f>IFERROR(__xludf.DUMMYFUNCTION("""COMPUTED_VALUE"""),"NO")</f>
        <v>NO</v>
      </c>
      <c r="V402" s="213" t="str">
        <f>IFERROR(__xludf.DUMMYFUNCTION("""COMPUTED_VALUE"""),"SUSTENTO")</f>
        <v>SUSTENTO</v>
      </c>
      <c r="W402" s="213" t="str">
        <f>IFERROR(__xludf.DUMMYFUNCTION("""COMPUTED_VALUE"""),"EQU TEC")</f>
        <v>EQU TEC</v>
      </c>
      <c r="X402" s="213" t="str">
        <f>IFERROR(__xludf.DUMMYFUNCTION("""COMPUTED_VALUE"""),"HP")</f>
        <v>HP</v>
      </c>
      <c r="Y402" s="213" t="str">
        <f>IFERROR(__xludf.DUMMYFUNCTION("""COMPUTED_VALUE"""),"ProOne 440 G9")</f>
        <v>ProOne 440 G9</v>
      </c>
      <c r="Z402" s="215" t="str">
        <f>IFERROR(__xludf.DUMMYFUNCTION("""COMPUTED_VALUE"""),"https://support.hp.com/pe-es/document/ish_5956566-5987452-24")</f>
        <v>https://support.hp.com/pe-es/document/ish_5956566-5987452-24</v>
      </c>
      <c r="AA402" s="213" t="str">
        <f>IFERROR(__xludf.DUMMYFUNCTION("""COMPUTED_VALUE"""),"TEC-104 COMPUTADORA DE ESCRITORIO - CET")</f>
        <v>TEC-104 COMPUTADORA DE ESCRITORIO - CET</v>
      </c>
      <c r="AB402" s="213"/>
      <c r="AC402" s="213"/>
      <c r="AD402" s="213"/>
      <c r="AE402" s="213"/>
      <c r="AF402" s="213"/>
      <c r="AG402" s="213"/>
      <c r="AH402" s="213"/>
      <c r="AI402" s="213"/>
      <c r="AJ402" s="213"/>
      <c r="AK402" s="213"/>
      <c r="AL402" s="213"/>
      <c r="AM402" s="213"/>
      <c r="AN402" s="213"/>
      <c r="AO402" s="213"/>
      <c r="AP402" s="213" t="str">
        <f>IFERROR(__xludf.DUMMYFUNCTION("""COMPUTED_VALUE"""),"NALDI")</f>
        <v>NALDI</v>
      </c>
      <c r="AQ402" s="213" t="str">
        <f>IFERROR(__xludf.DUMMYFUNCTION("""COMPUTED_VALUE"""),"Solicitar versión de teclado en español")</f>
        <v>Solicitar versión de teclado en español</v>
      </c>
      <c r="AR402" s="213"/>
      <c r="AS402"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2" s="213"/>
      <c r="AU402" s="213"/>
      <c r="AV402" s="213"/>
      <c r="AW402" s="213"/>
      <c r="AX402" s="213"/>
      <c r="AY402" s="213"/>
      <c r="AZ402" s="213"/>
      <c r="BA402" s="213"/>
      <c r="BB402" s="213"/>
      <c r="BC402" s="213"/>
      <c r="BD402" s="213"/>
    </row>
    <row r="403">
      <c r="A403" s="213">
        <f>IFERROR(__xludf.DUMMYFUNCTION("""COMPUTED_VALUE"""),769.0)</f>
        <v>769</v>
      </c>
      <c r="B403" s="213" t="str">
        <f>IFERROR(__xludf.DUMMYFUNCTION("""COMPUTED_VALUE"""),"6049 RICARDO PALMA")</f>
        <v>6049 RICARDO PALMA</v>
      </c>
      <c r="C403" s="213" t="str">
        <f>IFERROR(__xludf.DUMMYFUNCTION("""COMPUTED_VALUE"""),"TALLER SFT DE COMPUTACIÓN E INFORMÁTICA")</f>
        <v>TALLER SFT DE COMPUTACIÓN E INFORMÁTICA</v>
      </c>
      <c r="D403" s="213" t="str">
        <f>IFERROR(__xludf.DUMMYFUNCTION("""COMPUTED_VALUE"""),"TICS")</f>
        <v>TICS</v>
      </c>
      <c r="E403" s="213" t="str">
        <f>IFERROR(__xludf.DUMMYFUNCTION("""COMPUTED_VALUE"""),"TEC-104")</f>
        <v>TEC-104</v>
      </c>
      <c r="F403" s="213" t="str">
        <f>IFERROR(__xludf.DUMMYFUNCTION("""COMPUTED_VALUE"""),"TEC-104")</f>
        <v>TEC-104</v>
      </c>
      <c r="G403" s="213"/>
      <c r="H403" s="213" t="str">
        <f>IFERROR(__xludf.DUMMYFUNCTION("""COMPUTED_VALUE"""),"COMPUTADORA DE ESCRITORIO")</f>
        <v>COMPUTADORA DE ESCRITORIO</v>
      </c>
      <c r="I403"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03" s="213">
        <f>IFERROR(__xludf.DUMMYFUNCTION("""COMPUTED_VALUE"""),3.0)</f>
        <v>3</v>
      </c>
      <c r="K403" s="213" t="str">
        <f>IFERROR(__xludf.DUMMYFUNCTION("""COMPUTED_VALUE"""),"170 DÍAS CALENDARIO")</f>
        <v>170 DÍAS CALENDARIO</v>
      </c>
      <c r="L403"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3" s="213">
        <f>IFERROR(__xludf.DUMMYFUNCTION("""COMPUTED_VALUE"""),1.0)</f>
        <v>1</v>
      </c>
      <c r="N403" s="213">
        <f>IFERROR(__xludf.DUMMYFUNCTION("""COMPUTED_VALUE"""),1.0)</f>
        <v>1</v>
      </c>
      <c r="O403" s="213">
        <f>IFERROR(__xludf.DUMMYFUNCTION("""COMPUTED_VALUE"""),1.0)</f>
        <v>1</v>
      </c>
      <c r="P403" s="213"/>
      <c r="Q403" s="213"/>
      <c r="R403" s="213"/>
      <c r="S403" s="213"/>
      <c r="T403" s="213" t="str">
        <f>IFERROR(__xludf.DUMMYFUNCTION("""COMPUTED_VALUE"""),"CONSULTA FINAL")</f>
        <v>CONSULTA FINAL</v>
      </c>
      <c r="U403" s="213" t="str">
        <f>IFERROR(__xludf.DUMMYFUNCTION("""COMPUTED_VALUE"""),"NO")</f>
        <v>NO</v>
      </c>
      <c r="V403" s="213" t="str">
        <f>IFERROR(__xludf.DUMMYFUNCTION("""COMPUTED_VALUE"""),"SUSTENTO")</f>
        <v>SUSTENTO</v>
      </c>
      <c r="W403" s="213" t="str">
        <f>IFERROR(__xludf.DUMMYFUNCTION("""COMPUTED_VALUE"""),"EQU TEC")</f>
        <v>EQU TEC</v>
      </c>
      <c r="X403" s="213" t="str">
        <f>IFERROR(__xludf.DUMMYFUNCTION("""COMPUTED_VALUE"""),"HP")</f>
        <v>HP</v>
      </c>
      <c r="Y403" s="213" t="str">
        <f>IFERROR(__xludf.DUMMYFUNCTION("""COMPUTED_VALUE"""),"ProOne 440 G9")</f>
        <v>ProOne 440 G9</v>
      </c>
      <c r="Z403" s="215" t="str">
        <f>IFERROR(__xludf.DUMMYFUNCTION("""COMPUTED_VALUE"""),"https://support.hp.com/pe-es/document/ish_5956566-5987452-25")</f>
        <v>https://support.hp.com/pe-es/document/ish_5956566-5987452-25</v>
      </c>
      <c r="AA403" s="213" t="str">
        <f>IFERROR(__xludf.DUMMYFUNCTION("""COMPUTED_VALUE"""),"TEC-104 COMPUTADORA DE ESCRITORIO - CET")</f>
        <v>TEC-104 COMPUTADORA DE ESCRITORIO - CET</v>
      </c>
      <c r="AB403" s="213"/>
      <c r="AC403" s="213"/>
      <c r="AD403" s="213"/>
      <c r="AE403" s="213"/>
      <c r="AF403" s="213"/>
      <c r="AG403" s="213"/>
      <c r="AH403" s="213"/>
      <c r="AI403" s="213"/>
      <c r="AJ403" s="213"/>
      <c r="AK403" s="213"/>
      <c r="AL403" s="213"/>
      <c r="AM403" s="213"/>
      <c r="AN403" s="213"/>
      <c r="AO403" s="213"/>
      <c r="AP403" s="213" t="str">
        <f>IFERROR(__xludf.DUMMYFUNCTION("""COMPUTED_VALUE"""),"NALDI")</f>
        <v>NALDI</v>
      </c>
      <c r="AQ403" s="213" t="str">
        <f>IFERROR(__xludf.DUMMYFUNCTION("""COMPUTED_VALUE"""),"Solicitar versión de teclado en español")</f>
        <v>Solicitar versión de teclado en español</v>
      </c>
      <c r="AR403" s="213"/>
      <c r="AS403"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3" s="213"/>
      <c r="AU403" s="213"/>
      <c r="AV403" s="213"/>
      <c r="AW403" s="213"/>
      <c r="AX403" s="213"/>
      <c r="AY403" s="213"/>
      <c r="AZ403" s="213"/>
      <c r="BA403" s="213"/>
      <c r="BB403" s="213"/>
      <c r="BC403" s="213"/>
      <c r="BD403" s="213"/>
    </row>
    <row r="404">
      <c r="A404" s="213">
        <f>IFERROR(__xludf.DUMMYFUNCTION("""COMPUTED_VALUE"""),771.0)</f>
        <v>771</v>
      </c>
      <c r="B404" s="213" t="str">
        <f>IFERROR(__xludf.DUMMYFUNCTION("""COMPUTED_VALUE"""),"6049 RICARDO PALMA")</f>
        <v>6049 RICARDO PALMA</v>
      </c>
      <c r="C404" s="213" t="str">
        <f>IFERROR(__xludf.DUMMYFUNCTION("""COMPUTED_VALUE"""),"TALLER SFT DE COMPUTACIÓN E INFORMÁTICA")</f>
        <v>TALLER SFT DE COMPUTACIÓN E INFORMÁTICA</v>
      </c>
      <c r="D404" s="213" t="str">
        <f>IFERROR(__xludf.DUMMYFUNCTION("""COMPUTED_VALUE"""),"TICS")</f>
        <v>TICS</v>
      </c>
      <c r="E404" s="213" t="str">
        <f>IFERROR(__xludf.DUMMYFUNCTION("""COMPUTED_VALUE"""),"TEC-104")</f>
        <v>TEC-104</v>
      </c>
      <c r="F404" s="213" t="str">
        <f>IFERROR(__xludf.DUMMYFUNCTION("""COMPUTED_VALUE"""),"TEC-104")</f>
        <v>TEC-104</v>
      </c>
      <c r="G404" s="213"/>
      <c r="H404" s="213" t="str">
        <f>IFERROR(__xludf.DUMMYFUNCTION("""COMPUTED_VALUE"""),"COMPUTADORA DE ESCRITORIO")</f>
        <v>COMPUTADORA DE ESCRITORIO</v>
      </c>
      <c r="I404"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04" s="213">
        <f>IFERROR(__xludf.DUMMYFUNCTION("""COMPUTED_VALUE"""),3.0)</f>
        <v>3</v>
      </c>
      <c r="K404" s="213" t="str">
        <f>IFERROR(__xludf.DUMMYFUNCTION("""COMPUTED_VALUE"""),"170 DÍAS CALENDARIO")</f>
        <v>170 DÍAS CALENDARIO</v>
      </c>
      <c r="L404"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4" s="213">
        <f>IFERROR(__xludf.DUMMYFUNCTION("""COMPUTED_VALUE"""),1.0)</f>
        <v>1</v>
      </c>
      <c r="N404" s="213">
        <f>IFERROR(__xludf.DUMMYFUNCTION("""COMPUTED_VALUE"""),8.0)</f>
        <v>8</v>
      </c>
      <c r="O404" s="213">
        <f>IFERROR(__xludf.DUMMYFUNCTION("""COMPUTED_VALUE"""),8.0)</f>
        <v>8</v>
      </c>
      <c r="P404" s="213"/>
      <c r="Q404" s="213"/>
      <c r="R404" s="213"/>
      <c r="S404" s="213"/>
      <c r="T404" s="213" t="str">
        <f>IFERROR(__xludf.DUMMYFUNCTION("""COMPUTED_VALUE"""),"CONSULTA FINAL")</f>
        <v>CONSULTA FINAL</v>
      </c>
      <c r="U404" s="213" t="str">
        <f>IFERROR(__xludf.DUMMYFUNCTION("""COMPUTED_VALUE"""),"NO")</f>
        <v>NO</v>
      </c>
      <c r="V404" s="213" t="str">
        <f>IFERROR(__xludf.DUMMYFUNCTION("""COMPUTED_VALUE"""),"SUSTENTO")</f>
        <v>SUSTENTO</v>
      </c>
      <c r="W404" s="213" t="str">
        <f>IFERROR(__xludf.DUMMYFUNCTION("""COMPUTED_VALUE"""),"EQU TEC")</f>
        <v>EQU TEC</v>
      </c>
      <c r="X404" s="213" t="str">
        <f>IFERROR(__xludf.DUMMYFUNCTION("""COMPUTED_VALUE"""),"HP")</f>
        <v>HP</v>
      </c>
      <c r="Y404" s="213" t="str">
        <f>IFERROR(__xludf.DUMMYFUNCTION("""COMPUTED_VALUE"""),"ProOne 440 G9")</f>
        <v>ProOne 440 G9</v>
      </c>
      <c r="Z404" s="215" t="str">
        <f>IFERROR(__xludf.DUMMYFUNCTION("""COMPUTED_VALUE"""),"https://support.hp.com/pe-es/document/ish_5956566-5987452-26")</f>
        <v>https://support.hp.com/pe-es/document/ish_5956566-5987452-26</v>
      </c>
      <c r="AA404" s="213" t="str">
        <f>IFERROR(__xludf.DUMMYFUNCTION("""COMPUTED_VALUE"""),"TEC-104 COMPUTADORA DE ESCRITORIO - CET")</f>
        <v>TEC-104 COMPUTADORA DE ESCRITORIO - CET</v>
      </c>
      <c r="AB404" s="213"/>
      <c r="AC404" s="213"/>
      <c r="AD404" s="213"/>
      <c r="AE404" s="213"/>
      <c r="AF404" s="213"/>
      <c r="AG404" s="213"/>
      <c r="AH404" s="213"/>
      <c r="AI404" s="213"/>
      <c r="AJ404" s="213"/>
      <c r="AK404" s="213"/>
      <c r="AL404" s="213"/>
      <c r="AM404" s="213"/>
      <c r="AN404" s="213"/>
      <c r="AO404" s="213"/>
      <c r="AP404" s="213" t="str">
        <f>IFERROR(__xludf.DUMMYFUNCTION("""COMPUTED_VALUE"""),"NALDI")</f>
        <v>NALDI</v>
      </c>
      <c r="AQ404" s="213" t="str">
        <f>IFERROR(__xludf.DUMMYFUNCTION("""COMPUTED_VALUE"""),"Solicitar versión de teclado en español")</f>
        <v>Solicitar versión de teclado en español</v>
      </c>
      <c r="AR404" s="213"/>
      <c r="AS404"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4" s="213"/>
      <c r="AU404" s="213"/>
      <c r="AV404" s="213"/>
      <c r="AW404" s="213"/>
      <c r="AX404" s="213"/>
      <c r="AY404" s="213"/>
      <c r="AZ404" s="213"/>
      <c r="BA404" s="213"/>
      <c r="BB404" s="213"/>
      <c r="BC404" s="213"/>
      <c r="BD404" s="213"/>
    </row>
    <row r="405">
      <c r="A405" s="213">
        <f>IFERROR(__xludf.DUMMYFUNCTION("""COMPUTED_VALUE"""),845.0)</f>
        <v>845</v>
      </c>
      <c r="B405" s="213" t="str">
        <f>IFERROR(__xludf.DUMMYFUNCTION("""COMPUTED_VALUE"""),"6049 RICARDO PALMA")</f>
        <v>6049 RICARDO PALMA</v>
      </c>
      <c r="C405" s="213" t="str">
        <f>IFERROR(__xludf.DUMMYFUNCTION("""COMPUTED_VALUE"""),"TALLER SFT DE ELECTRICIDAD")</f>
        <v>TALLER SFT DE ELECTRICIDAD</v>
      </c>
      <c r="D405" s="213" t="str">
        <f>IFERROR(__xludf.DUMMYFUNCTION("""COMPUTED_VALUE"""),"TICS")</f>
        <v>TICS</v>
      </c>
      <c r="E405" s="213" t="str">
        <f>IFERROR(__xludf.DUMMYFUNCTION("""COMPUTED_VALUE"""),"TEC-104")</f>
        <v>TEC-104</v>
      </c>
      <c r="F405" s="213" t="str">
        <f>IFERROR(__xludf.DUMMYFUNCTION("""COMPUTED_VALUE"""),"TEC-104")</f>
        <v>TEC-104</v>
      </c>
      <c r="G405" s="213"/>
      <c r="H405" s="213" t="str">
        <f>IFERROR(__xludf.DUMMYFUNCTION("""COMPUTED_VALUE"""),"COMPUTADORA DE ESCRITORIO")</f>
        <v>COMPUTADORA DE ESCRITORIO</v>
      </c>
      <c r="I405"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"&amp;"MEMORIA RAM: Capacidad 8 GB - Tecnología DDR4 - Velocidad 2400 MHz ---""				
DISCO DURO: Capacidad 1 TB SSD o superior --- UNIDAD OPTICA: Multigrabador Integrado - DVD RW --- PUERTO ES         Video integrado 01 HDMI (Entrada) -				
""01 HDMI (Salida) ---"&amp;" Puerto USB Integrado:  4 USB Tipo A (Incluye mínimo 01 USB 3.0) --- Red Integrada 01 RJ-45 (100/1000 Mbps) --- Lector de Tarjeta
Integrado SD y/o SDHC y/o SDXC --- Audio Integrado 01 Salida de audio o Entrada de micrófono.""				
CAMARA WEB: integrada. --"&amp;"- CONECTIVIDAD: Inalámbrica Integrado: Sí. --- FUENTE DE PODER Entrada de voltaje 220VAC /60 HZ ---ALTAVOCES: Integrada.				
PANTALLA INTEGRADA: --- Tamaño Desde 23.8” --- Tecnología LCD con Retroiluminación LED  --- Resolución 1920 x 1080.				
TECLADO: T"&amp;"ecnología Estándar en español - Tipo USB --- MOUSE: Tipo de Cable Alámbrico de 0.90 m. minimo (No retráctil) - Tecnología Óptico - Conexión				
USB - Rueda de deslizamiento vertical SI (SCROLL) --- SISTEMA OPERATIVO: Microsoft Windows 11 (edición Professi"&amp;"onal), en español – Licenciado. ---				
CERTIFICADOS: --- Certificado que no perjudique la salud o presente un impacto negativo al medio ambiente EPEAT        Certificado de eficiencia de energía				
(Energy Star). --- MIL-STD-810G.  --- Otros: CE o FCC o"&amp;" RoHS --- LICENCIA DE SOFTWARE OFIMATICA --- Interfaz en idioma español. ---Tiene la posibilidad de				
exportar archivos en formatos PDF. --- Permite diseñar y producir documentos de texto que contienen imágenes, tablas o diagramas. --- Permite guardar		"&amp;"		
documentos en formatos RTF, HTML, entre otros. --- Permite hacer uso de hojas de cálculo que puede usar para calcular, analizar y gestionar datos. ---				
Compatibilidad con Sistema Operativo Microsoft Windows. --- En su ultima versión liberada (Licenc"&amp;"iado). --- GARANTIA: Tres (03) Años Onsite				
CONTIENE:				
· Software Microsoft Office 2019 o superior (Word, Excel, PowerPoint, Visio, One Note y Ms Forms), idioma Español, de 64 Bits.				
· Software Antivirus:				
- Licenciada / Idioma español / Prote"&amp;"cción antivirus en tiempo real para proteger de virus, troyanos, adware, malware y phishing / Protección contra firewall				
/Gestionada a traves de una consola web				
· Software - Programas CAD para dibujos en 2D, 3D y renderizado / Gratuitos /libres (d"&amp;"e código abierto) / Idioma español / Compatible con el sistema operativo				
de la computadora (Windows 11 o posterior) / Cuenta con herramientas de edición y modelado de muebles / Cuenta con editor geométrico interactivo,				
procesamiento de imágenes y "&amp;"señales / Alta capacidad de renderizado / Entre las alternativas gratuitas: SketchUp, Polyboard, Sweet Home 3, entre otros.				
· Software para diseño gráfico publicitario:				
- Gratuitos /libres (de código abierto) / Idioma español / Compatible con el s"&amp;"istema operativo de la computadora (Windows 8 o posterior) / Permite crear diseños,				
gráficos, fotografías y sitios web / Dispone de herramientas profesionales de diseño, edición de imágenes y fotografías y diseño de páginas web.  Funciones				
táctile"&amp;"s y para lápices intuitivas / Dispone de editor de gráficos vectoriales, textos y logos / Permite diseño de prototipos e interfaces para aplicaciones y sitios				
web / Entre las alternativas gratuitas /libres: Gimp, krita, Inkscape, Pencil Proyect, entre"&amp;" otros.				
· Software para diseño y edición de videos – spot publicitarios:				
- Gratuitos /libres (de código abierto) / Idioma español / Compatible con el sistema operativo de la computadora (Windows 8 o posterior) / Permite diseñar y editar				
videos"&amp;" / Trabaja con diferentes formatos: Un amplio soporte para diferentes formatos, incluyendo MP4, AVI, MOV, AVCHD y más / Permite crear videos de alta				
resolución: 4K, y trabajar en formato SD y HD / Dispone de las herramientas más utilizadas en los edit"&amp;"ores de vídeos: cortar, recortar, dividir y combinar en unos				
pocos clics / Permite generar acabados: Varios filtros y efectos visuales para retocar el vídeo, efectos especiales en 2D y 3D / Dispone de herramientas para				
realizar diseños y animacion"&amp;"es en 3D y plantillas animadas gratuitas / Permite editar, ajustar perfeccionar el audio / Entre las alternativas gratuitas /libres:				
Windows Movie Maker, Video editor Wondershare filmadora, Lightworks, VSDC Free Video editor, Blender,  entre otros.			"&amp;"	
· Software / programas para elaborar flujogramas:				
- Gratuitos /libres (de código abierto) / Idioma español / Compatible con el sistema operativo de la computadora (Windows 11 o posterior) / Diseña diagramas de				
flujos y organigramas / Contiene un"&amp;"a variedad de símbolos y estilos de conexión de líneas / Edita, personaliza colores, rellenos y trazos / Entre las alternativas				
gratuitas /libres: clickCharts, CreatelyDia, yEd Graph Editor, Pencil project, entre otros.				
· Software para elaborar pr"&amp;"esupuestos				
- Gratuitos /libres (de código abierto) / Idioma español / Compatible con el sistema operativo de la computadora (Windows 8 o posterior) / Crea presupuestos,				
gestiona la facturación y la planificación de presupuestos / Entre las alterna"&amp;"tivas gratuitas /libres: Holded, debitor,  Billage, entre otros / Estabilizador Rango de				
Voltaje: 170 - 265vac.				")</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 Lector de Tarjeta
Integrado SD y/o SDHC y/o SDXC --- Audio Integrado 01 Salida de audio o Entrada de micrófono."				
CAMARA WEB: integrada. --- CONECTIVIDAD: Inalámbrica Integrado: Sí. --- FUENTE DE PODER Entrada de voltaje 220VAC /60 HZ ---ALTAVOCES: Integrada.				
PANTALLA INTEGRADA: --- Tamaño Desde 23.8” --- Tecnología LCD con Retroiluminación LED  --- Resolución 1920 x 1080.				
TECLADO: Tecnología Estándar en español - Tipo USB ---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 Permite guardar				
documentos en formatos RTF, HTML, entre otros. --- Permite hacer uso de hojas de cálculo que puede usar para calcular, analizar y gestionar datos. ---				
Compatibilidad con Sistema Operativo Microsoft Windows. --- En su ultima versión liberada (Licenciado). ---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				</v>
      </c>
      <c r="J405" s="213">
        <f>IFERROR(__xludf.DUMMYFUNCTION("""COMPUTED_VALUE"""),3.0)</f>
        <v>3</v>
      </c>
      <c r="K405" s="213" t="str">
        <f>IFERROR(__xludf.DUMMYFUNCTION("""COMPUTED_VALUE"""),"170 DÍAS CALENDARIO")</f>
        <v>170 DÍAS CALENDARIO</v>
      </c>
      <c r="L405"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5" s="213">
        <f>IFERROR(__xludf.DUMMYFUNCTION("""COMPUTED_VALUE"""),1.0)</f>
        <v>1</v>
      </c>
      <c r="N405" s="213">
        <f>IFERROR(__xludf.DUMMYFUNCTION("""COMPUTED_VALUE"""),19.0)</f>
        <v>19</v>
      </c>
      <c r="O405" s="213">
        <f>IFERROR(__xludf.DUMMYFUNCTION("""COMPUTED_VALUE"""),19.0)</f>
        <v>19</v>
      </c>
      <c r="P405" s="213"/>
      <c r="Q405" s="213"/>
      <c r="R405" s="213"/>
      <c r="S405" s="213"/>
      <c r="T405" s="213" t="str">
        <f>IFERROR(__xludf.DUMMYFUNCTION("""COMPUTED_VALUE"""),"CONSULTA FINAL")</f>
        <v>CONSULTA FINAL</v>
      </c>
      <c r="U405" s="213" t="str">
        <f>IFERROR(__xludf.DUMMYFUNCTION("""COMPUTED_VALUE"""),"NO")</f>
        <v>NO</v>
      </c>
      <c r="V405" s="213" t="str">
        <f>IFERROR(__xludf.DUMMYFUNCTION("""COMPUTED_VALUE"""),"SUSTENTO")</f>
        <v>SUSTENTO</v>
      </c>
      <c r="W405" s="213" t="str">
        <f>IFERROR(__xludf.DUMMYFUNCTION("""COMPUTED_VALUE"""),"EQU TEC")</f>
        <v>EQU TEC</v>
      </c>
      <c r="X405" s="213" t="str">
        <f>IFERROR(__xludf.DUMMYFUNCTION("""COMPUTED_VALUE"""),"HP")</f>
        <v>HP</v>
      </c>
      <c r="Y405" s="213" t="str">
        <f>IFERROR(__xludf.DUMMYFUNCTION("""COMPUTED_VALUE"""),"ProOne 440 G9")</f>
        <v>ProOne 440 G9</v>
      </c>
      <c r="Z405" s="215" t="str">
        <f>IFERROR(__xludf.DUMMYFUNCTION("""COMPUTED_VALUE"""),"https://support.hp.com/pe-es/document/ish_5956566-5987452-27")</f>
        <v>https://support.hp.com/pe-es/document/ish_5956566-5987452-27</v>
      </c>
      <c r="AA405" s="213" t="str">
        <f>IFERROR(__xludf.DUMMYFUNCTION("""COMPUTED_VALUE"""),"TEC-104 COMPUTADORA DE ESCRITORIO - CET")</f>
        <v>TEC-104 COMPUTADORA DE ESCRITORIO - CET</v>
      </c>
      <c r="AB405" s="213"/>
      <c r="AC405" s="213"/>
      <c r="AD405" s="213"/>
      <c r="AE405" s="213"/>
      <c r="AF405" s="213"/>
      <c r="AG405" s="213"/>
      <c r="AH405" s="213"/>
      <c r="AI405" s="213"/>
      <c r="AJ405" s="213"/>
      <c r="AK405" s="213"/>
      <c r="AL405" s="213"/>
      <c r="AM405" s="213"/>
      <c r="AN405" s="213"/>
      <c r="AO405" s="213"/>
      <c r="AP405" s="213" t="str">
        <f>IFERROR(__xludf.DUMMYFUNCTION("""COMPUTED_VALUE"""),"NALDI")</f>
        <v>NALDI</v>
      </c>
      <c r="AQ405" s="213" t="str">
        <f>IFERROR(__xludf.DUMMYFUNCTION("""COMPUTED_VALUE"""),"Solicitar versión de teclado en español")</f>
        <v>Solicitar versión de teclado en español</v>
      </c>
      <c r="AR405" s="213"/>
      <c r="AS405"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5" s="213"/>
      <c r="AU405" s="213"/>
      <c r="AV405" s="213"/>
      <c r="AW405" s="213"/>
      <c r="AX405" s="213"/>
      <c r="AY405" s="213"/>
      <c r="AZ405" s="213"/>
      <c r="BA405" s="213"/>
      <c r="BB405" s="213"/>
      <c r="BC405" s="213"/>
      <c r="BD405" s="213"/>
    </row>
    <row r="406">
      <c r="A406" s="213">
        <f>IFERROR(__xludf.DUMMYFUNCTION("""COMPUTED_VALUE"""),979.0)</f>
        <v>979</v>
      </c>
      <c r="B406" s="213" t="str">
        <f>IFERROR(__xludf.DUMMYFUNCTION("""COMPUTED_VALUE"""),"FRANCISCO IRAZOLA")</f>
        <v>FRANCISCO IRAZOLA</v>
      </c>
      <c r="C406" s="213" t="str">
        <f>IFERROR(__xludf.DUMMYFUNCTION("""COMPUTED_VALUE"""),"TALLER SFT DE MECÁNICA AUTOMOTRIZ")</f>
        <v>TALLER SFT DE MECÁNICA AUTOMOTRIZ</v>
      </c>
      <c r="D406" s="213" t="str">
        <f>IFERROR(__xludf.DUMMYFUNCTION("""COMPUTED_VALUE"""),"TICS")</f>
        <v>TICS</v>
      </c>
      <c r="E406" s="213" t="str">
        <f>IFERROR(__xludf.DUMMYFUNCTION("""COMPUTED_VALUE"""),"TEC-104")</f>
        <v>TEC-104</v>
      </c>
      <c r="F406" s="213" t="str">
        <f>IFERROR(__xludf.DUMMYFUNCTION("""COMPUTED_VALUE"""),"TEC-104")</f>
        <v>TEC-104</v>
      </c>
      <c r="G406" s="213"/>
      <c r="H406" s="213" t="str">
        <f>IFERROR(__xludf.DUMMYFUNCTION("""COMPUTED_VALUE"""),"COMPUTADORA DE ESCRITORIO")</f>
        <v>COMPUTADORA DE ESCRITORIO</v>
      </c>
      <c r="I406"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P"&amp;"ermite diseño de prototipos e interfaces para aplicaciones y sitios web / Entre las alternativas gratuitas /libres: Gimp, krita, Inkscape, Pencil Proyect, entre otros.
· Software para diseño y edición de videos – spot publicitarios:
- Gratuitos /libres (d"&amp;"e código abierto) / Idioma español / Compatible con el sistema operativo de la computadora (Windows 8 o posterior) / Permite diseñar y editar videos / Trabaja con diferentes formatos: Un amplio soporte para diferentes formatos, incluyendo MP4, AVI, MOV, A"&amp;"VCHD y más / Permite crear videos de alta resolución: 4K, y trabajar en formato SD y HD / Dispone de las herramientas más utilizadas en los editores de vídeos: cortar, recortar, dividir y combinar en unos pocos clics / Permite generar acabados: Varios fil"&amp;"tros y efectos visuales para retocar el vídeo, efectos especiales en 2D y 3D / Dispone de herramientas para  realizar diseños y animaciones en 3D y plantillas animadas gratuitas / Permite editar, ajustar perfeccionar el audio / Entre las alternativas grat"&amp;"uitas /libres: Windows Movie Maker, Video editor Wondershare filmadora, Lightworks, VSDC Free Video editor, Blender,  entre otros.
· Software / programas para elaborar flujogramas:
- Gratuitos /libres (de código abierto) / Idioma español / Compatible con "&amp;"el sistema operativo de la computadora (Windows 11 o posterior) / Diseña diagramas de flujos y organigramas / Contiene una variedad de símbolos y estilos de conexión de líneas / Edita, personaliza colores, rellenos y trazos / Entre las alternativas gratui"&amp;"tas /libres: clickCharts, CreatelyDia, yEd Graph Editor, Pencil project, entre otros.
· Software para elaborar presupuestos
- Gratuitos /libres (de código abierto) / Idioma español / Compatible con el sistema operativo de la computadora (Windows 8 o poste"&amp;"rior)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06" s="213">
        <f>IFERROR(__xludf.DUMMYFUNCTION("""COMPUTED_VALUE"""),3.0)</f>
        <v>3</v>
      </c>
      <c r="K406" s="213" t="str">
        <f>IFERROR(__xludf.DUMMYFUNCTION("""COMPUTED_VALUE"""),"170 DÍAS CALENDARIO")</f>
        <v>170 DÍAS CALENDARIO</v>
      </c>
      <c r="L406"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6" s="213">
        <f>IFERROR(__xludf.DUMMYFUNCTION("""COMPUTED_VALUE"""),1.0)</f>
        <v>1</v>
      </c>
      <c r="N406" s="213">
        <f>IFERROR(__xludf.DUMMYFUNCTION("""COMPUTED_VALUE"""),21.0)</f>
        <v>21</v>
      </c>
      <c r="O406" s="213">
        <f>IFERROR(__xludf.DUMMYFUNCTION("""COMPUTED_VALUE"""),21.0)</f>
        <v>21</v>
      </c>
      <c r="P406" s="213"/>
      <c r="Q406" s="213"/>
      <c r="R406" s="213"/>
      <c r="S406" s="213"/>
      <c r="T406" s="213" t="str">
        <f>IFERROR(__xludf.DUMMYFUNCTION("""COMPUTED_VALUE"""),"CONSULTA FINAL")</f>
        <v>CONSULTA FINAL</v>
      </c>
      <c r="U406" s="213" t="str">
        <f>IFERROR(__xludf.DUMMYFUNCTION("""COMPUTED_VALUE"""),"NO")</f>
        <v>NO</v>
      </c>
      <c r="V406" s="213" t="str">
        <f>IFERROR(__xludf.DUMMYFUNCTION("""COMPUTED_VALUE"""),"SUSTENTO")</f>
        <v>SUSTENTO</v>
      </c>
      <c r="W406" s="213" t="str">
        <f>IFERROR(__xludf.DUMMYFUNCTION("""COMPUTED_VALUE"""),"EQU TEC")</f>
        <v>EQU TEC</v>
      </c>
      <c r="X406" s="213" t="str">
        <f>IFERROR(__xludf.DUMMYFUNCTION("""COMPUTED_VALUE"""),"HP")</f>
        <v>HP</v>
      </c>
      <c r="Y406" s="213" t="str">
        <f>IFERROR(__xludf.DUMMYFUNCTION("""COMPUTED_VALUE"""),"ProOne 440 G9")</f>
        <v>ProOne 440 G9</v>
      </c>
      <c r="Z406" s="215" t="str">
        <f>IFERROR(__xludf.DUMMYFUNCTION("""COMPUTED_VALUE"""),"https://support.hp.com/pe-es/document/ish_5956566-5987452-28")</f>
        <v>https://support.hp.com/pe-es/document/ish_5956566-5987452-28</v>
      </c>
      <c r="AA406" s="213" t="str">
        <f>IFERROR(__xludf.DUMMYFUNCTION("""COMPUTED_VALUE"""),"TEC-104 COMPUTADORA DE ESCRITORIO - CET")</f>
        <v>TEC-104 COMPUTADORA DE ESCRITORIO - CET</v>
      </c>
      <c r="AB406" s="213"/>
      <c r="AC406" s="213"/>
      <c r="AD406" s="213"/>
      <c r="AE406" s="213"/>
      <c r="AF406" s="213"/>
      <c r="AG406" s="213"/>
      <c r="AH406" s="213"/>
      <c r="AI406" s="213"/>
      <c r="AJ406" s="213"/>
      <c r="AK406" s="213"/>
      <c r="AL406" s="213"/>
      <c r="AM406" s="213"/>
      <c r="AN406" s="213"/>
      <c r="AO406" s="213"/>
      <c r="AP406" s="213" t="str">
        <f>IFERROR(__xludf.DUMMYFUNCTION("""COMPUTED_VALUE"""),"NALDI")</f>
        <v>NALDI</v>
      </c>
      <c r="AQ406" s="213" t="str">
        <f>IFERROR(__xludf.DUMMYFUNCTION("""COMPUTED_VALUE"""),"Solicitar versión de teclado en español")</f>
        <v>Solicitar versión de teclado en español</v>
      </c>
      <c r="AR406" s="213"/>
      <c r="AS406"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6" s="213"/>
      <c r="AU406" s="213"/>
      <c r="AV406" s="213"/>
      <c r="AW406" s="213"/>
      <c r="AX406" s="213"/>
      <c r="AY406" s="213"/>
      <c r="AZ406" s="213"/>
      <c r="BA406" s="213"/>
      <c r="BB406" s="213"/>
      <c r="BC406" s="213"/>
      <c r="BD406" s="213"/>
    </row>
    <row r="407">
      <c r="A407" s="213">
        <f>IFERROR(__xludf.DUMMYFUNCTION("""COMPUTED_VALUE"""),1194.0)</f>
        <v>1194</v>
      </c>
      <c r="B407" s="213" t="str">
        <f>IFERROR(__xludf.DUMMYFUNCTION("""COMPUTED_VALUE"""),"FRANCISCO IRAZOLA")</f>
        <v>FRANCISCO IRAZOLA</v>
      </c>
      <c r="C407" s="213" t="str">
        <f>IFERROR(__xludf.DUMMYFUNCTION("""COMPUTED_VALUE"""),"TALLER SFT DE INDUSTRIA ALIMENTARIA")</f>
        <v>TALLER SFT DE INDUSTRIA ALIMENTARIA</v>
      </c>
      <c r="D407" s="213" t="str">
        <f>IFERROR(__xludf.DUMMYFUNCTION("""COMPUTED_VALUE"""),"TICS")</f>
        <v>TICS</v>
      </c>
      <c r="E407" s="213" t="str">
        <f>IFERROR(__xludf.DUMMYFUNCTION("""COMPUTED_VALUE"""),"TEC-104")</f>
        <v>TEC-104</v>
      </c>
      <c r="F407" s="213" t="str">
        <f>IFERROR(__xludf.DUMMYFUNCTION("""COMPUTED_VALUE"""),"TEC-104")</f>
        <v>TEC-104</v>
      </c>
      <c r="G407" s="213"/>
      <c r="H407" s="213" t="str">
        <f>IFERROR(__xludf.DUMMYFUNCTION("""COMPUTED_VALUE"""),"COMPUTADORA DE ESCRITORIO")</f>
        <v>COMPUTADORA DE ESCRITORIO</v>
      </c>
      <c r="I407"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 Video integrado 01 HDMI (Entrada) - 01 HDMI (Salida) --- Puerto USB Inte"&amp;"grado:  4 USB Tipo A (Incluye mínimo 01 USB 3.0) --- Red Integrada 01 RJ-45 (100/1000 Mbps) --- Lector de Tarjeta Integrado SD y/o SDHC y/o SDXC --- Audio Integrado 01 Salida de audio o Entrada de    micrófono.
CAMARA WEB: integrada. --- CONECTIVIDAD: Ina"&amp;"lámbrica Integrado: Sí. --- FUENTE DE PODER Entrada de voltaje 220VAC /60 HZ ---ALTAVOCES: Integrada. PANTALLA INTEGRADA: --- Tamaño Desde 23.8” --- Tecnología LCD con Retroiluminación LED  --- Resolución 1920 x 1080.
TECLADO: Tecnología Estándar en españ"&amp;"ol - Tipo USB --- MOUSE: Tipo de Cable Alámbrico de 0.90 m. minimo (No retráctil) - Tecnología Óptico - Conexión USB - Rueda de deslizamiento vertical SI (SCROLL) --- SISTEMA OPERATIVO: Microsoft Windows 11 (edición Professional), en español – Licenciado."&amp;" --- CERTIFICADOS: --- Certificado que no perjudique la salud o presente un impacto negativo al medio ambiente EPEAT. ---- Certificado de eficiencia de energía (Energy Star). --- MIL-STD-810G.  --- Otros: CE o FCC o RoHS --
- LICENCIA DE SOFTWARE OFIMATIC"&amp;"A --- Interfaz en idioma español. ---Tiene la posibilidad de exportar archivos en formatos PDF. --- Permite diseñar y producir documentos de texto que contienen imágenes, tablas o diagramas. --- Permite guardar documentos en formatos RTF, HTML, entre otro"&amp;"s. --- Permite hacer uso de hojas de cálculo que puede usar para calcular, analizar y gestionar datos. --- Compatibilidad con Sistema Operativo Microsoft Windows. --- En su ultima versión liberada (Licenciado). --- GARANTIA: Tres (03) Años Onsite
CONTIENE"&amp;":
· Software Microsoft Office 2019 o superior (Word, Excel, PowerPoint, Visio, One Note y Ms Forms), idioma Español, de 64 Bits.
· Software Antivirus:
- Licenciada / Idioma español / Protección antivirus en tiempo real para proteger de virus, troyanos, ad"&amp;"ware, malware y phishing / Protección contra firewall /Gestionada a traves de una consola web
· Software - Programas CAD para dibujos en 2D, 3D y renderizado / Gratuitos /libres (de código abierto) / Idioma español / Compatible con el sistema operativo de"&amp;" la computadora (Windows 11 o posterior) / Cuenta con herramientas de edición y modelado de muebles / Cuenta con editor geométrico interactivo, procesamiento de imágenes y señales / Alta capacidad de renderizado / Entre las alternativas gratuitas: SketchU"&amp;"p, Polyboard, Sweet Home 3, entre otros.
· Software para diseño gráfico publicitario:
- Gratuitos /libres (de código abierto) / Idioma español / Compatible con el sistema operativo de la computadora (Windows 8 o posterior) / Permite crear diseños, gráfico"&amp;"s, fotografías y sitios web / Dispone de herramientas profesionales de diseño, edición de imágenes y fotografías y diseño de páginas web.  Funciones táctiles y para lápices intuitivas / Dispone de editor de gráficos vectoriales, textos y logos / Permite d"&amp;"iseño de prototipos e interfaces para aplicaciones y sitios web / Entre las alternativas gratuitas /libres: Gimp, krita, Inkscape, Pencil Proyect, entre otros.
· Software para diseño y edición de videos – spot publicitarios:
- Gratuitos /libres (de código"&amp;" abierto) / Idioma español / Compatible con el sistema operativo de la computadora (Windows 8 o posterior) / Permite diseñar y editar videos / Trabaja con diferentes formatos: Un amplio soporte para diferentes formatos, incluyendo MP4, AVI, MOV, AVCHD y m"&amp;"ás / Permite crear videos de alta resolución: 4K, y trabajar en formato SD y HD / Dispone de las herramientas más utilizadas en los editores de vídeos: cortar, recortar, dividir y combinar en unos pocos clics / Permite generar acabados: Varios filtros y e"&amp;"fectos visuales para retocar el vídeo, efectos especiales en 2D y 3D / Dispone de herramientas para realizar diseños y animaciones en 3D y plantillas animadas gratuitas / Permite editar, ajustar perfeccionar el audio / Entre las alternativas gratuitas /li"&amp;"bres: Windows Movie Maker, Video editor Wondershare filmadora, Lightworks, VSDC Free Video editor, Blender,  entre otros.
· Software / programas para elaborar flujogramas:
- Gratuitos /libres (de código abierto) / Idioma español / Compatible con el sistem"&amp;"a operativo de la computadora (Windows 11 o posterior) / Diseña diagramas de flujos y organigramas / Contiene una variedad de símbolos y estilos de conexión de líneas / Edita, personaliza colores, rellenos y trazos / Entre las alternativas gratuitas /libr"&amp;"es: clickCharts, CreatelyDia, yEd Graph Editor, Pencil project, entre otros.
· Software para elaborar presupuestos
- Gratuitos /libres (de código abierto) / Idioma español / Compatible con el sistema operativo de la computadora (Windows 8 o posterior) / C"&amp;"rea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 Video integrado 01 HDMI (Entrada) - 01 HDMI (Salida) --- Puerto USB Integrado:  4 USB Tipo A (Incluye mínimo 01 USB 3.0) --- Red Integrada 01 RJ-45 (100/1000 Mbps) --- Lector de Tarjeta Integrado SD y/o SDHC y/o SDXC --- Audio Integrado 01 Salida de audio o Entrada de    micrófono.
CAMARA WEB: integrada. --- CONECTIVIDAD: Inalámbrica Integrado: Sí. --- FUENTE DE PODER Entrada de voltaje 220VAC /60 HZ ---ALTAVOCES: Integrada. PANTALLA INTEGRADA: --- Tamaño Desde 23.8” --- Tecnología LCD con Retroiluminación LED  --- Resolución 1920 x 1080.
TECLADO: Tecnología Estándar en español - Tipo USB ---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 Certificado de eficiencia de energía (Energy Star). --- MIL-STD-810G.  --- Otros: CE o FCC o RoHS --
- LICENCIA DE SOFTWARE OFIMATICA --- Interfaz en idioma español. ---Tiene la posibilidad de exportar archivos en formatos PDF. --- Permite diseñar y producir documentos de texto que contienen imágenes, tablas o diagramas. --- Permite guardar documentos en formatos RTF, HTML, entre otros. --- Permite hacer uso de hojas de cálculo que puede usar para calcular, analizar y gestionar datos. --- Compatibilidad con Sistema Operativo Microsoft Windows. --- En su ultima versión liberada (Licenciado). ---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07" s="213">
        <f>IFERROR(__xludf.DUMMYFUNCTION("""COMPUTED_VALUE"""),3.0)</f>
        <v>3</v>
      </c>
      <c r="K407" s="213" t="str">
        <f>IFERROR(__xludf.DUMMYFUNCTION("""COMPUTED_VALUE"""),"170 DÍAS CALENDARIO")</f>
        <v>170 DÍAS CALENDARIO</v>
      </c>
      <c r="L407"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7" s="213">
        <f>IFERROR(__xludf.DUMMYFUNCTION("""COMPUTED_VALUE"""),1.0)</f>
        <v>1</v>
      </c>
      <c r="N407" s="213">
        <f>IFERROR(__xludf.DUMMYFUNCTION("""COMPUTED_VALUE"""),21.0)</f>
        <v>21</v>
      </c>
      <c r="O407" s="213">
        <f>IFERROR(__xludf.DUMMYFUNCTION("""COMPUTED_VALUE"""),21.0)</f>
        <v>21</v>
      </c>
      <c r="P407" s="213"/>
      <c r="Q407" s="213"/>
      <c r="R407" s="213"/>
      <c r="S407" s="213"/>
      <c r="T407" s="213" t="str">
        <f>IFERROR(__xludf.DUMMYFUNCTION("""COMPUTED_VALUE"""),"CONSULTA FINAL")</f>
        <v>CONSULTA FINAL</v>
      </c>
      <c r="U407" s="213" t="str">
        <f>IFERROR(__xludf.DUMMYFUNCTION("""COMPUTED_VALUE"""),"NO")</f>
        <v>NO</v>
      </c>
      <c r="V407" s="213" t="str">
        <f>IFERROR(__xludf.DUMMYFUNCTION("""COMPUTED_VALUE"""),"SUSTENTO")</f>
        <v>SUSTENTO</v>
      </c>
      <c r="W407" s="213" t="str">
        <f>IFERROR(__xludf.DUMMYFUNCTION("""COMPUTED_VALUE"""),"EQU TEC")</f>
        <v>EQU TEC</v>
      </c>
      <c r="X407" s="213" t="str">
        <f>IFERROR(__xludf.DUMMYFUNCTION("""COMPUTED_VALUE"""),"HP")</f>
        <v>HP</v>
      </c>
      <c r="Y407" s="213" t="str">
        <f>IFERROR(__xludf.DUMMYFUNCTION("""COMPUTED_VALUE"""),"ProOne 440 G9")</f>
        <v>ProOne 440 G9</v>
      </c>
      <c r="Z407" s="215" t="str">
        <f>IFERROR(__xludf.DUMMYFUNCTION("""COMPUTED_VALUE"""),"https://support.hp.com/pe-es/document/ish_5956566-5987452-29")</f>
        <v>https://support.hp.com/pe-es/document/ish_5956566-5987452-29</v>
      </c>
      <c r="AA407" s="213" t="str">
        <f>IFERROR(__xludf.DUMMYFUNCTION("""COMPUTED_VALUE"""),"TEC-104 COMPUTADORA DE ESCRITORIO - CET")</f>
        <v>TEC-104 COMPUTADORA DE ESCRITORIO - CET</v>
      </c>
      <c r="AB407" s="213"/>
      <c r="AC407" s="213"/>
      <c r="AD407" s="213"/>
      <c r="AE407" s="213"/>
      <c r="AF407" s="213"/>
      <c r="AG407" s="213"/>
      <c r="AH407" s="213"/>
      <c r="AI407" s="213"/>
      <c r="AJ407" s="213"/>
      <c r="AK407" s="213"/>
      <c r="AL407" s="213"/>
      <c r="AM407" s="213"/>
      <c r="AN407" s="213"/>
      <c r="AO407" s="213"/>
      <c r="AP407" s="213" t="str">
        <f>IFERROR(__xludf.DUMMYFUNCTION("""COMPUTED_VALUE"""),"NALDI")</f>
        <v>NALDI</v>
      </c>
      <c r="AQ407" s="213" t="str">
        <f>IFERROR(__xludf.DUMMYFUNCTION("""COMPUTED_VALUE"""),"Solicitar versión de teclado en español")</f>
        <v>Solicitar versión de teclado en español</v>
      </c>
      <c r="AR407" s="213"/>
      <c r="AS407"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7" s="213"/>
      <c r="AU407" s="213"/>
      <c r="AV407" s="213"/>
      <c r="AW407" s="213"/>
      <c r="AX407" s="213"/>
      <c r="AY407" s="213"/>
      <c r="AZ407" s="213"/>
      <c r="BA407" s="213"/>
      <c r="BB407" s="213"/>
      <c r="BC407" s="213"/>
      <c r="BD407" s="213"/>
    </row>
    <row r="408">
      <c r="A408" s="213">
        <f>IFERROR(__xludf.DUMMYFUNCTION("""COMPUTED_VALUE"""),1267.0)</f>
        <v>1267</v>
      </c>
      <c r="B408" s="213" t="str">
        <f>IFERROR(__xludf.DUMMYFUNCTION("""COMPUTED_VALUE"""),"GUILLERMO E. BILLINGHURST ")</f>
        <v>GUILLERMO E. BILLINGHURST </v>
      </c>
      <c r="C408" s="213" t="str">
        <f>IFERROR(__xludf.DUMMYFUNCTION("""COMPUTED_VALUE"""),"TALLER SFT DE ELECTRICIDAD")</f>
        <v>TALLER SFT DE ELECTRICIDAD</v>
      </c>
      <c r="D408" s="213" t="str">
        <f>IFERROR(__xludf.DUMMYFUNCTION("""COMPUTED_VALUE"""),"TICS")</f>
        <v>TICS</v>
      </c>
      <c r="E408" s="213" t="str">
        <f>IFERROR(__xludf.DUMMYFUNCTION("""COMPUTED_VALUE"""),"TEC-104")</f>
        <v>TEC-104</v>
      </c>
      <c r="F408" s="213" t="str">
        <f>IFERROR(__xludf.DUMMYFUNCTION("""COMPUTED_VALUE"""),"TEC-104")</f>
        <v>TEC-104</v>
      </c>
      <c r="G408" s="213"/>
      <c r="H408" s="213" t="str">
        <f>IFERROR(__xludf.DUMMYFUNCTION("""COMPUTED_VALUE"""),"COMPUTADORA DE ESCRITORIO")</f>
        <v>COMPUTADORA DE ESCRITORIO</v>
      </c>
      <c r="I408"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"&amp;"MEMORIA RAM: Capacidad 8 GB - Tecnología DDR4 - Velocidad 2400 MHz ---""				
DISCO DURO: Capacidad 1 TB SSD o superior --- UNIDAD OPTICA: Multigrabador Integrado - DVD RW --- PUERTO ES         Video integrado 01 HDMI (Entrada) -				
""01 HDMI (Salida) ---"&amp;" Puerto USB Integrado:  4 USB Tipo A (Incluye mínimo 01 USB 3.0) --- Red Integrada 01 RJ-45 (100/1000 Mbps) --- Lector de Tarjeta
Integrado SD y/o SDHC y/o SDXC --- Audio Integrado 01 Salida de audio o Entrada de micrófono.""				
CAMARA WEB: integrada. --"&amp;"- CONECTIVIDAD: Inalámbrica Integrado: Sí. --- FUENTE DE PODER Entrada de voltaje 220VAC /60 HZ ---ALTAVOCES: Integrada.				
PANTALLA INTEGRADA: --- Tamaño Desde 23.8” --- Tecnología LCD con Retroiluminación LED  --- Resolución 1920 x 1080.				
TECLADO: T"&amp;"ecnología Estándar en español - Tipo USB --- MOUSE: Tipo de Cable Alámbrico de 0.90 m. minimo (No retráctil) - Tecnología Óptico - Conexión				
USB - Rueda de deslizamiento vertical SI (SCROLL) --- SISTEMA OPERATIVO: Microsoft Windows 11 (edición Professi"&amp;"onal), en español – Licenciado. ---				
CERTIFICADOS: --- Certificado que no perjudique la salud o presente un impacto negativo al medio ambiente EPEAT        Certificado de eficiencia de energía				
(Energy Star). --- MIL-STD-810G.  --- Otros: CE o FCC o"&amp;" RoHS --- LICENCIA DE SOFTWARE OFIMATICA --- Interfaz en idioma español. ---Tiene la posibilidad de				
exportar archivos en formatos PDF. --- Permite diseñar y producir documentos de texto que contienen imágenes, tablas o diagramas. --- Permite guardar		"&amp;"		
documentos en formatos RTF, HTML, entre otros. --- Permite hacer uso de hojas de cálculo que puede usar para calcular, analizar y gestionar datos. ---				
Compatibilidad con Sistema Operativo Microsoft Windows. --- En su ultima versión liberada (Licenc"&amp;"iado). --- GARANTIA: Tres (03) Años Onsite				
CONTIENE:				
· Software Microsoft Office 2019 o superior (Word, Excel, PowerPoint, Visio, One Note y Ms Forms), idioma Español, de 64 Bits.				
· Software Antivirus:				
- Licenciada / Idioma español / Prote"&amp;"cción antivirus en tiempo real para proteger de virus, troyanos, adware, malware y phishing / Protección contra firewall				
/Gestionada a traves de una consola web				
· Software - Programas CAD para dibujos en 2D, 3D y renderizado / Gratuitos /libres (d"&amp;"e código abierto) / Idioma español / Compatible con el sistema operativo				
de la computadora (Windows 11 o posterior) / Cuenta con herramientas de edición y modelado de muebles / Cuenta con editor geométrico interactivo,				
procesamiento de imágenes y "&amp;"señales / Alta capacidad de renderizado / Entre las alternativas gratuitas: SketchUp, Polyboard, Sweet Home 3, entre otros.				
· Software para diseño gráfico publicitario:				
- Gratuitos /libres (de código abierto) / Idioma español / Compatible con el s"&amp;"istema operativo de la computadora (Windows 8 o posterior) / Permite crear diseños,				
gráficos, fotografías y sitios web / Dispone de herramientas profesionales de diseño, edición de imágenes y fotografías y diseño de páginas web.  Funciones				
táctile"&amp;"s y para lápices intuitivas / Dispone de editor de gráficos vectoriales, textos y logos / Permite diseño de prototipos e interfaces para aplicaciones y sitios				
web / Entre las alternativas gratuitas /libres: Gimp, krita, Inkscape, Pencil Proyect, entre"&amp;" otros.				
· Software para diseño y edición de videos – spot publicitarios:				
- Gratuitos /libres (de código abierto) / Idioma español / Compatible con el sistema operativo de la computadora (Windows 8 o posterior) / Permite diseñar y editar				
videos"&amp;" / Trabaja con diferentes formatos: Un amplio soporte para diferentes formatos, incluyendo MP4, AVI, MOV, AVCHD y más / Permite crear videos de alta				
resolución: 4K, y trabajar en formato SD y HD / Dispone de las herramientas más utilizadas en los edit"&amp;"ores de vídeos: cortar, recortar, dividir y combinar en unos				
pocos clics / Permite generar acabados: Varios filtros y efectos visuales para retocar el vídeo, efectos especiales en 2D y 3D / Dispone de herramientas para				
realizar diseños y animacion"&amp;"es en 3D y plantillas animadas gratuitas / Permite editar, ajustar perfeccionar el audio / Entre las alternativas gratuitas /libres:				
Windows Movie Maker, Video editor Wondershare filmadora, Lightworks, VSDC Free Video editor, Blender,  entre otros.			"&amp;"	
· Software / programas para elaborar flujogramas:				
- Gratuitos /libres (de código abierto) / Idioma español / Compatible con el sistema operativo de la computadora (Windows 11 o posterior) / Diseña diagramas de				
flujos y organigramas / Contiene un"&amp;"a variedad de símbolos y estilos de conexión de líneas / Edita, personaliza colores, rellenos y trazos / Entre las alternativas				
gratuitas /libres: clickCharts, CreatelyDia, yEd Graph Editor, Pencil project, entre otros.				
· Software para elaborar pr"&amp;"esupuestos				
- Gratuitos /libres (de código abierto) / Idioma español / Compatible con el sistema operativo de la computadora (Windows 8 o posterior) / Crea presupuestos,				
gestiona la facturación y la planificación de presupuestos / Entre las alterna"&amp;"tivas gratuitas /libres: Holded, debitor,  Billage, entre otros / Estabilizador Rango de				
Voltaje: 170 - 265vac.				")</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 Lector de Tarjeta
Integrado SD y/o SDHC y/o SDXC --- Audio Integrado 01 Salida de audio o Entrada de micrófono."				
CAMARA WEB: integrada. --- CONECTIVIDAD: Inalámbrica Integrado: Sí. --- FUENTE DE PODER Entrada de voltaje 220VAC /60 HZ ---ALTAVOCES: Integrada.				
PANTALLA INTEGRADA: --- Tamaño Desde 23.8” --- Tecnología LCD con Retroiluminación LED  --- Resolución 1920 x 1080.				
TECLADO: Tecnología Estándar en español - Tipo USB ---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 Permite guardar				
documentos en formatos RTF, HTML, entre otros. --- Permite hacer uso de hojas de cálculo que puede usar para calcular, analizar y gestionar datos. ---				
Compatibilidad con Sistema Operativo Microsoft Windows. --- En su ultima versión liberada (Licenciado). ---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				</v>
      </c>
      <c r="J408" s="213">
        <f>IFERROR(__xludf.DUMMYFUNCTION("""COMPUTED_VALUE"""),3.0)</f>
        <v>3</v>
      </c>
      <c r="K408" s="213" t="str">
        <f>IFERROR(__xludf.DUMMYFUNCTION("""COMPUTED_VALUE"""),"170 DÍAS CALENDARIO")</f>
        <v>170 DÍAS CALENDARIO</v>
      </c>
      <c r="L408"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8" s="213">
        <f>IFERROR(__xludf.DUMMYFUNCTION("""COMPUTED_VALUE"""),1.0)</f>
        <v>1</v>
      </c>
      <c r="N408" s="213">
        <f>IFERROR(__xludf.DUMMYFUNCTION("""COMPUTED_VALUE"""),20.0)</f>
        <v>20</v>
      </c>
      <c r="O408" s="213">
        <f>IFERROR(__xludf.DUMMYFUNCTION("""COMPUTED_VALUE"""),20.0)</f>
        <v>20</v>
      </c>
      <c r="P408" s="213"/>
      <c r="Q408" s="213"/>
      <c r="R408" s="213"/>
      <c r="S408" s="213"/>
      <c r="T408" s="213" t="str">
        <f>IFERROR(__xludf.DUMMYFUNCTION("""COMPUTED_VALUE"""),"CONSULTA FINAL")</f>
        <v>CONSULTA FINAL</v>
      </c>
      <c r="U408" s="213" t="str">
        <f>IFERROR(__xludf.DUMMYFUNCTION("""COMPUTED_VALUE"""),"NO")</f>
        <v>NO</v>
      </c>
      <c r="V408" s="213" t="str">
        <f>IFERROR(__xludf.DUMMYFUNCTION("""COMPUTED_VALUE"""),"SUSTENTO")</f>
        <v>SUSTENTO</v>
      </c>
      <c r="W408" s="213" t="str">
        <f>IFERROR(__xludf.DUMMYFUNCTION("""COMPUTED_VALUE"""),"EQU TEC")</f>
        <v>EQU TEC</v>
      </c>
      <c r="X408" s="213" t="str">
        <f>IFERROR(__xludf.DUMMYFUNCTION("""COMPUTED_VALUE"""),"HP")</f>
        <v>HP</v>
      </c>
      <c r="Y408" s="213" t="str">
        <f>IFERROR(__xludf.DUMMYFUNCTION("""COMPUTED_VALUE"""),"ProOne 440 G9")</f>
        <v>ProOne 440 G9</v>
      </c>
      <c r="Z408" s="215" t="str">
        <f>IFERROR(__xludf.DUMMYFUNCTION("""COMPUTED_VALUE"""),"https://support.hp.com/pe-es/document/ish_5956566-5987452-30")</f>
        <v>https://support.hp.com/pe-es/document/ish_5956566-5987452-30</v>
      </c>
      <c r="AA408" s="213" t="str">
        <f>IFERROR(__xludf.DUMMYFUNCTION("""COMPUTED_VALUE"""),"TEC-104 COMPUTADORA DE ESCRITORIO - CET")</f>
        <v>TEC-104 COMPUTADORA DE ESCRITORIO - CET</v>
      </c>
      <c r="AB408" s="213"/>
      <c r="AC408" s="213"/>
      <c r="AD408" s="213"/>
      <c r="AE408" s="213"/>
      <c r="AF408" s="213"/>
      <c r="AG408" s="213"/>
      <c r="AH408" s="213"/>
      <c r="AI408" s="213"/>
      <c r="AJ408" s="213"/>
      <c r="AK408" s="213"/>
      <c r="AL408" s="213"/>
      <c r="AM408" s="213"/>
      <c r="AN408" s="213"/>
      <c r="AO408" s="213"/>
      <c r="AP408" s="213" t="str">
        <f>IFERROR(__xludf.DUMMYFUNCTION("""COMPUTED_VALUE"""),"NALDI")</f>
        <v>NALDI</v>
      </c>
      <c r="AQ408" s="213" t="str">
        <f>IFERROR(__xludf.DUMMYFUNCTION("""COMPUTED_VALUE"""),"Solicitar versión de teclado en español")</f>
        <v>Solicitar versión de teclado en español</v>
      </c>
      <c r="AR408" s="213"/>
      <c r="AS408"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8" s="213"/>
      <c r="AU408" s="213"/>
      <c r="AV408" s="213"/>
      <c r="AW408" s="213"/>
      <c r="AX408" s="213"/>
      <c r="AY408" s="213"/>
      <c r="AZ408" s="213"/>
      <c r="BA408" s="213"/>
      <c r="BB408" s="213"/>
      <c r="BC408" s="213"/>
      <c r="BD408" s="213"/>
    </row>
    <row r="409">
      <c r="A409" s="213">
        <f>IFERROR(__xludf.DUMMYFUNCTION("""COMPUTED_VALUE"""),1440.0)</f>
        <v>1440</v>
      </c>
      <c r="B409" s="213" t="str">
        <f>IFERROR(__xludf.DUMMYFUNCTION("""COMPUTED_VALUE"""),"GUILLERMO E. BILLINGHURST ")</f>
        <v>GUILLERMO E. BILLINGHURST </v>
      </c>
      <c r="C409" s="213" t="str">
        <f>IFERROR(__xludf.DUMMYFUNCTION("""COMPUTED_VALUE"""),"TALLER SFT DE INDUSTRIA ALIMENTARIA")</f>
        <v>TALLER SFT DE INDUSTRIA ALIMENTARIA</v>
      </c>
      <c r="D409" s="213" t="str">
        <f>IFERROR(__xludf.DUMMYFUNCTION("""COMPUTED_VALUE"""),"TICS")</f>
        <v>TICS</v>
      </c>
      <c r="E409" s="213" t="str">
        <f>IFERROR(__xludf.DUMMYFUNCTION("""COMPUTED_VALUE"""),"TEC-104")</f>
        <v>TEC-104</v>
      </c>
      <c r="F409" s="213" t="str">
        <f>IFERROR(__xludf.DUMMYFUNCTION("""COMPUTED_VALUE"""),"TEC-104")</f>
        <v>TEC-104</v>
      </c>
      <c r="G409" s="213"/>
      <c r="H409" s="213" t="str">
        <f>IFERROR(__xludf.DUMMYFUNCTION("""COMPUTED_VALUE"""),"COMPUTADORA DE ESCRITORIO")</f>
        <v>COMPUTADORA DE ESCRITORIO</v>
      </c>
      <c r="I409"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 Video integrado 01 HDMI (Entrada) - 01 HDMI (Salida) --- Puerto USB Inte"&amp;"grado:  4 USB Tipo A (Incluye mínimo 01 USB 3.0) --- Red Integrada 01 RJ-45 (100/1000 Mbps) --- Lector de Tarjeta Integrado SD y/o SDHC y/o SDXC --- Audio Integrado 01 Salida de audio o Entrada de    micrófono.
CAMARA WEB: integrada. --- CONECTIVIDAD: Ina"&amp;"lámbrica Integrado: Sí. --- FUENTE DE PODER Entrada de voltaje 220VAC /60 HZ ---ALTAVOCES: Integrada. PANTALLA INTEGRADA: --- Tamaño Desde 23.8” --- Tecnología LCD con Retroiluminación LED  --- Resolución 1920 x 1080.
TECLADO: Tecnología Estándar en españ"&amp;"ol - Tipo USB --- MOUSE: Tipo de Cable Alámbrico de 0.90 m. minimo (No retráctil) - Tecnología Óptico - Conexión USB - Rueda de deslizamiento vertical SI (SCROLL) --- SISTEMA OPERATIVO: Microsoft Windows 11 (edición Professional), en español – Licenciado."&amp;" --- CERTIFICADOS: --- Certificado que no perjudique la salud o presente un impacto negativo al medio ambiente EPEAT. ---- Certificado de eficiencia de energía (Energy Star). --- MIL-STD-810G.  --- Otros: CE o FCC o RoHS --
- LICENCIA DE SOFTWARE OFIMATIC"&amp;"A --- Interfaz en idioma español. ---Tiene la posibilidad de exportar archivos en formatos PDF. --- Permite diseñar y producir documentos de texto que contienen imágenes, tablas o diagramas. --- Permite guardar documentos en formatos RTF, HTML, entre otro"&amp;"s. --- Permite hacer uso de hojas de cálculo que puede usar para calcular, analizar y gestionar datos. --- Compatibilidad con Sistema Operativo Microsoft Windows. --- En su ultima versión liberada (Licenciado). --- GARANTIA: Tres (03) Años Onsite
CONTIENE"&amp;":
· Software Microsoft Office 2019 o superior (Word, Excel, PowerPoint, Visio, One Note y Ms Forms), idioma Español, de 64 Bits.
· Software Antivirus:
- Licenciada / Idioma español / Protección antivirus en tiempo real para proteger de virus, troyanos, ad"&amp;"ware, malware y phishing / Protección contra firewall /Gestionada a traves de una consola web
· Software - Programas CAD para dibujos en 2D, 3D y renderizado / Gratuitos /libres (de código abierto) / Idioma español / Compatible con el sistema operativo de"&amp;" la computadora (Windows 11 o posterior) / Cuenta con herramientas de edición y modelado de muebles / Cuenta con editor geométrico interactivo, procesamiento de imágenes y señales / Alta capacidad de renderizado / Entre las alternativas gratuitas: SketchU"&amp;"p, Polyboard, Sweet Home 3, entre otros.
· Software para diseño gráfico publicitario:
- Gratuitos /libres (de código abierto) / Idioma español / Compatible con el sistema operativo de la computadora (Windows 8 o posterior) / Permite crear diseños, gráfico"&amp;"s, fotografías y sitios web / Dispone de herramientas profesionales de diseño, edición de imágenes y fotografías y diseño de páginas web.  Funciones táctiles y para lápices intuitivas / Dispone de editor de gráficos vectoriales, textos y logos / Permite d"&amp;"iseño de prototipos e interfaces para aplicaciones y sitios web / Entre las alternativas gratuitas /libres: Gimp, krita, Inkscape, Pencil Proyect, entre otros.
· Software para diseño y edición de videos – spot publicitarios:
- Gratuitos /libres (de código"&amp;" abierto) / Idioma español / Compatible con el sistema operativo de la computadora (Windows 8 o posterior) / Permite diseñar y editar videos / Trabaja con diferentes formatos: Un amplio soporte para diferentes formatos, incluyendo MP4, AVI, MOV, AVCHD y m"&amp;"ás / Permite crear videos de alta resolución: 4K, y trabajar en formato SD y HD / Dispone de las herramientas más utilizadas en los editores de vídeos: cortar, recortar, dividir y combinar en unos pocos clics / Permite generar acabados: Varios filtros y e"&amp;"fectos visuales para retocar el vídeo, efectos especiales en 2D y 3D / Dispone de herramientas para realizar diseños y animaciones en 3D y plantillas animadas gratuitas / Permite editar, ajustar perfeccionar el audio / Entre las alternativas gratuitas /li"&amp;"bres: Windows Movie Maker, Video editor Wondershare filmadora, Lightworks, VSDC Free Video editor, Blender,  entre otros.
· Software / programas para elaborar flujogramas:
- Gratuitos /libres (de código abierto) / Idioma español / Compatible con el sistem"&amp;"a operativo de la computadora (Windows 11 o posterior) / Diseña diagramas de flujos y organigramas / Contiene una variedad de símbolos y estilos de conexión de líneas / Edita, personaliza colores, rellenos y trazos / Entre las alternativas gratuitas /libr"&amp;"es: clickCharts, CreatelyDia, yEd Graph Editor, Pencil project, entre otros.
· Software para elaborar presupuestos
- Gratuitos /libres (de código abierto) / Idioma español / Compatible con el sistema operativo de la computadora (Windows 8 o posterior) / C"&amp;"rea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 Video integrado 01 HDMI (Entrada) - 01 HDMI (Salida) --- Puerto USB Integrado:  4 USB Tipo A (Incluye mínimo 01 USB 3.0) --- Red Integrada 01 RJ-45 (100/1000 Mbps) --- Lector de Tarjeta Integrado SD y/o SDHC y/o SDXC --- Audio Integrado 01 Salida de audio o Entrada de    micrófono.
CAMARA WEB: integrada. --- CONECTIVIDAD: Inalámbrica Integrado: Sí. --- FUENTE DE PODER Entrada de voltaje 220VAC /60 HZ ---ALTAVOCES: Integrada. PANTALLA INTEGRADA: --- Tamaño Desde 23.8” --- Tecnología LCD con Retroiluminación LED  --- Resolución 1920 x 1080.
TECLADO: Tecnología Estándar en español - Tipo USB ---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 Certificado de eficiencia de energía (Energy Star). --- MIL-STD-810G.  --- Otros: CE o FCC o RoHS --
- LICENCIA DE SOFTWARE OFIMATICA --- Interfaz en idioma español. ---Tiene la posibilidad de exportar archivos en formatos PDF. --- Permite diseñar y producir documentos de texto que contienen imágenes, tablas o diagramas. --- Permite guardar documentos en formatos RTF, HTML, entre otros. --- Permite hacer uso de hojas de cálculo que puede usar para calcular, analizar y gestionar datos. --- Compatibilidad con Sistema Operativo Microsoft Windows. --- En su ultima versión liberada (Licenciado). ---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09" s="213">
        <f>IFERROR(__xludf.DUMMYFUNCTION("""COMPUTED_VALUE"""),3.0)</f>
        <v>3</v>
      </c>
      <c r="K409" s="213" t="str">
        <f>IFERROR(__xludf.DUMMYFUNCTION("""COMPUTED_VALUE"""),"170 DÍAS CALENDARIO")</f>
        <v>170 DÍAS CALENDARIO</v>
      </c>
      <c r="L409"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09" s="213">
        <f>IFERROR(__xludf.DUMMYFUNCTION("""COMPUTED_VALUE"""),1.0)</f>
        <v>1</v>
      </c>
      <c r="N409" s="213">
        <f>IFERROR(__xludf.DUMMYFUNCTION("""COMPUTED_VALUE"""),0.0)</f>
        <v>0</v>
      </c>
      <c r="O409" s="213">
        <f>IFERROR(__xludf.DUMMYFUNCTION("""COMPUTED_VALUE"""),0.0)</f>
        <v>0</v>
      </c>
      <c r="P409" s="213"/>
      <c r="Q409" s="213"/>
      <c r="R409" s="213"/>
      <c r="S409" s="213"/>
      <c r="T409" s="213" t="str">
        <f>IFERROR(__xludf.DUMMYFUNCTION("""COMPUTED_VALUE"""),"CONSULTA FINAL")</f>
        <v>CONSULTA FINAL</v>
      </c>
      <c r="U409" s="213" t="str">
        <f>IFERROR(__xludf.DUMMYFUNCTION("""COMPUTED_VALUE"""),"NO")</f>
        <v>NO</v>
      </c>
      <c r="V409" s="213" t="str">
        <f>IFERROR(__xludf.DUMMYFUNCTION("""COMPUTED_VALUE"""),"SUSTENTO")</f>
        <v>SUSTENTO</v>
      </c>
      <c r="W409" s="213" t="str">
        <f>IFERROR(__xludf.DUMMYFUNCTION("""COMPUTED_VALUE"""),"EQU TEC")</f>
        <v>EQU TEC</v>
      </c>
      <c r="X409" s="213" t="str">
        <f>IFERROR(__xludf.DUMMYFUNCTION("""COMPUTED_VALUE"""),"HP")</f>
        <v>HP</v>
      </c>
      <c r="Y409" s="213" t="str">
        <f>IFERROR(__xludf.DUMMYFUNCTION("""COMPUTED_VALUE"""),"ProOne 440 G9")</f>
        <v>ProOne 440 G9</v>
      </c>
      <c r="Z409" s="215" t="str">
        <f>IFERROR(__xludf.DUMMYFUNCTION("""COMPUTED_VALUE"""),"https://support.hp.com/pe-es/document/ish_5956566-5987452-31")</f>
        <v>https://support.hp.com/pe-es/document/ish_5956566-5987452-31</v>
      </c>
      <c r="AA409" s="213" t="str">
        <f>IFERROR(__xludf.DUMMYFUNCTION("""COMPUTED_VALUE"""),"TEC-104 COMPUTADORA DE ESCRITORIO - CET")</f>
        <v>TEC-104 COMPUTADORA DE ESCRITORIO - CET</v>
      </c>
      <c r="AB409" s="213"/>
      <c r="AC409" s="213"/>
      <c r="AD409" s="213"/>
      <c r="AE409" s="213"/>
      <c r="AF409" s="213"/>
      <c r="AG409" s="213"/>
      <c r="AH409" s="213"/>
      <c r="AI409" s="213"/>
      <c r="AJ409" s="213"/>
      <c r="AK409" s="213"/>
      <c r="AL409" s="213"/>
      <c r="AM409" s="213"/>
      <c r="AN409" s="213"/>
      <c r="AO409" s="213"/>
      <c r="AP409" s="213" t="str">
        <f>IFERROR(__xludf.DUMMYFUNCTION("""COMPUTED_VALUE"""),"NALDI")</f>
        <v>NALDI</v>
      </c>
      <c r="AQ409" s="213" t="str">
        <f>IFERROR(__xludf.DUMMYFUNCTION("""COMPUTED_VALUE"""),"Solicitar versión de teclado en español")</f>
        <v>Solicitar versión de teclado en español</v>
      </c>
      <c r="AR409" s="213"/>
      <c r="AS409"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09" s="213"/>
      <c r="AU409" s="213"/>
      <c r="AV409" s="213"/>
      <c r="AW409" s="213"/>
      <c r="AX409" s="213"/>
      <c r="AY409" s="213"/>
      <c r="AZ409" s="213"/>
      <c r="BA409" s="213"/>
      <c r="BB409" s="213"/>
      <c r="BC409" s="213"/>
      <c r="BD409" s="213"/>
    </row>
    <row r="410">
      <c r="A410" s="213">
        <f>IFERROR(__xludf.DUMMYFUNCTION("""COMPUTED_VALUE"""),1580.0)</f>
        <v>1580</v>
      </c>
      <c r="B410" s="213" t="str">
        <f>IFERROR(__xludf.DUMMYFUNCTION("""COMPUTED_VALUE"""),"GUILLERMO E. BILLINGHURST ")</f>
        <v>GUILLERMO E. BILLINGHURST </v>
      </c>
      <c r="C410" s="213" t="str">
        <f>IFERROR(__xludf.DUMMYFUNCTION("""COMPUTED_VALUE"""),"TALLER SFT DE MECÁNICA AUTOMOTRIZ")</f>
        <v>TALLER SFT DE MECÁNICA AUTOMOTRIZ</v>
      </c>
      <c r="D410" s="213" t="str">
        <f>IFERROR(__xludf.DUMMYFUNCTION("""COMPUTED_VALUE"""),"TICS")</f>
        <v>TICS</v>
      </c>
      <c r="E410" s="213" t="str">
        <f>IFERROR(__xludf.DUMMYFUNCTION("""COMPUTED_VALUE"""),"TEC-104")</f>
        <v>TEC-104</v>
      </c>
      <c r="F410" s="213" t="str">
        <f>IFERROR(__xludf.DUMMYFUNCTION("""COMPUTED_VALUE"""),"TEC-104")</f>
        <v>TEC-104</v>
      </c>
      <c r="G410" s="213"/>
      <c r="H410" s="213" t="str">
        <f>IFERROR(__xludf.DUMMYFUNCTION("""COMPUTED_VALUE"""),"COMPUTADORA DE ESCRITORIO")</f>
        <v>COMPUTADORA DE ESCRITORIO</v>
      </c>
      <c r="I410"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P"&amp;"ermite diseño de prototipos e interfaces para aplicaciones y sitios web / Entre las alternativas gratuitas /libres: Gimp, krita, Inkscape, Pencil Proyect, entre otros.
· Software para diseño y edición de videos – spot publicitarios:
- Gratuitos /libres (d"&amp;"e código abierto) / Idioma español / Compatible con el sistema operativo de la computadora (Windows 8 o posterior) / Permite diseñar y editar videos / Trabaja con diferentes formatos: Un amplio soporte para diferentes formatos, incluyendo MP4, AVI, MOV, A"&amp;"VCHD y más / Permite crear videos de alta resolución: 4K, y trabajar en formato SD y HD / Dispone de las herramientas más utilizadas en los editores de vídeos: cortar, recortar, dividir y combinar en unos pocos clics / Permite generar acabados: Varios fil"&amp;"tros y efectos visuales para retocar el vídeo, efectos especiales en 2D y 3D / Dispone de herramientas para  realizar diseños y animaciones en 3D y plantillas animadas gratuitas / Permite editar, ajustar perfeccionar el audio / Entre las alternativas grat"&amp;"uitas /libres: Windows Movie Maker, Video editor Wondershare filmadora, Lightworks, VSDC Free Video editor, Blender,  entre otros.
· Software / programas para elaborar flujogramas:
- Gratuitos /libres (de código abierto) / Idioma español / Compatible con "&amp;"el sistema operativo de la computadora (Windows 11 o posterior) / Diseña diagramas de flujos y organigramas / Contiene una variedad de símbolos y estilos de conexión de líneas / Edita, personaliza colores, rellenos y trazos / Entre las alternativas gratui"&amp;"tas /libres: clickCharts, CreatelyDia, yEd Graph Editor, Pencil project, entre otros.
· Software para elaborar presupuestos
- Gratuitos /libres (de código abierto) / Idioma español / Compatible con el sistema operativo de la computadora (Windows 8 o poste"&amp;"rior)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0" s="213">
        <f>IFERROR(__xludf.DUMMYFUNCTION("""COMPUTED_VALUE"""),3.0)</f>
        <v>3</v>
      </c>
      <c r="K410" s="213" t="str">
        <f>IFERROR(__xludf.DUMMYFUNCTION("""COMPUTED_VALUE"""),"170 DÍAS CALENDARIO")</f>
        <v>170 DÍAS CALENDARIO</v>
      </c>
      <c r="L410"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0" s="213">
        <f>IFERROR(__xludf.DUMMYFUNCTION("""COMPUTED_VALUE"""),1.0)</f>
        <v>1</v>
      </c>
      <c r="N410" s="213">
        <f>IFERROR(__xludf.DUMMYFUNCTION("""COMPUTED_VALUE"""),20.0)</f>
        <v>20</v>
      </c>
      <c r="O410" s="213">
        <f>IFERROR(__xludf.DUMMYFUNCTION("""COMPUTED_VALUE"""),20.0)</f>
        <v>20</v>
      </c>
      <c r="P410" s="213"/>
      <c r="Q410" s="213"/>
      <c r="R410" s="213"/>
      <c r="S410" s="213"/>
      <c r="T410" s="213" t="str">
        <f>IFERROR(__xludf.DUMMYFUNCTION("""COMPUTED_VALUE"""),"CONSULTA FINAL")</f>
        <v>CONSULTA FINAL</v>
      </c>
      <c r="U410" s="213" t="str">
        <f>IFERROR(__xludf.DUMMYFUNCTION("""COMPUTED_VALUE"""),"NO")</f>
        <v>NO</v>
      </c>
      <c r="V410" s="213" t="str">
        <f>IFERROR(__xludf.DUMMYFUNCTION("""COMPUTED_VALUE"""),"SUSTENTO")</f>
        <v>SUSTENTO</v>
      </c>
      <c r="W410" s="213" t="str">
        <f>IFERROR(__xludf.DUMMYFUNCTION("""COMPUTED_VALUE"""),"EQU TEC")</f>
        <v>EQU TEC</v>
      </c>
      <c r="X410" s="213" t="str">
        <f>IFERROR(__xludf.DUMMYFUNCTION("""COMPUTED_VALUE"""),"HP")</f>
        <v>HP</v>
      </c>
      <c r="Y410" s="213" t="str">
        <f>IFERROR(__xludf.DUMMYFUNCTION("""COMPUTED_VALUE"""),"ProOne 440 G9")</f>
        <v>ProOne 440 G9</v>
      </c>
      <c r="Z410" s="215" t="str">
        <f>IFERROR(__xludf.DUMMYFUNCTION("""COMPUTED_VALUE"""),"https://support.hp.com/pe-es/document/ish_5956566-5987452-32")</f>
        <v>https://support.hp.com/pe-es/document/ish_5956566-5987452-32</v>
      </c>
      <c r="AA410" s="213" t="str">
        <f>IFERROR(__xludf.DUMMYFUNCTION("""COMPUTED_VALUE"""),"TEC-104 COMPUTADORA DE ESCRITORIO - CET")</f>
        <v>TEC-104 COMPUTADORA DE ESCRITORIO - CET</v>
      </c>
      <c r="AB410" s="213"/>
      <c r="AC410" s="213"/>
      <c r="AD410" s="213"/>
      <c r="AE410" s="213"/>
      <c r="AF410" s="213"/>
      <c r="AG410" s="213"/>
      <c r="AH410" s="213"/>
      <c r="AI410" s="213"/>
      <c r="AJ410" s="213"/>
      <c r="AK410" s="213"/>
      <c r="AL410" s="213"/>
      <c r="AM410" s="213"/>
      <c r="AN410" s="213"/>
      <c r="AO410" s="213"/>
      <c r="AP410" s="213" t="str">
        <f>IFERROR(__xludf.DUMMYFUNCTION("""COMPUTED_VALUE"""),"NALDI")</f>
        <v>NALDI</v>
      </c>
      <c r="AQ410" s="213" t="str">
        <f>IFERROR(__xludf.DUMMYFUNCTION("""COMPUTED_VALUE"""),"Solicitar versión de teclado en español")</f>
        <v>Solicitar versión de teclado en español</v>
      </c>
      <c r="AR410" s="213"/>
      <c r="AS410"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0" s="213"/>
      <c r="AU410" s="213"/>
      <c r="AV410" s="213"/>
      <c r="AW410" s="213"/>
      <c r="AX410" s="213"/>
      <c r="AY410" s="213"/>
      <c r="AZ410" s="213"/>
      <c r="BA410" s="213"/>
      <c r="BB410" s="213"/>
      <c r="BC410" s="213"/>
      <c r="BD410" s="213"/>
    </row>
    <row r="411">
      <c r="A411" s="213">
        <f>IFERROR(__xludf.DUMMYFUNCTION("""COMPUTED_VALUE"""),1695.0)</f>
        <v>1695</v>
      </c>
      <c r="B411" s="213" t="str">
        <f>IFERROR(__xludf.DUMMYFUNCTION("""COMPUTED_VALUE"""),"GUILLERMO E. BILLINGHURST ")</f>
        <v>GUILLERMO E. BILLINGHURST </v>
      </c>
      <c r="C411" s="213" t="str">
        <f>IFERROR(__xludf.DUMMYFUNCTION("""COMPUTED_VALUE"""),"TALLER SFT DE COMPUTACIÓN E INFORMÁTICA")</f>
        <v>TALLER SFT DE COMPUTACIÓN E INFORMÁTICA</v>
      </c>
      <c r="D411" s="213" t="str">
        <f>IFERROR(__xludf.DUMMYFUNCTION("""COMPUTED_VALUE"""),"TICS")</f>
        <v>TICS</v>
      </c>
      <c r="E411" s="213" t="str">
        <f>IFERROR(__xludf.DUMMYFUNCTION("""COMPUTED_VALUE"""),"TEC-104")</f>
        <v>TEC-104</v>
      </c>
      <c r="F411" s="213" t="str">
        <f>IFERROR(__xludf.DUMMYFUNCTION("""COMPUTED_VALUE"""),"TEC-104")</f>
        <v>TEC-104</v>
      </c>
      <c r="G411" s="213"/>
      <c r="H411" s="213" t="str">
        <f>IFERROR(__xludf.DUMMYFUNCTION("""COMPUTED_VALUE"""),"COMPUTADORA DE ESCRITORIO")</f>
        <v>COMPUTADORA DE ESCRITORIO</v>
      </c>
      <c r="I411"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1" s="213">
        <f>IFERROR(__xludf.DUMMYFUNCTION("""COMPUTED_VALUE"""),3.0)</f>
        <v>3</v>
      </c>
      <c r="K411" s="213" t="str">
        <f>IFERROR(__xludf.DUMMYFUNCTION("""COMPUTED_VALUE"""),"170 DÍAS CALENDARIO")</f>
        <v>170 DÍAS CALENDARIO</v>
      </c>
      <c r="L411"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1" s="213">
        <f>IFERROR(__xludf.DUMMYFUNCTION("""COMPUTED_VALUE"""),1.0)</f>
        <v>1</v>
      </c>
      <c r="N411" s="213">
        <f>IFERROR(__xludf.DUMMYFUNCTION("""COMPUTED_VALUE"""),20.0)</f>
        <v>20</v>
      </c>
      <c r="O411" s="213">
        <f>IFERROR(__xludf.DUMMYFUNCTION("""COMPUTED_VALUE"""),20.0)</f>
        <v>20</v>
      </c>
      <c r="P411" s="213"/>
      <c r="Q411" s="213"/>
      <c r="R411" s="213"/>
      <c r="S411" s="213"/>
      <c r="T411" s="213" t="str">
        <f>IFERROR(__xludf.DUMMYFUNCTION("""COMPUTED_VALUE"""),"CONSULTA FINAL")</f>
        <v>CONSULTA FINAL</v>
      </c>
      <c r="U411" s="213" t="str">
        <f>IFERROR(__xludf.DUMMYFUNCTION("""COMPUTED_VALUE"""),"NO")</f>
        <v>NO</v>
      </c>
      <c r="V411" s="213" t="str">
        <f>IFERROR(__xludf.DUMMYFUNCTION("""COMPUTED_VALUE"""),"SUSTENTO")</f>
        <v>SUSTENTO</v>
      </c>
      <c r="W411" s="213" t="str">
        <f>IFERROR(__xludf.DUMMYFUNCTION("""COMPUTED_VALUE"""),"EQU TEC")</f>
        <v>EQU TEC</v>
      </c>
      <c r="X411" s="213" t="str">
        <f>IFERROR(__xludf.DUMMYFUNCTION("""COMPUTED_VALUE"""),"HP")</f>
        <v>HP</v>
      </c>
      <c r="Y411" s="213" t="str">
        <f>IFERROR(__xludf.DUMMYFUNCTION("""COMPUTED_VALUE"""),"ProOne 440 G9")</f>
        <v>ProOne 440 G9</v>
      </c>
      <c r="Z411" s="215" t="str">
        <f>IFERROR(__xludf.DUMMYFUNCTION("""COMPUTED_VALUE"""),"https://support.hp.com/pe-es/document/ish_5956566-5987452-33 ")</f>
        <v>https://support.hp.com/pe-es/document/ish_5956566-5987452-33 </v>
      </c>
      <c r="AA411" s="213" t="str">
        <f>IFERROR(__xludf.DUMMYFUNCTION("""COMPUTED_VALUE"""),"TEC-104 COMPUTADORA DE ESCRITORIO - CET")</f>
        <v>TEC-104 COMPUTADORA DE ESCRITORIO - CET</v>
      </c>
      <c r="AB411" s="213"/>
      <c r="AC411" s="213"/>
      <c r="AD411" s="213"/>
      <c r="AE411" s="213"/>
      <c r="AF411" s="213"/>
      <c r="AG411" s="213"/>
      <c r="AH411" s="213"/>
      <c r="AI411" s="213"/>
      <c r="AJ411" s="213"/>
      <c r="AK411" s="213"/>
      <c r="AL411" s="213"/>
      <c r="AM411" s="213"/>
      <c r="AN411" s="213"/>
      <c r="AO411" s="213"/>
      <c r="AP411" s="213" t="str">
        <f>IFERROR(__xludf.DUMMYFUNCTION("""COMPUTED_VALUE"""),"NALDI")</f>
        <v>NALDI</v>
      </c>
      <c r="AQ411" s="213" t="str">
        <f>IFERROR(__xludf.DUMMYFUNCTION("""COMPUTED_VALUE"""),"Solicitar versión de teclado en español")</f>
        <v>Solicitar versión de teclado en español</v>
      </c>
      <c r="AR411" s="213"/>
      <c r="AS411"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1" s="213"/>
      <c r="AU411" s="213"/>
      <c r="AV411" s="213"/>
      <c r="AW411" s="213"/>
      <c r="AX411" s="213"/>
      <c r="AY411" s="213"/>
      <c r="AZ411" s="213"/>
      <c r="BA411" s="213"/>
      <c r="BB411" s="213"/>
      <c r="BC411" s="213"/>
      <c r="BD411" s="213"/>
    </row>
    <row r="412">
      <c r="A412" s="213">
        <f>IFERROR(__xludf.DUMMYFUNCTION("""COMPUTED_VALUE"""),1708.0)</f>
        <v>1708</v>
      </c>
      <c r="B412" s="213" t="str">
        <f>IFERROR(__xludf.DUMMYFUNCTION("""COMPUTED_VALUE"""),"GUILLERMO E. BILLINGHURST ")</f>
        <v>GUILLERMO E. BILLINGHURST </v>
      </c>
      <c r="C412" s="213" t="str">
        <f>IFERROR(__xludf.DUMMYFUNCTION("""COMPUTED_VALUE"""),"TALLER SFT DE COMPUTACIÓN E INFORMÁTICA")</f>
        <v>TALLER SFT DE COMPUTACIÓN E INFORMÁTICA</v>
      </c>
      <c r="D412" s="213" t="str">
        <f>IFERROR(__xludf.DUMMYFUNCTION("""COMPUTED_VALUE"""),"TICS")</f>
        <v>TICS</v>
      </c>
      <c r="E412" s="213" t="str">
        <f>IFERROR(__xludf.DUMMYFUNCTION("""COMPUTED_VALUE"""),"TEC-104")</f>
        <v>TEC-104</v>
      </c>
      <c r="F412" s="213" t="str">
        <f>IFERROR(__xludf.DUMMYFUNCTION("""COMPUTED_VALUE"""),"TEC-104")</f>
        <v>TEC-104</v>
      </c>
      <c r="G412" s="213"/>
      <c r="H412" s="213" t="str">
        <f>IFERROR(__xludf.DUMMYFUNCTION("""COMPUTED_VALUE"""),"COMPUTADORA DE ESCRITORIO")</f>
        <v>COMPUTADORA DE ESCRITORIO</v>
      </c>
      <c r="I412"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2" s="213">
        <f>IFERROR(__xludf.DUMMYFUNCTION("""COMPUTED_VALUE"""),3.0)</f>
        <v>3</v>
      </c>
      <c r="K412" s="213" t="str">
        <f>IFERROR(__xludf.DUMMYFUNCTION("""COMPUTED_VALUE"""),"170 DÍAS CALENDARIO")</f>
        <v>170 DÍAS CALENDARIO</v>
      </c>
      <c r="L412"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2" s="213">
        <f>IFERROR(__xludf.DUMMYFUNCTION("""COMPUTED_VALUE"""),1.0)</f>
        <v>1</v>
      </c>
      <c r="N412" s="213">
        <f>IFERROR(__xludf.DUMMYFUNCTION("""COMPUTED_VALUE"""),1.0)</f>
        <v>1</v>
      </c>
      <c r="O412" s="213">
        <f>IFERROR(__xludf.DUMMYFUNCTION("""COMPUTED_VALUE"""),1.0)</f>
        <v>1</v>
      </c>
      <c r="P412" s="213"/>
      <c r="Q412" s="213"/>
      <c r="R412" s="213"/>
      <c r="S412" s="213"/>
      <c r="T412" s="213" t="str">
        <f>IFERROR(__xludf.DUMMYFUNCTION("""COMPUTED_VALUE"""),"CONSULTA FINAL")</f>
        <v>CONSULTA FINAL</v>
      </c>
      <c r="U412" s="213" t="str">
        <f>IFERROR(__xludf.DUMMYFUNCTION("""COMPUTED_VALUE"""),"NO")</f>
        <v>NO</v>
      </c>
      <c r="V412" s="213" t="str">
        <f>IFERROR(__xludf.DUMMYFUNCTION("""COMPUTED_VALUE"""),"SUSTENTO")</f>
        <v>SUSTENTO</v>
      </c>
      <c r="W412" s="213" t="str">
        <f>IFERROR(__xludf.DUMMYFUNCTION("""COMPUTED_VALUE"""),"EQU TEC")</f>
        <v>EQU TEC</v>
      </c>
      <c r="X412" s="213" t="str">
        <f>IFERROR(__xludf.DUMMYFUNCTION("""COMPUTED_VALUE"""),"HP")</f>
        <v>HP</v>
      </c>
      <c r="Y412" s="213" t="str">
        <f>IFERROR(__xludf.DUMMYFUNCTION("""COMPUTED_VALUE"""),"ProOne 440 G9")</f>
        <v>ProOne 440 G9</v>
      </c>
      <c r="Z412" s="215" t="str">
        <f>IFERROR(__xludf.DUMMYFUNCTION("""COMPUTED_VALUE"""),"https://support.hp.com/pe-es/document/ish_5956566-5987452-34")</f>
        <v>https://support.hp.com/pe-es/document/ish_5956566-5987452-34</v>
      </c>
      <c r="AA412" s="213" t="str">
        <f>IFERROR(__xludf.DUMMYFUNCTION("""COMPUTED_VALUE"""),"TEC-104 COMPUTADORA DE ESCRITORIO - CET")</f>
        <v>TEC-104 COMPUTADORA DE ESCRITORIO - CET</v>
      </c>
      <c r="AB412" s="213"/>
      <c r="AC412" s="213"/>
      <c r="AD412" s="213"/>
      <c r="AE412" s="213"/>
      <c r="AF412" s="213"/>
      <c r="AG412" s="213"/>
      <c r="AH412" s="213"/>
      <c r="AI412" s="213"/>
      <c r="AJ412" s="213"/>
      <c r="AK412" s="213"/>
      <c r="AL412" s="213"/>
      <c r="AM412" s="213"/>
      <c r="AN412" s="213"/>
      <c r="AO412" s="213"/>
      <c r="AP412" s="213" t="str">
        <f>IFERROR(__xludf.DUMMYFUNCTION("""COMPUTED_VALUE"""),"NALDI")</f>
        <v>NALDI</v>
      </c>
      <c r="AQ412" s="213" t="str">
        <f>IFERROR(__xludf.DUMMYFUNCTION("""COMPUTED_VALUE"""),"Solicitar versión de teclado en español")</f>
        <v>Solicitar versión de teclado en español</v>
      </c>
      <c r="AR412" s="213"/>
      <c r="AS412"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2" s="213"/>
      <c r="AU412" s="213"/>
      <c r="AV412" s="213"/>
      <c r="AW412" s="213"/>
      <c r="AX412" s="213"/>
      <c r="AY412" s="213"/>
      <c r="AZ412" s="213"/>
      <c r="BA412" s="213"/>
      <c r="BB412" s="213"/>
      <c r="BC412" s="213"/>
      <c r="BD412" s="213"/>
    </row>
    <row r="413">
      <c r="A413" s="213">
        <f>IFERROR(__xludf.DUMMYFUNCTION("""COMPUTED_VALUE"""),1710.0)</f>
        <v>1710</v>
      </c>
      <c r="B413" s="213" t="str">
        <f>IFERROR(__xludf.DUMMYFUNCTION("""COMPUTED_VALUE"""),"GUILLERMO E. BILLINGHURST ")</f>
        <v>GUILLERMO E. BILLINGHURST </v>
      </c>
      <c r="C413" s="213" t="str">
        <f>IFERROR(__xludf.DUMMYFUNCTION("""COMPUTED_VALUE"""),"TALLER SFT DE COMPUTACIÓN E INFORMÁTICA")</f>
        <v>TALLER SFT DE COMPUTACIÓN E INFORMÁTICA</v>
      </c>
      <c r="D413" s="213" t="str">
        <f>IFERROR(__xludf.DUMMYFUNCTION("""COMPUTED_VALUE"""),"TICS")</f>
        <v>TICS</v>
      </c>
      <c r="E413" s="213" t="str">
        <f>IFERROR(__xludf.DUMMYFUNCTION("""COMPUTED_VALUE"""),"TEC-104")</f>
        <v>TEC-104</v>
      </c>
      <c r="F413" s="213" t="str">
        <f>IFERROR(__xludf.DUMMYFUNCTION("""COMPUTED_VALUE"""),"TEC-104")</f>
        <v>TEC-104</v>
      </c>
      <c r="G413" s="213"/>
      <c r="H413" s="213" t="str">
        <f>IFERROR(__xludf.DUMMYFUNCTION("""COMPUTED_VALUE"""),"COMPUTADORA DE ESCRITORIO")</f>
        <v>COMPUTADORA DE ESCRITORIO</v>
      </c>
      <c r="I413"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3" s="213">
        <f>IFERROR(__xludf.DUMMYFUNCTION("""COMPUTED_VALUE"""),3.0)</f>
        <v>3</v>
      </c>
      <c r="K413" s="213" t="str">
        <f>IFERROR(__xludf.DUMMYFUNCTION("""COMPUTED_VALUE"""),"170 DÍAS CALENDARIO")</f>
        <v>170 DÍAS CALENDARIO</v>
      </c>
      <c r="L413"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3" s="213">
        <f>IFERROR(__xludf.DUMMYFUNCTION("""COMPUTED_VALUE"""),1.0)</f>
        <v>1</v>
      </c>
      <c r="N413" s="213">
        <f>IFERROR(__xludf.DUMMYFUNCTION("""COMPUTED_VALUE"""),7.0)</f>
        <v>7</v>
      </c>
      <c r="O413" s="213">
        <f>IFERROR(__xludf.DUMMYFUNCTION("""COMPUTED_VALUE"""),7.0)</f>
        <v>7</v>
      </c>
      <c r="P413" s="213"/>
      <c r="Q413" s="213"/>
      <c r="R413" s="213"/>
      <c r="S413" s="213"/>
      <c r="T413" s="213" t="str">
        <f>IFERROR(__xludf.DUMMYFUNCTION("""COMPUTED_VALUE"""),"CONSULTA FINAL")</f>
        <v>CONSULTA FINAL</v>
      </c>
      <c r="U413" s="213" t="str">
        <f>IFERROR(__xludf.DUMMYFUNCTION("""COMPUTED_VALUE"""),"NO")</f>
        <v>NO</v>
      </c>
      <c r="V413" s="213" t="str">
        <f>IFERROR(__xludf.DUMMYFUNCTION("""COMPUTED_VALUE"""),"SUSTENTO")</f>
        <v>SUSTENTO</v>
      </c>
      <c r="W413" s="213" t="str">
        <f>IFERROR(__xludf.DUMMYFUNCTION("""COMPUTED_VALUE"""),"EQU TEC")</f>
        <v>EQU TEC</v>
      </c>
      <c r="X413" s="213" t="str">
        <f>IFERROR(__xludf.DUMMYFUNCTION("""COMPUTED_VALUE"""),"HP")</f>
        <v>HP</v>
      </c>
      <c r="Y413" s="213" t="str">
        <f>IFERROR(__xludf.DUMMYFUNCTION("""COMPUTED_VALUE"""),"ProOne 440 G9")</f>
        <v>ProOne 440 G9</v>
      </c>
      <c r="Z413" s="215" t="str">
        <f>IFERROR(__xludf.DUMMYFUNCTION("""COMPUTED_VALUE"""),"https://support.hp.com/pe-es/document/ish_5956566-5987452-35")</f>
        <v>https://support.hp.com/pe-es/document/ish_5956566-5987452-35</v>
      </c>
      <c r="AA413" s="213" t="str">
        <f>IFERROR(__xludf.DUMMYFUNCTION("""COMPUTED_VALUE"""),"TEC-104 COMPUTADORA DE ESCRITORIO - CET")</f>
        <v>TEC-104 COMPUTADORA DE ESCRITORIO - CET</v>
      </c>
      <c r="AB413" s="213"/>
      <c r="AC413" s="213"/>
      <c r="AD413" s="213"/>
      <c r="AE413" s="213"/>
      <c r="AF413" s="213"/>
      <c r="AG413" s="213"/>
      <c r="AH413" s="213"/>
      <c r="AI413" s="213"/>
      <c r="AJ413" s="213"/>
      <c r="AK413" s="213"/>
      <c r="AL413" s="213"/>
      <c r="AM413" s="213"/>
      <c r="AN413" s="213"/>
      <c r="AO413" s="213"/>
      <c r="AP413" s="213" t="str">
        <f>IFERROR(__xludf.DUMMYFUNCTION("""COMPUTED_VALUE"""),"NALDI")</f>
        <v>NALDI</v>
      </c>
      <c r="AQ413" s="213" t="str">
        <f>IFERROR(__xludf.DUMMYFUNCTION("""COMPUTED_VALUE"""),"Solicitar versión de teclado en español")</f>
        <v>Solicitar versión de teclado en español</v>
      </c>
      <c r="AR413" s="213"/>
      <c r="AS413"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3" s="213"/>
      <c r="AU413" s="213"/>
      <c r="AV413" s="213"/>
      <c r="AW413" s="213"/>
      <c r="AX413" s="213"/>
      <c r="AY413" s="213"/>
      <c r="AZ413" s="213"/>
      <c r="BA413" s="213"/>
      <c r="BB413" s="213"/>
      <c r="BC413" s="213"/>
      <c r="BD413" s="213"/>
    </row>
    <row r="414">
      <c r="A414" s="213">
        <f>IFERROR(__xludf.DUMMYFUNCTION("""COMPUTED_VALUE"""),1850.0)</f>
        <v>1850</v>
      </c>
      <c r="B414" s="213" t="str">
        <f>IFERROR(__xludf.DUMMYFUNCTION("""COMPUTED_VALUE"""),"GUILLERMO E. BILLINGHURST ")</f>
        <v>GUILLERMO E. BILLINGHURST </v>
      </c>
      <c r="C414" s="213" t="str">
        <f>IFERROR(__xludf.DUMMYFUNCTION("""COMPUTED_VALUE"""),"TALLER SFT DE EBANISTERÍA")</f>
        <v>TALLER SFT DE EBANISTERÍA</v>
      </c>
      <c r="D414" s="213" t="str">
        <f>IFERROR(__xludf.DUMMYFUNCTION("""COMPUTED_VALUE"""),"TICS")</f>
        <v>TICS</v>
      </c>
      <c r="E414" s="213" t="str">
        <f>IFERROR(__xludf.DUMMYFUNCTION("""COMPUTED_VALUE"""),"TEC-104")</f>
        <v>TEC-104</v>
      </c>
      <c r="F414" s="213" t="str">
        <f>IFERROR(__xludf.DUMMYFUNCTION("""COMPUTED_VALUE"""),"TEC-104")</f>
        <v>TEC-104</v>
      </c>
      <c r="G414" s="213"/>
      <c r="H414" s="213" t="str">
        <f>IFERROR(__xludf.DUMMYFUNCTION("""COMPUTED_VALUE"""),"COMPUTADORA DE ESCRITORIO")</f>
        <v>COMPUTADORA DE ESCRITORIO</v>
      </c>
      <c r="I414"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4" s="213">
        <f>IFERROR(__xludf.DUMMYFUNCTION("""COMPUTED_VALUE"""),3.0)</f>
        <v>3</v>
      </c>
      <c r="K414" s="213" t="str">
        <f>IFERROR(__xludf.DUMMYFUNCTION("""COMPUTED_VALUE"""),"170 DÍAS CALENDARIO")</f>
        <v>170 DÍAS CALENDARIO</v>
      </c>
      <c r="L414"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4" s="213">
        <f>IFERROR(__xludf.DUMMYFUNCTION("""COMPUTED_VALUE"""),1.0)</f>
        <v>1</v>
      </c>
      <c r="N414" s="213">
        <f>IFERROR(__xludf.DUMMYFUNCTION("""COMPUTED_VALUE"""),16.0)</f>
        <v>16</v>
      </c>
      <c r="O414" s="213">
        <f>IFERROR(__xludf.DUMMYFUNCTION("""COMPUTED_VALUE"""),16.0)</f>
        <v>16</v>
      </c>
      <c r="P414" s="213"/>
      <c r="Q414" s="213"/>
      <c r="R414" s="213"/>
      <c r="S414" s="213"/>
      <c r="T414" s="213" t="str">
        <f>IFERROR(__xludf.DUMMYFUNCTION("""COMPUTED_VALUE"""),"CONSULTA FINAL")</f>
        <v>CONSULTA FINAL</v>
      </c>
      <c r="U414" s="213" t="str">
        <f>IFERROR(__xludf.DUMMYFUNCTION("""COMPUTED_VALUE"""),"NO")</f>
        <v>NO</v>
      </c>
      <c r="V414" s="213" t="str">
        <f>IFERROR(__xludf.DUMMYFUNCTION("""COMPUTED_VALUE"""),"SUSTENTO")</f>
        <v>SUSTENTO</v>
      </c>
      <c r="W414" s="213" t="str">
        <f>IFERROR(__xludf.DUMMYFUNCTION("""COMPUTED_VALUE"""),"EQU TEC")</f>
        <v>EQU TEC</v>
      </c>
      <c r="X414" s="213" t="str">
        <f>IFERROR(__xludf.DUMMYFUNCTION("""COMPUTED_VALUE"""),"HP")</f>
        <v>HP</v>
      </c>
      <c r="Y414" s="213" t="str">
        <f>IFERROR(__xludf.DUMMYFUNCTION("""COMPUTED_VALUE"""),"ProOne 440 G9")</f>
        <v>ProOne 440 G9</v>
      </c>
      <c r="Z414" s="215" t="str">
        <f>IFERROR(__xludf.DUMMYFUNCTION("""COMPUTED_VALUE"""),"https://support.hp.com/pe-es/document/ish_5956566-5987452-36")</f>
        <v>https://support.hp.com/pe-es/document/ish_5956566-5987452-36</v>
      </c>
      <c r="AA414" s="213" t="str">
        <f>IFERROR(__xludf.DUMMYFUNCTION("""COMPUTED_VALUE"""),"TEC-104 COMPUTADORA DE ESCRITORIO - CET")</f>
        <v>TEC-104 COMPUTADORA DE ESCRITORIO - CET</v>
      </c>
      <c r="AB414" s="213"/>
      <c r="AC414" s="213"/>
      <c r="AD414" s="213"/>
      <c r="AE414" s="213"/>
      <c r="AF414" s="213"/>
      <c r="AG414" s="213"/>
      <c r="AH414" s="213"/>
      <c r="AI414" s="213"/>
      <c r="AJ414" s="213"/>
      <c r="AK414" s="213"/>
      <c r="AL414" s="213"/>
      <c r="AM414" s="213"/>
      <c r="AN414" s="213"/>
      <c r="AO414" s="213"/>
      <c r="AP414" s="213" t="str">
        <f>IFERROR(__xludf.DUMMYFUNCTION("""COMPUTED_VALUE"""),"NALDI")</f>
        <v>NALDI</v>
      </c>
      <c r="AQ414" s="213" t="str">
        <f>IFERROR(__xludf.DUMMYFUNCTION("""COMPUTED_VALUE"""),"Solicitar versión de teclado en español")</f>
        <v>Solicitar versión de teclado en español</v>
      </c>
      <c r="AR414" s="213"/>
      <c r="AS414"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4" s="213"/>
      <c r="AU414" s="213"/>
      <c r="AV414" s="213"/>
      <c r="AW414" s="213"/>
      <c r="AX414" s="213"/>
      <c r="AY414" s="213"/>
      <c r="AZ414" s="213"/>
      <c r="BA414" s="213"/>
      <c r="BB414" s="213"/>
      <c r="BC414" s="213"/>
      <c r="BD414" s="213"/>
    </row>
    <row r="415">
      <c r="A415" s="213">
        <f>IFERROR(__xludf.DUMMYFUNCTION("""COMPUTED_VALUE"""),1947.0)</f>
        <v>1947</v>
      </c>
      <c r="B415" s="213" t="str">
        <f>IFERROR(__xludf.DUMMYFUNCTION("""COMPUTED_VALUE"""),"JOSE GRANDA")</f>
        <v>JOSE GRANDA</v>
      </c>
      <c r="C415" s="213" t="str">
        <f>IFERROR(__xludf.DUMMYFUNCTION("""COMPUTED_VALUE"""),"TALLER SFT DE COMPUTACIÓN E INFORMÁTICA")</f>
        <v>TALLER SFT DE COMPUTACIÓN E INFORMÁTICA</v>
      </c>
      <c r="D415" s="213" t="str">
        <f>IFERROR(__xludf.DUMMYFUNCTION("""COMPUTED_VALUE"""),"TICS")</f>
        <v>TICS</v>
      </c>
      <c r="E415" s="213" t="str">
        <f>IFERROR(__xludf.DUMMYFUNCTION("""COMPUTED_VALUE"""),"TEC-104")</f>
        <v>TEC-104</v>
      </c>
      <c r="F415" s="213" t="str">
        <f>IFERROR(__xludf.DUMMYFUNCTION("""COMPUTED_VALUE"""),"TEC-104")</f>
        <v>TEC-104</v>
      </c>
      <c r="G415" s="213"/>
      <c r="H415" s="213" t="str">
        <f>IFERROR(__xludf.DUMMYFUNCTION("""COMPUTED_VALUE"""),"COMPUTADORA DE ESCRITORIO")</f>
        <v>COMPUTADORA DE ESCRITORIO</v>
      </c>
      <c r="I415"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5" s="213">
        <f>IFERROR(__xludf.DUMMYFUNCTION("""COMPUTED_VALUE"""),3.0)</f>
        <v>3</v>
      </c>
      <c r="K415" s="213" t="str">
        <f>IFERROR(__xludf.DUMMYFUNCTION("""COMPUTED_VALUE"""),"170 DÍAS CALENDARIO")</f>
        <v>170 DÍAS CALENDARIO</v>
      </c>
      <c r="L415"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5" s="213">
        <f>IFERROR(__xludf.DUMMYFUNCTION("""COMPUTED_VALUE"""),1.0)</f>
        <v>1</v>
      </c>
      <c r="N415" s="213">
        <f>IFERROR(__xludf.DUMMYFUNCTION("""COMPUTED_VALUE"""),21.0)</f>
        <v>21</v>
      </c>
      <c r="O415" s="213">
        <f>IFERROR(__xludf.DUMMYFUNCTION("""COMPUTED_VALUE"""),21.0)</f>
        <v>21</v>
      </c>
      <c r="P415" s="213"/>
      <c r="Q415" s="213"/>
      <c r="R415" s="213"/>
      <c r="S415" s="213"/>
      <c r="T415" s="213" t="str">
        <f>IFERROR(__xludf.DUMMYFUNCTION("""COMPUTED_VALUE"""),"CONSULTA FINAL")</f>
        <v>CONSULTA FINAL</v>
      </c>
      <c r="U415" s="213" t="str">
        <f>IFERROR(__xludf.DUMMYFUNCTION("""COMPUTED_VALUE"""),"NO")</f>
        <v>NO</v>
      </c>
      <c r="V415" s="213" t="str">
        <f>IFERROR(__xludf.DUMMYFUNCTION("""COMPUTED_VALUE"""),"SUSTENTO")</f>
        <v>SUSTENTO</v>
      </c>
      <c r="W415" s="213" t="str">
        <f>IFERROR(__xludf.DUMMYFUNCTION("""COMPUTED_VALUE"""),"EQU TEC")</f>
        <v>EQU TEC</v>
      </c>
      <c r="X415" s="213" t="str">
        <f>IFERROR(__xludf.DUMMYFUNCTION("""COMPUTED_VALUE"""),"HP")</f>
        <v>HP</v>
      </c>
      <c r="Y415" s="213" t="str">
        <f>IFERROR(__xludf.DUMMYFUNCTION("""COMPUTED_VALUE"""),"ProOne 440 G9")</f>
        <v>ProOne 440 G9</v>
      </c>
      <c r="Z415" s="215" t="str">
        <f>IFERROR(__xludf.DUMMYFUNCTION("""COMPUTED_VALUE"""),"https://support.hp.com/pe-es/document/ish_5956566-5987452-37")</f>
        <v>https://support.hp.com/pe-es/document/ish_5956566-5987452-37</v>
      </c>
      <c r="AA415" s="213" t="str">
        <f>IFERROR(__xludf.DUMMYFUNCTION("""COMPUTED_VALUE"""),"TEC-104 COMPUTADORA DE ESCRITORIO - CET")</f>
        <v>TEC-104 COMPUTADORA DE ESCRITORIO - CET</v>
      </c>
      <c r="AB415" s="213"/>
      <c r="AC415" s="213"/>
      <c r="AD415" s="213"/>
      <c r="AE415" s="213"/>
      <c r="AF415" s="213"/>
      <c r="AG415" s="213"/>
      <c r="AH415" s="213"/>
      <c r="AI415" s="213"/>
      <c r="AJ415" s="213"/>
      <c r="AK415" s="213"/>
      <c r="AL415" s="213"/>
      <c r="AM415" s="213"/>
      <c r="AN415" s="213"/>
      <c r="AO415" s="213"/>
      <c r="AP415" s="213" t="str">
        <f>IFERROR(__xludf.DUMMYFUNCTION("""COMPUTED_VALUE"""),"NALDI")</f>
        <v>NALDI</v>
      </c>
      <c r="AQ415" s="213" t="str">
        <f>IFERROR(__xludf.DUMMYFUNCTION("""COMPUTED_VALUE"""),"Solicitar versión de teclado en español")</f>
        <v>Solicitar versión de teclado en español</v>
      </c>
      <c r="AR415" s="213"/>
      <c r="AS415"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5" s="213"/>
      <c r="AU415" s="213"/>
      <c r="AV415" s="213"/>
      <c r="AW415" s="213"/>
      <c r="AX415" s="213"/>
      <c r="AY415" s="213"/>
      <c r="AZ415" s="213"/>
      <c r="BA415" s="213"/>
      <c r="BB415" s="213"/>
      <c r="BC415" s="213"/>
      <c r="BD415" s="213"/>
    </row>
    <row r="416">
      <c r="A416" s="213">
        <f>IFERROR(__xludf.DUMMYFUNCTION("""COMPUTED_VALUE"""),1959.0)</f>
        <v>1959</v>
      </c>
      <c r="B416" s="213" t="str">
        <f>IFERROR(__xludf.DUMMYFUNCTION("""COMPUTED_VALUE"""),"JOSE GRANDA")</f>
        <v>JOSE GRANDA</v>
      </c>
      <c r="C416" s="213" t="str">
        <f>IFERROR(__xludf.DUMMYFUNCTION("""COMPUTED_VALUE"""),"TALLER SFT DE COMPUTACIÓN E INFORMÁTICA")</f>
        <v>TALLER SFT DE COMPUTACIÓN E INFORMÁTICA</v>
      </c>
      <c r="D416" s="213" t="str">
        <f>IFERROR(__xludf.DUMMYFUNCTION("""COMPUTED_VALUE"""),"TICS")</f>
        <v>TICS</v>
      </c>
      <c r="E416" s="213" t="str">
        <f>IFERROR(__xludf.DUMMYFUNCTION("""COMPUTED_VALUE"""),"TEC-104")</f>
        <v>TEC-104</v>
      </c>
      <c r="F416" s="213" t="str">
        <f>IFERROR(__xludf.DUMMYFUNCTION("""COMPUTED_VALUE"""),"TEC-104")</f>
        <v>TEC-104</v>
      </c>
      <c r="G416" s="213"/>
      <c r="H416" s="213" t="str">
        <f>IFERROR(__xludf.DUMMYFUNCTION("""COMPUTED_VALUE"""),"COMPUTADORA DE ESCRITORIO")</f>
        <v>COMPUTADORA DE ESCRITORIO</v>
      </c>
      <c r="I416"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6" s="213">
        <f>IFERROR(__xludf.DUMMYFUNCTION("""COMPUTED_VALUE"""),3.0)</f>
        <v>3</v>
      </c>
      <c r="K416" s="213" t="str">
        <f>IFERROR(__xludf.DUMMYFUNCTION("""COMPUTED_VALUE"""),"170 DÍAS CALENDARIO")</f>
        <v>170 DÍAS CALENDARIO</v>
      </c>
      <c r="L416"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6" s="213">
        <f>IFERROR(__xludf.DUMMYFUNCTION("""COMPUTED_VALUE"""),1.0)</f>
        <v>1</v>
      </c>
      <c r="N416" s="213">
        <f>IFERROR(__xludf.DUMMYFUNCTION("""COMPUTED_VALUE"""),1.0)</f>
        <v>1</v>
      </c>
      <c r="O416" s="213">
        <f>IFERROR(__xludf.DUMMYFUNCTION("""COMPUTED_VALUE"""),1.0)</f>
        <v>1</v>
      </c>
      <c r="P416" s="213"/>
      <c r="Q416" s="213"/>
      <c r="R416" s="213"/>
      <c r="S416" s="213"/>
      <c r="T416" s="213" t="str">
        <f>IFERROR(__xludf.DUMMYFUNCTION("""COMPUTED_VALUE"""),"CONSULTA FINAL")</f>
        <v>CONSULTA FINAL</v>
      </c>
      <c r="U416" s="213" t="str">
        <f>IFERROR(__xludf.DUMMYFUNCTION("""COMPUTED_VALUE"""),"NO")</f>
        <v>NO</v>
      </c>
      <c r="V416" s="213" t="str">
        <f>IFERROR(__xludf.DUMMYFUNCTION("""COMPUTED_VALUE"""),"SUSTENTO")</f>
        <v>SUSTENTO</v>
      </c>
      <c r="W416" s="213" t="str">
        <f>IFERROR(__xludf.DUMMYFUNCTION("""COMPUTED_VALUE"""),"EQU TEC")</f>
        <v>EQU TEC</v>
      </c>
      <c r="X416" s="213" t="str">
        <f>IFERROR(__xludf.DUMMYFUNCTION("""COMPUTED_VALUE"""),"HP")</f>
        <v>HP</v>
      </c>
      <c r="Y416" s="213" t="str">
        <f>IFERROR(__xludf.DUMMYFUNCTION("""COMPUTED_VALUE"""),"ProOne 440 G9")</f>
        <v>ProOne 440 G9</v>
      </c>
      <c r="Z416" s="215" t="str">
        <f>IFERROR(__xludf.DUMMYFUNCTION("""COMPUTED_VALUE"""),"https://support.hp.com/pe-es/document/ish_5956566-5987452-38")</f>
        <v>https://support.hp.com/pe-es/document/ish_5956566-5987452-38</v>
      </c>
      <c r="AA416" s="213" t="str">
        <f>IFERROR(__xludf.DUMMYFUNCTION("""COMPUTED_VALUE"""),"TEC-104 COMPUTADORA DE ESCRITORIO - CET")</f>
        <v>TEC-104 COMPUTADORA DE ESCRITORIO - CET</v>
      </c>
      <c r="AB416" s="213"/>
      <c r="AC416" s="213"/>
      <c r="AD416" s="213"/>
      <c r="AE416" s="213"/>
      <c r="AF416" s="213"/>
      <c r="AG416" s="213"/>
      <c r="AH416" s="213"/>
      <c r="AI416" s="213"/>
      <c r="AJ416" s="213"/>
      <c r="AK416" s="213"/>
      <c r="AL416" s="213"/>
      <c r="AM416" s="213"/>
      <c r="AN416" s="213"/>
      <c r="AO416" s="213"/>
      <c r="AP416" s="213" t="str">
        <f>IFERROR(__xludf.DUMMYFUNCTION("""COMPUTED_VALUE"""),"NALDI")</f>
        <v>NALDI</v>
      </c>
      <c r="AQ416" s="213" t="str">
        <f>IFERROR(__xludf.DUMMYFUNCTION("""COMPUTED_VALUE"""),"Solicitar versión de teclado en español")</f>
        <v>Solicitar versión de teclado en español</v>
      </c>
      <c r="AR416" s="213"/>
      <c r="AS416"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6" s="213"/>
      <c r="AU416" s="213"/>
      <c r="AV416" s="213"/>
      <c r="AW416" s="213"/>
      <c r="AX416" s="213"/>
      <c r="AY416" s="213"/>
      <c r="AZ416" s="213"/>
      <c r="BA416" s="213"/>
      <c r="BB416" s="213"/>
      <c r="BC416" s="213"/>
      <c r="BD416" s="213"/>
    </row>
    <row r="417">
      <c r="A417" s="213">
        <f>IFERROR(__xludf.DUMMYFUNCTION("""COMPUTED_VALUE"""),1961.0)</f>
        <v>1961</v>
      </c>
      <c r="B417" s="213" t="str">
        <f>IFERROR(__xludf.DUMMYFUNCTION("""COMPUTED_VALUE"""),"JOSE GRANDA")</f>
        <v>JOSE GRANDA</v>
      </c>
      <c r="C417" s="213" t="str">
        <f>IFERROR(__xludf.DUMMYFUNCTION("""COMPUTED_VALUE"""),"TALLER SFT DE COMPUTACIÓN E INFORMÁTICA")</f>
        <v>TALLER SFT DE COMPUTACIÓN E INFORMÁTICA</v>
      </c>
      <c r="D417" s="213" t="str">
        <f>IFERROR(__xludf.DUMMYFUNCTION("""COMPUTED_VALUE"""),"TICS")</f>
        <v>TICS</v>
      </c>
      <c r="E417" s="213" t="str">
        <f>IFERROR(__xludf.DUMMYFUNCTION("""COMPUTED_VALUE"""),"TEC-104")</f>
        <v>TEC-104</v>
      </c>
      <c r="F417" s="213" t="str">
        <f>IFERROR(__xludf.DUMMYFUNCTION("""COMPUTED_VALUE"""),"TEC-104")</f>
        <v>TEC-104</v>
      </c>
      <c r="G417" s="213"/>
      <c r="H417" s="213" t="str">
        <f>IFERROR(__xludf.DUMMYFUNCTION("""COMPUTED_VALUE"""),"COMPUTADORA DE ESCRITORIO")</f>
        <v>COMPUTADORA DE ESCRITORIO</v>
      </c>
      <c r="I417"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7" s="213">
        <f>IFERROR(__xludf.DUMMYFUNCTION("""COMPUTED_VALUE"""),3.0)</f>
        <v>3</v>
      </c>
      <c r="K417" s="213" t="str">
        <f>IFERROR(__xludf.DUMMYFUNCTION("""COMPUTED_VALUE"""),"170 DÍAS CALENDARIO")</f>
        <v>170 DÍAS CALENDARIO</v>
      </c>
      <c r="L417"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7" s="213">
        <f>IFERROR(__xludf.DUMMYFUNCTION("""COMPUTED_VALUE"""),1.0)</f>
        <v>1</v>
      </c>
      <c r="N417" s="213">
        <f>IFERROR(__xludf.DUMMYFUNCTION("""COMPUTED_VALUE"""),8.0)</f>
        <v>8</v>
      </c>
      <c r="O417" s="213">
        <f>IFERROR(__xludf.DUMMYFUNCTION("""COMPUTED_VALUE"""),8.0)</f>
        <v>8</v>
      </c>
      <c r="P417" s="213"/>
      <c r="Q417" s="213"/>
      <c r="R417" s="213"/>
      <c r="S417" s="213"/>
      <c r="T417" s="213" t="str">
        <f>IFERROR(__xludf.DUMMYFUNCTION("""COMPUTED_VALUE"""),"CONSULTA FINAL")</f>
        <v>CONSULTA FINAL</v>
      </c>
      <c r="U417" s="213" t="str">
        <f>IFERROR(__xludf.DUMMYFUNCTION("""COMPUTED_VALUE"""),"NO")</f>
        <v>NO</v>
      </c>
      <c r="V417" s="213" t="str">
        <f>IFERROR(__xludf.DUMMYFUNCTION("""COMPUTED_VALUE"""),"SUSTENTO")</f>
        <v>SUSTENTO</v>
      </c>
      <c r="W417" s="213" t="str">
        <f>IFERROR(__xludf.DUMMYFUNCTION("""COMPUTED_VALUE"""),"EQU TEC")</f>
        <v>EQU TEC</v>
      </c>
      <c r="X417" s="213" t="str">
        <f>IFERROR(__xludf.DUMMYFUNCTION("""COMPUTED_VALUE"""),"HP")</f>
        <v>HP</v>
      </c>
      <c r="Y417" s="213" t="str">
        <f>IFERROR(__xludf.DUMMYFUNCTION("""COMPUTED_VALUE"""),"ProOne 440 G9")</f>
        <v>ProOne 440 G9</v>
      </c>
      <c r="Z417" s="215" t="str">
        <f>IFERROR(__xludf.DUMMYFUNCTION("""COMPUTED_VALUE"""),"https://support.hp.com/pe-es/document/ish_5956566-5987452-39")</f>
        <v>https://support.hp.com/pe-es/document/ish_5956566-5987452-39</v>
      </c>
      <c r="AA417" s="213" t="str">
        <f>IFERROR(__xludf.DUMMYFUNCTION("""COMPUTED_VALUE"""),"TEC-104 COMPUTADORA DE ESCRITORIO - CET")</f>
        <v>TEC-104 COMPUTADORA DE ESCRITORIO - CET</v>
      </c>
      <c r="AB417" s="213"/>
      <c r="AC417" s="213"/>
      <c r="AD417" s="213"/>
      <c r="AE417" s="213"/>
      <c r="AF417" s="213"/>
      <c r="AG417" s="213"/>
      <c r="AH417" s="213"/>
      <c r="AI417" s="213"/>
      <c r="AJ417" s="213"/>
      <c r="AK417" s="213"/>
      <c r="AL417" s="213"/>
      <c r="AM417" s="213"/>
      <c r="AN417" s="213"/>
      <c r="AO417" s="213"/>
      <c r="AP417" s="213" t="str">
        <f>IFERROR(__xludf.DUMMYFUNCTION("""COMPUTED_VALUE"""),"NALDI")</f>
        <v>NALDI</v>
      </c>
      <c r="AQ417" s="213" t="str">
        <f>IFERROR(__xludf.DUMMYFUNCTION("""COMPUTED_VALUE"""),"Solicitar versión de teclado en español")</f>
        <v>Solicitar versión de teclado en español</v>
      </c>
      <c r="AR417" s="213"/>
      <c r="AS417"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7" s="213"/>
      <c r="AU417" s="213"/>
      <c r="AV417" s="213"/>
      <c r="AW417" s="213"/>
      <c r="AX417" s="213"/>
      <c r="AY417" s="213"/>
      <c r="AZ417" s="213"/>
      <c r="BA417" s="213"/>
      <c r="BB417" s="213"/>
      <c r="BC417" s="213"/>
      <c r="BD417" s="213"/>
    </row>
    <row r="418">
      <c r="A418" s="213">
        <f>IFERROR(__xludf.DUMMYFUNCTION("""COMPUTED_VALUE"""),2127.0)</f>
        <v>2127</v>
      </c>
      <c r="B418" s="213" t="str">
        <f>IFERROR(__xludf.DUMMYFUNCTION("""COMPUTED_VALUE"""),"JOSE GRANDA")</f>
        <v>JOSE GRANDA</v>
      </c>
      <c r="C418" s="213" t="str">
        <f>IFERROR(__xludf.DUMMYFUNCTION("""COMPUTED_VALUE"""),"TALLER SFT DE INDUSTRIA ALIMENTARIA")</f>
        <v>TALLER SFT DE INDUSTRIA ALIMENTARIA</v>
      </c>
      <c r="D418" s="213" t="str">
        <f>IFERROR(__xludf.DUMMYFUNCTION("""COMPUTED_VALUE"""),"TICS")</f>
        <v>TICS</v>
      </c>
      <c r="E418" s="213" t="str">
        <f>IFERROR(__xludf.DUMMYFUNCTION("""COMPUTED_VALUE"""),"TEC-104")</f>
        <v>TEC-104</v>
      </c>
      <c r="F418" s="213" t="str">
        <f>IFERROR(__xludf.DUMMYFUNCTION("""COMPUTED_VALUE"""),"TEC-104")</f>
        <v>TEC-104</v>
      </c>
      <c r="G418" s="213"/>
      <c r="H418" s="213" t="str">
        <f>IFERROR(__xludf.DUMMYFUNCTION("""COMPUTED_VALUE"""),"COMPUTADORA DE ESCRITORIO")</f>
        <v>COMPUTADORA DE ESCRITORIO</v>
      </c>
      <c r="I418"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 Video integrado 01 HDMI (Entrada) - 01 HDMI (Salida) --- Puerto USB Inte"&amp;"grado:  4 USB Tipo A (Incluye mínimo 01 USB 3.0) --- Red Integrada 01 RJ-45 (100/1000 Mbps) --- Lector de Tarjeta Integrado SD y/o SDHC y/o SDXC --- Audio Integrado 01 Salida de audio o Entrada de    micrófono.
CAMARA WEB: integrada. --- CONECTIVIDAD: Ina"&amp;"lámbrica Integrado: Sí. --- FUENTE DE PODER Entrada de voltaje 220VAC /60 HZ ---ALTAVOCES: Integrada. PANTALLA INTEGRADA: --- Tamaño Desde 23.8” --- Tecnología LCD con Retroiluminación LED  --- Resolución 1920 x 1080.
TECLADO: Tecnología Estándar en españ"&amp;"ol - Tipo USB --- MOUSE: Tipo de Cable Alámbrico de 0.90 m. minimo (No retráctil) - Tecnología Óptico - Conexión USB - Rueda de deslizamiento vertical SI (SCROLL) --- SISTEMA OPERATIVO: Microsoft Windows 11 (edición Professional), en español – Licenciado."&amp;" --- CERTIFICADOS: --- Certificado que no perjudique la salud o presente un impacto negativo al medio ambiente EPEAT. ---- Certificado de eficiencia de energía (Energy Star). --- MIL-STD-810G.  --- Otros: CE o FCC o RoHS --
- LICENCIA DE SOFTWARE OFIMATIC"&amp;"A --- Interfaz en idioma español. ---Tiene la posibilidad de exportar archivos en formatos PDF. --- Permite diseñar y producir documentos de texto que contienen imágenes, tablas o diagramas. --- Permite guardar documentos en formatos RTF, HTML, entre otro"&amp;"s. --- Permite hacer uso de hojas de cálculo que puede usar para calcular, analizar y gestionar datos. --- Compatibilidad con Sistema Operativo Microsoft Windows. --- En su ultima versión liberada (Licenciado). --- GARANTIA: Tres (03) Años Onsite
CONTIENE"&amp;":
· Software Microsoft Office 2019 o superior (Word, Excel, PowerPoint, Visio, One Note y Ms Forms), idioma Español, de 64 Bits.
· Software Antivirus:
- Licenciada / Idioma español / Protección antivirus en tiempo real para proteger de virus, troyanos, ad"&amp;"ware, malware y phishing / Protección contra firewall /Gestionada a traves de una consola web
· Software - Programas CAD para dibujos en 2D, 3D y renderizado / Gratuitos /libres (de código abierto) / Idioma español / Compatible con el sistema operativo de"&amp;" la computadora (Windows 11 o posterior) / Cuenta con herramientas de edición y modelado de muebles / Cuenta con editor geométrico interactivo, procesamiento de imágenes y señales / Alta capacidad de renderizado / Entre las alternativas gratuitas: SketchU"&amp;"p, Polyboard, Sweet Home 3, entre otros.
· Software para diseño gráfico publicitario:
- Gratuitos /libres (de código abierto) / Idioma español / Compatible con el sistema operativo de la computadora (Windows 8 o posterior) / Permite crear diseños, gráfico"&amp;"s, fotografías y sitios web / Dispone de herramientas profesionales de diseño, edición de imágenes y fotografías y diseño de páginas web.  Funciones táctiles y para lápices intuitivas / Dispone de editor de gráficos vectoriales, textos y logos / Permite d"&amp;"iseño de prototipos e interfaces para aplicaciones y sitios web / Entre las alternativas gratuitas /libres: Gimp, krita, Inkscape, Pencil Proyect, entre otros.
· Software para diseño y edición de videos – spot publicitarios:
- Gratuitos /libres (de código"&amp;" abierto) / Idioma español / Compatible con el sistema operativo de la computadora (Windows 8 o posterior) / Permite diseñar y editar videos / Trabaja con diferentes formatos: Un amplio soporte para diferentes formatos, incluyendo MP4, AVI, MOV, AVCHD y m"&amp;"ás / Permite crear videos de alta resolución: 4K, y trabajar en formato SD y HD / Dispone de las herramientas más utilizadas en los editores de vídeos: cortar, recortar, dividir y combinar en unos pocos clics / Permite generar acabados: Varios filtros y e"&amp;"fectos visuales para retocar el vídeo, efectos especiales en 2D y 3D / Dispone de herramientas para realizar diseños y animaciones en 3D y plantillas animadas gratuitas / Permite editar, ajustar perfeccionar el audio / Entre las alternativas gratuitas /li"&amp;"bres: Windows Movie Maker, Video editor Wondershare filmadora, Lightworks, VSDC Free Video editor, Blender,  entre otros.
· Software / programas para elaborar flujogramas:
- Gratuitos /libres (de código abierto) / Idioma español / Compatible con el sistem"&amp;"a operativo de la computadora (Windows 11 o posterior) / Diseña diagramas de flujos y organigramas / Contiene una variedad de símbolos y estilos de conexión de líneas / Edita, personaliza colores, rellenos y trazos / Entre las alternativas gratuitas /libr"&amp;"es: clickCharts, CreatelyDia, yEd Graph Editor, Pencil project, entre otros.
· Software para elaborar presupuestos
- Gratuitos /libres (de código abierto) / Idioma español / Compatible con el sistema operativo de la computadora (Windows 8 o posterior) / C"&amp;"rea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 Video integrado 01 HDMI (Entrada) - 01 HDMI (Salida) --- Puerto USB Integrado:  4 USB Tipo A (Incluye mínimo 01 USB 3.0) --- Red Integrada 01 RJ-45 (100/1000 Mbps) --- Lector de Tarjeta Integrado SD y/o SDHC y/o SDXC --- Audio Integrado 01 Salida de audio o Entrada de    micrófono.
CAMARA WEB: integrada. --- CONECTIVIDAD: Inalámbrica Integrado: Sí. --- FUENTE DE PODER Entrada de voltaje 220VAC /60 HZ ---ALTAVOCES: Integrada. PANTALLA INTEGRADA: --- Tamaño Desde 23.8” --- Tecnología LCD con Retroiluminación LED  --- Resolución 1920 x 1080.
TECLADO: Tecnología Estándar en español - Tipo USB ---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 Certificado de eficiencia de energía (Energy Star). --- MIL-STD-810G.  --- Otros: CE o FCC o RoHS --
- LICENCIA DE SOFTWARE OFIMATICA --- Interfaz en idioma español. ---Tiene la posibilidad de exportar archivos en formatos PDF. --- Permite diseñar y producir documentos de texto que contienen imágenes, tablas o diagramas. --- Permite guardar documentos en formatos RTF, HTML, entre otros. --- Permite hacer uso de hojas de cálculo que puede usar para calcular, analizar y gestionar datos. --- Compatibilidad con Sistema Operativo Microsoft Windows. --- En su ultima versión liberada (Licenciado). ---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8" s="213">
        <f>IFERROR(__xludf.DUMMYFUNCTION("""COMPUTED_VALUE"""),3.0)</f>
        <v>3</v>
      </c>
      <c r="K418" s="213" t="str">
        <f>IFERROR(__xludf.DUMMYFUNCTION("""COMPUTED_VALUE"""),"170 DÍAS CALENDARIO")</f>
        <v>170 DÍAS CALENDARIO</v>
      </c>
      <c r="L418"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8" s="213">
        <f>IFERROR(__xludf.DUMMYFUNCTION("""COMPUTED_VALUE"""),1.0)</f>
        <v>1</v>
      </c>
      <c r="N418" s="213">
        <f>IFERROR(__xludf.DUMMYFUNCTION("""COMPUTED_VALUE"""),19.0)</f>
        <v>19</v>
      </c>
      <c r="O418" s="213">
        <f>IFERROR(__xludf.DUMMYFUNCTION("""COMPUTED_VALUE"""),19.0)</f>
        <v>19</v>
      </c>
      <c r="P418" s="213"/>
      <c r="Q418" s="213"/>
      <c r="R418" s="213"/>
      <c r="S418" s="213"/>
      <c r="T418" s="213" t="str">
        <f>IFERROR(__xludf.DUMMYFUNCTION("""COMPUTED_VALUE"""),"CONSULTA FINAL")</f>
        <v>CONSULTA FINAL</v>
      </c>
      <c r="U418" s="213" t="str">
        <f>IFERROR(__xludf.DUMMYFUNCTION("""COMPUTED_VALUE"""),"NO")</f>
        <v>NO</v>
      </c>
      <c r="V418" s="213" t="str">
        <f>IFERROR(__xludf.DUMMYFUNCTION("""COMPUTED_VALUE"""),"SUSTENTO")</f>
        <v>SUSTENTO</v>
      </c>
      <c r="W418" s="213" t="str">
        <f>IFERROR(__xludf.DUMMYFUNCTION("""COMPUTED_VALUE"""),"EQU TEC")</f>
        <v>EQU TEC</v>
      </c>
      <c r="X418" s="213" t="str">
        <f>IFERROR(__xludf.DUMMYFUNCTION("""COMPUTED_VALUE"""),"HP")</f>
        <v>HP</v>
      </c>
      <c r="Y418" s="213" t="str">
        <f>IFERROR(__xludf.DUMMYFUNCTION("""COMPUTED_VALUE"""),"ProOne 440 G9")</f>
        <v>ProOne 440 G9</v>
      </c>
      <c r="Z418" s="215" t="str">
        <f>IFERROR(__xludf.DUMMYFUNCTION("""COMPUTED_VALUE"""),"https://support.hp.com/pe-es/document/ish_5956566-5987452-40")</f>
        <v>https://support.hp.com/pe-es/document/ish_5956566-5987452-40</v>
      </c>
      <c r="AA418" s="213" t="str">
        <f>IFERROR(__xludf.DUMMYFUNCTION("""COMPUTED_VALUE"""),"TEC-104 COMPUTADORA DE ESCRITORIO - CET")</f>
        <v>TEC-104 COMPUTADORA DE ESCRITORIO - CET</v>
      </c>
      <c r="AB418" s="213"/>
      <c r="AC418" s="213"/>
      <c r="AD418" s="213"/>
      <c r="AE418" s="213"/>
      <c r="AF418" s="213"/>
      <c r="AG418" s="213"/>
      <c r="AH418" s="213"/>
      <c r="AI418" s="213"/>
      <c r="AJ418" s="213"/>
      <c r="AK418" s="213"/>
      <c r="AL418" s="213"/>
      <c r="AM418" s="213"/>
      <c r="AN418" s="213"/>
      <c r="AO418" s="213"/>
      <c r="AP418" s="213" t="str">
        <f>IFERROR(__xludf.DUMMYFUNCTION("""COMPUTED_VALUE"""),"NALDI")</f>
        <v>NALDI</v>
      </c>
      <c r="AQ418" s="213" t="str">
        <f>IFERROR(__xludf.DUMMYFUNCTION("""COMPUTED_VALUE"""),"Solicitar versión de teclado en español")</f>
        <v>Solicitar versión de teclado en español</v>
      </c>
      <c r="AR418" s="213"/>
      <c r="AS418"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8" s="213"/>
      <c r="AU418" s="213"/>
      <c r="AV418" s="213"/>
      <c r="AW418" s="213"/>
      <c r="AX418" s="213"/>
      <c r="AY418" s="213"/>
      <c r="AZ418" s="213"/>
      <c r="BA418" s="213"/>
      <c r="BB418" s="213"/>
      <c r="BC418" s="213"/>
      <c r="BD418" s="213"/>
    </row>
    <row r="419">
      <c r="A419" s="213">
        <f>IFERROR(__xludf.DUMMYFUNCTION("""COMPUTED_VALUE"""),2293.0)</f>
        <v>2293</v>
      </c>
      <c r="B419" s="213" t="str">
        <f>IFERROR(__xludf.DUMMYFUNCTION("""COMPUTED_VALUE"""),"JOSE GRANDA")</f>
        <v>JOSE GRANDA</v>
      </c>
      <c r="C419" s="213" t="str">
        <f>IFERROR(__xludf.DUMMYFUNCTION("""COMPUTED_VALUE"""),"TALLER SFT DE MECÁNICA AUTOMOTRIZ")</f>
        <v>TALLER SFT DE MECÁNICA AUTOMOTRIZ</v>
      </c>
      <c r="D419" s="213" t="str">
        <f>IFERROR(__xludf.DUMMYFUNCTION("""COMPUTED_VALUE"""),"TICS")</f>
        <v>TICS</v>
      </c>
      <c r="E419" s="213" t="str">
        <f>IFERROR(__xludf.DUMMYFUNCTION("""COMPUTED_VALUE"""),"TEC-104")</f>
        <v>TEC-104</v>
      </c>
      <c r="F419" s="213" t="str">
        <f>IFERROR(__xludf.DUMMYFUNCTION("""COMPUTED_VALUE"""),"TEC-104")</f>
        <v>TEC-104</v>
      </c>
      <c r="G419" s="213"/>
      <c r="H419" s="213" t="str">
        <f>IFERROR(__xludf.DUMMYFUNCTION("""COMPUTED_VALUE"""),"COMPUTADORA DE ESCRITORIO")</f>
        <v>COMPUTADORA DE ESCRITORIO</v>
      </c>
      <c r="I419"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P"&amp;"ermite diseño de prototipos e interfaces para aplicaciones y sitios web / Entre las alternativas gratuitas /libres: Gimp, krita, Inkscape, Pencil Proyect, entre otros.
· Software para diseño y edición de videos – spot publicitarios:
- Gratuitos /libres (d"&amp;"e código abierto) / Idioma español / Compatible con el sistema operativo de la computadora (Windows 8 o posterior) / Permite diseñar y editar videos / Trabaja con diferentes formatos: Un amplio soporte para diferentes formatos, incluyendo MP4, AVI, MOV, A"&amp;"VCHD y más / Permite crear videos de alta resolución: 4K, y trabajar en formato SD y HD / Dispone de las herramientas más utilizadas en los editores de vídeos: cortar, recortar, dividir y combinar en unos pocos clics / Permite generar acabados: Varios fil"&amp;"tros y efectos visuales para retocar el vídeo, efectos especiales en 2D y 3D / Dispone de herramientas para  realizar diseños y animaciones en 3D y plantillas animadas gratuitas / Permite editar, ajustar perfeccionar el audio / Entre las alternativas grat"&amp;"uitas /libres: Windows Movie Maker, Video editor Wondershare filmadora, Lightworks, VSDC Free Video editor, Blender,  entre otros.
· Software / programas para elaborar flujogramas:
- Gratuitos /libres (de código abierto) / Idioma español / Compatible con "&amp;"el sistema operativo de la computadora (Windows 11 o posterior) / Diseña diagramas de flujos y organigramas / Contiene una variedad de símbolos y estilos de conexión de líneas / Edita, personaliza colores, rellenos y trazos / Entre las alternativas gratui"&amp;"tas /libres: clickCharts, CreatelyDia, yEd Graph Editor, Pencil project, entre otros.
· Software para elaborar presupuestos
- Gratuitos /libres (de código abierto) / Idioma español / Compatible con el sistema operativo de la computadora (Windows 8 o poste"&amp;"rior)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19" s="213">
        <f>IFERROR(__xludf.DUMMYFUNCTION("""COMPUTED_VALUE"""),3.0)</f>
        <v>3</v>
      </c>
      <c r="K419" s="213" t="str">
        <f>IFERROR(__xludf.DUMMYFUNCTION("""COMPUTED_VALUE"""),"170 DÍAS CALENDARIO")</f>
        <v>170 DÍAS CALENDARIO</v>
      </c>
      <c r="L419"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19" s="213">
        <f>IFERROR(__xludf.DUMMYFUNCTION("""COMPUTED_VALUE"""),1.0)</f>
        <v>1</v>
      </c>
      <c r="N419" s="213">
        <f>IFERROR(__xludf.DUMMYFUNCTION("""COMPUTED_VALUE"""),21.0)</f>
        <v>21</v>
      </c>
      <c r="O419" s="213">
        <f>IFERROR(__xludf.DUMMYFUNCTION("""COMPUTED_VALUE"""),21.0)</f>
        <v>21</v>
      </c>
      <c r="P419" s="213"/>
      <c r="Q419" s="213"/>
      <c r="R419" s="213"/>
      <c r="S419" s="213"/>
      <c r="T419" s="213" t="str">
        <f>IFERROR(__xludf.DUMMYFUNCTION("""COMPUTED_VALUE"""),"CONSULTA FINAL")</f>
        <v>CONSULTA FINAL</v>
      </c>
      <c r="U419" s="213" t="str">
        <f>IFERROR(__xludf.DUMMYFUNCTION("""COMPUTED_VALUE"""),"NO")</f>
        <v>NO</v>
      </c>
      <c r="V419" s="213" t="str">
        <f>IFERROR(__xludf.DUMMYFUNCTION("""COMPUTED_VALUE"""),"SUSTENTO")</f>
        <v>SUSTENTO</v>
      </c>
      <c r="W419" s="213" t="str">
        <f>IFERROR(__xludf.DUMMYFUNCTION("""COMPUTED_VALUE"""),"EQU TEC")</f>
        <v>EQU TEC</v>
      </c>
      <c r="X419" s="213" t="str">
        <f>IFERROR(__xludf.DUMMYFUNCTION("""COMPUTED_VALUE"""),"HP")</f>
        <v>HP</v>
      </c>
      <c r="Y419" s="213" t="str">
        <f>IFERROR(__xludf.DUMMYFUNCTION("""COMPUTED_VALUE"""),"ProOne 440 G9")</f>
        <v>ProOne 440 G9</v>
      </c>
      <c r="Z419" s="215" t="str">
        <f>IFERROR(__xludf.DUMMYFUNCTION("""COMPUTED_VALUE"""),"https://support.hp.com/pe-es/document/ish_5956566-5987452-41")</f>
        <v>https://support.hp.com/pe-es/document/ish_5956566-5987452-41</v>
      </c>
      <c r="AA419" s="213" t="str">
        <f>IFERROR(__xludf.DUMMYFUNCTION("""COMPUTED_VALUE"""),"TEC-104 COMPUTADORA DE ESCRITORIO - CET")</f>
        <v>TEC-104 COMPUTADORA DE ESCRITORIO - CET</v>
      </c>
      <c r="AB419" s="213"/>
      <c r="AC419" s="213"/>
      <c r="AD419" s="213"/>
      <c r="AE419" s="213"/>
      <c r="AF419" s="213"/>
      <c r="AG419" s="213"/>
      <c r="AH419" s="213"/>
      <c r="AI419" s="213"/>
      <c r="AJ419" s="213"/>
      <c r="AK419" s="213"/>
      <c r="AL419" s="213"/>
      <c r="AM419" s="213"/>
      <c r="AN419" s="213"/>
      <c r="AO419" s="213"/>
      <c r="AP419" s="213" t="str">
        <f>IFERROR(__xludf.DUMMYFUNCTION("""COMPUTED_VALUE"""),"NALDI")</f>
        <v>NALDI</v>
      </c>
      <c r="AQ419" s="213" t="str">
        <f>IFERROR(__xludf.DUMMYFUNCTION("""COMPUTED_VALUE"""),"Solicitar versión de teclado en español")</f>
        <v>Solicitar versión de teclado en español</v>
      </c>
      <c r="AR419" s="213"/>
      <c r="AS419"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19" s="213"/>
      <c r="AU419" s="213"/>
      <c r="AV419" s="213"/>
      <c r="AW419" s="213"/>
      <c r="AX419" s="213"/>
      <c r="AY419" s="213"/>
      <c r="AZ419" s="213"/>
      <c r="BA419" s="213"/>
      <c r="BB419" s="213"/>
      <c r="BC419" s="213"/>
      <c r="BD419" s="213"/>
    </row>
    <row r="420">
      <c r="A420" s="213">
        <f>IFERROR(__xludf.DUMMYFUNCTION("""COMPUTED_VALUE"""),2410.0)</f>
        <v>2410</v>
      </c>
      <c r="B420" s="213" t="str">
        <f>IFERROR(__xludf.DUMMYFUNCTION("""COMPUTED_VALUE"""),"MANUEL ANTONIO MESONES MURO")</f>
        <v>MANUEL ANTONIO MESONES MURO</v>
      </c>
      <c r="C420" s="213" t="str">
        <f>IFERROR(__xludf.DUMMYFUNCTION("""COMPUTED_VALUE"""),"TALLER SFT DE INDUSTRIA DEL VESTIDO")</f>
        <v>TALLER SFT DE INDUSTRIA DEL VESTIDO</v>
      </c>
      <c r="D420" s="213" t="str">
        <f>IFERROR(__xludf.DUMMYFUNCTION("""COMPUTED_VALUE"""),"TICS")</f>
        <v>TICS</v>
      </c>
      <c r="E420" s="213" t="str">
        <f>IFERROR(__xludf.DUMMYFUNCTION("""COMPUTED_VALUE"""),"TEC-104")</f>
        <v>TEC-104</v>
      </c>
      <c r="F420" s="213" t="str">
        <f>IFERROR(__xludf.DUMMYFUNCTION("""COMPUTED_VALUE"""),"TEC-104")</f>
        <v>TEC-104</v>
      </c>
      <c r="G420" s="213"/>
      <c r="H420" s="213" t="str">
        <f>IFERROR(__xludf.DUMMYFUNCTION("""COMPUTED_VALUE"""),"COMPUTADORA DE ESCRITORIO")</f>
        <v>COMPUTADORA DE ESCRITORIO</v>
      </c>
      <c r="I420"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Pe"&amp;"rmite diseño de prototipos e interfaces para aplicaciones y sitios web / Entre las alternativas gratuitas /libres: Gimp, krita, Inkscape, Pencil Proyect, entre otros.
· Software para diseño y edición de videos – spot publicitarios:
- Gratuitos /libres (de"&amp;" código abierto) / Idioma español / Compatible con el sistema operativo de la computadora (Windows 8 o posterior) / Permite diseñar y  editar videos / Trabaja con diferentes formatos: Un amplio soporte para diferentes formatos, incluyendo MP4, AVI, MOV, A"&amp;"VCHD y más / Permite crear videos de alta resolución: 4K, y trabajar en formato SD y HD / Dispone de las herramientas más utilizadas en los editores de vídeos: cortar, recortar, dividir y combinar en unos pocos clics / Permite generar acabados: Varios fil"&amp;"tros y efectos visuales para retocar el vídeo, efectos especiales en 2D y 3D / Dispone de herramientas para realizar diseños y animaciones en 3D y plantillas animadas gratuitas / Permite editar, ajustar perfeccionar el audio / Entre las alternativas gratu"&amp;"itas /libres: Windows Movie Maker, Video editor Wondershare filmadora, Lightworks, VSDC Free Video editor, Blender,  entre otros.
· Software / programas para elaborar flujogramas:
- Gratuitos /libres (de código abierto) / Idioma español / Compatible con e"&amp;"l sistema operativo de la computadora (Windows 11 o posterior) / Diseña diagramas de flujos y organigramas / Contiene una variedad de símbolos y estilos de conexión de líneas / Edita, personaliza colores, rellenos y trazos / Entre las alternativas gratuit"&amp;"as /libres: clickCharts, CreatelyDia, yEd Graph Editor, Pencil project, entre otros.
· Software para elaborar presupuestos
- Gratuitos /libres (de código abierto) / Idioma español / Compatible con el sistema operativo de la computadora (Windows 8 o poster"&amp;"ior)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20" s="213">
        <f>IFERROR(__xludf.DUMMYFUNCTION("""COMPUTED_VALUE"""),3.0)</f>
        <v>3</v>
      </c>
      <c r="K420" s="213" t="str">
        <f>IFERROR(__xludf.DUMMYFUNCTION("""COMPUTED_VALUE"""),"170 DÍAS CALENDARIO")</f>
        <v>170 DÍAS CALENDARIO</v>
      </c>
      <c r="L420"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20" s="213">
        <f>IFERROR(__xludf.DUMMYFUNCTION("""COMPUTED_VALUE"""),1.0)</f>
        <v>1</v>
      </c>
      <c r="N420" s="213">
        <f>IFERROR(__xludf.DUMMYFUNCTION("""COMPUTED_VALUE"""),21.0)</f>
        <v>21</v>
      </c>
      <c r="O420" s="213">
        <f>IFERROR(__xludf.DUMMYFUNCTION("""COMPUTED_VALUE"""),21.0)</f>
        <v>21</v>
      </c>
      <c r="P420" s="213"/>
      <c r="Q420" s="213"/>
      <c r="R420" s="213"/>
      <c r="S420" s="213"/>
      <c r="T420" s="213" t="str">
        <f>IFERROR(__xludf.DUMMYFUNCTION("""COMPUTED_VALUE"""),"CONSULTA FINAL")</f>
        <v>CONSULTA FINAL</v>
      </c>
      <c r="U420" s="213" t="str">
        <f>IFERROR(__xludf.DUMMYFUNCTION("""COMPUTED_VALUE"""),"NO")</f>
        <v>NO</v>
      </c>
      <c r="V420" s="213" t="str">
        <f>IFERROR(__xludf.DUMMYFUNCTION("""COMPUTED_VALUE"""),"SUSTENTO")</f>
        <v>SUSTENTO</v>
      </c>
      <c r="W420" s="213" t="str">
        <f>IFERROR(__xludf.DUMMYFUNCTION("""COMPUTED_VALUE"""),"EQU TEC")</f>
        <v>EQU TEC</v>
      </c>
      <c r="X420" s="213" t="str">
        <f>IFERROR(__xludf.DUMMYFUNCTION("""COMPUTED_VALUE"""),"HP")</f>
        <v>HP</v>
      </c>
      <c r="Y420" s="213" t="str">
        <f>IFERROR(__xludf.DUMMYFUNCTION("""COMPUTED_VALUE"""),"ProOne 440 G9")</f>
        <v>ProOne 440 G9</v>
      </c>
      <c r="Z420" s="215" t="str">
        <f>IFERROR(__xludf.DUMMYFUNCTION("""COMPUTED_VALUE"""),"https://support.hp.com/pe-es/document/ish_5956566-5987452-42")</f>
        <v>https://support.hp.com/pe-es/document/ish_5956566-5987452-42</v>
      </c>
      <c r="AA420" s="213" t="str">
        <f>IFERROR(__xludf.DUMMYFUNCTION("""COMPUTED_VALUE"""),"TEC-104 COMPUTADORA DE ESCRITORIO - CET")</f>
        <v>TEC-104 COMPUTADORA DE ESCRITORIO - CET</v>
      </c>
      <c r="AB420" s="213"/>
      <c r="AC420" s="213"/>
      <c r="AD420" s="213"/>
      <c r="AE420" s="213"/>
      <c r="AF420" s="213"/>
      <c r="AG420" s="213"/>
      <c r="AH420" s="213"/>
      <c r="AI420" s="213"/>
      <c r="AJ420" s="213"/>
      <c r="AK420" s="213"/>
      <c r="AL420" s="213"/>
      <c r="AM420" s="213"/>
      <c r="AN420" s="213"/>
      <c r="AO420" s="213"/>
      <c r="AP420" s="213" t="str">
        <f>IFERROR(__xludf.DUMMYFUNCTION("""COMPUTED_VALUE"""),"NALDI")</f>
        <v>NALDI</v>
      </c>
      <c r="AQ420" s="213" t="str">
        <f>IFERROR(__xludf.DUMMYFUNCTION("""COMPUTED_VALUE"""),"Solicitar versión de teclado en español")</f>
        <v>Solicitar versión de teclado en español</v>
      </c>
      <c r="AR420" s="213"/>
      <c r="AS420"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20" s="213"/>
      <c r="AU420" s="213"/>
      <c r="AV420" s="213"/>
      <c r="AW420" s="213"/>
      <c r="AX420" s="213"/>
      <c r="AY420" s="213"/>
      <c r="AZ420" s="213"/>
      <c r="BA420" s="213"/>
      <c r="BB420" s="213"/>
      <c r="BC420" s="213"/>
      <c r="BD420" s="213"/>
    </row>
    <row r="421">
      <c r="A421" s="213">
        <f>IFERROR(__xludf.DUMMYFUNCTION("""COMPUTED_VALUE"""),2497.0)</f>
        <v>2497</v>
      </c>
      <c r="B421" s="213" t="str">
        <f>IFERROR(__xludf.DUMMYFUNCTION("""COMPUTED_VALUE"""),"MANUEL ANTONIO MESONES MURO")</f>
        <v>MANUEL ANTONIO MESONES MURO</v>
      </c>
      <c r="C421" s="213" t="str">
        <f>IFERROR(__xludf.DUMMYFUNCTION("""COMPUTED_VALUE"""),"TALLER SFT DE CONSTRUCCIONES METÁLICAS")</f>
        <v>TALLER SFT DE CONSTRUCCIONES METÁLICAS</v>
      </c>
      <c r="D421" s="213" t="str">
        <f>IFERROR(__xludf.DUMMYFUNCTION("""COMPUTED_VALUE"""),"HERRAMIENTAS")</f>
        <v>HERRAMIENTAS</v>
      </c>
      <c r="E421" s="213" t="str">
        <f>IFERROR(__xludf.DUMMYFUNCTION("""COMPUTED_VALUE"""),"HER-118")</f>
        <v>HER-118</v>
      </c>
      <c r="F421" s="213" t="str">
        <f>IFERROR(__xludf.DUMMYFUNCTION("""COMPUTED_VALUE"""),"HER-118")</f>
        <v>HER-118</v>
      </c>
      <c r="G421" s="213"/>
      <c r="H421" s="213" t="str">
        <f>IFERROR(__xludf.DUMMYFUNCTION("""COMPUTED_VALUE"""),"COMBA DE 5 LB")</f>
        <v>COMBA DE 5 LB</v>
      </c>
      <c r="I421" s="213" t="str">
        <f>IFERROR(__xludf.DUMMYFUNCTION("""COMPUTED_VALUE"""),"Comba de acero de herramienta
-       Peso 5 lb
-       Mango de madera ajustado con lámina de metal
-       30 cm de largo mínimo")</f>
        <v>Comba de acero de herramienta
-       Peso 5 lb
-       Mango de madera ajustado con lámina de metal
-       30 cm de largo mínimo</v>
      </c>
      <c r="J421" s="213">
        <f>IFERROR(__xludf.DUMMYFUNCTION("""COMPUTED_VALUE"""),3.0)</f>
        <v>3</v>
      </c>
      <c r="K421" s="213" t="str">
        <f>IFERROR(__xludf.DUMMYFUNCTION("""COMPUTED_VALUE"""),"90 DÍAS CALENDARIO")</f>
        <v>90 DÍAS CALENDARIO</v>
      </c>
      <c r="L421" s="213" t="str">
        <f>IFERROR(__xludf.DUMMYFUNCTION("""COMPUTED_VALUE"""),"")</f>
        <v/>
      </c>
      <c r="M421" s="213">
        <f>IFERROR(__xludf.DUMMYFUNCTION("""COMPUTED_VALUE"""),1.0)</f>
        <v>1</v>
      </c>
      <c r="N421" s="213">
        <f>IFERROR(__xludf.DUMMYFUNCTION("""COMPUTED_VALUE"""),4.0)</f>
        <v>4</v>
      </c>
      <c r="O421" s="213">
        <f>IFERROR(__xludf.DUMMYFUNCTION("""COMPUTED_VALUE"""),4.0)</f>
        <v>4</v>
      </c>
      <c r="P421" s="213"/>
      <c r="Q421" s="213"/>
      <c r="R421" s="213"/>
      <c r="S421" s="213"/>
      <c r="T421" s="213" t="str">
        <f>IFERROR(__xludf.DUMMYFUNCTION("""COMPUTED_VALUE"""),"SI")</f>
        <v>SI</v>
      </c>
      <c r="U421" s="213" t="str">
        <f>IFERROR(__xludf.DUMMYFUNCTION("""COMPUTED_VALUE"""),"SI")</f>
        <v>SI</v>
      </c>
      <c r="V421" s="213" t="str">
        <f>IFERROR(__xludf.DUMMYFUNCTION("""COMPUTED_VALUE"""),"-")</f>
        <v>-</v>
      </c>
      <c r="W421" s="213" t="str">
        <f>IFERROR(__xludf.DUMMYFUNCTION("""COMPUTED_VALUE"""),"-")</f>
        <v>-</v>
      </c>
      <c r="X421" s="213" t="str">
        <f>IFERROR(__xludf.DUMMYFUNCTION("""COMPUTED_VALUE"""),"CASCO")</f>
        <v>CASCO</v>
      </c>
      <c r="Y421" s="213" t="str">
        <f>IFERROR(__xludf.DUMMYFUNCTION("""COMPUTED_VALUE"""),"COM0065")</f>
        <v>COM0065</v>
      </c>
      <c r="Z421" s="215" t="str">
        <f>IFERROR(__xludf.DUMMYFUNCTION("""COMPUTED_VALUE"""),"https://alaska.pe/producto/comba-de-6-libras-mango-de-madera-casco/")</f>
        <v>https://alaska.pe/producto/comba-de-6-libras-mango-de-madera-casco/</v>
      </c>
      <c r="AA421" s="213" t="str">
        <f>IFERROR(__xludf.DUMMYFUNCTION("""COMPUTED_VALUE"""),"HER-118 COMBA DE 5 LB - CET")</f>
        <v>HER-118 COMBA DE 5 LB - CET</v>
      </c>
      <c r="AB421" s="213"/>
      <c r="AC421" s="213"/>
      <c r="AD421" s="213"/>
      <c r="AE421" s="213"/>
      <c r="AF421" s="213"/>
      <c r="AG421" s="213"/>
      <c r="AH421" s="213"/>
      <c r="AI421" s="213"/>
      <c r="AJ421" s="213"/>
      <c r="AK421" s="213"/>
      <c r="AL421" s="213"/>
      <c r="AM421" s="213"/>
      <c r="AN421" s="213"/>
      <c r="AO421" s="213"/>
      <c r="AP421" s="213" t="str">
        <f>IFERROR(__xludf.DUMMYFUNCTION("""COMPUTED_VALUE"""),"LUIS")</f>
        <v>LUIS</v>
      </c>
      <c r="AQ421" s="213"/>
      <c r="AR421" s="213"/>
      <c r="AS421" s="213"/>
      <c r="AT421" s="213"/>
      <c r="AU421" s="213"/>
      <c r="AV421" s="213"/>
      <c r="AW421" s="213"/>
      <c r="AX421" s="213"/>
      <c r="AY421" s="213"/>
      <c r="AZ421" s="213"/>
      <c r="BA421" s="213"/>
      <c r="BB421" s="213"/>
      <c r="BC421" s="213"/>
      <c r="BD421" s="213"/>
    </row>
    <row r="422">
      <c r="A422" s="213">
        <f>IFERROR(__xludf.DUMMYFUNCTION("""COMPUTED_VALUE"""),2632.0)</f>
        <v>2632</v>
      </c>
      <c r="B422" s="213" t="str">
        <f>IFERROR(__xludf.DUMMYFUNCTION("""COMPUTED_VALUE"""),"MANUEL ANTONIO MESONES MURO")</f>
        <v>MANUEL ANTONIO MESONES MURO</v>
      </c>
      <c r="C422" s="213" t="str">
        <f>IFERROR(__xludf.DUMMYFUNCTION("""COMPUTED_VALUE"""),"TALLER SFT DE EBANISTERÍA")</f>
        <v>TALLER SFT DE EBANISTERÍA</v>
      </c>
      <c r="D422" s="213" t="str">
        <f>IFERROR(__xludf.DUMMYFUNCTION("""COMPUTED_VALUE"""),"TICS")</f>
        <v>TICS</v>
      </c>
      <c r="E422" s="213" t="str">
        <f>IFERROR(__xludf.DUMMYFUNCTION("""COMPUTED_VALUE"""),"TEC-104")</f>
        <v>TEC-104</v>
      </c>
      <c r="F422" s="213" t="str">
        <f>IFERROR(__xludf.DUMMYFUNCTION("""COMPUTED_VALUE"""),"TEC-104")</f>
        <v>TEC-104</v>
      </c>
      <c r="G422" s="213"/>
      <c r="H422" s="213" t="str">
        <f>IFERROR(__xludf.DUMMYFUNCTION("""COMPUTED_VALUE"""),"COMPUTADORA DE ESCRITORIO")</f>
        <v>COMPUTADORA DE ESCRITORIO</v>
      </c>
      <c r="I422"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Puerto USB In"&amp;"tegrado:  4 USB Tipo A (Incluye mínimo 01 USB 3.0) --- Red Integrada 01 RJ-45 (100/1000 Mbps)      Lector de
Tarjeta Integrado SD y/o SDHC y/o SDXC      Audio Integrado 01 Salida de audio o Entrada de micrófono.
CAMARA WEB: integrada. --- CONECTIVIDAD: In"&amp;"alámbrica Integrado: Sí. --- FUENTE DE PODER Entrada de voltaje 220VAC /60 HZ     ALTAVOCES:
Integrada.
PANTALLA INTEGRADA: --- Tamaño Desde 23.8” --- Tecnología LCD con Retroiluminación LED       Resolución 1920 x 1080.
TECLADO: Tecnología Estándar en es"&amp;"pañol - Tipo USB      MOUSE: Tipo de Cable Alámbrico de 0.90 m. minimo (No retráctil) - Tecnología Óptico - Conexión
USB - Rueda de deslizamiento vertical SI (SCROLL) --- SISTEMA OPERATIVO: Microsoft Windows 11 (edición Professional), en español – Licenci"&amp;"ado. --- CERTIFICADOS: --- Certificado que no perjudique la salud o presente un impacto negativo al medio ambiente EPEAT        Certificado de eficiencia de energía
(Energy Star). --- MIL-STD-810G.  --- Otros: CE o FCC o RoHS --- LICENCIA DE SOFTWARE OFIM"&amp;"ATICA --- Interfaz en idioma español      Tiene la posibilidad
de exportar archivos en formatos PDF. --- Permite diseñar y producir documentos de texto que contienen imágenes, tablas o diagramas       Permite guardar
documentos en formatos RTF, HTML, entr"&amp;"e otros. --- Permite hacer uso de hojas de cálculo que puede usar para calcular, analizar y gestionar datos. --- Compatibilidad con Sistema Operativo Microsoft Windows. --- En su ultima versión liberada (Licenciado).      GARANTIA: Tres (03) Años Onsite
C"&amp;"ONTIENE:
· Software Microsoft Office 2019 o superior (Word, Excel, PowerPoint, Visio, One Note y Ms Forms), idioma Español, de 64 Bits.
· Software Antivirus:
- Licenciada / Idioma español / Protección antivirus en tiempo real para proteger de virus, troya"&amp;"nos, adware, malware y phishing / Protección contra firewall
/Gestionada a traves de una consola web
· Software - Programas CAD para dibujos en 2D, 3D y renderizado / Gratuitos /libres (de código abierto) / Idioma español / Compatible con el sistema opera"&amp;"tivo de la computadora (Windows 11 o posterior) / Cuenta con herramientas de edición y modelado de muebles / Cuenta con editor geométrico interactivo, procesamiento de imágenes y señales / Alta capacidad de renderizado / Entre las alternativas gratuitas: "&amp;"SketchUp, Polyboard, Sweet Home 3, entre otros.
· Software para diseño gráfico publicitario:
- Gratuitos /libres (de código abierto) / Idioma español / Compatible con el sistema operativo de la computadora (Windows 8 o posterior) / Permite crear diseños, "&amp;"gráficos, fotografías y sitios web / Dispone de herramientas profesionales de diseño, edición de imágenes y fotografías y diseño de páginas web. Funciones táctiles y para lápices intuitivas / Dispone de editor de gráficos vectoriales, textos y logos / Per"&amp;"mite diseño de prototipos e interfaces para aplicaciones y sitios web / Entre las alternativas gratuitas /libres: Gimp, krita, Inkscape, Pencil Proyect, entre otros.
· Software para diseño y edición de videos – spot publicitarios:
- Gratuitos /libres (de "&amp;"código abierto) / Idioma español / Compatible con el sistema operativo de la computadora (Windows 8 o posterior) / Permite diseñar y editar videos / Trabaja con diferentes formatos: Un amplio soporte para diferentes formatos, incluyendo MP4, AVI, MOV, AVC"&amp;"HD y más / Permite crear videos de alta resolución: 4K, y trabajar en formato SD y HD / Dispone de las herramientas más utilizadas en los editores de vídeos: cortar, recortar, dividir y  combinar en unos pocos clics / Permite generar acabados: Varios filt"&amp;"ros y efectos visuales para retocar el vídeo, efectos especiales en 2D y 3D / Dispone de herramientas para realizar diseños y animaciones en 3D y plantillas animadas gratuitas / Permite editar, ajustar perfeccionar el audio / Entre las alternativas gratui"&amp;"tas /libres: Windows Movie Maker, Video editor Wondershare filmadora, Lightworks, VSDC Free Video editor, Blender,  entre otros.
· Software / programas para elaborar flujogramas:
- Gratuitos /libres (de código abierto) / Idioma español / Compatible con el"&amp;" sistema operativo de la computadora (Windows 11 o posterior) / Diseña diagramas de flujos y organigramas / Contiene una variedad de símbolos y estilos de conexión de líneas / Edita, personaliza colores, rellenos y trazos / Entre las alternativas gratuita"&amp;"s /libres: clickCharts, CreatelyDia, yEd Graph Editor, Pencil project, entre otros.
· Software para elaborar presupuestos
- Gratuitos /libres (de código abierto) / Idioma español / Compatible con el sistema operativo de la computadora (Windows 8 o posteri"&amp;"or)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 CERTIFICADOS: --- Certificado que no perjudique la salud o presente un impacto negativo al medio ambiente EPEAT        Certificado de eficiencia de energía
(Energy Star). --- MIL-STD-810G.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22" s="213">
        <f>IFERROR(__xludf.DUMMYFUNCTION("""COMPUTED_VALUE"""),3.0)</f>
        <v>3</v>
      </c>
      <c r="K422" s="213" t="str">
        <f>IFERROR(__xludf.DUMMYFUNCTION("""COMPUTED_VALUE"""),"170 DÍAS CALENDARIO")</f>
        <v>170 DÍAS CALENDARIO</v>
      </c>
      <c r="L422"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22" s="213">
        <f>IFERROR(__xludf.DUMMYFUNCTION("""COMPUTED_VALUE"""),1.0)</f>
        <v>1</v>
      </c>
      <c r="N422" s="213">
        <f>IFERROR(__xludf.DUMMYFUNCTION("""COMPUTED_VALUE"""),21.0)</f>
        <v>21</v>
      </c>
      <c r="O422" s="213">
        <f>IFERROR(__xludf.DUMMYFUNCTION("""COMPUTED_VALUE"""),21.0)</f>
        <v>21</v>
      </c>
      <c r="P422" s="213"/>
      <c r="Q422" s="213"/>
      <c r="R422" s="213"/>
      <c r="S422" s="213"/>
      <c r="T422" s="213" t="str">
        <f>IFERROR(__xludf.DUMMYFUNCTION("""COMPUTED_VALUE"""),"CONSULTA FINAL")</f>
        <v>CONSULTA FINAL</v>
      </c>
      <c r="U422" s="213" t="str">
        <f>IFERROR(__xludf.DUMMYFUNCTION("""COMPUTED_VALUE"""),"NO")</f>
        <v>NO</v>
      </c>
      <c r="V422" s="213" t="str">
        <f>IFERROR(__xludf.DUMMYFUNCTION("""COMPUTED_VALUE"""),"SUSTENTO")</f>
        <v>SUSTENTO</v>
      </c>
      <c r="W422" s="213" t="str">
        <f>IFERROR(__xludf.DUMMYFUNCTION("""COMPUTED_VALUE"""),"EQU TEC")</f>
        <v>EQU TEC</v>
      </c>
      <c r="X422" s="213" t="str">
        <f>IFERROR(__xludf.DUMMYFUNCTION("""COMPUTED_VALUE"""),"HP")</f>
        <v>HP</v>
      </c>
      <c r="Y422" s="213" t="str">
        <f>IFERROR(__xludf.DUMMYFUNCTION("""COMPUTED_VALUE"""),"ProOne 440 G9")</f>
        <v>ProOne 440 G9</v>
      </c>
      <c r="Z422" s="215" t="str">
        <f>IFERROR(__xludf.DUMMYFUNCTION("""COMPUTED_VALUE"""),"https://support.hp.com/pe-es/document/ish_5956566-5987452-44")</f>
        <v>https://support.hp.com/pe-es/document/ish_5956566-5987452-44</v>
      </c>
      <c r="AA422" s="213" t="str">
        <f>IFERROR(__xludf.DUMMYFUNCTION("""COMPUTED_VALUE"""),"TEC-104 COMPUTADORA DE ESCRITORIO - CET")</f>
        <v>TEC-104 COMPUTADORA DE ESCRITORIO - CET</v>
      </c>
      <c r="AB422" s="213"/>
      <c r="AC422" s="213"/>
      <c r="AD422" s="213"/>
      <c r="AE422" s="213"/>
      <c r="AF422" s="213"/>
      <c r="AG422" s="213"/>
      <c r="AH422" s="213"/>
      <c r="AI422" s="213"/>
      <c r="AJ422" s="213"/>
      <c r="AK422" s="213"/>
      <c r="AL422" s="213"/>
      <c r="AM422" s="213"/>
      <c r="AN422" s="213"/>
      <c r="AO422" s="213"/>
      <c r="AP422" s="213" t="str">
        <f>IFERROR(__xludf.DUMMYFUNCTION("""COMPUTED_VALUE"""),"NALDI")</f>
        <v>NALDI</v>
      </c>
      <c r="AQ422" s="213" t="str">
        <f>IFERROR(__xludf.DUMMYFUNCTION("""COMPUTED_VALUE"""),"Solicitar versión de teclado en español")</f>
        <v>Solicitar versión de teclado en español</v>
      </c>
      <c r="AR422" s="213"/>
      <c r="AS422" s="213" t="str">
        <f>IFERROR(__xludf.DUMMYFUNCTION("""COMPUTED_VALUE"""),"Es un formato All in one, no de torre o SFF como solicitan. También se detalla una cotización de case en SFF. No cumple en número de subprocesos (o se podría ofrecer un mejor procesador). Se debe solicitar con TARJETA GRÁFICA DEDICADA MINIMO 4GB VRAM, UNI"&amp;"DAD DVD, TARJETA DE WIFI/BLUETOOTH, MEMORIA RAM 16 GB Y 1 TB SSD. No cuenta con unidad óptica, aunque se puede comprar por separado (o consultar con proveedor si se puede incluir). ")</f>
        <v>Es un formato All in one, no de torre o SFF como solicitan. También se detalla una cotización de case en SFF. No cumple en número de subprocesos (o se podría ofrecer un mejor procesador). Se debe solicitar con TARJETA GRÁFICA DEDICADA MINIMO 4GB VRAM, UNIDAD DVD, TARJETA DE WIFI/BLUETOOTH, MEMORIA RAM 16 GB Y 1 TB SSD. No cuenta con unidad óptica, aunque se puede comprar por separado (o consultar con proveedor si se puede incluir). </v>
      </c>
      <c r="AT422" s="213"/>
      <c r="AU422" s="213"/>
      <c r="AV422" s="213"/>
      <c r="AW422" s="213"/>
      <c r="AX422" s="213"/>
      <c r="AY422" s="213"/>
      <c r="AZ422" s="213"/>
      <c r="BA422" s="213"/>
      <c r="BB422" s="213"/>
      <c r="BC422" s="213"/>
      <c r="BD422" s="213"/>
    </row>
    <row r="423">
      <c r="A423" s="213">
        <f>IFERROR(__xludf.DUMMYFUNCTION("""COMPUTED_VALUE"""),96.0)</f>
        <v>96</v>
      </c>
      <c r="B423" s="213" t="str">
        <f>IFERROR(__xludf.DUMMYFUNCTION("""COMPUTED_VALUE"""),"16449 ELOY SOBERON  FLORES")</f>
        <v>16449 ELOY SOBERON  FLORES</v>
      </c>
      <c r="C423" s="213" t="str">
        <f>IFERROR(__xludf.DUMMYFUNCTION("""COMPUTED_VALUE"""),"TALLER SFT DE COCINA Y REPOSTERÍA")</f>
        <v>TALLER SFT DE COCINA Y REPOSTERÍA</v>
      </c>
      <c r="D423" s="213" t="str">
        <f>IFERROR(__xludf.DUMMYFUNCTION("""COMPUTED_VALUE"""),"EQUIPOS")</f>
        <v>EQUIPOS</v>
      </c>
      <c r="E423" s="213" t="str">
        <f>IFERROR(__xludf.DUMMYFUNCTION("""COMPUTED_VALUE"""),"ESP-133")</f>
        <v>ESP-133</v>
      </c>
      <c r="F423" s="213" t="str">
        <f>IFERROR(__xludf.DUMMYFUNCTION("""COMPUTED_VALUE"""),"ESP-133-X")</f>
        <v>ESP-133-X</v>
      </c>
      <c r="G423" s="213"/>
      <c r="H423" s="213" t="str">
        <f>IFERROR(__xludf.DUMMYFUNCTION("""COMPUTED_VALUE"""),"CONSERVADORA / CONGELADORA PUERTA VIDRIO VERTICAL   55 LT DUAL")</f>
        <v>CONSERVADORA / CONGELADORA PUERTA VIDRIO VERTICAL   55 LT DUAL</v>
      </c>
      <c r="I423" s="213" t="str">
        <f>IFERROR(__xludf.DUMMYFUNCTION("""COMPUTED_VALUE"""),". Fuente de alimentación:Eléctrico, 220 V/60Hz
. Puerta única.
. Dimensiones aproximadas: 600 mm*500 mm*700 mm
. Capacidad minima : 55 L.
. Potencia mínima: 175 W
. Luz interna.
. Estante: 2 estantes ajustables como minimo
. Temperatura:&lt;-18℃
.  Peso apro"&amp;"ximado: 50kg")</f>
        <v>. Fuente de alimentación:Eléctrico, 220 V/60Hz
. Puerta única.
. Dimensiones aproximadas: 600 mm*500 mm*700 mm
. Capacidad minima : 55 L.
. Potencia mínima: 175 W
. Luz interna.
. Estante: 2 estantes ajustables como minimo
. Temperatura:&lt;-18℃
.  Peso aproximado: 50kg</v>
      </c>
      <c r="J423" s="213">
        <f>IFERROR(__xludf.DUMMYFUNCTION("""COMPUTED_VALUE"""),3.0)</f>
        <v>3</v>
      </c>
      <c r="K423" s="213" t="str">
        <f>IFERROR(__xludf.DUMMYFUNCTION("""COMPUTED_VALUE"""),"170 DÍAS CALENDARIO")</f>
        <v>170 DÍAS CALENDARIO</v>
      </c>
      <c r="L423" s="213" t="str">
        <f>IFERROR(__xludf.DUMMYFUNCTION("""COMPUTED_VALUE"""),"")</f>
        <v/>
      </c>
      <c r="M423" s="213">
        <f>IFERROR(__xludf.DUMMYFUNCTION("""COMPUTED_VALUE"""),1.0)</f>
        <v>1</v>
      </c>
      <c r="N423" s="213">
        <f>IFERROR(__xludf.DUMMYFUNCTION("""COMPUTED_VALUE"""),1.0)</f>
        <v>1</v>
      </c>
      <c r="O423" s="213">
        <f>IFERROR(__xludf.DUMMYFUNCTION("""COMPUTED_VALUE"""),1.0)</f>
        <v>1</v>
      </c>
      <c r="P423" s="213"/>
      <c r="Q423" s="213"/>
      <c r="R423" s="213"/>
      <c r="S423" s="213" t="str">
        <f>IFERROR(__xludf.DUMMYFUNCTION("""COMPUTED_VALUE"""),"SI")</f>
        <v>SI</v>
      </c>
      <c r="T423" s="213" t="str">
        <f>IFERROR(__xludf.DUMMYFUNCTION("""COMPUTED_VALUE"""),"SI")</f>
        <v>SI</v>
      </c>
      <c r="U423" s="213" t="str">
        <f>IFERROR(__xludf.DUMMYFUNCTION("""COMPUTED_VALUE"""),"NO")</f>
        <v>NO</v>
      </c>
      <c r="V423" s="213" t="str">
        <f>IFERROR(__xludf.DUMMYFUNCTION("""COMPUTED_VALUE"""),"SUSTENTO")</f>
        <v>SUSTENTO</v>
      </c>
      <c r="W423" s="213" t="str">
        <f>IFERROR(__xludf.DUMMYFUNCTION("""COMPUTED_VALUE"""),"ELÉCTRICO")</f>
        <v>ELÉCTRICO</v>
      </c>
      <c r="X423" s="213" t="str">
        <f>IFERROR(__xludf.DUMMYFUNCTION("""COMPUTED_VALUE"""),"SMAD")</f>
        <v>SMAD</v>
      </c>
      <c r="Y423" s="213" t="str">
        <f>IFERROR(__xludf.DUMMYFUNCTION("""COMPUTED_VALUE"""),"SD55")</f>
        <v>SD55</v>
      </c>
      <c r="Z423" s="215" t="str">
        <f>IFERROR(__xludf.DUMMYFUNCTION("""COMPUTED_VALUE"""),"https://spanish.alibaba.com/product-detail/Freezer-vertical-petty-ice-cream-display-300007542584.html")</f>
        <v>https://spanish.alibaba.com/product-detail/Freezer-vertical-petty-ice-cream-display-300007542584.html</v>
      </c>
      <c r="AA423" s="213" t="str">
        <f>IFERROR(__xludf.DUMMYFUNCTION("""COMPUTED_VALUE"""),"ESP-133-X CONSERVADORA / CONGELADORA PUERTA VIDRIO VERTICAL   55 LT DUAL - CET")</f>
        <v>ESP-133-X CONSERVADORA / CONGELADORA PUERTA VIDRIO VERTICAL   55 LT DUAL - CET</v>
      </c>
      <c r="AB423" s="213"/>
      <c r="AC423" s="213"/>
      <c r="AD423" s="213"/>
      <c r="AE423" s="213"/>
      <c r="AF423" s="213"/>
      <c r="AG423" s="213"/>
      <c r="AH423" s="213" t="str">
        <f>IFERROR(__xludf.DUMMYFUNCTION("""COMPUTED_VALUE"""),"IMPORTADO")</f>
        <v>IMPORTADO</v>
      </c>
      <c r="AI423" s="213"/>
      <c r="AJ423" s="213"/>
      <c r="AK423" s="213"/>
      <c r="AL423" s="213"/>
      <c r="AM423" s="213"/>
      <c r="AN423" s="213"/>
      <c r="AO423" s="213"/>
      <c r="AP423" s="213" t="str">
        <f>IFERROR(__xludf.DUMMYFUNCTION("""COMPUTED_VALUE"""),"JASON")</f>
        <v>JASON</v>
      </c>
      <c r="AQ423" s="213"/>
      <c r="AR423" s="213"/>
      <c r="AS423" s="213"/>
      <c r="AT423" s="213"/>
      <c r="AU423" s="213"/>
      <c r="AV423" s="213"/>
      <c r="AW423" s="213"/>
      <c r="AX423" s="213"/>
      <c r="AY423" s="213"/>
      <c r="AZ423" s="213"/>
      <c r="BA423" s="213"/>
      <c r="BB423" s="213"/>
      <c r="BC423" s="213"/>
      <c r="BD423" s="213"/>
    </row>
    <row r="424">
      <c r="A424" s="213">
        <f>IFERROR(__xludf.DUMMYFUNCTION("""COMPUTED_VALUE"""),550.0)</f>
        <v>550</v>
      </c>
      <c r="B424" s="213" t="str">
        <f>IFERROR(__xludf.DUMMYFUNCTION("""COMPUTED_VALUE"""),"2026 SIMON BOLIVAR")</f>
        <v>2026 SIMON BOLIVAR</v>
      </c>
      <c r="C424" s="213" t="str">
        <f>IFERROR(__xludf.DUMMYFUNCTION("""COMPUTED_VALUE"""),"TALLER SFT DE INDUSTRIA ALIMENTARIA")</f>
        <v>TALLER SFT DE INDUSTRIA ALIMENTARIA</v>
      </c>
      <c r="D424" s="213" t="str">
        <f>IFERROR(__xludf.DUMMYFUNCTION("""COMPUTED_VALUE"""),"EQUIPOS")</f>
        <v>EQUIPOS</v>
      </c>
      <c r="E424" s="213" t="str">
        <f>IFERROR(__xludf.DUMMYFUNCTION("""COMPUTED_VALUE"""),"ESP-133")</f>
        <v>ESP-133</v>
      </c>
      <c r="F424" s="213" t="str">
        <f>IFERROR(__xludf.DUMMYFUNCTION("""COMPUTED_VALUE"""),"ESP-133-Y")</f>
        <v>ESP-133-Y</v>
      </c>
      <c r="G424" s="213"/>
      <c r="H424" s="213" t="str">
        <f>IFERROR(__xludf.DUMMYFUNCTION("""COMPUTED_VALUE"""),"CONSERVADORA / CONGELADORA PUERTA VIDRIO VERTICAL 55 LT DUAL")</f>
        <v>CONSERVADORA / CONGELADORA PUERTA VIDRIO VERTICAL 55 LT DUAL</v>
      </c>
      <c r="I424" s="213" t="str">
        <f>IFERROR(__xludf.DUMMYFUNCTION("""COMPUTED_VALUE"""),".  Fuente de alimentación: Eléctrico,  60Hz 220 V
.  Tipo de descongelación: Descongelación manual
.  Tipo de puerta: Puerta plegable
.  Puerta Nº: Puerta única
.  Dimensiones (L x W x H (Pulgadas):595*505*776mm
.  Capacidad: 55 L
.  Potencia mínima de en"&amp;"trada: 175 W
.  Parte superior de potencia mínima de luz: 8 W
.  Estante: 2 estantes ajustables
.  Refrigerante: R134a/180g
. Temperatura:&lt;-18℃
.  Peso: 46/50kg")</f>
        <v>.  Fuente de alimentación: Eléctrico,  60Hz 220 V
.  Tipo de descongelación: Descongelación manual
.  Tipo de puerta: Puerta plegable
.  Puerta Nº: Puerta única
.  Dimensiones (L x W x H (Pulgadas):595*505*776mm
.  Capacidad: 55 L
.  Potencia mínima de entrada: 175 W
.  Parte superior de potencia mínima de luz: 8 W
.  Estante: 2 estantes ajustables
.  Refrigerante: R134a/180g
. Temperatura:&lt;-18℃
.  Peso: 46/50kg</v>
      </c>
      <c r="J424" s="213">
        <f>IFERROR(__xludf.DUMMYFUNCTION("""COMPUTED_VALUE"""),3.0)</f>
        <v>3</v>
      </c>
      <c r="K424" s="213" t="str">
        <f>IFERROR(__xludf.DUMMYFUNCTION("""COMPUTED_VALUE"""),"170 DÍAS CALENDARIO")</f>
        <v>170 DÍAS CALENDARIO</v>
      </c>
      <c r="L424" s="213" t="str">
        <f>IFERROR(__xludf.DUMMYFUNCTION("""COMPUTED_VALUE"""),"")</f>
        <v/>
      </c>
      <c r="M424" s="213">
        <f>IFERROR(__xludf.DUMMYFUNCTION("""COMPUTED_VALUE"""),1.0)</f>
        <v>1</v>
      </c>
      <c r="N424" s="213">
        <f>IFERROR(__xludf.DUMMYFUNCTION("""COMPUTED_VALUE"""),1.0)</f>
        <v>1</v>
      </c>
      <c r="O424" s="213">
        <f>IFERROR(__xludf.DUMMYFUNCTION("""COMPUTED_VALUE"""),1.0)</f>
        <v>1</v>
      </c>
      <c r="P424" s="213"/>
      <c r="Q424" s="213"/>
      <c r="R424" s="213"/>
      <c r="S424" s="213" t="str">
        <f>IFERROR(__xludf.DUMMYFUNCTION("""COMPUTED_VALUE"""),"SI")</f>
        <v>SI</v>
      </c>
      <c r="T424" s="213" t="str">
        <f>IFERROR(__xludf.DUMMYFUNCTION("""COMPUTED_VALUE"""),"SI")</f>
        <v>SI</v>
      </c>
      <c r="U424" s="213" t="str">
        <f>IFERROR(__xludf.DUMMYFUNCTION("""COMPUTED_VALUE"""),"NO")</f>
        <v>NO</v>
      </c>
      <c r="V424" s="213" t="str">
        <f>IFERROR(__xludf.DUMMYFUNCTION("""COMPUTED_VALUE"""),"SUSTENTO")</f>
        <v>SUSTENTO</v>
      </c>
      <c r="W424" s="213" t="str">
        <f>IFERROR(__xludf.DUMMYFUNCTION("""COMPUTED_VALUE"""),"DIMENSIONAL, ELÉCTRICO")</f>
        <v>DIMENSIONAL, ELÉCTRICO</v>
      </c>
      <c r="X424" s="213" t="str">
        <f>IFERROR(__xludf.DUMMYFUNCTION("""COMPUTED_VALUE"""),"SMAD")</f>
        <v>SMAD</v>
      </c>
      <c r="Y424" s="213" t="str">
        <f>IFERROR(__xludf.DUMMYFUNCTION("""COMPUTED_VALUE"""),"SD55")</f>
        <v>SD55</v>
      </c>
      <c r="Z424" s="215" t="str">
        <f>IFERROR(__xludf.DUMMYFUNCTION("""COMPUTED_VALUE"""),"https://spanish.alibaba.com/product-detail/Freezer-vertical-petty-ice-cream-display-300007542584.html")</f>
        <v>https://spanish.alibaba.com/product-detail/Freezer-vertical-petty-ice-cream-display-300007542584.html</v>
      </c>
      <c r="AA424" s="213" t="str">
        <f>IFERROR(__xludf.DUMMYFUNCTION("""COMPUTED_VALUE"""),"ESP-133-Y CONSERVADORA / CONGELADORA PUERTA VIDRIO VERTICAL   55 LT DUAL - CET")</f>
        <v>ESP-133-Y CONSERVADORA / CONGELADORA PUERTA VIDRIO VERTICAL   55 LT DUAL - CET</v>
      </c>
      <c r="AB424" s="213"/>
      <c r="AC424" s="213"/>
      <c r="AD424" s="213"/>
      <c r="AE424" s="213"/>
      <c r="AF424" s="213"/>
      <c r="AG424" s="213"/>
      <c r="AH424" s="213" t="str">
        <f>IFERROR(__xludf.DUMMYFUNCTION("""COMPUTED_VALUE"""),"IMPORTADO")</f>
        <v>IMPORTADO</v>
      </c>
      <c r="AI424" s="213"/>
      <c r="AJ424" s="213"/>
      <c r="AK424" s="213"/>
      <c r="AL424" s="213"/>
      <c r="AM424" s="213"/>
      <c r="AN424" s="213"/>
      <c r="AO424" s="213"/>
      <c r="AP424" s="213" t="str">
        <f>IFERROR(__xludf.DUMMYFUNCTION("""COMPUTED_VALUE"""),"NALDI")</f>
        <v>NALDI</v>
      </c>
      <c r="AQ424" s="213"/>
      <c r="AR424" s="213"/>
      <c r="AS424" s="213"/>
      <c r="AT424" s="213"/>
      <c r="AU424" s="213"/>
      <c r="AV424" s="213"/>
      <c r="AW424" s="213"/>
      <c r="AX424" s="213"/>
      <c r="AY424" s="213"/>
      <c r="AZ424" s="213"/>
      <c r="BA424" s="213"/>
      <c r="BB424" s="213"/>
      <c r="BC424" s="213"/>
      <c r="BD424" s="213"/>
    </row>
    <row r="425">
      <c r="A425" s="213">
        <f>IFERROR(__xludf.DUMMYFUNCTION("""COMPUTED_VALUE"""),1177.0)</f>
        <v>1177</v>
      </c>
      <c r="B425" s="213" t="str">
        <f>IFERROR(__xludf.DUMMYFUNCTION("""COMPUTED_VALUE"""),"FRANCISCO IRAZOLA")</f>
        <v>FRANCISCO IRAZOLA</v>
      </c>
      <c r="C425" s="213" t="str">
        <f>IFERROR(__xludf.DUMMYFUNCTION("""COMPUTED_VALUE"""),"TALLER SFT DE INDUSTRIA ALIMENTARIA")</f>
        <v>TALLER SFT DE INDUSTRIA ALIMENTARIA</v>
      </c>
      <c r="D425" s="213" t="str">
        <f>IFERROR(__xludf.DUMMYFUNCTION("""COMPUTED_VALUE"""),"EQUIPOS")</f>
        <v>EQUIPOS</v>
      </c>
      <c r="E425" s="213" t="str">
        <f>IFERROR(__xludf.DUMMYFUNCTION("""COMPUTED_VALUE"""),"ESP-133")</f>
        <v>ESP-133</v>
      </c>
      <c r="F425" s="213" t="str">
        <f>IFERROR(__xludf.DUMMYFUNCTION("""COMPUTED_VALUE"""),"ESP-133-Y")</f>
        <v>ESP-133-Y</v>
      </c>
      <c r="G425" s="213"/>
      <c r="H425" s="213" t="str">
        <f>IFERROR(__xludf.DUMMYFUNCTION("""COMPUTED_VALUE"""),"CONSERVADORA / CONGELADORA PUERTA VIDRIO VERTICAL 55 LT DUAL")</f>
        <v>CONSERVADORA / CONGELADORA PUERTA VIDRIO VERTICAL 55 LT DUAL</v>
      </c>
      <c r="I425" s="213" t="str">
        <f>IFERROR(__xludf.DUMMYFUNCTION("""COMPUTED_VALUE"""),".  Fuente de alimentación: Eléctrico,  60Hz 220 V
.  Tipo de descongelación: Descongelación manual
.  Tipo de puerta: Puerta plegable
.  Puerta Nº: Puerta única
.  Dimensiones (L x W x H (Pulgadas):595*505*776mm
.  Capacidad: 55 L
.  Potencia mínima de en"&amp;"trada: 175 W
.  Parte superior de potencia mínima de luz: 8 W
.  Estante: 2 estantes ajustables
.  Refrigerante: R134a/180g
. Temperatura:&lt;-18℃
.  Peso: 46/50kg")</f>
        <v>.  Fuente de alimentación: Eléctrico,  60Hz 220 V
.  Tipo de descongelación: Descongelación manual
.  Tipo de puerta: Puerta plegable
.  Puerta Nº: Puerta única
.  Dimensiones (L x W x H (Pulgadas):595*505*776mm
.  Capacidad: 55 L
.  Potencia mínima de entrada: 175 W
.  Parte superior de potencia mínima de luz: 8 W
.  Estante: 2 estantes ajustables
.  Refrigerante: R134a/180g
. Temperatura:&lt;-18℃
.  Peso: 46/50kg</v>
      </c>
      <c r="J425" s="213">
        <f>IFERROR(__xludf.DUMMYFUNCTION("""COMPUTED_VALUE"""),3.0)</f>
        <v>3</v>
      </c>
      <c r="K425" s="213" t="str">
        <f>IFERROR(__xludf.DUMMYFUNCTION("""COMPUTED_VALUE"""),"170 DÍAS CALENDARIO")</f>
        <v>170 DÍAS CALENDARIO</v>
      </c>
      <c r="L425" s="213" t="str">
        <f>IFERROR(__xludf.DUMMYFUNCTION("""COMPUTED_VALUE"""),"")</f>
        <v/>
      </c>
      <c r="M425" s="213">
        <f>IFERROR(__xludf.DUMMYFUNCTION("""COMPUTED_VALUE"""),1.0)</f>
        <v>1</v>
      </c>
      <c r="N425" s="213">
        <f>IFERROR(__xludf.DUMMYFUNCTION("""COMPUTED_VALUE"""),1.0)</f>
        <v>1</v>
      </c>
      <c r="O425" s="213">
        <f>IFERROR(__xludf.DUMMYFUNCTION("""COMPUTED_VALUE"""),1.0)</f>
        <v>1</v>
      </c>
      <c r="P425" s="213"/>
      <c r="Q425" s="213"/>
      <c r="R425" s="213"/>
      <c r="S425" s="213" t="str">
        <f>IFERROR(__xludf.DUMMYFUNCTION("""COMPUTED_VALUE"""),"SI")</f>
        <v>SI</v>
      </c>
      <c r="T425" s="213" t="str">
        <f>IFERROR(__xludf.DUMMYFUNCTION("""COMPUTED_VALUE"""),"SI")</f>
        <v>SI</v>
      </c>
      <c r="U425" s="213" t="str">
        <f>IFERROR(__xludf.DUMMYFUNCTION("""COMPUTED_VALUE"""),"NO")</f>
        <v>NO</v>
      </c>
      <c r="V425" s="213" t="str">
        <f>IFERROR(__xludf.DUMMYFUNCTION("""COMPUTED_VALUE"""),"SUSTENTO")</f>
        <v>SUSTENTO</v>
      </c>
      <c r="W425" s="213" t="str">
        <f>IFERROR(__xludf.DUMMYFUNCTION("""COMPUTED_VALUE"""),"DIMENSIONAL, ELÉCTRICO")</f>
        <v>DIMENSIONAL, ELÉCTRICO</v>
      </c>
      <c r="X425" s="213" t="str">
        <f>IFERROR(__xludf.DUMMYFUNCTION("""COMPUTED_VALUE"""),"SMAD")</f>
        <v>SMAD</v>
      </c>
      <c r="Y425" s="213" t="str">
        <f>IFERROR(__xludf.DUMMYFUNCTION("""COMPUTED_VALUE"""),"SD55")</f>
        <v>SD55</v>
      </c>
      <c r="Z425" s="215" t="str">
        <f>IFERROR(__xludf.DUMMYFUNCTION("""COMPUTED_VALUE"""),"https://spanish.alibaba.com/product-detail/Freezer-vertical-petty-ice-cream-display-300007542584.html")</f>
        <v>https://spanish.alibaba.com/product-detail/Freezer-vertical-petty-ice-cream-display-300007542584.html</v>
      </c>
      <c r="AA425" s="213" t="str">
        <f>IFERROR(__xludf.DUMMYFUNCTION("""COMPUTED_VALUE"""),"ESP-133-Y CONSERVADORA / CONGELADORA PUERTA VIDRIO VERTICAL   55 LT DUAL - CET")</f>
        <v>ESP-133-Y CONSERVADORA / CONGELADORA PUERTA VIDRIO VERTICAL   55 LT DUAL - CET</v>
      </c>
      <c r="AB425" s="213"/>
      <c r="AC425" s="213"/>
      <c r="AD425" s="213"/>
      <c r="AE425" s="213"/>
      <c r="AF425" s="213"/>
      <c r="AG425" s="213"/>
      <c r="AH425" s="213" t="str">
        <f>IFERROR(__xludf.DUMMYFUNCTION("""COMPUTED_VALUE"""),"IMPORTADO")</f>
        <v>IMPORTADO</v>
      </c>
      <c r="AI425" s="213"/>
      <c r="AJ425" s="213"/>
      <c r="AK425" s="213"/>
      <c r="AL425" s="213"/>
      <c r="AM425" s="213"/>
      <c r="AN425" s="213"/>
      <c r="AO425" s="213"/>
      <c r="AP425" s="213" t="str">
        <f>IFERROR(__xludf.DUMMYFUNCTION("""COMPUTED_VALUE"""),"NALDI")</f>
        <v>NALDI</v>
      </c>
      <c r="AQ425" s="213"/>
      <c r="AR425" s="213"/>
      <c r="AS425" s="213"/>
      <c r="AT425" s="213"/>
      <c r="AU425" s="213"/>
      <c r="AV425" s="213"/>
      <c r="AW425" s="213"/>
      <c r="AX425" s="213"/>
      <c r="AY425" s="213"/>
      <c r="AZ425" s="213"/>
      <c r="BA425" s="213"/>
      <c r="BB425" s="213"/>
      <c r="BC425" s="213"/>
      <c r="BD425" s="213"/>
    </row>
    <row r="426">
      <c r="A426" s="213">
        <f>IFERROR(__xludf.DUMMYFUNCTION("""COMPUTED_VALUE"""),1452.0)</f>
        <v>1452</v>
      </c>
      <c r="B426" s="213" t="str">
        <f>IFERROR(__xludf.DUMMYFUNCTION("""COMPUTED_VALUE"""),"GUILLERMO E. BILLINGHURST ")</f>
        <v>GUILLERMO E. BILLINGHURST </v>
      </c>
      <c r="C426" s="213" t="str">
        <f>IFERROR(__xludf.DUMMYFUNCTION("""COMPUTED_VALUE"""),"TALLER SFT DE INDUSTRIA ALIMENTARIA")</f>
        <v>TALLER SFT DE INDUSTRIA ALIMENTARIA</v>
      </c>
      <c r="D426" s="213" t="str">
        <f>IFERROR(__xludf.DUMMYFUNCTION("""COMPUTED_VALUE"""),"EQUIPOS")</f>
        <v>EQUIPOS</v>
      </c>
      <c r="E426" s="213" t="str">
        <f>IFERROR(__xludf.DUMMYFUNCTION("""COMPUTED_VALUE"""),"ESP-133")</f>
        <v>ESP-133</v>
      </c>
      <c r="F426" s="213" t="str">
        <f>IFERROR(__xludf.DUMMYFUNCTION("""COMPUTED_VALUE"""),"ESP-133-Y")</f>
        <v>ESP-133-Y</v>
      </c>
      <c r="G426" s="213"/>
      <c r="H426" s="213" t="str">
        <f>IFERROR(__xludf.DUMMYFUNCTION("""COMPUTED_VALUE"""),"CONSERVADORA / CONGELADORA PUERTA VIDRIO VERTICAL 55 LT DUAL")</f>
        <v>CONSERVADORA / CONGELADORA PUERTA VIDRIO VERTICAL 55 LT DUAL</v>
      </c>
      <c r="I426" s="213" t="str">
        <f>IFERROR(__xludf.DUMMYFUNCTION("""COMPUTED_VALUE"""),".  Fuente de alimentación: Eléctrico,  60Hz 220 V
.  Tipo de descongelación: Descongelación manual
.  Tipo de puerta: Puerta plegable
.  Puerta Nº: Puerta única
.  Dimensiones (L x W x H (Pulgadas):595*505*776mm
.  Capacidad: 55 L
.  Potencia mínima de en"&amp;"trada: 175 W
.  Parte superior de potencia mínima de luz: 8 W
.  Estante: 2 estantes ajustables
.  Refrigerante: R134a/180g
. Temperatura:&lt;-18℃
.  Peso: 46/50kg")</f>
        <v>.  Fuente de alimentación: Eléctrico,  60Hz 220 V
.  Tipo de descongelación: Descongelación manual
.  Tipo de puerta: Puerta plegable
.  Puerta Nº: Puerta única
.  Dimensiones (L x W x H (Pulgadas):595*505*776mm
.  Capacidad: 55 L
.  Potencia mínima de entrada: 175 W
.  Parte superior de potencia mínima de luz: 8 W
.  Estante: 2 estantes ajustables
.  Refrigerante: R134a/180g
. Temperatura:&lt;-18℃
.  Peso: 46/50kg</v>
      </c>
      <c r="J426" s="213">
        <f>IFERROR(__xludf.DUMMYFUNCTION("""COMPUTED_VALUE"""),3.0)</f>
        <v>3</v>
      </c>
      <c r="K426" s="213" t="str">
        <f>IFERROR(__xludf.DUMMYFUNCTION("""COMPUTED_VALUE"""),"170 DÍAS CALENDARIO")</f>
        <v>170 DÍAS CALENDARIO</v>
      </c>
      <c r="L426" s="213" t="str">
        <f>IFERROR(__xludf.DUMMYFUNCTION("""COMPUTED_VALUE"""),"")</f>
        <v/>
      </c>
      <c r="M426" s="213">
        <f>IFERROR(__xludf.DUMMYFUNCTION("""COMPUTED_VALUE"""),1.0)</f>
        <v>1</v>
      </c>
      <c r="N426" s="213">
        <f>IFERROR(__xludf.DUMMYFUNCTION("""COMPUTED_VALUE"""),1.0)</f>
        <v>1</v>
      </c>
      <c r="O426" s="213">
        <f>IFERROR(__xludf.DUMMYFUNCTION("""COMPUTED_VALUE"""),1.0)</f>
        <v>1</v>
      </c>
      <c r="P426" s="213"/>
      <c r="Q426" s="213"/>
      <c r="R426" s="213"/>
      <c r="S426" s="213" t="str">
        <f>IFERROR(__xludf.DUMMYFUNCTION("""COMPUTED_VALUE"""),"SI")</f>
        <v>SI</v>
      </c>
      <c r="T426" s="213" t="str">
        <f>IFERROR(__xludf.DUMMYFUNCTION("""COMPUTED_VALUE"""),"SI")</f>
        <v>SI</v>
      </c>
      <c r="U426" s="213" t="str">
        <f>IFERROR(__xludf.DUMMYFUNCTION("""COMPUTED_VALUE"""),"NO")</f>
        <v>NO</v>
      </c>
      <c r="V426" s="213" t="str">
        <f>IFERROR(__xludf.DUMMYFUNCTION("""COMPUTED_VALUE"""),"SUSTENTO")</f>
        <v>SUSTENTO</v>
      </c>
      <c r="W426" s="213" t="str">
        <f>IFERROR(__xludf.DUMMYFUNCTION("""COMPUTED_VALUE"""),"DIMENSIONAL, ELÉCTRICO")</f>
        <v>DIMENSIONAL, ELÉCTRICO</v>
      </c>
      <c r="X426" s="213" t="str">
        <f>IFERROR(__xludf.DUMMYFUNCTION("""COMPUTED_VALUE"""),"SMAD")</f>
        <v>SMAD</v>
      </c>
      <c r="Y426" s="213" t="str">
        <f>IFERROR(__xludf.DUMMYFUNCTION("""COMPUTED_VALUE"""),"SD55")</f>
        <v>SD55</v>
      </c>
      <c r="Z426" s="215" t="str">
        <f>IFERROR(__xludf.DUMMYFUNCTION("""COMPUTED_VALUE"""),"https://spanish.alibaba.com/product-detail/Freezer-vertical-petty-ice-cream-display-300007542584.html")</f>
        <v>https://spanish.alibaba.com/product-detail/Freezer-vertical-petty-ice-cream-display-300007542584.html</v>
      </c>
      <c r="AA426" s="213" t="str">
        <f>IFERROR(__xludf.DUMMYFUNCTION("""COMPUTED_VALUE"""),"ESP-133-Y CONSERVADORA / CONGELADORA PUERTA VIDRIO VERTICAL   55 LT DUAL - CET")</f>
        <v>ESP-133-Y CONSERVADORA / CONGELADORA PUERTA VIDRIO VERTICAL   55 LT DUAL - CET</v>
      </c>
      <c r="AB426" s="213"/>
      <c r="AC426" s="213"/>
      <c r="AD426" s="213"/>
      <c r="AE426" s="213"/>
      <c r="AF426" s="213"/>
      <c r="AG426" s="213"/>
      <c r="AH426" s="213" t="str">
        <f>IFERROR(__xludf.DUMMYFUNCTION("""COMPUTED_VALUE"""),"IMPORTADO")</f>
        <v>IMPORTADO</v>
      </c>
      <c r="AI426" s="213"/>
      <c r="AJ426" s="213"/>
      <c r="AK426" s="213"/>
      <c r="AL426" s="213"/>
      <c r="AM426" s="213"/>
      <c r="AN426" s="213"/>
      <c r="AO426" s="213"/>
      <c r="AP426" s="213" t="str">
        <f>IFERROR(__xludf.DUMMYFUNCTION("""COMPUTED_VALUE"""),"NALDI")</f>
        <v>NALDI</v>
      </c>
      <c r="AQ426" s="213"/>
      <c r="AR426" s="213"/>
      <c r="AS426" s="213"/>
      <c r="AT426" s="213"/>
      <c r="AU426" s="213"/>
      <c r="AV426" s="213"/>
      <c r="AW426" s="213"/>
      <c r="AX426" s="213"/>
      <c r="AY426" s="213"/>
      <c r="AZ426" s="213"/>
      <c r="BA426" s="213"/>
      <c r="BB426" s="213"/>
      <c r="BC426" s="213"/>
      <c r="BD426" s="213"/>
    </row>
    <row r="427">
      <c r="A427" s="213">
        <f>IFERROR(__xludf.DUMMYFUNCTION("""COMPUTED_VALUE"""),2139.0)</f>
        <v>2139</v>
      </c>
      <c r="B427" s="213" t="str">
        <f>IFERROR(__xludf.DUMMYFUNCTION("""COMPUTED_VALUE"""),"JOSE GRANDA")</f>
        <v>JOSE GRANDA</v>
      </c>
      <c r="C427" s="213" t="str">
        <f>IFERROR(__xludf.DUMMYFUNCTION("""COMPUTED_VALUE"""),"TALLER SFT DE INDUSTRIA ALIMENTARIA")</f>
        <v>TALLER SFT DE INDUSTRIA ALIMENTARIA</v>
      </c>
      <c r="D427" s="213" t="str">
        <f>IFERROR(__xludf.DUMMYFUNCTION("""COMPUTED_VALUE"""),"EQUIPOS")</f>
        <v>EQUIPOS</v>
      </c>
      <c r="E427" s="213" t="str">
        <f>IFERROR(__xludf.DUMMYFUNCTION("""COMPUTED_VALUE"""),"ESP-133")</f>
        <v>ESP-133</v>
      </c>
      <c r="F427" s="213" t="str">
        <f>IFERROR(__xludf.DUMMYFUNCTION("""COMPUTED_VALUE"""),"ESP-133-Y")</f>
        <v>ESP-133-Y</v>
      </c>
      <c r="G427" s="213"/>
      <c r="H427" s="213" t="str">
        <f>IFERROR(__xludf.DUMMYFUNCTION("""COMPUTED_VALUE"""),"CONSERVADORA / CONGELADORA PUERTA VIDRIO VERTICAL 55 LT DUAL")</f>
        <v>CONSERVADORA / CONGELADORA PUERTA VIDRIO VERTICAL 55 LT DUAL</v>
      </c>
      <c r="I427" s="213" t="str">
        <f>IFERROR(__xludf.DUMMYFUNCTION("""COMPUTED_VALUE"""),".  Fuente de alimentación: Eléctrico,  60Hz 220 V
.  Tipo de descongelación: Descongelación manual
.  Tipo de puerta: Puerta plegable
.  Puerta Nº: Puerta única
.  Dimensiones (L x W x H (Pulgadas):595*505*776mm
.  Capacidad: 55 L
.  Potencia mínima de en"&amp;"trada: 175 W
.  Parte superior de potencia mínima de luz: 8 W
.  Estante: 2 estantes ajustables
.  Refrigerante: R134a/180g
. Temperatura:&lt;-18℃
.  Peso: 46/50kg")</f>
        <v>.  Fuente de alimentación: Eléctrico,  60Hz 220 V
.  Tipo de descongelación: Descongelación manual
.  Tipo de puerta: Puerta plegable
.  Puerta Nº: Puerta única
.  Dimensiones (L x W x H (Pulgadas):595*505*776mm
.  Capacidad: 55 L
.  Potencia mínima de entrada: 175 W
.  Parte superior de potencia mínima de luz: 8 W
.  Estante: 2 estantes ajustables
.  Refrigerante: R134a/180g
. Temperatura:&lt;-18℃
.  Peso: 46/50kg</v>
      </c>
      <c r="J427" s="213">
        <f>IFERROR(__xludf.DUMMYFUNCTION("""COMPUTED_VALUE"""),3.0)</f>
        <v>3</v>
      </c>
      <c r="K427" s="213" t="str">
        <f>IFERROR(__xludf.DUMMYFUNCTION("""COMPUTED_VALUE"""),"170 DÍAS CALENDARIO")</f>
        <v>170 DÍAS CALENDARIO</v>
      </c>
      <c r="L427" s="213" t="str">
        <f>IFERROR(__xludf.DUMMYFUNCTION("""COMPUTED_VALUE"""),"")</f>
        <v/>
      </c>
      <c r="M427" s="213">
        <f>IFERROR(__xludf.DUMMYFUNCTION("""COMPUTED_VALUE"""),1.0)</f>
        <v>1</v>
      </c>
      <c r="N427" s="213">
        <f>IFERROR(__xludf.DUMMYFUNCTION("""COMPUTED_VALUE"""),1.0)</f>
        <v>1</v>
      </c>
      <c r="O427" s="213">
        <f>IFERROR(__xludf.DUMMYFUNCTION("""COMPUTED_VALUE"""),1.0)</f>
        <v>1</v>
      </c>
      <c r="P427" s="213"/>
      <c r="Q427" s="213"/>
      <c r="R427" s="213"/>
      <c r="S427" s="213" t="str">
        <f>IFERROR(__xludf.DUMMYFUNCTION("""COMPUTED_VALUE"""),"SI")</f>
        <v>SI</v>
      </c>
      <c r="T427" s="213" t="str">
        <f>IFERROR(__xludf.DUMMYFUNCTION("""COMPUTED_VALUE"""),"SI")</f>
        <v>SI</v>
      </c>
      <c r="U427" s="213" t="str">
        <f>IFERROR(__xludf.DUMMYFUNCTION("""COMPUTED_VALUE"""),"NO")</f>
        <v>NO</v>
      </c>
      <c r="V427" s="213" t="str">
        <f>IFERROR(__xludf.DUMMYFUNCTION("""COMPUTED_VALUE"""),"SUSTENTO")</f>
        <v>SUSTENTO</v>
      </c>
      <c r="W427" s="213" t="str">
        <f>IFERROR(__xludf.DUMMYFUNCTION("""COMPUTED_VALUE"""),"DIMENSIONAL, ELÉCTRICO")</f>
        <v>DIMENSIONAL, ELÉCTRICO</v>
      </c>
      <c r="X427" s="213" t="str">
        <f>IFERROR(__xludf.DUMMYFUNCTION("""COMPUTED_VALUE"""),"SMAD")</f>
        <v>SMAD</v>
      </c>
      <c r="Y427" s="213" t="str">
        <f>IFERROR(__xludf.DUMMYFUNCTION("""COMPUTED_VALUE"""),"SD55")</f>
        <v>SD55</v>
      </c>
      <c r="Z427" s="215" t="str">
        <f>IFERROR(__xludf.DUMMYFUNCTION("""COMPUTED_VALUE"""),"https://spanish.alibaba.com/product-detail/Freezer-vertical-petty-ice-cream-display-300007542584.html")</f>
        <v>https://spanish.alibaba.com/product-detail/Freezer-vertical-petty-ice-cream-display-300007542584.html</v>
      </c>
      <c r="AA427" s="213" t="str">
        <f>IFERROR(__xludf.DUMMYFUNCTION("""COMPUTED_VALUE"""),"ESP-133-Y CONSERVADORA / CONGELADORA PUERTA VIDRIO VERTICAL   55 LT DUAL - CET")</f>
        <v>ESP-133-Y CONSERVADORA / CONGELADORA PUERTA VIDRIO VERTICAL   55 LT DUAL - CET</v>
      </c>
      <c r="AB427" s="213"/>
      <c r="AC427" s="213"/>
      <c r="AD427" s="213"/>
      <c r="AE427" s="213"/>
      <c r="AF427" s="213"/>
      <c r="AG427" s="213"/>
      <c r="AH427" s="213" t="str">
        <f>IFERROR(__xludf.DUMMYFUNCTION("""COMPUTED_VALUE"""),"IMPORTADO")</f>
        <v>IMPORTADO</v>
      </c>
      <c r="AI427" s="213"/>
      <c r="AJ427" s="213"/>
      <c r="AK427" s="213"/>
      <c r="AL427" s="213"/>
      <c r="AM427" s="213"/>
      <c r="AN427" s="213"/>
      <c r="AO427" s="213"/>
      <c r="AP427" s="213" t="str">
        <f>IFERROR(__xludf.DUMMYFUNCTION("""COMPUTED_VALUE"""),"NALDI")</f>
        <v>NALDI</v>
      </c>
      <c r="AQ427" s="213"/>
      <c r="AR427" s="213"/>
      <c r="AS427" s="213"/>
      <c r="AT427" s="213"/>
      <c r="AU427" s="213"/>
      <c r="AV427" s="213"/>
      <c r="AW427" s="213"/>
      <c r="AX427" s="213"/>
      <c r="AY427" s="213"/>
      <c r="AZ427" s="213"/>
      <c r="BA427" s="213"/>
      <c r="BB427" s="213"/>
      <c r="BC427" s="213"/>
      <c r="BD427" s="213"/>
    </row>
    <row r="428">
      <c r="A428" s="213">
        <f>IFERROR(__xludf.DUMMYFUNCTION("""COMPUTED_VALUE"""),277.0)</f>
        <v>277</v>
      </c>
      <c r="B428" s="213" t="str">
        <f>IFERROR(__xludf.DUMMYFUNCTION("""COMPUTED_VALUE"""),"2026 SIMON BOLIVAR")</f>
        <v>2026 SIMON BOLIVAR</v>
      </c>
      <c r="C428" s="213" t="str">
        <f>IFERROR(__xludf.DUMMYFUNCTION("""COMPUTED_VALUE"""),"TALLER SFT DE COMPUTACIÓN E INFORMÁTICA")</f>
        <v>TALLER SFT DE COMPUTACIÓN E INFORMÁTICA</v>
      </c>
      <c r="D428" s="213" t="str">
        <f>IFERROR(__xludf.DUMMYFUNCTION("""COMPUTED_VALUE"""),"EQUIPOS")</f>
        <v>EQUIPOS</v>
      </c>
      <c r="E428" s="213" t="str">
        <f>IFERROR(__xludf.DUMMYFUNCTION("""COMPUTED_VALUE"""),"ESP-134")</f>
        <v>ESP-134</v>
      </c>
      <c r="F428" s="213" t="str">
        <f>IFERROR(__xludf.DUMMYFUNCTION("""COMPUTED_VALUE"""),"ESP-134")</f>
        <v>ESP-134</v>
      </c>
      <c r="G428" s="213"/>
      <c r="H428" s="213" t="str">
        <f>IFERROR(__xludf.DUMMYFUNCTION("""COMPUTED_VALUE"""),"CONSOLA DE SONIDO")</f>
        <v>CONSOLA DE SONIDO</v>
      </c>
      <c r="I428" s="213"/>
      <c r="J428" s="213">
        <f>IFERROR(__xludf.DUMMYFUNCTION("""COMPUTED_VALUE"""),3.0)</f>
        <v>3</v>
      </c>
      <c r="K428" s="213" t="str">
        <f>IFERROR(__xludf.DUMMYFUNCTION("""COMPUTED_VALUE"""),"170 DÍAS CALENDARIO")</f>
        <v>170 DÍAS CALENDARIO</v>
      </c>
      <c r="L428" s="213" t="str">
        <f>IFERROR(__xludf.DUMMYFUNCTION("""COMPUTED_VALUE"""),"")</f>
        <v/>
      </c>
      <c r="M428" s="213">
        <f>IFERROR(__xludf.DUMMYFUNCTION("""COMPUTED_VALUE"""),1.0)</f>
        <v>1</v>
      </c>
      <c r="N428" s="213">
        <f>IFERROR(__xludf.DUMMYFUNCTION("""COMPUTED_VALUE"""),1.0)</f>
        <v>1</v>
      </c>
      <c r="O428" s="213">
        <f>IFERROR(__xludf.DUMMYFUNCTION("""COMPUTED_VALUE"""),1.0)</f>
        <v>1</v>
      </c>
      <c r="P428" s="213"/>
      <c r="Q428" s="213"/>
      <c r="R428" s="213"/>
      <c r="S428" s="213" t="str">
        <f>IFERROR(__xludf.DUMMYFUNCTION("""COMPUTED_VALUE"""),"SI")</f>
        <v>SI</v>
      </c>
      <c r="T428" s="213" t="str">
        <f>IFERROR(__xludf.DUMMYFUNCTION("""COMPUTED_VALUE"""),"CONSULTA FINAL")</f>
        <v>CONSULTA FINAL</v>
      </c>
      <c r="U428" s="213"/>
      <c r="V428" s="213"/>
      <c r="W428" s="213"/>
      <c r="X428" s="213" t="str">
        <f>IFERROR(__xludf.DUMMYFUNCTION("""COMPUTED_VALUE"""),"SOOOM")</f>
        <v>SOOOM</v>
      </c>
      <c r="Y428" s="213" t="str">
        <f>IFERROR(__xludf.DUMMYFUNCTION("""COMPUTED_VALUE"""),"MXB8")</f>
        <v>MXB8</v>
      </c>
      <c r="Z428" s="215" t="str">
        <f>IFERROR(__xludf.DUMMYFUNCTION("""COMPUTED_VALUE"""),"https://insumosfirstpro.com/shop/computer-office/mezcladora-sooom-mxb8/")</f>
        <v>https://insumosfirstpro.com/shop/computer-office/mezcladora-sooom-mxb8/</v>
      </c>
      <c r="AA428" s="213" t="str">
        <f>IFERROR(__xludf.DUMMYFUNCTION("""COMPUTED_VALUE"""),"ESP-134 CONSOLA DE SONIDO - CET")</f>
        <v>ESP-134 CONSOLA DE SONIDO - CET</v>
      </c>
      <c r="AB428" s="213"/>
      <c r="AC428" s="213"/>
      <c r="AD428" s="213"/>
      <c r="AE428" s="213"/>
      <c r="AF428" s="213"/>
      <c r="AG428" s="213"/>
      <c r="AH428" s="213"/>
      <c r="AI428" s="213"/>
      <c r="AJ428" s="213"/>
      <c r="AK428" s="213"/>
      <c r="AL428" s="213"/>
      <c r="AM428" s="213"/>
      <c r="AN428" s="213"/>
      <c r="AO428" s="213"/>
      <c r="AP428" s="213" t="str">
        <f>IFERROR(__xludf.DUMMYFUNCTION("""COMPUTED_VALUE"""),"MICHEL")</f>
        <v>MICHEL</v>
      </c>
      <c r="AQ428" s="213" t="str">
        <f>IFERROR(__xludf.DUMMYFUNCTION("""COMPUTED_VALUE"""),"El amplificador de audifonos también necesita de un enchufe. ")</f>
        <v>El amplificador de audifonos también necesita de un enchufe. </v>
      </c>
      <c r="AR428" s="213"/>
      <c r="AS428" s="217" t="str">
        <f>IFERROR(__xludf.DUMMYFUNCTION("""COMPUTED_VALUE"""),"Salida para 4 audífonos - Pearstone HBOX-4000 4-Channel Stereo Headphone Amplifier
Cable Stereo de 2 metros con conectores Plug TRS a 2 Plug TS (para conectar la consola con el amplificador de 4 audífonos)
2 cables XLR con terminal Canon.
2 cables para au"&amp;"dio con: terminal mini plug en un exremo y 2 terminales plug o jack del otro extremo.
2 cables para audio con: terminal mini plug en un extremo y 2 terminales RCA en el otro extremo.
1 cabe USB para conectar al computador.
2 conectores para adaptar los te"&amp;"rminales RCA a Plug.")</f>
        <v>Salida para 4 audífonos - Pearstone HBOX-4000 4-Channel Stereo Headphone Amplifier
Cable Stereo de 2 metros con conectores Plug TRS a 2 Plug TS (para conectar la consola con el amplificador de 4 audífonos)
2 cables XLR con terminal Canon.
2 cables para audio con: terminal mini plug en un exremo y 2 terminales plug o jack del otro extremo.
2 cables para audio con: terminal mini plug en un extremo y 2 terminales RCA en el otro extremo.
1 cabe USB para conectar al computador.
2 conectores para adaptar los terminales RCA a Plug.</v>
      </c>
      <c r="AT428" s="217" t="str">
        <f>IFERROR(__xludf.DUMMYFUNCTION("""COMPUTED_VALUE"""),"https://www.bhphotovideo.com/c/product/1367638-REG/pearstone_hbox_4000_mini_headphone_amp_4_channel.html
https://www.audioproperu.com/producto/cable-stereo-de-2-metros-con-conectores-plug-trs-a-2-plug-ts/
https://digitronik.pe/products/cable-balanceado-xl"&amp;"r-macho-a-xlr-hembra-mrs-bkstg-x3m-x3f-1
https://digitronik.pe/products/cable-de-audio-1-plug-3-5mm-macho-a-2-plug-6-3mm-machp-1-80mts-pe-rs0109-netcom
https://digitronik.pe/products/cable-de-audio-2-rca-a-1-plug-3-5mm-1-8mts-netcom-pe-rs0112
https://dig"&amp;"itronik.pe/products/adaptador-de-audio-2-rca-a-plug-stereo-6-35mm-seetronic-mp3-2rf")</f>
        <v>https://www.bhphotovideo.com/c/product/1367638-REG/pearstone_hbox_4000_mini_headphone_amp_4_channel.html
https://www.audioproperu.com/producto/cable-stereo-de-2-metros-con-conectores-plug-trs-a-2-plug-ts/
https://digitronik.pe/products/cable-balanceado-xlr-macho-a-xlr-hembra-mrs-bkstg-x3m-x3f-1
https://digitronik.pe/products/cable-de-audio-1-plug-3-5mm-macho-a-2-plug-6-3mm-machp-1-80mts-pe-rs0109-netcom
https://digitronik.pe/products/cable-de-audio-2-rca-a-1-plug-3-5mm-1-8mts-netcom-pe-rs0112
https://digitronik.pe/products/adaptador-de-audio-2-rca-a-plug-stereo-6-35mm-seetronic-mp3-2rf</v>
      </c>
      <c r="AU428" s="213"/>
      <c r="AV428" s="213"/>
      <c r="AW428" s="213"/>
      <c r="AX428" s="213"/>
      <c r="AY428" s="213"/>
      <c r="AZ428" s="213"/>
      <c r="BA428" s="213"/>
      <c r="BB428" s="213"/>
      <c r="BC428" s="213"/>
      <c r="BD428" s="213"/>
    </row>
    <row r="429">
      <c r="A429" s="213">
        <f>IFERROR(__xludf.DUMMYFUNCTION("""COMPUTED_VALUE"""),763.0)</f>
        <v>763</v>
      </c>
      <c r="B429" s="213" t="str">
        <f>IFERROR(__xludf.DUMMYFUNCTION("""COMPUTED_VALUE"""),"6049 RICARDO PALMA")</f>
        <v>6049 RICARDO PALMA</v>
      </c>
      <c r="C429" s="213" t="str">
        <f>IFERROR(__xludf.DUMMYFUNCTION("""COMPUTED_VALUE"""),"TALLER SFT DE COMPUTACIÓN E INFORMÁTICA")</f>
        <v>TALLER SFT DE COMPUTACIÓN E INFORMÁTICA</v>
      </c>
      <c r="D429" s="213" t="str">
        <f>IFERROR(__xludf.DUMMYFUNCTION("""COMPUTED_VALUE"""),"EQUIPOS")</f>
        <v>EQUIPOS</v>
      </c>
      <c r="E429" s="213" t="str">
        <f>IFERROR(__xludf.DUMMYFUNCTION("""COMPUTED_VALUE"""),"ESP-134")</f>
        <v>ESP-134</v>
      </c>
      <c r="F429" s="213" t="str">
        <f>IFERROR(__xludf.DUMMYFUNCTION("""COMPUTED_VALUE"""),"ESP-134")</f>
        <v>ESP-134</v>
      </c>
      <c r="G429" s="213"/>
      <c r="H429" s="213" t="str">
        <f>IFERROR(__xludf.DUMMYFUNCTION("""COMPUTED_VALUE"""),"CONSOLA DE SONIDO")</f>
        <v>CONSOLA DE SONIDO</v>
      </c>
      <c r="I429" s="213"/>
      <c r="J429" s="213">
        <f>IFERROR(__xludf.DUMMYFUNCTION("""COMPUTED_VALUE"""),3.0)</f>
        <v>3</v>
      </c>
      <c r="K429" s="213" t="str">
        <f>IFERROR(__xludf.DUMMYFUNCTION("""COMPUTED_VALUE"""),"170 DÍAS CALENDARIO")</f>
        <v>170 DÍAS CALENDARIO</v>
      </c>
      <c r="L429" s="213" t="str">
        <f>IFERROR(__xludf.DUMMYFUNCTION("""COMPUTED_VALUE"""),"")</f>
        <v/>
      </c>
      <c r="M429" s="213">
        <f>IFERROR(__xludf.DUMMYFUNCTION("""COMPUTED_VALUE"""),1.0)</f>
        <v>1</v>
      </c>
      <c r="N429" s="213">
        <f>IFERROR(__xludf.DUMMYFUNCTION("""COMPUTED_VALUE"""),1.0)</f>
        <v>1</v>
      </c>
      <c r="O429" s="213">
        <f>IFERROR(__xludf.DUMMYFUNCTION("""COMPUTED_VALUE"""),1.0)</f>
        <v>1</v>
      </c>
      <c r="P429" s="213"/>
      <c r="Q429" s="213"/>
      <c r="R429" s="213"/>
      <c r="S429" s="213" t="str">
        <f>IFERROR(__xludf.DUMMYFUNCTION("""COMPUTED_VALUE"""),"SI")</f>
        <v>SI</v>
      </c>
      <c r="T429" s="213" t="str">
        <f>IFERROR(__xludf.DUMMYFUNCTION("""COMPUTED_VALUE"""),"CONSULTA FINAL")</f>
        <v>CONSULTA FINAL</v>
      </c>
      <c r="U429" s="213"/>
      <c r="V429" s="213"/>
      <c r="W429" s="213"/>
      <c r="X429" s="213" t="str">
        <f>IFERROR(__xludf.DUMMYFUNCTION("""COMPUTED_VALUE"""),"SOOOM")</f>
        <v>SOOOM</v>
      </c>
      <c r="Y429" s="213" t="str">
        <f>IFERROR(__xludf.DUMMYFUNCTION("""COMPUTED_VALUE"""),"MXB8")</f>
        <v>MXB8</v>
      </c>
      <c r="Z429" s="215" t="str">
        <f>IFERROR(__xludf.DUMMYFUNCTION("""COMPUTED_VALUE"""),"https://insumosfirstpro.com/shop/computer-office/mezcladora-sooom-mxb8/")</f>
        <v>https://insumosfirstpro.com/shop/computer-office/mezcladora-sooom-mxb8/</v>
      </c>
      <c r="AA429" s="213" t="str">
        <f>IFERROR(__xludf.DUMMYFUNCTION("""COMPUTED_VALUE"""),"ESP-134 CONSOLA DE SONIDO - CET")</f>
        <v>ESP-134 CONSOLA DE SONIDO - CET</v>
      </c>
      <c r="AB429" s="213"/>
      <c r="AC429" s="213"/>
      <c r="AD429" s="213"/>
      <c r="AE429" s="213"/>
      <c r="AF429" s="213"/>
      <c r="AG429" s="213"/>
      <c r="AH429" s="213"/>
      <c r="AI429" s="213"/>
      <c r="AJ429" s="213"/>
      <c r="AK429" s="213"/>
      <c r="AL429" s="213"/>
      <c r="AM429" s="213"/>
      <c r="AN429" s="213"/>
      <c r="AO429" s="213"/>
      <c r="AP429" s="213" t="str">
        <f>IFERROR(__xludf.DUMMYFUNCTION("""COMPUTED_VALUE"""),"MICHEL")</f>
        <v>MICHEL</v>
      </c>
      <c r="AQ429" s="213"/>
      <c r="AR429" s="213"/>
      <c r="AS429" s="213"/>
      <c r="AT429" s="213"/>
      <c r="AU429" s="213"/>
      <c r="AV429" s="213"/>
      <c r="AW429" s="213"/>
      <c r="AX429" s="213"/>
      <c r="AY429" s="213"/>
      <c r="AZ429" s="213"/>
      <c r="BA429" s="213"/>
      <c r="BB429" s="213"/>
      <c r="BC429" s="213"/>
      <c r="BD429" s="213"/>
    </row>
    <row r="430">
      <c r="A430" s="213">
        <f>IFERROR(__xludf.DUMMYFUNCTION("""COMPUTED_VALUE"""),1702.0)</f>
        <v>1702</v>
      </c>
      <c r="B430" s="213" t="str">
        <f>IFERROR(__xludf.DUMMYFUNCTION("""COMPUTED_VALUE"""),"GUILLERMO E. BILLINGHURST ")</f>
        <v>GUILLERMO E. BILLINGHURST </v>
      </c>
      <c r="C430" s="213" t="str">
        <f>IFERROR(__xludf.DUMMYFUNCTION("""COMPUTED_VALUE"""),"TALLER SFT DE COMPUTACIÓN E INFORMÁTICA")</f>
        <v>TALLER SFT DE COMPUTACIÓN E INFORMÁTICA</v>
      </c>
      <c r="D430" s="213" t="str">
        <f>IFERROR(__xludf.DUMMYFUNCTION("""COMPUTED_VALUE"""),"EQUIPOS")</f>
        <v>EQUIPOS</v>
      </c>
      <c r="E430" s="213" t="str">
        <f>IFERROR(__xludf.DUMMYFUNCTION("""COMPUTED_VALUE"""),"ESP-134")</f>
        <v>ESP-134</v>
      </c>
      <c r="F430" s="213" t="str">
        <f>IFERROR(__xludf.DUMMYFUNCTION("""COMPUTED_VALUE"""),"ESP-134")</f>
        <v>ESP-134</v>
      </c>
      <c r="G430" s="213"/>
      <c r="H430" s="213" t="str">
        <f>IFERROR(__xludf.DUMMYFUNCTION("""COMPUTED_VALUE"""),"CONSOLA DE SONIDO")</f>
        <v>CONSOLA DE SONIDO</v>
      </c>
      <c r="I430" s="213"/>
      <c r="J430" s="213">
        <f>IFERROR(__xludf.DUMMYFUNCTION("""COMPUTED_VALUE"""),3.0)</f>
        <v>3</v>
      </c>
      <c r="K430" s="213" t="str">
        <f>IFERROR(__xludf.DUMMYFUNCTION("""COMPUTED_VALUE"""),"170 DÍAS CALENDARIO")</f>
        <v>170 DÍAS CALENDARIO</v>
      </c>
      <c r="L430" s="213" t="str">
        <f>IFERROR(__xludf.DUMMYFUNCTION("""COMPUTED_VALUE"""),"")</f>
        <v/>
      </c>
      <c r="M430" s="213">
        <f>IFERROR(__xludf.DUMMYFUNCTION("""COMPUTED_VALUE"""),1.0)</f>
        <v>1</v>
      </c>
      <c r="N430" s="213">
        <f>IFERROR(__xludf.DUMMYFUNCTION("""COMPUTED_VALUE"""),1.0)</f>
        <v>1</v>
      </c>
      <c r="O430" s="213">
        <f>IFERROR(__xludf.DUMMYFUNCTION("""COMPUTED_VALUE"""),1.0)</f>
        <v>1</v>
      </c>
      <c r="P430" s="213"/>
      <c r="Q430" s="213"/>
      <c r="R430" s="213"/>
      <c r="S430" s="213" t="str">
        <f>IFERROR(__xludf.DUMMYFUNCTION("""COMPUTED_VALUE"""),"SI")</f>
        <v>SI</v>
      </c>
      <c r="T430" s="213" t="str">
        <f>IFERROR(__xludf.DUMMYFUNCTION("""COMPUTED_VALUE"""),"CONSULTA FINAL")</f>
        <v>CONSULTA FINAL</v>
      </c>
      <c r="U430" s="213"/>
      <c r="V430" s="213"/>
      <c r="W430" s="213"/>
      <c r="X430" s="213" t="str">
        <f>IFERROR(__xludf.DUMMYFUNCTION("""COMPUTED_VALUE"""),"SOOOM")</f>
        <v>SOOOM</v>
      </c>
      <c r="Y430" s="213" t="str">
        <f>IFERROR(__xludf.DUMMYFUNCTION("""COMPUTED_VALUE"""),"MXB8")</f>
        <v>MXB8</v>
      </c>
      <c r="Z430" s="215" t="str">
        <f>IFERROR(__xludf.DUMMYFUNCTION("""COMPUTED_VALUE"""),"https://insumosfirstpro.com/shop/computer-office/mezcladora-sooom-mxb8/")</f>
        <v>https://insumosfirstpro.com/shop/computer-office/mezcladora-sooom-mxb8/</v>
      </c>
      <c r="AA430" s="213" t="str">
        <f>IFERROR(__xludf.DUMMYFUNCTION("""COMPUTED_VALUE"""),"ESP-134 CONSOLA DE SONIDO - CET")</f>
        <v>ESP-134 CONSOLA DE SONIDO - CET</v>
      </c>
      <c r="AB430" s="213"/>
      <c r="AC430" s="213"/>
      <c r="AD430" s="213"/>
      <c r="AE430" s="213"/>
      <c r="AF430" s="213"/>
      <c r="AG430" s="213"/>
      <c r="AH430" s="213"/>
      <c r="AI430" s="213"/>
      <c r="AJ430" s="213"/>
      <c r="AK430" s="213"/>
      <c r="AL430" s="213"/>
      <c r="AM430" s="213"/>
      <c r="AN430" s="213"/>
      <c r="AO430" s="213"/>
      <c r="AP430" s="213" t="str">
        <f>IFERROR(__xludf.DUMMYFUNCTION("""COMPUTED_VALUE"""),"MICHEL")</f>
        <v>MICHEL</v>
      </c>
      <c r="AQ430" s="213"/>
      <c r="AR430" s="213"/>
      <c r="AS430" s="213"/>
      <c r="AT430" s="213"/>
      <c r="AU430" s="213"/>
      <c r="AV430" s="213"/>
      <c r="AW430" s="213"/>
      <c r="AX430" s="213"/>
      <c r="AY430" s="213"/>
      <c r="AZ430" s="213"/>
      <c r="BA430" s="213"/>
      <c r="BB430" s="213"/>
      <c r="BC430" s="213"/>
      <c r="BD430" s="213"/>
    </row>
    <row r="431">
      <c r="A431" s="213">
        <f>IFERROR(__xludf.DUMMYFUNCTION("""COMPUTED_VALUE"""),1953.0)</f>
        <v>1953</v>
      </c>
      <c r="B431" s="213" t="str">
        <f>IFERROR(__xludf.DUMMYFUNCTION("""COMPUTED_VALUE"""),"JOSE GRANDA")</f>
        <v>JOSE GRANDA</v>
      </c>
      <c r="C431" s="213" t="str">
        <f>IFERROR(__xludf.DUMMYFUNCTION("""COMPUTED_VALUE"""),"TALLER SFT DE COMPUTACIÓN E INFORMÁTICA")</f>
        <v>TALLER SFT DE COMPUTACIÓN E INFORMÁTICA</v>
      </c>
      <c r="D431" s="213" t="str">
        <f>IFERROR(__xludf.DUMMYFUNCTION("""COMPUTED_VALUE"""),"EQUIPOS")</f>
        <v>EQUIPOS</v>
      </c>
      <c r="E431" s="213" t="str">
        <f>IFERROR(__xludf.DUMMYFUNCTION("""COMPUTED_VALUE"""),"ESP-134")</f>
        <v>ESP-134</v>
      </c>
      <c r="F431" s="213" t="str">
        <f>IFERROR(__xludf.DUMMYFUNCTION("""COMPUTED_VALUE"""),"ESP-134")</f>
        <v>ESP-134</v>
      </c>
      <c r="G431" s="213"/>
      <c r="H431" s="213" t="str">
        <f>IFERROR(__xludf.DUMMYFUNCTION("""COMPUTED_VALUE"""),"CONSOLA DE SONIDO")</f>
        <v>CONSOLA DE SONIDO</v>
      </c>
      <c r="I431" s="213"/>
      <c r="J431" s="213">
        <f>IFERROR(__xludf.DUMMYFUNCTION("""COMPUTED_VALUE"""),3.0)</f>
        <v>3</v>
      </c>
      <c r="K431" s="213" t="str">
        <f>IFERROR(__xludf.DUMMYFUNCTION("""COMPUTED_VALUE"""),"170 DÍAS CALENDARIO")</f>
        <v>170 DÍAS CALENDARIO</v>
      </c>
      <c r="L431" s="213" t="str">
        <f>IFERROR(__xludf.DUMMYFUNCTION("""COMPUTED_VALUE"""),"")</f>
        <v/>
      </c>
      <c r="M431" s="213">
        <f>IFERROR(__xludf.DUMMYFUNCTION("""COMPUTED_VALUE"""),1.0)</f>
        <v>1</v>
      </c>
      <c r="N431" s="213">
        <f>IFERROR(__xludf.DUMMYFUNCTION("""COMPUTED_VALUE"""),1.0)</f>
        <v>1</v>
      </c>
      <c r="O431" s="213">
        <f>IFERROR(__xludf.DUMMYFUNCTION("""COMPUTED_VALUE"""),1.0)</f>
        <v>1</v>
      </c>
      <c r="P431" s="213"/>
      <c r="Q431" s="213"/>
      <c r="R431" s="213"/>
      <c r="S431" s="213" t="str">
        <f>IFERROR(__xludf.DUMMYFUNCTION("""COMPUTED_VALUE"""),"SI")</f>
        <v>SI</v>
      </c>
      <c r="T431" s="213" t="str">
        <f>IFERROR(__xludf.DUMMYFUNCTION("""COMPUTED_VALUE"""),"CONSULTA FINAL")</f>
        <v>CONSULTA FINAL</v>
      </c>
      <c r="U431" s="213"/>
      <c r="V431" s="213"/>
      <c r="W431" s="213"/>
      <c r="X431" s="213" t="str">
        <f>IFERROR(__xludf.DUMMYFUNCTION("""COMPUTED_VALUE"""),"SOOOM")</f>
        <v>SOOOM</v>
      </c>
      <c r="Y431" s="213" t="str">
        <f>IFERROR(__xludf.DUMMYFUNCTION("""COMPUTED_VALUE"""),"MXB8")</f>
        <v>MXB8</v>
      </c>
      <c r="Z431" s="215" t="str">
        <f>IFERROR(__xludf.DUMMYFUNCTION("""COMPUTED_VALUE"""),"https://insumosfirstpro.com/shop/computer-office/mezcladora-sooom-mxb8/")</f>
        <v>https://insumosfirstpro.com/shop/computer-office/mezcladora-sooom-mxb8/</v>
      </c>
      <c r="AA431" s="213" t="str">
        <f>IFERROR(__xludf.DUMMYFUNCTION("""COMPUTED_VALUE"""),"ESP-134 CONSOLA DE SONIDO - CET")</f>
        <v>ESP-134 CONSOLA DE SONIDO - CET</v>
      </c>
      <c r="AB431" s="213"/>
      <c r="AC431" s="213"/>
      <c r="AD431" s="213"/>
      <c r="AE431" s="213"/>
      <c r="AF431" s="213"/>
      <c r="AG431" s="213"/>
      <c r="AH431" s="213"/>
      <c r="AI431" s="213"/>
      <c r="AJ431" s="213"/>
      <c r="AK431" s="213"/>
      <c r="AL431" s="213"/>
      <c r="AM431" s="213"/>
      <c r="AN431" s="213"/>
      <c r="AO431" s="213"/>
      <c r="AP431" s="213" t="str">
        <f>IFERROR(__xludf.DUMMYFUNCTION("""COMPUTED_VALUE"""),"MICHEL")</f>
        <v>MICHEL</v>
      </c>
      <c r="AQ431" s="213"/>
      <c r="AR431" s="213"/>
      <c r="AS431" s="213"/>
      <c r="AT431" s="213"/>
      <c r="AU431" s="213"/>
      <c r="AV431" s="213"/>
      <c r="AW431" s="213"/>
      <c r="AX431" s="213"/>
      <c r="AY431" s="213"/>
      <c r="AZ431" s="213"/>
      <c r="BA431" s="213"/>
      <c r="BB431" s="213"/>
      <c r="BC431" s="213"/>
      <c r="BD431" s="213"/>
    </row>
    <row r="432">
      <c r="A432" s="213">
        <f>IFERROR(__xludf.DUMMYFUNCTION("""COMPUTED_VALUE"""),409.0)</f>
        <v>409</v>
      </c>
      <c r="B432" s="213" t="str">
        <f>IFERROR(__xludf.DUMMYFUNCTION("""COMPUTED_VALUE"""),"2026 SIMON BOLIVAR")</f>
        <v>2026 SIMON BOLIVAR</v>
      </c>
      <c r="C432" s="213" t="str">
        <f>IFERROR(__xludf.DUMMYFUNCTION("""COMPUTED_VALUE"""),"TALLER SFT DE ELECTRICIDAD")</f>
        <v>TALLER SFT DE ELECTRICIDAD</v>
      </c>
      <c r="D432" s="213" t="str">
        <f>IFERROR(__xludf.DUMMYFUNCTION("""COMPUTED_VALUE"""),"EQUIPOS")</f>
        <v>EQUIPOS</v>
      </c>
      <c r="E432" s="213" t="str">
        <f>IFERROR(__xludf.DUMMYFUNCTION("""COMPUTED_VALUE"""),"ESP-135")</f>
        <v>ESP-135</v>
      </c>
      <c r="F432" s="213" t="str">
        <f>IFERROR(__xludf.DUMMYFUNCTION("""COMPUTED_VALUE"""),"ESP-135")</f>
        <v>ESP-135</v>
      </c>
      <c r="G432" s="213"/>
      <c r="H432" s="213" t="str">
        <f>IFERROR(__xludf.DUMMYFUNCTION("""COMPUTED_VALUE"""),"CONTACTOR TRIPOLAR")</f>
        <v>CONTACTOR TRIPOLAR</v>
      </c>
      <c r="I432" s="213"/>
      <c r="J432" s="213">
        <f>IFERROR(__xludf.DUMMYFUNCTION("""COMPUTED_VALUE"""),3.0)</f>
        <v>3</v>
      </c>
      <c r="K432" s="213" t="str">
        <f>IFERROR(__xludf.DUMMYFUNCTION("""COMPUTED_VALUE"""),"170 DÍAS CALENDARIO")</f>
        <v>170 DÍAS CALENDARIO</v>
      </c>
      <c r="L432" s="213" t="str">
        <f>IFERROR(__xludf.DUMMYFUNCTION("""COMPUTED_VALUE"""),"")</f>
        <v/>
      </c>
      <c r="M432" s="213">
        <f>IFERROR(__xludf.DUMMYFUNCTION("""COMPUTED_VALUE"""),1.0)</f>
        <v>1</v>
      </c>
      <c r="N432" s="213">
        <f>IFERROR(__xludf.DUMMYFUNCTION("""COMPUTED_VALUE"""),4.0)</f>
        <v>4</v>
      </c>
      <c r="O432" s="213">
        <f>IFERROR(__xludf.DUMMYFUNCTION("""COMPUTED_VALUE"""),4.0)</f>
        <v>4</v>
      </c>
      <c r="P432" s="213"/>
      <c r="Q432" s="213"/>
      <c r="R432" s="213"/>
      <c r="S432" s="213" t="str">
        <f>IFERROR(__xludf.DUMMYFUNCTION("""COMPUTED_VALUE"""),"SI")</f>
        <v>SI</v>
      </c>
      <c r="T432" s="213" t="str">
        <f>IFERROR(__xludf.DUMMYFUNCTION("""COMPUTED_VALUE"""),"SI")</f>
        <v>SI</v>
      </c>
      <c r="U432" s="213" t="str">
        <f>IFERROR(__xludf.DUMMYFUNCTION("""COMPUTED_VALUE"""),"SI")</f>
        <v>SI</v>
      </c>
      <c r="V432" s="213" t="str">
        <f>IFERROR(__xludf.DUMMYFUNCTION("""COMPUTED_VALUE"""),"-")</f>
        <v>-</v>
      </c>
      <c r="W432" s="213" t="str">
        <f>IFERROR(__xludf.DUMMYFUNCTION("""COMPUTED_VALUE"""),"-")</f>
        <v>-</v>
      </c>
      <c r="X432" s="213" t="str">
        <f>IFERROR(__xludf.DUMMYFUNCTION("""COMPUTED_VALUE"""),"Schneider Electric")</f>
        <v>Schneider Electric</v>
      </c>
      <c r="Y432" s="213" t="str">
        <f>IFERROR(__xludf.DUMMYFUNCTION("""COMPUTED_VALUE"""),"LC1D386M7")</f>
        <v>LC1D386M7</v>
      </c>
      <c r="Z432" s="215" t="str">
        <f>IFERROR(__xludf.DUMMYFUNCTION("""COMPUTED_VALUE"""),"https://www.se.com/es/es/product/LC1D386M7/contactor-tesys-d-3p3-na-ac3-440-v-38-a-220-v-ca-50-60-hz-bobina/?range=664-tesys-d-tesys-deca-control-tallas-1-2-y-3&amp;parent-subcategory-id=1510&amp;filter=business-1-automatizaci%C3%B3n-y-control-industrial&amp;selected"&amp;"NodeId=12146440908")</f>
        <v>https://www.se.com/es/es/product/LC1D386M7/contactor-tesys-d-3p3-na-ac3-440-v-38-a-220-v-ca-50-60-hz-bobina/?range=664-tesys-d-tesys-deca-control-tallas-1-2-y-3&amp;parent-subcategory-id=1510&amp;filter=business-1-automatizaci%C3%B3n-y-control-industrial&amp;selectedNodeId=12146440908</v>
      </c>
      <c r="AA432" s="213" t="str">
        <f>IFERROR(__xludf.DUMMYFUNCTION("""COMPUTED_VALUE"""),"ESP-135 CONTACTOR TRIPOLAR - CET")</f>
        <v>ESP-135 CONTACTOR TRIPOLAR - CET</v>
      </c>
      <c r="AB432" s="213"/>
      <c r="AC432" s="213"/>
      <c r="AD432" s="213"/>
      <c r="AE432" s="213"/>
      <c r="AF432" s="213"/>
      <c r="AG432" s="213"/>
      <c r="AH432" s="213"/>
      <c r="AI432" s="213"/>
      <c r="AJ432" s="213"/>
      <c r="AK432" s="213"/>
      <c r="AL432" s="213"/>
      <c r="AM432" s="213"/>
      <c r="AN432" s="213"/>
      <c r="AO432" s="213"/>
      <c r="AP432" s="213" t="str">
        <f>IFERROR(__xludf.DUMMYFUNCTION("""COMPUTED_VALUE"""),"BRUNO")</f>
        <v>BRUNO</v>
      </c>
      <c r="AQ432" s="213"/>
      <c r="AR432" s="213"/>
      <c r="AS432" s="213"/>
      <c r="AT432" s="213"/>
      <c r="AU432" s="213"/>
      <c r="AV432" s="213"/>
      <c r="AW432" s="213"/>
      <c r="AX432" s="213"/>
      <c r="AY432" s="213"/>
      <c r="AZ432" s="213"/>
      <c r="BA432" s="213"/>
      <c r="BB432" s="213"/>
      <c r="BC432" s="213"/>
      <c r="BD432" s="213"/>
    </row>
    <row r="433">
      <c r="A433" s="213">
        <f>IFERROR(__xludf.DUMMYFUNCTION("""COMPUTED_VALUE"""),895.0)</f>
        <v>895</v>
      </c>
      <c r="B433" s="213" t="str">
        <f>IFERROR(__xludf.DUMMYFUNCTION("""COMPUTED_VALUE"""),"6049 RICARDO PALMA")</f>
        <v>6049 RICARDO PALMA</v>
      </c>
      <c r="C433" s="213" t="str">
        <f>IFERROR(__xludf.DUMMYFUNCTION("""COMPUTED_VALUE"""),"TALLER SFT DE ELECTRICIDAD")</f>
        <v>TALLER SFT DE ELECTRICIDAD</v>
      </c>
      <c r="D433" s="213" t="str">
        <f>IFERROR(__xludf.DUMMYFUNCTION("""COMPUTED_VALUE"""),"EQUIPOS")</f>
        <v>EQUIPOS</v>
      </c>
      <c r="E433" s="213" t="str">
        <f>IFERROR(__xludf.DUMMYFUNCTION("""COMPUTED_VALUE"""),"ESP-135")</f>
        <v>ESP-135</v>
      </c>
      <c r="F433" s="213" t="str">
        <f>IFERROR(__xludf.DUMMYFUNCTION("""COMPUTED_VALUE"""),"ESP-135")</f>
        <v>ESP-135</v>
      </c>
      <c r="G433" s="213"/>
      <c r="H433" s="213" t="str">
        <f>IFERROR(__xludf.DUMMYFUNCTION("""COMPUTED_VALUE"""),"CONTACTOR TRIPOLAR")</f>
        <v>CONTACTOR TRIPOLAR</v>
      </c>
      <c r="I433" s="213"/>
      <c r="J433" s="213">
        <f>IFERROR(__xludf.DUMMYFUNCTION("""COMPUTED_VALUE"""),3.0)</f>
        <v>3</v>
      </c>
      <c r="K433" s="213" t="str">
        <f>IFERROR(__xludf.DUMMYFUNCTION("""COMPUTED_VALUE"""),"170 DÍAS CALENDARIO")</f>
        <v>170 DÍAS CALENDARIO</v>
      </c>
      <c r="L433" s="213" t="str">
        <f>IFERROR(__xludf.DUMMYFUNCTION("""COMPUTED_VALUE"""),"")</f>
        <v/>
      </c>
      <c r="M433" s="213">
        <f>IFERROR(__xludf.DUMMYFUNCTION("""COMPUTED_VALUE"""),1.0)</f>
        <v>1</v>
      </c>
      <c r="N433" s="213">
        <f>IFERROR(__xludf.DUMMYFUNCTION("""COMPUTED_VALUE"""),4.0)</f>
        <v>4</v>
      </c>
      <c r="O433" s="213">
        <f>IFERROR(__xludf.DUMMYFUNCTION("""COMPUTED_VALUE"""),4.0)</f>
        <v>4</v>
      </c>
      <c r="P433" s="213"/>
      <c r="Q433" s="213"/>
      <c r="R433" s="213"/>
      <c r="S433" s="213" t="str">
        <f>IFERROR(__xludf.DUMMYFUNCTION("""COMPUTED_VALUE"""),"SI")</f>
        <v>SI</v>
      </c>
      <c r="T433" s="213" t="str">
        <f>IFERROR(__xludf.DUMMYFUNCTION("""COMPUTED_VALUE"""),"SI")</f>
        <v>SI</v>
      </c>
      <c r="U433" s="213" t="str">
        <f>IFERROR(__xludf.DUMMYFUNCTION("""COMPUTED_VALUE"""),"SI")</f>
        <v>SI</v>
      </c>
      <c r="V433" s="213" t="str">
        <f>IFERROR(__xludf.DUMMYFUNCTION("""COMPUTED_VALUE"""),"-")</f>
        <v>-</v>
      </c>
      <c r="W433" s="213" t="str">
        <f>IFERROR(__xludf.DUMMYFUNCTION("""COMPUTED_VALUE"""),"-")</f>
        <v>-</v>
      </c>
      <c r="X433" s="213" t="str">
        <f>IFERROR(__xludf.DUMMYFUNCTION("""COMPUTED_VALUE"""),"Schneider Electric")</f>
        <v>Schneider Electric</v>
      </c>
      <c r="Y433" s="213" t="str">
        <f>IFERROR(__xludf.DUMMYFUNCTION("""COMPUTED_VALUE"""),"LC1D386M7")</f>
        <v>LC1D386M7</v>
      </c>
      <c r="Z433" s="215" t="str">
        <f>IFERROR(__xludf.DUMMYFUNCTION("""COMPUTED_VALUE"""),"https://www.se.com/es/es/product/LC1D386M7/contactor-tesys-d-3p3-na-ac3-440-v-38-a-220-v-ca-50-60-hz-bobina/?range=664-tesys-d-tesys-deca-control-tallas-1-2-y-3&amp;parent-subcategory-id=1510&amp;filter=business-1-automatizaci%C3%B3n-y-control-industrial&amp;selected"&amp;"NodeId=12146440908")</f>
        <v>https://www.se.com/es/es/product/LC1D386M7/contactor-tesys-d-3p3-na-ac3-440-v-38-a-220-v-ca-50-60-hz-bobina/?range=664-tesys-d-tesys-deca-control-tallas-1-2-y-3&amp;parent-subcategory-id=1510&amp;filter=business-1-automatizaci%C3%B3n-y-control-industrial&amp;selectedNodeId=12146440908</v>
      </c>
      <c r="AA433" s="213" t="str">
        <f>IFERROR(__xludf.DUMMYFUNCTION("""COMPUTED_VALUE"""),"ESP-135 CONTACTOR TRIPOLAR - CET")</f>
        <v>ESP-135 CONTACTOR TRIPOLAR - CET</v>
      </c>
      <c r="AB433" s="213"/>
      <c r="AC433" s="213"/>
      <c r="AD433" s="213"/>
      <c r="AE433" s="213"/>
      <c r="AF433" s="213"/>
      <c r="AG433" s="213"/>
      <c r="AH433" s="213"/>
      <c r="AI433" s="213"/>
      <c r="AJ433" s="213"/>
      <c r="AK433" s="213"/>
      <c r="AL433" s="213"/>
      <c r="AM433" s="213"/>
      <c r="AN433" s="213"/>
      <c r="AO433" s="213"/>
      <c r="AP433" s="213" t="str">
        <f>IFERROR(__xludf.DUMMYFUNCTION("""COMPUTED_VALUE"""),"BRUNO")</f>
        <v>BRUNO</v>
      </c>
      <c r="AQ433" s="213"/>
      <c r="AR433" s="213"/>
      <c r="AS433" s="213"/>
      <c r="AT433" s="213"/>
      <c r="AU433" s="213"/>
      <c r="AV433" s="213"/>
      <c r="AW433" s="213"/>
      <c r="AX433" s="213"/>
      <c r="AY433" s="213"/>
      <c r="AZ433" s="213"/>
      <c r="BA433" s="213"/>
      <c r="BB433" s="213"/>
      <c r="BC433" s="213"/>
      <c r="BD433" s="213"/>
    </row>
    <row r="434">
      <c r="A434" s="213">
        <f>IFERROR(__xludf.DUMMYFUNCTION("""COMPUTED_VALUE"""),1317.0)</f>
        <v>1317</v>
      </c>
      <c r="B434" s="213" t="str">
        <f>IFERROR(__xludf.DUMMYFUNCTION("""COMPUTED_VALUE"""),"GUILLERMO E. BILLINGHURST ")</f>
        <v>GUILLERMO E. BILLINGHURST </v>
      </c>
      <c r="C434" s="213" t="str">
        <f>IFERROR(__xludf.DUMMYFUNCTION("""COMPUTED_VALUE"""),"TALLER SFT DE ELECTRICIDAD")</f>
        <v>TALLER SFT DE ELECTRICIDAD</v>
      </c>
      <c r="D434" s="213" t="str">
        <f>IFERROR(__xludf.DUMMYFUNCTION("""COMPUTED_VALUE"""),"EQUIPOS")</f>
        <v>EQUIPOS</v>
      </c>
      <c r="E434" s="213" t="str">
        <f>IFERROR(__xludf.DUMMYFUNCTION("""COMPUTED_VALUE"""),"ESP-135")</f>
        <v>ESP-135</v>
      </c>
      <c r="F434" s="213" t="str">
        <f>IFERROR(__xludf.DUMMYFUNCTION("""COMPUTED_VALUE"""),"ESP-135")</f>
        <v>ESP-135</v>
      </c>
      <c r="G434" s="213"/>
      <c r="H434" s="213" t="str">
        <f>IFERROR(__xludf.DUMMYFUNCTION("""COMPUTED_VALUE"""),"CONTACTOR TRIPOLAR")</f>
        <v>CONTACTOR TRIPOLAR</v>
      </c>
      <c r="I434" s="213"/>
      <c r="J434" s="213">
        <f>IFERROR(__xludf.DUMMYFUNCTION("""COMPUTED_VALUE"""),3.0)</f>
        <v>3</v>
      </c>
      <c r="K434" s="213" t="str">
        <f>IFERROR(__xludf.DUMMYFUNCTION("""COMPUTED_VALUE"""),"170 DÍAS CALENDARIO")</f>
        <v>170 DÍAS CALENDARIO</v>
      </c>
      <c r="L434" s="213" t="str">
        <f>IFERROR(__xludf.DUMMYFUNCTION("""COMPUTED_VALUE"""),"")</f>
        <v/>
      </c>
      <c r="M434" s="213">
        <f>IFERROR(__xludf.DUMMYFUNCTION("""COMPUTED_VALUE"""),1.0)</f>
        <v>1</v>
      </c>
      <c r="N434" s="213">
        <f>IFERROR(__xludf.DUMMYFUNCTION("""COMPUTED_VALUE"""),4.0)</f>
        <v>4</v>
      </c>
      <c r="O434" s="213">
        <f>IFERROR(__xludf.DUMMYFUNCTION("""COMPUTED_VALUE"""),4.0)</f>
        <v>4</v>
      </c>
      <c r="P434" s="213"/>
      <c r="Q434" s="213"/>
      <c r="R434" s="213"/>
      <c r="S434" s="213" t="str">
        <f>IFERROR(__xludf.DUMMYFUNCTION("""COMPUTED_VALUE"""),"SI")</f>
        <v>SI</v>
      </c>
      <c r="T434" s="213" t="str">
        <f>IFERROR(__xludf.DUMMYFUNCTION("""COMPUTED_VALUE"""),"SI")</f>
        <v>SI</v>
      </c>
      <c r="U434" s="213" t="str">
        <f>IFERROR(__xludf.DUMMYFUNCTION("""COMPUTED_VALUE"""),"SI")</f>
        <v>SI</v>
      </c>
      <c r="V434" s="213" t="str">
        <f>IFERROR(__xludf.DUMMYFUNCTION("""COMPUTED_VALUE"""),"-")</f>
        <v>-</v>
      </c>
      <c r="W434" s="213" t="str">
        <f>IFERROR(__xludf.DUMMYFUNCTION("""COMPUTED_VALUE"""),"-")</f>
        <v>-</v>
      </c>
      <c r="X434" s="213" t="str">
        <f>IFERROR(__xludf.DUMMYFUNCTION("""COMPUTED_VALUE"""),"Schneider Electric")</f>
        <v>Schneider Electric</v>
      </c>
      <c r="Y434" s="213" t="str">
        <f>IFERROR(__xludf.DUMMYFUNCTION("""COMPUTED_VALUE"""),"LC1D386M7")</f>
        <v>LC1D386M7</v>
      </c>
      <c r="Z434" s="215" t="str">
        <f>IFERROR(__xludf.DUMMYFUNCTION("""COMPUTED_VALUE"""),"https://www.se.com/es/es/product/LC1D386M7/contactor-tesys-d-3p3-na-ac3-440-v-38-a-220-v-ca-50-60-hz-bobina/?range=664-tesys-d-tesys-deca-control-tallas-1-2-y-3&amp;parent-subcategory-id=1510&amp;filter=business-1-automatizaci%C3%B3n-y-control-industrial&amp;selected"&amp;"NodeId=12146440908")</f>
        <v>https://www.se.com/es/es/product/LC1D386M7/contactor-tesys-d-3p3-na-ac3-440-v-38-a-220-v-ca-50-60-hz-bobina/?range=664-tesys-d-tesys-deca-control-tallas-1-2-y-3&amp;parent-subcategory-id=1510&amp;filter=business-1-automatizaci%C3%B3n-y-control-industrial&amp;selectedNodeId=12146440908</v>
      </c>
      <c r="AA434" s="213" t="str">
        <f>IFERROR(__xludf.DUMMYFUNCTION("""COMPUTED_VALUE"""),"ESP-135 CONTACTOR TRIPOLAR - CET")</f>
        <v>ESP-135 CONTACTOR TRIPOLAR - CET</v>
      </c>
      <c r="AB434" s="213"/>
      <c r="AC434" s="213"/>
      <c r="AD434" s="213"/>
      <c r="AE434" s="213"/>
      <c r="AF434" s="213"/>
      <c r="AG434" s="213"/>
      <c r="AH434" s="213"/>
      <c r="AI434" s="213"/>
      <c r="AJ434" s="213"/>
      <c r="AK434" s="213"/>
      <c r="AL434" s="213"/>
      <c r="AM434" s="213"/>
      <c r="AN434" s="213"/>
      <c r="AO434" s="213"/>
      <c r="AP434" s="213" t="str">
        <f>IFERROR(__xludf.DUMMYFUNCTION("""COMPUTED_VALUE"""),"BRUNO")</f>
        <v>BRUNO</v>
      </c>
      <c r="AQ434" s="213"/>
      <c r="AR434" s="213"/>
      <c r="AS434" s="213"/>
      <c r="AT434" s="213"/>
      <c r="AU434" s="213"/>
      <c r="AV434" s="213"/>
      <c r="AW434" s="213"/>
      <c r="AX434" s="213"/>
      <c r="AY434" s="213"/>
      <c r="AZ434" s="213"/>
      <c r="BA434" s="213"/>
      <c r="BB434" s="213"/>
      <c r="BC434" s="213"/>
      <c r="BD434" s="213"/>
    </row>
    <row r="435">
      <c r="A435" s="213">
        <f>IFERROR(__xludf.DUMMYFUNCTION("""COMPUTED_VALUE"""),1838.0)</f>
        <v>1838</v>
      </c>
      <c r="B435" s="213" t="str">
        <f>IFERROR(__xludf.DUMMYFUNCTION("""COMPUTED_VALUE"""),"GUILLERMO E. BILLINGHURST ")</f>
        <v>GUILLERMO E. BILLINGHURST </v>
      </c>
      <c r="C435" s="213" t="str">
        <f>IFERROR(__xludf.DUMMYFUNCTION("""COMPUTED_VALUE"""),"TALLER SFT DE EBANISTERÍA")</f>
        <v>TALLER SFT DE EBANISTERÍA</v>
      </c>
      <c r="D435" s="213" t="str">
        <f>IFERROR(__xludf.DUMMYFUNCTION("""COMPUTED_VALUE"""),"HERRAMIENTAS")</f>
        <v>HERRAMIENTAS</v>
      </c>
      <c r="E435" s="213" t="str">
        <f>IFERROR(__xludf.DUMMYFUNCTION("""COMPUTED_VALUE"""),"COM-194")</f>
        <v>COM-194</v>
      </c>
      <c r="F435" s="213" t="str">
        <f>IFERROR(__xludf.DUMMYFUNCTION("""COMPUTED_VALUE"""),"COM-194")</f>
        <v>COM-194</v>
      </c>
      <c r="G435" s="213"/>
      <c r="H435" s="213" t="str">
        <f>IFERROR(__xludf.DUMMYFUNCTION("""COMPUTED_VALUE"""),"JUEGO DE PUNTAS MAGNÉTICAS PARA DESTORNILLADOR")</f>
        <v>JUEGO DE PUNTAS MAGNÉTICAS PARA DESTORNILLADOR</v>
      </c>
      <c r="I435" s="213" t="str">
        <f>IFERROR(__xludf.DUMMYFUNCTION("""COMPUTED_VALUE"""),"Juego de puntas de 11 piezas con soporte magnético:
- 03 piezas Phillips: Ph1, Ph2 y Ph3
- 03 piezas Pozidrive: Pz1, Pz2 y Pz3
- 04 piezas Torx: T15, T20, T25 y T30
- 01 Portabrocas magnético 1 Estuche")</f>
        <v>Juego de puntas de 11 piezas con soporte magnético:
- 03 piezas Phillips: Ph1, Ph2 y Ph3
- 03 piezas Pozidrive: Pz1, Pz2 y Pz3
- 04 piezas Torx: T15, T20, T25 y T30
- 01 Portabrocas magnético 1 Estuche</v>
      </c>
      <c r="J435" s="213">
        <f>IFERROR(__xludf.DUMMYFUNCTION("""COMPUTED_VALUE"""),3.0)</f>
        <v>3</v>
      </c>
      <c r="K435" s="213" t="str">
        <f>IFERROR(__xludf.DUMMYFUNCTION("""COMPUTED_VALUE"""),"90 DÍAS CALENDARIO")</f>
        <v>90 DÍAS CALENDARIO</v>
      </c>
      <c r="L435" s="213" t="str">
        <f>IFERROR(__xludf.DUMMYFUNCTION("""COMPUTED_VALUE"""),"")</f>
        <v/>
      </c>
      <c r="M435" s="213">
        <f>IFERROR(__xludf.DUMMYFUNCTION("""COMPUTED_VALUE"""),1.0)</f>
        <v>1</v>
      </c>
      <c r="N435" s="213">
        <f>IFERROR(__xludf.DUMMYFUNCTION("""COMPUTED_VALUE"""),4.0)</f>
        <v>4</v>
      </c>
      <c r="O435" s="213">
        <f>IFERROR(__xludf.DUMMYFUNCTION("""COMPUTED_VALUE"""),4.0)</f>
        <v>4</v>
      </c>
      <c r="P435" s="213"/>
      <c r="Q435" s="213"/>
      <c r="R435" s="213"/>
      <c r="S435" s="213"/>
      <c r="T435" s="213" t="str">
        <f>IFERROR(__xludf.DUMMYFUNCTION("""COMPUTED_VALUE"""),"SI")</f>
        <v>SI</v>
      </c>
      <c r="U435" s="213" t="str">
        <f>IFERROR(__xludf.DUMMYFUNCTION("""COMPUTED_VALUE"""),"SI")</f>
        <v>SI</v>
      </c>
      <c r="V435" s="213" t="str">
        <f>IFERROR(__xludf.DUMMYFUNCTION("""COMPUTED_VALUE"""),"-")</f>
        <v>-</v>
      </c>
      <c r="W435" s="213" t="str">
        <f>IFERROR(__xludf.DUMMYFUNCTION("""COMPUTED_VALUE"""),"-")</f>
        <v>-</v>
      </c>
      <c r="X435" s="213" t="str">
        <f>IFERROR(__xludf.DUMMYFUNCTION("""COMPUTED_VALUE"""),"BOSCH")</f>
        <v>BOSCH</v>
      </c>
      <c r="Y435" s="213">
        <f>IFERROR(__xludf.DUMMYFUNCTION("""COMPUTED_VALUE"""),2.608522129E9)</f>
        <v>2608522129</v>
      </c>
      <c r="Z435" s="215" t="str">
        <f>IFERROR(__xludf.DUMMYFUNCTION("""COMPUTED_VALUE"""),"https://www.bosch-professional.com/sa/en/extra-hard-screwdriver-bit-mixed-sets-compact-for-various-screw-types-with-magnetic-universal-holder-2867918-ocs-ac/")</f>
        <v>https://www.bosch-professional.com/sa/en/extra-hard-screwdriver-bit-mixed-sets-compact-for-various-screw-types-with-magnetic-universal-holder-2867918-ocs-ac/</v>
      </c>
      <c r="AA435" s="213" t="str">
        <f>IFERROR(__xludf.DUMMYFUNCTION("""COMPUTED_VALUE"""),"COM-194 JUEGO DE PUNTAS MAGNÉTICAS PARA DESTORNILLADOR - CET")</f>
        <v>COM-194 JUEGO DE PUNTAS MAGNÉTICAS PARA DESTORNILLADOR - CET</v>
      </c>
      <c r="AB435" s="213"/>
      <c r="AC435" s="213"/>
      <c r="AD435" s="213"/>
      <c r="AE435" s="213"/>
      <c r="AF435" s="213"/>
      <c r="AG435" s="213"/>
      <c r="AH435" s="213"/>
      <c r="AI435" s="213"/>
      <c r="AJ435" s="213"/>
      <c r="AK435" s="213"/>
      <c r="AL435" s="213"/>
      <c r="AM435" s="213"/>
      <c r="AN435" s="213"/>
      <c r="AO435" s="213"/>
      <c r="AP435" s="213" t="str">
        <f>IFERROR(__xludf.DUMMYFUNCTION("""COMPUTED_VALUE"""),"SEBASTIAN")</f>
        <v>SEBASTIAN</v>
      </c>
      <c r="AQ435" s="213"/>
      <c r="AR435" s="213"/>
      <c r="AS435" s="213"/>
      <c r="AT435" s="213"/>
      <c r="AU435" s="213"/>
      <c r="AV435" s="213"/>
      <c r="AW435" s="213"/>
      <c r="AX435" s="213"/>
      <c r="AY435" s="213"/>
      <c r="AZ435" s="213"/>
      <c r="BA435" s="213"/>
      <c r="BB435" s="213"/>
      <c r="BC435" s="213"/>
      <c r="BD435" s="213"/>
    </row>
    <row r="436">
      <c r="A436" s="213">
        <f>IFERROR(__xludf.DUMMYFUNCTION("""COMPUTED_VALUE"""),2620.0)</f>
        <v>2620</v>
      </c>
      <c r="B436" s="213" t="str">
        <f>IFERROR(__xludf.DUMMYFUNCTION("""COMPUTED_VALUE"""),"MANUEL ANTONIO MESONES MURO")</f>
        <v>MANUEL ANTONIO MESONES MURO</v>
      </c>
      <c r="C436" s="213" t="str">
        <f>IFERROR(__xludf.DUMMYFUNCTION("""COMPUTED_VALUE"""),"TALLER SFT DE EBANISTERÍA")</f>
        <v>TALLER SFT DE EBANISTERÍA</v>
      </c>
      <c r="D436" s="213" t="str">
        <f>IFERROR(__xludf.DUMMYFUNCTION("""COMPUTED_VALUE"""),"HERRAMIENTAS")</f>
        <v>HERRAMIENTAS</v>
      </c>
      <c r="E436" s="213" t="str">
        <f>IFERROR(__xludf.DUMMYFUNCTION("""COMPUTED_VALUE"""),"COM-194")</f>
        <v>COM-194</v>
      </c>
      <c r="F436" s="213" t="str">
        <f>IFERROR(__xludf.DUMMYFUNCTION("""COMPUTED_VALUE"""),"COM-194")</f>
        <v>COM-194</v>
      </c>
      <c r="G436" s="213"/>
      <c r="H436" s="213" t="str">
        <f>IFERROR(__xludf.DUMMYFUNCTION("""COMPUTED_VALUE"""),"JUEGO DE PUNTAS MAGNÉTICAS PARA DESTORNILLADOR")</f>
        <v>JUEGO DE PUNTAS MAGNÉTICAS PARA DESTORNILLADOR</v>
      </c>
      <c r="I436" s="213" t="str">
        <f>IFERROR(__xludf.DUMMYFUNCTION("""COMPUTED_VALUE"""),"Juego de puntas de 11 piezas con soporte magnético:
- 03 piezas Phillips: Ph1, Ph2 y Ph3
- 03 piezas Pozidrive: Pz1, Pz2 y Pz3
- 04 piezas Torx: T15, T20, T25 y T30
- 01 Portabrocas magnético 1 Estuche")</f>
        <v>Juego de puntas de 11 piezas con soporte magnético:
- 03 piezas Phillips: Ph1, Ph2 y Ph3
- 03 piezas Pozidrive: Pz1, Pz2 y Pz3
- 04 piezas Torx: T15, T20, T25 y T30
- 01 Portabrocas magnético 1 Estuche</v>
      </c>
      <c r="J436" s="213">
        <f>IFERROR(__xludf.DUMMYFUNCTION("""COMPUTED_VALUE"""),3.0)</f>
        <v>3</v>
      </c>
      <c r="K436" s="213" t="str">
        <f>IFERROR(__xludf.DUMMYFUNCTION("""COMPUTED_VALUE"""),"90 DÍAS CALENDARIO")</f>
        <v>90 DÍAS CALENDARIO</v>
      </c>
      <c r="L436" s="213" t="str">
        <f>IFERROR(__xludf.DUMMYFUNCTION("""COMPUTED_VALUE"""),"")</f>
        <v/>
      </c>
      <c r="M436" s="213">
        <f>IFERROR(__xludf.DUMMYFUNCTION("""COMPUTED_VALUE"""),1.0)</f>
        <v>1</v>
      </c>
      <c r="N436" s="213">
        <f>IFERROR(__xludf.DUMMYFUNCTION("""COMPUTED_VALUE"""),4.0)</f>
        <v>4</v>
      </c>
      <c r="O436" s="213">
        <f>IFERROR(__xludf.DUMMYFUNCTION("""COMPUTED_VALUE"""),4.0)</f>
        <v>4</v>
      </c>
      <c r="P436" s="213"/>
      <c r="Q436" s="213"/>
      <c r="R436" s="213"/>
      <c r="S436" s="213"/>
      <c r="T436" s="213" t="str">
        <f>IFERROR(__xludf.DUMMYFUNCTION("""COMPUTED_VALUE"""),"SI")</f>
        <v>SI</v>
      </c>
      <c r="U436" s="213" t="str">
        <f>IFERROR(__xludf.DUMMYFUNCTION("""COMPUTED_VALUE"""),"SI")</f>
        <v>SI</v>
      </c>
      <c r="V436" s="213" t="str">
        <f>IFERROR(__xludf.DUMMYFUNCTION("""COMPUTED_VALUE"""),"-")</f>
        <v>-</v>
      </c>
      <c r="W436" s="213" t="str">
        <f>IFERROR(__xludf.DUMMYFUNCTION("""COMPUTED_VALUE"""),"-")</f>
        <v>-</v>
      </c>
      <c r="X436" s="213" t="str">
        <f>IFERROR(__xludf.DUMMYFUNCTION("""COMPUTED_VALUE"""),"BOSCH")</f>
        <v>BOSCH</v>
      </c>
      <c r="Y436" s="213">
        <f>IFERROR(__xludf.DUMMYFUNCTION("""COMPUTED_VALUE"""),2.608522129E9)</f>
        <v>2608522129</v>
      </c>
      <c r="Z436" s="215" t="str">
        <f>IFERROR(__xludf.DUMMYFUNCTION("""COMPUTED_VALUE"""),"https://www.bosch-professional.com/sa/en/extra-hard-screwdriver-bit-mixed-sets-compact-for-various-screw-types-with-magnetic-universal-holder-2867918-ocs-ac/")</f>
        <v>https://www.bosch-professional.com/sa/en/extra-hard-screwdriver-bit-mixed-sets-compact-for-various-screw-types-with-magnetic-universal-holder-2867918-ocs-ac/</v>
      </c>
      <c r="AA436" s="213" t="str">
        <f>IFERROR(__xludf.DUMMYFUNCTION("""COMPUTED_VALUE"""),"COM-194 JUEGO DE PUNTAS MAGNÉTICAS PARA DESTORNILLADOR - CET")</f>
        <v>COM-194 JUEGO DE PUNTAS MAGNÉTICAS PARA DESTORNILLADOR - CET</v>
      </c>
      <c r="AB436" s="213"/>
      <c r="AC436" s="213"/>
      <c r="AD436" s="213"/>
      <c r="AE436" s="213"/>
      <c r="AF436" s="213"/>
      <c r="AG436" s="213"/>
      <c r="AH436" s="213"/>
      <c r="AI436" s="213"/>
      <c r="AJ436" s="213"/>
      <c r="AK436" s="213"/>
      <c r="AL436" s="213"/>
      <c r="AM436" s="213"/>
      <c r="AN436" s="213"/>
      <c r="AO436" s="213"/>
      <c r="AP436" s="213" t="str">
        <f>IFERROR(__xludf.DUMMYFUNCTION("""COMPUTED_VALUE"""),"SEBASTIAN")</f>
        <v>SEBASTIAN</v>
      </c>
      <c r="AQ436" s="213"/>
      <c r="AR436" s="213"/>
      <c r="AS436" s="213"/>
      <c r="AT436" s="213"/>
      <c r="AU436" s="213"/>
      <c r="AV436" s="213"/>
      <c r="AW436" s="213"/>
      <c r="AX436" s="213"/>
      <c r="AY436" s="213"/>
      <c r="AZ436" s="213"/>
      <c r="BA436" s="213"/>
      <c r="BB436" s="213"/>
      <c r="BC436" s="213"/>
      <c r="BD436" s="213"/>
    </row>
    <row r="437">
      <c r="A437" s="213">
        <f>IFERROR(__xludf.DUMMYFUNCTION("""COMPUTED_VALUE"""),176.0)</f>
        <v>176</v>
      </c>
      <c r="B437" s="213" t="str">
        <f>IFERROR(__xludf.DUMMYFUNCTION("""COMPUTED_VALUE"""),"2026 SIMON BOLIVAR")</f>
        <v>2026 SIMON BOLIVAR</v>
      </c>
      <c r="C437" s="213" t="str">
        <f>IFERROR(__xludf.DUMMYFUNCTION("""COMPUTED_VALUE"""),"TALLER SFT DE INDUSTRIA DEL VESTIDO")</f>
        <v>TALLER SFT DE INDUSTRIA DEL VESTIDO</v>
      </c>
      <c r="D437" s="213" t="str">
        <f>IFERROR(__xludf.DUMMYFUNCTION("""COMPUTED_VALUE"""),"HERRAMIENTAS")</f>
        <v>HERRAMIENTAS</v>
      </c>
      <c r="E437" s="213" t="str">
        <f>IFERROR(__xludf.DUMMYFUNCTION("""COMPUTED_VALUE"""),"COM-195")</f>
        <v>COM-195</v>
      </c>
      <c r="F437" s="213" t="str">
        <f>IFERROR(__xludf.DUMMYFUNCTION("""COMPUTED_VALUE"""),"COM-195")</f>
        <v>COM-195</v>
      </c>
      <c r="G437" s="213"/>
      <c r="H437" s="213" t="str">
        <f>IFERROR(__xludf.DUMMYFUNCTION("""COMPUTED_VALUE"""),"JUEGO DE TIJERAS PARA TELAS")</f>
        <v>JUEGO DE TIJERAS PARA TELAS</v>
      </c>
      <c r="I437" s="213" t="str">
        <f>IFERROR(__xludf.DUMMYFUNCTION("""COMPUTED_VALUE"""),"Contiene 05  Tijeras para varios usos con diseños y tamaños diferentes (1 de cada tipo):
- Tijera de bordar. Niquelada de acero al carbono, forjada en caliente. Largo 4"".
- Tijera de sastre. Niquelada de acero al carbono, con mangos esmaltados. Largo 9"""&amp;".
- Tijera de modista. Niquelada de acero al carbono, forjada en caliente. Largo 7"".
- Tijera de costura. Niquelada de acero al carbono, forjada en caliente. Largo 7"".
- Tijera zigzag. Niquelada de acero al carbono, con mangos esmaltados. Largo 8,5"". M"&amp;"ango ergonómico, Inclinación del mango para mejor agarre y corte recto sobre mesa.")</f>
        <v>Contiene 05  Tijeras para varios usos con diseños y tamaños diferentes (1 de cada tipo):
- Tijera de bordar. Niquelada de acero al carbono, forjada en caliente. Largo 4".
- Tijera de sastre. Niquelada de acero al carbono, con mangos esmaltados. Largo 9".
- Tijera de modista. Niquelada de acero al carbono, forjada en caliente. Largo 7".
- Tijera de costura. Niquelada de acero al carbono, forjada en caliente. Largo 7".
- Tijera zigzag. Niquelada de acero al carbono, con mangos esmaltados. Largo 8,5". Mango ergonómico, Inclinación del mango para mejor agarre y corte recto sobre mesa.</v>
      </c>
      <c r="J437" s="213">
        <f>IFERROR(__xludf.DUMMYFUNCTION("""COMPUTED_VALUE"""),3.0)</f>
        <v>3</v>
      </c>
      <c r="K437" s="213" t="str">
        <f>IFERROR(__xludf.DUMMYFUNCTION("""COMPUTED_VALUE"""),"90 DÍAS CALENDARIO")</f>
        <v>90 DÍAS CALENDARIO</v>
      </c>
      <c r="L437" s="213" t="str">
        <f>IFERROR(__xludf.DUMMYFUNCTION("""COMPUTED_VALUE"""),"")</f>
        <v/>
      </c>
      <c r="M437" s="213">
        <f>IFERROR(__xludf.DUMMYFUNCTION("""COMPUTED_VALUE"""),1.0)</f>
        <v>1</v>
      </c>
      <c r="N437" s="213">
        <f>IFERROR(__xludf.DUMMYFUNCTION("""COMPUTED_VALUE"""),4.0)</f>
        <v>4</v>
      </c>
      <c r="O437" s="213">
        <f>IFERROR(__xludf.DUMMYFUNCTION("""COMPUTED_VALUE"""),4.0)</f>
        <v>4</v>
      </c>
      <c r="P437" s="213"/>
      <c r="Q437" s="213"/>
      <c r="R437" s="213"/>
      <c r="S437" s="213"/>
      <c r="T437" s="213" t="str">
        <f>IFERROR(__xludf.DUMMYFUNCTION("""COMPUTED_VALUE"""),"SI")</f>
        <v>SI</v>
      </c>
      <c r="U437" s="213" t="str">
        <f>IFERROR(__xludf.DUMMYFUNCTION("""COMPUTED_VALUE"""),"SI")</f>
        <v>SI</v>
      </c>
      <c r="V437" s="213" t="str">
        <f>IFERROR(__xludf.DUMMYFUNCTION("""COMPUTED_VALUE"""),"-")</f>
        <v>-</v>
      </c>
      <c r="W437" s="213" t="str">
        <f>IFERROR(__xludf.DUMMYFUNCTION("""COMPUTED_VALUE"""),"-")</f>
        <v>-</v>
      </c>
      <c r="X437" s="213" t="str">
        <f>IFERROR(__xludf.DUMMYFUNCTION("""COMPUTED_VALUE"""),"GENERICO")</f>
        <v>GENERICO</v>
      </c>
      <c r="Y437" s="213" t="str">
        <f>IFERROR(__xludf.DUMMYFUNCTION("""COMPUTED_VALUE"""),"GENERICO")</f>
        <v>GENERICO</v>
      </c>
      <c r="Z437" s="215" t="str">
        <f>IFERROR(__xludf.DUMMYFUNCTION("""COMPUTED_VALUE"""),"https://www.promart.pe/tijera-para-costura-7-pretul-23156-1001185282/p?gad_source=1&amp;gad_campaignid=22752513019&amp;gbraid=0AAAAADJIfAJq0PtvNUgRezlvl1vCQWQ24&amp;gclid=CjwKCAjwgeLHBhBuEiwAL5gNETjzwR3r3XQeU1T5lQNPbHM3DLzDz8VQsbjyLodTtq7Agkx68uXHwxoCcMQQAvD_BwE")</f>
        <v>https://www.promart.pe/tijera-para-costura-7-pretul-23156-1001185282/p?gad_source=1&amp;gad_campaignid=22752513019&amp;gbraid=0AAAAADJIfAJq0PtvNUgRezlvl1vCQWQ24&amp;gclid=CjwKCAjwgeLHBhBuEiwAL5gNETjzwR3r3XQeU1T5lQNPbHM3DLzDz8VQsbjyLodTtq7Agkx68uXHwxoCcMQQAvD_BwE</v>
      </c>
      <c r="AA437" s="213" t="str">
        <f>IFERROR(__xludf.DUMMYFUNCTION("""COMPUTED_VALUE"""),"COM-195 JUEGO DE TIJERAS PARA TELAS - CET")</f>
        <v>COM-195 JUEGO DE TIJERAS PARA TELAS - CET</v>
      </c>
      <c r="AB437" s="213"/>
      <c r="AC437" s="213"/>
      <c r="AD437" s="213"/>
      <c r="AE437" s="213"/>
      <c r="AF437" s="213"/>
      <c r="AG437" s="213"/>
      <c r="AH437" s="213"/>
      <c r="AI437" s="213"/>
      <c r="AJ437" s="213"/>
      <c r="AK437" s="213"/>
      <c r="AL437" s="213"/>
      <c r="AM437" s="213"/>
      <c r="AN437" s="213"/>
      <c r="AO437" s="213"/>
      <c r="AP437" s="213" t="str">
        <f>IFERROR(__xludf.DUMMYFUNCTION("""COMPUTED_VALUE"""),"LUIS")</f>
        <v>LUIS</v>
      </c>
      <c r="AQ437" s="213"/>
      <c r="AR437" s="213"/>
      <c r="AS437" s="213"/>
      <c r="AT437" s="213"/>
      <c r="AU437" s="213"/>
      <c r="AV437" s="213"/>
      <c r="AW437" s="213"/>
      <c r="AX437" s="213"/>
      <c r="AY437" s="213"/>
      <c r="AZ437" s="213"/>
      <c r="BA437" s="213"/>
      <c r="BB437" s="213"/>
      <c r="BC437" s="213"/>
      <c r="BD437" s="213"/>
    </row>
    <row r="438">
      <c r="A438" s="213">
        <f>IFERROR(__xludf.DUMMYFUNCTION("""COMPUTED_VALUE"""),2396.0)</f>
        <v>2396</v>
      </c>
      <c r="B438" s="213" t="str">
        <f>IFERROR(__xludf.DUMMYFUNCTION("""COMPUTED_VALUE"""),"MANUEL ANTONIO MESONES MURO")</f>
        <v>MANUEL ANTONIO MESONES MURO</v>
      </c>
      <c r="C438" s="213" t="str">
        <f>IFERROR(__xludf.DUMMYFUNCTION("""COMPUTED_VALUE"""),"TALLER SFT DE INDUSTRIA DEL VESTIDO")</f>
        <v>TALLER SFT DE INDUSTRIA DEL VESTIDO</v>
      </c>
      <c r="D438" s="213" t="str">
        <f>IFERROR(__xludf.DUMMYFUNCTION("""COMPUTED_VALUE"""),"HERRAMIENTAS")</f>
        <v>HERRAMIENTAS</v>
      </c>
      <c r="E438" s="213" t="str">
        <f>IFERROR(__xludf.DUMMYFUNCTION("""COMPUTED_VALUE"""),"COM-195")</f>
        <v>COM-195</v>
      </c>
      <c r="F438" s="213" t="str">
        <f>IFERROR(__xludf.DUMMYFUNCTION("""COMPUTED_VALUE"""),"COM-195")</f>
        <v>COM-195</v>
      </c>
      <c r="G438" s="213"/>
      <c r="H438" s="213" t="str">
        <f>IFERROR(__xludf.DUMMYFUNCTION("""COMPUTED_VALUE"""),"JUEGO DE TIJERAS PARA TELAS")</f>
        <v>JUEGO DE TIJERAS PARA TELAS</v>
      </c>
      <c r="I438" s="213" t="str">
        <f>IFERROR(__xludf.DUMMYFUNCTION("""COMPUTED_VALUE"""),"Contiene 05  Tijeras para varios usos con diseños y tamaños diferentes (1 de cada tipo):
- Tijera de bordar. Niquelada de acero al carbono, forjada en caliente. Largo 4"".
- Tijera de sastre. Niquelada de acero al carbono, con mangos esmaltados. Largo 9"""&amp;".
- Tijera de modista. Niquelada de acero al carbono, forjada en caliente. Largo 7"".
- Tijera de costura. Niquelada de acero al carbono, forjada en caliente. Largo 7"".
- Tijera zigzag. Niquelada de acero al carbono, con mangos esmaltados. Largo 8,5"". M"&amp;"ango ergonómico, Inclinación del mango para mejor agarre y corte recto sobre mesa.")</f>
        <v>Contiene 05  Tijeras para varios usos con diseños y tamaños diferentes (1 de cada tipo):
- Tijera de bordar. Niquelada de acero al carbono, forjada en caliente. Largo 4".
- Tijera de sastre. Niquelada de acero al carbono, con mangos esmaltados. Largo 9".
- Tijera de modista. Niquelada de acero al carbono, forjada en caliente. Largo 7".
- Tijera de costura. Niquelada de acero al carbono, forjada en caliente. Largo 7".
- Tijera zigzag. Niquelada de acero al carbono, con mangos esmaltados. Largo 8,5". Mango ergonómico, Inclinación del mango para mejor agarre y corte recto sobre mesa.</v>
      </c>
      <c r="J438" s="213">
        <f>IFERROR(__xludf.DUMMYFUNCTION("""COMPUTED_VALUE"""),3.0)</f>
        <v>3</v>
      </c>
      <c r="K438" s="213" t="str">
        <f>IFERROR(__xludf.DUMMYFUNCTION("""COMPUTED_VALUE"""),"90 DÍAS CALENDARIO")</f>
        <v>90 DÍAS CALENDARIO</v>
      </c>
      <c r="L438" s="213" t="str">
        <f>IFERROR(__xludf.DUMMYFUNCTION("""COMPUTED_VALUE"""),"")</f>
        <v/>
      </c>
      <c r="M438" s="213">
        <f>IFERROR(__xludf.DUMMYFUNCTION("""COMPUTED_VALUE"""),1.0)</f>
        <v>1</v>
      </c>
      <c r="N438" s="213">
        <f>IFERROR(__xludf.DUMMYFUNCTION("""COMPUTED_VALUE"""),4.0)</f>
        <v>4</v>
      </c>
      <c r="O438" s="213">
        <f>IFERROR(__xludf.DUMMYFUNCTION("""COMPUTED_VALUE"""),4.0)</f>
        <v>4</v>
      </c>
      <c r="P438" s="213"/>
      <c r="Q438" s="213"/>
      <c r="R438" s="213"/>
      <c r="S438" s="213"/>
      <c r="T438" s="213" t="str">
        <f>IFERROR(__xludf.DUMMYFUNCTION("""COMPUTED_VALUE"""),"SI")</f>
        <v>SI</v>
      </c>
      <c r="U438" s="213" t="str">
        <f>IFERROR(__xludf.DUMMYFUNCTION("""COMPUTED_VALUE"""),"SI")</f>
        <v>SI</v>
      </c>
      <c r="V438" s="213" t="str">
        <f>IFERROR(__xludf.DUMMYFUNCTION("""COMPUTED_VALUE"""),"-")</f>
        <v>-</v>
      </c>
      <c r="W438" s="213" t="str">
        <f>IFERROR(__xludf.DUMMYFUNCTION("""COMPUTED_VALUE"""),"-")</f>
        <v>-</v>
      </c>
      <c r="X438" s="213" t="str">
        <f>IFERROR(__xludf.DUMMYFUNCTION("""COMPUTED_VALUE"""),"GENERICO")</f>
        <v>GENERICO</v>
      </c>
      <c r="Y438" s="213" t="str">
        <f>IFERROR(__xludf.DUMMYFUNCTION("""COMPUTED_VALUE"""),"GENERICO")</f>
        <v>GENERICO</v>
      </c>
      <c r="Z438" s="215" t="str">
        <f>IFERROR(__xludf.DUMMYFUNCTION("""COMPUTED_VALUE"""),"https://www.promart.pe/tijera-para-costura-7-pretul-23156-1001185282/p?gad_source=1&amp;gad_campaignid=22752513019&amp;gbraid=0AAAAADJIfAJq0PtvNUgRezlvl1vCQWQ24&amp;gclid=CjwKCAjwgeLHBhBuEiwAL5gNETjzwR3r3XQeU1T5lQNPbHM3DLzDz8VQsbjyLodTtq7Agkx68uXHwxoCcMQQAvD_BwE")</f>
        <v>https://www.promart.pe/tijera-para-costura-7-pretul-23156-1001185282/p?gad_source=1&amp;gad_campaignid=22752513019&amp;gbraid=0AAAAADJIfAJq0PtvNUgRezlvl1vCQWQ24&amp;gclid=CjwKCAjwgeLHBhBuEiwAL5gNETjzwR3r3XQeU1T5lQNPbHM3DLzDz8VQsbjyLodTtq7Agkx68uXHwxoCcMQQAvD_BwE</v>
      </c>
      <c r="AA438" s="213" t="str">
        <f>IFERROR(__xludf.DUMMYFUNCTION("""COMPUTED_VALUE"""),"COM-195 JUEGO DE TIJERAS PARA TELAS - CET")</f>
        <v>COM-195 JUEGO DE TIJERAS PARA TELAS - CET</v>
      </c>
      <c r="AB438" s="213"/>
      <c r="AC438" s="213"/>
      <c r="AD438" s="213"/>
      <c r="AE438" s="213"/>
      <c r="AF438" s="213"/>
      <c r="AG438" s="213"/>
      <c r="AH438" s="213"/>
      <c r="AI438" s="213"/>
      <c r="AJ438" s="213"/>
      <c r="AK438" s="213"/>
      <c r="AL438" s="213"/>
      <c r="AM438" s="213"/>
      <c r="AN438" s="213"/>
      <c r="AO438" s="213"/>
      <c r="AP438" s="213" t="str">
        <f>IFERROR(__xludf.DUMMYFUNCTION("""COMPUTED_VALUE"""),"LUIS")</f>
        <v>LUIS</v>
      </c>
      <c r="AQ438" s="213"/>
      <c r="AR438" s="213"/>
      <c r="AS438" s="213"/>
      <c r="AT438" s="213"/>
      <c r="AU438" s="213"/>
      <c r="AV438" s="213"/>
      <c r="AW438" s="213"/>
      <c r="AX438" s="213"/>
      <c r="AY438" s="213"/>
      <c r="AZ438" s="213"/>
      <c r="BA438" s="213"/>
      <c r="BB438" s="213"/>
      <c r="BC438" s="213"/>
      <c r="BD438" s="213"/>
    </row>
    <row r="439">
      <c r="A439" s="213">
        <f>IFERROR(__xludf.DUMMYFUNCTION("""COMPUTED_VALUE"""),2521.0)</f>
        <v>2521</v>
      </c>
      <c r="B439" s="213" t="str">
        <f>IFERROR(__xludf.DUMMYFUNCTION("""COMPUTED_VALUE"""),"MANUEL ANTONIO MESONES MURO")</f>
        <v>MANUEL ANTONIO MESONES MURO</v>
      </c>
      <c r="C439" s="213" t="str">
        <f>IFERROR(__xludf.DUMMYFUNCTION("""COMPUTED_VALUE"""),"TALLER SFT DE CONSTRUCCIONES METÁLICAS")</f>
        <v>TALLER SFT DE CONSTRUCCIONES METÁLICAS</v>
      </c>
      <c r="D439" s="213" t="str">
        <f>IFERROR(__xludf.DUMMYFUNCTION("""COMPUTED_VALUE"""),"EQUIPOS")</f>
        <v>EQUIPOS</v>
      </c>
      <c r="E439" s="213" t="str">
        <f>IFERROR(__xludf.DUMMYFUNCTION("""COMPUTED_VALUE"""),"ESP-130")</f>
        <v>ESP-130</v>
      </c>
      <c r="F439" s="213" t="str">
        <f>IFERROR(__xludf.DUMMYFUNCTION("""COMPUTED_VALUE"""),"ESP-130")</f>
        <v>ESP-130</v>
      </c>
      <c r="G439" s="213"/>
      <c r="H439" s="213" t="str">
        <f>IFERROR(__xludf.DUMMYFUNCTION("""COMPUTED_VALUE"""),"COMPRESORA DE AIRE (50L - 2HP)")</f>
        <v>COMPRESORA DE AIRE (50L - 2HP)</v>
      </c>
      <c r="I439" s="213" t="str">
        <f>IFERROR(__xludf.DUMMYFUNCTION("""COMPUTED_VALUE"""),"· Motor mínimo 2 HP (caballo de fuerza)
· Tanque mínimo 50 L
· Capacidad mínima 120L/min
· Presión mínimo 8 bar
· Peso aproximado (+-100gr) 40 kg
· Voltaje primario 220 v; 60 Hz monofásico
· Dimensiones aproximados (+-2cm): L 0.615m x A 0.32m x H 0.585m")</f>
        <v>· Motor mínimo 2 HP (caballo de fuerza)
· Tanque mínimo 50 L
· Capacidad mínima 120L/min
· Presión mínimo 8 bar
· Peso aproximado (+-100gr) 40 kg
· Voltaje primario 220 v; 60 Hz monofásico
· Dimensiones aproximados (+-2cm): L 0.615m x A 0.32m x H 0.585m</v>
      </c>
      <c r="J439" s="213">
        <f>IFERROR(__xludf.DUMMYFUNCTION("""COMPUTED_VALUE"""),3.0)</f>
        <v>3</v>
      </c>
      <c r="K439" s="213" t="str">
        <f>IFERROR(__xludf.DUMMYFUNCTION("""COMPUTED_VALUE"""),"170 DÍAS CALENDARIO")</f>
        <v>170 DÍAS CALENDARIO</v>
      </c>
      <c r="L439" s="213" t="str">
        <f>IFERROR(__xludf.DUMMYFUNCTION("""COMPUTED_VALUE"""),"")</f>
        <v/>
      </c>
      <c r="M439" s="213">
        <f>IFERROR(__xludf.DUMMYFUNCTION("""COMPUTED_VALUE"""),1.0)</f>
        <v>1</v>
      </c>
      <c r="N439" s="213">
        <f>IFERROR(__xludf.DUMMYFUNCTION("""COMPUTED_VALUE"""),1.0)</f>
        <v>1</v>
      </c>
      <c r="O439" s="213">
        <f>IFERROR(__xludf.DUMMYFUNCTION("""COMPUTED_VALUE"""),1.0)</f>
        <v>1</v>
      </c>
      <c r="P439" s="213"/>
      <c r="Q439" s="213"/>
      <c r="R439" s="213"/>
      <c r="S439" s="213" t="str">
        <f>IFERROR(__xludf.DUMMYFUNCTION("""COMPUTED_VALUE"""),"SI")</f>
        <v>SI</v>
      </c>
      <c r="T439" s="213" t="str">
        <f>IFERROR(__xludf.DUMMYFUNCTION("""COMPUTED_VALUE"""),"SI")</f>
        <v>SI</v>
      </c>
      <c r="U439" s="213" t="str">
        <f>IFERROR(__xludf.DUMMYFUNCTION("""COMPUTED_VALUE"""),"SI")</f>
        <v>SI</v>
      </c>
      <c r="V439" s="213" t="str">
        <f>IFERROR(__xludf.DUMMYFUNCTION("""COMPUTED_VALUE"""),"-")</f>
        <v>-</v>
      </c>
      <c r="W439" s="213" t="str">
        <f>IFERROR(__xludf.DUMMYFUNCTION("""COMPUTED_VALUE"""),"-")</f>
        <v>-</v>
      </c>
      <c r="X439" s="213" t="str">
        <f>IFERROR(__xludf.DUMMYFUNCTION("""COMPUTED_VALUE"""),"TRUPER")</f>
        <v>TRUPER</v>
      </c>
      <c r="Y439" s="213" t="str">
        <f>IFERROR(__xludf.DUMMYFUNCTION("""COMPUTED_VALUE"""),"COMP-KIT50-260")</f>
        <v>COMP-KIT50-260</v>
      </c>
      <c r="Z439" s="215" t="str">
        <f>IFERROR(__xludf.DUMMYFUNCTION("""COMPUTED_VALUE"""),"https://www.aibitech.com/herramientas-electricas/sierras/compresora-de-aire/compresora-de-aire-de-35-hp-50l-arranque-automatico-comp-50lt-260-11837-truper-16441.html?srsltid=AfmBOopR8FWY-1gVYn-_wN1--TVCWMoTpxXvVOxalx6Owo6EUWkqzOgQ")</f>
        <v>https://www.aibitech.com/herramientas-electricas/sierras/compresora-de-aire/compresora-de-aire-de-35-hp-50l-arranque-automatico-comp-50lt-260-11837-truper-16441.html?srsltid=AfmBOopR8FWY-1gVYn-_wN1--TVCWMoTpxXvVOxalx6Owo6EUWkqzOgQ</v>
      </c>
      <c r="AA439" s="213" t="str">
        <f>IFERROR(__xludf.DUMMYFUNCTION("""COMPUTED_VALUE"""),"ESP-130 COMPRESORA DE AIRE (50L - 2HP) - CET")</f>
        <v>ESP-130 COMPRESORA DE AIRE (50L - 2HP) - CET</v>
      </c>
      <c r="AB439" s="215" t="str">
        <f>IFERROR(__xludf.DUMMYFUNCTION("""COMPUTED_VALUE"""),"https://drive.google.com/file/d/16BfVYuTQApATtCdeEBUKWu441rnLK2Ch/view?usp=drive_link")</f>
        <v>https://drive.google.com/file/d/16BfVYuTQApATtCdeEBUKWu441rnLK2Ch/view?usp=drive_link</v>
      </c>
      <c r="AC439" s="213"/>
      <c r="AD439" s="213"/>
      <c r="AE439" s="213"/>
      <c r="AF439" s="213"/>
      <c r="AG439" s="213"/>
      <c r="AH439" s="213" t="str">
        <f>IFERROR(__xludf.DUMMYFUNCTION("""COMPUTED_VALUE"""),"NACIONAL")</f>
        <v>NACIONAL</v>
      </c>
      <c r="AI439" s="213"/>
      <c r="AJ439" s="213"/>
      <c r="AK439" s="213"/>
      <c r="AL439" s="213"/>
      <c r="AM439" s="213"/>
      <c r="AN439" s="213"/>
      <c r="AO439" s="213"/>
      <c r="AP439" s="213" t="str">
        <f>IFERROR(__xludf.DUMMYFUNCTION("""COMPUTED_VALUE"""),"NALDI")</f>
        <v>NALDI</v>
      </c>
      <c r="AQ439" s="213"/>
      <c r="AR439" s="213"/>
      <c r="AS439" s="213"/>
      <c r="AT439" s="213"/>
      <c r="AU439" s="213"/>
      <c r="AV439" s="213"/>
      <c r="AW439" s="213"/>
      <c r="AX439" s="213"/>
      <c r="AY439" s="213"/>
      <c r="AZ439" s="213"/>
      <c r="BA439" s="213"/>
      <c r="BB439" s="213"/>
      <c r="BC439" s="213"/>
      <c r="BD439" s="213"/>
    </row>
    <row r="440">
      <c r="A440" s="213">
        <f>IFERROR(__xludf.DUMMYFUNCTION("""COMPUTED_VALUE"""),969.0)</f>
        <v>969</v>
      </c>
      <c r="B440" s="213" t="str">
        <f>IFERROR(__xludf.DUMMYFUNCTION("""COMPUTED_VALUE"""),"FRANCISCO IRAZOLA")</f>
        <v>FRANCISCO IRAZOLA</v>
      </c>
      <c r="C440" s="213" t="str">
        <f>IFERROR(__xludf.DUMMYFUNCTION("""COMPUTED_VALUE"""),"TALLER SFT DE MECÁNICA AUTOMOTRIZ")</f>
        <v>TALLER SFT DE MECÁNICA AUTOMOTRIZ</v>
      </c>
      <c r="D440" s="213" t="str">
        <f>IFERROR(__xludf.DUMMYFUNCTION("""COMPUTED_VALUE"""),"HERRAMIENTAS")</f>
        <v>HERRAMIENTAS</v>
      </c>
      <c r="E440" s="213" t="str">
        <f>IFERROR(__xludf.DUMMYFUNCTION("""COMPUTED_VALUE"""),"COM-201")</f>
        <v>COM-201</v>
      </c>
      <c r="F440" s="213" t="str">
        <f>IFERROR(__xludf.DUMMYFUNCTION("""COMPUTED_VALUE"""),"COM-201")</f>
        <v>COM-201</v>
      </c>
      <c r="G440" s="213"/>
      <c r="H440" s="213" t="str">
        <f>IFERROR(__xludf.DUMMYFUNCTION("""COMPUTED_VALUE"""),"KIT PARA DESMONTAJE DE SENSORES")</f>
        <v>KIT PARA DESMONTAJE DE SENSORES</v>
      </c>
      <c r="I440" s="213" t="str">
        <f>IFERROR(__xludf.DUMMYFUNCTION("""COMPUTED_VALUE"""),"Kit de llaves (dados) especiales, para desmontar y montar sensores de vacío, oxigeno, válvulas de presión estática, entre otros.
Este juego de llaves, proporciona cobertura necesaria para dar servicio a la mayoría de los vehículos. El juego incluye un mín"&amp;"imo de 7 llaves, diseñados para diferentes sensores.")</f>
        <v>Kit de llaves (dados) especiales, para desmontar y montar sensores de vacío, oxigeno, válvulas de presión estática, entre otros.
Este juego de llaves, proporciona cobertura necesaria para dar servicio a la mayoría de los vehículos. El juego incluye un mínimo de 7 llaves, diseñados para diferentes sensores.</v>
      </c>
      <c r="J440" s="213">
        <f>IFERROR(__xludf.DUMMYFUNCTION("""COMPUTED_VALUE"""),3.0)</f>
        <v>3</v>
      </c>
      <c r="K440" s="213" t="str">
        <f>IFERROR(__xludf.DUMMYFUNCTION("""COMPUTED_VALUE"""),"90 DÍAS CALENDARIO")</f>
        <v>90 DÍAS CALENDARIO</v>
      </c>
      <c r="L440" s="213" t="str">
        <f>IFERROR(__xludf.DUMMYFUNCTION("""COMPUTED_VALUE"""),"")</f>
        <v/>
      </c>
      <c r="M440" s="213">
        <f>IFERROR(__xludf.DUMMYFUNCTION("""COMPUTED_VALUE"""),1.0)</f>
        <v>1</v>
      </c>
      <c r="N440" s="213">
        <f>IFERROR(__xludf.DUMMYFUNCTION("""COMPUTED_VALUE"""),1.0)</f>
        <v>1</v>
      </c>
      <c r="O440" s="213">
        <f>IFERROR(__xludf.DUMMYFUNCTION("""COMPUTED_VALUE"""),1.0)</f>
        <v>1</v>
      </c>
      <c r="P440" s="213"/>
      <c r="Q440" s="213"/>
      <c r="R440" s="213"/>
      <c r="S440" s="213"/>
      <c r="T440" s="213" t="str">
        <f>IFERROR(__xludf.DUMMYFUNCTION("""COMPUTED_VALUE"""),"SI")</f>
        <v>SI</v>
      </c>
      <c r="U440" s="213" t="str">
        <f>IFERROR(__xludf.DUMMYFUNCTION("""COMPUTED_VALUE"""),"SI")</f>
        <v>SI</v>
      </c>
      <c r="V440" s="213" t="str">
        <f>IFERROR(__xludf.DUMMYFUNCTION("""COMPUTED_VALUE"""),"-")</f>
        <v>-</v>
      </c>
      <c r="W440" s="213" t="str">
        <f>IFERROR(__xludf.DUMMYFUNCTION("""COMPUTED_VALUE"""),"-")</f>
        <v>-</v>
      </c>
      <c r="X440" s="213" t="str">
        <f>IFERROR(__xludf.DUMMYFUNCTION("""COMPUTED_VALUE"""),"Würth")</f>
        <v>Würth</v>
      </c>
      <c r="Y440" s="213" t="str">
        <f>IFERROR(__xludf.DUMMYFUNCTION("""COMPUTED_VALUE"""),"00714 780 1")</f>
        <v>00714 780 1</v>
      </c>
      <c r="Z440" s="215" t="str">
        <f>IFERROR(__xludf.DUMMYFUNCTION("""COMPUTED_VALUE"""),"https://eshop.wurth.pe/kit-de-herramientas/kit-de-dados-para-sensores-7pz-2738.html")</f>
        <v>https://eshop.wurth.pe/kit-de-herramientas/kit-de-dados-para-sensores-7pz-2738.html</v>
      </c>
      <c r="AA440" s="213" t="str">
        <f>IFERROR(__xludf.DUMMYFUNCTION("""COMPUTED_VALUE"""),"COM-201 KIT PARA DESMONTAJE DE SENSORES - CET")</f>
        <v>COM-201 KIT PARA DESMONTAJE DE SENSORES - CET</v>
      </c>
      <c r="AB440" s="213"/>
      <c r="AC440" s="213"/>
      <c r="AD440" s="213"/>
      <c r="AE440" s="213"/>
      <c r="AF440" s="213"/>
      <c r="AG440" s="213"/>
      <c r="AH440" s="213"/>
      <c r="AI440" s="213"/>
      <c r="AJ440" s="213"/>
      <c r="AK440" s="213"/>
      <c r="AL440" s="213"/>
      <c r="AM440" s="213"/>
      <c r="AN440" s="213"/>
      <c r="AO440" s="213"/>
      <c r="AP440" s="213" t="str">
        <f>IFERROR(__xludf.DUMMYFUNCTION("""COMPUTED_VALUE"""),"SEBASTIAN")</f>
        <v>SEBASTIAN</v>
      </c>
      <c r="AQ440" s="213"/>
      <c r="AR440" s="213"/>
      <c r="AS440" s="213"/>
      <c r="AT440" s="213"/>
      <c r="AU440" s="213"/>
      <c r="AV440" s="213"/>
      <c r="AW440" s="213"/>
      <c r="AX440" s="213"/>
      <c r="AY440" s="213"/>
      <c r="AZ440" s="213"/>
      <c r="BA440" s="213"/>
      <c r="BB440" s="213"/>
      <c r="BC440" s="213"/>
      <c r="BD440" s="213"/>
    </row>
    <row r="441">
      <c r="A441" s="213">
        <f>IFERROR(__xludf.DUMMYFUNCTION("""COMPUTED_VALUE"""),1570.0)</f>
        <v>1570</v>
      </c>
      <c r="B441" s="213" t="str">
        <f>IFERROR(__xludf.DUMMYFUNCTION("""COMPUTED_VALUE"""),"GUILLERMO E. BILLINGHURST ")</f>
        <v>GUILLERMO E. BILLINGHURST </v>
      </c>
      <c r="C441" s="213" t="str">
        <f>IFERROR(__xludf.DUMMYFUNCTION("""COMPUTED_VALUE"""),"TALLER SFT DE MECÁNICA AUTOMOTRIZ")</f>
        <v>TALLER SFT DE MECÁNICA AUTOMOTRIZ</v>
      </c>
      <c r="D441" s="213" t="str">
        <f>IFERROR(__xludf.DUMMYFUNCTION("""COMPUTED_VALUE"""),"HERRAMIENTAS")</f>
        <v>HERRAMIENTAS</v>
      </c>
      <c r="E441" s="213" t="str">
        <f>IFERROR(__xludf.DUMMYFUNCTION("""COMPUTED_VALUE"""),"COM-201")</f>
        <v>COM-201</v>
      </c>
      <c r="F441" s="213" t="str">
        <f>IFERROR(__xludf.DUMMYFUNCTION("""COMPUTED_VALUE"""),"COM-201")</f>
        <v>COM-201</v>
      </c>
      <c r="G441" s="213"/>
      <c r="H441" s="213" t="str">
        <f>IFERROR(__xludf.DUMMYFUNCTION("""COMPUTED_VALUE"""),"KIT PARA DESMONTAJE DE SENSORES")</f>
        <v>KIT PARA DESMONTAJE DE SENSORES</v>
      </c>
      <c r="I441" s="213" t="str">
        <f>IFERROR(__xludf.DUMMYFUNCTION("""COMPUTED_VALUE"""),"Kit de llaves (dados) especiales, para desmontar y montar sensores de vacío, oxigeno, válvulas de presión estática, entre otros.
Este juego de llaves, proporciona cobertura necesaria para dar servicio a la mayoría de los vehículos. El juego incluye un mín"&amp;"imo de 7 llaves, diseñados para diferentes sensores.")</f>
        <v>Kit de llaves (dados) especiales, para desmontar y montar sensores de vacío, oxigeno, válvulas de presión estática, entre otros.
Este juego de llaves, proporciona cobertura necesaria para dar servicio a la mayoría de los vehículos. El juego incluye un mínimo de 7 llaves, diseñados para diferentes sensores.</v>
      </c>
      <c r="J441" s="213">
        <f>IFERROR(__xludf.DUMMYFUNCTION("""COMPUTED_VALUE"""),3.0)</f>
        <v>3</v>
      </c>
      <c r="K441" s="213" t="str">
        <f>IFERROR(__xludf.DUMMYFUNCTION("""COMPUTED_VALUE"""),"90 DÍAS CALENDARIO")</f>
        <v>90 DÍAS CALENDARIO</v>
      </c>
      <c r="L441" s="213" t="str">
        <f>IFERROR(__xludf.DUMMYFUNCTION("""COMPUTED_VALUE"""),"")</f>
        <v/>
      </c>
      <c r="M441" s="213">
        <f>IFERROR(__xludf.DUMMYFUNCTION("""COMPUTED_VALUE"""),1.0)</f>
        <v>1</v>
      </c>
      <c r="N441" s="213">
        <f>IFERROR(__xludf.DUMMYFUNCTION("""COMPUTED_VALUE"""),1.0)</f>
        <v>1</v>
      </c>
      <c r="O441" s="213">
        <f>IFERROR(__xludf.DUMMYFUNCTION("""COMPUTED_VALUE"""),1.0)</f>
        <v>1</v>
      </c>
      <c r="P441" s="213"/>
      <c r="Q441" s="213"/>
      <c r="R441" s="213"/>
      <c r="S441" s="213"/>
      <c r="T441" s="213" t="str">
        <f>IFERROR(__xludf.DUMMYFUNCTION("""COMPUTED_VALUE"""),"SI")</f>
        <v>SI</v>
      </c>
      <c r="U441" s="213" t="str">
        <f>IFERROR(__xludf.DUMMYFUNCTION("""COMPUTED_VALUE"""),"SI")</f>
        <v>SI</v>
      </c>
      <c r="V441" s="213" t="str">
        <f>IFERROR(__xludf.DUMMYFUNCTION("""COMPUTED_VALUE"""),"-")</f>
        <v>-</v>
      </c>
      <c r="W441" s="213" t="str">
        <f>IFERROR(__xludf.DUMMYFUNCTION("""COMPUTED_VALUE"""),"-")</f>
        <v>-</v>
      </c>
      <c r="X441" s="213" t="str">
        <f>IFERROR(__xludf.DUMMYFUNCTION("""COMPUTED_VALUE"""),"Würth")</f>
        <v>Würth</v>
      </c>
      <c r="Y441" s="213" t="str">
        <f>IFERROR(__xludf.DUMMYFUNCTION("""COMPUTED_VALUE"""),"715 780 1")</f>
        <v>715 780 1</v>
      </c>
      <c r="Z441" s="215" t="str">
        <f>IFERROR(__xludf.DUMMYFUNCTION("""COMPUTED_VALUE"""),"https://eshop.wurth.pe/kit-de-herramientas/kit-de-dados-para-sensores-7pz-2738.html")</f>
        <v>https://eshop.wurth.pe/kit-de-herramientas/kit-de-dados-para-sensores-7pz-2738.html</v>
      </c>
      <c r="AA441" s="213" t="str">
        <f>IFERROR(__xludf.DUMMYFUNCTION("""COMPUTED_VALUE"""),"COM-201 KIT PARA DESMONTAJE DE SENSORES - CET")</f>
        <v>COM-201 KIT PARA DESMONTAJE DE SENSORES - CET</v>
      </c>
      <c r="AB441" s="213"/>
      <c r="AC441" s="213"/>
      <c r="AD441" s="213"/>
      <c r="AE441" s="213"/>
      <c r="AF441" s="213"/>
      <c r="AG441" s="213"/>
      <c r="AH441" s="213"/>
      <c r="AI441" s="213"/>
      <c r="AJ441" s="213"/>
      <c r="AK441" s="213"/>
      <c r="AL441" s="213"/>
      <c r="AM441" s="213"/>
      <c r="AN441" s="213"/>
      <c r="AO441" s="213"/>
      <c r="AP441" s="213" t="str">
        <f>IFERROR(__xludf.DUMMYFUNCTION("""COMPUTED_VALUE"""),"SEBASTIAN")</f>
        <v>SEBASTIAN</v>
      </c>
      <c r="AQ441" s="213"/>
      <c r="AR441" s="213"/>
      <c r="AS441" s="213"/>
      <c r="AT441" s="213"/>
      <c r="AU441" s="213"/>
      <c r="AV441" s="213"/>
      <c r="AW441" s="213"/>
      <c r="AX441" s="213"/>
      <c r="AY441" s="213"/>
      <c r="AZ441" s="213"/>
      <c r="BA441" s="213"/>
      <c r="BB441" s="213"/>
      <c r="BC441" s="213"/>
      <c r="BD441" s="213"/>
    </row>
    <row r="442">
      <c r="A442" s="213">
        <f>IFERROR(__xludf.DUMMYFUNCTION("""COMPUTED_VALUE"""),2262.0)</f>
        <v>2262</v>
      </c>
      <c r="B442" s="213" t="str">
        <f>IFERROR(__xludf.DUMMYFUNCTION("""COMPUTED_VALUE"""),"JOSE GRANDA")</f>
        <v>JOSE GRANDA</v>
      </c>
      <c r="C442" s="213" t="str">
        <f>IFERROR(__xludf.DUMMYFUNCTION("""COMPUTED_VALUE"""),"TALLER SFT DE MECÁNICA AUTOMOTRIZ")</f>
        <v>TALLER SFT DE MECÁNICA AUTOMOTRIZ</v>
      </c>
      <c r="D442" s="213" t="str">
        <f>IFERROR(__xludf.DUMMYFUNCTION("""COMPUTED_VALUE"""),"HERRAMIENTAS")</f>
        <v>HERRAMIENTAS</v>
      </c>
      <c r="E442" s="213" t="str">
        <f>IFERROR(__xludf.DUMMYFUNCTION("""COMPUTED_VALUE"""),"COM-201")</f>
        <v>COM-201</v>
      </c>
      <c r="F442" s="213" t="str">
        <f>IFERROR(__xludf.DUMMYFUNCTION("""COMPUTED_VALUE"""),"COM-201")</f>
        <v>COM-201</v>
      </c>
      <c r="G442" s="213"/>
      <c r="H442" s="213" t="str">
        <f>IFERROR(__xludf.DUMMYFUNCTION("""COMPUTED_VALUE"""),"KIT PARA DESMONTAJE DE SENSORES")</f>
        <v>KIT PARA DESMONTAJE DE SENSORES</v>
      </c>
      <c r="I442" s="213" t="str">
        <f>IFERROR(__xludf.DUMMYFUNCTION("""COMPUTED_VALUE"""),"Kit de llaves (dados) especiales, para desmontar y montar sensores de vacío, oxigeno, válvulas de presión estática, entre otros.
Este juego de llaves, proporciona cobertura necesaria para dar servicio a la mayoría de los vehículos. El juego incluye un mín"&amp;"imo de 7 llaves, diseñados para diferentes sensores.")</f>
        <v>Kit de llaves (dados) especiales, para desmontar y montar sensores de vacío, oxigeno, válvulas de presión estática, entre otros.
Este juego de llaves, proporciona cobertura necesaria para dar servicio a la mayoría de los vehículos. El juego incluye un mínimo de 7 llaves, diseñados para diferentes sensores.</v>
      </c>
      <c r="J442" s="213">
        <f>IFERROR(__xludf.DUMMYFUNCTION("""COMPUTED_VALUE"""),3.0)</f>
        <v>3</v>
      </c>
      <c r="K442" s="213" t="str">
        <f>IFERROR(__xludf.DUMMYFUNCTION("""COMPUTED_VALUE"""),"90 DÍAS CALENDARIO")</f>
        <v>90 DÍAS CALENDARIO</v>
      </c>
      <c r="L442" s="213" t="str">
        <f>IFERROR(__xludf.DUMMYFUNCTION("""COMPUTED_VALUE"""),"")</f>
        <v/>
      </c>
      <c r="M442" s="213">
        <f>IFERROR(__xludf.DUMMYFUNCTION("""COMPUTED_VALUE"""),1.0)</f>
        <v>1</v>
      </c>
      <c r="N442" s="213">
        <f>IFERROR(__xludf.DUMMYFUNCTION("""COMPUTED_VALUE"""),1.0)</f>
        <v>1</v>
      </c>
      <c r="O442" s="213">
        <f>IFERROR(__xludf.DUMMYFUNCTION("""COMPUTED_VALUE"""),1.0)</f>
        <v>1</v>
      </c>
      <c r="P442" s="213"/>
      <c r="Q442" s="213"/>
      <c r="R442" s="213"/>
      <c r="S442" s="213"/>
      <c r="T442" s="213" t="str">
        <f>IFERROR(__xludf.DUMMYFUNCTION("""COMPUTED_VALUE"""),"SI")</f>
        <v>SI</v>
      </c>
      <c r="U442" s="213" t="str">
        <f>IFERROR(__xludf.DUMMYFUNCTION("""COMPUTED_VALUE"""),"SI")</f>
        <v>SI</v>
      </c>
      <c r="V442" s="213" t="str">
        <f>IFERROR(__xludf.DUMMYFUNCTION("""COMPUTED_VALUE"""),"-")</f>
        <v>-</v>
      </c>
      <c r="W442" s="213" t="str">
        <f>IFERROR(__xludf.DUMMYFUNCTION("""COMPUTED_VALUE"""),"-")</f>
        <v>-</v>
      </c>
      <c r="X442" s="213" t="str">
        <f>IFERROR(__xludf.DUMMYFUNCTION("""COMPUTED_VALUE"""),"Würth")</f>
        <v>Würth</v>
      </c>
      <c r="Y442" s="213" t="str">
        <f>IFERROR(__xludf.DUMMYFUNCTION("""COMPUTED_VALUE"""),"716 780 1")</f>
        <v>716 780 1</v>
      </c>
      <c r="Z442" s="215" t="str">
        <f>IFERROR(__xludf.DUMMYFUNCTION("""COMPUTED_VALUE"""),"https://eshop.wurth.pe/kit-de-herramientas/kit-de-dados-para-sensores-7pz-2738.html")</f>
        <v>https://eshop.wurth.pe/kit-de-herramientas/kit-de-dados-para-sensores-7pz-2738.html</v>
      </c>
      <c r="AA442" s="213" t="str">
        <f>IFERROR(__xludf.DUMMYFUNCTION("""COMPUTED_VALUE"""),"COM-201 KIT PARA DESMONTAJE DE SENSORES - CET")</f>
        <v>COM-201 KIT PARA DESMONTAJE DE SENSORES - CET</v>
      </c>
      <c r="AB442" s="213"/>
      <c r="AC442" s="213"/>
      <c r="AD442" s="213"/>
      <c r="AE442" s="213"/>
      <c r="AF442" s="213"/>
      <c r="AG442" s="213"/>
      <c r="AH442" s="213"/>
      <c r="AI442" s="213"/>
      <c r="AJ442" s="213"/>
      <c r="AK442" s="213"/>
      <c r="AL442" s="213"/>
      <c r="AM442" s="213"/>
      <c r="AN442" s="213"/>
      <c r="AO442" s="213"/>
      <c r="AP442" s="213" t="str">
        <f>IFERROR(__xludf.DUMMYFUNCTION("""COMPUTED_VALUE"""),"SEBASTIAN")</f>
        <v>SEBASTIAN</v>
      </c>
      <c r="AQ442" s="213"/>
      <c r="AR442" s="213"/>
      <c r="AS442" s="213"/>
      <c r="AT442" s="213"/>
      <c r="AU442" s="213"/>
      <c r="AV442" s="213"/>
      <c r="AW442" s="213"/>
      <c r="AX442" s="213"/>
      <c r="AY442" s="213"/>
      <c r="AZ442" s="213"/>
      <c r="BA442" s="213"/>
      <c r="BB442" s="213"/>
      <c r="BC442" s="213"/>
      <c r="BD442" s="213"/>
    </row>
    <row r="443">
      <c r="A443" s="213">
        <f>IFERROR(__xludf.DUMMYFUNCTION("""COMPUTED_VALUE"""),190.0)</f>
        <v>190</v>
      </c>
      <c r="B443" s="213" t="str">
        <f>IFERROR(__xludf.DUMMYFUNCTION("""COMPUTED_VALUE"""),"2026 SIMON BOLIVAR")</f>
        <v>2026 SIMON BOLIVAR</v>
      </c>
      <c r="C443" s="213" t="str">
        <f>IFERROR(__xludf.DUMMYFUNCTION("""COMPUTED_VALUE"""),"TALLER SFT DE INDUSTRIA DEL VESTIDO")</f>
        <v>TALLER SFT DE INDUSTRIA DEL VESTIDO</v>
      </c>
      <c r="D443" s="213" t="str">
        <f>IFERROR(__xludf.DUMMYFUNCTION("""COMPUTED_VALUE"""),"EQUIPOS")</f>
        <v>EQUIPOS</v>
      </c>
      <c r="E443" s="213" t="str">
        <f>IFERROR(__xludf.DUMMYFUNCTION("""COMPUTED_VALUE"""),"ESP-139")</f>
        <v>ESP-139</v>
      </c>
      <c r="F443" s="213" t="str">
        <f>IFERROR(__xludf.DUMMYFUNCTION("""COMPUTED_VALUE"""),"ESP-139-X")</f>
        <v>ESP-139-X</v>
      </c>
      <c r="G443" s="213"/>
      <c r="H443" s="213" t="str">
        <f>IFERROR(__xludf.DUMMYFUNCTION("""COMPUTED_VALUE"""),"CORTADORA LÁSER CO2")</f>
        <v>CORTADORA LÁSER CO2</v>
      </c>
      <c r="I443" s="213" t="str">
        <f>IFERROR(__xludf.DUMMYFUNCTION("""COMPUTED_VALUE"""),"· Cortadora láser de no metales, con capacidad para realizar grabados.· Materiales a  trabajar: Madera, acrílico, cuero, tela, plástico, vidrio, otros materiales no metálicos.
· Potencia del láser de CO2: 100 W a 120 W.
· Área de trabajo mínimo: 726 mm x "&amp;"432mm
· Dimensiones Aproximada (+-25mm): L1128 x A 1054 x H911 mm
·Precisión de posicionamiento: ≤ 0.05 mm
· Tablero de control de las operaciones de la cortadora con pantalla (display)
· Alimentación eléctrica: 220V/ 60Hz INCLUYE:
· Software compatible: "&amp;"con Windows 8 o superior, software CAD libres en idioma español.")</f>
        <v>· Cortadora láser de no metales, con capacidad para realizar grabados.· Materiales a  trabajar: Madera, acrílico, cuero, tela, plástico, vidrio, otros materiales no metálicos.
· Potencia del láser de CO2: 100 W a 120 W.
· Área de trabajo mínimo: 726 mm x 432mm
· Dimensiones Aproximada (+-25mm): L1128 x A 1054 x H911 mm
·Precisión de posicionamiento: ≤ 0.05 mm
· Tablero de control de las operaciones de la cortadora con pantalla (display)
· Alimentación eléctrica: 220V/ 60Hz INCLUYE:
· Software compatible: con Windows 8 o superior, software CAD libres en idioma español.</v>
      </c>
      <c r="J443" s="213">
        <f>IFERROR(__xludf.DUMMYFUNCTION("""COMPUTED_VALUE"""),3.0)</f>
        <v>3</v>
      </c>
      <c r="K443" s="213" t="str">
        <f>IFERROR(__xludf.DUMMYFUNCTION("""COMPUTED_VALUE"""),"170 DÍAS CALENDARIO")</f>
        <v>170 DÍAS CALENDARIO</v>
      </c>
      <c r="L443" s="213" t="str">
        <f>IFERROR(__xludf.DUMMYFUNCTION("""COMPUTED_VALUE"""),"INDUSTRIA DEL VESTIDO, INDUSTRIA ALIMENTARIA")</f>
        <v>INDUSTRIA DEL VESTIDO, INDUSTRIA ALIMENTARIA</v>
      </c>
      <c r="M443" s="213">
        <f>IFERROR(__xludf.DUMMYFUNCTION("""COMPUTED_VALUE"""),1.0)</f>
        <v>1</v>
      </c>
      <c r="N443" s="213">
        <f>IFERROR(__xludf.DUMMYFUNCTION("""COMPUTED_VALUE"""),1.0)</f>
        <v>1</v>
      </c>
      <c r="O443" s="213">
        <f>IFERROR(__xludf.DUMMYFUNCTION("""COMPUTED_VALUE"""),1.0)</f>
        <v>1</v>
      </c>
      <c r="P443" s="213"/>
      <c r="Q443" s="213"/>
      <c r="R443" s="213"/>
      <c r="S443" s="213" t="str">
        <f>IFERROR(__xludf.DUMMYFUNCTION("""COMPUTED_VALUE"""),"SI")</f>
        <v>SI</v>
      </c>
      <c r="T443" s="213" t="str">
        <f>IFERROR(__xludf.DUMMYFUNCTION("""COMPUTED_VALUE"""),"CONSULTA FINAL")</f>
        <v>CONSULTA FINAL</v>
      </c>
      <c r="U443" s="213" t="str">
        <f>IFERROR(__xludf.DUMMYFUNCTION("""COMPUTED_VALUE"""),"NO")</f>
        <v>NO</v>
      </c>
      <c r="V443" s="213" t="str">
        <f>IFERROR(__xludf.DUMMYFUNCTION("""COMPUTED_VALUE"""),"SUSTENTO")</f>
        <v>SUSTENTO</v>
      </c>
      <c r="W443" s="213" t="str">
        <f>IFERROR(__xludf.DUMMYFUNCTION("""COMPUTED_VALUE"""),"DIMENSIONAL")</f>
        <v>DIMENSIONAL</v>
      </c>
      <c r="X443" s="213" t="str">
        <f>IFERROR(__xludf.DUMMYFUNCTION("""COMPUTED_VALUE"""),"THUNDER LASER")</f>
        <v>THUNDER LASER</v>
      </c>
      <c r="Y443" s="213" t="str">
        <f>IFERROR(__xludf.DUMMYFUNCTION("""COMPUTED_VALUE"""),"TITAN 35 CO2 100W")</f>
        <v>TITAN 35 CO2 100W</v>
      </c>
      <c r="Z443" s="215" t="str">
        <f>IFERROR(__xludf.DUMMYFUNCTION("""COMPUTED_VALUE"""),"https://www.thunderlaser.com/titan-series/")</f>
        <v>https://www.thunderlaser.com/titan-series/</v>
      </c>
      <c r="AA443" s="213" t="str">
        <f>IFERROR(__xludf.DUMMYFUNCTION("""COMPUTED_VALUE"""),"ESP-139-X CORTADORA LÁSER CO2 ( IV ) - CET")</f>
        <v>ESP-139-X CORTADORA LÁSER CO2 ( IV ) - CET</v>
      </c>
      <c r="AB443" s="213"/>
      <c r="AC443" s="213"/>
      <c r="AD443" s="213"/>
      <c r="AE443" s="213"/>
      <c r="AF443" s="213"/>
      <c r="AG443" s="213"/>
      <c r="AH443" s="213" t="str">
        <f>IFERROR(__xludf.DUMMYFUNCTION("""COMPUTED_VALUE"""),"IMPORTADO")</f>
        <v>IMPORTADO</v>
      </c>
      <c r="AI443" s="213"/>
      <c r="AJ443" s="213"/>
      <c r="AK443" s="213"/>
      <c r="AL443" s="213"/>
      <c r="AM443" s="213"/>
      <c r="AN443" s="213"/>
      <c r="AO443" s="213"/>
      <c r="AP443" s="213" t="str">
        <f>IFERROR(__xludf.DUMMYFUNCTION("""COMPUTED_VALUE"""),"ANTONELLA")</f>
        <v>ANTONELLA</v>
      </c>
      <c r="AQ443" s="213" t="str">
        <f>IFERROR(__xludf.DUMMYFUNCTION("""COMPUTED_VALUE"""),"Equipo solicitado es Speedy 300, pero se propone la Thunder porque es el único que cumple con la precisión de posicionamiento, es ligeramente mayor a las medidas solicitados.")</f>
        <v>Equipo solicitado es Speedy 300, pero se propone la Thunder porque es el único que cumple con la precisión de posicionamiento, es ligeramente mayor a las medidas solicitados.</v>
      </c>
      <c r="AR443" s="213"/>
      <c r="AS443" s="213" t="str">
        <f>IFERROR(__xludf.DUMMYFUNCTION("""COMPUTED_VALUE"""),"Extractores de humo, ductos corrugados, agua destilada")</f>
        <v>Extractores de humo, ductos corrugados, agua destilada</v>
      </c>
      <c r="AT443" s="213"/>
      <c r="AU443" s="213"/>
      <c r="AV443" s="213"/>
      <c r="AW443" s="213"/>
      <c r="AX443" s="213"/>
      <c r="AY443" s="213"/>
      <c r="AZ443" s="213"/>
      <c r="BA443" s="213"/>
      <c r="BB443" s="213"/>
      <c r="BC443" s="213"/>
      <c r="BD443" s="213"/>
    </row>
    <row r="444">
      <c r="A444" s="213">
        <f>IFERROR(__xludf.DUMMYFUNCTION("""COMPUTED_VALUE"""),1197.0)</f>
        <v>1197</v>
      </c>
      <c r="B444" s="213" t="str">
        <f>IFERROR(__xludf.DUMMYFUNCTION("""COMPUTED_VALUE"""),"FRANCISCO IRAZOLA")</f>
        <v>FRANCISCO IRAZOLA</v>
      </c>
      <c r="C444" s="213" t="str">
        <f>IFERROR(__xludf.DUMMYFUNCTION("""COMPUTED_VALUE"""),"TALLER SFT DE INDUSTRIA ALIMENTARIA")</f>
        <v>TALLER SFT DE INDUSTRIA ALIMENTARIA</v>
      </c>
      <c r="D444" s="213" t="str">
        <f>IFERROR(__xludf.DUMMYFUNCTION("""COMPUTED_VALUE"""),"EQUIPOS")</f>
        <v>EQUIPOS</v>
      </c>
      <c r="E444" s="213" t="str">
        <f>IFERROR(__xludf.DUMMYFUNCTION("""COMPUTED_VALUE"""),"ESP-139")</f>
        <v>ESP-139</v>
      </c>
      <c r="F444" s="213" t="str">
        <f>IFERROR(__xludf.DUMMYFUNCTION("""COMPUTED_VALUE"""),"ESP-139-X")</f>
        <v>ESP-139-X</v>
      </c>
      <c r="G444" s="213"/>
      <c r="H444" s="213" t="str">
        <f>IFERROR(__xludf.DUMMYFUNCTION("""COMPUTED_VALUE"""),"CORTADORA LÁSER CO2")</f>
        <v>CORTADORA LÁSER CO2</v>
      </c>
      <c r="I444" s="213"/>
      <c r="J444" s="213">
        <f>IFERROR(__xludf.DUMMYFUNCTION("""COMPUTED_VALUE"""),3.0)</f>
        <v>3</v>
      </c>
      <c r="K444" s="213" t="str">
        <f>IFERROR(__xludf.DUMMYFUNCTION("""COMPUTED_VALUE"""),"170 DÍAS CALENDARIO")</f>
        <v>170 DÍAS CALENDARIO</v>
      </c>
      <c r="L444" s="213" t="str">
        <f>IFERROR(__xludf.DUMMYFUNCTION("""COMPUTED_VALUE"""),"INDUSTRIA DEL VESTIDO, INDUSTRIA ALIMENTARIA")</f>
        <v>INDUSTRIA DEL VESTIDO, INDUSTRIA ALIMENTARIA</v>
      </c>
      <c r="M444" s="213">
        <f>IFERROR(__xludf.DUMMYFUNCTION("""COMPUTED_VALUE"""),1.0)</f>
        <v>1</v>
      </c>
      <c r="N444" s="213">
        <f>IFERROR(__xludf.DUMMYFUNCTION("""COMPUTED_VALUE"""),1.0)</f>
        <v>1</v>
      </c>
      <c r="O444" s="213">
        <f>IFERROR(__xludf.DUMMYFUNCTION("""COMPUTED_VALUE"""),1.0)</f>
        <v>1</v>
      </c>
      <c r="P444" s="213"/>
      <c r="Q444" s="213"/>
      <c r="R444" s="213"/>
      <c r="S444" s="213" t="str">
        <f>IFERROR(__xludf.DUMMYFUNCTION("""COMPUTED_VALUE"""),"SI")</f>
        <v>SI</v>
      </c>
      <c r="T444" s="213" t="str">
        <f>IFERROR(__xludf.DUMMYFUNCTION("""COMPUTED_VALUE"""),"CONSULTA FINAL")</f>
        <v>CONSULTA FINAL</v>
      </c>
      <c r="U444" s="213" t="str">
        <f>IFERROR(__xludf.DUMMYFUNCTION("""COMPUTED_VALUE"""),"NO")</f>
        <v>NO</v>
      </c>
      <c r="V444" s="213" t="str">
        <f>IFERROR(__xludf.DUMMYFUNCTION("""COMPUTED_VALUE"""),"SUSTENTO")</f>
        <v>SUSTENTO</v>
      </c>
      <c r="W444" s="213" t="str">
        <f>IFERROR(__xludf.DUMMYFUNCTION("""COMPUTED_VALUE"""),"DIMENSIONAL")</f>
        <v>DIMENSIONAL</v>
      </c>
      <c r="X444" s="213" t="str">
        <f>IFERROR(__xludf.DUMMYFUNCTION("""COMPUTED_VALUE"""),"THUNDER LASER")</f>
        <v>THUNDER LASER</v>
      </c>
      <c r="Y444" s="213" t="str">
        <f>IFERROR(__xludf.DUMMYFUNCTION("""COMPUTED_VALUE"""),"TITAN 35 CO2 100W")</f>
        <v>TITAN 35 CO2 100W</v>
      </c>
      <c r="Z444" s="215" t="str">
        <f>IFERROR(__xludf.DUMMYFUNCTION("""COMPUTED_VALUE"""),"https://www.thunderlaser.com/titan-series/")</f>
        <v>https://www.thunderlaser.com/titan-series/</v>
      </c>
      <c r="AA444" s="213" t="str">
        <f>IFERROR(__xludf.DUMMYFUNCTION("""COMPUTED_VALUE"""),"ESP-139-X CORTADORA LÁSER CO2 ( IV ) - CET")</f>
        <v>ESP-139-X CORTADORA LÁSER CO2 ( IV ) - CET</v>
      </c>
      <c r="AB444" s="213"/>
      <c r="AC444" s="213"/>
      <c r="AD444" s="213"/>
      <c r="AE444" s="213"/>
      <c r="AF444" s="213"/>
      <c r="AG444" s="213"/>
      <c r="AH444" s="213" t="str">
        <f>IFERROR(__xludf.DUMMYFUNCTION("""COMPUTED_VALUE"""),"IMPORTADO")</f>
        <v>IMPORTADO</v>
      </c>
      <c r="AI444" s="213"/>
      <c r="AJ444" s="213"/>
      <c r="AK444" s="213"/>
      <c r="AL444" s="213"/>
      <c r="AM444" s="213"/>
      <c r="AN444" s="213"/>
      <c r="AO444" s="213"/>
      <c r="AP444" s="213" t="str">
        <f>IFERROR(__xludf.DUMMYFUNCTION("""COMPUTED_VALUE"""),"ANTONELLA")</f>
        <v>ANTONELLA</v>
      </c>
      <c r="AQ444" s="213" t="str">
        <f>IFERROR(__xludf.DUMMYFUNCTION("""COMPUTED_VALUE"""),"Equipo solicitado es Speedy 300, pero se propone la Thunder porque es el único que cumple con la precisión de posicionamiento, es ligeramente mayor a las medidas solicitados.")</f>
        <v>Equipo solicitado es Speedy 300, pero se propone la Thunder porque es el único que cumple con la precisión de posicionamiento, es ligeramente mayor a las medidas solicitados.</v>
      </c>
      <c r="AR444" s="213"/>
      <c r="AS444" s="213" t="str">
        <f>IFERROR(__xludf.DUMMYFUNCTION("""COMPUTED_VALUE"""),"Extractores de humo, ductos corrugados, agua destilada")</f>
        <v>Extractores de humo, ductos corrugados, agua destilada</v>
      </c>
      <c r="AT444" s="213"/>
      <c r="AU444" s="213"/>
      <c r="AV444" s="213"/>
      <c r="AW444" s="213"/>
      <c r="AX444" s="213"/>
      <c r="AY444" s="213"/>
      <c r="AZ444" s="213"/>
      <c r="BA444" s="213"/>
      <c r="BB444" s="213"/>
      <c r="BC444" s="213"/>
      <c r="BD444" s="213"/>
    </row>
    <row r="445">
      <c r="A445" s="213">
        <f>IFERROR(__xludf.DUMMYFUNCTION("""COMPUTED_VALUE"""),2413.0)</f>
        <v>2413</v>
      </c>
      <c r="B445" s="213" t="str">
        <f>IFERROR(__xludf.DUMMYFUNCTION("""COMPUTED_VALUE"""),"MANUEL ANTONIO MESONES MURO")</f>
        <v>MANUEL ANTONIO MESONES MURO</v>
      </c>
      <c r="C445" s="213" t="str">
        <f>IFERROR(__xludf.DUMMYFUNCTION("""COMPUTED_VALUE"""),"TALLER SFT DE INDUSTRIA DEL VESTIDO")</f>
        <v>TALLER SFT DE INDUSTRIA DEL VESTIDO</v>
      </c>
      <c r="D445" s="213" t="str">
        <f>IFERROR(__xludf.DUMMYFUNCTION("""COMPUTED_VALUE"""),"EQUIPOS")</f>
        <v>EQUIPOS</v>
      </c>
      <c r="E445" s="213" t="str">
        <f>IFERROR(__xludf.DUMMYFUNCTION("""COMPUTED_VALUE"""),"ESP-139")</f>
        <v>ESP-139</v>
      </c>
      <c r="F445" s="213" t="str">
        <f>IFERROR(__xludf.DUMMYFUNCTION("""COMPUTED_VALUE"""),"ESP-139-X")</f>
        <v>ESP-139-X</v>
      </c>
      <c r="G445" s="213"/>
      <c r="H445" s="213" t="str">
        <f>IFERROR(__xludf.DUMMYFUNCTION("""COMPUTED_VALUE"""),"CORTADORA LÁSER CO2")</f>
        <v>CORTADORA LÁSER CO2</v>
      </c>
      <c r="I445" s="213" t="str">
        <f>IFERROR(__xludf.DUMMYFUNCTION("""COMPUTED_VALUE"""),"· Cortadora láser de no metales, con capacidad para realizar grabados.· Materiales a  trabajar: Madera, acrílico, cuero, tela, plástico, vidrio, otros materiales no metálicos.
· Potencia del láser de CO2: 100 W a 120 W.
· Área de trabajo mínimo: 726 mm x "&amp;"432mm
· Dimensiones Aproximada (+-25mm): L1128 x A 1054 x H911 mm
·Precisión de posicionamiento: ≤ 0.05 mm
· Tablero de control de las operaciones de la cortadora con pantalla (display)
· Alimentación eléctrica: 220V/ 60Hz INCLUYE:
· Software compatible: "&amp;"con Windows 8 o superior, software CAD libres en idioma español.")</f>
        <v>· Cortadora láser de no metales, con capacidad para realizar grabados.· Materiales a  trabajar: Madera, acrílico, cuero, tela, plástico, vidrio, otros materiales no metálicos.
· Potencia del láser de CO2: 100 W a 120 W.
· Área de trabajo mínimo: 726 mm x 432mm
· Dimensiones Aproximada (+-25mm): L1128 x A 1054 x H911 mm
·Precisión de posicionamiento: ≤ 0.05 mm
· Tablero de control de las operaciones de la cortadora con pantalla (display)
· Alimentación eléctrica: 220V/ 60Hz INCLUYE:
· Software compatible: con Windows 8 o superior, software CAD libres en idioma español.</v>
      </c>
      <c r="J445" s="213">
        <f>IFERROR(__xludf.DUMMYFUNCTION("""COMPUTED_VALUE"""),3.0)</f>
        <v>3</v>
      </c>
      <c r="K445" s="213" t="str">
        <f>IFERROR(__xludf.DUMMYFUNCTION("""COMPUTED_VALUE"""),"170 DÍAS CALENDARIO")</f>
        <v>170 DÍAS CALENDARIO</v>
      </c>
      <c r="L445" s="213" t="str">
        <f>IFERROR(__xludf.DUMMYFUNCTION("""COMPUTED_VALUE"""),"INDUSTRIA DEL VESTIDO, INDUSTRIA ALIMENTARIA")</f>
        <v>INDUSTRIA DEL VESTIDO, INDUSTRIA ALIMENTARIA</v>
      </c>
      <c r="M445" s="213">
        <f>IFERROR(__xludf.DUMMYFUNCTION("""COMPUTED_VALUE"""),1.0)</f>
        <v>1</v>
      </c>
      <c r="N445" s="213">
        <f>IFERROR(__xludf.DUMMYFUNCTION("""COMPUTED_VALUE"""),1.0)</f>
        <v>1</v>
      </c>
      <c r="O445" s="213">
        <f>IFERROR(__xludf.DUMMYFUNCTION("""COMPUTED_VALUE"""),1.0)</f>
        <v>1</v>
      </c>
      <c r="P445" s="213"/>
      <c r="Q445" s="213"/>
      <c r="R445" s="213"/>
      <c r="S445" s="213" t="str">
        <f>IFERROR(__xludf.DUMMYFUNCTION("""COMPUTED_VALUE"""),"SI")</f>
        <v>SI</v>
      </c>
      <c r="T445" s="213" t="str">
        <f>IFERROR(__xludf.DUMMYFUNCTION("""COMPUTED_VALUE"""),"CONSULTA FINAL")</f>
        <v>CONSULTA FINAL</v>
      </c>
      <c r="U445" s="213" t="str">
        <f>IFERROR(__xludf.DUMMYFUNCTION("""COMPUTED_VALUE"""),"NO")</f>
        <v>NO</v>
      </c>
      <c r="V445" s="213" t="str">
        <f>IFERROR(__xludf.DUMMYFUNCTION("""COMPUTED_VALUE"""),"SUSTENTO")</f>
        <v>SUSTENTO</v>
      </c>
      <c r="W445" s="213" t="str">
        <f>IFERROR(__xludf.DUMMYFUNCTION("""COMPUTED_VALUE"""),"DIMENSIONAL")</f>
        <v>DIMENSIONAL</v>
      </c>
      <c r="X445" s="213" t="str">
        <f>IFERROR(__xludf.DUMMYFUNCTION("""COMPUTED_VALUE"""),"THUNDER LASER")</f>
        <v>THUNDER LASER</v>
      </c>
      <c r="Y445" s="213" t="str">
        <f>IFERROR(__xludf.DUMMYFUNCTION("""COMPUTED_VALUE"""),"TITAN 35 CO2 100W")</f>
        <v>TITAN 35 CO2 100W</v>
      </c>
      <c r="Z445" s="215" t="str">
        <f>IFERROR(__xludf.DUMMYFUNCTION("""COMPUTED_VALUE"""),"https://www.thunderlaser.com/titan-series/")</f>
        <v>https://www.thunderlaser.com/titan-series/</v>
      </c>
      <c r="AA445" s="213" t="str">
        <f>IFERROR(__xludf.DUMMYFUNCTION("""COMPUTED_VALUE"""),"ESP-139-X CORTADORA LÁSER CO2 ( IV ) - CET")</f>
        <v>ESP-139-X CORTADORA LÁSER CO2 ( IV ) - CET</v>
      </c>
      <c r="AB445" s="215" t="str">
        <f>IFERROR(__xludf.DUMMYFUNCTION("""COMPUTED_VALUE"""),"https://www.thunderlaser.com/titan-series/")</f>
        <v>https://www.thunderlaser.com/titan-series/</v>
      </c>
      <c r="AC445" s="213"/>
      <c r="AD445" s="213"/>
      <c r="AE445" s="213"/>
      <c r="AF445" s="213"/>
      <c r="AG445" s="213"/>
      <c r="AH445" s="213" t="str">
        <f>IFERROR(__xludf.DUMMYFUNCTION("""COMPUTED_VALUE"""),"IMPORTADO")</f>
        <v>IMPORTADO</v>
      </c>
      <c r="AI445" s="213"/>
      <c r="AJ445" s="213"/>
      <c r="AK445" s="213"/>
      <c r="AL445" s="213"/>
      <c r="AM445" s="213"/>
      <c r="AN445" s="213"/>
      <c r="AO445" s="213"/>
      <c r="AP445" s="213" t="str">
        <f>IFERROR(__xludf.DUMMYFUNCTION("""COMPUTED_VALUE"""),"ANTONELLA")</f>
        <v>ANTONELLA</v>
      </c>
      <c r="AQ445" s="213" t="str">
        <f>IFERROR(__xludf.DUMMYFUNCTION("""COMPUTED_VALUE"""),"Equipo solicitado es Speedy 300, pero se propone la Thunder porque es el único que cumple con la precisión de posicionamiento, es ligeramente mayor a las medidas solicitados.")</f>
        <v>Equipo solicitado es Speedy 300, pero se propone la Thunder porque es el único que cumple con la precisión de posicionamiento, es ligeramente mayor a las medidas solicitados.</v>
      </c>
      <c r="AR445" s="213"/>
      <c r="AS445" s="213" t="str">
        <f>IFERROR(__xludf.DUMMYFUNCTION("""COMPUTED_VALUE"""),"Extractores de humo, ductos corrugados, agua destilada")</f>
        <v>Extractores de humo, ductos corrugados, agua destilada</v>
      </c>
      <c r="AT445" s="213"/>
      <c r="AU445" s="213"/>
      <c r="AV445" s="213"/>
      <c r="AW445" s="213"/>
      <c r="AX445" s="213"/>
      <c r="AY445" s="213"/>
      <c r="AZ445" s="213"/>
      <c r="BA445" s="213"/>
      <c r="BB445" s="213"/>
      <c r="BC445" s="213"/>
      <c r="BD445" s="213"/>
    </row>
    <row r="446">
      <c r="A446" s="213">
        <f>IFERROR(__xludf.DUMMYFUNCTION("""COMPUTED_VALUE"""),2502.0)</f>
        <v>2502</v>
      </c>
      <c r="B446" s="213" t="str">
        <f>IFERROR(__xludf.DUMMYFUNCTION("""COMPUTED_VALUE"""),"MANUEL ANTONIO MESONES MURO")</f>
        <v>MANUEL ANTONIO MESONES MURO</v>
      </c>
      <c r="C446" s="213" t="str">
        <f>IFERROR(__xludf.DUMMYFUNCTION("""COMPUTED_VALUE"""),"TALLER SFT DE CONSTRUCCIONES METÁLICAS")</f>
        <v>TALLER SFT DE CONSTRUCCIONES METÁLICAS</v>
      </c>
      <c r="D446" s="213" t="str">
        <f>IFERROR(__xludf.DUMMYFUNCTION("""COMPUTED_VALUE"""),"TICS")</f>
        <v>TICS</v>
      </c>
      <c r="E446" s="213" t="str">
        <f>IFERROR(__xludf.DUMMYFUNCTION("""COMPUTED_VALUE"""),"TEC-104")</f>
        <v>TEC-104</v>
      </c>
      <c r="F446" s="213" t="str">
        <f>IFERROR(__xludf.DUMMYFUNCTION("""COMPUTED_VALUE"""),"TEC-104")</f>
        <v>TEC-104</v>
      </c>
      <c r="G446" s="213"/>
      <c r="H446" s="213" t="str">
        <f>IFERROR(__xludf.DUMMYFUNCTION("""COMPUTED_VALUE"""),"COMPUTADORA DE ESCRITORIO")</f>
        <v>COMPUTADORA DE ESCRITORIO</v>
      </c>
      <c r="I446" s="213" t="str">
        <f>IFERROR(__xludf.DUMMYFUNCTION("""COMPUTED_VALUE"""),"COMPUTADORA DE ESCRITORIO - TODO EN UNO
CASE: Formato All in One --- PROCESADOR: Número de Núcleos 6 - Número de Subprocesos 12 - Frecuencia Básica 3.3 GHz - Memoria Caché 11 MB - Conjunto de Instrucciones 64-bit --- VIDEO INTEGRADO: Capacidad 2 GB --- ME"&amp;"MORIA RAM: Capacidad 8 GB - Tecnología DDR4 - Velocidad 2400 MHz --- DISCO DURO: Capacidad 1 TB SSD o superior --- UNIDAD OPTICA: Multigrabador Integrado - DVD RW --- PUERTO ES         Video integrado 01 HDMI (Entrada) - 01 HDMI (Salida) -
-- Puerto USB I"&amp;"ntegrado:  4 USB Tipo A (Incluye mínimo 01 USB 3.0) --- Red Integrada 01 RJ-45 (100/1000 Mbps)      Lector de Tarjeta Integrado SD y/o SDHC y/o
SDXC      Audio Integrado 01 Salida de audio o Entrada de micrófono.
CAMARA WEB: integrada. --- CONECTIVIDAD: I"&amp;"nalámbrica Integrado: Sí. --- FUENTE DE PODER Entrada de voltaje 220VAC /60 HZ     ALTAVOCES: Integrada.
PANTALLA INTEGRADA: --- Tamaño Desde 23.8” --- Tecnología LCD con Retroiluminación LED       Resolución 1920 x 1080.
TECLADO: Tecnología Estándar en e"&amp;"spañol - Tipo USB      MOUSE: Tipo de Cable Alámbrico de 0.90 m. minimo (No retráctil) - Tecnología Óptico - Conexión USB -
Rueda de deslizamiento vertical SI (SCROLL) --- SISTEMA OPERATIVO: Microsoft Windows 11 (edición Professional), en español – Licenc"&amp;"iado.      CERTIFICADOS:
--- Certificado que no perjudique la salud o presente un impacto negativo al medio ambiente EPEAT. ---- Certificado de eficiencia de energía (Energy Star)       MIL-
STD-810G.  --- Otros: CE o FCC o RoHS --- LICENCIA DE SOFTWARE O"&amp;"FIMATICA --- Interfaz en idioma español      Tiene la posibilidad de exportar archivos en
formatos PDF. --- Permite diseñar y producir documentos de texto que contienen imágenes, tablas o diagramas       Permite guardar documentos en formatos RTF,
HTML, e"&amp;"ntre otros. --- Permite hacer uso de hojas de cálculo que puede usar para calcular, analizar y gestionar datos       Compatibilidad con Sistema Operativo
Microsoft Windows. --- En su ultima versión liberada (Licenciado).      GARANTIA: Tres (03) Años Onsi"&amp;"te
CONTIENE:
· Software Microsoft Office 2019 o superior (Word, Excel, PowerPoint, Visio, One Note y Ms Forms), idioma Español, de 64 Bits.
· Software Antivirus:
- Licenciada / Idioma español / Protección antivirus en tiempo real para proteger de virus, t"&amp;"royanos, adware, malware y phishing / Protección contra firewall
/Gestionada a traves de una consola web
· Software - Programas CAD para dibujos en 2D, 3D y renderizado / Gratuitos /libres (de código abierto) / Idioma español / Compatible con el sistema o"&amp;"perativo de la computadora (Windows 11 o posterior) / Cuenta con herramientas de edición y modelado de muebles / Cuenta con editor geométrico interactivo, procesamiento de imágenes y señales / Alta capacidad de renderizado / Entre las alternativas gratuit"&amp;"as: SketchUp, Polyboard, Sweet Home 3, entre otros.
· Software para diseño gráfico publicitario:
- Gratuitos /libres (de código abierto) / Idioma español / Compatible con el sistema operativo de la computadora (Windows 8 o posterior) / Permite crear diseñ"&amp;"os, gráficos, fotografías y sitios web / Dispone de herramientas profesionales de diseño, edición de imágenes y fotografías y diseño de páginas web.  Funciones táctiles y para lápices intuitivas / Dispone de editor de gráficos vectoriales, textos y logos "&amp;"/ Permite diseño de prototipos e interfaces para aplicaciones y sitios web / Entre   las alternativas gratuitas /libres: Gimp, krita, Inkscape, Pencil Proyect, entre otros.
· Software para diseño y edición de videos – spot publicitarios:
- Gratuitos /libr"&amp;"es (de código abierto) / Idioma español / Compatible con el sistema operativo de la computadora (Windows 8 o posterior) / Permite diseñar y editar videos / Trabaja con diferentes formatos: Un amplio soporte para diferentes formatos, incluyendo MP4, AVI, M"&amp;"OV, AVCHD y más / Permite crear videos de alta resolución: 4K, y trabajar en formato SD y HD / Dispone de las herramientas más utilizadas en los editores de vídeos: cortar, recortar, dividir y combinar en unos pocos clics / Permite generar acabados: Vario"&amp;"s filtros y efectos visuales para retocar el vídeo, efectos especiales en 2D y 3D / Dispone de herramientas para realizar diseños y animaciones en 3D y plantillas animadas gratuitas / Permite editar, ajustar perfeccionar el audio / Entre las alternativas "&amp;"gratuitas /libres: Windows Movie Maker, Video editor Wondershare filmadora, Lightworks, VSDC Free Video editor, Blender,  entre otros.
· Software / programas para elaborar flujogramas:
- Gratuitos /libres (de código abierto) / Idioma español / Compatible "&amp;"con el sistema operativo de la computadora (Windows 11 o posterior) / Diseña diagramas de flujos y organigramas / Contiene una variedad de símbolos y estilos de conexión de líneas / Edita, personaliza colores, rellenos y trazos / Entre las alternativas gr"&amp;"atuitas /libres: clickCharts, CreatelyDia, yEd Graph Editor, Pencil project, entre otros.
· Software para elaborar presupuestos
- Gratuitos /libres (de código abierto) / Idioma español / Compatible con el sistema operativo de la computadora (Windows 8 o p"&amp;"osterior) / Crea presupuestos, gestiona la facturación y la planificación de presupuestos / Entre las alternativas gratuitas /libres: Holded, debitor,  Billage, entre otros / Estabilizador Rango de Voltaje: 170 - 265vac.")</f>
        <v>COMPUTADORA DE ESCRITORIO - TODO EN UNO
CASE: Formato All in One --- PROCESADOR: Número de Núcleos 6 - Número de Subprocesos 12 - Frecuencia Básica 3.3 GHz - Memoria Caché 11 MB - Conjunto de Instrucciones 64-bit --- VIDEO INTEGRADO: Capacidad 2 GB --- MEMORIA RAM: Capacidad 8 GB - Tecnología DDR4 - Velocidad 2400 MHz --- DISCO DURO: Capacidad 1 TB SSD o superior --- UNIDAD OPTICA: Multigrabador Integrado - DVD RW --- PUERTO ES         Video integrado 01 HDMI (Entrada) - 01 HDMI (Salida) -
-- Puerto USB Integrado:  4 USB Tipo A (Incluye mínimo 01 USB 3.0) --- Red Integrada 01 RJ-45 (100/1000 Mbps)      Lector de Tarjeta Integrado SD y/o SDHC y/o
SDXC      Audio Integrado 01 Salida de audio o Entrada de micrófono.
CAMARA WEB: integrada. --- CONECTIVIDAD: Inalámbrica Integrado: Sí. --- FUENTE DE PODER Entrada de voltaje 220VAC /60 HZ     ALTAVOCES: Integrada.
PANTALLA INTEGRADA: --- Tamaño Desde 23.8” --- Tecnología LCD con Retroiluminación LED       Resolución 1920 x 1080.
TECLADO: Tecnología Estándar en español - Tipo USB      MOUSE: Tipo de Cable Alámbrico de 0.90 m. minimo (No retráctil) - Tecnología Óptico - Conexión USB -
Rueda de deslizamiento vertical SI (SCROLL) --- SISTEMA OPERATIVO: Microsoft Windows 11 (edición Professional), en español – Licenciado.      CERTIFICADOS:
--- Certificado que no perjudique la salud o presente un impacto negativo al medio ambiente EPEAT. ---- Certificado de eficiencia de energía (Energy Star)       MIL-
STD-810G.  --- Otros: CE o FCC o RoHS --- LICENCIA DE SOFTWARE OFIMATICA --- Interfaz en idioma español      Tiene la posibilidad de exportar archivos en
formatos PDF. --- Permite diseñar y producir documentos de texto que contienen imágenes, tablas o diagramas       Permite guardar documentos en formatos RTF,
HTML, entre otros. --- Permite hacer uso de hojas de cálculo que puede usar para calcular, analizar y gestionar datos       Compatibilidad con Sistema Operativo
Microsoft Windows. --- En su ultima versión liberada (Licenciado).      GARANTIA: Tres (03) Años Onsite
CONTIENE: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/Gestionada a traves de una consola web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 entre otros.
· Software para diseño gráfico publicitario:
- Gratuitos /libres (de código abierto) / Idioma español / Compatible con el sistema operativo de la computadora (Windows 8 o posterior) / Permite crear diseños, gráficos, fotografías y sitios web / Dispone de herramientas profesionales de diseño, edición de imágenes y fotografías y diseño de páginas web.  Funciones táctiles y para lápices intuitivas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Compatible con el sistema operativo de la computadora (Windows 8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yEd Graph Editor, Pencil project, entre otros.
· Software para elaborar presupuestos
- Gratuitos /libres (de código abierto) / Idioma español / Compatible con el sistema operativo de la computadora (Windows 8 o posterior) / Crea presupuestos, gestiona la facturación y la planificación de presupuestos / Entre las alternativas gratuitas /libres: Holded, debitor,  Billage, entre otros / Estabilizador Rango de Voltaje: 170 - 265vac.</v>
      </c>
      <c r="J446" s="213">
        <f>IFERROR(__xludf.DUMMYFUNCTION("""COMPUTED_VALUE"""),3.0)</f>
        <v>3</v>
      </c>
      <c r="K446" s="213" t="str">
        <f>IFERROR(__xludf.DUMMYFUNCTION("""COMPUTED_VALUE"""),"170 DÍAS CALENDARIO")</f>
        <v>170 DÍAS CALENDARIO</v>
      </c>
      <c r="L446" s="213" t="str">
        <f>IFERROR(__xludf.DUMMYFUNCTION("""COMPUTED_VALUE"""),"COMPUTACIÓN E INFORMÁTICA, COCINA Y REPOSTERÍA, CONSTRUCCIONES METÁLICAS, EBANISTERÍA, ELECTRÓNICA, ELECTRICIDAD, INDUSTRIA ALIMENTARIA, INDUSTRIA DEL VESTIDO, MECÁNICA AUTOMOTRÍZ")</f>
        <v>COMPUTACIÓN E INFORMÁTICA, COCINA Y REPOSTERÍA, CONSTRUCCIONES METÁLICAS, EBANISTERÍA, ELECTRÓNICA, ELECTRICIDAD, INDUSTRIA ALIMENTARIA, INDUSTRIA DEL VESTIDO, MECÁNICA AUTOMOTRÍZ</v>
      </c>
      <c r="M446" s="213">
        <f>IFERROR(__xludf.DUMMYFUNCTION("""COMPUTED_VALUE"""),1.0)</f>
        <v>1</v>
      </c>
      <c r="N446" s="213">
        <f>IFERROR(__xludf.DUMMYFUNCTION("""COMPUTED_VALUE"""),21.0)</f>
        <v>21</v>
      </c>
      <c r="O446" s="213">
        <f>IFERROR(__xludf.DUMMYFUNCTION("""COMPUTED_VALUE"""),21.0)</f>
        <v>21</v>
      </c>
      <c r="P446" s="213"/>
      <c r="Q446" s="213"/>
      <c r="R446" s="213"/>
      <c r="S446" s="213"/>
      <c r="T446" s="213" t="str">
        <f>IFERROR(__xludf.DUMMYFUNCTION("""COMPUTED_VALUE"""),"CONSULTA FINAL")</f>
        <v>CONSULTA FINAL</v>
      </c>
      <c r="U446" s="213" t="str">
        <f>IFERROR(__xludf.DUMMYFUNCTION("""COMPUTED_VALUE"""),"NO")</f>
        <v>NO</v>
      </c>
      <c r="V446" s="213" t="str">
        <f>IFERROR(__xludf.DUMMYFUNCTION("""COMPUTED_VALUE"""),"SUSTENTO")</f>
        <v>SUSTENTO</v>
      </c>
      <c r="W446" s="213" t="str">
        <f>IFERROR(__xludf.DUMMYFUNCTION("""COMPUTED_VALUE"""),"EQU TEC")</f>
        <v>EQU TEC</v>
      </c>
      <c r="X446" s="213" t="str">
        <f>IFERROR(__xludf.DUMMYFUNCTION("""COMPUTED_VALUE"""),"HP")</f>
        <v>HP</v>
      </c>
      <c r="Y446" s="213" t="str">
        <f>IFERROR(__xludf.DUMMYFUNCTION("""COMPUTED_VALUE"""),"ProOne 440 G9")</f>
        <v>ProOne 440 G9</v>
      </c>
      <c r="Z446" s="215" t="str">
        <f>IFERROR(__xludf.DUMMYFUNCTION("""COMPUTED_VALUE"""),"https://support.hp.com/pe-es/document/ish_5956566-5987452-43")</f>
        <v>https://support.hp.com/pe-es/document/ish_5956566-5987452-43</v>
      </c>
      <c r="AA446" s="213" t="str">
        <f>IFERROR(__xludf.DUMMYFUNCTION("""COMPUTED_VALUE"""),"TEC-104 COMPUTADORA DE ESCRITORIO - CET")</f>
        <v>TEC-104 COMPUTADORA DE ESCRITORIO - CET</v>
      </c>
      <c r="AB446" s="213"/>
      <c r="AC446" s="213"/>
      <c r="AD446" s="213"/>
      <c r="AE446" s="213"/>
      <c r="AF446" s="213"/>
      <c r="AG446" s="213"/>
      <c r="AH446" s="213"/>
      <c r="AI446" s="213"/>
      <c r="AJ446" s="213"/>
      <c r="AK446" s="213"/>
      <c r="AL446" s="213"/>
      <c r="AM446" s="213"/>
      <c r="AN446" s="213"/>
      <c r="AO446" s="213"/>
      <c r="AP446" s="213" t="str">
        <f>IFERROR(__xludf.DUMMYFUNCTION("""COMPUTED_VALUE"""),"NALDI")</f>
        <v>NALDI</v>
      </c>
      <c r="AQ446" s="213" t="str">
        <f>IFERROR(__xludf.DUMMYFUNCTION("""COMPUTED_VALUE"""),"Solicitar versión de teclado en español")</f>
        <v>Solicitar versión de teclado en español</v>
      </c>
      <c r="AR446" s="213"/>
      <c r="AS446" s="213"/>
      <c r="AT446" s="213"/>
      <c r="AU446" s="213"/>
      <c r="AV446" s="213"/>
      <c r="AW446" s="213"/>
      <c r="AX446" s="213"/>
      <c r="AY446" s="213"/>
      <c r="AZ446" s="213"/>
      <c r="BA446" s="213"/>
      <c r="BB446" s="213"/>
      <c r="BC446" s="213"/>
      <c r="BD446" s="213"/>
    </row>
    <row r="447">
      <c r="A447" s="213">
        <f>IFERROR(__xludf.DUMMYFUNCTION("""COMPUTED_VALUE"""),1856.0)</f>
        <v>1856</v>
      </c>
      <c r="B447" s="213" t="str">
        <f>IFERROR(__xludf.DUMMYFUNCTION("""COMPUTED_VALUE"""),"GUILLERMO E. BILLINGHURST ")</f>
        <v>GUILLERMO E. BILLINGHURST </v>
      </c>
      <c r="C447" s="213" t="str">
        <f>IFERROR(__xludf.DUMMYFUNCTION("""COMPUTED_VALUE"""),"TALLER SFT DE EBANISTERÍA")</f>
        <v>TALLER SFT DE EBANISTERÍA</v>
      </c>
      <c r="D447" s="213" t="str">
        <f>IFERROR(__xludf.DUMMYFUNCTION("""COMPUTED_VALUE"""),"EQUIPOS")</f>
        <v>EQUIPOS</v>
      </c>
      <c r="E447" s="213" t="str">
        <f>IFERROR(__xludf.DUMMYFUNCTION("""COMPUTED_VALUE"""),"ESP-138")</f>
        <v>ESP-138</v>
      </c>
      <c r="F447" s="213" t="str">
        <f>IFERROR(__xludf.DUMMYFUNCTION("""COMPUTED_VALUE"""),"ESP-138")</f>
        <v>ESP-138</v>
      </c>
      <c r="G447" s="213"/>
      <c r="H447" s="213" t="str">
        <f>IFERROR(__xludf.DUMMYFUNCTION("""COMPUTED_VALUE"""),"CORTADORA LÁSER CO2 (AREA DE TRABAJO MINIMO: 1300 X 900 MM)")</f>
        <v>CORTADORA LÁSER CO2 (AREA DE TRABAJO MINIMO: 1300 X 900 MM)</v>
      </c>
      <c r="I447" s="213" t="str">
        <f>IFERROR(__xludf.DUMMYFUNCTION("""COMPUTED_VALUE"""),"Material a trabajar: madera, metacrilato papel, plásticos, textiles y metales
· Potencia del láser de CO2: mínimo 150 W.
· Área de trabajo: mínimo 1300 x 900 mm.
·Dimensiones de máquina aproximadas: L1750 mm x  A1200 mm x  H1000 mm
· Precisión de posicion"&amp;"amiento: ≤ 0,05 mm
· Tablero de control de las operaciones de la cortadora, con pantalla (display).
. Idioma de soporte: mínimo español.
· Software compatible: Sofware libres
· Voltaje, frecuencia: 220 V, 60 Hz.")</f>
        <v>Material a trabajar: madera, metacrilato papel, plásticos, textiles y metales
· Potencia del láser de CO2: mínimo 150 W.
· Área de trabajo: mínimo 1300 x 900 mm.
·Dimensiones de máquina aproximadas: L1750 mm x  A1200 mm x  H1000 mm
· Precisión de posicionamiento: ≤ 0,05 mm
· Tablero de control de las operaciones de la cortadora, con pantalla (display).
. Idioma de soporte: mínimo español.
· Software compatible: Sofware libres
· Voltaje, frecuencia: 220 V, 60 Hz.</v>
      </c>
      <c r="J447" s="213">
        <f>IFERROR(__xludf.DUMMYFUNCTION("""COMPUTED_VALUE"""),3.0)</f>
        <v>3</v>
      </c>
      <c r="K447" s="213" t="str">
        <f>IFERROR(__xludf.DUMMYFUNCTION("""COMPUTED_VALUE"""),"170 DÍAS CALENDARIO")</f>
        <v>170 DÍAS CALENDARIO</v>
      </c>
      <c r="L447" s="213" t="str">
        <f>IFERROR(__xludf.DUMMYFUNCTION("""COMPUTED_VALUE"""),"")</f>
        <v/>
      </c>
      <c r="M447" s="213">
        <f>IFERROR(__xludf.DUMMYFUNCTION("""COMPUTED_VALUE"""),1.0)</f>
        <v>1</v>
      </c>
      <c r="N447" s="213">
        <f>IFERROR(__xludf.DUMMYFUNCTION("""COMPUTED_VALUE"""),1.0)</f>
        <v>1</v>
      </c>
      <c r="O447" s="213">
        <f>IFERROR(__xludf.DUMMYFUNCTION("""COMPUTED_VALUE"""),1.0)</f>
        <v>1</v>
      </c>
      <c r="P447" s="213"/>
      <c r="Q447" s="213"/>
      <c r="R447" s="213"/>
      <c r="S447" s="213" t="str">
        <f>IFERROR(__xludf.DUMMYFUNCTION("""COMPUTED_VALUE"""),"SI")</f>
        <v>SI</v>
      </c>
      <c r="T447" s="213" t="str">
        <f>IFERROR(__xludf.DUMMYFUNCTION("""COMPUTED_VALUE"""),"CONSULTA FINAL")</f>
        <v>CONSULTA FINAL</v>
      </c>
      <c r="U447" s="213" t="str">
        <f>IFERROR(__xludf.DUMMYFUNCTION("""COMPUTED_VALUE"""),"NO")</f>
        <v>NO</v>
      </c>
      <c r="V447" s="213" t="str">
        <f>IFERROR(__xludf.DUMMYFUNCTION("""COMPUTED_VALUE"""),"SUSTENTO")</f>
        <v>SUSTENTO</v>
      </c>
      <c r="W447" s="213" t="str">
        <f>IFERROR(__xludf.DUMMYFUNCTION("""COMPUTED_VALUE"""),"DIMENSIONAL")</f>
        <v>DIMENSIONAL</v>
      </c>
      <c r="X447" s="213" t="str">
        <f>IFERROR(__xludf.DUMMYFUNCTION("""COMPUTED_VALUE"""),"THUNDER LASER")</f>
        <v>THUNDER LASER</v>
      </c>
      <c r="Y447" s="213" t="str">
        <f>IFERROR(__xludf.DUMMYFUNCTION("""COMPUTED_VALUE"""),"TITAN PRO 51 CO2 120W")</f>
        <v>TITAN PRO 51 CO2 120W</v>
      </c>
      <c r="Z447" s="215" t="str">
        <f>IFERROR(__xludf.DUMMYFUNCTION("""COMPUTED_VALUE"""),"https://www.thunderlaser.com/titan-series/")</f>
        <v>https://www.thunderlaser.com/titan-series/</v>
      </c>
      <c r="AA447" s="213" t="str">
        <f>IFERROR(__xludf.DUMMYFUNCTION("""COMPUTED_VALUE"""),"ESP-138 CORTADORA LÁSER CO2 1300 x 900 mm ( EB ) - CET")</f>
        <v>ESP-138 CORTADORA LÁSER CO2 1300 x 900 mm ( EB ) - CET</v>
      </c>
      <c r="AB447" s="213"/>
      <c r="AC447" s="213"/>
      <c r="AD447" s="213"/>
      <c r="AE447" s="213"/>
      <c r="AF447" s="213"/>
      <c r="AG447" s="213"/>
      <c r="AH447" s="213" t="str">
        <f>IFERROR(__xludf.DUMMYFUNCTION("""COMPUTED_VALUE"""),"IMPORTADO")</f>
        <v>IMPORTADO</v>
      </c>
      <c r="AI447" s="213"/>
      <c r="AJ447" s="213"/>
      <c r="AK447" s="213"/>
      <c r="AL447" s="213"/>
      <c r="AM447" s="213"/>
      <c r="AN447" s="213"/>
      <c r="AO447" s="213"/>
      <c r="AP447" s="213" t="str">
        <f>IFERROR(__xludf.DUMMYFUNCTION("""COMPUTED_VALUE"""),"ANTONELLA")</f>
        <v>ANTONELLA</v>
      </c>
      <c r="AQ447" s="213" t="str">
        <f>IFERROR(__xludf.DUMMYFUNCTION("""COMPUTED_VALUE"""),"La potencia solicitada corresponde a equipos industriales de considerable tamaño.")</f>
        <v>La potencia solicitada corresponde a equipos industriales de considerable tamaño.</v>
      </c>
      <c r="AR447" s="213"/>
      <c r="AS447" s="213" t="str">
        <f>IFERROR(__xludf.DUMMYFUNCTION("""COMPUTED_VALUE"""),"TURBINA DE EXTRACCIÓN AL EXTERIOR (1 UND)
KIT DE DUCTERÍAS DE TUBO CORRUGADO (1 UND)
SISTEMA DE REFRIGERACIÓN")</f>
        <v>TURBINA DE EXTRACCIÓN AL EXTERIOR (1 UND)
KIT DE DUCTERÍAS DE TUBO CORRUGADO (1 UND)
SISTEMA DE REFRIGERACIÓN</v>
      </c>
      <c r="AT447" s="213"/>
      <c r="AU447" s="213"/>
      <c r="AV447" s="213"/>
      <c r="AW447" s="213"/>
      <c r="AX447" s="213"/>
      <c r="AY447" s="213"/>
      <c r="AZ447" s="213"/>
      <c r="BA447" s="213"/>
      <c r="BB447" s="213"/>
      <c r="BC447" s="213"/>
      <c r="BD447" s="213"/>
    </row>
    <row r="448">
      <c r="A448" s="213">
        <f>IFERROR(__xludf.DUMMYFUNCTION("""COMPUTED_VALUE"""),2638.0)</f>
        <v>2638</v>
      </c>
      <c r="B448" s="213" t="str">
        <f>IFERROR(__xludf.DUMMYFUNCTION("""COMPUTED_VALUE"""),"MANUEL ANTONIO MESONES MURO")</f>
        <v>MANUEL ANTONIO MESONES MURO</v>
      </c>
      <c r="C448" s="213" t="str">
        <f>IFERROR(__xludf.DUMMYFUNCTION("""COMPUTED_VALUE"""),"TALLER SFT DE EBANISTERÍA")</f>
        <v>TALLER SFT DE EBANISTERÍA</v>
      </c>
      <c r="D448" s="213" t="str">
        <f>IFERROR(__xludf.DUMMYFUNCTION("""COMPUTED_VALUE"""),"EQUIPOS")</f>
        <v>EQUIPOS</v>
      </c>
      <c r="E448" s="213" t="str">
        <f>IFERROR(__xludf.DUMMYFUNCTION("""COMPUTED_VALUE"""),"ESP-138")</f>
        <v>ESP-138</v>
      </c>
      <c r="F448" s="213" t="str">
        <f>IFERROR(__xludf.DUMMYFUNCTION("""COMPUTED_VALUE"""),"ESP-138")</f>
        <v>ESP-138</v>
      </c>
      <c r="G448" s="213"/>
      <c r="H448" s="213" t="str">
        <f>IFERROR(__xludf.DUMMYFUNCTION("""COMPUTED_VALUE"""),"CORTADORA LÁSER CO2 (AREA DE TRABAJO MINIMO: 1300 X 900 MM)")</f>
        <v>CORTADORA LÁSER CO2 (AREA DE TRABAJO MINIMO: 1300 X 900 MM)</v>
      </c>
      <c r="I448" s="213" t="str">
        <f>IFERROR(__xludf.DUMMYFUNCTION("""COMPUTED_VALUE"""),"Material a trabajar: madera, metacrilato papel, plásticos, textiles y metales
· Potencia del láser de CO2: mínimo 150 W.
· Área de trabajo: mínimo 1300 x 900 mm.
·Dimensiones de máquina aproximadas: L1750 mm x  A1200 mm x  H1000 mm
· Precisión de posicion"&amp;"amiento: ≤ 0,05 mm
· Tablero de control de las operaciones de la cortadora, con pantalla (display).
. Idioma de soporte: mínimo español.
· Software compatible: Sofware libres
· Voltaje, frecuencia: 220 V, 60 Hz.")</f>
        <v>Material a trabajar: madera, metacrilato papel, plásticos, textiles y metales
· Potencia del láser de CO2: mínimo 150 W.
· Área de trabajo: mínimo 1300 x 900 mm.
·Dimensiones de máquina aproximadas: L1750 mm x  A1200 mm x  H1000 mm
· Precisión de posicionamiento: ≤ 0,05 mm
· Tablero de control de las operaciones de la cortadora, con pantalla (display).
. Idioma de soporte: mínimo español.
· Software compatible: Sofware libres
· Voltaje, frecuencia: 220 V, 60 Hz.</v>
      </c>
      <c r="J448" s="213">
        <f>IFERROR(__xludf.DUMMYFUNCTION("""COMPUTED_VALUE"""),3.0)</f>
        <v>3</v>
      </c>
      <c r="K448" s="213" t="str">
        <f>IFERROR(__xludf.DUMMYFUNCTION("""COMPUTED_VALUE"""),"170 DÍAS CALENDARIO")</f>
        <v>170 DÍAS CALENDARIO</v>
      </c>
      <c r="L448" s="213" t="str">
        <f>IFERROR(__xludf.DUMMYFUNCTION("""COMPUTED_VALUE"""),"")</f>
        <v/>
      </c>
      <c r="M448" s="213">
        <f>IFERROR(__xludf.DUMMYFUNCTION("""COMPUTED_VALUE"""),1.0)</f>
        <v>1</v>
      </c>
      <c r="N448" s="213">
        <f>IFERROR(__xludf.DUMMYFUNCTION("""COMPUTED_VALUE"""),1.0)</f>
        <v>1</v>
      </c>
      <c r="O448" s="213">
        <f>IFERROR(__xludf.DUMMYFUNCTION("""COMPUTED_VALUE"""),1.0)</f>
        <v>1</v>
      </c>
      <c r="P448" s="213"/>
      <c r="Q448" s="213"/>
      <c r="R448" s="213"/>
      <c r="S448" s="213" t="str">
        <f>IFERROR(__xludf.DUMMYFUNCTION("""COMPUTED_VALUE"""),"SI")</f>
        <v>SI</v>
      </c>
      <c r="T448" s="213" t="str">
        <f>IFERROR(__xludf.DUMMYFUNCTION("""COMPUTED_VALUE"""),"CONSULTA FINAL")</f>
        <v>CONSULTA FINAL</v>
      </c>
      <c r="U448" s="213" t="str">
        <f>IFERROR(__xludf.DUMMYFUNCTION("""COMPUTED_VALUE"""),"NO")</f>
        <v>NO</v>
      </c>
      <c r="V448" s="213" t="str">
        <f>IFERROR(__xludf.DUMMYFUNCTION("""COMPUTED_VALUE"""),"SUSTENTO")</f>
        <v>SUSTENTO</v>
      </c>
      <c r="W448" s="213" t="str">
        <f>IFERROR(__xludf.DUMMYFUNCTION("""COMPUTED_VALUE"""),"DIMENSIONAL")</f>
        <v>DIMENSIONAL</v>
      </c>
      <c r="X448" s="213" t="str">
        <f>IFERROR(__xludf.DUMMYFUNCTION("""COMPUTED_VALUE"""),"THUNDER LASER")</f>
        <v>THUNDER LASER</v>
      </c>
      <c r="Y448" s="213" t="str">
        <f>IFERROR(__xludf.DUMMYFUNCTION("""COMPUTED_VALUE"""),"TITAN PRO 51 CO2 120W")</f>
        <v>TITAN PRO 51 CO2 120W</v>
      </c>
      <c r="Z448" s="215" t="str">
        <f>IFERROR(__xludf.DUMMYFUNCTION("""COMPUTED_VALUE"""),"https://www.thunderlaser.com/titan-series/")</f>
        <v>https://www.thunderlaser.com/titan-series/</v>
      </c>
      <c r="AA448" s="213" t="str">
        <f>IFERROR(__xludf.DUMMYFUNCTION("""COMPUTED_VALUE"""),"ESP-138 CORTADORA LÁSER CO2 1300 x 900 mm ( EB ) - CET")</f>
        <v>ESP-138 CORTADORA LÁSER CO2 1300 x 900 mm ( EB ) - CET</v>
      </c>
      <c r="AB448" s="213"/>
      <c r="AC448" s="213"/>
      <c r="AD448" s="213"/>
      <c r="AE448" s="213"/>
      <c r="AF448" s="213"/>
      <c r="AG448" s="213"/>
      <c r="AH448" s="213" t="str">
        <f>IFERROR(__xludf.DUMMYFUNCTION("""COMPUTED_VALUE"""),"IMPORTADO")</f>
        <v>IMPORTADO</v>
      </c>
      <c r="AI448" s="213"/>
      <c r="AJ448" s="213"/>
      <c r="AK448" s="213"/>
      <c r="AL448" s="213"/>
      <c r="AM448" s="213"/>
      <c r="AN448" s="213"/>
      <c r="AO448" s="213"/>
      <c r="AP448" s="213" t="str">
        <f>IFERROR(__xludf.DUMMYFUNCTION("""COMPUTED_VALUE"""),"ANTONELLA")</f>
        <v>ANTONELLA</v>
      </c>
      <c r="AQ448" s="213" t="str">
        <f>IFERROR(__xludf.DUMMYFUNCTION("""COMPUTED_VALUE"""),"La potencia solicitada corresponde a equipos industriales de considerable tamaño.")</f>
        <v>La potencia solicitada corresponde a equipos industriales de considerable tamaño.</v>
      </c>
      <c r="AR448" s="213"/>
      <c r="AS448" s="213" t="str">
        <f>IFERROR(__xludf.DUMMYFUNCTION("""COMPUTED_VALUE"""),"TURBINA DE EXTRACCIÓN AL EXTERIOR (1 UND)
KIT DE DUCTERÍAS DE TUBO CORRUGADO (1 UND)
SISTEMA DE REFRIGERACIÓN")</f>
        <v>TURBINA DE EXTRACCIÓN AL EXTERIOR (1 UND)
KIT DE DUCTERÍAS DE TUBO CORRUGADO (1 UND)
SISTEMA DE REFRIGERACIÓN</v>
      </c>
      <c r="AT448" s="213"/>
      <c r="AU448" s="213"/>
      <c r="AV448" s="213"/>
      <c r="AW448" s="213"/>
      <c r="AX448" s="213"/>
      <c r="AY448" s="213"/>
      <c r="AZ448" s="213"/>
      <c r="BA448" s="213"/>
      <c r="BB448" s="213"/>
      <c r="BC448" s="213"/>
      <c r="BD448" s="213"/>
    </row>
    <row r="449">
      <c r="A449" s="213">
        <f>IFERROR(__xludf.DUMMYFUNCTION("""COMPUTED_VALUE"""),1857.0)</f>
        <v>1857</v>
      </c>
      <c r="B449" s="213" t="str">
        <f>IFERROR(__xludf.DUMMYFUNCTION("""COMPUTED_VALUE"""),"GUILLERMO E. BILLINGHURST ")</f>
        <v>GUILLERMO E. BILLINGHURST </v>
      </c>
      <c r="C449" s="213" t="str">
        <f>IFERROR(__xludf.DUMMYFUNCTION("""COMPUTED_VALUE"""),"TALLER SFT DE EBANISTERÍA")</f>
        <v>TALLER SFT DE EBANISTERÍA</v>
      </c>
      <c r="D449" s="213" t="str">
        <f>IFERROR(__xludf.DUMMYFUNCTION("""COMPUTED_VALUE"""),"EQUIPOS")</f>
        <v>EQUIPOS</v>
      </c>
      <c r="E449" s="213" t="str">
        <f>IFERROR(__xludf.DUMMYFUNCTION("""COMPUTED_VALUE"""),"ESP-139")</f>
        <v>ESP-139</v>
      </c>
      <c r="F449" s="213" t="str">
        <f>IFERROR(__xludf.DUMMYFUNCTION("""COMPUTED_VALUE"""),"ESP-139-Y")</f>
        <v>ESP-139-Y</v>
      </c>
      <c r="G449" s="213"/>
      <c r="H449" s="213" t="str">
        <f>IFERROR(__xludf.DUMMYFUNCTION("""COMPUTED_VALUE"""),"CORTADORA LÁSER CO2 (AREA DE TRABAJO MINIMO: 600 X 400 MM )")</f>
        <v>CORTADORA LÁSER CO2 (AREA DE TRABAJO MINIMO: 600 X 400 MM )</v>
      </c>
      <c r="I449" s="213" t="str">
        <f>IFERROR(__xludf.DUMMYFUNCTION("""COMPUTED_VALUE"""),"·Tipo de láser: CO2,
·Área de trabajo mínima: 600 mm x 400mm
·Dimensiones de máquina aproximadas (+-50 mm): L=1100 mm x A=750 mm x H=1000 mm
·Potencia laser : minimo 120 W
·Materiales a trabajar: Madera, acrílico, cuero, tela, Plástico, vidrio, otros mate"&amp;"riales no metálicos.
·Precisión de posicionamiento: ≤ 0.05 mm.
·Estructura:  Metálica
· Tablero de control de las operaciones de la cortadora con pantalla (display).
· Voltaje, frecuencia: 220V, 60Hz.
· Conexión a PC, cómo mínimo USB
· Sofware compatible "&amp;"minimos : Sofwares libres")</f>
        <v>·Tipo de láser: CO2,
·Área de trabajo mínima: 600 mm x 400mm
·Dimensiones de máquina aproximadas (+-50 mm): L=1100 mm x A=750 mm x H=1000 mm
·Potencia laser : minimo 120 W
·Materiales a trabajar: Madera, acrílico, cuero, tela, Plástico, vidrio, otros materiales no metálicos.
·Precisión de posicionamiento: ≤ 0.05 mm.
·Estructura:  Metálica
· Tablero de control de las operaciones de la cortadora con pantalla (display).
· Voltaje, frecuencia: 220V, 60Hz.
· Conexión a PC, cómo mínimo USB
· Sofware compatible minimos : Sofwares libres</v>
      </c>
      <c r="J449" s="213">
        <f>IFERROR(__xludf.DUMMYFUNCTION("""COMPUTED_VALUE"""),3.0)</f>
        <v>3</v>
      </c>
      <c r="K449" s="213" t="str">
        <f>IFERROR(__xludf.DUMMYFUNCTION("""COMPUTED_VALUE"""),"170 DÍAS CALENDARIO")</f>
        <v>170 DÍAS CALENDARIO</v>
      </c>
      <c r="L449" s="213" t="str">
        <f>IFERROR(__xludf.DUMMYFUNCTION("""COMPUTED_VALUE"""),"")</f>
        <v/>
      </c>
      <c r="M449" s="213">
        <f>IFERROR(__xludf.DUMMYFUNCTION("""COMPUTED_VALUE"""),1.0)</f>
        <v>1</v>
      </c>
      <c r="N449" s="213">
        <f>IFERROR(__xludf.DUMMYFUNCTION("""COMPUTED_VALUE"""),1.0)</f>
        <v>1</v>
      </c>
      <c r="O449" s="213">
        <f>IFERROR(__xludf.DUMMYFUNCTION("""COMPUTED_VALUE"""),1.0)</f>
        <v>1</v>
      </c>
      <c r="P449" s="213"/>
      <c r="Q449" s="213"/>
      <c r="R449" s="213"/>
      <c r="S449" s="213" t="str">
        <f>IFERROR(__xludf.DUMMYFUNCTION("""COMPUTED_VALUE"""),"SI")</f>
        <v>SI</v>
      </c>
      <c r="T449" s="213" t="str">
        <f>IFERROR(__xludf.DUMMYFUNCTION("""COMPUTED_VALUE"""),"CONSULTA FINAL")</f>
        <v>CONSULTA FINAL</v>
      </c>
      <c r="U449" s="213" t="str">
        <f>IFERROR(__xludf.DUMMYFUNCTION("""COMPUTED_VALUE"""),"NO")</f>
        <v>NO</v>
      </c>
      <c r="V449" s="213" t="str">
        <f>IFERROR(__xludf.DUMMYFUNCTION("""COMPUTED_VALUE"""),"SUSTENTO")</f>
        <v>SUSTENTO</v>
      </c>
      <c r="W449" s="213" t="str">
        <f>IFERROR(__xludf.DUMMYFUNCTION("""COMPUTED_VALUE"""),"DIMENSIONAL")</f>
        <v>DIMENSIONAL</v>
      </c>
      <c r="X449" s="213" t="str">
        <f>IFERROR(__xludf.DUMMYFUNCTION("""COMPUTED_VALUE"""),"THUNDER LASER")</f>
        <v>THUNDER LASER</v>
      </c>
      <c r="Y449" s="213" t="str">
        <f>IFERROR(__xludf.DUMMYFUNCTION("""COMPUTED_VALUE"""),"TITAN 27 CO2 120W")</f>
        <v>TITAN 27 CO2 120W</v>
      </c>
      <c r="Z449" s="215" t="str">
        <f>IFERROR(__xludf.DUMMYFUNCTION("""COMPUTED_VALUE"""),"https://www.thunderlaser.com/titan-series/")</f>
        <v>https://www.thunderlaser.com/titan-series/</v>
      </c>
      <c r="AA449" s="213" t="str">
        <f>IFERROR(__xludf.DUMMYFUNCTION("""COMPUTED_VALUE"""),"ESP-139-Y CORTADORA LÁSER CO2 600 x 400 mm ( EB ) - CET")</f>
        <v>ESP-139-Y CORTADORA LÁSER CO2 600 x 400 mm ( EB ) - CET</v>
      </c>
      <c r="AB449" s="213"/>
      <c r="AC449" s="213"/>
      <c r="AD449" s="213"/>
      <c r="AE449" s="213"/>
      <c r="AF449" s="213"/>
      <c r="AG449" s="213"/>
      <c r="AH449" s="213" t="str">
        <f>IFERROR(__xludf.DUMMYFUNCTION("""COMPUTED_VALUE"""),"IMPORTADO")</f>
        <v>IMPORTADO</v>
      </c>
      <c r="AI449" s="213"/>
      <c r="AJ449" s="213"/>
      <c r="AK449" s="213"/>
      <c r="AL449" s="213"/>
      <c r="AM449" s="213"/>
      <c r="AN449" s="213"/>
      <c r="AO449" s="213"/>
      <c r="AP449" s="213" t="str">
        <f>IFERROR(__xludf.DUMMYFUNCTION("""COMPUTED_VALUE"""),"ANTONELLA")</f>
        <v>ANTONELLA</v>
      </c>
      <c r="AQ449" s="213" t="str">
        <f>IFERROR(__xludf.DUMMYFUNCTION("""COMPUTED_VALUE"""),"Las dimensiones son ligeramente superiores.")</f>
        <v>Las dimensiones son ligeramente superiores.</v>
      </c>
      <c r="AR449" s="213"/>
      <c r="AS449" s="213" t="str">
        <f>IFERROR(__xludf.DUMMYFUNCTION("""COMPUTED_VALUE"""),"TURBINA DE EXTRACCIÓN AL EXTERIOR (1 UND)
KIT DE DUCTERÍAS DE TUBO CORRUGADO (1 UND)
SISTEMA DE REFRIGERACIÓN")</f>
        <v>TURBINA DE EXTRACCIÓN AL EXTERIOR (1 UND)
KIT DE DUCTERÍAS DE TUBO CORRUGADO (1 UND)
SISTEMA DE REFRIGERACIÓN</v>
      </c>
      <c r="AT449" s="213"/>
      <c r="AU449" s="213"/>
      <c r="AV449" s="213"/>
      <c r="AW449" s="213"/>
      <c r="AX449" s="213"/>
      <c r="AY449" s="213"/>
      <c r="AZ449" s="213"/>
      <c r="BA449" s="213"/>
      <c r="BB449" s="213"/>
      <c r="BC449" s="213"/>
      <c r="BD449" s="213"/>
    </row>
    <row r="450">
      <c r="A450" s="213">
        <f>IFERROR(__xludf.DUMMYFUNCTION("""COMPUTED_VALUE"""),430.0)</f>
        <v>430</v>
      </c>
      <c r="B450" s="213" t="str">
        <f>IFERROR(__xludf.DUMMYFUNCTION("""COMPUTED_VALUE"""),"2026 SIMON BOLIVAR")</f>
        <v>2026 SIMON BOLIVAR</v>
      </c>
      <c r="C450" s="213" t="str">
        <f>IFERROR(__xludf.DUMMYFUNCTION("""COMPUTED_VALUE"""),"TALLER SFT DE INDUSTRIA ALIMENTARIA")</f>
        <v>TALLER SFT DE INDUSTRIA ALIMENTARIA</v>
      </c>
      <c r="D450" s="213" t="str">
        <f>IFERROR(__xludf.DUMMYFUNCTION("""COMPUTED_VALUE"""),"MOBILIARIO")</f>
        <v>MOBILIARIO</v>
      </c>
      <c r="E450" s="213" t="str">
        <f>IFERROR(__xludf.DUMMYFUNCTION("""COMPUTED_VALUE"""),"COM-202")</f>
        <v>COM-202</v>
      </c>
      <c r="F450" s="213" t="str">
        <f>IFERROR(__xludf.DUMMYFUNCTION("""COMPUTED_VALUE"""),"COM-202")</f>
        <v>COM-202</v>
      </c>
      <c r="G450" s="213"/>
      <c r="H450" s="213" t="str">
        <f>IFERROR(__xludf.DUMMYFUNCTION("""COMPUTED_VALUE"""),"LAVAMANO DE ACERO INOXIDABLE")</f>
        <v>LAVAMANO DE ACERO INOXIDABLE</v>
      </c>
      <c r="I450"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0" s="213">
        <f>IFERROR(__xludf.DUMMYFUNCTION("""COMPUTED_VALUE"""),3.0)</f>
        <v>3</v>
      </c>
      <c r="K450" s="213" t="str">
        <f>IFERROR(__xludf.DUMMYFUNCTION("""COMPUTED_VALUE"""),"90 DÍAS CALENDARIO")</f>
        <v>90 DÍAS CALENDARIO</v>
      </c>
      <c r="L450" s="213" t="str">
        <f>IFERROR(__xludf.DUMMYFUNCTION("""COMPUTED_VALUE"""),"")</f>
        <v/>
      </c>
      <c r="M450" s="213">
        <f>IFERROR(__xludf.DUMMYFUNCTION("""COMPUTED_VALUE"""),1.0)</f>
        <v>1</v>
      </c>
      <c r="N450" s="213">
        <f>IFERROR(__xludf.DUMMYFUNCTION("""COMPUTED_VALUE"""),1.0)</f>
        <v>1</v>
      </c>
      <c r="O450" s="213">
        <f>IFERROR(__xludf.DUMMYFUNCTION("""COMPUTED_VALUE"""),1.0)</f>
        <v>1</v>
      </c>
      <c r="P450" s="213"/>
      <c r="Q450" s="213"/>
      <c r="R450" s="213"/>
      <c r="S450" s="213"/>
      <c r="T450" s="213" t="str">
        <f>IFERROR(__xludf.DUMMYFUNCTION("""COMPUTED_VALUE"""),"SI")</f>
        <v>SI</v>
      </c>
      <c r="U450" s="213" t="str">
        <f>IFERROR(__xludf.DUMMYFUNCTION("""COMPUTED_VALUE"""),"SI")</f>
        <v>SI</v>
      </c>
      <c r="V450" s="213" t="str">
        <f>IFERROR(__xludf.DUMMYFUNCTION("""COMPUTED_VALUE"""),"-")</f>
        <v>-</v>
      </c>
      <c r="W450" s="213" t="str">
        <f>IFERROR(__xludf.DUMMYFUNCTION("""COMPUTED_VALUE"""),"-")</f>
        <v>-</v>
      </c>
      <c r="X450" s="213" t="str">
        <f>IFERROR(__xludf.DUMMYFUNCTION("""COMPUTED_VALUE"""),"Grupo Inoxchef")</f>
        <v>Grupo Inoxchef</v>
      </c>
      <c r="Y450" s="213" t="str">
        <f>IFERROR(__xludf.DUMMYFUNCTION("""COMPUTED_VALUE"""),"Lavamanos a Pedal Fijo")</f>
        <v>Lavamanos a Pedal Fijo</v>
      </c>
      <c r="Z450" s="215" t="str">
        <f>IFERROR(__xludf.DUMMYFUNCTION("""COMPUTED_VALUE"""),"https://mizar.pe/collections/lavamanos-y-trampa-nacionales/products/lavamanos-a-pedal-fijo")</f>
        <v>https://mizar.pe/collections/lavamanos-y-trampa-nacionales/products/lavamanos-a-pedal-fijo</v>
      </c>
      <c r="AA450" s="213" t="str">
        <f>IFERROR(__xludf.DUMMYFUNCTION("""COMPUTED_VALUE"""),"COM-202 LAVAMANO DE ACERO INOXIDABLE - CET")</f>
        <v>COM-202 LAVAMANO DE ACERO INOXIDABLE - CET</v>
      </c>
      <c r="AB450" s="213"/>
      <c r="AC450" s="213"/>
      <c r="AD450" s="213"/>
      <c r="AE450" s="213"/>
      <c r="AF450" s="213"/>
      <c r="AG450" s="213"/>
      <c r="AH450" s="213"/>
      <c r="AI450" s="213"/>
      <c r="AJ450" s="213"/>
      <c r="AK450" s="213"/>
      <c r="AL450" s="213"/>
      <c r="AM450" s="213"/>
      <c r="AN450" s="213"/>
      <c r="AO450" s="213"/>
      <c r="AP450" s="213" t="str">
        <f>IFERROR(__xludf.DUMMYFUNCTION("""COMPUTED_VALUE"""),"BRUNO")</f>
        <v>BRUNO</v>
      </c>
      <c r="AQ450" s="213"/>
      <c r="AR450" s="213"/>
      <c r="AS450" s="213"/>
      <c r="AT450" s="213"/>
      <c r="AU450" s="213"/>
      <c r="AV450" s="213"/>
      <c r="AW450" s="213"/>
      <c r="AX450" s="213"/>
      <c r="AY450" s="213"/>
      <c r="AZ450" s="213"/>
      <c r="BA450" s="213"/>
      <c r="BB450" s="213"/>
      <c r="BC450" s="213"/>
      <c r="BD450" s="213"/>
    </row>
    <row r="451">
      <c r="A451" s="213">
        <f>IFERROR(__xludf.DUMMYFUNCTION("""COMPUTED_VALUE"""),445.0)</f>
        <v>445</v>
      </c>
      <c r="B451" s="213" t="str">
        <f>IFERROR(__xludf.DUMMYFUNCTION("""COMPUTED_VALUE"""),"2026 SIMON BOLIVAR")</f>
        <v>2026 SIMON BOLIVAR</v>
      </c>
      <c r="C451" s="213" t="str">
        <f>IFERROR(__xludf.DUMMYFUNCTION("""COMPUTED_VALUE"""),"TALLER SFT DE INDUSTRIA ALIMENTARIA")</f>
        <v>TALLER SFT DE INDUSTRIA ALIMENTARIA</v>
      </c>
      <c r="D451" s="213" t="str">
        <f>IFERROR(__xludf.DUMMYFUNCTION("""COMPUTED_VALUE"""),"MOBILIARIO")</f>
        <v>MOBILIARIO</v>
      </c>
      <c r="E451" s="213" t="str">
        <f>IFERROR(__xludf.DUMMYFUNCTION("""COMPUTED_VALUE"""),"COM-202")</f>
        <v>COM-202</v>
      </c>
      <c r="F451" s="213" t="str">
        <f>IFERROR(__xludf.DUMMYFUNCTION("""COMPUTED_VALUE"""),"COM-202")</f>
        <v>COM-202</v>
      </c>
      <c r="G451" s="213"/>
      <c r="H451" s="213" t="str">
        <f>IFERROR(__xludf.DUMMYFUNCTION("""COMPUTED_VALUE"""),"LAVAMANO DE ACERO INOXIDABLE")</f>
        <v>LAVAMANO DE ACERO INOXIDABLE</v>
      </c>
      <c r="I451"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1" s="213">
        <f>IFERROR(__xludf.DUMMYFUNCTION("""COMPUTED_VALUE"""),3.0)</f>
        <v>3</v>
      </c>
      <c r="K451" s="213" t="str">
        <f>IFERROR(__xludf.DUMMYFUNCTION("""COMPUTED_VALUE"""),"90 DÍAS CALENDARIO")</f>
        <v>90 DÍAS CALENDARIO</v>
      </c>
      <c r="L451" s="213" t="str">
        <f>IFERROR(__xludf.DUMMYFUNCTION("""COMPUTED_VALUE"""),"")</f>
        <v/>
      </c>
      <c r="M451" s="213">
        <f>IFERROR(__xludf.DUMMYFUNCTION("""COMPUTED_VALUE"""),1.0)</f>
        <v>1</v>
      </c>
      <c r="N451" s="213">
        <f>IFERROR(__xludf.DUMMYFUNCTION("""COMPUTED_VALUE"""),1.0)</f>
        <v>1</v>
      </c>
      <c r="O451" s="213">
        <f>IFERROR(__xludf.DUMMYFUNCTION("""COMPUTED_VALUE"""),1.0)</f>
        <v>1</v>
      </c>
      <c r="P451" s="213"/>
      <c r="Q451" s="213"/>
      <c r="R451" s="213"/>
      <c r="S451" s="213"/>
      <c r="T451" s="213" t="str">
        <f>IFERROR(__xludf.DUMMYFUNCTION("""COMPUTED_VALUE"""),"SI")</f>
        <v>SI</v>
      </c>
      <c r="U451" s="213" t="str">
        <f>IFERROR(__xludf.DUMMYFUNCTION("""COMPUTED_VALUE"""),"SI")</f>
        <v>SI</v>
      </c>
      <c r="V451" s="213" t="str">
        <f>IFERROR(__xludf.DUMMYFUNCTION("""COMPUTED_VALUE"""),"-")</f>
        <v>-</v>
      </c>
      <c r="W451" s="213" t="str">
        <f>IFERROR(__xludf.DUMMYFUNCTION("""COMPUTED_VALUE"""),"-")</f>
        <v>-</v>
      </c>
      <c r="X451" s="213" t="str">
        <f>IFERROR(__xludf.DUMMYFUNCTION("""COMPUTED_VALUE"""),"Grupo Inoxchef")</f>
        <v>Grupo Inoxchef</v>
      </c>
      <c r="Y451" s="213" t="str">
        <f>IFERROR(__xludf.DUMMYFUNCTION("""COMPUTED_VALUE"""),"Lavamanos a Pedal Fijo")</f>
        <v>Lavamanos a Pedal Fijo</v>
      </c>
      <c r="Z451" s="215" t="str">
        <f>IFERROR(__xludf.DUMMYFUNCTION("""COMPUTED_VALUE"""),"https://mizar.pe/collections/lavamanos-y-trampa-nacionales/products/lavamanos-a-pedal-fijo")</f>
        <v>https://mizar.pe/collections/lavamanos-y-trampa-nacionales/products/lavamanos-a-pedal-fijo</v>
      </c>
      <c r="AA451" s="213" t="str">
        <f>IFERROR(__xludf.DUMMYFUNCTION("""COMPUTED_VALUE"""),"COM-202 LAVAMANO DE ACERO INOXIDABLE - CET")</f>
        <v>COM-202 LAVAMANO DE ACERO INOXIDABLE - CET</v>
      </c>
      <c r="AB451" s="213"/>
      <c r="AC451" s="213"/>
      <c r="AD451" s="213"/>
      <c r="AE451" s="213"/>
      <c r="AF451" s="213"/>
      <c r="AG451" s="213"/>
      <c r="AH451" s="213"/>
      <c r="AI451" s="213"/>
      <c r="AJ451" s="213"/>
      <c r="AK451" s="213"/>
      <c r="AL451" s="213"/>
      <c r="AM451" s="213"/>
      <c r="AN451" s="213"/>
      <c r="AO451" s="213"/>
      <c r="AP451" s="213" t="str">
        <f>IFERROR(__xludf.DUMMYFUNCTION("""COMPUTED_VALUE"""),"BRUNO")</f>
        <v>BRUNO</v>
      </c>
      <c r="AQ451" s="213"/>
      <c r="AR451" s="213"/>
      <c r="AS451" s="213"/>
      <c r="AT451" s="213"/>
      <c r="AU451" s="213"/>
      <c r="AV451" s="213"/>
      <c r="AW451" s="213"/>
      <c r="AX451" s="213"/>
      <c r="AY451" s="213"/>
      <c r="AZ451" s="213"/>
      <c r="BA451" s="213"/>
      <c r="BB451" s="213"/>
      <c r="BC451" s="213"/>
      <c r="BD451" s="213"/>
    </row>
    <row r="452">
      <c r="A452" s="213">
        <f>IFERROR(__xludf.DUMMYFUNCTION("""COMPUTED_VALUE"""),1060.0)</f>
        <v>1060</v>
      </c>
      <c r="B452" s="213" t="str">
        <f>IFERROR(__xludf.DUMMYFUNCTION("""COMPUTED_VALUE"""),"FRANCISCO IRAZOLA")</f>
        <v>FRANCISCO IRAZOLA</v>
      </c>
      <c r="C452" s="213" t="str">
        <f>IFERROR(__xludf.DUMMYFUNCTION("""COMPUTED_VALUE"""),"TALLER SFT DE INDUSTRIA ALIMENTARIA")</f>
        <v>TALLER SFT DE INDUSTRIA ALIMENTARIA</v>
      </c>
      <c r="D452" s="213" t="str">
        <f>IFERROR(__xludf.DUMMYFUNCTION("""COMPUTED_VALUE"""),"MOBILIARIO")</f>
        <v>MOBILIARIO</v>
      </c>
      <c r="E452" s="213" t="str">
        <f>IFERROR(__xludf.DUMMYFUNCTION("""COMPUTED_VALUE"""),"COM-202")</f>
        <v>COM-202</v>
      </c>
      <c r="F452" s="213" t="str">
        <f>IFERROR(__xludf.DUMMYFUNCTION("""COMPUTED_VALUE"""),"COM-202")</f>
        <v>COM-202</v>
      </c>
      <c r="G452" s="213"/>
      <c r="H452" s="213" t="str">
        <f>IFERROR(__xludf.DUMMYFUNCTION("""COMPUTED_VALUE"""),"LAVAMANO DE ACERO INOXIDABLE")</f>
        <v>LAVAMANO DE ACERO INOXIDABLE</v>
      </c>
      <c r="I452"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2" s="213">
        <f>IFERROR(__xludf.DUMMYFUNCTION("""COMPUTED_VALUE"""),3.0)</f>
        <v>3</v>
      </c>
      <c r="K452" s="213" t="str">
        <f>IFERROR(__xludf.DUMMYFUNCTION("""COMPUTED_VALUE"""),"90 DÍAS CALENDARIO")</f>
        <v>90 DÍAS CALENDARIO</v>
      </c>
      <c r="L452" s="213" t="str">
        <f>IFERROR(__xludf.DUMMYFUNCTION("""COMPUTED_VALUE"""),"")</f>
        <v/>
      </c>
      <c r="M452" s="213">
        <f>IFERROR(__xludf.DUMMYFUNCTION("""COMPUTED_VALUE"""),1.0)</f>
        <v>1</v>
      </c>
      <c r="N452" s="213">
        <f>IFERROR(__xludf.DUMMYFUNCTION("""COMPUTED_VALUE"""),1.0)</f>
        <v>1</v>
      </c>
      <c r="O452" s="213">
        <f>IFERROR(__xludf.DUMMYFUNCTION("""COMPUTED_VALUE"""),1.0)</f>
        <v>1</v>
      </c>
      <c r="P452" s="213"/>
      <c r="Q452" s="213"/>
      <c r="R452" s="213"/>
      <c r="S452" s="213"/>
      <c r="T452" s="213" t="str">
        <f>IFERROR(__xludf.DUMMYFUNCTION("""COMPUTED_VALUE"""),"SI")</f>
        <v>SI</v>
      </c>
      <c r="U452" s="213" t="str">
        <f>IFERROR(__xludf.DUMMYFUNCTION("""COMPUTED_VALUE"""),"SI")</f>
        <v>SI</v>
      </c>
      <c r="V452" s="213" t="str">
        <f>IFERROR(__xludf.DUMMYFUNCTION("""COMPUTED_VALUE"""),"-")</f>
        <v>-</v>
      </c>
      <c r="W452" s="213" t="str">
        <f>IFERROR(__xludf.DUMMYFUNCTION("""COMPUTED_VALUE"""),"-")</f>
        <v>-</v>
      </c>
      <c r="X452" s="213" t="str">
        <f>IFERROR(__xludf.DUMMYFUNCTION("""COMPUTED_VALUE"""),"Grupo Inoxchef")</f>
        <v>Grupo Inoxchef</v>
      </c>
      <c r="Y452" s="213" t="str">
        <f>IFERROR(__xludf.DUMMYFUNCTION("""COMPUTED_VALUE"""),"Lavamanos a Pedal Fijo")</f>
        <v>Lavamanos a Pedal Fijo</v>
      </c>
      <c r="Z452" s="215" t="str">
        <f>IFERROR(__xludf.DUMMYFUNCTION("""COMPUTED_VALUE"""),"https://mizar.pe/collections/lavamanos-y-trampa-nacionales/products/lavamanos-a-pedal-fijo")</f>
        <v>https://mizar.pe/collections/lavamanos-y-trampa-nacionales/products/lavamanos-a-pedal-fijo</v>
      </c>
      <c r="AA452" s="213" t="str">
        <f>IFERROR(__xludf.DUMMYFUNCTION("""COMPUTED_VALUE"""),"COM-202 LAVAMANO DE ACERO INOXIDABLE - CET")</f>
        <v>COM-202 LAVAMANO DE ACERO INOXIDABLE - CET</v>
      </c>
      <c r="AB452" s="213"/>
      <c r="AC452" s="213"/>
      <c r="AD452" s="213"/>
      <c r="AE452" s="213"/>
      <c r="AF452" s="213"/>
      <c r="AG452" s="213"/>
      <c r="AH452" s="213"/>
      <c r="AI452" s="213"/>
      <c r="AJ452" s="213"/>
      <c r="AK452" s="213"/>
      <c r="AL452" s="213"/>
      <c r="AM452" s="213"/>
      <c r="AN452" s="213"/>
      <c r="AO452" s="213"/>
      <c r="AP452" s="213" t="str">
        <f>IFERROR(__xludf.DUMMYFUNCTION("""COMPUTED_VALUE"""),"BRUNO")</f>
        <v>BRUNO</v>
      </c>
      <c r="AQ452" s="213"/>
      <c r="AR452" s="213"/>
      <c r="AS452" s="213"/>
      <c r="AT452" s="213"/>
      <c r="AU452" s="213"/>
      <c r="AV452" s="213"/>
      <c r="AW452" s="213"/>
      <c r="AX452" s="213"/>
      <c r="AY452" s="213"/>
      <c r="AZ452" s="213"/>
      <c r="BA452" s="213"/>
      <c r="BB452" s="213"/>
      <c r="BC452" s="213"/>
      <c r="BD452" s="213"/>
    </row>
    <row r="453">
      <c r="A453" s="213">
        <f>IFERROR(__xludf.DUMMYFUNCTION("""COMPUTED_VALUE"""),1075.0)</f>
        <v>1075</v>
      </c>
      <c r="B453" s="213" t="str">
        <f>IFERROR(__xludf.DUMMYFUNCTION("""COMPUTED_VALUE"""),"FRANCISCO IRAZOLA")</f>
        <v>FRANCISCO IRAZOLA</v>
      </c>
      <c r="C453" s="213" t="str">
        <f>IFERROR(__xludf.DUMMYFUNCTION("""COMPUTED_VALUE"""),"TALLER SFT DE INDUSTRIA ALIMENTARIA")</f>
        <v>TALLER SFT DE INDUSTRIA ALIMENTARIA</v>
      </c>
      <c r="D453" s="213" t="str">
        <f>IFERROR(__xludf.DUMMYFUNCTION("""COMPUTED_VALUE"""),"MOBILIARIO")</f>
        <v>MOBILIARIO</v>
      </c>
      <c r="E453" s="213" t="str">
        <f>IFERROR(__xludf.DUMMYFUNCTION("""COMPUTED_VALUE"""),"COM-202")</f>
        <v>COM-202</v>
      </c>
      <c r="F453" s="213" t="str">
        <f>IFERROR(__xludf.DUMMYFUNCTION("""COMPUTED_VALUE"""),"COM-202")</f>
        <v>COM-202</v>
      </c>
      <c r="G453" s="213"/>
      <c r="H453" s="213" t="str">
        <f>IFERROR(__xludf.DUMMYFUNCTION("""COMPUTED_VALUE"""),"LAVAMANO DE ACERO INOXIDABLE")</f>
        <v>LAVAMANO DE ACERO INOXIDABLE</v>
      </c>
      <c r="I453"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3" s="213">
        <f>IFERROR(__xludf.DUMMYFUNCTION("""COMPUTED_VALUE"""),3.0)</f>
        <v>3</v>
      </c>
      <c r="K453" s="213" t="str">
        <f>IFERROR(__xludf.DUMMYFUNCTION("""COMPUTED_VALUE"""),"90 DÍAS CALENDARIO")</f>
        <v>90 DÍAS CALENDARIO</v>
      </c>
      <c r="L453" s="213" t="str">
        <f>IFERROR(__xludf.DUMMYFUNCTION("""COMPUTED_VALUE"""),"")</f>
        <v/>
      </c>
      <c r="M453" s="213">
        <f>IFERROR(__xludf.DUMMYFUNCTION("""COMPUTED_VALUE"""),1.0)</f>
        <v>1</v>
      </c>
      <c r="N453" s="213">
        <f>IFERROR(__xludf.DUMMYFUNCTION("""COMPUTED_VALUE"""),1.0)</f>
        <v>1</v>
      </c>
      <c r="O453" s="213">
        <f>IFERROR(__xludf.DUMMYFUNCTION("""COMPUTED_VALUE"""),1.0)</f>
        <v>1</v>
      </c>
      <c r="P453" s="213"/>
      <c r="Q453" s="213"/>
      <c r="R453" s="213"/>
      <c r="S453" s="213"/>
      <c r="T453" s="213" t="str">
        <f>IFERROR(__xludf.DUMMYFUNCTION("""COMPUTED_VALUE"""),"SI")</f>
        <v>SI</v>
      </c>
      <c r="U453" s="213" t="str">
        <f>IFERROR(__xludf.DUMMYFUNCTION("""COMPUTED_VALUE"""),"SI")</f>
        <v>SI</v>
      </c>
      <c r="V453" s="213" t="str">
        <f>IFERROR(__xludf.DUMMYFUNCTION("""COMPUTED_VALUE"""),"-")</f>
        <v>-</v>
      </c>
      <c r="W453" s="213" t="str">
        <f>IFERROR(__xludf.DUMMYFUNCTION("""COMPUTED_VALUE"""),"-")</f>
        <v>-</v>
      </c>
      <c r="X453" s="213" t="str">
        <f>IFERROR(__xludf.DUMMYFUNCTION("""COMPUTED_VALUE"""),"Grupo Inoxchef")</f>
        <v>Grupo Inoxchef</v>
      </c>
      <c r="Y453" s="213" t="str">
        <f>IFERROR(__xludf.DUMMYFUNCTION("""COMPUTED_VALUE"""),"Lavamanos a Pedal Fijo")</f>
        <v>Lavamanos a Pedal Fijo</v>
      </c>
      <c r="Z453" s="215" t="str">
        <f>IFERROR(__xludf.DUMMYFUNCTION("""COMPUTED_VALUE"""),"https://mizar.pe/collections/lavamanos-y-trampa-nacionales/products/lavamanos-a-pedal-fijo")</f>
        <v>https://mizar.pe/collections/lavamanos-y-trampa-nacionales/products/lavamanos-a-pedal-fijo</v>
      </c>
      <c r="AA453" s="213" t="str">
        <f>IFERROR(__xludf.DUMMYFUNCTION("""COMPUTED_VALUE"""),"COM-202 LAVAMANO DE ACERO INOXIDABLE - CET")</f>
        <v>COM-202 LAVAMANO DE ACERO INOXIDABLE - CET</v>
      </c>
      <c r="AB453" s="213"/>
      <c r="AC453" s="213"/>
      <c r="AD453" s="213"/>
      <c r="AE453" s="213"/>
      <c r="AF453" s="213"/>
      <c r="AG453" s="213"/>
      <c r="AH453" s="213"/>
      <c r="AI453" s="213"/>
      <c r="AJ453" s="213"/>
      <c r="AK453" s="213"/>
      <c r="AL453" s="213"/>
      <c r="AM453" s="213"/>
      <c r="AN453" s="213"/>
      <c r="AO453" s="213"/>
      <c r="AP453" s="213" t="str">
        <f>IFERROR(__xludf.DUMMYFUNCTION("""COMPUTED_VALUE"""),"BRUNO")</f>
        <v>BRUNO</v>
      </c>
      <c r="AQ453" s="213"/>
      <c r="AR453" s="213"/>
      <c r="AS453" s="213"/>
      <c r="AT453" s="213"/>
      <c r="AU453" s="213"/>
      <c r="AV453" s="213"/>
      <c r="AW453" s="213"/>
      <c r="AX453" s="213"/>
      <c r="AY453" s="213"/>
      <c r="AZ453" s="213"/>
      <c r="BA453" s="213"/>
      <c r="BB453" s="213"/>
      <c r="BC453" s="213"/>
      <c r="BD453" s="213"/>
    </row>
    <row r="454">
      <c r="A454" s="213">
        <f>IFERROR(__xludf.DUMMYFUNCTION("""COMPUTED_VALUE"""),1083.0)</f>
        <v>1083</v>
      </c>
      <c r="B454" s="213" t="str">
        <f>IFERROR(__xludf.DUMMYFUNCTION("""COMPUTED_VALUE"""),"FRANCISCO IRAZOLA")</f>
        <v>FRANCISCO IRAZOLA</v>
      </c>
      <c r="C454" s="213" t="str">
        <f>IFERROR(__xludf.DUMMYFUNCTION("""COMPUTED_VALUE"""),"TALLER SFT DE INDUSTRIA ALIMENTARIA")</f>
        <v>TALLER SFT DE INDUSTRIA ALIMENTARIA</v>
      </c>
      <c r="D454" s="213" t="str">
        <f>IFERROR(__xludf.DUMMYFUNCTION("""COMPUTED_VALUE"""),"MOBILIARIO")</f>
        <v>MOBILIARIO</v>
      </c>
      <c r="E454" s="213" t="str">
        <f>IFERROR(__xludf.DUMMYFUNCTION("""COMPUTED_VALUE"""),"COM-202")</f>
        <v>COM-202</v>
      </c>
      <c r="F454" s="213" t="str">
        <f>IFERROR(__xludf.DUMMYFUNCTION("""COMPUTED_VALUE"""),"COM-202")</f>
        <v>COM-202</v>
      </c>
      <c r="G454" s="213"/>
      <c r="H454" s="213" t="str">
        <f>IFERROR(__xludf.DUMMYFUNCTION("""COMPUTED_VALUE"""),"LAVAMANO DE ACERO INOXIDABLE")</f>
        <v>LAVAMANO DE ACERO INOXIDABLE</v>
      </c>
      <c r="I454"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4" s="213">
        <f>IFERROR(__xludf.DUMMYFUNCTION("""COMPUTED_VALUE"""),3.0)</f>
        <v>3</v>
      </c>
      <c r="K454" s="213" t="str">
        <f>IFERROR(__xludf.DUMMYFUNCTION("""COMPUTED_VALUE"""),"90 DÍAS CALENDARIO")</f>
        <v>90 DÍAS CALENDARIO</v>
      </c>
      <c r="L454" s="213" t="str">
        <f>IFERROR(__xludf.DUMMYFUNCTION("""COMPUTED_VALUE"""),"")</f>
        <v/>
      </c>
      <c r="M454" s="213">
        <f>IFERROR(__xludf.DUMMYFUNCTION("""COMPUTED_VALUE"""),1.0)</f>
        <v>1</v>
      </c>
      <c r="N454" s="213">
        <f>IFERROR(__xludf.DUMMYFUNCTION("""COMPUTED_VALUE"""),1.0)</f>
        <v>1</v>
      </c>
      <c r="O454" s="213">
        <f>IFERROR(__xludf.DUMMYFUNCTION("""COMPUTED_VALUE"""),1.0)</f>
        <v>1</v>
      </c>
      <c r="P454" s="213"/>
      <c r="Q454" s="213"/>
      <c r="R454" s="213"/>
      <c r="S454" s="213"/>
      <c r="T454" s="213" t="str">
        <f>IFERROR(__xludf.DUMMYFUNCTION("""COMPUTED_VALUE"""),"SI")</f>
        <v>SI</v>
      </c>
      <c r="U454" s="213" t="str">
        <f>IFERROR(__xludf.DUMMYFUNCTION("""COMPUTED_VALUE"""),"SI")</f>
        <v>SI</v>
      </c>
      <c r="V454" s="213" t="str">
        <f>IFERROR(__xludf.DUMMYFUNCTION("""COMPUTED_VALUE"""),"-")</f>
        <v>-</v>
      </c>
      <c r="W454" s="213" t="str">
        <f>IFERROR(__xludf.DUMMYFUNCTION("""COMPUTED_VALUE"""),"-")</f>
        <v>-</v>
      </c>
      <c r="X454" s="213" t="str">
        <f>IFERROR(__xludf.DUMMYFUNCTION("""COMPUTED_VALUE"""),"Grupo Inoxchef")</f>
        <v>Grupo Inoxchef</v>
      </c>
      <c r="Y454" s="213" t="str">
        <f>IFERROR(__xludf.DUMMYFUNCTION("""COMPUTED_VALUE"""),"Lavamanos a Pedal Fijo")</f>
        <v>Lavamanos a Pedal Fijo</v>
      </c>
      <c r="Z454" s="215" t="str">
        <f>IFERROR(__xludf.DUMMYFUNCTION("""COMPUTED_VALUE"""),"https://mizar.pe/collections/lavamanos-y-trampa-nacionales/products/lavamanos-a-pedal-fijo")</f>
        <v>https://mizar.pe/collections/lavamanos-y-trampa-nacionales/products/lavamanos-a-pedal-fijo</v>
      </c>
      <c r="AA454" s="213" t="str">
        <f>IFERROR(__xludf.DUMMYFUNCTION("""COMPUTED_VALUE"""),"COM-202 LAVAMANO DE ACERO INOXIDABLE - CET")</f>
        <v>COM-202 LAVAMANO DE ACERO INOXIDABLE - CET</v>
      </c>
      <c r="AB454" s="213"/>
      <c r="AC454" s="213"/>
      <c r="AD454" s="213"/>
      <c r="AE454" s="213"/>
      <c r="AF454" s="213"/>
      <c r="AG454" s="213"/>
      <c r="AH454" s="213"/>
      <c r="AI454" s="213"/>
      <c r="AJ454" s="213"/>
      <c r="AK454" s="213"/>
      <c r="AL454" s="213"/>
      <c r="AM454" s="213"/>
      <c r="AN454" s="213"/>
      <c r="AO454" s="213"/>
      <c r="AP454" s="213" t="str">
        <f>IFERROR(__xludf.DUMMYFUNCTION("""COMPUTED_VALUE"""),"BRUNO")</f>
        <v>BRUNO</v>
      </c>
      <c r="AQ454" s="213"/>
      <c r="AR454" s="213"/>
      <c r="AS454" s="213"/>
      <c r="AT454" s="213"/>
      <c r="AU454" s="213"/>
      <c r="AV454" s="213"/>
      <c r="AW454" s="213"/>
      <c r="AX454" s="213"/>
      <c r="AY454" s="213"/>
      <c r="AZ454" s="213"/>
      <c r="BA454" s="213"/>
      <c r="BB454" s="213"/>
      <c r="BC454" s="213"/>
      <c r="BD454" s="213"/>
    </row>
    <row r="455">
      <c r="A455" s="213">
        <f>IFERROR(__xludf.DUMMYFUNCTION("""COMPUTED_VALUE"""),1342.0)</f>
        <v>1342</v>
      </c>
      <c r="B455" s="213" t="str">
        <f>IFERROR(__xludf.DUMMYFUNCTION("""COMPUTED_VALUE"""),"GUILLERMO E. BILLINGHURST ")</f>
        <v>GUILLERMO E. BILLINGHURST </v>
      </c>
      <c r="C455" s="213" t="str">
        <f>IFERROR(__xludf.DUMMYFUNCTION("""COMPUTED_VALUE"""),"TALLER SFT DE INDUSTRIA ALIMENTARIA")</f>
        <v>TALLER SFT DE INDUSTRIA ALIMENTARIA</v>
      </c>
      <c r="D455" s="213" t="str">
        <f>IFERROR(__xludf.DUMMYFUNCTION("""COMPUTED_VALUE"""),"MOBILIARIO")</f>
        <v>MOBILIARIO</v>
      </c>
      <c r="E455" s="213" t="str">
        <f>IFERROR(__xludf.DUMMYFUNCTION("""COMPUTED_VALUE"""),"COM-202")</f>
        <v>COM-202</v>
      </c>
      <c r="F455" s="213" t="str">
        <f>IFERROR(__xludf.DUMMYFUNCTION("""COMPUTED_VALUE"""),"COM-202")</f>
        <v>COM-202</v>
      </c>
      <c r="G455" s="213"/>
      <c r="H455" s="213" t="str">
        <f>IFERROR(__xludf.DUMMYFUNCTION("""COMPUTED_VALUE"""),"LAVAMANO DE ACERO INOXIDABLE")</f>
        <v>LAVAMANO DE ACERO INOXIDABLE</v>
      </c>
      <c r="I455"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5" s="213">
        <f>IFERROR(__xludf.DUMMYFUNCTION("""COMPUTED_VALUE"""),3.0)</f>
        <v>3</v>
      </c>
      <c r="K455" s="213" t="str">
        <f>IFERROR(__xludf.DUMMYFUNCTION("""COMPUTED_VALUE"""),"90 DÍAS CALENDARIO")</f>
        <v>90 DÍAS CALENDARIO</v>
      </c>
      <c r="L455" s="213" t="str">
        <f>IFERROR(__xludf.DUMMYFUNCTION("""COMPUTED_VALUE"""),"")</f>
        <v/>
      </c>
      <c r="M455" s="213">
        <f>IFERROR(__xludf.DUMMYFUNCTION("""COMPUTED_VALUE"""),1.0)</f>
        <v>1</v>
      </c>
      <c r="N455" s="213">
        <f>IFERROR(__xludf.DUMMYFUNCTION("""COMPUTED_VALUE"""),1.0)</f>
        <v>1</v>
      </c>
      <c r="O455" s="213">
        <f>IFERROR(__xludf.DUMMYFUNCTION("""COMPUTED_VALUE"""),1.0)</f>
        <v>1</v>
      </c>
      <c r="P455" s="213"/>
      <c r="Q455" s="213"/>
      <c r="R455" s="213"/>
      <c r="S455" s="213"/>
      <c r="T455" s="213" t="str">
        <f>IFERROR(__xludf.DUMMYFUNCTION("""COMPUTED_VALUE"""),"SI")</f>
        <v>SI</v>
      </c>
      <c r="U455" s="213" t="str">
        <f>IFERROR(__xludf.DUMMYFUNCTION("""COMPUTED_VALUE"""),"SI")</f>
        <v>SI</v>
      </c>
      <c r="V455" s="213" t="str">
        <f>IFERROR(__xludf.DUMMYFUNCTION("""COMPUTED_VALUE"""),"-")</f>
        <v>-</v>
      </c>
      <c r="W455" s="213" t="str">
        <f>IFERROR(__xludf.DUMMYFUNCTION("""COMPUTED_VALUE"""),"-")</f>
        <v>-</v>
      </c>
      <c r="X455" s="213" t="str">
        <f>IFERROR(__xludf.DUMMYFUNCTION("""COMPUTED_VALUE"""),"Grupo Inoxchef")</f>
        <v>Grupo Inoxchef</v>
      </c>
      <c r="Y455" s="213" t="str">
        <f>IFERROR(__xludf.DUMMYFUNCTION("""COMPUTED_VALUE"""),"Lavamanos a Pedal Fijo")</f>
        <v>Lavamanos a Pedal Fijo</v>
      </c>
      <c r="Z455" s="215" t="str">
        <f>IFERROR(__xludf.DUMMYFUNCTION("""COMPUTED_VALUE"""),"https://mizar.pe/collections/lavamanos-y-trampa-nacionales/products/lavamanos-a-pedal-fijo")</f>
        <v>https://mizar.pe/collections/lavamanos-y-trampa-nacionales/products/lavamanos-a-pedal-fijo</v>
      </c>
      <c r="AA455" s="213" t="str">
        <f>IFERROR(__xludf.DUMMYFUNCTION("""COMPUTED_VALUE"""),"COM-202 LAVAMANO DE ACERO INOXIDABLE - CET")</f>
        <v>COM-202 LAVAMANO DE ACERO INOXIDABLE - CET</v>
      </c>
      <c r="AB455" s="213"/>
      <c r="AC455" s="213"/>
      <c r="AD455" s="213"/>
      <c r="AE455" s="213"/>
      <c r="AF455" s="213"/>
      <c r="AG455" s="213"/>
      <c r="AH455" s="213"/>
      <c r="AI455" s="213"/>
      <c r="AJ455" s="213"/>
      <c r="AK455" s="213"/>
      <c r="AL455" s="213"/>
      <c r="AM455" s="213"/>
      <c r="AN455" s="213"/>
      <c r="AO455" s="213"/>
      <c r="AP455" s="213" t="str">
        <f>IFERROR(__xludf.DUMMYFUNCTION("""COMPUTED_VALUE"""),"BRUNO")</f>
        <v>BRUNO</v>
      </c>
      <c r="AQ455" s="213"/>
      <c r="AR455" s="213"/>
      <c r="AS455" s="213"/>
      <c r="AT455" s="213"/>
      <c r="AU455" s="213"/>
      <c r="AV455" s="213"/>
      <c r="AW455" s="213"/>
      <c r="AX455" s="213"/>
      <c r="AY455" s="213"/>
      <c r="AZ455" s="213"/>
      <c r="BA455" s="213"/>
      <c r="BB455" s="213"/>
      <c r="BC455" s="213"/>
      <c r="BD455" s="213"/>
    </row>
    <row r="456">
      <c r="A456" s="213">
        <f>IFERROR(__xludf.DUMMYFUNCTION("""COMPUTED_VALUE"""),2019.0)</f>
        <v>2019</v>
      </c>
      <c r="B456" s="213" t="str">
        <f>IFERROR(__xludf.DUMMYFUNCTION("""COMPUTED_VALUE"""),"JOSE GRANDA")</f>
        <v>JOSE GRANDA</v>
      </c>
      <c r="C456" s="213" t="str">
        <f>IFERROR(__xludf.DUMMYFUNCTION("""COMPUTED_VALUE"""),"TALLER SFT DE INDUSTRIA ALIMENTARIA")</f>
        <v>TALLER SFT DE INDUSTRIA ALIMENTARIA</v>
      </c>
      <c r="D456" s="213" t="str">
        <f>IFERROR(__xludf.DUMMYFUNCTION("""COMPUTED_VALUE"""),"MOBILIARIO")</f>
        <v>MOBILIARIO</v>
      </c>
      <c r="E456" s="213" t="str">
        <f>IFERROR(__xludf.DUMMYFUNCTION("""COMPUTED_VALUE"""),"COM-202")</f>
        <v>COM-202</v>
      </c>
      <c r="F456" s="213" t="str">
        <f>IFERROR(__xludf.DUMMYFUNCTION("""COMPUTED_VALUE"""),"COM-202")</f>
        <v>COM-202</v>
      </c>
      <c r="G456" s="213"/>
      <c r="H456" s="213" t="str">
        <f>IFERROR(__xludf.DUMMYFUNCTION("""COMPUTED_VALUE"""),"LAVAMANO DE ACERO INOXIDABLE")</f>
        <v>LAVAMANO DE ACERO INOXIDABLE</v>
      </c>
      <c r="I456"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6" s="213">
        <f>IFERROR(__xludf.DUMMYFUNCTION("""COMPUTED_VALUE"""),3.0)</f>
        <v>3</v>
      </c>
      <c r="K456" s="213" t="str">
        <f>IFERROR(__xludf.DUMMYFUNCTION("""COMPUTED_VALUE"""),"90 DÍAS CALENDARIO")</f>
        <v>90 DÍAS CALENDARIO</v>
      </c>
      <c r="L456" s="213" t="str">
        <f>IFERROR(__xludf.DUMMYFUNCTION("""COMPUTED_VALUE"""),"")</f>
        <v/>
      </c>
      <c r="M456" s="213">
        <f>IFERROR(__xludf.DUMMYFUNCTION("""COMPUTED_VALUE"""),1.0)</f>
        <v>1</v>
      </c>
      <c r="N456" s="213">
        <f>IFERROR(__xludf.DUMMYFUNCTION("""COMPUTED_VALUE"""),1.0)</f>
        <v>1</v>
      </c>
      <c r="O456" s="213">
        <f>IFERROR(__xludf.DUMMYFUNCTION("""COMPUTED_VALUE"""),1.0)</f>
        <v>1</v>
      </c>
      <c r="P456" s="213"/>
      <c r="Q456" s="213"/>
      <c r="R456" s="213"/>
      <c r="S456" s="213"/>
      <c r="T456" s="213" t="str">
        <f>IFERROR(__xludf.DUMMYFUNCTION("""COMPUTED_VALUE"""),"SI")</f>
        <v>SI</v>
      </c>
      <c r="U456" s="213" t="str">
        <f>IFERROR(__xludf.DUMMYFUNCTION("""COMPUTED_VALUE"""),"SI")</f>
        <v>SI</v>
      </c>
      <c r="V456" s="213" t="str">
        <f>IFERROR(__xludf.DUMMYFUNCTION("""COMPUTED_VALUE"""),"-")</f>
        <v>-</v>
      </c>
      <c r="W456" s="213" t="str">
        <f>IFERROR(__xludf.DUMMYFUNCTION("""COMPUTED_VALUE"""),"-")</f>
        <v>-</v>
      </c>
      <c r="X456" s="213" t="str">
        <f>IFERROR(__xludf.DUMMYFUNCTION("""COMPUTED_VALUE"""),"Grupo Inoxchef")</f>
        <v>Grupo Inoxchef</v>
      </c>
      <c r="Y456" s="213" t="str">
        <f>IFERROR(__xludf.DUMMYFUNCTION("""COMPUTED_VALUE"""),"Lavamanos a Pedal Fijo")</f>
        <v>Lavamanos a Pedal Fijo</v>
      </c>
      <c r="Z456" s="215" t="str">
        <f>IFERROR(__xludf.DUMMYFUNCTION("""COMPUTED_VALUE"""),"https://mizar.pe/collections/lavamanos-y-trampa-nacionales/products/lavamanos-a-pedal-fijo")</f>
        <v>https://mizar.pe/collections/lavamanos-y-trampa-nacionales/products/lavamanos-a-pedal-fijo</v>
      </c>
      <c r="AA456" s="213" t="str">
        <f>IFERROR(__xludf.DUMMYFUNCTION("""COMPUTED_VALUE"""),"COM-202 LAVAMANO DE ACERO INOXIDABLE - CET")</f>
        <v>COM-202 LAVAMANO DE ACERO INOXIDABLE - CET</v>
      </c>
      <c r="AB456" s="213"/>
      <c r="AC456" s="213"/>
      <c r="AD456" s="213"/>
      <c r="AE456" s="213"/>
      <c r="AF456" s="213"/>
      <c r="AG456" s="213"/>
      <c r="AH456" s="213"/>
      <c r="AI456" s="213"/>
      <c r="AJ456" s="213"/>
      <c r="AK456" s="213"/>
      <c r="AL456" s="213"/>
      <c r="AM456" s="213"/>
      <c r="AN456" s="213"/>
      <c r="AO456" s="213"/>
      <c r="AP456" s="213" t="str">
        <f>IFERROR(__xludf.DUMMYFUNCTION("""COMPUTED_VALUE"""),"BRUNO")</f>
        <v>BRUNO</v>
      </c>
      <c r="AQ456" s="213"/>
      <c r="AR456" s="213"/>
      <c r="AS456" s="213"/>
      <c r="AT456" s="213"/>
      <c r="AU456" s="213"/>
      <c r="AV456" s="213"/>
      <c r="AW456" s="213"/>
      <c r="AX456" s="213"/>
      <c r="AY456" s="213"/>
      <c r="AZ456" s="213"/>
      <c r="BA456" s="213"/>
      <c r="BB456" s="213"/>
      <c r="BC456" s="213"/>
      <c r="BD456" s="213"/>
    </row>
    <row r="457">
      <c r="A457" s="213">
        <f>IFERROR(__xludf.DUMMYFUNCTION("""COMPUTED_VALUE"""),2026.0)</f>
        <v>2026</v>
      </c>
      <c r="B457" s="213" t="str">
        <f>IFERROR(__xludf.DUMMYFUNCTION("""COMPUTED_VALUE"""),"JOSE GRANDA")</f>
        <v>JOSE GRANDA</v>
      </c>
      <c r="C457" s="213" t="str">
        <f>IFERROR(__xludf.DUMMYFUNCTION("""COMPUTED_VALUE"""),"TALLER SFT DE INDUSTRIA ALIMENTARIA")</f>
        <v>TALLER SFT DE INDUSTRIA ALIMENTARIA</v>
      </c>
      <c r="D457" s="213" t="str">
        <f>IFERROR(__xludf.DUMMYFUNCTION("""COMPUTED_VALUE"""),"MOBILIARIO")</f>
        <v>MOBILIARIO</v>
      </c>
      <c r="E457" s="213" t="str">
        <f>IFERROR(__xludf.DUMMYFUNCTION("""COMPUTED_VALUE"""),"COM-202")</f>
        <v>COM-202</v>
      </c>
      <c r="F457" s="213" t="str">
        <f>IFERROR(__xludf.DUMMYFUNCTION("""COMPUTED_VALUE"""),"COM-202")</f>
        <v>COM-202</v>
      </c>
      <c r="G457" s="213"/>
      <c r="H457" s="213" t="str">
        <f>IFERROR(__xludf.DUMMYFUNCTION("""COMPUTED_VALUE"""),"LAVAMANO DE ACERO INOXIDABLE")</f>
        <v>LAVAMANO DE ACERO INOXIDABLE</v>
      </c>
      <c r="I457"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7" s="213">
        <f>IFERROR(__xludf.DUMMYFUNCTION("""COMPUTED_VALUE"""),3.0)</f>
        <v>3</v>
      </c>
      <c r="K457" s="213" t="str">
        <f>IFERROR(__xludf.DUMMYFUNCTION("""COMPUTED_VALUE"""),"90 DÍAS CALENDARIO")</f>
        <v>90 DÍAS CALENDARIO</v>
      </c>
      <c r="L457" s="213" t="str">
        <f>IFERROR(__xludf.DUMMYFUNCTION("""COMPUTED_VALUE"""),"")</f>
        <v/>
      </c>
      <c r="M457" s="213">
        <f>IFERROR(__xludf.DUMMYFUNCTION("""COMPUTED_VALUE"""),1.0)</f>
        <v>1</v>
      </c>
      <c r="N457" s="213">
        <f>IFERROR(__xludf.DUMMYFUNCTION("""COMPUTED_VALUE"""),1.0)</f>
        <v>1</v>
      </c>
      <c r="O457" s="213">
        <f>IFERROR(__xludf.DUMMYFUNCTION("""COMPUTED_VALUE"""),1.0)</f>
        <v>1</v>
      </c>
      <c r="P457" s="213"/>
      <c r="Q457" s="213"/>
      <c r="R457" s="213"/>
      <c r="S457" s="213"/>
      <c r="T457" s="213" t="str">
        <f>IFERROR(__xludf.DUMMYFUNCTION("""COMPUTED_VALUE"""),"SI")</f>
        <v>SI</v>
      </c>
      <c r="U457" s="213" t="str">
        <f>IFERROR(__xludf.DUMMYFUNCTION("""COMPUTED_VALUE"""),"SI")</f>
        <v>SI</v>
      </c>
      <c r="V457" s="213" t="str">
        <f>IFERROR(__xludf.DUMMYFUNCTION("""COMPUTED_VALUE"""),"-")</f>
        <v>-</v>
      </c>
      <c r="W457" s="213" t="str">
        <f>IFERROR(__xludf.DUMMYFUNCTION("""COMPUTED_VALUE"""),"-")</f>
        <v>-</v>
      </c>
      <c r="X457" s="213" t="str">
        <f>IFERROR(__xludf.DUMMYFUNCTION("""COMPUTED_VALUE"""),"Grupo Inoxchef")</f>
        <v>Grupo Inoxchef</v>
      </c>
      <c r="Y457" s="213" t="str">
        <f>IFERROR(__xludf.DUMMYFUNCTION("""COMPUTED_VALUE"""),"Lavamanos a Pedal Fijo")</f>
        <v>Lavamanos a Pedal Fijo</v>
      </c>
      <c r="Z457" s="215" t="str">
        <f>IFERROR(__xludf.DUMMYFUNCTION("""COMPUTED_VALUE"""),"https://mizar.pe/collections/lavamanos-y-trampa-nacionales/products/lavamanos-a-pedal-fijo")</f>
        <v>https://mizar.pe/collections/lavamanos-y-trampa-nacionales/products/lavamanos-a-pedal-fijo</v>
      </c>
      <c r="AA457" s="213" t="str">
        <f>IFERROR(__xludf.DUMMYFUNCTION("""COMPUTED_VALUE"""),"COM-202 LAVAMANO DE ACERO INOXIDABLE - CET")</f>
        <v>COM-202 LAVAMANO DE ACERO INOXIDABLE - CET</v>
      </c>
      <c r="AB457" s="213"/>
      <c r="AC457" s="213"/>
      <c r="AD457" s="213"/>
      <c r="AE457" s="213"/>
      <c r="AF457" s="213"/>
      <c r="AG457" s="213"/>
      <c r="AH457" s="213"/>
      <c r="AI457" s="213"/>
      <c r="AJ457" s="213"/>
      <c r="AK457" s="213"/>
      <c r="AL457" s="213"/>
      <c r="AM457" s="213"/>
      <c r="AN457" s="213"/>
      <c r="AO457" s="213"/>
      <c r="AP457" s="213" t="str">
        <f>IFERROR(__xludf.DUMMYFUNCTION("""COMPUTED_VALUE"""),"BRUNO")</f>
        <v>BRUNO</v>
      </c>
      <c r="AQ457" s="213"/>
      <c r="AR457" s="213"/>
      <c r="AS457" s="213"/>
      <c r="AT457" s="213"/>
      <c r="AU457" s="213"/>
      <c r="AV457" s="213"/>
      <c r="AW457" s="213"/>
      <c r="AX457" s="213"/>
      <c r="AY457" s="213"/>
      <c r="AZ457" s="213"/>
      <c r="BA457" s="213"/>
      <c r="BB457" s="213"/>
      <c r="BC457" s="213"/>
      <c r="BD457" s="213"/>
    </row>
    <row r="458">
      <c r="A458" s="213">
        <f>IFERROR(__xludf.DUMMYFUNCTION("""COMPUTED_VALUE"""),2035.0)</f>
        <v>2035</v>
      </c>
      <c r="B458" s="213" t="str">
        <f>IFERROR(__xludf.DUMMYFUNCTION("""COMPUTED_VALUE"""),"JOSE GRANDA")</f>
        <v>JOSE GRANDA</v>
      </c>
      <c r="C458" s="213" t="str">
        <f>IFERROR(__xludf.DUMMYFUNCTION("""COMPUTED_VALUE"""),"TALLER SFT DE INDUSTRIA ALIMENTARIA")</f>
        <v>TALLER SFT DE INDUSTRIA ALIMENTARIA</v>
      </c>
      <c r="D458" s="213" t="str">
        <f>IFERROR(__xludf.DUMMYFUNCTION("""COMPUTED_VALUE"""),"MOBILIARIO")</f>
        <v>MOBILIARIO</v>
      </c>
      <c r="E458" s="213" t="str">
        <f>IFERROR(__xludf.DUMMYFUNCTION("""COMPUTED_VALUE"""),"COM-202")</f>
        <v>COM-202</v>
      </c>
      <c r="F458" s="213" t="str">
        <f>IFERROR(__xludf.DUMMYFUNCTION("""COMPUTED_VALUE"""),"COM-202")</f>
        <v>COM-202</v>
      </c>
      <c r="G458" s="213"/>
      <c r="H458" s="213" t="str">
        <f>IFERROR(__xludf.DUMMYFUNCTION("""COMPUTED_VALUE"""),"LAVAMANO DE ACERO INOXIDABLE")</f>
        <v>LAVAMANO DE ACERO INOXIDABLE</v>
      </c>
      <c r="I458"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8" s="213">
        <f>IFERROR(__xludf.DUMMYFUNCTION("""COMPUTED_VALUE"""),3.0)</f>
        <v>3</v>
      </c>
      <c r="K458" s="213" t="str">
        <f>IFERROR(__xludf.DUMMYFUNCTION("""COMPUTED_VALUE"""),"90 DÍAS CALENDARIO")</f>
        <v>90 DÍAS CALENDARIO</v>
      </c>
      <c r="L458" s="213" t="str">
        <f>IFERROR(__xludf.DUMMYFUNCTION("""COMPUTED_VALUE"""),"")</f>
        <v/>
      </c>
      <c r="M458" s="213">
        <f>IFERROR(__xludf.DUMMYFUNCTION("""COMPUTED_VALUE"""),1.0)</f>
        <v>1</v>
      </c>
      <c r="N458" s="213">
        <f>IFERROR(__xludf.DUMMYFUNCTION("""COMPUTED_VALUE"""),1.0)</f>
        <v>1</v>
      </c>
      <c r="O458" s="213">
        <f>IFERROR(__xludf.DUMMYFUNCTION("""COMPUTED_VALUE"""),1.0)</f>
        <v>1</v>
      </c>
      <c r="P458" s="213"/>
      <c r="Q458" s="213"/>
      <c r="R458" s="213"/>
      <c r="S458" s="213"/>
      <c r="T458" s="213" t="str">
        <f>IFERROR(__xludf.DUMMYFUNCTION("""COMPUTED_VALUE"""),"SI")</f>
        <v>SI</v>
      </c>
      <c r="U458" s="213" t="str">
        <f>IFERROR(__xludf.DUMMYFUNCTION("""COMPUTED_VALUE"""),"SI")</f>
        <v>SI</v>
      </c>
      <c r="V458" s="213" t="str">
        <f>IFERROR(__xludf.DUMMYFUNCTION("""COMPUTED_VALUE"""),"-")</f>
        <v>-</v>
      </c>
      <c r="W458" s="213" t="str">
        <f>IFERROR(__xludf.DUMMYFUNCTION("""COMPUTED_VALUE"""),"-")</f>
        <v>-</v>
      </c>
      <c r="X458" s="213" t="str">
        <f>IFERROR(__xludf.DUMMYFUNCTION("""COMPUTED_VALUE"""),"Grupo Inoxchef")</f>
        <v>Grupo Inoxchef</v>
      </c>
      <c r="Y458" s="213" t="str">
        <f>IFERROR(__xludf.DUMMYFUNCTION("""COMPUTED_VALUE"""),"Lavamanos a Pedal Fijo")</f>
        <v>Lavamanos a Pedal Fijo</v>
      </c>
      <c r="Z458" s="215" t="str">
        <f>IFERROR(__xludf.DUMMYFUNCTION("""COMPUTED_VALUE"""),"https://mizar.pe/collections/lavamanos-y-trampa-nacionales/products/lavamanos-a-pedal-fijo")</f>
        <v>https://mizar.pe/collections/lavamanos-y-trampa-nacionales/products/lavamanos-a-pedal-fijo</v>
      </c>
      <c r="AA458" s="213" t="str">
        <f>IFERROR(__xludf.DUMMYFUNCTION("""COMPUTED_VALUE"""),"COM-202 LAVAMANO DE ACERO INOXIDABLE - CET")</f>
        <v>COM-202 LAVAMANO DE ACERO INOXIDABLE - CET</v>
      </c>
      <c r="AB458" s="213"/>
      <c r="AC458" s="213"/>
      <c r="AD458" s="213"/>
      <c r="AE458" s="213"/>
      <c r="AF458" s="213"/>
      <c r="AG458" s="213"/>
      <c r="AH458" s="213"/>
      <c r="AI458" s="213"/>
      <c r="AJ458" s="213"/>
      <c r="AK458" s="213"/>
      <c r="AL458" s="213"/>
      <c r="AM458" s="213"/>
      <c r="AN458" s="213"/>
      <c r="AO458" s="213"/>
      <c r="AP458" s="213" t="str">
        <f>IFERROR(__xludf.DUMMYFUNCTION("""COMPUTED_VALUE"""),"BRUNO")</f>
        <v>BRUNO</v>
      </c>
      <c r="AQ458" s="213"/>
      <c r="AR458" s="213"/>
      <c r="AS458" s="213"/>
      <c r="AT458" s="213"/>
      <c r="AU458" s="213"/>
      <c r="AV458" s="213"/>
      <c r="AW458" s="213"/>
      <c r="AX458" s="213"/>
      <c r="AY458" s="213"/>
      <c r="AZ458" s="213"/>
      <c r="BA458" s="213"/>
      <c r="BB458" s="213"/>
      <c r="BC458" s="213"/>
      <c r="BD458" s="213"/>
    </row>
    <row r="459">
      <c r="A459" s="213">
        <f>IFERROR(__xludf.DUMMYFUNCTION("""COMPUTED_VALUE"""),2043.0)</f>
        <v>2043</v>
      </c>
      <c r="B459" s="213" t="str">
        <f>IFERROR(__xludf.DUMMYFUNCTION("""COMPUTED_VALUE"""),"JOSE GRANDA")</f>
        <v>JOSE GRANDA</v>
      </c>
      <c r="C459" s="213" t="str">
        <f>IFERROR(__xludf.DUMMYFUNCTION("""COMPUTED_VALUE"""),"TALLER SFT DE INDUSTRIA ALIMENTARIA")</f>
        <v>TALLER SFT DE INDUSTRIA ALIMENTARIA</v>
      </c>
      <c r="D459" s="213" t="str">
        <f>IFERROR(__xludf.DUMMYFUNCTION("""COMPUTED_VALUE"""),"MOBILIARIO")</f>
        <v>MOBILIARIO</v>
      </c>
      <c r="E459" s="213" t="str">
        <f>IFERROR(__xludf.DUMMYFUNCTION("""COMPUTED_VALUE"""),"COM-202")</f>
        <v>COM-202</v>
      </c>
      <c r="F459" s="213" t="str">
        <f>IFERROR(__xludf.DUMMYFUNCTION("""COMPUTED_VALUE"""),"COM-202")</f>
        <v>COM-202</v>
      </c>
      <c r="G459" s="213"/>
      <c r="H459" s="213" t="str">
        <f>IFERROR(__xludf.DUMMYFUNCTION("""COMPUTED_VALUE"""),"LAVAMANO DE ACERO INOXIDABLE")</f>
        <v>LAVAMANO DE ACERO INOXIDABLE</v>
      </c>
      <c r="I459" s="213" t="str">
        <f>IFERROR(__xludf.DUMMYFUNCTION("""COMPUTED_VALUE"""),"· 01 Poza sanitaria tipo rectangular de mínimo38cm x25cm x20cm.
· Fabricado en acero inoxidable AISI 304.
· Instalación para toma de agua y desagüe.
· Accesorios incluidos: Grifo, canastilla de drenaje y pedal.
· Medidas aproximadas 42 cm x 42 cm x 90 cm.")</f>
        <v>· 01 Poza sanitaria tipo rectangular de mínimo38cm x25cm x20cm.
· Fabricado en acero inoxidable AISI 304.
· Instalación para toma de agua y desagüe.
· Accesorios incluidos: Grifo, canastilla de drenaje y pedal.
· Medidas aproximadas 42 cm x 42 cm x 90 cm.</v>
      </c>
      <c r="J459" s="213">
        <f>IFERROR(__xludf.DUMMYFUNCTION("""COMPUTED_VALUE"""),3.0)</f>
        <v>3</v>
      </c>
      <c r="K459" s="213" t="str">
        <f>IFERROR(__xludf.DUMMYFUNCTION("""COMPUTED_VALUE"""),"90 DÍAS CALENDARIO")</f>
        <v>90 DÍAS CALENDARIO</v>
      </c>
      <c r="L459" s="213" t="str">
        <f>IFERROR(__xludf.DUMMYFUNCTION("""COMPUTED_VALUE"""),"")</f>
        <v/>
      </c>
      <c r="M459" s="213">
        <f>IFERROR(__xludf.DUMMYFUNCTION("""COMPUTED_VALUE"""),1.0)</f>
        <v>1</v>
      </c>
      <c r="N459" s="213">
        <f>IFERROR(__xludf.DUMMYFUNCTION("""COMPUTED_VALUE"""),1.0)</f>
        <v>1</v>
      </c>
      <c r="O459" s="213">
        <f>IFERROR(__xludf.DUMMYFUNCTION("""COMPUTED_VALUE"""),1.0)</f>
        <v>1</v>
      </c>
      <c r="P459" s="213"/>
      <c r="Q459" s="213"/>
      <c r="R459" s="213"/>
      <c r="S459" s="213"/>
      <c r="T459" s="213" t="str">
        <f>IFERROR(__xludf.DUMMYFUNCTION("""COMPUTED_VALUE"""),"SI")</f>
        <v>SI</v>
      </c>
      <c r="U459" s="213" t="str">
        <f>IFERROR(__xludf.DUMMYFUNCTION("""COMPUTED_VALUE"""),"SI")</f>
        <v>SI</v>
      </c>
      <c r="V459" s="213" t="str">
        <f>IFERROR(__xludf.DUMMYFUNCTION("""COMPUTED_VALUE"""),"-")</f>
        <v>-</v>
      </c>
      <c r="W459" s="213" t="str">
        <f>IFERROR(__xludf.DUMMYFUNCTION("""COMPUTED_VALUE"""),"-")</f>
        <v>-</v>
      </c>
      <c r="X459" s="213" t="str">
        <f>IFERROR(__xludf.DUMMYFUNCTION("""COMPUTED_VALUE"""),"Grupo Inoxchef")</f>
        <v>Grupo Inoxchef</v>
      </c>
      <c r="Y459" s="213" t="str">
        <f>IFERROR(__xludf.DUMMYFUNCTION("""COMPUTED_VALUE"""),"Lavamanos a Pedal Fijo")</f>
        <v>Lavamanos a Pedal Fijo</v>
      </c>
      <c r="Z459" s="215" t="str">
        <f>IFERROR(__xludf.DUMMYFUNCTION("""COMPUTED_VALUE"""),"https://mizar.pe/collections/lavamanos-y-trampa-nacionales/products/lavamanos-a-pedal-fijo")</f>
        <v>https://mizar.pe/collections/lavamanos-y-trampa-nacionales/products/lavamanos-a-pedal-fijo</v>
      </c>
      <c r="AA459" s="213" t="str">
        <f>IFERROR(__xludf.DUMMYFUNCTION("""COMPUTED_VALUE"""),"COM-202 LAVAMANO DE ACERO INOXIDABLE - CET")</f>
        <v>COM-202 LAVAMANO DE ACERO INOXIDABLE - CET</v>
      </c>
      <c r="AB459" s="213"/>
      <c r="AC459" s="213"/>
      <c r="AD459" s="213"/>
      <c r="AE459" s="213"/>
      <c r="AF459" s="213"/>
      <c r="AG459" s="213"/>
      <c r="AH459" s="213"/>
      <c r="AI459" s="213"/>
      <c r="AJ459" s="213"/>
      <c r="AK459" s="213"/>
      <c r="AL459" s="213"/>
      <c r="AM459" s="213"/>
      <c r="AN459" s="213"/>
      <c r="AO459" s="213"/>
      <c r="AP459" s="213" t="str">
        <f>IFERROR(__xludf.DUMMYFUNCTION("""COMPUTED_VALUE"""),"BRUNO")</f>
        <v>BRUNO</v>
      </c>
      <c r="AQ459" s="213"/>
      <c r="AR459" s="213"/>
      <c r="AS459" s="213"/>
      <c r="AT459" s="213"/>
      <c r="AU459" s="213"/>
      <c r="AV459" s="213"/>
      <c r="AW459" s="213"/>
      <c r="AX459" s="213"/>
      <c r="AY459" s="213"/>
      <c r="AZ459" s="213"/>
      <c r="BA459" s="213"/>
      <c r="BB459" s="213"/>
      <c r="BC459" s="213"/>
      <c r="BD459" s="213"/>
    </row>
    <row r="460">
      <c r="A460" s="213">
        <f>IFERROR(__xludf.DUMMYFUNCTION("""COMPUTED_VALUE"""),1832.0)</f>
        <v>1832</v>
      </c>
      <c r="B460" s="213" t="str">
        <f>IFERROR(__xludf.DUMMYFUNCTION("""COMPUTED_VALUE"""),"GUILLERMO E. BILLINGHURST ")</f>
        <v>GUILLERMO E. BILLINGHURST </v>
      </c>
      <c r="C460" s="213" t="str">
        <f>IFERROR(__xludf.DUMMYFUNCTION("""COMPUTED_VALUE"""),"TALLER SFT DE EBANISTERÍA")</f>
        <v>TALLER SFT DE EBANISTERÍA</v>
      </c>
      <c r="D460" s="213" t="str">
        <f>IFERROR(__xludf.DUMMYFUNCTION("""COMPUTED_VALUE"""),"HERRAMIENTAS")</f>
        <v>HERRAMIENTAS</v>
      </c>
      <c r="E460" s="213" t="str">
        <f>IFERROR(__xludf.DUMMYFUNCTION("""COMPUTED_VALUE"""),"COM-207")</f>
        <v>COM-207</v>
      </c>
      <c r="F460" s="213" t="str">
        <f>IFERROR(__xludf.DUMMYFUNCTION("""COMPUTED_VALUE"""),"COM-207")</f>
        <v>COM-207</v>
      </c>
      <c r="G460" s="213"/>
      <c r="H460" s="213" t="str">
        <f>IFERROR(__xludf.DUMMYFUNCTION("""COMPUTED_VALUE"""),"LINTERNA FRONTAL")</f>
        <v>LINTERNA FRONTAL</v>
      </c>
      <c r="I460" s="213" t="str">
        <f>IFERROR(__xludf.DUMMYFUNCTION("""COMPUTED_VALUE"""),"Linterna led, con tres modos de iluminación. Inclinación reclinable.
Resistente a la interperie. Alimentación: 3 pilas AAA de 1.5 V.")</f>
        <v>Linterna led, con tres modos de iluminación. Inclinación reclinable.
Resistente a la interperie. Alimentación: 3 pilas AAA de 1.5 V.</v>
      </c>
      <c r="J460" s="213">
        <f>IFERROR(__xludf.DUMMYFUNCTION("""COMPUTED_VALUE"""),3.0)</f>
        <v>3</v>
      </c>
      <c r="K460" s="213" t="str">
        <f>IFERROR(__xludf.DUMMYFUNCTION("""COMPUTED_VALUE"""),"90 DÍAS CALENDARIO")</f>
        <v>90 DÍAS CALENDARIO</v>
      </c>
      <c r="L460" s="213" t="str">
        <f>IFERROR(__xludf.DUMMYFUNCTION("""COMPUTED_VALUE"""),"")</f>
        <v/>
      </c>
      <c r="M460" s="213">
        <f>IFERROR(__xludf.DUMMYFUNCTION("""COMPUTED_VALUE"""),1.0)</f>
        <v>1</v>
      </c>
      <c r="N460" s="213">
        <f>IFERROR(__xludf.DUMMYFUNCTION("""COMPUTED_VALUE"""),4.0)</f>
        <v>4</v>
      </c>
      <c r="O460" s="213">
        <f>IFERROR(__xludf.DUMMYFUNCTION("""COMPUTED_VALUE"""),4.0)</f>
        <v>4</v>
      </c>
      <c r="P460" s="213"/>
      <c r="Q460" s="213"/>
      <c r="R460" s="213"/>
      <c r="S460" s="213"/>
      <c r="T460" s="213" t="str">
        <f>IFERROR(__xludf.DUMMYFUNCTION("""COMPUTED_VALUE"""),"SI")</f>
        <v>SI</v>
      </c>
      <c r="U460" s="213" t="str">
        <f>IFERROR(__xludf.DUMMYFUNCTION("""COMPUTED_VALUE"""),"SI")</f>
        <v>SI</v>
      </c>
      <c r="V460" s="213" t="str">
        <f>IFERROR(__xludf.DUMMYFUNCTION("""COMPUTED_VALUE"""),"-")</f>
        <v>-</v>
      </c>
      <c r="W460" s="213" t="str">
        <f>IFERROR(__xludf.DUMMYFUNCTION("""COMPUTED_VALUE"""),"-")</f>
        <v>-</v>
      </c>
      <c r="X460" s="213" t="str">
        <f>IFERROR(__xludf.DUMMYFUNCTION("""COMPUTED_VALUE"""),"TRUPER")</f>
        <v>TRUPER</v>
      </c>
      <c r="Y460" s="213" t="str">
        <f>IFERROR(__xludf.DUMMYFUNCTION("""COMPUTED_VALUE"""),"Linterna de minero LED 100 lm de 3 pilas AAA, PRETUL")</f>
        <v>Linterna de minero LED 100 lm de 3 pilas AAA, PRETUL</v>
      </c>
      <c r="Z460" s="215" t="str">
        <f>IFERROR(__xludf.DUMMYFUNCTION("""COMPUTED_VALUE"""),"https://www.truper.com/ficha_tecnica/Linterna-para-cabeza-3-pilas-AAA-28-lumenes-3-LEDs-252665.html?code=27083")</f>
        <v>https://www.truper.com/ficha_tecnica/Linterna-para-cabeza-3-pilas-AAA-28-lumenes-3-LEDs-252665.html?code=27083</v>
      </c>
      <c r="AA460" s="213" t="str">
        <f>IFERROR(__xludf.DUMMYFUNCTION("""COMPUTED_VALUE"""),"COM-207 LINTERNA FRONTAL - CET")</f>
        <v>COM-207 LINTERNA FRONTAL - CET</v>
      </c>
      <c r="AB460" s="213"/>
      <c r="AC460" s="213"/>
      <c r="AD460" s="213"/>
      <c r="AE460" s="213"/>
      <c r="AF460" s="213"/>
      <c r="AG460" s="213"/>
      <c r="AH460" s="213"/>
      <c r="AI460" s="213"/>
      <c r="AJ460" s="213"/>
      <c r="AK460" s="213"/>
      <c r="AL460" s="213"/>
      <c r="AM460" s="213"/>
      <c r="AN460" s="213"/>
      <c r="AO460" s="213"/>
      <c r="AP460" s="213" t="str">
        <f>IFERROR(__xludf.DUMMYFUNCTION("""COMPUTED_VALUE"""),"BRUNO")</f>
        <v>BRUNO</v>
      </c>
      <c r="AQ460" s="213" t="str">
        <f>IFERROR(__xludf.DUMMYFUNCTION("""COMPUTED_VALUE"""),"3 Pilas AAA 1,5V por cada")</f>
        <v>3 Pilas AAA 1,5V por cada</v>
      </c>
      <c r="AR460" s="213"/>
      <c r="AS460" s="213"/>
      <c r="AT460" s="213"/>
      <c r="AU460" s="213"/>
      <c r="AV460" s="213"/>
      <c r="AW460" s="213"/>
      <c r="AX460" s="213"/>
      <c r="AY460" s="213"/>
      <c r="AZ460" s="213"/>
      <c r="BA460" s="213"/>
      <c r="BB460" s="213"/>
      <c r="BC460" s="213"/>
      <c r="BD460" s="213"/>
    </row>
    <row r="461">
      <c r="A461" s="213">
        <f>IFERROR(__xludf.DUMMYFUNCTION("""COMPUTED_VALUE"""),2614.0)</f>
        <v>2614</v>
      </c>
      <c r="B461" s="213" t="str">
        <f>IFERROR(__xludf.DUMMYFUNCTION("""COMPUTED_VALUE"""),"MANUEL ANTONIO MESONES MURO")</f>
        <v>MANUEL ANTONIO MESONES MURO</v>
      </c>
      <c r="C461" s="213" t="str">
        <f>IFERROR(__xludf.DUMMYFUNCTION("""COMPUTED_VALUE"""),"TALLER SFT DE EBANISTERÍA")</f>
        <v>TALLER SFT DE EBANISTERÍA</v>
      </c>
      <c r="D461" s="213" t="str">
        <f>IFERROR(__xludf.DUMMYFUNCTION("""COMPUTED_VALUE"""),"HERRAMIENTAS")</f>
        <v>HERRAMIENTAS</v>
      </c>
      <c r="E461" s="213" t="str">
        <f>IFERROR(__xludf.DUMMYFUNCTION("""COMPUTED_VALUE"""),"COM-207")</f>
        <v>COM-207</v>
      </c>
      <c r="F461" s="213" t="str">
        <f>IFERROR(__xludf.DUMMYFUNCTION("""COMPUTED_VALUE"""),"COM-207")</f>
        <v>COM-207</v>
      </c>
      <c r="G461" s="213"/>
      <c r="H461" s="213" t="str">
        <f>IFERROR(__xludf.DUMMYFUNCTION("""COMPUTED_VALUE"""),"LINTERNA FRONTAL")</f>
        <v>LINTERNA FRONTAL</v>
      </c>
      <c r="I461" s="213" t="str">
        <f>IFERROR(__xludf.DUMMYFUNCTION("""COMPUTED_VALUE"""),"Linterna led, con tres modos de iluminación. Inclinación reclinable.
Resistente a la interperie. Alimentación: 3 pilas AAA de 1.5 V.")</f>
        <v>Linterna led, con tres modos de iluminación. Inclinación reclinable.
Resistente a la interperie. Alimentación: 3 pilas AAA de 1.5 V.</v>
      </c>
      <c r="J461" s="213">
        <f>IFERROR(__xludf.DUMMYFUNCTION("""COMPUTED_VALUE"""),3.0)</f>
        <v>3</v>
      </c>
      <c r="K461" s="213" t="str">
        <f>IFERROR(__xludf.DUMMYFUNCTION("""COMPUTED_VALUE"""),"90 DÍAS CALENDARIO")</f>
        <v>90 DÍAS CALENDARIO</v>
      </c>
      <c r="L461" s="213" t="str">
        <f>IFERROR(__xludf.DUMMYFUNCTION("""COMPUTED_VALUE"""),"")</f>
        <v/>
      </c>
      <c r="M461" s="213">
        <f>IFERROR(__xludf.DUMMYFUNCTION("""COMPUTED_VALUE"""),1.0)</f>
        <v>1</v>
      </c>
      <c r="N461" s="213">
        <f>IFERROR(__xludf.DUMMYFUNCTION("""COMPUTED_VALUE"""),4.0)</f>
        <v>4</v>
      </c>
      <c r="O461" s="213">
        <f>IFERROR(__xludf.DUMMYFUNCTION("""COMPUTED_VALUE"""),4.0)</f>
        <v>4</v>
      </c>
      <c r="P461" s="213"/>
      <c r="Q461" s="213"/>
      <c r="R461" s="213"/>
      <c r="S461" s="213"/>
      <c r="T461" s="213" t="str">
        <f>IFERROR(__xludf.DUMMYFUNCTION("""COMPUTED_VALUE"""),"SI")</f>
        <v>SI</v>
      </c>
      <c r="U461" s="213" t="str">
        <f>IFERROR(__xludf.DUMMYFUNCTION("""COMPUTED_VALUE"""),"SI")</f>
        <v>SI</v>
      </c>
      <c r="V461" s="213" t="str">
        <f>IFERROR(__xludf.DUMMYFUNCTION("""COMPUTED_VALUE"""),"-")</f>
        <v>-</v>
      </c>
      <c r="W461" s="213" t="str">
        <f>IFERROR(__xludf.DUMMYFUNCTION("""COMPUTED_VALUE"""),"-")</f>
        <v>-</v>
      </c>
      <c r="X461" s="213" t="str">
        <f>IFERROR(__xludf.DUMMYFUNCTION("""COMPUTED_VALUE"""),"TRUPER")</f>
        <v>TRUPER</v>
      </c>
      <c r="Y461" s="213" t="str">
        <f>IFERROR(__xludf.DUMMYFUNCTION("""COMPUTED_VALUE"""),"Linterna de minero LED 100 lm de 3 pilas AAA, PRETUL")</f>
        <v>Linterna de minero LED 100 lm de 3 pilas AAA, PRETUL</v>
      </c>
      <c r="Z461" s="215" t="str">
        <f>IFERROR(__xludf.DUMMYFUNCTION("""COMPUTED_VALUE"""),"https://www.truper.com/ficha_tecnica/Linterna-para-cabeza-3-pilas-AAA-28-lumenes-3-LEDs-252665.html?code=27083")</f>
        <v>https://www.truper.com/ficha_tecnica/Linterna-para-cabeza-3-pilas-AAA-28-lumenes-3-LEDs-252665.html?code=27083</v>
      </c>
      <c r="AA461" s="213" t="str">
        <f>IFERROR(__xludf.DUMMYFUNCTION("""COMPUTED_VALUE"""),"COM-207 LINTERNA FRONTAL - CET")</f>
        <v>COM-207 LINTERNA FRONTAL - CET</v>
      </c>
      <c r="AB461" s="213"/>
      <c r="AC461" s="213"/>
      <c r="AD461" s="213"/>
      <c r="AE461" s="213"/>
      <c r="AF461" s="213"/>
      <c r="AG461" s="213"/>
      <c r="AH461" s="213"/>
      <c r="AI461" s="213"/>
      <c r="AJ461" s="213"/>
      <c r="AK461" s="213"/>
      <c r="AL461" s="213"/>
      <c r="AM461" s="213"/>
      <c r="AN461" s="213"/>
      <c r="AO461" s="213"/>
      <c r="AP461" s="213" t="str">
        <f>IFERROR(__xludf.DUMMYFUNCTION("""COMPUTED_VALUE"""),"BRUNO")</f>
        <v>BRUNO</v>
      </c>
      <c r="AQ461" s="213"/>
      <c r="AR461" s="213"/>
      <c r="AS461" s="213"/>
      <c r="AT461" s="213"/>
      <c r="AU461" s="213"/>
      <c r="AV461" s="213"/>
      <c r="AW461" s="213"/>
      <c r="AX461" s="213"/>
      <c r="AY461" s="213"/>
      <c r="AZ461" s="213"/>
      <c r="BA461" s="213"/>
      <c r="BB461" s="213"/>
      <c r="BC461" s="213"/>
      <c r="BD461" s="213"/>
    </row>
    <row r="462">
      <c r="A462" s="213">
        <f>IFERROR(__xludf.DUMMYFUNCTION("""COMPUTED_VALUE"""),251.0)</f>
        <v>251</v>
      </c>
      <c r="B462" s="213" t="str">
        <f>IFERROR(__xludf.DUMMYFUNCTION("""COMPUTED_VALUE"""),"2026 SIMON BOLIVAR")</f>
        <v>2026 SIMON BOLIVAR</v>
      </c>
      <c r="C462" s="213" t="str">
        <f>IFERROR(__xludf.DUMMYFUNCTION("""COMPUTED_VALUE"""),"TALLER SFT DE COMPUTACIÓN E INFORMÁTICA")</f>
        <v>TALLER SFT DE COMPUTACIÓN E INFORMÁTICA</v>
      </c>
      <c r="D462" s="213" t="str">
        <f>IFERROR(__xludf.DUMMYFUNCTION("""COMPUTED_VALUE"""),"HERRAMIENTAS")</f>
        <v>HERRAMIENTAS</v>
      </c>
      <c r="E462" s="213" t="str">
        <f>IFERROR(__xludf.DUMMYFUNCTION("""COMPUTED_VALUE"""),"COM-209")</f>
        <v>COM-209</v>
      </c>
      <c r="F462" s="213" t="str">
        <f>IFERROR(__xludf.DUMMYFUNCTION("""COMPUTED_VALUE"""),"COM-209")</f>
        <v>COM-209</v>
      </c>
      <c r="G462" s="213"/>
      <c r="H462" s="213" t="str">
        <f>IFERROR(__xludf.DUMMYFUNCTION("""COMPUTED_VALUE"""),"KIT DE ILUMINACIÓN DE SOFTBOX")</f>
        <v>KIT DE ILUMINACIÓN DE SOFTBOX</v>
      </c>
      <c r="I462" s="213" t="str">
        <f>IFERROR(__xludf.DUMMYFUNCTION("""COMPUTED_VALUE"""),"Kit de iluminación de softbox:
- continuo de estudio de vídeo de 20.0 in x 28.0 in,
- 1350 W, luz continua profesional para filmar equipos de estudio fotográfico, retratos, disparos,
- 5 bombillas.")</f>
        <v>Kit de iluminación de softbox:
- continuo de estudio de vídeo de 20.0 in x 28.0 in,
- 1350 W, luz continua profesional para filmar equipos de estudio fotográfico, retratos, disparos,
- 5 bombillas.</v>
      </c>
      <c r="J462" s="213">
        <f>IFERROR(__xludf.DUMMYFUNCTION("""COMPUTED_VALUE"""),3.0)</f>
        <v>3</v>
      </c>
      <c r="K462" s="213" t="str">
        <f>IFERROR(__xludf.DUMMYFUNCTION("""COMPUTED_VALUE"""),"90 DÍAS CALENDARIO")</f>
        <v>90 DÍAS CALENDARIO</v>
      </c>
      <c r="L462" s="213" t="str">
        <f>IFERROR(__xludf.DUMMYFUNCTION("""COMPUTED_VALUE"""),"")</f>
        <v/>
      </c>
      <c r="M462" s="213">
        <f>IFERROR(__xludf.DUMMYFUNCTION("""COMPUTED_VALUE"""),1.0)</f>
        <v>1</v>
      </c>
      <c r="N462" s="213">
        <f>IFERROR(__xludf.DUMMYFUNCTION("""COMPUTED_VALUE"""),2.0)</f>
        <v>2</v>
      </c>
      <c r="O462" s="213">
        <f>IFERROR(__xludf.DUMMYFUNCTION("""COMPUTED_VALUE"""),2.0)</f>
        <v>2</v>
      </c>
      <c r="P462" s="213"/>
      <c r="Q462" s="213"/>
      <c r="R462" s="213" t="str">
        <f>IFERROR(__xludf.DUMMYFUNCTION("""COMPUTED_VALUE"""),"SI")</f>
        <v>SI</v>
      </c>
      <c r="S462" s="213"/>
      <c r="T462" s="213" t="str">
        <f>IFERROR(__xludf.DUMMYFUNCTION("""COMPUTED_VALUE"""),"SI")</f>
        <v>SI</v>
      </c>
      <c r="U462" s="213" t="str">
        <f>IFERROR(__xludf.DUMMYFUNCTION("""COMPUTED_VALUE"""),"SI")</f>
        <v>SI</v>
      </c>
      <c r="V462" s="213" t="str">
        <f>IFERROR(__xludf.DUMMYFUNCTION("""COMPUTED_VALUE"""),"-")</f>
        <v>-</v>
      </c>
      <c r="W462" s="213" t="str">
        <f>IFERROR(__xludf.DUMMYFUNCTION("""COMPUTED_VALUE"""),"-")</f>
        <v>-</v>
      </c>
      <c r="X462" s="213" t="str">
        <f>IFERROR(__xludf.DUMMYFUNCTION("""COMPUTED_VALUE"""),"GENERICO")</f>
        <v>GENERICO</v>
      </c>
      <c r="Y462" s="213" t="str">
        <f>IFERROR(__xludf.DUMMYFUNCTION("""COMPUTED_VALUE"""),"GENERICO")</f>
        <v>GENERICO</v>
      </c>
      <c r="Z462" s="215" t="str">
        <f>IFERROR(__xludf.DUMMYFUNCTION("""COMPUTED_VALUE"""),"https://articulo.mercadolibre.com.pe/MPE-606434965-kit-de-iluminacion-continua-doble-softbox-parante-8-focos-_JM")</f>
        <v>https://articulo.mercadolibre.com.pe/MPE-606434965-kit-de-iluminacion-continua-doble-softbox-parante-8-focos-_JM</v>
      </c>
      <c r="AA462" s="213" t="str">
        <f>IFERROR(__xludf.DUMMYFUNCTION("""COMPUTED_VALUE"""),"COM-209 KIT DE ILUMINACIÓN DE SOFTBOX - CET")</f>
        <v>COM-209 KIT DE ILUMINACIÓN DE SOFTBOX - CET</v>
      </c>
      <c r="AB462" s="213"/>
      <c r="AC462" s="213"/>
      <c r="AD462" s="213"/>
      <c r="AE462" s="213"/>
      <c r="AF462" s="213"/>
      <c r="AG462" s="213"/>
      <c r="AH462" s="213"/>
      <c r="AI462" s="213"/>
      <c r="AJ462" s="213"/>
      <c r="AK462" s="213"/>
      <c r="AL462" s="213"/>
      <c r="AM462" s="213"/>
      <c r="AN462" s="213"/>
      <c r="AO462" s="213"/>
      <c r="AP462" s="213" t="str">
        <f>IFERROR(__xludf.DUMMYFUNCTION("""COMPUTED_VALUE"""),"LUIS")</f>
        <v>LUIS</v>
      </c>
      <c r="AQ462" s="213"/>
      <c r="AR462" s="213"/>
      <c r="AS462" s="213"/>
      <c r="AT462" s="213"/>
      <c r="AU462" s="213"/>
      <c r="AV462" s="213"/>
      <c r="AW462" s="213"/>
      <c r="AX462" s="213"/>
      <c r="AY462" s="213"/>
      <c r="AZ462" s="213"/>
      <c r="BA462" s="213"/>
      <c r="BB462" s="213"/>
      <c r="BC462" s="213"/>
      <c r="BD462" s="213"/>
    </row>
    <row r="463">
      <c r="A463" s="213">
        <f>IFERROR(__xludf.DUMMYFUNCTION("""COMPUTED_VALUE"""),736.0)</f>
        <v>736</v>
      </c>
      <c r="B463" s="213" t="str">
        <f>IFERROR(__xludf.DUMMYFUNCTION("""COMPUTED_VALUE"""),"6049 RICARDO PALMA")</f>
        <v>6049 RICARDO PALMA</v>
      </c>
      <c r="C463" s="213" t="str">
        <f>IFERROR(__xludf.DUMMYFUNCTION("""COMPUTED_VALUE"""),"TALLER SFT DE COMPUTACIÓN E INFORMÁTICA")</f>
        <v>TALLER SFT DE COMPUTACIÓN E INFORMÁTICA</v>
      </c>
      <c r="D463" s="213" t="str">
        <f>IFERROR(__xludf.DUMMYFUNCTION("""COMPUTED_VALUE"""),"HERRAMIENTAS")</f>
        <v>HERRAMIENTAS</v>
      </c>
      <c r="E463" s="213" t="str">
        <f>IFERROR(__xludf.DUMMYFUNCTION("""COMPUTED_VALUE"""),"COM-209")</f>
        <v>COM-209</v>
      </c>
      <c r="F463" s="213" t="str">
        <f>IFERROR(__xludf.DUMMYFUNCTION("""COMPUTED_VALUE"""),"COM-209")</f>
        <v>COM-209</v>
      </c>
      <c r="G463" s="213"/>
      <c r="H463" s="213" t="str">
        <f>IFERROR(__xludf.DUMMYFUNCTION("""COMPUTED_VALUE"""),"KIT DE ILUMINACIÓN DE SOFTBOX")</f>
        <v>KIT DE ILUMINACIÓN DE SOFTBOX</v>
      </c>
      <c r="I463" s="213" t="str">
        <f>IFERROR(__xludf.DUMMYFUNCTION("""COMPUTED_VALUE"""),"Kit de iluminación de softbox:
- continuo de estudio de vídeo de 20.0 in x 28.0 in,
- 1350 W, luz continua profesional para filmar equipos de estudio fotográfico, retratos, disparos,
- 5 bombillas.")</f>
        <v>Kit de iluminación de softbox:
- continuo de estudio de vídeo de 20.0 in x 28.0 in,
- 1350 W, luz continua profesional para filmar equipos de estudio fotográfico, retratos, disparos,
- 5 bombillas.</v>
      </c>
      <c r="J463" s="213">
        <f>IFERROR(__xludf.DUMMYFUNCTION("""COMPUTED_VALUE"""),3.0)</f>
        <v>3</v>
      </c>
      <c r="K463" s="213" t="str">
        <f>IFERROR(__xludf.DUMMYFUNCTION("""COMPUTED_VALUE"""),"90 DÍAS CALENDARIO")</f>
        <v>90 DÍAS CALENDARIO</v>
      </c>
      <c r="L463" s="213" t="str">
        <f>IFERROR(__xludf.DUMMYFUNCTION("""COMPUTED_VALUE"""),"")</f>
        <v/>
      </c>
      <c r="M463" s="213">
        <f>IFERROR(__xludf.DUMMYFUNCTION("""COMPUTED_VALUE"""),1.0)</f>
        <v>1</v>
      </c>
      <c r="N463" s="213">
        <f>IFERROR(__xludf.DUMMYFUNCTION("""COMPUTED_VALUE"""),2.0)</f>
        <v>2</v>
      </c>
      <c r="O463" s="213">
        <f>IFERROR(__xludf.DUMMYFUNCTION("""COMPUTED_VALUE"""),2.0)</f>
        <v>2</v>
      </c>
      <c r="P463" s="213"/>
      <c r="Q463" s="213"/>
      <c r="R463" s="213" t="str">
        <f>IFERROR(__xludf.DUMMYFUNCTION("""COMPUTED_VALUE"""),"SI")</f>
        <v>SI</v>
      </c>
      <c r="S463" s="213"/>
      <c r="T463" s="213" t="str">
        <f>IFERROR(__xludf.DUMMYFUNCTION("""COMPUTED_VALUE"""),"SI")</f>
        <v>SI</v>
      </c>
      <c r="U463" s="213" t="str">
        <f>IFERROR(__xludf.DUMMYFUNCTION("""COMPUTED_VALUE"""),"SI")</f>
        <v>SI</v>
      </c>
      <c r="V463" s="213" t="str">
        <f>IFERROR(__xludf.DUMMYFUNCTION("""COMPUTED_VALUE"""),"-")</f>
        <v>-</v>
      </c>
      <c r="W463" s="213" t="str">
        <f>IFERROR(__xludf.DUMMYFUNCTION("""COMPUTED_VALUE"""),"-")</f>
        <v>-</v>
      </c>
      <c r="X463" s="213" t="str">
        <f>IFERROR(__xludf.DUMMYFUNCTION("""COMPUTED_VALUE"""),"GENERICO")</f>
        <v>GENERICO</v>
      </c>
      <c r="Y463" s="213" t="str">
        <f>IFERROR(__xludf.DUMMYFUNCTION("""COMPUTED_VALUE"""),"GENERICO")</f>
        <v>GENERICO</v>
      </c>
      <c r="Z463" s="215" t="str">
        <f>IFERROR(__xludf.DUMMYFUNCTION("""COMPUTED_VALUE"""),"https://articulo.mercadolibre.com.pe/MPE-606434965-kit-de-iluminacion-continua-doble-softbox-parante-8-focos-_JM")</f>
        <v>https://articulo.mercadolibre.com.pe/MPE-606434965-kit-de-iluminacion-continua-doble-softbox-parante-8-focos-_JM</v>
      </c>
      <c r="AA463" s="213" t="str">
        <f>IFERROR(__xludf.DUMMYFUNCTION("""COMPUTED_VALUE"""),"COM-209 KIT DE ILUMINACIÓN DE SOFTBOX - CET")</f>
        <v>COM-209 KIT DE ILUMINACIÓN DE SOFTBOX - CET</v>
      </c>
      <c r="AB463" s="213"/>
      <c r="AC463" s="213"/>
      <c r="AD463" s="213"/>
      <c r="AE463" s="213"/>
      <c r="AF463" s="213"/>
      <c r="AG463" s="213"/>
      <c r="AH463" s="213"/>
      <c r="AI463" s="213"/>
      <c r="AJ463" s="213"/>
      <c r="AK463" s="213"/>
      <c r="AL463" s="213"/>
      <c r="AM463" s="213"/>
      <c r="AN463" s="213"/>
      <c r="AO463" s="213"/>
      <c r="AP463" s="213" t="str">
        <f>IFERROR(__xludf.DUMMYFUNCTION("""COMPUTED_VALUE"""),"LUIS")</f>
        <v>LUIS</v>
      </c>
      <c r="AQ463" s="213"/>
      <c r="AR463" s="213"/>
      <c r="AS463" s="213"/>
      <c r="AT463" s="213"/>
      <c r="AU463" s="213"/>
      <c r="AV463" s="213"/>
      <c r="AW463" s="213"/>
      <c r="AX463" s="213"/>
      <c r="AY463" s="213"/>
      <c r="AZ463" s="213"/>
      <c r="BA463" s="213"/>
      <c r="BB463" s="213"/>
      <c r="BC463" s="213"/>
      <c r="BD463" s="213"/>
    </row>
    <row r="464">
      <c r="A464" s="213">
        <f>IFERROR(__xludf.DUMMYFUNCTION("""COMPUTED_VALUE"""),1671.0)</f>
        <v>1671</v>
      </c>
      <c r="B464" s="213" t="str">
        <f>IFERROR(__xludf.DUMMYFUNCTION("""COMPUTED_VALUE"""),"GUILLERMO E. BILLINGHURST ")</f>
        <v>GUILLERMO E. BILLINGHURST </v>
      </c>
      <c r="C464" s="213" t="str">
        <f>IFERROR(__xludf.DUMMYFUNCTION("""COMPUTED_VALUE"""),"TALLER SFT DE COMPUTACIÓN E INFORMÁTICA")</f>
        <v>TALLER SFT DE COMPUTACIÓN E INFORMÁTICA</v>
      </c>
      <c r="D464" s="213" t="str">
        <f>IFERROR(__xludf.DUMMYFUNCTION("""COMPUTED_VALUE"""),"HERRAMIENTAS")</f>
        <v>HERRAMIENTAS</v>
      </c>
      <c r="E464" s="213" t="str">
        <f>IFERROR(__xludf.DUMMYFUNCTION("""COMPUTED_VALUE"""),"COM-209")</f>
        <v>COM-209</v>
      </c>
      <c r="F464" s="213" t="str">
        <f>IFERROR(__xludf.DUMMYFUNCTION("""COMPUTED_VALUE"""),"COM-209")</f>
        <v>COM-209</v>
      </c>
      <c r="G464" s="213"/>
      <c r="H464" s="213" t="str">
        <f>IFERROR(__xludf.DUMMYFUNCTION("""COMPUTED_VALUE"""),"KIT DE ILUMINACIÓN DE SOFTBOX")</f>
        <v>KIT DE ILUMINACIÓN DE SOFTBOX</v>
      </c>
      <c r="I464" s="213" t="str">
        <f>IFERROR(__xludf.DUMMYFUNCTION("""COMPUTED_VALUE"""),"Kit de iluminación de softbox:
- continuo de estudio de vídeo de 20.0 in x 28.0 in,
- 1350 W, luz continua profesional para filmar equipos de estudio fotográfico, retratos, disparos,
- 5 bombillas.")</f>
        <v>Kit de iluminación de softbox:
- continuo de estudio de vídeo de 20.0 in x 28.0 in,
- 1350 W, luz continua profesional para filmar equipos de estudio fotográfico, retratos, disparos,
- 5 bombillas.</v>
      </c>
      <c r="J464" s="213">
        <f>IFERROR(__xludf.DUMMYFUNCTION("""COMPUTED_VALUE"""),3.0)</f>
        <v>3</v>
      </c>
      <c r="K464" s="213" t="str">
        <f>IFERROR(__xludf.DUMMYFUNCTION("""COMPUTED_VALUE"""),"90 DÍAS CALENDARIO")</f>
        <v>90 DÍAS CALENDARIO</v>
      </c>
      <c r="L464" s="213" t="str">
        <f>IFERROR(__xludf.DUMMYFUNCTION("""COMPUTED_VALUE"""),"")</f>
        <v/>
      </c>
      <c r="M464" s="213">
        <f>IFERROR(__xludf.DUMMYFUNCTION("""COMPUTED_VALUE"""),1.0)</f>
        <v>1</v>
      </c>
      <c r="N464" s="213">
        <f>IFERROR(__xludf.DUMMYFUNCTION("""COMPUTED_VALUE"""),2.0)</f>
        <v>2</v>
      </c>
      <c r="O464" s="213">
        <f>IFERROR(__xludf.DUMMYFUNCTION("""COMPUTED_VALUE"""),2.0)</f>
        <v>2</v>
      </c>
      <c r="P464" s="213"/>
      <c r="Q464" s="213"/>
      <c r="R464" s="213" t="str">
        <f>IFERROR(__xludf.DUMMYFUNCTION("""COMPUTED_VALUE"""),"SI")</f>
        <v>SI</v>
      </c>
      <c r="S464" s="213"/>
      <c r="T464" s="213" t="str">
        <f>IFERROR(__xludf.DUMMYFUNCTION("""COMPUTED_VALUE"""),"SI")</f>
        <v>SI</v>
      </c>
      <c r="U464" s="213" t="str">
        <f>IFERROR(__xludf.DUMMYFUNCTION("""COMPUTED_VALUE"""),"SI")</f>
        <v>SI</v>
      </c>
      <c r="V464" s="213" t="str">
        <f>IFERROR(__xludf.DUMMYFUNCTION("""COMPUTED_VALUE"""),"-")</f>
        <v>-</v>
      </c>
      <c r="W464" s="213" t="str">
        <f>IFERROR(__xludf.DUMMYFUNCTION("""COMPUTED_VALUE"""),"-")</f>
        <v>-</v>
      </c>
      <c r="X464" s="213" t="str">
        <f>IFERROR(__xludf.DUMMYFUNCTION("""COMPUTED_VALUE"""),"GENERICO")</f>
        <v>GENERICO</v>
      </c>
      <c r="Y464" s="213" t="str">
        <f>IFERROR(__xludf.DUMMYFUNCTION("""COMPUTED_VALUE"""),"GENERICO")</f>
        <v>GENERICO</v>
      </c>
      <c r="Z464" s="215" t="str">
        <f>IFERROR(__xludf.DUMMYFUNCTION("""COMPUTED_VALUE"""),"https://articulo.mercadolibre.com.pe/MPE-606434965-kit-de-iluminacion-continua-doble-softbox-parante-8-focos-_JM")</f>
        <v>https://articulo.mercadolibre.com.pe/MPE-606434965-kit-de-iluminacion-continua-doble-softbox-parante-8-focos-_JM</v>
      </c>
      <c r="AA464" s="213" t="str">
        <f>IFERROR(__xludf.DUMMYFUNCTION("""COMPUTED_VALUE"""),"COM-209 KIT DE ILUMINACIÓN DE SOFTBOX - CET")</f>
        <v>COM-209 KIT DE ILUMINACIÓN DE SOFTBOX - CET</v>
      </c>
      <c r="AB464" s="213"/>
      <c r="AC464" s="213"/>
      <c r="AD464" s="213"/>
      <c r="AE464" s="213"/>
      <c r="AF464" s="213"/>
      <c r="AG464" s="213"/>
      <c r="AH464" s="213"/>
      <c r="AI464" s="213"/>
      <c r="AJ464" s="213"/>
      <c r="AK464" s="213"/>
      <c r="AL464" s="213"/>
      <c r="AM464" s="213"/>
      <c r="AN464" s="213"/>
      <c r="AO464" s="213"/>
      <c r="AP464" s="213" t="str">
        <f>IFERROR(__xludf.DUMMYFUNCTION("""COMPUTED_VALUE"""),"LUIS")</f>
        <v>LUIS</v>
      </c>
      <c r="AQ464" s="213"/>
      <c r="AR464" s="213"/>
      <c r="AS464" s="213"/>
      <c r="AT464" s="213"/>
      <c r="AU464" s="213"/>
      <c r="AV464" s="213"/>
      <c r="AW464" s="213"/>
      <c r="AX464" s="213"/>
      <c r="AY464" s="213"/>
      <c r="AZ464" s="213"/>
      <c r="BA464" s="213"/>
      <c r="BB464" s="213"/>
      <c r="BC464" s="213"/>
      <c r="BD464" s="213"/>
    </row>
    <row r="465">
      <c r="A465" s="213">
        <f>IFERROR(__xludf.DUMMYFUNCTION("""COMPUTED_VALUE"""),1922.0)</f>
        <v>1922</v>
      </c>
      <c r="B465" s="213" t="str">
        <f>IFERROR(__xludf.DUMMYFUNCTION("""COMPUTED_VALUE"""),"JOSE GRANDA")</f>
        <v>JOSE GRANDA</v>
      </c>
      <c r="C465" s="213" t="str">
        <f>IFERROR(__xludf.DUMMYFUNCTION("""COMPUTED_VALUE"""),"TALLER SFT DE COMPUTACIÓN E INFORMÁTICA")</f>
        <v>TALLER SFT DE COMPUTACIÓN E INFORMÁTICA</v>
      </c>
      <c r="D465" s="213" t="str">
        <f>IFERROR(__xludf.DUMMYFUNCTION("""COMPUTED_VALUE"""),"HERRAMIENTAS")</f>
        <v>HERRAMIENTAS</v>
      </c>
      <c r="E465" s="213" t="str">
        <f>IFERROR(__xludf.DUMMYFUNCTION("""COMPUTED_VALUE"""),"COM-209")</f>
        <v>COM-209</v>
      </c>
      <c r="F465" s="213" t="str">
        <f>IFERROR(__xludf.DUMMYFUNCTION("""COMPUTED_VALUE"""),"COM-209")</f>
        <v>COM-209</v>
      </c>
      <c r="G465" s="213"/>
      <c r="H465" s="213" t="str">
        <f>IFERROR(__xludf.DUMMYFUNCTION("""COMPUTED_VALUE"""),"KIT DE ILUMINACIÓN DE SOFTBOX")</f>
        <v>KIT DE ILUMINACIÓN DE SOFTBOX</v>
      </c>
      <c r="I465" s="213" t="str">
        <f>IFERROR(__xludf.DUMMYFUNCTION("""COMPUTED_VALUE"""),"Kit de iluminación de softbox:
- continuo de estudio de vídeo de 20.0 in x 28.0 in,
- 1350 W, luz continua profesional para filmar equipos de estudio fotográfico, retratos, disparos,
- 5 bombillas.")</f>
        <v>Kit de iluminación de softbox:
- continuo de estudio de vídeo de 20.0 in x 28.0 in,
- 1350 W, luz continua profesional para filmar equipos de estudio fotográfico, retratos, disparos,
- 5 bombillas.</v>
      </c>
      <c r="J465" s="213">
        <f>IFERROR(__xludf.DUMMYFUNCTION("""COMPUTED_VALUE"""),3.0)</f>
        <v>3</v>
      </c>
      <c r="K465" s="213" t="str">
        <f>IFERROR(__xludf.DUMMYFUNCTION("""COMPUTED_VALUE"""),"90 DÍAS CALENDARIO")</f>
        <v>90 DÍAS CALENDARIO</v>
      </c>
      <c r="L465" s="213" t="str">
        <f>IFERROR(__xludf.DUMMYFUNCTION("""COMPUTED_VALUE"""),"")</f>
        <v/>
      </c>
      <c r="M465" s="213">
        <f>IFERROR(__xludf.DUMMYFUNCTION("""COMPUTED_VALUE"""),1.0)</f>
        <v>1</v>
      </c>
      <c r="N465" s="213">
        <f>IFERROR(__xludf.DUMMYFUNCTION("""COMPUTED_VALUE"""),2.0)</f>
        <v>2</v>
      </c>
      <c r="O465" s="213">
        <f>IFERROR(__xludf.DUMMYFUNCTION("""COMPUTED_VALUE"""),2.0)</f>
        <v>2</v>
      </c>
      <c r="P465" s="213"/>
      <c r="Q465" s="213"/>
      <c r="R465" s="213" t="str">
        <f>IFERROR(__xludf.DUMMYFUNCTION("""COMPUTED_VALUE"""),"SI")</f>
        <v>SI</v>
      </c>
      <c r="S465" s="213"/>
      <c r="T465" s="213" t="str">
        <f>IFERROR(__xludf.DUMMYFUNCTION("""COMPUTED_VALUE"""),"SI")</f>
        <v>SI</v>
      </c>
      <c r="U465" s="213" t="str">
        <f>IFERROR(__xludf.DUMMYFUNCTION("""COMPUTED_VALUE"""),"SI")</f>
        <v>SI</v>
      </c>
      <c r="V465" s="213" t="str">
        <f>IFERROR(__xludf.DUMMYFUNCTION("""COMPUTED_VALUE"""),"-")</f>
        <v>-</v>
      </c>
      <c r="W465" s="213" t="str">
        <f>IFERROR(__xludf.DUMMYFUNCTION("""COMPUTED_VALUE"""),"-")</f>
        <v>-</v>
      </c>
      <c r="X465" s="213" t="str">
        <f>IFERROR(__xludf.DUMMYFUNCTION("""COMPUTED_VALUE"""),"GENERICO")</f>
        <v>GENERICO</v>
      </c>
      <c r="Y465" s="213" t="str">
        <f>IFERROR(__xludf.DUMMYFUNCTION("""COMPUTED_VALUE"""),"GENERICO")</f>
        <v>GENERICO</v>
      </c>
      <c r="Z465" s="215" t="str">
        <f>IFERROR(__xludf.DUMMYFUNCTION("""COMPUTED_VALUE"""),"https://articulo.mercadolibre.com.pe/MPE-606434965-kit-de-iluminacion-continua-doble-softbox-parante-8-focos-_JM")</f>
        <v>https://articulo.mercadolibre.com.pe/MPE-606434965-kit-de-iluminacion-continua-doble-softbox-parante-8-focos-_JM</v>
      </c>
      <c r="AA465" s="213" t="str">
        <f>IFERROR(__xludf.DUMMYFUNCTION("""COMPUTED_VALUE"""),"COM-209 KIT DE ILUMINACIÓN DE SOFTBOX - CET")</f>
        <v>COM-209 KIT DE ILUMINACIÓN DE SOFTBOX - CET</v>
      </c>
      <c r="AB465" s="213"/>
      <c r="AC465" s="213"/>
      <c r="AD465" s="213"/>
      <c r="AE465" s="213"/>
      <c r="AF465" s="213"/>
      <c r="AG465" s="213"/>
      <c r="AH465" s="213"/>
      <c r="AI465" s="213"/>
      <c r="AJ465" s="213"/>
      <c r="AK465" s="213"/>
      <c r="AL465" s="213"/>
      <c r="AM465" s="213"/>
      <c r="AN465" s="213"/>
      <c r="AO465" s="213"/>
      <c r="AP465" s="213" t="str">
        <f>IFERROR(__xludf.DUMMYFUNCTION("""COMPUTED_VALUE"""),"LUIS")</f>
        <v>LUIS</v>
      </c>
      <c r="AQ465" s="213"/>
      <c r="AR465" s="213"/>
      <c r="AS465" s="213"/>
      <c r="AT465" s="213"/>
      <c r="AU465" s="213"/>
      <c r="AV465" s="213"/>
      <c r="AW465" s="213"/>
      <c r="AX465" s="213"/>
      <c r="AY465" s="213"/>
      <c r="AZ465" s="213"/>
      <c r="BA465" s="213"/>
      <c r="BB465" s="213"/>
      <c r="BC465" s="213"/>
      <c r="BD465" s="213"/>
    </row>
    <row r="466">
      <c r="A466" s="213">
        <f>IFERROR(__xludf.DUMMYFUNCTION("""COMPUTED_VALUE"""),645.0)</f>
        <v>645</v>
      </c>
      <c r="B466" s="213" t="str">
        <f>IFERROR(__xludf.DUMMYFUNCTION("""COMPUTED_VALUE"""),"6049 RICARDO PALMA")</f>
        <v>6049 RICARDO PALMA</v>
      </c>
      <c r="C466" s="213" t="str">
        <f>IFERROR(__xludf.DUMMYFUNCTION("""COMPUTED_VALUE"""),"TALLER SFT DE ELECTRÓNICA")</f>
        <v>TALLER SFT DE ELECTRÓNICA</v>
      </c>
      <c r="D466" s="213" t="str">
        <f>IFERROR(__xludf.DUMMYFUNCTION("""COMPUTED_VALUE"""),"HERRAMIENTAS")</f>
        <v>HERRAMIENTAS</v>
      </c>
      <c r="E466" s="213" t="str">
        <f>IFERROR(__xludf.DUMMYFUNCTION("""COMPUTED_VALUE"""),"COM-211")</f>
        <v>COM-211</v>
      </c>
      <c r="F466" s="213" t="str">
        <f>IFERROR(__xludf.DUMMYFUNCTION("""COMPUTED_VALUE"""),"COM-211")</f>
        <v>COM-211</v>
      </c>
      <c r="G466" s="213"/>
      <c r="H466" s="213" t="str">
        <f>IFERROR(__xludf.DUMMYFUNCTION("""COMPUTED_VALUE"""),"LUPAS CON ILUMINACIÓN PARA LABORATORIO DE ELECTRÓNICA")</f>
        <v>LUPAS CON ILUMINACIÓN PARA LABORATORIO DE ELECTRÓNICA</v>
      </c>
      <c r="I466" s="213" t="str">
        <f>IFERROR(__xludf.DUMMYFUNCTION("""COMPUTED_VALUE"""),"· -Material: Asbesto + metal
· -Lente: vidrio transparente
· -Diámetro de la lente: 90mm
· -Ampliación: 2.5 veces
· -Fuente de luz: 2x LED
· -Batería: 3 pilas AAA o similar
· -Tamaño del producto: la altura total aproximada de 17cm, base 6 cm x 7cm.")</f>
        <v>· -Material: Asbesto + metal
· -Lente: vidrio transparente
· -Diámetro de la lente: 90mm
· -Ampliación: 2.5 veces
· -Fuente de luz: 2x LED
· -Batería: 3 pilas AAA o similar
· -Tamaño del producto: la altura total aproximada de 17cm, base 6 cm x 7cm.</v>
      </c>
      <c r="J466" s="213">
        <f>IFERROR(__xludf.DUMMYFUNCTION("""COMPUTED_VALUE"""),3.0)</f>
        <v>3</v>
      </c>
      <c r="K466" s="213" t="str">
        <f>IFERROR(__xludf.DUMMYFUNCTION("""COMPUTED_VALUE"""),"90 DÍAS CALENDARIO")</f>
        <v>90 DÍAS CALENDARIO</v>
      </c>
      <c r="L466" s="213" t="str">
        <f>IFERROR(__xludf.DUMMYFUNCTION("""COMPUTED_VALUE"""),"")</f>
        <v/>
      </c>
      <c r="M466" s="213">
        <f>IFERROR(__xludf.DUMMYFUNCTION("""COMPUTED_VALUE"""),1.0)</f>
        <v>1</v>
      </c>
      <c r="N466" s="213">
        <f>IFERROR(__xludf.DUMMYFUNCTION("""COMPUTED_VALUE"""),4.0)</f>
        <v>4</v>
      </c>
      <c r="O466" s="213">
        <f>IFERROR(__xludf.DUMMYFUNCTION("""COMPUTED_VALUE"""),4.0)</f>
        <v>4</v>
      </c>
      <c r="P466" s="213"/>
      <c r="Q466" s="213"/>
      <c r="R466" s="213"/>
      <c r="S466" s="213"/>
      <c r="T466" s="213" t="str">
        <f>IFERROR(__xludf.DUMMYFUNCTION("""COMPUTED_VALUE"""),"SI")</f>
        <v>SI</v>
      </c>
      <c r="U466" s="213" t="str">
        <f>IFERROR(__xludf.DUMMYFUNCTION("""COMPUTED_VALUE"""),"SI")</f>
        <v>SI</v>
      </c>
      <c r="V466" s="213" t="str">
        <f>IFERROR(__xludf.DUMMYFUNCTION("""COMPUTED_VALUE"""),"-")</f>
        <v>-</v>
      </c>
      <c r="W466" s="213" t="str">
        <f>IFERROR(__xludf.DUMMYFUNCTION("""COMPUTED_VALUE"""),"-")</f>
        <v>-</v>
      </c>
      <c r="X466" s="213" t="str">
        <f>IFERROR(__xludf.DUMMYFUNCTION("""COMPUTED_VALUE"""),"Generic")</f>
        <v>Generic</v>
      </c>
      <c r="Y466" s="213" t="str">
        <f>IFERROR(__xludf.DUMMYFUNCTION("""COMPUTED_VALUE"""),"Kit Soldar Soporte Pinza Lupa Luz LED Para Reparación Circuitos")</f>
        <v>Kit Soldar Soporte Pinza Lupa Luz LED Para Reparación Circuitos</v>
      </c>
      <c r="Z466" s="215" t="str">
        <f>IFERROR(__xludf.DUMMYFUNCTION("""COMPUTED_VALUE"""),"https://www.falabella.com.pe/falabella-pe/product/124425983/Kit-Soldar-Soporte-Pinza-Lupa-Luz-LED-Para-Reparacion-Circuitos/124425987")</f>
        <v>https://www.falabella.com.pe/falabella-pe/product/124425983/Kit-Soldar-Soporte-Pinza-Lupa-Luz-LED-Para-Reparacion-Circuitos/124425987</v>
      </c>
      <c r="AA466" s="213" t="str">
        <f>IFERROR(__xludf.DUMMYFUNCTION("""COMPUTED_VALUE"""),"COM-211 LUPAS CON ILUMINACIÓN PARA LABORATORIO DE ELECTRÓNICA - CET")</f>
        <v>COM-211 LUPAS CON ILUMINACIÓN PARA LABORATORIO DE ELECTRÓNICA - CET</v>
      </c>
      <c r="AB466" s="213"/>
      <c r="AC466" s="213"/>
      <c r="AD466" s="213"/>
      <c r="AE466" s="213"/>
      <c r="AF466" s="213"/>
      <c r="AG466" s="213"/>
      <c r="AH466" s="213"/>
      <c r="AI466" s="213"/>
      <c r="AJ466" s="213"/>
      <c r="AK466" s="213"/>
      <c r="AL466" s="213"/>
      <c r="AM466" s="213"/>
      <c r="AN466" s="213"/>
      <c r="AO466" s="213"/>
      <c r="AP466" s="213" t="str">
        <f>IFERROR(__xludf.DUMMYFUNCTION("""COMPUTED_VALUE"""),"BRUNO")</f>
        <v>BRUNO</v>
      </c>
      <c r="AQ466" s="213"/>
      <c r="AR466" s="213"/>
      <c r="AS466" s="213"/>
      <c r="AT466" s="213"/>
      <c r="AU466" s="213"/>
      <c r="AV466" s="213"/>
      <c r="AW466" s="213"/>
      <c r="AX466" s="213"/>
      <c r="AY466" s="213"/>
      <c r="AZ466" s="213"/>
      <c r="BA466" s="213"/>
      <c r="BB466" s="213"/>
      <c r="BC466" s="213"/>
      <c r="BD466" s="213"/>
    </row>
    <row r="467">
      <c r="A467" s="213">
        <f>IFERROR(__xludf.DUMMYFUNCTION("""COMPUTED_VALUE"""),164.0)</f>
        <v>164</v>
      </c>
      <c r="B467" s="213" t="str">
        <f>IFERROR(__xludf.DUMMYFUNCTION("""COMPUTED_VALUE"""),"2026 SIMON BOLIVAR")</f>
        <v>2026 SIMON BOLIVAR</v>
      </c>
      <c r="C467" s="213" t="str">
        <f>IFERROR(__xludf.DUMMYFUNCTION("""COMPUTED_VALUE"""),"TALLER SFT DE INDUSTRIA DEL VESTIDO")</f>
        <v>TALLER SFT DE INDUSTRIA DEL VESTIDO</v>
      </c>
      <c r="D467" s="213" t="str">
        <f>IFERROR(__xludf.DUMMYFUNCTION("""COMPUTED_VALUE"""),"HERRAMIENTAS")</f>
        <v>HERRAMIENTAS</v>
      </c>
      <c r="E467" s="213" t="str">
        <f>IFERROR(__xludf.DUMMYFUNCTION("""COMPUTED_VALUE"""),"COM-215")</f>
        <v>COM-215</v>
      </c>
      <c r="F467" s="213" t="str">
        <f>IFERROR(__xludf.DUMMYFUNCTION("""COMPUTED_VALUE"""),"COM-215")</f>
        <v>COM-215</v>
      </c>
      <c r="G467" s="213"/>
      <c r="H467" s="213" t="str">
        <f>IFERROR(__xludf.DUMMYFUNCTION("""COMPUTED_VALUE"""),"JUEGO DE MANIQUÍES")</f>
        <v>JUEGO DE MANIQUÍES</v>
      </c>
      <c r="I467" s="213" t="str">
        <f>IFERROR(__xludf.DUMMYFUNCTION("""COMPUTED_VALUE"""),"·      Juego de maniquís de cuerpo entero de caballero, dama, niño y niña.
·      Fabricado en fibra de vidrio
·      Apropiado para exposición de prendas de vestir
·      Dimensiones aproximadas:
·      Maniquí dama: altura 170 cm
·      Maniquí caballer"&amp;"o: altura 180 cm
·      Maniquí niño: altura 120 cm
·      Maniquí niña: altura 120 cm")</f>
        <v>·      Juego de maniquís de cuerpo entero de caballero, dama, niño y niña.
·      Fabricado en fibra de vidrio
·      Apropiado para exposición de prendas de vestir
·      Dimensiones aproximadas:
·      Maniquí dama: altura 170 cm
·      Maniquí caballero: altura 180 cm
·      Maniquí niño: altura 120 cm
·      Maniquí niña: altura 120 cm</v>
      </c>
      <c r="J467" s="213">
        <f>IFERROR(__xludf.DUMMYFUNCTION("""COMPUTED_VALUE"""),3.0)</f>
        <v>3</v>
      </c>
      <c r="K467" s="213" t="str">
        <f>IFERROR(__xludf.DUMMYFUNCTION("""COMPUTED_VALUE"""),"90 DÍAS CALENDARIO")</f>
        <v>90 DÍAS CALENDARIO</v>
      </c>
      <c r="L467" s="213" t="str">
        <f>IFERROR(__xludf.DUMMYFUNCTION("""COMPUTED_VALUE"""),"")</f>
        <v/>
      </c>
      <c r="M467" s="213">
        <f>IFERROR(__xludf.DUMMYFUNCTION("""COMPUTED_VALUE"""),1.0)</f>
        <v>1</v>
      </c>
      <c r="N467" s="213">
        <f>IFERROR(__xludf.DUMMYFUNCTION("""COMPUTED_VALUE"""),1.0)</f>
        <v>1</v>
      </c>
      <c r="O467" s="213">
        <f>IFERROR(__xludf.DUMMYFUNCTION("""COMPUTED_VALUE"""),1.0)</f>
        <v>1</v>
      </c>
      <c r="P467" s="213"/>
      <c r="Q467" s="213"/>
      <c r="R467" s="213"/>
      <c r="S467" s="213"/>
      <c r="T467" s="213" t="str">
        <f>IFERROR(__xludf.DUMMYFUNCTION("""COMPUTED_VALUE"""),"SI")</f>
        <v>SI</v>
      </c>
      <c r="U467" s="213" t="str">
        <f>IFERROR(__xludf.DUMMYFUNCTION("""COMPUTED_VALUE"""),"SI")</f>
        <v>SI</v>
      </c>
      <c r="V467" s="213" t="str">
        <f>IFERROR(__xludf.DUMMYFUNCTION("""COMPUTED_VALUE"""),"-")</f>
        <v>-</v>
      </c>
      <c r="W467" s="213" t="str">
        <f>IFERROR(__xludf.DUMMYFUNCTION("""COMPUTED_VALUE"""),"-")</f>
        <v>-</v>
      </c>
      <c r="X467" s="213" t="str">
        <f>IFERROR(__xludf.DUMMYFUNCTION("""COMPUTED_VALUE"""),"GENERICO")</f>
        <v>GENERICO</v>
      </c>
      <c r="Y467" s="213" t="str">
        <f>IFERROR(__xludf.DUMMYFUNCTION("""COMPUTED_VALUE"""),"GENERICO")</f>
        <v>GENERICO</v>
      </c>
      <c r="Z467" s="215" t="str">
        <f>IFERROR(__xludf.DUMMYFUNCTION("""COMPUTED_VALUE"""),"https://dicapomaniquies.com/product/balder-2")</f>
        <v>https://dicapomaniquies.com/product/balder-2</v>
      </c>
      <c r="AA467" s="213" t="str">
        <f>IFERROR(__xludf.DUMMYFUNCTION("""COMPUTED_VALUE"""),"C0M-215 JUEGO DE MANIQUÍES - CET")</f>
        <v>C0M-215 JUEGO DE MANIQUÍES - CET</v>
      </c>
      <c r="AB467" s="213"/>
      <c r="AC467" s="213"/>
      <c r="AD467" s="213"/>
      <c r="AE467" s="213"/>
      <c r="AF467" s="213"/>
      <c r="AG467" s="213"/>
      <c r="AH467" s="213"/>
      <c r="AI467" s="213"/>
      <c r="AJ467" s="213"/>
      <c r="AK467" s="213"/>
      <c r="AL467" s="213"/>
      <c r="AM467" s="213"/>
      <c r="AN467" s="213"/>
      <c r="AO467" s="213"/>
      <c r="AP467" s="213" t="str">
        <f>IFERROR(__xludf.DUMMYFUNCTION("""COMPUTED_VALUE"""),"LUIS")</f>
        <v>LUIS</v>
      </c>
      <c r="AQ467" s="213"/>
      <c r="AR467" s="213"/>
      <c r="AS467" s="213"/>
      <c r="AT467" s="213"/>
      <c r="AU467" s="213"/>
      <c r="AV467" s="213"/>
      <c r="AW467" s="213"/>
      <c r="AX467" s="213"/>
      <c r="AY467" s="213"/>
      <c r="AZ467" s="213"/>
      <c r="BA467" s="213"/>
      <c r="BB467" s="213"/>
      <c r="BC467" s="213"/>
      <c r="BD467" s="213"/>
    </row>
    <row r="468">
      <c r="A468" s="213">
        <f>IFERROR(__xludf.DUMMYFUNCTION("""COMPUTED_VALUE"""),2506.0)</f>
        <v>2506</v>
      </c>
      <c r="B468" s="213" t="str">
        <f>IFERROR(__xludf.DUMMYFUNCTION("""COMPUTED_VALUE"""),"MANUEL ANTONIO MESONES MURO")</f>
        <v>MANUEL ANTONIO MESONES MURO</v>
      </c>
      <c r="C468" s="213" t="str">
        <f>IFERROR(__xludf.DUMMYFUNCTION("""COMPUTED_VALUE"""),"TALLER SFT DE CONSTRUCCIONES METÁLICAS")</f>
        <v>TALLER SFT DE CONSTRUCCIONES METÁLICAS</v>
      </c>
      <c r="D468" s="213" t="str">
        <f>IFERROR(__xludf.DUMMYFUNCTION("""COMPUTED_VALUE"""),"EQUIPOS")</f>
        <v>EQUIPOS</v>
      </c>
      <c r="E468" s="213" t="str">
        <f>IFERROR(__xludf.DUMMYFUNCTION("""COMPUTED_VALUE"""),"ESP-140")</f>
        <v>ESP-140</v>
      </c>
      <c r="F468" s="213" t="str">
        <f>IFERROR(__xludf.DUMMYFUNCTION("""COMPUTED_VALUE"""),"ESP-140")</f>
        <v>ESP-140</v>
      </c>
      <c r="G468" s="213"/>
      <c r="H468" s="213" t="str">
        <f>IFERROR(__xludf.DUMMYFUNCTION("""COMPUTED_VALUE"""),"CORTADORA LÁSER CO2")</f>
        <v>CORTADORA LÁSER CO2</v>
      </c>
      <c r="I468" s="213"/>
      <c r="J468" s="213">
        <f>IFERROR(__xludf.DUMMYFUNCTION("""COMPUTED_VALUE"""),3.0)</f>
        <v>3</v>
      </c>
      <c r="K468" s="213" t="str">
        <f>IFERROR(__xludf.DUMMYFUNCTION("""COMPUTED_VALUE"""),"170 DÍAS CALENDARIO")</f>
        <v>170 DÍAS CALENDARIO</v>
      </c>
      <c r="L468" s="213" t="str">
        <f>IFERROR(__xludf.DUMMYFUNCTION("""COMPUTED_VALUE"""),"")</f>
        <v/>
      </c>
      <c r="M468" s="213">
        <f>IFERROR(__xludf.DUMMYFUNCTION("""COMPUTED_VALUE"""),1.0)</f>
        <v>1</v>
      </c>
      <c r="N468" s="213">
        <f>IFERROR(__xludf.DUMMYFUNCTION("""COMPUTED_VALUE"""),2.0)</f>
        <v>2</v>
      </c>
      <c r="O468" s="213">
        <f>IFERROR(__xludf.DUMMYFUNCTION("""COMPUTED_VALUE"""),2.0)</f>
        <v>2</v>
      </c>
      <c r="P468" s="213"/>
      <c r="Q468" s="213"/>
      <c r="R468" s="213"/>
      <c r="S468" s="213" t="str">
        <f>IFERROR(__xludf.DUMMYFUNCTION("""COMPUTED_VALUE"""),"SI")</f>
        <v>SI</v>
      </c>
      <c r="T468" s="213" t="str">
        <f>IFERROR(__xludf.DUMMYFUNCTION("""COMPUTED_VALUE"""),"CONSULTA FINAL")</f>
        <v>CONSULTA FINAL</v>
      </c>
      <c r="U468" s="213" t="str">
        <f>IFERROR(__xludf.DUMMYFUNCTION("""COMPUTED_VALUE"""),"NO")</f>
        <v>NO</v>
      </c>
      <c r="V468" s="213" t="str">
        <f>IFERROR(__xludf.DUMMYFUNCTION("""COMPUTED_VALUE"""),"SUSTENTO")</f>
        <v>SUSTENTO</v>
      </c>
      <c r="W468" s="213" t="str">
        <f>IFERROR(__xludf.DUMMYFUNCTION("""COMPUTED_VALUE"""),"DIMENSIONAL")</f>
        <v>DIMENSIONAL</v>
      </c>
      <c r="X468" s="213" t="str">
        <f>IFERROR(__xludf.DUMMYFUNCTION("""COMPUTED_VALUE"""),"THUNDER LASER")</f>
        <v>THUNDER LASER</v>
      </c>
      <c r="Y468" s="213" t="str">
        <f>IFERROR(__xludf.DUMMYFUNCTION("""COMPUTED_VALUE"""),"TITAN PRO 35 CO2 120W")</f>
        <v>TITAN PRO 35 CO2 120W</v>
      </c>
      <c r="Z468" s="215" t="str">
        <f>IFERROR(__xludf.DUMMYFUNCTION("""COMPUTED_VALUE"""),"https://www.thunderlaser.com/titan-series/")</f>
        <v>https://www.thunderlaser.com/titan-series/</v>
      </c>
      <c r="AA468" s="213" t="str">
        <f>IFERROR(__xludf.DUMMYFUNCTION("""COMPUTED_VALUE"""),"ESP-140 CORTADORA LÁSER CO2 - CET")</f>
        <v>ESP-140 CORTADORA LÁSER CO2 - CET</v>
      </c>
      <c r="AB468" s="213"/>
      <c r="AC468" s="213"/>
      <c r="AD468" s="213"/>
      <c r="AE468" s="213"/>
      <c r="AF468" s="213"/>
      <c r="AG468" s="213"/>
      <c r="AH468" s="213" t="str">
        <f>IFERROR(__xludf.DUMMYFUNCTION("""COMPUTED_VALUE"""),"IMPORTADO")</f>
        <v>IMPORTADO</v>
      </c>
      <c r="AI468" s="213"/>
      <c r="AJ468" s="213"/>
      <c r="AK468" s="213"/>
      <c r="AL468" s="213"/>
      <c r="AM468" s="213"/>
      <c r="AN468" s="213"/>
      <c r="AO468" s="213"/>
      <c r="AP468" s="213" t="str">
        <f>IFERROR(__xludf.DUMMYFUNCTION("""COMPUTED_VALUE"""),"ANTONELLA")</f>
        <v>ANTONELLA</v>
      </c>
      <c r="AQ468" s="213" t="str">
        <f>IFERROR(__xludf.DUMMYFUNCTION("""COMPUTED_VALUE"""),"Equipo solicitado está orientado a la Speedy 300 pero esa no trabaja en metales, se está ofrecienco la THUNDER 35 PRO pero se requieren consultar preguntas con el proveedor.")</f>
        <v>Equipo solicitado está orientado a la Speedy 300 pero esa no trabaja en metales, se está ofrecienco la THUNDER 35 PRO pero se requieren consultar preguntas con el proveedor.</v>
      </c>
      <c r="AR468" s="213"/>
      <c r="AS468" s="213"/>
      <c r="AT468" s="213"/>
      <c r="AU468" s="213"/>
      <c r="AV468" s="213"/>
      <c r="AW468" s="213"/>
      <c r="AX468" s="213"/>
      <c r="AY468" s="213"/>
      <c r="AZ468" s="213"/>
      <c r="BA468" s="213"/>
      <c r="BB468" s="213"/>
      <c r="BC468" s="213"/>
      <c r="BD468" s="213"/>
    </row>
    <row r="469">
      <c r="A469" s="213">
        <f>IFERROR(__xludf.DUMMYFUNCTION("""COMPUTED_VALUE"""),2378.0)</f>
        <v>2378</v>
      </c>
      <c r="B469" s="213" t="str">
        <f>IFERROR(__xludf.DUMMYFUNCTION("""COMPUTED_VALUE"""),"MANUEL ANTONIO MESONES MURO")</f>
        <v>MANUEL ANTONIO MESONES MURO</v>
      </c>
      <c r="C469" s="213" t="str">
        <f>IFERROR(__xludf.DUMMYFUNCTION("""COMPUTED_VALUE"""),"TALLER SFT DE INDUSTRIA DEL VESTIDO")</f>
        <v>TALLER SFT DE INDUSTRIA DEL VESTIDO</v>
      </c>
      <c r="D469" s="213" t="str">
        <f>IFERROR(__xludf.DUMMYFUNCTION("""COMPUTED_VALUE"""),"HERRAMIENTAS")</f>
        <v>HERRAMIENTAS</v>
      </c>
      <c r="E469" s="213" t="str">
        <f>IFERROR(__xludf.DUMMYFUNCTION("""COMPUTED_VALUE"""),"COM-215")</f>
        <v>COM-215</v>
      </c>
      <c r="F469" s="213" t="str">
        <f>IFERROR(__xludf.DUMMYFUNCTION("""COMPUTED_VALUE"""),"COM-215")</f>
        <v>COM-215</v>
      </c>
      <c r="G469" s="213"/>
      <c r="H469" s="213" t="str">
        <f>IFERROR(__xludf.DUMMYFUNCTION("""COMPUTED_VALUE"""),"JUEGO DE MANIQUÍES")</f>
        <v>JUEGO DE MANIQUÍES</v>
      </c>
      <c r="I469" s="213" t="str">
        <f>IFERROR(__xludf.DUMMYFUNCTION("""COMPUTED_VALUE"""),"·      Juego de maniquís de cuerpo entero de caballero, dama, niño y niña.
·      Fabricado en fibra de vidrio
·      Apropiado para exposición de prendas de vestir
·      Dimensiones aproximadas:
·      Maniquí dama: altura 170 cm
·      Maniquí caballer"&amp;"o: altura 180 cm
·      Maniquí niño: altura 120 cm
·      Maniquí niña: altura 120 cm")</f>
        <v>·      Juego de maniquís de cuerpo entero de caballero, dama, niño y niña.
·      Fabricado en fibra de vidrio
·      Apropiado para exposición de prendas de vestir
·      Dimensiones aproximadas:
·      Maniquí dama: altura 170 cm
·      Maniquí caballero: altura 180 cm
·      Maniquí niño: altura 120 cm
·      Maniquí niña: altura 120 cm</v>
      </c>
      <c r="J469" s="213">
        <f>IFERROR(__xludf.DUMMYFUNCTION("""COMPUTED_VALUE"""),3.0)</f>
        <v>3</v>
      </c>
      <c r="K469" s="213" t="str">
        <f>IFERROR(__xludf.DUMMYFUNCTION("""COMPUTED_VALUE"""),"90 DÍAS CALENDARIO")</f>
        <v>90 DÍAS CALENDARIO</v>
      </c>
      <c r="L469" s="213" t="str">
        <f>IFERROR(__xludf.DUMMYFUNCTION("""COMPUTED_VALUE"""),"")</f>
        <v/>
      </c>
      <c r="M469" s="213">
        <f>IFERROR(__xludf.DUMMYFUNCTION("""COMPUTED_VALUE"""),1.0)</f>
        <v>1</v>
      </c>
      <c r="N469" s="213">
        <f>IFERROR(__xludf.DUMMYFUNCTION("""COMPUTED_VALUE"""),1.0)</f>
        <v>1</v>
      </c>
      <c r="O469" s="213">
        <f>IFERROR(__xludf.DUMMYFUNCTION("""COMPUTED_VALUE"""),1.0)</f>
        <v>1</v>
      </c>
      <c r="P469" s="213"/>
      <c r="Q469" s="213"/>
      <c r="R469" s="213"/>
      <c r="S469" s="213"/>
      <c r="T469" s="213" t="str">
        <f>IFERROR(__xludf.DUMMYFUNCTION("""COMPUTED_VALUE"""),"SI")</f>
        <v>SI</v>
      </c>
      <c r="U469" s="213" t="str">
        <f>IFERROR(__xludf.DUMMYFUNCTION("""COMPUTED_VALUE"""),"SI")</f>
        <v>SI</v>
      </c>
      <c r="V469" s="213" t="str">
        <f>IFERROR(__xludf.DUMMYFUNCTION("""COMPUTED_VALUE"""),"-")</f>
        <v>-</v>
      </c>
      <c r="W469" s="213" t="str">
        <f>IFERROR(__xludf.DUMMYFUNCTION("""COMPUTED_VALUE"""),"-")</f>
        <v>-</v>
      </c>
      <c r="X469" s="213" t="str">
        <f>IFERROR(__xludf.DUMMYFUNCTION("""COMPUTED_VALUE"""),"GENERICO")</f>
        <v>GENERICO</v>
      </c>
      <c r="Y469" s="213" t="str">
        <f>IFERROR(__xludf.DUMMYFUNCTION("""COMPUTED_VALUE"""),"GENERICO")</f>
        <v>GENERICO</v>
      </c>
      <c r="Z469" s="215" t="str">
        <f>IFERROR(__xludf.DUMMYFUNCTION("""COMPUTED_VALUE"""),"https://dicapomaniquies.com/product/balder-2")</f>
        <v>https://dicapomaniquies.com/product/balder-2</v>
      </c>
      <c r="AA469" s="213" t="str">
        <f>IFERROR(__xludf.DUMMYFUNCTION("""COMPUTED_VALUE"""),"C0M-215 JUEGO DE MANIQUÍES - CET")</f>
        <v>C0M-215 JUEGO DE MANIQUÍES - CET</v>
      </c>
      <c r="AB469" s="213"/>
      <c r="AC469" s="213"/>
      <c r="AD469" s="213"/>
      <c r="AE469" s="213"/>
      <c r="AF469" s="213"/>
      <c r="AG469" s="213"/>
      <c r="AH469" s="213"/>
      <c r="AI469" s="213"/>
      <c r="AJ469" s="213"/>
      <c r="AK469" s="213"/>
      <c r="AL469" s="213"/>
      <c r="AM469" s="213"/>
      <c r="AN469" s="213"/>
      <c r="AO469" s="213"/>
      <c r="AP469" s="213" t="str">
        <f>IFERROR(__xludf.DUMMYFUNCTION("""COMPUTED_VALUE"""),"LUIS")</f>
        <v>LUIS</v>
      </c>
      <c r="AQ469" s="213"/>
      <c r="AR469" s="213"/>
      <c r="AS469" s="213"/>
      <c r="AT469" s="213"/>
      <c r="AU469" s="213"/>
      <c r="AV469" s="213"/>
      <c r="AW469" s="213"/>
      <c r="AX469" s="213"/>
      <c r="AY469" s="213"/>
      <c r="AZ469" s="213"/>
      <c r="BA469" s="213"/>
      <c r="BB469" s="213"/>
      <c r="BC469" s="213"/>
      <c r="BD469" s="213"/>
    </row>
    <row r="470">
      <c r="A470" s="213">
        <f>IFERROR(__xludf.DUMMYFUNCTION("""COMPUTED_VALUE"""),947.0)</f>
        <v>947</v>
      </c>
      <c r="B470" s="213" t="str">
        <f>IFERROR(__xludf.DUMMYFUNCTION("""COMPUTED_VALUE"""),"FRANCISCO IRAZOLA")</f>
        <v>FRANCISCO IRAZOLA</v>
      </c>
      <c r="C470" s="213" t="str">
        <f>IFERROR(__xludf.DUMMYFUNCTION("""COMPUTED_VALUE"""),"TALLER SFT DE MECÁNICA AUTOMOTRIZ")</f>
        <v>TALLER SFT DE MECÁNICA AUTOMOTRIZ</v>
      </c>
      <c r="D470" s="213" t="str">
        <f>IFERROR(__xludf.DUMMYFUNCTION("""COMPUTED_VALUE"""),"HERRAMIENTAS")</f>
        <v>HERRAMIENTAS</v>
      </c>
      <c r="E470" s="213" t="str">
        <f>IFERROR(__xludf.DUMMYFUNCTION("""COMPUTED_VALUE"""),"COM-218")</f>
        <v>COM-218</v>
      </c>
      <c r="F470" s="213" t="str">
        <f>IFERROR(__xludf.DUMMYFUNCTION("""COMPUTED_VALUE"""),"COM-218")</f>
        <v>COM-218</v>
      </c>
      <c r="G470" s="213"/>
      <c r="H470" s="213" t="str">
        <f>IFERROR(__xludf.DUMMYFUNCTION("""COMPUTED_VALUE"""),"MANÓMETRO")</f>
        <v>MANÓMETRO</v>
      </c>
      <c r="I470" s="213" t="str">
        <f>IFERROR(__xludf.DUMMYFUNCTION("""COMPUTED_VALUE"""),"Manómetro Para Gas L.p Y Nat Baja Presión 0 - 20 Oz/in2 y 0 - 35 ""wc
Su mecanismo tipo diafragma está diseñado para la medición de presiones por debajo de las 15 psi, así como de vacío.
Es utilizado generalmente en procesos de tratamiento de agua, así co"&amp;"mo de medición de nivel, sistemas HVAC.
Para la calibración de reguladores de baja presión de gas natural y L:P: Como indicador de presión en líneas de gas y como probador de
fugas
Las unidades de medición típicas son: oz/in2, mm Hg, in H20 y psi. Descrip"&amp;"ción:
Conexión inferior 1/4"" NPT fabricada en bronce Ventana de Policarbonato. Carátula de 2 1/2"" Rango de 0 a 20 y 0 a 35
Unidad de medida oz/in2 e in h2o (""WC)
Cuerpo en acero al carbón , terminado en negro mate Interiores en bronce , elementos de me"&amp;"dición tipo diafragma.
SILVERA Hilda")</f>
        <v>Manómetro Para Gas L.p Y Nat Baja Presión 0 - 20 Oz/in2 y 0 - 35 "wc
Su mecanismo tipo diafragma está diseñado para la medición de presiones por debajo de las 15 psi, así como de vacío.
Es utilizado generalmente en procesos de tratamiento de agua, así como de medición de nivel, sistemas HVAC.
Para la calibración de reguladores de baja presión de gas natural y L:P: Como indicador de presión en líneas de gas y como probador de
fugas
Las unidades de medición típicas son: oz/in2, mm Hg, in H20 y psi. Descripción:
Conexión inferior 1/4" NPT fabricada en bronce Ventana de Policarbonato. Carátula de 2 1/2" Rango de 0 a 20 y 0 a 35
Unidad de medida oz/in2 e in h2o ("WC)
Cuerpo en acero al carbón , terminado en negro mate Interiores en bronce , elementos de medición tipo diafragma.
SILVERA Hilda</v>
      </c>
      <c r="J470" s="213">
        <f>IFERROR(__xludf.DUMMYFUNCTION("""COMPUTED_VALUE"""),3.0)</f>
        <v>3</v>
      </c>
      <c r="K470" s="213" t="str">
        <f>IFERROR(__xludf.DUMMYFUNCTION("""COMPUTED_VALUE"""),"90 DÍAS CALENDARIO")</f>
        <v>90 DÍAS CALENDARIO</v>
      </c>
      <c r="L470" s="213" t="str">
        <f>IFERROR(__xludf.DUMMYFUNCTION("""COMPUTED_VALUE"""),"")</f>
        <v/>
      </c>
      <c r="M470" s="213">
        <f>IFERROR(__xludf.DUMMYFUNCTION("""COMPUTED_VALUE"""),1.0)</f>
        <v>1</v>
      </c>
      <c r="N470" s="213">
        <f>IFERROR(__xludf.DUMMYFUNCTION("""COMPUTED_VALUE"""),4.0)</f>
        <v>4</v>
      </c>
      <c r="O470" s="213">
        <f>IFERROR(__xludf.DUMMYFUNCTION("""COMPUTED_VALUE"""),4.0)</f>
        <v>4</v>
      </c>
      <c r="P470" s="213"/>
      <c r="Q470" s="213"/>
      <c r="R470" s="213"/>
      <c r="S470" s="213"/>
      <c r="T470" s="213" t="str">
        <f>IFERROR(__xludf.DUMMYFUNCTION("""COMPUTED_VALUE"""),"SI")</f>
        <v>SI</v>
      </c>
      <c r="U470" s="213" t="str">
        <f>IFERROR(__xludf.DUMMYFUNCTION("""COMPUTED_VALUE"""),"SI")</f>
        <v>SI</v>
      </c>
      <c r="V470" s="213" t="str">
        <f>IFERROR(__xludf.DUMMYFUNCTION("""COMPUTED_VALUE"""),"-")</f>
        <v>-</v>
      </c>
      <c r="W470" s="213" t="str">
        <f>IFERROR(__xludf.DUMMYFUNCTION("""COMPUTED_VALUE"""),"-")</f>
        <v>-</v>
      </c>
      <c r="X470" s="213" t="str">
        <f>IFERROR(__xludf.DUMMYFUNCTION("""COMPUTED_VALUE"""),"INSTRUTEK")</f>
        <v>INSTRUTEK</v>
      </c>
      <c r="Y470" s="213" t="str">
        <f>IFERROR(__xludf.DUMMYFUNCTION("""COMPUTED_VALUE"""),"M020OZ")</f>
        <v>M020OZ</v>
      </c>
      <c r="Z470" s="215" t="str">
        <f>IFERROR(__xludf.DUMMYFUNCTION("""COMPUTED_VALUE"""),"https://www.amazon.com.mx/Manometro-Para-Gas-Baja-Presi%C3%B3n/dp/B0C5KPL66D")</f>
        <v>https://www.amazon.com.mx/Manometro-Para-Gas-Baja-Presi%C3%B3n/dp/B0C5KPL66D</v>
      </c>
      <c r="AA470" s="215" t="str">
        <f>IFERROR(__xludf.DUMMYFUNCTION("""COMPUTED_VALUE"""),"https://docs.google.com/spreadsheets/d/17zNg4unkldTzrkOxsDqgD0y0yf7H5TSO8SJeDBps1lc/edit?gid=0#gid=0")</f>
        <v>https://docs.google.com/spreadsheets/d/17zNg4unkldTzrkOxsDqgD0y0yf7H5TSO8SJeDBps1lc/edit?gid=0#gid=0</v>
      </c>
      <c r="AB470" s="213"/>
      <c r="AC470" s="213"/>
      <c r="AD470" s="213"/>
      <c r="AE470" s="213"/>
      <c r="AF470" s="213"/>
      <c r="AG470" s="213"/>
      <c r="AH470" s="213"/>
      <c r="AI470" s="213"/>
      <c r="AJ470" s="213"/>
      <c r="AK470" s="213"/>
      <c r="AL470" s="213"/>
      <c r="AM470" s="213"/>
      <c r="AN470" s="213"/>
      <c r="AO470" s="213"/>
      <c r="AP470" s="213" t="str">
        <f>IFERROR(__xludf.DUMMYFUNCTION("""COMPUTED_VALUE"""),"SEBASTIAN")</f>
        <v>SEBASTIAN</v>
      </c>
      <c r="AQ470" s="213"/>
      <c r="AR470" s="213"/>
      <c r="AS470" s="213" t="str">
        <f>IFERROR(__xludf.DUMMYFUNCTION("""COMPUTED_VALUE"""),"La ventana no es de policarbonato, sino de plexiglass")</f>
        <v>La ventana no es de policarbonato, sino de plexiglass</v>
      </c>
      <c r="AT470" s="213"/>
      <c r="AU470" s="213"/>
      <c r="AV470" s="213"/>
      <c r="AW470" s="213"/>
      <c r="AX470" s="213"/>
      <c r="AY470" s="213"/>
      <c r="AZ470" s="213"/>
      <c r="BA470" s="213"/>
      <c r="BB470" s="213"/>
      <c r="BC470" s="213"/>
      <c r="BD470" s="213"/>
    </row>
    <row r="471">
      <c r="A471" s="213">
        <f>IFERROR(__xludf.DUMMYFUNCTION("""COMPUTED_VALUE"""),1548.0)</f>
        <v>1548</v>
      </c>
      <c r="B471" s="213" t="str">
        <f>IFERROR(__xludf.DUMMYFUNCTION("""COMPUTED_VALUE"""),"GUILLERMO E. BILLINGHURST ")</f>
        <v>GUILLERMO E. BILLINGHURST </v>
      </c>
      <c r="C471" s="213" t="str">
        <f>IFERROR(__xludf.DUMMYFUNCTION("""COMPUTED_VALUE"""),"TALLER SFT DE MECÁNICA AUTOMOTRIZ")</f>
        <v>TALLER SFT DE MECÁNICA AUTOMOTRIZ</v>
      </c>
      <c r="D471" s="213" t="str">
        <f>IFERROR(__xludf.DUMMYFUNCTION("""COMPUTED_VALUE"""),"HERRAMIENTAS")</f>
        <v>HERRAMIENTAS</v>
      </c>
      <c r="E471" s="213" t="str">
        <f>IFERROR(__xludf.DUMMYFUNCTION("""COMPUTED_VALUE"""),"COM-218")</f>
        <v>COM-218</v>
      </c>
      <c r="F471" s="213" t="str">
        <f>IFERROR(__xludf.DUMMYFUNCTION("""COMPUTED_VALUE"""),"COM-218")</f>
        <v>COM-218</v>
      </c>
      <c r="G471" s="213"/>
      <c r="H471" s="213" t="str">
        <f>IFERROR(__xludf.DUMMYFUNCTION("""COMPUTED_VALUE"""),"MANÓMETRO")</f>
        <v>MANÓMETRO</v>
      </c>
      <c r="I471" s="213" t="str">
        <f>IFERROR(__xludf.DUMMYFUNCTION("""COMPUTED_VALUE"""),"Manómetro Para Gas L.p Y Nat Baja Presión 0 - 20 Oz/in2 y 0 - 35 ""wc
Su mecanismo tipo diafragma está diseñado para la medición de presiones por debajo de las 15 psi, así como de vacío.
Es utilizado generalmente en procesos de tratamiento de agua, así co"&amp;"mo de medición de nivel, sistemas HVAC.
Para la calibración de reguladores de baja presión de gas natural y L:P: Como indicador de presión en líneas de gas y como probador de
fugas
Las unidades de medición típicas son: oz/in2, mm Hg, in H20 y psi. Descrip"&amp;"ción:
Conexión inferior 1/4"" NPT fabricada en bronce Ventana de Policarbonato. Carátula de 2 1/2"" Rango de 0 a 20 y 0 a 35
Unidad de medida oz/in2 e in h2o (""WC)
Cuerpo en acero al carbón , terminado en negro mate Interiores en bronce , elementos de me"&amp;"dición tipo diafragma.
SILVERA Hilda")</f>
        <v>Manómetro Para Gas L.p Y Nat Baja Presión 0 - 20 Oz/in2 y 0 - 35 "wc
Su mecanismo tipo diafragma está diseñado para la medición de presiones por debajo de las 15 psi, así como de vacío.
Es utilizado generalmente en procesos de tratamiento de agua, así como de medición de nivel, sistemas HVAC.
Para la calibración de reguladores de baja presión de gas natural y L:P: Como indicador de presión en líneas de gas y como probador de
fugas
Las unidades de medición típicas son: oz/in2, mm Hg, in H20 y psi. Descripción:
Conexión inferior 1/4" NPT fabricada en bronce Ventana de Policarbonato. Carátula de 2 1/2" Rango de 0 a 20 y 0 a 35
Unidad de medida oz/in2 e in h2o ("WC)
Cuerpo en acero al carbón , terminado en negro mate Interiores en bronce , elementos de medición tipo diafragma.
SILVERA Hilda</v>
      </c>
      <c r="J471" s="213">
        <f>IFERROR(__xludf.DUMMYFUNCTION("""COMPUTED_VALUE"""),3.0)</f>
        <v>3</v>
      </c>
      <c r="K471" s="213" t="str">
        <f>IFERROR(__xludf.DUMMYFUNCTION("""COMPUTED_VALUE"""),"90 DÍAS CALENDARIO")</f>
        <v>90 DÍAS CALENDARIO</v>
      </c>
      <c r="L471" s="213" t="str">
        <f>IFERROR(__xludf.DUMMYFUNCTION("""COMPUTED_VALUE"""),"")</f>
        <v/>
      </c>
      <c r="M471" s="213">
        <f>IFERROR(__xludf.DUMMYFUNCTION("""COMPUTED_VALUE"""),1.0)</f>
        <v>1</v>
      </c>
      <c r="N471" s="213">
        <f>IFERROR(__xludf.DUMMYFUNCTION("""COMPUTED_VALUE"""),4.0)</f>
        <v>4</v>
      </c>
      <c r="O471" s="213">
        <f>IFERROR(__xludf.DUMMYFUNCTION("""COMPUTED_VALUE"""),4.0)</f>
        <v>4</v>
      </c>
      <c r="P471" s="213"/>
      <c r="Q471" s="213"/>
      <c r="R471" s="213"/>
      <c r="S471" s="213"/>
      <c r="T471" s="213" t="str">
        <f>IFERROR(__xludf.DUMMYFUNCTION("""COMPUTED_VALUE"""),"SI")</f>
        <v>SI</v>
      </c>
      <c r="U471" s="213" t="str">
        <f>IFERROR(__xludf.DUMMYFUNCTION("""COMPUTED_VALUE"""),"SI")</f>
        <v>SI</v>
      </c>
      <c r="V471" s="213" t="str">
        <f>IFERROR(__xludf.DUMMYFUNCTION("""COMPUTED_VALUE"""),"-")</f>
        <v>-</v>
      </c>
      <c r="W471" s="213" t="str">
        <f>IFERROR(__xludf.DUMMYFUNCTION("""COMPUTED_VALUE"""),"-")</f>
        <v>-</v>
      </c>
      <c r="X471" s="213" t="str">
        <f>IFERROR(__xludf.DUMMYFUNCTION("""COMPUTED_VALUE"""),"INSTRUTEK")</f>
        <v>INSTRUTEK</v>
      </c>
      <c r="Y471" s="213" t="str">
        <f>IFERROR(__xludf.DUMMYFUNCTION("""COMPUTED_VALUE"""),"M020OZ")</f>
        <v>M020OZ</v>
      </c>
      <c r="Z471" s="215" t="str">
        <f>IFERROR(__xludf.DUMMYFUNCTION("""COMPUTED_VALUE"""),"https://www.amazon.com.mx/Manometro-Para-Gas-Baja-Presi%C3%B3n/dp/B0C5KPL66D")</f>
        <v>https://www.amazon.com.mx/Manometro-Para-Gas-Baja-Presi%C3%B3n/dp/B0C5KPL66D</v>
      </c>
      <c r="AA471" s="215" t="str">
        <f>IFERROR(__xludf.DUMMYFUNCTION("""COMPUTED_VALUE"""),"https://docs.google.com/spreadsheets/d/17zNg4unkldTzrkOxsDqgD0y0yf7H5TSO8SJeDBps1lc/edit?gid=0#gid=0")</f>
        <v>https://docs.google.com/spreadsheets/d/17zNg4unkldTzrkOxsDqgD0y0yf7H5TSO8SJeDBps1lc/edit?gid=0#gid=0</v>
      </c>
      <c r="AB471" s="213"/>
      <c r="AC471" s="213"/>
      <c r="AD471" s="213"/>
      <c r="AE471" s="213"/>
      <c r="AF471" s="213"/>
      <c r="AG471" s="213"/>
      <c r="AH471" s="213"/>
      <c r="AI471" s="213"/>
      <c r="AJ471" s="213"/>
      <c r="AK471" s="213"/>
      <c r="AL471" s="213"/>
      <c r="AM471" s="213"/>
      <c r="AN471" s="213"/>
      <c r="AO471" s="213"/>
      <c r="AP471" s="213" t="str">
        <f>IFERROR(__xludf.DUMMYFUNCTION("""COMPUTED_VALUE"""),"SEBASTIAN")</f>
        <v>SEBASTIAN</v>
      </c>
      <c r="AQ471" s="213"/>
      <c r="AR471" s="213"/>
      <c r="AS471" s="213" t="str">
        <f>IFERROR(__xludf.DUMMYFUNCTION("""COMPUTED_VALUE"""),"La ventana no es de policarbonato, sino de plexiglass")</f>
        <v>La ventana no es de policarbonato, sino de plexiglass</v>
      </c>
      <c r="AT471" s="213"/>
      <c r="AU471" s="213"/>
      <c r="AV471" s="213"/>
      <c r="AW471" s="213"/>
      <c r="AX471" s="213"/>
      <c r="AY471" s="213"/>
      <c r="AZ471" s="213"/>
      <c r="BA471" s="213"/>
      <c r="BB471" s="213"/>
      <c r="BC471" s="213"/>
      <c r="BD471" s="213"/>
    </row>
    <row r="472">
      <c r="A472" s="213">
        <f>IFERROR(__xludf.DUMMYFUNCTION("""COMPUTED_VALUE"""),2240.0)</f>
        <v>2240</v>
      </c>
      <c r="B472" s="213" t="str">
        <f>IFERROR(__xludf.DUMMYFUNCTION("""COMPUTED_VALUE"""),"JOSE GRANDA")</f>
        <v>JOSE GRANDA</v>
      </c>
      <c r="C472" s="213" t="str">
        <f>IFERROR(__xludf.DUMMYFUNCTION("""COMPUTED_VALUE"""),"TALLER SFT DE MECÁNICA AUTOMOTRIZ")</f>
        <v>TALLER SFT DE MECÁNICA AUTOMOTRIZ</v>
      </c>
      <c r="D472" s="213" t="str">
        <f>IFERROR(__xludf.DUMMYFUNCTION("""COMPUTED_VALUE"""),"HERRAMIENTAS")</f>
        <v>HERRAMIENTAS</v>
      </c>
      <c r="E472" s="213" t="str">
        <f>IFERROR(__xludf.DUMMYFUNCTION("""COMPUTED_VALUE"""),"COM-218")</f>
        <v>COM-218</v>
      </c>
      <c r="F472" s="213" t="str">
        <f>IFERROR(__xludf.DUMMYFUNCTION("""COMPUTED_VALUE"""),"COM-218")</f>
        <v>COM-218</v>
      </c>
      <c r="G472" s="213"/>
      <c r="H472" s="213" t="str">
        <f>IFERROR(__xludf.DUMMYFUNCTION("""COMPUTED_VALUE"""),"MANÓMETRO")</f>
        <v>MANÓMETRO</v>
      </c>
      <c r="I472" s="213" t="str">
        <f>IFERROR(__xludf.DUMMYFUNCTION("""COMPUTED_VALUE"""),"Manómetro Para Gas L.p Y Nat Baja Presión 0 - 20 Oz/in2 y 0 - 35 ""wc
Su mecanismo tipo diafragma está diseñado para la medición de presiones por debajo de las 15 psi, así como de vacío.
Es utilizado generalmente en procesos de tratamiento de agua, así co"&amp;"mo de medición de nivel, sistemas HVAC.
Para la calibración de reguladores de baja presión de gas natural y L:P: Como indicador de presión en líneas de gas y como probador de
fugas
Las unidades de medición típicas son: oz/in2, mm Hg, in H20 y psi. Descrip"&amp;"ción:
Conexión inferior 1/4"" NPT fabricada en bronce Ventana de Policarbonato. Carátula de 2 1/2"" Rango de 0 a 20 y 0 a 35
Unidad de medida oz/in2 e in h2o (""WC)
Cuerpo en acero al carbón , terminado en negro mate Interiores en bronce , elementos de me"&amp;"dición tipo diafragma.
SILVERA Hilda")</f>
        <v>Manómetro Para Gas L.p Y Nat Baja Presión 0 - 20 Oz/in2 y 0 - 35 "wc
Su mecanismo tipo diafragma está diseñado para la medición de presiones por debajo de las 15 psi, así como de vacío.
Es utilizado generalmente en procesos de tratamiento de agua, así como de medición de nivel, sistemas HVAC.
Para la calibración de reguladores de baja presión de gas natural y L:P: Como indicador de presión en líneas de gas y como probador de
fugas
Las unidades de medición típicas son: oz/in2, mm Hg, in H20 y psi. Descripción:
Conexión inferior 1/4" NPT fabricada en bronce Ventana de Policarbonato. Carátula de 2 1/2" Rango de 0 a 20 y 0 a 35
Unidad de medida oz/in2 e in h2o ("WC)
Cuerpo en acero al carbón , terminado en negro mate Interiores en bronce , elementos de medición tipo diafragma.
SILVERA Hilda</v>
      </c>
      <c r="J472" s="213">
        <f>IFERROR(__xludf.DUMMYFUNCTION("""COMPUTED_VALUE"""),3.0)</f>
        <v>3</v>
      </c>
      <c r="K472" s="213" t="str">
        <f>IFERROR(__xludf.DUMMYFUNCTION("""COMPUTED_VALUE"""),"90 DÍAS CALENDARIO")</f>
        <v>90 DÍAS CALENDARIO</v>
      </c>
      <c r="L472" s="213" t="str">
        <f>IFERROR(__xludf.DUMMYFUNCTION("""COMPUTED_VALUE"""),"")</f>
        <v/>
      </c>
      <c r="M472" s="213">
        <f>IFERROR(__xludf.DUMMYFUNCTION("""COMPUTED_VALUE"""),1.0)</f>
        <v>1</v>
      </c>
      <c r="N472" s="213">
        <f>IFERROR(__xludf.DUMMYFUNCTION("""COMPUTED_VALUE"""),4.0)</f>
        <v>4</v>
      </c>
      <c r="O472" s="213">
        <f>IFERROR(__xludf.DUMMYFUNCTION("""COMPUTED_VALUE"""),4.0)</f>
        <v>4</v>
      </c>
      <c r="P472" s="213"/>
      <c r="Q472" s="213"/>
      <c r="R472" s="213"/>
      <c r="S472" s="213"/>
      <c r="T472" s="213" t="str">
        <f>IFERROR(__xludf.DUMMYFUNCTION("""COMPUTED_VALUE"""),"SI")</f>
        <v>SI</v>
      </c>
      <c r="U472" s="213" t="str">
        <f>IFERROR(__xludf.DUMMYFUNCTION("""COMPUTED_VALUE"""),"SI")</f>
        <v>SI</v>
      </c>
      <c r="V472" s="213" t="str">
        <f>IFERROR(__xludf.DUMMYFUNCTION("""COMPUTED_VALUE"""),"-")</f>
        <v>-</v>
      </c>
      <c r="W472" s="213" t="str">
        <f>IFERROR(__xludf.DUMMYFUNCTION("""COMPUTED_VALUE"""),"-")</f>
        <v>-</v>
      </c>
      <c r="X472" s="213" t="str">
        <f>IFERROR(__xludf.DUMMYFUNCTION("""COMPUTED_VALUE"""),"INSTRUTEK")</f>
        <v>INSTRUTEK</v>
      </c>
      <c r="Y472" s="213" t="str">
        <f>IFERROR(__xludf.DUMMYFUNCTION("""COMPUTED_VALUE"""),"M020OZ")</f>
        <v>M020OZ</v>
      </c>
      <c r="Z472" s="215" t="str">
        <f>IFERROR(__xludf.DUMMYFUNCTION("""COMPUTED_VALUE"""),"https://www.amazon.com.mx/Manometro-Para-Gas-Baja-Presi%C3%B3n/dp/B0C5KPL66D")</f>
        <v>https://www.amazon.com.mx/Manometro-Para-Gas-Baja-Presi%C3%B3n/dp/B0C5KPL66D</v>
      </c>
      <c r="AA472" s="215" t="str">
        <f>IFERROR(__xludf.DUMMYFUNCTION("""COMPUTED_VALUE"""),"https://docs.google.com/spreadsheets/d/17zNg4unkldTzrkOxsDqgD0y0yf7H5TSO8SJeDBps1lc/edit?gid=0#gid=0")</f>
        <v>https://docs.google.com/spreadsheets/d/17zNg4unkldTzrkOxsDqgD0y0yf7H5TSO8SJeDBps1lc/edit?gid=0#gid=0</v>
      </c>
      <c r="AB472" s="213"/>
      <c r="AC472" s="213"/>
      <c r="AD472" s="213"/>
      <c r="AE472" s="213"/>
      <c r="AF472" s="213"/>
      <c r="AG472" s="213"/>
      <c r="AH472" s="213"/>
      <c r="AI472" s="213"/>
      <c r="AJ472" s="213"/>
      <c r="AK472" s="213"/>
      <c r="AL472" s="213"/>
      <c r="AM472" s="213"/>
      <c r="AN472" s="213"/>
      <c r="AO472" s="213"/>
      <c r="AP472" s="213" t="str">
        <f>IFERROR(__xludf.DUMMYFUNCTION("""COMPUTED_VALUE"""),"SEBASTIAN")</f>
        <v>SEBASTIAN</v>
      </c>
      <c r="AQ472" s="213"/>
      <c r="AR472" s="213"/>
      <c r="AS472" s="213" t="str">
        <f>IFERROR(__xludf.DUMMYFUNCTION("""COMPUTED_VALUE"""),"La ventana no es de policarbonato, sino de plexiglass")</f>
        <v>La ventana no es de policarbonato, sino de plexiglass</v>
      </c>
      <c r="AT472" s="213"/>
      <c r="AU472" s="213"/>
      <c r="AV472" s="213"/>
      <c r="AW472" s="213"/>
      <c r="AX472" s="213"/>
      <c r="AY472" s="213"/>
      <c r="AZ472" s="213"/>
      <c r="BA472" s="213"/>
      <c r="BB472" s="213"/>
      <c r="BC472" s="213"/>
      <c r="BD472" s="213"/>
    </row>
    <row r="473">
      <c r="A473" s="213">
        <f>IFERROR(__xludf.DUMMYFUNCTION("""COMPUTED_VALUE"""),1819.0)</f>
        <v>1819</v>
      </c>
      <c r="B473" s="213" t="str">
        <f>IFERROR(__xludf.DUMMYFUNCTION("""COMPUTED_VALUE"""),"GUILLERMO E. BILLINGHURST ")</f>
        <v>GUILLERMO E. BILLINGHURST </v>
      </c>
      <c r="C473" s="213" t="str">
        <f>IFERROR(__xludf.DUMMYFUNCTION("""COMPUTED_VALUE"""),"TALLER SFT DE EBANISTERÍA")</f>
        <v>TALLER SFT DE EBANISTERÍA</v>
      </c>
      <c r="D473" s="213" t="str">
        <f>IFERROR(__xludf.DUMMYFUNCTION("""COMPUTED_VALUE"""),"PEDAGOGICO")</f>
        <v>PEDAGOGICO</v>
      </c>
      <c r="E473" s="213" t="str">
        <f>IFERROR(__xludf.DUMMYFUNCTION("""COMPUTED_VALUE"""),"COM-223")</f>
        <v>COM-223</v>
      </c>
      <c r="F473" s="213" t="str">
        <f>IFERROR(__xludf.DUMMYFUNCTION("""COMPUTED_VALUE"""),"COM-223")</f>
        <v>COM-223</v>
      </c>
      <c r="G473" s="213"/>
      <c r="H473" s="213" t="str">
        <f>IFERROR(__xludf.DUMMYFUNCTION("""COMPUTED_VALUE"""),"MAQUETA EN ALTO RELIEVE DE LA ANATOMÍA DEL TRONCO DE ÁRBOL")</f>
        <v>MAQUETA EN ALTO RELIEVE DE LA ANATOMÍA DEL TRONCO DE ÁRBOL</v>
      </c>
      <c r="I473" s="213" t="str">
        <f>IFERROR(__xludf.DUMMYFUNCTION("""COMPUTED_VALUE"""),"Modelo en alto relieve que permita mostrar la anatomía del tronco del árbol en corte transversal y corte longitudinal
Ficha tamaño A5 enmicada con información sobre la anatomía del tronco de árbol con código QR relacionadas a información técnica")</f>
        <v>Modelo en alto relieve que permita mostrar la anatomía del tronco del árbol en corte transversal y corte longitudinal
Ficha tamaño A5 enmicada con información sobre la anatomía del tronco de árbol con código QR relacionadas a información técnica</v>
      </c>
      <c r="J473" s="213">
        <f>IFERROR(__xludf.DUMMYFUNCTION("""COMPUTED_VALUE"""),3.0)</f>
        <v>3</v>
      </c>
      <c r="K473" s="213" t="str">
        <f>IFERROR(__xludf.DUMMYFUNCTION("""COMPUTED_VALUE"""),"90 DÍAS CALENDARIO")</f>
        <v>90 DÍAS CALENDARIO</v>
      </c>
      <c r="L473" s="213" t="str">
        <f>IFERROR(__xludf.DUMMYFUNCTION("""COMPUTED_VALUE"""),"")</f>
        <v/>
      </c>
      <c r="M473" s="213">
        <f>IFERROR(__xludf.DUMMYFUNCTION("""COMPUTED_VALUE"""),1.0)</f>
        <v>1</v>
      </c>
      <c r="N473" s="213">
        <f>IFERROR(__xludf.DUMMYFUNCTION("""COMPUTED_VALUE"""),1.0)</f>
        <v>1</v>
      </c>
      <c r="O473" s="213">
        <f>IFERROR(__xludf.DUMMYFUNCTION("""COMPUTED_VALUE"""),1.0)</f>
        <v>1</v>
      </c>
      <c r="P473" s="213"/>
      <c r="Q473" s="213"/>
      <c r="R473" s="213"/>
      <c r="S473" s="213"/>
      <c r="T473" s="213" t="str">
        <f>IFERROR(__xludf.DUMMYFUNCTION("""COMPUTED_VALUE"""),"CONSULTA FINAL")</f>
        <v>CONSULTA FINAL</v>
      </c>
      <c r="U473" s="213"/>
      <c r="V473" s="213" t="str">
        <f>IFERROR(__xludf.DUMMYFUNCTION("""COMPUTED_VALUE"""),"-")</f>
        <v>-</v>
      </c>
      <c r="W473" s="213" t="str">
        <f>IFERROR(__xludf.DUMMYFUNCTION("""COMPUTED_VALUE"""),"CRÍTICO")</f>
        <v>CRÍTICO</v>
      </c>
      <c r="X473" s="213" t="str">
        <f>IFERROR(__xludf.DUMMYFUNCTION("""COMPUTED_VALUE"""),"A MEDIDA")</f>
        <v>A MEDIDA</v>
      </c>
      <c r="Y473" s="213" t="str">
        <f>IFERROR(__xludf.DUMMYFUNCTION("""COMPUTED_VALUE"""),"A MEDIDA")</f>
        <v>A MEDIDA</v>
      </c>
      <c r="Z473" s="213" t="str">
        <f>IFERROR(__xludf.DUMMYFUNCTION("""COMPUTED_VALUE"""),"A MEDIDA")</f>
        <v>A MEDIDA</v>
      </c>
      <c r="AA473" s="215" t="str">
        <f>IFERROR(__xludf.DUMMYFUNCTION("""COMPUTED_VALUE"""),"https://docs.google.com/spreadsheets/d/1w3zl8Sr355iFfjbE7_4xsQlV0XR0xpd8e0c0fnNnmTI/edit?gid=0#gid=0")</f>
        <v>https://docs.google.com/spreadsheets/d/1w3zl8Sr355iFfjbE7_4xsQlV0XR0xpd8e0c0fnNnmTI/edit?gid=0#gid=0</v>
      </c>
      <c r="AB473" s="213"/>
      <c r="AC473" s="213"/>
      <c r="AD473" s="213"/>
      <c r="AE473" s="213"/>
      <c r="AF473" s="213"/>
      <c r="AG473" s="213"/>
      <c r="AH473" s="213"/>
      <c r="AI473" s="213"/>
      <c r="AJ473" s="213"/>
      <c r="AK473" s="213"/>
      <c r="AL473" s="213"/>
      <c r="AM473" s="213"/>
      <c r="AN473" s="213"/>
      <c r="AO473" s="213"/>
      <c r="AP473" s="213" t="str">
        <f>IFERROR(__xludf.DUMMYFUNCTION("""COMPUTED_VALUE"""),"SEBASTIAN")</f>
        <v>SEBASTIAN</v>
      </c>
      <c r="AQ473" s="213"/>
      <c r="AR473" s="213"/>
      <c r="AS473" s="213"/>
      <c r="AT473" s="213"/>
      <c r="AU473" s="213"/>
      <c r="AV473" s="213"/>
      <c r="AW473" s="213"/>
      <c r="AX473" s="213"/>
      <c r="AY473" s="213"/>
      <c r="AZ473" s="213"/>
      <c r="BA473" s="213"/>
      <c r="BB473" s="213"/>
      <c r="BC473" s="213"/>
      <c r="BD473" s="213"/>
    </row>
    <row r="474">
      <c r="A474" s="213">
        <f>IFERROR(__xludf.DUMMYFUNCTION("""COMPUTED_VALUE"""),2601.0)</f>
        <v>2601</v>
      </c>
      <c r="B474" s="213" t="str">
        <f>IFERROR(__xludf.DUMMYFUNCTION("""COMPUTED_VALUE"""),"MANUEL ANTONIO MESONES MURO")</f>
        <v>MANUEL ANTONIO MESONES MURO</v>
      </c>
      <c r="C474" s="213" t="str">
        <f>IFERROR(__xludf.DUMMYFUNCTION("""COMPUTED_VALUE"""),"TALLER SFT DE EBANISTERÍA")</f>
        <v>TALLER SFT DE EBANISTERÍA</v>
      </c>
      <c r="D474" s="213" t="str">
        <f>IFERROR(__xludf.DUMMYFUNCTION("""COMPUTED_VALUE"""),"PEDAGOGICO")</f>
        <v>PEDAGOGICO</v>
      </c>
      <c r="E474" s="213" t="str">
        <f>IFERROR(__xludf.DUMMYFUNCTION("""COMPUTED_VALUE"""),"COM-223")</f>
        <v>COM-223</v>
      </c>
      <c r="F474" s="213" t="str">
        <f>IFERROR(__xludf.DUMMYFUNCTION("""COMPUTED_VALUE"""),"COM-223")</f>
        <v>COM-223</v>
      </c>
      <c r="G474" s="213"/>
      <c r="H474" s="213" t="str">
        <f>IFERROR(__xludf.DUMMYFUNCTION("""COMPUTED_VALUE"""),"MAQUETA EN ALTO RELIEVE DE LA ANATOMÍA DEL TRONCO DE ÁRBOL")</f>
        <v>MAQUETA EN ALTO RELIEVE DE LA ANATOMÍA DEL TRONCO DE ÁRBOL</v>
      </c>
      <c r="I474" s="213" t="str">
        <f>IFERROR(__xludf.DUMMYFUNCTION("""COMPUTED_VALUE"""),"Modelo en alto relieve que permita mostrar la anatomía del tronco del árbol en corte transversal y corte longitudinal
Ficha tamaño A5 enmicada con información sobre la anatomía del tronco de árbol con código QR relacionadas a información técnica")</f>
        <v>Modelo en alto relieve que permita mostrar la anatomía del tronco del árbol en corte transversal y corte longitudinal
Ficha tamaño A5 enmicada con información sobre la anatomía del tronco de árbol con código QR relacionadas a información técnica</v>
      </c>
      <c r="J474" s="213">
        <f>IFERROR(__xludf.DUMMYFUNCTION("""COMPUTED_VALUE"""),3.0)</f>
        <v>3</v>
      </c>
      <c r="K474" s="213" t="str">
        <f>IFERROR(__xludf.DUMMYFUNCTION("""COMPUTED_VALUE"""),"90 DÍAS CALENDARIO")</f>
        <v>90 DÍAS CALENDARIO</v>
      </c>
      <c r="L474" s="213" t="str">
        <f>IFERROR(__xludf.DUMMYFUNCTION("""COMPUTED_VALUE"""),"")</f>
        <v/>
      </c>
      <c r="M474" s="213">
        <f>IFERROR(__xludf.DUMMYFUNCTION("""COMPUTED_VALUE"""),1.0)</f>
        <v>1</v>
      </c>
      <c r="N474" s="213">
        <f>IFERROR(__xludf.DUMMYFUNCTION("""COMPUTED_VALUE"""),1.0)</f>
        <v>1</v>
      </c>
      <c r="O474" s="213">
        <f>IFERROR(__xludf.DUMMYFUNCTION("""COMPUTED_VALUE"""),1.0)</f>
        <v>1</v>
      </c>
      <c r="P474" s="213"/>
      <c r="Q474" s="213"/>
      <c r="R474" s="213"/>
      <c r="S474" s="213"/>
      <c r="T474" s="213" t="str">
        <f>IFERROR(__xludf.DUMMYFUNCTION("""COMPUTED_VALUE"""),"CONSULTA FINAL")</f>
        <v>CONSULTA FINAL</v>
      </c>
      <c r="U474" s="213"/>
      <c r="V474" s="213" t="str">
        <f>IFERROR(__xludf.DUMMYFUNCTION("""COMPUTED_VALUE"""),"-")</f>
        <v>-</v>
      </c>
      <c r="W474" s="213" t="str">
        <f>IFERROR(__xludf.DUMMYFUNCTION("""COMPUTED_VALUE"""),"CRÍTICO")</f>
        <v>CRÍTICO</v>
      </c>
      <c r="X474" s="213" t="str">
        <f>IFERROR(__xludf.DUMMYFUNCTION("""COMPUTED_VALUE"""),"A MEDIDA")</f>
        <v>A MEDIDA</v>
      </c>
      <c r="Y474" s="213" t="str">
        <f>IFERROR(__xludf.DUMMYFUNCTION("""COMPUTED_VALUE"""),"A MEDIDA")</f>
        <v>A MEDIDA</v>
      </c>
      <c r="Z474" s="213" t="str">
        <f>IFERROR(__xludf.DUMMYFUNCTION("""COMPUTED_VALUE"""),"A MEDIDA")</f>
        <v>A MEDIDA</v>
      </c>
      <c r="AA474" s="215" t="str">
        <f>IFERROR(__xludf.DUMMYFUNCTION("""COMPUTED_VALUE"""),"https://docs.google.com/spreadsheets/d/1w3zl8Sr355iFfjbE7_4xsQlV0XR0xpd8e0c0fnNnmTI/edit?gid=0#gid=0")</f>
        <v>https://docs.google.com/spreadsheets/d/1w3zl8Sr355iFfjbE7_4xsQlV0XR0xpd8e0c0fnNnmTI/edit?gid=0#gid=0</v>
      </c>
      <c r="AB474" s="213"/>
      <c r="AC474" s="213"/>
      <c r="AD474" s="213"/>
      <c r="AE474" s="213"/>
      <c r="AF474" s="213"/>
      <c r="AG474" s="213"/>
      <c r="AH474" s="213"/>
      <c r="AI474" s="213"/>
      <c r="AJ474" s="213"/>
      <c r="AK474" s="213"/>
      <c r="AL474" s="213"/>
      <c r="AM474" s="213"/>
      <c r="AN474" s="213"/>
      <c r="AO474" s="213"/>
      <c r="AP474" s="213" t="str">
        <f>IFERROR(__xludf.DUMMYFUNCTION("""COMPUTED_VALUE"""),"SEBASTIAN")</f>
        <v>SEBASTIAN</v>
      </c>
      <c r="AQ474" s="213"/>
      <c r="AR474" s="213"/>
      <c r="AS474" s="213"/>
      <c r="AT474" s="213"/>
      <c r="AU474" s="213"/>
      <c r="AV474" s="213"/>
      <c r="AW474" s="213"/>
      <c r="AX474" s="213"/>
      <c r="AY474" s="213"/>
      <c r="AZ474" s="213"/>
      <c r="BA474" s="213"/>
      <c r="BB474" s="213"/>
      <c r="BC474" s="213"/>
      <c r="BD474" s="213"/>
    </row>
    <row r="475">
      <c r="A475" s="213">
        <f>IFERROR(__xludf.DUMMYFUNCTION("""COMPUTED_VALUE"""),527.0)</f>
        <v>527</v>
      </c>
      <c r="B475" s="213" t="str">
        <f>IFERROR(__xludf.DUMMYFUNCTION("""COMPUTED_VALUE"""),"2026 SIMON BOLIVAR")</f>
        <v>2026 SIMON BOLIVAR</v>
      </c>
      <c r="C475" s="213" t="str">
        <f>IFERROR(__xludf.DUMMYFUNCTION("""COMPUTED_VALUE"""),"TALLER SFT DE INDUSTRIA ALIMENTARIA")</f>
        <v>TALLER SFT DE INDUSTRIA ALIMENTARIA</v>
      </c>
      <c r="D475" s="213" t="str">
        <f>IFERROR(__xludf.DUMMYFUNCTION("""COMPUTED_VALUE"""),"HERRAMIENTAS")</f>
        <v>HERRAMIENTAS</v>
      </c>
      <c r="E475" s="213" t="str">
        <f>IFERROR(__xludf.DUMMYFUNCTION("""COMPUTED_VALUE"""),"COM-225")</f>
        <v>COM-225</v>
      </c>
      <c r="F475" s="213" t="str">
        <f>IFERROR(__xludf.DUMMYFUNCTION("""COMPUTED_VALUE"""),"COM-225")</f>
        <v>COM-225</v>
      </c>
      <c r="G475" s="213"/>
      <c r="H475" s="213" t="str">
        <f>IFERROR(__xludf.DUMMYFUNCTION("""COMPUTED_VALUE"""),"MEDIDOR DE CLORO RESIDUAL")</f>
        <v>MEDIDOR DE CLORO RESIDUAL</v>
      </c>
      <c r="I475" s="213" t="str">
        <f>IFERROR(__xludf.DUMMYFUNCTION("""COMPUTED_VALUE"""),".  Rango: 0 a 500 ppm
.  Resolución: 1 ppm")</f>
        <v>.  Rango: 0 a 500 ppm
.  Resolución: 1 ppm</v>
      </c>
      <c r="J475" s="213">
        <f>IFERROR(__xludf.DUMMYFUNCTION("""COMPUTED_VALUE"""),3.0)</f>
        <v>3</v>
      </c>
      <c r="K475" s="213" t="str">
        <f>IFERROR(__xludf.DUMMYFUNCTION("""COMPUTED_VALUE"""),"90 DÍAS CALENDARIO")</f>
        <v>90 DÍAS CALENDARIO</v>
      </c>
      <c r="L475" s="213" t="str">
        <f>IFERROR(__xludf.DUMMYFUNCTION("""COMPUTED_VALUE"""),"")</f>
        <v/>
      </c>
      <c r="M475" s="213">
        <f>IFERROR(__xludf.DUMMYFUNCTION("""COMPUTED_VALUE"""),1.0)</f>
        <v>1</v>
      </c>
      <c r="N475" s="213">
        <f>IFERROR(__xludf.DUMMYFUNCTION("""COMPUTED_VALUE"""),2.0)</f>
        <v>2</v>
      </c>
      <c r="O475" s="213">
        <f>IFERROR(__xludf.DUMMYFUNCTION("""COMPUTED_VALUE"""),2.0)</f>
        <v>2</v>
      </c>
      <c r="P475" s="213"/>
      <c r="Q475" s="213"/>
      <c r="R475" s="213" t="str">
        <f>IFERROR(__xludf.DUMMYFUNCTION("""COMPUTED_VALUE"""),"SI")</f>
        <v>SI</v>
      </c>
      <c r="S475" s="213"/>
      <c r="T475" s="213" t="str">
        <f>IFERROR(__xludf.DUMMYFUNCTION("""COMPUTED_VALUE"""),"SI")</f>
        <v>SI</v>
      </c>
      <c r="U475" s="213" t="str">
        <f>IFERROR(__xludf.DUMMYFUNCTION("""COMPUTED_VALUE"""),"SI")</f>
        <v>SI</v>
      </c>
      <c r="V475" s="213" t="str">
        <f>IFERROR(__xludf.DUMMYFUNCTION("""COMPUTED_VALUE"""),"-")</f>
        <v>-</v>
      </c>
      <c r="W475" s="213" t="str">
        <f>IFERROR(__xludf.DUMMYFUNCTION("""COMPUTED_VALUE"""),"-")</f>
        <v>-</v>
      </c>
      <c r="X475" s="213" t="str">
        <f>IFERROR(__xludf.DUMMYFUNCTION("""COMPUTED_VALUE"""),"HANNA")</f>
        <v>HANNA</v>
      </c>
      <c r="Y475" s="213" t="str">
        <f>IFERROR(__xludf.DUMMYFUNCTION("""COMPUTED_VALUE"""),"HI768")</f>
        <v>HI768</v>
      </c>
      <c r="Z475" s="215" t="str">
        <f>IFERROR(__xludf.DUMMYFUNCTION("""COMPUTED_VALUE"""),"https://hannainst.com.mx/checker-para-cloro-intervalo-ultra-alto-0-500-ppm-hi771")</f>
        <v>https://hannainst.com.mx/checker-para-cloro-intervalo-ultra-alto-0-500-ppm-hi771</v>
      </c>
      <c r="AA475" s="213" t="str">
        <f>IFERROR(__xludf.DUMMYFUNCTION("""COMPUTED_VALUE"""),"COM-225 MEDIDOR DE CLORO RESIDUAL - CET")</f>
        <v>COM-225 MEDIDOR DE CLORO RESIDUAL - CET</v>
      </c>
      <c r="AB475" s="213"/>
      <c r="AC475" s="213"/>
      <c r="AD475" s="213"/>
      <c r="AE475" s="213"/>
      <c r="AF475" s="213"/>
      <c r="AG475" s="213"/>
      <c r="AH475" s="213"/>
      <c r="AI475" s="213"/>
      <c r="AJ475" s="213"/>
      <c r="AK475" s="213"/>
      <c r="AL475" s="213"/>
      <c r="AM475" s="213"/>
      <c r="AN475" s="213"/>
      <c r="AO475" s="213"/>
      <c r="AP475" s="213" t="str">
        <f>IFERROR(__xludf.DUMMYFUNCTION("""COMPUTED_VALUE"""),"LUIS")</f>
        <v>LUIS</v>
      </c>
      <c r="AQ475" s="213"/>
      <c r="AR475" s="213"/>
      <c r="AS475" s="213"/>
      <c r="AT475" s="213"/>
      <c r="AU475" s="213"/>
      <c r="AV475" s="213"/>
      <c r="AW475" s="213"/>
      <c r="AX475" s="213"/>
      <c r="AY475" s="213"/>
      <c r="AZ475" s="213"/>
      <c r="BA475" s="213"/>
      <c r="BB475" s="213"/>
      <c r="BC475" s="213"/>
      <c r="BD475" s="213"/>
    </row>
    <row r="476">
      <c r="A476" s="213">
        <f>IFERROR(__xludf.DUMMYFUNCTION("""COMPUTED_VALUE"""),1157.0)</f>
        <v>1157</v>
      </c>
      <c r="B476" s="213" t="str">
        <f>IFERROR(__xludf.DUMMYFUNCTION("""COMPUTED_VALUE"""),"FRANCISCO IRAZOLA")</f>
        <v>FRANCISCO IRAZOLA</v>
      </c>
      <c r="C476" s="213" t="str">
        <f>IFERROR(__xludf.DUMMYFUNCTION("""COMPUTED_VALUE"""),"TALLER SFT DE INDUSTRIA ALIMENTARIA")</f>
        <v>TALLER SFT DE INDUSTRIA ALIMENTARIA</v>
      </c>
      <c r="D476" s="213" t="str">
        <f>IFERROR(__xludf.DUMMYFUNCTION("""COMPUTED_VALUE"""),"HERRAMIENTAS")</f>
        <v>HERRAMIENTAS</v>
      </c>
      <c r="E476" s="213" t="str">
        <f>IFERROR(__xludf.DUMMYFUNCTION("""COMPUTED_VALUE"""),"COM-225")</f>
        <v>COM-225</v>
      </c>
      <c r="F476" s="213" t="str">
        <f>IFERROR(__xludf.DUMMYFUNCTION("""COMPUTED_VALUE"""),"COM-225")</f>
        <v>COM-225</v>
      </c>
      <c r="G476" s="213"/>
      <c r="H476" s="213" t="str">
        <f>IFERROR(__xludf.DUMMYFUNCTION("""COMPUTED_VALUE"""),"MEDIDOR DE CLORO RESIDUAL")</f>
        <v>MEDIDOR DE CLORO RESIDUAL</v>
      </c>
      <c r="I476" s="213" t="str">
        <f>IFERROR(__xludf.DUMMYFUNCTION("""COMPUTED_VALUE"""),".  Rango: 0 a 500 ppm
.  Resolución: 1 ppm")</f>
        <v>.  Rango: 0 a 500 ppm
.  Resolución: 1 ppm</v>
      </c>
      <c r="J476" s="213">
        <f>IFERROR(__xludf.DUMMYFUNCTION("""COMPUTED_VALUE"""),3.0)</f>
        <v>3</v>
      </c>
      <c r="K476" s="213" t="str">
        <f>IFERROR(__xludf.DUMMYFUNCTION("""COMPUTED_VALUE"""),"90 DÍAS CALENDARIO")</f>
        <v>90 DÍAS CALENDARIO</v>
      </c>
      <c r="L476" s="213" t="str">
        <f>IFERROR(__xludf.DUMMYFUNCTION("""COMPUTED_VALUE"""),"")</f>
        <v/>
      </c>
      <c r="M476" s="213">
        <f>IFERROR(__xludf.DUMMYFUNCTION("""COMPUTED_VALUE"""),1.0)</f>
        <v>1</v>
      </c>
      <c r="N476" s="213">
        <f>IFERROR(__xludf.DUMMYFUNCTION("""COMPUTED_VALUE"""),2.0)</f>
        <v>2</v>
      </c>
      <c r="O476" s="213">
        <f>IFERROR(__xludf.DUMMYFUNCTION("""COMPUTED_VALUE"""),2.0)</f>
        <v>2</v>
      </c>
      <c r="P476" s="213"/>
      <c r="Q476" s="213"/>
      <c r="R476" s="213" t="str">
        <f>IFERROR(__xludf.DUMMYFUNCTION("""COMPUTED_VALUE"""),"SI")</f>
        <v>SI</v>
      </c>
      <c r="S476" s="213"/>
      <c r="T476" s="213" t="str">
        <f>IFERROR(__xludf.DUMMYFUNCTION("""COMPUTED_VALUE"""),"SI")</f>
        <v>SI</v>
      </c>
      <c r="U476" s="213" t="str">
        <f>IFERROR(__xludf.DUMMYFUNCTION("""COMPUTED_VALUE"""),"SI")</f>
        <v>SI</v>
      </c>
      <c r="V476" s="213" t="str">
        <f>IFERROR(__xludf.DUMMYFUNCTION("""COMPUTED_VALUE"""),"-")</f>
        <v>-</v>
      </c>
      <c r="W476" s="213" t="str">
        <f>IFERROR(__xludf.DUMMYFUNCTION("""COMPUTED_VALUE"""),"-")</f>
        <v>-</v>
      </c>
      <c r="X476" s="213" t="str">
        <f>IFERROR(__xludf.DUMMYFUNCTION("""COMPUTED_VALUE"""),"HANNA")</f>
        <v>HANNA</v>
      </c>
      <c r="Y476" s="213" t="str">
        <f>IFERROR(__xludf.DUMMYFUNCTION("""COMPUTED_VALUE"""),"HI769")</f>
        <v>HI769</v>
      </c>
      <c r="Z476" s="215" t="str">
        <f>IFERROR(__xludf.DUMMYFUNCTION("""COMPUTED_VALUE"""),"https://hannainst.com.mx/checker-para-cloro-intervalo-ultra-alto-0-500-ppm-hi771")</f>
        <v>https://hannainst.com.mx/checker-para-cloro-intervalo-ultra-alto-0-500-ppm-hi771</v>
      </c>
      <c r="AA476" s="213" t="str">
        <f>IFERROR(__xludf.DUMMYFUNCTION("""COMPUTED_VALUE"""),"COM-225 MEDIDOR DE CLORO RESIDUAL - CET")</f>
        <v>COM-225 MEDIDOR DE CLORO RESIDUAL - CET</v>
      </c>
      <c r="AB476" s="213"/>
      <c r="AC476" s="213"/>
      <c r="AD476" s="213"/>
      <c r="AE476" s="213"/>
      <c r="AF476" s="213"/>
      <c r="AG476" s="213"/>
      <c r="AH476" s="213"/>
      <c r="AI476" s="213"/>
      <c r="AJ476" s="213"/>
      <c r="AK476" s="213"/>
      <c r="AL476" s="213"/>
      <c r="AM476" s="213"/>
      <c r="AN476" s="213"/>
      <c r="AO476" s="213"/>
      <c r="AP476" s="213" t="str">
        <f>IFERROR(__xludf.DUMMYFUNCTION("""COMPUTED_VALUE"""),"LUIS")</f>
        <v>LUIS</v>
      </c>
      <c r="AQ476" s="213"/>
      <c r="AR476" s="213"/>
      <c r="AS476" s="213"/>
      <c r="AT476" s="213"/>
      <c r="AU476" s="213"/>
      <c r="AV476" s="213"/>
      <c r="AW476" s="213"/>
      <c r="AX476" s="213"/>
      <c r="AY476" s="213"/>
      <c r="AZ476" s="213"/>
      <c r="BA476" s="213"/>
      <c r="BB476" s="213"/>
      <c r="BC476" s="213"/>
      <c r="BD476" s="213"/>
    </row>
    <row r="477">
      <c r="A477" s="213">
        <f>IFERROR(__xludf.DUMMYFUNCTION("""COMPUTED_VALUE"""),1429.0)</f>
        <v>1429</v>
      </c>
      <c r="B477" s="213" t="str">
        <f>IFERROR(__xludf.DUMMYFUNCTION("""COMPUTED_VALUE"""),"GUILLERMO E. BILLINGHURST ")</f>
        <v>GUILLERMO E. BILLINGHURST </v>
      </c>
      <c r="C477" s="213" t="str">
        <f>IFERROR(__xludf.DUMMYFUNCTION("""COMPUTED_VALUE"""),"TALLER SFT DE INDUSTRIA ALIMENTARIA")</f>
        <v>TALLER SFT DE INDUSTRIA ALIMENTARIA</v>
      </c>
      <c r="D477" s="213" t="str">
        <f>IFERROR(__xludf.DUMMYFUNCTION("""COMPUTED_VALUE"""),"HERRAMIENTAS")</f>
        <v>HERRAMIENTAS</v>
      </c>
      <c r="E477" s="213" t="str">
        <f>IFERROR(__xludf.DUMMYFUNCTION("""COMPUTED_VALUE"""),"COM-225")</f>
        <v>COM-225</v>
      </c>
      <c r="F477" s="213" t="str">
        <f>IFERROR(__xludf.DUMMYFUNCTION("""COMPUTED_VALUE"""),"COM-225")</f>
        <v>COM-225</v>
      </c>
      <c r="G477" s="213"/>
      <c r="H477" s="213" t="str">
        <f>IFERROR(__xludf.DUMMYFUNCTION("""COMPUTED_VALUE"""),"MEDIDOR DE CLORO RESIDUAL")</f>
        <v>MEDIDOR DE CLORO RESIDUAL</v>
      </c>
      <c r="I477" s="213" t="str">
        <f>IFERROR(__xludf.DUMMYFUNCTION("""COMPUTED_VALUE"""),".  Rango: 0 a 500 ppm
.  Resolución: 1 ppm")</f>
        <v>.  Rango: 0 a 500 ppm
.  Resolución: 1 ppm</v>
      </c>
      <c r="J477" s="213">
        <f>IFERROR(__xludf.DUMMYFUNCTION("""COMPUTED_VALUE"""),3.0)</f>
        <v>3</v>
      </c>
      <c r="K477" s="213" t="str">
        <f>IFERROR(__xludf.DUMMYFUNCTION("""COMPUTED_VALUE"""),"90 DÍAS CALENDARIO")</f>
        <v>90 DÍAS CALENDARIO</v>
      </c>
      <c r="L477" s="213" t="str">
        <f>IFERROR(__xludf.DUMMYFUNCTION("""COMPUTED_VALUE"""),"")</f>
        <v/>
      </c>
      <c r="M477" s="213">
        <f>IFERROR(__xludf.DUMMYFUNCTION("""COMPUTED_VALUE"""),1.0)</f>
        <v>1</v>
      </c>
      <c r="N477" s="213">
        <f>IFERROR(__xludf.DUMMYFUNCTION("""COMPUTED_VALUE"""),2.0)</f>
        <v>2</v>
      </c>
      <c r="O477" s="213">
        <f>IFERROR(__xludf.DUMMYFUNCTION("""COMPUTED_VALUE"""),2.0)</f>
        <v>2</v>
      </c>
      <c r="P477" s="213"/>
      <c r="Q477" s="213"/>
      <c r="R477" s="213" t="str">
        <f>IFERROR(__xludf.DUMMYFUNCTION("""COMPUTED_VALUE"""),"SI")</f>
        <v>SI</v>
      </c>
      <c r="S477" s="213"/>
      <c r="T477" s="213" t="str">
        <f>IFERROR(__xludf.DUMMYFUNCTION("""COMPUTED_VALUE"""),"SI")</f>
        <v>SI</v>
      </c>
      <c r="U477" s="213" t="str">
        <f>IFERROR(__xludf.DUMMYFUNCTION("""COMPUTED_VALUE"""),"SI")</f>
        <v>SI</v>
      </c>
      <c r="V477" s="213" t="str">
        <f>IFERROR(__xludf.DUMMYFUNCTION("""COMPUTED_VALUE"""),"-")</f>
        <v>-</v>
      </c>
      <c r="W477" s="213" t="str">
        <f>IFERROR(__xludf.DUMMYFUNCTION("""COMPUTED_VALUE"""),"-")</f>
        <v>-</v>
      </c>
      <c r="X477" s="213" t="str">
        <f>IFERROR(__xludf.DUMMYFUNCTION("""COMPUTED_VALUE"""),"HANNA")</f>
        <v>HANNA</v>
      </c>
      <c r="Y477" s="213" t="str">
        <f>IFERROR(__xludf.DUMMYFUNCTION("""COMPUTED_VALUE"""),"HI770")</f>
        <v>HI770</v>
      </c>
      <c r="Z477" s="215" t="str">
        <f>IFERROR(__xludf.DUMMYFUNCTION("""COMPUTED_VALUE"""),"https://hannainst.com.mx/checker-para-cloro-intervalo-ultra-alto-0-500-ppm-hi771")</f>
        <v>https://hannainst.com.mx/checker-para-cloro-intervalo-ultra-alto-0-500-ppm-hi771</v>
      </c>
      <c r="AA477" s="213" t="str">
        <f>IFERROR(__xludf.DUMMYFUNCTION("""COMPUTED_VALUE"""),"COM-225 MEDIDOR DE CLORO RESIDUAL - CET")</f>
        <v>COM-225 MEDIDOR DE CLORO RESIDUAL - CET</v>
      </c>
      <c r="AB477" s="213"/>
      <c r="AC477" s="213"/>
      <c r="AD477" s="213"/>
      <c r="AE477" s="213"/>
      <c r="AF477" s="213"/>
      <c r="AG477" s="213"/>
      <c r="AH477" s="213"/>
      <c r="AI477" s="213"/>
      <c r="AJ477" s="213"/>
      <c r="AK477" s="213"/>
      <c r="AL477" s="213"/>
      <c r="AM477" s="213"/>
      <c r="AN477" s="213"/>
      <c r="AO477" s="213"/>
      <c r="AP477" s="213" t="str">
        <f>IFERROR(__xludf.DUMMYFUNCTION("""COMPUTED_VALUE"""),"LUIS")</f>
        <v>LUIS</v>
      </c>
      <c r="AQ477" s="213"/>
      <c r="AR477" s="213"/>
      <c r="AS477" s="213"/>
      <c r="AT477" s="213"/>
      <c r="AU477" s="213"/>
      <c r="AV477" s="213"/>
      <c r="AW477" s="213"/>
      <c r="AX477" s="213"/>
      <c r="AY477" s="213"/>
      <c r="AZ477" s="213"/>
      <c r="BA477" s="213"/>
      <c r="BB477" s="213"/>
      <c r="BC477" s="213"/>
      <c r="BD477" s="213"/>
    </row>
    <row r="478">
      <c r="A478" s="213">
        <f>IFERROR(__xludf.DUMMYFUNCTION("""COMPUTED_VALUE"""),2116.0)</f>
        <v>2116</v>
      </c>
      <c r="B478" s="213" t="str">
        <f>IFERROR(__xludf.DUMMYFUNCTION("""COMPUTED_VALUE"""),"JOSE GRANDA")</f>
        <v>JOSE GRANDA</v>
      </c>
      <c r="C478" s="213" t="str">
        <f>IFERROR(__xludf.DUMMYFUNCTION("""COMPUTED_VALUE"""),"TALLER SFT DE INDUSTRIA ALIMENTARIA")</f>
        <v>TALLER SFT DE INDUSTRIA ALIMENTARIA</v>
      </c>
      <c r="D478" s="213" t="str">
        <f>IFERROR(__xludf.DUMMYFUNCTION("""COMPUTED_VALUE"""),"HERRAMIENTAS")</f>
        <v>HERRAMIENTAS</v>
      </c>
      <c r="E478" s="213" t="str">
        <f>IFERROR(__xludf.DUMMYFUNCTION("""COMPUTED_VALUE"""),"COM-225")</f>
        <v>COM-225</v>
      </c>
      <c r="F478" s="213" t="str">
        <f>IFERROR(__xludf.DUMMYFUNCTION("""COMPUTED_VALUE"""),"COM-225")</f>
        <v>COM-225</v>
      </c>
      <c r="G478" s="213"/>
      <c r="H478" s="213" t="str">
        <f>IFERROR(__xludf.DUMMYFUNCTION("""COMPUTED_VALUE"""),"MEDIDOR DE CLORO RESIDUAL")</f>
        <v>MEDIDOR DE CLORO RESIDUAL</v>
      </c>
      <c r="I478" s="213" t="str">
        <f>IFERROR(__xludf.DUMMYFUNCTION("""COMPUTED_VALUE"""),".  Rango: 0 a 500 ppm
.  Resolución: 1 ppm")</f>
        <v>.  Rango: 0 a 500 ppm
.  Resolución: 1 ppm</v>
      </c>
      <c r="J478" s="213">
        <f>IFERROR(__xludf.DUMMYFUNCTION("""COMPUTED_VALUE"""),3.0)</f>
        <v>3</v>
      </c>
      <c r="K478" s="213" t="str">
        <f>IFERROR(__xludf.DUMMYFUNCTION("""COMPUTED_VALUE"""),"90 DÍAS CALENDARIO")</f>
        <v>90 DÍAS CALENDARIO</v>
      </c>
      <c r="L478" s="213" t="str">
        <f>IFERROR(__xludf.DUMMYFUNCTION("""COMPUTED_VALUE"""),"")</f>
        <v/>
      </c>
      <c r="M478" s="213">
        <f>IFERROR(__xludf.DUMMYFUNCTION("""COMPUTED_VALUE"""),1.0)</f>
        <v>1</v>
      </c>
      <c r="N478" s="213">
        <f>IFERROR(__xludf.DUMMYFUNCTION("""COMPUTED_VALUE"""),2.0)</f>
        <v>2</v>
      </c>
      <c r="O478" s="213">
        <f>IFERROR(__xludf.DUMMYFUNCTION("""COMPUTED_VALUE"""),2.0)</f>
        <v>2</v>
      </c>
      <c r="P478" s="213"/>
      <c r="Q478" s="213"/>
      <c r="R478" s="213" t="str">
        <f>IFERROR(__xludf.DUMMYFUNCTION("""COMPUTED_VALUE"""),"SI")</f>
        <v>SI</v>
      </c>
      <c r="S478" s="213"/>
      <c r="T478" s="213" t="str">
        <f>IFERROR(__xludf.DUMMYFUNCTION("""COMPUTED_VALUE"""),"SI")</f>
        <v>SI</v>
      </c>
      <c r="U478" s="213" t="str">
        <f>IFERROR(__xludf.DUMMYFUNCTION("""COMPUTED_VALUE"""),"SI")</f>
        <v>SI</v>
      </c>
      <c r="V478" s="213" t="str">
        <f>IFERROR(__xludf.DUMMYFUNCTION("""COMPUTED_VALUE"""),"-")</f>
        <v>-</v>
      </c>
      <c r="W478" s="213" t="str">
        <f>IFERROR(__xludf.DUMMYFUNCTION("""COMPUTED_VALUE"""),"-")</f>
        <v>-</v>
      </c>
      <c r="X478" s="213" t="str">
        <f>IFERROR(__xludf.DUMMYFUNCTION("""COMPUTED_VALUE"""),"HANNA")</f>
        <v>HANNA</v>
      </c>
      <c r="Y478" s="213" t="str">
        <f>IFERROR(__xludf.DUMMYFUNCTION("""COMPUTED_VALUE"""),"HI771")</f>
        <v>HI771</v>
      </c>
      <c r="Z478" s="215" t="str">
        <f>IFERROR(__xludf.DUMMYFUNCTION("""COMPUTED_VALUE"""),"https://hannainst.com.mx/checker-para-cloro-intervalo-ultra-alto-0-500-ppm-hi771")</f>
        <v>https://hannainst.com.mx/checker-para-cloro-intervalo-ultra-alto-0-500-ppm-hi771</v>
      </c>
      <c r="AA478" s="213" t="str">
        <f>IFERROR(__xludf.DUMMYFUNCTION("""COMPUTED_VALUE"""),"COM-225 MEDIDOR DE CLORO RESIDUAL - CET")</f>
        <v>COM-225 MEDIDOR DE CLORO RESIDUAL - CET</v>
      </c>
      <c r="AB478" s="213"/>
      <c r="AC478" s="213"/>
      <c r="AD478" s="213"/>
      <c r="AE478" s="213"/>
      <c r="AF478" s="213"/>
      <c r="AG478" s="213"/>
      <c r="AH478" s="213"/>
      <c r="AI478" s="213"/>
      <c r="AJ478" s="213"/>
      <c r="AK478" s="213"/>
      <c r="AL478" s="213"/>
      <c r="AM478" s="213"/>
      <c r="AN478" s="213"/>
      <c r="AO478" s="213"/>
      <c r="AP478" s="213" t="str">
        <f>IFERROR(__xludf.DUMMYFUNCTION("""COMPUTED_VALUE"""),"LUIS")</f>
        <v>LUIS</v>
      </c>
      <c r="AQ478" s="213"/>
      <c r="AR478" s="213"/>
      <c r="AS478" s="213"/>
      <c r="AT478" s="213"/>
      <c r="AU478" s="213"/>
      <c r="AV478" s="213"/>
      <c r="AW478" s="213"/>
      <c r="AX478" s="213"/>
      <c r="AY478" s="213"/>
      <c r="AZ478" s="213"/>
      <c r="BA478" s="213"/>
      <c r="BB478" s="213"/>
      <c r="BC478" s="213"/>
      <c r="BD478" s="213"/>
    </row>
    <row r="479">
      <c r="A479" s="213">
        <f>IFERROR(__xludf.DUMMYFUNCTION("""COMPUTED_VALUE"""),1818.0)</f>
        <v>1818</v>
      </c>
      <c r="B479" s="213" t="str">
        <f>IFERROR(__xludf.DUMMYFUNCTION("""COMPUTED_VALUE"""),"GUILLERMO E. BILLINGHURST ")</f>
        <v>GUILLERMO E. BILLINGHURST </v>
      </c>
      <c r="C479" s="213" t="str">
        <f>IFERROR(__xludf.DUMMYFUNCTION("""COMPUTED_VALUE"""),"TALLER SFT DE EBANISTERÍA")</f>
        <v>TALLER SFT DE EBANISTERÍA</v>
      </c>
      <c r="D479" s="213" t="str">
        <f>IFERROR(__xludf.DUMMYFUNCTION("""COMPUTED_VALUE"""),"HERRAMIENTAS")</f>
        <v>HERRAMIENTAS</v>
      </c>
      <c r="E479" s="213" t="str">
        <f>IFERROR(__xludf.DUMMYFUNCTION("""COMPUTED_VALUE"""),"COM-226")</f>
        <v>COM-226</v>
      </c>
      <c r="F479" s="213" t="str">
        <f>IFERROR(__xludf.DUMMYFUNCTION("""COMPUTED_VALUE"""),"COM-226")</f>
        <v>COM-226</v>
      </c>
      <c r="G479" s="213"/>
      <c r="H479" s="213" t="str">
        <f>IFERROR(__xludf.DUMMYFUNCTION("""COMPUTED_VALUE"""),"MEDIDOR DE HUMEDAD")</f>
        <v>MEDIDOR DE HUMEDAD</v>
      </c>
      <c r="I479" s="213" t="str">
        <f>IFERROR(__xludf.DUMMYFUNCTION("""COMPUTED_VALUE"""),"Para medir el contenido de humedad de la madera. Rango de medición: 5 a 42%.
Resolución máxima: 1%.
Tiene 7 rangos de medición fácilmente seleccionados dependiendo el tipo de madera a medir. Pantalla con luz y apagado automático.
Pila de 9 V.")</f>
        <v>Para medir el contenido de humedad de la madera. Rango de medición: 5 a 42%.
Resolución máxima: 1%.
Tiene 7 rangos de medición fácilmente seleccionados dependiendo el tipo de madera a medir. Pantalla con luz y apagado automático.
Pila de 9 V.</v>
      </c>
      <c r="J479" s="213">
        <f>IFERROR(__xludf.DUMMYFUNCTION("""COMPUTED_VALUE"""),3.0)</f>
        <v>3</v>
      </c>
      <c r="K479" s="213" t="str">
        <f>IFERROR(__xludf.DUMMYFUNCTION("""COMPUTED_VALUE"""),"90 DÍAS CALENDARIO")</f>
        <v>90 DÍAS CALENDARIO</v>
      </c>
      <c r="L479" s="213" t="str">
        <f>IFERROR(__xludf.DUMMYFUNCTION("""COMPUTED_VALUE"""),"")</f>
        <v/>
      </c>
      <c r="M479" s="213">
        <f>IFERROR(__xludf.DUMMYFUNCTION("""COMPUTED_VALUE"""),1.0)</f>
        <v>1</v>
      </c>
      <c r="N479" s="213">
        <f>IFERROR(__xludf.DUMMYFUNCTION("""COMPUTED_VALUE"""),1.0)</f>
        <v>1</v>
      </c>
      <c r="O479" s="213">
        <f>IFERROR(__xludf.DUMMYFUNCTION("""COMPUTED_VALUE"""),1.0)</f>
        <v>1</v>
      </c>
      <c r="P479" s="213"/>
      <c r="Q479" s="213"/>
      <c r="R479" s="213" t="str">
        <f>IFERROR(__xludf.DUMMYFUNCTION("""COMPUTED_VALUE"""),"SI")</f>
        <v>SI</v>
      </c>
      <c r="S479" s="213"/>
      <c r="T479" s="213" t="str">
        <f>IFERROR(__xludf.DUMMYFUNCTION("""COMPUTED_VALUE"""),"CONSULTA FINAL")</f>
        <v>CONSULTA FINAL</v>
      </c>
      <c r="U479" s="213" t="str">
        <f>IFERROR(__xludf.DUMMYFUNCTION("""COMPUTED_VALUE"""),"NO")</f>
        <v>NO</v>
      </c>
      <c r="V479" s="213" t="str">
        <f>IFERROR(__xludf.DUMMYFUNCTION("""COMPUTED_VALUE"""),"SUSTENTO")</f>
        <v>SUSTENTO</v>
      </c>
      <c r="W479" s="213" t="str">
        <f>IFERROR(__xludf.DUMMYFUNCTION("""COMPUTED_VALUE"""),"ELÉCTRICO")</f>
        <v>ELÉCTRICO</v>
      </c>
      <c r="X479" s="213" t="str">
        <f>IFERROR(__xludf.DUMMYFUNCTION("""COMPUTED_VALUE"""),"Armotec")</f>
        <v>Armotec</v>
      </c>
      <c r="Y479" s="213" t="str">
        <f>IFERROR(__xludf.DUMMYFUNCTION("""COMPUTED_VALUE"""),"AMA005")</f>
        <v>AMA005</v>
      </c>
      <c r="Z479" s="215" t="str">
        <f>IFERROR(__xludf.DUMMYFUNCTION("""COMPUTED_VALUE"""),"https://armotec.pe/products/medidor-de-humedad-de-materiales-ama005")</f>
        <v>https://armotec.pe/products/medidor-de-humedad-de-materiales-ama005</v>
      </c>
      <c r="AA479" s="213" t="str">
        <f>IFERROR(__xludf.DUMMYFUNCTION("""COMPUTED_VALUE"""),"COM-226 MEDIDOR DE HUMEDAD - CET")</f>
        <v>COM-226 MEDIDOR DE HUMEDAD - CET</v>
      </c>
      <c r="AB479" s="213"/>
      <c r="AC479" s="213"/>
      <c r="AD479" s="213"/>
      <c r="AE479" s="213"/>
      <c r="AF479" s="213"/>
      <c r="AG479" s="213"/>
      <c r="AH479" s="213"/>
      <c r="AI479" s="213"/>
      <c r="AJ479" s="213"/>
      <c r="AK479" s="213"/>
      <c r="AL479" s="213"/>
      <c r="AM479" s="213"/>
      <c r="AN479" s="213"/>
      <c r="AO479" s="213"/>
      <c r="AP479" s="213" t="str">
        <f>IFERROR(__xludf.DUMMYFUNCTION("""COMPUTED_VALUE"""),"SEBASTIAN")</f>
        <v>SEBASTIAN</v>
      </c>
      <c r="AQ479" s="213"/>
      <c r="AR479" s="213"/>
      <c r="AS479" s="213"/>
      <c r="AT479" s="213"/>
      <c r="AU479" s="213"/>
      <c r="AV479" s="213"/>
      <c r="AW479" s="213"/>
      <c r="AX479" s="213"/>
      <c r="AY479" s="213"/>
      <c r="AZ479" s="213"/>
      <c r="BA479" s="213"/>
      <c r="BB479" s="213"/>
      <c r="BC479" s="213"/>
      <c r="BD479" s="213"/>
    </row>
    <row r="480">
      <c r="A480" s="213">
        <f>IFERROR(__xludf.DUMMYFUNCTION("""COMPUTED_VALUE"""),2600.0)</f>
        <v>2600</v>
      </c>
      <c r="B480" s="213" t="str">
        <f>IFERROR(__xludf.DUMMYFUNCTION("""COMPUTED_VALUE"""),"MANUEL ANTONIO MESONES MURO")</f>
        <v>MANUEL ANTONIO MESONES MURO</v>
      </c>
      <c r="C480" s="213" t="str">
        <f>IFERROR(__xludf.DUMMYFUNCTION("""COMPUTED_VALUE"""),"TALLER SFT DE EBANISTERÍA")</f>
        <v>TALLER SFT DE EBANISTERÍA</v>
      </c>
      <c r="D480" s="213" t="str">
        <f>IFERROR(__xludf.DUMMYFUNCTION("""COMPUTED_VALUE"""),"HERRAMIENTAS")</f>
        <v>HERRAMIENTAS</v>
      </c>
      <c r="E480" s="213" t="str">
        <f>IFERROR(__xludf.DUMMYFUNCTION("""COMPUTED_VALUE"""),"COM-226")</f>
        <v>COM-226</v>
      </c>
      <c r="F480" s="213" t="str">
        <f>IFERROR(__xludf.DUMMYFUNCTION("""COMPUTED_VALUE"""),"COM-226")</f>
        <v>COM-226</v>
      </c>
      <c r="G480" s="213"/>
      <c r="H480" s="213" t="str">
        <f>IFERROR(__xludf.DUMMYFUNCTION("""COMPUTED_VALUE"""),"MEDIDOR DE HUMEDAD")</f>
        <v>MEDIDOR DE HUMEDAD</v>
      </c>
      <c r="I480" s="213" t="str">
        <f>IFERROR(__xludf.DUMMYFUNCTION("""COMPUTED_VALUE"""),"Para medir el contenido de humedad de la madera. Rango de medición: 5 a 42%.
Resolución máxima: 1%.
Tiene 7 rangos de medición fácilmente seleccionados dependiendo el tipo de madera a medir. Pantalla con luz y apagado automático.
Pila de 9 V.")</f>
        <v>Para medir el contenido de humedad de la madera. Rango de medición: 5 a 42%.
Resolución máxima: 1%.
Tiene 7 rangos de medición fácilmente seleccionados dependiendo el tipo de madera a medir. Pantalla con luz y apagado automático.
Pila de 9 V.</v>
      </c>
      <c r="J480" s="213">
        <f>IFERROR(__xludf.DUMMYFUNCTION("""COMPUTED_VALUE"""),3.0)</f>
        <v>3</v>
      </c>
      <c r="K480" s="213" t="str">
        <f>IFERROR(__xludf.DUMMYFUNCTION("""COMPUTED_VALUE"""),"90 DÍAS CALENDARIO")</f>
        <v>90 DÍAS CALENDARIO</v>
      </c>
      <c r="L480" s="213" t="str">
        <f>IFERROR(__xludf.DUMMYFUNCTION("""COMPUTED_VALUE"""),"")</f>
        <v/>
      </c>
      <c r="M480" s="213">
        <f>IFERROR(__xludf.DUMMYFUNCTION("""COMPUTED_VALUE"""),1.0)</f>
        <v>1</v>
      </c>
      <c r="N480" s="213">
        <f>IFERROR(__xludf.DUMMYFUNCTION("""COMPUTED_VALUE"""),1.0)</f>
        <v>1</v>
      </c>
      <c r="O480" s="213">
        <f>IFERROR(__xludf.DUMMYFUNCTION("""COMPUTED_VALUE"""),1.0)</f>
        <v>1</v>
      </c>
      <c r="P480" s="213"/>
      <c r="Q480" s="213"/>
      <c r="R480" s="213" t="str">
        <f>IFERROR(__xludf.DUMMYFUNCTION("""COMPUTED_VALUE"""),"SI")</f>
        <v>SI</v>
      </c>
      <c r="S480" s="213"/>
      <c r="T480" s="213" t="str">
        <f>IFERROR(__xludf.DUMMYFUNCTION("""COMPUTED_VALUE"""),"CONSULTA FINAL")</f>
        <v>CONSULTA FINAL</v>
      </c>
      <c r="U480" s="213" t="str">
        <f>IFERROR(__xludf.DUMMYFUNCTION("""COMPUTED_VALUE"""),"NO")</f>
        <v>NO</v>
      </c>
      <c r="V480" s="213" t="str">
        <f>IFERROR(__xludf.DUMMYFUNCTION("""COMPUTED_VALUE"""),"SUSTENTO")</f>
        <v>SUSTENTO</v>
      </c>
      <c r="W480" s="213" t="str">
        <f>IFERROR(__xludf.DUMMYFUNCTION("""COMPUTED_VALUE"""),"ELÉCTRICO")</f>
        <v>ELÉCTRICO</v>
      </c>
      <c r="X480" s="213" t="str">
        <f>IFERROR(__xludf.DUMMYFUNCTION("""COMPUTED_VALUE"""),"Armotec")</f>
        <v>Armotec</v>
      </c>
      <c r="Y480" s="213" t="str">
        <f>IFERROR(__xludf.DUMMYFUNCTION("""COMPUTED_VALUE"""),"AMA005")</f>
        <v>AMA005</v>
      </c>
      <c r="Z480" s="215" t="str">
        <f>IFERROR(__xludf.DUMMYFUNCTION("""COMPUTED_VALUE"""),"https://armotec.pe/products/medidor-de-humedad-de-materiales-ama005")</f>
        <v>https://armotec.pe/products/medidor-de-humedad-de-materiales-ama005</v>
      </c>
      <c r="AA480" s="213" t="str">
        <f>IFERROR(__xludf.DUMMYFUNCTION("""COMPUTED_VALUE"""),"COM-226 MEDIDOR DE HUMEDAD - CET")</f>
        <v>COM-226 MEDIDOR DE HUMEDAD - CET</v>
      </c>
      <c r="AB480" s="213"/>
      <c r="AC480" s="213"/>
      <c r="AD480" s="213"/>
      <c r="AE480" s="213"/>
      <c r="AF480" s="213"/>
      <c r="AG480" s="213"/>
      <c r="AH480" s="213"/>
      <c r="AI480" s="213"/>
      <c r="AJ480" s="213"/>
      <c r="AK480" s="213"/>
      <c r="AL480" s="213"/>
      <c r="AM480" s="213"/>
      <c r="AN480" s="213"/>
      <c r="AO480" s="213"/>
      <c r="AP480" s="213" t="str">
        <f>IFERROR(__xludf.DUMMYFUNCTION("""COMPUTED_VALUE"""),"SEBASTIAN")</f>
        <v>SEBASTIAN</v>
      </c>
      <c r="AQ480" s="213"/>
      <c r="AR480" s="213"/>
      <c r="AS480" s="213"/>
      <c r="AT480" s="213"/>
      <c r="AU480" s="213"/>
      <c r="AV480" s="213"/>
      <c r="AW480" s="213"/>
      <c r="AX480" s="213"/>
      <c r="AY480" s="213"/>
      <c r="AZ480" s="213"/>
      <c r="BA480" s="213"/>
      <c r="BB480" s="213"/>
      <c r="BC480" s="213"/>
      <c r="BD480" s="213"/>
    </row>
    <row r="481">
      <c r="A481" s="213">
        <f>IFERROR(__xludf.DUMMYFUNCTION("""COMPUTED_VALUE"""),14.0)</f>
        <v>14</v>
      </c>
      <c r="B481" s="213" t="str">
        <f>IFERROR(__xludf.DUMMYFUNCTION("""COMPUTED_VALUE"""),"16449 ELOY SOBERON  FLORES")</f>
        <v>16449 ELOY SOBERON  FLORES</v>
      </c>
      <c r="C481" s="213" t="str">
        <f>IFERROR(__xludf.DUMMYFUNCTION("""COMPUTED_VALUE"""),"TALLER SFT DE COCINA Y REPOSTERÍA")</f>
        <v>TALLER SFT DE COCINA Y REPOSTERÍA</v>
      </c>
      <c r="D481" s="213" t="str">
        <f>IFERROR(__xludf.DUMMYFUNCTION("""COMPUTED_VALUE"""),"MOBILIARIO")</f>
        <v>MOBILIARIO</v>
      </c>
      <c r="E481" s="213" t="str">
        <f>IFERROR(__xludf.DUMMYFUNCTION("""COMPUTED_VALUE"""),"COM-227")</f>
        <v>COM-227</v>
      </c>
      <c r="F481" s="213" t="str">
        <f>IFERROR(__xludf.DUMMYFUNCTION("""COMPUTED_VALUE"""),"COM-227")</f>
        <v>COM-227</v>
      </c>
      <c r="G481" s="213"/>
      <c r="H481" s="213" t="str">
        <f>IFERROR(__xludf.DUMMYFUNCTION("""COMPUTED_VALUE"""),"MESA DE APOYO PARA LOS EQUIPOS MOVILES")</f>
        <v>MESA DE APOYO PARA LOS EQUIPOS MOVILES</v>
      </c>
      <c r="I481" s="213" t="str">
        <f>IFERROR(__xludf.DUMMYFUNCTION("""COMPUTED_VALUE"""),"· Mesa de acero inoxidable
· Base Sanitaria  12” en Acero Inoxidable  Completamente desarmable para colocar cualquier equipo de sobre poner.
·  Provista de los tornillos, tuercas y rondanas necesarias para su armado.
. Con 4 garruchas, 2 con freno
· Dimen"&amp;"siones L 80 cm x A50 cmx H85 cm.")</f>
        <v>· Mesa de acero inoxidable
· Base Sanitaria  12” en Acero Inoxidable  Completamente desarmable para colocar cualquier equipo de sobre poner.
·  Provista de los tornillos, tuercas y rondanas necesarias para su armado.
. Con 4 garruchas, 2 con freno
· Dimensiones L 80 cm x A50 cmx H85 cm.</v>
      </c>
      <c r="J481" s="213">
        <f>IFERROR(__xludf.DUMMYFUNCTION("""COMPUTED_VALUE"""),3.0)</f>
        <v>3</v>
      </c>
      <c r="K481" s="213" t="str">
        <f>IFERROR(__xludf.DUMMYFUNCTION("""COMPUTED_VALUE"""),"90 DÍAS CALENDARIO")</f>
        <v>90 DÍAS CALENDARIO</v>
      </c>
      <c r="L481" s="213" t="str">
        <f>IFERROR(__xludf.DUMMYFUNCTION("""COMPUTED_VALUE"""),"")</f>
        <v/>
      </c>
      <c r="M481" s="213">
        <f>IFERROR(__xludf.DUMMYFUNCTION("""COMPUTED_VALUE"""),1.0)</f>
        <v>1</v>
      </c>
      <c r="N481" s="213">
        <f>IFERROR(__xludf.DUMMYFUNCTION("""COMPUTED_VALUE"""),2.0)</f>
        <v>2</v>
      </c>
      <c r="O481" s="213">
        <f>IFERROR(__xludf.DUMMYFUNCTION("""COMPUTED_VALUE"""),2.0)</f>
        <v>2</v>
      </c>
      <c r="P481" s="213"/>
      <c r="Q481" s="213"/>
      <c r="R481" s="213" t="str">
        <f>IFERROR(__xludf.DUMMYFUNCTION("""COMPUTED_VALUE"""),"SI")</f>
        <v>SI</v>
      </c>
      <c r="S481" s="213"/>
      <c r="T481" s="213" t="str">
        <f>IFERROR(__xludf.DUMMYFUNCTION("""COMPUTED_VALUE"""),"CONSULTA FINAL")</f>
        <v>CONSULTA FINAL</v>
      </c>
      <c r="U481" s="213"/>
      <c r="V481" s="213"/>
      <c r="W481" s="213"/>
      <c r="X481" s="213" t="str">
        <f>IFERROR(__xludf.DUMMYFUNCTION("""COMPUTED_VALUE"""),"Queralto		")</f>
        <v>Queralto		</v>
      </c>
      <c r="Y481" s="213" t="str">
        <f>IFERROR(__xludf.DUMMYFUNCTION("""COMPUTED_VALUE"""),"Mesa Auxiliar")</f>
        <v>Mesa Auxiliar</v>
      </c>
      <c r="Z481" s="215" t="str">
        <f>IFERROR(__xludf.DUMMYFUNCTION("""COMPUTED_VALUE"""),"https://www.queralto.com/17232-mesa-auxiliar-anestesia-1-cajon-bandeja-superior-estante-inferior-acero-inoxidable-4-ruedas.html")</f>
        <v>https://www.queralto.com/17232-mesa-auxiliar-anestesia-1-cajon-bandeja-superior-estante-inferior-acero-inoxidable-4-ruedas.html</v>
      </c>
      <c r="AA481" s="213" t="str">
        <f>IFERROR(__xludf.DUMMYFUNCTION("""COMPUTED_VALUE"""),"COM-227 MESA DE APOYO PARA LOS EQUIPOS MOVILES - CET")</f>
        <v>COM-227 MESA DE APOYO PARA LOS EQUIPOS MOVILES - CET</v>
      </c>
      <c r="AB481" s="213"/>
      <c r="AC481" s="213"/>
      <c r="AD481" s="213"/>
      <c r="AE481" s="213"/>
      <c r="AF481" s="213"/>
      <c r="AG481" s="213"/>
      <c r="AH481" s="213"/>
      <c r="AI481" s="213"/>
      <c r="AJ481" s="213"/>
      <c r="AK481" s="213"/>
      <c r="AL481" s="213"/>
      <c r="AM481" s="213"/>
      <c r="AN481" s="213"/>
      <c r="AO481" s="213"/>
      <c r="AP481" s="213" t="str">
        <f>IFERROR(__xludf.DUMMYFUNCTION("""COMPUTED_VALUE"""),"SEBASTIAN")</f>
        <v>SEBASTIAN</v>
      </c>
      <c r="AQ481" s="213"/>
      <c r="AR481" s="213"/>
      <c r="AS481" s="213"/>
      <c r="AT481" s="213"/>
      <c r="AU481" s="213"/>
      <c r="AV481" s="213"/>
      <c r="AW481" s="213"/>
      <c r="AX481" s="213"/>
      <c r="AY481" s="213"/>
      <c r="AZ481" s="213"/>
      <c r="BA481" s="213"/>
      <c r="BB481" s="213"/>
      <c r="BC481" s="213"/>
      <c r="BD481" s="213"/>
    </row>
    <row r="482">
      <c r="A482" s="213">
        <f>IFERROR(__xludf.DUMMYFUNCTION("""COMPUTED_VALUE"""),1809.0)</f>
        <v>1809</v>
      </c>
      <c r="B482" s="213" t="str">
        <f>IFERROR(__xludf.DUMMYFUNCTION("""COMPUTED_VALUE"""),"GUILLERMO E. BILLINGHURST ")</f>
        <v>GUILLERMO E. BILLINGHURST </v>
      </c>
      <c r="C482" s="213" t="str">
        <f>IFERROR(__xludf.DUMMYFUNCTION("""COMPUTED_VALUE"""),"TALLER SFT DE EBANISTERÍA")</f>
        <v>TALLER SFT DE EBANISTERÍA</v>
      </c>
      <c r="D482" s="213" t="str">
        <f>IFERROR(__xludf.DUMMYFUNCTION("""COMPUTED_VALUE"""),"MOBILIARIO")</f>
        <v>MOBILIARIO</v>
      </c>
      <c r="E482" s="213" t="str">
        <f>IFERROR(__xludf.DUMMYFUNCTION("""COMPUTED_VALUE"""),"COM-229")</f>
        <v>COM-229</v>
      </c>
      <c r="F482" s="213" t="str">
        <f>IFERROR(__xludf.DUMMYFUNCTION("""COMPUTED_VALUE"""),"COM-229")</f>
        <v>COM-229</v>
      </c>
      <c r="G482" s="213"/>
      <c r="H482" s="213" t="str">
        <f>IFERROR(__xludf.DUMMYFUNCTION("""COMPUTED_VALUE"""),"MESA GUIA PARA SIERRA CALADORA")</f>
        <v>MESA GUIA PARA SIERRA CALADORA</v>
      </c>
      <c r="I482" s="213" t="str">
        <f>IFERROR(__xludf.DUMMYFUNCTION("""COMPUTED_VALUE"""),"· Tablero de acero galvanizado de 300 mm x 300 mm.  Aprox.
· longitud maximo de hoja de 100mm.
· Guia de corte longitudinal incluido
· Fijación sólida con dos garras de acero con un max. espesor de placa de 60 mm, para poder mantener la estabilidad en cad"&amp;"a banco de trabajo.")</f>
        <v>· Tablero de acero galvanizado de 300 mm x 300 mm.  Aprox.
· longitud maximo de hoja de 100mm.
· Guia de corte longitudinal incluido
· Fijación sólida con dos garras de acero con un max. espesor de placa de 60 mm, para poder mantener la estabilidad en cada banco de trabajo.</v>
      </c>
      <c r="J482" s="213">
        <f>IFERROR(__xludf.DUMMYFUNCTION("""COMPUTED_VALUE"""),3.0)</f>
        <v>3</v>
      </c>
      <c r="K482" s="213" t="str">
        <f>IFERROR(__xludf.DUMMYFUNCTION("""COMPUTED_VALUE"""),"90 DÍAS CALENDARIO")</f>
        <v>90 DÍAS CALENDARIO</v>
      </c>
      <c r="L482" s="213" t="str">
        <f>IFERROR(__xludf.DUMMYFUNCTION("""COMPUTED_VALUE"""),"")</f>
        <v/>
      </c>
      <c r="M482" s="213">
        <f>IFERROR(__xludf.DUMMYFUNCTION("""COMPUTED_VALUE"""),1.0)</f>
        <v>1</v>
      </c>
      <c r="N482" s="213">
        <f>IFERROR(__xludf.DUMMYFUNCTION("""COMPUTED_VALUE"""),1.0)</f>
        <v>1</v>
      </c>
      <c r="O482" s="213">
        <f>IFERROR(__xludf.DUMMYFUNCTION("""COMPUTED_VALUE"""),1.0)</f>
        <v>1</v>
      </c>
      <c r="P482" s="213"/>
      <c r="Q482" s="213"/>
      <c r="R482" s="213" t="str">
        <f>IFERROR(__xludf.DUMMYFUNCTION("""COMPUTED_VALUE"""),"SI")</f>
        <v>SI</v>
      </c>
      <c r="S482" s="213"/>
      <c r="T482" s="213" t="str">
        <f>IFERROR(__xludf.DUMMYFUNCTION("""COMPUTED_VALUE"""),"CONSULTA FINAL")</f>
        <v>CONSULTA FINAL</v>
      </c>
      <c r="U482" s="213" t="str">
        <f>IFERROR(__xludf.DUMMYFUNCTION("""COMPUTED_VALUE"""),"NO")</f>
        <v>NO</v>
      </c>
      <c r="V482" s="213" t="str">
        <f>IFERROR(__xludf.DUMMYFUNCTION("""COMPUTED_VALUE"""),"SUPERA")</f>
        <v>SUPERA</v>
      </c>
      <c r="W482" s="213" t="str">
        <f>IFERROR(__xludf.DUMMYFUNCTION("""COMPUTED_VALUE"""),"DIMENSIONAL")</f>
        <v>DIMENSIONAL</v>
      </c>
      <c r="X482" s="213" t="str">
        <f>IFERROR(__xludf.DUMMYFUNCTION("""COMPUTED_VALUE"""),"Wolfcraft")</f>
        <v>Wolfcraft</v>
      </c>
      <c r="Y482" s="213">
        <f>IFERROR(__xludf.DUMMYFUNCTION("""COMPUTED_VALUE"""),6197000.0)</f>
        <v>6197000</v>
      </c>
      <c r="Z482" s="215" t="str">
        <f>IFERROR(__xludf.DUMMYFUNCTION("""COMPUTED_VALUE"""),"https://www.electronicamaher.com/mesa-para-sierra-de-calar-6197000-wolfcraft")</f>
        <v>https://www.electronicamaher.com/mesa-para-sierra-de-calar-6197000-wolfcraft</v>
      </c>
      <c r="AA482" s="213" t="str">
        <f>IFERROR(__xludf.DUMMYFUNCTION("""COMPUTED_VALUE"""),"COM-229 MESA GUIA PARA SIERRA CALADORA - CET")</f>
        <v>COM-229 MESA GUIA PARA SIERRA CALADORA - CET</v>
      </c>
      <c r="AB482" s="213"/>
      <c r="AC482" s="213"/>
      <c r="AD482" s="213"/>
      <c r="AE482" s="213"/>
      <c r="AF482" s="213"/>
      <c r="AG482" s="213"/>
      <c r="AH482" s="213"/>
      <c r="AI482" s="213"/>
      <c r="AJ482" s="213"/>
      <c r="AK482" s="213"/>
      <c r="AL482" s="213"/>
      <c r="AM482" s="213"/>
      <c r="AN482" s="213"/>
      <c r="AO482" s="213"/>
      <c r="AP482" s="213" t="str">
        <f>IFERROR(__xludf.DUMMYFUNCTION("""COMPUTED_VALUE"""),"SEBASTIAN")</f>
        <v>SEBASTIAN</v>
      </c>
      <c r="AQ482" s="213"/>
      <c r="AR482" s="213"/>
      <c r="AS482" s="213"/>
      <c r="AT482" s="213"/>
      <c r="AU482" s="213"/>
      <c r="AV482" s="213"/>
      <c r="AW482" s="213"/>
      <c r="AX482" s="213"/>
      <c r="AY482" s="213"/>
      <c r="AZ482" s="213"/>
      <c r="BA482" s="213"/>
      <c r="BB482" s="213"/>
      <c r="BC482" s="213"/>
      <c r="BD482" s="213"/>
    </row>
    <row r="483">
      <c r="A483" s="213">
        <f>IFERROR(__xludf.DUMMYFUNCTION("""COMPUTED_VALUE"""),543.0)</f>
        <v>543</v>
      </c>
      <c r="B483" s="213" t="str">
        <f>IFERROR(__xludf.DUMMYFUNCTION("""COMPUTED_VALUE"""),"2026 SIMON BOLIVAR")</f>
        <v>2026 SIMON BOLIVAR</v>
      </c>
      <c r="C483" s="213" t="str">
        <f>IFERROR(__xludf.DUMMYFUNCTION("""COMPUTED_VALUE"""),"TALLER SFT DE INDUSTRIA ALIMENTARIA")</f>
        <v>TALLER SFT DE INDUSTRIA ALIMENTARIA</v>
      </c>
      <c r="D483" s="213" t="str">
        <f>IFERROR(__xludf.DUMMYFUNCTION("""COMPUTED_VALUE"""),"EQUIPOS")</f>
        <v>EQUIPOS</v>
      </c>
      <c r="E483" s="213" t="str">
        <f>IFERROR(__xludf.DUMMYFUNCTION("""COMPUTED_VALUE"""),"ESP-147")</f>
        <v>ESP-147</v>
      </c>
      <c r="F483" s="213" t="str">
        <f>IFERROR(__xludf.DUMMYFUNCTION("""COMPUTED_VALUE"""),"ESP-147")</f>
        <v>ESP-147</v>
      </c>
      <c r="G483" s="213"/>
      <c r="H483" s="213" t="str">
        <f>IFERROR(__xludf.DUMMYFUNCTION("""COMPUTED_VALUE"""),"DESHIDRATADORA")</f>
        <v>DESHIDRATADORA</v>
      </c>
      <c r="I483" s="213" t="str">
        <f>IFERROR(__xludf.DUMMYFUNCTION("""COMPUTED_VALUE"""),"· Material: Acero Inoxidable calidad 304
· Bandejas: mínimo 10 bandejas, de rejillas de acero inoxidable, con espacio de 3.5 cm. aproximado entre cada una.
· Medidas 438 x 521 x 432 mm, aproximado
· Dimensiones bandejas (mm): 396 x 396, aproximado
· Capac"&amp;"idad mínima:  50Litros
· Rango de temperatura: Entre 35° y 70° C aproximadamente, con termostato ajustable
· Potencia mínima: 1000 Watts
. Voltaje: 220 V, 60 Hz.
· Temporizador de 15 horas de autonomía para trabajo en modo apagado automático
· Ventilador "&amp;"de circulación de aire
· Peso aproximado: 15kg
* Incluye funda protectora impermeable para su almacenamiento.")</f>
        <v>· Material: Acero Inoxidable calidad 304
· Bandejas: mínimo 10 bandejas, de rejillas de acero inoxidable, con espacio de 3.5 cm. aproximado entre cada una.
· Medidas 438 x 521 x 432 mm, aproximado
· Dimensiones bandejas (mm): 396 x 396, aproximado
· Capacidad mínima:  50Litros
· Rango de temperatura: Entre 35° y 70° C aproximadamente, con termostato ajustable
· Potencia mínima: 1000 Watts
. Voltaje: 220 V, 60 Hz.
· Temporizador de 15 horas de autonomía para trabajo en modo apagado automático
· Ventilador de circulación de aire
· Peso aproximado: 15kg
* Incluye funda protectora impermeable para su almacenamiento.</v>
      </c>
      <c r="J483" s="213">
        <f>IFERROR(__xludf.DUMMYFUNCTION("""COMPUTED_VALUE"""),3.0)</f>
        <v>3</v>
      </c>
      <c r="K483" s="213" t="str">
        <f>IFERROR(__xludf.DUMMYFUNCTION("""COMPUTED_VALUE"""),"170 DÍAS CALENDARIO")</f>
        <v>170 DÍAS CALENDARIO</v>
      </c>
      <c r="L483" s="213" t="str">
        <f>IFERROR(__xludf.DUMMYFUNCTION("""COMPUTED_VALUE"""),"")</f>
        <v/>
      </c>
      <c r="M483" s="213">
        <f>IFERROR(__xludf.DUMMYFUNCTION("""COMPUTED_VALUE"""),1.0)</f>
        <v>1</v>
      </c>
      <c r="N483" s="213">
        <f>IFERROR(__xludf.DUMMYFUNCTION("""COMPUTED_VALUE"""),1.0)</f>
        <v>1</v>
      </c>
      <c r="O483" s="213">
        <f>IFERROR(__xludf.DUMMYFUNCTION("""COMPUTED_VALUE"""),1.0)</f>
        <v>1</v>
      </c>
      <c r="P483" s="213"/>
      <c r="Q483" s="213"/>
      <c r="R483" s="213"/>
      <c r="S483" s="213" t="str">
        <f>IFERROR(__xludf.DUMMYFUNCTION("""COMPUTED_VALUE"""),"SI")</f>
        <v>SI</v>
      </c>
      <c r="T483" s="213" t="str">
        <f>IFERROR(__xludf.DUMMYFUNCTION("""COMPUTED_VALUE"""),"SI")</f>
        <v>SI</v>
      </c>
      <c r="U483" s="213" t="str">
        <f>IFERROR(__xludf.DUMMYFUNCTION("""COMPUTED_VALUE"""),"NO")</f>
        <v>NO</v>
      </c>
      <c r="V483" s="213" t="str">
        <f>IFERROR(__xludf.DUMMYFUNCTION("""COMPUTED_VALUE"""),"SUSTENTO")</f>
        <v>SUSTENTO</v>
      </c>
      <c r="W483" s="213" t="str">
        <f>IFERROR(__xludf.DUMMYFUNCTION("""COMPUTED_VALUE"""),"ELÉCTRICO, EQU TEC")</f>
        <v>ELÉCTRICO, EQU TEC</v>
      </c>
      <c r="X483" s="213" t="str">
        <f>IFERROR(__xludf.DUMMYFUNCTION("""COMPUTED_VALUE"""),"MAQORITO")</f>
        <v>MAQORITO</v>
      </c>
      <c r="Y483" s="213" t="str">
        <f>IFERROR(__xludf.DUMMYFUNCTION("""COMPUTED_VALUE"""),"MQD12BD")</f>
        <v>MQD12BD</v>
      </c>
      <c r="Z483" s="215" t="str">
        <f>IFERROR(__xludf.DUMMYFUNCTION("""COMPUTED_VALUE"""),"https://www.maqorito.com/deshidratadores-de-alimentos/351-maqorito-deshidratador-de-frutas-verduras-y-alimentos-12-bandejas-acero-inoxidable.html")</f>
        <v>https://www.maqorito.com/deshidratadores-de-alimentos/351-maqorito-deshidratador-de-frutas-verduras-y-alimentos-12-bandejas-acero-inoxidable.html</v>
      </c>
      <c r="AA483" s="213" t="str">
        <f>IFERROR(__xludf.DUMMYFUNCTION("""COMPUTED_VALUE"""),"ESP-147 DESHIDRATADORA - CET")</f>
        <v>ESP-147 DESHIDRATADORA - CET</v>
      </c>
      <c r="AB483" s="213"/>
      <c r="AC483" s="213"/>
      <c r="AD483" s="213"/>
      <c r="AE483" s="213"/>
      <c r="AF483" s="213"/>
      <c r="AG483" s="213"/>
      <c r="AH483" s="213"/>
      <c r="AI483" s="213"/>
      <c r="AJ483" s="213"/>
      <c r="AK483" s="213"/>
      <c r="AL483" s="213"/>
      <c r="AM483" s="213"/>
      <c r="AN483" s="213"/>
      <c r="AO483" s="213"/>
      <c r="AP483" s="213" t="str">
        <f>IFERROR(__xludf.DUMMYFUNCTION("""COMPUTED_VALUE"""),"ANTONELLA")</f>
        <v>ANTONELLA</v>
      </c>
      <c r="AQ483" s="213" t="str">
        <f>IFERROR(__xludf.DUMMYFUNCTION("""COMPUTED_VALUE"""),"Factores como la capacidad y la presencia de un ventilador deben ser confirmados.")</f>
        <v>Factores como la capacidad y la presencia de un ventilador deben ser confirmados.</v>
      </c>
      <c r="AR483" s="213"/>
      <c r="AS483" s="217" t="str">
        <f>IFERROR(__xludf.DUMMYFUNCTION("""COMPUTED_VALUE"""),"FUNDA PROTECTORA IMPERNEABLE")</f>
        <v>FUNDA PROTECTORA IMPERNEABLE</v>
      </c>
      <c r="AT483" s="213"/>
      <c r="AU483" s="213"/>
      <c r="AV483" s="213"/>
      <c r="AW483" s="213"/>
      <c r="AX483" s="213"/>
      <c r="AY483" s="213"/>
      <c r="AZ483" s="213"/>
      <c r="BA483" s="213"/>
      <c r="BB483" s="213"/>
      <c r="BC483" s="213"/>
      <c r="BD483" s="213"/>
    </row>
    <row r="484">
      <c r="A484" s="213">
        <f>IFERROR(__xludf.DUMMYFUNCTION("""COMPUTED_VALUE"""),1170.0)</f>
        <v>1170</v>
      </c>
      <c r="B484" s="213" t="str">
        <f>IFERROR(__xludf.DUMMYFUNCTION("""COMPUTED_VALUE"""),"FRANCISCO IRAZOLA")</f>
        <v>FRANCISCO IRAZOLA</v>
      </c>
      <c r="C484" s="213" t="str">
        <f>IFERROR(__xludf.DUMMYFUNCTION("""COMPUTED_VALUE"""),"TALLER SFT DE INDUSTRIA ALIMENTARIA")</f>
        <v>TALLER SFT DE INDUSTRIA ALIMENTARIA</v>
      </c>
      <c r="D484" s="213" t="str">
        <f>IFERROR(__xludf.DUMMYFUNCTION("""COMPUTED_VALUE"""),"EQUIPOS")</f>
        <v>EQUIPOS</v>
      </c>
      <c r="E484" s="213" t="str">
        <f>IFERROR(__xludf.DUMMYFUNCTION("""COMPUTED_VALUE"""),"ESP-147")</f>
        <v>ESP-147</v>
      </c>
      <c r="F484" s="213" t="str">
        <f>IFERROR(__xludf.DUMMYFUNCTION("""COMPUTED_VALUE"""),"ESP-147")</f>
        <v>ESP-147</v>
      </c>
      <c r="G484" s="213"/>
      <c r="H484" s="213" t="str">
        <f>IFERROR(__xludf.DUMMYFUNCTION("""COMPUTED_VALUE"""),"DESHIDRATADORA")</f>
        <v>DESHIDRATADORA</v>
      </c>
      <c r="I484" s="213" t="str">
        <f>IFERROR(__xludf.DUMMYFUNCTION("""COMPUTED_VALUE"""),"· Material: Acero Inoxidable calidad 304
· Bandejas: mínimo 10 bandejas, de rejillas de acero inoxidable, con espacio de 3.5 cm. aproximado entre cada una.
· Medidas 438 x 521 x 432 mm, aproximado
· Dimensiones bandejas (mm): 396 x 396, aproximado
· Capac"&amp;"idad mínima:  50Litros
· Rango de temperatura: Entre 35° y 70° C aproximadamente, con termostato ajustable
· Potencia mínima: 1000 Watts
. Voltaje: 220 V, 60 Hz.
· Temporizador de 15 horas de autonomía para trabajo en modo apagado automático
· Ventilador "&amp;"de circulación de aire
· Peso aproximado: 15kg
* Incluye funda protectora impermeable para su almacenamiento.")</f>
        <v>· Material: Acero Inoxidable calidad 304
· Bandejas: mínimo 10 bandejas, de rejillas de acero inoxidable, con espacio de 3.5 cm. aproximado entre cada una.
· Medidas 438 x 521 x 432 mm, aproximado
· Dimensiones bandejas (mm): 396 x 396, aproximado
· Capacidad mínima:  50Litros
· Rango de temperatura: Entre 35° y 70° C aproximadamente, con termostato ajustable
· Potencia mínima: 1000 Watts
. Voltaje: 220 V, 60 Hz.
· Temporizador de 15 horas de autonomía para trabajo en modo apagado automático
· Ventilador de circulación de aire
· Peso aproximado: 15kg
* Incluye funda protectora impermeable para su almacenamiento.</v>
      </c>
      <c r="J484" s="213">
        <f>IFERROR(__xludf.DUMMYFUNCTION("""COMPUTED_VALUE"""),3.0)</f>
        <v>3</v>
      </c>
      <c r="K484" s="213" t="str">
        <f>IFERROR(__xludf.DUMMYFUNCTION("""COMPUTED_VALUE"""),"170 DÍAS CALENDARIO")</f>
        <v>170 DÍAS CALENDARIO</v>
      </c>
      <c r="L484" s="213" t="str">
        <f>IFERROR(__xludf.DUMMYFUNCTION("""COMPUTED_VALUE"""),"")</f>
        <v/>
      </c>
      <c r="M484" s="213">
        <f>IFERROR(__xludf.DUMMYFUNCTION("""COMPUTED_VALUE"""),1.0)</f>
        <v>1</v>
      </c>
      <c r="N484" s="213">
        <f>IFERROR(__xludf.DUMMYFUNCTION("""COMPUTED_VALUE"""),1.0)</f>
        <v>1</v>
      </c>
      <c r="O484" s="213">
        <f>IFERROR(__xludf.DUMMYFUNCTION("""COMPUTED_VALUE"""),1.0)</f>
        <v>1</v>
      </c>
      <c r="P484" s="213"/>
      <c r="Q484" s="213"/>
      <c r="R484" s="213"/>
      <c r="S484" s="213" t="str">
        <f>IFERROR(__xludf.DUMMYFUNCTION("""COMPUTED_VALUE"""),"SI")</f>
        <v>SI</v>
      </c>
      <c r="T484" s="213" t="str">
        <f>IFERROR(__xludf.DUMMYFUNCTION("""COMPUTED_VALUE"""),"SI")</f>
        <v>SI</v>
      </c>
      <c r="U484" s="213" t="str">
        <f>IFERROR(__xludf.DUMMYFUNCTION("""COMPUTED_VALUE"""),"NO")</f>
        <v>NO</v>
      </c>
      <c r="V484" s="213" t="str">
        <f>IFERROR(__xludf.DUMMYFUNCTION("""COMPUTED_VALUE"""),"SUSTENTO")</f>
        <v>SUSTENTO</v>
      </c>
      <c r="W484" s="213" t="str">
        <f>IFERROR(__xludf.DUMMYFUNCTION("""COMPUTED_VALUE"""),"ELÉCTRICO, EQU TEC")</f>
        <v>ELÉCTRICO, EQU TEC</v>
      </c>
      <c r="X484" s="213" t="str">
        <f>IFERROR(__xludf.DUMMYFUNCTION("""COMPUTED_VALUE"""),"MAQORITO")</f>
        <v>MAQORITO</v>
      </c>
      <c r="Y484" s="213" t="str">
        <f>IFERROR(__xludf.DUMMYFUNCTION("""COMPUTED_VALUE"""),"MQD12BD")</f>
        <v>MQD12BD</v>
      </c>
      <c r="Z484" s="215" t="str">
        <f>IFERROR(__xludf.DUMMYFUNCTION("""COMPUTED_VALUE"""),"https://www.maqorito.com/deshidratadores-de-alimentos/351-maqorito-deshidratador-de-frutas-verduras-y-alimentos-12-bandejas-acero-inoxidable.html")</f>
        <v>https://www.maqorito.com/deshidratadores-de-alimentos/351-maqorito-deshidratador-de-frutas-verduras-y-alimentos-12-bandejas-acero-inoxidable.html</v>
      </c>
      <c r="AA484" s="213" t="str">
        <f>IFERROR(__xludf.DUMMYFUNCTION("""COMPUTED_VALUE"""),"ESP-147 DESHIDRATADORA - CET")</f>
        <v>ESP-147 DESHIDRATADORA - CET</v>
      </c>
      <c r="AB484" s="213"/>
      <c r="AC484" s="213"/>
      <c r="AD484" s="213"/>
      <c r="AE484" s="213"/>
      <c r="AF484" s="213"/>
      <c r="AG484" s="213"/>
      <c r="AH484" s="213"/>
      <c r="AI484" s="213"/>
      <c r="AJ484" s="213"/>
      <c r="AK484" s="213"/>
      <c r="AL484" s="213"/>
      <c r="AM484" s="213"/>
      <c r="AN484" s="213"/>
      <c r="AO484" s="213"/>
      <c r="AP484" s="213" t="str">
        <f>IFERROR(__xludf.DUMMYFUNCTION("""COMPUTED_VALUE"""),"ANTONELLA")</f>
        <v>ANTONELLA</v>
      </c>
      <c r="AQ484" s="213" t="str">
        <f>IFERROR(__xludf.DUMMYFUNCTION("""COMPUTED_VALUE"""),"Factores como la capacidad y la presencia de un ventilador deben ser confirmados.")</f>
        <v>Factores como la capacidad y la presencia de un ventilador deben ser confirmados.</v>
      </c>
      <c r="AR484" s="213"/>
      <c r="AS484" s="217" t="str">
        <f>IFERROR(__xludf.DUMMYFUNCTION("""COMPUTED_VALUE"""),"FUNDA PROTECTORA IMPERNEABLE")</f>
        <v>FUNDA PROTECTORA IMPERNEABLE</v>
      </c>
      <c r="AT484" s="213"/>
      <c r="AU484" s="213"/>
      <c r="AV484" s="213"/>
      <c r="AW484" s="213"/>
      <c r="AX484" s="213"/>
      <c r="AY484" s="213"/>
      <c r="AZ484" s="213"/>
      <c r="BA484" s="213"/>
      <c r="BB484" s="213"/>
      <c r="BC484" s="213"/>
      <c r="BD484" s="213"/>
    </row>
    <row r="485">
      <c r="A485" s="213">
        <f>IFERROR(__xludf.DUMMYFUNCTION("""COMPUTED_VALUE"""),1445.0)</f>
        <v>1445</v>
      </c>
      <c r="B485" s="213" t="str">
        <f>IFERROR(__xludf.DUMMYFUNCTION("""COMPUTED_VALUE"""),"GUILLERMO E. BILLINGHURST ")</f>
        <v>GUILLERMO E. BILLINGHURST </v>
      </c>
      <c r="C485" s="213" t="str">
        <f>IFERROR(__xludf.DUMMYFUNCTION("""COMPUTED_VALUE"""),"TALLER SFT DE INDUSTRIA ALIMENTARIA")</f>
        <v>TALLER SFT DE INDUSTRIA ALIMENTARIA</v>
      </c>
      <c r="D485" s="213" t="str">
        <f>IFERROR(__xludf.DUMMYFUNCTION("""COMPUTED_VALUE"""),"EQUIPOS")</f>
        <v>EQUIPOS</v>
      </c>
      <c r="E485" s="213" t="str">
        <f>IFERROR(__xludf.DUMMYFUNCTION("""COMPUTED_VALUE"""),"ESP-147")</f>
        <v>ESP-147</v>
      </c>
      <c r="F485" s="213" t="str">
        <f>IFERROR(__xludf.DUMMYFUNCTION("""COMPUTED_VALUE"""),"ESP-147")</f>
        <v>ESP-147</v>
      </c>
      <c r="G485" s="213"/>
      <c r="H485" s="213" t="str">
        <f>IFERROR(__xludf.DUMMYFUNCTION("""COMPUTED_VALUE"""),"DESHIDRATADORA")</f>
        <v>DESHIDRATADORA</v>
      </c>
      <c r="I485" s="213" t="str">
        <f>IFERROR(__xludf.DUMMYFUNCTION("""COMPUTED_VALUE"""),"· Material: Acero Inoxidable calidad 304
· Bandejas: mínimo 10 bandejas, de rejillas de acero inoxidable, con espacio de 3.5 cm. aproximado entre cada una.
· Medidas 438 x 521 x 432 mm, aproximado
· Dimensiones bandejas (mm): 396 x 396, aproximado
· Capac"&amp;"idad mínima:  50Litros
· Rango de temperatura: Entre 35° y 70° C aproximadamente, con termostato ajustable
· Potencia mínima: 1000 Watts
. Voltaje: 220 V, 60 Hz.
· Temporizador de 15 horas de autonomía para trabajo en modo apagado automático
· Ventilador "&amp;"de circulación de aire
· Peso aproximado: 15kg
* Incluye funda protectora impermeable para su almacenamiento.")</f>
        <v>· Material: Acero Inoxidable calidad 304
· Bandejas: mínimo 10 bandejas, de rejillas de acero inoxidable, con espacio de 3.5 cm. aproximado entre cada una.
· Medidas 438 x 521 x 432 mm, aproximado
· Dimensiones bandejas (mm): 396 x 396, aproximado
· Capacidad mínima:  50Litros
· Rango de temperatura: Entre 35° y 70° C aproximadamente, con termostato ajustable
· Potencia mínima: 1000 Watts
. Voltaje: 220 V, 60 Hz.
· Temporizador de 15 horas de autonomía para trabajo en modo apagado automático
· Ventilador de circulación de aire
· Peso aproximado: 15kg
* Incluye funda protectora impermeable para su almacenamiento.</v>
      </c>
      <c r="J485" s="213">
        <f>IFERROR(__xludf.DUMMYFUNCTION("""COMPUTED_VALUE"""),3.0)</f>
        <v>3</v>
      </c>
      <c r="K485" s="213" t="str">
        <f>IFERROR(__xludf.DUMMYFUNCTION("""COMPUTED_VALUE"""),"170 DÍAS CALENDARIO")</f>
        <v>170 DÍAS CALENDARIO</v>
      </c>
      <c r="L485" s="213" t="str">
        <f>IFERROR(__xludf.DUMMYFUNCTION("""COMPUTED_VALUE"""),"")</f>
        <v/>
      </c>
      <c r="M485" s="213">
        <f>IFERROR(__xludf.DUMMYFUNCTION("""COMPUTED_VALUE"""),1.0)</f>
        <v>1</v>
      </c>
      <c r="N485" s="213">
        <f>IFERROR(__xludf.DUMMYFUNCTION("""COMPUTED_VALUE"""),1.0)</f>
        <v>1</v>
      </c>
      <c r="O485" s="213">
        <f>IFERROR(__xludf.DUMMYFUNCTION("""COMPUTED_VALUE"""),1.0)</f>
        <v>1</v>
      </c>
      <c r="P485" s="213"/>
      <c r="Q485" s="213"/>
      <c r="R485" s="213"/>
      <c r="S485" s="213" t="str">
        <f>IFERROR(__xludf.DUMMYFUNCTION("""COMPUTED_VALUE"""),"SI")</f>
        <v>SI</v>
      </c>
      <c r="T485" s="213" t="str">
        <f>IFERROR(__xludf.DUMMYFUNCTION("""COMPUTED_VALUE"""),"SI")</f>
        <v>SI</v>
      </c>
      <c r="U485" s="213" t="str">
        <f>IFERROR(__xludf.DUMMYFUNCTION("""COMPUTED_VALUE"""),"NO")</f>
        <v>NO</v>
      </c>
      <c r="V485" s="213" t="str">
        <f>IFERROR(__xludf.DUMMYFUNCTION("""COMPUTED_VALUE"""),"SUSTENTO")</f>
        <v>SUSTENTO</v>
      </c>
      <c r="W485" s="213" t="str">
        <f>IFERROR(__xludf.DUMMYFUNCTION("""COMPUTED_VALUE"""),"ELÉCTRICO, EQU TEC")</f>
        <v>ELÉCTRICO, EQU TEC</v>
      </c>
      <c r="X485" s="213" t="str">
        <f>IFERROR(__xludf.DUMMYFUNCTION("""COMPUTED_VALUE"""),"MAQORITO")</f>
        <v>MAQORITO</v>
      </c>
      <c r="Y485" s="213" t="str">
        <f>IFERROR(__xludf.DUMMYFUNCTION("""COMPUTED_VALUE"""),"MQD12BD")</f>
        <v>MQD12BD</v>
      </c>
      <c r="Z485" s="215" t="str">
        <f>IFERROR(__xludf.DUMMYFUNCTION("""COMPUTED_VALUE"""),"https://www.maqorito.com/deshidratadores-de-alimentos/351-maqorito-deshidratador-de-frutas-verduras-y-alimentos-12-bandejas-acero-inoxidable.html")</f>
        <v>https://www.maqorito.com/deshidratadores-de-alimentos/351-maqorito-deshidratador-de-frutas-verduras-y-alimentos-12-bandejas-acero-inoxidable.html</v>
      </c>
      <c r="AA485" s="213" t="str">
        <f>IFERROR(__xludf.DUMMYFUNCTION("""COMPUTED_VALUE"""),"ESP-147 DESHIDRATADORA - CET")</f>
        <v>ESP-147 DESHIDRATADORA - CET</v>
      </c>
      <c r="AB485" s="213"/>
      <c r="AC485" s="213"/>
      <c r="AD485" s="213"/>
      <c r="AE485" s="213"/>
      <c r="AF485" s="213"/>
      <c r="AG485" s="213"/>
      <c r="AH485" s="213"/>
      <c r="AI485" s="213"/>
      <c r="AJ485" s="213"/>
      <c r="AK485" s="213"/>
      <c r="AL485" s="213"/>
      <c r="AM485" s="213"/>
      <c r="AN485" s="213"/>
      <c r="AO485" s="213"/>
      <c r="AP485" s="213" t="str">
        <f>IFERROR(__xludf.DUMMYFUNCTION("""COMPUTED_VALUE"""),"ANTONELLA")</f>
        <v>ANTONELLA</v>
      </c>
      <c r="AQ485" s="213" t="str">
        <f>IFERROR(__xludf.DUMMYFUNCTION("""COMPUTED_VALUE"""),"Factores como la capacidad y la presencia de un ventilador deben ser confirmados.")</f>
        <v>Factores como la capacidad y la presencia de un ventilador deben ser confirmados.</v>
      </c>
      <c r="AR485" s="213"/>
      <c r="AS485" s="217" t="str">
        <f>IFERROR(__xludf.DUMMYFUNCTION("""COMPUTED_VALUE"""),"FUNDA PROTECTORA IMPERNEABLE")</f>
        <v>FUNDA PROTECTORA IMPERNEABLE</v>
      </c>
      <c r="AT485" s="213"/>
      <c r="AU485" s="213"/>
      <c r="AV485" s="213"/>
      <c r="AW485" s="213"/>
      <c r="AX485" s="213"/>
      <c r="AY485" s="213"/>
      <c r="AZ485" s="213"/>
      <c r="BA485" s="213"/>
      <c r="BB485" s="213"/>
      <c r="BC485" s="213"/>
      <c r="BD485" s="213"/>
    </row>
    <row r="486">
      <c r="A486" s="213">
        <f>IFERROR(__xludf.DUMMYFUNCTION("""COMPUTED_VALUE"""),2132.0)</f>
        <v>2132</v>
      </c>
      <c r="B486" s="213" t="str">
        <f>IFERROR(__xludf.DUMMYFUNCTION("""COMPUTED_VALUE"""),"JOSE GRANDA")</f>
        <v>JOSE GRANDA</v>
      </c>
      <c r="C486" s="213" t="str">
        <f>IFERROR(__xludf.DUMMYFUNCTION("""COMPUTED_VALUE"""),"TALLER SFT DE INDUSTRIA ALIMENTARIA")</f>
        <v>TALLER SFT DE INDUSTRIA ALIMENTARIA</v>
      </c>
      <c r="D486" s="213" t="str">
        <f>IFERROR(__xludf.DUMMYFUNCTION("""COMPUTED_VALUE"""),"EQUIPOS")</f>
        <v>EQUIPOS</v>
      </c>
      <c r="E486" s="213" t="str">
        <f>IFERROR(__xludf.DUMMYFUNCTION("""COMPUTED_VALUE"""),"ESP-147")</f>
        <v>ESP-147</v>
      </c>
      <c r="F486" s="213" t="str">
        <f>IFERROR(__xludf.DUMMYFUNCTION("""COMPUTED_VALUE"""),"ESP-147")</f>
        <v>ESP-147</v>
      </c>
      <c r="G486" s="213"/>
      <c r="H486" s="213" t="str">
        <f>IFERROR(__xludf.DUMMYFUNCTION("""COMPUTED_VALUE"""),"DESHIDRATADORA")</f>
        <v>DESHIDRATADORA</v>
      </c>
      <c r="I486" s="213" t="str">
        <f>IFERROR(__xludf.DUMMYFUNCTION("""COMPUTED_VALUE"""),"· Material: Acero Inoxidable calidad 304
· Bandejas: mínimo 10 bandejas, de rejillas de acero inoxidable, con espacio de 3.5 cm. aproximado entre cada una.
· Medidas 438 x 521 x 432 mm, aproximado
· Dimensiones bandejas (mm): 396 x 396, aproximado
· Capac"&amp;"idad mínima:  50Litros
· Rango de temperatura: Entre 35° y 70° C aproximadamente, con termostato ajustable
· Potencia mínima: 1000 Watts
. Voltaje: 220 V, 60 Hz.
· Temporizador de 15 horas de autonomía para trabajo en modo apagado automático
· Ventilador "&amp;"de circulación de aire
· Peso aproximado: 15kg
* Incluye funda protectora impermeable para su almacenamiento.")</f>
        <v>· Material: Acero Inoxidable calidad 304
· Bandejas: mínimo 10 bandejas, de rejillas de acero inoxidable, con espacio de 3.5 cm. aproximado entre cada una.
· Medidas 438 x 521 x 432 mm, aproximado
· Dimensiones bandejas (mm): 396 x 396, aproximado
· Capacidad mínima:  50Litros
· Rango de temperatura: Entre 35° y 70° C aproximadamente, con termostato ajustable
· Potencia mínima: 1000 Watts
. Voltaje: 220 V, 60 Hz.
· Temporizador de 15 horas de autonomía para trabajo en modo apagado automático
· Ventilador de circulación de aire
· Peso aproximado: 15kg
* Incluye funda protectora impermeable para su almacenamiento.</v>
      </c>
      <c r="J486" s="213">
        <f>IFERROR(__xludf.DUMMYFUNCTION("""COMPUTED_VALUE"""),3.0)</f>
        <v>3</v>
      </c>
      <c r="K486" s="213" t="str">
        <f>IFERROR(__xludf.DUMMYFUNCTION("""COMPUTED_VALUE"""),"170 DÍAS CALENDARIO")</f>
        <v>170 DÍAS CALENDARIO</v>
      </c>
      <c r="L486" s="213" t="str">
        <f>IFERROR(__xludf.DUMMYFUNCTION("""COMPUTED_VALUE"""),"")</f>
        <v/>
      </c>
      <c r="M486" s="213">
        <f>IFERROR(__xludf.DUMMYFUNCTION("""COMPUTED_VALUE"""),1.0)</f>
        <v>1</v>
      </c>
      <c r="N486" s="213">
        <f>IFERROR(__xludf.DUMMYFUNCTION("""COMPUTED_VALUE"""),1.0)</f>
        <v>1</v>
      </c>
      <c r="O486" s="213">
        <f>IFERROR(__xludf.DUMMYFUNCTION("""COMPUTED_VALUE"""),1.0)</f>
        <v>1</v>
      </c>
      <c r="P486" s="213"/>
      <c r="Q486" s="213"/>
      <c r="R486" s="213"/>
      <c r="S486" s="213" t="str">
        <f>IFERROR(__xludf.DUMMYFUNCTION("""COMPUTED_VALUE"""),"SI")</f>
        <v>SI</v>
      </c>
      <c r="T486" s="213" t="str">
        <f>IFERROR(__xludf.DUMMYFUNCTION("""COMPUTED_VALUE"""),"SI")</f>
        <v>SI</v>
      </c>
      <c r="U486" s="213" t="str">
        <f>IFERROR(__xludf.DUMMYFUNCTION("""COMPUTED_VALUE"""),"NO")</f>
        <v>NO</v>
      </c>
      <c r="V486" s="213" t="str">
        <f>IFERROR(__xludf.DUMMYFUNCTION("""COMPUTED_VALUE"""),"SUSTENTO")</f>
        <v>SUSTENTO</v>
      </c>
      <c r="W486" s="213" t="str">
        <f>IFERROR(__xludf.DUMMYFUNCTION("""COMPUTED_VALUE"""),"ELÉCTRICO, EQU TEC")</f>
        <v>ELÉCTRICO, EQU TEC</v>
      </c>
      <c r="X486" s="213" t="str">
        <f>IFERROR(__xludf.DUMMYFUNCTION("""COMPUTED_VALUE"""),"MAQORITO")</f>
        <v>MAQORITO</v>
      </c>
      <c r="Y486" s="213" t="str">
        <f>IFERROR(__xludf.DUMMYFUNCTION("""COMPUTED_VALUE"""),"MQD12BD")</f>
        <v>MQD12BD</v>
      </c>
      <c r="Z486" s="215" t="str">
        <f>IFERROR(__xludf.DUMMYFUNCTION("""COMPUTED_VALUE"""),"https://www.maqorito.com/deshidratadores-de-alimentos/351-maqorito-deshidratador-de-frutas-verduras-y-alimentos-12-bandejas-acero-inoxidable.html")</f>
        <v>https://www.maqorito.com/deshidratadores-de-alimentos/351-maqorito-deshidratador-de-frutas-verduras-y-alimentos-12-bandejas-acero-inoxidable.html</v>
      </c>
      <c r="AA486" s="213" t="str">
        <f>IFERROR(__xludf.DUMMYFUNCTION("""COMPUTED_VALUE"""),"ESP-147 DESHIDRATADORA - CET")</f>
        <v>ESP-147 DESHIDRATADORA - CET</v>
      </c>
      <c r="AB486" s="213"/>
      <c r="AC486" s="213"/>
      <c r="AD486" s="213"/>
      <c r="AE486" s="213"/>
      <c r="AF486" s="213"/>
      <c r="AG486" s="213"/>
      <c r="AH486" s="213"/>
      <c r="AI486" s="213"/>
      <c r="AJ486" s="213"/>
      <c r="AK486" s="213"/>
      <c r="AL486" s="213"/>
      <c r="AM486" s="213"/>
      <c r="AN486" s="213"/>
      <c r="AO486" s="213"/>
      <c r="AP486" s="213" t="str">
        <f>IFERROR(__xludf.DUMMYFUNCTION("""COMPUTED_VALUE"""),"ANTONELLA")</f>
        <v>ANTONELLA</v>
      </c>
      <c r="AQ486" s="213" t="str">
        <f>IFERROR(__xludf.DUMMYFUNCTION("""COMPUTED_VALUE"""),"Factores como la capacidad y la presencia de un ventilador deben ser confirmados.")</f>
        <v>Factores como la capacidad y la presencia de un ventilador deben ser confirmados.</v>
      </c>
      <c r="AR486" s="213"/>
      <c r="AS486" s="217" t="str">
        <f>IFERROR(__xludf.DUMMYFUNCTION("""COMPUTED_VALUE"""),"FUNDA PROTECTORA IMPERNEABLE")</f>
        <v>FUNDA PROTECTORA IMPERNEABLE</v>
      </c>
      <c r="AT486" s="213"/>
      <c r="AU486" s="213"/>
      <c r="AV486" s="213"/>
      <c r="AW486" s="213"/>
      <c r="AX486" s="213"/>
      <c r="AY486" s="213"/>
      <c r="AZ486" s="213"/>
      <c r="BA486" s="213"/>
      <c r="BB486" s="213"/>
      <c r="BC486" s="213"/>
      <c r="BD486" s="213"/>
    </row>
    <row r="487">
      <c r="A487" s="213">
        <f>IFERROR(__xludf.DUMMYFUNCTION("""COMPUTED_VALUE"""),2591.0)</f>
        <v>2591</v>
      </c>
      <c r="B487" s="213" t="str">
        <f>IFERROR(__xludf.DUMMYFUNCTION("""COMPUTED_VALUE"""),"MANUEL ANTONIO MESONES MURO")</f>
        <v>MANUEL ANTONIO MESONES MURO</v>
      </c>
      <c r="C487" s="213" t="str">
        <f>IFERROR(__xludf.DUMMYFUNCTION("""COMPUTED_VALUE"""),"TALLER SFT DE EBANISTERÍA")</f>
        <v>TALLER SFT DE EBANISTERÍA</v>
      </c>
      <c r="D487" s="213" t="str">
        <f>IFERROR(__xludf.DUMMYFUNCTION("""COMPUTED_VALUE"""),"MOBILIARIO")</f>
        <v>MOBILIARIO</v>
      </c>
      <c r="E487" s="213" t="str">
        <f>IFERROR(__xludf.DUMMYFUNCTION("""COMPUTED_VALUE"""),"COM-229")</f>
        <v>COM-229</v>
      </c>
      <c r="F487" s="213" t="str">
        <f>IFERROR(__xludf.DUMMYFUNCTION("""COMPUTED_VALUE"""),"COM-229")</f>
        <v>COM-229</v>
      </c>
      <c r="G487" s="213"/>
      <c r="H487" s="213" t="str">
        <f>IFERROR(__xludf.DUMMYFUNCTION("""COMPUTED_VALUE"""),"MESA GUIA PARA SIERRA CALADORA")</f>
        <v>MESA GUIA PARA SIERRA CALADORA</v>
      </c>
      <c r="I487" s="213" t="str">
        <f>IFERROR(__xludf.DUMMYFUNCTION("""COMPUTED_VALUE"""),"· Tablero de acero galvanizado de 300 mm x 300 mm.  Aprox.
· longitud maximo de hoja de 100mm.
· Guia de corte longitudinal incluido
· Fijación sólida con dos garras de acero con un max. espesor de placa de 60 mm, para poder mantener la estabilidad en cad"&amp;"a banco de trabajo.")</f>
        <v>· Tablero de acero galvanizado de 300 mm x 300 mm.  Aprox.
· longitud maximo de hoja de 100mm.
· Guia de corte longitudinal incluido
· Fijación sólida con dos garras de acero con un max. espesor de placa de 60 mm, para poder mantener la estabilidad en cada banco de trabajo.</v>
      </c>
      <c r="J487" s="213">
        <f>IFERROR(__xludf.DUMMYFUNCTION("""COMPUTED_VALUE"""),3.0)</f>
        <v>3</v>
      </c>
      <c r="K487" s="213" t="str">
        <f>IFERROR(__xludf.DUMMYFUNCTION("""COMPUTED_VALUE"""),"90 DÍAS CALENDARIO")</f>
        <v>90 DÍAS CALENDARIO</v>
      </c>
      <c r="L487" s="213" t="str">
        <f>IFERROR(__xludf.DUMMYFUNCTION("""COMPUTED_VALUE"""),"")</f>
        <v/>
      </c>
      <c r="M487" s="213">
        <f>IFERROR(__xludf.DUMMYFUNCTION("""COMPUTED_VALUE"""),1.0)</f>
        <v>1</v>
      </c>
      <c r="N487" s="213">
        <f>IFERROR(__xludf.DUMMYFUNCTION("""COMPUTED_VALUE"""),1.0)</f>
        <v>1</v>
      </c>
      <c r="O487" s="213">
        <f>IFERROR(__xludf.DUMMYFUNCTION("""COMPUTED_VALUE"""),1.0)</f>
        <v>1</v>
      </c>
      <c r="P487" s="213"/>
      <c r="Q487" s="213"/>
      <c r="R487" s="213" t="str">
        <f>IFERROR(__xludf.DUMMYFUNCTION("""COMPUTED_VALUE"""),"SI")</f>
        <v>SI</v>
      </c>
      <c r="S487" s="213"/>
      <c r="T487" s="213" t="str">
        <f>IFERROR(__xludf.DUMMYFUNCTION("""COMPUTED_VALUE"""),"CONSULTA FINAL")</f>
        <v>CONSULTA FINAL</v>
      </c>
      <c r="U487" s="213" t="str">
        <f>IFERROR(__xludf.DUMMYFUNCTION("""COMPUTED_VALUE"""),"NO")</f>
        <v>NO</v>
      </c>
      <c r="V487" s="213" t="str">
        <f>IFERROR(__xludf.DUMMYFUNCTION("""COMPUTED_VALUE"""),"SUPERA")</f>
        <v>SUPERA</v>
      </c>
      <c r="W487" s="213" t="str">
        <f>IFERROR(__xludf.DUMMYFUNCTION("""COMPUTED_VALUE"""),"DIMENSIONAL")</f>
        <v>DIMENSIONAL</v>
      </c>
      <c r="X487" s="213" t="str">
        <f>IFERROR(__xludf.DUMMYFUNCTION("""COMPUTED_VALUE"""),"Wolfcraft")</f>
        <v>Wolfcraft</v>
      </c>
      <c r="Y487" s="213">
        <f>IFERROR(__xludf.DUMMYFUNCTION("""COMPUTED_VALUE"""),6197000.0)</f>
        <v>6197000</v>
      </c>
      <c r="Z487" s="215" t="str">
        <f>IFERROR(__xludf.DUMMYFUNCTION("""COMPUTED_VALUE"""),"https://www.electronicamaher.com/mesa-para-sierra-de-calar-6197000-wolfcraft")</f>
        <v>https://www.electronicamaher.com/mesa-para-sierra-de-calar-6197000-wolfcraft</v>
      </c>
      <c r="AA487" s="213" t="str">
        <f>IFERROR(__xludf.DUMMYFUNCTION("""COMPUTED_VALUE"""),"COM-229 MESA GUIA PARA SIERRA CALADORA - CET")</f>
        <v>COM-229 MESA GUIA PARA SIERRA CALADORA - CET</v>
      </c>
      <c r="AB487" s="213"/>
      <c r="AC487" s="213"/>
      <c r="AD487" s="213"/>
      <c r="AE487" s="213"/>
      <c r="AF487" s="213"/>
      <c r="AG487" s="213"/>
      <c r="AH487" s="213"/>
      <c r="AI487" s="213"/>
      <c r="AJ487" s="213"/>
      <c r="AK487" s="213"/>
      <c r="AL487" s="213"/>
      <c r="AM487" s="213"/>
      <c r="AN487" s="213"/>
      <c r="AO487" s="213"/>
      <c r="AP487" s="213" t="str">
        <f>IFERROR(__xludf.DUMMYFUNCTION("""COMPUTED_VALUE"""),"SEBASTIAN")</f>
        <v>SEBASTIAN</v>
      </c>
      <c r="AQ487" s="213"/>
      <c r="AR487" s="213"/>
      <c r="AS487" s="213"/>
      <c r="AT487" s="213"/>
      <c r="AU487" s="213"/>
      <c r="AV487" s="213"/>
      <c r="AW487" s="213"/>
      <c r="AX487" s="213"/>
      <c r="AY487" s="213"/>
      <c r="AZ487" s="213"/>
      <c r="BA487" s="213"/>
      <c r="BB487" s="213"/>
      <c r="BC487" s="213"/>
      <c r="BD487" s="213"/>
    </row>
    <row r="488">
      <c r="A488" s="213">
        <f>IFERROR(__xludf.DUMMYFUNCTION("""COMPUTED_VALUE"""),165.0)</f>
        <v>165</v>
      </c>
      <c r="B488" s="213" t="str">
        <f>IFERROR(__xludf.DUMMYFUNCTION("""COMPUTED_VALUE"""),"2026 SIMON BOLIVAR")</f>
        <v>2026 SIMON BOLIVAR</v>
      </c>
      <c r="C488" s="213" t="str">
        <f>IFERROR(__xludf.DUMMYFUNCTION("""COMPUTED_VALUE"""),"TALLER SFT DE INDUSTRIA DEL VESTIDO")</f>
        <v>TALLER SFT DE INDUSTRIA DEL VESTIDO</v>
      </c>
      <c r="D488" s="213" t="str">
        <f>IFERROR(__xludf.DUMMYFUNCTION("""COMPUTED_VALUE"""),"MOBILIARIO")</f>
        <v>MOBILIARIO</v>
      </c>
      <c r="E488" s="213" t="str">
        <f>IFERROR(__xludf.DUMMYFUNCTION("""COMPUTED_VALUE"""),"COM-230")</f>
        <v>COM-230</v>
      </c>
      <c r="F488" s="213" t="str">
        <f>IFERROR(__xludf.DUMMYFUNCTION("""COMPUTED_VALUE"""),"COM-230")</f>
        <v>COM-230</v>
      </c>
      <c r="G488" s="213"/>
      <c r="H488" s="213" t="str">
        <f>IFERROR(__xludf.DUMMYFUNCTION("""COMPUTED_VALUE"""),"MESA PARA PLANCHAR")</f>
        <v>MESA PARA PLANCHAR</v>
      </c>
      <c r="I488" s="213" t="str">
        <f>IFERROR(__xludf.DUMMYFUNCTION("""COMPUTED_VALUE"""),"·       Material:  madera aglomerada bilaminado, mínimo 18 mm de espesor, canteado en PVC de 3 mm.
·       Porta plancha: de acero inoxidable
·       2 puertas con jaladores.
·       Dimensiones: 100 cm de ancho , profundidad 33 cm ,88 cm de alto  aprox.")</f>
        <v>·       Material:  madera aglomerada bilaminado, mínimo 18 mm de espesor, canteado en PVC de 3 mm.
·       Porta plancha: de acero inoxidable
·       2 puertas con jaladores.
·       Dimensiones: 100 cm de ancho , profundidad 33 cm ,88 cm de alto  aprox.</v>
      </c>
      <c r="J488" s="213">
        <f>IFERROR(__xludf.DUMMYFUNCTION("""COMPUTED_VALUE"""),3.0)</f>
        <v>3</v>
      </c>
      <c r="K488" s="213" t="str">
        <f>IFERROR(__xludf.DUMMYFUNCTION("""COMPUTED_VALUE"""),"90 DÍAS CALENDARIO")</f>
        <v>90 DÍAS CALENDARIO</v>
      </c>
      <c r="L488" s="213" t="str">
        <f>IFERROR(__xludf.DUMMYFUNCTION("""COMPUTED_VALUE"""),"")</f>
        <v/>
      </c>
      <c r="M488" s="213">
        <f>IFERROR(__xludf.DUMMYFUNCTION("""COMPUTED_VALUE"""),1.0)</f>
        <v>1</v>
      </c>
      <c r="N488" s="213">
        <f>IFERROR(__xludf.DUMMYFUNCTION("""COMPUTED_VALUE"""),2.0)</f>
        <v>2</v>
      </c>
      <c r="O488" s="213">
        <f>IFERROR(__xludf.DUMMYFUNCTION("""COMPUTED_VALUE"""),2.0)</f>
        <v>2</v>
      </c>
      <c r="P488" s="213"/>
      <c r="Q488" s="213"/>
      <c r="R488" s="213" t="str">
        <f>IFERROR(__xludf.DUMMYFUNCTION("""COMPUTED_VALUE"""),"SI")</f>
        <v>SI</v>
      </c>
      <c r="S488" s="213"/>
      <c r="T488" s="213" t="str">
        <f>IFERROR(__xludf.DUMMYFUNCTION("""COMPUTED_VALUE"""),"CONSULTA FINAL")</f>
        <v>CONSULTA FINAL</v>
      </c>
      <c r="U488" s="213"/>
      <c r="V488" s="213"/>
      <c r="W488" s="213"/>
      <c r="X488" s="213" t="str">
        <f>IFERROR(__xludf.DUMMYFUNCTION("""COMPUTED_VALUE"""),"Sodimac / Tri-Tiger")</f>
        <v>Sodimac / Tri-Tiger</v>
      </c>
      <c r="Y488" s="213" t="str">
        <f>IFERROR(__xludf.DUMMYFUNCTION("""COMPUTED_VALUE"""),"626244 / TT-IB007")</f>
        <v>626244 / TT-IB007</v>
      </c>
      <c r="Z488" s="215" t="str">
        <f>IFERROR(__xludf.DUMMYFUNCTION("""COMPUTED_VALUE"""),"https://www.homecenter.com.co/homecenter-co/product/626244/mesa-de-planchar-florence-blanca/626244/")</f>
        <v>https://www.homecenter.com.co/homecenter-co/product/626244/mesa-de-planchar-florence-blanca/626244/</v>
      </c>
      <c r="AA488" s="213" t="str">
        <f>IFERROR(__xludf.DUMMYFUNCTION("""COMPUTED_VALUE"""),"COM-230 MESA PARA PLANCHAR - CET")</f>
        <v>COM-230 MESA PARA PLANCHAR - CET</v>
      </c>
      <c r="AB488" s="213"/>
      <c r="AC488" s="213"/>
      <c r="AD488" s="213"/>
      <c r="AE488" s="213"/>
      <c r="AF488" s="213"/>
      <c r="AG488" s="213"/>
      <c r="AH488" s="213"/>
      <c r="AI488" s="213"/>
      <c r="AJ488" s="213"/>
      <c r="AK488" s="213"/>
      <c r="AL488" s="213"/>
      <c r="AM488" s="213"/>
      <c r="AN488" s="213"/>
      <c r="AO488" s="213"/>
      <c r="AP488" s="213" t="str">
        <f>IFERROR(__xludf.DUMMYFUNCTION("""COMPUTED_VALUE"""),"SEBASTIAN")</f>
        <v>SEBASTIAN</v>
      </c>
      <c r="AQ488" s="213"/>
      <c r="AR488" s="213"/>
      <c r="AS488" s="213"/>
      <c r="AT488" s="213"/>
      <c r="AU488" s="213"/>
      <c r="AV488" s="213"/>
      <c r="AW488" s="213"/>
      <c r="AX488" s="213"/>
      <c r="AY488" s="213"/>
      <c r="AZ488" s="213"/>
      <c r="BA488" s="213"/>
      <c r="BB488" s="213"/>
      <c r="BC488" s="213"/>
      <c r="BD488" s="213"/>
    </row>
    <row r="489">
      <c r="A489" s="213">
        <f>IFERROR(__xludf.DUMMYFUNCTION("""COMPUTED_VALUE"""),2379.0)</f>
        <v>2379</v>
      </c>
      <c r="B489" s="213" t="str">
        <f>IFERROR(__xludf.DUMMYFUNCTION("""COMPUTED_VALUE"""),"MANUEL ANTONIO MESONES MURO")</f>
        <v>MANUEL ANTONIO MESONES MURO</v>
      </c>
      <c r="C489" s="213" t="str">
        <f>IFERROR(__xludf.DUMMYFUNCTION("""COMPUTED_VALUE"""),"TALLER SFT DE INDUSTRIA DEL VESTIDO")</f>
        <v>TALLER SFT DE INDUSTRIA DEL VESTIDO</v>
      </c>
      <c r="D489" s="213" t="str">
        <f>IFERROR(__xludf.DUMMYFUNCTION("""COMPUTED_VALUE"""),"MOBILIARIO")</f>
        <v>MOBILIARIO</v>
      </c>
      <c r="E489" s="213" t="str">
        <f>IFERROR(__xludf.DUMMYFUNCTION("""COMPUTED_VALUE"""),"COM-230")</f>
        <v>COM-230</v>
      </c>
      <c r="F489" s="213" t="str">
        <f>IFERROR(__xludf.DUMMYFUNCTION("""COMPUTED_VALUE"""),"COM-230")</f>
        <v>COM-230</v>
      </c>
      <c r="G489" s="213"/>
      <c r="H489" s="213" t="str">
        <f>IFERROR(__xludf.DUMMYFUNCTION("""COMPUTED_VALUE"""),"MESA PARA PLANCHAR")</f>
        <v>MESA PARA PLANCHAR</v>
      </c>
      <c r="I489" s="213" t="str">
        <f>IFERROR(__xludf.DUMMYFUNCTION("""COMPUTED_VALUE"""),"·       Material:  madera aglomerada bilaminado, mínimo 18 mm de espesor, canteado en PVC de 3 mm.
·       Porta plancha: de acero inoxidable
·       2 puertas con jaladores.
·       Dimensiones: 100 cm de ancho , profundidad 33 cm ,88 cm de alto  aprox.")</f>
        <v>·       Material:  madera aglomerada bilaminado, mínimo 18 mm de espesor, canteado en PVC de 3 mm.
·       Porta plancha: de acero inoxidable
·       2 puertas con jaladores.
·       Dimensiones: 100 cm de ancho , profundidad 33 cm ,88 cm de alto  aprox.</v>
      </c>
      <c r="J489" s="213">
        <f>IFERROR(__xludf.DUMMYFUNCTION("""COMPUTED_VALUE"""),3.0)</f>
        <v>3</v>
      </c>
      <c r="K489" s="213" t="str">
        <f>IFERROR(__xludf.DUMMYFUNCTION("""COMPUTED_VALUE"""),"90 DÍAS CALENDARIO")</f>
        <v>90 DÍAS CALENDARIO</v>
      </c>
      <c r="L489" s="213" t="str">
        <f>IFERROR(__xludf.DUMMYFUNCTION("""COMPUTED_VALUE"""),"")</f>
        <v/>
      </c>
      <c r="M489" s="213">
        <f>IFERROR(__xludf.DUMMYFUNCTION("""COMPUTED_VALUE"""),1.0)</f>
        <v>1</v>
      </c>
      <c r="N489" s="213">
        <f>IFERROR(__xludf.DUMMYFUNCTION("""COMPUTED_VALUE"""),2.0)</f>
        <v>2</v>
      </c>
      <c r="O489" s="213">
        <f>IFERROR(__xludf.DUMMYFUNCTION("""COMPUTED_VALUE"""),2.0)</f>
        <v>2</v>
      </c>
      <c r="P489" s="213"/>
      <c r="Q489" s="213"/>
      <c r="R489" s="213" t="str">
        <f>IFERROR(__xludf.DUMMYFUNCTION("""COMPUTED_VALUE"""),"SI")</f>
        <v>SI</v>
      </c>
      <c r="S489" s="213"/>
      <c r="T489" s="213" t="str">
        <f>IFERROR(__xludf.DUMMYFUNCTION("""COMPUTED_VALUE"""),"CONSULTA FINAL")</f>
        <v>CONSULTA FINAL</v>
      </c>
      <c r="U489" s="213"/>
      <c r="V489" s="213"/>
      <c r="W489" s="213"/>
      <c r="X489" s="213" t="str">
        <f>IFERROR(__xludf.DUMMYFUNCTION("""COMPUTED_VALUE"""),"Sodimac / Tri-Tiger")</f>
        <v>Sodimac / Tri-Tiger</v>
      </c>
      <c r="Y489" s="213" t="str">
        <f>IFERROR(__xludf.DUMMYFUNCTION("""COMPUTED_VALUE"""),"626245 / TT-IB007")</f>
        <v>626245 / TT-IB007</v>
      </c>
      <c r="Z489" s="215" t="str">
        <f>IFERROR(__xludf.DUMMYFUNCTION("""COMPUTED_VALUE"""),"https://www.homecenter.com.co/homecenter-co/product/626244/mesa-de-planchar-florence-blanca/626244/")</f>
        <v>https://www.homecenter.com.co/homecenter-co/product/626244/mesa-de-planchar-florence-blanca/626244/</v>
      </c>
      <c r="AA489" s="213" t="str">
        <f>IFERROR(__xludf.DUMMYFUNCTION("""COMPUTED_VALUE"""),"COM-230 MESA PARA PLANCHAR - CET")</f>
        <v>COM-230 MESA PARA PLANCHAR - CET</v>
      </c>
      <c r="AB489" s="213"/>
      <c r="AC489" s="213"/>
      <c r="AD489" s="213"/>
      <c r="AE489" s="213"/>
      <c r="AF489" s="213"/>
      <c r="AG489" s="213"/>
      <c r="AH489" s="213"/>
      <c r="AI489" s="213"/>
      <c r="AJ489" s="213"/>
      <c r="AK489" s="213"/>
      <c r="AL489" s="213"/>
      <c r="AM489" s="213"/>
      <c r="AN489" s="213"/>
      <c r="AO489" s="213"/>
      <c r="AP489" s="213" t="str">
        <f>IFERROR(__xludf.DUMMYFUNCTION("""COMPUTED_VALUE"""),"SEBASTIAN")</f>
        <v>SEBASTIAN</v>
      </c>
      <c r="AQ489" s="213"/>
      <c r="AR489" s="213"/>
      <c r="AS489" s="213"/>
      <c r="AT489" s="213"/>
      <c r="AU489" s="213"/>
      <c r="AV489" s="213"/>
      <c r="AW489" s="213"/>
      <c r="AX489" s="213"/>
      <c r="AY489" s="213"/>
      <c r="AZ489" s="213"/>
      <c r="BA489" s="213"/>
      <c r="BB489" s="213"/>
      <c r="BC489" s="213"/>
      <c r="BD489" s="213"/>
    </row>
    <row r="490">
      <c r="A490" s="213">
        <f>IFERROR(__xludf.DUMMYFUNCTION("""COMPUTED_VALUE"""),943.0)</f>
        <v>943</v>
      </c>
      <c r="B490" s="213" t="str">
        <f>IFERROR(__xludf.DUMMYFUNCTION("""COMPUTED_VALUE"""),"FRANCISCO IRAZOLA")</f>
        <v>FRANCISCO IRAZOLA</v>
      </c>
      <c r="C490" s="213" t="str">
        <f>IFERROR(__xludf.DUMMYFUNCTION("""COMPUTED_VALUE"""),"TALLER SFT DE MECÁNICA AUTOMOTRIZ")</f>
        <v>TALLER SFT DE MECÁNICA AUTOMOTRIZ</v>
      </c>
      <c r="D490" s="213" t="str">
        <f>IFERROR(__xludf.DUMMYFUNCTION("""COMPUTED_VALUE"""),"HERRAMIENTAS")</f>
        <v>HERRAMIENTAS</v>
      </c>
      <c r="E490" s="213" t="str">
        <f>IFERROR(__xludf.DUMMYFUNCTION("""COMPUTED_VALUE"""),"COM-231")</f>
        <v>COM-231</v>
      </c>
      <c r="F490" s="213" t="str">
        <f>IFERROR(__xludf.DUMMYFUNCTION("""COMPUTED_VALUE"""),"COM-231-Y")</f>
        <v>COM-231-Y</v>
      </c>
      <c r="G490" s="213"/>
      <c r="H490" s="213" t="str">
        <f>IFERROR(__xludf.DUMMYFUNCTION("""COMPUTED_VALUE"""),"MICRÓMETRO DIGITAL")</f>
        <v>MICRÓMETRO DIGITAL</v>
      </c>
      <c r="I490" s="213" t="str">
        <f>IFERROR(__xludf.DUMMYFUNCTION("""COMPUTED_VALUE"""),"Rango de medición: 0 - 150 mm. Resolución: 0.001 mm.
Exactitud: entre | + 0.005 - + 0.009 | mm. Superficie de medición de punta de carburo.
Yunque de contacto intercambiable, para diferentes rangos de medición.
Función de encendido y apagado (apagado auto"&amp;"mático), puesta en cero, conversión del sistema de medición de mm/pulgada.
Protección mínima IP54. Con pila.
Calibrado de fábrica.")</f>
        <v>Rango de medición: 0 - 150 mm. Resolución: 0.001 mm.
Exactitud: entre | + 0.005 - + 0.009 | mm. Superficie de medición de punta de carburo.
Yunque de contacto intercambiable, para diferentes rangos de medición.
Función de encendido y apagado (apagado automático), puesta en cero, conversión del sistema de medición de mm/pulgada.
Protección mínima IP54. Con pila.
Calibrado de fábrica.</v>
      </c>
      <c r="J490" s="213">
        <f>IFERROR(__xludf.DUMMYFUNCTION("""COMPUTED_VALUE"""),3.0)</f>
        <v>3</v>
      </c>
      <c r="K490" s="213" t="str">
        <f>IFERROR(__xludf.DUMMYFUNCTION("""COMPUTED_VALUE"""),"90 DÍAS CALENDARIO")</f>
        <v>90 DÍAS CALENDARIO</v>
      </c>
      <c r="L490" s="213" t="str">
        <f>IFERROR(__xludf.DUMMYFUNCTION("""COMPUTED_VALUE"""),"")</f>
        <v/>
      </c>
      <c r="M490" s="213">
        <f>IFERROR(__xludf.DUMMYFUNCTION("""COMPUTED_VALUE"""),1.0)</f>
        <v>1</v>
      </c>
      <c r="N490" s="213">
        <f>IFERROR(__xludf.DUMMYFUNCTION("""COMPUTED_VALUE"""),4.0)</f>
        <v>4</v>
      </c>
      <c r="O490" s="213">
        <f>IFERROR(__xludf.DUMMYFUNCTION("""COMPUTED_VALUE"""),4.0)</f>
        <v>4</v>
      </c>
      <c r="P490" s="213"/>
      <c r="Q490" s="213"/>
      <c r="R490" s="213" t="str">
        <f>IFERROR(__xludf.DUMMYFUNCTION("""COMPUTED_VALUE"""),"SI")</f>
        <v>SI</v>
      </c>
      <c r="S490" s="213"/>
      <c r="T490" s="213" t="str">
        <f>IFERROR(__xludf.DUMMYFUNCTION("""COMPUTED_VALUE"""),"SI")</f>
        <v>SI</v>
      </c>
      <c r="U490" s="213" t="str">
        <f>IFERROR(__xludf.DUMMYFUNCTION("""COMPUTED_VALUE"""),"SI")</f>
        <v>SI</v>
      </c>
      <c r="V490" s="213" t="str">
        <f>IFERROR(__xludf.DUMMYFUNCTION("""COMPUTED_VALUE"""),"-")</f>
        <v>-</v>
      </c>
      <c r="W490" s="213" t="str">
        <f>IFERROR(__xludf.DUMMYFUNCTION("""COMPUTED_VALUE"""),"-")</f>
        <v>-</v>
      </c>
      <c r="X490" s="213" t="str">
        <f>IFERROR(__xludf.DUMMYFUNCTION("""COMPUTED_VALUE"""),"RS PRO")</f>
        <v>RS PRO</v>
      </c>
      <c r="Y490" s="213" t="str">
        <f>IFERROR(__xludf.DUMMYFUNCTION("""COMPUTED_VALUE"""),"877-1791")</f>
        <v>877-1791</v>
      </c>
      <c r="Z490" s="215" t="str">
        <f>IFERROR(__xludf.DUMMYFUNCTION("""COMPUTED_VALUE"""),"https://es.rs-online.com/web/p/micrometros/8771791")</f>
        <v>https://es.rs-online.com/web/p/micrometros/8771791</v>
      </c>
      <c r="AA490" s="213" t="str">
        <f>IFERROR(__xludf.DUMMYFUNCTION("""COMPUTED_VALUE"""),"COM-231-Y MICROMETRO DIGITAL - CET")</f>
        <v>COM-231-Y MICROMETRO DIGITAL - CET</v>
      </c>
      <c r="AB490" s="213"/>
      <c r="AC490" s="213"/>
      <c r="AD490" s="213"/>
      <c r="AE490" s="213"/>
      <c r="AF490" s="213"/>
      <c r="AG490" s="213"/>
      <c r="AH490" s="213"/>
      <c r="AI490" s="213"/>
      <c r="AJ490" s="213"/>
      <c r="AK490" s="213"/>
      <c r="AL490" s="213"/>
      <c r="AM490" s="213"/>
      <c r="AN490" s="213"/>
      <c r="AO490" s="213"/>
      <c r="AP490" s="213" t="str">
        <f>IFERROR(__xludf.DUMMYFUNCTION("""COMPUTED_VALUE"""),"LUIS")</f>
        <v>LUIS</v>
      </c>
      <c r="AQ490" s="213"/>
      <c r="AR490" s="213"/>
      <c r="AS490" s="213"/>
      <c r="AT490" s="213"/>
      <c r="AU490" s="213"/>
      <c r="AV490" s="213"/>
      <c r="AW490" s="213"/>
      <c r="AX490" s="213"/>
      <c r="AY490" s="213"/>
      <c r="AZ490" s="213"/>
      <c r="BA490" s="213"/>
      <c r="BB490" s="213"/>
      <c r="BC490" s="213"/>
      <c r="BD490" s="213"/>
    </row>
    <row r="491">
      <c r="A491" s="213">
        <f>IFERROR(__xludf.DUMMYFUNCTION("""COMPUTED_VALUE"""),405.0)</f>
        <v>405</v>
      </c>
      <c r="B491" s="213" t="str">
        <f>IFERROR(__xludf.DUMMYFUNCTION("""COMPUTED_VALUE"""),"2026 SIMON BOLIVAR")</f>
        <v>2026 SIMON BOLIVAR</v>
      </c>
      <c r="C491" s="213" t="str">
        <f>IFERROR(__xludf.DUMMYFUNCTION("""COMPUTED_VALUE"""),"TALLER SFT DE ELECTRICIDAD")</f>
        <v>TALLER SFT DE ELECTRICIDAD</v>
      </c>
      <c r="D491" s="213" t="str">
        <f>IFERROR(__xludf.DUMMYFUNCTION("""COMPUTED_VALUE"""),"EQUIPOS")</f>
        <v>EQUIPOS</v>
      </c>
      <c r="E491" s="213" t="str">
        <f>IFERROR(__xludf.DUMMYFUNCTION("""COMPUTED_VALUE"""),"ESP-148")</f>
        <v>ESP-148</v>
      </c>
      <c r="F491" s="213" t="str">
        <f>IFERROR(__xludf.DUMMYFUNCTION("""COMPUTED_VALUE"""),"ESP-148-X")</f>
        <v>ESP-148-X</v>
      </c>
      <c r="G491" s="213"/>
      <c r="H491" s="213" t="str">
        <f>IFERROR(__xludf.DUMMYFUNCTION("""COMPUTED_VALUE"""),"DESTORNILLADOR INALÁMBRICO")</f>
        <v>DESTORNILLADOR INALÁMBRICO</v>
      </c>
      <c r="I491" s="213" t="str">
        <f>IFERROR(__xludf.DUMMYFUNCTION("""COMPUTED_VALUE"""),"· Características Técnicas:
- Con capacidad de taladrado en madera y acero.
- Con sistema de baterías recargables e intercambiables de 12 V.
- Porta brocas con máximo diámetro de abertura de: 10 mm.
- Torque máximo 30 Nm.
- Velocidad de giro, mínimo: 1300"&amp;" rpm.
- Diámetro máximo de atornillado (encastre): 7 mm.
- Con doble giro: atornillador y destornillador.
· Características de Seguridad:
- Cubierta de material aislante y mango de goma, protección anti caídas.
- Con diseño ergonómico para una cómoda oper"&amp;"ación.
- Con lámpara LED para la  iluminación del área de trabajo.
· Accesorios:
- Maletín para transporte.
- Cargador de batería.
- Set máximo de  32 piezas de puntas diferentes para atornillar.")</f>
        <v>· Características Técnicas:
- Con capacidad de taladrado en madera y acero.
- Con sistema de baterías recargables e intercambiables de 12 V.
- Porta brocas con máximo diámetro de abertura de: 10 mm.
- Torque máximo 30 Nm.
- Velocidad de giro, mínimo: 1300 rpm.
- Diámetro máximo de atornillado (encastre): 7 mm.
- Con doble giro: atornillador y destornillador.
· Características de Seguridad:
- Cubierta de material aislante y mango de goma, protección anti caídas.
- Con diseño ergonómico para una cómoda operación.
- Con lámpara LED para la  iluminación del área de trabajo.
· Accesorios:
- Maletín para transporte.
- Cargador de batería.
- Set máximo de  32 piezas de puntas diferentes para atornillar.</v>
      </c>
      <c r="J491" s="213">
        <f>IFERROR(__xludf.DUMMYFUNCTION("""COMPUTED_VALUE"""),3.0)</f>
        <v>3</v>
      </c>
      <c r="K491" s="213" t="str">
        <f>IFERROR(__xludf.DUMMYFUNCTION("""COMPUTED_VALUE"""),"170 DÍAS CALENDARIO")</f>
        <v>170 DÍAS CALENDARIO</v>
      </c>
      <c r="L491" s="213" t="str">
        <f>IFERROR(__xludf.DUMMYFUNCTION("""COMPUTED_VALUE"""),"")</f>
        <v/>
      </c>
      <c r="M491" s="213">
        <f>IFERROR(__xludf.DUMMYFUNCTION("""COMPUTED_VALUE"""),1.0)</f>
        <v>1</v>
      </c>
      <c r="N491" s="213">
        <f>IFERROR(__xludf.DUMMYFUNCTION("""COMPUTED_VALUE"""),4.0)</f>
        <v>4</v>
      </c>
      <c r="O491" s="213">
        <f>IFERROR(__xludf.DUMMYFUNCTION("""COMPUTED_VALUE"""),4.0)</f>
        <v>4</v>
      </c>
      <c r="P491" s="213"/>
      <c r="Q491" s="213"/>
      <c r="R491" s="213"/>
      <c r="S491" s="213" t="str">
        <f>IFERROR(__xludf.DUMMYFUNCTION("""COMPUTED_VALUE"""),"SI")</f>
        <v>SI</v>
      </c>
      <c r="T491" s="213" t="str">
        <f>IFERROR(__xludf.DUMMYFUNCTION("""COMPUTED_VALUE"""),"SI")</f>
        <v>SI</v>
      </c>
      <c r="U491" s="213" t="str">
        <f>IFERROR(__xludf.DUMMYFUNCTION("""COMPUTED_VALUE"""),"SI")</f>
        <v>SI</v>
      </c>
      <c r="V491" s="213" t="str">
        <f>IFERROR(__xludf.DUMMYFUNCTION("""COMPUTED_VALUE"""),"-")</f>
        <v>-</v>
      </c>
      <c r="W491" s="213" t="str">
        <f>IFERROR(__xludf.DUMMYFUNCTION("""COMPUTED_VALUE"""),"-")</f>
        <v>-</v>
      </c>
      <c r="X491" s="213" t="str">
        <f>IFERROR(__xludf.DUMMYFUNCTION("""COMPUTED_VALUE"""),"Bosch")</f>
        <v>Bosch</v>
      </c>
      <c r="Y491" s="213" t="str">
        <f>IFERROR(__xludf.DUMMYFUNCTION("""COMPUTED_VALUE"""),"GSR 120-LI")</f>
        <v>GSR 120-LI</v>
      </c>
      <c r="Z491" s="215" t="str">
        <f>IFERROR(__xludf.DUMMYFUNCTION("""COMPUTED_VALUE"""),"https://www.pe.tiendaboschonline.com/taladro-percutor-3-8-bosch-gsb-12v-30-12v-2-baterias-y-maletin/p")</f>
        <v>https://www.pe.tiendaboschonline.com/taladro-percutor-3-8-bosch-gsb-12v-30-12v-2-baterias-y-maletin/p</v>
      </c>
      <c r="AA491" s="213" t="str">
        <f>IFERROR(__xludf.DUMMYFUNCTION("""COMPUTED_VALUE"""),"ESP-148-X DESTORNILLADOR INALÁMBRICO - CET")</f>
        <v>ESP-148-X DESTORNILLADOR INALÁMBRICO - CET</v>
      </c>
      <c r="AB491" s="213"/>
      <c r="AC491" s="213"/>
      <c r="AD491" s="213"/>
      <c r="AE491" s="213"/>
      <c r="AF491" s="213"/>
      <c r="AG491" s="213"/>
      <c r="AH491" s="213"/>
      <c r="AI491" s="213"/>
      <c r="AJ491" s="213"/>
      <c r="AK491" s="213"/>
      <c r="AL491" s="213"/>
      <c r="AM491" s="213"/>
      <c r="AN491" s="213"/>
      <c r="AO491" s="213"/>
      <c r="AP491" s="213" t="str">
        <f>IFERROR(__xludf.DUMMYFUNCTION("""COMPUTED_VALUE"""),"BRUNO")</f>
        <v>BRUNO</v>
      </c>
      <c r="AQ491" s="213" t="str">
        <f>IFERROR(__xludf.DUMMYFUNCTION("""COMPUTED_VALUE"""),"Añadir kit de 30 entre puntas y brocas y Añadir Cuerda Elástica Retráctil como proteccion anti caidas")</f>
        <v>Añadir kit de 30 entre puntas y brocas y Añadir Cuerda Elástica Retráctil como proteccion anti caidas</v>
      </c>
      <c r="AR491" s="213"/>
      <c r="AS491" s="213" t="str">
        <f>IFERROR(__xludf.DUMMYFUNCTION("""COMPUTED_VALUE"""),"Set de Puntas Acero para Atornillar Bosch con 32 unidades Bosch y Cierre de gancho y bucle, Lanyard de Seguridad Anticaída de 50 - 160 cm para Herramientas Eléctricas, Capacidad &lt; 5 KG")</f>
        <v>Set de Puntas Acero para Atornillar Bosch con 32 unidades Bosch y Cierre de gancho y bucle, Lanyard de Seguridad Anticaída de 50 - 160 cm para Herramientas Eléctricas, Capacidad &lt; 5 KG</v>
      </c>
      <c r="AT491" s="217" t="str">
        <f>IFERROR(__xludf.DUMMYFUNCTION("""COMPUTED_VALUE"""),"https://www.pe.tiendaboschonline.com/set-puntas-y-brocas-titanio-bosch-x-line-70-unidades/p
https://www.sodimac.com.pe/sodimac-pe/articulo/113087606/Set-de-Puntas-Acero-para-Atornillar-Bosch-con-32-unidades-Bosch/113087607?kid=goosho_669250&amp;shop=googleSh"&amp;"opping&amp;gad_source=1&amp;gad_campaignid=21524717227&amp;gbraid=0AAAAADOx_19QnkfZPbdxei_TpLGi7HszI&amp;gclid=CjwKCAjwgeLHBhBuEiwAL5gNEZ-XjHjVC9IjY67qaivgGJdKhSDsaUhylrIK2eg9zPYLMWI4EHfypRoCUMUQAvD_BwE")</f>
        <v>https://www.pe.tiendaboschonline.com/set-puntas-y-brocas-titanio-bosch-x-line-70-unidades/p
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v>
      </c>
      <c r="AU491" s="213"/>
      <c r="AV491" s="213"/>
      <c r="AW491" s="213"/>
      <c r="AX491" s="213"/>
      <c r="AY491" s="213"/>
      <c r="AZ491" s="213"/>
      <c r="BA491" s="213"/>
      <c r="BB491" s="213"/>
      <c r="BC491" s="213"/>
      <c r="BD491" s="213"/>
    </row>
    <row r="492">
      <c r="A492" s="213">
        <f>IFERROR(__xludf.DUMMYFUNCTION("""COMPUTED_VALUE"""),891.0)</f>
        <v>891</v>
      </c>
      <c r="B492" s="213" t="str">
        <f>IFERROR(__xludf.DUMMYFUNCTION("""COMPUTED_VALUE"""),"6049 RICARDO PALMA")</f>
        <v>6049 RICARDO PALMA</v>
      </c>
      <c r="C492" s="213" t="str">
        <f>IFERROR(__xludf.DUMMYFUNCTION("""COMPUTED_VALUE"""),"TALLER SFT DE ELECTRICIDAD")</f>
        <v>TALLER SFT DE ELECTRICIDAD</v>
      </c>
      <c r="D492" s="213" t="str">
        <f>IFERROR(__xludf.DUMMYFUNCTION("""COMPUTED_VALUE"""),"EQUIPOS")</f>
        <v>EQUIPOS</v>
      </c>
      <c r="E492" s="213" t="str">
        <f>IFERROR(__xludf.DUMMYFUNCTION("""COMPUTED_VALUE"""),"ESP-148")</f>
        <v>ESP-148</v>
      </c>
      <c r="F492" s="213" t="str">
        <f>IFERROR(__xludf.DUMMYFUNCTION("""COMPUTED_VALUE"""),"ESP-148-X")</f>
        <v>ESP-148-X</v>
      </c>
      <c r="G492" s="213"/>
      <c r="H492" s="213" t="str">
        <f>IFERROR(__xludf.DUMMYFUNCTION("""COMPUTED_VALUE"""),"DESTORNILLADOR INALÁMBRICO")</f>
        <v>DESTORNILLADOR INALÁMBRICO</v>
      </c>
      <c r="I492" s="213" t="str">
        <f>IFERROR(__xludf.DUMMYFUNCTION("""COMPUTED_VALUE"""),"· Características Técnicas:
- Con capacidad de taladrado en madera y acero.
- Con sistema de baterías recargables e intercambiables de 12 V.
- Porta brocas con máximo diámetro de abertura de: 10 mm.
- Torque máximo 30 Nm.
- Velocidad de giro, mínimo: 1300"&amp;" rpm.
- Diámetro máximo de atornillado (encastre): 7 mm.
- Con doble giro: atornillador y destornillador.
· Características de Seguridad:
- Cubierta de material aislante y mango de goma, protección anti caídas.
- Con diseño ergonómico para una cómoda oper"&amp;"ación.
- Con lámpara LED para la  iluminación del área de trabajo.
· Accesorios:
- Maletín para transporte.
- Cargador de batería.
- Set máximo de  32 piezas de puntas diferentes para atornillar.")</f>
        <v>· Características Técnicas:
- Con capacidad de taladrado en madera y acero.
- Con sistema de baterías recargables e intercambiables de 12 V.
- Porta brocas con máximo diámetro de abertura de: 10 mm.
- Torque máximo 30 Nm.
- Velocidad de giro, mínimo: 1300 rpm.
- Diámetro máximo de atornillado (encastre): 7 mm.
- Con doble giro: atornillador y destornillador.
· Características de Seguridad:
- Cubierta de material aislante y mango de goma, protección anti caídas.
- Con diseño ergonómico para una cómoda operación.
- Con lámpara LED para la  iluminación del área de trabajo.
· Accesorios:
- Maletín para transporte.
- Cargador de batería.
- Set máximo de  32 piezas de puntas diferentes para atornillar.</v>
      </c>
      <c r="J492" s="213">
        <f>IFERROR(__xludf.DUMMYFUNCTION("""COMPUTED_VALUE"""),3.0)</f>
        <v>3</v>
      </c>
      <c r="K492" s="213" t="str">
        <f>IFERROR(__xludf.DUMMYFUNCTION("""COMPUTED_VALUE"""),"170 DÍAS CALENDARIO")</f>
        <v>170 DÍAS CALENDARIO</v>
      </c>
      <c r="L492" s="213" t="str">
        <f>IFERROR(__xludf.DUMMYFUNCTION("""COMPUTED_VALUE"""),"")</f>
        <v/>
      </c>
      <c r="M492" s="213">
        <f>IFERROR(__xludf.DUMMYFUNCTION("""COMPUTED_VALUE"""),1.0)</f>
        <v>1</v>
      </c>
      <c r="N492" s="213">
        <f>IFERROR(__xludf.DUMMYFUNCTION("""COMPUTED_VALUE"""),4.0)</f>
        <v>4</v>
      </c>
      <c r="O492" s="213">
        <f>IFERROR(__xludf.DUMMYFUNCTION("""COMPUTED_VALUE"""),4.0)</f>
        <v>4</v>
      </c>
      <c r="P492" s="213"/>
      <c r="Q492" s="213"/>
      <c r="R492" s="213"/>
      <c r="S492" s="213" t="str">
        <f>IFERROR(__xludf.DUMMYFUNCTION("""COMPUTED_VALUE"""),"SI")</f>
        <v>SI</v>
      </c>
      <c r="T492" s="213" t="str">
        <f>IFERROR(__xludf.DUMMYFUNCTION("""COMPUTED_VALUE"""),"SI")</f>
        <v>SI</v>
      </c>
      <c r="U492" s="213" t="str">
        <f>IFERROR(__xludf.DUMMYFUNCTION("""COMPUTED_VALUE"""),"SI")</f>
        <v>SI</v>
      </c>
      <c r="V492" s="213" t="str">
        <f>IFERROR(__xludf.DUMMYFUNCTION("""COMPUTED_VALUE"""),"-")</f>
        <v>-</v>
      </c>
      <c r="W492" s="213" t="str">
        <f>IFERROR(__xludf.DUMMYFUNCTION("""COMPUTED_VALUE"""),"-")</f>
        <v>-</v>
      </c>
      <c r="X492" s="213" t="str">
        <f>IFERROR(__xludf.DUMMYFUNCTION("""COMPUTED_VALUE"""),"Bosch")</f>
        <v>Bosch</v>
      </c>
      <c r="Y492" s="213" t="str">
        <f>IFERROR(__xludf.DUMMYFUNCTION("""COMPUTED_VALUE"""),"GSR 120-LI")</f>
        <v>GSR 120-LI</v>
      </c>
      <c r="Z492" s="215" t="str">
        <f>IFERROR(__xludf.DUMMYFUNCTION("""COMPUTED_VALUE"""),"https://www.pe.tiendaboschonline.com/taladro-percutor-3-8-bosch-gsb-12v-30-12v-2-baterias-y-maletin/p")</f>
        <v>https://www.pe.tiendaboschonline.com/taladro-percutor-3-8-bosch-gsb-12v-30-12v-2-baterias-y-maletin/p</v>
      </c>
      <c r="AA492" s="213" t="str">
        <f>IFERROR(__xludf.DUMMYFUNCTION("""COMPUTED_VALUE"""),"ESP-148-X DESTORNILLADOR INALÁMBRICO - CET")</f>
        <v>ESP-148-X DESTORNILLADOR INALÁMBRICO - CET</v>
      </c>
      <c r="AB492" s="213"/>
      <c r="AC492" s="213"/>
      <c r="AD492" s="213"/>
      <c r="AE492" s="213"/>
      <c r="AF492" s="213"/>
      <c r="AG492" s="213"/>
      <c r="AH492" s="213"/>
      <c r="AI492" s="213"/>
      <c r="AJ492" s="213"/>
      <c r="AK492" s="213"/>
      <c r="AL492" s="213"/>
      <c r="AM492" s="213"/>
      <c r="AN492" s="213"/>
      <c r="AO492" s="213"/>
      <c r="AP492" s="213" t="str">
        <f>IFERROR(__xludf.DUMMYFUNCTION("""COMPUTED_VALUE"""),"BRUNO")</f>
        <v>BRUNO</v>
      </c>
      <c r="AQ492" s="213" t="str">
        <f>IFERROR(__xludf.DUMMYFUNCTION("""COMPUTED_VALUE"""),"Añadir kit de 30 entre puntas y brocas y Añadir Cuerda Elástica Retráctil como proteccion anti caidas")</f>
        <v>Añadir kit de 30 entre puntas y brocas y Añadir Cuerda Elástica Retráctil como proteccion anti caidas</v>
      </c>
      <c r="AR492" s="213"/>
      <c r="AS492" s="213" t="str">
        <f>IFERROR(__xludf.DUMMYFUNCTION("""COMPUTED_VALUE"""),"Set de Puntas Acero para Atornillar Bosch con 32 unidades Bosch y Cierre de gancho y bucle, Lanyard de Seguridad Anticaída de 50 - 160 cm para Herramientas Eléctricas, Capacidad &lt; 5 KG")</f>
        <v>Set de Puntas Acero para Atornillar Bosch con 32 unidades Bosch y Cierre de gancho y bucle, Lanyard de Seguridad Anticaída de 50 - 160 cm para Herramientas Eléctricas, Capacidad &lt; 5 KG</v>
      </c>
      <c r="AT492" s="217" t="str">
        <f>IFERROR(__xludf.DUMMYFUNCTION("""COMPUTED_VALUE"""),"https://www.pe.tiendaboschonline.com/set-puntas-y-brocas-titanio-bosch-x-line-70-unidades/p
https://www.sodimac.com.pe/sodimac-pe/articulo/113087606/Set-de-Puntas-Acero-para-Atornillar-Bosch-con-32-unidades-Bosch/113087607?kid=goosho_669250&amp;shop=googleSh"&amp;"opping&amp;gad_source=1&amp;gad_campaignid=21524717227&amp;gbraid=0AAAAADOx_19QnkfZPbdxei_TpLGi7HszI&amp;gclid=CjwKCAjwgeLHBhBuEiwAL5gNEZ-XjHjVC9IjY67qaivgGJdKhSDsaUhylrIK2eg9zPYLMWI4EHfypRoCUMUQAvD_BwE")</f>
        <v>https://www.pe.tiendaboschonline.com/set-puntas-y-brocas-titanio-bosch-x-line-70-unidades/p
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v>
      </c>
      <c r="AU492" s="213"/>
      <c r="AV492" s="213"/>
      <c r="AW492" s="213"/>
      <c r="AX492" s="213"/>
      <c r="AY492" s="213"/>
      <c r="AZ492" s="213"/>
      <c r="BA492" s="213"/>
      <c r="BB492" s="213"/>
      <c r="BC492" s="213"/>
      <c r="BD492" s="213"/>
    </row>
    <row r="493">
      <c r="A493" s="213">
        <f>IFERROR(__xludf.DUMMYFUNCTION("""COMPUTED_VALUE"""),1313.0)</f>
        <v>1313</v>
      </c>
      <c r="B493" s="213" t="str">
        <f>IFERROR(__xludf.DUMMYFUNCTION("""COMPUTED_VALUE"""),"GUILLERMO E. BILLINGHURST ")</f>
        <v>GUILLERMO E. BILLINGHURST </v>
      </c>
      <c r="C493" s="213" t="str">
        <f>IFERROR(__xludf.DUMMYFUNCTION("""COMPUTED_VALUE"""),"TALLER SFT DE ELECTRICIDAD")</f>
        <v>TALLER SFT DE ELECTRICIDAD</v>
      </c>
      <c r="D493" s="213" t="str">
        <f>IFERROR(__xludf.DUMMYFUNCTION("""COMPUTED_VALUE"""),"EQUIPOS")</f>
        <v>EQUIPOS</v>
      </c>
      <c r="E493" s="213" t="str">
        <f>IFERROR(__xludf.DUMMYFUNCTION("""COMPUTED_VALUE"""),"ESP-148")</f>
        <v>ESP-148</v>
      </c>
      <c r="F493" s="213" t="str">
        <f>IFERROR(__xludf.DUMMYFUNCTION("""COMPUTED_VALUE"""),"ESP-148-X")</f>
        <v>ESP-148-X</v>
      </c>
      <c r="G493" s="213"/>
      <c r="H493" s="213" t="str">
        <f>IFERROR(__xludf.DUMMYFUNCTION("""COMPUTED_VALUE"""),"DESTORNILLADOR INALÁMBRICO")</f>
        <v>DESTORNILLADOR INALÁMBRICO</v>
      </c>
      <c r="I493" s="213" t="str">
        <f>IFERROR(__xludf.DUMMYFUNCTION("""COMPUTED_VALUE"""),"· Características Técnicas:
- Con capacidad de taladrado en madera y acero.
- Con sistema de baterías recargables e intercambiables de 12 V.
- Porta brocas con máximo diámetro de abertura de: 10 mm.
- Torque máximo 30 Nm.
- Velocidad de giro, mínimo: 1300"&amp;" rpm.
- Diámetro máximo de atornillado (encastre): 7 mm.
- Con doble giro: atornillador y destornillador.
· Características de Seguridad:
- Cubierta de material aislante y mango de goma, protección anti caídas.
- Con diseño ergonómico para una cómoda oper"&amp;"ación.
- Con lámpara LED para la  iluminación del área de trabajo.
· Accesorios:
- Maletín para transporte.
- Cargador de batería.
- Set máximo de  32 piezas de puntas diferentes para atornillar.")</f>
        <v>· Características Técnicas:
- Con capacidad de taladrado en madera y acero.
- Con sistema de baterías recargables e intercambiables de 12 V.
- Porta brocas con máximo diámetro de abertura de: 10 mm.
- Torque máximo 30 Nm.
- Velocidad de giro, mínimo: 1300 rpm.
- Diámetro máximo de atornillado (encastre): 7 mm.
- Con doble giro: atornillador y destornillador.
· Características de Seguridad:
- Cubierta de material aislante y mango de goma, protección anti caídas.
- Con diseño ergonómico para una cómoda operación.
- Con lámpara LED para la  iluminación del área de trabajo.
· Accesorios:
- Maletín para transporte.
- Cargador de batería.
- Set máximo de  32 piezas de puntas diferentes para atornillar.</v>
      </c>
      <c r="J493" s="213">
        <f>IFERROR(__xludf.DUMMYFUNCTION("""COMPUTED_VALUE"""),3.0)</f>
        <v>3</v>
      </c>
      <c r="K493" s="213" t="str">
        <f>IFERROR(__xludf.DUMMYFUNCTION("""COMPUTED_VALUE"""),"170 DÍAS CALENDARIO")</f>
        <v>170 DÍAS CALENDARIO</v>
      </c>
      <c r="L493" s="213" t="str">
        <f>IFERROR(__xludf.DUMMYFUNCTION("""COMPUTED_VALUE"""),"")</f>
        <v/>
      </c>
      <c r="M493" s="213">
        <f>IFERROR(__xludf.DUMMYFUNCTION("""COMPUTED_VALUE"""),1.0)</f>
        <v>1</v>
      </c>
      <c r="N493" s="213">
        <f>IFERROR(__xludf.DUMMYFUNCTION("""COMPUTED_VALUE"""),4.0)</f>
        <v>4</v>
      </c>
      <c r="O493" s="213">
        <f>IFERROR(__xludf.DUMMYFUNCTION("""COMPUTED_VALUE"""),4.0)</f>
        <v>4</v>
      </c>
      <c r="P493" s="213"/>
      <c r="Q493" s="213"/>
      <c r="R493" s="213"/>
      <c r="S493" s="213" t="str">
        <f>IFERROR(__xludf.DUMMYFUNCTION("""COMPUTED_VALUE"""),"SI")</f>
        <v>SI</v>
      </c>
      <c r="T493" s="213" t="str">
        <f>IFERROR(__xludf.DUMMYFUNCTION("""COMPUTED_VALUE"""),"SI")</f>
        <v>SI</v>
      </c>
      <c r="U493" s="213" t="str">
        <f>IFERROR(__xludf.DUMMYFUNCTION("""COMPUTED_VALUE"""),"SI")</f>
        <v>SI</v>
      </c>
      <c r="V493" s="213" t="str">
        <f>IFERROR(__xludf.DUMMYFUNCTION("""COMPUTED_VALUE"""),"-")</f>
        <v>-</v>
      </c>
      <c r="W493" s="213" t="str">
        <f>IFERROR(__xludf.DUMMYFUNCTION("""COMPUTED_VALUE"""),"-")</f>
        <v>-</v>
      </c>
      <c r="X493" s="213" t="str">
        <f>IFERROR(__xludf.DUMMYFUNCTION("""COMPUTED_VALUE"""),"Bosch")</f>
        <v>Bosch</v>
      </c>
      <c r="Y493" s="213" t="str">
        <f>IFERROR(__xludf.DUMMYFUNCTION("""COMPUTED_VALUE"""),"GSR 120-LI")</f>
        <v>GSR 120-LI</v>
      </c>
      <c r="Z493" s="215" t="str">
        <f>IFERROR(__xludf.DUMMYFUNCTION("""COMPUTED_VALUE"""),"https://www.pe.tiendaboschonline.com/taladro-percutor-3-8-bosch-gsb-12v-30-12v-2-baterias-y-maletin/p")</f>
        <v>https://www.pe.tiendaboschonline.com/taladro-percutor-3-8-bosch-gsb-12v-30-12v-2-baterias-y-maletin/p</v>
      </c>
      <c r="AA493" s="213" t="str">
        <f>IFERROR(__xludf.DUMMYFUNCTION("""COMPUTED_VALUE"""),"ESP-148-X DESTORNILLADOR INALÁMBRICO - CET")</f>
        <v>ESP-148-X DESTORNILLADOR INALÁMBRICO - CET</v>
      </c>
      <c r="AB493" s="213"/>
      <c r="AC493" s="213"/>
      <c r="AD493" s="213"/>
      <c r="AE493" s="213"/>
      <c r="AF493" s="213"/>
      <c r="AG493" s="213"/>
      <c r="AH493" s="213"/>
      <c r="AI493" s="213"/>
      <c r="AJ493" s="213"/>
      <c r="AK493" s="213"/>
      <c r="AL493" s="213"/>
      <c r="AM493" s="213"/>
      <c r="AN493" s="213"/>
      <c r="AO493" s="213"/>
      <c r="AP493" s="213" t="str">
        <f>IFERROR(__xludf.DUMMYFUNCTION("""COMPUTED_VALUE"""),"BRUNO")</f>
        <v>BRUNO</v>
      </c>
      <c r="AQ493" s="213" t="str">
        <f>IFERROR(__xludf.DUMMYFUNCTION("""COMPUTED_VALUE"""),"Añadir kit de 30 entre puntas y brocas y Añadir Cuerda Elástica Retráctil como proteccion anti caidas")</f>
        <v>Añadir kit de 30 entre puntas y brocas y Añadir Cuerda Elástica Retráctil como proteccion anti caidas</v>
      </c>
      <c r="AR493" s="213"/>
      <c r="AS493" s="213" t="str">
        <f>IFERROR(__xludf.DUMMYFUNCTION("""COMPUTED_VALUE"""),"Set de Puntas Acero para Atornillar Bosch con 32 unidades Bosch y Cierre de gancho y bucle, Lanyard de Seguridad Anticaída de 50 - 160 cm para Herramientas Eléctricas, Capacidad &lt; 5 KG")</f>
        <v>Set de Puntas Acero para Atornillar Bosch con 32 unidades Bosch y Cierre de gancho y bucle, Lanyard de Seguridad Anticaída de 50 - 160 cm para Herramientas Eléctricas, Capacidad &lt; 5 KG</v>
      </c>
      <c r="AT493" s="217" t="str">
        <f>IFERROR(__xludf.DUMMYFUNCTION("""COMPUTED_VALUE"""),"https://www.pe.tiendaboschonline.com/set-puntas-y-brocas-titanio-bosch-x-line-70-unidades/p
https://www.sodimac.com.pe/sodimac-pe/articulo/113087606/Set-de-Puntas-Acero-para-Atornillar-Bosch-con-32-unidades-Bosch/113087607?kid=goosho_669250&amp;shop=googleSh"&amp;"opping&amp;gad_source=1&amp;gad_campaignid=21524717227&amp;gbraid=0AAAAADOx_19QnkfZPbdxei_TpLGi7HszI&amp;gclid=CjwKCAjwgeLHBhBuEiwAL5gNEZ-XjHjVC9IjY67qaivgGJdKhSDsaUhylrIK2eg9zPYLMWI4EHfypRoCUMUQAvD_BwE")</f>
        <v>https://www.pe.tiendaboschonline.com/set-puntas-y-brocas-titanio-bosch-x-line-70-unidades/p
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v>
      </c>
      <c r="AU493" s="213"/>
      <c r="AV493" s="213"/>
      <c r="AW493" s="213"/>
      <c r="AX493" s="213"/>
      <c r="AY493" s="213"/>
      <c r="AZ493" s="213"/>
      <c r="BA493" s="213"/>
      <c r="BB493" s="213"/>
      <c r="BC493" s="213"/>
      <c r="BD493" s="213"/>
    </row>
    <row r="494">
      <c r="A494" s="213">
        <f>IFERROR(__xludf.DUMMYFUNCTION("""COMPUTED_VALUE"""),1908.0)</f>
        <v>1908</v>
      </c>
      <c r="B494" s="213" t="str">
        <f>IFERROR(__xludf.DUMMYFUNCTION("""COMPUTED_VALUE"""),"GUILLERMO E. BILLINGHURST ")</f>
        <v>GUILLERMO E. BILLINGHURST </v>
      </c>
      <c r="C494" s="213" t="str">
        <f>IFERROR(__xludf.DUMMYFUNCTION("""COMPUTED_VALUE"""),"TALLER SFT DE EBANISTERÍA")</f>
        <v>TALLER SFT DE EBANISTERÍA</v>
      </c>
      <c r="D494" s="213" t="str">
        <f>IFERROR(__xludf.DUMMYFUNCTION("""COMPUTED_VALUE"""),"EQUIPOS")</f>
        <v>EQUIPOS</v>
      </c>
      <c r="E494" s="213" t="str">
        <f>IFERROR(__xludf.DUMMYFUNCTION("""COMPUTED_VALUE"""),"ESP-148")</f>
        <v>ESP-148</v>
      </c>
      <c r="F494" s="213" t="str">
        <f>IFERROR(__xludf.DUMMYFUNCTION("""COMPUTED_VALUE"""),"ESP-148-Y")</f>
        <v>ESP-148-Y</v>
      </c>
      <c r="G494" s="213"/>
      <c r="H494" s="213" t="str">
        <f>IFERROR(__xludf.DUMMYFUNCTION("""COMPUTED_VALUE"""),"DESTORNILLADOR INALÁMBRICO")</f>
        <v>DESTORNILLADOR INALÁMBRICO</v>
      </c>
      <c r="I494" s="213" t="str">
        <f>IFERROR(__xludf.DUMMYFUNCTION("""COMPUTED_VALUE"""),"Con capacidad de taladrado en madera y acero.
Con sistema de baterías recargables e intercambiables de 18 V minimo . Porta brocas con máximo diámetro de abertura de: 13 mm.
Torque máximo 30 Nm.
Velocidad de giro, mínimo: 1300 rpm.
Diámetro máximo de atorn"&amp;"illado (encastre): 7 mm.
Con doble giro: atornillador y destornillador.                                                     
Características de Seguridad: Cubierta de material aislante y mango de goma, protección anti caídas. Con diseño ergonómico para un"&amp;"a cómoda operación.Con lámpara LED para la iluminación del área de trabajo. Accesorios: Maletín para transporte.
Cargador de batería. Set máximo de 32 piezas de puntas diferentes para atornillar.")</f>
        <v>Con capacidad de taladrado en madera y acero.
Con sistema de baterías recargables e intercambiables de 18 V minimo . Porta brocas con máximo diámetro de abertura de: 13 mm.
Torque máximo 30 Nm.
Velocidad de giro, mínimo: 1300 rpm.
Diámetro máximo de atornillado (encastre): 7 mm.
Con doble giro: atornillador y destornillador.                                                     
Características de Seguridad: Cubierta de material aislante y mango de goma, protección anti caídas. Con diseño ergonómico para una cómoda operación.Con lámpara LED para la iluminación del área de trabajo. Accesorios: Maletín para transporte.
Cargador de batería. Set máximo de 32 piezas de puntas diferentes para atornillar.</v>
      </c>
      <c r="J494" s="213">
        <f>IFERROR(__xludf.DUMMYFUNCTION("""COMPUTED_VALUE"""),3.0)</f>
        <v>3</v>
      </c>
      <c r="K494" s="213" t="str">
        <f>IFERROR(__xludf.DUMMYFUNCTION("""COMPUTED_VALUE"""),"170 DÍAS CALENDARIO")</f>
        <v>170 DÍAS CALENDARIO</v>
      </c>
      <c r="L494" s="213" t="str">
        <f>IFERROR(__xludf.DUMMYFUNCTION("""COMPUTED_VALUE"""),"")</f>
        <v/>
      </c>
      <c r="M494" s="213">
        <f>IFERROR(__xludf.DUMMYFUNCTION("""COMPUTED_VALUE"""),1.0)</f>
        <v>1</v>
      </c>
      <c r="N494" s="213">
        <f>IFERROR(__xludf.DUMMYFUNCTION("""COMPUTED_VALUE"""),4.0)</f>
        <v>4</v>
      </c>
      <c r="O494" s="213">
        <f>IFERROR(__xludf.DUMMYFUNCTION("""COMPUTED_VALUE"""),4.0)</f>
        <v>4</v>
      </c>
      <c r="P494" s="213"/>
      <c r="Q494" s="213"/>
      <c r="R494" s="213"/>
      <c r="S494" s="213" t="str">
        <f>IFERROR(__xludf.DUMMYFUNCTION("""COMPUTED_VALUE"""),"SI")</f>
        <v>SI</v>
      </c>
      <c r="T494" s="213" t="str">
        <f>IFERROR(__xludf.DUMMYFUNCTION("""COMPUTED_VALUE"""),"SI")</f>
        <v>SI</v>
      </c>
      <c r="U494" s="213" t="str">
        <f>IFERROR(__xludf.DUMMYFUNCTION("""COMPUTED_VALUE"""),"SI")</f>
        <v>SI</v>
      </c>
      <c r="V494" s="213" t="str">
        <f>IFERROR(__xludf.DUMMYFUNCTION("""COMPUTED_VALUE"""),"-")</f>
        <v>-</v>
      </c>
      <c r="W494" s="213" t="str">
        <f>IFERROR(__xludf.DUMMYFUNCTION("""COMPUTED_VALUE"""),"-")</f>
        <v>-</v>
      </c>
      <c r="X494" s="213" t="str">
        <f>IFERROR(__xludf.DUMMYFUNCTION("""COMPUTED_VALUE"""),"BOSCH")</f>
        <v>BOSCH</v>
      </c>
      <c r="Y494" s="213" t="str">
        <f>IFERROR(__xludf.DUMMYFUNCTION("""COMPUTED_VALUE"""),"GSR 185-LI")</f>
        <v>GSR 185-LI</v>
      </c>
      <c r="Z494" s="215" t="str">
        <f>IFERROR(__xludf.DUMMYFUNCTION("""COMPUTED_VALUE"""),"https://www.bosch-professional.com/cl/es/products/gsr-185-li-06019K30E0")</f>
        <v>https://www.bosch-professional.com/cl/es/products/gsr-185-li-06019K30E0</v>
      </c>
      <c r="AA494" s="213" t="str">
        <f>IFERROR(__xludf.DUMMYFUNCTION("""COMPUTED_VALUE"""),"ESP-148-Y DESTORNILLADOR INALÁMBRICO - CET")</f>
        <v>ESP-148-Y DESTORNILLADOR INALÁMBRICO - CET</v>
      </c>
      <c r="AB494" s="215" t="str">
        <f>IFERROR(__xludf.DUMMYFUNCTION("""COMPUTED_VALUE"""),"https://drive.google.com/file/d/1A17xqO1XoLYWyyDPFUMYfETeZq0kEQyE/view?usp=sharing")</f>
        <v>https://drive.google.com/file/d/1A17xqO1XoLYWyyDPFUMYfETeZq0kEQyE/view?usp=sharing</v>
      </c>
      <c r="AC494" s="213"/>
      <c r="AD494" s="213"/>
      <c r="AE494" s="213"/>
      <c r="AF494" s="213"/>
      <c r="AG494" s="213"/>
      <c r="AH494" s="213"/>
      <c r="AI494" s="213"/>
      <c r="AJ494" s="213"/>
      <c r="AK494" s="213"/>
      <c r="AL494" s="213"/>
      <c r="AM494" s="213"/>
      <c r="AN494" s="213"/>
      <c r="AO494" s="213"/>
      <c r="AP494" s="213" t="str">
        <f>IFERROR(__xludf.DUMMYFUNCTION("""COMPUTED_VALUE"""),"MICHEL")</f>
        <v>MICHEL</v>
      </c>
      <c r="AQ494" s="213" t="str">
        <f>IFERROR(__xludf.DUMMYFUNCTION("""COMPUTED_VALUE"""),"Se debe comprar la versión que incluya el destornillador, maletín de transporte, cargador y dos baterías.")</f>
        <v>Se debe comprar la versión que incluya el destornillador, maletín de transporte, cargador y dos baterías.</v>
      </c>
      <c r="AR494" s="213"/>
      <c r="AS494" s="213" t="str">
        <f>IFERROR(__xludf.DUMMYFUNCTION("""COMPUTED_VALUE"""),"Set de Puntas Acero para Atornillar Bosch con 32 unidades Bosch
")</f>
        <v>Set de Puntas Acero para Atornillar Bosch con 32 unidades Bosch
</v>
      </c>
      <c r="AT494" s="216" t="str">
        <f>IFERROR(__xludf.DUMMYFUNCTION("""COMPUTED_VALUE"""),"https://www.sodimac.com.pe/sodimac-pe/articulo/113087606/Set-de-Puntas-Acero-para-Atornillar-Bosch-con-32-unidades-Bosch/113087607?kid=goosho_669250&amp;shop=googleShopping&amp;gad_source=1&amp;gad_campaignid=21524717227&amp;gbraid=0AAAAADOx_19QnkfZPbdxei_TpLGi7HszI&amp;gcli"&amp;"d=CjwKCAjwgeLHBhBuEiwAL5gNEZ-XjHjVC9IjY67qaivgGJdKhSDsaUhylrIK2eg9zPYLMWI4EHfypRoCUMUQAvD_BwE")</f>
        <v>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v>
      </c>
      <c r="AU494" s="213"/>
      <c r="AV494" s="213"/>
      <c r="AW494" s="213"/>
      <c r="AX494" s="213"/>
      <c r="AY494" s="213"/>
      <c r="AZ494" s="213"/>
      <c r="BA494" s="213"/>
      <c r="BB494" s="213"/>
      <c r="BC494" s="213"/>
      <c r="BD494" s="213"/>
    </row>
    <row r="495">
      <c r="A495" s="213">
        <f>IFERROR(__xludf.DUMMYFUNCTION("""COMPUTED_VALUE"""),2689.0)</f>
        <v>2689</v>
      </c>
      <c r="B495" s="213" t="str">
        <f>IFERROR(__xludf.DUMMYFUNCTION("""COMPUTED_VALUE"""),"MANUEL ANTONIO MESONES MURO")</f>
        <v>MANUEL ANTONIO MESONES MURO</v>
      </c>
      <c r="C495" s="213" t="str">
        <f>IFERROR(__xludf.DUMMYFUNCTION("""COMPUTED_VALUE"""),"TALLER SFT DE EBANISTERÍA")</f>
        <v>TALLER SFT DE EBANISTERÍA</v>
      </c>
      <c r="D495" s="213" t="str">
        <f>IFERROR(__xludf.DUMMYFUNCTION("""COMPUTED_VALUE"""),"EQUIPOS")</f>
        <v>EQUIPOS</v>
      </c>
      <c r="E495" s="213" t="str">
        <f>IFERROR(__xludf.DUMMYFUNCTION("""COMPUTED_VALUE"""),"ESP-148")</f>
        <v>ESP-148</v>
      </c>
      <c r="F495" s="213" t="str">
        <f>IFERROR(__xludf.DUMMYFUNCTION("""COMPUTED_VALUE"""),"ESP-148-Y")</f>
        <v>ESP-148-Y</v>
      </c>
      <c r="G495" s="213"/>
      <c r="H495" s="213" t="str">
        <f>IFERROR(__xludf.DUMMYFUNCTION("""COMPUTED_VALUE"""),"DESTORNILLADOR INALÁMBRICO")</f>
        <v>DESTORNILLADOR INALÁMBRICO</v>
      </c>
      <c r="I495" s="213" t="str">
        <f>IFERROR(__xludf.DUMMYFUNCTION("""COMPUTED_VALUE"""),"Con capacidad de taladrado en madera y acero.
Con sistema de baterías recargables e intercambiables de 18 V minimo . Porta brocas con máximo diámetro de abertura de: 13 mm.
Torque máximo 30 Nm.
Velocidad de giro, mínimo: 1300 rpm.
Diámetro máximo de atorn"&amp;"illado (encastre): 7 mm.
Con doble giro: atornillador y destornillador.                                                     Características de Seguridad: Cubierta de material aislante y mango de goma, protección anti caídas. Con diseño ergonómico para una"&amp;" cómoda operación.Con lámpara LED para la iluminación del área de trabajo. Accesorios: Maletín para transporte.
Cargador de batería. Set máximo de 32 piezas de puntas diferentes para atornillar.")</f>
        <v>Con capacidad de taladrado en madera y acero.
Con sistema de baterías recargables e intercambiables de 18 V minimo . Porta brocas con máximo diámetro de abertura de: 13 mm.
Torque máximo 30 Nm.
Velocidad de giro, mínimo: 1300 rpm.
Diámetro máximo de atornillado (encastre): 7 mm.
Con doble giro: atornillador y destornillador.                                                     Características de Seguridad: Cubierta de material aislante y mango de goma, protección anti caídas. Con diseño ergonómico para una cómoda operación.Con lámpara LED para la iluminación del área de trabajo. Accesorios: Maletín para transporte.
Cargador de batería. Set máximo de 32 piezas de puntas diferentes para atornillar.</v>
      </c>
      <c r="J495" s="213">
        <f>IFERROR(__xludf.DUMMYFUNCTION("""COMPUTED_VALUE"""),3.0)</f>
        <v>3</v>
      </c>
      <c r="K495" s="213" t="str">
        <f>IFERROR(__xludf.DUMMYFUNCTION("""COMPUTED_VALUE"""),"170 DÍAS CALENDARIO")</f>
        <v>170 DÍAS CALENDARIO</v>
      </c>
      <c r="L495" s="213" t="str">
        <f>IFERROR(__xludf.DUMMYFUNCTION("""COMPUTED_VALUE"""),"")</f>
        <v/>
      </c>
      <c r="M495" s="213">
        <f>IFERROR(__xludf.DUMMYFUNCTION("""COMPUTED_VALUE"""),1.0)</f>
        <v>1</v>
      </c>
      <c r="N495" s="213">
        <f>IFERROR(__xludf.DUMMYFUNCTION("""COMPUTED_VALUE"""),4.0)</f>
        <v>4</v>
      </c>
      <c r="O495" s="213">
        <f>IFERROR(__xludf.DUMMYFUNCTION("""COMPUTED_VALUE"""),4.0)</f>
        <v>4</v>
      </c>
      <c r="P495" s="213"/>
      <c r="Q495" s="213"/>
      <c r="R495" s="213"/>
      <c r="S495" s="213" t="str">
        <f>IFERROR(__xludf.DUMMYFUNCTION("""COMPUTED_VALUE"""),"SI")</f>
        <v>SI</v>
      </c>
      <c r="T495" s="213" t="str">
        <f>IFERROR(__xludf.DUMMYFUNCTION("""COMPUTED_VALUE"""),"SI")</f>
        <v>SI</v>
      </c>
      <c r="U495" s="213" t="str">
        <f>IFERROR(__xludf.DUMMYFUNCTION("""COMPUTED_VALUE"""),"SI")</f>
        <v>SI</v>
      </c>
      <c r="V495" s="213" t="str">
        <f>IFERROR(__xludf.DUMMYFUNCTION("""COMPUTED_VALUE"""),"-")</f>
        <v>-</v>
      </c>
      <c r="W495" s="213" t="str">
        <f>IFERROR(__xludf.DUMMYFUNCTION("""COMPUTED_VALUE"""),"-")</f>
        <v>-</v>
      </c>
      <c r="X495" s="213" t="str">
        <f>IFERROR(__xludf.DUMMYFUNCTION("""COMPUTED_VALUE"""),"BOSCH")</f>
        <v>BOSCH</v>
      </c>
      <c r="Y495" s="213" t="str">
        <f>IFERROR(__xludf.DUMMYFUNCTION("""COMPUTED_VALUE"""),"GSR 185-LI")</f>
        <v>GSR 185-LI</v>
      </c>
      <c r="Z495" s="215" t="str">
        <f>IFERROR(__xludf.DUMMYFUNCTION("""COMPUTED_VALUE"""),"https://www.bosch-professional.com/cl/es/products/gsr-185-li-06019K30E0")</f>
        <v>https://www.bosch-professional.com/cl/es/products/gsr-185-li-06019K30E0</v>
      </c>
      <c r="AA495" s="213" t="str">
        <f>IFERROR(__xludf.DUMMYFUNCTION("""COMPUTED_VALUE"""),"ESP-148-Y DESTORNILLADOR INALÁMBRICO - CET")</f>
        <v>ESP-148-Y DESTORNILLADOR INALÁMBRICO - CET</v>
      </c>
      <c r="AB495" s="215" t="str">
        <f>IFERROR(__xludf.DUMMYFUNCTION("""COMPUTED_VALUE"""),"https://drive.google.com/file/d/1A17xqO1XoLYWyyDPFUMYfETeZq0kEQyE/view?usp=sharing")</f>
        <v>https://drive.google.com/file/d/1A17xqO1XoLYWyyDPFUMYfETeZq0kEQyE/view?usp=sharing</v>
      </c>
      <c r="AC495" s="213"/>
      <c r="AD495" s="213"/>
      <c r="AE495" s="213"/>
      <c r="AF495" s="213"/>
      <c r="AG495" s="213"/>
      <c r="AH495" s="213"/>
      <c r="AI495" s="213"/>
      <c r="AJ495" s="213"/>
      <c r="AK495" s="213"/>
      <c r="AL495" s="213"/>
      <c r="AM495" s="213"/>
      <c r="AN495" s="213"/>
      <c r="AO495" s="213"/>
      <c r="AP495" s="213" t="str">
        <f>IFERROR(__xludf.DUMMYFUNCTION("""COMPUTED_VALUE"""),"MICHEL")</f>
        <v>MICHEL</v>
      </c>
      <c r="AQ495" s="213" t="str">
        <f>IFERROR(__xludf.DUMMYFUNCTION("""COMPUTED_VALUE"""),"Se debe comprar la versión que incluya el destornillador, maletín de transporte, cargador y dos baterías.")</f>
        <v>Se debe comprar la versión que incluya el destornillador, maletín de transporte, cargador y dos baterías.</v>
      </c>
      <c r="AR495" s="213"/>
      <c r="AS495" s="213" t="str">
        <f>IFERROR(__xludf.DUMMYFUNCTION("""COMPUTED_VALUE"""),"Set de Puntas Acero para Atornillar Bosch con 32 unidades Bosch
")</f>
        <v>Set de Puntas Acero para Atornillar Bosch con 32 unidades Bosch
</v>
      </c>
      <c r="AT495" s="216" t="str">
        <f>IFERROR(__xludf.DUMMYFUNCTION("""COMPUTED_VALUE"""),"https://www.sodimac.com.pe/sodimac-pe/articulo/113087606/Set-de-Puntas-Acero-para-Atornillar-Bosch-con-32-unidades-Bosch/113087607?kid=goosho_669250&amp;shop=googleShopping&amp;gad_source=1&amp;gad_campaignid=21524717227&amp;gbraid=0AAAAADOx_19QnkfZPbdxei_TpLGi7HszI&amp;gcli"&amp;"d=CjwKCAjwgeLHBhBuEiwAL5gNEZ-XjHjVC9IjY67qaivgGJdKhSDsaUhylrIK2eg9zPYLMWI4EHfypRoCUMUQAvD_BwE")</f>
        <v>https://www.sodimac.com.pe/sodimac-pe/articulo/113087606/Set-de-Puntas-Acero-para-Atornillar-Bosch-con-32-unidades-Bosch/113087607?kid=goosho_669250&amp;shop=googleShopping&amp;gad_source=1&amp;gad_campaignid=21524717227&amp;gbraid=0AAAAADOx_19QnkfZPbdxei_TpLGi7HszI&amp;gclid=CjwKCAjwgeLHBhBuEiwAL5gNEZ-XjHjVC9IjY67qaivgGJdKhSDsaUhylrIK2eg9zPYLMWI4EHfypRoCUMUQAvD_BwE</v>
      </c>
      <c r="AU495" s="213"/>
      <c r="AV495" s="213"/>
      <c r="AW495" s="213"/>
      <c r="AX495" s="213"/>
      <c r="AY495" s="213"/>
      <c r="AZ495" s="213"/>
      <c r="BA495" s="213"/>
      <c r="BB495" s="213"/>
      <c r="BC495" s="213"/>
      <c r="BD495" s="213"/>
    </row>
    <row r="496">
      <c r="A496" s="213">
        <f>IFERROR(__xludf.DUMMYFUNCTION("""COMPUTED_VALUE"""),1544.0)</f>
        <v>1544</v>
      </c>
      <c r="B496" s="213" t="str">
        <f>IFERROR(__xludf.DUMMYFUNCTION("""COMPUTED_VALUE"""),"GUILLERMO E. BILLINGHURST ")</f>
        <v>GUILLERMO E. BILLINGHURST </v>
      </c>
      <c r="C496" s="213" t="str">
        <f>IFERROR(__xludf.DUMMYFUNCTION("""COMPUTED_VALUE"""),"TALLER SFT DE MECÁNICA AUTOMOTRIZ")</f>
        <v>TALLER SFT DE MECÁNICA AUTOMOTRIZ</v>
      </c>
      <c r="D496" s="213" t="str">
        <f>IFERROR(__xludf.DUMMYFUNCTION("""COMPUTED_VALUE"""),"HERRAMIENTAS")</f>
        <v>HERRAMIENTAS</v>
      </c>
      <c r="E496" s="213" t="str">
        <f>IFERROR(__xludf.DUMMYFUNCTION("""COMPUTED_VALUE"""),"COM-231")</f>
        <v>COM-231</v>
      </c>
      <c r="F496" s="213" t="str">
        <f>IFERROR(__xludf.DUMMYFUNCTION("""COMPUTED_VALUE"""),"COM-231-Y")</f>
        <v>COM-231-Y</v>
      </c>
      <c r="G496" s="213"/>
      <c r="H496" s="213" t="str">
        <f>IFERROR(__xludf.DUMMYFUNCTION("""COMPUTED_VALUE"""),"MICRÓMETRO DIGITAL")</f>
        <v>MICRÓMETRO DIGITAL</v>
      </c>
      <c r="I496" s="213" t="str">
        <f>IFERROR(__xludf.DUMMYFUNCTION("""COMPUTED_VALUE"""),"Rango de medición: 0 - 150 mm. Resolución: 0.001 mm.
Exactitud: entre | + 0.005 - + 0.009 | mm. Superficie de medición de punta de carburo.
Yunque de contacto intercambiable, para diferentes rangos de medición.
Función de encendido y apagado (apagado auto"&amp;"mático), puesta en cero, conversión del sistema de medición de mm/pulgada.
Protección mínima IP54. Con pila.
Calibrado de fábrica.")</f>
        <v>Rango de medición: 0 - 150 mm. Resolución: 0.001 mm.
Exactitud: entre | + 0.005 - + 0.009 | mm. Superficie de medición de punta de carburo.
Yunque de contacto intercambiable, para diferentes rangos de medición.
Función de encendido y apagado (apagado automático), puesta en cero, conversión del sistema de medición de mm/pulgada.
Protección mínima IP54. Con pila.
Calibrado de fábrica.</v>
      </c>
      <c r="J496" s="213">
        <f>IFERROR(__xludf.DUMMYFUNCTION("""COMPUTED_VALUE"""),3.0)</f>
        <v>3</v>
      </c>
      <c r="K496" s="213" t="str">
        <f>IFERROR(__xludf.DUMMYFUNCTION("""COMPUTED_VALUE"""),"90 DÍAS CALENDARIO")</f>
        <v>90 DÍAS CALENDARIO</v>
      </c>
      <c r="L496" s="213" t="str">
        <f>IFERROR(__xludf.DUMMYFUNCTION("""COMPUTED_VALUE"""),"")</f>
        <v/>
      </c>
      <c r="M496" s="213">
        <f>IFERROR(__xludf.DUMMYFUNCTION("""COMPUTED_VALUE"""),1.0)</f>
        <v>1</v>
      </c>
      <c r="N496" s="213">
        <f>IFERROR(__xludf.DUMMYFUNCTION("""COMPUTED_VALUE"""),4.0)</f>
        <v>4</v>
      </c>
      <c r="O496" s="213">
        <f>IFERROR(__xludf.DUMMYFUNCTION("""COMPUTED_VALUE"""),4.0)</f>
        <v>4</v>
      </c>
      <c r="P496" s="213"/>
      <c r="Q496" s="213"/>
      <c r="R496" s="213" t="str">
        <f>IFERROR(__xludf.DUMMYFUNCTION("""COMPUTED_VALUE"""),"SI")</f>
        <v>SI</v>
      </c>
      <c r="S496" s="213"/>
      <c r="T496" s="213" t="str">
        <f>IFERROR(__xludf.DUMMYFUNCTION("""COMPUTED_VALUE"""),"SI")</f>
        <v>SI</v>
      </c>
      <c r="U496" s="213" t="str">
        <f>IFERROR(__xludf.DUMMYFUNCTION("""COMPUTED_VALUE"""),"SI")</f>
        <v>SI</v>
      </c>
      <c r="V496" s="213" t="str">
        <f>IFERROR(__xludf.DUMMYFUNCTION("""COMPUTED_VALUE"""),"-")</f>
        <v>-</v>
      </c>
      <c r="W496" s="213" t="str">
        <f>IFERROR(__xludf.DUMMYFUNCTION("""COMPUTED_VALUE"""),"-")</f>
        <v>-</v>
      </c>
      <c r="X496" s="213" t="str">
        <f>IFERROR(__xludf.DUMMYFUNCTION("""COMPUTED_VALUE"""),"RS PRO")</f>
        <v>RS PRO</v>
      </c>
      <c r="Y496" s="213" t="str">
        <f>IFERROR(__xludf.DUMMYFUNCTION("""COMPUTED_VALUE"""),"877-1791")</f>
        <v>877-1791</v>
      </c>
      <c r="Z496" s="215" t="str">
        <f>IFERROR(__xludf.DUMMYFUNCTION("""COMPUTED_VALUE"""),"https://es.rs-online.com/web/p/micrometros/8771791")</f>
        <v>https://es.rs-online.com/web/p/micrometros/8771791</v>
      </c>
      <c r="AA496" s="213" t="str">
        <f>IFERROR(__xludf.DUMMYFUNCTION("""COMPUTED_VALUE"""),"COM-231-Y MICROMETRO DIGITAL - CET")</f>
        <v>COM-231-Y MICROMETRO DIGITAL - CET</v>
      </c>
      <c r="AB496" s="213"/>
      <c r="AC496" s="213"/>
      <c r="AD496" s="213"/>
      <c r="AE496" s="213"/>
      <c r="AF496" s="213"/>
      <c r="AG496" s="213"/>
      <c r="AH496" s="213"/>
      <c r="AI496" s="213"/>
      <c r="AJ496" s="213"/>
      <c r="AK496" s="213"/>
      <c r="AL496" s="213"/>
      <c r="AM496" s="213"/>
      <c r="AN496" s="213"/>
      <c r="AO496" s="213"/>
      <c r="AP496" s="213" t="str">
        <f>IFERROR(__xludf.DUMMYFUNCTION("""COMPUTED_VALUE"""),"LUIS")</f>
        <v>LUIS</v>
      </c>
      <c r="AQ496" s="213"/>
      <c r="AR496" s="213"/>
      <c r="AS496" s="213"/>
      <c r="AT496" s="213"/>
      <c r="AU496" s="213"/>
      <c r="AV496" s="213"/>
      <c r="AW496" s="213"/>
      <c r="AX496" s="213"/>
      <c r="AY496" s="213"/>
      <c r="AZ496" s="213"/>
      <c r="BA496" s="213"/>
      <c r="BB496" s="213"/>
      <c r="BC496" s="213"/>
      <c r="BD496" s="213"/>
    </row>
    <row r="497">
      <c r="A497" s="213">
        <f>IFERROR(__xludf.DUMMYFUNCTION("""COMPUTED_VALUE"""),2236.0)</f>
        <v>2236</v>
      </c>
      <c r="B497" s="213" t="str">
        <f>IFERROR(__xludf.DUMMYFUNCTION("""COMPUTED_VALUE"""),"JOSE GRANDA")</f>
        <v>JOSE GRANDA</v>
      </c>
      <c r="C497" s="213" t="str">
        <f>IFERROR(__xludf.DUMMYFUNCTION("""COMPUTED_VALUE"""),"TALLER SFT DE MECÁNICA AUTOMOTRIZ")</f>
        <v>TALLER SFT DE MECÁNICA AUTOMOTRIZ</v>
      </c>
      <c r="D497" s="213" t="str">
        <f>IFERROR(__xludf.DUMMYFUNCTION("""COMPUTED_VALUE"""),"HERRAMIENTAS")</f>
        <v>HERRAMIENTAS</v>
      </c>
      <c r="E497" s="213" t="str">
        <f>IFERROR(__xludf.DUMMYFUNCTION("""COMPUTED_VALUE"""),"COM-231")</f>
        <v>COM-231</v>
      </c>
      <c r="F497" s="213" t="str">
        <f>IFERROR(__xludf.DUMMYFUNCTION("""COMPUTED_VALUE"""),"COM-231-Y")</f>
        <v>COM-231-Y</v>
      </c>
      <c r="G497" s="213"/>
      <c r="H497" s="213" t="str">
        <f>IFERROR(__xludf.DUMMYFUNCTION("""COMPUTED_VALUE"""),"MICRÓMETRO DIGITAL")</f>
        <v>MICRÓMETRO DIGITAL</v>
      </c>
      <c r="I497" s="213" t="str">
        <f>IFERROR(__xludf.DUMMYFUNCTION("""COMPUTED_VALUE"""),"Rango de medición: 0 - 150 mm. Resolución: 0.001 mm.
Exactitud: entre | + 0.005 - + 0.009 | mm. Superficie de medición de punta de carburo.
Yunque de contacto intercambiable, para diferentes rangos de medición.
Función de encendido y apagado (apagado auto"&amp;"mático), puesta en cero, conversión del sistema de medición de mm/pulgada.
Protección mínima IP54. Con pila.
Calibrado de fábrica.")</f>
        <v>Rango de medición: 0 - 150 mm. Resolución: 0.001 mm.
Exactitud: entre | + 0.005 - + 0.009 | mm. Superficie de medición de punta de carburo.
Yunque de contacto intercambiable, para diferentes rangos de medición.
Función de encendido y apagado (apagado automático), puesta en cero, conversión del sistema de medición de mm/pulgada.
Protección mínima IP54. Con pila.
Calibrado de fábrica.</v>
      </c>
      <c r="J497" s="213">
        <f>IFERROR(__xludf.DUMMYFUNCTION("""COMPUTED_VALUE"""),3.0)</f>
        <v>3</v>
      </c>
      <c r="K497" s="213" t="str">
        <f>IFERROR(__xludf.DUMMYFUNCTION("""COMPUTED_VALUE"""),"90 DÍAS CALENDARIO")</f>
        <v>90 DÍAS CALENDARIO</v>
      </c>
      <c r="L497" s="213" t="str">
        <f>IFERROR(__xludf.DUMMYFUNCTION("""COMPUTED_VALUE"""),"")</f>
        <v/>
      </c>
      <c r="M497" s="213">
        <f>IFERROR(__xludf.DUMMYFUNCTION("""COMPUTED_VALUE"""),1.0)</f>
        <v>1</v>
      </c>
      <c r="N497" s="213">
        <f>IFERROR(__xludf.DUMMYFUNCTION("""COMPUTED_VALUE"""),4.0)</f>
        <v>4</v>
      </c>
      <c r="O497" s="213">
        <f>IFERROR(__xludf.DUMMYFUNCTION("""COMPUTED_VALUE"""),4.0)</f>
        <v>4</v>
      </c>
      <c r="P497" s="213"/>
      <c r="Q497" s="213"/>
      <c r="R497" s="213" t="str">
        <f>IFERROR(__xludf.DUMMYFUNCTION("""COMPUTED_VALUE"""),"SI")</f>
        <v>SI</v>
      </c>
      <c r="S497" s="213"/>
      <c r="T497" s="213" t="str">
        <f>IFERROR(__xludf.DUMMYFUNCTION("""COMPUTED_VALUE"""),"SI")</f>
        <v>SI</v>
      </c>
      <c r="U497" s="213" t="str">
        <f>IFERROR(__xludf.DUMMYFUNCTION("""COMPUTED_VALUE"""),"SI")</f>
        <v>SI</v>
      </c>
      <c r="V497" s="213" t="str">
        <f>IFERROR(__xludf.DUMMYFUNCTION("""COMPUTED_VALUE"""),"-")</f>
        <v>-</v>
      </c>
      <c r="W497" s="213" t="str">
        <f>IFERROR(__xludf.DUMMYFUNCTION("""COMPUTED_VALUE"""),"-")</f>
        <v>-</v>
      </c>
      <c r="X497" s="213" t="str">
        <f>IFERROR(__xludf.DUMMYFUNCTION("""COMPUTED_VALUE"""),"RS PRO")</f>
        <v>RS PRO</v>
      </c>
      <c r="Y497" s="213" t="str">
        <f>IFERROR(__xludf.DUMMYFUNCTION("""COMPUTED_VALUE"""),"877-1791")</f>
        <v>877-1791</v>
      </c>
      <c r="Z497" s="215" t="str">
        <f>IFERROR(__xludf.DUMMYFUNCTION("""COMPUTED_VALUE"""),"https://es.rs-online.com/web/p/micrometros/8771791")</f>
        <v>https://es.rs-online.com/web/p/micrometros/8771791</v>
      </c>
      <c r="AA497" s="213" t="str">
        <f>IFERROR(__xludf.DUMMYFUNCTION("""COMPUTED_VALUE"""),"COM-231-Y MICROMETRO DIGITAL - CET")</f>
        <v>COM-231-Y MICROMETRO DIGITAL - CET</v>
      </c>
      <c r="AB497" s="213"/>
      <c r="AC497" s="213"/>
      <c r="AD497" s="213"/>
      <c r="AE497" s="213"/>
      <c r="AF497" s="213"/>
      <c r="AG497" s="213"/>
      <c r="AH497" s="213"/>
      <c r="AI497" s="213"/>
      <c r="AJ497" s="213"/>
      <c r="AK497" s="213"/>
      <c r="AL497" s="213"/>
      <c r="AM497" s="213"/>
      <c r="AN497" s="213"/>
      <c r="AO497" s="213"/>
      <c r="AP497" s="213" t="str">
        <f>IFERROR(__xludf.DUMMYFUNCTION("""COMPUTED_VALUE"""),"LUIS")</f>
        <v>LUIS</v>
      </c>
      <c r="AQ497" s="213"/>
      <c r="AR497" s="213"/>
      <c r="AS497" s="213"/>
      <c r="AT497" s="213"/>
      <c r="AU497" s="213"/>
      <c r="AV497" s="213"/>
      <c r="AW497" s="213"/>
      <c r="AX497" s="213"/>
      <c r="AY497" s="213"/>
      <c r="AZ497" s="213"/>
      <c r="BA497" s="213"/>
      <c r="BB497" s="213"/>
      <c r="BC497" s="213"/>
      <c r="BD497" s="213"/>
    </row>
    <row r="498">
      <c r="A498" s="213">
        <f>IFERROR(__xludf.DUMMYFUNCTION("""COMPUTED_VALUE"""),2508.0)</f>
        <v>2508</v>
      </c>
      <c r="B498" s="213" t="str">
        <f>IFERROR(__xludf.DUMMYFUNCTION("""COMPUTED_VALUE"""),"MANUEL ANTONIO MESONES MURO")</f>
        <v>MANUEL ANTONIO MESONES MURO</v>
      </c>
      <c r="C498" s="213" t="str">
        <f>IFERROR(__xludf.DUMMYFUNCTION("""COMPUTED_VALUE"""),"TALLER SFT DE CONSTRUCCIONES METÁLICAS")</f>
        <v>TALLER SFT DE CONSTRUCCIONES METÁLICAS</v>
      </c>
      <c r="D498" s="213" t="str">
        <f>IFERROR(__xludf.DUMMYFUNCTION("""COMPUTED_VALUE"""),"EQUIPOS")</f>
        <v>EQUIPOS</v>
      </c>
      <c r="E498" s="213" t="str">
        <f>IFERROR(__xludf.DUMMYFUNCTION("""COMPUTED_VALUE"""),"ESP-144")</f>
        <v>ESP-144</v>
      </c>
      <c r="F498" s="213" t="str">
        <f>IFERROR(__xludf.DUMMYFUNCTION("""COMPUTED_VALUE"""),"ESP-144")</f>
        <v>ESP-144</v>
      </c>
      <c r="G498" s="213"/>
      <c r="H498" s="213" t="str">
        <f>IFERROR(__xludf.DUMMYFUNCTION("""COMPUTED_VALUE"""),"CURVADORA DE TUBOS HIDRÁULICO")</f>
        <v>CURVADORA DE TUBOS HIDRÁULICO</v>
      </c>
      <c r="I498" s="213"/>
      <c r="J498" s="213">
        <f>IFERROR(__xludf.DUMMYFUNCTION("""COMPUTED_VALUE"""),3.0)</f>
        <v>3</v>
      </c>
      <c r="K498" s="213" t="str">
        <f>IFERROR(__xludf.DUMMYFUNCTION("""COMPUTED_VALUE"""),"170 DÍAS CALENDARIO")</f>
        <v>170 DÍAS CALENDARIO</v>
      </c>
      <c r="L498" s="213" t="str">
        <f>IFERROR(__xludf.DUMMYFUNCTION("""COMPUTED_VALUE"""),"")</f>
        <v/>
      </c>
      <c r="M498" s="213">
        <f>IFERROR(__xludf.DUMMYFUNCTION("""COMPUTED_VALUE"""),1.0)</f>
        <v>1</v>
      </c>
      <c r="N498" s="213">
        <f>IFERROR(__xludf.DUMMYFUNCTION("""COMPUTED_VALUE"""),1.0)</f>
        <v>1</v>
      </c>
      <c r="O498" s="213">
        <f>IFERROR(__xludf.DUMMYFUNCTION("""COMPUTED_VALUE"""),1.0)</f>
        <v>1</v>
      </c>
      <c r="P498" s="213"/>
      <c r="Q498" s="213"/>
      <c r="R498" s="213"/>
      <c r="S498" s="213" t="str">
        <f>IFERROR(__xludf.DUMMYFUNCTION("""COMPUTED_VALUE"""),"SI")</f>
        <v>SI</v>
      </c>
      <c r="T498" s="213" t="str">
        <f>IFERROR(__xludf.DUMMYFUNCTION("""COMPUTED_VALUE"""),"CONSULTA FINAL")</f>
        <v>CONSULTA FINAL</v>
      </c>
      <c r="U498" s="213" t="str">
        <f>IFERROR(__xludf.DUMMYFUNCTION("""COMPUTED_VALUE"""),"SI")</f>
        <v>SI</v>
      </c>
      <c r="V498" s="213" t="str">
        <f>IFERROR(__xludf.DUMMYFUNCTION("""COMPUTED_VALUE"""),"-")</f>
        <v>-</v>
      </c>
      <c r="W498" s="213" t="str">
        <f>IFERROR(__xludf.DUMMYFUNCTION("""COMPUTED_VALUE"""),"-")</f>
        <v>-</v>
      </c>
      <c r="X498" s="213" t="str">
        <f>IFERROR(__xludf.DUMMYFUNCTION("""COMPUTED_VALUE"""),"NARGESA")</f>
        <v>NARGESA</v>
      </c>
      <c r="Y498" s="213" t="str">
        <f>IFERROR(__xludf.DUMMYFUNCTION("""COMPUTED_VALUE"""),"MC200H")</f>
        <v>MC200H</v>
      </c>
      <c r="Z498" s="215" t="str">
        <f>IFERROR(__xludf.DUMMYFUNCTION("""COMPUTED_VALUE"""),"https://nargesa.com/es/maquinaria-industrial/curvadora-de-tubos-perfiles-mc200h")</f>
        <v>https://nargesa.com/es/maquinaria-industrial/curvadora-de-tubos-perfiles-mc200h</v>
      </c>
      <c r="AA498" s="213" t="str">
        <f>IFERROR(__xludf.DUMMYFUNCTION("""COMPUTED_VALUE"""),"ESP-144 CURVADORA DE TUBOS HIDRÁULICO - CET")</f>
        <v>ESP-144 CURVADORA DE TUBOS HIDRÁULICO - CET</v>
      </c>
      <c r="AB498" s="215" t="str">
        <f>IFERROR(__xludf.DUMMYFUNCTION("""COMPUTED_VALUE"""),"https://drive.google.com/file/d/1JGxS1Bp1BSugtQHjvZbp4pvHFKtSFHSH/view")</f>
        <v>https://drive.google.com/file/d/1JGxS1Bp1BSugtQHjvZbp4pvHFKtSFHSH/view</v>
      </c>
      <c r="AC498" s="213"/>
      <c r="AD498" s="213"/>
      <c r="AE498" s="213"/>
      <c r="AF498" s="213"/>
      <c r="AG498" s="213"/>
      <c r="AH498" s="213" t="str">
        <f>IFERROR(__xludf.DUMMYFUNCTION("""COMPUTED_VALUE"""),"IMPORTADO")</f>
        <v>IMPORTADO</v>
      </c>
      <c r="AI498" s="213"/>
      <c r="AJ498" s="213"/>
      <c r="AK498" s="213"/>
      <c r="AL498" s="213"/>
      <c r="AM498" s="213"/>
      <c r="AN498" s="213"/>
      <c r="AO498" s="213"/>
      <c r="AP498" s="213" t="str">
        <f>IFERROR(__xludf.DUMMYFUNCTION("""COMPUTED_VALUE"""),"NALDI")</f>
        <v>NALDI</v>
      </c>
      <c r="AQ498" s="213" t="str">
        <f>IFERROR(__xludf.DUMMYFUNCTION("""COMPUTED_VALUE"""),"(CONSULTAR POR VERSIÓN MONOFÁSICA)")</f>
        <v>(CONSULTAR POR VERSIÓN MONOFÁSICA)</v>
      </c>
      <c r="AR498" s="213"/>
      <c r="AS498" s="213"/>
      <c r="AT498" s="213"/>
      <c r="AU498" s="213"/>
      <c r="AV498" s="213"/>
      <c r="AW498" s="213"/>
      <c r="AX498" s="213"/>
      <c r="AY498" s="213"/>
      <c r="AZ498" s="213"/>
      <c r="BA498" s="213"/>
      <c r="BB498" s="213"/>
      <c r="BC498" s="213"/>
      <c r="BD498" s="213"/>
    </row>
    <row r="499">
      <c r="A499" s="213">
        <f>IFERROR(__xludf.DUMMYFUNCTION("""COMPUTED_VALUE"""),1806.0)</f>
        <v>1806</v>
      </c>
      <c r="B499" s="213" t="str">
        <f>IFERROR(__xludf.DUMMYFUNCTION("""COMPUTED_VALUE"""),"GUILLERMO E. BILLINGHURST ")</f>
        <v>GUILLERMO E. BILLINGHURST </v>
      </c>
      <c r="C499" s="213" t="str">
        <f>IFERROR(__xludf.DUMMYFUNCTION("""COMPUTED_VALUE"""),"TALLER SFT DE EBANISTERÍA")</f>
        <v>TALLER SFT DE EBANISTERÍA</v>
      </c>
      <c r="D499" s="213" t="str">
        <f>IFERROR(__xludf.DUMMYFUNCTION("""COMPUTED_VALUE"""),"PEDAGOGICO")</f>
        <v>PEDAGOGICO</v>
      </c>
      <c r="E499" s="213" t="str">
        <f>IFERROR(__xludf.DUMMYFUNCTION("""COMPUTED_VALUE"""),"COM-232")</f>
        <v>COM-232</v>
      </c>
      <c r="F499" s="213" t="str">
        <f>IFERROR(__xludf.DUMMYFUNCTION("""COMPUTED_VALUE"""),"COM-232")</f>
        <v>COM-232</v>
      </c>
      <c r="G499" s="213"/>
      <c r="H499" s="213" t="str">
        <f>IFERROR(__xludf.DUMMYFUNCTION("""COMPUTED_VALUE"""),"JUEGO DE MODELOS DE UNIONES DESARMABLES A ESCALA (ENSAMBLES, JUNTAS Y EMPALMES)")</f>
        <v>JUEGO DE MODELOS DE UNIONES DESARMABLES A ESCALA (ENSAMBLES, JUNTAS Y EMPALMES)</v>
      </c>
      <c r="I499" s="213" t="str">
        <f>IFERROR(__xludf.DUMMYFUNCTION("""COMPUTED_VALUE"""),"Juego de Modelos desarmables de uniones a escala que permita identificar los tipos de uniones, sus características y proporciones, elaborados en PVC u otro material similar o superior.
·          Ensamble a tarugo
·          Ensamble a caja y espiga
·    "&amp;"      Ensamble a horquilla
·          Ensamble a media madera
·          Ensamble a cola de milano
·          Juntas a tarugo
·          Junta machihembrada
·          Junta a media madera
·          Empalmes a media madera
·          Empalmes a horquilla"&amp;"
·          Empalme a media madera con testa en sesgo
-        Planos de las uniones a escala.
Ficha tamaño A4 enmicada con información sobre los tipos de uniones con código QR que vincula a información técnica de cada tipo de unión")</f>
        <v>Juego de Modelos desarmables de uniones a escala que permita identificar los tipos de uniones, sus características y proporciones, elaborados en PVC u otro material similar o superior.
·          Ensamble a tarugo
·          Ensamble a caja y espiga
·          Ensamble a horquilla
·          Ensamble a media madera
·          Ensamble a cola de milano
·          Juntas a tarugo
·          Junta machihembrada
·          Junta a media madera
·          Empalmes a media madera
·          Empalmes a horquilla
·          Empalme a media madera con testa en sesgo
-        Planos de las uniones a escala.
Ficha tamaño A4 enmicada con información sobre los tipos de uniones con código QR que vincula a información técnica de cada tipo de unión</v>
      </c>
      <c r="J499" s="213">
        <f>IFERROR(__xludf.DUMMYFUNCTION("""COMPUTED_VALUE"""),3.0)</f>
        <v>3</v>
      </c>
      <c r="K499" s="213" t="str">
        <f>IFERROR(__xludf.DUMMYFUNCTION("""COMPUTED_VALUE"""),"90 DÍAS CALENDARIO")</f>
        <v>90 DÍAS CALENDARIO</v>
      </c>
      <c r="L499" s="213" t="str">
        <f>IFERROR(__xludf.DUMMYFUNCTION("""COMPUTED_VALUE"""),"")</f>
        <v/>
      </c>
      <c r="M499" s="213">
        <f>IFERROR(__xludf.DUMMYFUNCTION("""COMPUTED_VALUE"""),1.0)</f>
        <v>1</v>
      </c>
      <c r="N499" s="213">
        <f>IFERROR(__xludf.DUMMYFUNCTION("""COMPUTED_VALUE"""),1.0)</f>
        <v>1</v>
      </c>
      <c r="O499" s="213">
        <f>IFERROR(__xludf.DUMMYFUNCTION("""COMPUTED_VALUE"""),1.0)</f>
        <v>1</v>
      </c>
      <c r="P499" s="213"/>
      <c r="Q499" s="213"/>
      <c r="R499" s="213"/>
      <c r="S499" s="213"/>
      <c r="T499" s="213" t="str">
        <f>IFERROR(__xludf.DUMMYFUNCTION("""COMPUTED_VALUE"""),"CONSULTA FINAL")</f>
        <v>CONSULTA FINAL</v>
      </c>
      <c r="U499" s="213"/>
      <c r="V499" s="213" t="str">
        <f>IFERROR(__xludf.DUMMYFUNCTION("""COMPUTED_VALUE"""),"-")</f>
        <v>-</v>
      </c>
      <c r="W499" s="213" t="str">
        <f>IFERROR(__xludf.DUMMYFUNCTION("""COMPUTED_VALUE"""),"CRÍTICO")</f>
        <v>CRÍTICO</v>
      </c>
      <c r="X499" s="213" t="str">
        <f>IFERROR(__xludf.DUMMYFUNCTION("""COMPUTED_VALUE"""),"A MEDIDA")</f>
        <v>A MEDIDA</v>
      </c>
      <c r="Y499" s="213" t="str">
        <f>IFERROR(__xludf.DUMMYFUNCTION("""COMPUTED_VALUE"""),"A MEDIDA")</f>
        <v>A MEDIDA</v>
      </c>
      <c r="Z499" s="213" t="str">
        <f>IFERROR(__xludf.DUMMYFUNCTION("""COMPUTED_VALUE"""),"A MEDIDA")</f>
        <v>A MEDIDA</v>
      </c>
      <c r="AA499" s="213" t="str">
        <f>IFERROR(__xludf.DUMMYFUNCTION("""COMPUTED_VALUE"""),"COM-232 JUEGO DE MODELOS DE UNIONES DESARMABLES A ESCALA (ENSAMBLES, JUNTAS Y EMPALMES) - CET")</f>
        <v>COM-232 JUEGO DE MODELOS DE UNIONES DESARMABLES A ESCALA (ENSAMBLES, JUNTAS Y EMPALMES) - CET</v>
      </c>
      <c r="AB499" s="213"/>
      <c r="AC499" s="213"/>
      <c r="AD499" s="213"/>
      <c r="AE499" s="213"/>
      <c r="AF499" s="213"/>
      <c r="AG499" s="213"/>
      <c r="AH499" s="213"/>
      <c r="AI499" s="213"/>
      <c r="AJ499" s="213"/>
      <c r="AK499" s="213"/>
      <c r="AL499" s="213"/>
      <c r="AM499" s="213"/>
      <c r="AN499" s="213"/>
      <c r="AO499" s="213"/>
      <c r="AP499" s="213" t="str">
        <f>IFERROR(__xludf.DUMMYFUNCTION("""COMPUTED_VALUE"""),"SEBASTIAN")</f>
        <v>SEBASTIAN</v>
      </c>
      <c r="AQ499" s="213"/>
      <c r="AR499" s="213"/>
      <c r="AS499" s="213"/>
      <c r="AT499" s="213"/>
      <c r="AU499" s="213"/>
      <c r="AV499" s="213"/>
      <c r="AW499" s="213"/>
      <c r="AX499" s="213"/>
      <c r="AY499" s="213"/>
      <c r="AZ499" s="213"/>
      <c r="BA499" s="213"/>
      <c r="BB499" s="213"/>
      <c r="BC499" s="213"/>
      <c r="BD499" s="213"/>
    </row>
    <row r="500">
      <c r="A500" s="213">
        <f>IFERROR(__xludf.DUMMYFUNCTION("""COMPUTED_VALUE"""),2588.0)</f>
        <v>2588</v>
      </c>
      <c r="B500" s="213" t="str">
        <f>IFERROR(__xludf.DUMMYFUNCTION("""COMPUTED_VALUE"""),"MANUEL ANTONIO MESONES MURO")</f>
        <v>MANUEL ANTONIO MESONES MURO</v>
      </c>
      <c r="C500" s="213" t="str">
        <f>IFERROR(__xludf.DUMMYFUNCTION("""COMPUTED_VALUE"""),"TALLER SFT DE EBANISTERÍA")</f>
        <v>TALLER SFT DE EBANISTERÍA</v>
      </c>
      <c r="D500" s="213" t="str">
        <f>IFERROR(__xludf.DUMMYFUNCTION("""COMPUTED_VALUE"""),"PEDAGOGICO")</f>
        <v>PEDAGOGICO</v>
      </c>
      <c r="E500" s="213" t="str">
        <f>IFERROR(__xludf.DUMMYFUNCTION("""COMPUTED_VALUE"""),"COM-232")</f>
        <v>COM-232</v>
      </c>
      <c r="F500" s="213" t="str">
        <f>IFERROR(__xludf.DUMMYFUNCTION("""COMPUTED_VALUE"""),"COM-232")</f>
        <v>COM-232</v>
      </c>
      <c r="G500" s="213"/>
      <c r="H500" s="213" t="str">
        <f>IFERROR(__xludf.DUMMYFUNCTION("""COMPUTED_VALUE"""),"JUEGO DE MODELOS DE UNIONES DESARMABLES A ESCALA (ENSAMBLES, JUNTAS Y EMPALMES)")</f>
        <v>JUEGO DE MODELOS DE UNIONES DESARMABLES A ESCALA (ENSAMBLES, JUNTAS Y EMPALMES)</v>
      </c>
      <c r="I500" s="213" t="str">
        <f>IFERROR(__xludf.DUMMYFUNCTION("""COMPUTED_VALUE"""),"Juego de Modelos desarmables de uniones a escala que permita identificar los tipos de uniones, sus características y proporciones, elaborados en PVC u otro material similar o superior.
·          Ensamble a tarugo
·          Ensamble a caja y espiga
·    "&amp;"      Ensamble a horquilla
·          Ensamble a media madera
·          Ensamble a cola de milano
·          Juntas a tarugo
·          Junta machihembrada
·          Junta a media madera
·          Empalmes a media madera
·          Empalmes a horquilla"&amp;"
·          Empalme a media madera con testa en sesgo
-        Planos de las uniones a escala.
Ficha tamaño A4 enmicada con información sobre los tipos de uniones con código QR que vincula a información técnica de cada tipo de unión")</f>
        <v>Juego de Modelos desarmables de uniones a escala que permita identificar los tipos de uniones, sus características y proporciones, elaborados en PVC u otro material similar o superior.
·          Ensamble a tarugo
·          Ensamble a caja y espiga
·          Ensamble a horquilla
·          Ensamble a media madera
·          Ensamble a cola de milano
·          Juntas a tarugo
·          Junta machihembrada
·          Junta a media madera
·          Empalmes a media madera
·          Empalmes a horquilla
·          Empalme a media madera con testa en sesgo
-        Planos de las uniones a escala.
Ficha tamaño A4 enmicada con información sobre los tipos de uniones con código QR que vincula a información técnica de cada tipo de unión</v>
      </c>
      <c r="J500" s="213">
        <f>IFERROR(__xludf.DUMMYFUNCTION("""COMPUTED_VALUE"""),3.0)</f>
        <v>3</v>
      </c>
      <c r="K500" s="213" t="str">
        <f>IFERROR(__xludf.DUMMYFUNCTION("""COMPUTED_VALUE"""),"90 DÍAS CALENDARIO")</f>
        <v>90 DÍAS CALENDARIO</v>
      </c>
      <c r="L500" s="213" t="str">
        <f>IFERROR(__xludf.DUMMYFUNCTION("""COMPUTED_VALUE"""),"")</f>
        <v/>
      </c>
      <c r="M500" s="213">
        <f>IFERROR(__xludf.DUMMYFUNCTION("""COMPUTED_VALUE"""),1.0)</f>
        <v>1</v>
      </c>
      <c r="N500" s="213">
        <f>IFERROR(__xludf.DUMMYFUNCTION("""COMPUTED_VALUE"""),1.0)</f>
        <v>1</v>
      </c>
      <c r="O500" s="213">
        <f>IFERROR(__xludf.DUMMYFUNCTION("""COMPUTED_VALUE"""),1.0)</f>
        <v>1</v>
      </c>
      <c r="P500" s="213"/>
      <c r="Q500" s="213"/>
      <c r="R500" s="213"/>
      <c r="S500" s="213"/>
      <c r="T500" s="213" t="str">
        <f>IFERROR(__xludf.DUMMYFUNCTION("""COMPUTED_VALUE"""),"CONSULTA FINAL")</f>
        <v>CONSULTA FINAL</v>
      </c>
      <c r="U500" s="213"/>
      <c r="V500" s="213" t="str">
        <f>IFERROR(__xludf.DUMMYFUNCTION("""COMPUTED_VALUE"""),"-")</f>
        <v>-</v>
      </c>
      <c r="W500" s="213" t="str">
        <f>IFERROR(__xludf.DUMMYFUNCTION("""COMPUTED_VALUE"""),"CRÍTICO")</f>
        <v>CRÍTICO</v>
      </c>
      <c r="X500" s="213" t="str">
        <f>IFERROR(__xludf.DUMMYFUNCTION("""COMPUTED_VALUE"""),"A MEDIDA")</f>
        <v>A MEDIDA</v>
      </c>
      <c r="Y500" s="213" t="str">
        <f>IFERROR(__xludf.DUMMYFUNCTION("""COMPUTED_VALUE"""),"A MEDIDA")</f>
        <v>A MEDIDA</v>
      </c>
      <c r="Z500" s="213" t="str">
        <f>IFERROR(__xludf.DUMMYFUNCTION("""COMPUTED_VALUE"""),"A MEDIDA")</f>
        <v>A MEDIDA</v>
      </c>
      <c r="AA500" s="213" t="str">
        <f>IFERROR(__xludf.DUMMYFUNCTION("""COMPUTED_VALUE"""),"COM-232 JUEGO DE MODELOS DE UNIONES DESARMABLES A ESCALA (ENSAMBLES, JUNTAS Y EMPALMES) - CET")</f>
        <v>COM-232 JUEGO DE MODELOS DE UNIONES DESARMABLES A ESCALA (ENSAMBLES, JUNTAS Y EMPALMES) - CET</v>
      </c>
      <c r="AB500" s="213"/>
      <c r="AC500" s="213"/>
      <c r="AD500" s="213"/>
      <c r="AE500" s="213"/>
      <c r="AF500" s="213"/>
      <c r="AG500" s="213"/>
      <c r="AH500" s="213"/>
      <c r="AI500" s="213"/>
      <c r="AJ500" s="213"/>
      <c r="AK500" s="213"/>
      <c r="AL500" s="213"/>
      <c r="AM500" s="213"/>
      <c r="AN500" s="213"/>
      <c r="AO500" s="213"/>
      <c r="AP500" s="213" t="str">
        <f>IFERROR(__xludf.DUMMYFUNCTION("""COMPUTED_VALUE"""),"SEBASTIAN")</f>
        <v>SEBASTIAN</v>
      </c>
      <c r="AQ500" s="213"/>
      <c r="AR500" s="213"/>
      <c r="AS500" s="213"/>
      <c r="AT500" s="213"/>
      <c r="AU500" s="213"/>
      <c r="AV500" s="213"/>
      <c r="AW500" s="213"/>
      <c r="AX500" s="213"/>
      <c r="AY500" s="213"/>
      <c r="AZ500" s="213"/>
      <c r="BA500" s="213"/>
      <c r="BB500" s="213"/>
      <c r="BC500" s="213"/>
      <c r="BD500" s="213"/>
    </row>
    <row r="501">
      <c r="A501" s="213">
        <f>IFERROR(__xludf.DUMMYFUNCTION("""COMPUTED_VALUE"""),1777.0)</f>
        <v>1777</v>
      </c>
      <c r="B501" s="213" t="str">
        <f>IFERROR(__xludf.DUMMYFUNCTION("""COMPUTED_VALUE"""),"GUILLERMO E. BILLINGHURST ")</f>
        <v>GUILLERMO E. BILLINGHURST </v>
      </c>
      <c r="C501" s="213" t="str">
        <f>IFERROR(__xludf.DUMMYFUNCTION("""COMPUTED_VALUE"""),"TALLER SFT DE EBANISTERÍA")</f>
        <v>TALLER SFT DE EBANISTERÍA</v>
      </c>
      <c r="D501" s="213" t="str">
        <f>IFERROR(__xludf.DUMMYFUNCTION("""COMPUTED_VALUE"""),"PEDAGOGICO")</f>
        <v>PEDAGOGICO</v>
      </c>
      <c r="E501" s="213" t="str">
        <f>IFERROR(__xludf.DUMMYFUNCTION("""COMPUTED_VALUE"""),"COM-233")</f>
        <v>COM-233</v>
      </c>
      <c r="F501" s="213" t="str">
        <f>IFERROR(__xludf.DUMMYFUNCTION("""COMPUTED_VALUE"""),"COM-233")</f>
        <v>COM-233</v>
      </c>
      <c r="G501" s="213"/>
      <c r="H501" s="213" t="str">
        <f>IFERROR(__xludf.DUMMYFUNCTION("""COMPUTED_VALUE"""),"JUEGO DE MODELOS MUEBLES A ESCALA PARA DIBUJAR PROYECCIONES (ISOMÉTRICAS, ORTOGO")</f>
        <v>JUEGO DE MODELOS MUEBLES A ESCALA PARA DIBUJAR PROYECCIONES (ISOMÉTRICAS, ORTOGO</v>
      </c>
      <c r="I501" s="213" t="str">
        <f>IFERROR(__xludf.DUMMYFUNCTION("""COMPUTED_VALUE"""),"Juego de Modelos de muebles a escala que permita identificar la forma y partes que conforman un mueble, elaborados en PVC u otro material similar o superior, comprende:
- 5 modelos de utilitarios de madera (lámparas, cofres, bandejas porta papeles, etc.)
"&amp;"- 5 modelos de artesanía
- 5 modelos de muebles de asiento
- 5 modelos de tablero
- 5 modelos de muebles descanso
- 5 modelos de muebles de cajón.
· Planos de los muebles a escala. En formatos tamaño A3, de papel bond de 80 gr, impreso en blanco y negro, "&amp;"enmicados
·Fichas tamaño A4, en papel bon de 80 gr. Impresos a todo color. las fichas contienen:
- Ficha 1: tipos de líneas normalizadas, con ejemplo de aplicación
- Ficha 2. Acotado. Elementos, normas con ejemplos de aplicación
- Ficha 3. Elementos de la"&amp;" proyección ortogonal y el cono de proyección
- Ficha 4. Representación de cortes y detalles.
- Ficha 5. Escalas
- Ficha 6: Representación de materiales en corte (ashurados)")</f>
        <v>Juego de Modelos de muebles a escala que permita identificar la forma y partes que conforman un mueble, elaborados en PVC u otro material similar o superior, comprende:
- 5 modelos de utilitarios de madera (lámparas, cofres, bandejas porta papeles, etc.)
- 5 modelos de artesanía
- 5 modelos de muebles de asiento
- 5 modelos de tablero
- 5 modelos de muebles descanso
- 5 modelos de muebles de cajón.
· Planos de los muebles a escala. En formatos tamaño A3, de papel bond de 80 gr, impreso en blanco y negro, enmicados
·Fichas tamaño A4, en papel bon de 80 gr. Impresos a todo color. las fichas contienen:
- Ficha 1: tipos de líneas normalizadas, con ejemplo de aplicación
- Ficha 2. Acotado. Elementos, normas con ejemplos de aplicación
- Ficha 3. Elementos de la proyección ortogonal y el cono de proyección
- Ficha 4. Representación de cortes y detalles.
- Ficha 5. Escalas
- Ficha 6: Representación de materiales en corte (ashurados)</v>
      </c>
      <c r="J501" s="213">
        <f>IFERROR(__xludf.DUMMYFUNCTION("""COMPUTED_VALUE"""),3.0)</f>
        <v>3</v>
      </c>
      <c r="K501" s="213" t="str">
        <f>IFERROR(__xludf.DUMMYFUNCTION("""COMPUTED_VALUE"""),"90 DÍAS CALENDARIO")</f>
        <v>90 DÍAS CALENDARIO</v>
      </c>
      <c r="L501" s="213" t="str">
        <f>IFERROR(__xludf.DUMMYFUNCTION("""COMPUTED_VALUE"""),"")</f>
        <v/>
      </c>
      <c r="M501" s="213">
        <f>IFERROR(__xludf.DUMMYFUNCTION("""COMPUTED_VALUE"""),1.0)</f>
        <v>1</v>
      </c>
      <c r="N501" s="213">
        <f>IFERROR(__xludf.DUMMYFUNCTION("""COMPUTED_VALUE"""),4.0)</f>
        <v>4</v>
      </c>
      <c r="O501" s="213">
        <f>IFERROR(__xludf.DUMMYFUNCTION("""COMPUTED_VALUE"""),4.0)</f>
        <v>4</v>
      </c>
      <c r="P501" s="213"/>
      <c r="Q501" s="213"/>
      <c r="R501" s="213"/>
      <c r="S501" s="213"/>
      <c r="T501" s="213" t="str">
        <f>IFERROR(__xludf.DUMMYFUNCTION("""COMPUTED_VALUE"""),"CONSULTA FINAL")</f>
        <v>CONSULTA FINAL</v>
      </c>
      <c r="U501" s="213"/>
      <c r="V501" s="213" t="str">
        <f>IFERROR(__xludf.DUMMYFUNCTION("""COMPUTED_VALUE"""),"-")</f>
        <v>-</v>
      </c>
      <c r="W501" s="213" t="str">
        <f>IFERROR(__xludf.DUMMYFUNCTION("""COMPUTED_VALUE"""),"CRÍTICO")</f>
        <v>CRÍTICO</v>
      </c>
      <c r="X501" s="213" t="str">
        <f>IFERROR(__xludf.DUMMYFUNCTION("""COMPUTED_VALUE"""),"A MEDIDA")</f>
        <v>A MEDIDA</v>
      </c>
      <c r="Y501" s="213" t="str">
        <f>IFERROR(__xludf.DUMMYFUNCTION("""COMPUTED_VALUE"""),"A MEDIDA")</f>
        <v>A MEDIDA</v>
      </c>
      <c r="Z501" s="213" t="str">
        <f>IFERROR(__xludf.DUMMYFUNCTION("""COMPUTED_VALUE"""),"A MEDIDA")</f>
        <v>A MEDIDA</v>
      </c>
      <c r="AA501" s="213" t="str">
        <f>IFERROR(__xludf.DUMMYFUNCTION("""COMPUTED_VALUE"""),"COM-233 JUEGO DE MODELOS MUEBLES A ESCALA PARA DIBUJAR PROYECCIONES (ISOMÉTRICAS, ORTOGONALES Y CORTES) - CET")</f>
        <v>COM-233 JUEGO DE MODELOS MUEBLES A ESCALA PARA DIBUJAR PROYECCIONES (ISOMÉTRICAS, ORTOGONALES Y CORTES) - CET</v>
      </c>
      <c r="AB501" s="213"/>
      <c r="AC501" s="213"/>
      <c r="AD501" s="213"/>
      <c r="AE501" s="213"/>
      <c r="AF501" s="213"/>
      <c r="AG501" s="213"/>
      <c r="AH501" s="213"/>
      <c r="AI501" s="213"/>
      <c r="AJ501" s="213"/>
      <c r="AK501" s="213"/>
      <c r="AL501" s="213"/>
      <c r="AM501" s="213"/>
      <c r="AN501" s="213"/>
      <c r="AO501" s="213"/>
      <c r="AP501" s="213" t="str">
        <f>IFERROR(__xludf.DUMMYFUNCTION("""COMPUTED_VALUE"""),"SEBASTIAN")</f>
        <v>SEBASTIAN</v>
      </c>
      <c r="AQ501" s="213"/>
      <c r="AR501" s="213"/>
      <c r="AS501" s="213"/>
      <c r="AT501" s="213"/>
      <c r="AU501" s="213"/>
      <c r="AV501" s="213"/>
      <c r="AW501" s="213"/>
      <c r="AX501" s="213"/>
      <c r="AY501" s="213"/>
      <c r="AZ501" s="213"/>
      <c r="BA501" s="213"/>
      <c r="BB501" s="213"/>
      <c r="BC501" s="213"/>
      <c r="BD501" s="213"/>
    </row>
    <row r="502">
      <c r="A502" s="213">
        <f>IFERROR(__xludf.DUMMYFUNCTION("""COMPUTED_VALUE"""),2559.0)</f>
        <v>2559</v>
      </c>
      <c r="B502" s="213" t="str">
        <f>IFERROR(__xludf.DUMMYFUNCTION("""COMPUTED_VALUE"""),"MANUEL ANTONIO MESONES MURO")</f>
        <v>MANUEL ANTONIO MESONES MURO</v>
      </c>
      <c r="C502" s="213" t="str">
        <f>IFERROR(__xludf.DUMMYFUNCTION("""COMPUTED_VALUE"""),"TALLER SFT DE EBANISTERÍA")</f>
        <v>TALLER SFT DE EBANISTERÍA</v>
      </c>
      <c r="D502" s="213" t="str">
        <f>IFERROR(__xludf.DUMMYFUNCTION("""COMPUTED_VALUE"""),"PEDAGOGICO")</f>
        <v>PEDAGOGICO</v>
      </c>
      <c r="E502" s="213" t="str">
        <f>IFERROR(__xludf.DUMMYFUNCTION("""COMPUTED_VALUE"""),"COM-233")</f>
        <v>COM-233</v>
      </c>
      <c r="F502" s="213" t="str">
        <f>IFERROR(__xludf.DUMMYFUNCTION("""COMPUTED_VALUE"""),"COM-233")</f>
        <v>COM-233</v>
      </c>
      <c r="G502" s="213"/>
      <c r="H502" s="213" t="str">
        <f>IFERROR(__xludf.DUMMYFUNCTION("""COMPUTED_VALUE"""),"JUEGO DE MODELOS MUEBLES A ESCALA PARA DIBUJAR PROYECCIONES (ISOMÉTRICAS, ORTOGO")</f>
        <v>JUEGO DE MODELOS MUEBLES A ESCALA PARA DIBUJAR PROYECCIONES (ISOMÉTRICAS, ORTOGO</v>
      </c>
      <c r="I502" s="213" t="str">
        <f>IFERROR(__xludf.DUMMYFUNCTION("""COMPUTED_VALUE"""),"Juego de Modelos de muebles a escala que permita identificar la forma y partes que conforman un mueble, elaborados en PVC u otro material similar o superior, comprende:
- 5 modelos de utilitarios de madera (lámparas, cofres, bandejas porta papeles, etc.)
"&amp;"- 5 modelos de artesanía
- 5 modelos de muebles de asiento
- 5 modelos de tablero
- 5 modelos de muebles descanso
- 5 modelos de muebles de cajón.
· Planos de los muebles a escala. En formatos tamaño A3, de papel bond de 80 gr, impreso en blanco y negro, "&amp;"enmicados
·Fichas tamaño A4, en papel bon de 80 gr. Impresos a todo color. las fichas contienen:
- Ficha 1: tipos de líneas normalizadas, con ejemplo de aplicación
- Ficha 2. Acotado. Elementos, normas con ejemplos de aplicación
- Ficha 3. Elementos de la"&amp;" proyección ortogonal y el cono de proyección
- Ficha 4. Representación de cortes y detalles.
- Ficha 5. Escalas
- Ficha 6: Representación de materiales en corte (ashurados)")</f>
        <v>Juego de Modelos de muebles a escala que permita identificar la forma y partes que conforman un mueble, elaborados en PVC u otro material similar o superior, comprende:
- 5 modelos de utilitarios de madera (lámparas, cofres, bandejas porta papeles, etc.)
- 5 modelos de artesanía
- 5 modelos de muebles de asiento
- 5 modelos de tablero
- 5 modelos de muebles descanso
- 5 modelos de muebles de cajón.
· Planos de los muebles a escala. En formatos tamaño A3, de papel bond de 80 gr, impreso en blanco y negro, enmicados
·Fichas tamaño A4, en papel bon de 80 gr. Impresos a todo color. las fichas contienen:
- Ficha 1: tipos de líneas normalizadas, con ejemplo de aplicación
- Ficha 2. Acotado. Elementos, normas con ejemplos de aplicación
- Ficha 3. Elementos de la proyección ortogonal y el cono de proyección
- Ficha 4. Representación de cortes y detalles.
- Ficha 5. Escalas
- Ficha 6: Representación de materiales en corte (ashurados)</v>
      </c>
      <c r="J502" s="213">
        <f>IFERROR(__xludf.DUMMYFUNCTION("""COMPUTED_VALUE"""),3.0)</f>
        <v>3</v>
      </c>
      <c r="K502" s="213" t="str">
        <f>IFERROR(__xludf.DUMMYFUNCTION("""COMPUTED_VALUE"""),"90 DÍAS CALENDARIO")</f>
        <v>90 DÍAS CALENDARIO</v>
      </c>
      <c r="L502" s="213" t="str">
        <f>IFERROR(__xludf.DUMMYFUNCTION("""COMPUTED_VALUE"""),"")</f>
        <v/>
      </c>
      <c r="M502" s="213">
        <f>IFERROR(__xludf.DUMMYFUNCTION("""COMPUTED_VALUE"""),1.0)</f>
        <v>1</v>
      </c>
      <c r="N502" s="213">
        <f>IFERROR(__xludf.DUMMYFUNCTION("""COMPUTED_VALUE"""),4.0)</f>
        <v>4</v>
      </c>
      <c r="O502" s="213">
        <f>IFERROR(__xludf.DUMMYFUNCTION("""COMPUTED_VALUE"""),4.0)</f>
        <v>4</v>
      </c>
      <c r="P502" s="213"/>
      <c r="Q502" s="213"/>
      <c r="R502" s="213"/>
      <c r="S502" s="213"/>
      <c r="T502" s="213" t="str">
        <f>IFERROR(__xludf.DUMMYFUNCTION("""COMPUTED_VALUE"""),"CONSULTA FINAL")</f>
        <v>CONSULTA FINAL</v>
      </c>
      <c r="U502" s="213"/>
      <c r="V502" s="213" t="str">
        <f>IFERROR(__xludf.DUMMYFUNCTION("""COMPUTED_VALUE"""),"-")</f>
        <v>-</v>
      </c>
      <c r="W502" s="213" t="str">
        <f>IFERROR(__xludf.DUMMYFUNCTION("""COMPUTED_VALUE"""),"CRÍTICO")</f>
        <v>CRÍTICO</v>
      </c>
      <c r="X502" s="213" t="str">
        <f>IFERROR(__xludf.DUMMYFUNCTION("""COMPUTED_VALUE"""),"A MEDIDA")</f>
        <v>A MEDIDA</v>
      </c>
      <c r="Y502" s="213" t="str">
        <f>IFERROR(__xludf.DUMMYFUNCTION("""COMPUTED_VALUE"""),"A MEDIDA")</f>
        <v>A MEDIDA</v>
      </c>
      <c r="Z502" s="213" t="str">
        <f>IFERROR(__xludf.DUMMYFUNCTION("""COMPUTED_VALUE"""),"A MEDIDA")</f>
        <v>A MEDIDA</v>
      </c>
      <c r="AA502" s="213" t="str">
        <f>IFERROR(__xludf.DUMMYFUNCTION("""COMPUTED_VALUE"""),"COM-233 JUEGO DE MODELOS MUEBLES A ESCALA PARA DIBUJAR PROYECCIONES (ISOMÉTRICAS, ORTOGONALES Y CORTES) - CET")</f>
        <v>COM-233 JUEGO DE MODELOS MUEBLES A ESCALA PARA DIBUJAR PROYECCIONES (ISOMÉTRICAS, ORTOGONALES Y CORTES) - CET</v>
      </c>
      <c r="AB502" s="213"/>
      <c r="AC502" s="213"/>
      <c r="AD502" s="213"/>
      <c r="AE502" s="213"/>
      <c r="AF502" s="213"/>
      <c r="AG502" s="213"/>
      <c r="AH502" s="213"/>
      <c r="AI502" s="213"/>
      <c r="AJ502" s="213"/>
      <c r="AK502" s="213"/>
      <c r="AL502" s="213"/>
      <c r="AM502" s="213"/>
      <c r="AN502" s="213"/>
      <c r="AO502" s="213"/>
      <c r="AP502" s="213" t="str">
        <f>IFERROR(__xludf.DUMMYFUNCTION("""COMPUTED_VALUE"""),"SEBASTIAN")</f>
        <v>SEBASTIAN</v>
      </c>
      <c r="AQ502" s="213"/>
      <c r="AR502" s="213"/>
      <c r="AS502" s="213"/>
      <c r="AT502" s="213"/>
      <c r="AU502" s="213"/>
      <c r="AV502" s="213"/>
      <c r="AW502" s="213"/>
      <c r="AX502" s="213"/>
      <c r="AY502" s="213"/>
      <c r="AZ502" s="213"/>
      <c r="BA502" s="213"/>
      <c r="BB502" s="213"/>
      <c r="BC502" s="213"/>
      <c r="BD502" s="213"/>
    </row>
    <row r="503">
      <c r="A503" s="213">
        <f>IFERROR(__xludf.DUMMYFUNCTION("""COMPUTED_VALUE"""),2523.0)</f>
        <v>2523</v>
      </c>
      <c r="B503" s="213" t="str">
        <f>IFERROR(__xludf.DUMMYFUNCTION("""COMPUTED_VALUE"""),"MANUEL ANTONIO MESONES MURO")</f>
        <v>MANUEL ANTONIO MESONES MURO</v>
      </c>
      <c r="C503" s="213" t="str">
        <f>IFERROR(__xludf.DUMMYFUNCTION("""COMPUTED_VALUE"""),"TALLER SFT DE CONSTRUCCIONES METÁLICAS")</f>
        <v>TALLER SFT DE CONSTRUCCIONES METÁLICAS</v>
      </c>
      <c r="D503" s="213" t="str">
        <f>IFERROR(__xludf.DUMMYFUNCTION("""COMPUTED_VALUE"""),"TICS")</f>
        <v>TICS</v>
      </c>
      <c r="E503" s="213" t="str">
        <f>IFERROR(__xludf.DUMMYFUNCTION("""COMPUTED_VALUE"""),"TEC-107")</f>
        <v>TEC-107</v>
      </c>
      <c r="F503" s="213" t="str">
        <f>IFERROR(__xludf.DUMMYFUNCTION("""COMPUTED_VALUE"""),"TEC-107-X")</f>
        <v>TEC-107-X</v>
      </c>
      <c r="G503" s="213"/>
      <c r="H503" s="213" t="str">
        <f>IFERROR(__xludf.DUMMYFUNCTION("""COMPUTED_VALUE"""),"EQUIPO DE GRABACIÓN PARA REPORTERO")</f>
        <v>EQUIPO DE GRABACIÓN PARA REPORTERO</v>
      </c>
      <c r="I503"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03" s="213">
        <f>IFERROR(__xludf.DUMMYFUNCTION("""COMPUTED_VALUE"""),3.0)</f>
        <v>3</v>
      </c>
      <c r="K503" s="213" t="str">
        <f>IFERROR(__xludf.DUMMYFUNCTION("""COMPUTED_VALUE"""),"170 DÍAS CALENDARIO")</f>
        <v>170 DÍAS CALENDARIO</v>
      </c>
      <c r="L503"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03" s="213">
        <f>IFERROR(__xludf.DUMMYFUNCTION("""COMPUTED_VALUE"""),1.0)</f>
        <v>1</v>
      </c>
      <c r="N503" s="213">
        <f>IFERROR(__xludf.DUMMYFUNCTION("""COMPUTED_VALUE"""),5.0)</f>
        <v>5</v>
      </c>
      <c r="O503" s="213">
        <f>IFERROR(__xludf.DUMMYFUNCTION("""COMPUTED_VALUE"""),5.0)</f>
        <v>5</v>
      </c>
      <c r="P503" s="213"/>
      <c r="Q503" s="213"/>
      <c r="R503" s="213"/>
      <c r="S503" s="213"/>
      <c r="T503" s="213" t="str">
        <f>IFERROR(__xludf.DUMMYFUNCTION("""COMPUTED_VALUE"""),"SI")</f>
        <v>SI</v>
      </c>
      <c r="U503" s="213" t="str">
        <f>IFERROR(__xludf.DUMMYFUNCTION("""COMPUTED_VALUE"""),"SI")</f>
        <v>SI</v>
      </c>
      <c r="V503" s="213" t="str">
        <f>IFERROR(__xludf.DUMMYFUNCTION("""COMPUTED_VALUE"""),"-")</f>
        <v>-</v>
      </c>
      <c r="W503" s="213" t="str">
        <f>IFERROR(__xludf.DUMMYFUNCTION("""COMPUTED_VALUE"""),"-")</f>
        <v>-</v>
      </c>
      <c r="X503" s="213" t="str">
        <f>IFERROR(__xludf.DUMMYFUNCTION("""COMPUTED_VALUE"""),"Sony")</f>
        <v>Sony</v>
      </c>
      <c r="Y503" s="213" t="str">
        <f>IFERROR(__xludf.DUMMYFUNCTION("""COMPUTED_VALUE"""),"ICD-PX470")</f>
        <v>ICD-PX470</v>
      </c>
      <c r="Z503"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03" s="213" t="str">
        <f>IFERROR(__xludf.DUMMYFUNCTION("""COMPUTED_VALUE"""),"TEC-107-B EQUIPO DE GRABACIÓN PARA REPORTERO - CET")</f>
        <v>TEC-107-B EQUIPO DE GRABACIÓN PARA REPORTERO - CET</v>
      </c>
      <c r="AB503" s="213"/>
      <c r="AC503" s="213"/>
      <c r="AD503" s="213"/>
      <c r="AE503" s="213"/>
      <c r="AF503" s="213"/>
      <c r="AG503" s="213"/>
      <c r="AH503" s="213" t="str">
        <f>IFERROR(__xludf.DUMMYFUNCTION("""COMPUTED_VALUE"""),"NACIONAL")</f>
        <v>NACIONAL</v>
      </c>
      <c r="AI503" s="213"/>
      <c r="AJ503" s="213"/>
      <c r="AK503" s="213"/>
      <c r="AL503" s="213"/>
      <c r="AM503" s="213"/>
      <c r="AN503" s="213"/>
      <c r="AO503" s="213"/>
      <c r="AP503" s="213" t="str">
        <f>IFERROR(__xludf.DUMMYFUNCTION("""COMPUTED_VALUE"""),"NALDI")</f>
        <v>NALDI</v>
      </c>
      <c r="AQ503" s="213"/>
      <c r="AR503" s="213"/>
      <c r="AS503" s="213" t="str">
        <f>IFERROR(__xludf.DUMMYFUNCTION("""COMPUTED_VALUE"""),"Baterías alcalinas LR04 (tamaño AAA)")</f>
        <v>Baterías alcalinas LR04 (tamaño AAA)</v>
      </c>
      <c r="AT503" s="213"/>
      <c r="AU503" s="213"/>
      <c r="AV503" s="213"/>
      <c r="AW503" s="213"/>
      <c r="AX503" s="213"/>
      <c r="AY503" s="213"/>
      <c r="AZ503" s="213"/>
      <c r="BA503" s="213"/>
      <c r="BB503" s="213"/>
      <c r="BC503" s="213"/>
      <c r="BD503" s="213"/>
    </row>
    <row r="504">
      <c r="A504" s="213">
        <f>IFERROR(__xludf.DUMMYFUNCTION("""COMPUTED_VALUE"""),922.0)</f>
        <v>922</v>
      </c>
      <c r="B504" s="213" t="str">
        <f>IFERROR(__xludf.DUMMYFUNCTION("""COMPUTED_VALUE"""),"FRANCISCO IRAZOLA")</f>
        <v>FRANCISCO IRAZOLA</v>
      </c>
      <c r="C504" s="213" t="str">
        <f>IFERROR(__xludf.DUMMYFUNCTION("""COMPUTED_VALUE"""),"TALLER SFT DE MECÁNICA AUTOMOTRIZ")</f>
        <v>TALLER SFT DE MECÁNICA AUTOMOTRIZ</v>
      </c>
      <c r="D504" s="213" t="str">
        <f>IFERROR(__xludf.DUMMYFUNCTION("""COMPUTED_VALUE"""),"PEDAGOGICO")</f>
        <v>PEDAGOGICO</v>
      </c>
      <c r="E504" s="213" t="str">
        <f>IFERROR(__xludf.DUMMYFUNCTION("""COMPUTED_VALUE"""),"COM-235")</f>
        <v>COM-235</v>
      </c>
      <c r="F504" s="213" t="str">
        <f>IFERROR(__xludf.DUMMYFUNCTION("""COMPUTED_VALUE"""),"COM-235")</f>
        <v>COM-235</v>
      </c>
      <c r="G504" s="213"/>
      <c r="H504" s="213" t="str">
        <f>IFERROR(__xludf.DUMMYFUNCTION("""COMPUTED_VALUE"""),"JUEGO DE MODELOS PIEZAS MECÁNICAS (SOLIDOS) A ESCALA PARA DIBUJAR PROYECCIONES (ISOMÉTRICAS, ORTOGONALES Y CORTES)")</f>
        <v>JUEGO DE MODELOS PIEZAS MECÁNICAS (SOLIDOS) A ESCALA PARA DIBUJAR PROYECCIONES (ISOMÉTRICAS, ORTOGONALES Y CORTES)</v>
      </c>
      <c r="I504" s="213" t="str">
        <f>IFERROR(__xludf.DUMMYFUNCTION("""COMPUTED_VALUE"""),"·Los sólidos son objetos tridimensionales, están elaborados de material sintético o madera, la dimensión máxima de cada solido por lado es 100 mm
· El juego contiene los siguientes Solidos 10 solidos regulares e irregulares de interior hueco, seccionado v"&amp;"erticalmente, de diversas formas.
·Los sólidos permiten dibujar a escala proyecciones isométricas, proyecciones ortogonales y cortes y detalles.
·Los sólidos permiten dibujar: biseles, radios, arcos, circunferencias, acotados de diversos en proyección iso"&amp;"métrica y ortogonal.
· Contiene fichas tamaño A4, en papel bon de 80 gr, enmicadas Impresos a todo color, las cuales presentan imágenes, esquemas y textos sobre.
-  tipos de líneas normalizadas, con ejemplo de aplicación
-  Acotado. Elementos, normas con "&amp;"ejemplos de aplicación
-  Proyección Oblicua e isométricas
-  Elementos de la proyección ortogonal y el cono de proyección
-   Dibujos en proyección isométrica y ortogonal en el sistema ISO y ASA
-   Escalas
-   Corte y detalles
·   Las fichas esta vincul"&amp;"adas a información digital, videos mediante código QR.")</f>
        <v>·Los sólidos son objetos tridimensionales, están elaborados de material sintético o madera, la dimensión máxima de cada solido por lado es 100 mm
· El juego contiene los siguientes Solidos 10 solidos regulares e irregulares de interior hueco, seccionado verticalmente, de diversas formas.
·Los sólidos permiten dibujar a escala proyecciones isométricas, proyecciones ortogonales y cortes y detalles.
·Los sólidos permiten dibujar: biseles, radios, arcos, circunferencias, acotados de diversos en proyección isométrica y ortogonal.
· Contiene fichas tamaño A4, en papel bon de 80 gr, enmicadas Impresos a todo color, las cuales presentan imágenes, esquemas y textos sobre.
-  tipos de líneas normalizadas, con ejemplo de aplicación
-  Acotado. Elementos, normas con ejemplos de aplicación
-  Proyección Oblicua e isométricas
-  Elementos de la proyección ortogonal y el cono de proyección
-   Dibujos en proyección isométrica y ortogonal en el sistema ISO y ASA
-   Escalas
-   Corte y detalles
·   Las fichas esta vinculadas a información digital, videos mediante código QR.</v>
      </c>
      <c r="J504" s="213">
        <f>IFERROR(__xludf.DUMMYFUNCTION("""COMPUTED_VALUE"""),3.0)</f>
        <v>3</v>
      </c>
      <c r="K504" s="213" t="str">
        <f>IFERROR(__xludf.DUMMYFUNCTION("""COMPUTED_VALUE"""),"90 DÍAS CALENDARIO")</f>
        <v>90 DÍAS CALENDARIO</v>
      </c>
      <c r="L504" s="213" t="str">
        <f>IFERROR(__xludf.DUMMYFUNCTION("""COMPUTED_VALUE"""),"")</f>
        <v/>
      </c>
      <c r="M504" s="213">
        <f>IFERROR(__xludf.DUMMYFUNCTION("""COMPUTED_VALUE"""),1.0)</f>
        <v>1</v>
      </c>
      <c r="N504" s="213">
        <f>IFERROR(__xludf.DUMMYFUNCTION("""COMPUTED_VALUE"""),4.0)</f>
        <v>4</v>
      </c>
      <c r="O504" s="213">
        <f>IFERROR(__xludf.DUMMYFUNCTION("""COMPUTED_VALUE"""),4.0)</f>
        <v>4</v>
      </c>
      <c r="P504" s="213"/>
      <c r="Q504" s="213"/>
      <c r="R504" s="213"/>
      <c r="S504" s="213"/>
      <c r="T504" s="213" t="str">
        <f>IFERROR(__xludf.DUMMYFUNCTION("""COMPUTED_VALUE"""),"CONSULTA FINAL")</f>
        <v>CONSULTA FINAL</v>
      </c>
      <c r="U504" s="213"/>
      <c r="V504" s="213" t="str">
        <f>IFERROR(__xludf.DUMMYFUNCTION("""COMPUTED_VALUE"""),"-")</f>
        <v>-</v>
      </c>
      <c r="W504" s="213" t="str">
        <f>IFERROR(__xludf.DUMMYFUNCTION("""COMPUTED_VALUE"""),"CRÍTICO")</f>
        <v>CRÍTICO</v>
      </c>
      <c r="X504" s="213" t="str">
        <f>IFERROR(__xludf.DUMMYFUNCTION("""COMPUTED_VALUE"""),"A MEDIDA")</f>
        <v>A MEDIDA</v>
      </c>
      <c r="Y504" s="213" t="str">
        <f>IFERROR(__xludf.DUMMYFUNCTION("""COMPUTED_VALUE"""),"A MEDIDA")</f>
        <v>A MEDIDA</v>
      </c>
      <c r="Z504" s="213" t="str">
        <f>IFERROR(__xludf.DUMMYFUNCTION("""COMPUTED_VALUE"""),"A MEDIDA")</f>
        <v>A MEDIDA</v>
      </c>
      <c r="AA504" s="213" t="str">
        <f>IFERROR(__xludf.DUMMYFUNCTION("""COMPUTED_VALUE"""),"COM-235 JUEGO DE MODELOS PIEZAS MECÁNICAS (SOLIDOS) A ESCALA PARA DIBUJAR PROYECCIONES - CET")</f>
        <v>COM-235 JUEGO DE MODELOS PIEZAS MECÁNICAS (SOLIDOS) A ESCALA PARA DIBUJAR PROYECCIONES - CET</v>
      </c>
      <c r="AB504" s="213"/>
      <c r="AC504" s="213"/>
      <c r="AD504" s="213"/>
      <c r="AE504" s="213"/>
      <c r="AF504" s="213"/>
      <c r="AG504" s="213"/>
      <c r="AH504" s="213"/>
      <c r="AI504" s="213"/>
      <c r="AJ504" s="213"/>
      <c r="AK504" s="213"/>
      <c r="AL504" s="213"/>
      <c r="AM504" s="213"/>
      <c r="AN504" s="213"/>
      <c r="AO504" s="213"/>
      <c r="AP504" s="213" t="str">
        <f>IFERROR(__xludf.DUMMYFUNCTION("""COMPUTED_VALUE"""),"SEBASTIAN")</f>
        <v>SEBASTIAN</v>
      </c>
      <c r="AQ504" s="213"/>
      <c r="AR504" s="213"/>
      <c r="AS504" s="213"/>
      <c r="AT504" s="213"/>
      <c r="AU504" s="213"/>
      <c r="AV504" s="213"/>
      <c r="AW504" s="213"/>
      <c r="AX504" s="213"/>
      <c r="AY504" s="213"/>
      <c r="AZ504" s="213"/>
      <c r="BA504" s="213"/>
      <c r="BB504" s="213"/>
      <c r="BC504" s="213"/>
      <c r="BD504" s="213"/>
    </row>
    <row r="505">
      <c r="A505" s="213">
        <f>IFERROR(__xludf.DUMMYFUNCTION("""COMPUTED_VALUE"""),1523.0)</f>
        <v>1523</v>
      </c>
      <c r="B505" s="213" t="str">
        <f>IFERROR(__xludf.DUMMYFUNCTION("""COMPUTED_VALUE"""),"GUILLERMO E. BILLINGHURST ")</f>
        <v>GUILLERMO E. BILLINGHURST </v>
      </c>
      <c r="C505" s="213" t="str">
        <f>IFERROR(__xludf.DUMMYFUNCTION("""COMPUTED_VALUE"""),"TALLER SFT DE MECÁNICA AUTOMOTRIZ")</f>
        <v>TALLER SFT DE MECÁNICA AUTOMOTRIZ</v>
      </c>
      <c r="D505" s="213" t="str">
        <f>IFERROR(__xludf.DUMMYFUNCTION("""COMPUTED_VALUE"""),"PEDAGOGICO")</f>
        <v>PEDAGOGICO</v>
      </c>
      <c r="E505" s="213" t="str">
        <f>IFERROR(__xludf.DUMMYFUNCTION("""COMPUTED_VALUE"""),"COM-235")</f>
        <v>COM-235</v>
      </c>
      <c r="F505" s="213" t="str">
        <f>IFERROR(__xludf.DUMMYFUNCTION("""COMPUTED_VALUE"""),"COM-235")</f>
        <v>COM-235</v>
      </c>
      <c r="G505" s="213"/>
      <c r="H505" s="213" t="str">
        <f>IFERROR(__xludf.DUMMYFUNCTION("""COMPUTED_VALUE"""),"JUEGO DE MODELOS PIEZAS MECÁNICAS (SOLIDOS) A ESCALA PARA DIBUJAR PROYECCIONES (ISOMÉTRICAS, ORTOGONALES Y CORTES)")</f>
        <v>JUEGO DE MODELOS PIEZAS MECÁNICAS (SOLIDOS) A ESCALA PARA DIBUJAR PROYECCIONES (ISOMÉTRICAS, ORTOGONALES Y CORTES)</v>
      </c>
      <c r="I505" s="213" t="str">
        <f>IFERROR(__xludf.DUMMYFUNCTION("""COMPUTED_VALUE"""),"·Los sólidos son objetos tridimensionales, están elaborados de material sintético o madera, la dimensión máxima de cada solido por lado es 100 mm
· El juego contiene los siguientes Solidos 10 solidos regulares e irregulares de interior hueco, seccionado v"&amp;"erticalmente, de diversas formas.
·Los sólidos permiten dibujar a escala proyecciones isométricas, proyecciones ortogonales y cortes y detalles.
·Los sólidos permiten dibujar: biseles, radios, arcos, circunferencias, acotados de diversos en proyección iso"&amp;"métrica y ortogonal.
· Contiene fichas tamaño A4, en papel bon de 80 gr, enmicadas Impresos a todo color, las cuales presentan imágenes, esquemas y textos sobre.
-  tipos de líneas normalizadas, con ejemplo de aplicación
-  Acotado. Elementos, normas con "&amp;"ejemplos de aplicación
-  Proyección Oblicua e isométricas
-  Elementos de la proyección ortogonal y el cono de proyección
-   Dibujos en proyección isométrica y ortogonal en el sistema ISO y ASA
-   Escalas
-   Corte y detalles
·   Las fichas esta vincul"&amp;"adas a información digital, videos mediante código QR.")</f>
        <v>·Los sólidos son objetos tridimensionales, están elaborados de material sintético o madera, la dimensión máxima de cada solido por lado es 100 mm
· El juego contiene los siguientes Solidos 10 solidos regulares e irregulares de interior hueco, seccionado verticalmente, de diversas formas.
·Los sólidos permiten dibujar a escala proyecciones isométricas, proyecciones ortogonales y cortes y detalles.
·Los sólidos permiten dibujar: biseles, radios, arcos, circunferencias, acotados de diversos en proyección isométrica y ortogonal.
· Contiene fichas tamaño A4, en papel bon de 80 gr, enmicadas Impresos a todo color, las cuales presentan imágenes, esquemas y textos sobre.
-  tipos de líneas normalizadas, con ejemplo de aplicación
-  Acotado. Elementos, normas con ejemplos de aplicación
-  Proyección Oblicua e isométricas
-  Elementos de la proyección ortogonal y el cono de proyección
-   Dibujos en proyección isométrica y ortogonal en el sistema ISO y ASA
-   Escalas
-   Corte y detalles
·   Las fichas esta vinculadas a información digital, videos mediante código QR.</v>
      </c>
      <c r="J505" s="213">
        <f>IFERROR(__xludf.DUMMYFUNCTION("""COMPUTED_VALUE"""),3.0)</f>
        <v>3</v>
      </c>
      <c r="K505" s="213" t="str">
        <f>IFERROR(__xludf.DUMMYFUNCTION("""COMPUTED_VALUE"""),"90 DÍAS CALENDARIO")</f>
        <v>90 DÍAS CALENDARIO</v>
      </c>
      <c r="L505" s="213" t="str">
        <f>IFERROR(__xludf.DUMMYFUNCTION("""COMPUTED_VALUE"""),"")</f>
        <v/>
      </c>
      <c r="M505" s="213">
        <f>IFERROR(__xludf.DUMMYFUNCTION("""COMPUTED_VALUE"""),1.0)</f>
        <v>1</v>
      </c>
      <c r="N505" s="213">
        <f>IFERROR(__xludf.DUMMYFUNCTION("""COMPUTED_VALUE"""),4.0)</f>
        <v>4</v>
      </c>
      <c r="O505" s="213">
        <f>IFERROR(__xludf.DUMMYFUNCTION("""COMPUTED_VALUE"""),4.0)</f>
        <v>4</v>
      </c>
      <c r="P505" s="213"/>
      <c r="Q505" s="213"/>
      <c r="R505" s="213"/>
      <c r="S505" s="213"/>
      <c r="T505" s="213" t="str">
        <f>IFERROR(__xludf.DUMMYFUNCTION("""COMPUTED_VALUE"""),"CONSULTA FINAL")</f>
        <v>CONSULTA FINAL</v>
      </c>
      <c r="U505" s="213"/>
      <c r="V505" s="213" t="str">
        <f>IFERROR(__xludf.DUMMYFUNCTION("""COMPUTED_VALUE"""),"-")</f>
        <v>-</v>
      </c>
      <c r="W505" s="213" t="str">
        <f>IFERROR(__xludf.DUMMYFUNCTION("""COMPUTED_VALUE"""),"CRÍTICO")</f>
        <v>CRÍTICO</v>
      </c>
      <c r="X505" s="213" t="str">
        <f>IFERROR(__xludf.DUMMYFUNCTION("""COMPUTED_VALUE"""),"A MEDIDA")</f>
        <v>A MEDIDA</v>
      </c>
      <c r="Y505" s="213" t="str">
        <f>IFERROR(__xludf.DUMMYFUNCTION("""COMPUTED_VALUE"""),"A MEDIDA")</f>
        <v>A MEDIDA</v>
      </c>
      <c r="Z505" s="213" t="str">
        <f>IFERROR(__xludf.DUMMYFUNCTION("""COMPUTED_VALUE"""),"A MEDIDA")</f>
        <v>A MEDIDA</v>
      </c>
      <c r="AA505" s="213" t="str">
        <f>IFERROR(__xludf.DUMMYFUNCTION("""COMPUTED_VALUE"""),"COM-235 JUEGO DE MODELOS PIEZAS MECÁNICAS (SOLIDOS) A ESCALA PARA DIBUJAR PROYECCIONES - CET")</f>
        <v>COM-235 JUEGO DE MODELOS PIEZAS MECÁNICAS (SOLIDOS) A ESCALA PARA DIBUJAR PROYECCIONES - CET</v>
      </c>
      <c r="AB505" s="213"/>
      <c r="AC505" s="213"/>
      <c r="AD505" s="213"/>
      <c r="AE505" s="213"/>
      <c r="AF505" s="213"/>
      <c r="AG505" s="213"/>
      <c r="AH505" s="213"/>
      <c r="AI505" s="213"/>
      <c r="AJ505" s="213"/>
      <c r="AK505" s="213"/>
      <c r="AL505" s="213"/>
      <c r="AM505" s="213"/>
      <c r="AN505" s="213"/>
      <c r="AO505" s="213"/>
      <c r="AP505" s="213" t="str">
        <f>IFERROR(__xludf.DUMMYFUNCTION("""COMPUTED_VALUE"""),"SEBASTIAN")</f>
        <v>SEBASTIAN</v>
      </c>
      <c r="AQ505" s="213"/>
      <c r="AR505" s="213"/>
      <c r="AS505" s="213"/>
      <c r="AT505" s="213"/>
      <c r="AU505" s="213"/>
      <c r="AV505" s="213"/>
      <c r="AW505" s="213"/>
      <c r="AX505" s="213"/>
      <c r="AY505" s="213"/>
      <c r="AZ505" s="213"/>
      <c r="BA505" s="213"/>
      <c r="BB505" s="213"/>
      <c r="BC505" s="213"/>
      <c r="BD505" s="213"/>
    </row>
    <row r="506">
      <c r="A506" s="213">
        <f>IFERROR(__xludf.DUMMYFUNCTION("""COMPUTED_VALUE"""),2217.0)</f>
        <v>2217</v>
      </c>
      <c r="B506" s="213" t="str">
        <f>IFERROR(__xludf.DUMMYFUNCTION("""COMPUTED_VALUE"""),"JOSE GRANDA")</f>
        <v>JOSE GRANDA</v>
      </c>
      <c r="C506" s="213" t="str">
        <f>IFERROR(__xludf.DUMMYFUNCTION("""COMPUTED_VALUE"""),"TALLER SFT DE MECÁNICA AUTOMOTRIZ")</f>
        <v>TALLER SFT DE MECÁNICA AUTOMOTRIZ</v>
      </c>
      <c r="D506" s="213" t="str">
        <f>IFERROR(__xludf.DUMMYFUNCTION("""COMPUTED_VALUE"""),"PEDAGOGICO")</f>
        <v>PEDAGOGICO</v>
      </c>
      <c r="E506" s="213" t="str">
        <f>IFERROR(__xludf.DUMMYFUNCTION("""COMPUTED_VALUE"""),"COM-235")</f>
        <v>COM-235</v>
      </c>
      <c r="F506" s="213" t="str">
        <f>IFERROR(__xludf.DUMMYFUNCTION("""COMPUTED_VALUE"""),"COM-235")</f>
        <v>COM-235</v>
      </c>
      <c r="G506" s="213"/>
      <c r="H506" s="213" t="str">
        <f>IFERROR(__xludf.DUMMYFUNCTION("""COMPUTED_VALUE"""),"JUEGO DE MODELOS PIEZAS MECÁNICAS (SOLIDOS) A ESCALA PARA DIBUJAR PROYECCIONES (ISOMÉTRICAS, ORTOGONALES Y CORTES)")</f>
        <v>JUEGO DE MODELOS PIEZAS MECÁNICAS (SOLIDOS) A ESCALA PARA DIBUJAR PROYECCIONES (ISOMÉTRICAS, ORTOGONALES Y CORTES)</v>
      </c>
      <c r="I506" s="213" t="str">
        <f>IFERROR(__xludf.DUMMYFUNCTION("""COMPUTED_VALUE"""),"·Los sólidos son objetos tridimensionales, están elaborados de material sintético o madera, la dimensión máxima de cada solido por lado es 100 mm
· El juego contiene los siguientes Solidos 10 solidos regulares e irregulares de interior hueco, seccionado v"&amp;"erticalmente, de diversas formas.
·Los sólidos permiten dibujar a escala proyecciones isométricas, proyecciones ortogonales y cortes y detalles.
·Los sólidos permiten dibujar: biseles, radios, arcos, circunferencias, acotados de diversos en proyección iso"&amp;"métrica y ortogonal.
· Contiene fichas tamaño A4, en papel bon de 80 gr, enmicadas Impresos a todo color, las cuales presentan imágenes, esquemas y textos sobre.
-  tipos de líneas normalizadas, con ejemplo de aplicación
-  Acotado. Elementos, normas con "&amp;"ejemplos de aplicación
-  Proyección Oblicua e isométricas
-  Elementos de la proyección ortogonal y el cono de proyección
-   Dibujos en proyección isométrica y ortogonal en el sistema ISO y ASA
-   Escalas
-   Corte y detalles
·   Las fichas esta vincul"&amp;"adas a información digital, videos mediante código QR.")</f>
        <v>·Los sólidos son objetos tridimensionales, están elaborados de material sintético o madera, la dimensión máxima de cada solido por lado es 100 mm
· El juego contiene los siguientes Solidos 10 solidos regulares e irregulares de interior hueco, seccionado verticalmente, de diversas formas.
·Los sólidos permiten dibujar a escala proyecciones isométricas, proyecciones ortogonales y cortes y detalles.
·Los sólidos permiten dibujar: biseles, radios, arcos, circunferencias, acotados de diversos en proyección isométrica y ortogonal.
· Contiene fichas tamaño A4, en papel bon de 80 gr, enmicadas Impresos a todo color, las cuales presentan imágenes, esquemas y textos sobre.
-  tipos de líneas normalizadas, con ejemplo de aplicación
-  Acotado. Elementos, normas con ejemplos de aplicación
-  Proyección Oblicua e isométricas
-  Elementos de la proyección ortogonal y el cono de proyección
-   Dibujos en proyección isométrica y ortogonal en el sistema ISO y ASA
-   Escalas
-   Corte y detalles
·   Las fichas esta vinculadas a información digital, videos mediante código QR.</v>
      </c>
      <c r="J506" s="213">
        <f>IFERROR(__xludf.DUMMYFUNCTION("""COMPUTED_VALUE"""),3.0)</f>
        <v>3</v>
      </c>
      <c r="K506" s="213" t="str">
        <f>IFERROR(__xludf.DUMMYFUNCTION("""COMPUTED_VALUE"""),"90 DÍAS CALENDARIO")</f>
        <v>90 DÍAS CALENDARIO</v>
      </c>
      <c r="L506" s="213" t="str">
        <f>IFERROR(__xludf.DUMMYFUNCTION("""COMPUTED_VALUE"""),"")</f>
        <v/>
      </c>
      <c r="M506" s="213">
        <f>IFERROR(__xludf.DUMMYFUNCTION("""COMPUTED_VALUE"""),1.0)</f>
        <v>1</v>
      </c>
      <c r="N506" s="213">
        <f>IFERROR(__xludf.DUMMYFUNCTION("""COMPUTED_VALUE"""),4.0)</f>
        <v>4</v>
      </c>
      <c r="O506" s="213">
        <f>IFERROR(__xludf.DUMMYFUNCTION("""COMPUTED_VALUE"""),4.0)</f>
        <v>4</v>
      </c>
      <c r="P506" s="213"/>
      <c r="Q506" s="213"/>
      <c r="R506" s="213"/>
      <c r="S506" s="213"/>
      <c r="T506" s="213" t="str">
        <f>IFERROR(__xludf.DUMMYFUNCTION("""COMPUTED_VALUE"""),"CONSULTA FINAL")</f>
        <v>CONSULTA FINAL</v>
      </c>
      <c r="U506" s="213"/>
      <c r="V506" s="213" t="str">
        <f>IFERROR(__xludf.DUMMYFUNCTION("""COMPUTED_VALUE"""),"-")</f>
        <v>-</v>
      </c>
      <c r="W506" s="213" t="str">
        <f>IFERROR(__xludf.DUMMYFUNCTION("""COMPUTED_VALUE"""),"CRÍTICO")</f>
        <v>CRÍTICO</v>
      </c>
      <c r="X506" s="213" t="str">
        <f>IFERROR(__xludf.DUMMYFUNCTION("""COMPUTED_VALUE"""),"A MEDIDA")</f>
        <v>A MEDIDA</v>
      </c>
      <c r="Y506" s="213" t="str">
        <f>IFERROR(__xludf.DUMMYFUNCTION("""COMPUTED_VALUE"""),"A MEDIDA")</f>
        <v>A MEDIDA</v>
      </c>
      <c r="Z506" s="213" t="str">
        <f>IFERROR(__xludf.DUMMYFUNCTION("""COMPUTED_VALUE"""),"A MEDIDA")</f>
        <v>A MEDIDA</v>
      </c>
      <c r="AA506" s="213" t="str">
        <f>IFERROR(__xludf.DUMMYFUNCTION("""COMPUTED_VALUE"""),"COM-235 JUEGO DE MODELOS PIEZAS MECÁNICAS (SOLIDOS) A ESCALA PARA DIBUJAR PROYECCIONES - CET")</f>
        <v>COM-235 JUEGO DE MODELOS PIEZAS MECÁNICAS (SOLIDOS) A ESCALA PARA DIBUJAR PROYECCIONES - CET</v>
      </c>
      <c r="AB506" s="213"/>
      <c r="AC506" s="213"/>
      <c r="AD506" s="213"/>
      <c r="AE506" s="213"/>
      <c r="AF506" s="213"/>
      <c r="AG506" s="213"/>
      <c r="AH506" s="213"/>
      <c r="AI506" s="213"/>
      <c r="AJ506" s="213"/>
      <c r="AK506" s="213"/>
      <c r="AL506" s="213"/>
      <c r="AM506" s="213"/>
      <c r="AN506" s="213"/>
      <c r="AO506" s="213"/>
      <c r="AP506" s="213" t="str">
        <f>IFERROR(__xludf.DUMMYFUNCTION("""COMPUTED_VALUE"""),"SEBASTIAN")</f>
        <v>SEBASTIAN</v>
      </c>
      <c r="AQ506" s="213"/>
      <c r="AR506" s="213"/>
      <c r="AS506" s="213"/>
      <c r="AT506" s="213"/>
      <c r="AU506" s="213"/>
      <c r="AV506" s="213"/>
      <c r="AW506" s="213"/>
      <c r="AX506" s="213"/>
      <c r="AY506" s="213"/>
      <c r="AZ506" s="213"/>
      <c r="BA506" s="213"/>
      <c r="BB506" s="213"/>
      <c r="BC506" s="213"/>
      <c r="BD506" s="213"/>
    </row>
    <row r="507">
      <c r="A507" s="213">
        <f>IFERROR(__xludf.DUMMYFUNCTION("""COMPUTED_VALUE"""),511.0)</f>
        <v>511</v>
      </c>
      <c r="B507" s="213" t="str">
        <f>IFERROR(__xludf.DUMMYFUNCTION("""COMPUTED_VALUE"""),"2026 SIMON BOLIVAR")</f>
        <v>2026 SIMON BOLIVAR</v>
      </c>
      <c r="C507" s="213" t="str">
        <f>IFERROR(__xludf.DUMMYFUNCTION("""COMPUTED_VALUE"""),"TALLER SFT DE INDUSTRIA ALIMENTARIA")</f>
        <v>TALLER SFT DE INDUSTRIA ALIMENTARIA</v>
      </c>
      <c r="D507" s="213" t="str">
        <f>IFERROR(__xludf.DUMMYFUNCTION("""COMPUTED_VALUE"""),"HERRAMIENTAS")</f>
        <v>HERRAMIENTAS</v>
      </c>
      <c r="E507" s="213" t="str">
        <f>IFERROR(__xludf.DUMMYFUNCTION("""COMPUTED_VALUE"""),"COM-236")</f>
        <v>COM-236</v>
      </c>
      <c r="F507" s="213" t="str">
        <f>IFERROR(__xludf.DUMMYFUNCTION("""COMPUTED_VALUE"""),"COM-236-X")</f>
        <v>COM-236-X</v>
      </c>
      <c r="G507" s="213"/>
      <c r="H507" s="213" t="str">
        <f>IFERROR(__xludf.DUMMYFUNCTION("""COMPUTED_VALUE"""),"JUEGO DE MOLDES CON CONO")</f>
        <v>JUEGO DE MOLDES CON CONO</v>
      </c>
      <c r="I507" s="213" t="str">
        <f>IFERROR(__xludf.DUMMYFUNCTION("""COMPUTED_VALUE"""),". Material Aluminio
. Moldes de 22cm, 24cm, 26 cm de diámetro
. Ideal para pastelería.
. Molde con cono")</f>
        <v>. Material Aluminio
. Moldes de 22cm, 24cm, 26 cm de diámetro
. Ideal para pastelería.
. Molde con cono</v>
      </c>
      <c r="J507" s="213">
        <f>IFERROR(__xludf.DUMMYFUNCTION("""COMPUTED_VALUE"""),3.0)</f>
        <v>3</v>
      </c>
      <c r="K507" s="213" t="str">
        <f>IFERROR(__xludf.DUMMYFUNCTION("""COMPUTED_VALUE"""),"90 DÍAS CALENDARIO")</f>
        <v>90 DÍAS CALENDARIO</v>
      </c>
      <c r="L507" s="213" t="str">
        <f>IFERROR(__xludf.DUMMYFUNCTION("""COMPUTED_VALUE"""),"")</f>
        <v/>
      </c>
      <c r="M507" s="213">
        <f>IFERROR(__xludf.DUMMYFUNCTION("""COMPUTED_VALUE"""),1.0)</f>
        <v>1</v>
      </c>
      <c r="N507" s="213">
        <f>IFERROR(__xludf.DUMMYFUNCTION("""COMPUTED_VALUE"""),4.0)</f>
        <v>4</v>
      </c>
      <c r="O507" s="213">
        <f>IFERROR(__xludf.DUMMYFUNCTION("""COMPUTED_VALUE"""),4.0)</f>
        <v>4</v>
      </c>
      <c r="P507" s="213"/>
      <c r="Q507" s="213"/>
      <c r="R507" s="213" t="str">
        <f>IFERROR(__xludf.DUMMYFUNCTION("""COMPUTED_VALUE"""),"SI")</f>
        <v>SI</v>
      </c>
      <c r="S507" s="213"/>
      <c r="T507" s="213" t="str">
        <f>IFERROR(__xludf.DUMMYFUNCTION("""COMPUTED_VALUE"""),"SI")</f>
        <v>SI</v>
      </c>
      <c r="U507" s="213" t="str">
        <f>IFERROR(__xludf.DUMMYFUNCTION("""COMPUTED_VALUE"""),"SI")</f>
        <v>SI</v>
      </c>
      <c r="V507" s="213" t="str">
        <f>IFERROR(__xludf.DUMMYFUNCTION("""COMPUTED_VALUE"""),"-")</f>
        <v>-</v>
      </c>
      <c r="W507" s="213" t="str">
        <f>IFERROR(__xludf.DUMMYFUNCTION("""COMPUTED_VALUE"""),"-")</f>
        <v>-</v>
      </c>
      <c r="X507" s="213" t="str">
        <f>IFERROR(__xludf.DUMMYFUNCTION("""COMPUTED_VALUE"""),"Genérico")</f>
        <v>Genérico</v>
      </c>
      <c r="Y507" s="213" t="str">
        <f>IFERROR(__xludf.DUMMYFUNCTION("""COMPUTED_VALUE"""),"SET DE 3 MOLDES DE KEKE CON TUBO ")</f>
        <v>SET DE 3 MOLDES DE KEKE CON TUBO </v>
      </c>
      <c r="Z507" s="215" t="str">
        <f>IFERROR(__xludf.DUMMYFUNCTION("""COMPUTED_VALUE"""),"https://simple.ripley.com.pe/set-de-3-moldes-de-keke-con-tubo-del-22-al-26-para-reposteria-pmp20001050540?color_80=aluminio&amp;s=mdco")</f>
        <v>https://simple.ripley.com.pe/set-de-3-moldes-de-keke-con-tubo-del-22-al-26-para-reposteria-pmp20001050540?color_80=aluminio&amp;s=mdco</v>
      </c>
      <c r="AA507" s="213" t="str">
        <f>IFERROR(__xludf.DUMMYFUNCTION("""COMPUTED_VALUE"""),"COM-236-X JUEGO DE MOLDES CON CONO - CET")</f>
        <v>COM-236-X JUEGO DE MOLDES CON CONO - CET</v>
      </c>
      <c r="AB507" s="213"/>
      <c r="AC507" s="213"/>
      <c r="AD507" s="213"/>
      <c r="AE507" s="213"/>
      <c r="AF507" s="213"/>
      <c r="AG507" s="213"/>
      <c r="AH507" s="213"/>
      <c r="AI507" s="213"/>
      <c r="AJ507" s="213"/>
      <c r="AK507" s="213"/>
      <c r="AL507" s="213"/>
      <c r="AM507" s="213"/>
      <c r="AN507" s="213"/>
      <c r="AO507" s="213"/>
      <c r="AP507" s="213" t="str">
        <f>IFERROR(__xludf.DUMMYFUNCTION("""COMPUTED_VALUE"""),"LUIS")</f>
        <v>LUIS</v>
      </c>
      <c r="AQ507" s="213"/>
      <c r="AR507" s="213"/>
      <c r="AS507" s="213"/>
      <c r="AT507" s="213"/>
      <c r="AU507" s="213"/>
      <c r="AV507" s="213"/>
      <c r="AW507" s="213"/>
      <c r="AX507" s="213"/>
      <c r="AY507" s="213"/>
      <c r="AZ507" s="213"/>
      <c r="BA507" s="213"/>
      <c r="BB507" s="213"/>
      <c r="BC507" s="213"/>
      <c r="BD507" s="213"/>
    </row>
    <row r="508">
      <c r="A508" s="213">
        <f>IFERROR(__xludf.DUMMYFUNCTION("""COMPUTED_VALUE"""),1141.0)</f>
        <v>1141</v>
      </c>
      <c r="B508" s="213" t="str">
        <f>IFERROR(__xludf.DUMMYFUNCTION("""COMPUTED_VALUE"""),"FRANCISCO IRAZOLA")</f>
        <v>FRANCISCO IRAZOLA</v>
      </c>
      <c r="C508" s="213" t="str">
        <f>IFERROR(__xludf.DUMMYFUNCTION("""COMPUTED_VALUE"""),"TALLER SFT DE INDUSTRIA ALIMENTARIA")</f>
        <v>TALLER SFT DE INDUSTRIA ALIMENTARIA</v>
      </c>
      <c r="D508" s="213" t="str">
        <f>IFERROR(__xludf.DUMMYFUNCTION("""COMPUTED_VALUE"""),"HERRAMIENTAS")</f>
        <v>HERRAMIENTAS</v>
      </c>
      <c r="E508" s="213" t="str">
        <f>IFERROR(__xludf.DUMMYFUNCTION("""COMPUTED_VALUE"""),"COM-236")</f>
        <v>COM-236</v>
      </c>
      <c r="F508" s="213" t="str">
        <f>IFERROR(__xludf.DUMMYFUNCTION("""COMPUTED_VALUE"""),"COM-236-X")</f>
        <v>COM-236-X</v>
      </c>
      <c r="G508" s="213"/>
      <c r="H508" s="213" t="str">
        <f>IFERROR(__xludf.DUMMYFUNCTION("""COMPUTED_VALUE"""),"JUEGO DE MOLDES CON CONO")</f>
        <v>JUEGO DE MOLDES CON CONO</v>
      </c>
      <c r="I508" s="213" t="str">
        <f>IFERROR(__xludf.DUMMYFUNCTION("""COMPUTED_VALUE"""),". Material Aluminio
. Moldes de 22cm, 24cm, 26 cm de diámetro
. Ideal para pastelería.
. Molde con cono")</f>
        <v>. Material Aluminio
. Moldes de 22cm, 24cm, 26 cm de diámetro
. Ideal para pastelería.
. Molde con cono</v>
      </c>
      <c r="J508" s="213">
        <f>IFERROR(__xludf.DUMMYFUNCTION("""COMPUTED_VALUE"""),3.0)</f>
        <v>3</v>
      </c>
      <c r="K508" s="213" t="str">
        <f>IFERROR(__xludf.DUMMYFUNCTION("""COMPUTED_VALUE"""),"90 DÍAS CALENDARIO")</f>
        <v>90 DÍAS CALENDARIO</v>
      </c>
      <c r="L508" s="213" t="str">
        <f>IFERROR(__xludf.DUMMYFUNCTION("""COMPUTED_VALUE"""),"")</f>
        <v/>
      </c>
      <c r="M508" s="213">
        <f>IFERROR(__xludf.DUMMYFUNCTION("""COMPUTED_VALUE"""),1.0)</f>
        <v>1</v>
      </c>
      <c r="N508" s="213">
        <f>IFERROR(__xludf.DUMMYFUNCTION("""COMPUTED_VALUE"""),4.0)</f>
        <v>4</v>
      </c>
      <c r="O508" s="213">
        <f>IFERROR(__xludf.DUMMYFUNCTION("""COMPUTED_VALUE"""),4.0)</f>
        <v>4</v>
      </c>
      <c r="P508" s="213"/>
      <c r="Q508" s="213"/>
      <c r="R508" s="213" t="str">
        <f>IFERROR(__xludf.DUMMYFUNCTION("""COMPUTED_VALUE"""),"SI")</f>
        <v>SI</v>
      </c>
      <c r="S508" s="213"/>
      <c r="T508" s="213" t="str">
        <f>IFERROR(__xludf.DUMMYFUNCTION("""COMPUTED_VALUE"""),"SI")</f>
        <v>SI</v>
      </c>
      <c r="U508" s="213" t="str">
        <f>IFERROR(__xludf.DUMMYFUNCTION("""COMPUTED_VALUE"""),"SI")</f>
        <v>SI</v>
      </c>
      <c r="V508" s="213" t="str">
        <f>IFERROR(__xludf.DUMMYFUNCTION("""COMPUTED_VALUE"""),"-")</f>
        <v>-</v>
      </c>
      <c r="W508" s="213" t="str">
        <f>IFERROR(__xludf.DUMMYFUNCTION("""COMPUTED_VALUE"""),"-")</f>
        <v>-</v>
      </c>
      <c r="X508" s="213" t="str">
        <f>IFERROR(__xludf.DUMMYFUNCTION("""COMPUTED_VALUE"""),"Genérico")</f>
        <v>Genérico</v>
      </c>
      <c r="Y508" s="213" t="str">
        <f>IFERROR(__xludf.DUMMYFUNCTION("""COMPUTED_VALUE"""),"SET DE 3 MOLDES DE KEKE CON TUBO ")</f>
        <v>SET DE 3 MOLDES DE KEKE CON TUBO </v>
      </c>
      <c r="Z508" s="215" t="str">
        <f>IFERROR(__xludf.DUMMYFUNCTION("""COMPUTED_VALUE"""),"https://simple.ripley.com.pe/set-de-3-moldes-de-keke-con-tubo-del-22-al-26-para-reposteria-pmp20001050540?color_80=aluminio&amp;s=mdco")</f>
        <v>https://simple.ripley.com.pe/set-de-3-moldes-de-keke-con-tubo-del-22-al-26-para-reposteria-pmp20001050540?color_80=aluminio&amp;s=mdco</v>
      </c>
      <c r="AA508" s="213" t="str">
        <f>IFERROR(__xludf.DUMMYFUNCTION("""COMPUTED_VALUE"""),"COM-236-X JUEGO DE MOLDES CON CONO - CET")</f>
        <v>COM-236-X JUEGO DE MOLDES CON CONO - CET</v>
      </c>
      <c r="AB508" s="213"/>
      <c r="AC508" s="213"/>
      <c r="AD508" s="213"/>
      <c r="AE508" s="213"/>
      <c r="AF508" s="213"/>
      <c r="AG508" s="213"/>
      <c r="AH508" s="213"/>
      <c r="AI508" s="213"/>
      <c r="AJ508" s="213"/>
      <c r="AK508" s="213"/>
      <c r="AL508" s="213"/>
      <c r="AM508" s="213"/>
      <c r="AN508" s="213"/>
      <c r="AO508" s="213"/>
      <c r="AP508" s="213" t="str">
        <f>IFERROR(__xludf.DUMMYFUNCTION("""COMPUTED_VALUE"""),"LUIS")</f>
        <v>LUIS</v>
      </c>
      <c r="AQ508" s="213"/>
      <c r="AR508" s="213"/>
      <c r="AS508" s="213"/>
      <c r="AT508" s="213"/>
      <c r="AU508" s="213"/>
      <c r="AV508" s="213"/>
      <c r="AW508" s="213"/>
      <c r="AX508" s="213"/>
      <c r="AY508" s="213"/>
      <c r="AZ508" s="213"/>
      <c r="BA508" s="213"/>
      <c r="BB508" s="213"/>
      <c r="BC508" s="213"/>
      <c r="BD508" s="213"/>
    </row>
    <row r="509">
      <c r="A509" s="213">
        <f>IFERROR(__xludf.DUMMYFUNCTION("""COMPUTED_VALUE"""),559.0)</f>
        <v>559</v>
      </c>
      <c r="B509" s="213" t="str">
        <f>IFERROR(__xludf.DUMMYFUNCTION("""COMPUTED_VALUE"""),"2026 SIMON BOLIVAR")</f>
        <v>2026 SIMON BOLIVAR</v>
      </c>
      <c r="C509" s="213" t="str">
        <f>IFERROR(__xludf.DUMMYFUNCTION("""COMPUTED_VALUE"""),"TALLER SFT DE INDUSTRIA ALIMENTARIA")</f>
        <v>TALLER SFT DE INDUSTRIA ALIMENTARIA</v>
      </c>
      <c r="D509" s="213" t="str">
        <f>IFERROR(__xludf.DUMMYFUNCTION("""COMPUTED_VALUE"""),"EQUIPOS")</f>
        <v>EQUIPOS</v>
      </c>
      <c r="E509" s="213" t="str">
        <f>IFERROR(__xludf.DUMMYFUNCTION("""COMPUTED_VALUE"""),"ESP-149")</f>
        <v>ESP-149</v>
      </c>
      <c r="F509" s="213" t="str">
        <f>IFERROR(__xludf.DUMMYFUNCTION("""COMPUTED_VALUE"""),"ESP-149")</f>
        <v>ESP-149</v>
      </c>
      <c r="G509" s="213"/>
      <c r="H509" s="213" t="str">
        <f>IFERROR(__xludf.DUMMYFUNCTION("""COMPUTED_VALUE"""),"DIVISORA DE PAN")</f>
        <v>DIVISORA DE PAN</v>
      </c>
      <c r="I509" s="213" t="str">
        <f>IFERROR(__xludf.DUMMYFUNCTION("""COMPUTED_VALUE"""),"· Divide en 30 piezas la masa.
· Capacidad 0.9 - 3.0kg
· Una palanca para cada función: presionar, nivelar y dividir.
· Equipo compacto y de alta producción
· Base con orificios para anclaje.
· Incluye una funda protectora impermeable para su almacenamien"&amp;"to.
· Medidas aproximadas:  L65cm x A50cm x 100 cm")</f>
        <v>· Divide en 30 piezas la masa.
· Capacidad 0.9 - 3.0kg
· Una palanca para cada función: presionar, nivelar y dividir.
· Equipo compacto y de alta producción
· Base con orificios para anclaje.
· Incluye una funda protectora impermeable para su almacenamiento.
· Medidas aproximadas:  L65cm x A50cm x 100 cm</v>
      </c>
      <c r="J509" s="213">
        <f>IFERROR(__xludf.DUMMYFUNCTION("""COMPUTED_VALUE"""),3.0)</f>
        <v>3</v>
      </c>
      <c r="K509" s="213" t="str">
        <f>IFERROR(__xludf.DUMMYFUNCTION("""COMPUTED_VALUE"""),"170 DÍAS CALENDARIO")</f>
        <v>170 DÍAS CALENDARIO</v>
      </c>
      <c r="L509" s="213" t="str">
        <f>IFERROR(__xludf.DUMMYFUNCTION("""COMPUTED_VALUE"""),"")</f>
        <v/>
      </c>
      <c r="M509" s="213">
        <f>IFERROR(__xludf.DUMMYFUNCTION("""COMPUTED_VALUE"""),1.0)</f>
        <v>1</v>
      </c>
      <c r="N509" s="213">
        <f>IFERROR(__xludf.DUMMYFUNCTION("""COMPUTED_VALUE"""),1.0)</f>
        <v>1</v>
      </c>
      <c r="O509" s="213">
        <f>IFERROR(__xludf.DUMMYFUNCTION("""COMPUTED_VALUE"""),1.0)</f>
        <v>1</v>
      </c>
      <c r="P509" s="213"/>
      <c r="Q509" s="213"/>
      <c r="R509" s="213"/>
      <c r="S509" s="213" t="str">
        <f>IFERROR(__xludf.DUMMYFUNCTION("""COMPUTED_VALUE"""),"SI")</f>
        <v>SI</v>
      </c>
      <c r="T509" s="213" t="str">
        <f>IFERROR(__xludf.DUMMYFUNCTION("""COMPUTED_VALUE"""),"SI")</f>
        <v>SI</v>
      </c>
      <c r="U509" s="213" t="str">
        <f>IFERROR(__xludf.DUMMYFUNCTION("""COMPUTED_VALUE"""),"SI")</f>
        <v>SI</v>
      </c>
      <c r="V509" s="213" t="str">
        <f>IFERROR(__xludf.DUMMYFUNCTION("""COMPUTED_VALUE"""),"-")</f>
        <v>-</v>
      </c>
      <c r="W509" s="213" t="str">
        <f>IFERROR(__xludf.DUMMYFUNCTION("""COMPUTED_VALUE"""),"-")</f>
        <v>-</v>
      </c>
      <c r="X509" s="213" t="str">
        <f>IFERROR(__xludf.DUMMYFUNCTION("""COMPUTED_VALUE"""),"INDUSTRIA CORTIJO")</f>
        <v>INDUSTRIA CORTIJO</v>
      </c>
      <c r="Y509" s="213" t="str">
        <f>IFERROR(__xludf.DUMMYFUNCTION("""COMPUTED_VALUE"""),"30C")</f>
        <v>30C</v>
      </c>
      <c r="Z509" s="215" t="str">
        <f>IFERROR(__xludf.DUMMYFUNCTION("""COMPUTED_VALUE"""),"https://industriacortijo.com/producto/divisora-de-masa-30c/?srsltid=AfmBOopliGy3OEApBKKY5iTlH0ohCa6YEKXYtinLPwRHBRkekXBEeZ-K")</f>
        <v>https://industriacortijo.com/producto/divisora-de-masa-30c/?srsltid=AfmBOopliGy3OEApBKKY5iTlH0ohCa6YEKXYtinLPwRHBRkekXBEeZ-K</v>
      </c>
      <c r="AA509" s="213" t="str">
        <f>IFERROR(__xludf.DUMMYFUNCTION("""COMPUTED_VALUE"""),"ESP-149 DIVISORA DE PAN - CET")</f>
        <v>ESP-149 DIVISORA DE PAN - CET</v>
      </c>
      <c r="AB509" s="215" t="str">
        <f>IFERROR(__xludf.DUMMYFUNCTION("""COMPUTED_VALUE"""),"https://drive.google.com/file/d/1be3v0_02RqgGRZ77Oqb4GHhEUkTRmdrF/view")</f>
        <v>https://drive.google.com/file/d/1be3v0_02RqgGRZ77Oqb4GHhEUkTRmdrF/view</v>
      </c>
      <c r="AC509" s="213"/>
      <c r="AD509" s="213"/>
      <c r="AE509" s="213"/>
      <c r="AF509" s="213"/>
      <c r="AG509" s="213"/>
      <c r="AH509" s="213"/>
      <c r="AI509" s="213"/>
      <c r="AJ509" s="213"/>
      <c r="AK509" s="213"/>
      <c r="AL509" s="213"/>
      <c r="AM509" s="213"/>
      <c r="AN509" s="213"/>
      <c r="AO509" s="213"/>
      <c r="AP509" s="213" t="str">
        <f>IFERROR(__xludf.DUMMYFUNCTION("""COMPUTED_VALUE"""),"ANTONELLA")</f>
        <v>ANTONELLA</v>
      </c>
      <c r="AQ509" s="213"/>
      <c r="AR509" s="213"/>
      <c r="AS509" s="217" t="str">
        <f>IFERROR(__xludf.DUMMYFUNCTION("""COMPUTED_VALUE"""),"FUNDA IMPERMEABLE")</f>
        <v>FUNDA IMPERMEABLE</v>
      </c>
      <c r="AT509" s="213"/>
      <c r="AU509" s="213"/>
      <c r="AV509" s="213"/>
      <c r="AW509" s="213"/>
      <c r="AX509" s="213"/>
      <c r="AY509" s="213"/>
      <c r="AZ509" s="213"/>
      <c r="BA509" s="213"/>
      <c r="BB509" s="213"/>
      <c r="BC509" s="213"/>
      <c r="BD509" s="213"/>
    </row>
    <row r="510">
      <c r="A510" s="213">
        <f>IFERROR(__xludf.DUMMYFUNCTION("""COMPUTED_VALUE"""),1186.0)</f>
        <v>1186</v>
      </c>
      <c r="B510" s="213" t="str">
        <f>IFERROR(__xludf.DUMMYFUNCTION("""COMPUTED_VALUE"""),"FRANCISCO IRAZOLA")</f>
        <v>FRANCISCO IRAZOLA</v>
      </c>
      <c r="C510" s="213" t="str">
        <f>IFERROR(__xludf.DUMMYFUNCTION("""COMPUTED_VALUE"""),"TALLER SFT DE INDUSTRIA ALIMENTARIA")</f>
        <v>TALLER SFT DE INDUSTRIA ALIMENTARIA</v>
      </c>
      <c r="D510" s="213" t="str">
        <f>IFERROR(__xludf.DUMMYFUNCTION("""COMPUTED_VALUE"""),"EQUIPOS")</f>
        <v>EQUIPOS</v>
      </c>
      <c r="E510" s="213" t="str">
        <f>IFERROR(__xludf.DUMMYFUNCTION("""COMPUTED_VALUE"""),"ESP-149")</f>
        <v>ESP-149</v>
      </c>
      <c r="F510" s="213" t="str">
        <f>IFERROR(__xludf.DUMMYFUNCTION("""COMPUTED_VALUE"""),"ESP-149")</f>
        <v>ESP-149</v>
      </c>
      <c r="G510" s="213"/>
      <c r="H510" s="213" t="str">
        <f>IFERROR(__xludf.DUMMYFUNCTION("""COMPUTED_VALUE"""),"DIVISORA DE PAN")</f>
        <v>DIVISORA DE PAN</v>
      </c>
      <c r="I510" s="213" t="str">
        <f>IFERROR(__xludf.DUMMYFUNCTION("""COMPUTED_VALUE"""),"· Divide en 30 piezas la masa.
· Capacidad 0.9 - 3.0kg
· Una palanca para cada función: presionar, nivelar y dividir.
· Equipo compacto y de alta producción
· Base con orificios para anclaje.
· Incluye una funda protectora impermeable para su almacenamien"&amp;"to.
· Medidas aproximadas:  L65cm x A50cm x 100 cm")</f>
        <v>· Divide en 30 piezas la masa.
· Capacidad 0.9 - 3.0kg
· Una palanca para cada función: presionar, nivelar y dividir.
· Equipo compacto y de alta producción
· Base con orificios para anclaje.
· Incluye una funda protectora impermeable para su almacenamiento.
· Medidas aproximadas:  L65cm x A50cm x 100 cm</v>
      </c>
      <c r="J510" s="213">
        <f>IFERROR(__xludf.DUMMYFUNCTION("""COMPUTED_VALUE"""),3.0)</f>
        <v>3</v>
      </c>
      <c r="K510" s="213" t="str">
        <f>IFERROR(__xludf.DUMMYFUNCTION("""COMPUTED_VALUE"""),"170 DÍAS CALENDARIO")</f>
        <v>170 DÍAS CALENDARIO</v>
      </c>
      <c r="L510" s="213" t="str">
        <f>IFERROR(__xludf.DUMMYFUNCTION("""COMPUTED_VALUE"""),"")</f>
        <v/>
      </c>
      <c r="M510" s="213">
        <f>IFERROR(__xludf.DUMMYFUNCTION("""COMPUTED_VALUE"""),1.0)</f>
        <v>1</v>
      </c>
      <c r="N510" s="213">
        <f>IFERROR(__xludf.DUMMYFUNCTION("""COMPUTED_VALUE"""),1.0)</f>
        <v>1</v>
      </c>
      <c r="O510" s="213">
        <f>IFERROR(__xludf.DUMMYFUNCTION("""COMPUTED_VALUE"""),1.0)</f>
        <v>1</v>
      </c>
      <c r="P510" s="213"/>
      <c r="Q510" s="213"/>
      <c r="R510" s="213"/>
      <c r="S510" s="213" t="str">
        <f>IFERROR(__xludf.DUMMYFUNCTION("""COMPUTED_VALUE"""),"SI")</f>
        <v>SI</v>
      </c>
      <c r="T510" s="213" t="str">
        <f>IFERROR(__xludf.DUMMYFUNCTION("""COMPUTED_VALUE"""),"SI")</f>
        <v>SI</v>
      </c>
      <c r="U510" s="213" t="str">
        <f>IFERROR(__xludf.DUMMYFUNCTION("""COMPUTED_VALUE"""),"SI")</f>
        <v>SI</v>
      </c>
      <c r="V510" s="213" t="str">
        <f>IFERROR(__xludf.DUMMYFUNCTION("""COMPUTED_VALUE"""),"-")</f>
        <v>-</v>
      </c>
      <c r="W510" s="213" t="str">
        <f>IFERROR(__xludf.DUMMYFUNCTION("""COMPUTED_VALUE"""),"-")</f>
        <v>-</v>
      </c>
      <c r="X510" s="213" t="str">
        <f>IFERROR(__xludf.DUMMYFUNCTION("""COMPUTED_VALUE"""),"INDUSTRIA CORTIJO")</f>
        <v>INDUSTRIA CORTIJO</v>
      </c>
      <c r="Y510" s="213" t="str">
        <f>IFERROR(__xludf.DUMMYFUNCTION("""COMPUTED_VALUE"""),"30C")</f>
        <v>30C</v>
      </c>
      <c r="Z510" s="215" t="str">
        <f>IFERROR(__xludf.DUMMYFUNCTION("""COMPUTED_VALUE"""),"https://industriacortijo.com/producto/divisora-de-masa-30c/?srsltid=AfmBOopliGy3OEApBKKY5iTlH0ohCa6YEKXYtinLPwRHBRkekXBEeZ-K")</f>
        <v>https://industriacortijo.com/producto/divisora-de-masa-30c/?srsltid=AfmBOopliGy3OEApBKKY5iTlH0ohCa6YEKXYtinLPwRHBRkekXBEeZ-K</v>
      </c>
      <c r="AA510" s="213" t="str">
        <f>IFERROR(__xludf.DUMMYFUNCTION("""COMPUTED_VALUE"""),"ESP-149 DIVISORA DE PAN - CET")</f>
        <v>ESP-149 DIVISORA DE PAN - CET</v>
      </c>
      <c r="AB510" s="215" t="str">
        <f>IFERROR(__xludf.DUMMYFUNCTION("""COMPUTED_VALUE"""),"https://drive.google.com/file/d/1be3v0_02RqgGRZ77Oqb4GHhEUkTRmdrF/view")</f>
        <v>https://drive.google.com/file/d/1be3v0_02RqgGRZ77Oqb4GHhEUkTRmdrF/view</v>
      </c>
      <c r="AC510" s="213"/>
      <c r="AD510" s="213"/>
      <c r="AE510" s="213"/>
      <c r="AF510" s="213"/>
      <c r="AG510" s="213"/>
      <c r="AH510" s="213"/>
      <c r="AI510" s="213"/>
      <c r="AJ510" s="213"/>
      <c r="AK510" s="213"/>
      <c r="AL510" s="213"/>
      <c r="AM510" s="213"/>
      <c r="AN510" s="213"/>
      <c r="AO510" s="213"/>
      <c r="AP510" s="213" t="str">
        <f>IFERROR(__xludf.DUMMYFUNCTION("""COMPUTED_VALUE"""),"ANTONELLA")</f>
        <v>ANTONELLA</v>
      </c>
      <c r="AQ510" s="213"/>
      <c r="AR510" s="213"/>
      <c r="AS510" s="217" t="str">
        <f>IFERROR(__xludf.DUMMYFUNCTION("""COMPUTED_VALUE"""),"FUNDA IMPERMEABLE")</f>
        <v>FUNDA IMPERMEABLE</v>
      </c>
      <c r="AT510" s="213"/>
      <c r="AU510" s="213"/>
      <c r="AV510" s="213"/>
      <c r="AW510" s="213"/>
      <c r="AX510" s="213"/>
      <c r="AY510" s="213"/>
      <c r="AZ510" s="213"/>
      <c r="BA510" s="213"/>
      <c r="BB510" s="213"/>
      <c r="BC510" s="213"/>
      <c r="BD510" s="213"/>
    </row>
    <row r="511">
      <c r="A511" s="213">
        <f>IFERROR(__xludf.DUMMYFUNCTION("""COMPUTED_VALUE"""),1461.0)</f>
        <v>1461</v>
      </c>
      <c r="B511" s="213" t="str">
        <f>IFERROR(__xludf.DUMMYFUNCTION("""COMPUTED_VALUE"""),"GUILLERMO E. BILLINGHURST ")</f>
        <v>GUILLERMO E. BILLINGHURST </v>
      </c>
      <c r="C511" s="213" t="str">
        <f>IFERROR(__xludf.DUMMYFUNCTION("""COMPUTED_VALUE"""),"TALLER SFT DE INDUSTRIA ALIMENTARIA")</f>
        <v>TALLER SFT DE INDUSTRIA ALIMENTARIA</v>
      </c>
      <c r="D511" s="213" t="str">
        <f>IFERROR(__xludf.DUMMYFUNCTION("""COMPUTED_VALUE"""),"EQUIPOS")</f>
        <v>EQUIPOS</v>
      </c>
      <c r="E511" s="213" t="str">
        <f>IFERROR(__xludf.DUMMYFUNCTION("""COMPUTED_VALUE"""),"ESP-149")</f>
        <v>ESP-149</v>
      </c>
      <c r="F511" s="213" t="str">
        <f>IFERROR(__xludf.DUMMYFUNCTION("""COMPUTED_VALUE"""),"ESP-149")</f>
        <v>ESP-149</v>
      </c>
      <c r="G511" s="213"/>
      <c r="H511" s="213" t="str">
        <f>IFERROR(__xludf.DUMMYFUNCTION("""COMPUTED_VALUE"""),"DIVISORA DE PAN")</f>
        <v>DIVISORA DE PAN</v>
      </c>
      <c r="I511" s="213" t="str">
        <f>IFERROR(__xludf.DUMMYFUNCTION("""COMPUTED_VALUE"""),"· Divide en 30 piezas la masa.
· Capacidad 0.9 - 3.0kg
· Una palanca para cada función: presionar, nivelar y dividir.
· Equipo compacto y de alta producción
· Base con orificios para anclaje.
· Incluye una funda protectora impermeable para su almacenamien"&amp;"to.
· Medidas aproximadas:  L65cm x A50cm x 100 cm")</f>
        <v>· Divide en 30 piezas la masa.
· Capacidad 0.9 - 3.0kg
· Una palanca para cada función: presionar, nivelar y dividir.
· Equipo compacto y de alta producción
· Base con orificios para anclaje.
· Incluye una funda protectora impermeable para su almacenamiento.
· Medidas aproximadas:  L65cm x A50cm x 100 cm</v>
      </c>
      <c r="J511" s="213">
        <f>IFERROR(__xludf.DUMMYFUNCTION("""COMPUTED_VALUE"""),3.0)</f>
        <v>3</v>
      </c>
      <c r="K511" s="213" t="str">
        <f>IFERROR(__xludf.DUMMYFUNCTION("""COMPUTED_VALUE"""),"170 DÍAS CALENDARIO")</f>
        <v>170 DÍAS CALENDARIO</v>
      </c>
      <c r="L511" s="213" t="str">
        <f>IFERROR(__xludf.DUMMYFUNCTION("""COMPUTED_VALUE"""),"")</f>
        <v/>
      </c>
      <c r="M511" s="213">
        <f>IFERROR(__xludf.DUMMYFUNCTION("""COMPUTED_VALUE"""),1.0)</f>
        <v>1</v>
      </c>
      <c r="N511" s="213">
        <f>IFERROR(__xludf.DUMMYFUNCTION("""COMPUTED_VALUE"""),1.0)</f>
        <v>1</v>
      </c>
      <c r="O511" s="213">
        <f>IFERROR(__xludf.DUMMYFUNCTION("""COMPUTED_VALUE"""),1.0)</f>
        <v>1</v>
      </c>
      <c r="P511" s="213"/>
      <c r="Q511" s="213"/>
      <c r="R511" s="213"/>
      <c r="S511" s="213" t="str">
        <f>IFERROR(__xludf.DUMMYFUNCTION("""COMPUTED_VALUE"""),"SI")</f>
        <v>SI</v>
      </c>
      <c r="T511" s="213" t="str">
        <f>IFERROR(__xludf.DUMMYFUNCTION("""COMPUTED_VALUE"""),"SI")</f>
        <v>SI</v>
      </c>
      <c r="U511" s="213" t="str">
        <f>IFERROR(__xludf.DUMMYFUNCTION("""COMPUTED_VALUE"""),"SI")</f>
        <v>SI</v>
      </c>
      <c r="V511" s="213" t="str">
        <f>IFERROR(__xludf.DUMMYFUNCTION("""COMPUTED_VALUE"""),"-")</f>
        <v>-</v>
      </c>
      <c r="W511" s="213" t="str">
        <f>IFERROR(__xludf.DUMMYFUNCTION("""COMPUTED_VALUE"""),"-")</f>
        <v>-</v>
      </c>
      <c r="X511" s="213" t="str">
        <f>IFERROR(__xludf.DUMMYFUNCTION("""COMPUTED_VALUE"""),"INDUSTRIA CORTIJO")</f>
        <v>INDUSTRIA CORTIJO</v>
      </c>
      <c r="Y511" s="213" t="str">
        <f>IFERROR(__xludf.DUMMYFUNCTION("""COMPUTED_VALUE"""),"30C")</f>
        <v>30C</v>
      </c>
      <c r="Z511" s="215" t="str">
        <f>IFERROR(__xludf.DUMMYFUNCTION("""COMPUTED_VALUE"""),"https://industriacortijo.com/producto/divisora-de-masa-30c/?srsltid=AfmBOopliGy3OEApBKKY5iTlH0ohCa6YEKXYtinLPwRHBRkekXBEeZ-K")</f>
        <v>https://industriacortijo.com/producto/divisora-de-masa-30c/?srsltid=AfmBOopliGy3OEApBKKY5iTlH0ohCa6YEKXYtinLPwRHBRkekXBEeZ-K</v>
      </c>
      <c r="AA511" s="213" t="str">
        <f>IFERROR(__xludf.DUMMYFUNCTION("""COMPUTED_VALUE"""),"ESP-149 DIVISORA DE PAN - CET")</f>
        <v>ESP-149 DIVISORA DE PAN - CET</v>
      </c>
      <c r="AB511" s="215" t="str">
        <f>IFERROR(__xludf.DUMMYFUNCTION("""COMPUTED_VALUE"""),"https://drive.google.com/file/d/1be3v0_02RqgGRZ77Oqb4GHhEUkTRmdrF/view")</f>
        <v>https://drive.google.com/file/d/1be3v0_02RqgGRZ77Oqb4GHhEUkTRmdrF/view</v>
      </c>
      <c r="AC511" s="213"/>
      <c r="AD511" s="213"/>
      <c r="AE511" s="213"/>
      <c r="AF511" s="213"/>
      <c r="AG511" s="213"/>
      <c r="AH511" s="213"/>
      <c r="AI511" s="213"/>
      <c r="AJ511" s="213"/>
      <c r="AK511" s="213"/>
      <c r="AL511" s="213"/>
      <c r="AM511" s="213"/>
      <c r="AN511" s="213"/>
      <c r="AO511" s="213"/>
      <c r="AP511" s="213" t="str">
        <f>IFERROR(__xludf.DUMMYFUNCTION("""COMPUTED_VALUE"""),"ANTONELLA")</f>
        <v>ANTONELLA</v>
      </c>
      <c r="AQ511" s="213"/>
      <c r="AR511" s="213"/>
      <c r="AS511" s="217" t="str">
        <f>IFERROR(__xludf.DUMMYFUNCTION("""COMPUTED_VALUE"""),"FUNDA IMPERMEABLE")</f>
        <v>FUNDA IMPERMEABLE</v>
      </c>
      <c r="AT511" s="213"/>
      <c r="AU511" s="213"/>
      <c r="AV511" s="213"/>
      <c r="AW511" s="213"/>
      <c r="AX511" s="213"/>
      <c r="AY511" s="213"/>
      <c r="AZ511" s="213"/>
      <c r="BA511" s="213"/>
      <c r="BB511" s="213"/>
      <c r="BC511" s="213"/>
      <c r="BD511" s="213"/>
    </row>
    <row r="512">
      <c r="A512" s="213">
        <f>IFERROR(__xludf.DUMMYFUNCTION("""COMPUTED_VALUE"""),2148.0)</f>
        <v>2148</v>
      </c>
      <c r="B512" s="213" t="str">
        <f>IFERROR(__xludf.DUMMYFUNCTION("""COMPUTED_VALUE"""),"JOSE GRANDA")</f>
        <v>JOSE GRANDA</v>
      </c>
      <c r="C512" s="213" t="str">
        <f>IFERROR(__xludf.DUMMYFUNCTION("""COMPUTED_VALUE"""),"TALLER SFT DE INDUSTRIA ALIMENTARIA")</f>
        <v>TALLER SFT DE INDUSTRIA ALIMENTARIA</v>
      </c>
      <c r="D512" s="213" t="str">
        <f>IFERROR(__xludf.DUMMYFUNCTION("""COMPUTED_VALUE"""),"EQUIPOS")</f>
        <v>EQUIPOS</v>
      </c>
      <c r="E512" s="213" t="str">
        <f>IFERROR(__xludf.DUMMYFUNCTION("""COMPUTED_VALUE"""),"ESP-149")</f>
        <v>ESP-149</v>
      </c>
      <c r="F512" s="213" t="str">
        <f>IFERROR(__xludf.DUMMYFUNCTION("""COMPUTED_VALUE"""),"ESP-149")</f>
        <v>ESP-149</v>
      </c>
      <c r="G512" s="213"/>
      <c r="H512" s="213" t="str">
        <f>IFERROR(__xludf.DUMMYFUNCTION("""COMPUTED_VALUE"""),"DIVISORA DE PAN")</f>
        <v>DIVISORA DE PAN</v>
      </c>
      <c r="I512" s="213" t="str">
        <f>IFERROR(__xludf.DUMMYFUNCTION("""COMPUTED_VALUE"""),"· Divide en 30 piezas la masa.
· Capacidad 0.9 - 3.0kg
· Una palanca para cada función: presionar, nivelar y dividir.
· Equipo compacto y de alta producción
· Base con orificios para anclaje.
· Incluye una funda protectora impermeable para su almacenamien"&amp;"to.
· Medidas aproximadas:  L65cm x A50cm x 100 cm")</f>
        <v>· Divide en 30 piezas la masa.
· Capacidad 0.9 - 3.0kg
· Una palanca para cada función: presionar, nivelar y dividir.
· Equipo compacto y de alta producción
· Base con orificios para anclaje.
· Incluye una funda protectora impermeable para su almacenamiento.
· Medidas aproximadas:  L65cm x A50cm x 100 cm</v>
      </c>
      <c r="J512" s="213">
        <f>IFERROR(__xludf.DUMMYFUNCTION("""COMPUTED_VALUE"""),3.0)</f>
        <v>3</v>
      </c>
      <c r="K512" s="213" t="str">
        <f>IFERROR(__xludf.DUMMYFUNCTION("""COMPUTED_VALUE"""),"170 DÍAS CALENDARIO")</f>
        <v>170 DÍAS CALENDARIO</v>
      </c>
      <c r="L512" s="213" t="str">
        <f>IFERROR(__xludf.DUMMYFUNCTION("""COMPUTED_VALUE"""),"")</f>
        <v/>
      </c>
      <c r="M512" s="213">
        <f>IFERROR(__xludf.DUMMYFUNCTION("""COMPUTED_VALUE"""),1.0)</f>
        <v>1</v>
      </c>
      <c r="N512" s="213">
        <f>IFERROR(__xludf.DUMMYFUNCTION("""COMPUTED_VALUE"""),1.0)</f>
        <v>1</v>
      </c>
      <c r="O512" s="213">
        <f>IFERROR(__xludf.DUMMYFUNCTION("""COMPUTED_VALUE"""),1.0)</f>
        <v>1</v>
      </c>
      <c r="P512" s="213"/>
      <c r="Q512" s="213"/>
      <c r="R512" s="213"/>
      <c r="S512" s="213" t="str">
        <f>IFERROR(__xludf.DUMMYFUNCTION("""COMPUTED_VALUE"""),"SI")</f>
        <v>SI</v>
      </c>
      <c r="T512" s="213" t="str">
        <f>IFERROR(__xludf.DUMMYFUNCTION("""COMPUTED_VALUE"""),"SI")</f>
        <v>SI</v>
      </c>
      <c r="U512" s="213" t="str">
        <f>IFERROR(__xludf.DUMMYFUNCTION("""COMPUTED_VALUE"""),"SI")</f>
        <v>SI</v>
      </c>
      <c r="V512" s="213" t="str">
        <f>IFERROR(__xludf.DUMMYFUNCTION("""COMPUTED_VALUE"""),"-")</f>
        <v>-</v>
      </c>
      <c r="W512" s="213" t="str">
        <f>IFERROR(__xludf.DUMMYFUNCTION("""COMPUTED_VALUE"""),"-")</f>
        <v>-</v>
      </c>
      <c r="X512" s="213" t="str">
        <f>IFERROR(__xludf.DUMMYFUNCTION("""COMPUTED_VALUE"""),"INDUSTRIA CORTIJO")</f>
        <v>INDUSTRIA CORTIJO</v>
      </c>
      <c r="Y512" s="213" t="str">
        <f>IFERROR(__xludf.DUMMYFUNCTION("""COMPUTED_VALUE"""),"30C")</f>
        <v>30C</v>
      </c>
      <c r="Z512" s="215" t="str">
        <f>IFERROR(__xludf.DUMMYFUNCTION("""COMPUTED_VALUE"""),"https://industriacortijo.com/producto/divisora-de-masa-30c/?srsltid=AfmBOopliGy3OEApBKKY5iTlH0ohCa6YEKXYtinLPwRHBRkekXBEeZ-K")</f>
        <v>https://industriacortijo.com/producto/divisora-de-masa-30c/?srsltid=AfmBOopliGy3OEApBKKY5iTlH0ohCa6YEKXYtinLPwRHBRkekXBEeZ-K</v>
      </c>
      <c r="AA512" s="213" t="str">
        <f>IFERROR(__xludf.DUMMYFUNCTION("""COMPUTED_VALUE"""),"ESP-149 DIVISORA DE PAN - CET")</f>
        <v>ESP-149 DIVISORA DE PAN - CET</v>
      </c>
      <c r="AB512" s="215" t="str">
        <f>IFERROR(__xludf.DUMMYFUNCTION("""COMPUTED_VALUE"""),"https://drive.google.com/file/d/1be3v0_02RqgGRZ77Oqb4GHhEUkTRmdrF/view")</f>
        <v>https://drive.google.com/file/d/1be3v0_02RqgGRZ77Oqb4GHhEUkTRmdrF/view</v>
      </c>
      <c r="AC512" s="213"/>
      <c r="AD512" s="213"/>
      <c r="AE512" s="213"/>
      <c r="AF512" s="213"/>
      <c r="AG512" s="213"/>
      <c r="AH512" s="213"/>
      <c r="AI512" s="213"/>
      <c r="AJ512" s="213"/>
      <c r="AK512" s="213"/>
      <c r="AL512" s="213"/>
      <c r="AM512" s="213"/>
      <c r="AN512" s="213"/>
      <c r="AO512" s="213"/>
      <c r="AP512" s="213" t="str">
        <f>IFERROR(__xludf.DUMMYFUNCTION("""COMPUTED_VALUE"""),"ANTONELLA")</f>
        <v>ANTONELLA</v>
      </c>
      <c r="AQ512" s="213"/>
      <c r="AR512" s="213"/>
      <c r="AS512" s="217" t="str">
        <f>IFERROR(__xludf.DUMMYFUNCTION("""COMPUTED_VALUE"""),"FUNDA IMPERMEABLE")</f>
        <v>FUNDA IMPERMEABLE</v>
      </c>
      <c r="AT512" s="213"/>
      <c r="AU512" s="213"/>
      <c r="AV512" s="213"/>
      <c r="AW512" s="213"/>
      <c r="AX512" s="213"/>
      <c r="AY512" s="213"/>
      <c r="AZ512" s="213"/>
      <c r="BA512" s="213"/>
      <c r="BB512" s="213"/>
      <c r="BC512" s="213"/>
      <c r="BD512" s="213"/>
    </row>
    <row r="513">
      <c r="A513" s="213">
        <f>IFERROR(__xludf.DUMMYFUNCTION("""COMPUTED_VALUE"""),316.0)</f>
        <v>316</v>
      </c>
      <c r="B513" s="213" t="str">
        <f>IFERROR(__xludf.DUMMYFUNCTION("""COMPUTED_VALUE"""),"2026 SIMON BOLIVAR")</f>
        <v>2026 SIMON BOLIVAR</v>
      </c>
      <c r="C513" s="213" t="str">
        <f>IFERROR(__xludf.DUMMYFUNCTION("""COMPUTED_VALUE"""),"TALLER SFT DE COMPUTACIÓN E INFORMÁTICA")</f>
        <v>TALLER SFT DE COMPUTACIÓN E INFORMÁTICA</v>
      </c>
      <c r="D513" s="213" t="str">
        <f>IFERROR(__xludf.DUMMYFUNCTION("""COMPUTED_VALUE"""),"TICS")</f>
        <v>TICS</v>
      </c>
      <c r="E513" s="213" t="str">
        <f>IFERROR(__xludf.DUMMYFUNCTION("""COMPUTED_VALUE"""),"TEC-105")</f>
        <v>TEC-105</v>
      </c>
      <c r="F513" s="213" t="str">
        <f>IFERROR(__xludf.DUMMYFUNCTION("""COMPUTED_VALUE"""),"TEC-105")</f>
        <v>TEC-105</v>
      </c>
      <c r="G513" s="213"/>
      <c r="H513" s="213" t="str">
        <f>IFERROR(__xludf.DUMMYFUNCTION("""COMPUTED_VALUE"""),"DRON PARA USO DE VIDEO Y FOTOGRAFÍA")</f>
        <v>DRON PARA USO DE VIDEO Y FOTOGRAFÍA</v>
      </c>
      <c r="I513" s="213" t="str">
        <f>IFERROR(__xludf.DUMMYFUNCTION("""COMPUTED_VALUE"""),"·  Peso aproximado: 430 g.
·  Velocidad Max: 65 km/h
·  Duración de vuelo: 20 a 30 min
·  Cámara: Compatible GoPro
·  Vídeo: 4k a 30 fps y 108op a 96 fps
·  Almacenamiento interno y expandible con micro SD.
·  Alcance entre 2 km a 5 km.
·  Detecte obstácu"&amp;"los.")</f>
        <v>·  Peso aproximado: 430 g.
·  Velocidad Max: 65 km/h
·  Duración de vuelo: 20 a 30 min
·  Cámara: Compatible GoPro
·  Vídeo: 4k a 30 fps y 108op a 96 fps
·  Almacenamiento interno y expandible con micro SD.
·  Alcance entre 2 km a 5 km.
·  Detecte obstáculos.</v>
      </c>
      <c r="J513" s="213">
        <f>IFERROR(__xludf.DUMMYFUNCTION("""COMPUTED_VALUE"""),3.0)</f>
        <v>3</v>
      </c>
      <c r="K513" s="213" t="str">
        <f>IFERROR(__xludf.DUMMYFUNCTION("""COMPUTED_VALUE"""),"170 DÍAS CALENDARIO")</f>
        <v>170 DÍAS CALENDARIO</v>
      </c>
      <c r="L513" s="213" t="str">
        <f>IFERROR(__xludf.DUMMYFUNCTION("""COMPUTED_VALUE"""),"")</f>
        <v/>
      </c>
      <c r="M513" s="213">
        <f>IFERROR(__xludf.DUMMYFUNCTION("""COMPUTED_VALUE"""),1.0)</f>
        <v>1</v>
      </c>
      <c r="N513" s="213">
        <f>IFERROR(__xludf.DUMMYFUNCTION("""COMPUTED_VALUE"""),1.0)</f>
        <v>1</v>
      </c>
      <c r="O513" s="213">
        <f>IFERROR(__xludf.DUMMYFUNCTION("""COMPUTED_VALUE"""),1.0)</f>
        <v>1</v>
      </c>
      <c r="P513" s="213"/>
      <c r="Q513" s="213"/>
      <c r="R513" s="213"/>
      <c r="S513" s="213"/>
      <c r="T513" s="213" t="str">
        <f>IFERROR(__xludf.DUMMYFUNCTION("""COMPUTED_VALUE"""),"SI")</f>
        <v>SI</v>
      </c>
      <c r="U513" s="213" t="str">
        <f>IFERROR(__xludf.DUMMYFUNCTION("""COMPUTED_VALUE"""),"NO")</f>
        <v>NO</v>
      </c>
      <c r="V513" s="213" t="str">
        <f>IFERROR(__xludf.DUMMYFUNCTION("""COMPUTED_VALUE"""),"SUSTENTO")</f>
        <v>SUSTENTO</v>
      </c>
      <c r="W513" s="213" t="str">
        <f>IFERROR(__xludf.DUMMYFUNCTION("""COMPUTED_VALUE"""),"EQU TEC, DIMENSIONAL")</f>
        <v>EQU TEC, DIMENSIONAL</v>
      </c>
      <c r="X513" s="213" t="str">
        <f>IFERROR(__xludf.DUMMYFUNCTION("""COMPUTED_VALUE"""),"DJI")</f>
        <v>DJI</v>
      </c>
      <c r="Y513" s="213" t="str">
        <f>IFERROR(__xludf.DUMMYFUNCTION("""COMPUTED_VALUE"""),"DJI Air 3S (DJI RC-N3)")</f>
        <v>DJI Air 3S (DJI RC-N3)</v>
      </c>
      <c r="Z513" s="215" t="str">
        <f>IFERROR(__xludf.DUMMYFUNCTION("""COMPUTED_VALUE"""),"https://dji.pe/dji-air-3s-dji-rc-n3")</f>
        <v>https://dji.pe/dji-air-3s-dji-rc-n3</v>
      </c>
      <c r="AA513" s="213" t="str">
        <f>IFERROR(__xludf.DUMMYFUNCTION("""COMPUTED_VALUE"""),"TEC-105 DRON PARA USO DE VIDEO Y FOTOGRAFÍA - CET")</f>
        <v>TEC-105 DRON PARA USO DE VIDEO Y FOTOGRAFÍA - CET</v>
      </c>
      <c r="AB513" s="213"/>
      <c r="AC513" s="213"/>
      <c r="AD513" s="213"/>
      <c r="AE513" s="213"/>
      <c r="AF513" s="213"/>
      <c r="AG513" s="213"/>
      <c r="AH513" s="213"/>
      <c r="AI513" s="213"/>
      <c r="AJ513" s="213"/>
      <c r="AK513" s="213"/>
      <c r="AL513" s="213"/>
      <c r="AM513" s="213"/>
      <c r="AN513" s="213"/>
      <c r="AO513" s="213"/>
      <c r="AP513" s="213" t="str">
        <f>IFERROR(__xludf.DUMMYFUNCTION("""COMPUTED_VALUE"""),"NALDI")</f>
        <v>NALDI</v>
      </c>
      <c r="AQ513" s="213"/>
      <c r="AR513" s="213"/>
      <c r="AS513" s="213"/>
      <c r="AT513" s="217" t="str">
        <f>IFERROR(__xludf.DUMMYFUNCTION("""COMPUTED_VALUE"""),"Tarjeta microSD 512 GB")</f>
        <v>Tarjeta microSD 512 GB</v>
      </c>
      <c r="AU513" s="213"/>
      <c r="AV513" s="213"/>
      <c r="AW513" s="213"/>
      <c r="AX513" s="213"/>
      <c r="AY513" s="213"/>
      <c r="AZ513" s="213"/>
      <c r="BA513" s="213"/>
      <c r="BB513" s="213"/>
      <c r="BC513" s="213"/>
      <c r="BD513" s="213"/>
    </row>
    <row r="514">
      <c r="A514" s="213">
        <f>IFERROR(__xludf.DUMMYFUNCTION("""COMPUTED_VALUE"""),802.0)</f>
        <v>802</v>
      </c>
      <c r="B514" s="213" t="str">
        <f>IFERROR(__xludf.DUMMYFUNCTION("""COMPUTED_VALUE"""),"6049 RICARDO PALMA")</f>
        <v>6049 RICARDO PALMA</v>
      </c>
      <c r="C514" s="213" t="str">
        <f>IFERROR(__xludf.DUMMYFUNCTION("""COMPUTED_VALUE"""),"TALLER SFT DE COMPUTACIÓN E INFORMÁTICA")</f>
        <v>TALLER SFT DE COMPUTACIÓN E INFORMÁTICA</v>
      </c>
      <c r="D514" s="213" t="str">
        <f>IFERROR(__xludf.DUMMYFUNCTION("""COMPUTED_VALUE"""),"TICS")</f>
        <v>TICS</v>
      </c>
      <c r="E514" s="213" t="str">
        <f>IFERROR(__xludf.DUMMYFUNCTION("""COMPUTED_VALUE"""),"TEC-105")</f>
        <v>TEC-105</v>
      </c>
      <c r="F514" s="213" t="str">
        <f>IFERROR(__xludf.DUMMYFUNCTION("""COMPUTED_VALUE"""),"TEC-105")</f>
        <v>TEC-105</v>
      </c>
      <c r="G514" s="213"/>
      <c r="H514" s="213" t="str">
        <f>IFERROR(__xludf.DUMMYFUNCTION("""COMPUTED_VALUE"""),"DRON PARA USO DE VIDEO Y FOTOGRAFÍA")</f>
        <v>DRON PARA USO DE VIDEO Y FOTOGRAFÍA</v>
      </c>
      <c r="I514" s="213" t="str">
        <f>IFERROR(__xludf.DUMMYFUNCTION("""COMPUTED_VALUE"""),"·  Peso aproximado: 430 g.
·  Velocidad Max: 65 km/h
·  Duración de vuelo: 20 a 30 min
·  Cámara: Compatible GoPro
·  Vídeo: 4k a 30 fps y 108op a 96 fps
·  Almacenamiento interno y expandible con micro SD.
·  Alcance entre 2 km a 5 km.
·  Detecte obstácu"&amp;"los.")</f>
        <v>·  Peso aproximado: 430 g.
·  Velocidad Max: 65 km/h
·  Duración de vuelo: 20 a 30 min
·  Cámara: Compatible GoPro
·  Vídeo: 4k a 30 fps y 108op a 96 fps
·  Almacenamiento interno y expandible con micro SD.
·  Alcance entre 2 km a 5 km.
·  Detecte obstáculos.</v>
      </c>
      <c r="J514" s="213">
        <f>IFERROR(__xludf.DUMMYFUNCTION("""COMPUTED_VALUE"""),3.0)</f>
        <v>3</v>
      </c>
      <c r="K514" s="213" t="str">
        <f>IFERROR(__xludf.DUMMYFUNCTION("""COMPUTED_VALUE"""),"170 DÍAS CALENDARIO")</f>
        <v>170 DÍAS CALENDARIO</v>
      </c>
      <c r="L514" s="213" t="str">
        <f>IFERROR(__xludf.DUMMYFUNCTION("""COMPUTED_VALUE"""),"")</f>
        <v/>
      </c>
      <c r="M514" s="213">
        <f>IFERROR(__xludf.DUMMYFUNCTION("""COMPUTED_VALUE"""),1.0)</f>
        <v>1</v>
      </c>
      <c r="N514" s="213">
        <f>IFERROR(__xludf.DUMMYFUNCTION("""COMPUTED_VALUE"""),1.0)</f>
        <v>1</v>
      </c>
      <c r="O514" s="213">
        <f>IFERROR(__xludf.DUMMYFUNCTION("""COMPUTED_VALUE"""),1.0)</f>
        <v>1</v>
      </c>
      <c r="P514" s="213"/>
      <c r="Q514" s="213"/>
      <c r="R514" s="213"/>
      <c r="S514" s="213"/>
      <c r="T514" s="213" t="str">
        <f>IFERROR(__xludf.DUMMYFUNCTION("""COMPUTED_VALUE"""),"SI")</f>
        <v>SI</v>
      </c>
      <c r="U514" s="213" t="str">
        <f>IFERROR(__xludf.DUMMYFUNCTION("""COMPUTED_VALUE"""),"NO")</f>
        <v>NO</v>
      </c>
      <c r="V514" s="213" t="str">
        <f>IFERROR(__xludf.DUMMYFUNCTION("""COMPUTED_VALUE"""),"SUSTENTO")</f>
        <v>SUSTENTO</v>
      </c>
      <c r="W514" s="213" t="str">
        <f>IFERROR(__xludf.DUMMYFUNCTION("""COMPUTED_VALUE"""),"EQU TEC, DIMENSIONAL")</f>
        <v>EQU TEC, DIMENSIONAL</v>
      </c>
      <c r="X514" s="213" t="str">
        <f>IFERROR(__xludf.DUMMYFUNCTION("""COMPUTED_VALUE"""),"DJI")</f>
        <v>DJI</v>
      </c>
      <c r="Y514" s="213" t="str">
        <f>IFERROR(__xludf.DUMMYFUNCTION("""COMPUTED_VALUE"""),"DJI Air 3S (DJI RC-N3)")</f>
        <v>DJI Air 3S (DJI RC-N3)</v>
      </c>
      <c r="Z514" s="215" t="str">
        <f>IFERROR(__xludf.DUMMYFUNCTION("""COMPUTED_VALUE"""),"https://dji.pe/dji-air-3s-dji-rc-n4")</f>
        <v>https://dji.pe/dji-air-3s-dji-rc-n4</v>
      </c>
      <c r="AA514" s="213" t="str">
        <f>IFERROR(__xludf.DUMMYFUNCTION("""COMPUTED_VALUE"""),"TEC-105 DRON PARA USO DE VIDEO Y FOTOGRAFÍA - CET")</f>
        <v>TEC-105 DRON PARA USO DE VIDEO Y FOTOGRAFÍA - CET</v>
      </c>
      <c r="AB514" s="213"/>
      <c r="AC514" s="213"/>
      <c r="AD514" s="213"/>
      <c r="AE514" s="213"/>
      <c r="AF514" s="213"/>
      <c r="AG514" s="213"/>
      <c r="AH514" s="213"/>
      <c r="AI514" s="213"/>
      <c r="AJ514" s="213"/>
      <c r="AK514" s="213"/>
      <c r="AL514" s="213"/>
      <c r="AM514" s="213"/>
      <c r="AN514" s="213"/>
      <c r="AO514" s="213"/>
      <c r="AP514" s="213" t="str">
        <f>IFERROR(__xludf.DUMMYFUNCTION("""COMPUTED_VALUE"""),"NALDI")</f>
        <v>NALDI</v>
      </c>
      <c r="AQ514" s="213"/>
      <c r="AR514" s="213"/>
      <c r="AS514" s="213"/>
      <c r="AT514" s="217" t="str">
        <f>IFERROR(__xludf.DUMMYFUNCTION("""COMPUTED_VALUE"""),"Tarjeta microSD 512 GB")</f>
        <v>Tarjeta microSD 512 GB</v>
      </c>
      <c r="AU514" s="213"/>
      <c r="AV514" s="213"/>
      <c r="AW514" s="213"/>
      <c r="AX514" s="213"/>
      <c r="AY514" s="213"/>
      <c r="AZ514" s="213"/>
      <c r="BA514" s="213"/>
      <c r="BB514" s="213"/>
      <c r="BC514" s="213"/>
      <c r="BD514" s="213"/>
    </row>
    <row r="515">
      <c r="A515" s="213">
        <f>IFERROR(__xludf.DUMMYFUNCTION("""COMPUTED_VALUE"""),1739.0)</f>
        <v>1739</v>
      </c>
      <c r="B515" s="213" t="str">
        <f>IFERROR(__xludf.DUMMYFUNCTION("""COMPUTED_VALUE"""),"GUILLERMO E. BILLINGHURST ")</f>
        <v>GUILLERMO E. BILLINGHURST </v>
      </c>
      <c r="C515" s="213" t="str">
        <f>IFERROR(__xludf.DUMMYFUNCTION("""COMPUTED_VALUE"""),"TALLER SFT DE COMPUTACIÓN E INFORMÁTICA")</f>
        <v>TALLER SFT DE COMPUTACIÓN E INFORMÁTICA</v>
      </c>
      <c r="D515" s="213" t="str">
        <f>IFERROR(__xludf.DUMMYFUNCTION("""COMPUTED_VALUE"""),"TICS")</f>
        <v>TICS</v>
      </c>
      <c r="E515" s="213" t="str">
        <f>IFERROR(__xludf.DUMMYFUNCTION("""COMPUTED_VALUE"""),"TEC-105")</f>
        <v>TEC-105</v>
      </c>
      <c r="F515" s="213" t="str">
        <f>IFERROR(__xludf.DUMMYFUNCTION("""COMPUTED_VALUE"""),"TEC-105")</f>
        <v>TEC-105</v>
      </c>
      <c r="G515" s="213"/>
      <c r="H515" s="213" t="str">
        <f>IFERROR(__xludf.DUMMYFUNCTION("""COMPUTED_VALUE"""),"DRON PARA USO DE VIDEO Y FOTOGRAFÍA")</f>
        <v>DRON PARA USO DE VIDEO Y FOTOGRAFÍA</v>
      </c>
      <c r="I515" s="213" t="str">
        <f>IFERROR(__xludf.DUMMYFUNCTION("""COMPUTED_VALUE"""),"·  Peso aproximado: 430 g.
·  Velocidad Max: 65 km/h
·  Duración de vuelo: 20 a 30 min
·  Cámara: Compatible GoPro
·  Vídeo: 4k a 30 fps y 108op a 96 fps
·  Almacenamiento interno y expandible con micro SD.
·  Alcance entre 2 km a 5 km.
·  Detecte obstácu"&amp;"los.")</f>
        <v>·  Peso aproximado: 430 g.
·  Velocidad Max: 65 km/h
·  Duración de vuelo: 20 a 30 min
·  Cámara: Compatible GoPro
·  Vídeo: 4k a 30 fps y 108op a 96 fps
·  Almacenamiento interno y expandible con micro SD.
·  Alcance entre 2 km a 5 km.
·  Detecte obstáculos.</v>
      </c>
      <c r="J515" s="213">
        <f>IFERROR(__xludf.DUMMYFUNCTION("""COMPUTED_VALUE"""),3.0)</f>
        <v>3</v>
      </c>
      <c r="K515" s="213" t="str">
        <f>IFERROR(__xludf.DUMMYFUNCTION("""COMPUTED_VALUE"""),"170 DÍAS CALENDARIO")</f>
        <v>170 DÍAS CALENDARIO</v>
      </c>
      <c r="L515" s="213" t="str">
        <f>IFERROR(__xludf.DUMMYFUNCTION("""COMPUTED_VALUE"""),"")</f>
        <v/>
      </c>
      <c r="M515" s="213">
        <f>IFERROR(__xludf.DUMMYFUNCTION("""COMPUTED_VALUE"""),1.0)</f>
        <v>1</v>
      </c>
      <c r="N515" s="213">
        <f>IFERROR(__xludf.DUMMYFUNCTION("""COMPUTED_VALUE"""),1.0)</f>
        <v>1</v>
      </c>
      <c r="O515" s="213">
        <f>IFERROR(__xludf.DUMMYFUNCTION("""COMPUTED_VALUE"""),1.0)</f>
        <v>1</v>
      </c>
      <c r="P515" s="213"/>
      <c r="Q515" s="213"/>
      <c r="R515" s="213"/>
      <c r="S515" s="213"/>
      <c r="T515" s="213" t="str">
        <f>IFERROR(__xludf.DUMMYFUNCTION("""COMPUTED_VALUE"""),"SI")</f>
        <v>SI</v>
      </c>
      <c r="U515" s="213" t="str">
        <f>IFERROR(__xludf.DUMMYFUNCTION("""COMPUTED_VALUE"""),"NO")</f>
        <v>NO</v>
      </c>
      <c r="V515" s="213" t="str">
        <f>IFERROR(__xludf.DUMMYFUNCTION("""COMPUTED_VALUE"""),"SUSTENTO")</f>
        <v>SUSTENTO</v>
      </c>
      <c r="W515" s="213" t="str">
        <f>IFERROR(__xludf.DUMMYFUNCTION("""COMPUTED_VALUE"""),"EQU TEC, DIMENSIONAL")</f>
        <v>EQU TEC, DIMENSIONAL</v>
      </c>
      <c r="X515" s="213" t="str">
        <f>IFERROR(__xludf.DUMMYFUNCTION("""COMPUTED_VALUE"""),"DJI")</f>
        <v>DJI</v>
      </c>
      <c r="Y515" s="213" t="str">
        <f>IFERROR(__xludf.DUMMYFUNCTION("""COMPUTED_VALUE"""),"DJI Air 3S (DJI RC-N3)")</f>
        <v>DJI Air 3S (DJI RC-N3)</v>
      </c>
      <c r="Z515" s="215" t="str">
        <f>IFERROR(__xludf.DUMMYFUNCTION("""COMPUTED_VALUE"""),"https://dji.pe/dji-air-3s-dji-rc-n5")</f>
        <v>https://dji.pe/dji-air-3s-dji-rc-n5</v>
      </c>
      <c r="AA515" s="213" t="str">
        <f>IFERROR(__xludf.DUMMYFUNCTION("""COMPUTED_VALUE"""),"TEC-105 DRON PARA USO DE VIDEO Y FOTOGRAFÍA - CET")</f>
        <v>TEC-105 DRON PARA USO DE VIDEO Y FOTOGRAFÍA - CET</v>
      </c>
      <c r="AB515" s="213"/>
      <c r="AC515" s="213"/>
      <c r="AD515" s="213"/>
      <c r="AE515" s="213"/>
      <c r="AF515" s="213"/>
      <c r="AG515" s="213"/>
      <c r="AH515" s="213"/>
      <c r="AI515" s="213"/>
      <c r="AJ515" s="213"/>
      <c r="AK515" s="213"/>
      <c r="AL515" s="213"/>
      <c r="AM515" s="213"/>
      <c r="AN515" s="213"/>
      <c r="AO515" s="213"/>
      <c r="AP515" s="213" t="str">
        <f>IFERROR(__xludf.DUMMYFUNCTION("""COMPUTED_VALUE"""),"NALDI")</f>
        <v>NALDI</v>
      </c>
      <c r="AQ515" s="213"/>
      <c r="AR515" s="213"/>
      <c r="AS515" s="213"/>
      <c r="AT515" s="217" t="str">
        <f>IFERROR(__xludf.DUMMYFUNCTION("""COMPUTED_VALUE"""),"Tarjeta microSD 512 GB")</f>
        <v>Tarjeta microSD 512 GB</v>
      </c>
      <c r="AU515" s="213"/>
      <c r="AV515" s="213"/>
      <c r="AW515" s="213"/>
      <c r="AX515" s="213"/>
      <c r="AY515" s="213"/>
      <c r="AZ515" s="213"/>
      <c r="BA515" s="213"/>
      <c r="BB515" s="213"/>
      <c r="BC515" s="213"/>
      <c r="BD515" s="213"/>
    </row>
    <row r="516">
      <c r="A516" s="213">
        <f>IFERROR(__xludf.DUMMYFUNCTION("""COMPUTED_VALUE"""),1990.0)</f>
        <v>1990</v>
      </c>
      <c r="B516" s="213" t="str">
        <f>IFERROR(__xludf.DUMMYFUNCTION("""COMPUTED_VALUE"""),"JOSE GRANDA")</f>
        <v>JOSE GRANDA</v>
      </c>
      <c r="C516" s="213" t="str">
        <f>IFERROR(__xludf.DUMMYFUNCTION("""COMPUTED_VALUE"""),"TALLER SFT DE COMPUTACIÓN E INFORMÁTICA")</f>
        <v>TALLER SFT DE COMPUTACIÓN E INFORMÁTICA</v>
      </c>
      <c r="D516" s="213" t="str">
        <f>IFERROR(__xludf.DUMMYFUNCTION("""COMPUTED_VALUE"""),"TICS")</f>
        <v>TICS</v>
      </c>
      <c r="E516" s="213" t="str">
        <f>IFERROR(__xludf.DUMMYFUNCTION("""COMPUTED_VALUE"""),"TEC-105")</f>
        <v>TEC-105</v>
      </c>
      <c r="F516" s="213" t="str">
        <f>IFERROR(__xludf.DUMMYFUNCTION("""COMPUTED_VALUE"""),"TEC-105")</f>
        <v>TEC-105</v>
      </c>
      <c r="G516" s="213"/>
      <c r="H516" s="213" t="str">
        <f>IFERROR(__xludf.DUMMYFUNCTION("""COMPUTED_VALUE"""),"DRON PARA USO DE VIDEO Y FOTOGRAFÍA")</f>
        <v>DRON PARA USO DE VIDEO Y FOTOGRAFÍA</v>
      </c>
      <c r="I516" s="213" t="str">
        <f>IFERROR(__xludf.DUMMYFUNCTION("""COMPUTED_VALUE"""),"·  Peso aproximado: 430 g.
·  Velocidad Max: 65 km/h
·  Duración de vuelo: 20 a 30 min
·  Cámara: Compatible GoPro
·  Vídeo: 4k a 30 fps y 108op a 96 fps
·  Almacenamiento interno y expandible con micro SD.
·  Alcance entre 2 km a 5 km.
·  Detecte obstácu"&amp;"los.")</f>
        <v>·  Peso aproximado: 430 g.
·  Velocidad Max: 65 km/h
·  Duración de vuelo: 20 a 30 min
·  Cámara: Compatible GoPro
·  Vídeo: 4k a 30 fps y 108op a 96 fps
·  Almacenamiento interno y expandible con micro SD.
·  Alcance entre 2 km a 5 km.
·  Detecte obstáculos.</v>
      </c>
      <c r="J516" s="213">
        <f>IFERROR(__xludf.DUMMYFUNCTION("""COMPUTED_VALUE"""),3.0)</f>
        <v>3</v>
      </c>
      <c r="K516" s="213" t="str">
        <f>IFERROR(__xludf.DUMMYFUNCTION("""COMPUTED_VALUE"""),"170 DÍAS CALENDARIO")</f>
        <v>170 DÍAS CALENDARIO</v>
      </c>
      <c r="L516" s="213" t="str">
        <f>IFERROR(__xludf.DUMMYFUNCTION("""COMPUTED_VALUE"""),"")</f>
        <v/>
      </c>
      <c r="M516" s="213">
        <f>IFERROR(__xludf.DUMMYFUNCTION("""COMPUTED_VALUE"""),1.0)</f>
        <v>1</v>
      </c>
      <c r="N516" s="213">
        <f>IFERROR(__xludf.DUMMYFUNCTION("""COMPUTED_VALUE"""),1.0)</f>
        <v>1</v>
      </c>
      <c r="O516" s="213">
        <f>IFERROR(__xludf.DUMMYFUNCTION("""COMPUTED_VALUE"""),1.0)</f>
        <v>1</v>
      </c>
      <c r="P516" s="213"/>
      <c r="Q516" s="213"/>
      <c r="R516" s="213"/>
      <c r="S516" s="213"/>
      <c r="T516" s="213" t="str">
        <f>IFERROR(__xludf.DUMMYFUNCTION("""COMPUTED_VALUE"""),"SI")</f>
        <v>SI</v>
      </c>
      <c r="U516" s="213" t="str">
        <f>IFERROR(__xludf.DUMMYFUNCTION("""COMPUTED_VALUE"""),"NO")</f>
        <v>NO</v>
      </c>
      <c r="V516" s="213" t="str">
        <f>IFERROR(__xludf.DUMMYFUNCTION("""COMPUTED_VALUE"""),"SUSTENTO")</f>
        <v>SUSTENTO</v>
      </c>
      <c r="W516" s="213" t="str">
        <f>IFERROR(__xludf.DUMMYFUNCTION("""COMPUTED_VALUE"""),"EQU TEC, DIMENSIONAL")</f>
        <v>EQU TEC, DIMENSIONAL</v>
      </c>
      <c r="X516" s="213" t="str">
        <f>IFERROR(__xludf.DUMMYFUNCTION("""COMPUTED_VALUE"""),"DJI")</f>
        <v>DJI</v>
      </c>
      <c r="Y516" s="213" t="str">
        <f>IFERROR(__xludf.DUMMYFUNCTION("""COMPUTED_VALUE"""),"DJI Air 3S (DJI RC-N3)")</f>
        <v>DJI Air 3S (DJI RC-N3)</v>
      </c>
      <c r="Z516" s="215" t="str">
        <f>IFERROR(__xludf.DUMMYFUNCTION("""COMPUTED_VALUE"""),"https://dji.pe/dji-air-3s-dji-rc-n6")</f>
        <v>https://dji.pe/dji-air-3s-dji-rc-n6</v>
      </c>
      <c r="AA516" s="213" t="str">
        <f>IFERROR(__xludf.DUMMYFUNCTION("""COMPUTED_VALUE"""),"TEC-105 DRON PARA USO DE VIDEO Y FOTOGRAFÍA - CET")</f>
        <v>TEC-105 DRON PARA USO DE VIDEO Y FOTOGRAFÍA - CET</v>
      </c>
      <c r="AB516" s="213"/>
      <c r="AC516" s="213"/>
      <c r="AD516" s="213"/>
      <c r="AE516" s="213"/>
      <c r="AF516" s="213"/>
      <c r="AG516" s="213"/>
      <c r="AH516" s="213"/>
      <c r="AI516" s="213"/>
      <c r="AJ516" s="213"/>
      <c r="AK516" s="213"/>
      <c r="AL516" s="213"/>
      <c r="AM516" s="213"/>
      <c r="AN516" s="213"/>
      <c r="AO516" s="213"/>
      <c r="AP516" s="213" t="str">
        <f>IFERROR(__xludf.DUMMYFUNCTION("""COMPUTED_VALUE"""),"NALDI")</f>
        <v>NALDI</v>
      </c>
      <c r="AQ516" s="213"/>
      <c r="AR516" s="213"/>
      <c r="AS516" s="213"/>
      <c r="AT516" s="217" t="str">
        <f>IFERROR(__xludf.DUMMYFUNCTION("""COMPUTED_VALUE"""),"Tarjeta microSD 512 GB")</f>
        <v>Tarjeta microSD 512 GB</v>
      </c>
      <c r="AU516" s="213"/>
      <c r="AV516" s="213"/>
      <c r="AW516" s="213"/>
      <c r="AX516" s="213"/>
      <c r="AY516" s="213"/>
      <c r="AZ516" s="213"/>
      <c r="BA516" s="213"/>
      <c r="BB516" s="213"/>
      <c r="BC516" s="213"/>
      <c r="BD516" s="213"/>
    </row>
    <row r="517">
      <c r="A517" s="213">
        <f>IFERROR(__xludf.DUMMYFUNCTION("""COMPUTED_VALUE"""),1584.0)</f>
        <v>1584</v>
      </c>
      <c r="B517" s="213" t="str">
        <f>IFERROR(__xludf.DUMMYFUNCTION("""COMPUTED_VALUE"""),"GUILLERMO E. BILLINGHURST ")</f>
        <v>GUILLERMO E. BILLINGHURST </v>
      </c>
      <c r="C517" s="213" t="str">
        <f>IFERROR(__xludf.DUMMYFUNCTION("""COMPUTED_VALUE"""),"TALLER SFT DE MECÁNICA AUTOMOTRIZ")</f>
        <v>TALLER SFT DE MECÁNICA AUTOMOTRIZ</v>
      </c>
      <c r="D517" s="213" t="str">
        <f>IFERROR(__xludf.DUMMYFUNCTION("""COMPUTED_VALUE"""),"EQUIPOS")</f>
        <v>EQUIPOS</v>
      </c>
      <c r="E517" s="213" t="str">
        <f>IFERROR(__xludf.DUMMYFUNCTION("""COMPUTED_VALUE"""),"ESP-150")</f>
        <v>ESP-150</v>
      </c>
      <c r="F517" s="213" t="str">
        <f>IFERROR(__xludf.DUMMYFUNCTION("""COMPUTED_VALUE"""),"ESP-150")</f>
        <v>ESP-150</v>
      </c>
      <c r="G517" s="213"/>
      <c r="H517" s="213" t="str">
        <f>IFERROR(__xludf.DUMMYFUNCTION("""COMPUTED_VALUE"""),"ELEVADOR DE COLUMNAS HIDRÁULICO")</f>
        <v>ELEVADOR DE COLUMNAS HIDRÁULICO</v>
      </c>
      <c r="I517" s="213" t="str">
        <f>IFERROR(__xludf.DUMMYFUNCTION("""COMPUTED_VALUE"""),"· Capacidad del elevador: mínimo 4 toneladas.
· Provisto de 4 columnas.
· Plataformas ajustables.
· Potencia del motor: mínima 3 hp.
· Altura mínima: 0.15 m.
· Altura de elevación: 1.80 m.
· Longitud Total: 5.75 m.
· Ancho Total: 2.60 m.")</f>
        <v>· Capacidad del elevador: mínimo 4 toneladas.
· Provisto de 4 columnas.
· Plataformas ajustables.
· Potencia del motor: mínima 3 hp.
· Altura mínima: 0.15 m.
· Altura de elevación: 1.80 m.
· Longitud Total: 5.75 m.
· Ancho Total: 2.60 m.</v>
      </c>
      <c r="J517" s="213">
        <f>IFERROR(__xludf.DUMMYFUNCTION("""COMPUTED_VALUE"""),3.0)</f>
        <v>3</v>
      </c>
      <c r="K517" s="213" t="str">
        <f>IFERROR(__xludf.DUMMYFUNCTION("""COMPUTED_VALUE"""),"170 DÍAS CALENDARIO")</f>
        <v>170 DÍAS CALENDARIO</v>
      </c>
      <c r="L517" s="213" t="str">
        <f>IFERROR(__xludf.DUMMYFUNCTION("""COMPUTED_VALUE"""),"")</f>
        <v/>
      </c>
      <c r="M517" s="213">
        <f>IFERROR(__xludf.DUMMYFUNCTION("""COMPUTED_VALUE"""),1.0)</f>
        <v>1</v>
      </c>
      <c r="N517" s="213">
        <f>IFERROR(__xludf.DUMMYFUNCTION("""COMPUTED_VALUE"""),1.0)</f>
        <v>1</v>
      </c>
      <c r="O517" s="213">
        <f>IFERROR(__xludf.DUMMYFUNCTION("""COMPUTED_VALUE"""),1.0)</f>
        <v>1</v>
      </c>
      <c r="P517" s="213"/>
      <c r="Q517" s="213"/>
      <c r="R517" s="213"/>
      <c r="S517" s="213" t="str">
        <f>IFERROR(__xludf.DUMMYFUNCTION("""COMPUTED_VALUE"""),"SI")</f>
        <v>SI</v>
      </c>
      <c r="T517" s="213" t="str">
        <f>IFERROR(__xludf.DUMMYFUNCTION("""COMPUTED_VALUE"""),"SI")</f>
        <v>SI</v>
      </c>
      <c r="U517" s="213" t="str">
        <f>IFERROR(__xludf.DUMMYFUNCTION("""COMPUTED_VALUE"""),"NO")</f>
        <v>NO</v>
      </c>
      <c r="V517" s="213" t="str">
        <f>IFERROR(__xludf.DUMMYFUNCTION("""COMPUTED_VALUE"""),"SUSTENTO")</f>
        <v>SUSTENTO</v>
      </c>
      <c r="W517" s="213" t="str">
        <f>IFERROR(__xludf.DUMMYFUNCTION("""COMPUTED_VALUE"""),"DIMENSIONAL")</f>
        <v>DIMENSIONAL</v>
      </c>
      <c r="X517" s="213" t="str">
        <f>IFERROR(__xludf.DUMMYFUNCTION("""COMPUTED_VALUE"""),"LAUNCH")</f>
        <v>LAUNCH</v>
      </c>
      <c r="Y517" s="213" t="str">
        <f>IFERROR(__xludf.DUMMYFUNCTION("""COMPUTED_VALUE"""),"TLT440/455WA")</f>
        <v>TLT440/455WA</v>
      </c>
      <c r="Z517" s="215" t="str">
        <f>IFERROR(__xludf.DUMMYFUNCTION("""COMPUTED_VALUE"""),"https://www.launchiberica.com/wp-content/uploads/2025/06/Familia-elevadores-TLT-LAUNCH-25.pdf")</f>
        <v>https://www.launchiberica.com/wp-content/uploads/2025/06/Familia-elevadores-TLT-LAUNCH-25.pdf</v>
      </c>
      <c r="AA517" s="213" t="str">
        <f>IFERROR(__xludf.DUMMYFUNCTION("""COMPUTED_VALUE"""),"ESP-150 ELEVADOR DE COLUMNAS HIDRÁULICO - CET")</f>
        <v>ESP-150 ELEVADOR DE COLUMNAS HIDRÁULICO - CET</v>
      </c>
      <c r="AB517" s="215" t="str">
        <f>IFERROR(__xludf.DUMMYFUNCTION("""COMPUTED_VALUE"""),"https://www.launchiberica.com/wp-content/uploads/2025/06/Familia-elevadores-TLT-LAUNCH-25.pdf")</f>
        <v>https://www.launchiberica.com/wp-content/uploads/2025/06/Familia-elevadores-TLT-LAUNCH-25.pdf</v>
      </c>
      <c r="AC517" s="213"/>
      <c r="AD517" s="213"/>
      <c r="AE517" s="213"/>
      <c r="AF517" s="213"/>
      <c r="AG517" s="213"/>
      <c r="AH517" s="213" t="str">
        <f>IFERROR(__xludf.DUMMYFUNCTION("""COMPUTED_VALUE"""),"IMPORTADO")</f>
        <v>IMPORTADO</v>
      </c>
      <c r="AI517" s="213"/>
      <c r="AJ517" s="213"/>
      <c r="AK517" s="213"/>
      <c r="AL517" s="213"/>
      <c r="AM517" s="213"/>
      <c r="AN517" s="213"/>
      <c r="AO517" s="213"/>
      <c r="AP517" s="213" t="str">
        <f>IFERROR(__xludf.DUMMYFUNCTION("""COMPUTED_VALUE"""),"NALDI")</f>
        <v>NALDI</v>
      </c>
      <c r="AQ517" s="213" t="str">
        <f>IFERROR(__xludf.DUMMYFUNCTION("""COMPUTED_VALUE"""),"Tiene una parte neumática, por lo que se necesita de una compresora. Normalmente se usa la del priopio taller.
Considerar un 5% adicional al costo por la dimensión solicitada")</f>
        <v>Tiene una parte neumática, por lo que se necesita de una compresora. Normalmente se usa la del priopio taller.
Considerar un 5% adicional al costo por la dimensión solicitada</v>
      </c>
      <c r="AR517" s="213"/>
      <c r="AS517" s="213" t="str">
        <f>IFERROR(__xludf.DUMMYFUNCTION("""COMPUTED_VALUE"""),"Manguera hidráulica de 8 mm, hidrolina, compresora, adepatadores de conexión rápida")</f>
        <v>Manguera hidráulica de 8 mm, hidrolina, compresora, adepatadores de conexión rápida</v>
      </c>
      <c r="AT517" s="213"/>
      <c r="AU517" s="213"/>
      <c r="AV517" s="213"/>
      <c r="AW517" s="213"/>
      <c r="AX517" s="213"/>
      <c r="AY517" s="213"/>
      <c r="AZ517" s="213"/>
      <c r="BA517" s="213"/>
      <c r="BB517" s="213"/>
      <c r="BC517" s="213"/>
      <c r="BD517" s="213"/>
    </row>
    <row r="518">
      <c r="A518" s="213">
        <f>IFERROR(__xludf.DUMMYFUNCTION("""COMPUTED_VALUE"""),1585.0)</f>
        <v>1585</v>
      </c>
      <c r="B518" s="213" t="str">
        <f>IFERROR(__xludf.DUMMYFUNCTION("""COMPUTED_VALUE"""),"GUILLERMO E. BILLINGHURST ")</f>
        <v>GUILLERMO E. BILLINGHURST </v>
      </c>
      <c r="C518" s="213" t="str">
        <f>IFERROR(__xludf.DUMMYFUNCTION("""COMPUTED_VALUE"""),"TALLER SFT DE MECÁNICA AUTOMOTRIZ")</f>
        <v>TALLER SFT DE MECÁNICA AUTOMOTRIZ</v>
      </c>
      <c r="D518" s="213" t="str">
        <f>IFERROR(__xludf.DUMMYFUNCTION("""COMPUTED_VALUE"""),"EQUIPOS")</f>
        <v>EQUIPOS</v>
      </c>
      <c r="E518" s="213" t="str">
        <f>IFERROR(__xludf.DUMMYFUNCTION("""COMPUTED_VALUE"""),"ESP-151")</f>
        <v>ESP-151</v>
      </c>
      <c r="F518" s="213" t="str">
        <f>IFERROR(__xludf.DUMMYFUNCTION("""COMPUTED_VALUE"""),"ESP-151")</f>
        <v>ESP-151</v>
      </c>
      <c r="G518" s="213"/>
      <c r="H518" s="213" t="str">
        <f>IFERROR(__xludf.DUMMYFUNCTION("""COMPUTED_VALUE"""),"ELEVADOR DE TIJERA")</f>
        <v>ELEVADOR DE TIJERA</v>
      </c>
      <c r="I518" s="213" t="str">
        <f>IFERROR(__xludf.DUMMYFUNCTION("""COMPUTED_VALUE"""),"· Elevador electro-hidráulico de doble tijera con dos pistones de carga de 3.0Tn, y rampas extensibles, dispositivo de alarma y auto lubricación. Su instalación es empotrada. Elevador totalmente profesional adaptable a cualquier tipo de taller mecánico de"&amp;" reparación del automóvil o profesional del ramo.
Características
· Diseño basado en los estándares internacionales, cumpliendo las demandas de los talleres de reparación de vehículos.
· El sistema hidráulico mantiene ambas plataformas al mismo nivel.
· D"&amp;"ispositivo de protección mecánica durante todo el recorrido.
· Sistema limitador de altura automático.
· La instalación de las bases en los fosos puede ahorrar espacio al taller.
· Sistema de lubricación automático y localización de fugas.
· Seguros y cua"&amp;"dro electrónico. Especificaciones técnicas
- Capacidad de elevación: 3.0Tn.
- Altura de elevación máx. 1.90 m.
- Elevación min. 1.15 m.
- Anchura total 2.00 m.
- Longitud de las rampas: 2.00 m.
- Anchura de rampas: 0.60 m.
- Tiempo de elevación 50 seg.
- "&amp;"Alimentación eléctrica: 220 V / 240 V, 50/60Hz.
- Potencia motor: 2.2kW.")</f>
        <v>· Elevador electro-hidráulico de doble tijera con dos pistones de carga de 3.0Tn, y rampas extensibles, dispositivo de alarma y auto lubricación. Su instalación es empotrada. Elevador totalmente profesional adaptable a cualquier tipo de taller mecánico de reparación del automóvil o profesional del ramo.
Características
· Diseño basado en los estándares internacionales, cumpliendo las demandas de los talleres de reparación de vehículos.
· El sistema hidráulico mantiene ambas plataformas al mismo nivel.
· Dispositivo de protección mecánica durante todo el recorrido.
· Sistema limitador de altura automático.
· La instalación de las bases en los fosos puede ahorrar espacio al taller.
· Sistema de lubricación automático y localización de fugas.
· Seguros y cuadro electrónico. Especificaciones técnicas
- Capacidad de elevación: 3.0Tn.
- Altura de elevación máx. 1.90 m.
- Elevación min. 1.15 m.
- Anchura total 2.00 m.
- Longitud de las rampas: 2.00 m.
- Anchura de rampas: 0.60 m.
- Tiempo de elevación 50 seg.
- Alimentación eléctrica: 220 V / 240 V, 50/60Hz.
- Potencia motor: 2.2kW.</v>
      </c>
      <c r="J518" s="213">
        <f>IFERROR(__xludf.DUMMYFUNCTION("""COMPUTED_VALUE"""),3.0)</f>
        <v>3</v>
      </c>
      <c r="K518" s="213" t="str">
        <f>IFERROR(__xludf.DUMMYFUNCTION("""COMPUTED_VALUE"""),"170 DÍAS CALENDARIO")</f>
        <v>170 DÍAS CALENDARIO</v>
      </c>
      <c r="L518" s="213" t="str">
        <f>IFERROR(__xludf.DUMMYFUNCTION("""COMPUTED_VALUE"""),"")</f>
        <v/>
      </c>
      <c r="M518" s="213">
        <f>IFERROR(__xludf.DUMMYFUNCTION("""COMPUTED_VALUE"""),1.0)</f>
        <v>1</v>
      </c>
      <c r="N518" s="213">
        <f>IFERROR(__xludf.DUMMYFUNCTION("""COMPUTED_VALUE"""),1.0)</f>
        <v>1</v>
      </c>
      <c r="O518" s="213">
        <f>IFERROR(__xludf.DUMMYFUNCTION("""COMPUTED_VALUE"""),1.0)</f>
        <v>1</v>
      </c>
      <c r="P518" s="213"/>
      <c r="Q518" s="213"/>
      <c r="R518" s="213"/>
      <c r="S518" s="213" t="str">
        <f>IFERROR(__xludf.DUMMYFUNCTION("""COMPUTED_VALUE"""),"SI")</f>
        <v>SI</v>
      </c>
      <c r="T518" s="213" t="str">
        <f>IFERROR(__xludf.DUMMYFUNCTION("""COMPUTED_VALUE"""),"SI")</f>
        <v>SI</v>
      </c>
      <c r="U518" s="213" t="str">
        <f>IFERROR(__xludf.DUMMYFUNCTION("""COMPUTED_VALUE"""),"NO")</f>
        <v>NO</v>
      </c>
      <c r="V518" s="213" t="str">
        <f>IFERROR(__xludf.DUMMYFUNCTION("""COMPUTED_VALUE"""),"SUSTENTO")</f>
        <v>SUSTENTO</v>
      </c>
      <c r="W518" s="213" t="str">
        <f>IFERROR(__xludf.DUMMYFUNCTION("""COMPUTED_VALUE"""),"DIMENSIONAL")</f>
        <v>DIMENSIONAL</v>
      </c>
      <c r="X518" s="213" t="str">
        <f>IFERROR(__xludf.DUMMYFUNCTION("""COMPUTED_VALUE"""),"LAUNCH")</f>
        <v>LAUNCH</v>
      </c>
      <c r="Y518" s="213" t="str">
        <f>IFERROR(__xludf.DUMMYFUNCTION("""COMPUTED_VALUE"""),"TLT635AF")</f>
        <v>TLT635AF</v>
      </c>
      <c r="Z518" s="215" t="str">
        <f>IFERROR(__xludf.DUMMYFUNCTION("""COMPUTED_VALUE"""),"https://www.launchiberica.com/wp-content/uploads/2025/06/Familia-elevadores-TLT-LAUNCH-25.pdf")</f>
        <v>https://www.launchiberica.com/wp-content/uploads/2025/06/Familia-elevadores-TLT-LAUNCH-25.pdf</v>
      </c>
      <c r="AA518" s="213" t="str">
        <f>IFERROR(__xludf.DUMMYFUNCTION("""COMPUTED_VALUE"""),"ESP-151 ELEVADOR DE TIJERA - CET")</f>
        <v>ESP-151 ELEVADOR DE TIJERA - CET</v>
      </c>
      <c r="AB518" s="215" t="str">
        <f>IFERROR(__xludf.DUMMYFUNCTION("""COMPUTED_VALUE"""),"https://www.launchiberica.com/wp-content/uploads/2025/06/Familia-elevadores-TLT-LAUNCH-25.pdf")</f>
        <v>https://www.launchiberica.com/wp-content/uploads/2025/06/Familia-elevadores-TLT-LAUNCH-25.pdf</v>
      </c>
      <c r="AC518" s="213"/>
      <c r="AD518" s="213"/>
      <c r="AE518" s="213"/>
      <c r="AF518" s="213"/>
      <c r="AG518" s="213"/>
      <c r="AH518" s="213" t="str">
        <f>IFERROR(__xludf.DUMMYFUNCTION("""COMPUTED_VALUE"""),"IMPORTADO")</f>
        <v>IMPORTADO</v>
      </c>
      <c r="AI518" s="213"/>
      <c r="AJ518" s="213"/>
      <c r="AK518" s="213"/>
      <c r="AL518" s="213"/>
      <c r="AM518" s="213"/>
      <c r="AN518" s="213"/>
      <c r="AO518" s="213"/>
      <c r="AP518" s="213" t="str">
        <f>IFERROR(__xludf.DUMMYFUNCTION("""COMPUTED_VALUE"""),"NALDI")</f>
        <v>NALDI</v>
      </c>
      <c r="AQ518" s="213"/>
      <c r="AR518" s="213"/>
      <c r="AS518" s="213"/>
      <c r="AT518" s="213"/>
      <c r="AU518" s="213"/>
      <c r="AV518" s="213"/>
      <c r="AW518" s="213"/>
      <c r="AX518" s="213"/>
      <c r="AY518" s="213"/>
      <c r="AZ518" s="213"/>
      <c r="BA518" s="213"/>
      <c r="BB518" s="213"/>
      <c r="BC518" s="213"/>
      <c r="BD518" s="213"/>
    </row>
    <row r="519">
      <c r="A519" s="213">
        <f>IFERROR(__xludf.DUMMYFUNCTION("""COMPUTED_VALUE"""),2272.0)</f>
        <v>2272</v>
      </c>
      <c r="B519" s="213" t="str">
        <f>IFERROR(__xludf.DUMMYFUNCTION("""COMPUTED_VALUE"""),"JOSE GRANDA")</f>
        <v>JOSE GRANDA</v>
      </c>
      <c r="C519" s="213" t="str">
        <f>IFERROR(__xludf.DUMMYFUNCTION("""COMPUTED_VALUE"""),"TALLER SFT DE MECÁNICA AUTOMOTRIZ")</f>
        <v>TALLER SFT DE MECÁNICA AUTOMOTRIZ</v>
      </c>
      <c r="D519" s="213" t="str">
        <f>IFERROR(__xludf.DUMMYFUNCTION("""COMPUTED_VALUE"""),"EQUIPOS")</f>
        <v>EQUIPOS</v>
      </c>
      <c r="E519" s="213" t="str">
        <f>IFERROR(__xludf.DUMMYFUNCTION("""COMPUTED_VALUE"""),"ESP-151")</f>
        <v>ESP-151</v>
      </c>
      <c r="F519" s="213" t="str">
        <f>IFERROR(__xludf.DUMMYFUNCTION("""COMPUTED_VALUE"""),"ESP-151")</f>
        <v>ESP-151</v>
      </c>
      <c r="G519" s="213"/>
      <c r="H519" s="213" t="str">
        <f>IFERROR(__xludf.DUMMYFUNCTION("""COMPUTED_VALUE"""),"ELEVADOR DE TIJERA")</f>
        <v>ELEVADOR DE TIJERA</v>
      </c>
      <c r="I519" s="213" t="str">
        <f>IFERROR(__xludf.DUMMYFUNCTION("""COMPUTED_VALUE"""),"· Elevador electro-hidráulico de doble tijera con dos pistones de carga de 3.0Tn, y rampas extensibles, dispositivo de alarma y auto lubricación. Su instalación es empotrada. Elevador totalmente profesional adaptable a cualquier tipo de taller mecánico de"&amp;" reparación del automóvil o profesional del ramo.
Características
· Diseño basado en los estándares internacionales, cumpliendo las demandas de los talleres de reparación de vehículos.
· El sistema hidráulico mantiene ambas plataformas al mismo nivel.
· D"&amp;"ispositivo de protección mecánica durante todo el recorrido.
· Sistema limitador de altura automático.
· La instalación de las bases en los fosos puede ahorrar espacio al taller.
· Sistema de lubricación automático y localización de fugas.
· Seguros y cua"&amp;"dro electrónico. Especificaciones técnicas
- Capacidad de elevación: 3.0Tn.
- Altura de elevación máx. 1.90 m.
- Elevación min. 1.15 m.
- Anchura total 2.00 m.
- Longitud de las rampas: 2.00 m.
- Anchura de rampas: 0.60 m.
- Tiempo de elevación 50 seg.
- "&amp;"Alimentación eléctrica: 220 V / 240 V, 50/60Hz.
- Potencia motor: 2.2kW.")</f>
        <v>· Elevador electro-hidráulico de doble tijera con dos pistones de carga de 3.0Tn, y rampas extensibles, dispositivo de alarma y auto lubricación. Su instalación es empotrada. Elevador totalmente profesional adaptable a cualquier tipo de taller mecánico de reparación del automóvil o profesional del ramo.
Características
· Diseño basado en los estándares internacionales, cumpliendo las demandas de los talleres de reparación de vehículos.
· El sistema hidráulico mantiene ambas plataformas al mismo nivel.
· Dispositivo de protección mecánica durante todo el recorrido.
· Sistema limitador de altura automático.
· La instalación de las bases en los fosos puede ahorrar espacio al taller.
· Sistema de lubricación automático y localización de fugas.
· Seguros y cuadro electrónico. Especificaciones técnicas
- Capacidad de elevación: 3.0Tn.
- Altura de elevación máx. 1.90 m.
- Elevación min. 1.15 m.
- Anchura total 2.00 m.
- Longitud de las rampas: 2.00 m.
- Anchura de rampas: 0.60 m.
- Tiempo de elevación 50 seg.
- Alimentación eléctrica: 220 V / 240 V, 50/60Hz.
- Potencia motor: 2.2kW.</v>
      </c>
      <c r="J519" s="213">
        <f>IFERROR(__xludf.DUMMYFUNCTION("""COMPUTED_VALUE"""),3.0)</f>
        <v>3</v>
      </c>
      <c r="K519" s="213" t="str">
        <f>IFERROR(__xludf.DUMMYFUNCTION("""COMPUTED_VALUE"""),"170 DÍAS CALENDARIO")</f>
        <v>170 DÍAS CALENDARIO</v>
      </c>
      <c r="L519" s="213" t="str">
        <f>IFERROR(__xludf.DUMMYFUNCTION("""COMPUTED_VALUE"""),"")</f>
        <v/>
      </c>
      <c r="M519" s="213">
        <f>IFERROR(__xludf.DUMMYFUNCTION("""COMPUTED_VALUE"""),1.0)</f>
        <v>1</v>
      </c>
      <c r="N519" s="213">
        <f>IFERROR(__xludf.DUMMYFUNCTION("""COMPUTED_VALUE"""),1.0)</f>
        <v>1</v>
      </c>
      <c r="O519" s="213">
        <f>IFERROR(__xludf.DUMMYFUNCTION("""COMPUTED_VALUE"""),1.0)</f>
        <v>1</v>
      </c>
      <c r="P519" s="213"/>
      <c r="Q519" s="213"/>
      <c r="R519" s="213"/>
      <c r="S519" s="213" t="str">
        <f>IFERROR(__xludf.DUMMYFUNCTION("""COMPUTED_VALUE"""),"SI")</f>
        <v>SI</v>
      </c>
      <c r="T519" s="213" t="str">
        <f>IFERROR(__xludf.DUMMYFUNCTION("""COMPUTED_VALUE"""),"SI")</f>
        <v>SI</v>
      </c>
      <c r="U519" s="213" t="str">
        <f>IFERROR(__xludf.DUMMYFUNCTION("""COMPUTED_VALUE"""),"NO")</f>
        <v>NO</v>
      </c>
      <c r="V519" s="213" t="str">
        <f>IFERROR(__xludf.DUMMYFUNCTION("""COMPUTED_VALUE"""),"SUSTENTO")</f>
        <v>SUSTENTO</v>
      </c>
      <c r="W519" s="213" t="str">
        <f>IFERROR(__xludf.DUMMYFUNCTION("""COMPUTED_VALUE"""),"DIMENSIONAL")</f>
        <v>DIMENSIONAL</v>
      </c>
      <c r="X519" s="213" t="str">
        <f>IFERROR(__xludf.DUMMYFUNCTION("""COMPUTED_VALUE"""),"LAUNCH")</f>
        <v>LAUNCH</v>
      </c>
      <c r="Y519" s="213" t="str">
        <f>IFERROR(__xludf.DUMMYFUNCTION("""COMPUTED_VALUE"""),"TLT635AF")</f>
        <v>TLT635AF</v>
      </c>
      <c r="Z519" s="215" t="str">
        <f>IFERROR(__xludf.DUMMYFUNCTION("""COMPUTED_VALUE"""),"https://www.launchiberica.com/wp-content/uploads/2025/06/Familia-elevadores-TLT-LAUNCH-25.pdf")</f>
        <v>https://www.launchiberica.com/wp-content/uploads/2025/06/Familia-elevadores-TLT-LAUNCH-25.pdf</v>
      </c>
      <c r="AA519" s="213" t="str">
        <f>IFERROR(__xludf.DUMMYFUNCTION("""COMPUTED_VALUE"""),"ESP-151 ELEVADOR DE TIJERA - CET")</f>
        <v>ESP-151 ELEVADOR DE TIJERA - CET</v>
      </c>
      <c r="AB519" s="215" t="str">
        <f>IFERROR(__xludf.DUMMYFUNCTION("""COMPUTED_VALUE"""),"https://www.launchiberica.com/wp-content/uploads/2025/06/Familia-elevadores-TLT-LAUNCH-25.pdf")</f>
        <v>https://www.launchiberica.com/wp-content/uploads/2025/06/Familia-elevadores-TLT-LAUNCH-25.pdf</v>
      </c>
      <c r="AC519" s="213"/>
      <c r="AD519" s="213"/>
      <c r="AE519" s="213"/>
      <c r="AF519" s="213"/>
      <c r="AG519" s="213"/>
      <c r="AH519" s="213" t="str">
        <f>IFERROR(__xludf.DUMMYFUNCTION("""COMPUTED_VALUE"""),"IMPORTADO")</f>
        <v>IMPORTADO</v>
      </c>
      <c r="AI519" s="213"/>
      <c r="AJ519" s="213"/>
      <c r="AK519" s="213"/>
      <c r="AL519" s="213"/>
      <c r="AM519" s="213"/>
      <c r="AN519" s="213"/>
      <c r="AO519" s="213"/>
      <c r="AP519" s="213" t="str">
        <f>IFERROR(__xludf.DUMMYFUNCTION("""COMPUTED_VALUE"""),"NALDI")</f>
        <v>NALDI</v>
      </c>
      <c r="AQ519" s="213"/>
      <c r="AR519" s="213"/>
      <c r="AS519" s="213"/>
      <c r="AT519" s="213"/>
      <c r="AU519" s="213"/>
      <c r="AV519" s="213"/>
      <c r="AW519" s="213"/>
      <c r="AX519" s="213"/>
      <c r="AY519" s="213"/>
      <c r="AZ519" s="213"/>
      <c r="BA519" s="213"/>
      <c r="BB519" s="213"/>
      <c r="BC519" s="213"/>
      <c r="BD519" s="213"/>
    </row>
    <row r="520">
      <c r="A520" s="213">
        <f>IFERROR(__xludf.DUMMYFUNCTION("""COMPUTED_VALUE"""),1413.0)</f>
        <v>1413</v>
      </c>
      <c r="B520" s="213" t="str">
        <f>IFERROR(__xludf.DUMMYFUNCTION("""COMPUTED_VALUE"""),"GUILLERMO E. BILLINGHURST ")</f>
        <v>GUILLERMO E. BILLINGHURST </v>
      </c>
      <c r="C520" s="213" t="str">
        <f>IFERROR(__xludf.DUMMYFUNCTION("""COMPUTED_VALUE"""),"TALLER SFT DE INDUSTRIA ALIMENTARIA")</f>
        <v>TALLER SFT DE INDUSTRIA ALIMENTARIA</v>
      </c>
      <c r="D520" s="213" t="str">
        <f>IFERROR(__xludf.DUMMYFUNCTION("""COMPUTED_VALUE"""),"HERRAMIENTAS")</f>
        <v>HERRAMIENTAS</v>
      </c>
      <c r="E520" s="213" t="str">
        <f>IFERROR(__xludf.DUMMYFUNCTION("""COMPUTED_VALUE"""),"COM-236")</f>
        <v>COM-236</v>
      </c>
      <c r="F520" s="213" t="str">
        <f>IFERROR(__xludf.DUMMYFUNCTION("""COMPUTED_VALUE"""),"COM-236-X")</f>
        <v>COM-236-X</v>
      </c>
      <c r="G520" s="213"/>
      <c r="H520" s="213" t="str">
        <f>IFERROR(__xludf.DUMMYFUNCTION("""COMPUTED_VALUE"""),"JUEGO DE MOLDES CON CONO")</f>
        <v>JUEGO DE MOLDES CON CONO</v>
      </c>
      <c r="I520" s="213" t="str">
        <f>IFERROR(__xludf.DUMMYFUNCTION("""COMPUTED_VALUE"""),". Material Aluminio
. Moldes de 22cm, 24cm, 26 cm de diámetro
. Ideal para pastelería.
. Molde con cono")</f>
        <v>. Material Aluminio
. Moldes de 22cm, 24cm, 26 cm de diámetro
. Ideal para pastelería.
. Molde con cono</v>
      </c>
      <c r="J520" s="213">
        <f>IFERROR(__xludf.DUMMYFUNCTION("""COMPUTED_VALUE"""),3.0)</f>
        <v>3</v>
      </c>
      <c r="K520" s="213" t="str">
        <f>IFERROR(__xludf.DUMMYFUNCTION("""COMPUTED_VALUE"""),"90 DÍAS CALENDARIO")</f>
        <v>90 DÍAS CALENDARIO</v>
      </c>
      <c r="L520" s="213" t="str">
        <f>IFERROR(__xludf.DUMMYFUNCTION("""COMPUTED_VALUE"""),"")</f>
        <v/>
      </c>
      <c r="M520" s="213">
        <f>IFERROR(__xludf.DUMMYFUNCTION("""COMPUTED_VALUE"""),1.0)</f>
        <v>1</v>
      </c>
      <c r="N520" s="213">
        <f>IFERROR(__xludf.DUMMYFUNCTION("""COMPUTED_VALUE"""),4.0)</f>
        <v>4</v>
      </c>
      <c r="O520" s="213">
        <f>IFERROR(__xludf.DUMMYFUNCTION("""COMPUTED_VALUE"""),4.0)</f>
        <v>4</v>
      </c>
      <c r="P520" s="213"/>
      <c r="Q520" s="213"/>
      <c r="R520" s="213" t="str">
        <f>IFERROR(__xludf.DUMMYFUNCTION("""COMPUTED_VALUE"""),"SI")</f>
        <v>SI</v>
      </c>
      <c r="S520" s="213"/>
      <c r="T520" s="213" t="str">
        <f>IFERROR(__xludf.DUMMYFUNCTION("""COMPUTED_VALUE"""),"SI")</f>
        <v>SI</v>
      </c>
      <c r="U520" s="213" t="str">
        <f>IFERROR(__xludf.DUMMYFUNCTION("""COMPUTED_VALUE"""),"SI")</f>
        <v>SI</v>
      </c>
      <c r="V520" s="213" t="str">
        <f>IFERROR(__xludf.DUMMYFUNCTION("""COMPUTED_VALUE"""),"-")</f>
        <v>-</v>
      </c>
      <c r="W520" s="213" t="str">
        <f>IFERROR(__xludf.DUMMYFUNCTION("""COMPUTED_VALUE"""),"-")</f>
        <v>-</v>
      </c>
      <c r="X520" s="213" t="str">
        <f>IFERROR(__xludf.DUMMYFUNCTION("""COMPUTED_VALUE"""),"Genérico")</f>
        <v>Genérico</v>
      </c>
      <c r="Y520" s="213" t="str">
        <f>IFERROR(__xludf.DUMMYFUNCTION("""COMPUTED_VALUE"""),"SET DE 3 MOLDES DE KEKE CON TUBO ")</f>
        <v>SET DE 3 MOLDES DE KEKE CON TUBO </v>
      </c>
      <c r="Z520" s="215" t="str">
        <f>IFERROR(__xludf.DUMMYFUNCTION("""COMPUTED_VALUE"""),"https://simple.ripley.com.pe/set-de-3-moldes-de-keke-con-tubo-del-22-al-26-para-reposteria-pmp20001050540?color_80=aluminio&amp;s=mdco")</f>
        <v>https://simple.ripley.com.pe/set-de-3-moldes-de-keke-con-tubo-del-22-al-26-para-reposteria-pmp20001050540?color_80=aluminio&amp;s=mdco</v>
      </c>
      <c r="AA520" s="213" t="str">
        <f>IFERROR(__xludf.DUMMYFUNCTION("""COMPUTED_VALUE"""),"COM-236-X JUEGO DE MOLDES CON CONO - CET")</f>
        <v>COM-236-X JUEGO DE MOLDES CON CONO - CET</v>
      </c>
      <c r="AB520" s="213"/>
      <c r="AC520" s="213"/>
      <c r="AD520" s="213"/>
      <c r="AE520" s="213"/>
      <c r="AF520" s="213"/>
      <c r="AG520" s="213"/>
      <c r="AH520" s="213"/>
      <c r="AI520" s="213"/>
      <c r="AJ520" s="213"/>
      <c r="AK520" s="213"/>
      <c r="AL520" s="213"/>
      <c r="AM520" s="213"/>
      <c r="AN520" s="213"/>
      <c r="AO520" s="213"/>
      <c r="AP520" s="213" t="str">
        <f>IFERROR(__xludf.DUMMYFUNCTION("""COMPUTED_VALUE"""),"LUIS")</f>
        <v>LUIS</v>
      </c>
      <c r="AQ520" s="213"/>
      <c r="AR520" s="213"/>
      <c r="AS520" s="213"/>
      <c r="AT520" s="213"/>
      <c r="AU520" s="213"/>
      <c r="AV520" s="213"/>
      <c r="AW520" s="213"/>
      <c r="AX520" s="213"/>
      <c r="AY520" s="213"/>
      <c r="AZ520" s="213"/>
      <c r="BA520" s="213"/>
      <c r="BB520" s="213"/>
      <c r="BC520" s="213"/>
      <c r="BD520" s="213"/>
    </row>
    <row r="521">
      <c r="A521" s="213">
        <f>IFERROR(__xludf.DUMMYFUNCTION("""COMPUTED_VALUE"""),2100.0)</f>
        <v>2100</v>
      </c>
      <c r="B521" s="213" t="str">
        <f>IFERROR(__xludf.DUMMYFUNCTION("""COMPUTED_VALUE"""),"JOSE GRANDA")</f>
        <v>JOSE GRANDA</v>
      </c>
      <c r="C521" s="213" t="str">
        <f>IFERROR(__xludf.DUMMYFUNCTION("""COMPUTED_VALUE"""),"TALLER SFT DE INDUSTRIA ALIMENTARIA")</f>
        <v>TALLER SFT DE INDUSTRIA ALIMENTARIA</v>
      </c>
      <c r="D521" s="213" t="str">
        <f>IFERROR(__xludf.DUMMYFUNCTION("""COMPUTED_VALUE"""),"HERRAMIENTAS")</f>
        <v>HERRAMIENTAS</v>
      </c>
      <c r="E521" s="213" t="str">
        <f>IFERROR(__xludf.DUMMYFUNCTION("""COMPUTED_VALUE"""),"COM-236")</f>
        <v>COM-236</v>
      </c>
      <c r="F521" s="213" t="str">
        <f>IFERROR(__xludf.DUMMYFUNCTION("""COMPUTED_VALUE"""),"COM-236-X")</f>
        <v>COM-236-X</v>
      </c>
      <c r="G521" s="213"/>
      <c r="H521" s="213" t="str">
        <f>IFERROR(__xludf.DUMMYFUNCTION("""COMPUTED_VALUE"""),"JUEGO DE MOLDES CON CONO")</f>
        <v>JUEGO DE MOLDES CON CONO</v>
      </c>
      <c r="I521" s="213" t="str">
        <f>IFERROR(__xludf.DUMMYFUNCTION("""COMPUTED_VALUE"""),". Material Aluminio
. Moldes de 22cm, 24cm, 26 cm de diámetro
. Ideal para pastelería.
. Molde con cono")</f>
        <v>. Material Aluminio
. Moldes de 22cm, 24cm, 26 cm de diámetro
. Ideal para pastelería.
. Molde con cono</v>
      </c>
      <c r="J521" s="213">
        <f>IFERROR(__xludf.DUMMYFUNCTION("""COMPUTED_VALUE"""),3.0)</f>
        <v>3</v>
      </c>
      <c r="K521" s="213" t="str">
        <f>IFERROR(__xludf.DUMMYFUNCTION("""COMPUTED_VALUE"""),"90 DÍAS CALENDARIO")</f>
        <v>90 DÍAS CALENDARIO</v>
      </c>
      <c r="L521" s="213" t="str">
        <f>IFERROR(__xludf.DUMMYFUNCTION("""COMPUTED_VALUE"""),"")</f>
        <v/>
      </c>
      <c r="M521" s="213">
        <f>IFERROR(__xludf.DUMMYFUNCTION("""COMPUTED_VALUE"""),1.0)</f>
        <v>1</v>
      </c>
      <c r="N521" s="213">
        <f>IFERROR(__xludf.DUMMYFUNCTION("""COMPUTED_VALUE"""),4.0)</f>
        <v>4</v>
      </c>
      <c r="O521" s="213">
        <f>IFERROR(__xludf.DUMMYFUNCTION("""COMPUTED_VALUE"""),4.0)</f>
        <v>4</v>
      </c>
      <c r="P521" s="213"/>
      <c r="Q521" s="213"/>
      <c r="R521" s="213" t="str">
        <f>IFERROR(__xludf.DUMMYFUNCTION("""COMPUTED_VALUE"""),"SI")</f>
        <v>SI</v>
      </c>
      <c r="S521" s="213"/>
      <c r="T521" s="213" t="str">
        <f>IFERROR(__xludf.DUMMYFUNCTION("""COMPUTED_VALUE"""),"SI")</f>
        <v>SI</v>
      </c>
      <c r="U521" s="213" t="str">
        <f>IFERROR(__xludf.DUMMYFUNCTION("""COMPUTED_VALUE"""),"SI")</f>
        <v>SI</v>
      </c>
      <c r="V521" s="213" t="str">
        <f>IFERROR(__xludf.DUMMYFUNCTION("""COMPUTED_VALUE"""),"-")</f>
        <v>-</v>
      </c>
      <c r="W521" s="213" t="str">
        <f>IFERROR(__xludf.DUMMYFUNCTION("""COMPUTED_VALUE"""),"-")</f>
        <v>-</v>
      </c>
      <c r="X521" s="213" t="str">
        <f>IFERROR(__xludf.DUMMYFUNCTION("""COMPUTED_VALUE"""),"Genérico")</f>
        <v>Genérico</v>
      </c>
      <c r="Y521" s="213" t="str">
        <f>IFERROR(__xludf.DUMMYFUNCTION("""COMPUTED_VALUE"""),"SET DE 3 MOLDES DE KEKE CON TUBO ")</f>
        <v>SET DE 3 MOLDES DE KEKE CON TUBO </v>
      </c>
      <c r="Z521" s="215" t="str">
        <f>IFERROR(__xludf.DUMMYFUNCTION("""COMPUTED_VALUE"""),"https://simple.ripley.com.pe/set-de-3-moldes-de-keke-con-tubo-del-22-al-26-para-reposteria-pmp20001050540?color_80=aluminio&amp;s=mdco")</f>
        <v>https://simple.ripley.com.pe/set-de-3-moldes-de-keke-con-tubo-del-22-al-26-para-reposteria-pmp20001050540?color_80=aluminio&amp;s=mdco</v>
      </c>
      <c r="AA521" s="213" t="str">
        <f>IFERROR(__xludf.DUMMYFUNCTION("""COMPUTED_VALUE"""),"COM-236-X JUEGO DE MOLDES CON CONO - CET")</f>
        <v>COM-236-X JUEGO DE MOLDES CON CONO - CET</v>
      </c>
      <c r="AB521" s="213"/>
      <c r="AC521" s="213"/>
      <c r="AD521" s="213"/>
      <c r="AE521" s="213"/>
      <c r="AF521" s="213"/>
      <c r="AG521" s="213"/>
      <c r="AH521" s="213"/>
      <c r="AI521" s="213"/>
      <c r="AJ521" s="213"/>
      <c r="AK521" s="213"/>
      <c r="AL521" s="213"/>
      <c r="AM521" s="213"/>
      <c r="AN521" s="213"/>
      <c r="AO521" s="213"/>
      <c r="AP521" s="213" t="str">
        <f>IFERROR(__xludf.DUMMYFUNCTION("""COMPUTED_VALUE"""),"LUIS")</f>
        <v>LUIS</v>
      </c>
      <c r="AQ521" s="213"/>
      <c r="AR521" s="213"/>
      <c r="AS521" s="213"/>
      <c r="AT521" s="213"/>
      <c r="AU521" s="213"/>
      <c r="AV521" s="213"/>
      <c r="AW521" s="213"/>
      <c r="AX521" s="213"/>
      <c r="AY521" s="213"/>
      <c r="AZ521" s="213"/>
      <c r="BA521" s="213"/>
      <c r="BB521" s="213"/>
      <c r="BC521" s="213"/>
      <c r="BD521" s="213"/>
    </row>
    <row r="522">
      <c r="A522" s="213">
        <f>IFERROR(__xludf.DUMMYFUNCTION("""COMPUTED_VALUE"""),62.0)</f>
        <v>62</v>
      </c>
      <c r="B522" s="213" t="str">
        <f>IFERROR(__xludf.DUMMYFUNCTION("""COMPUTED_VALUE"""),"16449 ELOY SOBERON  FLORES")</f>
        <v>16449 ELOY SOBERON  FLORES</v>
      </c>
      <c r="C522" s="213" t="str">
        <f>IFERROR(__xludf.DUMMYFUNCTION("""COMPUTED_VALUE"""),"TALLER SFT DE COCINA Y REPOSTERÍA")</f>
        <v>TALLER SFT DE COCINA Y REPOSTERÍA</v>
      </c>
      <c r="D522" s="213" t="str">
        <f>IFERROR(__xludf.DUMMYFUNCTION("""COMPUTED_VALUE"""),"HERRAMIENTAS")</f>
        <v>HERRAMIENTAS</v>
      </c>
      <c r="E522" s="213" t="str">
        <f>IFERROR(__xludf.DUMMYFUNCTION("""COMPUTED_VALUE"""),"COM-236")</f>
        <v>COM-236</v>
      </c>
      <c r="F522" s="213" t="str">
        <f>IFERROR(__xludf.DUMMYFUNCTION("""COMPUTED_VALUE"""),"COM-236-Y")</f>
        <v>COM-236-Y</v>
      </c>
      <c r="G522" s="213"/>
      <c r="H522" s="213" t="str">
        <f>IFERROR(__xludf.DUMMYFUNCTION("""COMPUTED_VALUE"""),"MOLDE CON CONO")</f>
        <v>MOLDE CON CONO</v>
      </c>
      <c r="I522" s="213" t="str">
        <f>IFERROR(__xludf.DUMMYFUNCTION("""COMPUTED_VALUE"""),"· Material Aluminio
· Molde de aproximadamente 22, 24, 26 cm de diámetro
· Ideal para pastelería.
· Molde con cono")</f>
        <v>· Material Aluminio
· Molde de aproximadamente 22, 24, 26 cm de diámetro
· Ideal para pastelería.
· Molde con cono</v>
      </c>
      <c r="J522" s="213">
        <f>IFERROR(__xludf.DUMMYFUNCTION("""COMPUTED_VALUE"""),3.0)</f>
        <v>3</v>
      </c>
      <c r="K522" s="213" t="str">
        <f>IFERROR(__xludf.DUMMYFUNCTION("""COMPUTED_VALUE"""),"90 DÍAS CALENDARIO")</f>
        <v>90 DÍAS CALENDARIO</v>
      </c>
      <c r="L522" s="213" t="str">
        <f>IFERROR(__xludf.DUMMYFUNCTION("""COMPUTED_VALUE"""),"")</f>
        <v/>
      </c>
      <c r="M522" s="213">
        <f>IFERROR(__xludf.DUMMYFUNCTION("""COMPUTED_VALUE"""),1.0)</f>
        <v>1</v>
      </c>
      <c r="N522" s="213">
        <f>IFERROR(__xludf.DUMMYFUNCTION("""COMPUTED_VALUE"""),4.0)</f>
        <v>4</v>
      </c>
      <c r="O522" s="213">
        <f>IFERROR(__xludf.DUMMYFUNCTION("""COMPUTED_VALUE"""),4.0)</f>
        <v>4</v>
      </c>
      <c r="P522" s="213"/>
      <c r="Q522" s="213"/>
      <c r="R522" s="213" t="str">
        <f>IFERROR(__xludf.DUMMYFUNCTION("""COMPUTED_VALUE"""),"SI")</f>
        <v>SI</v>
      </c>
      <c r="S522" s="213"/>
      <c r="T522" s="213" t="str">
        <f>IFERROR(__xludf.DUMMYFUNCTION("""COMPUTED_VALUE"""),"SI")</f>
        <v>SI</v>
      </c>
      <c r="U522" s="213" t="str">
        <f>IFERROR(__xludf.DUMMYFUNCTION("""COMPUTED_VALUE"""),"SI")</f>
        <v>SI</v>
      </c>
      <c r="V522" s="213" t="str">
        <f>IFERROR(__xludf.DUMMYFUNCTION("""COMPUTED_VALUE"""),"-")</f>
        <v>-</v>
      </c>
      <c r="W522" s="213" t="str">
        <f>IFERROR(__xludf.DUMMYFUNCTION("""COMPUTED_VALUE"""),"-")</f>
        <v>-</v>
      </c>
      <c r="X522" s="213" t="str">
        <f>IFERROR(__xludf.DUMMYFUNCTION("""COMPUTED_VALUE"""),"Kussina")</f>
        <v>Kussina</v>
      </c>
      <c r="Y522" s="213" t="str">
        <f>IFERROR(__xludf.DUMMYFUNCTION("""COMPUTED_VALUE"""),"N°26")</f>
        <v>N°26</v>
      </c>
      <c r="Z522" s="215" t="str">
        <f>IFERROR(__xludf.DUMMYFUNCTION("""COMPUTED_VALUE"""),"https://www.makro.plazavea.com.pe/molde-de-aluminio-con-cono-26-1-1mm/p")</f>
        <v>https://www.makro.plazavea.com.pe/molde-de-aluminio-con-cono-26-1-1mm/p</v>
      </c>
      <c r="AA522" s="213" t="str">
        <f>IFERROR(__xludf.DUMMYFUNCTION("""COMPUTED_VALUE"""),"COM-236-Y MOLDE CON CONO - CET")</f>
        <v>COM-236-Y MOLDE CON CONO - CET</v>
      </c>
      <c r="AB522" s="213"/>
      <c r="AC522" s="213"/>
      <c r="AD522" s="213"/>
      <c r="AE522" s="213"/>
      <c r="AF522" s="213"/>
      <c r="AG522" s="213"/>
      <c r="AH522" s="213"/>
      <c r="AI522" s="213"/>
      <c r="AJ522" s="213"/>
      <c r="AK522" s="213"/>
      <c r="AL522" s="213"/>
      <c r="AM522" s="213"/>
      <c r="AN522" s="213"/>
      <c r="AO522" s="213"/>
      <c r="AP522" s="213" t="str">
        <f>IFERROR(__xludf.DUMMYFUNCTION("""COMPUTED_VALUE"""),"SEBASTIAN")</f>
        <v>SEBASTIAN</v>
      </c>
      <c r="AQ522" s="213"/>
      <c r="AR522" s="213"/>
      <c r="AS522" s="213"/>
      <c r="AT522" s="213"/>
      <c r="AU522" s="213"/>
      <c r="AV522" s="213"/>
      <c r="AW522" s="213"/>
      <c r="AX522" s="213"/>
      <c r="AY522" s="213"/>
      <c r="AZ522" s="213"/>
      <c r="BA522" s="213"/>
      <c r="BB522" s="213"/>
      <c r="BC522" s="213"/>
      <c r="BD522" s="213"/>
    </row>
    <row r="523">
      <c r="A523" s="213">
        <f>IFERROR(__xludf.DUMMYFUNCTION("""COMPUTED_VALUE"""),61.0)</f>
        <v>61</v>
      </c>
      <c r="B523" s="213" t="str">
        <f>IFERROR(__xludf.DUMMYFUNCTION("""COMPUTED_VALUE"""),"16449 ELOY SOBERON  FLORES")</f>
        <v>16449 ELOY SOBERON  FLORES</v>
      </c>
      <c r="C523" s="213" t="str">
        <f>IFERROR(__xludf.DUMMYFUNCTION("""COMPUTED_VALUE"""),"TALLER SFT DE COCINA Y REPOSTERÍA")</f>
        <v>TALLER SFT DE COCINA Y REPOSTERÍA</v>
      </c>
      <c r="D523" s="213" t="str">
        <f>IFERROR(__xludf.DUMMYFUNCTION("""COMPUTED_VALUE"""),"HERRAMIENTAS")</f>
        <v>HERRAMIENTAS</v>
      </c>
      <c r="E523" s="213" t="str">
        <f>IFERROR(__xludf.DUMMYFUNCTION("""COMPUTED_VALUE"""),"COM-238")</f>
        <v>COM-238</v>
      </c>
      <c r="F523" s="213" t="str">
        <f>IFERROR(__xludf.DUMMYFUNCTION("""COMPUTED_VALUE"""),"COM-238-X")</f>
        <v>COM-238-X</v>
      </c>
      <c r="G523" s="213"/>
      <c r="H523" s="213" t="str">
        <f>IFERROR(__xludf.DUMMYFUNCTION("""COMPUTED_VALUE"""),"JUEGO DE MOLDES DE CAKE")</f>
        <v>JUEGO DE MOLDES DE CAKE</v>
      </c>
      <c r="I523" s="213" t="str">
        <f>IFERROR(__xludf.DUMMYFUNCTION("""COMPUTED_VALUE"""),"Tamaño aproximado: 70 * 80 mm (D * H)
.Cake Molde número 20, 22, 24, 26
· Color: acero plata")</f>
        <v>Tamaño aproximado: 70 * 80 mm (D * H)
.Cake Molde número 20, 22, 24, 26
· Color: acero plata</v>
      </c>
      <c r="J523" s="213">
        <f>IFERROR(__xludf.DUMMYFUNCTION("""COMPUTED_VALUE"""),3.0)</f>
        <v>3</v>
      </c>
      <c r="K523" s="213" t="str">
        <f>IFERROR(__xludf.DUMMYFUNCTION("""COMPUTED_VALUE"""),"90 DÍAS CALENDARIO")</f>
        <v>90 DÍAS CALENDARIO</v>
      </c>
      <c r="L523" s="213" t="str">
        <f>IFERROR(__xludf.DUMMYFUNCTION("""COMPUTED_VALUE"""),"")</f>
        <v/>
      </c>
      <c r="M523" s="213">
        <f>IFERROR(__xludf.DUMMYFUNCTION("""COMPUTED_VALUE"""),1.0)</f>
        <v>1</v>
      </c>
      <c r="N523" s="213">
        <f>IFERROR(__xludf.DUMMYFUNCTION("""COMPUTED_VALUE"""),4.0)</f>
        <v>4</v>
      </c>
      <c r="O523" s="213">
        <f>IFERROR(__xludf.DUMMYFUNCTION("""COMPUTED_VALUE"""),4.0)</f>
        <v>4</v>
      </c>
      <c r="P523" s="213"/>
      <c r="Q523" s="213"/>
      <c r="R523" s="213"/>
      <c r="S523" s="213"/>
      <c r="T523" s="213" t="str">
        <f>IFERROR(__xludf.DUMMYFUNCTION("""COMPUTED_VALUE"""),"SI")</f>
        <v>SI</v>
      </c>
      <c r="U523" s="213" t="str">
        <f>IFERROR(__xludf.DUMMYFUNCTION("""COMPUTED_VALUE"""),"SI")</f>
        <v>SI</v>
      </c>
      <c r="V523" s="213" t="str">
        <f>IFERROR(__xludf.DUMMYFUNCTION("""COMPUTED_VALUE"""),"-")</f>
        <v>-</v>
      </c>
      <c r="W523" s="213" t="str">
        <f>IFERROR(__xludf.DUMMYFUNCTION("""COMPUTED_VALUE"""),"-")</f>
        <v>-</v>
      </c>
      <c r="X523" s="213" t="str">
        <f>IFERROR(__xludf.DUMMYFUNCTION("""COMPUTED_VALUE"""),"GENÉRICO")</f>
        <v>GENÉRICO</v>
      </c>
      <c r="Y523" s="213" t="str">
        <f>IFERROR(__xludf.DUMMYFUNCTION("""COMPUTED_VALUE"""),"6 MOLDES REDONDOS ANTIADHERENTES PARA TORTA REPOSTERIA")</f>
        <v>6 MOLDES REDONDOS ANTIADHERENTES PARA TORTA REPOSTERIA</v>
      </c>
      <c r="Z523" s="215" t="str">
        <f>IFERROR(__xludf.DUMMYFUNCTION("""COMPUTED_VALUE"""),"https://simple.ripley.com.pe/6-moldes-redondos-antiadherentes-para-torta-reposteria-pmp20000763585?gad_campaignid=20227668948&amp;gad_source=1&amp;gclid=CjwKCAjw7MLDBhAuEiwAIeXGIVa4ptIqSLhwbOdBLK10OLnlmw7tVMNsVbTWWtUu5uldybbww8kwLBoCDfAQAvD_BwE&amp;s=mdco")</f>
        <v>https://simple.ripley.com.pe/6-moldes-redondos-antiadherentes-para-torta-reposteria-pmp20000763585?gad_campaignid=20227668948&amp;gad_source=1&amp;gclid=CjwKCAjw7MLDBhAuEiwAIeXGIVa4ptIqSLhwbOdBLK10OLnlmw7tVMNsVbTWWtUu5uldybbww8kwLBoCDfAQAvD_BwE&amp;s=mdco</v>
      </c>
      <c r="AA523" s="213" t="str">
        <f>IFERROR(__xludf.DUMMYFUNCTION("""COMPUTED_VALUE"""),"COM-238-X JUEGO DE MOLDES DE CAKE - CET")</f>
        <v>COM-238-X JUEGO DE MOLDES DE CAKE - CET</v>
      </c>
      <c r="AB523" s="213"/>
      <c r="AC523" s="213"/>
      <c r="AD523" s="213"/>
      <c r="AE523" s="213"/>
      <c r="AF523" s="213"/>
      <c r="AG523" s="213"/>
      <c r="AH523" s="213"/>
      <c r="AI523" s="213"/>
      <c r="AJ523" s="213"/>
      <c r="AK523" s="213"/>
      <c r="AL523" s="213"/>
      <c r="AM523" s="213"/>
      <c r="AN523" s="213"/>
      <c r="AO523" s="213"/>
      <c r="AP523" s="213" t="str">
        <f>IFERROR(__xludf.DUMMYFUNCTION("""COMPUTED_VALUE"""),"LUIS")</f>
        <v>LUIS</v>
      </c>
      <c r="AQ523" s="213"/>
      <c r="AR523" s="213"/>
      <c r="AS523" s="213"/>
      <c r="AT523" s="213"/>
      <c r="AU523" s="213"/>
      <c r="AV523" s="213"/>
      <c r="AW523" s="213"/>
      <c r="AX523" s="213"/>
      <c r="AY523" s="213"/>
      <c r="AZ523" s="213"/>
      <c r="BA523" s="213"/>
      <c r="BB523" s="213"/>
      <c r="BC523" s="213"/>
      <c r="BD523" s="213"/>
    </row>
    <row r="524">
      <c r="A524" s="213">
        <f>IFERROR(__xludf.DUMMYFUNCTION("""COMPUTED_VALUE"""),510.0)</f>
        <v>510</v>
      </c>
      <c r="B524" s="213" t="str">
        <f>IFERROR(__xludf.DUMMYFUNCTION("""COMPUTED_VALUE"""),"2026 SIMON BOLIVAR")</f>
        <v>2026 SIMON BOLIVAR</v>
      </c>
      <c r="C524" s="213" t="str">
        <f>IFERROR(__xludf.DUMMYFUNCTION("""COMPUTED_VALUE"""),"TALLER SFT DE INDUSTRIA ALIMENTARIA")</f>
        <v>TALLER SFT DE INDUSTRIA ALIMENTARIA</v>
      </c>
      <c r="D524" s="213" t="str">
        <f>IFERROR(__xludf.DUMMYFUNCTION("""COMPUTED_VALUE"""),"HERRAMIENTAS")</f>
        <v>HERRAMIENTAS</v>
      </c>
      <c r="E524" s="213" t="str">
        <f>IFERROR(__xludf.DUMMYFUNCTION("""COMPUTED_VALUE"""),"COM-238")</f>
        <v>COM-238</v>
      </c>
      <c r="F524" s="213" t="str">
        <f>IFERROR(__xludf.DUMMYFUNCTION("""COMPUTED_VALUE"""),"COM-238-Y")</f>
        <v>COM-238-Y</v>
      </c>
      <c r="G524" s="213"/>
      <c r="H524" s="213" t="str">
        <f>IFERROR(__xludf.DUMMYFUNCTION("""COMPUTED_VALUE"""),"JUEGO DE MOLDES DE CAKE")</f>
        <v>JUEGO DE MOLDES DE CAKE</v>
      </c>
      <c r="I524" s="213" t="str">
        <f>IFERROR(__xludf.DUMMYFUNCTION("""COMPUTED_VALUE"""),". Especificaciones: Tamaño: 70 * 80 mm (D * H)
. Peso neto: 28 g br&gt;
. Peso del paquete: 38 g
. Contenido del embalaje: Cake Mold números: 20cm, 22cm, 24cm, 26cm
. Color: acero plata")</f>
        <v>. Especificaciones: Tamaño: 70 * 80 mm (D * H)
. Peso neto: 28 g br&gt;
. Peso del paquete: 38 g
. Contenido del embalaje: Cake Mold números: 20cm, 22cm, 24cm, 26cm
. Color: acero plata</v>
      </c>
      <c r="J524" s="213">
        <f>IFERROR(__xludf.DUMMYFUNCTION("""COMPUTED_VALUE"""),3.0)</f>
        <v>3</v>
      </c>
      <c r="K524" s="213" t="str">
        <f>IFERROR(__xludf.DUMMYFUNCTION("""COMPUTED_VALUE"""),"90 DÍAS CALENDARIO")</f>
        <v>90 DÍAS CALENDARIO</v>
      </c>
      <c r="L524" s="213" t="str">
        <f>IFERROR(__xludf.DUMMYFUNCTION("""COMPUTED_VALUE"""),"")</f>
        <v/>
      </c>
      <c r="M524" s="213">
        <f>IFERROR(__xludf.DUMMYFUNCTION("""COMPUTED_VALUE"""),1.0)</f>
        <v>1</v>
      </c>
      <c r="N524" s="213">
        <f>IFERROR(__xludf.DUMMYFUNCTION("""COMPUTED_VALUE"""),4.0)</f>
        <v>4</v>
      </c>
      <c r="O524" s="213">
        <f>IFERROR(__xludf.DUMMYFUNCTION("""COMPUTED_VALUE"""),4.0)</f>
        <v>4</v>
      </c>
      <c r="P524" s="213"/>
      <c r="Q524" s="213"/>
      <c r="R524" s="213"/>
      <c r="S524" s="213"/>
      <c r="T524" s="213" t="str">
        <f>IFERROR(__xludf.DUMMYFUNCTION("""COMPUTED_VALUE"""),"NO")</f>
        <v>NO</v>
      </c>
      <c r="U524" s="213" t="str">
        <f>IFERROR(__xludf.DUMMYFUNCTION("""COMPUTED_VALUE"""),"NO")</f>
        <v>NO</v>
      </c>
      <c r="V524" s="213" t="str">
        <f>IFERROR(__xludf.DUMMYFUNCTION("""COMPUTED_VALUE"""),"SUSTENTO")</f>
        <v>SUSTENTO</v>
      </c>
      <c r="W524" s="213" t="str">
        <f>IFERROR(__xludf.DUMMYFUNCTION("""COMPUTED_VALUE"""),"DIMENSIONAL, ERROR EETT")</f>
        <v>DIMENSIONAL, ERROR EETT</v>
      </c>
      <c r="X524" s="213" t="str">
        <f>IFERROR(__xludf.DUMMYFUNCTION("""COMPUTED_VALUE"""),"GENÉRICO")</f>
        <v>GENÉRICO</v>
      </c>
      <c r="Y524" s="213" t="str">
        <f>IFERROR(__xludf.DUMMYFUNCTION("""COMPUTED_VALUE"""),"6 MOLDES REDONDOS ANTIADHERENTES PARA TORTA REPOSTERIA")</f>
        <v>6 MOLDES REDONDOS ANTIADHERENTES PARA TORTA REPOSTERIA</v>
      </c>
      <c r="Z524" s="215" t="str">
        <f>IFERROR(__xludf.DUMMYFUNCTION("""COMPUTED_VALUE"""),"https://simple.ripley.com.pe/6-moldes-redondos-antiadherentes-para-torta-reposteria-pmp20000763585?gad_campaignid=20227668948&amp;gad_source=1&amp;gclid=CjwKCAjw7MLDBhAuEiwAIeXGIVa4ptIqSLhwbOdBLK10OLnlmw7tVMNsVbTWWtUu5uldybbww8kwLBoCDfAQAvD_BwE&amp;s=mdco")</f>
        <v>https://simple.ripley.com.pe/6-moldes-redondos-antiadherentes-para-torta-reposteria-pmp20000763585?gad_campaignid=20227668948&amp;gad_source=1&amp;gclid=CjwKCAjw7MLDBhAuEiwAIeXGIVa4ptIqSLhwbOdBLK10OLnlmw7tVMNsVbTWWtUu5uldybbww8kwLBoCDfAQAvD_BwE&amp;s=mdco</v>
      </c>
      <c r="AA524" s="213" t="str">
        <f>IFERROR(__xludf.DUMMYFUNCTION("""COMPUTED_VALUE"""),"COM-238-Y JUEGO DE MOLDES DE CAKE - CET")</f>
        <v>COM-238-Y JUEGO DE MOLDES DE CAKE - CET</v>
      </c>
      <c r="AB524" s="213"/>
      <c r="AC524" s="213"/>
      <c r="AD524" s="213"/>
      <c r="AE524" s="213"/>
      <c r="AF524" s="213"/>
      <c r="AG524" s="213"/>
      <c r="AH524" s="213"/>
      <c r="AI524" s="213"/>
      <c r="AJ524" s="213"/>
      <c r="AK524" s="213"/>
      <c r="AL524" s="213"/>
      <c r="AM524" s="213"/>
      <c r="AN524" s="213"/>
      <c r="AO524" s="213"/>
      <c r="AP524" s="213" t="str">
        <f>IFERROR(__xludf.DUMMYFUNCTION("""COMPUTED_VALUE"""),"BRUNO")</f>
        <v>BRUNO</v>
      </c>
      <c r="AQ524" s="213"/>
      <c r="AR524" s="213"/>
      <c r="AS524" s="213"/>
      <c r="AT524" s="213"/>
      <c r="AU524" s="213"/>
      <c r="AV524" s="213"/>
      <c r="AW524" s="213"/>
      <c r="AX524" s="213"/>
      <c r="AY524" s="213"/>
      <c r="AZ524" s="213"/>
      <c r="BA524" s="213"/>
      <c r="BB524" s="213"/>
      <c r="BC524" s="213"/>
      <c r="BD524" s="213"/>
    </row>
    <row r="525">
      <c r="A525" s="213">
        <f>IFERROR(__xludf.DUMMYFUNCTION("""COMPUTED_VALUE"""),1140.0)</f>
        <v>1140</v>
      </c>
      <c r="B525" s="213" t="str">
        <f>IFERROR(__xludf.DUMMYFUNCTION("""COMPUTED_VALUE"""),"FRANCISCO IRAZOLA")</f>
        <v>FRANCISCO IRAZOLA</v>
      </c>
      <c r="C525" s="213" t="str">
        <f>IFERROR(__xludf.DUMMYFUNCTION("""COMPUTED_VALUE"""),"TALLER SFT DE INDUSTRIA ALIMENTARIA")</f>
        <v>TALLER SFT DE INDUSTRIA ALIMENTARIA</v>
      </c>
      <c r="D525" s="213" t="str">
        <f>IFERROR(__xludf.DUMMYFUNCTION("""COMPUTED_VALUE"""),"HERRAMIENTAS")</f>
        <v>HERRAMIENTAS</v>
      </c>
      <c r="E525" s="213" t="str">
        <f>IFERROR(__xludf.DUMMYFUNCTION("""COMPUTED_VALUE"""),"COM-238")</f>
        <v>COM-238</v>
      </c>
      <c r="F525" s="213" t="str">
        <f>IFERROR(__xludf.DUMMYFUNCTION("""COMPUTED_VALUE"""),"COM-238-Y")</f>
        <v>COM-238-Y</v>
      </c>
      <c r="G525" s="213"/>
      <c r="H525" s="213" t="str">
        <f>IFERROR(__xludf.DUMMYFUNCTION("""COMPUTED_VALUE"""),"JUEGO DE MOLDES DE CAKE")</f>
        <v>JUEGO DE MOLDES DE CAKE</v>
      </c>
      <c r="I525" s="213" t="str">
        <f>IFERROR(__xludf.DUMMYFUNCTION("""COMPUTED_VALUE"""),". Especificaciones: Tamaño: 70 * 80 mm (D * H)
. Peso neto: 28 g br&gt;
. Peso del paquete: 38 g
. Contenido del embalaje: Cake Mold números: 20cm, 22cm, 24cm, 26cm
. Color: acero plata")</f>
        <v>. Especificaciones: Tamaño: 70 * 80 mm (D * H)
. Peso neto: 28 g br&gt;
. Peso del paquete: 38 g
. Contenido del embalaje: Cake Mold números: 20cm, 22cm, 24cm, 26cm
. Color: acero plata</v>
      </c>
      <c r="J525" s="213">
        <f>IFERROR(__xludf.DUMMYFUNCTION("""COMPUTED_VALUE"""),3.0)</f>
        <v>3</v>
      </c>
      <c r="K525" s="213" t="str">
        <f>IFERROR(__xludf.DUMMYFUNCTION("""COMPUTED_VALUE"""),"90 DÍAS CALENDARIO")</f>
        <v>90 DÍAS CALENDARIO</v>
      </c>
      <c r="L525" s="213" t="str">
        <f>IFERROR(__xludf.DUMMYFUNCTION("""COMPUTED_VALUE"""),"")</f>
        <v/>
      </c>
      <c r="M525" s="213">
        <f>IFERROR(__xludf.DUMMYFUNCTION("""COMPUTED_VALUE"""),1.0)</f>
        <v>1</v>
      </c>
      <c r="N525" s="213">
        <f>IFERROR(__xludf.DUMMYFUNCTION("""COMPUTED_VALUE"""),4.0)</f>
        <v>4</v>
      </c>
      <c r="O525" s="213">
        <f>IFERROR(__xludf.DUMMYFUNCTION("""COMPUTED_VALUE"""),4.0)</f>
        <v>4</v>
      </c>
      <c r="P525" s="213"/>
      <c r="Q525" s="213"/>
      <c r="R525" s="213"/>
      <c r="S525" s="213"/>
      <c r="T525" s="213" t="str">
        <f>IFERROR(__xludf.DUMMYFUNCTION("""COMPUTED_VALUE"""),"NO")</f>
        <v>NO</v>
      </c>
      <c r="U525" s="213" t="str">
        <f>IFERROR(__xludf.DUMMYFUNCTION("""COMPUTED_VALUE"""),"NO")</f>
        <v>NO</v>
      </c>
      <c r="V525" s="213" t="str">
        <f>IFERROR(__xludf.DUMMYFUNCTION("""COMPUTED_VALUE"""),"SUSTENTO")</f>
        <v>SUSTENTO</v>
      </c>
      <c r="W525" s="213" t="str">
        <f>IFERROR(__xludf.DUMMYFUNCTION("""COMPUTED_VALUE"""),"DIMENSIONAL, ERROR EETT")</f>
        <v>DIMENSIONAL, ERROR EETT</v>
      </c>
      <c r="X525" s="213" t="str">
        <f>IFERROR(__xludf.DUMMYFUNCTION("""COMPUTED_VALUE"""),"GENÉRICO")</f>
        <v>GENÉRICO</v>
      </c>
      <c r="Y525" s="213" t="str">
        <f>IFERROR(__xludf.DUMMYFUNCTION("""COMPUTED_VALUE"""),"6 MOLDES REDONDOS ANTIADHERENTES PARA TORTA REPOSTERIA")</f>
        <v>6 MOLDES REDONDOS ANTIADHERENTES PARA TORTA REPOSTERIA</v>
      </c>
      <c r="Z525" s="215" t="str">
        <f>IFERROR(__xludf.DUMMYFUNCTION("""COMPUTED_VALUE"""),"https://simple.ripley.com.pe/6-moldes-redondos-antiadherentes-para-torta-reposteria-pmp20000763585?gad_campaignid=20227668948&amp;gad_source=1&amp;gclid=CjwKCAjw7MLDBhAuEiwAIeXGIVa4ptIqSLhwbOdBLK10OLnlmw7tVMNsVbTWWtUu5uldybbww8kwLBoCDfAQAvD_BwE&amp;s=mdco")</f>
        <v>https://simple.ripley.com.pe/6-moldes-redondos-antiadherentes-para-torta-reposteria-pmp20000763585?gad_campaignid=20227668948&amp;gad_source=1&amp;gclid=CjwKCAjw7MLDBhAuEiwAIeXGIVa4ptIqSLhwbOdBLK10OLnlmw7tVMNsVbTWWtUu5uldybbww8kwLBoCDfAQAvD_BwE&amp;s=mdco</v>
      </c>
      <c r="AA525" s="213" t="str">
        <f>IFERROR(__xludf.DUMMYFUNCTION("""COMPUTED_VALUE"""),"COM-238-Y JUEGO DE MOLDES DE CAKE - CET")</f>
        <v>COM-238-Y JUEGO DE MOLDES DE CAKE - CET</v>
      </c>
      <c r="AB525" s="213"/>
      <c r="AC525" s="213"/>
      <c r="AD525" s="213"/>
      <c r="AE525" s="213"/>
      <c r="AF525" s="213"/>
      <c r="AG525" s="213"/>
      <c r="AH525" s="213"/>
      <c r="AI525" s="213"/>
      <c r="AJ525" s="213"/>
      <c r="AK525" s="213"/>
      <c r="AL525" s="213"/>
      <c r="AM525" s="213"/>
      <c r="AN525" s="213"/>
      <c r="AO525" s="213"/>
      <c r="AP525" s="213" t="str">
        <f>IFERROR(__xludf.DUMMYFUNCTION("""COMPUTED_VALUE"""),"BRUNO")</f>
        <v>BRUNO</v>
      </c>
      <c r="AQ525" s="213"/>
      <c r="AR525" s="213"/>
      <c r="AS525" s="213"/>
      <c r="AT525" s="213"/>
      <c r="AU525" s="213"/>
      <c r="AV525" s="213"/>
      <c r="AW525" s="213"/>
      <c r="AX525" s="213"/>
      <c r="AY525" s="213"/>
      <c r="AZ525" s="213"/>
      <c r="BA525" s="213"/>
      <c r="BB525" s="213"/>
      <c r="BC525" s="213"/>
      <c r="BD525" s="213"/>
    </row>
    <row r="526">
      <c r="A526" s="213">
        <f>IFERROR(__xludf.DUMMYFUNCTION("""COMPUTED_VALUE"""),1412.0)</f>
        <v>1412</v>
      </c>
      <c r="B526" s="213" t="str">
        <f>IFERROR(__xludf.DUMMYFUNCTION("""COMPUTED_VALUE"""),"GUILLERMO E. BILLINGHURST ")</f>
        <v>GUILLERMO E. BILLINGHURST </v>
      </c>
      <c r="C526" s="213" t="str">
        <f>IFERROR(__xludf.DUMMYFUNCTION("""COMPUTED_VALUE"""),"TALLER SFT DE INDUSTRIA ALIMENTARIA")</f>
        <v>TALLER SFT DE INDUSTRIA ALIMENTARIA</v>
      </c>
      <c r="D526" s="213" t="str">
        <f>IFERROR(__xludf.DUMMYFUNCTION("""COMPUTED_VALUE"""),"HERRAMIENTAS")</f>
        <v>HERRAMIENTAS</v>
      </c>
      <c r="E526" s="213" t="str">
        <f>IFERROR(__xludf.DUMMYFUNCTION("""COMPUTED_VALUE"""),"COM-238")</f>
        <v>COM-238</v>
      </c>
      <c r="F526" s="213" t="str">
        <f>IFERROR(__xludf.DUMMYFUNCTION("""COMPUTED_VALUE"""),"COM-238-Y")</f>
        <v>COM-238-Y</v>
      </c>
      <c r="G526" s="213"/>
      <c r="H526" s="213" t="str">
        <f>IFERROR(__xludf.DUMMYFUNCTION("""COMPUTED_VALUE"""),"JUEGO DE MOLDES DE CAKE")</f>
        <v>JUEGO DE MOLDES DE CAKE</v>
      </c>
      <c r="I526" s="213" t="str">
        <f>IFERROR(__xludf.DUMMYFUNCTION("""COMPUTED_VALUE"""),". Especificaciones: Tamaño: 70 * 80 mm (D * H)
. Peso neto: 28 g br&gt;
. Peso del paquete: 38 g
. Contenido del embalaje: Cake Mold números: 20cm, 22cm, 24cm, 26cm
. Color: acero plata")</f>
        <v>. Especificaciones: Tamaño: 70 * 80 mm (D * H)
. Peso neto: 28 g br&gt;
. Peso del paquete: 38 g
. Contenido del embalaje: Cake Mold números: 20cm, 22cm, 24cm, 26cm
. Color: acero plata</v>
      </c>
      <c r="J526" s="213">
        <f>IFERROR(__xludf.DUMMYFUNCTION("""COMPUTED_VALUE"""),3.0)</f>
        <v>3</v>
      </c>
      <c r="K526" s="213" t="str">
        <f>IFERROR(__xludf.DUMMYFUNCTION("""COMPUTED_VALUE"""),"90 DÍAS CALENDARIO")</f>
        <v>90 DÍAS CALENDARIO</v>
      </c>
      <c r="L526" s="213" t="str">
        <f>IFERROR(__xludf.DUMMYFUNCTION("""COMPUTED_VALUE"""),"")</f>
        <v/>
      </c>
      <c r="M526" s="213">
        <f>IFERROR(__xludf.DUMMYFUNCTION("""COMPUTED_VALUE"""),1.0)</f>
        <v>1</v>
      </c>
      <c r="N526" s="213">
        <f>IFERROR(__xludf.DUMMYFUNCTION("""COMPUTED_VALUE"""),4.0)</f>
        <v>4</v>
      </c>
      <c r="O526" s="213">
        <f>IFERROR(__xludf.DUMMYFUNCTION("""COMPUTED_VALUE"""),4.0)</f>
        <v>4</v>
      </c>
      <c r="P526" s="213"/>
      <c r="Q526" s="213"/>
      <c r="R526" s="213"/>
      <c r="S526" s="213"/>
      <c r="T526" s="213" t="str">
        <f>IFERROR(__xludf.DUMMYFUNCTION("""COMPUTED_VALUE"""),"NO")</f>
        <v>NO</v>
      </c>
      <c r="U526" s="213" t="str">
        <f>IFERROR(__xludf.DUMMYFUNCTION("""COMPUTED_VALUE"""),"NO")</f>
        <v>NO</v>
      </c>
      <c r="V526" s="213" t="str">
        <f>IFERROR(__xludf.DUMMYFUNCTION("""COMPUTED_VALUE"""),"SUSTENTO")</f>
        <v>SUSTENTO</v>
      </c>
      <c r="W526" s="213" t="str">
        <f>IFERROR(__xludf.DUMMYFUNCTION("""COMPUTED_VALUE"""),"DIMENSIONAL, ERROR EETT")</f>
        <v>DIMENSIONAL, ERROR EETT</v>
      </c>
      <c r="X526" s="213" t="str">
        <f>IFERROR(__xludf.DUMMYFUNCTION("""COMPUTED_VALUE"""),"GENÉRICO")</f>
        <v>GENÉRICO</v>
      </c>
      <c r="Y526" s="213" t="str">
        <f>IFERROR(__xludf.DUMMYFUNCTION("""COMPUTED_VALUE"""),"6 MOLDES REDONDOS ANTIADHERENTES PARA TORTA REPOSTERIA")</f>
        <v>6 MOLDES REDONDOS ANTIADHERENTES PARA TORTA REPOSTERIA</v>
      </c>
      <c r="Z526" s="215" t="str">
        <f>IFERROR(__xludf.DUMMYFUNCTION("""COMPUTED_VALUE"""),"https://simple.ripley.com.pe/6-moldes-redondos-antiadherentes-para-torta-reposteria-pmp20000763585?gad_campaignid=20227668948&amp;gad_source=1&amp;gclid=CjwKCAjw7MLDBhAuEiwAIeXGIVa4ptIqSLhwbOdBLK10OLnlmw7tVMNsVbTWWtUu5uldybbww8kwLBoCDfAQAvD_BwE&amp;s=mdco")</f>
        <v>https://simple.ripley.com.pe/6-moldes-redondos-antiadherentes-para-torta-reposteria-pmp20000763585?gad_campaignid=20227668948&amp;gad_source=1&amp;gclid=CjwKCAjw7MLDBhAuEiwAIeXGIVa4ptIqSLhwbOdBLK10OLnlmw7tVMNsVbTWWtUu5uldybbww8kwLBoCDfAQAvD_BwE&amp;s=mdco</v>
      </c>
      <c r="AA526" s="213" t="str">
        <f>IFERROR(__xludf.DUMMYFUNCTION("""COMPUTED_VALUE"""),"COM-238-Y JUEGO DE MOLDES DE CAKE - CET")</f>
        <v>COM-238-Y JUEGO DE MOLDES DE CAKE - CET</v>
      </c>
      <c r="AB526" s="213"/>
      <c r="AC526" s="213"/>
      <c r="AD526" s="213"/>
      <c r="AE526" s="213"/>
      <c r="AF526" s="213"/>
      <c r="AG526" s="213"/>
      <c r="AH526" s="213"/>
      <c r="AI526" s="213"/>
      <c r="AJ526" s="213"/>
      <c r="AK526" s="213"/>
      <c r="AL526" s="213"/>
      <c r="AM526" s="213"/>
      <c r="AN526" s="213"/>
      <c r="AO526" s="213"/>
      <c r="AP526" s="213" t="str">
        <f>IFERROR(__xludf.DUMMYFUNCTION("""COMPUTED_VALUE"""),"BRUNO")</f>
        <v>BRUNO</v>
      </c>
      <c r="AQ526" s="213"/>
      <c r="AR526" s="213"/>
      <c r="AS526" s="213"/>
      <c r="AT526" s="213"/>
      <c r="AU526" s="213"/>
      <c r="AV526" s="213"/>
      <c r="AW526" s="213"/>
      <c r="AX526" s="213"/>
      <c r="AY526" s="213"/>
      <c r="AZ526" s="213"/>
      <c r="BA526" s="213"/>
      <c r="BB526" s="213"/>
      <c r="BC526" s="213"/>
      <c r="BD526" s="213"/>
    </row>
    <row r="527">
      <c r="A527" s="213">
        <f>IFERROR(__xludf.DUMMYFUNCTION("""COMPUTED_VALUE"""),2099.0)</f>
        <v>2099</v>
      </c>
      <c r="B527" s="213" t="str">
        <f>IFERROR(__xludf.DUMMYFUNCTION("""COMPUTED_VALUE"""),"JOSE GRANDA")</f>
        <v>JOSE GRANDA</v>
      </c>
      <c r="C527" s="213" t="str">
        <f>IFERROR(__xludf.DUMMYFUNCTION("""COMPUTED_VALUE"""),"TALLER SFT DE INDUSTRIA ALIMENTARIA")</f>
        <v>TALLER SFT DE INDUSTRIA ALIMENTARIA</v>
      </c>
      <c r="D527" s="213" t="str">
        <f>IFERROR(__xludf.DUMMYFUNCTION("""COMPUTED_VALUE"""),"HERRAMIENTAS")</f>
        <v>HERRAMIENTAS</v>
      </c>
      <c r="E527" s="213" t="str">
        <f>IFERROR(__xludf.DUMMYFUNCTION("""COMPUTED_VALUE"""),"COM-238")</f>
        <v>COM-238</v>
      </c>
      <c r="F527" s="213" t="str">
        <f>IFERROR(__xludf.DUMMYFUNCTION("""COMPUTED_VALUE"""),"COM-238-Y")</f>
        <v>COM-238-Y</v>
      </c>
      <c r="G527" s="213"/>
      <c r="H527" s="213" t="str">
        <f>IFERROR(__xludf.DUMMYFUNCTION("""COMPUTED_VALUE"""),"JUEGO DE MOLDES DE CAKE")</f>
        <v>JUEGO DE MOLDES DE CAKE</v>
      </c>
      <c r="I527" s="213" t="str">
        <f>IFERROR(__xludf.DUMMYFUNCTION("""COMPUTED_VALUE"""),". Especificaciones: Tamaño: 70 * 80 mm (D * H)
. Peso neto: 28 g br&gt;
. Peso del paquete: 38 g
. Contenido del embalaje: Cake Mold números: 20cm, 22cm, 24cm, 26cm
. Color: acero plata")</f>
        <v>. Especificaciones: Tamaño: 70 * 80 mm (D * H)
. Peso neto: 28 g br&gt;
. Peso del paquete: 38 g
. Contenido del embalaje: Cake Mold números: 20cm, 22cm, 24cm, 26cm
. Color: acero plata</v>
      </c>
      <c r="J527" s="213">
        <f>IFERROR(__xludf.DUMMYFUNCTION("""COMPUTED_VALUE"""),3.0)</f>
        <v>3</v>
      </c>
      <c r="K527" s="213" t="str">
        <f>IFERROR(__xludf.DUMMYFUNCTION("""COMPUTED_VALUE"""),"90 DÍAS CALENDARIO")</f>
        <v>90 DÍAS CALENDARIO</v>
      </c>
      <c r="L527" s="213" t="str">
        <f>IFERROR(__xludf.DUMMYFUNCTION("""COMPUTED_VALUE"""),"")</f>
        <v/>
      </c>
      <c r="M527" s="213">
        <f>IFERROR(__xludf.DUMMYFUNCTION("""COMPUTED_VALUE"""),1.0)</f>
        <v>1</v>
      </c>
      <c r="N527" s="213">
        <f>IFERROR(__xludf.DUMMYFUNCTION("""COMPUTED_VALUE"""),4.0)</f>
        <v>4</v>
      </c>
      <c r="O527" s="213">
        <f>IFERROR(__xludf.DUMMYFUNCTION("""COMPUTED_VALUE"""),4.0)</f>
        <v>4</v>
      </c>
      <c r="P527" s="213"/>
      <c r="Q527" s="213"/>
      <c r="R527" s="213"/>
      <c r="S527" s="213"/>
      <c r="T527" s="213" t="str">
        <f>IFERROR(__xludf.DUMMYFUNCTION("""COMPUTED_VALUE"""),"NO")</f>
        <v>NO</v>
      </c>
      <c r="U527" s="213" t="str">
        <f>IFERROR(__xludf.DUMMYFUNCTION("""COMPUTED_VALUE"""),"NO")</f>
        <v>NO</v>
      </c>
      <c r="V527" s="213" t="str">
        <f>IFERROR(__xludf.DUMMYFUNCTION("""COMPUTED_VALUE"""),"SUSTENTO")</f>
        <v>SUSTENTO</v>
      </c>
      <c r="W527" s="213" t="str">
        <f>IFERROR(__xludf.DUMMYFUNCTION("""COMPUTED_VALUE"""),"DIMENSIONAL, ERROR EETT")</f>
        <v>DIMENSIONAL, ERROR EETT</v>
      </c>
      <c r="X527" s="213" t="str">
        <f>IFERROR(__xludf.DUMMYFUNCTION("""COMPUTED_VALUE"""),"GENÉRICO")</f>
        <v>GENÉRICO</v>
      </c>
      <c r="Y527" s="213" t="str">
        <f>IFERROR(__xludf.DUMMYFUNCTION("""COMPUTED_VALUE"""),"6 MOLDES REDONDOS ANTIADHERENTES PARA TORTA REPOSTERIA")</f>
        <v>6 MOLDES REDONDOS ANTIADHERENTES PARA TORTA REPOSTERIA</v>
      </c>
      <c r="Z527" s="215" t="str">
        <f>IFERROR(__xludf.DUMMYFUNCTION("""COMPUTED_VALUE"""),"https://simple.ripley.com.pe/6-moldes-redondos-antiadherentes-para-torta-reposteria-pmp20000763585?gad_campaignid=20227668948&amp;gad_source=1&amp;gclid=CjwKCAjw7MLDBhAuEiwAIeXGIVa4ptIqSLhwbOdBLK10OLnlmw7tVMNsVbTWWtUu5uldybbww8kwLBoCDfAQAvD_BwE&amp;s=mdco")</f>
        <v>https://simple.ripley.com.pe/6-moldes-redondos-antiadherentes-para-torta-reposteria-pmp20000763585?gad_campaignid=20227668948&amp;gad_source=1&amp;gclid=CjwKCAjw7MLDBhAuEiwAIeXGIVa4ptIqSLhwbOdBLK10OLnlmw7tVMNsVbTWWtUu5uldybbww8kwLBoCDfAQAvD_BwE&amp;s=mdco</v>
      </c>
      <c r="AA527" s="213" t="str">
        <f>IFERROR(__xludf.DUMMYFUNCTION("""COMPUTED_VALUE"""),"COM-238-Y JUEGO DE MOLDES DE CAKE - CET")</f>
        <v>COM-238-Y JUEGO DE MOLDES DE CAKE - CET</v>
      </c>
      <c r="AB527" s="213"/>
      <c r="AC527" s="213"/>
      <c r="AD527" s="213"/>
      <c r="AE527" s="213"/>
      <c r="AF527" s="213"/>
      <c r="AG527" s="213"/>
      <c r="AH527" s="213"/>
      <c r="AI527" s="213"/>
      <c r="AJ527" s="213"/>
      <c r="AK527" s="213"/>
      <c r="AL527" s="213"/>
      <c r="AM527" s="213"/>
      <c r="AN527" s="213"/>
      <c r="AO527" s="213"/>
      <c r="AP527" s="213" t="str">
        <f>IFERROR(__xludf.DUMMYFUNCTION("""COMPUTED_VALUE"""),"BRUNO")</f>
        <v>BRUNO</v>
      </c>
      <c r="AQ527" s="213"/>
      <c r="AR527" s="213"/>
      <c r="AS527" s="213"/>
      <c r="AT527" s="213"/>
      <c r="AU527" s="213"/>
      <c r="AV527" s="213"/>
      <c r="AW527" s="213"/>
      <c r="AX527" s="213"/>
      <c r="AY527" s="213"/>
      <c r="AZ527" s="213"/>
      <c r="BA527" s="213"/>
      <c r="BB527" s="213"/>
      <c r="BC527" s="213"/>
      <c r="BD527" s="213"/>
    </row>
    <row r="528">
      <c r="A528" s="213">
        <f>IFERROR(__xludf.DUMMYFUNCTION("""COMPUTED_VALUE"""),498.0)</f>
        <v>498</v>
      </c>
      <c r="B528" s="213" t="str">
        <f>IFERROR(__xludf.DUMMYFUNCTION("""COMPUTED_VALUE"""),"2026 SIMON BOLIVAR")</f>
        <v>2026 SIMON BOLIVAR</v>
      </c>
      <c r="C528" s="213" t="str">
        <f>IFERROR(__xludf.DUMMYFUNCTION("""COMPUTED_VALUE"""),"TALLER SFT DE INDUSTRIA ALIMENTARIA")</f>
        <v>TALLER SFT DE INDUSTRIA ALIMENTARIA</v>
      </c>
      <c r="D528" s="213" t="str">
        <f>IFERROR(__xludf.DUMMYFUNCTION("""COMPUTED_VALUE"""),"HERRAMIENTAS")</f>
        <v>HERRAMIENTAS</v>
      </c>
      <c r="E528" s="213" t="str">
        <f>IFERROR(__xludf.DUMMYFUNCTION("""COMPUTED_VALUE"""),"COM-239")</f>
        <v>COM-239</v>
      </c>
      <c r="F528" s="213" t="str">
        <f>IFERROR(__xludf.DUMMYFUNCTION("""COMPUTED_VALUE"""),"COM-239")</f>
        <v>COM-239</v>
      </c>
      <c r="G528" s="213"/>
      <c r="H528" s="213" t="str">
        <f>IFERROR(__xludf.DUMMYFUNCTION("""COMPUTED_VALUE"""),"KIT DE MOLDES PARA MANTEQUILLA CON GRABADOS DECORATIVOS")</f>
        <v>KIT DE MOLDES PARA MANTEQUILLA CON GRABADOS DECORATIVOS</v>
      </c>
      <c r="I528" s="213" t="str">
        <f>IFERROR(__xludf.DUMMYFUNCTION("""COMPUTED_VALUE"""),".  Molde de madera para extraer la mantequilla.
.  Disponen del oval estriado decorado con una flor.
.  Capacidad para 500 gramos y para 1000 gramos.")</f>
        <v>.  Molde de madera para extraer la mantequilla.
.  Disponen del oval estriado decorado con una flor.
.  Capacidad para 500 gramos y para 1000 gramos.</v>
      </c>
      <c r="J528" s="213">
        <f>IFERROR(__xludf.DUMMYFUNCTION("""COMPUTED_VALUE"""),3.0)</f>
        <v>3</v>
      </c>
      <c r="K528" s="213" t="str">
        <f>IFERROR(__xludf.DUMMYFUNCTION("""COMPUTED_VALUE"""),"90 DÍAS CALENDARIO")</f>
        <v>90 DÍAS CALENDARIO</v>
      </c>
      <c r="L528" s="213" t="str">
        <f>IFERROR(__xludf.DUMMYFUNCTION("""COMPUTED_VALUE"""),"")</f>
        <v/>
      </c>
      <c r="M528" s="213">
        <f>IFERROR(__xludf.DUMMYFUNCTION("""COMPUTED_VALUE"""),1.0)</f>
        <v>1</v>
      </c>
      <c r="N528" s="213">
        <f>IFERROR(__xludf.DUMMYFUNCTION("""COMPUTED_VALUE"""),20.0)</f>
        <v>20</v>
      </c>
      <c r="O528" s="213">
        <f>IFERROR(__xludf.DUMMYFUNCTION("""COMPUTED_VALUE"""),20.0)</f>
        <v>20</v>
      </c>
      <c r="P528" s="213"/>
      <c r="Q528" s="213"/>
      <c r="R528" s="213"/>
      <c r="S528" s="213"/>
      <c r="T528" s="213" t="str">
        <f>IFERROR(__xludf.DUMMYFUNCTION("""COMPUTED_VALUE"""),"CONSULTA FINAL")</f>
        <v>CONSULTA FINAL</v>
      </c>
      <c r="U528" s="213" t="str">
        <f>IFERROR(__xludf.DUMMYFUNCTION("""COMPUTED_VALUE"""),"NO")</f>
        <v>NO</v>
      </c>
      <c r="V528" s="213" t="str">
        <f>IFERROR(__xludf.DUMMYFUNCTION("""COMPUTED_VALUE"""),"SUSTENTO")</f>
        <v>SUSTENTO</v>
      </c>
      <c r="W528" s="213" t="str">
        <f>IFERROR(__xludf.DUMMYFUNCTION("""COMPUTED_VALUE"""),"DIMENSIONAL")</f>
        <v>DIMENSIONAL</v>
      </c>
      <c r="X528" s="213" t="str">
        <f>IFERROR(__xludf.DUMMYFUNCTION("""COMPUTED_VALUE"""),"GENERICO")</f>
        <v>GENERICO</v>
      </c>
      <c r="Y528" s="213" t="str">
        <f>IFERROR(__xludf.DUMMYFUNCTION("""COMPUTED_VALUE"""),"GENERICO")</f>
        <v>GENERICO</v>
      </c>
      <c r="Z528" s="215" t="str">
        <f>IFERROR(__xludf.DUMMYFUNCTION("""COMPUTED_VALUE"""),"https://www.gastronomiaycia.com/moldes-para-mantequilla/")</f>
        <v>https://www.gastronomiaycia.com/moldes-para-mantequilla/</v>
      </c>
      <c r="AA528" s="213" t="str">
        <f>IFERROR(__xludf.DUMMYFUNCTION("""COMPUTED_VALUE"""),"COM-239 KIT DE MOLDES PARA MANTEQUILLA CON GRABADOS DECORATIVOS - CET")</f>
        <v>COM-239 KIT DE MOLDES PARA MANTEQUILLA CON GRABADOS DECORATIVOS - CET</v>
      </c>
      <c r="AB528" s="213"/>
      <c r="AC528" s="213"/>
      <c r="AD528" s="213"/>
      <c r="AE528" s="213"/>
      <c r="AF528" s="213"/>
      <c r="AG528" s="213"/>
      <c r="AH528" s="213"/>
      <c r="AI528" s="213"/>
      <c r="AJ528" s="213"/>
      <c r="AK528" s="213"/>
      <c r="AL528" s="213"/>
      <c r="AM528" s="213"/>
      <c r="AN528" s="213"/>
      <c r="AO528" s="213" t="str">
        <f>IFERROR(__xludf.DUMMYFUNCTION("""COMPUTED_VALUE"""),"JIMENA")</f>
        <v>JIMENA</v>
      </c>
      <c r="AP528" s="213" t="str">
        <f>IFERROR(__xludf.DUMMYFUNCTION("""COMPUTED_VALUE"""),"LUIS")</f>
        <v>LUIS</v>
      </c>
      <c r="AQ528" s="213"/>
      <c r="AR528" s="213"/>
      <c r="AS528" s="213" t="str">
        <f>IFERROR(__xludf.DUMMYFUNCTION("""COMPUTED_VALUE"""),"No se halla lo solicitado. Otra opción es aceptar molde de silicona")</f>
        <v>No se halla lo solicitado. Otra opción es aceptar molde de silicona</v>
      </c>
      <c r="AT528" s="217" t="str">
        <f>IFERROR(__xludf.DUMMYFUNCTION("""COMPUTED_VALUE"""),"AGRAGARA BOMBILLAS")</f>
        <v>AGRAGARA BOMBILLAS</v>
      </c>
      <c r="AU528" s="213"/>
      <c r="AV528" s="213"/>
      <c r="AW528" s="213"/>
      <c r="AX528" s="213"/>
      <c r="AY528" s="213"/>
      <c r="AZ528" s="213"/>
      <c r="BA528" s="213"/>
      <c r="BB528" s="213"/>
      <c r="BC528" s="213"/>
      <c r="BD528" s="213"/>
    </row>
    <row r="529">
      <c r="A529" s="213">
        <f>IFERROR(__xludf.DUMMYFUNCTION("""COMPUTED_VALUE"""),1867.0)</f>
        <v>1867</v>
      </c>
      <c r="B529" s="213" t="str">
        <f>IFERROR(__xludf.DUMMYFUNCTION("""COMPUTED_VALUE"""),"GUILLERMO E. BILLINGHURST ")</f>
        <v>GUILLERMO E. BILLINGHURST </v>
      </c>
      <c r="C529" s="213" t="str">
        <f>IFERROR(__xludf.DUMMYFUNCTION("""COMPUTED_VALUE"""),"TALLER SFT DE EBANISTERÍA")</f>
        <v>TALLER SFT DE EBANISTERÍA</v>
      </c>
      <c r="D529" s="213" t="str">
        <f>IFERROR(__xludf.DUMMYFUNCTION("""COMPUTED_VALUE"""),"EQUIPOS")</f>
        <v>EQUIPOS</v>
      </c>
      <c r="E529" s="213" t="str">
        <f>IFERROR(__xludf.DUMMYFUNCTION("""COMPUTED_VALUE"""),"ESP-152")</f>
        <v>ESP-152</v>
      </c>
      <c r="F529" s="213" t="str">
        <f>IFERROR(__xludf.DUMMYFUNCTION("""COMPUTED_VALUE"""),"ESP-152")</f>
        <v>ESP-152</v>
      </c>
      <c r="G529" s="213"/>
      <c r="H529" s="213" t="str">
        <f>IFERROR(__xludf.DUMMYFUNCTION("""COMPUTED_VALUE"""),"ENCHAPADORA DE CANTOS CON DEPÓSITO DE COLA Y MESA ESTACIONARIA")</f>
        <v>ENCHAPADORA DE CANTOS CON DEPÓSITO DE COLA Y MESA ESTACIONARIA</v>
      </c>
      <c r="I529" s="213" t="str">
        <f>IFERROR(__xludf.DUMMYFUNCTION("""COMPUTED_VALUE"""),"· Diseñado para el aplacado (enchapado) de cantos, para muchas formas de marcos diferentes.
· Mínimo material a enchapar: PVC.
· El espesor de la banda a cantear: entre 0.2 mm - 6 mm.
· Altura de la banda a cantear: entre 6 mm - 70 mm.
· Potencia: mínimo "&amp;"2000 W.
· Velocidad de trabajo (alimentación): mínimo 3 m/min.
· Voltaje, frecuencia: 220 V, 60 Hz.
· Incluye accesorios para su correcto funcionamiento.
· Medidas mínimas L70 cm x A35 cm x H85 cm")</f>
        <v>· Diseñado para el aplacado (enchapado) de cantos, para muchas formas de marcos diferentes.
· Mínimo material a enchapar: PVC.
· El espesor de la banda a cantear: entre 0.2 mm - 6 mm.
· Altura de la banda a cantear: entre 6 mm - 70 mm.
· Potencia: mínimo 2000 W.
· Velocidad de trabajo (alimentación): mínimo 3 m/min.
· Voltaje, frecuencia: 220 V, 60 Hz.
· Incluye accesorios para su correcto funcionamiento.
· Medidas mínimas L70 cm x A35 cm x H85 cm</v>
      </c>
      <c r="J529" s="213">
        <f>IFERROR(__xludf.DUMMYFUNCTION("""COMPUTED_VALUE"""),3.0)</f>
        <v>3</v>
      </c>
      <c r="K529" s="213" t="str">
        <f>IFERROR(__xludf.DUMMYFUNCTION("""COMPUTED_VALUE"""),"170 DÍAS CALENDARIO")</f>
        <v>170 DÍAS CALENDARIO</v>
      </c>
      <c r="L529" s="213" t="str">
        <f>IFERROR(__xludf.DUMMYFUNCTION("""COMPUTED_VALUE"""),"")</f>
        <v/>
      </c>
      <c r="M529" s="213">
        <f>IFERROR(__xludf.DUMMYFUNCTION("""COMPUTED_VALUE"""),1.0)</f>
        <v>1</v>
      </c>
      <c r="N529" s="213">
        <f>IFERROR(__xludf.DUMMYFUNCTION("""COMPUTED_VALUE"""),1.0)</f>
        <v>1</v>
      </c>
      <c r="O529" s="213">
        <f>IFERROR(__xludf.DUMMYFUNCTION("""COMPUTED_VALUE"""),1.0)</f>
        <v>1</v>
      </c>
      <c r="P529" s="213"/>
      <c r="Q529" s="213"/>
      <c r="R529" s="213"/>
      <c r="S529" s="213" t="str">
        <f>IFERROR(__xludf.DUMMYFUNCTION("""COMPUTED_VALUE"""),"SI")</f>
        <v>SI</v>
      </c>
      <c r="T529" s="213" t="str">
        <f>IFERROR(__xludf.DUMMYFUNCTION("""COMPUTED_VALUE"""),"SI")</f>
        <v>SI</v>
      </c>
      <c r="U529" s="213" t="str">
        <f>IFERROR(__xludf.DUMMYFUNCTION("""COMPUTED_VALUE"""),"NO")</f>
        <v>NO</v>
      </c>
      <c r="V529" s="213" t="str">
        <f>IFERROR(__xludf.DUMMYFUNCTION("""COMPUTED_VALUE"""),"SUSTENTO")</f>
        <v>SUSTENTO</v>
      </c>
      <c r="W529" s="213" t="str">
        <f>IFERROR(__xludf.DUMMYFUNCTION("""COMPUTED_VALUE"""),"CRÍTICO")</f>
        <v>CRÍTICO</v>
      </c>
      <c r="X529" s="213" t="str">
        <f>IFERROR(__xludf.DUMMYFUNCTION("""COMPUTED_VALUE"""),"FELDER")</f>
        <v>FELDER</v>
      </c>
      <c r="Y529" s="213" t="str">
        <f>IFERROR(__xludf.DUMMYFUNCTION("""COMPUTED_VALUE"""),"FORKA 300 S ECO (MONOFÁSICA - 220V)")</f>
        <v>FORKA 300 S ECO (MONOFÁSICA - 220V)</v>
      </c>
      <c r="Z529" s="215" t="str">
        <f>IFERROR(__xludf.DUMMYFUNCTION("""COMPUTED_VALUE"""),"https://www.felder-group.com/es-es/productos/encoladoras-de-cantos-c1954/encoladora-de-cantos-forka-300-s-eco-p3204")</f>
        <v>https://www.felder-group.com/es-es/productos/encoladoras-de-cantos-c1954/encoladora-de-cantos-forka-300-s-eco-p3204</v>
      </c>
      <c r="AA529" s="213" t="str">
        <f>IFERROR(__xludf.DUMMYFUNCTION("""COMPUTED_VALUE"""),"ESP-152 ENCHAPADORA DE CANTOS CON DEPÓSITO DE COLA Y MESA ESTACIONARIA - CET")</f>
        <v>ESP-152 ENCHAPADORA DE CANTOS CON DEPÓSITO DE COLA Y MESA ESTACIONARIA - CET</v>
      </c>
      <c r="AB529" s="215" t="str">
        <f>IFERROR(__xludf.DUMMYFUNCTION("""COMPUTED_VALUE"""),"https://drive.google.com/file/d/1FXC8oTPOLV43935z7mQEd_7dUMMO0pXB/view?usp=sharing")</f>
        <v>https://drive.google.com/file/d/1FXC8oTPOLV43935z7mQEd_7dUMMO0pXB/view?usp=sharing</v>
      </c>
      <c r="AC529" s="213"/>
      <c r="AD529" s="213"/>
      <c r="AE529" s="213"/>
      <c r="AF529" s="213"/>
      <c r="AG529" s="213"/>
      <c r="AH529" s="213"/>
      <c r="AI529" s="213"/>
      <c r="AJ529" s="213"/>
      <c r="AK529" s="213"/>
      <c r="AL529" s="213"/>
      <c r="AM529" s="213"/>
      <c r="AN529" s="213"/>
      <c r="AO529" s="213"/>
      <c r="AP529" s="213" t="str">
        <f>IFERROR(__xludf.DUMMYFUNCTION("""COMPUTED_VALUE"""),"MICHEL")</f>
        <v>MICHEL</v>
      </c>
      <c r="AQ529" s="213" t="str">
        <f>IFERROR(__xludf.DUMMYFUNCTION("""COMPUTED_VALUE"""),"Se debe habilitar una toma eléctrica cercana para la compresora y que soporte 2300 W Schuko. No cumple a cabalidad los límites menores y mayores de los rangos para el espesor ni altura de la banda a canterar, solo un equipo industrial llegaria al espesor "&amp;"solicitado.")</f>
        <v>Se debe habilitar una toma eléctrica cercana para la compresora y que soporte 2300 W Schuko. No cumple a cabalidad los límites menores y mayores de los rangos para el espesor ni altura de la banda a canterar, solo un equipo industrial llegaria al espesor solicitado.</v>
      </c>
      <c r="AR529" s="213"/>
      <c r="AS529" s="213" t="str">
        <f>IFERROR(__xludf.DUMMYFUNCTION("""COMPUTED_VALUE"""),"Compresora de aire Truper 11836, Cantos, Cola granulada")</f>
        <v>Compresora de aire Truper 11836, Cantos, Cola granulada</v>
      </c>
      <c r="AT529" s="216" t="str">
        <f>IFERROR(__xludf.DUMMYFUNCTION("""COMPUTED_VALUE"""),"https://www.promart.pe/compresor-aire-25-l-3-hp-220v-60hz-11836-1000532690/p")</f>
        <v>https://www.promart.pe/compresor-aire-25-l-3-hp-220v-60hz-11836-1000532690/p</v>
      </c>
      <c r="AU529" s="213"/>
      <c r="AV529" s="213"/>
      <c r="AW529" s="213"/>
      <c r="AX529" s="213"/>
      <c r="AY529" s="213"/>
      <c r="AZ529" s="213"/>
      <c r="BA529" s="213"/>
      <c r="BB529" s="213"/>
      <c r="BC529" s="213"/>
      <c r="BD529" s="213"/>
    </row>
    <row r="530">
      <c r="A530" s="213">
        <f>IFERROR(__xludf.DUMMYFUNCTION("""COMPUTED_VALUE"""),2648.0)</f>
        <v>2648</v>
      </c>
      <c r="B530" s="213" t="str">
        <f>IFERROR(__xludf.DUMMYFUNCTION("""COMPUTED_VALUE"""),"MANUEL ANTONIO MESONES MURO")</f>
        <v>MANUEL ANTONIO MESONES MURO</v>
      </c>
      <c r="C530" s="213" t="str">
        <f>IFERROR(__xludf.DUMMYFUNCTION("""COMPUTED_VALUE"""),"TALLER SFT DE EBANISTERÍA")</f>
        <v>TALLER SFT DE EBANISTERÍA</v>
      </c>
      <c r="D530" s="213" t="str">
        <f>IFERROR(__xludf.DUMMYFUNCTION("""COMPUTED_VALUE"""),"EQUIPOS")</f>
        <v>EQUIPOS</v>
      </c>
      <c r="E530" s="213" t="str">
        <f>IFERROR(__xludf.DUMMYFUNCTION("""COMPUTED_VALUE"""),"ESP-152")</f>
        <v>ESP-152</v>
      </c>
      <c r="F530" s="213" t="str">
        <f>IFERROR(__xludf.DUMMYFUNCTION("""COMPUTED_VALUE"""),"ESP-152")</f>
        <v>ESP-152</v>
      </c>
      <c r="G530" s="213"/>
      <c r="H530" s="213" t="str">
        <f>IFERROR(__xludf.DUMMYFUNCTION("""COMPUTED_VALUE"""),"ENCHAPADORA DE CANTOS CON DEPÓSITO DE COLA Y MESA ESTACIONARIA")</f>
        <v>ENCHAPADORA DE CANTOS CON DEPÓSITO DE COLA Y MESA ESTACIONARIA</v>
      </c>
      <c r="I530" s="213" t="str">
        <f>IFERROR(__xludf.DUMMYFUNCTION("""COMPUTED_VALUE"""),"· Diseñado para el aplacado (enchapado) de cantos, para muchas formas de marcos diferentes.
· Mínimo material a enchapar: PVC.
· El espesor de la banda a cantear: entre 0.2 mm - 6 mm.
· Altura de la banda a cantear: entre 6 mm - 70 mm.
· Potencia: mínimo "&amp;"2000 W.
· Velocidad de trabajo (alimentación): mínimo 3 m/min.
· Voltaje, frecuencia: 220 V, 60 Hz.
· Incluye accesorios para su correcto funcionamiento.
· Medidas mínimas L70 cm x A35 cm x H85 cm")</f>
        <v>· Diseñado para el aplacado (enchapado) de cantos, para muchas formas de marcos diferentes.
· Mínimo material a enchapar: PVC.
· El espesor de la banda a cantear: entre 0.2 mm - 6 mm.
· Altura de la banda a cantear: entre 6 mm - 70 mm.
· Potencia: mínimo 2000 W.
· Velocidad de trabajo (alimentación): mínimo 3 m/min.
· Voltaje, frecuencia: 220 V, 60 Hz.
· Incluye accesorios para su correcto funcionamiento.
· Medidas mínimas L70 cm x A35 cm x H85 cm</v>
      </c>
      <c r="J530" s="213">
        <f>IFERROR(__xludf.DUMMYFUNCTION("""COMPUTED_VALUE"""),3.0)</f>
        <v>3</v>
      </c>
      <c r="K530" s="213" t="str">
        <f>IFERROR(__xludf.DUMMYFUNCTION("""COMPUTED_VALUE"""),"170 DÍAS CALENDARIO")</f>
        <v>170 DÍAS CALENDARIO</v>
      </c>
      <c r="L530" s="213" t="str">
        <f>IFERROR(__xludf.DUMMYFUNCTION("""COMPUTED_VALUE"""),"")</f>
        <v/>
      </c>
      <c r="M530" s="213">
        <f>IFERROR(__xludf.DUMMYFUNCTION("""COMPUTED_VALUE"""),1.0)</f>
        <v>1</v>
      </c>
      <c r="N530" s="213">
        <f>IFERROR(__xludf.DUMMYFUNCTION("""COMPUTED_VALUE"""),1.0)</f>
        <v>1</v>
      </c>
      <c r="O530" s="213">
        <f>IFERROR(__xludf.DUMMYFUNCTION("""COMPUTED_VALUE"""),1.0)</f>
        <v>1</v>
      </c>
      <c r="P530" s="213"/>
      <c r="Q530" s="213"/>
      <c r="R530" s="213"/>
      <c r="S530" s="213" t="str">
        <f>IFERROR(__xludf.DUMMYFUNCTION("""COMPUTED_VALUE"""),"SI")</f>
        <v>SI</v>
      </c>
      <c r="T530" s="213" t="str">
        <f>IFERROR(__xludf.DUMMYFUNCTION("""COMPUTED_VALUE"""),"SI")</f>
        <v>SI</v>
      </c>
      <c r="U530" s="213" t="str">
        <f>IFERROR(__xludf.DUMMYFUNCTION("""COMPUTED_VALUE"""),"NO")</f>
        <v>NO</v>
      </c>
      <c r="V530" s="213" t="str">
        <f>IFERROR(__xludf.DUMMYFUNCTION("""COMPUTED_VALUE"""),"SUSTENTO")</f>
        <v>SUSTENTO</v>
      </c>
      <c r="W530" s="213" t="str">
        <f>IFERROR(__xludf.DUMMYFUNCTION("""COMPUTED_VALUE"""),"CRÍTICO")</f>
        <v>CRÍTICO</v>
      </c>
      <c r="X530" s="213" t="str">
        <f>IFERROR(__xludf.DUMMYFUNCTION("""COMPUTED_VALUE"""),"FELDER")</f>
        <v>FELDER</v>
      </c>
      <c r="Y530" s="213" t="str">
        <f>IFERROR(__xludf.DUMMYFUNCTION("""COMPUTED_VALUE"""),"FORKA 300 S ECO (MONOFÁSICA - 220V)")</f>
        <v>FORKA 300 S ECO (MONOFÁSICA - 220V)</v>
      </c>
      <c r="Z530" s="215" t="str">
        <f>IFERROR(__xludf.DUMMYFUNCTION("""COMPUTED_VALUE"""),"https://www.felder-group.com/es-es/productos/encoladoras-de-cantos-c1954/encoladora-de-cantos-forka-300-s-eco-p3204")</f>
        <v>https://www.felder-group.com/es-es/productos/encoladoras-de-cantos-c1954/encoladora-de-cantos-forka-300-s-eco-p3204</v>
      </c>
      <c r="AA530" s="213" t="str">
        <f>IFERROR(__xludf.DUMMYFUNCTION("""COMPUTED_VALUE"""),"ESP-152 ENCHAPADORA DE CANTOS CON DEPÓSITO DE COLA Y MESA ESTACIONARIA - CET")</f>
        <v>ESP-152 ENCHAPADORA DE CANTOS CON DEPÓSITO DE COLA Y MESA ESTACIONARIA - CET</v>
      </c>
      <c r="AB530" s="215" t="str">
        <f>IFERROR(__xludf.DUMMYFUNCTION("""COMPUTED_VALUE"""),"https://drive.google.com/file/d/1FXC8oTPOLV43935z7mQEd_7dUMMO0pXB/view?usp=sharing")</f>
        <v>https://drive.google.com/file/d/1FXC8oTPOLV43935z7mQEd_7dUMMO0pXB/view?usp=sharing</v>
      </c>
      <c r="AC530" s="213"/>
      <c r="AD530" s="213"/>
      <c r="AE530" s="213"/>
      <c r="AF530" s="213"/>
      <c r="AG530" s="213"/>
      <c r="AH530" s="213"/>
      <c r="AI530" s="213"/>
      <c r="AJ530" s="213"/>
      <c r="AK530" s="213"/>
      <c r="AL530" s="213"/>
      <c r="AM530" s="213"/>
      <c r="AN530" s="213"/>
      <c r="AO530" s="213"/>
      <c r="AP530" s="213" t="str">
        <f>IFERROR(__xludf.DUMMYFUNCTION("""COMPUTED_VALUE"""),"MICHEL")</f>
        <v>MICHEL</v>
      </c>
      <c r="AQ530" s="213" t="str">
        <f>IFERROR(__xludf.DUMMYFUNCTION("""COMPUTED_VALUE"""),"Se debe habilitar una toma eléctrica cercana para la compresora y que soporte 2300 W Schuko. No cumple a cabalidad los límites menores y mayores de los rangos para el espesor ni altura de la banda a canterar, solo un equipo industrial llegaria al espesor "&amp;"solicitado.")</f>
        <v>Se debe habilitar una toma eléctrica cercana para la compresora y que soporte 2300 W Schuko. No cumple a cabalidad los límites menores y mayores de los rangos para el espesor ni altura de la banda a canterar, solo un equipo industrial llegaria al espesor solicitado.</v>
      </c>
      <c r="AR530" s="213"/>
      <c r="AS530" s="213" t="str">
        <f>IFERROR(__xludf.DUMMYFUNCTION("""COMPUTED_VALUE"""),"Compresora de aire Truper 11836, Cantos, Cola granulada")</f>
        <v>Compresora de aire Truper 11836, Cantos, Cola granulada</v>
      </c>
      <c r="AT530" s="216" t="str">
        <f>IFERROR(__xludf.DUMMYFUNCTION("""COMPUTED_VALUE"""),"https://www.promart.pe/compresor-aire-25-l-3-hp-220v-60hz-11836-1000532690/p")</f>
        <v>https://www.promart.pe/compresor-aire-25-l-3-hp-220v-60hz-11836-1000532690/p</v>
      </c>
      <c r="AU530" s="213"/>
      <c r="AV530" s="213"/>
      <c r="AW530" s="213"/>
      <c r="AX530" s="213"/>
      <c r="AY530" s="213"/>
      <c r="AZ530" s="213"/>
      <c r="BA530" s="213"/>
      <c r="BB530" s="213"/>
      <c r="BC530" s="213"/>
      <c r="BD530" s="213"/>
    </row>
    <row r="531">
      <c r="A531" s="213">
        <f>IFERROR(__xludf.DUMMYFUNCTION("""COMPUTED_VALUE"""),1128.0)</f>
        <v>1128</v>
      </c>
      <c r="B531" s="213" t="str">
        <f>IFERROR(__xludf.DUMMYFUNCTION("""COMPUTED_VALUE"""),"FRANCISCO IRAZOLA")</f>
        <v>FRANCISCO IRAZOLA</v>
      </c>
      <c r="C531" s="213" t="str">
        <f>IFERROR(__xludf.DUMMYFUNCTION("""COMPUTED_VALUE"""),"TALLER SFT DE INDUSTRIA ALIMENTARIA")</f>
        <v>TALLER SFT DE INDUSTRIA ALIMENTARIA</v>
      </c>
      <c r="D531" s="213" t="str">
        <f>IFERROR(__xludf.DUMMYFUNCTION("""COMPUTED_VALUE"""),"HERRAMIENTAS")</f>
        <v>HERRAMIENTAS</v>
      </c>
      <c r="E531" s="213" t="str">
        <f>IFERROR(__xludf.DUMMYFUNCTION("""COMPUTED_VALUE"""),"COM-239")</f>
        <v>COM-239</v>
      </c>
      <c r="F531" s="213" t="str">
        <f>IFERROR(__xludf.DUMMYFUNCTION("""COMPUTED_VALUE"""),"COM-239")</f>
        <v>COM-239</v>
      </c>
      <c r="G531" s="213"/>
      <c r="H531" s="213" t="str">
        <f>IFERROR(__xludf.DUMMYFUNCTION("""COMPUTED_VALUE"""),"KIT DE MOLDES PARA MANTEQUILLA CON GRABADOS DECORATIVOS")</f>
        <v>KIT DE MOLDES PARA MANTEQUILLA CON GRABADOS DECORATIVOS</v>
      </c>
      <c r="I531" s="213" t="str">
        <f>IFERROR(__xludf.DUMMYFUNCTION("""COMPUTED_VALUE"""),".  Molde de madera para extraer la mantequilla.
.  Disponen del oval estriado decorado con una flor.
.  Capacidad para 500 gramos y para 1000 gramos.")</f>
        <v>.  Molde de madera para extraer la mantequilla.
.  Disponen del oval estriado decorado con una flor.
.  Capacidad para 500 gramos y para 1000 gramos.</v>
      </c>
      <c r="J531" s="213">
        <f>IFERROR(__xludf.DUMMYFUNCTION("""COMPUTED_VALUE"""),3.0)</f>
        <v>3</v>
      </c>
      <c r="K531" s="213" t="str">
        <f>IFERROR(__xludf.DUMMYFUNCTION("""COMPUTED_VALUE"""),"90 DÍAS CALENDARIO")</f>
        <v>90 DÍAS CALENDARIO</v>
      </c>
      <c r="L531" s="213" t="str">
        <f>IFERROR(__xludf.DUMMYFUNCTION("""COMPUTED_VALUE"""),"")</f>
        <v/>
      </c>
      <c r="M531" s="213">
        <f>IFERROR(__xludf.DUMMYFUNCTION("""COMPUTED_VALUE"""),1.0)</f>
        <v>1</v>
      </c>
      <c r="N531" s="213">
        <f>IFERROR(__xludf.DUMMYFUNCTION("""COMPUTED_VALUE"""),20.0)</f>
        <v>20</v>
      </c>
      <c r="O531" s="213">
        <f>IFERROR(__xludf.DUMMYFUNCTION("""COMPUTED_VALUE"""),20.0)</f>
        <v>20</v>
      </c>
      <c r="P531" s="213"/>
      <c r="Q531" s="213"/>
      <c r="R531" s="213"/>
      <c r="S531" s="213"/>
      <c r="T531" s="213" t="str">
        <f>IFERROR(__xludf.DUMMYFUNCTION("""COMPUTED_VALUE"""),"CONSULTA FINAL")</f>
        <v>CONSULTA FINAL</v>
      </c>
      <c r="U531" s="213" t="str">
        <f>IFERROR(__xludf.DUMMYFUNCTION("""COMPUTED_VALUE"""),"NO")</f>
        <v>NO</v>
      </c>
      <c r="V531" s="213" t="str">
        <f>IFERROR(__xludf.DUMMYFUNCTION("""COMPUTED_VALUE"""),"SUSTENTO")</f>
        <v>SUSTENTO</v>
      </c>
      <c r="W531" s="213" t="str">
        <f>IFERROR(__xludf.DUMMYFUNCTION("""COMPUTED_VALUE"""),"DIMENSIONAL")</f>
        <v>DIMENSIONAL</v>
      </c>
      <c r="X531" s="213" t="str">
        <f>IFERROR(__xludf.DUMMYFUNCTION("""COMPUTED_VALUE"""),"GENERICO")</f>
        <v>GENERICO</v>
      </c>
      <c r="Y531" s="213" t="str">
        <f>IFERROR(__xludf.DUMMYFUNCTION("""COMPUTED_VALUE"""),"GENERICO")</f>
        <v>GENERICO</v>
      </c>
      <c r="Z531" s="215" t="str">
        <f>IFERROR(__xludf.DUMMYFUNCTION("""COMPUTED_VALUE"""),"https://www.gastronomiaycia.com/moldes-para-mantequilla/")</f>
        <v>https://www.gastronomiaycia.com/moldes-para-mantequilla/</v>
      </c>
      <c r="AA531" s="213" t="str">
        <f>IFERROR(__xludf.DUMMYFUNCTION("""COMPUTED_VALUE"""),"COM-239 KIT DE MOLDES PARA MANTEQUILLA CON GRABADOS DECORATIVOS - CET")</f>
        <v>COM-239 KIT DE MOLDES PARA MANTEQUILLA CON GRABADOS DECORATIVOS - CET</v>
      </c>
      <c r="AB531" s="213"/>
      <c r="AC531" s="213"/>
      <c r="AD531" s="213"/>
      <c r="AE531" s="213"/>
      <c r="AF531" s="213"/>
      <c r="AG531" s="213"/>
      <c r="AH531" s="213"/>
      <c r="AI531" s="213"/>
      <c r="AJ531" s="213"/>
      <c r="AK531" s="213"/>
      <c r="AL531" s="213"/>
      <c r="AM531" s="213"/>
      <c r="AN531" s="213"/>
      <c r="AO531" s="213" t="str">
        <f>IFERROR(__xludf.DUMMYFUNCTION("""COMPUTED_VALUE"""),"JIMENA")</f>
        <v>JIMENA</v>
      </c>
      <c r="AP531" s="213" t="str">
        <f>IFERROR(__xludf.DUMMYFUNCTION("""COMPUTED_VALUE"""),"LUIS")</f>
        <v>LUIS</v>
      </c>
      <c r="AQ531" s="213"/>
      <c r="AR531" s="213"/>
      <c r="AS531" s="213" t="str">
        <f>IFERROR(__xludf.DUMMYFUNCTION("""COMPUTED_VALUE"""),"No se halla lo solicitado. Otra opción es aceptar molde de silicona")</f>
        <v>No se halla lo solicitado. Otra opción es aceptar molde de silicona</v>
      </c>
      <c r="AT531" s="217" t="str">
        <f>IFERROR(__xludf.DUMMYFUNCTION("""COMPUTED_VALUE"""),"AGRAGARA BOMBILLAS")</f>
        <v>AGRAGARA BOMBILLAS</v>
      </c>
      <c r="AU531" s="213"/>
      <c r="AV531" s="213"/>
      <c r="AW531" s="213"/>
      <c r="AX531" s="213"/>
      <c r="AY531" s="213"/>
      <c r="AZ531" s="213"/>
      <c r="BA531" s="213"/>
      <c r="BB531" s="213"/>
      <c r="BC531" s="213"/>
      <c r="BD531" s="213"/>
    </row>
    <row r="532">
      <c r="A532" s="213">
        <f>IFERROR(__xludf.DUMMYFUNCTION("""COMPUTED_VALUE"""),1400.0)</f>
        <v>1400</v>
      </c>
      <c r="B532" s="213" t="str">
        <f>IFERROR(__xludf.DUMMYFUNCTION("""COMPUTED_VALUE"""),"GUILLERMO E. BILLINGHURST ")</f>
        <v>GUILLERMO E. BILLINGHURST </v>
      </c>
      <c r="C532" s="213" t="str">
        <f>IFERROR(__xludf.DUMMYFUNCTION("""COMPUTED_VALUE"""),"TALLER SFT DE INDUSTRIA ALIMENTARIA")</f>
        <v>TALLER SFT DE INDUSTRIA ALIMENTARIA</v>
      </c>
      <c r="D532" s="213" t="str">
        <f>IFERROR(__xludf.DUMMYFUNCTION("""COMPUTED_VALUE"""),"HERRAMIENTAS")</f>
        <v>HERRAMIENTAS</v>
      </c>
      <c r="E532" s="213" t="str">
        <f>IFERROR(__xludf.DUMMYFUNCTION("""COMPUTED_VALUE"""),"COM-239")</f>
        <v>COM-239</v>
      </c>
      <c r="F532" s="213" t="str">
        <f>IFERROR(__xludf.DUMMYFUNCTION("""COMPUTED_VALUE"""),"COM-239")</f>
        <v>COM-239</v>
      </c>
      <c r="G532" s="213"/>
      <c r="H532" s="213" t="str">
        <f>IFERROR(__xludf.DUMMYFUNCTION("""COMPUTED_VALUE"""),"KIT DE MOLDES PARA MANTEQUILLA CON GRABADOS DECORATIVOS")</f>
        <v>KIT DE MOLDES PARA MANTEQUILLA CON GRABADOS DECORATIVOS</v>
      </c>
      <c r="I532" s="213" t="str">
        <f>IFERROR(__xludf.DUMMYFUNCTION("""COMPUTED_VALUE"""),".  Molde de madera para extraer la mantequilla.
.  Disponen del oval estriado decorado con una flor.
.  Capacidad para 500 gramos y para 1000 gramos.")</f>
        <v>.  Molde de madera para extraer la mantequilla.
.  Disponen del oval estriado decorado con una flor.
.  Capacidad para 500 gramos y para 1000 gramos.</v>
      </c>
      <c r="J532" s="213">
        <f>IFERROR(__xludf.DUMMYFUNCTION("""COMPUTED_VALUE"""),3.0)</f>
        <v>3</v>
      </c>
      <c r="K532" s="213" t="str">
        <f>IFERROR(__xludf.DUMMYFUNCTION("""COMPUTED_VALUE"""),"90 DÍAS CALENDARIO")</f>
        <v>90 DÍAS CALENDARIO</v>
      </c>
      <c r="L532" s="213" t="str">
        <f>IFERROR(__xludf.DUMMYFUNCTION("""COMPUTED_VALUE"""),"")</f>
        <v/>
      </c>
      <c r="M532" s="213">
        <f>IFERROR(__xludf.DUMMYFUNCTION("""COMPUTED_VALUE"""),1.0)</f>
        <v>1</v>
      </c>
      <c r="N532" s="213">
        <f>IFERROR(__xludf.DUMMYFUNCTION("""COMPUTED_VALUE"""),20.0)</f>
        <v>20</v>
      </c>
      <c r="O532" s="213">
        <f>IFERROR(__xludf.DUMMYFUNCTION("""COMPUTED_VALUE"""),20.0)</f>
        <v>20</v>
      </c>
      <c r="P532" s="213"/>
      <c r="Q532" s="213"/>
      <c r="R532" s="213"/>
      <c r="S532" s="213"/>
      <c r="T532" s="213" t="str">
        <f>IFERROR(__xludf.DUMMYFUNCTION("""COMPUTED_VALUE"""),"CONSULTA FINAL")</f>
        <v>CONSULTA FINAL</v>
      </c>
      <c r="U532" s="213" t="str">
        <f>IFERROR(__xludf.DUMMYFUNCTION("""COMPUTED_VALUE"""),"NO")</f>
        <v>NO</v>
      </c>
      <c r="V532" s="213" t="str">
        <f>IFERROR(__xludf.DUMMYFUNCTION("""COMPUTED_VALUE"""),"SUSTENTO")</f>
        <v>SUSTENTO</v>
      </c>
      <c r="W532" s="213" t="str">
        <f>IFERROR(__xludf.DUMMYFUNCTION("""COMPUTED_VALUE"""),"DIMENSIONAL")</f>
        <v>DIMENSIONAL</v>
      </c>
      <c r="X532" s="213" t="str">
        <f>IFERROR(__xludf.DUMMYFUNCTION("""COMPUTED_VALUE"""),"GENERICO")</f>
        <v>GENERICO</v>
      </c>
      <c r="Y532" s="213" t="str">
        <f>IFERROR(__xludf.DUMMYFUNCTION("""COMPUTED_VALUE"""),"GENERICO")</f>
        <v>GENERICO</v>
      </c>
      <c r="Z532" s="215" t="str">
        <f>IFERROR(__xludf.DUMMYFUNCTION("""COMPUTED_VALUE"""),"https://www.gastronomiaycia.com/moldes-para-mantequilla/")</f>
        <v>https://www.gastronomiaycia.com/moldes-para-mantequilla/</v>
      </c>
      <c r="AA532" s="213" t="str">
        <f>IFERROR(__xludf.DUMMYFUNCTION("""COMPUTED_VALUE"""),"COM-239 KIT DE MOLDES PARA MANTEQUILLA CON GRABADOS DECORATIVOS - CET")</f>
        <v>COM-239 KIT DE MOLDES PARA MANTEQUILLA CON GRABADOS DECORATIVOS - CET</v>
      </c>
      <c r="AB532" s="213"/>
      <c r="AC532" s="213"/>
      <c r="AD532" s="213"/>
      <c r="AE532" s="213"/>
      <c r="AF532" s="213"/>
      <c r="AG532" s="213"/>
      <c r="AH532" s="213"/>
      <c r="AI532" s="213"/>
      <c r="AJ532" s="213"/>
      <c r="AK532" s="213"/>
      <c r="AL532" s="213"/>
      <c r="AM532" s="213"/>
      <c r="AN532" s="213"/>
      <c r="AO532" s="213" t="str">
        <f>IFERROR(__xludf.DUMMYFUNCTION("""COMPUTED_VALUE"""),"JIMENA")</f>
        <v>JIMENA</v>
      </c>
      <c r="AP532" s="213" t="str">
        <f>IFERROR(__xludf.DUMMYFUNCTION("""COMPUTED_VALUE"""),"LUIS")</f>
        <v>LUIS</v>
      </c>
      <c r="AQ532" s="213"/>
      <c r="AR532" s="213"/>
      <c r="AS532" s="213" t="str">
        <f>IFERROR(__xludf.DUMMYFUNCTION("""COMPUTED_VALUE"""),"No se halla lo solicitado. Otra opción es aceptar molde de silicona")</f>
        <v>No se halla lo solicitado. Otra opción es aceptar molde de silicona</v>
      </c>
      <c r="AT532" s="217" t="str">
        <f>IFERROR(__xludf.DUMMYFUNCTION("""COMPUTED_VALUE"""),"AGRAGARA BOMBILLAS")</f>
        <v>AGRAGARA BOMBILLAS</v>
      </c>
      <c r="AU532" s="213"/>
      <c r="AV532" s="213"/>
      <c r="AW532" s="213"/>
      <c r="AX532" s="213"/>
      <c r="AY532" s="213"/>
      <c r="AZ532" s="213"/>
      <c r="BA532" s="213"/>
      <c r="BB532" s="213"/>
      <c r="BC532" s="213"/>
      <c r="BD532" s="213"/>
    </row>
    <row r="533">
      <c r="A533" s="213">
        <f>IFERROR(__xludf.DUMMYFUNCTION("""COMPUTED_VALUE"""),2087.0)</f>
        <v>2087</v>
      </c>
      <c r="B533" s="213" t="str">
        <f>IFERROR(__xludf.DUMMYFUNCTION("""COMPUTED_VALUE"""),"JOSE GRANDA")</f>
        <v>JOSE GRANDA</v>
      </c>
      <c r="C533" s="213" t="str">
        <f>IFERROR(__xludf.DUMMYFUNCTION("""COMPUTED_VALUE"""),"TALLER SFT DE INDUSTRIA ALIMENTARIA")</f>
        <v>TALLER SFT DE INDUSTRIA ALIMENTARIA</v>
      </c>
      <c r="D533" s="213" t="str">
        <f>IFERROR(__xludf.DUMMYFUNCTION("""COMPUTED_VALUE"""),"HERRAMIENTAS")</f>
        <v>HERRAMIENTAS</v>
      </c>
      <c r="E533" s="213" t="str">
        <f>IFERROR(__xludf.DUMMYFUNCTION("""COMPUTED_VALUE"""),"COM-239")</f>
        <v>COM-239</v>
      </c>
      <c r="F533" s="213" t="str">
        <f>IFERROR(__xludf.DUMMYFUNCTION("""COMPUTED_VALUE"""),"COM-239")</f>
        <v>COM-239</v>
      </c>
      <c r="G533" s="213"/>
      <c r="H533" s="213" t="str">
        <f>IFERROR(__xludf.DUMMYFUNCTION("""COMPUTED_VALUE"""),"KIT DE MOLDES PARA MANTEQUILLA CON GRABADOS DECORATIVOS")</f>
        <v>KIT DE MOLDES PARA MANTEQUILLA CON GRABADOS DECORATIVOS</v>
      </c>
      <c r="I533" s="213" t="str">
        <f>IFERROR(__xludf.DUMMYFUNCTION("""COMPUTED_VALUE"""),".  Molde de madera para extraer la mantequilla.
.  Disponen del oval estriado decorado con una flor.
.  Capacidad para 500 gramos y para 1000 gramos.")</f>
        <v>.  Molde de madera para extraer la mantequilla.
.  Disponen del oval estriado decorado con una flor.
.  Capacidad para 500 gramos y para 1000 gramos.</v>
      </c>
      <c r="J533" s="213">
        <f>IFERROR(__xludf.DUMMYFUNCTION("""COMPUTED_VALUE"""),3.0)</f>
        <v>3</v>
      </c>
      <c r="K533" s="213" t="str">
        <f>IFERROR(__xludf.DUMMYFUNCTION("""COMPUTED_VALUE"""),"90 DÍAS CALENDARIO")</f>
        <v>90 DÍAS CALENDARIO</v>
      </c>
      <c r="L533" s="213" t="str">
        <f>IFERROR(__xludf.DUMMYFUNCTION("""COMPUTED_VALUE"""),"")</f>
        <v/>
      </c>
      <c r="M533" s="213">
        <f>IFERROR(__xludf.DUMMYFUNCTION("""COMPUTED_VALUE"""),1.0)</f>
        <v>1</v>
      </c>
      <c r="N533" s="213">
        <f>IFERROR(__xludf.DUMMYFUNCTION("""COMPUTED_VALUE"""),20.0)</f>
        <v>20</v>
      </c>
      <c r="O533" s="213">
        <f>IFERROR(__xludf.DUMMYFUNCTION("""COMPUTED_VALUE"""),20.0)</f>
        <v>20</v>
      </c>
      <c r="P533" s="213"/>
      <c r="Q533" s="213"/>
      <c r="R533" s="213"/>
      <c r="S533" s="213"/>
      <c r="T533" s="213" t="str">
        <f>IFERROR(__xludf.DUMMYFUNCTION("""COMPUTED_VALUE"""),"CONSULTA FINAL")</f>
        <v>CONSULTA FINAL</v>
      </c>
      <c r="U533" s="213" t="str">
        <f>IFERROR(__xludf.DUMMYFUNCTION("""COMPUTED_VALUE"""),"NO")</f>
        <v>NO</v>
      </c>
      <c r="V533" s="213" t="str">
        <f>IFERROR(__xludf.DUMMYFUNCTION("""COMPUTED_VALUE"""),"SUSTENTO")</f>
        <v>SUSTENTO</v>
      </c>
      <c r="W533" s="213" t="str">
        <f>IFERROR(__xludf.DUMMYFUNCTION("""COMPUTED_VALUE"""),"DIMENSIONAL")</f>
        <v>DIMENSIONAL</v>
      </c>
      <c r="X533" s="213" t="str">
        <f>IFERROR(__xludf.DUMMYFUNCTION("""COMPUTED_VALUE"""),"GENERICO")</f>
        <v>GENERICO</v>
      </c>
      <c r="Y533" s="213" t="str">
        <f>IFERROR(__xludf.DUMMYFUNCTION("""COMPUTED_VALUE"""),"GENERICO")</f>
        <v>GENERICO</v>
      </c>
      <c r="Z533" s="215" t="str">
        <f>IFERROR(__xludf.DUMMYFUNCTION("""COMPUTED_VALUE"""),"https://www.gastronomiaycia.com/moldes-para-mantequilla/")</f>
        <v>https://www.gastronomiaycia.com/moldes-para-mantequilla/</v>
      </c>
      <c r="AA533" s="213" t="str">
        <f>IFERROR(__xludf.DUMMYFUNCTION("""COMPUTED_VALUE"""),"COM-239 KIT DE MOLDES PARA MANTEQUILLA CON GRABADOS DECORATIVOS - CET")</f>
        <v>COM-239 KIT DE MOLDES PARA MANTEQUILLA CON GRABADOS DECORATIVOS - CET</v>
      </c>
      <c r="AB533" s="213"/>
      <c r="AC533" s="213"/>
      <c r="AD533" s="213"/>
      <c r="AE533" s="213"/>
      <c r="AF533" s="213"/>
      <c r="AG533" s="213"/>
      <c r="AH533" s="213"/>
      <c r="AI533" s="213"/>
      <c r="AJ533" s="213"/>
      <c r="AK533" s="213"/>
      <c r="AL533" s="213"/>
      <c r="AM533" s="213"/>
      <c r="AN533" s="213"/>
      <c r="AO533" s="213" t="str">
        <f>IFERROR(__xludf.DUMMYFUNCTION("""COMPUTED_VALUE"""),"JIMENA")</f>
        <v>JIMENA</v>
      </c>
      <c r="AP533" s="213" t="str">
        <f>IFERROR(__xludf.DUMMYFUNCTION("""COMPUTED_VALUE"""),"LUIS")</f>
        <v>LUIS</v>
      </c>
      <c r="AQ533" s="213"/>
      <c r="AR533" s="213"/>
      <c r="AS533" s="213" t="str">
        <f>IFERROR(__xludf.DUMMYFUNCTION("""COMPUTED_VALUE"""),"No se halla lo solicitado. Otra opción es aceptar molde de silicona")</f>
        <v>No se halla lo solicitado. Otra opción es aceptar molde de silicona</v>
      </c>
      <c r="AT533" s="217" t="str">
        <f>IFERROR(__xludf.DUMMYFUNCTION("""COMPUTED_VALUE"""),"AGRAGARA BOMBILLAS")</f>
        <v>AGRAGARA BOMBILLAS</v>
      </c>
      <c r="AU533" s="213"/>
      <c r="AV533" s="213"/>
      <c r="AW533" s="213"/>
      <c r="AX533" s="213"/>
      <c r="AY533" s="213"/>
      <c r="AZ533" s="213"/>
      <c r="BA533" s="213"/>
      <c r="BB533" s="213"/>
      <c r="BC533" s="213"/>
      <c r="BD533" s="213"/>
    </row>
    <row r="534">
      <c r="A534" s="213">
        <f>IFERROR(__xludf.DUMMYFUNCTION("""COMPUTED_VALUE"""),1858.0)</f>
        <v>1858</v>
      </c>
      <c r="B534" s="213" t="str">
        <f>IFERROR(__xludf.DUMMYFUNCTION("""COMPUTED_VALUE"""),"GUILLERMO E. BILLINGHURST ")</f>
        <v>GUILLERMO E. BILLINGHURST </v>
      </c>
      <c r="C534" s="213" t="str">
        <f>IFERROR(__xludf.DUMMYFUNCTION("""COMPUTED_VALUE"""),"TALLER SFT DE EBANISTERÍA")</f>
        <v>TALLER SFT DE EBANISTERÍA</v>
      </c>
      <c r="D534" s="213" t="str">
        <f>IFERROR(__xludf.DUMMYFUNCTION("""COMPUTED_VALUE"""),"EQUIPOS")</f>
        <v>EQUIPOS</v>
      </c>
      <c r="E534" s="213" t="str">
        <f>IFERROR(__xludf.DUMMYFUNCTION("""COMPUTED_VALUE"""),"ESP-155")</f>
        <v>ESP-155</v>
      </c>
      <c r="F534" s="213" t="str">
        <f>IFERROR(__xludf.DUMMYFUNCTION("""COMPUTED_VALUE"""),"ESP-155")</f>
        <v>ESP-155</v>
      </c>
      <c r="G534" s="213"/>
      <c r="H534" s="213" t="str">
        <f>IFERROR(__xludf.DUMMYFUNCTION("""COMPUTED_VALUE"""),"EQUIPO DE ASPIRACIÓN")</f>
        <v>EQUIPO DE ASPIRACIÓN</v>
      </c>
      <c r="I534" s="213" t="str">
        <f>IFERROR(__xludf.DUMMYFUNCTION("""COMPUTED_VALUE"""),"· Sistema de aspiración del aserrín, producto del corte, cepillado de la madera.
· Construcción solida de acero.
· Cubeta de recepcion : minimo 100 litros
· Caudal de aire (aspirado en vacío): mínimo 2000 m3/h.
· Diámetro de conector de aspiración: minimo"&amp;" 100 mm.
· Diámetro de colector de admisión: minimo 100 mm.
· Potencia instalada del motor: mínimo 1,5 kW
· Voltaje, frecuencia: 220 V, 60 Hz.
. Medidas aproximadas (+-5cm] :  L85 cm x A60 cm x H150 cm")</f>
        <v>· Sistema de aspiración del aserrín, producto del corte, cepillado de la madera.
· Construcción solida de acero.
· Cubeta de recepcion : minimo 100 litros
· Caudal de aire (aspirado en vacío): mínimo 2000 m3/h.
· Diámetro de conector de aspiración: minimo 100 mm.
· Diámetro de colector de admisión: minimo 100 mm.
· Potencia instalada del motor: mínimo 1,5 kW
· Voltaje, frecuencia: 220 V, 60 Hz.
. Medidas aproximadas (+-5cm] :  L85 cm x A60 cm x H150 cm</v>
      </c>
      <c r="J534" s="213">
        <f>IFERROR(__xludf.DUMMYFUNCTION("""COMPUTED_VALUE"""),3.0)</f>
        <v>3</v>
      </c>
      <c r="K534" s="213" t="str">
        <f>IFERROR(__xludf.DUMMYFUNCTION("""COMPUTED_VALUE"""),"170 DÍAS CALENDARIO")</f>
        <v>170 DÍAS CALENDARIO</v>
      </c>
      <c r="L534" s="213" t="str">
        <f>IFERROR(__xludf.DUMMYFUNCTION("""COMPUTED_VALUE"""),"")</f>
        <v/>
      </c>
      <c r="M534" s="213">
        <f>IFERROR(__xludf.DUMMYFUNCTION("""COMPUTED_VALUE"""),1.0)</f>
        <v>1</v>
      </c>
      <c r="N534" s="213">
        <f>IFERROR(__xludf.DUMMYFUNCTION("""COMPUTED_VALUE"""),2.0)</f>
        <v>2</v>
      </c>
      <c r="O534" s="213">
        <f>IFERROR(__xludf.DUMMYFUNCTION("""COMPUTED_VALUE"""),2.0)</f>
        <v>2</v>
      </c>
      <c r="P534" s="213"/>
      <c r="Q534" s="213"/>
      <c r="R534" s="213"/>
      <c r="S534" s="213" t="str">
        <f>IFERROR(__xludf.DUMMYFUNCTION("""COMPUTED_VALUE"""),"SI")</f>
        <v>SI</v>
      </c>
      <c r="T534" s="213" t="str">
        <f>IFERROR(__xludf.DUMMYFUNCTION("""COMPUTED_VALUE"""),"SI")</f>
        <v>SI</v>
      </c>
      <c r="U534" s="213" t="str">
        <f>IFERROR(__xludf.DUMMYFUNCTION("""COMPUTED_VALUE"""),"NO")</f>
        <v>NO</v>
      </c>
      <c r="V534" s="213" t="str">
        <f>IFERROR(__xludf.DUMMYFUNCTION("""COMPUTED_VALUE"""),"SUSTENTO")</f>
        <v>SUSTENTO</v>
      </c>
      <c r="W534" s="213" t="str">
        <f>IFERROR(__xludf.DUMMYFUNCTION("""COMPUTED_VALUE"""),"DIMENSIONAL, ELÉCTRICO")</f>
        <v>DIMENSIONAL, ELÉCTRICO</v>
      </c>
      <c r="X534" s="213" t="str">
        <f>IFERROR(__xludf.DUMMYFUNCTION("""COMPUTED_VALUE"""),"HOLZSTAR")</f>
        <v>HOLZSTAR</v>
      </c>
      <c r="Y534" s="213" t="str">
        <f>IFERROR(__xludf.DUMMYFUNCTION("""COMPUTED_VALUE"""),"SAA 2001 (230V)")</f>
        <v>SAA 2001 (230V)</v>
      </c>
      <c r="Z534" s="215" t="str">
        <f>IFERROR(__xludf.DUMMYFUNCTION("""COMPUTED_VALUE"""),"https://www.aslak.es/madera/5922201-sistema-de-aspiracion-saa-2001.html")</f>
        <v>https://www.aslak.es/madera/5922201-sistema-de-aspiracion-saa-2001.html</v>
      </c>
      <c r="AA534" s="213" t="str">
        <f>IFERROR(__xludf.DUMMYFUNCTION("""COMPUTED_VALUE"""),"ESP-155 EQUIPO DE ASPIRACIÓN - CET")</f>
        <v>ESP-155 EQUIPO DE ASPIRACIÓN - CET</v>
      </c>
      <c r="AB534" s="215" t="str">
        <f>IFERROR(__xludf.DUMMYFUNCTION("""COMPUTED_VALUE"""),"https://drive.google.com/file/d/1dckYGgmD6R-YVSkR1J0L23_ufOAughAZ/view?usp=sharing")</f>
        <v>https://drive.google.com/file/d/1dckYGgmD6R-YVSkR1J0L23_ufOAughAZ/view?usp=sharing</v>
      </c>
      <c r="AC534" s="213"/>
      <c r="AD534" s="213"/>
      <c r="AE534" s="213"/>
      <c r="AF534" s="213"/>
      <c r="AG534" s="213"/>
      <c r="AH534" s="213" t="str">
        <f>IFERROR(__xludf.DUMMYFUNCTION("""COMPUTED_VALUE"""),"IMPORTADO")</f>
        <v>IMPORTADO</v>
      </c>
      <c r="AI534" s="213"/>
      <c r="AJ534" s="213"/>
      <c r="AK534" s="213"/>
      <c r="AL534" s="213"/>
      <c r="AM534" s="213"/>
      <c r="AN534" s="213"/>
      <c r="AO534" s="213"/>
      <c r="AP534" s="213" t="str">
        <f>IFERROR(__xludf.DUMMYFUNCTION("""COMPUTED_VALUE"""),"MICHEL")</f>
        <v>MICHEL</v>
      </c>
      <c r="AQ534" s="213"/>
      <c r="AR534" s="213"/>
      <c r="AS534" s="213"/>
      <c r="AT534" s="213"/>
      <c r="AU534" s="213"/>
      <c r="AV534" s="213"/>
      <c r="AW534" s="213"/>
      <c r="AX534" s="213"/>
      <c r="AY534" s="213"/>
      <c r="AZ534" s="213"/>
      <c r="BA534" s="213"/>
      <c r="BB534" s="213"/>
      <c r="BC534" s="213"/>
      <c r="BD534" s="213"/>
    </row>
    <row r="535">
      <c r="A535" s="213">
        <f>IFERROR(__xludf.DUMMYFUNCTION("""COMPUTED_VALUE"""),2639.0)</f>
        <v>2639</v>
      </c>
      <c r="B535" s="213" t="str">
        <f>IFERROR(__xludf.DUMMYFUNCTION("""COMPUTED_VALUE"""),"MANUEL ANTONIO MESONES MURO")</f>
        <v>MANUEL ANTONIO MESONES MURO</v>
      </c>
      <c r="C535" s="213" t="str">
        <f>IFERROR(__xludf.DUMMYFUNCTION("""COMPUTED_VALUE"""),"TALLER SFT DE EBANISTERÍA")</f>
        <v>TALLER SFT DE EBANISTERÍA</v>
      </c>
      <c r="D535" s="213" t="str">
        <f>IFERROR(__xludf.DUMMYFUNCTION("""COMPUTED_VALUE"""),"EQUIPOS")</f>
        <v>EQUIPOS</v>
      </c>
      <c r="E535" s="213" t="str">
        <f>IFERROR(__xludf.DUMMYFUNCTION("""COMPUTED_VALUE"""),"ESP-155")</f>
        <v>ESP-155</v>
      </c>
      <c r="F535" s="213" t="str">
        <f>IFERROR(__xludf.DUMMYFUNCTION("""COMPUTED_VALUE"""),"ESP-155")</f>
        <v>ESP-155</v>
      </c>
      <c r="G535" s="213"/>
      <c r="H535" s="213" t="str">
        <f>IFERROR(__xludf.DUMMYFUNCTION("""COMPUTED_VALUE"""),"EQUIPO DE ASPIRACIÓN")</f>
        <v>EQUIPO DE ASPIRACIÓN</v>
      </c>
      <c r="I535" s="213" t="str">
        <f>IFERROR(__xludf.DUMMYFUNCTION("""COMPUTED_VALUE"""),"· Sistema de aspiración del aserrín, producto del corte, cepillado de la madera.
· Construcción solida de acero.
· Cubeta de recepcion : minimo 100 litros
· Caudal de aire (aspirado en vacío): mínimo 2000 m3/h.
· Diámetro de conector de aspiración: minimo"&amp;" 100 mm.
· Diámetro de colector de admisión: minimo 100 mm.
· Potencia instalada del motor: mínimo 1,5 kW
· Voltaje, frecuencia: 220 V, 60 Hz.
. Medidas aproximadas (+-5cm] :  L85 cm x A60 cm x H150 cm")</f>
        <v>· Sistema de aspiración del aserrín, producto del corte, cepillado de la madera.
· Construcción solida de acero.
· Cubeta de recepcion : minimo 100 litros
· Caudal de aire (aspirado en vacío): mínimo 2000 m3/h.
· Diámetro de conector de aspiración: minimo 100 mm.
· Diámetro de colector de admisión: minimo 100 mm.
· Potencia instalada del motor: mínimo 1,5 kW
· Voltaje, frecuencia: 220 V, 60 Hz.
. Medidas aproximadas (+-5cm] :  L85 cm x A60 cm x H150 cm</v>
      </c>
      <c r="J535" s="213">
        <f>IFERROR(__xludf.DUMMYFUNCTION("""COMPUTED_VALUE"""),3.0)</f>
        <v>3</v>
      </c>
      <c r="K535" s="213" t="str">
        <f>IFERROR(__xludf.DUMMYFUNCTION("""COMPUTED_VALUE"""),"170 DÍAS CALENDARIO")</f>
        <v>170 DÍAS CALENDARIO</v>
      </c>
      <c r="L535" s="213" t="str">
        <f>IFERROR(__xludf.DUMMYFUNCTION("""COMPUTED_VALUE"""),"")</f>
        <v/>
      </c>
      <c r="M535" s="213">
        <f>IFERROR(__xludf.DUMMYFUNCTION("""COMPUTED_VALUE"""),1.0)</f>
        <v>1</v>
      </c>
      <c r="N535" s="213">
        <f>IFERROR(__xludf.DUMMYFUNCTION("""COMPUTED_VALUE"""),2.0)</f>
        <v>2</v>
      </c>
      <c r="O535" s="213">
        <f>IFERROR(__xludf.DUMMYFUNCTION("""COMPUTED_VALUE"""),2.0)</f>
        <v>2</v>
      </c>
      <c r="P535" s="213"/>
      <c r="Q535" s="213"/>
      <c r="R535" s="213"/>
      <c r="S535" s="213" t="str">
        <f>IFERROR(__xludf.DUMMYFUNCTION("""COMPUTED_VALUE"""),"SI")</f>
        <v>SI</v>
      </c>
      <c r="T535" s="213" t="str">
        <f>IFERROR(__xludf.DUMMYFUNCTION("""COMPUTED_VALUE"""),"SI")</f>
        <v>SI</v>
      </c>
      <c r="U535" s="213" t="str">
        <f>IFERROR(__xludf.DUMMYFUNCTION("""COMPUTED_VALUE"""),"NO")</f>
        <v>NO</v>
      </c>
      <c r="V535" s="213" t="str">
        <f>IFERROR(__xludf.DUMMYFUNCTION("""COMPUTED_VALUE"""),"SUSTENTO")</f>
        <v>SUSTENTO</v>
      </c>
      <c r="W535" s="213" t="str">
        <f>IFERROR(__xludf.DUMMYFUNCTION("""COMPUTED_VALUE"""),"DIMENSIONAL, ELÉCTRICO")</f>
        <v>DIMENSIONAL, ELÉCTRICO</v>
      </c>
      <c r="X535" s="213" t="str">
        <f>IFERROR(__xludf.DUMMYFUNCTION("""COMPUTED_VALUE"""),"HOLZSTAR")</f>
        <v>HOLZSTAR</v>
      </c>
      <c r="Y535" s="213" t="str">
        <f>IFERROR(__xludf.DUMMYFUNCTION("""COMPUTED_VALUE"""),"SAA 2001 (230V)")</f>
        <v>SAA 2001 (230V)</v>
      </c>
      <c r="Z535" s="215" t="str">
        <f>IFERROR(__xludf.DUMMYFUNCTION("""COMPUTED_VALUE"""),"https://www.aslak.es/madera/5922201-sistema-de-aspiracion-saa-2001.html")</f>
        <v>https://www.aslak.es/madera/5922201-sistema-de-aspiracion-saa-2001.html</v>
      </c>
      <c r="AA535" s="213" t="str">
        <f>IFERROR(__xludf.DUMMYFUNCTION("""COMPUTED_VALUE"""),"ESP-155 EQUIPO DE ASPIRACIÓN - CET")</f>
        <v>ESP-155 EQUIPO DE ASPIRACIÓN - CET</v>
      </c>
      <c r="AB535" s="215" t="str">
        <f>IFERROR(__xludf.DUMMYFUNCTION("""COMPUTED_VALUE"""),"https://drive.google.com/file/d/1dckYGgmD6R-YVSkR1J0L23_ufOAughAZ/view?usp=sharing")</f>
        <v>https://drive.google.com/file/d/1dckYGgmD6R-YVSkR1J0L23_ufOAughAZ/view?usp=sharing</v>
      </c>
      <c r="AC535" s="213"/>
      <c r="AD535" s="213"/>
      <c r="AE535" s="213"/>
      <c r="AF535" s="213"/>
      <c r="AG535" s="213"/>
      <c r="AH535" s="213" t="str">
        <f>IFERROR(__xludf.DUMMYFUNCTION("""COMPUTED_VALUE"""),"IMPORTADO")</f>
        <v>IMPORTADO</v>
      </c>
      <c r="AI535" s="213"/>
      <c r="AJ535" s="213"/>
      <c r="AK535" s="213"/>
      <c r="AL535" s="213"/>
      <c r="AM535" s="213"/>
      <c r="AN535" s="213"/>
      <c r="AO535" s="213"/>
      <c r="AP535" s="213" t="str">
        <f>IFERROR(__xludf.DUMMYFUNCTION("""COMPUTED_VALUE"""),"MICHEL")</f>
        <v>MICHEL</v>
      </c>
      <c r="AQ535" s="213"/>
      <c r="AR535" s="213"/>
      <c r="AS535" s="213"/>
      <c r="AT535" s="213"/>
      <c r="AU535" s="213"/>
      <c r="AV535" s="213"/>
      <c r="AW535" s="213"/>
      <c r="AX535" s="213"/>
      <c r="AY535" s="213"/>
      <c r="AZ535" s="213"/>
      <c r="BA535" s="213"/>
      <c r="BB535" s="213"/>
      <c r="BC535" s="213"/>
      <c r="BD535" s="213"/>
    </row>
    <row r="536">
      <c r="A536" s="213">
        <f>IFERROR(__xludf.DUMMYFUNCTION("""COMPUTED_VALUE"""),130.0)</f>
        <v>130</v>
      </c>
      <c r="B536" s="213" t="str">
        <f>IFERROR(__xludf.DUMMYFUNCTION("""COMPUTED_VALUE"""),"16449 ELOY SOBERON  FLORES")</f>
        <v>16449 ELOY SOBERON  FLORES</v>
      </c>
      <c r="C536" s="213" t="str">
        <f>IFERROR(__xludf.DUMMYFUNCTION("""COMPUTED_VALUE"""),"TALLER SFT DE COCINA Y REPOSTERÍA")</f>
        <v>TALLER SFT DE COCINA Y REPOSTERÍA</v>
      </c>
      <c r="D536" s="213" t="str">
        <f>IFERROR(__xludf.DUMMYFUNCTION("""COMPUTED_VALUE"""),"TICS")</f>
        <v>TICS</v>
      </c>
      <c r="E536" s="213" t="str">
        <f>IFERROR(__xludf.DUMMYFUNCTION("""COMPUTED_VALUE"""),"TEC-107")</f>
        <v>TEC-107</v>
      </c>
      <c r="F536" s="213" t="str">
        <f>IFERROR(__xludf.DUMMYFUNCTION("""COMPUTED_VALUE"""),"TEC-107-X")</f>
        <v>TEC-107-X</v>
      </c>
      <c r="G536" s="213"/>
      <c r="H536" s="213" t="str">
        <f>IFERROR(__xludf.DUMMYFUNCTION("""COMPUTED_VALUE"""),"EQUIPO DE GRABACIÓN PARA REPORTERO")</f>
        <v>EQUIPO DE GRABACIÓN PARA REPORTERO</v>
      </c>
      <c r="I536"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36" s="213">
        <f>IFERROR(__xludf.DUMMYFUNCTION("""COMPUTED_VALUE"""),3.0)</f>
        <v>3</v>
      </c>
      <c r="K536" s="213" t="str">
        <f>IFERROR(__xludf.DUMMYFUNCTION("""COMPUTED_VALUE"""),"170 DÍAS CALENDARIO")</f>
        <v>170 DÍAS CALENDARIO</v>
      </c>
      <c r="L536"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36" s="213">
        <f>IFERROR(__xludf.DUMMYFUNCTION("""COMPUTED_VALUE"""),1.0)</f>
        <v>1</v>
      </c>
      <c r="N536" s="213">
        <f>IFERROR(__xludf.DUMMYFUNCTION("""COMPUTED_VALUE"""),4.0)</f>
        <v>4</v>
      </c>
      <c r="O536" s="213">
        <f>IFERROR(__xludf.DUMMYFUNCTION("""COMPUTED_VALUE"""),4.0)</f>
        <v>4</v>
      </c>
      <c r="P536" s="213"/>
      <c r="Q536" s="213"/>
      <c r="R536" s="213"/>
      <c r="S536" s="213"/>
      <c r="T536" s="213" t="str">
        <f>IFERROR(__xludf.DUMMYFUNCTION("""COMPUTED_VALUE"""),"SI")</f>
        <v>SI</v>
      </c>
      <c r="U536" s="213" t="str">
        <f>IFERROR(__xludf.DUMMYFUNCTION("""COMPUTED_VALUE"""),"SI")</f>
        <v>SI</v>
      </c>
      <c r="V536" s="213" t="str">
        <f>IFERROR(__xludf.DUMMYFUNCTION("""COMPUTED_VALUE"""),"-")</f>
        <v>-</v>
      </c>
      <c r="W536" s="213" t="str">
        <f>IFERROR(__xludf.DUMMYFUNCTION("""COMPUTED_VALUE"""),"-")</f>
        <v>-</v>
      </c>
      <c r="X536" s="213" t="str">
        <f>IFERROR(__xludf.DUMMYFUNCTION("""COMPUTED_VALUE"""),"Sony")</f>
        <v>Sony</v>
      </c>
      <c r="Y536" s="213" t="str">
        <f>IFERROR(__xludf.DUMMYFUNCTION("""COMPUTED_VALUE"""),"ICD-PX470")</f>
        <v>ICD-PX470</v>
      </c>
      <c r="Z536"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36" s="213" t="str">
        <f>IFERROR(__xludf.DUMMYFUNCTION("""COMPUTED_VALUE"""),"TEC-107-A EQUIPO DE GRABACIÓN PARA REPORTERO - CET")</f>
        <v>TEC-107-A EQUIPO DE GRABACIÓN PARA REPORTERO - CET</v>
      </c>
      <c r="AB536" s="213"/>
      <c r="AC536" s="213"/>
      <c r="AD536" s="213"/>
      <c r="AE536" s="213"/>
      <c r="AF536" s="213"/>
      <c r="AG536" s="213"/>
      <c r="AH536" s="213" t="str">
        <f>IFERROR(__xludf.DUMMYFUNCTION("""COMPUTED_VALUE"""),"NACIONAL")</f>
        <v>NACIONAL</v>
      </c>
      <c r="AI536" s="213"/>
      <c r="AJ536" s="213"/>
      <c r="AK536" s="213"/>
      <c r="AL536" s="213"/>
      <c r="AM536" s="213"/>
      <c r="AN536" s="213"/>
      <c r="AO536" s="213"/>
      <c r="AP536" s="213" t="str">
        <f>IFERROR(__xludf.DUMMYFUNCTION("""COMPUTED_VALUE"""),"NALDI")</f>
        <v>NALDI</v>
      </c>
      <c r="AQ536" s="213"/>
      <c r="AR536" s="213"/>
      <c r="AS536" s="213" t="str">
        <f>IFERROR(__xludf.DUMMYFUNCTION("""COMPUTED_VALUE"""),"Baterías alcalinas LR04 (tamaño AAA)")</f>
        <v>Baterías alcalinas LR04 (tamaño AAA)</v>
      </c>
      <c r="AT536" s="213"/>
      <c r="AU536" s="213"/>
      <c r="AV536" s="213"/>
      <c r="AW536" s="213"/>
      <c r="AX536" s="213"/>
      <c r="AY536" s="213"/>
      <c r="AZ536" s="213"/>
      <c r="BA536" s="213"/>
      <c r="BB536" s="213"/>
      <c r="BC536" s="213"/>
      <c r="BD536" s="213"/>
    </row>
    <row r="537">
      <c r="A537" s="213">
        <f>IFERROR(__xludf.DUMMYFUNCTION("""COMPUTED_VALUE"""),203.0)</f>
        <v>203</v>
      </c>
      <c r="B537" s="213" t="str">
        <f>IFERROR(__xludf.DUMMYFUNCTION("""COMPUTED_VALUE"""),"2026 SIMON BOLIVAR")</f>
        <v>2026 SIMON BOLIVAR</v>
      </c>
      <c r="C537" s="213" t="str">
        <f>IFERROR(__xludf.DUMMYFUNCTION("""COMPUTED_VALUE"""),"TALLER SFT DE INDUSTRIA DEL VESTIDO")</f>
        <v>TALLER SFT DE INDUSTRIA DEL VESTIDO</v>
      </c>
      <c r="D537" s="213" t="str">
        <f>IFERROR(__xludf.DUMMYFUNCTION("""COMPUTED_VALUE"""),"TICS")</f>
        <v>TICS</v>
      </c>
      <c r="E537" s="213" t="str">
        <f>IFERROR(__xludf.DUMMYFUNCTION("""COMPUTED_VALUE"""),"TEC-107")</f>
        <v>TEC-107</v>
      </c>
      <c r="F537" s="213" t="str">
        <f>IFERROR(__xludf.DUMMYFUNCTION("""COMPUTED_VALUE"""),"TEC-107-X")</f>
        <v>TEC-107-X</v>
      </c>
      <c r="G537" s="213"/>
      <c r="H537" s="213" t="str">
        <f>IFERROR(__xludf.DUMMYFUNCTION("""COMPUTED_VALUE"""),"EQUIPO DE GRABACIÓN PARA REPORTERO")</f>
        <v>EQUIPO DE GRABACIÓN PARA REPORTERO</v>
      </c>
      <c r="I537"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37" s="213">
        <f>IFERROR(__xludf.DUMMYFUNCTION("""COMPUTED_VALUE"""),3.0)</f>
        <v>3</v>
      </c>
      <c r="K537" s="213" t="str">
        <f>IFERROR(__xludf.DUMMYFUNCTION("""COMPUTED_VALUE"""),"170 DÍAS CALENDARIO")</f>
        <v>170 DÍAS CALENDARIO</v>
      </c>
      <c r="L537"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37" s="213">
        <f>IFERROR(__xludf.DUMMYFUNCTION("""COMPUTED_VALUE"""),1.0)</f>
        <v>1</v>
      </c>
      <c r="N537" s="213">
        <f>IFERROR(__xludf.DUMMYFUNCTION("""COMPUTED_VALUE"""),4.0)</f>
        <v>4</v>
      </c>
      <c r="O537" s="213">
        <f>IFERROR(__xludf.DUMMYFUNCTION("""COMPUTED_VALUE"""),4.0)</f>
        <v>4</v>
      </c>
      <c r="P537" s="213"/>
      <c r="Q537" s="213"/>
      <c r="R537" s="213"/>
      <c r="S537" s="213"/>
      <c r="T537" s="213" t="str">
        <f>IFERROR(__xludf.DUMMYFUNCTION("""COMPUTED_VALUE"""),"SI")</f>
        <v>SI</v>
      </c>
      <c r="U537" s="213" t="str">
        <f>IFERROR(__xludf.DUMMYFUNCTION("""COMPUTED_VALUE"""),"SI")</f>
        <v>SI</v>
      </c>
      <c r="V537" s="213" t="str">
        <f>IFERROR(__xludf.DUMMYFUNCTION("""COMPUTED_VALUE"""),"-")</f>
        <v>-</v>
      </c>
      <c r="W537" s="213" t="str">
        <f>IFERROR(__xludf.DUMMYFUNCTION("""COMPUTED_VALUE"""),"-")</f>
        <v>-</v>
      </c>
      <c r="X537" s="213" t="str">
        <f>IFERROR(__xludf.DUMMYFUNCTION("""COMPUTED_VALUE"""),"Sony")</f>
        <v>Sony</v>
      </c>
      <c r="Y537" s="213" t="str">
        <f>IFERROR(__xludf.DUMMYFUNCTION("""COMPUTED_VALUE"""),"ICD-PX470")</f>
        <v>ICD-PX470</v>
      </c>
      <c r="Z537"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37" s="213" t="str">
        <f>IFERROR(__xludf.DUMMYFUNCTION("""COMPUTED_VALUE"""),"TEC-107-A EQUIPO DE GRABACIÓN PARA REPORTERO - CET")</f>
        <v>TEC-107-A EQUIPO DE GRABACIÓN PARA REPORTERO - CET</v>
      </c>
      <c r="AB537" s="213"/>
      <c r="AC537" s="213"/>
      <c r="AD537" s="213"/>
      <c r="AE537" s="213"/>
      <c r="AF537" s="213"/>
      <c r="AG537" s="213"/>
      <c r="AH537" s="213" t="str">
        <f>IFERROR(__xludf.DUMMYFUNCTION("""COMPUTED_VALUE"""),"NACIONAL")</f>
        <v>NACIONAL</v>
      </c>
      <c r="AI537" s="213"/>
      <c r="AJ537" s="213"/>
      <c r="AK537" s="213"/>
      <c r="AL537" s="213"/>
      <c r="AM537" s="213"/>
      <c r="AN537" s="213"/>
      <c r="AO537" s="213"/>
      <c r="AP537" s="213" t="str">
        <f>IFERROR(__xludf.DUMMYFUNCTION("""COMPUTED_VALUE"""),"NALDI")</f>
        <v>NALDI</v>
      </c>
      <c r="AQ537" s="213"/>
      <c r="AR537" s="213"/>
      <c r="AS537" s="213" t="str">
        <f>IFERROR(__xludf.DUMMYFUNCTION("""COMPUTED_VALUE"""),"Baterías alcalinas LR04 (tamaño AAA)")</f>
        <v>Baterías alcalinas LR04 (tamaño AAA)</v>
      </c>
      <c r="AT537" s="213"/>
      <c r="AU537" s="213"/>
      <c r="AV537" s="213"/>
      <c r="AW537" s="213"/>
      <c r="AX537" s="213"/>
      <c r="AY537" s="213"/>
      <c r="AZ537" s="213"/>
      <c r="BA537" s="213"/>
      <c r="BB537" s="213"/>
      <c r="BC537" s="213"/>
      <c r="BD537" s="213"/>
    </row>
    <row r="538">
      <c r="A538" s="213">
        <f>IFERROR(__xludf.DUMMYFUNCTION("""COMPUTED_VALUE"""),290.0)</f>
        <v>290</v>
      </c>
      <c r="B538" s="213" t="str">
        <f>IFERROR(__xludf.DUMMYFUNCTION("""COMPUTED_VALUE"""),"2026 SIMON BOLIVAR")</f>
        <v>2026 SIMON BOLIVAR</v>
      </c>
      <c r="C538" s="213" t="str">
        <f>IFERROR(__xludf.DUMMYFUNCTION("""COMPUTED_VALUE"""),"TALLER SFT DE COMPUTACIÓN E INFORMÁTICA")</f>
        <v>TALLER SFT DE COMPUTACIÓN E INFORMÁTICA</v>
      </c>
      <c r="D538" s="213" t="str">
        <f>IFERROR(__xludf.DUMMYFUNCTION("""COMPUTED_VALUE"""),"TICS")</f>
        <v>TICS</v>
      </c>
      <c r="E538" s="213" t="str">
        <f>IFERROR(__xludf.DUMMYFUNCTION("""COMPUTED_VALUE"""),"TEC-107")</f>
        <v>TEC-107</v>
      </c>
      <c r="F538" s="213" t="str">
        <f>IFERROR(__xludf.DUMMYFUNCTION("""COMPUTED_VALUE"""),"TEC-107-Y")</f>
        <v>TEC-107-Y</v>
      </c>
      <c r="G538" s="213"/>
      <c r="H538" s="213" t="str">
        <f>IFERROR(__xludf.DUMMYFUNCTION("""COMPUTED_VALUE"""),"EQUIPO DE GRABACIÓN PARA REPORTERO")</f>
        <v>EQUIPO DE GRABACIÓN PARA REPORTERO</v>
      </c>
      <c r="I538"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38" s="213">
        <f>IFERROR(__xludf.DUMMYFUNCTION("""COMPUTED_VALUE"""),3.0)</f>
        <v>3</v>
      </c>
      <c r="K538" s="213" t="str">
        <f>IFERROR(__xludf.DUMMYFUNCTION("""COMPUTED_VALUE"""),"170 DÍAS CALENDARIO")</f>
        <v>170 DÍAS CALENDARIO</v>
      </c>
      <c r="L538" s="213" t="str">
        <f>IFERROR(__xludf.DUMMYFUNCTION("""COMPUTED_VALUE"""),"")</f>
        <v/>
      </c>
      <c r="M538" s="213">
        <f>IFERROR(__xludf.DUMMYFUNCTION("""COMPUTED_VALUE"""),1.0)</f>
        <v>1</v>
      </c>
      <c r="N538" s="213">
        <f>IFERROR(__xludf.DUMMYFUNCTION("""COMPUTED_VALUE"""),4.0)</f>
        <v>4</v>
      </c>
      <c r="O538" s="213">
        <f>IFERROR(__xludf.DUMMYFUNCTION("""COMPUTED_VALUE"""),4.0)</f>
        <v>4</v>
      </c>
      <c r="P538" s="213"/>
      <c r="Q538" s="213"/>
      <c r="R538" s="213"/>
      <c r="S538" s="213"/>
      <c r="T538" s="213" t="str">
        <f>IFERROR(__xludf.DUMMYFUNCTION("""COMPUTED_VALUE"""),"SI")</f>
        <v>SI</v>
      </c>
      <c r="U538" s="213" t="str">
        <f>IFERROR(__xludf.DUMMYFUNCTION("""COMPUTED_VALUE"""),"SI")</f>
        <v>SI</v>
      </c>
      <c r="V538" s="213" t="str">
        <f>IFERROR(__xludf.DUMMYFUNCTION("""COMPUTED_VALUE"""),"-")</f>
        <v>-</v>
      </c>
      <c r="W538" s="213" t="str">
        <f>IFERROR(__xludf.DUMMYFUNCTION("""COMPUTED_VALUE"""),"-")</f>
        <v>-</v>
      </c>
      <c r="X538" s="213" t="str">
        <f>IFERROR(__xludf.DUMMYFUNCTION("""COMPUTED_VALUE"""),"Sony")</f>
        <v>Sony</v>
      </c>
      <c r="Y538" s="213" t="str">
        <f>IFERROR(__xludf.DUMMYFUNCTION("""COMPUTED_VALUE"""),"ICD-PX470")</f>
        <v>ICD-PX470</v>
      </c>
      <c r="Z538"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38" s="213" t="str">
        <f>IFERROR(__xludf.DUMMYFUNCTION("""COMPUTED_VALUE"""),"TEC-107-B EQUIPO DE GRABACIÓN PARA REPORTERO - CET")</f>
        <v>TEC-107-B EQUIPO DE GRABACIÓN PARA REPORTERO - CET</v>
      </c>
      <c r="AB538" s="213"/>
      <c r="AC538" s="213"/>
      <c r="AD538" s="213"/>
      <c r="AE538" s="213"/>
      <c r="AF538" s="213"/>
      <c r="AG538" s="213"/>
      <c r="AH538" s="213" t="str">
        <f>IFERROR(__xludf.DUMMYFUNCTION("""COMPUTED_VALUE"""),"NACIONAL")</f>
        <v>NACIONAL</v>
      </c>
      <c r="AI538" s="213"/>
      <c r="AJ538" s="213"/>
      <c r="AK538" s="213"/>
      <c r="AL538" s="213"/>
      <c r="AM538" s="213"/>
      <c r="AN538" s="213"/>
      <c r="AO538" s="213"/>
      <c r="AP538" s="213" t="str">
        <f>IFERROR(__xludf.DUMMYFUNCTION("""COMPUTED_VALUE"""),"NALDI")</f>
        <v>NALDI</v>
      </c>
      <c r="AQ538" s="213"/>
      <c r="AR538" s="213"/>
      <c r="AS538" s="213" t="str">
        <f>IFERROR(__xludf.DUMMYFUNCTION("""COMPUTED_VALUE"""),"Baterías alcalinas LR04 (tamaño AAA)")</f>
        <v>Baterías alcalinas LR04 (tamaño AAA)</v>
      </c>
      <c r="AT538" s="213"/>
      <c r="AU538" s="213"/>
      <c r="AV538" s="213"/>
      <c r="AW538" s="213"/>
      <c r="AX538" s="213"/>
      <c r="AY538" s="213"/>
      <c r="AZ538" s="213"/>
      <c r="BA538" s="213"/>
      <c r="BB538" s="213"/>
      <c r="BC538" s="213"/>
      <c r="BD538" s="213"/>
    </row>
    <row r="539">
      <c r="A539" s="213">
        <f>IFERROR(__xludf.DUMMYFUNCTION("""COMPUTED_VALUE"""),313.0)</f>
        <v>313</v>
      </c>
      <c r="B539" s="213" t="str">
        <f>IFERROR(__xludf.DUMMYFUNCTION("""COMPUTED_VALUE"""),"2026 SIMON BOLIVAR")</f>
        <v>2026 SIMON BOLIVAR</v>
      </c>
      <c r="C539" s="213" t="str">
        <f>IFERROR(__xludf.DUMMYFUNCTION("""COMPUTED_VALUE"""),"TALLER SFT DE COMPUTACIÓN E INFORMÁTICA")</f>
        <v>TALLER SFT DE COMPUTACIÓN E INFORMÁTICA</v>
      </c>
      <c r="D539" s="213" t="str">
        <f>IFERROR(__xludf.DUMMYFUNCTION("""COMPUTED_VALUE"""),"TICS")</f>
        <v>TICS</v>
      </c>
      <c r="E539" s="213" t="str">
        <f>IFERROR(__xludf.DUMMYFUNCTION("""COMPUTED_VALUE"""),"TEC-107")</f>
        <v>TEC-107</v>
      </c>
      <c r="F539" s="213" t="str">
        <f>IFERROR(__xludf.DUMMYFUNCTION("""COMPUTED_VALUE"""),"TEC-107-Y")</f>
        <v>TEC-107-Y</v>
      </c>
      <c r="G539" s="213"/>
      <c r="H539" s="213" t="str">
        <f>IFERROR(__xludf.DUMMYFUNCTION("""COMPUTED_VALUE"""),"EQUIPO DE GRABACIÓN PARA REPORTERO")</f>
        <v>EQUIPO DE GRABACIÓN PARA REPORTERO</v>
      </c>
      <c r="I539"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39" s="213">
        <f>IFERROR(__xludf.DUMMYFUNCTION("""COMPUTED_VALUE"""),3.0)</f>
        <v>3</v>
      </c>
      <c r="K539" s="213" t="str">
        <f>IFERROR(__xludf.DUMMYFUNCTION("""COMPUTED_VALUE"""),"170 DÍAS CALENDARIO")</f>
        <v>170 DÍAS CALENDARIO</v>
      </c>
      <c r="L539" s="213" t="str">
        <f>IFERROR(__xludf.DUMMYFUNCTION("""COMPUTED_VALUE"""),"")</f>
        <v/>
      </c>
      <c r="M539" s="213">
        <f>IFERROR(__xludf.DUMMYFUNCTION("""COMPUTED_VALUE"""),1.0)</f>
        <v>1</v>
      </c>
      <c r="N539" s="213">
        <f>IFERROR(__xludf.DUMMYFUNCTION("""COMPUTED_VALUE"""),4.0)</f>
        <v>4</v>
      </c>
      <c r="O539" s="213">
        <f>IFERROR(__xludf.DUMMYFUNCTION("""COMPUTED_VALUE"""),4.0)</f>
        <v>4</v>
      </c>
      <c r="P539" s="213"/>
      <c r="Q539" s="213"/>
      <c r="R539" s="213"/>
      <c r="S539" s="213"/>
      <c r="T539" s="213" t="str">
        <f>IFERROR(__xludf.DUMMYFUNCTION("""COMPUTED_VALUE"""),"SI")</f>
        <v>SI</v>
      </c>
      <c r="U539" s="213" t="str">
        <f>IFERROR(__xludf.DUMMYFUNCTION("""COMPUTED_VALUE"""),"SI")</f>
        <v>SI</v>
      </c>
      <c r="V539" s="213" t="str">
        <f>IFERROR(__xludf.DUMMYFUNCTION("""COMPUTED_VALUE"""),"-")</f>
        <v>-</v>
      </c>
      <c r="W539" s="213" t="str">
        <f>IFERROR(__xludf.DUMMYFUNCTION("""COMPUTED_VALUE"""),"-")</f>
        <v>-</v>
      </c>
      <c r="X539" s="213" t="str">
        <f>IFERROR(__xludf.DUMMYFUNCTION("""COMPUTED_VALUE"""),"Sony")</f>
        <v>Sony</v>
      </c>
      <c r="Y539" s="213" t="str">
        <f>IFERROR(__xludf.DUMMYFUNCTION("""COMPUTED_VALUE"""),"ICD-PX470")</f>
        <v>ICD-PX470</v>
      </c>
      <c r="Z539"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39" s="213" t="str">
        <f>IFERROR(__xludf.DUMMYFUNCTION("""COMPUTED_VALUE"""),"TEC-107-B EQUIPO DE GRABACIÓN PARA REPORTERO - CET")</f>
        <v>TEC-107-B EQUIPO DE GRABACIÓN PARA REPORTERO - CET</v>
      </c>
      <c r="AB539" s="213"/>
      <c r="AC539" s="213"/>
      <c r="AD539" s="213"/>
      <c r="AE539" s="213"/>
      <c r="AF539" s="213"/>
      <c r="AG539" s="213"/>
      <c r="AH539" s="213" t="str">
        <f>IFERROR(__xludf.DUMMYFUNCTION("""COMPUTED_VALUE"""),"NACIONAL")</f>
        <v>NACIONAL</v>
      </c>
      <c r="AI539" s="213"/>
      <c r="AJ539" s="213"/>
      <c r="AK539" s="213"/>
      <c r="AL539" s="213"/>
      <c r="AM539" s="213"/>
      <c r="AN539" s="213"/>
      <c r="AO539" s="213"/>
      <c r="AP539" s="213" t="str">
        <f>IFERROR(__xludf.DUMMYFUNCTION("""COMPUTED_VALUE"""),"NALDI")</f>
        <v>NALDI</v>
      </c>
      <c r="AQ539" s="213"/>
      <c r="AR539" s="213"/>
      <c r="AS539" s="213" t="str">
        <f>IFERROR(__xludf.DUMMYFUNCTION("""COMPUTED_VALUE"""),"Baterías alcalinas LR04 (tamaño AAA)")</f>
        <v>Baterías alcalinas LR04 (tamaño AAA)</v>
      </c>
      <c r="AT539" s="213"/>
      <c r="AU539" s="213"/>
      <c r="AV539" s="213"/>
      <c r="AW539" s="213"/>
      <c r="AX539" s="213"/>
      <c r="AY539" s="213"/>
      <c r="AZ539" s="213"/>
      <c r="BA539" s="213"/>
      <c r="BB539" s="213"/>
      <c r="BC539" s="213"/>
      <c r="BD539" s="213"/>
    </row>
    <row r="540">
      <c r="A540" s="213">
        <f>IFERROR(__xludf.DUMMYFUNCTION("""COMPUTED_VALUE"""),370.0)</f>
        <v>370</v>
      </c>
      <c r="B540" s="213" t="str">
        <f>IFERROR(__xludf.DUMMYFUNCTION("""COMPUTED_VALUE"""),"2026 SIMON BOLIVAR")</f>
        <v>2026 SIMON BOLIVAR</v>
      </c>
      <c r="C540" s="213" t="str">
        <f>IFERROR(__xludf.DUMMYFUNCTION("""COMPUTED_VALUE"""),"TALLER SFT DE ELECTRICIDAD")</f>
        <v>TALLER SFT DE ELECTRICIDAD</v>
      </c>
      <c r="D540" s="213" t="str">
        <f>IFERROR(__xludf.DUMMYFUNCTION("""COMPUTED_VALUE"""),"TICS")</f>
        <v>TICS</v>
      </c>
      <c r="E540" s="213" t="str">
        <f>IFERROR(__xludf.DUMMYFUNCTION("""COMPUTED_VALUE"""),"TEC-107")</f>
        <v>TEC-107</v>
      </c>
      <c r="F540" s="213" t="str">
        <f>IFERROR(__xludf.DUMMYFUNCTION("""COMPUTED_VALUE"""),"TEC-107-X")</f>
        <v>TEC-107-X</v>
      </c>
      <c r="G540" s="213"/>
      <c r="H540" s="213" t="str">
        <f>IFERROR(__xludf.DUMMYFUNCTION("""COMPUTED_VALUE"""),"EQUIPO DE GRABACIÓN PARA REPORTERO")</f>
        <v>EQUIPO DE GRABACIÓN PARA REPORTERO</v>
      </c>
      <c r="I540"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0" s="213">
        <f>IFERROR(__xludf.DUMMYFUNCTION("""COMPUTED_VALUE"""),3.0)</f>
        <v>3</v>
      </c>
      <c r="K540" s="213" t="str">
        <f>IFERROR(__xludf.DUMMYFUNCTION("""COMPUTED_VALUE"""),"170 DÍAS CALENDARIO")</f>
        <v>170 DÍAS CALENDARIO</v>
      </c>
      <c r="L540"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40" s="213">
        <f>IFERROR(__xludf.DUMMYFUNCTION("""COMPUTED_VALUE"""),1.0)</f>
        <v>1</v>
      </c>
      <c r="N540" s="213">
        <f>IFERROR(__xludf.DUMMYFUNCTION("""COMPUTED_VALUE"""),4.0)</f>
        <v>4</v>
      </c>
      <c r="O540" s="213">
        <f>IFERROR(__xludf.DUMMYFUNCTION("""COMPUTED_VALUE"""),4.0)</f>
        <v>4</v>
      </c>
      <c r="P540" s="213"/>
      <c r="Q540" s="213"/>
      <c r="R540" s="213"/>
      <c r="S540" s="213"/>
      <c r="T540" s="213" t="str">
        <f>IFERROR(__xludf.DUMMYFUNCTION("""COMPUTED_VALUE"""),"SI")</f>
        <v>SI</v>
      </c>
      <c r="U540" s="213" t="str">
        <f>IFERROR(__xludf.DUMMYFUNCTION("""COMPUTED_VALUE"""),"SI")</f>
        <v>SI</v>
      </c>
      <c r="V540" s="213" t="str">
        <f>IFERROR(__xludf.DUMMYFUNCTION("""COMPUTED_VALUE"""),"-")</f>
        <v>-</v>
      </c>
      <c r="W540" s="213" t="str">
        <f>IFERROR(__xludf.DUMMYFUNCTION("""COMPUTED_VALUE"""),"-")</f>
        <v>-</v>
      </c>
      <c r="X540" s="213" t="str">
        <f>IFERROR(__xludf.DUMMYFUNCTION("""COMPUTED_VALUE"""),"Sony")</f>
        <v>Sony</v>
      </c>
      <c r="Y540" s="213" t="str">
        <f>IFERROR(__xludf.DUMMYFUNCTION("""COMPUTED_VALUE"""),"ICD-PX470")</f>
        <v>ICD-PX470</v>
      </c>
      <c r="Z540"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0" s="213" t="str">
        <f>IFERROR(__xludf.DUMMYFUNCTION("""COMPUTED_VALUE"""),"TEC-107-A EQUIPO DE GRABACIÓN PARA REPORTERO - CET")</f>
        <v>TEC-107-A EQUIPO DE GRABACIÓN PARA REPORTERO - CET</v>
      </c>
      <c r="AB540" s="213"/>
      <c r="AC540" s="213"/>
      <c r="AD540" s="213"/>
      <c r="AE540" s="213"/>
      <c r="AF540" s="213"/>
      <c r="AG540" s="213"/>
      <c r="AH540" s="213" t="str">
        <f>IFERROR(__xludf.DUMMYFUNCTION("""COMPUTED_VALUE"""),"NACIONAL")</f>
        <v>NACIONAL</v>
      </c>
      <c r="AI540" s="213"/>
      <c r="AJ540" s="213"/>
      <c r="AK540" s="213"/>
      <c r="AL540" s="213"/>
      <c r="AM540" s="213"/>
      <c r="AN540" s="213"/>
      <c r="AO540" s="213"/>
      <c r="AP540" s="213" t="str">
        <f>IFERROR(__xludf.DUMMYFUNCTION("""COMPUTED_VALUE"""),"NALDI")</f>
        <v>NALDI</v>
      </c>
      <c r="AQ540" s="213"/>
      <c r="AR540" s="213"/>
      <c r="AS540" s="213" t="str">
        <f>IFERROR(__xludf.DUMMYFUNCTION("""COMPUTED_VALUE"""),"Baterías alcalinas LR04 (tamaño AAA)")</f>
        <v>Baterías alcalinas LR04 (tamaño AAA)</v>
      </c>
      <c r="AT540" s="213"/>
      <c r="AU540" s="213"/>
      <c r="AV540" s="213"/>
      <c r="AW540" s="213"/>
      <c r="AX540" s="213"/>
      <c r="AY540" s="213"/>
      <c r="AZ540" s="213"/>
      <c r="BA540" s="213"/>
      <c r="BB540" s="213"/>
      <c r="BC540" s="213"/>
      <c r="BD540" s="213"/>
    </row>
    <row r="541">
      <c r="A541" s="213">
        <f>IFERROR(__xludf.DUMMYFUNCTION("""COMPUTED_VALUE"""),567.0)</f>
        <v>567</v>
      </c>
      <c r="B541" s="213" t="str">
        <f>IFERROR(__xludf.DUMMYFUNCTION("""COMPUTED_VALUE"""),"2026 SIMON BOLIVAR")</f>
        <v>2026 SIMON BOLIVAR</v>
      </c>
      <c r="C541" s="213" t="str">
        <f>IFERROR(__xludf.DUMMYFUNCTION("""COMPUTED_VALUE"""),"TALLER SFT DE INDUSTRIA ALIMENTARIA")</f>
        <v>TALLER SFT DE INDUSTRIA ALIMENTARIA</v>
      </c>
      <c r="D541" s="213" t="str">
        <f>IFERROR(__xludf.DUMMYFUNCTION("""COMPUTED_VALUE"""),"TICS")</f>
        <v>TICS</v>
      </c>
      <c r="E541" s="213" t="str">
        <f>IFERROR(__xludf.DUMMYFUNCTION("""COMPUTED_VALUE"""),"TEC-107")</f>
        <v>TEC-107</v>
      </c>
      <c r="F541" s="213" t="str">
        <f>IFERROR(__xludf.DUMMYFUNCTION("""COMPUTED_VALUE"""),"TEC-107-X")</f>
        <v>TEC-107-X</v>
      </c>
      <c r="G541" s="213"/>
      <c r="H541" s="213" t="str">
        <f>IFERROR(__xludf.DUMMYFUNCTION("""COMPUTED_VALUE"""),"EQUIPO DE GRABACIÓN PARA REPORTERO")</f>
        <v>EQUIPO DE GRABACIÓN PARA REPORTERO</v>
      </c>
      <c r="I541"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1" s="213">
        <f>IFERROR(__xludf.DUMMYFUNCTION("""COMPUTED_VALUE"""),3.0)</f>
        <v>3</v>
      </c>
      <c r="K541" s="213" t="str">
        <f>IFERROR(__xludf.DUMMYFUNCTION("""COMPUTED_VALUE"""),"170 DÍAS CALENDARIO")</f>
        <v>170 DÍAS CALENDARIO</v>
      </c>
      <c r="L541"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41" s="213">
        <f>IFERROR(__xludf.DUMMYFUNCTION("""COMPUTED_VALUE"""),1.0)</f>
        <v>1</v>
      </c>
      <c r="N541" s="213">
        <f>IFERROR(__xludf.DUMMYFUNCTION("""COMPUTED_VALUE"""),4.0)</f>
        <v>4</v>
      </c>
      <c r="O541" s="213">
        <f>IFERROR(__xludf.DUMMYFUNCTION("""COMPUTED_VALUE"""),4.0)</f>
        <v>4</v>
      </c>
      <c r="P541" s="213"/>
      <c r="Q541" s="213"/>
      <c r="R541" s="213"/>
      <c r="S541" s="213"/>
      <c r="T541" s="213" t="str">
        <f>IFERROR(__xludf.DUMMYFUNCTION("""COMPUTED_VALUE"""),"SI")</f>
        <v>SI</v>
      </c>
      <c r="U541" s="213" t="str">
        <f>IFERROR(__xludf.DUMMYFUNCTION("""COMPUTED_VALUE"""),"SI")</f>
        <v>SI</v>
      </c>
      <c r="V541" s="213" t="str">
        <f>IFERROR(__xludf.DUMMYFUNCTION("""COMPUTED_VALUE"""),"-")</f>
        <v>-</v>
      </c>
      <c r="W541" s="213" t="str">
        <f>IFERROR(__xludf.DUMMYFUNCTION("""COMPUTED_VALUE"""),"-")</f>
        <v>-</v>
      </c>
      <c r="X541" s="213" t="str">
        <f>IFERROR(__xludf.DUMMYFUNCTION("""COMPUTED_VALUE"""),"Sony")</f>
        <v>Sony</v>
      </c>
      <c r="Y541" s="213" t="str">
        <f>IFERROR(__xludf.DUMMYFUNCTION("""COMPUTED_VALUE"""),"ICD-PX470")</f>
        <v>ICD-PX470</v>
      </c>
      <c r="Z541"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1" s="213" t="str">
        <f>IFERROR(__xludf.DUMMYFUNCTION("""COMPUTED_VALUE"""),"TEC-107-A EQUIPO DE GRABACIÓN PARA REPORTERO - CET")</f>
        <v>TEC-107-A EQUIPO DE GRABACIÓN PARA REPORTERO - CET</v>
      </c>
      <c r="AB541" s="213"/>
      <c r="AC541" s="213"/>
      <c r="AD541" s="213"/>
      <c r="AE541" s="213"/>
      <c r="AF541" s="213"/>
      <c r="AG541" s="213"/>
      <c r="AH541" s="213" t="str">
        <f>IFERROR(__xludf.DUMMYFUNCTION("""COMPUTED_VALUE"""),"NACIONAL")</f>
        <v>NACIONAL</v>
      </c>
      <c r="AI541" s="213"/>
      <c r="AJ541" s="213"/>
      <c r="AK541" s="213"/>
      <c r="AL541" s="213"/>
      <c r="AM541" s="213"/>
      <c r="AN541" s="213"/>
      <c r="AO541" s="213"/>
      <c r="AP541" s="213" t="str">
        <f>IFERROR(__xludf.DUMMYFUNCTION("""COMPUTED_VALUE"""),"NALDI")</f>
        <v>NALDI</v>
      </c>
      <c r="AQ541" s="213"/>
      <c r="AR541" s="213"/>
      <c r="AS541" s="213" t="str">
        <f>IFERROR(__xludf.DUMMYFUNCTION("""COMPUTED_VALUE"""),"Baterías alcalinas LR04 (tamaño AAA)")</f>
        <v>Baterías alcalinas LR04 (tamaño AAA)</v>
      </c>
      <c r="AT541" s="213"/>
      <c r="AU541" s="213"/>
      <c r="AV541" s="213"/>
      <c r="AW541" s="213"/>
      <c r="AX541" s="213"/>
      <c r="AY541" s="213"/>
      <c r="AZ541" s="213"/>
      <c r="BA541" s="213"/>
      <c r="BB541" s="213"/>
      <c r="BC541" s="213"/>
      <c r="BD541" s="213"/>
    </row>
    <row r="542">
      <c r="A542" s="213">
        <f>IFERROR(__xludf.DUMMYFUNCTION("""COMPUTED_VALUE"""),655.0)</f>
        <v>655</v>
      </c>
      <c r="B542" s="213" t="str">
        <f>IFERROR(__xludf.DUMMYFUNCTION("""COMPUTED_VALUE"""),"6049 RICARDO PALMA")</f>
        <v>6049 RICARDO PALMA</v>
      </c>
      <c r="C542" s="213" t="str">
        <f>IFERROR(__xludf.DUMMYFUNCTION("""COMPUTED_VALUE"""),"TALLER SFT DE ELECTRÓNICA")</f>
        <v>TALLER SFT DE ELECTRÓNICA</v>
      </c>
      <c r="D542" s="213" t="str">
        <f>IFERROR(__xludf.DUMMYFUNCTION("""COMPUTED_VALUE"""),"TICS")</f>
        <v>TICS</v>
      </c>
      <c r="E542" s="213" t="str">
        <f>IFERROR(__xludf.DUMMYFUNCTION("""COMPUTED_VALUE"""),"TEC-107")</f>
        <v>TEC-107</v>
      </c>
      <c r="F542" s="213" t="str">
        <f>IFERROR(__xludf.DUMMYFUNCTION("""COMPUTED_VALUE"""),"TEC-107-X")</f>
        <v>TEC-107-X</v>
      </c>
      <c r="G542" s="213"/>
      <c r="H542" s="213" t="str">
        <f>IFERROR(__xludf.DUMMYFUNCTION("""COMPUTED_VALUE"""),"EQUIPO DE GRABACIÓN PARA REPORTERO")</f>
        <v>EQUIPO DE GRABACIÓN PARA REPORTERO</v>
      </c>
      <c r="I542"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2" s="213">
        <f>IFERROR(__xludf.DUMMYFUNCTION("""COMPUTED_VALUE"""),3.0)</f>
        <v>3</v>
      </c>
      <c r="K542" s="213" t="str">
        <f>IFERROR(__xludf.DUMMYFUNCTION("""COMPUTED_VALUE"""),"170 DÍAS CALENDARIO")</f>
        <v>170 DÍAS CALENDARIO</v>
      </c>
      <c r="L542"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42" s="213">
        <f>IFERROR(__xludf.DUMMYFUNCTION("""COMPUTED_VALUE"""),1.0)</f>
        <v>1</v>
      </c>
      <c r="N542" s="213">
        <f>IFERROR(__xludf.DUMMYFUNCTION("""COMPUTED_VALUE"""),4.0)</f>
        <v>4</v>
      </c>
      <c r="O542" s="213">
        <f>IFERROR(__xludf.DUMMYFUNCTION("""COMPUTED_VALUE"""),4.0)</f>
        <v>4</v>
      </c>
      <c r="P542" s="213"/>
      <c r="Q542" s="213"/>
      <c r="R542" s="213"/>
      <c r="S542" s="213"/>
      <c r="T542" s="213" t="str">
        <f>IFERROR(__xludf.DUMMYFUNCTION("""COMPUTED_VALUE"""),"SI")</f>
        <v>SI</v>
      </c>
      <c r="U542" s="213" t="str">
        <f>IFERROR(__xludf.DUMMYFUNCTION("""COMPUTED_VALUE"""),"SI")</f>
        <v>SI</v>
      </c>
      <c r="V542" s="213" t="str">
        <f>IFERROR(__xludf.DUMMYFUNCTION("""COMPUTED_VALUE"""),"-")</f>
        <v>-</v>
      </c>
      <c r="W542" s="213" t="str">
        <f>IFERROR(__xludf.DUMMYFUNCTION("""COMPUTED_VALUE"""),"-")</f>
        <v>-</v>
      </c>
      <c r="X542" s="213" t="str">
        <f>IFERROR(__xludf.DUMMYFUNCTION("""COMPUTED_VALUE"""),"Sony")</f>
        <v>Sony</v>
      </c>
      <c r="Y542" s="213" t="str">
        <f>IFERROR(__xludf.DUMMYFUNCTION("""COMPUTED_VALUE"""),"ICD-PX470")</f>
        <v>ICD-PX470</v>
      </c>
      <c r="Z542"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2" s="213" t="str">
        <f>IFERROR(__xludf.DUMMYFUNCTION("""COMPUTED_VALUE"""),"TEC-107-A EQUIPO DE GRABACIÓN PARA REPORTERO - CET")</f>
        <v>TEC-107-A EQUIPO DE GRABACIÓN PARA REPORTERO - CET</v>
      </c>
      <c r="AB542" s="213"/>
      <c r="AC542" s="213"/>
      <c r="AD542" s="213"/>
      <c r="AE542" s="213"/>
      <c r="AF542" s="213"/>
      <c r="AG542" s="213"/>
      <c r="AH542" s="213" t="str">
        <f>IFERROR(__xludf.DUMMYFUNCTION("""COMPUTED_VALUE"""),"NACIONAL")</f>
        <v>NACIONAL</v>
      </c>
      <c r="AI542" s="213"/>
      <c r="AJ542" s="213"/>
      <c r="AK542" s="213"/>
      <c r="AL542" s="213"/>
      <c r="AM542" s="213"/>
      <c r="AN542" s="213"/>
      <c r="AO542" s="213"/>
      <c r="AP542" s="213" t="str">
        <f>IFERROR(__xludf.DUMMYFUNCTION("""COMPUTED_VALUE"""),"NALDI")</f>
        <v>NALDI</v>
      </c>
      <c r="AQ542" s="213"/>
      <c r="AR542" s="213"/>
      <c r="AS542" s="213" t="str">
        <f>IFERROR(__xludf.DUMMYFUNCTION("""COMPUTED_VALUE"""),"Baterías alcalinas LR04 (tamaño AAA)")</f>
        <v>Baterías alcalinas LR04 (tamaño AAA)</v>
      </c>
      <c r="AT542" s="213"/>
      <c r="AU542" s="213"/>
      <c r="AV542" s="213"/>
      <c r="AW542" s="213"/>
      <c r="AX542" s="213"/>
      <c r="AY542" s="213"/>
      <c r="AZ542" s="213"/>
      <c r="BA542" s="213"/>
      <c r="BB542" s="213"/>
      <c r="BC542" s="213"/>
      <c r="BD542" s="213"/>
    </row>
    <row r="543">
      <c r="A543" s="213">
        <f>IFERROR(__xludf.DUMMYFUNCTION("""COMPUTED_VALUE"""),776.0)</f>
        <v>776</v>
      </c>
      <c r="B543" s="213" t="str">
        <f>IFERROR(__xludf.DUMMYFUNCTION("""COMPUTED_VALUE"""),"6049 RICARDO PALMA")</f>
        <v>6049 RICARDO PALMA</v>
      </c>
      <c r="C543" s="213" t="str">
        <f>IFERROR(__xludf.DUMMYFUNCTION("""COMPUTED_VALUE"""),"TALLER SFT DE COMPUTACIÓN E INFORMÁTICA")</f>
        <v>TALLER SFT DE COMPUTACIÓN E INFORMÁTICA</v>
      </c>
      <c r="D543" s="213" t="str">
        <f>IFERROR(__xludf.DUMMYFUNCTION("""COMPUTED_VALUE"""),"TICS")</f>
        <v>TICS</v>
      </c>
      <c r="E543" s="213" t="str">
        <f>IFERROR(__xludf.DUMMYFUNCTION("""COMPUTED_VALUE"""),"TEC-107")</f>
        <v>TEC-107</v>
      </c>
      <c r="F543" s="213" t="str">
        <f>IFERROR(__xludf.DUMMYFUNCTION("""COMPUTED_VALUE"""),"TEC-107-Y")</f>
        <v>TEC-107-Y</v>
      </c>
      <c r="G543" s="213"/>
      <c r="H543" s="213" t="str">
        <f>IFERROR(__xludf.DUMMYFUNCTION("""COMPUTED_VALUE"""),"EQUIPO DE GRABACIÓN PARA REPORTERO")</f>
        <v>EQUIPO DE GRABACIÓN PARA REPORTERO</v>
      </c>
      <c r="I543"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3" s="213">
        <f>IFERROR(__xludf.DUMMYFUNCTION("""COMPUTED_VALUE"""),3.0)</f>
        <v>3</v>
      </c>
      <c r="K543" s="213" t="str">
        <f>IFERROR(__xludf.DUMMYFUNCTION("""COMPUTED_VALUE"""),"170 DÍAS CALENDARIO")</f>
        <v>170 DÍAS CALENDARIO</v>
      </c>
      <c r="L543" s="213" t="str">
        <f>IFERROR(__xludf.DUMMYFUNCTION("""COMPUTED_VALUE"""),"")</f>
        <v/>
      </c>
      <c r="M543" s="213">
        <f>IFERROR(__xludf.DUMMYFUNCTION("""COMPUTED_VALUE"""),1.0)</f>
        <v>1</v>
      </c>
      <c r="N543" s="213">
        <f>IFERROR(__xludf.DUMMYFUNCTION("""COMPUTED_VALUE"""),4.0)</f>
        <v>4</v>
      </c>
      <c r="O543" s="213">
        <f>IFERROR(__xludf.DUMMYFUNCTION("""COMPUTED_VALUE"""),4.0)</f>
        <v>4</v>
      </c>
      <c r="P543" s="213"/>
      <c r="Q543" s="213"/>
      <c r="R543" s="213"/>
      <c r="S543" s="213"/>
      <c r="T543" s="213" t="str">
        <f>IFERROR(__xludf.DUMMYFUNCTION("""COMPUTED_VALUE"""),"SI")</f>
        <v>SI</v>
      </c>
      <c r="U543" s="213" t="str">
        <f>IFERROR(__xludf.DUMMYFUNCTION("""COMPUTED_VALUE"""),"SI")</f>
        <v>SI</v>
      </c>
      <c r="V543" s="213" t="str">
        <f>IFERROR(__xludf.DUMMYFUNCTION("""COMPUTED_VALUE"""),"-")</f>
        <v>-</v>
      </c>
      <c r="W543" s="213" t="str">
        <f>IFERROR(__xludf.DUMMYFUNCTION("""COMPUTED_VALUE"""),"-")</f>
        <v>-</v>
      </c>
      <c r="X543" s="213" t="str">
        <f>IFERROR(__xludf.DUMMYFUNCTION("""COMPUTED_VALUE"""),"Sony")</f>
        <v>Sony</v>
      </c>
      <c r="Y543" s="213" t="str">
        <f>IFERROR(__xludf.DUMMYFUNCTION("""COMPUTED_VALUE"""),"ICD-PX470")</f>
        <v>ICD-PX470</v>
      </c>
      <c r="Z543"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3" s="213" t="str">
        <f>IFERROR(__xludf.DUMMYFUNCTION("""COMPUTED_VALUE"""),"TEC-107-B EQUIPO DE GRABACIÓN PARA REPORTERO - CET")</f>
        <v>TEC-107-B EQUIPO DE GRABACIÓN PARA REPORTERO - CET</v>
      </c>
      <c r="AB543" s="213"/>
      <c r="AC543" s="213"/>
      <c r="AD543" s="213"/>
      <c r="AE543" s="213"/>
      <c r="AF543" s="213"/>
      <c r="AG543" s="213"/>
      <c r="AH543" s="213" t="str">
        <f>IFERROR(__xludf.DUMMYFUNCTION("""COMPUTED_VALUE"""),"NACIONAL")</f>
        <v>NACIONAL</v>
      </c>
      <c r="AI543" s="213"/>
      <c r="AJ543" s="213"/>
      <c r="AK543" s="213"/>
      <c r="AL543" s="213"/>
      <c r="AM543" s="213"/>
      <c r="AN543" s="213"/>
      <c r="AO543" s="213"/>
      <c r="AP543" s="213" t="str">
        <f>IFERROR(__xludf.DUMMYFUNCTION("""COMPUTED_VALUE"""),"NALDI")</f>
        <v>NALDI</v>
      </c>
      <c r="AQ543" s="213"/>
      <c r="AR543" s="213"/>
      <c r="AS543" s="213" t="str">
        <f>IFERROR(__xludf.DUMMYFUNCTION("""COMPUTED_VALUE"""),"Baterías alcalinas LR04 (tamaño AAA)")</f>
        <v>Baterías alcalinas LR04 (tamaño AAA)</v>
      </c>
      <c r="AT543" s="213"/>
      <c r="AU543" s="213"/>
      <c r="AV543" s="213"/>
      <c r="AW543" s="213"/>
      <c r="AX543" s="213"/>
      <c r="AY543" s="213"/>
      <c r="AZ543" s="213"/>
      <c r="BA543" s="213"/>
      <c r="BB543" s="213"/>
      <c r="BC543" s="213"/>
      <c r="BD543" s="213"/>
    </row>
    <row r="544">
      <c r="A544" s="213">
        <f>IFERROR(__xludf.DUMMYFUNCTION("""COMPUTED_VALUE"""),799.0)</f>
        <v>799</v>
      </c>
      <c r="B544" s="213" t="str">
        <f>IFERROR(__xludf.DUMMYFUNCTION("""COMPUTED_VALUE"""),"6049 RICARDO PALMA")</f>
        <v>6049 RICARDO PALMA</v>
      </c>
      <c r="C544" s="213" t="str">
        <f>IFERROR(__xludf.DUMMYFUNCTION("""COMPUTED_VALUE"""),"TALLER SFT DE COMPUTACIÓN E INFORMÁTICA")</f>
        <v>TALLER SFT DE COMPUTACIÓN E INFORMÁTICA</v>
      </c>
      <c r="D544" s="213" t="str">
        <f>IFERROR(__xludf.DUMMYFUNCTION("""COMPUTED_VALUE"""),"TICS")</f>
        <v>TICS</v>
      </c>
      <c r="E544" s="213" t="str">
        <f>IFERROR(__xludf.DUMMYFUNCTION("""COMPUTED_VALUE"""),"TEC-107")</f>
        <v>TEC-107</v>
      </c>
      <c r="F544" s="213" t="str">
        <f>IFERROR(__xludf.DUMMYFUNCTION("""COMPUTED_VALUE"""),"TEC-107-Y")</f>
        <v>TEC-107-Y</v>
      </c>
      <c r="G544" s="213"/>
      <c r="H544" s="213" t="str">
        <f>IFERROR(__xludf.DUMMYFUNCTION("""COMPUTED_VALUE"""),"EQUIPO DE GRABACIÓN PARA REPORTERO")</f>
        <v>EQUIPO DE GRABACIÓN PARA REPORTERO</v>
      </c>
      <c r="I544"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4" s="213">
        <f>IFERROR(__xludf.DUMMYFUNCTION("""COMPUTED_VALUE"""),3.0)</f>
        <v>3</v>
      </c>
      <c r="K544" s="213" t="str">
        <f>IFERROR(__xludf.DUMMYFUNCTION("""COMPUTED_VALUE"""),"170 DÍAS CALENDARIO")</f>
        <v>170 DÍAS CALENDARIO</v>
      </c>
      <c r="L544" s="213" t="str">
        <f>IFERROR(__xludf.DUMMYFUNCTION("""COMPUTED_VALUE"""),"")</f>
        <v/>
      </c>
      <c r="M544" s="213">
        <f>IFERROR(__xludf.DUMMYFUNCTION("""COMPUTED_VALUE"""),1.0)</f>
        <v>1</v>
      </c>
      <c r="N544" s="213">
        <f>IFERROR(__xludf.DUMMYFUNCTION("""COMPUTED_VALUE"""),4.0)</f>
        <v>4</v>
      </c>
      <c r="O544" s="213">
        <f>IFERROR(__xludf.DUMMYFUNCTION("""COMPUTED_VALUE"""),4.0)</f>
        <v>4</v>
      </c>
      <c r="P544" s="213"/>
      <c r="Q544" s="213"/>
      <c r="R544" s="213"/>
      <c r="S544" s="213"/>
      <c r="T544" s="213" t="str">
        <f>IFERROR(__xludf.DUMMYFUNCTION("""COMPUTED_VALUE"""),"SI")</f>
        <v>SI</v>
      </c>
      <c r="U544" s="213" t="str">
        <f>IFERROR(__xludf.DUMMYFUNCTION("""COMPUTED_VALUE"""),"SI")</f>
        <v>SI</v>
      </c>
      <c r="V544" s="213" t="str">
        <f>IFERROR(__xludf.DUMMYFUNCTION("""COMPUTED_VALUE"""),"-")</f>
        <v>-</v>
      </c>
      <c r="W544" s="213" t="str">
        <f>IFERROR(__xludf.DUMMYFUNCTION("""COMPUTED_VALUE"""),"-")</f>
        <v>-</v>
      </c>
      <c r="X544" s="213" t="str">
        <f>IFERROR(__xludf.DUMMYFUNCTION("""COMPUTED_VALUE"""),"Sony")</f>
        <v>Sony</v>
      </c>
      <c r="Y544" s="213" t="str">
        <f>IFERROR(__xludf.DUMMYFUNCTION("""COMPUTED_VALUE"""),"ICD-PX470")</f>
        <v>ICD-PX470</v>
      </c>
      <c r="Z544"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4" s="213" t="str">
        <f>IFERROR(__xludf.DUMMYFUNCTION("""COMPUTED_VALUE"""),"TEC-107-B EQUIPO DE GRABACIÓN PARA REPORTERO - CET")</f>
        <v>TEC-107-B EQUIPO DE GRABACIÓN PARA REPORTERO - CET</v>
      </c>
      <c r="AB544" s="213"/>
      <c r="AC544" s="213"/>
      <c r="AD544" s="213"/>
      <c r="AE544" s="213"/>
      <c r="AF544" s="213"/>
      <c r="AG544" s="213"/>
      <c r="AH544" s="213" t="str">
        <f>IFERROR(__xludf.DUMMYFUNCTION("""COMPUTED_VALUE"""),"NACIONAL")</f>
        <v>NACIONAL</v>
      </c>
      <c r="AI544" s="213"/>
      <c r="AJ544" s="213"/>
      <c r="AK544" s="213"/>
      <c r="AL544" s="213"/>
      <c r="AM544" s="213"/>
      <c r="AN544" s="213"/>
      <c r="AO544" s="213"/>
      <c r="AP544" s="213" t="str">
        <f>IFERROR(__xludf.DUMMYFUNCTION("""COMPUTED_VALUE"""),"NALDI")</f>
        <v>NALDI</v>
      </c>
      <c r="AQ544" s="213"/>
      <c r="AR544" s="213"/>
      <c r="AS544" s="213" t="str">
        <f>IFERROR(__xludf.DUMMYFUNCTION("""COMPUTED_VALUE"""),"Baterías alcalinas LR04 (tamaño AAA)")</f>
        <v>Baterías alcalinas LR04 (tamaño AAA)</v>
      </c>
      <c r="AT544" s="213"/>
      <c r="AU544" s="213"/>
      <c r="AV544" s="213"/>
      <c r="AW544" s="213"/>
      <c r="AX544" s="213"/>
      <c r="AY544" s="213"/>
      <c r="AZ544" s="213"/>
      <c r="BA544" s="213"/>
      <c r="BB544" s="213"/>
      <c r="BC544" s="213"/>
      <c r="BD544" s="213"/>
    </row>
    <row r="545">
      <c r="A545" s="213">
        <f>IFERROR(__xludf.DUMMYFUNCTION("""COMPUTED_VALUE"""),856.0)</f>
        <v>856</v>
      </c>
      <c r="B545" s="213" t="str">
        <f>IFERROR(__xludf.DUMMYFUNCTION("""COMPUTED_VALUE"""),"6049 RICARDO PALMA")</f>
        <v>6049 RICARDO PALMA</v>
      </c>
      <c r="C545" s="213" t="str">
        <f>IFERROR(__xludf.DUMMYFUNCTION("""COMPUTED_VALUE"""),"TALLER SFT DE ELECTRICIDAD")</f>
        <v>TALLER SFT DE ELECTRICIDAD</v>
      </c>
      <c r="D545" s="213" t="str">
        <f>IFERROR(__xludf.DUMMYFUNCTION("""COMPUTED_VALUE"""),"TICS")</f>
        <v>TICS</v>
      </c>
      <c r="E545" s="213" t="str">
        <f>IFERROR(__xludf.DUMMYFUNCTION("""COMPUTED_VALUE"""),"TEC-107")</f>
        <v>TEC-107</v>
      </c>
      <c r="F545" s="213" t="str">
        <f>IFERROR(__xludf.DUMMYFUNCTION("""COMPUTED_VALUE"""),"TEC-107-X")</f>
        <v>TEC-107-X</v>
      </c>
      <c r="G545" s="213"/>
      <c r="H545" s="213" t="str">
        <f>IFERROR(__xludf.DUMMYFUNCTION("""COMPUTED_VALUE"""),"EQUIPO DE GRABACIÓN PARA REPORTERO")</f>
        <v>EQUIPO DE GRABACIÓN PARA REPORTERO</v>
      </c>
      <c r="I545"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5" s="213">
        <f>IFERROR(__xludf.DUMMYFUNCTION("""COMPUTED_VALUE"""),3.0)</f>
        <v>3</v>
      </c>
      <c r="K545" s="213" t="str">
        <f>IFERROR(__xludf.DUMMYFUNCTION("""COMPUTED_VALUE"""),"170 DÍAS CALENDARIO")</f>
        <v>170 DÍAS CALENDARIO</v>
      </c>
      <c r="L545"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45" s="213">
        <f>IFERROR(__xludf.DUMMYFUNCTION("""COMPUTED_VALUE"""),1.0)</f>
        <v>1</v>
      </c>
      <c r="N545" s="213">
        <f>IFERROR(__xludf.DUMMYFUNCTION("""COMPUTED_VALUE"""),4.0)</f>
        <v>4</v>
      </c>
      <c r="O545" s="213">
        <f>IFERROR(__xludf.DUMMYFUNCTION("""COMPUTED_VALUE"""),4.0)</f>
        <v>4</v>
      </c>
      <c r="P545" s="213"/>
      <c r="Q545" s="213"/>
      <c r="R545" s="213"/>
      <c r="S545" s="213"/>
      <c r="T545" s="213" t="str">
        <f>IFERROR(__xludf.DUMMYFUNCTION("""COMPUTED_VALUE"""),"SI")</f>
        <v>SI</v>
      </c>
      <c r="U545" s="213" t="str">
        <f>IFERROR(__xludf.DUMMYFUNCTION("""COMPUTED_VALUE"""),"SI")</f>
        <v>SI</v>
      </c>
      <c r="V545" s="213" t="str">
        <f>IFERROR(__xludf.DUMMYFUNCTION("""COMPUTED_VALUE"""),"-")</f>
        <v>-</v>
      </c>
      <c r="W545" s="213" t="str">
        <f>IFERROR(__xludf.DUMMYFUNCTION("""COMPUTED_VALUE"""),"-")</f>
        <v>-</v>
      </c>
      <c r="X545" s="213" t="str">
        <f>IFERROR(__xludf.DUMMYFUNCTION("""COMPUTED_VALUE"""),"Sony")</f>
        <v>Sony</v>
      </c>
      <c r="Y545" s="213" t="str">
        <f>IFERROR(__xludf.DUMMYFUNCTION("""COMPUTED_VALUE"""),"ICD-PX470")</f>
        <v>ICD-PX470</v>
      </c>
      <c r="Z545"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5" s="213" t="str">
        <f>IFERROR(__xludf.DUMMYFUNCTION("""COMPUTED_VALUE"""),"TEC-107-A EQUIPO DE GRABACIÓN PARA REPORTERO - CET")</f>
        <v>TEC-107-A EQUIPO DE GRABACIÓN PARA REPORTERO - CET</v>
      </c>
      <c r="AB545" s="213"/>
      <c r="AC545" s="213"/>
      <c r="AD545" s="213"/>
      <c r="AE545" s="213"/>
      <c r="AF545" s="213"/>
      <c r="AG545" s="213"/>
      <c r="AH545" s="213" t="str">
        <f>IFERROR(__xludf.DUMMYFUNCTION("""COMPUTED_VALUE"""),"NACIONAL")</f>
        <v>NACIONAL</v>
      </c>
      <c r="AI545" s="213"/>
      <c r="AJ545" s="213"/>
      <c r="AK545" s="213"/>
      <c r="AL545" s="213"/>
      <c r="AM545" s="213"/>
      <c r="AN545" s="213"/>
      <c r="AO545" s="213"/>
      <c r="AP545" s="213" t="str">
        <f>IFERROR(__xludf.DUMMYFUNCTION("""COMPUTED_VALUE"""),"NALDI")</f>
        <v>NALDI</v>
      </c>
      <c r="AQ545" s="213"/>
      <c r="AR545" s="213"/>
      <c r="AS545" s="213" t="str">
        <f>IFERROR(__xludf.DUMMYFUNCTION("""COMPUTED_VALUE"""),"Baterías alcalinas LR04 (tamaño AAA)")</f>
        <v>Baterías alcalinas LR04 (tamaño AAA)</v>
      </c>
      <c r="AT545" s="213"/>
      <c r="AU545" s="213"/>
      <c r="AV545" s="213"/>
      <c r="AW545" s="213"/>
      <c r="AX545" s="213"/>
      <c r="AY545" s="213"/>
      <c r="AZ545" s="213"/>
      <c r="BA545" s="213"/>
      <c r="BB545" s="213"/>
      <c r="BC545" s="213"/>
      <c r="BD545" s="213"/>
    </row>
    <row r="546">
      <c r="A546" s="213">
        <f>IFERROR(__xludf.DUMMYFUNCTION("""COMPUTED_VALUE"""),1001.0)</f>
        <v>1001</v>
      </c>
      <c r="B546" s="213" t="str">
        <f>IFERROR(__xludf.DUMMYFUNCTION("""COMPUTED_VALUE"""),"FRANCISCO IRAZOLA")</f>
        <v>FRANCISCO IRAZOLA</v>
      </c>
      <c r="C546" s="213" t="str">
        <f>IFERROR(__xludf.DUMMYFUNCTION("""COMPUTED_VALUE"""),"TALLER SFT DE MECÁNICA AUTOMOTRIZ")</f>
        <v>TALLER SFT DE MECÁNICA AUTOMOTRIZ</v>
      </c>
      <c r="D546" s="213" t="str">
        <f>IFERROR(__xludf.DUMMYFUNCTION("""COMPUTED_VALUE"""),"TICS")</f>
        <v>TICS</v>
      </c>
      <c r="E546" s="213" t="str">
        <f>IFERROR(__xludf.DUMMYFUNCTION("""COMPUTED_VALUE"""),"TEC-107")</f>
        <v>TEC-107</v>
      </c>
      <c r="F546" s="213" t="str">
        <f>IFERROR(__xludf.DUMMYFUNCTION("""COMPUTED_VALUE"""),"TEC-107-X")</f>
        <v>TEC-107-X</v>
      </c>
      <c r="G546" s="213"/>
      <c r="H546" s="213" t="str">
        <f>IFERROR(__xludf.DUMMYFUNCTION("""COMPUTED_VALUE"""),"EQUIPO DE GRABACIÓN PARA REPORTERO")</f>
        <v>EQUIPO DE GRABACIÓN PARA REPORTERO</v>
      </c>
      <c r="I546"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6" s="213">
        <f>IFERROR(__xludf.DUMMYFUNCTION("""COMPUTED_VALUE"""),3.0)</f>
        <v>3</v>
      </c>
      <c r="K546" s="213" t="str">
        <f>IFERROR(__xludf.DUMMYFUNCTION("""COMPUTED_VALUE"""),"170 DÍAS CALENDARIO")</f>
        <v>170 DÍAS CALENDARIO</v>
      </c>
      <c r="L546"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46" s="213">
        <f>IFERROR(__xludf.DUMMYFUNCTION("""COMPUTED_VALUE"""),1.0)</f>
        <v>1</v>
      </c>
      <c r="N546" s="213">
        <f>IFERROR(__xludf.DUMMYFUNCTION("""COMPUTED_VALUE"""),4.0)</f>
        <v>4</v>
      </c>
      <c r="O546" s="213">
        <f>IFERROR(__xludf.DUMMYFUNCTION("""COMPUTED_VALUE"""),4.0)</f>
        <v>4</v>
      </c>
      <c r="P546" s="213"/>
      <c r="Q546" s="213"/>
      <c r="R546" s="213"/>
      <c r="S546" s="213"/>
      <c r="T546" s="213" t="str">
        <f>IFERROR(__xludf.DUMMYFUNCTION("""COMPUTED_VALUE"""),"SI")</f>
        <v>SI</v>
      </c>
      <c r="U546" s="213" t="str">
        <f>IFERROR(__xludf.DUMMYFUNCTION("""COMPUTED_VALUE"""),"SI")</f>
        <v>SI</v>
      </c>
      <c r="V546" s="213" t="str">
        <f>IFERROR(__xludf.DUMMYFUNCTION("""COMPUTED_VALUE"""),"-")</f>
        <v>-</v>
      </c>
      <c r="W546" s="213" t="str">
        <f>IFERROR(__xludf.DUMMYFUNCTION("""COMPUTED_VALUE"""),"-")</f>
        <v>-</v>
      </c>
      <c r="X546" s="213" t="str">
        <f>IFERROR(__xludf.DUMMYFUNCTION("""COMPUTED_VALUE"""),"Sony")</f>
        <v>Sony</v>
      </c>
      <c r="Y546" s="213" t="str">
        <f>IFERROR(__xludf.DUMMYFUNCTION("""COMPUTED_VALUE"""),"ICD-PX470")</f>
        <v>ICD-PX470</v>
      </c>
      <c r="Z546"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6" s="213" t="str">
        <f>IFERROR(__xludf.DUMMYFUNCTION("""COMPUTED_VALUE"""),"TEC-107-A EQUIPO DE GRABACIÓN PARA REPORTERO - CET")</f>
        <v>TEC-107-A EQUIPO DE GRABACIÓN PARA REPORTERO - CET</v>
      </c>
      <c r="AB546" s="213"/>
      <c r="AC546" s="213"/>
      <c r="AD546" s="213"/>
      <c r="AE546" s="213"/>
      <c r="AF546" s="213"/>
      <c r="AG546" s="213"/>
      <c r="AH546" s="213" t="str">
        <f>IFERROR(__xludf.DUMMYFUNCTION("""COMPUTED_VALUE"""),"NACIONAL")</f>
        <v>NACIONAL</v>
      </c>
      <c r="AI546" s="213"/>
      <c r="AJ546" s="213"/>
      <c r="AK546" s="213"/>
      <c r="AL546" s="213"/>
      <c r="AM546" s="213"/>
      <c r="AN546" s="213"/>
      <c r="AO546" s="213"/>
      <c r="AP546" s="213" t="str">
        <f>IFERROR(__xludf.DUMMYFUNCTION("""COMPUTED_VALUE"""),"NALDI")</f>
        <v>NALDI</v>
      </c>
      <c r="AQ546" s="213"/>
      <c r="AR546" s="213"/>
      <c r="AS546" s="213" t="str">
        <f>IFERROR(__xludf.DUMMYFUNCTION("""COMPUTED_VALUE"""),"Baterías alcalinas LR04 (tamaño AAA)")</f>
        <v>Baterías alcalinas LR04 (tamaño AAA)</v>
      </c>
      <c r="AT546" s="213"/>
      <c r="AU546" s="213"/>
      <c r="AV546" s="213"/>
      <c r="AW546" s="213"/>
      <c r="AX546" s="213"/>
      <c r="AY546" s="213"/>
      <c r="AZ546" s="213"/>
      <c r="BA546" s="213"/>
      <c r="BB546" s="213"/>
      <c r="BC546" s="213"/>
      <c r="BD546" s="213"/>
    </row>
    <row r="547">
      <c r="A547" s="213">
        <f>IFERROR(__xludf.DUMMYFUNCTION("""COMPUTED_VALUE"""),1233.0)</f>
        <v>1233</v>
      </c>
      <c r="B547" s="213" t="str">
        <f>IFERROR(__xludf.DUMMYFUNCTION("""COMPUTED_VALUE"""),"FRANCISCO IRAZOLA")</f>
        <v>FRANCISCO IRAZOLA</v>
      </c>
      <c r="C547" s="213" t="str">
        <f>IFERROR(__xludf.DUMMYFUNCTION("""COMPUTED_VALUE"""),"TALLER SFT DE INDUSTRIA ALIMENTARIA")</f>
        <v>TALLER SFT DE INDUSTRIA ALIMENTARIA</v>
      </c>
      <c r="D547" s="213" t="str">
        <f>IFERROR(__xludf.DUMMYFUNCTION("""COMPUTED_VALUE"""),"TICS")</f>
        <v>TICS</v>
      </c>
      <c r="E547" s="213" t="str">
        <f>IFERROR(__xludf.DUMMYFUNCTION("""COMPUTED_VALUE"""),"TEC-107")</f>
        <v>TEC-107</v>
      </c>
      <c r="F547" s="213" t="str">
        <f>IFERROR(__xludf.DUMMYFUNCTION("""COMPUTED_VALUE"""),"TEC-107-X")</f>
        <v>TEC-107-X</v>
      </c>
      <c r="G547" s="213"/>
      <c r="H547" s="213" t="str">
        <f>IFERROR(__xludf.DUMMYFUNCTION("""COMPUTED_VALUE"""),"EQUIPO DE GRABACIÓN PARA REPORTERO")</f>
        <v>EQUIPO DE GRABACIÓN PARA REPORTERO</v>
      </c>
      <c r="I547"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7" s="213">
        <f>IFERROR(__xludf.DUMMYFUNCTION("""COMPUTED_VALUE"""),3.0)</f>
        <v>3</v>
      </c>
      <c r="K547" s="213" t="str">
        <f>IFERROR(__xludf.DUMMYFUNCTION("""COMPUTED_VALUE"""),"170 DÍAS CALENDARIO")</f>
        <v>170 DÍAS CALENDARIO</v>
      </c>
      <c r="L547"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47" s="213">
        <f>IFERROR(__xludf.DUMMYFUNCTION("""COMPUTED_VALUE"""),1.0)</f>
        <v>1</v>
      </c>
      <c r="N547" s="213">
        <f>IFERROR(__xludf.DUMMYFUNCTION("""COMPUTED_VALUE"""),4.0)</f>
        <v>4</v>
      </c>
      <c r="O547" s="213">
        <f>IFERROR(__xludf.DUMMYFUNCTION("""COMPUTED_VALUE"""),4.0)</f>
        <v>4</v>
      </c>
      <c r="P547" s="213"/>
      <c r="Q547" s="213"/>
      <c r="R547" s="213"/>
      <c r="S547" s="213"/>
      <c r="T547" s="213" t="str">
        <f>IFERROR(__xludf.DUMMYFUNCTION("""COMPUTED_VALUE"""),"SI")</f>
        <v>SI</v>
      </c>
      <c r="U547" s="213" t="str">
        <f>IFERROR(__xludf.DUMMYFUNCTION("""COMPUTED_VALUE"""),"SI")</f>
        <v>SI</v>
      </c>
      <c r="V547" s="213" t="str">
        <f>IFERROR(__xludf.DUMMYFUNCTION("""COMPUTED_VALUE"""),"-")</f>
        <v>-</v>
      </c>
      <c r="W547" s="213" t="str">
        <f>IFERROR(__xludf.DUMMYFUNCTION("""COMPUTED_VALUE"""),"-")</f>
        <v>-</v>
      </c>
      <c r="X547" s="213" t="str">
        <f>IFERROR(__xludf.DUMMYFUNCTION("""COMPUTED_VALUE"""),"Sony")</f>
        <v>Sony</v>
      </c>
      <c r="Y547" s="213" t="str">
        <f>IFERROR(__xludf.DUMMYFUNCTION("""COMPUTED_VALUE"""),"ICD-PX470")</f>
        <v>ICD-PX470</v>
      </c>
      <c r="Z547"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7" s="213" t="str">
        <f>IFERROR(__xludf.DUMMYFUNCTION("""COMPUTED_VALUE"""),"TEC-107-A EQUIPO DE GRABACIÓN PARA REPORTERO - CET")</f>
        <v>TEC-107-A EQUIPO DE GRABACIÓN PARA REPORTERO - CET</v>
      </c>
      <c r="AB547" s="213"/>
      <c r="AC547" s="213"/>
      <c r="AD547" s="213"/>
      <c r="AE547" s="213"/>
      <c r="AF547" s="213"/>
      <c r="AG547" s="213"/>
      <c r="AH547" s="213" t="str">
        <f>IFERROR(__xludf.DUMMYFUNCTION("""COMPUTED_VALUE"""),"NACIONAL")</f>
        <v>NACIONAL</v>
      </c>
      <c r="AI547" s="213"/>
      <c r="AJ547" s="213"/>
      <c r="AK547" s="213"/>
      <c r="AL547" s="213"/>
      <c r="AM547" s="213"/>
      <c r="AN547" s="213"/>
      <c r="AO547" s="213"/>
      <c r="AP547" s="213" t="str">
        <f>IFERROR(__xludf.DUMMYFUNCTION("""COMPUTED_VALUE"""),"NALDI")</f>
        <v>NALDI</v>
      </c>
      <c r="AQ547" s="213"/>
      <c r="AR547" s="213"/>
      <c r="AS547" s="213" t="str">
        <f>IFERROR(__xludf.DUMMYFUNCTION("""COMPUTED_VALUE"""),"Baterías alcalinas LR04 (tamaño AAA)")</f>
        <v>Baterías alcalinas LR04 (tamaño AAA)</v>
      </c>
      <c r="AT547" s="213"/>
      <c r="AU547" s="213"/>
      <c r="AV547" s="213"/>
      <c r="AW547" s="213"/>
      <c r="AX547" s="213"/>
      <c r="AY547" s="213"/>
      <c r="AZ547" s="213"/>
      <c r="BA547" s="213"/>
      <c r="BB547" s="213"/>
      <c r="BC547" s="213"/>
      <c r="BD547" s="213"/>
    </row>
    <row r="548">
      <c r="A548" s="213">
        <f>IFERROR(__xludf.DUMMYFUNCTION("""COMPUTED_VALUE"""),1278.0)</f>
        <v>1278</v>
      </c>
      <c r="B548" s="213" t="str">
        <f>IFERROR(__xludf.DUMMYFUNCTION("""COMPUTED_VALUE"""),"GUILLERMO E. BILLINGHURST ")</f>
        <v>GUILLERMO E. BILLINGHURST </v>
      </c>
      <c r="C548" s="213" t="str">
        <f>IFERROR(__xludf.DUMMYFUNCTION("""COMPUTED_VALUE"""),"TALLER SFT DE ELECTRICIDAD")</f>
        <v>TALLER SFT DE ELECTRICIDAD</v>
      </c>
      <c r="D548" s="213" t="str">
        <f>IFERROR(__xludf.DUMMYFUNCTION("""COMPUTED_VALUE"""),"TICS")</f>
        <v>TICS</v>
      </c>
      <c r="E548" s="213" t="str">
        <f>IFERROR(__xludf.DUMMYFUNCTION("""COMPUTED_VALUE"""),"TEC-107")</f>
        <v>TEC-107</v>
      </c>
      <c r="F548" s="213" t="str">
        <f>IFERROR(__xludf.DUMMYFUNCTION("""COMPUTED_VALUE"""),"TEC-107-X")</f>
        <v>TEC-107-X</v>
      </c>
      <c r="G548" s="213"/>
      <c r="H548" s="213" t="str">
        <f>IFERROR(__xludf.DUMMYFUNCTION("""COMPUTED_VALUE"""),"EQUIPO DE GRABACIÓN PARA REPORTERO")</f>
        <v>EQUIPO DE GRABACIÓN PARA REPORTERO</v>
      </c>
      <c r="I548"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8" s="213">
        <f>IFERROR(__xludf.DUMMYFUNCTION("""COMPUTED_VALUE"""),3.0)</f>
        <v>3</v>
      </c>
      <c r="K548" s="213" t="str">
        <f>IFERROR(__xludf.DUMMYFUNCTION("""COMPUTED_VALUE"""),"170 DÍAS CALENDARIO")</f>
        <v>170 DÍAS CALENDARIO</v>
      </c>
      <c r="L548"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48" s="213">
        <f>IFERROR(__xludf.DUMMYFUNCTION("""COMPUTED_VALUE"""),1.0)</f>
        <v>1</v>
      </c>
      <c r="N548" s="213">
        <f>IFERROR(__xludf.DUMMYFUNCTION("""COMPUTED_VALUE"""),4.0)</f>
        <v>4</v>
      </c>
      <c r="O548" s="213">
        <f>IFERROR(__xludf.DUMMYFUNCTION("""COMPUTED_VALUE"""),4.0)</f>
        <v>4</v>
      </c>
      <c r="P548" s="213"/>
      <c r="Q548" s="213"/>
      <c r="R548" s="213"/>
      <c r="S548" s="213"/>
      <c r="T548" s="213" t="str">
        <f>IFERROR(__xludf.DUMMYFUNCTION("""COMPUTED_VALUE"""),"SI")</f>
        <v>SI</v>
      </c>
      <c r="U548" s="213" t="str">
        <f>IFERROR(__xludf.DUMMYFUNCTION("""COMPUTED_VALUE"""),"SI")</f>
        <v>SI</v>
      </c>
      <c r="V548" s="213" t="str">
        <f>IFERROR(__xludf.DUMMYFUNCTION("""COMPUTED_VALUE"""),"-")</f>
        <v>-</v>
      </c>
      <c r="W548" s="213" t="str">
        <f>IFERROR(__xludf.DUMMYFUNCTION("""COMPUTED_VALUE"""),"-")</f>
        <v>-</v>
      </c>
      <c r="X548" s="213" t="str">
        <f>IFERROR(__xludf.DUMMYFUNCTION("""COMPUTED_VALUE"""),"Sony")</f>
        <v>Sony</v>
      </c>
      <c r="Y548" s="213" t="str">
        <f>IFERROR(__xludf.DUMMYFUNCTION("""COMPUTED_VALUE"""),"ICD-PX470")</f>
        <v>ICD-PX470</v>
      </c>
      <c r="Z548"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8" s="213" t="str">
        <f>IFERROR(__xludf.DUMMYFUNCTION("""COMPUTED_VALUE"""),"TEC-107-A EQUIPO DE GRABACIÓN PARA REPORTERO - CET")</f>
        <v>TEC-107-A EQUIPO DE GRABACIÓN PARA REPORTERO - CET</v>
      </c>
      <c r="AB548" s="213"/>
      <c r="AC548" s="213"/>
      <c r="AD548" s="213"/>
      <c r="AE548" s="213"/>
      <c r="AF548" s="213"/>
      <c r="AG548" s="213"/>
      <c r="AH548" s="213" t="str">
        <f>IFERROR(__xludf.DUMMYFUNCTION("""COMPUTED_VALUE"""),"NACIONAL")</f>
        <v>NACIONAL</v>
      </c>
      <c r="AI548" s="213"/>
      <c r="AJ548" s="213"/>
      <c r="AK548" s="213"/>
      <c r="AL548" s="213"/>
      <c r="AM548" s="213"/>
      <c r="AN548" s="213"/>
      <c r="AO548" s="213"/>
      <c r="AP548" s="213" t="str">
        <f>IFERROR(__xludf.DUMMYFUNCTION("""COMPUTED_VALUE"""),"NALDI")</f>
        <v>NALDI</v>
      </c>
      <c r="AQ548" s="213"/>
      <c r="AR548" s="213"/>
      <c r="AS548" s="213" t="str">
        <f>IFERROR(__xludf.DUMMYFUNCTION("""COMPUTED_VALUE"""),"Baterías alcalinas LR04 (tamaño AAA)")</f>
        <v>Baterías alcalinas LR04 (tamaño AAA)</v>
      </c>
      <c r="AT548" s="213"/>
      <c r="AU548" s="213"/>
      <c r="AV548" s="213"/>
      <c r="AW548" s="213"/>
      <c r="AX548" s="213"/>
      <c r="AY548" s="213"/>
      <c r="AZ548" s="213"/>
      <c r="BA548" s="213"/>
      <c r="BB548" s="213"/>
      <c r="BC548" s="213"/>
      <c r="BD548" s="213"/>
    </row>
    <row r="549">
      <c r="A549" s="213">
        <f>IFERROR(__xludf.DUMMYFUNCTION("""COMPUTED_VALUE"""),1606.0)</f>
        <v>1606</v>
      </c>
      <c r="B549" s="213" t="str">
        <f>IFERROR(__xludf.DUMMYFUNCTION("""COMPUTED_VALUE"""),"GUILLERMO E. BILLINGHURST ")</f>
        <v>GUILLERMO E. BILLINGHURST </v>
      </c>
      <c r="C549" s="213" t="str">
        <f>IFERROR(__xludf.DUMMYFUNCTION("""COMPUTED_VALUE"""),"TALLER SFT DE MECÁNICA AUTOMOTRIZ")</f>
        <v>TALLER SFT DE MECÁNICA AUTOMOTRIZ</v>
      </c>
      <c r="D549" s="213" t="str">
        <f>IFERROR(__xludf.DUMMYFUNCTION("""COMPUTED_VALUE"""),"TICS")</f>
        <v>TICS</v>
      </c>
      <c r="E549" s="213" t="str">
        <f>IFERROR(__xludf.DUMMYFUNCTION("""COMPUTED_VALUE"""),"TEC-107")</f>
        <v>TEC-107</v>
      </c>
      <c r="F549" s="213" t="str">
        <f>IFERROR(__xludf.DUMMYFUNCTION("""COMPUTED_VALUE"""),"TEC-107-X")</f>
        <v>TEC-107-X</v>
      </c>
      <c r="G549" s="213"/>
      <c r="H549" s="213" t="str">
        <f>IFERROR(__xludf.DUMMYFUNCTION("""COMPUTED_VALUE"""),"EQUIPO DE GRABACIÓN PARA REPORTERO")</f>
        <v>EQUIPO DE GRABACIÓN PARA REPORTERO</v>
      </c>
      <c r="I549"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49" s="213">
        <f>IFERROR(__xludf.DUMMYFUNCTION("""COMPUTED_VALUE"""),3.0)</f>
        <v>3</v>
      </c>
      <c r="K549" s="213" t="str">
        <f>IFERROR(__xludf.DUMMYFUNCTION("""COMPUTED_VALUE"""),"170 DÍAS CALENDARIO")</f>
        <v>170 DÍAS CALENDARIO</v>
      </c>
      <c r="L549"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49" s="213">
        <f>IFERROR(__xludf.DUMMYFUNCTION("""COMPUTED_VALUE"""),1.0)</f>
        <v>1</v>
      </c>
      <c r="N549" s="213">
        <f>IFERROR(__xludf.DUMMYFUNCTION("""COMPUTED_VALUE"""),4.0)</f>
        <v>4</v>
      </c>
      <c r="O549" s="213">
        <f>IFERROR(__xludf.DUMMYFUNCTION("""COMPUTED_VALUE"""),4.0)</f>
        <v>4</v>
      </c>
      <c r="P549" s="213"/>
      <c r="Q549" s="213"/>
      <c r="R549" s="213"/>
      <c r="S549" s="213"/>
      <c r="T549" s="213" t="str">
        <f>IFERROR(__xludf.DUMMYFUNCTION("""COMPUTED_VALUE"""),"SI")</f>
        <v>SI</v>
      </c>
      <c r="U549" s="213" t="str">
        <f>IFERROR(__xludf.DUMMYFUNCTION("""COMPUTED_VALUE"""),"SI")</f>
        <v>SI</v>
      </c>
      <c r="V549" s="213" t="str">
        <f>IFERROR(__xludf.DUMMYFUNCTION("""COMPUTED_VALUE"""),"-")</f>
        <v>-</v>
      </c>
      <c r="W549" s="213" t="str">
        <f>IFERROR(__xludf.DUMMYFUNCTION("""COMPUTED_VALUE"""),"-")</f>
        <v>-</v>
      </c>
      <c r="X549" s="213" t="str">
        <f>IFERROR(__xludf.DUMMYFUNCTION("""COMPUTED_VALUE"""),"Sony")</f>
        <v>Sony</v>
      </c>
      <c r="Y549" s="213" t="str">
        <f>IFERROR(__xludf.DUMMYFUNCTION("""COMPUTED_VALUE"""),"ICD-PX470")</f>
        <v>ICD-PX470</v>
      </c>
      <c r="Z549"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49" s="213" t="str">
        <f>IFERROR(__xludf.DUMMYFUNCTION("""COMPUTED_VALUE"""),"TEC-107-A EQUIPO DE GRABACIÓN PARA REPORTERO - CET")</f>
        <v>TEC-107-A EQUIPO DE GRABACIÓN PARA REPORTERO - CET</v>
      </c>
      <c r="AB549" s="213"/>
      <c r="AC549" s="213"/>
      <c r="AD549" s="213"/>
      <c r="AE549" s="213"/>
      <c r="AF549" s="213"/>
      <c r="AG549" s="213"/>
      <c r="AH549" s="213" t="str">
        <f>IFERROR(__xludf.DUMMYFUNCTION("""COMPUTED_VALUE"""),"NACIONAL")</f>
        <v>NACIONAL</v>
      </c>
      <c r="AI549" s="213"/>
      <c r="AJ549" s="213"/>
      <c r="AK549" s="213"/>
      <c r="AL549" s="213"/>
      <c r="AM549" s="213"/>
      <c r="AN549" s="213"/>
      <c r="AO549" s="213"/>
      <c r="AP549" s="213" t="str">
        <f>IFERROR(__xludf.DUMMYFUNCTION("""COMPUTED_VALUE"""),"NALDI")</f>
        <v>NALDI</v>
      </c>
      <c r="AQ549" s="213"/>
      <c r="AR549" s="213"/>
      <c r="AS549" s="213" t="str">
        <f>IFERROR(__xludf.DUMMYFUNCTION("""COMPUTED_VALUE"""),"Baterías alcalinas LR04 (tamaño AAA)")</f>
        <v>Baterías alcalinas LR04 (tamaño AAA)</v>
      </c>
      <c r="AT549" s="213"/>
      <c r="AU549" s="213"/>
      <c r="AV549" s="213"/>
      <c r="AW549" s="213"/>
      <c r="AX549" s="213"/>
      <c r="AY549" s="213"/>
      <c r="AZ549" s="213"/>
      <c r="BA549" s="213"/>
      <c r="BB549" s="213"/>
      <c r="BC549" s="213"/>
      <c r="BD549" s="213"/>
    </row>
    <row r="550">
      <c r="A550" s="213">
        <f>IFERROR(__xludf.DUMMYFUNCTION("""COMPUTED_VALUE"""),1714.0)</f>
        <v>1714</v>
      </c>
      <c r="B550" s="213" t="str">
        <f>IFERROR(__xludf.DUMMYFUNCTION("""COMPUTED_VALUE"""),"GUILLERMO E. BILLINGHURST ")</f>
        <v>GUILLERMO E. BILLINGHURST </v>
      </c>
      <c r="C550" s="213" t="str">
        <f>IFERROR(__xludf.DUMMYFUNCTION("""COMPUTED_VALUE"""),"TALLER SFT DE COMPUTACIÓN E INFORMÁTICA")</f>
        <v>TALLER SFT DE COMPUTACIÓN E INFORMÁTICA</v>
      </c>
      <c r="D550" s="213" t="str">
        <f>IFERROR(__xludf.DUMMYFUNCTION("""COMPUTED_VALUE"""),"TICS")</f>
        <v>TICS</v>
      </c>
      <c r="E550" s="213" t="str">
        <f>IFERROR(__xludf.DUMMYFUNCTION("""COMPUTED_VALUE"""),"TEC-107")</f>
        <v>TEC-107</v>
      </c>
      <c r="F550" s="213" t="str">
        <f>IFERROR(__xludf.DUMMYFUNCTION("""COMPUTED_VALUE"""),"TEC-107-Y")</f>
        <v>TEC-107-Y</v>
      </c>
      <c r="G550" s="213"/>
      <c r="H550" s="213" t="str">
        <f>IFERROR(__xludf.DUMMYFUNCTION("""COMPUTED_VALUE"""),"EQUIPO DE GRABACIÓN PARA REPORTERO")</f>
        <v>EQUIPO DE GRABACIÓN PARA REPORTERO</v>
      </c>
      <c r="I550"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50" s="213">
        <f>IFERROR(__xludf.DUMMYFUNCTION("""COMPUTED_VALUE"""),3.0)</f>
        <v>3</v>
      </c>
      <c r="K550" s="213" t="str">
        <f>IFERROR(__xludf.DUMMYFUNCTION("""COMPUTED_VALUE"""),"170 DÍAS CALENDARIO")</f>
        <v>170 DÍAS CALENDARIO</v>
      </c>
      <c r="L550" s="213" t="str">
        <f>IFERROR(__xludf.DUMMYFUNCTION("""COMPUTED_VALUE"""),"")</f>
        <v/>
      </c>
      <c r="M550" s="213">
        <f>IFERROR(__xludf.DUMMYFUNCTION("""COMPUTED_VALUE"""),1.0)</f>
        <v>1</v>
      </c>
      <c r="N550" s="213">
        <f>IFERROR(__xludf.DUMMYFUNCTION("""COMPUTED_VALUE"""),4.0)</f>
        <v>4</v>
      </c>
      <c r="O550" s="213">
        <f>IFERROR(__xludf.DUMMYFUNCTION("""COMPUTED_VALUE"""),4.0)</f>
        <v>4</v>
      </c>
      <c r="P550" s="213"/>
      <c r="Q550" s="213"/>
      <c r="R550" s="213"/>
      <c r="S550" s="213"/>
      <c r="T550" s="213" t="str">
        <f>IFERROR(__xludf.DUMMYFUNCTION("""COMPUTED_VALUE"""),"SI")</f>
        <v>SI</v>
      </c>
      <c r="U550" s="213" t="str">
        <f>IFERROR(__xludf.DUMMYFUNCTION("""COMPUTED_VALUE"""),"SI")</f>
        <v>SI</v>
      </c>
      <c r="V550" s="213" t="str">
        <f>IFERROR(__xludf.DUMMYFUNCTION("""COMPUTED_VALUE"""),"-")</f>
        <v>-</v>
      </c>
      <c r="W550" s="213" t="str">
        <f>IFERROR(__xludf.DUMMYFUNCTION("""COMPUTED_VALUE"""),"-")</f>
        <v>-</v>
      </c>
      <c r="X550" s="213" t="str">
        <f>IFERROR(__xludf.DUMMYFUNCTION("""COMPUTED_VALUE"""),"Sony")</f>
        <v>Sony</v>
      </c>
      <c r="Y550" s="213" t="str">
        <f>IFERROR(__xludf.DUMMYFUNCTION("""COMPUTED_VALUE"""),"ICD-PX470")</f>
        <v>ICD-PX470</v>
      </c>
      <c r="Z550"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50" s="213" t="str">
        <f>IFERROR(__xludf.DUMMYFUNCTION("""COMPUTED_VALUE"""),"TEC-107-B EQUIPO DE GRABACIÓN PARA REPORTERO - CET")</f>
        <v>TEC-107-B EQUIPO DE GRABACIÓN PARA REPORTERO - CET</v>
      </c>
      <c r="AB550" s="213"/>
      <c r="AC550" s="213"/>
      <c r="AD550" s="213"/>
      <c r="AE550" s="213"/>
      <c r="AF550" s="213"/>
      <c r="AG550" s="213"/>
      <c r="AH550" s="213" t="str">
        <f>IFERROR(__xludf.DUMMYFUNCTION("""COMPUTED_VALUE"""),"NACIONAL")</f>
        <v>NACIONAL</v>
      </c>
      <c r="AI550" s="213"/>
      <c r="AJ550" s="213"/>
      <c r="AK550" s="213"/>
      <c r="AL550" s="213"/>
      <c r="AM550" s="213"/>
      <c r="AN550" s="213"/>
      <c r="AO550" s="213"/>
      <c r="AP550" s="213" t="str">
        <f>IFERROR(__xludf.DUMMYFUNCTION("""COMPUTED_VALUE"""),"NALDI")</f>
        <v>NALDI</v>
      </c>
      <c r="AQ550" s="213"/>
      <c r="AR550" s="213"/>
      <c r="AS550" s="213" t="str">
        <f>IFERROR(__xludf.DUMMYFUNCTION("""COMPUTED_VALUE"""),"Baterías alcalinas LR04 (tamaño AAA)")</f>
        <v>Baterías alcalinas LR04 (tamaño AAA)</v>
      </c>
      <c r="AT550" s="213"/>
      <c r="AU550" s="213"/>
      <c r="AV550" s="213"/>
      <c r="AW550" s="213"/>
      <c r="AX550" s="213"/>
      <c r="AY550" s="213"/>
      <c r="AZ550" s="213"/>
      <c r="BA550" s="213"/>
      <c r="BB550" s="213"/>
      <c r="BC550" s="213"/>
      <c r="BD550" s="213"/>
    </row>
    <row r="551">
      <c r="A551" s="213">
        <f>IFERROR(__xludf.DUMMYFUNCTION("""COMPUTED_VALUE"""),1737.0)</f>
        <v>1737</v>
      </c>
      <c r="B551" s="213" t="str">
        <f>IFERROR(__xludf.DUMMYFUNCTION("""COMPUTED_VALUE"""),"GUILLERMO E. BILLINGHURST ")</f>
        <v>GUILLERMO E. BILLINGHURST </v>
      </c>
      <c r="C551" s="213" t="str">
        <f>IFERROR(__xludf.DUMMYFUNCTION("""COMPUTED_VALUE"""),"TALLER SFT DE COMPUTACIÓN E INFORMÁTICA")</f>
        <v>TALLER SFT DE COMPUTACIÓN E INFORMÁTICA</v>
      </c>
      <c r="D551" s="213" t="str">
        <f>IFERROR(__xludf.DUMMYFUNCTION("""COMPUTED_VALUE"""),"TICS")</f>
        <v>TICS</v>
      </c>
      <c r="E551" s="213" t="str">
        <f>IFERROR(__xludf.DUMMYFUNCTION("""COMPUTED_VALUE"""),"TEC-107")</f>
        <v>TEC-107</v>
      </c>
      <c r="F551" s="213" t="str">
        <f>IFERROR(__xludf.DUMMYFUNCTION("""COMPUTED_VALUE"""),"TEC-107-Y")</f>
        <v>TEC-107-Y</v>
      </c>
      <c r="G551" s="213"/>
      <c r="H551" s="213" t="str">
        <f>IFERROR(__xludf.DUMMYFUNCTION("""COMPUTED_VALUE"""),"EQUIPO DE GRABACIÓN PARA REPORTERO")</f>
        <v>EQUIPO DE GRABACIÓN PARA REPORTERO</v>
      </c>
      <c r="I551"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51" s="213">
        <f>IFERROR(__xludf.DUMMYFUNCTION("""COMPUTED_VALUE"""),3.0)</f>
        <v>3</v>
      </c>
      <c r="K551" s="213" t="str">
        <f>IFERROR(__xludf.DUMMYFUNCTION("""COMPUTED_VALUE"""),"170 DÍAS CALENDARIO")</f>
        <v>170 DÍAS CALENDARIO</v>
      </c>
      <c r="L551" s="213" t="str">
        <f>IFERROR(__xludf.DUMMYFUNCTION("""COMPUTED_VALUE"""),"")</f>
        <v/>
      </c>
      <c r="M551" s="213">
        <f>IFERROR(__xludf.DUMMYFUNCTION("""COMPUTED_VALUE"""),1.0)</f>
        <v>1</v>
      </c>
      <c r="N551" s="213">
        <f>IFERROR(__xludf.DUMMYFUNCTION("""COMPUTED_VALUE"""),4.0)</f>
        <v>4</v>
      </c>
      <c r="O551" s="213">
        <f>IFERROR(__xludf.DUMMYFUNCTION("""COMPUTED_VALUE"""),4.0)</f>
        <v>4</v>
      </c>
      <c r="P551" s="213"/>
      <c r="Q551" s="213"/>
      <c r="R551" s="213"/>
      <c r="S551" s="213"/>
      <c r="T551" s="213" t="str">
        <f>IFERROR(__xludf.DUMMYFUNCTION("""COMPUTED_VALUE"""),"SI")</f>
        <v>SI</v>
      </c>
      <c r="U551" s="213" t="str">
        <f>IFERROR(__xludf.DUMMYFUNCTION("""COMPUTED_VALUE"""),"SI")</f>
        <v>SI</v>
      </c>
      <c r="V551" s="213" t="str">
        <f>IFERROR(__xludf.DUMMYFUNCTION("""COMPUTED_VALUE"""),"-")</f>
        <v>-</v>
      </c>
      <c r="W551" s="213" t="str">
        <f>IFERROR(__xludf.DUMMYFUNCTION("""COMPUTED_VALUE"""),"-")</f>
        <v>-</v>
      </c>
      <c r="X551" s="213" t="str">
        <f>IFERROR(__xludf.DUMMYFUNCTION("""COMPUTED_VALUE"""),"Sony")</f>
        <v>Sony</v>
      </c>
      <c r="Y551" s="213" t="str">
        <f>IFERROR(__xludf.DUMMYFUNCTION("""COMPUTED_VALUE"""),"ICD-PX470")</f>
        <v>ICD-PX470</v>
      </c>
      <c r="Z551"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51" s="213" t="str">
        <f>IFERROR(__xludf.DUMMYFUNCTION("""COMPUTED_VALUE"""),"TEC-107-B EQUIPO DE GRABACIÓN PARA REPORTERO - CET")</f>
        <v>TEC-107-B EQUIPO DE GRABACIÓN PARA REPORTERO - CET</v>
      </c>
      <c r="AB551" s="213"/>
      <c r="AC551" s="213"/>
      <c r="AD551" s="213"/>
      <c r="AE551" s="213"/>
      <c r="AF551" s="213"/>
      <c r="AG551" s="213"/>
      <c r="AH551" s="213" t="str">
        <f>IFERROR(__xludf.DUMMYFUNCTION("""COMPUTED_VALUE"""),"NACIONAL")</f>
        <v>NACIONAL</v>
      </c>
      <c r="AI551" s="213"/>
      <c r="AJ551" s="213"/>
      <c r="AK551" s="213"/>
      <c r="AL551" s="213"/>
      <c r="AM551" s="213"/>
      <c r="AN551" s="213"/>
      <c r="AO551" s="213"/>
      <c r="AP551" s="213" t="str">
        <f>IFERROR(__xludf.DUMMYFUNCTION("""COMPUTED_VALUE"""),"NALDI")</f>
        <v>NALDI</v>
      </c>
      <c r="AQ551" s="213"/>
      <c r="AR551" s="213"/>
      <c r="AS551" s="213" t="str">
        <f>IFERROR(__xludf.DUMMYFUNCTION("""COMPUTED_VALUE"""),"Baterías alcalinas LR04 (tamaño AAA)")</f>
        <v>Baterías alcalinas LR04 (tamaño AAA)</v>
      </c>
      <c r="AT551" s="213"/>
      <c r="AU551" s="213"/>
      <c r="AV551" s="213"/>
      <c r="AW551" s="213"/>
      <c r="AX551" s="213"/>
      <c r="AY551" s="213"/>
      <c r="AZ551" s="213"/>
      <c r="BA551" s="213"/>
      <c r="BB551" s="213"/>
      <c r="BC551" s="213"/>
      <c r="BD551" s="213"/>
    </row>
    <row r="552">
      <c r="A552" s="213">
        <f>IFERROR(__xludf.DUMMYFUNCTION("""COMPUTED_VALUE"""),1869.0)</f>
        <v>1869</v>
      </c>
      <c r="B552" s="213" t="str">
        <f>IFERROR(__xludf.DUMMYFUNCTION("""COMPUTED_VALUE"""),"GUILLERMO E. BILLINGHURST ")</f>
        <v>GUILLERMO E. BILLINGHURST </v>
      </c>
      <c r="C552" s="213" t="str">
        <f>IFERROR(__xludf.DUMMYFUNCTION("""COMPUTED_VALUE"""),"TALLER SFT DE EBANISTERÍA")</f>
        <v>TALLER SFT DE EBANISTERÍA</v>
      </c>
      <c r="D552" s="213" t="str">
        <f>IFERROR(__xludf.DUMMYFUNCTION("""COMPUTED_VALUE"""),"TICS")</f>
        <v>TICS</v>
      </c>
      <c r="E552" s="213" t="str">
        <f>IFERROR(__xludf.DUMMYFUNCTION("""COMPUTED_VALUE"""),"TEC-107")</f>
        <v>TEC-107</v>
      </c>
      <c r="F552" s="213" t="str">
        <f>IFERROR(__xludf.DUMMYFUNCTION("""COMPUTED_VALUE"""),"TEC-107-X")</f>
        <v>TEC-107-X</v>
      </c>
      <c r="G552" s="213"/>
      <c r="H552" s="213" t="str">
        <f>IFERROR(__xludf.DUMMYFUNCTION("""COMPUTED_VALUE"""),"EQUIPO DE GRABACIÓN PARA REPORTERO")</f>
        <v>EQUIPO DE GRABACIÓN PARA REPORTERO</v>
      </c>
      <c r="I552"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52" s="213">
        <f>IFERROR(__xludf.DUMMYFUNCTION("""COMPUTED_VALUE"""),3.0)</f>
        <v>3</v>
      </c>
      <c r="K552" s="213" t="str">
        <f>IFERROR(__xludf.DUMMYFUNCTION("""COMPUTED_VALUE"""),"170 DÍAS CALENDARIO")</f>
        <v>170 DÍAS CALENDARIO</v>
      </c>
      <c r="L552"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52" s="213">
        <f>IFERROR(__xludf.DUMMYFUNCTION("""COMPUTED_VALUE"""),1.0)</f>
        <v>1</v>
      </c>
      <c r="N552" s="213">
        <f>IFERROR(__xludf.DUMMYFUNCTION("""COMPUTED_VALUE"""),4.0)</f>
        <v>4</v>
      </c>
      <c r="O552" s="213">
        <f>IFERROR(__xludf.DUMMYFUNCTION("""COMPUTED_VALUE"""),4.0)</f>
        <v>4</v>
      </c>
      <c r="P552" s="213"/>
      <c r="Q552" s="213"/>
      <c r="R552" s="213"/>
      <c r="S552" s="213"/>
      <c r="T552" s="213" t="str">
        <f>IFERROR(__xludf.DUMMYFUNCTION("""COMPUTED_VALUE"""),"SI")</f>
        <v>SI</v>
      </c>
      <c r="U552" s="213" t="str">
        <f>IFERROR(__xludf.DUMMYFUNCTION("""COMPUTED_VALUE"""),"SI")</f>
        <v>SI</v>
      </c>
      <c r="V552" s="213" t="str">
        <f>IFERROR(__xludf.DUMMYFUNCTION("""COMPUTED_VALUE"""),"-")</f>
        <v>-</v>
      </c>
      <c r="W552" s="213" t="str">
        <f>IFERROR(__xludf.DUMMYFUNCTION("""COMPUTED_VALUE"""),"-")</f>
        <v>-</v>
      </c>
      <c r="X552" s="213" t="str">
        <f>IFERROR(__xludf.DUMMYFUNCTION("""COMPUTED_VALUE"""),"Sony")</f>
        <v>Sony</v>
      </c>
      <c r="Y552" s="213" t="str">
        <f>IFERROR(__xludf.DUMMYFUNCTION("""COMPUTED_VALUE"""),"ICD-PX470")</f>
        <v>ICD-PX470</v>
      </c>
      <c r="Z552"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52" s="213" t="str">
        <f>IFERROR(__xludf.DUMMYFUNCTION("""COMPUTED_VALUE"""),"TEC-107-B EQUIPO DE GRABACIÓN PARA REPORTERO - CET")</f>
        <v>TEC-107-B EQUIPO DE GRABACIÓN PARA REPORTERO - CET</v>
      </c>
      <c r="AB552" s="213"/>
      <c r="AC552" s="213"/>
      <c r="AD552" s="213"/>
      <c r="AE552" s="213"/>
      <c r="AF552" s="213"/>
      <c r="AG552" s="213"/>
      <c r="AH552" s="213" t="str">
        <f>IFERROR(__xludf.DUMMYFUNCTION("""COMPUTED_VALUE"""),"NACIONAL")</f>
        <v>NACIONAL</v>
      </c>
      <c r="AI552" s="213"/>
      <c r="AJ552" s="213"/>
      <c r="AK552" s="213"/>
      <c r="AL552" s="213"/>
      <c r="AM552" s="213"/>
      <c r="AN552" s="213"/>
      <c r="AO552" s="213"/>
      <c r="AP552" s="213" t="str">
        <f>IFERROR(__xludf.DUMMYFUNCTION("""COMPUTED_VALUE"""),"NALDI")</f>
        <v>NALDI</v>
      </c>
      <c r="AQ552" s="213"/>
      <c r="AR552" s="213"/>
      <c r="AS552" s="213" t="str">
        <f>IFERROR(__xludf.DUMMYFUNCTION("""COMPUTED_VALUE"""),"Baterías alcalinas LR04 (tamaño AAA)")</f>
        <v>Baterías alcalinas LR04 (tamaño AAA)</v>
      </c>
      <c r="AT552" s="213"/>
      <c r="AU552" s="213"/>
      <c r="AV552" s="213"/>
      <c r="AW552" s="213"/>
      <c r="AX552" s="213"/>
      <c r="AY552" s="213"/>
      <c r="AZ552" s="213"/>
      <c r="BA552" s="213"/>
      <c r="BB552" s="213"/>
      <c r="BC552" s="213"/>
      <c r="BD552" s="213"/>
    </row>
    <row r="553">
      <c r="A553" s="213">
        <f>IFERROR(__xludf.DUMMYFUNCTION("""COMPUTED_VALUE"""),1964.0)</f>
        <v>1964</v>
      </c>
      <c r="B553" s="213" t="str">
        <f>IFERROR(__xludf.DUMMYFUNCTION("""COMPUTED_VALUE"""),"JOSE GRANDA")</f>
        <v>JOSE GRANDA</v>
      </c>
      <c r="C553" s="213" t="str">
        <f>IFERROR(__xludf.DUMMYFUNCTION("""COMPUTED_VALUE"""),"TALLER SFT DE COMPUTACIÓN E INFORMÁTICA")</f>
        <v>TALLER SFT DE COMPUTACIÓN E INFORMÁTICA</v>
      </c>
      <c r="D553" s="213" t="str">
        <f>IFERROR(__xludf.DUMMYFUNCTION("""COMPUTED_VALUE"""),"TICS")</f>
        <v>TICS</v>
      </c>
      <c r="E553" s="213" t="str">
        <f>IFERROR(__xludf.DUMMYFUNCTION("""COMPUTED_VALUE"""),"TEC-107")</f>
        <v>TEC-107</v>
      </c>
      <c r="F553" s="213" t="str">
        <f>IFERROR(__xludf.DUMMYFUNCTION("""COMPUTED_VALUE"""),"TEC-107-Y")</f>
        <v>TEC-107-Y</v>
      </c>
      <c r="G553" s="213"/>
      <c r="H553" s="213" t="str">
        <f>IFERROR(__xludf.DUMMYFUNCTION("""COMPUTED_VALUE"""),"EQUIPO DE GRABACIÓN PARA REPORTERO")</f>
        <v>EQUIPO DE GRABACIÓN PARA REPORTERO</v>
      </c>
      <c r="I553"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53" s="213">
        <f>IFERROR(__xludf.DUMMYFUNCTION("""COMPUTED_VALUE"""),3.0)</f>
        <v>3</v>
      </c>
      <c r="K553" s="213" t="str">
        <f>IFERROR(__xludf.DUMMYFUNCTION("""COMPUTED_VALUE"""),"170 DÍAS CALENDARIO")</f>
        <v>170 DÍAS CALENDARIO</v>
      </c>
      <c r="L553" s="213" t="str">
        <f>IFERROR(__xludf.DUMMYFUNCTION("""COMPUTED_VALUE"""),"")</f>
        <v/>
      </c>
      <c r="M553" s="213">
        <f>IFERROR(__xludf.DUMMYFUNCTION("""COMPUTED_VALUE"""),1.0)</f>
        <v>1</v>
      </c>
      <c r="N553" s="213">
        <f>IFERROR(__xludf.DUMMYFUNCTION("""COMPUTED_VALUE"""),4.0)</f>
        <v>4</v>
      </c>
      <c r="O553" s="213">
        <f>IFERROR(__xludf.DUMMYFUNCTION("""COMPUTED_VALUE"""),4.0)</f>
        <v>4</v>
      </c>
      <c r="P553" s="213"/>
      <c r="Q553" s="213"/>
      <c r="R553" s="213"/>
      <c r="S553" s="213"/>
      <c r="T553" s="213" t="str">
        <f>IFERROR(__xludf.DUMMYFUNCTION("""COMPUTED_VALUE"""),"SI")</f>
        <v>SI</v>
      </c>
      <c r="U553" s="213" t="str">
        <f>IFERROR(__xludf.DUMMYFUNCTION("""COMPUTED_VALUE"""),"SI")</f>
        <v>SI</v>
      </c>
      <c r="V553" s="213" t="str">
        <f>IFERROR(__xludf.DUMMYFUNCTION("""COMPUTED_VALUE"""),"-")</f>
        <v>-</v>
      </c>
      <c r="W553" s="213" t="str">
        <f>IFERROR(__xludf.DUMMYFUNCTION("""COMPUTED_VALUE"""),"-")</f>
        <v>-</v>
      </c>
      <c r="X553" s="213" t="str">
        <f>IFERROR(__xludf.DUMMYFUNCTION("""COMPUTED_VALUE"""),"Sony")</f>
        <v>Sony</v>
      </c>
      <c r="Y553" s="213" t="str">
        <f>IFERROR(__xludf.DUMMYFUNCTION("""COMPUTED_VALUE"""),"ICD-PX470")</f>
        <v>ICD-PX470</v>
      </c>
      <c r="Z553"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53" s="213" t="str">
        <f>IFERROR(__xludf.DUMMYFUNCTION("""COMPUTED_VALUE"""),"TEC-107-B EQUIPO DE GRABACIÓN PARA REPORTERO - CET")</f>
        <v>TEC-107-B EQUIPO DE GRABACIÓN PARA REPORTERO - CET</v>
      </c>
      <c r="AB553" s="213"/>
      <c r="AC553" s="213"/>
      <c r="AD553" s="213"/>
      <c r="AE553" s="213"/>
      <c r="AF553" s="213"/>
      <c r="AG553" s="213"/>
      <c r="AH553" s="213" t="str">
        <f>IFERROR(__xludf.DUMMYFUNCTION("""COMPUTED_VALUE"""),"NACIONAL")</f>
        <v>NACIONAL</v>
      </c>
      <c r="AI553" s="213"/>
      <c r="AJ553" s="213"/>
      <c r="AK553" s="213"/>
      <c r="AL553" s="213"/>
      <c r="AM553" s="213"/>
      <c r="AN553" s="213"/>
      <c r="AO553" s="213"/>
      <c r="AP553" s="213" t="str">
        <f>IFERROR(__xludf.DUMMYFUNCTION("""COMPUTED_VALUE"""),"NALDI")</f>
        <v>NALDI</v>
      </c>
      <c r="AQ553" s="213"/>
      <c r="AR553" s="213"/>
      <c r="AS553" s="213" t="str">
        <f>IFERROR(__xludf.DUMMYFUNCTION("""COMPUTED_VALUE"""),"Baterías alcalinas LR04 (tamaño AAA)")</f>
        <v>Baterías alcalinas LR04 (tamaño AAA)</v>
      </c>
      <c r="AT553" s="213"/>
      <c r="AU553" s="213"/>
      <c r="AV553" s="213"/>
      <c r="AW553" s="213"/>
      <c r="AX553" s="213"/>
      <c r="AY553" s="213"/>
      <c r="AZ553" s="213"/>
      <c r="BA553" s="213"/>
      <c r="BB553" s="213"/>
      <c r="BC553" s="213"/>
      <c r="BD553" s="213"/>
    </row>
    <row r="554">
      <c r="A554" s="213">
        <f>IFERROR(__xludf.DUMMYFUNCTION("""COMPUTED_VALUE"""),1987.0)</f>
        <v>1987</v>
      </c>
      <c r="B554" s="213" t="str">
        <f>IFERROR(__xludf.DUMMYFUNCTION("""COMPUTED_VALUE"""),"JOSE GRANDA")</f>
        <v>JOSE GRANDA</v>
      </c>
      <c r="C554" s="213" t="str">
        <f>IFERROR(__xludf.DUMMYFUNCTION("""COMPUTED_VALUE"""),"TALLER SFT DE COMPUTACIÓN E INFORMÁTICA")</f>
        <v>TALLER SFT DE COMPUTACIÓN E INFORMÁTICA</v>
      </c>
      <c r="D554" s="213" t="str">
        <f>IFERROR(__xludf.DUMMYFUNCTION("""COMPUTED_VALUE"""),"TICS")</f>
        <v>TICS</v>
      </c>
      <c r="E554" s="213" t="str">
        <f>IFERROR(__xludf.DUMMYFUNCTION("""COMPUTED_VALUE"""),"TEC-107")</f>
        <v>TEC-107</v>
      </c>
      <c r="F554" s="213" t="str">
        <f>IFERROR(__xludf.DUMMYFUNCTION("""COMPUTED_VALUE"""),"TEC-107-Y")</f>
        <v>TEC-107-Y</v>
      </c>
      <c r="G554" s="213"/>
      <c r="H554" s="213" t="str">
        <f>IFERROR(__xludf.DUMMYFUNCTION("""COMPUTED_VALUE"""),"EQUIPO DE GRABACIÓN PARA REPORTERO")</f>
        <v>EQUIPO DE GRABACIÓN PARA REPORTERO</v>
      </c>
      <c r="I554"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54" s="213">
        <f>IFERROR(__xludf.DUMMYFUNCTION("""COMPUTED_VALUE"""),3.0)</f>
        <v>3</v>
      </c>
      <c r="K554" s="213" t="str">
        <f>IFERROR(__xludf.DUMMYFUNCTION("""COMPUTED_VALUE"""),"170 DÍAS CALENDARIO")</f>
        <v>170 DÍAS CALENDARIO</v>
      </c>
      <c r="L554" s="213" t="str">
        <f>IFERROR(__xludf.DUMMYFUNCTION("""COMPUTED_VALUE"""),"")</f>
        <v/>
      </c>
      <c r="M554" s="213">
        <f>IFERROR(__xludf.DUMMYFUNCTION("""COMPUTED_VALUE"""),1.0)</f>
        <v>1</v>
      </c>
      <c r="N554" s="213">
        <f>IFERROR(__xludf.DUMMYFUNCTION("""COMPUTED_VALUE"""),4.0)</f>
        <v>4</v>
      </c>
      <c r="O554" s="213">
        <f>IFERROR(__xludf.DUMMYFUNCTION("""COMPUTED_VALUE"""),4.0)</f>
        <v>4</v>
      </c>
      <c r="P554" s="213"/>
      <c r="Q554" s="213"/>
      <c r="R554" s="213"/>
      <c r="S554" s="213"/>
      <c r="T554" s="213" t="str">
        <f>IFERROR(__xludf.DUMMYFUNCTION("""COMPUTED_VALUE"""),"SI")</f>
        <v>SI</v>
      </c>
      <c r="U554" s="213" t="str">
        <f>IFERROR(__xludf.DUMMYFUNCTION("""COMPUTED_VALUE"""),"SI")</f>
        <v>SI</v>
      </c>
      <c r="V554" s="213" t="str">
        <f>IFERROR(__xludf.DUMMYFUNCTION("""COMPUTED_VALUE"""),"-")</f>
        <v>-</v>
      </c>
      <c r="W554" s="213" t="str">
        <f>IFERROR(__xludf.DUMMYFUNCTION("""COMPUTED_VALUE"""),"-")</f>
        <v>-</v>
      </c>
      <c r="X554" s="213" t="str">
        <f>IFERROR(__xludf.DUMMYFUNCTION("""COMPUTED_VALUE"""),"Sony")</f>
        <v>Sony</v>
      </c>
      <c r="Y554" s="213" t="str">
        <f>IFERROR(__xludf.DUMMYFUNCTION("""COMPUTED_VALUE"""),"ICD-PX470")</f>
        <v>ICD-PX470</v>
      </c>
      <c r="Z554"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54" s="213" t="str">
        <f>IFERROR(__xludf.DUMMYFUNCTION("""COMPUTED_VALUE"""),"TEC-107-B EQUIPO DE GRABACIÓN PARA REPORTERO - CET")</f>
        <v>TEC-107-B EQUIPO DE GRABACIÓN PARA REPORTERO - CET</v>
      </c>
      <c r="AB554" s="213"/>
      <c r="AC554" s="213"/>
      <c r="AD554" s="213"/>
      <c r="AE554" s="213"/>
      <c r="AF554" s="213"/>
      <c r="AG554" s="213"/>
      <c r="AH554" s="213" t="str">
        <f>IFERROR(__xludf.DUMMYFUNCTION("""COMPUTED_VALUE"""),"NACIONAL")</f>
        <v>NACIONAL</v>
      </c>
      <c r="AI554" s="213"/>
      <c r="AJ554" s="213"/>
      <c r="AK554" s="213"/>
      <c r="AL554" s="213"/>
      <c r="AM554" s="213"/>
      <c r="AN554" s="213"/>
      <c r="AO554" s="213"/>
      <c r="AP554" s="213" t="str">
        <f>IFERROR(__xludf.DUMMYFUNCTION("""COMPUTED_VALUE"""),"NALDI")</f>
        <v>NALDI</v>
      </c>
      <c r="AQ554" s="213"/>
      <c r="AR554" s="213"/>
      <c r="AS554" s="213" t="str">
        <f>IFERROR(__xludf.DUMMYFUNCTION("""COMPUTED_VALUE"""),"Baterías alcalinas LR04 (tamaño AAA)")</f>
        <v>Baterías alcalinas LR04 (tamaño AAA)</v>
      </c>
      <c r="AT554" s="213"/>
      <c r="AU554" s="213"/>
      <c r="AV554" s="213"/>
      <c r="AW554" s="213"/>
      <c r="AX554" s="213"/>
      <c r="AY554" s="213"/>
      <c r="AZ554" s="213"/>
      <c r="BA554" s="213"/>
      <c r="BB554" s="213"/>
      <c r="BC554" s="213"/>
      <c r="BD554" s="213"/>
    </row>
    <row r="555">
      <c r="A555" s="213">
        <f>IFERROR(__xludf.DUMMYFUNCTION("""COMPUTED_VALUE"""),2156.0)</f>
        <v>2156</v>
      </c>
      <c r="B555" s="213" t="str">
        <f>IFERROR(__xludf.DUMMYFUNCTION("""COMPUTED_VALUE"""),"JOSE GRANDA")</f>
        <v>JOSE GRANDA</v>
      </c>
      <c r="C555" s="213" t="str">
        <f>IFERROR(__xludf.DUMMYFUNCTION("""COMPUTED_VALUE"""),"TALLER SFT DE INDUSTRIA ALIMENTARIA")</f>
        <v>TALLER SFT DE INDUSTRIA ALIMENTARIA</v>
      </c>
      <c r="D555" s="213" t="str">
        <f>IFERROR(__xludf.DUMMYFUNCTION("""COMPUTED_VALUE"""),"TICS")</f>
        <v>TICS</v>
      </c>
      <c r="E555" s="213" t="str">
        <f>IFERROR(__xludf.DUMMYFUNCTION("""COMPUTED_VALUE"""),"TEC-107")</f>
        <v>TEC-107</v>
      </c>
      <c r="F555" s="213" t="str">
        <f>IFERROR(__xludf.DUMMYFUNCTION("""COMPUTED_VALUE"""),"TEC-107-X")</f>
        <v>TEC-107-X</v>
      </c>
      <c r="G555" s="213"/>
      <c r="H555" s="213" t="str">
        <f>IFERROR(__xludf.DUMMYFUNCTION("""COMPUTED_VALUE"""),"EQUIPO DE GRABACIÓN PARA REPORTERO")</f>
        <v>EQUIPO DE GRABACIÓN PARA REPORTERO</v>
      </c>
      <c r="I555"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55" s="213">
        <f>IFERROR(__xludf.DUMMYFUNCTION("""COMPUTED_VALUE"""),3.0)</f>
        <v>3</v>
      </c>
      <c r="K555" s="213" t="str">
        <f>IFERROR(__xludf.DUMMYFUNCTION("""COMPUTED_VALUE"""),"170 DÍAS CALENDARIO")</f>
        <v>170 DÍAS CALENDARIO</v>
      </c>
      <c r="L555"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55" s="213">
        <f>IFERROR(__xludf.DUMMYFUNCTION("""COMPUTED_VALUE"""),1.0)</f>
        <v>1</v>
      </c>
      <c r="N555" s="213">
        <f>IFERROR(__xludf.DUMMYFUNCTION("""COMPUTED_VALUE"""),4.0)</f>
        <v>4</v>
      </c>
      <c r="O555" s="213">
        <f>IFERROR(__xludf.DUMMYFUNCTION("""COMPUTED_VALUE"""),4.0)</f>
        <v>4</v>
      </c>
      <c r="P555" s="213"/>
      <c r="Q555" s="213"/>
      <c r="R555" s="213"/>
      <c r="S555" s="213"/>
      <c r="T555" s="213" t="str">
        <f>IFERROR(__xludf.DUMMYFUNCTION("""COMPUTED_VALUE"""),"SI")</f>
        <v>SI</v>
      </c>
      <c r="U555" s="213" t="str">
        <f>IFERROR(__xludf.DUMMYFUNCTION("""COMPUTED_VALUE"""),"SI")</f>
        <v>SI</v>
      </c>
      <c r="V555" s="213" t="str">
        <f>IFERROR(__xludf.DUMMYFUNCTION("""COMPUTED_VALUE"""),"-")</f>
        <v>-</v>
      </c>
      <c r="W555" s="213" t="str">
        <f>IFERROR(__xludf.DUMMYFUNCTION("""COMPUTED_VALUE"""),"-")</f>
        <v>-</v>
      </c>
      <c r="X555" s="213" t="str">
        <f>IFERROR(__xludf.DUMMYFUNCTION("""COMPUTED_VALUE"""),"Sony")</f>
        <v>Sony</v>
      </c>
      <c r="Y555" s="213" t="str">
        <f>IFERROR(__xludf.DUMMYFUNCTION("""COMPUTED_VALUE"""),"ICD-PX470")</f>
        <v>ICD-PX470</v>
      </c>
      <c r="Z555"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55" s="213" t="str">
        <f>IFERROR(__xludf.DUMMYFUNCTION("""COMPUTED_VALUE"""),"TEC-107-A EQUIPO DE GRABACIÓN PARA REPORTERO - CET")</f>
        <v>TEC-107-A EQUIPO DE GRABACIÓN PARA REPORTERO - CET</v>
      </c>
      <c r="AB555" s="213"/>
      <c r="AC555" s="213"/>
      <c r="AD555" s="213"/>
      <c r="AE555" s="213"/>
      <c r="AF555" s="213"/>
      <c r="AG555" s="213"/>
      <c r="AH555" s="213" t="str">
        <f>IFERROR(__xludf.DUMMYFUNCTION("""COMPUTED_VALUE"""),"NACIONAL")</f>
        <v>NACIONAL</v>
      </c>
      <c r="AI555" s="213"/>
      <c r="AJ555" s="213"/>
      <c r="AK555" s="213"/>
      <c r="AL555" s="213"/>
      <c r="AM555" s="213"/>
      <c r="AN555" s="213"/>
      <c r="AO555" s="213"/>
      <c r="AP555" s="213" t="str">
        <f>IFERROR(__xludf.DUMMYFUNCTION("""COMPUTED_VALUE"""),"NALDI")</f>
        <v>NALDI</v>
      </c>
      <c r="AQ555" s="213"/>
      <c r="AR555" s="213"/>
      <c r="AS555" s="213" t="str">
        <f>IFERROR(__xludf.DUMMYFUNCTION("""COMPUTED_VALUE"""),"Baterías alcalinas LR04 (tamaño AAA)")</f>
        <v>Baterías alcalinas LR04 (tamaño AAA)</v>
      </c>
      <c r="AT555" s="213"/>
      <c r="AU555" s="213"/>
      <c r="AV555" s="213"/>
      <c r="AW555" s="213"/>
      <c r="AX555" s="213"/>
      <c r="AY555" s="213"/>
      <c r="AZ555" s="213"/>
      <c r="BA555" s="213"/>
      <c r="BB555" s="213"/>
      <c r="BC555" s="213"/>
      <c r="BD555" s="213"/>
    </row>
    <row r="556">
      <c r="A556" s="213">
        <f>IFERROR(__xludf.DUMMYFUNCTION("""COMPUTED_VALUE"""),2297.0)</f>
        <v>2297</v>
      </c>
      <c r="B556" s="213" t="str">
        <f>IFERROR(__xludf.DUMMYFUNCTION("""COMPUTED_VALUE"""),"JOSE GRANDA")</f>
        <v>JOSE GRANDA</v>
      </c>
      <c r="C556" s="213" t="str">
        <f>IFERROR(__xludf.DUMMYFUNCTION("""COMPUTED_VALUE"""),"TALLER SFT DE MECÁNICA AUTOMOTRIZ")</f>
        <v>TALLER SFT DE MECÁNICA AUTOMOTRIZ</v>
      </c>
      <c r="D556" s="213" t="str">
        <f>IFERROR(__xludf.DUMMYFUNCTION("""COMPUTED_VALUE"""),"TICS")</f>
        <v>TICS</v>
      </c>
      <c r="E556" s="213" t="str">
        <f>IFERROR(__xludf.DUMMYFUNCTION("""COMPUTED_VALUE"""),"TEC-107")</f>
        <v>TEC-107</v>
      </c>
      <c r="F556" s="213" t="str">
        <f>IFERROR(__xludf.DUMMYFUNCTION("""COMPUTED_VALUE"""),"TEC-107-X")</f>
        <v>TEC-107-X</v>
      </c>
      <c r="G556" s="213"/>
      <c r="H556" s="213" t="str">
        <f>IFERROR(__xludf.DUMMYFUNCTION("""COMPUTED_VALUE"""),"EQUIPO DE GRABACIÓN PARA REPORTERO")</f>
        <v>EQUIPO DE GRABACIÓN PARA REPORTERO</v>
      </c>
      <c r="I556"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56" s="213">
        <f>IFERROR(__xludf.DUMMYFUNCTION("""COMPUTED_VALUE"""),3.0)</f>
        <v>3</v>
      </c>
      <c r="K556" s="213" t="str">
        <f>IFERROR(__xludf.DUMMYFUNCTION("""COMPUTED_VALUE"""),"170 DÍAS CALENDARIO")</f>
        <v>170 DÍAS CALENDARIO</v>
      </c>
      <c r="L556"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56" s="213">
        <f>IFERROR(__xludf.DUMMYFUNCTION("""COMPUTED_VALUE"""),1.0)</f>
        <v>1</v>
      </c>
      <c r="N556" s="213">
        <f>IFERROR(__xludf.DUMMYFUNCTION("""COMPUTED_VALUE"""),4.0)</f>
        <v>4</v>
      </c>
      <c r="O556" s="213">
        <f>IFERROR(__xludf.DUMMYFUNCTION("""COMPUTED_VALUE"""),4.0)</f>
        <v>4</v>
      </c>
      <c r="P556" s="213"/>
      <c r="Q556" s="213"/>
      <c r="R556" s="213"/>
      <c r="S556" s="213"/>
      <c r="T556" s="213" t="str">
        <f>IFERROR(__xludf.DUMMYFUNCTION("""COMPUTED_VALUE"""),"SI")</f>
        <v>SI</v>
      </c>
      <c r="U556" s="213" t="str">
        <f>IFERROR(__xludf.DUMMYFUNCTION("""COMPUTED_VALUE"""),"SI")</f>
        <v>SI</v>
      </c>
      <c r="V556" s="213" t="str">
        <f>IFERROR(__xludf.DUMMYFUNCTION("""COMPUTED_VALUE"""),"-")</f>
        <v>-</v>
      </c>
      <c r="W556" s="213" t="str">
        <f>IFERROR(__xludf.DUMMYFUNCTION("""COMPUTED_VALUE"""),"-")</f>
        <v>-</v>
      </c>
      <c r="X556" s="213" t="str">
        <f>IFERROR(__xludf.DUMMYFUNCTION("""COMPUTED_VALUE"""),"Sony")</f>
        <v>Sony</v>
      </c>
      <c r="Y556" s="213" t="str">
        <f>IFERROR(__xludf.DUMMYFUNCTION("""COMPUTED_VALUE"""),"ICD-PX470")</f>
        <v>ICD-PX470</v>
      </c>
      <c r="Z556"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56" s="213" t="str">
        <f>IFERROR(__xludf.DUMMYFUNCTION("""COMPUTED_VALUE"""),"TEC-107-A EQUIPO DE GRABACIÓN PARA REPORTERO - CET")</f>
        <v>TEC-107-A EQUIPO DE GRABACIÓN PARA REPORTERO - CET</v>
      </c>
      <c r="AB556" s="213"/>
      <c r="AC556" s="213"/>
      <c r="AD556" s="213"/>
      <c r="AE556" s="213"/>
      <c r="AF556" s="213"/>
      <c r="AG556" s="213"/>
      <c r="AH556" s="213" t="str">
        <f>IFERROR(__xludf.DUMMYFUNCTION("""COMPUTED_VALUE"""),"NACIONAL")</f>
        <v>NACIONAL</v>
      </c>
      <c r="AI556" s="213"/>
      <c r="AJ556" s="213"/>
      <c r="AK556" s="213"/>
      <c r="AL556" s="213"/>
      <c r="AM556" s="213"/>
      <c r="AN556" s="213"/>
      <c r="AO556" s="213"/>
      <c r="AP556" s="213" t="str">
        <f>IFERROR(__xludf.DUMMYFUNCTION("""COMPUTED_VALUE"""),"NALDI")</f>
        <v>NALDI</v>
      </c>
      <c r="AQ556" s="213"/>
      <c r="AR556" s="213"/>
      <c r="AS556" s="213" t="str">
        <f>IFERROR(__xludf.DUMMYFUNCTION("""COMPUTED_VALUE"""),"Baterías alcalinas LR04 (tamaño AAA)")</f>
        <v>Baterías alcalinas LR04 (tamaño AAA)</v>
      </c>
      <c r="AT556" s="213"/>
      <c r="AU556" s="213"/>
      <c r="AV556" s="213"/>
      <c r="AW556" s="213"/>
      <c r="AX556" s="213"/>
      <c r="AY556" s="213"/>
      <c r="AZ556" s="213"/>
      <c r="BA556" s="213"/>
      <c r="BB556" s="213"/>
      <c r="BC556" s="213"/>
      <c r="BD556" s="213"/>
    </row>
    <row r="557">
      <c r="A557" s="213">
        <f>IFERROR(__xludf.DUMMYFUNCTION("""COMPUTED_VALUE"""),2425.0)</f>
        <v>2425</v>
      </c>
      <c r="B557" s="213" t="str">
        <f>IFERROR(__xludf.DUMMYFUNCTION("""COMPUTED_VALUE"""),"MANUEL ANTONIO MESONES MURO")</f>
        <v>MANUEL ANTONIO MESONES MURO</v>
      </c>
      <c r="C557" s="213" t="str">
        <f>IFERROR(__xludf.DUMMYFUNCTION("""COMPUTED_VALUE"""),"TALLER SFT DE INDUSTRIA DEL VESTIDO")</f>
        <v>TALLER SFT DE INDUSTRIA DEL VESTIDO</v>
      </c>
      <c r="D557" s="213" t="str">
        <f>IFERROR(__xludf.DUMMYFUNCTION("""COMPUTED_VALUE"""),"TICS")</f>
        <v>TICS</v>
      </c>
      <c r="E557" s="213" t="str">
        <f>IFERROR(__xludf.DUMMYFUNCTION("""COMPUTED_VALUE"""),"TEC-107")</f>
        <v>TEC-107</v>
      </c>
      <c r="F557" s="213" t="str">
        <f>IFERROR(__xludf.DUMMYFUNCTION("""COMPUTED_VALUE"""),"TEC-107-X")</f>
        <v>TEC-107-X</v>
      </c>
      <c r="G557" s="213"/>
      <c r="H557" s="213" t="str">
        <f>IFERROR(__xludf.DUMMYFUNCTION("""COMPUTED_VALUE"""),"EQUIPO DE GRABACIÓN PARA REPORTERO")</f>
        <v>EQUIPO DE GRABACIÓN PARA REPORTERO</v>
      </c>
      <c r="I557" s="213" t="str">
        <f>IFERROR(__xludf.DUMMYFUNCTION("""COMPUTED_VALUE"""),"Para grabación de sonidos y voces
· Con filtro de corte para ruidos no deseados
· Permite grabar un máximo de 59 horas, en estéreo en mp3 a 128 kbps
· Micrófono incorporado que permite grabar sonidos distantes o suaves
· Con memoria incorporada mínimo de "&amp;"4 GB, que pueden ampliarse a 32 GB como mínimo con una tarjeta micro SD
· Formato de grabación: mp3/L-PCM
· Conexión directa USB para una rápida transferencia de archivos
· Incluye software de aplicación para PC o software libre para edicion en usb
· Tipo"&amp;" de batería, incluida AAA")</f>
        <v>Para grabación de sonidos y voces
· Con filtro de corte para ruidos no deseados
· Permite grabar un máximo de 59 horas, en estéreo en mp3 a 128 kbps
· Micrófono incorporado que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57" s="213">
        <f>IFERROR(__xludf.DUMMYFUNCTION("""COMPUTED_VALUE"""),3.0)</f>
        <v>3</v>
      </c>
      <c r="K557" s="213" t="str">
        <f>IFERROR(__xludf.DUMMYFUNCTION("""COMPUTED_VALUE"""),"170 DÍAS CALENDARIO")</f>
        <v>170 DÍAS CALENDARIO</v>
      </c>
      <c r="L557"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57" s="213">
        <f>IFERROR(__xludf.DUMMYFUNCTION("""COMPUTED_VALUE"""),1.0)</f>
        <v>1</v>
      </c>
      <c r="N557" s="213">
        <f>IFERROR(__xludf.DUMMYFUNCTION("""COMPUTED_VALUE"""),4.0)</f>
        <v>4</v>
      </c>
      <c r="O557" s="213">
        <f>IFERROR(__xludf.DUMMYFUNCTION("""COMPUTED_VALUE"""),4.0)</f>
        <v>4</v>
      </c>
      <c r="P557" s="213"/>
      <c r="Q557" s="213"/>
      <c r="R557" s="213"/>
      <c r="S557" s="213"/>
      <c r="T557" s="213" t="str">
        <f>IFERROR(__xludf.DUMMYFUNCTION("""COMPUTED_VALUE"""),"SI")</f>
        <v>SI</v>
      </c>
      <c r="U557" s="213" t="str">
        <f>IFERROR(__xludf.DUMMYFUNCTION("""COMPUTED_VALUE"""),"SI")</f>
        <v>SI</v>
      </c>
      <c r="V557" s="213" t="str">
        <f>IFERROR(__xludf.DUMMYFUNCTION("""COMPUTED_VALUE"""),"-")</f>
        <v>-</v>
      </c>
      <c r="W557" s="213" t="str">
        <f>IFERROR(__xludf.DUMMYFUNCTION("""COMPUTED_VALUE"""),"-")</f>
        <v>-</v>
      </c>
      <c r="X557" s="213" t="str">
        <f>IFERROR(__xludf.DUMMYFUNCTION("""COMPUTED_VALUE"""),"Sony")</f>
        <v>Sony</v>
      </c>
      <c r="Y557" s="213" t="str">
        <f>IFERROR(__xludf.DUMMYFUNCTION("""COMPUTED_VALUE"""),"ICD-PX470")</f>
        <v>ICD-PX470</v>
      </c>
      <c r="Z557"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57" s="213" t="str">
        <f>IFERROR(__xludf.DUMMYFUNCTION("""COMPUTED_VALUE"""),"TEC-107-A EQUIPO DE GRABACIÓN PARA REPORTERO - CET")</f>
        <v>TEC-107-A EQUIPO DE GRABACIÓN PARA REPORTERO - CET</v>
      </c>
      <c r="AB557" s="213"/>
      <c r="AC557" s="213"/>
      <c r="AD557" s="213"/>
      <c r="AE557" s="213"/>
      <c r="AF557" s="213"/>
      <c r="AG557" s="213"/>
      <c r="AH557" s="213" t="str">
        <f>IFERROR(__xludf.DUMMYFUNCTION("""COMPUTED_VALUE"""),"NACIONAL")</f>
        <v>NACIONAL</v>
      </c>
      <c r="AI557" s="213"/>
      <c r="AJ557" s="213"/>
      <c r="AK557" s="213"/>
      <c r="AL557" s="213"/>
      <c r="AM557" s="213"/>
      <c r="AN557" s="213"/>
      <c r="AO557" s="213"/>
      <c r="AP557" s="213" t="str">
        <f>IFERROR(__xludf.DUMMYFUNCTION("""COMPUTED_VALUE"""),"NALDI")</f>
        <v>NALDI</v>
      </c>
      <c r="AQ557" s="213"/>
      <c r="AR557" s="213"/>
      <c r="AS557" s="213" t="str">
        <f>IFERROR(__xludf.DUMMYFUNCTION("""COMPUTED_VALUE"""),"Baterías alcalinas LR04 (tamaño AAA)")</f>
        <v>Baterías alcalinas LR04 (tamaño AAA)</v>
      </c>
      <c r="AT557" s="213"/>
      <c r="AU557" s="213"/>
      <c r="AV557" s="213"/>
      <c r="AW557" s="213"/>
      <c r="AX557" s="213"/>
      <c r="AY557" s="213"/>
      <c r="AZ557" s="213"/>
      <c r="BA557" s="213"/>
      <c r="BB557" s="213"/>
      <c r="BC557" s="213"/>
      <c r="BD557" s="213"/>
    </row>
    <row r="558">
      <c r="A558" s="213">
        <f>IFERROR(__xludf.DUMMYFUNCTION("""COMPUTED_VALUE"""),2529.0)</f>
        <v>2529</v>
      </c>
      <c r="B558" s="213" t="str">
        <f>IFERROR(__xludf.DUMMYFUNCTION("""COMPUTED_VALUE"""),"MANUEL ANTONIO MESONES MURO")</f>
        <v>MANUEL ANTONIO MESONES MURO</v>
      </c>
      <c r="C558" s="213" t="str">
        <f>IFERROR(__xludf.DUMMYFUNCTION("""COMPUTED_VALUE"""),"TALLER SFT DE CONSTRUCCIONES METÁLICAS")</f>
        <v>TALLER SFT DE CONSTRUCCIONES METÁLICAS</v>
      </c>
      <c r="D558" s="213" t="str">
        <f>IFERROR(__xludf.DUMMYFUNCTION("""COMPUTED_VALUE"""),"TICS")</f>
        <v>TICS</v>
      </c>
      <c r="E558" s="213" t="str">
        <f>IFERROR(__xludf.DUMMYFUNCTION("""COMPUTED_VALUE"""),"TEC-108")</f>
        <v>TEC-108</v>
      </c>
      <c r="F558" s="213" t="str">
        <f>IFERROR(__xludf.DUMMYFUNCTION("""COMPUTED_VALUE"""),"TEC-108")</f>
        <v>TEC-108</v>
      </c>
      <c r="G558" s="213"/>
      <c r="H558" s="213" t="str">
        <f>IFERROR(__xludf.DUMMYFUNCTION("""COMPUTED_VALUE"""),"EQUIPO DE SONIDO")</f>
        <v>EQUIPO DE SONIDO</v>
      </c>
      <c r="I558"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58" s="213">
        <f>IFERROR(__xludf.DUMMYFUNCTION("""COMPUTED_VALUE"""),3.0)</f>
        <v>3</v>
      </c>
      <c r="K558" s="213" t="str">
        <f>IFERROR(__xludf.DUMMYFUNCTION("""COMPUTED_VALUE"""),"170 DÍAS CALENDARIO")</f>
        <v>170 DÍAS CALENDARIO</v>
      </c>
      <c r="L558"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58" s="213">
        <f>IFERROR(__xludf.DUMMYFUNCTION("""COMPUTED_VALUE"""),1.0)</f>
        <v>1</v>
      </c>
      <c r="N558" s="213">
        <f>IFERROR(__xludf.DUMMYFUNCTION("""COMPUTED_VALUE"""),1.0)</f>
        <v>1</v>
      </c>
      <c r="O558" s="213">
        <f>IFERROR(__xludf.DUMMYFUNCTION("""COMPUTED_VALUE"""),1.0)</f>
        <v>1</v>
      </c>
      <c r="P558" s="213"/>
      <c r="Q558" s="213"/>
      <c r="R558" s="213"/>
      <c r="S558" s="213"/>
      <c r="T558" s="213" t="str">
        <f>IFERROR(__xludf.DUMMYFUNCTION("""COMPUTED_VALUE"""),"CONSULTA FINAL")</f>
        <v>CONSULTA FINAL</v>
      </c>
      <c r="U558" s="213" t="str">
        <f>IFERROR(__xludf.DUMMYFUNCTION("""COMPUTED_VALUE"""),"NO")</f>
        <v>NO</v>
      </c>
      <c r="V558" s="213" t="str">
        <f>IFERROR(__xludf.DUMMYFUNCTION("""COMPUTED_VALUE"""),"SUSTENTO")</f>
        <v>SUSTENTO</v>
      </c>
      <c r="W558" s="213" t="str">
        <f>IFERROR(__xludf.DUMMYFUNCTION("""COMPUTED_VALUE"""),"CRÍTICO, EQU TEC")</f>
        <v>CRÍTICO, EQU TEC</v>
      </c>
      <c r="X558" s="213" t="str">
        <f>IFERROR(__xludf.DUMMYFUNCTION("""COMPUTED_VALUE"""),"CREATIVE")</f>
        <v>CREATIVE</v>
      </c>
      <c r="Y558" s="213" t="str">
        <f>IFERROR(__xludf.DUMMYFUNCTION("""COMPUTED_VALUE"""),"SBS E2500")</f>
        <v>SBS E2500</v>
      </c>
      <c r="Z558" s="215" t="str">
        <f>IFERROR(__xludf.DUMMYFUNCTION("""COMPUTED_VALUE"""),"https://es.creative.com/p/speakers/creative-sbs-e2500")</f>
        <v>https://es.creative.com/p/speakers/creative-sbs-e2500</v>
      </c>
      <c r="AA558" s="215" t="str">
        <f>IFERROR(__xludf.DUMMYFUNCTION("""COMPUTED_VALUE"""),"https://docs.google.com/spreadsheets/d/1Yh6XRoLw_DStoLOpCMeejDugf1f5gy8uy4kZdTlB0pA/edit?gid=0#gid=5")</f>
        <v>https://docs.google.com/spreadsheets/d/1Yh6XRoLw_DStoLOpCMeejDugf1f5gy8uy4kZdTlB0pA/edit?gid=0#gid=5</v>
      </c>
      <c r="AB558" s="213"/>
      <c r="AC558" s="213"/>
      <c r="AD558" s="213"/>
      <c r="AE558" s="213"/>
      <c r="AF558" s="213"/>
      <c r="AG558" s="213"/>
      <c r="AH558" s="213"/>
      <c r="AI558" s="213"/>
      <c r="AJ558" s="213"/>
      <c r="AK558" s="213"/>
      <c r="AL558" s="213"/>
      <c r="AM558" s="213"/>
      <c r="AN558" s="213"/>
      <c r="AO558" s="213"/>
      <c r="AP558" s="213" t="str">
        <f>IFERROR(__xludf.DUMMYFUNCTION("""COMPUTED_VALUE"""),"NALDI")</f>
        <v>NALDI</v>
      </c>
      <c r="AQ558" s="213" t="str">
        <f>IFERROR(__xludf.DUMMYFUNCTION("""COMPUTED_VALUE"""),"Adicionar un Micrófono
El equipo debe ser instalado a la pizarra (pantalla) táctil interactiva multi-touch.")</f>
        <v>Adicionar un Micrófono
El equipo debe ser instalado a la pizarra (pantalla) táctil interactiva multi-touch.</v>
      </c>
      <c r="AR558" s="213"/>
      <c r="AS558" s="213"/>
      <c r="AT558" s="213"/>
      <c r="AU558" s="213"/>
      <c r="AV558" s="213"/>
      <c r="AW558" s="213"/>
      <c r="AX558" s="213"/>
      <c r="AY558" s="213"/>
      <c r="AZ558" s="213"/>
      <c r="BA558" s="213"/>
      <c r="BB558" s="213"/>
      <c r="BC558" s="213"/>
      <c r="BD558" s="213"/>
    </row>
    <row r="559">
      <c r="A559" s="213">
        <f>IFERROR(__xludf.DUMMYFUNCTION("""COMPUTED_VALUE"""),2650.0)</f>
        <v>2650</v>
      </c>
      <c r="B559" s="213" t="str">
        <f>IFERROR(__xludf.DUMMYFUNCTION("""COMPUTED_VALUE"""),"MANUEL ANTONIO MESONES MURO")</f>
        <v>MANUEL ANTONIO MESONES MURO</v>
      </c>
      <c r="C559" s="213" t="str">
        <f>IFERROR(__xludf.DUMMYFUNCTION("""COMPUTED_VALUE"""),"TALLER SFT DE EBANISTERÍA")</f>
        <v>TALLER SFT DE EBANISTERÍA</v>
      </c>
      <c r="D559" s="213" t="str">
        <f>IFERROR(__xludf.DUMMYFUNCTION("""COMPUTED_VALUE"""),"TICS")</f>
        <v>TICS</v>
      </c>
      <c r="E559" s="213" t="str">
        <f>IFERROR(__xludf.DUMMYFUNCTION("""COMPUTED_VALUE"""),"TEC-107")</f>
        <v>TEC-107</v>
      </c>
      <c r="F559" s="213" t="str">
        <f>IFERROR(__xludf.DUMMYFUNCTION("""COMPUTED_VALUE"""),"TEC-107-X")</f>
        <v>TEC-107-X</v>
      </c>
      <c r="G559" s="213"/>
      <c r="H559" s="213" t="str">
        <f>IFERROR(__xludf.DUMMYFUNCTION("""COMPUTED_VALUE"""),"EQUIPO DE GRABACIÓN PARA REPORTERO")</f>
        <v>EQUIPO DE GRABACIÓN PARA REPORTERO</v>
      </c>
      <c r="I559" s="213" t="str">
        <f>IFERROR(__xludf.DUMMYFUNCTION("""COMPUTED_VALUE"""),"Para grabación de sonidos y voces
· Con filtro de corte para ruidos no deseados
· Permite grabar un máximo de 59 horas, en estéreo en mp3 a 128 kbps
· Micrófono incorporado permite grabar sonidos distantes o suaves
· Con memoria incorporada mínimo de 4 GB"&amp;", que pueden ampliarse a 32 GB como mínimo con una tarjeta micro SD
· Formato de grabación: mp3/L-PCM
· Conexión directa USB para una rápida transferencia de archivos
· Incluye software de aplicación para PC o sofTware libre para edicion en usb
· Tipo de "&amp;"batería, incluida AAA")</f>
        <v>Para grabación de sonidos y voces
· Con filtro de corte para ruidos no deseados
· Permite grabar un máximo de 59 horas, en estéreo en mp3 a 128 kbps
· Micrófono incorporado permite grabar sonidos distantes o suaves
· Con memoria incorporada mínimo de 4 GB, que pueden ampliarse a 32 GB como mínimo con una tarjeta micro SD
· Formato de grabación: mp3/L-PCM
· Conexión directa USB para una rápida transferencia de archivos
· Incluye software de aplicación para PC o sofTware libre para edicion en usb
· Tipo de batería, incluida AAA</v>
      </c>
      <c r="J559" s="213">
        <f>IFERROR(__xludf.DUMMYFUNCTION("""COMPUTED_VALUE"""),3.0)</f>
        <v>3</v>
      </c>
      <c r="K559" s="213" t="str">
        <f>IFERROR(__xludf.DUMMYFUNCTION("""COMPUTED_VALUE"""),"170 DÍAS CALENDARIO")</f>
        <v>170 DÍAS CALENDARIO</v>
      </c>
      <c r="L559" s="213" t="str">
        <f>IFERROR(__xludf.DUMMYFUNCTION("""COMPUTED_VALUE"""),"ELECTRÓNICA, COCINA Y REPOSTERÍA, EBANISTERÍA, CONSTRUCCIONES METÁLICAS, ELECTRICIDAD, INDUSTRIA ALIMENTARIA, INDUSTRIA DEL VESTIDO, MECÁNICA AUTOMOTRÍZ")</f>
        <v>ELECTRÓNICA, COCINA Y REPOSTERÍA, EBANISTERÍA, CONSTRUCCIONES METÁLICAS, ELECTRICIDAD, INDUSTRIA ALIMENTARIA, INDUSTRIA DEL VESTIDO, MECÁNICA AUTOMOTRÍZ</v>
      </c>
      <c r="M559" s="213">
        <f>IFERROR(__xludf.DUMMYFUNCTION("""COMPUTED_VALUE"""),1.0)</f>
        <v>1</v>
      </c>
      <c r="N559" s="213">
        <f>IFERROR(__xludf.DUMMYFUNCTION("""COMPUTED_VALUE"""),4.0)</f>
        <v>4</v>
      </c>
      <c r="O559" s="213">
        <f>IFERROR(__xludf.DUMMYFUNCTION("""COMPUTED_VALUE"""),4.0)</f>
        <v>4</v>
      </c>
      <c r="P559" s="213"/>
      <c r="Q559" s="213"/>
      <c r="R559" s="213"/>
      <c r="S559" s="213"/>
      <c r="T559" s="213" t="str">
        <f>IFERROR(__xludf.DUMMYFUNCTION("""COMPUTED_VALUE"""),"SI")</f>
        <v>SI</v>
      </c>
      <c r="U559" s="213" t="str">
        <f>IFERROR(__xludf.DUMMYFUNCTION("""COMPUTED_VALUE"""),"SI")</f>
        <v>SI</v>
      </c>
      <c r="V559" s="213" t="str">
        <f>IFERROR(__xludf.DUMMYFUNCTION("""COMPUTED_VALUE"""),"-")</f>
        <v>-</v>
      </c>
      <c r="W559" s="213" t="str">
        <f>IFERROR(__xludf.DUMMYFUNCTION("""COMPUTED_VALUE"""),"-")</f>
        <v>-</v>
      </c>
      <c r="X559" s="213" t="str">
        <f>IFERROR(__xludf.DUMMYFUNCTION("""COMPUTED_VALUE"""),"Sony")</f>
        <v>Sony</v>
      </c>
      <c r="Y559" s="213" t="str">
        <f>IFERROR(__xludf.DUMMYFUNCTION("""COMPUTED_VALUE"""),"ICD-PX470")</f>
        <v>ICD-PX470</v>
      </c>
      <c r="Z559" s="215" t="str">
        <f>IFERROR(__xludf.DUMMYFUNCTION("""COMPUTED_VALUE"""),"https://hiraoka.com.pe/mini-grabadora-sony-icd-px470-cla?srsltid=AfmBOoqq8xxZlUpUtMZ1hqBR6cQxbrLWCpLYO22YS3PPTAp3HmUHeOWu")</f>
        <v>https://hiraoka.com.pe/mini-grabadora-sony-icd-px470-cla?srsltid=AfmBOoqq8xxZlUpUtMZ1hqBR6cQxbrLWCpLYO22YS3PPTAp3HmUHeOWu</v>
      </c>
      <c r="AA559" s="213" t="str">
        <f>IFERROR(__xludf.DUMMYFUNCTION("""COMPUTED_VALUE"""),"TEC-107-B EQUIPO DE GRABACIÓN PARA REPORTERO - CET")</f>
        <v>TEC-107-B EQUIPO DE GRABACIÓN PARA REPORTERO - CET</v>
      </c>
      <c r="AB559" s="213"/>
      <c r="AC559" s="213"/>
      <c r="AD559" s="213"/>
      <c r="AE559" s="213"/>
      <c r="AF559" s="213"/>
      <c r="AG559" s="213"/>
      <c r="AH559" s="213" t="str">
        <f>IFERROR(__xludf.DUMMYFUNCTION("""COMPUTED_VALUE"""),"NACIONAL")</f>
        <v>NACIONAL</v>
      </c>
      <c r="AI559" s="213"/>
      <c r="AJ559" s="213"/>
      <c r="AK559" s="213"/>
      <c r="AL559" s="213"/>
      <c r="AM559" s="213"/>
      <c r="AN559" s="213"/>
      <c r="AO559" s="213"/>
      <c r="AP559" s="213" t="str">
        <f>IFERROR(__xludf.DUMMYFUNCTION("""COMPUTED_VALUE"""),"NALDI")</f>
        <v>NALDI</v>
      </c>
      <c r="AQ559" s="213"/>
      <c r="AR559" s="213"/>
      <c r="AS559" s="213" t="str">
        <f>IFERROR(__xludf.DUMMYFUNCTION("""COMPUTED_VALUE"""),"Baterías alcalinas LR04 (tamaño AAA)")</f>
        <v>Baterías alcalinas LR04 (tamaño AAA)</v>
      </c>
      <c r="AT559" s="213"/>
      <c r="AU559" s="213"/>
      <c r="AV559" s="213"/>
      <c r="AW559" s="213"/>
      <c r="AX559" s="213"/>
      <c r="AY559" s="213"/>
      <c r="AZ559" s="213"/>
      <c r="BA559" s="213"/>
      <c r="BB559" s="213"/>
      <c r="BC559" s="213"/>
      <c r="BD559" s="213"/>
    </row>
    <row r="560">
      <c r="A560" s="213">
        <f>IFERROR(__xludf.DUMMYFUNCTION("""COMPUTED_VALUE"""),134.0)</f>
        <v>134</v>
      </c>
      <c r="B560" s="213" t="str">
        <f>IFERROR(__xludf.DUMMYFUNCTION("""COMPUTED_VALUE"""),"16449 ELOY SOBERON  FLORES")</f>
        <v>16449 ELOY SOBERON  FLORES</v>
      </c>
      <c r="C560" s="213" t="str">
        <f>IFERROR(__xludf.DUMMYFUNCTION("""COMPUTED_VALUE"""),"TALLER SFT DE COCINA Y REPOSTERÍA")</f>
        <v>TALLER SFT DE COCINA Y REPOSTERÍA</v>
      </c>
      <c r="D560" s="213" t="str">
        <f>IFERROR(__xludf.DUMMYFUNCTION("""COMPUTED_VALUE"""),"TICS")</f>
        <v>TICS</v>
      </c>
      <c r="E560" s="213" t="str">
        <f>IFERROR(__xludf.DUMMYFUNCTION("""COMPUTED_VALUE"""),"TEC-108")</f>
        <v>TEC-108</v>
      </c>
      <c r="F560" s="213" t="str">
        <f>IFERROR(__xludf.DUMMYFUNCTION("""COMPUTED_VALUE"""),"TEC-108")</f>
        <v>TEC-108</v>
      </c>
      <c r="G560" s="213"/>
      <c r="H560" s="213" t="str">
        <f>IFERROR(__xludf.DUMMYFUNCTION("""COMPUTED_VALUE"""),"EQUIPO DE SONIDO")</f>
        <v>EQUIPO DE SONIDO</v>
      </c>
      <c r="I560"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0" s="213">
        <f>IFERROR(__xludf.DUMMYFUNCTION("""COMPUTED_VALUE"""),3.0)</f>
        <v>3</v>
      </c>
      <c r="K560" s="213" t="str">
        <f>IFERROR(__xludf.DUMMYFUNCTION("""COMPUTED_VALUE"""),"170 DÍAS CALENDARIO")</f>
        <v>170 DÍAS CALENDARIO</v>
      </c>
      <c r="L560"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0" s="213">
        <f>IFERROR(__xludf.DUMMYFUNCTION("""COMPUTED_VALUE"""),1.0)</f>
        <v>1</v>
      </c>
      <c r="N560" s="213">
        <f>IFERROR(__xludf.DUMMYFUNCTION("""COMPUTED_VALUE"""),1.0)</f>
        <v>1</v>
      </c>
      <c r="O560" s="213">
        <f>IFERROR(__xludf.DUMMYFUNCTION("""COMPUTED_VALUE"""),1.0)</f>
        <v>1</v>
      </c>
      <c r="P560" s="213"/>
      <c r="Q560" s="213"/>
      <c r="R560" s="213"/>
      <c r="S560" s="213"/>
      <c r="T560" s="213" t="str">
        <f>IFERROR(__xludf.DUMMYFUNCTION("""COMPUTED_VALUE"""),"CONSULTA FINAL")</f>
        <v>CONSULTA FINAL</v>
      </c>
      <c r="U560" s="213" t="str">
        <f>IFERROR(__xludf.DUMMYFUNCTION("""COMPUTED_VALUE"""),"NO")</f>
        <v>NO</v>
      </c>
      <c r="V560" s="213" t="str">
        <f>IFERROR(__xludf.DUMMYFUNCTION("""COMPUTED_VALUE"""),"SUSTENTO")</f>
        <v>SUSTENTO</v>
      </c>
      <c r="W560" s="213" t="str">
        <f>IFERROR(__xludf.DUMMYFUNCTION("""COMPUTED_VALUE"""),"CRÍTICO, EQU TEC")</f>
        <v>CRÍTICO, EQU TEC</v>
      </c>
      <c r="X560" s="213" t="str">
        <f>IFERROR(__xludf.DUMMYFUNCTION("""COMPUTED_VALUE"""),"CREATIVE")</f>
        <v>CREATIVE</v>
      </c>
      <c r="Y560" s="213" t="str">
        <f>IFERROR(__xludf.DUMMYFUNCTION("""COMPUTED_VALUE"""),"SBS E2500")</f>
        <v>SBS E2500</v>
      </c>
      <c r="Z560" s="215" t="str">
        <f>IFERROR(__xludf.DUMMYFUNCTION("""COMPUTED_VALUE"""),"https://es.creative.com/p/speakers/creative-sbs-e2500")</f>
        <v>https://es.creative.com/p/speakers/creative-sbs-e2500</v>
      </c>
      <c r="AA560" s="213" t="str">
        <f>IFERROR(__xludf.DUMMYFUNCTION("""COMPUTED_VALUE"""),"TEC-108 EQUIPO DE SONIDO - CET")</f>
        <v>TEC-108 EQUIPO DE SONIDO - CET</v>
      </c>
      <c r="AB560" s="213"/>
      <c r="AC560" s="213"/>
      <c r="AD560" s="213"/>
      <c r="AE560" s="213"/>
      <c r="AF560" s="213"/>
      <c r="AG560" s="213"/>
      <c r="AH560" s="213"/>
      <c r="AI560" s="213"/>
      <c r="AJ560" s="213"/>
      <c r="AK560" s="213"/>
      <c r="AL560" s="213"/>
      <c r="AM560" s="213"/>
      <c r="AN560" s="213"/>
      <c r="AO560" s="213"/>
      <c r="AP560" s="213" t="str">
        <f>IFERROR(__xludf.DUMMYFUNCTION("""COMPUTED_VALUE"""),"NALDI")</f>
        <v>NALDI</v>
      </c>
      <c r="AQ560" s="213" t="str">
        <f>IFERROR(__xludf.DUMMYFUNCTION("""COMPUTED_VALUE"""),"Adicionar un Micrófono
El equipo debe ser instalado a la pizarra (pantalla) táctil interactiva multi-touch.")</f>
        <v>Adicionar un Micrófono
El equipo debe ser instalado a la pizarra (pantalla) táctil interactiva multi-touch.</v>
      </c>
      <c r="AR560" s="213"/>
      <c r="AS560" s="213" t="str">
        <f>IFERROR(__xludf.DUMMYFUNCTION("""COMPUTED_VALUE"""),"No se indica tiempo de duración de la batería")</f>
        <v>No se indica tiempo de duración de la batería</v>
      </c>
      <c r="AT560" s="213"/>
      <c r="AU560" s="213"/>
      <c r="AV560" s="213"/>
      <c r="AW560" s="213"/>
      <c r="AX560" s="213"/>
      <c r="AY560" s="213"/>
      <c r="AZ560" s="213"/>
      <c r="BA560" s="213"/>
      <c r="BB560" s="213"/>
      <c r="BC560" s="213"/>
      <c r="BD560" s="213"/>
    </row>
    <row r="561">
      <c r="A561" s="213">
        <f>IFERROR(__xludf.DUMMYFUNCTION("""COMPUTED_VALUE"""),211.0)</f>
        <v>211</v>
      </c>
      <c r="B561" s="213" t="str">
        <f>IFERROR(__xludf.DUMMYFUNCTION("""COMPUTED_VALUE"""),"2026 SIMON BOLIVAR")</f>
        <v>2026 SIMON BOLIVAR</v>
      </c>
      <c r="C561" s="213" t="str">
        <f>IFERROR(__xludf.DUMMYFUNCTION("""COMPUTED_VALUE"""),"TALLER SFT DE INDUSTRIA DEL VESTIDO")</f>
        <v>TALLER SFT DE INDUSTRIA DEL VESTIDO</v>
      </c>
      <c r="D561" s="213" t="str">
        <f>IFERROR(__xludf.DUMMYFUNCTION("""COMPUTED_VALUE"""),"TICS")</f>
        <v>TICS</v>
      </c>
      <c r="E561" s="213" t="str">
        <f>IFERROR(__xludf.DUMMYFUNCTION("""COMPUTED_VALUE"""),"TEC-108")</f>
        <v>TEC-108</v>
      </c>
      <c r="F561" s="213" t="str">
        <f>IFERROR(__xludf.DUMMYFUNCTION("""COMPUTED_VALUE"""),"TEC-108")</f>
        <v>TEC-108</v>
      </c>
      <c r="G561" s="213"/>
      <c r="H561" s="213" t="str">
        <f>IFERROR(__xludf.DUMMYFUNCTION("""COMPUTED_VALUE"""),"EQUIPO DE SONIDO")</f>
        <v>EQUIPO DE SONIDO</v>
      </c>
      <c r="I561"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1" s="213">
        <f>IFERROR(__xludf.DUMMYFUNCTION("""COMPUTED_VALUE"""),3.0)</f>
        <v>3</v>
      </c>
      <c r="K561" s="213" t="str">
        <f>IFERROR(__xludf.DUMMYFUNCTION("""COMPUTED_VALUE"""),"170 DÍAS CALENDARIO")</f>
        <v>170 DÍAS CALENDARIO</v>
      </c>
      <c r="L561"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1" s="213">
        <f>IFERROR(__xludf.DUMMYFUNCTION("""COMPUTED_VALUE"""),1.0)</f>
        <v>1</v>
      </c>
      <c r="N561" s="213">
        <f>IFERROR(__xludf.DUMMYFUNCTION("""COMPUTED_VALUE"""),1.0)</f>
        <v>1</v>
      </c>
      <c r="O561" s="213">
        <f>IFERROR(__xludf.DUMMYFUNCTION("""COMPUTED_VALUE"""),1.0)</f>
        <v>1</v>
      </c>
      <c r="P561" s="213"/>
      <c r="Q561" s="213"/>
      <c r="R561" s="213"/>
      <c r="S561" s="213"/>
      <c r="T561" s="213" t="str">
        <f>IFERROR(__xludf.DUMMYFUNCTION("""COMPUTED_VALUE"""),"CONSULTA FINAL")</f>
        <v>CONSULTA FINAL</v>
      </c>
      <c r="U561" s="213" t="str">
        <f>IFERROR(__xludf.DUMMYFUNCTION("""COMPUTED_VALUE"""),"NO")</f>
        <v>NO</v>
      </c>
      <c r="V561" s="213" t="str">
        <f>IFERROR(__xludf.DUMMYFUNCTION("""COMPUTED_VALUE"""),"SUSTENTO")</f>
        <v>SUSTENTO</v>
      </c>
      <c r="W561" s="213" t="str">
        <f>IFERROR(__xludf.DUMMYFUNCTION("""COMPUTED_VALUE"""),"CRÍTICO, EQU TEC")</f>
        <v>CRÍTICO, EQU TEC</v>
      </c>
      <c r="X561" s="213" t="str">
        <f>IFERROR(__xludf.DUMMYFUNCTION("""COMPUTED_VALUE"""),"CREATIVE")</f>
        <v>CREATIVE</v>
      </c>
      <c r="Y561" s="213" t="str">
        <f>IFERROR(__xludf.DUMMYFUNCTION("""COMPUTED_VALUE"""),"SBS E2500")</f>
        <v>SBS E2500</v>
      </c>
      <c r="Z561" s="215" t="str">
        <f>IFERROR(__xludf.DUMMYFUNCTION("""COMPUTED_VALUE"""),"https://es.creative.com/p/speakers/creative-sbs-e2500")</f>
        <v>https://es.creative.com/p/speakers/creative-sbs-e2500</v>
      </c>
      <c r="AA561" s="215" t="str">
        <f>IFERROR(__xludf.DUMMYFUNCTION("""COMPUTED_VALUE"""),"https://docs.google.com/spreadsheets/d/1Yh6XRoLw_DStoLOpCMeejDugf1f5gy8uy4kZdTlB0pA/edit?gid=0#gid=15")</f>
        <v>https://docs.google.com/spreadsheets/d/1Yh6XRoLw_DStoLOpCMeejDugf1f5gy8uy4kZdTlB0pA/edit?gid=0#gid=15</v>
      </c>
      <c r="AB561" s="213"/>
      <c r="AC561" s="213"/>
      <c r="AD561" s="213"/>
      <c r="AE561" s="213"/>
      <c r="AF561" s="213"/>
      <c r="AG561" s="213"/>
      <c r="AH561" s="213"/>
      <c r="AI561" s="213"/>
      <c r="AJ561" s="213"/>
      <c r="AK561" s="213"/>
      <c r="AL561" s="213"/>
      <c r="AM561" s="213"/>
      <c r="AN561" s="213"/>
      <c r="AO561" s="213"/>
      <c r="AP561" s="213" t="str">
        <f>IFERROR(__xludf.DUMMYFUNCTION("""COMPUTED_VALUE"""),"NALDI")</f>
        <v>NALDI</v>
      </c>
      <c r="AQ561" s="213" t="str">
        <f>IFERROR(__xludf.DUMMYFUNCTION("""COMPUTED_VALUE"""),"Adicionar un Micrófono
El equipo debe ser instalado a la pizarra (pantalla) táctil interactiva multi-touch.")</f>
        <v>Adicionar un Micrófono
El equipo debe ser instalado a la pizarra (pantalla) táctil interactiva multi-touch.</v>
      </c>
      <c r="AR561" s="213"/>
      <c r="AS561" s="213" t="str">
        <f>IFERROR(__xludf.DUMMYFUNCTION("""COMPUTED_VALUE"""),"No se indica tiempo de duración de la batería")</f>
        <v>No se indica tiempo de duración de la batería</v>
      </c>
      <c r="AT561" s="213"/>
      <c r="AU561" s="213"/>
      <c r="AV561" s="213"/>
      <c r="AW561" s="213"/>
      <c r="AX561" s="213"/>
      <c r="AY561" s="213"/>
      <c r="AZ561" s="213"/>
      <c r="BA561" s="213"/>
      <c r="BB561" s="213"/>
      <c r="BC561" s="213"/>
      <c r="BD561" s="213"/>
    </row>
    <row r="562">
      <c r="A562" s="213">
        <f>IFERROR(__xludf.DUMMYFUNCTION("""COMPUTED_VALUE"""),298.0)</f>
        <v>298</v>
      </c>
      <c r="B562" s="213" t="str">
        <f>IFERROR(__xludf.DUMMYFUNCTION("""COMPUTED_VALUE"""),"2026 SIMON BOLIVAR")</f>
        <v>2026 SIMON BOLIVAR</v>
      </c>
      <c r="C562" s="213" t="str">
        <f>IFERROR(__xludf.DUMMYFUNCTION("""COMPUTED_VALUE"""),"TALLER SFT DE COMPUTACIÓN E INFORMÁTICA")</f>
        <v>TALLER SFT DE COMPUTACIÓN E INFORMÁTICA</v>
      </c>
      <c r="D562" s="213" t="str">
        <f>IFERROR(__xludf.DUMMYFUNCTION("""COMPUTED_VALUE"""),"TICS")</f>
        <v>TICS</v>
      </c>
      <c r="E562" s="213" t="str">
        <f>IFERROR(__xludf.DUMMYFUNCTION("""COMPUTED_VALUE"""),"TEC-108")</f>
        <v>TEC-108</v>
      </c>
      <c r="F562" s="213" t="str">
        <f>IFERROR(__xludf.DUMMYFUNCTION("""COMPUTED_VALUE"""),"TEC-108")</f>
        <v>TEC-108</v>
      </c>
      <c r="G562" s="213"/>
      <c r="H562" s="213" t="str">
        <f>IFERROR(__xludf.DUMMYFUNCTION("""COMPUTED_VALUE"""),"EQUIPO DE SONIDO")</f>
        <v>EQUIPO DE SONIDO</v>
      </c>
      <c r="I562"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2" s="213">
        <f>IFERROR(__xludf.DUMMYFUNCTION("""COMPUTED_VALUE"""),3.0)</f>
        <v>3</v>
      </c>
      <c r="K562" s="213" t="str">
        <f>IFERROR(__xludf.DUMMYFUNCTION("""COMPUTED_VALUE"""),"170 DÍAS CALENDARIO")</f>
        <v>170 DÍAS CALENDARIO</v>
      </c>
      <c r="L562"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2" s="213">
        <f>IFERROR(__xludf.DUMMYFUNCTION("""COMPUTED_VALUE"""),1.0)</f>
        <v>1</v>
      </c>
      <c r="N562" s="213">
        <f>IFERROR(__xludf.DUMMYFUNCTION("""COMPUTED_VALUE"""),1.0)</f>
        <v>1</v>
      </c>
      <c r="O562" s="213">
        <f>IFERROR(__xludf.DUMMYFUNCTION("""COMPUTED_VALUE"""),1.0)</f>
        <v>1</v>
      </c>
      <c r="P562" s="213"/>
      <c r="Q562" s="213"/>
      <c r="R562" s="213"/>
      <c r="S562" s="213"/>
      <c r="T562" s="213" t="str">
        <f>IFERROR(__xludf.DUMMYFUNCTION("""COMPUTED_VALUE"""),"CONSULTA FINAL")</f>
        <v>CONSULTA FINAL</v>
      </c>
      <c r="U562" s="213" t="str">
        <f>IFERROR(__xludf.DUMMYFUNCTION("""COMPUTED_VALUE"""),"NO")</f>
        <v>NO</v>
      </c>
      <c r="V562" s="213" t="str">
        <f>IFERROR(__xludf.DUMMYFUNCTION("""COMPUTED_VALUE"""),"SUSTENTO")</f>
        <v>SUSTENTO</v>
      </c>
      <c r="W562" s="213" t="str">
        <f>IFERROR(__xludf.DUMMYFUNCTION("""COMPUTED_VALUE"""),"CRÍTICO, EQU TEC")</f>
        <v>CRÍTICO, EQU TEC</v>
      </c>
      <c r="X562" s="213" t="str">
        <f>IFERROR(__xludf.DUMMYFUNCTION("""COMPUTED_VALUE"""),"CREATIVE")</f>
        <v>CREATIVE</v>
      </c>
      <c r="Y562" s="213" t="str">
        <f>IFERROR(__xludf.DUMMYFUNCTION("""COMPUTED_VALUE"""),"SBS E2500")</f>
        <v>SBS E2500</v>
      </c>
      <c r="Z562" s="215" t="str">
        <f>IFERROR(__xludf.DUMMYFUNCTION("""COMPUTED_VALUE"""),"https://es.creative.com/p/speakers/creative-sbs-e2500")</f>
        <v>https://es.creative.com/p/speakers/creative-sbs-e2500</v>
      </c>
      <c r="AA562" s="215" t="str">
        <f>IFERROR(__xludf.DUMMYFUNCTION("""COMPUTED_VALUE"""),"https://docs.google.com/spreadsheets/d/1Yh6XRoLw_DStoLOpCMeejDugf1f5gy8uy4kZdTlB0pA/edit?gid=0#gid=1")</f>
        <v>https://docs.google.com/spreadsheets/d/1Yh6XRoLw_DStoLOpCMeejDugf1f5gy8uy4kZdTlB0pA/edit?gid=0#gid=1</v>
      </c>
      <c r="AB562" s="213"/>
      <c r="AC562" s="213"/>
      <c r="AD562" s="213"/>
      <c r="AE562" s="213"/>
      <c r="AF562" s="213"/>
      <c r="AG562" s="213"/>
      <c r="AH562" s="213"/>
      <c r="AI562" s="213"/>
      <c r="AJ562" s="213"/>
      <c r="AK562" s="213"/>
      <c r="AL562" s="213"/>
      <c r="AM562" s="213"/>
      <c r="AN562" s="213"/>
      <c r="AO562" s="213"/>
      <c r="AP562" s="213" t="str">
        <f>IFERROR(__xludf.DUMMYFUNCTION("""COMPUTED_VALUE"""),"NALDI")</f>
        <v>NALDI</v>
      </c>
      <c r="AQ562" s="213" t="str">
        <f>IFERROR(__xludf.DUMMYFUNCTION("""COMPUTED_VALUE"""),"Adicionar un Micrófono
El equipo debe ser instalado a la pizarra (pantalla) táctil interactiva multi-touch.")</f>
        <v>Adicionar un Micrófono
El equipo debe ser instalado a la pizarra (pantalla) táctil interactiva multi-touch.</v>
      </c>
      <c r="AR562" s="213"/>
      <c r="AS562" s="213" t="str">
        <f>IFERROR(__xludf.DUMMYFUNCTION("""COMPUTED_VALUE"""),"No se indica tiempo de duración de la batería")</f>
        <v>No se indica tiempo de duración de la batería</v>
      </c>
      <c r="AT562" s="213"/>
      <c r="AU562" s="213"/>
      <c r="AV562" s="213"/>
      <c r="AW562" s="213"/>
      <c r="AX562" s="213"/>
      <c r="AY562" s="213"/>
      <c r="AZ562" s="213"/>
      <c r="BA562" s="213"/>
      <c r="BB562" s="213"/>
      <c r="BC562" s="213"/>
      <c r="BD562" s="213"/>
    </row>
    <row r="563">
      <c r="A563" s="213">
        <f>IFERROR(__xludf.DUMMYFUNCTION("""COMPUTED_VALUE"""),378.0)</f>
        <v>378</v>
      </c>
      <c r="B563" s="213" t="str">
        <f>IFERROR(__xludf.DUMMYFUNCTION("""COMPUTED_VALUE"""),"2026 SIMON BOLIVAR")</f>
        <v>2026 SIMON BOLIVAR</v>
      </c>
      <c r="C563" s="213" t="str">
        <f>IFERROR(__xludf.DUMMYFUNCTION("""COMPUTED_VALUE"""),"TALLER SFT DE ELECTRICIDAD")</f>
        <v>TALLER SFT DE ELECTRICIDAD</v>
      </c>
      <c r="D563" s="213" t="str">
        <f>IFERROR(__xludf.DUMMYFUNCTION("""COMPUTED_VALUE"""),"TICS")</f>
        <v>TICS</v>
      </c>
      <c r="E563" s="213" t="str">
        <f>IFERROR(__xludf.DUMMYFUNCTION("""COMPUTED_VALUE"""),"TEC-108")</f>
        <v>TEC-108</v>
      </c>
      <c r="F563" s="213" t="str">
        <f>IFERROR(__xludf.DUMMYFUNCTION("""COMPUTED_VALUE"""),"TEC-108")</f>
        <v>TEC-108</v>
      </c>
      <c r="G563" s="213"/>
      <c r="H563" s="213" t="str">
        <f>IFERROR(__xludf.DUMMYFUNCTION("""COMPUTED_VALUE"""),"EQUIPO DE SONIDO")</f>
        <v>EQUIPO DE SONIDO</v>
      </c>
      <c r="I563"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3" s="213">
        <f>IFERROR(__xludf.DUMMYFUNCTION("""COMPUTED_VALUE"""),3.0)</f>
        <v>3</v>
      </c>
      <c r="K563" s="213" t="str">
        <f>IFERROR(__xludf.DUMMYFUNCTION("""COMPUTED_VALUE"""),"170 DÍAS CALENDARIO")</f>
        <v>170 DÍAS CALENDARIO</v>
      </c>
      <c r="L563"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3" s="213">
        <f>IFERROR(__xludf.DUMMYFUNCTION("""COMPUTED_VALUE"""),1.0)</f>
        <v>1</v>
      </c>
      <c r="N563" s="213">
        <f>IFERROR(__xludf.DUMMYFUNCTION("""COMPUTED_VALUE"""),1.0)</f>
        <v>1</v>
      </c>
      <c r="O563" s="213">
        <f>IFERROR(__xludf.DUMMYFUNCTION("""COMPUTED_VALUE"""),1.0)</f>
        <v>1</v>
      </c>
      <c r="P563" s="213"/>
      <c r="Q563" s="213"/>
      <c r="R563" s="213"/>
      <c r="S563" s="213"/>
      <c r="T563" s="213" t="str">
        <f>IFERROR(__xludf.DUMMYFUNCTION("""COMPUTED_VALUE"""),"CONSULTA FINAL")</f>
        <v>CONSULTA FINAL</v>
      </c>
      <c r="U563" s="213" t="str">
        <f>IFERROR(__xludf.DUMMYFUNCTION("""COMPUTED_VALUE"""),"NO")</f>
        <v>NO</v>
      </c>
      <c r="V563" s="213" t="str">
        <f>IFERROR(__xludf.DUMMYFUNCTION("""COMPUTED_VALUE"""),"SUSTENTO")</f>
        <v>SUSTENTO</v>
      </c>
      <c r="W563" s="213" t="str">
        <f>IFERROR(__xludf.DUMMYFUNCTION("""COMPUTED_VALUE"""),"CRÍTICO, EQU TEC")</f>
        <v>CRÍTICO, EQU TEC</v>
      </c>
      <c r="X563" s="213" t="str">
        <f>IFERROR(__xludf.DUMMYFUNCTION("""COMPUTED_VALUE"""),"CREATIVE")</f>
        <v>CREATIVE</v>
      </c>
      <c r="Y563" s="213" t="str">
        <f>IFERROR(__xludf.DUMMYFUNCTION("""COMPUTED_VALUE"""),"SBS E2500")</f>
        <v>SBS E2500</v>
      </c>
      <c r="Z563" s="215" t="str">
        <f>IFERROR(__xludf.DUMMYFUNCTION("""COMPUTED_VALUE"""),"https://es.creative.com/p/speakers/creative-sbs-e2500")</f>
        <v>https://es.creative.com/p/speakers/creative-sbs-e2500</v>
      </c>
      <c r="AA563" s="215" t="str">
        <f>IFERROR(__xludf.DUMMYFUNCTION("""COMPUTED_VALUE"""),"https://docs.google.com/spreadsheets/d/1Yh6XRoLw_DStoLOpCMeejDugf1f5gy8uy4kZdTlB0pA/edit?gid=0#gid=8")</f>
        <v>https://docs.google.com/spreadsheets/d/1Yh6XRoLw_DStoLOpCMeejDugf1f5gy8uy4kZdTlB0pA/edit?gid=0#gid=8</v>
      </c>
      <c r="AB563" s="213"/>
      <c r="AC563" s="213"/>
      <c r="AD563" s="213"/>
      <c r="AE563" s="213"/>
      <c r="AF563" s="213"/>
      <c r="AG563" s="213"/>
      <c r="AH563" s="213"/>
      <c r="AI563" s="213"/>
      <c r="AJ563" s="213"/>
      <c r="AK563" s="213"/>
      <c r="AL563" s="213"/>
      <c r="AM563" s="213"/>
      <c r="AN563" s="213"/>
      <c r="AO563" s="213"/>
      <c r="AP563" s="213" t="str">
        <f>IFERROR(__xludf.DUMMYFUNCTION("""COMPUTED_VALUE"""),"NALDI")</f>
        <v>NALDI</v>
      </c>
      <c r="AQ563" s="213" t="str">
        <f>IFERROR(__xludf.DUMMYFUNCTION("""COMPUTED_VALUE"""),"Adicionar un Micrófono
El equipo debe ser instalado a la pizarra (pantalla) táctil interactiva multi-touch.")</f>
        <v>Adicionar un Micrófono
El equipo debe ser instalado a la pizarra (pantalla) táctil interactiva multi-touch.</v>
      </c>
      <c r="AR563" s="213"/>
      <c r="AS563" s="213" t="str">
        <f>IFERROR(__xludf.DUMMYFUNCTION("""COMPUTED_VALUE"""),"No se indica tiempo de duración de la batería")</f>
        <v>No se indica tiempo de duración de la batería</v>
      </c>
      <c r="AT563" s="213"/>
      <c r="AU563" s="213"/>
      <c r="AV563" s="213"/>
      <c r="AW563" s="213"/>
      <c r="AX563" s="213"/>
      <c r="AY563" s="213"/>
      <c r="AZ563" s="213"/>
      <c r="BA563" s="213"/>
      <c r="BB563" s="213"/>
      <c r="BC563" s="213"/>
      <c r="BD563" s="213"/>
    </row>
    <row r="564">
      <c r="A564" s="213">
        <f>IFERROR(__xludf.DUMMYFUNCTION("""COMPUTED_VALUE"""),575.0)</f>
        <v>575</v>
      </c>
      <c r="B564" s="213" t="str">
        <f>IFERROR(__xludf.DUMMYFUNCTION("""COMPUTED_VALUE"""),"2026 SIMON BOLIVAR")</f>
        <v>2026 SIMON BOLIVAR</v>
      </c>
      <c r="C564" s="213" t="str">
        <f>IFERROR(__xludf.DUMMYFUNCTION("""COMPUTED_VALUE"""),"TALLER SFT DE INDUSTRIA ALIMENTARIA")</f>
        <v>TALLER SFT DE INDUSTRIA ALIMENTARIA</v>
      </c>
      <c r="D564" s="213" t="str">
        <f>IFERROR(__xludf.DUMMYFUNCTION("""COMPUTED_VALUE"""),"TICS")</f>
        <v>TICS</v>
      </c>
      <c r="E564" s="213" t="str">
        <f>IFERROR(__xludf.DUMMYFUNCTION("""COMPUTED_VALUE"""),"TEC-108")</f>
        <v>TEC-108</v>
      </c>
      <c r="F564" s="213" t="str">
        <f>IFERROR(__xludf.DUMMYFUNCTION("""COMPUTED_VALUE"""),"TEC-108")</f>
        <v>TEC-108</v>
      </c>
      <c r="G564" s="213"/>
      <c r="H564" s="213" t="str">
        <f>IFERROR(__xludf.DUMMYFUNCTION("""COMPUTED_VALUE"""),"EQUIPO DE SONIDO")</f>
        <v>EQUIPO DE SONIDO</v>
      </c>
      <c r="I564"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4" s="213">
        <f>IFERROR(__xludf.DUMMYFUNCTION("""COMPUTED_VALUE"""),3.0)</f>
        <v>3</v>
      </c>
      <c r="K564" s="213" t="str">
        <f>IFERROR(__xludf.DUMMYFUNCTION("""COMPUTED_VALUE"""),"170 DÍAS CALENDARIO")</f>
        <v>170 DÍAS CALENDARIO</v>
      </c>
      <c r="L564"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4" s="213">
        <f>IFERROR(__xludf.DUMMYFUNCTION("""COMPUTED_VALUE"""),1.0)</f>
        <v>1</v>
      </c>
      <c r="N564" s="213">
        <f>IFERROR(__xludf.DUMMYFUNCTION("""COMPUTED_VALUE"""),1.0)</f>
        <v>1</v>
      </c>
      <c r="O564" s="213">
        <f>IFERROR(__xludf.DUMMYFUNCTION("""COMPUTED_VALUE"""),1.0)</f>
        <v>1</v>
      </c>
      <c r="P564" s="213"/>
      <c r="Q564" s="213"/>
      <c r="R564" s="213"/>
      <c r="S564" s="213"/>
      <c r="T564" s="213" t="str">
        <f>IFERROR(__xludf.DUMMYFUNCTION("""COMPUTED_VALUE"""),"CONSULTA FINAL")</f>
        <v>CONSULTA FINAL</v>
      </c>
      <c r="U564" s="213" t="str">
        <f>IFERROR(__xludf.DUMMYFUNCTION("""COMPUTED_VALUE"""),"NO")</f>
        <v>NO</v>
      </c>
      <c r="V564" s="213" t="str">
        <f>IFERROR(__xludf.DUMMYFUNCTION("""COMPUTED_VALUE"""),"SUSTENTO")</f>
        <v>SUSTENTO</v>
      </c>
      <c r="W564" s="213" t="str">
        <f>IFERROR(__xludf.DUMMYFUNCTION("""COMPUTED_VALUE"""),"CRÍTICO, EQU TEC")</f>
        <v>CRÍTICO, EQU TEC</v>
      </c>
      <c r="X564" s="213" t="str">
        <f>IFERROR(__xludf.DUMMYFUNCTION("""COMPUTED_VALUE"""),"CREATIVE")</f>
        <v>CREATIVE</v>
      </c>
      <c r="Y564" s="213" t="str">
        <f>IFERROR(__xludf.DUMMYFUNCTION("""COMPUTED_VALUE"""),"SBS E2500")</f>
        <v>SBS E2500</v>
      </c>
      <c r="Z564" s="215" t="str">
        <f>IFERROR(__xludf.DUMMYFUNCTION("""COMPUTED_VALUE"""),"https://es.creative.com/p/speakers/creative-sbs-e2500")</f>
        <v>https://es.creative.com/p/speakers/creative-sbs-e2500</v>
      </c>
      <c r="AA564" s="215" t="str">
        <f>IFERROR(__xludf.DUMMYFUNCTION("""COMPUTED_VALUE"""),"https://docs.google.com/spreadsheets/d/1Yh6XRoLw_DStoLOpCMeejDugf1f5gy8uy4kZdTlB0pA/edit?gid=0#gid=12")</f>
        <v>https://docs.google.com/spreadsheets/d/1Yh6XRoLw_DStoLOpCMeejDugf1f5gy8uy4kZdTlB0pA/edit?gid=0#gid=12</v>
      </c>
      <c r="AB564" s="213"/>
      <c r="AC564" s="213"/>
      <c r="AD564" s="213"/>
      <c r="AE564" s="213"/>
      <c r="AF564" s="213"/>
      <c r="AG564" s="213"/>
      <c r="AH564" s="213"/>
      <c r="AI564" s="213"/>
      <c r="AJ564" s="213"/>
      <c r="AK564" s="213"/>
      <c r="AL564" s="213"/>
      <c r="AM564" s="213"/>
      <c r="AN564" s="213"/>
      <c r="AO564" s="213"/>
      <c r="AP564" s="213" t="str">
        <f>IFERROR(__xludf.DUMMYFUNCTION("""COMPUTED_VALUE"""),"NALDI")</f>
        <v>NALDI</v>
      </c>
      <c r="AQ564" s="213" t="str">
        <f>IFERROR(__xludf.DUMMYFUNCTION("""COMPUTED_VALUE"""),"Adicionar un Micrófono
El equipo debe ser instalado a la pizarra (pantalla) táctil interactiva multi-touch.")</f>
        <v>Adicionar un Micrófono
El equipo debe ser instalado a la pizarra (pantalla) táctil interactiva multi-touch.</v>
      </c>
      <c r="AR564" s="213"/>
      <c r="AS564" s="213" t="str">
        <f>IFERROR(__xludf.DUMMYFUNCTION("""COMPUTED_VALUE"""),"No se indica tiempo de duración de la batería")</f>
        <v>No se indica tiempo de duración de la batería</v>
      </c>
      <c r="AT564" s="213"/>
      <c r="AU564" s="213"/>
      <c r="AV564" s="213"/>
      <c r="AW564" s="213"/>
      <c r="AX564" s="213"/>
      <c r="AY564" s="213"/>
      <c r="AZ564" s="213"/>
      <c r="BA564" s="213"/>
      <c r="BB564" s="213"/>
      <c r="BC564" s="213"/>
      <c r="BD564" s="213"/>
    </row>
    <row r="565">
      <c r="A565" s="213">
        <f>IFERROR(__xludf.DUMMYFUNCTION("""COMPUTED_VALUE"""),663.0)</f>
        <v>663</v>
      </c>
      <c r="B565" s="213" t="str">
        <f>IFERROR(__xludf.DUMMYFUNCTION("""COMPUTED_VALUE"""),"6049 RICARDO PALMA")</f>
        <v>6049 RICARDO PALMA</v>
      </c>
      <c r="C565" s="213" t="str">
        <f>IFERROR(__xludf.DUMMYFUNCTION("""COMPUTED_VALUE"""),"TALLER SFT DE ELECTRÓNICA")</f>
        <v>TALLER SFT DE ELECTRÓNICA</v>
      </c>
      <c r="D565" s="213" t="str">
        <f>IFERROR(__xludf.DUMMYFUNCTION("""COMPUTED_VALUE"""),"TICS")</f>
        <v>TICS</v>
      </c>
      <c r="E565" s="213" t="str">
        <f>IFERROR(__xludf.DUMMYFUNCTION("""COMPUTED_VALUE"""),"TEC-108")</f>
        <v>TEC-108</v>
      </c>
      <c r="F565" s="213" t="str">
        <f>IFERROR(__xludf.DUMMYFUNCTION("""COMPUTED_VALUE"""),"TEC-108")</f>
        <v>TEC-108</v>
      </c>
      <c r="G565" s="213"/>
      <c r="H565" s="213" t="str">
        <f>IFERROR(__xludf.DUMMYFUNCTION("""COMPUTED_VALUE"""),"EQUIPO DE SONIDO")</f>
        <v>EQUIPO DE SONIDO</v>
      </c>
      <c r="I565"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5" s="213">
        <f>IFERROR(__xludf.DUMMYFUNCTION("""COMPUTED_VALUE"""),3.0)</f>
        <v>3</v>
      </c>
      <c r="K565" s="213" t="str">
        <f>IFERROR(__xludf.DUMMYFUNCTION("""COMPUTED_VALUE"""),"170 DÍAS CALENDARIO")</f>
        <v>170 DÍAS CALENDARIO</v>
      </c>
      <c r="L565"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5" s="213">
        <f>IFERROR(__xludf.DUMMYFUNCTION("""COMPUTED_VALUE"""),1.0)</f>
        <v>1</v>
      </c>
      <c r="N565" s="213">
        <f>IFERROR(__xludf.DUMMYFUNCTION("""COMPUTED_VALUE"""),1.0)</f>
        <v>1</v>
      </c>
      <c r="O565" s="213">
        <f>IFERROR(__xludf.DUMMYFUNCTION("""COMPUTED_VALUE"""),1.0)</f>
        <v>1</v>
      </c>
      <c r="P565" s="213"/>
      <c r="Q565" s="213"/>
      <c r="R565" s="213"/>
      <c r="S565" s="213"/>
      <c r="T565" s="213" t="str">
        <f>IFERROR(__xludf.DUMMYFUNCTION("""COMPUTED_VALUE"""),"CONSULTA FINAL")</f>
        <v>CONSULTA FINAL</v>
      </c>
      <c r="U565" s="213" t="str">
        <f>IFERROR(__xludf.DUMMYFUNCTION("""COMPUTED_VALUE"""),"NO")</f>
        <v>NO</v>
      </c>
      <c r="V565" s="213" t="str">
        <f>IFERROR(__xludf.DUMMYFUNCTION("""COMPUTED_VALUE"""),"SUSTENTO")</f>
        <v>SUSTENTO</v>
      </c>
      <c r="W565" s="213" t="str">
        <f>IFERROR(__xludf.DUMMYFUNCTION("""COMPUTED_VALUE"""),"CRÍTICO, EQU TEC")</f>
        <v>CRÍTICO, EQU TEC</v>
      </c>
      <c r="X565" s="213" t="str">
        <f>IFERROR(__xludf.DUMMYFUNCTION("""COMPUTED_VALUE"""),"CREATIVE")</f>
        <v>CREATIVE</v>
      </c>
      <c r="Y565" s="213" t="str">
        <f>IFERROR(__xludf.DUMMYFUNCTION("""COMPUTED_VALUE"""),"SBS E2500")</f>
        <v>SBS E2500</v>
      </c>
      <c r="Z565" s="215" t="str">
        <f>IFERROR(__xludf.DUMMYFUNCTION("""COMPUTED_VALUE"""),"https://es.creative.com/p/speakers/creative-sbs-e2500")</f>
        <v>https://es.creative.com/p/speakers/creative-sbs-e2500</v>
      </c>
      <c r="AA565" s="215" t="str">
        <f>IFERROR(__xludf.DUMMYFUNCTION("""COMPUTED_VALUE"""),"https://docs.google.com/spreadsheets/d/1Yh6XRoLw_DStoLOpCMeejDugf1f5gy8uy4kZdTlB0pA/edit?gid=0#gid=11")</f>
        <v>https://docs.google.com/spreadsheets/d/1Yh6XRoLw_DStoLOpCMeejDugf1f5gy8uy4kZdTlB0pA/edit?gid=0#gid=11</v>
      </c>
      <c r="AB565" s="213"/>
      <c r="AC565" s="213"/>
      <c r="AD565" s="213"/>
      <c r="AE565" s="213"/>
      <c r="AF565" s="213"/>
      <c r="AG565" s="213"/>
      <c r="AH565" s="213"/>
      <c r="AI565" s="213"/>
      <c r="AJ565" s="213"/>
      <c r="AK565" s="213"/>
      <c r="AL565" s="213"/>
      <c r="AM565" s="213"/>
      <c r="AN565" s="213"/>
      <c r="AO565" s="213"/>
      <c r="AP565" s="213" t="str">
        <f>IFERROR(__xludf.DUMMYFUNCTION("""COMPUTED_VALUE"""),"NALDI")</f>
        <v>NALDI</v>
      </c>
      <c r="AQ565" s="213" t="str">
        <f>IFERROR(__xludf.DUMMYFUNCTION("""COMPUTED_VALUE"""),"Adicionar un Micrófono
El equipo debe ser instalado a la pizarra (pantalla) táctil interactiva multi-touch.")</f>
        <v>Adicionar un Micrófono
El equipo debe ser instalado a la pizarra (pantalla) táctil interactiva multi-touch.</v>
      </c>
      <c r="AR565" s="213"/>
      <c r="AS565" s="213" t="str">
        <f>IFERROR(__xludf.DUMMYFUNCTION("""COMPUTED_VALUE"""),"No se indica tiempo de duración de la batería")</f>
        <v>No se indica tiempo de duración de la batería</v>
      </c>
      <c r="AT565" s="213"/>
      <c r="AU565" s="213"/>
      <c r="AV565" s="213"/>
      <c r="AW565" s="213"/>
      <c r="AX565" s="213"/>
      <c r="AY565" s="213"/>
      <c r="AZ565" s="213"/>
      <c r="BA565" s="213"/>
      <c r="BB565" s="213"/>
      <c r="BC565" s="213"/>
      <c r="BD565" s="213"/>
    </row>
    <row r="566">
      <c r="A566" s="213">
        <f>IFERROR(__xludf.DUMMYFUNCTION("""COMPUTED_VALUE"""),784.0)</f>
        <v>784</v>
      </c>
      <c r="B566" s="213" t="str">
        <f>IFERROR(__xludf.DUMMYFUNCTION("""COMPUTED_VALUE"""),"6049 RICARDO PALMA")</f>
        <v>6049 RICARDO PALMA</v>
      </c>
      <c r="C566" s="213" t="str">
        <f>IFERROR(__xludf.DUMMYFUNCTION("""COMPUTED_VALUE"""),"TALLER SFT DE COMPUTACIÓN E INFORMÁTICA")</f>
        <v>TALLER SFT DE COMPUTACIÓN E INFORMÁTICA</v>
      </c>
      <c r="D566" s="213" t="str">
        <f>IFERROR(__xludf.DUMMYFUNCTION("""COMPUTED_VALUE"""),"TICS")</f>
        <v>TICS</v>
      </c>
      <c r="E566" s="213" t="str">
        <f>IFERROR(__xludf.DUMMYFUNCTION("""COMPUTED_VALUE"""),"TEC-108")</f>
        <v>TEC-108</v>
      </c>
      <c r="F566" s="213" t="str">
        <f>IFERROR(__xludf.DUMMYFUNCTION("""COMPUTED_VALUE"""),"TEC-108")</f>
        <v>TEC-108</v>
      </c>
      <c r="G566" s="213"/>
      <c r="H566" s="213" t="str">
        <f>IFERROR(__xludf.DUMMYFUNCTION("""COMPUTED_VALUE"""),"EQUIPO DE SONIDO")</f>
        <v>EQUIPO DE SONIDO</v>
      </c>
      <c r="I566"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6" s="213">
        <f>IFERROR(__xludf.DUMMYFUNCTION("""COMPUTED_VALUE"""),3.0)</f>
        <v>3</v>
      </c>
      <c r="K566" s="213" t="str">
        <f>IFERROR(__xludf.DUMMYFUNCTION("""COMPUTED_VALUE"""),"170 DÍAS CALENDARIO")</f>
        <v>170 DÍAS CALENDARIO</v>
      </c>
      <c r="L566"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6" s="213">
        <f>IFERROR(__xludf.DUMMYFUNCTION("""COMPUTED_VALUE"""),1.0)</f>
        <v>1</v>
      </c>
      <c r="N566" s="213">
        <f>IFERROR(__xludf.DUMMYFUNCTION("""COMPUTED_VALUE"""),1.0)</f>
        <v>1</v>
      </c>
      <c r="O566" s="213">
        <f>IFERROR(__xludf.DUMMYFUNCTION("""COMPUTED_VALUE"""),1.0)</f>
        <v>1</v>
      </c>
      <c r="P566" s="213"/>
      <c r="Q566" s="213"/>
      <c r="R566" s="213"/>
      <c r="S566" s="213"/>
      <c r="T566" s="213" t="str">
        <f>IFERROR(__xludf.DUMMYFUNCTION("""COMPUTED_VALUE"""),"CONSULTA FINAL")</f>
        <v>CONSULTA FINAL</v>
      </c>
      <c r="U566" s="213" t="str">
        <f>IFERROR(__xludf.DUMMYFUNCTION("""COMPUTED_VALUE"""),"NO")</f>
        <v>NO</v>
      </c>
      <c r="V566" s="213" t="str">
        <f>IFERROR(__xludf.DUMMYFUNCTION("""COMPUTED_VALUE"""),"SUSTENTO")</f>
        <v>SUSTENTO</v>
      </c>
      <c r="W566" s="213" t="str">
        <f>IFERROR(__xludf.DUMMYFUNCTION("""COMPUTED_VALUE"""),"CRÍTICO, EQU TEC")</f>
        <v>CRÍTICO, EQU TEC</v>
      </c>
      <c r="X566" s="213" t="str">
        <f>IFERROR(__xludf.DUMMYFUNCTION("""COMPUTED_VALUE"""),"CREATIVE")</f>
        <v>CREATIVE</v>
      </c>
      <c r="Y566" s="213" t="str">
        <f>IFERROR(__xludf.DUMMYFUNCTION("""COMPUTED_VALUE"""),"SBS E2500")</f>
        <v>SBS E2500</v>
      </c>
      <c r="Z566" s="215" t="str">
        <f>IFERROR(__xludf.DUMMYFUNCTION("""COMPUTED_VALUE"""),"https://es.creative.com/p/speakers/creative-sbs-e2500")</f>
        <v>https://es.creative.com/p/speakers/creative-sbs-e2500</v>
      </c>
      <c r="AA566" s="215" t="str">
        <f>IFERROR(__xludf.DUMMYFUNCTION("""COMPUTED_VALUE"""),"https://docs.google.com/spreadsheets/d/1Yh6XRoLw_DStoLOpCMeejDugf1f5gy8uy4kZdTlB0pA/edit?gid=0#gid=2")</f>
        <v>https://docs.google.com/spreadsheets/d/1Yh6XRoLw_DStoLOpCMeejDugf1f5gy8uy4kZdTlB0pA/edit?gid=0#gid=2</v>
      </c>
      <c r="AB566" s="213"/>
      <c r="AC566" s="213"/>
      <c r="AD566" s="213"/>
      <c r="AE566" s="213"/>
      <c r="AF566" s="213"/>
      <c r="AG566" s="213"/>
      <c r="AH566" s="213"/>
      <c r="AI566" s="213"/>
      <c r="AJ566" s="213"/>
      <c r="AK566" s="213"/>
      <c r="AL566" s="213"/>
      <c r="AM566" s="213"/>
      <c r="AN566" s="213"/>
      <c r="AO566" s="213"/>
      <c r="AP566" s="213" t="str">
        <f>IFERROR(__xludf.DUMMYFUNCTION("""COMPUTED_VALUE"""),"NALDI")</f>
        <v>NALDI</v>
      </c>
      <c r="AQ566" s="213" t="str">
        <f>IFERROR(__xludf.DUMMYFUNCTION("""COMPUTED_VALUE"""),"Adicionar un Micrófono
El equipo debe ser instalado a la pizarra (pantalla) táctil interactiva multi-touch.")</f>
        <v>Adicionar un Micrófono
El equipo debe ser instalado a la pizarra (pantalla) táctil interactiva multi-touch.</v>
      </c>
      <c r="AR566" s="213"/>
      <c r="AS566" s="213" t="str">
        <f>IFERROR(__xludf.DUMMYFUNCTION("""COMPUTED_VALUE"""),"No se indica tiempo de duración de la batería")</f>
        <v>No se indica tiempo de duración de la batería</v>
      </c>
      <c r="AT566" s="213"/>
      <c r="AU566" s="213"/>
      <c r="AV566" s="213"/>
      <c r="AW566" s="213"/>
      <c r="AX566" s="213"/>
      <c r="AY566" s="213"/>
      <c r="AZ566" s="213"/>
      <c r="BA566" s="213"/>
      <c r="BB566" s="213"/>
      <c r="BC566" s="213"/>
      <c r="BD566" s="213"/>
    </row>
    <row r="567">
      <c r="A567" s="213">
        <f>IFERROR(__xludf.DUMMYFUNCTION("""COMPUTED_VALUE"""),864.0)</f>
        <v>864</v>
      </c>
      <c r="B567" s="213" t="str">
        <f>IFERROR(__xludf.DUMMYFUNCTION("""COMPUTED_VALUE"""),"6049 RICARDO PALMA")</f>
        <v>6049 RICARDO PALMA</v>
      </c>
      <c r="C567" s="213" t="str">
        <f>IFERROR(__xludf.DUMMYFUNCTION("""COMPUTED_VALUE"""),"TALLER SFT DE ELECTRICIDAD")</f>
        <v>TALLER SFT DE ELECTRICIDAD</v>
      </c>
      <c r="D567" s="213" t="str">
        <f>IFERROR(__xludf.DUMMYFUNCTION("""COMPUTED_VALUE"""),"TICS")</f>
        <v>TICS</v>
      </c>
      <c r="E567" s="213" t="str">
        <f>IFERROR(__xludf.DUMMYFUNCTION("""COMPUTED_VALUE"""),"TEC-108")</f>
        <v>TEC-108</v>
      </c>
      <c r="F567" s="213" t="str">
        <f>IFERROR(__xludf.DUMMYFUNCTION("""COMPUTED_VALUE"""),"TEC-108")</f>
        <v>TEC-108</v>
      </c>
      <c r="G567" s="213"/>
      <c r="H567" s="213" t="str">
        <f>IFERROR(__xludf.DUMMYFUNCTION("""COMPUTED_VALUE"""),"EQUIPO DE SONIDO")</f>
        <v>EQUIPO DE SONIDO</v>
      </c>
      <c r="I567"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7" s="213">
        <f>IFERROR(__xludf.DUMMYFUNCTION("""COMPUTED_VALUE"""),3.0)</f>
        <v>3</v>
      </c>
      <c r="K567" s="213" t="str">
        <f>IFERROR(__xludf.DUMMYFUNCTION("""COMPUTED_VALUE"""),"170 DÍAS CALENDARIO")</f>
        <v>170 DÍAS CALENDARIO</v>
      </c>
      <c r="L567"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7" s="213">
        <f>IFERROR(__xludf.DUMMYFUNCTION("""COMPUTED_VALUE"""),1.0)</f>
        <v>1</v>
      </c>
      <c r="N567" s="213">
        <f>IFERROR(__xludf.DUMMYFUNCTION("""COMPUTED_VALUE"""),1.0)</f>
        <v>1</v>
      </c>
      <c r="O567" s="213">
        <f>IFERROR(__xludf.DUMMYFUNCTION("""COMPUTED_VALUE"""),1.0)</f>
        <v>1</v>
      </c>
      <c r="P567" s="213"/>
      <c r="Q567" s="213"/>
      <c r="R567" s="213"/>
      <c r="S567" s="213"/>
      <c r="T567" s="213" t="str">
        <f>IFERROR(__xludf.DUMMYFUNCTION("""COMPUTED_VALUE"""),"CONSULTA FINAL")</f>
        <v>CONSULTA FINAL</v>
      </c>
      <c r="U567" s="213" t="str">
        <f>IFERROR(__xludf.DUMMYFUNCTION("""COMPUTED_VALUE"""),"NO")</f>
        <v>NO</v>
      </c>
      <c r="V567" s="213" t="str">
        <f>IFERROR(__xludf.DUMMYFUNCTION("""COMPUTED_VALUE"""),"SUSTENTO")</f>
        <v>SUSTENTO</v>
      </c>
      <c r="W567" s="213" t="str">
        <f>IFERROR(__xludf.DUMMYFUNCTION("""COMPUTED_VALUE"""),"CRÍTICO, EQU TEC")</f>
        <v>CRÍTICO, EQU TEC</v>
      </c>
      <c r="X567" s="213" t="str">
        <f>IFERROR(__xludf.DUMMYFUNCTION("""COMPUTED_VALUE"""),"CREATIVE")</f>
        <v>CREATIVE</v>
      </c>
      <c r="Y567" s="213" t="str">
        <f>IFERROR(__xludf.DUMMYFUNCTION("""COMPUTED_VALUE"""),"SBS E2500")</f>
        <v>SBS E2500</v>
      </c>
      <c r="Z567" s="215" t="str">
        <f>IFERROR(__xludf.DUMMYFUNCTION("""COMPUTED_VALUE"""),"https://es.creative.com/p/speakers/creative-sbs-e2500")</f>
        <v>https://es.creative.com/p/speakers/creative-sbs-e2500</v>
      </c>
      <c r="AA567" s="215" t="str">
        <f>IFERROR(__xludf.DUMMYFUNCTION("""COMPUTED_VALUE"""),"https://docs.google.com/spreadsheets/d/1Yh6XRoLw_DStoLOpCMeejDugf1f5gy8uy4kZdTlB0pA/edit?gid=0#gid=9")</f>
        <v>https://docs.google.com/spreadsheets/d/1Yh6XRoLw_DStoLOpCMeejDugf1f5gy8uy4kZdTlB0pA/edit?gid=0#gid=9</v>
      </c>
      <c r="AB567" s="213"/>
      <c r="AC567" s="213"/>
      <c r="AD567" s="213"/>
      <c r="AE567" s="213"/>
      <c r="AF567" s="213"/>
      <c r="AG567" s="213"/>
      <c r="AH567" s="213"/>
      <c r="AI567" s="213"/>
      <c r="AJ567" s="213"/>
      <c r="AK567" s="213"/>
      <c r="AL567" s="213"/>
      <c r="AM567" s="213"/>
      <c r="AN567" s="213"/>
      <c r="AO567" s="213"/>
      <c r="AP567" s="213" t="str">
        <f>IFERROR(__xludf.DUMMYFUNCTION("""COMPUTED_VALUE"""),"NALDI")</f>
        <v>NALDI</v>
      </c>
      <c r="AQ567" s="213" t="str">
        <f>IFERROR(__xludf.DUMMYFUNCTION("""COMPUTED_VALUE"""),"Adicionar un Micrófono
El equipo debe ser instalado a la pizarra (pantalla) táctil interactiva multi-touch.")</f>
        <v>Adicionar un Micrófono
El equipo debe ser instalado a la pizarra (pantalla) táctil interactiva multi-touch.</v>
      </c>
      <c r="AR567" s="213"/>
      <c r="AS567" s="213" t="str">
        <f>IFERROR(__xludf.DUMMYFUNCTION("""COMPUTED_VALUE"""),"No se indica tiempo de duración de la batería")</f>
        <v>No se indica tiempo de duración de la batería</v>
      </c>
      <c r="AT567" s="213"/>
      <c r="AU567" s="213"/>
      <c r="AV567" s="213"/>
      <c r="AW567" s="213"/>
      <c r="AX567" s="213"/>
      <c r="AY567" s="213"/>
      <c r="AZ567" s="213"/>
      <c r="BA567" s="213"/>
      <c r="BB567" s="213"/>
      <c r="BC567" s="213"/>
      <c r="BD567" s="213"/>
    </row>
    <row r="568">
      <c r="A568" s="213">
        <f>IFERROR(__xludf.DUMMYFUNCTION("""COMPUTED_VALUE"""),1009.0)</f>
        <v>1009</v>
      </c>
      <c r="B568" s="213" t="str">
        <f>IFERROR(__xludf.DUMMYFUNCTION("""COMPUTED_VALUE"""),"FRANCISCO IRAZOLA")</f>
        <v>FRANCISCO IRAZOLA</v>
      </c>
      <c r="C568" s="213" t="str">
        <f>IFERROR(__xludf.DUMMYFUNCTION("""COMPUTED_VALUE"""),"TALLER SFT DE MECÁNICA AUTOMOTRIZ")</f>
        <v>TALLER SFT DE MECÁNICA AUTOMOTRIZ</v>
      </c>
      <c r="D568" s="213" t="str">
        <f>IFERROR(__xludf.DUMMYFUNCTION("""COMPUTED_VALUE"""),"TICS")</f>
        <v>TICS</v>
      </c>
      <c r="E568" s="213" t="str">
        <f>IFERROR(__xludf.DUMMYFUNCTION("""COMPUTED_VALUE"""),"TEC-108")</f>
        <v>TEC-108</v>
      </c>
      <c r="F568" s="213" t="str">
        <f>IFERROR(__xludf.DUMMYFUNCTION("""COMPUTED_VALUE"""),"TEC-108")</f>
        <v>TEC-108</v>
      </c>
      <c r="G568" s="213"/>
      <c r="H568" s="213" t="str">
        <f>IFERROR(__xludf.DUMMYFUNCTION("""COMPUTED_VALUE"""),"EQUIPO DE SONIDO")</f>
        <v>EQUIPO DE SONIDO</v>
      </c>
      <c r="I568"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8" s="213">
        <f>IFERROR(__xludf.DUMMYFUNCTION("""COMPUTED_VALUE"""),3.0)</f>
        <v>3</v>
      </c>
      <c r="K568" s="213" t="str">
        <f>IFERROR(__xludf.DUMMYFUNCTION("""COMPUTED_VALUE"""),"170 DÍAS CALENDARIO")</f>
        <v>170 DÍAS CALENDARIO</v>
      </c>
      <c r="L568"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8" s="213">
        <f>IFERROR(__xludf.DUMMYFUNCTION("""COMPUTED_VALUE"""),1.0)</f>
        <v>1</v>
      </c>
      <c r="N568" s="213">
        <f>IFERROR(__xludf.DUMMYFUNCTION("""COMPUTED_VALUE"""),1.0)</f>
        <v>1</v>
      </c>
      <c r="O568" s="213">
        <f>IFERROR(__xludf.DUMMYFUNCTION("""COMPUTED_VALUE"""),1.0)</f>
        <v>1</v>
      </c>
      <c r="P568" s="213"/>
      <c r="Q568" s="213"/>
      <c r="R568" s="213"/>
      <c r="S568" s="213"/>
      <c r="T568" s="213" t="str">
        <f>IFERROR(__xludf.DUMMYFUNCTION("""COMPUTED_VALUE"""),"CONSULTA FINAL")</f>
        <v>CONSULTA FINAL</v>
      </c>
      <c r="U568" s="213" t="str">
        <f>IFERROR(__xludf.DUMMYFUNCTION("""COMPUTED_VALUE"""),"NO")</f>
        <v>NO</v>
      </c>
      <c r="V568" s="213" t="str">
        <f>IFERROR(__xludf.DUMMYFUNCTION("""COMPUTED_VALUE"""),"SUSTENTO")</f>
        <v>SUSTENTO</v>
      </c>
      <c r="W568" s="213" t="str">
        <f>IFERROR(__xludf.DUMMYFUNCTION("""COMPUTED_VALUE"""),"CRÍTICO, EQU TEC")</f>
        <v>CRÍTICO, EQU TEC</v>
      </c>
      <c r="X568" s="213" t="str">
        <f>IFERROR(__xludf.DUMMYFUNCTION("""COMPUTED_VALUE"""),"CREATIVE")</f>
        <v>CREATIVE</v>
      </c>
      <c r="Y568" s="213" t="str">
        <f>IFERROR(__xludf.DUMMYFUNCTION("""COMPUTED_VALUE"""),"SBS E2500")</f>
        <v>SBS E2500</v>
      </c>
      <c r="Z568" s="215" t="str">
        <f>IFERROR(__xludf.DUMMYFUNCTION("""COMPUTED_VALUE"""),"https://es.creative.com/p/speakers/creative-sbs-e2500")</f>
        <v>https://es.creative.com/p/speakers/creative-sbs-e2500</v>
      </c>
      <c r="AA568" s="215" t="str">
        <f>IFERROR(__xludf.DUMMYFUNCTION("""COMPUTED_VALUE"""),"https://docs.google.com/spreadsheets/d/1Yh6XRoLw_DStoLOpCMeejDugf1f5gy8uy4kZdTlB0pA/edit?gid=0#gid=17")</f>
        <v>https://docs.google.com/spreadsheets/d/1Yh6XRoLw_DStoLOpCMeejDugf1f5gy8uy4kZdTlB0pA/edit?gid=0#gid=17</v>
      </c>
      <c r="AB568" s="213"/>
      <c r="AC568" s="213"/>
      <c r="AD568" s="213"/>
      <c r="AE568" s="213"/>
      <c r="AF568" s="213"/>
      <c r="AG568" s="213"/>
      <c r="AH568" s="213"/>
      <c r="AI568" s="213"/>
      <c r="AJ568" s="213"/>
      <c r="AK568" s="213"/>
      <c r="AL568" s="213"/>
      <c r="AM568" s="213"/>
      <c r="AN568" s="213"/>
      <c r="AO568" s="213"/>
      <c r="AP568" s="213" t="str">
        <f>IFERROR(__xludf.DUMMYFUNCTION("""COMPUTED_VALUE"""),"NALDI")</f>
        <v>NALDI</v>
      </c>
      <c r="AQ568" s="213" t="str">
        <f>IFERROR(__xludf.DUMMYFUNCTION("""COMPUTED_VALUE"""),"Adicionar un Micrófono
El equipo debe ser instalado a la pizarra (pantalla) táctil interactiva multi-touch.")</f>
        <v>Adicionar un Micrófono
El equipo debe ser instalado a la pizarra (pantalla) táctil interactiva multi-touch.</v>
      </c>
      <c r="AR568" s="213"/>
      <c r="AS568" s="213" t="str">
        <f>IFERROR(__xludf.DUMMYFUNCTION("""COMPUTED_VALUE"""),"No se indica tiempo de duración de la batería")</f>
        <v>No se indica tiempo de duración de la batería</v>
      </c>
      <c r="AT568" s="213"/>
      <c r="AU568" s="213"/>
      <c r="AV568" s="213"/>
      <c r="AW568" s="213"/>
      <c r="AX568" s="213"/>
      <c r="AY568" s="213"/>
      <c r="AZ568" s="213"/>
      <c r="BA568" s="213"/>
      <c r="BB568" s="213"/>
      <c r="BC568" s="213"/>
      <c r="BD568" s="213"/>
    </row>
    <row r="569">
      <c r="A569" s="213">
        <f>IFERROR(__xludf.DUMMYFUNCTION("""COMPUTED_VALUE"""),1237.0)</f>
        <v>1237</v>
      </c>
      <c r="B569" s="213" t="str">
        <f>IFERROR(__xludf.DUMMYFUNCTION("""COMPUTED_VALUE"""),"FRANCISCO IRAZOLA")</f>
        <v>FRANCISCO IRAZOLA</v>
      </c>
      <c r="C569" s="213" t="str">
        <f>IFERROR(__xludf.DUMMYFUNCTION("""COMPUTED_VALUE"""),"TALLER SFT DE INDUSTRIA ALIMENTARIA")</f>
        <v>TALLER SFT DE INDUSTRIA ALIMENTARIA</v>
      </c>
      <c r="D569" s="213" t="str">
        <f>IFERROR(__xludf.DUMMYFUNCTION("""COMPUTED_VALUE"""),"TICS")</f>
        <v>TICS</v>
      </c>
      <c r="E569" s="213" t="str">
        <f>IFERROR(__xludf.DUMMYFUNCTION("""COMPUTED_VALUE"""),"TEC-108")</f>
        <v>TEC-108</v>
      </c>
      <c r="F569" s="213" t="str">
        <f>IFERROR(__xludf.DUMMYFUNCTION("""COMPUTED_VALUE"""),"TEC-108")</f>
        <v>TEC-108</v>
      </c>
      <c r="G569" s="213"/>
      <c r="H569" s="213" t="str">
        <f>IFERROR(__xludf.DUMMYFUNCTION("""COMPUTED_VALUE"""),"EQUIPO DE SONIDO")</f>
        <v>EQUIPO DE SONIDO</v>
      </c>
      <c r="I569"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69" s="213">
        <f>IFERROR(__xludf.DUMMYFUNCTION("""COMPUTED_VALUE"""),3.0)</f>
        <v>3</v>
      </c>
      <c r="K569" s="213" t="str">
        <f>IFERROR(__xludf.DUMMYFUNCTION("""COMPUTED_VALUE"""),"170 DÍAS CALENDARIO")</f>
        <v>170 DÍAS CALENDARIO</v>
      </c>
      <c r="L569"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69" s="213">
        <f>IFERROR(__xludf.DUMMYFUNCTION("""COMPUTED_VALUE"""),1.0)</f>
        <v>1</v>
      </c>
      <c r="N569" s="213">
        <f>IFERROR(__xludf.DUMMYFUNCTION("""COMPUTED_VALUE"""),1.0)</f>
        <v>1</v>
      </c>
      <c r="O569" s="213">
        <f>IFERROR(__xludf.DUMMYFUNCTION("""COMPUTED_VALUE"""),1.0)</f>
        <v>1</v>
      </c>
      <c r="P569" s="213"/>
      <c r="Q569" s="213"/>
      <c r="R569" s="213"/>
      <c r="S569" s="213"/>
      <c r="T569" s="213" t="str">
        <f>IFERROR(__xludf.DUMMYFUNCTION("""COMPUTED_VALUE"""),"CONSULTA FINAL")</f>
        <v>CONSULTA FINAL</v>
      </c>
      <c r="U569" s="213" t="str">
        <f>IFERROR(__xludf.DUMMYFUNCTION("""COMPUTED_VALUE"""),"NO")</f>
        <v>NO</v>
      </c>
      <c r="V569" s="213" t="str">
        <f>IFERROR(__xludf.DUMMYFUNCTION("""COMPUTED_VALUE"""),"SUSTENTO")</f>
        <v>SUSTENTO</v>
      </c>
      <c r="W569" s="213" t="str">
        <f>IFERROR(__xludf.DUMMYFUNCTION("""COMPUTED_VALUE"""),"CRÍTICO, EQU TEC")</f>
        <v>CRÍTICO, EQU TEC</v>
      </c>
      <c r="X569" s="213" t="str">
        <f>IFERROR(__xludf.DUMMYFUNCTION("""COMPUTED_VALUE"""),"CREATIVE")</f>
        <v>CREATIVE</v>
      </c>
      <c r="Y569" s="213" t="str">
        <f>IFERROR(__xludf.DUMMYFUNCTION("""COMPUTED_VALUE"""),"SBS E2500")</f>
        <v>SBS E2500</v>
      </c>
      <c r="Z569" s="215" t="str">
        <f>IFERROR(__xludf.DUMMYFUNCTION("""COMPUTED_VALUE"""),"https://es.creative.com/p/speakers/creative-sbs-e2500")</f>
        <v>https://es.creative.com/p/speakers/creative-sbs-e2500</v>
      </c>
      <c r="AA569" s="215" t="str">
        <f>IFERROR(__xludf.DUMMYFUNCTION("""COMPUTED_VALUE"""),"https://docs.google.com/spreadsheets/d/1Yh6XRoLw_DStoLOpCMeejDugf1f5gy8uy4kZdTlB0pA/edit?gid=0#gid=13")</f>
        <v>https://docs.google.com/spreadsheets/d/1Yh6XRoLw_DStoLOpCMeejDugf1f5gy8uy4kZdTlB0pA/edit?gid=0#gid=13</v>
      </c>
      <c r="AB569" s="213"/>
      <c r="AC569" s="213"/>
      <c r="AD569" s="213"/>
      <c r="AE569" s="213"/>
      <c r="AF569" s="213"/>
      <c r="AG569" s="213"/>
      <c r="AH569" s="213"/>
      <c r="AI569" s="213"/>
      <c r="AJ569" s="213"/>
      <c r="AK569" s="213"/>
      <c r="AL569" s="213"/>
      <c r="AM569" s="213"/>
      <c r="AN569" s="213"/>
      <c r="AO569" s="213"/>
      <c r="AP569" s="213" t="str">
        <f>IFERROR(__xludf.DUMMYFUNCTION("""COMPUTED_VALUE"""),"NALDI")</f>
        <v>NALDI</v>
      </c>
      <c r="AQ569" s="213" t="str">
        <f>IFERROR(__xludf.DUMMYFUNCTION("""COMPUTED_VALUE"""),"Adicionar un Micrófono
El equipo debe ser instalado a la pizarra (pantalla) táctil interactiva multi-touch.")</f>
        <v>Adicionar un Micrófono
El equipo debe ser instalado a la pizarra (pantalla) táctil interactiva multi-touch.</v>
      </c>
      <c r="AR569" s="213"/>
      <c r="AS569" s="213" t="str">
        <f>IFERROR(__xludf.DUMMYFUNCTION("""COMPUTED_VALUE"""),"No se indica tiempo de duración de la batería")</f>
        <v>No se indica tiempo de duración de la batería</v>
      </c>
      <c r="AT569" s="213"/>
      <c r="AU569" s="213"/>
      <c r="AV569" s="213"/>
      <c r="AW569" s="213"/>
      <c r="AX569" s="213"/>
      <c r="AY569" s="213"/>
      <c r="AZ569" s="213"/>
      <c r="BA569" s="213"/>
      <c r="BB569" s="213"/>
      <c r="BC569" s="213"/>
      <c r="BD569" s="213"/>
    </row>
    <row r="570">
      <c r="A570" s="213">
        <f>IFERROR(__xludf.DUMMYFUNCTION("""COMPUTED_VALUE"""),1286.0)</f>
        <v>1286</v>
      </c>
      <c r="B570" s="213" t="str">
        <f>IFERROR(__xludf.DUMMYFUNCTION("""COMPUTED_VALUE"""),"GUILLERMO E. BILLINGHURST ")</f>
        <v>GUILLERMO E. BILLINGHURST </v>
      </c>
      <c r="C570" s="213" t="str">
        <f>IFERROR(__xludf.DUMMYFUNCTION("""COMPUTED_VALUE"""),"TALLER SFT DE ELECTRICIDAD")</f>
        <v>TALLER SFT DE ELECTRICIDAD</v>
      </c>
      <c r="D570" s="213" t="str">
        <f>IFERROR(__xludf.DUMMYFUNCTION("""COMPUTED_VALUE"""),"TICS")</f>
        <v>TICS</v>
      </c>
      <c r="E570" s="213" t="str">
        <f>IFERROR(__xludf.DUMMYFUNCTION("""COMPUTED_VALUE"""),"TEC-108")</f>
        <v>TEC-108</v>
      </c>
      <c r="F570" s="213" t="str">
        <f>IFERROR(__xludf.DUMMYFUNCTION("""COMPUTED_VALUE"""),"TEC-108")</f>
        <v>TEC-108</v>
      </c>
      <c r="G570" s="213"/>
      <c r="H570" s="213" t="str">
        <f>IFERROR(__xludf.DUMMYFUNCTION("""COMPUTED_VALUE"""),"EQUIPO DE SONIDO")</f>
        <v>EQUIPO DE SONIDO</v>
      </c>
      <c r="I570"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70" s="213">
        <f>IFERROR(__xludf.DUMMYFUNCTION("""COMPUTED_VALUE"""),3.0)</f>
        <v>3</v>
      </c>
      <c r="K570" s="213" t="str">
        <f>IFERROR(__xludf.DUMMYFUNCTION("""COMPUTED_VALUE"""),"170 DÍAS CALENDARIO")</f>
        <v>170 DÍAS CALENDARIO</v>
      </c>
      <c r="L570"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70" s="213">
        <f>IFERROR(__xludf.DUMMYFUNCTION("""COMPUTED_VALUE"""),1.0)</f>
        <v>1</v>
      </c>
      <c r="N570" s="213">
        <f>IFERROR(__xludf.DUMMYFUNCTION("""COMPUTED_VALUE"""),1.0)</f>
        <v>1</v>
      </c>
      <c r="O570" s="213">
        <f>IFERROR(__xludf.DUMMYFUNCTION("""COMPUTED_VALUE"""),1.0)</f>
        <v>1</v>
      </c>
      <c r="P570" s="213"/>
      <c r="Q570" s="213"/>
      <c r="R570" s="213"/>
      <c r="S570" s="213"/>
      <c r="T570" s="213" t="str">
        <f>IFERROR(__xludf.DUMMYFUNCTION("""COMPUTED_VALUE"""),"CONSULTA FINAL")</f>
        <v>CONSULTA FINAL</v>
      </c>
      <c r="U570" s="213" t="str">
        <f>IFERROR(__xludf.DUMMYFUNCTION("""COMPUTED_VALUE"""),"NO")</f>
        <v>NO</v>
      </c>
      <c r="V570" s="213" t="str">
        <f>IFERROR(__xludf.DUMMYFUNCTION("""COMPUTED_VALUE"""),"SUSTENTO")</f>
        <v>SUSTENTO</v>
      </c>
      <c r="W570" s="213" t="str">
        <f>IFERROR(__xludf.DUMMYFUNCTION("""COMPUTED_VALUE"""),"CRÍTICO, EQU TEC")</f>
        <v>CRÍTICO, EQU TEC</v>
      </c>
      <c r="X570" s="213" t="str">
        <f>IFERROR(__xludf.DUMMYFUNCTION("""COMPUTED_VALUE"""),"CREATIVE")</f>
        <v>CREATIVE</v>
      </c>
      <c r="Y570" s="213" t="str">
        <f>IFERROR(__xludf.DUMMYFUNCTION("""COMPUTED_VALUE"""),"SBS E2500")</f>
        <v>SBS E2500</v>
      </c>
      <c r="Z570" s="215" t="str">
        <f>IFERROR(__xludf.DUMMYFUNCTION("""COMPUTED_VALUE"""),"https://es.creative.com/p/speakers/creative-sbs-e2500")</f>
        <v>https://es.creative.com/p/speakers/creative-sbs-e2500</v>
      </c>
      <c r="AA570" s="215" t="str">
        <f>IFERROR(__xludf.DUMMYFUNCTION("""COMPUTED_VALUE"""),"https://docs.google.com/spreadsheets/d/1Yh6XRoLw_DStoLOpCMeejDugf1f5gy8uy4kZdTlB0pA/edit?gid=0#gid=10")</f>
        <v>https://docs.google.com/spreadsheets/d/1Yh6XRoLw_DStoLOpCMeejDugf1f5gy8uy4kZdTlB0pA/edit?gid=0#gid=10</v>
      </c>
      <c r="AB570" s="213"/>
      <c r="AC570" s="213"/>
      <c r="AD570" s="213"/>
      <c r="AE570" s="213"/>
      <c r="AF570" s="213"/>
      <c r="AG570" s="213"/>
      <c r="AH570" s="213"/>
      <c r="AI570" s="213"/>
      <c r="AJ570" s="213"/>
      <c r="AK570" s="213"/>
      <c r="AL570" s="213"/>
      <c r="AM570" s="213"/>
      <c r="AN570" s="213"/>
      <c r="AO570" s="213"/>
      <c r="AP570" s="213" t="str">
        <f>IFERROR(__xludf.DUMMYFUNCTION("""COMPUTED_VALUE"""),"NALDI")</f>
        <v>NALDI</v>
      </c>
      <c r="AQ570" s="213" t="str">
        <f>IFERROR(__xludf.DUMMYFUNCTION("""COMPUTED_VALUE"""),"Adicionar un Micrófono
El equipo debe ser instalado a la pizarra (pantalla) táctil interactiva multi-touch.")</f>
        <v>Adicionar un Micrófono
El equipo debe ser instalado a la pizarra (pantalla) táctil interactiva multi-touch.</v>
      </c>
      <c r="AR570" s="213"/>
      <c r="AS570" s="213" t="str">
        <f>IFERROR(__xludf.DUMMYFUNCTION("""COMPUTED_VALUE"""),"No se indica tiempo de duración de la batería")</f>
        <v>No se indica tiempo de duración de la batería</v>
      </c>
      <c r="AT570" s="213"/>
      <c r="AU570" s="213"/>
      <c r="AV570" s="213"/>
      <c r="AW570" s="213"/>
      <c r="AX570" s="213"/>
      <c r="AY570" s="213"/>
      <c r="AZ570" s="213"/>
      <c r="BA570" s="213"/>
      <c r="BB570" s="213"/>
      <c r="BC570" s="213"/>
      <c r="BD570" s="213"/>
    </row>
    <row r="571">
      <c r="A571" s="213">
        <f>IFERROR(__xludf.DUMMYFUNCTION("""COMPUTED_VALUE"""),1614.0)</f>
        <v>1614</v>
      </c>
      <c r="B571" s="213" t="str">
        <f>IFERROR(__xludf.DUMMYFUNCTION("""COMPUTED_VALUE"""),"GUILLERMO E. BILLINGHURST ")</f>
        <v>GUILLERMO E. BILLINGHURST </v>
      </c>
      <c r="C571" s="213" t="str">
        <f>IFERROR(__xludf.DUMMYFUNCTION("""COMPUTED_VALUE"""),"TALLER SFT DE MECÁNICA AUTOMOTRIZ")</f>
        <v>TALLER SFT DE MECÁNICA AUTOMOTRIZ</v>
      </c>
      <c r="D571" s="213" t="str">
        <f>IFERROR(__xludf.DUMMYFUNCTION("""COMPUTED_VALUE"""),"TICS")</f>
        <v>TICS</v>
      </c>
      <c r="E571" s="213" t="str">
        <f>IFERROR(__xludf.DUMMYFUNCTION("""COMPUTED_VALUE"""),"TEC-108")</f>
        <v>TEC-108</v>
      </c>
      <c r="F571" s="213" t="str">
        <f>IFERROR(__xludf.DUMMYFUNCTION("""COMPUTED_VALUE"""),"TEC-108")</f>
        <v>TEC-108</v>
      </c>
      <c r="G571" s="213"/>
      <c r="H571" s="213" t="str">
        <f>IFERROR(__xludf.DUMMYFUNCTION("""COMPUTED_VALUE"""),"EQUIPO DE SONIDO")</f>
        <v>EQUIPO DE SONIDO</v>
      </c>
      <c r="I571"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71" s="213">
        <f>IFERROR(__xludf.DUMMYFUNCTION("""COMPUTED_VALUE"""),3.0)</f>
        <v>3</v>
      </c>
      <c r="K571" s="213" t="str">
        <f>IFERROR(__xludf.DUMMYFUNCTION("""COMPUTED_VALUE"""),"170 DÍAS CALENDARIO")</f>
        <v>170 DÍAS CALENDARIO</v>
      </c>
      <c r="L571"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71" s="213">
        <f>IFERROR(__xludf.DUMMYFUNCTION("""COMPUTED_VALUE"""),1.0)</f>
        <v>1</v>
      </c>
      <c r="N571" s="213">
        <f>IFERROR(__xludf.DUMMYFUNCTION("""COMPUTED_VALUE"""),1.0)</f>
        <v>1</v>
      </c>
      <c r="O571" s="213">
        <f>IFERROR(__xludf.DUMMYFUNCTION("""COMPUTED_VALUE"""),1.0)</f>
        <v>1</v>
      </c>
      <c r="P571" s="213"/>
      <c r="Q571" s="213"/>
      <c r="R571" s="213"/>
      <c r="S571" s="213"/>
      <c r="T571" s="213" t="str">
        <f>IFERROR(__xludf.DUMMYFUNCTION("""COMPUTED_VALUE"""),"CONSULTA FINAL")</f>
        <v>CONSULTA FINAL</v>
      </c>
      <c r="U571" s="213" t="str">
        <f>IFERROR(__xludf.DUMMYFUNCTION("""COMPUTED_VALUE"""),"NO")</f>
        <v>NO</v>
      </c>
      <c r="V571" s="213" t="str">
        <f>IFERROR(__xludf.DUMMYFUNCTION("""COMPUTED_VALUE"""),"SUSTENTO")</f>
        <v>SUSTENTO</v>
      </c>
      <c r="W571" s="213" t="str">
        <f>IFERROR(__xludf.DUMMYFUNCTION("""COMPUTED_VALUE"""),"CRÍTICO, EQU TEC")</f>
        <v>CRÍTICO, EQU TEC</v>
      </c>
      <c r="X571" s="213" t="str">
        <f>IFERROR(__xludf.DUMMYFUNCTION("""COMPUTED_VALUE"""),"CREATIVE")</f>
        <v>CREATIVE</v>
      </c>
      <c r="Y571" s="213" t="str">
        <f>IFERROR(__xludf.DUMMYFUNCTION("""COMPUTED_VALUE"""),"SBS E2500")</f>
        <v>SBS E2500</v>
      </c>
      <c r="Z571" s="215" t="str">
        <f>IFERROR(__xludf.DUMMYFUNCTION("""COMPUTED_VALUE"""),"https://es.creative.com/p/speakers/creative-sbs-e2500")</f>
        <v>https://es.creative.com/p/speakers/creative-sbs-e2500</v>
      </c>
      <c r="AA571" s="215" t="str">
        <f>IFERROR(__xludf.DUMMYFUNCTION("""COMPUTED_VALUE"""),"https://docs.google.com/spreadsheets/d/1Yh6XRoLw_DStoLOpCMeejDugf1f5gy8uy4kZdTlB0pA/edit?gid=0#gid=18")</f>
        <v>https://docs.google.com/spreadsheets/d/1Yh6XRoLw_DStoLOpCMeejDugf1f5gy8uy4kZdTlB0pA/edit?gid=0#gid=18</v>
      </c>
      <c r="AB571" s="213"/>
      <c r="AC571" s="213"/>
      <c r="AD571" s="213"/>
      <c r="AE571" s="213"/>
      <c r="AF571" s="213"/>
      <c r="AG571" s="213"/>
      <c r="AH571" s="213"/>
      <c r="AI571" s="213"/>
      <c r="AJ571" s="213"/>
      <c r="AK571" s="213"/>
      <c r="AL571" s="213"/>
      <c r="AM571" s="213"/>
      <c r="AN571" s="213"/>
      <c r="AO571" s="213"/>
      <c r="AP571" s="213" t="str">
        <f>IFERROR(__xludf.DUMMYFUNCTION("""COMPUTED_VALUE"""),"NALDI")</f>
        <v>NALDI</v>
      </c>
      <c r="AQ571" s="213" t="str">
        <f>IFERROR(__xludf.DUMMYFUNCTION("""COMPUTED_VALUE"""),"Adicionar un Micrófono
El equipo debe ser instalado a la pizarra (pantalla) táctil interactiva multi-touch.")</f>
        <v>Adicionar un Micrófono
El equipo debe ser instalado a la pizarra (pantalla) táctil interactiva multi-touch.</v>
      </c>
      <c r="AR571" s="213"/>
      <c r="AS571" s="213" t="str">
        <f>IFERROR(__xludf.DUMMYFUNCTION("""COMPUTED_VALUE"""),"No se indica tiempo de duración de la batería")</f>
        <v>No se indica tiempo de duración de la batería</v>
      </c>
      <c r="AT571" s="213"/>
      <c r="AU571" s="213"/>
      <c r="AV571" s="213"/>
      <c r="AW571" s="213"/>
      <c r="AX571" s="213"/>
      <c r="AY571" s="213"/>
      <c r="AZ571" s="213"/>
      <c r="BA571" s="213"/>
      <c r="BB571" s="213"/>
      <c r="BC571" s="213"/>
      <c r="BD571" s="213"/>
    </row>
    <row r="572">
      <c r="A572" s="213">
        <f>IFERROR(__xludf.DUMMYFUNCTION("""COMPUTED_VALUE"""),1722.0)</f>
        <v>1722</v>
      </c>
      <c r="B572" s="213" t="str">
        <f>IFERROR(__xludf.DUMMYFUNCTION("""COMPUTED_VALUE"""),"GUILLERMO E. BILLINGHURST ")</f>
        <v>GUILLERMO E. BILLINGHURST </v>
      </c>
      <c r="C572" s="213" t="str">
        <f>IFERROR(__xludf.DUMMYFUNCTION("""COMPUTED_VALUE"""),"TALLER SFT DE COMPUTACIÓN E INFORMÁTICA")</f>
        <v>TALLER SFT DE COMPUTACIÓN E INFORMÁTICA</v>
      </c>
      <c r="D572" s="213" t="str">
        <f>IFERROR(__xludf.DUMMYFUNCTION("""COMPUTED_VALUE"""),"TICS")</f>
        <v>TICS</v>
      </c>
      <c r="E572" s="213" t="str">
        <f>IFERROR(__xludf.DUMMYFUNCTION("""COMPUTED_VALUE"""),"TEC-108")</f>
        <v>TEC-108</v>
      </c>
      <c r="F572" s="213" t="str">
        <f>IFERROR(__xludf.DUMMYFUNCTION("""COMPUTED_VALUE"""),"TEC-108")</f>
        <v>TEC-108</v>
      </c>
      <c r="G572" s="213"/>
      <c r="H572" s="213" t="str">
        <f>IFERROR(__xludf.DUMMYFUNCTION("""COMPUTED_VALUE"""),"EQUIPO DE SONIDO")</f>
        <v>EQUIPO DE SONIDO</v>
      </c>
      <c r="I572"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72" s="213">
        <f>IFERROR(__xludf.DUMMYFUNCTION("""COMPUTED_VALUE"""),3.0)</f>
        <v>3</v>
      </c>
      <c r="K572" s="213" t="str">
        <f>IFERROR(__xludf.DUMMYFUNCTION("""COMPUTED_VALUE"""),"170 DÍAS CALENDARIO")</f>
        <v>170 DÍAS CALENDARIO</v>
      </c>
      <c r="L572"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72" s="213">
        <f>IFERROR(__xludf.DUMMYFUNCTION("""COMPUTED_VALUE"""),1.0)</f>
        <v>1</v>
      </c>
      <c r="N572" s="213">
        <f>IFERROR(__xludf.DUMMYFUNCTION("""COMPUTED_VALUE"""),1.0)</f>
        <v>1</v>
      </c>
      <c r="O572" s="213">
        <f>IFERROR(__xludf.DUMMYFUNCTION("""COMPUTED_VALUE"""),1.0)</f>
        <v>1</v>
      </c>
      <c r="P572" s="213"/>
      <c r="Q572" s="213"/>
      <c r="R572" s="213"/>
      <c r="S572" s="213"/>
      <c r="T572" s="213" t="str">
        <f>IFERROR(__xludf.DUMMYFUNCTION("""COMPUTED_VALUE"""),"CONSULTA FINAL")</f>
        <v>CONSULTA FINAL</v>
      </c>
      <c r="U572" s="213" t="str">
        <f>IFERROR(__xludf.DUMMYFUNCTION("""COMPUTED_VALUE"""),"NO")</f>
        <v>NO</v>
      </c>
      <c r="V572" s="213" t="str">
        <f>IFERROR(__xludf.DUMMYFUNCTION("""COMPUTED_VALUE"""),"SUSTENTO")</f>
        <v>SUSTENTO</v>
      </c>
      <c r="W572" s="213" t="str">
        <f>IFERROR(__xludf.DUMMYFUNCTION("""COMPUTED_VALUE"""),"CRÍTICO, EQU TEC")</f>
        <v>CRÍTICO, EQU TEC</v>
      </c>
      <c r="X572" s="213" t="str">
        <f>IFERROR(__xludf.DUMMYFUNCTION("""COMPUTED_VALUE"""),"CREATIVE")</f>
        <v>CREATIVE</v>
      </c>
      <c r="Y572" s="213" t="str">
        <f>IFERROR(__xludf.DUMMYFUNCTION("""COMPUTED_VALUE"""),"SBS E2500")</f>
        <v>SBS E2500</v>
      </c>
      <c r="Z572" s="215" t="str">
        <f>IFERROR(__xludf.DUMMYFUNCTION("""COMPUTED_VALUE"""),"https://es.creative.com/p/speakers/creative-sbs-e2500")</f>
        <v>https://es.creative.com/p/speakers/creative-sbs-e2500</v>
      </c>
      <c r="AA572" s="215" t="str">
        <f>IFERROR(__xludf.DUMMYFUNCTION("""COMPUTED_VALUE"""),"https://docs.google.com/spreadsheets/d/1Yh6XRoLw_DStoLOpCMeejDugf1f5gy8uy4kZdTlB0pA/edit?gid=0#gid=3")</f>
        <v>https://docs.google.com/spreadsheets/d/1Yh6XRoLw_DStoLOpCMeejDugf1f5gy8uy4kZdTlB0pA/edit?gid=0#gid=3</v>
      </c>
      <c r="AB572" s="213"/>
      <c r="AC572" s="213"/>
      <c r="AD572" s="213"/>
      <c r="AE572" s="213"/>
      <c r="AF572" s="213"/>
      <c r="AG572" s="213"/>
      <c r="AH572" s="213"/>
      <c r="AI572" s="213"/>
      <c r="AJ572" s="213"/>
      <c r="AK572" s="213"/>
      <c r="AL572" s="213"/>
      <c r="AM572" s="213"/>
      <c r="AN572" s="213"/>
      <c r="AO572" s="213"/>
      <c r="AP572" s="213" t="str">
        <f>IFERROR(__xludf.DUMMYFUNCTION("""COMPUTED_VALUE"""),"NALDI")</f>
        <v>NALDI</v>
      </c>
      <c r="AQ572" s="213" t="str">
        <f>IFERROR(__xludf.DUMMYFUNCTION("""COMPUTED_VALUE"""),"Adicionar un Micrófono
El equipo debe ser instalado a la pizarra (pantalla) táctil interactiva multi-touch.")</f>
        <v>Adicionar un Micrófono
El equipo debe ser instalado a la pizarra (pantalla) táctil interactiva multi-touch.</v>
      </c>
      <c r="AR572" s="213"/>
      <c r="AS572" s="213" t="str">
        <f>IFERROR(__xludf.DUMMYFUNCTION("""COMPUTED_VALUE"""),"No se indica tiempo de duración de la batería")</f>
        <v>No se indica tiempo de duración de la batería</v>
      </c>
      <c r="AT572" s="213"/>
      <c r="AU572" s="213"/>
      <c r="AV572" s="213"/>
      <c r="AW572" s="213"/>
      <c r="AX572" s="213"/>
      <c r="AY572" s="213"/>
      <c r="AZ572" s="213"/>
      <c r="BA572" s="213"/>
      <c r="BB572" s="213"/>
      <c r="BC572" s="213"/>
      <c r="BD572" s="213"/>
    </row>
    <row r="573">
      <c r="A573" s="213">
        <f>IFERROR(__xludf.DUMMYFUNCTION("""COMPUTED_VALUE"""),1877.0)</f>
        <v>1877</v>
      </c>
      <c r="B573" s="213" t="str">
        <f>IFERROR(__xludf.DUMMYFUNCTION("""COMPUTED_VALUE"""),"GUILLERMO E. BILLINGHURST ")</f>
        <v>GUILLERMO E. BILLINGHURST </v>
      </c>
      <c r="C573" s="213" t="str">
        <f>IFERROR(__xludf.DUMMYFUNCTION("""COMPUTED_VALUE"""),"TALLER SFT DE EBANISTERÍA")</f>
        <v>TALLER SFT DE EBANISTERÍA</v>
      </c>
      <c r="D573" s="213" t="str">
        <f>IFERROR(__xludf.DUMMYFUNCTION("""COMPUTED_VALUE"""),"TICS")</f>
        <v>TICS</v>
      </c>
      <c r="E573" s="213" t="str">
        <f>IFERROR(__xludf.DUMMYFUNCTION("""COMPUTED_VALUE"""),"TEC-108")</f>
        <v>TEC-108</v>
      </c>
      <c r="F573" s="213" t="str">
        <f>IFERROR(__xludf.DUMMYFUNCTION("""COMPUTED_VALUE"""),"TEC-108")</f>
        <v>TEC-108</v>
      </c>
      <c r="G573" s="213"/>
      <c r="H573" s="213" t="str">
        <f>IFERROR(__xludf.DUMMYFUNCTION("""COMPUTED_VALUE"""),"EQUIPO DE SONIDO")</f>
        <v>EQUIPO DE SONIDO</v>
      </c>
      <c r="I573"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73" s="213">
        <f>IFERROR(__xludf.DUMMYFUNCTION("""COMPUTED_VALUE"""),3.0)</f>
        <v>3</v>
      </c>
      <c r="K573" s="213" t="str">
        <f>IFERROR(__xludf.DUMMYFUNCTION("""COMPUTED_VALUE"""),"170 DÍAS CALENDARIO")</f>
        <v>170 DÍAS CALENDARIO</v>
      </c>
      <c r="L573"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73" s="213">
        <f>IFERROR(__xludf.DUMMYFUNCTION("""COMPUTED_VALUE"""),1.0)</f>
        <v>1</v>
      </c>
      <c r="N573" s="213">
        <f>IFERROR(__xludf.DUMMYFUNCTION("""COMPUTED_VALUE"""),1.0)</f>
        <v>1</v>
      </c>
      <c r="O573" s="213">
        <f>IFERROR(__xludf.DUMMYFUNCTION("""COMPUTED_VALUE"""),1.0)</f>
        <v>1</v>
      </c>
      <c r="P573" s="213"/>
      <c r="Q573" s="213"/>
      <c r="R573" s="213"/>
      <c r="S573" s="213"/>
      <c r="T573" s="213" t="str">
        <f>IFERROR(__xludf.DUMMYFUNCTION("""COMPUTED_VALUE"""),"CONSULTA FINAL")</f>
        <v>CONSULTA FINAL</v>
      </c>
      <c r="U573" s="213" t="str">
        <f>IFERROR(__xludf.DUMMYFUNCTION("""COMPUTED_VALUE"""),"NO")</f>
        <v>NO</v>
      </c>
      <c r="V573" s="213" t="str">
        <f>IFERROR(__xludf.DUMMYFUNCTION("""COMPUTED_VALUE"""),"SUSTENTO")</f>
        <v>SUSTENTO</v>
      </c>
      <c r="W573" s="213" t="str">
        <f>IFERROR(__xludf.DUMMYFUNCTION("""COMPUTED_VALUE"""),"CRÍTICO, EQU TEC")</f>
        <v>CRÍTICO, EQU TEC</v>
      </c>
      <c r="X573" s="213" t="str">
        <f>IFERROR(__xludf.DUMMYFUNCTION("""COMPUTED_VALUE"""),"CREATIVE")</f>
        <v>CREATIVE</v>
      </c>
      <c r="Y573" s="213" t="str">
        <f>IFERROR(__xludf.DUMMYFUNCTION("""COMPUTED_VALUE"""),"SBS E2500")</f>
        <v>SBS E2500</v>
      </c>
      <c r="Z573" s="215" t="str">
        <f>IFERROR(__xludf.DUMMYFUNCTION("""COMPUTED_VALUE"""),"https://es.creative.com/p/speakers/creative-sbs-e2500")</f>
        <v>https://es.creative.com/p/speakers/creative-sbs-e2500</v>
      </c>
      <c r="AA573" s="215" t="str">
        <f>IFERROR(__xludf.DUMMYFUNCTION("""COMPUTED_VALUE"""),"https://docs.google.com/spreadsheets/d/1Yh6XRoLw_DStoLOpCMeejDugf1f5gy8uy4kZdTlB0pA/edit?gid=0#gid=6")</f>
        <v>https://docs.google.com/spreadsheets/d/1Yh6XRoLw_DStoLOpCMeejDugf1f5gy8uy4kZdTlB0pA/edit?gid=0#gid=6</v>
      </c>
      <c r="AB573" s="213"/>
      <c r="AC573" s="213"/>
      <c r="AD573" s="213"/>
      <c r="AE573" s="213"/>
      <c r="AF573" s="213"/>
      <c r="AG573" s="213"/>
      <c r="AH573" s="213"/>
      <c r="AI573" s="213"/>
      <c r="AJ573" s="213"/>
      <c r="AK573" s="213"/>
      <c r="AL573" s="213"/>
      <c r="AM573" s="213"/>
      <c r="AN573" s="213"/>
      <c r="AO573" s="213"/>
      <c r="AP573" s="213" t="str">
        <f>IFERROR(__xludf.DUMMYFUNCTION("""COMPUTED_VALUE"""),"NALDI")</f>
        <v>NALDI</v>
      </c>
      <c r="AQ573" s="213" t="str">
        <f>IFERROR(__xludf.DUMMYFUNCTION("""COMPUTED_VALUE"""),"Adicionar un Micrófono
El equipo debe ser instalado a la pizarra (pantalla) táctil interactiva multi-touch.")</f>
        <v>Adicionar un Micrófono
El equipo debe ser instalado a la pizarra (pantalla) táctil interactiva multi-touch.</v>
      </c>
      <c r="AR573" s="213"/>
      <c r="AS573" s="213" t="str">
        <f>IFERROR(__xludf.DUMMYFUNCTION("""COMPUTED_VALUE"""),"No se indica tiempo de duración de la batería")</f>
        <v>No se indica tiempo de duración de la batería</v>
      </c>
      <c r="AT573" s="213"/>
      <c r="AU573" s="213"/>
      <c r="AV573" s="213"/>
      <c r="AW573" s="213"/>
      <c r="AX573" s="213"/>
      <c r="AY573" s="213"/>
      <c r="AZ573" s="213"/>
      <c r="BA573" s="213"/>
      <c r="BB573" s="213"/>
      <c r="BC573" s="213"/>
      <c r="BD573" s="213"/>
    </row>
    <row r="574">
      <c r="A574" s="213">
        <f>IFERROR(__xludf.DUMMYFUNCTION("""COMPUTED_VALUE"""),1972.0)</f>
        <v>1972</v>
      </c>
      <c r="B574" s="213" t="str">
        <f>IFERROR(__xludf.DUMMYFUNCTION("""COMPUTED_VALUE"""),"JOSE GRANDA")</f>
        <v>JOSE GRANDA</v>
      </c>
      <c r="C574" s="213" t="str">
        <f>IFERROR(__xludf.DUMMYFUNCTION("""COMPUTED_VALUE"""),"TALLER SFT DE COMPUTACIÓN E INFORMÁTICA")</f>
        <v>TALLER SFT DE COMPUTACIÓN E INFORMÁTICA</v>
      </c>
      <c r="D574" s="213" t="str">
        <f>IFERROR(__xludf.DUMMYFUNCTION("""COMPUTED_VALUE"""),"TICS")</f>
        <v>TICS</v>
      </c>
      <c r="E574" s="213" t="str">
        <f>IFERROR(__xludf.DUMMYFUNCTION("""COMPUTED_VALUE"""),"TEC-108")</f>
        <v>TEC-108</v>
      </c>
      <c r="F574" s="213" t="str">
        <f>IFERROR(__xludf.DUMMYFUNCTION("""COMPUTED_VALUE"""),"TEC-108")</f>
        <v>TEC-108</v>
      </c>
      <c r="G574" s="213"/>
      <c r="H574" s="213" t="str">
        <f>IFERROR(__xludf.DUMMYFUNCTION("""COMPUTED_VALUE"""),"EQUIPO DE SONIDO")</f>
        <v>EQUIPO DE SONIDO</v>
      </c>
      <c r="I574"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74" s="213">
        <f>IFERROR(__xludf.DUMMYFUNCTION("""COMPUTED_VALUE"""),3.0)</f>
        <v>3</v>
      </c>
      <c r="K574" s="213" t="str">
        <f>IFERROR(__xludf.DUMMYFUNCTION("""COMPUTED_VALUE"""),"170 DÍAS CALENDARIO")</f>
        <v>170 DÍAS CALENDARIO</v>
      </c>
      <c r="L574"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74" s="213">
        <f>IFERROR(__xludf.DUMMYFUNCTION("""COMPUTED_VALUE"""),1.0)</f>
        <v>1</v>
      </c>
      <c r="N574" s="213">
        <f>IFERROR(__xludf.DUMMYFUNCTION("""COMPUTED_VALUE"""),1.0)</f>
        <v>1</v>
      </c>
      <c r="O574" s="213">
        <f>IFERROR(__xludf.DUMMYFUNCTION("""COMPUTED_VALUE"""),1.0)</f>
        <v>1</v>
      </c>
      <c r="P574" s="213"/>
      <c r="Q574" s="213"/>
      <c r="R574" s="213"/>
      <c r="S574" s="213"/>
      <c r="T574" s="213" t="str">
        <f>IFERROR(__xludf.DUMMYFUNCTION("""COMPUTED_VALUE"""),"CONSULTA FINAL")</f>
        <v>CONSULTA FINAL</v>
      </c>
      <c r="U574" s="213" t="str">
        <f>IFERROR(__xludf.DUMMYFUNCTION("""COMPUTED_VALUE"""),"NO")</f>
        <v>NO</v>
      </c>
      <c r="V574" s="213" t="str">
        <f>IFERROR(__xludf.DUMMYFUNCTION("""COMPUTED_VALUE"""),"SUSTENTO")</f>
        <v>SUSTENTO</v>
      </c>
      <c r="W574" s="213" t="str">
        <f>IFERROR(__xludf.DUMMYFUNCTION("""COMPUTED_VALUE"""),"CRÍTICO, EQU TEC")</f>
        <v>CRÍTICO, EQU TEC</v>
      </c>
      <c r="X574" s="213" t="str">
        <f>IFERROR(__xludf.DUMMYFUNCTION("""COMPUTED_VALUE"""),"CREATIVE")</f>
        <v>CREATIVE</v>
      </c>
      <c r="Y574" s="213" t="str">
        <f>IFERROR(__xludf.DUMMYFUNCTION("""COMPUTED_VALUE"""),"SBS E2500")</f>
        <v>SBS E2500</v>
      </c>
      <c r="Z574" s="215" t="str">
        <f>IFERROR(__xludf.DUMMYFUNCTION("""COMPUTED_VALUE"""),"https://es.creative.com/p/speakers/creative-sbs-e2500")</f>
        <v>https://es.creative.com/p/speakers/creative-sbs-e2500</v>
      </c>
      <c r="AA574" s="215" t="str">
        <f>IFERROR(__xludf.DUMMYFUNCTION("""COMPUTED_VALUE"""),"https://docs.google.com/spreadsheets/d/1Yh6XRoLw_DStoLOpCMeejDugf1f5gy8uy4kZdTlB0pA/edit?gid=0#gid=4")</f>
        <v>https://docs.google.com/spreadsheets/d/1Yh6XRoLw_DStoLOpCMeejDugf1f5gy8uy4kZdTlB0pA/edit?gid=0#gid=4</v>
      </c>
      <c r="AB574" s="213"/>
      <c r="AC574" s="213"/>
      <c r="AD574" s="213"/>
      <c r="AE574" s="213"/>
      <c r="AF574" s="213"/>
      <c r="AG574" s="213"/>
      <c r="AH574" s="213"/>
      <c r="AI574" s="213"/>
      <c r="AJ574" s="213"/>
      <c r="AK574" s="213"/>
      <c r="AL574" s="213"/>
      <c r="AM574" s="213"/>
      <c r="AN574" s="213"/>
      <c r="AO574" s="213"/>
      <c r="AP574" s="213" t="str">
        <f>IFERROR(__xludf.DUMMYFUNCTION("""COMPUTED_VALUE"""),"NALDI")</f>
        <v>NALDI</v>
      </c>
      <c r="AQ574" s="213" t="str">
        <f>IFERROR(__xludf.DUMMYFUNCTION("""COMPUTED_VALUE"""),"Adicionar un Micrófono
El equipo debe ser instalado a la pizarra (pantalla) táctil interactiva multi-touch.")</f>
        <v>Adicionar un Micrófono
El equipo debe ser instalado a la pizarra (pantalla) táctil interactiva multi-touch.</v>
      </c>
      <c r="AR574" s="213"/>
      <c r="AS574" s="213" t="str">
        <f>IFERROR(__xludf.DUMMYFUNCTION("""COMPUTED_VALUE"""),"No se indica tiempo de duración de la batería")</f>
        <v>No se indica tiempo de duración de la batería</v>
      </c>
      <c r="AT574" s="213"/>
      <c r="AU574" s="213"/>
      <c r="AV574" s="213"/>
      <c r="AW574" s="213"/>
      <c r="AX574" s="213"/>
      <c r="AY574" s="213"/>
      <c r="AZ574" s="213"/>
      <c r="BA574" s="213"/>
      <c r="BB574" s="213"/>
      <c r="BC574" s="213"/>
      <c r="BD574" s="213"/>
    </row>
    <row r="575">
      <c r="A575" s="213">
        <f>IFERROR(__xludf.DUMMYFUNCTION("""COMPUTED_VALUE"""),2164.0)</f>
        <v>2164</v>
      </c>
      <c r="B575" s="213" t="str">
        <f>IFERROR(__xludf.DUMMYFUNCTION("""COMPUTED_VALUE"""),"JOSE GRANDA")</f>
        <v>JOSE GRANDA</v>
      </c>
      <c r="C575" s="213" t="str">
        <f>IFERROR(__xludf.DUMMYFUNCTION("""COMPUTED_VALUE"""),"TALLER SFT DE INDUSTRIA ALIMENTARIA")</f>
        <v>TALLER SFT DE INDUSTRIA ALIMENTARIA</v>
      </c>
      <c r="D575" s="213" t="str">
        <f>IFERROR(__xludf.DUMMYFUNCTION("""COMPUTED_VALUE"""),"TICS")</f>
        <v>TICS</v>
      </c>
      <c r="E575" s="213" t="str">
        <f>IFERROR(__xludf.DUMMYFUNCTION("""COMPUTED_VALUE"""),"TEC-108")</f>
        <v>TEC-108</v>
      </c>
      <c r="F575" s="213" t="str">
        <f>IFERROR(__xludf.DUMMYFUNCTION("""COMPUTED_VALUE"""),"TEC-108")</f>
        <v>TEC-108</v>
      </c>
      <c r="G575" s="213"/>
      <c r="H575" s="213" t="str">
        <f>IFERROR(__xludf.DUMMYFUNCTION("""COMPUTED_VALUE"""),"EQUIPO DE SONIDO")</f>
        <v>EQUIPO DE SONIDO</v>
      </c>
      <c r="I575"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75" s="213">
        <f>IFERROR(__xludf.DUMMYFUNCTION("""COMPUTED_VALUE"""),3.0)</f>
        <v>3</v>
      </c>
      <c r="K575" s="213" t="str">
        <f>IFERROR(__xludf.DUMMYFUNCTION("""COMPUTED_VALUE"""),"170 DÍAS CALENDARIO")</f>
        <v>170 DÍAS CALENDARIO</v>
      </c>
      <c r="L575"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75" s="213">
        <f>IFERROR(__xludf.DUMMYFUNCTION("""COMPUTED_VALUE"""),1.0)</f>
        <v>1</v>
      </c>
      <c r="N575" s="213">
        <f>IFERROR(__xludf.DUMMYFUNCTION("""COMPUTED_VALUE"""),1.0)</f>
        <v>1</v>
      </c>
      <c r="O575" s="213">
        <f>IFERROR(__xludf.DUMMYFUNCTION("""COMPUTED_VALUE"""),1.0)</f>
        <v>1</v>
      </c>
      <c r="P575" s="213"/>
      <c r="Q575" s="213"/>
      <c r="R575" s="213"/>
      <c r="S575" s="213"/>
      <c r="T575" s="213" t="str">
        <f>IFERROR(__xludf.DUMMYFUNCTION("""COMPUTED_VALUE"""),"CONSULTA FINAL")</f>
        <v>CONSULTA FINAL</v>
      </c>
      <c r="U575" s="213" t="str">
        <f>IFERROR(__xludf.DUMMYFUNCTION("""COMPUTED_VALUE"""),"NO")</f>
        <v>NO</v>
      </c>
      <c r="V575" s="213" t="str">
        <f>IFERROR(__xludf.DUMMYFUNCTION("""COMPUTED_VALUE"""),"SUSTENTO")</f>
        <v>SUSTENTO</v>
      </c>
      <c r="W575" s="213" t="str">
        <f>IFERROR(__xludf.DUMMYFUNCTION("""COMPUTED_VALUE"""),"CRÍTICO, EQU TEC")</f>
        <v>CRÍTICO, EQU TEC</v>
      </c>
      <c r="X575" s="213" t="str">
        <f>IFERROR(__xludf.DUMMYFUNCTION("""COMPUTED_VALUE"""),"CREATIVE")</f>
        <v>CREATIVE</v>
      </c>
      <c r="Y575" s="213" t="str">
        <f>IFERROR(__xludf.DUMMYFUNCTION("""COMPUTED_VALUE"""),"SBS E2500")</f>
        <v>SBS E2500</v>
      </c>
      <c r="Z575" s="215" t="str">
        <f>IFERROR(__xludf.DUMMYFUNCTION("""COMPUTED_VALUE"""),"https://es.creative.com/p/speakers/creative-sbs-e2500")</f>
        <v>https://es.creative.com/p/speakers/creative-sbs-e2500</v>
      </c>
      <c r="AA575" s="215" t="str">
        <f>IFERROR(__xludf.DUMMYFUNCTION("""COMPUTED_VALUE"""),"https://docs.google.com/spreadsheets/d/1Yh6XRoLw_DStoLOpCMeejDugf1f5gy8uy4kZdTlB0pA/edit?gid=0#gid=14")</f>
        <v>https://docs.google.com/spreadsheets/d/1Yh6XRoLw_DStoLOpCMeejDugf1f5gy8uy4kZdTlB0pA/edit?gid=0#gid=14</v>
      </c>
      <c r="AB575" s="213"/>
      <c r="AC575" s="213"/>
      <c r="AD575" s="213"/>
      <c r="AE575" s="213"/>
      <c r="AF575" s="213"/>
      <c r="AG575" s="213"/>
      <c r="AH575" s="213"/>
      <c r="AI575" s="213"/>
      <c r="AJ575" s="213"/>
      <c r="AK575" s="213"/>
      <c r="AL575" s="213"/>
      <c r="AM575" s="213"/>
      <c r="AN575" s="213"/>
      <c r="AO575" s="213"/>
      <c r="AP575" s="213" t="str">
        <f>IFERROR(__xludf.DUMMYFUNCTION("""COMPUTED_VALUE"""),"NALDI")</f>
        <v>NALDI</v>
      </c>
      <c r="AQ575" s="213" t="str">
        <f>IFERROR(__xludf.DUMMYFUNCTION("""COMPUTED_VALUE"""),"Adicionar un Micrófono
El equipo debe ser instalado a la pizarra (pantalla) táctil interactiva multi-touch.")</f>
        <v>Adicionar un Micrófono
El equipo debe ser instalado a la pizarra (pantalla) táctil interactiva multi-touch.</v>
      </c>
      <c r="AR575" s="213"/>
      <c r="AS575" s="213" t="str">
        <f>IFERROR(__xludf.DUMMYFUNCTION("""COMPUTED_VALUE"""),"No se indica tiempo de duración de la batería")</f>
        <v>No se indica tiempo de duración de la batería</v>
      </c>
      <c r="AT575" s="213"/>
      <c r="AU575" s="213"/>
      <c r="AV575" s="213"/>
      <c r="AW575" s="213"/>
      <c r="AX575" s="213"/>
      <c r="AY575" s="213"/>
      <c r="AZ575" s="213"/>
      <c r="BA575" s="213"/>
      <c r="BB575" s="213"/>
      <c r="BC575" s="213"/>
      <c r="BD575" s="213"/>
    </row>
    <row r="576">
      <c r="A576" s="213">
        <f>IFERROR(__xludf.DUMMYFUNCTION("""COMPUTED_VALUE"""),2301.0)</f>
        <v>2301</v>
      </c>
      <c r="B576" s="213" t="str">
        <f>IFERROR(__xludf.DUMMYFUNCTION("""COMPUTED_VALUE"""),"JOSE GRANDA")</f>
        <v>JOSE GRANDA</v>
      </c>
      <c r="C576" s="213" t="str">
        <f>IFERROR(__xludf.DUMMYFUNCTION("""COMPUTED_VALUE"""),"TALLER SFT DE MECÁNICA AUTOMOTRIZ")</f>
        <v>TALLER SFT DE MECÁNICA AUTOMOTRIZ</v>
      </c>
      <c r="D576" s="213" t="str">
        <f>IFERROR(__xludf.DUMMYFUNCTION("""COMPUTED_VALUE"""),"TICS")</f>
        <v>TICS</v>
      </c>
      <c r="E576" s="213" t="str">
        <f>IFERROR(__xludf.DUMMYFUNCTION("""COMPUTED_VALUE"""),"TEC-108")</f>
        <v>TEC-108</v>
      </c>
      <c r="F576" s="213" t="str">
        <f>IFERROR(__xludf.DUMMYFUNCTION("""COMPUTED_VALUE"""),"TEC-108")</f>
        <v>TEC-108</v>
      </c>
      <c r="G576" s="213"/>
      <c r="H576" s="213" t="str">
        <f>IFERROR(__xludf.DUMMYFUNCTION("""COMPUTED_VALUE"""),"EQUIPO DE SONIDO")</f>
        <v>EQUIPO DE SONIDO</v>
      </c>
      <c r="I576"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76" s="213">
        <f>IFERROR(__xludf.DUMMYFUNCTION("""COMPUTED_VALUE"""),3.0)</f>
        <v>3</v>
      </c>
      <c r="K576" s="213" t="str">
        <f>IFERROR(__xludf.DUMMYFUNCTION("""COMPUTED_VALUE"""),"170 DÍAS CALENDARIO")</f>
        <v>170 DÍAS CALENDARIO</v>
      </c>
      <c r="L576"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76" s="213">
        <f>IFERROR(__xludf.DUMMYFUNCTION("""COMPUTED_VALUE"""),1.0)</f>
        <v>1</v>
      </c>
      <c r="N576" s="213">
        <f>IFERROR(__xludf.DUMMYFUNCTION("""COMPUTED_VALUE"""),1.0)</f>
        <v>1</v>
      </c>
      <c r="O576" s="213">
        <f>IFERROR(__xludf.DUMMYFUNCTION("""COMPUTED_VALUE"""),1.0)</f>
        <v>1</v>
      </c>
      <c r="P576" s="213"/>
      <c r="Q576" s="213"/>
      <c r="R576" s="213"/>
      <c r="S576" s="213"/>
      <c r="T576" s="213" t="str">
        <f>IFERROR(__xludf.DUMMYFUNCTION("""COMPUTED_VALUE"""),"CONSULTA FINAL")</f>
        <v>CONSULTA FINAL</v>
      </c>
      <c r="U576" s="213" t="str">
        <f>IFERROR(__xludf.DUMMYFUNCTION("""COMPUTED_VALUE"""),"NO")</f>
        <v>NO</v>
      </c>
      <c r="V576" s="213" t="str">
        <f>IFERROR(__xludf.DUMMYFUNCTION("""COMPUTED_VALUE"""),"SUSTENTO")</f>
        <v>SUSTENTO</v>
      </c>
      <c r="W576" s="213" t="str">
        <f>IFERROR(__xludf.DUMMYFUNCTION("""COMPUTED_VALUE"""),"CRÍTICO, EQU TEC")</f>
        <v>CRÍTICO, EQU TEC</v>
      </c>
      <c r="X576" s="213" t="str">
        <f>IFERROR(__xludf.DUMMYFUNCTION("""COMPUTED_VALUE"""),"CREATIVE")</f>
        <v>CREATIVE</v>
      </c>
      <c r="Y576" s="213" t="str">
        <f>IFERROR(__xludf.DUMMYFUNCTION("""COMPUTED_VALUE"""),"SBS E2500")</f>
        <v>SBS E2500</v>
      </c>
      <c r="Z576" s="215" t="str">
        <f>IFERROR(__xludf.DUMMYFUNCTION("""COMPUTED_VALUE"""),"https://es.creative.com/p/speakers/creative-sbs-e2500")</f>
        <v>https://es.creative.com/p/speakers/creative-sbs-e2500</v>
      </c>
      <c r="AA576" s="215" t="str">
        <f>IFERROR(__xludf.DUMMYFUNCTION("""COMPUTED_VALUE"""),"https://docs.google.com/spreadsheets/d/1Yh6XRoLw_DStoLOpCMeejDugf1f5gy8uy4kZdTlB0pA/edit?gid=0#gid=19")</f>
        <v>https://docs.google.com/spreadsheets/d/1Yh6XRoLw_DStoLOpCMeejDugf1f5gy8uy4kZdTlB0pA/edit?gid=0#gid=19</v>
      </c>
      <c r="AB576" s="213"/>
      <c r="AC576" s="213"/>
      <c r="AD576" s="213"/>
      <c r="AE576" s="213"/>
      <c r="AF576" s="213"/>
      <c r="AG576" s="213"/>
      <c r="AH576" s="213"/>
      <c r="AI576" s="213"/>
      <c r="AJ576" s="213"/>
      <c r="AK576" s="213"/>
      <c r="AL576" s="213"/>
      <c r="AM576" s="213"/>
      <c r="AN576" s="213"/>
      <c r="AO576" s="213"/>
      <c r="AP576" s="213" t="str">
        <f>IFERROR(__xludf.DUMMYFUNCTION("""COMPUTED_VALUE"""),"NALDI")</f>
        <v>NALDI</v>
      </c>
      <c r="AQ576" s="213" t="str">
        <f>IFERROR(__xludf.DUMMYFUNCTION("""COMPUTED_VALUE"""),"Adicionar un Micrófono
El equipo debe ser instalado a la pizarra (pantalla) táctil interactiva multi-touch.")</f>
        <v>Adicionar un Micrófono
El equipo debe ser instalado a la pizarra (pantalla) táctil interactiva multi-touch.</v>
      </c>
      <c r="AR576" s="213"/>
      <c r="AS576" s="213" t="str">
        <f>IFERROR(__xludf.DUMMYFUNCTION("""COMPUTED_VALUE"""),"No se indica tiempo de duración de la batería")</f>
        <v>No se indica tiempo de duración de la batería</v>
      </c>
      <c r="AT576" s="213"/>
      <c r="AU576" s="213"/>
      <c r="AV576" s="213"/>
      <c r="AW576" s="213"/>
      <c r="AX576" s="213"/>
      <c r="AY576" s="213"/>
      <c r="AZ576" s="213"/>
      <c r="BA576" s="213"/>
      <c r="BB576" s="213"/>
      <c r="BC576" s="213"/>
      <c r="BD576" s="213"/>
    </row>
    <row r="577">
      <c r="A577" s="213">
        <f>IFERROR(__xludf.DUMMYFUNCTION("""COMPUTED_VALUE"""),2433.0)</f>
        <v>2433</v>
      </c>
      <c r="B577" s="213" t="str">
        <f>IFERROR(__xludf.DUMMYFUNCTION("""COMPUTED_VALUE"""),"MANUEL ANTONIO MESONES MURO")</f>
        <v>MANUEL ANTONIO MESONES MURO</v>
      </c>
      <c r="C577" s="213" t="str">
        <f>IFERROR(__xludf.DUMMYFUNCTION("""COMPUTED_VALUE"""),"TALLER SFT DE INDUSTRIA DEL VESTIDO")</f>
        <v>TALLER SFT DE INDUSTRIA DEL VESTIDO</v>
      </c>
      <c r="D577" s="213" t="str">
        <f>IFERROR(__xludf.DUMMYFUNCTION("""COMPUTED_VALUE"""),"TICS")</f>
        <v>TICS</v>
      </c>
      <c r="E577" s="213" t="str">
        <f>IFERROR(__xludf.DUMMYFUNCTION("""COMPUTED_VALUE"""),"TEC-108")</f>
        <v>TEC-108</v>
      </c>
      <c r="F577" s="213" t="str">
        <f>IFERROR(__xludf.DUMMYFUNCTION("""COMPUTED_VALUE"""),"TEC-108")</f>
        <v>TEC-108</v>
      </c>
      <c r="G577" s="213"/>
      <c r="H577" s="213" t="str">
        <f>IFERROR(__xludf.DUMMYFUNCTION("""COMPUTED_VALUE"""),"EQUIPO DE SONIDO")</f>
        <v>EQUIPO DE SONIDO</v>
      </c>
      <c r="I577"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77" s="213">
        <f>IFERROR(__xludf.DUMMYFUNCTION("""COMPUTED_VALUE"""),3.0)</f>
        <v>3</v>
      </c>
      <c r="K577" s="213" t="str">
        <f>IFERROR(__xludf.DUMMYFUNCTION("""COMPUTED_VALUE"""),"170 DÍAS CALENDARIO")</f>
        <v>170 DÍAS CALENDARIO</v>
      </c>
      <c r="L577"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77" s="213">
        <f>IFERROR(__xludf.DUMMYFUNCTION("""COMPUTED_VALUE"""),1.0)</f>
        <v>1</v>
      </c>
      <c r="N577" s="213">
        <f>IFERROR(__xludf.DUMMYFUNCTION("""COMPUTED_VALUE"""),1.0)</f>
        <v>1</v>
      </c>
      <c r="O577" s="213">
        <f>IFERROR(__xludf.DUMMYFUNCTION("""COMPUTED_VALUE"""),1.0)</f>
        <v>1</v>
      </c>
      <c r="P577" s="213"/>
      <c r="Q577" s="213"/>
      <c r="R577" s="213"/>
      <c r="S577" s="213"/>
      <c r="T577" s="213" t="str">
        <f>IFERROR(__xludf.DUMMYFUNCTION("""COMPUTED_VALUE"""),"CONSULTA FINAL")</f>
        <v>CONSULTA FINAL</v>
      </c>
      <c r="U577" s="213" t="str">
        <f>IFERROR(__xludf.DUMMYFUNCTION("""COMPUTED_VALUE"""),"NO")</f>
        <v>NO</v>
      </c>
      <c r="V577" s="213" t="str">
        <f>IFERROR(__xludf.DUMMYFUNCTION("""COMPUTED_VALUE"""),"SUSTENTO")</f>
        <v>SUSTENTO</v>
      </c>
      <c r="W577" s="213" t="str">
        <f>IFERROR(__xludf.DUMMYFUNCTION("""COMPUTED_VALUE"""),"CRÍTICO, EQU TEC")</f>
        <v>CRÍTICO, EQU TEC</v>
      </c>
      <c r="X577" s="213" t="str">
        <f>IFERROR(__xludf.DUMMYFUNCTION("""COMPUTED_VALUE"""),"CREATIVE")</f>
        <v>CREATIVE</v>
      </c>
      <c r="Y577" s="213" t="str">
        <f>IFERROR(__xludf.DUMMYFUNCTION("""COMPUTED_VALUE"""),"SBS E2500")</f>
        <v>SBS E2500</v>
      </c>
      <c r="Z577" s="215" t="str">
        <f>IFERROR(__xludf.DUMMYFUNCTION("""COMPUTED_VALUE"""),"https://es.creative.com/p/speakers/creative-sbs-e2500")</f>
        <v>https://es.creative.com/p/speakers/creative-sbs-e2500</v>
      </c>
      <c r="AA577" s="215" t="str">
        <f>IFERROR(__xludf.DUMMYFUNCTION("""COMPUTED_VALUE"""),"https://docs.google.com/spreadsheets/d/1Yh6XRoLw_DStoLOpCMeejDugf1f5gy8uy4kZdTlB0pA/edit?gid=0#gid=16")</f>
        <v>https://docs.google.com/spreadsheets/d/1Yh6XRoLw_DStoLOpCMeejDugf1f5gy8uy4kZdTlB0pA/edit?gid=0#gid=16</v>
      </c>
      <c r="AB577" s="213"/>
      <c r="AC577" s="213"/>
      <c r="AD577" s="213"/>
      <c r="AE577" s="213"/>
      <c r="AF577" s="213"/>
      <c r="AG577" s="213"/>
      <c r="AH577" s="213"/>
      <c r="AI577" s="213"/>
      <c r="AJ577" s="213"/>
      <c r="AK577" s="213"/>
      <c r="AL577" s="213"/>
      <c r="AM577" s="213"/>
      <c r="AN577" s="213"/>
      <c r="AO577" s="213"/>
      <c r="AP577" s="213" t="str">
        <f>IFERROR(__xludf.DUMMYFUNCTION("""COMPUTED_VALUE"""),"NALDI")</f>
        <v>NALDI</v>
      </c>
      <c r="AQ577" s="213" t="str">
        <f>IFERROR(__xludf.DUMMYFUNCTION("""COMPUTED_VALUE"""),"Adicionar un Micrófono
El equipo debe ser instalado a la pizarra (pantalla) táctil interactiva multi-touch.")</f>
        <v>Adicionar un Micrófono
El equipo debe ser instalado a la pizarra (pantalla) táctil interactiva multi-touch.</v>
      </c>
      <c r="AR577" s="213"/>
      <c r="AS577" s="213" t="str">
        <f>IFERROR(__xludf.DUMMYFUNCTION("""COMPUTED_VALUE"""),"No se indica tiempo de duración de la batería")</f>
        <v>No se indica tiempo de duración de la batería</v>
      </c>
      <c r="AT577" s="213"/>
      <c r="AU577" s="213"/>
      <c r="AV577" s="213"/>
      <c r="AW577" s="213"/>
      <c r="AX577" s="213"/>
      <c r="AY577" s="213"/>
      <c r="AZ577" s="213"/>
      <c r="BA577" s="213"/>
      <c r="BB577" s="213"/>
      <c r="BC577" s="213"/>
      <c r="BD577" s="213"/>
    </row>
    <row r="578">
      <c r="A578" s="213">
        <f>IFERROR(__xludf.DUMMYFUNCTION("""COMPUTED_VALUE"""),2522.0)</f>
        <v>2522</v>
      </c>
      <c r="B578" s="213" t="str">
        <f>IFERROR(__xludf.DUMMYFUNCTION("""COMPUTED_VALUE"""),"MANUEL ANTONIO MESONES MURO")</f>
        <v>MANUEL ANTONIO MESONES MURO</v>
      </c>
      <c r="C578" s="213" t="str">
        <f>IFERROR(__xludf.DUMMYFUNCTION("""COMPUTED_VALUE"""),"TALLER SFT DE CONSTRUCCIONES METÁLICAS")</f>
        <v>TALLER SFT DE CONSTRUCCIONES METÁLICAS</v>
      </c>
      <c r="D578" s="213" t="str">
        <f>IFERROR(__xludf.DUMMYFUNCTION("""COMPUTED_VALUE"""),"EQUIPOS")</f>
        <v>EQUIPOS</v>
      </c>
      <c r="E578" s="213" t="str">
        <f>IFERROR(__xludf.DUMMYFUNCTION("""COMPUTED_VALUE"""),"ESP-158")</f>
        <v>ESP-158</v>
      </c>
      <c r="F578" s="213" t="str">
        <f>IFERROR(__xludf.DUMMYFUNCTION("""COMPUTED_VALUE"""),"ESP-158")</f>
        <v>ESP-158</v>
      </c>
      <c r="G578" s="213"/>
      <c r="H578" s="213" t="str">
        <f>IFERROR(__xludf.DUMMYFUNCTION("""COMPUTED_VALUE"""),"EQUIPO PARA PINTURA POR SPRAY")</f>
        <v>EQUIPO PARA PINTURA POR SPRAY</v>
      </c>
      <c r="I578" s="213" t="str">
        <f>IFERROR(__xludf.DUMMYFUNCTION("""COMPUTED_VALUE"""),"Baja presión flujo de acero Tipo pistola
.  capacidad mínima 500 ml
-  material de acero
-  salida de conexión ¼” macho
-  flujo de aire 0.28 L/min
-  boquilla 1.5 mm Manguera
-  Refuerzo una trenza de acero
-  Temperatura de -40°C hasta 100°C
-  Cubierta"&amp;" de caucho sintético especial
-  Resistente a la intemperie abrasión y aceite
-  Para pintado de alta presión
-  ¼ de diámetro")</f>
        <v>Baja presión flujo de acero Tipo pistola
.  capacidad mínima 500 ml
-  material de acero
-  salida de conexión ¼” macho
-  flujo de aire 0.28 L/min
-  boquilla 1.5 mm Manguera
-  Refuerzo una trenza de acero
-  Temperatura de -40°C hasta 100°C
-  Cubierta de caucho sintético especial
-  Resistente a la intemperie abrasión y aceite
-  Para pintado de alta presión
-  ¼ de diámetro</v>
      </c>
      <c r="J578" s="213">
        <f>IFERROR(__xludf.DUMMYFUNCTION("""COMPUTED_VALUE"""),3.0)</f>
        <v>3</v>
      </c>
      <c r="K578" s="213" t="str">
        <f>IFERROR(__xludf.DUMMYFUNCTION("""COMPUTED_VALUE"""),"170 DÍAS CALENDARIO")</f>
        <v>170 DÍAS CALENDARIO</v>
      </c>
      <c r="L578" s="213" t="str">
        <f>IFERROR(__xludf.DUMMYFUNCTION("""COMPUTED_VALUE"""),"")</f>
        <v/>
      </c>
      <c r="M578" s="213">
        <f>IFERROR(__xludf.DUMMYFUNCTION("""COMPUTED_VALUE"""),1.0)</f>
        <v>1</v>
      </c>
      <c r="N578" s="213">
        <f>IFERROR(__xludf.DUMMYFUNCTION("""COMPUTED_VALUE"""),2.0)</f>
        <v>2</v>
      </c>
      <c r="O578" s="213">
        <f>IFERROR(__xludf.DUMMYFUNCTION("""COMPUTED_VALUE"""),2.0)</f>
        <v>2</v>
      </c>
      <c r="P578" s="213"/>
      <c r="Q578" s="213"/>
      <c r="R578" s="213"/>
      <c r="S578" s="213" t="str">
        <f>IFERROR(__xludf.DUMMYFUNCTION("""COMPUTED_VALUE"""),"SI")</f>
        <v>SI</v>
      </c>
      <c r="T578" s="213" t="str">
        <f>IFERROR(__xludf.DUMMYFUNCTION("""COMPUTED_VALUE"""),"SI")</f>
        <v>SI</v>
      </c>
      <c r="U578" s="213" t="str">
        <f>IFERROR(__xludf.DUMMYFUNCTION("""COMPUTED_VALUE"""),"NO")</f>
        <v>NO</v>
      </c>
      <c r="V578" s="213" t="str">
        <f>IFERROR(__xludf.DUMMYFUNCTION("""COMPUTED_VALUE"""),"SUSTENTO")</f>
        <v>SUSTENTO</v>
      </c>
      <c r="W578" s="213" t="str">
        <f>IFERROR(__xludf.DUMMYFUNCTION("""COMPUTED_VALUE"""),"EQU TEC, CRÍTICO")</f>
        <v>EQU TEC, CRÍTICO</v>
      </c>
      <c r="X578" s="213" t="str">
        <f>IFERROR(__xludf.DUMMYFUNCTION("""COMPUTED_VALUE"""),"TRUPER")</f>
        <v>TRUPER</v>
      </c>
      <c r="Y578" s="213" t="str">
        <f>IFERROR(__xludf.DUMMYFUNCTION("""COMPUTED_VALUE"""),"PIPI-502 &amp; MAN-PI-5-1/4")</f>
        <v>PIPI-502 &amp; MAN-PI-5-1/4</v>
      </c>
      <c r="Z578" s="215" t="str">
        <f>IFERROR(__xludf.DUMMYFUNCTION("""COMPUTED_VALUE"""),"https://www.truper.com/CatVigente/Pistolas-de-aire-de-GRAVEDAD-hibridas-aerografo-y-mueble-exhibidor-TRUPER-103.html")</f>
        <v>https://www.truper.com/CatVigente/Pistolas-de-aire-de-GRAVEDAD-hibridas-aerografo-y-mueble-exhibidor-TRUPER-103.html</v>
      </c>
      <c r="AA578" s="213" t="str">
        <f>IFERROR(__xludf.DUMMYFUNCTION("""COMPUTED_VALUE"""),"ESP-158 EQUIPO PARA PINTURA POR SPRAY - CET")</f>
        <v>ESP-158 EQUIPO PARA PINTURA POR SPRAY - CET</v>
      </c>
      <c r="AB578" s="213"/>
      <c r="AC578" s="213"/>
      <c r="AD578" s="213"/>
      <c r="AE578" s="213"/>
      <c r="AF578" s="213"/>
      <c r="AG578" s="213"/>
      <c r="AH578" s="213" t="str">
        <f>IFERROR(__xludf.DUMMYFUNCTION("""COMPUTED_VALUE"""),"IMPORTADO")</f>
        <v>IMPORTADO</v>
      </c>
      <c r="AI578" s="213"/>
      <c r="AJ578" s="213"/>
      <c r="AK578" s="213"/>
      <c r="AL578" s="213"/>
      <c r="AM578" s="213"/>
      <c r="AN578" s="213"/>
      <c r="AO578" s="213"/>
      <c r="AP578" s="213" t="str">
        <f>IFERROR(__xludf.DUMMYFUNCTION("""COMPUTED_VALUE"""),"NALDI")</f>
        <v>NALDI</v>
      </c>
      <c r="AQ578" s="213"/>
      <c r="AR578" s="213"/>
      <c r="AS578" s="213"/>
      <c r="AT578" s="213"/>
      <c r="AU578" s="213"/>
      <c r="AV578" s="213"/>
      <c r="AW578" s="213"/>
      <c r="AX578" s="213"/>
      <c r="AY578" s="213"/>
      <c r="AZ578" s="213"/>
      <c r="BA578" s="213"/>
      <c r="BB578" s="213"/>
      <c r="BC578" s="213"/>
      <c r="BD578" s="213"/>
    </row>
    <row r="579">
      <c r="A579" s="213">
        <f>IFERROR(__xludf.DUMMYFUNCTION("""COMPUTED_VALUE"""),2658.0)</f>
        <v>2658</v>
      </c>
      <c r="B579" s="213" t="str">
        <f>IFERROR(__xludf.DUMMYFUNCTION("""COMPUTED_VALUE"""),"MANUEL ANTONIO MESONES MURO")</f>
        <v>MANUEL ANTONIO MESONES MURO</v>
      </c>
      <c r="C579" s="213" t="str">
        <f>IFERROR(__xludf.DUMMYFUNCTION("""COMPUTED_VALUE"""),"TALLER SFT DE EBANISTERÍA")</f>
        <v>TALLER SFT DE EBANISTERÍA</v>
      </c>
      <c r="D579" s="213" t="str">
        <f>IFERROR(__xludf.DUMMYFUNCTION("""COMPUTED_VALUE"""),"TICS")</f>
        <v>TICS</v>
      </c>
      <c r="E579" s="213" t="str">
        <f>IFERROR(__xludf.DUMMYFUNCTION("""COMPUTED_VALUE"""),"TEC-108")</f>
        <v>TEC-108</v>
      </c>
      <c r="F579" s="213" t="str">
        <f>IFERROR(__xludf.DUMMYFUNCTION("""COMPUTED_VALUE"""),"TEC-108")</f>
        <v>TEC-108</v>
      </c>
      <c r="G579" s="213"/>
      <c r="H579" s="213" t="str">
        <f>IFERROR(__xludf.DUMMYFUNCTION("""COMPUTED_VALUE"""),"EQUIPO DE SONIDO")</f>
        <v>EQUIPO DE SONIDO</v>
      </c>
      <c r="I579" s="213" t="str">
        <f>IFERROR(__xludf.DUMMYFUNCTION("""COMPUTED_VALUE"""),"· Sistema de parlantes con amplificador y unidad de graves, ideal para conectar, reproductores de música, reproductores de audio-videos o PC.
· Compuesto de dos canales (parlantes) y un Subwoofer
· Potencia mínima RMS: 27 W
· Potencia mínima en el Subwoof"&amp;"er: 16 W
· Potencia mínima en cada canal: 5.5 W
· Respuesta de frecuencia: 40 Hz ~ 20 KHz
· Alimentación eléctrica: 220 V / 60 Hz
· Incluye accesorios: Control remoto, cables de conexión, micrófono
El equipo debe ser instalado a la pizarra (pantalla) táct"&amp;"il interactiva multi-touch.")</f>
        <v>· Sistema de parlantes con amplificador y unidad de graves, ideal para conectar, reproductores de música, reproductores de audio-videos o PC.
· Compuesto de dos canales (parlantes) y un Subwoofer
· Potencia mínima RMS: 27 W
· Potencia mínima en el Subwoofer: 16 W
· Potencia mínima en cada canal: 5.5 W
· Respuesta de frecuencia: 40 Hz ~ 20 KHz
· Alimentación eléctrica: 220 V / 60 Hz
· Incluye accesorios: Control remoto, cables de conexión, micrófono
El equipo debe ser instalado a la pizarra (pantalla) táctil interactiva multi-touch.</v>
      </c>
      <c r="J579" s="213">
        <f>IFERROR(__xludf.DUMMYFUNCTION("""COMPUTED_VALUE"""),3.0)</f>
        <v>3</v>
      </c>
      <c r="K579" s="213" t="str">
        <f>IFERROR(__xludf.DUMMYFUNCTION("""COMPUTED_VALUE"""),"170 DÍAS CALENDARIO")</f>
        <v>170 DÍAS CALENDARIO</v>
      </c>
      <c r="L579" s="213" t="str">
        <f>IFERROR(__xludf.DUMMYFUNCTION("""COMPUTED_VALUE"""),"INDUSTRIA ALIMENTARIA, COCINA Y REPOSTERÍA, COMPUTACIÓN E INFORMÁTICA, CONSTRUCCIONES METÁLICAS, EBANISTERÍA, ELECTRICIDAD, ELECTRÓNICA, INDUSTRIA DEL VESTIDO, MECÁNICA AUTOMOTRÍZ")</f>
        <v>INDUSTRIA ALIMENTARIA, COCINA Y REPOSTERÍA, COMPUTACIÓN E INFORMÁTICA, CONSTRUCCIONES METÁLICAS, EBANISTERÍA, ELECTRICIDAD, ELECTRÓNICA, INDUSTRIA DEL VESTIDO, MECÁNICA AUTOMOTRÍZ</v>
      </c>
      <c r="M579" s="213">
        <f>IFERROR(__xludf.DUMMYFUNCTION("""COMPUTED_VALUE"""),1.0)</f>
        <v>1</v>
      </c>
      <c r="N579" s="213">
        <f>IFERROR(__xludf.DUMMYFUNCTION("""COMPUTED_VALUE"""),1.0)</f>
        <v>1</v>
      </c>
      <c r="O579" s="213">
        <f>IFERROR(__xludf.DUMMYFUNCTION("""COMPUTED_VALUE"""),1.0)</f>
        <v>1</v>
      </c>
      <c r="P579" s="213"/>
      <c r="Q579" s="213"/>
      <c r="R579" s="213"/>
      <c r="S579" s="213"/>
      <c r="T579" s="213" t="str">
        <f>IFERROR(__xludf.DUMMYFUNCTION("""COMPUTED_VALUE"""),"CONSULTA FINAL")</f>
        <v>CONSULTA FINAL</v>
      </c>
      <c r="U579" s="213" t="str">
        <f>IFERROR(__xludf.DUMMYFUNCTION("""COMPUTED_VALUE"""),"NO")</f>
        <v>NO</v>
      </c>
      <c r="V579" s="213" t="str">
        <f>IFERROR(__xludf.DUMMYFUNCTION("""COMPUTED_VALUE"""),"SUSTENTO")</f>
        <v>SUSTENTO</v>
      </c>
      <c r="W579" s="213" t="str">
        <f>IFERROR(__xludf.DUMMYFUNCTION("""COMPUTED_VALUE"""),"CRÍTICO, EQU TEC")</f>
        <v>CRÍTICO, EQU TEC</v>
      </c>
      <c r="X579" s="213" t="str">
        <f>IFERROR(__xludf.DUMMYFUNCTION("""COMPUTED_VALUE"""),"CREATIVE")</f>
        <v>CREATIVE</v>
      </c>
      <c r="Y579" s="213" t="str">
        <f>IFERROR(__xludf.DUMMYFUNCTION("""COMPUTED_VALUE"""),"SBS E2500")</f>
        <v>SBS E2500</v>
      </c>
      <c r="Z579" s="215" t="str">
        <f>IFERROR(__xludf.DUMMYFUNCTION("""COMPUTED_VALUE"""),"https://es.creative.com/p/speakers/creative-sbs-e2500")</f>
        <v>https://es.creative.com/p/speakers/creative-sbs-e2500</v>
      </c>
      <c r="AA579" s="215" t="str">
        <f>IFERROR(__xludf.DUMMYFUNCTION("""COMPUTED_VALUE"""),"https://docs.google.com/spreadsheets/d/1Yh6XRoLw_DStoLOpCMeejDugf1f5gy8uy4kZdTlB0pA/edit?gid=0#gid=7")</f>
        <v>https://docs.google.com/spreadsheets/d/1Yh6XRoLw_DStoLOpCMeejDugf1f5gy8uy4kZdTlB0pA/edit?gid=0#gid=7</v>
      </c>
      <c r="AB579" s="213"/>
      <c r="AC579" s="213"/>
      <c r="AD579" s="213"/>
      <c r="AE579" s="213"/>
      <c r="AF579" s="213"/>
      <c r="AG579" s="213"/>
      <c r="AH579" s="213"/>
      <c r="AI579" s="213"/>
      <c r="AJ579" s="213"/>
      <c r="AK579" s="213"/>
      <c r="AL579" s="213"/>
      <c r="AM579" s="213"/>
      <c r="AN579" s="213"/>
      <c r="AO579" s="213"/>
      <c r="AP579" s="213" t="str">
        <f>IFERROR(__xludf.DUMMYFUNCTION("""COMPUTED_VALUE"""),"NALDI")</f>
        <v>NALDI</v>
      </c>
      <c r="AQ579" s="213" t="str">
        <f>IFERROR(__xludf.DUMMYFUNCTION("""COMPUTED_VALUE"""),"Adicionar un Micrófono
El equipo debe ser instalado a la pizarra (pantalla) táctil interactiva multi-touch.")</f>
        <v>Adicionar un Micrófono
El equipo debe ser instalado a la pizarra (pantalla) táctil interactiva multi-touch.</v>
      </c>
      <c r="AR579" s="213"/>
      <c r="AS579" s="213" t="str">
        <f>IFERROR(__xludf.DUMMYFUNCTION("""COMPUTED_VALUE"""),"No se indica tiempo de duración de la batería")</f>
        <v>No se indica tiempo de duración de la batería</v>
      </c>
      <c r="AT579" s="213"/>
      <c r="AU579" s="213"/>
      <c r="AV579" s="213"/>
      <c r="AW579" s="213"/>
      <c r="AX579" s="213"/>
      <c r="AY579" s="213"/>
      <c r="AZ579" s="213"/>
      <c r="BA579" s="213"/>
      <c r="BB579" s="213"/>
      <c r="BC579" s="213"/>
      <c r="BD579" s="213"/>
    </row>
    <row r="580">
      <c r="A580" s="213">
        <f>IFERROR(__xludf.DUMMYFUNCTION("""COMPUTED_VALUE"""),560.0)</f>
        <v>560</v>
      </c>
      <c r="B580" s="213" t="str">
        <f>IFERROR(__xludf.DUMMYFUNCTION("""COMPUTED_VALUE"""),"2026 SIMON BOLIVAR")</f>
        <v>2026 SIMON BOLIVAR</v>
      </c>
      <c r="C580" s="213" t="str">
        <f>IFERROR(__xludf.DUMMYFUNCTION("""COMPUTED_VALUE"""),"TALLER SFT DE INDUSTRIA ALIMENTARIA")</f>
        <v>TALLER SFT DE INDUSTRIA ALIMENTARIA</v>
      </c>
      <c r="D580" s="213" t="str">
        <f>IFERROR(__xludf.DUMMYFUNCTION("""COMPUTED_VALUE"""),"EQUIPOS")</f>
        <v>EQUIPOS</v>
      </c>
      <c r="E580" s="213" t="str">
        <f>IFERROR(__xludf.DUMMYFUNCTION("""COMPUTED_VALUE"""),"ESP-156")</f>
        <v>ESP-156</v>
      </c>
      <c r="F580" s="213" t="str">
        <f>IFERROR(__xludf.DUMMYFUNCTION("""COMPUTED_VALUE"""),"ESP-156")</f>
        <v>ESP-156</v>
      </c>
      <c r="G580" s="213"/>
      <c r="H580" s="213" t="str">
        <f>IFERROR(__xludf.DUMMYFUNCTION("""COMPUTED_VALUE"""),"EQUIPO DESPEDREGADORA")</f>
        <v>EQUIPO DESPEDREGADORA</v>
      </c>
      <c r="I580" s="213" t="str">
        <f>IFERROR(__xludf.DUMMYFUNCTION("""COMPUTED_VALUE"""),"· Peso: 55 kg
· Ancho mínimo de Bandeja: 170 mm
· Dimensiónes aproximadas : 500 mm x400mm x750mm
· Capacidad de producción: 50 kg/h
* Incluye una funda protectora impermeable para su almacenamiento.")</f>
        <v>· Peso: 55 kg
· Ancho mínimo de Bandeja: 170 mm
· Dimensiónes aproximadas : 500 mm x400mm x750mm
· Capacidad de producción: 50 kg/h
* Incluye una funda protectora impermeable para su almacenamiento.</v>
      </c>
      <c r="J580" s="213">
        <f>IFERROR(__xludf.DUMMYFUNCTION("""COMPUTED_VALUE"""),3.0)</f>
        <v>3</v>
      </c>
      <c r="K580" s="213" t="str">
        <f>IFERROR(__xludf.DUMMYFUNCTION("""COMPUTED_VALUE"""),"170 DÍAS CALENDARIO")</f>
        <v>170 DÍAS CALENDARIO</v>
      </c>
      <c r="L580" s="213" t="str">
        <f>IFERROR(__xludf.DUMMYFUNCTION("""COMPUTED_VALUE"""),"")</f>
        <v/>
      </c>
      <c r="M580" s="213">
        <f>IFERROR(__xludf.DUMMYFUNCTION("""COMPUTED_VALUE"""),1.0)</f>
        <v>1</v>
      </c>
      <c r="N580" s="213">
        <f>IFERROR(__xludf.DUMMYFUNCTION("""COMPUTED_VALUE"""),1.0)</f>
        <v>1</v>
      </c>
      <c r="O580" s="213">
        <f>IFERROR(__xludf.DUMMYFUNCTION("""COMPUTED_VALUE"""),1.0)</f>
        <v>1</v>
      </c>
      <c r="P580" s="213"/>
      <c r="Q580" s="213"/>
      <c r="R580" s="213"/>
      <c r="S580" s="213" t="str">
        <f>IFERROR(__xludf.DUMMYFUNCTION("""COMPUTED_VALUE"""),"SI")</f>
        <v>SI</v>
      </c>
      <c r="T580" s="213" t="str">
        <f>IFERROR(__xludf.DUMMYFUNCTION("""COMPUTED_VALUE"""),"SI")</f>
        <v>SI</v>
      </c>
      <c r="U580" s="213" t="str">
        <f>IFERROR(__xludf.DUMMYFUNCTION("""COMPUTED_VALUE"""),"SI")</f>
        <v>SI</v>
      </c>
      <c r="V580" s="213" t="str">
        <f>IFERROR(__xludf.DUMMYFUNCTION("""COMPUTED_VALUE"""),"-")</f>
        <v>-</v>
      </c>
      <c r="W580" s="213" t="str">
        <f>IFERROR(__xludf.DUMMYFUNCTION("""COMPUTED_VALUE"""),"-")</f>
        <v>-</v>
      </c>
      <c r="X580" s="213" t="str">
        <f>IFERROR(__xludf.DUMMYFUNCTION("""COMPUTED_VALUE"""),"DELANI")</f>
        <v>DELANI</v>
      </c>
      <c r="Y580" s="213" t="str">
        <f>IFERROR(__xludf.DUMMYFUNCTION("""COMPUTED_VALUE"""),"BEAN CLEANER 50")</f>
        <v>BEAN CLEANER 50</v>
      </c>
      <c r="Z580" s="215" t="str">
        <f>IFERROR(__xludf.DUMMYFUNCTION("""COMPUTED_VALUE"""),"https://delanitrading.com/producto/separador-de-piedras-e-impurezas-bean-cleaner/")</f>
        <v>https://delanitrading.com/producto/separador-de-piedras-e-impurezas-bean-cleaner/</v>
      </c>
      <c r="AA580" s="213" t="str">
        <f>IFERROR(__xludf.DUMMYFUNCTION("""COMPUTED_VALUE"""),"ESP-156 EQUIPO DESPEDREGADORA - CET")</f>
        <v>ESP-156 EQUIPO DESPEDREGADORA - CET</v>
      </c>
      <c r="AB580" s="215" t="str">
        <f>IFERROR(__xludf.DUMMYFUNCTION("""COMPUTED_VALUE"""),"https://drive.google.com/file/d/173Jrsa8tjK_o-RfHqXEfKARBTfIi9OxG/view")</f>
        <v>https://drive.google.com/file/d/173Jrsa8tjK_o-RfHqXEfKARBTfIi9OxG/view</v>
      </c>
      <c r="AC580" s="213"/>
      <c r="AD580" s="213"/>
      <c r="AE580" s="213"/>
      <c r="AF580" s="213"/>
      <c r="AG580" s="213"/>
      <c r="AH580" s="213"/>
      <c r="AI580" s="213"/>
      <c r="AJ580" s="213"/>
      <c r="AK580" s="213"/>
      <c r="AL580" s="213"/>
      <c r="AM580" s="213"/>
      <c r="AN580" s="213"/>
      <c r="AO580" s="213"/>
      <c r="AP580" s="213" t="str">
        <f>IFERROR(__xludf.DUMMYFUNCTION("""COMPUTED_VALUE"""),"ANTONELLA")</f>
        <v>ANTONELLA</v>
      </c>
      <c r="AQ580" s="213"/>
      <c r="AR580" s="213"/>
      <c r="AS580" s="213" t="str">
        <f>IFERROR(__xludf.DUMMYFUNCTION("""COMPUTED_VALUE"""),"FUNDA IMPERNEABLE")</f>
        <v>FUNDA IMPERNEABLE</v>
      </c>
      <c r="AT580" s="213"/>
      <c r="AU580" s="213"/>
      <c r="AV580" s="213"/>
      <c r="AW580" s="213"/>
      <c r="AX580" s="213"/>
      <c r="AY580" s="213"/>
      <c r="AZ580" s="213"/>
      <c r="BA580" s="213"/>
      <c r="BB580" s="213"/>
      <c r="BC580" s="213"/>
      <c r="BD580" s="213"/>
    </row>
    <row r="581">
      <c r="A581" s="213">
        <f>IFERROR(__xludf.DUMMYFUNCTION("""COMPUTED_VALUE"""),1187.0)</f>
        <v>1187</v>
      </c>
      <c r="B581" s="213" t="str">
        <f>IFERROR(__xludf.DUMMYFUNCTION("""COMPUTED_VALUE"""),"FRANCISCO IRAZOLA")</f>
        <v>FRANCISCO IRAZOLA</v>
      </c>
      <c r="C581" s="213" t="str">
        <f>IFERROR(__xludf.DUMMYFUNCTION("""COMPUTED_VALUE"""),"TALLER SFT DE INDUSTRIA ALIMENTARIA")</f>
        <v>TALLER SFT DE INDUSTRIA ALIMENTARIA</v>
      </c>
      <c r="D581" s="213" t="str">
        <f>IFERROR(__xludf.DUMMYFUNCTION("""COMPUTED_VALUE"""),"EQUIPOS")</f>
        <v>EQUIPOS</v>
      </c>
      <c r="E581" s="213" t="str">
        <f>IFERROR(__xludf.DUMMYFUNCTION("""COMPUTED_VALUE"""),"ESP-156")</f>
        <v>ESP-156</v>
      </c>
      <c r="F581" s="213" t="str">
        <f>IFERROR(__xludf.DUMMYFUNCTION("""COMPUTED_VALUE"""),"ESP-156")</f>
        <v>ESP-156</v>
      </c>
      <c r="G581" s="213"/>
      <c r="H581" s="213" t="str">
        <f>IFERROR(__xludf.DUMMYFUNCTION("""COMPUTED_VALUE"""),"EQUIPO DESPEDREGADORA")</f>
        <v>EQUIPO DESPEDREGADORA</v>
      </c>
      <c r="I581" s="213" t="str">
        <f>IFERROR(__xludf.DUMMYFUNCTION("""COMPUTED_VALUE"""),"· Peso: 55 kg
· Ancho mínimo de Bandeja: 170 mm
· Dimensiónes aproximadas : 500 mm x400mm x750mm
· Capacidad de producción: 50 kg/h
* Incluye una funda protectora impermeable para su almacenamiento.")</f>
        <v>· Peso: 55 kg
· Ancho mínimo de Bandeja: 170 mm
· Dimensiónes aproximadas : 500 mm x400mm x750mm
· Capacidad de producción: 50 kg/h
* Incluye una funda protectora impermeable para su almacenamiento.</v>
      </c>
      <c r="J581" s="213">
        <f>IFERROR(__xludf.DUMMYFUNCTION("""COMPUTED_VALUE"""),3.0)</f>
        <v>3</v>
      </c>
      <c r="K581" s="213" t="str">
        <f>IFERROR(__xludf.DUMMYFUNCTION("""COMPUTED_VALUE"""),"170 DÍAS CALENDARIO")</f>
        <v>170 DÍAS CALENDARIO</v>
      </c>
      <c r="L581" s="213" t="str">
        <f>IFERROR(__xludf.DUMMYFUNCTION("""COMPUTED_VALUE"""),"")</f>
        <v/>
      </c>
      <c r="M581" s="213">
        <f>IFERROR(__xludf.DUMMYFUNCTION("""COMPUTED_VALUE"""),1.0)</f>
        <v>1</v>
      </c>
      <c r="N581" s="213">
        <f>IFERROR(__xludf.DUMMYFUNCTION("""COMPUTED_VALUE"""),1.0)</f>
        <v>1</v>
      </c>
      <c r="O581" s="213">
        <f>IFERROR(__xludf.DUMMYFUNCTION("""COMPUTED_VALUE"""),1.0)</f>
        <v>1</v>
      </c>
      <c r="P581" s="213"/>
      <c r="Q581" s="213"/>
      <c r="R581" s="213"/>
      <c r="S581" s="213" t="str">
        <f>IFERROR(__xludf.DUMMYFUNCTION("""COMPUTED_VALUE"""),"SI")</f>
        <v>SI</v>
      </c>
      <c r="T581" s="213" t="str">
        <f>IFERROR(__xludf.DUMMYFUNCTION("""COMPUTED_VALUE"""),"SI")</f>
        <v>SI</v>
      </c>
      <c r="U581" s="213" t="str">
        <f>IFERROR(__xludf.DUMMYFUNCTION("""COMPUTED_VALUE"""),"SI")</f>
        <v>SI</v>
      </c>
      <c r="V581" s="213" t="str">
        <f>IFERROR(__xludf.DUMMYFUNCTION("""COMPUTED_VALUE"""),"-")</f>
        <v>-</v>
      </c>
      <c r="W581" s="213" t="str">
        <f>IFERROR(__xludf.DUMMYFUNCTION("""COMPUTED_VALUE"""),"-")</f>
        <v>-</v>
      </c>
      <c r="X581" s="213" t="str">
        <f>IFERROR(__xludf.DUMMYFUNCTION("""COMPUTED_VALUE"""),"DELANI")</f>
        <v>DELANI</v>
      </c>
      <c r="Y581" s="213" t="str">
        <f>IFERROR(__xludf.DUMMYFUNCTION("""COMPUTED_VALUE"""),"BEAN CLEANER 50")</f>
        <v>BEAN CLEANER 50</v>
      </c>
      <c r="Z581" s="215" t="str">
        <f>IFERROR(__xludf.DUMMYFUNCTION("""COMPUTED_VALUE"""),"https://delanitrading.com/producto/separador-de-piedras-e-impurezas-bean-cleaner/")</f>
        <v>https://delanitrading.com/producto/separador-de-piedras-e-impurezas-bean-cleaner/</v>
      </c>
      <c r="AA581" s="213" t="str">
        <f>IFERROR(__xludf.DUMMYFUNCTION("""COMPUTED_VALUE"""),"ESP-156 EQUIPO DESPEDREGADORA - CET")</f>
        <v>ESP-156 EQUIPO DESPEDREGADORA - CET</v>
      </c>
      <c r="AB581" s="215" t="str">
        <f>IFERROR(__xludf.DUMMYFUNCTION("""COMPUTED_VALUE"""),"https://drive.google.com/file/d/173Jrsa8tjK_o-RfHqXEfKARBTfIi9OxG/view")</f>
        <v>https://drive.google.com/file/d/173Jrsa8tjK_o-RfHqXEfKARBTfIi9OxG/view</v>
      </c>
      <c r="AC581" s="213"/>
      <c r="AD581" s="213"/>
      <c r="AE581" s="213"/>
      <c r="AF581" s="213"/>
      <c r="AG581" s="213"/>
      <c r="AH581" s="213"/>
      <c r="AI581" s="213"/>
      <c r="AJ581" s="213"/>
      <c r="AK581" s="213"/>
      <c r="AL581" s="213"/>
      <c r="AM581" s="213"/>
      <c r="AN581" s="213"/>
      <c r="AO581" s="213"/>
      <c r="AP581" s="213" t="str">
        <f>IFERROR(__xludf.DUMMYFUNCTION("""COMPUTED_VALUE"""),"ANTONELLA")</f>
        <v>ANTONELLA</v>
      </c>
      <c r="AQ581" s="213"/>
      <c r="AR581" s="213"/>
      <c r="AS581" s="213" t="str">
        <f>IFERROR(__xludf.DUMMYFUNCTION("""COMPUTED_VALUE"""),"FUNDA IMPERNEABLE")</f>
        <v>FUNDA IMPERNEABLE</v>
      </c>
      <c r="AT581" s="213"/>
      <c r="AU581" s="213"/>
      <c r="AV581" s="213"/>
      <c r="AW581" s="213"/>
      <c r="AX581" s="213"/>
      <c r="AY581" s="213"/>
      <c r="AZ581" s="213"/>
      <c r="BA581" s="213"/>
      <c r="BB581" s="213"/>
      <c r="BC581" s="213"/>
      <c r="BD581" s="213"/>
    </row>
    <row r="582">
      <c r="A582" s="213">
        <f>IFERROR(__xludf.DUMMYFUNCTION("""COMPUTED_VALUE"""),1462.0)</f>
        <v>1462</v>
      </c>
      <c r="B582" s="213" t="str">
        <f>IFERROR(__xludf.DUMMYFUNCTION("""COMPUTED_VALUE"""),"GUILLERMO E. BILLINGHURST ")</f>
        <v>GUILLERMO E. BILLINGHURST </v>
      </c>
      <c r="C582" s="213" t="str">
        <f>IFERROR(__xludf.DUMMYFUNCTION("""COMPUTED_VALUE"""),"TALLER SFT DE INDUSTRIA ALIMENTARIA")</f>
        <v>TALLER SFT DE INDUSTRIA ALIMENTARIA</v>
      </c>
      <c r="D582" s="213" t="str">
        <f>IFERROR(__xludf.DUMMYFUNCTION("""COMPUTED_VALUE"""),"EQUIPOS")</f>
        <v>EQUIPOS</v>
      </c>
      <c r="E582" s="213" t="str">
        <f>IFERROR(__xludf.DUMMYFUNCTION("""COMPUTED_VALUE"""),"ESP-156")</f>
        <v>ESP-156</v>
      </c>
      <c r="F582" s="213" t="str">
        <f>IFERROR(__xludf.DUMMYFUNCTION("""COMPUTED_VALUE"""),"ESP-156")</f>
        <v>ESP-156</v>
      </c>
      <c r="G582" s="213"/>
      <c r="H582" s="213" t="str">
        <f>IFERROR(__xludf.DUMMYFUNCTION("""COMPUTED_VALUE"""),"EQUIPO DESPEDREGADORA")</f>
        <v>EQUIPO DESPEDREGADORA</v>
      </c>
      <c r="I582" s="213" t="str">
        <f>IFERROR(__xludf.DUMMYFUNCTION("""COMPUTED_VALUE"""),"· Peso: 55 kg
· Ancho mínimo de Bandeja: 170 mm
· Dimensiónes aproximadas : 500 mm x400mm x750mm
· Capacidad de producción: 50 kg/h
* Incluye una funda protectora impermeable para su almacenamiento.")</f>
        <v>· Peso: 55 kg
· Ancho mínimo de Bandeja: 170 mm
· Dimensiónes aproximadas : 500 mm x400mm x750mm
· Capacidad de producción: 50 kg/h
* Incluye una funda protectora impermeable para su almacenamiento.</v>
      </c>
      <c r="J582" s="213">
        <f>IFERROR(__xludf.DUMMYFUNCTION("""COMPUTED_VALUE"""),3.0)</f>
        <v>3</v>
      </c>
      <c r="K582" s="213" t="str">
        <f>IFERROR(__xludf.DUMMYFUNCTION("""COMPUTED_VALUE"""),"170 DÍAS CALENDARIO")</f>
        <v>170 DÍAS CALENDARIO</v>
      </c>
      <c r="L582" s="213" t="str">
        <f>IFERROR(__xludf.DUMMYFUNCTION("""COMPUTED_VALUE"""),"")</f>
        <v/>
      </c>
      <c r="M582" s="213">
        <f>IFERROR(__xludf.DUMMYFUNCTION("""COMPUTED_VALUE"""),1.0)</f>
        <v>1</v>
      </c>
      <c r="N582" s="213">
        <f>IFERROR(__xludf.DUMMYFUNCTION("""COMPUTED_VALUE"""),1.0)</f>
        <v>1</v>
      </c>
      <c r="O582" s="213">
        <f>IFERROR(__xludf.DUMMYFUNCTION("""COMPUTED_VALUE"""),1.0)</f>
        <v>1</v>
      </c>
      <c r="P582" s="213"/>
      <c r="Q582" s="213"/>
      <c r="R582" s="213"/>
      <c r="S582" s="213" t="str">
        <f>IFERROR(__xludf.DUMMYFUNCTION("""COMPUTED_VALUE"""),"SI")</f>
        <v>SI</v>
      </c>
      <c r="T582" s="213" t="str">
        <f>IFERROR(__xludf.DUMMYFUNCTION("""COMPUTED_VALUE"""),"SI")</f>
        <v>SI</v>
      </c>
      <c r="U582" s="213" t="str">
        <f>IFERROR(__xludf.DUMMYFUNCTION("""COMPUTED_VALUE"""),"SI")</f>
        <v>SI</v>
      </c>
      <c r="V582" s="213" t="str">
        <f>IFERROR(__xludf.DUMMYFUNCTION("""COMPUTED_VALUE"""),"-")</f>
        <v>-</v>
      </c>
      <c r="W582" s="213" t="str">
        <f>IFERROR(__xludf.DUMMYFUNCTION("""COMPUTED_VALUE"""),"-")</f>
        <v>-</v>
      </c>
      <c r="X582" s="213" t="str">
        <f>IFERROR(__xludf.DUMMYFUNCTION("""COMPUTED_VALUE"""),"DELANI")</f>
        <v>DELANI</v>
      </c>
      <c r="Y582" s="213" t="str">
        <f>IFERROR(__xludf.DUMMYFUNCTION("""COMPUTED_VALUE"""),"BEAN CLEANER 50")</f>
        <v>BEAN CLEANER 50</v>
      </c>
      <c r="Z582" s="215" t="str">
        <f>IFERROR(__xludf.DUMMYFUNCTION("""COMPUTED_VALUE"""),"https://delanitrading.com/producto/separador-de-piedras-e-impurezas-bean-cleaner/")</f>
        <v>https://delanitrading.com/producto/separador-de-piedras-e-impurezas-bean-cleaner/</v>
      </c>
      <c r="AA582" s="213" t="str">
        <f>IFERROR(__xludf.DUMMYFUNCTION("""COMPUTED_VALUE"""),"ESP-156 EQUIPO DESPEDREGADORA - CET")</f>
        <v>ESP-156 EQUIPO DESPEDREGADORA - CET</v>
      </c>
      <c r="AB582" s="215" t="str">
        <f>IFERROR(__xludf.DUMMYFUNCTION("""COMPUTED_VALUE"""),"https://drive.google.com/file/d/173Jrsa8tjK_o-RfHqXEfKARBTfIi9OxG/view")</f>
        <v>https://drive.google.com/file/d/173Jrsa8tjK_o-RfHqXEfKARBTfIi9OxG/view</v>
      </c>
      <c r="AC582" s="213"/>
      <c r="AD582" s="213"/>
      <c r="AE582" s="213"/>
      <c r="AF582" s="213"/>
      <c r="AG582" s="213"/>
      <c r="AH582" s="213"/>
      <c r="AI582" s="213"/>
      <c r="AJ582" s="213"/>
      <c r="AK582" s="213"/>
      <c r="AL582" s="213"/>
      <c r="AM582" s="213"/>
      <c r="AN582" s="213"/>
      <c r="AO582" s="213"/>
      <c r="AP582" s="213" t="str">
        <f>IFERROR(__xludf.DUMMYFUNCTION("""COMPUTED_VALUE"""),"ANTONELLA")</f>
        <v>ANTONELLA</v>
      </c>
      <c r="AQ582" s="213"/>
      <c r="AR582" s="213"/>
      <c r="AS582" s="213" t="str">
        <f>IFERROR(__xludf.DUMMYFUNCTION("""COMPUTED_VALUE"""),"FUNDA IMPERNEABLE")</f>
        <v>FUNDA IMPERNEABLE</v>
      </c>
      <c r="AT582" s="213"/>
      <c r="AU582" s="213"/>
      <c r="AV582" s="213"/>
      <c r="AW582" s="213"/>
      <c r="AX582" s="213"/>
      <c r="AY582" s="213"/>
      <c r="AZ582" s="213"/>
      <c r="BA582" s="213"/>
      <c r="BB582" s="213"/>
      <c r="BC582" s="213"/>
      <c r="BD582" s="213"/>
    </row>
    <row r="583">
      <c r="A583" s="213">
        <f>IFERROR(__xludf.DUMMYFUNCTION("""COMPUTED_VALUE"""),2149.0)</f>
        <v>2149</v>
      </c>
      <c r="B583" s="213" t="str">
        <f>IFERROR(__xludf.DUMMYFUNCTION("""COMPUTED_VALUE"""),"JOSE GRANDA")</f>
        <v>JOSE GRANDA</v>
      </c>
      <c r="C583" s="213" t="str">
        <f>IFERROR(__xludf.DUMMYFUNCTION("""COMPUTED_VALUE"""),"TALLER SFT DE INDUSTRIA ALIMENTARIA")</f>
        <v>TALLER SFT DE INDUSTRIA ALIMENTARIA</v>
      </c>
      <c r="D583" s="213" t="str">
        <f>IFERROR(__xludf.DUMMYFUNCTION("""COMPUTED_VALUE"""),"EQUIPOS")</f>
        <v>EQUIPOS</v>
      </c>
      <c r="E583" s="213" t="str">
        <f>IFERROR(__xludf.DUMMYFUNCTION("""COMPUTED_VALUE"""),"ESP-156")</f>
        <v>ESP-156</v>
      </c>
      <c r="F583" s="213" t="str">
        <f>IFERROR(__xludf.DUMMYFUNCTION("""COMPUTED_VALUE"""),"ESP-156")</f>
        <v>ESP-156</v>
      </c>
      <c r="G583" s="213"/>
      <c r="H583" s="213" t="str">
        <f>IFERROR(__xludf.DUMMYFUNCTION("""COMPUTED_VALUE"""),"EQUIPO DESPEDREGADORA")</f>
        <v>EQUIPO DESPEDREGADORA</v>
      </c>
      <c r="I583" s="213" t="str">
        <f>IFERROR(__xludf.DUMMYFUNCTION("""COMPUTED_VALUE"""),"· Peso: 55 kg
· Ancho mínimo de Bandeja: 170 mm
· Dimensiónes aproximadas : 500 mm x400mm x750mm
· Capacidad de producción: 50 kg/h
* Incluye una funda protectora impermeable para su almacenamiento.")</f>
        <v>· Peso: 55 kg
· Ancho mínimo de Bandeja: 170 mm
· Dimensiónes aproximadas : 500 mm x400mm x750mm
· Capacidad de producción: 50 kg/h
* Incluye una funda protectora impermeable para su almacenamiento.</v>
      </c>
      <c r="J583" s="213">
        <f>IFERROR(__xludf.DUMMYFUNCTION("""COMPUTED_VALUE"""),3.0)</f>
        <v>3</v>
      </c>
      <c r="K583" s="213" t="str">
        <f>IFERROR(__xludf.DUMMYFUNCTION("""COMPUTED_VALUE"""),"170 DÍAS CALENDARIO")</f>
        <v>170 DÍAS CALENDARIO</v>
      </c>
      <c r="L583" s="213" t="str">
        <f>IFERROR(__xludf.DUMMYFUNCTION("""COMPUTED_VALUE"""),"")</f>
        <v/>
      </c>
      <c r="M583" s="213">
        <f>IFERROR(__xludf.DUMMYFUNCTION("""COMPUTED_VALUE"""),1.0)</f>
        <v>1</v>
      </c>
      <c r="N583" s="213">
        <f>IFERROR(__xludf.DUMMYFUNCTION("""COMPUTED_VALUE"""),1.0)</f>
        <v>1</v>
      </c>
      <c r="O583" s="213">
        <f>IFERROR(__xludf.DUMMYFUNCTION("""COMPUTED_VALUE"""),1.0)</f>
        <v>1</v>
      </c>
      <c r="P583" s="213"/>
      <c r="Q583" s="213"/>
      <c r="R583" s="213"/>
      <c r="S583" s="213" t="str">
        <f>IFERROR(__xludf.DUMMYFUNCTION("""COMPUTED_VALUE"""),"SI")</f>
        <v>SI</v>
      </c>
      <c r="T583" s="213" t="str">
        <f>IFERROR(__xludf.DUMMYFUNCTION("""COMPUTED_VALUE"""),"SI")</f>
        <v>SI</v>
      </c>
      <c r="U583" s="213" t="str">
        <f>IFERROR(__xludf.DUMMYFUNCTION("""COMPUTED_VALUE"""),"SI")</f>
        <v>SI</v>
      </c>
      <c r="V583" s="213" t="str">
        <f>IFERROR(__xludf.DUMMYFUNCTION("""COMPUTED_VALUE"""),"-")</f>
        <v>-</v>
      </c>
      <c r="W583" s="213" t="str">
        <f>IFERROR(__xludf.DUMMYFUNCTION("""COMPUTED_VALUE"""),"-")</f>
        <v>-</v>
      </c>
      <c r="X583" s="213" t="str">
        <f>IFERROR(__xludf.DUMMYFUNCTION("""COMPUTED_VALUE"""),"DELANI")</f>
        <v>DELANI</v>
      </c>
      <c r="Y583" s="213" t="str">
        <f>IFERROR(__xludf.DUMMYFUNCTION("""COMPUTED_VALUE"""),"BEAN CLEANER 50")</f>
        <v>BEAN CLEANER 50</v>
      </c>
      <c r="Z583" s="215" t="str">
        <f>IFERROR(__xludf.DUMMYFUNCTION("""COMPUTED_VALUE"""),"https://delanitrading.com/producto/separador-de-piedras-e-impurezas-bean-cleaner/")</f>
        <v>https://delanitrading.com/producto/separador-de-piedras-e-impurezas-bean-cleaner/</v>
      </c>
      <c r="AA583" s="213" t="str">
        <f>IFERROR(__xludf.DUMMYFUNCTION("""COMPUTED_VALUE"""),"ESP-156 EQUIPO DESPEDREGADORA - CET")</f>
        <v>ESP-156 EQUIPO DESPEDREGADORA - CET</v>
      </c>
      <c r="AB583" s="215" t="str">
        <f>IFERROR(__xludf.DUMMYFUNCTION("""COMPUTED_VALUE"""),"https://drive.google.com/file/d/173Jrsa8tjK_o-RfHqXEfKARBTfIi9OxG/view")</f>
        <v>https://drive.google.com/file/d/173Jrsa8tjK_o-RfHqXEfKARBTfIi9OxG/view</v>
      </c>
      <c r="AC583" s="213"/>
      <c r="AD583" s="213"/>
      <c r="AE583" s="213"/>
      <c r="AF583" s="213"/>
      <c r="AG583" s="213"/>
      <c r="AH583" s="213"/>
      <c r="AI583" s="213"/>
      <c r="AJ583" s="213"/>
      <c r="AK583" s="213"/>
      <c r="AL583" s="213"/>
      <c r="AM583" s="213"/>
      <c r="AN583" s="213"/>
      <c r="AO583" s="213"/>
      <c r="AP583" s="213" t="str">
        <f>IFERROR(__xludf.DUMMYFUNCTION("""COMPUTED_VALUE"""),"ANTONELLA")</f>
        <v>ANTONELLA</v>
      </c>
      <c r="AQ583" s="213"/>
      <c r="AR583" s="213"/>
      <c r="AS583" s="213" t="str">
        <f>IFERROR(__xludf.DUMMYFUNCTION("""COMPUTED_VALUE"""),"FUNDA IMPERNEABLE")</f>
        <v>FUNDA IMPERNEABLE</v>
      </c>
      <c r="AT583" s="213"/>
      <c r="AU583" s="213"/>
      <c r="AV583" s="213"/>
      <c r="AW583" s="213"/>
      <c r="AX583" s="213"/>
      <c r="AY583" s="213"/>
      <c r="AZ583" s="213"/>
      <c r="BA583" s="213"/>
      <c r="BB583" s="213"/>
      <c r="BC583" s="213"/>
      <c r="BD583" s="213"/>
    </row>
    <row r="584">
      <c r="A584" s="213">
        <f>IFERROR(__xludf.DUMMYFUNCTION("""COMPUTED_VALUE"""),2458.0)</f>
        <v>2458</v>
      </c>
      <c r="B584" s="213" t="str">
        <f>IFERROR(__xludf.DUMMYFUNCTION("""COMPUTED_VALUE"""),"MANUEL ANTONIO MESONES MURO")</f>
        <v>MANUEL ANTONIO MESONES MURO</v>
      </c>
      <c r="C584" s="213" t="str">
        <f>IFERROR(__xludf.DUMMYFUNCTION("""COMPUTED_VALUE"""),"TALLER SFT DE CONSTRUCCIONES METÁLICAS")</f>
        <v>TALLER SFT DE CONSTRUCCIONES METÁLICAS</v>
      </c>
      <c r="D584" s="213" t="str">
        <f>IFERROR(__xludf.DUMMYFUNCTION("""COMPUTED_VALUE"""),"MOBILIARIO")</f>
        <v>MOBILIARIO</v>
      </c>
      <c r="E584" s="213" t="str">
        <f>IFERROR(__xludf.DUMMYFUNCTION("""COMPUTED_VALUE"""),"MOB-114")</f>
        <v>MOB-114</v>
      </c>
      <c r="F584" s="213" t="str">
        <f>IFERROR(__xludf.DUMMYFUNCTION("""COMPUTED_VALUE"""),"MOB-114-Y")</f>
        <v>MOB-114-Y</v>
      </c>
      <c r="G584" s="213"/>
      <c r="H584" s="213" t="str">
        <f>IFERROR(__xludf.DUMMYFUNCTION("""COMPUTED_VALUE"""),"ESCRITORIO PARA EL DOCENTE")</f>
        <v>ESCRITORIO PARA EL DOCENTE</v>
      </c>
      <c r="I584"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584" s="213">
        <f>IFERROR(__xludf.DUMMYFUNCTION("""COMPUTED_VALUE"""),3.0)</f>
        <v>3</v>
      </c>
      <c r="K584" s="213" t="str">
        <f>IFERROR(__xludf.DUMMYFUNCTION("""COMPUTED_VALUE"""),"90 DÍAS CALENDARIO")</f>
        <v>90 DÍAS CALENDARIO</v>
      </c>
      <c r="L584" s="213" t="str">
        <f>IFERROR(__xludf.DUMMYFUNCTION("""COMPUTED_VALUE"""),"")</f>
        <v/>
      </c>
      <c r="M584" s="213">
        <f>IFERROR(__xludf.DUMMYFUNCTION("""COMPUTED_VALUE"""),1.0)</f>
        <v>1</v>
      </c>
      <c r="N584" s="213">
        <f>IFERROR(__xludf.DUMMYFUNCTION("""COMPUTED_VALUE"""),1.0)</f>
        <v>1</v>
      </c>
      <c r="O584" s="213">
        <f>IFERROR(__xludf.DUMMYFUNCTION("""COMPUTED_VALUE"""),1.0)</f>
        <v>1</v>
      </c>
      <c r="P584" s="213"/>
      <c r="Q584" s="213"/>
      <c r="R584" s="213"/>
      <c r="S584" s="213"/>
      <c r="T584" s="213"/>
      <c r="U584" s="213"/>
      <c r="V584" s="213"/>
      <c r="W584" s="213"/>
      <c r="X584" s="213"/>
      <c r="Y584" s="213"/>
      <c r="Z584" s="213"/>
      <c r="AA584" s="213"/>
      <c r="AB584" s="213"/>
      <c r="AC584" s="213"/>
      <c r="AD584" s="213"/>
      <c r="AE584" s="213"/>
      <c r="AF584" s="213"/>
      <c r="AG584" s="213"/>
      <c r="AH584" s="213"/>
      <c r="AI584" s="213"/>
      <c r="AJ584" s="213"/>
      <c r="AK584" s="213"/>
      <c r="AL584" s="213"/>
      <c r="AM584" s="213"/>
      <c r="AN584" s="213"/>
      <c r="AO584" s="213"/>
      <c r="AP584" s="213"/>
      <c r="AQ584" s="213"/>
      <c r="AR584" s="213"/>
      <c r="AS584" s="213"/>
      <c r="AT584" s="213"/>
      <c r="AU584" s="213"/>
      <c r="AV584" s="213"/>
      <c r="AW584" s="213"/>
      <c r="AX584" s="213"/>
      <c r="AY584" s="213"/>
      <c r="AZ584" s="213"/>
      <c r="BA584" s="213"/>
      <c r="BB584" s="213"/>
      <c r="BC584" s="213"/>
      <c r="BD584" s="213"/>
    </row>
    <row r="585">
      <c r="A585" s="213">
        <f>IFERROR(__xludf.DUMMYFUNCTION("""COMPUTED_VALUE"""),1044.0)</f>
        <v>1044</v>
      </c>
      <c r="B585" s="213" t="str">
        <f>IFERROR(__xludf.DUMMYFUNCTION("""COMPUTED_VALUE"""),"FRANCISCO IRAZOLA")</f>
        <v>FRANCISCO IRAZOLA</v>
      </c>
      <c r="C585" s="213" t="str">
        <f>IFERROR(__xludf.DUMMYFUNCTION("""COMPUTED_VALUE"""),"TALLER SFT DE MECÁNICA AUTOMOTRIZ")</f>
        <v>TALLER SFT DE MECÁNICA AUTOMOTRIZ</v>
      </c>
      <c r="D585" s="213" t="str">
        <f>IFERROR(__xludf.DUMMYFUNCTION("""COMPUTED_VALUE"""),"EQUIPOS")</f>
        <v>EQUIPOS</v>
      </c>
      <c r="E585" s="213" t="str">
        <f>IFERROR(__xludf.DUMMYFUNCTION("""COMPUTED_VALUE"""),"ESP-160")</f>
        <v>ESP-160</v>
      </c>
      <c r="F585" s="213" t="str">
        <f>IFERROR(__xludf.DUMMYFUNCTION("""COMPUTED_VALUE"""),"ESP-160")</f>
        <v>ESP-160</v>
      </c>
      <c r="G585" s="213"/>
      <c r="H585" s="213" t="str">
        <f>IFERROR(__xludf.DUMMYFUNCTION("""COMPUTED_VALUE"""),"ESCANER UNIVERSAL AUTOMOTRIZ")</f>
        <v>ESCANER UNIVERSAL AUTOMOTRIZ</v>
      </c>
      <c r="I585" s="213" t="str">
        <f>IFERROR(__xludf.DUMMYFUNCTION("""COMPUTED_VALUE"""),"Producto de diagnóstico avanzado, para automóvil. Posee opción de comunicación inalámbrica.
Pantalla táctil HD de tamaño: mínimo 8""
Posee mínimo conector OBD2, para comunicación con el vehículo Almacenamiento interno: Mínimo 16 GB
Posee batería de litio."&amp;"
Cobertura de vehículos para revisión: mínimo 80 marcas de fabricantes. Posee cámara trasera de: mínimo 5 megapíxeles.
Función de tecnología automática en lectura del VIN, para identificar vehículos fácilmente.")</f>
        <v>Producto de diagnóstico avanzado, para automóvil. Posee opción de comunicación inalámbrica.
Pantalla táctil HD de tamaño: mínimo 8"
Posee mínimo conector OBD2, para comunicación con el vehículo Almacenamiento interno: Mínimo 16 GB
Posee batería de litio.
Cobertura de vehículos para revisión: mínimo 80 marcas de fabricantes. Posee cámara trasera de: mínimo 5 megapíxeles.
Función de tecnología automática en lectura del VIN, para identificar vehículos fácilmente.</v>
      </c>
      <c r="J585" s="213">
        <f>IFERROR(__xludf.DUMMYFUNCTION("""COMPUTED_VALUE"""),3.0)</f>
        <v>3</v>
      </c>
      <c r="K585" s="213" t="str">
        <f>IFERROR(__xludf.DUMMYFUNCTION("""COMPUTED_VALUE"""),"170 DÍAS CALENDARIO")</f>
        <v>170 DÍAS CALENDARIO</v>
      </c>
      <c r="L585" s="213" t="str">
        <f>IFERROR(__xludf.DUMMYFUNCTION("""COMPUTED_VALUE"""),"")</f>
        <v/>
      </c>
      <c r="M585" s="213">
        <f>IFERROR(__xludf.DUMMYFUNCTION("""COMPUTED_VALUE"""),1.0)</f>
        <v>1</v>
      </c>
      <c r="N585" s="213">
        <f>IFERROR(__xludf.DUMMYFUNCTION("""COMPUTED_VALUE"""),1.0)</f>
        <v>1</v>
      </c>
      <c r="O585" s="213">
        <f>IFERROR(__xludf.DUMMYFUNCTION("""COMPUTED_VALUE"""),1.0)</f>
        <v>1</v>
      </c>
      <c r="P585" s="213"/>
      <c r="Q585" s="213"/>
      <c r="R585" s="213"/>
      <c r="S585" s="213" t="str">
        <f>IFERROR(__xludf.DUMMYFUNCTION("""COMPUTED_VALUE"""),"SI")</f>
        <v>SI</v>
      </c>
      <c r="T585" s="213" t="str">
        <f>IFERROR(__xludf.DUMMYFUNCTION("""COMPUTED_VALUE"""),"SI")</f>
        <v>SI</v>
      </c>
      <c r="U585" s="213" t="str">
        <f>IFERROR(__xludf.DUMMYFUNCTION("""COMPUTED_VALUE"""),"NO")</f>
        <v>NO</v>
      </c>
      <c r="V585" s="213" t="str">
        <f>IFERROR(__xludf.DUMMYFUNCTION("""COMPUTED_VALUE"""),"SUSTENTO")</f>
        <v>SUSTENTO</v>
      </c>
      <c r="W585" s="213" t="str">
        <f>IFERROR(__xludf.DUMMYFUNCTION("""COMPUTED_VALUE"""),"EQU TEC")</f>
        <v>EQU TEC</v>
      </c>
      <c r="X585" s="213" t="str">
        <f>IFERROR(__xludf.DUMMYFUNCTION("""COMPUTED_VALUE"""),"Autel")</f>
        <v>Autel</v>
      </c>
      <c r="Y585" s="213" t="str">
        <f>IFERROR(__xludf.DUMMYFUNCTION("""COMPUTED_VALUE"""),"MaxiSys MS909")</f>
        <v>MaxiSys MS909</v>
      </c>
      <c r="Z585" s="215" t="str">
        <f>IFERROR(__xludf.DUMMYFUNCTION("""COMPUTED_VALUE"""),"https://www.autel.com/es/mk3/3769.jhtml")</f>
        <v>https://www.autel.com/es/mk3/3769.jhtml</v>
      </c>
      <c r="AA585" s="213" t="str">
        <f>IFERROR(__xludf.DUMMYFUNCTION("""COMPUTED_VALUE"""),"ESP-160 ESCANER UNIVERSAL AUTOMOTRIZ - CET")</f>
        <v>ESP-160 ESCANER UNIVERSAL AUTOMOTRIZ - CET</v>
      </c>
      <c r="AB585" s="213"/>
      <c r="AC585" s="213"/>
      <c r="AD585" s="213"/>
      <c r="AE585" s="213"/>
      <c r="AF585" s="213"/>
      <c r="AG585" s="213"/>
      <c r="AH585" s="213" t="str">
        <f>IFERROR(__xludf.DUMMYFUNCTION("""COMPUTED_VALUE"""),"IMPORTADO")</f>
        <v>IMPORTADO</v>
      </c>
      <c r="AI585" s="213"/>
      <c r="AJ585" s="213"/>
      <c r="AK585" s="213"/>
      <c r="AL585" s="213"/>
      <c r="AM585" s="213"/>
      <c r="AN585" s="213"/>
      <c r="AO585" s="213"/>
      <c r="AP585" s="213" t="str">
        <f>IFERROR(__xludf.DUMMYFUNCTION("""COMPUTED_VALUE"""),"NALDI")</f>
        <v>NALDI</v>
      </c>
      <c r="AQ585" s="213"/>
      <c r="AR585" s="213"/>
      <c r="AS585" s="213" t="str">
        <f>IFERROR(__xludf.DUMMYFUNCTION("""COMPUTED_VALUE"""),"Kit adaptador OBD II")</f>
        <v>Kit adaptador OBD II</v>
      </c>
      <c r="AT585" s="213"/>
      <c r="AU585" s="213"/>
      <c r="AV585" s="213"/>
      <c r="AW585" s="213"/>
      <c r="AX585" s="213"/>
      <c r="AY585" s="213"/>
      <c r="AZ585" s="213"/>
      <c r="BA585" s="213"/>
      <c r="BB585" s="213"/>
      <c r="BC585" s="213"/>
      <c r="BD585" s="213"/>
    </row>
    <row r="586">
      <c r="A586" s="213">
        <f>IFERROR(__xludf.DUMMYFUNCTION("""COMPUTED_VALUE"""),1649.0)</f>
        <v>1649</v>
      </c>
      <c r="B586" s="213" t="str">
        <f>IFERROR(__xludf.DUMMYFUNCTION("""COMPUTED_VALUE"""),"GUILLERMO E. BILLINGHURST ")</f>
        <v>GUILLERMO E. BILLINGHURST </v>
      </c>
      <c r="C586" s="213" t="str">
        <f>IFERROR(__xludf.DUMMYFUNCTION("""COMPUTED_VALUE"""),"TALLER SFT DE MECÁNICA AUTOMOTRIZ")</f>
        <v>TALLER SFT DE MECÁNICA AUTOMOTRIZ</v>
      </c>
      <c r="D586" s="213" t="str">
        <f>IFERROR(__xludf.DUMMYFUNCTION("""COMPUTED_VALUE"""),"EQUIPOS")</f>
        <v>EQUIPOS</v>
      </c>
      <c r="E586" s="213" t="str">
        <f>IFERROR(__xludf.DUMMYFUNCTION("""COMPUTED_VALUE"""),"ESP-160")</f>
        <v>ESP-160</v>
      </c>
      <c r="F586" s="213" t="str">
        <f>IFERROR(__xludf.DUMMYFUNCTION("""COMPUTED_VALUE"""),"ESP-160")</f>
        <v>ESP-160</v>
      </c>
      <c r="G586" s="213"/>
      <c r="H586" s="213" t="str">
        <f>IFERROR(__xludf.DUMMYFUNCTION("""COMPUTED_VALUE"""),"ESCANER UNIVERSAL AUTOMOTRIZ")</f>
        <v>ESCANER UNIVERSAL AUTOMOTRIZ</v>
      </c>
      <c r="I586" s="213" t="str">
        <f>IFERROR(__xludf.DUMMYFUNCTION("""COMPUTED_VALUE"""),"Producto de diagnóstico avanzado, para automóvil. Posee opción de comunicación inalámbrica.
Pantalla táctil HD de tamaño: mínimo 8""
Posee mínimo conector OBD2, para comunicación con el vehículo Almacenamiento interno: Mínimo 16 GB
Posee batería de litio."&amp;"
Cobertura de vehículos para revisión: mínimo 80 marcas de fabricantes. Posee cámara trasera de: mínimo 5 megapíxeles.
Función de tecnología automática en lectura del VIN, para identificar vehículos fácilmente.")</f>
        <v>Producto de diagnóstico avanzado, para automóvil. Posee opción de comunicación inalámbrica.
Pantalla táctil HD de tamaño: mínimo 8"
Posee mínimo conector OBD2, para comunicación con el vehículo Almacenamiento interno: Mínimo 16 GB
Posee batería de litio.
Cobertura de vehículos para revisión: mínimo 80 marcas de fabricantes. Posee cámara trasera de: mínimo 5 megapíxeles.
Función de tecnología automática en lectura del VIN, para identificar vehículos fácilmente.</v>
      </c>
      <c r="J586" s="213">
        <f>IFERROR(__xludf.DUMMYFUNCTION("""COMPUTED_VALUE"""),3.0)</f>
        <v>3</v>
      </c>
      <c r="K586" s="213" t="str">
        <f>IFERROR(__xludf.DUMMYFUNCTION("""COMPUTED_VALUE"""),"170 DÍAS CALENDARIO")</f>
        <v>170 DÍAS CALENDARIO</v>
      </c>
      <c r="L586" s="213" t="str">
        <f>IFERROR(__xludf.DUMMYFUNCTION("""COMPUTED_VALUE"""),"")</f>
        <v/>
      </c>
      <c r="M586" s="213">
        <f>IFERROR(__xludf.DUMMYFUNCTION("""COMPUTED_VALUE"""),1.0)</f>
        <v>1</v>
      </c>
      <c r="N586" s="213">
        <f>IFERROR(__xludf.DUMMYFUNCTION("""COMPUTED_VALUE"""),1.0)</f>
        <v>1</v>
      </c>
      <c r="O586" s="213">
        <f>IFERROR(__xludf.DUMMYFUNCTION("""COMPUTED_VALUE"""),1.0)</f>
        <v>1</v>
      </c>
      <c r="P586" s="213"/>
      <c r="Q586" s="213"/>
      <c r="R586" s="213"/>
      <c r="S586" s="213" t="str">
        <f>IFERROR(__xludf.DUMMYFUNCTION("""COMPUTED_VALUE"""),"SI")</f>
        <v>SI</v>
      </c>
      <c r="T586" s="213" t="str">
        <f>IFERROR(__xludf.DUMMYFUNCTION("""COMPUTED_VALUE"""),"SI")</f>
        <v>SI</v>
      </c>
      <c r="U586" s="213" t="str">
        <f>IFERROR(__xludf.DUMMYFUNCTION("""COMPUTED_VALUE"""),"NO")</f>
        <v>NO</v>
      </c>
      <c r="V586" s="213" t="str">
        <f>IFERROR(__xludf.DUMMYFUNCTION("""COMPUTED_VALUE"""),"SUSTENTO")</f>
        <v>SUSTENTO</v>
      </c>
      <c r="W586" s="213" t="str">
        <f>IFERROR(__xludf.DUMMYFUNCTION("""COMPUTED_VALUE"""),"EQU TEC")</f>
        <v>EQU TEC</v>
      </c>
      <c r="X586" s="213" t="str">
        <f>IFERROR(__xludf.DUMMYFUNCTION("""COMPUTED_VALUE"""),"Autel")</f>
        <v>Autel</v>
      </c>
      <c r="Y586" s="213" t="str">
        <f>IFERROR(__xludf.DUMMYFUNCTION("""COMPUTED_VALUE"""),"MaxiSys MS909")</f>
        <v>MaxiSys MS909</v>
      </c>
      <c r="Z586" s="215" t="str">
        <f>IFERROR(__xludf.DUMMYFUNCTION("""COMPUTED_VALUE"""),"https://www.autel.com/es/mk3/3769.jhtml")</f>
        <v>https://www.autel.com/es/mk3/3769.jhtml</v>
      </c>
      <c r="AA586" s="213" t="str">
        <f>IFERROR(__xludf.DUMMYFUNCTION("""COMPUTED_VALUE"""),"ESP-160 ESCANER UNIVERSAL AUTOMOTRIZ - CET")</f>
        <v>ESP-160 ESCANER UNIVERSAL AUTOMOTRIZ - CET</v>
      </c>
      <c r="AB586" s="213"/>
      <c r="AC586" s="213"/>
      <c r="AD586" s="213"/>
      <c r="AE586" s="213"/>
      <c r="AF586" s="213"/>
      <c r="AG586" s="213"/>
      <c r="AH586" s="213" t="str">
        <f>IFERROR(__xludf.DUMMYFUNCTION("""COMPUTED_VALUE"""),"IMPORTADO")</f>
        <v>IMPORTADO</v>
      </c>
      <c r="AI586" s="213"/>
      <c r="AJ586" s="213"/>
      <c r="AK586" s="213"/>
      <c r="AL586" s="213"/>
      <c r="AM586" s="213"/>
      <c r="AN586" s="213"/>
      <c r="AO586" s="213"/>
      <c r="AP586" s="213" t="str">
        <f>IFERROR(__xludf.DUMMYFUNCTION("""COMPUTED_VALUE"""),"NALDI")</f>
        <v>NALDI</v>
      </c>
      <c r="AQ586" s="213"/>
      <c r="AR586" s="213"/>
      <c r="AS586" s="213" t="str">
        <f>IFERROR(__xludf.DUMMYFUNCTION("""COMPUTED_VALUE"""),"Kit adaptador OBD II")</f>
        <v>Kit adaptador OBD II</v>
      </c>
      <c r="AT586" s="213"/>
      <c r="AU586" s="213"/>
      <c r="AV586" s="213"/>
      <c r="AW586" s="213"/>
      <c r="AX586" s="213"/>
      <c r="AY586" s="213"/>
      <c r="AZ586" s="213"/>
      <c r="BA586" s="213"/>
      <c r="BB586" s="213"/>
      <c r="BC586" s="213"/>
      <c r="BD586" s="213"/>
    </row>
    <row r="587">
      <c r="A587" s="213">
        <f>IFERROR(__xludf.DUMMYFUNCTION("""COMPUTED_VALUE"""),2340.0)</f>
        <v>2340</v>
      </c>
      <c r="B587" s="213" t="str">
        <f>IFERROR(__xludf.DUMMYFUNCTION("""COMPUTED_VALUE"""),"JOSE GRANDA")</f>
        <v>JOSE GRANDA</v>
      </c>
      <c r="C587" s="213" t="str">
        <f>IFERROR(__xludf.DUMMYFUNCTION("""COMPUTED_VALUE"""),"TALLER SFT DE MECÁNICA AUTOMOTRIZ")</f>
        <v>TALLER SFT DE MECÁNICA AUTOMOTRIZ</v>
      </c>
      <c r="D587" s="213" t="str">
        <f>IFERROR(__xludf.DUMMYFUNCTION("""COMPUTED_VALUE"""),"EQUIPOS")</f>
        <v>EQUIPOS</v>
      </c>
      <c r="E587" s="213" t="str">
        <f>IFERROR(__xludf.DUMMYFUNCTION("""COMPUTED_VALUE"""),"ESP-160")</f>
        <v>ESP-160</v>
      </c>
      <c r="F587" s="213" t="str">
        <f>IFERROR(__xludf.DUMMYFUNCTION("""COMPUTED_VALUE"""),"ESP-160")</f>
        <v>ESP-160</v>
      </c>
      <c r="G587" s="213"/>
      <c r="H587" s="213" t="str">
        <f>IFERROR(__xludf.DUMMYFUNCTION("""COMPUTED_VALUE"""),"ESCANER UNIVERSAL AUTOMOTRIZ")</f>
        <v>ESCANER UNIVERSAL AUTOMOTRIZ</v>
      </c>
      <c r="I587" s="213" t="str">
        <f>IFERROR(__xludf.DUMMYFUNCTION("""COMPUTED_VALUE"""),"Producto de diagnóstico avanzado, para automóvil. Posee opción de comunicación inalámbrica.
Pantalla táctil HD de tamaño: mínimo 8""
Posee mínimo conector OBD2, para comunicación con el vehículo Almacenamiento interno: Mínimo 16 GB
Posee batería de litio."&amp;"
Cobertura de vehículos para revisión: mínimo 80 marcas de fabricantes. Posee cámara trasera de: mínimo 5 megapíxeles.
Función de tecnología automática en lectura del VIN, para identificar vehículos fácilmente.")</f>
        <v>Producto de diagnóstico avanzado, para automóvil. Posee opción de comunicación inalámbrica.
Pantalla táctil HD de tamaño: mínimo 8"
Posee mínimo conector OBD2, para comunicación con el vehículo Almacenamiento interno: Mínimo 16 GB
Posee batería de litio.
Cobertura de vehículos para revisión: mínimo 80 marcas de fabricantes. Posee cámara trasera de: mínimo 5 megapíxeles.
Función de tecnología automática en lectura del VIN, para identificar vehículos fácilmente.</v>
      </c>
      <c r="J587" s="213">
        <f>IFERROR(__xludf.DUMMYFUNCTION("""COMPUTED_VALUE"""),3.0)</f>
        <v>3</v>
      </c>
      <c r="K587" s="213" t="str">
        <f>IFERROR(__xludf.DUMMYFUNCTION("""COMPUTED_VALUE"""),"170 DÍAS CALENDARIO")</f>
        <v>170 DÍAS CALENDARIO</v>
      </c>
      <c r="L587" s="213" t="str">
        <f>IFERROR(__xludf.DUMMYFUNCTION("""COMPUTED_VALUE"""),"")</f>
        <v/>
      </c>
      <c r="M587" s="213">
        <f>IFERROR(__xludf.DUMMYFUNCTION("""COMPUTED_VALUE"""),1.0)</f>
        <v>1</v>
      </c>
      <c r="N587" s="213">
        <f>IFERROR(__xludf.DUMMYFUNCTION("""COMPUTED_VALUE"""),1.0)</f>
        <v>1</v>
      </c>
      <c r="O587" s="213">
        <f>IFERROR(__xludf.DUMMYFUNCTION("""COMPUTED_VALUE"""),1.0)</f>
        <v>1</v>
      </c>
      <c r="P587" s="213"/>
      <c r="Q587" s="213"/>
      <c r="R587" s="213"/>
      <c r="S587" s="213" t="str">
        <f>IFERROR(__xludf.DUMMYFUNCTION("""COMPUTED_VALUE"""),"SI")</f>
        <v>SI</v>
      </c>
      <c r="T587" s="213" t="str">
        <f>IFERROR(__xludf.DUMMYFUNCTION("""COMPUTED_VALUE"""),"SI")</f>
        <v>SI</v>
      </c>
      <c r="U587" s="213" t="str">
        <f>IFERROR(__xludf.DUMMYFUNCTION("""COMPUTED_VALUE"""),"NO")</f>
        <v>NO</v>
      </c>
      <c r="V587" s="213" t="str">
        <f>IFERROR(__xludf.DUMMYFUNCTION("""COMPUTED_VALUE"""),"SUSTENTO")</f>
        <v>SUSTENTO</v>
      </c>
      <c r="W587" s="213" t="str">
        <f>IFERROR(__xludf.DUMMYFUNCTION("""COMPUTED_VALUE"""),"EQU TEC")</f>
        <v>EQU TEC</v>
      </c>
      <c r="X587" s="213" t="str">
        <f>IFERROR(__xludf.DUMMYFUNCTION("""COMPUTED_VALUE"""),"Autel")</f>
        <v>Autel</v>
      </c>
      <c r="Y587" s="213" t="str">
        <f>IFERROR(__xludf.DUMMYFUNCTION("""COMPUTED_VALUE"""),"MaxiSys MS909")</f>
        <v>MaxiSys MS909</v>
      </c>
      <c r="Z587" s="215" t="str">
        <f>IFERROR(__xludf.DUMMYFUNCTION("""COMPUTED_VALUE"""),"https://www.autel.com/es/mk3/3769.jhtml")</f>
        <v>https://www.autel.com/es/mk3/3769.jhtml</v>
      </c>
      <c r="AA587" s="213" t="str">
        <f>IFERROR(__xludf.DUMMYFUNCTION("""COMPUTED_VALUE"""),"ESP-160 ESCANER UNIVERSAL AUTOMOTRIZ - CET")</f>
        <v>ESP-160 ESCANER UNIVERSAL AUTOMOTRIZ - CET</v>
      </c>
      <c r="AB587" s="213"/>
      <c r="AC587" s="213"/>
      <c r="AD587" s="213"/>
      <c r="AE587" s="213"/>
      <c r="AF587" s="213"/>
      <c r="AG587" s="213"/>
      <c r="AH587" s="213" t="str">
        <f>IFERROR(__xludf.DUMMYFUNCTION("""COMPUTED_VALUE"""),"IMPORTADO")</f>
        <v>IMPORTADO</v>
      </c>
      <c r="AI587" s="213"/>
      <c r="AJ587" s="213"/>
      <c r="AK587" s="213"/>
      <c r="AL587" s="213"/>
      <c r="AM587" s="213"/>
      <c r="AN587" s="213"/>
      <c r="AO587" s="213"/>
      <c r="AP587" s="213" t="str">
        <f>IFERROR(__xludf.DUMMYFUNCTION("""COMPUTED_VALUE"""),"NALDI")</f>
        <v>NALDI</v>
      </c>
      <c r="AQ587" s="213"/>
      <c r="AR587" s="213"/>
      <c r="AS587" s="213" t="str">
        <f>IFERROR(__xludf.DUMMYFUNCTION("""COMPUTED_VALUE"""),"Kit adaptador OBD II")</f>
        <v>Kit adaptador OBD II</v>
      </c>
      <c r="AT587" s="213"/>
      <c r="AU587" s="213"/>
      <c r="AV587" s="213"/>
      <c r="AW587" s="213"/>
      <c r="AX587" s="213"/>
      <c r="AY587" s="213"/>
      <c r="AZ587" s="213"/>
      <c r="BA587" s="213"/>
      <c r="BB587" s="213"/>
      <c r="BC587" s="213"/>
      <c r="BD587" s="213"/>
    </row>
    <row r="588">
      <c r="A588" s="213">
        <f>IFERROR(__xludf.DUMMYFUNCTION("""COMPUTED_VALUE"""),499.0)</f>
        <v>499</v>
      </c>
      <c r="B588" s="213" t="str">
        <f>IFERROR(__xludf.DUMMYFUNCTION("""COMPUTED_VALUE"""),"2026 SIMON BOLIVAR")</f>
        <v>2026 SIMON BOLIVAR</v>
      </c>
      <c r="C588" s="213" t="str">
        <f>IFERROR(__xludf.DUMMYFUNCTION("""COMPUTED_VALUE"""),"TALLER SFT DE INDUSTRIA ALIMENTARIA")</f>
        <v>TALLER SFT DE INDUSTRIA ALIMENTARIA</v>
      </c>
      <c r="D588" s="213" t="str">
        <f>IFERROR(__xludf.DUMMYFUNCTION("""COMPUTED_VALUE"""),"HERRAMIENTAS")</f>
        <v>HERRAMIENTAS</v>
      </c>
      <c r="E588" s="213" t="str">
        <f>IFERROR(__xludf.DUMMYFUNCTION("""COMPUTED_VALUE"""),"COM-240")</f>
        <v>COM-240</v>
      </c>
      <c r="F588" s="213" t="str">
        <f>IFERROR(__xludf.DUMMYFUNCTION("""COMPUTED_VALUE"""),"COM-240")</f>
        <v>COM-240</v>
      </c>
      <c r="G588" s="213"/>
      <c r="H588" s="213" t="str">
        <f>IFERROR(__xludf.DUMMYFUNCTION("""COMPUTED_VALUE"""),"KIT DE MOLDES PARA QUESO CON GRABADOS DECORATIVOS")</f>
        <v>KIT DE MOLDES PARA QUESO CON GRABADOS DECORATIVOS</v>
      </c>
      <c r="I588" s="213"/>
      <c r="J588" s="213">
        <f>IFERROR(__xludf.DUMMYFUNCTION("""COMPUTED_VALUE"""),3.0)</f>
        <v>3</v>
      </c>
      <c r="K588" s="213" t="str">
        <f>IFERROR(__xludf.DUMMYFUNCTION("""COMPUTED_VALUE"""),"90 DÍAS CALENDARIO")</f>
        <v>90 DÍAS CALENDARIO</v>
      </c>
      <c r="L588" s="213" t="str">
        <f>IFERROR(__xludf.DUMMYFUNCTION("""COMPUTED_VALUE"""),"")</f>
        <v/>
      </c>
      <c r="M588" s="213">
        <f>IFERROR(__xludf.DUMMYFUNCTION("""COMPUTED_VALUE"""),1.0)</f>
        <v>1</v>
      </c>
      <c r="N588" s="213">
        <f>IFERROR(__xludf.DUMMYFUNCTION("""COMPUTED_VALUE"""),20.0)</f>
        <v>20</v>
      </c>
      <c r="O588" s="213">
        <f>IFERROR(__xludf.DUMMYFUNCTION("""COMPUTED_VALUE"""),20.0)</f>
        <v>20</v>
      </c>
      <c r="P588" s="213"/>
      <c r="Q588" s="213"/>
      <c r="R588" s="213"/>
      <c r="S588" s="213"/>
      <c r="T588" s="213" t="str">
        <f>IFERROR(__xludf.DUMMYFUNCTION("""COMPUTED_VALUE"""),"CONSULTA FINAL")</f>
        <v>CONSULTA FINAL</v>
      </c>
      <c r="U588" s="213" t="str">
        <f>IFERROR(__xludf.DUMMYFUNCTION("""COMPUTED_VALUE"""),"NO")</f>
        <v>NO</v>
      </c>
      <c r="V588" s="213" t="str">
        <f>IFERROR(__xludf.DUMMYFUNCTION("""COMPUTED_VALUE"""),"SUSTENTO")</f>
        <v>SUSTENTO</v>
      </c>
      <c r="W588" s="213" t="str">
        <f>IFERROR(__xludf.DUMMYFUNCTION("""COMPUTED_VALUE"""),"DIMENSIONAL")</f>
        <v>DIMENSIONAL</v>
      </c>
      <c r="X588" s="213" t="str">
        <f>IFERROR(__xludf.DUMMYFUNCTION("""COMPUTED_VALUE"""),"GENERICO")</f>
        <v>GENERICO</v>
      </c>
      <c r="Y588" s="213" t="str">
        <f>IFERROR(__xludf.DUMMYFUNCTION("""COMPUTED_VALUE"""),"GENERICO")</f>
        <v>GENERICO</v>
      </c>
      <c r="Z588" s="215" t="str">
        <f>IFERROR(__xludf.DUMMYFUNCTION("""COMPUTED_VALUE"""),"https://articulo.mercadolibre.com.ve/MLV-713101744-molde-de-queso-de-28-kg-o-mozzarella-_JM")</f>
        <v>https://articulo.mercadolibre.com.ve/MLV-713101744-molde-de-queso-de-28-kg-o-mozzarella-_JM</v>
      </c>
      <c r="AA588" s="213" t="str">
        <f>IFERROR(__xludf.DUMMYFUNCTION("""COMPUTED_VALUE"""),"COM-240 KIT DE MOLDES PARA QUESO CON GRABADOS DECORATIVOS - CET")</f>
        <v>COM-240 KIT DE MOLDES PARA QUESO CON GRABADOS DECORATIVOS - CET</v>
      </c>
      <c r="AB588" s="213"/>
      <c r="AC588" s="213"/>
      <c r="AD588" s="213"/>
      <c r="AE588" s="213"/>
      <c r="AF588" s="213"/>
      <c r="AG588" s="213"/>
      <c r="AH588" s="213"/>
      <c r="AI588" s="213"/>
      <c r="AJ588" s="213"/>
      <c r="AK588" s="213"/>
      <c r="AL588" s="213"/>
      <c r="AM588" s="213"/>
      <c r="AN588" s="213"/>
      <c r="AO588" s="213"/>
      <c r="AP588" s="213" t="str">
        <f>IFERROR(__xludf.DUMMYFUNCTION("""COMPUTED_VALUE"""),"LUIS")</f>
        <v>LUIS</v>
      </c>
      <c r="AQ588" s="213"/>
      <c r="AR588" s="213"/>
      <c r="AS588" s="213"/>
      <c r="AT588" s="213"/>
      <c r="AU588" s="213"/>
      <c r="AV588" s="213"/>
      <c r="AW588" s="213"/>
      <c r="AX588" s="213"/>
      <c r="AY588" s="213"/>
      <c r="AZ588" s="213"/>
      <c r="BA588" s="213"/>
      <c r="BB588" s="213"/>
      <c r="BC588" s="213"/>
      <c r="BD588" s="213"/>
    </row>
    <row r="589">
      <c r="A589" s="213">
        <f>IFERROR(__xludf.DUMMYFUNCTION("""COMPUTED_VALUE"""),1129.0)</f>
        <v>1129</v>
      </c>
      <c r="B589" s="213" t="str">
        <f>IFERROR(__xludf.DUMMYFUNCTION("""COMPUTED_VALUE"""),"FRANCISCO IRAZOLA")</f>
        <v>FRANCISCO IRAZOLA</v>
      </c>
      <c r="C589" s="213" t="str">
        <f>IFERROR(__xludf.DUMMYFUNCTION("""COMPUTED_VALUE"""),"TALLER SFT DE INDUSTRIA ALIMENTARIA")</f>
        <v>TALLER SFT DE INDUSTRIA ALIMENTARIA</v>
      </c>
      <c r="D589" s="213" t="str">
        <f>IFERROR(__xludf.DUMMYFUNCTION("""COMPUTED_VALUE"""),"HERRAMIENTAS")</f>
        <v>HERRAMIENTAS</v>
      </c>
      <c r="E589" s="213" t="str">
        <f>IFERROR(__xludf.DUMMYFUNCTION("""COMPUTED_VALUE"""),"COM-240")</f>
        <v>COM-240</v>
      </c>
      <c r="F589" s="213" t="str">
        <f>IFERROR(__xludf.DUMMYFUNCTION("""COMPUTED_VALUE"""),"COM-240")</f>
        <v>COM-240</v>
      </c>
      <c r="G589" s="213"/>
      <c r="H589" s="213" t="str">
        <f>IFERROR(__xludf.DUMMYFUNCTION("""COMPUTED_VALUE"""),"KIT DE MOLDES PARA QUESO CON GRABADOS DECORATIVOS")</f>
        <v>KIT DE MOLDES PARA QUESO CON GRABADOS DECORATIVOS</v>
      </c>
      <c r="I589" s="213"/>
      <c r="J589" s="213">
        <f>IFERROR(__xludf.DUMMYFUNCTION("""COMPUTED_VALUE"""),3.0)</f>
        <v>3</v>
      </c>
      <c r="K589" s="213" t="str">
        <f>IFERROR(__xludf.DUMMYFUNCTION("""COMPUTED_VALUE"""),"90 DÍAS CALENDARIO")</f>
        <v>90 DÍAS CALENDARIO</v>
      </c>
      <c r="L589" s="213" t="str">
        <f>IFERROR(__xludf.DUMMYFUNCTION("""COMPUTED_VALUE"""),"")</f>
        <v/>
      </c>
      <c r="M589" s="213">
        <f>IFERROR(__xludf.DUMMYFUNCTION("""COMPUTED_VALUE"""),1.0)</f>
        <v>1</v>
      </c>
      <c r="N589" s="213">
        <f>IFERROR(__xludf.DUMMYFUNCTION("""COMPUTED_VALUE"""),20.0)</f>
        <v>20</v>
      </c>
      <c r="O589" s="213">
        <f>IFERROR(__xludf.DUMMYFUNCTION("""COMPUTED_VALUE"""),20.0)</f>
        <v>20</v>
      </c>
      <c r="P589" s="213"/>
      <c r="Q589" s="213"/>
      <c r="R589" s="213"/>
      <c r="S589" s="213"/>
      <c r="T589" s="213" t="str">
        <f>IFERROR(__xludf.DUMMYFUNCTION("""COMPUTED_VALUE"""),"CONSULTA FINAL")</f>
        <v>CONSULTA FINAL</v>
      </c>
      <c r="U589" s="213" t="str">
        <f>IFERROR(__xludf.DUMMYFUNCTION("""COMPUTED_VALUE"""),"NO")</f>
        <v>NO</v>
      </c>
      <c r="V589" s="213" t="str">
        <f>IFERROR(__xludf.DUMMYFUNCTION("""COMPUTED_VALUE"""),"SUSTENTO")</f>
        <v>SUSTENTO</v>
      </c>
      <c r="W589" s="213" t="str">
        <f>IFERROR(__xludf.DUMMYFUNCTION("""COMPUTED_VALUE"""),"DIMENSIONAL")</f>
        <v>DIMENSIONAL</v>
      </c>
      <c r="X589" s="213" t="str">
        <f>IFERROR(__xludf.DUMMYFUNCTION("""COMPUTED_VALUE"""),"GENERICO")</f>
        <v>GENERICO</v>
      </c>
      <c r="Y589" s="213" t="str">
        <f>IFERROR(__xludf.DUMMYFUNCTION("""COMPUTED_VALUE"""),"GENERICO")</f>
        <v>GENERICO</v>
      </c>
      <c r="Z589" s="215" t="str">
        <f>IFERROR(__xludf.DUMMYFUNCTION("""COMPUTED_VALUE"""),"https://articulo.mercadolibre.com.ve/MLV-713101744-molde-de-queso-de-28-kg-o-mozzarella-_JM")</f>
        <v>https://articulo.mercadolibre.com.ve/MLV-713101744-molde-de-queso-de-28-kg-o-mozzarella-_JM</v>
      </c>
      <c r="AA589" s="213" t="str">
        <f>IFERROR(__xludf.DUMMYFUNCTION("""COMPUTED_VALUE"""),"COM-240 KIT DE MOLDES PARA QUESO CON GRABADOS DECORATIVOS - CET")</f>
        <v>COM-240 KIT DE MOLDES PARA QUESO CON GRABADOS DECORATIVOS - CET</v>
      </c>
      <c r="AB589" s="213"/>
      <c r="AC589" s="213"/>
      <c r="AD589" s="213"/>
      <c r="AE589" s="213"/>
      <c r="AF589" s="213"/>
      <c r="AG589" s="213"/>
      <c r="AH589" s="213"/>
      <c r="AI589" s="213"/>
      <c r="AJ589" s="213"/>
      <c r="AK589" s="213"/>
      <c r="AL589" s="213"/>
      <c r="AM589" s="213"/>
      <c r="AN589" s="213"/>
      <c r="AO589" s="213"/>
      <c r="AP589" s="213" t="str">
        <f>IFERROR(__xludf.DUMMYFUNCTION("""COMPUTED_VALUE"""),"LUIS")</f>
        <v>LUIS</v>
      </c>
      <c r="AQ589" s="213"/>
      <c r="AR589" s="213"/>
      <c r="AS589" s="213"/>
      <c r="AT589" s="213"/>
      <c r="AU589" s="213"/>
      <c r="AV589" s="213"/>
      <c r="AW589" s="213"/>
      <c r="AX589" s="213"/>
      <c r="AY589" s="213"/>
      <c r="AZ589" s="213"/>
      <c r="BA589" s="213"/>
      <c r="BB589" s="213"/>
      <c r="BC589" s="213"/>
      <c r="BD589" s="213"/>
    </row>
    <row r="590">
      <c r="A590" s="213">
        <f>IFERROR(__xludf.DUMMYFUNCTION("""COMPUTED_VALUE"""),1401.0)</f>
        <v>1401</v>
      </c>
      <c r="B590" s="213" t="str">
        <f>IFERROR(__xludf.DUMMYFUNCTION("""COMPUTED_VALUE"""),"GUILLERMO E. BILLINGHURST ")</f>
        <v>GUILLERMO E. BILLINGHURST </v>
      </c>
      <c r="C590" s="213" t="str">
        <f>IFERROR(__xludf.DUMMYFUNCTION("""COMPUTED_VALUE"""),"TALLER SFT DE INDUSTRIA ALIMENTARIA")</f>
        <v>TALLER SFT DE INDUSTRIA ALIMENTARIA</v>
      </c>
      <c r="D590" s="213" t="str">
        <f>IFERROR(__xludf.DUMMYFUNCTION("""COMPUTED_VALUE"""),"HERRAMIENTAS")</f>
        <v>HERRAMIENTAS</v>
      </c>
      <c r="E590" s="213" t="str">
        <f>IFERROR(__xludf.DUMMYFUNCTION("""COMPUTED_VALUE"""),"COM-240")</f>
        <v>COM-240</v>
      </c>
      <c r="F590" s="213" t="str">
        <f>IFERROR(__xludf.DUMMYFUNCTION("""COMPUTED_VALUE"""),"COM-240")</f>
        <v>COM-240</v>
      </c>
      <c r="G590" s="213"/>
      <c r="H590" s="213" t="str">
        <f>IFERROR(__xludf.DUMMYFUNCTION("""COMPUTED_VALUE"""),"KIT DE MOLDES PARA QUESO CON GRABADOS DECORATIVOS")</f>
        <v>KIT DE MOLDES PARA QUESO CON GRABADOS DECORATIVOS</v>
      </c>
      <c r="I590" s="213"/>
      <c r="J590" s="213">
        <f>IFERROR(__xludf.DUMMYFUNCTION("""COMPUTED_VALUE"""),3.0)</f>
        <v>3</v>
      </c>
      <c r="K590" s="213" t="str">
        <f>IFERROR(__xludf.DUMMYFUNCTION("""COMPUTED_VALUE"""),"90 DÍAS CALENDARIO")</f>
        <v>90 DÍAS CALENDARIO</v>
      </c>
      <c r="L590" s="213" t="str">
        <f>IFERROR(__xludf.DUMMYFUNCTION("""COMPUTED_VALUE"""),"")</f>
        <v/>
      </c>
      <c r="M590" s="213">
        <f>IFERROR(__xludf.DUMMYFUNCTION("""COMPUTED_VALUE"""),1.0)</f>
        <v>1</v>
      </c>
      <c r="N590" s="213">
        <f>IFERROR(__xludf.DUMMYFUNCTION("""COMPUTED_VALUE"""),20.0)</f>
        <v>20</v>
      </c>
      <c r="O590" s="213">
        <f>IFERROR(__xludf.DUMMYFUNCTION("""COMPUTED_VALUE"""),20.0)</f>
        <v>20</v>
      </c>
      <c r="P590" s="213"/>
      <c r="Q590" s="213"/>
      <c r="R590" s="213"/>
      <c r="S590" s="213"/>
      <c r="T590" s="213" t="str">
        <f>IFERROR(__xludf.DUMMYFUNCTION("""COMPUTED_VALUE"""),"CONSULTA FINAL")</f>
        <v>CONSULTA FINAL</v>
      </c>
      <c r="U590" s="213" t="str">
        <f>IFERROR(__xludf.DUMMYFUNCTION("""COMPUTED_VALUE"""),"NO")</f>
        <v>NO</v>
      </c>
      <c r="V590" s="213" t="str">
        <f>IFERROR(__xludf.DUMMYFUNCTION("""COMPUTED_VALUE"""),"SUSTENTO")</f>
        <v>SUSTENTO</v>
      </c>
      <c r="W590" s="213" t="str">
        <f>IFERROR(__xludf.DUMMYFUNCTION("""COMPUTED_VALUE"""),"DIMENSIONAL")</f>
        <v>DIMENSIONAL</v>
      </c>
      <c r="X590" s="213" t="str">
        <f>IFERROR(__xludf.DUMMYFUNCTION("""COMPUTED_VALUE"""),"GENERICO")</f>
        <v>GENERICO</v>
      </c>
      <c r="Y590" s="213" t="str">
        <f>IFERROR(__xludf.DUMMYFUNCTION("""COMPUTED_VALUE"""),"GENERICO")</f>
        <v>GENERICO</v>
      </c>
      <c r="Z590" s="215" t="str">
        <f>IFERROR(__xludf.DUMMYFUNCTION("""COMPUTED_VALUE"""),"https://articulo.mercadolibre.com.ve/MLV-713101744-molde-de-queso-de-28-kg-o-mozzarella-_JM")</f>
        <v>https://articulo.mercadolibre.com.ve/MLV-713101744-molde-de-queso-de-28-kg-o-mozzarella-_JM</v>
      </c>
      <c r="AA590" s="213" t="str">
        <f>IFERROR(__xludf.DUMMYFUNCTION("""COMPUTED_VALUE"""),"COM-240 KIT DE MOLDES PARA QUESO CON GRABADOS DECORATIVOS - CET")</f>
        <v>COM-240 KIT DE MOLDES PARA QUESO CON GRABADOS DECORATIVOS - CET</v>
      </c>
      <c r="AB590" s="213"/>
      <c r="AC590" s="213"/>
      <c r="AD590" s="213"/>
      <c r="AE590" s="213"/>
      <c r="AF590" s="213"/>
      <c r="AG590" s="213"/>
      <c r="AH590" s="213"/>
      <c r="AI590" s="213"/>
      <c r="AJ590" s="213"/>
      <c r="AK590" s="213"/>
      <c r="AL590" s="213"/>
      <c r="AM590" s="213"/>
      <c r="AN590" s="213"/>
      <c r="AO590" s="213"/>
      <c r="AP590" s="213" t="str">
        <f>IFERROR(__xludf.DUMMYFUNCTION("""COMPUTED_VALUE"""),"LUIS")</f>
        <v>LUIS</v>
      </c>
      <c r="AQ590" s="213"/>
      <c r="AR590" s="213"/>
      <c r="AS590" s="213"/>
      <c r="AT590" s="213"/>
      <c r="AU590" s="213"/>
      <c r="AV590" s="213"/>
      <c r="AW590" s="213"/>
      <c r="AX590" s="213"/>
      <c r="AY590" s="213"/>
      <c r="AZ590" s="213"/>
      <c r="BA590" s="213"/>
      <c r="BB590" s="213"/>
      <c r="BC590" s="213"/>
      <c r="BD590" s="213"/>
    </row>
    <row r="591">
      <c r="A591" s="213">
        <f>IFERROR(__xludf.DUMMYFUNCTION("""COMPUTED_VALUE"""),2088.0)</f>
        <v>2088</v>
      </c>
      <c r="B591" s="213" t="str">
        <f>IFERROR(__xludf.DUMMYFUNCTION("""COMPUTED_VALUE"""),"JOSE GRANDA")</f>
        <v>JOSE GRANDA</v>
      </c>
      <c r="C591" s="213" t="str">
        <f>IFERROR(__xludf.DUMMYFUNCTION("""COMPUTED_VALUE"""),"TALLER SFT DE INDUSTRIA ALIMENTARIA")</f>
        <v>TALLER SFT DE INDUSTRIA ALIMENTARIA</v>
      </c>
      <c r="D591" s="213" t="str">
        <f>IFERROR(__xludf.DUMMYFUNCTION("""COMPUTED_VALUE"""),"HERRAMIENTAS")</f>
        <v>HERRAMIENTAS</v>
      </c>
      <c r="E591" s="213" t="str">
        <f>IFERROR(__xludf.DUMMYFUNCTION("""COMPUTED_VALUE"""),"COM-240")</f>
        <v>COM-240</v>
      </c>
      <c r="F591" s="213" t="str">
        <f>IFERROR(__xludf.DUMMYFUNCTION("""COMPUTED_VALUE"""),"COM-240")</f>
        <v>COM-240</v>
      </c>
      <c r="G591" s="213"/>
      <c r="H591" s="213" t="str">
        <f>IFERROR(__xludf.DUMMYFUNCTION("""COMPUTED_VALUE"""),"KIT DE MOLDES PARA QUESO CON GRABADOS DECORATIVOS")</f>
        <v>KIT DE MOLDES PARA QUESO CON GRABADOS DECORATIVOS</v>
      </c>
      <c r="I591" s="213"/>
      <c r="J591" s="213">
        <f>IFERROR(__xludf.DUMMYFUNCTION("""COMPUTED_VALUE"""),3.0)</f>
        <v>3</v>
      </c>
      <c r="K591" s="213" t="str">
        <f>IFERROR(__xludf.DUMMYFUNCTION("""COMPUTED_VALUE"""),"90 DÍAS CALENDARIO")</f>
        <v>90 DÍAS CALENDARIO</v>
      </c>
      <c r="L591" s="213" t="str">
        <f>IFERROR(__xludf.DUMMYFUNCTION("""COMPUTED_VALUE"""),"")</f>
        <v/>
      </c>
      <c r="M591" s="213">
        <f>IFERROR(__xludf.DUMMYFUNCTION("""COMPUTED_VALUE"""),1.0)</f>
        <v>1</v>
      </c>
      <c r="N591" s="213">
        <f>IFERROR(__xludf.DUMMYFUNCTION("""COMPUTED_VALUE"""),20.0)</f>
        <v>20</v>
      </c>
      <c r="O591" s="213">
        <f>IFERROR(__xludf.DUMMYFUNCTION("""COMPUTED_VALUE"""),20.0)</f>
        <v>20</v>
      </c>
      <c r="P591" s="213"/>
      <c r="Q591" s="213"/>
      <c r="R591" s="213"/>
      <c r="S591" s="213"/>
      <c r="T591" s="213" t="str">
        <f>IFERROR(__xludf.DUMMYFUNCTION("""COMPUTED_VALUE"""),"CONSULTA FINAL")</f>
        <v>CONSULTA FINAL</v>
      </c>
      <c r="U591" s="213" t="str">
        <f>IFERROR(__xludf.DUMMYFUNCTION("""COMPUTED_VALUE"""),"NO")</f>
        <v>NO</v>
      </c>
      <c r="V591" s="213" t="str">
        <f>IFERROR(__xludf.DUMMYFUNCTION("""COMPUTED_VALUE"""),"SUSTENTO")</f>
        <v>SUSTENTO</v>
      </c>
      <c r="W591" s="213" t="str">
        <f>IFERROR(__xludf.DUMMYFUNCTION("""COMPUTED_VALUE"""),"DIMENSIONAL")</f>
        <v>DIMENSIONAL</v>
      </c>
      <c r="X591" s="213" t="str">
        <f>IFERROR(__xludf.DUMMYFUNCTION("""COMPUTED_VALUE"""),"GENERICO")</f>
        <v>GENERICO</v>
      </c>
      <c r="Y591" s="213" t="str">
        <f>IFERROR(__xludf.DUMMYFUNCTION("""COMPUTED_VALUE"""),"GENERICO")</f>
        <v>GENERICO</v>
      </c>
      <c r="Z591" s="215" t="str">
        <f>IFERROR(__xludf.DUMMYFUNCTION("""COMPUTED_VALUE"""),"https://articulo.mercadolibre.com.ve/MLV-713101744-molde-de-queso-de-28-kg-o-mozzarella-_JM")</f>
        <v>https://articulo.mercadolibre.com.ve/MLV-713101744-molde-de-queso-de-28-kg-o-mozzarella-_JM</v>
      </c>
      <c r="AA591" s="213" t="str">
        <f>IFERROR(__xludf.DUMMYFUNCTION("""COMPUTED_VALUE"""),"COM-240 KIT DE MOLDES PARA QUESO CON GRABADOS DECORATIVOS - CET")</f>
        <v>COM-240 KIT DE MOLDES PARA QUESO CON GRABADOS DECORATIVOS - CET</v>
      </c>
      <c r="AB591" s="213"/>
      <c r="AC591" s="213"/>
      <c r="AD591" s="213"/>
      <c r="AE591" s="213"/>
      <c r="AF591" s="213"/>
      <c r="AG591" s="213"/>
      <c r="AH591" s="213"/>
      <c r="AI591" s="213"/>
      <c r="AJ591" s="213"/>
      <c r="AK591" s="213"/>
      <c r="AL591" s="213"/>
      <c r="AM591" s="213"/>
      <c r="AN591" s="213"/>
      <c r="AO591" s="213"/>
      <c r="AP591" s="213" t="str">
        <f>IFERROR(__xludf.DUMMYFUNCTION("""COMPUTED_VALUE"""),"LUIS")</f>
        <v>LUIS</v>
      </c>
      <c r="AQ591" s="213"/>
      <c r="AR591" s="213"/>
      <c r="AS591" s="213"/>
      <c r="AT591" s="213"/>
      <c r="AU591" s="213"/>
      <c r="AV591" s="213"/>
      <c r="AW591" s="213"/>
      <c r="AX591" s="213"/>
      <c r="AY591" s="213"/>
      <c r="AZ591" s="213"/>
      <c r="BA591" s="213"/>
      <c r="BB591" s="213"/>
      <c r="BC591" s="213"/>
      <c r="BD591" s="213"/>
    </row>
    <row r="592">
      <c r="A592" s="213">
        <f>IFERROR(__xludf.DUMMYFUNCTION("""COMPUTED_VALUE"""),55.0)</f>
        <v>55</v>
      </c>
      <c r="B592" s="213" t="str">
        <f>IFERROR(__xludf.DUMMYFUNCTION("""COMPUTED_VALUE"""),"16449 ELOY SOBERON  FLORES")</f>
        <v>16449 ELOY SOBERON  FLORES</v>
      </c>
      <c r="C592" s="213" t="str">
        <f>IFERROR(__xludf.DUMMYFUNCTION("""COMPUTED_VALUE"""),"TALLER SFT DE COCINA Y REPOSTERÍA")</f>
        <v>TALLER SFT DE COCINA Y REPOSTERÍA</v>
      </c>
      <c r="D592" s="213" t="str">
        <f>IFERROR(__xludf.DUMMYFUNCTION("""COMPUTED_VALUE"""),"HERRAMIENTAS")</f>
        <v>HERRAMIENTAS</v>
      </c>
      <c r="E592" s="213" t="str">
        <f>IFERROR(__xludf.DUMMYFUNCTION("""COMPUTED_VALUE"""),"COM-241")</f>
        <v>COM-241</v>
      </c>
      <c r="F592" s="213" t="str">
        <f>IFERROR(__xludf.DUMMYFUNCTION("""COMPUTED_VALUE"""),"COM-241")</f>
        <v>COM-241</v>
      </c>
      <c r="G592" s="213"/>
      <c r="H592" s="213" t="str">
        <f>IFERROR(__xludf.DUMMYFUNCTION("""COMPUTED_VALUE"""),"MORTERO")</f>
        <v>MORTERO</v>
      </c>
      <c r="I592" s="213" t="str">
        <f>IFERROR(__xludf.DUMMYFUNCTION("""COMPUTED_VALUE"""),"· Elaborado a mano con piedra granito.
· Medidas aproximadas (+-3cm) : 17x15 cm. Altura= 7 cm.
· Acabado: Pulido")</f>
        <v>· Elaborado a mano con piedra granito.
· Medidas aproximadas (+-3cm) : 17x15 cm. Altura= 7 cm.
· Acabado: Pulido</v>
      </c>
      <c r="J592" s="213">
        <f>IFERROR(__xludf.DUMMYFUNCTION("""COMPUTED_VALUE"""),3.0)</f>
        <v>3</v>
      </c>
      <c r="K592" s="213" t="str">
        <f>IFERROR(__xludf.DUMMYFUNCTION("""COMPUTED_VALUE"""),"90 DÍAS CALENDARIO")</f>
        <v>90 DÍAS CALENDARIO</v>
      </c>
      <c r="L592" s="213" t="str">
        <f>IFERROR(__xludf.DUMMYFUNCTION("""COMPUTED_VALUE"""),"")</f>
        <v/>
      </c>
      <c r="M592" s="213">
        <f>IFERROR(__xludf.DUMMYFUNCTION("""COMPUTED_VALUE"""),1.0)</f>
        <v>1</v>
      </c>
      <c r="N592" s="213">
        <f>IFERROR(__xludf.DUMMYFUNCTION("""COMPUTED_VALUE"""),4.0)</f>
        <v>4</v>
      </c>
      <c r="O592" s="213">
        <f>IFERROR(__xludf.DUMMYFUNCTION("""COMPUTED_VALUE"""),4.0)</f>
        <v>4</v>
      </c>
      <c r="P592" s="213"/>
      <c r="Q592" s="213"/>
      <c r="R592" s="213" t="str">
        <f>IFERROR(__xludf.DUMMYFUNCTION("""COMPUTED_VALUE"""),"SI")</f>
        <v>SI</v>
      </c>
      <c r="S592" s="213"/>
      <c r="T592" s="213" t="str">
        <f>IFERROR(__xludf.DUMMYFUNCTION("""COMPUTED_VALUE"""),"CONSULTA FINAL")</f>
        <v>CONSULTA FINAL</v>
      </c>
      <c r="U592" s="213" t="str">
        <f>IFERROR(__xludf.DUMMYFUNCTION("""COMPUTED_VALUE"""),"NO")</f>
        <v>NO</v>
      </c>
      <c r="V592" s="213" t="str">
        <f>IFERROR(__xludf.DUMMYFUNCTION("""COMPUTED_VALUE"""),"SUSTENTO")</f>
        <v>SUSTENTO</v>
      </c>
      <c r="W592" s="213" t="str">
        <f>IFERROR(__xludf.DUMMYFUNCTION("""COMPUTED_VALUE"""),"EQU TEC")</f>
        <v>EQU TEC</v>
      </c>
      <c r="X592" s="213" t="str">
        <f>IFERROR(__xludf.DUMMYFUNCTION("""COMPUTED_VALUE"""),"Mortero de Piedra")</f>
        <v>Mortero de Piedra</v>
      </c>
      <c r="Y592" s="213" t="str">
        <f>IFERROR(__xludf.DUMMYFUNCTION("""COMPUTED_VALUE"""),"MP001MM")</f>
        <v>MP001MM</v>
      </c>
      <c r="Z592" s="215" t="str">
        <f>IFERROR(__xludf.DUMMYFUNCTION("""COMPUTED_VALUE"""),"https://decoracion-piedra.webnode.pe/conoceme2/?utm_source=chatgpt.com")</f>
        <v>https://decoracion-piedra.webnode.pe/conoceme2/?utm_source=chatgpt.com</v>
      </c>
      <c r="AA592" s="213" t="str">
        <f>IFERROR(__xludf.DUMMYFUNCTION("""COMPUTED_VALUE"""),"COM-241 MORTERO - CET")</f>
        <v>COM-241 MORTERO - CET</v>
      </c>
      <c r="AB592" s="213"/>
      <c r="AC592" s="213"/>
      <c r="AD592" s="213"/>
      <c r="AE592" s="213"/>
      <c r="AF592" s="213"/>
      <c r="AG592" s="213"/>
      <c r="AH592" s="213"/>
      <c r="AI592" s="213"/>
      <c r="AJ592" s="213"/>
      <c r="AK592" s="213"/>
      <c r="AL592" s="213"/>
      <c r="AM592" s="213"/>
      <c r="AN592" s="213"/>
      <c r="AO592" s="213"/>
      <c r="AP592" s="213" t="str">
        <f>IFERROR(__xludf.DUMMYFUNCTION("""COMPUTED_VALUE"""),"SEBASTIAN")</f>
        <v>SEBASTIAN</v>
      </c>
      <c r="AQ592" s="213"/>
      <c r="AR592" s="213"/>
      <c r="AS592" s="213"/>
      <c r="AT592" s="213"/>
      <c r="AU592" s="213"/>
      <c r="AV592" s="213"/>
      <c r="AW592" s="213"/>
      <c r="AX592" s="213"/>
      <c r="AY592" s="213"/>
      <c r="AZ592" s="213"/>
      <c r="BA592" s="213"/>
      <c r="BB592" s="213"/>
      <c r="BC592" s="213"/>
      <c r="BD592" s="213"/>
    </row>
    <row r="593">
      <c r="A593" s="213">
        <f>IFERROR(__xludf.DUMMYFUNCTION("""COMPUTED_VALUE"""),1778.0)</f>
        <v>1778</v>
      </c>
      <c r="B593" s="213" t="str">
        <f>IFERROR(__xludf.DUMMYFUNCTION("""COMPUTED_VALUE"""),"GUILLERMO E. BILLINGHURST ")</f>
        <v>GUILLERMO E. BILLINGHURST </v>
      </c>
      <c r="C593" s="213" t="str">
        <f>IFERROR(__xludf.DUMMYFUNCTION("""COMPUTED_VALUE"""),"TALLER SFT DE EBANISTERÍA")</f>
        <v>TALLER SFT DE EBANISTERÍA</v>
      </c>
      <c r="D593" s="213" t="str">
        <f>IFERROR(__xludf.DUMMYFUNCTION("""COMPUTED_VALUE"""),"HERRAMIENTAS")</f>
        <v>HERRAMIENTAS</v>
      </c>
      <c r="E593" s="213" t="str">
        <f>IFERROR(__xludf.DUMMYFUNCTION("""COMPUTED_VALUE"""),"COM-242")</f>
        <v>COM-242</v>
      </c>
      <c r="F593" s="213" t="str">
        <f>IFERROR(__xludf.DUMMYFUNCTION("""COMPUTED_VALUE"""),"COM-242")</f>
        <v>COM-242</v>
      </c>
      <c r="G593" s="213"/>
      <c r="H593" s="213" t="str">
        <f>IFERROR(__xludf.DUMMYFUNCTION("""COMPUTED_VALUE"""),"MUESTRARIO DE ESPECIES MADERERAS")</f>
        <v>MUESTRARIO DE ESPECIES MADERERAS</v>
      </c>
      <c r="I593" s="213" t="str">
        <f>IFERROR(__xludf.DUMMYFUNCTION("""COMPUTED_VALUE"""),"Muestrario con aprox. 40 especies madereras de nuestro medio.
Cada muestra con nombre y en caja de madera para facilitar su almacenamiento. Catalogo con las propiedades y caracteristicas de cada especie.")</f>
        <v>Muestrario con aprox. 40 especies madereras de nuestro medio.
Cada muestra con nombre y en caja de madera para facilitar su almacenamiento. Catalogo con las propiedades y caracteristicas de cada especie.</v>
      </c>
      <c r="J593" s="213">
        <f>IFERROR(__xludf.DUMMYFUNCTION("""COMPUTED_VALUE"""),3.0)</f>
        <v>3</v>
      </c>
      <c r="K593" s="213" t="str">
        <f>IFERROR(__xludf.DUMMYFUNCTION("""COMPUTED_VALUE"""),"90 DÍAS CALENDARIO")</f>
        <v>90 DÍAS CALENDARIO</v>
      </c>
      <c r="L593" s="213" t="str">
        <f>IFERROR(__xludf.DUMMYFUNCTION("""COMPUTED_VALUE"""),"")</f>
        <v/>
      </c>
      <c r="M593" s="213">
        <f>IFERROR(__xludf.DUMMYFUNCTION("""COMPUTED_VALUE"""),1.0)</f>
        <v>1</v>
      </c>
      <c r="N593" s="213">
        <f>IFERROR(__xludf.DUMMYFUNCTION("""COMPUTED_VALUE"""),4.0)</f>
        <v>4</v>
      </c>
      <c r="O593" s="213">
        <f>IFERROR(__xludf.DUMMYFUNCTION("""COMPUTED_VALUE"""),4.0)</f>
        <v>4</v>
      </c>
      <c r="P593" s="213"/>
      <c r="Q593" s="213"/>
      <c r="R593" s="213" t="str">
        <f>IFERROR(__xludf.DUMMYFUNCTION("""COMPUTED_VALUE"""),"SI")</f>
        <v>SI</v>
      </c>
      <c r="S593" s="213"/>
      <c r="T593" s="213" t="str">
        <f>IFERROR(__xludf.DUMMYFUNCTION("""COMPUTED_VALUE"""),"CONSULTA FINAL")</f>
        <v>CONSULTA FINAL</v>
      </c>
      <c r="U593" s="213" t="str">
        <f>IFERROR(__xludf.DUMMYFUNCTION("""COMPUTED_VALUE"""),"NO")</f>
        <v>NO</v>
      </c>
      <c r="V593" s="213" t="str">
        <f>IFERROR(__xludf.DUMMYFUNCTION("""COMPUTED_VALUE"""),"SUSTENTO")</f>
        <v>SUSTENTO</v>
      </c>
      <c r="W593" s="213" t="str">
        <f>IFERROR(__xludf.DUMMYFUNCTION("""COMPUTED_VALUE"""),"EQU TEC")</f>
        <v>EQU TEC</v>
      </c>
      <c r="X593" s="213" t="str">
        <f>IFERROR(__xludf.DUMMYFUNCTION("""COMPUTED_VALUE"""),"Augusta Pastor")</f>
        <v>Augusta Pastor</v>
      </c>
      <c r="Y593" s="213" t="str">
        <f>IFERROR(__xludf.DUMMYFUNCTION("""COMPUTED_VALUE"""),"-")</f>
        <v>-</v>
      </c>
      <c r="Z593" s="215" t="str">
        <f>IFERROR(__xludf.DUMMYFUNCTION("""COMPUTED_VALUE"""),"https://www.facebook.com/photo/?fbid=1023931744302211&amp;set=a.1023931684302217")</f>
        <v>https://www.facebook.com/photo/?fbid=1023931744302211&amp;set=a.1023931684302217</v>
      </c>
      <c r="AA593" s="213" t="str">
        <f>IFERROR(__xludf.DUMMYFUNCTION("""COMPUTED_VALUE"""),"COM-242 MUESTRARIO DE ESPECIES MADERERAS - CET")</f>
        <v>COM-242 MUESTRARIO DE ESPECIES MADERERAS - CET</v>
      </c>
      <c r="AB593" s="213"/>
      <c r="AC593" s="213"/>
      <c r="AD593" s="213"/>
      <c r="AE593" s="213"/>
      <c r="AF593" s="213"/>
      <c r="AG593" s="213"/>
      <c r="AH593" s="213"/>
      <c r="AI593" s="213"/>
      <c r="AJ593" s="213"/>
      <c r="AK593" s="213"/>
      <c r="AL593" s="213"/>
      <c r="AM593" s="213"/>
      <c r="AN593" s="213"/>
      <c r="AO593" s="213"/>
      <c r="AP593" s="213" t="str">
        <f>IFERROR(__xludf.DUMMYFUNCTION("""COMPUTED_VALUE"""),"SEBASTIAN")</f>
        <v>SEBASTIAN</v>
      </c>
      <c r="AQ593" s="213"/>
      <c r="AR593" s="213"/>
      <c r="AS593" s="213"/>
      <c r="AT593" s="213"/>
      <c r="AU593" s="213"/>
      <c r="AV593" s="213"/>
      <c r="AW593" s="213"/>
      <c r="AX593" s="213"/>
      <c r="AY593" s="213"/>
      <c r="AZ593" s="213"/>
      <c r="BA593" s="213"/>
      <c r="BB593" s="213"/>
      <c r="BC593" s="213"/>
      <c r="BD593" s="213"/>
    </row>
    <row r="594">
      <c r="A594" s="213">
        <f>IFERROR(__xludf.DUMMYFUNCTION("""COMPUTED_VALUE"""),2560.0)</f>
        <v>2560</v>
      </c>
      <c r="B594" s="213" t="str">
        <f>IFERROR(__xludf.DUMMYFUNCTION("""COMPUTED_VALUE"""),"MANUEL ANTONIO MESONES MURO")</f>
        <v>MANUEL ANTONIO MESONES MURO</v>
      </c>
      <c r="C594" s="213" t="str">
        <f>IFERROR(__xludf.DUMMYFUNCTION("""COMPUTED_VALUE"""),"TALLER SFT DE EBANISTERÍA")</f>
        <v>TALLER SFT DE EBANISTERÍA</v>
      </c>
      <c r="D594" s="213" t="str">
        <f>IFERROR(__xludf.DUMMYFUNCTION("""COMPUTED_VALUE"""),"HERRAMIENTAS")</f>
        <v>HERRAMIENTAS</v>
      </c>
      <c r="E594" s="213" t="str">
        <f>IFERROR(__xludf.DUMMYFUNCTION("""COMPUTED_VALUE"""),"COM-242")</f>
        <v>COM-242</v>
      </c>
      <c r="F594" s="213" t="str">
        <f>IFERROR(__xludf.DUMMYFUNCTION("""COMPUTED_VALUE"""),"COM-242")</f>
        <v>COM-242</v>
      </c>
      <c r="G594" s="213"/>
      <c r="H594" s="213" t="str">
        <f>IFERROR(__xludf.DUMMYFUNCTION("""COMPUTED_VALUE"""),"MUESTRARIO DE ESPECIES MADERERAS")</f>
        <v>MUESTRARIO DE ESPECIES MADERERAS</v>
      </c>
      <c r="I594" s="213" t="str">
        <f>IFERROR(__xludf.DUMMYFUNCTION("""COMPUTED_VALUE"""),"Muestrario con aprox. 40 especies madereras de nuestro medio.
Cada muestra con nombre y en caja de madera para facilitar su almacenamiento. Catalogo con las propiedades y caracteristicas de cada especie.")</f>
        <v>Muestrario con aprox. 40 especies madereras de nuestro medio.
Cada muestra con nombre y en caja de madera para facilitar su almacenamiento. Catalogo con las propiedades y caracteristicas de cada especie.</v>
      </c>
      <c r="J594" s="213">
        <f>IFERROR(__xludf.DUMMYFUNCTION("""COMPUTED_VALUE"""),3.0)</f>
        <v>3</v>
      </c>
      <c r="K594" s="213" t="str">
        <f>IFERROR(__xludf.DUMMYFUNCTION("""COMPUTED_VALUE"""),"90 DÍAS CALENDARIO")</f>
        <v>90 DÍAS CALENDARIO</v>
      </c>
      <c r="L594" s="213" t="str">
        <f>IFERROR(__xludf.DUMMYFUNCTION("""COMPUTED_VALUE"""),"")</f>
        <v/>
      </c>
      <c r="M594" s="213">
        <f>IFERROR(__xludf.DUMMYFUNCTION("""COMPUTED_VALUE"""),1.0)</f>
        <v>1</v>
      </c>
      <c r="N594" s="213">
        <f>IFERROR(__xludf.DUMMYFUNCTION("""COMPUTED_VALUE"""),4.0)</f>
        <v>4</v>
      </c>
      <c r="O594" s="213">
        <f>IFERROR(__xludf.DUMMYFUNCTION("""COMPUTED_VALUE"""),4.0)</f>
        <v>4</v>
      </c>
      <c r="P594" s="213"/>
      <c r="Q594" s="213"/>
      <c r="R594" s="213" t="str">
        <f>IFERROR(__xludf.DUMMYFUNCTION("""COMPUTED_VALUE"""),"SI")</f>
        <v>SI</v>
      </c>
      <c r="S594" s="213"/>
      <c r="T594" s="213" t="str">
        <f>IFERROR(__xludf.DUMMYFUNCTION("""COMPUTED_VALUE"""),"CONSULTA FINAL")</f>
        <v>CONSULTA FINAL</v>
      </c>
      <c r="U594" s="213" t="str">
        <f>IFERROR(__xludf.DUMMYFUNCTION("""COMPUTED_VALUE"""),"NO")</f>
        <v>NO</v>
      </c>
      <c r="V594" s="213" t="str">
        <f>IFERROR(__xludf.DUMMYFUNCTION("""COMPUTED_VALUE"""),"SUSTENTO")</f>
        <v>SUSTENTO</v>
      </c>
      <c r="W594" s="213" t="str">
        <f>IFERROR(__xludf.DUMMYFUNCTION("""COMPUTED_VALUE"""),"EQU TEC")</f>
        <v>EQU TEC</v>
      </c>
      <c r="X594" s="213" t="str">
        <f>IFERROR(__xludf.DUMMYFUNCTION("""COMPUTED_VALUE"""),"Augusta Pastor")</f>
        <v>Augusta Pastor</v>
      </c>
      <c r="Y594" s="213" t="str">
        <f>IFERROR(__xludf.DUMMYFUNCTION("""COMPUTED_VALUE"""),"-")</f>
        <v>-</v>
      </c>
      <c r="Z594" s="215" t="str">
        <f>IFERROR(__xludf.DUMMYFUNCTION("""COMPUTED_VALUE"""),"https://www.facebook.com/photo/?fbid=1023931744302211&amp;set=a.1023931684302217")</f>
        <v>https://www.facebook.com/photo/?fbid=1023931744302211&amp;set=a.1023931684302217</v>
      </c>
      <c r="AA594" s="213" t="str">
        <f>IFERROR(__xludf.DUMMYFUNCTION("""COMPUTED_VALUE"""),"COM-242 MUESTRARIO DE ESPECIES MADERERAS - CET")</f>
        <v>COM-242 MUESTRARIO DE ESPECIES MADERERAS - CET</v>
      </c>
      <c r="AB594" s="213"/>
      <c r="AC594" s="213"/>
      <c r="AD594" s="213"/>
      <c r="AE594" s="213"/>
      <c r="AF594" s="213"/>
      <c r="AG594" s="213"/>
      <c r="AH594" s="213"/>
      <c r="AI594" s="213"/>
      <c r="AJ594" s="213"/>
      <c r="AK594" s="213"/>
      <c r="AL594" s="213"/>
      <c r="AM594" s="213"/>
      <c r="AN594" s="213"/>
      <c r="AO594" s="213"/>
      <c r="AP594" s="213" t="str">
        <f>IFERROR(__xludf.DUMMYFUNCTION("""COMPUTED_VALUE"""),"SEBASTIAN")</f>
        <v>SEBASTIAN</v>
      </c>
      <c r="AQ594" s="213"/>
      <c r="AR594" s="213"/>
      <c r="AS594" s="213"/>
      <c r="AT594" s="213"/>
      <c r="AU594" s="213"/>
      <c r="AV594" s="213"/>
      <c r="AW594" s="213"/>
      <c r="AX594" s="213"/>
      <c r="AY594" s="213"/>
      <c r="AZ594" s="213"/>
      <c r="BA594" s="213"/>
      <c r="BB594" s="213"/>
      <c r="BC594" s="213"/>
      <c r="BD594" s="213"/>
    </row>
    <row r="595">
      <c r="A595" s="213">
        <f>IFERROR(__xludf.DUMMYFUNCTION("""COMPUTED_VALUE"""),1779.0)</f>
        <v>1779</v>
      </c>
      <c r="B595" s="213" t="str">
        <f>IFERROR(__xludf.DUMMYFUNCTION("""COMPUTED_VALUE"""),"GUILLERMO E. BILLINGHURST ")</f>
        <v>GUILLERMO E. BILLINGHURST </v>
      </c>
      <c r="C595" s="213" t="str">
        <f>IFERROR(__xludf.DUMMYFUNCTION("""COMPUTED_VALUE"""),"TALLER SFT DE EBANISTERÍA")</f>
        <v>TALLER SFT DE EBANISTERÍA</v>
      </c>
      <c r="D595" s="213" t="str">
        <f>IFERROR(__xludf.DUMMYFUNCTION("""COMPUTED_VALUE"""),"HERRAMIENTAS")</f>
        <v>HERRAMIENTAS</v>
      </c>
      <c r="E595" s="213" t="str">
        <f>IFERROR(__xludf.DUMMYFUNCTION("""COMPUTED_VALUE"""),"COM-243")</f>
        <v>COM-243</v>
      </c>
      <c r="F595" s="213" t="str">
        <f>IFERROR(__xludf.DUMMYFUNCTION("""COMPUTED_VALUE"""),"COM-243")</f>
        <v>COM-243</v>
      </c>
      <c r="G595" s="213"/>
      <c r="H595" s="213" t="str">
        <f>IFERROR(__xludf.DUMMYFUNCTION("""COMPUTED_VALUE"""),"MUESTRARIO DE TABLEROS PREFABRICADOS")</f>
        <v>MUESTRARIO DE TABLEROS PREFABRICADOS</v>
      </c>
      <c r="I595" s="213" t="str">
        <f>IFERROR(__xludf.DUMMYFUNCTION("""COMPUTED_VALUE"""),"Muestrario de los diferentes tipos de tableros, alistonados, contraplacados, aglomerados, MDP, MDF, OSB, Melaminicos.
Cada muestra con nombre y en caja de madera para facilitar su almacenamiento. Catalogo con las propiedades y caracteristicas de cada espe"&amp;"cie.
VERA Hilda 998 soft")</f>
        <v>Muestrario de los diferentes tipos de tableros, alistonados, contraplacados, aglomerados, MDP, MDF, OSB, Melaminicos.
Cada muestra con nombre y en caja de madera para facilitar su almacenamiento. Catalogo con las propiedades y caracteristicas de cada especie.
VERA Hilda 998 soft</v>
      </c>
      <c r="J595" s="213">
        <f>IFERROR(__xludf.DUMMYFUNCTION("""COMPUTED_VALUE"""),3.0)</f>
        <v>3</v>
      </c>
      <c r="K595" s="213" t="str">
        <f>IFERROR(__xludf.DUMMYFUNCTION("""COMPUTED_VALUE"""),"90 DÍAS CALENDARIO")</f>
        <v>90 DÍAS CALENDARIO</v>
      </c>
      <c r="L595" s="213" t="str">
        <f>IFERROR(__xludf.DUMMYFUNCTION("""COMPUTED_VALUE"""),"")</f>
        <v/>
      </c>
      <c r="M595" s="213">
        <f>IFERROR(__xludf.DUMMYFUNCTION("""COMPUTED_VALUE"""),1.0)</f>
        <v>1</v>
      </c>
      <c r="N595" s="213">
        <f>IFERROR(__xludf.DUMMYFUNCTION("""COMPUTED_VALUE"""),4.0)</f>
        <v>4</v>
      </c>
      <c r="O595" s="213">
        <f>IFERROR(__xludf.DUMMYFUNCTION("""COMPUTED_VALUE"""),4.0)</f>
        <v>4</v>
      </c>
      <c r="P595" s="213"/>
      <c r="Q595" s="213"/>
      <c r="R595" s="213" t="str">
        <f>IFERROR(__xludf.DUMMYFUNCTION("""COMPUTED_VALUE"""),"SI")</f>
        <v>SI</v>
      </c>
      <c r="S595" s="213"/>
      <c r="T595" s="213" t="str">
        <f>IFERROR(__xludf.DUMMYFUNCTION("""COMPUTED_VALUE"""),"CONSULTA FINAL")</f>
        <v>CONSULTA FINAL</v>
      </c>
      <c r="U595" s="213" t="str">
        <f>IFERROR(__xludf.DUMMYFUNCTION("""COMPUTED_VALUE"""),"NO")</f>
        <v>NO</v>
      </c>
      <c r="V595" s="213" t="str">
        <f>IFERROR(__xludf.DUMMYFUNCTION("""COMPUTED_VALUE"""),"SUSTENTO")</f>
        <v>SUSTENTO</v>
      </c>
      <c r="W595" s="213" t="str">
        <f>IFERROR(__xludf.DUMMYFUNCTION("""COMPUTED_VALUE"""),"EQU TEC")</f>
        <v>EQU TEC</v>
      </c>
      <c r="X595" s="213" t="str">
        <f>IFERROR(__xludf.DUMMYFUNCTION("""COMPUTED_VALUE"""),"MADEREA")</f>
        <v>MADEREA</v>
      </c>
      <c r="Y595" s="213" t="str">
        <f>IFERROR(__xludf.DUMMYFUNCTION("""COMPUTED_VALUE"""),"MADEREA")</f>
        <v>MADEREA</v>
      </c>
      <c r="Z595" s="215" t="str">
        <f>IFERROR(__xludf.DUMMYFUNCTION("""COMPUTED_VALUE"""),"https://www.maderea.es/tipos-de-tablero-de-madera-y-diferencias-clases-de-servicio-y-clases-de-uso/")</f>
        <v>https://www.maderea.es/tipos-de-tablero-de-madera-y-diferencias-clases-de-servicio-y-clases-de-uso/</v>
      </c>
      <c r="AA595" s="213" t="str">
        <f>IFERROR(__xludf.DUMMYFUNCTION("""COMPUTED_VALUE"""),"COM-243 MUESTRARIO DE TABLEROS PREFABRICADOS - CET")</f>
        <v>COM-243 MUESTRARIO DE TABLEROS PREFABRICADOS - CET</v>
      </c>
      <c r="AB595" s="213"/>
      <c r="AC595" s="213"/>
      <c r="AD595" s="213"/>
      <c r="AE595" s="213"/>
      <c r="AF595" s="213"/>
      <c r="AG595" s="213"/>
      <c r="AH595" s="213"/>
      <c r="AI595" s="213"/>
      <c r="AJ595" s="213"/>
      <c r="AK595" s="213"/>
      <c r="AL595" s="213"/>
      <c r="AM595" s="213"/>
      <c r="AN595" s="213"/>
      <c r="AO595" s="213"/>
      <c r="AP595" s="213" t="str">
        <f>IFERROR(__xludf.DUMMYFUNCTION("""COMPUTED_VALUE"""),"SEBASTIAN")</f>
        <v>SEBASTIAN</v>
      </c>
      <c r="AQ595" s="213"/>
      <c r="AR595" s="213"/>
      <c r="AS595" s="213"/>
      <c r="AT595" s="213"/>
      <c r="AU595" s="213"/>
      <c r="AV595" s="213"/>
      <c r="AW595" s="213"/>
      <c r="AX595" s="213"/>
      <c r="AY595" s="213"/>
      <c r="AZ595" s="213"/>
      <c r="BA595" s="213"/>
      <c r="BB595" s="213"/>
      <c r="BC595" s="213"/>
      <c r="BD595" s="213"/>
    </row>
    <row r="596">
      <c r="A596" s="213">
        <f>IFERROR(__xludf.DUMMYFUNCTION("""COMPUTED_VALUE"""),2561.0)</f>
        <v>2561</v>
      </c>
      <c r="B596" s="213" t="str">
        <f>IFERROR(__xludf.DUMMYFUNCTION("""COMPUTED_VALUE"""),"MANUEL ANTONIO MESONES MURO")</f>
        <v>MANUEL ANTONIO MESONES MURO</v>
      </c>
      <c r="C596" s="213" t="str">
        <f>IFERROR(__xludf.DUMMYFUNCTION("""COMPUTED_VALUE"""),"TALLER SFT DE EBANISTERÍA")</f>
        <v>TALLER SFT DE EBANISTERÍA</v>
      </c>
      <c r="D596" s="213" t="str">
        <f>IFERROR(__xludf.DUMMYFUNCTION("""COMPUTED_VALUE"""),"HERRAMIENTAS")</f>
        <v>HERRAMIENTAS</v>
      </c>
      <c r="E596" s="213" t="str">
        <f>IFERROR(__xludf.DUMMYFUNCTION("""COMPUTED_VALUE"""),"COM-243")</f>
        <v>COM-243</v>
      </c>
      <c r="F596" s="213" t="str">
        <f>IFERROR(__xludf.DUMMYFUNCTION("""COMPUTED_VALUE"""),"COM-243")</f>
        <v>COM-243</v>
      </c>
      <c r="G596" s="213"/>
      <c r="H596" s="213" t="str">
        <f>IFERROR(__xludf.DUMMYFUNCTION("""COMPUTED_VALUE"""),"MUESTRARIO DE TABLEROS PREFABRICADOS")</f>
        <v>MUESTRARIO DE TABLEROS PREFABRICADOS</v>
      </c>
      <c r="I596" s="213" t="str">
        <f>IFERROR(__xludf.DUMMYFUNCTION("""COMPUTED_VALUE"""),"Muestrario de los diferentes tipos de tableros, alistonados, contraplacados, aglomerados, MDP, MDF, OSB, Melaminicos.
Cada muestra con nombre y en caja de madera para facilitar su almacenamiento. Catalogo con las propiedades y caracteristicas de cada espe"&amp;"cie.
VERA Hilda 998 soft")</f>
        <v>Muestrario de los diferentes tipos de tableros, alistonados, contraplacados, aglomerados, MDP, MDF, OSB, Melaminicos.
Cada muestra con nombre y en caja de madera para facilitar su almacenamiento. Catalogo con las propiedades y caracteristicas de cada especie.
VERA Hilda 998 soft</v>
      </c>
      <c r="J596" s="213">
        <f>IFERROR(__xludf.DUMMYFUNCTION("""COMPUTED_VALUE"""),3.0)</f>
        <v>3</v>
      </c>
      <c r="K596" s="213" t="str">
        <f>IFERROR(__xludf.DUMMYFUNCTION("""COMPUTED_VALUE"""),"90 DÍAS CALENDARIO")</f>
        <v>90 DÍAS CALENDARIO</v>
      </c>
      <c r="L596" s="213" t="str">
        <f>IFERROR(__xludf.DUMMYFUNCTION("""COMPUTED_VALUE"""),"")</f>
        <v/>
      </c>
      <c r="M596" s="213">
        <f>IFERROR(__xludf.DUMMYFUNCTION("""COMPUTED_VALUE"""),1.0)</f>
        <v>1</v>
      </c>
      <c r="N596" s="213">
        <f>IFERROR(__xludf.DUMMYFUNCTION("""COMPUTED_VALUE"""),4.0)</f>
        <v>4</v>
      </c>
      <c r="O596" s="213">
        <f>IFERROR(__xludf.DUMMYFUNCTION("""COMPUTED_VALUE"""),4.0)</f>
        <v>4</v>
      </c>
      <c r="P596" s="213"/>
      <c r="Q596" s="213"/>
      <c r="R596" s="213" t="str">
        <f>IFERROR(__xludf.DUMMYFUNCTION("""COMPUTED_VALUE"""),"SI")</f>
        <v>SI</v>
      </c>
      <c r="S596" s="213"/>
      <c r="T596" s="213" t="str">
        <f>IFERROR(__xludf.DUMMYFUNCTION("""COMPUTED_VALUE"""),"CONSULTA FINAL")</f>
        <v>CONSULTA FINAL</v>
      </c>
      <c r="U596" s="213" t="str">
        <f>IFERROR(__xludf.DUMMYFUNCTION("""COMPUTED_VALUE"""),"NO")</f>
        <v>NO</v>
      </c>
      <c r="V596" s="213" t="str">
        <f>IFERROR(__xludf.DUMMYFUNCTION("""COMPUTED_VALUE"""),"SUSTENTO")</f>
        <v>SUSTENTO</v>
      </c>
      <c r="W596" s="213" t="str">
        <f>IFERROR(__xludf.DUMMYFUNCTION("""COMPUTED_VALUE"""),"EQU TEC")</f>
        <v>EQU TEC</v>
      </c>
      <c r="X596" s="213" t="str">
        <f>IFERROR(__xludf.DUMMYFUNCTION("""COMPUTED_VALUE"""),"MADEREA")</f>
        <v>MADEREA</v>
      </c>
      <c r="Y596" s="213" t="str">
        <f>IFERROR(__xludf.DUMMYFUNCTION("""COMPUTED_VALUE"""),"MADEREA")</f>
        <v>MADEREA</v>
      </c>
      <c r="Z596" s="215" t="str">
        <f>IFERROR(__xludf.DUMMYFUNCTION("""COMPUTED_VALUE"""),"https://www.maderea.es/tipos-de-tablero-de-madera-y-diferencias-clases-de-servicio-y-clases-de-uso/")</f>
        <v>https://www.maderea.es/tipos-de-tablero-de-madera-y-diferencias-clases-de-servicio-y-clases-de-uso/</v>
      </c>
      <c r="AA596" s="213" t="str">
        <f>IFERROR(__xludf.DUMMYFUNCTION("""COMPUTED_VALUE"""),"COM-243 MUESTRARIO DE TABLEROS PREFABRICADOS - CET")</f>
        <v>COM-243 MUESTRARIO DE TABLEROS PREFABRICADOS - CET</v>
      </c>
      <c r="AB596" s="213"/>
      <c r="AC596" s="213"/>
      <c r="AD596" s="213"/>
      <c r="AE596" s="213"/>
      <c r="AF596" s="213"/>
      <c r="AG596" s="213"/>
      <c r="AH596" s="213"/>
      <c r="AI596" s="213"/>
      <c r="AJ596" s="213"/>
      <c r="AK596" s="213"/>
      <c r="AL596" s="213"/>
      <c r="AM596" s="213"/>
      <c r="AN596" s="213"/>
      <c r="AO596" s="213"/>
      <c r="AP596" s="213" t="str">
        <f>IFERROR(__xludf.DUMMYFUNCTION("""COMPUTED_VALUE"""),"SEBASTIAN")</f>
        <v>SEBASTIAN</v>
      </c>
      <c r="AQ596" s="213"/>
      <c r="AR596" s="213"/>
      <c r="AS596" s="213"/>
      <c r="AT596" s="213"/>
      <c r="AU596" s="213"/>
      <c r="AV596" s="213"/>
      <c r="AW596" s="213"/>
      <c r="AX596" s="213"/>
      <c r="AY596" s="213"/>
      <c r="AZ596" s="213"/>
      <c r="BA596" s="213"/>
      <c r="BB596" s="213"/>
      <c r="BC596" s="213"/>
      <c r="BD596" s="213"/>
    </row>
    <row r="597">
      <c r="A597" s="213">
        <f>IFERROR(__xludf.DUMMYFUNCTION("""COMPUTED_VALUE"""),1780.0)</f>
        <v>1780</v>
      </c>
      <c r="B597" s="213" t="str">
        <f>IFERROR(__xludf.DUMMYFUNCTION("""COMPUTED_VALUE"""),"GUILLERMO E. BILLINGHURST ")</f>
        <v>GUILLERMO E. BILLINGHURST </v>
      </c>
      <c r="C597" s="213" t="str">
        <f>IFERROR(__xludf.DUMMYFUNCTION("""COMPUTED_VALUE"""),"TALLER SFT DE EBANISTERÍA")</f>
        <v>TALLER SFT DE EBANISTERÍA</v>
      </c>
      <c r="D597" s="213" t="str">
        <f>IFERROR(__xludf.DUMMYFUNCTION("""COMPUTED_VALUE"""),"HERRAMIENTAS")</f>
        <v>HERRAMIENTAS</v>
      </c>
      <c r="E597" s="213" t="str">
        <f>IFERROR(__xludf.DUMMYFUNCTION("""COMPUTED_VALUE"""),"COM-244")</f>
        <v>COM-244</v>
      </c>
      <c r="F597" s="213" t="str">
        <f>IFERROR(__xludf.DUMMYFUNCTION("""COMPUTED_VALUE"""),"COM-244")</f>
        <v>COM-244</v>
      </c>
      <c r="G597" s="213"/>
      <c r="H597" s="213" t="str">
        <f>IFERROR(__xludf.DUMMYFUNCTION("""COMPUTED_VALUE"""),"MUESTRARIO DE TAPACANTOS")</f>
        <v>MUESTRARIO DE TAPACANTOS</v>
      </c>
      <c r="I597" s="213" t="str">
        <f>IFERROR(__xludf.DUMMYFUNCTION("""COMPUTED_VALUE"""),"Muestrario de tapacantos melaminicos y de PVC. Espesor: 0.5 mm (delgado) y 3 mm (grueso) Ancho: 22 mm.")</f>
        <v>Muestrario de tapacantos melaminicos y de PVC. Espesor: 0.5 mm (delgado) y 3 mm (grueso) Ancho: 22 mm.</v>
      </c>
      <c r="J597" s="213">
        <f>IFERROR(__xludf.DUMMYFUNCTION("""COMPUTED_VALUE"""),3.0)</f>
        <v>3</v>
      </c>
      <c r="K597" s="213" t="str">
        <f>IFERROR(__xludf.DUMMYFUNCTION("""COMPUTED_VALUE"""),"90 DÍAS CALENDARIO")</f>
        <v>90 DÍAS CALENDARIO</v>
      </c>
      <c r="L597" s="213" t="str">
        <f>IFERROR(__xludf.DUMMYFUNCTION("""COMPUTED_VALUE"""),"")</f>
        <v/>
      </c>
      <c r="M597" s="213">
        <f>IFERROR(__xludf.DUMMYFUNCTION("""COMPUTED_VALUE"""),1.0)</f>
        <v>1</v>
      </c>
      <c r="N597" s="213">
        <f>IFERROR(__xludf.DUMMYFUNCTION("""COMPUTED_VALUE"""),4.0)</f>
        <v>4</v>
      </c>
      <c r="O597" s="213">
        <f>IFERROR(__xludf.DUMMYFUNCTION("""COMPUTED_VALUE"""),4.0)</f>
        <v>4</v>
      </c>
      <c r="P597" s="213"/>
      <c r="Q597" s="213"/>
      <c r="R597" s="213" t="str">
        <f>IFERROR(__xludf.DUMMYFUNCTION("""COMPUTED_VALUE"""),"SI")</f>
        <v>SI</v>
      </c>
      <c r="S597" s="213"/>
      <c r="T597" s="213" t="str">
        <f>IFERROR(__xludf.DUMMYFUNCTION("""COMPUTED_VALUE"""),"SI")</f>
        <v>SI</v>
      </c>
      <c r="U597" s="213" t="str">
        <f>IFERROR(__xludf.DUMMYFUNCTION("""COMPUTED_VALUE"""),"SI")</f>
        <v>SI</v>
      </c>
      <c r="V597" s="213" t="str">
        <f>IFERROR(__xludf.DUMMYFUNCTION("""COMPUTED_VALUE"""),"-")</f>
        <v>-</v>
      </c>
      <c r="W597" s="213" t="str">
        <f>IFERROR(__xludf.DUMMYFUNCTION("""COMPUTED_VALUE"""),"-")</f>
        <v>-</v>
      </c>
      <c r="X597" s="213" t="str">
        <f>IFERROR(__xludf.DUMMYFUNCTION("""COMPUTED_VALUE"""),"MELAMINA PERU ")</f>
        <v>MELAMINA PERU </v>
      </c>
      <c r="Y597" s="213" t="str">
        <f>IFERROR(__xludf.DUMMYFUNCTION("""COMPUTED_VALUE"""),"PVC")</f>
        <v>PVC</v>
      </c>
      <c r="Z597" s="215" t="str">
        <f>IFERROR(__xludf.DUMMYFUNCTION("""COMPUTED_VALUE"""),"https://melaminaperu.com/tapacanto-para-melamina/")</f>
        <v>https://melaminaperu.com/tapacanto-para-melamina/</v>
      </c>
      <c r="AA597" s="213" t="str">
        <f>IFERROR(__xludf.DUMMYFUNCTION("""COMPUTED_VALUE"""),"COM-244 MUESTRARIO DE TAPACANTOS - CET")</f>
        <v>COM-244 MUESTRARIO DE TAPACANTOS - CET</v>
      </c>
      <c r="AB597" s="213"/>
      <c r="AC597" s="213"/>
      <c r="AD597" s="213"/>
      <c r="AE597" s="213"/>
      <c r="AF597" s="213"/>
      <c r="AG597" s="213"/>
      <c r="AH597" s="213"/>
      <c r="AI597" s="213"/>
      <c r="AJ597" s="213"/>
      <c r="AK597" s="213"/>
      <c r="AL597" s="213"/>
      <c r="AM597" s="213"/>
      <c r="AN597" s="213"/>
      <c r="AO597" s="213"/>
      <c r="AP597" s="213" t="str">
        <f>IFERROR(__xludf.DUMMYFUNCTION("""COMPUTED_VALUE"""),"SEBASTIAN")</f>
        <v>SEBASTIAN</v>
      </c>
      <c r="AQ597" s="213"/>
      <c r="AR597" s="213"/>
      <c r="AS597" s="213"/>
      <c r="AT597" s="213"/>
      <c r="AU597" s="213"/>
      <c r="AV597" s="213"/>
      <c r="AW597" s="213"/>
      <c r="AX597" s="213"/>
      <c r="AY597" s="213"/>
      <c r="AZ597" s="213"/>
      <c r="BA597" s="213"/>
      <c r="BB597" s="213"/>
      <c r="BC597" s="213"/>
      <c r="BD597" s="213"/>
    </row>
    <row r="598">
      <c r="A598" s="213">
        <f>IFERROR(__xludf.DUMMYFUNCTION("""COMPUTED_VALUE"""),2562.0)</f>
        <v>2562</v>
      </c>
      <c r="B598" s="213" t="str">
        <f>IFERROR(__xludf.DUMMYFUNCTION("""COMPUTED_VALUE"""),"MANUEL ANTONIO MESONES MURO")</f>
        <v>MANUEL ANTONIO MESONES MURO</v>
      </c>
      <c r="C598" s="213" t="str">
        <f>IFERROR(__xludf.DUMMYFUNCTION("""COMPUTED_VALUE"""),"TALLER SFT DE EBANISTERÍA")</f>
        <v>TALLER SFT DE EBANISTERÍA</v>
      </c>
      <c r="D598" s="213" t="str">
        <f>IFERROR(__xludf.DUMMYFUNCTION("""COMPUTED_VALUE"""),"HERRAMIENTAS")</f>
        <v>HERRAMIENTAS</v>
      </c>
      <c r="E598" s="213" t="str">
        <f>IFERROR(__xludf.DUMMYFUNCTION("""COMPUTED_VALUE"""),"COM-244")</f>
        <v>COM-244</v>
      </c>
      <c r="F598" s="213" t="str">
        <f>IFERROR(__xludf.DUMMYFUNCTION("""COMPUTED_VALUE"""),"COM-244")</f>
        <v>COM-244</v>
      </c>
      <c r="G598" s="213"/>
      <c r="H598" s="213" t="str">
        <f>IFERROR(__xludf.DUMMYFUNCTION("""COMPUTED_VALUE"""),"MUESTRARIO DE TAPACANTOS")</f>
        <v>MUESTRARIO DE TAPACANTOS</v>
      </c>
      <c r="I598" s="213" t="str">
        <f>IFERROR(__xludf.DUMMYFUNCTION("""COMPUTED_VALUE"""),"Muestrario de tapacantos melaminicos y de PVC. Espesor: 0.5 mm (delgado) y 3 mm (grueso) Ancho: 22 mm.")</f>
        <v>Muestrario de tapacantos melaminicos y de PVC. Espesor: 0.5 mm (delgado) y 3 mm (grueso) Ancho: 22 mm.</v>
      </c>
      <c r="J598" s="213">
        <f>IFERROR(__xludf.DUMMYFUNCTION("""COMPUTED_VALUE"""),3.0)</f>
        <v>3</v>
      </c>
      <c r="K598" s="213" t="str">
        <f>IFERROR(__xludf.DUMMYFUNCTION("""COMPUTED_VALUE"""),"90 DÍAS CALENDARIO")</f>
        <v>90 DÍAS CALENDARIO</v>
      </c>
      <c r="L598" s="213" t="str">
        <f>IFERROR(__xludf.DUMMYFUNCTION("""COMPUTED_VALUE"""),"")</f>
        <v/>
      </c>
      <c r="M598" s="213">
        <f>IFERROR(__xludf.DUMMYFUNCTION("""COMPUTED_VALUE"""),1.0)</f>
        <v>1</v>
      </c>
      <c r="N598" s="213">
        <f>IFERROR(__xludf.DUMMYFUNCTION("""COMPUTED_VALUE"""),4.0)</f>
        <v>4</v>
      </c>
      <c r="O598" s="213">
        <f>IFERROR(__xludf.DUMMYFUNCTION("""COMPUTED_VALUE"""),4.0)</f>
        <v>4</v>
      </c>
      <c r="P598" s="213"/>
      <c r="Q598" s="213"/>
      <c r="R598" s="213" t="str">
        <f>IFERROR(__xludf.DUMMYFUNCTION("""COMPUTED_VALUE"""),"SI")</f>
        <v>SI</v>
      </c>
      <c r="S598" s="213"/>
      <c r="T598" s="213" t="str">
        <f>IFERROR(__xludf.DUMMYFUNCTION("""COMPUTED_VALUE"""),"SI")</f>
        <v>SI</v>
      </c>
      <c r="U598" s="213" t="str">
        <f>IFERROR(__xludf.DUMMYFUNCTION("""COMPUTED_VALUE"""),"SI")</f>
        <v>SI</v>
      </c>
      <c r="V598" s="213" t="str">
        <f>IFERROR(__xludf.DUMMYFUNCTION("""COMPUTED_VALUE"""),"-")</f>
        <v>-</v>
      </c>
      <c r="W598" s="213" t="str">
        <f>IFERROR(__xludf.DUMMYFUNCTION("""COMPUTED_VALUE"""),"-")</f>
        <v>-</v>
      </c>
      <c r="X598" s="213" t="str">
        <f>IFERROR(__xludf.DUMMYFUNCTION("""COMPUTED_VALUE"""),"MELAMINA PERU ")</f>
        <v>MELAMINA PERU </v>
      </c>
      <c r="Y598" s="213" t="str">
        <f>IFERROR(__xludf.DUMMYFUNCTION("""COMPUTED_VALUE"""),"PVC")</f>
        <v>PVC</v>
      </c>
      <c r="Z598" s="215" t="str">
        <f>IFERROR(__xludf.DUMMYFUNCTION("""COMPUTED_VALUE"""),"https://melaminaperu.com/tapacanto-para-melamina/")</f>
        <v>https://melaminaperu.com/tapacanto-para-melamina/</v>
      </c>
      <c r="AA598" s="213" t="str">
        <f>IFERROR(__xludf.DUMMYFUNCTION("""COMPUTED_VALUE"""),"COM-244 MUESTRARIO DE TAPACANTOS - CET")</f>
        <v>COM-244 MUESTRARIO DE TAPACANTOS - CET</v>
      </c>
      <c r="AB598" s="213"/>
      <c r="AC598" s="213"/>
      <c r="AD598" s="213"/>
      <c r="AE598" s="213"/>
      <c r="AF598" s="213"/>
      <c r="AG598" s="213"/>
      <c r="AH598" s="213"/>
      <c r="AI598" s="213"/>
      <c r="AJ598" s="213"/>
      <c r="AK598" s="213"/>
      <c r="AL598" s="213"/>
      <c r="AM598" s="213"/>
      <c r="AN598" s="213"/>
      <c r="AO598" s="213"/>
      <c r="AP598" s="213" t="str">
        <f>IFERROR(__xludf.DUMMYFUNCTION("""COMPUTED_VALUE"""),"SEBASTIAN")</f>
        <v>SEBASTIAN</v>
      </c>
      <c r="AQ598" s="213"/>
      <c r="AR598" s="213"/>
      <c r="AS598" s="213"/>
      <c r="AT598" s="213"/>
      <c r="AU598" s="213"/>
      <c r="AV598" s="213"/>
      <c r="AW598" s="213"/>
      <c r="AX598" s="213"/>
      <c r="AY598" s="213"/>
      <c r="AZ598" s="213"/>
      <c r="BA598" s="213"/>
      <c r="BB598" s="213"/>
      <c r="BC598" s="213"/>
      <c r="BD598" s="213"/>
    </row>
    <row r="599">
      <c r="A599" s="213">
        <f>IFERROR(__xludf.DUMMYFUNCTION("""COMPUTED_VALUE"""),2463.0)</f>
        <v>2463</v>
      </c>
      <c r="B599" s="213" t="str">
        <f>IFERROR(__xludf.DUMMYFUNCTION("""COMPUTED_VALUE"""),"MANUEL ANTONIO MESONES MURO")</f>
        <v>MANUEL ANTONIO MESONES MURO</v>
      </c>
      <c r="C599" s="213" t="str">
        <f>IFERROR(__xludf.DUMMYFUNCTION("""COMPUTED_VALUE"""),"TALLER SFT DE CONSTRUCCIONES METÁLICAS")</f>
        <v>TALLER SFT DE CONSTRUCCIONES METÁLICAS</v>
      </c>
      <c r="D599" s="213" t="str">
        <f>IFERROR(__xludf.DUMMYFUNCTION("""COMPUTED_VALUE"""),"MOBILIARIO")</f>
        <v>MOBILIARIO</v>
      </c>
      <c r="E599" s="213" t="str">
        <f>IFERROR(__xludf.DUMMYFUNCTION("""COMPUTED_VALUE"""),"MOB-115")</f>
        <v>MOB-115</v>
      </c>
      <c r="F599" s="213" t="str">
        <f>IFERROR(__xludf.DUMMYFUNCTION("""COMPUTED_VALUE"""),"MOB-115")</f>
        <v>MOB-115</v>
      </c>
      <c r="G599" s="213"/>
      <c r="H599" s="213" t="str">
        <f>IFERROR(__xludf.DUMMYFUNCTION("""COMPUTED_VALUE"""),"ESCRITORIO RODABLE DOCENTE")</f>
        <v>ESCRITORIO RODABLE DOCENTE</v>
      </c>
      <c r="I599" s="213"/>
      <c r="J599" s="213">
        <f>IFERROR(__xludf.DUMMYFUNCTION("""COMPUTED_VALUE"""),3.0)</f>
        <v>3</v>
      </c>
      <c r="K599" s="213" t="str">
        <f>IFERROR(__xludf.DUMMYFUNCTION("""COMPUTED_VALUE"""),"90 DÍAS CALENDARIO")</f>
        <v>90 DÍAS CALENDARIO</v>
      </c>
      <c r="L599" s="213" t="str">
        <f>IFERROR(__xludf.DUMMYFUNCTION("""COMPUTED_VALUE"""),"")</f>
        <v/>
      </c>
      <c r="M599" s="213">
        <f>IFERROR(__xludf.DUMMYFUNCTION("""COMPUTED_VALUE"""),1.0)</f>
        <v>1</v>
      </c>
      <c r="N599" s="213">
        <f>IFERROR(__xludf.DUMMYFUNCTION("""COMPUTED_VALUE"""),1.0)</f>
        <v>1</v>
      </c>
      <c r="O599" s="213">
        <f>IFERROR(__xludf.DUMMYFUNCTION("""COMPUTED_VALUE"""),1.0)</f>
        <v>1</v>
      </c>
      <c r="P599" s="213"/>
      <c r="Q599" s="213"/>
      <c r="R599" s="213"/>
      <c r="S599" s="213"/>
      <c r="T599" s="213"/>
      <c r="U599" s="213"/>
      <c r="V599" s="213"/>
      <c r="W599" s="213"/>
      <c r="X599" s="213"/>
      <c r="Y599" s="213"/>
      <c r="Z599" s="213"/>
      <c r="AA599" s="213"/>
      <c r="AB599" s="213"/>
      <c r="AC599" s="213"/>
      <c r="AD599" s="213"/>
      <c r="AE599" s="213"/>
      <c r="AF599" s="213"/>
      <c r="AG599" s="213"/>
      <c r="AH599" s="213"/>
      <c r="AI599" s="213"/>
      <c r="AJ599" s="213"/>
      <c r="AK599" s="213"/>
      <c r="AL599" s="213"/>
      <c r="AM599" s="213"/>
      <c r="AN599" s="213"/>
      <c r="AO599" s="213"/>
      <c r="AP599" s="213"/>
      <c r="AQ599" s="213"/>
      <c r="AR599" s="213"/>
      <c r="AS599" s="213"/>
      <c r="AT599" s="213"/>
      <c r="AU599" s="213"/>
      <c r="AV599" s="213"/>
      <c r="AW599" s="213"/>
      <c r="AX599" s="213"/>
      <c r="AY599" s="213"/>
      <c r="AZ599" s="213"/>
      <c r="BA599" s="213"/>
      <c r="BB599" s="213"/>
      <c r="BC599" s="213"/>
      <c r="BD599" s="213"/>
    </row>
    <row r="600">
      <c r="A600" s="213">
        <f>IFERROR(__xludf.DUMMYFUNCTION("""COMPUTED_VALUE"""),1790.0)</f>
        <v>1790</v>
      </c>
      <c r="B600" s="213" t="str">
        <f>IFERROR(__xludf.DUMMYFUNCTION("""COMPUTED_VALUE"""),"GUILLERMO E. BILLINGHURST ")</f>
        <v>GUILLERMO E. BILLINGHURST </v>
      </c>
      <c r="C600" s="213" t="str">
        <f>IFERROR(__xludf.DUMMYFUNCTION("""COMPUTED_VALUE"""),"TALLER SFT DE EBANISTERÍA")</f>
        <v>TALLER SFT DE EBANISTERÍA</v>
      </c>
      <c r="D600" s="213" t="str">
        <f>IFERROR(__xludf.DUMMYFUNCTION("""COMPUTED_VALUE"""),"HERRAMIENTAS")</f>
        <v>HERRAMIENTAS</v>
      </c>
      <c r="E600" s="213" t="str">
        <f>IFERROR(__xludf.DUMMYFUNCTION("""COMPUTED_VALUE"""),"COM-246")</f>
        <v>COM-246</v>
      </c>
      <c r="F600" s="213" t="str">
        <f>IFERROR(__xludf.DUMMYFUNCTION("""COMPUTED_VALUE"""),"COM-246")</f>
        <v>COM-246</v>
      </c>
      <c r="G600" s="213"/>
      <c r="H600" s="213" t="str">
        <f>IFERROR(__xludf.DUMMYFUNCTION("""COMPUTED_VALUE"""),"NIVEL DE NIVELACIÓN Y MEDICIÓN DE ÁNGULOS DIGITAL")</f>
        <v>NIVEL DE NIVELACIÓN Y MEDICIÓN DE ÁNGULOS DIGITAL</v>
      </c>
      <c r="I600" s="213" t="str">
        <f>IFERROR(__xludf.DUMMYFUNCTION("""COMPUTED_VALUE"""),"Margen de medición, entre: 0 - 220°grados. Precisión de medida, ángulo: + 0,1° grados. Longitud mínimo: 40 cm.
Lectura por medio de display.")</f>
        <v>Margen de medición, entre: 0 - 220°grados. Precisión de medida, ángulo: + 0,1° grados. Longitud mínimo: 40 cm.
Lectura por medio de display.</v>
      </c>
      <c r="J600" s="213">
        <f>IFERROR(__xludf.DUMMYFUNCTION("""COMPUTED_VALUE"""),3.0)</f>
        <v>3</v>
      </c>
      <c r="K600" s="213" t="str">
        <f>IFERROR(__xludf.DUMMYFUNCTION("""COMPUTED_VALUE"""),"90 DÍAS CALENDARIO")</f>
        <v>90 DÍAS CALENDARIO</v>
      </c>
      <c r="L600" s="213" t="str">
        <f>IFERROR(__xludf.DUMMYFUNCTION("""COMPUTED_VALUE"""),"")</f>
        <v/>
      </c>
      <c r="M600" s="213">
        <f>IFERROR(__xludf.DUMMYFUNCTION("""COMPUTED_VALUE"""),1.0)</f>
        <v>1</v>
      </c>
      <c r="N600" s="213">
        <f>IFERROR(__xludf.DUMMYFUNCTION("""COMPUTED_VALUE"""),4.0)</f>
        <v>4</v>
      </c>
      <c r="O600" s="213">
        <f>IFERROR(__xludf.DUMMYFUNCTION("""COMPUTED_VALUE"""),4.0)</f>
        <v>4</v>
      </c>
      <c r="P600" s="213"/>
      <c r="Q600" s="213"/>
      <c r="R600" s="213" t="str">
        <f>IFERROR(__xludf.DUMMYFUNCTION("""COMPUTED_VALUE"""),"SI")</f>
        <v>SI</v>
      </c>
      <c r="S600" s="213"/>
      <c r="T600" s="213" t="str">
        <f>IFERROR(__xludf.DUMMYFUNCTION("""COMPUTED_VALUE"""),"SI")</f>
        <v>SI</v>
      </c>
      <c r="U600" s="213" t="str">
        <f>IFERROR(__xludf.DUMMYFUNCTION("""COMPUTED_VALUE"""),"SI")</f>
        <v>SI</v>
      </c>
      <c r="V600" s="213" t="str">
        <f>IFERROR(__xludf.DUMMYFUNCTION("""COMPUTED_VALUE"""),"-")</f>
        <v>-</v>
      </c>
      <c r="W600" s="213" t="str">
        <f>IFERROR(__xludf.DUMMYFUNCTION("""COMPUTED_VALUE"""),"-")</f>
        <v>-</v>
      </c>
      <c r="X600" s="213" t="str">
        <f>IFERROR(__xludf.DUMMYFUNCTION("""COMPUTED_VALUE"""),"BOSCH")</f>
        <v>BOSCH</v>
      </c>
      <c r="Y600" s="213" t="str">
        <f>IFERROR(__xludf.DUMMYFUNCTION("""COMPUTED_VALUE"""),"GAM 220 MF")</f>
        <v>GAM 220 MF</v>
      </c>
      <c r="Z600" s="215" t="str">
        <f>IFERROR(__xludf.DUMMYFUNCTION("""COMPUTED_VALUE"""),"https://www.plazavea.com.pe/medidor-de-angulos-bosch-gam-220-mf-101376464/p?gclsrc=aw.ds&amp;gad_source=1&amp;gad_campaignid=22403266061&amp;gbraid=0AAAAAqXj2Lpfnd6JpmOx6JThZB7KPUFi6&amp;gclid=CjwKCAjwup3HBhAAEiwA7euZumam8kcQ1iRZrsmfFukh4bx-BWQQbG_nMh7nCD8RCwgZaG0hjaP0Dx"&amp;"oCY5wQAvD_BwE")</f>
        <v>https://www.plazavea.com.pe/medidor-de-angulos-bosch-gam-220-mf-101376464/p?gclsrc=aw.ds&amp;gad_source=1&amp;gad_campaignid=22403266061&amp;gbraid=0AAAAAqXj2Lpfnd6JpmOx6JThZB7KPUFi6&amp;gclid=CjwKCAjwup3HBhAAEiwA7euZumam8kcQ1iRZrsmfFukh4bx-BWQQbG_nMh7nCD8RCwgZaG0hjaP0DxoCY5wQAvD_BwE</v>
      </c>
      <c r="AA600" s="213" t="str">
        <f>IFERROR(__xludf.DUMMYFUNCTION("""COMPUTED_VALUE"""),"COM-246 NIVEL DE NIVELACIÓN Y MEDICIÓN DE ÁNGULOS DIGITAL - CET")</f>
        <v>COM-246 NIVEL DE NIVELACIÓN Y MEDICIÓN DE ÁNGULOS DIGITAL - CET</v>
      </c>
      <c r="AB600" s="213"/>
      <c r="AC600" s="213"/>
      <c r="AD600" s="213"/>
      <c r="AE600" s="213"/>
      <c r="AF600" s="213"/>
      <c r="AG600" s="213"/>
      <c r="AH600" s="213"/>
      <c r="AI600" s="213"/>
      <c r="AJ600" s="213"/>
      <c r="AK600" s="213"/>
      <c r="AL600" s="213"/>
      <c r="AM600" s="213"/>
      <c r="AN600" s="213"/>
      <c r="AO600" s="213"/>
      <c r="AP600" s="213" t="str">
        <f>IFERROR(__xludf.DUMMYFUNCTION("""COMPUTED_VALUE"""),"SEBASTIAN")</f>
        <v>SEBASTIAN</v>
      </c>
      <c r="AQ600" s="213"/>
      <c r="AR600" s="213"/>
      <c r="AS600" s="213"/>
      <c r="AT600" s="213"/>
      <c r="AU600" s="213"/>
      <c r="AV600" s="213"/>
      <c r="AW600" s="213"/>
      <c r="AX600" s="213"/>
      <c r="AY600" s="213"/>
      <c r="AZ600" s="213"/>
      <c r="BA600" s="213"/>
      <c r="BB600" s="213"/>
      <c r="BC600" s="213"/>
      <c r="BD600" s="213"/>
    </row>
    <row r="601">
      <c r="A601" s="213">
        <f>IFERROR(__xludf.DUMMYFUNCTION("""COMPUTED_VALUE"""),2572.0)</f>
        <v>2572</v>
      </c>
      <c r="B601" s="213" t="str">
        <f>IFERROR(__xludf.DUMMYFUNCTION("""COMPUTED_VALUE"""),"MANUEL ANTONIO MESONES MURO")</f>
        <v>MANUEL ANTONIO MESONES MURO</v>
      </c>
      <c r="C601" s="213" t="str">
        <f>IFERROR(__xludf.DUMMYFUNCTION("""COMPUTED_VALUE"""),"TALLER SFT DE EBANISTERÍA")</f>
        <v>TALLER SFT DE EBANISTERÍA</v>
      </c>
      <c r="D601" s="213" t="str">
        <f>IFERROR(__xludf.DUMMYFUNCTION("""COMPUTED_VALUE"""),"HERRAMIENTAS")</f>
        <v>HERRAMIENTAS</v>
      </c>
      <c r="E601" s="213" t="str">
        <f>IFERROR(__xludf.DUMMYFUNCTION("""COMPUTED_VALUE"""),"COM-246")</f>
        <v>COM-246</v>
      </c>
      <c r="F601" s="213" t="str">
        <f>IFERROR(__xludf.DUMMYFUNCTION("""COMPUTED_VALUE"""),"COM-246")</f>
        <v>COM-246</v>
      </c>
      <c r="G601" s="213"/>
      <c r="H601" s="213" t="str">
        <f>IFERROR(__xludf.DUMMYFUNCTION("""COMPUTED_VALUE"""),"NIVEL DE NIVELACIÓN Y MEDICIÓN DE ÁNGULOS DIGITAL")</f>
        <v>NIVEL DE NIVELACIÓN Y MEDICIÓN DE ÁNGULOS DIGITAL</v>
      </c>
      <c r="I601" s="213" t="str">
        <f>IFERROR(__xludf.DUMMYFUNCTION("""COMPUTED_VALUE"""),"Margen de medición, entre: 0 - 220°grados. Precisión de medida, ángulo: + 0,1° grados. Longitud mínimo: 40 cm.
Lectura por medio de display.")</f>
        <v>Margen de medición, entre: 0 - 220°grados. Precisión de medida, ángulo: + 0,1° grados. Longitud mínimo: 40 cm.
Lectura por medio de display.</v>
      </c>
      <c r="J601" s="213">
        <f>IFERROR(__xludf.DUMMYFUNCTION("""COMPUTED_VALUE"""),3.0)</f>
        <v>3</v>
      </c>
      <c r="K601" s="213" t="str">
        <f>IFERROR(__xludf.DUMMYFUNCTION("""COMPUTED_VALUE"""),"90 DÍAS CALENDARIO")</f>
        <v>90 DÍAS CALENDARIO</v>
      </c>
      <c r="L601" s="213" t="str">
        <f>IFERROR(__xludf.DUMMYFUNCTION("""COMPUTED_VALUE"""),"")</f>
        <v/>
      </c>
      <c r="M601" s="213">
        <f>IFERROR(__xludf.DUMMYFUNCTION("""COMPUTED_VALUE"""),1.0)</f>
        <v>1</v>
      </c>
      <c r="N601" s="213">
        <f>IFERROR(__xludf.DUMMYFUNCTION("""COMPUTED_VALUE"""),4.0)</f>
        <v>4</v>
      </c>
      <c r="O601" s="213">
        <f>IFERROR(__xludf.DUMMYFUNCTION("""COMPUTED_VALUE"""),4.0)</f>
        <v>4</v>
      </c>
      <c r="P601" s="213"/>
      <c r="Q601" s="213"/>
      <c r="R601" s="213" t="str">
        <f>IFERROR(__xludf.DUMMYFUNCTION("""COMPUTED_VALUE"""),"SI")</f>
        <v>SI</v>
      </c>
      <c r="S601" s="213"/>
      <c r="T601" s="213" t="str">
        <f>IFERROR(__xludf.DUMMYFUNCTION("""COMPUTED_VALUE"""),"SI")</f>
        <v>SI</v>
      </c>
      <c r="U601" s="213" t="str">
        <f>IFERROR(__xludf.DUMMYFUNCTION("""COMPUTED_VALUE"""),"SI")</f>
        <v>SI</v>
      </c>
      <c r="V601" s="213" t="str">
        <f>IFERROR(__xludf.DUMMYFUNCTION("""COMPUTED_VALUE"""),"-")</f>
        <v>-</v>
      </c>
      <c r="W601" s="213" t="str">
        <f>IFERROR(__xludf.DUMMYFUNCTION("""COMPUTED_VALUE"""),"-")</f>
        <v>-</v>
      </c>
      <c r="X601" s="213" t="str">
        <f>IFERROR(__xludf.DUMMYFUNCTION("""COMPUTED_VALUE"""),"BOSCH")</f>
        <v>BOSCH</v>
      </c>
      <c r="Y601" s="213" t="str">
        <f>IFERROR(__xludf.DUMMYFUNCTION("""COMPUTED_VALUE"""),"GAM 220 MF")</f>
        <v>GAM 220 MF</v>
      </c>
      <c r="Z601" s="215" t="str">
        <f>IFERROR(__xludf.DUMMYFUNCTION("""COMPUTED_VALUE"""),"https://www.plazavea.com.pe/medidor-de-angulos-bosch-gam-220-mf-101376464/p?gclsrc=aw.ds&amp;gad_source=1&amp;gad_campaignid=22403266061&amp;gbraid=0AAAAAqXj2Lpfnd6JpmOx6JThZB7KPUFi6&amp;gclid=CjwKCAjwup3HBhAAEiwA7euZumam8kcQ1iRZrsmfFukh4bx-BWQQbG_nMh7nCD8RCwgZaG0hjaP0Dx"&amp;"oCY5wQAvD_BwE")</f>
        <v>https://www.plazavea.com.pe/medidor-de-angulos-bosch-gam-220-mf-101376464/p?gclsrc=aw.ds&amp;gad_source=1&amp;gad_campaignid=22403266061&amp;gbraid=0AAAAAqXj2Lpfnd6JpmOx6JThZB7KPUFi6&amp;gclid=CjwKCAjwup3HBhAAEiwA7euZumam8kcQ1iRZrsmfFukh4bx-BWQQbG_nMh7nCD8RCwgZaG0hjaP0DxoCY5wQAvD_BwE</v>
      </c>
      <c r="AA601" s="213" t="str">
        <f>IFERROR(__xludf.DUMMYFUNCTION("""COMPUTED_VALUE"""),"COM-246 NIVEL DE NIVELACIÓN Y MEDICIÓN DE ÁNGULOS DIGITAL - CET")</f>
        <v>COM-246 NIVEL DE NIVELACIÓN Y MEDICIÓN DE ÁNGULOS DIGITAL - CET</v>
      </c>
      <c r="AB601" s="213"/>
      <c r="AC601" s="213"/>
      <c r="AD601" s="213"/>
      <c r="AE601" s="213"/>
      <c r="AF601" s="213"/>
      <c r="AG601" s="213"/>
      <c r="AH601" s="213"/>
      <c r="AI601" s="213"/>
      <c r="AJ601" s="213"/>
      <c r="AK601" s="213"/>
      <c r="AL601" s="213"/>
      <c r="AM601" s="213"/>
      <c r="AN601" s="213"/>
      <c r="AO601" s="213"/>
      <c r="AP601" s="213" t="str">
        <f>IFERROR(__xludf.DUMMYFUNCTION("""COMPUTED_VALUE"""),"SEBASTIAN")</f>
        <v>SEBASTIAN</v>
      </c>
      <c r="AQ601" s="213"/>
      <c r="AR601" s="213"/>
      <c r="AS601" s="213"/>
      <c r="AT601" s="213"/>
      <c r="AU601" s="213"/>
      <c r="AV601" s="213"/>
      <c r="AW601" s="213"/>
      <c r="AX601" s="213"/>
      <c r="AY601" s="213"/>
      <c r="AZ601" s="213"/>
      <c r="BA601" s="213"/>
      <c r="BB601" s="213"/>
      <c r="BC601" s="213"/>
      <c r="BD601" s="213"/>
    </row>
    <row r="602">
      <c r="A602" s="213">
        <f>IFERROR(__xludf.DUMMYFUNCTION("""COMPUTED_VALUE"""),3.0)</f>
        <v>3</v>
      </c>
      <c r="B602" s="213" t="str">
        <f>IFERROR(__xludf.DUMMYFUNCTION("""COMPUTED_VALUE"""),"16449 ELOY SOBERON  FLORES")</f>
        <v>16449 ELOY SOBERON  FLORES</v>
      </c>
      <c r="C602" s="213" t="str">
        <f>IFERROR(__xludf.DUMMYFUNCTION("""COMPUTED_VALUE"""),"TALLER SFT DE COCINA Y REPOSTERÍA")</f>
        <v>TALLER SFT DE COCINA Y REPOSTERÍA</v>
      </c>
      <c r="D602" s="213" t="str">
        <f>IFERROR(__xludf.DUMMYFUNCTION("""COMPUTED_VALUE"""),"HERRAMIENTAS")</f>
        <v>HERRAMIENTAS</v>
      </c>
      <c r="E602" s="213" t="str">
        <f>IFERROR(__xludf.DUMMYFUNCTION("""COMPUTED_VALUE"""),"COM-250")</f>
        <v>COM-250</v>
      </c>
      <c r="F602" s="213" t="str">
        <f>IFERROR(__xludf.DUMMYFUNCTION("""COMPUTED_VALUE"""),"COM-250")</f>
        <v>COM-250</v>
      </c>
      <c r="G602" s="213"/>
      <c r="H602" s="213" t="str">
        <f>IFERROR(__xludf.DUMMYFUNCTION("""COMPUTED_VALUE"""),"PELADOR DE PAPA")</f>
        <v>PELADOR DE PAPA</v>
      </c>
      <c r="I602" s="213" t="str">
        <f>IFERROR(__xludf.DUMMYFUNCTION("""COMPUTED_VALUE"""),"· Capacidad mínima : 10 kg
· Producción: 5 - 7 min por cada 10 kg
· Material: Acero Inoxidable
· Dimensiones aproximadas: 60 cm x 40 cm x 77 cm
· Voltaje: 220 v/60hz
· Potencia mínima : 550 Watts
· Peso aproximado: 60 kg")</f>
        <v>· Capacidad mínima : 10 kg
· Producción: 5 - 7 min por cada 10 kg
· Material: Acero Inoxidable
· Dimensiones aproximadas: 60 cm x 40 cm x 77 cm
· Voltaje: 220 v/60hz
· Potencia mínima : 550 Watts
· Peso aproximado: 60 kg</v>
      </c>
      <c r="J602" s="213">
        <f>IFERROR(__xludf.DUMMYFUNCTION("""COMPUTED_VALUE"""),3.0)</f>
        <v>3</v>
      </c>
      <c r="K602" s="213" t="str">
        <f>IFERROR(__xludf.DUMMYFUNCTION("""COMPUTED_VALUE"""),"90 DÍAS CALENDARIO")</f>
        <v>90 DÍAS CALENDARIO</v>
      </c>
      <c r="L602" s="213" t="str">
        <f>IFERROR(__xludf.DUMMYFUNCTION("""COMPUTED_VALUE"""),"")</f>
        <v/>
      </c>
      <c r="M602" s="213">
        <f>IFERROR(__xludf.DUMMYFUNCTION("""COMPUTED_VALUE"""),1.0)</f>
        <v>1</v>
      </c>
      <c r="N602" s="213">
        <f>IFERROR(__xludf.DUMMYFUNCTION("""COMPUTED_VALUE"""),1.0)</f>
        <v>1</v>
      </c>
      <c r="O602" s="213">
        <f>IFERROR(__xludf.DUMMYFUNCTION("""COMPUTED_VALUE"""),1.0)</f>
        <v>1</v>
      </c>
      <c r="P602" s="213"/>
      <c r="Q602" s="213"/>
      <c r="R602" s="213" t="str">
        <f>IFERROR(__xludf.DUMMYFUNCTION("""COMPUTED_VALUE"""),"SI")</f>
        <v>SI</v>
      </c>
      <c r="S602" s="213"/>
      <c r="T602" s="213" t="str">
        <f>IFERROR(__xludf.DUMMYFUNCTION("""COMPUTED_VALUE"""),"SI")</f>
        <v>SI</v>
      </c>
      <c r="U602" s="213" t="str">
        <f>IFERROR(__xludf.DUMMYFUNCTION("""COMPUTED_VALUE"""),"SI")</f>
        <v>SI</v>
      </c>
      <c r="V602" s="213" t="str">
        <f>IFERROR(__xludf.DUMMYFUNCTION("""COMPUTED_VALUE"""),"-")</f>
        <v>-</v>
      </c>
      <c r="W602" s="213" t="str">
        <f>IFERROR(__xludf.DUMMYFUNCTION("""COMPUTED_VALUE"""),"-")</f>
        <v>-</v>
      </c>
      <c r="X602" s="213" t="str">
        <f>IFERROR(__xludf.DUMMYFUNCTION("""COMPUTED_VALUE"""),"Dakota")</f>
        <v>Dakota</v>
      </c>
      <c r="Y602" s="213" t="str">
        <f>IFERROR(__xludf.DUMMYFUNCTION("""COMPUTED_VALUE"""),"DK-15A")</f>
        <v>DK-15A</v>
      </c>
      <c r="Z602" s="215" t="str">
        <f>IFERROR(__xludf.DUMMYFUNCTION("""COMPUTED_VALUE"""),"https://www.electrogarline.com/maquinas-gastronomicas/gastronomia-hoteleria/peladoras-de-papa/peladora-de-papa-15-kg-acero-dakota.html?srsltid=AfmBOoonp1jVZiGkOFyhjb9NVVN7DzucMecWW8CIptR36Q3G0zilYBWy")</f>
        <v>https://www.electrogarline.com/maquinas-gastronomicas/gastronomia-hoteleria/peladoras-de-papa/peladora-de-papa-15-kg-acero-dakota.html?srsltid=AfmBOoonp1jVZiGkOFyhjb9NVVN7DzucMecWW8CIptR36Q3G0zilYBWy</v>
      </c>
      <c r="AA602" s="213" t="str">
        <f>IFERROR(__xludf.DUMMYFUNCTION("""COMPUTED_VALUE"""),"COM-250 PELADOR DE PAPA - CET")</f>
        <v>COM-250 PELADOR DE PAPA - CET</v>
      </c>
      <c r="AB602" s="213"/>
      <c r="AC602" s="213"/>
      <c r="AD602" s="213"/>
      <c r="AE602" s="213"/>
      <c r="AF602" s="213"/>
      <c r="AG602" s="213"/>
      <c r="AH602" s="213"/>
      <c r="AI602" s="213"/>
      <c r="AJ602" s="213"/>
      <c r="AK602" s="213"/>
      <c r="AL602" s="213"/>
      <c r="AM602" s="213"/>
      <c r="AN602" s="213"/>
      <c r="AO602" s="213"/>
      <c r="AP602" s="213" t="str">
        <f>IFERROR(__xludf.DUMMYFUNCTION("""COMPUTED_VALUE"""),"SEBASTIAN")</f>
        <v>SEBASTIAN</v>
      </c>
      <c r="AQ602" s="213"/>
      <c r="AR602" s="213"/>
      <c r="AS602" s="213"/>
      <c r="AT602" s="213"/>
      <c r="AU602" s="213"/>
      <c r="AV602" s="213"/>
      <c r="AW602" s="213"/>
      <c r="AX602" s="213"/>
      <c r="AY602" s="213"/>
      <c r="AZ602" s="213"/>
      <c r="BA602" s="213"/>
      <c r="BB602" s="213"/>
      <c r="BC602" s="213"/>
      <c r="BD602" s="213"/>
    </row>
    <row r="603">
      <c r="A603" s="213">
        <f>IFERROR(__xludf.DUMMYFUNCTION("""COMPUTED_VALUE"""),491.0)</f>
        <v>491</v>
      </c>
      <c r="B603" s="213" t="str">
        <f>IFERROR(__xludf.DUMMYFUNCTION("""COMPUTED_VALUE"""),"2026 SIMON BOLIVAR")</f>
        <v>2026 SIMON BOLIVAR</v>
      </c>
      <c r="C603" s="213" t="str">
        <f>IFERROR(__xludf.DUMMYFUNCTION("""COMPUTED_VALUE"""),"TALLER SFT DE INDUSTRIA ALIMENTARIA")</f>
        <v>TALLER SFT DE INDUSTRIA ALIMENTARIA</v>
      </c>
      <c r="D603" s="213" t="str">
        <f>IFERROR(__xludf.DUMMYFUNCTION("""COMPUTED_VALUE"""),"HERRAMIENTAS")</f>
        <v>HERRAMIENTAS</v>
      </c>
      <c r="E603" s="213" t="str">
        <f>IFERROR(__xludf.DUMMYFUNCTION("""COMPUTED_VALUE"""),"COM-251")</f>
        <v>COM-251</v>
      </c>
      <c r="F603" s="213" t="str">
        <f>IFERROR(__xludf.DUMMYFUNCTION("""COMPUTED_VALUE"""),"COM-251")</f>
        <v>COM-251</v>
      </c>
      <c r="G603" s="213"/>
      <c r="H603" s="213" t="str">
        <f>IFERROR(__xludf.DUMMYFUNCTION("""COMPUTED_VALUE"""),"PELADOR DE PIÑA ACERO INOXIDABLE CORTADOR REBANADOR FRUTA")</f>
        <v>PELADOR DE PIÑA ACERO INOXIDABLE CORTADOR REBANADOR FRUTA</v>
      </c>
      <c r="I603" s="213" t="str">
        <f>IFERROR(__xludf.DUMMYFUNCTION("""COMPUTED_VALUE"""),"· Pelador Cortador De Piña
· Material: Acero Inoxidable
· Tamaño aproximado:
- Alto 18cm
- Diámetro de la base: 8.5 cm
- Diámetro del tubo: 3 cm")</f>
        <v>· Pelador Cortador De Piña
· Material: Acero Inoxidable
· Tamaño aproximado:
- Alto 18cm
- Diámetro de la base: 8.5 cm
- Diámetro del tubo: 3 cm</v>
      </c>
      <c r="J603" s="213">
        <f>IFERROR(__xludf.DUMMYFUNCTION("""COMPUTED_VALUE"""),3.0)</f>
        <v>3</v>
      </c>
      <c r="K603" s="213" t="str">
        <f>IFERROR(__xludf.DUMMYFUNCTION("""COMPUTED_VALUE"""),"90 DÍAS CALENDARIO")</f>
        <v>90 DÍAS CALENDARIO</v>
      </c>
      <c r="L603" s="213" t="str">
        <f>IFERROR(__xludf.DUMMYFUNCTION("""COMPUTED_VALUE"""),"")</f>
        <v/>
      </c>
      <c r="M603" s="213">
        <f>IFERROR(__xludf.DUMMYFUNCTION("""COMPUTED_VALUE"""),1.0)</f>
        <v>1</v>
      </c>
      <c r="N603" s="213">
        <f>IFERROR(__xludf.DUMMYFUNCTION("""COMPUTED_VALUE"""),4.0)</f>
        <v>4</v>
      </c>
      <c r="O603" s="213">
        <f>IFERROR(__xludf.DUMMYFUNCTION("""COMPUTED_VALUE"""),4.0)</f>
        <v>4</v>
      </c>
      <c r="P603" s="213"/>
      <c r="Q603" s="213"/>
      <c r="R603" s="213" t="str">
        <f>IFERROR(__xludf.DUMMYFUNCTION("""COMPUTED_VALUE"""),"SI")</f>
        <v>SI</v>
      </c>
      <c r="S603" s="213"/>
      <c r="T603" s="213" t="str">
        <f>IFERROR(__xludf.DUMMYFUNCTION("""COMPUTED_VALUE"""),"SI")</f>
        <v>SI</v>
      </c>
      <c r="U603" s="213" t="str">
        <f>IFERROR(__xludf.DUMMYFUNCTION("""COMPUTED_VALUE"""),"SI")</f>
        <v>SI</v>
      </c>
      <c r="V603" s="213" t="str">
        <f>IFERROR(__xludf.DUMMYFUNCTION("""COMPUTED_VALUE"""),"-")</f>
        <v>-</v>
      </c>
      <c r="W603" s="213" t="str">
        <f>IFERROR(__xludf.DUMMYFUNCTION("""COMPUTED_VALUE"""),"-")</f>
        <v>-</v>
      </c>
      <c r="X603" s="213" t="str">
        <f>IFERROR(__xludf.DUMMYFUNCTION("""COMPUTED_VALUE"""),"GENERICO")</f>
        <v>GENERICO</v>
      </c>
      <c r="Y603" s="213" t="str">
        <f>IFERROR(__xludf.DUMMYFUNCTION("""COMPUTED_VALUE"""),"GENERICO")</f>
        <v>GENERICO</v>
      </c>
      <c r="Z603" s="215" t="str">
        <f>IFERROR(__xludf.DUMMYFUNCTION("""COMPUTED_VALUE"""),"https://drive.google.com/file/d/1Kr6yDzxqmHDgHm2SjAPF54FTitV7EFRL/view")</f>
        <v>https://drive.google.com/file/d/1Kr6yDzxqmHDgHm2SjAPF54FTitV7EFRL/view</v>
      </c>
      <c r="AA603" s="213" t="str">
        <f>IFERROR(__xludf.DUMMYFUNCTION("""COMPUTED_VALUE"""),"COM-251 PELADOR DE PIÑA ACERO INOXIDABLE CORTADOR REBANADOR FRUTA - CET")</f>
        <v>COM-251 PELADOR DE PIÑA ACERO INOXIDABLE CORTADOR REBANADOR FRUTA - CET</v>
      </c>
      <c r="AB603" s="213"/>
      <c r="AC603" s="213"/>
      <c r="AD603" s="213"/>
      <c r="AE603" s="213"/>
      <c r="AF603" s="213"/>
      <c r="AG603" s="213"/>
      <c r="AH603" s="213"/>
      <c r="AI603" s="213"/>
      <c r="AJ603" s="213"/>
      <c r="AK603" s="213"/>
      <c r="AL603" s="213"/>
      <c r="AM603" s="213"/>
      <c r="AN603" s="213"/>
      <c r="AO603" s="213"/>
      <c r="AP603" s="213" t="str">
        <f>IFERROR(__xludf.DUMMYFUNCTION("""COMPUTED_VALUE"""),"LUIS")</f>
        <v>LUIS</v>
      </c>
      <c r="AQ603" s="213"/>
      <c r="AR603" s="213"/>
      <c r="AS603" s="213"/>
      <c r="AT603" s="213"/>
      <c r="AU603" s="213"/>
      <c r="AV603" s="213"/>
      <c r="AW603" s="213"/>
      <c r="AX603" s="213"/>
      <c r="AY603" s="213"/>
      <c r="AZ603" s="213"/>
      <c r="BA603" s="213"/>
      <c r="BB603" s="213"/>
      <c r="BC603" s="213"/>
      <c r="BD603" s="213"/>
    </row>
    <row r="604">
      <c r="A604" s="213">
        <f>IFERROR(__xludf.DUMMYFUNCTION("""COMPUTED_VALUE"""),78.0)</f>
        <v>78</v>
      </c>
      <c r="B604" s="213" t="str">
        <f>IFERROR(__xludf.DUMMYFUNCTION("""COMPUTED_VALUE"""),"16449 ELOY SOBERON  FLORES")</f>
        <v>16449 ELOY SOBERON  FLORES</v>
      </c>
      <c r="C604" s="213" t="str">
        <f>IFERROR(__xludf.DUMMYFUNCTION("""COMPUTED_VALUE"""),"TALLER SFT DE COCINA Y REPOSTERÍA")</f>
        <v>TALLER SFT DE COCINA Y REPOSTERÍA</v>
      </c>
      <c r="D604" s="213" t="str">
        <f>IFERROR(__xludf.DUMMYFUNCTION("""COMPUTED_VALUE"""),"MOBILIARIO")</f>
        <v>MOBILIARIO</v>
      </c>
      <c r="E604" s="213" t="str">
        <f>IFERROR(__xludf.DUMMYFUNCTION("""COMPUTED_VALUE"""),"MOB-114")</f>
        <v>MOB-114</v>
      </c>
      <c r="F604" s="213" t="str">
        <f>IFERROR(__xludf.DUMMYFUNCTION("""COMPUTED_VALUE"""),"MOB-114-Y")</f>
        <v>MOB-114-Y</v>
      </c>
      <c r="G604" s="213"/>
      <c r="H604" s="213" t="str">
        <f>IFERROR(__xludf.DUMMYFUNCTION("""COMPUTED_VALUE"""),"ESCRITORIO PARA EL DOCENTE")</f>
        <v>ESCRITORIO PARA EL DOCENTE</v>
      </c>
      <c r="I604"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mm x 600 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mm x 600 mm x 760 mm.
· El escritorio no requiere ser anclado al piso.</v>
      </c>
      <c r="J604" s="213">
        <f>IFERROR(__xludf.DUMMYFUNCTION("""COMPUTED_VALUE"""),3.0)</f>
        <v>3</v>
      </c>
      <c r="K604" s="213" t="str">
        <f>IFERROR(__xludf.DUMMYFUNCTION("""COMPUTED_VALUE"""),"90 DÍAS CALENDARIO")</f>
        <v>90 DÍAS CALENDARIO</v>
      </c>
      <c r="L604" s="213" t="str">
        <f>IFERROR(__xludf.DUMMYFUNCTION("""COMPUTED_VALUE"""),"")</f>
        <v/>
      </c>
      <c r="M604" s="213">
        <f>IFERROR(__xludf.DUMMYFUNCTION("""COMPUTED_VALUE"""),1.0)</f>
        <v>1</v>
      </c>
      <c r="N604" s="213">
        <f>IFERROR(__xludf.DUMMYFUNCTION("""COMPUTED_VALUE"""),1.0)</f>
        <v>1</v>
      </c>
      <c r="O604" s="213">
        <f>IFERROR(__xludf.DUMMYFUNCTION("""COMPUTED_VALUE"""),1.0)</f>
        <v>1</v>
      </c>
      <c r="P604" s="213"/>
      <c r="Q604" s="213"/>
      <c r="R604" s="213"/>
      <c r="S604" s="213"/>
      <c r="T604" s="213"/>
      <c r="U604" s="213"/>
      <c r="V604" s="213"/>
      <c r="W604" s="213"/>
      <c r="X604" s="213"/>
      <c r="Y604" s="213"/>
      <c r="Z604" s="213"/>
      <c r="AA604" s="213"/>
      <c r="AB604" s="213"/>
      <c r="AC604" s="213"/>
      <c r="AD604" s="213"/>
      <c r="AE604" s="213"/>
      <c r="AF604" s="213"/>
      <c r="AG604" s="213"/>
      <c r="AH604" s="213"/>
      <c r="AI604" s="213"/>
      <c r="AJ604" s="213"/>
      <c r="AK604" s="213"/>
      <c r="AL604" s="213"/>
      <c r="AM604" s="213"/>
      <c r="AN604" s="213"/>
      <c r="AO604" s="213"/>
      <c r="AP604" s="213"/>
      <c r="AQ604" s="213"/>
      <c r="AR604" s="213"/>
      <c r="AS604" s="213"/>
      <c r="AT604" s="213"/>
      <c r="AU604" s="213"/>
      <c r="AV604" s="213"/>
      <c r="AW604" s="213"/>
      <c r="AX604" s="213"/>
      <c r="AY604" s="213"/>
      <c r="AZ604" s="213"/>
      <c r="BA604" s="213"/>
      <c r="BB604" s="213"/>
      <c r="BC604" s="213"/>
      <c r="BD604" s="213"/>
    </row>
    <row r="605">
      <c r="A605" s="213">
        <f>IFERROR(__xludf.DUMMYFUNCTION("""COMPUTED_VALUE"""),141.0)</f>
        <v>141</v>
      </c>
      <c r="B605" s="213" t="str">
        <f>IFERROR(__xludf.DUMMYFUNCTION("""COMPUTED_VALUE"""),"2026 SIMON BOLIVAR")</f>
        <v>2026 SIMON BOLIVAR</v>
      </c>
      <c r="C605" s="213" t="str">
        <f>IFERROR(__xludf.DUMMYFUNCTION("""COMPUTED_VALUE"""),"TALLER SFT DE INDUSTRIA DEL VESTIDO")</f>
        <v>TALLER SFT DE INDUSTRIA DEL VESTIDO</v>
      </c>
      <c r="D605" s="213" t="str">
        <f>IFERROR(__xludf.DUMMYFUNCTION("""COMPUTED_VALUE"""),"MOBILIARIO")</f>
        <v>MOBILIARIO</v>
      </c>
      <c r="E605" s="213" t="str">
        <f>IFERROR(__xludf.DUMMYFUNCTION("""COMPUTED_VALUE"""),"MOB-114")</f>
        <v>MOB-114</v>
      </c>
      <c r="F605" s="213" t="str">
        <f>IFERROR(__xludf.DUMMYFUNCTION("""COMPUTED_VALUE"""),"MOB-114-Y")</f>
        <v>MOB-114-Y</v>
      </c>
      <c r="G605" s="213"/>
      <c r="H605" s="213" t="str">
        <f>IFERROR(__xludf.DUMMYFUNCTION("""COMPUTED_VALUE"""),"ESCRITORIO PARA EL DOCENTE")</f>
        <v>ESCRITORIO PARA EL DOCENTE</v>
      </c>
      <c r="I605"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05" s="213">
        <f>IFERROR(__xludf.DUMMYFUNCTION("""COMPUTED_VALUE"""),3.0)</f>
        <v>3</v>
      </c>
      <c r="K605" s="213" t="str">
        <f>IFERROR(__xludf.DUMMYFUNCTION("""COMPUTED_VALUE"""),"90 DÍAS CALENDARIO")</f>
        <v>90 DÍAS CALENDARIO</v>
      </c>
      <c r="L605" s="213" t="str">
        <f>IFERROR(__xludf.DUMMYFUNCTION("""COMPUTED_VALUE"""),"")</f>
        <v/>
      </c>
      <c r="M605" s="213">
        <f>IFERROR(__xludf.DUMMYFUNCTION("""COMPUTED_VALUE"""),1.0)</f>
        <v>1</v>
      </c>
      <c r="N605" s="213">
        <f>IFERROR(__xludf.DUMMYFUNCTION("""COMPUTED_VALUE"""),1.0)</f>
        <v>1</v>
      </c>
      <c r="O605" s="213">
        <f>IFERROR(__xludf.DUMMYFUNCTION("""COMPUTED_VALUE"""),1.0)</f>
        <v>1</v>
      </c>
      <c r="P605" s="213"/>
      <c r="Q605" s="213"/>
      <c r="R605" s="213"/>
      <c r="S605" s="213"/>
      <c r="T605" s="213"/>
      <c r="U605" s="213"/>
      <c r="V605" s="213"/>
      <c r="W605" s="213"/>
      <c r="X605" s="213"/>
      <c r="Y605" s="213"/>
      <c r="Z605" s="213"/>
      <c r="AA605" s="213"/>
      <c r="AB605" s="213"/>
      <c r="AC605" s="213"/>
      <c r="AD605" s="213"/>
      <c r="AE605" s="213"/>
      <c r="AF605" s="213"/>
      <c r="AG605" s="213"/>
      <c r="AH605" s="213"/>
      <c r="AI605" s="213"/>
      <c r="AJ605" s="213"/>
      <c r="AK605" s="213"/>
      <c r="AL605" s="213"/>
      <c r="AM605" s="213"/>
      <c r="AN605" s="213"/>
      <c r="AO605" s="213"/>
      <c r="AP605" s="213"/>
      <c r="AQ605" s="213"/>
      <c r="AR605" s="213"/>
      <c r="AS605" s="213"/>
      <c r="AT605" s="213"/>
      <c r="AU605" s="213"/>
      <c r="AV605" s="213"/>
      <c r="AW605" s="213"/>
      <c r="AX605" s="213"/>
      <c r="AY605" s="213"/>
      <c r="AZ605" s="213"/>
      <c r="BA605" s="213"/>
      <c r="BB605" s="213"/>
      <c r="BC605" s="213"/>
      <c r="BD605" s="213"/>
    </row>
    <row r="606">
      <c r="A606" s="213">
        <f>IFERROR(__xludf.DUMMYFUNCTION("""COMPUTED_VALUE"""),245.0)</f>
        <v>245</v>
      </c>
      <c r="B606" s="213" t="str">
        <f>IFERROR(__xludf.DUMMYFUNCTION("""COMPUTED_VALUE"""),"2026 SIMON BOLIVAR")</f>
        <v>2026 SIMON BOLIVAR</v>
      </c>
      <c r="C606" s="213" t="str">
        <f>IFERROR(__xludf.DUMMYFUNCTION("""COMPUTED_VALUE"""),"TALLER SFT DE COMPUTACIÓN E INFORMÁTICA")</f>
        <v>TALLER SFT DE COMPUTACIÓN E INFORMÁTICA</v>
      </c>
      <c r="D606" s="213" t="str">
        <f>IFERROR(__xludf.DUMMYFUNCTION("""COMPUTED_VALUE"""),"MOBILIARIO")</f>
        <v>MOBILIARIO</v>
      </c>
      <c r="E606" s="213" t="str">
        <f>IFERROR(__xludf.DUMMYFUNCTION("""COMPUTED_VALUE"""),"MOB-114")</f>
        <v>MOB-114</v>
      </c>
      <c r="F606" s="213" t="str">
        <f>IFERROR(__xludf.DUMMYFUNCTION("""COMPUTED_VALUE"""),"MOB-114-Y")</f>
        <v>MOB-114-Y</v>
      </c>
      <c r="G606" s="213"/>
      <c r="H606" s="213" t="str">
        <f>IFERROR(__xludf.DUMMYFUNCTION("""COMPUTED_VALUE"""),"ESCRITORIO PARA EL DOCENTE")</f>
        <v>ESCRITORIO PARA EL DOCENTE</v>
      </c>
      <c r="I606"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1000mmm x 600mmm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1000mmm x 600mmm x 760 mm.
· El escritorio no requiere ser anclado al piso.</v>
      </c>
      <c r="J606" s="213">
        <f>IFERROR(__xludf.DUMMYFUNCTION("""COMPUTED_VALUE"""),3.0)</f>
        <v>3</v>
      </c>
      <c r="K606" s="213" t="str">
        <f>IFERROR(__xludf.DUMMYFUNCTION("""COMPUTED_VALUE"""),"90 DÍAS CALENDARIO")</f>
        <v>90 DÍAS CALENDARIO</v>
      </c>
      <c r="L606" s="213" t="str">
        <f>IFERROR(__xludf.DUMMYFUNCTION("""COMPUTED_VALUE"""),"")</f>
        <v/>
      </c>
      <c r="M606" s="213">
        <f>IFERROR(__xludf.DUMMYFUNCTION("""COMPUTED_VALUE"""),1.0)</f>
        <v>1</v>
      </c>
      <c r="N606" s="213">
        <f>IFERROR(__xludf.DUMMYFUNCTION("""COMPUTED_VALUE"""),1.0)</f>
        <v>1</v>
      </c>
      <c r="O606" s="213">
        <f>IFERROR(__xludf.DUMMYFUNCTION("""COMPUTED_VALUE"""),1.0)</f>
        <v>1</v>
      </c>
      <c r="P606" s="213"/>
      <c r="Q606" s="213"/>
      <c r="R606" s="213"/>
      <c r="S606" s="213"/>
      <c r="T606" s="213"/>
      <c r="U606" s="213"/>
      <c r="V606" s="213"/>
      <c r="W606" s="213"/>
      <c r="X606" s="213"/>
      <c r="Y606" s="213"/>
      <c r="Z606" s="213"/>
      <c r="AA606" s="213"/>
      <c r="AB606" s="213"/>
      <c r="AC606" s="213"/>
      <c r="AD606" s="213"/>
      <c r="AE606" s="213"/>
      <c r="AF606" s="213"/>
      <c r="AG606" s="213"/>
      <c r="AH606" s="213"/>
      <c r="AI606" s="213"/>
      <c r="AJ606" s="213"/>
      <c r="AK606" s="213"/>
      <c r="AL606" s="213"/>
      <c r="AM606" s="213"/>
      <c r="AN606" s="213"/>
      <c r="AO606" s="213"/>
      <c r="AP606" s="213"/>
      <c r="AQ606" s="213"/>
      <c r="AR606" s="213"/>
      <c r="AS606" s="213"/>
      <c r="AT606" s="213"/>
      <c r="AU606" s="213"/>
      <c r="AV606" s="213"/>
      <c r="AW606" s="213"/>
      <c r="AX606" s="213"/>
      <c r="AY606" s="213"/>
      <c r="AZ606" s="213"/>
      <c r="BA606" s="213"/>
      <c r="BB606" s="213"/>
      <c r="BC606" s="213"/>
      <c r="BD606" s="213"/>
    </row>
    <row r="607">
      <c r="A607" s="213">
        <f>IFERROR(__xludf.DUMMYFUNCTION("""COMPUTED_VALUE"""),262.0)</f>
        <v>262</v>
      </c>
      <c r="B607" s="213" t="str">
        <f>IFERROR(__xludf.DUMMYFUNCTION("""COMPUTED_VALUE"""),"2026 SIMON BOLIVAR")</f>
        <v>2026 SIMON BOLIVAR</v>
      </c>
      <c r="C607" s="213" t="str">
        <f>IFERROR(__xludf.DUMMYFUNCTION("""COMPUTED_VALUE"""),"TALLER SFT DE COMPUTACIÓN E INFORMÁTICA")</f>
        <v>TALLER SFT DE COMPUTACIÓN E INFORMÁTICA</v>
      </c>
      <c r="D607" s="213" t="str">
        <f>IFERROR(__xludf.DUMMYFUNCTION("""COMPUTED_VALUE"""),"MOBILIARIO")</f>
        <v>MOBILIARIO</v>
      </c>
      <c r="E607" s="213" t="str">
        <f>IFERROR(__xludf.DUMMYFUNCTION("""COMPUTED_VALUE"""),"MOB-114")</f>
        <v>MOB-114</v>
      </c>
      <c r="F607" s="213" t="str">
        <f>IFERROR(__xludf.DUMMYFUNCTION("""COMPUTED_VALUE"""),"MOB-114-Y")</f>
        <v>MOB-114-Y</v>
      </c>
      <c r="G607" s="213"/>
      <c r="H607" s="213" t="str">
        <f>IFERROR(__xludf.DUMMYFUNCTION("""COMPUTED_VALUE"""),"ESCRITORIO PARA EL DOCENTE")</f>
        <v>ESCRITORIO PARA EL DOCENTE</v>
      </c>
      <c r="I607"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1000mmm x 600mmm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1000mmm x 600mmm x 760 mm.
· El escritorio no requiere ser anclado al piso.</v>
      </c>
      <c r="J607" s="213">
        <f>IFERROR(__xludf.DUMMYFUNCTION("""COMPUTED_VALUE"""),3.0)</f>
        <v>3</v>
      </c>
      <c r="K607" s="213" t="str">
        <f>IFERROR(__xludf.DUMMYFUNCTION("""COMPUTED_VALUE"""),"90 DÍAS CALENDARIO")</f>
        <v>90 DÍAS CALENDARIO</v>
      </c>
      <c r="L607" s="213" t="str">
        <f>IFERROR(__xludf.DUMMYFUNCTION("""COMPUTED_VALUE"""),"")</f>
        <v/>
      </c>
      <c r="M607" s="213">
        <f>IFERROR(__xludf.DUMMYFUNCTION("""COMPUTED_VALUE"""),1.0)</f>
        <v>1</v>
      </c>
      <c r="N607" s="213">
        <f>IFERROR(__xludf.DUMMYFUNCTION("""COMPUTED_VALUE"""),1.0)</f>
        <v>1</v>
      </c>
      <c r="O607" s="213">
        <f>IFERROR(__xludf.DUMMYFUNCTION("""COMPUTED_VALUE"""),1.0)</f>
        <v>1</v>
      </c>
      <c r="P607" s="213"/>
      <c r="Q607" s="213"/>
      <c r="R607" s="213"/>
      <c r="S607" s="213"/>
      <c r="T607" s="213"/>
      <c r="U607" s="213"/>
      <c r="V607" s="213"/>
      <c r="W607" s="213"/>
      <c r="X607" s="213"/>
      <c r="Y607" s="213"/>
      <c r="Z607" s="213"/>
      <c r="AA607" s="213"/>
      <c r="AB607" s="213"/>
      <c r="AC607" s="213"/>
      <c r="AD607" s="213"/>
      <c r="AE607" s="213"/>
      <c r="AF607" s="213"/>
      <c r="AG607" s="213"/>
      <c r="AH607" s="213"/>
      <c r="AI607" s="213"/>
      <c r="AJ607" s="213"/>
      <c r="AK607" s="213"/>
      <c r="AL607" s="213"/>
      <c r="AM607" s="213"/>
      <c r="AN607" s="213"/>
      <c r="AO607" s="213"/>
      <c r="AP607" s="213"/>
      <c r="AQ607" s="213"/>
      <c r="AR607" s="213"/>
      <c r="AS607" s="213"/>
      <c r="AT607" s="213"/>
      <c r="AU607" s="213"/>
      <c r="AV607" s="213"/>
      <c r="AW607" s="213"/>
      <c r="AX607" s="213"/>
      <c r="AY607" s="213"/>
      <c r="AZ607" s="213"/>
      <c r="BA607" s="213"/>
      <c r="BB607" s="213"/>
      <c r="BC607" s="213"/>
      <c r="BD607" s="213"/>
    </row>
    <row r="608">
      <c r="A608" s="213">
        <f>IFERROR(__xludf.DUMMYFUNCTION("""COMPUTED_VALUE"""),337.0)</f>
        <v>337</v>
      </c>
      <c r="B608" s="213" t="str">
        <f>IFERROR(__xludf.DUMMYFUNCTION("""COMPUTED_VALUE"""),"2026 SIMON BOLIVAR")</f>
        <v>2026 SIMON BOLIVAR</v>
      </c>
      <c r="C608" s="213" t="str">
        <f>IFERROR(__xludf.DUMMYFUNCTION("""COMPUTED_VALUE"""),"TALLER SFT DE ELECTRICIDAD")</f>
        <v>TALLER SFT DE ELECTRICIDAD</v>
      </c>
      <c r="D608" s="213" t="str">
        <f>IFERROR(__xludf.DUMMYFUNCTION("""COMPUTED_VALUE"""),"MOBILIARIO")</f>
        <v>MOBILIARIO</v>
      </c>
      <c r="E608" s="213" t="str">
        <f>IFERROR(__xludf.DUMMYFUNCTION("""COMPUTED_VALUE"""),"MOB-114")</f>
        <v>MOB-114</v>
      </c>
      <c r="F608" s="213" t="str">
        <f>IFERROR(__xludf.DUMMYFUNCTION("""COMPUTED_VALUE"""),"MOB-114-Y")</f>
        <v>MOB-114-Y</v>
      </c>
      <c r="G608" s="213"/>
      <c r="H608" s="213" t="str">
        <f>IFERROR(__xludf.DUMMYFUNCTION("""COMPUTED_VALUE"""),"ESCRITORIO PARA EL DOCENTE")</f>
        <v>ESCRITORIO PARA EL DOCENTE</v>
      </c>
      <c r="I608"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08" s="213">
        <f>IFERROR(__xludf.DUMMYFUNCTION("""COMPUTED_VALUE"""),3.0)</f>
        <v>3</v>
      </c>
      <c r="K608" s="213" t="str">
        <f>IFERROR(__xludf.DUMMYFUNCTION("""COMPUTED_VALUE"""),"90 DÍAS CALENDARIO")</f>
        <v>90 DÍAS CALENDARIO</v>
      </c>
      <c r="L608" s="213" t="str">
        <f>IFERROR(__xludf.DUMMYFUNCTION("""COMPUTED_VALUE"""),"")</f>
        <v/>
      </c>
      <c r="M608" s="213">
        <f>IFERROR(__xludf.DUMMYFUNCTION("""COMPUTED_VALUE"""),1.0)</f>
        <v>1</v>
      </c>
      <c r="N608" s="213">
        <f>IFERROR(__xludf.DUMMYFUNCTION("""COMPUTED_VALUE"""),1.0)</f>
        <v>1</v>
      </c>
      <c r="O608" s="213">
        <f>IFERROR(__xludf.DUMMYFUNCTION("""COMPUTED_VALUE"""),1.0)</f>
        <v>1</v>
      </c>
      <c r="P608" s="213"/>
      <c r="Q608" s="213"/>
      <c r="R608" s="213"/>
      <c r="S608" s="213"/>
      <c r="T608" s="213"/>
      <c r="U608" s="213"/>
      <c r="V608" s="213"/>
      <c r="W608" s="213"/>
      <c r="X608" s="213"/>
      <c r="Y608" s="213"/>
      <c r="Z608" s="213"/>
      <c r="AA608" s="213"/>
      <c r="AB608" s="213"/>
      <c r="AC608" s="213"/>
      <c r="AD608" s="213"/>
      <c r="AE608" s="213"/>
      <c r="AF608" s="213"/>
      <c r="AG608" s="213"/>
      <c r="AH608" s="213"/>
      <c r="AI608" s="213"/>
      <c r="AJ608" s="213"/>
      <c r="AK608" s="213"/>
      <c r="AL608" s="213"/>
      <c r="AM608" s="213"/>
      <c r="AN608" s="213"/>
      <c r="AO608" s="213"/>
      <c r="AP608" s="213"/>
      <c r="AQ608" s="213"/>
      <c r="AR608" s="213"/>
      <c r="AS608" s="213"/>
      <c r="AT608" s="213"/>
      <c r="AU608" s="213"/>
      <c r="AV608" s="213"/>
      <c r="AW608" s="213"/>
      <c r="AX608" s="213"/>
      <c r="AY608" s="213"/>
      <c r="AZ608" s="213"/>
      <c r="BA608" s="213"/>
      <c r="BB608" s="213"/>
      <c r="BC608" s="213"/>
      <c r="BD608" s="213"/>
    </row>
    <row r="609">
      <c r="A609" s="213">
        <f>IFERROR(__xludf.DUMMYFUNCTION("""COMPUTED_VALUE"""),422.0)</f>
        <v>422</v>
      </c>
      <c r="B609" s="213" t="str">
        <f>IFERROR(__xludf.DUMMYFUNCTION("""COMPUTED_VALUE"""),"2026 SIMON BOLIVAR")</f>
        <v>2026 SIMON BOLIVAR</v>
      </c>
      <c r="C609" s="213" t="str">
        <f>IFERROR(__xludf.DUMMYFUNCTION("""COMPUTED_VALUE"""),"TALLER SFT DE INDUSTRIA ALIMENTARIA")</f>
        <v>TALLER SFT DE INDUSTRIA ALIMENTARIA</v>
      </c>
      <c r="D609" s="213" t="str">
        <f>IFERROR(__xludf.DUMMYFUNCTION("""COMPUTED_VALUE"""),"MOBILIARIO")</f>
        <v>MOBILIARIO</v>
      </c>
      <c r="E609" s="213" t="str">
        <f>IFERROR(__xludf.DUMMYFUNCTION("""COMPUTED_VALUE"""),"MOB-114")</f>
        <v>MOB-114</v>
      </c>
      <c r="F609" s="213" t="str">
        <f>IFERROR(__xludf.DUMMYFUNCTION("""COMPUTED_VALUE"""),"MOB-114-Y")</f>
        <v>MOB-114-Y</v>
      </c>
      <c r="G609" s="213"/>
      <c r="H609" s="213" t="str">
        <f>IFERROR(__xludf.DUMMYFUNCTION("""COMPUTED_VALUE"""),"ESCRITORIO PARA EL DOCENTE")</f>
        <v>ESCRITORIO PARA EL DOCENTE</v>
      </c>
      <c r="I609"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09" s="213">
        <f>IFERROR(__xludf.DUMMYFUNCTION("""COMPUTED_VALUE"""),3.0)</f>
        <v>3</v>
      </c>
      <c r="K609" s="213" t="str">
        <f>IFERROR(__xludf.DUMMYFUNCTION("""COMPUTED_VALUE"""),"90 DÍAS CALENDARIO")</f>
        <v>90 DÍAS CALENDARIO</v>
      </c>
      <c r="L609" s="213" t="str">
        <f>IFERROR(__xludf.DUMMYFUNCTION("""COMPUTED_VALUE"""),"")</f>
        <v/>
      </c>
      <c r="M609" s="213">
        <f>IFERROR(__xludf.DUMMYFUNCTION("""COMPUTED_VALUE"""),1.0)</f>
        <v>1</v>
      </c>
      <c r="N609" s="213">
        <f>IFERROR(__xludf.DUMMYFUNCTION("""COMPUTED_VALUE"""),1.0)</f>
        <v>1</v>
      </c>
      <c r="O609" s="213">
        <f>IFERROR(__xludf.DUMMYFUNCTION("""COMPUTED_VALUE"""),1.0)</f>
        <v>1</v>
      </c>
      <c r="P609" s="213"/>
      <c r="Q609" s="213"/>
      <c r="R609" s="213"/>
      <c r="S609" s="213"/>
      <c r="T609" s="213"/>
      <c r="U609" s="213"/>
      <c r="V609" s="213"/>
      <c r="W609" s="213"/>
      <c r="X609" s="213"/>
      <c r="Y609" s="213"/>
      <c r="Z609" s="213"/>
      <c r="AA609" s="213"/>
      <c r="AB609" s="213"/>
      <c r="AC609" s="213"/>
      <c r="AD609" s="213"/>
      <c r="AE609" s="213"/>
      <c r="AF609" s="213"/>
      <c r="AG609" s="213"/>
      <c r="AH609" s="213"/>
      <c r="AI609" s="213"/>
      <c r="AJ609" s="213"/>
      <c r="AK609" s="213"/>
      <c r="AL609" s="213"/>
      <c r="AM609" s="213"/>
      <c r="AN609" s="213"/>
      <c r="AO609" s="213"/>
      <c r="AP609" s="213"/>
      <c r="AQ609" s="213"/>
      <c r="AR609" s="213"/>
      <c r="AS609" s="213"/>
      <c r="AT609" s="213"/>
      <c r="AU609" s="213"/>
      <c r="AV609" s="213"/>
      <c r="AW609" s="213"/>
      <c r="AX609" s="213"/>
      <c r="AY609" s="213"/>
      <c r="AZ609" s="213"/>
      <c r="BA609" s="213"/>
      <c r="BB609" s="213"/>
      <c r="BC609" s="213"/>
      <c r="BD609" s="213"/>
    </row>
    <row r="610">
      <c r="A610" s="213">
        <f>IFERROR(__xludf.DUMMYFUNCTION("""COMPUTED_VALUE"""),611.0)</f>
        <v>611</v>
      </c>
      <c r="B610" s="213" t="str">
        <f>IFERROR(__xludf.DUMMYFUNCTION("""COMPUTED_VALUE"""),"6049 RICARDO PALMA")</f>
        <v>6049 RICARDO PALMA</v>
      </c>
      <c r="C610" s="213" t="str">
        <f>IFERROR(__xludf.DUMMYFUNCTION("""COMPUTED_VALUE"""),"TALLER SFT DE ELECTRÓNICA")</f>
        <v>TALLER SFT DE ELECTRÓNICA</v>
      </c>
      <c r="D610" s="213" t="str">
        <f>IFERROR(__xludf.DUMMYFUNCTION("""COMPUTED_VALUE"""),"MOBILIARIO")</f>
        <v>MOBILIARIO</v>
      </c>
      <c r="E610" s="213" t="str">
        <f>IFERROR(__xludf.DUMMYFUNCTION("""COMPUTED_VALUE"""),"MOB-114")</f>
        <v>MOB-114</v>
      </c>
      <c r="F610" s="213" t="str">
        <f>IFERROR(__xludf.DUMMYFUNCTION("""COMPUTED_VALUE"""),"MOB-114-Y")</f>
        <v>MOB-114-Y</v>
      </c>
      <c r="G610" s="213"/>
      <c r="H610" s="213" t="str">
        <f>IFERROR(__xludf.DUMMYFUNCTION("""COMPUTED_VALUE"""),"ESCRITORIO PARA EL DOCENTE")</f>
        <v>ESCRITORIO PARA EL DOCENTE</v>
      </c>
      <c r="I610"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mm x 600 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mm x 600 mm x 760 mm.
· El escritorio no requiere ser anclado al piso.</v>
      </c>
      <c r="J610" s="213">
        <f>IFERROR(__xludf.DUMMYFUNCTION("""COMPUTED_VALUE"""),3.0)</f>
        <v>3</v>
      </c>
      <c r="K610" s="213" t="str">
        <f>IFERROR(__xludf.DUMMYFUNCTION("""COMPUTED_VALUE"""),"90 DÍAS CALENDARIO")</f>
        <v>90 DÍAS CALENDARIO</v>
      </c>
      <c r="L610" s="213" t="str">
        <f>IFERROR(__xludf.DUMMYFUNCTION("""COMPUTED_VALUE"""),"")</f>
        <v/>
      </c>
      <c r="M610" s="213">
        <f>IFERROR(__xludf.DUMMYFUNCTION("""COMPUTED_VALUE"""),1.0)</f>
        <v>1</v>
      </c>
      <c r="N610" s="213">
        <f>IFERROR(__xludf.DUMMYFUNCTION("""COMPUTED_VALUE"""),1.0)</f>
        <v>1</v>
      </c>
      <c r="O610" s="213">
        <f>IFERROR(__xludf.DUMMYFUNCTION("""COMPUTED_VALUE"""),1.0)</f>
        <v>1</v>
      </c>
      <c r="P610" s="213"/>
      <c r="Q610" s="213"/>
      <c r="R610" s="213"/>
      <c r="S610" s="213"/>
      <c r="T610" s="213"/>
      <c r="U610" s="213"/>
      <c r="V610" s="213"/>
      <c r="W610" s="213"/>
      <c r="X610" s="213"/>
      <c r="Y610" s="213"/>
      <c r="Z610" s="213"/>
      <c r="AA610" s="213"/>
      <c r="AB610" s="213"/>
      <c r="AC610" s="213"/>
      <c r="AD610" s="213"/>
      <c r="AE610" s="213"/>
      <c r="AF610" s="213"/>
      <c r="AG610" s="213"/>
      <c r="AH610" s="213"/>
      <c r="AI610" s="213"/>
      <c r="AJ610" s="213"/>
      <c r="AK610" s="213"/>
      <c r="AL610" s="213"/>
      <c r="AM610" s="213"/>
      <c r="AN610" s="213"/>
      <c r="AO610" s="213"/>
      <c r="AP610" s="213"/>
      <c r="AQ610" s="213"/>
      <c r="AR610" s="213"/>
      <c r="AS610" s="213"/>
      <c r="AT610" s="213"/>
      <c r="AU610" s="213"/>
      <c r="AV610" s="213"/>
      <c r="AW610" s="213"/>
      <c r="AX610" s="213"/>
      <c r="AY610" s="213"/>
      <c r="AZ610" s="213"/>
      <c r="BA610" s="213"/>
      <c r="BB610" s="213"/>
      <c r="BC610" s="213"/>
      <c r="BD610" s="213"/>
    </row>
    <row r="611">
      <c r="A611" s="213">
        <f>IFERROR(__xludf.DUMMYFUNCTION("""COMPUTED_VALUE"""),729.0)</f>
        <v>729</v>
      </c>
      <c r="B611" s="213" t="str">
        <f>IFERROR(__xludf.DUMMYFUNCTION("""COMPUTED_VALUE"""),"6049 RICARDO PALMA")</f>
        <v>6049 RICARDO PALMA</v>
      </c>
      <c r="C611" s="213" t="str">
        <f>IFERROR(__xludf.DUMMYFUNCTION("""COMPUTED_VALUE"""),"TALLER SFT DE COMPUTACIÓN E INFORMÁTICA")</f>
        <v>TALLER SFT DE COMPUTACIÓN E INFORMÁTICA</v>
      </c>
      <c r="D611" s="213" t="str">
        <f>IFERROR(__xludf.DUMMYFUNCTION("""COMPUTED_VALUE"""),"MOBILIARIO")</f>
        <v>MOBILIARIO</v>
      </c>
      <c r="E611" s="213" t="str">
        <f>IFERROR(__xludf.DUMMYFUNCTION("""COMPUTED_VALUE"""),"MOB-114")</f>
        <v>MOB-114</v>
      </c>
      <c r="F611" s="213" t="str">
        <f>IFERROR(__xludf.DUMMYFUNCTION("""COMPUTED_VALUE"""),"MOB-114-Y")</f>
        <v>MOB-114-Y</v>
      </c>
      <c r="G611" s="213"/>
      <c r="H611" s="213" t="str">
        <f>IFERROR(__xludf.DUMMYFUNCTION("""COMPUTED_VALUE"""),"ESCRITORIO PARA EL DOCENTE")</f>
        <v>ESCRITORIO PARA EL DOCENTE</v>
      </c>
      <c r="I611"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1000mmm x 600mmm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1000mmm x 600mmm x 760 mm.
· El escritorio no requiere ser anclado al piso.</v>
      </c>
      <c r="J611" s="213">
        <f>IFERROR(__xludf.DUMMYFUNCTION("""COMPUTED_VALUE"""),3.0)</f>
        <v>3</v>
      </c>
      <c r="K611" s="213" t="str">
        <f>IFERROR(__xludf.DUMMYFUNCTION("""COMPUTED_VALUE"""),"90 DÍAS CALENDARIO")</f>
        <v>90 DÍAS CALENDARIO</v>
      </c>
      <c r="L611" s="213" t="str">
        <f>IFERROR(__xludf.DUMMYFUNCTION("""COMPUTED_VALUE"""),"")</f>
        <v/>
      </c>
      <c r="M611" s="213">
        <f>IFERROR(__xludf.DUMMYFUNCTION("""COMPUTED_VALUE"""),1.0)</f>
        <v>1</v>
      </c>
      <c r="N611" s="213">
        <f>IFERROR(__xludf.DUMMYFUNCTION("""COMPUTED_VALUE"""),1.0)</f>
        <v>1</v>
      </c>
      <c r="O611" s="213">
        <f>IFERROR(__xludf.DUMMYFUNCTION("""COMPUTED_VALUE"""),1.0)</f>
        <v>1</v>
      </c>
      <c r="P611" s="213"/>
      <c r="Q611" s="213"/>
      <c r="R611" s="213"/>
      <c r="S611" s="213"/>
      <c r="T611" s="213"/>
      <c r="U611" s="213"/>
      <c r="V611" s="213"/>
      <c r="W611" s="213"/>
      <c r="X611" s="213"/>
      <c r="Y611" s="213"/>
      <c r="Z611" s="213"/>
      <c r="AA611" s="213"/>
      <c r="AB611" s="213"/>
      <c r="AC611" s="213"/>
      <c r="AD611" s="213"/>
      <c r="AE611" s="213"/>
      <c r="AF611" s="213"/>
      <c r="AG611" s="213"/>
      <c r="AH611" s="213"/>
      <c r="AI611" s="213"/>
      <c r="AJ611" s="213"/>
      <c r="AK611" s="213"/>
      <c r="AL611" s="213"/>
      <c r="AM611" s="213"/>
      <c r="AN611" s="213"/>
      <c r="AO611" s="213"/>
      <c r="AP611" s="213"/>
      <c r="AQ611" s="213"/>
      <c r="AR611" s="213"/>
      <c r="AS611" s="213"/>
      <c r="AT611" s="213"/>
      <c r="AU611" s="213"/>
      <c r="AV611" s="213"/>
      <c r="AW611" s="213"/>
      <c r="AX611" s="213"/>
      <c r="AY611" s="213"/>
      <c r="AZ611" s="213"/>
      <c r="BA611" s="213"/>
      <c r="BB611" s="213"/>
      <c r="BC611" s="213"/>
      <c r="BD611" s="213"/>
    </row>
    <row r="612">
      <c r="A612" s="213">
        <f>IFERROR(__xludf.DUMMYFUNCTION("""COMPUTED_VALUE"""),747.0)</f>
        <v>747</v>
      </c>
      <c r="B612" s="213" t="str">
        <f>IFERROR(__xludf.DUMMYFUNCTION("""COMPUTED_VALUE"""),"6049 RICARDO PALMA")</f>
        <v>6049 RICARDO PALMA</v>
      </c>
      <c r="C612" s="213" t="str">
        <f>IFERROR(__xludf.DUMMYFUNCTION("""COMPUTED_VALUE"""),"TALLER SFT DE COMPUTACIÓN E INFORMÁTICA")</f>
        <v>TALLER SFT DE COMPUTACIÓN E INFORMÁTICA</v>
      </c>
      <c r="D612" s="213" t="str">
        <f>IFERROR(__xludf.DUMMYFUNCTION("""COMPUTED_VALUE"""),"MOBILIARIO")</f>
        <v>MOBILIARIO</v>
      </c>
      <c r="E612" s="213" t="str">
        <f>IFERROR(__xludf.DUMMYFUNCTION("""COMPUTED_VALUE"""),"MOB-114")</f>
        <v>MOB-114</v>
      </c>
      <c r="F612" s="213" t="str">
        <f>IFERROR(__xludf.DUMMYFUNCTION("""COMPUTED_VALUE"""),"MOB-114-Y")</f>
        <v>MOB-114-Y</v>
      </c>
      <c r="G612" s="213"/>
      <c r="H612" s="213" t="str">
        <f>IFERROR(__xludf.DUMMYFUNCTION("""COMPUTED_VALUE"""),"ESCRITORIO PARA EL DOCENTE")</f>
        <v>ESCRITORIO PARA EL DOCENTE</v>
      </c>
      <c r="I612"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1000mmm x 600mmm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1000mmm x 600mmm x 760 mm.
· El escritorio no requiere ser anclado al piso.</v>
      </c>
      <c r="J612" s="213">
        <f>IFERROR(__xludf.DUMMYFUNCTION("""COMPUTED_VALUE"""),3.0)</f>
        <v>3</v>
      </c>
      <c r="K612" s="213" t="str">
        <f>IFERROR(__xludf.DUMMYFUNCTION("""COMPUTED_VALUE"""),"90 DÍAS CALENDARIO")</f>
        <v>90 DÍAS CALENDARIO</v>
      </c>
      <c r="L612" s="213" t="str">
        <f>IFERROR(__xludf.DUMMYFUNCTION("""COMPUTED_VALUE"""),"")</f>
        <v/>
      </c>
      <c r="M612" s="213">
        <f>IFERROR(__xludf.DUMMYFUNCTION("""COMPUTED_VALUE"""),1.0)</f>
        <v>1</v>
      </c>
      <c r="N612" s="213">
        <f>IFERROR(__xludf.DUMMYFUNCTION("""COMPUTED_VALUE"""),1.0)</f>
        <v>1</v>
      </c>
      <c r="O612" s="213">
        <f>IFERROR(__xludf.DUMMYFUNCTION("""COMPUTED_VALUE"""),1.0)</f>
        <v>1</v>
      </c>
      <c r="P612" s="213"/>
      <c r="Q612" s="213"/>
      <c r="R612" s="213"/>
      <c r="S612" s="213"/>
      <c r="T612" s="213"/>
      <c r="U612" s="213"/>
      <c r="V612" s="213"/>
      <c r="W612" s="213"/>
      <c r="X612" s="213"/>
      <c r="Y612" s="213"/>
      <c r="Z612" s="213"/>
      <c r="AA612" s="213"/>
      <c r="AB612" s="213"/>
      <c r="AC612" s="213"/>
      <c r="AD612" s="213"/>
      <c r="AE612" s="213"/>
      <c r="AF612" s="213"/>
      <c r="AG612" s="213"/>
      <c r="AH612" s="213"/>
      <c r="AI612" s="213"/>
      <c r="AJ612" s="213"/>
      <c r="AK612" s="213"/>
      <c r="AL612" s="213"/>
      <c r="AM612" s="213"/>
      <c r="AN612" s="213"/>
      <c r="AO612" s="213"/>
      <c r="AP612" s="213"/>
      <c r="AQ612" s="213"/>
      <c r="AR612" s="213"/>
      <c r="AS612" s="213"/>
      <c r="AT612" s="213"/>
      <c r="AU612" s="213"/>
      <c r="AV612" s="213"/>
      <c r="AW612" s="213"/>
      <c r="AX612" s="213"/>
      <c r="AY612" s="213"/>
      <c r="AZ612" s="213"/>
      <c r="BA612" s="213"/>
      <c r="BB612" s="213"/>
      <c r="BC612" s="213"/>
      <c r="BD612" s="213"/>
    </row>
    <row r="613">
      <c r="A613" s="213">
        <f>IFERROR(__xludf.DUMMYFUNCTION("""COMPUTED_VALUE"""),823.0)</f>
        <v>823</v>
      </c>
      <c r="B613" s="213" t="str">
        <f>IFERROR(__xludf.DUMMYFUNCTION("""COMPUTED_VALUE"""),"6049 RICARDO PALMA")</f>
        <v>6049 RICARDO PALMA</v>
      </c>
      <c r="C613" s="213" t="str">
        <f>IFERROR(__xludf.DUMMYFUNCTION("""COMPUTED_VALUE"""),"TALLER SFT DE ELECTRICIDAD")</f>
        <v>TALLER SFT DE ELECTRICIDAD</v>
      </c>
      <c r="D613" s="213" t="str">
        <f>IFERROR(__xludf.DUMMYFUNCTION("""COMPUTED_VALUE"""),"MOBILIARIO")</f>
        <v>MOBILIARIO</v>
      </c>
      <c r="E613" s="213" t="str">
        <f>IFERROR(__xludf.DUMMYFUNCTION("""COMPUTED_VALUE"""),"MOB-114")</f>
        <v>MOB-114</v>
      </c>
      <c r="F613" s="213" t="str">
        <f>IFERROR(__xludf.DUMMYFUNCTION("""COMPUTED_VALUE"""),"MOB-114-Y")</f>
        <v>MOB-114-Y</v>
      </c>
      <c r="G613" s="213"/>
      <c r="H613" s="213" t="str">
        <f>IFERROR(__xludf.DUMMYFUNCTION("""COMPUTED_VALUE"""),"ESCRITORIO PARA EL DOCENTE")</f>
        <v>ESCRITORIO PARA EL DOCENTE</v>
      </c>
      <c r="I613"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13" s="213">
        <f>IFERROR(__xludf.DUMMYFUNCTION("""COMPUTED_VALUE"""),3.0)</f>
        <v>3</v>
      </c>
      <c r="K613" s="213" t="str">
        <f>IFERROR(__xludf.DUMMYFUNCTION("""COMPUTED_VALUE"""),"90 DÍAS CALENDARIO")</f>
        <v>90 DÍAS CALENDARIO</v>
      </c>
      <c r="L613" s="213" t="str">
        <f>IFERROR(__xludf.DUMMYFUNCTION("""COMPUTED_VALUE"""),"")</f>
        <v/>
      </c>
      <c r="M613" s="213">
        <f>IFERROR(__xludf.DUMMYFUNCTION("""COMPUTED_VALUE"""),1.0)</f>
        <v>1</v>
      </c>
      <c r="N613" s="213">
        <f>IFERROR(__xludf.DUMMYFUNCTION("""COMPUTED_VALUE"""),1.0)</f>
        <v>1</v>
      </c>
      <c r="O613" s="213">
        <f>IFERROR(__xludf.DUMMYFUNCTION("""COMPUTED_VALUE"""),1.0)</f>
        <v>1</v>
      </c>
      <c r="P613" s="213"/>
      <c r="Q613" s="213"/>
      <c r="R613" s="213"/>
      <c r="S613" s="213"/>
      <c r="T613" s="213"/>
      <c r="U613" s="213"/>
      <c r="V613" s="213"/>
      <c r="W613" s="213"/>
      <c r="X613" s="213"/>
      <c r="Y613" s="213"/>
      <c r="Z613" s="213"/>
      <c r="AA613" s="213"/>
      <c r="AB613" s="213"/>
      <c r="AC613" s="213"/>
      <c r="AD613" s="213"/>
      <c r="AE613" s="213"/>
      <c r="AF613" s="213"/>
      <c r="AG613" s="213"/>
      <c r="AH613" s="213"/>
      <c r="AI613" s="213"/>
      <c r="AJ613" s="213"/>
      <c r="AK613" s="213"/>
      <c r="AL613" s="213"/>
      <c r="AM613" s="213"/>
      <c r="AN613" s="213"/>
      <c r="AO613" s="213"/>
      <c r="AP613" s="213"/>
      <c r="AQ613" s="213"/>
      <c r="AR613" s="213"/>
      <c r="AS613" s="213"/>
      <c r="AT613" s="213"/>
      <c r="AU613" s="213"/>
      <c r="AV613" s="213"/>
      <c r="AW613" s="213"/>
      <c r="AX613" s="213"/>
      <c r="AY613" s="213"/>
      <c r="AZ613" s="213"/>
      <c r="BA613" s="213"/>
      <c r="BB613" s="213"/>
      <c r="BC613" s="213"/>
      <c r="BD613" s="213"/>
    </row>
    <row r="614">
      <c r="A614" s="213">
        <f>IFERROR(__xludf.DUMMYFUNCTION("""COMPUTED_VALUE"""),907.0)</f>
        <v>907</v>
      </c>
      <c r="B614" s="213" t="str">
        <f>IFERROR(__xludf.DUMMYFUNCTION("""COMPUTED_VALUE"""),"FRANCISCO IRAZOLA")</f>
        <v>FRANCISCO IRAZOLA</v>
      </c>
      <c r="C614" s="213" t="str">
        <f>IFERROR(__xludf.DUMMYFUNCTION("""COMPUTED_VALUE"""),"TALLER SFT DE MECÁNICA AUTOMOTRIZ")</f>
        <v>TALLER SFT DE MECÁNICA AUTOMOTRIZ</v>
      </c>
      <c r="D614" s="213" t="str">
        <f>IFERROR(__xludf.DUMMYFUNCTION("""COMPUTED_VALUE"""),"MOBILIARIO")</f>
        <v>MOBILIARIO</v>
      </c>
      <c r="E614" s="213" t="str">
        <f>IFERROR(__xludf.DUMMYFUNCTION("""COMPUTED_VALUE"""),"MOB-114")</f>
        <v>MOB-114</v>
      </c>
      <c r="F614" s="213" t="str">
        <f>IFERROR(__xludf.DUMMYFUNCTION("""COMPUTED_VALUE"""),"MOB-114-X")</f>
        <v>MOB-114-X</v>
      </c>
      <c r="G614" s="213"/>
      <c r="H614" s="213" t="str">
        <f>IFERROR(__xludf.DUMMYFUNCTION("""COMPUTED_VALUE"""),"ESCRITORIO PARA EL DOCENTE")</f>
        <v>ESCRITORIO PARA EL DOCENTE</v>
      </c>
      <c r="I614"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inferiores de acero tubular cuadrado de 1½” x 1.5 mm como mínimo.
· 02 cajones en el extremo derecho, medidas mínimas de los cajones: ancho 40 cm, profundidad 40 cm y alto 14 cm; con sus respectivo"&amp;"s tiradores.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inferiores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14" s="213">
        <f>IFERROR(__xludf.DUMMYFUNCTION("""COMPUTED_VALUE"""),3.0)</f>
        <v>3</v>
      </c>
      <c r="K614" s="213" t="str">
        <f>IFERROR(__xludf.DUMMYFUNCTION("""COMPUTED_VALUE"""),"90 DÍAS CALENDARIO")</f>
        <v>90 DÍAS CALENDARIO</v>
      </c>
      <c r="L614" s="213" t="str">
        <f>IFERROR(__xludf.DUMMYFUNCTION("""COMPUTED_VALUE"""),"")</f>
        <v/>
      </c>
      <c r="M614" s="213">
        <f>IFERROR(__xludf.DUMMYFUNCTION("""COMPUTED_VALUE"""),1.0)</f>
        <v>1</v>
      </c>
      <c r="N614" s="213">
        <f>IFERROR(__xludf.DUMMYFUNCTION("""COMPUTED_VALUE"""),1.0)</f>
        <v>1</v>
      </c>
      <c r="O614" s="213">
        <f>IFERROR(__xludf.DUMMYFUNCTION("""COMPUTED_VALUE"""),1.0)</f>
        <v>1</v>
      </c>
      <c r="P614" s="213"/>
      <c r="Q614" s="213"/>
      <c r="R614" s="213"/>
      <c r="S614" s="213"/>
      <c r="T614" s="213"/>
      <c r="U614" s="213"/>
      <c r="V614" s="213"/>
      <c r="W614" s="213"/>
      <c r="X614" s="213"/>
      <c r="Y614" s="213"/>
      <c r="Z614" s="213"/>
      <c r="AA614" s="213"/>
      <c r="AB614" s="213"/>
      <c r="AC614" s="213"/>
      <c r="AD614" s="213"/>
      <c r="AE614" s="213"/>
      <c r="AF614" s="213"/>
      <c r="AG614" s="213"/>
      <c r="AH614" s="213"/>
      <c r="AI614" s="213"/>
      <c r="AJ614" s="213"/>
      <c r="AK614" s="213"/>
      <c r="AL614" s="213"/>
      <c r="AM614" s="213"/>
      <c r="AN614" s="213"/>
      <c r="AO614" s="213"/>
      <c r="AP614" s="213"/>
      <c r="AQ614" s="213"/>
      <c r="AR614" s="213"/>
      <c r="AS614" s="213"/>
      <c r="AT614" s="213"/>
      <c r="AU614" s="213"/>
      <c r="AV614" s="213"/>
      <c r="AW614" s="213"/>
      <c r="AX614" s="213"/>
      <c r="AY614" s="213"/>
      <c r="AZ614" s="213"/>
      <c r="BA614" s="213"/>
      <c r="BB614" s="213"/>
      <c r="BC614" s="213"/>
      <c r="BD614" s="213"/>
    </row>
    <row r="615">
      <c r="A615" s="213">
        <f>IFERROR(__xludf.DUMMYFUNCTION("""COMPUTED_VALUE"""),1094.0)</f>
        <v>1094</v>
      </c>
      <c r="B615" s="213" t="str">
        <f>IFERROR(__xludf.DUMMYFUNCTION("""COMPUTED_VALUE"""),"FRANCISCO IRAZOLA")</f>
        <v>FRANCISCO IRAZOLA</v>
      </c>
      <c r="C615" s="213" t="str">
        <f>IFERROR(__xludf.DUMMYFUNCTION("""COMPUTED_VALUE"""),"TALLER SFT DE INDUSTRIA ALIMENTARIA")</f>
        <v>TALLER SFT DE INDUSTRIA ALIMENTARIA</v>
      </c>
      <c r="D615" s="213" t="str">
        <f>IFERROR(__xludf.DUMMYFUNCTION("""COMPUTED_VALUE"""),"MOBILIARIO")</f>
        <v>MOBILIARIO</v>
      </c>
      <c r="E615" s="213" t="str">
        <f>IFERROR(__xludf.DUMMYFUNCTION("""COMPUTED_VALUE"""),"MOB-114")</f>
        <v>MOB-114</v>
      </c>
      <c r="F615" s="213" t="str">
        <f>IFERROR(__xludf.DUMMYFUNCTION("""COMPUTED_VALUE"""),"MOB-114-Y")</f>
        <v>MOB-114-Y</v>
      </c>
      <c r="G615" s="213"/>
      <c r="H615" s="213" t="str">
        <f>IFERROR(__xludf.DUMMYFUNCTION("""COMPUTED_VALUE"""),"ESCRITORIO PARA EL DOCENTE")</f>
        <v>ESCRITORIO PARA EL DOCENTE</v>
      </c>
      <c r="I615"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15" s="213">
        <f>IFERROR(__xludf.DUMMYFUNCTION("""COMPUTED_VALUE"""),3.0)</f>
        <v>3</v>
      </c>
      <c r="K615" s="213" t="str">
        <f>IFERROR(__xludf.DUMMYFUNCTION("""COMPUTED_VALUE"""),"90 DÍAS CALENDARIO")</f>
        <v>90 DÍAS CALENDARIO</v>
      </c>
      <c r="L615" s="213" t="str">
        <f>IFERROR(__xludf.DUMMYFUNCTION("""COMPUTED_VALUE"""),"")</f>
        <v/>
      </c>
      <c r="M615" s="213">
        <f>IFERROR(__xludf.DUMMYFUNCTION("""COMPUTED_VALUE"""),1.0)</f>
        <v>1</v>
      </c>
      <c r="N615" s="213">
        <f>IFERROR(__xludf.DUMMYFUNCTION("""COMPUTED_VALUE"""),1.0)</f>
        <v>1</v>
      </c>
      <c r="O615" s="213">
        <f>IFERROR(__xludf.DUMMYFUNCTION("""COMPUTED_VALUE"""),1.0)</f>
        <v>1</v>
      </c>
      <c r="P615" s="213"/>
      <c r="Q615" s="213"/>
      <c r="R615" s="213"/>
      <c r="S615" s="213"/>
      <c r="T615" s="213"/>
      <c r="U615" s="213"/>
      <c r="V615" s="213"/>
      <c r="W615" s="213"/>
      <c r="X615" s="213"/>
      <c r="Y615" s="213"/>
      <c r="Z615" s="213"/>
      <c r="AA615" s="213"/>
      <c r="AB615" s="213"/>
      <c r="AC615" s="213"/>
      <c r="AD615" s="213"/>
      <c r="AE615" s="213"/>
      <c r="AF615" s="213"/>
      <c r="AG615" s="213"/>
      <c r="AH615" s="213"/>
      <c r="AI615" s="213"/>
      <c r="AJ615" s="213"/>
      <c r="AK615" s="213"/>
      <c r="AL615" s="213"/>
      <c r="AM615" s="213"/>
      <c r="AN615" s="213"/>
      <c r="AO615" s="213"/>
      <c r="AP615" s="213"/>
      <c r="AQ615" s="213"/>
      <c r="AR615" s="213"/>
      <c r="AS615" s="213"/>
      <c r="AT615" s="213"/>
      <c r="AU615" s="213"/>
      <c r="AV615" s="213"/>
      <c r="AW615" s="213"/>
      <c r="AX615" s="213"/>
      <c r="AY615" s="213"/>
      <c r="AZ615" s="213"/>
      <c r="BA615" s="213"/>
      <c r="BB615" s="213"/>
      <c r="BC615" s="213"/>
      <c r="BD615" s="213"/>
    </row>
    <row r="616">
      <c r="A616" s="213">
        <f>IFERROR(__xludf.DUMMYFUNCTION("""COMPUTED_VALUE"""),1244.0)</f>
        <v>1244</v>
      </c>
      <c r="B616" s="213" t="str">
        <f>IFERROR(__xludf.DUMMYFUNCTION("""COMPUTED_VALUE"""),"GUILLERMO E. BILLINGHURST ")</f>
        <v>GUILLERMO E. BILLINGHURST </v>
      </c>
      <c r="C616" s="213" t="str">
        <f>IFERROR(__xludf.DUMMYFUNCTION("""COMPUTED_VALUE"""),"TALLER SFT DE ELECTRICIDAD")</f>
        <v>TALLER SFT DE ELECTRICIDAD</v>
      </c>
      <c r="D616" s="213" t="str">
        <f>IFERROR(__xludf.DUMMYFUNCTION("""COMPUTED_VALUE"""),"MOBILIARIO")</f>
        <v>MOBILIARIO</v>
      </c>
      <c r="E616" s="213" t="str">
        <f>IFERROR(__xludf.DUMMYFUNCTION("""COMPUTED_VALUE"""),"MOB-114")</f>
        <v>MOB-114</v>
      </c>
      <c r="F616" s="213" t="str">
        <f>IFERROR(__xludf.DUMMYFUNCTION("""COMPUTED_VALUE"""),"MOB-114-Y")</f>
        <v>MOB-114-Y</v>
      </c>
      <c r="G616" s="213"/>
      <c r="H616" s="213" t="str">
        <f>IFERROR(__xludf.DUMMYFUNCTION("""COMPUTED_VALUE"""),"ESCRITORIO PARA EL DOCENTE")</f>
        <v>ESCRITORIO PARA EL DOCENTE</v>
      </c>
      <c r="I616"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16" s="213">
        <f>IFERROR(__xludf.DUMMYFUNCTION("""COMPUTED_VALUE"""),3.0)</f>
        <v>3</v>
      </c>
      <c r="K616" s="213" t="str">
        <f>IFERROR(__xludf.DUMMYFUNCTION("""COMPUTED_VALUE"""),"90 DÍAS CALENDARIO")</f>
        <v>90 DÍAS CALENDARIO</v>
      </c>
      <c r="L616" s="213" t="str">
        <f>IFERROR(__xludf.DUMMYFUNCTION("""COMPUTED_VALUE"""),"")</f>
        <v/>
      </c>
      <c r="M616" s="213">
        <f>IFERROR(__xludf.DUMMYFUNCTION("""COMPUTED_VALUE"""),1.0)</f>
        <v>1</v>
      </c>
      <c r="N616" s="213">
        <f>IFERROR(__xludf.DUMMYFUNCTION("""COMPUTED_VALUE"""),1.0)</f>
        <v>1</v>
      </c>
      <c r="O616" s="213">
        <f>IFERROR(__xludf.DUMMYFUNCTION("""COMPUTED_VALUE"""),1.0)</f>
        <v>1</v>
      </c>
      <c r="P616" s="213"/>
      <c r="Q616" s="213"/>
      <c r="R616" s="213"/>
      <c r="S616" s="213"/>
      <c r="T616" s="213"/>
      <c r="U616" s="213"/>
      <c r="V616" s="213"/>
      <c r="W616" s="213"/>
      <c r="X616" s="213"/>
      <c r="Y616" s="213"/>
      <c r="Z616" s="213"/>
      <c r="AA616" s="213"/>
      <c r="AB616" s="213"/>
      <c r="AC616" s="213"/>
      <c r="AD616" s="213"/>
      <c r="AE616" s="213"/>
      <c r="AF616" s="213"/>
      <c r="AG616" s="213"/>
      <c r="AH616" s="213"/>
      <c r="AI616" s="213"/>
      <c r="AJ616" s="213"/>
      <c r="AK616" s="213"/>
      <c r="AL616" s="213"/>
      <c r="AM616" s="213"/>
      <c r="AN616" s="213"/>
      <c r="AO616" s="213"/>
      <c r="AP616" s="213"/>
      <c r="AQ616" s="213"/>
      <c r="AR616" s="213"/>
      <c r="AS616" s="213"/>
      <c r="AT616" s="213"/>
      <c r="AU616" s="213"/>
      <c r="AV616" s="213"/>
      <c r="AW616" s="213"/>
      <c r="AX616" s="213"/>
      <c r="AY616" s="213"/>
      <c r="AZ616" s="213"/>
      <c r="BA616" s="213"/>
      <c r="BB616" s="213"/>
      <c r="BC616" s="213"/>
      <c r="BD616" s="213"/>
    </row>
    <row r="617">
      <c r="A617" s="213">
        <f>IFERROR(__xludf.DUMMYFUNCTION("""COMPUTED_VALUE"""),1330.0)</f>
        <v>1330</v>
      </c>
      <c r="B617" s="213" t="str">
        <f>IFERROR(__xludf.DUMMYFUNCTION("""COMPUTED_VALUE"""),"GUILLERMO E. BILLINGHURST ")</f>
        <v>GUILLERMO E. BILLINGHURST </v>
      </c>
      <c r="C617" s="213" t="str">
        <f>IFERROR(__xludf.DUMMYFUNCTION("""COMPUTED_VALUE"""),"TALLER SFT DE INDUSTRIA ALIMENTARIA")</f>
        <v>TALLER SFT DE INDUSTRIA ALIMENTARIA</v>
      </c>
      <c r="D617" s="213" t="str">
        <f>IFERROR(__xludf.DUMMYFUNCTION("""COMPUTED_VALUE"""),"MOBILIARIO")</f>
        <v>MOBILIARIO</v>
      </c>
      <c r="E617" s="213" t="str">
        <f>IFERROR(__xludf.DUMMYFUNCTION("""COMPUTED_VALUE"""),"MOB-114")</f>
        <v>MOB-114</v>
      </c>
      <c r="F617" s="213" t="str">
        <f>IFERROR(__xludf.DUMMYFUNCTION("""COMPUTED_VALUE"""),"MOB-114-Y")</f>
        <v>MOB-114-Y</v>
      </c>
      <c r="G617" s="213"/>
      <c r="H617" s="213" t="str">
        <f>IFERROR(__xludf.DUMMYFUNCTION("""COMPUTED_VALUE"""),"ESCRITORIO PARA EL DOCENTE")</f>
        <v>ESCRITORIO PARA EL DOCENTE</v>
      </c>
      <c r="I617"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17" s="213">
        <f>IFERROR(__xludf.DUMMYFUNCTION("""COMPUTED_VALUE"""),3.0)</f>
        <v>3</v>
      </c>
      <c r="K617" s="213" t="str">
        <f>IFERROR(__xludf.DUMMYFUNCTION("""COMPUTED_VALUE"""),"90 DÍAS CALENDARIO")</f>
        <v>90 DÍAS CALENDARIO</v>
      </c>
      <c r="L617" s="213" t="str">
        <f>IFERROR(__xludf.DUMMYFUNCTION("""COMPUTED_VALUE"""),"")</f>
        <v/>
      </c>
      <c r="M617" s="213">
        <f>IFERROR(__xludf.DUMMYFUNCTION("""COMPUTED_VALUE"""),1.0)</f>
        <v>1</v>
      </c>
      <c r="N617" s="213">
        <f>IFERROR(__xludf.DUMMYFUNCTION("""COMPUTED_VALUE"""),0.0)</f>
        <v>0</v>
      </c>
      <c r="O617" s="213">
        <f>IFERROR(__xludf.DUMMYFUNCTION("""COMPUTED_VALUE"""),0.0)</f>
        <v>0</v>
      </c>
      <c r="P617" s="213"/>
      <c r="Q617" s="213"/>
      <c r="R617" s="213"/>
      <c r="S617" s="213"/>
      <c r="T617" s="213"/>
      <c r="U617" s="213"/>
      <c r="V617" s="213"/>
      <c r="W617" s="213"/>
      <c r="X617" s="213"/>
      <c r="Y617" s="213"/>
      <c r="Z617" s="213"/>
      <c r="AA617" s="213"/>
      <c r="AB617" s="213"/>
      <c r="AC617" s="213"/>
      <c r="AD617" s="213"/>
      <c r="AE617" s="213"/>
      <c r="AF617" s="213"/>
      <c r="AG617" s="213"/>
      <c r="AH617" s="213"/>
      <c r="AI617" s="213"/>
      <c r="AJ617" s="213"/>
      <c r="AK617" s="213"/>
      <c r="AL617" s="213"/>
      <c r="AM617" s="213"/>
      <c r="AN617" s="213"/>
      <c r="AO617" s="213"/>
      <c r="AP617" s="213"/>
      <c r="AQ617" s="213"/>
      <c r="AR617" s="213"/>
      <c r="AS617" s="213"/>
      <c r="AT617" s="213"/>
      <c r="AU617" s="213"/>
      <c r="AV617" s="213"/>
      <c r="AW617" s="213"/>
      <c r="AX617" s="213"/>
      <c r="AY617" s="213"/>
      <c r="AZ617" s="213"/>
      <c r="BA617" s="213"/>
      <c r="BB617" s="213"/>
      <c r="BC617" s="213"/>
      <c r="BD617" s="213"/>
    </row>
    <row r="618">
      <c r="A618" s="213">
        <f>IFERROR(__xludf.DUMMYFUNCTION("""COMPUTED_VALUE"""),1509.0)</f>
        <v>1509</v>
      </c>
      <c r="B618" s="213" t="str">
        <f>IFERROR(__xludf.DUMMYFUNCTION("""COMPUTED_VALUE"""),"GUILLERMO E. BILLINGHURST ")</f>
        <v>GUILLERMO E. BILLINGHURST </v>
      </c>
      <c r="C618" s="213" t="str">
        <f>IFERROR(__xludf.DUMMYFUNCTION("""COMPUTED_VALUE"""),"TALLER SFT DE MECÁNICA AUTOMOTRIZ")</f>
        <v>TALLER SFT DE MECÁNICA AUTOMOTRIZ</v>
      </c>
      <c r="D618" s="213" t="str">
        <f>IFERROR(__xludf.DUMMYFUNCTION("""COMPUTED_VALUE"""),"MOBILIARIO")</f>
        <v>MOBILIARIO</v>
      </c>
      <c r="E618" s="213" t="str">
        <f>IFERROR(__xludf.DUMMYFUNCTION("""COMPUTED_VALUE"""),"MOB-114")</f>
        <v>MOB-114</v>
      </c>
      <c r="F618" s="213" t="str">
        <f>IFERROR(__xludf.DUMMYFUNCTION("""COMPUTED_VALUE"""),"MOB-114-X")</f>
        <v>MOB-114-X</v>
      </c>
      <c r="G618" s="213"/>
      <c r="H618" s="213" t="str">
        <f>IFERROR(__xludf.DUMMYFUNCTION("""COMPUTED_VALUE"""),"ESCRITORIO PARA EL DOCENTE")</f>
        <v>ESCRITORIO PARA EL DOCENTE</v>
      </c>
      <c r="I618"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inferiores de acero tubular cuadrado de 1½” x 1.5 mm como mínimo.
· 02 cajones en el extremo derecho, medidas mínimas de los cajones: ancho 40 cm, profundidad 40 cm y alto 14 cm; con sus respectivo"&amp;"s tiradores.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inferiores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18" s="213">
        <f>IFERROR(__xludf.DUMMYFUNCTION("""COMPUTED_VALUE"""),3.0)</f>
        <v>3</v>
      </c>
      <c r="K618" s="213" t="str">
        <f>IFERROR(__xludf.DUMMYFUNCTION("""COMPUTED_VALUE"""),"90 DÍAS CALENDARIO")</f>
        <v>90 DÍAS CALENDARIO</v>
      </c>
      <c r="L618" s="213" t="str">
        <f>IFERROR(__xludf.DUMMYFUNCTION("""COMPUTED_VALUE"""),"")</f>
        <v/>
      </c>
      <c r="M618" s="213">
        <f>IFERROR(__xludf.DUMMYFUNCTION("""COMPUTED_VALUE"""),1.0)</f>
        <v>1</v>
      </c>
      <c r="N618" s="213">
        <f>IFERROR(__xludf.DUMMYFUNCTION("""COMPUTED_VALUE"""),1.0)</f>
        <v>1</v>
      </c>
      <c r="O618" s="213">
        <f>IFERROR(__xludf.DUMMYFUNCTION("""COMPUTED_VALUE"""),1.0)</f>
        <v>1</v>
      </c>
      <c r="P618" s="213"/>
      <c r="Q618" s="213"/>
      <c r="R618" s="213"/>
      <c r="S618" s="213"/>
      <c r="T618" s="213"/>
      <c r="U618" s="213"/>
      <c r="V618" s="213"/>
      <c r="W618" s="213"/>
      <c r="X618" s="213"/>
      <c r="Y618" s="213"/>
      <c r="Z618" s="213"/>
      <c r="AA618" s="213"/>
      <c r="AB618" s="213"/>
      <c r="AC618" s="213"/>
      <c r="AD618" s="213"/>
      <c r="AE618" s="213"/>
      <c r="AF618" s="213"/>
      <c r="AG618" s="213"/>
      <c r="AH618" s="213"/>
      <c r="AI618" s="213"/>
      <c r="AJ618" s="213"/>
      <c r="AK618" s="213"/>
      <c r="AL618" s="213"/>
      <c r="AM618" s="213"/>
      <c r="AN618" s="213"/>
      <c r="AO618" s="213"/>
      <c r="AP618" s="213"/>
      <c r="AQ618" s="213"/>
      <c r="AR618" s="213"/>
      <c r="AS618" s="213"/>
      <c r="AT618" s="213"/>
      <c r="AU618" s="213"/>
      <c r="AV618" s="213"/>
      <c r="AW618" s="213"/>
      <c r="AX618" s="213"/>
      <c r="AY618" s="213"/>
      <c r="AZ618" s="213"/>
      <c r="BA618" s="213"/>
      <c r="BB618" s="213"/>
      <c r="BC618" s="213"/>
      <c r="BD618" s="213"/>
    </row>
    <row r="619">
      <c r="A619" s="213">
        <f>IFERROR(__xludf.DUMMYFUNCTION("""COMPUTED_VALUE"""),1664.0)</f>
        <v>1664</v>
      </c>
      <c r="B619" s="213" t="str">
        <f>IFERROR(__xludf.DUMMYFUNCTION("""COMPUTED_VALUE"""),"GUILLERMO E. BILLINGHURST ")</f>
        <v>GUILLERMO E. BILLINGHURST </v>
      </c>
      <c r="C619" s="213" t="str">
        <f>IFERROR(__xludf.DUMMYFUNCTION("""COMPUTED_VALUE"""),"TALLER SFT DE COMPUTACIÓN E INFORMÁTICA")</f>
        <v>TALLER SFT DE COMPUTACIÓN E INFORMÁTICA</v>
      </c>
      <c r="D619" s="213" t="str">
        <f>IFERROR(__xludf.DUMMYFUNCTION("""COMPUTED_VALUE"""),"MOBILIARIO")</f>
        <v>MOBILIARIO</v>
      </c>
      <c r="E619" s="213" t="str">
        <f>IFERROR(__xludf.DUMMYFUNCTION("""COMPUTED_VALUE"""),"MOB-114")</f>
        <v>MOB-114</v>
      </c>
      <c r="F619" s="213" t="str">
        <f>IFERROR(__xludf.DUMMYFUNCTION("""COMPUTED_VALUE"""),"MOB-114-X")</f>
        <v>MOB-114-X</v>
      </c>
      <c r="G619" s="213"/>
      <c r="H619" s="213" t="str">
        <f>IFERROR(__xludf.DUMMYFUNCTION("""COMPUTED_VALUE"""),"ESCRITORIO PARA EL DOCENTE")</f>
        <v>ESCRITORIO PARA EL DOCENTE</v>
      </c>
      <c r="I619"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1000mmm x 600mmm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1000mmm x 600mmm x 760 mm.
· El escritorio no requiere ser anclado al piso.</v>
      </c>
      <c r="J619" s="213">
        <f>IFERROR(__xludf.DUMMYFUNCTION("""COMPUTED_VALUE"""),3.0)</f>
        <v>3</v>
      </c>
      <c r="K619" s="213" t="str">
        <f>IFERROR(__xludf.DUMMYFUNCTION("""COMPUTED_VALUE"""),"90 DÍAS CALENDARIO")</f>
        <v>90 DÍAS CALENDARIO</v>
      </c>
      <c r="L619" s="213" t="str">
        <f>IFERROR(__xludf.DUMMYFUNCTION("""COMPUTED_VALUE"""),"")</f>
        <v/>
      </c>
      <c r="M619" s="213">
        <f>IFERROR(__xludf.DUMMYFUNCTION("""COMPUTED_VALUE"""),1.0)</f>
        <v>1</v>
      </c>
      <c r="N619" s="213">
        <f>IFERROR(__xludf.DUMMYFUNCTION("""COMPUTED_VALUE"""),1.0)</f>
        <v>1</v>
      </c>
      <c r="O619" s="213">
        <f>IFERROR(__xludf.DUMMYFUNCTION("""COMPUTED_VALUE"""),1.0)</f>
        <v>1</v>
      </c>
      <c r="P619" s="213"/>
      <c r="Q619" s="213"/>
      <c r="R619" s="213"/>
      <c r="S619" s="213"/>
      <c r="T619" s="213"/>
      <c r="U619" s="213"/>
      <c r="V619" s="213"/>
      <c r="W619" s="213"/>
      <c r="X619" s="213"/>
      <c r="Y619" s="213"/>
      <c r="Z619" s="213"/>
      <c r="AA619" s="213"/>
      <c r="AB619" s="213"/>
      <c r="AC619" s="213"/>
      <c r="AD619" s="213"/>
      <c r="AE619" s="213"/>
      <c r="AF619" s="213"/>
      <c r="AG619" s="213"/>
      <c r="AH619" s="213"/>
      <c r="AI619" s="213"/>
      <c r="AJ619" s="213"/>
      <c r="AK619" s="213"/>
      <c r="AL619" s="213"/>
      <c r="AM619" s="213"/>
      <c r="AN619" s="213"/>
      <c r="AO619" s="213"/>
      <c r="AP619" s="213"/>
      <c r="AQ619" s="213"/>
      <c r="AR619" s="213"/>
      <c r="AS619" s="213"/>
      <c r="AT619" s="213"/>
      <c r="AU619" s="213"/>
      <c r="AV619" s="213"/>
      <c r="AW619" s="213"/>
      <c r="AX619" s="213"/>
      <c r="AY619" s="213"/>
      <c r="AZ619" s="213"/>
      <c r="BA619" s="213"/>
      <c r="BB619" s="213"/>
      <c r="BC619" s="213"/>
      <c r="BD619" s="213"/>
    </row>
    <row r="620">
      <c r="A620" s="213">
        <f>IFERROR(__xludf.DUMMYFUNCTION("""COMPUTED_VALUE"""),1682.0)</f>
        <v>1682</v>
      </c>
      <c r="B620" s="213" t="str">
        <f>IFERROR(__xludf.DUMMYFUNCTION("""COMPUTED_VALUE"""),"GUILLERMO E. BILLINGHURST ")</f>
        <v>GUILLERMO E. BILLINGHURST </v>
      </c>
      <c r="C620" s="213" t="str">
        <f>IFERROR(__xludf.DUMMYFUNCTION("""COMPUTED_VALUE"""),"TALLER SFT DE COMPUTACIÓN E INFORMÁTICA")</f>
        <v>TALLER SFT DE COMPUTACIÓN E INFORMÁTICA</v>
      </c>
      <c r="D620" s="213" t="str">
        <f>IFERROR(__xludf.DUMMYFUNCTION("""COMPUTED_VALUE"""),"MOBILIARIO")</f>
        <v>MOBILIARIO</v>
      </c>
      <c r="E620" s="213" t="str">
        <f>IFERROR(__xludf.DUMMYFUNCTION("""COMPUTED_VALUE"""),"MOB-114")</f>
        <v>MOB-114</v>
      </c>
      <c r="F620" s="213" t="str">
        <f>IFERROR(__xludf.DUMMYFUNCTION("""COMPUTED_VALUE"""),"MOB-114-X")</f>
        <v>MOB-114-X</v>
      </c>
      <c r="G620" s="213"/>
      <c r="H620" s="213" t="str">
        <f>IFERROR(__xludf.DUMMYFUNCTION("""COMPUTED_VALUE"""),"ESCRITORIO PARA EL DOCENTE")</f>
        <v>ESCRITORIO PARA EL DOCENTE</v>
      </c>
      <c r="I620"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1000mmm x 600mmm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1000mmm x 600mmm x 760 mm.
· El escritorio no requiere ser anclado al piso.</v>
      </c>
      <c r="J620" s="213">
        <f>IFERROR(__xludf.DUMMYFUNCTION("""COMPUTED_VALUE"""),3.0)</f>
        <v>3</v>
      </c>
      <c r="K620" s="213" t="str">
        <f>IFERROR(__xludf.DUMMYFUNCTION("""COMPUTED_VALUE"""),"90 DÍAS CALENDARIO")</f>
        <v>90 DÍAS CALENDARIO</v>
      </c>
      <c r="L620" s="213" t="str">
        <f>IFERROR(__xludf.DUMMYFUNCTION("""COMPUTED_VALUE"""),"")</f>
        <v/>
      </c>
      <c r="M620" s="213">
        <f>IFERROR(__xludf.DUMMYFUNCTION("""COMPUTED_VALUE"""),1.0)</f>
        <v>1</v>
      </c>
      <c r="N620" s="213">
        <f>IFERROR(__xludf.DUMMYFUNCTION("""COMPUTED_VALUE"""),1.0)</f>
        <v>1</v>
      </c>
      <c r="O620" s="213">
        <f>IFERROR(__xludf.DUMMYFUNCTION("""COMPUTED_VALUE"""),1.0)</f>
        <v>1</v>
      </c>
      <c r="P620" s="213"/>
      <c r="Q620" s="213"/>
      <c r="R620" s="213"/>
      <c r="S620" s="213"/>
      <c r="T620" s="213"/>
      <c r="U620" s="213"/>
      <c r="V620" s="213"/>
      <c r="W620" s="213"/>
      <c r="X620" s="213"/>
      <c r="Y620" s="213"/>
      <c r="Z620" s="213"/>
      <c r="AA620" s="213"/>
      <c r="AB620" s="213"/>
      <c r="AC620" s="213"/>
      <c r="AD620" s="213"/>
      <c r="AE620" s="213"/>
      <c r="AF620" s="213"/>
      <c r="AG620" s="213"/>
      <c r="AH620" s="213"/>
      <c r="AI620" s="213"/>
      <c r="AJ620" s="213"/>
      <c r="AK620" s="213"/>
      <c r="AL620" s="213"/>
      <c r="AM620" s="213"/>
      <c r="AN620" s="213"/>
      <c r="AO620" s="213"/>
      <c r="AP620" s="213"/>
      <c r="AQ620" s="213"/>
      <c r="AR620" s="213"/>
      <c r="AS620" s="213"/>
      <c r="AT620" s="213"/>
      <c r="AU620" s="213"/>
      <c r="AV620" s="213"/>
      <c r="AW620" s="213"/>
      <c r="AX620" s="213"/>
      <c r="AY620" s="213"/>
      <c r="AZ620" s="213"/>
      <c r="BA620" s="213"/>
      <c r="BB620" s="213"/>
      <c r="BC620" s="213"/>
      <c r="BD620" s="213"/>
    </row>
    <row r="621">
      <c r="A621" s="213">
        <f>IFERROR(__xludf.DUMMYFUNCTION("""COMPUTED_VALUE"""),1759.0)</f>
        <v>1759</v>
      </c>
      <c r="B621" s="213" t="str">
        <f>IFERROR(__xludf.DUMMYFUNCTION("""COMPUTED_VALUE"""),"GUILLERMO E. BILLINGHURST ")</f>
        <v>GUILLERMO E. BILLINGHURST </v>
      </c>
      <c r="C621" s="213" t="str">
        <f>IFERROR(__xludf.DUMMYFUNCTION("""COMPUTED_VALUE"""),"TALLER SFT DE EBANISTERÍA")</f>
        <v>TALLER SFT DE EBANISTERÍA</v>
      </c>
      <c r="D621" s="213" t="str">
        <f>IFERROR(__xludf.DUMMYFUNCTION("""COMPUTED_VALUE"""),"MOBILIARIO")</f>
        <v>MOBILIARIO</v>
      </c>
      <c r="E621" s="213" t="str">
        <f>IFERROR(__xludf.DUMMYFUNCTION("""COMPUTED_VALUE"""),"MOB-114")</f>
        <v>MOB-114</v>
      </c>
      <c r="F621" s="213" t="str">
        <f>IFERROR(__xludf.DUMMYFUNCTION("""COMPUTED_VALUE"""),"MOB-114-X")</f>
        <v>MOB-114-X</v>
      </c>
      <c r="G621" s="213"/>
      <c r="H621" s="213" t="str">
        <f>IFERROR(__xludf.DUMMYFUNCTION("""COMPUTED_VALUE"""),"ESCRITORIO PARA EL DOCENTE")</f>
        <v>ESCRITORIO PARA EL DOCENTE</v>
      </c>
      <c r="I621"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infeiores de acero tubular cuadrado de 1½” x 1.5 mm como mínimo.
· 02 cajones en el extremo derecho, medidas mínimas de los cajones: ancho 40 cm, profundidad 40 cm y alto 14 cm; con sus respectivos"&amp;" tiradores.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infeiores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21" s="213">
        <f>IFERROR(__xludf.DUMMYFUNCTION("""COMPUTED_VALUE"""),3.0)</f>
        <v>3</v>
      </c>
      <c r="K621" s="213" t="str">
        <f>IFERROR(__xludf.DUMMYFUNCTION("""COMPUTED_VALUE"""),"90 DÍAS CALENDARIO")</f>
        <v>90 DÍAS CALENDARIO</v>
      </c>
      <c r="L621" s="213" t="str">
        <f>IFERROR(__xludf.DUMMYFUNCTION("""COMPUTED_VALUE"""),"")</f>
        <v/>
      </c>
      <c r="M621" s="213">
        <f>IFERROR(__xludf.DUMMYFUNCTION("""COMPUTED_VALUE"""),1.0)</f>
        <v>1</v>
      </c>
      <c r="N621" s="213">
        <f>IFERROR(__xludf.DUMMYFUNCTION("""COMPUTED_VALUE"""),1.0)</f>
        <v>1</v>
      </c>
      <c r="O621" s="213">
        <f>IFERROR(__xludf.DUMMYFUNCTION("""COMPUTED_VALUE"""),1.0)</f>
        <v>1</v>
      </c>
      <c r="P621" s="213"/>
      <c r="Q621" s="213"/>
      <c r="R621" s="213"/>
      <c r="S621" s="213"/>
      <c r="T621" s="213"/>
      <c r="U621" s="213"/>
      <c r="V621" s="213"/>
      <c r="W621" s="213"/>
      <c r="X621" s="213"/>
      <c r="Y621" s="213"/>
      <c r="Z621" s="213"/>
      <c r="AA621" s="213"/>
      <c r="AB621" s="213"/>
      <c r="AC621" s="213"/>
      <c r="AD621" s="213"/>
      <c r="AE621" s="213"/>
      <c r="AF621" s="213"/>
      <c r="AG621" s="213"/>
      <c r="AH621" s="213"/>
      <c r="AI621" s="213"/>
      <c r="AJ621" s="213"/>
      <c r="AK621" s="213"/>
      <c r="AL621" s="213"/>
      <c r="AM621" s="213"/>
      <c r="AN621" s="213"/>
      <c r="AO621" s="213"/>
      <c r="AP621" s="213"/>
      <c r="AQ621" s="213"/>
      <c r="AR621" s="213"/>
      <c r="AS621" s="213"/>
      <c r="AT621" s="213"/>
      <c r="AU621" s="213"/>
      <c r="AV621" s="213"/>
      <c r="AW621" s="213"/>
      <c r="AX621" s="213"/>
      <c r="AY621" s="213"/>
      <c r="AZ621" s="213"/>
      <c r="BA621" s="213"/>
      <c r="BB621" s="213"/>
      <c r="BC621" s="213"/>
      <c r="BD621" s="213"/>
    </row>
    <row r="622">
      <c r="A622" s="213">
        <f>IFERROR(__xludf.DUMMYFUNCTION("""COMPUTED_VALUE"""),1914.0)</f>
        <v>1914</v>
      </c>
      <c r="B622" s="213" t="str">
        <f>IFERROR(__xludf.DUMMYFUNCTION("""COMPUTED_VALUE"""),"JOSE GRANDA")</f>
        <v>JOSE GRANDA</v>
      </c>
      <c r="C622" s="213" t="str">
        <f>IFERROR(__xludf.DUMMYFUNCTION("""COMPUTED_VALUE"""),"TALLER SFT DE COMPUTACIÓN E INFORMÁTICA")</f>
        <v>TALLER SFT DE COMPUTACIÓN E INFORMÁTICA</v>
      </c>
      <c r="D622" s="213" t="str">
        <f>IFERROR(__xludf.DUMMYFUNCTION("""COMPUTED_VALUE"""),"MOBILIARIO")</f>
        <v>MOBILIARIO</v>
      </c>
      <c r="E622" s="213" t="str">
        <f>IFERROR(__xludf.DUMMYFUNCTION("""COMPUTED_VALUE"""),"MOB-114")</f>
        <v>MOB-114</v>
      </c>
      <c r="F622" s="213" t="str">
        <f>IFERROR(__xludf.DUMMYFUNCTION("""COMPUTED_VALUE"""),"MOB-114-Y")</f>
        <v>MOB-114-Y</v>
      </c>
      <c r="G622" s="213"/>
      <c r="H622" s="213" t="str">
        <f>IFERROR(__xludf.DUMMYFUNCTION("""COMPUTED_VALUE"""),"ESCRITORIO PARA EL DOCENTE")</f>
        <v>ESCRITORIO PARA EL DOCENTE</v>
      </c>
      <c r="I622"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1000mmm x 600mmm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1000mmm x 600mmm x 760 mm.
· El escritorio no requiere ser anclado al piso.</v>
      </c>
      <c r="J622" s="213">
        <f>IFERROR(__xludf.DUMMYFUNCTION("""COMPUTED_VALUE"""),3.0)</f>
        <v>3</v>
      </c>
      <c r="K622" s="213" t="str">
        <f>IFERROR(__xludf.DUMMYFUNCTION("""COMPUTED_VALUE"""),"90 DÍAS CALENDARIO")</f>
        <v>90 DÍAS CALENDARIO</v>
      </c>
      <c r="L622" s="213" t="str">
        <f>IFERROR(__xludf.DUMMYFUNCTION("""COMPUTED_VALUE"""),"")</f>
        <v/>
      </c>
      <c r="M622" s="213">
        <f>IFERROR(__xludf.DUMMYFUNCTION("""COMPUTED_VALUE"""),1.0)</f>
        <v>1</v>
      </c>
      <c r="N622" s="213">
        <f>IFERROR(__xludf.DUMMYFUNCTION("""COMPUTED_VALUE"""),1.0)</f>
        <v>1</v>
      </c>
      <c r="O622" s="213">
        <f>IFERROR(__xludf.DUMMYFUNCTION("""COMPUTED_VALUE"""),1.0)</f>
        <v>1</v>
      </c>
      <c r="P622" s="213"/>
      <c r="Q622" s="213"/>
      <c r="R622" s="213"/>
      <c r="S622" s="213"/>
      <c r="T622" s="213"/>
      <c r="U622" s="213"/>
      <c r="V622" s="213"/>
      <c r="W622" s="213"/>
      <c r="X622" s="213"/>
      <c r="Y622" s="213"/>
      <c r="Z622" s="213"/>
      <c r="AA622" s="213"/>
      <c r="AB622" s="213"/>
      <c r="AC622" s="213"/>
      <c r="AD622" s="213"/>
      <c r="AE622" s="213"/>
      <c r="AF622" s="213"/>
      <c r="AG622" s="213"/>
      <c r="AH622" s="213"/>
      <c r="AI622" s="213"/>
      <c r="AJ622" s="213"/>
      <c r="AK622" s="213"/>
      <c r="AL622" s="213"/>
      <c r="AM622" s="213"/>
      <c r="AN622" s="213"/>
      <c r="AO622" s="213"/>
      <c r="AP622" s="213"/>
      <c r="AQ622" s="213"/>
      <c r="AR622" s="213"/>
      <c r="AS622" s="213"/>
      <c r="AT622" s="213"/>
      <c r="AU622" s="213"/>
      <c r="AV622" s="213"/>
      <c r="AW622" s="213"/>
      <c r="AX622" s="213"/>
      <c r="AY622" s="213"/>
      <c r="AZ622" s="213"/>
      <c r="BA622" s="213"/>
      <c r="BB622" s="213"/>
      <c r="BC622" s="213"/>
      <c r="BD622" s="213"/>
    </row>
    <row r="623">
      <c r="A623" s="213">
        <f>IFERROR(__xludf.DUMMYFUNCTION("""COMPUTED_VALUE"""),1933.0)</f>
        <v>1933</v>
      </c>
      <c r="B623" s="213" t="str">
        <f>IFERROR(__xludf.DUMMYFUNCTION("""COMPUTED_VALUE"""),"JOSE GRANDA")</f>
        <v>JOSE GRANDA</v>
      </c>
      <c r="C623" s="213" t="str">
        <f>IFERROR(__xludf.DUMMYFUNCTION("""COMPUTED_VALUE"""),"TALLER SFT DE COMPUTACIÓN E INFORMÁTICA")</f>
        <v>TALLER SFT DE COMPUTACIÓN E INFORMÁTICA</v>
      </c>
      <c r="D623" s="213" t="str">
        <f>IFERROR(__xludf.DUMMYFUNCTION("""COMPUTED_VALUE"""),"MOBILIARIO")</f>
        <v>MOBILIARIO</v>
      </c>
      <c r="E623" s="213" t="str">
        <f>IFERROR(__xludf.DUMMYFUNCTION("""COMPUTED_VALUE"""),"MOB-114")</f>
        <v>MOB-114</v>
      </c>
      <c r="F623" s="213" t="str">
        <f>IFERROR(__xludf.DUMMYFUNCTION("""COMPUTED_VALUE"""),"MOB-114-Y")</f>
        <v>MOB-114-Y</v>
      </c>
      <c r="G623" s="213"/>
      <c r="H623" s="213" t="str">
        <f>IFERROR(__xludf.DUMMYFUNCTION("""COMPUTED_VALUE"""),"ESCRITORIO PARA EL DOCENTE")</f>
        <v>ESCRITORIO PARA EL DOCENTE</v>
      </c>
      <c r="I623"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1000mmm x 600mmm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1000mmm x 600mmm x 760 mm.
· El escritorio no requiere ser anclado al piso.</v>
      </c>
      <c r="J623" s="213">
        <f>IFERROR(__xludf.DUMMYFUNCTION("""COMPUTED_VALUE"""),3.0)</f>
        <v>3</v>
      </c>
      <c r="K623" s="213" t="str">
        <f>IFERROR(__xludf.DUMMYFUNCTION("""COMPUTED_VALUE"""),"90 DÍAS CALENDARIO")</f>
        <v>90 DÍAS CALENDARIO</v>
      </c>
      <c r="L623" s="213" t="str">
        <f>IFERROR(__xludf.DUMMYFUNCTION("""COMPUTED_VALUE"""),"")</f>
        <v/>
      </c>
      <c r="M623" s="213">
        <f>IFERROR(__xludf.DUMMYFUNCTION("""COMPUTED_VALUE"""),1.0)</f>
        <v>1</v>
      </c>
      <c r="N623" s="213">
        <f>IFERROR(__xludf.DUMMYFUNCTION("""COMPUTED_VALUE"""),1.0)</f>
        <v>1</v>
      </c>
      <c r="O623" s="213">
        <f>IFERROR(__xludf.DUMMYFUNCTION("""COMPUTED_VALUE"""),1.0)</f>
        <v>1</v>
      </c>
      <c r="P623" s="213"/>
      <c r="Q623" s="213"/>
      <c r="R623" s="213"/>
      <c r="S623" s="213"/>
      <c r="T623" s="213"/>
      <c r="U623" s="213"/>
      <c r="V623" s="213"/>
      <c r="W623" s="213"/>
      <c r="X623" s="213"/>
      <c r="Y623" s="213"/>
      <c r="Z623" s="213"/>
      <c r="AA623" s="213"/>
      <c r="AB623" s="213"/>
      <c r="AC623" s="213"/>
      <c r="AD623" s="213"/>
      <c r="AE623" s="213"/>
      <c r="AF623" s="213"/>
      <c r="AG623" s="213"/>
      <c r="AH623" s="213"/>
      <c r="AI623" s="213"/>
      <c r="AJ623" s="213"/>
      <c r="AK623" s="213"/>
      <c r="AL623" s="213"/>
      <c r="AM623" s="213"/>
      <c r="AN623" s="213"/>
      <c r="AO623" s="213"/>
      <c r="AP623" s="213"/>
      <c r="AQ623" s="213"/>
      <c r="AR623" s="213"/>
      <c r="AS623" s="213"/>
      <c r="AT623" s="213"/>
      <c r="AU623" s="213"/>
      <c r="AV623" s="213"/>
      <c r="AW623" s="213"/>
      <c r="AX623" s="213"/>
      <c r="AY623" s="213"/>
      <c r="AZ623" s="213"/>
      <c r="BA623" s="213"/>
      <c r="BB623" s="213"/>
      <c r="BC623" s="213"/>
      <c r="BD623" s="213"/>
    </row>
    <row r="624">
      <c r="A624" s="213">
        <f>IFERROR(__xludf.DUMMYFUNCTION("""COMPUTED_VALUE"""),2011.0)</f>
        <v>2011</v>
      </c>
      <c r="B624" s="213" t="str">
        <f>IFERROR(__xludf.DUMMYFUNCTION("""COMPUTED_VALUE"""),"JOSE GRANDA")</f>
        <v>JOSE GRANDA</v>
      </c>
      <c r="C624" s="213" t="str">
        <f>IFERROR(__xludf.DUMMYFUNCTION("""COMPUTED_VALUE"""),"TALLER SFT DE INDUSTRIA ALIMENTARIA")</f>
        <v>TALLER SFT DE INDUSTRIA ALIMENTARIA</v>
      </c>
      <c r="D624" s="213" t="str">
        <f>IFERROR(__xludf.DUMMYFUNCTION("""COMPUTED_VALUE"""),"MOBILIARIO")</f>
        <v>MOBILIARIO</v>
      </c>
      <c r="E624" s="213" t="str">
        <f>IFERROR(__xludf.DUMMYFUNCTION("""COMPUTED_VALUE"""),"MOB-114")</f>
        <v>MOB-114</v>
      </c>
      <c r="F624" s="213" t="str">
        <f>IFERROR(__xludf.DUMMYFUNCTION("""COMPUTED_VALUE"""),"MOB-114-Y")</f>
        <v>MOB-114-Y</v>
      </c>
      <c r="G624" s="213"/>
      <c r="H624" s="213" t="str">
        <f>IFERROR(__xludf.DUMMYFUNCTION("""COMPUTED_VALUE"""),"ESCRITORIO PARA EL DOCENTE")</f>
        <v>ESCRITORIO PARA EL DOCENTE</v>
      </c>
      <c r="I624"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24" s="213">
        <f>IFERROR(__xludf.DUMMYFUNCTION("""COMPUTED_VALUE"""),3.0)</f>
        <v>3</v>
      </c>
      <c r="K624" s="213" t="str">
        <f>IFERROR(__xludf.DUMMYFUNCTION("""COMPUTED_VALUE"""),"90 DÍAS CALENDARIO")</f>
        <v>90 DÍAS CALENDARIO</v>
      </c>
      <c r="L624" s="213" t="str">
        <f>IFERROR(__xludf.DUMMYFUNCTION("""COMPUTED_VALUE"""),"")</f>
        <v/>
      </c>
      <c r="M624" s="213">
        <f>IFERROR(__xludf.DUMMYFUNCTION("""COMPUTED_VALUE"""),1.0)</f>
        <v>1</v>
      </c>
      <c r="N624" s="213">
        <f>IFERROR(__xludf.DUMMYFUNCTION("""COMPUTED_VALUE"""),1.0)</f>
        <v>1</v>
      </c>
      <c r="O624" s="213">
        <f>IFERROR(__xludf.DUMMYFUNCTION("""COMPUTED_VALUE"""),1.0)</f>
        <v>1</v>
      </c>
      <c r="P624" s="213"/>
      <c r="Q624" s="213"/>
      <c r="R624" s="213"/>
      <c r="S624" s="213"/>
      <c r="T624" s="213"/>
      <c r="U624" s="213"/>
      <c r="V624" s="213"/>
      <c r="W624" s="213"/>
      <c r="X624" s="213"/>
      <c r="Y624" s="213"/>
      <c r="Z624" s="213"/>
      <c r="AA624" s="213"/>
      <c r="AB624" s="213"/>
      <c r="AC624" s="213"/>
      <c r="AD624" s="213"/>
      <c r="AE624" s="213"/>
      <c r="AF624" s="213"/>
      <c r="AG624" s="213"/>
      <c r="AH624" s="213"/>
      <c r="AI624" s="213"/>
      <c r="AJ624" s="213"/>
      <c r="AK624" s="213"/>
      <c r="AL624" s="213"/>
      <c r="AM624" s="213"/>
      <c r="AN624" s="213"/>
      <c r="AO624" s="213"/>
      <c r="AP624" s="213"/>
      <c r="AQ624" s="213"/>
      <c r="AR624" s="213"/>
      <c r="AS624" s="213"/>
      <c r="AT624" s="213"/>
      <c r="AU624" s="213"/>
      <c r="AV624" s="213"/>
      <c r="AW624" s="213"/>
      <c r="AX624" s="213"/>
      <c r="AY624" s="213"/>
      <c r="AZ624" s="213"/>
      <c r="BA624" s="213"/>
      <c r="BB624" s="213"/>
      <c r="BC624" s="213"/>
      <c r="BD624" s="213"/>
    </row>
    <row r="625">
      <c r="A625" s="213">
        <f>IFERROR(__xludf.DUMMYFUNCTION("""COMPUTED_VALUE"""),2211.0)</f>
        <v>2211</v>
      </c>
      <c r="B625" s="213" t="str">
        <f>IFERROR(__xludf.DUMMYFUNCTION("""COMPUTED_VALUE"""),"JOSE GRANDA")</f>
        <v>JOSE GRANDA</v>
      </c>
      <c r="C625" s="213" t="str">
        <f>IFERROR(__xludf.DUMMYFUNCTION("""COMPUTED_VALUE"""),"TALLER SFT DE MECÁNICA AUTOMOTRIZ")</f>
        <v>TALLER SFT DE MECÁNICA AUTOMOTRIZ</v>
      </c>
      <c r="D625" s="213" t="str">
        <f>IFERROR(__xludf.DUMMYFUNCTION("""COMPUTED_VALUE"""),"MOBILIARIO")</f>
        <v>MOBILIARIO</v>
      </c>
      <c r="E625" s="213" t="str">
        <f>IFERROR(__xludf.DUMMYFUNCTION("""COMPUTED_VALUE"""),"MOB-114")</f>
        <v>MOB-114</v>
      </c>
      <c r="F625" s="213" t="str">
        <f>IFERROR(__xludf.DUMMYFUNCTION("""COMPUTED_VALUE"""),"MOB-114-X")</f>
        <v>MOB-114-X</v>
      </c>
      <c r="G625" s="213"/>
      <c r="H625" s="213" t="str">
        <f>IFERROR(__xludf.DUMMYFUNCTION("""COMPUTED_VALUE"""),"ESCRITORIO PARA EL DOCENTE")</f>
        <v>ESCRITORIO PARA EL DOCENTE</v>
      </c>
      <c r="I625"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inferiores de acero tubular cuadrado de 1½” x 1.5 mm como mínimo.
· 02 cajones en el extremo derecho, medidas mínimas de los cajones: ancho 40 cm, profundidad 40 cm y alto 14 cm; con sus respectivo"&amp;"s tiradores.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inferiores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25" s="213">
        <f>IFERROR(__xludf.DUMMYFUNCTION("""COMPUTED_VALUE"""),3.0)</f>
        <v>3</v>
      </c>
      <c r="K625" s="213" t="str">
        <f>IFERROR(__xludf.DUMMYFUNCTION("""COMPUTED_VALUE"""),"90 DÍAS CALENDARIO")</f>
        <v>90 DÍAS CALENDARIO</v>
      </c>
      <c r="L625" s="213" t="str">
        <f>IFERROR(__xludf.DUMMYFUNCTION("""COMPUTED_VALUE"""),"")</f>
        <v/>
      </c>
      <c r="M625" s="213">
        <f>IFERROR(__xludf.DUMMYFUNCTION("""COMPUTED_VALUE"""),1.0)</f>
        <v>1</v>
      </c>
      <c r="N625" s="213">
        <f>IFERROR(__xludf.DUMMYFUNCTION("""COMPUTED_VALUE"""),1.0)</f>
        <v>1</v>
      </c>
      <c r="O625" s="213">
        <f>IFERROR(__xludf.DUMMYFUNCTION("""COMPUTED_VALUE"""),1.0)</f>
        <v>1</v>
      </c>
      <c r="P625" s="213"/>
      <c r="Q625" s="213"/>
      <c r="R625" s="213"/>
      <c r="S625" s="213"/>
      <c r="T625" s="213"/>
      <c r="U625" s="213"/>
      <c r="V625" s="213"/>
      <c r="W625" s="213"/>
      <c r="X625" s="213"/>
      <c r="Y625" s="213"/>
      <c r="Z625" s="213"/>
      <c r="AA625" s="213"/>
      <c r="AB625" s="213"/>
      <c r="AC625" s="213"/>
      <c r="AD625" s="213"/>
      <c r="AE625" s="213"/>
      <c r="AF625" s="213"/>
      <c r="AG625" s="213"/>
      <c r="AH625" s="213"/>
      <c r="AI625" s="213"/>
      <c r="AJ625" s="213"/>
      <c r="AK625" s="213"/>
      <c r="AL625" s="213"/>
      <c r="AM625" s="213"/>
      <c r="AN625" s="213"/>
      <c r="AO625" s="213"/>
      <c r="AP625" s="213"/>
      <c r="AQ625" s="213"/>
      <c r="AR625" s="213"/>
      <c r="AS625" s="213"/>
      <c r="AT625" s="213"/>
      <c r="AU625" s="213"/>
      <c r="AV625" s="213"/>
      <c r="AW625" s="213"/>
      <c r="AX625" s="213"/>
      <c r="AY625" s="213"/>
      <c r="AZ625" s="213"/>
      <c r="BA625" s="213"/>
      <c r="BB625" s="213"/>
      <c r="BC625" s="213"/>
      <c r="BD625" s="213"/>
    </row>
    <row r="626">
      <c r="A626" s="213">
        <f>IFERROR(__xludf.DUMMYFUNCTION("""COMPUTED_VALUE"""),2355.0)</f>
        <v>2355</v>
      </c>
      <c r="B626" s="213" t="str">
        <f>IFERROR(__xludf.DUMMYFUNCTION("""COMPUTED_VALUE"""),"MANUEL ANTONIO MESONES MURO")</f>
        <v>MANUEL ANTONIO MESONES MURO</v>
      </c>
      <c r="C626" s="213" t="str">
        <f>IFERROR(__xludf.DUMMYFUNCTION("""COMPUTED_VALUE"""),"TALLER SFT DE INDUSTRIA DEL VESTIDO")</f>
        <v>TALLER SFT DE INDUSTRIA DEL VESTIDO</v>
      </c>
      <c r="D626" s="213" t="str">
        <f>IFERROR(__xludf.DUMMYFUNCTION("""COMPUTED_VALUE"""),"MOBILIARIO")</f>
        <v>MOBILIARIO</v>
      </c>
      <c r="E626" s="213" t="str">
        <f>IFERROR(__xludf.DUMMYFUNCTION("""COMPUTED_VALUE"""),"MOB-114")</f>
        <v>MOB-114</v>
      </c>
      <c r="F626" s="213" t="str">
        <f>IFERROR(__xludf.DUMMYFUNCTION("""COMPUTED_VALUE"""),"MOB-114-Y")</f>
        <v>MOB-114-Y</v>
      </c>
      <c r="G626" s="213"/>
      <c r="H626" s="213" t="str">
        <f>IFERROR(__xludf.DUMMYFUNCTION("""COMPUTED_VALUE"""),"ESCRITORIO PARA EL DOCENTE")</f>
        <v>ESCRITORIO PARA EL DOCENTE</v>
      </c>
      <c r="I626"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de acero tubular cuadrado de 1½” x 1.5 mm como mínimo.
· 02 cajones en el extremo derecho, medidas mínimas de los cajones: ancho 40 cm, profundidad 40 cm y alto 14 cm; con sus respectivos tiradores"&amp;".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26" s="213">
        <f>IFERROR(__xludf.DUMMYFUNCTION("""COMPUTED_VALUE"""),3.0)</f>
        <v>3</v>
      </c>
      <c r="K626" s="213" t="str">
        <f>IFERROR(__xludf.DUMMYFUNCTION("""COMPUTED_VALUE"""),"90 DÍAS CALENDARIO")</f>
        <v>90 DÍAS CALENDARIO</v>
      </c>
      <c r="L626" s="213" t="str">
        <f>IFERROR(__xludf.DUMMYFUNCTION("""COMPUTED_VALUE"""),"")</f>
        <v/>
      </c>
      <c r="M626" s="213">
        <f>IFERROR(__xludf.DUMMYFUNCTION("""COMPUTED_VALUE"""),1.0)</f>
        <v>1</v>
      </c>
      <c r="N626" s="213">
        <f>IFERROR(__xludf.DUMMYFUNCTION("""COMPUTED_VALUE"""),1.0)</f>
        <v>1</v>
      </c>
      <c r="O626" s="213">
        <f>IFERROR(__xludf.DUMMYFUNCTION("""COMPUTED_VALUE"""),1.0)</f>
        <v>1</v>
      </c>
      <c r="P626" s="213"/>
      <c r="Q626" s="213"/>
      <c r="R626" s="213"/>
      <c r="S626" s="213"/>
      <c r="T626" s="213"/>
      <c r="U626" s="213"/>
      <c r="V626" s="213"/>
      <c r="W626" s="213"/>
      <c r="X626" s="213"/>
      <c r="Y626" s="213"/>
      <c r="Z626" s="213"/>
      <c r="AA626" s="213"/>
      <c r="AB626" s="213"/>
      <c r="AC626" s="213"/>
      <c r="AD626" s="213"/>
      <c r="AE626" s="213"/>
      <c r="AF626" s="213"/>
      <c r="AG626" s="213"/>
      <c r="AH626" s="213"/>
      <c r="AI626" s="213"/>
      <c r="AJ626" s="213"/>
      <c r="AK626" s="213"/>
      <c r="AL626" s="213"/>
      <c r="AM626" s="213"/>
      <c r="AN626" s="213"/>
      <c r="AO626" s="213"/>
      <c r="AP626" s="213"/>
      <c r="AQ626" s="213"/>
      <c r="AR626" s="213"/>
      <c r="AS626" s="213"/>
      <c r="AT626" s="213"/>
      <c r="AU626" s="213"/>
      <c r="AV626" s="213"/>
      <c r="AW626" s="213"/>
      <c r="AX626" s="213"/>
      <c r="AY626" s="213"/>
      <c r="AZ626" s="213"/>
      <c r="BA626" s="213"/>
      <c r="BB626" s="213"/>
      <c r="BC626" s="213"/>
      <c r="BD626" s="213"/>
    </row>
    <row r="627">
      <c r="A627" s="213">
        <f>IFERROR(__xludf.DUMMYFUNCTION("""COMPUTED_VALUE"""),2484.0)</f>
        <v>2484</v>
      </c>
      <c r="B627" s="213" t="str">
        <f>IFERROR(__xludf.DUMMYFUNCTION("""COMPUTED_VALUE"""),"MANUEL ANTONIO MESONES MURO")</f>
        <v>MANUEL ANTONIO MESONES MURO</v>
      </c>
      <c r="C627" s="213" t="str">
        <f>IFERROR(__xludf.DUMMYFUNCTION("""COMPUTED_VALUE"""),"TALLER SFT DE CONSTRUCCIONES METÁLICAS")</f>
        <v>TALLER SFT DE CONSTRUCCIONES METÁLICAS</v>
      </c>
      <c r="D627" s="213" t="str">
        <f>IFERROR(__xludf.DUMMYFUNCTION("""COMPUTED_VALUE"""),"HERRAMIENTAS")</f>
        <v>HERRAMIENTAS</v>
      </c>
      <c r="E627" s="213" t="str">
        <f>IFERROR(__xludf.DUMMYFUNCTION("""COMPUTED_VALUE"""),"COM-161")</f>
        <v>COM-161</v>
      </c>
      <c r="F627" s="213" t="str">
        <f>IFERROR(__xludf.DUMMYFUNCTION("""COMPUTED_VALUE"""),"COM-161-Y")</f>
        <v>COM-161-Y</v>
      </c>
      <c r="G627" s="213"/>
      <c r="H627" s="213" t="str">
        <f>IFERROR(__xludf.DUMMYFUNCTION("""COMPUTED_VALUE"""),"ESCUADRA DE COMBINACIÓN")</f>
        <v>ESCUADRA DE COMBINACIÓN</v>
      </c>
      <c r="I627" s="213" t="str">
        <f>IFERROR(__xludf.DUMMYFUNCTION("""COMPUTED_VALUE"""),"Escala graduada de 0 a 180° de 0-90°
-       Cabezal de fierro fundido
-       Nivel de burbujas
-       Regla de acero al alto carbono endurecido y templado
-       Longitud mínima 300 mm")</f>
        <v>Escala graduada de 0 a 180° de 0-90°
-       Cabezal de fierro fundido
-       Nivel de burbujas
-       Regla de acero al alto carbono endurecido y templado
-       Longitud mínima 300 mm</v>
      </c>
      <c r="J627" s="213">
        <f>IFERROR(__xludf.DUMMYFUNCTION("""COMPUTED_VALUE"""),3.0)</f>
        <v>3</v>
      </c>
      <c r="K627" s="213" t="str">
        <f>IFERROR(__xludf.DUMMYFUNCTION("""COMPUTED_VALUE"""),"90 DÍAS CALENDARIO")</f>
        <v>90 DÍAS CALENDARIO</v>
      </c>
      <c r="L627" s="213" t="str">
        <f>IFERROR(__xludf.DUMMYFUNCTION("""COMPUTED_VALUE"""),"")</f>
        <v/>
      </c>
      <c r="M627" s="213">
        <f>IFERROR(__xludf.DUMMYFUNCTION("""COMPUTED_VALUE"""),1.0)</f>
        <v>1</v>
      </c>
      <c r="N627" s="213">
        <f>IFERROR(__xludf.DUMMYFUNCTION("""COMPUTED_VALUE"""),10.0)</f>
        <v>10</v>
      </c>
      <c r="O627" s="213">
        <f>IFERROR(__xludf.DUMMYFUNCTION("""COMPUTED_VALUE"""),10.0)</f>
        <v>10</v>
      </c>
      <c r="P627" s="213"/>
      <c r="Q627" s="213"/>
      <c r="R627" s="213"/>
      <c r="S627" s="213"/>
      <c r="T627" s="213" t="str">
        <f>IFERROR(__xludf.DUMMYFUNCTION("""COMPUTED_VALUE"""),"SI")</f>
        <v>SI</v>
      </c>
      <c r="U627" s="213" t="str">
        <f>IFERROR(__xludf.DUMMYFUNCTION("""COMPUTED_VALUE"""),"SI")</f>
        <v>SI</v>
      </c>
      <c r="V627" s="213" t="str">
        <f>IFERROR(__xludf.DUMMYFUNCTION("""COMPUTED_VALUE"""),"-")</f>
        <v>-</v>
      </c>
      <c r="W627" s="213" t="str">
        <f>IFERROR(__xludf.DUMMYFUNCTION("""COMPUTED_VALUE"""),"-")</f>
        <v>-</v>
      </c>
      <c r="X627" s="213" t="str">
        <f>IFERROR(__xludf.DUMMYFUNCTION("""COMPUTED_VALUE"""),"TRUPER")</f>
        <v>TRUPER</v>
      </c>
      <c r="Y627" s="213">
        <f>IFERROR(__xludf.DUMMYFUNCTION("""COMPUTED_VALUE"""),14380.0)</f>
        <v>14380</v>
      </c>
      <c r="Z627" s="215" t="str">
        <f>IFERROR(__xludf.DUMMYFUNCTION("""COMPUTED_VALUE"""),"https://cahema.pe/escuadras/15783-escuadra-combinada-12-truper-14380-7501206630457.html")</f>
        <v>https://cahema.pe/escuadras/15783-escuadra-combinada-12-truper-14380-7501206630457.html</v>
      </c>
      <c r="AA627" s="213" t="str">
        <f>IFERROR(__xludf.DUMMYFUNCTION("""COMPUTED_VALUE"""),"COM-161-Y ESCUADRA DE COMBINACIÓN - CET")</f>
        <v>COM-161-Y ESCUADRA DE COMBINACIÓN - CET</v>
      </c>
      <c r="AB627" s="213"/>
      <c r="AC627" s="213"/>
      <c r="AD627" s="213"/>
      <c r="AE627" s="213"/>
      <c r="AF627" s="213"/>
      <c r="AG627" s="213"/>
      <c r="AH627" s="213"/>
      <c r="AI627" s="213"/>
      <c r="AJ627" s="213"/>
      <c r="AK627" s="213"/>
      <c r="AL627" s="213"/>
      <c r="AM627" s="213"/>
      <c r="AN627" s="213"/>
      <c r="AO627" s="213"/>
      <c r="AP627" s="213" t="str">
        <f>IFERROR(__xludf.DUMMYFUNCTION("""COMPUTED_VALUE"""),"LUIS")</f>
        <v>LUIS</v>
      </c>
      <c r="AQ627" s="213"/>
      <c r="AR627" s="213"/>
      <c r="AS627" s="213"/>
      <c r="AT627" s="213"/>
      <c r="AU627" s="213"/>
      <c r="AV627" s="213"/>
      <c r="AW627" s="213"/>
      <c r="AX627" s="213"/>
      <c r="AY627" s="213"/>
      <c r="AZ627" s="213"/>
      <c r="BA627" s="213"/>
      <c r="BB627" s="213"/>
      <c r="BC627" s="213"/>
      <c r="BD627" s="213"/>
    </row>
    <row r="628">
      <c r="A628" s="213">
        <f>IFERROR(__xludf.DUMMYFUNCTION("""COMPUTED_VALUE"""),2544.0)</f>
        <v>2544</v>
      </c>
      <c r="B628" s="213" t="str">
        <f>IFERROR(__xludf.DUMMYFUNCTION("""COMPUTED_VALUE"""),"MANUEL ANTONIO MESONES MURO")</f>
        <v>MANUEL ANTONIO MESONES MURO</v>
      </c>
      <c r="C628" s="213" t="str">
        <f>IFERROR(__xludf.DUMMYFUNCTION("""COMPUTED_VALUE"""),"TALLER SFT DE EBANISTERÍA")</f>
        <v>TALLER SFT DE EBANISTERÍA</v>
      </c>
      <c r="D628" s="213" t="str">
        <f>IFERROR(__xludf.DUMMYFUNCTION("""COMPUTED_VALUE"""),"MOBILIARIO")</f>
        <v>MOBILIARIO</v>
      </c>
      <c r="E628" s="213" t="str">
        <f>IFERROR(__xludf.DUMMYFUNCTION("""COMPUTED_VALUE"""),"MOB-114")</f>
        <v>MOB-114</v>
      </c>
      <c r="F628" s="213" t="str">
        <f>IFERROR(__xludf.DUMMYFUNCTION("""COMPUTED_VALUE"""),"MOB-114-X")</f>
        <v>MOB-114-X</v>
      </c>
      <c r="G628" s="213"/>
      <c r="H628" s="213" t="str">
        <f>IFERROR(__xludf.DUMMYFUNCTION("""COMPUTED_VALUE"""),"ESCRITORIO PARA EL DOCENTE")</f>
        <v>ESCRITORIO PARA EL DOCENTE</v>
      </c>
      <c r="I628" s="213" t="str">
        <f>IFERROR(__xludf.DUMMYFUNCTION("""COMPUTED_VALUE"""),"· Tablero de madera aglomerada bilaminado, mínimo 18 mm de espesor, canteado en PVC de 3 mm.
· Estructura metálica, mínimo de tubo cuadrado de 1½” x 1.5 mm.
· Con tablero inferior para teclado y mouse.
· Soporte 4 patas de tubo cuadrado de 1½” x 1.5 mm co"&amp;"mo mínimo, con regatones antideslizantes.
· Con 3 amarres infeiores de acero tubular cuadrado de 1½” x 1.5 mm como mínimo.
· 02 cajones en el extremo derecho, medidas mínimas de los cajones: ancho 40 cm, profundidad 40 cm y alto 14 cm; con sus respectivos"&amp;" tiradores.
· Acabado en pintura de polvo electrostático (60 micras mínimo).
· Dimensiones mínimas: 1000 x 600 x 760 mm.
· El escritorio no requiere ser anclado al piso")</f>
        <v>· Tablero de madera aglomerada bilaminado, mínimo 18 mm de espesor, canteado en PVC de 3 mm.
· Estructura metálica, mínimo de tubo cuadrado de 1½” x 1.5 mm.
· Con tablero inferior para teclado y mouse.
· Soporte 4 patas de tubo cuadrado de 1½” x 1.5 mm como mínimo, con regatones antideslizantes.
· Con 3 amarres infeiores de acero tubular cuadrado de 1½” x 1.5 mm como mínimo.
· 02 cajones en el extremo derecho, medidas mínimas de los cajones: ancho 40 cm, profundidad 40 cm y alto 14 cm; con sus respectivos tiradores.
· Acabado en pintura de polvo electrostático (60 micras mínimo).
· Dimensiones mínimas: 1000 x 600 x 760 mm.
· El escritorio no requiere ser anclado al piso</v>
      </c>
      <c r="J628" s="213">
        <f>IFERROR(__xludf.DUMMYFUNCTION("""COMPUTED_VALUE"""),3.0)</f>
        <v>3</v>
      </c>
      <c r="K628" s="213" t="str">
        <f>IFERROR(__xludf.DUMMYFUNCTION("""COMPUTED_VALUE"""),"90 DÍAS CALENDARIO")</f>
        <v>90 DÍAS CALENDARIO</v>
      </c>
      <c r="L628" s="213" t="str">
        <f>IFERROR(__xludf.DUMMYFUNCTION("""COMPUTED_VALUE"""),"")</f>
        <v/>
      </c>
      <c r="M628" s="213">
        <f>IFERROR(__xludf.DUMMYFUNCTION("""COMPUTED_VALUE"""),1.0)</f>
        <v>1</v>
      </c>
      <c r="N628" s="213">
        <f>IFERROR(__xludf.DUMMYFUNCTION("""COMPUTED_VALUE"""),1.0)</f>
        <v>1</v>
      </c>
      <c r="O628" s="213">
        <f>IFERROR(__xludf.DUMMYFUNCTION("""COMPUTED_VALUE"""),1.0)</f>
        <v>1</v>
      </c>
      <c r="P628" s="213"/>
      <c r="Q628" s="213"/>
      <c r="R628" s="213"/>
      <c r="S628" s="213"/>
      <c r="T628" s="213"/>
      <c r="U628" s="213"/>
      <c r="V628" s="213"/>
      <c r="W628" s="213"/>
      <c r="X628" s="213"/>
      <c r="Y628" s="213"/>
      <c r="Z628" s="213"/>
      <c r="AA628" s="213"/>
      <c r="AB628" s="213"/>
      <c r="AC628" s="213"/>
      <c r="AD628" s="213"/>
      <c r="AE628" s="213"/>
      <c r="AF628" s="213"/>
      <c r="AG628" s="213"/>
      <c r="AH628" s="213"/>
      <c r="AI628" s="213"/>
      <c r="AJ628" s="213"/>
      <c r="AK628" s="213"/>
      <c r="AL628" s="213"/>
      <c r="AM628" s="213"/>
      <c r="AN628" s="213"/>
      <c r="AO628" s="213"/>
      <c r="AP628" s="213"/>
      <c r="AQ628" s="213"/>
      <c r="AR628" s="213"/>
      <c r="AS628" s="213"/>
      <c r="AT628" s="213"/>
      <c r="AU628" s="213"/>
      <c r="AV628" s="213"/>
      <c r="AW628" s="213"/>
      <c r="AX628" s="213"/>
      <c r="AY628" s="213"/>
      <c r="AZ628" s="213"/>
      <c r="BA628" s="213"/>
      <c r="BB628" s="213"/>
      <c r="BC628" s="213"/>
      <c r="BD628" s="213"/>
    </row>
    <row r="629">
      <c r="A629" s="213">
        <f>IFERROR(__xludf.DUMMYFUNCTION("""COMPUTED_VALUE"""),340.0)</f>
        <v>340</v>
      </c>
      <c r="B629" s="213" t="str">
        <f>IFERROR(__xludf.DUMMYFUNCTION("""COMPUTED_VALUE"""),"2026 SIMON BOLIVAR")</f>
        <v>2026 SIMON BOLIVAR</v>
      </c>
      <c r="C629" s="213" t="str">
        <f>IFERROR(__xludf.DUMMYFUNCTION("""COMPUTED_VALUE"""),"TALLER SFT DE ELECTRICIDAD")</f>
        <v>TALLER SFT DE ELECTRICIDAD</v>
      </c>
      <c r="D629" s="213" t="str">
        <f>IFERROR(__xludf.DUMMYFUNCTION("""COMPUTED_VALUE"""),"MOBILIARIO")</f>
        <v>MOBILIARIO</v>
      </c>
      <c r="E629" s="213" t="str">
        <f>IFERROR(__xludf.DUMMYFUNCTION("""COMPUTED_VALUE"""),"MOB-115")</f>
        <v>MOB-115</v>
      </c>
      <c r="F629" s="213" t="str">
        <f>IFERROR(__xludf.DUMMYFUNCTION("""COMPUTED_VALUE"""),"MOB-115")</f>
        <v>MOB-115</v>
      </c>
      <c r="G629" s="213"/>
      <c r="H629" s="213" t="str">
        <f>IFERROR(__xludf.DUMMYFUNCTION("""COMPUTED_VALUE"""),"ESCRITORIO RODABLE DOCENTE")</f>
        <v>ESCRITORIO RODABLE DOCENTE</v>
      </c>
      <c r="I629" s="213" t="str">
        <f>IFERROR(__xludf.DUMMYFUNCTION("""COMPUTED_VALUE"""),"· Marco de acero con recubrimiento de protección frente a la corrosión, el óxido y los arañazos.
· Aglomerado bilaminado, mínimo 18 mm de espesor,canteado en PVC de 3 mm o similar.
· Con 4 ruedas de baja fricción que permiten el desplazamiento del escrito"&amp;"rio sin arruinar el suelo.
· Alta capacidad de carga (máximo de 136 kg) con superficie de trabajo multifuncional.
· Material: Acero, Aglomerado.
· Dimensiones aproximadas: 100cm x 60cm x 75cm.")</f>
        <v>· Marco de acero con recubrimiento de protección frente a la corrosión, el óxido y los arañazos.
· Aglomerado bilaminado, mínimo 18 mm de espesor,canteado en PVC de 3 mm o similar.
· Con 4 ruedas de baja fricción que permiten el desplazamiento del escritorio sin arruinar el suelo.
· Alta capacidad de carga (máximo de 136 kg) con superficie de trabajo multifuncional.
· Material: Acero, Aglomerado.
· Dimensiones aproximadas: 100cm x 60cm x 75cm.</v>
      </c>
      <c r="J629" s="213">
        <f>IFERROR(__xludf.DUMMYFUNCTION("""COMPUTED_VALUE"""),3.0)</f>
        <v>3</v>
      </c>
      <c r="K629" s="213" t="str">
        <f>IFERROR(__xludf.DUMMYFUNCTION("""COMPUTED_VALUE"""),"90 DÍAS CALENDARIO")</f>
        <v>90 DÍAS CALENDARIO</v>
      </c>
      <c r="L629" s="213" t="str">
        <f>IFERROR(__xludf.DUMMYFUNCTION("""COMPUTED_VALUE"""),"")</f>
        <v/>
      </c>
      <c r="M629" s="213">
        <f>IFERROR(__xludf.DUMMYFUNCTION("""COMPUTED_VALUE"""),1.0)</f>
        <v>1</v>
      </c>
      <c r="N629" s="213">
        <f>IFERROR(__xludf.DUMMYFUNCTION("""COMPUTED_VALUE"""),1.0)</f>
        <v>1</v>
      </c>
      <c r="O629" s="213">
        <f>IFERROR(__xludf.DUMMYFUNCTION("""COMPUTED_VALUE"""),1.0)</f>
        <v>1</v>
      </c>
      <c r="P629" s="213"/>
      <c r="Q629" s="213"/>
      <c r="R629" s="213"/>
      <c r="S629" s="213"/>
      <c r="T629" s="213"/>
      <c r="U629" s="213"/>
      <c r="V629" s="213"/>
      <c r="W629" s="213"/>
      <c r="X629" s="213"/>
      <c r="Y629" s="213"/>
      <c r="Z629" s="213"/>
      <c r="AA629" s="213"/>
      <c r="AB629" s="213"/>
      <c r="AC629" s="213"/>
      <c r="AD629" s="213"/>
      <c r="AE629" s="213"/>
      <c r="AF629" s="213"/>
      <c r="AG629" s="213"/>
      <c r="AH629" s="213"/>
      <c r="AI629" s="213"/>
      <c r="AJ629" s="213"/>
      <c r="AK629" s="213"/>
      <c r="AL629" s="213"/>
      <c r="AM629" s="213"/>
      <c r="AN629" s="213"/>
      <c r="AO629" s="213"/>
      <c r="AP629" s="213"/>
      <c r="AQ629" s="213"/>
      <c r="AR629" s="213"/>
      <c r="AS629" s="213"/>
      <c r="AT629" s="213"/>
      <c r="AU629" s="213"/>
      <c r="AV629" s="213"/>
      <c r="AW629" s="213"/>
      <c r="AX629" s="213"/>
      <c r="AY629" s="213"/>
      <c r="AZ629" s="213"/>
      <c r="BA629" s="213"/>
      <c r="BB629" s="213"/>
      <c r="BC629" s="213"/>
      <c r="BD629" s="213"/>
    </row>
    <row r="630">
      <c r="A630" s="213">
        <f>IFERROR(__xludf.DUMMYFUNCTION("""COMPUTED_VALUE"""),446.0)</f>
        <v>446</v>
      </c>
      <c r="B630" s="213" t="str">
        <f>IFERROR(__xludf.DUMMYFUNCTION("""COMPUTED_VALUE"""),"2026 SIMON BOLIVAR")</f>
        <v>2026 SIMON BOLIVAR</v>
      </c>
      <c r="C630" s="213" t="str">
        <f>IFERROR(__xludf.DUMMYFUNCTION("""COMPUTED_VALUE"""),"TALLER SFT DE INDUSTRIA ALIMENTARIA")</f>
        <v>TALLER SFT DE INDUSTRIA ALIMENTARIA</v>
      </c>
      <c r="D630" s="213" t="str">
        <f>IFERROR(__xludf.DUMMYFUNCTION("""COMPUTED_VALUE"""),"MOBILIARIO")</f>
        <v>MOBILIARIO</v>
      </c>
      <c r="E630" s="213" t="str">
        <f>IFERROR(__xludf.DUMMYFUNCTION("""COMPUTED_VALUE"""),"MOB-115")</f>
        <v>MOB-115</v>
      </c>
      <c r="F630" s="213" t="str">
        <f>IFERROR(__xludf.DUMMYFUNCTION("""COMPUTED_VALUE"""),"MOB-115")</f>
        <v>MOB-115</v>
      </c>
      <c r="G630" s="213"/>
      <c r="H630" s="213" t="str">
        <f>IFERROR(__xludf.DUMMYFUNCTION("""COMPUTED_VALUE"""),"ESCRITORIO RODABLE DOCENTE")</f>
        <v>ESCRITORIO RODABLE DOCENTE</v>
      </c>
      <c r="I630" s="213" t="str">
        <f>IFERROR(__xludf.DUMMYFUNCTION("""COMPUTED_VALUE"""),"· Marco de acero con recubrimiento de protección frente a la corrosión, el óxido y los arañazos.
· Aglomerado bilaminado, mínimo 18 mm de espesor,canteado en PVC de 3 mm o similar.
· Con 4 ruedas de baja fricción que permiten el desplazamiento del escrito"&amp;"rio sin arruinar el suelo.
· Alta capacidad de carga (máximo de 136 kg) con superficie de trabajo multifuncional.
· Material: Acero, Aglomerado.
· Dimensiones aproximadas: 100cm x 60cm x 75cm.")</f>
        <v>· Marco de acero con recubrimiento de protección frente a la corrosión, el óxido y los arañazos.
· Aglomerado bilaminado, mínimo 18 mm de espesor,canteado en PVC de 3 mm o similar.
· Con 4 ruedas de baja fricción que permiten el desplazamiento del escritorio sin arruinar el suelo.
· Alta capacidad de carga (máximo de 136 kg) con superficie de trabajo multifuncional.
· Material: Acero, Aglomerado.
· Dimensiones aproximadas: 100cm x 60cm x 75cm.</v>
      </c>
      <c r="J630" s="213">
        <f>IFERROR(__xludf.DUMMYFUNCTION("""COMPUTED_VALUE"""),3.0)</f>
        <v>3</v>
      </c>
      <c r="K630" s="213" t="str">
        <f>IFERROR(__xludf.DUMMYFUNCTION("""COMPUTED_VALUE"""),"90 DÍAS CALENDARIO")</f>
        <v>90 DÍAS CALENDARIO</v>
      </c>
      <c r="L630" s="213" t="str">
        <f>IFERROR(__xludf.DUMMYFUNCTION("""COMPUTED_VALUE"""),"")</f>
        <v/>
      </c>
      <c r="M630" s="213">
        <f>IFERROR(__xludf.DUMMYFUNCTION("""COMPUTED_VALUE"""),1.0)</f>
        <v>1</v>
      </c>
      <c r="N630" s="213">
        <f>IFERROR(__xludf.DUMMYFUNCTION("""COMPUTED_VALUE"""),1.0)</f>
        <v>1</v>
      </c>
      <c r="O630" s="213">
        <f>IFERROR(__xludf.DUMMYFUNCTION("""COMPUTED_VALUE"""),1.0)</f>
        <v>1</v>
      </c>
      <c r="P630" s="213"/>
      <c r="Q630" s="213"/>
      <c r="R630" s="213"/>
      <c r="S630" s="213"/>
      <c r="T630" s="213"/>
      <c r="U630" s="213"/>
      <c r="V630" s="213"/>
      <c r="W630" s="213"/>
      <c r="X630" s="213"/>
      <c r="Y630" s="213"/>
      <c r="Z630" s="213"/>
      <c r="AA630" s="213"/>
      <c r="AB630" s="213"/>
      <c r="AC630" s="213"/>
      <c r="AD630" s="213"/>
      <c r="AE630" s="213"/>
      <c r="AF630" s="213"/>
      <c r="AG630" s="213"/>
      <c r="AH630" s="213"/>
      <c r="AI630" s="213"/>
      <c r="AJ630" s="213"/>
      <c r="AK630" s="213"/>
      <c r="AL630" s="213"/>
      <c r="AM630" s="213"/>
      <c r="AN630" s="213"/>
      <c r="AO630" s="213"/>
      <c r="AP630" s="213"/>
      <c r="AQ630" s="213"/>
      <c r="AR630" s="213"/>
      <c r="AS630" s="213"/>
      <c r="AT630" s="213"/>
      <c r="AU630" s="213"/>
      <c r="AV630" s="213"/>
      <c r="AW630" s="213"/>
      <c r="AX630" s="213"/>
      <c r="AY630" s="213"/>
      <c r="AZ630" s="213"/>
      <c r="BA630" s="213"/>
      <c r="BB630" s="213"/>
      <c r="BC630" s="213"/>
      <c r="BD630" s="213"/>
    </row>
    <row r="631">
      <c r="A631" s="213">
        <f>IFERROR(__xludf.DUMMYFUNCTION("""COMPUTED_VALUE"""),826.0)</f>
        <v>826</v>
      </c>
      <c r="B631" s="213" t="str">
        <f>IFERROR(__xludf.DUMMYFUNCTION("""COMPUTED_VALUE"""),"6049 RICARDO PALMA")</f>
        <v>6049 RICARDO PALMA</v>
      </c>
      <c r="C631" s="213" t="str">
        <f>IFERROR(__xludf.DUMMYFUNCTION("""COMPUTED_VALUE"""),"TALLER SFT DE ELECTRICIDAD")</f>
        <v>TALLER SFT DE ELECTRICIDAD</v>
      </c>
      <c r="D631" s="213" t="str">
        <f>IFERROR(__xludf.DUMMYFUNCTION("""COMPUTED_VALUE"""),"MOBILIARIO")</f>
        <v>MOBILIARIO</v>
      </c>
      <c r="E631" s="213" t="str">
        <f>IFERROR(__xludf.DUMMYFUNCTION("""COMPUTED_VALUE"""),"MOB-115")</f>
        <v>MOB-115</v>
      </c>
      <c r="F631" s="213" t="str">
        <f>IFERROR(__xludf.DUMMYFUNCTION("""COMPUTED_VALUE"""),"MOB-115")</f>
        <v>MOB-115</v>
      </c>
      <c r="G631" s="213"/>
      <c r="H631" s="213" t="str">
        <f>IFERROR(__xludf.DUMMYFUNCTION("""COMPUTED_VALUE"""),"ESCRITORIO RODABLE DOCENTE")</f>
        <v>ESCRITORIO RODABLE DOCENTE</v>
      </c>
      <c r="I631" s="213" t="str">
        <f>IFERROR(__xludf.DUMMYFUNCTION("""COMPUTED_VALUE"""),"· Marco de acero con recubrimiento de protección frente a la corrosión, el óxido y los arañazos.
· Aglomerado bilaminado, mínimo 18 mm de espesor,canteado en PVC de 3 mm o similar.
· Con 4 ruedas de baja fricción que permiten el desplazamiento del escrito"&amp;"rio sin arruinar el suelo.
· Alta capacidad de carga (máximo de 136 kg) con superficie de trabajo multifuncional.
· Material: Acero, Aglomerado.
· Dimensiones aproximadas: 100cm x 60cm x 75cm.")</f>
        <v>· Marco de acero con recubrimiento de protección frente a la corrosión, el óxido y los arañazos.
· Aglomerado bilaminado, mínimo 18 mm de espesor,canteado en PVC de 3 mm o similar.
· Con 4 ruedas de baja fricción que permiten el desplazamiento del escritorio sin arruinar el suelo.
· Alta capacidad de carga (máximo de 136 kg) con superficie de trabajo multifuncional.
· Material: Acero, Aglomerado.
· Dimensiones aproximadas: 100cm x 60cm x 75cm.</v>
      </c>
      <c r="J631" s="213">
        <f>IFERROR(__xludf.DUMMYFUNCTION("""COMPUTED_VALUE"""),3.0)</f>
        <v>3</v>
      </c>
      <c r="K631" s="213" t="str">
        <f>IFERROR(__xludf.DUMMYFUNCTION("""COMPUTED_VALUE"""),"90 DÍAS CALENDARIO")</f>
        <v>90 DÍAS CALENDARIO</v>
      </c>
      <c r="L631" s="213" t="str">
        <f>IFERROR(__xludf.DUMMYFUNCTION("""COMPUTED_VALUE"""),"")</f>
        <v/>
      </c>
      <c r="M631" s="213">
        <f>IFERROR(__xludf.DUMMYFUNCTION("""COMPUTED_VALUE"""),1.0)</f>
        <v>1</v>
      </c>
      <c r="N631" s="213">
        <f>IFERROR(__xludf.DUMMYFUNCTION("""COMPUTED_VALUE"""),1.0)</f>
        <v>1</v>
      </c>
      <c r="O631" s="213">
        <f>IFERROR(__xludf.DUMMYFUNCTION("""COMPUTED_VALUE"""),1.0)</f>
        <v>1</v>
      </c>
      <c r="P631" s="213"/>
      <c r="Q631" s="213"/>
      <c r="R631" s="213"/>
      <c r="S631" s="213"/>
      <c r="T631" s="213"/>
      <c r="U631" s="213"/>
      <c r="V631" s="213"/>
      <c r="W631" s="213"/>
      <c r="X631" s="213"/>
      <c r="Y631" s="213"/>
      <c r="Z631" s="213"/>
      <c r="AA631" s="213"/>
      <c r="AB631" s="213"/>
      <c r="AC631" s="213"/>
      <c r="AD631" s="213"/>
      <c r="AE631" s="213"/>
      <c r="AF631" s="213"/>
      <c r="AG631" s="213"/>
      <c r="AH631" s="213"/>
      <c r="AI631" s="213"/>
      <c r="AJ631" s="213"/>
      <c r="AK631" s="213"/>
      <c r="AL631" s="213"/>
      <c r="AM631" s="213"/>
      <c r="AN631" s="213"/>
      <c r="AO631" s="213"/>
      <c r="AP631" s="213"/>
      <c r="AQ631" s="213"/>
      <c r="AR631" s="213"/>
      <c r="AS631" s="213"/>
      <c r="AT631" s="213"/>
      <c r="AU631" s="213"/>
      <c r="AV631" s="213"/>
      <c r="AW631" s="213"/>
      <c r="AX631" s="213"/>
      <c r="AY631" s="213"/>
      <c r="AZ631" s="213"/>
      <c r="BA631" s="213"/>
      <c r="BB631" s="213"/>
      <c r="BC631" s="213"/>
      <c r="BD631" s="213"/>
    </row>
    <row r="632">
      <c r="A632" s="213">
        <f>IFERROR(__xludf.DUMMYFUNCTION("""COMPUTED_VALUE"""),1351.0)</f>
        <v>1351</v>
      </c>
      <c r="B632" s="213" t="str">
        <f>IFERROR(__xludf.DUMMYFUNCTION("""COMPUTED_VALUE"""),"GUILLERMO E. BILLINGHURST ")</f>
        <v>GUILLERMO E. BILLINGHURST </v>
      </c>
      <c r="C632" s="213" t="str">
        <f>IFERROR(__xludf.DUMMYFUNCTION("""COMPUTED_VALUE"""),"TALLER SFT DE INDUSTRIA ALIMENTARIA")</f>
        <v>TALLER SFT DE INDUSTRIA ALIMENTARIA</v>
      </c>
      <c r="D632" s="213" t="str">
        <f>IFERROR(__xludf.DUMMYFUNCTION("""COMPUTED_VALUE"""),"MOBILIARIO")</f>
        <v>MOBILIARIO</v>
      </c>
      <c r="E632" s="213" t="str">
        <f>IFERROR(__xludf.DUMMYFUNCTION("""COMPUTED_VALUE"""),"MOB-115")</f>
        <v>MOB-115</v>
      </c>
      <c r="F632" s="213" t="str">
        <f>IFERROR(__xludf.DUMMYFUNCTION("""COMPUTED_VALUE"""),"MOB-115")</f>
        <v>MOB-115</v>
      </c>
      <c r="G632" s="213"/>
      <c r="H632" s="213" t="str">
        <f>IFERROR(__xludf.DUMMYFUNCTION("""COMPUTED_VALUE"""),"ESCRITORIO RODABLE DOCENTE")</f>
        <v>ESCRITORIO RODABLE DOCENTE</v>
      </c>
      <c r="I632" s="213" t="str">
        <f>IFERROR(__xludf.DUMMYFUNCTION("""COMPUTED_VALUE"""),"· Marco de acero con recubrimiento de protección frente a la corrosión, el óxido y los arañazos.
· Aglomerado bilaminado, mínimo 18 mm de espesor,canteado en PVC de 3 mm o similar.
· Con 4 ruedas de baja fricción que permiten el desplazamiento del escrito"&amp;"rio sin arruinar el suelo.
· Alta capacidad de carga (máximo de 136 kg) con superficie de trabajo multifuncional.
· Material: Acero, Aglomerado.
· Dimensiones aproximadas: 100cm x 60cm x 75cm.")</f>
        <v>· Marco de acero con recubrimiento de protección frente a la corrosión, el óxido y los arañazos.
· Aglomerado bilaminado, mínimo 18 mm de espesor,canteado en PVC de 3 mm o similar.
· Con 4 ruedas de baja fricción que permiten el desplazamiento del escritorio sin arruinar el suelo.
· Alta capacidad de carga (máximo de 136 kg) con superficie de trabajo multifuncional.
· Material: Acero, Aglomerado.
· Dimensiones aproximadas: 100cm x 60cm x 75cm.</v>
      </c>
      <c r="J632" s="213">
        <f>IFERROR(__xludf.DUMMYFUNCTION("""COMPUTED_VALUE"""),3.0)</f>
        <v>3</v>
      </c>
      <c r="K632" s="213" t="str">
        <f>IFERROR(__xludf.DUMMYFUNCTION("""COMPUTED_VALUE"""),"90 DÍAS CALENDARIO")</f>
        <v>90 DÍAS CALENDARIO</v>
      </c>
      <c r="L632" s="213" t="str">
        <f>IFERROR(__xludf.DUMMYFUNCTION("""COMPUTED_VALUE"""),"")</f>
        <v/>
      </c>
      <c r="M632" s="213">
        <f>IFERROR(__xludf.DUMMYFUNCTION("""COMPUTED_VALUE"""),1.0)</f>
        <v>1</v>
      </c>
      <c r="N632" s="213">
        <f>IFERROR(__xludf.DUMMYFUNCTION("""COMPUTED_VALUE"""),1.0)</f>
        <v>1</v>
      </c>
      <c r="O632" s="213">
        <f>IFERROR(__xludf.DUMMYFUNCTION("""COMPUTED_VALUE"""),1.0)</f>
        <v>1</v>
      </c>
      <c r="P632" s="213"/>
      <c r="Q632" s="213"/>
      <c r="R632" s="213"/>
      <c r="S632" s="213"/>
      <c r="T632" s="213"/>
      <c r="U632" s="213"/>
      <c r="V632" s="213"/>
      <c r="W632" s="213"/>
      <c r="X632" s="213"/>
      <c r="Y632" s="213"/>
      <c r="Z632" s="213"/>
      <c r="AA632" s="213"/>
      <c r="AB632" s="213"/>
      <c r="AC632" s="213"/>
      <c r="AD632" s="213"/>
      <c r="AE632" s="213"/>
      <c r="AF632" s="213"/>
      <c r="AG632" s="213"/>
      <c r="AH632" s="213"/>
      <c r="AI632" s="213"/>
      <c r="AJ632" s="213"/>
      <c r="AK632" s="213"/>
      <c r="AL632" s="213"/>
      <c r="AM632" s="213"/>
      <c r="AN632" s="213"/>
      <c r="AO632" s="213"/>
      <c r="AP632" s="213"/>
      <c r="AQ632" s="213"/>
      <c r="AR632" s="213"/>
      <c r="AS632" s="213"/>
      <c r="AT632" s="213"/>
      <c r="AU632" s="213"/>
      <c r="AV632" s="213"/>
      <c r="AW632" s="213"/>
      <c r="AX632" s="213"/>
      <c r="AY632" s="213"/>
      <c r="AZ632" s="213"/>
      <c r="BA632" s="213"/>
      <c r="BB632" s="213"/>
      <c r="BC632" s="213"/>
      <c r="BD632" s="213"/>
    </row>
    <row r="633">
      <c r="A633" s="213">
        <f>IFERROR(__xludf.DUMMYFUNCTION("""COMPUTED_VALUE"""),2483.0)</f>
        <v>2483</v>
      </c>
      <c r="B633" s="213" t="str">
        <f>IFERROR(__xludf.DUMMYFUNCTION("""COMPUTED_VALUE"""),"MANUEL ANTONIO MESONES MURO")</f>
        <v>MANUEL ANTONIO MESONES MURO</v>
      </c>
      <c r="C633" s="213" t="str">
        <f>IFERROR(__xludf.DUMMYFUNCTION("""COMPUTED_VALUE"""),"TALLER SFT DE CONSTRUCCIONES METÁLICAS")</f>
        <v>TALLER SFT DE CONSTRUCCIONES METÁLICAS</v>
      </c>
      <c r="D633" s="213" t="str">
        <f>IFERROR(__xludf.DUMMYFUNCTION("""COMPUTED_VALUE"""),"HERRAMIENTAS")</f>
        <v>HERRAMIENTAS</v>
      </c>
      <c r="E633" s="213" t="str">
        <f>IFERROR(__xludf.DUMMYFUNCTION("""COMPUTED_VALUE"""),"COM-163")</f>
        <v>COM-163</v>
      </c>
      <c r="F633" s="213" t="str">
        <f>IFERROR(__xludf.DUMMYFUNCTION("""COMPUTED_VALUE"""),"COM-163-Y")</f>
        <v>COM-163-Y</v>
      </c>
      <c r="G633" s="213"/>
      <c r="H633" s="213" t="str">
        <f>IFERROR(__xludf.DUMMYFUNCTION("""COMPUTED_VALUE"""),"ESCUADRA DE TOPE")</f>
        <v>ESCUADRA DE TOPE</v>
      </c>
      <c r="I633" s="213" t="str">
        <f>IFERROR(__xludf.DUMMYFUNCTION("""COMPUTED_VALUE"""),"Mango metálico
-       Escala de bajo relieve
-       Escala métrica y en pulgadas
-       Longitud mínima  12” (305 mm)")</f>
        <v>Mango metálico
-       Escala de bajo relieve
-       Escala métrica y en pulgadas
-       Longitud mínima  12” (305 mm)</v>
      </c>
      <c r="J633" s="213">
        <f>IFERROR(__xludf.DUMMYFUNCTION("""COMPUTED_VALUE"""),3.0)</f>
        <v>3</v>
      </c>
      <c r="K633" s="213" t="str">
        <f>IFERROR(__xludf.DUMMYFUNCTION("""COMPUTED_VALUE"""),"90 DÍAS CALENDARIO")</f>
        <v>90 DÍAS CALENDARIO</v>
      </c>
      <c r="L633" s="213" t="str">
        <f>IFERROR(__xludf.DUMMYFUNCTION("""COMPUTED_VALUE"""),"")</f>
        <v/>
      </c>
      <c r="M633" s="213">
        <f>IFERROR(__xludf.DUMMYFUNCTION("""COMPUTED_VALUE"""),1.0)</f>
        <v>1</v>
      </c>
      <c r="N633" s="213">
        <f>IFERROR(__xludf.DUMMYFUNCTION("""COMPUTED_VALUE"""),10.0)</f>
        <v>10</v>
      </c>
      <c r="O633" s="213">
        <f>IFERROR(__xludf.DUMMYFUNCTION("""COMPUTED_VALUE"""),10.0)</f>
        <v>10</v>
      </c>
      <c r="P633" s="213"/>
      <c r="Q633" s="213"/>
      <c r="R633" s="213"/>
      <c r="S633" s="213"/>
      <c r="T633" s="213" t="str">
        <f>IFERROR(__xludf.DUMMYFUNCTION("""COMPUTED_VALUE"""),"SI")</f>
        <v>SI</v>
      </c>
      <c r="U633" s="213" t="str">
        <f>IFERROR(__xludf.DUMMYFUNCTION("""COMPUTED_VALUE"""),"SI")</f>
        <v>SI</v>
      </c>
      <c r="V633" s="213" t="str">
        <f>IFERROR(__xludf.DUMMYFUNCTION("""COMPUTED_VALUE"""),"-")</f>
        <v>-</v>
      </c>
      <c r="W633" s="213" t="str">
        <f>IFERROR(__xludf.DUMMYFUNCTION("""COMPUTED_VALUE"""),"-")</f>
        <v>-</v>
      </c>
      <c r="X633" s="213" t="str">
        <f>IFERROR(__xludf.DUMMYFUNCTION("""COMPUTED_VALUE"""),"STANLEY")</f>
        <v>STANLEY</v>
      </c>
      <c r="Y633" s="213" t="str">
        <f>IFERROR(__xludf.DUMMYFUNCTION("""COMPUTED_VALUE"""),"46-536")</f>
        <v>46-536</v>
      </c>
      <c r="Z633" s="215" t="str">
        <f>IFERROR(__xludf.DUMMYFUNCTION("""COMPUTED_VALUE"""),"https://prosinfer.pe/product/escuadra-profesional-12-stanley-46-536/")</f>
        <v>https://prosinfer.pe/product/escuadra-profesional-12-stanley-46-536/</v>
      </c>
      <c r="AA633" s="213" t="str">
        <f>IFERROR(__xludf.DUMMYFUNCTION("""COMPUTED_VALUE"""),"COM-163-Y ESCUADRA DE TOPE - CET")</f>
        <v>COM-163-Y ESCUADRA DE TOPE - CET</v>
      </c>
      <c r="AB633" s="213"/>
      <c r="AC633" s="213"/>
      <c r="AD633" s="213"/>
      <c r="AE633" s="213"/>
      <c r="AF633" s="213"/>
      <c r="AG633" s="213"/>
      <c r="AH633" s="213"/>
      <c r="AI633" s="213"/>
      <c r="AJ633" s="213"/>
      <c r="AK633" s="213"/>
      <c r="AL633" s="213"/>
      <c r="AM633" s="213"/>
      <c r="AN633" s="213"/>
      <c r="AO633" s="213"/>
      <c r="AP633" s="213" t="str">
        <f>IFERROR(__xludf.DUMMYFUNCTION("""COMPUTED_VALUE"""),"LUIS")</f>
        <v>LUIS</v>
      </c>
      <c r="AQ633" s="213"/>
      <c r="AR633" s="213"/>
      <c r="AS633" s="213"/>
      <c r="AT633" s="213"/>
      <c r="AU633" s="213"/>
      <c r="AV633" s="213"/>
      <c r="AW633" s="213"/>
      <c r="AX633" s="213"/>
      <c r="AY633" s="213"/>
      <c r="AZ633" s="213"/>
      <c r="BA633" s="213"/>
      <c r="BB633" s="213"/>
      <c r="BC633" s="213"/>
      <c r="BD633" s="213"/>
    </row>
    <row r="634">
      <c r="A634" s="213">
        <f>IFERROR(__xludf.DUMMYFUNCTION("""COMPUTED_VALUE"""),1121.0)</f>
        <v>1121</v>
      </c>
      <c r="B634" s="213" t="str">
        <f>IFERROR(__xludf.DUMMYFUNCTION("""COMPUTED_VALUE"""),"FRANCISCO IRAZOLA")</f>
        <v>FRANCISCO IRAZOLA</v>
      </c>
      <c r="C634" s="213" t="str">
        <f>IFERROR(__xludf.DUMMYFUNCTION("""COMPUTED_VALUE"""),"TALLER SFT DE INDUSTRIA ALIMENTARIA")</f>
        <v>TALLER SFT DE INDUSTRIA ALIMENTARIA</v>
      </c>
      <c r="D634" s="213" t="str">
        <f>IFERROR(__xludf.DUMMYFUNCTION("""COMPUTED_VALUE"""),"HERRAMIENTAS")</f>
        <v>HERRAMIENTAS</v>
      </c>
      <c r="E634" s="213" t="str">
        <f>IFERROR(__xludf.DUMMYFUNCTION("""COMPUTED_VALUE"""),"COM-251")</f>
        <v>COM-251</v>
      </c>
      <c r="F634" s="213" t="str">
        <f>IFERROR(__xludf.DUMMYFUNCTION("""COMPUTED_VALUE"""),"COM-251")</f>
        <v>COM-251</v>
      </c>
      <c r="G634" s="213"/>
      <c r="H634" s="213" t="str">
        <f>IFERROR(__xludf.DUMMYFUNCTION("""COMPUTED_VALUE"""),"PELADOR DE PIÑA ACERO INOXIDABLE CORTADOR REBANADOR FRUTA")</f>
        <v>PELADOR DE PIÑA ACERO INOXIDABLE CORTADOR REBANADOR FRUTA</v>
      </c>
      <c r="I634" s="213" t="str">
        <f>IFERROR(__xludf.DUMMYFUNCTION("""COMPUTED_VALUE"""),"· Pelador Cortador De Piña
· Material: Acero Inoxidable
· Tamaño aproximado:
- Alto 18cm
- Diámetro de la base: 8.5 cm
- Diámetro del tubo: 3 cm")</f>
        <v>· Pelador Cortador De Piña
· Material: Acero Inoxidable
· Tamaño aproximado:
- Alto 18cm
- Diámetro de la base: 8.5 cm
- Diámetro del tubo: 3 cm</v>
      </c>
      <c r="J634" s="213">
        <f>IFERROR(__xludf.DUMMYFUNCTION("""COMPUTED_VALUE"""),3.0)</f>
        <v>3</v>
      </c>
      <c r="K634" s="213" t="str">
        <f>IFERROR(__xludf.DUMMYFUNCTION("""COMPUTED_VALUE"""),"90 DÍAS CALENDARIO")</f>
        <v>90 DÍAS CALENDARIO</v>
      </c>
      <c r="L634" s="213" t="str">
        <f>IFERROR(__xludf.DUMMYFUNCTION("""COMPUTED_VALUE"""),"")</f>
        <v/>
      </c>
      <c r="M634" s="213">
        <f>IFERROR(__xludf.DUMMYFUNCTION("""COMPUTED_VALUE"""),1.0)</f>
        <v>1</v>
      </c>
      <c r="N634" s="213">
        <f>IFERROR(__xludf.DUMMYFUNCTION("""COMPUTED_VALUE"""),4.0)</f>
        <v>4</v>
      </c>
      <c r="O634" s="213">
        <f>IFERROR(__xludf.DUMMYFUNCTION("""COMPUTED_VALUE"""),4.0)</f>
        <v>4</v>
      </c>
      <c r="P634" s="213"/>
      <c r="Q634" s="213"/>
      <c r="R634" s="213" t="str">
        <f>IFERROR(__xludf.DUMMYFUNCTION("""COMPUTED_VALUE"""),"SI")</f>
        <v>SI</v>
      </c>
      <c r="S634" s="213"/>
      <c r="T634" s="213" t="str">
        <f>IFERROR(__xludf.DUMMYFUNCTION("""COMPUTED_VALUE"""),"SI")</f>
        <v>SI</v>
      </c>
      <c r="U634" s="213" t="str">
        <f>IFERROR(__xludf.DUMMYFUNCTION("""COMPUTED_VALUE"""),"SI")</f>
        <v>SI</v>
      </c>
      <c r="V634" s="213" t="str">
        <f>IFERROR(__xludf.DUMMYFUNCTION("""COMPUTED_VALUE"""),"-")</f>
        <v>-</v>
      </c>
      <c r="W634" s="213" t="str">
        <f>IFERROR(__xludf.DUMMYFUNCTION("""COMPUTED_VALUE"""),"-")</f>
        <v>-</v>
      </c>
      <c r="X634" s="213" t="str">
        <f>IFERROR(__xludf.DUMMYFUNCTION("""COMPUTED_VALUE"""),"GENERICO")</f>
        <v>GENERICO</v>
      </c>
      <c r="Y634" s="213" t="str">
        <f>IFERROR(__xludf.DUMMYFUNCTION("""COMPUTED_VALUE"""),"GENERICO")</f>
        <v>GENERICO</v>
      </c>
      <c r="Z634" s="215" t="str">
        <f>IFERROR(__xludf.DUMMYFUNCTION("""COMPUTED_VALUE"""),"https://drive.google.com/file/d/1Kr6yDzxqmHDgHm2SjAPF54FTitV7EFRL/view")</f>
        <v>https://drive.google.com/file/d/1Kr6yDzxqmHDgHm2SjAPF54FTitV7EFRL/view</v>
      </c>
      <c r="AA634" s="213" t="str">
        <f>IFERROR(__xludf.DUMMYFUNCTION("""COMPUTED_VALUE"""),"COM-251 PELADOR DE PIÑA ACERO INOXIDABLE CORTADOR REBANADOR FRUTA - CET")</f>
        <v>COM-251 PELADOR DE PIÑA ACERO INOXIDABLE CORTADOR REBANADOR FRUTA - CET</v>
      </c>
      <c r="AB634" s="213"/>
      <c r="AC634" s="213"/>
      <c r="AD634" s="213"/>
      <c r="AE634" s="213"/>
      <c r="AF634" s="213"/>
      <c r="AG634" s="213"/>
      <c r="AH634" s="213"/>
      <c r="AI634" s="213"/>
      <c r="AJ634" s="213"/>
      <c r="AK634" s="213"/>
      <c r="AL634" s="213"/>
      <c r="AM634" s="213"/>
      <c r="AN634" s="213"/>
      <c r="AO634" s="213"/>
      <c r="AP634" s="213" t="str">
        <f>IFERROR(__xludf.DUMMYFUNCTION("""COMPUTED_VALUE"""),"LUIS")</f>
        <v>LUIS</v>
      </c>
      <c r="AQ634" s="213"/>
      <c r="AR634" s="213"/>
      <c r="AS634" s="213"/>
      <c r="AT634" s="213"/>
      <c r="AU634" s="213"/>
      <c r="AV634" s="213"/>
      <c r="AW634" s="213"/>
      <c r="AX634" s="213"/>
      <c r="AY634" s="213"/>
      <c r="AZ634" s="213"/>
      <c r="BA634" s="213"/>
      <c r="BB634" s="213"/>
      <c r="BC634" s="213"/>
      <c r="BD634" s="213"/>
    </row>
    <row r="635">
      <c r="A635" s="213">
        <f>IFERROR(__xludf.DUMMYFUNCTION("""COMPUTED_VALUE"""),1393.0)</f>
        <v>1393</v>
      </c>
      <c r="B635" s="213" t="str">
        <f>IFERROR(__xludf.DUMMYFUNCTION("""COMPUTED_VALUE"""),"GUILLERMO E. BILLINGHURST ")</f>
        <v>GUILLERMO E. BILLINGHURST </v>
      </c>
      <c r="C635" s="213" t="str">
        <f>IFERROR(__xludf.DUMMYFUNCTION("""COMPUTED_VALUE"""),"TALLER SFT DE INDUSTRIA ALIMENTARIA")</f>
        <v>TALLER SFT DE INDUSTRIA ALIMENTARIA</v>
      </c>
      <c r="D635" s="213" t="str">
        <f>IFERROR(__xludf.DUMMYFUNCTION("""COMPUTED_VALUE"""),"HERRAMIENTAS")</f>
        <v>HERRAMIENTAS</v>
      </c>
      <c r="E635" s="213" t="str">
        <f>IFERROR(__xludf.DUMMYFUNCTION("""COMPUTED_VALUE"""),"COM-251")</f>
        <v>COM-251</v>
      </c>
      <c r="F635" s="213" t="str">
        <f>IFERROR(__xludf.DUMMYFUNCTION("""COMPUTED_VALUE"""),"COM-251")</f>
        <v>COM-251</v>
      </c>
      <c r="G635" s="213"/>
      <c r="H635" s="213" t="str">
        <f>IFERROR(__xludf.DUMMYFUNCTION("""COMPUTED_VALUE"""),"PELADOR DE PIÑA ACERO INOXIDABLE CORTADOR REBANADOR FRUTA")</f>
        <v>PELADOR DE PIÑA ACERO INOXIDABLE CORTADOR REBANADOR FRUTA</v>
      </c>
      <c r="I635" s="213" t="str">
        <f>IFERROR(__xludf.DUMMYFUNCTION("""COMPUTED_VALUE"""),"· Pelador Cortador De Piña
· Material: Acero Inoxidable
· Tamaño aproximado:
- Alto 18cm
- Diámetro de la base: 8.5 cm
- Diámetro del tubo: 3 cm")</f>
        <v>· Pelador Cortador De Piña
· Material: Acero Inoxidable
· Tamaño aproximado:
- Alto 18cm
- Diámetro de la base: 8.5 cm
- Diámetro del tubo: 3 cm</v>
      </c>
      <c r="J635" s="213">
        <f>IFERROR(__xludf.DUMMYFUNCTION("""COMPUTED_VALUE"""),3.0)</f>
        <v>3</v>
      </c>
      <c r="K635" s="213" t="str">
        <f>IFERROR(__xludf.DUMMYFUNCTION("""COMPUTED_VALUE"""),"90 DÍAS CALENDARIO")</f>
        <v>90 DÍAS CALENDARIO</v>
      </c>
      <c r="L635" s="213" t="str">
        <f>IFERROR(__xludf.DUMMYFUNCTION("""COMPUTED_VALUE"""),"")</f>
        <v/>
      </c>
      <c r="M635" s="213">
        <f>IFERROR(__xludf.DUMMYFUNCTION("""COMPUTED_VALUE"""),1.0)</f>
        <v>1</v>
      </c>
      <c r="N635" s="213">
        <f>IFERROR(__xludf.DUMMYFUNCTION("""COMPUTED_VALUE"""),4.0)</f>
        <v>4</v>
      </c>
      <c r="O635" s="213">
        <f>IFERROR(__xludf.DUMMYFUNCTION("""COMPUTED_VALUE"""),4.0)</f>
        <v>4</v>
      </c>
      <c r="P635" s="213"/>
      <c r="Q635" s="213"/>
      <c r="R635" s="213" t="str">
        <f>IFERROR(__xludf.DUMMYFUNCTION("""COMPUTED_VALUE"""),"SI")</f>
        <v>SI</v>
      </c>
      <c r="S635" s="213"/>
      <c r="T635" s="213" t="str">
        <f>IFERROR(__xludf.DUMMYFUNCTION("""COMPUTED_VALUE"""),"SI")</f>
        <v>SI</v>
      </c>
      <c r="U635" s="213" t="str">
        <f>IFERROR(__xludf.DUMMYFUNCTION("""COMPUTED_VALUE"""),"SI")</f>
        <v>SI</v>
      </c>
      <c r="V635" s="213" t="str">
        <f>IFERROR(__xludf.DUMMYFUNCTION("""COMPUTED_VALUE"""),"-")</f>
        <v>-</v>
      </c>
      <c r="W635" s="213" t="str">
        <f>IFERROR(__xludf.DUMMYFUNCTION("""COMPUTED_VALUE"""),"-")</f>
        <v>-</v>
      </c>
      <c r="X635" s="213" t="str">
        <f>IFERROR(__xludf.DUMMYFUNCTION("""COMPUTED_VALUE"""),"GENERICO")</f>
        <v>GENERICO</v>
      </c>
      <c r="Y635" s="213" t="str">
        <f>IFERROR(__xludf.DUMMYFUNCTION("""COMPUTED_VALUE"""),"GENERICO")</f>
        <v>GENERICO</v>
      </c>
      <c r="Z635" s="215" t="str">
        <f>IFERROR(__xludf.DUMMYFUNCTION("""COMPUTED_VALUE"""),"https://drive.google.com/file/d/1Kr6yDzxqmHDgHm2SjAPF54FTitV7EFRL/view")</f>
        <v>https://drive.google.com/file/d/1Kr6yDzxqmHDgHm2SjAPF54FTitV7EFRL/view</v>
      </c>
      <c r="AA635" s="213" t="str">
        <f>IFERROR(__xludf.DUMMYFUNCTION("""COMPUTED_VALUE"""),"COM-251 PELADOR DE PIÑA ACERO INOXIDABLE CORTADOR REBANADOR FRUTA - CET")</f>
        <v>COM-251 PELADOR DE PIÑA ACERO INOXIDABLE CORTADOR REBANADOR FRUTA - CET</v>
      </c>
      <c r="AB635" s="213"/>
      <c r="AC635" s="213"/>
      <c r="AD635" s="213"/>
      <c r="AE635" s="213"/>
      <c r="AF635" s="213"/>
      <c r="AG635" s="213"/>
      <c r="AH635" s="213"/>
      <c r="AI635" s="213"/>
      <c r="AJ635" s="213"/>
      <c r="AK635" s="213"/>
      <c r="AL635" s="213"/>
      <c r="AM635" s="213"/>
      <c r="AN635" s="213"/>
      <c r="AO635" s="213"/>
      <c r="AP635" s="213" t="str">
        <f>IFERROR(__xludf.DUMMYFUNCTION("""COMPUTED_VALUE"""),"LUIS")</f>
        <v>LUIS</v>
      </c>
      <c r="AQ635" s="213"/>
      <c r="AR635" s="213"/>
      <c r="AS635" s="213"/>
      <c r="AT635" s="213"/>
      <c r="AU635" s="213"/>
      <c r="AV635" s="213"/>
      <c r="AW635" s="213"/>
      <c r="AX635" s="213"/>
      <c r="AY635" s="213"/>
      <c r="AZ635" s="213"/>
      <c r="BA635" s="213"/>
      <c r="BB635" s="213"/>
      <c r="BC635" s="213"/>
      <c r="BD635" s="213"/>
    </row>
    <row r="636">
      <c r="A636" s="213">
        <f>IFERROR(__xludf.DUMMYFUNCTION("""COMPUTED_VALUE"""),2080.0)</f>
        <v>2080</v>
      </c>
      <c r="B636" s="213" t="str">
        <f>IFERROR(__xludf.DUMMYFUNCTION("""COMPUTED_VALUE"""),"JOSE GRANDA")</f>
        <v>JOSE GRANDA</v>
      </c>
      <c r="C636" s="213" t="str">
        <f>IFERROR(__xludf.DUMMYFUNCTION("""COMPUTED_VALUE"""),"TALLER SFT DE INDUSTRIA ALIMENTARIA")</f>
        <v>TALLER SFT DE INDUSTRIA ALIMENTARIA</v>
      </c>
      <c r="D636" s="213" t="str">
        <f>IFERROR(__xludf.DUMMYFUNCTION("""COMPUTED_VALUE"""),"HERRAMIENTAS")</f>
        <v>HERRAMIENTAS</v>
      </c>
      <c r="E636" s="213" t="str">
        <f>IFERROR(__xludf.DUMMYFUNCTION("""COMPUTED_VALUE"""),"COM-251")</f>
        <v>COM-251</v>
      </c>
      <c r="F636" s="213" t="str">
        <f>IFERROR(__xludf.DUMMYFUNCTION("""COMPUTED_VALUE"""),"COM-251")</f>
        <v>COM-251</v>
      </c>
      <c r="G636" s="213"/>
      <c r="H636" s="213" t="str">
        <f>IFERROR(__xludf.DUMMYFUNCTION("""COMPUTED_VALUE"""),"PELADOR DE PIÑA ACERO INOXIDABLE CORTADOR REBANADOR FRUTA")</f>
        <v>PELADOR DE PIÑA ACERO INOXIDABLE CORTADOR REBANADOR FRUTA</v>
      </c>
      <c r="I636" s="213" t="str">
        <f>IFERROR(__xludf.DUMMYFUNCTION("""COMPUTED_VALUE"""),"· Pelador Cortador De Piña
· Material: Acero Inoxidable
· Tamaño aproximado:
- Alto 18cm
- Diámetro de la base: 8.5 cm
- Diámetro del tubo: 3 cm")</f>
        <v>· Pelador Cortador De Piña
· Material: Acero Inoxidable
· Tamaño aproximado:
- Alto 18cm
- Diámetro de la base: 8.5 cm
- Diámetro del tubo: 3 cm</v>
      </c>
      <c r="J636" s="213">
        <f>IFERROR(__xludf.DUMMYFUNCTION("""COMPUTED_VALUE"""),3.0)</f>
        <v>3</v>
      </c>
      <c r="K636" s="213" t="str">
        <f>IFERROR(__xludf.DUMMYFUNCTION("""COMPUTED_VALUE"""),"90 DÍAS CALENDARIO")</f>
        <v>90 DÍAS CALENDARIO</v>
      </c>
      <c r="L636" s="213" t="str">
        <f>IFERROR(__xludf.DUMMYFUNCTION("""COMPUTED_VALUE"""),"")</f>
        <v/>
      </c>
      <c r="M636" s="213">
        <f>IFERROR(__xludf.DUMMYFUNCTION("""COMPUTED_VALUE"""),1.0)</f>
        <v>1</v>
      </c>
      <c r="N636" s="213">
        <f>IFERROR(__xludf.DUMMYFUNCTION("""COMPUTED_VALUE"""),4.0)</f>
        <v>4</v>
      </c>
      <c r="O636" s="213">
        <f>IFERROR(__xludf.DUMMYFUNCTION("""COMPUTED_VALUE"""),4.0)</f>
        <v>4</v>
      </c>
      <c r="P636" s="213"/>
      <c r="Q636" s="213"/>
      <c r="R636" s="213" t="str">
        <f>IFERROR(__xludf.DUMMYFUNCTION("""COMPUTED_VALUE"""),"SI")</f>
        <v>SI</v>
      </c>
      <c r="S636" s="213"/>
      <c r="T636" s="213" t="str">
        <f>IFERROR(__xludf.DUMMYFUNCTION("""COMPUTED_VALUE"""),"SI")</f>
        <v>SI</v>
      </c>
      <c r="U636" s="213" t="str">
        <f>IFERROR(__xludf.DUMMYFUNCTION("""COMPUTED_VALUE"""),"SI")</f>
        <v>SI</v>
      </c>
      <c r="V636" s="213" t="str">
        <f>IFERROR(__xludf.DUMMYFUNCTION("""COMPUTED_VALUE"""),"-")</f>
        <v>-</v>
      </c>
      <c r="W636" s="213" t="str">
        <f>IFERROR(__xludf.DUMMYFUNCTION("""COMPUTED_VALUE"""),"-")</f>
        <v>-</v>
      </c>
      <c r="X636" s="213" t="str">
        <f>IFERROR(__xludf.DUMMYFUNCTION("""COMPUTED_VALUE"""),"GENERICO")</f>
        <v>GENERICO</v>
      </c>
      <c r="Y636" s="213" t="str">
        <f>IFERROR(__xludf.DUMMYFUNCTION("""COMPUTED_VALUE"""),"GENERICO")</f>
        <v>GENERICO</v>
      </c>
      <c r="Z636" s="215" t="str">
        <f>IFERROR(__xludf.DUMMYFUNCTION("""COMPUTED_VALUE"""),"https://drive.google.com/file/d/1Kr6yDzxqmHDgHm2SjAPF54FTitV7EFRL/view")</f>
        <v>https://drive.google.com/file/d/1Kr6yDzxqmHDgHm2SjAPF54FTitV7EFRL/view</v>
      </c>
      <c r="AA636" s="213" t="str">
        <f>IFERROR(__xludf.DUMMYFUNCTION("""COMPUTED_VALUE"""),"COM-251 PELADOR DE PIÑA ACERO INOXIDABLE CORTADOR REBANADOR FRUTA - CET")</f>
        <v>COM-251 PELADOR DE PIÑA ACERO INOXIDABLE CORTADOR REBANADOR FRUTA - CET</v>
      </c>
      <c r="AB636" s="213"/>
      <c r="AC636" s="213"/>
      <c r="AD636" s="213"/>
      <c r="AE636" s="213"/>
      <c r="AF636" s="213"/>
      <c r="AG636" s="213"/>
      <c r="AH636" s="213"/>
      <c r="AI636" s="213"/>
      <c r="AJ636" s="213"/>
      <c r="AK636" s="213"/>
      <c r="AL636" s="213"/>
      <c r="AM636" s="213"/>
      <c r="AN636" s="213"/>
      <c r="AO636" s="213"/>
      <c r="AP636" s="213" t="str">
        <f>IFERROR(__xludf.DUMMYFUNCTION("""COMPUTED_VALUE"""),"LUIS")</f>
        <v>LUIS</v>
      </c>
      <c r="AQ636" s="213"/>
      <c r="AR636" s="213"/>
      <c r="AS636" s="213"/>
      <c r="AT636" s="213"/>
      <c r="AU636" s="213"/>
      <c r="AV636" s="213"/>
      <c r="AW636" s="213"/>
      <c r="AX636" s="213"/>
      <c r="AY636" s="213"/>
      <c r="AZ636" s="213"/>
      <c r="BA636" s="213"/>
      <c r="BB636" s="213"/>
      <c r="BC636" s="213"/>
      <c r="BD636" s="213"/>
    </row>
    <row r="637">
      <c r="A637" s="213">
        <f>IFERROR(__xludf.DUMMYFUNCTION("""COMPUTED_VALUE"""),492.0)</f>
        <v>492</v>
      </c>
      <c r="B637" s="213" t="str">
        <f>IFERROR(__xludf.DUMMYFUNCTION("""COMPUTED_VALUE"""),"2026 SIMON BOLIVAR")</f>
        <v>2026 SIMON BOLIVAR</v>
      </c>
      <c r="C637" s="213" t="str">
        <f>IFERROR(__xludf.DUMMYFUNCTION("""COMPUTED_VALUE"""),"TALLER SFT DE INDUSTRIA ALIMENTARIA")</f>
        <v>TALLER SFT DE INDUSTRIA ALIMENTARIA</v>
      </c>
      <c r="D637" s="213" t="str">
        <f>IFERROR(__xludf.DUMMYFUNCTION("""COMPUTED_VALUE"""),"HERRAMIENTAS")</f>
        <v>HERRAMIENTAS</v>
      </c>
      <c r="E637" s="213" t="str">
        <f>IFERROR(__xludf.DUMMYFUNCTION("""COMPUTED_VALUE"""),"COM-252")</f>
        <v>COM-252</v>
      </c>
      <c r="F637" s="213" t="str">
        <f>IFERROR(__xludf.DUMMYFUNCTION("""COMPUTED_VALUE"""),"COM-252")</f>
        <v>COM-252</v>
      </c>
      <c r="G637" s="213"/>
      <c r="H637" s="213" t="str">
        <f>IFERROR(__xludf.DUMMYFUNCTION("""COMPUTED_VALUE"""),"PELADORA DE FRUTAS Y HORTALIZAS")</f>
        <v>PELADORA DE FRUTAS Y HORTALIZAS</v>
      </c>
      <c r="I637" s="213" t="str">
        <f>IFERROR(__xludf.DUMMYFUNCTION("""COMPUTED_VALUE"""),"· Cuerpo de plástico ABS de alto impacto.
· Brazo superior para fijar la posición de la fruta.
· Amplia base para mayor estabilidad durante el proceso.
· Brazo inferior con clip sujetador.
· Interruptor On / Off.
· Adaptador.  220  V / 60 Hz / 6 voltios.
"&amp;"· Tamaño apróximado: 15 cm x 14 cm x 29 cm
· Posee dos cuchillas extra dobles
· Es antideslizante.")</f>
        <v>· Cuerpo de plástico ABS de alto impacto.
· Brazo superior para fijar la posición de la fruta.
· Amplia base para mayor estabilidad durante el proceso.
· Brazo inferior con clip sujetador.
· Interruptor On / Off.
· Adaptador.  220  V / 60 Hz / 6 voltios.
· Tamaño apróximado: 15 cm x 14 cm x 29 cm
· Posee dos cuchillas extra dobles
· Es antideslizante.</v>
      </c>
      <c r="J637" s="213">
        <f>IFERROR(__xludf.DUMMYFUNCTION("""COMPUTED_VALUE"""),3.0)</f>
        <v>3</v>
      </c>
      <c r="K637" s="213" t="str">
        <f>IFERROR(__xludf.DUMMYFUNCTION("""COMPUTED_VALUE"""),"90 DÍAS CALENDARIO")</f>
        <v>90 DÍAS CALENDARIO</v>
      </c>
      <c r="L637" s="213" t="str">
        <f>IFERROR(__xludf.DUMMYFUNCTION("""COMPUTED_VALUE"""),"")</f>
        <v/>
      </c>
      <c r="M637" s="213">
        <f>IFERROR(__xludf.DUMMYFUNCTION("""COMPUTED_VALUE"""),1.0)</f>
        <v>1</v>
      </c>
      <c r="N637" s="213">
        <f>IFERROR(__xludf.DUMMYFUNCTION("""COMPUTED_VALUE"""),4.0)</f>
        <v>4</v>
      </c>
      <c r="O637" s="213">
        <f>IFERROR(__xludf.DUMMYFUNCTION("""COMPUTED_VALUE"""),4.0)</f>
        <v>4</v>
      </c>
      <c r="P637" s="213"/>
      <c r="Q637" s="213"/>
      <c r="R637" s="213" t="str">
        <f>IFERROR(__xludf.DUMMYFUNCTION("""COMPUTED_VALUE"""),"SI")</f>
        <v>SI</v>
      </c>
      <c r="S637" s="213"/>
      <c r="T637" s="213" t="str">
        <f>IFERROR(__xludf.DUMMYFUNCTION("""COMPUTED_VALUE"""),"SI")</f>
        <v>SI</v>
      </c>
      <c r="U637" s="213" t="str">
        <f>IFERROR(__xludf.DUMMYFUNCTION("""COMPUTED_VALUE"""),"SI")</f>
        <v>SI</v>
      </c>
      <c r="V637" s="213" t="str">
        <f>IFERROR(__xludf.DUMMYFUNCTION("""COMPUTED_VALUE"""),"-")</f>
        <v>-</v>
      </c>
      <c r="W637" s="213" t="str">
        <f>IFERROR(__xludf.DUMMYFUNCTION("""COMPUTED_VALUE"""),"-")</f>
        <v>-</v>
      </c>
      <c r="X637" s="213" t="str">
        <f>IFERROR(__xludf.DUMMYFUNCTION("""COMPUTED_VALUE"""),"GENERICO")</f>
        <v>GENERICO</v>
      </c>
      <c r="Y637" s="213" t="str">
        <f>IFERROR(__xludf.DUMMYFUNCTION("""COMPUTED_VALUE"""),"GENERICO")</f>
        <v>GENERICO</v>
      </c>
      <c r="Z637" s="215" t="str">
        <f>IFERROR(__xludf.DUMMYFUNCTION("""COMPUTED_VALUE"""),"https://electroventas.com.uy/catalogo/pelador-electrico-de-frutas-y-verduras_BOM9941_BOM9941")</f>
        <v>https://electroventas.com.uy/catalogo/pelador-electrico-de-frutas-y-verduras_BOM9941_BOM9941</v>
      </c>
      <c r="AA637" s="213" t="str">
        <f>IFERROR(__xludf.DUMMYFUNCTION("""COMPUTED_VALUE"""),"COM-252 PELADORA DE FRUTAS Y HORTALIZAS - CET")</f>
        <v>COM-252 PELADORA DE FRUTAS Y HORTALIZAS - CET</v>
      </c>
      <c r="AB637" s="213"/>
      <c r="AC637" s="213"/>
      <c r="AD637" s="213"/>
      <c r="AE637" s="213"/>
      <c r="AF637" s="213"/>
      <c r="AG637" s="213"/>
      <c r="AH637" s="213"/>
      <c r="AI637" s="213"/>
      <c r="AJ637" s="213"/>
      <c r="AK637" s="213"/>
      <c r="AL637" s="213"/>
      <c r="AM637" s="213"/>
      <c r="AN637" s="213"/>
      <c r="AO637" s="213"/>
      <c r="AP637" s="213" t="str">
        <f>IFERROR(__xludf.DUMMYFUNCTION("""COMPUTED_VALUE"""),"LUIS")</f>
        <v>LUIS</v>
      </c>
      <c r="AQ637" s="213"/>
      <c r="AR637" s="213"/>
      <c r="AS637" s="213"/>
      <c r="AT637" s="213"/>
      <c r="AU637" s="213"/>
      <c r="AV637" s="213"/>
      <c r="AW637" s="213"/>
      <c r="AX637" s="213"/>
      <c r="AY637" s="213"/>
      <c r="AZ637" s="213"/>
      <c r="BA637" s="213"/>
      <c r="BB637" s="213"/>
      <c r="BC637" s="213"/>
      <c r="BD637" s="213"/>
    </row>
    <row r="638">
      <c r="A638" s="213">
        <f>IFERROR(__xludf.DUMMYFUNCTION("""COMPUTED_VALUE"""),1122.0)</f>
        <v>1122</v>
      </c>
      <c r="B638" s="213" t="str">
        <f>IFERROR(__xludf.DUMMYFUNCTION("""COMPUTED_VALUE"""),"FRANCISCO IRAZOLA")</f>
        <v>FRANCISCO IRAZOLA</v>
      </c>
      <c r="C638" s="213" t="str">
        <f>IFERROR(__xludf.DUMMYFUNCTION("""COMPUTED_VALUE"""),"TALLER SFT DE INDUSTRIA ALIMENTARIA")</f>
        <v>TALLER SFT DE INDUSTRIA ALIMENTARIA</v>
      </c>
      <c r="D638" s="213" t="str">
        <f>IFERROR(__xludf.DUMMYFUNCTION("""COMPUTED_VALUE"""),"HERRAMIENTAS")</f>
        <v>HERRAMIENTAS</v>
      </c>
      <c r="E638" s="213" t="str">
        <f>IFERROR(__xludf.DUMMYFUNCTION("""COMPUTED_VALUE"""),"COM-252")</f>
        <v>COM-252</v>
      </c>
      <c r="F638" s="213" t="str">
        <f>IFERROR(__xludf.DUMMYFUNCTION("""COMPUTED_VALUE"""),"COM-252")</f>
        <v>COM-252</v>
      </c>
      <c r="G638" s="213"/>
      <c r="H638" s="213" t="str">
        <f>IFERROR(__xludf.DUMMYFUNCTION("""COMPUTED_VALUE"""),"PELADORA DE FRUTAS Y HORTALIZAS")</f>
        <v>PELADORA DE FRUTAS Y HORTALIZAS</v>
      </c>
      <c r="I638" s="213" t="str">
        <f>IFERROR(__xludf.DUMMYFUNCTION("""COMPUTED_VALUE"""),"· Cuerpo de plástico ABS de alto impacto.
· Brazo superior para fijar la posición de la fruta.
· Amplia base para mayor estabilidad durante el proceso.
· Brazo inferior con clip sujetador.
· Interruptor On / Off.
· Adaptador.  220  V / 60 Hz / 6 voltios.
"&amp;"· Tamaño apróximado: 15 cm x 14 cm x 29 cm
· Posee dos cuchillas extra dobles
· Es antideslizante.")</f>
        <v>· Cuerpo de plástico ABS de alto impacto.
· Brazo superior para fijar la posición de la fruta.
· Amplia base para mayor estabilidad durante el proceso.
· Brazo inferior con clip sujetador.
· Interruptor On / Off.
· Adaptador.  220  V / 60 Hz / 6 voltios.
· Tamaño apróximado: 15 cm x 14 cm x 29 cm
· Posee dos cuchillas extra dobles
· Es antideslizante.</v>
      </c>
      <c r="J638" s="213">
        <f>IFERROR(__xludf.DUMMYFUNCTION("""COMPUTED_VALUE"""),3.0)</f>
        <v>3</v>
      </c>
      <c r="K638" s="213" t="str">
        <f>IFERROR(__xludf.DUMMYFUNCTION("""COMPUTED_VALUE"""),"90 DÍAS CALENDARIO")</f>
        <v>90 DÍAS CALENDARIO</v>
      </c>
      <c r="L638" s="213" t="str">
        <f>IFERROR(__xludf.DUMMYFUNCTION("""COMPUTED_VALUE"""),"")</f>
        <v/>
      </c>
      <c r="M638" s="213">
        <f>IFERROR(__xludf.DUMMYFUNCTION("""COMPUTED_VALUE"""),1.0)</f>
        <v>1</v>
      </c>
      <c r="N638" s="213">
        <f>IFERROR(__xludf.DUMMYFUNCTION("""COMPUTED_VALUE"""),4.0)</f>
        <v>4</v>
      </c>
      <c r="O638" s="213">
        <f>IFERROR(__xludf.DUMMYFUNCTION("""COMPUTED_VALUE"""),4.0)</f>
        <v>4</v>
      </c>
      <c r="P638" s="213"/>
      <c r="Q638" s="213"/>
      <c r="R638" s="213" t="str">
        <f>IFERROR(__xludf.DUMMYFUNCTION("""COMPUTED_VALUE"""),"SI")</f>
        <v>SI</v>
      </c>
      <c r="S638" s="213"/>
      <c r="T638" s="213" t="str">
        <f>IFERROR(__xludf.DUMMYFUNCTION("""COMPUTED_VALUE"""),"SI")</f>
        <v>SI</v>
      </c>
      <c r="U638" s="213" t="str">
        <f>IFERROR(__xludf.DUMMYFUNCTION("""COMPUTED_VALUE"""),"SI")</f>
        <v>SI</v>
      </c>
      <c r="V638" s="213" t="str">
        <f>IFERROR(__xludf.DUMMYFUNCTION("""COMPUTED_VALUE"""),"-")</f>
        <v>-</v>
      </c>
      <c r="W638" s="213" t="str">
        <f>IFERROR(__xludf.DUMMYFUNCTION("""COMPUTED_VALUE"""),"-")</f>
        <v>-</v>
      </c>
      <c r="X638" s="213" t="str">
        <f>IFERROR(__xludf.DUMMYFUNCTION("""COMPUTED_VALUE"""),"GENERICO")</f>
        <v>GENERICO</v>
      </c>
      <c r="Y638" s="213" t="str">
        <f>IFERROR(__xludf.DUMMYFUNCTION("""COMPUTED_VALUE"""),"GENERICO")</f>
        <v>GENERICO</v>
      </c>
      <c r="Z638" s="215" t="str">
        <f>IFERROR(__xludf.DUMMYFUNCTION("""COMPUTED_VALUE"""),"https://electroventas.com.uy/catalogo/pelador-electrico-de-frutas-y-verduras_BOM9941_BOM9941")</f>
        <v>https://electroventas.com.uy/catalogo/pelador-electrico-de-frutas-y-verduras_BOM9941_BOM9941</v>
      </c>
      <c r="AA638" s="213" t="str">
        <f>IFERROR(__xludf.DUMMYFUNCTION("""COMPUTED_VALUE"""),"COM-252 PELADORA DE FRUTAS Y HORTALIZAS - CET")</f>
        <v>COM-252 PELADORA DE FRUTAS Y HORTALIZAS - CET</v>
      </c>
      <c r="AB638" s="213"/>
      <c r="AC638" s="213"/>
      <c r="AD638" s="213"/>
      <c r="AE638" s="213"/>
      <c r="AF638" s="213"/>
      <c r="AG638" s="213"/>
      <c r="AH638" s="213"/>
      <c r="AI638" s="213"/>
      <c r="AJ638" s="213"/>
      <c r="AK638" s="213"/>
      <c r="AL638" s="213"/>
      <c r="AM638" s="213"/>
      <c r="AN638" s="213"/>
      <c r="AO638" s="213"/>
      <c r="AP638" s="213" t="str">
        <f>IFERROR(__xludf.DUMMYFUNCTION("""COMPUTED_VALUE"""),"LUIS")</f>
        <v>LUIS</v>
      </c>
      <c r="AQ638" s="213"/>
      <c r="AR638" s="213"/>
      <c r="AS638" s="213"/>
      <c r="AT638" s="213"/>
      <c r="AU638" s="213"/>
      <c r="AV638" s="213"/>
      <c r="AW638" s="213"/>
      <c r="AX638" s="213"/>
      <c r="AY638" s="213"/>
      <c r="AZ638" s="213"/>
      <c r="BA638" s="213"/>
      <c r="BB638" s="213"/>
      <c r="BC638" s="213"/>
      <c r="BD638" s="213"/>
    </row>
    <row r="639">
      <c r="A639" s="213">
        <f>IFERROR(__xludf.DUMMYFUNCTION("""COMPUTED_VALUE"""),1394.0)</f>
        <v>1394</v>
      </c>
      <c r="B639" s="213" t="str">
        <f>IFERROR(__xludf.DUMMYFUNCTION("""COMPUTED_VALUE"""),"GUILLERMO E. BILLINGHURST ")</f>
        <v>GUILLERMO E. BILLINGHURST </v>
      </c>
      <c r="C639" s="213" t="str">
        <f>IFERROR(__xludf.DUMMYFUNCTION("""COMPUTED_VALUE"""),"TALLER SFT DE INDUSTRIA ALIMENTARIA")</f>
        <v>TALLER SFT DE INDUSTRIA ALIMENTARIA</v>
      </c>
      <c r="D639" s="213" t="str">
        <f>IFERROR(__xludf.DUMMYFUNCTION("""COMPUTED_VALUE"""),"HERRAMIENTAS")</f>
        <v>HERRAMIENTAS</v>
      </c>
      <c r="E639" s="213" t="str">
        <f>IFERROR(__xludf.DUMMYFUNCTION("""COMPUTED_VALUE"""),"COM-252")</f>
        <v>COM-252</v>
      </c>
      <c r="F639" s="213" t="str">
        <f>IFERROR(__xludf.DUMMYFUNCTION("""COMPUTED_VALUE"""),"COM-252")</f>
        <v>COM-252</v>
      </c>
      <c r="G639" s="213"/>
      <c r="H639" s="213" t="str">
        <f>IFERROR(__xludf.DUMMYFUNCTION("""COMPUTED_VALUE"""),"PELADORA DE FRUTAS Y HORTALIZAS")</f>
        <v>PELADORA DE FRUTAS Y HORTALIZAS</v>
      </c>
      <c r="I639" s="213" t="str">
        <f>IFERROR(__xludf.DUMMYFUNCTION("""COMPUTED_VALUE"""),"· Cuerpo de plástico ABS de alto impacto.
· Brazo superior para fijar la posición de la fruta.
· Amplia base para mayor estabilidad durante el proceso.
· Brazo inferior con clip sujetador.
· Interruptor On / Off.
· Adaptador.  220  V / 60 Hz / 6 voltios.
"&amp;"· Tamaño apróximado: 15 cm x 14 cm x 29 cm
· Posee dos cuchillas extra dobles
· Es antideslizante.")</f>
        <v>· Cuerpo de plástico ABS de alto impacto.
· Brazo superior para fijar la posición de la fruta.
· Amplia base para mayor estabilidad durante el proceso.
· Brazo inferior con clip sujetador.
· Interruptor On / Off.
· Adaptador.  220  V / 60 Hz / 6 voltios.
· Tamaño apróximado: 15 cm x 14 cm x 29 cm
· Posee dos cuchillas extra dobles
· Es antideslizante.</v>
      </c>
      <c r="J639" s="213">
        <f>IFERROR(__xludf.DUMMYFUNCTION("""COMPUTED_VALUE"""),3.0)</f>
        <v>3</v>
      </c>
      <c r="K639" s="213" t="str">
        <f>IFERROR(__xludf.DUMMYFUNCTION("""COMPUTED_VALUE"""),"90 DÍAS CALENDARIO")</f>
        <v>90 DÍAS CALENDARIO</v>
      </c>
      <c r="L639" s="213" t="str">
        <f>IFERROR(__xludf.DUMMYFUNCTION("""COMPUTED_VALUE"""),"")</f>
        <v/>
      </c>
      <c r="M639" s="213">
        <f>IFERROR(__xludf.DUMMYFUNCTION("""COMPUTED_VALUE"""),1.0)</f>
        <v>1</v>
      </c>
      <c r="N639" s="213">
        <f>IFERROR(__xludf.DUMMYFUNCTION("""COMPUTED_VALUE"""),4.0)</f>
        <v>4</v>
      </c>
      <c r="O639" s="213">
        <f>IFERROR(__xludf.DUMMYFUNCTION("""COMPUTED_VALUE"""),4.0)</f>
        <v>4</v>
      </c>
      <c r="P639" s="213"/>
      <c r="Q639" s="213"/>
      <c r="R639" s="213" t="str">
        <f>IFERROR(__xludf.DUMMYFUNCTION("""COMPUTED_VALUE"""),"SI")</f>
        <v>SI</v>
      </c>
      <c r="S639" s="213"/>
      <c r="T639" s="213" t="str">
        <f>IFERROR(__xludf.DUMMYFUNCTION("""COMPUTED_VALUE"""),"SI")</f>
        <v>SI</v>
      </c>
      <c r="U639" s="213" t="str">
        <f>IFERROR(__xludf.DUMMYFUNCTION("""COMPUTED_VALUE"""),"SI")</f>
        <v>SI</v>
      </c>
      <c r="V639" s="213" t="str">
        <f>IFERROR(__xludf.DUMMYFUNCTION("""COMPUTED_VALUE"""),"-")</f>
        <v>-</v>
      </c>
      <c r="W639" s="213" t="str">
        <f>IFERROR(__xludf.DUMMYFUNCTION("""COMPUTED_VALUE"""),"-")</f>
        <v>-</v>
      </c>
      <c r="X639" s="213" t="str">
        <f>IFERROR(__xludf.DUMMYFUNCTION("""COMPUTED_VALUE"""),"GENERICO")</f>
        <v>GENERICO</v>
      </c>
      <c r="Y639" s="213" t="str">
        <f>IFERROR(__xludf.DUMMYFUNCTION("""COMPUTED_VALUE"""),"GENERICO")</f>
        <v>GENERICO</v>
      </c>
      <c r="Z639" s="215" t="str">
        <f>IFERROR(__xludf.DUMMYFUNCTION("""COMPUTED_VALUE"""),"https://electroventas.com.uy/catalogo/pelador-electrico-de-frutas-y-verduras_BOM9941_BOM9941")</f>
        <v>https://electroventas.com.uy/catalogo/pelador-electrico-de-frutas-y-verduras_BOM9941_BOM9941</v>
      </c>
      <c r="AA639" s="213" t="str">
        <f>IFERROR(__xludf.DUMMYFUNCTION("""COMPUTED_VALUE"""),"COM-252 PELADORA DE FRUTAS Y HORTALIZAS - CET")</f>
        <v>COM-252 PELADORA DE FRUTAS Y HORTALIZAS - CET</v>
      </c>
      <c r="AB639" s="213"/>
      <c r="AC639" s="213"/>
      <c r="AD639" s="213"/>
      <c r="AE639" s="213"/>
      <c r="AF639" s="213"/>
      <c r="AG639" s="213"/>
      <c r="AH639" s="213"/>
      <c r="AI639" s="213"/>
      <c r="AJ639" s="213"/>
      <c r="AK639" s="213"/>
      <c r="AL639" s="213"/>
      <c r="AM639" s="213"/>
      <c r="AN639" s="213"/>
      <c r="AO639" s="213"/>
      <c r="AP639" s="213" t="str">
        <f>IFERROR(__xludf.DUMMYFUNCTION("""COMPUTED_VALUE"""),"LUIS")</f>
        <v>LUIS</v>
      </c>
      <c r="AQ639" s="213"/>
      <c r="AR639" s="213"/>
      <c r="AS639" s="213"/>
      <c r="AT639" s="213"/>
      <c r="AU639" s="213"/>
      <c r="AV639" s="213"/>
      <c r="AW639" s="213"/>
      <c r="AX639" s="213"/>
      <c r="AY639" s="213"/>
      <c r="AZ639" s="213"/>
      <c r="BA639" s="213"/>
      <c r="BB639" s="213"/>
      <c r="BC639" s="213"/>
      <c r="BD639" s="213"/>
    </row>
    <row r="640">
      <c r="A640" s="213">
        <f>IFERROR(__xludf.DUMMYFUNCTION("""COMPUTED_VALUE"""),2081.0)</f>
        <v>2081</v>
      </c>
      <c r="B640" s="213" t="str">
        <f>IFERROR(__xludf.DUMMYFUNCTION("""COMPUTED_VALUE"""),"JOSE GRANDA")</f>
        <v>JOSE GRANDA</v>
      </c>
      <c r="C640" s="213" t="str">
        <f>IFERROR(__xludf.DUMMYFUNCTION("""COMPUTED_VALUE"""),"TALLER SFT DE INDUSTRIA ALIMENTARIA")</f>
        <v>TALLER SFT DE INDUSTRIA ALIMENTARIA</v>
      </c>
      <c r="D640" s="213" t="str">
        <f>IFERROR(__xludf.DUMMYFUNCTION("""COMPUTED_VALUE"""),"HERRAMIENTAS")</f>
        <v>HERRAMIENTAS</v>
      </c>
      <c r="E640" s="213" t="str">
        <f>IFERROR(__xludf.DUMMYFUNCTION("""COMPUTED_VALUE"""),"COM-252")</f>
        <v>COM-252</v>
      </c>
      <c r="F640" s="213" t="str">
        <f>IFERROR(__xludf.DUMMYFUNCTION("""COMPUTED_VALUE"""),"COM-252")</f>
        <v>COM-252</v>
      </c>
      <c r="G640" s="213"/>
      <c r="H640" s="213" t="str">
        <f>IFERROR(__xludf.DUMMYFUNCTION("""COMPUTED_VALUE"""),"PELADORA DE FRUTAS Y HORTALIZAS")</f>
        <v>PELADORA DE FRUTAS Y HORTALIZAS</v>
      </c>
      <c r="I640" s="213" t="str">
        <f>IFERROR(__xludf.DUMMYFUNCTION("""COMPUTED_VALUE"""),"· Cuerpo de plástico ABS de alto impacto.
· Brazo superior para fijar la posición de la fruta.
· Amplia base para mayor estabilidad durante el proceso.
· Brazo inferior con clip sujetador.
· Interruptor On / Off.
· Adaptador.  220  V / 60 Hz / 6 voltios.
"&amp;"· Tamaño apróximado: 15 cm x 14 cm x 29 cm
· Posee dos cuchillas extra dobles
· Es antideslizante.")</f>
        <v>· Cuerpo de plástico ABS de alto impacto.
· Brazo superior para fijar la posición de la fruta.
· Amplia base para mayor estabilidad durante el proceso.
· Brazo inferior con clip sujetador.
· Interruptor On / Off.
· Adaptador.  220  V / 60 Hz / 6 voltios.
· Tamaño apróximado: 15 cm x 14 cm x 29 cm
· Posee dos cuchillas extra dobles
· Es antideslizante.</v>
      </c>
      <c r="J640" s="213">
        <f>IFERROR(__xludf.DUMMYFUNCTION("""COMPUTED_VALUE"""),3.0)</f>
        <v>3</v>
      </c>
      <c r="K640" s="213" t="str">
        <f>IFERROR(__xludf.DUMMYFUNCTION("""COMPUTED_VALUE"""),"90 DÍAS CALENDARIO")</f>
        <v>90 DÍAS CALENDARIO</v>
      </c>
      <c r="L640" s="213" t="str">
        <f>IFERROR(__xludf.DUMMYFUNCTION("""COMPUTED_VALUE"""),"")</f>
        <v/>
      </c>
      <c r="M640" s="213">
        <f>IFERROR(__xludf.DUMMYFUNCTION("""COMPUTED_VALUE"""),1.0)</f>
        <v>1</v>
      </c>
      <c r="N640" s="213">
        <f>IFERROR(__xludf.DUMMYFUNCTION("""COMPUTED_VALUE"""),4.0)</f>
        <v>4</v>
      </c>
      <c r="O640" s="213">
        <f>IFERROR(__xludf.DUMMYFUNCTION("""COMPUTED_VALUE"""),4.0)</f>
        <v>4</v>
      </c>
      <c r="P640" s="213"/>
      <c r="Q640" s="213"/>
      <c r="R640" s="213" t="str">
        <f>IFERROR(__xludf.DUMMYFUNCTION("""COMPUTED_VALUE"""),"SI")</f>
        <v>SI</v>
      </c>
      <c r="S640" s="213"/>
      <c r="T640" s="213" t="str">
        <f>IFERROR(__xludf.DUMMYFUNCTION("""COMPUTED_VALUE"""),"SI")</f>
        <v>SI</v>
      </c>
      <c r="U640" s="213" t="str">
        <f>IFERROR(__xludf.DUMMYFUNCTION("""COMPUTED_VALUE"""),"SI")</f>
        <v>SI</v>
      </c>
      <c r="V640" s="213" t="str">
        <f>IFERROR(__xludf.DUMMYFUNCTION("""COMPUTED_VALUE"""),"-")</f>
        <v>-</v>
      </c>
      <c r="W640" s="213" t="str">
        <f>IFERROR(__xludf.DUMMYFUNCTION("""COMPUTED_VALUE"""),"-")</f>
        <v>-</v>
      </c>
      <c r="X640" s="213" t="str">
        <f>IFERROR(__xludf.DUMMYFUNCTION("""COMPUTED_VALUE"""),"GENERICO")</f>
        <v>GENERICO</v>
      </c>
      <c r="Y640" s="213" t="str">
        <f>IFERROR(__xludf.DUMMYFUNCTION("""COMPUTED_VALUE"""),"GENERICO")</f>
        <v>GENERICO</v>
      </c>
      <c r="Z640" s="215" t="str">
        <f>IFERROR(__xludf.DUMMYFUNCTION("""COMPUTED_VALUE"""),"https://electroventas.com.uy/catalogo/pelador-electrico-de-frutas-y-verduras_BOM9941_BOM9941")</f>
        <v>https://electroventas.com.uy/catalogo/pelador-electrico-de-frutas-y-verduras_BOM9941_BOM9941</v>
      </c>
      <c r="AA640" s="213" t="str">
        <f>IFERROR(__xludf.DUMMYFUNCTION("""COMPUTED_VALUE"""),"COM-252 PELADORA DE FRUTAS Y HORTALIZAS - CET")</f>
        <v>COM-252 PELADORA DE FRUTAS Y HORTALIZAS - CET</v>
      </c>
      <c r="AB640" s="213"/>
      <c r="AC640" s="213"/>
      <c r="AD640" s="213"/>
      <c r="AE640" s="213"/>
      <c r="AF640" s="213"/>
      <c r="AG640" s="213"/>
      <c r="AH640" s="213"/>
      <c r="AI640" s="213"/>
      <c r="AJ640" s="213"/>
      <c r="AK640" s="213"/>
      <c r="AL640" s="213"/>
      <c r="AM640" s="213"/>
      <c r="AN640" s="213"/>
      <c r="AO640" s="213"/>
      <c r="AP640" s="213" t="str">
        <f>IFERROR(__xludf.DUMMYFUNCTION("""COMPUTED_VALUE"""),"LUIS")</f>
        <v>LUIS</v>
      </c>
      <c r="AQ640" s="213"/>
      <c r="AR640" s="213"/>
      <c r="AS640" s="213"/>
      <c r="AT640" s="213"/>
      <c r="AU640" s="213"/>
      <c r="AV640" s="213"/>
      <c r="AW640" s="213"/>
      <c r="AX640" s="213"/>
      <c r="AY640" s="213"/>
      <c r="AZ640" s="213"/>
      <c r="BA640" s="213"/>
      <c r="BB640" s="213"/>
      <c r="BC640" s="213"/>
      <c r="BD640" s="213"/>
    </row>
    <row r="641">
      <c r="A641" s="213">
        <f>IFERROR(__xludf.DUMMYFUNCTION("""COMPUTED_VALUE"""),173.0)</f>
        <v>173</v>
      </c>
      <c r="B641" s="213" t="str">
        <f>IFERROR(__xludf.DUMMYFUNCTION("""COMPUTED_VALUE"""),"2026 SIMON BOLIVAR")</f>
        <v>2026 SIMON BOLIVAR</v>
      </c>
      <c r="C641" s="213" t="str">
        <f>IFERROR(__xludf.DUMMYFUNCTION("""COMPUTED_VALUE"""),"TALLER SFT DE INDUSTRIA DEL VESTIDO")</f>
        <v>TALLER SFT DE INDUSTRIA DEL VESTIDO</v>
      </c>
      <c r="D641" s="213" t="str">
        <f>IFERROR(__xludf.DUMMYFUNCTION("""COMPUTED_VALUE"""),"HERRAMIENTAS")</f>
        <v>HERRAMIENTAS</v>
      </c>
      <c r="E641" s="213" t="str">
        <f>IFERROR(__xludf.DUMMYFUNCTION("""COMPUTED_VALUE"""),"COM-253")</f>
        <v>COM-253</v>
      </c>
      <c r="F641" s="213" t="str">
        <f>IFERROR(__xludf.DUMMYFUNCTION("""COMPUTED_VALUE"""),"COM-253")</f>
        <v>COM-253</v>
      </c>
      <c r="G641" s="213"/>
      <c r="H641" s="213" t="str">
        <f>IFERROR(__xludf.DUMMYFUNCTION("""COMPUTED_VALUE"""),"PESA")</f>
        <v>PESA</v>
      </c>
      <c r="I641" s="213" t="str">
        <f>IFERROR(__xludf.DUMMYFUNCTION("""COMPUTED_VALUE"""),"·      Para facilitar el corte, evitando el movimiento de las telas.
·      Fabricada de metal, con asa.
·      Peso: 2 Kg")</f>
        <v>·      Para facilitar el corte, evitando el movimiento de las telas.
·      Fabricada de metal, con asa.
·      Peso: 2 Kg</v>
      </c>
      <c r="J641" s="213">
        <f>IFERROR(__xludf.DUMMYFUNCTION("""COMPUTED_VALUE"""),3.0)</f>
        <v>3</v>
      </c>
      <c r="K641" s="213" t="str">
        <f>IFERROR(__xludf.DUMMYFUNCTION("""COMPUTED_VALUE"""),"90 DÍAS CALENDARIO")</f>
        <v>90 DÍAS CALENDARIO</v>
      </c>
      <c r="L641" s="213" t="str">
        <f>IFERROR(__xludf.DUMMYFUNCTION("""COMPUTED_VALUE"""),"")</f>
        <v/>
      </c>
      <c r="M641" s="213">
        <f>IFERROR(__xludf.DUMMYFUNCTION("""COMPUTED_VALUE"""),1.0)</f>
        <v>1</v>
      </c>
      <c r="N641" s="213">
        <f>IFERROR(__xludf.DUMMYFUNCTION("""COMPUTED_VALUE"""),8.0)</f>
        <v>8</v>
      </c>
      <c r="O641" s="213">
        <f>IFERROR(__xludf.DUMMYFUNCTION("""COMPUTED_VALUE"""),8.0)</f>
        <v>8</v>
      </c>
      <c r="P641" s="213"/>
      <c r="Q641" s="213"/>
      <c r="R641" s="213" t="str">
        <f>IFERROR(__xludf.DUMMYFUNCTION("""COMPUTED_VALUE"""),"SI")</f>
        <v>SI</v>
      </c>
      <c r="S641" s="213"/>
      <c r="T641" s="213" t="str">
        <f>IFERROR(__xludf.DUMMYFUNCTION("""COMPUTED_VALUE"""),"SI")</f>
        <v>SI</v>
      </c>
      <c r="U641" s="213" t="str">
        <f>IFERROR(__xludf.DUMMYFUNCTION("""COMPUTED_VALUE"""),"SI")</f>
        <v>SI</v>
      </c>
      <c r="V641" s="213" t="str">
        <f>IFERROR(__xludf.DUMMYFUNCTION("""COMPUTED_VALUE"""),"-")</f>
        <v>-</v>
      </c>
      <c r="W641" s="213" t="str">
        <f>IFERROR(__xludf.DUMMYFUNCTION("""COMPUTED_VALUE"""),"-")</f>
        <v>-</v>
      </c>
      <c r="X641" s="213" t="str">
        <f>IFERROR(__xludf.DUMMYFUNCTION("""COMPUTED_VALUE"""),"Soltronic")</f>
        <v>Soltronic</v>
      </c>
      <c r="Y641" s="213" t="str">
        <f>IFERROR(__xludf.DUMMYFUNCTION("""COMPUTED_VALUE"""),"PESAS DE CORTE")</f>
        <v>PESAS DE CORTE</v>
      </c>
      <c r="Z641" s="215" t="str">
        <f>IFERROR(__xludf.DUMMYFUNCTION("""COMPUTED_VALUE"""),"https://soltronic.es/producto/pesas-de-corte-patrones/")</f>
        <v>https://soltronic.es/producto/pesas-de-corte-patrones/</v>
      </c>
      <c r="AA641" s="213" t="str">
        <f>IFERROR(__xludf.DUMMYFUNCTION("""COMPUTED_VALUE"""),"COM-253 PESA - CET")</f>
        <v>COM-253 PESA - CET</v>
      </c>
      <c r="AB641" s="213"/>
      <c r="AC641" s="213"/>
      <c r="AD641" s="213"/>
      <c r="AE641" s="213"/>
      <c r="AF641" s="213"/>
      <c r="AG641" s="213"/>
      <c r="AH641" s="213"/>
      <c r="AI641" s="213"/>
      <c r="AJ641" s="213"/>
      <c r="AK641" s="213"/>
      <c r="AL641" s="213"/>
      <c r="AM641" s="213"/>
      <c r="AN641" s="213"/>
      <c r="AO641" s="213"/>
      <c r="AP641" s="213" t="str">
        <f>IFERROR(__xludf.DUMMYFUNCTION("""COMPUTED_VALUE"""),"SEBASTIAN")</f>
        <v>SEBASTIAN</v>
      </c>
      <c r="AQ641" s="213"/>
      <c r="AR641" s="213"/>
      <c r="AS641" s="213"/>
      <c r="AT641" s="213"/>
      <c r="AU641" s="213"/>
      <c r="AV641" s="213"/>
      <c r="AW641" s="213"/>
      <c r="AX641" s="213"/>
      <c r="AY641" s="213"/>
      <c r="AZ641" s="213"/>
      <c r="BA641" s="213"/>
      <c r="BB641" s="213"/>
      <c r="BC641" s="213"/>
      <c r="BD641" s="213"/>
    </row>
    <row r="642">
      <c r="A642" s="213">
        <f>IFERROR(__xludf.DUMMYFUNCTION("""COMPUTED_VALUE"""),2392.0)</f>
        <v>2392</v>
      </c>
      <c r="B642" s="213" t="str">
        <f>IFERROR(__xludf.DUMMYFUNCTION("""COMPUTED_VALUE"""),"MANUEL ANTONIO MESONES MURO")</f>
        <v>MANUEL ANTONIO MESONES MURO</v>
      </c>
      <c r="C642" s="213" t="str">
        <f>IFERROR(__xludf.DUMMYFUNCTION("""COMPUTED_VALUE"""),"TALLER SFT DE INDUSTRIA DEL VESTIDO")</f>
        <v>TALLER SFT DE INDUSTRIA DEL VESTIDO</v>
      </c>
      <c r="D642" s="213" t="str">
        <f>IFERROR(__xludf.DUMMYFUNCTION("""COMPUTED_VALUE"""),"HERRAMIENTAS")</f>
        <v>HERRAMIENTAS</v>
      </c>
      <c r="E642" s="213" t="str">
        <f>IFERROR(__xludf.DUMMYFUNCTION("""COMPUTED_VALUE"""),"COM-253")</f>
        <v>COM-253</v>
      </c>
      <c r="F642" s="213" t="str">
        <f>IFERROR(__xludf.DUMMYFUNCTION("""COMPUTED_VALUE"""),"COM-253")</f>
        <v>COM-253</v>
      </c>
      <c r="G642" s="213"/>
      <c r="H642" s="213" t="str">
        <f>IFERROR(__xludf.DUMMYFUNCTION("""COMPUTED_VALUE"""),"PESA")</f>
        <v>PESA</v>
      </c>
      <c r="I642" s="213" t="str">
        <f>IFERROR(__xludf.DUMMYFUNCTION("""COMPUTED_VALUE"""),"·      Para facilitar el corte, evitando el movimiento de las telas.
·      Fabricada de metal, con asa.
·      Peso: 2 Kg")</f>
        <v>·      Para facilitar el corte, evitando el movimiento de las telas.
·      Fabricada de metal, con asa.
·      Peso: 2 Kg</v>
      </c>
      <c r="J642" s="213">
        <f>IFERROR(__xludf.DUMMYFUNCTION("""COMPUTED_VALUE"""),3.0)</f>
        <v>3</v>
      </c>
      <c r="K642" s="213" t="str">
        <f>IFERROR(__xludf.DUMMYFUNCTION("""COMPUTED_VALUE"""),"90 DÍAS CALENDARIO")</f>
        <v>90 DÍAS CALENDARIO</v>
      </c>
      <c r="L642" s="213" t="str">
        <f>IFERROR(__xludf.DUMMYFUNCTION("""COMPUTED_VALUE"""),"")</f>
        <v/>
      </c>
      <c r="M642" s="213">
        <f>IFERROR(__xludf.DUMMYFUNCTION("""COMPUTED_VALUE"""),1.0)</f>
        <v>1</v>
      </c>
      <c r="N642" s="213">
        <f>IFERROR(__xludf.DUMMYFUNCTION("""COMPUTED_VALUE"""),8.0)</f>
        <v>8</v>
      </c>
      <c r="O642" s="213">
        <f>IFERROR(__xludf.DUMMYFUNCTION("""COMPUTED_VALUE"""),8.0)</f>
        <v>8</v>
      </c>
      <c r="P642" s="213"/>
      <c r="Q642" s="213"/>
      <c r="R642" s="213" t="str">
        <f>IFERROR(__xludf.DUMMYFUNCTION("""COMPUTED_VALUE"""),"SI")</f>
        <v>SI</v>
      </c>
      <c r="S642" s="213"/>
      <c r="T642" s="213" t="str">
        <f>IFERROR(__xludf.DUMMYFUNCTION("""COMPUTED_VALUE"""),"SI")</f>
        <v>SI</v>
      </c>
      <c r="U642" s="213" t="str">
        <f>IFERROR(__xludf.DUMMYFUNCTION("""COMPUTED_VALUE"""),"SI")</f>
        <v>SI</v>
      </c>
      <c r="V642" s="213" t="str">
        <f>IFERROR(__xludf.DUMMYFUNCTION("""COMPUTED_VALUE"""),"-")</f>
        <v>-</v>
      </c>
      <c r="W642" s="213" t="str">
        <f>IFERROR(__xludf.DUMMYFUNCTION("""COMPUTED_VALUE"""),"-")</f>
        <v>-</v>
      </c>
      <c r="X642" s="213" t="str">
        <f>IFERROR(__xludf.DUMMYFUNCTION("""COMPUTED_VALUE"""),"Soltronic")</f>
        <v>Soltronic</v>
      </c>
      <c r="Y642" s="213" t="str">
        <f>IFERROR(__xludf.DUMMYFUNCTION("""COMPUTED_VALUE"""),"PESAS DE CORTE")</f>
        <v>PESAS DE CORTE</v>
      </c>
      <c r="Z642" s="215" t="str">
        <f>IFERROR(__xludf.DUMMYFUNCTION("""COMPUTED_VALUE"""),"https://soltronic.es/producto/pesas-de-corte-patrones/")</f>
        <v>https://soltronic.es/producto/pesas-de-corte-patrones/</v>
      </c>
      <c r="AA642" s="213" t="str">
        <f>IFERROR(__xludf.DUMMYFUNCTION("""COMPUTED_VALUE"""),"COM-253 PESA - CET")</f>
        <v>COM-253 PESA - CET</v>
      </c>
      <c r="AB642" s="213"/>
      <c r="AC642" s="213"/>
      <c r="AD642" s="213"/>
      <c r="AE642" s="213"/>
      <c r="AF642" s="213"/>
      <c r="AG642" s="213"/>
      <c r="AH642" s="213"/>
      <c r="AI642" s="213"/>
      <c r="AJ642" s="213"/>
      <c r="AK642" s="213"/>
      <c r="AL642" s="213"/>
      <c r="AM642" s="213"/>
      <c r="AN642" s="213"/>
      <c r="AO642" s="213"/>
      <c r="AP642" s="213" t="str">
        <f>IFERROR(__xludf.DUMMYFUNCTION("""COMPUTED_VALUE"""),"SEBASTIAN")</f>
        <v>SEBASTIAN</v>
      </c>
      <c r="AQ642" s="213"/>
      <c r="AR642" s="213"/>
      <c r="AS642" s="213"/>
      <c r="AT642" s="213"/>
      <c r="AU642" s="213"/>
      <c r="AV642" s="213"/>
      <c r="AW642" s="213"/>
      <c r="AX642" s="213"/>
      <c r="AY642" s="213"/>
      <c r="AZ642" s="213"/>
      <c r="BA642" s="213"/>
      <c r="BB642" s="213"/>
      <c r="BC642" s="213"/>
      <c r="BD642" s="213"/>
    </row>
    <row r="643">
      <c r="A643" s="213">
        <f>IFERROR(__xludf.DUMMYFUNCTION("""COMPUTED_VALUE"""),472.0)</f>
        <v>472</v>
      </c>
      <c r="B643" s="213" t="str">
        <f>IFERROR(__xludf.DUMMYFUNCTION("""COMPUTED_VALUE"""),"2026 SIMON BOLIVAR")</f>
        <v>2026 SIMON BOLIVAR</v>
      </c>
      <c r="C643" s="213" t="str">
        <f>IFERROR(__xludf.DUMMYFUNCTION("""COMPUTED_VALUE"""),"TALLER SFT DE INDUSTRIA ALIMENTARIA")</f>
        <v>TALLER SFT DE INDUSTRIA ALIMENTARIA</v>
      </c>
      <c r="D643" s="213" t="str">
        <f>IFERROR(__xludf.DUMMYFUNCTION("""COMPUTED_VALUE"""),"HERRAMIENTAS")</f>
        <v>HERRAMIENTAS</v>
      </c>
      <c r="E643" s="213" t="str">
        <f>IFERROR(__xludf.DUMMYFUNCTION("""COMPUTED_VALUE"""),"COM-254")</f>
        <v>COM-254</v>
      </c>
      <c r="F643" s="213" t="str">
        <f>IFERROR(__xludf.DUMMYFUNCTION("""COMPUTED_VALUE"""),"COM-254")</f>
        <v>COM-254</v>
      </c>
      <c r="G643" s="213"/>
      <c r="H643" s="213" t="str">
        <f>IFERROR(__xludf.DUMMYFUNCTION("""COMPUTED_VALUE"""),"PH METRO PARA ALIMENTOS LÍQUIDOS")</f>
        <v>PH METRO PARA ALIMENTOS LÍQUIDOS</v>
      </c>
      <c r="I643" s="213" t="str">
        <f>IFERROR(__xludf.DUMMYFUNCTION("""COMPUTED_VALUE"""),"· Rango de medición (0 a 14.00)
· PH Resolución 0.1/0.01 pH
· Precisión ±0.01 pH ±1 dígito
· Estabilidad ±0.01 pH/3h ±1 dígito
· Calibración automática de 1 a 3 puntos
· Temperatura: Rango de medición 0 a 80°C")</f>
        <v>· Rango de medición (0 a 14.00)
· PH Resolución 0.1/0.01 pH
· Precisión ±0.01 pH ±1 dígito
· Estabilidad ±0.01 pH/3h ±1 dígito
· Calibración automática de 1 a 3 puntos
· Temperatura: Rango de medición 0 a 80°C</v>
      </c>
      <c r="J643" s="213">
        <f>IFERROR(__xludf.DUMMYFUNCTION("""COMPUTED_VALUE"""),3.0)</f>
        <v>3</v>
      </c>
      <c r="K643" s="213" t="str">
        <f>IFERROR(__xludf.DUMMYFUNCTION("""COMPUTED_VALUE"""),"90 DÍAS CALENDARIO")</f>
        <v>90 DÍAS CALENDARIO</v>
      </c>
      <c r="L643" s="213" t="str">
        <f>IFERROR(__xludf.DUMMYFUNCTION("""COMPUTED_VALUE"""),"")</f>
        <v/>
      </c>
      <c r="M643" s="213">
        <f>IFERROR(__xludf.DUMMYFUNCTION("""COMPUTED_VALUE"""),1.0)</f>
        <v>1</v>
      </c>
      <c r="N643" s="213">
        <f>IFERROR(__xludf.DUMMYFUNCTION("""COMPUTED_VALUE"""),4.0)</f>
        <v>4</v>
      </c>
      <c r="O643" s="213">
        <f>IFERROR(__xludf.DUMMYFUNCTION("""COMPUTED_VALUE"""),4.0)</f>
        <v>4</v>
      </c>
      <c r="P643" s="213"/>
      <c r="Q643" s="213"/>
      <c r="R643" s="213" t="str">
        <f>IFERROR(__xludf.DUMMYFUNCTION("""COMPUTED_VALUE"""),"SI")</f>
        <v>SI</v>
      </c>
      <c r="S643" s="213"/>
      <c r="T643" s="213" t="str">
        <f>IFERROR(__xludf.DUMMYFUNCTION("""COMPUTED_VALUE"""),"SI")</f>
        <v>SI</v>
      </c>
      <c r="U643" s="213" t="str">
        <f>IFERROR(__xludf.DUMMYFUNCTION("""COMPUTED_VALUE"""),"SI")</f>
        <v>SI</v>
      </c>
      <c r="V643" s="213" t="str">
        <f>IFERROR(__xludf.DUMMYFUNCTION("""COMPUTED_VALUE"""),"-")</f>
        <v>-</v>
      </c>
      <c r="W643" s="213" t="str">
        <f>IFERROR(__xludf.DUMMYFUNCTION("""COMPUTED_VALUE"""),"-")</f>
        <v>-</v>
      </c>
      <c r="X643" s="213" t="str">
        <f>IFERROR(__xludf.DUMMYFUNCTION("""COMPUTED_VALUE"""),"SELECTA")</f>
        <v>SELECTA</v>
      </c>
      <c r="Y643" s="213" t="str">
        <f>IFERROR(__xludf.DUMMYFUNCTION("""COMPUTED_VALUE"""),"SELECTA")</f>
        <v>SELECTA</v>
      </c>
      <c r="Z643" s="215" t="str">
        <f>IFERROR(__xludf.DUMMYFUNCTION("""COMPUTED_VALUE"""),"https://www.auxilab.es/controles/ObtenerPDF.ashx?f=%5c00%5c05%5c2m%5co0_F_PH_SELECTA_E.pdf")</f>
        <v>https://www.auxilab.es/controles/ObtenerPDF.ashx?f=%5c00%5c05%5c2m%5co0_F_PH_SELECTA_E.pdf</v>
      </c>
      <c r="AA643" s="213" t="str">
        <f>IFERROR(__xludf.DUMMYFUNCTION("""COMPUTED_VALUE"""),"COM-254 PH METRO PARA ALIMENTOS LÍQUIDOS - CET")</f>
        <v>COM-254 PH METRO PARA ALIMENTOS LÍQUIDOS - CET</v>
      </c>
      <c r="AB643" s="213"/>
      <c r="AC643" s="213"/>
      <c r="AD643" s="213"/>
      <c r="AE643" s="213"/>
      <c r="AF643" s="213"/>
      <c r="AG643" s="213"/>
      <c r="AH643" s="213"/>
      <c r="AI643" s="213"/>
      <c r="AJ643" s="213"/>
      <c r="AK643" s="213"/>
      <c r="AL643" s="213"/>
      <c r="AM643" s="213"/>
      <c r="AN643" s="213"/>
      <c r="AO643" s="213"/>
      <c r="AP643" s="213" t="str">
        <f>IFERROR(__xludf.DUMMYFUNCTION("""COMPUTED_VALUE"""),"LUIS")</f>
        <v>LUIS</v>
      </c>
      <c r="AQ643" s="213"/>
      <c r="AR643" s="213"/>
      <c r="AS643" s="213"/>
      <c r="AT643" s="213"/>
      <c r="AU643" s="213"/>
      <c r="AV643" s="213"/>
      <c r="AW643" s="213"/>
      <c r="AX643" s="213"/>
      <c r="AY643" s="213"/>
      <c r="AZ643" s="213"/>
      <c r="BA643" s="213"/>
      <c r="BB643" s="213"/>
      <c r="BC643" s="213"/>
      <c r="BD643" s="213"/>
    </row>
    <row r="644">
      <c r="A644" s="213">
        <f>IFERROR(__xludf.DUMMYFUNCTION("""COMPUTED_VALUE"""),1906.0)</f>
        <v>1906</v>
      </c>
      <c r="B644" s="213" t="str">
        <f>IFERROR(__xludf.DUMMYFUNCTION("""COMPUTED_VALUE"""),"GUILLERMO E. BILLINGHURST ")</f>
        <v>GUILLERMO E. BILLINGHURST </v>
      </c>
      <c r="C644" s="213" t="str">
        <f>IFERROR(__xludf.DUMMYFUNCTION("""COMPUTED_VALUE"""),"TALLER SFT DE EBANISTERÍA")</f>
        <v>TALLER SFT DE EBANISTERÍA</v>
      </c>
      <c r="D644" s="213" t="str">
        <f>IFERROR(__xludf.DUMMYFUNCTION("""COMPUTED_VALUE"""),"EQUIPOS")</f>
        <v>EQUIPOS</v>
      </c>
      <c r="E644" s="213" t="str">
        <f>IFERROR(__xludf.DUMMYFUNCTION("""COMPUTED_VALUE"""),"ESP-161")</f>
        <v>ESP-161</v>
      </c>
      <c r="F644" s="213" t="str">
        <f>IFERROR(__xludf.DUMMYFUNCTION("""COMPUTED_VALUE"""),"ESP-161-X")</f>
        <v>ESP-161-X</v>
      </c>
      <c r="G644" s="213"/>
      <c r="H644" s="213" t="str">
        <f>IFERROR(__xludf.DUMMYFUNCTION("""COMPUTED_VALUE"""),"ESMERIL DE BANCO")</f>
        <v>ESMERIL DE BANCO</v>
      </c>
      <c r="I644" s="213" t="str">
        <f>IFERROR(__xludf.DUMMYFUNCTION("""COMPUTED_VALUE"""),"Afiladora universal para trabajos sobre materiales con agua y en seco, para esmerilar cuchillas y herramientas.
Contiene una gama de accesorios, para facilitar el afilado. Diámetro de la piedra de afilar: mínimo 250 mm x 50 mm.
Diámetro de disco de asenta"&amp;"do de cuero: mínimo 200 mm x 30 mm. N° de revoluciones: minimo 90 rpm.
Potencia del motor: mínimo 120 W. Voltaje, frecuencia: 220 V, 60 Hz.
Incluye: piedra para afilar, piedra para asentar y banco soporte.")</f>
        <v>Afiladora universal para trabajos sobre materiales con agua y en seco, para esmerilar cuchillas y herramientas.
Contiene una gama de accesorios, para facilitar el afilado. Diámetro de la piedra de afilar: mínimo 250 mm x 50 mm.
Diámetro de disco de asentado de cuero: mínimo 200 mm x 30 mm. N° de revoluciones: minimo 90 rpm.
Potencia del motor: mínimo 120 W. Voltaje, frecuencia: 220 V, 60 Hz.
Incluye: piedra para afilar, piedra para asentar y banco soporte.</v>
      </c>
      <c r="J644" s="213">
        <f>IFERROR(__xludf.DUMMYFUNCTION("""COMPUTED_VALUE"""),3.0)</f>
        <v>3</v>
      </c>
      <c r="K644" s="213" t="str">
        <f>IFERROR(__xludf.DUMMYFUNCTION("""COMPUTED_VALUE"""),"170 DÍAS CALENDARIO")</f>
        <v>170 DÍAS CALENDARIO</v>
      </c>
      <c r="L644" s="213" t="str">
        <f>IFERROR(__xludf.DUMMYFUNCTION("""COMPUTED_VALUE"""),"")</f>
        <v/>
      </c>
      <c r="M644" s="213">
        <f>IFERROR(__xludf.DUMMYFUNCTION("""COMPUTED_VALUE"""),1.0)</f>
        <v>1</v>
      </c>
      <c r="N644" s="213">
        <f>IFERROR(__xludf.DUMMYFUNCTION("""COMPUTED_VALUE"""),1.0)</f>
        <v>1</v>
      </c>
      <c r="O644" s="213">
        <f>IFERROR(__xludf.DUMMYFUNCTION("""COMPUTED_VALUE"""),1.0)</f>
        <v>1</v>
      </c>
      <c r="P644" s="213"/>
      <c r="Q644" s="213"/>
      <c r="R644" s="213"/>
      <c r="S644" s="213" t="str">
        <f>IFERROR(__xludf.DUMMYFUNCTION("""COMPUTED_VALUE"""),"SI")</f>
        <v>SI</v>
      </c>
      <c r="T644" s="213" t="str">
        <f>IFERROR(__xludf.DUMMYFUNCTION("""COMPUTED_VALUE"""),"SI")</f>
        <v>SI</v>
      </c>
      <c r="U644" s="213" t="str">
        <f>IFERROR(__xludf.DUMMYFUNCTION("""COMPUTED_VALUE"""),"NO")</f>
        <v>NO</v>
      </c>
      <c r="V644" s="213" t="str">
        <f>IFERROR(__xludf.DUMMYFUNCTION("""COMPUTED_VALUE"""),"SUSTENTO")</f>
        <v>SUSTENTO</v>
      </c>
      <c r="W644" s="213" t="str">
        <f>IFERROR(__xludf.DUMMYFUNCTION("""COMPUTED_VALUE"""),"ELÉCTRICO")</f>
        <v>ELÉCTRICO</v>
      </c>
      <c r="X644" s="213" t="str">
        <f>IFERROR(__xludf.DUMMYFUNCTION("""COMPUTED_VALUE"""),"scheppach")</f>
        <v>scheppach</v>
      </c>
      <c r="Y644" s="213" t="str">
        <f>IFERROR(__xludf.DUMMYFUNCTION("""COMPUTED_VALUE"""),"Tiger 2500")</f>
        <v>Tiger 2500</v>
      </c>
      <c r="Z644" s="215" t="str">
        <f>IFERROR(__xludf.DUMMYFUNCTION("""COMPUTED_VALUE"""),"https://shop.scheppach.com/en-GB/Whetstone-Bench-Grinder-Tiger-2500-200W-250mm-Leather-Honing-Wheel/5903202901-500 ")</f>
        <v>https://shop.scheppach.com/en-GB/Whetstone-Bench-Grinder-Tiger-2500-200W-250mm-Leather-Honing-Wheel/5903202901-500 </v>
      </c>
      <c r="AA644" s="213" t="str">
        <f>IFERROR(__xludf.DUMMYFUNCTION("""COMPUTED_VALUE"""),"ESP-161-X ESMERIL DE BANCO - CET")</f>
        <v>ESP-161-X ESMERIL DE BANCO - CET</v>
      </c>
      <c r="AB644" s="213"/>
      <c r="AC644" s="213"/>
      <c r="AD644" s="213"/>
      <c r="AE644" s="213"/>
      <c r="AF644" s="213"/>
      <c r="AG644" s="213"/>
      <c r="AH644" s="213" t="str">
        <f>IFERROR(__xludf.DUMMYFUNCTION("""COMPUTED_VALUE"""),"IMPORTADO")</f>
        <v>IMPORTADO</v>
      </c>
      <c r="AI644" s="213"/>
      <c r="AJ644" s="213"/>
      <c r="AK644" s="213"/>
      <c r="AL644" s="213"/>
      <c r="AM644" s="213"/>
      <c r="AN644" s="213"/>
      <c r="AO644" s="213"/>
      <c r="AP644" s="213" t="str">
        <f>IFERROR(__xludf.DUMMYFUNCTION("""COMPUTED_VALUE"""),"NALDI")</f>
        <v>NALDI</v>
      </c>
      <c r="AQ644" s="213"/>
      <c r="AR644" s="213"/>
      <c r="AS644" s="217" t="str">
        <f>IFERROR(__xludf.DUMMYFUNCTION("""COMPUTED_VALUE"""),"Considerar precio adicional para el soporte de banco")</f>
        <v>Considerar precio adicional para el soporte de banco</v>
      </c>
      <c r="AT644" s="213"/>
      <c r="AU644" s="213"/>
      <c r="AV644" s="213"/>
      <c r="AW644" s="213"/>
      <c r="AX644" s="213"/>
      <c r="AY644" s="213"/>
      <c r="AZ644" s="213"/>
      <c r="BA644" s="213"/>
      <c r="BB644" s="213"/>
      <c r="BC644" s="213"/>
      <c r="BD644" s="213"/>
    </row>
    <row r="645">
      <c r="A645" s="213">
        <f>IFERROR(__xludf.DUMMYFUNCTION("""COMPUTED_VALUE"""),2509.0)</f>
        <v>2509</v>
      </c>
      <c r="B645" s="213" t="str">
        <f>IFERROR(__xludf.DUMMYFUNCTION("""COMPUTED_VALUE"""),"MANUEL ANTONIO MESONES MURO")</f>
        <v>MANUEL ANTONIO MESONES MURO</v>
      </c>
      <c r="C645" s="213" t="str">
        <f>IFERROR(__xludf.DUMMYFUNCTION("""COMPUTED_VALUE"""),"TALLER SFT DE CONSTRUCCIONES METÁLICAS")</f>
        <v>TALLER SFT DE CONSTRUCCIONES METÁLICAS</v>
      </c>
      <c r="D645" s="213" t="str">
        <f>IFERROR(__xludf.DUMMYFUNCTION("""COMPUTED_VALUE"""),"EQUIPOS")</f>
        <v>EQUIPOS</v>
      </c>
      <c r="E645" s="213" t="str">
        <f>IFERROR(__xludf.DUMMYFUNCTION("""COMPUTED_VALUE"""),"ESP-161")</f>
        <v>ESP-161</v>
      </c>
      <c r="F645" s="213" t="str">
        <f>IFERROR(__xludf.DUMMYFUNCTION("""COMPUTED_VALUE"""),"ESP-161-Y")</f>
        <v>ESP-161-Y</v>
      </c>
      <c r="G645" s="213"/>
      <c r="H645" s="213" t="str">
        <f>IFERROR(__xludf.DUMMYFUNCTION("""COMPUTED_VALUE"""),"ESMERIL DE BANCO")</f>
        <v>ESMERIL DE BANCO</v>
      </c>
      <c r="I645" s="213" t="str">
        <f>IFERROR(__xludf.DUMMYFUNCTION("""COMPUTED_VALUE"""),"Uso: Pulido y abrillantado de metales. Desbastar o matar aristas de piezas metálica: 373 W.
Diámetro de piedras: 6""
Velocidad mínima: 3845 RPM
Peso aproximado (+-100gr): 10 kg
Voltaje: 220 V / 60 Hz monofásico
Características Motor de mínimo 373W.
"&amp;"Acepta discos para pulir y de alambre.
Base de acero robusta con monturas de goma.
Dimensiones aproximadas (+-5cm): L35 x A25 x H30 cm
· Con accesorios
· Eje mínimo de 3⁄4”")</f>
        <v>Uso: Pulido y abrillantado de metales. Desbastar o matar aristas de piezas metálica: 373 W.
Diámetro de piedras: 6"
Velocidad mínima: 3845 RPM
Peso aproximado (+-100gr): 10 kg
Voltaje: 220 V / 60 Hz monofásico
Características Motor de mínimo 373W.
Acepta discos para pulir y de alambre.
Base de acero robusta con monturas de goma.
Dimensiones aproximadas (+-5cm): L35 x A25 x H30 cm
· Con accesorios
· Eje mínimo de 3⁄4”</v>
      </c>
      <c r="J645" s="213">
        <f>IFERROR(__xludf.DUMMYFUNCTION("""COMPUTED_VALUE"""),3.0)</f>
        <v>3</v>
      </c>
      <c r="K645" s="213" t="str">
        <f>IFERROR(__xludf.DUMMYFUNCTION("""COMPUTED_VALUE"""),"170 DÍAS CALENDARIO")</f>
        <v>170 DÍAS CALENDARIO</v>
      </c>
      <c r="L645" s="213" t="str">
        <f>IFERROR(__xludf.DUMMYFUNCTION("""COMPUTED_VALUE"""),"")</f>
        <v/>
      </c>
      <c r="M645" s="213">
        <f>IFERROR(__xludf.DUMMYFUNCTION("""COMPUTED_VALUE"""),1.0)</f>
        <v>1</v>
      </c>
      <c r="N645" s="213">
        <f>IFERROR(__xludf.DUMMYFUNCTION("""COMPUTED_VALUE"""),1.0)</f>
        <v>1</v>
      </c>
      <c r="O645" s="213">
        <f>IFERROR(__xludf.DUMMYFUNCTION("""COMPUTED_VALUE"""),1.0)</f>
        <v>1</v>
      </c>
      <c r="P645" s="213"/>
      <c r="Q645" s="213"/>
      <c r="R645" s="213"/>
      <c r="S645" s="213" t="str">
        <f>IFERROR(__xludf.DUMMYFUNCTION("""COMPUTED_VALUE"""),"SI")</f>
        <v>SI</v>
      </c>
      <c r="T645" s="213" t="str">
        <f>IFERROR(__xludf.DUMMYFUNCTION("""COMPUTED_VALUE"""),"SI")</f>
        <v>SI</v>
      </c>
      <c r="U645" s="213" t="str">
        <f>IFERROR(__xludf.DUMMYFUNCTION("""COMPUTED_VALUE"""),"NO")</f>
        <v>NO</v>
      </c>
      <c r="V645" s="213" t="str">
        <f>IFERROR(__xludf.DUMMYFUNCTION("""COMPUTED_VALUE"""),"SUSTENTO")</f>
        <v>SUSTENTO</v>
      </c>
      <c r="W645" s="213" t="str">
        <f>IFERROR(__xludf.DUMMYFUNCTION("""COMPUTED_VALUE"""),"ERROR EETT")</f>
        <v>ERROR EETT</v>
      </c>
      <c r="X645" s="213" t="str">
        <f>IFERROR(__xludf.DUMMYFUNCTION("""COMPUTED_VALUE"""),"STANLEY")</f>
        <v>STANLEY</v>
      </c>
      <c r="Y645" s="213" t="str">
        <f>IFERROR(__xludf.DUMMYFUNCTION("""COMPUTED_VALUE"""),"STGB3715")</f>
        <v>STGB3715</v>
      </c>
      <c r="Z645" s="215" t="str">
        <f>IFERROR(__xludf.DUMMYFUNCTION("""COMPUTED_VALUE"""),"https://drive.google.com/file/d/1E3CKzA1bkip1VQS1CWffN492gl2sDrRt/view?usp=sharing")</f>
        <v>https://drive.google.com/file/d/1E3CKzA1bkip1VQS1CWffN492gl2sDrRt/view?usp=sharing</v>
      </c>
      <c r="AA645" s="213" t="str">
        <f>IFERROR(__xludf.DUMMYFUNCTION("""COMPUTED_VALUE"""),"ESP-161-Y ESMERIL DE BANCO - CET")</f>
        <v>ESP-161-Y ESMERIL DE BANCO - CET</v>
      </c>
      <c r="AB645" s="213"/>
      <c r="AC645" s="213"/>
      <c r="AD645" s="213"/>
      <c r="AE645" s="213"/>
      <c r="AF645" s="213"/>
      <c r="AG645" s="213"/>
      <c r="AH645" s="213" t="str">
        <f>IFERROR(__xludf.DUMMYFUNCTION("""COMPUTED_VALUE"""),"NACIONAL")</f>
        <v>NACIONAL</v>
      </c>
      <c r="AI645" s="213"/>
      <c r="AJ645" s="213"/>
      <c r="AK645" s="213"/>
      <c r="AL645" s="213"/>
      <c r="AM645" s="213"/>
      <c r="AN645" s="213"/>
      <c r="AO645" s="213"/>
      <c r="AP645" s="213" t="str">
        <f>IFERROR(__xludf.DUMMYFUNCTION("""COMPUTED_VALUE"""),"NALDI")</f>
        <v>NALDI</v>
      </c>
      <c r="AQ645" s="213"/>
      <c r="AR645" s="213"/>
      <c r="AS645" s="217" t="str">
        <f>IFERROR(__xludf.DUMMYFUNCTION("""COMPUTED_VALUE"""),"Considerar precio adicional para el soporte de banco solicitado al igual que en PAQ 04")</f>
        <v>Considerar precio adicional para el soporte de banco solicitado al igual que en PAQ 04</v>
      </c>
      <c r="AT645" s="213"/>
      <c r="AU645" s="213"/>
      <c r="AV645" s="213"/>
      <c r="AW645" s="213"/>
      <c r="AX645" s="213"/>
      <c r="AY645" s="213"/>
      <c r="AZ645" s="213"/>
      <c r="BA645" s="213"/>
      <c r="BB645" s="213"/>
      <c r="BC645" s="213"/>
      <c r="BD645" s="213"/>
    </row>
    <row r="646">
      <c r="A646" s="213">
        <f>IFERROR(__xludf.DUMMYFUNCTION("""COMPUTED_VALUE"""),2687.0)</f>
        <v>2687</v>
      </c>
      <c r="B646" s="213" t="str">
        <f>IFERROR(__xludf.DUMMYFUNCTION("""COMPUTED_VALUE"""),"MANUEL ANTONIO MESONES MURO")</f>
        <v>MANUEL ANTONIO MESONES MURO</v>
      </c>
      <c r="C646" s="213" t="str">
        <f>IFERROR(__xludf.DUMMYFUNCTION("""COMPUTED_VALUE"""),"TALLER SFT DE EBANISTERÍA")</f>
        <v>TALLER SFT DE EBANISTERÍA</v>
      </c>
      <c r="D646" s="213" t="str">
        <f>IFERROR(__xludf.DUMMYFUNCTION("""COMPUTED_VALUE"""),"EQUIPOS")</f>
        <v>EQUIPOS</v>
      </c>
      <c r="E646" s="213" t="str">
        <f>IFERROR(__xludf.DUMMYFUNCTION("""COMPUTED_VALUE"""),"ESP-161")</f>
        <v>ESP-161</v>
      </c>
      <c r="F646" s="213" t="str">
        <f>IFERROR(__xludf.DUMMYFUNCTION("""COMPUTED_VALUE"""),"ESP-161-X")</f>
        <v>ESP-161-X</v>
      </c>
      <c r="G646" s="213"/>
      <c r="H646" s="213" t="str">
        <f>IFERROR(__xludf.DUMMYFUNCTION("""COMPUTED_VALUE"""),"ESMERIL DE BANCO")</f>
        <v>ESMERIL DE BANCO</v>
      </c>
      <c r="I646" s="213" t="str">
        <f>IFERROR(__xludf.DUMMYFUNCTION("""COMPUTED_VALUE"""),"Afiladora universal para trabajos sobre materiales con agua y en seco, para esmerilar cuchillas y herramientas.
Contiene una gama de accesorios, para facilitar el afilado. Diámetro de la piedra de afilar: mínimo 250 mm x 50 mm.
Diámetro de disco de asenta"&amp;"do de cuero: mínimo 200 mm x 30 mm. N° de revoluciones: minimo 90 rpm.
Potencia del motor: mínimo 120 W. Voltaje, frecuencia: 220 V, 60 Hz.
Incluye: piedra para afilar, piedra para asentar y banco soporte.")</f>
        <v>Afiladora universal para trabajos sobre materiales con agua y en seco, para esmerilar cuchillas y herramientas.
Contiene una gama de accesorios, para facilitar el afilado. Diámetro de la piedra de afilar: mínimo 250 mm x 50 mm.
Diámetro de disco de asentado de cuero: mínimo 200 mm x 30 mm. N° de revoluciones: minimo 90 rpm.
Potencia del motor: mínimo 120 W. Voltaje, frecuencia: 220 V, 60 Hz.
Incluye: piedra para afilar, piedra para asentar y banco soporte.</v>
      </c>
      <c r="J646" s="213">
        <f>IFERROR(__xludf.DUMMYFUNCTION("""COMPUTED_VALUE"""),3.0)</f>
        <v>3</v>
      </c>
      <c r="K646" s="213" t="str">
        <f>IFERROR(__xludf.DUMMYFUNCTION("""COMPUTED_VALUE"""),"170 DÍAS CALENDARIO")</f>
        <v>170 DÍAS CALENDARIO</v>
      </c>
      <c r="L646" s="213" t="str">
        <f>IFERROR(__xludf.DUMMYFUNCTION("""COMPUTED_VALUE"""),"")</f>
        <v/>
      </c>
      <c r="M646" s="213">
        <f>IFERROR(__xludf.DUMMYFUNCTION("""COMPUTED_VALUE"""),1.0)</f>
        <v>1</v>
      </c>
      <c r="N646" s="213">
        <f>IFERROR(__xludf.DUMMYFUNCTION("""COMPUTED_VALUE"""),1.0)</f>
        <v>1</v>
      </c>
      <c r="O646" s="213">
        <f>IFERROR(__xludf.DUMMYFUNCTION("""COMPUTED_VALUE"""),1.0)</f>
        <v>1</v>
      </c>
      <c r="P646" s="213"/>
      <c r="Q646" s="213"/>
      <c r="R646" s="213"/>
      <c r="S646" s="213" t="str">
        <f>IFERROR(__xludf.DUMMYFUNCTION("""COMPUTED_VALUE"""),"SI")</f>
        <v>SI</v>
      </c>
      <c r="T646" s="213" t="str">
        <f>IFERROR(__xludf.DUMMYFUNCTION("""COMPUTED_VALUE"""),"SI")</f>
        <v>SI</v>
      </c>
      <c r="U646" s="213" t="str">
        <f>IFERROR(__xludf.DUMMYFUNCTION("""COMPUTED_VALUE"""),"NO")</f>
        <v>NO</v>
      </c>
      <c r="V646" s="213" t="str">
        <f>IFERROR(__xludf.DUMMYFUNCTION("""COMPUTED_VALUE"""),"SUSTENTO")</f>
        <v>SUSTENTO</v>
      </c>
      <c r="W646" s="213" t="str">
        <f>IFERROR(__xludf.DUMMYFUNCTION("""COMPUTED_VALUE"""),"ELÉCTRICO")</f>
        <v>ELÉCTRICO</v>
      </c>
      <c r="X646" s="213" t="str">
        <f>IFERROR(__xludf.DUMMYFUNCTION("""COMPUTED_VALUE"""),"scheppach")</f>
        <v>scheppach</v>
      </c>
      <c r="Y646" s="213" t="str">
        <f>IFERROR(__xludf.DUMMYFUNCTION("""COMPUTED_VALUE"""),"Tiger 2500")</f>
        <v>Tiger 2500</v>
      </c>
      <c r="Z646" s="215" t="str">
        <f>IFERROR(__xludf.DUMMYFUNCTION("""COMPUTED_VALUE"""),"https://shop.scheppach.com/en-GB/Whetstone-Bench-Grinder-Tiger-2500-200W-250mm-Leather-Honing-Wheel/5903202901-500 ")</f>
        <v>https://shop.scheppach.com/en-GB/Whetstone-Bench-Grinder-Tiger-2500-200W-250mm-Leather-Honing-Wheel/5903202901-500 </v>
      </c>
      <c r="AA646" s="215" t="str">
        <f>IFERROR(__xludf.DUMMYFUNCTION("""COMPUTED_VALUE"""),"https://docs.google.com/spreadsheets/d/1nPMW8LIZ4zOro-j-HTN6VWoeUrucpV04V5xKxYPsSkU/edit?gid=0#gid=1")</f>
        <v>https://docs.google.com/spreadsheets/d/1nPMW8LIZ4zOro-j-HTN6VWoeUrucpV04V5xKxYPsSkU/edit?gid=0#gid=1</v>
      </c>
      <c r="AB646" s="213"/>
      <c r="AC646" s="213"/>
      <c r="AD646" s="213"/>
      <c r="AE646" s="213"/>
      <c r="AF646" s="213"/>
      <c r="AG646" s="213"/>
      <c r="AH646" s="213" t="str">
        <f>IFERROR(__xludf.DUMMYFUNCTION("""COMPUTED_VALUE"""),"IMPORTADO")</f>
        <v>IMPORTADO</v>
      </c>
      <c r="AI646" s="213"/>
      <c r="AJ646" s="213"/>
      <c r="AK646" s="213"/>
      <c r="AL646" s="213"/>
      <c r="AM646" s="213"/>
      <c r="AN646" s="213"/>
      <c r="AO646" s="213"/>
      <c r="AP646" s="213" t="str">
        <f>IFERROR(__xludf.DUMMYFUNCTION("""COMPUTED_VALUE"""),"NALDI")</f>
        <v>NALDI</v>
      </c>
      <c r="AQ646" s="213"/>
      <c r="AR646" s="213"/>
      <c r="AS646" s="217" t="str">
        <f>IFERROR(__xludf.DUMMYFUNCTION("""COMPUTED_VALUE"""),"Considerar precio adicional para el soporte de banco")</f>
        <v>Considerar precio adicional para el soporte de banco</v>
      </c>
      <c r="AT646" s="213"/>
      <c r="AU646" s="213"/>
      <c r="AV646" s="213"/>
      <c r="AW646" s="213"/>
      <c r="AX646" s="213"/>
      <c r="AY646" s="213"/>
      <c r="AZ646" s="213"/>
      <c r="BA646" s="213"/>
      <c r="BB646" s="213"/>
      <c r="BC646" s="213"/>
      <c r="BD646" s="213"/>
    </row>
    <row r="647">
      <c r="A647" s="213">
        <f>IFERROR(__xludf.DUMMYFUNCTION("""COMPUTED_VALUE"""),986.0)</f>
        <v>986</v>
      </c>
      <c r="B647" s="213" t="str">
        <f>IFERROR(__xludf.DUMMYFUNCTION("""COMPUTED_VALUE"""),"FRANCISCO IRAZOLA")</f>
        <v>FRANCISCO IRAZOLA</v>
      </c>
      <c r="C647" s="213" t="str">
        <f>IFERROR(__xludf.DUMMYFUNCTION("""COMPUTED_VALUE"""),"TALLER SFT DE MECÁNICA AUTOMOTRIZ")</f>
        <v>TALLER SFT DE MECÁNICA AUTOMOTRIZ</v>
      </c>
      <c r="D647" s="213" t="str">
        <f>IFERROR(__xludf.DUMMYFUNCTION("""COMPUTED_VALUE"""),"EQUIPOS")</f>
        <v>EQUIPOS</v>
      </c>
      <c r="E647" s="213" t="str">
        <f>IFERROR(__xludf.DUMMYFUNCTION("""COMPUTED_VALUE"""),"ESP-162")</f>
        <v>ESP-162</v>
      </c>
      <c r="F647" s="213" t="str">
        <f>IFERROR(__xludf.DUMMYFUNCTION("""COMPUTED_VALUE"""),"ESP-162")</f>
        <v>ESP-162</v>
      </c>
      <c r="G647" s="213"/>
      <c r="H647" s="213" t="str">
        <f>IFERROR(__xludf.DUMMYFUNCTION("""COMPUTED_VALUE"""),"ESMERIL DE BANCO (CON SOPORTE)")</f>
        <v>ESMERIL DE BANCO (CON SOPORTE)</v>
      </c>
      <c r="I647" s="213" t="str">
        <f>IFERROR(__xludf.DUMMYFUNCTION("""COMPUTED_VALUE"""),"· Para realizar trabajos de mecanizado de metal (afilar, remover rebabas, limpiar).
· Material: Metal.
· Diámetro de disco: mínimo 150 mm.
· Velocidad: entre: 2800 - 3500 rpm
· Potencia: entre 350 - 450 W
· Voltaje, frecuencia: 220 V, 60 Hz.
· Dimensiones"&amp;" aproximdas (+-5cm)  L 40 x A25 x H25 cm.
· Incluye: un banco de soporte de dimensiones ideales para la ergonia en la operacion")</f>
        <v>· Para realizar trabajos de mecanizado de metal (afilar, remover rebabas, limpiar).
· Material: Metal.
· Diámetro de disco: mínimo 150 mm.
· Velocidad: entre: 2800 - 3500 rpm
· Potencia: entre 350 - 450 W
· Voltaje, frecuencia: 220 V, 60 Hz.
· Dimensiones aproximdas (+-5cm)  L 40 x A25 x H25 cm.
· Incluye: un banco de soporte de dimensiones ideales para la ergonia en la operacion</v>
      </c>
      <c r="J647" s="213">
        <f>IFERROR(__xludf.DUMMYFUNCTION("""COMPUTED_VALUE"""),3.0)</f>
        <v>3</v>
      </c>
      <c r="K647" s="213" t="str">
        <f>IFERROR(__xludf.DUMMYFUNCTION("""COMPUTED_VALUE"""),"170 DÍAS CALENDARIO")</f>
        <v>170 DÍAS CALENDARIO</v>
      </c>
      <c r="L647" s="213" t="str">
        <f>IFERROR(__xludf.DUMMYFUNCTION("""COMPUTED_VALUE"""),"")</f>
        <v/>
      </c>
      <c r="M647" s="213">
        <f>IFERROR(__xludf.DUMMYFUNCTION("""COMPUTED_VALUE"""),1.0)</f>
        <v>1</v>
      </c>
      <c r="N647" s="213">
        <f>IFERROR(__xludf.DUMMYFUNCTION("""COMPUTED_VALUE"""),1.0)</f>
        <v>1</v>
      </c>
      <c r="O647" s="213">
        <f>IFERROR(__xludf.DUMMYFUNCTION("""COMPUTED_VALUE"""),1.0)</f>
        <v>1</v>
      </c>
      <c r="P647" s="213"/>
      <c r="Q647" s="213"/>
      <c r="R647" s="213"/>
      <c r="S647" s="213" t="str">
        <f>IFERROR(__xludf.DUMMYFUNCTION("""COMPUTED_VALUE"""),"SI")</f>
        <v>SI</v>
      </c>
      <c r="T647" s="213" t="str">
        <f>IFERROR(__xludf.DUMMYFUNCTION("""COMPUTED_VALUE"""),"SI")</f>
        <v>SI</v>
      </c>
      <c r="U647" s="213" t="str">
        <f>IFERROR(__xludf.DUMMYFUNCTION("""COMPUTED_VALUE"""),"SI")</f>
        <v>SI</v>
      </c>
      <c r="V647" s="213" t="str">
        <f>IFERROR(__xludf.DUMMYFUNCTION("""COMPUTED_VALUE"""),"-")</f>
        <v>-</v>
      </c>
      <c r="W647" s="213" t="str">
        <f>IFERROR(__xludf.DUMMYFUNCTION("""COMPUTED_VALUE"""),"-")</f>
        <v>-</v>
      </c>
      <c r="X647" s="213" t="str">
        <f>IFERROR(__xludf.DUMMYFUNCTION("""COMPUTED_VALUE"""),"STANLEY")</f>
        <v>STANLEY</v>
      </c>
      <c r="Y647" s="213" t="str">
        <f>IFERROR(__xludf.DUMMYFUNCTION("""COMPUTED_VALUE"""),"STGB3715")</f>
        <v>STGB3715</v>
      </c>
      <c r="Z647" s="215" t="str">
        <f>IFERROR(__xludf.DUMMYFUNCTION("""COMPUTED_VALUE"""),"https://drive.google.com/file/d/1E3CKzA1bkip1VQS1CWffN492gl2sDrRt/view?usp=sharing")</f>
        <v>https://drive.google.com/file/d/1E3CKzA1bkip1VQS1CWffN492gl2sDrRt/view?usp=sharing</v>
      </c>
      <c r="AA647" s="213" t="str">
        <f>IFERROR(__xludf.DUMMYFUNCTION("""COMPUTED_VALUE"""),"ESP-162 ESMERIL DE BANCO (CON SOPORTE) - CET")</f>
        <v>ESP-162 ESMERIL DE BANCO (CON SOPORTE) - CET</v>
      </c>
      <c r="AB647" s="213"/>
      <c r="AC647" s="213"/>
      <c r="AD647" s="213"/>
      <c r="AE647" s="213"/>
      <c r="AF647" s="213"/>
      <c r="AG647" s="213"/>
      <c r="AH647" s="213" t="str">
        <f>IFERROR(__xludf.DUMMYFUNCTION("""COMPUTED_VALUE"""),"NACIONAL")</f>
        <v>NACIONAL</v>
      </c>
      <c r="AI647" s="213"/>
      <c r="AJ647" s="213"/>
      <c r="AK647" s="213"/>
      <c r="AL647" s="213"/>
      <c r="AM647" s="213"/>
      <c r="AN647" s="213"/>
      <c r="AO647" s="213"/>
      <c r="AP647" s="213" t="str">
        <f>IFERROR(__xludf.DUMMYFUNCTION("""COMPUTED_VALUE"""),"NALDI")</f>
        <v>NALDI</v>
      </c>
      <c r="AQ647" s="213"/>
      <c r="AR647" s="213"/>
      <c r="AS647" s="217" t="str">
        <f>IFERROR(__xludf.DUMMYFUNCTION("""COMPUTED_VALUE"""),"Considerar precio adicional para el soporte de banco solicitado al igual que en PAQ 05")</f>
        <v>Considerar precio adicional para el soporte de banco solicitado al igual que en PAQ 05</v>
      </c>
      <c r="AT647" s="213"/>
      <c r="AU647" s="213"/>
      <c r="AV647" s="213"/>
      <c r="AW647" s="213"/>
      <c r="AX647" s="213"/>
      <c r="AY647" s="213"/>
      <c r="AZ647" s="213"/>
      <c r="BA647" s="213"/>
      <c r="BB647" s="213"/>
      <c r="BC647" s="213"/>
      <c r="BD647" s="213"/>
    </row>
    <row r="648">
      <c r="A648" s="213">
        <f>IFERROR(__xludf.DUMMYFUNCTION("""COMPUTED_VALUE"""),1590.0)</f>
        <v>1590</v>
      </c>
      <c r="B648" s="213" t="str">
        <f>IFERROR(__xludf.DUMMYFUNCTION("""COMPUTED_VALUE"""),"GUILLERMO E. BILLINGHURST ")</f>
        <v>GUILLERMO E. BILLINGHURST </v>
      </c>
      <c r="C648" s="213" t="str">
        <f>IFERROR(__xludf.DUMMYFUNCTION("""COMPUTED_VALUE"""),"TALLER SFT DE MECÁNICA AUTOMOTRIZ")</f>
        <v>TALLER SFT DE MECÁNICA AUTOMOTRIZ</v>
      </c>
      <c r="D648" s="213" t="str">
        <f>IFERROR(__xludf.DUMMYFUNCTION("""COMPUTED_VALUE"""),"EQUIPOS")</f>
        <v>EQUIPOS</v>
      </c>
      <c r="E648" s="213" t="str">
        <f>IFERROR(__xludf.DUMMYFUNCTION("""COMPUTED_VALUE"""),"ESP-162")</f>
        <v>ESP-162</v>
      </c>
      <c r="F648" s="213" t="str">
        <f>IFERROR(__xludf.DUMMYFUNCTION("""COMPUTED_VALUE"""),"ESP-162")</f>
        <v>ESP-162</v>
      </c>
      <c r="G648" s="213"/>
      <c r="H648" s="213" t="str">
        <f>IFERROR(__xludf.DUMMYFUNCTION("""COMPUTED_VALUE"""),"ESMERIL DE BANCO (CON SOPORTE)")</f>
        <v>ESMERIL DE BANCO (CON SOPORTE)</v>
      </c>
      <c r="I648" s="213" t="str">
        <f>IFERROR(__xludf.DUMMYFUNCTION("""COMPUTED_VALUE"""),"· Para realizar trabajos de mecanizado de metal (afilar, remover rebabas, limpiar).
· Material: Metal.
· Diámetro de disco: mínimo 150 mm.
· Velocidad: entre: 2800 - 3500 rpm
· Potencia: entre 350 - 450 W
· Voltaje, frecuencia: 220 V, 60 Hz.
· Dimensiones"&amp;" aproximdas (+-5cm)  L 40 x A25 x H25 cm.
· Incluye: un banco de soporte de dimensiones ideales para la ergonia en la operacion")</f>
        <v>· Para realizar trabajos de mecanizado de metal (afilar, remover rebabas, limpiar).
· Material: Metal.
· Diámetro de disco: mínimo 150 mm.
· Velocidad: entre: 2800 - 3500 rpm
· Potencia: entre 350 - 450 W
· Voltaje, frecuencia: 220 V, 60 Hz.
· Dimensiones aproximdas (+-5cm)  L 40 x A25 x H25 cm.
· Incluye: un banco de soporte de dimensiones ideales para la ergonia en la operacion</v>
      </c>
      <c r="J648" s="213">
        <f>IFERROR(__xludf.DUMMYFUNCTION("""COMPUTED_VALUE"""),3.0)</f>
        <v>3</v>
      </c>
      <c r="K648" s="213" t="str">
        <f>IFERROR(__xludf.DUMMYFUNCTION("""COMPUTED_VALUE"""),"170 DÍAS CALENDARIO")</f>
        <v>170 DÍAS CALENDARIO</v>
      </c>
      <c r="L648" s="213" t="str">
        <f>IFERROR(__xludf.DUMMYFUNCTION("""COMPUTED_VALUE"""),"")</f>
        <v/>
      </c>
      <c r="M648" s="213">
        <f>IFERROR(__xludf.DUMMYFUNCTION("""COMPUTED_VALUE"""),1.0)</f>
        <v>1</v>
      </c>
      <c r="N648" s="213">
        <f>IFERROR(__xludf.DUMMYFUNCTION("""COMPUTED_VALUE"""),1.0)</f>
        <v>1</v>
      </c>
      <c r="O648" s="213">
        <f>IFERROR(__xludf.DUMMYFUNCTION("""COMPUTED_VALUE"""),1.0)</f>
        <v>1</v>
      </c>
      <c r="P648" s="213"/>
      <c r="Q648" s="213"/>
      <c r="R648" s="213"/>
      <c r="S648" s="213" t="str">
        <f>IFERROR(__xludf.DUMMYFUNCTION("""COMPUTED_VALUE"""),"SI")</f>
        <v>SI</v>
      </c>
      <c r="T648" s="213" t="str">
        <f>IFERROR(__xludf.DUMMYFUNCTION("""COMPUTED_VALUE"""),"SI")</f>
        <v>SI</v>
      </c>
      <c r="U648" s="213" t="str">
        <f>IFERROR(__xludf.DUMMYFUNCTION("""COMPUTED_VALUE"""),"SI")</f>
        <v>SI</v>
      </c>
      <c r="V648" s="213" t="str">
        <f>IFERROR(__xludf.DUMMYFUNCTION("""COMPUTED_VALUE"""),"-")</f>
        <v>-</v>
      </c>
      <c r="W648" s="213" t="str">
        <f>IFERROR(__xludf.DUMMYFUNCTION("""COMPUTED_VALUE"""),"-")</f>
        <v>-</v>
      </c>
      <c r="X648" s="213" t="str">
        <f>IFERROR(__xludf.DUMMYFUNCTION("""COMPUTED_VALUE"""),"STANLEY")</f>
        <v>STANLEY</v>
      </c>
      <c r="Y648" s="213" t="str">
        <f>IFERROR(__xludf.DUMMYFUNCTION("""COMPUTED_VALUE"""),"STGB3715")</f>
        <v>STGB3715</v>
      </c>
      <c r="Z648" s="215" t="str">
        <f>IFERROR(__xludf.DUMMYFUNCTION("""COMPUTED_VALUE"""),"https://drive.google.com/file/d/1E3CKzA1bkip1VQS1CWffN492gl2sDrRt/view?usp=sharing")</f>
        <v>https://drive.google.com/file/d/1E3CKzA1bkip1VQS1CWffN492gl2sDrRt/view?usp=sharing</v>
      </c>
      <c r="AA648" s="213" t="str">
        <f>IFERROR(__xludf.DUMMYFUNCTION("""COMPUTED_VALUE"""),"ESP-162 ESMERIL DE BANCO (CON SOPORTE) - CET")</f>
        <v>ESP-162 ESMERIL DE BANCO (CON SOPORTE) - CET</v>
      </c>
      <c r="AB648" s="213"/>
      <c r="AC648" s="213"/>
      <c r="AD648" s="213"/>
      <c r="AE648" s="213"/>
      <c r="AF648" s="213"/>
      <c r="AG648" s="213"/>
      <c r="AH648" s="213" t="str">
        <f>IFERROR(__xludf.DUMMYFUNCTION("""COMPUTED_VALUE"""),"NACIONAL")</f>
        <v>NACIONAL</v>
      </c>
      <c r="AI648" s="213"/>
      <c r="AJ648" s="213"/>
      <c r="AK648" s="213"/>
      <c r="AL648" s="213"/>
      <c r="AM648" s="213"/>
      <c r="AN648" s="213"/>
      <c r="AO648" s="213"/>
      <c r="AP648" s="213" t="str">
        <f>IFERROR(__xludf.DUMMYFUNCTION("""COMPUTED_VALUE"""),"NALDI")</f>
        <v>NALDI</v>
      </c>
      <c r="AQ648" s="213"/>
      <c r="AR648" s="213"/>
      <c r="AS648" s="217" t="str">
        <f>IFERROR(__xludf.DUMMYFUNCTION("""COMPUTED_VALUE"""),"Considerar precio adicional para el soporte de banco solicitado al igual que en PAQ 05")</f>
        <v>Considerar precio adicional para el soporte de banco solicitado al igual que en PAQ 05</v>
      </c>
      <c r="AT648" s="213"/>
      <c r="AU648" s="213"/>
      <c r="AV648" s="213"/>
      <c r="AW648" s="213"/>
      <c r="AX648" s="213"/>
      <c r="AY648" s="213"/>
      <c r="AZ648" s="213"/>
      <c r="BA648" s="213"/>
      <c r="BB648" s="213"/>
      <c r="BC648" s="213"/>
      <c r="BD648" s="213"/>
    </row>
    <row r="649">
      <c r="A649" s="213">
        <f>IFERROR(__xludf.DUMMYFUNCTION("""COMPUTED_VALUE"""),2277.0)</f>
        <v>2277</v>
      </c>
      <c r="B649" s="213" t="str">
        <f>IFERROR(__xludf.DUMMYFUNCTION("""COMPUTED_VALUE"""),"JOSE GRANDA")</f>
        <v>JOSE GRANDA</v>
      </c>
      <c r="C649" s="213" t="str">
        <f>IFERROR(__xludf.DUMMYFUNCTION("""COMPUTED_VALUE"""),"TALLER SFT DE MECÁNICA AUTOMOTRIZ")</f>
        <v>TALLER SFT DE MECÁNICA AUTOMOTRIZ</v>
      </c>
      <c r="D649" s="213" t="str">
        <f>IFERROR(__xludf.DUMMYFUNCTION("""COMPUTED_VALUE"""),"EQUIPOS")</f>
        <v>EQUIPOS</v>
      </c>
      <c r="E649" s="213" t="str">
        <f>IFERROR(__xludf.DUMMYFUNCTION("""COMPUTED_VALUE"""),"ESP-162")</f>
        <v>ESP-162</v>
      </c>
      <c r="F649" s="213" t="str">
        <f>IFERROR(__xludf.DUMMYFUNCTION("""COMPUTED_VALUE"""),"ESP-162")</f>
        <v>ESP-162</v>
      </c>
      <c r="G649" s="213"/>
      <c r="H649" s="213" t="str">
        <f>IFERROR(__xludf.DUMMYFUNCTION("""COMPUTED_VALUE"""),"ESMERIL DE BANCO (CON SOPORTE)")</f>
        <v>ESMERIL DE BANCO (CON SOPORTE)</v>
      </c>
      <c r="I649" s="213" t="str">
        <f>IFERROR(__xludf.DUMMYFUNCTION("""COMPUTED_VALUE"""),"· Para realizar trabajos de mecanizado de metal (afilar, remover rebabas, limpiar).
· Material: Metal.
· Diámetro de disco: mínimo 150 mm.
· Velocidad: entre: 2800 - 3500 rpm
· Potencia: entre 350 - 450 W
· Voltaje, frecuencia: 220 V, 60 Hz.
· Dimensiones"&amp;" aproximdas (+-5cm)  L 40 x A25 x H25 cm.
· Incluye: un banco de soporte de dimensiones ideales para la ergonia en la operacion")</f>
        <v>· Para realizar trabajos de mecanizado de metal (afilar, remover rebabas, limpiar).
· Material: Metal.
· Diámetro de disco: mínimo 150 mm.
· Velocidad: entre: 2800 - 3500 rpm
· Potencia: entre 350 - 450 W
· Voltaje, frecuencia: 220 V, 60 Hz.
· Dimensiones aproximdas (+-5cm)  L 40 x A25 x H25 cm.
· Incluye: un banco de soporte de dimensiones ideales para la ergonia en la operacion</v>
      </c>
      <c r="J649" s="213">
        <f>IFERROR(__xludf.DUMMYFUNCTION("""COMPUTED_VALUE"""),3.0)</f>
        <v>3</v>
      </c>
      <c r="K649" s="213" t="str">
        <f>IFERROR(__xludf.DUMMYFUNCTION("""COMPUTED_VALUE"""),"170 DÍAS CALENDARIO")</f>
        <v>170 DÍAS CALENDARIO</v>
      </c>
      <c r="L649" s="213" t="str">
        <f>IFERROR(__xludf.DUMMYFUNCTION("""COMPUTED_VALUE"""),"")</f>
        <v/>
      </c>
      <c r="M649" s="213">
        <f>IFERROR(__xludf.DUMMYFUNCTION("""COMPUTED_VALUE"""),1.0)</f>
        <v>1</v>
      </c>
      <c r="N649" s="213">
        <f>IFERROR(__xludf.DUMMYFUNCTION("""COMPUTED_VALUE"""),1.0)</f>
        <v>1</v>
      </c>
      <c r="O649" s="213">
        <f>IFERROR(__xludf.DUMMYFUNCTION("""COMPUTED_VALUE"""),1.0)</f>
        <v>1</v>
      </c>
      <c r="P649" s="213"/>
      <c r="Q649" s="213"/>
      <c r="R649" s="213"/>
      <c r="S649" s="213" t="str">
        <f>IFERROR(__xludf.DUMMYFUNCTION("""COMPUTED_VALUE"""),"SI")</f>
        <v>SI</v>
      </c>
      <c r="T649" s="213" t="str">
        <f>IFERROR(__xludf.DUMMYFUNCTION("""COMPUTED_VALUE"""),"SI")</f>
        <v>SI</v>
      </c>
      <c r="U649" s="213" t="str">
        <f>IFERROR(__xludf.DUMMYFUNCTION("""COMPUTED_VALUE"""),"SI")</f>
        <v>SI</v>
      </c>
      <c r="V649" s="213" t="str">
        <f>IFERROR(__xludf.DUMMYFUNCTION("""COMPUTED_VALUE"""),"-")</f>
        <v>-</v>
      </c>
      <c r="W649" s="213" t="str">
        <f>IFERROR(__xludf.DUMMYFUNCTION("""COMPUTED_VALUE"""),"-")</f>
        <v>-</v>
      </c>
      <c r="X649" s="213" t="str">
        <f>IFERROR(__xludf.DUMMYFUNCTION("""COMPUTED_VALUE"""),"STANLEY")</f>
        <v>STANLEY</v>
      </c>
      <c r="Y649" s="213" t="str">
        <f>IFERROR(__xludf.DUMMYFUNCTION("""COMPUTED_VALUE"""),"STGB3715")</f>
        <v>STGB3715</v>
      </c>
      <c r="Z649" s="215" t="str">
        <f>IFERROR(__xludf.DUMMYFUNCTION("""COMPUTED_VALUE"""),"https://drive.google.com/file/d/1E3CKzA1bkip1VQS1CWffN492gl2sDrRt/view?usp=sharing")</f>
        <v>https://drive.google.com/file/d/1E3CKzA1bkip1VQS1CWffN492gl2sDrRt/view?usp=sharing</v>
      </c>
      <c r="AA649" s="213" t="str">
        <f>IFERROR(__xludf.DUMMYFUNCTION("""COMPUTED_VALUE"""),"ESP-162 ESMERIL DE BANCO (CON SOPORTE) - CET")</f>
        <v>ESP-162 ESMERIL DE BANCO (CON SOPORTE) - CET</v>
      </c>
      <c r="AB649" s="213"/>
      <c r="AC649" s="213"/>
      <c r="AD649" s="213"/>
      <c r="AE649" s="213"/>
      <c r="AF649" s="213"/>
      <c r="AG649" s="213"/>
      <c r="AH649" s="213" t="str">
        <f>IFERROR(__xludf.DUMMYFUNCTION("""COMPUTED_VALUE"""),"NACIONAL")</f>
        <v>NACIONAL</v>
      </c>
      <c r="AI649" s="213"/>
      <c r="AJ649" s="213"/>
      <c r="AK649" s="213"/>
      <c r="AL649" s="213"/>
      <c r="AM649" s="213"/>
      <c r="AN649" s="213"/>
      <c r="AO649" s="213"/>
      <c r="AP649" s="213" t="str">
        <f>IFERROR(__xludf.DUMMYFUNCTION("""COMPUTED_VALUE"""),"NALDI")</f>
        <v>NALDI</v>
      </c>
      <c r="AQ649" s="213"/>
      <c r="AR649" s="213"/>
      <c r="AS649" s="217" t="str">
        <f>IFERROR(__xludf.DUMMYFUNCTION("""COMPUTED_VALUE"""),"Considerar precio adicional para el soporte de banco solicitado al igual que en PAQ 05")</f>
        <v>Considerar precio adicional para el soporte de banco solicitado al igual que en PAQ 05</v>
      </c>
      <c r="AT649" s="213"/>
      <c r="AU649" s="213"/>
      <c r="AV649" s="213"/>
      <c r="AW649" s="213"/>
      <c r="AX649" s="213"/>
      <c r="AY649" s="213"/>
      <c r="AZ649" s="213"/>
      <c r="BA649" s="213"/>
      <c r="BB649" s="213"/>
      <c r="BC649" s="213"/>
      <c r="BD649" s="213"/>
    </row>
    <row r="650">
      <c r="A650" s="213">
        <f>IFERROR(__xludf.DUMMYFUNCTION("""COMPUTED_VALUE"""),505.0)</f>
        <v>505</v>
      </c>
      <c r="B650" s="213" t="str">
        <f>IFERROR(__xludf.DUMMYFUNCTION("""COMPUTED_VALUE"""),"2026 SIMON BOLIVAR")</f>
        <v>2026 SIMON BOLIVAR</v>
      </c>
      <c r="C650" s="213" t="str">
        <f>IFERROR(__xludf.DUMMYFUNCTION("""COMPUTED_VALUE"""),"TALLER SFT DE INDUSTRIA ALIMENTARIA")</f>
        <v>TALLER SFT DE INDUSTRIA ALIMENTARIA</v>
      </c>
      <c r="D650" s="213" t="str">
        <f>IFERROR(__xludf.DUMMYFUNCTION("""COMPUTED_VALUE"""),"HERRAMIENTAS")</f>
        <v>HERRAMIENTAS</v>
      </c>
      <c r="E650" s="213" t="str">
        <f>IFERROR(__xludf.DUMMYFUNCTION("""COMPUTED_VALUE"""),"COM-254")</f>
        <v>COM-254</v>
      </c>
      <c r="F650" s="213" t="str">
        <f>IFERROR(__xludf.DUMMYFUNCTION("""COMPUTED_VALUE"""),"COM-254")</f>
        <v>COM-254</v>
      </c>
      <c r="G650" s="213"/>
      <c r="H650" s="213" t="str">
        <f>IFERROR(__xludf.DUMMYFUNCTION("""COMPUTED_VALUE"""),"PH METRO PARA ALIMENTOS LÍQUIDOS")</f>
        <v>PH METRO PARA ALIMENTOS LÍQUIDOS</v>
      </c>
      <c r="I650" s="213" t="str">
        <f>IFERROR(__xludf.DUMMYFUNCTION("""COMPUTED_VALUE"""),"· Rango de medición (0 a 14.00)
· PH Resolución 0.1/0.01 pH
· Precisión ±0.01 pH ±1 dígito
· Estabilidad ±0.01 pH/3h ±1 dígito
· Calibración automática de 1 a 3 puntos
· Temperatura: Rango de medición 0 a 80°C")</f>
        <v>· Rango de medición (0 a 14.00)
· PH Resolución 0.1/0.01 pH
· Precisión ±0.01 pH ±1 dígito
· Estabilidad ±0.01 pH/3h ±1 dígito
· Calibración automática de 1 a 3 puntos
· Temperatura: Rango de medición 0 a 80°C</v>
      </c>
      <c r="J650" s="213">
        <f>IFERROR(__xludf.DUMMYFUNCTION("""COMPUTED_VALUE"""),3.0)</f>
        <v>3</v>
      </c>
      <c r="K650" s="213" t="str">
        <f>IFERROR(__xludf.DUMMYFUNCTION("""COMPUTED_VALUE"""),"90 DÍAS CALENDARIO")</f>
        <v>90 DÍAS CALENDARIO</v>
      </c>
      <c r="L650" s="213" t="str">
        <f>IFERROR(__xludf.DUMMYFUNCTION("""COMPUTED_VALUE"""),"")</f>
        <v/>
      </c>
      <c r="M650" s="213">
        <f>IFERROR(__xludf.DUMMYFUNCTION("""COMPUTED_VALUE"""),1.0)</f>
        <v>1</v>
      </c>
      <c r="N650" s="213">
        <f>IFERROR(__xludf.DUMMYFUNCTION("""COMPUTED_VALUE"""),4.0)</f>
        <v>4</v>
      </c>
      <c r="O650" s="213">
        <f>IFERROR(__xludf.DUMMYFUNCTION("""COMPUTED_VALUE"""),4.0)</f>
        <v>4</v>
      </c>
      <c r="P650" s="213"/>
      <c r="Q650" s="213"/>
      <c r="R650" s="213" t="str">
        <f>IFERROR(__xludf.DUMMYFUNCTION("""COMPUTED_VALUE"""),"SI")</f>
        <v>SI</v>
      </c>
      <c r="S650" s="213"/>
      <c r="T650" s="213" t="str">
        <f>IFERROR(__xludf.DUMMYFUNCTION("""COMPUTED_VALUE"""),"SI")</f>
        <v>SI</v>
      </c>
      <c r="U650" s="213" t="str">
        <f>IFERROR(__xludf.DUMMYFUNCTION("""COMPUTED_VALUE"""),"SI")</f>
        <v>SI</v>
      </c>
      <c r="V650" s="213" t="str">
        <f>IFERROR(__xludf.DUMMYFUNCTION("""COMPUTED_VALUE"""),"-")</f>
        <v>-</v>
      </c>
      <c r="W650" s="213" t="str">
        <f>IFERROR(__xludf.DUMMYFUNCTION("""COMPUTED_VALUE"""),"-")</f>
        <v>-</v>
      </c>
      <c r="X650" s="213" t="str">
        <f>IFERROR(__xludf.DUMMYFUNCTION("""COMPUTED_VALUE"""),"SELECTA")</f>
        <v>SELECTA</v>
      </c>
      <c r="Y650" s="213" t="str">
        <f>IFERROR(__xludf.DUMMYFUNCTION("""COMPUTED_VALUE"""),"SELECTA")</f>
        <v>SELECTA</v>
      </c>
      <c r="Z650" s="215" t="str">
        <f>IFERROR(__xludf.DUMMYFUNCTION("""COMPUTED_VALUE"""),"https://www.auxilab.es/controles/ObtenerPDF.ashx?f=%5c00%5c05%5c2m%5co0_F_PH_SELECTA_E.pdf")</f>
        <v>https://www.auxilab.es/controles/ObtenerPDF.ashx?f=%5c00%5c05%5c2m%5co0_F_PH_SELECTA_E.pdf</v>
      </c>
      <c r="AA650" s="213" t="str">
        <f>IFERROR(__xludf.DUMMYFUNCTION("""COMPUTED_VALUE"""),"COM-254 PH METRO PARA ALIMENTOS LÍQUIDOS - CET")</f>
        <v>COM-254 PH METRO PARA ALIMENTOS LÍQUIDOS - CET</v>
      </c>
      <c r="AB650" s="213"/>
      <c r="AC650" s="213"/>
      <c r="AD650" s="213"/>
      <c r="AE650" s="213"/>
      <c r="AF650" s="213"/>
      <c r="AG650" s="213"/>
      <c r="AH650" s="213"/>
      <c r="AI650" s="213"/>
      <c r="AJ650" s="213"/>
      <c r="AK650" s="213"/>
      <c r="AL650" s="213"/>
      <c r="AM650" s="213"/>
      <c r="AN650" s="213"/>
      <c r="AO650" s="213"/>
      <c r="AP650" s="213" t="str">
        <f>IFERROR(__xludf.DUMMYFUNCTION("""COMPUTED_VALUE"""),"LUIS")</f>
        <v>LUIS</v>
      </c>
      <c r="AQ650" s="213"/>
      <c r="AR650" s="213"/>
      <c r="AS650" s="213"/>
      <c r="AT650" s="213"/>
      <c r="AU650" s="213"/>
      <c r="AV650" s="213"/>
      <c r="AW650" s="213"/>
      <c r="AX650" s="213"/>
      <c r="AY650" s="213"/>
      <c r="AZ650" s="213"/>
      <c r="BA650" s="213"/>
      <c r="BB650" s="213"/>
      <c r="BC650" s="213"/>
      <c r="BD650" s="213"/>
    </row>
    <row r="651">
      <c r="A651" s="213">
        <f>IFERROR(__xludf.DUMMYFUNCTION("""COMPUTED_VALUE"""),1102.0)</f>
        <v>1102</v>
      </c>
      <c r="B651" s="213" t="str">
        <f>IFERROR(__xludf.DUMMYFUNCTION("""COMPUTED_VALUE"""),"FRANCISCO IRAZOLA")</f>
        <v>FRANCISCO IRAZOLA</v>
      </c>
      <c r="C651" s="213" t="str">
        <f>IFERROR(__xludf.DUMMYFUNCTION("""COMPUTED_VALUE"""),"TALLER SFT DE INDUSTRIA ALIMENTARIA")</f>
        <v>TALLER SFT DE INDUSTRIA ALIMENTARIA</v>
      </c>
      <c r="D651" s="213" t="str">
        <f>IFERROR(__xludf.DUMMYFUNCTION("""COMPUTED_VALUE"""),"HERRAMIENTAS")</f>
        <v>HERRAMIENTAS</v>
      </c>
      <c r="E651" s="213" t="str">
        <f>IFERROR(__xludf.DUMMYFUNCTION("""COMPUTED_VALUE"""),"COM-254")</f>
        <v>COM-254</v>
      </c>
      <c r="F651" s="213" t="str">
        <f>IFERROR(__xludf.DUMMYFUNCTION("""COMPUTED_VALUE"""),"COM-254")</f>
        <v>COM-254</v>
      </c>
      <c r="G651" s="213"/>
      <c r="H651" s="213" t="str">
        <f>IFERROR(__xludf.DUMMYFUNCTION("""COMPUTED_VALUE"""),"PH METRO PARA ALIMENTOS LÍQUIDOS")</f>
        <v>PH METRO PARA ALIMENTOS LÍQUIDOS</v>
      </c>
      <c r="I651" s="213" t="str">
        <f>IFERROR(__xludf.DUMMYFUNCTION("""COMPUTED_VALUE"""),"· Rango de medición (0 a 14.00)
· PH Resolución 0.1/0.01 pH
· Precisión ±0.01 pH ±1 dígito
· Estabilidad ±0.01 pH/3h ±1 dígito
· Calibración automática de 1 a 3 puntos
· Temperatura: Rango de medición 0 a 80°C")</f>
        <v>· Rango de medición (0 a 14.00)
· PH Resolución 0.1/0.01 pH
· Precisión ±0.01 pH ±1 dígito
· Estabilidad ±0.01 pH/3h ±1 dígito
· Calibración automática de 1 a 3 puntos
· Temperatura: Rango de medición 0 a 80°C</v>
      </c>
      <c r="J651" s="213">
        <f>IFERROR(__xludf.DUMMYFUNCTION("""COMPUTED_VALUE"""),3.0)</f>
        <v>3</v>
      </c>
      <c r="K651" s="213" t="str">
        <f>IFERROR(__xludf.DUMMYFUNCTION("""COMPUTED_VALUE"""),"90 DÍAS CALENDARIO")</f>
        <v>90 DÍAS CALENDARIO</v>
      </c>
      <c r="L651" s="213" t="str">
        <f>IFERROR(__xludf.DUMMYFUNCTION("""COMPUTED_VALUE"""),"")</f>
        <v/>
      </c>
      <c r="M651" s="213">
        <f>IFERROR(__xludf.DUMMYFUNCTION("""COMPUTED_VALUE"""),1.0)</f>
        <v>1</v>
      </c>
      <c r="N651" s="213">
        <f>IFERROR(__xludf.DUMMYFUNCTION("""COMPUTED_VALUE"""),4.0)</f>
        <v>4</v>
      </c>
      <c r="O651" s="213">
        <f>IFERROR(__xludf.DUMMYFUNCTION("""COMPUTED_VALUE"""),4.0)</f>
        <v>4</v>
      </c>
      <c r="P651" s="213"/>
      <c r="Q651" s="213"/>
      <c r="R651" s="213" t="str">
        <f>IFERROR(__xludf.DUMMYFUNCTION("""COMPUTED_VALUE"""),"SI")</f>
        <v>SI</v>
      </c>
      <c r="S651" s="213"/>
      <c r="T651" s="213" t="str">
        <f>IFERROR(__xludf.DUMMYFUNCTION("""COMPUTED_VALUE"""),"SI")</f>
        <v>SI</v>
      </c>
      <c r="U651" s="213" t="str">
        <f>IFERROR(__xludf.DUMMYFUNCTION("""COMPUTED_VALUE"""),"SI")</f>
        <v>SI</v>
      </c>
      <c r="V651" s="213" t="str">
        <f>IFERROR(__xludf.DUMMYFUNCTION("""COMPUTED_VALUE"""),"-")</f>
        <v>-</v>
      </c>
      <c r="W651" s="213" t="str">
        <f>IFERROR(__xludf.DUMMYFUNCTION("""COMPUTED_VALUE"""),"-")</f>
        <v>-</v>
      </c>
      <c r="X651" s="213" t="str">
        <f>IFERROR(__xludf.DUMMYFUNCTION("""COMPUTED_VALUE"""),"SELECTA")</f>
        <v>SELECTA</v>
      </c>
      <c r="Y651" s="213" t="str">
        <f>IFERROR(__xludf.DUMMYFUNCTION("""COMPUTED_VALUE"""),"SELECTA")</f>
        <v>SELECTA</v>
      </c>
      <c r="Z651" s="215" t="str">
        <f>IFERROR(__xludf.DUMMYFUNCTION("""COMPUTED_VALUE"""),"https://www.auxilab.es/controles/ObtenerPDF.ashx?f=%5c00%5c05%5c2m%5co0_F_PH_SELECTA_E.pdf")</f>
        <v>https://www.auxilab.es/controles/ObtenerPDF.ashx?f=%5c00%5c05%5c2m%5co0_F_PH_SELECTA_E.pdf</v>
      </c>
      <c r="AA651" s="213" t="str">
        <f>IFERROR(__xludf.DUMMYFUNCTION("""COMPUTED_VALUE"""),"COM-254 PH METRO PARA ALIMENTOS LÍQUIDOS - CET")</f>
        <v>COM-254 PH METRO PARA ALIMENTOS LÍQUIDOS - CET</v>
      </c>
      <c r="AB651" s="213"/>
      <c r="AC651" s="213"/>
      <c r="AD651" s="213"/>
      <c r="AE651" s="213"/>
      <c r="AF651" s="213"/>
      <c r="AG651" s="213"/>
      <c r="AH651" s="213"/>
      <c r="AI651" s="213"/>
      <c r="AJ651" s="213"/>
      <c r="AK651" s="213"/>
      <c r="AL651" s="213"/>
      <c r="AM651" s="213"/>
      <c r="AN651" s="213"/>
      <c r="AO651" s="213"/>
      <c r="AP651" s="213" t="str">
        <f>IFERROR(__xludf.DUMMYFUNCTION("""COMPUTED_VALUE"""),"LUIS")</f>
        <v>LUIS</v>
      </c>
      <c r="AQ651" s="213"/>
      <c r="AR651" s="213"/>
      <c r="AS651" s="213"/>
      <c r="AT651" s="213"/>
      <c r="AU651" s="213"/>
      <c r="AV651" s="213"/>
      <c r="AW651" s="213"/>
      <c r="AX651" s="213"/>
      <c r="AY651" s="213"/>
      <c r="AZ651" s="213"/>
      <c r="BA651" s="213"/>
      <c r="BB651" s="213"/>
      <c r="BC651" s="213"/>
      <c r="BD651" s="213"/>
    </row>
    <row r="652">
      <c r="A652" s="213">
        <f>IFERROR(__xludf.DUMMYFUNCTION("""COMPUTED_VALUE"""),1135.0)</f>
        <v>1135</v>
      </c>
      <c r="B652" s="213" t="str">
        <f>IFERROR(__xludf.DUMMYFUNCTION("""COMPUTED_VALUE"""),"FRANCISCO IRAZOLA")</f>
        <v>FRANCISCO IRAZOLA</v>
      </c>
      <c r="C652" s="213" t="str">
        <f>IFERROR(__xludf.DUMMYFUNCTION("""COMPUTED_VALUE"""),"TALLER SFT DE INDUSTRIA ALIMENTARIA")</f>
        <v>TALLER SFT DE INDUSTRIA ALIMENTARIA</v>
      </c>
      <c r="D652" s="213" t="str">
        <f>IFERROR(__xludf.DUMMYFUNCTION("""COMPUTED_VALUE"""),"HERRAMIENTAS")</f>
        <v>HERRAMIENTAS</v>
      </c>
      <c r="E652" s="213" t="str">
        <f>IFERROR(__xludf.DUMMYFUNCTION("""COMPUTED_VALUE"""),"COM-254")</f>
        <v>COM-254</v>
      </c>
      <c r="F652" s="213" t="str">
        <f>IFERROR(__xludf.DUMMYFUNCTION("""COMPUTED_VALUE"""),"COM-254")</f>
        <v>COM-254</v>
      </c>
      <c r="G652" s="213"/>
      <c r="H652" s="213" t="str">
        <f>IFERROR(__xludf.DUMMYFUNCTION("""COMPUTED_VALUE"""),"PH METRO PARA ALIMENTOS LÍQUIDOS")</f>
        <v>PH METRO PARA ALIMENTOS LÍQUIDOS</v>
      </c>
      <c r="I652" s="213" t="str">
        <f>IFERROR(__xludf.DUMMYFUNCTION("""COMPUTED_VALUE"""),"· Rango de medición (0 a 14.00)
· PH Resolución 0.1/0.01 pH
· Precisión ±0.01 pH ±1 dígito
· Estabilidad ±0.01 pH/3h ±1 dígito
· Calibración automática de 1 a 3 puntos
· Temperatura: Rango de medición 0 a 80°C")</f>
        <v>· Rango de medición (0 a 14.00)
· PH Resolución 0.1/0.01 pH
· Precisión ±0.01 pH ±1 dígito
· Estabilidad ±0.01 pH/3h ±1 dígito
· Calibración automática de 1 a 3 puntos
· Temperatura: Rango de medición 0 a 80°C</v>
      </c>
      <c r="J652" s="213">
        <f>IFERROR(__xludf.DUMMYFUNCTION("""COMPUTED_VALUE"""),3.0)</f>
        <v>3</v>
      </c>
      <c r="K652" s="213" t="str">
        <f>IFERROR(__xludf.DUMMYFUNCTION("""COMPUTED_VALUE"""),"90 DÍAS CALENDARIO")</f>
        <v>90 DÍAS CALENDARIO</v>
      </c>
      <c r="L652" s="213" t="str">
        <f>IFERROR(__xludf.DUMMYFUNCTION("""COMPUTED_VALUE"""),"")</f>
        <v/>
      </c>
      <c r="M652" s="213">
        <f>IFERROR(__xludf.DUMMYFUNCTION("""COMPUTED_VALUE"""),1.0)</f>
        <v>1</v>
      </c>
      <c r="N652" s="213">
        <f>IFERROR(__xludf.DUMMYFUNCTION("""COMPUTED_VALUE"""),4.0)</f>
        <v>4</v>
      </c>
      <c r="O652" s="213">
        <f>IFERROR(__xludf.DUMMYFUNCTION("""COMPUTED_VALUE"""),4.0)</f>
        <v>4</v>
      </c>
      <c r="P652" s="213"/>
      <c r="Q652" s="213"/>
      <c r="R652" s="213" t="str">
        <f>IFERROR(__xludf.DUMMYFUNCTION("""COMPUTED_VALUE"""),"SI")</f>
        <v>SI</v>
      </c>
      <c r="S652" s="213"/>
      <c r="T652" s="213" t="str">
        <f>IFERROR(__xludf.DUMMYFUNCTION("""COMPUTED_VALUE"""),"SI")</f>
        <v>SI</v>
      </c>
      <c r="U652" s="213" t="str">
        <f>IFERROR(__xludf.DUMMYFUNCTION("""COMPUTED_VALUE"""),"SI")</f>
        <v>SI</v>
      </c>
      <c r="V652" s="213" t="str">
        <f>IFERROR(__xludf.DUMMYFUNCTION("""COMPUTED_VALUE"""),"-")</f>
        <v>-</v>
      </c>
      <c r="W652" s="213" t="str">
        <f>IFERROR(__xludf.DUMMYFUNCTION("""COMPUTED_VALUE"""),"-")</f>
        <v>-</v>
      </c>
      <c r="X652" s="213" t="str">
        <f>IFERROR(__xludf.DUMMYFUNCTION("""COMPUTED_VALUE"""),"SELECTA")</f>
        <v>SELECTA</v>
      </c>
      <c r="Y652" s="213" t="str">
        <f>IFERROR(__xludf.DUMMYFUNCTION("""COMPUTED_VALUE"""),"SELECTA")</f>
        <v>SELECTA</v>
      </c>
      <c r="Z652" s="215" t="str">
        <f>IFERROR(__xludf.DUMMYFUNCTION("""COMPUTED_VALUE"""),"https://www.auxilab.es/controles/ObtenerPDF.ashx?f=%5c00%5c05%5c2m%5co0_F_PH_SELECTA_E.pdf")</f>
        <v>https://www.auxilab.es/controles/ObtenerPDF.ashx?f=%5c00%5c05%5c2m%5co0_F_PH_SELECTA_E.pdf</v>
      </c>
      <c r="AA652" s="213" t="str">
        <f>IFERROR(__xludf.DUMMYFUNCTION("""COMPUTED_VALUE"""),"COM-254 PH METRO PARA ALIMENTOS LÍQUIDOS - CET")</f>
        <v>COM-254 PH METRO PARA ALIMENTOS LÍQUIDOS - CET</v>
      </c>
      <c r="AB652" s="213"/>
      <c r="AC652" s="213"/>
      <c r="AD652" s="213"/>
      <c r="AE652" s="213"/>
      <c r="AF652" s="213"/>
      <c r="AG652" s="213"/>
      <c r="AH652" s="213"/>
      <c r="AI652" s="213"/>
      <c r="AJ652" s="213"/>
      <c r="AK652" s="213"/>
      <c r="AL652" s="213"/>
      <c r="AM652" s="213"/>
      <c r="AN652" s="213"/>
      <c r="AO652" s="213"/>
      <c r="AP652" s="213" t="str">
        <f>IFERROR(__xludf.DUMMYFUNCTION("""COMPUTED_VALUE"""),"LUIS")</f>
        <v>LUIS</v>
      </c>
      <c r="AQ652" s="213"/>
      <c r="AR652" s="213"/>
      <c r="AS652" s="213"/>
      <c r="AT652" s="213"/>
      <c r="AU652" s="213"/>
      <c r="AV652" s="213"/>
      <c r="AW652" s="213"/>
      <c r="AX652" s="213"/>
      <c r="AY652" s="213"/>
      <c r="AZ652" s="213"/>
      <c r="BA652" s="213"/>
      <c r="BB652" s="213"/>
      <c r="BC652" s="213"/>
      <c r="BD652" s="213"/>
    </row>
    <row r="653">
      <c r="A653" s="213">
        <f>IFERROR(__xludf.DUMMYFUNCTION("""COMPUTED_VALUE"""),1374.0)</f>
        <v>1374</v>
      </c>
      <c r="B653" s="213" t="str">
        <f>IFERROR(__xludf.DUMMYFUNCTION("""COMPUTED_VALUE"""),"GUILLERMO E. BILLINGHURST ")</f>
        <v>GUILLERMO E. BILLINGHURST </v>
      </c>
      <c r="C653" s="213" t="str">
        <f>IFERROR(__xludf.DUMMYFUNCTION("""COMPUTED_VALUE"""),"TALLER SFT DE INDUSTRIA ALIMENTARIA")</f>
        <v>TALLER SFT DE INDUSTRIA ALIMENTARIA</v>
      </c>
      <c r="D653" s="213" t="str">
        <f>IFERROR(__xludf.DUMMYFUNCTION("""COMPUTED_VALUE"""),"HERRAMIENTAS")</f>
        <v>HERRAMIENTAS</v>
      </c>
      <c r="E653" s="213" t="str">
        <f>IFERROR(__xludf.DUMMYFUNCTION("""COMPUTED_VALUE"""),"COM-254")</f>
        <v>COM-254</v>
      </c>
      <c r="F653" s="213" t="str">
        <f>IFERROR(__xludf.DUMMYFUNCTION("""COMPUTED_VALUE"""),"COM-254")</f>
        <v>COM-254</v>
      </c>
      <c r="G653" s="213"/>
      <c r="H653" s="213" t="str">
        <f>IFERROR(__xludf.DUMMYFUNCTION("""COMPUTED_VALUE"""),"PH METRO PARA ALIMENTOS LÍQUIDOS")</f>
        <v>PH METRO PARA ALIMENTOS LÍQUIDOS</v>
      </c>
      <c r="I653" s="213" t="str">
        <f>IFERROR(__xludf.DUMMYFUNCTION("""COMPUTED_VALUE"""),"· Rango de medición (0 a 14.00)
· PH Resolución 0.1/0.01 pH
· Precisión ±0.01 pH ±1 dígito
· Estabilidad ±0.01 pH/3h ±1 dígito
· Calibración automática de 1 a 3 puntos
· Temperatura: Rango de medición 0 a 80°C")</f>
        <v>· Rango de medición (0 a 14.00)
· PH Resolución 0.1/0.01 pH
· Precisión ±0.01 pH ±1 dígito
· Estabilidad ±0.01 pH/3h ±1 dígito
· Calibración automática de 1 a 3 puntos
· Temperatura: Rango de medición 0 a 80°C</v>
      </c>
      <c r="J653" s="213">
        <f>IFERROR(__xludf.DUMMYFUNCTION("""COMPUTED_VALUE"""),3.0)</f>
        <v>3</v>
      </c>
      <c r="K653" s="213" t="str">
        <f>IFERROR(__xludf.DUMMYFUNCTION("""COMPUTED_VALUE"""),"90 DÍAS CALENDARIO")</f>
        <v>90 DÍAS CALENDARIO</v>
      </c>
      <c r="L653" s="213" t="str">
        <f>IFERROR(__xludf.DUMMYFUNCTION("""COMPUTED_VALUE"""),"")</f>
        <v/>
      </c>
      <c r="M653" s="213">
        <f>IFERROR(__xludf.DUMMYFUNCTION("""COMPUTED_VALUE"""),1.0)</f>
        <v>1</v>
      </c>
      <c r="N653" s="213">
        <f>IFERROR(__xludf.DUMMYFUNCTION("""COMPUTED_VALUE"""),4.0)</f>
        <v>4</v>
      </c>
      <c r="O653" s="213">
        <f>IFERROR(__xludf.DUMMYFUNCTION("""COMPUTED_VALUE"""),4.0)</f>
        <v>4</v>
      </c>
      <c r="P653" s="213"/>
      <c r="Q653" s="213"/>
      <c r="R653" s="213" t="str">
        <f>IFERROR(__xludf.DUMMYFUNCTION("""COMPUTED_VALUE"""),"SI")</f>
        <v>SI</v>
      </c>
      <c r="S653" s="213"/>
      <c r="T653" s="213" t="str">
        <f>IFERROR(__xludf.DUMMYFUNCTION("""COMPUTED_VALUE"""),"SI")</f>
        <v>SI</v>
      </c>
      <c r="U653" s="213" t="str">
        <f>IFERROR(__xludf.DUMMYFUNCTION("""COMPUTED_VALUE"""),"SI")</f>
        <v>SI</v>
      </c>
      <c r="V653" s="213" t="str">
        <f>IFERROR(__xludf.DUMMYFUNCTION("""COMPUTED_VALUE"""),"-")</f>
        <v>-</v>
      </c>
      <c r="W653" s="213" t="str">
        <f>IFERROR(__xludf.DUMMYFUNCTION("""COMPUTED_VALUE"""),"-")</f>
        <v>-</v>
      </c>
      <c r="X653" s="213" t="str">
        <f>IFERROR(__xludf.DUMMYFUNCTION("""COMPUTED_VALUE"""),"SELECTA")</f>
        <v>SELECTA</v>
      </c>
      <c r="Y653" s="213" t="str">
        <f>IFERROR(__xludf.DUMMYFUNCTION("""COMPUTED_VALUE"""),"SELECTA")</f>
        <v>SELECTA</v>
      </c>
      <c r="Z653" s="215" t="str">
        <f>IFERROR(__xludf.DUMMYFUNCTION("""COMPUTED_VALUE"""),"https://www.auxilab.es/controles/ObtenerPDF.ashx?f=%5c00%5c05%5c2m%5co0_F_PH_SELECTA_E.pdf")</f>
        <v>https://www.auxilab.es/controles/ObtenerPDF.ashx?f=%5c00%5c05%5c2m%5co0_F_PH_SELECTA_E.pdf</v>
      </c>
      <c r="AA653" s="213" t="str">
        <f>IFERROR(__xludf.DUMMYFUNCTION("""COMPUTED_VALUE"""),"COM-254 PH METRO PARA ALIMENTOS LÍQUIDOS - CET")</f>
        <v>COM-254 PH METRO PARA ALIMENTOS LÍQUIDOS - CET</v>
      </c>
      <c r="AB653" s="213"/>
      <c r="AC653" s="213"/>
      <c r="AD653" s="213"/>
      <c r="AE653" s="213"/>
      <c r="AF653" s="213"/>
      <c r="AG653" s="213"/>
      <c r="AH653" s="213"/>
      <c r="AI653" s="213"/>
      <c r="AJ653" s="213"/>
      <c r="AK653" s="213"/>
      <c r="AL653" s="213"/>
      <c r="AM653" s="213"/>
      <c r="AN653" s="213"/>
      <c r="AO653" s="213"/>
      <c r="AP653" s="213" t="str">
        <f>IFERROR(__xludf.DUMMYFUNCTION("""COMPUTED_VALUE"""),"LUIS")</f>
        <v>LUIS</v>
      </c>
      <c r="AQ653" s="213"/>
      <c r="AR653" s="213"/>
      <c r="AS653" s="213"/>
      <c r="AT653" s="213"/>
      <c r="AU653" s="213"/>
      <c r="AV653" s="213"/>
      <c r="AW653" s="213"/>
      <c r="AX653" s="213"/>
      <c r="AY653" s="213"/>
      <c r="AZ653" s="213"/>
      <c r="BA653" s="213"/>
      <c r="BB653" s="213"/>
      <c r="BC653" s="213"/>
      <c r="BD653" s="213"/>
    </row>
    <row r="654">
      <c r="A654" s="213">
        <f>IFERROR(__xludf.DUMMYFUNCTION("""COMPUTED_VALUE"""),1407.0)</f>
        <v>1407</v>
      </c>
      <c r="B654" s="213" t="str">
        <f>IFERROR(__xludf.DUMMYFUNCTION("""COMPUTED_VALUE"""),"GUILLERMO E. BILLINGHURST ")</f>
        <v>GUILLERMO E. BILLINGHURST </v>
      </c>
      <c r="C654" s="213" t="str">
        <f>IFERROR(__xludf.DUMMYFUNCTION("""COMPUTED_VALUE"""),"TALLER SFT DE INDUSTRIA ALIMENTARIA")</f>
        <v>TALLER SFT DE INDUSTRIA ALIMENTARIA</v>
      </c>
      <c r="D654" s="213" t="str">
        <f>IFERROR(__xludf.DUMMYFUNCTION("""COMPUTED_VALUE"""),"HERRAMIENTAS")</f>
        <v>HERRAMIENTAS</v>
      </c>
      <c r="E654" s="213" t="str">
        <f>IFERROR(__xludf.DUMMYFUNCTION("""COMPUTED_VALUE"""),"COM-254")</f>
        <v>COM-254</v>
      </c>
      <c r="F654" s="213" t="str">
        <f>IFERROR(__xludf.DUMMYFUNCTION("""COMPUTED_VALUE"""),"COM-254")</f>
        <v>COM-254</v>
      </c>
      <c r="G654" s="213"/>
      <c r="H654" s="213" t="str">
        <f>IFERROR(__xludf.DUMMYFUNCTION("""COMPUTED_VALUE"""),"PH METRO PARA ALIMENTOS LÍQUIDOS")</f>
        <v>PH METRO PARA ALIMENTOS LÍQUIDOS</v>
      </c>
      <c r="I654" s="213" t="str">
        <f>IFERROR(__xludf.DUMMYFUNCTION("""COMPUTED_VALUE"""),"· Rango de medición (0 a 14.00)
· PH Resolución 0.1/0.01 pH
· Precisión ±0.01 pH ±1 dígito
· Estabilidad ±0.01 pH/3h ±1 dígito
· Calibración automática de 1 a 3 puntos
· Temperatura: Rango de medición 0 a 80°C")</f>
        <v>· Rango de medición (0 a 14.00)
· PH Resolución 0.1/0.01 pH
· Precisión ±0.01 pH ±1 dígito
· Estabilidad ±0.01 pH/3h ±1 dígito
· Calibración automática de 1 a 3 puntos
· Temperatura: Rango de medición 0 a 80°C</v>
      </c>
      <c r="J654" s="213">
        <f>IFERROR(__xludf.DUMMYFUNCTION("""COMPUTED_VALUE"""),3.0)</f>
        <v>3</v>
      </c>
      <c r="K654" s="213" t="str">
        <f>IFERROR(__xludf.DUMMYFUNCTION("""COMPUTED_VALUE"""),"90 DÍAS CALENDARIO")</f>
        <v>90 DÍAS CALENDARIO</v>
      </c>
      <c r="L654" s="213" t="str">
        <f>IFERROR(__xludf.DUMMYFUNCTION("""COMPUTED_VALUE"""),"")</f>
        <v/>
      </c>
      <c r="M654" s="213">
        <f>IFERROR(__xludf.DUMMYFUNCTION("""COMPUTED_VALUE"""),1.0)</f>
        <v>1</v>
      </c>
      <c r="N654" s="213">
        <f>IFERROR(__xludf.DUMMYFUNCTION("""COMPUTED_VALUE"""),4.0)</f>
        <v>4</v>
      </c>
      <c r="O654" s="213">
        <f>IFERROR(__xludf.DUMMYFUNCTION("""COMPUTED_VALUE"""),4.0)</f>
        <v>4</v>
      </c>
      <c r="P654" s="213"/>
      <c r="Q654" s="213"/>
      <c r="R654" s="213" t="str">
        <f>IFERROR(__xludf.DUMMYFUNCTION("""COMPUTED_VALUE"""),"SI")</f>
        <v>SI</v>
      </c>
      <c r="S654" s="213"/>
      <c r="T654" s="213" t="str">
        <f>IFERROR(__xludf.DUMMYFUNCTION("""COMPUTED_VALUE"""),"SI")</f>
        <v>SI</v>
      </c>
      <c r="U654" s="213" t="str">
        <f>IFERROR(__xludf.DUMMYFUNCTION("""COMPUTED_VALUE"""),"SI")</f>
        <v>SI</v>
      </c>
      <c r="V654" s="213" t="str">
        <f>IFERROR(__xludf.DUMMYFUNCTION("""COMPUTED_VALUE"""),"-")</f>
        <v>-</v>
      </c>
      <c r="W654" s="213" t="str">
        <f>IFERROR(__xludf.DUMMYFUNCTION("""COMPUTED_VALUE"""),"-")</f>
        <v>-</v>
      </c>
      <c r="X654" s="213" t="str">
        <f>IFERROR(__xludf.DUMMYFUNCTION("""COMPUTED_VALUE"""),"SELECTA")</f>
        <v>SELECTA</v>
      </c>
      <c r="Y654" s="213" t="str">
        <f>IFERROR(__xludf.DUMMYFUNCTION("""COMPUTED_VALUE"""),"SELECTA")</f>
        <v>SELECTA</v>
      </c>
      <c r="Z654" s="215" t="str">
        <f>IFERROR(__xludf.DUMMYFUNCTION("""COMPUTED_VALUE"""),"https://www.auxilab.es/controles/ObtenerPDF.ashx?f=%5c00%5c05%5c2m%5co0_F_PH_SELECTA_E.pdf")</f>
        <v>https://www.auxilab.es/controles/ObtenerPDF.ashx?f=%5c00%5c05%5c2m%5co0_F_PH_SELECTA_E.pdf</v>
      </c>
      <c r="AA654" s="213" t="str">
        <f>IFERROR(__xludf.DUMMYFUNCTION("""COMPUTED_VALUE"""),"COM-254 PH METRO PARA ALIMENTOS LÍQUIDOS - CET")</f>
        <v>COM-254 PH METRO PARA ALIMENTOS LÍQUIDOS - CET</v>
      </c>
      <c r="AB654" s="213"/>
      <c r="AC654" s="213"/>
      <c r="AD654" s="213"/>
      <c r="AE654" s="213"/>
      <c r="AF654" s="213"/>
      <c r="AG654" s="213"/>
      <c r="AH654" s="213"/>
      <c r="AI654" s="213"/>
      <c r="AJ654" s="213"/>
      <c r="AK654" s="213"/>
      <c r="AL654" s="213"/>
      <c r="AM654" s="213"/>
      <c r="AN654" s="213"/>
      <c r="AO654" s="213"/>
      <c r="AP654" s="213" t="str">
        <f>IFERROR(__xludf.DUMMYFUNCTION("""COMPUTED_VALUE"""),"LUIS")</f>
        <v>LUIS</v>
      </c>
      <c r="AQ654" s="213"/>
      <c r="AR654" s="213"/>
      <c r="AS654" s="213"/>
      <c r="AT654" s="213"/>
      <c r="AU654" s="213"/>
      <c r="AV654" s="213"/>
      <c r="AW654" s="213"/>
      <c r="AX654" s="213"/>
      <c r="AY654" s="213"/>
      <c r="AZ654" s="213"/>
      <c r="BA654" s="213"/>
      <c r="BB654" s="213"/>
      <c r="BC654" s="213"/>
      <c r="BD654" s="213"/>
    </row>
    <row r="655">
      <c r="A655" s="213">
        <f>IFERROR(__xludf.DUMMYFUNCTION("""COMPUTED_VALUE"""),2061.0)</f>
        <v>2061</v>
      </c>
      <c r="B655" s="213" t="str">
        <f>IFERROR(__xludf.DUMMYFUNCTION("""COMPUTED_VALUE"""),"JOSE GRANDA")</f>
        <v>JOSE GRANDA</v>
      </c>
      <c r="C655" s="213" t="str">
        <f>IFERROR(__xludf.DUMMYFUNCTION("""COMPUTED_VALUE"""),"TALLER SFT DE INDUSTRIA ALIMENTARIA")</f>
        <v>TALLER SFT DE INDUSTRIA ALIMENTARIA</v>
      </c>
      <c r="D655" s="213" t="str">
        <f>IFERROR(__xludf.DUMMYFUNCTION("""COMPUTED_VALUE"""),"HERRAMIENTAS")</f>
        <v>HERRAMIENTAS</v>
      </c>
      <c r="E655" s="213" t="str">
        <f>IFERROR(__xludf.DUMMYFUNCTION("""COMPUTED_VALUE"""),"COM-254")</f>
        <v>COM-254</v>
      </c>
      <c r="F655" s="213" t="str">
        <f>IFERROR(__xludf.DUMMYFUNCTION("""COMPUTED_VALUE"""),"COM-254")</f>
        <v>COM-254</v>
      </c>
      <c r="G655" s="213"/>
      <c r="H655" s="213" t="str">
        <f>IFERROR(__xludf.DUMMYFUNCTION("""COMPUTED_VALUE"""),"PH METRO PARA ALIMENTOS LÍQUIDOS")</f>
        <v>PH METRO PARA ALIMENTOS LÍQUIDOS</v>
      </c>
      <c r="I655" s="213" t="str">
        <f>IFERROR(__xludf.DUMMYFUNCTION("""COMPUTED_VALUE"""),"· Rango de medición (0 a 14.00)
· PH Resolución 0.1/0.01 pH
· Precisión ±0.01 pH ±1 dígito
· Estabilidad ±0.01 pH/3h ±1 dígito
· Calibración automática de 1 a 3 puntos
· Temperatura: Rango de medición 0 a 80°C")</f>
        <v>· Rango de medición (0 a 14.00)
· PH Resolución 0.1/0.01 pH
· Precisión ±0.01 pH ±1 dígito
· Estabilidad ±0.01 pH/3h ±1 dígito
· Calibración automática de 1 a 3 puntos
· Temperatura: Rango de medición 0 a 80°C</v>
      </c>
      <c r="J655" s="213">
        <f>IFERROR(__xludf.DUMMYFUNCTION("""COMPUTED_VALUE"""),3.0)</f>
        <v>3</v>
      </c>
      <c r="K655" s="213" t="str">
        <f>IFERROR(__xludf.DUMMYFUNCTION("""COMPUTED_VALUE"""),"90 DÍAS CALENDARIO")</f>
        <v>90 DÍAS CALENDARIO</v>
      </c>
      <c r="L655" s="213" t="str">
        <f>IFERROR(__xludf.DUMMYFUNCTION("""COMPUTED_VALUE"""),"")</f>
        <v/>
      </c>
      <c r="M655" s="213">
        <f>IFERROR(__xludf.DUMMYFUNCTION("""COMPUTED_VALUE"""),1.0)</f>
        <v>1</v>
      </c>
      <c r="N655" s="213">
        <f>IFERROR(__xludf.DUMMYFUNCTION("""COMPUTED_VALUE"""),4.0)</f>
        <v>4</v>
      </c>
      <c r="O655" s="213">
        <f>IFERROR(__xludf.DUMMYFUNCTION("""COMPUTED_VALUE"""),4.0)</f>
        <v>4</v>
      </c>
      <c r="P655" s="213"/>
      <c r="Q655" s="213"/>
      <c r="R655" s="213" t="str">
        <f>IFERROR(__xludf.DUMMYFUNCTION("""COMPUTED_VALUE"""),"SI")</f>
        <v>SI</v>
      </c>
      <c r="S655" s="213"/>
      <c r="T655" s="213" t="str">
        <f>IFERROR(__xludf.DUMMYFUNCTION("""COMPUTED_VALUE"""),"SI")</f>
        <v>SI</v>
      </c>
      <c r="U655" s="213" t="str">
        <f>IFERROR(__xludf.DUMMYFUNCTION("""COMPUTED_VALUE"""),"SI")</f>
        <v>SI</v>
      </c>
      <c r="V655" s="213" t="str">
        <f>IFERROR(__xludf.DUMMYFUNCTION("""COMPUTED_VALUE"""),"-")</f>
        <v>-</v>
      </c>
      <c r="W655" s="213" t="str">
        <f>IFERROR(__xludf.DUMMYFUNCTION("""COMPUTED_VALUE"""),"-")</f>
        <v>-</v>
      </c>
      <c r="X655" s="213" t="str">
        <f>IFERROR(__xludf.DUMMYFUNCTION("""COMPUTED_VALUE"""),"SELECTA")</f>
        <v>SELECTA</v>
      </c>
      <c r="Y655" s="213" t="str">
        <f>IFERROR(__xludf.DUMMYFUNCTION("""COMPUTED_VALUE"""),"SELECTA")</f>
        <v>SELECTA</v>
      </c>
      <c r="Z655" s="215" t="str">
        <f>IFERROR(__xludf.DUMMYFUNCTION("""COMPUTED_VALUE"""),"https://www.auxilab.es/controles/ObtenerPDF.ashx?f=%5c00%5c05%5c2m%5co0_F_PH_SELECTA_E.pdf")</f>
        <v>https://www.auxilab.es/controles/ObtenerPDF.ashx?f=%5c00%5c05%5c2m%5co0_F_PH_SELECTA_E.pdf</v>
      </c>
      <c r="AA655" s="213" t="str">
        <f>IFERROR(__xludf.DUMMYFUNCTION("""COMPUTED_VALUE"""),"COM-254 PH METRO PARA ALIMENTOS LÍQUIDOS - CET")</f>
        <v>COM-254 PH METRO PARA ALIMENTOS LÍQUIDOS - CET</v>
      </c>
      <c r="AB655" s="213"/>
      <c r="AC655" s="213"/>
      <c r="AD655" s="213"/>
      <c r="AE655" s="213"/>
      <c r="AF655" s="213"/>
      <c r="AG655" s="213"/>
      <c r="AH655" s="213"/>
      <c r="AI655" s="213"/>
      <c r="AJ655" s="213"/>
      <c r="AK655" s="213"/>
      <c r="AL655" s="213"/>
      <c r="AM655" s="213"/>
      <c r="AN655" s="213"/>
      <c r="AO655" s="213"/>
      <c r="AP655" s="213" t="str">
        <f>IFERROR(__xludf.DUMMYFUNCTION("""COMPUTED_VALUE"""),"LUIS")</f>
        <v>LUIS</v>
      </c>
      <c r="AQ655" s="213"/>
      <c r="AR655" s="213"/>
      <c r="AS655" s="213"/>
      <c r="AT655" s="213"/>
      <c r="AU655" s="213"/>
      <c r="AV655" s="213"/>
      <c r="AW655" s="213"/>
      <c r="AX655" s="213"/>
      <c r="AY655" s="213"/>
      <c r="AZ655" s="213"/>
      <c r="BA655" s="213"/>
      <c r="BB655" s="213"/>
      <c r="BC655" s="213"/>
      <c r="BD655" s="213"/>
    </row>
    <row r="656">
      <c r="A656" s="213">
        <f>IFERROR(__xludf.DUMMYFUNCTION("""COMPUTED_VALUE"""),2094.0)</f>
        <v>2094</v>
      </c>
      <c r="B656" s="213" t="str">
        <f>IFERROR(__xludf.DUMMYFUNCTION("""COMPUTED_VALUE"""),"JOSE GRANDA")</f>
        <v>JOSE GRANDA</v>
      </c>
      <c r="C656" s="213" t="str">
        <f>IFERROR(__xludf.DUMMYFUNCTION("""COMPUTED_VALUE"""),"TALLER SFT DE INDUSTRIA ALIMENTARIA")</f>
        <v>TALLER SFT DE INDUSTRIA ALIMENTARIA</v>
      </c>
      <c r="D656" s="213" t="str">
        <f>IFERROR(__xludf.DUMMYFUNCTION("""COMPUTED_VALUE"""),"HERRAMIENTAS")</f>
        <v>HERRAMIENTAS</v>
      </c>
      <c r="E656" s="213" t="str">
        <f>IFERROR(__xludf.DUMMYFUNCTION("""COMPUTED_VALUE"""),"COM-254")</f>
        <v>COM-254</v>
      </c>
      <c r="F656" s="213" t="str">
        <f>IFERROR(__xludf.DUMMYFUNCTION("""COMPUTED_VALUE"""),"COM-254")</f>
        <v>COM-254</v>
      </c>
      <c r="G656" s="213"/>
      <c r="H656" s="213" t="str">
        <f>IFERROR(__xludf.DUMMYFUNCTION("""COMPUTED_VALUE"""),"PH METRO PARA ALIMENTOS LÍQUIDOS")</f>
        <v>PH METRO PARA ALIMENTOS LÍQUIDOS</v>
      </c>
      <c r="I656" s="213" t="str">
        <f>IFERROR(__xludf.DUMMYFUNCTION("""COMPUTED_VALUE"""),"· Rango de medición (0 a 14.00)
· PH Resolución 0.1/0.01 pH
· Precisión ±0.01 pH ±1 dígito
· Estabilidad ±0.01 pH/3h ±1 dígito
· Calibración automática de 1 a 3 puntos
· Temperatura: Rango de medición 0 a 80°C")</f>
        <v>· Rango de medición (0 a 14.00)
· PH Resolución 0.1/0.01 pH
· Precisión ±0.01 pH ±1 dígito
· Estabilidad ±0.01 pH/3h ±1 dígito
· Calibración automática de 1 a 3 puntos
· Temperatura: Rango de medición 0 a 80°C</v>
      </c>
      <c r="J656" s="213">
        <f>IFERROR(__xludf.DUMMYFUNCTION("""COMPUTED_VALUE"""),3.0)</f>
        <v>3</v>
      </c>
      <c r="K656" s="213" t="str">
        <f>IFERROR(__xludf.DUMMYFUNCTION("""COMPUTED_VALUE"""),"90 DÍAS CALENDARIO")</f>
        <v>90 DÍAS CALENDARIO</v>
      </c>
      <c r="L656" s="213" t="str">
        <f>IFERROR(__xludf.DUMMYFUNCTION("""COMPUTED_VALUE"""),"")</f>
        <v/>
      </c>
      <c r="M656" s="213">
        <f>IFERROR(__xludf.DUMMYFUNCTION("""COMPUTED_VALUE"""),1.0)</f>
        <v>1</v>
      </c>
      <c r="N656" s="213">
        <f>IFERROR(__xludf.DUMMYFUNCTION("""COMPUTED_VALUE"""),4.0)</f>
        <v>4</v>
      </c>
      <c r="O656" s="213">
        <f>IFERROR(__xludf.DUMMYFUNCTION("""COMPUTED_VALUE"""),4.0)</f>
        <v>4</v>
      </c>
      <c r="P656" s="213"/>
      <c r="Q656" s="213"/>
      <c r="R656" s="213" t="str">
        <f>IFERROR(__xludf.DUMMYFUNCTION("""COMPUTED_VALUE"""),"SI")</f>
        <v>SI</v>
      </c>
      <c r="S656" s="213"/>
      <c r="T656" s="213" t="str">
        <f>IFERROR(__xludf.DUMMYFUNCTION("""COMPUTED_VALUE"""),"SI")</f>
        <v>SI</v>
      </c>
      <c r="U656" s="213" t="str">
        <f>IFERROR(__xludf.DUMMYFUNCTION("""COMPUTED_VALUE"""),"SI")</f>
        <v>SI</v>
      </c>
      <c r="V656" s="213" t="str">
        <f>IFERROR(__xludf.DUMMYFUNCTION("""COMPUTED_VALUE"""),"-")</f>
        <v>-</v>
      </c>
      <c r="W656" s="213" t="str">
        <f>IFERROR(__xludf.DUMMYFUNCTION("""COMPUTED_VALUE"""),"-")</f>
        <v>-</v>
      </c>
      <c r="X656" s="213" t="str">
        <f>IFERROR(__xludf.DUMMYFUNCTION("""COMPUTED_VALUE"""),"SELECTA")</f>
        <v>SELECTA</v>
      </c>
      <c r="Y656" s="213" t="str">
        <f>IFERROR(__xludf.DUMMYFUNCTION("""COMPUTED_VALUE"""),"SELECTA")</f>
        <v>SELECTA</v>
      </c>
      <c r="Z656" s="215" t="str">
        <f>IFERROR(__xludf.DUMMYFUNCTION("""COMPUTED_VALUE"""),"https://www.auxilab.es/controles/ObtenerPDF.ashx?f=%5c00%5c05%5c2m%5co0_F_PH_SELECTA_E.pdf")</f>
        <v>https://www.auxilab.es/controles/ObtenerPDF.ashx?f=%5c00%5c05%5c2m%5co0_F_PH_SELECTA_E.pdf</v>
      </c>
      <c r="AA656" s="213" t="str">
        <f>IFERROR(__xludf.DUMMYFUNCTION("""COMPUTED_VALUE"""),"COM-254 PH METRO PARA ALIMENTOS LÍQUIDOS - CET")</f>
        <v>COM-254 PH METRO PARA ALIMENTOS LÍQUIDOS - CET</v>
      </c>
      <c r="AB656" s="213"/>
      <c r="AC656" s="213"/>
      <c r="AD656" s="213"/>
      <c r="AE656" s="213"/>
      <c r="AF656" s="213"/>
      <c r="AG656" s="213"/>
      <c r="AH656" s="213"/>
      <c r="AI656" s="213"/>
      <c r="AJ656" s="213"/>
      <c r="AK656" s="213"/>
      <c r="AL656" s="213"/>
      <c r="AM656" s="213"/>
      <c r="AN656" s="213"/>
      <c r="AO656" s="213"/>
      <c r="AP656" s="213" t="str">
        <f>IFERROR(__xludf.DUMMYFUNCTION("""COMPUTED_VALUE"""),"LUIS")</f>
        <v>LUIS</v>
      </c>
      <c r="AQ656" s="213"/>
      <c r="AR656" s="213"/>
      <c r="AS656" s="213"/>
      <c r="AT656" s="213"/>
      <c r="AU656" s="213"/>
      <c r="AV656" s="213"/>
      <c r="AW656" s="213"/>
      <c r="AX656" s="213"/>
      <c r="AY656" s="213"/>
      <c r="AZ656" s="213"/>
      <c r="BA656" s="213"/>
      <c r="BB656" s="213"/>
      <c r="BC656" s="213"/>
      <c r="BD656" s="213"/>
    </row>
    <row r="657">
      <c r="A657" s="213">
        <f>IFERROR(__xludf.DUMMYFUNCTION("""COMPUTED_VALUE"""),1827.0)</f>
        <v>1827</v>
      </c>
      <c r="B657" s="213" t="str">
        <f>IFERROR(__xludf.DUMMYFUNCTION("""COMPUTED_VALUE"""),"GUILLERMO E. BILLINGHURST ")</f>
        <v>GUILLERMO E. BILLINGHURST </v>
      </c>
      <c r="C657" s="213" t="str">
        <f>IFERROR(__xludf.DUMMYFUNCTION("""COMPUTED_VALUE"""),"TALLER SFT DE EBANISTERÍA")</f>
        <v>TALLER SFT DE EBANISTERÍA</v>
      </c>
      <c r="D657" s="213" t="str">
        <f>IFERROR(__xludf.DUMMYFUNCTION("""COMPUTED_VALUE"""),"HERRAMIENTAS")</f>
        <v>HERRAMIENTAS</v>
      </c>
      <c r="E657" s="213" t="str">
        <f>IFERROR(__xludf.DUMMYFUNCTION("""COMPUTED_VALUE"""),"COM-256")</f>
        <v>COM-256</v>
      </c>
      <c r="F657" s="213" t="str">
        <f>IFERROR(__xludf.DUMMYFUNCTION("""COMPUTED_VALUE"""),"COM-256")</f>
        <v>COM-256</v>
      </c>
      <c r="G657" s="213"/>
      <c r="H657" s="213" t="str">
        <f>IFERROR(__xludf.DUMMYFUNCTION("""COMPUTED_VALUE"""),"PIEDRA DE ASENTAR")</f>
        <v>PIEDRA DE ASENTAR</v>
      </c>
      <c r="I657" s="213" t="str">
        <f>IFERROR(__xludf.DUMMYFUNCTION("""COMPUTED_VALUE"""),"Piedra de doble afilado por aplanamiento. Tamaño mínimo: 150 mm x 50 mm x 25 mm.
Presentación en bloques combinados, para asentar filos. Material de carburo de silicio.")</f>
        <v>Piedra de doble afilado por aplanamiento. Tamaño mínimo: 150 mm x 50 mm x 25 mm.
Presentación en bloques combinados, para asentar filos. Material de carburo de silicio.</v>
      </c>
      <c r="J657" s="213">
        <f>IFERROR(__xludf.DUMMYFUNCTION("""COMPUTED_VALUE"""),3.0)</f>
        <v>3</v>
      </c>
      <c r="K657" s="213" t="str">
        <f>IFERROR(__xludf.DUMMYFUNCTION("""COMPUTED_VALUE"""),"90 DÍAS CALENDARIO")</f>
        <v>90 DÍAS CALENDARIO</v>
      </c>
      <c r="L657" s="213" t="str">
        <f>IFERROR(__xludf.DUMMYFUNCTION("""COMPUTED_VALUE"""),"")</f>
        <v/>
      </c>
      <c r="M657" s="213">
        <f>IFERROR(__xludf.DUMMYFUNCTION("""COMPUTED_VALUE"""),1.0)</f>
        <v>1</v>
      </c>
      <c r="N657" s="213">
        <f>IFERROR(__xludf.DUMMYFUNCTION("""COMPUTED_VALUE"""),2.0)</f>
        <v>2</v>
      </c>
      <c r="O657" s="213">
        <f>IFERROR(__xludf.DUMMYFUNCTION("""COMPUTED_VALUE"""),2.0)</f>
        <v>2</v>
      </c>
      <c r="P657" s="213"/>
      <c r="Q657" s="213"/>
      <c r="R657" s="213" t="str">
        <f>IFERROR(__xludf.DUMMYFUNCTION("""COMPUTED_VALUE"""),"SI")</f>
        <v>SI</v>
      </c>
      <c r="S657" s="213"/>
      <c r="T657" s="213" t="str">
        <f>IFERROR(__xludf.DUMMYFUNCTION("""COMPUTED_VALUE"""),"SI")</f>
        <v>SI</v>
      </c>
      <c r="U657" s="213" t="str">
        <f>IFERROR(__xludf.DUMMYFUNCTION("""COMPUTED_VALUE"""),"SI")</f>
        <v>SI</v>
      </c>
      <c r="V657" s="213" t="str">
        <f>IFERROR(__xludf.DUMMYFUNCTION("""COMPUTED_VALUE"""),"-")</f>
        <v>-</v>
      </c>
      <c r="W657" s="213" t="str">
        <f>IFERROR(__xludf.DUMMYFUNCTION("""COMPUTED_VALUE"""),"-")</f>
        <v>-</v>
      </c>
      <c r="X657" s="213" t="str">
        <f>IFERROR(__xludf.DUMMYFUNCTION("""COMPUTED_VALUE"""),"TRUPER")</f>
        <v>TRUPER</v>
      </c>
      <c r="Y657" s="213" t="str">
        <f>IFERROR(__xludf.DUMMYFUNCTION("""COMPUTED_VALUE"""),"PIAS-109")</f>
        <v>PIAS-109</v>
      </c>
      <c r="Z657" s="215" t="str">
        <f>IFERROR(__xludf.DUMMYFUNCTION("""COMPUTED_VALUE"""),"https://www.aibitech.com/herramientas-abrasivos/piedras-lijas-limas-abrasivas/piedras-abrasivas/piedras-para-asentar-150-x-50-mm-grano-150-240-espesor-1-carburo-de-silicio-pias-109-11667-truper-8292.html?srsltid=AfmBOopsZ2pSH1VdnUjr9VSgydDYf5TDFKVCUszq0fw"&amp;"lB-6fyw0gd-ii")</f>
        <v>https://www.aibitech.com/herramientas-abrasivos/piedras-lijas-limas-abrasivas/piedras-abrasivas/piedras-para-asentar-150-x-50-mm-grano-150-240-espesor-1-carburo-de-silicio-pias-109-11667-truper-8292.html?srsltid=AfmBOopsZ2pSH1VdnUjr9VSgydDYf5TDFKVCUszq0fwlB-6fyw0gd-ii</v>
      </c>
      <c r="AA657" s="213" t="str">
        <f>IFERROR(__xludf.DUMMYFUNCTION("""COMPUTED_VALUE"""),"COM-256 PIEDRA DE ASENTAR - CET")</f>
        <v>COM-256 PIEDRA DE ASENTAR - CET</v>
      </c>
      <c r="AB657" s="213"/>
      <c r="AC657" s="213"/>
      <c r="AD657" s="213"/>
      <c r="AE657" s="213"/>
      <c r="AF657" s="213"/>
      <c r="AG657" s="213"/>
      <c r="AH657" s="213"/>
      <c r="AI657" s="213"/>
      <c r="AJ657" s="213"/>
      <c r="AK657" s="213"/>
      <c r="AL657" s="213"/>
      <c r="AM657" s="213"/>
      <c r="AN657" s="213"/>
      <c r="AO657" s="213"/>
      <c r="AP657" s="213" t="str">
        <f>IFERROR(__xludf.DUMMYFUNCTION("""COMPUTED_VALUE"""),"SEBASTIAN")</f>
        <v>SEBASTIAN</v>
      </c>
      <c r="AQ657" s="213"/>
      <c r="AR657" s="213"/>
      <c r="AS657" s="213"/>
      <c r="AT657" s="213"/>
      <c r="AU657" s="213"/>
      <c r="AV657" s="213"/>
      <c r="AW657" s="213"/>
      <c r="AX657" s="213"/>
      <c r="AY657" s="213"/>
      <c r="AZ657" s="213"/>
      <c r="BA657" s="213"/>
      <c r="BB657" s="213"/>
      <c r="BC657" s="213"/>
      <c r="BD657" s="213"/>
    </row>
    <row r="658">
      <c r="A658" s="213">
        <f>IFERROR(__xludf.DUMMYFUNCTION("""COMPUTED_VALUE"""),2609.0)</f>
        <v>2609</v>
      </c>
      <c r="B658" s="213" t="str">
        <f>IFERROR(__xludf.DUMMYFUNCTION("""COMPUTED_VALUE"""),"MANUEL ANTONIO MESONES MURO")</f>
        <v>MANUEL ANTONIO MESONES MURO</v>
      </c>
      <c r="C658" s="213" t="str">
        <f>IFERROR(__xludf.DUMMYFUNCTION("""COMPUTED_VALUE"""),"TALLER SFT DE EBANISTERÍA")</f>
        <v>TALLER SFT DE EBANISTERÍA</v>
      </c>
      <c r="D658" s="213" t="str">
        <f>IFERROR(__xludf.DUMMYFUNCTION("""COMPUTED_VALUE"""),"HERRAMIENTAS")</f>
        <v>HERRAMIENTAS</v>
      </c>
      <c r="E658" s="213" t="str">
        <f>IFERROR(__xludf.DUMMYFUNCTION("""COMPUTED_VALUE"""),"COM-256")</f>
        <v>COM-256</v>
      </c>
      <c r="F658" s="213" t="str">
        <f>IFERROR(__xludf.DUMMYFUNCTION("""COMPUTED_VALUE"""),"COM-256")</f>
        <v>COM-256</v>
      </c>
      <c r="G658" s="213"/>
      <c r="H658" s="213" t="str">
        <f>IFERROR(__xludf.DUMMYFUNCTION("""COMPUTED_VALUE"""),"PIEDRA DE ASENTAR")</f>
        <v>PIEDRA DE ASENTAR</v>
      </c>
      <c r="I658" s="213" t="str">
        <f>IFERROR(__xludf.DUMMYFUNCTION("""COMPUTED_VALUE"""),"Piedra de doble afilado por aplanamiento. Tamaño mínimo: 150 mm x 50 mm x 25 mm.
Presentación en bloques combinados, para asentar filos. Material de carburo de silicio.")</f>
        <v>Piedra de doble afilado por aplanamiento. Tamaño mínimo: 150 mm x 50 mm x 25 mm.
Presentación en bloques combinados, para asentar filos. Material de carburo de silicio.</v>
      </c>
      <c r="J658" s="213">
        <f>IFERROR(__xludf.DUMMYFUNCTION("""COMPUTED_VALUE"""),3.0)</f>
        <v>3</v>
      </c>
      <c r="K658" s="213" t="str">
        <f>IFERROR(__xludf.DUMMYFUNCTION("""COMPUTED_VALUE"""),"90 DÍAS CALENDARIO")</f>
        <v>90 DÍAS CALENDARIO</v>
      </c>
      <c r="L658" s="213" t="str">
        <f>IFERROR(__xludf.DUMMYFUNCTION("""COMPUTED_VALUE"""),"")</f>
        <v/>
      </c>
      <c r="M658" s="213">
        <f>IFERROR(__xludf.DUMMYFUNCTION("""COMPUTED_VALUE"""),1.0)</f>
        <v>1</v>
      </c>
      <c r="N658" s="213">
        <f>IFERROR(__xludf.DUMMYFUNCTION("""COMPUTED_VALUE"""),2.0)</f>
        <v>2</v>
      </c>
      <c r="O658" s="213">
        <f>IFERROR(__xludf.DUMMYFUNCTION("""COMPUTED_VALUE"""),2.0)</f>
        <v>2</v>
      </c>
      <c r="P658" s="213"/>
      <c r="Q658" s="213"/>
      <c r="R658" s="213" t="str">
        <f>IFERROR(__xludf.DUMMYFUNCTION("""COMPUTED_VALUE"""),"SI")</f>
        <v>SI</v>
      </c>
      <c r="S658" s="213"/>
      <c r="T658" s="213" t="str">
        <f>IFERROR(__xludf.DUMMYFUNCTION("""COMPUTED_VALUE"""),"SI")</f>
        <v>SI</v>
      </c>
      <c r="U658" s="213" t="str">
        <f>IFERROR(__xludf.DUMMYFUNCTION("""COMPUTED_VALUE"""),"SI")</f>
        <v>SI</v>
      </c>
      <c r="V658" s="213" t="str">
        <f>IFERROR(__xludf.DUMMYFUNCTION("""COMPUTED_VALUE"""),"-")</f>
        <v>-</v>
      </c>
      <c r="W658" s="213" t="str">
        <f>IFERROR(__xludf.DUMMYFUNCTION("""COMPUTED_VALUE"""),"-")</f>
        <v>-</v>
      </c>
      <c r="X658" s="213" t="str">
        <f>IFERROR(__xludf.DUMMYFUNCTION("""COMPUTED_VALUE"""),"TRUPER")</f>
        <v>TRUPER</v>
      </c>
      <c r="Y658" s="213" t="str">
        <f>IFERROR(__xludf.DUMMYFUNCTION("""COMPUTED_VALUE"""),"PIAS-109")</f>
        <v>PIAS-109</v>
      </c>
      <c r="Z658" s="215" t="str">
        <f>IFERROR(__xludf.DUMMYFUNCTION("""COMPUTED_VALUE"""),"https://www.aibitech.com/herramientas-abrasivos/piedras-lijas-limas-abrasivas/piedras-abrasivas/piedras-para-asentar-150-x-50-mm-grano-150-240-espesor-1-carburo-de-silicio-pias-109-11667-truper-8292.html?srsltid=AfmBOopsZ2pSH1VdnUjr9VSgydDYf5TDFKVCUszq0fw"&amp;"lB-6fyw0gd-ii")</f>
        <v>https://www.aibitech.com/herramientas-abrasivos/piedras-lijas-limas-abrasivas/piedras-abrasivas/piedras-para-asentar-150-x-50-mm-grano-150-240-espesor-1-carburo-de-silicio-pias-109-11667-truper-8292.html?srsltid=AfmBOopsZ2pSH1VdnUjr9VSgydDYf5TDFKVCUszq0fwlB-6fyw0gd-ii</v>
      </c>
      <c r="AA658" s="213" t="str">
        <f>IFERROR(__xludf.DUMMYFUNCTION("""COMPUTED_VALUE"""),"COM-256 PIEDRA DE ASENTAR - CET")</f>
        <v>COM-256 PIEDRA DE ASENTAR - CET</v>
      </c>
      <c r="AB658" s="213"/>
      <c r="AC658" s="213"/>
      <c r="AD658" s="213"/>
      <c r="AE658" s="213"/>
      <c r="AF658" s="213"/>
      <c r="AG658" s="213"/>
      <c r="AH658" s="213"/>
      <c r="AI658" s="213"/>
      <c r="AJ658" s="213"/>
      <c r="AK658" s="213"/>
      <c r="AL658" s="213"/>
      <c r="AM658" s="213"/>
      <c r="AN658" s="213"/>
      <c r="AO658" s="213"/>
      <c r="AP658" s="213" t="str">
        <f>IFERROR(__xludf.DUMMYFUNCTION("""COMPUTED_VALUE"""),"SEBASTIAN")</f>
        <v>SEBASTIAN</v>
      </c>
      <c r="AQ658" s="213"/>
      <c r="AR658" s="213"/>
      <c r="AS658" s="213"/>
      <c r="AT658" s="213"/>
      <c r="AU658" s="213"/>
      <c r="AV658" s="213"/>
      <c r="AW658" s="213"/>
      <c r="AX658" s="213"/>
      <c r="AY658" s="213"/>
      <c r="AZ658" s="213"/>
      <c r="BA658" s="213"/>
      <c r="BB658" s="213"/>
      <c r="BC658" s="213"/>
      <c r="BD658" s="213"/>
    </row>
    <row r="659">
      <c r="A659" s="213">
        <f>IFERROR(__xludf.DUMMYFUNCTION("""COMPUTED_VALUE"""),2466.0)</f>
        <v>2466</v>
      </c>
      <c r="B659" s="213" t="str">
        <f>IFERROR(__xludf.DUMMYFUNCTION("""COMPUTED_VALUE"""),"MANUEL ANTONIO MESONES MURO")</f>
        <v>MANUEL ANTONIO MESONES MURO</v>
      </c>
      <c r="C659" s="213" t="str">
        <f>IFERROR(__xludf.DUMMYFUNCTION("""COMPUTED_VALUE"""),"TALLER SFT DE CONSTRUCCIONES METÁLICAS")</f>
        <v>TALLER SFT DE CONSTRUCCIONES METÁLICAS</v>
      </c>
      <c r="D659" s="213" t="str">
        <f>IFERROR(__xludf.DUMMYFUNCTION("""COMPUTED_VALUE"""),"HERRAMIENTAS")</f>
        <v>HERRAMIENTAS</v>
      </c>
      <c r="E659" s="213" t="str">
        <f>IFERROR(__xludf.DUMMYFUNCTION("""COMPUTED_VALUE"""),"MAT-163")</f>
        <v>MAT-163</v>
      </c>
      <c r="F659" s="213" t="str">
        <f>IFERROR(__xludf.DUMMYFUNCTION("""COMPUTED_VALUE"""),"MAT-163-Y")</f>
        <v>MAT-163-Y</v>
      </c>
      <c r="G659" s="213"/>
      <c r="H659" s="213" t="str">
        <f>IFERROR(__xludf.DUMMYFUNCTION("""COMPUTED_VALUE"""),"EXTINTOR PQS")</f>
        <v>EXTINTOR PQS</v>
      </c>
      <c r="I659" s="213" t="str">
        <f>IFERROR(__xludf.DUMMYFUNCTION("""COMPUTED_VALUE"""),"Tipo extintor de fuego 6 kg
-       Presión de trabajo 14 bar
-       Válvula de alivio de presión M30x1.5
-       Agente: seco en polvo")</f>
        <v>Tipo extintor de fuego 6 kg
-       Presión de trabajo 14 bar
-       Válvula de alivio de presión M30x1.5
-       Agente: seco en polvo</v>
      </c>
      <c r="J659" s="213">
        <f>IFERROR(__xludf.DUMMYFUNCTION("""COMPUTED_VALUE"""),3.0)</f>
        <v>3</v>
      </c>
      <c r="K659" s="213" t="str">
        <f>IFERROR(__xludf.DUMMYFUNCTION("""COMPUTED_VALUE"""),"90 DÍAS CALENDARIO")</f>
        <v>90 DÍAS CALENDARIO</v>
      </c>
      <c r="L659" s="213" t="str">
        <f>IFERROR(__xludf.DUMMYFUNCTION("""COMPUTED_VALUE"""),"")</f>
        <v/>
      </c>
      <c r="M659" s="213">
        <f>IFERROR(__xludf.DUMMYFUNCTION("""COMPUTED_VALUE"""),1.0)</f>
        <v>1</v>
      </c>
      <c r="N659" s="213">
        <f>IFERROR(__xludf.DUMMYFUNCTION("""COMPUTED_VALUE"""),2.0)</f>
        <v>2</v>
      </c>
      <c r="O659" s="213">
        <f>IFERROR(__xludf.DUMMYFUNCTION("""COMPUTED_VALUE"""),2.0)</f>
        <v>2</v>
      </c>
      <c r="P659" s="213"/>
      <c r="Q659" s="213"/>
      <c r="R659" s="213"/>
      <c r="S659" s="213"/>
      <c r="T659" s="213" t="str">
        <f>IFERROR(__xludf.DUMMYFUNCTION("""COMPUTED_VALUE"""),"SI")</f>
        <v>SI</v>
      </c>
      <c r="U659" s="213" t="str">
        <f>IFERROR(__xludf.DUMMYFUNCTION("""COMPUTED_VALUE"""),"SI")</f>
        <v>SI</v>
      </c>
      <c r="V659" s="213" t="str">
        <f>IFERROR(__xludf.DUMMYFUNCTION("""COMPUTED_VALUE"""),"-")</f>
        <v>-</v>
      </c>
      <c r="W659" s="213" t="str">
        <f>IFERROR(__xludf.DUMMYFUNCTION("""COMPUTED_VALUE"""),"-")</f>
        <v>-</v>
      </c>
      <c r="X659" s="213" t="str">
        <f>IFERROR(__xludf.DUMMYFUNCTION("""COMPUTED_VALUE"""),"SAFETY PLUS")</f>
        <v>SAFETY PLUS</v>
      </c>
      <c r="Y659" s="213" t="str">
        <f>IFERROR(__xludf.DUMMYFUNCTION("""COMPUTED_VALUE"""),"SP01-01")</f>
        <v>SP01-01</v>
      </c>
      <c r="Z659" s="215" t="str">
        <f>IFERROR(__xludf.DUMMYFUNCTION("""COMPUTED_VALUE"""),"https://spanish.alibaba.com/product-detail/4-5KG-Empty-Dry-Powder-Fire-60811153226.html?isSpider=true")</f>
        <v>https://spanish.alibaba.com/product-detail/4-5KG-Empty-Dry-Powder-Fire-60811153226.html?isSpider=true</v>
      </c>
      <c r="AA659" s="213" t="str">
        <f>IFERROR(__xludf.DUMMYFUNCTION("""COMPUTED_VALUE"""),"MAT-163-Y EXTINTOR PQS - CET")</f>
        <v>MAT-163-Y EXTINTOR PQS - CET</v>
      </c>
      <c r="AB659" s="213"/>
      <c r="AC659" s="213"/>
      <c r="AD659" s="213"/>
      <c r="AE659" s="213"/>
      <c r="AF659" s="213"/>
      <c r="AG659" s="213"/>
      <c r="AH659" s="213"/>
      <c r="AI659" s="213"/>
      <c r="AJ659" s="213"/>
      <c r="AK659" s="213"/>
      <c r="AL659" s="213"/>
      <c r="AM659" s="213"/>
      <c r="AN659" s="213"/>
      <c r="AO659" s="213"/>
      <c r="AP659" s="213" t="str">
        <f>IFERROR(__xludf.DUMMYFUNCTION("""COMPUTED_VALUE"""),"BRUNO")</f>
        <v>BRUNO</v>
      </c>
      <c r="AQ659" s="213"/>
      <c r="AR659" s="213"/>
      <c r="AS659" s="213"/>
      <c r="AT659" s="213"/>
      <c r="AU659" s="213"/>
      <c r="AV659" s="213"/>
      <c r="AW659" s="213"/>
      <c r="AX659" s="213"/>
      <c r="AY659" s="213"/>
      <c r="AZ659" s="213"/>
      <c r="BA659" s="213"/>
      <c r="BB659" s="213"/>
      <c r="BC659" s="213"/>
      <c r="BD659" s="213"/>
    </row>
    <row r="660">
      <c r="A660" s="213">
        <f>IFERROR(__xludf.DUMMYFUNCTION("""COMPUTED_VALUE"""),181.0)</f>
        <v>181</v>
      </c>
      <c r="B660" s="213" t="str">
        <f>IFERROR(__xludf.DUMMYFUNCTION("""COMPUTED_VALUE"""),"2026 SIMON BOLIVAR")</f>
        <v>2026 SIMON BOLIVAR</v>
      </c>
      <c r="C660" s="213" t="str">
        <f>IFERROR(__xludf.DUMMYFUNCTION("""COMPUTED_VALUE"""),"TALLER SFT DE INDUSTRIA DEL VESTIDO")</f>
        <v>TALLER SFT DE INDUSTRIA DEL VESTIDO</v>
      </c>
      <c r="D660" s="213" t="str">
        <f>IFERROR(__xludf.DUMMYFUNCTION("""COMPUTED_VALUE"""),"HERRAMIENTAS")</f>
        <v>HERRAMIENTAS</v>
      </c>
      <c r="E660" s="213" t="str">
        <f>IFERROR(__xludf.DUMMYFUNCTION("""COMPUTED_VALUE"""),"COM-258")</f>
        <v>COM-258</v>
      </c>
      <c r="F660" s="213" t="str">
        <f>IFERROR(__xludf.DUMMYFUNCTION("""COMPUTED_VALUE"""),"COM-258")</f>
        <v>COM-258</v>
      </c>
      <c r="G660" s="213"/>
      <c r="H660" s="213" t="str">
        <f>IFERROR(__xludf.DUMMYFUNCTION("""COMPUTED_VALUE"""),"PIQUETERA")</f>
        <v>PIQUETERA</v>
      </c>
      <c r="I660" s="213" t="str">
        <f>IFERROR(__xludf.DUMMYFUNCTION("""COMPUTED_VALUE"""),"·      Piquetera metálica.
·      Medida entre 10 a 12 cm de largo.
·      Presentación con funda plástica.")</f>
        <v>·      Piquetera metálica.
·      Medida entre 10 a 12 cm de largo.
·      Presentación con funda plástica.</v>
      </c>
      <c r="J660" s="213">
        <f>IFERROR(__xludf.DUMMYFUNCTION("""COMPUTED_VALUE"""),3.0)</f>
        <v>3</v>
      </c>
      <c r="K660" s="213" t="str">
        <f>IFERROR(__xludf.DUMMYFUNCTION("""COMPUTED_VALUE"""),"90 DÍAS CALENDARIO")</f>
        <v>90 DÍAS CALENDARIO</v>
      </c>
      <c r="L660" s="213" t="str">
        <f>IFERROR(__xludf.DUMMYFUNCTION("""COMPUTED_VALUE"""),"")</f>
        <v/>
      </c>
      <c r="M660" s="213">
        <f>IFERROR(__xludf.DUMMYFUNCTION("""COMPUTED_VALUE"""),1.0)</f>
        <v>1</v>
      </c>
      <c r="N660" s="213">
        <f>IFERROR(__xludf.DUMMYFUNCTION("""COMPUTED_VALUE"""),10.0)</f>
        <v>10</v>
      </c>
      <c r="O660" s="213">
        <f>IFERROR(__xludf.DUMMYFUNCTION("""COMPUTED_VALUE"""),10.0)</f>
        <v>10</v>
      </c>
      <c r="P660" s="213"/>
      <c r="Q660" s="213"/>
      <c r="R660" s="213" t="str">
        <f>IFERROR(__xludf.DUMMYFUNCTION("""COMPUTED_VALUE"""),"SI")</f>
        <v>SI</v>
      </c>
      <c r="S660" s="213"/>
      <c r="T660" s="213" t="str">
        <f>IFERROR(__xludf.DUMMYFUNCTION("""COMPUTED_VALUE"""),"SI")</f>
        <v>SI</v>
      </c>
      <c r="U660" s="213" t="str">
        <f>IFERROR(__xludf.DUMMYFUNCTION("""COMPUTED_VALUE"""),"SI")</f>
        <v>SI</v>
      </c>
      <c r="V660" s="213" t="str">
        <f>IFERROR(__xludf.DUMMYFUNCTION("""COMPUTED_VALUE"""),"-")</f>
        <v>-</v>
      </c>
      <c r="W660" s="213" t="str">
        <f>IFERROR(__xludf.DUMMYFUNCTION("""COMPUTED_VALUE"""),"-")</f>
        <v>-</v>
      </c>
      <c r="X660" s="213" t="str">
        <f>IFERROR(__xludf.DUMMYFUNCTION("""COMPUTED_VALUE"""),"PRYM")</f>
        <v>PRYM</v>
      </c>
      <c r="Y660" s="213">
        <f>IFERROR(__xludf.DUMMYFUNCTION("""COMPUTED_VALUE"""),9576.0)</f>
        <v>9576</v>
      </c>
      <c r="Z660" s="215" t="str">
        <f>IFERROR(__xludf.DUMMYFUNCTION("""COMPUTED_VALUE"""),"https://tren.com.pe/producto/piquetera-profesional/")</f>
        <v>https://tren.com.pe/producto/piquetera-profesional/</v>
      </c>
      <c r="AA660" s="213" t="str">
        <f>IFERROR(__xludf.DUMMYFUNCTION("""COMPUTED_VALUE"""),"COM-258 PIQUETERA - CET")</f>
        <v>COM-258 PIQUETERA - CET</v>
      </c>
      <c r="AB660" s="213"/>
      <c r="AC660" s="213"/>
      <c r="AD660" s="213"/>
      <c r="AE660" s="213"/>
      <c r="AF660" s="213"/>
      <c r="AG660" s="213"/>
      <c r="AH660" s="213"/>
      <c r="AI660" s="213"/>
      <c r="AJ660" s="213"/>
      <c r="AK660" s="213"/>
      <c r="AL660" s="213"/>
      <c r="AM660" s="213"/>
      <c r="AN660" s="213"/>
      <c r="AO660" s="213"/>
      <c r="AP660" s="213" t="str">
        <f>IFERROR(__xludf.DUMMYFUNCTION("""COMPUTED_VALUE"""),"SEBASTIAN")</f>
        <v>SEBASTIAN</v>
      </c>
      <c r="AQ660" s="213"/>
      <c r="AR660" s="213"/>
      <c r="AS660" s="213"/>
      <c r="AT660" s="213"/>
      <c r="AU660" s="213"/>
      <c r="AV660" s="213"/>
      <c r="AW660" s="213"/>
      <c r="AX660" s="213"/>
      <c r="AY660" s="213"/>
      <c r="AZ660" s="213"/>
      <c r="BA660" s="213"/>
      <c r="BB660" s="213"/>
      <c r="BC660" s="213"/>
      <c r="BD660" s="213"/>
    </row>
    <row r="661">
      <c r="A661" s="213">
        <f>IFERROR(__xludf.DUMMYFUNCTION("""COMPUTED_VALUE"""),2403.0)</f>
        <v>2403</v>
      </c>
      <c r="B661" s="213" t="str">
        <f>IFERROR(__xludf.DUMMYFUNCTION("""COMPUTED_VALUE"""),"MANUEL ANTONIO MESONES MURO")</f>
        <v>MANUEL ANTONIO MESONES MURO</v>
      </c>
      <c r="C661" s="213" t="str">
        <f>IFERROR(__xludf.DUMMYFUNCTION("""COMPUTED_VALUE"""),"TALLER SFT DE INDUSTRIA DEL VESTIDO")</f>
        <v>TALLER SFT DE INDUSTRIA DEL VESTIDO</v>
      </c>
      <c r="D661" s="213" t="str">
        <f>IFERROR(__xludf.DUMMYFUNCTION("""COMPUTED_VALUE"""),"HERRAMIENTAS")</f>
        <v>HERRAMIENTAS</v>
      </c>
      <c r="E661" s="213" t="str">
        <f>IFERROR(__xludf.DUMMYFUNCTION("""COMPUTED_VALUE"""),"COM-258")</f>
        <v>COM-258</v>
      </c>
      <c r="F661" s="213" t="str">
        <f>IFERROR(__xludf.DUMMYFUNCTION("""COMPUTED_VALUE"""),"COM-258")</f>
        <v>COM-258</v>
      </c>
      <c r="G661" s="213"/>
      <c r="H661" s="213" t="str">
        <f>IFERROR(__xludf.DUMMYFUNCTION("""COMPUTED_VALUE"""),"PIQUETERA")</f>
        <v>PIQUETERA</v>
      </c>
      <c r="I661" s="213" t="str">
        <f>IFERROR(__xludf.DUMMYFUNCTION("""COMPUTED_VALUE"""),"·      Piquetera metálica.
·      Medida entre 10 a 12 cm de largo.
·      Presentación con funda plástica.")</f>
        <v>·      Piquetera metálica.
·      Medida entre 10 a 12 cm de largo.
·      Presentación con funda plástica.</v>
      </c>
      <c r="J661" s="213">
        <f>IFERROR(__xludf.DUMMYFUNCTION("""COMPUTED_VALUE"""),3.0)</f>
        <v>3</v>
      </c>
      <c r="K661" s="213" t="str">
        <f>IFERROR(__xludf.DUMMYFUNCTION("""COMPUTED_VALUE"""),"90 DÍAS CALENDARIO")</f>
        <v>90 DÍAS CALENDARIO</v>
      </c>
      <c r="L661" s="213" t="str">
        <f>IFERROR(__xludf.DUMMYFUNCTION("""COMPUTED_VALUE"""),"")</f>
        <v/>
      </c>
      <c r="M661" s="213">
        <f>IFERROR(__xludf.DUMMYFUNCTION("""COMPUTED_VALUE"""),1.0)</f>
        <v>1</v>
      </c>
      <c r="N661" s="213">
        <f>IFERROR(__xludf.DUMMYFUNCTION("""COMPUTED_VALUE"""),10.0)</f>
        <v>10</v>
      </c>
      <c r="O661" s="213">
        <f>IFERROR(__xludf.DUMMYFUNCTION("""COMPUTED_VALUE"""),10.0)</f>
        <v>10</v>
      </c>
      <c r="P661" s="213"/>
      <c r="Q661" s="213"/>
      <c r="R661" s="213" t="str">
        <f>IFERROR(__xludf.DUMMYFUNCTION("""COMPUTED_VALUE"""),"SI")</f>
        <v>SI</v>
      </c>
      <c r="S661" s="213"/>
      <c r="T661" s="213" t="str">
        <f>IFERROR(__xludf.DUMMYFUNCTION("""COMPUTED_VALUE"""),"SI")</f>
        <v>SI</v>
      </c>
      <c r="U661" s="213" t="str">
        <f>IFERROR(__xludf.DUMMYFUNCTION("""COMPUTED_VALUE"""),"SI")</f>
        <v>SI</v>
      </c>
      <c r="V661" s="213" t="str">
        <f>IFERROR(__xludf.DUMMYFUNCTION("""COMPUTED_VALUE"""),"-")</f>
        <v>-</v>
      </c>
      <c r="W661" s="213" t="str">
        <f>IFERROR(__xludf.DUMMYFUNCTION("""COMPUTED_VALUE"""),"-")</f>
        <v>-</v>
      </c>
      <c r="X661" s="213" t="str">
        <f>IFERROR(__xludf.DUMMYFUNCTION("""COMPUTED_VALUE"""),"PRYM")</f>
        <v>PRYM</v>
      </c>
      <c r="Y661" s="213">
        <f>IFERROR(__xludf.DUMMYFUNCTION("""COMPUTED_VALUE"""),9576.0)</f>
        <v>9576</v>
      </c>
      <c r="Z661" s="215" t="str">
        <f>IFERROR(__xludf.DUMMYFUNCTION("""COMPUTED_VALUE"""),"https://tren.com.pe/producto/piquetera-profesional/")</f>
        <v>https://tren.com.pe/producto/piquetera-profesional/</v>
      </c>
      <c r="AA661" s="213" t="str">
        <f>IFERROR(__xludf.DUMMYFUNCTION("""COMPUTED_VALUE"""),"COM-258 PIQUETERA - CET")</f>
        <v>COM-258 PIQUETERA - CET</v>
      </c>
      <c r="AB661" s="213"/>
      <c r="AC661" s="213"/>
      <c r="AD661" s="213"/>
      <c r="AE661" s="213"/>
      <c r="AF661" s="213"/>
      <c r="AG661" s="213"/>
      <c r="AH661" s="213"/>
      <c r="AI661" s="213"/>
      <c r="AJ661" s="213"/>
      <c r="AK661" s="213"/>
      <c r="AL661" s="213"/>
      <c r="AM661" s="213"/>
      <c r="AN661" s="213"/>
      <c r="AO661" s="213"/>
      <c r="AP661" s="213" t="str">
        <f>IFERROR(__xludf.DUMMYFUNCTION("""COMPUTED_VALUE"""),"SEBASTIAN")</f>
        <v>SEBASTIAN</v>
      </c>
      <c r="AQ661" s="213"/>
      <c r="AR661" s="213"/>
      <c r="AS661" s="213"/>
      <c r="AT661" s="213"/>
      <c r="AU661" s="213"/>
      <c r="AV661" s="213"/>
      <c r="AW661" s="213"/>
      <c r="AX661" s="213"/>
      <c r="AY661" s="213"/>
      <c r="AZ661" s="213"/>
      <c r="BA661" s="213"/>
      <c r="BB661" s="213"/>
      <c r="BC661" s="213"/>
      <c r="BD661" s="213"/>
    </row>
    <row r="662">
      <c r="A662" s="213">
        <f>IFERROR(__xludf.DUMMYFUNCTION("""COMPUTED_VALUE"""),429.0)</f>
        <v>429</v>
      </c>
      <c r="B662" s="213" t="str">
        <f>IFERROR(__xludf.DUMMYFUNCTION("""COMPUTED_VALUE"""),"2026 SIMON BOLIVAR")</f>
        <v>2026 SIMON BOLIVAR</v>
      </c>
      <c r="C662" s="213" t="str">
        <f>IFERROR(__xludf.DUMMYFUNCTION("""COMPUTED_VALUE"""),"TALLER SFT DE INDUSTRIA ALIMENTARIA")</f>
        <v>TALLER SFT DE INDUSTRIA ALIMENTARIA</v>
      </c>
      <c r="D662" s="213" t="str">
        <f>IFERROR(__xludf.DUMMYFUNCTION("""COMPUTED_VALUE"""),"MOBILIARIO")</f>
        <v>MOBILIARIO</v>
      </c>
      <c r="E662" s="213" t="str">
        <f>IFERROR(__xludf.DUMMYFUNCTION("""COMPUTED_VALUE"""),"COM-261")</f>
        <v>COM-261</v>
      </c>
      <c r="F662" s="213" t="str">
        <f>IFERROR(__xludf.DUMMYFUNCTION("""COMPUTED_VALUE"""),"COM-261")</f>
        <v>COM-261</v>
      </c>
      <c r="G662" s="213"/>
      <c r="H662" s="213" t="str">
        <f>IFERROR(__xludf.DUMMYFUNCTION("""COMPUTED_VALUE"""),"POZA DE LAVADO Y DESINFECCIÓN")</f>
        <v>POZA DE LAVADO Y DESINFECCIÓN</v>
      </c>
      <c r="I662" s="213" t="str">
        <f>IFERROR(__xludf.DUMMYFUNCTION("""COMPUTED_VALUE"""),"· Fabricado en acero inoxidable AISI 304.
· Uniones fijas por soldadura TIG, con fino acabado
· Tablero superior de 1/16 de espesor con bordes antirrebose redondeado.
· Patas tubulares fijas Ø1 1/2 AISI 304L con regatones regulables.
· Amarre tubular de Ø"&amp;"1 AISI 304L.
· Respaldar sanitario de 200mm de altura
· Medidas mínimas L80 cm x A60 cm x H90 cm")</f>
        <v>· Fabricado en acero inoxidable AISI 304.
· Uniones fijas por soldadura TIG, con fino acabado
· Tablero superior de 1/16 de espesor con bordes antirrebose redondeado.
· Patas tubulares fijas Ø1 1/2 AISI 304L con regatones regulables.
· Amarre tubular de Ø1 AISI 304L.
· Respaldar sanitario de 200mm de altura
· Medidas mínimas L80 cm x A60 cm x H90 cm</v>
      </c>
      <c r="J662" s="213">
        <f>IFERROR(__xludf.DUMMYFUNCTION("""COMPUTED_VALUE"""),3.0)</f>
        <v>3</v>
      </c>
      <c r="K662" s="213" t="str">
        <f>IFERROR(__xludf.DUMMYFUNCTION("""COMPUTED_VALUE"""),"90 DÍAS CALENDARIO")</f>
        <v>90 DÍAS CALENDARIO</v>
      </c>
      <c r="L662" s="213" t="str">
        <f>IFERROR(__xludf.DUMMYFUNCTION("""COMPUTED_VALUE"""),"")</f>
        <v/>
      </c>
      <c r="M662" s="213">
        <f>IFERROR(__xludf.DUMMYFUNCTION("""COMPUTED_VALUE"""),1.0)</f>
        <v>1</v>
      </c>
      <c r="N662" s="213">
        <f>IFERROR(__xludf.DUMMYFUNCTION("""COMPUTED_VALUE"""),1.0)</f>
        <v>1</v>
      </c>
      <c r="O662" s="213">
        <f>IFERROR(__xludf.DUMMYFUNCTION("""COMPUTED_VALUE"""),1.0)</f>
        <v>1</v>
      </c>
      <c r="P662" s="213"/>
      <c r="Q662" s="213"/>
      <c r="R662" s="213" t="str">
        <f>IFERROR(__xludf.DUMMYFUNCTION("""COMPUTED_VALUE"""),"NO")</f>
        <v>NO</v>
      </c>
      <c r="S662" s="213"/>
      <c r="T662" s="213" t="str">
        <f>IFERROR(__xludf.DUMMYFUNCTION("""COMPUTED_VALUE"""),"SI")</f>
        <v>SI</v>
      </c>
      <c r="U662" s="213" t="str">
        <f>IFERROR(__xludf.DUMMYFUNCTION("""COMPUTED_VALUE"""),"SI")</f>
        <v>SI</v>
      </c>
      <c r="V662" s="213" t="str">
        <f>IFERROR(__xludf.DUMMYFUNCTION("""COMPUTED_VALUE"""),"-")</f>
        <v>-</v>
      </c>
      <c r="W662" s="213" t="str">
        <f>IFERROR(__xludf.DUMMYFUNCTION("""COMPUTED_VALUE"""),"-")</f>
        <v>-</v>
      </c>
      <c r="X662" s="213" t="str">
        <f>IFERROR(__xludf.DUMMYFUNCTION("""COMPUTED_VALUE"""),"LINOX")</f>
        <v>LINOX</v>
      </c>
      <c r="Y662" s="213" t="str">
        <f>IFERROR(__xludf.DUMMYFUNCTION("""COMPUTED_VALUE"""),"Lavadero industrial de 1 poza")</f>
        <v>Lavadero industrial de 1 poza</v>
      </c>
      <c r="Z662" s="213"/>
      <c r="AA662" s="215" t="str">
        <f>IFERROR(__xludf.DUMMYFUNCTION("""COMPUTED_VALUE"""),"https://docs.google.com/spreadsheets/d/13dbRSxDHK8jEfrKgxArWgPZ6EP6Eik0XF3jxrzprYTY/edit?gid=0#gid=0")</f>
        <v>https://docs.google.com/spreadsheets/d/13dbRSxDHK8jEfrKgxArWgPZ6EP6Eik0XF3jxrzprYTY/edit?gid=0#gid=0</v>
      </c>
      <c r="AB662" s="213"/>
      <c r="AC662" s="215" t="str">
        <f>IFERROR(__xludf.DUMMYFUNCTION("""COMPUTED_VALUE"""),"https://linoxperu.com/producto/lavadero-de-1-poza/")</f>
        <v>https://linoxperu.com/producto/lavadero-de-1-poza/</v>
      </c>
      <c r="AD662" s="213"/>
      <c r="AE662" s="213"/>
      <c r="AF662" s="213"/>
      <c r="AG662" s="213"/>
      <c r="AH662" s="213" t="str">
        <f>IFERROR(__xludf.DUMMYFUNCTION("""COMPUTED_VALUE"""),"NACIONAL")</f>
        <v>NACIONAL</v>
      </c>
      <c r="AI662" s="213"/>
      <c r="AJ662" s="213"/>
      <c r="AK662" s="213"/>
      <c r="AL662" s="213"/>
      <c r="AM662" s="213"/>
      <c r="AN662" s="213"/>
      <c r="AO662" s="213"/>
      <c r="AP662" s="213" t="str">
        <f>IFERROR(__xludf.DUMMYFUNCTION("""COMPUTED_VALUE"""),"SEBASTIAN")</f>
        <v>SEBASTIAN</v>
      </c>
      <c r="AQ662" s="213"/>
      <c r="AR662" s="213"/>
      <c r="AS662" s="213" t="str">
        <f>IFERROR(__xludf.DUMMYFUNCTION("""COMPUTED_VALUE"""),"Fabricación hecha a medida")</f>
        <v>Fabricación hecha a medida</v>
      </c>
      <c r="AT662" s="213"/>
      <c r="AU662" s="213"/>
      <c r="AV662" s="213"/>
      <c r="AW662" s="213"/>
      <c r="AX662" s="213"/>
      <c r="AY662" s="213"/>
      <c r="AZ662" s="213"/>
      <c r="BA662" s="213"/>
      <c r="BB662" s="213"/>
      <c r="BC662" s="213"/>
      <c r="BD662" s="213"/>
    </row>
    <row r="663">
      <c r="A663" s="213">
        <f>IFERROR(__xludf.DUMMYFUNCTION("""COMPUTED_VALUE"""),1059.0)</f>
        <v>1059</v>
      </c>
      <c r="B663" s="213" t="str">
        <f>IFERROR(__xludf.DUMMYFUNCTION("""COMPUTED_VALUE"""),"FRANCISCO IRAZOLA")</f>
        <v>FRANCISCO IRAZOLA</v>
      </c>
      <c r="C663" s="213" t="str">
        <f>IFERROR(__xludf.DUMMYFUNCTION("""COMPUTED_VALUE"""),"TALLER SFT DE INDUSTRIA ALIMENTARIA")</f>
        <v>TALLER SFT DE INDUSTRIA ALIMENTARIA</v>
      </c>
      <c r="D663" s="213" t="str">
        <f>IFERROR(__xludf.DUMMYFUNCTION("""COMPUTED_VALUE"""),"MOBILIARIO")</f>
        <v>MOBILIARIO</v>
      </c>
      <c r="E663" s="213" t="str">
        <f>IFERROR(__xludf.DUMMYFUNCTION("""COMPUTED_VALUE"""),"COM-261")</f>
        <v>COM-261</v>
      </c>
      <c r="F663" s="213" t="str">
        <f>IFERROR(__xludf.DUMMYFUNCTION("""COMPUTED_VALUE"""),"COM-261")</f>
        <v>COM-261</v>
      </c>
      <c r="G663" s="213"/>
      <c r="H663" s="213" t="str">
        <f>IFERROR(__xludf.DUMMYFUNCTION("""COMPUTED_VALUE"""),"POZA DE LAVADO Y DESINFECCIÓN")</f>
        <v>POZA DE LAVADO Y DESINFECCIÓN</v>
      </c>
      <c r="I663" s="213" t="str">
        <f>IFERROR(__xludf.DUMMYFUNCTION("""COMPUTED_VALUE"""),"· Fabricado en acero inoxidable AISI 304.
· Uniones fijas por soldadura TIG, con fino acabado
· Tablero superior de 1/16 de espesor con bordes antirrebose redondeado.
· Patas tubulares fijas Ø1 1/2 AISI 304L con regatones regulables.
· Amarre tubular de Ø"&amp;"1 AISI 304L.
· Respaldar sanitario de 200mm de altura
· Medidas mínimas L80 cm x A60 cm x H90 cm")</f>
        <v>· Fabricado en acero inoxidable AISI 304.
· Uniones fijas por soldadura TIG, con fino acabado
· Tablero superior de 1/16 de espesor con bordes antirrebose redondeado.
· Patas tubulares fijas Ø1 1/2 AISI 304L con regatones regulables.
· Amarre tubular de Ø1 AISI 304L.
· Respaldar sanitario de 200mm de altura
· Medidas mínimas L80 cm x A60 cm x H90 cm</v>
      </c>
      <c r="J663" s="213">
        <f>IFERROR(__xludf.DUMMYFUNCTION("""COMPUTED_VALUE"""),3.0)</f>
        <v>3</v>
      </c>
      <c r="K663" s="213" t="str">
        <f>IFERROR(__xludf.DUMMYFUNCTION("""COMPUTED_VALUE"""),"90 DÍAS CALENDARIO")</f>
        <v>90 DÍAS CALENDARIO</v>
      </c>
      <c r="L663" s="213" t="str">
        <f>IFERROR(__xludf.DUMMYFUNCTION("""COMPUTED_VALUE"""),"")</f>
        <v/>
      </c>
      <c r="M663" s="213">
        <f>IFERROR(__xludf.DUMMYFUNCTION("""COMPUTED_VALUE"""),1.0)</f>
        <v>1</v>
      </c>
      <c r="N663" s="213">
        <f>IFERROR(__xludf.DUMMYFUNCTION("""COMPUTED_VALUE"""),1.0)</f>
        <v>1</v>
      </c>
      <c r="O663" s="213">
        <f>IFERROR(__xludf.DUMMYFUNCTION("""COMPUTED_VALUE"""),1.0)</f>
        <v>1</v>
      </c>
      <c r="P663" s="213"/>
      <c r="Q663" s="213"/>
      <c r="R663" s="213" t="str">
        <f>IFERROR(__xludf.DUMMYFUNCTION("""COMPUTED_VALUE"""),"NO")</f>
        <v>NO</v>
      </c>
      <c r="S663" s="213"/>
      <c r="T663" s="213" t="str">
        <f>IFERROR(__xludf.DUMMYFUNCTION("""COMPUTED_VALUE"""),"SI")</f>
        <v>SI</v>
      </c>
      <c r="U663" s="213" t="str">
        <f>IFERROR(__xludf.DUMMYFUNCTION("""COMPUTED_VALUE"""),"SI")</f>
        <v>SI</v>
      </c>
      <c r="V663" s="213" t="str">
        <f>IFERROR(__xludf.DUMMYFUNCTION("""COMPUTED_VALUE"""),"-")</f>
        <v>-</v>
      </c>
      <c r="W663" s="213" t="str">
        <f>IFERROR(__xludf.DUMMYFUNCTION("""COMPUTED_VALUE"""),"-")</f>
        <v>-</v>
      </c>
      <c r="X663" s="213" t="str">
        <f>IFERROR(__xludf.DUMMYFUNCTION("""COMPUTED_VALUE"""),"LINOX")</f>
        <v>LINOX</v>
      </c>
      <c r="Y663" s="213" t="str">
        <f>IFERROR(__xludf.DUMMYFUNCTION("""COMPUTED_VALUE"""),"Lavadero industrial de 1 poza")</f>
        <v>Lavadero industrial de 1 poza</v>
      </c>
      <c r="Z663" s="215" t="str">
        <f>IFERROR(__xludf.DUMMYFUNCTION("""COMPUTED_VALUE"""),"https://linoxperu.com/producto/lavadero-de-1-poza/")</f>
        <v>https://linoxperu.com/producto/lavadero-de-1-poza/</v>
      </c>
      <c r="AA663" s="215" t="str">
        <f>IFERROR(__xludf.DUMMYFUNCTION("""COMPUTED_VALUE"""),"https://docs.google.com/spreadsheets/d/13dbRSxDHK8jEfrKgxArWgPZ6EP6Eik0XF3jxrzprYTY/edit?gid=0#gid=0")</f>
        <v>https://docs.google.com/spreadsheets/d/13dbRSxDHK8jEfrKgxArWgPZ6EP6Eik0XF3jxrzprYTY/edit?gid=0#gid=0</v>
      </c>
      <c r="AB663" s="213"/>
      <c r="AC663" s="215" t="str">
        <f>IFERROR(__xludf.DUMMYFUNCTION("""COMPUTED_VALUE"""),"https://linoxperu.com/producto/lavadero-de-1-poza/")</f>
        <v>https://linoxperu.com/producto/lavadero-de-1-poza/</v>
      </c>
      <c r="AD663" s="213"/>
      <c r="AE663" s="213"/>
      <c r="AF663" s="213"/>
      <c r="AG663" s="213"/>
      <c r="AH663" s="213" t="str">
        <f>IFERROR(__xludf.DUMMYFUNCTION("""COMPUTED_VALUE"""),"NACIONAL")</f>
        <v>NACIONAL</v>
      </c>
      <c r="AI663" s="213"/>
      <c r="AJ663" s="213"/>
      <c r="AK663" s="213"/>
      <c r="AL663" s="213"/>
      <c r="AM663" s="213"/>
      <c r="AN663" s="213"/>
      <c r="AO663" s="213"/>
      <c r="AP663" s="213" t="str">
        <f>IFERROR(__xludf.DUMMYFUNCTION("""COMPUTED_VALUE"""),"SEBASTIAN")</f>
        <v>SEBASTIAN</v>
      </c>
      <c r="AQ663" s="213"/>
      <c r="AR663" s="213"/>
      <c r="AS663" s="213" t="str">
        <f>IFERROR(__xludf.DUMMYFUNCTION("""COMPUTED_VALUE"""),"Fabricación hecha a medida")</f>
        <v>Fabricación hecha a medida</v>
      </c>
      <c r="AT663" s="213"/>
      <c r="AU663" s="213"/>
      <c r="AV663" s="213"/>
      <c r="AW663" s="213"/>
      <c r="AX663" s="213"/>
      <c r="AY663" s="213"/>
      <c r="AZ663" s="213"/>
      <c r="BA663" s="213"/>
      <c r="BB663" s="213"/>
      <c r="BC663" s="213"/>
      <c r="BD663" s="213"/>
    </row>
    <row r="664">
      <c r="A664" s="213">
        <f>IFERROR(__xludf.DUMMYFUNCTION("""COMPUTED_VALUE"""),2018.0)</f>
        <v>2018</v>
      </c>
      <c r="B664" s="213" t="str">
        <f>IFERROR(__xludf.DUMMYFUNCTION("""COMPUTED_VALUE"""),"JOSE GRANDA")</f>
        <v>JOSE GRANDA</v>
      </c>
      <c r="C664" s="213" t="str">
        <f>IFERROR(__xludf.DUMMYFUNCTION("""COMPUTED_VALUE"""),"TALLER SFT DE INDUSTRIA ALIMENTARIA")</f>
        <v>TALLER SFT DE INDUSTRIA ALIMENTARIA</v>
      </c>
      <c r="D664" s="213" t="str">
        <f>IFERROR(__xludf.DUMMYFUNCTION("""COMPUTED_VALUE"""),"MOBILIARIO")</f>
        <v>MOBILIARIO</v>
      </c>
      <c r="E664" s="213" t="str">
        <f>IFERROR(__xludf.DUMMYFUNCTION("""COMPUTED_VALUE"""),"COM-261")</f>
        <v>COM-261</v>
      </c>
      <c r="F664" s="213" t="str">
        <f>IFERROR(__xludf.DUMMYFUNCTION("""COMPUTED_VALUE"""),"COM-261")</f>
        <v>COM-261</v>
      </c>
      <c r="G664" s="213"/>
      <c r="H664" s="213" t="str">
        <f>IFERROR(__xludf.DUMMYFUNCTION("""COMPUTED_VALUE"""),"POZA DE LAVADO Y DESINFECCIÓN")</f>
        <v>POZA DE LAVADO Y DESINFECCIÓN</v>
      </c>
      <c r="I664" s="213" t="str">
        <f>IFERROR(__xludf.DUMMYFUNCTION("""COMPUTED_VALUE"""),"· Fabricado en acero inoxidable AISI 304.
· Uniones fijas por soldadura TIG, con fino acabado
· Tablero superior de 1/16 de espesor con bordes antirrebose redondeado.
· Patas tubulares fijas Ø1 1/2 AISI 304L con regatones regulables.
· Amarre tubular de Ø"&amp;"1 AISI 304L.
· Respaldar sanitario de 200mm de altura
· Medidas mínimas L80 cm x A60 cm x H90 cm")</f>
        <v>· Fabricado en acero inoxidable AISI 304.
· Uniones fijas por soldadura TIG, con fino acabado
· Tablero superior de 1/16 de espesor con bordes antirrebose redondeado.
· Patas tubulares fijas Ø1 1/2 AISI 304L con regatones regulables.
· Amarre tubular de Ø1 AISI 304L.
· Respaldar sanitario de 200mm de altura
· Medidas mínimas L80 cm x A60 cm x H90 cm</v>
      </c>
      <c r="J664" s="213">
        <f>IFERROR(__xludf.DUMMYFUNCTION("""COMPUTED_VALUE"""),3.0)</f>
        <v>3</v>
      </c>
      <c r="K664" s="213" t="str">
        <f>IFERROR(__xludf.DUMMYFUNCTION("""COMPUTED_VALUE"""),"90 DÍAS CALENDARIO")</f>
        <v>90 DÍAS CALENDARIO</v>
      </c>
      <c r="L664" s="213" t="str">
        <f>IFERROR(__xludf.DUMMYFUNCTION("""COMPUTED_VALUE"""),"")</f>
        <v/>
      </c>
      <c r="M664" s="213">
        <f>IFERROR(__xludf.DUMMYFUNCTION("""COMPUTED_VALUE"""),1.0)</f>
        <v>1</v>
      </c>
      <c r="N664" s="213">
        <f>IFERROR(__xludf.DUMMYFUNCTION("""COMPUTED_VALUE"""),1.0)</f>
        <v>1</v>
      </c>
      <c r="O664" s="213">
        <f>IFERROR(__xludf.DUMMYFUNCTION("""COMPUTED_VALUE"""),1.0)</f>
        <v>1</v>
      </c>
      <c r="P664" s="213"/>
      <c r="Q664" s="213"/>
      <c r="R664" s="213" t="str">
        <f>IFERROR(__xludf.DUMMYFUNCTION("""COMPUTED_VALUE"""),"NO")</f>
        <v>NO</v>
      </c>
      <c r="S664" s="213"/>
      <c r="T664" s="213" t="str">
        <f>IFERROR(__xludf.DUMMYFUNCTION("""COMPUTED_VALUE"""),"SI")</f>
        <v>SI</v>
      </c>
      <c r="U664" s="213" t="str">
        <f>IFERROR(__xludf.DUMMYFUNCTION("""COMPUTED_VALUE"""),"SI")</f>
        <v>SI</v>
      </c>
      <c r="V664" s="213" t="str">
        <f>IFERROR(__xludf.DUMMYFUNCTION("""COMPUTED_VALUE"""),"-")</f>
        <v>-</v>
      </c>
      <c r="W664" s="213" t="str">
        <f>IFERROR(__xludf.DUMMYFUNCTION("""COMPUTED_VALUE"""),"-")</f>
        <v>-</v>
      </c>
      <c r="X664" s="213" t="str">
        <f>IFERROR(__xludf.DUMMYFUNCTION("""COMPUTED_VALUE"""),"LINOX")</f>
        <v>LINOX</v>
      </c>
      <c r="Y664" s="213" t="str">
        <f>IFERROR(__xludf.DUMMYFUNCTION("""COMPUTED_VALUE"""),"Lavadero industrial de 1 poza")</f>
        <v>Lavadero industrial de 1 poza</v>
      </c>
      <c r="Z664" s="215" t="str">
        <f>IFERROR(__xludf.DUMMYFUNCTION("""COMPUTED_VALUE"""),"https://linoxperu.com/producto/lavadero-de-1-poza/")</f>
        <v>https://linoxperu.com/producto/lavadero-de-1-poza/</v>
      </c>
      <c r="AA664" s="215" t="str">
        <f>IFERROR(__xludf.DUMMYFUNCTION("""COMPUTED_VALUE"""),"https://docs.google.com/spreadsheets/d/13dbRSxDHK8jEfrKgxArWgPZ6EP6Eik0XF3jxrzprYTY/edit?gid=0#gid=0")</f>
        <v>https://docs.google.com/spreadsheets/d/13dbRSxDHK8jEfrKgxArWgPZ6EP6Eik0XF3jxrzprYTY/edit?gid=0#gid=0</v>
      </c>
      <c r="AB664" s="213"/>
      <c r="AC664" s="215" t="str">
        <f>IFERROR(__xludf.DUMMYFUNCTION("""COMPUTED_VALUE"""),"https://linoxperu.com/producto/lavadero-de-1-poza/")</f>
        <v>https://linoxperu.com/producto/lavadero-de-1-poza/</v>
      </c>
      <c r="AD664" s="213"/>
      <c r="AE664" s="213"/>
      <c r="AF664" s="213"/>
      <c r="AG664" s="213"/>
      <c r="AH664" s="213" t="str">
        <f>IFERROR(__xludf.DUMMYFUNCTION("""COMPUTED_VALUE"""),"NACIONAL")</f>
        <v>NACIONAL</v>
      </c>
      <c r="AI664" s="213"/>
      <c r="AJ664" s="213"/>
      <c r="AK664" s="213"/>
      <c r="AL664" s="213"/>
      <c r="AM664" s="213"/>
      <c r="AN664" s="213"/>
      <c r="AO664" s="213"/>
      <c r="AP664" s="213" t="str">
        <f>IFERROR(__xludf.DUMMYFUNCTION("""COMPUTED_VALUE"""),"SEBASTIAN")</f>
        <v>SEBASTIAN</v>
      </c>
      <c r="AQ664" s="213"/>
      <c r="AR664" s="213"/>
      <c r="AS664" s="213" t="str">
        <f>IFERROR(__xludf.DUMMYFUNCTION("""COMPUTED_VALUE"""),"Fabricación hecha a medida")</f>
        <v>Fabricación hecha a medida</v>
      </c>
      <c r="AT664" s="213"/>
      <c r="AU664" s="213"/>
      <c r="AV664" s="213"/>
      <c r="AW664" s="213"/>
      <c r="AX664" s="213"/>
      <c r="AY664" s="213"/>
      <c r="AZ664" s="213"/>
      <c r="BA664" s="213"/>
      <c r="BB664" s="213"/>
      <c r="BC664" s="213"/>
      <c r="BD664" s="213"/>
    </row>
    <row r="665">
      <c r="A665" s="213">
        <f>IFERROR(__xludf.DUMMYFUNCTION("""COMPUTED_VALUE"""),366.0)</f>
        <v>366</v>
      </c>
      <c r="B665" s="213" t="str">
        <f>IFERROR(__xludf.DUMMYFUNCTION("""COMPUTED_VALUE"""),"2026 SIMON BOLIVAR")</f>
        <v>2026 SIMON BOLIVAR</v>
      </c>
      <c r="C665" s="213" t="str">
        <f>IFERROR(__xludf.DUMMYFUNCTION("""COMPUTED_VALUE"""),"TALLER SFT DE ELECTRICIDAD")</f>
        <v>TALLER SFT DE ELECTRICIDAD</v>
      </c>
      <c r="D665" s="213" t="str">
        <f>IFERROR(__xludf.DUMMYFUNCTION("""COMPUTED_VALUE"""),"EQUIPOS")</f>
        <v>EQUIPOS</v>
      </c>
      <c r="E665" s="213" t="str">
        <f>IFERROR(__xludf.DUMMYFUNCTION("""COMPUTED_VALUE"""),"ESP-164")</f>
        <v>ESP-164</v>
      </c>
      <c r="F665" s="213" t="str">
        <f>IFERROR(__xludf.DUMMYFUNCTION("""COMPUTED_VALUE"""),"ESP-164")</f>
        <v>ESP-164</v>
      </c>
      <c r="G665" s="213"/>
      <c r="H665" s="213" t="str">
        <f>IFERROR(__xludf.DUMMYFUNCTION("""COMPUTED_VALUE"""),"ESTACIÓN MÓVIL PARA ENTRENAMIENTO DE INSTALACIONES ELÉCTRICAS DOMICILIARIAS")</f>
        <v>ESTACIÓN MÓVIL PARA ENTRENAMIENTO DE INSTALACIONES ELÉCTRICAS DOMICILIARIAS</v>
      </c>
      <c r="I665" s="213" t="str">
        <f>IFERROR(__xludf.DUMMYFUNCTION("""COMPUTED_VALUE"""),"· Características Técnicas de la estación:
- Banco móvil de entrenamiento de instalaciones eléctricas.
- Panel en plancha metálica perforada, con agujeros, reforzada con marco metálico.
- Entre los soportes tiene un cajón para colocar herramientas manuale"&amp;"s.
- Con 4 ruedas giratorias, lo que permite ser móvil.
- Dimensiones aproximadas (+- 5cm) del equipo: 950 x 420 x 1600 mm
- Dimensiones del área de trabajo mínimo de: 950 x 950 mm
· Componentes y accesorios principales mínimos para instalaciones:
- 02 ll"&amp;"aves generales trifásicas
- 01 medidor de consumo eléctrico
- 03 llaves termomagnéticas monofásica
- 02 llaves diferenciales
- 01 timbre
- 01 pulsador de timbre
- 04 interruptores (1 simple, 1 doble y 2 conmutadores)
- 01 tubo fluorescente lineal de 13 W,"&amp;" todo con sus componentes instalados
- 04 soquetes
- 01 regulador de luz
- 04 tomacorrientes doble
- Incluye accesorios, tal como: tubos de PVC y cables.")</f>
        <v>· Características Técnicas de la estación:
- Banco móvil de entrenamiento de instalaciones eléctricas.
- Panel en plancha metálica perforada, con agujeros, reforzada con marco metálico.
- Entre los soportes tiene un cajón para colocar herramientas manuales.
- Con 4 ruedas giratorias, lo que permite ser móvil.
- Dimensiones aproximadas (+- 5cm) del equipo: 950 x 420 x 1600 mm
- Dimensiones del área de trabajo mínimo de: 950 x 950 mm
· Componentes y accesorios principales mínimos para instalaciones:
- 02 llaves generales trifásicas
- 01 medidor de consumo eléctrico
- 03 llaves termomagnéticas monofásica
- 02 llaves diferenciales
- 01 timbre
- 01 pulsador de timbre
- 04 interruptores (1 simple, 1 doble y 2 conmutadores)
- 01 tubo fluorescente lineal de 13 W, todo con sus componentes instalados
- 04 soquetes
- 01 regulador de luz
- 04 tomacorrientes doble
- Incluye accesorios, tal como: tubos de PVC y cables.</v>
      </c>
      <c r="J665" s="213">
        <f>IFERROR(__xludf.DUMMYFUNCTION("""COMPUTED_VALUE"""),3.0)</f>
        <v>3</v>
      </c>
      <c r="K665" s="213" t="str">
        <f>IFERROR(__xludf.DUMMYFUNCTION("""COMPUTED_VALUE"""),"170 DÍAS CALENDARIO")</f>
        <v>170 DÍAS CALENDARIO</v>
      </c>
      <c r="L665" s="213" t="str">
        <f>IFERROR(__xludf.DUMMYFUNCTION("""COMPUTED_VALUE"""),"")</f>
        <v/>
      </c>
      <c r="M665" s="213">
        <f>IFERROR(__xludf.DUMMYFUNCTION("""COMPUTED_VALUE"""),1.0)</f>
        <v>1</v>
      </c>
      <c r="N665" s="213">
        <f>IFERROR(__xludf.DUMMYFUNCTION("""COMPUTED_VALUE"""),4.0)</f>
        <v>4</v>
      </c>
      <c r="O665" s="213">
        <f>IFERROR(__xludf.DUMMYFUNCTION("""COMPUTED_VALUE"""),4.0)</f>
        <v>4</v>
      </c>
      <c r="P665" s="213"/>
      <c r="Q665" s="213"/>
      <c r="R665" s="213"/>
      <c r="S665" s="213" t="str">
        <f>IFERROR(__xludf.DUMMYFUNCTION("""COMPUTED_VALUE"""),"SI")</f>
        <v>SI</v>
      </c>
      <c r="T665" s="213" t="str">
        <f>IFERROR(__xludf.DUMMYFUNCTION("""COMPUTED_VALUE"""),"SI")</f>
        <v>SI</v>
      </c>
      <c r="U665" s="213" t="str">
        <f>IFERROR(__xludf.DUMMYFUNCTION("""COMPUTED_VALUE"""),"SI")</f>
        <v>SI</v>
      </c>
      <c r="V665" s="213" t="str">
        <f>IFERROR(__xludf.DUMMYFUNCTION("""COMPUTED_VALUE"""),"-")</f>
        <v>-</v>
      </c>
      <c r="W665" s="213" t="str">
        <f>IFERROR(__xludf.DUMMYFUNCTION("""COMPUTED_VALUE"""),"-")</f>
        <v>-</v>
      </c>
      <c r="X665" s="213" t="str">
        <f>IFERROR(__xludf.DUMMYFUNCTION("""COMPUTED_VALUE"""),"ssedumachine")</f>
        <v>ssedumachine</v>
      </c>
      <c r="Y665" s="213" t="str">
        <f>IFERROR(__xludf.DUMMYFUNCTION("""COMPUTED_VALUE"""),"TB-230320-V-003")</f>
        <v>TB-230320-V-003</v>
      </c>
      <c r="Z665" s="215" t="str">
        <f>IFERROR(__xludf.DUMMYFUNCTION("""COMPUTED_VALUE"""),"https://www.ssedumachine.com/product/tb-230320-v-003-mobile-station-for-training-of-home-electrical-installations-teaching-equipment-electrical-laboratory-equipment/")</f>
        <v>https://www.ssedumachine.com/product/tb-230320-v-003-mobile-station-for-training-of-home-electrical-installations-teaching-equipment-electrical-laboratory-equipment/</v>
      </c>
      <c r="AA665" s="213" t="str">
        <f>IFERROR(__xludf.DUMMYFUNCTION("""COMPUTED_VALUE"""),"ESP-164 ESTACIÓN MÓVIL PARA ENTRENAMIENTO DE INSTALACIONES ELÉCTRICA - CET")</f>
        <v>ESP-164 ESTACIÓN MÓVIL PARA ENTRENAMIENTO DE INSTALACIONES ELÉCTRICA - CET</v>
      </c>
      <c r="AB665" s="215" t="str">
        <f>IFERROR(__xludf.DUMMYFUNCTION("""COMPUTED_VALUE"""),"https://drive.google.com/file/d/1MLxXLiTgYrG324WfZgm9Vj4npypedtEu/view")</f>
        <v>https://drive.google.com/file/d/1MLxXLiTgYrG324WfZgm9Vj4npypedtEu/view</v>
      </c>
      <c r="AC665" s="213"/>
      <c r="AD665" s="213"/>
      <c r="AE665" s="213"/>
      <c r="AF665" s="213"/>
      <c r="AG665" s="213"/>
      <c r="AH665" s="213"/>
      <c r="AI665" s="213"/>
      <c r="AJ665" s="213"/>
      <c r="AK665" s="213"/>
      <c r="AL665" s="213"/>
      <c r="AM665" s="213"/>
      <c r="AN665" s="213"/>
      <c r="AO665" s="213"/>
      <c r="AP665" s="213" t="str">
        <f>IFERROR(__xludf.DUMMYFUNCTION("""COMPUTED_VALUE"""),"BRUNO")</f>
        <v>BRUNO</v>
      </c>
      <c r="AQ665" s="213"/>
      <c r="AR665" s="213"/>
      <c r="AS665" s="213"/>
      <c r="AT665" s="213"/>
      <c r="AU665" s="213"/>
      <c r="AV665" s="213"/>
      <c r="AW665" s="213"/>
      <c r="AX665" s="213"/>
      <c r="AY665" s="213"/>
      <c r="AZ665" s="213"/>
      <c r="BA665" s="213"/>
      <c r="BB665" s="213"/>
      <c r="BC665" s="213"/>
      <c r="BD665" s="213"/>
    </row>
    <row r="666">
      <c r="A666" s="213">
        <f>IFERROR(__xludf.DUMMYFUNCTION("""COMPUTED_VALUE"""),852.0)</f>
        <v>852</v>
      </c>
      <c r="B666" s="213" t="str">
        <f>IFERROR(__xludf.DUMMYFUNCTION("""COMPUTED_VALUE"""),"6049 RICARDO PALMA")</f>
        <v>6049 RICARDO PALMA</v>
      </c>
      <c r="C666" s="213" t="str">
        <f>IFERROR(__xludf.DUMMYFUNCTION("""COMPUTED_VALUE"""),"TALLER SFT DE ELECTRICIDAD")</f>
        <v>TALLER SFT DE ELECTRICIDAD</v>
      </c>
      <c r="D666" s="213" t="str">
        <f>IFERROR(__xludf.DUMMYFUNCTION("""COMPUTED_VALUE"""),"EQUIPOS")</f>
        <v>EQUIPOS</v>
      </c>
      <c r="E666" s="213" t="str">
        <f>IFERROR(__xludf.DUMMYFUNCTION("""COMPUTED_VALUE"""),"ESP-164")</f>
        <v>ESP-164</v>
      </c>
      <c r="F666" s="213" t="str">
        <f>IFERROR(__xludf.DUMMYFUNCTION("""COMPUTED_VALUE"""),"ESP-164")</f>
        <v>ESP-164</v>
      </c>
      <c r="G666" s="213"/>
      <c r="H666" s="213" t="str">
        <f>IFERROR(__xludf.DUMMYFUNCTION("""COMPUTED_VALUE"""),"ESTACIÓN MÓVIL PARA ENTRENAMIENTO DE INSTALACIONES ELÉCTRICAS DOMICILIARIAS")</f>
        <v>ESTACIÓN MÓVIL PARA ENTRENAMIENTO DE INSTALACIONES ELÉCTRICAS DOMICILIARIAS</v>
      </c>
      <c r="I666" s="213" t="str">
        <f>IFERROR(__xludf.DUMMYFUNCTION("""COMPUTED_VALUE"""),"· Características Técnicas de la estación:
- Banco móvil de entrenamiento de instalaciones eléctricas.
- Panel en plancha metálica perforada, con agujeros, reforzada con marco metálico.
- Entre los soportes tiene un cajón para colocar herramientas manuale"&amp;"s.
- Con 4 ruedas giratorias, lo que permite ser móvil.
- Dimensiones aproximadas (+- 5cm) del equipo: 950 x 420 x 1600 mm
- Dimensiones del área de trabajo mínimo de: 950 x 950 mm
· Componentes y accesorios principales mínimos para instalaciones:
- 02 ll"&amp;"aves generales trifásicas
- 01 medidor de consumo eléctrico
- 03 llaves termomagnéticas monofásica
- 02 llaves diferenciales
- 01 timbre
- 01 pulsador de timbre
- 04 interruptores (1 simple, 1 doble y 2 conmutadores)
- 01 tubo fluorescente lineal de 13 W,"&amp;" todo con sus componentes instalados
- 04 soquetes
- 01 regulador de luz
- 04 tomacorrientes doble
- Incluye accesorios, tal como: tubos de PVC y cables.")</f>
        <v>· Características Técnicas de la estación:
- Banco móvil de entrenamiento de instalaciones eléctricas.
- Panel en plancha metálica perforada, con agujeros, reforzada con marco metálico.
- Entre los soportes tiene un cajón para colocar herramientas manuales.
- Con 4 ruedas giratorias, lo que permite ser móvil.
- Dimensiones aproximadas (+- 5cm) del equipo: 950 x 420 x 1600 mm
- Dimensiones del área de trabajo mínimo de: 950 x 950 mm
· Componentes y accesorios principales mínimos para instalaciones:
- 02 llaves generales trifásicas
- 01 medidor de consumo eléctrico
- 03 llaves termomagnéticas monofásica
- 02 llaves diferenciales
- 01 timbre
- 01 pulsador de timbre
- 04 interruptores (1 simple, 1 doble y 2 conmutadores)
- 01 tubo fluorescente lineal de 13 W, todo con sus componentes instalados
- 04 soquetes
- 01 regulador de luz
- 04 tomacorrientes doble
- Incluye accesorios, tal como: tubos de PVC y cables.</v>
      </c>
      <c r="J666" s="213">
        <f>IFERROR(__xludf.DUMMYFUNCTION("""COMPUTED_VALUE"""),3.0)</f>
        <v>3</v>
      </c>
      <c r="K666" s="213" t="str">
        <f>IFERROR(__xludf.DUMMYFUNCTION("""COMPUTED_VALUE"""),"170 DÍAS CALENDARIO")</f>
        <v>170 DÍAS CALENDARIO</v>
      </c>
      <c r="L666" s="213" t="str">
        <f>IFERROR(__xludf.DUMMYFUNCTION("""COMPUTED_VALUE"""),"")</f>
        <v/>
      </c>
      <c r="M666" s="213">
        <f>IFERROR(__xludf.DUMMYFUNCTION("""COMPUTED_VALUE"""),1.0)</f>
        <v>1</v>
      </c>
      <c r="N666" s="213">
        <f>IFERROR(__xludf.DUMMYFUNCTION("""COMPUTED_VALUE"""),4.0)</f>
        <v>4</v>
      </c>
      <c r="O666" s="213">
        <f>IFERROR(__xludf.DUMMYFUNCTION("""COMPUTED_VALUE"""),4.0)</f>
        <v>4</v>
      </c>
      <c r="P666" s="213"/>
      <c r="Q666" s="213"/>
      <c r="R666" s="213"/>
      <c r="S666" s="213" t="str">
        <f>IFERROR(__xludf.DUMMYFUNCTION("""COMPUTED_VALUE"""),"SI")</f>
        <v>SI</v>
      </c>
      <c r="T666" s="213" t="str">
        <f>IFERROR(__xludf.DUMMYFUNCTION("""COMPUTED_VALUE"""),"SI")</f>
        <v>SI</v>
      </c>
      <c r="U666" s="213" t="str">
        <f>IFERROR(__xludf.DUMMYFUNCTION("""COMPUTED_VALUE"""),"SI")</f>
        <v>SI</v>
      </c>
      <c r="V666" s="213" t="str">
        <f>IFERROR(__xludf.DUMMYFUNCTION("""COMPUTED_VALUE"""),"-")</f>
        <v>-</v>
      </c>
      <c r="W666" s="213" t="str">
        <f>IFERROR(__xludf.DUMMYFUNCTION("""COMPUTED_VALUE"""),"-")</f>
        <v>-</v>
      </c>
      <c r="X666" s="213" t="str">
        <f>IFERROR(__xludf.DUMMYFUNCTION("""COMPUTED_VALUE"""),"ssedumachine")</f>
        <v>ssedumachine</v>
      </c>
      <c r="Y666" s="213" t="str">
        <f>IFERROR(__xludf.DUMMYFUNCTION("""COMPUTED_VALUE"""),"TB-230320-V-003")</f>
        <v>TB-230320-V-003</v>
      </c>
      <c r="Z666" s="215" t="str">
        <f>IFERROR(__xludf.DUMMYFUNCTION("""COMPUTED_VALUE"""),"https://www.ssedumachine.com/product/tb-230320-v-003-mobile-station-for-training-of-home-electrical-installations-teaching-equipment-electrical-laboratory-equipment/")</f>
        <v>https://www.ssedumachine.com/product/tb-230320-v-003-mobile-station-for-training-of-home-electrical-installations-teaching-equipment-electrical-laboratory-equipment/</v>
      </c>
      <c r="AA666" s="213" t="str">
        <f>IFERROR(__xludf.DUMMYFUNCTION("""COMPUTED_VALUE"""),"ESP-164 ESTACIÓN MÓVIL PARA ENTRENAMIENTO DE INSTALACIONES ELÉCTRICA - CET")</f>
        <v>ESP-164 ESTACIÓN MÓVIL PARA ENTRENAMIENTO DE INSTALACIONES ELÉCTRICA - CET</v>
      </c>
      <c r="AB666" s="215" t="str">
        <f>IFERROR(__xludf.DUMMYFUNCTION("""COMPUTED_VALUE"""),"https://drive.google.com/file/d/1MLxXLiTgYrG324WfZgm9Vj4npypedtEu/view")</f>
        <v>https://drive.google.com/file/d/1MLxXLiTgYrG324WfZgm9Vj4npypedtEu/view</v>
      </c>
      <c r="AC666" s="213"/>
      <c r="AD666" s="213"/>
      <c r="AE666" s="213"/>
      <c r="AF666" s="213"/>
      <c r="AG666" s="213"/>
      <c r="AH666" s="213"/>
      <c r="AI666" s="213"/>
      <c r="AJ666" s="213"/>
      <c r="AK666" s="213"/>
      <c r="AL666" s="213"/>
      <c r="AM666" s="213"/>
      <c r="AN666" s="213"/>
      <c r="AO666" s="213"/>
      <c r="AP666" s="213" t="str">
        <f>IFERROR(__xludf.DUMMYFUNCTION("""COMPUTED_VALUE"""),"BRUNO")</f>
        <v>BRUNO</v>
      </c>
      <c r="AQ666" s="213"/>
      <c r="AR666" s="213"/>
      <c r="AS666" s="213"/>
      <c r="AT666" s="213"/>
      <c r="AU666" s="213"/>
      <c r="AV666" s="213"/>
      <c r="AW666" s="213"/>
      <c r="AX666" s="213"/>
      <c r="AY666" s="213"/>
      <c r="AZ666" s="213"/>
      <c r="BA666" s="213"/>
      <c r="BB666" s="213"/>
      <c r="BC666" s="213"/>
      <c r="BD666" s="213"/>
    </row>
    <row r="667">
      <c r="A667" s="213">
        <f>IFERROR(__xludf.DUMMYFUNCTION("""COMPUTED_VALUE"""),1274.0)</f>
        <v>1274</v>
      </c>
      <c r="B667" s="213" t="str">
        <f>IFERROR(__xludf.DUMMYFUNCTION("""COMPUTED_VALUE"""),"GUILLERMO E. BILLINGHURST ")</f>
        <v>GUILLERMO E. BILLINGHURST </v>
      </c>
      <c r="C667" s="213" t="str">
        <f>IFERROR(__xludf.DUMMYFUNCTION("""COMPUTED_VALUE"""),"TALLER SFT DE ELECTRICIDAD")</f>
        <v>TALLER SFT DE ELECTRICIDAD</v>
      </c>
      <c r="D667" s="213" t="str">
        <f>IFERROR(__xludf.DUMMYFUNCTION("""COMPUTED_VALUE"""),"EQUIPOS")</f>
        <v>EQUIPOS</v>
      </c>
      <c r="E667" s="213" t="str">
        <f>IFERROR(__xludf.DUMMYFUNCTION("""COMPUTED_VALUE"""),"ESP-164")</f>
        <v>ESP-164</v>
      </c>
      <c r="F667" s="213" t="str">
        <f>IFERROR(__xludf.DUMMYFUNCTION("""COMPUTED_VALUE"""),"ESP-164")</f>
        <v>ESP-164</v>
      </c>
      <c r="G667" s="213"/>
      <c r="H667" s="213" t="str">
        <f>IFERROR(__xludf.DUMMYFUNCTION("""COMPUTED_VALUE"""),"ESTACIÓN MÓVIL PARA ENTRENAMIENTO DE INSTALACIONES ELÉCTRICAS DOMICILIARIAS")</f>
        <v>ESTACIÓN MÓVIL PARA ENTRENAMIENTO DE INSTALACIONES ELÉCTRICAS DOMICILIARIAS</v>
      </c>
      <c r="I667" s="213" t="str">
        <f>IFERROR(__xludf.DUMMYFUNCTION("""COMPUTED_VALUE"""),"· Características Técnicas de la estación:
- Banco móvil de entrenamiento de instalaciones eléctricas.
- Panel en plancha metálica perforada, con agujeros, reforzada con marco metálico.
- Entre los soportes tiene un cajón para colocar herramientas manuale"&amp;"s.
- Con 4 ruedas giratorias, lo que permite ser móvil.
- Dimensiones aproximadas (+- 5cm) del equipo: 950 x 420 x 1600 mm
- Dimensiones del área de trabajo mínimo de: 950 x 950 mm
· Componentes y accesorios principales mínimos para instalaciones:
- 02 ll"&amp;"aves generales trifásicas
- 01 medidor de consumo eléctrico
- 03 llaves termomagnéticas monofásica
- 02 llaves diferenciales
- 01 timbre
- 01 pulsador de timbre
- 04 interruptores (1 simple, 1 doble y 2 conmutadores)
- 01 tubo fluorescente lineal de 13 W,"&amp;" todo con sus componentes instalados
- 04 soquetes
- 01 regulador de luz
- 04 tomacorrientes doble
- Incluye accesorios, tal como: tubos de PVC y cables.")</f>
        <v>· Características Técnicas de la estación:
- Banco móvil de entrenamiento de instalaciones eléctricas.
- Panel en plancha metálica perforada, con agujeros, reforzada con marco metálico.
- Entre los soportes tiene un cajón para colocar herramientas manuales.
- Con 4 ruedas giratorias, lo que permite ser móvil.
- Dimensiones aproximadas (+- 5cm) del equipo: 950 x 420 x 1600 mm
- Dimensiones del área de trabajo mínimo de: 950 x 950 mm
· Componentes y accesorios principales mínimos para instalaciones:
- 02 llaves generales trifásicas
- 01 medidor de consumo eléctrico
- 03 llaves termomagnéticas monofásica
- 02 llaves diferenciales
- 01 timbre
- 01 pulsador de timbre
- 04 interruptores (1 simple, 1 doble y 2 conmutadores)
- 01 tubo fluorescente lineal de 13 W, todo con sus componentes instalados
- 04 soquetes
- 01 regulador de luz
- 04 tomacorrientes doble
- Incluye accesorios, tal como: tubos de PVC y cables.</v>
      </c>
      <c r="J667" s="213">
        <f>IFERROR(__xludf.DUMMYFUNCTION("""COMPUTED_VALUE"""),3.0)</f>
        <v>3</v>
      </c>
      <c r="K667" s="213" t="str">
        <f>IFERROR(__xludf.DUMMYFUNCTION("""COMPUTED_VALUE"""),"170 DÍAS CALENDARIO")</f>
        <v>170 DÍAS CALENDARIO</v>
      </c>
      <c r="L667" s="213" t="str">
        <f>IFERROR(__xludf.DUMMYFUNCTION("""COMPUTED_VALUE"""),"")</f>
        <v/>
      </c>
      <c r="M667" s="213">
        <f>IFERROR(__xludf.DUMMYFUNCTION("""COMPUTED_VALUE"""),1.0)</f>
        <v>1</v>
      </c>
      <c r="N667" s="213">
        <f>IFERROR(__xludf.DUMMYFUNCTION("""COMPUTED_VALUE"""),4.0)</f>
        <v>4</v>
      </c>
      <c r="O667" s="213">
        <f>IFERROR(__xludf.DUMMYFUNCTION("""COMPUTED_VALUE"""),4.0)</f>
        <v>4</v>
      </c>
      <c r="P667" s="213"/>
      <c r="Q667" s="213"/>
      <c r="R667" s="213"/>
      <c r="S667" s="213" t="str">
        <f>IFERROR(__xludf.DUMMYFUNCTION("""COMPUTED_VALUE"""),"SI")</f>
        <v>SI</v>
      </c>
      <c r="T667" s="213" t="str">
        <f>IFERROR(__xludf.DUMMYFUNCTION("""COMPUTED_VALUE"""),"SI")</f>
        <v>SI</v>
      </c>
      <c r="U667" s="213" t="str">
        <f>IFERROR(__xludf.DUMMYFUNCTION("""COMPUTED_VALUE"""),"SI")</f>
        <v>SI</v>
      </c>
      <c r="V667" s="213" t="str">
        <f>IFERROR(__xludf.DUMMYFUNCTION("""COMPUTED_VALUE"""),"-")</f>
        <v>-</v>
      </c>
      <c r="W667" s="213" t="str">
        <f>IFERROR(__xludf.DUMMYFUNCTION("""COMPUTED_VALUE"""),"-")</f>
        <v>-</v>
      </c>
      <c r="X667" s="213" t="str">
        <f>IFERROR(__xludf.DUMMYFUNCTION("""COMPUTED_VALUE"""),"ssedumachine")</f>
        <v>ssedumachine</v>
      </c>
      <c r="Y667" s="213" t="str">
        <f>IFERROR(__xludf.DUMMYFUNCTION("""COMPUTED_VALUE"""),"TB-230320-V-003")</f>
        <v>TB-230320-V-003</v>
      </c>
      <c r="Z667" s="215" t="str">
        <f>IFERROR(__xludf.DUMMYFUNCTION("""COMPUTED_VALUE"""),"https://www.ssedumachine.com/product/tb-230320-v-003-mobile-station-for-training-of-home-electrical-installations-teaching-equipment-electrical-laboratory-equipment/")</f>
        <v>https://www.ssedumachine.com/product/tb-230320-v-003-mobile-station-for-training-of-home-electrical-installations-teaching-equipment-electrical-laboratory-equipment/</v>
      </c>
      <c r="AA667" s="213" t="str">
        <f>IFERROR(__xludf.DUMMYFUNCTION("""COMPUTED_VALUE"""),"ESP-164 ESTACIÓN MÓVIL PARA ENTRENAMIENTO DE INSTALACIONES ELÉCTRICA - CET")</f>
        <v>ESP-164 ESTACIÓN MÓVIL PARA ENTRENAMIENTO DE INSTALACIONES ELÉCTRICA - CET</v>
      </c>
      <c r="AB667" s="215" t="str">
        <f>IFERROR(__xludf.DUMMYFUNCTION("""COMPUTED_VALUE"""),"https://drive.google.com/file/d/1MLxXLiTgYrG324WfZgm9Vj4npypedtEu/view")</f>
        <v>https://drive.google.com/file/d/1MLxXLiTgYrG324WfZgm9Vj4npypedtEu/view</v>
      </c>
      <c r="AC667" s="213"/>
      <c r="AD667" s="213"/>
      <c r="AE667" s="213"/>
      <c r="AF667" s="213"/>
      <c r="AG667" s="213"/>
      <c r="AH667" s="213"/>
      <c r="AI667" s="213"/>
      <c r="AJ667" s="213"/>
      <c r="AK667" s="213"/>
      <c r="AL667" s="213"/>
      <c r="AM667" s="213"/>
      <c r="AN667" s="213"/>
      <c r="AO667" s="213"/>
      <c r="AP667" s="213" t="str">
        <f>IFERROR(__xludf.DUMMYFUNCTION("""COMPUTED_VALUE"""),"BRUNO")</f>
        <v>BRUNO</v>
      </c>
      <c r="AQ667" s="213"/>
      <c r="AR667" s="213"/>
      <c r="AS667" s="213"/>
      <c r="AT667" s="213"/>
      <c r="AU667" s="213"/>
      <c r="AV667" s="213"/>
      <c r="AW667" s="213"/>
      <c r="AX667" s="213"/>
      <c r="AY667" s="213"/>
      <c r="AZ667" s="213"/>
      <c r="BA667" s="213"/>
      <c r="BB667" s="213"/>
      <c r="BC667" s="213"/>
      <c r="BD667" s="213"/>
    </row>
    <row r="668">
      <c r="A668" s="213">
        <f>IFERROR(__xludf.DUMMYFUNCTION("""COMPUTED_VALUE"""),1772.0)</f>
        <v>1772</v>
      </c>
      <c r="B668" s="213" t="str">
        <f>IFERROR(__xludf.DUMMYFUNCTION("""COMPUTED_VALUE"""),"GUILLERMO E. BILLINGHURST ")</f>
        <v>GUILLERMO E. BILLINGHURST </v>
      </c>
      <c r="C668" s="213" t="str">
        <f>IFERROR(__xludf.DUMMYFUNCTION("""COMPUTED_VALUE"""),"TALLER SFT DE EBANISTERÍA")</f>
        <v>TALLER SFT DE EBANISTERÍA</v>
      </c>
      <c r="D668" s="213" t="str">
        <f>IFERROR(__xludf.DUMMYFUNCTION("""COMPUTED_VALUE"""),"MOBILIARIO")</f>
        <v>MOBILIARIO</v>
      </c>
      <c r="E668" s="213" t="str">
        <f>IFERROR(__xludf.DUMMYFUNCTION("""COMPUTED_VALUE"""),"MOB-117")</f>
        <v>MOB-117</v>
      </c>
      <c r="F668" s="213" t="str">
        <f>IFERROR(__xludf.DUMMYFUNCTION("""COMPUTED_VALUE"""),"MOB-117")</f>
        <v>MOB-117</v>
      </c>
      <c r="G668" s="213"/>
      <c r="H668" s="213" t="str">
        <f>IFERROR(__xludf.DUMMYFUNCTION("""COMPUTED_VALUE"""),"ESTANTE METALICO PARA ALMACENAMIENTO DE MADERA")</f>
        <v>ESTANTE METALICO PARA ALMACENAMIENTO DE MADERA</v>
      </c>
      <c r="I668" s="213" t="str">
        <f>IFERROR(__xludf.DUMMYFUNCTION("""COMPUTED_VALUE"""),"· Estructura metálica, mínimo de tubo cuadrado de 1½” x 1,5 mm de espesor.
· Acabado en pintura de polvo electrostático de 60 micras mínimo.
· Estructura anclada a la pared.
· 6 niveles. Altura Max. 1800 mm, Ancho Aprox. 300 mm y 1200 mm largo aprox.")</f>
        <v>· Estructura metálica, mínimo de tubo cuadrado de 1½” x 1,5 mm de espesor.
· Acabado en pintura de polvo electrostático de 60 micras mínimo.
· Estructura anclada a la pared.
· 6 niveles. Altura Max. 1800 mm, Ancho Aprox. 300 mm y 1200 mm largo aprox.</v>
      </c>
      <c r="J668" s="213">
        <f>IFERROR(__xludf.DUMMYFUNCTION("""COMPUTED_VALUE"""),3.0)</f>
        <v>3</v>
      </c>
      <c r="K668" s="213" t="str">
        <f>IFERROR(__xludf.DUMMYFUNCTION("""COMPUTED_VALUE"""),"90 DÍAS CALENDARIO")</f>
        <v>90 DÍAS CALENDARIO</v>
      </c>
      <c r="L668" s="213" t="str">
        <f>IFERROR(__xludf.DUMMYFUNCTION("""COMPUTED_VALUE"""),"")</f>
        <v/>
      </c>
      <c r="M668" s="213">
        <f>IFERROR(__xludf.DUMMYFUNCTION("""COMPUTED_VALUE"""),1.0)</f>
        <v>1</v>
      </c>
      <c r="N668" s="213">
        <f>IFERROR(__xludf.DUMMYFUNCTION("""COMPUTED_VALUE"""),1.0)</f>
        <v>1</v>
      </c>
      <c r="O668" s="213">
        <f>IFERROR(__xludf.DUMMYFUNCTION("""COMPUTED_VALUE"""),1.0)</f>
        <v>1</v>
      </c>
      <c r="P668" s="213"/>
      <c r="Q668" s="213"/>
      <c r="R668" s="213"/>
      <c r="S668" s="213"/>
      <c r="T668" s="213"/>
      <c r="U668" s="213"/>
      <c r="V668" s="213"/>
      <c r="W668" s="213"/>
      <c r="X668" s="213"/>
      <c r="Y668" s="213"/>
      <c r="Z668" s="213"/>
      <c r="AA668" s="213"/>
      <c r="AB668" s="213"/>
      <c r="AC668" s="213"/>
      <c r="AD668" s="213"/>
      <c r="AE668" s="213"/>
      <c r="AF668" s="213"/>
      <c r="AG668" s="213"/>
      <c r="AH668" s="213"/>
      <c r="AI668" s="213"/>
      <c r="AJ668" s="213"/>
      <c r="AK668" s="213"/>
      <c r="AL668" s="213"/>
      <c r="AM668" s="213"/>
      <c r="AN668" s="213"/>
      <c r="AO668" s="213"/>
      <c r="AP668" s="213"/>
      <c r="AQ668" s="213"/>
      <c r="AR668" s="213"/>
      <c r="AS668" s="213" t="str">
        <f>IFERROR(__xludf.DUMMYFUNCTION("""COMPUTED_VALUE"""),"No cumple las dimensiones del perfil ni indica los detalles de la pintura. La altura se solicita de máximo 1800 mm y se entrega de 1040 mm, lo cual cumple. Tal vez tenga que fabricarse de manera nacional")</f>
        <v>No cumple las dimensiones del perfil ni indica los detalles de la pintura. La altura se solicita de máximo 1800 mm y se entrega de 1040 mm, lo cual cumple. Tal vez tenga que fabricarse de manera nacional</v>
      </c>
      <c r="AT668" s="213"/>
      <c r="AU668" s="213"/>
      <c r="AV668" s="213"/>
      <c r="AW668" s="213"/>
      <c r="AX668" s="213"/>
      <c r="AY668" s="213"/>
      <c r="AZ668" s="213"/>
      <c r="BA668" s="213"/>
      <c r="BB668" s="213"/>
      <c r="BC668" s="213"/>
      <c r="BD668" s="213"/>
    </row>
    <row r="669">
      <c r="A669" s="213">
        <f>IFERROR(__xludf.DUMMYFUNCTION("""COMPUTED_VALUE"""),2555.0)</f>
        <v>2555</v>
      </c>
      <c r="B669" s="213" t="str">
        <f>IFERROR(__xludf.DUMMYFUNCTION("""COMPUTED_VALUE"""),"MANUEL ANTONIO MESONES MURO")</f>
        <v>MANUEL ANTONIO MESONES MURO</v>
      </c>
      <c r="C669" s="213" t="str">
        <f>IFERROR(__xludf.DUMMYFUNCTION("""COMPUTED_VALUE"""),"TALLER SFT DE EBANISTERÍA")</f>
        <v>TALLER SFT DE EBANISTERÍA</v>
      </c>
      <c r="D669" s="213" t="str">
        <f>IFERROR(__xludf.DUMMYFUNCTION("""COMPUTED_VALUE"""),"MOBILIARIO")</f>
        <v>MOBILIARIO</v>
      </c>
      <c r="E669" s="213" t="str">
        <f>IFERROR(__xludf.DUMMYFUNCTION("""COMPUTED_VALUE"""),"MOB-117")</f>
        <v>MOB-117</v>
      </c>
      <c r="F669" s="213" t="str">
        <f>IFERROR(__xludf.DUMMYFUNCTION("""COMPUTED_VALUE"""),"MOB-117")</f>
        <v>MOB-117</v>
      </c>
      <c r="G669" s="213"/>
      <c r="H669" s="213" t="str">
        <f>IFERROR(__xludf.DUMMYFUNCTION("""COMPUTED_VALUE"""),"ESTANTE METALICO PARA ALMACENAMIENTO DE MADERA")</f>
        <v>ESTANTE METALICO PARA ALMACENAMIENTO DE MADERA</v>
      </c>
      <c r="I669" s="213" t="str">
        <f>IFERROR(__xludf.DUMMYFUNCTION("""COMPUTED_VALUE"""),"· Estructura metálica, mínimo de tubo cuadrado de 1½” x 1,5 mm de espesor.
· Acabado en pintura de polvo electrostático de 60 micras mínimo.
· Estructura anclada a la pared.
· 6 niveles. Altura Max. 1800 mm, Ancho Aprox. 300 mm y 1200 mm largo aprox.")</f>
        <v>· Estructura metálica, mínimo de tubo cuadrado de 1½” x 1,5 mm de espesor.
· Acabado en pintura de polvo electrostático de 60 micras mínimo.
· Estructura anclada a la pared.
· 6 niveles. Altura Max. 1800 mm, Ancho Aprox. 300 mm y 1200 mm largo aprox.</v>
      </c>
      <c r="J669" s="213">
        <f>IFERROR(__xludf.DUMMYFUNCTION("""COMPUTED_VALUE"""),3.0)</f>
        <v>3</v>
      </c>
      <c r="K669" s="213" t="str">
        <f>IFERROR(__xludf.DUMMYFUNCTION("""COMPUTED_VALUE"""),"90 DÍAS CALENDARIO")</f>
        <v>90 DÍAS CALENDARIO</v>
      </c>
      <c r="L669" s="213" t="str">
        <f>IFERROR(__xludf.DUMMYFUNCTION("""COMPUTED_VALUE"""),"")</f>
        <v/>
      </c>
      <c r="M669" s="213">
        <f>IFERROR(__xludf.DUMMYFUNCTION("""COMPUTED_VALUE"""),1.0)</f>
        <v>1</v>
      </c>
      <c r="N669" s="213">
        <f>IFERROR(__xludf.DUMMYFUNCTION("""COMPUTED_VALUE"""),1.0)</f>
        <v>1</v>
      </c>
      <c r="O669" s="213">
        <f>IFERROR(__xludf.DUMMYFUNCTION("""COMPUTED_VALUE"""),1.0)</f>
        <v>1</v>
      </c>
      <c r="P669" s="213"/>
      <c r="Q669" s="213"/>
      <c r="R669" s="213"/>
      <c r="S669" s="213"/>
      <c r="T669" s="213"/>
      <c r="U669" s="213"/>
      <c r="V669" s="213"/>
      <c r="W669" s="213"/>
      <c r="X669" s="213"/>
      <c r="Y669" s="213"/>
      <c r="Z669" s="213"/>
      <c r="AA669" s="213"/>
      <c r="AB669" s="213"/>
      <c r="AC669" s="213"/>
      <c r="AD669" s="213"/>
      <c r="AE669" s="213"/>
      <c r="AF669" s="213"/>
      <c r="AG669" s="213"/>
      <c r="AH669" s="213"/>
      <c r="AI669" s="213"/>
      <c r="AJ669" s="213"/>
      <c r="AK669" s="213"/>
      <c r="AL669" s="213"/>
      <c r="AM669" s="213"/>
      <c r="AN669" s="213"/>
      <c r="AO669" s="213"/>
      <c r="AP669" s="213"/>
      <c r="AQ669" s="213"/>
      <c r="AR669" s="213"/>
      <c r="AS669" s="213" t="str">
        <f>IFERROR(__xludf.DUMMYFUNCTION("""COMPUTED_VALUE"""),"No cumple las dimensiones del perfil ni indica los detalles de la pintura. La altura se solicita de máximo 1800 mm y se entrega de 1040 mm, lo cual cumple. Tal vez tenga que fabricarse de manera nacional")</f>
        <v>No cumple las dimensiones del perfil ni indica los detalles de la pintura. La altura se solicita de máximo 1800 mm y se entrega de 1040 mm, lo cual cumple. Tal vez tenga que fabricarse de manera nacional</v>
      </c>
      <c r="AT669" s="213"/>
      <c r="AU669" s="213"/>
      <c r="AV669" s="213"/>
      <c r="AW669" s="213"/>
      <c r="AX669" s="213"/>
      <c r="AY669" s="213"/>
      <c r="AZ669" s="213"/>
      <c r="BA669" s="213"/>
      <c r="BB669" s="213"/>
      <c r="BC669" s="213"/>
      <c r="BD669" s="213"/>
    </row>
    <row r="670">
      <c r="A670" s="213">
        <f>IFERROR(__xludf.DUMMYFUNCTION("""COMPUTED_VALUE"""),1773.0)</f>
        <v>1773</v>
      </c>
      <c r="B670" s="213" t="str">
        <f>IFERROR(__xludf.DUMMYFUNCTION("""COMPUTED_VALUE"""),"GUILLERMO E. BILLINGHURST ")</f>
        <v>GUILLERMO E. BILLINGHURST </v>
      </c>
      <c r="C670" s="213" t="str">
        <f>IFERROR(__xludf.DUMMYFUNCTION("""COMPUTED_VALUE"""),"TALLER SFT DE EBANISTERÍA")</f>
        <v>TALLER SFT DE EBANISTERÍA</v>
      </c>
      <c r="D670" s="213" t="str">
        <f>IFERROR(__xludf.DUMMYFUNCTION("""COMPUTED_VALUE"""),"MOBILIARIO")</f>
        <v>MOBILIARIO</v>
      </c>
      <c r="E670" s="213" t="str">
        <f>IFERROR(__xludf.DUMMYFUNCTION("""COMPUTED_VALUE"""),"MOB-118")</f>
        <v>MOB-118</v>
      </c>
      <c r="F670" s="213" t="str">
        <f>IFERROR(__xludf.DUMMYFUNCTION("""COMPUTED_VALUE"""),"MOB-118")</f>
        <v>MOB-118</v>
      </c>
      <c r="G670" s="213"/>
      <c r="H670" s="213" t="str">
        <f>IFERROR(__xludf.DUMMYFUNCTION("""COMPUTED_VALUE"""),"ESTANTE MOVIL METALICO PARA ALMACENAMIENTO DE TABLEROS")</f>
        <v>ESTANTE MOVIL METALICO PARA ALMACENAMIENTO DE TABLEROS</v>
      </c>
      <c r="I670" s="213" t="str">
        <f>IFERROR(__xludf.DUMMYFUNCTION("""COMPUTED_VALUE"""),"Estructura para almacenar y transportar material
Estructura metálica, mínimo de tubo cuadrado de 1½” x 1,5 mm de espesor. Acabado en pintura de polvo electrostático de 60 micras mínimo.
6 garruchas con freno
Perfiles de caucho en las bases para evitar ros"&amp;"amiento del material con la parte metálica. Largo: 2100 mm, Ancho: 800 mm, Alto: 1600 mm Aprox.
Distancia de almacenaje en la base: 300 mm.")</f>
        <v>Estructura para almacenar y transportar material
Estructura metálica, mínimo de tubo cuadrado de 1½” x 1,5 mm de espesor. Acabado en pintura de polvo electrostático de 60 micras mínimo.
6 garruchas con freno
Perfiles de caucho en las bases para evitar rosamiento del material con la parte metálica. Largo: 2100 mm, Ancho: 800 mm, Alto: 1600 mm Aprox.
Distancia de almacenaje en la base: 300 mm.</v>
      </c>
      <c r="J670" s="213">
        <f>IFERROR(__xludf.DUMMYFUNCTION("""COMPUTED_VALUE"""),3.0)</f>
        <v>3</v>
      </c>
      <c r="K670" s="213" t="str">
        <f>IFERROR(__xludf.DUMMYFUNCTION("""COMPUTED_VALUE"""),"90 DÍAS CALENDARIO")</f>
        <v>90 DÍAS CALENDARIO</v>
      </c>
      <c r="L670" s="213" t="str">
        <f>IFERROR(__xludf.DUMMYFUNCTION("""COMPUTED_VALUE"""),"")</f>
        <v/>
      </c>
      <c r="M670" s="213">
        <f>IFERROR(__xludf.DUMMYFUNCTION("""COMPUTED_VALUE"""),1.0)</f>
        <v>1</v>
      </c>
      <c r="N670" s="213">
        <f>IFERROR(__xludf.DUMMYFUNCTION("""COMPUTED_VALUE"""),1.0)</f>
        <v>1</v>
      </c>
      <c r="O670" s="213">
        <f>IFERROR(__xludf.DUMMYFUNCTION("""COMPUTED_VALUE"""),1.0)</f>
        <v>1</v>
      </c>
      <c r="P670" s="213"/>
      <c r="Q670" s="213"/>
      <c r="R670" s="213"/>
      <c r="S670" s="213"/>
      <c r="T670" s="213"/>
      <c r="U670" s="213"/>
      <c r="V670" s="213"/>
      <c r="W670" s="213"/>
      <c r="X670" s="213"/>
      <c r="Y670" s="213"/>
      <c r="Z670" s="213"/>
      <c r="AA670" s="213"/>
      <c r="AB670" s="213"/>
      <c r="AC670" s="213"/>
      <c r="AD670" s="213"/>
      <c r="AE670" s="213"/>
      <c r="AF670" s="213"/>
      <c r="AG670" s="213"/>
      <c r="AH670" s="213"/>
      <c r="AI670" s="213"/>
      <c r="AJ670" s="213"/>
      <c r="AK670" s="213"/>
      <c r="AL670" s="213"/>
      <c r="AM670" s="213"/>
      <c r="AN670" s="213"/>
      <c r="AO670" s="213"/>
      <c r="AP670" s="213"/>
      <c r="AQ670" s="213"/>
      <c r="AR670" s="213"/>
      <c r="AS670" s="213" t="str">
        <f>IFERROR(__xludf.DUMMYFUNCTION("""COMPUTED_VALUE"""),"Fabricación a medida. Tal vez deseen que los estantes se encuentren a ambos lados. Agregar garruchas y perfiles de caucho. REFERENCIAS PARA COTIZAR A MEDIDA: https://www.servifabrickvhr.com/cantilever/ 
https://sagama-industrial.com/racks-industriales/can"&amp;"tilever/")</f>
        <v>Fabricación a medida. Tal vez deseen que los estantes se encuentren a ambos lados. Agregar garruchas y perfiles de caucho. REFERENCIAS PARA COTIZAR A MEDIDA: https://www.servifabrickvhr.com/cantilever/ 
https://sagama-industrial.com/racks-industriales/cantilever/</v>
      </c>
      <c r="AT670" s="213"/>
      <c r="AU670" s="213"/>
      <c r="AV670" s="213"/>
      <c r="AW670" s="213"/>
      <c r="AX670" s="213"/>
      <c r="AY670" s="213"/>
      <c r="AZ670" s="213"/>
      <c r="BA670" s="213"/>
      <c r="BB670" s="213"/>
      <c r="BC670" s="213"/>
      <c r="BD670" s="213"/>
    </row>
    <row r="671">
      <c r="A671" s="213">
        <f>IFERROR(__xludf.DUMMYFUNCTION("""COMPUTED_VALUE"""),1051.0)</f>
        <v>1051</v>
      </c>
      <c r="B671" s="213" t="str">
        <f>IFERROR(__xludf.DUMMYFUNCTION("""COMPUTED_VALUE"""),"FRANCISCO IRAZOLA")</f>
        <v>FRANCISCO IRAZOLA</v>
      </c>
      <c r="C671" s="213" t="str">
        <f>IFERROR(__xludf.DUMMYFUNCTION("""COMPUTED_VALUE"""),"TALLER SFT DE MECÁNICA AUTOMOTRIZ")</f>
        <v>TALLER SFT DE MECÁNICA AUTOMOTRIZ</v>
      </c>
      <c r="D671" s="213" t="str">
        <f>IFERROR(__xludf.DUMMYFUNCTION("""COMPUTED_VALUE"""),"EQUIPOS")</f>
        <v>EQUIPOS</v>
      </c>
      <c r="E671" s="213" t="str">
        <f>IFERROR(__xludf.DUMMYFUNCTION("""COMPUTED_VALUE"""),"ESP-165")</f>
        <v>ESP-165</v>
      </c>
      <c r="F671" s="213" t="str">
        <f>IFERROR(__xludf.DUMMYFUNCTION("""COMPUTED_VALUE"""),"ESP-165")</f>
        <v>ESP-165</v>
      </c>
      <c r="G671" s="213"/>
      <c r="H671" s="213" t="str">
        <f>IFERROR(__xludf.DUMMYFUNCTION("""COMPUTED_VALUE"""),"ESTETOSCOPIO DE MECÁNICO")</f>
        <v>ESTETOSCOPIO DE MECÁNICO</v>
      </c>
      <c r="I671" s="213" t="str">
        <f>IFERROR(__xludf.DUMMYFUNCTION("""COMPUTED_VALUE"""),"Localiza los ruidos del motor rápidamente.
Detecta los problemas escuchando los sonidos del agua, aceite, gas o vapor.
Identifica los golpes del pistón, engranajes desgastados, válvula defectuosa, fallas en la bomba de agua, juntas gastadas y cojinetes de"&amp;"fectuosos.
Auricular engomado elimina los ruidos del exterior.
Aguja sonda para encontrar la exacta localización de los ruidos inusuales. Manejo a prueba de golpes.
Fabricado en aluminio")</f>
        <v>Localiza los ruidos del motor rápidamente.
Detecta los problemas escuchando los sonidos del agua, aceite, gas o vapor.
Identifica los golpes del pistón, engranajes desgastados, válvula defectuosa, fallas en la bomba de agua, juntas gastadas y cojinetes defectuosos.
Auricular engomado elimina los ruidos del exterior.
Aguja sonda para encontrar la exacta localización de los ruidos inusuales. Manejo a prueba de golpes.
Fabricado en aluminio</v>
      </c>
      <c r="J671" s="213">
        <f>IFERROR(__xludf.DUMMYFUNCTION("""COMPUTED_VALUE"""),3.0)</f>
        <v>3</v>
      </c>
      <c r="K671" s="213" t="str">
        <f>IFERROR(__xludf.DUMMYFUNCTION("""COMPUTED_VALUE"""),"170 DÍAS CALENDARIO")</f>
        <v>170 DÍAS CALENDARIO</v>
      </c>
      <c r="L671" s="213" t="str">
        <f>IFERROR(__xludf.DUMMYFUNCTION("""COMPUTED_VALUE"""),"")</f>
        <v/>
      </c>
      <c r="M671" s="213">
        <f>IFERROR(__xludf.DUMMYFUNCTION("""COMPUTED_VALUE"""),1.0)</f>
        <v>1</v>
      </c>
      <c r="N671" s="213">
        <f>IFERROR(__xludf.DUMMYFUNCTION("""COMPUTED_VALUE"""),1.0)</f>
        <v>1</v>
      </c>
      <c r="O671" s="213">
        <f>IFERROR(__xludf.DUMMYFUNCTION("""COMPUTED_VALUE"""),1.0)</f>
        <v>1</v>
      </c>
      <c r="P671" s="213"/>
      <c r="Q671" s="213"/>
      <c r="R671" s="213"/>
      <c r="S671" s="213" t="str">
        <f>IFERROR(__xludf.DUMMYFUNCTION("""COMPUTED_VALUE"""),"SI")</f>
        <v>SI</v>
      </c>
      <c r="T671" s="213" t="str">
        <f>IFERROR(__xludf.DUMMYFUNCTION("""COMPUTED_VALUE"""),"SI")</f>
        <v>SI</v>
      </c>
      <c r="U671" s="213" t="str">
        <f>IFERROR(__xludf.DUMMYFUNCTION("""COMPUTED_VALUE"""),"SI")</f>
        <v>SI</v>
      </c>
      <c r="V671" s="213" t="str">
        <f>IFERROR(__xludf.DUMMYFUNCTION("""COMPUTED_VALUE"""),"-")</f>
        <v>-</v>
      </c>
      <c r="W671" s="213" t="str">
        <f>IFERROR(__xludf.DUMMYFUNCTION("""COMPUTED_VALUE"""),"-")</f>
        <v>-</v>
      </c>
      <c r="X671" s="213" t="str">
        <f>IFERROR(__xludf.DUMMYFUNCTION("""COMPUTED_VALUE"""),"AUTOLUMEN")</f>
        <v>AUTOLUMEN</v>
      </c>
      <c r="Y671" s="213" t="str">
        <f>IFERROR(__xludf.DUMMYFUNCTION("""COMPUTED_VALUE"""),"AUTOMOTIVE STETHOSCOPE")</f>
        <v>AUTOMOTIVE STETHOSCOPE</v>
      </c>
      <c r="Z671" s="215" t="str">
        <f>IFERROR(__xludf.DUMMYFUNCTION("""COMPUTED_VALUE"""),"https://www.amazon.com/-/es/AUTOLUMEN-Estetoscopio-automotriz-profesional-motocicletas/dp/B0D62VS6HB#:~:text=El%20alcance%20extendido%20permite%20diagn%C3%B3sticos,de%20autom%C3%B3viles%20es%20nuestro%20enfoque.")</f>
        <v>https://www.amazon.com/-/es/AUTOLUMEN-Estetoscopio-automotriz-profesional-motocicletas/dp/B0D62VS6HB#:~:text=El%20alcance%20extendido%20permite%20diagn%C3%B3sticos,de%20autom%C3%B3viles%20es%20nuestro%20enfoque.</v>
      </c>
      <c r="AA671" s="213" t="str">
        <f>IFERROR(__xludf.DUMMYFUNCTION("""COMPUTED_VALUE"""),"ESP-165 ESTETOSCOPIO DE MECÁNICO - CET")</f>
        <v>ESP-165 ESTETOSCOPIO DE MECÁNICO - CET</v>
      </c>
      <c r="AB671" s="213"/>
      <c r="AC671" s="213"/>
      <c r="AD671" s="213"/>
      <c r="AE671" s="213"/>
      <c r="AF671" s="213"/>
      <c r="AG671" s="213"/>
      <c r="AH671" s="213" t="str">
        <f>IFERROR(__xludf.DUMMYFUNCTION("""COMPUTED_VALUE"""),"IMPORTADO")</f>
        <v>IMPORTADO</v>
      </c>
      <c r="AI671" s="213"/>
      <c r="AJ671" s="213"/>
      <c r="AK671" s="213"/>
      <c r="AL671" s="213"/>
      <c r="AM671" s="213"/>
      <c r="AN671" s="213"/>
      <c r="AO671" s="213"/>
      <c r="AP671" s="213" t="str">
        <f>IFERROR(__xludf.DUMMYFUNCTION("""COMPUTED_VALUE"""),"NALDI")</f>
        <v>NALDI</v>
      </c>
      <c r="AQ671" s="213"/>
      <c r="AR671" s="213"/>
      <c r="AS671" s="213"/>
      <c r="AT671" s="213"/>
      <c r="AU671" s="213"/>
      <c r="AV671" s="213"/>
      <c r="AW671" s="213"/>
      <c r="AX671" s="213"/>
      <c r="AY671" s="213"/>
      <c r="AZ671" s="213"/>
      <c r="BA671" s="213"/>
      <c r="BB671" s="213"/>
      <c r="BC671" s="213"/>
      <c r="BD671" s="213"/>
    </row>
    <row r="672">
      <c r="A672" s="213">
        <f>IFERROR(__xludf.DUMMYFUNCTION("""COMPUTED_VALUE"""),1656.0)</f>
        <v>1656</v>
      </c>
      <c r="B672" s="213" t="str">
        <f>IFERROR(__xludf.DUMMYFUNCTION("""COMPUTED_VALUE"""),"GUILLERMO E. BILLINGHURST ")</f>
        <v>GUILLERMO E. BILLINGHURST </v>
      </c>
      <c r="C672" s="213" t="str">
        <f>IFERROR(__xludf.DUMMYFUNCTION("""COMPUTED_VALUE"""),"TALLER SFT DE MECÁNICA AUTOMOTRIZ")</f>
        <v>TALLER SFT DE MECÁNICA AUTOMOTRIZ</v>
      </c>
      <c r="D672" s="213" t="str">
        <f>IFERROR(__xludf.DUMMYFUNCTION("""COMPUTED_VALUE"""),"EQUIPOS")</f>
        <v>EQUIPOS</v>
      </c>
      <c r="E672" s="213" t="str">
        <f>IFERROR(__xludf.DUMMYFUNCTION("""COMPUTED_VALUE"""),"ESP-165")</f>
        <v>ESP-165</v>
      </c>
      <c r="F672" s="213" t="str">
        <f>IFERROR(__xludf.DUMMYFUNCTION("""COMPUTED_VALUE"""),"ESP-165")</f>
        <v>ESP-165</v>
      </c>
      <c r="G672" s="213"/>
      <c r="H672" s="213" t="str">
        <f>IFERROR(__xludf.DUMMYFUNCTION("""COMPUTED_VALUE"""),"ESTETOSCOPIO DE MECÁNICO")</f>
        <v>ESTETOSCOPIO DE MECÁNICO</v>
      </c>
      <c r="I672" s="213" t="str">
        <f>IFERROR(__xludf.DUMMYFUNCTION("""COMPUTED_VALUE"""),"Localiza los ruidos del motor rápidamente.
Detecta los problemas escuchando los sonidos del agua, aceite, gas o vapor.
Identifica los golpes del pistón, engranajes desgastados, válvula defectuosa, fallas en la bomba de agua, juntas gastadas y cojinetes de"&amp;"fectuosos.
Auricular engomado elimina los ruidos del exterior.
Aguja sonda para encontrar la exacta localización de los ruidos inusuales. Manejo a prueba de golpes.
Fabricado en aluminio")</f>
        <v>Localiza los ruidos del motor rápidamente.
Detecta los problemas escuchando los sonidos del agua, aceite, gas o vapor.
Identifica los golpes del pistón, engranajes desgastados, válvula defectuosa, fallas en la bomba de agua, juntas gastadas y cojinetes defectuosos.
Auricular engomado elimina los ruidos del exterior.
Aguja sonda para encontrar la exacta localización de los ruidos inusuales. Manejo a prueba de golpes.
Fabricado en aluminio</v>
      </c>
      <c r="J672" s="213">
        <f>IFERROR(__xludf.DUMMYFUNCTION("""COMPUTED_VALUE"""),3.0)</f>
        <v>3</v>
      </c>
      <c r="K672" s="213" t="str">
        <f>IFERROR(__xludf.DUMMYFUNCTION("""COMPUTED_VALUE"""),"170 DÍAS CALENDARIO")</f>
        <v>170 DÍAS CALENDARIO</v>
      </c>
      <c r="L672" s="213" t="str">
        <f>IFERROR(__xludf.DUMMYFUNCTION("""COMPUTED_VALUE"""),"")</f>
        <v/>
      </c>
      <c r="M672" s="213">
        <f>IFERROR(__xludf.DUMMYFUNCTION("""COMPUTED_VALUE"""),1.0)</f>
        <v>1</v>
      </c>
      <c r="N672" s="213">
        <f>IFERROR(__xludf.DUMMYFUNCTION("""COMPUTED_VALUE"""),1.0)</f>
        <v>1</v>
      </c>
      <c r="O672" s="213">
        <f>IFERROR(__xludf.DUMMYFUNCTION("""COMPUTED_VALUE"""),1.0)</f>
        <v>1</v>
      </c>
      <c r="P672" s="213"/>
      <c r="Q672" s="213"/>
      <c r="R672" s="213"/>
      <c r="S672" s="213" t="str">
        <f>IFERROR(__xludf.DUMMYFUNCTION("""COMPUTED_VALUE"""),"SI")</f>
        <v>SI</v>
      </c>
      <c r="T672" s="213" t="str">
        <f>IFERROR(__xludf.DUMMYFUNCTION("""COMPUTED_VALUE"""),"SI")</f>
        <v>SI</v>
      </c>
      <c r="U672" s="213" t="str">
        <f>IFERROR(__xludf.DUMMYFUNCTION("""COMPUTED_VALUE"""),"SI")</f>
        <v>SI</v>
      </c>
      <c r="V672" s="213" t="str">
        <f>IFERROR(__xludf.DUMMYFUNCTION("""COMPUTED_VALUE"""),"-")</f>
        <v>-</v>
      </c>
      <c r="W672" s="213" t="str">
        <f>IFERROR(__xludf.DUMMYFUNCTION("""COMPUTED_VALUE"""),"-")</f>
        <v>-</v>
      </c>
      <c r="X672" s="213" t="str">
        <f>IFERROR(__xludf.DUMMYFUNCTION("""COMPUTED_VALUE"""),"AUTOLUMEN")</f>
        <v>AUTOLUMEN</v>
      </c>
      <c r="Y672" s="213" t="str">
        <f>IFERROR(__xludf.DUMMYFUNCTION("""COMPUTED_VALUE"""),"AUTOMOTIVE STETHOSCOPE")</f>
        <v>AUTOMOTIVE STETHOSCOPE</v>
      </c>
      <c r="Z672" s="215" t="str">
        <f>IFERROR(__xludf.DUMMYFUNCTION("""COMPUTED_VALUE"""),"https://www.amazon.com/-/es/AUTOLUMEN-Estetoscopio-automotriz-profesional-motocicletas/dp/B0D62VS6HB#:~:text=El%20alcance%20extendido%20permite%20diagn%C3%B3sticos,de%20autom%C3%B3viles%20es%20nuestro%20enfoque.")</f>
        <v>https://www.amazon.com/-/es/AUTOLUMEN-Estetoscopio-automotriz-profesional-motocicletas/dp/B0D62VS6HB#:~:text=El%20alcance%20extendido%20permite%20diagn%C3%B3sticos,de%20autom%C3%B3viles%20es%20nuestro%20enfoque.</v>
      </c>
      <c r="AA672" s="213" t="str">
        <f>IFERROR(__xludf.DUMMYFUNCTION("""COMPUTED_VALUE"""),"ESP-165 ESTETOSCOPIO DE MECÁNICO - CET")</f>
        <v>ESP-165 ESTETOSCOPIO DE MECÁNICO - CET</v>
      </c>
      <c r="AB672" s="213"/>
      <c r="AC672" s="213"/>
      <c r="AD672" s="213"/>
      <c r="AE672" s="213"/>
      <c r="AF672" s="213"/>
      <c r="AG672" s="213"/>
      <c r="AH672" s="213" t="str">
        <f>IFERROR(__xludf.DUMMYFUNCTION("""COMPUTED_VALUE"""),"IMPORTADO")</f>
        <v>IMPORTADO</v>
      </c>
      <c r="AI672" s="213"/>
      <c r="AJ672" s="213"/>
      <c r="AK672" s="213"/>
      <c r="AL672" s="213"/>
      <c r="AM672" s="213"/>
      <c r="AN672" s="213"/>
      <c r="AO672" s="213"/>
      <c r="AP672" s="213" t="str">
        <f>IFERROR(__xludf.DUMMYFUNCTION("""COMPUTED_VALUE"""),"NALDI")</f>
        <v>NALDI</v>
      </c>
      <c r="AQ672" s="213"/>
      <c r="AR672" s="213"/>
      <c r="AS672" s="213"/>
      <c r="AT672" s="213"/>
      <c r="AU672" s="213"/>
      <c r="AV672" s="213"/>
      <c r="AW672" s="213"/>
      <c r="AX672" s="213"/>
      <c r="AY672" s="213"/>
      <c r="AZ672" s="213"/>
      <c r="BA672" s="213"/>
      <c r="BB672" s="213"/>
      <c r="BC672" s="213"/>
      <c r="BD672" s="213"/>
    </row>
    <row r="673">
      <c r="A673" s="213">
        <f>IFERROR(__xludf.DUMMYFUNCTION("""COMPUTED_VALUE"""),2347.0)</f>
        <v>2347</v>
      </c>
      <c r="B673" s="213" t="str">
        <f>IFERROR(__xludf.DUMMYFUNCTION("""COMPUTED_VALUE"""),"JOSE GRANDA")</f>
        <v>JOSE GRANDA</v>
      </c>
      <c r="C673" s="213" t="str">
        <f>IFERROR(__xludf.DUMMYFUNCTION("""COMPUTED_VALUE"""),"TALLER SFT DE MECÁNICA AUTOMOTRIZ")</f>
        <v>TALLER SFT DE MECÁNICA AUTOMOTRIZ</v>
      </c>
      <c r="D673" s="213" t="str">
        <f>IFERROR(__xludf.DUMMYFUNCTION("""COMPUTED_VALUE"""),"EQUIPOS")</f>
        <v>EQUIPOS</v>
      </c>
      <c r="E673" s="213" t="str">
        <f>IFERROR(__xludf.DUMMYFUNCTION("""COMPUTED_VALUE"""),"ESP-165")</f>
        <v>ESP-165</v>
      </c>
      <c r="F673" s="213" t="str">
        <f>IFERROR(__xludf.DUMMYFUNCTION("""COMPUTED_VALUE"""),"ESP-165")</f>
        <v>ESP-165</v>
      </c>
      <c r="G673" s="213"/>
      <c r="H673" s="213" t="str">
        <f>IFERROR(__xludf.DUMMYFUNCTION("""COMPUTED_VALUE"""),"ESTETOSCOPIO DE MECÁNICO")</f>
        <v>ESTETOSCOPIO DE MECÁNICO</v>
      </c>
      <c r="I673" s="213" t="str">
        <f>IFERROR(__xludf.DUMMYFUNCTION("""COMPUTED_VALUE"""),"Localiza los ruidos del motor rápidamente.
Detecta los problemas escuchando los sonidos del agua, aceite, gas o vapor.
Identifica los golpes del pistón, engranajes desgastados, válvula defectuosa, fallas en la bomba de agua, juntas gastadas y cojinetes de"&amp;"fectuosos.
Auricular engomado elimina los ruidos del exterior.
Aguja sonda para encontrar la exacta localización de los ruidos inusuales. Manejo a prueba de golpes.
Fabricado en aluminio")</f>
        <v>Localiza los ruidos del motor rápidamente.
Detecta los problemas escuchando los sonidos del agua, aceite, gas o vapor.
Identifica los golpes del pistón, engranajes desgastados, válvula defectuosa, fallas en la bomba de agua, juntas gastadas y cojinetes defectuosos.
Auricular engomado elimina los ruidos del exterior.
Aguja sonda para encontrar la exacta localización de los ruidos inusuales. Manejo a prueba de golpes.
Fabricado en aluminio</v>
      </c>
      <c r="J673" s="213">
        <f>IFERROR(__xludf.DUMMYFUNCTION("""COMPUTED_VALUE"""),3.0)</f>
        <v>3</v>
      </c>
      <c r="K673" s="213" t="str">
        <f>IFERROR(__xludf.DUMMYFUNCTION("""COMPUTED_VALUE"""),"170 DÍAS CALENDARIO")</f>
        <v>170 DÍAS CALENDARIO</v>
      </c>
      <c r="L673" s="213" t="str">
        <f>IFERROR(__xludf.DUMMYFUNCTION("""COMPUTED_VALUE"""),"")</f>
        <v/>
      </c>
      <c r="M673" s="213">
        <f>IFERROR(__xludf.DUMMYFUNCTION("""COMPUTED_VALUE"""),1.0)</f>
        <v>1</v>
      </c>
      <c r="N673" s="213">
        <f>IFERROR(__xludf.DUMMYFUNCTION("""COMPUTED_VALUE"""),1.0)</f>
        <v>1</v>
      </c>
      <c r="O673" s="213">
        <f>IFERROR(__xludf.DUMMYFUNCTION("""COMPUTED_VALUE"""),1.0)</f>
        <v>1</v>
      </c>
      <c r="P673" s="213"/>
      <c r="Q673" s="213"/>
      <c r="R673" s="213"/>
      <c r="S673" s="213" t="str">
        <f>IFERROR(__xludf.DUMMYFUNCTION("""COMPUTED_VALUE"""),"SI")</f>
        <v>SI</v>
      </c>
      <c r="T673" s="213" t="str">
        <f>IFERROR(__xludf.DUMMYFUNCTION("""COMPUTED_VALUE"""),"SI")</f>
        <v>SI</v>
      </c>
      <c r="U673" s="213" t="str">
        <f>IFERROR(__xludf.DUMMYFUNCTION("""COMPUTED_VALUE"""),"SI")</f>
        <v>SI</v>
      </c>
      <c r="V673" s="213" t="str">
        <f>IFERROR(__xludf.DUMMYFUNCTION("""COMPUTED_VALUE"""),"-")</f>
        <v>-</v>
      </c>
      <c r="W673" s="213" t="str">
        <f>IFERROR(__xludf.DUMMYFUNCTION("""COMPUTED_VALUE"""),"-")</f>
        <v>-</v>
      </c>
      <c r="X673" s="213" t="str">
        <f>IFERROR(__xludf.DUMMYFUNCTION("""COMPUTED_VALUE"""),"AUTOLUMEN")</f>
        <v>AUTOLUMEN</v>
      </c>
      <c r="Y673" s="213" t="str">
        <f>IFERROR(__xludf.DUMMYFUNCTION("""COMPUTED_VALUE"""),"AUTOMOTIVE STETHOSCOPE")</f>
        <v>AUTOMOTIVE STETHOSCOPE</v>
      </c>
      <c r="Z673" s="215" t="str">
        <f>IFERROR(__xludf.DUMMYFUNCTION("""COMPUTED_VALUE"""),"https://www.amazon.com/-/es/AUTOLUMEN-Estetoscopio-automotriz-profesional-motocicletas/dp/B0D62VS6HB#:~:text=El%20alcance%20extendido%20permite%20diagn%C3%B3sticos,de%20autom%C3%B3viles%20es%20nuestro%20enfoque.")</f>
        <v>https://www.amazon.com/-/es/AUTOLUMEN-Estetoscopio-automotriz-profesional-motocicletas/dp/B0D62VS6HB#:~:text=El%20alcance%20extendido%20permite%20diagn%C3%B3sticos,de%20autom%C3%B3viles%20es%20nuestro%20enfoque.</v>
      </c>
      <c r="AA673" s="213" t="str">
        <f>IFERROR(__xludf.DUMMYFUNCTION("""COMPUTED_VALUE"""),"ESP-165 ESTETOSCOPIO DE MECÁNICO - CET")</f>
        <v>ESP-165 ESTETOSCOPIO DE MECÁNICO - CET</v>
      </c>
      <c r="AB673" s="213"/>
      <c r="AC673" s="213"/>
      <c r="AD673" s="213"/>
      <c r="AE673" s="213"/>
      <c r="AF673" s="213"/>
      <c r="AG673" s="213"/>
      <c r="AH673" s="213" t="str">
        <f>IFERROR(__xludf.DUMMYFUNCTION("""COMPUTED_VALUE"""),"IMPORTADO")</f>
        <v>IMPORTADO</v>
      </c>
      <c r="AI673" s="213"/>
      <c r="AJ673" s="213"/>
      <c r="AK673" s="213"/>
      <c r="AL673" s="213"/>
      <c r="AM673" s="213"/>
      <c r="AN673" s="213"/>
      <c r="AO673" s="213"/>
      <c r="AP673" s="213" t="str">
        <f>IFERROR(__xludf.DUMMYFUNCTION("""COMPUTED_VALUE"""),"NALDI")</f>
        <v>NALDI</v>
      </c>
      <c r="AQ673" s="213"/>
      <c r="AR673" s="213"/>
      <c r="AS673" s="213"/>
      <c r="AT673" s="213"/>
      <c r="AU673" s="213"/>
      <c r="AV673" s="213"/>
      <c r="AW673" s="213"/>
      <c r="AX673" s="213"/>
      <c r="AY673" s="213"/>
      <c r="AZ673" s="213"/>
      <c r="BA673" s="213"/>
      <c r="BB673" s="213"/>
      <c r="BC673" s="213"/>
      <c r="BD673" s="213"/>
    </row>
    <row r="674">
      <c r="A674" s="213">
        <f>IFERROR(__xludf.DUMMYFUNCTION("""COMPUTED_VALUE"""),326.0)</f>
        <v>326</v>
      </c>
      <c r="B674" s="213" t="str">
        <f>IFERROR(__xludf.DUMMYFUNCTION("""COMPUTED_VALUE"""),"2026 SIMON BOLIVAR")</f>
        <v>2026 SIMON BOLIVAR</v>
      </c>
      <c r="C674" s="213" t="str">
        <f>IFERROR(__xludf.DUMMYFUNCTION("""COMPUTED_VALUE"""),"TALLER SFT DE COMPUTACIÓN E INFORMÁTICA")</f>
        <v>TALLER SFT DE COMPUTACIÓN E INFORMÁTICA</v>
      </c>
      <c r="D674" s="213" t="str">
        <f>IFERROR(__xludf.DUMMYFUNCTION("""COMPUTED_VALUE"""),"PEDAGOGICO")</f>
        <v>PEDAGOGICO</v>
      </c>
      <c r="E674" s="213" t="str">
        <f>IFERROR(__xludf.DUMMYFUNCTION("""COMPUTED_VALUE"""),"MAT-160")</f>
        <v>MAT-160</v>
      </c>
      <c r="F674" s="213" t="str">
        <f>IFERROR(__xludf.DUMMYFUNCTION("""COMPUTED_VALUE"""),"MAT-160")</f>
        <v>MAT-160</v>
      </c>
      <c r="G674" s="213"/>
      <c r="H674" s="213" t="str">
        <f>IFERROR(__xludf.DUMMYFUNCTION("""COMPUTED_VALUE"""),"ESTUCHE DE ACTIVIDADES MOTIVADORAS PARA EL TALLER DE COMPUTACIÓN")</f>
        <v>ESTUCHE DE ACTIVIDADES MOTIVADORAS PARA EL TALLER DE COMPUTACIÓN</v>
      </c>
      <c r="I674" s="213" t="str">
        <f>IFERROR(__xludf.DUMMYFUNCTION("""COMPUTED_VALUE"""),"·  01 estuche con compartimientos en bajo relieve plástico, de 30 cm x 20 cm, con 24 fichas de plástico de 4 cm de lado y 4 mm de espesor, impresas por ambos lados en tinta indeleble, con números en color negro y con formas geométricas en 3 colores: rojo,"&amp;" azul y amarillo, en fondo blanco
·  El estuche presenta impresión de números: en una tapa del 1 al 24 y en la otra tapa las alternativas de solución a las actividades planteadas en el juego. Ambas tapas del estuche presentan ranuras en alto relieve plást"&amp;"ico para ubicación de las fichas
·  Incluye juego de 10 tarjetas interactivas, impresas a todo color en material foldcote de 20 cm x15 cm.
·  Incluye un USB interactivo, de 32 GB, con animaciones y preguntas del tema. Dentro de la cubierta frontal se encu"&amp;"entran las precauciones e instrucciones de manejo.")</f>
        <v>·  01 estuche con compartimientos en bajo relieve plástico, de 30 cm x 20 cm, con 24 fichas de plástico de 4 cm de lado y 4 mm de espesor, impresas por ambos lados en tinta indeleble, con números en color negro y con formas geométricas en 3 colores: rojo, azul y amarillo, en fondo blanco
·  El estuche presenta impresión de números: en una tapa del 1 al 24 y en la otra tapa las alternativas de solución a las actividades planteadas en el juego. Ambas tapas del estuche presentan ranuras en alto relieve plástico para ubicación de las fichas
·  Incluye juego de 10 tarjetas interactivas, impresas a todo color en material foldcote de 20 cm x15 cm.
·  Incluye un USB interactivo, de 32 GB, con animaciones y preguntas del tema. Dentro de la cubierta frontal se encuentran las precauciones e instrucciones de manejo.</v>
      </c>
      <c r="J674" s="213">
        <f>IFERROR(__xludf.DUMMYFUNCTION("""COMPUTED_VALUE"""),3.0)</f>
        <v>3</v>
      </c>
      <c r="K674" s="213" t="str">
        <f>IFERROR(__xludf.DUMMYFUNCTION("""COMPUTED_VALUE"""),"170 DÍAS CALENDARIO")</f>
        <v>170 DÍAS CALENDARIO</v>
      </c>
      <c r="L674" s="213" t="str">
        <f>IFERROR(__xludf.DUMMYFUNCTION("""COMPUTED_VALUE"""),"")</f>
        <v/>
      </c>
      <c r="M674" s="213">
        <f>IFERROR(__xludf.DUMMYFUNCTION("""COMPUTED_VALUE"""),1.0)</f>
        <v>1</v>
      </c>
      <c r="N674" s="213">
        <f>IFERROR(__xludf.DUMMYFUNCTION("""COMPUTED_VALUE"""),4.0)</f>
        <v>4</v>
      </c>
      <c r="O674" s="213">
        <f>IFERROR(__xludf.DUMMYFUNCTION("""COMPUTED_VALUE"""),4.0)</f>
        <v>4</v>
      </c>
      <c r="P674" s="213"/>
      <c r="Q674" s="213"/>
      <c r="R674" s="213"/>
      <c r="S674" s="213"/>
      <c r="T674" s="213" t="str">
        <f>IFERROR(__xludf.DUMMYFUNCTION("""COMPUTED_VALUE"""),"CONSULTA FINAL")</f>
        <v>CONSULTA FINAL</v>
      </c>
      <c r="U674" s="213"/>
      <c r="V674" s="213"/>
      <c r="W674" s="213" t="str">
        <f>IFERROR(__xludf.DUMMYFUNCTION("""COMPUTED_VALUE"""),"CRÍTICO")</f>
        <v>CRÍTICO</v>
      </c>
      <c r="X674" s="213"/>
      <c r="Y674" s="213"/>
      <c r="Z674" s="213"/>
      <c r="AA674" s="213" t="str">
        <f>IFERROR(__xludf.DUMMYFUNCTION("""COMPUTED_VALUE"""),"MAT-160 ESTUCHE DE ACTIVIDADES MOTIVADORAS PARA EL TALLER DE COMPUTACIÓN - CET")</f>
        <v>MAT-160 ESTUCHE DE ACTIVIDADES MOTIVADORAS PARA EL TALLER DE COMPUTACIÓN - CET</v>
      </c>
      <c r="AB674" s="213"/>
      <c r="AC674" s="213"/>
      <c r="AD674" s="213"/>
      <c r="AE674" s="213"/>
      <c r="AF674" s="213"/>
      <c r="AG674" s="213"/>
      <c r="AH674" s="213"/>
      <c r="AI674" s="213"/>
      <c r="AJ674" s="213"/>
      <c r="AK674" s="213"/>
      <c r="AL674" s="213"/>
      <c r="AM674" s="213"/>
      <c r="AN674" s="213"/>
      <c r="AO674" s="213"/>
      <c r="AP674" s="213" t="str">
        <f>IFERROR(__xludf.DUMMYFUNCTION("""COMPUTED_VALUE"""),"LUIS")</f>
        <v>LUIS</v>
      </c>
      <c r="AQ674" s="213" t="str">
        <f>IFERROR(__xludf.DUMMYFUNCTION("""COMPUTED_VALUE"""),"Coordinar con pedagogía")</f>
        <v>Coordinar con pedagogía</v>
      </c>
      <c r="AR674" s="213"/>
      <c r="AS674" s="213"/>
      <c r="AT674" s="213"/>
      <c r="AU674" s="213"/>
      <c r="AV674" s="213"/>
      <c r="AW674" s="213"/>
      <c r="AX674" s="213"/>
      <c r="AY674" s="213"/>
      <c r="AZ674" s="213"/>
      <c r="BA674" s="213"/>
      <c r="BB674" s="213"/>
      <c r="BC674" s="213"/>
      <c r="BD674" s="213"/>
    </row>
    <row r="675">
      <c r="A675" s="213">
        <f>IFERROR(__xludf.DUMMYFUNCTION("""COMPUTED_VALUE"""),812.0)</f>
        <v>812</v>
      </c>
      <c r="B675" s="213" t="str">
        <f>IFERROR(__xludf.DUMMYFUNCTION("""COMPUTED_VALUE"""),"6049 RICARDO PALMA")</f>
        <v>6049 RICARDO PALMA</v>
      </c>
      <c r="C675" s="213" t="str">
        <f>IFERROR(__xludf.DUMMYFUNCTION("""COMPUTED_VALUE"""),"TALLER SFT DE COMPUTACIÓN E INFORMÁTICA")</f>
        <v>TALLER SFT DE COMPUTACIÓN E INFORMÁTICA</v>
      </c>
      <c r="D675" s="213" t="str">
        <f>IFERROR(__xludf.DUMMYFUNCTION("""COMPUTED_VALUE"""),"PEDAGOGICO")</f>
        <v>PEDAGOGICO</v>
      </c>
      <c r="E675" s="213" t="str">
        <f>IFERROR(__xludf.DUMMYFUNCTION("""COMPUTED_VALUE"""),"MAT-160")</f>
        <v>MAT-160</v>
      </c>
      <c r="F675" s="213" t="str">
        <f>IFERROR(__xludf.DUMMYFUNCTION("""COMPUTED_VALUE"""),"MAT-160")</f>
        <v>MAT-160</v>
      </c>
      <c r="G675" s="213"/>
      <c r="H675" s="213" t="str">
        <f>IFERROR(__xludf.DUMMYFUNCTION("""COMPUTED_VALUE"""),"ESTUCHE DE ACTIVIDADES MOTIVADORAS PARA EL TALLER DE COMPUTACIÓN")</f>
        <v>ESTUCHE DE ACTIVIDADES MOTIVADORAS PARA EL TALLER DE COMPUTACIÓN</v>
      </c>
      <c r="I675" s="213" t="str">
        <f>IFERROR(__xludf.DUMMYFUNCTION("""COMPUTED_VALUE"""),"·  01 estuche con compartimientos en bajo relieve plástico, de 30 cm x 20 cm, con 24 fichas de plástico de 4 cm de lado y 4 mm de espesor, impresas por ambos lados en tinta indeleble, con números en color negro y con formas geométricas en 3 colores: rojo,"&amp;" azul y amarillo, en fondo blanco
·  El estuche presenta impresión de números: en una tapa del 1 al 24 y en la otra tapa las alternativas de solución a las actividades planteadas en el juego. Ambas tapas del estuche presentan ranuras en alto relieve plást"&amp;"ico para ubicación de las fichas
·  Incluye juego de 10 tarjetas interactivas, impresas a todo color en material foldcote de 20 cm x15 cm.
·  Incluye un USB interactivo, de 32 GB, con animaciones y preguntas del tema. Dentro de la cubierta frontal se encu"&amp;"entran las precauciones e instrucciones de manejo.")</f>
        <v>·  01 estuche con compartimientos en bajo relieve plástico, de 30 cm x 20 cm, con 24 fichas de plástico de 4 cm de lado y 4 mm de espesor, impresas por ambos lados en tinta indeleble, con números en color negro y con formas geométricas en 3 colores: rojo, azul y amarillo, en fondo blanco
·  El estuche presenta impresión de números: en una tapa del 1 al 24 y en la otra tapa las alternativas de solución a las actividades planteadas en el juego. Ambas tapas del estuche presentan ranuras en alto relieve plástico para ubicación de las fichas
·  Incluye juego de 10 tarjetas interactivas, impresas a todo color en material foldcote de 20 cm x15 cm.
·  Incluye un USB interactivo, de 32 GB, con animaciones y preguntas del tema. Dentro de la cubierta frontal se encuentran las precauciones e instrucciones de manejo.</v>
      </c>
      <c r="J675" s="213">
        <f>IFERROR(__xludf.DUMMYFUNCTION("""COMPUTED_VALUE"""),3.0)</f>
        <v>3</v>
      </c>
      <c r="K675" s="213" t="str">
        <f>IFERROR(__xludf.DUMMYFUNCTION("""COMPUTED_VALUE"""),"170 DÍAS CALENDARIO")</f>
        <v>170 DÍAS CALENDARIO</v>
      </c>
      <c r="L675" s="213" t="str">
        <f>IFERROR(__xludf.DUMMYFUNCTION("""COMPUTED_VALUE"""),"")</f>
        <v/>
      </c>
      <c r="M675" s="213">
        <f>IFERROR(__xludf.DUMMYFUNCTION("""COMPUTED_VALUE"""),1.0)</f>
        <v>1</v>
      </c>
      <c r="N675" s="213">
        <f>IFERROR(__xludf.DUMMYFUNCTION("""COMPUTED_VALUE"""),4.0)</f>
        <v>4</v>
      </c>
      <c r="O675" s="213">
        <f>IFERROR(__xludf.DUMMYFUNCTION("""COMPUTED_VALUE"""),4.0)</f>
        <v>4</v>
      </c>
      <c r="P675" s="213"/>
      <c r="Q675" s="213"/>
      <c r="R675" s="213"/>
      <c r="S675" s="213"/>
      <c r="T675" s="213" t="str">
        <f>IFERROR(__xludf.DUMMYFUNCTION("""COMPUTED_VALUE"""),"CONSULTA FINAL")</f>
        <v>CONSULTA FINAL</v>
      </c>
      <c r="U675" s="213"/>
      <c r="V675" s="213"/>
      <c r="W675" s="213" t="str">
        <f>IFERROR(__xludf.DUMMYFUNCTION("""COMPUTED_VALUE"""),"CRÍTICO")</f>
        <v>CRÍTICO</v>
      </c>
      <c r="X675" s="213"/>
      <c r="Y675" s="213"/>
      <c r="Z675" s="213"/>
      <c r="AA675" s="213" t="str">
        <f>IFERROR(__xludf.DUMMYFUNCTION("""COMPUTED_VALUE"""),"MAT-160 ESTUCHE DE ACTIVIDADES MOTIVADORAS PARA EL TALLER DE COMPUTACIÓN - CET")</f>
        <v>MAT-160 ESTUCHE DE ACTIVIDADES MOTIVADORAS PARA EL TALLER DE COMPUTACIÓN - CET</v>
      </c>
      <c r="AB675" s="213"/>
      <c r="AC675" s="213"/>
      <c r="AD675" s="213"/>
      <c r="AE675" s="213"/>
      <c r="AF675" s="213"/>
      <c r="AG675" s="213"/>
      <c r="AH675" s="213"/>
      <c r="AI675" s="213"/>
      <c r="AJ675" s="213"/>
      <c r="AK675" s="213"/>
      <c r="AL675" s="213"/>
      <c r="AM675" s="213"/>
      <c r="AN675" s="213"/>
      <c r="AO675" s="213"/>
      <c r="AP675" s="213" t="str">
        <f>IFERROR(__xludf.DUMMYFUNCTION("""COMPUTED_VALUE"""),"LUIS")</f>
        <v>LUIS</v>
      </c>
      <c r="AQ675" s="213" t="str">
        <f>IFERROR(__xludf.DUMMYFUNCTION("""COMPUTED_VALUE"""),"Coordinar con pedagogía")</f>
        <v>Coordinar con pedagogía</v>
      </c>
      <c r="AR675" s="213"/>
      <c r="AS675" s="213"/>
      <c r="AT675" s="213"/>
      <c r="AU675" s="213"/>
      <c r="AV675" s="213"/>
      <c r="AW675" s="213"/>
      <c r="AX675" s="213"/>
      <c r="AY675" s="213"/>
      <c r="AZ675" s="213"/>
      <c r="BA675" s="213"/>
      <c r="BB675" s="213"/>
      <c r="BC675" s="213"/>
      <c r="BD675" s="213"/>
    </row>
    <row r="676">
      <c r="A676" s="213">
        <f>IFERROR(__xludf.DUMMYFUNCTION("""COMPUTED_VALUE"""),1749.0)</f>
        <v>1749</v>
      </c>
      <c r="B676" s="213" t="str">
        <f>IFERROR(__xludf.DUMMYFUNCTION("""COMPUTED_VALUE"""),"GUILLERMO E. BILLINGHURST ")</f>
        <v>GUILLERMO E. BILLINGHURST </v>
      </c>
      <c r="C676" s="213" t="str">
        <f>IFERROR(__xludf.DUMMYFUNCTION("""COMPUTED_VALUE"""),"TALLER SFT DE COMPUTACIÓN E INFORMÁTICA")</f>
        <v>TALLER SFT DE COMPUTACIÓN E INFORMÁTICA</v>
      </c>
      <c r="D676" s="213" t="str">
        <f>IFERROR(__xludf.DUMMYFUNCTION("""COMPUTED_VALUE"""),"PEDAGOGICO")</f>
        <v>PEDAGOGICO</v>
      </c>
      <c r="E676" s="213" t="str">
        <f>IFERROR(__xludf.DUMMYFUNCTION("""COMPUTED_VALUE"""),"MAT-160")</f>
        <v>MAT-160</v>
      </c>
      <c r="F676" s="213" t="str">
        <f>IFERROR(__xludf.DUMMYFUNCTION("""COMPUTED_VALUE"""),"MAT-160")</f>
        <v>MAT-160</v>
      </c>
      <c r="G676" s="213"/>
      <c r="H676" s="213" t="str">
        <f>IFERROR(__xludf.DUMMYFUNCTION("""COMPUTED_VALUE"""),"ESTUCHE DE ACTIVIDADES MOTIVADORAS PARA EL TALLER DE COMPUTACIÓN")</f>
        <v>ESTUCHE DE ACTIVIDADES MOTIVADORAS PARA EL TALLER DE COMPUTACIÓN</v>
      </c>
      <c r="I676" s="213" t="str">
        <f>IFERROR(__xludf.DUMMYFUNCTION("""COMPUTED_VALUE"""),"·  01 estuche con compartimientos en bajo relieve plástico, de 30 cm x 20 cm, con 24 fichas de plástico de 4 cm de lado y 4 mm de espesor, impresas por ambos lados en tinta indeleble, con números en color negro y con formas geométricas en 3 colores: rojo,"&amp;" azul y amarillo, en fondo blanco
·  El estuche presenta impresión de números: en una tapa del 1 al 24 y en la otra tapa las alternativas de solución a las actividades planteadas en el juego. Ambas tapas del estuche presentan ranuras en alto relieve plást"&amp;"ico para ubicación de las fichas
·  Incluye juego de 10 tarjetas interactivas, impresas a todo color en material foldcote de 20 cm x15 cm.
·  Incluye un USB interactivo, de 32 GB, con animaciones y preguntas del tema. Dentro de la cubierta frontal se encu"&amp;"entran las precauciones e instrucciones de manejo.")</f>
        <v>·  01 estuche con compartimientos en bajo relieve plástico, de 30 cm x 20 cm, con 24 fichas de plástico de 4 cm de lado y 4 mm de espesor, impresas por ambos lados en tinta indeleble, con números en color negro y con formas geométricas en 3 colores: rojo, azul y amarillo, en fondo blanco
·  El estuche presenta impresión de números: en una tapa del 1 al 24 y en la otra tapa las alternativas de solución a las actividades planteadas en el juego. Ambas tapas del estuche presentan ranuras en alto relieve plástico para ubicación de las fichas
·  Incluye juego de 10 tarjetas interactivas, impresas a todo color en material foldcote de 20 cm x15 cm.
·  Incluye un USB interactivo, de 32 GB, con animaciones y preguntas del tema. Dentro de la cubierta frontal se encuentran las precauciones e instrucciones de manejo.</v>
      </c>
      <c r="J676" s="213">
        <f>IFERROR(__xludf.DUMMYFUNCTION("""COMPUTED_VALUE"""),3.0)</f>
        <v>3</v>
      </c>
      <c r="K676" s="213" t="str">
        <f>IFERROR(__xludf.DUMMYFUNCTION("""COMPUTED_VALUE"""),"170 DÍAS CALENDARIO")</f>
        <v>170 DÍAS CALENDARIO</v>
      </c>
      <c r="L676" s="213" t="str">
        <f>IFERROR(__xludf.DUMMYFUNCTION("""COMPUTED_VALUE"""),"")</f>
        <v/>
      </c>
      <c r="M676" s="213">
        <f>IFERROR(__xludf.DUMMYFUNCTION("""COMPUTED_VALUE"""),1.0)</f>
        <v>1</v>
      </c>
      <c r="N676" s="213">
        <f>IFERROR(__xludf.DUMMYFUNCTION("""COMPUTED_VALUE"""),4.0)</f>
        <v>4</v>
      </c>
      <c r="O676" s="213">
        <f>IFERROR(__xludf.DUMMYFUNCTION("""COMPUTED_VALUE"""),4.0)</f>
        <v>4</v>
      </c>
      <c r="P676" s="213"/>
      <c r="Q676" s="213"/>
      <c r="R676" s="213"/>
      <c r="S676" s="213"/>
      <c r="T676" s="213" t="str">
        <f>IFERROR(__xludf.DUMMYFUNCTION("""COMPUTED_VALUE"""),"CONSULTA FINAL")</f>
        <v>CONSULTA FINAL</v>
      </c>
      <c r="U676" s="213"/>
      <c r="V676" s="213"/>
      <c r="W676" s="213" t="str">
        <f>IFERROR(__xludf.DUMMYFUNCTION("""COMPUTED_VALUE"""),"CRÍTICO")</f>
        <v>CRÍTICO</v>
      </c>
      <c r="X676" s="213"/>
      <c r="Y676" s="213"/>
      <c r="Z676" s="213"/>
      <c r="AA676" s="213" t="str">
        <f>IFERROR(__xludf.DUMMYFUNCTION("""COMPUTED_VALUE"""),"MAT-160 ESTUCHE DE ACTIVIDADES MOTIVADORAS PARA EL TALLER DE COMPUTACIÓN - CET")</f>
        <v>MAT-160 ESTUCHE DE ACTIVIDADES MOTIVADORAS PARA EL TALLER DE COMPUTACIÓN - CET</v>
      </c>
      <c r="AB676" s="213"/>
      <c r="AC676" s="213"/>
      <c r="AD676" s="213"/>
      <c r="AE676" s="213"/>
      <c r="AF676" s="213"/>
      <c r="AG676" s="213"/>
      <c r="AH676" s="213"/>
      <c r="AI676" s="213"/>
      <c r="AJ676" s="213"/>
      <c r="AK676" s="213"/>
      <c r="AL676" s="213"/>
      <c r="AM676" s="213"/>
      <c r="AN676" s="213"/>
      <c r="AO676" s="213"/>
      <c r="AP676" s="213" t="str">
        <f>IFERROR(__xludf.DUMMYFUNCTION("""COMPUTED_VALUE"""),"LUIS")</f>
        <v>LUIS</v>
      </c>
      <c r="AQ676" s="213" t="str">
        <f>IFERROR(__xludf.DUMMYFUNCTION("""COMPUTED_VALUE"""),"Coordinar con pedagogía")</f>
        <v>Coordinar con pedagogía</v>
      </c>
      <c r="AR676" s="213"/>
      <c r="AS676" s="213"/>
      <c r="AT676" s="213"/>
      <c r="AU676" s="213"/>
      <c r="AV676" s="213"/>
      <c r="AW676" s="213"/>
      <c r="AX676" s="213"/>
      <c r="AY676" s="213"/>
      <c r="AZ676" s="213"/>
      <c r="BA676" s="213"/>
      <c r="BB676" s="213"/>
      <c r="BC676" s="213"/>
      <c r="BD676" s="213"/>
    </row>
    <row r="677">
      <c r="A677" s="213">
        <f>IFERROR(__xludf.DUMMYFUNCTION("""COMPUTED_VALUE"""),2000.0)</f>
        <v>2000</v>
      </c>
      <c r="B677" s="213" t="str">
        <f>IFERROR(__xludf.DUMMYFUNCTION("""COMPUTED_VALUE"""),"JOSE GRANDA")</f>
        <v>JOSE GRANDA</v>
      </c>
      <c r="C677" s="213" t="str">
        <f>IFERROR(__xludf.DUMMYFUNCTION("""COMPUTED_VALUE"""),"TALLER SFT DE COMPUTACIÓN E INFORMÁTICA")</f>
        <v>TALLER SFT DE COMPUTACIÓN E INFORMÁTICA</v>
      </c>
      <c r="D677" s="213" t="str">
        <f>IFERROR(__xludf.DUMMYFUNCTION("""COMPUTED_VALUE"""),"PEDAGOGICO")</f>
        <v>PEDAGOGICO</v>
      </c>
      <c r="E677" s="213" t="str">
        <f>IFERROR(__xludf.DUMMYFUNCTION("""COMPUTED_VALUE"""),"MAT-160")</f>
        <v>MAT-160</v>
      </c>
      <c r="F677" s="213" t="str">
        <f>IFERROR(__xludf.DUMMYFUNCTION("""COMPUTED_VALUE"""),"MAT-160")</f>
        <v>MAT-160</v>
      </c>
      <c r="G677" s="213"/>
      <c r="H677" s="213" t="str">
        <f>IFERROR(__xludf.DUMMYFUNCTION("""COMPUTED_VALUE"""),"ESTUCHE DE ACTIVIDADES MOTIVADORAS PARA EL TALLER DE COMPUTACIÓN")</f>
        <v>ESTUCHE DE ACTIVIDADES MOTIVADORAS PARA EL TALLER DE COMPUTACIÓN</v>
      </c>
      <c r="I677" s="213" t="str">
        <f>IFERROR(__xludf.DUMMYFUNCTION("""COMPUTED_VALUE"""),"·  01 estuche con compartimientos en bajo relieve plástico, de 30 cm x 20 cm, con 24 fichas de plástico de 4 cm de lado y 4 mm de espesor, impresas por ambos lados en tinta indeleble, con números en color negro y con formas geométricas en 3 colores: rojo,"&amp;" azul y amarillo, en fondo blanco
·  El estuche presenta impresión de números: en una tapa del 1 al 24 y en la otra tapa las alternativas de solución a las actividades planteadas en el juego. Ambas tapas del estuche presentan ranuras en alto relieve plást"&amp;"ico para ubicación de las fichas
·  Incluye juego de 10 tarjetas interactivas, impresas a todo color en material foldcote de 20 cm x15 cm.
·  Incluye un USB interactivo, de 32 GB, con animaciones y preguntas del tema. Dentro de la cubierta frontal se encu"&amp;"entran las precauciones e instrucciones de manejo.")</f>
        <v>·  01 estuche con compartimientos en bajo relieve plástico, de 30 cm x 20 cm, con 24 fichas de plástico de 4 cm de lado y 4 mm de espesor, impresas por ambos lados en tinta indeleble, con números en color negro y con formas geométricas en 3 colores: rojo, azul y amarillo, en fondo blanco
·  El estuche presenta impresión de números: en una tapa del 1 al 24 y en la otra tapa las alternativas de solución a las actividades planteadas en el juego. Ambas tapas del estuche presentan ranuras en alto relieve plástico para ubicación de las fichas
·  Incluye juego de 10 tarjetas interactivas, impresas a todo color en material foldcote de 20 cm x15 cm.
·  Incluye un USB interactivo, de 32 GB, con animaciones y preguntas del tema. Dentro de la cubierta frontal se encuentran las precauciones e instrucciones de manejo.</v>
      </c>
      <c r="J677" s="213">
        <f>IFERROR(__xludf.DUMMYFUNCTION("""COMPUTED_VALUE"""),3.0)</f>
        <v>3</v>
      </c>
      <c r="K677" s="213" t="str">
        <f>IFERROR(__xludf.DUMMYFUNCTION("""COMPUTED_VALUE"""),"170 DÍAS CALENDARIO")</f>
        <v>170 DÍAS CALENDARIO</v>
      </c>
      <c r="L677" s="213" t="str">
        <f>IFERROR(__xludf.DUMMYFUNCTION("""COMPUTED_VALUE"""),"")</f>
        <v/>
      </c>
      <c r="M677" s="213">
        <f>IFERROR(__xludf.DUMMYFUNCTION("""COMPUTED_VALUE"""),1.0)</f>
        <v>1</v>
      </c>
      <c r="N677" s="213">
        <f>IFERROR(__xludf.DUMMYFUNCTION("""COMPUTED_VALUE"""),4.0)</f>
        <v>4</v>
      </c>
      <c r="O677" s="213">
        <f>IFERROR(__xludf.DUMMYFUNCTION("""COMPUTED_VALUE"""),4.0)</f>
        <v>4</v>
      </c>
      <c r="P677" s="213"/>
      <c r="Q677" s="213"/>
      <c r="R677" s="213"/>
      <c r="S677" s="213"/>
      <c r="T677" s="213" t="str">
        <f>IFERROR(__xludf.DUMMYFUNCTION("""COMPUTED_VALUE"""),"CONSULTA FINAL")</f>
        <v>CONSULTA FINAL</v>
      </c>
      <c r="U677" s="213"/>
      <c r="V677" s="213"/>
      <c r="W677" s="213" t="str">
        <f>IFERROR(__xludf.DUMMYFUNCTION("""COMPUTED_VALUE"""),"CRÍTICO")</f>
        <v>CRÍTICO</v>
      </c>
      <c r="X677" s="213"/>
      <c r="Y677" s="213"/>
      <c r="Z677" s="213"/>
      <c r="AA677" s="213" t="str">
        <f>IFERROR(__xludf.DUMMYFUNCTION("""COMPUTED_VALUE"""),"MAT-160 ESTUCHE DE ACTIVIDADES MOTIVADORAS PARA EL TALLER DE COMPUTACIÓN - CET")</f>
        <v>MAT-160 ESTUCHE DE ACTIVIDADES MOTIVADORAS PARA EL TALLER DE COMPUTACIÓN - CET</v>
      </c>
      <c r="AB677" s="213"/>
      <c r="AC677" s="213"/>
      <c r="AD677" s="213"/>
      <c r="AE677" s="213"/>
      <c r="AF677" s="213"/>
      <c r="AG677" s="213"/>
      <c r="AH677" s="213"/>
      <c r="AI677" s="213"/>
      <c r="AJ677" s="213"/>
      <c r="AK677" s="213"/>
      <c r="AL677" s="213"/>
      <c r="AM677" s="213"/>
      <c r="AN677" s="213"/>
      <c r="AO677" s="213"/>
      <c r="AP677" s="213" t="str">
        <f>IFERROR(__xludf.DUMMYFUNCTION("""COMPUTED_VALUE"""),"LUIS")</f>
        <v>LUIS</v>
      </c>
      <c r="AQ677" s="213" t="str">
        <f>IFERROR(__xludf.DUMMYFUNCTION("""COMPUTED_VALUE"""),"Coordinar con pedagogía")</f>
        <v>Coordinar con pedagogía</v>
      </c>
      <c r="AR677" s="213"/>
      <c r="AS677" s="213"/>
      <c r="AT677" s="213"/>
      <c r="AU677" s="213"/>
      <c r="AV677" s="213"/>
      <c r="AW677" s="213"/>
      <c r="AX677" s="213"/>
      <c r="AY677" s="213"/>
      <c r="AZ677" s="213"/>
      <c r="BA677" s="213"/>
      <c r="BB677" s="213"/>
      <c r="BC677" s="213"/>
      <c r="BD677" s="213"/>
    </row>
    <row r="678">
      <c r="A678" s="213">
        <f>IFERROR(__xludf.DUMMYFUNCTION("""COMPUTED_VALUE"""),1840.0)</f>
        <v>1840</v>
      </c>
      <c r="B678" s="213" t="str">
        <f>IFERROR(__xludf.DUMMYFUNCTION("""COMPUTED_VALUE"""),"GUILLERMO E. BILLINGHURST ")</f>
        <v>GUILLERMO E. BILLINGHURST </v>
      </c>
      <c r="C678" s="213" t="str">
        <f>IFERROR(__xludf.DUMMYFUNCTION("""COMPUTED_VALUE"""),"TALLER SFT DE EBANISTERÍA")</f>
        <v>TALLER SFT DE EBANISTERÍA</v>
      </c>
      <c r="D678" s="213" t="str">
        <f>IFERROR(__xludf.DUMMYFUNCTION("""COMPUTED_VALUE"""),"HERRAMIENTAS")</f>
        <v>HERRAMIENTAS</v>
      </c>
      <c r="E678" s="213" t="str">
        <f>IFERROR(__xludf.DUMMYFUNCTION("""COMPUTED_VALUE"""),"COM-262")</f>
        <v>COM-262</v>
      </c>
      <c r="F678" s="213" t="str">
        <f>IFERROR(__xludf.DUMMYFUNCTION("""COMPUTED_VALUE"""),"COM-262")</f>
        <v>COM-262</v>
      </c>
      <c r="G678" s="213"/>
      <c r="H678" s="213" t="str">
        <f>IFERROR(__xludf.DUMMYFUNCTION("""COMPUTED_VALUE"""),"PRENSA ESQUINERA")</f>
        <v>PRENSA ESQUINERA</v>
      </c>
      <c r="I678" s="213" t="str">
        <f>IFERROR(__xludf.DUMMYFUNCTION("""COMPUTED_VALUE"""),"Para sujetar piezas de hasta 3"" Cuerpo de Aluminio
Tornillo de ajuste en acero")</f>
        <v>Para sujetar piezas de hasta 3" Cuerpo de Aluminio
Tornillo de ajuste en acero</v>
      </c>
      <c r="J678" s="213">
        <f>IFERROR(__xludf.DUMMYFUNCTION("""COMPUTED_VALUE"""),3.0)</f>
        <v>3</v>
      </c>
      <c r="K678" s="213" t="str">
        <f>IFERROR(__xludf.DUMMYFUNCTION("""COMPUTED_VALUE"""),"90 DÍAS CALENDARIO")</f>
        <v>90 DÍAS CALENDARIO</v>
      </c>
      <c r="L678" s="213" t="str">
        <f>IFERROR(__xludf.DUMMYFUNCTION("""COMPUTED_VALUE"""),"")</f>
        <v/>
      </c>
      <c r="M678" s="213">
        <f>IFERROR(__xludf.DUMMYFUNCTION("""COMPUTED_VALUE"""),1.0)</f>
        <v>1</v>
      </c>
      <c r="N678" s="213">
        <f>IFERROR(__xludf.DUMMYFUNCTION("""COMPUTED_VALUE"""),16.0)</f>
        <v>16</v>
      </c>
      <c r="O678" s="213">
        <f>IFERROR(__xludf.DUMMYFUNCTION("""COMPUTED_VALUE"""),16.0)</f>
        <v>16</v>
      </c>
      <c r="P678" s="213"/>
      <c r="Q678" s="213"/>
      <c r="R678" s="213" t="str">
        <f>IFERROR(__xludf.DUMMYFUNCTION("""COMPUTED_VALUE"""),"SI")</f>
        <v>SI</v>
      </c>
      <c r="S678" s="213"/>
      <c r="T678" s="213" t="str">
        <f>IFERROR(__xludf.DUMMYFUNCTION("""COMPUTED_VALUE"""),"SI")</f>
        <v>SI</v>
      </c>
      <c r="U678" s="213" t="str">
        <f>IFERROR(__xludf.DUMMYFUNCTION("""COMPUTED_VALUE"""),"SI")</f>
        <v>SI</v>
      </c>
      <c r="V678" s="213" t="str">
        <f>IFERROR(__xludf.DUMMYFUNCTION("""COMPUTED_VALUE"""),"-")</f>
        <v>-</v>
      </c>
      <c r="W678" s="213" t="str">
        <f>IFERROR(__xludf.DUMMYFUNCTION("""COMPUTED_VALUE"""),"-")</f>
        <v>-</v>
      </c>
      <c r="X678" s="213" t="str">
        <f>IFERROR(__xludf.DUMMYFUNCTION("""COMPUTED_VALUE"""),"TRUPER")</f>
        <v>TRUPER</v>
      </c>
      <c r="Y678" s="213">
        <f>IFERROR(__xludf.DUMMYFUNCTION("""COMPUTED_VALUE"""),17690.0)</f>
        <v>17690</v>
      </c>
      <c r="Z678" s="215" t="str">
        <f>IFERROR(__xludf.DUMMYFUNCTION("""COMPUTED_VALUE"""),"https://cahema.pe/esquinera/15183-prensa-esquinera-3-truper-17690-7501206625194.html")</f>
        <v>https://cahema.pe/esquinera/15183-prensa-esquinera-3-truper-17690-7501206625194.html</v>
      </c>
      <c r="AA678" s="213" t="str">
        <f>IFERROR(__xludf.DUMMYFUNCTION("""COMPUTED_VALUE"""),"COM-262 PRENSA ESQUINERA - CET")</f>
        <v>COM-262 PRENSA ESQUINERA - CET</v>
      </c>
      <c r="AB678" s="213"/>
      <c r="AC678" s="213"/>
      <c r="AD678" s="213"/>
      <c r="AE678" s="213"/>
      <c r="AF678" s="213"/>
      <c r="AG678" s="213"/>
      <c r="AH678" s="213"/>
      <c r="AI678" s="213"/>
      <c r="AJ678" s="213"/>
      <c r="AK678" s="213"/>
      <c r="AL678" s="213"/>
      <c r="AM678" s="213"/>
      <c r="AN678" s="213"/>
      <c r="AO678" s="213"/>
      <c r="AP678" s="213" t="str">
        <f>IFERROR(__xludf.DUMMYFUNCTION("""COMPUTED_VALUE"""),"SEBASTIAN")</f>
        <v>SEBASTIAN</v>
      </c>
      <c r="AQ678" s="213"/>
      <c r="AR678" s="213"/>
      <c r="AS678" s="213"/>
      <c r="AT678" s="213"/>
      <c r="AU678" s="213"/>
      <c r="AV678" s="213"/>
      <c r="AW678" s="213"/>
      <c r="AX678" s="213"/>
      <c r="AY678" s="213"/>
      <c r="AZ678" s="213"/>
      <c r="BA678" s="213"/>
      <c r="BB678" s="213"/>
      <c r="BC678" s="213"/>
      <c r="BD678" s="213"/>
    </row>
    <row r="679">
      <c r="A679" s="213">
        <f>IFERROR(__xludf.DUMMYFUNCTION("""COMPUTED_VALUE"""),2622.0)</f>
        <v>2622</v>
      </c>
      <c r="B679" s="213" t="str">
        <f>IFERROR(__xludf.DUMMYFUNCTION("""COMPUTED_VALUE"""),"MANUEL ANTONIO MESONES MURO")</f>
        <v>MANUEL ANTONIO MESONES MURO</v>
      </c>
      <c r="C679" s="213" t="str">
        <f>IFERROR(__xludf.DUMMYFUNCTION("""COMPUTED_VALUE"""),"TALLER SFT DE EBANISTERÍA")</f>
        <v>TALLER SFT DE EBANISTERÍA</v>
      </c>
      <c r="D679" s="213" t="str">
        <f>IFERROR(__xludf.DUMMYFUNCTION("""COMPUTED_VALUE"""),"HERRAMIENTAS")</f>
        <v>HERRAMIENTAS</v>
      </c>
      <c r="E679" s="213" t="str">
        <f>IFERROR(__xludf.DUMMYFUNCTION("""COMPUTED_VALUE"""),"COM-262")</f>
        <v>COM-262</v>
      </c>
      <c r="F679" s="213" t="str">
        <f>IFERROR(__xludf.DUMMYFUNCTION("""COMPUTED_VALUE"""),"COM-262")</f>
        <v>COM-262</v>
      </c>
      <c r="G679" s="213"/>
      <c r="H679" s="213" t="str">
        <f>IFERROR(__xludf.DUMMYFUNCTION("""COMPUTED_VALUE"""),"PRENSA ESQUINERA")</f>
        <v>PRENSA ESQUINERA</v>
      </c>
      <c r="I679" s="213" t="str">
        <f>IFERROR(__xludf.DUMMYFUNCTION("""COMPUTED_VALUE"""),"Para sujetar piezas de hasta 3"" Cuerpo de Aluminio
Tornillo de ajuste en acero")</f>
        <v>Para sujetar piezas de hasta 3" Cuerpo de Aluminio
Tornillo de ajuste en acero</v>
      </c>
      <c r="J679" s="213">
        <f>IFERROR(__xludf.DUMMYFUNCTION("""COMPUTED_VALUE"""),3.0)</f>
        <v>3</v>
      </c>
      <c r="K679" s="213" t="str">
        <f>IFERROR(__xludf.DUMMYFUNCTION("""COMPUTED_VALUE"""),"90 DÍAS CALENDARIO")</f>
        <v>90 DÍAS CALENDARIO</v>
      </c>
      <c r="L679" s="213" t="str">
        <f>IFERROR(__xludf.DUMMYFUNCTION("""COMPUTED_VALUE"""),"")</f>
        <v/>
      </c>
      <c r="M679" s="213">
        <f>IFERROR(__xludf.DUMMYFUNCTION("""COMPUTED_VALUE"""),1.0)</f>
        <v>1</v>
      </c>
      <c r="N679" s="213">
        <f>IFERROR(__xludf.DUMMYFUNCTION("""COMPUTED_VALUE"""),16.0)</f>
        <v>16</v>
      </c>
      <c r="O679" s="213">
        <f>IFERROR(__xludf.DUMMYFUNCTION("""COMPUTED_VALUE"""),16.0)</f>
        <v>16</v>
      </c>
      <c r="P679" s="213"/>
      <c r="Q679" s="213"/>
      <c r="R679" s="213" t="str">
        <f>IFERROR(__xludf.DUMMYFUNCTION("""COMPUTED_VALUE"""),"SI")</f>
        <v>SI</v>
      </c>
      <c r="S679" s="213"/>
      <c r="T679" s="213" t="str">
        <f>IFERROR(__xludf.DUMMYFUNCTION("""COMPUTED_VALUE"""),"SI")</f>
        <v>SI</v>
      </c>
      <c r="U679" s="213" t="str">
        <f>IFERROR(__xludf.DUMMYFUNCTION("""COMPUTED_VALUE"""),"SI")</f>
        <v>SI</v>
      </c>
      <c r="V679" s="213" t="str">
        <f>IFERROR(__xludf.DUMMYFUNCTION("""COMPUTED_VALUE"""),"-")</f>
        <v>-</v>
      </c>
      <c r="W679" s="213" t="str">
        <f>IFERROR(__xludf.DUMMYFUNCTION("""COMPUTED_VALUE"""),"-")</f>
        <v>-</v>
      </c>
      <c r="X679" s="213" t="str">
        <f>IFERROR(__xludf.DUMMYFUNCTION("""COMPUTED_VALUE"""),"TRUPER")</f>
        <v>TRUPER</v>
      </c>
      <c r="Y679" s="213">
        <f>IFERROR(__xludf.DUMMYFUNCTION("""COMPUTED_VALUE"""),17690.0)</f>
        <v>17690</v>
      </c>
      <c r="Z679" s="215" t="str">
        <f>IFERROR(__xludf.DUMMYFUNCTION("""COMPUTED_VALUE"""),"https://cahema.pe/esquinera/15183-prensa-esquinera-3-truper-17690-7501206625194.html")</f>
        <v>https://cahema.pe/esquinera/15183-prensa-esquinera-3-truper-17690-7501206625194.html</v>
      </c>
      <c r="AA679" s="213" t="str">
        <f>IFERROR(__xludf.DUMMYFUNCTION("""COMPUTED_VALUE"""),"COM-262 PRENSA ESQUINERA - CET")</f>
        <v>COM-262 PRENSA ESQUINERA - CET</v>
      </c>
      <c r="AB679" s="213"/>
      <c r="AC679" s="213"/>
      <c r="AD679" s="213"/>
      <c r="AE679" s="213"/>
      <c r="AF679" s="213"/>
      <c r="AG679" s="213"/>
      <c r="AH679" s="213"/>
      <c r="AI679" s="213"/>
      <c r="AJ679" s="213"/>
      <c r="AK679" s="213"/>
      <c r="AL679" s="213"/>
      <c r="AM679" s="213"/>
      <c r="AN679" s="213"/>
      <c r="AO679" s="213"/>
      <c r="AP679" s="213" t="str">
        <f>IFERROR(__xludf.DUMMYFUNCTION("""COMPUTED_VALUE"""),"SEBASTIAN")</f>
        <v>SEBASTIAN</v>
      </c>
      <c r="AQ679" s="213"/>
      <c r="AR679" s="213"/>
      <c r="AS679" s="213"/>
      <c r="AT679" s="213"/>
      <c r="AU679" s="213"/>
      <c r="AV679" s="213"/>
      <c r="AW679" s="213"/>
      <c r="AX679" s="213"/>
      <c r="AY679" s="213"/>
      <c r="AZ679" s="213"/>
      <c r="BA679" s="213"/>
      <c r="BB679" s="213"/>
      <c r="BC679" s="213"/>
      <c r="BD679" s="213"/>
    </row>
    <row r="680">
      <c r="A680" s="213">
        <f>IFERROR(__xludf.DUMMYFUNCTION("""COMPUTED_VALUE"""),525.0)</f>
        <v>525</v>
      </c>
      <c r="B680" s="213" t="str">
        <f>IFERROR(__xludf.DUMMYFUNCTION("""COMPUTED_VALUE"""),"2026 SIMON BOLIVAR")</f>
        <v>2026 SIMON BOLIVAR</v>
      </c>
      <c r="C680" s="213" t="str">
        <f>IFERROR(__xludf.DUMMYFUNCTION("""COMPUTED_VALUE"""),"TALLER SFT DE INDUSTRIA ALIMENTARIA")</f>
        <v>TALLER SFT DE INDUSTRIA ALIMENTARIA</v>
      </c>
      <c r="D680" s="213" t="str">
        <f>IFERROR(__xludf.DUMMYFUNCTION("""COMPUTED_VALUE"""),"EQUIPOS")</f>
        <v>EQUIPOS</v>
      </c>
      <c r="E680" s="213" t="str">
        <f>IFERROR(__xludf.DUMMYFUNCTION("""COMPUTED_VALUE"""),"COM-263")</f>
        <v>COM-263</v>
      </c>
      <c r="F680" s="213" t="str">
        <f>IFERROR(__xludf.DUMMYFUNCTION("""COMPUTED_VALUE"""),"COM-263")</f>
        <v>COM-263</v>
      </c>
      <c r="G680" s="213"/>
      <c r="H680" s="213" t="str">
        <f>IFERROR(__xludf.DUMMYFUNCTION("""COMPUTED_VALUE"""),"PRENSA HIDRÁULICA MANUAL")</f>
        <v>PRENSA HIDRÁULICA MANUAL</v>
      </c>
      <c r="I680" s="213" t="str">
        <f>IFERROR(__xludf.DUMMYFUNCTION("""COMPUTED_VALUE"""),"· Grado automático: Manual.
· Dimensión aproximada (+/- 50 mm): (L*W*H):300mm x 200mm x 700mm
· Material: Acero inoxidable
· Velocidad del eje: 30-40 (min)
· La capacidad mínima de: 50 kg/día
. Incluye funda protectora impermeable para su almacenamiento.")</f>
        <v>· Grado automático: Manual.
· Dimensión aproximada (+/- 50 mm): (L*W*H):300mm x 200mm x 700mm
· Material: Acero inoxidable
· Velocidad del eje: 30-40 (min)
· La capacidad mínima de: 50 kg/día
. Incluye funda protectora impermeable para su almacenamiento.</v>
      </c>
      <c r="J680" s="213">
        <f>IFERROR(__xludf.DUMMYFUNCTION("""COMPUTED_VALUE"""),3.0)</f>
        <v>3</v>
      </c>
      <c r="K680" s="213" t="str">
        <f>IFERROR(__xludf.DUMMYFUNCTION("""COMPUTED_VALUE"""),"90 DÍAS CALENDARIO")</f>
        <v>90 DÍAS CALENDARIO</v>
      </c>
      <c r="L680" s="213" t="str">
        <f>IFERROR(__xludf.DUMMYFUNCTION("""COMPUTED_VALUE"""),"")</f>
        <v/>
      </c>
      <c r="M680" s="213">
        <f>IFERROR(__xludf.DUMMYFUNCTION("""COMPUTED_VALUE"""),1.0)</f>
        <v>1</v>
      </c>
      <c r="N680" s="213">
        <f>IFERROR(__xludf.DUMMYFUNCTION("""COMPUTED_VALUE"""),1.0)</f>
        <v>1</v>
      </c>
      <c r="O680" s="213">
        <f>IFERROR(__xludf.DUMMYFUNCTION("""COMPUTED_VALUE"""),1.0)</f>
        <v>1</v>
      </c>
      <c r="P680" s="213"/>
      <c r="Q680" s="213"/>
      <c r="R680" s="213" t="str">
        <f>IFERROR(__xludf.DUMMYFUNCTION("""COMPUTED_VALUE"""),"SI")</f>
        <v>SI</v>
      </c>
      <c r="S680" s="213"/>
      <c r="T680" s="213" t="str">
        <f>IFERROR(__xludf.DUMMYFUNCTION("""COMPUTED_VALUE"""),"SI")</f>
        <v>SI</v>
      </c>
      <c r="U680" s="213" t="str">
        <f>IFERROR(__xludf.DUMMYFUNCTION("""COMPUTED_VALUE"""),"SI")</f>
        <v>SI</v>
      </c>
      <c r="V680" s="213" t="str">
        <f>IFERROR(__xludf.DUMMYFUNCTION("""COMPUTED_VALUE"""),"-")</f>
        <v>-</v>
      </c>
      <c r="W680" s="213" t="str">
        <f>IFERROR(__xludf.DUMMYFUNCTION("""COMPUTED_VALUE"""),"-")</f>
        <v>-</v>
      </c>
      <c r="X680" s="213" t="str">
        <f>IFERROR(__xludf.DUMMYFUNCTION("""COMPUTED_VALUE"""),"GENERICO")</f>
        <v>GENERICO</v>
      </c>
      <c r="Y680" s="213" t="str">
        <f>IFERROR(__xludf.DUMMYFUNCTION("""COMPUTED_VALUE"""),"GENERICO")</f>
        <v>GENERICO</v>
      </c>
      <c r="Z680" s="215" t="str">
        <f>IFERROR(__xludf.DUMMYFUNCTION("""COMPUTED_VALUE"""),"https://www.alibaba.com/product-detail/hydraulic-cold-oil-press-extraction-pressing_1600589637542.html")</f>
        <v>https://www.alibaba.com/product-detail/hydraulic-cold-oil-press-extraction-pressing_1600589637542.html</v>
      </c>
      <c r="AA680" s="213" t="str">
        <f>IFERROR(__xludf.DUMMYFUNCTION("""COMPUTED_VALUE"""),"COM-263 PRENSA HIDRÁULICA MANUAL - CET")</f>
        <v>COM-263 PRENSA HIDRÁULICA MANUAL - CET</v>
      </c>
      <c r="AB680" s="213"/>
      <c r="AC680" s="213"/>
      <c r="AD680" s="213"/>
      <c r="AE680" s="213"/>
      <c r="AF680" s="213"/>
      <c r="AG680" s="213"/>
      <c r="AH680" s="213"/>
      <c r="AI680" s="213"/>
      <c r="AJ680" s="213"/>
      <c r="AK680" s="213"/>
      <c r="AL680" s="213"/>
      <c r="AM680" s="213"/>
      <c r="AN680" s="213"/>
      <c r="AO680" s="213"/>
      <c r="AP680" s="213" t="str">
        <f>IFERROR(__xludf.DUMMYFUNCTION("""COMPUTED_VALUE"""),"LUIS")</f>
        <v>LUIS</v>
      </c>
      <c r="AQ680" s="213"/>
      <c r="AR680" s="213"/>
      <c r="AS680" s="213"/>
      <c r="AT680" s="213"/>
      <c r="AU680" s="213"/>
      <c r="AV680" s="213"/>
      <c r="AW680" s="213"/>
      <c r="AX680" s="213"/>
      <c r="AY680" s="213"/>
      <c r="AZ680" s="213"/>
      <c r="BA680" s="213"/>
      <c r="BB680" s="213"/>
      <c r="BC680" s="213"/>
      <c r="BD680" s="213"/>
    </row>
    <row r="681">
      <c r="A681" s="213">
        <f>IFERROR(__xludf.DUMMYFUNCTION("""COMPUTED_VALUE"""),1155.0)</f>
        <v>1155</v>
      </c>
      <c r="B681" s="213" t="str">
        <f>IFERROR(__xludf.DUMMYFUNCTION("""COMPUTED_VALUE"""),"FRANCISCO IRAZOLA")</f>
        <v>FRANCISCO IRAZOLA</v>
      </c>
      <c r="C681" s="213" t="str">
        <f>IFERROR(__xludf.DUMMYFUNCTION("""COMPUTED_VALUE"""),"TALLER SFT DE INDUSTRIA ALIMENTARIA")</f>
        <v>TALLER SFT DE INDUSTRIA ALIMENTARIA</v>
      </c>
      <c r="D681" s="213" t="str">
        <f>IFERROR(__xludf.DUMMYFUNCTION("""COMPUTED_VALUE"""),"EQUIPOS")</f>
        <v>EQUIPOS</v>
      </c>
      <c r="E681" s="213" t="str">
        <f>IFERROR(__xludf.DUMMYFUNCTION("""COMPUTED_VALUE"""),"COM-263")</f>
        <v>COM-263</v>
      </c>
      <c r="F681" s="213" t="str">
        <f>IFERROR(__xludf.DUMMYFUNCTION("""COMPUTED_VALUE"""),"COM-263")</f>
        <v>COM-263</v>
      </c>
      <c r="G681" s="213"/>
      <c r="H681" s="213" t="str">
        <f>IFERROR(__xludf.DUMMYFUNCTION("""COMPUTED_VALUE"""),"PRENSA HIDRÁULICA MANUAL")</f>
        <v>PRENSA HIDRÁULICA MANUAL</v>
      </c>
      <c r="I681" s="213" t="str">
        <f>IFERROR(__xludf.DUMMYFUNCTION("""COMPUTED_VALUE"""),"· Grado automático: Manual.
· Dimensión aproximada (+/- 50 mm): (L*W*H):300mm x 200mm x 700mm
· Material: Acero inoxidable
· Velocidad del eje: 30-40 (min)
· La capacidad mínima de: 50 kg/día
. Incluye funda protectora impermeable para su almacenamiento.")</f>
        <v>· Grado automático: Manual.
· Dimensión aproximada (+/- 50 mm): (L*W*H):300mm x 200mm x 700mm
· Material: Acero inoxidable
· Velocidad del eje: 30-40 (min)
· La capacidad mínima de: 50 kg/día
. Incluye funda protectora impermeable para su almacenamiento.</v>
      </c>
      <c r="J681" s="213">
        <f>IFERROR(__xludf.DUMMYFUNCTION("""COMPUTED_VALUE"""),3.0)</f>
        <v>3</v>
      </c>
      <c r="K681" s="213" t="str">
        <f>IFERROR(__xludf.DUMMYFUNCTION("""COMPUTED_VALUE"""),"90 DÍAS CALENDARIO")</f>
        <v>90 DÍAS CALENDARIO</v>
      </c>
      <c r="L681" s="213" t="str">
        <f>IFERROR(__xludf.DUMMYFUNCTION("""COMPUTED_VALUE"""),"")</f>
        <v/>
      </c>
      <c r="M681" s="213">
        <f>IFERROR(__xludf.DUMMYFUNCTION("""COMPUTED_VALUE"""),1.0)</f>
        <v>1</v>
      </c>
      <c r="N681" s="213">
        <f>IFERROR(__xludf.DUMMYFUNCTION("""COMPUTED_VALUE"""),1.0)</f>
        <v>1</v>
      </c>
      <c r="O681" s="213">
        <f>IFERROR(__xludf.DUMMYFUNCTION("""COMPUTED_VALUE"""),1.0)</f>
        <v>1</v>
      </c>
      <c r="P681" s="213"/>
      <c r="Q681" s="213"/>
      <c r="R681" s="213" t="str">
        <f>IFERROR(__xludf.DUMMYFUNCTION("""COMPUTED_VALUE"""),"SI")</f>
        <v>SI</v>
      </c>
      <c r="S681" s="213"/>
      <c r="T681" s="213" t="str">
        <f>IFERROR(__xludf.DUMMYFUNCTION("""COMPUTED_VALUE"""),"SI")</f>
        <v>SI</v>
      </c>
      <c r="U681" s="213" t="str">
        <f>IFERROR(__xludf.DUMMYFUNCTION("""COMPUTED_VALUE"""),"SI")</f>
        <v>SI</v>
      </c>
      <c r="V681" s="213" t="str">
        <f>IFERROR(__xludf.DUMMYFUNCTION("""COMPUTED_VALUE"""),"-")</f>
        <v>-</v>
      </c>
      <c r="W681" s="213" t="str">
        <f>IFERROR(__xludf.DUMMYFUNCTION("""COMPUTED_VALUE"""),"-")</f>
        <v>-</v>
      </c>
      <c r="X681" s="213" t="str">
        <f>IFERROR(__xludf.DUMMYFUNCTION("""COMPUTED_VALUE"""),"GENERICO")</f>
        <v>GENERICO</v>
      </c>
      <c r="Y681" s="213" t="str">
        <f>IFERROR(__xludf.DUMMYFUNCTION("""COMPUTED_VALUE"""),"GENERICO")</f>
        <v>GENERICO</v>
      </c>
      <c r="Z681" s="215" t="str">
        <f>IFERROR(__xludf.DUMMYFUNCTION("""COMPUTED_VALUE"""),"https://www.alibaba.com/product-detail/hydraulic-cold-oil-press-extraction-pressing_1600589637542.html")</f>
        <v>https://www.alibaba.com/product-detail/hydraulic-cold-oil-press-extraction-pressing_1600589637542.html</v>
      </c>
      <c r="AA681" s="213" t="str">
        <f>IFERROR(__xludf.DUMMYFUNCTION("""COMPUTED_VALUE"""),"COM-263 PRENSA HIDRÁULICA MANUAL - CET")</f>
        <v>COM-263 PRENSA HIDRÁULICA MANUAL - CET</v>
      </c>
      <c r="AB681" s="213"/>
      <c r="AC681" s="213"/>
      <c r="AD681" s="213"/>
      <c r="AE681" s="213"/>
      <c r="AF681" s="213"/>
      <c r="AG681" s="213"/>
      <c r="AH681" s="213"/>
      <c r="AI681" s="213"/>
      <c r="AJ681" s="213"/>
      <c r="AK681" s="213"/>
      <c r="AL681" s="213"/>
      <c r="AM681" s="213"/>
      <c r="AN681" s="213"/>
      <c r="AO681" s="213"/>
      <c r="AP681" s="213" t="str">
        <f>IFERROR(__xludf.DUMMYFUNCTION("""COMPUTED_VALUE"""),"LUIS")</f>
        <v>LUIS</v>
      </c>
      <c r="AQ681" s="213"/>
      <c r="AR681" s="213"/>
      <c r="AS681" s="213"/>
      <c r="AT681" s="213"/>
      <c r="AU681" s="213"/>
      <c r="AV681" s="213"/>
      <c r="AW681" s="213"/>
      <c r="AX681" s="213"/>
      <c r="AY681" s="213"/>
      <c r="AZ681" s="213"/>
      <c r="BA681" s="213"/>
      <c r="BB681" s="213"/>
      <c r="BC681" s="213"/>
      <c r="BD681" s="213"/>
    </row>
    <row r="682">
      <c r="A682" s="213">
        <f>IFERROR(__xludf.DUMMYFUNCTION("""COMPUTED_VALUE"""),1427.0)</f>
        <v>1427</v>
      </c>
      <c r="B682" s="213" t="str">
        <f>IFERROR(__xludf.DUMMYFUNCTION("""COMPUTED_VALUE"""),"GUILLERMO E. BILLINGHURST ")</f>
        <v>GUILLERMO E. BILLINGHURST </v>
      </c>
      <c r="C682" s="213" t="str">
        <f>IFERROR(__xludf.DUMMYFUNCTION("""COMPUTED_VALUE"""),"TALLER SFT DE INDUSTRIA ALIMENTARIA")</f>
        <v>TALLER SFT DE INDUSTRIA ALIMENTARIA</v>
      </c>
      <c r="D682" s="213" t="str">
        <f>IFERROR(__xludf.DUMMYFUNCTION("""COMPUTED_VALUE"""),"EQUIPOS")</f>
        <v>EQUIPOS</v>
      </c>
      <c r="E682" s="213" t="str">
        <f>IFERROR(__xludf.DUMMYFUNCTION("""COMPUTED_VALUE"""),"COM-263")</f>
        <v>COM-263</v>
      </c>
      <c r="F682" s="213" t="str">
        <f>IFERROR(__xludf.DUMMYFUNCTION("""COMPUTED_VALUE"""),"COM-263")</f>
        <v>COM-263</v>
      </c>
      <c r="G682" s="213"/>
      <c r="H682" s="213" t="str">
        <f>IFERROR(__xludf.DUMMYFUNCTION("""COMPUTED_VALUE"""),"PRENSA HIDRÁULICA MANUAL")</f>
        <v>PRENSA HIDRÁULICA MANUAL</v>
      </c>
      <c r="I682" s="213" t="str">
        <f>IFERROR(__xludf.DUMMYFUNCTION("""COMPUTED_VALUE"""),"· Grado automático: Manual.
· Dimensión aproximada (+/- 50 mm): (L*W*H):300mm x 200mm x 700mm
· Material: Acero inoxidable
· Velocidad del eje: 30-40 (min)
· La capacidad mínima de: 50 kg/día
. Incluye funda protectora impermeable para su almacenamiento.")</f>
        <v>· Grado automático: Manual.
· Dimensión aproximada (+/- 50 mm): (L*W*H):300mm x 200mm x 700mm
· Material: Acero inoxidable
· Velocidad del eje: 30-40 (min)
· La capacidad mínima de: 50 kg/día
. Incluye funda protectora impermeable para su almacenamiento.</v>
      </c>
      <c r="J682" s="213">
        <f>IFERROR(__xludf.DUMMYFUNCTION("""COMPUTED_VALUE"""),3.0)</f>
        <v>3</v>
      </c>
      <c r="K682" s="213" t="str">
        <f>IFERROR(__xludf.DUMMYFUNCTION("""COMPUTED_VALUE"""),"90 DÍAS CALENDARIO")</f>
        <v>90 DÍAS CALENDARIO</v>
      </c>
      <c r="L682" s="213" t="str">
        <f>IFERROR(__xludf.DUMMYFUNCTION("""COMPUTED_VALUE"""),"")</f>
        <v/>
      </c>
      <c r="M682" s="213">
        <f>IFERROR(__xludf.DUMMYFUNCTION("""COMPUTED_VALUE"""),1.0)</f>
        <v>1</v>
      </c>
      <c r="N682" s="213">
        <f>IFERROR(__xludf.DUMMYFUNCTION("""COMPUTED_VALUE"""),1.0)</f>
        <v>1</v>
      </c>
      <c r="O682" s="213">
        <f>IFERROR(__xludf.DUMMYFUNCTION("""COMPUTED_VALUE"""),1.0)</f>
        <v>1</v>
      </c>
      <c r="P682" s="213"/>
      <c r="Q682" s="213"/>
      <c r="R682" s="213" t="str">
        <f>IFERROR(__xludf.DUMMYFUNCTION("""COMPUTED_VALUE"""),"SI")</f>
        <v>SI</v>
      </c>
      <c r="S682" s="213"/>
      <c r="T682" s="213" t="str">
        <f>IFERROR(__xludf.DUMMYFUNCTION("""COMPUTED_VALUE"""),"SI")</f>
        <v>SI</v>
      </c>
      <c r="U682" s="213" t="str">
        <f>IFERROR(__xludf.DUMMYFUNCTION("""COMPUTED_VALUE"""),"SI")</f>
        <v>SI</v>
      </c>
      <c r="V682" s="213" t="str">
        <f>IFERROR(__xludf.DUMMYFUNCTION("""COMPUTED_VALUE"""),"-")</f>
        <v>-</v>
      </c>
      <c r="W682" s="213" t="str">
        <f>IFERROR(__xludf.DUMMYFUNCTION("""COMPUTED_VALUE"""),"-")</f>
        <v>-</v>
      </c>
      <c r="X682" s="213" t="str">
        <f>IFERROR(__xludf.DUMMYFUNCTION("""COMPUTED_VALUE"""),"GENERICO")</f>
        <v>GENERICO</v>
      </c>
      <c r="Y682" s="213" t="str">
        <f>IFERROR(__xludf.DUMMYFUNCTION("""COMPUTED_VALUE"""),"GENERICO")</f>
        <v>GENERICO</v>
      </c>
      <c r="Z682" s="215" t="str">
        <f>IFERROR(__xludf.DUMMYFUNCTION("""COMPUTED_VALUE"""),"https://www.alibaba.com/product-detail/hydraulic-cold-oil-press-extraction-pressing_1600589637542.html")</f>
        <v>https://www.alibaba.com/product-detail/hydraulic-cold-oil-press-extraction-pressing_1600589637542.html</v>
      </c>
      <c r="AA682" s="213" t="str">
        <f>IFERROR(__xludf.DUMMYFUNCTION("""COMPUTED_VALUE"""),"COM-263 PRENSA HIDRÁULICA MANUAL - CET")</f>
        <v>COM-263 PRENSA HIDRÁULICA MANUAL - CET</v>
      </c>
      <c r="AB682" s="213"/>
      <c r="AC682" s="213"/>
      <c r="AD682" s="213"/>
      <c r="AE682" s="213"/>
      <c r="AF682" s="213"/>
      <c r="AG682" s="213"/>
      <c r="AH682" s="213"/>
      <c r="AI682" s="213"/>
      <c r="AJ682" s="213"/>
      <c r="AK682" s="213"/>
      <c r="AL682" s="213"/>
      <c r="AM682" s="213"/>
      <c r="AN682" s="213"/>
      <c r="AO682" s="213"/>
      <c r="AP682" s="213" t="str">
        <f>IFERROR(__xludf.DUMMYFUNCTION("""COMPUTED_VALUE"""),"LUIS")</f>
        <v>LUIS</v>
      </c>
      <c r="AQ682" s="213"/>
      <c r="AR682" s="213"/>
      <c r="AS682" s="213"/>
      <c r="AT682" s="213"/>
      <c r="AU682" s="213"/>
      <c r="AV682" s="213"/>
      <c r="AW682" s="213"/>
      <c r="AX682" s="213"/>
      <c r="AY682" s="213"/>
      <c r="AZ682" s="213"/>
      <c r="BA682" s="213"/>
      <c r="BB682" s="213"/>
      <c r="BC682" s="213"/>
      <c r="BD682" s="213"/>
    </row>
    <row r="683">
      <c r="A683" s="213">
        <f>IFERROR(__xludf.DUMMYFUNCTION("""COMPUTED_VALUE"""),2114.0)</f>
        <v>2114</v>
      </c>
      <c r="B683" s="213" t="str">
        <f>IFERROR(__xludf.DUMMYFUNCTION("""COMPUTED_VALUE"""),"JOSE GRANDA")</f>
        <v>JOSE GRANDA</v>
      </c>
      <c r="C683" s="213" t="str">
        <f>IFERROR(__xludf.DUMMYFUNCTION("""COMPUTED_VALUE"""),"TALLER SFT DE INDUSTRIA ALIMENTARIA")</f>
        <v>TALLER SFT DE INDUSTRIA ALIMENTARIA</v>
      </c>
      <c r="D683" s="213" t="str">
        <f>IFERROR(__xludf.DUMMYFUNCTION("""COMPUTED_VALUE"""),"EQUIPOS")</f>
        <v>EQUIPOS</v>
      </c>
      <c r="E683" s="213" t="str">
        <f>IFERROR(__xludf.DUMMYFUNCTION("""COMPUTED_VALUE"""),"COM-263")</f>
        <v>COM-263</v>
      </c>
      <c r="F683" s="213" t="str">
        <f>IFERROR(__xludf.DUMMYFUNCTION("""COMPUTED_VALUE"""),"COM-263")</f>
        <v>COM-263</v>
      </c>
      <c r="G683" s="213"/>
      <c r="H683" s="213" t="str">
        <f>IFERROR(__xludf.DUMMYFUNCTION("""COMPUTED_VALUE"""),"PRENSA HIDRÁULICA MANUAL")</f>
        <v>PRENSA HIDRÁULICA MANUAL</v>
      </c>
      <c r="I683" s="213" t="str">
        <f>IFERROR(__xludf.DUMMYFUNCTION("""COMPUTED_VALUE"""),"· Grado automático: Manual.
· Dimensión aproximada (+/- 50 mm): (L*W*H):300mm x 200mm x 700mm
· Material: Acero inoxidable
· Velocidad del eje: 30-40 (min)
· La capacidad mínima de: 50 kg/día
. Incluye funda protectora impermeable para su almacenamiento.")</f>
        <v>· Grado automático: Manual.
· Dimensión aproximada (+/- 50 mm): (L*W*H):300mm x 200mm x 700mm
· Material: Acero inoxidable
· Velocidad del eje: 30-40 (min)
· La capacidad mínima de: 50 kg/día
. Incluye funda protectora impermeable para su almacenamiento.</v>
      </c>
      <c r="J683" s="213">
        <f>IFERROR(__xludf.DUMMYFUNCTION("""COMPUTED_VALUE"""),3.0)</f>
        <v>3</v>
      </c>
      <c r="K683" s="213" t="str">
        <f>IFERROR(__xludf.DUMMYFUNCTION("""COMPUTED_VALUE"""),"90 DÍAS CALENDARIO")</f>
        <v>90 DÍAS CALENDARIO</v>
      </c>
      <c r="L683" s="213" t="str">
        <f>IFERROR(__xludf.DUMMYFUNCTION("""COMPUTED_VALUE"""),"")</f>
        <v/>
      </c>
      <c r="M683" s="213">
        <f>IFERROR(__xludf.DUMMYFUNCTION("""COMPUTED_VALUE"""),1.0)</f>
        <v>1</v>
      </c>
      <c r="N683" s="213">
        <f>IFERROR(__xludf.DUMMYFUNCTION("""COMPUTED_VALUE"""),1.0)</f>
        <v>1</v>
      </c>
      <c r="O683" s="213">
        <f>IFERROR(__xludf.DUMMYFUNCTION("""COMPUTED_VALUE"""),1.0)</f>
        <v>1</v>
      </c>
      <c r="P683" s="213"/>
      <c r="Q683" s="213"/>
      <c r="R683" s="213" t="str">
        <f>IFERROR(__xludf.DUMMYFUNCTION("""COMPUTED_VALUE"""),"SI")</f>
        <v>SI</v>
      </c>
      <c r="S683" s="213"/>
      <c r="T683" s="213" t="str">
        <f>IFERROR(__xludf.DUMMYFUNCTION("""COMPUTED_VALUE"""),"SI")</f>
        <v>SI</v>
      </c>
      <c r="U683" s="213" t="str">
        <f>IFERROR(__xludf.DUMMYFUNCTION("""COMPUTED_VALUE"""),"SI")</f>
        <v>SI</v>
      </c>
      <c r="V683" s="213" t="str">
        <f>IFERROR(__xludf.DUMMYFUNCTION("""COMPUTED_VALUE"""),"-")</f>
        <v>-</v>
      </c>
      <c r="W683" s="213" t="str">
        <f>IFERROR(__xludf.DUMMYFUNCTION("""COMPUTED_VALUE"""),"-")</f>
        <v>-</v>
      </c>
      <c r="X683" s="213" t="str">
        <f>IFERROR(__xludf.DUMMYFUNCTION("""COMPUTED_VALUE"""),"GENERICO")</f>
        <v>GENERICO</v>
      </c>
      <c r="Y683" s="213" t="str">
        <f>IFERROR(__xludf.DUMMYFUNCTION("""COMPUTED_VALUE"""),"GENERICO")</f>
        <v>GENERICO</v>
      </c>
      <c r="Z683" s="215" t="str">
        <f>IFERROR(__xludf.DUMMYFUNCTION("""COMPUTED_VALUE"""),"https://www.alibaba.com/product-detail/hydraulic-cold-oil-press-extraction-pressing_1600589637542.html")</f>
        <v>https://www.alibaba.com/product-detail/hydraulic-cold-oil-press-extraction-pressing_1600589637542.html</v>
      </c>
      <c r="AA683" s="213" t="str">
        <f>IFERROR(__xludf.DUMMYFUNCTION("""COMPUTED_VALUE"""),"COM-263 PRENSA HIDRÁULICA MANUAL - CET")</f>
        <v>COM-263 PRENSA HIDRÁULICA MANUAL - CET</v>
      </c>
      <c r="AB683" s="213"/>
      <c r="AC683" s="213"/>
      <c r="AD683" s="213"/>
      <c r="AE683" s="213"/>
      <c r="AF683" s="213"/>
      <c r="AG683" s="213"/>
      <c r="AH683" s="213"/>
      <c r="AI683" s="213"/>
      <c r="AJ683" s="213"/>
      <c r="AK683" s="213"/>
      <c r="AL683" s="213"/>
      <c r="AM683" s="213"/>
      <c r="AN683" s="213"/>
      <c r="AO683" s="213"/>
      <c r="AP683" s="213" t="str">
        <f>IFERROR(__xludf.DUMMYFUNCTION("""COMPUTED_VALUE"""),"LUIS")</f>
        <v>LUIS</v>
      </c>
      <c r="AQ683" s="213"/>
      <c r="AR683" s="213"/>
      <c r="AS683" s="213"/>
      <c r="AT683" s="213"/>
      <c r="AU683" s="213"/>
      <c r="AV683" s="213"/>
      <c r="AW683" s="213"/>
      <c r="AX683" s="213"/>
      <c r="AY683" s="213"/>
      <c r="AZ683" s="213"/>
      <c r="BA683" s="213"/>
      <c r="BB683" s="213"/>
      <c r="BC683" s="213"/>
      <c r="BD683" s="213"/>
    </row>
    <row r="684">
      <c r="A684" s="213">
        <f>IFERROR(__xludf.DUMMYFUNCTION("""COMPUTED_VALUE"""),473.0)</f>
        <v>473</v>
      </c>
      <c r="B684" s="213" t="str">
        <f>IFERROR(__xludf.DUMMYFUNCTION("""COMPUTED_VALUE"""),"2026 SIMON BOLIVAR")</f>
        <v>2026 SIMON BOLIVAR</v>
      </c>
      <c r="C684" s="213" t="str">
        <f>IFERROR(__xludf.DUMMYFUNCTION("""COMPUTED_VALUE"""),"TALLER SFT DE INDUSTRIA ALIMENTARIA")</f>
        <v>TALLER SFT DE INDUSTRIA ALIMENTARIA</v>
      </c>
      <c r="D684" s="213" t="str">
        <f>IFERROR(__xludf.DUMMYFUNCTION("""COMPUTED_VALUE"""),"EQUIPOS")</f>
        <v>EQUIPOS</v>
      </c>
      <c r="E684" s="213" t="str">
        <f>IFERROR(__xludf.DUMMYFUNCTION("""COMPUTED_VALUE"""),"COM-264")</f>
        <v>COM-264</v>
      </c>
      <c r="F684" s="213" t="str">
        <f>IFERROR(__xludf.DUMMYFUNCTION("""COMPUTED_VALUE"""),"COM-264")</f>
        <v>COM-264</v>
      </c>
      <c r="G684" s="213"/>
      <c r="H684" s="213" t="str">
        <f>IFERROR(__xludf.DUMMYFUNCTION("""COMPUTED_VALUE"""),"PRENSA MANUAL PARA FRUTAS Y VERDURAS")</f>
        <v>PRENSA MANUAL PARA FRUTAS Y VERDURAS</v>
      </c>
      <c r="I684" s="213" t="str">
        <f>IFERROR(__xludf.DUMMYFUNCTION("""COMPUTED_VALUE"""),"· Estructura en acero barnizado con jaula perforada y cesto anti-salpicadura de acero inoxidable.
· Plato estrujador en hierro colado.
· Barnizadura en horno con compuestos epóxido para alimentos.
· Capacidad jaula mínima: 5 Kg.
· Capacidad jaula máxima: "&amp;"15.300 Kg.
. Medidas: 39.5 cm. (diámetro de base) x 85.5 cm. (altura), aproximado
. Jaula 25.5 cm (diámetro) x 32.5 cm (altura), aproximado.
. Incluye funda protectora, impermeable para su almacenamiento.")</f>
        <v>· Estructura en acero barnizado con jaula perforada y cesto anti-salpicadura de acero inoxidable.
· Plato estrujador en hierro colado.
· Barnizadura en horno con compuestos epóxido para alimentos.
· Capacidad jaula mínima: 5 Kg.
· Capacidad jaula máxima: 15.300 Kg.
. Medidas: 39.5 cm. (diámetro de base) x 85.5 cm. (altura), aproximado
. Jaula 25.5 cm (diámetro) x 32.5 cm (altura), aproximado.
. Incluye funda protectora, impermeable para su almacenamiento.</v>
      </c>
      <c r="J684" s="213">
        <f>IFERROR(__xludf.DUMMYFUNCTION("""COMPUTED_VALUE"""),3.0)</f>
        <v>3</v>
      </c>
      <c r="K684" s="213" t="str">
        <f>IFERROR(__xludf.DUMMYFUNCTION("""COMPUTED_VALUE"""),"90 DÍAS CALENDARIO")</f>
        <v>90 DÍAS CALENDARIO</v>
      </c>
      <c r="L684" s="213" t="str">
        <f>IFERROR(__xludf.DUMMYFUNCTION("""COMPUTED_VALUE"""),"")</f>
        <v/>
      </c>
      <c r="M684" s="213">
        <f>IFERROR(__xludf.DUMMYFUNCTION("""COMPUTED_VALUE"""),1.0)</f>
        <v>1</v>
      </c>
      <c r="N684" s="213">
        <f>IFERROR(__xludf.DUMMYFUNCTION("""COMPUTED_VALUE"""),1.0)</f>
        <v>1</v>
      </c>
      <c r="O684" s="213">
        <f>IFERROR(__xludf.DUMMYFUNCTION("""COMPUTED_VALUE"""),1.0)</f>
        <v>1</v>
      </c>
      <c r="P684" s="213"/>
      <c r="Q684" s="213"/>
      <c r="R684" s="213" t="str">
        <f>IFERROR(__xludf.DUMMYFUNCTION("""COMPUTED_VALUE"""),"SI")</f>
        <v>SI</v>
      </c>
      <c r="S684" s="213"/>
      <c r="T684" s="213" t="str">
        <f>IFERROR(__xludf.DUMMYFUNCTION("""COMPUTED_VALUE"""),"SI")</f>
        <v>SI</v>
      </c>
      <c r="U684" s="213" t="str">
        <f>IFERROR(__xludf.DUMMYFUNCTION("""COMPUTED_VALUE"""),"NO")</f>
        <v>NO</v>
      </c>
      <c r="V684" s="213" t="str">
        <f>IFERROR(__xludf.DUMMYFUNCTION("""COMPUTED_VALUE"""),"SUSTENTO")</f>
        <v>SUSTENTO</v>
      </c>
      <c r="W684" s="213" t="str">
        <f>IFERROR(__xludf.DUMMYFUNCTION("""COMPUTED_VALUE"""),"DIMENSIONAL")</f>
        <v>DIMENSIONAL</v>
      </c>
      <c r="X684" s="213" t="str">
        <f>IFERROR(__xludf.DUMMYFUNCTION("""COMPUTED_VALUE"""),"MOSAKAR")</f>
        <v>MOSAKAR</v>
      </c>
      <c r="Y684" s="213" t="str">
        <f>IFERROR(__xludf.DUMMYFUNCTION("""COMPUTED_VALUE"""),"MCBFP-15GREEN")</f>
        <v>MCBFP-15GREEN</v>
      </c>
      <c r="Z684" s="215" t="str">
        <f>IFERROR(__xludf.DUMMYFUNCTION("""COMPUTED_VALUE"""),"https://www.amazon.com/dp/B0DBVLYY3H/ref=sspa_dk_detail_1?psc=1&amp;pd_rd_i=B0DBVLYY3H&amp;pd_rd_w=eBVVL&amp;content-id=amzn1.sym.f2f1cf8f-cab4-44dc-82ba-0ca811fb90cc&amp;pf_rd_p=f2f1cf8f-cab4-44dc-82ba-0ca811fb90cc&amp;pf_rd_r=0RKNDHPPVYBKJDAQ4YD8&amp;pd_rd_wg=Bto1w&amp;pd_rd_r=d53"&amp;"3b58e-9a6b-4d72-971d-28a0b6006103&amp;sp_csd=d2lkZ2V0TmFtZT1zcF9kZXRhaWxfdGhlbWF0aWM")</f>
        <v>https://www.amazon.com/dp/B0DBVLYY3H/ref=sspa_dk_detail_1?psc=1&amp;pd_rd_i=B0DBVLYY3H&amp;pd_rd_w=eBVVL&amp;content-id=amzn1.sym.f2f1cf8f-cab4-44dc-82ba-0ca811fb90cc&amp;pf_rd_p=f2f1cf8f-cab4-44dc-82ba-0ca811fb90cc&amp;pf_rd_r=0RKNDHPPVYBKJDAQ4YD8&amp;pd_rd_wg=Bto1w&amp;pd_rd_r=d533b58e-9a6b-4d72-971d-28a0b6006103&amp;sp_csd=d2lkZ2V0TmFtZT1zcF9kZXRhaWxfdGhlbWF0aWM</v>
      </c>
      <c r="AA684" s="213" t="str">
        <f>IFERROR(__xludf.DUMMYFUNCTION("""COMPUTED_VALUE"""),"COM-264 PRENSA MANUAL PARA FRUTAS Y VERDURAS - CET")</f>
        <v>COM-264 PRENSA MANUAL PARA FRUTAS Y VERDURAS - CET</v>
      </c>
      <c r="AB684" s="213"/>
      <c r="AC684" s="213"/>
      <c r="AD684" s="213"/>
      <c r="AE684" s="213"/>
      <c r="AF684" s="213"/>
      <c r="AG684" s="213"/>
      <c r="AH684" s="213"/>
      <c r="AI684" s="213"/>
      <c r="AJ684" s="213"/>
      <c r="AK684" s="213"/>
      <c r="AL684" s="213"/>
      <c r="AM684" s="213"/>
      <c r="AN684" s="213"/>
      <c r="AO684" s="213"/>
      <c r="AP684" s="213" t="str">
        <f>IFERROR(__xludf.DUMMYFUNCTION("""COMPUTED_VALUE"""),"LUIS")</f>
        <v>LUIS</v>
      </c>
      <c r="AQ684" s="213"/>
      <c r="AR684" s="213"/>
      <c r="AS684" s="213"/>
      <c r="AT684" s="213"/>
      <c r="AU684" s="213"/>
      <c r="AV684" s="213"/>
      <c r="AW684" s="213"/>
      <c r="AX684" s="213"/>
      <c r="AY684" s="213"/>
      <c r="AZ684" s="213"/>
      <c r="BA684" s="213"/>
      <c r="BB684" s="213"/>
      <c r="BC684" s="213"/>
      <c r="BD684" s="213"/>
    </row>
    <row r="685">
      <c r="A685" s="213">
        <f>IFERROR(__xludf.DUMMYFUNCTION("""COMPUTED_VALUE"""),1103.0)</f>
        <v>1103</v>
      </c>
      <c r="B685" s="213" t="str">
        <f>IFERROR(__xludf.DUMMYFUNCTION("""COMPUTED_VALUE"""),"FRANCISCO IRAZOLA")</f>
        <v>FRANCISCO IRAZOLA</v>
      </c>
      <c r="C685" s="213" t="str">
        <f>IFERROR(__xludf.DUMMYFUNCTION("""COMPUTED_VALUE"""),"TALLER SFT DE INDUSTRIA ALIMENTARIA")</f>
        <v>TALLER SFT DE INDUSTRIA ALIMENTARIA</v>
      </c>
      <c r="D685" s="213" t="str">
        <f>IFERROR(__xludf.DUMMYFUNCTION("""COMPUTED_VALUE"""),"EQUIPOS")</f>
        <v>EQUIPOS</v>
      </c>
      <c r="E685" s="213" t="str">
        <f>IFERROR(__xludf.DUMMYFUNCTION("""COMPUTED_VALUE"""),"COM-264")</f>
        <v>COM-264</v>
      </c>
      <c r="F685" s="213" t="str">
        <f>IFERROR(__xludf.DUMMYFUNCTION("""COMPUTED_VALUE"""),"COM-264")</f>
        <v>COM-264</v>
      </c>
      <c r="G685" s="213"/>
      <c r="H685" s="213" t="str">
        <f>IFERROR(__xludf.DUMMYFUNCTION("""COMPUTED_VALUE"""),"PRENSA MANUAL PARA FRUTAS Y VERDURAS")</f>
        <v>PRENSA MANUAL PARA FRUTAS Y VERDURAS</v>
      </c>
      <c r="I685" s="213" t="str">
        <f>IFERROR(__xludf.DUMMYFUNCTION("""COMPUTED_VALUE"""),"· Estructura en acero barnizado con jaula perforada y cesto anti-salpicadura de acero inoxidable.
· Plato estrujador en hierro colado.
· Barnizadura en horno con compuestos epóxido para alimentos.
· Capacidad jaula mínima: 5 Kg.
· Capacidad jaula máxima: "&amp;"15.300 Kg.
. Medidas: 39.5 cm. (diámetro de base) x 85.5 cm. (altura), aproximado
. Jaula 25.5 cm (diámetro) x 32.5 cm (altura), aproximado.
. Incluye funda protectora, impermeable para su almacenamiento.")</f>
        <v>· Estructura en acero barnizado con jaula perforada y cesto anti-salpicadura de acero inoxidable.
· Plato estrujador en hierro colado.
· Barnizadura en horno con compuestos epóxido para alimentos.
· Capacidad jaula mínima: 5 Kg.
· Capacidad jaula máxima: 15.300 Kg.
. Medidas: 39.5 cm. (diámetro de base) x 85.5 cm. (altura), aproximado
. Jaula 25.5 cm (diámetro) x 32.5 cm (altura), aproximado.
. Incluye funda protectora, impermeable para su almacenamiento.</v>
      </c>
      <c r="J685" s="213">
        <f>IFERROR(__xludf.DUMMYFUNCTION("""COMPUTED_VALUE"""),3.0)</f>
        <v>3</v>
      </c>
      <c r="K685" s="213" t="str">
        <f>IFERROR(__xludf.DUMMYFUNCTION("""COMPUTED_VALUE"""),"90 DÍAS CALENDARIO")</f>
        <v>90 DÍAS CALENDARIO</v>
      </c>
      <c r="L685" s="213" t="str">
        <f>IFERROR(__xludf.DUMMYFUNCTION("""COMPUTED_VALUE"""),"")</f>
        <v/>
      </c>
      <c r="M685" s="213">
        <f>IFERROR(__xludf.DUMMYFUNCTION("""COMPUTED_VALUE"""),1.0)</f>
        <v>1</v>
      </c>
      <c r="N685" s="213">
        <f>IFERROR(__xludf.DUMMYFUNCTION("""COMPUTED_VALUE"""),1.0)</f>
        <v>1</v>
      </c>
      <c r="O685" s="213">
        <f>IFERROR(__xludf.DUMMYFUNCTION("""COMPUTED_VALUE"""),1.0)</f>
        <v>1</v>
      </c>
      <c r="P685" s="213"/>
      <c r="Q685" s="213"/>
      <c r="R685" s="213" t="str">
        <f>IFERROR(__xludf.DUMMYFUNCTION("""COMPUTED_VALUE"""),"SI")</f>
        <v>SI</v>
      </c>
      <c r="S685" s="213"/>
      <c r="T685" s="213" t="str">
        <f>IFERROR(__xludf.DUMMYFUNCTION("""COMPUTED_VALUE"""),"SI")</f>
        <v>SI</v>
      </c>
      <c r="U685" s="213" t="str">
        <f>IFERROR(__xludf.DUMMYFUNCTION("""COMPUTED_VALUE"""),"NO")</f>
        <v>NO</v>
      </c>
      <c r="V685" s="213" t="str">
        <f>IFERROR(__xludf.DUMMYFUNCTION("""COMPUTED_VALUE"""),"SUSTENTO")</f>
        <v>SUSTENTO</v>
      </c>
      <c r="W685" s="213" t="str">
        <f>IFERROR(__xludf.DUMMYFUNCTION("""COMPUTED_VALUE"""),"DIMENSIONAL")</f>
        <v>DIMENSIONAL</v>
      </c>
      <c r="X685" s="213" t="str">
        <f>IFERROR(__xludf.DUMMYFUNCTION("""COMPUTED_VALUE"""),"MOSAKAR")</f>
        <v>MOSAKAR</v>
      </c>
      <c r="Y685" s="213" t="str">
        <f>IFERROR(__xludf.DUMMYFUNCTION("""COMPUTED_VALUE"""),"MCBFP-15GREEN")</f>
        <v>MCBFP-15GREEN</v>
      </c>
      <c r="Z685" s="215" t="str">
        <f>IFERROR(__xludf.DUMMYFUNCTION("""COMPUTED_VALUE"""),"https://www.amazon.com/dp/B0DBVLYY3H/ref=sspa_dk_detail_1?psc=1&amp;pd_rd_i=B0DBVLYY3H&amp;pd_rd_w=eBVVL&amp;content-id=amzn1.sym.f2f1cf8f-cab4-44dc-82ba-0ca811fb90cc&amp;pf_rd_p=f2f1cf8f-cab4-44dc-82ba-0ca811fb90cc&amp;pf_rd_r=0RKNDHPPVYBKJDAQ4YD8&amp;pd_rd_wg=Bto1w&amp;pd_rd_r=d53"&amp;"3b58e-9a6b-4d72-971d-28a0b6006103&amp;sp_csd=d2lkZ2V0TmFtZT1zcF9kZXRhaWxfdGhlbWF0aWM")</f>
        <v>https://www.amazon.com/dp/B0DBVLYY3H/ref=sspa_dk_detail_1?psc=1&amp;pd_rd_i=B0DBVLYY3H&amp;pd_rd_w=eBVVL&amp;content-id=amzn1.sym.f2f1cf8f-cab4-44dc-82ba-0ca811fb90cc&amp;pf_rd_p=f2f1cf8f-cab4-44dc-82ba-0ca811fb90cc&amp;pf_rd_r=0RKNDHPPVYBKJDAQ4YD8&amp;pd_rd_wg=Bto1w&amp;pd_rd_r=d533b58e-9a6b-4d72-971d-28a0b6006103&amp;sp_csd=d2lkZ2V0TmFtZT1zcF9kZXRhaWxfdGhlbWF0aWM</v>
      </c>
      <c r="AA685" s="213" t="str">
        <f>IFERROR(__xludf.DUMMYFUNCTION("""COMPUTED_VALUE"""),"COM-264 PRENSA MANUAL PARA FRUTAS Y VERDURAS - CET")</f>
        <v>COM-264 PRENSA MANUAL PARA FRUTAS Y VERDURAS - CET</v>
      </c>
      <c r="AB685" s="213"/>
      <c r="AC685" s="213"/>
      <c r="AD685" s="213"/>
      <c r="AE685" s="213"/>
      <c r="AF685" s="213"/>
      <c r="AG685" s="213"/>
      <c r="AH685" s="213"/>
      <c r="AI685" s="213"/>
      <c r="AJ685" s="213"/>
      <c r="AK685" s="213"/>
      <c r="AL685" s="213"/>
      <c r="AM685" s="213"/>
      <c r="AN685" s="213"/>
      <c r="AO685" s="213"/>
      <c r="AP685" s="213" t="str">
        <f>IFERROR(__xludf.DUMMYFUNCTION("""COMPUTED_VALUE"""),"LUIS")</f>
        <v>LUIS</v>
      </c>
      <c r="AQ685" s="213"/>
      <c r="AR685" s="213"/>
      <c r="AS685" s="213"/>
      <c r="AT685" s="213"/>
      <c r="AU685" s="213"/>
      <c r="AV685" s="213"/>
      <c r="AW685" s="213"/>
      <c r="AX685" s="213"/>
      <c r="AY685" s="213"/>
      <c r="AZ685" s="213"/>
      <c r="BA685" s="213"/>
      <c r="BB685" s="213"/>
      <c r="BC685" s="213"/>
      <c r="BD685" s="213"/>
    </row>
    <row r="686">
      <c r="A686" s="213">
        <f>IFERROR(__xludf.DUMMYFUNCTION("""COMPUTED_VALUE"""),1375.0)</f>
        <v>1375</v>
      </c>
      <c r="B686" s="213" t="str">
        <f>IFERROR(__xludf.DUMMYFUNCTION("""COMPUTED_VALUE"""),"GUILLERMO E. BILLINGHURST ")</f>
        <v>GUILLERMO E. BILLINGHURST </v>
      </c>
      <c r="C686" s="213" t="str">
        <f>IFERROR(__xludf.DUMMYFUNCTION("""COMPUTED_VALUE"""),"TALLER SFT DE INDUSTRIA ALIMENTARIA")</f>
        <v>TALLER SFT DE INDUSTRIA ALIMENTARIA</v>
      </c>
      <c r="D686" s="213" t="str">
        <f>IFERROR(__xludf.DUMMYFUNCTION("""COMPUTED_VALUE"""),"EQUIPOS")</f>
        <v>EQUIPOS</v>
      </c>
      <c r="E686" s="213" t="str">
        <f>IFERROR(__xludf.DUMMYFUNCTION("""COMPUTED_VALUE"""),"COM-264")</f>
        <v>COM-264</v>
      </c>
      <c r="F686" s="213" t="str">
        <f>IFERROR(__xludf.DUMMYFUNCTION("""COMPUTED_VALUE"""),"COM-264")</f>
        <v>COM-264</v>
      </c>
      <c r="G686" s="213"/>
      <c r="H686" s="213" t="str">
        <f>IFERROR(__xludf.DUMMYFUNCTION("""COMPUTED_VALUE"""),"PRENSA MANUAL PARA FRUTAS Y VERDURAS")</f>
        <v>PRENSA MANUAL PARA FRUTAS Y VERDURAS</v>
      </c>
      <c r="I686" s="213" t="str">
        <f>IFERROR(__xludf.DUMMYFUNCTION("""COMPUTED_VALUE"""),"· Estructura en acero barnizado con jaula perforada y cesto anti-salpicadura de acero inoxidable.
· Plato estrujador en hierro colado.
· Barnizadura en horno con compuestos epóxido para alimentos.
· Capacidad jaula mínima: 5 Kg.
· Capacidad jaula máxima: "&amp;"15.300 Kg.
. Medidas: 39.5 cm. (diámetro de base) x 85.5 cm. (altura), aproximado
. Jaula 25.5 cm (diámetro) x 32.5 cm (altura), aproximado.
. Incluye funda protectora, impermeable para su almacenamiento.")</f>
        <v>· Estructura en acero barnizado con jaula perforada y cesto anti-salpicadura de acero inoxidable.
· Plato estrujador en hierro colado.
· Barnizadura en horno con compuestos epóxido para alimentos.
· Capacidad jaula mínima: 5 Kg.
· Capacidad jaula máxima: 15.300 Kg.
. Medidas: 39.5 cm. (diámetro de base) x 85.5 cm. (altura), aproximado
. Jaula 25.5 cm (diámetro) x 32.5 cm (altura), aproximado.
. Incluye funda protectora, impermeable para su almacenamiento.</v>
      </c>
      <c r="J686" s="213">
        <f>IFERROR(__xludf.DUMMYFUNCTION("""COMPUTED_VALUE"""),3.0)</f>
        <v>3</v>
      </c>
      <c r="K686" s="213" t="str">
        <f>IFERROR(__xludf.DUMMYFUNCTION("""COMPUTED_VALUE"""),"90 DÍAS CALENDARIO")</f>
        <v>90 DÍAS CALENDARIO</v>
      </c>
      <c r="L686" s="213" t="str">
        <f>IFERROR(__xludf.DUMMYFUNCTION("""COMPUTED_VALUE"""),"")</f>
        <v/>
      </c>
      <c r="M686" s="213">
        <f>IFERROR(__xludf.DUMMYFUNCTION("""COMPUTED_VALUE"""),1.0)</f>
        <v>1</v>
      </c>
      <c r="N686" s="213">
        <f>IFERROR(__xludf.DUMMYFUNCTION("""COMPUTED_VALUE"""),1.0)</f>
        <v>1</v>
      </c>
      <c r="O686" s="213">
        <f>IFERROR(__xludf.DUMMYFUNCTION("""COMPUTED_VALUE"""),1.0)</f>
        <v>1</v>
      </c>
      <c r="P686" s="213"/>
      <c r="Q686" s="213"/>
      <c r="R686" s="213" t="str">
        <f>IFERROR(__xludf.DUMMYFUNCTION("""COMPUTED_VALUE"""),"SI")</f>
        <v>SI</v>
      </c>
      <c r="S686" s="213"/>
      <c r="T686" s="213" t="str">
        <f>IFERROR(__xludf.DUMMYFUNCTION("""COMPUTED_VALUE"""),"SI")</f>
        <v>SI</v>
      </c>
      <c r="U686" s="213" t="str">
        <f>IFERROR(__xludf.DUMMYFUNCTION("""COMPUTED_VALUE"""),"NO")</f>
        <v>NO</v>
      </c>
      <c r="V686" s="213" t="str">
        <f>IFERROR(__xludf.DUMMYFUNCTION("""COMPUTED_VALUE"""),"SUSTENTO")</f>
        <v>SUSTENTO</v>
      </c>
      <c r="W686" s="213" t="str">
        <f>IFERROR(__xludf.DUMMYFUNCTION("""COMPUTED_VALUE"""),"DIMENSIONAL")</f>
        <v>DIMENSIONAL</v>
      </c>
      <c r="X686" s="213" t="str">
        <f>IFERROR(__xludf.DUMMYFUNCTION("""COMPUTED_VALUE"""),"MOSAKAR")</f>
        <v>MOSAKAR</v>
      </c>
      <c r="Y686" s="213" t="str">
        <f>IFERROR(__xludf.DUMMYFUNCTION("""COMPUTED_VALUE"""),"MCBFP-15GREEN")</f>
        <v>MCBFP-15GREEN</v>
      </c>
      <c r="Z686" s="215" t="str">
        <f>IFERROR(__xludf.DUMMYFUNCTION("""COMPUTED_VALUE"""),"https://www.amazon.com/dp/B0DBVLYY3H/ref=sspa_dk_detail_1?psc=1&amp;pd_rd_i=B0DBVLYY3H&amp;pd_rd_w=eBVVL&amp;content-id=amzn1.sym.f2f1cf8f-cab4-44dc-82ba-0ca811fb90cc&amp;pf_rd_p=f2f1cf8f-cab4-44dc-82ba-0ca811fb90cc&amp;pf_rd_r=0RKNDHPPVYBKJDAQ4YD8&amp;pd_rd_wg=Bto1w&amp;pd_rd_r=d53"&amp;"3b58e-9a6b-4d72-971d-28a0b6006103&amp;sp_csd=d2lkZ2V0TmFtZT1zcF9kZXRhaWxfdGhlbWF0aWM")</f>
        <v>https://www.amazon.com/dp/B0DBVLYY3H/ref=sspa_dk_detail_1?psc=1&amp;pd_rd_i=B0DBVLYY3H&amp;pd_rd_w=eBVVL&amp;content-id=amzn1.sym.f2f1cf8f-cab4-44dc-82ba-0ca811fb90cc&amp;pf_rd_p=f2f1cf8f-cab4-44dc-82ba-0ca811fb90cc&amp;pf_rd_r=0RKNDHPPVYBKJDAQ4YD8&amp;pd_rd_wg=Bto1w&amp;pd_rd_r=d533b58e-9a6b-4d72-971d-28a0b6006103&amp;sp_csd=d2lkZ2V0TmFtZT1zcF9kZXRhaWxfdGhlbWF0aWM</v>
      </c>
      <c r="AA686" s="213" t="str">
        <f>IFERROR(__xludf.DUMMYFUNCTION("""COMPUTED_VALUE"""),"COM-264 PRENSA MANUAL PARA FRUTAS Y VERDURAS - CET")</f>
        <v>COM-264 PRENSA MANUAL PARA FRUTAS Y VERDURAS - CET</v>
      </c>
      <c r="AB686" s="213"/>
      <c r="AC686" s="213"/>
      <c r="AD686" s="213"/>
      <c r="AE686" s="213"/>
      <c r="AF686" s="213"/>
      <c r="AG686" s="213"/>
      <c r="AH686" s="213"/>
      <c r="AI686" s="213"/>
      <c r="AJ686" s="213"/>
      <c r="AK686" s="213"/>
      <c r="AL686" s="213"/>
      <c r="AM686" s="213"/>
      <c r="AN686" s="213"/>
      <c r="AO686" s="213"/>
      <c r="AP686" s="213" t="str">
        <f>IFERROR(__xludf.DUMMYFUNCTION("""COMPUTED_VALUE"""),"LUIS")</f>
        <v>LUIS</v>
      </c>
      <c r="AQ686" s="213"/>
      <c r="AR686" s="213"/>
      <c r="AS686" s="213"/>
      <c r="AT686" s="213"/>
      <c r="AU686" s="213"/>
      <c r="AV686" s="213"/>
      <c r="AW686" s="213"/>
      <c r="AX686" s="213"/>
      <c r="AY686" s="213"/>
      <c r="AZ686" s="213"/>
      <c r="BA686" s="213"/>
      <c r="BB686" s="213"/>
      <c r="BC686" s="213"/>
      <c r="BD686" s="213"/>
    </row>
    <row r="687">
      <c r="A687" s="213">
        <f>IFERROR(__xludf.DUMMYFUNCTION("""COMPUTED_VALUE"""),2062.0)</f>
        <v>2062</v>
      </c>
      <c r="B687" s="213" t="str">
        <f>IFERROR(__xludf.DUMMYFUNCTION("""COMPUTED_VALUE"""),"JOSE GRANDA")</f>
        <v>JOSE GRANDA</v>
      </c>
      <c r="C687" s="213" t="str">
        <f>IFERROR(__xludf.DUMMYFUNCTION("""COMPUTED_VALUE"""),"TALLER SFT DE INDUSTRIA ALIMENTARIA")</f>
        <v>TALLER SFT DE INDUSTRIA ALIMENTARIA</v>
      </c>
      <c r="D687" s="213" t="str">
        <f>IFERROR(__xludf.DUMMYFUNCTION("""COMPUTED_VALUE"""),"EQUIPOS")</f>
        <v>EQUIPOS</v>
      </c>
      <c r="E687" s="213" t="str">
        <f>IFERROR(__xludf.DUMMYFUNCTION("""COMPUTED_VALUE"""),"COM-264")</f>
        <v>COM-264</v>
      </c>
      <c r="F687" s="213" t="str">
        <f>IFERROR(__xludf.DUMMYFUNCTION("""COMPUTED_VALUE"""),"COM-264")</f>
        <v>COM-264</v>
      </c>
      <c r="G687" s="213"/>
      <c r="H687" s="213" t="str">
        <f>IFERROR(__xludf.DUMMYFUNCTION("""COMPUTED_VALUE"""),"PRENSA MANUAL PARA FRUTAS Y VERDURAS")</f>
        <v>PRENSA MANUAL PARA FRUTAS Y VERDURAS</v>
      </c>
      <c r="I687" s="213" t="str">
        <f>IFERROR(__xludf.DUMMYFUNCTION("""COMPUTED_VALUE"""),"· Estructura en acero barnizado con jaula perforada y cesto anti-salpicadura de acero inoxidable.
· Plato estrujador en hierro colado.
· Barnizadura en horno con compuestos epóxido para alimentos.
· Capacidad jaula mínima: 5 Kg.
· Capacidad jaula máxima: "&amp;"15.300 Kg.
. Medidas: 39.5 cm. (diámetro de base) x 85.5 cm. (altura), aproximado
. Jaula 25.5 cm (diámetro) x 32.5 cm (altura), aproximado.
. Incluye funda protectora, impermeable para su almacenamiento.")</f>
        <v>· Estructura en acero barnizado con jaula perforada y cesto anti-salpicadura de acero inoxidable.
· Plato estrujador en hierro colado.
· Barnizadura en horno con compuestos epóxido para alimentos.
· Capacidad jaula mínima: 5 Kg.
· Capacidad jaula máxima: 15.300 Kg.
. Medidas: 39.5 cm. (diámetro de base) x 85.5 cm. (altura), aproximado
. Jaula 25.5 cm (diámetro) x 32.5 cm (altura), aproximado.
. Incluye funda protectora, impermeable para su almacenamiento.</v>
      </c>
      <c r="J687" s="213">
        <f>IFERROR(__xludf.DUMMYFUNCTION("""COMPUTED_VALUE"""),3.0)</f>
        <v>3</v>
      </c>
      <c r="K687" s="213" t="str">
        <f>IFERROR(__xludf.DUMMYFUNCTION("""COMPUTED_VALUE"""),"90 DÍAS CALENDARIO")</f>
        <v>90 DÍAS CALENDARIO</v>
      </c>
      <c r="L687" s="213" t="str">
        <f>IFERROR(__xludf.DUMMYFUNCTION("""COMPUTED_VALUE"""),"")</f>
        <v/>
      </c>
      <c r="M687" s="213">
        <f>IFERROR(__xludf.DUMMYFUNCTION("""COMPUTED_VALUE"""),1.0)</f>
        <v>1</v>
      </c>
      <c r="N687" s="213">
        <f>IFERROR(__xludf.DUMMYFUNCTION("""COMPUTED_VALUE"""),1.0)</f>
        <v>1</v>
      </c>
      <c r="O687" s="213">
        <f>IFERROR(__xludf.DUMMYFUNCTION("""COMPUTED_VALUE"""),1.0)</f>
        <v>1</v>
      </c>
      <c r="P687" s="213"/>
      <c r="Q687" s="213"/>
      <c r="R687" s="213" t="str">
        <f>IFERROR(__xludf.DUMMYFUNCTION("""COMPUTED_VALUE"""),"SI")</f>
        <v>SI</v>
      </c>
      <c r="S687" s="213"/>
      <c r="T687" s="213" t="str">
        <f>IFERROR(__xludf.DUMMYFUNCTION("""COMPUTED_VALUE"""),"SI")</f>
        <v>SI</v>
      </c>
      <c r="U687" s="213" t="str">
        <f>IFERROR(__xludf.DUMMYFUNCTION("""COMPUTED_VALUE"""),"NO")</f>
        <v>NO</v>
      </c>
      <c r="V687" s="213" t="str">
        <f>IFERROR(__xludf.DUMMYFUNCTION("""COMPUTED_VALUE"""),"SUSTENTO")</f>
        <v>SUSTENTO</v>
      </c>
      <c r="W687" s="213" t="str">
        <f>IFERROR(__xludf.DUMMYFUNCTION("""COMPUTED_VALUE"""),"DIMENSIONAL")</f>
        <v>DIMENSIONAL</v>
      </c>
      <c r="X687" s="213" t="str">
        <f>IFERROR(__xludf.DUMMYFUNCTION("""COMPUTED_VALUE"""),"MOSAKAR")</f>
        <v>MOSAKAR</v>
      </c>
      <c r="Y687" s="213" t="str">
        <f>IFERROR(__xludf.DUMMYFUNCTION("""COMPUTED_VALUE"""),"MCBFP-15GREEN")</f>
        <v>MCBFP-15GREEN</v>
      </c>
      <c r="Z687" s="215" t="str">
        <f>IFERROR(__xludf.DUMMYFUNCTION("""COMPUTED_VALUE"""),"https://www.amazon.com/dp/B0DBVLYY3H/ref=sspa_dk_detail_1?psc=1&amp;pd_rd_i=B0DBVLYY3H&amp;pd_rd_w=eBVVL&amp;content-id=amzn1.sym.f2f1cf8f-cab4-44dc-82ba-0ca811fb90cc&amp;pf_rd_p=f2f1cf8f-cab4-44dc-82ba-0ca811fb90cc&amp;pf_rd_r=0RKNDHPPVYBKJDAQ4YD8&amp;pd_rd_wg=Bto1w&amp;pd_rd_r=d53"&amp;"3b58e-9a6b-4d72-971d-28a0b6006103&amp;sp_csd=d2lkZ2V0TmFtZT1zcF9kZXRhaWxfdGhlbWF0aWM")</f>
        <v>https://www.amazon.com/dp/B0DBVLYY3H/ref=sspa_dk_detail_1?psc=1&amp;pd_rd_i=B0DBVLYY3H&amp;pd_rd_w=eBVVL&amp;content-id=amzn1.sym.f2f1cf8f-cab4-44dc-82ba-0ca811fb90cc&amp;pf_rd_p=f2f1cf8f-cab4-44dc-82ba-0ca811fb90cc&amp;pf_rd_r=0RKNDHPPVYBKJDAQ4YD8&amp;pd_rd_wg=Bto1w&amp;pd_rd_r=d533b58e-9a6b-4d72-971d-28a0b6006103&amp;sp_csd=d2lkZ2V0TmFtZT1zcF9kZXRhaWxfdGhlbWF0aWM</v>
      </c>
      <c r="AA687" s="213" t="str">
        <f>IFERROR(__xludf.DUMMYFUNCTION("""COMPUTED_VALUE"""),"COM-264 PRENSA MANUAL PARA FRUTAS Y VERDURAS - CET")</f>
        <v>COM-264 PRENSA MANUAL PARA FRUTAS Y VERDURAS - CET</v>
      </c>
      <c r="AB687" s="213"/>
      <c r="AC687" s="213"/>
      <c r="AD687" s="213"/>
      <c r="AE687" s="213"/>
      <c r="AF687" s="213"/>
      <c r="AG687" s="213"/>
      <c r="AH687" s="213"/>
      <c r="AI687" s="213"/>
      <c r="AJ687" s="213"/>
      <c r="AK687" s="213"/>
      <c r="AL687" s="213"/>
      <c r="AM687" s="213"/>
      <c r="AN687" s="213"/>
      <c r="AO687" s="213"/>
      <c r="AP687" s="213" t="str">
        <f>IFERROR(__xludf.DUMMYFUNCTION("""COMPUTED_VALUE"""),"LUIS")</f>
        <v>LUIS</v>
      </c>
      <c r="AQ687" s="213"/>
      <c r="AR687" s="213"/>
      <c r="AS687" s="213"/>
      <c r="AT687" s="213"/>
      <c r="AU687" s="213"/>
      <c r="AV687" s="213"/>
      <c r="AW687" s="213"/>
      <c r="AX687" s="213"/>
      <c r="AY687" s="213"/>
      <c r="AZ687" s="213"/>
      <c r="BA687" s="213"/>
      <c r="BB687" s="213"/>
      <c r="BC687" s="213"/>
      <c r="BD687" s="213"/>
    </row>
    <row r="688">
      <c r="A688" s="213">
        <f>IFERROR(__xludf.DUMMYFUNCTION("""COMPUTED_VALUE"""),434.0)</f>
        <v>434</v>
      </c>
      <c r="B688" s="213" t="str">
        <f>IFERROR(__xludf.DUMMYFUNCTION("""COMPUTED_VALUE"""),"2026 SIMON BOLIVAR")</f>
        <v>2026 SIMON BOLIVAR</v>
      </c>
      <c r="C688" s="213" t="str">
        <f>IFERROR(__xludf.DUMMYFUNCTION("""COMPUTED_VALUE"""),"TALLER SFT DE INDUSTRIA ALIMENTARIA")</f>
        <v>TALLER SFT DE INDUSTRIA ALIMENTARIA</v>
      </c>
      <c r="D688" s="213" t="str">
        <f>IFERROR(__xludf.DUMMYFUNCTION("""COMPUTED_VALUE"""),"EQUIPOS")</f>
        <v>EQUIPOS</v>
      </c>
      <c r="E688" s="213" t="str">
        <f>IFERROR(__xludf.DUMMYFUNCTION("""COMPUTED_VALUE"""),"COM-265")</f>
        <v>COM-265</v>
      </c>
      <c r="F688" s="213" t="str">
        <f>IFERROR(__xludf.DUMMYFUNCTION("""COMPUTED_VALUE"""),"COM-265")</f>
        <v>COM-265</v>
      </c>
      <c r="G688" s="213"/>
      <c r="H688" s="213" t="str">
        <f>IFERROR(__xludf.DUMMYFUNCTION("""COMPUTED_VALUE"""),"PRENSA PARA QUESO MANUAL ACERO INOXIDABLE")</f>
        <v>PRENSA PARA QUESO MANUAL ACERO INOXIDABLE</v>
      </c>
      <c r="I688" s="213" t="str">
        <f>IFERROR(__xludf.DUMMYFUNCTION("""COMPUTED_VALUE"""),"· 1 prensa de queso (estructura exterior, cesta exterior, cesta de prensa)
· Ideal para prensar el queso duro o cortado.
· Prensa de queso con forma de queso y tapa de prensado (1200 g)
· Para un peso de queso de aprox. 1200 g
· Medidas mínimas: L30 cm x "&amp;"A30 cm x H35 cm
· Incluye una funda protectora impermeable para su almacenamiento.")</f>
        <v>· 1 prensa de queso (estructura exterior, cesta exterior, cesta de prensa)
· Ideal para prensar el queso duro o cortado.
· Prensa de queso con forma de queso y tapa de prensado (1200 g)
· Para un peso de queso de aprox. 1200 g
· Medidas mínimas: L30 cm x A30 cm x H35 cm
· Incluye una funda protectora impermeable para su almacenamiento.</v>
      </c>
      <c r="J688" s="213">
        <f>IFERROR(__xludf.DUMMYFUNCTION("""COMPUTED_VALUE"""),3.0)</f>
        <v>3</v>
      </c>
      <c r="K688" s="213" t="str">
        <f>IFERROR(__xludf.DUMMYFUNCTION("""COMPUTED_VALUE"""),"90 DÍAS CALENDARIO")</f>
        <v>90 DÍAS CALENDARIO</v>
      </c>
      <c r="L688" s="213" t="str">
        <f>IFERROR(__xludf.DUMMYFUNCTION("""COMPUTED_VALUE"""),"")</f>
        <v/>
      </c>
      <c r="M688" s="213">
        <f>IFERROR(__xludf.DUMMYFUNCTION("""COMPUTED_VALUE"""),1.0)</f>
        <v>1</v>
      </c>
      <c r="N688" s="213">
        <f>IFERROR(__xludf.DUMMYFUNCTION("""COMPUTED_VALUE"""),1.0)</f>
        <v>1</v>
      </c>
      <c r="O688" s="213">
        <f>IFERROR(__xludf.DUMMYFUNCTION("""COMPUTED_VALUE"""),1.0)</f>
        <v>1</v>
      </c>
      <c r="P688" s="213"/>
      <c r="Q688" s="213"/>
      <c r="R688" s="213" t="str">
        <f>IFERROR(__xludf.DUMMYFUNCTION("""COMPUTED_VALUE"""),"SI")</f>
        <v>SI</v>
      </c>
      <c r="S688" s="213"/>
      <c r="T688" s="213" t="str">
        <f>IFERROR(__xludf.DUMMYFUNCTION("""COMPUTED_VALUE"""),"SI")</f>
        <v>SI</v>
      </c>
      <c r="U688" s="213" t="str">
        <f>IFERROR(__xludf.DUMMYFUNCTION("""COMPUTED_VALUE"""),"SI")</f>
        <v>SI</v>
      </c>
      <c r="V688" s="213" t="str">
        <f>IFERROR(__xludf.DUMMYFUNCTION("""COMPUTED_VALUE"""),"-")</f>
        <v>-</v>
      </c>
      <c r="W688" s="213" t="str">
        <f>IFERROR(__xludf.DUMMYFUNCTION("""COMPUTED_VALUE"""),"-")</f>
        <v>-</v>
      </c>
      <c r="X688" s="213" t="str">
        <f>IFERROR(__xludf.DUMMYFUNCTION("""COMPUTED_VALUE"""),"GENERICO")</f>
        <v>GENERICO</v>
      </c>
      <c r="Y688" s="213" t="str">
        <f>IFERROR(__xludf.DUMMYFUNCTION("""COMPUTED_VALUE"""),"GENERICO")</f>
        <v>GENERICO</v>
      </c>
      <c r="Z688" s="215" t="str">
        <f>IFERROR(__xludf.DUMMYFUNCTION("""COMPUTED_VALUE"""),"https://casadelquesero.com/producto/prensa-individual-manual/?srsltid=AfmBOorxgIQCOoAGPy6ezuam-DQvymyxvSAKJoAAoaJXIKPUzpgdLzca")</f>
        <v>https://casadelquesero.com/producto/prensa-individual-manual/?srsltid=AfmBOorxgIQCOoAGPy6ezuam-DQvymyxvSAKJoAAoaJXIKPUzpgdLzca</v>
      </c>
      <c r="AA688" s="213" t="str">
        <f>IFERROR(__xludf.DUMMYFUNCTION("""COMPUTED_VALUE"""),"COM-265 PRENSA PARA QUESO MANUAL ACERO INOXIDABLE - CET")</f>
        <v>COM-265 PRENSA PARA QUESO MANUAL ACERO INOXIDABLE - CET</v>
      </c>
      <c r="AB688" s="213"/>
      <c r="AC688" s="213"/>
      <c r="AD688" s="213"/>
      <c r="AE688" s="213"/>
      <c r="AF688" s="213"/>
      <c r="AG688" s="213"/>
      <c r="AH688" s="213"/>
      <c r="AI688" s="213"/>
      <c r="AJ688" s="213"/>
      <c r="AK688" s="213"/>
      <c r="AL688" s="213"/>
      <c r="AM688" s="213"/>
      <c r="AN688" s="213"/>
      <c r="AO688" s="213"/>
      <c r="AP688" s="213" t="str">
        <f>IFERROR(__xludf.DUMMYFUNCTION("""COMPUTED_VALUE"""),"LUIS")</f>
        <v>LUIS</v>
      </c>
      <c r="AQ688" s="213"/>
      <c r="AR688" s="213"/>
      <c r="AS688" s="213"/>
      <c r="AT688" s="213"/>
      <c r="AU688" s="213"/>
      <c r="AV688" s="213"/>
      <c r="AW688" s="213"/>
      <c r="AX688" s="213"/>
      <c r="AY688" s="213"/>
      <c r="AZ688" s="213"/>
      <c r="BA688" s="213"/>
      <c r="BB688" s="213"/>
      <c r="BC688" s="213"/>
      <c r="BD688" s="213"/>
    </row>
    <row r="689">
      <c r="A689" s="213">
        <f>IFERROR(__xludf.DUMMYFUNCTION("""COMPUTED_VALUE"""),1064.0)</f>
        <v>1064</v>
      </c>
      <c r="B689" s="213" t="str">
        <f>IFERROR(__xludf.DUMMYFUNCTION("""COMPUTED_VALUE"""),"FRANCISCO IRAZOLA")</f>
        <v>FRANCISCO IRAZOLA</v>
      </c>
      <c r="C689" s="213" t="str">
        <f>IFERROR(__xludf.DUMMYFUNCTION("""COMPUTED_VALUE"""),"TALLER SFT DE INDUSTRIA ALIMENTARIA")</f>
        <v>TALLER SFT DE INDUSTRIA ALIMENTARIA</v>
      </c>
      <c r="D689" s="213" t="str">
        <f>IFERROR(__xludf.DUMMYFUNCTION("""COMPUTED_VALUE"""),"EQUIPOS")</f>
        <v>EQUIPOS</v>
      </c>
      <c r="E689" s="213" t="str">
        <f>IFERROR(__xludf.DUMMYFUNCTION("""COMPUTED_VALUE"""),"COM-265")</f>
        <v>COM-265</v>
      </c>
      <c r="F689" s="213" t="str">
        <f>IFERROR(__xludf.DUMMYFUNCTION("""COMPUTED_VALUE"""),"COM-265")</f>
        <v>COM-265</v>
      </c>
      <c r="G689" s="213"/>
      <c r="H689" s="213" t="str">
        <f>IFERROR(__xludf.DUMMYFUNCTION("""COMPUTED_VALUE"""),"PRENSA PARA QUESO MANUAL ACERO INOXIDABLE")</f>
        <v>PRENSA PARA QUESO MANUAL ACERO INOXIDABLE</v>
      </c>
      <c r="I689" s="213" t="str">
        <f>IFERROR(__xludf.DUMMYFUNCTION("""COMPUTED_VALUE"""),"· 1 prensa de queso (estructura exterior, cesta exterior, cesta de prensa)
· Ideal para prensar el queso duro o cortado.
· Prensa de queso con forma de queso y tapa de prensado (1200 g)
· Para un peso de queso de aprox. 1200 g
· Medidas mínimas: L30 cm x "&amp;"A30 cm x H35 cm
· Incluye una funda protectora impermeable para su almacenamiento.")</f>
        <v>· 1 prensa de queso (estructura exterior, cesta exterior, cesta de prensa)
· Ideal para prensar el queso duro o cortado.
· Prensa de queso con forma de queso y tapa de prensado (1200 g)
· Para un peso de queso de aprox. 1200 g
· Medidas mínimas: L30 cm x A30 cm x H35 cm
· Incluye una funda protectora impermeable para su almacenamiento.</v>
      </c>
      <c r="J689" s="213">
        <f>IFERROR(__xludf.DUMMYFUNCTION("""COMPUTED_VALUE"""),3.0)</f>
        <v>3</v>
      </c>
      <c r="K689" s="213" t="str">
        <f>IFERROR(__xludf.DUMMYFUNCTION("""COMPUTED_VALUE"""),"90 DÍAS CALENDARIO")</f>
        <v>90 DÍAS CALENDARIO</v>
      </c>
      <c r="L689" s="213" t="str">
        <f>IFERROR(__xludf.DUMMYFUNCTION("""COMPUTED_VALUE"""),"")</f>
        <v/>
      </c>
      <c r="M689" s="213">
        <f>IFERROR(__xludf.DUMMYFUNCTION("""COMPUTED_VALUE"""),1.0)</f>
        <v>1</v>
      </c>
      <c r="N689" s="213">
        <f>IFERROR(__xludf.DUMMYFUNCTION("""COMPUTED_VALUE"""),1.0)</f>
        <v>1</v>
      </c>
      <c r="O689" s="213">
        <f>IFERROR(__xludf.DUMMYFUNCTION("""COMPUTED_VALUE"""),1.0)</f>
        <v>1</v>
      </c>
      <c r="P689" s="213"/>
      <c r="Q689" s="213"/>
      <c r="R689" s="213" t="str">
        <f>IFERROR(__xludf.DUMMYFUNCTION("""COMPUTED_VALUE"""),"SI")</f>
        <v>SI</v>
      </c>
      <c r="S689" s="213"/>
      <c r="T689" s="213" t="str">
        <f>IFERROR(__xludf.DUMMYFUNCTION("""COMPUTED_VALUE"""),"SI")</f>
        <v>SI</v>
      </c>
      <c r="U689" s="213" t="str">
        <f>IFERROR(__xludf.DUMMYFUNCTION("""COMPUTED_VALUE"""),"SI")</f>
        <v>SI</v>
      </c>
      <c r="V689" s="213" t="str">
        <f>IFERROR(__xludf.DUMMYFUNCTION("""COMPUTED_VALUE"""),"-")</f>
        <v>-</v>
      </c>
      <c r="W689" s="213" t="str">
        <f>IFERROR(__xludf.DUMMYFUNCTION("""COMPUTED_VALUE"""),"-")</f>
        <v>-</v>
      </c>
      <c r="X689" s="213" t="str">
        <f>IFERROR(__xludf.DUMMYFUNCTION("""COMPUTED_VALUE"""),"GENERICO")</f>
        <v>GENERICO</v>
      </c>
      <c r="Y689" s="213" t="str">
        <f>IFERROR(__xludf.DUMMYFUNCTION("""COMPUTED_VALUE"""),"GENERICO")</f>
        <v>GENERICO</v>
      </c>
      <c r="Z689" s="215" t="str">
        <f>IFERROR(__xludf.DUMMYFUNCTION("""COMPUTED_VALUE"""),"https://casadelquesero.com/producto/prensa-individual-manual/?srsltid=AfmBOorxgIQCOoAGPy6ezuam-DQvymyxvSAKJoAAoaJXIKPUzpgdLzca")</f>
        <v>https://casadelquesero.com/producto/prensa-individual-manual/?srsltid=AfmBOorxgIQCOoAGPy6ezuam-DQvymyxvSAKJoAAoaJXIKPUzpgdLzca</v>
      </c>
      <c r="AA689" s="213" t="str">
        <f>IFERROR(__xludf.DUMMYFUNCTION("""COMPUTED_VALUE"""),"COM-265 PRENSA PARA QUESO MANUAL ACERO INOXIDABLE - CET")</f>
        <v>COM-265 PRENSA PARA QUESO MANUAL ACERO INOXIDABLE - CET</v>
      </c>
      <c r="AB689" s="213"/>
      <c r="AC689" s="213"/>
      <c r="AD689" s="213"/>
      <c r="AE689" s="213"/>
      <c r="AF689" s="213"/>
      <c r="AG689" s="213"/>
      <c r="AH689" s="213"/>
      <c r="AI689" s="213"/>
      <c r="AJ689" s="213"/>
      <c r="AK689" s="213"/>
      <c r="AL689" s="213"/>
      <c r="AM689" s="213"/>
      <c r="AN689" s="213"/>
      <c r="AO689" s="213"/>
      <c r="AP689" s="213" t="str">
        <f>IFERROR(__xludf.DUMMYFUNCTION("""COMPUTED_VALUE"""),"LUIS")</f>
        <v>LUIS</v>
      </c>
      <c r="AQ689" s="213"/>
      <c r="AR689" s="213"/>
      <c r="AS689" s="213"/>
      <c r="AT689" s="213"/>
      <c r="AU689" s="213"/>
      <c r="AV689" s="213"/>
      <c r="AW689" s="213"/>
      <c r="AX689" s="213"/>
      <c r="AY689" s="213"/>
      <c r="AZ689" s="213"/>
      <c r="BA689" s="213"/>
      <c r="BB689" s="213"/>
      <c r="BC689" s="213"/>
      <c r="BD689" s="213"/>
    </row>
    <row r="690">
      <c r="A690" s="213">
        <f>IFERROR(__xludf.DUMMYFUNCTION("""COMPUTED_VALUE"""),1339.0)</f>
        <v>1339</v>
      </c>
      <c r="B690" s="213" t="str">
        <f>IFERROR(__xludf.DUMMYFUNCTION("""COMPUTED_VALUE"""),"GUILLERMO E. BILLINGHURST ")</f>
        <v>GUILLERMO E. BILLINGHURST </v>
      </c>
      <c r="C690" s="213" t="str">
        <f>IFERROR(__xludf.DUMMYFUNCTION("""COMPUTED_VALUE"""),"TALLER SFT DE INDUSTRIA ALIMENTARIA")</f>
        <v>TALLER SFT DE INDUSTRIA ALIMENTARIA</v>
      </c>
      <c r="D690" s="213" t="str">
        <f>IFERROR(__xludf.DUMMYFUNCTION("""COMPUTED_VALUE"""),"EQUIPOS")</f>
        <v>EQUIPOS</v>
      </c>
      <c r="E690" s="213" t="str">
        <f>IFERROR(__xludf.DUMMYFUNCTION("""COMPUTED_VALUE"""),"COM-265")</f>
        <v>COM-265</v>
      </c>
      <c r="F690" s="213" t="str">
        <f>IFERROR(__xludf.DUMMYFUNCTION("""COMPUTED_VALUE"""),"COM-265")</f>
        <v>COM-265</v>
      </c>
      <c r="G690" s="213"/>
      <c r="H690" s="213" t="str">
        <f>IFERROR(__xludf.DUMMYFUNCTION("""COMPUTED_VALUE"""),"PRENSA PARA QUESO MANUAL ACERO INOXIDABLE")</f>
        <v>PRENSA PARA QUESO MANUAL ACERO INOXIDABLE</v>
      </c>
      <c r="I690" s="213" t="str">
        <f>IFERROR(__xludf.DUMMYFUNCTION("""COMPUTED_VALUE"""),"· 1 prensa de queso (estructura exterior, cesta exterior, cesta de prensa)
· Ideal para prensar el queso duro o cortado.
· Prensa de queso con forma de queso y tapa de prensado (1200 g)
· Para un peso de queso de aprox. 1200 g
· Medidas mínimas: L30 cm x "&amp;"A30 cm x H35 cm
· Incluye una funda protectora impermeable para su almacenamiento.")</f>
        <v>· 1 prensa de queso (estructura exterior, cesta exterior, cesta de prensa)
· Ideal para prensar el queso duro o cortado.
· Prensa de queso con forma de queso y tapa de prensado (1200 g)
· Para un peso de queso de aprox. 1200 g
· Medidas mínimas: L30 cm x A30 cm x H35 cm
· Incluye una funda protectora impermeable para su almacenamiento.</v>
      </c>
      <c r="J690" s="213">
        <f>IFERROR(__xludf.DUMMYFUNCTION("""COMPUTED_VALUE"""),3.0)</f>
        <v>3</v>
      </c>
      <c r="K690" s="213" t="str">
        <f>IFERROR(__xludf.DUMMYFUNCTION("""COMPUTED_VALUE"""),"90 DÍAS CALENDARIO")</f>
        <v>90 DÍAS CALENDARIO</v>
      </c>
      <c r="L690" s="213" t="str">
        <f>IFERROR(__xludf.DUMMYFUNCTION("""COMPUTED_VALUE"""),"")</f>
        <v/>
      </c>
      <c r="M690" s="213">
        <f>IFERROR(__xludf.DUMMYFUNCTION("""COMPUTED_VALUE"""),1.0)</f>
        <v>1</v>
      </c>
      <c r="N690" s="213">
        <f>IFERROR(__xludf.DUMMYFUNCTION("""COMPUTED_VALUE"""),1.0)</f>
        <v>1</v>
      </c>
      <c r="O690" s="213">
        <f>IFERROR(__xludf.DUMMYFUNCTION("""COMPUTED_VALUE"""),1.0)</f>
        <v>1</v>
      </c>
      <c r="P690" s="213"/>
      <c r="Q690" s="213"/>
      <c r="R690" s="213" t="str">
        <f>IFERROR(__xludf.DUMMYFUNCTION("""COMPUTED_VALUE"""),"SI")</f>
        <v>SI</v>
      </c>
      <c r="S690" s="213"/>
      <c r="T690" s="213" t="str">
        <f>IFERROR(__xludf.DUMMYFUNCTION("""COMPUTED_VALUE"""),"SI")</f>
        <v>SI</v>
      </c>
      <c r="U690" s="213" t="str">
        <f>IFERROR(__xludf.DUMMYFUNCTION("""COMPUTED_VALUE"""),"SI")</f>
        <v>SI</v>
      </c>
      <c r="V690" s="213" t="str">
        <f>IFERROR(__xludf.DUMMYFUNCTION("""COMPUTED_VALUE"""),"-")</f>
        <v>-</v>
      </c>
      <c r="W690" s="213" t="str">
        <f>IFERROR(__xludf.DUMMYFUNCTION("""COMPUTED_VALUE"""),"-")</f>
        <v>-</v>
      </c>
      <c r="X690" s="213" t="str">
        <f>IFERROR(__xludf.DUMMYFUNCTION("""COMPUTED_VALUE"""),"GENERICO")</f>
        <v>GENERICO</v>
      </c>
      <c r="Y690" s="213" t="str">
        <f>IFERROR(__xludf.DUMMYFUNCTION("""COMPUTED_VALUE"""),"GENERICO")</f>
        <v>GENERICO</v>
      </c>
      <c r="Z690" s="215" t="str">
        <f>IFERROR(__xludf.DUMMYFUNCTION("""COMPUTED_VALUE"""),"https://casadelquesero.com/producto/prensa-individual-manual/?srsltid=AfmBOorxgIQCOoAGPy6ezuam-DQvymyxvSAKJoAAoaJXIKPUzpgdLzca")</f>
        <v>https://casadelquesero.com/producto/prensa-individual-manual/?srsltid=AfmBOorxgIQCOoAGPy6ezuam-DQvymyxvSAKJoAAoaJXIKPUzpgdLzca</v>
      </c>
      <c r="AA690" s="213" t="str">
        <f>IFERROR(__xludf.DUMMYFUNCTION("""COMPUTED_VALUE"""),"COM-265 PRENSA PARA QUESO MANUAL ACERO INOXIDABLE - CET")</f>
        <v>COM-265 PRENSA PARA QUESO MANUAL ACERO INOXIDABLE - CET</v>
      </c>
      <c r="AB690" s="213"/>
      <c r="AC690" s="213"/>
      <c r="AD690" s="213"/>
      <c r="AE690" s="213"/>
      <c r="AF690" s="213"/>
      <c r="AG690" s="213"/>
      <c r="AH690" s="213"/>
      <c r="AI690" s="213"/>
      <c r="AJ690" s="213"/>
      <c r="AK690" s="213"/>
      <c r="AL690" s="213"/>
      <c r="AM690" s="213"/>
      <c r="AN690" s="213"/>
      <c r="AO690" s="213"/>
      <c r="AP690" s="213" t="str">
        <f>IFERROR(__xludf.DUMMYFUNCTION("""COMPUTED_VALUE"""),"LUIS")</f>
        <v>LUIS</v>
      </c>
      <c r="AQ690" s="213"/>
      <c r="AR690" s="213"/>
      <c r="AS690" s="213"/>
      <c r="AT690" s="213"/>
      <c r="AU690" s="213"/>
      <c r="AV690" s="213"/>
      <c r="AW690" s="213"/>
      <c r="AX690" s="213"/>
      <c r="AY690" s="213"/>
      <c r="AZ690" s="213"/>
      <c r="BA690" s="213"/>
      <c r="BB690" s="213"/>
      <c r="BC690" s="213"/>
      <c r="BD690" s="213"/>
    </row>
    <row r="691">
      <c r="A691" s="213">
        <f>IFERROR(__xludf.DUMMYFUNCTION("""COMPUTED_VALUE"""),2023.0)</f>
        <v>2023</v>
      </c>
      <c r="B691" s="213" t="str">
        <f>IFERROR(__xludf.DUMMYFUNCTION("""COMPUTED_VALUE"""),"JOSE GRANDA")</f>
        <v>JOSE GRANDA</v>
      </c>
      <c r="C691" s="213" t="str">
        <f>IFERROR(__xludf.DUMMYFUNCTION("""COMPUTED_VALUE"""),"TALLER SFT DE INDUSTRIA ALIMENTARIA")</f>
        <v>TALLER SFT DE INDUSTRIA ALIMENTARIA</v>
      </c>
      <c r="D691" s="213" t="str">
        <f>IFERROR(__xludf.DUMMYFUNCTION("""COMPUTED_VALUE"""),"EQUIPOS")</f>
        <v>EQUIPOS</v>
      </c>
      <c r="E691" s="213" t="str">
        <f>IFERROR(__xludf.DUMMYFUNCTION("""COMPUTED_VALUE"""),"COM-265")</f>
        <v>COM-265</v>
      </c>
      <c r="F691" s="213" t="str">
        <f>IFERROR(__xludf.DUMMYFUNCTION("""COMPUTED_VALUE"""),"COM-265")</f>
        <v>COM-265</v>
      </c>
      <c r="G691" s="213"/>
      <c r="H691" s="213" t="str">
        <f>IFERROR(__xludf.DUMMYFUNCTION("""COMPUTED_VALUE"""),"PRENSA PARA QUESO MANUAL ACERO INOXIDABLE")</f>
        <v>PRENSA PARA QUESO MANUAL ACERO INOXIDABLE</v>
      </c>
      <c r="I691" s="213" t="str">
        <f>IFERROR(__xludf.DUMMYFUNCTION("""COMPUTED_VALUE"""),"· 1 prensa de queso (estructura exterior, cesta exterior, cesta de prensa)
· Ideal para prensar el queso duro o cortado.
· Prensa de queso con forma de queso y tapa de prensado (1200 g)
· Para un peso de queso de aprox. 1200 g
· Medidas mínimas: L30 cm x "&amp;"A30 cm x H35 cm
· Incluye una funda protectora impermeable para su almacenamiento.")</f>
        <v>· 1 prensa de queso (estructura exterior, cesta exterior, cesta de prensa)
· Ideal para prensar el queso duro o cortado.
· Prensa de queso con forma de queso y tapa de prensado (1200 g)
· Para un peso de queso de aprox. 1200 g
· Medidas mínimas: L30 cm x A30 cm x H35 cm
· Incluye una funda protectora impermeable para su almacenamiento.</v>
      </c>
      <c r="J691" s="213">
        <f>IFERROR(__xludf.DUMMYFUNCTION("""COMPUTED_VALUE"""),3.0)</f>
        <v>3</v>
      </c>
      <c r="K691" s="213" t="str">
        <f>IFERROR(__xludf.DUMMYFUNCTION("""COMPUTED_VALUE"""),"90 DÍAS CALENDARIO")</f>
        <v>90 DÍAS CALENDARIO</v>
      </c>
      <c r="L691" s="213" t="str">
        <f>IFERROR(__xludf.DUMMYFUNCTION("""COMPUTED_VALUE"""),"")</f>
        <v/>
      </c>
      <c r="M691" s="213">
        <f>IFERROR(__xludf.DUMMYFUNCTION("""COMPUTED_VALUE"""),1.0)</f>
        <v>1</v>
      </c>
      <c r="N691" s="213">
        <f>IFERROR(__xludf.DUMMYFUNCTION("""COMPUTED_VALUE"""),1.0)</f>
        <v>1</v>
      </c>
      <c r="O691" s="213">
        <f>IFERROR(__xludf.DUMMYFUNCTION("""COMPUTED_VALUE"""),1.0)</f>
        <v>1</v>
      </c>
      <c r="P691" s="213"/>
      <c r="Q691" s="213"/>
      <c r="R691" s="213" t="str">
        <f>IFERROR(__xludf.DUMMYFUNCTION("""COMPUTED_VALUE"""),"SI")</f>
        <v>SI</v>
      </c>
      <c r="S691" s="213"/>
      <c r="T691" s="213" t="str">
        <f>IFERROR(__xludf.DUMMYFUNCTION("""COMPUTED_VALUE"""),"SI")</f>
        <v>SI</v>
      </c>
      <c r="U691" s="213" t="str">
        <f>IFERROR(__xludf.DUMMYFUNCTION("""COMPUTED_VALUE"""),"SI")</f>
        <v>SI</v>
      </c>
      <c r="V691" s="213" t="str">
        <f>IFERROR(__xludf.DUMMYFUNCTION("""COMPUTED_VALUE"""),"-")</f>
        <v>-</v>
      </c>
      <c r="W691" s="213" t="str">
        <f>IFERROR(__xludf.DUMMYFUNCTION("""COMPUTED_VALUE"""),"-")</f>
        <v>-</v>
      </c>
      <c r="X691" s="213" t="str">
        <f>IFERROR(__xludf.DUMMYFUNCTION("""COMPUTED_VALUE"""),"GENERICO")</f>
        <v>GENERICO</v>
      </c>
      <c r="Y691" s="213" t="str">
        <f>IFERROR(__xludf.DUMMYFUNCTION("""COMPUTED_VALUE"""),"GENERICO")</f>
        <v>GENERICO</v>
      </c>
      <c r="Z691" s="215" t="str">
        <f>IFERROR(__xludf.DUMMYFUNCTION("""COMPUTED_VALUE"""),"https://casadelquesero.com/producto/prensa-individual-manual/?srsltid=AfmBOorxgIQCOoAGPy6ezuam-DQvymyxvSAKJoAAoaJXIKPUzpgdLzca")</f>
        <v>https://casadelquesero.com/producto/prensa-individual-manual/?srsltid=AfmBOorxgIQCOoAGPy6ezuam-DQvymyxvSAKJoAAoaJXIKPUzpgdLzca</v>
      </c>
      <c r="AA691" s="213" t="str">
        <f>IFERROR(__xludf.DUMMYFUNCTION("""COMPUTED_VALUE"""),"COM-265 PRENSA PARA QUESO MANUAL ACERO INOXIDABLE - CET")</f>
        <v>COM-265 PRENSA PARA QUESO MANUAL ACERO INOXIDABLE - CET</v>
      </c>
      <c r="AB691" s="213"/>
      <c r="AC691" s="213"/>
      <c r="AD691" s="213"/>
      <c r="AE691" s="213"/>
      <c r="AF691" s="213"/>
      <c r="AG691" s="213"/>
      <c r="AH691" s="213"/>
      <c r="AI691" s="213"/>
      <c r="AJ691" s="213"/>
      <c r="AK691" s="213"/>
      <c r="AL691" s="213"/>
      <c r="AM691" s="213"/>
      <c r="AN691" s="213"/>
      <c r="AO691" s="213"/>
      <c r="AP691" s="213" t="str">
        <f>IFERROR(__xludf.DUMMYFUNCTION("""COMPUTED_VALUE"""),"LUIS")</f>
        <v>LUIS</v>
      </c>
      <c r="AQ691" s="213"/>
      <c r="AR691" s="213"/>
      <c r="AS691" s="213"/>
      <c r="AT691" s="213"/>
      <c r="AU691" s="213"/>
      <c r="AV691" s="213"/>
      <c r="AW691" s="213"/>
      <c r="AX691" s="213"/>
      <c r="AY691" s="213"/>
      <c r="AZ691" s="213"/>
      <c r="BA691" s="213"/>
      <c r="BB691" s="213"/>
      <c r="BC691" s="213"/>
      <c r="BD691" s="213"/>
    </row>
    <row r="692">
      <c r="A692" s="213">
        <f>IFERROR(__xludf.DUMMYFUNCTION("""COMPUTED_VALUE"""),178.0)</f>
        <v>178</v>
      </c>
      <c r="B692" s="213" t="str">
        <f>IFERROR(__xludf.DUMMYFUNCTION("""COMPUTED_VALUE"""),"2026 SIMON BOLIVAR")</f>
        <v>2026 SIMON BOLIVAR</v>
      </c>
      <c r="C692" s="213" t="str">
        <f>IFERROR(__xludf.DUMMYFUNCTION("""COMPUTED_VALUE"""),"TALLER SFT DE INDUSTRIA DEL VESTIDO")</f>
        <v>TALLER SFT DE INDUSTRIA DEL VESTIDO</v>
      </c>
      <c r="D692" s="213" t="str">
        <f>IFERROR(__xludf.DUMMYFUNCTION("""COMPUTED_VALUE"""),"HERRAMIENTAS")</f>
        <v>HERRAMIENTAS</v>
      </c>
      <c r="E692" s="213" t="str">
        <f>IFERROR(__xludf.DUMMYFUNCTION("""COMPUTED_VALUE"""),"COM-266")</f>
        <v>COM-266</v>
      </c>
      <c r="F692" s="213" t="str">
        <f>IFERROR(__xludf.DUMMYFUNCTION("""COMPUTED_VALUE"""),"COM-266")</f>
        <v>COM-266</v>
      </c>
      <c r="G692" s="213"/>
      <c r="H692" s="213" t="str">
        <f>IFERROR(__xludf.DUMMYFUNCTION("""COMPUTED_VALUE"""),"PRENSATELA DE CIERRE")</f>
        <v>PRENSATELA DE CIERRE</v>
      </c>
      <c r="I692" s="213" t="str">
        <f>IFERROR(__xludf.DUMMYFUNCTION("""COMPUTED_VALUE"""),"·       Este prensatelas es perfecto para coser cerca del borde de la tela. Ya sea para cordón o para cierre.
·      Presentación metálico
·      Izquierdo – derecho
·      Tamaño standar aproximadamente  38x 30x9 mm")</f>
        <v>·       Este prensatelas es perfecto para coser cerca del borde de la tela. Ya sea para cordón o para cierre.
·      Presentación metálico
·      Izquierdo – derecho
·      Tamaño standar aproximadamente  38x 30x9 mm</v>
      </c>
      <c r="J692" s="213">
        <f>IFERROR(__xludf.DUMMYFUNCTION("""COMPUTED_VALUE"""),3.0)</f>
        <v>3</v>
      </c>
      <c r="K692" s="213" t="str">
        <f>IFERROR(__xludf.DUMMYFUNCTION("""COMPUTED_VALUE"""),"90 DÍAS CALENDARIO")</f>
        <v>90 DÍAS CALENDARIO</v>
      </c>
      <c r="L692" s="213" t="str">
        <f>IFERROR(__xludf.DUMMYFUNCTION("""COMPUTED_VALUE"""),"")</f>
        <v/>
      </c>
      <c r="M692" s="213">
        <f>IFERROR(__xludf.DUMMYFUNCTION("""COMPUTED_VALUE"""),1.0)</f>
        <v>1</v>
      </c>
      <c r="N692" s="213">
        <f>IFERROR(__xludf.DUMMYFUNCTION("""COMPUTED_VALUE"""),4.0)</f>
        <v>4</v>
      </c>
      <c r="O692" s="213">
        <f>IFERROR(__xludf.DUMMYFUNCTION("""COMPUTED_VALUE"""),4.0)</f>
        <v>4</v>
      </c>
      <c r="P692" s="213"/>
      <c r="Q692" s="213"/>
      <c r="R692" s="213" t="str">
        <f>IFERROR(__xludf.DUMMYFUNCTION("""COMPUTED_VALUE"""),"SI")</f>
        <v>SI</v>
      </c>
      <c r="S692" s="213"/>
      <c r="T692" s="213" t="str">
        <f>IFERROR(__xludf.DUMMYFUNCTION("""COMPUTED_VALUE"""),"CONSULTA FINAL")</f>
        <v>CONSULTA FINAL</v>
      </c>
      <c r="U692" s="213" t="str">
        <f>IFERROR(__xludf.DUMMYFUNCTION("""COMPUTED_VALUE"""),"NO")</f>
        <v>NO</v>
      </c>
      <c r="V692" s="213" t="str">
        <f>IFERROR(__xludf.DUMMYFUNCTION("""COMPUTED_VALUE"""),"SUSTENTO")</f>
        <v>SUSTENTO</v>
      </c>
      <c r="W692" s="213" t="str">
        <f>IFERROR(__xludf.DUMMYFUNCTION("""COMPUTED_VALUE"""),"DIMENSIONAL")</f>
        <v>DIMENSIONAL</v>
      </c>
      <c r="X692" s="213" t="str">
        <f>IFERROR(__xludf.DUMMYFUNCTION("""COMPUTED_VALUE"""),"GENERICO")</f>
        <v>GENERICO</v>
      </c>
      <c r="Y692" s="213" t="str">
        <f>IFERROR(__xludf.DUMMYFUNCTION("""COMPUTED_VALUE"""),"P363")</f>
        <v>P363</v>
      </c>
      <c r="Z692" s="215" t="str">
        <f>IFERROR(__xludf.DUMMYFUNCTION("""COMPUTED_VALUE"""),"https://www.falabella.com.pe/falabella-pe/product/145433057/Pie-Prensatelas-Cierre-Doble-Metal-Para-Recta-Industrial/145433058?utm_source=chatgpt.com")</f>
        <v>https://www.falabella.com.pe/falabella-pe/product/145433057/Pie-Prensatelas-Cierre-Doble-Metal-Para-Recta-Industrial/145433058?utm_source=chatgpt.com</v>
      </c>
      <c r="AA692" s="215" t="str">
        <f>IFERROR(__xludf.DUMMYFUNCTION("""COMPUTED_VALUE"""),"https://docs.google.com/spreadsheets/d/1vk-CFNauPWNO4fk6TSu_J52vnJ7ukiXUZOmNEz3LMq8/edit?gid=0#gid=0")</f>
        <v>https://docs.google.com/spreadsheets/d/1vk-CFNauPWNO4fk6TSu_J52vnJ7ukiXUZOmNEz3LMq8/edit?gid=0#gid=0</v>
      </c>
      <c r="AB692" s="213"/>
      <c r="AC692" s="213"/>
      <c r="AD692" s="213"/>
      <c r="AE692" s="213"/>
      <c r="AF692" s="213"/>
      <c r="AG692" s="213"/>
      <c r="AH692" s="213"/>
      <c r="AI692" s="213"/>
      <c r="AJ692" s="213"/>
      <c r="AK692" s="213"/>
      <c r="AL692" s="213"/>
      <c r="AM692" s="213"/>
      <c r="AN692" s="213"/>
      <c r="AO692" s="213"/>
      <c r="AP692" s="213" t="str">
        <f>IFERROR(__xludf.DUMMYFUNCTION("""COMPUTED_VALUE"""),"SEBASTIAN")</f>
        <v>SEBASTIAN</v>
      </c>
      <c r="AQ692" s="213"/>
      <c r="AR692" s="213"/>
      <c r="AS692" s="213"/>
      <c r="AT692" s="213"/>
      <c r="AU692" s="213"/>
      <c r="AV692" s="213"/>
      <c r="AW692" s="213"/>
      <c r="AX692" s="213"/>
      <c r="AY692" s="213"/>
      <c r="AZ692" s="213"/>
      <c r="BA692" s="213"/>
      <c r="BB692" s="213"/>
      <c r="BC692" s="213"/>
      <c r="BD692" s="213"/>
    </row>
    <row r="693">
      <c r="A693" s="213">
        <f>IFERROR(__xludf.DUMMYFUNCTION("""COMPUTED_VALUE"""),2400.0)</f>
        <v>2400</v>
      </c>
      <c r="B693" s="213" t="str">
        <f>IFERROR(__xludf.DUMMYFUNCTION("""COMPUTED_VALUE"""),"MANUEL ANTONIO MESONES MURO")</f>
        <v>MANUEL ANTONIO MESONES MURO</v>
      </c>
      <c r="C693" s="213" t="str">
        <f>IFERROR(__xludf.DUMMYFUNCTION("""COMPUTED_VALUE"""),"TALLER SFT DE INDUSTRIA DEL VESTIDO")</f>
        <v>TALLER SFT DE INDUSTRIA DEL VESTIDO</v>
      </c>
      <c r="D693" s="213" t="str">
        <f>IFERROR(__xludf.DUMMYFUNCTION("""COMPUTED_VALUE"""),"HERRAMIENTAS")</f>
        <v>HERRAMIENTAS</v>
      </c>
      <c r="E693" s="213" t="str">
        <f>IFERROR(__xludf.DUMMYFUNCTION("""COMPUTED_VALUE"""),"COM-266")</f>
        <v>COM-266</v>
      </c>
      <c r="F693" s="213" t="str">
        <f>IFERROR(__xludf.DUMMYFUNCTION("""COMPUTED_VALUE"""),"COM-266")</f>
        <v>COM-266</v>
      </c>
      <c r="G693" s="213"/>
      <c r="H693" s="213" t="str">
        <f>IFERROR(__xludf.DUMMYFUNCTION("""COMPUTED_VALUE"""),"PRENSATELA DE CIERRE")</f>
        <v>PRENSATELA DE CIERRE</v>
      </c>
      <c r="I693" s="213" t="str">
        <f>IFERROR(__xludf.DUMMYFUNCTION("""COMPUTED_VALUE"""),"·       Este prensatelas es perfecto para coser cerca del borde de la tela. Ya sea para cordón o para cierre.
·      Presentación metálico
·      Izquierdo – derecho
·      Tamaño standar aproximadamente  38x 30x9 mm")</f>
        <v>·       Este prensatelas es perfecto para coser cerca del borde de la tela. Ya sea para cordón o para cierre.
·      Presentación metálico
·      Izquierdo – derecho
·      Tamaño standar aproximadamente  38x 30x9 mm</v>
      </c>
      <c r="J693" s="213">
        <f>IFERROR(__xludf.DUMMYFUNCTION("""COMPUTED_VALUE"""),3.0)</f>
        <v>3</v>
      </c>
      <c r="K693" s="213" t="str">
        <f>IFERROR(__xludf.DUMMYFUNCTION("""COMPUTED_VALUE"""),"90 DÍAS CALENDARIO")</f>
        <v>90 DÍAS CALENDARIO</v>
      </c>
      <c r="L693" s="213" t="str">
        <f>IFERROR(__xludf.DUMMYFUNCTION("""COMPUTED_VALUE"""),"")</f>
        <v/>
      </c>
      <c r="M693" s="213">
        <f>IFERROR(__xludf.DUMMYFUNCTION("""COMPUTED_VALUE"""),1.0)</f>
        <v>1</v>
      </c>
      <c r="N693" s="213">
        <f>IFERROR(__xludf.DUMMYFUNCTION("""COMPUTED_VALUE"""),4.0)</f>
        <v>4</v>
      </c>
      <c r="O693" s="213">
        <f>IFERROR(__xludf.DUMMYFUNCTION("""COMPUTED_VALUE"""),4.0)</f>
        <v>4</v>
      </c>
      <c r="P693" s="213"/>
      <c r="Q693" s="213"/>
      <c r="R693" s="213" t="str">
        <f>IFERROR(__xludf.DUMMYFUNCTION("""COMPUTED_VALUE"""),"SI")</f>
        <v>SI</v>
      </c>
      <c r="S693" s="213"/>
      <c r="T693" s="213" t="str">
        <f>IFERROR(__xludf.DUMMYFUNCTION("""COMPUTED_VALUE"""),"CONSULTA FINAL")</f>
        <v>CONSULTA FINAL</v>
      </c>
      <c r="U693" s="213" t="str">
        <f>IFERROR(__xludf.DUMMYFUNCTION("""COMPUTED_VALUE"""),"NO")</f>
        <v>NO</v>
      </c>
      <c r="V693" s="213" t="str">
        <f>IFERROR(__xludf.DUMMYFUNCTION("""COMPUTED_VALUE"""),"SUSTENTO")</f>
        <v>SUSTENTO</v>
      </c>
      <c r="W693" s="213" t="str">
        <f>IFERROR(__xludf.DUMMYFUNCTION("""COMPUTED_VALUE"""),"DIMENSIONAL")</f>
        <v>DIMENSIONAL</v>
      </c>
      <c r="X693" s="213" t="str">
        <f>IFERROR(__xludf.DUMMYFUNCTION("""COMPUTED_VALUE"""),"GENERICO")</f>
        <v>GENERICO</v>
      </c>
      <c r="Y693" s="213" t="str">
        <f>IFERROR(__xludf.DUMMYFUNCTION("""COMPUTED_VALUE"""),"P363")</f>
        <v>P363</v>
      </c>
      <c r="Z693" s="215" t="str">
        <f>IFERROR(__xludf.DUMMYFUNCTION("""COMPUTED_VALUE"""),"https://www.falabella.com.pe/falabella-pe/product/145433057/Pie-Prensatelas-Cierre-Doble-Metal-Para-Recta-Industrial/145433058?utm_source=chatgpt.com")</f>
        <v>https://www.falabella.com.pe/falabella-pe/product/145433057/Pie-Prensatelas-Cierre-Doble-Metal-Para-Recta-Industrial/145433058?utm_source=chatgpt.com</v>
      </c>
      <c r="AA693" s="215" t="str">
        <f>IFERROR(__xludf.DUMMYFUNCTION("""COMPUTED_VALUE"""),"https://docs.google.com/spreadsheets/d/1vk-CFNauPWNO4fk6TSu_J52vnJ7ukiXUZOmNEz3LMq8/edit?gid=0#gid=0")</f>
        <v>https://docs.google.com/spreadsheets/d/1vk-CFNauPWNO4fk6TSu_J52vnJ7ukiXUZOmNEz3LMq8/edit?gid=0#gid=0</v>
      </c>
      <c r="AB693" s="213"/>
      <c r="AC693" s="213"/>
      <c r="AD693" s="213"/>
      <c r="AE693" s="213"/>
      <c r="AF693" s="213"/>
      <c r="AG693" s="213"/>
      <c r="AH693" s="213"/>
      <c r="AI693" s="213"/>
      <c r="AJ693" s="213"/>
      <c r="AK693" s="213"/>
      <c r="AL693" s="213"/>
      <c r="AM693" s="213"/>
      <c r="AN693" s="213"/>
      <c r="AO693" s="213"/>
      <c r="AP693" s="213" t="str">
        <f>IFERROR(__xludf.DUMMYFUNCTION("""COMPUTED_VALUE"""),"SEBASTIAN")</f>
        <v>SEBASTIAN</v>
      </c>
      <c r="AQ693" s="213"/>
      <c r="AR693" s="213"/>
      <c r="AS693" s="213"/>
      <c r="AT693" s="213"/>
      <c r="AU693" s="213"/>
      <c r="AV693" s="213"/>
      <c r="AW693" s="213"/>
      <c r="AX693" s="213"/>
      <c r="AY693" s="213"/>
      <c r="AZ693" s="213"/>
      <c r="BA693" s="213"/>
      <c r="BB693" s="213"/>
      <c r="BC693" s="213"/>
      <c r="BD693" s="213"/>
    </row>
    <row r="694">
      <c r="A694" s="213">
        <f>IFERROR(__xludf.DUMMYFUNCTION("""COMPUTED_VALUE"""),179.0)</f>
        <v>179</v>
      </c>
      <c r="B694" s="213" t="str">
        <f>IFERROR(__xludf.DUMMYFUNCTION("""COMPUTED_VALUE"""),"2026 SIMON BOLIVAR")</f>
        <v>2026 SIMON BOLIVAR</v>
      </c>
      <c r="C694" s="213" t="str">
        <f>IFERROR(__xludf.DUMMYFUNCTION("""COMPUTED_VALUE"""),"TALLER SFT DE INDUSTRIA DEL VESTIDO")</f>
        <v>TALLER SFT DE INDUSTRIA DEL VESTIDO</v>
      </c>
      <c r="D694" s="213" t="str">
        <f>IFERROR(__xludf.DUMMYFUNCTION("""COMPUTED_VALUE"""),"HERRAMIENTAS")</f>
        <v>HERRAMIENTAS</v>
      </c>
      <c r="E694" s="213" t="str">
        <f>IFERROR(__xludf.DUMMYFUNCTION("""COMPUTED_VALUE"""),"COM-267")</f>
        <v>COM-267</v>
      </c>
      <c r="F694" s="213" t="str">
        <f>IFERROR(__xludf.DUMMYFUNCTION("""COMPUTED_VALUE"""),"COM-267")</f>
        <v>COM-267</v>
      </c>
      <c r="G694" s="213"/>
      <c r="H694" s="213" t="str">
        <f>IFERROR(__xludf.DUMMYFUNCTION("""COMPUTED_VALUE"""),"PRENSATELA DE COMPENSACIÓN")</f>
        <v>PRENSATELA DE COMPENSACIÓN</v>
      </c>
      <c r="I694" s="213" t="str">
        <f>IFERROR(__xludf.DUMMYFUNCTION("""COMPUTED_VALUE"""),"·      Para recta industrial de cualquier marca de una sola aguja
·      Para compensar las distintas alturas de telas. Ej al pegar bolsillos o etiquetas.
·      De acuerdo a la medida elegida, permite dar la misma distancia en la costura alrededor de lo "&amp;"que se está cosiendo.
·      Presentación: Metálico
·      Tamaño aproximado. 28 x 30 x 11  mm
·      Disposición en m edidas:1/16""--1/8"" - 3/16"" - 1/4""
·      Izquierdo-Derecho")</f>
        <v>·      Para recta industrial de cualquier marca de una sola aguja
·      Para compensar las distintas alturas de telas. Ej al pegar bolsillos o etiquetas.
·      De acuerdo a la medida elegida, permite dar la misma distancia en la costura alrededor de lo que se está cosiendo.
·      Presentación: Metálico
·      Tamaño aproximado. 28 x 30 x 11  mm
·      Disposición en m edidas:1/16"--1/8" - 3/16" - 1/4"
·      Izquierdo-Derecho</v>
      </c>
      <c r="J694" s="213">
        <f>IFERROR(__xludf.DUMMYFUNCTION("""COMPUTED_VALUE"""),3.0)</f>
        <v>3</v>
      </c>
      <c r="K694" s="213" t="str">
        <f>IFERROR(__xludf.DUMMYFUNCTION("""COMPUTED_VALUE"""),"90 DÍAS CALENDARIO")</f>
        <v>90 DÍAS CALENDARIO</v>
      </c>
      <c r="L694" s="213" t="str">
        <f>IFERROR(__xludf.DUMMYFUNCTION("""COMPUTED_VALUE"""),"")</f>
        <v/>
      </c>
      <c r="M694" s="213">
        <f>IFERROR(__xludf.DUMMYFUNCTION("""COMPUTED_VALUE"""),1.0)</f>
        <v>1</v>
      </c>
      <c r="N694" s="213">
        <f>IFERROR(__xludf.DUMMYFUNCTION("""COMPUTED_VALUE"""),4.0)</f>
        <v>4</v>
      </c>
      <c r="O694" s="213">
        <f>IFERROR(__xludf.DUMMYFUNCTION("""COMPUTED_VALUE"""),4.0)</f>
        <v>4</v>
      </c>
      <c r="P694" s="213"/>
      <c r="Q694" s="213"/>
      <c r="R694" s="213" t="str">
        <f>IFERROR(__xludf.DUMMYFUNCTION("""COMPUTED_VALUE"""),"SI")</f>
        <v>SI</v>
      </c>
      <c r="S694" s="213"/>
      <c r="T694" s="213" t="str">
        <f>IFERROR(__xludf.DUMMYFUNCTION("""COMPUTED_VALUE"""),"CONSULTA FINAL")</f>
        <v>CONSULTA FINAL</v>
      </c>
      <c r="U694" s="213" t="str">
        <f>IFERROR(__xludf.DUMMYFUNCTION("""COMPUTED_VALUE"""),"NO")</f>
        <v>NO</v>
      </c>
      <c r="V694" s="213" t="str">
        <f>IFERROR(__xludf.DUMMYFUNCTION("""COMPUTED_VALUE"""),"SUSTENTO")</f>
        <v>SUSTENTO</v>
      </c>
      <c r="W694" s="213" t="str">
        <f>IFERROR(__xludf.DUMMYFUNCTION("""COMPUTED_VALUE"""),"DIMENSIONAL")</f>
        <v>DIMENSIONAL</v>
      </c>
      <c r="X694" s="213" t="str">
        <f>IFERROR(__xludf.DUMMYFUNCTION("""COMPUTED_VALUE"""),"GENERICO")</f>
        <v>GENERICO</v>
      </c>
      <c r="Y694" s="213" t="str">
        <f>IFERROR(__xludf.DUMMYFUNCTION("""COMPUTED_VALUE"""),"B0BXQ1LS17 /  SP-18(3/16)-S")</f>
        <v>B0BXQ1LS17 /  SP-18(3/16)-S</v>
      </c>
      <c r="Z694" s="215" t="str">
        <f>IFERROR(__xludf.DUMMYFUNCTION("""COMPUTED_VALUE"""),"https://www.amazon.es/Prensatelas-compensaci%C3%B3n-derecha-izquierda-industrial/dp/B0BXPY7KVD?th=1")</f>
        <v>https://www.amazon.es/Prensatelas-compensaci%C3%B3n-derecha-izquierda-industrial/dp/B0BXPY7KVD?th=1</v>
      </c>
      <c r="AA694" s="213" t="str">
        <f>IFERROR(__xludf.DUMMYFUNCTION("""COMPUTED_VALUE"""),"COM-267 PRENSATELA DE COMPENSACIÓN - CET")</f>
        <v>COM-267 PRENSATELA DE COMPENSACIÓN - CET</v>
      </c>
      <c r="AB694" s="213"/>
      <c r="AC694" s="213"/>
      <c r="AD694" s="213"/>
      <c r="AE694" s="213"/>
      <c r="AF694" s="213"/>
      <c r="AG694" s="213"/>
      <c r="AH694" s="213"/>
      <c r="AI694" s="213"/>
      <c r="AJ694" s="213"/>
      <c r="AK694" s="213"/>
      <c r="AL694" s="213"/>
      <c r="AM694" s="213"/>
      <c r="AN694" s="213"/>
      <c r="AO694" s="213"/>
      <c r="AP694" s="213" t="str">
        <f>IFERROR(__xludf.DUMMYFUNCTION("""COMPUTED_VALUE"""),"SEBASTIAN")</f>
        <v>SEBASTIAN</v>
      </c>
      <c r="AQ694" s="213"/>
      <c r="AR694" s="213"/>
      <c r="AS694" s="213"/>
      <c r="AT694" s="213"/>
      <c r="AU694" s="213"/>
      <c r="AV694" s="213"/>
      <c r="AW694" s="213"/>
      <c r="AX694" s="213"/>
      <c r="AY694" s="213"/>
      <c r="AZ694" s="213"/>
      <c r="BA694" s="213"/>
      <c r="BB694" s="213"/>
      <c r="BC694" s="213"/>
      <c r="BD694" s="213"/>
    </row>
    <row r="695">
      <c r="A695" s="213">
        <f>IFERROR(__xludf.DUMMYFUNCTION("""COMPUTED_VALUE"""),2401.0)</f>
        <v>2401</v>
      </c>
      <c r="B695" s="213" t="str">
        <f>IFERROR(__xludf.DUMMYFUNCTION("""COMPUTED_VALUE"""),"MANUEL ANTONIO MESONES MURO")</f>
        <v>MANUEL ANTONIO MESONES MURO</v>
      </c>
      <c r="C695" s="213" t="str">
        <f>IFERROR(__xludf.DUMMYFUNCTION("""COMPUTED_VALUE"""),"TALLER SFT DE INDUSTRIA DEL VESTIDO")</f>
        <v>TALLER SFT DE INDUSTRIA DEL VESTIDO</v>
      </c>
      <c r="D695" s="213" t="str">
        <f>IFERROR(__xludf.DUMMYFUNCTION("""COMPUTED_VALUE"""),"HERRAMIENTAS")</f>
        <v>HERRAMIENTAS</v>
      </c>
      <c r="E695" s="213" t="str">
        <f>IFERROR(__xludf.DUMMYFUNCTION("""COMPUTED_VALUE"""),"COM-267")</f>
        <v>COM-267</v>
      </c>
      <c r="F695" s="213" t="str">
        <f>IFERROR(__xludf.DUMMYFUNCTION("""COMPUTED_VALUE"""),"COM-267")</f>
        <v>COM-267</v>
      </c>
      <c r="G695" s="213"/>
      <c r="H695" s="213" t="str">
        <f>IFERROR(__xludf.DUMMYFUNCTION("""COMPUTED_VALUE"""),"PRENSATELA DE COMPENSACIÓN")</f>
        <v>PRENSATELA DE COMPENSACIÓN</v>
      </c>
      <c r="I695" s="213" t="str">
        <f>IFERROR(__xludf.DUMMYFUNCTION("""COMPUTED_VALUE"""),"·      Para recta industrial de cualquier marca de una sola aguja
·      Para compensar las distintas alturas de telas. Ej al pegar bolsillos o etiquetas.
·      De acuerdo a la medida elegida, permite dar la misma distancia en la costura alrededor de lo "&amp;"que se está cosiendo.
·      Presentación: Metálico
·      Tamaño aproximado. 28 x 30 x 11  mm
·      Disposición en m edidas:1/16""--1/8"" - 3/16"" - 1/4""
·      Izquierdo-Derecho")</f>
        <v>·      Para recta industrial de cualquier marca de una sola aguja
·      Para compensar las distintas alturas de telas. Ej al pegar bolsillos o etiquetas.
·      De acuerdo a la medida elegida, permite dar la misma distancia en la costura alrededor de lo que se está cosiendo.
·      Presentación: Metálico
·      Tamaño aproximado. 28 x 30 x 11  mm
·      Disposición en m edidas:1/16"--1/8" - 3/16" - 1/4"
·      Izquierdo-Derecho</v>
      </c>
      <c r="J695" s="213">
        <f>IFERROR(__xludf.DUMMYFUNCTION("""COMPUTED_VALUE"""),3.0)</f>
        <v>3</v>
      </c>
      <c r="K695" s="213" t="str">
        <f>IFERROR(__xludf.DUMMYFUNCTION("""COMPUTED_VALUE"""),"90 DÍAS CALENDARIO")</f>
        <v>90 DÍAS CALENDARIO</v>
      </c>
      <c r="L695" s="213" t="str">
        <f>IFERROR(__xludf.DUMMYFUNCTION("""COMPUTED_VALUE"""),"")</f>
        <v/>
      </c>
      <c r="M695" s="213">
        <f>IFERROR(__xludf.DUMMYFUNCTION("""COMPUTED_VALUE"""),1.0)</f>
        <v>1</v>
      </c>
      <c r="N695" s="213">
        <f>IFERROR(__xludf.DUMMYFUNCTION("""COMPUTED_VALUE"""),4.0)</f>
        <v>4</v>
      </c>
      <c r="O695" s="213">
        <f>IFERROR(__xludf.DUMMYFUNCTION("""COMPUTED_VALUE"""),4.0)</f>
        <v>4</v>
      </c>
      <c r="P695" s="213"/>
      <c r="Q695" s="213"/>
      <c r="R695" s="213" t="str">
        <f>IFERROR(__xludf.DUMMYFUNCTION("""COMPUTED_VALUE"""),"SI")</f>
        <v>SI</v>
      </c>
      <c r="S695" s="213"/>
      <c r="T695" s="213" t="str">
        <f>IFERROR(__xludf.DUMMYFUNCTION("""COMPUTED_VALUE"""),"CONSULTA FINAL")</f>
        <v>CONSULTA FINAL</v>
      </c>
      <c r="U695" s="213" t="str">
        <f>IFERROR(__xludf.DUMMYFUNCTION("""COMPUTED_VALUE"""),"NO")</f>
        <v>NO</v>
      </c>
      <c r="V695" s="213" t="str">
        <f>IFERROR(__xludf.DUMMYFUNCTION("""COMPUTED_VALUE"""),"SUSTENTO")</f>
        <v>SUSTENTO</v>
      </c>
      <c r="W695" s="213" t="str">
        <f>IFERROR(__xludf.DUMMYFUNCTION("""COMPUTED_VALUE"""),"DIMENSIONAL")</f>
        <v>DIMENSIONAL</v>
      </c>
      <c r="X695" s="213" t="str">
        <f>IFERROR(__xludf.DUMMYFUNCTION("""COMPUTED_VALUE"""),"GENERICO")</f>
        <v>GENERICO</v>
      </c>
      <c r="Y695" s="213" t="str">
        <f>IFERROR(__xludf.DUMMYFUNCTION("""COMPUTED_VALUE"""),"B0BXQ1LS17 /  SP-18(3/16)-S")</f>
        <v>B0BXQ1LS17 /  SP-18(3/16)-S</v>
      </c>
      <c r="Z695" s="215" t="str">
        <f>IFERROR(__xludf.DUMMYFUNCTION("""COMPUTED_VALUE"""),"https://www.amazon.es/Prensatelas-compensaci%C3%B3n-derecha-izquierda-industrial/dp/B0BXPY7KVD?th=2")</f>
        <v>https://www.amazon.es/Prensatelas-compensaci%C3%B3n-derecha-izquierda-industrial/dp/B0BXPY7KVD?th=2</v>
      </c>
      <c r="AA695" s="215" t="str">
        <f>IFERROR(__xludf.DUMMYFUNCTION("""COMPUTED_VALUE"""),"https://docs.google.com/spreadsheets/d/1l5zL-ZdD4yzBH-3sIbyXtAA5qZkfNTAlHN1egwKn06g/edit?gid=0#gid=1")</f>
        <v>https://docs.google.com/spreadsheets/d/1l5zL-ZdD4yzBH-3sIbyXtAA5qZkfNTAlHN1egwKn06g/edit?gid=0#gid=1</v>
      </c>
      <c r="AB695" s="213"/>
      <c r="AC695" s="213"/>
      <c r="AD695" s="213"/>
      <c r="AE695" s="213"/>
      <c r="AF695" s="213"/>
      <c r="AG695" s="213"/>
      <c r="AH695" s="213"/>
      <c r="AI695" s="213"/>
      <c r="AJ695" s="213"/>
      <c r="AK695" s="213"/>
      <c r="AL695" s="213"/>
      <c r="AM695" s="213"/>
      <c r="AN695" s="213"/>
      <c r="AO695" s="213"/>
      <c r="AP695" s="213" t="str">
        <f>IFERROR(__xludf.DUMMYFUNCTION("""COMPUTED_VALUE"""),"SEBASTIAN")</f>
        <v>SEBASTIAN</v>
      </c>
      <c r="AQ695" s="213"/>
      <c r="AR695" s="213"/>
      <c r="AS695" s="213"/>
      <c r="AT695" s="213"/>
      <c r="AU695" s="213"/>
      <c r="AV695" s="213"/>
      <c r="AW695" s="213"/>
      <c r="AX695" s="213"/>
      <c r="AY695" s="213"/>
      <c r="AZ695" s="213"/>
      <c r="BA695" s="213"/>
      <c r="BB695" s="213"/>
      <c r="BC695" s="213"/>
      <c r="BD695" s="213"/>
    </row>
    <row r="696">
      <c r="A696" s="213">
        <f>IFERROR(__xludf.DUMMYFUNCTION("""COMPUTED_VALUE"""),180.0)</f>
        <v>180</v>
      </c>
      <c r="B696" s="213" t="str">
        <f>IFERROR(__xludf.DUMMYFUNCTION("""COMPUTED_VALUE"""),"2026 SIMON BOLIVAR")</f>
        <v>2026 SIMON BOLIVAR</v>
      </c>
      <c r="C696" s="213" t="str">
        <f>IFERROR(__xludf.DUMMYFUNCTION("""COMPUTED_VALUE"""),"TALLER SFT DE INDUSTRIA DEL VESTIDO")</f>
        <v>TALLER SFT DE INDUSTRIA DEL VESTIDO</v>
      </c>
      <c r="D696" s="213" t="str">
        <f>IFERROR(__xludf.DUMMYFUNCTION("""COMPUTED_VALUE"""),"HERRAMIENTAS")</f>
        <v>HERRAMIENTAS</v>
      </c>
      <c r="E696" s="213" t="str">
        <f>IFERROR(__xludf.DUMMYFUNCTION("""COMPUTED_VALUE"""),"COM-268")</f>
        <v>COM-268</v>
      </c>
      <c r="F696" s="213" t="str">
        <f>IFERROR(__xludf.DUMMYFUNCTION("""COMPUTED_VALUE"""),"COM-268")</f>
        <v>COM-268</v>
      </c>
      <c r="G696" s="213"/>
      <c r="H696" s="213" t="str">
        <f>IFERROR(__xludf.DUMMYFUNCTION("""COMPUTED_VALUE"""),"PRENSATELA DE DOBLADILLAR")</f>
        <v>PRENSATELA DE DOBLADILLAR</v>
      </c>
      <c r="I696" s="213" t="str">
        <f>IFERROR(__xludf.DUMMYFUNCTION("""COMPUTED_VALUE"""),"·      Adaptable a cualquier máquina recta industrial
·      Disponibles  en distintas medidas, de 2mm, 3mm, 4mm, 5mm.
·      Presentación: Metálico.")</f>
        <v>·      Adaptable a cualquier máquina recta industrial
·      Disponibles  en distintas medidas, de 2mm, 3mm, 4mm, 5mm.
·      Presentación: Metálico.</v>
      </c>
      <c r="J696" s="213">
        <f>IFERROR(__xludf.DUMMYFUNCTION("""COMPUTED_VALUE"""),3.0)</f>
        <v>3</v>
      </c>
      <c r="K696" s="213" t="str">
        <f>IFERROR(__xludf.DUMMYFUNCTION("""COMPUTED_VALUE"""),"90 DÍAS CALENDARIO")</f>
        <v>90 DÍAS CALENDARIO</v>
      </c>
      <c r="L696" s="213" t="str">
        <f>IFERROR(__xludf.DUMMYFUNCTION("""COMPUTED_VALUE"""),"")</f>
        <v/>
      </c>
      <c r="M696" s="213">
        <f>IFERROR(__xludf.DUMMYFUNCTION("""COMPUTED_VALUE"""),1.0)</f>
        <v>1</v>
      </c>
      <c r="N696" s="213">
        <f>IFERROR(__xludf.DUMMYFUNCTION("""COMPUTED_VALUE"""),4.0)</f>
        <v>4</v>
      </c>
      <c r="O696" s="213">
        <f>IFERROR(__xludf.DUMMYFUNCTION("""COMPUTED_VALUE"""),4.0)</f>
        <v>4</v>
      </c>
      <c r="P696" s="213"/>
      <c r="Q696" s="213"/>
      <c r="R696" s="213" t="str">
        <f>IFERROR(__xludf.DUMMYFUNCTION("""COMPUTED_VALUE"""),"SI")</f>
        <v>SI</v>
      </c>
      <c r="S696" s="213"/>
      <c r="T696" s="213" t="str">
        <f>IFERROR(__xludf.DUMMYFUNCTION("""COMPUTED_VALUE"""),"SI")</f>
        <v>SI</v>
      </c>
      <c r="U696" s="213" t="str">
        <f>IFERROR(__xludf.DUMMYFUNCTION("""COMPUTED_VALUE"""),"SI")</f>
        <v>SI</v>
      </c>
      <c r="V696" s="213" t="str">
        <f>IFERROR(__xludf.DUMMYFUNCTION("""COMPUTED_VALUE"""),"-")</f>
        <v>-</v>
      </c>
      <c r="W696" s="213" t="str">
        <f>IFERROR(__xludf.DUMMYFUNCTION("""COMPUTED_VALUE"""),"-")</f>
        <v>-</v>
      </c>
      <c r="X696" s="213" t="str">
        <f>IFERROR(__xludf.DUMMYFUNCTION("""COMPUTED_VALUE"""),"SINGER")</f>
        <v>SINGER</v>
      </c>
      <c r="Y696" s="213" t="str">
        <f>IFERROR(__xludf.DUMMYFUNCTION("""COMPUTED_VALUE"""),"VARIOS")</f>
        <v>VARIOS</v>
      </c>
      <c r="Z696" s="215" t="str">
        <f>IFERROR(__xludf.DUMMYFUNCTION("""COMPUTED_VALUE"""),"https://drive.google.com/file/d/1n8bkUndp6udJQV-mostHc-ZuMSHRofyi/view?usp=sharing")</f>
        <v>https://drive.google.com/file/d/1n8bkUndp6udJQV-mostHc-ZuMSHRofyi/view?usp=sharing</v>
      </c>
      <c r="AA696" s="213" t="str">
        <f>IFERROR(__xludf.DUMMYFUNCTION("""COMPUTED_VALUE"""),"COM-268 PRENSATELA DE DOBLADILLAR - CET")</f>
        <v>COM-268 PRENSATELA DE DOBLADILLAR - CET</v>
      </c>
      <c r="AB696" s="213"/>
      <c r="AC696" s="213"/>
      <c r="AD696" s="213"/>
      <c r="AE696" s="213"/>
      <c r="AF696" s="213"/>
      <c r="AG696" s="213"/>
      <c r="AH696" s="213"/>
      <c r="AI696" s="213"/>
      <c r="AJ696" s="213"/>
      <c r="AK696" s="213"/>
      <c r="AL696" s="213"/>
      <c r="AM696" s="213"/>
      <c r="AN696" s="213"/>
      <c r="AO696" s="213"/>
      <c r="AP696" s="213" t="str">
        <f>IFERROR(__xludf.DUMMYFUNCTION("""COMPUTED_VALUE"""),"SEBASTIAN")</f>
        <v>SEBASTIAN</v>
      </c>
      <c r="AQ696" s="213"/>
      <c r="AR696" s="213"/>
      <c r="AS696" s="213"/>
      <c r="AT696" s="213"/>
      <c r="AU696" s="213"/>
      <c r="AV696" s="213"/>
      <c r="AW696" s="213"/>
      <c r="AX696" s="213"/>
      <c r="AY696" s="213"/>
      <c r="AZ696" s="213"/>
      <c r="BA696" s="213"/>
      <c r="BB696" s="213"/>
      <c r="BC696" s="213"/>
      <c r="BD696" s="213"/>
    </row>
    <row r="697">
      <c r="A697" s="213">
        <f>IFERROR(__xludf.DUMMYFUNCTION("""COMPUTED_VALUE"""),2402.0)</f>
        <v>2402</v>
      </c>
      <c r="B697" s="213" t="str">
        <f>IFERROR(__xludf.DUMMYFUNCTION("""COMPUTED_VALUE"""),"MANUEL ANTONIO MESONES MURO")</f>
        <v>MANUEL ANTONIO MESONES MURO</v>
      </c>
      <c r="C697" s="213" t="str">
        <f>IFERROR(__xludf.DUMMYFUNCTION("""COMPUTED_VALUE"""),"TALLER SFT DE INDUSTRIA DEL VESTIDO")</f>
        <v>TALLER SFT DE INDUSTRIA DEL VESTIDO</v>
      </c>
      <c r="D697" s="213" t="str">
        <f>IFERROR(__xludf.DUMMYFUNCTION("""COMPUTED_VALUE"""),"HERRAMIENTAS")</f>
        <v>HERRAMIENTAS</v>
      </c>
      <c r="E697" s="213" t="str">
        <f>IFERROR(__xludf.DUMMYFUNCTION("""COMPUTED_VALUE"""),"COM-268")</f>
        <v>COM-268</v>
      </c>
      <c r="F697" s="213" t="str">
        <f>IFERROR(__xludf.DUMMYFUNCTION("""COMPUTED_VALUE"""),"COM-268")</f>
        <v>COM-268</v>
      </c>
      <c r="G697" s="213"/>
      <c r="H697" s="213" t="str">
        <f>IFERROR(__xludf.DUMMYFUNCTION("""COMPUTED_VALUE"""),"PRENSATELA DE DOBLADILLAR")</f>
        <v>PRENSATELA DE DOBLADILLAR</v>
      </c>
      <c r="I697" s="213" t="str">
        <f>IFERROR(__xludf.DUMMYFUNCTION("""COMPUTED_VALUE"""),"·      Adaptable a cualquier máquina recta industrial
·      Disponibles  en distintas medidas, de 2mm, 3mm, 4mm, 5mm.
·      Presentación: Metálico.")</f>
        <v>·      Adaptable a cualquier máquina recta industrial
·      Disponibles  en distintas medidas, de 2mm, 3mm, 4mm, 5mm.
·      Presentación: Metálico.</v>
      </c>
      <c r="J697" s="213">
        <f>IFERROR(__xludf.DUMMYFUNCTION("""COMPUTED_VALUE"""),3.0)</f>
        <v>3</v>
      </c>
      <c r="K697" s="213" t="str">
        <f>IFERROR(__xludf.DUMMYFUNCTION("""COMPUTED_VALUE"""),"90 DÍAS CALENDARIO")</f>
        <v>90 DÍAS CALENDARIO</v>
      </c>
      <c r="L697" s="213" t="str">
        <f>IFERROR(__xludf.DUMMYFUNCTION("""COMPUTED_VALUE"""),"")</f>
        <v/>
      </c>
      <c r="M697" s="213">
        <f>IFERROR(__xludf.DUMMYFUNCTION("""COMPUTED_VALUE"""),1.0)</f>
        <v>1</v>
      </c>
      <c r="N697" s="213">
        <f>IFERROR(__xludf.DUMMYFUNCTION("""COMPUTED_VALUE"""),4.0)</f>
        <v>4</v>
      </c>
      <c r="O697" s="213">
        <f>IFERROR(__xludf.DUMMYFUNCTION("""COMPUTED_VALUE"""),4.0)</f>
        <v>4</v>
      </c>
      <c r="P697" s="213"/>
      <c r="Q697" s="213"/>
      <c r="R697" s="213" t="str">
        <f>IFERROR(__xludf.DUMMYFUNCTION("""COMPUTED_VALUE"""),"SI")</f>
        <v>SI</v>
      </c>
      <c r="S697" s="213"/>
      <c r="T697" s="213" t="str">
        <f>IFERROR(__xludf.DUMMYFUNCTION("""COMPUTED_VALUE"""),"SI")</f>
        <v>SI</v>
      </c>
      <c r="U697" s="213" t="str">
        <f>IFERROR(__xludf.DUMMYFUNCTION("""COMPUTED_VALUE"""),"SI")</f>
        <v>SI</v>
      </c>
      <c r="V697" s="213" t="str">
        <f>IFERROR(__xludf.DUMMYFUNCTION("""COMPUTED_VALUE"""),"-")</f>
        <v>-</v>
      </c>
      <c r="W697" s="213" t="str">
        <f>IFERROR(__xludf.DUMMYFUNCTION("""COMPUTED_VALUE"""),"-")</f>
        <v>-</v>
      </c>
      <c r="X697" s="213" t="str">
        <f>IFERROR(__xludf.DUMMYFUNCTION("""COMPUTED_VALUE"""),"SINGER")</f>
        <v>SINGER</v>
      </c>
      <c r="Y697" s="213" t="str">
        <f>IFERROR(__xludf.DUMMYFUNCTION("""COMPUTED_VALUE"""),"VARIOS")</f>
        <v>VARIOS</v>
      </c>
      <c r="Z697" s="215" t="str">
        <f>IFERROR(__xludf.DUMMYFUNCTION("""COMPUTED_VALUE"""),"https://drive.google.com/file/d/1n8bkUndp6udJQV-mostHc-ZuMSHRofyi/view?usp=sharing")</f>
        <v>https://drive.google.com/file/d/1n8bkUndp6udJQV-mostHc-ZuMSHRofyi/view?usp=sharing</v>
      </c>
      <c r="AA697" s="213" t="str">
        <f>IFERROR(__xludf.DUMMYFUNCTION("""COMPUTED_VALUE"""),"COM-268 PRENSATELA DE DOBLADILLAR - CET")</f>
        <v>COM-268 PRENSATELA DE DOBLADILLAR - CET</v>
      </c>
      <c r="AB697" s="213"/>
      <c r="AC697" s="213"/>
      <c r="AD697" s="213"/>
      <c r="AE697" s="213"/>
      <c r="AF697" s="213"/>
      <c r="AG697" s="213"/>
      <c r="AH697" s="213"/>
      <c r="AI697" s="213"/>
      <c r="AJ697" s="213"/>
      <c r="AK697" s="213"/>
      <c r="AL697" s="213"/>
      <c r="AM697" s="213"/>
      <c r="AN697" s="213"/>
      <c r="AO697" s="213"/>
      <c r="AP697" s="213" t="str">
        <f>IFERROR(__xludf.DUMMYFUNCTION("""COMPUTED_VALUE"""),"SEBASTIAN")</f>
        <v>SEBASTIAN</v>
      </c>
      <c r="AQ697" s="213"/>
      <c r="AR697" s="213"/>
      <c r="AS697" s="213"/>
      <c r="AT697" s="213"/>
      <c r="AU697" s="213"/>
      <c r="AV697" s="213"/>
      <c r="AW697" s="213"/>
      <c r="AX697" s="213"/>
      <c r="AY697" s="213"/>
      <c r="AZ697" s="213"/>
      <c r="BA697" s="213"/>
      <c r="BB697" s="213"/>
      <c r="BC697" s="213"/>
      <c r="BD697" s="213"/>
    </row>
    <row r="698">
      <c r="A698" s="213">
        <f>IFERROR(__xludf.DUMMYFUNCTION("""COMPUTED_VALUE"""),175.0)</f>
        <v>175</v>
      </c>
      <c r="B698" s="213" t="str">
        <f>IFERROR(__xludf.DUMMYFUNCTION("""COMPUTED_VALUE"""),"2026 SIMON BOLIVAR")</f>
        <v>2026 SIMON BOLIVAR</v>
      </c>
      <c r="C698" s="213" t="str">
        <f>IFERROR(__xludf.DUMMYFUNCTION("""COMPUTED_VALUE"""),"TALLER SFT DE INDUSTRIA DEL VESTIDO")</f>
        <v>TALLER SFT DE INDUSTRIA DEL VESTIDO</v>
      </c>
      <c r="D698" s="213" t="str">
        <f>IFERROR(__xludf.DUMMYFUNCTION("""COMPUTED_VALUE"""),"HERRAMIENTAS")</f>
        <v>HERRAMIENTAS</v>
      </c>
      <c r="E698" s="213" t="str">
        <f>IFERROR(__xludf.DUMMYFUNCTION("""COMPUTED_VALUE"""),"COM-269")</f>
        <v>COM-269</v>
      </c>
      <c r="F698" s="213" t="str">
        <f>IFERROR(__xludf.DUMMYFUNCTION("""COMPUTED_VALUE"""),"COM-269")</f>
        <v>COM-269</v>
      </c>
      <c r="G698" s="213"/>
      <c r="H698" s="213" t="str">
        <f>IFERROR(__xludf.DUMMYFUNCTION("""COMPUTED_VALUE"""),"PUNZÓN")</f>
        <v>PUNZÓN</v>
      </c>
      <c r="I698" s="213" t="str">
        <f>IFERROR(__xludf.DUMMYFUNCTION("""COMPUTED_VALUE"""),"·      Multi    - funciones
·      Mango de: madera y punta de acero inoxidable
·      Función: Cavar orificio, recoger hilo, marcar Longitud minima  12 cm aproximado")</f>
        <v>·      Multi    - funciones
·      Mango de: madera y punta de acero inoxidable
·      Función: Cavar orificio, recoger hilo, marcar Longitud minima  12 cm aproximado</v>
      </c>
      <c r="J698" s="213">
        <f>IFERROR(__xludf.DUMMYFUNCTION("""COMPUTED_VALUE"""),3.0)</f>
        <v>3</v>
      </c>
      <c r="K698" s="213" t="str">
        <f>IFERROR(__xludf.DUMMYFUNCTION("""COMPUTED_VALUE"""),"90 DÍAS CALENDARIO")</f>
        <v>90 DÍAS CALENDARIO</v>
      </c>
      <c r="L698" s="213" t="str">
        <f>IFERROR(__xludf.DUMMYFUNCTION("""COMPUTED_VALUE"""),"")</f>
        <v/>
      </c>
      <c r="M698" s="213">
        <f>IFERROR(__xludf.DUMMYFUNCTION("""COMPUTED_VALUE"""),1.0)</f>
        <v>1</v>
      </c>
      <c r="N698" s="213">
        <f>IFERROR(__xludf.DUMMYFUNCTION("""COMPUTED_VALUE"""),5.0)</f>
        <v>5</v>
      </c>
      <c r="O698" s="213">
        <f>IFERROR(__xludf.DUMMYFUNCTION("""COMPUTED_VALUE"""),5.0)</f>
        <v>5</v>
      </c>
      <c r="P698" s="213"/>
      <c r="Q698" s="213"/>
      <c r="R698" s="213" t="str">
        <f>IFERROR(__xludf.DUMMYFUNCTION("""COMPUTED_VALUE"""),"SI")</f>
        <v>SI</v>
      </c>
      <c r="S698" s="213"/>
      <c r="T698" s="213" t="str">
        <f>IFERROR(__xludf.DUMMYFUNCTION("""COMPUTED_VALUE"""),"SI")</f>
        <v>SI</v>
      </c>
      <c r="U698" s="213" t="str">
        <f>IFERROR(__xludf.DUMMYFUNCTION("""COMPUTED_VALUE"""),"SI")</f>
        <v>SI</v>
      </c>
      <c r="V698" s="213" t="str">
        <f>IFERROR(__xludf.DUMMYFUNCTION("""COMPUTED_VALUE"""),"-")</f>
        <v>-</v>
      </c>
      <c r="W698" s="213" t="str">
        <f>IFERROR(__xludf.DUMMYFUNCTION("""COMPUTED_VALUE"""),"-")</f>
        <v>-</v>
      </c>
      <c r="X698" s="213" t="str">
        <f>IFERROR(__xludf.DUMMYFUNCTION("""COMPUTED_VALUE"""),"SAIDA TEX")</f>
        <v>SAIDA TEX</v>
      </c>
      <c r="Y698" s="213" t="str">
        <f>IFERROR(__xludf.DUMMYFUNCTION("""COMPUTED_VALUE"""),"3PC")</f>
        <v>3PC</v>
      </c>
      <c r="Z698" s="215" t="str">
        <f>IFERROR(__xludf.DUMMYFUNCTION("""COMPUTED_VALUE"""),"https://www.mercadolibre.com.pe/punzon-lezna-mango-madera-para-costura-y-cuero-x-3-und/up/MPEU2990103922#highlighted_specs_attrs")</f>
        <v>https://www.mercadolibre.com.pe/punzon-lezna-mango-madera-para-costura-y-cuero-x-3-und/up/MPEU2990103922#highlighted_specs_attrs</v>
      </c>
      <c r="AA698" s="213" t="str">
        <f>IFERROR(__xludf.DUMMYFUNCTION("""COMPUTED_VALUE"""),"COM-269 PUNZON - CET")</f>
        <v>COM-269 PUNZON - CET</v>
      </c>
      <c r="AB698" s="213"/>
      <c r="AC698" s="213"/>
      <c r="AD698" s="213"/>
      <c r="AE698" s="213"/>
      <c r="AF698" s="213"/>
      <c r="AG698" s="213"/>
      <c r="AH698" s="213"/>
      <c r="AI698" s="213"/>
      <c r="AJ698" s="213"/>
      <c r="AK698" s="213"/>
      <c r="AL698" s="213"/>
      <c r="AM698" s="213"/>
      <c r="AN698" s="213"/>
      <c r="AO698" s="213"/>
      <c r="AP698" s="213" t="str">
        <f>IFERROR(__xludf.DUMMYFUNCTION("""COMPUTED_VALUE"""),"SEBASTIAN")</f>
        <v>SEBASTIAN</v>
      </c>
      <c r="AQ698" s="213"/>
      <c r="AR698" s="213"/>
      <c r="AS698" s="213"/>
      <c r="AT698" s="213"/>
      <c r="AU698" s="213"/>
      <c r="AV698" s="213"/>
      <c r="AW698" s="213"/>
      <c r="AX698" s="213"/>
      <c r="AY698" s="213"/>
      <c r="AZ698" s="213"/>
      <c r="BA698" s="213"/>
      <c r="BB698" s="213"/>
      <c r="BC698" s="213"/>
      <c r="BD698" s="213"/>
    </row>
    <row r="699">
      <c r="A699" s="213">
        <f>IFERROR(__xludf.DUMMYFUNCTION("""COMPUTED_VALUE"""),2395.0)</f>
        <v>2395</v>
      </c>
      <c r="B699" s="213" t="str">
        <f>IFERROR(__xludf.DUMMYFUNCTION("""COMPUTED_VALUE"""),"MANUEL ANTONIO MESONES MURO")</f>
        <v>MANUEL ANTONIO MESONES MURO</v>
      </c>
      <c r="C699" s="213" t="str">
        <f>IFERROR(__xludf.DUMMYFUNCTION("""COMPUTED_VALUE"""),"TALLER SFT DE INDUSTRIA DEL VESTIDO")</f>
        <v>TALLER SFT DE INDUSTRIA DEL VESTIDO</v>
      </c>
      <c r="D699" s="213" t="str">
        <f>IFERROR(__xludf.DUMMYFUNCTION("""COMPUTED_VALUE"""),"HERRAMIENTAS")</f>
        <v>HERRAMIENTAS</v>
      </c>
      <c r="E699" s="213" t="str">
        <f>IFERROR(__xludf.DUMMYFUNCTION("""COMPUTED_VALUE"""),"COM-269")</f>
        <v>COM-269</v>
      </c>
      <c r="F699" s="213" t="str">
        <f>IFERROR(__xludf.DUMMYFUNCTION("""COMPUTED_VALUE"""),"COM-269")</f>
        <v>COM-269</v>
      </c>
      <c r="G699" s="213"/>
      <c r="H699" s="213" t="str">
        <f>IFERROR(__xludf.DUMMYFUNCTION("""COMPUTED_VALUE"""),"PUNZÓN")</f>
        <v>PUNZÓN</v>
      </c>
      <c r="I699" s="213" t="str">
        <f>IFERROR(__xludf.DUMMYFUNCTION("""COMPUTED_VALUE"""),"·      Multi    - funciones
·      Mango de: madera y punta de acero inoxidable
·      Función: Cavar orificio, recoger hilo, marcar Longitud minima  12 cm aproximado")</f>
        <v>·      Multi    - funciones
·      Mango de: madera y punta de acero inoxidable
·      Función: Cavar orificio, recoger hilo, marcar Longitud minima  12 cm aproximado</v>
      </c>
      <c r="J699" s="213">
        <f>IFERROR(__xludf.DUMMYFUNCTION("""COMPUTED_VALUE"""),3.0)</f>
        <v>3</v>
      </c>
      <c r="K699" s="213" t="str">
        <f>IFERROR(__xludf.DUMMYFUNCTION("""COMPUTED_VALUE"""),"90 DÍAS CALENDARIO")</f>
        <v>90 DÍAS CALENDARIO</v>
      </c>
      <c r="L699" s="213" t="str">
        <f>IFERROR(__xludf.DUMMYFUNCTION("""COMPUTED_VALUE"""),"")</f>
        <v/>
      </c>
      <c r="M699" s="213">
        <f>IFERROR(__xludf.DUMMYFUNCTION("""COMPUTED_VALUE"""),1.0)</f>
        <v>1</v>
      </c>
      <c r="N699" s="213">
        <f>IFERROR(__xludf.DUMMYFUNCTION("""COMPUTED_VALUE"""),5.0)</f>
        <v>5</v>
      </c>
      <c r="O699" s="213">
        <f>IFERROR(__xludf.DUMMYFUNCTION("""COMPUTED_VALUE"""),5.0)</f>
        <v>5</v>
      </c>
      <c r="P699" s="213"/>
      <c r="Q699" s="213"/>
      <c r="R699" s="213" t="str">
        <f>IFERROR(__xludf.DUMMYFUNCTION("""COMPUTED_VALUE"""),"SI")</f>
        <v>SI</v>
      </c>
      <c r="S699" s="213"/>
      <c r="T699" s="213" t="str">
        <f>IFERROR(__xludf.DUMMYFUNCTION("""COMPUTED_VALUE"""),"SI")</f>
        <v>SI</v>
      </c>
      <c r="U699" s="213" t="str">
        <f>IFERROR(__xludf.DUMMYFUNCTION("""COMPUTED_VALUE"""),"SI")</f>
        <v>SI</v>
      </c>
      <c r="V699" s="213" t="str">
        <f>IFERROR(__xludf.DUMMYFUNCTION("""COMPUTED_VALUE"""),"-")</f>
        <v>-</v>
      </c>
      <c r="W699" s="213" t="str">
        <f>IFERROR(__xludf.DUMMYFUNCTION("""COMPUTED_VALUE"""),"-")</f>
        <v>-</v>
      </c>
      <c r="X699" s="213" t="str">
        <f>IFERROR(__xludf.DUMMYFUNCTION("""COMPUTED_VALUE"""),"SAIDA TEX")</f>
        <v>SAIDA TEX</v>
      </c>
      <c r="Y699" s="213" t="str">
        <f>IFERROR(__xludf.DUMMYFUNCTION("""COMPUTED_VALUE"""),"3PC")</f>
        <v>3PC</v>
      </c>
      <c r="Z699" s="215" t="str">
        <f>IFERROR(__xludf.DUMMYFUNCTION("""COMPUTED_VALUE"""),"https://www.mercadolibre.com.pe/punzon-lezna-mango-madera-para-costura-y-cuero-x-3-und/up/MPEU2990103922#highlighted_specs_attrs")</f>
        <v>https://www.mercadolibre.com.pe/punzon-lezna-mango-madera-para-costura-y-cuero-x-3-und/up/MPEU2990103922#highlighted_specs_attrs</v>
      </c>
      <c r="AA699" s="213" t="str">
        <f>IFERROR(__xludf.DUMMYFUNCTION("""COMPUTED_VALUE"""),"COM-269 PUNZON - CET")</f>
        <v>COM-269 PUNZON - CET</v>
      </c>
      <c r="AB699" s="213"/>
      <c r="AC699" s="213"/>
      <c r="AD699" s="213"/>
      <c r="AE699" s="213"/>
      <c r="AF699" s="213"/>
      <c r="AG699" s="213"/>
      <c r="AH699" s="213"/>
      <c r="AI699" s="213"/>
      <c r="AJ699" s="213"/>
      <c r="AK699" s="213"/>
      <c r="AL699" s="213"/>
      <c r="AM699" s="213"/>
      <c r="AN699" s="213"/>
      <c r="AO699" s="213"/>
      <c r="AP699" s="213" t="str">
        <f>IFERROR(__xludf.DUMMYFUNCTION("""COMPUTED_VALUE"""),"SEBASTIAN")</f>
        <v>SEBASTIAN</v>
      </c>
      <c r="AQ699" s="213"/>
      <c r="AR699" s="213"/>
      <c r="AS699" s="213"/>
      <c r="AT699" s="213"/>
      <c r="AU699" s="213"/>
      <c r="AV699" s="213"/>
      <c r="AW699" s="213"/>
      <c r="AX699" s="213"/>
      <c r="AY699" s="213"/>
      <c r="AZ699" s="213"/>
      <c r="BA699" s="213"/>
      <c r="BB699" s="213"/>
      <c r="BC699" s="213"/>
      <c r="BD699" s="213"/>
    </row>
    <row r="700">
      <c r="A700" s="213">
        <f>IFERROR(__xludf.DUMMYFUNCTION("""COMPUTED_VALUE"""),954.0)</f>
        <v>954</v>
      </c>
      <c r="B700" s="213" t="str">
        <f>IFERROR(__xludf.DUMMYFUNCTION("""COMPUTED_VALUE"""),"FRANCISCO IRAZOLA")</f>
        <v>FRANCISCO IRAZOLA</v>
      </c>
      <c r="C700" s="213" t="str">
        <f>IFERROR(__xludf.DUMMYFUNCTION("""COMPUTED_VALUE"""),"TALLER SFT DE MECÁNICA AUTOMOTRIZ")</f>
        <v>TALLER SFT DE MECÁNICA AUTOMOTRIZ</v>
      </c>
      <c r="D700" s="213" t="str">
        <f>IFERROR(__xludf.DUMMYFUNCTION("""COMPUTED_VALUE"""),"HERRAMIENTAS")</f>
        <v>HERRAMIENTAS</v>
      </c>
      <c r="E700" s="213" t="str">
        <f>IFERROR(__xludf.DUMMYFUNCTION("""COMPUTED_VALUE"""),"COM-271")</f>
        <v>COM-271</v>
      </c>
      <c r="F700" s="213" t="str">
        <f>IFERROR(__xludf.DUMMYFUNCTION("""COMPUTED_VALUE"""),"COM-271")</f>
        <v>COM-271</v>
      </c>
      <c r="G700" s="213"/>
      <c r="H700" s="213" t="str">
        <f>IFERROR(__xludf.DUMMYFUNCTION("""COMPUTED_VALUE"""),"RAYADOR")</f>
        <v>RAYADOR</v>
      </c>
      <c r="I700" s="213" t="str">
        <f>IFERROR(__xludf.DUMMYFUNCTION("""COMPUTED_VALUE"""),"Trazador. Punta dura.
Longitud entre 140 a 150 mm.
Peso: entre 35 a 50 g.")</f>
        <v>Trazador. Punta dura.
Longitud entre 140 a 150 mm.
Peso: entre 35 a 50 g.</v>
      </c>
      <c r="J700" s="213">
        <f>IFERROR(__xludf.DUMMYFUNCTION("""COMPUTED_VALUE"""),3.0)</f>
        <v>3</v>
      </c>
      <c r="K700" s="213" t="str">
        <f>IFERROR(__xludf.DUMMYFUNCTION("""COMPUTED_VALUE"""),"90 DÍAS CALENDARIO")</f>
        <v>90 DÍAS CALENDARIO</v>
      </c>
      <c r="L700" s="213" t="str">
        <f>IFERROR(__xludf.DUMMYFUNCTION("""COMPUTED_VALUE"""),"")</f>
        <v/>
      </c>
      <c r="M700" s="213">
        <f>IFERROR(__xludf.DUMMYFUNCTION("""COMPUTED_VALUE"""),1.0)</f>
        <v>1</v>
      </c>
      <c r="N700" s="213">
        <f>IFERROR(__xludf.DUMMYFUNCTION("""COMPUTED_VALUE"""),1.0)</f>
        <v>1</v>
      </c>
      <c r="O700" s="213">
        <f>IFERROR(__xludf.DUMMYFUNCTION("""COMPUTED_VALUE"""),1.0)</f>
        <v>1</v>
      </c>
      <c r="P700" s="213"/>
      <c r="Q700" s="213"/>
      <c r="R700" s="213" t="str">
        <f>IFERROR(__xludf.DUMMYFUNCTION("""COMPUTED_VALUE"""),"SI")</f>
        <v>SI</v>
      </c>
      <c r="S700" s="213"/>
      <c r="T700" s="213" t="str">
        <f>IFERROR(__xludf.DUMMYFUNCTION("""COMPUTED_VALUE"""),"SI")</f>
        <v>SI</v>
      </c>
      <c r="U700" s="213" t="str">
        <f>IFERROR(__xludf.DUMMYFUNCTION("""COMPUTED_VALUE"""),"SI")</f>
        <v>SI</v>
      </c>
      <c r="V700" s="213" t="str">
        <f>IFERROR(__xludf.DUMMYFUNCTION("""COMPUTED_VALUE"""),"-")</f>
        <v>-</v>
      </c>
      <c r="W700" s="213" t="str">
        <f>IFERROR(__xludf.DUMMYFUNCTION("""COMPUTED_VALUE"""),"-")</f>
        <v>-</v>
      </c>
      <c r="X700" s="213" t="str">
        <f>IFERROR(__xludf.DUMMYFUNCTION("""COMPUTED_VALUE"""),"WOLFCRAFT")</f>
        <v>WOLFCRAFT</v>
      </c>
      <c r="Y700" s="213">
        <f>IFERROR(__xludf.DUMMYFUNCTION("""COMPUTED_VALUE"""),7985010.0)</f>
        <v>7985010</v>
      </c>
      <c r="Z700" s="215" t="str">
        <f>IFERROR(__xludf.DUMMYFUNCTION("""COMPUTED_VALUE"""),"https://www.amazon.es/dp/B00CS2XM1W?tag=tecnitool-21&amp;th=1")</f>
        <v>https://www.amazon.es/dp/B00CS2XM1W?tag=tecnitool-21&amp;th=1</v>
      </c>
      <c r="AA700" s="213" t="str">
        <f>IFERROR(__xludf.DUMMYFUNCTION("""COMPUTED_VALUE"""),"COM-271 RAYADOR - CET")</f>
        <v>COM-271 RAYADOR - CET</v>
      </c>
      <c r="AB700" s="213"/>
      <c r="AC700" s="213"/>
      <c r="AD700" s="213"/>
      <c r="AE700" s="213"/>
      <c r="AF700" s="213"/>
      <c r="AG700" s="213"/>
      <c r="AH700" s="213"/>
      <c r="AI700" s="213"/>
      <c r="AJ700" s="213"/>
      <c r="AK700" s="213"/>
      <c r="AL700" s="213"/>
      <c r="AM700" s="213"/>
      <c r="AN700" s="213"/>
      <c r="AO700" s="213"/>
      <c r="AP700" s="213" t="str">
        <f>IFERROR(__xludf.DUMMYFUNCTION("""COMPUTED_VALUE"""),"LUIS")</f>
        <v>LUIS</v>
      </c>
      <c r="AQ700" s="213"/>
      <c r="AR700" s="213"/>
      <c r="AS700" s="213"/>
      <c r="AT700" s="213"/>
      <c r="AU700" s="213"/>
      <c r="AV700" s="213"/>
      <c r="AW700" s="213"/>
      <c r="AX700" s="213"/>
      <c r="AY700" s="213"/>
      <c r="AZ700" s="213"/>
      <c r="BA700" s="213"/>
      <c r="BB700" s="213"/>
      <c r="BC700" s="213"/>
      <c r="BD700" s="213"/>
    </row>
    <row r="701">
      <c r="A701" s="213">
        <f>IFERROR(__xludf.DUMMYFUNCTION("""COMPUTED_VALUE"""),1555.0)</f>
        <v>1555</v>
      </c>
      <c r="B701" s="213" t="str">
        <f>IFERROR(__xludf.DUMMYFUNCTION("""COMPUTED_VALUE"""),"GUILLERMO E. BILLINGHURST ")</f>
        <v>GUILLERMO E. BILLINGHURST </v>
      </c>
      <c r="C701" s="213" t="str">
        <f>IFERROR(__xludf.DUMMYFUNCTION("""COMPUTED_VALUE"""),"TALLER SFT DE MECÁNICA AUTOMOTRIZ")</f>
        <v>TALLER SFT DE MECÁNICA AUTOMOTRIZ</v>
      </c>
      <c r="D701" s="213" t="str">
        <f>IFERROR(__xludf.DUMMYFUNCTION("""COMPUTED_VALUE"""),"HERRAMIENTAS")</f>
        <v>HERRAMIENTAS</v>
      </c>
      <c r="E701" s="213" t="str">
        <f>IFERROR(__xludf.DUMMYFUNCTION("""COMPUTED_VALUE"""),"COM-271")</f>
        <v>COM-271</v>
      </c>
      <c r="F701" s="213" t="str">
        <f>IFERROR(__xludf.DUMMYFUNCTION("""COMPUTED_VALUE"""),"COM-271")</f>
        <v>COM-271</v>
      </c>
      <c r="G701" s="213"/>
      <c r="H701" s="213" t="str">
        <f>IFERROR(__xludf.DUMMYFUNCTION("""COMPUTED_VALUE"""),"RAYADOR")</f>
        <v>RAYADOR</v>
      </c>
      <c r="I701" s="213" t="str">
        <f>IFERROR(__xludf.DUMMYFUNCTION("""COMPUTED_VALUE"""),"Trazador. Punta dura.
Longitud entre 140 a 150 mm.
Peso: entre 35 a 50 g.")</f>
        <v>Trazador. Punta dura.
Longitud entre 140 a 150 mm.
Peso: entre 35 a 50 g.</v>
      </c>
      <c r="J701" s="213">
        <f>IFERROR(__xludf.DUMMYFUNCTION("""COMPUTED_VALUE"""),3.0)</f>
        <v>3</v>
      </c>
      <c r="K701" s="213" t="str">
        <f>IFERROR(__xludf.DUMMYFUNCTION("""COMPUTED_VALUE"""),"90 DÍAS CALENDARIO")</f>
        <v>90 DÍAS CALENDARIO</v>
      </c>
      <c r="L701" s="213" t="str">
        <f>IFERROR(__xludf.DUMMYFUNCTION("""COMPUTED_VALUE"""),"")</f>
        <v/>
      </c>
      <c r="M701" s="213">
        <f>IFERROR(__xludf.DUMMYFUNCTION("""COMPUTED_VALUE"""),1.0)</f>
        <v>1</v>
      </c>
      <c r="N701" s="213">
        <f>IFERROR(__xludf.DUMMYFUNCTION("""COMPUTED_VALUE"""),1.0)</f>
        <v>1</v>
      </c>
      <c r="O701" s="213">
        <f>IFERROR(__xludf.DUMMYFUNCTION("""COMPUTED_VALUE"""),1.0)</f>
        <v>1</v>
      </c>
      <c r="P701" s="213"/>
      <c r="Q701" s="213"/>
      <c r="R701" s="213" t="str">
        <f>IFERROR(__xludf.DUMMYFUNCTION("""COMPUTED_VALUE"""),"SI")</f>
        <v>SI</v>
      </c>
      <c r="S701" s="213"/>
      <c r="T701" s="213" t="str">
        <f>IFERROR(__xludf.DUMMYFUNCTION("""COMPUTED_VALUE"""),"SI")</f>
        <v>SI</v>
      </c>
      <c r="U701" s="213" t="str">
        <f>IFERROR(__xludf.DUMMYFUNCTION("""COMPUTED_VALUE"""),"SI")</f>
        <v>SI</v>
      </c>
      <c r="V701" s="213" t="str">
        <f>IFERROR(__xludf.DUMMYFUNCTION("""COMPUTED_VALUE"""),"-")</f>
        <v>-</v>
      </c>
      <c r="W701" s="213" t="str">
        <f>IFERROR(__xludf.DUMMYFUNCTION("""COMPUTED_VALUE"""),"-")</f>
        <v>-</v>
      </c>
      <c r="X701" s="213" t="str">
        <f>IFERROR(__xludf.DUMMYFUNCTION("""COMPUTED_VALUE"""),"WOLFCRAFT")</f>
        <v>WOLFCRAFT</v>
      </c>
      <c r="Y701" s="213">
        <f>IFERROR(__xludf.DUMMYFUNCTION("""COMPUTED_VALUE"""),7985010.0)</f>
        <v>7985010</v>
      </c>
      <c r="Z701" s="215" t="str">
        <f>IFERROR(__xludf.DUMMYFUNCTION("""COMPUTED_VALUE"""),"https://www.amazon.es/dp/B00CS2XM1W?tag=tecnitool-21&amp;th=1")</f>
        <v>https://www.amazon.es/dp/B00CS2XM1W?tag=tecnitool-21&amp;th=1</v>
      </c>
      <c r="AA701" s="213" t="str">
        <f>IFERROR(__xludf.DUMMYFUNCTION("""COMPUTED_VALUE"""),"COM-271 RAYADOR - CET")</f>
        <v>COM-271 RAYADOR - CET</v>
      </c>
      <c r="AB701" s="213"/>
      <c r="AC701" s="213"/>
      <c r="AD701" s="213"/>
      <c r="AE701" s="213"/>
      <c r="AF701" s="213"/>
      <c r="AG701" s="213"/>
      <c r="AH701" s="213"/>
      <c r="AI701" s="213"/>
      <c r="AJ701" s="213"/>
      <c r="AK701" s="213"/>
      <c r="AL701" s="213"/>
      <c r="AM701" s="213"/>
      <c r="AN701" s="213"/>
      <c r="AO701" s="213"/>
      <c r="AP701" s="213" t="str">
        <f>IFERROR(__xludf.DUMMYFUNCTION("""COMPUTED_VALUE"""),"LUIS")</f>
        <v>LUIS</v>
      </c>
      <c r="AQ701" s="213"/>
      <c r="AR701" s="213"/>
      <c r="AS701" s="213"/>
      <c r="AT701" s="213"/>
      <c r="AU701" s="213"/>
      <c r="AV701" s="213"/>
      <c r="AW701" s="213"/>
      <c r="AX701" s="213"/>
      <c r="AY701" s="213"/>
      <c r="AZ701" s="213"/>
      <c r="BA701" s="213"/>
      <c r="BB701" s="213"/>
      <c r="BC701" s="213"/>
      <c r="BD701" s="213"/>
    </row>
    <row r="702">
      <c r="A702" s="213">
        <f>IFERROR(__xludf.DUMMYFUNCTION("""COMPUTED_VALUE"""),2247.0)</f>
        <v>2247</v>
      </c>
      <c r="B702" s="213" t="str">
        <f>IFERROR(__xludf.DUMMYFUNCTION("""COMPUTED_VALUE"""),"JOSE GRANDA")</f>
        <v>JOSE GRANDA</v>
      </c>
      <c r="C702" s="213" t="str">
        <f>IFERROR(__xludf.DUMMYFUNCTION("""COMPUTED_VALUE"""),"TALLER SFT DE MECÁNICA AUTOMOTRIZ")</f>
        <v>TALLER SFT DE MECÁNICA AUTOMOTRIZ</v>
      </c>
      <c r="D702" s="213" t="str">
        <f>IFERROR(__xludf.DUMMYFUNCTION("""COMPUTED_VALUE"""),"HERRAMIENTAS")</f>
        <v>HERRAMIENTAS</v>
      </c>
      <c r="E702" s="213" t="str">
        <f>IFERROR(__xludf.DUMMYFUNCTION("""COMPUTED_VALUE"""),"COM-271")</f>
        <v>COM-271</v>
      </c>
      <c r="F702" s="213" t="str">
        <f>IFERROR(__xludf.DUMMYFUNCTION("""COMPUTED_VALUE"""),"COM-271")</f>
        <v>COM-271</v>
      </c>
      <c r="G702" s="213"/>
      <c r="H702" s="213" t="str">
        <f>IFERROR(__xludf.DUMMYFUNCTION("""COMPUTED_VALUE"""),"RAYADOR")</f>
        <v>RAYADOR</v>
      </c>
      <c r="I702" s="213" t="str">
        <f>IFERROR(__xludf.DUMMYFUNCTION("""COMPUTED_VALUE"""),"Trazador. Punta dura.
Longitud entre 140 a 150 mm.
Peso: entre 35 a 50 g.")</f>
        <v>Trazador. Punta dura.
Longitud entre 140 a 150 mm.
Peso: entre 35 a 50 g.</v>
      </c>
      <c r="J702" s="213">
        <f>IFERROR(__xludf.DUMMYFUNCTION("""COMPUTED_VALUE"""),3.0)</f>
        <v>3</v>
      </c>
      <c r="K702" s="213" t="str">
        <f>IFERROR(__xludf.DUMMYFUNCTION("""COMPUTED_VALUE"""),"90 DÍAS CALENDARIO")</f>
        <v>90 DÍAS CALENDARIO</v>
      </c>
      <c r="L702" s="213" t="str">
        <f>IFERROR(__xludf.DUMMYFUNCTION("""COMPUTED_VALUE"""),"")</f>
        <v/>
      </c>
      <c r="M702" s="213">
        <f>IFERROR(__xludf.DUMMYFUNCTION("""COMPUTED_VALUE"""),1.0)</f>
        <v>1</v>
      </c>
      <c r="N702" s="213">
        <f>IFERROR(__xludf.DUMMYFUNCTION("""COMPUTED_VALUE"""),1.0)</f>
        <v>1</v>
      </c>
      <c r="O702" s="213">
        <f>IFERROR(__xludf.DUMMYFUNCTION("""COMPUTED_VALUE"""),1.0)</f>
        <v>1</v>
      </c>
      <c r="P702" s="213"/>
      <c r="Q702" s="213"/>
      <c r="R702" s="213" t="str">
        <f>IFERROR(__xludf.DUMMYFUNCTION("""COMPUTED_VALUE"""),"SI")</f>
        <v>SI</v>
      </c>
      <c r="S702" s="213"/>
      <c r="T702" s="213" t="str">
        <f>IFERROR(__xludf.DUMMYFUNCTION("""COMPUTED_VALUE"""),"SI")</f>
        <v>SI</v>
      </c>
      <c r="U702" s="213" t="str">
        <f>IFERROR(__xludf.DUMMYFUNCTION("""COMPUTED_VALUE"""),"SI")</f>
        <v>SI</v>
      </c>
      <c r="V702" s="213" t="str">
        <f>IFERROR(__xludf.DUMMYFUNCTION("""COMPUTED_VALUE"""),"-")</f>
        <v>-</v>
      </c>
      <c r="W702" s="213" t="str">
        <f>IFERROR(__xludf.DUMMYFUNCTION("""COMPUTED_VALUE"""),"-")</f>
        <v>-</v>
      </c>
      <c r="X702" s="213" t="str">
        <f>IFERROR(__xludf.DUMMYFUNCTION("""COMPUTED_VALUE"""),"WOLFCRAFT")</f>
        <v>WOLFCRAFT</v>
      </c>
      <c r="Y702" s="213">
        <f>IFERROR(__xludf.DUMMYFUNCTION("""COMPUTED_VALUE"""),7985010.0)</f>
        <v>7985010</v>
      </c>
      <c r="Z702" s="215" t="str">
        <f>IFERROR(__xludf.DUMMYFUNCTION("""COMPUTED_VALUE"""),"https://www.amazon.es/dp/B00CS2XM1W?tag=tecnitool-21&amp;th=1")</f>
        <v>https://www.amazon.es/dp/B00CS2XM1W?tag=tecnitool-21&amp;th=1</v>
      </c>
      <c r="AA702" s="213" t="str">
        <f>IFERROR(__xludf.DUMMYFUNCTION("""COMPUTED_VALUE"""),"COM-271 RAYADOR - CET")</f>
        <v>COM-271 RAYADOR - CET</v>
      </c>
      <c r="AB702" s="213"/>
      <c r="AC702" s="213"/>
      <c r="AD702" s="213"/>
      <c r="AE702" s="213"/>
      <c r="AF702" s="213"/>
      <c r="AG702" s="213"/>
      <c r="AH702" s="213"/>
      <c r="AI702" s="213"/>
      <c r="AJ702" s="213"/>
      <c r="AK702" s="213"/>
      <c r="AL702" s="213"/>
      <c r="AM702" s="213"/>
      <c r="AN702" s="213"/>
      <c r="AO702" s="213"/>
      <c r="AP702" s="213" t="str">
        <f>IFERROR(__xludf.DUMMYFUNCTION("""COMPUTED_VALUE"""),"LUIS")</f>
        <v>LUIS</v>
      </c>
      <c r="AQ702" s="213"/>
      <c r="AR702" s="213"/>
      <c r="AS702" s="213"/>
      <c r="AT702" s="213"/>
      <c r="AU702" s="213"/>
      <c r="AV702" s="213"/>
      <c r="AW702" s="213"/>
      <c r="AX702" s="213"/>
      <c r="AY702" s="213"/>
      <c r="AZ702" s="213"/>
      <c r="BA702" s="213"/>
      <c r="BB702" s="213"/>
      <c r="BC702" s="213"/>
      <c r="BD702" s="213"/>
    </row>
    <row r="703">
      <c r="A703" s="213">
        <f>IFERROR(__xludf.DUMMYFUNCTION("""COMPUTED_VALUE"""),2520.0)</f>
        <v>2520</v>
      </c>
      <c r="B703" s="213" t="str">
        <f>IFERROR(__xludf.DUMMYFUNCTION("""COMPUTED_VALUE"""),"MANUEL ANTONIO MESONES MURO")</f>
        <v>MANUEL ANTONIO MESONES MURO</v>
      </c>
      <c r="C703" s="213" t="str">
        <f>IFERROR(__xludf.DUMMYFUNCTION("""COMPUTED_VALUE"""),"TALLER SFT DE CONSTRUCCIONES METÁLICAS")</f>
        <v>TALLER SFT DE CONSTRUCCIONES METÁLICAS</v>
      </c>
      <c r="D703" s="213" t="str">
        <f>IFERROR(__xludf.DUMMYFUNCTION("""COMPUTED_VALUE"""),"EQUIPOS")</f>
        <v>EQUIPOS</v>
      </c>
      <c r="E703" s="213" t="str">
        <f>IFERROR(__xludf.DUMMYFUNCTION("""COMPUTED_VALUE"""),"ESP-167")</f>
        <v>ESP-167</v>
      </c>
      <c r="F703" s="213" t="str">
        <f>IFERROR(__xludf.DUMMYFUNCTION("""COMPUTED_VALUE"""),"ESP-167")</f>
        <v>ESP-167</v>
      </c>
      <c r="G703" s="213"/>
      <c r="H703" s="213" t="str">
        <f>IFERROR(__xludf.DUMMYFUNCTION("""COMPUTED_VALUE"""),"EXTRACTOR DE HUMO")</f>
        <v>EXTRACTOR DE HUMO</v>
      </c>
      <c r="I703" s="213" t="str">
        <f>IFERROR(__xludf.DUMMYFUNCTION("""COMPUTED_VALUE"""),"Filtro tipo cartucho ultra-web Motor de 1.5 HP
Voltaje de 220 V
Brazo de extracción Mínimo 152.4 mm x 2 m
Dimensiones del gabinete mínimo: L 0.50m x A 0.50m x H 1.20")</f>
        <v>Filtro tipo cartucho ultra-web Motor de 1.5 HP
Voltaje de 220 V
Brazo de extracción Mínimo 152.4 mm x 2 m
Dimensiones del gabinete mínimo: L 0.50m x A 0.50m x H 1.20</v>
      </c>
      <c r="J703" s="213">
        <f>IFERROR(__xludf.DUMMYFUNCTION("""COMPUTED_VALUE"""),3.0)</f>
        <v>3</v>
      </c>
      <c r="K703" s="213" t="str">
        <f>IFERROR(__xludf.DUMMYFUNCTION("""COMPUTED_VALUE"""),"170 DÍAS CALENDARIO")</f>
        <v>170 DÍAS CALENDARIO</v>
      </c>
      <c r="L703" s="213" t="str">
        <f>IFERROR(__xludf.DUMMYFUNCTION("""COMPUTED_VALUE"""),"")</f>
        <v/>
      </c>
      <c r="M703" s="213">
        <f>IFERROR(__xludf.DUMMYFUNCTION("""COMPUTED_VALUE"""),1.0)</f>
        <v>1</v>
      </c>
      <c r="N703" s="213">
        <f>IFERROR(__xludf.DUMMYFUNCTION("""COMPUTED_VALUE"""),5.0)</f>
        <v>5</v>
      </c>
      <c r="O703" s="213">
        <f>IFERROR(__xludf.DUMMYFUNCTION("""COMPUTED_VALUE"""),5.0)</f>
        <v>5</v>
      </c>
      <c r="P703" s="213"/>
      <c r="Q703" s="213"/>
      <c r="R703" s="213"/>
      <c r="S703" s="213" t="str">
        <f>IFERROR(__xludf.DUMMYFUNCTION("""COMPUTED_VALUE"""),"SI")</f>
        <v>SI</v>
      </c>
      <c r="T703" s="213" t="str">
        <f>IFERROR(__xludf.DUMMYFUNCTION("""COMPUTED_VALUE"""),"CONSULTA FINAL")</f>
        <v>CONSULTA FINAL</v>
      </c>
      <c r="U703" s="213" t="str">
        <f>IFERROR(__xludf.DUMMYFUNCTION("""COMPUTED_VALUE"""),"NO")</f>
        <v>NO</v>
      </c>
      <c r="V703" s="213" t="str">
        <f>IFERROR(__xludf.DUMMYFUNCTION("""COMPUTED_VALUE"""),"SUSTENTO")</f>
        <v>SUSTENTO</v>
      </c>
      <c r="W703" s="213" t="str">
        <f>IFERROR(__xludf.DUMMYFUNCTION("""COMPUTED_VALUE"""),"EQU TEC, DIMENSIONAL")</f>
        <v>EQU TEC, DIMENSIONAL</v>
      </c>
      <c r="X703" s="213" t="str">
        <f>IFERROR(__xludf.DUMMYFUNCTION("""COMPUTED_VALUE"""),"DONALDSON")</f>
        <v>DONALDSON</v>
      </c>
      <c r="Y703" s="213" t="str">
        <f>IFERROR(__xludf.DUMMYFUNCTION("""COMPUTED_VALUE"""),"TORIT PORTA-TRUNK PT-1000 VERSIÓN CHINA 220/50/1 VAC")</f>
        <v>TORIT PORTA-TRUNK PT-1000 VERSIÓN CHINA 220/50/1 VAC</v>
      </c>
      <c r="Z703" s="215" t="str">
        <f>IFERROR(__xludf.DUMMYFUNCTION("""COMPUTED_VALUE"""),"https://www.donaldson.com/es-mx/industrial-dust-fume-mist/equipment/fume-collectors/easy-trunk-porta-trunk/#section-features_76258")</f>
        <v>https://www.donaldson.com/es-mx/industrial-dust-fume-mist/equipment/fume-collectors/easy-trunk-porta-trunk/#section-features_76258</v>
      </c>
      <c r="AA703" s="213" t="str">
        <f>IFERROR(__xludf.DUMMYFUNCTION("""COMPUTED_VALUE"""),"ESP-167 EXTRACTOR DE HUMO - CET")</f>
        <v>ESP-167 EXTRACTOR DE HUMO - CET</v>
      </c>
      <c r="AB703" s="215" t="str">
        <f>IFERROR(__xludf.DUMMYFUNCTION("""COMPUTED_VALUE"""),"https://drive.google.com/file/d/1zivkRb2zbn5Ux2cMrln2kUJPqzvnKPTb/view")</f>
        <v>https://drive.google.com/file/d/1zivkRb2zbn5Ux2cMrln2kUJPqzvnKPTb/view</v>
      </c>
      <c r="AC703" s="213"/>
      <c r="AD703" s="213"/>
      <c r="AE703" s="213"/>
      <c r="AF703" s="213"/>
      <c r="AG703" s="213"/>
      <c r="AH703" s="213" t="str">
        <f>IFERROR(__xludf.DUMMYFUNCTION("""COMPUTED_VALUE"""),"IMPORTADO")</f>
        <v>IMPORTADO</v>
      </c>
      <c r="AI703" s="213"/>
      <c r="AJ703" s="213"/>
      <c r="AK703" s="213"/>
      <c r="AL703" s="213"/>
      <c r="AM703" s="213"/>
      <c r="AN703" s="213"/>
      <c r="AO703" s="213"/>
      <c r="AP703" s="213" t="str">
        <f>IFERROR(__xludf.DUMMYFUNCTION("""COMPUTED_VALUE"""),"NALDI")</f>
        <v>NALDI</v>
      </c>
      <c r="AQ703" s="213"/>
      <c r="AR703" s="213"/>
      <c r="AS703" s="213" t="str">
        <f>IFERROR(__xludf.DUMMYFUNCTION("""COMPUTED_VALUE""")," Consultar por versión de 220V y adicionar Brazo Extractor: 152,4 mm x 3,0 m ")</f>
        <v> Consultar por versión de 220V y adicionar Brazo Extractor: 152,4 mm x 3,0 m </v>
      </c>
      <c r="AT703" s="213"/>
      <c r="AU703" s="213"/>
      <c r="AV703" s="213"/>
      <c r="AW703" s="213"/>
      <c r="AX703" s="213"/>
      <c r="AY703" s="213"/>
      <c r="AZ703" s="213"/>
      <c r="BA703" s="213"/>
      <c r="BB703" s="213"/>
      <c r="BC703" s="213"/>
      <c r="BD703" s="213"/>
    </row>
    <row r="704">
      <c r="A704" s="213">
        <f>IFERROR(__xludf.DUMMYFUNCTION("""COMPUTED_VALUE"""),968.0)</f>
        <v>968</v>
      </c>
      <c r="B704" s="213" t="str">
        <f>IFERROR(__xludf.DUMMYFUNCTION("""COMPUTED_VALUE"""),"FRANCISCO IRAZOLA")</f>
        <v>FRANCISCO IRAZOLA</v>
      </c>
      <c r="C704" s="213" t="str">
        <f>IFERROR(__xludf.DUMMYFUNCTION("""COMPUTED_VALUE"""),"TALLER SFT DE MECÁNICA AUTOMOTRIZ")</f>
        <v>TALLER SFT DE MECÁNICA AUTOMOTRIZ</v>
      </c>
      <c r="D704" s="213" t="str">
        <f>IFERROR(__xludf.DUMMYFUNCTION("""COMPUTED_VALUE"""),"HERRAMIENTAS")</f>
        <v>HERRAMIENTAS</v>
      </c>
      <c r="E704" s="213" t="str">
        <f>IFERROR(__xludf.DUMMYFUNCTION("""COMPUTED_VALUE"""),"COM-274")</f>
        <v>COM-274</v>
      </c>
      <c r="F704" s="213" t="str">
        <f>IFERROR(__xludf.DUMMYFUNCTION("""COMPUTED_VALUE"""),"COM-274")</f>
        <v>COM-274</v>
      </c>
      <c r="G704" s="213"/>
      <c r="H704" s="213" t="str">
        <f>IFERROR(__xludf.DUMMYFUNCTION("""COMPUTED_VALUE"""),"RECOGEDOR MAGNÉTICO TELESCÓPICO")</f>
        <v>RECOGEDOR MAGNÉTICO TELESCÓPICO</v>
      </c>
      <c r="I704" s="213" t="str">
        <f>IFERROR(__xludf.DUMMYFUNCTION("""COMPUTED_VALUE"""),"Se trata de un dedo recogedor magnético
Magnetiza la mayoría de los objetos de acero al carbono.
Adecuado para levantar pequeñas herramientas, tornillos, entre otros, que caen en lugares estrechos. Posee una funsión telescópica.
Longitud mínima: 580 mm.
S"&amp;"ILVERA Hilda 70998 soft")</f>
        <v>Se trata de un dedo recogedor magnético
Magnetiza la mayoría de los objetos de acero al carbono.
Adecuado para levantar pequeñas herramientas, tornillos, entre otros, que caen en lugares estrechos. Posee una funsión telescópica.
Longitud mínima: 580 mm.
SILVERA Hilda 70998 soft</v>
      </c>
      <c r="J704" s="213">
        <f>IFERROR(__xludf.DUMMYFUNCTION("""COMPUTED_VALUE"""),3.0)</f>
        <v>3</v>
      </c>
      <c r="K704" s="213" t="str">
        <f>IFERROR(__xludf.DUMMYFUNCTION("""COMPUTED_VALUE"""),"90 DÍAS CALENDARIO")</f>
        <v>90 DÍAS CALENDARIO</v>
      </c>
      <c r="L704" s="213" t="str">
        <f>IFERROR(__xludf.DUMMYFUNCTION("""COMPUTED_VALUE"""),"")</f>
        <v/>
      </c>
      <c r="M704" s="213">
        <f>IFERROR(__xludf.DUMMYFUNCTION("""COMPUTED_VALUE"""),1.0)</f>
        <v>1</v>
      </c>
      <c r="N704" s="213">
        <f>IFERROR(__xludf.DUMMYFUNCTION("""COMPUTED_VALUE"""),1.0)</f>
        <v>1</v>
      </c>
      <c r="O704" s="213">
        <f>IFERROR(__xludf.DUMMYFUNCTION("""COMPUTED_VALUE"""),1.0)</f>
        <v>1</v>
      </c>
      <c r="P704" s="213"/>
      <c r="Q704" s="213"/>
      <c r="R704" s="213" t="str">
        <f>IFERROR(__xludf.DUMMYFUNCTION("""COMPUTED_VALUE"""),"SI")</f>
        <v>SI</v>
      </c>
      <c r="S704" s="213"/>
      <c r="T704" s="213" t="str">
        <f>IFERROR(__xludf.DUMMYFUNCTION("""COMPUTED_VALUE"""),"SI")</f>
        <v>SI</v>
      </c>
      <c r="U704" s="213" t="str">
        <f>IFERROR(__xludf.DUMMYFUNCTION("""COMPUTED_VALUE"""),"SI")</f>
        <v>SI</v>
      </c>
      <c r="V704" s="213" t="str">
        <f>IFERROR(__xludf.DUMMYFUNCTION("""COMPUTED_VALUE"""),"-")</f>
        <v>-</v>
      </c>
      <c r="W704" s="213" t="str">
        <f>IFERROR(__xludf.DUMMYFUNCTION("""COMPUTED_VALUE"""),"-")</f>
        <v>-</v>
      </c>
      <c r="X704" s="213" t="str">
        <f>IFERROR(__xludf.DUMMYFUNCTION("""COMPUTED_VALUE"""),"STANLEY")</f>
        <v>STANLEY</v>
      </c>
      <c r="Y704" s="213" t="str">
        <f>IFERROR(__xludf.DUMMYFUNCTION("""COMPUTED_VALUE"""),"78-021")</f>
        <v>78-021</v>
      </c>
      <c r="Z704" s="215" t="str">
        <f>IFERROR(__xludf.DUMMYFUNCTION("""COMPUTED_VALUE"""),"https://drive.google.com/file/d/1Bj90oyGITf3Nozeyz0lxohKhzBKZTChD/view")</f>
        <v>https://drive.google.com/file/d/1Bj90oyGITf3Nozeyz0lxohKhzBKZTChD/view</v>
      </c>
      <c r="AA704" s="213" t="str">
        <f>IFERROR(__xludf.DUMMYFUNCTION("""COMPUTED_VALUE"""),"COM-274 RECOGEDOR MAGNETICO - CET")</f>
        <v>COM-274 RECOGEDOR MAGNETICO - CET</v>
      </c>
      <c r="AB704" s="213"/>
      <c r="AC704" s="213"/>
      <c r="AD704" s="213"/>
      <c r="AE704" s="213"/>
      <c r="AF704" s="213"/>
      <c r="AG704" s="213"/>
      <c r="AH704" s="213"/>
      <c r="AI704" s="213"/>
      <c r="AJ704" s="213"/>
      <c r="AK704" s="213"/>
      <c r="AL704" s="213"/>
      <c r="AM704" s="213"/>
      <c r="AN704" s="213"/>
      <c r="AO704" s="213"/>
      <c r="AP704" s="213" t="str">
        <f>IFERROR(__xludf.DUMMYFUNCTION("""COMPUTED_VALUE"""),"LUIS")</f>
        <v>LUIS</v>
      </c>
      <c r="AQ704" s="213"/>
      <c r="AR704" s="213"/>
      <c r="AS704" s="213"/>
      <c r="AT704" s="213"/>
      <c r="AU704" s="213"/>
      <c r="AV704" s="213"/>
      <c r="AW704" s="213"/>
      <c r="AX704" s="213"/>
      <c r="AY704" s="213"/>
      <c r="AZ704" s="213"/>
      <c r="BA704" s="213"/>
      <c r="BB704" s="213"/>
      <c r="BC704" s="213"/>
      <c r="BD704" s="213"/>
    </row>
    <row r="705">
      <c r="A705" s="213">
        <f>IFERROR(__xludf.DUMMYFUNCTION("""COMPUTED_VALUE"""),1569.0)</f>
        <v>1569</v>
      </c>
      <c r="B705" s="213" t="str">
        <f>IFERROR(__xludf.DUMMYFUNCTION("""COMPUTED_VALUE"""),"GUILLERMO E. BILLINGHURST ")</f>
        <v>GUILLERMO E. BILLINGHURST </v>
      </c>
      <c r="C705" s="213" t="str">
        <f>IFERROR(__xludf.DUMMYFUNCTION("""COMPUTED_VALUE"""),"TALLER SFT DE MECÁNICA AUTOMOTRIZ")</f>
        <v>TALLER SFT DE MECÁNICA AUTOMOTRIZ</v>
      </c>
      <c r="D705" s="213" t="str">
        <f>IFERROR(__xludf.DUMMYFUNCTION("""COMPUTED_VALUE"""),"HERRAMIENTAS")</f>
        <v>HERRAMIENTAS</v>
      </c>
      <c r="E705" s="213" t="str">
        <f>IFERROR(__xludf.DUMMYFUNCTION("""COMPUTED_VALUE"""),"COM-274")</f>
        <v>COM-274</v>
      </c>
      <c r="F705" s="213" t="str">
        <f>IFERROR(__xludf.DUMMYFUNCTION("""COMPUTED_VALUE"""),"COM-274")</f>
        <v>COM-274</v>
      </c>
      <c r="G705" s="213"/>
      <c r="H705" s="213" t="str">
        <f>IFERROR(__xludf.DUMMYFUNCTION("""COMPUTED_VALUE"""),"RECOGEDOR MAGNÉTICO TELESCÓPICO")</f>
        <v>RECOGEDOR MAGNÉTICO TELESCÓPICO</v>
      </c>
      <c r="I705" s="213" t="str">
        <f>IFERROR(__xludf.DUMMYFUNCTION("""COMPUTED_VALUE"""),"Se trata de un dedo recogedor magnético
Magnetiza la mayoría de los objetos de acero al carbono.
Adecuado para levantar pequeñas herramientas, tornillos, entre otros, que caen en lugares estrechos. Posee una funsión telescópica.
Longitud mínima: 580 mm.
S"&amp;"ILVERA Hilda 70998 soft")</f>
        <v>Se trata de un dedo recogedor magnético
Magnetiza la mayoría de los objetos de acero al carbono.
Adecuado para levantar pequeñas herramientas, tornillos, entre otros, que caen en lugares estrechos. Posee una funsión telescópica.
Longitud mínima: 580 mm.
SILVERA Hilda 70998 soft</v>
      </c>
      <c r="J705" s="213">
        <f>IFERROR(__xludf.DUMMYFUNCTION("""COMPUTED_VALUE"""),3.0)</f>
        <v>3</v>
      </c>
      <c r="K705" s="213" t="str">
        <f>IFERROR(__xludf.DUMMYFUNCTION("""COMPUTED_VALUE"""),"90 DÍAS CALENDARIO")</f>
        <v>90 DÍAS CALENDARIO</v>
      </c>
      <c r="L705" s="213" t="str">
        <f>IFERROR(__xludf.DUMMYFUNCTION("""COMPUTED_VALUE"""),"")</f>
        <v/>
      </c>
      <c r="M705" s="213">
        <f>IFERROR(__xludf.DUMMYFUNCTION("""COMPUTED_VALUE"""),1.0)</f>
        <v>1</v>
      </c>
      <c r="N705" s="213">
        <f>IFERROR(__xludf.DUMMYFUNCTION("""COMPUTED_VALUE"""),1.0)</f>
        <v>1</v>
      </c>
      <c r="O705" s="213">
        <f>IFERROR(__xludf.DUMMYFUNCTION("""COMPUTED_VALUE"""),1.0)</f>
        <v>1</v>
      </c>
      <c r="P705" s="213"/>
      <c r="Q705" s="213"/>
      <c r="R705" s="213" t="str">
        <f>IFERROR(__xludf.DUMMYFUNCTION("""COMPUTED_VALUE"""),"SI")</f>
        <v>SI</v>
      </c>
      <c r="S705" s="213"/>
      <c r="T705" s="213" t="str">
        <f>IFERROR(__xludf.DUMMYFUNCTION("""COMPUTED_VALUE"""),"SI")</f>
        <v>SI</v>
      </c>
      <c r="U705" s="213" t="str">
        <f>IFERROR(__xludf.DUMMYFUNCTION("""COMPUTED_VALUE"""),"SI")</f>
        <v>SI</v>
      </c>
      <c r="V705" s="213" t="str">
        <f>IFERROR(__xludf.DUMMYFUNCTION("""COMPUTED_VALUE"""),"-")</f>
        <v>-</v>
      </c>
      <c r="W705" s="213" t="str">
        <f>IFERROR(__xludf.DUMMYFUNCTION("""COMPUTED_VALUE"""),"-")</f>
        <v>-</v>
      </c>
      <c r="X705" s="213" t="str">
        <f>IFERROR(__xludf.DUMMYFUNCTION("""COMPUTED_VALUE"""),"STANLEY")</f>
        <v>STANLEY</v>
      </c>
      <c r="Y705" s="213" t="str">
        <f>IFERROR(__xludf.DUMMYFUNCTION("""COMPUTED_VALUE"""),"78-021")</f>
        <v>78-021</v>
      </c>
      <c r="Z705" s="215" t="str">
        <f>IFERROR(__xludf.DUMMYFUNCTION("""COMPUTED_VALUE"""),"https://drive.google.com/file/d/1Bj90oyGITf3Nozeyz0lxohKhzBKZTChD/view")</f>
        <v>https://drive.google.com/file/d/1Bj90oyGITf3Nozeyz0lxohKhzBKZTChD/view</v>
      </c>
      <c r="AA705" s="213" t="str">
        <f>IFERROR(__xludf.DUMMYFUNCTION("""COMPUTED_VALUE"""),"COM-274 RECOGEDOR MAGNETICO - CET")</f>
        <v>COM-274 RECOGEDOR MAGNETICO - CET</v>
      </c>
      <c r="AB705" s="213"/>
      <c r="AC705" s="213"/>
      <c r="AD705" s="213"/>
      <c r="AE705" s="213"/>
      <c r="AF705" s="213"/>
      <c r="AG705" s="213"/>
      <c r="AH705" s="213"/>
      <c r="AI705" s="213"/>
      <c r="AJ705" s="213"/>
      <c r="AK705" s="213"/>
      <c r="AL705" s="213"/>
      <c r="AM705" s="213"/>
      <c r="AN705" s="213"/>
      <c r="AO705" s="213"/>
      <c r="AP705" s="213" t="str">
        <f>IFERROR(__xludf.DUMMYFUNCTION("""COMPUTED_VALUE"""),"LUIS")</f>
        <v>LUIS</v>
      </c>
      <c r="AQ705" s="213"/>
      <c r="AR705" s="213"/>
      <c r="AS705" s="213"/>
      <c r="AT705" s="213"/>
      <c r="AU705" s="213"/>
      <c r="AV705" s="213"/>
      <c r="AW705" s="213"/>
      <c r="AX705" s="213"/>
      <c r="AY705" s="213"/>
      <c r="AZ705" s="213"/>
      <c r="BA705" s="213"/>
      <c r="BB705" s="213"/>
      <c r="BC705" s="213"/>
      <c r="BD705" s="213"/>
    </row>
    <row r="706">
      <c r="A706" s="213">
        <f>IFERROR(__xludf.DUMMYFUNCTION("""COMPUTED_VALUE"""),2261.0)</f>
        <v>2261</v>
      </c>
      <c r="B706" s="213" t="str">
        <f>IFERROR(__xludf.DUMMYFUNCTION("""COMPUTED_VALUE"""),"JOSE GRANDA")</f>
        <v>JOSE GRANDA</v>
      </c>
      <c r="C706" s="213" t="str">
        <f>IFERROR(__xludf.DUMMYFUNCTION("""COMPUTED_VALUE"""),"TALLER SFT DE MECÁNICA AUTOMOTRIZ")</f>
        <v>TALLER SFT DE MECÁNICA AUTOMOTRIZ</v>
      </c>
      <c r="D706" s="213" t="str">
        <f>IFERROR(__xludf.DUMMYFUNCTION("""COMPUTED_VALUE"""),"HERRAMIENTAS")</f>
        <v>HERRAMIENTAS</v>
      </c>
      <c r="E706" s="213" t="str">
        <f>IFERROR(__xludf.DUMMYFUNCTION("""COMPUTED_VALUE"""),"COM-274")</f>
        <v>COM-274</v>
      </c>
      <c r="F706" s="213" t="str">
        <f>IFERROR(__xludf.DUMMYFUNCTION("""COMPUTED_VALUE"""),"COM-274")</f>
        <v>COM-274</v>
      </c>
      <c r="G706" s="213"/>
      <c r="H706" s="213" t="str">
        <f>IFERROR(__xludf.DUMMYFUNCTION("""COMPUTED_VALUE"""),"RECOGEDOR MAGNÉTICO TELESCÓPICO")</f>
        <v>RECOGEDOR MAGNÉTICO TELESCÓPICO</v>
      </c>
      <c r="I706" s="213" t="str">
        <f>IFERROR(__xludf.DUMMYFUNCTION("""COMPUTED_VALUE"""),"Se trata de un dedo recogedor magnético
Magnetiza la mayoría de los objetos de acero al carbono.
Adecuado para levantar pequeñas herramientas, tornillos, entre otros, que caen en lugares estrechos. Posee una funsión telescópica.
Longitud mínima: 580 mm.
S"&amp;"ILVERA Hilda 70998 soft")</f>
        <v>Se trata de un dedo recogedor magnético
Magnetiza la mayoría de los objetos de acero al carbono.
Adecuado para levantar pequeñas herramientas, tornillos, entre otros, que caen en lugares estrechos. Posee una funsión telescópica.
Longitud mínima: 580 mm.
SILVERA Hilda 70998 soft</v>
      </c>
      <c r="J706" s="213">
        <f>IFERROR(__xludf.DUMMYFUNCTION("""COMPUTED_VALUE"""),3.0)</f>
        <v>3</v>
      </c>
      <c r="K706" s="213" t="str">
        <f>IFERROR(__xludf.DUMMYFUNCTION("""COMPUTED_VALUE"""),"90 DÍAS CALENDARIO")</f>
        <v>90 DÍAS CALENDARIO</v>
      </c>
      <c r="L706" s="213" t="str">
        <f>IFERROR(__xludf.DUMMYFUNCTION("""COMPUTED_VALUE"""),"")</f>
        <v/>
      </c>
      <c r="M706" s="213">
        <f>IFERROR(__xludf.DUMMYFUNCTION("""COMPUTED_VALUE"""),1.0)</f>
        <v>1</v>
      </c>
      <c r="N706" s="213">
        <f>IFERROR(__xludf.DUMMYFUNCTION("""COMPUTED_VALUE"""),1.0)</f>
        <v>1</v>
      </c>
      <c r="O706" s="213">
        <f>IFERROR(__xludf.DUMMYFUNCTION("""COMPUTED_VALUE"""),1.0)</f>
        <v>1</v>
      </c>
      <c r="P706" s="213"/>
      <c r="Q706" s="213"/>
      <c r="R706" s="213" t="str">
        <f>IFERROR(__xludf.DUMMYFUNCTION("""COMPUTED_VALUE"""),"SI")</f>
        <v>SI</v>
      </c>
      <c r="S706" s="213"/>
      <c r="T706" s="213" t="str">
        <f>IFERROR(__xludf.DUMMYFUNCTION("""COMPUTED_VALUE"""),"SI")</f>
        <v>SI</v>
      </c>
      <c r="U706" s="213" t="str">
        <f>IFERROR(__xludf.DUMMYFUNCTION("""COMPUTED_VALUE"""),"SI")</f>
        <v>SI</v>
      </c>
      <c r="V706" s="213" t="str">
        <f>IFERROR(__xludf.DUMMYFUNCTION("""COMPUTED_VALUE"""),"-")</f>
        <v>-</v>
      </c>
      <c r="W706" s="213" t="str">
        <f>IFERROR(__xludf.DUMMYFUNCTION("""COMPUTED_VALUE"""),"-")</f>
        <v>-</v>
      </c>
      <c r="X706" s="213" t="str">
        <f>IFERROR(__xludf.DUMMYFUNCTION("""COMPUTED_VALUE"""),"STANLEY")</f>
        <v>STANLEY</v>
      </c>
      <c r="Y706" s="213" t="str">
        <f>IFERROR(__xludf.DUMMYFUNCTION("""COMPUTED_VALUE"""),"78-021")</f>
        <v>78-021</v>
      </c>
      <c r="Z706" s="215" t="str">
        <f>IFERROR(__xludf.DUMMYFUNCTION("""COMPUTED_VALUE"""),"https://drive.google.com/file/d/1Bj90oyGITf3Nozeyz0lxohKhzBKZTChD/view")</f>
        <v>https://drive.google.com/file/d/1Bj90oyGITf3Nozeyz0lxohKhzBKZTChD/view</v>
      </c>
      <c r="AA706" s="213" t="str">
        <f>IFERROR(__xludf.DUMMYFUNCTION("""COMPUTED_VALUE"""),"COM-274 RECOGEDOR MAGNETICO - CET")</f>
        <v>COM-274 RECOGEDOR MAGNETICO - CET</v>
      </c>
      <c r="AB706" s="213"/>
      <c r="AC706" s="213"/>
      <c r="AD706" s="213"/>
      <c r="AE706" s="213"/>
      <c r="AF706" s="213"/>
      <c r="AG706" s="213"/>
      <c r="AH706" s="213"/>
      <c r="AI706" s="213"/>
      <c r="AJ706" s="213"/>
      <c r="AK706" s="213"/>
      <c r="AL706" s="213"/>
      <c r="AM706" s="213"/>
      <c r="AN706" s="213"/>
      <c r="AO706" s="213"/>
      <c r="AP706" s="213" t="str">
        <f>IFERROR(__xludf.DUMMYFUNCTION("""COMPUTED_VALUE"""),"LUIS")</f>
        <v>LUIS</v>
      </c>
      <c r="AQ706" s="213"/>
      <c r="AR706" s="213"/>
      <c r="AS706" s="213"/>
      <c r="AT706" s="213"/>
      <c r="AU706" s="213"/>
      <c r="AV706" s="213"/>
      <c r="AW706" s="213"/>
      <c r="AX706" s="213"/>
      <c r="AY706" s="213"/>
      <c r="AZ706" s="213"/>
      <c r="BA706" s="213"/>
      <c r="BB706" s="213"/>
      <c r="BC706" s="213"/>
      <c r="BD706" s="213"/>
    </row>
    <row r="707">
      <c r="A707" s="213">
        <f>IFERROR(__xludf.DUMMYFUNCTION("""COMPUTED_VALUE"""),964.0)</f>
        <v>964</v>
      </c>
      <c r="B707" s="213" t="str">
        <f>IFERROR(__xludf.DUMMYFUNCTION("""COMPUTED_VALUE"""),"FRANCISCO IRAZOLA")</f>
        <v>FRANCISCO IRAZOLA</v>
      </c>
      <c r="C707" s="213" t="str">
        <f>IFERROR(__xludf.DUMMYFUNCTION("""COMPUTED_VALUE"""),"TALLER SFT DE MECÁNICA AUTOMOTRIZ")</f>
        <v>TALLER SFT DE MECÁNICA AUTOMOTRIZ</v>
      </c>
      <c r="D707" s="213" t="str">
        <f>IFERROR(__xludf.DUMMYFUNCTION("""COMPUTED_VALUE"""),"HERRAMIENTAS")</f>
        <v>HERRAMIENTAS</v>
      </c>
      <c r="E707" s="213" t="str">
        <f>IFERROR(__xludf.DUMMYFUNCTION("""COMPUTED_VALUE"""),"COM-275")</f>
        <v>COM-275</v>
      </c>
      <c r="F707" s="213" t="str">
        <f>IFERROR(__xludf.DUMMYFUNCTION("""COMPUTED_VALUE"""),"COM-275")</f>
        <v>COM-275</v>
      </c>
      <c r="G707" s="213"/>
      <c r="H707" s="213" t="str">
        <f>IFERROR(__xludf.DUMMYFUNCTION("""COMPUTED_VALUE"""),"RECOLECTOR DE ACEITE")</f>
        <v>RECOLECTOR DE ACEITE</v>
      </c>
      <c r="I707" s="213" t="str">
        <f>IFERROR(__xludf.DUMMYFUNCTION("""COMPUTED_VALUE"""),"Diseñado para colectar la evacuación del aceite del motor, fluidos de transmisión, entre otros. Posee alta movilidad y estabilidad (evitar volcaduras).
Capacidad del tanque: mínima 18 galones Incluye un regulador de aire preestablecido. Cuenta con válvula"&amp;" de seguridad.
Construcción en acero.")</f>
        <v>Diseñado para colectar la evacuación del aceite del motor, fluidos de transmisión, entre otros. Posee alta movilidad y estabilidad (evitar volcaduras).
Capacidad del tanque: mínima 18 galones Incluye un regulador de aire preestablecido. Cuenta con válvula de seguridad.
Construcción en acero.</v>
      </c>
      <c r="J707" s="213">
        <f>IFERROR(__xludf.DUMMYFUNCTION("""COMPUTED_VALUE"""),3.0)</f>
        <v>3</v>
      </c>
      <c r="K707" s="213" t="str">
        <f>IFERROR(__xludf.DUMMYFUNCTION("""COMPUTED_VALUE"""),"90 DÍAS CALENDARIO")</f>
        <v>90 DÍAS CALENDARIO</v>
      </c>
      <c r="L707" s="213" t="str">
        <f>IFERROR(__xludf.DUMMYFUNCTION("""COMPUTED_VALUE"""),"")</f>
        <v/>
      </c>
      <c r="M707" s="213">
        <f>IFERROR(__xludf.DUMMYFUNCTION("""COMPUTED_VALUE"""),1.0)</f>
        <v>1</v>
      </c>
      <c r="N707" s="213">
        <f>IFERROR(__xludf.DUMMYFUNCTION("""COMPUTED_VALUE"""),1.0)</f>
        <v>1</v>
      </c>
      <c r="O707" s="213">
        <f>IFERROR(__xludf.DUMMYFUNCTION("""COMPUTED_VALUE"""),1.0)</f>
        <v>1</v>
      </c>
      <c r="P707" s="213"/>
      <c r="Q707" s="213"/>
      <c r="R707" s="213" t="str">
        <f>IFERROR(__xludf.DUMMYFUNCTION("""COMPUTED_VALUE"""),"SI")</f>
        <v>SI</v>
      </c>
      <c r="S707" s="213"/>
      <c r="T707" s="213" t="str">
        <f>IFERROR(__xludf.DUMMYFUNCTION("""COMPUTED_VALUE"""),"SI")</f>
        <v>SI</v>
      </c>
      <c r="U707" s="213" t="str">
        <f>IFERROR(__xludf.DUMMYFUNCTION("""COMPUTED_VALUE"""),"SI")</f>
        <v>SI</v>
      </c>
      <c r="V707" s="213" t="str">
        <f>IFERROR(__xludf.DUMMYFUNCTION("""COMPUTED_VALUE"""),"-")</f>
        <v>-</v>
      </c>
      <c r="W707" s="213" t="str">
        <f>IFERROR(__xludf.DUMMYFUNCTION("""COMPUTED_VALUE"""),"-")</f>
        <v>-</v>
      </c>
      <c r="X707" s="213" t="str">
        <f>IFERROR(__xludf.DUMMYFUNCTION("""COMPUTED_VALUE"""),"LAUNCH")</f>
        <v>LAUNCH</v>
      </c>
      <c r="Y707" s="213" t="str">
        <f>IFERROR(__xludf.DUMMYFUNCTION("""COMPUTED_VALUE"""),"D3.TOC317")</f>
        <v>D3.TOC317</v>
      </c>
      <c r="Z707" s="215" t="str">
        <f>IFERROR(__xludf.DUMMYFUNCTION("""COMPUTED_VALUE"""),"https://tesinperu.com/product/recuperador-de-aceite-por-succion-y-gravedad-72-l-launch/")</f>
        <v>https://tesinperu.com/product/recuperador-de-aceite-por-succion-y-gravedad-72-l-launch/</v>
      </c>
      <c r="AA707" s="213" t="str">
        <f>IFERROR(__xludf.DUMMYFUNCTION("""COMPUTED_VALUE"""),"COM-275 RECOLECTOR DE ACEITE - CET")</f>
        <v>COM-275 RECOLECTOR DE ACEITE - CET</v>
      </c>
      <c r="AB707" s="213"/>
      <c r="AC707" s="213"/>
      <c r="AD707" s="213"/>
      <c r="AE707" s="213"/>
      <c r="AF707" s="213"/>
      <c r="AG707" s="213"/>
      <c r="AH707" s="213"/>
      <c r="AI707" s="213"/>
      <c r="AJ707" s="213"/>
      <c r="AK707" s="213"/>
      <c r="AL707" s="213"/>
      <c r="AM707" s="213"/>
      <c r="AN707" s="213"/>
      <c r="AO707" s="213"/>
      <c r="AP707" s="213" t="str">
        <f>IFERROR(__xludf.DUMMYFUNCTION("""COMPUTED_VALUE"""),"LUIS")</f>
        <v>LUIS</v>
      </c>
      <c r="AQ707" s="213"/>
      <c r="AR707" s="213"/>
      <c r="AS707" s="213"/>
      <c r="AT707" s="213"/>
      <c r="AU707" s="213"/>
      <c r="AV707" s="213"/>
      <c r="AW707" s="213"/>
      <c r="AX707" s="213"/>
      <c r="AY707" s="213"/>
      <c r="AZ707" s="213"/>
      <c r="BA707" s="213"/>
      <c r="BB707" s="213"/>
      <c r="BC707" s="213"/>
      <c r="BD707" s="213"/>
    </row>
    <row r="708">
      <c r="A708" s="213">
        <f>IFERROR(__xludf.DUMMYFUNCTION("""COMPUTED_VALUE"""),1565.0)</f>
        <v>1565</v>
      </c>
      <c r="B708" s="213" t="str">
        <f>IFERROR(__xludf.DUMMYFUNCTION("""COMPUTED_VALUE"""),"GUILLERMO E. BILLINGHURST ")</f>
        <v>GUILLERMO E. BILLINGHURST </v>
      </c>
      <c r="C708" s="213" t="str">
        <f>IFERROR(__xludf.DUMMYFUNCTION("""COMPUTED_VALUE"""),"TALLER SFT DE MECÁNICA AUTOMOTRIZ")</f>
        <v>TALLER SFT DE MECÁNICA AUTOMOTRIZ</v>
      </c>
      <c r="D708" s="213" t="str">
        <f>IFERROR(__xludf.DUMMYFUNCTION("""COMPUTED_VALUE"""),"HERRAMIENTAS")</f>
        <v>HERRAMIENTAS</v>
      </c>
      <c r="E708" s="213" t="str">
        <f>IFERROR(__xludf.DUMMYFUNCTION("""COMPUTED_VALUE"""),"COM-275")</f>
        <v>COM-275</v>
      </c>
      <c r="F708" s="213" t="str">
        <f>IFERROR(__xludf.DUMMYFUNCTION("""COMPUTED_VALUE"""),"COM-275")</f>
        <v>COM-275</v>
      </c>
      <c r="G708" s="213"/>
      <c r="H708" s="213" t="str">
        <f>IFERROR(__xludf.DUMMYFUNCTION("""COMPUTED_VALUE"""),"RECOLECTOR DE ACEITE")</f>
        <v>RECOLECTOR DE ACEITE</v>
      </c>
      <c r="I708" s="213" t="str">
        <f>IFERROR(__xludf.DUMMYFUNCTION("""COMPUTED_VALUE"""),"Diseñado para colectar la evacuación del aceite del motor, fluidos de transmisión, entre otros. Posee alta movilidad y estabilidad (evitar volcaduras).
Capacidad del tanque: mínima 18 galones Incluye un regulador de aire preestablecido. Cuenta con válvula"&amp;" de seguridad.
Construcción en acero.")</f>
        <v>Diseñado para colectar la evacuación del aceite del motor, fluidos de transmisión, entre otros. Posee alta movilidad y estabilidad (evitar volcaduras).
Capacidad del tanque: mínima 18 galones Incluye un regulador de aire preestablecido. Cuenta con válvula de seguridad.
Construcción en acero.</v>
      </c>
      <c r="J708" s="213">
        <f>IFERROR(__xludf.DUMMYFUNCTION("""COMPUTED_VALUE"""),3.0)</f>
        <v>3</v>
      </c>
      <c r="K708" s="213" t="str">
        <f>IFERROR(__xludf.DUMMYFUNCTION("""COMPUTED_VALUE"""),"90 DÍAS CALENDARIO")</f>
        <v>90 DÍAS CALENDARIO</v>
      </c>
      <c r="L708" s="213" t="str">
        <f>IFERROR(__xludf.DUMMYFUNCTION("""COMPUTED_VALUE"""),"")</f>
        <v/>
      </c>
      <c r="M708" s="213">
        <f>IFERROR(__xludf.DUMMYFUNCTION("""COMPUTED_VALUE"""),1.0)</f>
        <v>1</v>
      </c>
      <c r="N708" s="213">
        <f>IFERROR(__xludf.DUMMYFUNCTION("""COMPUTED_VALUE"""),1.0)</f>
        <v>1</v>
      </c>
      <c r="O708" s="213">
        <f>IFERROR(__xludf.DUMMYFUNCTION("""COMPUTED_VALUE"""),1.0)</f>
        <v>1</v>
      </c>
      <c r="P708" s="213"/>
      <c r="Q708" s="213"/>
      <c r="R708" s="213" t="str">
        <f>IFERROR(__xludf.DUMMYFUNCTION("""COMPUTED_VALUE"""),"SI")</f>
        <v>SI</v>
      </c>
      <c r="S708" s="213"/>
      <c r="T708" s="213" t="str">
        <f>IFERROR(__xludf.DUMMYFUNCTION("""COMPUTED_VALUE"""),"SI")</f>
        <v>SI</v>
      </c>
      <c r="U708" s="213" t="str">
        <f>IFERROR(__xludf.DUMMYFUNCTION("""COMPUTED_VALUE"""),"SI")</f>
        <v>SI</v>
      </c>
      <c r="V708" s="213" t="str">
        <f>IFERROR(__xludf.DUMMYFUNCTION("""COMPUTED_VALUE"""),"-")</f>
        <v>-</v>
      </c>
      <c r="W708" s="213" t="str">
        <f>IFERROR(__xludf.DUMMYFUNCTION("""COMPUTED_VALUE"""),"-")</f>
        <v>-</v>
      </c>
      <c r="X708" s="213" t="str">
        <f>IFERROR(__xludf.DUMMYFUNCTION("""COMPUTED_VALUE"""),"LAUNCH")</f>
        <v>LAUNCH</v>
      </c>
      <c r="Y708" s="213" t="str">
        <f>IFERROR(__xludf.DUMMYFUNCTION("""COMPUTED_VALUE"""),"D3.TOC317")</f>
        <v>D3.TOC317</v>
      </c>
      <c r="Z708" s="215" t="str">
        <f>IFERROR(__xludf.DUMMYFUNCTION("""COMPUTED_VALUE"""),"https://tesinperu.com/product/recuperador-de-aceite-por-succion-y-gravedad-72-l-launch/")</f>
        <v>https://tesinperu.com/product/recuperador-de-aceite-por-succion-y-gravedad-72-l-launch/</v>
      </c>
      <c r="AA708" s="213" t="str">
        <f>IFERROR(__xludf.DUMMYFUNCTION("""COMPUTED_VALUE"""),"COM-275 RECOLECTOR DE ACEITE - CET")</f>
        <v>COM-275 RECOLECTOR DE ACEITE - CET</v>
      </c>
      <c r="AB708" s="213"/>
      <c r="AC708" s="213"/>
      <c r="AD708" s="213"/>
      <c r="AE708" s="213"/>
      <c r="AF708" s="213"/>
      <c r="AG708" s="213"/>
      <c r="AH708" s="213"/>
      <c r="AI708" s="213"/>
      <c r="AJ708" s="213"/>
      <c r="AK708" s="213"/>
      <c r="AL708" s="213"/>
      <c r="AM708" s="213"/>
      <c r="AN708" s="213"/>
      <c r="AO708" s="213"/>
      <c r="AP708" s="213" t="str">
        <f>IFERROR(__xludf.DUMMYFUNCTION("""COMPUTED_VALUE"""),"LUIS")</f>
        <v>LUIS</v>
      </c>
      <c r="AQ708" s="213"/>
      <c r="AR708" s="213"/>
      <c r="AS708" s="213"/>
      <c r="AT708" s="213"/>
      <c r="AU708" s="213"/>
      <c r="AV708" s="213"/>
      <c r="AW708" s="213"/>
      <c r="AX708" s="213"/>
      <c r="AY708" s="213"/>
      <c r="AZ708" s="213"/>
      <c r="BA708" s="213"/>
      <c r="BB708" s="213"/>
      <c r="BC708" s="213"/>
      <c r="BD708" s="213"/>
    </row>
    <row r="709">
      <c r="A709" s="213">
        <f>IFERROR(__xludf.DUMMYFUNCTION("""COMPUTED_VALUE"""),2257.0)</f>
        <v>2257</v>
      </c>
      <c r="B709" s="213" t="str">
        <f>IFERROR(__xludf.DUMMYFUNCTION("""COMPUTED_VALUE"""),"JOSE GRANDA")</f>
        <v>JOSE GRANDA</v>
      </c>
      <c r="C709" s="213" t="str">
        <f>IFERROR(__xludf.DUMMYFUNCTION("""COMPUTED_VALUE"""),"TALLER SFT DE MECÁNICA AUTOMOTRIZ")</f>
        <v>TALLER SFT DE MECÁNICA AUTOMOTRIZ</v>
      </c>
      <c r="D709" s="213" t="str">
        <f>IFERROR(__xludf.DUMMYFUNCTION("""COMPUTED_VALUE"""),"HERRAMIENTAS")</f>
        <v>HERRAMIENTAS</v>
      </c>
      <c r="E709" s="213" t="str">
        <f>IFERROR(__xludf.DUMMYFUNCTION("""COMPUTED_VALUE"""),"COM-275")</f>
        <v>COM-275</v>
      </c>
      <c r="F709" s="213" t="str">
        <f>IFERROR(__xludf.DUMMYFUNCTION("""COMPUTED_VALUE"""),"COM-275")</f>
        <v>COM-275</v>
      </c>
      <c r="G709" s="213"/>
      <c r="H709" s="213" t="str">
        <f>IFERROR(__xludf.DUMMYFUNCTION("""COMPUTED_VALUE"""),"RECOLECTOR DE ACEITE")</f>
        <v>RECOLECTOR DE ACEITE</v>
      </c>
      <c r="I709" s="213" t="str">
        <f>IFERROR(__xludf.DUMMYFUNCTION("""COMPUTED_VALUE"""),"Diseñado para colectar la evacuación del aceite del motor, fluidos de transmisión, entre otros. Posee alta movilidad y estabilidad (evitar volcaduras).
Capacidad del tanque: mínima 18 galones Incluye un regulador de aire preestablecido. Cuenta con válvula"&amp;" de seguridad.
Construcción en acero.")</f>
        <v>Diseñado para colectar la evacuación del aceite del motor, fluidos de transmisión, entre otros. Posee alta movilidad y estabilidad (evitar volcaduras).
Capacidad del tanque: mínima 18 galones Incluye un regulador de aire preestablecido. Cuenta con válvula de seguridad.
Construcción en acero.</v>
      </c>
      <c r="J709" s="213">
        <f>IFERROR(__xludf.DUMMYFUNCTION("""COMPUTED_VALUE"""),3.0)</f>
        <v>3</v>
      </c>
      <c r="K709" s="213" t="str">
        <f>IFERROR(__xludf.DUMMYFUNCTION("""COMPUTED_VALUE"""),"90 DÍAS CALENDARIO")</f>
        <v>90 DÍAS CALENDARIO</v>
      </c>
      <c r="L709" s="213" t="str">
        <f>IFERROR(__xludf.DUMMYFUNCTION("""COMPUTED_VALUE"""),"")</f>
        <v/>
      </c>
      <c r="M709" s="213">
        <f>IFERROR(__xludf.DUMMYFUNCTION("""COMPUTED_VALUE"""),1.0)</f>
        <v>1</v>
      </c>
      <c r="N709" s="213">
        <f>IFERROR(__xludf.DUMMYFUNCTION("""COMPUTED_VALUE"""),1.0)</f>
        <v>1</v>
      </c>
      <c r="O709" s="213">
        <f>IFERROR(__xludf.DUMMYFUNCTION("""COMPUTED_VALUE"""),1.0)</f>
        <v>1</v>
      </c>
      <c r="P709" s="213"/>
      <c r="Q709" s="213"/>
      <c r="R709" s="213" t="str">
        <f>IFERROR(__xludf.DUMMYFUNCTION("""COMPUTED_VALUE"""),"SI")</f>
        <v>SI</v>
      </c>
      <c r="S709" s="213"/>
      <c r="T709" s="213" t="str">
        <f>IFERROR(__xludf.DUMMYFUNCTION("""COMPUTED_VALUE"""),"SI")</f>
        <v>SI</v>
      </c>
      <c r="U709" s="213" t="str">
        <f>IFERROR(__xludf.DUMMYFUNCTION("""COMPUTED_VALUE"""),"SI")</f>
        <v>SI</v>
      </c>
      <c r="V709" s="213" t="str">
        <f>IFERROR(__xludf.DUMMYFUNCTION("""COMPUTED_VALUE"""),"-")</f>
        <v>-</v>
      </c>
      <c r="W709" s="213" t="str">
        <f>IFERROR(__xludf.DUMMYFUNCTION("""COMPUTED_VALUE"""),"-")</f>
        <v>-</v>
      </c>
      <c r="X709" s="213" t="str">
        <f>IFERROR(__xludf.DUMMYFUNCTION("""COMPUTED_VALUE"""),"LAUNCH")</f>
        <v>LAUNCH</v>
      </c>
      <c r="Y709" s="213" t="str">
        <f>IFERROR(__xludf.DUMMYFUNCTION("""COMPUTED_VALUE"""),"D3.TOC317")</f>
        <v>D3.TOC317</v>
      </c>
      <c r="Z709" s="215" t="str">
        <f>IFERROR(__xludf.DUMMYFUNCTION("""COMPUTED_VALUE"""),"https://tesinperu.com/product/recuperador-de-aceite-por-succion-y-gravedad-72-l-launch/")</f>
        <v>https://tesinperu.com/product/recuperador-de-aceite-por-succion-y-gravedad-72-l-launch/</v>
      </c>
      <c r="AA709" s="213" t="str">
        <f>IFERROR(__xludf.DUMMYFUNCTION("""COMPUTED_VALUE"""),"COM-275 RECOLECTOR DE ACEITE - CET")</f>
        <v>COM-275 RECOLECTOR DE ACEITE - CET</v>
      </c>
      <c r="AB709" s="213"/>
      <c r="AC709" s="213"/>
      <c r="AD709" s="213"/>
      <c r="AE709" s="213"/>
      <c r="AF709" s="213"/>
      <c r="AG709" s="213"/>
      <c r="AH709" s="213"/>
      <c r="AI709" s="213"/>
      <c r="AJ709" s="213"/>
      <c r="AK709" s="213"/>
      <c r="AL709" s="213"/>
      <c r="AM709" s="213"/>
      <c r="AN709" s="213"/>
      <c r="AO709" s="213"/>
      <c r="AP709" s="213" t="str">
        <f>IFERROR(__xludf.DUMMYFUNCTION("""COMPUTED_VALUE"""),"LUIS")</f>
        <v>LUIS</v>
      </c>
      <c r="AQ709" s="213"/>
      <c r="AR709" s="213"/>
      <c r="AS709" s="213"/>
      <c r="AT709" s="213"/>
      <c r="AU709" s="213"/>
      <c r="AV709" s="213"/>
      <c r="AW709" s="213"/>
      <c r="AX709" s="213"/>
      <c r="AY709" s="213"/>
      <c r="AZ709" s="213"/>
      <c r="BA709" s="213"/>
      <c r="BB709" s="213"/>
      <c r="BC709" s="213"/>
      <c r="BD709" s="213"/>
    </row>
    <row r="710">
      <c r="A710" s="213">
        <f>IFERROR(__xludf.DUMMYFUNCTION("""COMPUTED_VALUE"""),469.0)</f>
        <v>469</v>
      </c>
      <c r="B710" s="213" t="str">
        <f>IFERROR(__xludf.DUMMYFUNCTION("""COMPUTED_VALUE"""),"2026 SIMON BOLIVAR")</f>
        <v>2026 SIMON BOLIVAR</v>
      </c>
      <c r="C710" s="213" t="str">
        <f>IFERROR(__xludf.DUMMYFUNCTION("""COMPUTED_VALUE"""),"TALLER SFT DE INDUSTRIA ALIMENTARIA")</f>
        <v>TALLER SFT DE INDUSTRIA ALIMENTARIA</v>
      </c>
      <c r="D710" s="213" t="str">
        <f>IFERROR(__xludf.DUMMYFUNCTION("""COMPUTED_VALUE"""),"HERRAMIENTAS")</f>
        <v>HERRAMIENTAS</v>
      </c>
      <c r="E710" s="213" t="str">
        <f>IFERROR(__xludf.DUMMYFUNCTION("""COMPUTED_VALUE"""),"COM-276")</f>
        <v>COM-276</v>
      </c>
      <c r="F710" s="213" t="str">
        <f>IFERROR(__xludf.DUMMYFUNCTION("""COMPUTED_VALUE"""),"COM-276")</f>
        <v>COM-276</v>
      </c>
      <c r="G710" s="213"/>
      <c r="H710" s="213" t="str">
        <f>IFERROR(__xludf.DUMMYFUNCTION("""COMPUTED_VALUE"""),"REFRACTOMETRO MANUAL  0-32")</f>
        <v>REFRACTOMETRO MANUAL  0-32</v>
      </c>
      <c r="I710" s="213"/>
      <c r="J710" s="213">
        <f>IFERROR(__xludf.DUMMYFUNCTION("""COMPUTED_VALUE"""),3.0)</f>
        <v>3</v>
      </c>
      <c r="K710" s="213" t="str">
        <f>IFERROR(__xludf.DUMMYFUNCTION("""COMPUTED_VALUE"""),"90 DÍAS CALENDARIO")</f>
        <v>90 DÍAS CALENDARIO</v>
      </c>
      <c r="L710" s="213" t="str">
        <f>IFERROR(__xludf.DUMMYFUNCTION("""COMPUTED_VALUE"""),"")</f>
        <v/>
      </c>
      <c r="M710" s="213">
        <f>IFERROR(__xludf.DUMMYFUNCTION("""COMPUTED_VALUE"""),1.0)</f>
        <v>1</v>
      </c>
      <c r="N710" s="213">
        <f>IFERROR(__xludf.DUMMYFUNCTION("""COMPUTED_VALUE"""),4.0)</f>
        <v>4</v>
      </c>
      <c r="O710" s="213">
        <f>IFERROR(__xludf.DUMMYFUNCTION("""COMPUTED_VALUE"""),4.0)</f>
        <v>4</v>
      </c>
      <c r="P710" s="213"/>
      <c r="Q710" s="213"/>
      <c r="R710" s="213" t="str">
        <f>IFERROR(__xludf.DUMMYFUNCTION("""COMPUTED_VALUE"""),"SI")</f>
        <v>SI</v>
      </c>
      <c r="S710" s="213"/>
      <c r="T710" s="213" t="str">
        <f>IFERROR(__xludf.DUMMYFUNCTION("""COMPUTED_VALUE"""),"CONSULTA FINAL")</f>
        <v>CONSULTA FINAL</v>
      </c>
      <c r="U710" s="213" t="str">
        <f>IFERROR(__xludf.DUMMYFUNCTION("""COMPUTED_VALUE"""),"NO")</f>
        <v>NO</v>
      </c>
      <c r="V710" s="213" t="str">
        <f>IFERROR(__xludf.DUMMYFUNCTION("""COMPUTED_VALUE"""),"SUSTENTO")</f>
        <v>SUSTENTO</v>
      </c>
      <c r="W710" s="213" t="str">
        <f>IFERROR(__xludf.DUMMYFUNCTION("""COMPUTED_VALUE"""),"DIMENSIONAL")</f>
        <v>DIMENSIONAL</v>
      </c>
      <c r="X710" s="213" t="str">
        <f>IFERROR(__xludf.DUMMYFUNCTION("""COMPUTED_VALUE"""),"ATC")</f>
        <v>ATC</v>
      </c>
      <c r="Y710" s="213" t="str">
        <f>IFERROR(__xludf.DUMMYFUNCTION("""COMPUTED_VALUE"""),"ATC")</f>
        <v>ATC</v>
      </c>
      <c r="Z710" s="215" t="str">
        <f>IFERROR(__xludf.DUMMYFUNCTION("""COMPUTED_VALUE"""),"https://www.alphaaquaculture.pe/producto/refractometro-de-0-100-oo-salinidad/?srsltid=AfmBOoqgqddgJBwCZTYEReZmqJ944KJthQZXRd32j5WhA9tcF_2Kb57C")</f>
        <v>https://www.alphaaquaculture.pe/producto/refractometro-de-0-100-oo-salinidad/?srsltid=AfmBOoqgqddgJBwCZTYEReZmqJ944KJthQZXRd32j5WhA9tcF_2Kb57C</v>
      </c>
      <c r="AA710" s="213" t="str">
        <f>IFERROR(__xludf.DUMMYFUNCTION("""COMPUTED_VALUE"""),"COM-276 REFRACTOMETRO MANUAL 0-32 - CET")</f>
        <v>COM-276 REFRACTOMETRO MANUAL 0-32 - CET</v>
      </c>
      <c r="AB710" s="213"/>
      <c r="AC710" s="213"/>
      <c r="AD710" s="213"/>
      <c r="AE710" s="213"/>
      <c r="AF710" s="213"/>
      <c r="AG710" s="213"/>
      <c r="AH710" s="213"/>
      <c r="AI710" s="213"/>
      <c r="AJ710" s="213"/>
      <c r="AK710" s="213"/>
      <c r="AL710" s="213"/>
      <c r="AM710" s="213"/>
      <c r="AN710" s="213"/>
      <c r="AO710" s="213"/>
      <c r="AP710" s="213" t="str">
        <f>IFERROR(__xludf.DUMMYFUNCTION("""COMPUTED_VALUE"""),"LUIS")</f>
        <v>LUIS</v>
      </c>
      <c r="AQ710" s="213"/>
      <c r="AR710" s="213"/>
      <c r="AS710" s="213"/>
      <c r="AT710" s="213"/>
      <c r="AU710" s="213"/>
      <c r="AV710" s="213"/>
      <c r="AW710" s="213"/>
      <c r="AX710" s="213"/>
      <c r="AY710" s="213"/>
      <c r="AZ710" s="213"/>
      <c r="BA710" s="213"/>
      <c r="BB710" s="213"/>
      <c r="BC710" s="213"/>
      <c r="BD710" s="213"/>
    </row>
    <row r="711">
      <c r="A711" s="213">
        <f>IFERROR(__xludf.DUMMYFUNCTION("""COMPUTED_VALUE"""),1099.0)</f>
        <v>1099</v>
      </c>
      <c r="B711" s="213" t="str">
        <f>IFERROR(__xludf.DUMMYFUNCTION("""COMPUTED_VALUE"""),"FRANCISCO IRAZOLA")</f>
        <v>FRANCISCO IRAZOLA</v>
      </c>
      <c r="C711" s="213" t="str">
        <f>IFERROR(__xludf.DUMMYFUNCTION("""COMPUTED_VALUE"""),"TALLER SFT DE INDUSTRIA ALIMENTARIA")</f>
        <v>TALLER SFT DE INDUSTRIA ALIMENTARIA</v>
      </c>
      <c r="D711" s="213" t="str">
        <f>IFERROR(__xludf.DUMMYFUNCTION("""COMPUTED_VALUE"""),"HERRAMIENTAS")</f>
        <v>HERRAMIENTAS</v>
      </c>
      <c r="E711" s="213" t="str">
        <f>IFERROR(__xludf.DUMMYFUNCTION("""COMPUTED_VALUE"""),"COM-276")</f>
        <v>COM-276</v>
      </c>
      <c r="F711" s="213" t="str">
        <f>IFERROR(__xludf.DUMMYFUNCTION("""COMPUTED_VALUE"""),"COM-276")</f>
        <v>COM-276</v>
      </c>
      <c r="G711" s="213"/>
      <c r="H711" s="213" t="str">
        <f>IFERROR(__xludf.DUMMYFUNCTION("""COMPUTED_VALUE"""),"REFRACTOMETRO MANUAL  0-32")</f>
        <v>REFRACTOMETRO MANUAL  0-32</v>
      </c>
      <c r="I711" s="213"/>
      <c r="J711" s="213">
        <f>IFERROR(__xludf.DUMMYFUNCTION("""COMPUTED_VALUE"""),3.0)</f>
        <v>3</v>
      </c>
      <c r="K711" s="213" t="str">
        <f>IFERROR(__xludf.DUMMYFUNCTION("""COMPUTED_VALUE"""),"90 DÍAS CALENDARIO")</f>
        <v>90 DÍAS CALENDARIO</v>
      </c>
      <c r="L711" s="213" t="str">
        <f>IFERROR(__xludf.DUMMYFUNCTION("""COMPUTED_VALUE"""),"")</f>
        <v/>
      </c>
      <c r="M711" s="213">
        <f>IFERROR(__xludf.DUMMYFUNCTION("""COMPUTED_VALUE"""),1.0)</f>
        <v>1</v>
      </c>
      <c r="N711" s="213">
        <f>IFERROR(__xludf.DUMMYFUNCTION("""COMPUTED_VALUE"""),4.0)</f>
        <v>4</v>
      </c>
      <c r="O711" s="213">
        <f>IFERROR(__xludf.DUMMYFUNCTION("""COMPUTED_VALUE"""),4.0)</f>
        <v>4</v>
      </c>
      <c r="P711" s="213"/>
      <c r="Q711" s="213"/>
      <c r="R711" s="213" t="str">
        <f>IFERROR(__xludf.DUMMYFUNCTION("""COMPUTED_VALUE"""),"SI")</f>
        <v>SI</v>
      </c>
      <c r="S711" s="213"/>
      <c r="T711" s="213" t="str">
        <f>IFERROR(__xludf.DUMMYFUNCTION("""COMPUTED_VALUE"""),"CONSULTA FINAL")</f>
        <v>CONSULTA FINAL</v>
      </c>
      <c r="U711" s="213" t="str">
        <f>IFERROR(__xludf.DUMMYFUNCTION("""COMPUTED_VALUE"""),"NO")</f>
        <v>NO</v>
      </c>
      <c r="V711" s="213" t="str">
        <f>IFERROR(__xludf.DUMMYFUNCTION("""COMPUTED_VALUE"""),"SUSTENTO")</f>
        <v>SUSTENTO</v>
      </c>
      <c r="W711" s="213" t="str">
        <f>IFERROR(__xludf.DUMMYFUNCTION("""COMPUTED_VALUE"""),"DIMENSIONAL")</f>
        <v>DIMENSIONAL</v>
      </c>
      <c r="X711" s="213" t="str">
        <f>IFERROR(__xludf.DUMMYFUNCTION("""COMPUTED_VALUE"""),"ATC")</f>
        <v>ATC</v>
      </c>
      <c r="Y711" s="213" t="str">
        <f>IFERROR(__xludf.DUMMYFUNCTION("""COMPUTED_VALUE"""),"ATC")</f>
        <v>ATC</v>
      </c>
      <c r="Z711" s="215" t="str">
        <f>IFERROR(__xludf.DUMMYFUNCTION("""COMPUTED_VALUE"""),"https://www.alphaaquaculture.pe/producto/refractometro-de-0-100-oo-salinidad/?srsltid=AfmBOoqgqddgJBwCZTYEReZmqJ944KJthQZXRd32j5WhA9tcF_2Kb57C")</f>
        <v>https://www.alphaaquaculture.pe/producto/refractometro-de-0-100-oo-salinidad/?srsltid=AfmBOoqgqddgJBwCZTYEReZmqJ944KJthQZXRd32j5WhA9tcF_2Kb57C</v>
      </c>
      <c r="AA711" s="213" t="str">
        <f>IFERROR(__xludf.DUMMYFUNCTION("""COMPUTED_VALUE"""),"COM-276 REFRACTOMETRO MANUAL 0-32 - CET")</f>
        <v>COM-276 REFRACTOMETRO MANUAL 0-32 - CET</v>
      </c>
      <c r="AB711" s="213"/>
      <c r="AC711" s="213"/>
      <c r="AD711" s="213"/>
      <c r="AE711" s="213"/>
      <c r="AF711" s="213"/>
      <c r="AG711" s="213"/>
      <c r="AH711" s="213"/>
      <c r="AI711" s="213"/>
      <c r="AJ711" s="213"/>
      <c r="AK711" s="213"/>
      <c r="AL711" s="213"/>
      <c r="AM711" s="213"/>
      <c r="AN711" s="213"/>
      <c r="AO711" s="213"/>
      <c r="AP711" s="213" t="str">
        <f>IFERROR(__xludf.DUMMYFUNCTION("""COMPUTED_VALUE"""),"LUIS")</f>
        <v>LUIS</v>
      </c>
      <c r="AQ711" s="213"/>
      <c r="AR711" s="213"/>
      <c r="AS711" s="213"/>
      <c r="AT711" s="213"/>
      <c r="AU711" s="213"/>
      <c r="AV711" s="213"/>
      <c r="AW711" s="213"/>
      <c r="AX711" s="213"/>
      <c r="AY711" s="213"/>
      <c r="AZ711" s="213"/>
      <c r="BA711" s="213"/>
      <c r="BB711" s="213"/>
      <c r="BC711" s="213"/>
      <c r="BD711" s="213"/>
    </row>
    <row r="712">
      <c r="A712" s="213">
        <f>IFERROR(__xludf.DUMMYFUNCTION("""COMPUTED_VALUE"""),1371.0)</f>
        <v>1371</v>
      </c>
      <c r="B712" s="213" t="str">
        <f>IFERROR(__xludf.DUMMYFUNCTION("""COMPUTED_VALUE"""),"GUILLERMO E. BILLINGHURST ")</f>
        <v>GUILLERMO E. BILLINGHURST </v>
      </c>
      <c r="C712" s="213" t="str">
        <f>IFERROR(__xludf.DUMMYFUNCTION("""COMPUTED_VALUE"""),"TALLER SFT DE INDUSTRIA ALIMENTARIA")</f>
        <v>TALLER SFT DE INDUSTRIA ALIMENTARIA</v>
      </c>
      <c r="D712" s="213" t="str">
        <f>IFERROR(__xludf.DUMMYFUNCTION("""COMPUTED_VALUE"""),"HERRAMIENTAS")</f>
        <v>HERRAMIENTAS</v>
      </c>
      <c r="E712" s="213" t="str">
        <f>IFERROR(__xludf.DUMMYFUNCTION("""COMPUTED_VALUE"""),"COM-276")</f>
        <v>COM-276</v>
      </c>
      <c r="F712" s="213" t="str">
        <f>IFERROR(__xludf.DUMMYFUNCTION("""COMPUTED_VALUE"""),"COM-276")</f>
        <v>COM-276</v>
      </c>
      <c r="G712" s="213"/>
      <c r="H712" s="213" t="str">
        <f>IFERROR(__xludf.DUMMYFUNCTION("""COMPUTED_VALUE"""),"REFRACTOMETRO MANUAL  0-32")</f>
        <v>REFRACTOMETRO MANUAL  0-32</v>
      </c>
      <c r="I712" s="213"/>
      <c r="J712" s="213">
        <f>IFERROR(__xludf.DUMMYFUNCTION("""COMPUTED_VALUE"""),3.0)</f>
        <v>3</v>
      </c>
      <c r="K712" s="213" t="str">
        <f>IFERROR(__xludf.DUMMYFUNCTION("""COMPUTED_VALUE"""),"90 DÍAS CALENDARIO")</f>
        <v>90 DÍAS CALENDARIO</v>
      </c>
      <c r="L712" s="213" t="str">
        <f>IFERROR(__xludf.DUMMYFUNCTION("""COMPUTED_VALUE"""),"")</f>
        <v/>
      </c>
      <c r="M712" s="213">
        <f>IFERROR(__xludf.DUMMYFUNCTION("""COMPUTED_VALUE"""),1.0)</f>
        <v>1</v>
      </c>
      <c r="N712" s="213">
        <f>IFERROR(__xludf.DUMMYFUNCTION("""COMPUTED_VALUE"""),4.0)</f>
        <v>4</v>
      </c>
      <c r="O712" s="213">
        <f>IFERROR(__xludf.DUMMYFUNCTION("""COMPUTED_VALUE"""),4.0)</f>
        <v>4</v>
      </c>
      <c r="P712" s="213"/>
      <c r="Q712" s="213"/>
      <c r="R712" s="213" t="str">
        <f>IFERROR(__xludf.DUMMYFUNCTION("""COMPUTED_VALUE"""),"SI")</f>
        <v>SI</v>
      </c>
      <c r="S712" s="213"/>
      <c r="T712" s="213" t="str">
        <f>IFERROR(__xludf.DUMMYFUNCTION("""COMPUTED_VALUE"""),"CONSULTA FINAL")</f>
        <v>CONSULTA FINAL</v>
      </c>
      <c r="U712" s="213" t="str">
        <f>IFERROR(__xludf.DUMMYFUNCTION("""COMPUTED_VALUE"""),"NO")</f>
        <v>NO</v>
      </c>
      <c r="V712" s="213" t="str">
        <f>IFERROR(__xludf.DUMMYFUNCTION("""COMPUTED_VALUE"""),"SUSTENTO")</f>
        <v>SUSTENTO</v>
      </c>
      <c r="W712" s="213" t="str">
        <f>IFERROR(__xludf.DUMMYFUNCTION("""COMPUTED_VALUE"""),"DIMENSIONAL")</f>
        <v>DIMENSIONAL</v>
      </c>
      <c r="X712" s="213" t="str">
        <f>IFERROR(__xludf.DUMMYFUNCTION("""COMPUTED_VALUE"""),"ATC")</f>
        <v>ATC</v>
      </c>
      <c r="Y712" s="213" t="str">
        <f>IFERROR(__xludf.DUMMYFUNCTION("""COMPUTED_VALUE"""),"ATC")</f>
        <v>ATC</v>
      </c>
      <c r="Z712" s="215" t="str">
        <f>IFERROR(__xludf.DUMMYFUNCTION("""COMPUTED_VALUE"""),"https://www.alphaaquaculture.pe/producto/refractometro-de-0-100-oo-salinidad/?srsltid=AfmBOoqgqddgJBwCZTYEReZmqJ944KJthQZXRd32j5WhA9tcF_2Kb57C")</f>
        <v>https://www.alphaaquaculture.pe/producto/refractometro-de-0-100-oo-salinidad/?srsltid=AfmBOoqgqddgJBwCZTYEReZmqJ944KJthQZXRd32j5WhA9tcF_2Kb57C</v>
      </c>
      <c r="AA712" s="213" t="str">
        <f>IFERROR(__xludf.DUMMYFUNCTION("""COMPUTED_VALUE"""),"COM-276 REFRACTOMETRO MANUAL 0-32 - CET")</f>
        <v>COM-276 REFRACTOMETRO MANUAL 0-32 - CET</v>
      </c>
      <c r="AB712" s="213"/>
      <c r="AC712" s="213"/>
      <c r="AD712" s="213"/>
      <c r="AE712" s="213"/>
      <c r="AF712" s="213"/>
      <c r="AG712" s="213"/>
      <c r="AH712" s="213"/>
      <c r="AI712" s="213"/>
      <c r="AJ712" s="213"/>
      <c r="AK712" s="213"/>
      <c r="AL712" s="213"/>
      <c r="AM712" s="213"/>
      <c r="AN712" s="213"/>
      <c r="AO712" s="213"/>
      <c r="AP712" s="213" t="str">
        <f>IFERROR(__xludf.DUMMYFUNCTION("""COMPUTED_VALUE"""),"LUIS")</f>
        <v>LUIS</v>
      </c>
      <c r="AQ712" s="213"/>
      <c r="AR712" s="213"/>
      <c r="AS712" s="213"/>
      <c r="AT712" s="213"/>
      <c r="AU712" s="213"/>
      <c r="AV712" s="213"/>
      <c r="AW712" s="213"/>
      <c r="AX712" s="213"/>
      <c r="AY712" s="213"/>
      <c r="AZ712" s="213"/>
      <c r="BA712" s="213"/>
      <c r="BB712" s="213"/>
      <c r="BC712" s="213"/>
      <c r="BD712" s="213"/>
    </row>
    <row r="713">
      <c r="A713" s="213">
        <f>IFERROR(__xludf.DUMMYFUNCTION("""COMPUTED_VALUE"""),2058.0)</f>
        <v>2058</v>
      </c>
      <c r="B713" s="213" t="str">
        <f>IFERROR(__xludf.DUMMYFUNCTION("""COMPUTED_VALUE"""),"JOSE GRANDA")</f>
        <v>JOSE GRANDA</v>
      </c>
      <c r="C713" s="213" t="str">
        <f>IFERROR(__xludf.DUMMYFUNCTION("""COMPUTED_VALUE"""),"TALLER SFT DE INDUSTRIA ALIMENTARIA")</f>
        <v>TALLER SFT DE INDUSTRIA ALIMENTARIA</v>
      </c>
      <c r="D713" s="213" t="str">
        <f>IFERROR(__xludf.DUMMYFUNCTION("""COMPUTED_VALUE"""),"HERRAMIENTAS")</f>
        <v>HERRAMIENTAS</v>
      </c>
      <c r="E713" s="213" t="str">
        <f>IFERROR(__xludf.DUMMYFUNCTION("""COMPUTED_VALUE"""),"COM-276")</f>
        <v>COM-276</v>
      </c>
      <c r="F713" s="213" t="str">
        <f>IFERROR(__xludf.DUMMYFUNCTION("""COMPUTED_VALUE"""),"COM-276")</f>
        <v>COM-276</v>
      </c>
      <c r="G713" s="213"/>
      <c r="H713" s="213" t="str">
        <f>IFERROR(__xludf.DUMMYFUNCTION("""COMPUTED_VALUE"""),"REFRACTOMETRO MANUAL  0-32")</f>
        <v>REFRACTOMETRO MANUAL  0-32</v>
      </c>
      <c r="I713" s="213"/>
      <c r="J713" s="213">
        <f>IFERROR(__xludf.DUMMYFUNCTION("""COMPUTED_VALUE"""),3.0)</f>
        <v>3</v>
      </c>
      <c r="K713" s="213" t="str">
        <f>IFERROR(__xludf.DUMMYFUNCTION("""COMPUTED_VALUE"""),"90 DÍAS CALENDARIO")</f>
        <v>90 DÍAS CALENDARIO</v>
      </c>
      <c r="L713" s="213" t="str">
        <f>IFERROR(__xludf.DUMMYFUNCTION("""COMPUTED_VALUE"""),"")</f>
        <v/>
      </c>
      <c r="M713" s="213">
        <f>IFERROR(__xludf.DUMMYFUNCTION("""COMPUTED_VALUE"""),1.0)</f>
        <v>1</v>
      </c>
      <c r="N713" s="213">
        <f>IFERROR(__xludf.DUMMYFUNCTION("""COMPUTED_VALUE"""),4.0)</f>
        <v>4</v>
      </c>
      <c r="O713" s="213">
        <f>IFERROR(__xludf.DUMMYFUNCTION("""COMPUTED_VALUE"""),4.0)</f>
        <v>4</v>
      </c>
      <c r="P713" s="213"/>
      <c r="Q713" s="213"/>
      <c r="R713" s="213" t="str">
        <f>IFERROR(__xludf.DUMMYFUNCTION("""COMPUTED_VALUE"""),"SI")</f>
        <v>SI</v>
      </c>
      <c r="S713" s="213"/>
      <c r="T713" s="213" t="str">
        <f>IFERROR(__xludf.DUMMYFUNCTION("""COMPUTED_VALUE"""),"CONSULTA FINAL")</f>
        <v>CONSULTA FINAL</v>
      </c>
      <c r="U713" s="213" t="str">
        <f>IFERROR(__xludf.DUMMYFUNCTION("""COMPUTED_VALUE"""),"NO")</f>
        <v>NO</v>
      </c>
      <c r="V713" s="213" t="str">
        <f>IFERROR(__xludf.DUMMYFUNCTION("""COMPUTED_VALUE"""),"SUSTENTO")</f>
        <v>SUSTENTO</v>
      </c>
      <c r="W713" s="213" t="str">
        <f>IFERROR(__xludf.DUMMYFUNCTION("""COMPUTED_VALUE"""),"DIMENSIONAL")</f>
        <v>DIMENSIONAL</v>
      </c>
      <c r="X713" s="213" t="str">
        <f>IFERROR(__xludf.DUMMYFUNCTION("""COMPUTED_VALUE"""),"ATC")</f>
        <v>ATC</v>
      </c>
      <c r="Y713" s="213" t="str">
        <f>IFERROR(__xludf.DUMMYFUNCTION("""COMPUTED_VALUE"""),"ATC")</f>
        <v>ATC</v>
      </c>
      <c r="Z713" s="215" t="str">
        <f>IFERROR(__xludf.DUMMYFUNCTION("""COMPUTED_VALUE"""),"https://www.alphaaquaculture.pe/producto/refractometro-de-0-100-oo-salinidad/?srsltid=AfmBOoqgqddgJBwCZTYEReZmqJ944KJthQZXRd32j5WhA9tcF_2Kb57C")</f>
        <v>https://www.alphaaquaculture.pe/producto/refractometro-de-0-100-oo-salinidad/?srsltid=AfmBOoqgqddgJBwCZTYEReZmqJ944KJthQZXRd32j5WhA9tcF_2Kb57C</v>
      </c>
      <c r="AA713" s="213" t="str">
        <f>IFERROR(__xludf.DUMMYFUNCTION("""COMPUTED_VALUE"""),"COM-276 REFRACTOMETRO MANUAL 0-32 - CET")</f>
        <v>COM-276 REFRACTOMETRO MANUAL 0-32 - CET</v>
      </c>
      <c r="AB713" s="213"/>
      <c r="AC713" s="213"/>
      <c r="AD713" s="213"/>
      <c r="AE713" s="213"/>
      <c r="AF713" s="213"/>
      <c r="AG713" s="213"/>
      <c r="AH713" s="213"/>
      <c r="AI713" s="213"/>
      <c r="AJ713" s="213"/>
      <c r="AK713" s="213"/>
      <c r="AL713" s="213"/>
      <c r="AM713" s="213"/>
      <c r="AN713" s="213"/>
      <c r="AO713" s="213"/>
      <c r="AP713" s="213" t="str">
        <f>IFERROR(__xludf.DUMMYFUNCTION("""COMPUTED_VALUE"""),"LUIS")</f>
        <v>LUIS</v>
      </c>
      <c r="AQ713" s="213"/>
      <c r="AR713" s="213"/>
      <c r="AS713" s="213"/>
      <c r="AT713" s="213"/>
      <c r="AU713" s="213"/>
      <c r="AV713" s="213"/>
      <c r="AW713" s="213"/>
      <c r="AX713" s="213"/>
      <c r="AY713" s="213"/>
      <c r="AZ713" s="213"/>
      <c r="BA713" s="213"/>
      <c r="BB713" s="213"/>
      <c r="BC713" s="213"/>
      <c r="BD713" s="213"/>
    </row>
    <row r="714">
      <c r="A714" s="213">
        <f>IFERROR(__xludf.DUMMYFUNCTION("""COMPUTED_VALUE"""),470.0)</f>
        <v>470</v>
      </c>
      <c r="B714" s="213" t="str">
        <f>IFERROR(__xludf.DUMMYFUNCTION("""COMPUTED_VALUE"""),"2026 SIMON BOLIVAR")</f>
        <v>2026 SIMON BOLIVAR</v>
      </c>
      <c r="C714" s="213" t="str">
        <f>IFERROR(__xludf.DUMMYFUNCTION("""COMPUTED_VALUE"""),"TALLER SFT DE INDUSTRIA ALIMENTARIA")</f>
        <v>TALLER SFT DE INDUSTRIA ALIMENTARIA</v>
      </c>
      <c r="D714" s="213" t="str">
        <f>IFERROR(__xludf.DUMMYFUNCTION("""COMPUTED_VALUE"""),"HERRAMIENTAS")</f>
        <v>HERRAMIENTAS</v>
      </c>
      <c r="E714" s="213" t="str">
        <f>IFERROR(__xludf.DUMMYFUNCTION("""COMPUTED_VALUE"""),"COM-277")</f>
        <v>COM-277</v>
      </c>
      <c r="F714" s="213" t="str">
        <f>IFERROR(__xludf.DUMMYFUNCTION("""COMPUTED_VALUE"""),"COM-277")</f>
        <v>COM-277</v>
      </c>
      <c r="G714" s="213"/>
      <c r="H714" s="213" t="str">
        <f>IFERROR(__xludf.DUMMYFUNCTION("""COMPUTED_VALUE"""),"REFRACTOMETRO MANUAL  0-90")</f>
        <v>REFRACTOMETRO MANUAL  0-90</v>
      </c>
      <c r="I714" s="213" t="str">
        <f>IFERROR(__xludf.DUMMYFUNCTION("""COMPUTED_VALUE"""),"· Rango de medición: 0-90% Brix
· Brix: 0.2% Brix
· Precisión: ±0.2%
· Temperatura de referencia: 20 °C
· Accesorios:
- 01 Caja de plástico de alta densidad
- 01 pipeta de plástico
- 01 destornillador
- 01 paño de limpieza
- 01 manual ingles")</f>
        <v>· Rango de medición: 0-90% Brix
· Brix: 0.2% Brix
· Precisión: ±0.2%
· Temperatura de referencia: 20 °C
· Accesorios:
- 01 Caja de plástico de alta densidad
- 01 pipeta de plástico
- 01 destornillador
- 01 paño de limpieza
- 01 manual ingles</v>
      </c>
      <c r="J714" s="213">
        <f>IFERROR(__xludf.DUMMYFUNCTION("""COMPUTED_VALUE"""),3.0)</f>
        <v>3</v>
      </c>
      <c r="K714" s="213" t="str">
        <f>IFERROR(__xludf.DUMMYFUNCTION("""COMPUTED_VALUE"""),"90 DÍAS CALENDARIO")</f>
        <v>90 DÍAS CALENDARIO</v>
      </c>
      <c r="L714" s="213" t="str">
        <f>IFERROR(__xludf.DUMMYFUNCTION("""COMPUTED_VALUE"""),"")</f>
        <v/>
      </c>
      <c r="M714" s="213">
        <f>IFERROR(__xludf.DUMMYFUNCTION("""COMPUTED_VALUE"""),1.0)</f>
        <v>1</v>
      </c>
      <c r="N714" s="213">
        <f>IFERROR(__xludf.DUMMYFUNCTION("""COMPUTED_VALUE"""),4.0)</f>
        <v>4</v>
      </c>
      <c r="O714" s="213">
        <f>IFERROR(__xludf.DUMMYFUNCTION("""COMPUTED_VALUE"""),4.0)</f>
        <v>4</v>
      </c>
      <c r="P714" s="213"/>
      <c r="Q714" s="213"/>
      <c r="R714" s="213" t="str">
        <f>IFERROR(__xludf.DUMMYFUNCTION("""COMPUTED_VALUE"""),"SI")</f>
        <v>SI</v>
      </c>
      <c r="S714" s="213"/>
      <c r="T714" s="213" t="str">
        <f>IFERROR(__xludf.DUMMYFUNCTION("""COMPUTED_VALUE"""),"SI")</f>
        <v>SI</v>
      </c>
      <c r="U714" s="213" t="str">
        <f>IFERROR(__xludf.DUMMYFUNCTION("""COMPUTED_VALUE"""),"SI")</f>
        <v>SI</v>
      </c>
      <c r="V714" s="213" t="str">
        <f>IFERROR(__xludf.DUMMYFUNCTION("""COMPUTED_VALUE"""),"-")</f>
        <v>-</v>
      </c>
      <c r="W714" s="213" t="str">
        <f>IFERROR(__xludf.DUMMYFUNCTION("""COMPUTED_VALUE"""),"-")</f>
        <v>-</v>
      </c>
      <c r="X714" s="213" t="str">
        <f>IFERROR(__xludf.DUMMYFUNCTION("""COMPUTED_VALUE"""),"OEM")</f>
        <v>OEM</v>
      </c>
      <c r="Y714" s="213" t="str">
        <f>IFERROR(__xludf.DUMMYFUNCTION("""COMPUTED_VALUE"""),"OEM")</f>
        <v>OEM</v>
      </c>
      <c r="Z714" s="215" t="str">
        <f>IFERROR(__xludf.DUMMYFUNCTION("""COMPUTED_VALUE"""),"https://www.promart.pe/refractometro-atc-0-90-brix-azucar-miel-mermelada-jarabe-1000513203/p?srsltid=AfmBOoqqAjdvIYz9rKH9DfV-YQ67t3jKDinZP3GDAplcBc96WOfH8VDW")</f>
        <v>https://www.promart.pe/refractometro-atc-0-90-brix-azucar-miel-mermelada-jarabe-1000513203/p?srsltid=AfmBOoqqAjdvIYz9rKH9DfV-YQ67t3jKDinZP3GDAplcBc96WOfH8VDW</v>
      </c>
      <c r="AA714" s="213" t="str">
        <f>IFERROR(__xludf.DUMMYFUNCTION("""COMPUTED_VALUE"""),"COM-277 REFRACTOMETRO MANUAL 0-90 - CET")</f>
        <v>COM-277 REFRACTOMETRO MANUAL 0-90 - CET</v>
      </c>
      <c r="AB714" s="213"/>
      <c r="AC714" s="213"/>
      <c r="AD714" s="213"/>
      <c r="AE714" s="213"/>
      <c r="AF714" s="213"/>
      <c r="AG714" s="213"/>
      <c r="AH714" s="213"/>
      <c r="AI714" s="213"/>
      <c r="AJ714" s="213"/>
      <c r="AK714" s="213"/>
      <c r="AL714" s="213"/>
      <c r="AM714" s="213"/>
      <c r="AN714" s="213"/>
      <c r="AO714" s="213"/>
      <c r="AP714" s="213" t="str">
        <f>IFERROR(__xludf.DUMMYFUNCTION("""COMPUTED_VALUE"""),"LUIS")</f>
        <v>LUIS</v>
      </c>
      <c r="AQ714" s="213"/>
      <c r="AR714" s="213"/>
      <c r="AS714" s="213"/>
      <c r="AT714" s="213"/>
      <c r="AU714" s="213"/>
      <c r="AV714" s="213"/>
      <c r="AW714" s="213"/>
      <c r="AX714" s="213"/>
      <c r="AY714" s="213"/>
      <c r="AZ714" s="213"/>
      <c r="BA714" s="213"/>
      <c r="BB714" s="213"/>
      <c r="BC714" s="213"/>
      <c r="BD714" s="213"/>
    </row>
    <row r="715">
      <c r="A715" s="213">
        <f>IFERROR(__xludf.DUMMYFUNCTION("""COMPUTED_VALUE"""),1100.0)</f>
        <v>1100</v>
      </c>
      <c r="B715" s="213" t="str">
        <f>IFERROR(__xludf.DUMMYFUNCTION("""COMPUTED_VALUE"""),"FRANCISCO IRAZOLA")</f>
        <v>FRANCISCO IRAZOLA</v>
      </c>
      <c r="C715" s="213" t="str">
        <f>IFERROR(__xludf.DUMMYFUNCTION("""COMPUTED_VALUE"""),"TALLER SFT DE INDUSTRIA ALIMENTARIA")</f>
        <v>TALLER SFT DE INDUSTRIA ALIMENTARIA</v>
      </c>
      <c r="D715" s="213" t="str">
        <f>IFERROR(__xludf.DUMMYFUNCTION("""COMPUTED_VALUE"""),"HERRAMIENTAS")</f>
        <v>HERRAMIENTAS</v>
      </c>
      <c r="E715" s="213" t="str">
        <f>IFERROR(__xludf.DUMMYFUNCTION("""COMPUTED_VALUE"""),"COM-277")</f>
        <v>COM-277</v>
      </c>
      <c r="F715" s="213" t="str">
        <f>IFERROR(__xludf.DUMMYFUNCTION("""COMPUTED_VALUE"""),"COM-277")</f>
        <v>COM-277</v>
      </c>
      <c r="G715" s="213"/>
      <c r="H715" s="213" t="str">
        <f>IFERROR(__xludf.DUMMYFUNCTION("""COMPUTED_VALUE"""),"REFRACTOMETRO MANUAL  0-90")</f>
        <v>REFRACTOMETRO MANUAL  0-90</v>
      </c>
      <c r="I715" s="213" t="str">
        <f>IFERROR(__xludf.DUMMYFUNCTION("""COMPUTED_VALUE"""),"· Rango de medición: 0-90% Brix
· Brix: 0.2% Brix
· Precisión: ±0.2%
· Temperatura de referencia: 20 °C
· Accesorios:
- 01 Caja de plástico de alta densidad
- 01 pipeta de plástico
- 01 destornillador
- 01 paño de limpieza
- 01 manual ingles")</f>
        <v>· Rango de medición: 0-90% Brix
· Brix: 0.2% Brix
· Precisión: ±0.2%
· Temperatura de referencia: 20 °C
· Accesorios:
- 01 Caja de plástico de alta densidad
- 01 pipeta de plástico
- 01 destornillador
- 01 paño de limpieza
- 01 manual ingles</v>
      </c>
      <c r="J715" s="213">
        <f>IFERROR(__xludf.DUMMYFUNCTION("""COMPUTED_VALUE"""),3.0)</f>
        <v>3</v>
      </c>
      <c r="K715" s="213" t="str">
        <f>IFERROR(__xludf.DUMMYFUNCTION("""COMPUTED_VALUE"""),"90 DÍAS CALENDARIO")</f>
        <v>90 DÍAS CALENDARIO</v>
      </c>
      <c r="L715" s="213" t="str">
        <f>IFERROR(__xludf.DUMMYFUNCTION("""COMPUTED_VALUE"""),"")</f>
        <v/>
      </c>
      <c r="M715" s="213">
        <f>IFERROR(__xludf.DUMMYFUNCTION("""COMPUTED_VALUE"""),1.0)</f>
        <v>1</v>
      </c>
      <c r="N715" s="213">
        <f>IFERROR(__xludf.DUMMYFUNCTION("""COMPUTED_VALUE"""),4.0)</f>
        <v>4</v>
      </c>
      <c r="O715" s="213">
        <f>IFERROR(__xludf.DUMMYFUNCTION("""COMPUTED_VALUE"""),4.0)</f>
        <v>4</v>
      </c>
      <c r="P715" s="213"/>
      <c r="Q715" s="213"/>
      <c r="R715" s="213" t="str">
        <f>IFERROR(__xludf.DUMMYFUNCTION("""COMPUTED_VALUE"""),"SI")</f>
        <v>SI</v>
      </c>
      <c r="S715" s="213"/>
      <c r="T715" s="213" t="str">
        <f>IFERROR(__xludf.DUMMYFUNCTION("""COMPUTED_VALUE"""),"SI")</f>
        <v>SI</v>
      </c>
      <c r="U715" s="213" t="str">
        <f>IFERROR(__xludf.DUMMYFUNCTION("""COMPUTED_VALUE"""),"SI")</f>
        <v>SI</v>
      </c>
      <c r="V715" s="213" t="str">
        <f>IFERROR(__xludf.DUMMYFUNCTION("""COMPUTED_VALUE"""),"-")</f>
        <v>-</v>
      </c>
      <c r="W715" s="213" t="str">
        <f>IFERROR(__xludf.DUMMYFUNCTION("""COMPUTED_VALUE"""),"-")</f>
        <v>-</v>
      </c>
      <c r="X715" s="213" t="str">
        <f>IFERROR(__xludf.DUMMYFUNCTION("""COMPUTED_VALUE"""),"OEM")</f>
        <v>OEM</v>
      </c>
      <c r="Y715" s="213" t="str">
        <f>IFERROR(__xludf.DUMMYFUNCTION("""COMPUTED_VALUE"""),"OEM")</f>
        <v>OEM</v>
      </c>
      <c r="Z715" s="215" t="str">
        <f>IFERROR(__xludf.DUMMYFUNCTION("""COMPUTED_VALUE"""),"https://www.promart.pe/refractometro-atc-0-90-brix-azucar-miel-mermelada-jarabe-1000513203/p?srsltid=AfmBOoqqAjdvIYz9rKH9DfV-YQ67t3jKDinZP3GDAplcBc96WOfH8VDW")</f>
        <v>https://www.promart.pe/refractometro-atc-0-90-brix-azucar-miel-mermelada-jarabe-1000513203/p?srsltid=AfmBOoqqAjdvIYz9rKH9DfV-YQ67t3jKDinZP3GDAplcBc96WOfH8VDW</v>
      </c>
      <c r="AA715" s="213" t="str">
        <f>IFERROR(__xludf.DUMMYFUNCTION("""COMPUTED_VALUE"""),"COM-277 REFRACTOMETRO MANUAL 0-90 - CET")</f>
        <v>COM-277 REFRACTOMETRO MANUAL 0-90 - CET</v>
      </c>
      <c r="AB715" s="213"/>
      <c r="AC715" s="213"/>
      <c r="AD715" s="213"/>
      <c r="AE715" s="213"/>
      <c r="AF715" s="213"/>
      <c r="AG715" s="213"/>
      <c r="AH715" s="213"/>
      <c r="AI715" s="213"/>
      <c r="AJ715" s="213"/>
      <c r="AK715" s="213"/>
      <c r="AL715" s="213"/>
      <c r="AM715" s="213"/>
      <c r="AN715" s="213"/>
      <c r="AO715" s="213"/>
      <c r="AP715" s="213" t="str">
        <f>IFERROR(__xludf.DUMMYFUNCTION("""COMPUTED_VALUE"""),"LUIS")</f>
        <v>LUIS</v>
      </c>
      <c r="AQ715" s="213"/>
      <c r="AR715" s="213"/>
      <c r="AS715" s="213"/>
      <c r="AT715" s="213"/>
      <c r="AU715" s="213"/>
      <c r="AV715" s="213"/>
      <c r="AW715" s="213"/>
      <c r="AX715" s="213"/>
      <c r="AY715" s="213"/>
      <c r="AZ715" s="213"/>
      <c r="BA715" s="213"/>
      <c r="BB715" s="213"/>
      <c r="BC715" s="213"/>
      <c r="BD715" s="213"/>
    </row>
    <row r="716">
      <c r="A716" s="213">
        <f>IFERROR(__xludf.DUMMYFUNCTION("""COMPUTED_VALUE"""),1372.0)</f>
        <v>1372</v>
      </c>
      <c r="B716" s="213" t="str">
        <f>IFERROR(__xludf.DUMMYFUNCTION("""COMPUTED_VALUE"""),"GUILLERMO E. BILLINGHURST ")</f>
        <v>GUILLERMO E. BILLINGHURST </v>
      </c>
      <c r="C716" s="213" t="str">
        <f>IFERROR(__xludf.DUMMYFUNCTION("""COMPUTED_VALUE"""),"TALLER SFT DE INDUSTRIA ALIMENTARIA")</f>
        <v>TALLER SFT DE INDUSTRIA ALIMENTARIA</v>
      </c>
      <c r="D716" s="213" t="str">
        <f>IFERROR(__xludf.DUMMYFUNCTION("""COMPUTED_VALUE"""),"HERRAMIENTAS")</f>
        <v>HERRAMIENTAS</v>
      </c>
      <c r="E716" s="213" t="str">
        <f>IFERROR(__xludf.DUMMYFUNCTION("""COMPUTED_VALUE"""),"COM-277")</f>
        <v>COM-277</v>
      </c>
      <c r="F716" s="213" t="str">
        <f>IFERROR(__xludf.DUMMYFUNCTION("""COMPUTED_VALUE"""),"COM-277")</f>
        <v>COM-277</v>
      </c>
      <c r="G716" s="213"/>
      <c r="H716" s="213" t="str">
        <f>IFERROR(__xludf.DUMMYFUNCTION("""COMPUTED_VALUE"""),"REFRACTOMETRO MANUAL  0-90")</f>
        <v>REFRACTOMETRO MANUAL  0-90</v>
      </c>
      <c r="I716" s="213" t="str">
        <f>IFERROR(__xludf.DUMMYFUNCTION("""COMPUTED_VALUE"""),"· Rango de medición: 0-90% Brix
· Brix: 0.2% Brix
· Precisión: ±0.2%
· Temperatura de referencia: 20 °C
· Accesorios:
- 01 Caja de plástico de alta densidad
- 01 pipeta de plástico
- 01 destornillador
- 01 paño de limpieza
- 01 manual ingles")</f>
        <v>· Rango de medición: 0-90% Brix
· Brix: 0.2% Brix
· Precisión: ±0.2%
· Temperatura de referencia: 20 °C
· Accesorios:
- 01 Caja de plástico de alta densidad
- 01 pipeta de plástico
- 01 destornillador
- 01 paño de limpieza
- 01 manual ingles</v>
      </c>
      <c r="J716" s="213">
        <f>IFERROR(__xludf.DUMMYFUNCTION("""COMPUTED_VALUE"""),3.0)</f>
        <v>3</v>
      </c>
      <c r="K716" s="213" t="str">
        <f>IFERROR(__xludf.DUMMYFUNCTION("""COMPUTED_VALUE"""),"90 DÍAS CALENDARIO")</f>
        <v>90 DÍAS CALENDARIO</v>
      </c>
      <c r="L716" s="213" t="str">
        <f>IFERROR(__xludf.DUMMYFUNCTION("""COMPUTED_VALUE"""),"")</f>
        <v/>
      </c>
      <c r="M716" s="213">
        <f>IFERROR(__xludf.DUMMYFUNCTION("""COMPUTED_VALUE"""),1.0)</f>
        <v>1</v>
      </c>
      <c r="N716" s="213">
        <f>IFERROR(__xludf.DUMMYFUNCTION("""COMPUTED_VALUE"""),4.0)</f>
        <v>4</v>
      </c>
      <c r="O716" s="213">
        <f>IFERROR(__xludf.DUMMYFUNCTION("""COMPUTED_VALUE"""),4.0)</f>
        <v>4</v>
      </c>
      <c r="P716" s="213"/>
      <c r="Q716" s="213"/>
      <c r="R716" s="213" t="str">
        <f>IFERROR(__xludf.DUMMYFUNCTION("""COMPUTED_VALUE"""),"SI")</f>
        <v>SI</v>
      </c>
      <c r="S716" s="213"/>
      <c r="T716" s="213" t="str">
        <f>IFERROR(__xludf.DUMMYFUNCTION("""COMPUTED_VALUE"""),"SI")</f>
        <v>SI</v>
      </c>
      <c r="U716" s="213" t="str">
        <f>IFERROR(__xludf.DUMMYFUNCTION("""COMPUTED_VALUE"""),"SI")</f>
        <v>SI</v>
      </c>
      <c r="V716" s="213" t="str">
        <f>IFERROR(__xludf.DUMMYFUNCTION("""COMPUTED_VALUE"""),"-")</f>
        <v>-</v>
      </c>
      <c r="W716" s="213" t="str">
        <f>IFERROR(__xludf.DUMMYFUNCTION("""COMPUTED_VALUE"""),"-")</f>
        <v>-</v>
      </c>
      <c r="X716" s="213" t="str">
        <f>IFERROR(__xludf.DUMMYFUNCTION("""COMPUTED_VALUE"""),"OEM")</f>
        <v>OEM</v>
      </c>
      <c r="Y716" s="213" t="str">
        <f>IFERROR(__xludf.DUMMYFUNCTION("""COMPUTED_VALUE"""),"OEM")</f>
        <v>OEM</v>
      </c>
      <c r="Z716" s="215" t="str">
        <f>IFERROR(__xludf.DUMMYFUNCTION("""COMPUTED_VALUE"""),"https://www.promart.pe/refractometro-atc-0-90-brix-azucar-miel-mermelada-jarabe-1000513203/p?srsltid=AfmBOoqqAjdvIYz9rKH9DfV-YQ67t3jKDinZP3GDAplcBc96WOfH8VDW")</f>
        <v>https://www.promart.pe/refractometro-atc-0-90-brix-azucar-miel-mermelada-jarabe-1000513203/p?srsltid=AfmBOoqqAjdvIYz9rKH9DfV-YQ67t3jKDinZP3GDAplcBc96WOfH8VDW</v>
      </c>
      <c r="AA716" s="213" t="str">
        <f>IFERROR(__xludf.DUMMYFUNCTION("""COMPUTED_VALUE"""),"COM-277 REFRACTOMETRO MANUAL 0-90 - CET")</f>
        <v>COM-277 REFRACTOMETRO MANUAL 0-90 - CET</v>
      </c>
      <c r="AB716" s="213"/>
      <c r="AC716" s="213"/>
      <c r="AD716" s="213"/>
      <c r="AE716" s="213"/>
      <c r="AF716" s="213"/>
      <c r="AG716" s="213"/>
      <c r="AH716" s="213"/>
      <c r="AI716" s="213"/>
      <c r="AJ716" s="213"/>
      <c r="AK716" s="213"/>
      <c r="AL716" s="213"/>
      <c r="AM716" s="213"/>
      <c r="AN716" s="213"/>
      <c r="AO716" s="213"/>
      <c r="AP716" s="213" t="str">
        <f>IFERROR(__xludf.DUMMYFUNCTION("""COMPUTED_VALUE"""),"LUIS")</f>
        <v>LUIS</v>
      </c>
      <c r="AQ716" s="213"/>
      <c r="AR716" s="213"/>
      <c r="AS716" s="213"/>
      <c r="AT716" s="213"/>
      <c r="AU716" s="213"/>
      <c r="AV716" s="213"/>
      <c r="AW716" s="213"/>
      <c r="AX716" s="213"/>
      <c r="AY716" s="213"/>
      <c r="AZ716" s="213"/>
      <c r="BA716" s="213"/>
      <c r="BB716" s="213"/>
      <c r="BC716" s="213"/>
      <c r="BD716" s="213"/>
    </row>
    <row r="717">
      <c r="A717" s="213">
        <f>IFERROR(__xludf.DUMMYFUNCTION("""COMPUTED_VALUE"""),2059.0)</f>
        <v>2059</v>
      </c>
      <c r="B717" s="213" t="str">
        <f>IFERROR(__xludf.DUMMYFUNCTION("""COMPUTED_VALUE"""),"JOSE GRANDA")</f>
        <v>JOSE GRANDA</v>
      </c>
      <c r="C717" s="213" t="str">
        <f>IFERROR(__xludf.DUMMYFUNCTION("""COMPUTED_VALUE"""),"TALLER SFT DE INDUSTRIA ALIMENTARIA")</f>
        <v>TALLER SFT DE INDUSTRIA ALIMENTARIA</v>
      </c>
      <c r="D717" s="213" t="str">
        <f>IFERROR(__xludf.DUMMYFUNCTION("""COMPUTED_VALUE"""),"HERRAMIENTAS")</f>
        <v>HERRAMIENTAS</v>
      </c>
      <c r="E717" s="213" t="str">
        <f>IFERROR(__xludf.DUMMYFUNCTION("""COMPUTED_VALUE"""),"COM-277")</f>
        <v>COM-277</v>
      </c>
      <c r="F717" s="213" t="str">
        <f>IFERROR(__xludf.DUMMYFUNCTION("""COMPUTED_VALUE"""),"COM-277")</f>
        <v>COM-277</v>
      </c>
      <c r="G717" s="213"/>
      <c r="H717" s="213" t="str">
        <f>IFERROR(__xludf.DUMMYFUNCTION("""COMPUTED_VALUE"""),"REFRACTOMETRO MANUAL  0-90")</f>
        <v>REFRACTOMETRO MANUAL  0-90</v>
      </c>
      <c r="I717" s="213" t="str">
        <f>IFERROR(__xludf.DUMMYFUNCTION("""COMPUTED_VALUE"""),"· Rango de medición: 0-90% Brix
· Brix: 0.2% Brix
· Precisión: ±0.2%
· Temperatura de referencia: 20 °C
· Accesorios:
- 01 Caja de plástico de alta densidad
- 01 pipeta de plástico
- 01 destornillador
- 01 paño de limpieza
- 01 manual ingles")</f>
        <v>· Rango de medición: 0-90% Brix
· Brix: 0.2% Brix
· Precisión: ±0.2%
· Temperatura de referencia: 20 °C
· Accesorios:
- 01 Caja de plástico de alta densidad
- 01 pipeta de plástico
- 01 destornillador
- 01 paño de limpieza
- 01 manual ingles</v>
      </c>
      <c r="J717" s="213">
        <f>IFERROR(__xludf.DUMMYFUNCTION("""COMPUTED_VALUE"""),3.0)</f>
        <v>3</v>
      </c>
      <c r="K717" s="213" t="str">
        <f>IFERROR(__xludf.DUMMYFUNCTION("""COMPUTED_VALUE"""),"90 DÍAS CALENDARIO")</f>
        <v>90 DÍAS CALENDARIO</v>
      </c>
      <c r="L717" s="213" t="str">
        <f>IFERROR(__xludf.DUMMYFUNCTION("""COMPUTED_VALUE"""),"")</f>
        <v/>
      </c>
      <c r="M717" s="213">
        <f>IFERROR(__xludf.DUMMYFUNCTION("""COMPUTED_VALUE"""),1.0)</f>
        <v>1</v>
      </c>
      <c r="N717" s="213">
        <f>IFERROR(__xludf.DUMMYFUNCTION("""COMPUTED_VALUE"""),4.0)</f>
        <v>4</v>
      </c>
      <c r="O717" s="213">
        <f>IFERROR(__xludf.DUMMYFUNCTION("""COMPUTED_VALUE"""),4.0)</f>
        <v>4</v>
      </c>
      <c r="P717" s="213"/>
      <c r="Q717" s="213"/>
      <c r="R717" s="213" t="str">
        <f>IFERROR(__xludf.DUMMYFUNCTION("""COMPUTED_VALUE"""),"SI")</f>
        <v>SI</v>
      </c>
      <c r="S717" s="213"/>
      <c r="T717" s="213" t="str">
        <f>IFERROR(__xludf.DUMMYFUNCTION("""COMPUTED_VALUE"""),"SI")</f>
        <v>SI</v>
      </c>
      <c r="U717" s="213" t="str">
        <f>IFERROR(__xludf.DUMMYFUNCTION("""COMPUTED_VALUE"""),"SI")</f>
        <v>SI</v>
      </c>
      <c r="V717" s="213" t="str">
        <f>IFERROR(__xludf.DUMMYFUNCTION("""COMPUTED_VALUE"""),"-")</f>
        <v>-</v>
      </c>
      <c r="W717" s="213" t="str">
        <f>IFERROR(__xludf.DUMMYFUNCTION("""COMPUTED_VALUE"""),"-")</f>
        <v>-</v>
      </c>
      <c r="X717" s="213" t="str">
        <f>IFERROR(__xludf.DUMMYFUNCTION("""COMPUTED_VALUE"""),"OEM")</f>
        <v>OEM</v>
      </c>
      <c r="Y717" s="213" t="str">
        <f>IFERROR(__xludf.DUMMYFUNCTION("""COMPUTED_VALUE"""),"OEM")</f>
        <v>OEM</v>
      </c>
      <c r="Z717" s="215" t="str">
        <f>IFERROR(__xludf.DUMMYFUNCTION("""COMPUTED_VALUE"""),"https://www.promart.pe/refractometro-atc-0-90-brix-azucar-miel-mermelada-jarabe-1000513203/p?srsltid=AfmBOoqqAjdvIYz9rKH9DfV-YQ67t3jKDinZP3GDAplcBc96WOfH8VDW")</f>
        <v>https://www.promart.pe/refractometro-atc-0-90-brix-azucar-miel-mermelada-jarabe-1000513203/p?srsltid=AfmBOoqqAjdvIYz9rKH9DfV-YQ67t3jKDinZP3GDAplcBc96WOfH8VDW</v>
      </c>
      <c r="AA717" s="213" t="str">
        <f>IFERROR(__xludf.DUMMYFUNCTION("""COMPUTED_VALUE"""),"COM-277 REFRACTOMETRO MANUAL 0-90 - CET")</f>
        <v>COM-277 REFRACTOMETRO MANUAL 0-90 - CET</v>
      </c>
      <c r="AB717" s="213"/>
      <c r="AC717" s="213"/>
      <c r="AD717" s="213"/>
      <c r="AE717" s="213"/>
      <c r="AF717" s="213"/>
      <c r="AG717" s="213"/>
      <c r="AH717" s="213"/>
      <c r="AI717" s="213"/>
      <c r="AJ717" s="213"/>
      <c r="AK717" s="213"/>
      <c r="AL717" s="213"/>
      <c r="AM717" s="213"/>
      <c r="AN717" s="213"/>
      <c r="AO717" s="213"/>
      <c r="AP717" s="213" t="str">
        <f>IFERROR(__xludf.DUMMYFUNCTION("""COMPUTED_VALUE"""),"LUIS")</f>
        <v>LUIS</v>
      </c>
      <c r="AQ717" s="213"/>
      <c r="AR717" s="213"/>
      <c r="AS717" s="213"/>
      <c r="AT717" s="213"/>
      <c r="AU717" s="213"/>
      <c r="AV717" s="213"/>
      <c r="AW717" s="213"/>
      <c r="AX717" s="213"/>
      <c r="AY717" s="213"/>
      <c r="AZ717" s="213"/>
      <c r="BA717" s="213"/>
      <c r="BB717" s="213"/>
      <c r="BC717" s="213"/>
      <c r="BD717" s="213"/>
    </row>
    <row r="718">
      <c r="A718" s="213">
        <f>IFERROR(__xludf.DUMMYFUNCTION("""COMPUTED_VALUE"""),2482.0)</f>
        <v>2482</v>
      </c>
      <c r="B718" s="213" t="str">
        <f>IFERROR(__xludf.DUMMYFUNCTION("""COMPUTED_VALUE"""),"MANUEL ANTONIO MESONES MURO")</f>
        <v>MANUEL ANTONIO MESONES MURO</v>
      </c>
      <c r="C718" s="213" t="str">
        <f>IFERROR(__xludf.DUMMYFUNCTION("""COMPUTED_VALUE"""),"TALLER SFT DE CONSTRUCCIONES METÁLICAS")</f>
        <v>TALLER SFT DE CONSTRUCCIONES METÁLICAS</v>
      </c>
      <c r="D718" s="213" t="str">
        <f>IFERROR(__xludf.DUMMYFUNCTION("""COMPUTED_VALUE"""),"HERRAMIENTAS")</f>
        <v>HERRAMIENTAS</v>
      </c>
      <c r="E718" s="213" t="str">
        <f>IFERROR(__xludf.DUMMYFUNCTION("""COMPUTED_VALUE"""),"COM-172")</f>
        <v>COM-172</v>
      </c>
      <c r="F718" s="213" t="str">
        <f>IFERROR(__xludf.DUMMYFUNCTION("""COMPUTED_VALUE"""),"COM-172-Y")</f>
        <v>COM-172-Y</v>
      </c>
      <c r="G718" s="213"/>
      <c r="H718" s="213" t="str">
        <f>IFERROR(__xludf.DUMMYFUNCTION("""COMPUTED_VALUE"""),"GONIÓMETRO DIGITAL")</f>
        <v>GONIÓMETRO DIGITAL</v>
      </c>
      <c r="I718" s="213" t="str">
        <f>IFERROR(__xludf.DUMMYFUNCTION("""COMPUTED_VALUE"""),"Voltaje: 1.5 V
-       Potencia eléctrica 0.08 Watios
-       Amperaje: 0.05 A
-       Alcance de temperatura operativa -10 – 50°C pantalla incorporada
-       Tipo: medir ángulos
-       Tipo de batería alcalina AA")</f>
        <v>Voltaje: 1.5 V
-       Potencia eléctrica 0.08 Watios
-       Amperaje: 0.05 A
-       Alcance de temperatura operativa -10 – 50°C pantalla incorporada
-       Tipo: medir ángulos
-       Tipo de batería alcalina AA</v>
      </c>
      <c r="J718" s="213">
        <f>IFERROR(__xludf.DUMMYFUNCTION("""COMPUTED_VALUE"""),3.0)</f>
        <v>3</v>
      </c>
      <c r="K718" s="213" t="str">
        <f>IFERROR(__xludf.DUMMYFUNCTION("""COMPUTED_VALUE"""),"90 DÍAS CALENDARIO")</f>
        <v>90 DÍAS CALENDARIO</v>
      </c>
      <c r="L718" s="213" t="str">
        <f>IFERROR(__xludf.DUMMYFUNCTION("""COMPUTED_VALUE"""),"")</f>
        <v/>
      </c>
      <c r="M718" s="213">
        <f>IFERROR(__xludf.DUMMYFUNCTION("""COMPUTED_VALUE"""),1.0)</f>
        <v>1</v>
      </c>
      <c r="N718" s="213">
        <f>IFERROR(__xludf.DUMMYFUNCTION("""COMPUTED_VALUE"""),5.0)</f>
        <v>5</v>
      </c>
      <c r="O718" s="213">
        <f>IFERROR(__xludf.DUMMYFUNCTION("""COMPUTED_VALUE"""),5.0)</f>
        <v>5</v>
      </c>
      <c r="P718" s="213"/>
      <c r="Q718" s="213"/>
      <c r="R718" s="213" t="str">
        <f>IFERROR(__xludf.DUMMYFUNCTION("""COMPUTED_VALUE"""),"SI")</f>
        <v>SI</v>
      </c>
      <c r="S718" s="213"/>
      <c r="T718" s="213" t="str">
        <f>IFERROR(__xludf.DUMMYFUNCTION("""COMPUTED_VALUE"""),"SI")</f>
        <v>SI</v>
      </c>
      <c r="U718" s="213" t="str">
        <f>IFERROR(__xludf.DUMMYFUNCTION("""COMPUTED_VALUE"""),"SI")</f>
        <v>SI</v>
      </c>
      <c r="V718" s="213" t="str">
        <f>IFERROR(__xludf.DUMMYFUNCTION("""COMPUTED_VALUE"""),"-")</f>
        <v>-</v>
      </c>
      <c r="W718" s="213" t="str">
        <f>IFERROR(__xludf.DUMMYFUNCTION("""COMPUTED_VALUE"""),"-")</f>
        <v>-</v>
      </c>
      <c r="X718" s="213" t="str">
        <f>IFERROR(__xludf.DUMMYFUNCTION("""COMPUTED_VALUE"""),"BOSCH")</f>
        <v>BOSCH</v>
      </c>
      <c r="Y718" s="213" t="str">
        <f>IFERROR(__xludf.DUMMYFUNCTION("""COMPUTED_VALUE"""),"GAM 220 MF")</f>
        <v>GAM 220 MF</v>
      </c>
      <c r="Z718" s="215" t="str">
        <f>IFERROR(__xludf.DUMMYFUNCTION("""COMPUTED_VALUE"""),"https://www.bosch-professional.com/pe/es/products/gam-220-mf-0601076600")</f>
        <v>https://www.bosch-professional.com/pe/es/products/gam-220-mf-0601076600</v>
      </c>
      <c r="AA718" s="213" t="str">
        <f>IFERROR(__xludf.DUMMYFUNCTION("""COMPUTED_VALUE"""),"COM-172-Y GONIOMETRO DIGITAL - CET")</f>
        <v>COM-172-Y GONIOMETRO DIGITAL - CET</v>
      </c>
      <c r="AB718" s="213"/>
      <c r="AC718" s="213"/>
      <c r="AD718" s="213"/>
      <c r="AE718" s="213"/>
      <c r="AF718" s="213"/>
      <c r="AG718" s="213"/>
      <c r="AH718" s="213"/>
      <c r="AI718" s="213"/>
      <c r="AJ718" s="213"/>
      <c r="AK718" s="213"/>
      <c r="AL718" s="213"/>
      <c r="AM718" s="213"/>
      <c r="AN718" s="213"/>
      <c r="AO718" s="213"/>
      <c r="AP718" s="213" t="str">
        <f>IFERROR(__xludf.DUMMYFUNCTION("""COMPUTED_VALUE"""),"LUIS")</f>
        <v>LUIS</v>
      </c>
      <c r="AQ718" s="213"/>
      <c r="AR718" s="213"/>
      <c r="AS718" s="213"/>
      <c r="AT718" s="213"/>
      <c r="AU718" s="213"/>
      <c r="AV718" s="213"/>
      <c r="AW718" s="213"/>
      <c r="AX718" s="213"/>
      <c r="AY718" s="213"/>
      <c r="AZ718" s="213"/>
      <c r="BA718" s="213"/>
      <c r="BB718" s="213"/>
      <c r="BC718" s="213"/>
      <c r="BD718" s="213"/>
    </row>
    <row r="719">
      <c r="A719" s="213">
        <f>IFERROR(__xludf.DUMMYFUNCTION("""COMPUTED_VALUE"""),2486.0)</f>
        <v>2486</v>
      </c>
      <c r="B719" s="213" t="str">
        <f>IFERROR(__xludf.DUMMYFUNCTION("""COMPUTED_VALUE"""),"MANUEL ANTONIO MESONES MURO")</f>
        <v>MANUEL ANTONIO MESONES MURO</v>
      </c>
      <c r="C719" s="213" t="str">
        <f>IFERROR(__xludf.DUMMYFUNCTION("""COMPUTED_VALUE"""),"TALLER SFT DE CONSTRUCCIONES METÁLICAS")</f>
        <v>TALLER SFT DE CONSTRUCCIONES METÁLICAS</v>
      </c>
      <c r="D719" s="213" t="str">
        <f>IFERROR(__xludf.DUMMYFUNCTION("""COMPUTED_VALUE"""),"HERRAMIENTAS")</f>
        <v>HERRAMIENTAS</v>
      </c>
      <c r="E719" s="213" t="str">
        <f>IFERROR(__xludf.DUMMYFUNCTION("""COMPUTED_VALUE"""),"COM-174")</f>
        <v>COM-174</v>
      </c>
      <c r="F719" s="213" t="str">
        <f>IFERROR(__xludf.DUMMYFUNCTION("""COMPUTED_VALUE"""),"COM-174")</f>
        <v>COM-174</v>
      </c>
      <c r="G719" s="213"/>
      <c r="H719" s="213" t="str">
        <f>IFERROR(__xludf.DUMMYFUNCTION("""COMPUTED_VALUE"""),"GRANETE")</f>
        <v>GRANETE</v>
      </c>
      <c r="I719" s="213" t="str">
        <f>IFERROR(__xludf.DUMMYFUNCTION("""COMPUTED_VALUE"""),"Redondo cromado
-       De acero templado
-       Punta de 60°")</f>
        <v>Redondo cromado
-       De acero templado
-       Punta de 60°</v>
      </c>
      <c r="J719" s="213">
        <f>IFERROR(__xludf.DUMMYFUNCTION("""COMPUTED_VALUE"""),3.0)</f>
        <v>3</v>
      </c>
      <c r="K719" s="213" t="str">
        <f>IFERROR(__xludf.DUMMYFUNCTION("""COMPUTED_VALUE"""),"90 DÍAS CALENDARIO")</f>
        <v>90 DÍAS CALENDARIO</v>
      </c>
      <c r="L719" s="213" t="str">
        <f>IFERROR(__xludf.DUMMYFUNCTION("""COMPUTED_VALUE"""),"")</f>
        <v/>
      </c>
      <c r="M719" s="213">
        <f>IFERROR(__xludf.DUMMYFUNCTION("""COMPUTED_VALUE"""),1.0)</f>
        <v>1</v>
      </c>
      <c r="N719" s="213">
        <f>IFERROR(__xludf.DUMMYFUNCTION("""COMPUTED_VALUE"""),5.0)</f>
        <v>5</v>
      </c>
      <c r="O719" s="213">
        <f>IFERROR(__xludf.DUMMYFUNCTION("""COMPUTED_VALUE"""),5.0)</f>
        <v>5</v>
      </c>
      <c r="P719" s="213"/>
      <c r="Q719" s="213"/>
      <c r="R719" s="213" t="str">
        <f>IFERROR(__xludf.DUMMYFUNCTION("""COMPUTED_VALUE"""),"SI")</f>
        <v>SI</v>
      </c>
      <c r="S719" s="213"/>
      <c r="T719" s="213" t="str">
        <f>IFERROR(__xludf.DUMMYFUNCTION("""COMPUTED_VALUE"""),"SI")</f>
        <v>SI</v>
      </c>
      <c r="U719" s="213" t="str">
        <f>IFERROR(__xludf.DUMMYFUNCTION("""COMPUTED_VALUE"""),"SI")</f>
        <v>SI</v>
      </c>
      <c r="V719" s="213" t="str">
        <f>IFERROR(__xludf.DUMMYFUNCTION("""COMPUTED_VALUE"""),"-")</f>
        <v>-</v>
      </c>
      <c r="W719" s="213" t="str">
        <f>IFERROR(__xludf.DUMMYFUNCTION("""COMPUTED_VALUE"""),"-")</f>
        <v>-</v>
      </c>
      <c r="X719" s="213" t="str">
        <f>IFERROR(__xludf.DUMMYFUNCTION("""COMPUTED_VALUE"""),"BAHCO")</f>
        <v>BAHCO</v>
      </c>
      <c r="Y719" s="213" t="str">
        <f>IFERROR(__xludf.DUMMYFUNCTION("""COMPUTED_VALUE"""),"SB-3735N-6-150")</f>
        <v>SB-3735N-6-150</v>
      </c>
      <c r="Z719" s="215" t="str">
        <f>IFERROR(__xludf.DUMMYFUNCTION("""COMPUTED_VALUE"""),"https://drive.google.com/file/d/1qZmeouG7QGkZ3n1o7PObCAvj9cYnW8sf/view")</f>
        <v>https://drive.google.com/file/d/1qZmeouG7QGkZ3n1o7PObCAvj9cYnW8sf/view</v>
      </c>
      <c r="AA719" s="213" t="str">
        <f>IFERROR(__xludf.DUMMYFUNCTION("""COMPUTED_VALUE"""),"COM-174 GRANETE - CET")</f>
        <v>COM-174 GRANETE - CET</v>
      </c>
      <c r="AB719" s="213"/>
      <c r="AC719" s="213"/>
      <c r="AD719" s="213"/>
      <c r="AE719" s="213"/>
      <c r="AF719" s="213"/>
      <c r="AG719" s="213"/>
      <c r="AH719" s="213"/>
      <c r="AI719" s="213"/>
      <c r="AJ719" s="213"/>
      <c r="AK719" s="213"/>
      <c r="AL719" s="213"/>
      <c r="AM719" s="213"/>
      <c r="AN719" s="213"/>
      <c r="AO719" s="213"/>
      <c r="AP719" s="213" t="str">
        <f>IFERROR(__xludf.DUMMYFUNCTION("""COMPUTED_VALUE"""),"LUIS")</f>
        <v>LUIS</v>
      </c>
      <c r="AQ719" s="213"/>
      <c r="AR719" s="213"/>
      <c r="AS719" s="213"/>
      <c r="AT719" s="213"/>
      <c r="AU719" s="213"/>
      <c r="AV719" s="213"/>
      <c r="AW719" s="213"/>
      <c r="AX719" s="213"/>
      <c r="AY719" s="213"/>
      <c r="AZ719" s="213"/>
      <c r="BA719" s="213"/>
      <c r="BB719" s="213"/>
      <c r="BC719" s="213"/>
      <c r="BD719" s="213"/>
    </row>
    <row r="720">
      <c r="A720" s="213">
        <f>IFERROR(__xludf.DUMMYFUNCTION("""COMPUTED_VALUE"""),29.0)</f>
        <v>29</v>
      </c>
      <c r="B720" s="213" t="str">
        <f>IFERROR(__xludf.DUMMYFUNCTION("""COMPUTED_VALUE"""),"16449 ELOY SOBERON  FLORES")</f>
        <v>16449 ELOY SOBERON  FLORES</v>
      </c>
      <c r="C720" s="213" t="str">
        <f>IFERROR(__xludf.DUMMYFUNCTION("""COMPUTED_VALUE"""),"TALLER SFT DE COCINA Y REPOSTERÍA")</f>
        <v>TALLER SFT DE COCINA Y REPOSTERÍA</v>
      </c>
      <c r="D720" s="213" t="str">
        <f>IFERROR(__xludf.DUMMYFUNCTION("""COMPUTED_VALUE"""),"HERRAMIENTAS")</f>
        <v>HERRAMIENTAS</v>
      </c>
      <c r="E720" s="213" t="str">
        <f>IFERROR(__xludf.DUMMYFUNCTION("""COMPUTED_VALUE"""),"COM-282")</f>
        <v>COM-282</v>
      </c>
      <c r="F720" s="213" t="str">
        <f>IFERROR(__xludf.DUMMYFUNCTION("""COMPUTED_VALUE"""),"COM-282")</f>
        <v>COM-282</v>
      </c>
      <c r="G720" s="213"/>
      <c r="H720" s="213" t="str">
        <f>IFERROR(__xludf.DUMMYFUNCTION("""COMPUTED_VALUE"""),"REJILLAS ESCURRIDORAS")</f>
        <v>REJILLAS ESCURRIDORAS</v>
      </c>
      <c r="I720" s="213" t="str">
        <f>IFERROR(__xludf.DUMMYFUNCTION("""COMPUTED_VALUE"""),".  Resiste temperaturas de hasta 300°C
.  Minimo 19 tubos de acero inox. con bordes de silicona negra
.  Medidas minimas : 330 mm x 500 mm")</f>
        <v>.  Resiste temperaturas de hasta 300°C
.  Minimo 19 tubos de acero inox. con bordes de silicona negra
.  Medidas minimas : 330 mm x 500 mm</v>
      </c>
      <c r="J720" s="213">
        <f>IFERROR(__xludf.DUMMYFUNCTION("""COMPUTED_VALUE"""),3.0)</f>
        <v>3</v>
      </c>
      <c r="K720" s="213" t="str">
        <f>IFERROR(__xludf.DUMMYFUNCTION("""COMPUTED_VALUE"""),"90 DÍAS CALENDARIO")</f>
        <v>90 DÍAS CALENDARIO</v>
      </c>
      <c r="L720" s="213" t="str">
        <f>IFERROR(__xludf.DUMMYFUNCTION("""COMPUTED_VALUE"""),"")</f>
        <v/>
      </c>
      <c r="M720" s="213">
        <f>IFERROR(__xludf.DUMMYFUNCTION("""COMPUTED_VALUE"""),1.0)</f>
        <v>1</v>
      </c>
      <c r="N720" s="213">
        <f>IFERROR(__xludf.DUMMYFUNCTION("""COMPUTED_VALUE"""),2.0)</f>
        <v>2</v>
      </c>
      <c r="O720" s="213">
        <f>IFERROR(__xludf.DUMMYFUNCTION("""COMPUTED_VALUE"""),2.0)</f>
        <v>2</v>
      </c>
      <c r="P720" s="213"/>
      <c r="Q720" s="213"/>
      <c r="R720" s="213" t="str">
        <f>IFERROR(__xludf.DUMMYFUNCTION("""COMPUTED_VALUE"""),"SI")</f>
        <v>SI</v>
      </c>
      <c r="S720" s="213"/>
      <c r="T720" s="213" t="str">
        <f>IFERROR(__xludf.DUMMYFUNCTION("""COMPUTED_VALUE"""),"CONSULTA FINAL")</f>
        <v>CONSULTA FINAL</v>
      </c>
      <c r="U720" s="213" t="str">
        <f>IFERROR(__xludf.DUMMYFUNCTION("""COMPUTED_VALUE"""),"NO")</f>
        <v>NO</v>
      </c>
      <c r="V720" s="213" t="str">
        <f>IFERROR(__xludf.DUMMYFUNCTION("""COMPUTED_VALUE"""),"SUSTENTO")</f>
        <v>SUSTENTO</v>
      </c>
      <c r="W720" s="213" t="str">
        <f>IFERROR(__xludf.DUMMYFUNCTION("""COMPUTED_VALUE"""),"EQU TEC")</f>
        <v>EQU TEC</v>
      </c>
      <c r="X720" s="213" t="str">
        <f>IFERROR(__xludf.DUMMYFUNCTION("""COMPUTED_VALUE"""),"    Strictly Sinks")</f>
        <v>    Strictly Sinks</v>
      </c>
      <c r="Y720" s="213" t="str">
        <f>IFERROR(__xludf.DUMMYFUNCTION("""COMPUTED_VALUE"""),"S STRICTLY KITCHEN + BATH")</f>
        <v>S STRICTLY KITCHEN + BATH</v>
      </c>
      <c r="Z720" s="215" t="str">
        <f>IFERROR(__xludf.DUMMYFUNCTION("""COMPUTED_VALUE"""),"https://www.amazon.com/dp/B08JQKJTM1/ref=sspa_dk_detail_4?pd_rd_i=B0CKF2JX26&amp;pd_rd_w=2oDsP&amp;content-id=amzn1.sym.f2f1cf8f-cab4-44dc-82ba-0ca811fb90cc&amp;pf_rd_p=f2f1cf8f-cab4-44dc-82ba-0ca811fb90cc&amp;pf_rd_r=KBAB651HP0CPZ28K2JK3&amp;pd_rd_wg=Eb6WF&amp;pd_rd_r=f419692a-"&amp;"052a-480a-b3c3-1053fd9370c5&amp;sp_csd=d2lkZ2V0TmFtZT1zcF9kZXRhaWxfdGhlbWF0aWM&amp;th=1")</f>
        <v>https://www.amazon.com/dp/B08JQKJTM1/ref=sspa_dk_detail_4?pd_rd_i=B0CKF2JX26&amp;pd_rd_w=2oDsP&amp;content-id=amzn1.sym.f2f1cf8f-cab4-44dc-82ba-0ca811fb90cc&amp;pf_rd_p=f2f1cf8f-cab4-44dc-82ba-0ca811fb90cc&amp;pf_rd_r=KBAB651HP0CPZ28K2JK3&amp;pd_rd_wg=Eb6WF&amp;pd_rd_r=f419692a-052a-480a-b3c3-1053fd9370c5&amp;sp_csd=d2lkZ2V0TmFtZT1zcF9kZXRhaWxfdGhlbWF0aWM&amp;th=1</v>
      </c>
      <c r="AA720" s="213" t="str">
        <f>IFERROR(__xludf.DUMMYFUNCTION("""COMPUTED_VALUE"""),"COM-282 REJILLAS ESCURRIDORAS- CET")</f>
        <v>COM-282 REJILLAS ESCURRIDORAS- CET</v>
      </c>
      <c r="AB720" s="213"/>
      <c r="AC720" s="213"/>
      <c r="AD720" s="213"/>
      <c r="AE720" s="213"/>
      <c r="AF720" s="213"/>
      <c r="AG720" s="213"/>
      <c r="AH720" s="213"/>
      <c r="AI720" s="213"/>
      <c r="AJ720" s="213"/>
      <c r="AK720" s="213"/>
      <c r="AL720" s="213"/>
      <c r="AM720" s="213"/>
      <c r="AN720" s="213"/>
      <c r="AO720" s="213"/>
      <c r="AP720" s="213" t="str">
        <f>IFERROR(__xludf.DUMMYFUNCTION("""COMPUTED_VALUE"""),"SEBASTIAN")</f>
        <v>SEBASTIAN</v>
      </c>
      <c r="AQ720" s="213"/>
      <c r="AR720" s="213"/>
      <c r="AS720" s="213"/>
      <c r="AT720" s="213"/>
      <c r="AU720" s="213"/>
      <c r="AV720" s="213"/>
      <c r="AW720" s="213"/>
      <c r="AX720" s="213"/>
      <c r="AY720" s="213"/>
      <c r="AZ720" s="213"/>
      <c r="BA720" s="213"/>
      <c r="BB720" s="213"/>
      <c r="BC720" s="213"/>
      <c r="BD720" s="213"/>
    </row>
    <row r="721">
      <c r="A721" s="213">
        <f>IFERROR(__xludf.DUMMYFUNCTION("""COMPUTED_VALUE"""),948.0)</f>
        <v>948</v>
      </c>
      <c r="B721" s="213" t="str">
        <f>IFERROR(__xludf.DUMMYFUNCTION("""COMPUTED_VALUE"""),"FRANCISCO IRAZOLA")</f>
        <v>FRANCISCO IRAZOLA</v>
      </c>
      <c r="C721" s="213" t="str">
        <f>IFERROR(__xludf.DUMMYFUNCTION("""COMPUTED_VALUE"""),"TALLER SFT DE MECÁNICA AUTOMOTRIZ")</f>
        <v>TALLER SFT DE MECÁNICA AUTOMOTRIZ</v>
      </c>
      <c r="D721" s="213" t="str">
        <f>IFERROR(__xludf.DUMMYFUNCTION("""COMPUTED_VALUE"""),"HERRAMIENTAS")</f>
        <v>HERRAMIENTAS</v>
      </c>
      <c r="E721" s="213" t="str">
        <f>IFERROR(__xludf.DUMMYFUNCTION("""COMPUTED_VALUE"""),"COM-283")</f>
        <v>COM-283</v>
      </c>
      <c r="F721" s="213" t="str">
        <f>IFERROR(__xludf.DUMMYFUNCTION("""COMPUTED_VALUE"""),"COM-283")</f>
        <v>COM-283</v>
      </c>
      <c r="G721" s="213"/>
      <c r="H721" s="213" t="str">
        <f>IFERROR(__xludf.DUMMYFUNCTION("""COMPUTED_VALUE"""),"KIT DE RELOJ COMPARADOR")</f>
        <v>KIT DE RELOJ COMPARADOR</v>
      </c>
      <c r="I721" s="213" t="str">
        <f>IFERROR(__xludf.DUMMYFUNCTION("""COMPUTED_VALUE"""),"El kit contiene  como mínimo los siguientes elementos:
Reloj comparador métrico, reloj palpador métrico, base imantada y 22 puntas Reloj comparador métrico
-     Dimensión aproximada 60 mm
-     Resistente a los impactos,
-     Punta de 10 mm.
-     Cabez"&amp;"al giratorio con bloqueo y reinicio.
-     Capacidad de 0 - 25 mm,
-     Graduación en 0,01 mm.
-     Precisión 0,01 mm. Reloj palpador métrico
-     Con engranajes y gancho reversible de carburo de tungsteno
-     Cabezal ajustable para reinicio.
-     C"&amp;"apacidad de 0 - 0,8 mm.
-     Graduaciones en 0,01 mm.
-     Escala de lectura de 0 - 40°. Para la comparación de la horizontalidad de piezas mecanizadas.
-     Precisión 0.001 mm
Base magnética para indicadores.
-     Base y poste vertical para diferente"&amp;"s ajustes de montaje.
-     Tornillo de ajuste fino de altura.
-     Botón de encendido y apagado.
-     2 caras magnéticas.
Mínimo 22 puntas para reloj comparador intercambiable con émbolo. Los dos relojes se pueden utilizar en la base magnética.")</f>
        <v>El kit contiene  como mínimo los siguientes elementos:
Reloj comparador métrico, reloj palpador métrico, base imantada y 22 puntas Reloj comparador métrico
-     Dimensión aproximada 60 mm
-     Resistente a los impactos,
-     Punta de 10 mm.
-     Cabezal giratorio con bloqueo y reinicio.
-     Capacidad de 0 - 25 mm,
-     Graduación en 0,01 mm.
-     Precisión 0,01 mm. Reloj palpador métrico
-     Con engranajes y gancho reversible de carburo de tungsteno
-     Cabezal ajustable para reinicio.
-     Capacidad de 0 - 0,8 mm.
-     Graduaciones en 0,01 mm.
-     Escala de lectura de 0 - 40°. Para la comparación de la horizontalidad de piezas mecanizadas.
-     Precisión 0.001 mm
Base magnética para indicadores.
-     Base y poste vertical para diferentes ajustes de montaje.
-     Tornillo de ajuste fino de altura.
-     Botón de encendido y apagado.
-     2 caras magnéticas.
Mínimo 22 puntas para reloj comparador intercambiable con émbolo. Los dos relojes se pueden utilizar en la base magnética.</v>
      </c>
      <c r="J721" s="213">
        <f>IFERROR(__xludf.DUMMYFUNCTION("""COMPUTED_VALUE"""),3.0)</f>
        <v>3</v>
      </c>
      <c r="K721" s="213" t="str">
        <f>IFERROR(__xludf.DUMMYFUNCTION("""COMPUTED_VALUE"""),"90 DÍAS CALENDARIO")</f>
        <v>90 DÍAS CALENDARIO</v>
      </c>
      <c r="L721" s="213" t="str">
        <f>IFERROR(__xludf.DUMMYFUNCTION("""COMPUTED_VALUE"""),"")</f>
        <v/>
      </c>
      <c r="M721" s="213">
        <f>IFERROR(__xludf.DUMMYFUNCTION("""COMPUTED_VALUE"""),1.0)</f>
        <v>1</v>
      </c>
      <c r="N721" s="213">
        <f>IFERROR(__xludf.DUMMYFUNCTION("""COMPUTED_VALUE"""),1.0)</f>
        <v>1</v>
      </c>
      <c r="O721" s="213">
        <f>IFERROR(__xludf.DUMMYFUNCTION("""COMPUTED_VALUE"""),1.0)</f>
        <v>1</v>
      </c>
      <c r="P721" s="213"/>
      <c r="Q721" s="213"/>
      <c r="R721" s="213" t="str">
        <f>IFERROR(__xludf.DUMMYFUNCTION("""COMPUTED_VALUE"""),"SI")</f>
        <v>SI</v>
      </c>
      <c r="S721" s="213"/>
      <c r="T721" s="213" t="str">
        <f>IFERROR(__xludf.DUMMYFUNCTION("""COMPUTED_VALUE"""),"SI")</f>
        <v>SI</v>
      </c>
      <c r="U721" s="213" t="str">
        <f>IFERROR(__xludf.DUMMYFUNCTION("""COMPUTED_VALUE"""),"SI")</f>
        <v>SI</v>
      </c>
      <c r="V721" s="213" t="str">
        <f>IFERROR(__xludf.DUMMYFUNCTION("""COMPUTED_VALUE"""),"-")</f>
        <v>-</v>
      </c>
      <c r="W721" s="213" t="str">
        <f>IFERROR(__xludf.DUMMYFUNCTION("""COMPUTED_VALUE"""),"-")</f>
        <v>-</v>
      </c>
      <c r="X721" s="213" t="str">
        <f>IFERROR(__xludf.DUMMYFUNCTION("""COMPUTED_VALUE"""),"DRAPER")</f>
        <v>DRAPER</v>
      </c>
      <c r="Y721" s="213" t="str">
        <f>IFERROR(__xludf.DUMMYFUNCTION("""COMPUTED_VALUE"""),"BT10692")</f>
        <v>BT10692</v>
      </c>
      <c r="Z721" s="215" t="str">
        <f>IFERROR(__xludf.DUMMYFUNCTION("""COMPUTED_VALUE"""),"https://www.bt-ingenieros.com/relojes-comparadores/692-kit-reloj-comparador-con-base-y-puntas.html?srsltid=AfmBOootSFZIMi-8T4D4CPKpcwUL3qgSoHsiuioeTZs7cciwaR6u2XKX")</f>
        <v>https://www.bt-ingenieros.com/relojes-comparadores/692-kit-reloj-comparador-con-base-y-puntas.html?srsltid=AfmBOootSFZIMi-8T4D4CPKpcwUL3qgSoHsiuioeTZs7cciwaR6u2XKX</v>
      </c>
      <c r="AA721" s="213" t="str">
        <f>IFERROR(__xludf.DUMMYFUNCTION("""COMPUTED_VALUE"""),"COM-283 KIT DE RELOJ COMPARADOR - CET")</f>
        <v>COM-283 KIT DE RELOJ COMPARADOR - CET</v>
      </c>
      <c r="AB721" s="215" t="str">
        <f>IFERROR(__xludf.DUMMYFUNCTION("""COMPUTED_VALUE"""),"https://drive.google.com/file/d/14eCt2i8MCU34mSVOu8DzYiVm-X4diaLw/view?usp=sharing")</f>
        <v>https://drive.google.com/file/d/14eCt2i8MCU34mSVOu8DzYiVm-X4diaLw/view?usp=sharing</v>
      </c>
      <c r="AC721" s="215" t="str">
        <f>IFERROR(__xludf.DUMMYFUNCTION("""COMPUTED_VALUE"""),"https://www.rapidonline.com/draper-expert-46609-metric-dial-test-indicator-kit-91-4331")</f>
        <v>https://www.rapidonline.com/draper-expert-46609-metric-dial-test-indicator-kit-91-4331</v>
      </c>
      <c r="AD721" s="213"/>
      <c r="AE721" s="213"/>
      <c r="AF721" s="213"/>
      <c r="AG721" s="213"/>
      <c r="AH721" s="213" t="str">
        <f>IFERROR(__xludf.DUMMYFUNCTION("""COMPUTED_VALUE"""),"IMPORTADO")</f>
        <v>IMPORTADO</v>
      </c>
      <c r="AI721" s="213"/>
      <c r="AJ721" s="213"/>
      <c r="AK721" s="213"/>
      <c r="AL721" s="213"/>
      <c r="AM721" s="213"/>
      <c r="AN721" s="213"/>
      <c r="AO721" s="213"/>
      <c r="AP721" s="213" t="str">
        <f>IFERROR(__xludf.DUMMYFUNCTION("""COMPUTED_VALUE"""),"GEYDI")</f>
        <v>GEYDI</v>
      </c>
      <c r="AQ721" s="213"/>
      <c r="AR721" s="213"/>
      <c r="AS721" s="213" t="str">
        <f>IFERROR(__xludf.DUMMYFUNCTION("""COMPUTED_VALUE"""),"La precisión debe ser 0,01 mm")</f>
        <v>La precisión debe ser 0,01 mm</v>
      </c>
      <c r="AT721" s="213"/>
      <c r="AU721" s="213"/>
      <c r="AV721" s="213"/>
      <c r="AW721" s="213"/>
      <c r="AX721" s="213"/>
      <c r="AY721" s="213"/>
      <c r="AZ721" s="213"/>
      <c r="BA721" s="213"/>
      <c r="BB721" s="213"/>
      <c r="BC721" s="213"/>
      <c r="BD721" s="213"/>
    </row>
    <row r="722">
      <c r="A722" s="213">
        <f>IFERROR(__xludf.DUMMYFUNCTION("""COMPUTED_VALUE"""),1549.0)</f>
        <v>1549</v>
      </c>
      <c r="B722" s="213" t="str">
        <f>IFERROR(__xludf.DUMMYFUNCTION("""COMPUTED_VALUE"""),"GUILLERMO E. BILLINGHURST ")</f>
        <v>GUILLERMO E. BILLINGHURST </v>
      </c>
      <c r="C722" s="213" t="str">
        <f>IFERROR(__xludf.DUMMYFUNCTION("""COMPUTED_VALUE"""),"TALLER SFT DE MECÁNICA AUTOMOTRIZ")</f>
        <v>TALLER SFT DE MECÁNICA AUTOMOTRIZ</v>
      </c>
      <c r="D722" s="213" t="str">
        <f>IFERROR(__xludf.DUMMYFUNCTION("""COMPUTED_VALUE"""),"HERRAMIENTAS")</f>
        <v>HERRAMIENTAS</v>
      </c>
      <c r="E722" s="213" t="str">
        <f>IFERROR(__xludf.DUMMYFUNCTION("""COMPUTED_VALUE"""),"COM-283")</f>
        <v>COM-283</v>
      </c>
      <c r="F722" s="213" t="str">
        <f>IFERROR(__xludf.DUMMYFUNCTION("""COMPUTED_VALUE"""),"COM-283")</f>
        <v>COM-283</v>
      </c>
      <c r="G722" s="213"/>
      <c r="H722" s="213" t="str">
        <f>IFERROR(__xludf.DUMMYFUNCTION("""COMPUTED_VALUE"""),"KIT DE RELOJ COMPARADOR")</f>
        <v>KIT DE RELOJ COMPARADOR</v>
      </c>
      <c r="I722" s="213" t="str">
        <f>IFERROR(__xludf.DUMMYFUNCTION("""COMPUTED_VALUE"""),"El kit contiene  como mínimo los siguientes elementos:
Reloj comparador métrico, reloj palpador métrico, base imantada y 22 puntas Reloj comparador métrico
-     Dimensión aproximada 60 mm
-     Resistente a los impactos,
-     Punta de 10 mm.
-     Cabez"&amp;"al giratorio con bloqueo y reinicio.
-     Capacidad de 0 - 25 mm,
-     Graduación en 0,01 mm.
-     Precisión 0,01 mm. Reloj palpador métrico
-     Con engranajes y gancho reversible de carburo de tungsteno
-     Cabezal ajustable para reinicio.
-     C"&amp;"apacidad de 0 - 0,8 mm.
-     Graduaciones en 0,01 mm.
-     Escala de lectura de 0 - 40°. Para la comparación de la horizontalidad de piezas mecanizadas.
-     Precisión 0.001 mm
Base magnética para indicadores.
-     Base y poste vertical para diferente"&amp;"s ajustes de montaje.
-     Tornillo de ajuste fino de altura.
-     Botón de encendido y apagado.
-     2 caras magnéticas.
Mínimo 22 puntas para reloj comparador intercambiable con émbolo. Los dos relojes se pueden utilizar en la base magnética.")</f>
        <v>El kit contiene  como mínimo los siguientes elementos:
Reloj comparador métrico, reloj palpador métrico, base imantada y 22 puntas Reloj comparador métrico
-     Dimensión aproximada 60 mm
-     Resistente a los impactos,
-     Punta de 10 mm.
-     Cabezal giratorio con bloqueo y reinicio.
-     Capacidad de 0 - 25 mm,
-     Graduación en 0,01 mm.
-     Precisión 0,01 mm. Reloj palpador métrico
-     Con engranajes y gancho reversible de carburo de tungsteno
-     Cabezal ajustable para reinicio.
-     Capacidad de 0 - 0,8 mm.
-     Graduaciones en 0,01 mm.
-     Escala de lectura de 0 - 40°. Para la comparación de la horizontalidad de piezas mecanizadas.
-     Precisión 0.001 mm
Base magnética para indicadores.
-     Base y poste vertical para diferentes ajustes de montaje.
-     Tornillo de ajuste fino de altura.
-     Botón de encendido y apagado.
-     2 caras magnéticas.
Mínimo 22 puntas para reloj comparador intercambiable con émbolo. Los dos relojes se pueden utilizar en la base magnética.</v>
      </c>
      <c r="J722" s="213">
        <f>IFERROR(__xludf.DUMMYFUNCTION("""COMPUTED_VALUE"""),3.0)</f>
        <v>3</v>
      </c>
      <c r="K722" s="213" t="str">
        <f>IFERROR(__xludf.DUMMYFUNCTION("""COMPUTED_VALUE"""),"90 DÍAS CALENDARIO")</f>
        <v>90 DÍAS CALENDARIO</v>
      </c>
      <c r="L722" s="213" t="str">
        <f>IFERROR(__xludf.DUMMYFUNCTION("""COMPUTED_VALUE"""),"")</f>
        <v/>
      </c>
      <c r="M722" s="213">
        <f>IFERROR(__xludf.DUMMYFUNCTION("""COMPUTED_VALUE"""),1.0)</f>
        <v>1</v>
      </c>
      <c r="N722" s="213">
        <f>IFERROR(__xludf.DUMMYFUNCTION("""COMPUTED_VALUE"""),1.0)</f>
        <v>1</v>
      </c>
      <c r="O722" s="213">
        <f>IFERROR(__xludf.DUMMYFUNCTION("""COMPUTED_VALUE"""),1.0)</f>
        <v>1</v>
      </c>
      <c r="P722" s="213"/>
      <c r="Q722" s="213"/>
      <c r="R722" s="213" t="str">
        <f>IFERROR(__xludf.DUMMYFUNCTION("""COMPUTED_VALUE"""),"SI")</f>
        <v>SI</v>
      </c>
      <c r="S722" s="213"/>
      <c r="T722" s="213" t="str">
        <f>IFERROR(__xludf.DUMMYFUNCTION("""COMPUTED_VALUE"""),"SI")</f>
        <v>SI</v>
      </c>
      <c r="U722" s="213" t="str">
        <f>IFERROR(__xludf.DUMMYFUNCTION("""COMPUTED_VALUE"""),"SI")</f>
        <v>SI</v>
      </c>
      <c r="V722" s="213" t="str">
        <f>IFERROR(__xludf.DUMMYFUNCTION("""COMPUTED_VALUE"""),"-")</f>
        <v>-</v>
      </c>
      <c r="W722" s="213" t="str">
        <f>IFERROR(__xludf.DUMMYFUNCTION("""COMPUTED_VALUE"""),"-")</f>
        <v>-</v>
      </c>
      <c r="X722" s="213" t="str">
        <f>IFERROR(__xludf.DUMMYFUNCTION("""COMPUTED_VALUE"""),"DRAPER")</f>
        <v>DRAPER</v>
      </c>
      <c r="Y722" s="213" t="str">
        <f>IFERROR(__xludf.DUMMYFUNCTION("""COMPUTED_VALUE"""),"BT10693")</f>
        <v>BT10693</v>
      </c>
      <c r="Z722" s="215" t="str">
        <f>IFERROR(__xludf.DUMMYFUNCTION("""COMPUTED_VALUE"""),"https://www.bt-ingenieros.com/relojes-comparadores/692-kit-reloj-comparador-con-base-y-puntas.html?srsltid=AfmBOootSFZIMi-8T4D4CPKpcwUL3qgSoHsiuioeTZs7cciwaR6u2XKX")</f>
        <v>https://www.bt-ingenieros.com/relojes-comparadores/692-kit-reloj-comparador-con-base-y-puntas.html?srsltid=AfmBOootSFZIMi-8T4D4CPKpcwUL3qgSoHsiuioeTZs7cciwaR6u2XKX</v>
      </c>
      <c r="AA722" s="213" t="str">
        <f>IFERROR(__xludf.DUMMYFUNCTION("""COMPUTED_VALUE"""),"COM-283 KIT DE RELOJ COMPARADOR - CET")</f>
        <v>COM-283 KIT DE RELOJ COMPARADOR - CET</v>
      </c>
      <c r="AB722" s="215" t="str">
        <f>IFERROR(__xludf.DUMMYFUNCTION("""COMPUTED_VALUE"""),"https://drive.google.com/file/d/14eCt2i8MCU34mSVOu8DzYiVm-X4diaLw/view?usp=sharing")</f>
        <v>https://drive.google.com/file/d/14eCt2i8MCU34mSVOu8DzYiVm-X4diaLw/view?usp=sharing</v>
      </c>
      <c r="AC722" s="215" t="str">
        <f>IFERROR(__xludf.DUMMYFUNCTION("""COMPUTED_VALUE"""),"https://www.rapidonline.com/draper-expert-46609-metric-dial-test-indicator-kit-91-4331")</f>
        <v>https://www.rapidonline.com/draper-expert-46609-metric-dial-test-indicator-kit-91-4331</v>
      </c>
      <c r="AD722" s="213"/>
      <c r="AE722" s="213"/>
      <c r="AF722" s="213"/>
      <c r="AG722" s="213"/>
      <c r="AH722" s="213" t="str">
        <f>IFERROR(__xludf.DUMMYFUNCTION("""COMPUTED_VALUE"""),"IMPORTADO")</f>
        <v>IMPORTADO</v>
      </c>
      <c r="AI722" s="213"/>
      <c r="AJ722" s="213"/>
      <c r="AK722" s="213"/>
      <c r="AL722" s="213"/>
      <c r="AM722" s="213"/>
      <c r="AN722" s="213"/>
      <c r="AO722" s="213"/>
      <c r="AP722" s="213" t="str">
        <f>IFERROR(__xludf.DUMMYFUNCTION("""COMPUTED_VALUE"""),"GEYDI")</f>
        <v>GEYDI</v>
      </c>
      <c r="AQ722" s="213"/>
      <c r="AR722" s="213"/>
      <c r="AS722" s="213" t="str">
        <f>IFERROR(__xludf.DUMMYFUNCTION("""COMPUTED_VALUE"""),"La precisión debe ser 0,01 mm")</f>
        <v>La precisión debe ser 0,01 mm</v>
      </c>
      <c r="AT722" s="213"/>
      <c r="AU722" s="213"/>
      <c r="AV722" s="213"/>
      <c r="AW722" s="213"/>
      <c r="AX722" s="213"/>
      <c r="AY722" s="213"/>
      <c r="AZ722" s="213"/>
      <c r="BA722" s="213"/>
      <c r="BB722" s="213"/>
      <c r="BC722" s="213"/>
      <c r="BD722" s="213"/>
    </row>
    <row r="723">
      <c r="A723" s="213">
        <f>IFERROR(__xludf.DUMMYFUNCTION("""COMPUTED_VALUE"""),2241.0)</f>
        <v>2241</v>
      </c>
      <c r="B723" s="213" t="str">
        <f>IFERROR(__xludf.DUMMYFUNCTION("""COMPUTED_VALUE"""),"JOSE GRANDA")</f>
        <v>JOSE GRANDA</v>
      </c>
      <c r="C723" s="213" t="str">
        <f>IFERROR(__xludf.DUMMYFUNCTION("""COMPUTED_VALUE"""),"TALLER SFT DE MECÁNICA AUTOMOTRIZ")</f>
        <v>TALLER SFT DE MECÁNICA AUTOMOTRIZ</v>
      </c>
      <c r="D723" s="213" t="str">
        <f>IFERROR(__xludf.DUMMYFUNCTION("""COMPUTED_VALUE"""),"HERRAMIENTAS")</f>
        <v>HERRAMIENTAS</v>
      </c>
      <c r="E723" s="213" t="str">
        <f>IFERROR(__xludf.DUMMYFUNCTION("""COMPUTED_VALUE"""),"COM-283")</f>
        <v>COM-283</v>
      </c>
      <c r="F723" s="213" t="str">
        <f>IFERROR(__xludf.DUMMYFUNCTION("""COMPUTED_VALUE"""),"COM-283")</f>
        <v>COM-283</v>
      </c>
      <c r="G723" s="213"/>
      <c r="H723" s="213" t="str">
        <f>IFERROR(__xludf.DUMMYFUNCTION("""COMPUTED_VALUE"""),"KIT DE RELOJ COMPARADOR")</f>
        <v>KIT DE RELOJ COMPARADOR</v>
      </c>
      <c r="I723" s="213" t="str">
        <f>IFERROR(__xludf.DUMMYFUNCTION("""COMPUTED_VALUE"""),"El kit contiene  como mínimo los siguientes elementos:
Reloj comparador métrico, reloj palpador métrico, base imantada y 22 puntas Reloj comparador métrico
-     Dimensión aproximada 60 mm
-     Resistente a los impactos,
-     Punta de 10 mm.
-     Cabez"&amp;"al giratorio con bloqueo y reinicio.
-     Capacidad de 0 - 25 mm,
-     Graduación en 0,01 mm.
-     Precisión 0,01 mm. Reloj palpador métrico
-     Con engranajes y gancho reversible de carburo de tungsteno
-     Cabezal ajustable para reinicio.
-     C"&amp;"apacidad de 0 - 0,8 mm.
-     Graduaciones en 0,01 mm.
-     Escala de lectura de 0 - 40°. Para la comparación de la horizontalidad de piezas mecanizadas.
-     Precisión 0.001 mm
Base magnética para indicadores.
-     Base y poste vertical para diferente"&amp;"s ajustes de montaje.
-     Tornillo de ajuste fino de altura.
-     Botón de encendido y apagado.
-     2 caras magnéticas.
Mínimo 22 puntas para reloj comparador intercambiable con émbolo. Los dos relojes se pueden utilizar en la base magnética.")</f>
        <v>El kit contiene  como mínimo los siguientes elementos:
Reloj comparador métrico, reloj palpador métrico, base imantada y 22 puntas Reloj comparador métrico
-     Dimensión aproximada 60 mm
-     Resistente a los impactos,
-     Punta de 10 mm.
-     Cabezal giratorio con bloqueo y reinicio.
-     Capacidad de 0 - 25 mm,
-     Graduación en 0,01 mm.
-     Precisión 0,01 mm. Reloj palpador métrico
-     Con engranajes y gancho reversible de carburo de tungsteno
-     Cabezal ajustable para reinicio.
-     Capacidad de 0 - 0,8 mm.
-     Graduaciones en 0,01 mm.
-     Escala de lectura de 0 - 40°. Para la comparación de la horizontalidad de piezas mecanizadas.
-     Precisión 0.001 mm
Base magnética para indicadores.
-     Base y poste vertical para diferentes ajustes de montaje.
-     Tornillo de ajuste fino de altura.
-     Botón de encendido y apagado.
-     2 caras magnéticas.
Mínimo 22 puntas para reloj comparador intercambiable con émbolo. Los dos relojes se pueden utilizar en la base magnética.</v>
      </c>
      <c r="J723" s="213">
        <f>IFERROR(__xludf.DUMMYFUNCTION("""COMPUTED_VALUE"""),3.0)</f>
        <v>3</v>
      </c>
      <c r="K723" s="213" t="str">
        <f>IFERROR(__xludf.DUMMYFUNCTION("""COMPUTED_VALUE"""),"90 DÍAS CALENDARIO")</f>
        <v>90 DÍAS CALENDARIO</v>
      </c>
      <c r="L723" s="213" t="str">
        <f>IFERROR(__xludf.DUMMYFUNCTION("""COMPUTED_VALUE"""),"")</f>
        <v/>
      </c>
      <c r="M723" s="213">
        <f>IFERROR(__xludf.DUMMYFUNCTION("""COMPUTED_VALUE"""),1.0)</f>
        <v>1</v>
      </c>
      <c r="N723" s="213">
        <f>IFERROR(__xludf.DUMMYFUNCTION("""COMPUTED_VALUE"""),1.0)</f>
        <v>1</v>
      </c>
      <c r="O723" s="213">
        <f>IFERROR(__xludf.DUMMYFUNCTION("""COMPUTED_VALUE"""),1.0)</f>
        <v>1</v>
      </c>
      <c r="P723" s="213"/>
      <c r="Q723" s="213"/>
      <c r="R723" s="213" t="str">
        <f>IFERROR(__xludf.DUMMYFUNCTION("""COMPUTED_VALUE"""),"SI")</f>
        <v>SI</v>
      </c>
      <c r="S723" s="213"/>
      <c r="T723" s="213" t="str">
        <f>IFERROR(__xludf.DUMMYFUNCTION("""COMPUTED_VALUE"""),"SI")</f>
        <v>SI</v>
      </c>
      <c r="U723" s="213" t="str">
        <f>IFERROR(__xludf.DUMMYFUNCTION("""COMPUTED_VALUE"""),"SI")</f>
        <v>SI</v>
      </c>
      <c r="V723" s="213" t="str">
        <f>IFERROR(__xludf.DUMMYFUNCTION("""COMPUTED_VALUE"""),"-")</f>
        <v>-</v>
      </c>
      <c r="W723" s="213" t="str">
        <f>IFERROR(__xludf.DUMMYFUNCTION("""COMPUTED_VALUE"""),"-")</f>
        <v>-</v>
      </c>
      <c r="X723" s="213" t="str">
        <f>IFERROR(__xludf.DUMMYFUNCTION("""COMPUTED_VALUE"""),"DRAPER")</f>
        <v>DRAPER</v>
      </c>
      <c r="Y723" s="213" t="str">
        <f>IFERROR(__xludf.DUMMYFUNCTION("""COMPUTED_VALUE"""),"BT10694")</f>
        <v>BT10694</v>
      </c>
      <c r="Z723" s="215" t="str">
        <f>IFERROR(__xludf.DUMMYFUNCTION("""COMPUTED_VALUE"""),"https://www.bt-ingenieros.com/relojes-comparadores/692-kit-reloj-comparador-con-base-y-puntas.html?srsltid=AfmBOootSFZIMi-8T4D4CPKpcwUL3qgSoHsiuioeTZs7cciwaR6u2XKX")</f>
        <v>https://www.bt-ingenieros.com/relojes-comparadores/692-kit-reloj-comparador-con-base-y-puntas.html?srsltid=AfmBOootSFZIMi-8T4D4CPKpcwUL3qgSoHsiuioeTZs7cciwaR6u2XKX</v>
      </c>
      <c r="AA723" s="213" t="str">
        <f>IFERROR(__xludf.DUMMYFUNCTION("""COMPUTED_VALUE"""),"COM-283 KIT DE RELOJ COMPARADOR - CET")</f>
        <v>COM-283 KIT DE RELOJ COMPARADOR - CET</v>
      </c>
      <c r="AB723" s="215" t="str">
        <f>IFERROR(__xludf.DUMMYFUNCTION("""COMPUTED_VALUE"""),"https://drive.google.com/file/d/14eCt2i8MCU34mSVOu8DzYiVm-X4diaLw/view?usp=sharing")</f>
        <v>https://drive.google.com/file/d/14eCt2i8MCU34mSVOu8DzYiVm-X4diaLw/view?usp=sharing</v>
      </c>
      <c r="AC723" s="215" t="str">
        <f>IFERROR(__xludf.DUMMYFUNCTION("""COMPUTED_VALUE"""),"https://www.rapidonline.com/draper-expert-46609-metric-dial-test-indicator-kit-91-4331")</f>
        <v>https://www.rapidonline.com/draper-expert-46609-metric-dial-test-indicator-kit-91-4331</v>
      </c>
      <c r="AD723" s="213"/>
      <c r="AE723" s="213"/>
      <c r="AF723" s="213"/>
      <c r="AG723" s="213"/>
      <c r="AH723" s="213" t="str">
        <f>IFERROR(__xludf.DUMMYFUNCTION("""COMPUTED_VALUE"""),"IMPORTADO")</f>
        <v>IMPORTADO</v>
      </c>
      <c r="AI723" s="213"/>
      <c r="AJ723" s="213"/>
      <c r="AK723" s="213"/>
      <c r="AL723" s="213"/>
      <c r="AM723" s="213"/>
      <c r="AN723" s="213"/>
      <c r="AO723" s="213"/>
      <c r="AP723" s="213" t="str">
        <f>IFERROR(__xludf.DUMMYFUNCTION("""COMPUTED_VALUE"""),"GEYDI")</f>
        <v>GEYDI</v>
      </c>
      <c r="AQ723" s="213"/>
      <c r="AR723" s="213"/>
      <c r="AS723" s="213" t="str">
        <f>IFERROR(__xludf.DUMMYFUNCTION("""COMPUTED_VALUE"""),"La precisión debe ser 0,01 mm")</f>
        <v>La precisión debe ser 0,01 mm</v>
      </c>
      <c r="AT723" s="213"/>
      <c r="AU723" s="213"/>
      <c r="AV723" s="213"/>
      <c r="AW723" s="213"/>
      <c r="AX723" s="213"/>
      <c r="AY723" s="213"/>
      <c r="AZ723" s="213"/>
      <c r="BA723" s="213"/>
      <c r="BB723" s="213"/>
      <c r="BC723" s="213"/>
      <c r="BD723" s="213"/>
    </row>
    <row r="724">
      <c r="A724" s="213">
        <f>IFERROR(__xludf.DUMMYFUNCTION("""COMPUTED_VALUE"""),63.0)</f>
        <v>63</v>
      </c>
      <c r="B724" s="213" t="str">
        <f>IFERROR(__xludf.DUMMYFUNCTION("""COMPUTED_VALUE"""),"16449 ELOY SOBERON  FLORES")</f>
        <v>16449 ELOY SOBERON  FLORES</v>
      </c>
      <c r="C724" s="213" t="str">
        <f>IFERROR(__xludf.DUMMYFUNCTION("""COMPUTED_VALUE"""),"TALLER SFT DE COCINA Y REPOSTERÍA")</f>
        <v>TALLER SFT DE COCINA Y REPOSTERÍA</v>
      </c>
      <c r="D724" s="213" t="str">
        <f>IFERROR(__xludf.DUMMYFUNCTION("""COMPUTED_VALUE"""),"HERRAMIENTAS")</f>
        <v>HERRAMIENTAS</v>
      </c>
      <c r="E724" s="213" t="str">
        <f>IFERROR(__xludf.DUMMYFUNCTION("""COMPUTED_VALUE"""),"COM-285")</f>
        <v>COM-285</v>
      </c>
      <c r="F724" s="213" t="str">
        <f>IFERROR(__xludf.DUMMYFUNCTION("""COMPUTED_VALUE"""),"COM-285-X")</f>
        <v>COM-285-X</v>
      </c>
      <c r="G724" s="213"/>
      <c r="H724" s="213" t="str">
        <f>IFERROR(__xludf.DUMMYFUNCTION("""COMPUTED_VALUE"""),"RODILLO ACERO, MADERA, SILICONA")</f>
        <v>RODILLO ACERO, MADERA, SILICONA</v>
      </c>
      <c r="I724" s="213" t="str">
        <f>IFERROR(__xludf.DUMMYFUNCTION("""COMPUTED_VALUE"""),"· Rodillos de silicona y acero
· Tamaño 42 cm")</f>
        <v>· Rodillos de silicona y acero
· Tamaño 42 cm</v>
      </c>
      <c r="J724" s="213">
        <f>IFERROR(__xludf.DUMMYFUNCTION("""COMPUTED_VALUE"""),3.0)</f>
        <v>3</v>
      </c>
      <c r="K724" s="213" t="str">
        <f>IFERROR(__xludf.DUMMYFUNCTION("""COMPUTED_VALUE"""),"90 DÍAS CALENDARIO")</f>
        <v>90 DÍAS CALENDARIO</v>
      </c>
      <c r="L724" s="213" t="str">
        <f>IFERROR(__xludf.DUMMYFUNCTION("""COMPUTED_VALUE"""),"")</f>
        <v/>
      </c>
      <c r="M724" s="213">
        <f>IFERROR(__xludf.DUMMYFUNCTION("""COMPUTED_VALUE"""),1.0)</f>
        <v>1</v>
      </c>
      <c r="N724" s="213">
        <f>IFERROR(__xludf.DUMMYFUNCTION("""COMPUTED_VALUE"""),4.0)</f>
        <v>4</v>
      </c>
      <c r="O724" s="213">
        <f>IFERROR(__xludf.DUMMYFUNCTION("""COMPUTED_VALUE"""),4.0)</f>
        <v>4</v>
      </c>
      <c r="P724" s="213"/>
      <c r="Q724" s="213"/>
      <c r="R724" s="213" t="str">
        <f>IFERROR(__xludf.DUMMYFUNCTION("""COMPUTED_VALUE"""),"SI")</f>
        <v>SI</v>
      </c>
      <c r="S724" s="213"/>
      <c r="T724" s="213" t="str">
        <f>IFERROR(__xludf.DUMMYFUNCTION("""COMPUTED_VALUE"""),"SI")</f>
        <v>SI</v>
      </c>
      <c r="U724" s="213" t="str">
        <f>IFERROR(__xludf.DUMMYFUNCTION("""COMPUTED_VALUE"""),"SI")</f>
        <v>SI</v>
      </c>
      <c r="V724" s="213" t="str">
        <f>IFERROR(__xludf.DUMMYFUNCTION("""COMPUTED_VALUE"""),"-")</f>
        <v>-</v>
      </c>
      <c r="W724" s="213" t="str">
        <f>IFERROR(__xludf.DUMMYFUNCTION("""COMPUTED_VALUE"""),"-")</f>
        <v>-</v>
      </c>
      <c r="X724" s="213" t="str">
        <f>IFERROR(__xludf.DUMMYFUNCTION("""COMPUTED_VALUE"""),"Rueda Maquinaria")</f>
        <v>Rueda Maquinaria</v>
      </c>
      <c r="Y724" s="213" t="str">
        <f>IFERROR(__xludf.DUMMYFUNCTION("""COMPUTED_VALUE"""),"Rodillo giratorio")</f>
        <v>Rodillo giratorio</v>
      </c>
      <c r="Z724" s="215" t="str">
        <f>IFERROR(__xludf.DUMMYFUNCTION("""COMPUTED_VALUE"""),"https://ruedamaquinaria.com/tienda/Rodillos-para-Masa/1780-rodillo-giratorio-silicona.html")</f>
        <v>https://ruedamaquinaria.com/tienda/Rodillos-para-Masa/1780-rodillo-giratorio-silicona.html</v>
      </c>
      <c r="AA724" s="213" t="str">
        <f>IFERROR(__xludf.DUMMYFUNCTION("""COMPUTED_VALUE"""),"COM-285-X RODILLO ACERO, MADERA, SILICONA - CET")</f>
        <v>COM-285-X RODILLO ACERO, MADERA, SILICONA - CET</v>
      </c>
      <c r="AB724" s="213"/>
      <c r="AC724" s="213"/>
      <c r="AD724" s="213"/>
      <c r="AE724" s="213"/>
      <c r="AF724" s="213"/>
      <c r="AG724" s="213"/>
      <c r="AH724" s="213"/>
      <c r="AI724" s="213"/>
      <c r="AJ724" s="213"/>
      <c r="AK724" s="213"/>
      <c r="AL724" s="213"/>
      <c r="AM724" s="213"/>
      <c r="AN724" s="213"/>
      <c r="AO724" s="213"/>
      <c r="AP724" s="213" t="str">
        <f>IFERROR(__xludf.DUMMYFUNCTION("""COMPUTED_VALUE"""),"SEBASTIAN")</f>
        <v>SEBASTIAN</v>
      </c>
      <c r="AQ724" s="213"/>
      <c r="AR724" s="213"/>
      <c r="AS724" s="213"/>
      <c r="AT724" s="213"/>
      <c r="AU724" s="213"/>
      <c r="AV724" s="213"/>
      <c r="AW724" s="213"/>
      <c r="AX724" s="213"/>
      <c r="AY724" s="213"/>
      <c r="AZ724" s="213"/>
      <c r="BA724" s="213"/>
      <c r="BB724" s="213"/>
      <c r="BC724" s="213"/>
      <c r="BD724" s="213"/>
    </row>
    <row r="725">
      <c r="A725" s="213">
        <f>IFERROR(__xludf.DUMMYFUNCTION("""COMPUTED_VALUE"""),512.0)</f>
        <v>512</v>
      </c>
      <c r="B725" s="213" t="str">
        <f>IFERROR(__xludf.DUMMYFUNCTION("""COMPUTED_VALUE"""),"2026 SIMON BOLIVAR")</f>
        <v>2026 SIMON BOLIVAR</v>
      </c>
      <c r="C725" s="213" t="str">
        <f>IFERROR(__xludf.DUMMYFUNCTION("""COMPUTED_VALUE"""),"TALLER SFT DE INDUSTRIA ALIMENTARIA")</f>
        <v>TALLER SFT DE INDUSTRIA ALIMENTARIA</v>
      </c>
      <c r="D725" s="213" t="str">
        <f>IFERROR(__xludf.DUMMYFUNCTION("""COMPUTED_VALUE"""),"HERRAMIENTAS")</f>
        <v>HERRAMIENTAS</v>
      </c>
      <c r="E725" s="213" t="str">
        <f>IFERROR(__xludf.DUMMYFUNCTION("""COMPUTED_VALUE"""),"COM-285")</f>
        <v>COM-285</v>
      </c>
      <c r="F725" s="213" t="str">
        <f>IFERROR(__xludf.DUMMYFUNCTION("""COMPUTED_VALUE"""),"COM-285-Y")</f>
        <v>COM-285-Y</v>
      </c>
      <c r="G725" s="213"/>
      <c r="H725" s="213" t="str">
        <f>IFERROR(__xludf.DUMMYFUNCTION("""COMPUTED_VALUE"""),"RODILLO ACERO, MADERA, SILICONA")</f>
        <v>RODILLO ACERO, MADERA, SILICONA</v>
      </c>
      <c r="I725" s="213" t="str">
        <f>IFERROR(__xludf.DUMMYFUNCTION("""COMPUTED_VALUE"""),".  Rodillo de acero, madera, silicona
. Tamaño 42cm")</f>
        <v>.  Rodillo de acero, madera, silicona
. Tamaño 42cm</v>
      </c>
      <c r="J725" s="213">
        <f>IFERROR(__xludf.DUMMYFUNCTION("""COMPUTED_VALUE"""),3.0)</f>
        <v>3</v>
      </c>
      <c r="K725" s="213" t="str">
        <f>IFERROR(__xludf.DUMMYFUNCTION("""COMPUTED_VALUE"""),"90 DÍAS CALENDARIO")</f>
        <v>90 DÍAS CALENDARIO</v>
      </c>
      <c r="L725" s="213" t="str">
        <f>IFERROR(__xludf.DUMMYFUNCTION("""COMPUTED_VALUE"""),"")</f>
        <v/>
      </c>
      <c r="M725" s="213">
        <f>IFERROR(__xludf.DUMMYFUNCTION("""COMPUTED_VALUE"""),1.0)</f>
        <v>1</v>
      </c>
      <c r="N725" s="213">
        <f>IFERROR(__xludf.DUMMYFUNCTION("""COMPUTED_VALUE"""),4.0)</f>
        <v>4</v>
      </c>
      <c r="O725" s="213">
        <f>IFERROR(__xludf.DUMMYFUNCTION("""COMPUTED_VALUE"""),4.0)</f>
        <v>4</v>
      </c>
      <c r="P725" s="213"/>
      <c r="Q725" s="213"/>
      <c r="R725" s="213" t="str">
        <f>IFERROR(__xludf.DUMMYFUNCTION("""COMPUTED_VALUE"""),"SI")</f>
        <v>SI</v>
      </c>
      <c r="S725" s="213"/>
      <c r="T725" s="213" t="str">
        <f>IFERROR(__xludf.DUMMYFUNCTION("""COMPUTED_VALUE"""),"SI")</f>
        <v>SI</v>
      </c>
      <c r="U725" s="213" t="str">
        <f>IFERROR(__xludf.DUMMYFUNCTION("""COMPUTED_VALUE"""),"SI")</f>
        <v>SI</v>
      </c>
      <c r="V725" s="213" t="str">
        <f>IFERROR(__xludf.DUMMYFUNCTION("""COMPUTED_VALUE"""),"-")</f>
        <v>-</v>
      </c>
      <c r="W725" s="213" t="str">
        <f>IFERROR(__xludf.DUMMYFUNCTION("""COMPUTED_VALUE"""),"-")</f>
        <v>-</v>
      </c>
      <c r="X725" s="213" t="str">
        <f>IFERROR(__xludf.DUMMYFUNCTION("""COMPUTED_VALUE"""),"Rueda Maquinaria")</f>
        <v>Rueda Maquinaria</v>
      </c>
      <c r="Y725" s="213" t="str">
        <f>IFERROR(__xludf.DUMMYFUNCTION("""COMPUTED_VALUE"""),"Rodillo giratorio")</f>
        <v>Rodillo giratorio</v>
      </c>
      <c r="Z725" s="215" t="str">
        <f>IFERROR(__xludf.DUMMYFUNCTION("""COMPUTED_VALUE"""),"https://ruedamaquinaria.com/tienda/Rodillos-para-Masa/1780-rodillo-giratorio-silicona.html")</f>
        <v>https://ruedamaquinaria.com/tienda/Rodillos-para-Masa/1780-rodillo-giratorio-silicona.html</v>
      </c>
      <c r="AA725" s="213" t="str">
        <f>IFERROR(__xludf.DUMMYFUNCTION("""COMPUTED_VALUE"""),"COM-285-Y RODILLO ACERO, MADERA, SILICONA - CET")</f>
        <v>COM-285-Y RODILLO ACERO, MADERA, SILICONA - CET</v>
      </c>
      <c r="AB725" s="213"/>
      <c r="AC725" s="213"/>
      <c r="AD725" s="213"/>
      <c r="AE725" s="213"/>
      <c r="AF725" s="213"/>
      <c r="AG725" s="213"/>
      <c r="AH725" s="213"/>
      <c r="AI725" s="213"/>
      <c r="AJ725" s="213"/>
      <c r="AK725" s="213"/>
      <c r="AL725" s="213"/>
      <c r="AM725" s="213"/>
      <c r="AN725" s="213"/>
      <c r="AO725" s="213"/>
      <c r="AP725" s="213" t="str">
        <f>IFERROR(__xludf.DUMMYFUNCTION("""COMPUTED_VALUE"""),"LUIS")</f>
        <v>LUIS</v>
      </c>
      <c r="AQ725" s="213"/>
      <c r="AR725" s="213"/>
      <c r="AS725" s="213"/>
      <c r="AT725" s="213"/>
      <c r="AU725" s="213"/>
      <c r="AV725" s="213"/>
      <c r="AW725" s="213"/>
      <c r="AX725" s="213"/>
      <c r="AY725" s="213"/>
      <c r="AZ725" s="213"/>
      <c r="BA725" s="213"/>
      <c r="BB725" s="213"/>
      <c r="BC725" s="213"/>
      <c r="BD725" s="213"/>
    </row>
    <row r="726">
      <c r="A726" s="213">
        <f>IFERROR(__xludf.DUMMYFUNCTION("""COMPUTED_VALUE"""),1142.0)</f>
        <v>1142</v>
      </c>
      <c r="B726" s="213" t="str">
        <f>IFERROR(__xludf.DUMMYFUNCTION("""COMPUTED_VALUE"""),"FRANCISCO IRAZOLA")</f>
        <v>FRANCISCO IRAZOLA</v>
      </c>
      <c r="C726" s="213" t="str">
        <f>IFERROR(__xludf.DUMMYFUNCTION("""COMPUTED_VALUE"""),"TALLER SFT DE INDUSTRIA ALIMENTARIA")</f>
        <v>TALLER SFT DE INDUSTRIA ALIMENTARIA</v>
      </c>
      <c r="D726" s="213" t="str">
        <f>IFERROR(__xludf.DUMMYFUNCTION("""COMPUTED_VALUE"""),"HERRAMIENTAS")</f>
        <v>HERRAMIENTAS</v>
      </c>
      <c r="E726" s="213" t="str">
        <f>IFERROR(__xludf.DUMMYFUNCTION("""COMPUTED_VALUE"""),"COM-285")</f>
        <v>COM-285</v>
      </c>
      <c r="F726" s="213" t="str">
        <f>IFERROR(__xludf.DUMMYFUNCTION("""COMPUTED_VALUE"""),"COM-285-Y")</f>
        <v>COM-285-Y</v>
      </c>
      <c r="G726" s="213"/>
      <c r="H726" s="213" t="str">
        <f>IFERROR(__xludf.DUMMYFUNCTION("""COMPUTED_VALUE"""),"RODILLO ACERO, MADERA, SILICONA")</f>
        <v>RODILLO ACERO, MADERA, SILICONA</v>
      </c>
      <c r="I726" s="213" t="str">
        <f>IFERROR(__xludf.DUMMYFUNCTION("""COMPUTED_VALUE"""),".  Rodillo de acero, madera, silicona
. Tamaño 42cm")</f>
        <v>.  Rodillo de acero, madera, silicona
. Tamaño 42cm</v>
      </c>
      <c r="J726" s="213">
        <f>IFERROR(__xludf.DUMMYFUNCTION("""COMPUTED_VALUE"""),3.0)</f>
        <v>3</v>
      </c>
      <c r="K726" s="213" t="str">
        <f>IFERROR(__xludf.DUMMYFUNCTION("""COMPUTED_VALUE"""),"90 DÍAS CALENDARIO")</f>
        <v>90 DÍAS CALENDARIO</v>
      </c>
      <c r="L726" s="213" t="str">
        <f>IFERROR(__xludf.DUMMYFUNCTION("""COMPUTED_VALUE"""),"")</f>
        <v/>
      </c>
      <c r="M726" s="213">
        <f>IFERROR(__xludf.DUMMYFUNCTION("""COMPUTED_VALUE"""),1.0)</f>
        <v>1</v>
      </c>
      <c r="N726" s="213">
        <f>IFERROR(__xludf.DUMMYFUNCTION("""COMPUTED_VALUE"""),4.0)</f>
        <v>4</v>
      </c>
      <c r="O726" s="213">
        <f>IFERROR(__xludf.DUMMYFUNCTION("""COMPUTED_VALUE"""),4.0)</f>
        <v>4</v>
      </c>
      <c r="P726" s="213"/>
      <c r="Q726" s="213"/>
      <c r="R726" s="213" t="str">
        <f>IFERROR(__xludf.DUMMYFUNCTION("""COMPUTED_VALUE"""),"SI")</f>
        <v>SI</v>
      </c>
      <c r="S726" s="213"/>
      <c r="T726" s="213" t="str">
        <f>IFERROR(__xludf.DUMMYFUNCTION("""COMPUTED_VALUE"""),"SI")</f>
        <v>SI</v>
      </c>
      <c r="U726" s="213" t="str">
        <f>IFERROR(__xludf.DUMMYFUNCTION("""COMPUTED_VALUE"""),"SI")</f>
        <v>SI</v>
      </c>
      <c r="V726" s="213" t="str">
        <f>IFERROR(__xludf.DUMMYFUNCTION("""COMPUTED_VALUE"""),"-")</f>
        <v>-</v>
      </c>
      <c r="W726" s="213" t="str">
        <f>IFERROR(__xludf.DUMMYFUNCTION("""COMPUTED_VALUE"""),"-")</f>
        <v>-</v>
      </c>
      <c r="X726" s="213" t="str">
        <f>IFERROR(__xludf.DUMMYFUNCTION("""COMPUTED_VALUE"""),"Rueda Maquinaria")</f>
        <v>Rueda Maquinaria</v>
      </c>
      <c r="Y726" s="213" t="str">
        <f>IFERROR(__xludf.DUMMYFUNCTION("""COMPUTED_VALUE"""),"Rodillo giratorio")</f>
        <v>Rodillo giratorio</v>
      </c>
      <c r="Z726" s="215" t="str">
        <f>IFERROR(__xludf.DUMMYFUNCTION("""COMPUTED_VALUE"""),"https://ruedamaquinaria.com/tienda/Rodillos-para-Masa/1780-rodillo-giratorio-silicona.html")</f>
        <v>https://ruedamaquinaria.com/tienda/Rodillos-para-Masa/1780-rodillo-giratorio-silicona.html</v>
      </c>
      <c r="AA726" s="213" t="str">
        <f>IFERROR(__xludf.DUMMYFUNCTION("""COMPUTED_VALUE"""),"COM-285-Y RODILLO ACERO, MADERA, SILICONA - CET")</f>
        <v>COM-285-Y RODILLO ACERO, MADERA, SILICONA - CET</v>
      </c>
      <c r="AB726" s="213"/>
      <c r="AC726" s="213"/>
      <c r="AD726" s="213"/>
      <c r="AE726" s="213"/>
      <c r="AF726" s="213"/>
      <c r="AG726" s="213"/>
      <c r="AH726" s="213"/>
      <c r="AI726" s="213"/>
      <c r="AJ726" s="213"/>
      <c r="AK726" s="213"/>
      <c r="AL726" s="213"/>
      <c r="AM726" s="213"/>
      <c r="AN726" s="213"/>
      <c r="AO726" s="213"/>
      <c r="AP726" s="213" t="str">
        <f>IFERROR(__xludf.DUMMYFUNCTION("""COMPUTED_VALUE"""),"LUIS")</f>
        <v>LUIS</v>
      </c>
      <c r="AQ726" s="213"/>
      <c r="AR726" s="213"/>
      <c r="AS726" s="213"/>
      <c r="AT726" s="213"/>
      <c r="AU726" s="213"/>
      <c r="AV726" s="213"/>
      <c r="AW726" s="213"/>
      <c r="AX726" s="213"/>
      <c r="AY726" s="213"/>
      <c r="AZ726" s="213"/>
      <c r="BA726" s="213"/>
      <c r="BB726" s="213"/>
      <c r="BC726" s="213"/>
      <c r="BD726" s="213"/>
    </row>
    <row r="727">
      <c r="A727" s="213">
        <f>IFERROR(__xludf.DUMMYFUNCTION("""COMPUTED_VALUE"""),1414.0)</f>
        <v>1414</v>
      </c>
      <c r="B727" s="213" t="str">
        <f>IFERROR(__xludf.DUMMYFUNCTION("""COMPUTED_VALUE"""),"GUILLERMO E. BILLINGHURST ")</f>
        <v>GUILLERMO E. BILLINGHURST </v>
      </c>
      <c r="C727" s="213" t="str">
        <f>IFERROR(__xludf.DUMMYFUNCTION("""COMPUTED_VALUE"""),"TALLER SFT DE INDUSTRIA ALIMENTARIA")</f>
        <v>TALLER SFT DE INDUSTRIA ALIMENTARIA</v>
      </c>
      <c r="D727" s="213" t="str">
        <f>IFERROR(__xludf.DUMMYFUNCTION("""COMPUTED_VALUE"""),"HERRAMIENTAS")</f>
        <v>HERRAMIENTAS</v>
      </c>
      <c r="E727" s="213" t="str">
        <f>IFERROR(__xludf.DUMMYFUNCTION("""COMPUTED_VALUE"""),"COM-285")</f>
        <v>COM-285</v>
      </c>
      <c r="F727" s="213" t="str">
        <f>IFERROR(__xludf.DUMMYFUNCTION("""COMPUTED_VALUE"""),"COM-285-Y")</f>
        <v>COM-285-Y</v>
      </c>
      <c r="G727" s="213"/>
      <c r="H727" s="213" t="str">
        <f>IFERROR(__xludf.DUMMYFUNCTION("""COMPUTED_VALUE"""),"RODILLO ACERO, MADERA, SILICONA")</f>
        <v>RODILLO ACERO, MADERA, SILICONA</v>
      </c>
      <c r="I727" s="213" t="str">
        <f>IFERROR(__xludf.DUMMYFUNCTION("""COMPUTED_VALUE"""),".  Rodillo de acero, madera, silicona
. Tamaño 42cm")</f>
        <v>.  Rodillo de acero, madera, silicona
. Tamaño 42cm</v>
      </c>
      <c r="J727" s="213">
        <f>IFERROR(__xludf.DUMMYFUNCTION("""COMPUTED_VALUE"""),3.0)</f>
        <v>3</v>
      </c>
      <c r="K727" s="213" t="str">
        <f>IFERROR(__xludf.DUMMYFUNCTION("""COMPUTED_VALUE"""),"90 DÍAS CALENDARIO")</f>
        <v>90 DÍAS CALENDARIO</v>
      </c>
      <c r="L727" s="213" t="str">
        <f>IFERROR(__xludf.DUMMYFUNCTION("""COMPUTED_VALUE"""),"")</f>
        <v/>
      </c>
      <c r="M727" s="213">
        <f>IFERROR(__xludf.DUMMYFUNCTION("""COMPUTED_VALUE"""),1.0)</f>
        <v>1</v>
      </c>
      <c r="N727" s="213">
        <f>IFERROR(__xludf.DUMMYFUNCTION("""COMPUTED_VALUE"""),4.0)</f>
        <v>4</v>
      </c>
      <c r="O727" s="213">
        <f>IFERROR(__xludf.DUMMYFUNCTION("""COMPUTED_VALUE"""),4.0)</f>
        <v>4</v>
      </c>
      <c r="P727" s="213"/>
      <c r="Q727" s="213"/>
      <c r="R727" s="213" t="str">
        <f>IFERROR(__xludf.DUMMYFUNCTION("""COMPUTED_VALUE"""),"SI")</f>
        <v>SI</v>
      </c>
      <c r="S727" s="213"/>
      <c r="T727" s="213" t="str">
        <f>IFERROR(__xludf.DUMMYFUNCTION("""COMPUTED_VALUE"""),"SI")</f>
        <v>SI</v>
      </c>
      <c r="U727" s="213" t="str">
        <f>IFERROR(__xludf.DUMMYFUNCTION("""COMPUTED_VALUE"""),"SI")</f>
        <v>SI</v>
      </c>
      <c r="V727" s="213" t="str">
        <f>IFERROR(__xludf.DUMMYFUNCTION("""COMPUTED_VALUE"""),"-")</f>
        <v>-</v>
      </c>
      <c r="W727" s="213" t="str">
        <f>IFERROR(__xludf.DUMMYFUNCTION("""COMPUTED_VALUE"""),"-")</f>
        <v>-</v>
      </c>
      <c r="X727" s="213" t="str">
        <f>IFERROR(__xludf.DUMMYFUNCTION("""COMPUTED_VALUE"""),"Rueda Maquinaria")</f>
        <v>Rueda Maquinaria</v>
      </c>
      <c r="Y727" s="213" t="str">
        <f>IFERROR(__xludf.DUMMYFUNCTION("""COMPUTED_VALUE"""),"Rodillo giratorio")</f>
        <v>Rodillo giratorio</v>
      </c>
      <c r="Z727" s="215" t="str">
        <f>IFERROR(__xludf.DUMMYFUNCTION("""COMPUTED_VALUE"""),"https://ruedamaquinaria.com/tienda/Rodillos-para-Masa/1780-rodillo-giratorio-silicona.html")</f>
        <v>https://ruedamaquinaria.com/tienda/Rodillos-para-Masa/1780-rodillo-giratorio-silicona.html</v>
      </c>
      <c r="AA727" s="213" t="str">
        <f>IFERROR(__xludf.DUMMYFUNCTION("""COMPUTED_VALUE"""),"COM-285-Y RODILLO ACERO, MADERA, SILICONA - CET")</f>
        <v>COM-285-Y RODILLO ACERO, MADERA, SILICONA - CET</v>
      </c>
      <c r="AB727" s="213"/>
      <c r="AC727" s="213"/>
      <c r="AD727" s="213"/>
      <c r="AE727" s="213"/>
      <c r="AF727" s="213"/>
      <c r="AG727" s="213"/>
      <c r="AH727" s="213"/>
      <c r="AI727" s="213"/>
      <c r="AJ727" s="213"/>
      <c r="AK727" s="213"/>
      <c r="AL727" s="213"/>
      <c r="AM727" s="213"/>
      <c r="AN727" s="213"/>
      <c r="AO727" s="213"/>
      <c r="AP727" s="213" t="str">
        <f>IFERROR(__xludf.DUMMYFUNCTION("""COMPUTED_VALUE"""),"LUIS")</f>
        <v>LUIS</v>
      </c>
      <c r="AQ727" s="213"/>
      <c r="AR727" s="213"/>
      <c r="AS727" s="213"/>
      <c r="AT727" s="213"/>
      <c r="AU727" s="213"/>
      <c r="AV727" s="213"/>
      <c r="AW727" s="213"/>
      <c r="AX727" s="213"/>
      <c r="AY727" s="213"/>
      <c r="AZ727" s="213"/>
      <c r="BA727" s="213"/>
      <c r="BB727" s="213"/>
      <c r="BC727" s="213"/>
      <c r="BD727" s="213"/>
    </row>
    <row r="728">
      <c r="A728" s="213">
        <f>IFERROR(__xludf.DUMMYFUNCTION("""COMPUTED_VALUE"""),2101.0)</f>
        <v>2101</v>
      </c>
      <c r="B728" s="213" t="str">
        <f>IFERROR(__xludf.DUMMYFUNCTION("""COMPUTED_VALUE"""),"JOSE GRANDA")</f>
        <v>JOSE GRANDA</v>
      </c>
      <c r="C728" s="213" t="str">
        <f>IFERROR(__xludf.DUMMYFUNCTION("""COMPUTED_VALUE"""),"TALLER SFT DE INDUSTRIA ALIMENTARIA")</f>
        <v>TALLER SFT DE INDUSTRIA ALIMENTARIA</v>
      </c>
      <c r="D728" s="213" t="str">
        <f>IFERROR(__xludf.DUMMYFUNCTION("""COMPUTED_VALUE"""),"HERRAMIENTAS")</f>
        <v>HERRAMIENTAS</v>
      </c>
      <c r="E728" s="213" t="str">
        <f>IFERROR(__xludf.DUMMYFUNCTION("""COMPUTED_VALUE"""),"COM-285")</f>
        <v>COM-285</v>
      </c>
      <c r="F728" s="213" t="str">
        <f>IFERROR(__xludf.DUMMYFUNCTION("""COMPUTED_VALUE"""),"COM-285-Y")</f>
        <v>COM-285-Y</v>
      </c>
      <c r="G728" s="213"/>
      <c r="H728" s="213" t="str">
        <f>IFERROR(__xludf.DUMMYFUNCTION("""COMPUTED_VALUE"""),"RODILLO ACERO, MADERA, SILICONA")</f>
        <v>RODILLO ACERO, MADERA, SILICONA</v>
      </c>
      <c r="I728" s="213" t="str">
        <f>IFERROR(__xludf.DUMMYFUNCTION("""COMPUTED_VALUE"""),".  Rodillo de acero, madera, silicona
. Tamaño 42cm")</f>
        <v>.  Rodillo de acero, madera, silicona
. Tamaño 42cm</v>
      </c>
      <c r="J728" s="213">
        <f>IFERROR(__xludf.DUMMYFUNCTION("""COMPUTED_VALUE"""),3.0)</f>
        <v>3</v>
      </c>
      <c r="K728" s="213" t="str">
        <f>IFERROR(__xludf.DUMMYFUNCTION("""COMPUTED_VALUE"""),"90 DÍAS CALENDARIO")</f>
        <v>90 DÍAS CALENDARIO</v>
      </c>
      <c r="L728" s="213" t="str">
        <f>IFERROR(__xludf.DUMMYFUNCTION("""COMPUTED_VALUE"""),"")</f>
        <v/>
      </c>
      <c r="M728" s="213">
        <f>IFERROR(__xludf.DUMMYFUNCTION("""COMPUTED_VALUE"""),1.0)</f>
        <v>1</v>
      </c>
      <c r="N728" s="213">
        <f>IFERROR(__xludf.DUMMYFUNCTION("""COMPUTED_VALUE"""),4.0)</f>
        <v>4</v>
      </c>
      <c r="O728" s="213">
        <f>IFERROR(__xludf.DUMMYFUNCTION("""COMPUTED_VALUE"""),4.0)</f>
        <v>4</v>
      </c>
      <c r="P728" s="213"/>
      <c r="Q728" s="213"/>
      <c r="R728" s="213" t="str">
        <f>IFERROR(__xludf.DUMMYFUNCTION("""COMPUTED_VALUE"""),"SI")</f>
        <v>SI</v>
      </c>
      <c r="S728" s="213"/>
      <c r="T728" s="213" t="str">
        <f>IFERROR(__xludf.DUMMYFUNCTION("""COMPUTED_VALUE"""),"SI")</f>
        <v>SI</v>
      </c>
      <c r="U728" s="213" t="str">
        <f>IFERROR(__xludf.DUMMYFUNCTION("""COMPUTED_VALUE"""),"SI")</f>
        <v>SI</v>
      </c>
      <c r="V728" s="213" t="str">
        <f>IFERROR(__xludf.DUMMYFUNCTION("""COMPUTED_VALUE"""),"-")</f>
        <v>-</v>
      </c>
      <c r="W728" s="213" t="str">
        <f>IFERROR(__xludf.DUMMYFUNCTION("""COMPUTED_VALUE"""),"-")</f>
        <v>-</v>
      </c>
      <c r="X728" s="213" t="str">
        <f>IFERROR(__xludf.DUMMYFUNCTION("""COMPUTED_VALUE"""),"Rueda Maquinaria")</f>
        <v>Rueda Maquinaria</v>
      </c>
      <c r="Y728" s="213" t="str">
        <f>IFERROR(__xludf.DUMMYFUNCTION("""COMPUTED_VALUE"""),"Rodillo giratorio")</f>
        <v>Rodillo giratorio</v>
      </c>
      <c r="Z728" s="215" t="str">
        <f>IFERROR(__xludf.DUMMYFUNCTION("""COMPUTED_VALUE"""),"https://ruedamaquinaria.com/tienda/Rodillos-para-Masa/1780-rodillo-giratorio-silicona.html")</f>
        <v>https://ruedamaquinaria.com/tienda/Rodillos-para-Masa/1780-rodillo-giratorio-silicona.html</v>
      </c>
      <c r="AA728" s="213" t="str">
        <f>IFERROR(__xludf.DUMMYFUNCTION("""COMPUTED_VALUE"""),"COM-285-Y RODILLO ACERO, MADERA, SILICONA - CET")</f>
        <v>COM-285-Y RODILLO ACERO, MADERA, SILICONA - CET</v>
      </c>
      <c r="AB728" s="213"/>
      <c r="AC728" s="213"/>
      <c r="AD728" s="213"/>
      <c r="AE728" s="213"/>
      <c r="AF728" s="213"/>
      <c r="AG728" s="213"/>
      <c r="AH728" s="213"/>
      <c r="AI728" s="213"/>
      <c r="AJ728" s="213"/>
      <c r="AK728" s="213"/>
      <c r="AL728" s="213"/>
      <c r="AM728" s="213"/>
      <c r="AN728" s="213"/>
      <c r="AO728" s="213"/>
      <c r="AP728" s="213" t="str">
        <f>IFERROR(__xludf.DUMMYFUNCTION("""COMPUTED_VALUE"""),"LUIS")</f>
        <v>LUIS</v>
      </c>
      <c r="AQ728" s="213"/>
      <c r="AR728" s="213"/>
      <c r="AS728" s="213"/>
      <c r="AT728" s="213"/>
      <c r="AU728" s="213"/>
      <c r="AV728" s="213"/>
      <c r="AW728" s="213"/>
      <c r="AX728" s="213"/>
      <c r="AY728" s="213"/>
      <c r="AZ728" s="213"/>
      <c r="BA728" s="213"/>
      <c r="BB728" s="213"/>
      <c r="BC728" s="213"/>
      <c r="BD728" s="213"/>
    </row>
    <row r="729">
      <c r="A729" s="213">
        <f>IFERROR(__xludf.DUMMYFUNCTION("""COMPUTED_VALUE"""),174.0)</f>
        <v>174</v>
      </c>
      <c r="B729" s="213" t="str">
        <f>IFERROR(__xludf.DUMMYFUNCTION("""COMPUTED_VALUE"""),"2026 SIMON BOLIVAR")</f>
        <v>2026 SIMON BOLIVAR</v>
      </c>
      <c r="C729" s="213" t="str">
        <f>IFERROR(__xludf.DUMMYFUNCTION("""COMPUTED_VALUE"""),"TALLER SFT DE INDUSTRIA DEL VESTIDO")</f>
        <v>TALLER SFT DE INDUSTRIA DEL VESTIDO</v>
      </c>
      <c r="D729" s="213" t="str">
        <f>IFERROR(__xludf.DUMMYFUNCTION("""COMPUTED_VALUE"""),"HERRAMIENTAS")</f>
        <v>HERRAMIENTAS</v>
      </c>
      <c r="E729" s="213" t="str">
        <f>IFERROR(__xludf.DUMMYFUNCTION("""COMPUTED_VALUE"""),"COM-286")</f>
        <v>COM-286</v>
      </c>
      <c r="F729" s="213" t="str">
        <f>IFERROR(__xludf.DUMMYFUNCTION("""COMPUTED_VALUE"""),"COM-286")</f>
        <v>COM-286</v>
      </c>
      <c r="G729" s="213"/>
      <c r="H729" s="213" t="str">
        <f>IFERROR(__xludf.DUMMYFUNCTION("""COMPUTED_VALUE"""),"RULETA")</f>
        <v>RULETA</v>
      </c>
      <c r="I729" s="213" t="str">
        <f>IFERROR(__xludf.DUMMYFUNCTION("""COMPUTED_VALUE"""),"·       Para marcar patrones (cartulina, papeles, tela), con rueda dentada.
·       De acero inoxidable
·       Tamaño estándar. 150 mm.
·       Mango De Madera  o plástico
·       Rueda de metal")</f>
        <v>·       Para marcar patrones (cartulina, papeles, tela), con rueda dentada.
·       De acero inoxidable
·       Tamaño estándar. 150 mm.
·       Mango De Madera  o plástico
·       Rueda de metal</v>
      </c>
      <c r="J729" s="213">
        <f>IFERROR(__xludf.DUMMYFUNCTION("""COMPUTED_VALUE"""),3.0)</f>
        <v>3</v>
      </c>
      <c r="K729" s="213" t="str">
        <f>IFERROR(__xludf.DUMMYFUNCTION("""COMPUTED_VALUE"""),"90 DÍAS CALENDARIO")</f>
        <v>90 DÍAS CALENDARIO</v>
      </c>
      <c r="L729" s="213" t="str">
        <f>IFERROR(__xludf.DUMMYFUNCTION("""COMPUTED_VALUE"""),"")</f>
        <v/>
      </c>
      <c r="M729" s="213">
        <f>IFERROR(__xludf.DUMMYFUNCTION("""COMPUTED_VALUE"""),1.0)</f>
        <v>1</v>
      </c>
      <c r="N729" s="213">
        <f>IFERROR(__xludf.DUMMYFUNCTION("""COMPUTED_VALUE"""),5.0)</f>
        <v>5</v>
      </c>
      <c r="O729" s="213">
        <f>IFERROR(__xludf.DUMMYFUNCTION("""COMPUTED_VALUE"""),5.0)</f>
        <v>5</v>
      </c>
      <c r="P729" s="213"/>
      <c r="Q729" s="213"/>
      <c r="R729" s="213" t="str">
        <f>IFERROR(__xludf.DUMMYFUNCTION("""COMPUTED_VALUE"""),"SI")</f>
        <v>SI</v>
      </c>
      <c r="S729" s="213"/>
      <c r="T729" s="213" t="str">
        <f>IFERROR(__xludf.DUMMYFUNCTION("""COMPUTED_VALUE"""),"SI")</f>
        <v>SI</v>
      </c>
      <c r="U729" s="213" t="str">
        <f>IFERROR(__xludf.DUMMYFUNCTION("""COMPUTED_VALUE"""),"SI")</f>
        <v>SI</v>
      </c>
      <c r="V729" s="213" t="str">
        <f>IFERROR(__xludf.DUMMYFUNCTION("""COMPUTED_VALUE"""),"-")</f>
        <v>-</v>
      </c>
      <c r="W729" s="213" t="str">
        <f>IFERROR(__xludf.DUMMYFUNCTION("""COMPUTED_VALUE"""),"-")</f>
        <v>-</v>
      </c>
      <c r="X729" s="213" t="str">
        <f>IFERROR(__xludf.DUMMYFUNCTION("""COMPUTED_VALUE"""),"Kadimendium")</f>
        <v>Kadimendium</v>
      </c>
      <c r="Y729" s="213" t="str">
        <f>IFERROR(__xludf.DUMMYFUNCTION("""COMPUTED_VALUE"""),"Rueda de rastreo")</f>
        <v>Rueda de rastreo</v>
      </c>
      <c r="Z729" s="215" t="str">
        <f>IFERROR(__xludf.DUMMYFUNCTION("""COMPUTED_VALUE"""),"https://www.amazon.com/dp/B09ZWW7C5X/ref=sspa_dk_detail_5?psc=1&amp;pd_rd_i=B09ZWW7C5X&amp;pd_rd_w=0kW9L&amp;content-id=amzn1.sym.f2f1cf8f-cab4-44dc-82ba-0ca811fb90cc&amp;pf_rd_p=f2f1cf8f-cab4-44dc-82ba-0ca811fb90cc&amp;pf_rd_r=YNGC4SCNN57TG0AKMB1R&amp;pd_rd_wg=T13eg&amp;pd_rd_r=01f"&amp;"2e2ab-96cc-46c0-85cb-9fd69a817376&amp;sp_csd=d2lkZ2V0TmFtZT1zcF9kZXRhaWxfdGhlbWF0aWM")</f>
        <v>https://www.amazon.com/dp/B09ZWW7C5X/ref=sspa_dk_detail_5?psc=1&amp;pd_rd_i=B09ZWW7C5X&amp;pd_rd_w=0kW9L&amp;content-id=amzn1.sym.f2f1cf8f-cab4-44dc-82ba-0ca811fb90cc&amp;pf_rd_p=f2f1cf8f-cab4-44dc-82ba-0ca811fb90cc&amp;pf_rd_r=YNGC4SCNN57TG0AKMB1R&amp;pd_rd_wg=T13eg&amp;pd_rd_r=01f2e2ab-96cc-46c0-85cb-9fd69a817376&amp;sp_csd=d2lkZ2V0TmFtZT1zcF9kZXRhaWxfdGhlbWF0aWM</v>
      </c>
      <c r="AA729" s="213" t="str">
        <f>IFERROR(__xludf.DUMMYFUNCTION("""COMPUTED_VALUE"""),"COM-286 RULETA - CET")</f>
        <v>COM-286 RULETA - CET</v>
      </c>
      <c r="AB729" s="213"/>
      <c r="AC729" s="213"/>
      <c r="AD729" s="213"/>
      <c r="AE729" s="213"/>
      <c r="AF729" s="213"/>
      <c r="AG729" s="213"/>
      <c r="AH729" s="213"/>
      <c r="AI729" s="213"/>
      <c r="AJ729" s="213"/>
      <c r="AK729" s="213"/>
      <c r="AL729" s="213"/>
      <c r="AM729" s="213"/>
      <c r="AN729" s="213"/>
      <c r="AO729" s="213"/>
      <c r="AP729" s="213" t="str">
        <f>IFERROR(__xludf.DUMMYFUNCTION("""COMPUTED_VALUE"""),"SEBASTIAN")</f>
        <v>SEBASTIAN</v>
      </c>
      <c r="AQ729" s="213"/>
      <c r="AR729" s="213"/>
      <c r="AS729" s="213"/>
      <c r="AT729" s="213"/>
      <c r="AU729" s="213"/>
      <c r="AV729" s="213"/>
      <c r="AW729" s="213"/>
      <c r="AX729" s="213"/>
      <c r="AY729" s="213"/>
      <c r="AZ729" s="213"/>
      <c r="BA729" s="213"/>
      <c r="BB729" s="213"/>
      <c r="BC729" s="213"/>
      <c r="BD729" s="213"/>
    </row>
    <row r="730">
      <c r="A730" s="213">
        <f>IFERROR(__xludf.DUMMYFUNCTION("""COMPUTED_VALUE"""),2393.0)</f>
        <v>2393</v>
      </c>
      <c r="B730" s="213" t="str">
        <f>IFERROR(__xludf.DUMMYFUNCTION("""COMPUTED_VALUE"""),"MANUEL ANTONIO MESONES MURO")</f>
        <v>MANUEL ANTONIO MESONES MURO</v>
      </c>
      <c r="C730" s="213" t="str">
        <f>IFERROR(__xludf.DUMMYFUNCTION("""COMPUTED_VALUE"""),"TALLER SFT DE INDUSTRIA DEL VESTIDO")</f>
        <v>TALLER SFT DE INDUSTRIA DEL VESTIDO</v>
      </c>
      <c r="D730" s="213" t="str">
        <f>IFERROR(__xludf.DUMMYFUNCTION("""COMPUTED_VALUE"""),"HERRAMIENTAS")</f>
        <v>HERRAMIENTAS</v>
      </c>
      <c r="E730" s="213" t="str">
        <f>IFERROR(__xludf.DUMMYFUNCTION("""COMPUTED_VALUE"""),"COM-286")</f>
        <v>COM-286</v>
      </c>
      <c r="F730" s="213" t="str">
        <f>IFERROR(__xludf.DUMMYFUNCTION("""COMPUTED_VALUE"""),"COM-286")</f>
        <v>COM-286</v>
      </c>
      <c r="G730" s="213"/>
      <c r="H730" s="213" t="str">
        <f>IFERROR(__xludf.DUMMYFUNCTION("""COMPUTED_VALUE"""),"RULETA")</f>
        <v>RULETA</v>
      </c>
      <c r="I730" s="213" t="str">
        <f>IFERROR(__xludf.DUMMYFUNCTION("""COMPUTED_VALUE"""),"·       Para marcar patrones (cartulina, papeles, tela), con rueda dentada.
·       De acero inoxidable
·       Tamaño estándar. 150 mm.
·       Mango De Madera  o plástico
·       Rueda de metal")</f>
        <v>·       Para marcar patrones (cartulina, papeles, tela), con rueda dentada.
·       De acero inoxidable
·       Tamaño estándar. 150 mm.
·       Mango De Madera  o plástico
·       Rueda de metal</v>
      </c>
      <c r="J730" s="213">
        <f>IFERROR(__xludf.DUMMYFUNCTION("""COMPUTED_VALUE"""),3.0)</f>
        <v>3</v>
      </c>
      <c r="K730" s="213" t="str">
        <f>IFERROR(__xludf.DUMMYFUNCTION("""COMPUTED_VALUE"""),"90 DÍAS CALENDARIO")</f>
        <v>90 DÍAS CALENDARIO</v>
      </c>
      <c r="L730" s="213" t="str">
        <f>IFERROR(__xludf.DUMMYFUNCTION("""COMPUTED_VALUE"""),"")</f>
        <v/>
      </c>
      <c r="M730" s="213">
        <f>IFERROR(__xludf.DUMMYFUNCTION("""COMPUTED_VALUE"""),1.0)</f>
        <v>1</v>
      </c>
      <c r="N730" s="213">
        <f>IFERROR(__xludf.DUMMYFUNCTION("""COMPUTED_VALUE"""),5.0)</f>
        <v>5</v>
      </c>
      <c r="O730" s="213">
        <f>IFERROR(__xludf.DUMMYFUNCTION("""COMPUTED_VALUE"""),5.0)</f>
        <v>5</v>
      </c>
      <c r="P730" s="213"/>
      <c r="Q730" s="213"/>
      <c r="R730" s="213" t="str">
        <f>IFERROR(__xludf.DUMMYFUNCTION("""COMPUTED_VALUE"""),"SI")</f>
        <v>SI</v>
      </c>
      <c r="S730" s="213"/>
      <c r="T730" s="213" t="str">
        <f>IFERROR(__xludf.DUMMYFUNCTION("""COMPUTED_VALUE"""),"SI")</f>
        <v>SI</v>
      </c>
      <c r="U730" s="213" t="str">
        <f>IFERROR(__xludf.DUMMYFUNCTION("""COMPUTED_VALUE"""),"SI")</f>
        <v>SI</v>
      </c>
      <c r="V730" s="213" t="str">
        <f>IFERROR(__xludf.DUMMYFUNCTION("""COMPUTED_VALUE"""),"-")</f>
        <v>-</v>
      </c>
      <c r="W730" s="213" t="str">
        <f>IFERROR(__xludf.DUMMYFUNCTION("""COMPUTED_VALUE"""),"-")</f>
        <v>-</v>
      </c>
      <c r="X730" s="213" t="str">
        <f>IFERROR(__xludf.DUMMYFUNCTION("""COMPUTED_VALUE"""),"Kadimendium")</f>
        <v>Kadimendium</v>
      </c>
      <c r="Y730" s="213" t="str">
        <f>IFERROR(__xludf.DUMMYFUNCTION("""COMPUTED_VALUE"""),"Rueda de rastreo")</f>
        <v>Rueda de rastreo</v>
      </c>
      <c r="Z730" s="215" t="str">
        <f>IFERROR(__xludf.DUMMYFUNCTION("""COMPUTED_VALUE"""),"https://www.amazon.com/dp/B09ZWW7C5X/ref=sspa_dk_detail_5?psc=1&amp;pd_rd_i=B09ZWW7C5X&amp;pd_rd_w=0kW9L&amp;content-id=amzn1.sym.f2f1cf8f-cab4-44dc-82ba-0ca811fb90cc&amp;pf_rd_p=f2f1cf8f-cab4-44dc-82ba-0ca811fb90cc&amp;pf_rd_r=YNGC4SCNN57TG0AKMB1R&amp;pd_rd_wg=T13eg&amp;pd_rd_r=01f"&amp;"2e2ab-96cc-46c0-85cb-9fd69a817376&amp;sp_csd=d2lkZ2V0TmFtZT1zcF9kZXRhaWxfdGhlbWF0aWM")</f>
        <v>https://www.amazon.com/dp/B09ZWW7C5X/ref=sspa_dk_detail_5?psc=1&amp;pd_rd_i=B09ZWW7C5X&amp;pd_rd_w=0kW9L&amp;content-id=amzn1.sym.f2f1cf8f-cab4-44dc-82ba-0ca811fb90cc&amp;pf_rd_p=f2f1cf8f-cab4-44dc-82ba-0ca811fb90cc&amp;pf_rd_r=YNGC4SCNN57TG0AKMB1R&amp;pd_rd_wg=T13eg&amp;pd_rd_r=01f2e2ab-96cc-46c0-85cb-9fd69a817376&amp;sp_csd=d2lkZ2V0TmFtZT1zcF9kZXRhaWxfdGhlbWF0aWM</v>
      </c>
      <c r="AA730" s="213" t="str">
        <f>IFERROR(__xludf.DUMMYFUNCTION("""COMPUTED_VALUE"""),"COM-286 RULETA - CET")</f>
        <v>COM-286 RULETA - CET</v>
      </c>
      <c r="AB730" s="213"/>
      <c r="AC730" s="213"/>
      <c r="AD730" s="213"/>
      <c r="AE730" s="213"/>
      <c r="AF730" s="213"/>
      <c r="AG730" s="213"/>
      <c r="AH730" s="213"/>
      <c r="AI730" s="213"/>
      <c r="AJ730" s="213"/>
      <c r="AK730" s="213"/>
      <c r="AL730" s="213"/>
      <c r="AM730" s="213"/>
      <c r="AN730" s="213"/>
      <c r="AO730" s="213"/>
      <c r="AP730" s="213" t="str">
        <f>IFERROR(__xludf.DUMMYFUNCTION("""COMPUTED_VALUE"""),"SEBASTIAN")</f>
        <v>SEBASTIAN</v>
      </c>
      <c r="AQ730" s="213"/>
      <c r="AR730" s="213"/>
      <c r="AS730" s="213"/>
      <c r="AT730" s="213"/>
      <c r="AU730" s="213"/>
      <c r="AV730" s="213"/>
      <c r="AW730" s="213"/>
      <c r="AX730" s="213"/>
      <c r="AY730" s="213"/>
      <c r="AZ730" s="213"/>
      <c r="BA730" s="213"/>
      <c r="BB730" s="213"/>
      <c r="BC730" s="213"/>
      <c r="BD730" s="213"/>
    </row>
    <row r="731">
      <c r="A731" s="213">
        <f>IFERROR(__xludf.DUMMYFUNCTION("""COMPUTED_VALUE"""),53.0)</f>
        <v>53</v>
      </c>
      <c r="B731" s="213" t="str">
        <f>IFERROR(__xludf.DUMMYFUNCTION("""COMPUTED_VALUE"""),"16449 ELOY SOBERON  FLORES")</f>
        <v>16449 ELOY SOBERON  FLORES</v>
      </c>
      <c r="C731" s="213" t="str">
        <f>IFERROR(__xludf.DUMMYFUNCTION("""COMPUTED_VALUE"""),"TALLER SFT DE COCINA Y REPOSTERÍA")</f>
        <v>TALLER SFT DE COCINA Y REPOSTERÍA</v>
      </c>
      <c r="D731" s="213" t="str">
        <f>IFERROR(__xludf.DUMMYFUNCTION("""COMPUTED_VALUE"""),"HERRAMIENTAS")</f>
        <v>HERRAMIENTAS</v>
      </c>
      <c r="E731" s="213" t="str">
        <f>IFERROR(__xludf.DUMMYFUNCTION("""COMPUTED_VALUE"""),"COM-288")</f>
        <v>COM-288</v>
      </c>
      <c r="F731" s="213" t="str">
        <f>IFERROR(__xludf.DUMMYFUNCTION("""COMPUTED_VALUE"""),"COM-288")</f>
        <v>COM-288</v>
      </c>
      <c r="G731" s="213"/>
      <c r="H731" s="213" t="str">
        <f>IFERROR(__xludf.DUMMYFUNCTION("""COMPUTED_VALUE"""),"SIFON")</f>
        <v>SIFON</v>
      </c>
      <c r="I731" s="213" t="str">
        <f>IFERROR(__xludf.DUMMYFUNCTION("""COMPUTED_VALUE"""),"· Sifón con cuerpo y cabeza fabricados en acero inoxidable de alta resistencia.
. Incluye una boquilla y la válvula  desmontable para facilitar su lavado.
. Pueden lavarse en el lavavajillas.")</f>
        <v>· Sifón con cuerpo y cabeza fabricados en acero inoxidable de alta resistencia.
. Incluye una boquilla y la válvula  desmontable para facilitar su lavado.
. Pueden lavarse en el lavavajillas.</v>
      </c>
      <c r="J731" s="213">
        <f>IFERROR(__xludf.DUMMYFUNCTION("""COMPUTED_VALUE"""),3.0)</f>
        <v>3</v>
      </c>
      <c r="K731" s="213" t="str">
        <f>IFERROR(__xludf.DUMMYFUNCTION("""COMPUTED_VALUE"""),"90 DÍAS CALENDARIO")</f>
        <v>90 DÍAS CALENDARIO</v>
      </c>
      <c r="L731" s="213" t="str">
        <f>IFERROR(__xludf.DUMMYFUNCTION("""COMPUTED_VALUE"""),"")</f>
        <v/>
      </c>
      <c r="M731" s="213">
        <f>IFERROR(__xludf.DUMMYFUNCTION("""COMPUTED_VALUE"""),1.0)</f>
        <v>1</v>
      </c>
      <c r="N731" s="213">
        <f>IFERROR(__xludf.DUMMYFUNCTION("""COMPUTED_VALUE"""),4.0)</f>
        <v>4</v>
      </c>
      <c r="O731" s="213">
        <f>IFERROR(__xludf.DUMMYFUNCTION("""COMPUTED_VALUE"""),4.0)</f>
        <v>4</v>
      </c>
      <c r="P731" s="213"/>
      <c r="Q731" s="213"/>
      <c r="R731" s="213" t="str">
        <f>IFERROR(__xludf.DUMMYFUNCTION("""COMPUTED_VALUE"""),"SI")</f>
        <v>SI</v>
      </c>
      <c r="S731" s="213"/>
      <c r="T731" s="213" t="str">
        <f>IFERROR(__xludf.DUMMYFUNCTION("""COMPUTED_VALUE"""),"SI")</f>
        <v>SI</v>
      </c>
      <c r="U731" s="213" t="str">
        <f>IFERROR(__xludf.DUMMYFUNCTION("""COMPUTED_VALUE"""),"SI")</f>
        <v>SI</v>
      </c>
      <c r="V731" s="213" t="str">
        <f>IFERROR(__xludf.DUMMYFUNCTION("""COMPUTED_VALUE"""),"-")</f>
        <v>-</v>
      </c>
      <c r="W731" s="213" t="str">
        <f>IFERROR(__xludf.DUMMYFUNCTION("""COMPUTED_VALUE"""),"-")</f>
        <v>-</v>
      </c>
      <c r="X731" s="213" t="str">
        <f>IFERROR(__xludf.DUMMYFUNCTION("""COMPUTED_VALUE"""),"iSi America")</f>
        <v>iSi America</v>
      </c>
      <c r="Y731" s="213" t="str">
        <f>IFERROR(__xludf.DUMMYFUNCTION("""COMPUTED_VALUE"""),"Gourmet Whip")</f>
        <v>Gourmet Whip</v>
      </c>
      <c r="Z731" s="215" t="str">
        <f>IFERROR(__xludf.DUMMYFUNCTION("""COMPUTED_VALUE"""),"https://www.amazon.com/iSi-North-America-Applications-Stainless/dp/B001U83TWW?utm_source=chatgpt.com&amp;th=1")</f>
        <v>https://www.amazon.com/iSi-North-America-Applications-Stainless/dp/B001U83TWW?utm_source=chatgpt.com&amp;th=1</v>
      </c>
      <c r="AA731" s="213" t="str">
        <f>IFERROR(__xludf.DUMMYFUNCTION("""COMPUTED_VALUE"""),"COM-288 SIFON - CET")</f>
        <v>COM-288 SIFON - CET</v>
      </c>
      <c r="AB731" s="213"/>
      <c r="AC731" s="213"/>
      <c r="AD731" s="213"/>
      <c r="AE731" s="213"/>
      <c r="AF731" s="213"/>
      <c r="AG731" s="213"/>
      <c r="AH731" s="213"/>
      <c r="AI731" s="213"/>
      <c r="AJ731" s="213"/>
      <c r="AK731" s="213"/>
      <c r="AL731" s="213"/>
      <c r="AM731" s="213"/>
      <c r="AN731" s="213"/>
      <c r="AO731" s="213"/>
      <c r="AP731" s="213" t="str">
        <f>IFERROR(__xludf.DUMMYFUNCTION("""COMPUTED_VALUE"""),"SEBASTIAN")</f>
        <v>SEBASTIAN</v>
      </c>
      <c r="AQ731" s="213"/>
      <c r="AR731" s="213"/>
      <c r="AS731" s="213"/>
      <c r="AT731" s="213"/>
      <c r="AU731" s="213"/>
      <c r="AV731" s="213"/>
      <c r="AW731" s="213"/>
      <c r="AX731" s="213"/>
      <c r="AY731" s="213"/>
      <c r="AZ731" s="213"/>
      <c r="BA731" s="213"/>
      <c r="BB731" s="213"/>
      <c r="BC731" s="213"/>
      <c r="BD731" s="213"/>
    </row>
    <row r="732">
      <c r="A732" s="213">
        <f>IFERROR(__xludf.DUMMYFUNCTION("""COMPUTED_VALUE"""),90.0)</f>
        <v>90</v>
      </c>
      <c r="B732" s="213" t="str">
        <f>IFERROR(__xludf.DUMMYFUNCTION("""COMPUTED_VALUE"""),"16449 ELOY SOBERON  FLORES")</f>
        <v>16449 ELOY SOBERON  FLORES</v>
      </c>
      <c r="C732" s="213" t="str">
        <f>IFERROR(__xludf.DUMMYFUNCTION("""COMPUTED_VALUE"""),"TALLER SFT DE COCINA Y REPOSTERÍA")</f>
        <v>TALLER SFT DE COCINA Y REPOSTERÍA</v>
      </c>
      <c r="D732" s="213" t="str">
        <f>IFERROR(__xludf.DUMMYFUNCTION("""COMPUTED_VALUE"""),"EQUIPOS")</f>
        <v>EQUIPOS</v>
      </c>
      <c r="E732" s="213" t="str">
        <f>IFERROR(__xludf.DUMMYFUNCTION("""COMPUTED_VALUE"""),"ESP-166")</f>
        <v>ESP-166</v>
      </c>
      <c r="F732" s="213" t="str">
        <f>IFERROR(__xludf.DUMMYFUNCTION("""COMPUTED_VALUE"""),"ESP-166")</f>
        <v>ESP-166</v>
      </c>
      <c r="G732" s="213"/>
      <c r="H732" s="213" t="str">
        <f>IFERROR(__xludf.DUMMYFUNCTION("""COMPUTED_VALUE"""),"EXTRACTOR")</f>
        <v>EXTRACTOR</v>
      </c>
      <c r="I732" s="213" t="str">
        <f>IFERROR(__xludf.DUMMYFUNCTION("""COMPUTED_VALUE"""),".  Potencia mínima: 600 watts
.  Capacidad: 1 litro de jugo
.  Luz indicadora de encendido: Si
.  Velocidades:2
.  Dimensiones aproximadas:34 cm x 24 cm x 49 cm
VERA Hilda")</f>
        <v>.  Potencia mínima: 600 watts
.  Capacidad: 1 litro de jugo
.  Luz indicadora de encendido: Si
.  Velocidades:2
.  Dimensiones aproximadas:34 cm x 24 cm x 49 cm
VERA Hilda</v>
      </c>
      <c r="J732" s="213">
        <f>IFERROR(__xludf.DUMMYFUNCTION("""COMPUTED_VALUE"""),3.0)</f>
        <v>3</v>
      </c>
      <c r="K732" s="213" t="str">
        <f>IFERROR(__xludf.DUMMYFUNCTION("""COMPUTED_VALUE"""),"170 DÍAS CALENDARIO")</f>
        <v>170 DÍAS CALENDARIO</v>
      </c>
      <c r="L732" s="213" t="str">
        <f>IFERROR(__xludf.DUMMYFUNCTION("""COMPUTED_VALUE"""),"")</f>
        <v/>
      </c>
      <c r="M732" s="213">
        <f>IFERROR(__xludf.DUMMYFUNCTION("""COMPUTED_VALUE"""),1.0)</f>
        <v>1</v>
      </c>
      <c r="N732" s="213">
        <f>IFERROR(__xludf.DUMMYFUNCTION("""COMPUTED_VALUE"""),1.0)</f>
        <v>1</v>
      </c>
      <c r="O732" s="213">
        <f>IFERROR(__xludf.DUMMYFUNCTION("""COMPUTED_VALUE"""),1.0)</f>
        <v>1</v>
      </c>
      <c r="P732" s="213"/>
      <c r="Q732" s="213"/>
      <c r="R732" s="213"/>
      <c r="S732" s="213" t="str">
        <f>IFERROR(__xludf.DUMMYFUNCTION("""COMPUTED_VALUE"""),"SI")</f>
        <v>SI</v>
      </c>
      <c r="T732" s="213" t="str">
        <f>IFERROR(__xludf.DUMMYFUNCTION("""COMPUTED_VALUE"""),"SI")</f>
        <v>SI</v>
      </c>
      <c r="U732" s="213" t="str">
        <f>IFERROR(__xludf.DUMMYFUNCTION("""COMPUTED_VALUE"""),"NO")</f>
        <v>NO</v>
      </c>
      <c r="V732" s="213" t="str">
        <f>IFERROR(__xludf.DUMMYFUNCTION("""COMPUTED_VALUE"""),"SUSTENTO")</f>
        <v>SUSTENTO</v>
      </c>
      <c r="W732" s="213" t="str">
        <f>IFERROR(__xludf.DUMMYFUNCTION("""COMPUTED_VALUE"""),"DIMENSIONAL")</f>
        <v>DIMENSIONAL</v>
      </c>
      <c r="X732" s="213" t="str">
        <f>IFERROR(__xludf.DUMMYFUNCTION("""COMPUTED_VALUE"""),"THOMAS")</f>
        <v>THOMAS</v>
      </c>
      <c r="Y732" s="213" t="str">
        <f>IFERROR(__xludf.DUMMYFUNCTION("""COMPUTED_VALUE"""),"TH-2660I")</f>
        <v>TH-2660I</v>
      </c>
      <c r="Z732" s="215" t="str">
        <f>IFERROR(__xludf.DUMMYFUNCTION("""COMPUTED_VALUE"""),"https://hiraoka.com.pe/extractor-de-jugo-thomas-th-2660i")</f>
        <v>https://hiraoka.com.pe/extractor-de-jugo-thomas-th-2660i</v>
      </c>
      <c r="AA732" s="213" t="str">
        <f>IFERROR(__xludf.DUMMYFUNCTION("""COMPUTED_VALUE"""),"ESP-166 EXTRACTOR - CET")</f>
        <v>ESP-166 EXTRACTOR - CET</v>
      </c>
      <c r="AB732" s="213"/>
      <c r="AC732" s="213"/>
      <c r="AD732" s="213"/>
      <c r="AE732" s="213"/>
      <c r="AF732" s="213"/>
      <c r="AG732" s="213"/>
      <c r="AH732" s="213" t="str">
        <f>IFERROR(__xludf.DUMMYFUNCTION("""COMPUTED_VALUE"""),"NACIONAL")</f>
        <v>NACIONAL</v>
      </c>
      <c r="AI732" s="213"/>
      <c r="AJ732" s="213"/>
      <c r="AK732" s="213"/>
      <c r="AL732" s="213"/>
      <c r="AM732" s="213"/>
      <c r="AN732" s="213"/>
      <c r="AO732" s="213"/>
      <c r="AP732" s="213" t="str">
        <f>IFERROR(__xludf.DUMMYFUNCTION("""COMPUTED_VALUE"""),"JASON")</f>
        <v>JASON</v>
      </c>
      <c r="AQ732" s="213"/>
      <c r="AR732" s="213"/>
      <c r="AS732" s="213"/>
      <c r="AT732" s="213"/>
      <c r="AU732" s="213"/>
      <c r="AV732" s="213"/>
      <c r="AW732" s="213"/>
      <c r="AX732" s="213"/>
      <c r="AY732" s="213"/>
      <c r="AZ732" s="213"/>
      <c r="BA732" s="213"/>
      <c r="BB732" s="213"/>
      <c r="BC732" s="213"/>
      <c r="BD732" s="213"/>
    </row>
    <row r="733">
      <c r="A733" s="213">
        <f>IFERROR(__xludf.DUMMYFUNCTION("""COMPUTED_VALUE"""),2504.0)</f>
        <v>2504</v>
      </c>
      <c r="B733" s="213" t="str">
        <f>IFERROR(__xludf.DUMMYFUNCTION("""COMPUTED_VALUE"""),"MANUEL ANTONIO MESONES MURO")</f>
        <v>MANUEL ANTONIO MESONES MURO</v>
      </c>
      <c r="C733" s="213" t="str">
        <f>IFERROR(__xludf.DUMMYFUNCTION("""COMPUTED_VALUE"""),"TALLER SFT DE CONSTRUCCIONES METÁLICAS")</f>
        <v>TALLER SFT DE CONSTRUCCIONES METÁLICAS</v>
      </c>
      <c r="D733" s="213" t="str">
        <f>IFERROR(__xludf.DUMMYFUNCTION("""COMPUTED_VALUE"""),"EQUIPOS")</f>
        <v>EQUIPOS</v>
      </c>
      <c r="E733" s="213" t="str">
        <f>IFERROR(__xludf.DUMMYFUNCTION("""COMPUTED_VALUE"""),"ESP-187")</f>
        <v>ESP-187</v>
      </c>
      <c r="F733" s="213" t="str">
        <f>IFERROR(__xludf.DUMMYFUNCTION("""COMPUTED_VALUE"""),"ESP-187-Z")</f>
        <v>ESP-187-Z</v>
      </c>
      <c r="G733" s="213"/>
      <c r="H733" s="213" t="str">
        <f>IFERROR(__xludf.DUMMYFUNCTION("""COMPUTED_VALUE"""),"IMPRESORA 3D")</f>
        <v>IMPRESORA 3D</v>
      </c>
      <c r="I733" s="213" t="str">
        <f>IFERROR(__xludf.DUMMYFUNCTION("""COMPUTED_VALUE"""),"Características TECNOLOGÍA: FDM
VOLUMEN DE IMPRESIÓN: 25cm x 21cm x 21 cm MATERIAL DE IMPRESIÓN: PLA, HIPS CONECTIVIDAD: WiFi y USB 2.0
PLATAFORMA DE TRABAJO: Windows 11 o superior
ACCESORIOS: 01 Cable de poder, 01 Manual y 01 Rollo de filamento. FUENTE D"&amp;"E PODER: 220VAC /60 HZ
SOFTWARE INCLUIDO: Controladores, software de impresión de para Imagen en 3D. CERTIFICADO: Energy STAR y/o CE y/o FCC y/o RoHS.
GARANTÍA Tres (03) años Onsite.")</f>
        <v>Características TECNOLOGÍA: FDM
VOLUMEN DE IMPRESIÓN: 25cm x 21cm x 21 cm MATERIAL DE IMPRESIÓN: PLA, HIPS CONECTIVIDAD: WiFi y USB 2.0
PLATAFORMA DE TRABAJO: Windows 11 o superior
ACCESORIOS: 01 Cable de poder, 01 Manual y 01 Rollo de filamento. FUENTE DE PODER: 220VAC /60 HZ
SOFTWARE INCLUIDO: Controladores, software de impresión de para Imagen en 3D. CERTIFICADO: Energy STAR y/o CE y/o FCC y/o RoHS.
GARANTÍA Tres (03) años Onsite.</v>
      </c>
      <c r="J733" s="213">
        <f>IFERROR(__xludf.DUMMYFUNCTION("""COMPUTED_VALUE"""),3.0)</f>
        <v>3</v>
      </c>
      <c r="K733" s="213" t="str">
        <f>IFERROR(__xludf.DUMMYFUNCTION("""COMPUTED_VALUE"""),"170 DÍAS CALENDARIO")</f>
        <v>170 DÍAS CALENDARIO</v>
      </c>
      <c r="L733" s="213" t="str">
        <f>IFERROR(__xludf.DUMMYFUNCTION("""COMPUTED_VALUE"""),"")</f>
        <v/>
      </c>
      <c r="M733" s="213">
        <f>IFERROR(__xludf.DUMMYFUNCTION("""COMPUTED_VALUE"""),1.0)</f>
        <v>1</v>
      </c>
      <c r="N733" s="213">
        <f>IFERROR(__xludf.DUMMYFUNCTION("""COMPUTED_VALUE"""),4.0)</f>
        <v>4</v>
      </c>
      <c r="O733" s="213">
        <f>IFERROR(__xludf.DUMMYFUNCTION("""COMPUTED_VALUE"""),4.0)</f>
        <v>4</v>
      </c>
      <c r="P733" s="213"/>
      <c r="Q733" s="213"/>
      <c r="R733" s="213"/>
      <c r="S733" s="213" t="str">
        <f>IFERROR(__xludf.DUMMYFUNCTION("""COMPUTED_VALUE"""),"SI")</f>
        <v>SI</v>
      </c>
      <c r="T733" s="213" t="str">
        <f>IFERROR(__xludf.DUMMYFUNCTION("""COMPUTED_VALUE"""),"SI")</f>
        <v>SI</v>
      </c>
      <c r="U733" s="213" t="str">
        <f>IFERROR(__xludf.DUMMYFUNCTION("""COMPUTED_VALUE"""),"NO")</f>
        <v>NO</v>
      </c>
      <c r="V733" s="213" t="str">
        <f>IFERROR(__xludf.DUMMYFUNCTION("""COMPUTED_VALUE"""),"SUSTENTO")</f>
        <v>SUSTENTO</v>
      </c>
      <c r="W733" s="213" t="str">
        <f>IFERROR(__xludf.DUMMYFUNCTION("""COMPUTED_VALUE"""),"EQU TEC")</f>
        <v>EQU TEC</v>
      </c>
      <c r="X733" s="213" t="str">
        <f>IFERROR(__xludf.DUMMYFUNCTION("""COMPUTED_VALUE"""),"Creality")</f>
        <v>Creality</v>
      </c>
      <c r="Y733" s="213" t="str">
        <f>IFERROR(__xludf.DUMMYFUNCTION("""COMPUTED_VALUE"""),"K1 Max")</f>
        <v>K1 Max</v>
      </c>
      <c r="Z733" s="215" t="str">
        <f>IFERROR(__xludf.DUMMYFUNCTION("""COMPUTED_VALUE"""),"https://store.creality.com/es/products/k1-se-impresora-3d")</f>
        <v>https://store.creality.com/es/products/k1-se-impresora-3d</v>
      </c>
      <c r="AA733" s="213" t="str">
        <f>IFERROR(__xludf.DUMMYFUNCTION("""COMPUTED_VALUE"""),"ESP-187-C IMPRESORA 3D - CET")</f>
        <v>ESP-187-C IMPRESORA 3D - CET</v>
      </c>
      <c r="AB733" s="215" t="str">
        <f>IFERROR(__xludf.DUMMYFUNCTION("""COMPUTED_VALUE"""),"https://drive.google.com/file/d/1E0j0w1lERE5KzfLHnwjCYqpy91_mDAdB/view")</f>
        <v>https://drive.google.com/file/d/1E0j0w1lERE5KzfLHnwjCYqpy91_mDAdB/view</v>
      </c>
      <c r="AC733" s="213"/>
      <c r="AD733" s="213"/>
      <c r="AE733" s="213"/>
      <c r="AF733" s="213"/>
      <c r="AG733" s="213"/>
      <c r="AH733" s="213" t="str">
        <f>IFERROR(__xludf.DUMMYFUNCTION("""COMPUTED_VALUE"""),"IMPORTADO / NACIONAL")</f>
        <v>IMPORTADO / NACIONAL</v>
      </c>
      <c r="AI733" s="213"/>
      <c r="AJ733" s="213"/>
      <c r="AK733" s="213"/>
      <c r="AL733" s="213"/>
      <c r="AM733" s="213"/>
      <c r="AN733" s="213"/>
      <c r="AO733" s="213"/>
      <c r="AP733" s="213" t="str">
        <f>IFERROR(__xludf.DUMMYFUNCTION("""COMPUTED_VALUE"""),"NALDI")</f>
        <v>NALDI</v>
      </c>
      <c r="AQ733" s="213" t="str">
        <f>IFERROR(__xludf.DUMMYFUNCTION("""COMPUTED_VALUE"""),"GARANTÍA Tres (03) años Onsite.")</f>
        <v>GARANTÍA Tres (03) años Onsite.</v>
      </c>
      <c r="AR733" s="213"/>
      <c r="AS733"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733" s="217" t="str">
        <f>IFERROR(__xludf.DUMMYFUNCTION("""COMPUTED_VALUE"""),"Rollo de filamente PLA 1 kg
")</f>
        <v>Rollo de filamente PLA 1 kg
</v>
      </c>
      <c r="AU733" s="213"/>
      <c r="AV733" s="213"/>
      <c r="AW733" s="213"/>
      <c r="AX733" s="213"/>
      <c r="AY733" s="213"/>
      <c r="AZ733" s="213"/>
      <c r="BA733" s="213"/>
      <c r="BB733" s="213"/>
      <c r="BC733" s="213"/>
      <c r="BD733" s="213"/>
    </row>
    <row r="734">
      <c r="A734" s="213">
        <f>IFERROR(__xludf.DUMMYFUNCTION("""COMPUTED_VALUE"""),50.0)</f>
        <v>50</v>
      </c>
      <c r="B734" s="213" t="str">
        <f>IFERROR(__xludf.DUMMYFUNCTION("""COMPUTED_VALUE"""),"16449 ELOY SOBERON  FLORES")</f>
        <v>16449 ELOY SOBERON  FLORES</v>
      </c>
      <c r="C734" s="213" t="str">
        <f>IFERROR(__xludf.DUMMYFUNCTION("""COMPUTED_VALUE"""),"TALLER SFT DE COCINA Y REPOSTERÍA")</f>
        <v>TALLER SFT DE COCINA Y REPOSTERÍA</v>
      </c>
      <c r="D734" s="213" t="str">
        <f>IFERROR(__xludf.DUMMYFUNCTION("""COMPUTED_VALUE"""),"HERRAMIENTAS")</f>
        <v>HERRAMIENTAS</v>
      </c>
      <c r="E734" s="213" t="str">
        <f>IFERROR(__xludf.DUMMYFUNCTION("""COMPUTED_VALUE"""),"COM-291")</f>
        <v>COM-291</v>
      </c>
      <c r="F734" s="213" t="str">
        <f>IFERROR(__xludf.DUMMYFUNCTION("""COMPUTED_VALUE"""),"COM-291")</f>
        <v>COM-291</v>
      </c>
      <c r="G734" s="213"/>
      <c r="H734" s="213" t="str">
        <f>IFERROR(__xludf.DUMMYFUNCTION("""COMPUTED_VALUE"""),"SOPLETE DE COCINA MINI")</f>
        <v>SOPLETE DE COCINA MINI</v>
      </c>
      <c r="I734" s="213" t="str">
        <f>IFERROR(__xludf.DUMMYFUNCTION("""COMPUTED_VALUE"""),"· Set quemador, acompañado de 4 ramekines. Ideal para dar una presentación caramelizado de algunos platos.
· Recargable con gas azul universal (cargador de mecheros).
· Capacidad mínima de carga de gas: 65 ml.")</f>
        <v>· Set quemador, acompañado de 4 ramekines. Ideal para dar una presentación caramelizado de algunos platos.
· Recargable con gas azul universal (cargador de mecheros).
· Capacidad mínima de carga de gas: 65 ml.</v>
      </c>
      <c r="J734" s="213">
        <f>IFERROR(__xludf.DUMMYFUNCTION("""COMPUTED_VALUE"""),3.0)</f>
        <v>3</v>
      </c>
      <c r="K734" s="213" t="str">
        <f>IFERROR(__xludf.DUMMYFUNCTION("""COMPUTED_VALUE"""),"90 DÍAS CALENDARIO")</f>
        <v>90 DÍAS CALENDARIO</v>
      </c>
      <c r="L734" s="213" t="str">
        <f>IFERROR(__xludf.DUMMYFUNCTION("""COMPUTED_VALUE"""),"")</f>
        <v/>
      </c>
      <c r="M734" s="213">
        <f>IFERROR(__xludf.DUMMYFUNCTION("""COMPUTED_VALUE"""),1.0)</f>
        <v>1</v>
      </c>
      <c r="N734" s="213">
        <f>IFERROR(__xludf.DUMMYFUNCTION("""COMPUTED_VALUE"""),4.0)</f>
        <v>4</v>
      </c>
      <c r="O734" s="213">
        <f>IFERROR(__xludf.DUMMYFUNCTION("""COMPUTED_VALUE"""),4.0)</f>
        <v>4</v>
      </c>
      <c r="P734" s="213"/>
      <c r="Q734" s="213"/>
      <c r="R734" s="213" t="str">
        <f>IFERROR(__xludf.DUMMYFUNCTION("""COMPUTED_VALUE"""),"SI")</f>
        <v>SI</v>
      </c>
      <c r="S734" s="213"/>
      <c r="T734" s="213" t="str">
        <f>IFERROR(__xludf.DUMMYFUNCTION("""COMPUTED_VALUE"""),"CONSULTA FINAL")</f>
        <v>CONSULTA FINAL</v>
      </c>
      <c r="U734" s="213" t="str">
        <f>IFERROR(__xludf.DUMMYFUNCTION("""COMPUTED_VALUE"""),"NO")</f>
        <v>NO</v>
      </c>
      <c r="V734" s="213" t="str">
        <f>IFERROR(__xludf.DUMMYFUNCTION("""COMPUTED_VALUE"""),"SUSTENTO")</f>
        <v>SUSTENTO</v>
      </c>
      <c r="W734" s="213" t="str">
        <f>IFERROR(__xludf.DUMMYFUNCTION("""COMPUTED_VALUE"""),"DIMENSIONAL")</f>
        <v>DIMENSIONAL</v>
      </c>
      <c r="X734" s="213" t="str">
        <f>IFERROR(__xludf.DUMMYFUNCTION("""COMPUTED_VALUE"""),"BonJour")</f>
        <v>BonJour</v>
      </c>
      <c r="Y734" s="213" t="str">
        <f>IFERROR(__xludf.DUMMYFUNCTION("""COMPUTED_VALUE"""),"Chef's Tools 53489")</f>
        <v>Chef's Tools 53489</v>
      </c>
      <c r="Z734" s="215" t="str">
        <f>IFERROR(__xludf.DUMMYFUNCTION("""COMPUTED_VALUE"""),"https://www.amazon.com/-/es/BonJour-Chefs-Tools-53489-inoxidable/dp/B000IZRWKI/ref=sr_1_3?crid=2C5J1M2J5DSMR&amp;dib=eyJ2IjoiMSJ9.6PUMt0JSN79GUZgr8UHnvwcZ3i-q4_rINBnSU4i7nYB1EJ03L2UFEYBlrZvhSb9D2ziZSuGGuSkZ4rRImfBPdx5aIBDac4HaZXkRJXwkH8Jht58gvtr1vQcMbAHRzq41R"&amp;"Gxh8NCshcwKvZOX5WsxWZcOBP-sEEhinyCzpbjSi9LXhS6u517TvnSsQ8C0Y_VbZ0nPXwQST_ubMGeojpWi67uwJfkM0MLY9wu6qIQupJM.wUmddQV12EIjDosLmrVepvl5rTa-0qY6LelZTrIra_0&amp;dib_tag=se&amp;keywords=soplete+de+cocina+mini+con+ramekins+CARGA+65+ML&amp;qid=1759180616&amp;sprefix=soplete+de+co"&amp;"cina+mini+con+ramekins+carga+65+ml%2Caps%2C159&amp;sr=8-3&amp;xpid=q2Ba1qI_6hdYT")</f>
        <v>https://www.amazon.com/-/es/BonJour-Chefs-Tools-53489-inoxidable/dp/B000IZRWKI/ref=sr_1_3?crid=2C5J1M2J5DSMR&amp;dib=eyJ2IjoiMSJ9.6PUMt0JSN79GUZgr8UHnvwcZ3i-q4_rINBnSU4i7nYB1EJ03L2UFEYBlrZvhSb9D2ziZSuGGuSkZ4rRImfBPdx5aIBDac4HaZXkRJXwkH8Jht58gvtr1vQcMbAHRzq41RGxh8NCshcwKvZOX5WsxWZcOBP-sEEhinyCzpbjSi9LXhS6u517TvnSsQ8C0Y_VbZ0nPXwQST_ubMGeojpWi67uwJfkM0MLY9wu6qIQupJM.wUmddQV12EIjDosLmrVepvl5rTa-0qY6LelZTrIra_0&amp;dib_tag=se&amp;keywords=soplete+de+cocina+mini+con+ramekins+CARGA+65+ML&amp;qid=1759180616&amp;sprefix=soplete+de+cocina+mini+con+ramekins+carga+65+ml%2Caps%2C159&amp;sr=8-3&amp;xpid=q2Ba1qI_6hdYT</v>
      </c>
      <c r="AA734" s="213" t="str">
        <f>IFERROR(__xludf.DUMMYFUNCTION("""COMPUTED_VALUE"""),"COM-291 SOPLETE DE COCINA MINI - CET")</f>
        <v>COM-291 SOPLETE DE COCINA MINI - CET</v>
      </c>
      <c r="AB734" s="213"/>
      <c r="AC734" s="213"/>
      <c r="AD734" s="213"/>
      <c r="AE734" s="213"/>
      <c r="AF734" s="213"/>
      <c r="AG734" s="213"/>
      <c r="AH734" s="213"/>
      <c r="AI734" s="213"/>
      <c r="AJ734" s="213"/>
      <c r="AK734" s="213"/>
      <c r="AL734" s="213"/>
      <c r="AM734" s="213"/>
      <c r="AN734" s="213"/>
      <c r="AO734" s="213"/>
      <c r="AP734" s="213" t="str">
        <f>IFERROR(__xludf.DUMMYFUNCTION("""COMPUTED_VALUE"""),"SEBASTIAN")</f>
        <v>SEBASTIAN</v>
      </c>
      <c r="AQ734" s="213"/>
      <c r="AR734" s="213"/>
      <c r="AS734" s="213"/>
      <c r="AT734" s="213"/>
      <c r="AU734" s="213"/>
      <c r="AV734" s="213"/>
      <c r="AW734" s="213"/>
      <c r="AX734" s="213"/>
      <c r="AY734" s="213"/>
      <c r="AZ734" s="213"/>
      <c r="BA734" s="213"/>
      <c r="BB734" s="213"/>
      <c r="BC734" s="213"/>
      <c r="BD734" s="213"/>
    </row>
    <row r="735">
      <c r="A735" s="213">
        <f>IFERROR(__xludf.DUMMYFUNCTION("""COMPUTED_VALUE"""),644.0)</f>
        <v>644</v>
      </c>
      <c r="B735" s="213" t="str">
        <f>IFERROR(__xludf.DUMMYFUNCTION("""COMPUTED_VALUE"""),"6049 RICARDO PALMA")</f>
        <v>6049 RICARDO PALMA</v>
      </c>
      <c r="C735" s="213" t="str">
        <f>IFERROR(__xludf.DUMMYFUNCTION("""COMPUTED_VALUE"""),"TALLER SFT DE ELECTRÓNICA")</f>
        <v>TALLER SFT DE ELECTRÓNICA</v>
      </c>
      <c r="D735" s="213" t="str">
        <f>IFERROR(__xludf.DUMMYFUNCTION("""COMPUTED_VALUE"""),"HERRAMIENTAS")</f>
        <v>HERRAMIENTAS</v>
      </c>
      <c r="E735" s="213" t="str">
        <f>IFERROR(__xludf.DUMMYFUNCTION("""COMPUTED_VALUE"""),"COM-294")</f>
        <v>COM-294</v>
      </c>
      <c r="F735" s="213" t="str">
        <f>IFERROR(__xludf.DUMMYFUNCTION("""COMPUTED_VALUE"""),"COM-294")</f>
        <v>COM-294</v>
      </c>
      <c r="G735" s="213"/>
      <c r="H735" s="213" t="str">
        <f>IFERROR(__xludf.DUMMYFUNCTION("""COMPUTED_VALUE"""),"TAPETE Y SUJETADOR DE PLACAS")</f>
        <v>TAPETE Y SUJETADOR DE PLACAS</v>
      </c>
      <c r="I735" s="213" t="str">
        <f>IFERROR(__xludf.DUMMYFUNCTION("""COMPUTED_VALUE"""),"· Tapete de plástico
· Propiedad: Antiestático
· Incluye:
· Sujetador de placas
· Material: Metálico")</f>
        <v>· Tapete de plástico
· Propiedad: Antiestático
· Incluye:
· Sujetador de placas
· Material: Metálico</v>
      </c>
      <c r="J735" s="213">
        <f>IFERROR(__xludf.DUMMYFUNCTION("""COMPUTED_VALUE"""),3.0)</f>
        <v>3</v>
      </c>
      <c r="K735" s="213" t="str">
        <f>IFERROR(__xludf.DUMMYFUNCTION("""COMPUTED_VALUE"""),"90 DÍAS CALENDARIO")</f>
        <v>90 DÍAS CALENDARIO</v>
      </c>
      <c r="L735" s="213" t="str">
        <f>IFERROR(__xludf.DUMMYFUNCTION("""COMPUTED_VALUE"""),"")</f>
        <v/>
      </c>
      <c r="M735" s="213">
        <f>IFERROR(__xludf.DUMMYFUNCTION("""COMPUTED_VALUE"""),1.0)</f>
        <v>1</v>
      </c>
      <c r="N735" s="213">
        <f>IFERROR(__xludf.DUMMYFUNCTION("""COMPUTED_VALUE"""),4.0)</f>
        <v>4</v>
      </c>
      <c r="O735" s="213">
        <f>IFERROR(__xludf.DUMMYFUNCTION("""COMPUTED_VALUE"""),4.0)</f>
        <v>4</v>
      </c>
      <c r="P735" s="213"/>
      <c r="Q735" s="213"/>
      <c r="R735" s="213" t="str">
        <f>IFERROR(__xludf.DUMMYFUNCTION("""COMPUTED_VALUE"""),"SI")</f>
        <v>SI</v>
      </c>
      <c r="S735" s="213"/>
      <c r="T735" s="213" t="str">
        <f>IFERROR(__xludf.DUMMYFUNCTION("""COMPUTED_VALUE"""),"SI")</f>
        <v>SI</v>
      </c>
      <c r="U735" s="213" t="str">
        <f>IFERROR(__xludf.DUMMYFUNCTION("""COMPUTED_VALUE"""),"SI")</f>
        <v>SI</v>
      </c>
      <c r="V735" s="213" t="str">
        <f>IFERROR(__xludf.DUMMYFUNCTION("""COMPUTED_VALUE"""),"-")</f>
        <v>-</v>
      </c>
      <c r="W735" s="213" t="str">
        <f>IFERROR(__xludf.DUMMYFUNCTION("""COMPUTED_VALUE"""),"-")</f>
        <v>-</v>
      </c>
      <c r="X735" s="213" t="str">
        <f>IFERROR(__xludf.DUMMYFUNCTION("""COMPUTED_VALUE"""),"GENERICO")</f>
        <v>GENERICO</v>
      </c>
      <c r="Y735" s="213" t="str">
        <f>IFERROR(__xludf.DUMMYFUNCTION("""COMPUTED_VALUE"""),"GENERICO")</f>
        <v>GENERICO</v>
      </c>
      <c r="Z735" s="215" t="str">
        <f>IFERROR(__xludf.DUMMYFUNCTION("""COMPUTED_VALUE"""),"https://www.falabella.com.pe/falabella-pe/product/140467513/Alfombrilla-Tapete-Antiestatico-S180-55x35-Reparacion-para-Cell-Laptop/140467514")</f>
        <v>https://www.falabella.com.pe/falabella-pe/product/140467513/Alfombrilla-Tapete-Antiestatico-S180-55x35-Reparacion-para-Cell-Laptop/140467514</v>
      </c>
      <c r="AA735" s="213" t="str">
        <f>IFERROR(__xludf.DUMMYFUNCTION("""COMPUTED_VALUE"""),"COM-294 TAPETE Y SUJETADOR DE PLACAS - CET")</f>
        <v>COM-294 TAPETE Y SUJETADOR DE PLACAS - CET</v>
      </c>
      <c r="AB735" s="213"/>
      <c r="AC735" s="213"/>
      <c r="AD735" s="213"/>
      <c r="AE735" s="213"/>
      <c r="AF735" s="213"/>
      <c r="AG735" s="213"/>
      <c r="AH735" s="213"/>
      <c r="AI735" s="213"/>
      <c r="AJ735" s="213"/>
      <c r="AK735" s="213"/>
      <c r="AL735" s="213"/>
      <c r="AM735" s="213"/>
      <c r="AN735" s="213"/>
      <c r="AO735" s="213"/>
      <c r="AP735" s="213" t="str">
        <f>IFERROR(__xludf.DUMMYFUNCTION("""COMPUTED_VALUE"""),"LUIS")</f>
        <v>LUIS</v>
      </c>
      <c r="AQ735" s="213"/>
      <c r="AR735" s="213"/>
      <c r="AS735" s="213"/>
      <c r="AT735" s="213"/>
      <c r="AU735" s="213"/>
      <c r="AV735" s="213"/>
      <c r="AW735" s="213"/>
      <c r="AX735" s="213"/>
      <c r="AY735" s="213"/>
      <c r="AZ735" s="213"/>
      <c r="BA735" s="213"/>
      <c r="BB735" s="213"/>
      <c r="BC735" s="213"/>
      <c r="BD735" s="213"/>
    </row>
    <row r="736">
      <c r="A736" s="213">
        <f>IFERROR(__xludf.DUMMYFUNCTION("""COMPUTED_VALUE"""),522.0)</f>
        <v>522</v>
      </c>
      <c r="B736" s="213" t="str">
        <f>IFERROR(__xludf.DUMMYFUNCTION("""COMPUTED_VALUE"""),"2026 SIMON BOLIVAR")</f>
        <v>2026 SIMON BOLIVAR</v>
      </c>
      <c r="C736" s="213" t="str">
        <f>IFERROR(__xludf.DUMMYFUNCTION("""COMPUTED_VALUE"""),"TALLER SFT DE INDUSTRIA ALIMENTARIA")</f>
        <v>TALLER SFT DE INDUSTRIA ALIMENTARIA</v>
      </c>
      <c r="D736" s="213" t="str">
        <f>IFERROR(__xludf.DUMMYFUNCTION("""COMPUTED_VALUE"""),"HERRAMIENTAS")</f>
        <v>HERRAMIENTAS</v>
      </c>
      <c r="E736" s="213" t="str">
        <f>IFERROR(__xludf.DUMMYFUNCTION("""COMPUTED_VALUE"""),"COM-295")</f>
        <v>COM-295</v>
      </c>
      <c r="F736" s="213" t="str">
        <f>IFERROR(__xludf.DUMMYFUNCTION("""COMPUTED_VALUE"""),"COM-295")</f>
        <v>COM-295</v>
      </c>
      <c r="G736" s="213"/>
      <c r="H736" s="213" t="str">
        <f>IFERROR(__xludf.DUMMYFUNCTION("""COMPUTED_VALUE"""),"TAZA CERNIDORA DE HARINA ACERO INOXIDABLE PASTELERÍA")</f>
        <v>TAZA CERNIDORA DE HARINA ACERO INOXIDABLE PASTELERÍA</v>
      </c>
      <c r="I736" s="213" t="str">
        <f>IFERROR(__xludf.DUMMYFUNCTION("""COMPUTED_VALUE"""),". Material: Acero inoxidable
. Color plata
. Tamaño: 9.4 cm x 15.2 cm x 10 cm.")</f>
        <v>. Material: Acero inoxidable
. Color plata
. Tamaño: 9.4 cm x 15.2 cm x 10 cm.</v>
      </c>
      <c r="J736" s="213">
        <f>IFERROR(__xludf.DUMMYFUNCTION("""COMPUTED_VALUE"""),3.0)</f>
        <v>3</v>
      </c>
      <c r="K736" s="213" t="str">
        <f>IFERROR(__xludf.DUMMYFUNCTION("""COMPUTED_VALUE"""),"90 DÍAS CALENDARIO")</f>
        <v>90 DÍAS CALENDARIO</v>
      </c>
      <c r="L736" s="213" t="str">
        <f>IFERROR(__xludf.DUMMYFUNCTION("""COMPUTED_VALUE"""),"")</f>
        <v/>
      </c>
      <c r="M736" s="213">
        <f>IFERROR(__xludf.DUMMYFUNCTION("""COMPUTED_VALUE"""),1.0)</f>
        <v>1</v>
      </c>
      <c r="N736" s="213">
        <f>IFERROR(__xludf.DUMMYFUNCTION("""COMPUTED_VALUE"""),5.0)</f>
        <v>5</v>
      </c>
      <c r="O736" s="213">
        <f>IFERROR(__xludf.DUMMYFUNCTION("""COMPUTED_VALUE"""),5.0)</f>
        <v>5</v>
      </c>
      <c r="P736" s="213"/>
      <c r="Q736" s="213"/>
      <c r="R736" s="213" t="str">
        <f>IFERROR(__xludf.DUMMYFUNCTION("""COMPUTED_VALUE"""),"SI")</f>
        <v>SI</v>
      </c>
      <c r="S736" s="213"/>
      <c r="T736" s="213" t="str">
        <f>IFERROR(__xludf.DUMMYFUNCTION("""COMPUTED_VALUE"""),"SI")</f>
        <v>SI</v>
      </c>
      <c r="U736" s="213" t="str">
        <f>IFERROR(__xludf.DUMMYFUNCTION("""COMPUTED_VALUE"""),"SI")</f>
        <v>SI</v>
      </c>
      <c r="V736" s="213" t="str">
        <f>IFERROR(__xludf.DUMMYFUNCTION("""COMPUTED_VALUE"""),"-")</f>
        <v>-</v>
      </c>
      <c r="W736" s="213" t="str">
        <f>IFERROR(__xludf.DUMMYFUNCTION("""COMPUTED_VALUE"""),"-")</f>
        <v>-</v>
      </c>
      <c r="X736" s="213" t="str">
        <f>IFERROR(__xludf.DUMMYFUNCTION("""COMPUTED_VALUE"""),"GIBBEN")</f>
        <v>GIBBEN</v>
      </c>
      <c r="Y736" s="213">
        <f>IFERROR(__xludf.DUMMYFUNCTION("""COMPUTED_VALUE"""),1380683.0)</f>
        <v>1380683</v>
      </c>
      <c r="Z736" s="215" t="str">
        <f>IFERROR(__xludf.DUMMYFUNCTION("""COMPUTED_VALUE"""),"https://simple.ripley.com.pe/taza-gibben-cernidor-plateado-a-tamizadora-chica-reposteria-pmp00003112707?srsltid=AfmBOorF4Fq0XUAbLh5Z_ZZcIytS7Qxh7hEzb8Fpyoa6_IdMdWBKO1IA&amp;color_80=plateado&amp;s=mdco")</f>
        <v>https://simple.ripley.com.pe/taza-gibben-cernidor-plateado-a-tamizadora-chica-reposteria-pmp00003112707?srsltid=AfmBOorF4Fq0XUAbLh5Z_ZZcIytS7Qxh7hEzb8Fpyoa6_IdMdWBKO1IA&amp;color_80=plateado&amp;s=mdco</v>
      </c>
      <c r="AA736" s="213" t="str">
        <f>IFERROR(__xludf.DUMMYFUNCTION("""COMPUTED_VALUE"""),"COM-295 TAZA CERNIDORA DE HARINA ACERO INOXIDABLE PASTELERÍA - CET")</f>
        <v>COM-295 TAZA CERNIDORA DE HARINA ACERO INOXIDABLE PASTELERÍA - CET</v>
      </c>
      <c r="AB736" s="213"/>
      <c r="AC736" s="213"/>
      <c r="AD736" s="213"/>
      <c r="AE736" s="213"/>
      <c r="AF736" s="213"/>
      <c r="AG736" s="213"/>
      <c r="AH736" s="213"/>
      <c r="AI736" s="213"/>
      <c r="AJ736" s="213"/>
      <c r="AK736" s="213"/>
      <c r="AL736" s="213"/>
      <c r="AM736" s="213"/>
      <c r="AN736" s="213"/>
      <c r="AO736" s="213"/>
      <c r="AP736" s="213" t="str">
        <f>IFERROR(__xludf.DUMMYFUNCTION("""COMPUTED_VALUE"""),"LUIS")</f>
        <v>LUIS</v>
      </c>
      <c r="AQ736" s="213"/>
      <c r="AR736" s="213"/>
      <c r="AS736" s="213"/>
      <c r="AT736" s="213"/>
      <c r="AU736" s="213"/>
      <c r="AV736" s="213"/>
      <c r="AW736" s="213"/>
      <c r="AX736" s="213"/>
      <c r="AY736" s="213"/>
      <c r="AZ736" s="213"/>
      <c r="BA736" s="213"/>
      <c r="BB736" s="213"/>
      <c r="BC736" s="213"/>
      <c r="BD736" s="213"/>
    </row>
    <row r="737">
      <c r="A737" s="213">
        <f>IFERROR(__xludf.DUMMYFUNCTION("""COMPUTED_VALUE"""),1152.0)</f>
        <v>1152</v>
      </c>
      <c r="B737" s="213" t="str">
        <f>IFERROR(__xludf.DUMMYFUNCTION("""COMPUTED_VALUE"""),"FRANCISCO IRAZOLA")</f>
        <v>FRANCISCO IRAZOLA</v>
      </c>
      <c r="C737" s="213" t="str">
        <f>IFERROR(__xludf.DUMMYFUNCTION("""COMPUTED_VALUE"""),"TALLER SFT DE INDUSTRIA ALIMENTARIA")</f>
        <v>TALLER SFT DE INDUSTRIA ALIMENTARIA</v>
      </c>
      <c r="D737" s="213" t="str">
        <f>IFERROR(__xludf.DUMMYFUNCTION("""COMPUTED_VALUE"""),"HERRAMIENTAS")</f>
        <v>HERRAMIENTAS</v>
      </c>
      <c r="E737" s="213" t="str">
        <f>IFERROR(__xludf.DUMMYFUNCTION("""COMPUTED_VALUE"""),"COM-295")</f>
        <v>COM-295</v>
      </c>
      <c r="F737" s="213" t="str">
        <f>IFERROR(__xludf.DUMMYFUNCTION("""COMPUTED_VALUE"""),"COM-295")</f>
        <v>COM-295</v>
      </c>
      <c r="G737" s="213"/>
      <c r="H737" s="213" t="str">
        <f>IFERROR(__xludf.DUMMYFUNCTION("""COMPUTED_VALUE"""),"TAZA CERNIDORA DE HARINA ACERO INOXIDABLE PASTELERÍA")</f>
        <v>TAZA CERNIDORA DE HARINA ACERO INOXIDABLE PASTELERÍA</v>
      </c>
      <c r="I737" s="213" t="str">
        <f>IFERROR(__xludf.DUMMYFUNCTION("""COMPUTED_VALUE"""),". Material: Acero inoxidable
. Color plata
. Tamaño: 9.4 cm x 15.2 cm x 10 cm.")</f>
        <v>. Material: Acero inoxidable
. Color plata
. Tamaño: 9.4 cm x 15.2 cm x 10 cm.</v>
      </c>
      <c r="J737" s="213">
        <f>IFERROR(__xludf.DUMMYFUNCTION("""COMPUTED_VALUE"""),3.0)</f>
        <v>3</v>
      </c>
      <c r="K737" s="213" t="str">
        <f>IFERROR(__xludf.DUMMYFUNCTION("""COMPUTED_VALUE"""),"90 DÍAS CALENDARIO")</f>
        <v>90 DÍAS CALENDARIO</v>
      </c>
      <c r="L737" s="213" t="str">
        <f>IFERROR(__xludf.DUMMYFUNCTION("""COMPUTED_VALUE"""),"")</f>
        <v/>
      </c>
      <c r="M737" s="213">
        <f>IFERROR(__xludf.DUMMYFUNCTION("""COMPUTED_VALUE"""),1.0)</f>
        <v>1</v>
      </c>
      <c r="N737" s="213">
        <f>IFERROR(__xludf.DUMMYFUNCTION("""COMPUTED_VALUE"""),5.0)</f>
        <v>5</v>
      </c>
      <c r="O737" s="213">
        <f>IFERROR(__xludf.DUMMYFUNCTION("""COMPUTED_VALUE"""),5.0)</f>
        <v>5</v>
      </c>
      <c r="P737" s="213"/>
      <c r="Q737" s="213"/>
      <c r="R737" s="213" t="str">
        <f>IFERROR(__xludf.DUMMYFUNCTION("""COMPUTED_VALUE"""),"SI")</f>
        <v>SI</v>
      </c>
      <c r="S737" s="213"/>
      <c r="T737" s="213" t="str">
        <f>IFERROR(__xludf.DUMMYFUNCTION("""COMPUTED_VALUE"""),"SI")</f>
        <v>SI</v>
      </c>
      <c r="U737" s="213" t="str">
        <f>IFERROR(__xludf.DUMMYFUNCTION("""COMPUTED_VALUE"""),"SI")</f>
        <v>SI</v>
      </c>
      <c r="V737" s="213" t="str">
        <f>IFERROR(__xludf.DUMMYFUNCTION("""COMPUTED_VALUE"""),"-")</f>
        <v>-</v>
      </c>
      <c r="W737" s="213" t="str">
        <f>IFERROR(__xludf.DUMMYFUNCTION("""COMPUTED_VALUE"""),"-")</f>
        <v>-</v>
      </c>
      <c r="X737" s="213" t="str">
        <f>IFERROR(__xludf.DUMMYFUNCTION("""COMPUTED_VALUE"""),"GIBBEN")</f>
        <v>GIBBEN</v>
      </c>
      <c r="Y737" s="213">
        <f>IFERROR(__xludf.DUMMYFUNCTION("""COMPUTED_VALUE"""),1380683.0)</f>
        <v>1380683</v>
      </c>
      <c r="Z737" s="215" t="str">
        <f>IFERROR(__xludf.DUMMYFUNCTION("""COMPUTED_VALUE"""),"https://simple.ripley.com.pe/taza-gibben-cernidor-plateado-a-tamizadora-chica-reposteria-pmp00003112707?srsltid=AfmBOorF4Fq0XUAbLh5Z_ZZcIytS7Qxh7hEzb8Fpyoa6_IdMdWBKO1IA&amp;color_80=plateado&amp;s=mdco")</f>
        <v>https://simple.ripley.com.pe/taza-gibben-cernidor-plateado-a-tamizadora-chica-reposteria-pmp00003112707?srsltid=AfmBOorF4Fq0XUAbLh5Z_ZZcIytS7Qxh7hEzb8Fpyoa6_IdMdWBKO1IA&amp;color_80=plateado&amp;s=mdco</v>
      </c>
      <c r="AA737" s="213" t="str">
        <f>IFERROR(__xludf.DUMMYFUNCTION("""COMPUTED_VALUE"""),"COM-295 TAZA CERNIDORA DE HARINA ACERO INOXIDABLE PASTELERÍA - CET")</f>
        <v>COM-295 TAZA CERNIDORA DE HARINA ACERO INOXIDABLE PASTELERÍA - CET</v>
      </c>
      <c r="AB737" s="213"/>
      <c r="AC737" s="213"/>
      <c r="AD737" s="213"/>
      <c r="AE737" s="213"/>
      <c r="AF737" s="213"/>
      <c r="AG737" s="213"/>
      <c r="AH737" s="213"/>
      <c r="AI737" s="213"/>
      <c r="AJ737" s="213"/>
      <c r="AK737" s="213"/>
      <c r="AL737" s="213"/>
      <c r="AM737" s="213"/>
      <c r="AN737" s="213"/>
      <c r="AO737" s="213"/>
      <c r="AP737" s="213" t="str">
        <f>IFERROR(__xludf.DUMMYFUNCTION("""COMPUTED_VALUE"""),"LUIS")</f>
        <v>LUIS</v>
      </c>
      <c r="AQ737" s="213"/>
      <c r="AR737" s="213"/>
      <c r="AS737" s="213"/>
      <c r="AT737" s="213"/>
      <c r="AU737" s="213"/>
      <c r="AV737" s="213"/>
      <c r="AW737" s="213"/>
      <c r="AX737" s="213"/>
      <c r="AY737" s="213"/>
      <c r="AZ737" s="213"/>
      <c r="BA737" s="213"/>
      <c r="BB737" s="213"/>
      <c r="BC737" s="213"/>
      <c r="BD737" s="213"/>
    </row>
    <row r="738">
      <c r="A738" s="213">
        <f>IFERROR(__xludf.DUMMYFUNCTION("""COMPUTED_VALUE"""),1424.0)</f>
        <v>1424</v>
      </c>
      <c r="B738" s="213" t="str">
        <f>IFERROR(__xludf.DUMMYFUNCTION("""COMPUTED_VALUE"""),"GUILLERMO E. BILLINGHURST ")</f>
        <v>GUILLERMO E. BILLINGHURST </v>
      </c>
      <c r="C738" s="213" t="str">
        <f>IFERROR(__xludf.DUMMYFUNCTION("""COMPUTED_VALUE"""),"TALLER SFT DE INDUSTRIA ALIMENTARIA")</f>
        <v>TALLER SFT DE INDUSTRIA ALIMENTARIA</v>
      </c>
      <c r="D738" s="213" t="str">
        <f>IFERROR(__xludf.DUMMYFUNCTION("""COMPUTED_VALUE"""),"HERRAMIENTAS")</f>
        <v>HERRAMIENTAS</v>
      </c>
      <c r="E738" s="213" t="str">
        <f>IFERROR(__xludf.DUMMYFUNCTION("""COMPUTED_VALUE"""),"COM-295")</f>
        <v>COM-295</v>
      </c>
      <c r="F738" s="213" t="str">
        <f>IFERROR(__xludf.DUMMYFUNCTION("""COMPUTED_VALUE"""),"COM-295")</f>
        <v>COM-295</v>
      </c>
      <c r="G738" s="213"/>
      <c r="H738" s="213" t="str">
        <f>IFERROR(__xludf.DUMMYFUNCTION("""COMPUTED_VALUE"""),"TAZA CERNIDORA DE HARINA ACERO INOXIDABLE PASTELERÍA")</f>
        <v>TAZA CERNIDORA DE HARINA ACERO INOXIDABLE PASTELERÍA</v>
      </c>
      <c r="I738" s="213" t="str">
        <f>IFERROR(__xludf.DUMMYFUNCTION("""COMPUTED_VALUE"""),". Material: Acero inoxidable
. Color plata
. Tamaño: 9.4 cm x 15.2 cm x 10 cm.")</f>
        <v>. Material: Acero inoxidable
. Color plata
. Tamaño: 9.4 cm x 15.2 cm x 10 cm.</v>
      </c>
      <c r="J738" s="213">
        <f>IFERROR(__xludf.DUMMYFUNCTION("""COMPUTED_VALUE"""),3.0)</f>
        <v>3</v>
      </c>
      <c r="K738" s="213" t="str">
        <f>IFERROR(__xludf.DUMMYFUNCTION("""COMPUTED_VALUE"""),"90 DÍAS CALENDARIO")</f>
        <v>90 DÍAS CALENDARIO</v>
      </c>
      <c r="L738" s="213" t="str">
        <f>IFERROR(__xludf.DUMMYFUNCTION("""COMPUTED_VALUE"""),"")</f>
        <v/>
      </c>
      <c r="M738" s="213">
        <f>IFERROR(__xludf.DUMMYFUNCTION("""COMPUTED_VALUE"""),1.0)</f>
        <v>1</v>
      </c>
      <c r="N738" s="213">
        <f>IFERROR(__xludf.DUMMYFUNCTION("""COMPUTED_VALUE"""),5.0)</f>
        <v>5</v>
      </c>
      <c r="O738" s="213">
        <f>IFERROR(__xludf.DUMMYFUNCTION("""COMPUTED_VALUE"""),5.0)</f>
        <v>5</v>
      </c>
      <c r="P738" s="213"/>
      <c r="Q738" s="213"/>
      <c r="R738" s="213" t="str">
        <f>IFERROR(__xludf.DUMMYFUNCTION("""COMPUTED_VALUE"""),"SI")</f>
        <v>SI</v>
      </c>
      <c r="S738" s="213"/>
      <c r="T738" s="213" t="str">
        <f>IFERROR(__xludf.DUMMYFUNCTION("""COMPUTED_VALUE"""),"SI")</f>
        <v>SI</v>
      </c>
      <c r="U738" s="213" t="str">
        <f>IFERROR(__xludf.DUMMYFUNCTION("""COMPUTED_VALUE"""),"SI")</f>
        <v>SI</v>
      </c>
      <c r="V738" s="213" t="str">
        <f>IFERROR(__xludf.DUMMYFUNCTION("""COMPUTED_VALUE"""),"-")</f>
        <v>-</v>
      </c>
      <c r="W738" s="213" t="str">
        <f>IFERROR(__xludf.DUMMYFUNCTION("""COMPUTED_VALUE"""),"-")</f>
        <v>-</v>
      </c>
      <c r="X738" s="213" t="str">
        <f>IFERROR(__xludf.DUMMYFUNCTION("""COMPUTED_VALUE"""),"GIBBEN")</f>
        <v>GIBBEN</v>
      </c>
      <c r="Y738" s="213">
        <f>IFERROR(__xludf.DUMMYFUNCTION("""COMPUTED_VALUE"""),1380683.0)</f>
        <v>1380683</v>
      </c>
      <c r="Z738" s="215" t="str">
        <f>IFERROR(__xludf.DUMMYFUNCTION("""COMPUTED_VALUE"""),"https://simple.ripley.com.pe/taza-gibben-cernidor-plateado-a-tamizadora-chica-reposteria-pmp00003112707?srsltid=AfmBOorF4Fq0XUAbLh5Z_ZZcIytS7Qxh7hEzb8Fpyoa6_IdMdWBKO1IA&amp;color_80=plateado&amp;s=mdco")</f>
        <v>https://simple.ripley.com.pe/taza-gibben-cernidor-plateado-a-tamizadora-chica-reposteria-pmp00003112707?srsltid=AfmBOorF4Fq0XUAbLh5Z_ZZcIytS7Qxh7hEzb8Fpyoa6_IdMdWBKO1IA&amp;color_80=plateado&amp;s=mdco</v>
      </c>
      <c r="AA738" s="213" t="str">
        <f>IFERROR(__xludf.DUMMYFUNCTION("""COMPUTED_VALUE"""),"COM-295 TAZA CERNIDORA DE HARINA ACERO INOXIDABLE PASTELERÍA - CET")</f>
        <v>COM-295 TAZA CERNIDORA DE HARINA ACERO INOXIDABLE PASTELERÍA - CET</v>
      </c>
      <c r="AB738" s="213"/>
      <c r="AC738" s="213"/>
      <c r="AD738" s="213"/>
      <c r="AE738" s="213"/>
      <c r="AF738" s="213"/>
      <c r="AG738" s="213"/>
      <c r="AH738" s="213"/>
      <c r="AI738" s="213"/>
      <c r="AJ738" s="213"/>
      <c r="AK738" s="213"/>
      <c r="AL738" s="213"/>
      <c r="AM738" s="213"/>
      <c r="AN738" s="213"/>
      <c r="AO738" s="213"/>
      <c r="AP738" s="213" t="str">
        <f>IFERROR(__xludf.DUMMYFUNCTION("""COMPUTED_VALUE"""),"LUIS")</f>
        <v>LUIS</v>
      </c>
      <c r="AQ738" s="213"/>
      <c r="AR738" s="213"/>
      <c r="AS738" s="213"/>
      <c r="AT738" s="213"/>
      <c r="AU738" s="213"/>
      <c r="AV738" s="213"/>
      <c r="AW738" s="213"/>
      <c r="AX738" s="213"/>
      <c r="AY738" s="213"/>
      <c r="AZ738" s="213"/>
      <c r="BA738" s="213"/>
      <c r="BB738" s="213"/>
      <c r="BC738" s="213"/>
      <c r="BD738" s="213"/>
    </row>
    <row r="739">
      <c r="A739" s="213">
        <f>IFERROR(__xludf.DUMMYFUNCTION("""COMPUTED_VALUE"""),2111.0)</f>
        <v>2111</v>
      </c>
      <c r="B739" s="213" t="str">
        <f>IFERROR(__xludf.DUMMYFUNCTION("""COMPUTED_VALUE"""),"JOSE GRANDA")</f>
        <v>JOSE GRANDA</v>
      </c>
      <c r="C739" s="213" t="str">
        <f>IFERROR(__xludf.DUMMYFUNCTION("""COMPUTED_VALUE"""),"TALLER SFT DE INDUSTRIA ALIMENTARIA")</f>
        <v>TALLER SFT DE INDUSTRIA ALIMENTARIA</v>
      </c>
      <c r="D739" s="213" t="str">
        <f>IFERROR(__xludf.DUMMYFUNCTION("""COMPUTED_VALUE"""),"HERRAMIENTAS")</f>
        <v>HERRAMIENTAS</v>
      </c>
      <c r="E739" s="213" t="str">
        <f>IFERROR(__xludf.DUMMYFUNCTION("""COMPUTED_VALUE"""),"COM-295")</f>
        <v>COM-295</v>
      </c>
      <c r="F739" s="213" t="str">
        <f>IFERROR(__xludf.DUMMYFUNCTION("""COMPUTED_VALUE"""),"COM-295")</f>
        <v>COM-295</v>
      </c>
      <c r="G739" s="213"/>
      <c r="H739" s="213" t="str">
        <f>IFERROR(__xludf.DUMMYFUNCTION("""COMPUTED_VALUE"""),"TAZA CERNIDORA DE HARINA ACERO INOXIDABLE PASTELERÍA")</f>
        <v>TAZA CERNIDORA DE HARINA ACERO INOXIDABLE PASTELERÍA</v>
      </c>
      <c r="I739" s="213" t="str">
        <f>IFERROR(__xludf.DUMMYFUNCTION("""COMPUTED_VALUE"""),". Material: Acero inoxidable
. Color plata
. Tamaño: 9.4 cm x 15.2 cm x 10 cm.")</f>
        <v>. Material: Acero inoxidable
. Color plata
. Tamaño: 9.4 cm x 15.2 cm x 10 cm.</v>
      </c>
      <c r="J739" s="213">
        <f>IFERROR(__xludf.DUMMYFUNCTION("""COMPUTED_VALUE"""),3.0)</f>
        <v>3</v>
      </c>
      <c r="K739" s="213" t="str">
        <f>IFERROR(__xludf.DUMMYFUNCTION("""COMPUTED_VALUE"""),"90 DÍAS CALENDARIO")</f>
        <v>90 DÍAS CALENDARIO</v>
      </c>
      <c r="L739" s="213" t="str">
        <f>IFERROR(__xludf.DUMMYFUNCTION("""COMPUTED_VALUE"""),"")</f>
        <v/>
      </c>
      <c r="M739" s="213">
        <f>IFERROR(__xludf.DUMMYFUNCTION("""COMPUTED_VALUE"""),1.0)</f>
        <v>1</v>
      </c>
      <c r="N739" s="213">
        <f>IFERROR(__xludf.DUMMYFUNCTION("""COMPUTED_VALUE"""),5.0)</f>
        <v>5</v>
      </c>
      <c r="O739" s="213">
        <f>IFERROR(__xludf.DUMMYFUNCTION("""COMPUTED_VALUE"""),5.0)</f>
        <v>5</v>
      </c>
      <c r="P739" s="213"/>
      <c r="Q739" s="213"/>
      <c r="R739" s="213" t="str">
        <f>IFERROR(__xludf.DUMMYFUNCTION("""COMPUTED_VALUE"""),"SI")</f>
        <v>SI</v>
      </c>
      <c r="S739" s="213"/>
      <c r="T739" s="213" t="str">
        <f>IFERROR(__xludf.DUMMYFUNCTION("""COMPUTED_VALUE"""),"SI")</f>
        <v>SI</v>
      </c>
      <c r="U739" s="213" t="str">
        <f>IFERROR(__xludf.DUMMYFUNCTION("""COMPUTED_VALUE"""),"SI")</f>
        <v>SI</v>
      </c>
      <c r="V739" s="213" t="str">
        <f>IFERROR(__xludf.DUMMYFUNCTION("""COMPUTED_VALUE"""),"-")</f>
        <v>-</v>
      </c>
      <c r="W739" s="213" t="str">
        <f>IFERROR(__xludf.DUMMYFUNCTION("""COMPUTED_VALUE"""),"-")</f>
        <v>-</v>
      </c>
      <c r="X739" s="213" t="str">
        <f>IFERROR(__xludf.DUMMYFUNCTION("""COMPUTED_VALUE"""),"GIBBEN")</f>
        <v>GIBBEN</v>
      </c>
      <c r="Y739" s="213">
        <f>IFERROR(__xludf.DUMMYFUNCTION("""COMPUTED_VALUE"""),1380683.0)</f>
        <v>1380683</v>
      </c>
      <c r="Z739" s="215" t="str">
        <f>IFERROR(__xludf.DUMMYFUNCTION("""COMPUTED_VALUE"""),"https://simple.ripley.com.pe/taza-gibben-cernidor-plateado-a-tamizadora-chica-reposteria-pmp00003112707?srsltid=AfmBOorF4Fq0XUAbLh5Z_ZZcIytS7Qxh7hEzb8Fpyoa6_IdMdWBKO1IA&amp;color_80=plateado&amp;s=mdco")</f>
        <v>https://simple.ripley.com.pe/taza-gibben-cernidor-plateado-a-tamizadora-chica-reposteria-pmp00003112707?srsltid=AfmBOorF4Fq0XUAbLh5Z_ZZcIytS7Qxh7hEzb8Fpyoa6_IdMdWBKO1IA&amp;color_80=plateado&amp;s=mdco</v>
      </c>
      <c r="AA739" s="213" t="str">
        <f>IFERROR(__xludf.DUMMYFUNCTION("""COMPUTED_VALUE"""),"COM-295 TAZA CERNIDORA DE HARINA ACERO INOXIDABLE PASTELERÍA - CET")</f>
        <v>COM-295 TAZA CERNIDORA DE HARINA ACERO INOXIDABLE PASTELERÍA - CET</v>
      </c>
      <c r="AB739" s="213"/>
      <c r="AC739" s="213"/>
      <c r="AD739" s="213"/>
      <c r="AE739" s="213"/>
      <c r="AF739" s="213"/>
      <c r="AG739" s="213"/>
      <c r="AH739" s="213"/>
      <c r="AI739" s="213"/>
      <c r="AJ739" s="213"/>
      <c r="AK739" s="213"/>
      <c r="AL739" s="213"/>
      <c r="AM739" s="213"/>
      <c r="AN739" s="213"/>
      <c r="AO739" s="213"/>
      <c r="AP739" s="213" t="str">
        <f>IFERROR(__xludf.DUMMYFUNCTION("""COMPUTED_VALUE"""),"LUIS")</f>
        <v>LUIS</v>
      </c>
      <c r="AQ739" s="213"/>
      <c r="AR739" s="213"/>
      <c r="AS739" s="213"/>
      <c r="AT739" s="213"/>
      <c r="AU739" s="213"/>
      <c r="AV739" s="213"/>
      <c r="AW739" s="213"/>
      <c r="AX739" s="213"/>
      <c r="AY739" s="213"/>
      <c r="AZ739" s="213"/>
      <c r="BA739" s="213"/>
      <c r="BB739" s="213"/>
      <c r="BC739" s="213"/>
      <c r="BD739" s="213"/>
    </row>
    <row r="740">
      <c r="A740" s="213">
        <f>IFERROR(__xludf.DUMMYFUNCTION("""COMPUTED_VALUE"""),703.0)</f>
        <v>703</v>
      </c>
      <c r="B740" s="213" t="str">
        <f>IFERROR(__xludf.DUMMYFUNCTION("""COMPUTED_VALUE"""),"6049 RICARDO PALMA")</f>
        <v>6049 RICARDO PALMA</v>
      </c>
      <c r="C740" s="213" t="str">
        <f>IFERROR(__xludf.DUMMYFUNCTION("""COMPUTED_VALUE"""),"TALLER SFT DE ELECTRÓNICA")</f>
        <v>TALLER SFT DE ELECTRÓNICA</v>
      </c>
      <c r="D740" s="213" t="str">
        <f>IFERROR(__xludf.DUMMYFUNCTION("""COMPUTED_VALUE"""),"EQUIPOS")</f>
        <v>EQUIPOS</v>
      </c>
      <c r="E740" s="213" t="str">
        <f>IFERROR(__xludf.DUMMYFUNCTION("""COMPUTED_VALUE"""),"ESP-168")</f>
        <v>ESP-168</v>
      </c>
      <c r="F740" s="213" t="str">
        <f>IFERROR(__xludf.DUMMYFUNCTION("""COMPUTED_VALUE"""),"ESP-168")</f>
        <v>ESP-168</v>
      </c>
      <c r="G740" s="213"/>
      <c r="H740" s="213" t="str">
        <f>IFERROR(__xludf.DUMMYFUNCTION("""COMPUTED_VALUE"""),"EXTRACTOR DE SOLDADURA")</f>
        <v>EXTRACTOR DE SOLDADURA</v>
      </c>
      <c r="I740" s="213" t="str">
        <f>IFERROR(__xludf.DUMMYFUNCTION("""COMPUTED_VALUE"""),"Elimina la soldadura con alta potencia de succión. Punta de teflón, y diámetro entre: 2,60 - 3,20 mm. Longitud, mínima: 205 mm")</f>
        <v>Elimina la soldadura con alta potencia de succión. Punta de teflón, y diámetro entre: 2,60 - 3,20 mm. Longitud, mínima: 205 mm</v>
      </c>
      <c r="J740" s="213">
        <f>IFERROR(__xludf.DUMMYFUNCTION("""COMPUTED_VALUE"""),3.0)</f>
        <v>3</v>
      </c>
      <c r="K740" s="213" t="str">
        <f>IFERROR(__xludf.DUMMYFUNCTION("""COMPUTED_VALUE"""),"170 DÍAS CALENDARIO")</f>
        <v>170 DÍAS CALENDARIO</v>
      </c>
      <c r="L740" s="213" t="str">
        <f>IFERROR(__xludf.DUMMYFUNCTION("""COMPUTED_VALUE"""),"")</f>
        <v/>
      </c>
      <c r="M740" s="213">
        <f>IFERROR(__xludf.DUMMYFUNCTION("""COMPUTED_VALUE"""),1.0)</f>
        <v>1</v>
      </c>
      <c r="N740" s="213">
        <f>IFERROR(__xludf.DUMMYFUNCTION("""COMPUTED_VALUE"""),4.0)</f>
        <v>4</v>
      </c>
      <c r="O740" s="213">
        <f>IFERROR(__xludf.DUMMYFUNCTION("""COMPUTED_VALUE"""),4.0)</f>
        <v>4</v>
      </c>
      <c r="P740" s="213"/>
      <c r="Q740" s="213"/>
      <c r="R740" s="213"/>
      <c r="S740" s="213" t="str">
        <f>IFERROR(__xludf.DUMMYFUNCTION("""COMPUTED_VALUE"""),"SI")</f>
        <v>SI</v>
      </c>
      <c r="T740" s="213" t="str">
        <f>IFERROR(__xludf.DUMMYFUNCTION("""COMPUTED_VALUE"""),"SI")</f>
        <v>SI</v>
      </c>
      <c r="U740" s="213" t="str">
        <f>IFERROR(__xludf.DUMMYFUNCTION("""COMPUTED_VALUE"""),"SI")</f>
        <v>SI</v>
      </c>
      <c r="V740" s="213" t="str">
        <f>IFERROR(__xludf.DUMMYFUNCTION("""COMPUTED_VALUE"""),"-")</f>
        <v>-</v>
      </c>
      <c r="W740" s="213" t="str">
        <f>IFERROR(__xludf.DUMMYFUNCTION("""COMPUTED_VALUE"""),"-")</f>
        <v>-</v>
      </c>
      <c r="X740" s="213" t="str">
        <f>IFERROR(__xludf.DUMMYFUNCTION("""COMPUTED_VALUE"""),"Takema")</f>
        <v>Takema</v>
      </c>
      <c r="Y740" s="213" t="str">
        <f>IFERROR(__xludf.DUMMYFUNCTION("""COMPUTED_VALUE"""),"ZD-192")</f>
        <v>ZD-192</v>
      </c>
      <c r="Z740" s="215" t="str">
        <f>IFERROR(__xludf.DUMMYFUNCTION("""COMPUTED_VALUE"""),"https://www.ebay.co.uk/itm/173860798799")</f>
        <v>https://www.ebay.co.uk/itm/173860798799</v>
      </c>
      <c r="AA740" s="213" t="str">
        <f>IFERROR(__xludf.DUMMYFUNCTION("""COMPUTED_VALUE"""),"ESP-168 EXTRACTOR DE SOLDADURA - CET")</f>
        <v>ESP-168 EXTRACTOR DE SOLDADURA - CET</v>
      </c>
      <c r="AB740" s="213"/>
      <c r="AC740" s="213"/>
      <c r="AD740" s="213"/>
      <c r="AE740" s="213"/>
      <c r="AF740" s="213"/>
      <c r="AG740" s="213"/>
      <c r="AH740" s="213"/>
      <c r="AI740" s="213"/>
      <c r="AJ740" s="213"/>
      <c r="AK740" s="213"/>
      <c r="AL740" s="213"/>
      <c r="AM740" s="213"/>
      <c r="AN740" s="213"/>
      <c r="AO740" s="213"/>
      <c r="AP740" s="213" t="str">
        <f>IFERROR(__xludf.DUMMYFUNCTION("""COMPUTED_VALUE"""),"BRUNO")</f>
        <v>BRUNO</v>
      </c>
      <c r="AQ740" s="213"/>
      <c r="AR740" s="213"/>
      <c r="AS740" s="213"/>
      <c r="AT740" s="213"/>
      <c r="AU740" s="213"/>
      <c r="AV740" s="213"/>
      <c r="AW740" s="213"/>
      <c r="AX740" s="213"/>
      <c r="AY740" s="213"/>
      <c r="AZ740" s="213"/>
      <c r="BA740" s="213"/>
      <c r="BB740" s="213"/>
      <c r="BC740" s="213"/>
      <c r="BD740" s="213"/>
    </row>
    <row r="741">
      <c r="A741" s="213">
        <f>IFERROR(__xludf.DUMMYFUNCTION("""COMPUTED_VALUE"""),1050.0)</f>
        <v>1050</v>
      </c>
      <c r="B741" s="213" t="str">
        <f>IFERROR(__xludf.DUMMYFUNCTION("""COMPUTED_VALUE"""),"FRANCISCO IRAZOLA")</f>
        <v>FRANCISCO IRAZOLA</v>
      </c>
      <c r="C741" s="213" t="str">
        <f>IFERROR(__xludf.DUMMYFUNCTION("""COMPUTED_VALUE"""),"TALLER SFT DE MECÁNICA AUTOMOTRIZ")</f>
        <v>TALLER SFT DE MECÁNICA AUTOMOTRIZ</v>
      </c>
      <c r="D741" s="213" t="str">
        <f>IFERROR(__xludf.DUMMYFUNCTION("""COMPUTED_VALUE"""),"EQUIPOS")</f>
        <v>EQUIPOS</v>
      </c>
      <c r="E741" s="213" t="str">
        <f>IFERROR(__xludf.DUMMYFUNCTION("""COMPUTED_VALUE"""),"ESP-169")</f>
        <v>ESP-169</v>
      </c>
      <c r="F741" s="213" t="str">
        <f>IFERROR(__xludf.DUMMYFUNCTION("""COMPUTED_VALUE"""),"ESP-169")</f>
        <v>ESP-169</v>
      </c>
      <c r="G741" s="213"/>
      <c r="H741" s="213" t="str">
        <f>IFERROR(__xludf.DUMMYFUNCTION("""COMPUTED_VALUE"""),"EXTRACTOR DE VÁLVULAS (COMPRESOR DE MUELLES DE VÁLVULAS UNIVERSAL TIPO ARCO)")</f>
        <v>EXTRACTOR DE VÁLVULAS (COMPRESOR DE MUELLES DE VÁLVULAS UNIVERSAL TIPO ARCO)</v>
      </c>
      <c r="I741" s="213" t="str">
        <f>IFERROR(__xludf.DUMMYFUNCTION("""COMPUTED_VALUE"""),"Para ser usado cuando el resorte de la válvula está por encima de la culata o cuando está por debajo del ras de la culata.
Abertura: mínima 10"".
Cierre: ≤ 2"".
Accionamiento manual, tipo palanca.")</f>
        <v>Para ser usado cuando el resorte de la válvula está por encima de la culata o cuando está por debajo del ras de la culata.
Abertura: mínima 10".
Cierre: ≤ 2".
Accionamiento manual, tipo palanca.</v>
      </c>
      <c r="J741" s="213">
        <f>IFERROR(__xludf.DUMMYFUNCTION("""COMPUTED_VALUE"""),3.0)</f>
        <v>3</v>
      </c>
      <c r="K741" s="213" t="str">
        <f>IFERROR(__xludf.DUMMYFUNCTION("""COMPUTED_VALUE"""),"170 DÍAS CALENDARIO")</f>
        <v>170 DÍAS CALENDARIO</v>
      </c>
      <c r="L741" s="213" t="str">
        <f>IFERROR(__xludf.DUMMYFUNCTION("""COMPUTED_VALUE"""),"")</f>
        <v/>
      </c>
      <c r="M741" s="213">
        <f>IFERROR(__xludf.DUMMYFUNCTION("""COMPUTED_VALUE"""),1.0)</f>
        <v>1</v>
      </c>
      <c r="N741" s="213">
        <f>IFERROR(__xludf.DUMMYFUNCTION("""COMPUTED_VALUE"""),1.0)</f>
        <v>1</v>
      </c>
      <c r="O741" s="213">
        <f>IFERROR(__xludf.DUMMYFUNCTION("""COMPUTED_VALUE"""),1.0)</f>
        <v>1</v>
      </c>
      <c r="P741" s="213"/>
      <c r="Q741" s="213"/>
      <c r="R741" s="213"/>
      <c r="S741" s="213" t="str">
        <f>IFERROR(__xludf.DUMMYFUNCTION("""COMPUTED_VALUE"""),"SI")</f>
        <v>SI</v>
      </c>
      <c r="T741" s="213" t="str">
        <f>IFERROR(__xludf.DUMMYFUNCTION("""COMPUTED_VALUE"""),"SI")</f>
        <v>SI</v>
      </c>
      <c r="U741" s="213" t="str">
        <f>IFERROR(__xludf.DUMMYFUNCTION("""COMPUTED_VALUE"""),"NO")</f>
        <v>NO</v>
      </c>
      <c r="V741" s="213" t="str">
        <f>IFERROR(__xludf.DUMMYFUNCTION("""COMPUTED_VALUE"""),"SUSTENTO")</f>
        <v>SUSTENTO</v>
      </c>
      <c r="W741" s="213" t="str">
        <f>IFERROR(__xludf.DUMMYFUNCTION("""COMPUTED_VALUE"""),"CRÍTICO")</f>
        <v>CRÍTICO</v>
      </c>
      <c r="X741" s="213" t="str">
        <f>IFERROR(__xludf.DUMMYFUNCTION("""COMPUTED_VALUE"""),"AB Tools")</f>
        <v>AB Tools</v>
      </c>
      <c r="Y741" s="213" t="str">
        <f>IFERROR(__xludf.DUMMYFUNCTION("""COMPUTED_VALUE"""),"Herramienta de reparación de compresor de resorte de válvula múltiple universal para motores OHC OHV CVH")</f>
        <v>Herramienta de reparación de compresor de resorte de válvula múltiple universal para motores OHC OHV CVH</v>
      </c>
      <c r="Z741" s="215" t="str">
        <f>IFERROR(__xludf.DUMMYFUNCTION("""COMPUTED_VALUE"""),"https://www.amazon.com/-/es/Herramienta-reparaci%C3%B3n-compresor-m%C3%BAltiple-universal/dp/B0BF5BLJXJ")</f>
        <v>https://www.amazon.com/-/es/Herramienta-reparaci%C3%B3n-compresor-m%C3%BAltiple-universal/dp/B0BF5BLJXJ</v>
      </c>
      <c r="AA741" s="213" t="str">
        <f>IFERROR(__xludf.DUMMYFUNCTION("""COMPUTED_VALUE"""),"ESP-169 EXTRACTOR DE VÁLVULAS (COMPRESOR DE MUELLES DE VÁLVULAS UNIVERSAL TIPO ARCO) - CET")</f>
        <v>ESP-169 EXTRACTOR DE VÁLVULAS (COMPRESOR DE MUELLES DE VÁLVULAS UNIVERSAL TIPO ARCO) - CET</v>
      </c>
      <c r="AB741" s="213"/>
      <c r="AC741" s="213"/>
      <c r="AD741" s="213"/>
      <c r="AE741" s="213"/>
      <c r="AF741" s="213"/>
      <c r="AG741" s="213"/>
      <c r="AH741" s="213" t="str">
        <f>IFERROR(__xludf.DUMMYFUNCTION("""COMPUTED_VALUE"""),"IMPORTADO")</f>
        <v>IMPORTADO</v>
      </c>
      <c r="AI741" s="213"/>
      <c r="AJ741" s="213"/>
      <c r="AK741" s="213"/>
      <c r="AL741" s="213"/>
      <c r="AM741" s="213"/>
      <c r="AN741" s="213"/>
      <c r="AO741" s="213"/>
      <c r="AP741" s="213" t="str">
        <f>IFERROR(__xludf.DUMMYFUNCTION("""COMPUTED_VALUE"""),"NALDI")</f>
        <v>NALDI</v>
      </c>
      <c r="AQ741" s="213" t="str">
        <f>IFERROR(__xludf.DUMMYFUNCTION("""COMPUTED_VALUE"""),"No cumple con la apertura mínima
Rango comercial de apertura: 55–175 mm")</f>
        <v>No cumple con la apertura mínima
Rango comercial de apertura: 55–175 mm</v>
      </c>
      <c r="AR741" s="213"/>
      <c r="AS741" s="213"/>
      <c r="AT741" s="213"/>
      <c r="AU741" s="213"/>
      <c r="AV741" s="213"/>
      <c r="AW741" s="213"/>
      <c r="AX741" s="213"/>
      <c r="AY741" s="213"/>
      <c r="AZ741" s="213"/>
      <c r="BA741" s="213"/>
      <c r="BB741" s="213"/>
      <c r="BC741" s="213"/>
      <c r="BD741" s="213"/>
    </row>
    <row r="742">
      <c r="A742" s="213">
        <f>IFERROR(__xludf.DUMMYFUNCTION("""COMPUTED_VALUE"""),1655.0)</f>
        <v>1655</v>
      </c>
      <c r="B742" s="213" t="str">
        <f>IFERROR(__xludf.DUMMYFUNCTION("""COMPUTED_VALUE"""),"GUILLERMO E. BILLINGHURST ")</f>
        <v>GUILLERMO E. BILLINGHURST </v>
      </c>
      <c r="C742" s="213" t="str">
        <f>IFERROR(__xludf.DUMMYFUNCTION("""COMPUTED_VALUE"""),"TALLER SFT DE MECÁNICA AUTOMOTRIZ")</f>
        <v>TALLER SFT DE MECÁNICA AUTOMOTRIZ</v>
      </c>
      <c r="D742" s="213" t="str">
        <f>IFERROR(__xludf.DUMMYFUNCTION("""COMPUTED_VALUE"""),"EQUIPOS")</f>
        <v>EQUIPOS</v>
      </c>
      <c r="E742" s="213" t="str">
        <f>IFERROR(__xludf.DUMMYFUNCTION("""COMPUTED_VALUE"""),"ESP-169")</f>
        <v>ESP-169</v>
      </c>
      <c r="F742" s="213" t="str">
        <f>IFERROR(__xludf.DUMMYFUNCTION("""COMPUTED_VALUE"""),"ESP-169")</f>
        <v>ESP-169</v>
      </c>
      <c r="G742" s="213"/>
      <c r="H742" s="213" t="str">
        <f>IFERROR(__xludf.DUMMYFUNCTION("""COMPUTED_VALUE"""),"EXTRACTOR DE VÁLVULAS (COMPRESOR DE MUELLES DE VÁLVULAS UNIVERSAL TIPO ARCO)")</f>
        <v>EXTRACTOR DE VÁLVULAS (COMPRESOR DE MUELLES DE VÁLVULAS UNIVERSAL TIPO ARCO)</v>
      </c>
      <c r="I742" s="213" t="str">
        <f>IFERROR(__xludf.DUMMYFUNCTION("""COMPUTED_VALUE"""),"Para ser usado cuando el resorte de la válvula está por encima de la culata o cuando está por debajo del ras de la culata.
Abertura: mínima 10"".
Cierre: ≤ 2"".
Accionamiento manual, tipo palanca.")</f>
        <v>Para ser usado cuando el resorte de la válvula está por encima de la culata o cuando está por debajo del ras de la culata.
Abertura: mínima 10".
Cierre: ≤ 2".
Accionamiento manual, tipo palanca.</v>
      </c>
      <c r="J742" s="213">
        <f>IFERROR(__xludf.DUMMYFUNCTION("""COMPUTED_VALUE"""),3.0)</f>
        <v>3</v>
      </c>
      <c r="K742" s="213" t="str">
        <f>IFERROR(__xludf.DUMMYFUNCTION("""COMPUTED_VALUE"""),"170 DÍAS CALENDARIO")</f>
        <v>170 DÍAS CALENDARIO</v>
      </c>
      <c r="L742" s="213" t="str">
        <f>IFERROR(__xludf.DUMMYFUNCTION("""COMPUTED_VALUE"""),"")</f>
        <v/>
      </c>
      <c r="M742" s="213">
        <f>IFERROR(__xludf.DUMMYFUNCTION("""COMPUTED_VALUE"""),1.0)</f>
        <v>1</v>
      </c>
      <c r="N742" s="213">
        <f>IFERROR(__xludf.DUMMYFUNCTION("""COMPUTED_VALUE"""),1.0)</f>
        <v>1</v>
      </c>
      <c r="O742" s="213">
        <f>IFERROR(__xludf.DUMMYFUNCTION("""COMPUTED_VALUE"""),1.0)</f>
        <v>1</v>
      </c>
      <c r="P742" s="213"/>
      <c r="Q742" s="213"/>
      <c r="R742" s="213"/>
      <c r="S742" s="213" t="str">
        <f>IFERROR(__xludf.DUMMYFUNCTION("""COMPUTED_VALUE"""),"SI")</f>
        <v>SI</v>
      </c>
      <c r="T742" s="213" t="str">
        <f>IFERROR(__xludf.DUMMYFUNCTION("""COMPUTED_VALUE"""),"SI")</f>
        <v>SI</v>
      </c>
      <c r="U742" s="213" t="str">
        <f>IFERROR(__xludf.DUMMYFUNCTION("""COMPUTED_VALUE"""),"NO")</f>
        <v>NO</v>
      </c>
      <c r="V742" s="213" t="str">
        <f>IFERROR(__xludf.DUMMYFUNCTION("""COMPUTED_VALUE"""),"SUSTENTO")</f>
        <v>SUSTENTO</v>
      </c>
      <c r="W742" s="213" t="str">
        <f>IFERROR(__xludf.DUMMYFUNCTION("""COMPUTED_VALUE"""),"CRÍTICO")</f>
        <v>CRÍTICO</v>
      </c>
      <c r="X742" s="213" t="str">
        <f>IFERROR(__xludf.DUMMYFUNCTION("""COMPUTED_VALUE"""),"AB Tools")</f>
        <v>AB Tools</v>
      </c>
      <c r="Y742" s="213" t="str">
        <f>IFERROR(__xludf.DUMMYFUNCTION("""COMPUTED_VALUE"""),"Herramienta de reparación de compresor de resorte de válvula múltiple universal para motores OHC OHV CVH")</f>
        <v>Herramienta de reparación de compresor de resorte de válvula múltiple universal para motores OHC OHV CVH</v>
      </c>
      <c r="Z742" s="215" t="str">
        <f>IFERROR(__xludf.DUMMYFUNCTION("""COMPUTED_VALUE"""),"https://www.amazon.com/-/es/Herramienta-reparaci%C3%B3n-compresor-m%C3%BAltiple-universal/dp/B0BF5BLJXJ")</f>
        <v>https://www.amazon.com/-/es/Herramienta-reparaci%C3%B3n-compresor-m%C3%BAltiple-universal/dp/B0BF5BLJXJ</v>
      </c>
      <c r="AA742" s="213" t="str">
        <f>IFERROR(__xludf.DUMMYFUNCTION("""COMPUTED_VALUE"""),"ESP-169 EXTRACTOR DE VÁLVULAS (COMPRESOR DE MUELLES DE VÁLVULAS UNIVERSAL TIPO ARCO) - CET")</f>
        <v>ESP-169 EXTRACTOR DE VÁLVULAS (COMPRESOR DE MUELLES DE VÁLVULAS UNIVERSAL TIPO ARCO) - CET</v>
      </c>
      <c r="AB742" s="213"/>
      <c r="AC742" s="213"/>
      <c r="AD742" s="213"/>
      <c r="AE742" s="213"/>
      <c r="AF742" s="213"/>
      <c r="AG742" s="213"/>
      <c r="AH742" s="213" t="str">
        <f>IFERROR(__xludf.DUMMYFUNCTION("""COMPUTED_VALUE"""),"IMPORTADO")</f>
        <v>IMPORTADO</v>
      </c>
      <c r="AI742" s="213"/>
      <c r="AJ742" s="213"/>
      <c r="AK742" s="213"/>
      <c r="AL742" s="213"/>
      <c r="AM742" s="213"/>
      <c r="AN742" s="213"/>
      <c r="AO742" s="213"/>
      <c r="AP742" s="213" t="str">
        <f>IFERROR(__xludf.DUMMYFUNCTION("""COMPUTED_VALUE"""),"NALDI")</f>
        <v>NALDI</v>
      </c>
      <c r="AQ742" s="213" t="str">
        <f>IFERROR(__xludf.DUMMYFUNCTION("""COMPUTED_VALUE"""),"No cumple con la apertura mínima
Rango comercial de apertura: 55–175 mm")</f>
        <v>No cumple con la apertura mínima
Rango comercial de apertura: 55–175 mm</v>
      </c>
      <c r="AR742" s="213"/>
      <c r="AS742" s="213"/>
      <c r="AT742" s="213"/>
      <c r="AU742" s="213"/>
      <c r="AV742" s="213"/>
      <c r="AW742" s="213"/>
      <c r="AX742" s="213"/>
      <c r="AY742" s="213"/>
      <c r="AZ742" s="213"/>
      <c r="BA742" s="213"/>
      <c r="BB742" s="213"/>
      <c r="BC742" s="213"/>
      <c r="BD742" s="213"/>
    </row>
    <row r="743">
      <c r="A743" s="213">
        <f>IFERROR(__xludf.DUMMYFUNCTION("""COMPUTED_VALUE"""),2346.0)</f>
        <v>2346</v>
      </c>
      <c r="B743" s="213" t="str">
        <f>IFERROR(__xludf.DUMMYFUNCTION("""COMPUTED_VALUE"""),"JOSE GRANDA")</f>
        <v>JOSE GRANDA</v>
      </c>
      <c r="C743" s="213" t="str">
        <f>IFERROR(__xludf.DUMMYFUNCTION("""COMPUTED_VALUE"""),"TALLER SFT DE MECÁNICA AUTOMOTRIZ")</f>
        <v>TALLER SFT DE MECÁNICA AUTOMOTRIZ</v>
      </c>
      <c r="D743" s="213" t="str">
        <f>IFERROR(__xludf.DUMMYFUNCTION("""COMPUTED_VALUE"""),"EQUIPOS")</f>
        <v>EQUIPOS</v>
      </c>
      <c r="E743" s="213" t="str">
        <f>IFERROR(__xludf.DUMMYFUNCTION("""COMPUTED_VALUE"""),"ESP-169")</f>
        <v>ESP-169</v>
      </c>
      <c r="F743" s="213" t="str">
        <f>IFERROR(__xludf.DUMMYFUNCTION("""COMPUTED_VALUE"""),"ESP-169")</f>
        <v>ESP-169</v>
      </c>
      <c r="G743" s="213"/>
      <c r="H743" s="213" t="str">
        <f>IFERROR(__xludf.DUMMYFUNCTION("""COMPUTED_VALUE"""),"EXTRACTOR DE VÁLVULAS (COMPRESOR DE MUELLES DE VÁLVULAS UNIVERSAL TIPO ARCO)")</f>
        <v>EXTRACTOR DE VÁLVULAS (COMPRESOR DE MUELLES DE VÁLVULAS UNIVERSAL TIPO ARCO)</v>
      </c>
      <c r="I743" s="213" t="str">
        <f>IFERROR(__xludf.DUMMYFUNCTION("""COMPUTED_VALUE"""),"Para ser usado cuando el resorte de la válvula está por encima de la culata o cuando está por debajo del ras de la culata.
Abertura: mínima 10"".
Cierre: ≤ 2"".
Accionamiento manual, tipo palanca.")</f>
        <v>Para ser usado cuando el resorte de la válvula está por encima de la culata o cuando está por debajo del ras de la culata.
Abertura: mínima 10".
Cierre: ≤ 2".
Accionamiento manual, tipo palanca.</v>
      </c>
      <c r="J743" s="213">
        <f>IFERROR(__xludf.DUMMYFUNCTION("""COMPUTED_VALUE"""),3.0)</f>
        <v>3</v>
      </c>
      <c r="K743" s="213" t="str">
        <f>IFERROR(__xludf.DUMMYFUNCTION("""COMPUTED_VALUE"""),"170 DÍAS CALENDARIO")</f>
        <v>170 DÍAS CALENDARIO</v>
      </c>
      <c r="L743" s="213" t="str">
        <f>IFERROR(__xludf.DUMMYFUNCTION("""COMPUTED_VALUE"""),"")</f>
        <v/>
      </c>
      <c r="M743" s="213">
        <f>IFERROR(__xludf.DUMMYFUNCTION("""COMPUTED_VALUE"""),1.0)</f>
        <v>1</v>
      </c>
      <c r="N743" s="213">
        <f>IFERROR(__xludf.DUMMYFUNCTION("""COMPUTED_VALUE"""),1.0)</f>
        <v>1</v>
      </c>
      <c r="O743" s="213">
        <f>IFERROR(__xludf.DUMMYFUNCTION("""COMPUTED_VALUE"""),1.0)</f>
        <v>1</v>
      </c>
      <c r="P743" s="213"/>
      <c r="Q743" s="213"/>
      <c r="R743" s="213"/>
      <c r="S743" s="213" t="str">
        <f>IFERROR(__xludf.DUMMYFUNCTION("""COMPUTED_VALUE"""),"SI")</f>
        <v>SI</v>
      </c>
      <c r="T743" s="213" t="str">
        <f>IFERROR(__xludf.DUMMYFUNCTION("""COMPUTED_VALUE"""),"SI")</f>
        <v>SI</v>
      </c>
      <c r="U743" s="213" t="str">
        <f>IFERROR(__xludf.DUMMYFUNCTION("""COMPUTED_VALUE"""),"NO")</f>
        <v>NO</v>
      </c>
      <c r="V743" s="213" t="str">
        <f>IFERROR(__xludf.DUMMYFUNCTION("""COMPUTED_VALUE"""),"SUSTENTO")</f>
        <v>SUSTENTO</v>
      </c>
      <c r="W743" s="213" t="str">
        <f>IFERROR(__xludf.DUMMYFUNCTION("""COMPUTED_VALUE"""),"CRÍTICO")</f>
        <v>CRÍTICO</v>
      </c>
      <c r="X743" s="213" t="str">
        <f>IFERROR(__xludf.DUMMYFUNCTION("""COMPUTED_VALUE"""),"AB Tools")</f>
        <v>AB Tools</v>
      </c>
      <c r="Y743" s="213" t="str">
        <f>IFERROR(__xludf.DUMMYFUNCTION("""COMPUTED_VALUE"""),"Herramienta de reparación de compresor de resorte de válvula múltiple universal para motores OHC OHV CVH")</f>
        <v>Herramienta de reparación de compresor de resorte de válvula múltiple universal para motores OHC OHV CVH</v>
      </c>
      <c r="Z743" s="215" t="str">
        <f>IFERROR(__xludf.DUMMYFUNCTION("""COMPUTED_VALUE"""),"https://www.amazon.com/-/es/Herramienta-reparaci%C3%B3n-compresor-m%C3%BAltiple-universal/dp/B0BF5BLJXJ")</f>
        <v>https://www.amazon.com/-/es/Herramienta-reparaci%C3%B3n-compresor-m%C3%BAltiple-universal/dp/B0BF5BLJXJ</v>
      </c>
      <c r="AA743" s="213" t="str">
        <f>IFERROR(__xludf.DUMMYFUNCTION("""COMPUTED_VALUE"""),"ESP-169 EXTRACTOR DE VÁLVULAS (COMPRESOR DE MUELLES DE VÁLVULAS UNIVERSAL TIPO ARCO) - CET")</f>
        <v>ESP-169 EXTRACTOR DE VÁLVULAS (COMPRESOR DE MUELLES DE VÁLVULAS UNIVERSAL TIPO ARCO) - CET</v>
      </c>
      <c r="AB743" s="213"/>
      <c r="AC743" s="213"/>
      <c r="AD743" s="213"/>
      <c r="AE743" s="213"/>
      <c r="AF743" s="213"/>
      <c r="AG743" s="213"/>
      <c r="AH743" s="213" t="str">
        <f>IFERROR(__xludf.DUMMYFUNCTION("""COMPUTED_VALUE"""),"IMPORTADO")</f>
        <v>IMPORTADO</v>
      </c>
      <c r="AI743" s="213"/>
      <c r="AJ743" s="213"/>
      <c r="AK743" s="213"/>
      <c r="AL743" s="213"/>
      <c r="AM743" s="213"/>
      <c r="AN743" s="213"/>
      <c r="AO743" s="213"/>
      <c r="AP743" s="213" t="str">
        <f>IFERROR(__xludf.DUMMYFUNCTION("""COMPUTED_VALUE"""),"NALDI")</f>
        <v>NALDI</v>
      </c>
      <c r="AQ743" s="213" t="str">
        <f>IFERROR(__xludf.DUMMYFUNCTION("""COMPUTED_VALUE"""),"No cumple con la apertura mínima
Rango comercial de apertura: 55–175 mm")</f>
        <v>No cumple con la apertura mínima
Rango comercial de apertura: 55–175 mm</v>
      </c>
      <c r="AR743" s="213"/>
      <c r="AS743" s="213"/>
      <c r="AT743" s="213"/>
      <c r="AU743" s="213"/>
      <c r="AV743" s="213"/>
      <c r="AW743" s="213"/>
      <c r="AX743" s="213"/>
      <c r="AY743" s="213"/>
      <c r="AZ743" s="213"/>
      <c r="BA743" s="213"/>
      <c r="BB743" s="213"/>
      <c r="BC743" s="213"/>
      <c r="BD743" s="213"/>
    </row>
    <row r="744">
      <c r="A744" s="213">
        <f>IFERROR(__xludf.DUMMYFUNCTION("""COMPUTED_VALUE"""),51.0)</f>
        <v>51</v>
      </c>
      <c r="B744" s="213" t="str">
        <f>IFERROR(__xludf.DUMMYFUNCTION("""COMPUTED_VALUE"""),"16449 ELOY SOBERON  FLORES")</f>
        <v>16449 ELOY SOBERON  FLORES</v>
      </c>
      <c r="C744" s="213" t="str">
        <f>IFERROR(__xludf.DUMMYFUNCTION("""COMPUTED_VALUE"""),"TALLER SFT DE COCINA Y REPOSTERÍA")</f>
        <v>TALLER SFT DE COCINA Y REPOSTERÍA</v>
      </c>
      <c r="D744" s="213" t="str">
        <f>IFERROR(__xludf.DUMMYFUNCTION("""COMPUTED_VALUE"""),"HERRAMIENTAS")</f>
        <v>HERRAMIENTAS</v>
      </c>
      <c r="E744" s="213" t="str">
        <f>IFERROR(__xludf.DUMMYFUNCTION("""COMPUTED_VALUE"""),"COM-296")</f>
        <v>COM-296</v>
      </c>
      <c r="F744" s="213" t="str">
        <f>IFERROR(__xludf.DUMMYFUNCTION("""COMPUTED_VALUE"""),"COM-296")</f>
        <v>COM-296</v>
      </c>
      <c r="G744" s="213"/>
      <c r="H744" s="213" t="str">
        <f>IFERROR(__xludf.DUMMYFUNCTION("""COMPUTED_VALUE"""),"TERMÓMETRO COCINA")</f>
        <v>TERMÓMETRO COCINA</v>
      </c>
      <c r="I744" s="213" t="str">
        <f>IFERROR(__xludf.DUMMYFUNCTION("""COMPUTED_VALUE"""),"· Medida aproximada :  5.8 x 14 cm
· Termómetro 0-120°C
· Sensor de acero inoxidable")</f>
        <v>· Medida aproximada :  5.8 x 14 cm
· Termómetro 0-120°C
· Sensor de acero inoxidable</v>
      </c>
      <c r="J744" s="213">
        <f>IFERROR(__xludf.DUMMYFUNCTION("""COMPUTED_VALUE"""),3.0)</f>
        <v>3</v>
      </c>
      <c r="K744" s="213" t="str">
        <f>IFERROR(__xludf.DUMMYFUNCTION("""COMPUTED_VALUE"""),"90 DÍAS CALENDARIO")</f>
        <v>90 DÍAS CALENDARIO</v>
      </c>
      <c r="L744" s="213" t="str">
        <f>IFERROR(__xludf.DUMMYFUNCTION("""COMPUTED_VALUE"""),"")</f>
        <v/>
      </c>
      <c r="M744" s="213">
        <f>IFERROR(__xludf.DUMMYFUNCTION("""COMPUTED_VALUE"""),1.0)</f>
        <v>1</v>
      </c>
      <c r="N744" s="213">
        <f>IFERROR(__xludf.DUMMYFUNCTION("""COMPUTED_VALUE"""),4.0)</f>
        <v>4</v>
      </c>
      <c r="O744" s="213">
        <f>IFERROR(__xludf.DUMMYFUNCTION("""COMPUTED_VALUE"""),4.0)</f>
        <v>4</v>
      </c>
      <c r="P744" s="213"/>
      <c r="Q744" s="213"/>
      <c r="R744" s="213" t="str">
        <f>IFERROR(__xludf.DUMMYFUNCTION("""COMPUTED_VALUE"""),"SI")</f>
        <v>SI</v>
      </c>
      <c r="S744" s="213"/>
      <c r="T744" s="213" t="str">
        <f>IFERROR(__xludf.DUMMYFUNCTION("""COMPUTED_VALUE"""),"SI")</f>
        <v>SI</v>
      </c>
      <c r="U744" s="213" t="str">
        <f>IFERROR(__xludf.DUMMYFUNCTION("""COMPUTED_VALUE"""),"SI")</f>
        <v>SI</v>
      </c>
      <c r="V744" s="213" t="str">
        <f>IFERROR(__xludf.DUMMYFUNCTION("""COMPUTED_VALUE"""),"-")</f>
        <v>-</v>
      </c>
      <c r="W744" s="213" t="str">
        <f>IFERROR(__xludf.DUMMYFUNCTION("""COMPUTED_VALUE"""),"-")</f>
        <v>-</v>
      </c>
      <c r="X744" s="213" t="str">
        <f>IFERROR(__xludf.DUMMYFUNCTION("""COMPUTED_VALUE"""),"Browin")</f>
        <v>Browin</v>
      </c>
      <c r="Y744" s="213">
        <f>IFERROR(__xludf.DUMMYFUNCTION("""COMPUTED_VALUE"""),100600.0)</f>
        <v>100600</v>
      </c>
      <c r="Z744" s="215" t="str">
        <f>IFERROR(__xludf.DUMMYFUNCTION("""COMPUTED_VALUE"""),"https://www.amazon.es/dp/B077HZSPW7?ref=nb_sb_ss_w_as-reorder_k3_1_10&amp;amp=&amp;crid=2PQ74HKSGSL7M&amp;amp=&amp;sprefix=termometro")</f>
        <v>https://www.amazon.es/dp/B077HZSPW7?ref=nb_sb_ss_w_as-reorder_k3_1_10&amp;amp=&amp;crid=2PQ74HKSGSL7M&amp;amp=&amp;sprefix=termometro</v>
      </c>
      <c r="AA744" s="213" t="str">
        <f>IFERROR(__xludf.DUMMYFUNCTION("""COMPUTED_VALUE"""),"COM-296 TERMÓMETRO COCINA - CET")</f>
        <v>COM-296 TERMÓMETRO COCINA - CET</v>
      </c>
      <c r="AB744" s="213"/>
      <c r="AC744" s="213"/>
      <c r="AD744" s="213"/>
      <c r="AE744" s="213"/>
      <c r="AF744" s="213"/>
      <c r="AG744" s="213"/>
      <c r="AH744" s="213"/>
      <c r="AI744" s="213"/>
      <c r="AJ744" s="213"/>
      <c r="AK744" s="213"/>
      <c r="AL744" s="213"/>
      <c r="AM744" s="213"/>
      <c r="AN744" s="213"/>
      <c r="AO744" s="213"/>
      <c r="AP744" s="213" t="str">
        <f>IFERROR(__xludf.DUMMYFUNCTION("""COMPUTED_VALUE"""),"SEBASTIAN")</f>
        <v>SEBASTIAN</v>
      </c>
      <c r="AQ744" s="213"/>
      <c r="AR744" s="213"/>
      <c r="AS744" s="213"/>
      <c r="AT744" s="213"/>
      <c r="AU744" s="213"/>
      <c r="AV744" s="213"/>
      <c r="AW744" s="213"/>
      <c r="AX744" s="213"/>
      <c r="AY744" s="213"/>
      <c r="AZ744" s="213"/>
      <c r="BA744" s="213"/>
      <c r="BB744" s="213"/>
      <c r="BC744" s="213"/>
      <c r="BD744" s="213"/>
    </row>
    <row r="745">
      <c r="A745" s="213">
        <f>IFERROR(__xludf.DUMMYFUNCTION("""COMPUTED_VALUE"""),471.0)</f>
        <v>471</v>
      </c>
      <c r="B745" s="213" t="str">
        <f>IFERROR(__xludf.DUMMYFUNCTION("""COMPUTED_VALUE"""),"2026 SIMON BOLIVAR")</f>
        <v>2026 SIMON BOLIVAR</v>
      </c>
      <c r="C745" s="213" t="str">
        <f>IFERROR(__xludf.DUMMYFUNCTION("""COMPUTED_VALUE"""),"TALLER SFT DE INDUSTRIA ALIMENTARIA")</f>
        <v>TALLER SFT DE INDUSTRIA ALIMENTARIA</v>
      </c>
      <c r="D745" s="213" t="str">
        <f>IFERROR(__xludf.DUMMYFUNCTION("""COMPUTED_VALUE"""),"HERRAMIENTAS")</f>
        <v>HERRAMIENTAS</v>
      </c>
      <c r="E745" s="213" t="str">
        <f>IFERROR(__xludf.DUMMYFUNCTION("""COMPUTED_VALUE"""),"COM-297")</f>
        <v>COM-297</v>
      </c>
      <c r="F745" s="213" t="str">
        <f>IFERROR(__xludf.DUMMYFUNCTION("""COMPUTED_VALUE"""),"COM-297")</f>
        <v>COM-297</v>
      </c>
      <c r="G745" s="213"/>
      <c r="H745" s="213" t="str">
        <f>IFERROR(__xludf.DUMMYFUNCTION("""COMPUTED_VALUE"""),"TERMÓMETRO DIGITAL")</f>
        <v>TERMÓMETRO DIGITAL</v>
      </c>
      <c r="I745" s="213" t="str">
        <f>IFERROR(__xludf.DUMMYFUNCTION("""COMPUTED_VALUE"""),"· Para alimentos Sólidos y Líquidos
· Rango de temperatura de trabajo mínimo: -50 °C ~ 300 °C
· Precisión de temperatura: ± 1 ° C / ° F
· Modo de ahorro de energía: 10 minutos de función de apagado automático.
· Pantalla digital.
· Tipo: Lectura instantán"&amp;"ea
· Ángulo de ajuste de 180º.
· Potencia Suministro: 1.5V (Pila AA)
· Longitud del cable del sensor: 15cm / 5.91 '' (Aprox.).")</f>
        <v>· Para alimentos Sólidos y Líquidos
· Rango de temperatura de trabajo mínimo: -50 °C ~ 300 °C
· Precisión de temperatura: ± 1 ° C / ° F
· Modo de ahorro de energía: 10 minutos de función de apagado automático.
· Pantalla digital.
· Tipo: Lectura instantánea
· Ángulo de ajuste de 180º.
· Potencia Suministro: 1.5V (Pila AA)
· Longitud del cable del sensor: 15cm / 5.91 '' (Aprox.).</v>
      </c>
      <c r="J745" s="213">
        <f>IFERROR(__xludf.DUMMYFUNCTION("""COMPUTED_VALUE"""),3.0)</f>
        <v>3</v>
      </c>
      <c r="K745" s="213" t="str">
        <f>IFERROR(__xludf.DUMMYFUNCTION("""COMPUTED_VALUE"""),"90 DÍAS CALENDARIO")</f>
        <v>90 DÍAS CALENDARIO</v>
      </c>
      <c r="L745" s="213" t="str">
        <f>IFERROR(__xludf.DUMMYFUNCTION("""COMPUTED_VALUE"""),"")</f>
        <v/>
      </c>
      <c r="M745" s="213">
        <f>IFERROR(__xludf.DUMMYFUNCTION("""COMPUTED_VALUE"""),1.0)</f>
        <v>1</v>
      </c>
      <c r="N745" s="213">
        <f>IFERROR(__xludf.DUMMYFUNCTION("""COMPUTED_VALUE"""),4.0)</f>
        <v>4</v>
      </c>
      <c r="O745" s="213">
        <f>IFERROR(__xludf.DUMMYFUNCTION("""COMPUTED_VALUE"""),4.0)</f>
        <v>4</v>
      </c>
      <c r="P745" s="213"/>
      <c r="Q745" s="213"/>
      <c r="R745" s="213" t="str">
        <f>IFERROR(__xludf.DUMMYFUNCTION("""COMPUTED_VALUE"""),"SI")</f>
        <v>SI</v>
      </c>
      <c r="S745" s="213"/>
      <c r="T745" s="213" t="str">
        <f>IFERROR(__xludf.DUMMYFUNCTION("""COMPUTED_VALUE"""),"CONSULTA FINAL")</f>
        <v>CONSULTA FINAL</v>
      </c>
      <c r="U745" s="213" t="str">
        <f>IFERROR(__xludf.DUMMYFUNCTION("""COMPUTED_VALUE"""),"NO")</f>
        <v>NO</v>
      </c>
      <c r="V745" s="213" t="str">
        <f>IFERROR(__xludf.DUMMYFUNCTION("""COMPUTED_VALUE"""),"SUSTENTO")</f>
        <v>SUSTENTO</v>
      </c>
      <c r="W745" s="213" t="str">
        <f>IFERROR(__xludf.DUMMYFUNCTION("""COMPUTED_VALUE"""),"DIMENSIONAL, ELÉCTRICO, EQU TEC")</f>
        <v>DIMENSIONAL, ELÉCTRICO, EQU TEC</v>
      </c>
      <c r="X745" s="213" t="str">
        <f>IFERROR(__xludf.DUMMYFUNCTION("""COMPUTED_VALUE"""),"Thermoworks")</f>
        <v>Thermoworks</v>
      </c>
      <c r="Y745" s="213" t="str">
        <f>IFERROR(__xludf.DUMMYFUNCTION("""COMPUTED_VALUE"""),"tipo T")</f>
        <v>tipo T</v>
      </c>
      <c r="Z745" s="215" t="str">
        <f>IFERROR(__xludf.DUMMYFUNCTION("""COMPUTED_VALUE"""),"https://www.thermoworks.com/therma-waterproof-type-t/?srsltid=AfmBOopdb88Q7xKLQl62RHgCRa2l6EtIRv52eVBwNYHzq29WF7SF9WKF&amp;utm_source=chatgpt.com")</f>
        <v>https://www.thermoworks.com/therma-waterproof-type-t/?srsltid=AfmBOopdb88Q7xKLQl62RHgCRa2l6EtIRv52eVBwNYHzq29WF7SF9WKF&amp;utm_source=chatgpt.com</v>
      </c>
      <c r="AA745" s="213" t="str">
        <f>IFERROR(__xludf.DUMMYFUNCTION("""COMPUTED_VALUE"""),"COM-297 TERMÓMETRO DIGITAL - CET")</f>
        <v>COM-297 TERMÓMETRO DIGITAL - CET</v>
      </c>
      <c r="AB745" s="213"/>
      <c r="AC745" s="213"/>
      <c r="AD745" s="213"/>
      <c r="AE745" s="213"/>
      <c r="AF745" s="213"/>
      <c r="AG745" s="213"/>
      <c r="AH745" s="213"/>
      <c r="AI745" s="213"/>
      <c r="AJ745" s="213"/>
      <c r="AK745" s="213"/>
      <c r="AL745" s="213"/>
      <c r="AM745" s="213"/>
      <c r="AN745" s="213"/>
      <c r="AO745" s="213"/>
      <c r="AP745" s="213" t="str">
        <f>IFERROR(__xludf.DUMMYFUNCTION("""COMPUTED_VALUE"""),"SEBASTIAN")</f>
        <v>SEBASTIAN</v>
      </c>
      <c r="AQ745" s="213"/>
      <c r="AR745" s="213"/>
      <c r="AS745" s="213"/>
      <c r="AT745" s="213"/>
      <c r="AU745" s="213"/>
      <c r="AV745" s="213"/>
      <c r="AW745" s="213"/>
      <c r="AX745" s="213"/>
      <c r="AY745" s="213"/>
      <c r="AZ745" s="213"/>
      <c r="BA745" s="213"/>
      <c r="BB745" s="213"/>
      <c r="BC745" s="213"/>
      <c r="BD745" s="213"/>
    </row>
    <row r="746">
      <c r="A746" s="213">
        <f>IFERROR(__xludf.DUMMYFUNCTION("""COMPUTED_VALUE"""),506.0)</f>
        <v>506</v>
      </c>
      <c r="B746" s="213" t="str">
        <f>IFERROR(__xludf.DUMMYFUNCTION("""COMPUTED_VALUE"""),"2026 SIMON BOLIVAR")</f>
        <v>2026 SIMON BOLIVAR</v>
      </c>
      <c r="C746" s="213" t="str">
        <f>IFERROR(__xludf.DUMMYFUNCTION("""COMPUTED_VALUE"""),"TALLER SFT DE INDUSTRIA ALIMENTARIA")</f>
        <v>TALLER SFT DE INDUSTRIA ALIMENTARIA</v>
      </c>
      <c r="D746" s="213" t="str">
        <f>IFERROR(__xludf.DUMMYFUNCTION("""COMPUTED_VALUE"""),"HERRAMIENTAS")</f>
        <v>HERRAMIENTAS</v>
      </c>
      <c r="E746" s="213" t="str">
        <f>IFERROR(__xludf.DUMMYFUNCTION("""COMPUTED_VALUE"""),"COM-297")</f>
        <v>COM-297</v>
      </c>
      <c r="F746" s="213" t="str">
        <f>IFERROR(__xludf.DUMMYFUNCTION("""COMPUTED_VALUE"""),"COM-297")</f>
        <v>COM-297</v>
      </c>
      <c r="G746" s="213"/>
      <c r="H746" s="213" t="str">
        <f>IFERROR(__xludf.DUMMYFUNCTION("""COMPUTED_VALUE"""),"TERMÓMETRO DIGITAL")</f>
        <v>TERMÓMETRO DIGITAL</v>
      </c>
      <c r="I746" s="213" t="str">
        <f>IFERROR(__xludf.DUMMYFUNCTION("""COMPUTED_VALUE"""),"· Para alimentos Sólidos y Líquidos
· Rango de temperatura de trabajo mínimo: -50 °C ~ 300 °C
· Precisión de temperatura: ± 1 ° C / ° F
· Modo de ahorro de energía: 10 minutos de función de apagado automático.
· Pantalla digital.
· Tipo: Lectura instantán"&amp;"ea
· Ángulo de ajuste de 180º.
· Potencia Suministro: 1.5V (Pila AA)
· Longitud del cable del sensor: 15cm / 5.91 '' (Aprox.).")</f>
        <v>· Para alimentos Sólidos y Líquidos
· Rango de temperatura de trabajo mínimo: -50 °C ~ 300 °C
· Precisión de temperatura: ± 1 ° C / ° F
· Modo de ahorro de energía: 10 minutos de función de apagado automático.
· Pantalla digital.
· Tipo: Lectura instantánea
· Ángulo de ajuste de 180º.
· Potencia Suministro: 1.5V (Pila AA)
· Longitud del cable del sensor: 15cm / 5.91 '' (Aprox.).</v>
      </c>
      <c r="J746" s="213">
        <f>IFERROR(__xludf.DUMMYFUNCTION("""COMPUTED_VALUE"""),3.0)</f>
        <v>3</v>
      </c>
      <c r="K746" s="213" t="str">
        <f>IFERROR(__xludf.DUMMYFUNCTION("""COMPUTED_VALUE"""),"90 DÍAS CALENDARIO")</f>
        <v>90 DÍAS CALENDARIO</v>
      </c>
      <c r="L746" s="213" t="str">
        <f>IFERROR(__xludf.DUMMYFUNCTION("""COMPUTED_VALUE"""),"")</f>
        <v/>
      </c>
      <c r="M746" s="213">
        <f>IFERROR(__xludf.DUMMYFUNCTION("""COMPUTED_VALUE"""),1.0)</f>
        <v>1</v>
      </c>
      <c r="N746" s="213">
        <f>IFERROR(__xludf.DUMMYFUNCTION("""COMPUTED_VALUE"""),4.0)</f>
        <v>4</v>
      </c>
      <c r="O746" s="213">
        <f>IFERROR(__xludf.DUMMYFUNCTION("""COMPUTED_VALUE"""),4.0)</f>
        <v>4</v>
      </c>
      <c r="P746" s="213"/>
      <c r="Q746" s="213"/>
      <c r="R746" s="213" t="str">
        <f>IFERROR(__xludf.DUMMYFUNCTION("""COMPUTED_VALUE"""),"SI")</f>
        <v>SI</v>
      </c>
      <c r="S746" s="213"/>
      <c r="T746" s="213" t="str">
        <f>IFERROR(__xludf.DUMMYFUNCTION("""COMPUTED_VALUE"""),"CONSULTA FINAL")</f>
        <v>CONSULTA FINAL</v>
      </c>
      <c r="U746" s="213" t="str">
        <f>IFERROR(__xludf.DUMMYFUNCTION("""COMPUTED_VALUE"""),"NO")</f>
        <v>NO</v>
      </c>
      <c r="V746" s="213" t="str">
        <f>IFERROR(__xludf.DUMMYFUNCTION("""COMPUTED_VALUE"""),"SUSTENTO")</f>
        <v>SUSTENTO</v>
      </c>
      <c r="W746" s="213" t="str">
        <f>IFERROR(__xludf.DUMMYFUNCTION("""COMPUTED_VALUE"""),"DIMENSIONAL, ELÉCTRICO, EQU TEC")</f>
        <v>DIMENSIONAL, ELÉCTRICO, EQU TEC</v>
      </c>
      <c r="X746" s="213" t="str">
        <f>IFERROR(__xludf.DUMMYFUNCTION("""COMPUTED_VALUE"""),"Thermoworks")</f>
        <v>Thermoworks</v>
      </c>
      <c r="Y746" s="213" t="str">
        <f>IFERROR(__xludf.DUMMYFUNCTION("""COMPUTED_VALUE"""),"tipo T")</f>
        <v>tipo T</v>
      </c>
      <c r="Z746" s="215" t="str">
        <f>IFERROR(__xludf.DUMMYFUNCTION("""COMPUTED_VALUE"""),"https://www.thermoworks.com/therma-waterproof-type-t/?srsltid=AfmBOopdb88Q7xKLQl62RHgCRa2l6EtIRv52eVBwNYHzq29WF7SF9WKF&amp;utm_source=chatgpt.com")</f>
        <v>https://www.thermoworks.com/therma-waterproof-type-t/?srsltid=AfmBOopdb88Q7xKLQl62RHgCRa2l6EtIRv52eVBwNYHzq29WF7SF9WKF&amp;utm_source=chatgpt.com</v>
      </c>
      <c r="AA746" s="215" t="str">
        <f>IFERROR(__xludf.DUMMYFUNCTION("""COMPUTED_VALUE"""),"https://docs.google.com/spreadsheets/d/13pdSoqqk_yCXiOQt0qq3X0pDhqhCJy8a11XekNZEjWA/edit?gid=0#gid=1")</f>
        <v>https://docs.google.com/spreadsheets/d/13pdSoqqk_yCXiOQt0qq3X0pDhqhCJy8a11XekNZEjWA/edit?gid=0#gid=1</v>
      </c>
      <c r="AB746" s="213"/>
      <c r="AC746" s="213"/>
      <c r="AD746" s="213"/>
      <c r="AE746" s="213"/>
      <c r="AF746" s="213"/>
      <c r="AG746" s="213"/>
      <c r="AH746" s="213"/>
      <c r="AI746" s="213"/>
      <c r="AJ746" s="213"/>
      <c r="AK746" s="213"/>
      <c r="AL746" s="213"/>
      <c r="AM746" s="213"/>
      <c r="AN746" s="213"/>
      <c r="AO746" s="213"/>
      <c r="AP746" s="213" t="str">
        <f>IFERROR(__xludf.DUMMYFUNCTION("""COMPUTED_VALUE"""),"SEBASTIAN")</f>
        <v>SEBASTIAN</v>
      </c>
      <c r="AQ746" s="213"/>
      <c r="AR746" s="213"/>
      <c r="AS746" s="213"/>
      <c r="AT746" s="213"/>
      <c r="AU746" s="213"/>
      <c r="AV746" s="213"/>
      <c r="AW746" s="213"/>
      <c r="AX746" s="213"/>
      <c r="AY746" s="213"/>
      <c r="AZ746" s="213"/>
      <c r="BA746" s="213"/>
      <c r="BB746" s="213"/>
      <c r="BC746" s="213"/>
      <c r="BD746" s="213"/>
    </row>
    <row r="747">
      <c r="A747" s="213">
        <f>IFERROR(__xludf.DUMMYFUNCTION("""COMPUTED_VALUE"""),1101.0)</f>
        <v>1101</v>
      </c>
      <c r="B747" s="213" t="str">
        <f>IFERROR(__xludf.DUMMYFUNCTION("""COMPUTED_VALUE"""),"FRANCISCO IRAZOLA")</f>
        <v>FRANCISCO IRAZOLA</v>
      </c>
      <c r="C747" s="213" t="str">
        <f>IFERROR(__xludf.DUMMYFUNCTION("""COMPUTED_VALUE"""),"TALLER SFT DE INDUSTRIA ALIMENTARIA")</f>
        <v>TALLER SFT DE INDUSTRIA ALIMENTARIA</v>
      </c>
      <c r="D747" s="213" t="str">
        <f>IFERROR(__xludf.DUMMYFUNCTION("""COMPUTED_VALUE"""),"HERRAMIENTAS")</f>
        <v>HERRAMIENTAS</v>
      </c>
      <c r="E747" s="213" t="str">
        <f>IFERROR(__xludf.DUMMYFUNCTION("""COMPUTED_VALUE"""),"COM-297")</f>
        <v>COM-297</v>
      </c>
      <c r="F747" s="213" t="str">
        <f>IFERROR(__xludf.DUMMYFUNCTION("""COMPUTED_VALUE"""),"COM-297")</f>
        <v>COM-297</v>
      </c>
      <c r="G747" s="213"/>
      <c r="H747" s="213" t="str">
        <f>IFERROR(__xludf.DUMMYFUNCTION("""COMPUTED_VALUE"""),"TERMÓMETRO DIGITAL")</f>
        <v>TERMÓMETRO DIGITAL</v>
      </c>
      <c r="I747" s="213" t="str">
        <f>IFERROR(__xludf.DUMMYFUNCTION("""COMPUTED_VALUE"""),"· Para alimentos Sólidos y Líquidos
· Rango de temperatura de trabajo mínimo: -50 °C ~ 300 °C
· Precisión de temperatura: ± 1 ° C / ° F
· Modo de ahorro de energía: 10 minutos de función de apagado automático.
· Pantalla digital.
· Tipo: Lectura instantán"&amp;"ea
· Ángulo de ajuste de 180º.
· Potencia Suministro: 1.5V (Pila AA)
· Longitud del cable del sensor: 15cm / 5.91 '' (Aprox.).")</f>
        <v>· Para alimentos Sólidos y Líquidos
· Rango de temperatura de trabajo mínimo: -50 °C ~ 300 °C
· Precisión de temperatura: ± 1 ° C / ° F
· Modo de ahorro de energía: 10 minutos de función de apagado automático.
· Pantalla digital.
· Tipo: Lectura instantánea
· Ángulo de ajuste de 180º.
· Potencia Suministro: 1.5V (Pila AA)
· Longitud del cable del sensor: 15cm / 5.91 '' (Aprox.).</v>
      </c>
      <c r="J747" s="213">
        <f>IFERROR(__xludf.DUMMYFUNCTION("""COMPUTED_VALUE"""),3.0)</f>
        <v>3</v>
      </c>
      <c r="K747" s="213" t="str">
        <f>IFERROR(__xludf.DUMMYFUNCTION("""COMPUTED_VALUE"""),"90 DÍAS CALENDARIO")</f>
        <v>90 DÍAS CALENDARIO</v>
      </c>
      <c r="L747" s="213" t="str">
        <f>IFERROR(__xludf.DUMMYFUNCTION("""COMPUTED_VALUE"""),"")</f>
        <v/>
      </c>
      <c r="M747" s="213">
        <f>IFERROR(__xludf.DUMMYFUNCTION("""COMPUTED_VALUE"""),1.0)</f>
        <v>1</v>
      </c>
      <c r="N747" s="213">
        <f>IFERROR(__xludf.DUMMYFUNCTION("""COMPUTED_VALUE"""),4.0)</f>
        <v>4</v>
      </c>
      <c r="O747" s="213">
        <f>IFERROR(__xludf.DUMMYFUNCTION("""COMPUTED_VALUE"""),4.0)</f>
        <v>4</v>
      </c>
      <c r="P747" s="213"/>
      <c r="Q747" s="213"/>
      <c r="R747" s="213" t="str">
        <f>IFERROR(__xludf.DUMMYFUNCTION("""COMPUTED_VALUE"""),"SI")</f>
        <v>SI</v>
      </c>
      <c r="S747" s="213"/>
      <c r="T747" s="213" t="str">
        <f>IFERROR(__xludf.DUMMYFUNCTION("""COMPUTED_VALUE"""),"CONSULTA FINAL")</f>
        <v>CONSULTA FINAL</v>
      </c>
      <c r="U747" s="213" t="str">
        <f>IFERROR(__xludf.DUMMYFUNCTION("""COMPUTED_VALUE"""),"NO")</f>
        <v>NO</v>
      </c>
      <c r="V747" s="213" t="str">
        <f>IFERROR(__xludf.DUMMYFUNCTION("""COMPUTED_VALUE"""),"SUSTENTO")</f>
        <v>SUSTENTO</v>
      </c>
      <c r="W747" s="213" t="str">
        <f>IFERROR(__xludf.DUMMYFUNCTION("""COMPUTED_VALUE"""),"DIMENSIONAL, ELÉCTRICO, EQU TEC")</f>
        <v>DIMENSIONAL, ELÉCTRICO, EQU TEC</v>
      </c>
      <c r="X747" s="213" t="str">
        <f>IFERROR(__xludf.DUMMYFUNCTION("""COMPUTED_VALUE"""),"Thermoworks")</f>
        <v>Thermoworks</v>
      </c>
      <c r="Y747" s="213" t="str">
        <f>IFERROR(__xludf.DUMMYFUNCTION("""COMPUTED_VALUE"""),"tipo T")</f>
        <v>tipo T</v>
      </c>
      <c r="Z747" s="215" t="str">
        <f>IFERROR(__xludf.DUMMYFUNCTION("""COMPUTED_VALUE"""),"https://www.thermoworks.com/therma-waterproof-type-t/?srsltid=AfmBOopdb88Q7xKLQl62RHgCRa2l6EtIRv52eVBwNYHzq29WF7SF9WKF&amp;utm_source=chatgpt.com")</f>
        <v>https://www.thermoworks.com/therma-waterproof-type-t/?srsltid=AfmBOopdb88Q7xKLQl62RHgCRa2l6EtIRv52eVBwNYHzq29WF7SF9WKF&amp;utm_source=chatgpt.com</v>
      </c>
      <c r="AA747" s="215" t="str">
        <f>IFERROR(__xludf.DUMMYFUNCTION("""COMPUTED_VALUE"""),"https://docs.google.com/spreadsheets/d/13pdSoqqk_yCXiOQt0qq3X0pDhqhCJy8a11XekNZEjWA/edit?gid=0#gid=1")</f>
        <v>https://docs.google.com/spreadsheets/d/13pdSoqqk_yCXiOQt0qq3X0pDhqhCJy8a11XekNZEjWA/edit?gid=0#gid=1</v>
      </c>
      <c r="AB747" s="213"/>
      <c r="AC747" s="213"/>
      <c r="AD747" s="213"/>
      <c r="AE747" s="213"/>
      <c r="AF747" s="213"/>
      <c r="AG747" s="213"/>
      <c r="AH747" s="213"/>
      <c r="AI747" s="213"/>
      <c r="AJ747" s="213"/>
      <c r="AK747" s="213"/>
      <c r="AL747" s="213"/>
      <c r="AM747" s="213"/>
      <c r="AN747" s="213"/>
      <c r="AO747" s="213"/>
      <c r="AP747" s="213" t="str">
        <f>IFERROR(__xludf.DUMMYFUNCTION("""COMPUTED_VALUE"""),"SEBASTIAN")</f>
        <v>SEBASTIAN</v>
      </c>
      <c r="AQ747" s="213"/>
      <c r="AR747" s="213"/>
      <c r="AS747" s="213"/>
      <c r="AT747" s="213"/>
      <c r="AU747" s="213"/>
      <c r="AV747" s="213"/>
      <c r="AW747" s="213"/>
      <c r="AX747" s="213"/>
      <c r="AY747" s="213"/>
      <c r="AZ747" s="213"/>
      <c r="BA747" s="213"/>
      <c r="BB747" s="213"/>
      <c r="BC747" s="213"/>
      <c r="BD747" s="213"/>
    </row>
    <row r="748">
      <c r="A748" s="213">
        <f>IFERROR(__xludf.DUMMYFUNCTION("""COMPUTED_VALUE"""),1136.0)</f>
        <v>1136</v>
      </c>
      <c r="B748" s="213" t="str">
        <f>IFERROR(__xludf.DUMMYFUNCTION("""COMPUTED_VALUE"""),"FRANCISCO IRAZOLA")</f>
        <v>FRANCISCO IRAZOLA</v>
      </c>
      <c r="C748" s="213" t="str">
        <f>IFERROR(__xludf.DUMMYFUNCTION("""COMPUTED_VALUE"""),"TALLER SFT DE INDUSTRIA ALIMENTARIA")</f>
        <v>TALLER SFT DE INDUSTRIA ALIMENTARIA</v>
      </c>
      <c r="D748" s="213" t="str">
        <f>IFERROR(__xludf.DUMMYFUNCTION("""COMPUTED_VALUE"""),"HERRAMIENTAS")</f>
        <v>HERRAMIENTAS</v>
      </c>
      <c r="E748" s="213" t="str">
        <f>IFERROR(__xludf.DUMMYFUNCTION("""COMPUTED_VALUE"""),"COM-297")</f>
        <v>COM-297</v>
      </c>
      <c r="F748" s="213" t="str">
        <f>IFERROR(__xludf.DUMMYFUNCTION("""COMPUTED_VALUE"""),"COM-297")</f>
        <v>COM-297</v>
      </c>
      <c r="G748" s="213"/>
      <c r="H748" s="213" t="str">
        <f>IFERROR(__xludf.DUMMYFUNCTION("""COMPUTED_VALUE"""),"TERMÓMETRO DIGITAL")</f>
        <v>TERMÓMETRO DIGITAL</v>
      </c>
      <c r="I748" s="213" t="str">
        <f>IFERROR(__xludf.DUMMYFUNCTION("""COMPUTED_VALUE"""),"· Para alimentos Sólidos y Líquidos
· Rango de temperatura de trabajo mínimo: -50 °C ~ 300 °C
· Precisión de temperatura: ± 1 ° C / ° F
· Modo de ahorro de energía: 10 minutos de función de apagado automático.
· Pantalla digital.
· Tipo: Lectura instantán"&amp;"ea
· Ángulo de ajuste de 180º.
· Potencia Suministro: 1.5V (Pila AA)
· Longitud del cable del sensor: 15cm / 5.91 '' (Aprox.).")</f>
        <v>· Para alimentos Sólidos y Líquidos
· Rango de temperatura de trabajo mínimo: -50 °C ~ 300 °C
· Precisión de temperatura: ± 1 ° C / ° F
· Modo de ahorro de energía: 10 minutos de función de apagado automático.
· Pantalla digital.
· Tipo: Lectura instantánea
· Ángulo de ajuste de 180º.
· Potencia Suministro: 1.5V (Pila AA)
· Longitud del cable del sensor: 15cm / 5.91 '' (Aprox.).</v>
      </c>
      <c r="J748" s="213">
        <f>IFERROR(__xludf.DUMMYFUNCTION("""COMPUTED_VALUE"""),3.0)</f>
        <v>3</v>
      </c>
      <c r="K748" s="213" t="str">
        <f>IFERROR(__xludf.DUMMYFUNCTION("""COMPUTED_VALUE"""),"90 DÍAS CALENDARIO")</f>
        <v>90 DÍAS CALENDARIO</v>
      </c>
      <c r="L748" s="213" t="str">
        <f>IFERROR(__xludf.DUMMYFUNCTION("""COMPUTED_VALUE"""),"")</f>
        <v/>
      </c>
      <c r="M748" s="213">
        <f>IFERROR(__xludf.DUMMYFUNCTION("""COMPUTED_VALUE"""),1.0)</f>
        <v>1</v>
      </c>
      <c r="N748" s="213">
        <f>IFERROR(__xludf.DUMMYFUNCTION("""COMPUTED_VALUE"""),4.0)</f>
        <v>4</v>
      </c>
      <c r="O748" s="213">
        <f>IFERROR(__xludf.DUMMYFUNCTION("""COMPUTED_VALUE"""),4.0)</f>
        <v>4</v>
      </c>
      <c r="P748" s="213"/>
      <c r="Q748" s="213"/>
      <c r="R748" s="213" t="str">
        <f>IFERROR(__xludf.DUMMYFUNCTION("""COMPUTED_VALUE"""),"SI")</f>
        <v>SI</v>
      </c>
      <c r="S748" s="213"/>
      <c r="T748" s="213" t="str">
        <f>IFERROR(__xludf.DUMMYFUNCTION("""COMPUTED_VALUE"""),"CONSULTA FINAL")</f>
        <v>CONSULTA FINAL</v>
      </c>
      <c r="U748" s="213" t="str">
        <f>IFERROR(__xludf.DUMMYFUNCTION("""COMPUTED_VALUE"""),"NO")</f>
        <v>NO</v>
      </c>
      <c r="V748" s="213" t="str">
        <f>IFERROR(__xludf.DUMMYFUNCTION("""COMPUTED_VALUE"""),"SUSTENTO")</f>
        <v>SUSTENTO</v>
      </c>
      <c r="W748" s="213" t="str">
        <f>IFERROR(__xludf.DUMMYFUNCTION("""COMPUTED_VALUE"""),"DIMENSIONAL, ELÉCTRICO, EQU TEC")</f>
        <v>DIMENSIONAL, ELÉCTRICO, EQU TEC</v>
      </c>
      <c r="X748" s="213" t="str">
        <f>IFERROR(__xludf.DUMMYFUNCTION("""COMPUTED_VALUE"""),"Thermoworks")</f>
        <v>Thermoworks</v>
      </c>
      <c r="Y748" s="213" t="str">
        <f>IFERROR(__xludf.DUMMYFUNCTION("""COMPUTED_VALUE"""),"tipo T")</f>
        <v>tipo T</v>
      </c>
      <c r="Z748" s="215" t="str">
        <f>IFERROR(__xludf.DUMMYFUNCTION("""COMPUTED_VALUE"""),"https://www.thermoworks.com/therma-waterproof-type-t/?srsltid=AfmBOopdb88Q7xKLQl62RHgCRa2l6EtIRv52eVBwNYHzq29WF7SF9WKF&amp;utm_source=chatgpt.com")</f>
        <v>https://www.thermoworks.com/therma-waterproof-type-t/?srsltid=AfmBOopdb88Q7xKLQl62RHgCRa2l6EtIRv52eVBwNYHzq29WF7SF9WKF&amp;utm_source=chatgpt.com</v>
      </c>
      <c r="AA748" s="215" t="str">
        <f>IFERROR(__xludf.DUMMYFUNCTION("""COMPUTED_VALUE"""),"https://docs.google.com/spreadsheets/d/13pdSoqqk_yCXiOQt0qq3X0pDhqhCJy8a11XekNZEjWA/edit?gid=0#gid=1")</f>
        <v>https://docs.google.com/spreadsheets/d/13pdSoqqk_yCXiOQt0qq3X0pDhqhCJy8a11XekNZEjWA/edit?gid=0#gid=1</v>
      </c>
      <c r="AB748" s="213"/>
      <c r="AC748" s="213"/>
      <c r="AD748" s="213"/>
      <c r="AE748" s="213"/>
      <c r="AF748" s="213"/>
      <c r="AG748" s="213"/>
      <c r="AH748" s="213"/>
      <c r="AI748" s="213"/>
      <c r="AJ748" s="213"/>
      <c r="AK748" s="213"/>
      <c r="AL748" s="213"/>
      <c r="AM748" s="213"/>
      <c r="AN748" s="213"/>
      <c r="AO748" s="213"/>
      <c r="AP748" s="213" t="str">
        <f>IFERROR(__xludf.DUMMYFUNCTION("""COMPUTED_VALUE"""),"SEBASTIAN")</f>
        <v>SEBASTIAN</v>
      </c>
      <c r="AQ748" s="213"/>
      <c r="AR748" s="213"/>
      <c r="AS748" s="213"/>
      <c r="AT748" s="213"/>
      <c r="AU748" s="213"/>
      <c r="AV748" s="213"/>
      <c r="AW748" s="213"/>
      <c r="AX748" s="213"/>
      <c r="AY748" s="213"/>
      <c r="AZ748" s="213"/>
      <c r="BA748" s="213"/>
      <c r="BB748" s="213"/>
      <c r="BC748" s="213"/>
      <c r="BD748" s="213"/>
    </row>
    <row r="749">
      <c r="A749" s="213">
        <f>IFERROR(__xludf.DUMMYFUNCTION("""COMPUTED_VALUE"""),289.0)</f>
        <v>289</v>
      </c>
      <c r="B749" s="213" t="str">
        <f>IFERROR(__xludf.DUMMYFUNCTION("""COMPUTED_VALUE"""),"2026 SIMON BOLIVAR")</f>
        <v>2026 SIMON BOLIVAR</v>
      </c>
      <c r="C749" s="213" t="str">
        <f>IFERROR(__xludf.DUMMYFUNCTION("""COMPUTED_VALUE"""),"TALLER SFT DE COMPUTACIÓN E INFORMÁTICA")</f>
        <v>TALLER SFT DE COMPUTACIÓN E INFORMÁTICA</v>
      </c>
      <c r="D749" s="213" t="str">
        <f>IFERROR(__xludf.DUMMYFUNCTION("""COMPUTED_VALUE"""),"PEDAGOGICO")</f>
        <v>PEDAGOGICO</v>
      </c>
      <c r="E749" s="213" t="str">
        <f>IFERROR(__xludf.DUMMYFUNCTION("""COMPUTED_VALUE"""),"MAT-164")</f>
        <v>MAT-164</v>
      </c>
      <c r="F749" s="213" t="str">
        <f>IFERROR(__xludf.DUMMYFUNCTION("""COMPUTED_VALUE"""),"MAT-164-Y-2")</f>
        <v>MAT-164-Y-2</v>
      </c>
      <c r="G749" s="213"/>
      <c r="H749" s="213" t="str">
        <f>IFERROR(__xludf.DUMMYFUNCTION("""COMPUTED_VALUE"""),"JUEGO DE FICHAS PARA EL APRENDIZAJE DE LA SEÑALÉTICA Y SÍMBOLOS DE SEGURIDAD PARA EL TALLER")</f>
        <v>JUEGO DE FICHAS PARA EL APRENDIZAJE DE LA SEÑALÉTICA Y SÍMBOLOS DE SEGURIDAD PARA EL TALLER</v>
      </c>
      <c r="I749"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am"&amp;"bos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749" s="213">
        <f>IFERROR(__xludf.DUMMYFUNCTION("""COMPUTED_VALUE"""),3.0)</f>
        <v>3</v>
      </c>
      <c r="K749" s="213" t="str">
        <f>IFERROR(__xludf.DUMMYFUNCTION("""COMPUTED_VALUE"""),"90 DÍAS CALENDARIO")</f>
        <v>90 DÍAS CALENDARIO</v>
      </c>
      <c r="L749" s="213" t="str">
        <f>IFERROR(__xludf.DUMMYFUNCTION("""COMPUTED_VALUE"""),"")</f>
        <v/>
      </c>
      <c r="M749" s="213">
        <f>IFERROR(__xludf.DUMMYFUNCTION("""COMPUTED_VALUE"""),1.0)</f>
        <v>1</v>
      </c>
      <c r="N749" s="213">
        <f>IFERROR(__xludf.DUMMYFUNCTION("""COMPUTED_VALUE"""),1.0)</f>
        <v>1</v>
      </c>
      <c r="O749" s="213">
        <f>IFERROR(__xludf.DUMMYFUNCTION("""COMPUTED_VALUE"""),1.0)</f>
        <v>1</v>
      </c>
      <c r="P749" s="213"/>
      <c r="Q749" s="213"/>
      <c r="R749" s="213"/>
      <c r="S749" s="213"/>
      <c r="T749" s="213"/>
      <c r="U749" s="213"/>
      <c r="V749" s="213"/>
      <c r="W749" s="213"/>
      <c r="X749" s="213"/>
      <c r="Y749" s="213"/>
      <c r="Z749" s="213"/>
      <c r="AA749" s="213"/>
      <c r="AB749" s="213"/>
      <c r="AC749" s="213"/>
      <c r="AD749" s="213"/>
      <c r="AE749" s="213"/>
      <c r="AF749" s="213"/>
      <c r="AG749" s="213"/>
      <c r="AH749" s="213"/>
      <c r="AI749" s="213"/>
      <c r="AJ749" s="213"/>
      <c r="AK749" s="213"/>
      <c r="AL749" s="213"/>
      <c r="AM749" s="213"/>
      <c r="AN749" s="213"/>
      <c r="AO749" s="213"/>
      <c r="AP749" s="213"/>
      <c r="AQ749" s="213"/>
      <c r="AR749" s="213"/>
      <c r="AS749" s="213"/>
      <c r="AT749" s="213"/>
      <c r="AU749" s="213"/>
      <c r="AV749" s="213"/>
      <c r="AW749" s="213"/>
      <c r="AX749" s="213"/>
      <c r="AY749" s="213"/>
      <c r="AZ749" s="213"/>
      <c r="BA749" s="213"/>
      <c r="BB749" s="213"/>
      <c r="BC749" s="213"/>
      <c r="BD749" s="213"/>
    </row>
    <row r="750">
      <c r="A750" s="213">
        <f>IFERROR(__xludf.DUMMYFUNCTION("""COMPUTED_VALUE"""),364.0)</f>
        <v>364</v>
      </c>
      <c r="B750" s="213" t="str">
        <f>IFERROR(__xludf.DUMMYFUNCTION("""COMPUTED_VALUE"""),"2026 SIMON BOLIVAR")</f>
        <v>2026 SIMON BOLIVAR</v>
      </c>
      <c r="C750" s="213" t="str">
        <f>IFERROR(__xludf.DUMMYFUNCTION("""COMPUTED_VALUE"""),"TALLER SFT DE ELECTRICIDAD")</f>
        <v>TALLER SFT DE ELECTRICIDAD</v>
      </c>
      <c r="D750" s="213" t="str">
        <f>IFERROR(__xludf.DUMMYFUNCTION("""COMPUTED_VALUE"""),"EQUIPOS")</f>
        <v>EQUIPOS</v>
      </c>
      <c r="E750" s="213" t="str">
        <f>IFERROR(__xludf.DUMMYFUNCTION("""COMPUTED_VALUE"""),"ESP-203")</f>
        <v>ESP-203</v>
      </c>
      <c r="F750" s="213" t="str">
        <f>IFERROR(__xludf.DUMMYFUNCTION("""COMPUTED_VALUE"""),"ESP-203")</f>
        <v>ESP-203</v>
      </c>
      <c r="G750" s="213"/>
      <c r="H750" s="213" t="str">
        <f>IFERROR(__xludf.DUMMYFUNCTION("""COMPUTED_VALUE"""),"KIT DE ESTACIONES DE ENTRENAMIENTO DE INSTALACIONES DE SISTEMAS DE SEGURIDAD")</f>
        <v>KIT DE ESTACIONES DE ENTRENAMIENTO DE INSTALACIONES DE SISTEMAS DE SEGURIDAD</v>
      </c>
      <c r="I750" s="213" t="str">
        <f>IFERROR(__xludf.DUMMYFUNCTION("""COMPUTED_VALUE"""),"· Características del KIT:
El equipo representa un edificio en escala reducida, la estructura metálica está colocada sobre una base móvil con ruedas, que facilita el transporte.
· Características del Kit
Permite aplicar las técnicas de montaje, de ensayo "&amp;"y de verificación de las instalaciones eléctricas inherentes a los edificios civiles de uso residencial y comercial, tal como: realizar mediciones de aislamiento y la impedancia del lazo de avería, caídas de tensión, las pruebas de continuidad y la verifi"&amp;"cación de los dispositivos de protección en instalaciones eléctricas ya cableadas, así como podrán realizar modificaciones y transformaciones en las instalaciones ya existentes.
- Dimensiones aprox: 1300 x 1300 x 1800 mm
- Incluye programa básico para la "&amp;"enseñanza:
- Instalación de iluminación y distribución de la fuerza motriz con contador medidor de energía (kWh)
- Instalación de iluminación de escaleras
- Instalación de intercomunicación
- Instalación de puesta a tierra y equipotencial
- Instalación de"&amp;" antena de TV
- Instalación de distribución telefónica
- Instalación de alarma con detector de gas y óxido de carbono
- Instalación de detección de antirrobo
· Principales componentes que debe contener el Kit como minimo:
1 contador de energía monofásica "&amp;"/ 1 central con 2 interruptores diferenciales y 3 interruptores  automáticos termomagnéticos / 1 central de antena con repartidor de 4 salidas y 7 tomas de TV / 1 fuente de alimentación de intercomunicación con conmutador / 1 portero + intercomunicador co"&amp;"n 2 pulsadores / 4 conexiones de tierra con resistencia de 1Ω y bornes / 1 central antirrobo de 2 zonas / 12 tomacorrientes de 220 V / 3 timbres / 1 detector electrónico de humo / calor / 1 detector de presencia de infrarrojos / 1 intercomunicador de pare"&amp;"d que comunica con un puesto externo y un puesto interno / 1 detector de fugas de gas / 1 microcontacto para antirrobo / 1 lámpara halógena de baja tensión / 6 lámparas incandescentes
/ 1 detector de presencia de microondas / 3 lámparas piloto (simulación"&amp;" de bombas de las zonas de calefacción) / 1 electroválvula de bloqueo del gas / Manual de uso del Kit de Estaciones de Entrenamiento de Sistemas de Seguridad.")</f>
        <v>· Características del KIT:
El equipo representa un edificio en escala reducida, la estructura metálica está colocada sobre una base móvil con ruedas, que facilita el transporte.
· Características del Kit
Permite aplicar las técnicas de montaje, de ensayo y de verificación de las instalaciones eléctricas inherentes a los edificios civiles de uso residencial y comercial, tal como: realizar mediciones de aislamiento y la impedancia del lazo de avería, caídas de tensión, las pruebas de continuidad y la verificación de los dispositivos de protección en instalaciones eléctricas ya cableadas, así como podrán realizar modificaciones y transformaciones en las instalaciones ya existentes.
- Dimensiones aprox: 1300 x 1300 x 1800 mm
- Incluye programa básico para la enseñanza:
- Instalación de iluminación y distribución de la fuerza motriz con contador medidor de energía (kWh)
- Instalación de iluminación de escaleras
- Instalación de intercomunicación
- Instalación de puesta a tierra y equipotencial
- Instalación de antena de TV
- Instalación de distribución telefónica
- Instalación de alarma con detector de gas y óxido de carbono
- Instalación de detección de antirrobo
· Principales componentes que debe contener el Kit como minimo:
1 contador de energía monofásica / 1 central con 2 interruptores diferenciales y 3 interruptores  automáticos termomagnéticos / 1 central de antena con repartidor de 4 salidas y 7 tomas de TV / 1 fuente de alimentación de intercomunicación con conmutador / 1 portero + intercomunicador con 2 pulsadores / 4 conexiones de tierra con resistencia de 1Ω y bornes / 1 central antirrobo de 2 zonas / 12 tomacorrientes de 220 V / 3 timbres / 1 detector electrónico de humo / calor / 1 detector de presencia de infrarrojos / 1 intercomunicador de pared que comunica con un puesto externo y un puesto interno / 1 detector de fugas de gas / 1 microcontacto para antirrobo / 1 lámpara halógena de baja tensión / 6 lámparas incandescentes
/ 1 detector de presencia de microondas / 3 lámparas piloto (simulación de bombas de las zonas de calefacción) / 1 electroválvula de bloqueo del gas / Manual de uso del Kit de Estaciones de Entrenamiento de Sistemas de Seguridad.</v>
      </c>
      <c r="J750" s="213">
        <f>IFERROR(__xludf.DUMMYFUNCTION("""COMPUTED_VALUE"""),3.0)</f>
        <v>3</v>
      </c>
      <c r="K750" s="213" t="str">
        <f>IFERROR(__xludf.DUMMYFUNCTION("""COMPUTED_VALUE"""),"170 DÍAS CALENDARIO")</f>
        <v>170 DÍAS CALENDARIO</v>
      </c>
      <c r="L750" s="213" t="str">
        <f>IFERROR(__xludf.DUMMYFUNCTION("""COMPUTED_VALUE"""),"")</f>
        <v/>
      </c>
      <c r="M750" s="213">
        <f>IFERROR(__xludf.DUMMYFUNCTION("""COMPUTED_VALUE"""),1.0)</f>
        <v>1</v>
      </c>
      <c r="N750" s="213">
        <f>IFERROR(__xludf.DUMMYFUNCTION("""COMPUTED_VALUE"""),4.0)</f>
        <v>4</v>
      </c>
      <c r="O750" s="213">
        <f>IFERROR(__xludf.DUMMYFUNCTION("""COMPUTED_VALUE"""),4.0)</f>
        <v>4</v>
      </c>
      <c r="P750" s="213"/>
      <c r="Q750" s="213"/>
      <c r="R750" s="213"/>
      <c r="S750" s="213" t="str">
        <f>IFERROR(__xludf.DUMMYFUNCTION("""COMPUTED_VALUE"""),"SI")</f>
        <v>SI</v>
      </c>
      <c r="T750" s="213" t="str">
        <f>IFERROR(__xludf.DUMMYFUNCTION("""COMPUTED_VALUE"""),"SI")</f>
        <v>SI</v>
      </c>
      <c r="U750" s="213" t="str">
        <f>IFERROR(__xludf.DUMMYFUNCTION("""COMPUTED_VALUE"""),"SI")</f>
        <v>SI</v>
      </c>
      <c r="V750" s="213" t="str">
        <f>IFERROR(__xludf.DUMMYFUNCTION("""COMPUTED_VALUE"""),"-")</f>
        <v>-</v>
      </c>
      <c r="W750" s="213" t="str">
        <f>IFERROR(__xludf.DUMMYFUNCTION("""COMPUTED_VALUE"""),"-")</f>
        <v>-</v>
      </c>
      <c r="X750" s="213" t="str">
        <f>IFERROR(__xludf.DUMMYFUNCTION("""COMPUTED_VALUE"""),"Shouldshine")</f>
        <v>Shouldshine</v>
      </c>
      <c r="Y750" s="213" t="str">
        <f>IFERROR(__xludf.DUMMYFUNCTION("""COMPUTED_VALUE"""),"TB-230320-V-004")</f>
        <v>TB-230320-V-004</v>
      </c>
      <c r="Z750" s="215" t="str">
        <f>IFERROR(__xludf.DUMMYFUNCTION("""COMPUTED_VALUE"""),"https://drive.google.com/file/d/1Gn-fn_WN4ajeI_kpYMAVZmuMvl2aSkHx/view?usp=sharing")</f>
        <v>https://drive.google.com/file/d/1Gn-fn_WN4ajeI_kpYMAVZmuMvl2aSkHx/view?usp=sharing</v>
      </c>
      <c r="AA750" s="213" t="str">
        <f>IFERROR(__xludf.DUMMYFUNCTION("""COMPUTED_VALUE"""),"ESP-203 KIT DE ESTACIONES DE ENTRENAMIENTO DE INSTALACIONES DE SISTEMAS DE SEGURIDAD - CET")</f>
        <v>ESP-203 KIT DE ESTACIONES DE ENTRENAMIENTO DE INSTALACIONES DE SISTEMAS DE SEGURIDAD - CET</v>
      </c>
      <c r="AB750" s="215" t="str">
        <f>IFERROR(__xludf.DUMMYFUNCTION("""COMPUTED_VALUE"""),"https://drive.google.com/file/d/1Gn-fn_WN4ajeI_kpYMAVZmuMvl2aSkHx/view?usp=sharing")</f>
        <v>https://drive.google.com/file/d/1Gn-fn_WN4ajeI_kpYMAVZmuMvl2aSkHx/view?usp=sharing</v>
      </c>
      <c r="AC750" s="213"/>
      <c r="AD750" s="213"/>
      <c r="AE750" s="213"/>
      <c r="AF750" s="213"/>
      <c r="AG750" s="213"/>
      <c r="AH750" s="213"/>
      <c r="AI750" s="213"/>
      <c r="AJ750" s="213"/>
      <c r="AK750" s="213"/>
      <c r="AL750" s="213"/>
      <c r="AM750" s="213"/>
      <c r="AN750" s="213"/>
      <c r="AO750" s="213"/>
      <c r="AP750" s="213" t="str">
        <f>IFERROR(__xludf.DUMMYFUNCTION("""COMPUTED_VALUE"""),"NALDI")</f>
        <v>NALDI</v>
      </c>
      <c r="AQ750" s="213"/>
      <c r="AR750" s="213"/>
      <c r="AS750" s="213"/>
      <c r="AT750" s="213"/>
      <c r="AU750" s="213"/>
      <c r="AV750" s="213"/>
      <c r="AW750" s="213"/>
      <c r="AX750" s="213"/>
      <c r="AY750" s="213"/>
      <c r="AZ750" s="213"/>
      <c r="BA750" s="213"/>
      <c r="BB750" s="213"/>
      <c r="BC750" s="213"/>
      <c r="BD750" s="213"/>
    </row>
    <row r="751">
      <c r="A751" s="213"/>
      <c r="B751" s="213" t="str">
        <f>IFERROR(__xludf.DUMMYFUNCTION("""COMPUTED_VALUE"""),"2026 SIMON BOLIVAR")</f>
        <v>2026 SIMON BOLIVAR</v>
      </c>
      <c r="C751" s="213" t="str">
        <f>IFERROR(__xludf.DUMMYFUNCTION("""COMPUTED_VALUE"""),"TALLER SFT DE INDUSTRIA ALIMENTARIA")</f>
        <v>TALLER SFT DE INDUSTRIA ALIMENTARIA</v>
      </c>
      <c r="D751" s="213" t="str">
        <f>IFERROR(__xludf.DUMMYFUNCTION("""COMPUTED_VALUE"""),"PEDAGOGICO")</f>
        <v>PEDAGOGICO</v>
      </c>
      <c r="E751" s="213" t="str">
        <f>IFERROR(__xludf.DUMMYFUNCTION("""COMPUTED_VALUE"""),"MAT-164")</f>
        <v>MAT-164</v>
      </c>
      <c r="F751" s="213" t="str">
        <f>IFERROR(__xludf.DUMMYFUNCTION("""COMPUTED_VALUE"""),"MAT-164-X")</f>
        <v>MAT-164-X</v>
      </c>
      <c r="G751" s="213"/>
      <c r="H751" s="213" t="str">
        <f>IFERROR(__xludf.DUMMYFUNCTION("""COMPUTED_VALUE"""),"FICHAS PARA EL APRENDIZAJE DE LA SEÑALÉTICA Y SÍMBOLOS DE SEGURIDAD PARA EL TALLER")</f>
        <v>FICHAS PARA EL APRENDIZAJE DE LA SEÑALÉTICA Y SÍMBOLOS DE SEGURIDAD PARA EL TALLER</v>
      </c>
      <c r="I751" s="213" t="str">
        <f>IFERROR(__xludf.DUMMYFUNCTION("""COMPUTED_VALUE"""),"· Fichas Tamaño 10 cm x 6 cm
· Base cartón grueso elaborado en una sola pieza
· Impresas a todo color en papel couche de 350 gr/m2, enmicados por ambos lados y con bordes boleados
· Comprende:
- Fichas que describen prohibiciones y restricciones.
- Fichas"&amp;" asociadas a las precauciones.
- Fichas  que se emplean para establecer zonas o áreas de seguridad y vías de evacuación.
- Fichas que orientan acciones obligatorias o uso necesario de equipo especifico.")</f>
        <v>· Fichas Tamaño 10 cm x 6 cm
· Base cartón grueso elaborado en una sola pieza
· Impresas a todo color en papel couche de 350 gr/m2, enmicados por ambos lados y con bordes boleados
· Comprende:
- Fichas que describen prohibiciones y restricciones.
- Fichas asociadas a las precauciones.
- Fichas  que se emplean para establecer zonas o áreas de seguridad y vías de evacuación.
- Fichas que orientan acciones obligatorias o uso necesario de equipo especifico.</v>
      </c>
      <c r="J751" s="213">
        <f>IFERROR(__xludf.DUMMYFUNCTION("""COMPUTED_VALUE"""),3.0)</f>
        <v>3</v>
      </c>
      <c r="K751" s="213" t="str">
        <f>IFERROR(__xludf.DUMMYFUNCTION("""COMPUTED_VALUE"""),"90 DÍAS CALENDARIO")</f>
        <v>90 DÍAS CALENDARIO</v>
      </c>
      <c r="L751" s="213" t="str">
        <f>IFERROR(__xludf.DUMMYFUNCTION("""COMPUTED_VALUE"""),"")</f>
        <v/>
      </c>
      <c r="M751" s="213">
        <f>IFERROR(__xludf.DUMMYFUNCTION("""COMPUTED_VALUE"""),1.0)</f>
        <v>1</v>
      </c>
      <c r="N751" s="213">
        <f>IFERROR(__xludf.DUMMYFUNCTION("""COMPUTED_VALUE"""),4.0)</f>
        <v>4</v>
      </c>
      <c r="O751" s="213">
        <f>IFERROR(__xludf.DUMMYFUNCTION("""COMPUTED_VALUE"""),4.0)</f>
        <v>4</v>
      </c>
      <c r="P751" s="213"/>
      <c r="Q751" s="213"/>
      <c r="R751" s="213"/>
      <c r="S751" s="213"/>
      <c r="T751" s="213"/>
      <c r="U751" s="213"/>
      <c r="V751" s="213"/>
      <c r="W751" s="213"/>
      <c r="X751" s="213"/>
      <c r="Y751" s="213"/>
      <c r="Z751" s="213"/>
      <c r="AA751" s="213"/>
      <c r="AB751" s="213"/>
      <c r="AC751" s="213"/>
      <c r="AD751" s="213"/>
      <c r="AE751" s="213"/>
      <c r="AF751" s="213"/>
      <c r="AG751" s="213"/>
      <c r="AH751" s="213"/>
      <c r="AI751" s="213"/>
      <c r="AJ751" s="213"/>
      <c r="AK751" s="213"/>
      <c r="AL751" s="213"/>
      <c r="AM751" s="213"/>
      <c r="AN751" s="213"/>
      <c r="AO751" s="213"/>
      <c r="AP751" s="213"/>
      <c r="AQ751" s="213"/>
      <c r="AR751" s="213"/>
      <c r="AS751" s="213"/>
      <c r="AT751" s="213"/>
      <c r="AU751" s="213"/>
      <c r="AV751" s="213"/>
      <c r="AW751" s="213"/>
      <c r="AX751" s="213"/>
      <c r="AY751" s="213"/>
      <c r="AZ751" s="213"/>
      <c r="BA751" s="213"/>
      <c r="BB751" s="213"/>
      <c r="BC751" s="213"/>
      <c r="BD751" s="213"/>
    </row>
    <row r="752">
      <c r="A752" s="213">
        <f>IFERROR(__xludf.DUMMYFUNCTION("""COMPUTED_VALUE"""),167.0)</f>
        <v>167</v>
      </c>
      <c r="B752" s="213" t="str">
        <f>IFERROR(__xludf.DUMMYFUNCTION("""COMPUTED_VALUE"""),"2026 SIMON BOLIVAR")</f>
        <v>2026 SIMON BOLIVAR</v>
      </c>
      <c r="C752" s="213" t="str">
        <f>IFERROR(__xludf.DUMMYFUNCTION("""COMPUTED_VALUE"""),"TALLER SFT DE INDUSTRIA DEL VESTIDO")</f>
        <v>TALLER SFT DE INDUSTRIA DEL VESTIDO</v>
      </c>
      <c r="D752" s="213" t="str">
        <f>IFERROR(__xludf.DUMMYFUNCTION("""COMPUTED_VALUE"""),"PEDAGOGICO")</f>
        <v>PEDAGOGICO</v>
      </c>
      <c r="E752" s="213" t="str">
        <f>IFERROR(__xludf.DUMMYFUNCTION("""COMPUTED_VALUE"""),"MAT-164")</f>
        <v>MAT-164</v>
      </c>
      <c r="F752" s="213" t="str">
        <f>IFERROR(__xludf.DUMMYFUNCTION("""COMPUTED_VALUE"""),"MAT-164-Y-6")</f>
        <v>MAT-164-Y-6</v>
      </c>
      <c r="G752" s="213"/>
      <c r="H752" s="213" t="str">
        <f>IFERROR(__xludf.DUMMYFUNCTION("""COMPUTED_VALUE"""),"JUEGO DE FICHAS PARA EL APRENDIZAJE DE LA SEÑALÉTICA Y SÍMBOLOS DE SEGURIDAD PARA EL TALLER")</f>
        <v>JUEGO DE FICHAS PARA EL APRENDIZAJE DE LA SEÑALÉTICA Y SÍMBOLOS DE SEGURIDAD PARA EL TALLER</v>
      </c>
      <c r="I752"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am"&amp;"bos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752" s="213">
        <f>IFERROR(__xludf.DUMMYFUNCTION("""COMPUTED_VALUE"""),3.0)</f>
        <v>3</v>
      </c>
      <c r="K752" s="213" t="str">
        <f>IFERROR(__xludf.DUMMYFUNCTION("""COMPUTED_VALUE"""),"90 DÍAS CALENDARIO")</f>
        <v>90 DÍAS CALENDARIO</v>
      </c>
      <c r="L752" s="213" t="str">
        <f>IFERROR(__xludf.DUMMYFUNCTION("""COMPUTED_VALUE"""),"")</f>
        <v/>
      </c>
      <c r="M752" s="213">
        <f>IFERROR(__xludf.DUMMYFUNCTION("""COMPUTED_VALUE"""),1.0)</f>
        <v>1</v>
      </c>
      <c r="N752" s="213">
        <f>IFERROR(__xludf.DUMMYFUNCTION("""COMPUTED_VALUE"""),1.0)</f>
        <v>1</v>
      </c>
      <c r="O752" s="213">
        <f>IFERROR(__xludf.DUMMYFUNCTION("""COMPUTED_VALUE"""),1.0)</f>
        <v>1</v>
      </c>
      <c r="P752" s="213"/>
      <c r="Q752" s="213"/>
      <c r="R752" s="213"/>
      <c r="S752" s="213"/>
      <c r="T752" s="213"/>
      <c r="U752" s="213"/>
      <c r="V752" s="213"/>
      <c r="W752" s="213"/>
      <c r="X752" s="213"/>
      <c r="Y752" s="213"/>
      <c r="Z752" s="213"/>
      <c r="AA752" s="213"/>
      <c r="AB752" s="213"/>
      <c r="AC752" s="213"/>
      <c r="AD752" s="213"/>
      <c r="AE752" s="213"/>
      <c r="AF752" s="213"/>
      <c r="AG752" s="213"/>
      <c r="AH752" s="213"/>
      <c r="AI752" s="213"/>
      <c r="AJ752" s="213"/>
      <c r="AK752" s="213"/>
      <c r="AL752" s="213"/>
      <c r="AM752" s="213"/>
      <c r="AN752" s="213"/>
      <c r="AO752" s="213"/>
      <c r="AP752" s="213"/>
      <c r="AQ752" s="213"/>
      <c r="AR752" s="213"/>
      <c r="AS752" s="213"/>
      <c r="AT752" s="213"/>
      <c r="AU752" s="213"/>
      <c r="AV752" s="213"/>
      <c r="AW752" s="213"/>
      <c r="AX752" s="213"/>
      <c r="AY752" s="213"/>
      <c r="AZ752" s="213"/>
      <c r="BA752" s="213"/>
      <c r="BB752" s="213"/>
      <c r="BC752" s="213"/>
      <c r="BD752" s="213"/>
    </row>
    <row r="753">
      <c r="A753" s="213">
        <f>IFERROR(__xludf.DUMMYFUNCTION("""COMPUTED_VALUE"""),694.0)</f>
        <v>694</v>
      </c>
      <c r="B753" s="213" t="str">
        <f>IFERROR(__xludf.DUMMYFUNCTION("""COMPUTED_VALUE"""),"6049 RICARDO PALMA")</f>
        <v>6049 RICARDO PALMA</v>
      </c>
      <c r="C753" s="213" t="str">
        <f>IFERROR(__xludf.DUMMYFUNCTION("""COMPUTED_VALUE"""),"TALLER SFT DE ELECTRÓNICA")</f>
        <v>TALLER SFT DE ELECTRÓNICA</v>
      </c>
      <c r="D753" s="213" t="str">
        <f>IFERROR(__xludf.DUMMYFUNCTION("""COMPUTED_VALUE"""),"EQUIPOS")</f>
        <v>EQUIPOS</v>
      </c>
      <c r="E753" s="213" t="str">
        <f>IFERROR(__xludf.DUMMYFUNCTION("""COMPUTED_VALUE"""),"ESP-170")</f>
        <v>ESP-170</v>
      </c>
      <c r="F753" s="213" t="str">
        <f>IFERROR(__xludf.DUMMYFUNCTION("""COMPUTED_VALUE"""),"ESP-170")</f>
        <v>ESP-170</v>
      </c>
      <c r="G753" s="213"/>
      <c r="H753" s="213" t="str">
        <f>IFERROR(__xludf.DUMMYFUNCTION("""COMPUTED_VALUE"""),"FRECUENCÍMETRO DIGITAL")</f>
        <v>FRECUENCÍMETRO DIGITAL</v>
      </c>
      <c r="I753" s="213" t="str">
        <f>IFERROR(__xludf.DUMMYFUNCTION("""COMPUTED_VALUE"""),"· Mínimo 2 canales de entrada.
· Contador de frecuencias hasta 160 MHz en primera entrada
· Contador de frecuencias hasta 2,4 GHz en segunda entrada
· Display de mínimo 8 dígitos
· Frecuencia de base de tiempo estándar: 10 MHz.
· Voltaje, frecuencia: 220 "&amp;"V, 60 Hz
· Incluye cables para pruebas.")</f>
        <v>· Mínimo 2 canales de entrada.
· Contador de frecuencias hasta 160 MHz en primera entrada
· Contador de frecuencias hasta 2,4 GHz en segunda entrada
· Display de mínimo 8 dígitos
· Frecuencia de base de tiempo estándar: 10 MHz.
· Voltaje, frecuencia: 220 V, 60 Hz
· Incluye cables para pruebas.</v>
      </c>
      <c r="J753" s="213">
        <f>IFERROR(__xludf.DUMMYFUNCTION("""COMPUTED_VALUE"""),3.0)</f>
        <v>3</v>
      </c>
      <c r="K753" s="213" t="str">
        <f>IFERROR(__xludf.DUMMYFUNCTION("""COMPUTED_VALUE"""),"170 DÍAS CALENDARIO")</f>
        <v>170 DÍAS CALENDARIO</v>
      </c>
      <c r="L753" s="213" t="str">
        <f>IFERROR(__xludf.DUMMYFUNCTION("""COMPUTED_VALUE"""),"")</f>
        <v/>
      </c>
      <c r="M753" s="213">
        <f>IFERROR(__xludf.DUMMYFUNCTION("""COMPUTED_VALUE"""),1.0)</f>
        <v>1</v>
      </c>
      <c r="N753" s="213">
        <f>IFERROR(__xludf.DUMMYFUNCTION("""COMPUTED_VALUE"""),4.0)</f>
        <v>4</v>
      </c>
      <c r="O753" s="213">
        <f>IFERROR(__xludf.DUMMYFUNCTION("""COMPUTED_VALUE"""),4.0)</f>
        <v>4</v>
      </c>
      <c r="P753" s="213"/>
      <c r="Q753" s="213"/>
      <c r="R753" s="213"/>
      <c r="S753" s="213" t="str">
        <f>IFERROR(__xludf.DUMMYFUNCTION("""COMPUTED_VALUE"""),"SI")</f>
        <v>SI</v>
      </c>
      <c r="T753" s="213" t="str">
        <f>IFERROR(__xludf.DUMMYFUNCTION("""COMPUTED_VALUE"""),"CONSULTA FINAL")</f>
        <v>CONSULTA FINAL</v>
      </c>
      <c r="U753" s="213" t="str">
        <f>IFERROR(__xludf.DUMMYFUNCTION("""COMPUTED_VALUE"""),"NO")</f>
        <v>NO</v>
      </c>
      <c r="V753" s="213" t="str">
        <f>IFERROR(__xludf.DUMMYFUNCTION("""COMPUTED_VALUE"""),"SUSTENTO")</f>
        <v>SUSTENTO</v>
      </c>
      <c r="W753" s="213" t="str">
        <f>IFERROR(__xludf.DUMMYFUNCTION("""COMPUTED_VALUE"""),"EQU TEC")</f>
        <v>EQU TEC</v>
      </c>
      <c r="X753" s="213" t="str">
        <f>IFERROR(__xludf.DUMMYFUNCTION("""COMPUTED_VALUE"""),"Promax")</f>
        <v>Promax</v>
      </c>
      <c r="Y753" s="213" t="str">
        <f>IFERROR(__xludf.DUMMYFUNCTION("""COMPUTED_VALUE"""),"Digital frequency counter FD-252")</f>
        <v>Digital frequency counter FD-252</v>
      </c>
      <c r="Z753" s="215" t="str">
        <f>IFERROR(__xludf.DUMMYFUNCTION("""COMPUTED_VALUE"""),"https://www.denver.es/producto/promaxfd252/")</f>
        <v>https://www.denver.es/producto/promaxfd252/</v>
      </c>
      <c r="AA753" s="213" t="str">
        <f>IFERROR(__xludf.DUMMYFUNCTION("""COMPUTED_VALUE"""),"ESP-170 FRECUENCÍMETRO DIGITAL - CET")</f>
        <v>ESP-170 FRECUENCÍMETRO DIGITAL - CET</v>
      </c>
      <c r="AB753" s="215" t="str">
        <f>IFERROR(__xludf.DUMMYFUNCTION("""COMPUTED_VALUE"""),"https://www.promax.es/downloads/products/ing/FD-252.pdf")</f>
        <v>https://www.promax.es/downloads/products/ing/FD-252.pdf</v>
      </c>
      <c r="AC753" s="213"/>
      <c r="AD753" s="213"/>
      <c r="AE753" s="213"/>
      <c r="AF753" s="213"/>
      <c r="AG753" s="213"/>
      <c r="AH753" s="213"/>
      <c r="AI753" s="213"/>
      <c r="AJ753" s="213"/>
      <c r="AK753" s="213"/>
      <c r="AL753" s="213"/>
      <c r="AM753" s="213"/>
      <c r="AN753" s="213"/>
      <c r="AO753" s="213"/>
      <c r="AP753" s="213" t="str">
        <f>IFERROR(__xludf.DUMMYFUNCTION("""COMPUTED_VALUE"""),"BRUNO")</f>
        <v>BRUNO</v>
      </c>
      <c r="AQ753" s="213"/>
      <c r="AR753" s="213"/>
      <c r="AS753" s="213"/>
      <c r="AT753" s="213"/>
      <c r="AU753" s="213"/>
      <c r="AV753" s="213"/>
      <c r="AW753" s="213"/>
      <c r="AX753" s="213"/>
      <c r="AY753" s="213"/>
      <c r="AZ753" s="213"/>
      <c r="BA753" s="213"/>
      <c r="BB753" s="213"/>
      <c r="BC753" s="213"/>
      <c r="BD753" s="213"/>
    </row>
    <row r="754">
      <c r="A754" s="213">
        <f>IFERROR(__xludf.DUMMYFUNCTION("""COMPUTED_VALUE"""),602.0)</f>
        <v>602</v>
      </c>
      <c r="B754" s="213" t="str">
        <f>IFERROR(__xludf.DUMMYFUNCTION("""COMPUTED_VALUE"""),"2026 SIMON BOLIVAR")</f>
        <v>2026 SIMON BOLIVAR</v>
      </c>
      <c r="C754" s="213" t="str">
        <f>IFERROR(__xludf.DUMMYFUNCTION("""COMPUTED_VALUE"""),"TALLER SFT DE INDUSTRIA ALIMENTARIA")</f>
        <v>TALLER SFT DE INDUSTRIA ALIMENTARIA</v>
      </c>
      <c r="D754" s="213" t="str">
        <f>IFERROR(__xludf.DUMMYFUNCTION("""COMPUTED_VALUE"""),"EQUIPOS")</f>
        <v>EQUIPOS</v>
      </c>
      <c r="E754" s="213" t="str">
        <f>IFERROR(__xludf.DUMMYFUNCTION("""COMPUTED_VALUE"""),"ESP-171")</f>
        <v>ESP-171</v>
      </c>
      <c r="F754" s="213" t="str">
        <f>IFERROR(__xludf.DUMMYFUNCTION("""COMPUTED_VALUE"""),"ESP-171")</f>
        <v>ESP-171</v>
      </c>
      <c r="G754" s="213"/>
      <c r="H754" s="213" t="str">
        <f>IFERROR(__xludf.DUMMYFUNCTION("""COMPUTED_VALUE"""),"FREIDORA DE DOS BANDEJAS")</f>
        <v>FREIDORA DE DOS BANDEJAS</v>
      </c>
      <c r="I754" s="213" t="str">
        <f>IFERROR(__xludf.DUMMYFUNCTION("""COMPUTED_VALUE"""),"Uso de energía Electrica.
· Capacidad mínima: 12kg / h.
· Voltaje 220V, 60 Hz.
· Tamaño aroximado 370mmx455mmx350 mm.
· Tamaño de la cesta aproximado 140 mm x 250mm x 100mm.
· Peso aproximado 10 kg.
· Material: acero inoxidable.
· Consumo de electricidad "&amp;"Mínimo 2 x 2.4 KW.
· Capacidad mínima 2x6 litros")</f>
        <v>Uso de energía Electrica.
· Capacidad mínima: 12kg / h.
· Voltaje 220V, 60 Hz.
· Tamaño aroximado 370mmx455mmx350 mm.
· Tamaño de la cesta aproximado 140 mm x 250mm x 100mm.
· Peso aproximado 10 kg.
· Material: acero inoxidable.
· Consumo de electricidad Mínimo 2 x 2.4 KW.
· Capacidad mínima 2x6 litros</v>
      </c>
      <c r="J754" s="213">
        <f>IFERROR(__xludf.DUMMYFUNCTION("""COMPUTED_VALUE"""),3.0)</f>
        <v>3</v>
      </c>
      <c r="K754" s="213" t="str">
        <f>IFERROR(__xludf.DUMMYFUNCTION("""COMPUTED_VALUE"""),"170 DÍAS CALENDARIO")</f>
        <v>170 DÍAS CALENDARIO</v>
      </c>
      <c r="L754" s="213" t="str">
        <f>IFERROR(__xludf.DUMMYFUNCTION("""COMPUTED_VALUE"""),"")</f>
        <v/>
      </c>
      <c r="M754" s="213">
        <f>IFERROR(__xludf.DUMMYFUNCTION("""COMPUTED_VALUE"""),1.0)</f>
        <v>1</v>
      </c>
      <c r="N754" s="213">
        <f>IFERROR(__xludf.DUMMYFUNCTION("""COMPUTED_VALUE"""),2.0)</f>
        <v>2</v>
      </c>
      <c r="O754" s="213">
        <f>IFERROR(__xludf.DUMMYFUNCTION("""COMPUTED_VALUE"""),2.0)</f>
        <v>2</v>
      </c>
      <c r="P754" s="213"/>
      <c r="Q754" s="213"/>
      <c r="R754" s="213"/>
      <c r="S754" s="213" t="str">
        <f>IFERROR(__xludf.DUMMYFUNCTION("""COMPUTED_VALUE"""),"SI")</f>
        <v>SI</v>
      </c>
      <c r="T754" s="213" t="str">
        <f>IFERROR(__xludf.DUMMYFUNCTION("""COMPUTED_VALUE"""),"SI")</f>
        <v>SI</v>
      </c>
      <c r="U754" s="213" t="str">
        <f>IFERROR(__xludf.DUMMYFUNCTION("""COMPUTED_VALUE"""),"NO")</f>
        <v>NO</v>
      </c>
      <c r="V754" s="213" t="str">
        <f>IFERROR(__xludf.DUMMYFUNCTION("""COMPUTED_VALUE"""),"SUSTENTO")</f>
        <v>SUSTENTO</v>
      </c>
      <c r="W754" s="213" t="str">
        <f>IFERROR(__xludf.DUMMYFUNCTION("""COMPUTED_VALUE"""),"DIMENSIONAL, ELÉCTRICO")</f>
        <v>DIMENSIONAL, ELÉCTRICO</v>
      </c>
      <c r="X754" s="213" t="str">
        <f>IFERROR(__xludf.DUMMYFUNCTION("""COMPUTED_VALUE"""),"ADEXA")</f>
        <v>ADEXA</v>
      </c>
      <c r="Y754" s="213" t="str">
        <f>IFERROR(__xludf.DUMMYFUNCTION("""COMPUTED_VALUE"""),"HDF8+8")</f>
        <v>HDF8+8</v>
      </c>
      <c r="Z754" s="215" t="str">
        <f>IFERROR(__xludf.DUMMYFUNCTION("""COMPUTED_VALUE"""),"https://drive.google.com/file/d/1SgljCNAxUlKhIj76heM9BD89ZKv4R7b4/view")</f>
        <v>https://drive.google.com/file/d/1SgljCNAxUlKhIj76heM9BD89ZKv4R7b4/view</v>
      </c>
      <c r="AA754" s="213" t="str">
        <f>IFERROR(__xludf.DUMMYFUNCTION("""COMPUTED_VALUE"""),"ESP-171 FREIDORA DE DOS BANDEJAS - CET")</f>
        <v>ESP-171 FREIDORA DE DOS BANDEJAS - CET</v>
      </c>
      <c r="AB754" s="213"/>
      <c r="AC754" s="213"/>
      <c r="AD754" s="213"/>
      <c r="AE754" s="213"/>
      <c r="AF754" s="213"/>
      <c r="AG754" s="213"/>
      <c r="AH754" s="213"/>
      <c r="AI754" s="213"/>
      <c r="AJ754" s="213"/>
      <c r="AK754" s="213"/>
      <c r="AL754" s="213"/>
      <c r="AM754" s="213"/>
      <c r="AN754" s="213"/>
      <c r="AO754" s="213"/>
      <c r="AP754" s="213" t="str">
        <f>IFERROR(__xludf.DUMMYFUNCTION("""COMPUTED_VALUE"""),"ANTONELLA")</f>
        <v>ANTONELLA</v>
      </c>
      <c r="AQ754" s="213" t="str">
        <f>IFERROR(__xludf.DUMMYFUNCTION("""COMPUTED_VALUE"""),"El equipo está sobredimensionado en cuanto a dimensiones y potencia, pero es de los pocos que incluyen capacidad en su ficha técnica.")</f>
        <v>El equipo está sobredimensionado en cuanto a dimensiones y potencia, pero es de los pocos que incluyen capacidad en su ficha técnica.</v>
      </c>
      <c r="AR754" s="213"/>
      <c r="AS754" s="213"/>
      <c r="AT754" s="213"/>
      <c r="AU754" s="213"/>
      <c r="AV754" s="213"/>
      <c r="AW754" s="213"/>
      <c r="AX754" s="213"/>
      <c r="AY754" s="213"/>
      <c r="AZ754" s="213"/>
      <c r="BA754" s="213"/>
      <c r="BB754" s="213"/>
      <c r="BC754" s="213"/>
      <c r="BD754" s="213"/>
    </row>
    <row r="755">
      <c r="A755" s="213">
        <f>IFERROR(__xludf.DUMMYFUNCTION("""COMPUTED_VALUE"""),1228.0)</f>
        <v>1228</v>
      </c>
      <c r="B755" s="213" t="str">
        <f>IFERROR(__xludf.DUMMYFUNCTION("""COMPUTED_VALUE"""),"FRANCISCO IRAZOLA")</f>
        <v>FRANCISCO IRAZOLA</v>
      </c>
      <c r="C755" s="213" t="str">
        <f>IFERROR(__xludf.DUMMYFUNCTION("""COMPUTED_VALUE"""),"TALLER SFT DE INDUSTRIA ALIMENTARIA")</f>
        <v>TALLER SFT DE INDUSTRIA ALIMENTARIA</v>
      </c>
      <c r="D755" s="213" t="str">
        <f>IFERROR(__xludf.DUMMYFUNCTION("""COMPUTED_VALUE"""),"EQUIPOS")</f>
        <v>EQUIPOS</v>
      </c>
      <c r="E755" s="213" t="str">
        <f>IFERROR(__xludf.DUMMYFUNCTION("""COMPUTED_VALUE"""),"ESP-171")</f>
        <v>ESP-171</v>
      </c>
      <c r="F755" s="213" t="str">
        <f>IFERROR(__xludf.DUMMYFUNCTION("""COMPUTED_VALUE"""),"ESP-171")</f>
        <v>ESP-171</v>
      </c>
      <c r="G755" s="213"/>
      <c r="H755" s="213" t="str">
        <f>IFERROR(__xludf.DUMMYFUNCTION("""COMPUTED_VALUE"""),"FREIDORA DE DOS BANDEJAS")</f>
        <v>FREIDORA DE DOS BANDEJAS</v>
      </c>
      <c r="I755" s="213" t="str">
        <f>IFERROR(__xludf.DUMMYFUNCTION("""COMPUTED_VALUE"""),"Uso de energía Electrica.
· Capacidad mínima: 12kg / h.
· Voltaje 220V, 60 Hz.
· Tamaño aroximado 370mmx455mmx350 mm.
· Tamaño de la cesta aproximado 140 mm x 250mm x 100mm.
· Peso aproximado 10 kg.
· Material: acero inoxidable.
· Consumo de electricidad "&amp;"Mínimo 2 x 2.4 KW.
· Capacidad mínima 2x6 litros")</f>
        <v>Uso de energía Electrica.
· Capacidad mínima: 12kg / h.
· Voltaje 220V, 60 Hz.
· Tamaño aroximado 370mmx455mmx350 mm.
· Tamaño de la cesta aproximado 140 mm x 250mm x 100mm.
· Peso aproximado 10 kg.
· Material: acero inoxidable.
· Consumo de electricidad Mínimo 2 x 2.4 KW.
· Capacidad mínima 2x6 litros</v>
      </c>
      <c r="J755" s="213">
        <f>IFERROR(__xludf.DUMMYFUNCTION("""COMPUTED_VALUE"""),3.0)</f>
        <v>3</v>
      </c>
      <c r="K755" s="213" t="str">
        <f>IFERROR(__xludf.DUMMYFUNCTION("""COMPUTED_VALUE"""),"170 DÍAS CALENDARIO")</f>
        <v>170 DÍAS CALENDARIO</v>
      </c>
      <c r="L755" s="213" t="str">
        <f>IFERROR(__xludf.DUMMYFUNCTION("""COMPUTED_VALUE"""),"")</f>
        <v/>
      </c>
      <c r="M755" s="213">
        <f>IFERROR(__xludf.DUMMYFUNCTION("""COMPUTED_VALUE"""),1.0)</f>
        <v>1</v>
      </c>
      <c r="N755" s="213">
        <f>IFERROR(__xludf.DUMMYFUNCTION("""COMPUTED_VALUE"""),2.0)</f>
        <v>2</v>
      </c>
      <c r="O755" s="213">
        <f>IFERROR(__xludf.DUMMYFUNCTION("""COMPUTED_VALUE"""),2.0)</f>
        <v>2</v>
      </c>
      <c r="P755" s="213"/>
      <c r="Q755" s="213"/>
      <c r="R755" s="213"/>
      <c r="S755" s="213" t="str">
        <f>IFERROR(__xludf.DUMMYFUNCTION("""COMPUTED_VALUE"""),"SI")</f>
        <v>SI</v>
      </c>
      <c r="T755" s="213" t="str">
        <f>IFERROR(__xludf.DUMMYFUNCTION("""COMPUTED_VALUE"""),"SI")</f>
        <v>SI</v>
      </c>
      <c r="U755" s="213" t="str">
        <f>IFERROR(__xludf.DUMMYFUNCTION("""COMPUTED_VALUE"""),"NO")</f>
        <v>NO</v>
      </c>
      <c r="V755" s="213" t="str">
        <f>IFERROR(__xludf.DUMMYFUNCTION("""COMPUTED_VALUE"""),"SUSTENTO")</f>
        <v>SUSTENTO</v>
      </c>
      <c r="W755" s="213" t="str">
        <f>IFERROR(__xludf.DUMMYFUNCTION("""COMPUTED_VALUE"""),"DIMENSIONAL, ELÉCTRICO")</f>
        <v>DIMENSIONAL, ELÉCTRICO</v>
      </c>
      <c r="X755" s="213" t="str">
        <f>IFERROR(__xludf.DUMMYFUNCTION("""COMPUTED_VALUE"""),"ADEXA")</f>
        <v>ADEXA</v>
      </c>
      <c r="Y755" s="213" t="str">
        <f>IFERROR(__xludf.DUMMYFUNCTION("""COMPUTED_VALUE"""),"HDF8+8")</f>
        <v>HDF8+8</v>
      </c>
      <c r="Z755" s="215" t="str">
        <f>IFERROR(__xludf.DUMMYFUNCTION("""COMPUTED_VALUE"""),"https://drive.google.com/file/d/1SgljCNAxUlKhIj76heM9BD89ZKv4R7b4/view")</f>
        <v>https://drive.google.com/file/d/1SgljCNAxUlKhIj76heM9BD89ZKv4R7b4/view</v>
      </c>
      <c r="AA755" s="213" t="str">
        <f>IFERROR(__xludf.DUMMYFUNCTION("""COMPUTED_VALUE"""),"ESP-171 FREIDORA DE DOS BANDEJAS - CET")</f>
        <v>ESP-171 FREIDORA DE DOS BANDEJAS - CET</v>
      </c>
      <c r="AB755" s="213"/>
      <c r="AC755" s="213"/>
      <c r="AD755" s="213"/>
      <c r="AE755" s="213"/>
      <c r="AF755" s="213"/>
      <c r="AG755" s="213"/>
      <c r="AH755" s="213"/>
      <c r="AI755" s="213"/>
      <c r="AJ755" s="213"/>
      <c r="AK755" s="213"/>
      <c r="AL755" s="213"/>
      <c r="AM755" s="213"/>
      <c r="AN755" s="213"/>
      <c r="AO755" s="213"/>
      <c r="AP755" s="213" t="str">
        <f>IFERROR(__xludf.DUMMYFUNCTION("""COMPUTED_VALUE"""),"ANTONELLA")</f>
        <v>ANTONELLA</v>
      </c>
      <c r="AQ755" s="213" t="str">
        <f>IFERROR(__xludf.DUMMYFUNCTION("""COMPUTED_VALUE"""),"El equipo está sobredimensionado en cuanto a dimensiones y potencia, pero es de los pocos que incluyen capacidad en su ficha técnica.")</f>
        <v>El equipo está sobredimensionado en cuanto a dimensiones y potencia, pero es de los pocos que incluyen capacidad en su ficha técnica.</v>
      </c>
      <c r="AR755" s="213"/>
      <c r="AS755" s="213"/>
      <c r="AT755" s="213"/>
      <c r="AU755" s="213"/>
      <c r="AV755" s="213"/>
      <c r="AW755" s="213"/>
      <c r="AX755" s="213"/>
      <c r="AY755" s="213"/>
      <c r="AZ755" s="213"/>
      <c r="BA755" s="213"/>
      <c r="BB755" s="213"/>
      <c r="BC755" s="213"/>
      <c r="BD755" s="213"/>
    </row>
    <row r="756">
      <c r="A756" s="213">
        <f>IFERROR(__xludf.DUMMYFUNCTION("""COMPUTED_VALUE"""),1499.0)</f>
        <v>1499</v>
      </c>
      <c r="B756" s="213" t="str">
        <f>IFERROR(__xludf.DUMMYFUNCTION("""COMPUTED_VALUE"""),"GUILLERMO E. BILLINGHURST ")</f>
        <v>GUILLERMO E. BILLINGHURST </v>
      </c>
      <c r="C756" s="213" t="str">
        <f>IFERROR(__xludf.DUMMYFUNCTION("""COMPUTED_VALUE"""),"TALLER SFT DE INDUSTRIA ALIMENTARIA")</f>
        <v>TALLER SFT DE INDUSTRIA ALIMENTARIA</v>
      </c>
      <c r="D756" s="213" t="str">
        <f>IFERROR(__xludf.DUMMYFUNCTION("""COMPUTED_VALUE"""),"EQUIPOS")</f>
        <v>EQUIPOS</v>
      </c>
      <c r="E756" s="213" t="str">
        <f>IFERROR(__xludf.DUMMYFUNCTION("""COMPUTED_VALUE"""),"ESP-171")</f>
        <v>ESP-171</v>
      </c>
      <c r="F756" s="213" t="str">
        <f>IFERROR(__xludf.DUMMYFUNCTION("""COMPUTED_VALUE"""),"ESP-171")</f>
        <v>ESP-171</v>
      </c>
      <c r="G756" s="213"/>
      <c r="H756" s="213" t="str">
        <f>IFERROR(__xludf.DUMMYFUNCTION("""COMPUTED_VALUE"""),"FREIDORA DE DOS BANDEJAS")</f>
        <v>FREIDORA DE DOS BANDEJAS</v>
      </c>
      <c r="I756" s="213" t="str">
        <f>IFERROR(__xludf.DUMMYFUNCTION("""COMPUTED_VALUE"""),"Uso de energía Electrica.
· Capacidad mínima: 12kg / h.
· Voltaje 220V, 60 Hz.
· Tamaño aroximado 370mmx455mmx350 mm.
· Tamaño de la cesta aproximado 140 mm x 250mm x 100mm.
· Peso aproximado 10 kg.
· Material: acero inoxidable.
· Consumo de electricidad "&amp;"Mínimo 2 x 2.4 KW.
· Capacidad mínima 2x6 litros")</f>
        <v>Uso de energía Electrica.
· Capacidad mínima: 12kg / h.
· Voltaje 220V, 60 Hz.
· Tamaño aroximado 370mmx455mmx350 mm.
· Tamaño de la cesta aproximado 140 mm x 250mm x 100mm.
· Peso aproximado 10 kg.
· Material: acero inoxidable.
· Consumo de electricidad Mínimo 2 x 2.4 KW.
· Capacidad mínima 2x6 litros</v>
      </c>
      <c r="J756" s="213">
        <f>IFERROR(__xludf.DUMMYFUNCTION("""COMPUTED_VALUE"""),3.0)</f>
        <v>3</v>
      </c>
      <c r="K756" s="213" t="str">
        <f>IFERROR(__xludf.DUMMYFUNCTION("""COMPUTED_VALUE"""),"170 DÍAS CALENDARIO")</f>
        <v>170 DÍAS CALENDARIO</v>
      </c>
      <c r="L756" s="213" t="str">
        <f>IFERROR(__xludf.DUMMYFUNCTION("""COMPUTED_VALUE"""),"")</f>
        <v/>
      </c>
      <c r="M756" s="213">
        <f>IFERROR(__xludf.DUMMYFUNCTION("""COMPUTED_VALUE"""),1.0)</f>
        <v>1</v>
      </c>
      <c r="N756" s="213">
        <f>IFERROR(__xludf.DUMMYFUNCTION("""COMPUTED_VALUE"""),2.0)</f>
        <v>2</v>
      </c>
      <c r="O756" s="213">
        <f>IFERROR(__xludf.DUMMYFUNCTION("""COMPUTED_VALUE"""),2.0)</f>
        <v>2</v>
      </c>
      <c r="P756" s="213"/>
      <c r="Q756" s="213"/>
      <c r="R756" s="213"/>
      <c r="S756" s="213" t="str">
        <f>IFERROR(__xludf.DUMMYFUNCTION("""COMPUTED_VALUE"""),"SI")</f>
        <v>SI</v>
      </c>
      <c r="T756" s="213" t="str">
        <f>IFERROR(__xludf.DUMMYFUNCTION("""COMPUTED_VALUE"""),"SI")</f>
        <v>SI</v>
      </c>
      <c r="U756" s="213" t="str">
        <f>IFERROR(__xludf.DUMMYFUNCTION("""COMPUTED_VALUE"""),"NO")</f>
        <v>NO</v>
      </c>
      <c r="V756" s="213" t="str">
        <f>IFERROR(__xludf.DUMMYFUNCTION("""COMPUTED_VALUE"""),"SUSTENTO")</f>
        <v>SUSTENTO</v>
      </c>
      <c r="W756" s="213" t="str">
        <f>IFERROR(__xludf.DUMMYFUNCTION("""COMPUTED_VALUE"""),"DIMENSIONAL, ELÉCTRICO")</f>
        <v>DIMENSIONAL, ELÉCTRICO</v>
      </c>
      <c r="X756" s="213" t="str">
        <f>IFERROR(__xludf.DUMMYFUNCTION("""COMPUTED_VALUE"""),"ADEXA")</f>
        <v>ADEXA</v>
      </c>
      <c r="Y756" s="213" t="str">
        <f>IFERROR(__xludf.DUMMYFUNCTION("""COMPUTED_VALUE"""),"HDF8+8")</f>
        <v>HDF8+8</v>
      </c>
      <c r="Z756" s="215" t="str">
        <f>IFERROR(__xludf.DUMMYFUNCTION("""COMPUTED_VALUE"""),"https://drive.google.com/file/d/1SgljCNAxUlKhIj76heM9BD89ZKv4R7b4/view")</f>
        <v>https://drive.google.com/file/d/1SgljCNAxUlKhIj76heM9BD89ZKv4R7b4/view</v>
      </c>
      <c r="AA756" s="213" t="str">
        <f>IFERROR(__xludf.DUMMYFUNCTION("""COMPUTED_VALUE"""),"ESP-171 FREIDORA DE DOS BANDEJAS - CET")</f>
        <v>ESP-171 FREIDORA DE DOS BANDEJAS - CET</v>
      </c>
      <c r="AB756" s="213"/>
      <c r="AC756" s="213"/>
      <c r="AD756" s="213"/>
      <c r="AE756" s="213"/>
      <c r="AF756" s="213"/>
      <c r="AG756" s="213"/>
      <c r="AH756" s="213"/>
      <c r="AI756" s="213"/>
      <c r="AJ756" s="213"/>
      <c r="AK756" s="213"/>
      <c r="AL756" s="213"/>
      <c r="AM756" s="213"/>
      <c r="AN756" s="213"/>
      <c r="AO756" s="213"/>
      <c r="AP756" s="213" t="str">
        <f>IFERROR(__xludf.DUMMYFUNCTION("""COMPUTED_VALUE"""),"ANTONELLA")</f>
        <v>ANTONELLA</v>
      </c>
      <c r="AQ756" s="213" t="str">
        <f>IFERROR(__xludf.DUMMYFUNCTION("""COMPUTED_VALUE"""),"El equipo está sobredimensionado en cuanto a dimensiones y potencia, pero es de los pocos que incluyen capacidad en su ficha técnica.")</f>
        <v>El equipo está sobredimensionado en cuanto a dimensiones y potencia, pero es de los pocos que incluyen capacidad en su ficha técnica.</v>
      </c>
      <c r="AR756" s="213"/>
      <c r="AS756" s="213"/>
      <c r="AT756" s="213"/>
      <c r="AU756" s="213"/>
      <c r="AV756" s="213"/>
      <c r="AW756" s="213"/>
      <c r="AX756" s="213"/>
      <c r="AY756" s="213"/>
      <c r="AZ756" s="213"/>
      <c r="BA756" s="213"/>
      <c r="BB756" s="213"/>
      <c r="BC756" s="213"/>
      <c r="BD756" s="213"/>
    </row>
    <row r="757">
      <c r="A757" s="213">
        <f>IFERROR(__xludf.DUMMYFUNCTION("""COMPUTED_VALUE"""),2191.0)</f>
        <v>2191</v>
      </c>
      <c r="B757" s="213" t="str">
        <f>IFERROR(__xludf.DUMMYFUNCTION("""COMPUTED_VALUE"""),"JOSE GRANDA")</f>
        <v>JOSE GRANDA</v>
      </c>
      <c r="C757" s="213" t="str">
        <f>IFERROR(__xludf.DUMMYFUNCTION("""COMPUTED_VALUE"""),"TALLER SFT DE INDUSTRIA ALIMENTARIA")</f>
        <v>TALLER SFT DE INDUSTRIA ALIMENTARIA</v>
      </c>
      <c r="D757" s="213" t="str">
        <f>IFERROR(__xludf.DUMMYFUNCTION("""COMPUTED_VALUE"""),"EQUIPOS")</f>
        <v>EQUIPOS</v>
      </c>
      <c r="E757" s="213" t="str">
        <f>IFERROR(__xludf.DUMMYFUNCTION("""COMPUTED_VALUE"""),"ESP-171")</f>
        <v>ESP-171</v>
      </c>
      <c r="F757" s="213" t="str">
        <f>IFERROR(__xludf.DUMMYFUNCTION("""COMPUTED_VALUE"""),"ESP-171")</f>
        <v>ESP-171</v>
      </c>
      <c r="G757" s="213"/>
      <c r="H757" s="213" t="str">
        <f>IFERROR(__xludf.DUMMYFUNCTION("""COMPUTED_VALUE"""),"FREIDORA DE DOS BANDEJAS")</f>
        <v>FREIDORA DE DOS BANDEJAS</v>
      </c>
      <c r="I757" s="213" t="str">
        <f>IFERROR(__xludf.DUMMYFUNCTION("""COMPUTED_VALUE"""),"Uso de energía Electrica.
· Capacidad mínima: 12kg / h.
· Voltaje 220V, 60 Hz.
· Tamaño aroximado 370mmx455mmx350 mm.
· Tamaño de la cesta aproximado 140 mm x 250mm x 100mm.
· Peso aproximado 10 kg.
· Material: acero inoxidable.
· Consumo de electricidad "&amp;"Mínimo 2 x 2.4 KW.
· Capacidad mínima 2x6 litros")</f>
        <v>Uso de energía Electrica.
· Capacidad mínima: 12kg / h.
· Voltaje 220V, 60 Hz.
· Tamaño aroximado 370mmx455mmx350 mm.
· Tamaño de la cesta aproximado 140 mm x 250mm x 100mm.
· Peso aproximado 10 kg.
· Material: acero inoxidable.
· Consumo de electricidad Mínimo 2 x 2.4 KW.
· Capacidad mínima 2x6 litros</v>
      </c>
      <c r="J757" s="213">
        <f>IFERROR(__xludf.DUMMYFUNCTION("""COMPUTED_VALUE"""),3.0)</f>
        <v>3</v>
      </c>
      <c r="K757" s="213" t="str">
        <f>IFERROR(__xludf.DUMMYFUNCTION("""COMPUTED_VALUE"""),"170 DÍAS CALENDARIO")</f>
        <v>170 DÍAS CALENDARIO</v>
      </c>
      <c r="L757" s="213" t="str">
        <f>IFERROR(__xludf.DUMMYFUNCTION("""COMPUTED_VALUE"""),"")</f>
        <v/>
      </c>
      <c r="M757" s="213">
        <f>IFERROR(__xludf.DUMMYFUNCTION("""COMPUTED_VALUE"""),1.0)</f>
        <v>1</v>
      </c>
      <c r="N757" s="213">
        <f>IFERROR(__xludf.DUMMYFUNCTION("""COMPUTED_VALUE"""),2.0)</f>
        <v>2</v>
      </c>
      <c r="O757" s="213">
        <f>IFERROR(__xludf.DUMMYFUNCTION("""COMPUTED_VALUE"""),2.0)</f>
        <v>2</v>
      </c>
      <c r="P757" s="213"/>
      <c r="Q757" s="213"/>
      <c r="R757" s="213"/>
      <c r="S757" s="213" t="str">
        <f>IFERROR(__xludf.DUMMYFUNCTION("""COMPUTED_VALUE"""),"SI")</f>
        <v>SI</v>
      </c>
      <c r="T757" s="213" t="str">
        <f>IFERROR(__xludf.DUMMYFUNCTION("""COMPUTED_VALUE"""),"SI")</f>
        <v>SI</v>
      </c>
      <c r="U757" s="213" t="str">
        <f>IFERROR(__xludf.DUMMYFUNCTION("""COMPUTED_VALUE"""),"NO")</f>
        <v>NO</v>
      </c>
      <c r="V757" s="213" t="str">
        <f>IFERROR(__xludf.DUMMYFUNCTION("""COMPUTED_VALUE"""),"SUSTENTO")</f>
        <v>SUSTENTO</v>
      </c>
      <c r="W757" s="213" t="str">
        <f>IFERROR(__xludf.DUMMYFUNCTION("""COMPUTED_VALUE"""),"DIMENSIONAL, ELÉCTRICO")</f>
        <v>DIMENSIONAL, ELÉCTRICO</v>
      </c>
      <c r="X757" s="213" t="str">
        <f>IFERROR(__xludf.DUMMYFUNCTION("""COMPUTED_VALUE"""),"ADEXA")</f>
        <v>ADEXA</v>
      </c>
      <c r="Y757" s="213" t="str">
        <f>IFERROR(__xludf.DUMMYFUNCTION("""COMPUTED_VALUE"""),"HDF8+8")</f>
        <v>HDF8+8</v>
      </c>
      <c r="Z757" s="215" t="str">
        <f>IFERROR(__xludf.DUMMYFUNCTION("""COMPUTED_VALUE"""),"https://drive.google.com/file/d/1SgljCNAxUlKhIj76heM9BD89ZKv4R7b4/view")</f>
        <v>https://drive.google.com/file/d/1SgljCNAxUlKhIj76heM9BD89ZKv4R7b4/view</v>
      </c>
      <c r="AA757" s="213" t="str">
        <f>IFERROR(__xludf.DUMMYFUNCTION("""COMPUTED_VALUE"""),"ESP-171 FREIDORA DE DOS BANDEJAS - CET")</f>
        <v>ESP-171 FREIDORA DE DOS BANDEJAS - CET</v>
      </c>
      <c r="AB757" s="213"/>
      <c r="AC757" s="213"/>
      <c r="AD757" s="213"/>
      <c r="AE757" s="213"/>
      <c r="AF757" s="213"/>
      <c r="AG757" s="213"/>
      <c r="AH757" s="213"/>
      <c r="AI757" s="213"/>
      <c r="AJ757" s="213"/>
      <c r="AK757" s="213"/>
      <c r="AL757" s="213"/>
      <c r="AM757" s="213"/>
      <c r="AN757" s="213"/>
      <c r="AO757" s="213"/>
      <c r="AP757" s="213" t="str">
        <f>IFERROR(__xludf.DUMMYFUNCTION("""COMPUTED_VALUE"""),"ANTONELLA")</f>
        <v>ANTONELLA</v>
      </c>
      <c r="AQ757" s="213" t="str">
        <f>IFERROR(__xludf.DUMMYFUNCTION("""COMPUTED_VALUE"""),"El equipo está sobredimensionado en cuanto a dimensiones y potencia, pero es de los pocos que incluyen capacidad en su ficha técnica.")</f>
        <v>El equipo está sobredimensionado en cuanto a dimensiones y potencia, pero es de los pocos que incluyen capacidad en su ficha técnica.</v>
      </c>
      <c r="AR757" s="213"/>
      <c r="AS757" s="213"/>
      <c r="AT757" s="213"/>
      <c r="AU757" s="213"/>
      <c r="AV757" s="213"/>
      <c r="AW757" s="213"/>
      <c r="AX757" s="213"/>
      <c r="AY757" s="213"/>
      <c r="AZ757" s="213"/>
      <c r="BA757" s="213"/>
      <c r="BB757" s="213"/>
      <c r="BC757" s="213"/>
      <c r="BD757" s="213"/>
    </row>
    <row r="758">
      <c r="A758" s="213">
        <f>IFERROR(__xludf.DUMMYFUNCTION("""COMPUTED_VALUE"""),86.0)</f>
        <v>86</v>
      </c>
      <c r="B758" s="213" t="str">
        <f>IFERROR(__xludf.DUMMYFUNCTION("""COMPUTED_VALUE"""),"16449 ELOY SOBERON  FLORES")</f>
        <v>16449 ELOY SOBERON  FLORES</v>
      </c>
      <c r="C758" s="213" t="str">
        <f>IFERROR(__xludf.DUMMYFUNCTION("""COMPUTED_VALUE"""),"TALLER SFT DE COCINA Y REPOSTERÍA")</f>
        <v>TALLER SFT DE COCINA Y REPOSTERÍA</v>
      </c>
      <c r="D758" s="213" t="str">
        <f>IFERROR(__xludf.DUMMYFUNCTION("""COMPUTED_VALUE"""),"EQUIPOS")</f>
        <v>EQUIPOS</v>
      </c>
      <c r="E758" s="213" t="str">
        <f>IFERROR(__xludf.DUMMYFUNCTION("""COMPUTED_VALUE"""),"ESP-172")</f>
        <v>ESP-172</v>
      </c>
      <c r="F758" s="213" t="str">
        <f>IFERROR(__xludf.DUMMYFUNCTION("""COMPUTED_VALUE"""),"ESP-172")</f>
        <v>ESP-172</v>
      </c>
      <c r="G758" s="213"/>
      <c r="H758" s="213" t="str">
        <f>IFERROR(__xludf.DUMMYFUNCTION("""COMPUTED_VALUE"""),"FREIDORA DE SOBREMESA A GAS")</f>
        <v>FREIDORA DE SOBREMESA A GAS</v>
      </c>
      <c r="I758" s="213" t="str">
        <f>IFERROR(__xludf.DUMMYFUNCTION("""COMPUTED_VALUE"""),"· Construida totalmente en acero inoxidable.
· Cuba estampada.
· Grifo de descarga 3/4"". Válvula gas: 90-185 ºC
· Cubeta: Con filtro recoge-aceite
· Barra porta cesta
· Pie regulable. Potencia minima  13200W
· Barra porta cesta.
· Pie regulable.
· Con un"&amp;"a  cuba con 8 litros de capacidad como minimo
· Dimensiones minimas L 60 cm x A35 cm x H40 cm")</f>
        <v>· Construida totalmente en acero inoxidable.
· Cuba estampada.
· Grifo de descarga 3/4". Válvula gas: 90-185 ºC
· Cubeta: Con filtro recoge-aceite
· Barra porta cesta
· Pie regulable. Potencia minima  13200W
· Barra porta cesta.
· Pie regulable.
· Con una  cuba con 8 litros de capacidad como minimo
· Dimensiones minimas L 60 cm x A35 cm x H40 cm</v>
      </c>
      <c r="J758" s="213">
        <f>IFERROR(__xludf.DUMMYFUNCTION("""COMPUTED_VALUE"""),3.0)</f>
        <v>3</v>
      </c>
      <c r="K758" s="213" t="str">
        <f>IFERROR(__xludf.DUMMYFUNCTION("""COMPUTED_VALUE"""),"170 DÍAS CALENDARIO")</f>
        <v>170 DÍAS CALENDARIO</v>
      </c>
      <c r="L758" s="213" t="str">
        <f>IFERROR(__xludf.DUMMYFUNCTION("""COMPUTED_VALUE"""),"")</f>
        <v/>
      </c>
      <c r="M758" s="213">
        <f>IFERROR(__xludf.DUMMYFUNCTION("""COMPUTED_VALUE"""),1.0)</f>
        <v>1</v>
      </c>
      <c r="N758" s="213">
        <f>IFERROR(__xludf.DUMMYFUNCTION("""COMPUTED_VALUE"""),1.0)</f>
        <v>1</v>
      </c>
      <c r="O758" s="213">
        <f>IFERROR(__xludf.DUMMYFUNCTION("""COMPUTED_VALUE"""),1.0)</f>
        <v>1</v>
      </c>
      <c r="P758" s="213"/>
      <c r="Q758" s="213"/>
      <c r="R758" s="213"/>
      <c r="S758" s="213" t="str">
        <f>IFERROR(__xludf.DUMMYFUNCTION("""COMPUTED_VALUE"""),"SI")</f>
        <v>SI</v>
      </c>
      <c r="T758" s="213" t="str">
        <f>IFERROR(__xludf.DUMMYFUNCTION("""COMPUTED_VALUE"""),"CONSULTA FINAL")</f>
        <v>CONSULTA FINAL</v>
      </c>
      <c r="U758" s="213" t="str">
        <f>IFERROR(__xludf.DUMMYFUNCTION("""COMPUTED_VALUE"""),"NO")</f>
        <v>NO</v>
      </c>
      <c r="V758" s="213" t="str">
        <f>IFERROR(__xludf.DUMMYFUNCTION("""COMPUTED_VALUE"""),"SUSTENTO")</f>
        <v>SUSTENTO</v>
      </c>
      <c r="W758" s="213" t="str">
        <f>IFERROR(__xludf.DUMMYFUNCTION("""COMPUTED_VALUE"""),"CRÍTICO")</f>
        <v>CRÍTICO</v>
      </c>
      <c r="X758" s="213" t="str">
        <f>IFERROR(__xludf.DUMMYFUNCTION("""COMPUTED_VALUE"""),"FRISTEEL")</f>
        <v>FRISTEEL</v>
      </c>
      <c r="Y758" s="213" t="str">
        <f>IFERROR(__xludf.DUMMYFUNCTION("""COMPUTED_VALUE"""),"FRIN64")</f>
        <v>FRIN64</v>
      </c>
      <c r="Z758" s="213" t="str">
        <f>IFERROR(__xludf.DUMMYFUNCTION("""COMPUTED_VALUE"""),"https://hosteleriaservimovil.com/freidoras-industrial-gas-modular/freidora-a-gas-f-g6208-fagor/3662.html
https://hostelcol.com/freidora-a-gas-fg6-10-fagor")</f>
        <v>https://hosteleriaservimovil.com/freidoras-industrial-gas-modular/freidora-a-gas-f-g6208-fagor/3662.html
https://hostelcol.com/freidora-a-gas-fg6-10-fagor</v>
      </c>
      <c r="AA758" s="213" t="str">
        <f>IFERROR(__xludf.DUMMYFUNCTION("""COMPUTED_VALUE"""),"ESP-172 FREIDORA DE SOBREMESA A GAS - CET")</f>
        <v>ESP-172 FREIDORA DE SOBREMESA A GAS - CET</v>
      </c>
      <c r="AB758" s="213"/>
      <c r="AC758" s="213"/>
      <c r="AD758" s="213"/>
      <c r="AE758" s="213"/>
      <c r="AF758" s="213"/>
      <c r="AG758" s="213"/>
      <c r="AH758" s="213" t="str">
        <f>IFERROR(__xludf.DUMMYFUNCTION("""COMPUTED_VALUE"""),"IMPORTADO")</f>
        <v>IMPORTADO</v>
      </c>
      <c r="AI758" s="213"/>
      <c r="AJ758" s="213"/>
      <c r="AK758" s="213"/>
      <c r="AL758" s="213"/>
      <c r="AM758" s="213"/>
      <c r="AN758" s="213"/>
      <c r="AO758" s="213"/>
      <c r="AP758" s="213" t="str">
        <f>IFERROR(__xludf.DUMMYFUNCTION("""COMPUTED_VALUE"""),"JASON")</f>
        <v>JASON</v>
      </c>
      <c r="AQ758" s="213"/>
      <c r="AR758" s="213"/>
      <c r="AS758" s="213" t="str">
        <f>IFERROR(__xludf.DUMMYFUNCTION("""COMPUTED_VALUE"""),"FILTRO RECOGE-ACEITE
ACCESORIOS PARA CONEXIÓN A GAS")</f>
        <v>FILTRO RECOGE-ACEITE
ACCESORIOS PARA CONEXIÓN A GAS</v>
      </c>
      <c r="AT758" s="213"/>
      <c r="AU758" s="213"/>
      <c r="AV758" s="213"/>
      <c r="AW758" s="213"/>
      <c r="AX758" s="213"/>
      <c r="AY758" s="213"/>
      <c r="AZ758" s="213"/>
      <c r="BA758" s="213"/>
      <c r="BB758" s="213"/>
      <c r="BC758" s="213"/>
      <c r="BD758" s="213"/>
    </row>
    <row r="759">
      <c r="A759" s="213">
        <f>IFERROR(__xludf.DUMMYFUNCTION("""COMPUTED_VALUE"""),403.0)</f>
        <v>403</v>
      </c>
      <c r="B759" s="213" t="str">
        <f>IFERROR(__xludf.DUMMYFUNCTION("""COMPUTED_VALUE"""),"2026 SIMON BOLIVAR")</f>
        <v>2026 SIMON BOLIVAR</v>
      </c>
      <c r="C759" s="213" t="str">
        <f>IFERROR(__xludf.DUMMYFUNCTION("""COMPUTED_VALUE"""),"TALLER SFT DE ELECTRICIDAD")</f>
        <v>TALLER SFT DE ELECTRICIDAD</v>
      </c>
      <c r="D759" s="213" t="str">
        <f>IFERROR(__xludf.DUMMYFUNCTION("""COMPUTED_VALUE"""),"EQUIPOS")</f>
        <v>EQUIPOS</v>
      </c>
      <c r="E759" s="213" t="str">
        <f>IFERROR(__xludf.DUMMYFUNCTION("""COMPUTED_VALUE"""),"ESP-176")</f>
        <v>ESP-176</v>
      </c>
      <c r="F759" s="213" t="str">
        <f>IFERROR(__xludf.DUMMYFUNCTION("""COMPUTED_VALUE"""),"ESP-176-X")</f>
        <v>ESP-176-X</v>
      </c>
      <c r="G759" s="213"/>
      <c r="H759" s="213" t="str">
        <f>IFERROR(__xludf.DUMMYFUNCTION("""COMPUTED_VALUE"""),"FUENTE DE ALIMENTACIÓN")</f>
        <v>FUENTE DE ALIMENTACIÓN</v>
      </c>
      <c r="I759" s="213" t="str">
        <f>IFERROR(__xludf.DUMMYFUNCTION("""COMPUTED_VALUE"""),"· Datos Técnicos:
- Fuente digital regulable de corriente continua DC.
- Sistema de enfriamiento con control de temperatura.
- Pantalla LCD que permita observar simultáneamente Corriente y Voltaje de salida.
- 03 canales: dos canales ajustables y uno fijo"&amp;"
- Voltaje de salidas simétricas: -32V   GND  +32 Vdc.
- Corriente de salida: 0~5 Amp.
- Regulación en serie: 0~64 V.
- Regulación en paralelo: 0~10 Amp.
- Alta resolución: 0,01%.
- Alimentación: 220/60 Hz.
- Control de salida ON/OFF.
· Características de"&amp;" Seguridad:
- Con cubierta de protección anti golpes y antideslizante.
- Con mango para traslado.
· Accesorios:
- Cables de conexión con colores de polaridades + / GND / -
- Cables de alimentación 220V, 60 Hz.
- Con maletín de transporte.
- Manual de inst"&amp;"rucciones.")</f>
        <v>· Datos Técnicos:
- Fuente digital regulable de corriente continua DC.
- Sistema de enfriamiento con control de temperatura.
- Pantalla LCD que permita observar simultáneamente Corriente y Voltaje de salida.
- 03 canales: dos canales ajustables y uno fijo
- Voltaje de salidas simétricas: -32V   GND  +32 Vdc.
- Corriente de salida: 0~5 Amp.
- Regulación en serie: 0~64 V.
- Regulación en paralelo: 0~10 Amp.
- Alta resolución: 0,01%.
- Alimentación: 220/60 Hz.
- Control de salida ON/OFF.
· Características de Seguridad:
- Con cubierta de protección anti golpes y antideslizante.
- Con mango para traslado.
· Accesorios:
- Cables de conexión con colores de polaridades + / GND / -
- Cables de alimentación 220V, 60 Hz.
- Con maletín de transporte.
- Manual de instrucciones.</v>
      </c>
      <c r="J759" s="213">
        <f>IFERROR(__xludf.DUMMYFUNCTION("""COMPUTED_VALUE"""),3.0)</f>
        <v>3</v>
      </c>
      <c r="K759" s="213" t="str">
        <f>IFERROR(__xludf.DUMMYFUNCTION("""COMPUTED_VALUE"""),"170 DÍAS CALENDARIO")</f>
        <v>170 DÍAS CALENDARIO</v>
      </c>
      <c r="L759" s="213" t="str">
        <f>IFERROR(__xludf.DUMMYFUNCTION("""COMPUTED_VALUE"""),"")</f>
        <v/>
      </c>
      <c r="M759" s="213">
        <f>IFERROR(__xludf.DUMMYFUNCTION("""COMPUTED_VALUE"""),1.0)</f>
        <v>1</v>
      </c>
      <c r="N759" s="213">
        <f>IFERROR(__xludf.DUMMYFUNCTION("""COMPUTED_VALUE"""),4.0)</f>
        <v>4</v>
      </c>
      <c r="O759" s="213">
        <f>IFERROR(__xludf.DUMMYFUNCTION("""COMPUTED_VALUE"""),4.0)</f>
        <v>4</v>
      </c>
      <c r="P759" s="213"/>
      <c r="Q759" s="213"/>
      <c r="R759" s="213"/>
      <c r="S759" s="213" t="str">
        <f>IFERROR(__xludf.DUMMYFUNCTION("""COMPUTED_VALUE"""),"SI")</f>
        <v>SI</v>
      </c>
      <c r="T759" s="213" t="str">
        <f>IFERROR(__xludf.DUMMYFUNCTION("""COMPUTED_VALUE"""),"CONSULTA FINAL")</f>
        <v>CONSULTA FINAL</v>
      </c>
      <c r="U759" s="213" t="str">
        <f>IFERROR(__xludf.DUMMYFUNCTION("""COMPUTED_VALUE"""),"NO")</f>
        <v>NO</v>
      </c>
      <c r="V759" s="213" t="str">
        <f>IFERROR(__xludf.DUMMYFUNCTION("""COMPUTED_VALUE"""),"NO")</f>
        <v>NO</v>
      </c>
      <c r="W759" s="213" t="str">
        <f>IFERROR(__xludf.DUMMYFUNCTION("""COMPUTED_VALUE"""),"EQU TEC")</f>
        <v>EQU TEC</v>
      </c>
      <c r="X759" s="213" t="str">
        <f>IFERROR(__xludf.DUMMYFUNCTION("""COMPUTED_VALUE"""),"UNI-T")</f>
        <v>UNI-T</v>
      </c>
      <c r="Y759" s="213" t="str">
        <f>IFERROR(__xludf.DUMMYFUNCTION("""COMPUTED_VALUE"""),"UTP3305-II")</f>
        <v>UTP3305-II</v>
      </c>
      <c r="Z759" s="215" t="str">
        <f>IFERROR(__xludf.DUMMYFUNCTION("""COMPUTED_VALUE"""),"https://instruments.uni-trend.com/products/dc-power-supplies/UTP3300-II")</f>
        <v>https://instruments.uni-trend.com/products/dc-power-supplies/UTP3300-II</v>
      </c>
      <c r="AA759" s="213" t="str">
        <f>IFERROR(__xludf.DUMMYFUNCTION("""COMPUTED_VALUE"""),"ESP-176-X FUENTE DE ALIMENTACIÓN - CET")</f>
        <v>ESP-176-X FUENTE DE ALIMENTACIÓN - CET</v>
      </c>
      <c r="AB759" s="213"/>
      <c r="AC759" s="213"/>
      <c r="AD759" s="213"/>
      <c r="AE759" s="213"/>
      <c r="AF759" s="213"/>
      <c r="AG759" s="213"/>
      <c r="AH759" s="213"/>
      <c r="AI759" s="213"/>
      <c r="AJ759" s="213"/>
      <c r="AK759" s="213"/>
      <c r="AL759" s="213"/>
      <c r="AM759" s="213"/>
      <c r="AN759" s="213"/>
      <c r="AO759" s="213"/>
      <c r="AP759" s="213" t="str">
        <f>IFERROR(__xludf.DUMMYFUNCTION("""COMPUTED_VALUE"""),"BRUNO")</f>
        <v>BRUNO</v>
      </c>
      <c r="AQ759" s="213"/>
      <c r="AR759" s="213"/>
      <c r="AS759" s="213"/>
      <c r="AT759" s="213"/>
      <c r="AU759" s="213"/>
      <c r="AV759" s="213"/>
      <c r="AW759" s="213"/>
      <c r="AX759" s="213"/>
      <c r="AY759" s="213"/>
      <c r="AZ759" s="213"/>
      <c r="BA759" s="213"/>
      <c r="BB759" s="213"/>
      <c r="BC759" s="213"/>
      <c r="BD759" s="213"/>
    </row>
    <row r="760">
      <c r="A760" s="213">
        <f>IFERROR(__xludf.DUMMYFUNCTION("""COMPUTED_VALUE"""),699.0)</f>
        <v>699</v>
      </c>
      <c r="B760" s="213" t="str">
        <f>IFERROR(__xludf.DUMMYFUNCTION("""COMPUTED_VALUE"""),"6049 RICARDO PALMA")</f>
        <v>6049 RICARDO PALMA</v>
      </c>
      <c r="C760" s="213" t="str">
        <f>IFERROR(__xludf.DUMMYFUNCTION("""COMPUTED_VALUE"""),"TALLER SFT DE ELECTRÓNICA")</f>
        <v>TALLER SFT DE ELECTRÓNICA</v>
      </c>
      <c r="D760" s="213" t="str">
        <f>IFERROR(__xludf.DUMMYFUNCTION("""COMPUTED_VALUE"""),"EQUIPOS")</f>
        <v>EQUIPOS</v>
      </c>
      <c r="E760" s="213" t="str">
        <f>IFERROR(__xludf.DUMMYFUNCTION("""COMPUTED_VALUE"""),"ESP-176")</f>
        <v>ESP-176</v>
      </c>
      <c r="F760" s="213" t="str">
        <f>IFERROR(__xludf.DUMMYFUNCTION("""COMPUTED_VALUE"""),"ESP-176-Y")</f>
        <v>ESP-176-Y</v>
      </c>
      <c r="G760" s="213"/>
      <c r="H760" s="213" t="str">
        <f>IFERROR(__xludf.DUMMYFUNCTION("""COMPUTED_VALUE"""),"FUENTE DE ALIMENTACIÓN")</f>
        <v>FUENTE DE ALIMENTACIÓN</v>
      </c>
      <c r="I760" s="213" t="str">
        <f>IFERROR(__xludf.DUMMYFUNCTION("""COMPUTED_VALUE"""),"· Fuente digital regulable de corriente continua DC.
· Sistema de enfriamiento con control de temperatura.
· Pantalla LCD permite reflejar corriente y voltaje simultáneamente.
· 03 canales: dos canales ajustables y uno fijo.
· Voltaje de salida: 0 ~ 32 V
"&amp;"· Corriente de salida: 0 ~ 5 A
· Regulación en serie: 0 - 64 V
· Regulación en paralelo: 0 -10 A
· Alta resolución: 0.01%
· Alimentación: 220/60 Hz
· Control de salida ON/OFF
· Incluye cable de conexión y cable de alimentación.")</f>
        <v>· Fuente digital regulable de corriente continua DC.
· Sistema de enfriamiento con control de temperatura.
· Pantalla LCD permite reflejar corriente y voltaje simultáneamente.
· 03 canales: dos canales ajustables y uno fijo.
· Voltaje de salida: 0 ~ 32 V
· Corriente de salida: 0 ~ 5 A
· Regulación en serie: 0 - 64 V
· Regulación en paralelo: 0 -10 A
· Alta resolución: 0.01%
· Alimentación: 220/60 Hz
· Control de salida ON/OFF
· Incluye cable de conexión y cable de alimentación.</v>
      </c>
      <c r="J760" s="213">
        <f>IFERROR(__xludf.DUMMYFUNCTION("""COMPUTED_VALUE"""),3.0)</f>
        <v>3</v>
      </c>
      <c r="K760" s="213" t="str">
        <f>IFERROR(__xludf.DUMMYFUNCTION("""COMPUTED_VALUE"""),"170 DÍAS CALENDARIO")</f>
        <v>170 DÍAS CALENDARIO</v>
      </c>
      <c r="L760" s="213" t="str">
        <f>IFERROR(__xludf.DUMMYFUNCTION("""COMPUTED_VALUE"""),"")</f>
        <v/>
      </c>
      <c r="M760" s="213">
        <f>IFERROR(__xludf.DUMMYFUNCTION("""COMPUTED_VALUE"""),1.0)</f>
        <v>1</v>
      </c>
      <c r="N760" s="213">
        <f>IFERROR(__xludf.DUMMYFUNCTION("""COMPUTED_VALUE"""),4.0)</f>
        <v>4</v>
      </c>
      <c r="O760" s="213">
        <f>IFERROR(__xludf.DUMMYFUNCTION("""COMPUTED_VALUE"""),4.0)</f>
        <v>4</v>
      </c>
      <c r="P760" s="213"/>
      <c r="Q760" s="213"/>
      <c r="R760" s="213"/>
      <c r="S760" s="213" t="str">
        <f>IFERROR(__xludf.DUMMYFUNCTION("""COMPUTED_VALUE"""),"SI")</f>
        <v>SI</v>
      </c>
      <c r="T760" s="213" t="str">
        <f>IFERROR(__xludf.DUMMYFUNCTION("""COMPUTED_VALUE"""),"SI")</f>
        <v>SI</v>
      </c>
      <c r="U760" s="213" t="str">
        <f>IFERROR(__xludf.DUMMYFUNCTION("""COMPUTED_VALUE"""),"SI")</f>
        <v>SI</v>
      </c>
      <c r="V760" s="213" t="str">
        <f>IFERROR(__xludf.DUMMYFUNCTION("""COMPUTED_VALUE"""),"-")</f>
        <v>-</v>
      </c>
      <c r="W760" s="213" t="str">
        <f>IFERROR(__xludf.DUMMYFUNCTION("""COMPUTED_VALUE"""),"-")</f>
        <v>-</v>
      </c>
      <c r="X760" s="213" t="str">
        <f>IFERROR(__xludf.DUMMYFUNCTION("""COMPUTED_VALUE"""),"UNI-T")</f>
        <v>UNI-T</v>
      </c>
      <c r="Y760" s="213" t="str">
        <f>IFERROR(__xludf.DUMMYFUNCTION("""COMPUTED_VALUE"""),"UTP3305-II")</f>
        <v>UTP3305-II</v>
      </c>
      <c r="Z760" s="215" t="str">
        <f>IFERROR(__xludf.DUMMYFUNCTION("""COMPUTED_VALUE"""),"https://instruments.uni-trend.com/products/dc-power-supplies/UTP3300-II")</f>
        <v>https://instruments.uni-trend.com/products/dc-power-supplies/UTP3300-II</v>
      </c>
      <c r="AA760" s="213" t="str">
        <f>IFERROR(__xludf.DUMMYFUNCTION("""COMPUTED_VALUE"""),"ESP-176-Y FUENTE DE ALIMENTACIÓN - CET")</f>
        <v>ESP-176-Y FUENTE DE ALIMENTACIÓN - CET</v>
      </c>
      <c r="AB760" s="215" t="str">
        <f>IFERROR(__xludf.DUMMYFUNCTION("""COMPUTED_VALUE"""),"https://drive.google.com/file/d/1s4aQitDYdTHVpcwtk7jv2kxjVpKtEhSN/view")</f>
        <v>https://drive.google.com/file/d/1s4aQitDYdTHVpcwtk7jv2kxjVpKtEhSN/view</v>
      </c>
      <c r="AC760" s="213"/>
      <c r="AD760" s="213"/>
      <c r="AE760" s="213"/>
      <c r="AF760" s="213"/>
      <c r="AG760" s="213"/>
      <c r="AH760" s="213"/>
      <c r="AI760" s="213"/>
      <c r="AJ760" s="213"/>
      <c r="AK760" s="213"/>
      <c r="AL760" s="213"/>
      <c r="AM760" s="213"/>
      <c r="AN760" s="213"/>
      <c r="AO760" s="213"/>
      <c r="AP760" s="213" t="str">
        <f>IFERROR(__xludf.DUMMYFUNCTION("""COMPUTED_VALUE"""),"BRUNO")</f>
        <v>BRUNO</v>
      </c>
      <c r="AQ760" s="213"/>
      <c r="AR760" s="213"/>
      <c r="AS760" s="213"/>
      <c r="AT760" s="213"/>
      <c r="AU760" s="213"/>
      <c r="AV760" s="213"/>
      <c r="AW760" s="213"/>
      <c r="AX760" s="213"/>
      <c r="AY760" s="213"/>
      <c r="AZ760" s="213"/>
      <c r="BA760" s="213"/>
      <c r="BB760" s="213"/>
      <c r="BC760" s="213"/>
      <c r="BD760" s="213"/>
    </row>
    <row r="761">
      <c r="A761" s="213">
        <f>IFERROR(__xludf.DUMMYFUNCTION("""COMPUTED_VALUE"""),889.0)</f>
        <v>889</v>
      </c>
      <c r="B761" s="213" t="str">
        <f>IFERROR(__xludf.DUMMYFUNCTION("""COMPUTED_VALUE"""),"6049 RICARDO PALMA")</f>
        <v>6049 RICARDO PALMA</v>
      </c>
      <c r="C761" s="213" t="str">
        <f>IFERROR(__xludf.DUMMYFUNCTION("""COMPUTED_VALUE"""),"TALLER SFT DE ELECTRICIDAD")</f>
        <v>TALLER SFT DE ELECTRICIDAD</v>
      </c>
      <c r="D761" s="213" t="str">
        <f>IFERROR(__xludf.DUMMYFUNCTION("""COMPUTED_VALUE"""),"EQUIPOS")</f>
        <v>EQUIPOS</v>
      </c>
      <c r="E761" s="213" t="str">
        <f>IFERROR(__xludf.DUMMYFUNCTION("""COMPUTED_VALUE"""),"ESP-176")</f>
        <v>ESP-176</v>
      </c>
      <c r="F761" s="213" t="str">
        <f>IFERROR(__xludf.DUMMYFUNCTION("""COMPUTED_VALUE"""),"ESP-176-X")</f>
        <v>ESP-176-X</v>
      </c>
      <c r="G761" s="213"/>
      <c r="H761" s="213" t="str">
        <f>IFERROR(__xludf.DUMMYFUNCTION("""COMPUTED_VALUE"""),"FUENTE DE ALIMENTACIÓN")</f>
        <v>FUENTE DE ALIMENTACIÓN</v>
      </c>
      <c r="I761" s="213" t="str">
        <f>IFERROR(__xludf.DUMMYFUNCTION("""COMPUTED_VALUE"""),"· Datos Técnicos:
- Fuente digital regulable de corriente continua DC.
- Sistema de enfriamiento con control de temperatura.
- Pantalla LCD que permita observar simultáneamente Corriente y Voltaje de salida.
- 03 canales: dos canales ajustables y uno fijo"&amp;"
- Voltaje de salidas simétricas: -32V   GND  +32 Vdc.
- Corriente de salida: 0~5 Amp.
- Regulación en serie: 0~64 V.
- Regulación en paralelo: 0~10 Amp.
- Alta resolución: 0,01%.
- Alimentación: 220/60 Hz.
- Control de salida ON/OFF.
· Características de"&amp;" Seguridad:
- Con cubierta de protección anti golpes y antideslizante.
- Con mango para traslado.
· Accesorios:
- Cables de conexión con colores de polaridades + / GND / -
- Cables de alimentación 220V, 60 Hz.
- Con maletín de transporte.
- Manual de inst"&amp;"rucciones.")</f>
        <v>· Datos Técnicos:
- Fuente digital regulable de corriente continua DC.
- Sistema de enfriamiento con control de temperatura.
- Pantalla LCD que permita observar simultáneamente Corriente y Voltaje de salida.
- 03 canales: dos canales ajustables y uno fijo
- Voltaje de salidas simétricas: -32V   GND  +32 Vdc.
- Corriente de salida: 0~5 Amp.
- Regulación en serie: 0~64 V.
- Regulación en paralelo: 0~10 Amp.
- Alta resolución: 0,01%.
- Alimentación: 220/60 Hz.
- Control de salida ON/OFF.
· Características de Seguridad:
- Con cubierta de protección anti golpes y antideslizante.
- Con mango para traslado.
· Accesorios:
- Cables de conexión con colores de polaridades + / GND / -
- Cables de alimentación 220V, 60 Hz.
- Con maletín de transporte.
- Manual de instrucciones.</v>
      </c>
      <c r="J761" s="213">
        <f>IFERROR(__xludf.DUMMYFUNCTION("""COMPUTED_VALUE"""),3.0)</f>
        <v>3</v>
      </c>
      <c r="K761" s="213" t="str">
        <f>IFERROR(__xludf.DUMMYFUNCTION("""COMPUTED_VALUE"""),"170 DÍAS CALENDARIO")</f>
        <v>170 DÍAS CALENDARIO</v>
      </c>
      <c r="L761" s="213" t="str">
        <f>IFERROR(__xludf.DUMMYFUNCTION("""COMPUTED_VALUE"""),"")</f>
        <v/>
      </c>
      <c r="M761" s="213">
        <f>IFERROR(__xludf.DUMMYFUNCTION("""COMPUTED_VALUE"""),1.0)</f>
        <v>1</v>
      </c>
      <c r="N761" s="213">
        <f>IFERROR(__xludf.DUMMYFUNCTION("""COMPUTED_VALUE"""),4.0)</f>
        <v>4</v>
      </c>
      <c r="O761" s="213">
        <f>IFERROR(__xludf.DUMMYFUNCTION("""COMPUTED_VALUE"""),4.0)</f>
        <v>4</v>
      </c>
      <c r="P761" s="213"/>
      <c r="Q761" s="213"/>
      <c r="R761" s="213"/>
      <c r="S761" s="213" t="str">
        <f>IFERROR(__xludf.DUMMYFUNCTION("""COMPUTED_VALUE"""),"SI")</f>
        <v>SI</v>
      </c>
      <c r="T761" s="213" t="str">
        <f>IFERROR(__xludf.DUMMYFUNCTION("""COMPUTED_VALUE"""),"CONSULTA FINAL")</f>
        <v>CONSULTA FINAL</v>
      </c>
      <c r="U761" s="213" t="str">
        <f>IFERROR(__xludf.DUMMYFUNCTION("""COMPUTED_VALUE"""),"NO")</f>
        <v>NO</v>
      </c>
      <c r="V761" s="213" t="str">
        <f>IFERROR(__xludf.DUMMYFUNCTION("""COMPUTED_VALUE"""),"NO")</f>
        <v>NO</v>
      </c>
      <c r="W761" s="213" t="str">
        <f>IFERROR(__xludf.DUMMYFUNCTION("""COMPUTED_VALUE"""),"EQU TEC")</f>
        <v>EQU TEC</v>
      </c>
      <c r="X761" s="213" t="str">
        <f>IFERROR(__xludf.DUMMYFUNCTION("""COMPUTED_VALUE"""),"UNI-T")</f>
        <v>UNI-T</v>
      </c>
      <c r="Y761" s="213" t="str">
        <f>IFERROR(__xludf.DUMMYFUNCTION("""COMPUTED_VALUE"""),"UTP3305-II")</f>
        <v>UTP3305-II</v>
      </c>
      <c r="Z761" s="215" t="str">
        <f>IFERROR(__xludf.DUMMYFUNCTION("""COMPUTED_VALUE"""),"https://instruments.uni-trend.com/products/dc-power-supplies/UTP3300-II")</f>
        <v>https://instruments.uni-trend.com/products/dc-power-supplies/UTP3300-II</v>
      </c>
      <c r="AA761" s="213" t="str">
        <f>IFERROR(__xludf.DUMMYFUNCTION("""COMPUTED_VALUE"""),"ESP-176-X FUENTE DE ALIMENTACIÓN - CET")</f>
        <v>ESP-176-X FUENTE DE ALIMENTACIÓN - CET</v>
      </c>
      <c r="AB761" s="213"/>
      <c r="AC761" s="213"/>
      <c r="AD761" s="213"/>
      <c r="AE761" s="213"/>
      <c r="AF761" s="213"/>
      <c r="AG761" s="213"/>
      <c r="AH761" s="213"/>
      <c r="AI761" s="213"/>
      <c r="AJ761" s="213"/>
      <c r="AK761" s="213"/>
      <c r="AL761" s="213"/>
      <c r="AM761" s="213"/>
      <c r="AN761" s="213"/>
      <c r="AO761" s="213"/>
      <c r="AP761" s="213" t="str">
        <f>IFERROR(__xludf.DUMMYFUNCTION("""COMPUTED_VALUE"""),"BRUNO")</f>
        <v>BRUNO</v>
      </c>
      <c r="AQ761" s="213"/>
      <c r="AR761" s="213"/>
      <c r="AS761" s="213"/>
      <c r="AT761" s="213"/>
      <c r="AU761" s="213"/>
      <c r="AV761" s="213"/>
      <c r="AW761" s="213"/>
      <c r="AX761" s="213"/>
      <c r="AY761" s="213"/>
      <c r="AZ761" s="213"/>
      <c r="BA761" s="213"/>
      <c r="BB761" s="213"/>
      <c r="BC761" s="213"/>
      <c r="BD761" s="213"/>
    </row>
    <row r="762">
      <c r="A762" s="213">
        <f>IFERROR(__xludf.DUMMYFUNCTION("""COMPUTED_VALUE"""),1311.0)</f>
        <v>1311</v>
      </c>
      <c r="B762" s="213" t="str">
        <f>IFERROR(__xludf.DUMMYFUNCTION("""COMPUTED_VALUE"""),"GUILLERMO E. BILLINGHURST ")</f>
        <v>GUILLERMO E. BILLINGHURST </v>
      </c>
      <c r="C762" s="213" t="str">
        <f>IFERROR(__xludf.DUMMYFUNCTION("""COMPUTED_VALUE"""),"TALLER SFT DE ELECTRICIDAD")</f>
        <v>TALLER SFT DE ELECTRICIDAD</v>
      </c>
      <c r="D762" s="213" t="str">
        <f>IFERROR(__xludf.DUMMYFUNCTION("""COMPUTED_VALUE"""),"EQUIPOS")</f>
        <v>EQUIPOS</v>
      </c>
      <c r="E762" s="213" t="str">
        <f>IFERROR(__xludf.DUMMYFUNCTION("""COMPUTED_VALUE"""),"ESP-176")</f>
        <v>ESP-176</v>
      </c>
      <c r="F762" s="213" t="str">
        <f>IFERROR(__xludf.DUMMYFUNCTION("""COMPUTED_VALUE"""),"ESP-176-X")</f>
        <v>ESP-176-X</v>
      </c>
      <c r="G762" s="213"/>
      <c r="H762" s="213" t="str">
        <f>IFERROR(__xludf.DUMMYFUNCTION("""COMPUTED_VALUE"""),"FUENTE DE ALIMENTACIÓN")</f>
        <v>FUENTE DE ALIMENTACIÓN</v>
      </c>
      <c r="I762" s="213" t="str">
        <f>IFERROR(__xludf.DUMMYFUNCTION("""COMPUTED_VALUE"""),"· Datos Técnicos:
- Fuente digital regulable de corriente continua DC.
- Sistema de enfriamiento con control de temperatura.
- Pantalla LCD que permita observar simultáneamente Corriente y Voltaje de salida.
- 03 canales: dos canales ajustables y uno fijo"&amp;"
- Voltaje de salidas simétricas: -32V   GND  +32 Vdc.
- Corriente de salida: 0~5 Amp.
- Regulación en serie: 0~64 V.
- Regulación en paralelo: 0~10 Amp.
- Alta resolución: 0,01%.
- Alimentación: 220/60 Hz.
- Control de salida ON/OFF.
· Características de"&amp;" Seguridad:
- Con cubierta de protección anti golpes y antideslizante.
- Con mango para traslado.
· Accesorios:
- Cables de conexión con colores de polaridades + / GND / -
- Cables de alimentación 220V, 60 Hz.
- Con maletín de transporte.
- Manual de inst"&amp;"rucciones.")</f>
        <v>· Datos Técnicos:
- Fuente digital regulable de corriente continua DC.
- Sistema de enfriamiento con control de temperatura.
- Pantalla LCD que permita observar simultáneamente Corriente y Voltaje de salida.
- 03 canales: dos canales ajustables y uno fijo
- Voltaje de salidas simétricas: -32V   GND  +32 Vdc.
- Corriente de salida: 0~5 Amp.
- Regulación en serie: 0~64 V.
- Regulación en paralelo: 0~10 Amp.
- Alta resolución: 0,01%.
- Alimentación: 220/60 Hz.
- Control de salida ON/OFF.
· Características de Seguridad:
- Con cubierta de protección anti golpes y antideslizante.
- Con mango para traslado.
· Accesorios:
- Cables de conexión con colores de polaridades + / GND / -
- Cables de alimentación 220V, 60 Hz.
- Con maletín de transporte.
- Manual de instrucciones.</v>
      </c>
      <c r="J762" s="213">
        <f>IFERROR(__xludf.DUMMYFUNCTION("""COMPUTED_VALUE"""),3.0)</f>
        <v>3</v>
      </c>
      <c r="K762" s="213" t="str">
        <f>IFERROR(__xludf.DUMMYFUNCTION("""COMPUTED_VALUE"""),"170 DÍAS CALENDARIO")</f>
        <v>170 DÍAS CALENDARIO</v>
      </c>
      <c r="L762" s="213" t="str">
        <f>IFERROR(__xludf.DUMMYFUNCTION("""COMPUTED_VALUE"""),"")</f>
        <v/>
      </c>
      <c r="M762" s="213">
        <f>IFERROR(__xludf.DUMMYFUNCTION("""COMPUTED_VALUE"""),1.0)</f>
        <v>1</v>
      </c>
      <c r="N762" s="213">
        <f>IFERROR(__xludf.DUMMYFUNCTION("""COMPUTED_VALUE"""),4.0)</f>
        <v>4</v>
      </c>
      <c r="O762" s="213">
        <f>IFERROR(__xludf.DUMMYFUNCTION("""COMPUTED_VALUE"""),4.0)</f>
        <v>4</v>
      </c>
      <c r="P762" s="213"/>
      <c r="Q762" s="213"/>
      <c r="R762" s="213"/>
      <c r="S762" s="213" t="str">
        <f>IFERROR(__xludf.DUMMYFUNCTION("""COMPUTED_VALUE"""),"SI")</f>
        <v>SI</v>
      </c>
      <c r="T762" s="213" t="str">
        <f>IFERROR(__xludf.DUMMYFUNCTION("""COMPUTED_VALUE"""),"CONSULTA FINAL")</f>
        <v>CONSULTA FINAL</v>
      </c>
      <c r="U762" s="213" t="str">
        <f>IFERROR(__xludf.DUMMYFUNCTION("""COMPUTED_VALUE"""),"NO")</f>
        <v>NO</v>
      </c>
      <c r="V762" s="213" t="str">
        <f>IFERROR(__xludf.DUMMYFUNCTION("""COMPUTED_VALUE"""),"NO")</f>
        <v>NO</v>
      </c>
      <c r="W762" s="213" t="str">
        <f>IFERROR(__xludf.DUMMYFUNCTION("""COMPUTED_VALUE"""),"EQU TEC")</f>
        <v>EQU TEC</v>
      </c>
      <c r="X762" s="213" t="str">
        <f>IFERROR(__xludf.DUMMYFUNCTION("""COMPUTED_VALUE"""),"UNI-T")</f>
        <v>UNI-T</v>
      </c>
      <c r="Y762" s="213" t="str">
        <f>IFERROR(__xludf.DUMMYFUNCTION("""COMPUTED_VALUE"""),"UTP3305-II")</f>
        <v>UTP3305-II</v>
      </c>
      <c r="Z762" s="215" t="str">
        <f>IFERROR(__xludf.DUMMYFUNCTION("""COMPUTED_VALUE"""),"https://instruments.uni-trend.com/products/dc-power-supplies/UTP3300-II")</f>
        <v>https://instruments.uni-trend.com/products/dc-power-supplies/UTP3300-II</v>
      </c>
      <c r="AA762" s="213" t="str">
        <f>IFERROR(__xludf.DUMMYFUNCTION("""COMPUTED_VALUE"""),"ESP-176-X FUENTE DE ALIMENTACIÓN - CET")</f>
        <v>ESP-176-X FUENTE DE ALIMENTACIÓN - CET</v>
      </c>
      <c r="AB762" s="213"/>
      <c r="AC762" s="213"/>
      <c r="AD762" s="213"/>
      <c r="AE762" s="213"/>
      <c r="AF762" s="213"/>
      <c r="AG762" s="213"/>
      <c r="AH762" s="213"/>
      <c r="AI762" s="213"/>
      <c r="AJ762" s="213"/>
      <c r="AK762" s="213"/>
      <c r="AL762" s="213"/>
      <c r="AM762" s="213"/>
      <c r="AN762" s="213"/>
      <c r="AO762" s="213"/>
      <c r="AP762" s="213" t="str">
        <f>IFERROR(__xludf.DUMMYFUNCTION("""COMPUTED_VALUE"""),"BRUNO")</f>
        <v>BRUNO</v>
      </c>
      <c r="AQ762" s="213"/>
      <c r="AR762" s="213"/>
      <c r="AS762" s="213"/>
      <c r="AT762" s="213"/>
      <c r="AU762" s="213"/>
      <c r="AV762" s="213"/>
      <c r="AW762" s="213"/>
      <c r="AX762" s="213"/>
      <c r="AY762" s="213"/>
      <c r="AZ762" s="213"/>
      <c r="BA762" s="213"/>
      <c r="BB762" s="213"/>
      <c r="BC762" s="213"/>
      <c r="BD762" s="213"/>
    </row>
    <row r="763">
      <c r="A763" s="213">
        <f>IFERROR(__xludf.DUMMYFUNCTION("""COMPUTED_VALUE"""),1373.0)</f>
        <v>1373</v>
      </c>
      <c r="B763" s="213" t="str">
        <f>IFERROR(__xludf.DUMMYFUNCTION("""COMPUTED_VALUE"""),"GUILLERMO E. BILLINGHURST ")</f>
        <v>GUILLERMO E. BILLINGHURST </v>
      </c>
      <c r="C763" s="213" t="str">
        <f>IFERROR(__xludf.DUMMYFUNCTION("""COMPUTED_VALUE"""),"TALLER SFT DE INDUSTRIA ALIMENTARIA")</f>
        <v>TALLER SFT DE INDUSTRIA ALIMENTARIA</v>
      </c>
      <c r="D763" s="213" t="str">
        <f>IFERROR(__xludf.DUMMYFUNCTION("""COMPUTED_VALUE"""),"HERRAMIENTAS")</f>
        <v>HERRAMIENTAS</v>
      </c>
      <c r="E763" s="213" t="str">
        <f>IFERROR(__xludf.DUMMYFUNCTION("""COMPUTED_VALUE"""),"COM-297")</f>
        <v>COM-297</v>
      </c>
      <c r="F763" s="213" t="str">
        <f>IFERROR(__xludf.DUMMYFUNCTION("""COMPUTED_VALUE"""),"COM-297")</f>
        <v>COM-297</v>
      </c>
      <c r="G763" s="213"/>
      <c r="H763" s="213" t="str">
        <f>IFERROR(__xludf.DUMMYFUNCTION("""COMPUTED_VALUE"""),"TERMÓMETRO DIGITAL")</f>
        <v>TERMÓMETRO DIGITAL</v>
      </c>
      <c r="I763" s="213" t="str">
        <f>IFERROR(__xludf.DUMMYFUNCTION("""COMPUTED_VALUE"""),"· Para alimentos Sólidos y Líquidos
· Rango de temperatura de trabajo mínimo: -50 °C ~ 300 °C
· Precisión de temperatura: ± 1 ° C / ° F
· Modo de ahorro de energía: 10 minutos de función de apagado automático.
· Pantalla digital.
· Tipo: Lectura instantán"&amp;"ea
· Ángulo de ajuste de 180º.
· Potencia Suministro: 1.5V (Pila AA)
· Longitud del cable del sensor: 15cm / 5.91 '' (Aprox.).")</f>
        <v>· Para alimentos Sólidos y Líquidos
· Rango de temperatura de trabajo mínimo: -50 °C ~ 300 °C
· Precisión de temperatura: ± 1 ° C / ° F
· Modo de ahorro de energía: 10 minutos de función de apagado automático.
· Pantalla digital.
· Tipo: Lectura instantánea
· Ángulo de ajuste de 180º.
· Potencia Suministro: 1.5V (Pila AA)
· Longitud del cable del sensor: 15cm / 5.91 '' (Aprox.).</v>
      </c>
      <c r="J763" s="213">
        <f>IFERROR(__xludf.DUMMYFUNCTION("""COMPUTED_VALUE"""),3.0)</f>
        <v>3</v>
      </c>
      <c r="K763" s="213" t="str">
        <f>IFERROR(__xludf.DUMMYFUNCTION("""COMPUTED_VALUE"""),"90 DÍAS CALENDARIO")</f>
        <v>90 DÍAS CALENDARIO</v>
      </c>
      <c r="L763" s="213" t="str">
        <f>IFERROR(__xludf.DUMMYFUNCTION("""COMPUTED_VALUE"""),"")</f>
        <v/>
      </c>
      <c r="M763" s="213">
        <f>IFERROR(__xludf.DUMMYFUNCTION("""COMPUTED_VALUE"""),1.0)</f>
        <v>1</v>
      </c>
      <c r="N763" s="213">
        <f>IFERROR(__xludf.DUMMYFUNCTION("""COMPUTED_VALUE"""),4.0)</f>
        <v>4</v>
      </c>
      <c r="O763" s="213">
        <f>IFERROR(__xludf.DUMMYFUNCTION("""COMPUTED_VALUE"""),4.0)</f>
        <v>4</v>
      </c>
      <c r="P763" s="213"/>
      <c r="Q763" s="213"/>
      <c r="R763" s="213" t="str">
        <f>IFERROR(__xludf.DUMMYFUNCTION("""COMPUTED_VALUE"""),"SI")</f>
        <v>SI</v>
      </c>
      <c r="S763" s="213"/>
      <c r="T763" s="213" t="str">
        <f>IFERROR(__xludf.DUMMYFUNCTION("""COMPUTED_VALUE"""),"CONSULTA FINAL")</f>
        <v>CONSULTA FINAL</v>
      </c>
      <c r="U763" s="213" t="str">
        <f>IFERROR(__xludf.DUMMYFUNCTION("""COMPUTED_VALUE"""),"NO")</f>
        <v>NO</v>
      </c>
      <c r="V763" s="213" t="str">
        <f>IFERROR(__xludf.DUMMYFUNCTION("""COMPUTED_VALUE"""),"SUSTENTO")</f>
        <v>SUSTENTO</v>
      </c>
      <c r="W763" s="213" t="str">
        <f>IFERROR(__xludf.DUMMYFUNCTION("""COMPUTED_VALUE"""),"DIMENSIONAL, ELÉCTRICO, EQU TEC")</f>
        <v>DIMENSIONAL, ELÉCTRICO, EQU TEC</v>
      </c>
      <c r="X763" s="213" t="str">
        <f>IFERROR(__xludf.DUMMYFUNCTION("""COMPUTED_VALUE"""),"Thermoworks")</f>
        <v>Thermoworks</v>
      </c>
      <c r="Y763" s="213" t="str">
        <f>IFERROR(__xludf.DUMMYFUNCTION("""COMPUTED_VALUE"""),"tipo T")</f>
        <v>tipo T</v>
      </c>
      <c r="Z763" s="215" t="str">
        <f>IFERROR(__xludf.DUMMYFUNCTION("""COMPUTED_VALUE"""),"https://www.thermoworks.com/therma-waterproof-type-t/?srsltid=AfmBOopdb88Q7xKLQl62RHgCRa2l6EtIRv52eVBwNYHzq29WF7SF9WKF&amp;utm_source=chatgpt.com")</f>
        <v>https://www.thermoworks.com/therma-waterproof-type-t/?srsltid=AfmBOopdb88Q7xKLQl62RHgCRa2l6EtIRv52eVBwNYHzq29WF7SF9WKF&amp;utm_source=chatgpt.com</v>
      </c>
      <c r="AA763" s="215" t="str">
        <f>IFERROR(__xludf.DUMMYFUNCTION("""COMPUTED_VALUE"""),"https://docs.google.com/spreadsheets/d/13pdSoqqk_yCXiOQt0qq3X0pDhqhCJy8a11XekNZEjWA/edit?gid=0#gid=1")</f>
        <v>https://docs.google.com/spreadsheets/d/13pdSoqqk_yCXiOQt0qq3X0pDhqhCJy8a11XekNZEjWA/edit?gid=0#gid=1</v>
      </c>
      <c r="AB763" s="213"/>
      <c r="AC763" s="213"/>
      <c r="AD763" s="213"/>
      <c r="AE763" s="213"/>
      <c r="AF763" s="213"/>
      <c r="AG763" s="213"/>
      <c r="AH763" s="213"/>
      <c r="AI763" s="213"/>
      <c r="AJ763" s="213"/>
      <c r="AK763" s="213"/>
      <c r="AL763" s="213"/>
      <c r="AM763" s="213"/>
      <c r="AN763" s="213"/>
      <c r="AO763" s="213"/>
      <c r="AP763" s="213" t="str">
        <f>IFERROR(__xludf.DUMMYFUNCTION("""COMPUTED_VALUE"""),"SEBASTIAN")</f>
        <v>SEBASTIAN</v>
      </c>
      <c r="AQ763" s="213"/>
      <c r="AR763" s="213"/>
      <c r="AS763" s="213"/>
      <c r="AT763" s="213"/>
      <c r="AU763" s="213"/>
      <c r="AV763" s="213"/>
      <c r="AW763" s="213"/>
      <c r="AX763" s="213"/>
      <c r="AY763" s="213"/>
      <c r="AZ763" s="213"/>
      <c r="BA763" s="213"/>
      <c r="BB763" s="213"/>
      <c r="BC763" s="213"/>
      <c r="BD763" s="213"/>
    </row>
    <row r="764">
      <c r="A764" s="213">
        <f>IFERROR(__xludf.DUMMYFUNCTION("""COMPUTED_VALUE"""),1408.0)</f>
        <v>1408</v>
      </c>
      <c r="B764" s="213" t="str">
        <f>IFERROR(__xludf.DUMMYFUNCTION("""COMPUTED_VALUE"""),"GUILLERMO E. BILLINGHURST ")</f>
        <v>GUILLERMO E. BILLINGHURST </v>
      </c>
      <c r="C764" s="213" t="str">
        <f>IFERROR(__xludf.DUMMYFUNCTION("""COMPUTED_VALUE"""),"TALLER SFT DE INDUSTRIA ALIMENTARIA")</f>
        <v>TALLER SFT DE INDUSTRIA ALIMENTARIA</v>
      </c>
      <c r="D764" s="213" t="str">
        <f>IFERROR(__xludf.DUMMYFUNCTION("""COMPUTED_VALUE"""),"HERRAMIENTAS")</f>
        <v>HERRAMIENTAS</v>
      </c>
      <c r="E764" s="213" t="str">
        <f>IFERROR(__xludf.DUMMYFUNCTION("""COMPUTED_VALUE"""),"COM-297")</f>
        <v>COM-297</v>
      </c>
      <c r="F764" s="213" t="str">
        <f>IFERROR(__xludf.DUMMYFUNCTION("""COMPUTED_VALUE"""),"COM-297")</f>
        <v>COM-297</v>
      </c>
      <c r="G764" s="213"/>
      <c r="H764" s="213" t="str">
        <f>IFERROR(__xludf.DUMMYFUNCTION("""COMPUTED_VALUE"""),"TERMÓMETRO DIGITAL")</f>
        <v>TERMÓMETRO DIGITAL</v>
      </c>
      <c r="I764" s="213" t="str">
        <f>IFERROR(__xludf.DUMMYFUNCTION("""COMPUTED_VALUE"""),"· Para alimentos Sólidos y Líquidos
· Rango de temperatura de trabajo mínimo: -50 °C ~ 300 °C
· Precisión de temperatura: ± 1 ° C / ° F
· Modo de ahorro de energía: 10 minutos de función de apagado automático.
· Pantalla digital.
· Tipo: Lectura instantán"&amp;"ea
· Ángulo de ajuste de 180º.
· Potencia Suministro: 1.5V (Pila AA)
· Longitud del cable del sensor: 15cm / 5.91 '' (Aprox.).")</f>
        <v>· Para alimentos Sólidos y Líquidos
· Rango de temperatura de trabajo mínimo: -50 °C ~ 300 °C
· Precisión de temperatura: ± 1 ° C / ° F
· Modo de ahorro de energía: 10 minutos de función de apagado automático.
· Pantalla digital.
· Tipo: Lectura instantánea
· Ángulo de ajuste de 180º.
· Potencia Suministro: 1.5V (Pila AA)
· Longitud del cable del sensor: 15cm / 5.91 '' (Aprox.).</v>
      </c>
      <c r="J764" s="213">
        <f>IFERROR(__xludf.DUMMYFUNCTION("""COMPUTED_VALUE"""),3.0)</f>
        <v>3</v>
      </c>
      <c r="K764" s="213" t="str">
        <f>IFERROR(__xludf.DUMMYFUNCTION("""COMPUTED_VALUE"""),"90 DÍAS CALENDARIO")</f>
        <v>90 DÍAS CALENDARIO</v>
      </c>
      <c r="L764" s="213" t="str">
        <f>IFERROR(__xludf.DUMMYFUNCTION("""COMPUTED_VALUE"""),"")</f>
        <v/>
      </c>
      <c r="M764" s="213">
        <f>IFERROR(__xludf.DUMMYFUNCTION("""COMPUTED_VALUE"""),1.0)</f>
        <v>1</v>
      </c>
      <c r="N764" s="213">
        <f>IFERROR(__xludf.DUMMYFUNCTION("""COMPUTED_VALUE"""),4.0)</f>
        <v>4</v>
      </c>
      <c r="O764" s="213">
        <f>IFERROR(__xludf.DUMMYFUNCTION("""COMPUTED_VALUE"""),4.0)</f>
        <v>4</v>
      </c>
      <c r="P764" s="213"/>
      <c r="Q764" s="213"/>
      <c r="R764" s="213" t="str">
        <f>IFERROR(__xludf.DUMMYFUNCTION("""COMPUTED_VALUE"""),"SI")</f>
        <v>SI</v>
      </c>
      <c r="S764" s="213"/>
      <c r="T764" s="213" t="str">
        <f>IFERROR(__xludf.DUMMYFUNCTION("""COMPUTED_VALUE"""),"CONSULTA FINAL")</f>
        <v>CONSULTA FINAL</v>
      </c>
      <c r="U764" s="213" t="str">
        <f>IFERROR(__xludf.DUMMYFUNCTION("""COMPUTED_VALUE"""),"NO")</f>
        <v>NO</v>
      </c>
      <c r="V764" s="213" t="str">
        <f>IFERROR(__xludf.DUMMYFUNCTION("""COMPUTED_VALUE"""),"SUSTENTO")</f>
        <v>SUSTENTO</v>
      </c>
      <c r="W764" s="213" t="str">
        <f>IFERROR(__xludf.DUMMYFUNCTION("""COMPUTED_VALUE"""),"DIMENSIONAL, ELÉCTRICO, EQU TEC")</f>
        <v>DIMENSIONAL, ELÉCTRICO, EQU TEC</v>
      </c>
      <c r="X764" s="213" t="str">
        <f>IFERROR(__xludf.DUMMYFUNCTION("""COMPUTED_VALUE"""),"Thermoworks")</f>
        <v>Thermoworks</v>
      </c>
      <c r="Y764" s="213" t="str">
        <f>IFERROR(__xludf.DUMMYFUNCTION("""COMPUTED_VALUE"""),"tipo T")</f>
        <v>tipo T</v>
      </c>
      <c r="Z764" s="215" t="str">
        <f>IFERROR(__xludf.DUMMYFUNCTION("""COMPUTED_VALUE"""),"https://www.thermoworks.com/therma-waterproof-type-t/?srsltid=AfmBOopdb88Q7xKLQl62RHgCRa2l6EtIRv52eVBwNYHzq29WF7SF9WKF&amp;utm_source=chatgpt.com")</f>
        <v>https://www.thermoworks.com/therma-waterproof-type-t/?srsltid=AfmBOopdb88Q7xKLQl62RHgCRa2l6EtIRv52eVBwNYHzq29WF7SF9WKF&amp;utm_source=chatgpt.com</v>
      </c>
      <c r="AA764" s="215" t="str">
        <f>IFERROR(__xludf.DUMMYFUNCTION("""COMPUTED_VALUE"""),"https://docs.google.com/spreadsheets/d/13pdSoqqk_yCXiOQt0qq3X0pDhqhCJy8a11XekNZEjWA/edit?gid=0#gid=1")</f>
        <v>https://docs.google.com/spreadsheets/d/13pdSoqqk_yCXiOQt0qq3X0pDhqhCJy8a11XekNZEjWA/edit?gid=0#gid=1</v>
      </c>
      <c r="AB764" s="213"/>
      <c r="AC764" s="213"/>
      <c r="AD764" s="213"/>
      <c r="AE764" s="213"/>
      <c r="AF764" s="213"/>
      <c r="AG764" s="213"/>
      <c r="AH764" s="213"/>
      <c r="AI764" s="213"/>
      <c r="AJ764" s="213"/>
      <c r="AK764" s="213"/>
      <c r="AL764" s="213"/>
      <c r="AM764" s="213"/>
      <c r="AN764" s="213"/>
      <c r="AO764" s="213"/>
      <c r="AP764" s="213" t="str">
        <f>IFERROR(__xludf.DUMMYFUNCTION("""COMPUTED_VALUE"""),"SEBASTIAN")</f>
        <v>SEBASTIAN</v>
      </c>
      <c r="AQ764" s="213"/>
      <c r="AR764" s="213"/>
      <c r="AS764" s="213"/>
      <c r="AT764" s="213"/>
      <c r="AU764" s="213"/>
      <c r="AV764" s="213"/>
      <c r="AW764" s="213"/>
      <c r="AX764" s="213"/>
      <c r="AY764" s="213"/>
      <c r="AZ764" s="213"/>
      <c r="BA764" s="213"/>
      <c r="BB764" s="213"/>
      <c r="BC764" s="213"/>
      <c r="BD764" s="213"/>
    </row>
    <row r="765">
      <c r="A765" s="213">
        <f>IFERROR(__xludf.DUMMYFUNCTION("""COMPUTED_VALUE"""),2060.0)</f>
        <v>2060</v>
      </c>
      <c r="B765" s="213" t="str">
        <f>IFERROR(__xludf.DUMMYFUNCTION("""COMPUTED_VALUE"""),"JOSE GRANDA")</f>
        <v>JOSE GRANDA</v>
      </c>
      <c r="C765" s="213" t="str">
        <f>IFERROR(__xludf.DUMMYFUNCTION("""COMPUTED_VALUE"""),"TALLER SFT DE INDUSTRIA ALIMENTARIA")</f>
        <v>TALLER SFT DE INDUSTRIA ALIMENTARIA</v>
      </c>
      <c r="D765" s="213" t="str">
        <f>IFERROR(__xludf.DUMMYFUNCTION("""COMPUTED_VALUE"""),"HERRAMIENTAS")</f>
        <v>HERRAMIENTAS</v>
      </c>
      <c r="E765" s="213" t="str">
        <f>IFERROR(__xludf.DUMMYFUNCTION("""COMPUTED_VALUE"""),"COM-297")</f>
        <v>COM-297</v>
      </c>
      <c r="F765" s="213" t="str">
        <f>IFERROR(__xludf.DUMMYFUNCTION("""COMPUTED_VALUE"""),"COM-297")</f>
        <v>COM-297</v>
      </c>
      <c r="G765" s="213"/>
      <c r="H765" s="213" t="str">
        <f>IFERROR(__xludf.DUMMYFUNCTION("""COMPUTED_VALUE"""),"TERMÓMETRO DIGITAL")</f>
        <v>TERMÓMETRO DIGITAL</v>
      </c>
      <c r="I765" s="213" t="str">
        <f>IFERROR(__xludf.DUMMYFUNCTION("""COMPUTED_VALUE"""),"· Para alimentos Sólidos y Líquidos
· Rango de temperatura de trabajo mínimo: -50 °C ~ 300 °C
· Precisión de temperatura: ± 1 ° C / ° F
· Modo de ahorro de energía: 10 minutos de función de apagado automático.
· Pantalla digital.
· Tipo: Lectura instantán"&amp;"ea
· Ángulo de ajuste de 180º.
· Potencia Suministro: 1.5V (Pila AA)
· Longitud del cable del sensor: 15cm / 5.91 '' (Aprox.).")</f>
        <v>· Para alimentos Sólidos y Líquidos
· Rango de temperatura de trabajo mínimo: -50 °C ~ 300 °C
· Precisión de temperatura: ± 1 ° C / ° F
· Modo de ahorro de energía: 10 minutos de función de apagado automático.
· Pantalla digital.
· Tipo: Lectura instantánea
· Ángulo de ajuste de 180º.
· Potencia Suministro: 1.5V (Pila AA)
· Longitud del cable del sensor: 15cm / 5.91 '' (Aprox.).</v>
      </c>
      <c r="J765" s="213">
        <f>IFERROR(__xludf.DUMMYFUNCTION("""COMPUTED_VALUE"""),3.0)</f>
        <v>3</v>
      </c>
      <c r="K765" s="213" t="str">
        <f>IFERROR(__xludf.DUMMYFUNCTION("""COMPUTED_VALUE"""),"90 DÍAS CALENDARIO")</f>
        <v>90 DÍAS CALENDARIO</v>
      </c>
      <c r="L765" s="213" t="str">
        <f>IFERROR(__xludf.DUMMYFUNCTION("""COMPUTED_VALUE"""),"")</f>
        <v/>
      </c>
      <c r="M765" s="213">
        <f>IFERROR(__xludf.DUMMYFUNCTION("""COMPUTED_VALUE"""),1.0)</f>
        <v>1</v>
      </c>
      <c r="N765" s="213">
        <f>IFERROR(__xludf.DUMMYFUNCTION("""COMPUTED_VALUE"""),4.0)</f>
        <v>4</v>
      </c>
      <c r="O765" s="213">
        <f>IFERROR(__xludf.DUMMYFUNCTION("""COMPUTED_VALUE"""),4.0)</f>
        <v>4</v>
      </c>
      <c r="P765" s="213"/>
      <c r="Q765" s="213"/>
      <c r="R765" s="213" t="str">
        <f>IFERROR(__xludf.DUMMYFUNCTION("""COMPUTED_VALUE"""),"SI")</f>
        <v>SI</v>
      </c>
      <c r="S765" s="213"/>
      <c r="T765" s="213" t="str">
        <f>IFERROR(__xludf.DUMMYFUNCTION("""COMPUTED_VALUE"""),"CONSULTA FINAL")</f>
        <v>CONSULTA FINAL</v>
      </c>
      <c r="U765" s="213" t="str">
        <f>IFERROR(__xludf.DUMMYFUNCTION("""COMPUTED_VALUE"""),"NO")</f>
        <v>NO</v>
      </c>
      <c r="V765" s="213" t="str">
        <f>IFERROR(__xludf.DUMMYFUNCTION("""COMPUTED_VALUE"""),"SUSTENTO")</f>
        <v>SUSTENTO</v>
      </c>
      <c r="W765" s="213" t="str">
        <f>IFERROR(__xludf.DUMMYFUNCTION("""COMPUTED_VALUE"""),"DIMENSIONAL, ELÉCTRICO, EQU TEC")</f>
        <v>DIMENSIONAL, ELÉCTRICO, EQU TEC</v>
      </c>
      <c r="X765" s="213" t="str">
        <f>IFERROR(__xludf.DUMMYFUNCTION("""COMPUTED_VALUE"""),"Thermoworks")</f>
        <v>Thermoworks</v>
      </c>
      <c r="Y765" s="213" t="str">
        <f>IFERROR(__xludf.DUMMYFUNCTION("""COMPUTED_VALUE"""),"tipo T")</f>
        <v>tipo T</v>
      </c>
      <c r="Z765" s="215" t="str">
        <f>IFERROR(__xludf.DUMMYFUNCTION("""COMPUTED_VALUE"""),"https://www.thermoworks.com/therma-waterproof-type-t/?srsltid=AfmBOopdb88Q7xKLQl62RHgCRa2l6EtIRv52eVBwNYHzq29WF7SF9WKF&amp;utm_source=chatgpt.com")</f>
        <v>https://www.thermoworks.com/therma-waterproof-type-t/?srsltid=AfmBOopdb88Q7xKLQl62RHgCRa2l6EtIRv52eVBwNYHzq29WF7SF9WKF&amp;utm_source=chatgpt.com</v>
      </c>
      <c r="AA765" s="215" t="str">
        <f>IFERROR(__xludf.DUMMYFUNCTION("""COMPUTED_VALUE"""),"https://docs.google.com/spreadsheets/d/13pdSoqqk_yCXiOQt0qq3X0pDhqhCJy8a11XekNZEjWA/edit?gid=0#gid=1")</f>
        <v>https://docs.google.com/spreadsheets/d/13pdSoqqk_yCXiOQt0qq3X0pDhqhCJy8a11XekNZEjWA/edit?gid=0#gid=1</v>
      </c>
      <c r="AB765" s="213"/>
      <c r="AC765" s="213"/>
      <c r="AD765" s="213"/>
      <c r="AE765" s="213"/>
      <c r="AF765" s="213"/>
      <c r="AG765" s="213"/>
      <c r="AH765" s="213"/>
      <c r="AI765" s="213"/>
      <c r="AJ765" s="213"/>
      <c r="AK765" s="213"/>
      <c r="AL765" s="213"/>
      <c r="AM765" s="213"/>
      <c r="AN765" s="213"/>
      <c r="AO765" s="213"/>
      <c r="AP765" s="213" t="str">
        <f>IFERROR(__xludf.DUMMYFUNCTION("""COMPUTED_VALUE"""),"SEBASTIAN")</f>
        <v>SEBASTIAN</v>
      </c>
      <c r="AQ765" s="213"/>
      <c r="AR765" s="213"/>
      <c r="AS765" s="213"/>
      <c r="AT765" s="213"/>
      <c r="AU765" s="213"/>
      <c r="AV765" s="213"/>
      <c r="AW765" s="213"/>
      <c r="AX765" s="213"/>
      <c r="AY765" s="213"/>
      <c r="AZ765" s="213"/>
      <c r="BA765" s="213"/>
      <c r="BB765" s="213"/>
      <c r="BC765" s="213"/>
      <c r="BD765" s="213"/>
    </row>
    <row r="766">
      <c r="A766" s="213">
        <f>IFERROR(__xludf.DUMMYFUNCTION("""COMPUTED_VALUE"""),2095.0)</f>
        <v>2095</v>
      </c>
      <c r="B766" s="213" t="str">
        <f>IFERROR(__xludf.DUMMYFUNCTION("""COMPUTED_VALUE"""),"JOSE GRANDA")</f>
        <v>JOSE GRANDA</v>
      </c>
      <c r="C766" s="213" t="str">
        <f>IFERROR(__xludf.DUMMYFUNCTION("""COMPUTED_VALUE"""),"TALLER SFT DE INDUSTRIA ALIMENTARIA")</f>
        <v>TALLER SFT DE INDUSTRIA ALIMENTARIA</v>
      </c>
      <c r="D766" s="213" t="str">
        <f>IFERROR(__xludf.DUMMYFUNCTION("""COMPUTED_VALUE"""),"HERRAMIENTAS")</f>
        <v>HERRAMIENTAS</v>
      </c>
      <c r="E766" s="213" t="str">
        <f>IFERROR(__xludf.DUMMYFUNCTION("""COMPUTED_VALUE"""),"COM-297")</f>
        <v>COM-297</v>
      </c>
      <c r="F766" s="213" t="str">
        <f>IFERROR(__xludf.DUMMYFUNCTION("""COMPUTED_VALUE"""),"COM-297")</f>
        <v>COM-297</v>
      </c>
      <c r="G766" s="213"/>
      <c r="H766" s="213" t="str">
        <f>IFERROR(__xludf.DUMMYFUNCTION("""COMPUTED_VALUE"""),"TERMÓMETRO DIGITAL")</f>
        <v>TERMÓMETRO DIGITAL</v>
      </c>
      <c r="I766" s="213" t="str">
        <f>IFERROR(__xludf.DUMMYFUNCTION("""COMPUTED_VALUE"""),"· Para alimentos Sólidos y Líquidos
· Rango de temperatura de trabajo mínimo: -50 °C ~ 300 °C
· Precisión de temperatura: ± 1 ° C / ° F
· Modo de ahorro de energía: 10 minutos de función de apagado automático.
· Pantalla digital.
· Tipo: Lectura instantán"&amp;"ea
· Ángulo de ajuste de 180º.
· Potencia Suministro: 1.5V (Pila AA)
· Longitud del cable del sensor: 15cm / 5.91 '' (Aprox.).")</f>
        <v>· Para alimentos Sólidos y Líquidos
· Rango de temperatura de trabajo mínimo: -50 °C ~ 300 °C
· Precisión de temperatura: ± 1 ° C / ° F
· Modo de ahorro de energía: 10 minutos de función de apagado automático.
· Pantalla digital.
· Tipo: Lectura instantánea
· Ángulo de ajuste de 180º.
· Potencia Suministro: 1.5V (Pila AA)
· Longitud del cable del sensor: 15cm / 5.91 '' (Aprox.).</v>
      </c>
      <c r="J766" s="213">
        <f>IFERROR(__xludf.DUMMYFUNCTION("""COMPUTED_VALUE"""),3.0)</f>
        <v>3</v>
      </c>
      <c r="K766" s="213" t="str">
        <f>IFERROR(__xludf.DUMMYFUNCTION("""COMPUTED_VALUE"""),"90 DÍAS CALENDARIO")</f>
        <v>90 DÍAS CALENDARIO</v>
      </c>
      <c r="L766" s="213" t="str">
        <f>IFERROR(__xludf.DUMMYFUNCTION("""COMPUTED_VALUE"""),"")</f>
        <v/>
      </c>
      <c r="M766" s="213">
        <f>IFERROR(__xludf.DUMMYFUNCTION("""COMPUTED_VALUE"""),1.0)</f>
        <v>1</v>
      </c>
      <c r="N766" s="213">
        <f>IFERROR(__xludf.DUMMYFUNCTION("""COMPUTED_VALUE"""),4.0)</f>
        <v>4</v>
      </c>
      <c r="O766" s="213">
        <f>IFERROR(__xludf.DUMMYFUNCTION("""COMPUTED_VALUE"""),4.0)</f>
        <v>4</v>
      </c>
      <c r="P766" s="213"/>
      <c r="Q766" s="213"/>
      <c r="R766" s="213" t="str">
        <f>IFERROR(__xludf.DUMMYFUNCTION("""COMPUTED_VALUE"""),"SI")</f>
        <v>SI</v>
      </c>
      <c r="S766" s="213"/>
      <c r="T766" s="213" t="str">
        <f>IFERROR(__xludf.DUMMYFUNCTION("""COMPUTED_VALUE"""),"CONSULTA FINAL")</f>
        <v>CONSULTA FINAL</v>
      </c>
      <c r="U766" s="213" t="str">
        <f>IFERROR(__xludf.DUMMYFUNCTION("""COMPUTED_VALUE"""),"NO")</f>
        <v>NO</v>
      </c>
      <c r="V766" s="213" t="str">
        <f>IFERROR(__xludf.DUMMYFUNCTION("""COMPUTED_VALUE"""),"SUSTENTO")</f>
        <v>SUSTENTO</v>
      </c>
      <c r="W766" s="213" t="str">
        <f>IFERROR(__xludf.DUMMYFUNCTION("""COMPUTED_VALUE"""),"DIMENSIONAL, ELÉCTRICO, EQU TEC")</f>
        <v>DIMENSIONAL, ELÉCTRICO, EQU TEC</v>
      </c>
      <c r="X766" s="213" t="str">
        <f>IFERROR(__xludf.DUMMYFUNCTION("""COMPUTED_VALUE"""),"Thermoworks")</f>
        <v>Thermoworks</v>
      </c>
      <c r="Y766" s="213" t="str">
        <f>IFERROR(__xludf.DUMMYFUNCTION("""COMPUTED_VALUE"""),"tipo T")</f>
        <v>tipo T</v>
      </c>
      <c r="Z766" s="215" t="str">
        <f>IFERROR(__xludf.DUMMYFUNCTION("""COMPUTED_VALUE"""),"https://www.thermoworks.com/therma-waterproof-type-t/?srsltid=AfmBOopdb88Q7xKLQl62RHgCRa2l6EtIRv52eVBwNYHzq29WF7SF9WKF&amp;utm_source=chatgpt.com")</f>
        <v>https://www.thermoworks.com/therma-waterproof-type-t/?srsltid=AfmBOopdb88Q7xKLQl62RHgCRa2l6EtIRv52eVBwNYHzq29WF7SF9WKF&amp;utm_source=chatgpt.com</v>
      </c>
      <c r="AA766" s="215" t="str">
        <f>IFERROR(__xludf.DUMMYFUNCTION("""COMPUTED_VALUE"""),"https://docs.google.com/spreadsheets/d/13pdSoqqk_yCXiOQt0qq3X0pDhqhCJy8a11XekNZEjWA/edit?gid=0#gid=1")</f>
        <v>https://docs.google.com/spreadsheets/d/13pdSoqqk_yCXiOQt0qq3X0pDhqhCJy8a11XekNZEjWA/edit?gid=0#gid=1</v>
      </c>
      <c r="AB766" s="213"/>
      <c r="AC766" s="213"/>
      <c r="AD766" s="213"/>
      <c r="AE766" s="213"/>
      <c r="AF766" s="213"/>
      <c r="AG766" s="213"/>
      <c r="AH766" s="213"/>
      <c r="AI766" s="213"/>
      <c r="AJ766" s="213"/>
      <c r="AK766" s="213"/>
      <c r="AL766" s="213"/>
      <c r="AM766" s="213"/>
      <c r="AN766" s="213"/>
      <c r="AO766" s="213"/>
      <c r="AP766" s="213" t="str">
        <f>IFERROR(__xludf.DUMMYFUNCTION("""COMPUTED_VALUE"""),"SEBASTIAN")</f>
        <v>SEBASTIAN</v>
      </c>
      <c r="AQ766" s="213"/>
      <c r="AR766" s="213"/>
      <c r="AS766" s="213"/>
      <c r="AT766" s="213"/>
      <c r="AU766" s="213"/>
      <c r="AV766" s="213"/>
      <c r="AW766" s="213"/>
      <c r="AX766" s="213"/>
      <c r="AY766" s="213"/>
      <c r="AZ766" s="213"/>
      <c r="BA766" s="213"/>
      <c r="BB766" s="213"/>
      <c r="BC766" s="213"/>
      <c r="BD766" s="213"/>
    </row>
    <row r="767">
      <c r="A767" s="213">
        <f>IFERROR(__xludf.DUMMYFUNCTION("""COMPUTED_VALUE"""),1767.0)</f>
        <v>1767</v>
      </c>
      <c r="B767" s="213" t="str">
        <f>IFERROR(__xludf.DUMMYFUNCTION("""COMPUTED_VALUE"""),"GUILLERMO E. BILLINGHURST ")</f>
        <v>GUILLERMO E. BILLINGHURST </v>
      </c>
      <c r="C767" s="213" t="str">
        <f>IFERROR(__xludf.DUMMYFUNCTION("""COMPUTED_VALUE"""),"TALLER SFT DE EBANISTERÍA")</f>
        <v>TALLER SFT DE EBANISTERÍA</v>
      </c>
      <c r="D767" s="213" t="str">
        <f>IFERROR(__xludf.DUMMYFUNCTION("""COMPUTED_VALUE"""),"HERRAMIENTAS")</f>
        <v>HERRAMIENTAS</v>
      </c>
      <c r="E767" s="213" t="str">
        <f>IFERROR(__xludf.DUMMYFUNCTION("""COMPUTED_VALUE"""),"COM-300")</f>
        <v>COM-300</v>
      </c>
      <c r="F767" s="213" t="str">
        <f>IFERROR(__xludf.DUMMYFUNCTION("""COMPUTED_VALUE"""),"COM-300")</f>
        <v>COM-300</v>
      </c>
      <c r="G767" s="213"/>
      <c r="H767" s="213" t="str">
        <f>IFERROR(__xludf.DUMMYFUNCTION("""COMPUTED_VALUE"""),"TORNILLO DE BANCO")</f>
        <v>TORNILLO DE BANCO</v>
      </c>
      <c r="I767" s="213" t="str">
        <f>IFERROR(__xludf.DUMMYFUNCTION("""COMPUTED_VALUE"""),"Tornillo de banco.
. Minimo 4 pulgadas de apertura.
. Fabricado de hierro fundido pesado para brindar fortaleza y durabilidad .
. Bases giratorias y cerraduras para mayor versatilidad .
. Manijas recubiertas de cromo resistente a la corrosión.
. Peso apro"&amp;"ximado: 18 kg.
. Debe estar fijado a la mesa con tornillos, tuercas y arandelas de seguridad,  que eviten aflojarse por
LvVibrEaRcióAn.Hilda 998 soft")</f>
        <v>Tornillo de banco.
. Minimo 4 pulgadas de apertura.
. Fabricado de hierro fundido pesado para brindar fortaleza y durabilidad .
. Bases giratorias y cerraduras para mayor versatilidad .
. Manijas recubiertas de cromo resistente a la corrosión.
. Peso aproximado: 18 kg.
. Debe estar fijado a la mesa con tornillos, tuercas y arandelas de seguridad,  que eviten aflojarse por
LvVibrEaRcióAn.Hilda 998 soft</v>
      </c>
      <c r="J767" s="213">
        <f>IFERROR(__xludf.DUMMYFUNCTION("""COMPUTED_VALUE"""),3.0)</f>
        <v>3</v>
      </c>
      <c r="K767" s="213" t="str">
        <f>IFERROR(__xludf.DUMMYFUNCTION("""COMPUTED_VALUE"""),"90 DÍAS CALENDARIO")</f>
        <v>90 DÍAS CALENDARIO</v>
      </c>
      <c r="L767" s="213" t="str">
        <f>IFERROR(__xludf.DUMMYFUNCTION("""COMPUTED_VALUE"""),"")</f>
        <v/>
      </c>
      <c r="M767" s="213">
        <f>IFERROR(__xludf.DUMMYFUNCTION("""COMPUTED_VALUE"""),1.0)</f>
        <v>1</v>
      </c>
      <c r="N767" s="213">
        <f>IFERROR(__xludf.DUMMYFUNCTION("""COMPUTED_VALUE"""),4.0)</f>
        <v>4</v>
      </c>
      <c r="O767" s="213">
        <f>IFERROR(__xludf.DUMMYFUNCTION("""COMPUTED_VALUE"""),4.0)</f>
        <v>4</v>
      </c>
      <c r="P767" s="213"/>
      <c r="Q767" s="213"/>
      <c r="R767" s="213" t="str">
        <f>IFERROR(__xludf.DUMMYFUNCTION("""COMPUTED_VALUE"""),"SI")</f>
        <v>SI</v>
      </c>
      <c r="S767" s="213"/>
      <c r="T767" s="213" t="str">
        <f>IFERROR(__xludf.DUMMYFUNCTION("""COMPUTED_VALUE"""),"CONSULTA FINAL")</f>
        <v>CONSULTA FINAL</v>
      </c>
      <c r="U767" s="213" t="str">
        <f>IFERROR(__xludf.DUMMYFUNCTION("""COMPUTED_VALUE"""),"NO")</f>
        <v>NO</v>
      </c>
      <c r="V767" s="213" t="str">
        <f>IFERROR(__xludf.DUMMYFUNCTION("""COMPUTED_VALUE"""),"SUSTENTO")</f>
        <v>SUSTENTO</v>
      </c>
      <c r="W767" s="213" t="str">
        <f>IFERROR(__xludf.DUMMYFUNCTION("""COMPUTED_VALUE"""),"CRÍTICO")</f>
        <v>CRÍTICO</v>
      </c>
      <c r="X767" s="213" t="str">
        <f>IFERROR(__xludf.DUMMYFUNCTION("""COMPUTED_VALUE"""),"Truper ")</f>
        <v>Truper </v>
      </c>
      <c r="Y767" s="213" t="str">
        <f>IFERROR(__xludf.DUMMYFUNCTION("""COMPUTED_VALUE"""),"TA-4-L")</f>
        <v>TA-4-L</v>
      </c>
      <c r="Z767" s="215" t="str">
        <f>IFERROR(__xludf.DUMMYFUNCTION("""COMPUTED_VALUE"""),"https://www.promart.pe/tornillo-de-banco-4-pulgadas-tipo-europeo-truper-ta-4-l-1001194506/p")</f>
        <v>https://www.promart.pe/tornillo-de-banco-4-pulgadas-tipo-europeo-truper-ta-4-l-1001194506/p</v>
      </c>
      <c r="AA767" s="213" t="str">
        <f>IFERROR(__xludf.DUMMYFUNCTION("""COMPUTED_VALUE"""),"COM-300 TORNILLO DE BANCO - CET")</f>
        <v>COM-300 TORNILLO DE BANCO - CET</v>
      </c>
      <c r="AB767" s="213"/>
      <c r="AC767" s="213"/>
      <c r="AD767" s="213"/>
      <c r="AE767" s="213"/>
      <c r="AF767" s="213"/>
      <c r="AG767" s="213"/>
      <c r="AH767" s="213"/>
      <c r="AI767" s="213"/>
      <c r="AJ767" s="213"/>
      <c r="AK767" s="213"/>
      <c r="AL767" s="213"/>
      <c r="AM767" s="213"/>
      <c r="AN767" s="213"/>
      <c r="AO767" s="213"/>
      <c r="AP767" s="213" t="str">
        <f>IFERROR(__xludf.DUMMYFUNCTION("""COMPUTED_VALUE"""),"SEBASTIAN")</f>
        <v>SEBASTIAN</v>
      </c>
      <c r="AQ767" s="213"/>
      <c r="AR767" s="213"/>
      <c r="AS767" s="213"/>
      <c r="AT767" s="213"/>
      <c r="AU767" s="213"/>
      <c r="AV767" s="213"/>
      <c r="AW767" s="213"/>
      <c r="AX767" s="213"/>
      <c r="AY767" s="213"/>
      <c r="AZ767" s="213"/>
      <c r="BA767" s="213"/>
      <c r="BB767" s="213"/>
      <c r="BC767" s="213"/>
      <c r="BD767" s="213"/>
    </row>
    <row r="768">
      <c r="A768" s="213">
        <f>IFERROR(__xludf.DUMMYFUNCTION("""COMPUTED_VALUE"""),2552.0)</f>
        <v>2552</v>
      </c>
      <c r="B768" s="213" t="str">
        <f>IFERROR(__xludf.DUMMYFUNCTION("""COMPUTED_VALUE"""),"MANUEL ANTONIO MESONES MURO")</f>
        <v>MANUEL ANTONIO MESONES MURO</v>
      </c>
      <c r="C768" s="213" t="str">
        <f>IFERROR(__xludf.DUMMYFUNCTION("""COMPUTED_VALUE"""),"TALLER SFT DE EBANISTERÍA")</f>
        <v>TALLER SFT DE EBANISTERÍA</v>
      </c>
      <c r="D768" s="213" t="str">
        <f>IFERROR(__xludf.DUMMYFUNCTION("""COMPUTED_VALUE"""),"HERRAMIENTAS")</f>
        <v>HERRAMIENTAS</v>
      </c>
      <c r="E768" s="213" t="str">
        <f>IFERROR(__xludf.DUMMYFUNCTION("""COMPUTED_VALUE"""),"COM-300")</f>
        <v>COM-300</v>
      </c>
      <c r="F768" s="213" t="str">
        <f>IFERROR(__xludf.DUMMYFUNCTION("""COMPUTED_VALUE"""),"COM-300")</f>
        <v>COM-300</v>
      </c>
      <c r="G768" s="213"/>
      <c r="H768" s="213" t="str">
        <f>IFERROR(__xludf.DUMMYFUNCTION("""COMPUTED_VALUE"""),"TORNILLO DE BANCO")</f>
        <v>TORNILLO DE BANCO</v>
      </c>
      <c r="I768" s="213" t="str">
        <f>IFERROR(__xludf.DUMMYFUNCTION("""COMPUTED_VALUE"""),"Tornillo de banco.
. Minimo 4 pulgadas de apertura.
. Fabricado de hierro fundido pesado para brindar fortaleza y durabilidad .
. Bases giratorias y cerraduras para mayor versatilidad .
. Manijas recubiertas de cromo resistente a la corrosión.
. Peso apro"&amp;"ximado: 18 kg.
. Debe estar fijado a la mesa con tornillos, tuercas y arandelas de seguridad,  que eviten aflojarse por
LvVibrEaRcióAn.Hilda 998 soft")</f>
        <v>Tornillo de banco.
. Minimo 4 pulgadas de apertura.
. Fabricado de hierro fundido pesado para brindar fortaleza y durabilidad .
. Bases giratorias y cerraduras para mayor versatilidad .
. Manijas recubiertas de cromo resistente a la corrosión.
. Peso aproximado: 18 kg.
. Debe estar fijado a la mesa con tornillos, tuercas y arandelas de seguridad,  que eviten aflojarse por
LvVibrEaRcióAn.Hilda 998 soft</v>
      </c>
      <c r="J768" s="213">
        <f>IFERROR(__xludf.DUMMYFUNCTION("""COMPUTED_VALUE"""),3.0)</f>
        <v>3</v>
      </c>
      <c r="K768" s="213" t="str">
        <f>IFERROR(__xludf.DUMMYFUNCTION("""COMPUTED_VALUE"""),"90 DÍAS CALENDARIO")</f>
        <v>90 DÍAS CALENDARIO</v>
      </c>
      <c r="L768" s="213" t="str">
        <f>IFERROR(__xludf.DUMMYFUNCTION("""COMPUTED_VALUE"""),"")</f>
        <v/>
      </c>
      <c r="M768" s="213">
        <f>IFERROR(__xludf.DUMMYFUNCTION("""COMPUTED_VALUE"""),1.0)</f>
        <v>1</v>
      </c>
      <c r="N768" s="213">
        <f>IFERROR(__xludf.DUMMYFUNCTION("""COMPUTED_VALUE"""),3.0)</f>
        <v>3</v>
      </c>
      <c r="O768" s="213">
        <f>IFERROR(__xludf.DUMMYFUNCTION("""COMPUTED_VALUE"""),3.0)</f>
        <v>3</v>
      </c>
      <c r="P768" s="213"/>
      <c r="Q768" s="213"/>
      <c r="R768" s="213" t="str">
        <f>IFERROR(__xludf.DUMMYFUNCTION("""COMPUTED_VALUE"""),"SI")</f>
        <v>SI</v>
      </c>
      <c r="S768" s="213"/>
      <c r="T768" s="213" t="str">
        <f>IFERROR(__xludf.DUMMYFUNCTION("""COMPUTED_VALUE"""),"CONSULTA FINAL")</f>
        <v>CONSULTA FINAL</v>
      </c>
      <c r="U768" s="213" t="str">
        <f>IFERROR(__xludf.DUMMYFUNCTION("""COMPUTED_VALUE"""),"NO")</f>
        <v>NO</v>
      </c>
      <c r="V768" s="213" t="str">
        <f>IFERROR(__xludf.DUMMYFUNCTION("""COMPUTED_VALUE"""),"SUSTENTO")</f>
        <v>SUSTENTO</v>
      </c>
      <c r="W768" s="213" t="str">
        <f>IFERROR(__xludf.DUMMYFUNCTION("""COMPUTED_VALUE"""),"CRÍTICO")</f>
        <v>CRÍTICO</v>
      </c>
      <c r="X768" s="213" t="str">
        <f>IFERROR(__xludf.DUMMYFUNCTION("""COMPUTED_VALUE"""),"Truper ")</f>
        <v>Truper </v>
      </c>
      <c r="Y768" s="213" t="str">
        <f>IFERROR(__xludf.DUMMYFUNCTION("""COMPUTED_VALUE"""),"TA-4-L")</f>
        <v>TA-4-L</v>
      </c>
      <c r="Z768" s="215" t="str">
        <f>IFERROR(__xludf.DUMMYFUNCTION("""COMPUTED_VALUE"""),"https://www.promart.pe/tornillo-de-banco-4-pulgadas-tipo-europeo-truper-ta-4-l-1001194506/p")</f>
        <v>https://www.promart.pe/tornillo-de-banco-4-pulgadas-tipo-europeo-truper-ta-4-l-1001194506/p</v>
      </c>
      <c r="AA768" s="213" t="str">
        <f>IFERROR(__xludf.DUMMYFUNCTION("""COMPUTED_VALUE"""),"COM-300 TORNILLO DE BANCO - CET")</f>
        <v>COM-300 TORNILLO DE BANCO - CET</v>
      </c>
      <c r="AB768" s="213"/>
      <c r="AC768" s="213"/>
      <c r="AD768" s="213"/>
      <c r="AE768" s="213"/>
      <c r="AF768" s="213"/>
      <c r="AG768" s="213"/>
      <c r="AH768" s="213"/>
      <c r="AI768" s="213"/>
      <c r="AJ768" s="213"/>
      <c r="AK768" s="213"/>
      <c r="AL768" s="213"/>
      <c r="AM768" s="213"/>
      <c r="AN768" s="213"/>
      <c r="AO768" s="213"/>
      <c r="AP768" s="213" t="str">
        <f>IFERROR(__xludf.DUMMYFUNCTION("""COMPUTED_VALUE"""),"SEBASTIAN")</f>
        <v>SEBASTIAN</v>
      </c>
      <c r="AQ768" s="213"/>
      <c r="AR768" s="213"/>
      <c r="AS768" s="213"/>
      <c r="AT768" s="213"/>
      <c r="AU768" s="213"/>
      <c r="AV768" s="213"/>
      <c r="AW768" s="213"/>
      <c r="AX768" s="213"/>
      <c r="AY768" s="213"/>
      <c r="AZ768" s="213"/>
      <c r="BA768" s="213"/>
      <c r="BB768" s="213"/>
      <c r="BC768" s="213"/>
      <c r="BD768" s="213"/>
    </row>
    <row r="769">
      <c r="A769" s="213">
        <f>IFERROR(__xludf.DUMMYFUNCTION("""COMPUTED_VALUE"""),618.0)</f>
        <v>618</v>
      </c>
      <c r="B769" s="213" t="str">
        <f>IFERROR(__xludf.DUMMYFUNCTION("""COMPUTED_VALUE"""),"6049 RICARDO PALMA")</f>
        <v>6049 RICARDO PALMA</v>
      </c>
      <c r="C769" s="213" t="str">
        <f>IFERROR(__xludf.DUMMYFUNCTION("""COMPUTED_VALUE"""),"TALLER SFT DE ELECTRÓNICA")</f>
        <v>TALLER SFT DE ELECTRÓNICA</v>
      </c>
      <c r="D769" s="213" t="str">
        <f>IFERROR(__xludf.DUMMYFUNCTION("""COMPUTED_VALUE"""),"HERRAMIENTAS")</f>
        <v>HERRAMIENTAS</v>
      </c>
      <c r="E769" s="213" t="str">
        <f>IFERROR(__xludf.DUMMYFUNCTION("""COMPUTED_VALUE"""),"COM-301")</f>
        <v>COM-301</v>
      </c>
      <c r="F769" s="213" t="str">
        <f>IFERROR(__xludf.DUMMYFUNCTION("""COMPUTED_VALUE"""),"COM-301")</f>
        <v>COM-301</v>
      </c>
      <c r="G769" s="213"/>
      <c r="H769" s="213" t="str">
        <f>IFERROR(__xludf.DUMMYFUNCTION("""COMPUTED_VALUE"""),"TORNILLO DE BANCO MULTIÁNGULOS")</f>
        <v>TORNILLO DE BANCO MULTIÁNGULOS</v>
      </c>
      <c r="I769" s="213" t="str">
        <f>IFERROR(__xludf.DUMMYFUNCTION("""COMPUTED_VALUE"""),"· Herramienta con diseño de varias mordazas ajustables e independientes permite una fácil fijación en la mayoría de las superficies. Con acabado resistente a la corrosión.
· Ajustable y bloqueable en cualquier orientación.
· La abrazadera de tornillo inte"&amp;"gral ofrece resistencia y se conecta fácilmente a la mayoría de las superficies de trabajo.
· Cuenta con protectores de mandíbula desmontables para proteger las superficies de desperfectos y daños.
· Mandíbula mecanizada que distribuye uniformemente la pr"&amp;"esión de sujeción.
. Dimensiones aproximadas ( +- 0.05 m ) (L x An x Al): 0.30 x 0.15 x 0.40m.")</f>
        <v>· Herramienta con diseño de varias mordazas ajustables e independientes permite una fácil fijación en la mayoría de las superficies. Con acabado resistente a la corrosión.
· Ajustable y bloqueable en cualquier orientación.
· La abrazadera de tornillo integral ofrece resistencia y se conecta fácilmente a la mayoría de las superficies de trabajo.
· Cuenta con protectores de mandíbula desmontables para proteger las superficies de desperfectos y daños.
· Mandíbula mecanizada que distribuye uniformemente la presión de sujeción.
. Dimensiones aproximadas ( +- 0.05 m ) (L x An x Al): 0.30 x 0.15 x 0.40m.</v>
      </c>
      <c r="J769" s="213">
        <f>IFERROR(__xludf.DUMMYFUNCTION("""COMPUTED_VALUE"""),3.0)</f>
        <v>3</v>
      </c>
      <c r="K769" s="213" t="str">
        <f>IFERROR(__xludf.DUMMYFUNCTION("""COMPUTED_VALUE"""),"90 DÍAS CALENDARIO")</f>
        <v>90 DÍAS CALENDARIO</v>
      </c>
      <c r="L769" s="213" t="str">
        <f>IFERROR(__xludf.DUMMYFUNCTION("""COMPUTED_VALUE"""),"")</f>
        <v/>
      </c>
      <c r="M769" s="213">
        <f>IFERROR(__xludf.DUMMYFUNCTION("""COMPUTED_VALUE"""),1.0)</f>
        <v>1</v>
      </c>
      <c r="N769" s="213">
        <f>IFERROR(__xludf.DUMMYFUNCTION("""COMPUTED_VALUE"""),5.0)</f>
        <v>5</v>
      </c>
      <c r="O769" s="213">
        <f>IFERROR(__xludf.DUMMYFUNCTION("""COMPUTED_VALUE"""),5.0)</f>
        <v>5</v>
      </c>
      <c r="P769" s="213"/>
      <c r="Q769" s="213"/>
      <c r="R769" s="213" t="str">
        <f>IFERROR(__xludf.DUMMYFUNCTION("""COMPUTED_VALUE"""),"SI")</f>
        <v>SI</v>
      </c>
      <c r="S769" s="213"/>
      <c r="T769" s="213" t="str">
        <f>IFERROR(__xludf.DUMMYFUNCTION("""COMPUTED_VALUE"""),"SI")</f>
        <v>SI</v>
      </c>
      <c r="U769" s="213" t="str">
        <f>IFERROR(__xludf.DUMMYFUNCTION("""COMPUTED_VALUE"""),"SI")</f>
        <v>SI</v>
      </c>
      <c r="V769" s="213" t="str">
        <f>IFERROR(__xludf.DUMMYFUNCTION("""COMPUTED_VALUE"""),"-")</f>
        <v>-</v>
      </c>
      <c r="W769" s="213" t="str">
        <f>IFERROR(__xludf.DUMMYFUNCTION("""COMPUTED_VALUE"""),"-")</f>
        <v>-</v>
      </c>
      <c r="X769" s="213" t="str">
        <f>IFERROR(__xludf.DUMMYFUNCTION("""COMPUTED_VALUE"""),"STANLEY")</f>
        <v>STANLEY</v>
      </c>
      <c r="Y769" s="213" t="str">
        <f>IFERROR(__xludf.DUMMYFUNCTION("""COMPUTED_VALUE"""),"1-83-069")</f>
        <v>1-83-069</v>
      </c>
      <c r="Z769" s="215" t="str">
        <f>IFERROR(__xludf.DUMMYFUNCTION("""COMPUTED_VALUE"""),"https://www.stanleyworks.es/producto/1-83-069/tornillo-de-banco-multi-angulos")</f>
        <v>https://www.stanleyworks.es/producto/1-83-069/tornillo-de-banco-multi-angulos</v>
      </c>
      <c r="AA769" s="213" t="str">
        <f>IFERROR(__xludf.DUMMYFUNCTION("""COMPUTED_VALUE"""),"COM-301 TORNILLO DE BANCO MULTIÁNGULOS - CET")</f>
        <v>COM-301 TORNILLO DE BANCO MULTIÁNGULOS - CET</v>
      </c>
      <c r="AB769" s="213"/>
      <c r="AC769" s="213"/>
      <c r="AD769" s="213"/>
      <c r="AE769" s="213"/>
      <c r="AF769" s="213"/>
      <c r="AG769" s="213"/>
      <c r="AH769" s="213"/>
      <c r="AI769" s="213"/>
      <c r="AJ769" s="213"/>
      <c r="AK769" s="213"/>
      <c r="AL769" s="213"/>
      <c r="AM769" s="213"/>
      <c r="AN769" s="213"/>
      <c r="AO769" s="213"/>
      <c r="AP769" s="213" t="str">
        <f>IFERROR(__xludf.DUMMYFUNCTION("""COMPUTED_VALUE"""),"LUIS")</f>
        <v>LUIS</v>
      </c>
      <c r="AQ769" s="213"/>
      <c r="AR769" s="213"/>
      <c r="AS769" s="213"/>
      <c r="AT769" s="213"/>
      <c r="AU769" s="213"/>
      <c r="AV769" s="213"/>
      <c r="AW769" s="213"/>
      <c r="AX769" s="213"/>
      <c r="AY769" s="213"/>
      <c r="AZ769" s="213"/>
      <c r="BA769" s="213"/>
      <c r="BB769" s="213"/>
      <c r="BC769" s="213"/>
      <c r="BD769" s="213"/>
    </row>
    <row r="770">
      <c r="A770" s="213">
        <f>IFERROR(__xludf.DUMMYFUNCTION("""COMPUTED_VALUE"""),970.0)</f>
        <v>970</v>
      </c>
      <c r="B770" s="213" t="str">
        <f>IFERROR(__xludf.DUMMYFUNCTION("""COMPUTED_VALUE"""),"FRANCISCO IRAZOLA")</f>
        <v>FRANCISCO IRAZOLA</v>
      </c>
      <c r="C770" s="213" t="str">
        <f>IFERROR(__xludf.DUMMYFUNCTION("""COMPUTED_VALUE"""),"TALLER SFT DE MECÁNICA AUTOMOTRIZ")</f>
        <v>TALLER SFT DE MECÁNICA AUTOMOTRIZ</v>
      </c>
      <c r="D770" s="213" t="str">
        <f>IFERROR(__xludf.DUMMYFUNCTION("""COMPUTED_VALUE"""),"HERRAMIENTAS")</f>
        <v>HERRAMIENTAS</v>
      </c>
      <c r="E770" s="213" t="str">
        <f>IFERROR(__xludf.DUMMYFUNCTION("""COMPUTED_VALUE"""),"COM-302")</f>
        <v>COM-302</v>
      </c>
      <c r="F770" s="213" t="str">
        <f>IFERROR(__xludf.DUMMYFUNCTION("""COMPUTED_VALUE"""),"COM-302")</f>
        <v>COM-302</v>
      </c>
      <c r="G770" s="213"/>
      <c r="H770" s="213" t="str">
        <f>IFERROR(__xludf.DUMMYFUNCTION("""COMPUTED_VALUE"""),"TORQUÍMETRO")</f>
        <v>TORQUÍMETRO</v>
      </c>
      <c r="I770" s="213" t="str">
        <f>IFERROR(__xludf.DUMMYFUNCTION("""COMPUTED_VALUE"""),"Llave de torque ajustable. Diseñada para trabajo profesional. Encastre de: 3/8""
Rango de trabajo: entre 20 - 80 ft-lb Longitud mínima: 38 cm
Sistema de click (al sentir el click, significa que llego al torque deseado).")</f>
        <v>Llave de torque ajustable. Diseñada para trabajo profesional. Encastre de: 3/8"
Rango de trabajo: entre 20 - 80 ft-lb Longitud mínima: 38 cm
Sistema de click (al sentir el click, significa que llego al torque deseado).</v>
      </c>
      <c r="J770" s="213">
        <f>IFERROR(__xludf.DUMMYFUNCTION("""COMPUTED_VALUE"""),3.0)</f>
        <v>3</v>
      </c>
      <c r="K770" s="213" t="str">
        <f>IFERROR(__xludf.DUMMYFUNCTION("""COMPUTED_VALUE"""),"90 DÍAS CALENDARIO")</f>
        <v>90 DÍAS CALENDARIO</v>
      </c>
      <c r="L770" s="213" t="str">
        <f>IFERROR(__xludf.DUMMYFUNCTION("""COMPUTED_VALUE"""),"")</f>
        <v/>
      </c>
      <c r="M770" s="213">
        <f>IFERROR(__xludf.DUMMYFUNCTION("""COMPUTED_VALUE"""),1.0)</f>
        <v>1</v>
      </c>
      <c r="N770" s="213">
        <f>IFERROR(__xludf.DUMMYFUNCTION("""COMPUTED_VALUE"""),1.0)</f>
        <v>1</v>
      </c>
      <c r="O770" s="213">
        <f>IFERROR(__xludf.DUMMYFUNCTION("""COMPUTED_VALUE"""),1.0)</f>
        <v>1</v>
      </c>
      <c r="P770" s="213"/>
      <c r="Q770" s="213"/>
      <c r="R770" s="213" t="str">
        <f>IFERROR(__xludf.DUMMYFUNCTION("""COMPUTED_VALUE"""),"SI")</f>
        <v>SI</v>
      </c>
      <c r="S770" s="213"/>
      <c r="T770" s="213" t="str">
        <f>IFERROR(__xludf.DUMMYFUNCTION("""COMPUTED_VALUE"""),"SI")</f>
        <v>SI</v>
      </c>
      <c r="U770" s="213" t="str">
        <f>IFERROR(__xludf.DUMMYFUNCTION("""COMPUTED_VALUE"""),"SI")</f>
        <v>SI</v>
      </c>
      <c r="V770" s="213" t="str">
        <f>IFERROR(__xludf.DUMMYFUNCTION("""COMPUTED_VALUE"""),"-")</f>
        <v>-</v>
      </c>
      <c r="W770" s="213" t="str">
        <f>IFERROR(__xludf.DUMMYFUNCTION("""COMPUTED_VALUE"""),"-")</f>
        <v>-</v>
      </c>
      <c r="X770" s="213" t="str">
        <f>IFERROR(__xludf.DUMMYFUNCTION("""COMPUTED_VALUE"""),"LEXIVON")</f>
        <v>LEXIVON</v>
      </c>
      <c r="Y770" s="213" t="str">
        <f>IFERROR(__xludf.DUMMYFUNCTION("""COMPUTED_VALUE"""),"LX-182")</f>
        <v>LX-182</v>
      </c>
      <c r="Z770" s="215" t="str">
        <f>IFERROR(__xludf.DUMMYFUNCTION("""COMPUTED_VALUE"""),"https://www.amazon.com/dinamom%C3%A9trica-accionamiento-pulgadas-13-6-108-5-LX-182/dp/B07M68G49R/ref=sxin_16_pa_sp_search_thematic_sspa?content-id=amzn1.sym.06b0a375-029c-4241-a66c-6efb26e8829a%3Aamzn1.sym.06b0a375-029c-4241-a66c-6efb26e8829a&amp;crid=1NLT8FE"&amp;"O73OTL&amp;cv_ct_cx=torque%2Bwrench%2B3%2F8%E2%80%9D%2B20%2B-%2B80%2Bft%2Blb&amp;keywords=TORQUIMETRO%2B3%2F8%22%2B20%2B-%2B80%2BFT%2BLB&amp;pd_rd_i=B07M68G49R&amp;pd_rd_r=92531a98-7577-4a2d-b8a4-33a36b9ec263&amp;pd_rd_w=9S0zt&amp;pd_rd_wg=mG0hW&amp;pf_rd_p=06b0a375-029c-4241-a66c-6"&amp;"efb26e8829a&amp;pf_rd_r=8X0YBFPK5PJW10E55P9X&amp;qid=1759177549&amp;s=hi&amp;sbo=RZvfv%2F%2FHxDF%2BO5021pAnSA%3D%3D&amp;sprefix=torquimetro%2B3%2F8%2B20%2B-%2B80%2Bft%2Blb%2Caps%2C174&amp;sr=1-3-794806aa-f21d-47b5-a3ea-b60ce78b088a-spons&amp;sp_csd=d2lkZ2V0TmFtZT1zcF9zZWFyY2hfdGhlbW"&amp;"F0aWM&amp;th=1")</f>
        <v>https://www.amazon.com/dinamom%C3%A9trica-accionamiento-pulgadas-13-6-108-5-LX-182/dp/B07M68G49R/ref=sxin_16_pa_sp_search_thematic_sspa?content-id=amzn1.sym.06b0a375-029c-4241-a66c-6efb26e8829a%3Aamzn1.sym.06b0a375-029c-4241-a66c-6efb26e8829a&amp;crid=1NLT8FEO73OTL&amp;cv_ct_cx=torque%2Bwrench%2B3%2F8%E2%80%9D%2B20%2B-%2B80%2Bft%2Blb&amp;keywords=TORQUIMETRO%2B3%2F8%22%2B20%2B-%2B80%2BFT%2BLB&amp;pd_rd_i=B07M68G49R&amp;pd_rd_r=92531a98-7577-4a2d-b8a4-33a36b9ec263&amp;pd_rd_w=9S0zt&amp;pd_rd_wg=mG0hW&amp;pf_rd_p=06b0a375-029c-4241-a66c-6efb26e8829a&amp;pf_rd_r=8X0YBFPK5PJW10E55P9X&amp;qid=1759177549&amp;s=hi&amp;sbo=RZvfv%2F%2FHxDF%2BO5021pAnSA%3D%3D&amp;sprefix=torquimetro%2B3%2F8%2B20%2B-%2B80%2Bft%2Blb%2Caps%2C174&amp;sr=1-3-794806aa-f21d-47b5-a3ea-b60ce78b088a-spons&amp;sp_csd=d2lkZ2V0TmFtZT1zcF9zZWFyY2hfdGhlbWF0aWM&amp;th=1</v>
      </c>
      <c r="AA770" s="213" t="str">
        <f>IFERROR(__xludf.DUMMYFUNCTION("""COMPUTED_VALUE"""),"COM-302 TORQUIMETRO - CET")</f>
        <v>COM-302 TORQUIMETRO - CET</v>
      </c>
      <c r="AB770" s="213"/>
      <c r="AC770" s="213"/>
      <c r="AD770" s="213"/>
      <c r="AE770" s="213"/>
      <c r="AF770" s="213"/>
      <c r="AG770" s="213"/>
      <c r="AH770" s="213"/>
      <c r="AI770" s="213"/>
      <c r="AJ770" s="213"/>
      <c r="AK770" s="213"/>
      <c r="AL770" s="213"/>
      <c r="AM770" s="213"/>
      <c r="AN770" s="213"/>
      <c r="AO770" s="213"/>
      <c r="AP770" s="213" t="str">
        <f>IFERROR(__xludf.DUMMYFUNCTION("""COMPUTED_VALUE"""),"LUIS")</f>
        <v>LUIS</v>
      </c>
      <c r="AQ770" s="213"/>
      <c r="AR770" s="213"/>
      <c r="AS770" s="213"/>
      <c r="AT770" s="213"/>
      <c r="AU770" s="213"/>
      <c r="AV770" s="213"/>
      <c r="AW770" s="213"/>
      <c r="AX770" s="213"/>
      <c r="AY770" s="213"/>
      <c r="AZ770" s="213"/>
      <c r="BA770" s="213"/>
      <c r="BB770" s="213"/>
      <c r="BC770" s="213"/>
      <c r="BD770" s="213"/>
    </row>
    <row r="771">
      <c r="A771" s="213">
        <f>IFERROR(__xludf.DUMMYFUNCTION("""COMPUTED_VALUE"""),1037.0)</f>
        <v>1037</v>
      </c>
      <c r="B771" s="213" t="str">
        <f>IFERROR(__xludf.DUMMYFUNCTION("""COMPUTED_VALUE"""),"FRANCISCO IRAZOLA")</f>
        <v>FRANCISCO IRAZOLA</v>
      </c>
      <c r="C771" s="213" t="str">
        <f>IFERROR(__xludf.DUMMYFUNCTION("""COMPUTED_VALUE"""),"TALLER SFT DE MECÁNICA AUTOMOTRIZ")</f>
        <v>TALLER SFT DE MECÁNICA AUTOMOTRIZ</v>
      </c>
      <c r="D771" s="213" t="str">
        <f>IFERROR(__xludf.DUMMYFUNCTION("""COMPUTED_VALUE"""),"EQUIPOS")</f>
        <v>EQUIPOS</v>
      </c>
      <c r="E771" s="213" t="str">
        <f>IFERROR(__xludf.DUMMYFUNCTION("""COMPUTED_VALUE"""),"ESP-178")</f>
        <v>ESP-178</v>
      </c>
      <c r="F771" s="213" t="str">
        <f>IFERROR(__xludf.DUMMYFUNCTION("""COMPUTED_VALUE"""),"ESP-178")</f>
        <v>ESP-178</v>
      </c>
      <c r="G771" s="213"/>
      <c r="H771" s="213" t="str">
        <f>IFERROR(__xludf.DUMMYFUNCTION("""COMPUTED_VALUE"""),"GATO HIDRÁULICO TIPO LAGARTO")</f>
        <v>GATO HIDRÁULICO TIPO LAGARTO</v>
      </c>
      <c r="I771" s="213" t="str">
        <f>IFERROR(__xludf.DUMMYFUNCTION("""COMPUTED_VALUE"""),"· Capacidad: mínima de 2.7 toneladas.
· Construcción de acero.
· Longitud de chasis: mínimo 600 mm.
· Elevación mínima:  ≤ 140 mm.
· Elevación máxima: ≥ 500 mm.
· Posee ruedas para fácil manejo.
· Dimensiones L 80 x A20 x Hmax.60 – Hmin.15cm")</f>
        <v>· Capacidad: mínima de 2.7 toneladas.
· Construcción de acero.
· Longitud de chasis: mínimo 600 mm.
· Elevación mínima:  ≤ 140 mm.
· Elevación máxima: ≥ 500 mm.
· Posee ruedas para fácil manejo.
· Dimensiones L 80 x A20 x Hmax.60 – Hmin.15cm</v>
      </c>
      <c r="J771" s="213">
        <f>IFERROR(__xludf.DUMMYFUNCTION("""COMPUTED_VALUE"""),3.0)</f>
        <v>3</v>
      </c>
      <c r="K771" s="213" t="str">
        <f>IFERROR(__xludf.DUMMYFUNCTION("""COMPUTED_VALUE"""),"170 DÍAS CALENDARIO")</f>
        <v>170 DÍAS CALENDARIO</v>
      </c>
      <c r="L771" s="213" t="str">
        <f>IFERROR(__xludf.DUMMYFUNCTION("""COMPUTED_VALUE"""),"")</f>
        <v/>
      </c>
      <c r="M771" s="213">
        <f>IFERROR(__xludf.DUMMYFUNCTION("""COMPUTED_VALUE"""),1.0)</f>
        <v>1</v>
      </c>
      <c r="N771" s="213">
        <f>IFERROR(__xludf.DUMMYFUNCTION("""COMPUTED_VALUE"""),4.0)</f>
        <v>4</v>
      </c>
      <c r="O771" s="213">
        <f>IFERROR(__xludf.DUMMYFUNCTION("""COMPUTED_VALUE"""),4.0)</f>
        <v>4</v>
      </c>
      <c r="P771" s="213"/>
      <c r="Q771" s="213"/>
      <c r="R771" s="213"/>
      <c r="S771" s="213" t="str">
        <f>IFERROR(__xludf.DUMMYFUNCTION("""COMPUTED_VALUE"""),"SI")</f>
        <v>SI</v>
      </c>
      <c r="T771" s="213" t="str">
        <f>IFERROR(__xludf.DUMMYFUNCTION("""COMPUTED_VALUE"""),"SI")</f>
        <v>SI</v>
      </c>
      <c r="U771" s="213" t="str">
        <f>IFERROR(__xludf.DUMMYFUNCTION("""COMPUTED_VALUE"""),"SI")</f>
        <v>SI</v>
      </c>
      <c r="V771" s="213" t="str">
        <f>IFERROR(__xludf.DUMMYFUNCTION("""COMPUTED_VALUE"""),"-")</f>
        <v>-</v>
      </c>
      <c r="W771" s="213" t="str">
        <f>IFERROR(__xludf.DUMMYFUNCTION("""COMPUTED_VALUE"""),"-")</f>
        <v>-</v>
      </c>
      <c r="X771" s="213" t="str">
        <f>IFERROR(__xludf.DUMMYFUNCTION("""COMPUTED_VALUE"""),"TRUPER")</f>
        <v>TRUPER</v>
      </c>
      <c r="Y771" s="213" t="str">
        <f>IFERROR(__xludf.DUMMYFUNCTION("""COMPUTED_VALUE"""),"GAPRO-3.5PB")</f>
        <v>GAPRO-3.5PB</v>
      </c>
      <c r="Z771" s="215" t="str">
        <f>IFERROR(__xludf.DUMMYFUNCTION("""COMPUTED_VALUE"""),"https://prosinfer.com.pe/wp-content/uploads/2022/06/14802.pdf")</f>
        <v>https://prosinfer.com.pe/wp-content/uploads/2022/06/14802.pdf</v>
      </c>
      <c r="AA771" s="213" t="str">
        <f>IFERROR(__xludf.DUMMYFUNCTION("""COMPUTED_VALUE"""),"ESP-178 GATO HIDRÁULICO TIPO LAGARTO - CET")</f>
        <v>ESP-178 GATO HIDRÁULICO TIPO LAGARTO - CET</v>
      </c>
      <c r="AB771" s="213"/>
      <c r="AC771" s="215" t="str">
        <f>IFERROR(__xludf.DUMMYFUNCTION("""COMPUTED_VALUE"""),"https://drive.google.com/file/d/155-xOeI5dmYNBRhHpc3_W-OYIBFrxlzW/view")</f>
        <v>https://drive.google.com/file/d/155-xOeI5dmYNBRhHpc3_W-OYIBFrxlzW/view</v>
      </c>
      <c r="AD771" s="213"/>
      <c r="AE771" s="213"/>
      <c r="AF771" s="213"/>
      <c r="AG771" s="213"/>
      <c r="AH771" s="213" t="str">
        <f>IFERROR(__xludf.DUMMYFUNCTION("""COMPUTED_VALUE"""),"NACIONAL")</f>
        <v>NACIONAL</v>
      </c>
      <c r="AI771" s="213"/>
      <c r="AJ771" s="213"/>
      <c r="AK771" s="213"/>
      <c r="AL771" s="213"/>
      <c r="AM771" s="213"/>
      <c r="AN771" s="213"/>
      <c r="AO771" s="213"/>
      <c r="AP771" s="213" t="str">
        <f>IFERROR(__xludf.DUMMYFUNCTION("""COMPUTED_VALUE"""),"NALDI")</f>
        <v>NALDI</v>
      </c>
      <c r="AQ771" s="213"/>
      <c r="AR771" s="213"/>
      <c r="AS771" s="213"/>
      <c r="AT771" s="213"/>
      <c r="AU771" s="213"/>
      <c r="AV771" s="213"/>
      <c r="AW771" s="213"/>
      <c r="AX771" s="213"/>
      <c r="AY771" s="213"/>
      <c r="AZ771" s="213"/>
      <c r="BA771" s="213"/>
      <c r="BB771" s="213"/>
      <c r="BC771" s="213"/>
      <c r="BD771" s="213"/>
    </row>
    <row r="772">
      <c r="A772" s="213">
        <f>IFERROR(__xludf.DUMMYFUNCTION("""COMPUTED_VALUE"""),1642.0)</f>
        <v>1642</v>
      </c>
      <c r="B772" s="213" t="str">
        <f>IFERROR(__xludf.DUMMYFUNCTION("""COMPUTED_VALUE"""),"GUILLERMO E. BILLINGHURST ")</f>
        <v>GUILLERMO E. BILLINGHURST </v>
      </c>
      <c r="C772" s="213" t="str">
        <f>IFERROR(__xludf.DUMMYFUNCTION("""COMPUTED_VALUE"""),"TALLER SFT DE MECÁNICA AUTOMOTRIZ")</f>
        <v>TALLER SFT DE MECÁNICA AUTOMOTRIZ</v>
      </c>
      <c r="D772" s="213" t="str">
        <f>IFERROR(__xludf.DUMMYFUNCTION("""COMPUTED_VALUE"""),"EQUIPOS")</f>
        <v>EQUIPOS</v>
      </c>
      <c r="E772" s="213" t="str">
        <f>IFERROR(__xludf.DUMMYFUNCTION("""COMPUTED_VALUE"""),"ESP-178")</f>
        <v>ESP-178</v>
      </c>
      <c r="F772" s="213" t="str">
        <f>IFERROR(__xludf.DUMMYFUNCTION("""COMPUTED_VALUE"""),"ESP-178")</f>
        <v>ESP-178</v>
      </c>
      <c r="G772" s="213"/>
      <c r="H772" s="213" t="str">
        <f>IFERROR(__xludf.DUMMYFUNCTION("""COMPUTED_VALUE"""),"GATO HIDRÁULICO TIPO LAGARTO")</f>
        <v>GATO HIDRÁULICO TIPO LAGARTO</v>
      </c>
      <c r="I772" s="213" t="str">
        <f>IFERROR(__xludf.DUMMYFUNCTION("""COMPUTED_VALUE"""),"· Capacidad: mínima de 2.7 toneladas.
· Construcción de acero.
· Longitud de chasis: mínimo 600 mm.
· Elevación mínima:  ≤ 140 mm.
· Elevación máxima: ≥ 500 mm.
· Posee ruedas para fácil manejo.
· Dimensiones L 80 x A20 x Hmax.60 – Hmin.15cm")</f>
        <v>· Capacidad: mínima de 2.7 toneladas.
· Construcción de acero.
· Longitud de chasis: mínimo 600 mm.
· Elevación mínima:  ≤ 140 mm.
· Elevación máxima: ≥ 500 mm.
· Posee ruedas para fácil manejo.
· Dimensiones L 80 x A20 x Hmax.60 – Hmin.15cm</v>
      </c>
      <c r="J772" s="213">
        <f>IFERROR(__xludf.DUMMYFUNCTION("""COMPUTED_VALUE"""),3.0)</f>
        <v>3</v>
      </c>
      <c r="K772" s="213" t="str">
        <f>IFERROR(__xludf.DUMMYFUNCTION("""COMPUTED_VALUE"""),"170 DÍAS CALENDARIO")</f>
        <v>170 DÍAS CALENDARIO</v>
      </c>
      <c r="L772" s="213" t="str">
        <f>IFERROR(__xludf.DUMMYFUNCTION("""COMPUTED_VALUE"""),"")</f>
        <v/>
      </c>
      <c r="M772" s="213">
        <f>IFERROR(__xludf.DUMMYFUNCTION("""COMPUTED_VALUE"""),1.0)</f>
        <v>1</v>
      </c>
      <c r="N772" s="213">
        <f>IFERROR(__xludf.DUMMYFUNCTION("""COMPUTED_VALUE"""),4.0)</f>
        <v>4</v>
      </c>
      <c r="O772" s="213">
        <f>IFERROR(__xludf.DUMMYFUNCTION("""COMPUTED_VALUE"""),4.0)</f>
        <v>4</v>
      </c>
      <c r="P772" s="213"/>
      <c r="Q772" s="213"/>
      <c r="R772" s="213"/>
      <c r="S772" s="213" t="str">
        <f>IFERROR(__xludf.DUMMYFUNCTION("""COMPUTED_VALUE"""),"SI")</f>
        <v>SI</v>
      </c>
      <c r="T772" s="213" t="str">
        <f>IFERROR(__xludf.DUMMYFUNCTION("""COMPUTED_VALUE"""),"SI")</f>
        <v>SI</v>
      </c>
      <c r="U772" s="213" t="str">
        <f>IFERROR(__xludf.DUMMYFUNCTION("""COMPUTED_VALUE"""),"SI")</f>
        <v>SI</v>
      </c>
      <c r="V772" s="213" t="str">
        <f>IFERROR(__xludf.DUMMYFUNCTION("""COMPUTED_VALUE"""),"-")</f>
        <v>-</v>
      </c>
      <c r="W772" s="213" t="str">
        <f>IFERROR(__xludf.DUMMYFUNCTION("""COMPUTED_VALUE"""),"-")</f>
        <v>-</v>
      </c>
      <c r="X772" s="213" t="str">
        <f>IFERROR(__xludf.DUMMYFUNCTION("""COMPUTED_VALUE"""),"TRUPER")</f>
        <v>TRUPER</v>
      </c>
      <c r="Y772" s="213" t="str">
        <f>IFERROR(__xludf.DUMMYFUNCTION("""COMPUTED_VALUE"""),"GAPRO-3.5PB")</f>
        <v>GAPRO-3.5PB</v>
      </c>
      <c r="Z772" s="215" t="str">
        <f>IFERROR(__xludf.DUMMYFUNCTION("""COMPUTED_VALUE"""),"https://prosinfer.com.pe/wp-content/uploads/2022/06/14802.pdf")</f>
        <v>https://prosinfer.com.pe/wp-content/uploads/2022/06/14802.pdf</v>
      </c>
      <c r="AA772" s="213" t="str">
        <f>IFERROR(__xludf.DUMMYFUNCTION("""COMPUTED_VALUE"""),"ESP-178 GATO HIDRÁULICO TIPO LAGARTO - CET")</f>
        <v>ESP-178 GATO HIDRÁULICO TIPO LAGARTO - CET</v>
      </c>
      <c r="AB772" s="213"/>
      <c r="AC772" s="215" t="str">
        <f>IFERROR(__xludf.DUMMYFUNCTION("""COMPUTED_VALUE"""),"https://drive.google.com/file/d/155-xOeI5dmYNBRhHpc3_W-OYIBFrxlzW/view")</f>
        <v>https://drive.google.com/file/d/155-xOeI5dmYNBRhHpc3_W-OYIBFrxlzW/view</v>
      </c>
      <c r="AD772" s="213"/>
      <c r="AE772" s="213"/>
      <c r="AF772" s="213"/>
      <c r="AG772" s="213"/>
      <c r="AH772" s="213" t="str">
        <f>IFERROR(__xludf.DUMMYFUNCTION("""COMPUTED_VALUE"""),"NACIONAL")</f>
        <v>NACIONAL</v>
      </c>
      <c r="AI772" s="213"/>
      <c r="AJ772" s="213"/>
      <c r="AK772" s="213"/>
      <c r="AL772" s="213"/>
      <c r="AM772" s="213"/>
      <c r="AN772" s="213"/>
      <c r="AO772" s="213"/>
      <c r="AP772" s="213" t="str">
        <f>IFERROR(__xludf.DUMMYFUNCTION("""COMPUTED_VALUE"""),"NALDI")</f>
        <v>NALDI</v>
      </c>
      <c r="AQ772" s="213"/>
      <c r="AR772" s="213"/>
      <c r="AS772" s="213"/>
      <c r="AT772" s="213"/>
      <c r="AU772" s="213"/>
      <c r="AV772" s="213"/>
      <c r="AW772" s="213"/>
      <c r="AX772" s="213"/>
      <c r="AY772" s="213"/>
      <c r="AZ772" s="213"/>
      <c r="BA772" s="213"/>
      <c r="BB772" s="213"/>
      <c r="BC772" s="213"/>
      <c r="BD772" s="213"/>
    </row>
    <row r="773">
      <c r="A773" s="213">
        <f>IFERROR(__xludf.DUMMYFUNCTION("""COMPUTED_VALUE"""),2333.0)</f>
        <v>2333</v>
      </c>
      <c r="B773" s="213" t="str">
        <f>IFERROR(__xludf.DUMMYFUNCTION("""COMPUTED_VALUE"""),"JOSE GRANDA")</f>
        <v>JOSE GRANDA</v>
      </c>
      <c r="C773" s="213" t="str">
        <f>IFERROR(__xludf.DUMMYFUNCTION("""COMPUTED_VALUE"""),"TALLER SFT DE MECÁNICA AUTOMOTRIZ")</f>
        <v>TALLER SFT DE MECÁNICA AUTOMOTRIZ</v>
      </c>
      <c r="D773" s="213" t="str">
        <f>IFERROR(__xludf.DUMMYFUNCTION("""COMPUTED_VALUE"""),"EQUIPOS")</f>
        <v>EQUIPOS</v>
      </c>
      <c r="E773" s="213" t="str">
        <f>IFERROR(__xludf.DUMMYFUNCTION("""COMPUTED_VALUE"""),"ESP-178")</f>
        <v>ESP-178</v>
      </c>
      <c r="F773" s="213" t="str">
        <f>IFERROR(__xludf.DUMMYFUNCTION("""COMPUTED_VALUE"""),"ESP-178")</f>
        <v>ESP-178</v>
      </c>
      <c r="G773" s="213"/>
      <c r="H773" s="213" t="str">
        <f>IFERROR(__xludf.DUMMYFUNCTION("""COMPUTED_VALUE"""),"GATO HIDRÁULICO TIPO LAGARTO")</f>
        <v>GATO HIDRÁULICO TIPO LAGARTO</v>
      </c>
      <c r="I773" s="213" t="str">
        <f>IFERROR(__xludf.DUMMYFUNCTION("""COMPUTED_VALUE"""),"· Capacidad: mínima de 2.7 toneladas.
· Construcción de acero.
· Longitud de chasis: mínimo 600 mm.
· Elevación mínima:  ≤ 140 mm.
· Elevación máxima: ≥ 500 mm.
· Posee ruedas para fácil manejo.
· Dimensiones L 80 x A20 x Hmax.60 – Hmin.15cm")</f>
        <v>· Capacidad: mínima de 2.7 toneladas.
· Construcción de acero.
· Longitud de chasis: mínimo 600 mm.
· Elevación mínima:  ≤ 140 mm.
· Elevación máxima: ≥ 500 mm.
· Posee ruedas para fácil manejo.
· Dimensiones L 80 x A20 x Hmax.60 – Hmin.15cm</v>
      </c>
      <c r="J773" s="213">
        <f>IFERROR(__xludf.DUMMYFUNCTION("""COMPUTED_VALUE"""),3.0)</f>
        <v>3</v>
      </c>
      <c r="K773" s="213" t="str">
        <f>IFERROR(__xludf.DUMMYFUNCTION("""COMPUTED_VALUE"""),"170 DÍAS CALENDARIO")</f>
        <v>170 DÍAS CALENDARIO</v>
      </c>
      <c r="L773" s="213" t="str">
        <f>IFERROR(__xludf.DUMMYFUNCTION("""COMPUTED_VALUE"""),"")</f>
        <v/>
      </c>
      <c r="M773" s="213">
        <f>IFERROR(__xludf.DUMMYFUNCTION("""COMPUTED_VALUE"""),1.0)</f>
        <v>1</v>
      </c>
      <c r="N773" s="213">
        <f>IFERROR(__xludf.DUMMYFUNCTION("""COMPUTED_VALUE"""),4.0)</f>
        <v>4</v>
      </c>
      <c r="O773" s="213">
        <f>IFERROR(__xludf.DUMMYFUNCTION("""COMPUTED_VALUE"""),4.0)</f>
        <v>4</v>
      </c>
      <c r="P773" s="213"/>
      <c r="Q773" s="213"/>
      <c r="R773" s="213"/>
      <c r="S773" s="213" t="str">
        <f>IFERROR(__xludf.DUMMYFUNCTION("""COMPUTED_VALUE"""),"SI")</f>
        <v>SI</v>
      </c>
      <c r="T773" s="213" t="str">
        <f>IFERROR(__xludf.DUMMYFUNCTION("""COMPUTED_VALUE"""),"SI")</f>
        <v>SI</v>
      </c>
      <c r="U773" s="213" t="str">
        <f>IFERROR(__xludf.DUMMYFUNCTION("""COMPUTED_VALUE"""),"SI")</f>
        <v>SI</v>
      </c>
      <c r="V773" s="213" t="str">
        <f>IFERROR(__xludf.DUMMYFUNCTION("""COMPUTED_VALUE"""),"-")</f>
        <v>-</v>
      </c>
      <c r="W773" s="213" t="str">
        <f>IFERROR(__xludf.DUMMYFUNCTION("""COMPUTED_VALUE"""),"-")</f>
        <v>-</v>
      </c>
      <c r="X773" s="213" t="str">
        <f>IFERROR(__xludf.DUMMYFUNCTION("""COMPUTED_VALUE"""),"TRUPER")</f>
        <v>TRUPER</v>
      </c>
      <c r="Y773" s="213" t="str">
        <f>IFERROR(__xludf.DUMMYFUNCTION("""COMPUTED_VALUE"""),"GAPRO-3.5PB")</f>
        <v>GAPRO-3.5PB</v>
      </c>
      <c r="Z773" s="215" t="str">
        <f>IFERROR(__xludf.DUMMYFUNCTION("""COMPUTED_VALUE"""),"https://prosinfer.com.pe/wp-content/uploads/2022/06/14802.pdf")</f>
        <v>https://prosinfer.com.pe/wp-content/uploads/2022/06/14802.pdf</v>
      </c>
      <c r="AA773" s="213" t="str">
        <f>IFERROR(__xludf.DUMMYFUNCTION("""COMPUTED_VALUE"""),"ESP-178 GATO HIDRÁULICO TIPO LAGARTO - CET")</f>
        <v>ESP-178 GATO HIDRÁULICO TIPO LAGARTO - CET</v>
      </c>
      <c r="AB773" s="213"/>
      <c r="AC773" s="215" t="str">
        <f>IFERROR(__xludf.DUMMYFUNCTION("""COMPUTED_VALUE"""),"https://drive.google.com/file/d/155-xOeI5dmYNBRhHpc3_W-OYIBFrxlzW/view")</f>
        <v>https://drive.google.com/file/d/155-xOeI5dmYNBRhHpc3_W-OYIBFrxlzW/view</v>
      </c>
      <c r="AD773" s="213"/>
      <c r="AE773" s="213"/>
      <c r="AF773" s="213"/>
      <c r="AG773" s="213"/>
      <c r="AH773" s="213" t="str">
        <f>IFERROR(__xludf.DUMMYFUNCTION("""COMPUTED_VALUE"""),"NACIONAL")</f>
        <v>NACIONAL</v>
      </c>
      <c r="AI773" s="213"/>
      <c r="AJ773" s="213"/>
      <c r="AK773" s="213"/>
      <c r="AL773" s="213"/>
      <c r="AM773" s="213"/>
      <c r="AN773" s="213"/>
      <c r="AO773" s="213"/>
      <c r="AP773" s="213" t="str">
        <f>IFERROR(__xludf.DUMMYFUNCTION("""COMPUTED_VALUE"""),"NALDI")</f>
        <v>NALDI</v>
      </c>
      <c r="AQ773" s="213"/>
      <c r="AR773" s="213"/>
      <c r="AS773" s="213"/>
      <c r="AT773" s="213"/>
      <c r="AU773" s="213"/>
      <c r="AV773" s="213"/>
      <c r="AW773" s="213"/>
      <c r="AX773" s="213"/>
      <c r="AY773" s="213"/>
      <c r="AZ773" s="213"/>
      <c r="BA773" s="213"/>
      <c r="BB773" s="213"/>
      <c r="BC773" s="213"/>
      <c r="BD773" s="213"/>
    </row>
    <row r="774">
      <c r="A774" s="213">
        <f>IFERROR(__xludf.DUMMYFUNCTION("""COMPUTED_VALUE"""),692.0)</f>
        <v>692</v>
      </c>
      <c r="B774" s="213" t="str">
        <f>IFERROR(__xludf.DUMMYFUNCTION("""COMPUTED_VALUE"""),"6049 RICARDO PALMA")</f>
        <v>6049 RICARDO PALMA</v>
      </c>
      <c r="C774" s="213" t="str">
        <f>IFERROR(__xludf.DUMMYFUNCTION("""COMPUTED_VALUE"""),"TALLER SFT DE ELECTRÓNICA")</f>
        <v>TALLER SFT DE ELECTRÓNICA</v>
      </c>
      <c r="D774" s="213" t="str">
        <f>IFERROR(__xludf.DUMMYFUNCTION("""COMPUTED_VALUE"""),"EQUIPOS")</f>
        <v>EQUIPOS</v>
      </c>
      <c r="E774" s="213" t="str">
        <f>IFERROR(__xludf.DUMMYFUNCTION("""COMPUTED_VALUE"""),"ESP-180")</f>
        <v>ESP-180</v>
      </c>
      <c r="F774" s="213" t="str">
        <f>IFERROR(__xludf.DUMMYFUNCTION("""COMPUTED_VALUE"""),"ESP-180")</f>
        <v>ESP-180</v>
      </c>
      <c r="G774" s="213"/>
      <c r="H774" s="213" t="str">
        <f>IFERROR(__xludf.DUMMYFUNCTION("""COMPUTED_VALUE"""),"GENERADOR DE SEÑALES ANALÓGICAS Y DIGITALES")</f>
        <v>GENERADOR DE SEÑALES ANALÓGICAS Y DIGITALES</v>
      </c>
      <c r="I774" s="213" t="str">
        <f>IFERROR(__xludf.DUMMYFUNCTION("""COMPUTED_VALUE"""),"· Generador de ondas arbitrarias de doble canal.
· Salida de frecuencia: mínimo 25 MHz.
· Frecuencia de muestreo: mínimo 125 MS/s.
· Formas de onda mínimo: seno, cuadrado, pulso, rampa y ruido.
· Amplitud: 1 mVpp a 10 Vpp.
· Resolución del rango de despla"&amp;"zamiento de DC: +5 V (50Ω), +10 V (alta impedancia)
· Con memoria no volátil.
· Modulación de la forma de onda: AM, FM, FSK, barrido y ráfaga.
· Pantalla LCD de mínimo: 3.95"" (480 x 320 pixeles)
· Interface de comunicación: Puerto USB
· Voltaje, frecuenc"&amp;"ia: 220 V, 60 Hz
· Incluye cables para pruebas.")</f>
        <v>· Generador de ondas arbitrarias de doble canal.
· Salida de frecuencia: mínimo 25 MHz.
· Frecuencia de muestreo: mínimo 125 MS/s.
· Formas de onda mínimo: seno, cuadrado, pulso, rampa y ruido.
· Amplitud: 1 mVpp a 10 Vpp.
· Resolución del rango de desplazamiento de DC: +5 V (50Ω), +10 V (alta impedancia)
· Con memoria no volátil.
· Modulación de la forma de onda: AM, FM, FSK, barrido y ráfaga.
· Pantalla LCD de mínimo: 3.95" (480 x 320 pixeles)
· Interface de comunicación: Puerto USB
· Voltaje, frecuencia: 220 V, 60 Hz
· Incluye cables para pruebas.</v>
      </c>
      <c r="J774" s="213">
        <f>IFERROR(__xludf.DUMMYFUNCTION("""COMPUTED_VALUE"""),3.0)</f>
        <v>3</v>
      </c>
      <c r="K774" s="213" t="str">
        <f>IFERROR(__xludf.DUMMYFUNCTION("""COMPUTED_VALUE"""),"170 DÍAS CALENDARIO")</f>
        <v>170 DÍAS CALENDARIO</v>
      </c>
      <c r="L774" s="213" t="str">
        <f>IFERROR(__xludf.DUMMYFUNCTION("""COMPUTED_VALUE"""),"")</f>
        <v/>
      </c>
      <c r="M774" s="213">
        <f>IFERROR(__xludf.DUMMYFUNCTION("""COMPUTED_VALUE"""),1.0)</f>
        <v>1</v>
      </c>
      <c r="N774" s="213">
        <f>IFERROR(__xludf.DUMMYFUNCTION("""COMPUTED_VALUE"""),4.0)</f>
        <v>4</v>
      </c>
      <c r="O774" s="213">
        <f>IFERROR(__xludf.DUMMYFUNCTION("""COMPUTED_VALUE"""),4.0)</f>
        <v>4</v>
      </c>
      <c r="P774" s="213"/>
      <c r="Q774" s="213"/>
      <c r="R774" s="213"/>
      <c r="S774" s="213" t="str">
        <f>IFERROR(__xludf.DUMMYFUNCTION("""COMPUTED_VALUE"""),"SI")</f>
        <v>SI</v>
      </c>
      <c r="T774" s="213" t="str">
        <f>IFERROR(__xludf.DUMMYFUNCTION("""COMPUTED_VALUE"""),"SI")</f>
        <v>SI</v>
      </c>
      <c r="U774" s="213" t="str">
        <f>IFERROR(__xludf.DUMMYFUNCTION("""COMPUTED_VALUE"""),"SI")</f>
        <v>SI</v>
      </c>
      <c r="V774" s="213" t="str">
        <f>IFERROR(__xludf.DUMMYFUNCTION("""COMPUTED_VALUE"""),"-")</f>
        <v>-</v>
      </c>
      <c r="W774" s="213" t="str">
        <f>IFERROR(__xludf.DUMMYFUNCTION("""COMPUTED_VALUE"""),"-")</f>
        <v>-</v>
      </c>
      <c r="X774" s="213" t="str">
        <f>IFERROR(__xludf.DUMMYFUNCTION("""COMPUTED_VALUE"""),"Owon")</f>
        <v>Owon</v>
      </c>
      <c r="Y774" s="213" t="str">
        <f>IFERROR(__xludf.DUMMYFUNCTION("""COMPUTED_VALUE"""),"AG1012")</f>
        <v>AG1012</v>
      </c>
      <c r="Z774" s="215" t="str">
        <f>IFERROR(__xludf.DUMMYFUNCTION("""COMPUTED_VALUE"""),"https://www.amazon.com/-/es/Generador-arbitraria-Frecuencia-muestreo-Longitud/dp/B0CL2LS689?th=1")</f>
        <v>https://www.amazon.com/-/es/Generador-arbitraria-Frecuencia-muestreo-Longitud/dp/B0CL2LS689?th=1</v>
      </c>
      <c r="AA774" s="213" t="str">
        <f>IFERROR(__xludf.DUMMYFUNCTION("""COMPUTED_VALUE"""),"ESP-180 GENERADOR DE SEÑALES ANALÓGICAS Y DIGITALES - CET")</f>
        <v>ESP-180 GENERADOR DE SEÑALES ANALÓGICAS Y DIGITALES - CET</v>
      </c>
      <c r="AB774" s="215" t="str">
        <f>IFERROR(__xludf.DUMMYFUNCTION("""COMPUTED_VALUE"""),"https://drive.google.com/file/d/1ZWM1FpHCJvZmi7gTeAWpyElDb2rqXWqu/view")</f>
        <v>https://drive.google.com/file/d/1ZWM1FpHCJvZmi7gTeAWpyElDb2rqXWqu/view</v>
      </c>
      <c r="AC774" s="213"/>
      <c r="AD774" s="213"/>
      <c r="AE774" s="213"/>
      <c r="AF774" s="213"/>
      <c r="AG774" s="213"/>
      <c r="AH774" s="213"/>
      <c r="AI774" s="213"/>
      <c r="AJ774" s="213"/>
      <c r="AK774" s="213"/>
      <c r="AL774" s="213"/>
      <c r="AM774" s="213"/>
      <c r="AN774" s="213"/>
      <c r="AO774" s="213"/>
      <c r="AP774" s="213" t="str">
        <f>IFERROR(__xludf.DUMMYFUNCTION("""COMPUTED_VALUE"""),"BRUNO")</f>
        <v>BRUNO</v>
      </c>
      <c r="AQ774" s="213"/>
      <c r="AR774" s="213"/>
      <c r="AS774" s="213"/>
      <c r="AT774" s="213"/>
      <c r="AU774" s="213"/>
      <c r="AV774" s="213"/>
      <c r="AW774" s="213"/>
      <c r="AX774" s="213"/>
      <c r="AY774" s="213"/>
      <c r="AZ774" s="213"/>
      <c r="BA774" s="213"/>
      <c r="BB774" s="213"/>
      <c r="BC774" s="213"/>
      <c r="BD774" s="213"/>
    </row>
    <row r="775">
      <c r="A775" s="213">
        <f>IFERROR(__xludf.DUMMYFUNCTION("""COMPUTED_VALUE"""),1571.0)</f>
        <v>1571</v>
      </c>
      <c r="B775" s="213" t="str">
        <f>IFERROR(__xludf.DUMMYFUNCTION("""COMPUTED_VALUE"""),"GUILLERMO E. BILLINGHURST ")</f>
        <v>GUILLERMO E. BILLINGHURST </v>
      </c>
      <c r="C775" s="213" t="str">
        <f>IFERROR(__xludf.DUMMYFUNCTION("""COMPUTED_VALUE"""),"TALLER SFT DE MECÁNICA AUTOMOTRIZ")</f>
        <v>TALLER SFT DE MECÁNICA AUTOMOTRIZ</v>
      </c>
      <c r="D775" s="213" t="str">
        <f>IFERROR(__xludf.DUMMYFUNCTION("""COMPUTED_VALUE"""),"HERRAMIENTAS")</f>
        <v>HERRAMIENTAS</v>
      </c>
      <c r="E775" s="213" t="str">
        <f>IFERROR(__xludf.DUMMYFUNCTION("""COMPUTED_VALUE"""),"COM-302")</f>
        <v>COM-302</v>
      </c>
      <c r="F775" s="213" t="str">
        <f>IFERROR(__xludf.DUMMYFUNCTION("""COMPUTED_VALUE"""),"COM-302")</f>
        <v>COM-302</v>
      </c>
      <c r="G775" s="213"/>
      <c r="H775" s="213" t="str">
        <f>IFERROR(__xludf.DUMMYFUNCTION("""COMPUTED_VALUE"""),"TORQUÍMETRO")</f>
        <v>TORQUÍMETRO</v>
      </c>
      <c r="I775" s="213" t="str">
        <f>IFERROR(__xludf.DUMMYFUNCTION("""COMPUTED_VALUE"""),"Llave de torque ajustable. Diseñada para trabajo profesional. Encastre de: 3/8""
Rango de trabajo: entre 20 - 80 ft-lb Longitud mínima: 38 cm
Sistema de click (al sentir el click, significa que llego al torque deseado).")</f>
        <v>Llave de torque ajustable. Diseñada para trabajo profesional. Encastre de: 3/8"
Rango de trabajo: entre 20 - 80 ft-lb Longitud mínima: 38 cm
Sistema de click (al sentir el click, significa que llego al torque deseado).</v>
      </c>
      <c r="J775" s="213">
        <f>IFERROR(__xludf.DUMMYFUNCTION("""COMPUTED_VALUE"""),3.0)</f>
        <v>3</v>
      </c>
      <c r="K775" s="213" t="str">
        <f>IFERROR(__xludf.DUMMYFUNCTION("""COMPUTED_VALUE"""),"90 DÍAS CALENDARIO")</f>
        <v>90 DÍAS CALENDARIO</v>
      </c>
      <c r="L775" s="213" t="str">
        <f>IFERROR(__xludf.DUMMYFUNCTION("""COMPUTED_VALUE"""),"")</f>
        <v/>
      </c>
      <c r="M775" s="213">
        <f>IFERROR(__xludf.DUMMYFUNCTION("""COMPUTED_VALUE"""),1.0)</f>
        <v>1</v>
      </c>
      <c r="N775" s="213">
        <f>IFERROR(__xludf.DUMMYFUNCTION("""COMPUTED_VALUE"""),1.0)</f>
        <v>1</v>
      </c>
      <c r="O775" s="213">
        <f>IFERROR(__xludf.DUMMYFUNCTION("""COMPUTED_VALUE"""),1.0)</f>
        <v>1</v>
      </c>
      <c r="P775" s="213"/>
      <c r="Q775" s="213"/>
      <c r="R775" s="213" t="str">
        <f>IFERROR(__xludf.DUMMYFUNCTION("""COMPUTED_VALUE"""),"SI")</f>
        <v>SI</v>
      </c>
      <c r="S775" s="213"/>
      <c r="T775" s="213" t="str">
        <f>IFERROR(__xludf.DUMMYFUNCTION("""COMPUTED_VALUE"""),"SI")</f>
        <v>SI</v>
      </c>
      <c r="U775" s="213" t="str">
        <f>IFERROR(__xludf.DUMMYFUNCTION("""COMPUTED_VALUE"""),"SI")</f>
        <v>SI</v>
      </c>
      <c r="V775" s="213" t="str">
        <f>IFERROR(__xludf.DUMMYFUNCTION("""COMPUTED_VALUE"""),"-")</f>
        <v>-</v>
      </c>
      <c r="W775" s="213" t="str">
        <f>IFERROR(__xludf.DUMMYFUNCTION("""COMPUTED_VALUE"""),"-")</f>
        <v>-</v>
      </c>
      <c r="X775" s="213" t="str">
        <f>IFERROR(__xludf.DUMMYFUNCTION("""COMPUTED_VALUE"""),"LEXIVON")</f>
        <v>LEXIVON</v>
      </c>
      <c r="Y775" s="213" t="str">
        <f>IFERROR(__xludf.DUMMYFUNCTION("""COMPUTED_VALUE"""),"LX-182")</f>
        <v>LX-182</v>
      </c>
      <c r="Z775" s="215" t="str">
        <f>IFERROR(__xludf.DUMMYFUNCTION("""COMPUTED_VALUE"""),"https://www.amazon.com/dinamom%C3%A9trica-accionamiento-pulgadas-13-6-108-5-LX-182/dp/B07M68G49R/ref=sxin_16_pa_sp_search_thematic_sspa?content-id=amzn1.sym.06b0a375-029c-4241-a66c-6efb26e8829a%3Aamzn1.sym.06b0a375-029c-4241-a66c-6efb26e8829a&amp;crid=1NLT8FE"&amp;"O73OTL&amp;cv_ct_cx=torque%2Bwrench%2B3%2F8%E2%80%9D%2B20%2B-%2B80%2Bft%2Blb&amp;keywords=TORQUIMETRO%2B3%2F8%22%2B20%2B-%2B80%2BFT%2BLB&amp;pd_rd_i=B07M68G49R&amp;pd_rd_r=92531a98-7577-4a2d-b8a4-33a36b9ec263&amp;pd_rd_w=9S0zt&amp;pd_rd_wg=mG0hW&amp;pf_rd_p=06b0a375-029c-4241-a66c-6"&amp;"efb26e8829a&amp;pf_rd_r=8X0YBFPK5PJW10E55P9X&amp;qid=1759177549&amp;s=hi&amp;sbo=RZvfv%2F%2FHxDF%2BO5021pAnSA%3D%3D&amp;sprefix=torquimetro%2B3%2F8%2B20%2B-%2B80%2Bft%2Blb%2Caps%2C174&amp;sr=1-3-794806aa-f21d-47b5-a3ea-b60ce78b088a-spons&amp;sp_csd=d2lkZ2V0TmFtZT1zcF9zZWFyY2hfdGhlbW"&amp;"F0aWM&amp;th=1")</f>
        <v>https://www.amazon.com/dinamom%C3%A9trica-accionamiento-pulgadas-13-6-108-5-LX-182/dp/B07M68G49R/ref=sxin_16_pa_sp_search_thematic_sspa?content-id=amzn1.sym.06b0a375-029c-4241-a66c-6efb26e8829a%3Aamzn1.sym.06b0a375-029c-4241-a66c-6efb26e8829a&amp;crid=1NLT8FEO73OTL&amp;cv_ct_cx=torque%2Bwrench%2B3%2F8%E2%80%9D%2B20%2B-%2B80%2Bft%2Blb&amp;keywords=TORQUIMETRO%2B3%2F8%22%2B20%2B-%2B80%2BFT%2BLB&amp;pd_rd_i=B07M68G49R&amp;pd_rd_r=92531a98-7577-4a2d-b8a4-33a36b9ec263&amp;pd_rd_w=9S0zt&amp;pd_rd_wg=mG0hW&amp;pf_rd_p=06b0a375-029c-4241-a66c-6efb26e8829a&amp;pf_rd_r=8X0YBFPK5PJW10E55P9X&amp;qid=1759177549&amp;s=hi&amp;sbo=RZvfv%2F%2FHxDF%2BO5021pAnSA%3D%3D&amp;sprefix=torquimetro%2B3%2F8%2B20%2B-%2B80%2Bft%2Blb%2Caps%2C174&amp;sr=1-3-794806aa-f21d-47b5-a3ea-b60ce78b088a-spons&amp;sp_csd=d2lkZ2V0TmFtZT1zcF9zZWFyY2hfdGhlbWF0aWM&amp;th=1</v>
      </c>
      <c r="AA775" s="213" t="str">
        <f>IFERROR(__xludf.DUMMYFUNCTION("""COMPUTED_VALUE"""),"COM-302 TORQUIMETRO - CET")</f>
        <v>COM-302 TORQUIMETRO - CET</v>
      </c>
      <c r="AB775" s="213"/>
      <c r="AC775" s="213"/>
      <c r="AD775" s="213"/>
      <c r="AE775" s="213"/>
      <c r="AF775" s="213"/>
      <c r="AG775" s="213"/>
      <c r="AH775" s="213"/>
      <c r="AI775" s="213"/>
      <c r="AJ775" s="213"/>
      <c r="AK775" s="213"/>
      <c r="AL775" s="213"/>
      <c r="AM775" s="213"/>
      <c r="AN775" s="213"/>
      <c r="AO775" s="213"/>
      <c r="AP775" s="213" t="str">
        <f>IFERROR(__xludf.DUMMYFUNCTION("""COMPUTED_VALUE"""),"LUIS")</f>
        <v>LUIS</v>
      </c>
      <c r="AQ775" s="213"/>
      <c r="AR775" s="213"/>
      <c r="AS775" s="213"/>
      <c r="AT775" s="213"/>
      <c r="AU775" s="213"/>
      <c r="AV775" s="213"/>
      <c r="AW775" s="213"/>
      <c r="AX775" s="213"/>
      <c r="AY775" s="213"/>
      <c r="AZ775" s="213"/>
      <c r="BA775" s="213"/>
      <c r="BB775" s="213"/>
      <c r="BC775" s="213"/>
      <c r="BD775" s="213"/>
    </row>
    <row r="776">
      <c r="A776" s="213">
        <f>IFERROR(__xludf.DUMMYFUNCTION("""COMPUTED_VALUE"""),2263.0)</f>
        <v>2263</v>
      </c>
      <c r="B776" s="213" t="str">
        <f>IFERROR(__xludf.DUMMYFUNCTION("""COMPUTED_VALUE"""),"JOSE GRANDA")</f>
        <v>JOSE GRANDA</v>
      </c>
      <c r="C776" s="213" t="str">
        <f>IFERROR(__xludf.DUMMYFUNCTION("""COMPUTED_VALUE"""),"TALLER SFT DE MECÁNICA AUTOMOTRIZ")</f>
        <v>TALLER SFT DE MECÁNICA AUTOMOTRIZ</v>
      </c>
      <c r="D776" s="213" t="str">
        <f>IFERROR(__xludf.DUMMYFUNCTION("""COMPUTED_VALUE"""),"HERRAMIENTAS")</f>
        <v>HERRAMIENTAS</v>
      </c>
      <c r="E776" s="213" t="str">
        <f>IFERROR(__xludf.DUMMYFUNCTION("""COMPUTED_VALUE"""),"COM-302")</f>
        <v>COM-302</v>
      </c>
      <c r="F776" s="213" t="str">
        <f>IFERROR(__xludf.DUMMYFUNCTION("""COMPUTED_VALUE"""),"COM-302")</f>
        <v>COM-302</v>
      </c>
      <c r="G776" s="213"/>
      <c r="H776" s="213" t="str">
        <f>IFERROR(__xludf.DUMMYFUNCTION("""COMPUTED_VALUE"""),"TORQUÍMETRO")</f>
        <v>TORQUÍMETRO</v>
      </c>
      <c r="I776" s="213" t="str">
        <f>IFERROR(__xludf.DUMMYFUNCTION("""COMPUTED_VALUE"""),"Llave de torque ajustable. Diseñada para trabajo profesional. Encastre de: 3/8""
Rango de trabajo: entre 20 - 80 ft-lb Longitud mínima: 38 cm
Sistema de click (al sentir el click, significa que llego al torque deseado).")</f>
        <v>Llave de torque ajustable. Diseñada para trabajo profesional. Encastre de: 3/8"
Rango de trabajo: entre 20 - 80 ft-lb Longitud mínima: 38 cm
Sistema de click (al sentir el click, significa que llego al torque deseado).</v>
      </c>
      <c r="J776" s="213">
        <f>IFERROR(__xludf.DUMMYFUNCTION("""COMPUTED_VALUE"""),3.0)</f>
        <v>3</v>
      </c>
      <c r="K776" s="213" t="str">
        <f>IFERROR(__xludf.DUMMYFUNCTION("""COMPUTED_VALUE"""),"90 DÍAS CALENDARIO")</f>
        <v>90 DÍAS CALENDARIO</v>
      </c>
      <c r="L776" s="213" t="str">
        <f>IFERROR(__xludf.DUMMYFUNCTION("""COMPUTED_VALUE"""),"")</f>
        <v/>
      </c>
      <c r="M776" s="213">
        <f>IFERROR(__xludf.DUMMYFUNCTION("""COMPUTED_VALUE"""),1.0)</f>
        <v>1</v>
      </c>
      <c r="N776" s="213">
        <f>IFERROR(__xludf.DUMMYFUNCTION("""COMPUTED_VALUE"""),1.0)</f>
        <v>1</v>
      </c>
      <c r="O776" s="213">
        <f>IFERROR(__xludf.DUMMYFUNCTION("""COMPUTED_VALUE"""),1.0)</f>
        <v>1</v>
      </c>
      <c r="P776" s="213"/>
      <c r="Q776" s="213"/>
      <c r="R776" s="213" t="str">
        <f>IFERROR(__xludf.DUMMYFUNCTION("""COMPUTED_VALUE"""),"SI")</f>
        <v>SI</v>
      </c>
      <c r="S776" s="213"/>
      <c r="T776" s="213" t="str">
        <f>IFERROR(__xludf.DUMMYFUNCTION("""COMPUTED_VALUE"""),"SI")</f>
        <v>SI</v>
      </c>
      <c r="U776" s="213" t="str">
        <f>IFERROR(__xludf.DUMMYFUNCTION("""COMPUTED_VALUE"""),"SI")</f>
        <v>SI</v>
      </c>
      <c r="V776" s="213" t="str">
        <f>IFERROR(__xludf.DUMMYFUNCTION("""COMPUTED_VALUE"""),"-")</f>
        <v>-</v>
      </c>
      <c r="W776" s="213" t="str">
        <f>IFERROR(__xludf.DUMMYFUNCTION("""COMPUTED_VALUE"""),"-")</f>
        <v>-</v>
      </c>
      <c r="X776" s="213" t="str">
        <f>IFERROR(__xludf.DUMMYFUNCTION("""COMPUTED_VALUE"""),"LEXIVON")</f>
        <v>LEXIVON</v>
      </c>
      <c r="Y776" s="213" t="str">
        <f>IFERROR(__xludf.DUMMYFUNCTION("""COMPUTED_VALUE"""),"LX-182")</f>
        <v>LX-182</v>
      </c>
      <c r="Z776" s="215" t="str">
        <f>IFERROR(__xludf.DUMMYFUNCTION("""COMPUTED_VALUE"""),"https://www.amazon.com/dinamom%C3%A9trica-accionamiento-pulgadas-13-6-108-5-LX-182/dp/B07M68G49R/ref=sxin_16_pa_sp_search_thematic_sspa?content-id=amzn1.sym.06b0a375-029c-4241-a66c-6efb26e8829a%3Aamzn1.sym.06b0a375-029c-4241-a66c-6efb26e8829a&amp;crid=1NLT8FE"&amp;"O73OTL&amp;cv_ct_cx=torque%2Bwrench%2B3%2F8%E2%80%9D%2B20%2B-%2B80%2Bft%2Blb&amp;keywords=TORQUIMETRO%2B3%2F8%22%2B20%2B-%2B80%2BFT%2BLB&amp;pd_rd_i=B07M68G49R&amp;pd_rd_r=92531a98-7577-4a2d-b8a4-33a36b9ec263&amp;pd_rd_w=9S0zt&amp;pd_rd_wg=mG0hW&amp;pf_rd_p=06b0a375-029c-4241-a66c-6"&amp;"efb26e8829a&amp;pf_rd_r=8X0YBFPK5PJW10E55P9X&amp;qid=1759177549&amp;s=hi&amp;sbo=RZvfv%2F%2FHxDF%2BO5021pAnSA%3D%3D&amp;sprefix=torquimetro%2B3%2F8%2B20%2B-%2B80%2Bft%2Blb%2Caps%2C174&amp;sr=1-3-794806aa-f21d-47b5-a3ea-b60ce78b088a-spons&amp;sp_csd=d2lkZ2V0TmFtZT1zcF9zZWFyY2hfdGhlbW"&amp;"F0aWM&amp;th=1")</f>
        <v>https://www.amazon.com/dinamom%C3%A9trica-accionamiento-pulgadas-13-6-108-5-LX-182/dp/B07M68G49R/ref=sxin_16_pa_sp_search_thematic_sspa?content-id=amzn1.sym.06b0a375-029c-4241-a66c-6efb26e8829a%3Aamzn1.sym.06b0a375-029c-4241-a66c-6efb26e8829a&amp;crid=1NLT8FEO73OTL&amp;cv_ct_cx=torque%2Bwrench%2B3%2F8%E2%80%9D%2B20%2B-%2B80%2Bft%2Blb&amp;keywords=TORQUIMETRO%2B3%2F8%22%2B20%2B-%2B80%2BFT%2BLB&amp;pd_rd_i=B07M68G49R&amp;pd_rd_r=92531a98-7577-4a2d-b8a4-33a36b9ec263&amp;pd_rd_w=9S0zt&amp;pd_rd_wg=mG0hW&amp;pf_rd_p=06b0a375-029c-4241-a66c-6efb26e8829a&amp;pf_rd_r=8X0YBFPK5PJW10E55P9X&amp;qid=1759177549&amp;s=hi&amp;sbo=RZvfv%2F%2FHxDF%2BO5021pAnSA%3D%3D&amp;sprefix=torquimetro%2B3%2F8%2B20%2B-%2B80%2Bft%2Blb%2Caps%2C174&amp;sr=1-3-794806aa-f21d-47b5-a3ea-b60ce78b088a-spons&amp;sp_csd=d2lkZ2V0TmFtZT1zcF9zZWFyY2hfdGhlbWF0aWM&amp;th=1</v>
      </c>
      <c r="AA776" s="213" t="str">
        <f>IFERROR(__xludf.DUMMYFUNCTION("""COMPUTED_VALUE"""),"COM-302 TORQUIMETRO - CET")</f>
        <v>COM-302 TORQUIMETRO - CET</v>
      </c>
      <c r="AB776" s="213"/>
      <c r="AC776" s="213"/>
      <c r="AD776" s="213"/>
      <c r="AE776" s="213"/>
      <c r="AF776" s="213"/>
      <c r="AG776" s="213"/>
      <c r="AH776" s="213"/>
      <c r="AI776" s="213"/>
      <c r="AJ776" s="213"/>
      <c r="AK776" s="213"/>
      <c r="AL776" s="213"/>
      <c r="AM776" s="213"/>
      <c r="AN776" s="213"/>
      <c r="AO776" s="213"/>
      <c r="AP776" s="213" t="str">
        <f>IFERROR(__xludf.DUMMYFUNCTION("""COMPUTED_VALUE"""),"LUIS")</f>
        <v>LUIS</v>
      </c>
      <c r="AQ776" s="213"/>
      <c r="AR776" s="213"/>
      <c r="AS776" s="213"/>
      <c r="AT776" s="213"/>
      <c r="AU776" s="213"/>
      <c r="AV776" s="213"/>
      <c r="AW776" s="213"/>
      <c r="AX776" s="213"/>
      <c r="AY776" s="213"/>
      <c r="AZ776" s="213"/>
      <c r="BA776" s="213"/>
      <c r="BB776" s="213"/>
      <c r="BC776" s="213"/>
      <c r="BD776" s="213"/>
    </row>
    <row r="777">
      <c r="A777" s="213">
        <f>IFERROR(__xludf.DUMMYFUNCTION("""COMPUTED_VALUE"""),1793.0)</f>
        <v>1793</v>
      </c>
      <c r="B777" s="213" t="str">
        <f>IFERROR(__xludf.DUMMYFUNCTION("""COMPUTED_VALUE"""),"GUILLERMO E. BILLINGHURST ")</f>
        <v>GUILLERMO E. BILLINGHURST </v>
      </c>
      <c r="C777" s="213" t="str">
        <f>IFERROR(__xludf.DUMMYFUNCTION("""COMPUTED_VALUE"""),"TALLER SFT DE EBANISTERÍA")</f>
        <v>TALLER SFT DE EBANISTERÍA</v>
      </c>
      <c r="D777" s="213" t="str">
        <f>IFERROR(__xludf.DUMMYFUNCTION("""COMPUTED_VALUE"""),"HERRAMIENTAS")</f>
        <v>HERRAMIENTAS</v>
      </c>
      <c r="E777" s="213" t="str">
        <f>IFERROR(__xludf.DUMMYFUNCTION("""COMPUTED_VALUE"""),"COM-303")</f>
        <v>COM-303</v>
      </c>
      <c r="F777" s="213" t="str">
        <f>IFERROR(__xludf.DUMMYFUNCTION("""COMPUTED_VALUE"""),"COM-303")</f>
        <v>COM-303</v>
      </c>
      <c r="G777" s="213"/>
      <c r="H777" s="213" t="str">
        <f>IFERROR(__xludf.DUMMYFUNCTION("""COMPUTED_VALUE"""),"TRANSPORTADOR DE ANGULOS")</f>
        <v>TRANSPORTADOR DE ANGULOS</v>
      </c>
      <c r="I777" s="213" t="str">
        <f>IFERROR(__xludf.DUMMYFUNCTION("""COMPUTED_VALUE"""),"Para marcar ángulos. Material de acero inoxidable. Tornillo de ajuste y bloqueo.
Rango de medición útil: 0 - 180° grados. Graduación mínima: 1° grado.
Diámetro del arco: 80 mm. Longitud de la regla: 120 mm.")</f>
        <v>Para marcar ángulos. Material de acero inoxidable. Tornillo de ajuste y bloqueo.
Rango de medición útil: 0 - 180° grados. Graduación mínima: 1° grado.
Diámetro del arco: 80 mm. Longitud de la regla: 120 mm.</v>
      </c>
      <c r="J777" s="213">
        <f>IFERROR(__xludf.DUMMYFUNCTION("""COMPUTED_VALUE"""),3.0)</f>
        <v>3</v>
      </c>
      <c r="K777" s="213" t="str">
        <f>IFERROR(__xludf.DUMMYFUNCTION("""COMPUTED_VALUE"""),"90 DÍAS CALENDARIO")</f>
        <v>90 DÍAS CALENDARIO</v>
      </c>
      <c r="L777" s="213" t="str">
        <f>IFERROR(__xludf.DUMMYFUNCTION("""COMPUTED_VALUE"""),"")</f>
        <v/>
      </c>
      <c r="M777" s="213">
        <f>IFERROR(__xludf.DUMMYFUNCTION("""COMPUTED_VALUE"""),1.0)</f>
        <v>1</v>
      </c>
      <c r="N777" s="213">
        <f>IFERROR(__xludf.DUMMYFUNCTION("""COMPUTED_VALUE"""),4.0)</f>
        <v>4</v>
      </c>
      <c r="O777" s="213">
        <f>IFERROR(__xludf.DUMMYFUNCTION("""COMPUTED_VALUE"""),4.0)</f>
        <v>4</v>
      </c>
      <c r="P777" s="213"/>
      <c r="Q777" s="213"/>
      <c r="R777" s="213" t="str">
        <f>IFERROR(__xludf.DUMMYFUNCTION("""COMPUTED_VALUE"""),"SI")</f>
        <v>SI</v>
      </c>
      <c r="S777" s="213"/>
      <c r="T777" s="213" t="str">
        <f>IFERROR(__xludf.DUMMYFUNCTION("""COMPUTED_VALUE"""),"SI")</f>
        <v>SI</v>
      </c>
      <c r="U777" s="213" t="str">
        <f>IFERROR(__xludf.DUMMYFUNCTION("""COMPUTED_VALUE"""),"SI")</f>
        <v>SI</v>
      </c>
      <c r="V777" s="213" t="str">
        <f>IFERROR(__xludf.DUMMYFUNCTION("""COMPUTED_VALUE"""),"-")</f>
        <v>-</v>
      </c>
      <c r="W777" s="213" t="str">
        <f>IFERROR(__xludf.DUMMYFUNCTION("""COMPUTED_VALUE"""),"-")</f>
        <v>-</v>
      </c>
      <c r="X777" s="213" t="str">
        <f>IFERROR(__xludf.DUMMYFUNCTION("""COMPUTED_VALUE"""),"VOGEL")</f>
        <v>VOGEL</v>
      </c>
      <c r="Y777" s="213">
        <f>IFERROR(__xludf.DUMMYFUNCTION("""COMPUTED_VALUE"""),322541.0)</f>
        <v>322541</v>
      </c>
      <c r="Z777" s="215" t="str">
        <f>IFERROR(__xludf.DUMMYFUNCTION("""COMPUTED_VALUE"""),"https://store.ferrindustrial.com.pe/producto/transportador-de-angulos-inox-180o-de-80mm-x-150mm-322541-vogel-germany/")</f>
        <v>https://store.ferrindustrial.com.pe/producto/transportador-de-angulos-inox-180o-de-80mm-x-150mm-322541-vogel-germany/</v>
      </c>
      <c r="AA777" s="213" t="str">
        <f>IFERROR(__xludf.DUMMYFUNCTION("""COMPUTED_VALUE"""),"COM-303 TRANSPORTADOR DE ANGULOS - CET")</f>
        <v>COM-303 TRANSPORTADOR DE ANGULOS - CET</v>
      </c>
      <c r="AB777" s="213"/>
      <c r="AC777" s="213"/>
      <c r="AD777" s="213"/>
      <c r="AE777" s="213"/>
      <c r="AF777" s="213"/>
      <c r="AG777" s="213"/>
      <c r="AH777" s="213"/>
      <c r="AI777" s="213"/>
      <c r="AJ777" s="213"/>
      <c r="AK777" s="213"/>
      <c r="AL777" s="213"/>
      <c r="AM777" s="213"/>
      <c r="AN777" s="213"/>
      <c r="AO777" s="213"/>
      <c r="AP777" s="213" t="str">
        <f>IFERROR(__xludf.DUMMYFUNCTION("""COMPUTED_VALUE"""),"SEBASTIAN")</f>
        <v>SEBASTIAN</v>
      </c>
      <c r="AQ777" s="213"/>
      <c r="AR777" s="213"/>
      <c r="AS777" s="213"/>
      <c r="AT777" s="213"/>
      <c r="AU777" s="213"/>
      <c r="AV777" s="213"/>
      <c r="AW777" s="213"/>
      <c r="AX777" s="213"/>
      <c r="AY777" s="213"/>
      <c r="AZ777" s="213"/>
      <c r="BA777" s="213"/>
      <c r="BB777" s="213"/>
      <c r="BC777" s="213"/>
      <c r="BD777" s="213"/>
    </row>
    <row r="778">
      <c r="A778" s="213">
        <f>IFERROR(__xludf.DUMMYFUNCTION("""COMPUTED_VALUE"""),2575.0)</f>
        <v>2575</v>
      </c>
      <c r="B778" s="213" t="str">
        <f>IFERROR(__xludf.DUMMYFUNCTION("""COMPUTED_VALUE"""),"MANUEL ANTONIO MESONES MURO")</f>
        <v>MANUEL ANTONIO MESONES MURO</v>
      </c>
      <c r="C778" s="213" t="str">
        <f>IFERROR(__xludf.DUMMYFUNCTION("""COMPUTED_VALUE"""),"TALLER SFT DE EBANISTERÍA")</f>
        <v>TALLER SFT DE EBANISTERÍA</v>
      </c>
      <c r="D778" s="213" t="str">
        <f>IFERROR(__xludf.DUMMYFUNCTION("""COMPUTED_VALUE"""),"HERRAMIENTAS")</f>
        <v>HERRAMIENTAS</v>
      </c>
      <c r="E778" s="213" t="str">
        <f>IFERROR(__xludf.DUMMYFUNCTION("""COMPUTED_VALUE"""),"COM-303")</f>
        <v>COM-303</v>
      </c>
      <c r="F778" s="213" t="str">
        <f>IFERROR(__xludf.DUMMYFUNCTION("""COMPUTED_VALUE"""),"COM-303")</f>
        <v>COM-303</v>
      </c>
      <c r="G778" s="213"/>
      <c r="H778" s="213" t="str">
        <f>IFERROR(__xludf.DUMMYFUNCTION("""COMPUTED_VALUE"""),"TRANSPORTADOR DE ANGULOS")</f>
        <v>TRANSPORTADOR DE ANGULOS</v>
      </c>
      <c r="I778" s="213" t="str">
        <f>IFERROR(__xludf.DUMMYFUNCTION("""COMPUTED_VALUE"""),"Para marcar ángulos. Material de acero inoxidable. Tornillo de ajuste y bloqueo.
Rango de medición útil: 0 - 180° grados. Graduación mínima: 1° grado.
Diámetro del arco: 80 mm. Longitud de la regla: 120 mm.")</f>
        <v>Para marcar ángulos. Material de acero inoxidable. Tornillo de ajuste y bloqueo.
Rango de medición útil: 0 - 180° grados. Graduación mínima: 1° grado.
Diámetro del arco: 80 mm. Longitud de la regla: 120 mm.</v>
      </c>
      <c r="J778" s="213">
        <f>IFERROR(__xludf.DUMMYFUNCTION("""COMPUTED_VALUE"""),3.0)</f>
        <v>3</v>
      </c>
      <c r="K778" s="213" t="str">
        <f>IFERROR(__xludf.DUMMYFUNCTION("""COMPUTED_VALUE"""),"90 DÍAS CALENDARIO")</f>
        <v>90 DÍAS CALENDARIO</v>
      </c>
      <c r="L778" s="213" t="str">
        <f>IFERROR(__xludf.DUMMYFUNCTION("""COMPUTED_VALUE"""),"")</f>
        <v/>
      </c>
      <c r="M778" s="213">
        <f>IFERROR(__xludf.DUMMYFUNCTION("""COMPUTED_VALUE"""),1.0)</f>
        <v>1</v>
      </c>
      <c r="N778" s="213">
        <f>IFERROR(__xludf.DUMMYFUNCTION("""COMPUTED_VALUE"""),4.0)</f>
        <v>4</v>
      </c>
      <c r="O778" s="213">
        <f>IFERROR(__xludf.DUMMYFUNCTION("""COMPUTED_VALUE"""),4.0)</f>
        <v>4</v>
      </c>
      <c r="P778" s="213"/>
      <c r="Q778" s="213"/>
      <c r="R778" s="213" t="str">
        <f>IFERROR(__xludf.DUMMYFUNCTION("""COMPUTED_VALUE"""),"SI")</f>
        <v>SI</v>
      </c>
      <c r="S778" s="213"/>
      <c r="T778" s="213" t="str">
        <f>IFERROR(__xludf.DUMMYFUNCTION("""COMPUTED_VALUE"""),"SI")</f>
        <v>SI</v>
      </c>
      <c r="U778" s="213" t="str">
        <f>IFERROR(__xludf.DUMMYFUNCTION("""COMPUTED_VALUE"""),"SI")</f>
        <v>SI</v>
      </c>
      <c r="V778" s="213" t="str">
        <f>IFERROR(__xludf.DUMMYFUNCTION("""COMPUTED_VALUE"""),"-")</f>
        <v>-</v>
      </c>
      <c r="W778" s="213" t="str">
        <f>IFERROR(__xludf.DUMMYFUNCTION("""COMPUTED_VALUE"""),"-")</f>
        <v>-</v>
      </c>
      <c r="X778" s="213" t="str">
        <f>IFERROR(__xludf.DUMMYFUNCTION("""COMPUTED_VALUE"""),"VOGEL")</f>
        <v>VOGEL</v>
      </c>
      <c r="Y778" s="213">
        <f>IFERROR(__xludf.DUMMYFUNCTION("""COMPUTED_VALUE"""),322541.0)</f>
        <v>322541</v>
      </c>
      <c r="Z778" s="215" t="str">
        <f>IFERROR(__xludf.DUMMYFUNCTION("""COMPUTED_VALUE"""),"https://store.ferrindustrial.com.pe/producto/transportador-de-angulos-inox-180o-de-80mm-x-150mm-322541-vogel-germany/")</f>
        <v>https://store.ferrindustrial.com.pe/producto/transportador-de-angulos-inox-180o-de-80mm-x-150mm-322541-vogel-germany/</v>
      </c>
      <c r="AA778" s="213" t="str">
        <f>IFERROR(__xludf.DUMMYFUNCTION("""COMPUTED_VALUE"""),"COM-303 TRANSPORTADOR DE ANGULOS - CET")</f>
        <v>COM-303 TRANSPORTADOR DE ANGULOS - CET</v>
      </c>
      <c r="AB778" s="213"/>
      <c r="AC778" s="213"/>
      <c r="AD778" s="213"/>
      <c r="AE778" s="213"/>
      <c r="AF778" s="213"/>
      <c r="AG778" s="213"/>
      <c r="AH778" s="213"/>
      <c r="AI778" s="213"/>
      <c r="AJ778" s="213"/>
      <c r="AK778" s="213"/>
      <c r="AL778" s="213"/>
      <c r="AM778" s="213"/>
      <c r="AN778" s="213"/>
      <c r="AO778" s="213"/>
      <c r="AP778" s="213" t="str">
        <f>IFERROR(__xludf.DUMMYFUNCTION("""COMPUTED_VALUE"""),"SEBASTIAN")</f>
        <v>SEBASTIAN</v>
      </c>
      <c r="AQ778" s="213"/>
      <c r="AR778" s="213"/>
      <c r="AS778" s="213"/>
      <c r="AT778" s="213"/>
      <c r="AU778" s="213"/>
      <c r="AV778" s="213"/>
      <c r="AW778" s="213"/>
      <c r="AX778" s="213"/>
      <c r="AY778" s="213"/>
      <c r="AZ778" s="213"/>
      <c r="BA778" s="213"/>
      <c r="BB778" s="213"/>
      <c r="BC778" s="213"/>
      <c r="BD778" s="213"/>
    </row>
    <row r="779">
      <c r="A779" s="213">
        <f>IFERROR(__xludf.DUMMYFUNCTION("""COMPUTED_VALUE"""),2505.0)</f>
        <v>2505</v>
      </c>
      <c r="B779" s="213" t="str">
        <f>IFERROR(__xludf.DUMMYFUNCTION("""COMPUTED_VALUE"""),"MANUEL ANTONIO MESONES MURO")</f>
        <v>MANUEL ANTONIO MESONES MURO</v>
      </c>
      <c r="C779" s="213" t="str">
        <f>IFERROR(__xludf.DUMMYFUNCTION("""COMPUTED_VALUE"""),"TALLER SFT DE CONSTRUCCIONES METÁLICAS")</f>
        <v>TALLER SFT DE CONSTRUCCIONES METÁLICAS</v>
      </c>
      <c r="D779" s="213" t="str">
        <f>IFERROR(__xludf.DUMMYFUNCTION("""COMPUTED_VALUE"""),"TICS")</f>
        <v>TICS</v>
      </c>
      <c r="E779" s="213" t="str">
        <f>IFERROR(__xludf.DUMMYFUNCTION("""COMPUTED_VALUE"""),"TEC-111")</f>
        <v>TEC-111</v>
      </c>
      <c r="F779" s="213" t="str">
        <f>IFERROR(__xludf.DUMMYFUNCTION("""COMPUTED_VALUE"""),"TEC-111-Y")</f>
        <v>TEC-111-Y</v>
      </c>
      <c r="G779" s="213"/>
      <c r="H779" s="213" t="str">
        <f>IFERROR(__xludf.DUMMYFUNCTION("""COMPUTED_VALUE"""),"IMPRESORA MULTIFUNCIONAL")</f>
        <v>IMPRESORA MULTIFUNCIONAL</v>
      </c>
      <c r="I779"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11 o superior CAPACIDAD DE ENTRADA DE PAPEL: 100 hojas o superior
ACCESORIOS: 01 Cable de poder, 01 Manual y 01 Juego de tintas "&amp;"para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11 o superior CAPACIDAD DE ENTRADA DE PAPEL: 100 hojas o superior
ACCESORIOS: 01 Cable de poder, 01 Manual y 01 Juego de tintas para la impresora. FUENTE DE PODER 220VAC /60 HZ
CERTIFICADO Energy STAR y/o CE y/o FCC y/o RoHS. GARANTÍA Minimo 1 año de garantia</v>
      </c>
      <c r="J779" s="213">
        <f>IFERROR(__xludf.DUMMYFUNCTION("""COMPUTED_VALUE"""),3.0)</f>
        <v>3</v>
      </c>
      <c r="K779" s="213" t="str">
        <f>IFERROR(__xludf.DUMMYFUNCTION("""COMPUTED_VALUE"""),"170 DÍAS CALENDARIO")</f>
        <v>170 DÍAS CALENDARIO</v>
      </c>
      <c r="L779" s="213" t="str">
        <f>IFERROR(__xludf.DUMMYFUNCTION("""COMPUTED_VALUE"""),"INDUSTRIA ALIMENTARIA, ELECTRICIDAD, CONSTRUCCIONES METÁLICAS")</f>
        <v>INDUSTRIA ALIMENTARIA, ELECTRICIDAD, CONSTRUCCIONES METÁLICAS</v>
      </c>
      <c r="M779" s="213">
        <f>IFERROR(__xludf.DUMMYFUNCTION("""COMPUTED_VALUE"""),1.0)</f>
        <v>1</v>
      </c>
      <c r="N779" s="213">
        <f>IFERROR(__xludf.DUMMYFUNCTION("""COMPUTED_VALUE"""),1.0)</f>
        <v>1</v>
      </c>
      <c r="O779" s="213">
        <f>IFERROR(__xludf.DUMMYFUNCTION("""COMPUTED_VALUE"""),1.0)</f>
        <v>1</v>
      </c>
      <c r="P779" s="213"/>
      <c r="Q779" s="213"/>
      <c r="R779" s="213"/>
      <c r="S779" s="213"/>
      <c r="T779" s="213" t="str">
        <f>IFERROR(__xludf.DUMMYFUNCTION("""COMPUTED_VALUE"""),"SI")</f>
        <v>SI</v>
      </c>
      <c r="U779" s="213" t="str">
        <f>IFERROR(__xludf.DUMMYFUNCTION("""COMPUTED_VALUE"""),"SI")</f>
        <v>SI</v>
      </c>
      <c r="V779" s="213" t="str">
        <f>IFERROR(__xludf.DUMMYFUNCTION("""COMPUTED_VALUE"""),"-")</f>
        <v>-</v>
      </c>
      <c r="W779" s="213" t="str">
        <f>IFERROR(__xludf.DUMMYFUNCTION("""COMPUTED_VALUE"""),"-")</f>
        <v>-</v>
      </c>
      <c r="X779" s="213" t="str">
        <f>IFERROR(__xludf.DUMMYFUNCTION("""COMPUTED_VALUE"""),"BROTHER ")</f>
        <v>BROTHER </v>
      </c>
      <c r="Y779" s="213" t="str">
        <f>IFERROR(__xludf.DUMMYFUNCTION("""COMPUTED_VALUE"""),"MFC-T4500DW")</f>
        <v>MFC-T4500DW</v>
      </c>
      <c r="Z779" s="215" t="str">
        <f>IFERROR(__xludf.DUMMYFUNCTION("""COMPUTED_VALUE"""),"https://www.brother.com.pe/products/mfct4500dw")</f>
        <v>https://www.brother.com.pe/products/mfct4500dw</v>
      </c>
      <c r="AA779" s="213" t="str">
        <f>IFERROR(__xludf.DUMMYFUNCTION("""COMPUTED_VALUE"""),"TEC-111-B IMPRESORA MULTIFUNCIONAL - CET")</f>
        <v>TEC-111-B IMPRESORA MULTIFUNCIONAL - CET</v>
      </c>
      <c r="AB779" s="213"/>
      <c r="AC779" s="213"/>
      <c r="AD779" s="213"/>
      <c r="AE779" s="213"/>
      <c r="AF779" s="213"/>
      <c r="AG779" s="213"/>
      <c r="AH779" s="213"/>
      <c r="AI779" s="213"/>
      <c r="AJ779" s="213"/>
      <c r="AK779" s="213"/>
      <c r="AL779" s="213"/>
      <c r="AM779" s="213"/>
      <c r="AN779" s="213"/>
      <c r="AO779" s="213"/>
      <c r="AP779" s="213" t="str">
        <f>IFERROR(__xludf.DUMMYFUNCTION("""COMPUTED_VALUE"""),"NALDI")</f>
        <v>NALDI</v>
      </c>
      <c r="AQ779" s="213"/>
      <c r="AR779" s="213"/>
      <c r="AS779" s="213"/>
      <c r="AT779" s="213"/>
      <c r="AU779" s="213"/>
      <c r="AV779" s="213"/>
      <c r="AW779" s="213"/>
      <c r="AX779" s="213"/>
      <c r="AY779" s="213"/>
      <c r="AZ779" s="213"/>
      <c r="BA779" s="213"/>
      <c r="BB779" s="213"/>
      <c r="BC779" s="213"/>
      <c r="BD779" s="213"/>
    </row>
    <row r="780">
      <c r="A780" s="213">
        <f>IFERROR(__xludf.DUMMYFUNCTION("""COMPUTED_VALUE"""),357.0)</f>
        <v>357</v>
      </c>
      <c r="B780" s="213" t="str">
        <f>IFERROR(__xludf.DUMMYFUNCTION("""COMPUTED_VALUE"""),"2026 SIMON BOLIVAR")</f>
        <v>2026 SIMON BOLIVAR</v>
      </c>
      <c r="C780" s="213" t="str">
        <f>IFERROR(__xludf.DUMMYFUNCTION("""COMPUTED_VALUE"""),"TALLER SFT DE ELECTRICIDAD")</f>
        <v>TALLER SFT DE ELECTRICIDAD</v>
      </c>
      <c r="D780" s="213" t="str">
        <f>IFERROR(__xludf.DUMMYFUNCTION("""COMPUTED_VALUE"""),"HERRAMIENTAS")</f>
        <v>HERRAMIENTAS</v>
      </c>
      <c r="E780" s="213" t="str">
        <f>IFERROR(__xludf.DUMMYFUNCTION("""COMPUTED_VALUE"""),"COM-305")</f>
        <v>COM-305</v>
      </c>
      <c r="F780" s="213" t="str">
        <f>IFERROR(__xludf.DUMMYFUNCTION("""COMPUTED_VALUE"""),"COM-305")</f>
        <v>COM-305</v>
      </c>
      <c r="G780" s="213"/>
      <c r="H780" s="213" t="str">
        <f>IFERROR(__xludf.DUMMYFUNCTION("""COMPUTED_VALUE"""),"WINCHA DE 5 METROS")</f>
        <v>WINCHA DE 5 METROS</v>
      </c>
      <c r="I780" s="213" t="str">
        <f>IFERROR(__xludf.DUMMYFUNCTION("""COMPUTED_VALUE"""),"· Características Técnicas:
- Diseño compacto de la caja con forma ergonómica, máximo confort y fácil manejo.
- Con freno y clip para cinturón
- Cinta de acero ultra resistente recubierta con nylon
- Ancho mínimo de la cinta: 19 mm
- Longitud útil: 5 m
- "&amp;"Graduación en centímetros y pulgadas.")</f>
        <v>· Características Técnicas:
- Diseño compacto de la caja con forma ergonómica, máximo confort y fácil manejo.
- Con freno y clip para cinturón
- Cinta de acero ultra resistente recubierta con nylon
- Ancho mínimo de la cinta: 19 mm
- Longitud útil: 5 m
- Graduación en centímetros y pulgadas.</v>
      </c>
      <c r="J780" s="213">
        <f>IFERROR(__xludf.DUMMYFUNCTION("""COMPUTED_VALUE"""),3.0)</f>
        <v>3</v>
      </c>
      <c r="K780" s="213" t="str">
        <f>IFERROR(__xludf.DUMMYFUNCTION("""COMPUTED_VALUE"""),"90 DÍAS CALENDARIO")</f>
        <v>90 DÍAS CALENDARIO</v>
      </c>
      <c r="L780" s="213" t="str">
        <f>IFERROR(__xludf.DUMMYFUNCTION("""COMPUTED_VALUE"""),"")</f>
        <v/>
      </c>
      <c r="M780" s="213">
        <f>IFERROR(__xludf.DUMMYFUNCTION("""COMPUTED_VALUE"""),1.0)</f>
        <v>1</v>
      </c>
      <c r="N780" s="213">
        <f>IFERROR(__xludf.DUMMYFUNCTION("""COMPUTED_VALUE"""),5.0)</f>
        <v>5</v>
      </c>
      <c r="O780" s="213">
        <f>IFERROR(__xludf.DUMMYFUNCTION("""COMPUTED_VALUE"""),5.0)</f>
        <v>5</v>
      </c>
      <c r="P780" s="213"/>
      <c r="Q780" s="213"/>
      <c r="R780" s="213" t="str">
        <f>IFERROR(__xludf.DUMMYFUNCTION("""COMPUTED_VALUE"""),"SI")</f>
        <v>SI</v>
      </c>
      <c r="S780" s="213"/>
      <c r="T780" s="213" t="str">
        <f>IFERROR(__xludf.DUMMYFUNCTION("""COMPUTED_VALUE"""),"SI")</f>
        <v>SI</v>
      </c>
      <c r="U780" s="213" t="str">
        <f>IFERROR(__xludf.DUMMYFUNCTION("""COMPUTED_VALUE"""),"SI")</f>
        <v>SI</v>
      </c>
      <c r="V780" s="213" t="str">
        <f>IFERROR(__xludf.DUMMYFUNCTION("""COMPUTED_VALUE"""),"-")</f>
        <v>-</v>
      </c>
      <c r="W780" s="213" t="str">
        <f>IFERROR(__xludf.DUMMYFUNCTION("""COMPUTED_VALUE"""),"-")</f>
        <v>-</v>
      </c>
      <c r="X780" s="213" t="str">
        <f>IFERROR(__xludf.DUMMYFUNCTION("""COMPUTED_VALUE"""),"STANLEY")</f>
        <v>STANLEY</v>
      </c>
      <c r="Y780" s="213" t="str">
        <f>IFERROR(__xludf.DUMMYFUNCTION("""COMPUTED_VALUE"""),"STANLEY")</f>
        <v>STANLEY</v>
      </c>
      <c r="Z780" s="215" t="str">
        <f>IFERROR(__xludf.DUMMYFUNCTION("""COMPUTED_VALUE"""),"https://prosinfer.pe/product/cinta-metrica-wincha-5-m-stanley-30-085-pro/")</f>
        <v>https://prosinfer.pe/product/cinta-metrica-wincha-5-m-stanley-30-085-pro/</v>
      </c>
      <c r="AA780" s="213" t="str">
        <f>IFERROR(__xludf.DUMMYFUNCTION("""COMPUTED_VALUE"""),"COM-305 WINCHA DE 5 METROS - CET")</f>
        <v>COM-305 WINCHA DE 5 METROS - CET</v>
      </c>
      <c r="AB780" s="213"/>
      <c r="AC780" s="213"/>
      <c r="AD780" s="213"/>
      <c r="AE780" s="213"/>
      <c r="AF780" s="213"/>
      <c r="AG780" s="213"/>
      <c r="AH780" s="213"/>
      <c r="AI780" s="213"/>
      <c r="AJ780" s="213"/>
      <c r="AK780" s="213"/>
      <c r="AL780" s="213"/>
      <c r="AM780" s="213"/>
      <c r="AN780" s="213"/>
      <c r="AO780" s="213"/>
      <c r="AP780" s="213" t="str">
        <f>IFERROR(__xludf.DUMMYFUNCTION("""COMPUTED_VALUE"""),"LUIS")</f>
        <v>LUIS</v>
      </c>
      <c r="AQ780" s="213"/>
      <c r="AR780" s="213"/>
      <c r="AS780" s="213"/>
      <c r="AT780" s="213"/>
      <c r="AU780" s="213"/>
      <c r="AV780" s="213"/>
      <c r="AW780" s="213"/>
      <c r="AX780" s="213"/>
      <c r="AY780" s="213"/>
      <c r="AZ780" s="213"/>
      <c r="BA780" s="213"/>
      <c r="BB780" s="213"/>
      <c r="BC780" s="213"/>
      <c r="BD780" s="213"/>
    </row>
    <row r="781">
      <c r="A781" s="213">
        <f>IFERROR(__xludf.DUMMYFUNCTION("""COMPUTED_VALUE"""),843.0)</f>
        <v>843</v>
      </c>
      <c r="B781" s="213" t="str">
        <f>IFERROR(__xludf.DUMMYFUNCTION("""COMPUTED_VALUE"""),"6049 RICARDO PALMA")</f>
        <v>6049 RICARDO PALMA</v>
      </c>
      <c r="C781" s="213" t="str">
        <f>IFERROR(__xludf.DUMMYFUNCTION("""COMPUTED_VALUE"""),"TALLER SFT DE ELECTRICIDAD")</f>
        <v>TALLER SFT DE ELECTRICIDAD</v>
      </c>
      <c r="D781" s="213" t="str">
        <f>IFERROR(__xludf.DUMMYFUNCTION("""COMPUTED_VALUE"""),"HERRAMIENTAS")</f>
        <v>HERRAMIENTAS</v>
      </c>
      <c r="E781" s="213" t="str">
        <f>IFERROR(__xludf.DUMMYFUNCTION("""COMPUTED_VALUE"""),"COM-305")</f>
        <v>COM-305</v>
      </c>
      <c r="F781" s="213" t="str">
        <f>IFERROR(__xludf.DUMMYFUNCTION("""COMPUTED_VALUE"""),"COM-305")</f>
        <v>COM-305</v>
      </c>
      <c r="G781" s="213"/>
      <c r="H781" s="213" t="str">
        <f>IFERROR(__xludf.DUMMYFUNCTION("""COMPUTED_VALUE"""),"WINCHA DE 5 METROS")</f>
        <v>WINCHA DE 5 METROS</v>
      </c>
      <c r="I781" s="213" t="str">
        <f>IFERROR(__xludf.DUMMYFUNCTION("""COMPUTED_VALUE"""),"· Características Técnicas:
- Diseño compacto de la caja con forma ergonómica, máximo confort y fácil manejo.
- Con freno y clip para cinturón
- Cinta de acero ultra resistente recubierta con nylon
- Ancho mínimo de la cinta: 19 mm
- Longitud útil: 5 m
- "&amp;"Graduación en centímetros y pulgadas.")</f>
        <v>· Características Técnicas:
- Diseño compacto de la caja con forma ergonómica, máximo confort y fácil manejo.
- Con freno y clip para cinturón
- Cinta de acero ultra resistente recubierta con nylon
- Ancho mínimo de la cinta: 19 mm
- Longitud útil: 5 m
- Graduación en centímetros y pulgadas.</v>
      </c>
      <c r="J781" s="213">
        <f>IFERROR(__xludf.DUMMYFUNCTION("""COMPUTED_VALUE"""),3.0)</f>
        <v>3</v>
      </c>
      <c r="K781" s="213" t="str">
        <f>IFERROR(__xludf.DUMMYFUNCTION("""COMPUTED_VALUE"""),"90 DÍAS CALENDARIO")</f>
        <v>90 DÍAS CALENDARIO</v>
      </c>
      <c r="L781" s="213" t="str">
        <f>IFERROR(__xludf.DUMMYFUNCTION("""COMPUTED_VALUE"""),"")</f>
        <v/>
      </c>
      <c r="M781" s="213">
        <f>IFERROR(__xludf.DUMMYFUNCTION("""COMPUTED_VALUE"""),1.0)</f>
        <v>1</v>
      </c>
      <c r="N781" s="213">
        <f>IFERROR(__xludf.DUMMYFUNCTION("""COMPUTED_VALUE"""),5.0)</f>
        <v>5</v>
      </c>
      <c r="O781" s="213">
        <f>IFERROR(__xludf.DUMMYFUNCTION("""COMPUTED_VALUE"""),5.0)</f>
        <v>5</v>
      </c>
      <c r="P781" s="213"/>
      <c r="Q781" s="213"/>
      <c r="R781" s="213" t="str">
        <f>IFERROR(__xludf.DUMMYFUNCTION("""COMPUTED_VALUE"""),"SI")</f>
        <v>SI</v>
      </c>
      <c r="S781" s="213"/>
      <c r="T781" s="213" t="str">
        <f>IFERROR(__xludf.DUMMYFUNCTION("""COMPUTED_VALUE"""),"SI")</f>
        <v>SI</v>
      </c>
      <c r="U781" s="213" t="str">
        <f>IFERROR(__xludf.DUMMYFUNCTION("""COMPUTED_VALUE"""),"SI")</f>
        <v>SI</v>
      </c>
      <c r="V781" s="213" t="str">
        <f>IFERROR(__xludf.DUMMYFUNCTION("""COMPUTED_VALUE"""),"-")</f>
        <v>-</v>
      </c>
      <c r="W781" s="213" t="str">
        <f>IFERROR(__xludf.DUMMYFUNCTION("""COMPUTED_VALUE"""),"-")</f>
        <v>-</v>
      </c>
      <c r="X781" s="213" t="str">
        <f>IFERROR(__xludf.DUMMYFUNCTION("""COMPUTED_VALUE"""),"STANLEY")</f>
        <v>STANLEY</v>
      </c>
      <c r="Y781" s="213" t="str">
        <f>IFERROR(__xludf.DUMMYFUNCTION("""COMPUTED_VALUE"""),"STANLEY")</f>
        <v>STANLEY</v>
      </c>
      <c r="Z781" s="215" t="str">
        <f>IFERROR(__xludf.DUMMYFUNCTION("""COMPUTED_VALUE"""),"https://prosinfer.pe/product/cinta-metrica-wincha-5-m-stanley-30-085-pro/")</f>
        <v>https://prosinfer.pe/product/cinta-metrica-wincha-5-m-stanley-30-085-pro/</v>
      </c>
      <c r="AA781" s="213" t="str">
        <f>IFERROR(__xludf.DUMMYFUNCTION("""COMPUTED_VALUE"""),"COM-305 WINCHA DE 5 METROS - CET")</f>
        <v>COM-305 WINCHA DE 5 METROS - CET</v>
      </c>
      <c r="AB781" s="213"/>
      <c r="AC781" s="213"/>
      <c r="AD781" s="213"/>
      <c r="AE781" s="213"/>
      <c r="AF781" s="213"/>
      <c r="AG781" s="213"/>
      <c r="AH781" s="213"/>
      <c r="AI781" s="213"/>
      <c r="AJ781" s="213"/>
      <c r="AK781" s="213"/>
      <c r="AL781" s="213"/>
      <c r="AM781" s="213"/>
      <c r="AN781" s="213"/>
      <c r="AO781" s="213"/>
      <c r="AP781" s="213" t="str">
        <f>IFERROR(__xludf.DUMMYFUNCTION("""COMPUTED_VALUE"""),"LUIS")</f>
        <v>LUIS</v>
      </c>
      <c r="AQ781" s="213"/>
      <c r="AR781" s="213"/>
      <c r="AS781" s="213"/>
      <c r="AT781" s="213"/>
      <c r="AU781" s="213"/>
      <c r="AV781" s="213"/>
      <c r="AW781" s="213"/>
      <c r="AX781" s="213"/>
      <c r="AY781" s="213"/>
      <c r="AZ781" s="213"/>
      <c r="BA781" s="213"/>
      <c r="BB781" s="213"/>
      <c r="BC781" s="213"/>
      <c r="BD781" s="213"/>
    </row>
    <row r="782">
      <c r="A782" s="213">
        <f>IFERROR(__xludf.DUMMYFUNCTION("""COMPUTED_VALUE"""),1265.0)</f>
        <v>1265</v>
      </c>
      <c r="B782" s="213" t="str">
        <f>IFERROR(__xludf.DUMMYFUNCTION("""COMPUTED_VALUE"""),"GUILLERMO E. BILLINGHURST ")</f>
        <v>GUILLERMO E. BILLINGHURST </v>
      </c>
      <c r="C782" s="213" t="str">
        <f>IFERROR(__xludf.DUMMYFUNCTION("""COMPUTED_VALUE"""),"TALLER SFT DE ELECTRICIDAD")</f>
        <v>TALLER SFT DE ELECTRICIDAD</v>
      </c>
      <c r="D782" s="213" t="str">
        <f>IFERROR(__xludf.DUMMYFUNCTION("""COMPUTED_VALUE"""),"HERRAMIENTAS")</f>
        <v>HERRAMIENTAS</v>
      </c>
      <c r="E782" s="213" t="str">
        <f>IFERROR(__xludf.DUMMYFUNCTION("""COMPUTED_VALUE"""),"COM-305")</f>
        <v>COM-305</v>
      </c>
      <c r="F782" s="213" t="str">
        <f>IFERROR(__xludf.DUMMYFUNCTION("""COMPUTED_VALUE"""),"COM-305")</f>
        <v>COM-305</v>
      </c>
      <c r="G782" s="213"/>
      <c r="H782" s="213" t="str">
        <f>IFERROR(__xludf.DUMMYFUNCTION("""COMPUTED_VALUE"""),"WINCHA DE 5 METROS")</f>
        <v>WINCHA DE 5 METROS</v>
      </c>
      <c r="I782" s="213" t="str">
        <f>IFERROR(__xludf.DUMMYFUNCTION("""COMPUTED_VALUE"""),"· Características Técnicas:
- Diseño compacto de la caja con forma ergonómica, máximo confort y fácil manejo.
- Con freno y clip para cinturón
- Cinta de acero ultra resistente recubierta con nylon
- Ancho mínimo de la cinta: 19 mm
- Longitud útil: 5 m
- "&amp;"Graduación en centímetros y pulgadas.")</f>
        <v>· Características Técnicas:
- Diseño compacto de la caja con forma ergonómica, máximo confort y fácil manejo.
- Con freno y clip para cinturón
- Cinta de acero ultra resistente recubierta con nylon
- Ancho mínimo de la cinta: 19 mm
- Longitud útil: 5 m
- Graduación en centímetros y pulgadas.</v>
      </c>
      <c r="J782" s="213">
        <f>IFERROR(__xludf.DUMMYFUNCTION("""COMPUTED_VALUE"""),3.0)</f>
        <v>3</v>
      </c>
      <c r="K782" s="213" t="str">
        <f>IFERROR(__xludf.DUMMYFUNCTION("""COMPUTED_VALUE"""),"90 DÍAS CALENDARIO")</f>
        <v>90 DÍAS CALENDARIO</v>
      </c>
      <c r="L782" s="213" t="str">
        <f>IFERROR(__xludf.DUMMYFUNCTION("""COMPUTED_VALUE"""),"")</f>
        <v/>
      </c>
      <c r="M782" s="213">
        <f>IFERROR(__xludf.DUMMYFUNCTION("""COMPUTED_VALUE"""),1.0)</f>
        <v>1</v>
      </c>
      <c r="N782" s="213">
        <f>IFERROR(__xludf.DUMMYFUNCTION("""COMPUTED_VALUE"""),5.0)</f>
        <v>5</v>
      </c>
      <c r="O782" s="213">
        <f>IFERROR(__xludf.DUMMYFUNCTION("""COMPUTED_VALUE"""),5.0)</f>
        <v>5</v>
      </c>
      <c r="P782" s="213"/>
      <c r="Q782" s="213"/>
      <c r="R782" s="213" t="str">
        <f>IFERROR(__xludf.DUMMYFUNCTION("""COMPUTED_VALUE"""),"SI")</f>
        <v>SI</v>
      </c>
      <c r="S782" s="213"/>
      <c r="T782" s="213" t="str">
        <f>IFERROR(__xludf.DUMMYFUNCTION("""COMPUTED_VALUE"""),"SI")</f>
        <v>SI</v>
      </c>
      <c r="U782" s="213" t="str">
        <f>IFERROR(__xludf.DUMMYFUNCTION("""COMPUTED_VALUE"""),"SI")</f>
        <v>SI</v>
      </c>
      <c r="V782" s="213" t="str">
        <f>IFERROR(__xludf.DUMMYFUNCTION("""COMPUTED_VALUE"""),"-")</f>
        <v>-</v>
      </c>
      <c r="W782" s="213" t="str">
        <f>IFERROR(__xludf.DUMMYFUNCTION("""COMPUTED_VALUE"""),"-")</f>
        <v>-</v>
      </c>
      <c r="X782" s="213" t="str">
        <f>IFERROR(__xludf.DUMMYFUNCTION("""COMPUTED_VALUE"""),"STANLEY")</f>
        <v>STANLEY</v>
      </c>
      <c r="Y782" s="213" t="str">
        <f>IFERROR(__xludf.DUMMYFUNCTION("""COMPUTED_VALUE"""),"STANLEY")</f>
        <v>STANLEY</v>
      </c>
      <c r="Z782" s="215" t="str">
        <f>IFERROR(__xludf.DUMMYFUNCTION("""COMPUTED_VALUE"""),"https://prosinfer.pe/product/cinta-metrica-wincha-5-m-stanley-30-085-pro/")</f>
        <v>https://prosinfer.pe/product/cinta-metrica-wincha-5-m-stanley-30-085-pro/</v>
      </c>
      <c r="AA782" s="213" t="str">
        <f>IFERROR(__xludf.DUMMYFUNCTION("""COMPUTED_VALUE"""),"COM-305 WINCHA DE 5 METROS - CET")</f>
        <v>COM-305 WINCHA DE 5 METROS - CET</v>
      </c>
      <c r="AB782" s="213"/>
      <c r="AC782" s="213"/>
      <c r="AD782" s="213"/>
      <c r="AE782" s="213"/>
      <c r="AF782" s="213"/>
      <c r="AG782" s="213"/>
      <c r="AH782" s="213"/>
      <c r="AI782" s="213"/>
      <c r="AJ782" s="213"/>
      <c r="AK782" s="213"/>
      <c r="AL782" s="213"/>
      <c r="AM782" s="213"/>
      <c r="AN782" s="213"/>
      <c r="AO782" s="213"/>
      <c r="AP782" s="213" t="str">
        <f>IFERROR(__xludf.DUMMYFUNCTION("""COMPUTED_VALUE"""),"LUIS")</f>
        <v>LUIS</v>
      </c>
      <c r="AQ782" s="213"/>
      <c r="AR782" s="213"/>
      <c r="AS782" s="213"/>
      <c r="AT782" s="213"/>
      <c r="AU782" s="213"/>
      <c r="AV782" s="213"/>
      <c r="AW782" s="213"/>
      <c r="AX782" s="213"/>
      <c r="AY782" s="213"/>
      <c r="AZ782" s="213"/>
      <c r="BA782" s="213"/>
      <c r="BB782" s="213"/>
      <c r="BC782" s="213"/>
      <c r="BD782" s="213"/>
    </row>
    <row r="783">
      <c r="A783" s="213">
        <f>IFERROR(__xludf.DUMMYFUNCTION("""COMPUTED_VALUE"""),1785.0)</f>
        <v>1785</v>
      </c>
      <c r="B783" s="213" t="str">
        <f>IFERROR(__xludf.DUMMYFUNCTION("""COMPUTED_VALUE"""),"GUILLERMO E. BILLINGHURST ")</f>
        <v>GUILLERMO E. BILLINGHURST </v>
      </c>
      <c r="C783" s="213" t="str">
        <f>IFERROR(__xludf.DUMMYFUNCTION("""COMPUTED_VALUE"""),"TALLER SFT DE EBANISTERÍA")</f>
        <v>TALLER SFT DE EBANISTERÍA</v>
      </c>
      <c r="D783" s="213" t="str">
        <f>IFERROR(__xludf.DUMMYFUNCTION("""COMPUTED_VALUE"""),"HERRAMIENTAS")</f>
        <v>HERRAMIENTAS</v>
      </c>
      <c r="E783" s="213" t="str">
        <f>IFERROR(__xludf.DUMMYFUNCTION("""COMPUTED_VALUE"""),"COM-306")</f>
        <v>COM-306</v>
      </c>
      <c r="F783" s="213" t="str">
        <f>IFERROR(__xludf.DUMMYFUNCTION("""COMPUTED_VALUE"""),"COM-306")</f>
        <v>COM-306</v>
      </c>
      <c r="G783" s="213"/>
      <c r="H783" s="213" t="str">
        <f>IFERROR(__xludf.DUMMYFUNCTION("""COMPUTED_VALUE"""),"WINCHA DIGITAL")</f>
        <v>WINCHA DIGITAL</v>
      </c>
      <c r="I783" s="213" t="str">
        <f>IFERROR(__xludf.DUMMYFUNCTION("""COMPUTED_VALUE"""),"Diseño compacto de la caja con forma ergonómica, máximo confort y fácil manejo. Con freno y clip para cinturón.
Cinta de acero ultra resistente recubierta con policarbonato. Ancho de la cinta: 19 mm.
Longitud útil: 5 m.
Rango de Precision de +/- 1 mm. Bat"&amp;"eria de Lithium de 1.5 V / 0.05 Vatios Graduación en centímetros y pulgadas. Pantalla digital OLED.")</f>
        <v>Diseño compacto de la caja con forma ergonómica, máximo confort y fácil manejo. Con freno y clip para cinturón.
Cinta de acero ultra resistente recubierta con policarbonato. Ancho de la cinta: 19 mm.
Longitud útil: 5 m.
Rango de Precision de +/- 1 mm. Bateria de Lithium de 1.5 V / 0.05 Vatios Graduación en centímetros y pulgadas. Pantalla digital OLED.</v>
      </c>
      <c r="J783" s="213">
        <f>IFERROR(__xludf.DUMMYFUNCTION("""COMPUTED_VALUE"""),3.0)</f>
        <v>3</v>
      </c>
      <c r="K783" s="213" t="str">
        <f>IFERROR(__xludf.DUMMYFUNCTION("""COMPUTED_VALUE"""),"90 DÍAS CALENDARIO")</f>
        <v>90 DÍAS CALENDARIO</v>
      </c>
      <c r="L783" s="213" t="str">
        <f>IFERROR(__xludf.DUMMYFUNCTION("""COMPUTED_VALUE"""),"")</f>
        <v/>
      </c>
      <c r="M783" s="213">
        <f>IFERROR(__xludf.DUMMYFUNCTION("""COMPUTED_VALUE"""),1.0)</f>
        <v>1</v>
      </c>
      <c r="N783" s="213">
        <f>IFERROR(__xludf.DUMMYFUNCTION("""COMPUTED_VALUE"""),4.0)</f>
        <v>4</v>
      </c>
      <c r="O783" s="213">
        <f>IFERROR(__xludf.DUMMYFUNCTION("""COMPUTED_VALUE"""),4.0)</f>
        <v>4</v>
      </c>
      <c r="P783" s="213"/>
      <c r="Q783" s="213"/>
      <c r="R783" s="213" t="str">
        <f>IFERROR(__xludf.DUMMYFUNCTION("""COMPUTED_VALUE"""),"SI")</f>
        <v>SI</v>
      </c>
      <c r="S783" s="213"/>
      <c r="T783" s="213" t="str">
        <f>IFERROR(__xludf.DUMMYFUNCTION("""COMPUTED_VALUE"""),"CONSULTA FINAL")</f>
        <v>CONSULTA FINAL</v>
      </c>
      <c r="U783" s="213" t="str">
        <f>IFERROR(__xludf.DUMMYFUNCTION("""COMPUTED_VALUE"""),"NO")</f>
        <v>NO</v>
      </c>
      <c r="V783" s="213" t="str">
        <f>IFERROR(__xludf.DUMMYFUNCTION("""COMPUTED_VALUE"""),"SUSTENTO")</f>
        <v>SUSTENTO</v>
      </c>
      <c r="W783" s="213" t="str">
        <f>IFERROR(__xludf.DUMMYFUNCTION("""COMPUTED_VALUE"""),"EQU TEC")</f>
        <v>EQU TEC</v>
      </c>
      <c r="X783" s="213" t="str">
        <f>IFERROR(__xludf.DUMMYFUNCTION("""COMPUTED_VALUE"""),"DASQUA")</f>
        <v>DASQUA</v>
      </c>
      <c r="Y783" s="213" t="str">
        <f>IFERROR(__xludf.DUMMYFUNCTION("""COMPUTED_VALUE"""),"1804-1080")</f>
        <v>1804-1080</v>
      </c>
      <c r="Z783" s="215" t="str">
        <f>IFERROR(__xludf.DUMMYFUNCTION("""COMPUTED_VALUE"""),"https://www.amazon.com/-/es/Dasqua-Cinta-m%C3%A9trica-l%C3%A1ser-1804-1080/dp/B091D9295X")</f>
        <v>https://www.amazon.com/-/es/Dasqua-Cinta-m%C3%A9trica-l%C3%A1ser-1804-1080/dp/B091D9295X</v>
      </c>
      <c r="AA783" s="213" t="str">
        <f>IFERROR(__xludf.DUMMYFUNCTION("""COMPUTED_VALUE"""),"COM-306 WINCHA DIGITAL - CET")</f>
        <v>COM-306 WINCHA DIGITAL - CET</v>
      </c>
      <c r="AB783" s="213"/>
      <c r="AC783" s="213"/>
      <c r="AD783" s="213"/>
      <c r="AE783" s="213"/>
      <c r="AF783" s="213"/>
      <c r="AG783" s="213"/>
      <c r="AH783" s="213"/>
      <c r="AI783" s="213"/>
      <c r="AJ783" s="213"/>
      <c r="AK783" s="213"/>
      <c r="AL783" s="213"/>
      <c r="AM783" s="213"/>
      <c r="AN783" s="213"/>
      <c r="AO783" s="213"/>
      <c r="AP783" s="213" t="str">
        <f>IFERROR(__xludf.DUMMYFUNCTION("""COMPUTED_VALUE"""),"SEBASTIAN")</f>
        <v>SEBASTIAN</v>
      </c>
      <c r="AQ783" s="213"/>
      <c r="AR783" s="213"/>
      <c r="AS783" s="213"/>
      <c r="AT783" s="213"/>
      <c r="AU783" s="213"/>
      <c r="AV783" s="213"/>
      <c r="AW783" s="213"/>
      <c r="AX783" s="213"/>
      <c r="AY783" s="213"/>
      <c r="AZ783" s="213"/>
      <c r="BA783" s="213"/>
      <c r="BB783" s="213"/>
      <c r="BC783" s="213"/>
      <c r="BD783" s="213"/>
    </row>
    <row r="784">
      <c r="A784" s="213">
        <f>IFERROR(__xludf.DUMMYFUNCTION("""COMPUTED_VALUE"""),2567.0)</f>
        <v>2567</v>
      </c>
      <c r="B784" s="213" t="str">
        <f>IFERROR(__xludf.DUMMYFUNCTION("""COMPUTED_VALUE"""),"MANUEL ANTONIO MESONES MURO")</f>
        <v>MANUEL ANTONIO MESONES MURO</v>
      </c>
      <c r="C784" s="213" t="str">
        <f>IFERROR(__xludf.DUMMYFUNCTION("""COMPUTED_VALUE"""),"TALLER SFT DE EBANISTERÍA")</f>
        <v>TALLER SFT DE EBANISTERÍA</v>
      </c>
      <c r="D784" s="213" t="str">
        <f>IFERROR(__xludf.DUMMYFUNCTION("""COMPUTED_VALUE"""),"HERRAMIENTAS")</f>
        <v>HERRAMIENTAS</v>
      </c>
      <c r="E784" s="213" t="str">
        <f>IFERROR(__xludf.DUMMYFUNCTION("""COMPUTED_VALUE"""),"COM-306")</f>
        <v>COM-306</v>
      </c>
      <c r="F784" s="213" t="str">
        <f>IFERROR(__xludf.DUMMYFUNCTION("""COMPUTED_VALUE"""),"COM-306")</f>
        <v>COM-306</v>
      </c>
      <c r="G784" s="213"/>
      <c r="H784" s="213" t="str">
        <f>IFERROR(__xludf.DUMMYFUNCTION("""COMPUTED_VALUE"""),"WINCHA DIGITAL")</f>
        <v>WINCHA DIGITAL</v>
      </c>
      <c r="I784" s="213" t="str">
        <f>IFERROR(__xludf.DUMMYFUNCTION("""COMPUTED_VALUE"""),"Diseño compacto de la caja con forma ergonómica, máximo confort y fácil manejo. Con freno y clip para cinturón.
Cinta de acero ultra resistente recubierta con policarbonato. Ancho de la cinta: 19 mm.
Longitud útil: 5 m.
Rango de Precision de +/- 1 mm. Bat"&amp;"eria de Lithium de 1.5 V / 0.05 Vatios Graduación en centímetros y pulgadas. Pantalla digital OLED.")</f>
        <v>Diseño compacto de la caja con forma ergonómica, máximo confort y fácil manejo. Con freno y clip para cinturón.
Cinta de acero ultra resistente recubierta con policarbonato. Ancho de la cinta: 19 mm.
Longitud útil: 5 m.
Rango de Precision de +/- 1 mm. Bateria de Lithium de 1.5 V / 0.05 Vatios Graduación en centímetros y pulgadas. Pantalla digital OLED.</v>
      </c>
      <c r="J784" s="213">
        <f>IFERROR(__xludf.DUMMYFUNCTION("""COMPUTED_VALUE"""),3.0)</f>
        <v>3</v>
      </c>
      <c r="K784" s="213" t="str">
        <f>IFERROR(__xludf.DUMMYFUNCTION("""COMPUTED_VALUE"""),"90 DÍAS CALENDARIO")</f>
        <v>90 DÍAS CALENDARIO</v>
      </c>
      <c r="L784" s="213" t="str">
        <f>IFERROR(__xludf.DUMMYFUNCTION("""COMPUTED_VALUE"""),"")</f>
        <v/>
      </c>
      <c r="M784" s="213">
        <f>IFERROR(__xludf.DUMMYFUNCTION("""COMPUTED_VALUE"""),1.0)</f>
        <v>1</v>
      </c>
      <c r="N784" s="213">
        <f>IFERROR(__xludf.DUMMYFUNCTION("""COMPUTED_VALUE"""),4.0)</f>
        <v>4</v>
      </c>
      <c r="O784" s="213">
        <f>IFERROR(__xludf.DUMMYFUNCTION("""COMPUTED_VALUE"""),4.0)</f>
        <v>4</v>
      </c>
      <c r="P784" s="213"/>
      <c r="Q784" s="213"/>
      <c r="R784" s="213" t="str">
        <f>IFERROR(__xludf.DUMMYFUNCTION("""COMPUTED_VALUE"""),"SI")</f>
        <v>SI</v>
      </c>
      <c r="S784" s="213"/>
      <c r="T784" s="213" t="str">
        <f>IFERROR(__xludf.DUMMYFUNCTION("""COMPUTED_VALUE"""),"CONSULTA FINAL")</f>
        <v>CONSULTA FINAL</v>
      </c>
      <c r="U784" s="213" t="str">
        <f>IFERROR(__xludf.DUMMYFUNCTION("""COMPUTED_VALUE"""),"NO")</f>
        <v>NO</v>
      </c>
      <c r="V784" s="213" t="str">
        <f>IFERROR(__xludf.DUMMYFUNCTION("""COMPUTED_VALUE"""),"SUSTENTO")</f>
        <v>SUSTENTO</v>
      </c>
      <c r="W784" s="213" t="str">
        <f>IFERROR(__xludf.DUMMYFUNCTION("""COMPUTED_VALUE"""),"EQU TEC")</f>
        <v>EQU TEC</v>
      </c>
      <c r="X784" s="213" t="str">
        <f>IFERROR(__xludf.DUMMYFUNCTION("""COMPUTED_VALUE"""),"DASQUA")</f>
        <v>DASQUA</v>
      </c>
      <c r="Y784" s="213" t="str">
        <f>IFERROR(__xludf.DUMMYFUNCTION("""COMPUTED_VALUE"""),"1804-1080")</f>
        <v>1804-1080</v>
      </c>
      <c r="Z784" s="215" t="str">
        <f>IFERROR(__xludf.DUMMYFUNCTION("""COMPUTED_VALUE"""),"https://www.amazon.com/-/es/Dasqua-Cinta-m%C3%A9trica-l%C3%A1ser-1804-1080/dp/B091D9295X")</f>
        <v>https://www.amazon.com/-/es/Dasqua-Cinta-m%C3%A9trica-l%C3%A1ser-1804-1080/dp/B091D9295X</v>
      </c>
      <c r="AA784" s="213" t="str">
        <f>IFERROR(__xludf.DUMMYFUNCTION("""COMPUTED_VALUE"""),"COM-306 WINCHA DIGITAL - CET")</f>
        <v>COM-306 WINCHA DIGITAL - CET</v>
      </c>
      <c r="AB784" s="213"/>
      <c r="AC784" s="213"/>
      <c r="AD784" s="213"/>
      <c r="AE784" s="213"/>
      <c r="AF784" s="213"/>
      <c r="AG784" s="213"/>
      <c r="AH784" s="213"/>
      <c r="AI784" s="213"/>
      <c r="AJ784" s="213"/>
      <c r="AK784" s="213"/>
      <c r="AL784" s="213"/>
      <c r="AM784" s="213"/>
      <c r="AN784" s="213"/>
      <c r="AO784" s="213"/>
      <c r="AP784" s="213" t="str">
        <f>IFERROR(__xludf.DUMMYFUNCTION("""COMPUTED_VALUE"""),"SEBASTIAN")</f>
        <v>SEBASTIAN</v>
      </c>
      <c r="AQ784" s="213"/>
      <c r="AR784" s="213"/>
      <c r="AS784" s="213"/>
      <c r="AT784" s="213"/>
      <c r="AU784" s="213"/>
      <c r="AV784" s="213"/>
      <c r="AW784" s="213"/>
      <c r="AX784" s="213"/>
      <c r="AY784" s="213"/>
      <c r="AZ784" s="213"/>
      <c r="BA784" s="213"/>
      <c r="BB784" s="213"/>
      <c r="BC784" s="213"/>
      <c r="BD784" s="213"/>
    </row>
    <row r="785">
      <c r="A785" s="213">
        <f>IFERROR(__xludf.DUMMYFUNCTION("""COMPUTED_VALUE"""),2494.0)</f>
        <v>2494</v>
      </c>
      <c r="B785" s="213" t="str">
        <f>IFERROR(__xludf.DUMMYFUNCTION("""COMPUTED_VALUE"""),"MANUEL ANTONIO MESONES MURO")</f>
        <v>MANUEL ANTONIO MESONES MURO</v>
      </c>
      <c r="C785" s="213" t="str">
        <f>IFERROR(__xludf.DUMMYFUNCTION("""COMPUTED_VALUE"""),"TALLER SFT DE CONSTRUCCIONES METÁLICAS")</f>
        <v>TALLER SFT DE CONSTRUCCIONES METÁLICAS</v>
      </c>
      <c r="D785" s="213" t="str">
        <f>IFERROR(__xludf.DUMMYFUNCTION("""COMPUTED_VALUE"""),"HERRAMIENTAS")</f>
        <v>HERRAMIENTAS</v>
      </c>
      <c r="E785" s="213" t="str">
        <f>IFERROR(__xludf.DUMMYFUNCTION("""COMPUTED_VALUE"""),"HER-136")</f>
        <v>HER-136</v>
      </c>
      <c r="F785" s="213" t="str">
        <f>IFERROR(__xludf.DUMMYFUNCTION("""COMPUTED_VALUE"""),"HER-136")</f>
        <v>HER-136</v>
      </c>
      <c r="G785" s="213"/>
      <c r="H785" s="213" t="str">
        <f>IFERROR(__xludf.DUMMYFUNCTION("""COMPUTED_VALUE"""),"JUEGO DE ALICATES AISLADOS")</f>
        <v>JUEGO DE ALICATES AISLADOS</v>
      </c>
      <c r="I785" s="213" t="str">
        <f>IFERROR(__xludf.DUMMYFUNCTION("""COMPUTED_VALUE"""),"Juego de 3 alicates aislados
-       Certificado a 1 000 V
-       Mango con seguridad ergonómico bi-material
-       Fabricado en acero con alto contenido de cromo con tratamiento térmico
-       Soporte de alta carga eléctrica
-       Alicate de electri"&amp;"cista de 7/64” (185 mm)
-       Alicate de corte diagonal 7” (175 mm)
-       Alicate punta larga 8” ¼” (210 mm)")</f>
        <v>Juego de 3 alicates aislados
-       Certificado a 1 000 V
-       Mango con seguridad ergonómico bi-material
-       Fabricado en acero con alto contenido de cromo con tratamiento térmico
-       Soporte de alta carga eléctrica
-       Alicate de electricista de 7/64” (185 mm)
-       Alicate de corte diagonal 7” (175 mm)
-       Alicate punta larga 8” ¼” (210 mm)</v>
      </c>
      <c r="J785" s="213">
        <f>IFERROR(__xludf.DUMMYFUNCTION("""COMPUTED_VALUE"""),3.0)</f>
        <v>3</v>
      </c>
      <c r="K785" s="213" t="str">
        <f>IFERROR(__xludf.DUMMYFUNCTION("""COMPUTED_VALUE"""),"90 DÍAS CALENDARIO")</f>
        <v>90 DÍAS CALENDARIO</v>
      </c>
      <c r="L785" s="213" t="str">
        <f>IFERROR(__xludf.DUMMYFUNCTION("""COMPUTED_VALUE"""),"")</f>
        <v/>
      </c>
      <c r="M785" s="213">
        <f>IFERROR(__xludf.DUMMYFUNCTION("""COMPUTED_VALUE"""),1.0)</f>
        <v>1</v>
      </c>
      <c r="N785" s="213">
        <f>IFERROR(__xludf.DUMMYFUNCTION("""COMPUTED_VALUE"""),3.0)</f>
        <v>3</v>
      </c>
      <c r="O785" s="213">
        <f>IFERROR(__xludf.DUMMYFUNCTION("""COMPUTED_VALUE"""),3.0)</f>
        <v>3</v>
      </c>
      <c r="P785" s="213"/>
      <c r="Q785" s="213"/>
      <c r="R785" s="213" t="str">
        <f>IFERROR(__xludf.DUMMYFUNCTION("""COMPUTED_VALUE"""),"SI")</f>
        <v>SI</v>
      </c>
      <c r="S785" s="213"/>
      <c r="T785" s="213" t="str">
        <f>IFERROR(__xludf.DUMMYFUNCTION("""COMPUTED_VALUE"""),"SI")</f>
        <v>SI</v>
      </c>
      <c r="U785" s="213" t="str">
        <f>IFERROR(__xludf.DUMMYFUNCTION("""COMPUTED_VALUE"""),"SI")</f>
        <v>SI</v>
      </c>
      <c r="V785" s="213" t="str">
        <f>IFERROR(__xludf.DUMMYFUNCTION("""COMPUTED_VALUE"""),"-")</f>
        <v>-</v>
      </c>
      <c r="W785" s="213" t="str">
        <f>IFERROR(__xludf.DUMMYFUNCTION("""COMPUTED_VALUE"""),"-")</f>
        <v>-</v>
      </c>
      <c r="X785" s="213" t="str">
        <f>IFERROR(__xludf.DUMMYFUNCTION("""COMPUTED_VALUE"""),"STANLEY")</f>
        <v>STANLEY</v>
      </c>
      <c r="Y785" s="213" t="str">
        <f>IFERROR(__xludf.DUMMYFUNCTION("""COMPUTED_VALUE"""),"VDE 1000V")</f>
        <v>VDE 1000V</v>
      </c>
      <c r="Z785" s="215" t="str">
        <f>IFERROR(__xludf.DUMMYFUNCTION("""COMPUTED_VALUE"""),"https://www.sodimac.com.pe/sodimac-pe/articulo/113524255/Set-3-Alicates-Aislados-Stanley-VDE-1000V/113524256?kid=goosho_669250&amp;shop=googleShopping&amp;gad_source=1&amp;gad_campaignid=21524717227&amp;gbraid=0AAAAADOx_19x8b5Ra3HeHOFm9g2quB7Re&amp;gclid=Cj0KCQjw3aLHBhDTARIs"&amp;"AIRij5-n4fTTHEuyzX0ziM8ZITDMZkLhUVkhGa091goqpEx0tTs8iMVspi0aArSpEALw_wcB")</f>
        <v>https://www.sodimac.com.pe/sodimac-pe/articulo/113524255/Set-3-Alicates-Aislados-Stanley-VDE-1000V/113524256?kid=goosho_669250&amp;shop=googleShopping&amp;gad_source=1&amp;gad_campaignid=21524717227&amp;gbraid=0AAAAADOx_19x8b5Ra3HeHOFm9g2quB7Re&amp;gclid=Cj0KCQjw3aLHBhDTARIsAIRij5-n4fTTHEuyzX0ziM8ZITDMZkLhUVkhGa091goqpEx0tTs8iMVspi0aArSpEALw_wcB</v>
      </c>
      <c r="AA785" s="213" t="str">
        <f>IFERROR(__xludf.DUMMYFUNCTION("""COMPUTED_VALUE"""),"HER-136 JUEGO DE ALICATES - CET")</f>
        <v>HER-136 JUEGO DE ALICATES - CET</v>
      </c>
      <c r="AB785" s="213"/>
      <c r="AC785" s="213"/>
      <c r="AD785" s="213"/>
      <c r="AE785" s="213"/>
      <c r="AF785" s="213"/>
      <c r="AG785" s="213"/>
      <c r="AH785" s="213"/>
      <c r="AI785" s="213"/>
      <c r="AJ785" s="213"/>
      <c r="AK785" s="213"/>
      <c r="AL785" s="213"/>
      <c r="AM785" s="213"/>
      <c r="AN785" s="213"/>
      <c r="AO785" s="213"/>
      <c r="AP785" s="213" t="str">
        <f>IFERROR(__xludf.DUMMYFUNCTION("""COMPUTED_VALUE"""),"LUIS")</f>
        <v>LUIS</v>
      </c>
      <c r="AQ785" s="213"/>
      <c r="AR785" s="213"/>
      <c r="AS785" s="213"/>
      <c r="AT785" s="213"/>
      <c r="AU785" s="213"/>
      <c r="AV785" s="213"/>
      <c r="AW785" s="213"/>
      <c r="AX785" s="213"/>
      <c r="AY785" s="213"/>
      <c r="AZ785" s="213"/>
      <c r="BA785" s="213"/>
      <c r="BB785" s="213"/>
      <c r="BC785" s="213"/>
      <c r="BD785" s="213"/>
    </row>
    <row r="786">
      <c r="A786" s="213">
        <f>IFERROR(__xludf.DUMMYFUNCTION("""COMPUTED_VALUE"""),349.0)</f>
        <v>349</v>
      </c>
      <c r="B786" s="213" t="str">
        <f>IFERROR(__xludf.DUMMYFUNCTION("""COMPUTED_VALUE"""),"2026 SIMON BOLIVAR")</f>
        <v>2026 SIMON BOLIVAR</v>
      </c>
      <c r="C786" s="213" t="str">
        <f>IFERROR(__xludf.DUMMYFUNCTION("""COMPUTED_VALUE"""),"TALLER SFT DE ELECTRICIDAD")</f>
        <v>TALLER SFT DE ELECTRICIDAD</v>
      </c>
      <c r="D786" s="213" t="str">
        <f>IFERROR(__xludf.DUMMYFUNCTION("""COMPUTED_VALUE"""),"HERRAMIENTAS")</f>
        <v>HERRAMIENTAS</v>
      </c>
      <c r="E786" s="213" t="str">
        <f>IFERROR(__xludf.DUMMYFUNCTION("""COMPUTED_VALUE"""),"HER-101")</f>
        <v>HER-101</v>
      </c>
      <c r="F786" s="213" t="str">
        <f>IFERROR(__xludf.DUMMYFUNCTION("""COMPUTED_VALUE"""),"HER-101-X")</f>
        <v>HER-101-X</v>
      </c>
      <c r="G786" s="213"/>
      <c r="H786" s="213" t="str">
        <f>IFERROR(__xludf.DUMMYFUNCTION("""COMPUTED_VALUE"""),"ALICATE DE CORTE")</f>
        <v>ALICATE DE CORTE</v>
      </c>
      <c r="I786" s="213" t="str">
        <f>IFERROR(__xludf.DUMMYFUNCTION("""COMPUTED_VALUE"""),"· Características Técnicas:
- Alicates dieléctricos, para trabajos en corriente eléctrica.
- Para trabajos en alta tensión hasta 1000 V.
- Vástago y punta de material en acero al cromo-vanadio.
- Mango con aislamiento de PVC bimaterial, ergonómico y antid"&amp;"eslizante.
- Longitud total: 18 cm Max.
- Estuche de plástico para almacenar.")</f>
        <v>· Características Técnicas:
- Alicates dieléctricos, para trabajos en corriente eléctrica.
- Para trabajos en alta tensión hasta 1000 V.
- Vástago y punta de material en acero al cromo-vanadio.
- Mango con aislamiento de PVC bimaterial, ergonómico y antideslizante.
- Longitud total: 18 cm Max.
- Estuche de plástico para almacenar.</v>
      </c>
      <c r="J786" s="213">
        <f>IFERROR(__xludf.DUMMYFUNCTION("""COMPUTED_VALUE"""),3.0)</f>
        <v>3</v>
      </c>
      <c r="K786" s="213" t="str">
        <f>IFERROR(__xludf.DUMMYFUNCTION("""COMPUTED_VALUE"""),"90 DÍAS CALENDARIO")</f>
        <v>90 DÍAS CALENDARIO</v>
      </c>
      <c r="L786" s="213" t="str">
        <f>IFERROR(__xludf.DUMMYFUNCTION("""COMPUTED_VALUE"""),"")</f>
        <v/>
      </c>
      <c r="M786" s="213">
        <f>IFERROR(__xludf.DUMMYFUNCTION("""COMPUTED_VALUE"""),1.0)</f>
        <v>1</v>
      </c>
      <c r="N786" s="213">
        <f>IFERROR(__xludf.DUMMYFUNCTION("""COMPUTED_VALUE"""),5.0)</f>
        <v>5</v>
      </c>
      <c r="O786" s="213">
        <f>IFERROR(__xludf.DUMMYFUNCTION("""COMPUTED_VALUE"""),5.0)</f>
        <v>5</v>
      </c>
      <c r="P786" s="213"/>
      <c r="Q786" s="213"/>
      <c r="R786" s="213" t="str">
        <f>IFERROR(__xludf.DUMMYFUNCTION("""COMPUTED_VALUE"""),"SI")</f>
        <v>SI</v>
      </c>
      <c r="S786" s="213"/>
      <c r="T786" s="213" t="str">
        <f>IFERROR(__xludf.DUMMYFUNCTION("""COMPUTED_VALUE"""),"SI")</f>
        <v>SI</v>
      </c>
      <c r="U786" s="213" t="str">
        <f>IFERROR(__xludf.DUMMYFUNCTION("""COMPUTED_VALUE"""),"SI")</f>
        <v>SI</v>
      </c>
      <c r="V786" s="213" t="str">
        <f>IFERROR(__xludf.DUMMYFUNCTION("""COMPUTED_VALUE"""),"-")</f>
        <v>-</v>
      </c>
      <c r="W786" s="213" t="str">
        <f>IFERROR(__xludf.DUMMYFUNCTION("""COMPUTED_VALUE"""),"-")</f>
        <v>-</v>
      </c>
      <c r="X786" s="213" t="str">
        <f>IFERROR(__xludf.DUMMYFUNCTION("""COMPUTED_VALUE"""),"TRUPER")</f>
        <v>TRUPER</v>
      </c>
      <c r="Y786" s="213" t="str">
        <f>IFERROR(__xludf.DUMMYFUNCTION("""COMPUTED_VALUE"""),"T202-6X")</f>
        <v>T202-6X</v>
      </c>
      <c r="Z786" s="215" t="str">
        <f>IFERROR(__xludf.DUMMYFUNCTION("""COMPUTED_VALUE"""),"https://www.sodimac.com.pe/sodimac-pe/articulo/117119198/Alicate-de-corte-dielectrico-1000V-6-pulgadas-Truper-Expert/117119199?srsltid=AfmBOooBN1lm8Uqnhx4-k4wh2kEHi90ozxl1e3TlcMSCmlH1vLmJmnOQ")</f>
        <v>https://www.sodimac.com.pe/sodimac-pe/articulo/117119198/Alicate-de-corte-dielectrico-1000V-6-pulgadas-Truper-Expert/117119199?srsltid=AfmBOooBN1lm8Uqnhx4-k4wh2kEHi90ozxl1e3TlcMSCmlH1vLmJmnOQ</v>
      </c>
      <c r="AA786" s="213" t="str">
        <f>IFERROR(__xludf.DUMMYFUNCTION("""COMPUTED_VALUE"""),"HER-101-X ALICATE DE CORTE - CET")</f>
        <v>HER-101-X ALICATE DE CORTE - CET</v>
      </c>
      <c r="AB786" s="215" t="str">
        <f>IFERROR(__xludf.DUMMYFUNCTION("""COMPUTED_VALUE"""),"https://drive.google.com/file/d/1Ho2hg1YeTxPrLUWnjlp6tioUvtzmBuCX/view?usp=sharing")</f>
        <v>https://drive.google.com/file/d/1Ho2hg1YeTxPrLUWnjlp6tioUvtzmBuCX/view?usp=sharing</v>
      </c>
      <c r="AC786" s="215" t="str">
        <f>IFERROR(__xludf.DUMMYFUNCTION("""COMPUTED_VALUE"""),"https://www.sodimac.com.pe/sodimac-pe/articulo/118932564/Alicates-dielectricos-1000V-3-piezas,-1-probador-de-corriente-Truper/118932565")</f>
        <v>https://www.sodimac.com.pe/sodimac-pe/articulo/118932564/Alicates-dielectricos-1000V-3-piezas,-1-probador-de-corriente-Truper/118932565</v>
      </c>
      <c r="AD786" s="213"/>
      <c r="AE786" s="213"/>
      <c r="AF786" s="213"/>
      <c r="AG786" s="213"/>
      <c r="AH786" s="213" t="str">
        <f>IFERROR(__xludf.DUMMYFUNCTION("""COMPUTED_VALUE"""),"NACIONAL")</f>
        <v>NACIONAL</v>
      </c>
      <c r="AI786" s="213"/>
      <c r="AJ786" s="213"/>
      <c r="AK786" s="213"/>
      <c r="AL786" s="213"/>
      <c r="AM786" s="213"/>
      <c r="AN786" s="213"/>
      <c r="AO786" s="213"/>
      <c r="AP786" s="213" t="str">
        <f>IFERROR(__xludf.DUMMYFUNCTION("""COMPUTED_VALUE"""),"LUIS")</f>
        <v>LUIS</v>
      </c>
      <c r="AQ786" s="213"/>
      <c r="AR786" s="213"/>
      <c r="AS786" s="213"/>
      <c r="AT786" s="213"/>
      <c r="AU786" s="213"/>
      <c r="AV786" s="213"/>
      <c r="AW786" s="213"/>
      <c r="AX786" s="213"/>
      <c r="AY786" s="213"/>
      <c r="AZ786" s="213"/>
      <c r="BA786" s="213"/>
      <c r="BB786" s="213"/>
      <c r="BC786" s="213"/>
      <c r="BD786" s="213"/>
    </row>
    <row r="787">
      <c r="A787" s="213">
        <f>IFERROR(__xludf.DUMMYFUNCTION("""COMPUTED_VALUE"""),91.0)</f>
        <v>91</v>
      </c>
      <c r="B787" s="213" t="str">
        <f>IFERROR(__xludf.DUMMYFUNCTION("""COMPUTED_VALUE"""),"16449 ELOY SOBERON  FLORES")</f>
        <v>16449 ELOY SOBERON  FLORES</v>
      </c>
      <c r="C787" s="213" t="str">
        <f>IFERROR(__xludf.DUMMYFUNCTION("""COMPUTED_VALUE"""),"TALLER SFT DE COCINA Y REPOSTERÍA")</f>
        <v>TALLER SFT DE COCINA Y REPOSTERÍA</v>
      </c>
      <c r="D787" s="213" t="str">
        <f>IFERROR(__xludf.DUMMYFUNCTION("""COMPUTED_VALUE"""),"EQUIPOS")</f>
        <v>EQUIPOS</v>
      </c>
      <c r="E787" s="213" t="str">
        <f>IFERROR(__xludf.DUMMYFUNCTION("""COMPUTED_VALUE"""),"ESP-182")</f>
        <v>ESP-182</v>
      </c>
      <c r="F787" s="213" t="str">
        <f>IFERROR(__xludf.DUMMYFUNCTION("""COMPUTED_VALUE"""),"ESP-182")</f>
        <v>ESP-182</v>
      </c>
      <c r="G787" s="213"/>
      <c r="H787" s="213" t="str">
        <f>IFERROR(__xludf.DUMMYFUNCTION("""COMPUTED_VALUE"""),"GRATINADOR")</f>
        <v>GRATINADOR</v>
      </c>
      <c r="I787" s="213" t="str">
        <f>IFERROR(__xludf.DUMMYFUNCTION("""COMPUTED_VALUE"""),".  Quemador de infrarrojos a gas.
.  Válvulas de gas ajustables y piloto continuo para encendido.
.  Equipado con un estante de alta resistencia cromado.
.  Bandeja de goteo ancho.
.  Luz piloto.
·  Dimensiones aproximadas L 90 cm x A45 cm x H40 cm.")</f>
        <v>.  Quemador de infrarrojos a gas.
.  Válvulas de gas ajustables y piloto continuo para encendido.
.  Equipado con un estante de alta resistencia cromado.
.  Bandeja de goteo ancho.
.  Luz piloto.
·  Dimensiones aproximadas L 90 cm x A45 cm x H40 cm.</v>
      </c>
      <c r="J787" s="213">
        <f>IFERROR(__xludf.DUMMYFUNCTION("""COMPUTED_VALUE"""),3.0)</f>
        <v>3</v>
      </c>
      <c r="K787" s="213" t="str">
        <f>IFERROR(__xludf.DUMMYFUNCTION("""COMPUTED_VALUE"""),"170 DÍAS CALENDARIO")</f>
        <v>170 DÍAS CALENDARIO</v>
      </c>
      <c r="L787" s="213" t="str">
        <f>IFERROR(__xludf.DUMMYFUNCTION("""COMPUTED_VALUE"""),"")</f>
        <v/>
      </c>
      <c r="M787" s="213">
        <f>IFERROR(__xludf.DUMMYFUNCTION("""COMPUTED_VALUE"""),1.0)</f>
        <v>1</v>
      </c>
      <c r="N787" s="213">
        <f>IFERROR(__xludf.DUMMYFUNCTION("""COMPUTED_VALUE"""),1.0)</f>
        <v>1</v>
      </c>
      <c r="O787" s="213">
        <f>IFERROR(__xludf.DUMMYFUNCTION("""COMPUTED_VALUE"""),1.0)</f>
        <v>1</v>
      </c>
      <c r="P787" s="213"/>
      <c r="Q787" s="213"/>
      <c r="R787" s="213"/>
      <c r="S787" s="213" t="str">
        <f>IFERROR(__xludf.DUMMYFUNCTION("""COMPUTED_VALUE"""),"SI")</f>
        <v>SI</v>
      </c>
      <c r="T787" s="213" t="str">
        <f>IFERROR(__xludf.DUMMYFUNCTION("""COMPUTED_VALUE"""),"SI")</f>
        <v>SI</v>
      </c>
      <c r="U787" s="213" t="str">
        <f>IFERROR(__xludf.DUMMYFUNCTION("""COMPUTED_VALUE"""),"NO")</f>
        <v>NO</v>
      </c>
      <c r="V787" s="213" t="str">
        <f>IFERROR(__xludf.DUMMYFUNCTION("""COMPUTED_VALUE"""),"SUSTENTO")</f>
        <v>SUSTENTO</v>
      </c>
      <c r="W787" s="213" t="str">
        <f>IFERROR(__xludf.DUMMYFUNCTION("""COMPUTED_VALUE"""),"ERROR EETT")</f>
        <v>ERROR EETT</v>
      </c>
      <c r="X787" s="213" t="str">
        <f>IFERROR(__xludf.DUMMYFUNCTION("""COMPUTED_VALUE"""),"IMPERIAL")</f>
        <v>IMPERIAL</v>
      </c>
      <c r="Y787" s="213" t="str">
        <f>IFERROR(__xludf.DUMMYFUNCTION("""COMPUTED_VALUE"""),"ISB-36")</f>
        <v>ISB-36</v>
      </c>
      <c r="Z787" s="215" t="str">
        <f>IFERROR(__xludf.DUMMYFUNCTION("""COMPUTED_VALUE"""),"https://www.etundra.com/pdf/impisb36.30565.pdf?srsltid=AfmBOopOGYLgQ599wiBHhNyjemVCVLfmtWWKy0HNSO9RnWgME8UlJHLn")</f>
        <v>https://www.etundra.com/pdf/impisb36.30565.pdf?srsltid=AfmBOopOGYLgQ599wiBHhNyjemVCVLfmtWWKy0HNSO9RnWgME8UlJHLn</v>
      </c>
      <c r="AA787" s="213" t="str">
        <f>IFERROR(__xludf.DUMMYFUNCTION("""COMPUTED_VALUE"""),"ESP-182 GRATINADOR - CET")</f>
        <v>ESP-182 GRATINADOR - CET</v>
      </c>
      <c r="AB787" s="213"/>
      <c r="AC787" s="213"/>
      <c r="AD787" s="213"/>
      <c r="AE787" s="213"/>
      <c r="AF787" s="213"/>
      <c r="AG787" s="213"/>
      <c r="AH787" s="213" t="str">
        <f>IFERROR(__xludf.DUMMYFUNCTION("""COMPUTED_VALUE"""),"IMPORTADO")</f>
        <v>IMPORTADO</v>
      </c>
      <c r="AI787" s="213"/>
      <c r="AJ787" s="213"/>
      <c r="AK787" s="213"/>
      <c r="AL787" s="213"/>
      <c r="AM787" s="213"/>
      <c r="AN787" s="213"/>
      <c r="AO787" s="213"/>
      <c r="AP787" s="213" t="str">
        <f>IFERROR(__xludf.DUMMYFUNCTION("""COMPUTED_VALUE"""),"JASON")</f>
        <v>JASON</v>
      </c>
      <c r="AQ787" s="213"/>
      <c r="AR787" s="213"/>
      <c r="AS787" s="213" t="str">
        <f>IFERROR(__xludf.DUMMYFUNCTION("""COMPUTED_VALUE"""),"ACCESORIOS PARA CONEXIÓN A GAS")</f>
        <v>ACCESORIOS PARA CONEXIÓN A GAS</v>
      </c>
      <c r="AT787" s="213"/>
      <c r="AU787" s="213"/>
      <c r="AV787" s="213"/>
      <c r="AW787" s="213"/>
      <c r="AX787" s="213"/>
      <c r="AY787" s="213"/>
      <c r="AZ787" s="213"/>
      <c r="BA787" s="213"/>
      <c r="BB787" s="213"/>
      <c r="BC787" s="213"/>
      <c r="BD787" s="213"/>
    </row>
    <row r="788">
      <c r="A788" s="213">
        <f>IFERROR(__xludf.DUMMYFUNCTION("""COMPUTED_VALUE"""),630.0)</f>
        <v>630</v>
      </c>
      <c r="B788" s="213" t="str">
        <f>IFERROR(__xludf.DUMMYFUNCTION("""COMPUTED_VALUE"""),"6049 RICARDO PALMA")</f>
        <v>6049 RICARDO PALMA</v>
      </c>
      <c r="C788" s="213" t="str">
        <f>IFERROR(__xludf.DUMMYFUNCTION("""COMPUTED_VALUE"""),"TALLER SFT DE ELECTRÓNICA")</f>
        <v>TALLER SFT DE ELECTRÓNICA</v>
      </c>
      <c r="D788" s="213" t="str">
        <f>IFERROR(__xludf.DUMMYFUNCTION("""COMPUTED_VALUE"""),"HERRAMIENTAS")</f>
        <v>HERRAMIENTAS</v>
      </c>
      <c r="E788" s="213" t="str">
        <f>IFERROR(__xludf.DUMMYFUNCTION("""COMPUTED_VALUE"""),"HER-101")</f>
        <v>HER-101</v>
      </c>
      <c r="F788" s="213" t="str">
        <f>IFERROR(__xludf.DUMMYFUNCTION("""COMPUTED_VALUE"""),"HER-101-Y")</f>
        <v>HER-101-Y</v>
      </c>
      <c r="G788" s="213"/>
      <c r="H788" s="213" t="str">
        <f>IFERROR(__xludf.DUMMYFUNCTION("""COMPUTED_VALUE"""),"ALICATE DE CORTE")</f>
        <v>ALICATE DE CORTE</v>
      </c>
      <c r="I788" s="213" t="str">
        <f>IFERROR(__xludf.DUMMYFUNCTION("""COMPUTED_VALUE"""),"*Alicates dieléctricos, para trabajos en corriente eléctrica.
*Para trabajos en tensión hasta 1000 V.
*Vástago y punta de material en acero al cromo-vanadio.
- Mango con aislamiento dieléctrico, ergonómico y antideslizante.
- Longitud total: 18 cm aprox.")</f>
        <v>*Alicates dieléctricos, para trabajos en corriente eléctrica.
*Para trabajos en tensión hasta 1000 V.
*Vástago y punta de material en acero al cromo-vanadio.
- Mango con aislamiento dieléctrico, ergonómico y antideslizante.
- Longitud total: 18 cm aprox.</v>
      </c>
      <c r="J788" s="213">
        <f>IFERROR(__xludf.DUMMYFUNCTION("""COMPUTED_VALUE"""),3.0)</f>
        <v>3</v>
      </c>
      <c r="K788" s="213" t="str">
        <f>IFERROR(__xludf.DUMMYFUNCTION("""COMPUTED_VALUE"""),"90 DÍAS CALENDARIO")</f>
        <v>90 DÍAS CALENDARIO</v>
      </c>
      <c r="L788" s="213" t="str">
        <f>IFERROR(__xludf.DUMMYFUNCTION("""COMPUTED_VALUE"""),"")</f>
        <v/>
      </c>
      <c r="M788" s="213">
        <f>IFERROR(__xludf.DUMMYFUNCTION("""COMPUTED_VALUE"""),1.0)</f>
        <v>1</v>
      </c>
      <c r="N788" s="213">
        <f>IFERROR(__xludf.DUMMYFUNCTION("""COMPUTED_VALUE"""),4.0)</f>
        <v>4</v>
      </c>
      <c r="O788" s="213">
        <f>IFERROR(__xludf.DUMMYFUNCTION("""COMPUTED_VALUE"""),4.0)</f>
        <v>4</v>
      </c>
      <c r="P788" s="213"/>
      <c r="Q788" s="213"/>
      <c r="R788" s="213" t="str">
        <f>IFERROR(__xludf.DUMMYFUNCTION("""COMPUTED_VALUE"""),"SI")</f>
        <v>SI</v>
      </c>
      <c r="S788" s="213"/>
      <c r="T788" s="213" t="str">
        <f>IFERROR(__xludf.DUMMYFUNCTION("""COMPUTED_VALUE"""),"SI")</f>
        <v>SI</v>
      </c>
      <c r="U788" s="213" t="str">
        <f>IFERROR(__xludf.DUMMYFUNCTION("""COMPUTED_VALUE"""),"SI")</f>
        <v>SI</v>
      </c>
      <c r="V788" s="213" t="str">
        <f>IFERROR(__xludf.DUMMYFUNCTION("""COMPUTED_VALUE"""),"-")</f>
        <v>-</v>
      </c>
      <c r="W788" s="213" t="str">
        <f>IFERROR(__xludf.DUMMYFUNCTION("""COMPUTED_VALUE"""),"-")</f>
        <v>-</v>
      </c>
      <c r="X788" s="213" t="str">
        <f>IFERROR(__xludf.DUMMYFUNCTION("""COMPUTED_VALUE"""),"TRUPER")</f>
        <v>TRUPER</v>
      </c>
      <c r="Y788" s="213" t="str">
        <f>IFERROR(__xludf.DUMMYFUNCTION("""COMPUTED_VALUE"""),"T202-6X")</f>
        <v>T202-6X</v>
      </c>
      <c r="Z788" s="215" t="str">
        <f>IFERROR(__xludf.DUMMYFUNCTION("""COMPUTED_VALUE"""),"https://www.sodimac.com.pe/sodimac-pe/articulo/117119198/Alicate-de-corte-dielectrico-1000V-6-pulgadas-Truper-Expert/117119199?srsltid=AfmBOooBN1lm8Uqnhx4-k4wh2kEHi90ozxl1e3TlcMSCmlH1vLmJmnOQ")</f>
        <v>https://www.sodimac.com.pe/sodimac-pe/articulo/117119198/Alicate-de-corte-dielectrico-1000V-6-pulgadas-Truper-Expert/117119199?srsltid=AfmBOooBN1lm8Uqnhx4-k4wh2kEHi90ozxl1e3TlcMSCmlH1vLmJmnOQ</v>
      </c>
      <c r="AA788" s="213" t="str">
        <f>IFERROR(__xludf.DUMMYFUNCTION("""COMPUTED_VALUE"""),"HER-101-Y ALICATE DE CORTE - CET")</f>
        <v>HER-101-Y ALICATE DE CORTE - CET</v>
      </c>
      <c r="AB788" s="215" t="str">
        <f>IFERROR(__xludf.DUMMYFUNCTION("""COMPUTED_VALUE"""),"https://drive.google.com/file/d/1Ho2hg1YeTxPrLUWnjlp6tioUvtzmBuCX/view?usp=sharing")</f>
        <v>https://drive.google.com/file/d/1Ho2hg1YeTxPrLUWnjlp6tioUvtzmBuCX/view?usp=sharing</v>
      </c>
      <c r="AC788" s="215" t="str">
        <f>IFERROR(__xludf.DUMMYFUNCTION("""COMPUTED_VALUE"""),"https://www.sodimac.com.pe/sodimac-pe/articulo/118932564/Alicates-dielectricos-1000V-3-piezas,-1-probador-de-corriente-Truper/118932565")</f>
        <v>https://www.sodimac.com.pe/sodimac-pe/articulo/118932564/Alicates-dielectricos-1000V-3-piezas,-1-probador-de-corriente-Truper/118932565</v>
      </c>
      <c r="AD788" s="213"/>
      <c r="AE788" s="213"/>
      <c r="AF788" s="213"/>
      <c r="AG788" s="213"/>
      <c r="AH788" s="213" t="str">
        <f>IFERROR(__xludf.DUMMYFUNCTION("""COMPUTED_VALUE"""),"NACIONAL")</f>
        <v>NACIONAL</v>
      </c>
      <c r="AI788" s="213"/>
      <c r="AJ788" s="213"/>
      <c r="AK788" s="213"/>
      <c r="AL788" s="213"/>
      <c r="AM788" s="213"/>
      <c r="AN788" s="213"/>
      <c r="AO788" s="213"/>
      <c r="AP788" s="213" t="str">
        <f>IFERROR(__xludf.DUMMYFUNCTION("""COMPUTED_VALUE"""),"LUIS")</f>
        <v>LUIS</v>
      </c>
      <c r="AQ788" s="213"/>
      <c r="AR788" s="213"/>
      <c r="AS788" s="213"/>
      <c r="AT788" s="213"/>
      <c r="AU788" s="213"/>
      <c r="AV788" s="213"/>
      <c r="AW788" s="213"/>
      <c r="AX788" s="213"/>
      <c r="AY788" s="213"/>
      <c r="AZ788" s="213"/>
      <c r="BA788" s="213"/>
      <c r="BB788" s="213"/>
      <c r="BC788" s="213"/>
      <c r="BD788" s="213"/>
    </row>
    <row r="789">
      <c r="A789" s="213">
        <f>IFERROR(__xludf.DUMMYFUNCTION("""COMPUTED_VALUE"""),835.0)</f>
        <v>835</v>
      </c>
      <c r="B789" s="213" t="str">
        <f>IFERROR(__xludf.DUMMYFUNCTION("""COMPUTED_VALUE"""),"6049 RICARDO PALMA")</f>
        <v>6049 RICARDO PALMA</v>
      </c>
      <c r="C789" s="213" t="str">
        <f>IFERROR(__xludf.DUMMYFUNCTION("""COMPUTED_VALUE"""),"TALLER SFT DE ELECTRICIDAD")</f>
        <v>TALLER SFT DE ELECTRICIDAD</v>
      </c>
      <c r="D789" s="213" t="str">
        <f>IFERROR(__xludf.DUMMYFUNCTION("""COMPUTED_VALUE"""),"HERRAMIENTAS")</f>
        <v>HERRAMIENTAS</v>
      </c>
      <c r="E789" s="213" t="str">
        <f>IFERROR(__xludf.DUMMYFUNCTION("""COMPUTED_VALUE"""),"HER-101")</f>
        <v>HER-101</v>
      </c>
      <c r="F789" s="213" t="str">
        <f>IFERROR(__xludf.DUMMYFUNCTION("""COMPUTED_VALUE"""),"HER-101-X")</f>
        <v>HER-101-X</v>
      </c>
      <c r="G789" s="213"/>
      <c r="H789" s="213" t="str">
        <f>IFERROR(__xludf.DUMMYFUNCTION("""COMPUTED_VALUE"""),"ALICATE DE CORTE")</f>
        <v>ALICATE DE CORTE</v>
      </c>
      <c r="I789" s="213" t="str">
        <f>IFERROR(__xludf.DUMMYFUNCTION("""COMPUTED_VALUE"""),"· Características Técnicas:
- Alicates dieléctricos, para trabajos en corriente eléctrica.
- Para trabajos en alta tensión hasta 1000 V.
- Vástago y punta de material en acero al cromo-vanadio.
- Mango con aislamiento de PVC bimaterial, ergonómico y antid"&amp;"eslizante.
- Longitud total: 18 cm Max.
- Estuche de plástico para almacenar.")</f>
        <v>· Características Técnicas:
- Alicates dieléctricos, para trabajos en corriente eléctrica.
- Para trabajos en alta tensión hasta 1000 V.
- Vástago y punta de material en acero al cromo-vanadio.
- Mango con aislamiento de PVC bimaterial, ergonómico y antideslizante.
- Longitud total: 18 cm Max.
- Estuche de plástico para almacenar.</v>
      </c>
      <c r="J789" s="213">
        <f>IFERROR(__xludf.DUMMYFUNCTION("""COMPUTED_VALUE"""),3.0)</f>
        <v>3</v>
      </c>
      <c r="K789" s="213" t="str">
        <f>IFERROR(__xludf.DUMMYFUNCTION("""COMPUTED_VALUE"""),"90 DÍAS CALENDARIO")</f>
        <v>90 DÍAS CALENDARIO</v>
      </c>
      <c r="L789" s="213" t="str">
        <f>IFERROR(__xludf.DUMMYFUNCTION("""COMPUTED_VALUE"""),"")</f>
        <v/>
      </c>
      <c r="M789" s="213">
        <f>IFERROR(__xludf.DUMMYFUNCTION("""COMPUTED_VALUE"""),1.0)</f>
        <v>1</v>
      </c>
      <c r="N789" s="213">
        <f>IFERROR(__xludf.DUMMYFUNCTION("""COMPUTED_VALUE"""),5.0)</f>
        <v>5</v>
      </c>
      <c r="O789" s="213">
        <f>IFERROR(__xludf.DUMMYFUNCTION("""COMPUTED_VALUE"""),5.0)</f>
        <v>5</v>
      </c>
      <c r="P789" s="213"/>
      <c r="Q789" s="213"/>
      <c r="R789" s="213" t="str">
        <f>IFERROR(__xludf.DUMMYFUNCTION("""COMPUTED_VALUE"""),"SI")</f>
        <v>SI</v>
      </c>
      <c r="S789" s="213"/>
      <c r="T789" s="213" t="str">
        <f>IFERROR(__xludf.DUMMYFUNCTION("""COMPUTED_VALUE"""),"SI")</f>
        <v>SI</v>
      </c>
      <c r="U789" s="213" t="str">
        <f>IFERROR(__xludf.DUMMYFUNCTION("""COMPUTED_VALUE"""),"SI")</f>
        <v>SI</v>
      </c>
      <c r="V789" s="213" t="str">
        <f>IFERROR(__xludf.DUMMYFUNCTION("""COMPUTED_VALUE"""),"-")</f>
        <v>-</v>
      </c>
      <c r="W789" s="213" t="str">
        <f>IFERROR(__xludf.DUMMYFUNCTION("""COMPUTED_VALUE"""),"-")</f>
        <v>-</v>
      </c>
      <c r="X789" s="213" t="str">
        <f>IFERROR(__xludf.DUMMYFUNCTION("""COMPUTED_VALUE"""),"TRUPER")</f>
        <v>TRUPER</v>
      </c>
      <c r="Y789" s="213" t="str">
        <f>IFERROR(__xludf.DUMMYFUNCTION("""COMPUTED_VALUE"""),"T202-6X")</f>
        <v>T202-6X</v>
      </c>
      <c r="Z789" s="215" t="str">
        <f>IFERROR(__xludf.DUMMYFUNCTION("""COMPUTED_VALUE"""),"https://www.sodimac.com.pe/sodimac-pe/articulo/117119198/Alicate-de-corte-dielectrico-1000V-6-pulgadas-Truper-Expert/117119199?srsltid=AfmBOooBN1lm8Uqnhx4-k4wh2kEHi90ozxl1e3TlcMSCmlH1vLmJmnOQ")</f>
        <v>https://www.sodimac.com.pe/sodimac-pe/articulo/117119198/Alicate-de-corte-dielectrico-1000V-6-pulgadas-Truper-Expert/117119199?srsltid=AfmBOooBN1lm8Uqnhx4-k4wh2kEHi90ozxl1e3TlcMSCmlH1vLmJmnOQ</v>
      </c>
      <c r="AA789" s="213" t="str">
        <f>IFERROR(__xludf.DUMMYFUNCTION("""COMPUTED_VALUE"""),"HER-101-X ALICATE DE CORTE - CET")</f>
        <v>HER-101-X ALICATE DE CORTE - CET</v>
      </c>
      <c r="AB789" s="215" t="str">
        <f>IFERROR(__xludf.DUMMYFUNCTION("""COMPUTED_VALUE"""),"https://drive.google.com/file/d/1Ho2hg1YeTxPrLUWnjlp6tioUvtzmBuCX/view?usp=sharing")</f>
        <v>https://drive.google.com/file/d/1Ho2hg1YeTxPrLUWnjlp6tioUvtzmBuCX/view?usp=sharing</v>
      </c>
      <c r="AC789" s="215" t="str">
        <f>IFERROR(__xludf.DUMMYFUNCTION("""COMPUTED_VALUE"""),"https://www.sodimac.com.pe/sodimac-pe/articulo/118932564/Alicates-dielectricos-1000V-3-piezas,-1-probador-de-corriente-Truper/118932565")</f>
        <v>https://www.sodimac.com.pe/sodimac-pe/articulo/118932564/Alicates-dielectricos-1000V-3-piezas,-1-probador-de-corriente-Truper/118932565</v>
      </c>
      <c r="AD789" s="213"/>
      <c r="AE789" s="213"/>
      <c r="AF789" s="213"/>
      <c r="AG789" s="213"/>
      <c r="AH789" s="213" t="str">
        <f>IFERROR(__xludf.DUMMYFUNCTION("""COMPUTED_VALUE"""),"NACIONAL")</f>
        <v>NACIONAL</v>
      </c>
      <c r="AI789" s="213"/>
      <c r="AJ789" s="213"/>
      <c r="AK789" s="213"/>
      <c r="AL789" s="213"/>
      <c r="AM789" s="213"/>
      <c r="AN789" s="213"/>
      <c r="AO789" s="213"/>
      <c r="AP789" s="213" t="str">
        <f>IFERROR(__xludf.DUMMYFUNCTION("""COMPUTED_VALUE"""),"LUIS")</f>
        <v>LUIS</v>
      </c>
      <c r="AQ789" s="213"/>
      <c r="AR789" s="213"/>
      <c r="AS789" s="213"/>
      <c r="AT789" s="213"/>
      <c r="AU789" s="213"/>
      <c r="AV789" s="213"/>
      <c r="AW789" s="213"/>
      <c r="AX789" s="213"/>
      <c r="AY789" s="213"/>
      <c r="AZ789" s="213"/>
      <c r="BA789" s="213"/>
      <c r="BB789" s="213"/>
      <c r="BC789" s="213"/>
      <c r="BD789" s="213"/>
    </row>
    <row r="790">
      <c r="A790" s="213">
        <f>IFERROR(__xludf.DUMMYFUNCTION("""COMPUTED_VALUE"""),1257.0)</f>
        <v>1257</v>
      </c>
      <c r="B790" s="213" t="str">
        <f>IFERROR(__xludf.DUMMYFUNCTION("""COMPUTED_VALUE"""),"GUILLERMO E. BILLINGHURST ")</f>
        <v>GUILLERMO E. BILLINGHURST </v>
      </c>
      <c r="C790" s="213" t="str">
        <f>IFERROR(__xludf.DUMMYFUNCTION("""COMPUTED_VALUE"""),"TALLER SFT DE ELECTRICIDAD")</f>
        <v>TALLER SFT DE ELECTRICIDAD</v>
      </c>
      <c r="D790" s="213" t="str">
        <f>IFERROR(__xludf.DUMMYFUNCTION("""COMPUTED_VALUE"""),"HERRAMIENTAS")</f>
        <v>HERRAMIENTAS</v>
      </c>
      <c r="E790" s="213" t="str">
        <f>IFERROR(__xludf.DUMMYFUNCTION("""COMPUTED_VALUE"""),"HER-101")</f>
        <v>HER-101</v>
      </c>
      <c r="F790" s="213" t="str">
        <f>IFERROR(__xludf.DUMMYFUNCTION("""COMPUTED_VALUE"""),"HER-101-X")</f>
        <v>HER-101-X</v>
      </c>
      <c r="G790" s="213"/>
      <c r="H790" s="213" t="str">
        <f>IFERROR(__xludf.DUMMYFUNCTION("""COMPUTED_VALUE"""),"ALICATE DE CORTE")</f>
        <v>ALICATE DE CORTE</v>
      </c>
      <c r="I790" s="213" t="str">
        <f>IFERROR(__xludf.DUMMYFUNCTION("""COMPUTED_VALUE"""),"· Características Técnicas:
- Alicates dieléctricos, para trabajos en corriente eléctrica.
- Para trabajos en alta tensión hasta 1000 V.
- Vástago y punta de material en acero al cromo-vanadio.
- Mango con aislamiento de PVC bimaterial, ergonómico y antid"&amp;"eslizante.
- Longitud total: 18 cm Max.
- Estuche de plástico para almacenar.")</f>
        <v>· Características Técnicas:
- Alicates dieléctricos, para trabajos en corriente eléctrica.
- Para trabajos en alta tensión hasta 1000 V.
- Vástago y punta de material en acero al cromo-vanadio.
- Mango con aislamiento de PVC bimaterial, ergonómico y antideslizante.
- Longitud total: 18 cm Max.
- Estuche de plástico para almacenar.</v>
      </c>
      <c r="J790" s="213">
        <f>IFERROR(__xludf.DUMMYFUNCTION("""COMPUTED_VALUE"""),3.0)</f>
        <v>3</v>
      </c>
      <c r="K790" s="213" t="str">
        <f>IFERROR(__xludf.DUMMYFUNCTION("""COMPUTED_VALUE"""),"90 DÍAS CALENDARIO")</f>
        <v>90 DÍAS CALENDARIO</v>
      </c>
      <c r="L790" s="213" t="str">
        <f>IFERROR(__xludf.DUMMYFUNCTION("""COMPUTED_VALUE"""),"")</f>
        <v/>
      </c>
      <c r="M790" s="213">
        <f>IFERROR(__xludf.DUMMYFUNCTION("""COMPUTED_VALUE"""),1.0)</f>
        <v>1</v>
      </c>
      <c r="N790" s="213">
        <f>IFERROR(__xludf.DUMMYFUNCTION("""COMPUTED_VALUE"""),5.0)</f>
        <v>5</v>
      </c>
      <c r="O790" s="213">
        <f>IFERROR(__xludf.DUMMYFUNCTION("""COMPUTED_VALUE"""),5.0)</f>
        <v>5</v>
      </c>
      <c r="P790" s="213"/>
      <c r="Q790" s="213"/>
      <c r="R790" s="213" t="str">
        <f>IFERROR(__xludf.DUMMYFUNCTION("""COMPUTED_VALUE"""),"SI")</f>
        <v>SI</v>
      </c>
      <c r="S790" s="213"/>
      <c r="T790" s="213" t="str">
        <f>IFERROR(__xludf.DUMMYFUNCTION("""COMPUTED_VALUE"""),"SI")</f>
        <v>SI</v>
      </c>
      <c r="U790" s="213" t="str">
        <f>IFERROR(__xludf.DUMMYFUNCTION("""COMPUTED_VALUE"""),"SI")</f>
        <v>SI</v>
      </c>
      <c r="V790" s="213" t="str">
        <f>IFERROR(__xludf.DUMMYFUNCTION("""COMPUTED_VALUE"""),"-")</f>
        <v>-</v>
      </c>
      <c r="W790" s="213" t="str">
        <f>IFERROR(__xludf.DUMMYFUNCTION("""COMPUTED_VALUE"""),"-")</f>
        <v>-</v>
      </c>
      <c r="X790" s="213" t="str">
        <f>IFERROR(__xludf.DUMMYFUNCTION("""COMPUTED_VALUE"""),"TRUPER")</f>
        <v>TRUPER</v>
      </c>
      <c r="Y790" s="213" t="str">
        <f>IFERROR(__xludf.DUMMYFUNCTION("""COMPUTED_VALUE"""),"T202-6X")</f>
        <v>T202-6X</v>
      </c>
      <c r="Z790" s="215" t="str">
        <f>IFERROR(__xludf.DUMMYFUNCTION("""COMPUTED_VALUE"""),"https://www.sodimac.com.pe/sodimac-pe/articulo/117119198/Alicate-de-corte-dielectrico-1000V-6-pulgadas-Truper-Expert/117119199?srsltid=AfmBOooBN1lm8Uqnhx4-k4wh2kEHi90ozxl1e3TlcMSCmlH1vLmJmnOQ")</f>
        <v>https://www.sodimac.com.pe/sodimac-pe/articulo/117119198/Alicate-de-corte-dielectrico-1000V-6-pulgadas-Truper-Expert/117119199?srsltid=AfmBOooBN1lm8Uqnhx4-k4wh2kEHi90ozxl1e3TlcMSCmlH1vLmJmnOQ</v>
      </c>
      <c r="AA790" s="213" t="str">
        <f>IFERROR(__xludf.DUMMYFUNCTION("""COMPUTED_VALUE"""),"HER-101-X ALICATE DE CORTE - CET")</f>
        <v>HER-101-X ALICATE DE CORTE - CET</v>
      </c>
      <c r="AB790" s="215" t="str">
        <f>IFERROR(__xludf.DUMMYFUNCTION("""COMPUTED_VALUE"""),"https://drive.google.com/file/d/1Ho2hg1YeTxPrLUWnjlp6tioUvtzmBuCX/view?usp=sharing")</f>
        <v>https://drive.google.com/file/d/1Ho2hg1YeTxPrLUWnjlp6tioUvtzmBuCX/view?usp=sharing</v>
      </c>
      <c r="AC790" s="215" t="str">
        <f>IFERROR(__xludf.DUMMYFUNCTION("""COMPUTED_VALUE"""),"https://www.sodimac.com.pe/sodimac-pe/articulo/118932564/Alicates-dielectricos-1000V-3-piezas,-1-probador-de-corriente-Truper/118932565")</f>
        <v>https://www.sodimac.com.pe/sodimac-pe/articulo/118932564/Alicates-dielectricos-1000V-3-piezas,-1-probador-de-corriente-Truper/118932565</v>
      </c>
      <c r="AD790" s="213"/>
      <c r="AE790" s="213"/>
      <c r="AF790" s="213"/>
      <c r="AG790" s="213"/>
      <c r="AH790" s="213" t="str">
        <f>IFERROR(__xludf.DUMMYFUNCTION("""COMPUTED_VALUE"""),"NACIONAL")</f>
        <v>NACIONAL</v>
      </c>
      <c r="AI790" s="213"/>
      <c r="AJ790" s="213"/>
      <c r="AK790" s="213"/>
      <c r="AL790" s="213"/>
      <c r="AM790" s="213"/>
      <c r="AN790" s="213"/>
      <c r="AO790" s="213"/>
      <c r="AP790" s="213" t="str">
        <f>IFERROR(__xludf.DUMMYFUNCTION("""COMPUTED_VALUE"""),"LUIS")</f>
        <v>LUIS</v>
      </c>
      <c r="AQ790" s="213"/>
      <c r="AR790" s="213"/>
      <c r="AS790" s="213"/>
      <c r="AT790" s="213"/>
      <c r="AU790" s="213"/>
      <c r="AV790" s="213"/>
      <c r="AW790" s="213"/>
      <c r="AX790" s="213"/>
      <c r="AY790" s="213"/>
      <c r="AZ790" s="213"/>
      <c r="BA790" s="213"/>
      <c r="BB790" s="213"/>
      <c r="BC790" s="213"/>
      <c r="BD790" s="213"/>
    </row>
    <row r="791">
      <c r="A791" s="213">
        <f>IFERROR(__xludf.DUMMYFUNCTION("""COMPUTED_VALUE"""),941.0)</f>
        <v>941</v>
      </c>
      <c r="B791" s="213" t="str">
        <f>IFERROR(__xludf.DUMMYFUNCTION("""COMPUTED_VALUE"""),"FRANCISCO IRAZOLA")</f>
        <v>FRANCISCO IRAZOLA</v>
      </c>
      <c r="C791" s="213" t="str">
        <f>IFERROR(__xludf.DUMMYFUNCTION("""COMPUTED_VALUE"""),"TALLER SFT DE MECÁNICA AUTOMOTRIZ")</f>
        <v>TALLER SFT DE MECÁNICA AUTOMOTRIZ</v>
      </c>
      <c r="D791" s="213" t="str">
        <f>IFERROR(__xludf.DUMMYFUNCTION("""COMPUTED_VALUE"""),"HERRAMIENTAS")</f>
        <v>HERRAMIENTAS</v>
      </c>
      <c r="E791" s="213" t="str">
        <f>IFERROR(__xludf.DUMMYFUNCTION("""COMPUTED_VALUE"""),"HER-102")</f>
        <v>HER-102</v>
      </c>
      <c r="F791" s="213" t="str">
        <f>IFERROR(__xludf.DUMMYFUNCTION("""COMPUTED_VALUE"""),"HER-102")</f>
        <v>HER-102</v>
      </c>
      <c r="G791" s="213"/>
      <c r="H791" s="213" t="str">
        <f>IFERROR(__xludf.DUMMYFUNCTION("""COMPUTED_VALUE"""),"ALICATE DE PRESIÓN")</f>
        <v>ALICATE DE PRESIÓN</v>
      </c>
      <c r="I791" s="213" t="str">
        <f>IFERROR(__xludf.DUMMYFUNCTION("""COMPUTED_VALUE"""),"Alicate de presión, boca curva y cortante. Longitud: mínimo 190 mm.
Ancho de la cabeza: mínimo 43 mm.
Abertura máxima de la boca para sostener pieza: 42 mm. Acabado: cromado.")</f>
        <v>Alicate de presión, boca curva y cortante. Longitud: mínimo 190 mm.
Ancho de la cabeza: mínimo 43 mm.
Abertura máxima de la boca para sostener pieza: 42 mm. Acabado: cromado.</v>
      </c>
      <c r="J791" s="213">
        <f>IFERROR(__xludf.DUMMYFUNCTION("""COMPUTED_VALUE"""),3.0)</f>
        <v>3</v>
      </c>
      <c r="K791" s="213" t="str">
        <f>IFERROR(__xludf.DUMMYFUNCTION("""COMPUTED_VALUE"""),"90 DÍAS CALENDARIO")</f>
        <v>90 DÍAS CALENDARIO</v>
      </c>
      <c r="L791" s="213" t="str">
        <f>IFERROR(__xludf.DUMMYFUNCTION("""COMPUTED_VALUE"""),"")</f>
        <v/>
      </c>
      <c r="M791" s="213">
        <f>IFERROR(__xludf.DUMMYFUNCTION("""COMPUTED_VALUE"""),1.0)</f>
        <v>1</v>
      </c>
      <c r="N791" s="213">
        <f>IFERROR(__xludf.DUMMYFUNCTION("""COMPUTED_VALUE"""),4.0)</f>
        <v>4</v>
      </c>
      <c r="O791" s="213">
        <f>IFERROR(__xludf.DUMMYFUNCTION("""COMPUTED_VALUE"""),4.0)</f>
        <v>4</v>
      </c>
      <c r="P791" s="213"/>
      <c r="Q791" s="213"/>
      <c r="R791" s="213" t="str">
        <f>IFERROR(__xludf.DUMMYFUNCTION("""COMPUTED_VALUE"""),"SI")</f>
        <v>SI</v>
      </c>
      <c r="S791" s="213"/>
      <c r="T791" s="213" t="str">
        <f>IFERROR(__xludf.DUMMYFUNCTION("""COMPUTED_VALUE"""),"SI")</f>
        <v>SI</v>
      </c>
      <c r="U791" s="213" t="str">
        <f>IFERROR(__xludf.DUMMYFUNCTION("""COMPUTED_VALUE"""),"SI")</f>
        <v>SI</v>
      </c>
      <c r="V791" s="213" t="str">
        <f>IFERROR(__xludf.DUMMYFUNCTION("""COMPUTED_VALUE"""),"-")</f>
        <v>-</v>
      </c>
      <c r="W791" s="213" t="str">
        <f>IFERROR(__xludf.DUMMYFUNCTION("""COMPUTED_VALUE"""),"-")</f>
        <v>-</v>
      </c>
      <c r="X791" s="213" t="str">
        <f>IFERROR(__xludf.DUMMYFUNCTION("""COMPUTED_VALUE"""),"TRUPER")</f>
        <v>TRUPER</v>
      </c>
      <c r="Y791" s="213">
        <f>IFERROR(__xludf.DUMMYFUNCTION("""COMPUTED_VALUE"""),17423.0)</f>
        <v>17423</v>
      </c>
      <c r="Z791" s="215" t="str">
        <f>IFERROR(__xludf.DUMMYFUNCTION("""COMPUTED_VALUE"""),"https://cahema.pe/alicate-presion/11112-alicate-de-presion-punta-curva-10-truper-17423-7501206640241.html")</f>
        <v>https://cahema.pe/alicate-presion/11112-alicate-de-presion-punta-curva-10-truper-17423-7501206640241.html</v>
      </c>
      <c r="AA791" s="213" t="str">
        <f>IFERROR(__xludf.DUMMYFUNCTION("""COMPUTED_VALUE"""),"HER-102 ALICATE DE PRESION - CET")</f>
        <v>HER-102 ALICATE DE PRESION - CET</v>
      </c>
      <c r="AB791" s="215" t="str">
        <f>IFERROR(__xludf.DUMMYFUNCTION("""COMPUTED_VALUE"""),"https://drive.google.com/file/d/18Ivq_3hUfQreemx_VBcHEDDxuTPTZUTf/view?usp=sharing")</f>
        <v>https://drive.google.com/file/d/18Ivq_3hUfQreemx_VBcHEDDxuTPTZUTf/view?usp=sharing</v>
      </c>
      <c r="AC791" s="215" t="str">
        <f>IFERROR(__xludf.DUMMYFUNCTION("""COMPUTED_VALUE"""),"https://cahema.pe/alicate-presion/11112-alicate-de-presion-punta-curva-10-truper-17423-7501206640241.html")</f>
        <v>https://cahema.pe/alicate-presion/11112-alicate-de-presion-punta-curva-10-truper-17423-7501206640241.html</v>
      </c>
      <c r="AD791" s="213"/>
      <c r="AE791" s="213"/>
      <c r="AF791" s="213"/>
      <c r="AG791" s="213"/>
      <c r="AH791" s="213" t="str">
        <f>IFERROR(__xludf.DUMMYFUNCTION("""COMPUTED_VALUE"""),"NACIONAL")</f>
        <v>NACIONAL</v>
      </c>
      <c r="AI791" s="213"/>
      <c r="AJ791" s="213"/>
      <c r="AK791" s="213"/>
      <c r="AL791" s="213"/>
      <c r="AM791" s="213"/>
      <c r="AN791" s="213"/>
      <c r="AO791" s="213"/>
      <c r="AP791" s="213" t="str">
        <f>IFERROR(__xludf.DUMMYFUNCTION("""COMPUTED_VALUE"""),"LUIS")</f>
        <v>LUIS</v>
      </c>
      <c r="AQ791" s="213"/>
      <c r="AR791" s="213"/>
      <c r="AS791" s="213"/>
      <c r="AT791" s="213"/>
      <c r="AU791" s="213"/>
      <c r="AV791" s="213"/>
      <c r="AW791" s="213"/>
      <c r="AX791" s="213"/>
      <c r="AY791" s="213"/>
      <c r="AZ791" s="213"/>
      <c r="BA791" s="213"/>
      <c r="BB791" s="213"/>
      <c r="BC791" s="213"/>
      <c r="BD791" s="213"/>
    </row>
    <row r="792">
      <c r="A792" s="213">
        <f>IFERROR(__xludf.DUMMYFUNCTION("""COMPUTED_VALUE"""),1542.0)</f>
        <v>1542</v>
      </c>
      <c r="B792" s="213" t="str">
        <f>IFERROR(__xludf.DUMMYFUNCTION("""COMPUTED_VALUE"""),"GUILLERMO E. BILLINGHURST ")</f>
        <v>GUILLERMO E. BILLINGHURST </v>
      </c>
      <c r="C792" s="213" t="str">
        <f>IFERROR(__xludf.DUMMYFUNCTION("""COMPUTED_VALUE"""),"TALLER SFT DE MECÁNICA AUTOMOTRIZ")</f>
        <v>TALLER SFT DE MECÁNICA AUTOMOTRIZ</v>
      </c>
      <c r="D792" s="213" t="str">
        <f>IFERROR(__xludf.DUMMYFUNCTION("""COMPUTED_VALUE"""),"HERRAMIENTAS")</f>
        <v>HERRAMIENTAS</v>
      </c>
      <c r="E792" s="213" t="str">
        <f>IFERROR(__xludf.DUMMYFUNCTION("""COMPUTED_VALUE"""),"HER-102")</f>
        <v>HER-102</v>
      </c>
      <c r="F792" s="213" t="str">
        <f>IFERROR(__xludf.DUMMYFUNCTION("""COMPUTED_VALUE"""),"HER-102")</f>
        <v>HER-102</v>
      </c>
      <c r="G792" s="213"/>
      <c r="H792" s="213" t="str">
        <f>IFERROR(__xludf.DUMMYFUNCTION("""COMPUTED_VALUE"""),"ALICATE DE PRESIÓN")</f>
        <v>ALICATE DE PRESIÓN</v>
      </c>
      <c r="I792" s="213" t="str">
        <f>IFERROR(__xludf.DUMMYFUNCTION("""COMPUTED_VALUE"""),"Alicate de presión, boca curva y cortante. Longitud: mínimo 190 mm.
Ancho de la cabeza: mínimo 43 mm.
Abertura máxima de la boca para sostener pieza: 42 mm. Acabado: cromado.")</f>
        <v>Alicate de presión, boca curva y cortante. Longitud: mínimo 190 mm.
Ancho de la cabeza: mínimo 43 mm.
Abertura máxima de la boca para sostener pieza: 42 mm. Acabado: cromado.</v>
      </c>
      <c r="J792" s="213">
        <f>IFERROR(__xludf.DUMMYFUNCTION("""COMPUTED_VALUE"""),3.0)</f>
        <v>3</v>
      </c>
      <c r="K792" s="213" t="str">
        <f>IFERROR(__xludf.DUMMYFUNCTION("""COMPUTED_VALUE"""),"90 DÍAS CALENDARIO")</f>
        <v>90 DÍAS CALENDARIO</v>
      </c>
      <c r="L792" s="213" t="str">
        <f>IFERROR(__xludf.DUMMYFUNCTION("""COMPUTED_VALUE"""),"")</f>
        <v/>
      </c>
      <c r="M792" s="213">
        <f>IFERROR(__xludf.DUMMYFUNCTION("""COMPUTED_VALUE"""),1.0)</f>
        <v>1</v>
      </c>
      <c r="N792" s="213">
        <f>IFERROR(__xludf.DUMMYFUNCTION("""COMPUTED_VALUE"""),4.0)</f>
        <v>4</v>
      </c>
      <c r="O792" s="213">
        <f>IFERROR(__xludf.DUMMYFUNCTION("""COMPUTED_VALUE"""),4.0)</f>
        <v>4</v>
      </c>
      <c r="P792" s="213"/>
      <c r="Q792" s="213"/>
      <c r="R792" s="213" t="str">
        <f>IFERROR(__xludf.DUMMYFUNCTION("""COMPUTED_VALUE"""),"SI")</f>
        <v>SI</v>
      </c>
      <c r="S792" s="213"/>
      <c r="T792" s="213" t="str">
        <f>IFERROR(__xludf.DUMMYFUNCTION("""COMPUTED_VALUE"""),"SI")</f>
        <v>SI</v>
      </c>
      <c r="U792" s="213" t="str">
        <f>IFERROR(__xludf.DUMMYFUNCTION("""COMPUTED_VALUE"""),"SI")</f>
        <v>SI</v>
      </c>
      <c r="V792" s="213" t="str">
        <f>IFERROR(__xludf.DUMMYFUNCTION("""COMPUTED_VALUE"""),"-")</f>
        <v>-</v>
      </c>
      <c r="W792" s="213" t="str">
        <f>IFERROR(__xludf.DUMMYFUNCTION("""COMPUTED_VALUE"""),"-")</f>
        <v>-</v>
      </c>
      <c r="X792" s="213" t="str">
        <f>IFERROR(__xludf.DUMMYFUNCTION("""COMPUTED_VALUE"""),"TRUPER")</f>
        <v>TRUPER</v>
      </c>
      <c r="Y792" s="213">
        <f>IFERROR(__xludf.DUMMYFUNCTION("""COMPUTED_VALUE"""),17423.0)</f>
        <v>17423</v>
      </c>
      <c r="Z792" s="215" t="str">
        <f>IFERROR(__xludf.DUMMYFUNCTION("""COMPUTED_VALUE"""),"https://cahema.pe/alicate-presion/11112-alicate-de-presion-punta-curva-10-truper-17423-7501206640241.html")</f>
        <v>https://cahema.pe/alicate-presion/11112-alicate-de-presion-punta-curva-10-truper-17423-7501206640241.html</v>
      </c>
      <c r="AA792" s="213" t="str">
        <f>IFERROR(__xludf.DUMMYFUNCTION("""COMPUTED_VALUE"""),"HER-102 ALICATE DE PRESION - CET")</f>
        <v>HER-102 ALICATE DE PRESION - CET</v>
      </c>
      <c r="AB792" s="215" t="str">
        <f>IFERROR(__xludf.DUMMYFUNCTION("""COMPUTED_VALUE"""),"https://drive.google.com/file/d/18Ivq_3hUfQreemx_VBcHEDDxuTPTZUTf/view?usp=sharing")</f>
        <v>https://drive.google.com/file/d/18Ivq_3hUfQreemx_VBcHEDDxuTPTZUTf/view?usp=sharing</v>
      </c>
      <c r="AC792" s="215" t="str">
        <f>IFERROR(__xludf.DUMMYFUNCTION("""COMPUTED_VALUE"""),"https://cahema.pe/alicate-presion/11112-alicate-de-presion-punta-curva-10-truper-17423-7501206640241.html")</f>
        <v>https://cahema.pe/alicate-presion/11112-alicate-de-presion-punta-curva-10-truper-17423-7501206640241.html</v>
      </c>
      <c r="AD792" s="213"/>
      <c r="AE792" s="213"/>
      <c r="AF792" s="213"/>
      <c r="AG792" s="213"/>
      <c r="AH792" s="213" t="str">
        <f>IFERROR(__xludf.DUMMYFUNCTION("""COMPUTED_VALUE"""),"NACIONAL")</f>
        <v>NACIONAL</v>
      </c>
      <c r="AI792" s="213"/>
      <c r="AJ792" s="213"/>
      <c r="AK792" s="213"/>
      <c r="AL792" s="213"/>
      <c r="AM792" s="213"/>
      <c r="AN792" s="213"/>
      <c r="AO792" s="213"/>
      <c r="AP792" s="213" t="str">
        <f>IFERROR(__xludf.DUMMYFUNCTION("""COMPUTED_VALUE"""),"LUIS")</f>
        <v>LUIS</v>
      </c>
      <c r="AQ792" s="213"/>
      <c r="AR792" s="213"/>
      <c r="AS792" s="213"/>
      <c r="AT792" s="213"/>
      <c r="AU792" s="213"/>
      <c r="AV792" s="213"/>
      <c r="AW792" s="213"/>
      <c r="AX792" s="213"/>
      <c r="AY792" s="213"/>
      <c r="AZ792" s="213"/>
      <c r="BA792" s="213"/>
      <c r="BB792" s="213"/>
      <c r="BC792" s="213"/>
      <c r="BD792" s="213"/>
    </row>
    <row r="793">
      <c r="A793" s="213">
        <f>IFERROR(__xludf.DUMMYFUNCTION("""COMPUTED_VALUE"""),2234.0)</f>
        <v>2234</v>
      </c>
      <c r="B793" s="213" t="str">
        <f>IFERROR(__xludf.DUMMYFUNCTION("""COMPUTED_VALUE"""),"JOSE GRANDA")</f>
        <v>JOSE GRANDA</v>
      </c>
      <c r="C793" s="213" t="str">
        <f>IFERROR(__xludf.DUMMYFUNCTION("""COMPUTED_VALUE"""),"TALLER SFT DE MECÁNICA AUTOMOTRIZ")</f>
        <v>TALLER SFT DE MECÁNICA AUTOMOTRIZ</v>
      </c>
      <c r="D793" s="213" t="str">
        <f>IFERROR(__xludf.DUMMYFUNCTION("""COMPUTED_VALUE"""),"HERRAMIENTAS")</f>
        <v>HERRAMIENTAS</v>
      </c>
      <c r="E793" s="213" t="str">
        <f>IFERROR(__xludf.DUMMYFUNCTION("""COMPUTED_VALUE"""),"HER-102")</f>
        <v>HER-102</v>
      </c>
      <c r="F793" s="213" t="str">
        <f>IFERROR(__xludf.DUMMYFUNCTION("""COMPUTED_VALUE"""),"HER-102")</f>
        <v>HER-102</v>
      </c>
      <c r="G793" s="213"/>
      <c r="H793" s="213" t="str">
        <f>IFERROR(__xludf.DUMMYFUNCTION("""COMPUTED_VALUE"""),"ALICATE DE PRESIÓN")</f>
        <v>ALICATE DE PRESIÓN</v>
      </c>
      <c r="I793" s="213" t="str">
        <f>IFERROR(__xludf.DUMMYFUNCTION("""COMPUTED_VALUE"""),"Alicate de presión, boca curva y cortante. Longitud: mínimo 190 mm.
Ancho de la cabeza: mínimo 43 mm.
Abertura máxima de la boca para sostener pieza: 42 mm. Acabado: cromado.")</f>
        <v>Alicate de presión, boca curva y cortante. Longitud: mínimo 190 mm.
Ancho de la cabeza: mínimo 43 mm.
Abertura máxima de la boca para sostener pieza: 42 mm. Acabado: cromado.</v>
      </c>
      <c r="J793" s="213">
        <f>IFERROR(__xludf.DUMMYFUNCTION("""COMPUTED_VALUE"""),3.0)</f>
        <v>3</v>
      </c>
      <c r="K793" s="213" t="str">
        <f>IFERROR(__xludf.DUMMYFUNCTION("""COMPUTED_VALUE"""),"90 DÍAS CALENDARIO")</f>
        <v>90 DÍAS CALENDARIO</v>
      </c>
      <c r="L793" s="213" t="str">
        <f>IFERROR(__xludf.DUMMYFUNCTION("""COMPUTED_VALUE"""),"")</f>
        <v/>
      </c>
      <c r="M793" s="213">
        <f>IFERROR(__xludf.DUMMYFUNCTION("""COMPUTED_VALUE"""),1.0)</f>
        <v>1</v>
      </c>
      <c r="N793" s="213">
        <f>IFERROR(__xludf.DUMMYFUNCTION("""COMPUTED_VALUE"""),4.0)</f>
        <v>4</v>
      </c>
      <c r="O793" s="213">
        <f>IFERROR(__xludf.DUMMYFUNCTION("""COMPUTED_VALUE"""),4.0)</f>
        <v>4</v>
      </c>
      <c r="P793" s="213"/>
      <c r="Q793" s="213"/>
      <c r="R793" s="213" t="str">
        <f>IFERROR(__xludf.DUMMYFUNCTION("""COMPUTED_VALUE"""),"SI")</f>
        <v>SI</v>
      </c>
      <c r="S793" s="213"/>
      <c r="T793" s="213" t="str">
        <f>IFERROR(__xludf.DUMMYFUNCTION("""COMPUTED_VALUE"""),"SI")</f>
        <v>SI</v>
      </c>
      <c r="U793" s="213" t="str">
        <f>IFERROR(__xludf.DUMMYFUNCTION("""COMPUTED_VALUE"""),"SI")</f>
        <v>SI</v>
      </c>
      <c r="V793" s="213" t="str">
        <f>IFERROR(__xludf.DUMMYFUNCTION("""COMPUTED_VALUE"""),"-")</f>
        <v>-</v>
      </c>
      <c r="W793" s="213" t="str">
        <f>IFERROR(__xludf.DUMMYFUNCTION("""COMPUTED_VALUE"""),"-")</f>
        <v>-</v>
      </c>
      <c r="X793" s="213" t="str">
        <f>IFERROR(__xludf.DUMMYFUNCTION("""COMPUTED_VALUE"""),"TRUPER")</f>
        <v>TRUPER</v>
      </c>
      <c r="Y793" s="213">
        <f>IFERROR(__xludf.DUMMYFUNCTION("""COMPUTED_VALUE"""),17423.0)</f>
        <v>17423</v>
      </c>
      <c r="Z793" s="215" t="str">
        <f>IFERROR(__xludf.DUMMYFUNCTION("""COMPUTED_VALUE"""),"https://cahema.pe/alicate-presion/11112-alicate-de-presion-punta-curva-10-truper-17423-7501206640241.html")</f>
        <v>https://cahema.pe/alicate-presion/11112-alicate-de-presion-punta-curva-10-truper-17423-7501206640241.html</v>
      </c>
      <c r="AA793" s="213" t="str">
        <f>IFERROR(__xludf.DUMMYFUNCTION("""COMPUTED_VALUE"""),"HER-102 ALICATE DE PRESION - CET")</f>
        <v>HER-102 ALICATE DE PRESION - CET</v>
      </c>
      <c r="AB793" s="215" t="str">
        <f>IFERROR(__xludf.DUMMYFUNCTION("""COMPUTED_VALUE"""),"https://drive.google.com/file/d/18Ivq_3hUfQreemx_VBcHEDDxuTPTZUTf/view?usp=sharing")</f>
        <v>https://drive.google.com/file/d/18Ivq_3hUfQreemx_VBcHEDDxuTPTZUTf/view?usp=sharing</v>
      </c>
      <c r="AC793" s="215" t="str">
        <f>IFERROR(__xludf.DUMMYFUNCTION("""COMPUTED_VALUE"""),"https://cahema.pe/alicate-presion/11112-alicate-de-presion-punta-curva-10-truper-17423-7501206640241.html")</f>
        <v>https://cahema.pe/alicate-presion/11112-alicate-de-presion-punta-curva-10-truper-17423-7501206640241.html</v>
      </c>
      <c r="AD793" s="213"/>
      <c r="AE793" s="213"/>
      <c r="AF793" s="213"/>
      <c r="AG793" s="213"/>
      <c r="AH793" s="213" t="str">
        <f>IFERROR(__xludf.DUMMYFUNCTION("""COMPUTED_VALUE"""),"NACIONAL")</f>
        <v>NACIONAL</v>
      </c>
      <c r="AI793" s="213"/>
      <c r="AJ793" s="213"/>
      <c r="AK793" s="213"/>
      <c r="AL793" s="213"/>
      <c r="AM793" s="213"/>
      <c r="AN793" s="213"/>
      <c r="AO793" s="213"/>
      <c r="AP793" s="213" t="str">
        <f>IFERROR(__xludf.DUMMYFUNCTION("""COMPUTED_VALUE"""),"LUIS")</f>
        <v>LUIS</v>
      </c>
      <c r="AQ793" s="213"/>
      <c r="AR793" s="213"/>
      <c r="AS793" s="213"/>
      <c r="AT793" s="213"/>
      <c r="AU793" s="213"/>
      <c r="AV793" s="213"/>
      <c r="AW793" s="213"/>
      <c r="AX793" s="213"/>
      <c r="AY793" s="213"/>
      <c r="AZ793" s="213"/>
      <c r="BA793" s="213"/>
      <c r="BB793" s="213"/>
      <c r="BC793" s="213"/>
      <c r="BD793" s="213"/>
    </row>
    <row r="794">
      <c r="A794" s="213">
        <f>IFERROR(__xludf.DUMMYFUNCTION("""COMPUTED_VALUE"""),633.0)</f>
        <v>633</v>
      </c>
      <c r="B794" s="213" t="str">
        <f>IFERROR(__xludf.DUMMYFUNCTION("""COMPUTED_VALUE"""),"6049 RICARDO PALMA")</f>
        <v>6049 RICARDO PALMA</v>
      </c>
      <c r="C794" s="213" t="str">
        <f>IFERROR(__xludf.DUMMYFUNCTION("""COMPUTED_VALUE"""),"TALLER SFT DE ELECTRÓNICA")</f>
        <v>TALLER SFT DE ELECTRÓNICA</v>
      </c>
      <c r="D794" s="213" t="str">
        <f>IFERROR(__xludf.DUMMYFUNCTION("""COMPUTED_VALUE"""),"HERRAMIENTAS")</f>
        <v>HERRAMIENTAS</v>
      </c>
      <c r="E794" s="213" t="str">
        <f>IFERROR(__xludf.DUMMYFUNCTION("""COMPUTED_VALUE"""),"HER-103")</f>
        <v>HER-103</v>
      </c>
      <c r="F794" s="213" t="str">
        <f>IFERROR(__xludf.DUMMYFUNCTION("""COMPUTED_VALUE"""),"HER-103")</f>
        <v>HER-103</v>
      </c>
      <c r="G794" s="213"/>
      <c r="H794" s="213" t="str">
        <f>IFERROR(__xludf.DUMMYFUNCTION("""COMPUTED_VALUE"""),"ALICATE DE PUNTA")</f>
        <v>ALICATE DE PUNTA</v>
      </c>
      <c r="I794" s="213" t="str">
        <f>IFERROR(__xludf.DUMMYFUNCTION("""COMPUTED_VALUE"""),"· Posee aislamiento, para trabajos en alta tensión, hasta 1000 V
· Fabricada en acero cromo - vanadio
· Mangos bimateriales y ergonómicos
· Alicate de boca punta, longitud: 20 cm.aprox.")</f>
        <v>· Posee aislamiento, para trabajos en alta tensión, hasta 1000 V
· Fabricada en acero cromo - vanadio
· Mangos bimateriales y ergonómicos
· Alicate de boca punta, longitud: 20 cm.aprox.</v>
      </c>
      <c r="J794" s="213">
        <f>IFERROR(__xludf.DUMMYFUNCTION("""COMPUTED_VALUE"""),3.0)</f>
        <v>3</v>
      </c>
      <c r="K794" s="213" t="str">
        <f>IFERROR(__xludf.DUMMYFUNCTION("""COMPUTED_VALUE"""),"90 DÍAS CALENDARIO")</f>
        <v>90 DÍAS CALENDARIO</v>
      </c>
      <c r="L794" s="213" t="str">
        <f>IFERROR(__xludf.DUMMYFUNCTION("""COMPUTED_VALUE"""),"")</f>
        <v/>
      </c>
      <c r="M794" s="213">
        <f>IFERROR(__xludf.DUMMYFUNCTION("""COMPUTED_VALUE"""),1.0)</f>
        <v>1</v>
      </c>
      <c r="N794" s="213">
        <f>IFERROR(__xludf.DUMMYFUNCTION("""COMPUTED_VALUE"""),4.0)</f>
        <v>4</v>
      </c>
      <c r="O794" s="213">
        <f>IFERROR(__xludf.DUMMYFUNCTION("""COMPUTED_VALUE"""),4.0)</f>
        <v>4</v>
      </c>
      <c r="P794" s="213"/>
      <c r="Q794" s="213"/>
      <c r="R794" s="213" t="str">
        <f>IFERROR(__xludf.DUMMYFUNCTION("""COMPUTED_VALUE"""),"SI")</f>
        <v>SI</v>
      </c>
      <c r="S794" s="213"/>
      <c r="T794" s="213" t="str">
        <f>IFERROR(__xludf.DUMMYFUNCTION("""COMPUTED_VALUE"""),"SI")</f>
        <v>SI</v>
      </c>
      <c r="U794" s="213" t="str">
        <f>IFERROR(__xludf.DUMMYFUNCTION("""COMPUTED_VALUE"""),"SI")</f>
        <v>SI</v>
      </c>
      <c r="V794" s="213" t="str">
        <f>IFERROR(__xludf.DUMMYFUNCTION("""COMPUTED_VALUE"""),"-")</f>
        <v>-</v>
      </c>
      <c r="W794" s="213" t="str">
        <f>IFERROR(__xludf.DUMMYFUNCTION("""COMPUTED_VALUE"""),"-")</f>
        <v>-</v>
      </c>
      <c r="X794" s="213" t="str">
        <f>IFERROR(__xludf.DUMMYFUNCTION("""COMPUTED_VALUE"""),"TRUPER")</f>
        <v>TRUPER</v>
      </c>
      <c r="Y794" s="213">
        <f>IFERROR(__xludf.DUMMYFUNCTION("""COMPUTED_VALUE"""),17336.0)</f>
        <v>17336</v>
      </c>
      <c r="Z794" s="215" t="str">
        <f>IFERROR(__xludf.DUMMYFUNCTION("""COMPUTED_VALUE"""),"https://www.aibitech.com/herramientas-alicates/alicates-de-punta/alicate-de-punta-y-corte-8-comfort-grip-acero-al-cromo-vanadio-t203-8x-17336-truper-6794.html?srsltid=AfmBOopwK_sHUE6OpfUO2SWjhWf9HTdCsz_koEpafFdeEwwI68szw_31")</f>
        <v>https://www.aibitech.com/herramientas-alicates/alicates-de-punta/alicate-de-punta-y-corte-8-comfort-grip-acero-al-cromo-vanadio-t203-8x-17336-truper-6794.html?srsltid=AfmBOopwK_sHUE6OpfUO2SWjhWf9HTdCsz_koEpafFdeEwwI68szw_31</v>
      </c>
      <c r="AA794" s="213" t="str">
        <f>IFERROR(__xludf.DUMMYFUNCTION("""COMPUTED_VALUE"""),"HER-103 ALICATE DE PUNTA - CET")</f>
        <v>HER-103 ALICATE DE PUNTA - CET</v>
      </c>
      <c r="AB794" s="215" t="str">
        <f>IFERROR(__xludf.DUMMYFUNCTION("""COMPUTED_VALUE"""),"https://drive.google.com/file/d/1RJPIghxU78dN72kIRkcMZEys00KDlQ2F/view?usp=sharing")</f>
        <v>https://drive.google.com/file/d/1RJPIghxU78dN72kIRkcMZEys00KDlQ2F/view?usp=sharing</v>
      </c>
      <c r="AC794" s="215" t="str">
        <f>IFERROR(__xludf.DUMMYFUNCTION("""COMPUTED_VALUE"""),"https://www.aibitech.com/herramientas-alicates/alicates-de-punta/alicate-de-punta-y-corte-8-comfort-grip-acero-al-cromo-vanadio-t203-8x-17336-truper-6794.html?srsltid=AfmBOopwK_sHUE6OpfUO2SWjhWf9HTdCsz_koEpafFdeEwwI68szw_31")</f>
        <v>https://www.aibitech.com/herramientas-alicates/alicates-de-punta/alicate-de-punta-y-corte-8-comfort-grip-acero-al-cromo-vanadio-t203-8x-17336-truper-6794.html?srsltid=AfmBOopwK_sHUE6OpfUO2SWjhWf9HTdCsz_koEpafFdeEwwI68szw_31</v>
      </c>
      <c r="AD794" s="213"/>
      <c r="AE794" s="213"/>
      <c r="AF794" s="213"/>
      <c r="AG794" s="213"/>
      <c r="AH794" s="213" t="str">
        <f>IFERROR(__xludf.DUMMYFUNCTION("""COMPUTED_VALUE"""),"NACIONAL")</f>
        <v>NACIONAL</v>
      </c>
      <c r="AI794" s="213"/>
      <c r="AJ794" s="213"/>
      <c r="AK794" s="213"/>
      <c r="AL794" s="213"/>
      <c r="AM794" s="213"/>
      <c r="AN794" s="213"/>
      <c r="AO794" s="213"/>
      <c r="AP794" s="213" t="str">
        <f>IFERROR(__xludf.DUMMYFUNCTION("""COMPUTED_VALUE"""),"LUIS")</f>
        <v>LUIS</v>
      </c>
      <c r="AQ794" s="213"/>
      <c r="AR794" s="213"/>
      <c r="AS794" s="213"/>
      <c r="AT794" s="213"/>
      <c r="AU794" s="213"/>
      <c r="AV794" s="213"/>
      <c r="AW794" s="213"/>
      <c r="AX794" s="213"/>
      <c r="AY794" s="213"/>
      <c r="AZ794" s="213"/>
      <c r="BA794" s="213"/>
      <c r="BB794" s="213"/>
      <c r="BC794" s="213"/>
      <c r="BD794" s="213"/>
    </row>
    <row r="795">
      <c r="A795" s="213">
        <f>IFERROR(__xludf.DUMMYFUNCTION("""COMPUTED_VALUE"""),350.0)</f>
        <v>350</v>
      </c>
      <c r="B795" s="213" t="str">
        <f>IFERROR(__xludf.DUMMYFUNCTION("""COMPUTED_VALUE"""),"2026 SIMON BOLIVAR")</f>
        <v>2026 SIMON BOLIVAR</v>
      </c>
      <c r="C795" s="213" t="str">
        <f>IFERROR(__xludf.DUMMYFUNCTION("""COMPUTED_VALUE"""),"TALLER SFT DE ELECTRICIDAD")</f>
        <v>TALLER SFT DE ELECTRICIDAD</v>
      </c>
      <c r="D795" s="213" t="str">
        <f>IFERROR(__xludf.DUMMYFUNCTION("""COMPUTED_VALUE"""),"HERRAMIENTAS")</f>
        <v>HERRAMIENTAS</v>
      </c>
      <c r="E795" s="213" t="str">
        <f>IFERROR(__xludf.DUMMYFUNCTION("""COMPUTED_VALUE"""),"HER-104")</f>
        <v>HER-104</v>
      </c>
      <c r="F795" s="213" t="str">
        <f>IFERROR(__xludf.DUMMYFUNCTION("""COMPUTED_VALUE"""),"HER-104-X")</f>
        <v>HER-104-X</v>
      </c>
      <c r="G795" s="213"/>
      <c r="H795" s="213" t="str">
        <f>IFERROR(__xludf.DUMMYFUNCTION("""COMPUTED_VALUE"""),"ALICATE DE PUNTA CURVA")</f>
        <v>ALICATE DE PUNTA CURVA</v>
      </c>
      <c r="I795" s="213" t="str">
        <f>IFERROR(__xludf.DUMMYFUNCTION("""COMPUTED_VALUE"""),"· Características Técnicas:
- Alicates dieléctricos, para trabajos en corriente eléctrica.
- Para trabajos en alta tensión hasta 1000 V.
- Vástago y punta de material de acero al cromo-vanadio.
- Mango con aislamiento de PVC bimaterial, ergonómico y antid"&amp;"eslizante.
- Longitud total: 20 cm Max.
- Estuche de plástico para almacenar.")</f>
        <v>· Características Técnicas:
- Alicates dieléctricos, para trabajos en corriente eléctrica.
- Para trabajos en alta tensión hasta 1000 V.
- Vástago y punta de material de acero al cromo-vanadio.
- Mango con aislamiento de PVC bimaterial, ergonómico y antideslizante.
- Longitud total: 20 cm Max.
- Estuche de plástico para almacenar.</v>
      </c>
      <c r="J795" s="213">
        <f>IFERROR(__xludf.DUMMYFUNCTION("""COMPUTED_VALUE"""),3.0)</f>
        <v>3</v>
      </c>
      <c r="K795" s="213" t="str">
        <f>IFERROR(__xludf.DUMMYFUNCTION("""COMPUTED_VALUE"""),"90 DÍAS CALENDARIO")</f>
        <v>90 DÍAS CALENDARIO</v>
      </c>
      <c r="L795" s="213" t="str">
        <f>IFERROR(__xludf.DUMMYFUNCTION("""COMPUTED_VALUE"""),"")</f>
        <v/>
      </c>
      <c r="M795" s="213">
        <f>IFERROR(__xludf.DUMMYFUNCTION("""COMPUTED_VALUE"""),1.0)</f>
        <v>1</v>
      </c>
      <c r="N795" s="213">
        <f>IFERROR(__xludf.DUMMYFUNCTION("""COMPUTED_VALUE"""),5.0)</f>
        <v>5</v>
      </c>
      <c r="O795" s="213">
        <f>IFERROR(__xludf.DUMMYFUNCTION("""COMPUTED_VALUE"""),5.0)</f>
        <v>5</v>
      </c>
      <c r="P795" s="213"/>
      <c r="Q795" s="213"/>
      <c r="R795" s="213" t="str">
        <f>IFERROR(__xludf.DUMMYFUNCTION("""COMPUTED_VALUE"""),"SI")</f>
        <v>SI</v>
      </c>
      <c r="S795" s="213"/>
      <c r="T795" s="213" t="str">
        <f>IFERROR(__xludf.DUMMYFUNCTION("""COMPUTED_VALUE"""),"SI")</f>
        <v>SI</v>
      </c>
      <c r="U795" s="213" t="str">
        <f>IFERROR(__xludf.DUMMYFUNCTION("""COMPUTED_VALUE"""),"SI")</f>
        <v>SI</v>
      </c>
      <c r="V795" s="213" t="str">
        <f>IFERROR(__xludf.DUMMYFUNCTION("""COMPUTED_VALUE"""),"-")</f>
        <v>-</v>
      </c>
      <c r="W795" s="213" t="str">
        <f>IFERROR(__xludf.DUMMYFUNCTION("""COMPUTED_VALUE"""),"-")</f>
        <v>-</v>
      </c>
      <c r="X795" s="213" t="str">
        <f>IFERROR(__xludf.DUMMYFUNCTION("""COMPUTED_VALUE"""),"TRUPER")</f>
        <v>TRUPER</v>
      </c>
      <c r="Y795" s="213">
        <f>IFERROR(__xludf.DUMMYFUNCTION("""COMPUTED_VALUE"""),17337.0)</f>
        <v>17337</v>
      </c>
      <c r="Z795" s="215" t="str">
        <f>IFERROR(__xludf.DUMMYFUNCTION("""COMPUTED_VALUE"""),"https://cahema.pe/alicate-punta/3392-alicate-punta-curva-6-aislado-truper-17337-7501206619018.html?utm_source=chatgpt.com")</f>
        <v>https://cahema.pe/alicate-punta/3392-alicate-punta-curva-6-aislado-truper-17337-7501206619018.html?utm_source=chatgpt.com</v>
      </c>
      <c r="AA795" s="213" t="str">
        <f>IFERROR(__xludf.DUMMYFUNCTION("""COMPUTED_VALUE"""),"HER-104-X ALICATE DE PUNTA CURVA - CET")</f>
        <v>HER-104-X ALICATE DE PUNTA CURVA - CET</v>
      </c>
      <c r="AB795" s="215" t="str">
        <f>IFERROR(__xludf.DUMMYFUNCTION("""COMPUTED_VALUE"""),"https://drive.google.com/file/d/1sulfvWlHWMHxhFjiFfGJty-ePvNJAUFS/view?usp=sharing")</f>
        <v>https://drive.google.com/file/d/1sulfvWlHWMHxhFjiFfGJty-ePvNJAUFS/view?usp=sharing</v>
      </c>
      <c r="AC795" s="215" t="str">
        <f>IFERROR(__xludf.DUMMYFUNCTION("""COMPUTED_VALUE"""),"https://cahema.pe/alicate-punta/3392-alicate-punta-curva-6-aislado-truper-17337-7501206619018.html?utm_source=chatgpt.com")</f>
        <v>https://cahema.pe/alicate-punta/3392-alicate-punta-curva-6-aislado-truper-17337-7501206619018.html?utm_source=chatgpt.com</v>
      </c>
      <c r="AD795" s="213"/>
      <c r="AE795" s="213"/>
      <c r="AF795" s="213"/>
      <c r="AG795" s="213"/>
      <c r="AH795" s="213" t="str">
        <f>IFERROR(__xludf.DUMMYFUNCTION("""COMPUTED_VALUE"""),"NACIONAL")</f>
        <v>NACIONAL</v>
      </c>
      <c r="AI795" s="213"/>
      <c r="AJ795" s="213"/>
      <c r="AK795" s="213"/>
      <c r="AL795" s="213"/>
      <c r="AM795" s="213"/>
      <c r="AN795" s="213"/>
      <c r="AO795" s="213"/>
      <c r="AP795" s="213" t="str">
        <f>IFERROR(__xludf.DUMMYFUNCTION("""COMPUTED_VALUE"""),"LUIS")</f>
        <v>LUIS</v>
      </c>
      <c r="AQ795" s="213" t="str">
        <f>IFERROR(__xludf.DUMMYFUNCTION("""COMPUTED_VALUE"""),"SUSTENTABLE, HERRAMIENTA ES DE 15 CM, Y LA FICHA TECNICA DEL CLIENTE DICE 20 APROXIMADO. AL SER APROXIMADO PODRÍAMOS SUSTENTAR")</f>
        <v>SUSTENTABLE, HERRAMIENTA ES DE 15 CM, Y LA FICHA TECNICA DEL CLIENTE DICE 20 APROXIMADO. AL SER APROXIMADO PODRÍAMOS SUSTENTAR</v>
      </c>
      <c r="AR795" s="213"/>
      <c r="AS795" s="213"/>
      <c r="AT795" s="213"/>
      <c r="AU795" s="213"/>
      <c r="AV795" s="213"/>
      <c r="AW795" s="213"/>
      <c r="AX795" s="213"/>
      <c r="AY795" s="213"/>
      <c r="AZ795" s="213"/>
      <c r="BA795" s="213"/>
      <c r="BB795" s="213"/>
      <c r="BC795" s="213"/>
      <c r="BD795" s="213"/>
    </row>
    <row r="796">
      <c r="A796" s="213">
        <f>IFERROR(__xludf.DUMMYFUNCTION("""COMPUTED_VALUE"""),631.0)</f>
        <v>631</v>
      </c>
      <c r="B796" s="213" t="str">
        <f>IFERROR(__xludf.DUMMYFUNCTION("""COMPUTED_VALUE"""),"6049 RICARDO PALMA")</f>
        <v>6049 RICARDO PALMA</v>
      </c>
      <c r="C796" s="213" t="str">
        <f>IFERROR(__xludf.DUMMYFUNCTION("""COMPUTED_VALUE"""),"TALLER SFT DE ELECTRÓNICA")</f>
        <v>TALLER SFT DE ELECTRÓNICA</v>
      </c>
      <c r="D796" s="213" t="str">
        <f>IFERROR(__xludf.DUMMYFUNCTION("""COMPUTED_VALUE"""),"HERRAMIENTAS")</f>
        <v>HERRAMIENTAS</v>
      </c>
      <c r="E796" s="213" t="str">
        <f>IFERROR(__xludf.DUMMYFUNCTION("""COMPUTED_VALUE"""),"HER-104")</f>
        <v>HER-104</v>
      </c>
      <c r="F796" s="213" t="str">
        <f>IFERROR(__xludf.DUMMYFUNCTION("""COMPUTED_VALUE"""),"HER-104-Y")</f>
        <v>HER-104-Y</v>
      </c>
      <c r="G796" s="213"/>
      <c r="H796" s="213" t="str">
        <f>IFERROR(__xludf.DUMMYFUNCTION("""COMPUTED_VALUE"""),"ALICATE DE PUNTA CURVA")</f>
        <v>ALICATE DE PUNTA CURVA</v>
      </c>
      <c r="I796" s="213" t="str">
        <f>IFERROR(__xludf.DUMMYFUNCTION("""COMPUTED_VALUE"""),"· Posee aislamiento, para trabajos en alta tensión, hasta 1000 V
· Fabricada en acero cromo - vanadio
· Mangos bimateriales y ergonómicos
· Alicate de boca semi redonda, longitud: 20 cm.aprox.")</f>
        <v>· Posee aislamiento, para trabajos en alta tensión, hasta 1000 V
· Fabricada en acero cromo - vanadio
· Mangos bimateriales y ergonómicos
· Alicate de boca semi redonda, longitud: 20 cm.aprox.</v>
      </c>
      <c r="J796" s="213">
        <f>IFERROR(__xludf.DUMMYFUNCTION("""COMPUTED_VALUE"""),3.0)</f>
        <v>3</v>
      </c>
      <c r="K796" s="213" t="str">
        <f>IFERROR(__xludf.DUMMYFUNCTION("""COMPUTED_VALUE"""),"90 DÍAS CALENDARIO")</f>
        <v>90 DÍAS CALENDARIO</v>
      </c>
      <c r="L796" s="213" t="str">
        <f>IFERROR(__xludf.DUMMYFUNCTION("""COMPUTED_VALUE"""),"")</f>
        <v/>
      </c>
      <c r="M796" s="213">
        <f>IFERROR(__xludf.DUMMYFUNCTION("""COMPUTED_VALUE"""),1.0)</f>
        <v>1</v>
      </c>
      <c r="N796" s="213">
        <f>IFERROR(__xludf.DUMMYFUNCTION("""COMPUTED_VALUE"""),4.0)</f>
        <v>4</v>
      </c>
      <c r="O796" s="213">
        <f>IFERROR(__xludf.DUMMYFUNCTION("""COMPUTED_VALUE"""),4.0)</f>
        <v>4</v>
      </c>
      <c r="P796" s="213"/>
      <c r="Q796" s="213"/>
      <c r="R796" s="213" t="str">
        <f>IFERROR(__xludf.DUMMYFUNCTION("""COMPUTED_VALUE"""),"SI")</f>
        <v>SI</v>
      </c>
      <c r="S796" s="213"/>
      <c r="T796" s="213" t="str">
        <f>IFERROR(__xludf.DUMMYFUNCTION("""COMPUTED_VALUE"""),"SI")</f>
        <v>SI</v>
      </c>
      <c r="U796" s="213" t="str">
        <f>IFERROR(__xludf.DUMMYFUNCTION("""COMPUTED_VALUE"""),"SI")</f>
        <v>SI</v>
      </c>
      <c r="V796" s="213" t="str">
        <f>IFERROR(__xludf.DUMMYFUNCTION("""COMPUTED_VALUE"""),"-")</f>
        <v>-</v>
      </c>
      <c r="W796" s="213" t="str">
        <f>IFERROR(__xludf.DUMMYFUNCTION("""COMPUTED_VALUE"""),"-")</f>
        <v>-</v>
      </c>
      <c r="X796" s="213" t="str">
        <f>IFERROR(__xludf.DUMMYFUNCTION("""COMPUTED_VALUE"""),"TRUPER")</f>
        <v>TRUPER</v>
      </c>
      <c r="Y796" s="213">
        <f>IFERROR(__xludf.DUMMYFUNCTION("""COMPUTED_VALUE"""),17337.0)</f>
        <v>17337</v>
      </c>
      <c r="Z796" s="215" t="str">
        <f>IFERROR(__xludf.DUMMYFUNCTION("""COMPUTED_VALUE"""),"https://cahema.pe/alicate-punta/3392-alicate-punta-curva-6-aislado-truper-17337-7501206619018.html?utm_source=chatgpt.com")</f>
        <v>https://cahema.pe/alicate-punta/3392-alicate-punta-curva-6-aislado-truper-17337-7501206619018.html?utm_source=chatgpt.com</v>
      </c>
      <c r="AA796" s="213" t="str">
        <f>IFERROR(__xludf.DUMMYFUNCTION("""COMPUTED_VALUE"""),"HER-104-Y ALICATE DE PUNTA CURVA - CET")</f>
        <v>HER-104-Y ALICATE DE PUNTA CURVA - CET</v>
      </c>
      <c r="AB796" s="215" t="str">
        <f>IFERROR(__xludf.DUMMYFUNCTION("""COMPUTED_VALUE"""),"https://drive.google.com/file/d/1sulfvWlHWMHxhFjiFfGJty-ePvNJAUFS/view?usp=sharing")</f>
        <v>https://drive.google.com/file/d/1sulfvWlHWMHxhFjiFfGJty-ePvNJAUFS/view?usp=sharing</v>
      </c>
      <c r="AC796" s="215" t="str">
        <f>IFERROR(__xludf.DUMMYFUNCTION("""COMPUTED_VALUE"""),"https://cahema.pe/alicate-punta/3392-alicate-punta-curva-6-aislado-truper-17337-7501206619018.html?utm_source=chatgpt.com")</f>
        <v>https://cahema.pe/alicate-punta/3392-alicate-punta-curva-6-aislado-truper-17337-7501206619018.html?utm_source=chatgpt.com</v>
      </c>
      <c r="AD796" s="213"/>
      <c r="AE796" s="213"/>
      <c r="AF796" s="213"/>
      <c r="AG796" s="213"/>
      <c r="AH796" s="213" t="str">
        <f>IFERROR(__xludf.DUMMYFUNCTION("""COMPUTED_VALUE"""),"NACIONAL")</f>
        <v>NACIONAL</v>
      </c>
      <c r="AI796" s="213"/>
      <c r="AJ796" s="213"/>
      <c r="AK796" s="213"/>
      <c r="AL796" s="213"/>
      <c r="AM796" s="213"/>
      <c r="AN796" s="213"/>
      <c r="AO796" s="213"/>
      <c r="AP796" s="213" t="str">
        <f>IFERROR(__xludf.DUMMYFUNCTION("""COMPUTED_VALUE"""),"LUIS")</f>
        <v>LUIS</v>
      </c>
      <c r="AQ796" s="213" t="str">
        <f>IFERROR(__xludf.DUMMYFUNCTION("""COMPUTED_VALUE"""),"SUSTENTABLE, HERRAMIENTA ES DE 15 CM, Y LA FICHA TECNICA DEL CLIENTE DICE 20 APROXIMADO. AL SER APROXIMADO PODRÍAMOS SUSTENTAR")</f>
        <v>SUSTENTABLE, HERRAMIENTA ES DE 15 CM, Y LA FICHA TECNICA DEL CLIENTE DICE 20 APROXIMADO. AL SER APROXIMADO PODRÍAMOS SUSTENTAR</v>
      </c>
      <c r="AR796" s="213"/>
      <c r="AS796" s="213"/>
      <c r="AT796" s="213"/>
      <c r="AU796" s="213"/>
      <c r="AV796" s="213"/>
      <c r="AW796" s="213"/>
      <c r="AX796" s="213"/>
      <c r="AY796" s="213"/>
      <c r="AZ796" s="213"/>
      <c r="BA796" s="213"/>
      <c r="BB796" s="213"/>
      <c r="BC796" s="213"/>
      <c r="BD796" s="213"/>
    </row>
    <row r="797">
      <c r="A797" s="213">
        <f>IFERROR(__xludf.DUMMYFUNCTION("""COMPUTED_VALUE"""),836.0)</f>
        <v>836</v>
      </c>
      <c r="B797" s="213" t="str">
        <f>IFERROR(__xludf.DUMMYFUNCTION("""COMPUTED_VALUE"""),"6049 RICARDO PALMA")</f>
        <v>6049 RICARDO PALMA</v>
      </c>
      <c r="C797" s="213" t="str">
        <f>IFERROR(__xludf.DUMMYFUNCTION("""COMPUTED_VALUE"""),"TALLER SFT DE ELECTRICIDAD")</f>
        <v>TALLER SFT DE ELECTRICIDAD</v>
      </c>
      <c r="D797" s="213" t="str">
        <f>IFERROR(__xludf.DUMMYFUNCTION("""COMPUTED_VALUE"""),"HERRAMIENTAS")</f>
        <v>HERRAMIENTAS</v>
      </c>
      <c r="E797" s="213" t="str">
        <f>IFERROR(__xludf.DUMMYFUNCTION("""COMPUTED_VALUE"""),"HER-104")</f>
        <v>HER-104</v>
      </c>
      <c r="F797" s="213" t="str">
        <f>IFERROR(__xludf.DUMMYFUNCTION("""COMPUTED_VALUE"""),"HER-104-X")</f>
        <v>HER-104-X</v>
      </c>
      <c r="G797" s="213"/>
      <c r="H797" s="213" t="str">
        <f>IFERROR(__xludf.DUMMYFUNCTION("""COMPUTED_VALUE"""),"ALICATE DE PUNTA CURVA")</f>
        <v>ALICATE DE PUNTA CURVA</v>
      </c>
      <c r="I797" s="213" t="str">
        <f>IFERROR(__xludf.DUMMYFUNCTION("""COMPUTED_VALUE"""),"· Características Técnicas:
- Alicates dieléctricos, para trabajos en corriente eléctrica.
- Para trabajos en alta tensión hasta 1000 V.
- Vástago y punta de material de acero al cromo-vanadio.
- Mango con aislamiento de PVC bimaterial, ergonómico y antid"&amp;"eslizante.
- Longitud total: 20 cm Max.
- Estuche de plástico para almacenar.")</f>
        <v>· Características Técnicas:
- Alicates dieléctricos, para trabajos en corriente eléctrica.
- Para trabajos en alta tensión hasta 1000 V.
- Vástago y punta de material de acero al cromo-vanadio.
- Mango con aislamiento de PVC bimaterial, ergonómico y antideslizante.
- Longitud total: 20 cm Max.
- Estuche de plástico para almacenar.</v>
      </c>
      <c r="J797" s="213">
        <f>IFERROR(__xludf.DUMMYFUNCTION("""COMPUTED_VALUE"""),3.0)</f>
        <v>3</v>
      </c>
      <c r="K797" s="213" t="str">
        <f>IFERROR(__xludf.DUMMYFUNCTION("""COMPUTED_VALUE"""),"90 DÍAS CALENDARIO")</f>
        <v>90 DÍAS CALENDARIO</v>
      </c>
      <c r="L797" s="213" t="str">
        <f>IFERROR(__xludf.DUMMYFUNCTION("""COMPUTED_VALUE"""),"")</f>
        <v/>
      </c>
      <c r="M797" s="213">
        <f>IFERROR(__xludf.DUMMYFUNCTION("""COMPUTED_VALUE"""),1.0)</f>
        <v>1</v>
      </c>
      <c r="N797" s="213">
        <f>IFERROR(__xludf.DUMMYFUNCTION("""COMPUTED_VALUE"""),5.0)</f>
        <v>5</v>
      </c>
      <c r="O797" s="213">
        <f>IFERROR(__xludf.DUMMYFUNCTION("""COMPUTED_VALUE"""),5.0)</f>
        <v>5</v>
      </c>
      <c r="P797" s="213"/>
      <c r="Q797" s="213"/>
      <c r="R797" s="213" t="str">
        <f>IFERROR(__xludf.DUMMYFUNCTION("""COMPUTED_VALUE"""),"SI")</f>
        <v>SI</v>
      </c>
      <c r="S797" s="213"/>
      <c r="T797" s="213" t="str">
        <f>IFERROR(__xludf.DUMMYFUNCTION("""COMPUTED_VALUE"""),"SI")</f>
        <v>SI</v>
      </c>
      <c r="U797" s="213" t="str">
        <f>IFERROR(__xludf.DUMMYFUNCTION("""COMPUTED_VALUE"""),"SI")</f>
        <v>SI</v>
      </c>
      <c r="V797" s="213" t="str">
        <f>IFERROR(__xludf.DUMMYFUNCTION("""COMPUTED_VALUE"""),"-")</f>
        <v>-</v>
      </c>
      <c r="W797" s="213" t="str">
        <f>IFERROR(__xludf.DUMMYFUNCTION("""COMPUTED_VALUE"""),"-")</f>
        <v>-</v>
      </c>
      <c r="X797" s="213" t="str">
        <f>IFERROR(__xludf.DUMMYFUNCTION("""COMPUTED_VALUE"""),"TRUPER")</f>
        <v>TRUPER</v>
      </c>
      <c r="Y797" s="213">
        <f>IFERROR(__xludf.DUMMYFUNCTION("""COMPUTED_VALUE"""),17337.0)</f>
        <v>17337</v>
      </c>
      <c r="Z797" s="215" t="str">
        <f>IFERROR(__xludf.DUMMYFUNCTION("""COMPUTED_VALUE"""),"https://cahema.pe/alicate-punta/3392-alicate-punta-curva-6-aislado-truper-17337-7501206619018.html?utm_source=chatgpt.com")</f>
        <v>https://cahema.pe/alicate-punta/3392-alicate-punta-curva-6-aislado-truper-17337-7501206619018.html?utm_source=chatgpt.com</v>
      </c>
      <c r="AA797" s="213" t="str">
        <f>IFERROR(__xludf.DUMMYFUNCTION("""COMPUTED_VALUE"""),"HER-104-X ALICATE DE PUNTA CURVA - CET")</f>
        <v>HER-104-X ALICATE DE PUNTA CURVA - CET</v>
      </c>
      <c r="AB797" s="215" t="str">
        <f>IFERROR(__xludf.DUMMYFUNCTION("""COMPUTED_VALUE"""),"https://drive.google.com/file/d/1sulfvWlHWMHxhFjiFfGJty-ePvNJAUFS/view?usp=sharing")</f>
        <v>https://drive.google.com/file/d/1sulfvWlHWMHxhFjiFfGJty-ePvNJAUFS/view?usp=sharing</v>
      </c>
      <c r="AC797" s="215" t="str">
        <f>IFERROR(__xludf.DUMMYFUNCTION("""COMPUTED_VALUE"""),"https://cahema.pe/alicate-punta/3392-alicate-punta-curva-6-aislado-truper-17337-7501206619018.html?utm_source=chatgpt.com")</f>
        <v>https://cahema.pe/alicate-punta/3392-alicate-punta-curva-6-aislado-truper-17337-7501206619018.html?utm_source=chatgpt.com</v>
      </c>
      <c r="AD797" s="213"/>
      <c r="AE797" s="213"/>
      <c r="AF797" s="213"/>
      <c r="AG797" s="213"/>
      <c r="AH797" s="213" t="str">
        <f>IFERROR(__xludf.DUMMYFUNCTION("""COMPUTED_VALUE"""),"NACIONAL")</f>
        <v>NACIONAL</v>
      </c>
      <c r="AI797" s="213"/>
      <c r="AJ797" s="213"/>
      <c r="AK797" s="213"/>
      <c r="AL797" s="213"/>
      <c r="AM797" s="213"/>
      <c r="AN797" s="213"/>
      <c r="AO797" s="213"/>
      <c r="AP797" s="213" t="str">
        <f>IFERROR(__xludf.DUMMYFUNCTION("""COMPUTED_VALUE"""),"LUIS")</f>
        <v>LUIS</v>
      </c>
      <c r="AQ797" s="213" t="str">
        <f>IFERROR(__xludf.DUMMYFUNCTION("""COMPUTED_VALUE"""),"SUSTENTABLE, HERRAMIENTA ES DE 15 CM, Y LA FICHA TECNICA DEL CLIENTE DICE 20 APROXIMADO. AL SER APROXIMADO PODRÍAMOS SUSTENTAR")</f>
        <v>SUSTENTABLE, HERRAMIENTA ES DE 15 CM, Y LA FICHA TECNICA DEL CLIENTE DICE 20 APROXIMADO. AL SER APROXIMADO PODRÍAMOS SUSTENTAR</v>
      </c>
      <c r="AR797" s="213"/>
      <c r="AS797" s="213"/>
      <c r="AT797" s="213"/>
      <c r="AU797" s="213"/>
      <c r="AV797" s="213"/>
      <c r="AW797" s="213"/>
      <c r="AX797" s="213"/>
      <c r="AY797" s="213"/>
      <c r="AZ797" s="213"/>
      <c r="BA797" s="213"/>
      <c r="BB797" s="213"/>
      <c r="BC797" s="213"/>
      <c r="BD797" s="213"/>
    </row>
    <row r="798">
      <c r="A798" s="213">
        <f>IFERROR(__xludf.DUMMYFUNCTION("""COMPUTED_VALUE"""),1258.0)</f>
        <v>1258</v>
      </c>
      <c r="B798" s="213" t="str">
        <f>IFERROR(__xludf.DUMMYFUNCTION("""COMPUTED_VALUE"""),"GUILLERMO E. BILLINGHURST ")</f>
        <v>GUILLERMO E. BILLINGHURST </v>
      </c>
      <c r="C798" s="213" t="str">
        <f>IFERROR(__xludf.DUMMYFUNCTION("""COMPUTED_VALUE"""),"TALLER SFT DE ELECTRICIDAD")</f>
        <v>TALLER SFT DE ELECTRICIDAD</v>
      </c>
      <c r="D798" s="213" t="str">
        <f>IFERROR(__xludf.DUMMYFUNCTION("""COMPUTED_VALUE"""),"HERRAMIENTAS")</f>
        <v>HERRAMIENTAS</v>
      </c>
      <c r="E798" s="213" t="str">
        <f>IFERROR(__xludf.DUMMYFUNCTION("""COMPUTED_VALUE"""),"HER-104")</f>
        <v>HER-104</v>
      </c>
      <c r="F798" s="213" t="str">
        <f>IFERROR(__xludf.DUMMYFUNCTION("""COMPUTED_VALUE"""),"HER-104-X")</f>
        <v>HER-104-X</v>
      </c>
      <c r="G798" s="213"/>
      <c r="H798" s="213" t="str">
        <f>IFERROR(__xludf.DUMMYFUNCTION("""COMPUTED_VALUE"""),"ALICATE DE PUNTA CURVA")</f>
        <v>ALICATE DE PUNTA CURVA</v>
      </c>
      <c r="I798" s="213" t="str">
        <f>IFERROR(__xludf.DUMMYFUNCTION("""COMPUTED_VALUE"""),"· Características Técnicas:
- Alicates dieléctricos, para trabajos en corriente eléctrica.
- Para trabajos en alta tensión hasta 1000 V.
- Vástago y punta de material de acero al cromo-vanadio.
- Mango con aislamiento de PVC bimaterial, ergonómico y antid"&amp;"eslizante.
- Longitud total: 20 cm Max.
- Estuche de plástico para almacenar.")</f>
        <v>· Características Técnicas:
- Alicates dieléctricos, para trabajos en corriente eléctrica.
- Para trabajos en alta tensión hasta 1000 V.
- Vástago y punta de material de acero al cromo-vanadio.
- Mango con aislamiento de PVC bimaterial, ergonómico y antideslizante.
- Longitud total: 20 cm Max.
- Estuche de plástico para almacenar.</v>
      </c>
      <c r="J798" s="213">
        <f>IFERROR(__xludf.DUMMYFUNCTION("""COMPUTED_VALUE"""),3.0)</f>
        <v>3</v>
      </c>
      <c r="K798" s="213" t="str">
        <f>IFERROR(__xludf.DUMMYFUNCTION("""COMPUTED_VALUE"""),"90 DÍAS CALENDARIO")</f>
        <v>90 DÍAS CALENDARIO</v>
      </c>
      <c r="L798" s="213" t="str">
        <f>IFERROR(__xludf.DUMMYFUNCTION("""COMPUTED_VALUE"""),"")</f>
        <v/>
      </c>
      <c r="M798" s="213">
        <f>IFERROR(__xludf.DUMMYFUNCTION("""COMPUTED_VALUE"""),1.0)</f>
        <v>1</v>
      </c>
      <c r="N798" s="213">
        <f>IFERROR(__xludf.DUMMYFUNCTION("""COMPUTED_VALUE"""),5.0)</f>
        <v>5</v>
      </c>
      <c r="O798" s="213">
        <f>IFERROR(__xludf.DUMMYFUNCTION("""COMPUTED_VALUE"""),5.0)</f>
        <v>5</v>
      </c>
      <c r="P798" s="213"/>
      <c r="Q798" s="213"/>
      <c r="R798" s="213" t="str">
        <f>IFERROR(__xludf.DUMMYFUNCTION("""COMPUTED_VALUE"""),"SI")</f>
        <v>SI</v>
      </c>
      <c r="S798" s="213"/>
      <c r="T798" s="213" t="str">
        <f>IFERROR(__xludf.DUMMYFUNCTION("""COMPUTED_VALUE"""),"SI")</f>
        <v>SI</v>
      </c>
      <c r="U798" s="213" t="str">
        <f>IFERROR(__xludf.DUMMYFUNCTION("""COMPUTED_VALUE"""),"SI")</f>
        <v>SI</v>
      </c>
      <c r="V798" s="213" t="str">
        <f>IFERROR(__xludf.DUMMYFUNCTION("""COMPUTED_VALUE"""),"-")</f>
        <v>-</v>
      </c>
      <c r="W798" s="213" t="str">
        <f>IFERROR(__xludf.DUMMYFUNCTION("""COMPUTED_VALUE"""),"-")</f>
        <v>-</v>
      </c>
      <c r="X798" s="213" t="str">
        <f>IFERROR(__xludf.DUMMYFUNCTION("""COMPUTED_VALUE"""),"TRUPER")</f>
        <v>TRUPER</v>
      </c>
      <c r="Y798" s="213">
        <f>IFERROR(__xludf.DUMMYFUNCTION("""COMPUTED_VALUE"""),17337.0)</f>
        <v>17337</v>
      </c>
      <c r="Z798" s="215" t="str">
        <f>IFERROR(__xludf.DUMMYFUNCTION("""COMPUTED_VALUE"""),"https://cahema.pe/alicate-punta/3392-alicate-punta-curva-6-aislado-truper-17337-7501206619018.html?utm_source=chatgpt.com")</f>
        <v>https://cahema.pe/alicate-punta/3392-alicate-punta-curva-6-aislado-truper-17337-7501206619018.html?utm_source=chatgpt.com</v>
      </c>
      <c r="AA798" s="213" t="str">
        <f>IFERROR(__xludf.DUMMYFUNCTION("""COMPUTED_VALUE"""),"HER-104-X ALICATE DE PUNTA CURVA - CET")</f>
        <v>HER-104-X ALICATE DE PUNTA CURVA - CET</v>
      </c>
      <c r="AB798" s="215" t="str">
        <f>IFERROR(__xludf.DUMMYFUNCTION("""COMPUTED_VALUE"""),"https://drive.google.com/file/d/1sulfvWlHWMHxhFjiFfGJty-ePvNJAUFS/view?usp=sharing")</f>
        <v>https://drive.google.com/file/d/1sulfvWlHWMHxhFjiFfGJty-ePvNJAUFS/view?usp=sharing</v>
      </c>
      <c r="AC798" s="215" t="str">
        <f>IFERROR(__xludf.DUMMYFUNCTION("""COMPUTED_VALUE"""),"https://cahema.pe/alicate-punta/3392-alicate-punta-curva-6-aislado-truper-17337-7501206619018.html?utm_source=chatgpt.com")</f>
        <v>https://cahema.pe/alicate-punta/3392-alicate-punta-curva-6-aislado-truper-17337-7501206619018.html?utm_source=chatgpt.com</v>
      </c>
      <c r="AD798" s="213"/>
      <c r="AE798" s="213"/>
      <c r="AF798" s="213"/>
      <c r="AG798" s="213"/>
      <c r="AH798" s="213" t="str">
        <f>IFERROR(__xludf.DUMMYFUNCTION("""COMPUTED_VALUE"""),"NACIONAL")</f>
        <v>NACIONAL</v>
      </c>
      <c r="AI798" s="213"/>
      <c r="AJ798" s="213"/>
      <c r="AK798" s="213"/>
      <c r="AL798" s="213"/>
      <c r="AM798" s="213"/>
      <c r="AN798" s="213"/>
      <c r="AO798" s="213"/>
      <c r="AP798" s="213" t="str">
        <f>IFERROR(__xludf.DUMMYFUNCTION("""COMPUTED_VALUE"""),"LUIS")</f>
        <v>LUIS</v>
      </c>
      <c r="AQ798" s="213" t="str">
        <f>IFERROR(__xludf.DUMMYFUNCTION("""COMPUTED_VALUE"""),"SUSTENTABLE, HERRAMIENTA ES DE 15 CM, Y LA FICHA TECNICA DEL CLIENTE DICE 20 APROXIMADO. AL SER APROXIMADO PODRÍAMOS SUSTENTAR")</f>
        <v>SUSTENTABLE, HERRAMIENTA ES DE 15 CM, Y LA FICHA TECNICA DEL CLIENTE DICE 20 APROXIMADO. AL SER APROXIMADO PODRÍAMOS SUSTENTAR</v>
      </c>
      <c r="AR798" s="213"/>
      <c r="AS798" s="213"/>
      <c r="AT798" s="213"/>
      <c r="AU798" s="213"/>
      <c r="AV798" s="213"/>
      <c r="AW798" s="213"/>
      <c r="AX798" s="213"/>
      <c r="AY798" s="213"/>
      <c r="AZ798" s="213"/>
      <c r="BA798" s="213"/>
      <c r="BB798" s="213"/>
      <c r="BC798" s="213"/>
      <c r="BD798" s="213"/>
    </row>
    <row r="799">
      <c r="A799" s="213">
        <f>IFERROR(__xludf.DUMMYFUNCTION("""COMPUTED_VALUE"""),352.0)</f>
        <v>352</v>
      </c>
      <c r="B799" s="213" t="str">
        <f>IFERROR(__xludf.DUMMYFUNCTION("""COMPUTED_VALUE"""),"2026 SIMON BOLIVAR")</f>
        <v>2026 SIMON BOLIVAR</v>
      </c>
      <c r="C799" s="213" t="str">
        <f>IFERROR(__xludf.DUMMYFUNCTION("""COMPUTED_VALUE"""),"TALLER SFT DE ELECTRICIDAD")</f>
        <v>TALLER SFT DE ELECTRICIDAD</v>
      </c>
      <c r="D799" s="213" t="str">
        <f>IFERROR(__xludf.DUMMYFUNCTION("""COMPUTED_VALUE"""),"HERRAMIENTAS")</f>
        <v>HERRAMIENTAS</v>
      </c>
      <c r="E799" s="213" t="str">
        <f>IFERROR(__xludf.DUMMYFUNCTION("""COMPUTED_VALUE"""),"HER-106")</f>
        <v>HER-106</v>
      </c>
      <c r="F799" s="213" t="str">
        <f>IFERROR(__xludf.DUMMYFUNCTION("""COMPUTED_VALUE"""),"HER-106-X")</f>
        <v>HER-106-X</v>
      </c>
      <c r="G799" s="213"/>
      <c r="H799" s="213" t="str">
        <f>IFERROR(__xludf.DUMMYFUNCTION("""COMPUTED_VALUE"""),"ALICATE PELACABLE")</f>
        <v>ALICATE PELACABLE</v>
      </c>
      <c r="I799" s="213" t="str">
        <f>IFERROR(__xludf.DUMMYFUNCTION("""COMPUTED_VALUE"""),"· Características Técnicas deseables:
- Que permita pelar y cortar cables redondos y cables planos.
- Que permita pelar el recubrimiento de plástico de cables redondos y se ajusta automáticamente.
- Prensa enchufes modulares de formatos RJ45/RJ11/RJ12.
- "&amp;"Con mango ergonómico para mayor comodidad de uso y antideslizante
- Que permita el corte de cables de cobre y aluminio.")</f>
        <v>· Características Técnicas deseables:
- Que permita pelar y cortar cables redondos y cables planos.
- Que permita pelar el recubrimiento de plástico de cables redondos y se ajusta automáticamente.
- Prensa enchufes modulares de formatos RJ45/RJ11/RJ12.
- Con mango ergonómico para mayor comodidad de uso y antideslizante
- Que permita el corte de cables de cobre y aluminio.</v>
      </c>
      <c r="J799" s="213">
        <f>IFERROR(__xludf.DUMMYFUNCTION("""COMPUTED_VALUE"""),3.0)</f>
        <v>3</v>
      </c>
      <c r="K799" s="213" t="str">
        <f>IFERROR(__xludf.DUMMYFUNCTION("""COMPUTED_VALUE"""),"90 DÍAS CALENDARIO")</f>
        <v>90 DÍAS CALENDARIO</v>
      </c>
      <c r="L799" s="213" t="str">
        <f>IFERROR(__xludf.DUMMYFUNCTION("""COMPUTED_VALUE"""),"ELECTRICIDAD, ELECTRÓNICA")</f>
        <v>ELECTRICIDAD, ELECTRÓNICA</v>
      </c>
      <c r="M799" s="213">
        <f>IFERROR(__xludf.DUMMYFUNCTION("""COMPUTED_VALUE"""),1.0)</f>
        <v>1</v>
      </c>
      <c r="N799" s="213">
        <f>IFERROR(__xludf.DUMMYFUNCTION("""COMPUTED_VALUE"""),5.0)</f>
        <v>5</v>
      </c>
      <c r="O799" s="213">
        <f>IFERROR(__xludf.DUMMYFUNCTION("""COMPUTED_VALUE"""),5.0)</f>
        <v>5</v>
      </c>
      <c r="P799" s="213"/>
      <c r="Q799" s="213"/>
      <c r="R799" s="213" t="str">
        <f>IFERROR(__xludf.DUMMYFUNCTION("""COMPUTED_VALUE"""),"SI")</f>
        <v>SI</v>
      </c>
      <c r="S799" s="213"/>
      <c r="T799" s="213" t="str">
        <f>IFERROR(__xludf.DUMMYFUNCTION("""COMPUTED_VALUE"""),"SI")</f>
        <v>SI</v>
      </c>
      <c r="U799" s="213" t="str">
        <f>IFERROR(__xludf.DUMMYFUNCTION("""COMPUTED_VALUE"""),"SI")</f>
        <v>SI</v>
      </c>
      <c r="V799" s="213" t="str">
        <f>IFERROR(__xludf.DUMMYFUNCTION("""COMPUTED_VALUE"""),"-")</f>
        <v>-</v>
      </c>
      <c r="W799" s="213" t="str">
        <f>IFERROR(__xludf.DUMMYFUNCTION("""COMPUTED_VALUE"""),"-")</f>
        <v>-</v>
      </c>
      <c r="X799" s="213" t="str">
        <f>IFERROR(__xludf.DUMMYFUNCTION("""COMPUTED_VALUE"""),"STANLEY")</f>
        <v>STANLEY</v>
      </c>
      <c r="Y799" s="213" t="str">
        <f>IFERROR(__xludf.DUMMYFUNCTION("""COMPUTED_VALUE"""),"96-225")</f>
        <v>96-225</v>
      </c>
      <c r="Z799" s="215" t="str">
        <f>IFERROR(__xludf.DUMMYFUNCTION("""COMPUTED_VALUE"""),"https://sodimac.falabella.com.pe/sodimac-pe/product/113539082/Pelacables-3-en-1/113539092")</f>
        <v>https://sodimac.falabella.com.pe/sodimac-pe/product/113539082/Pelacables-3-en-1/113539092</v>
      </c>
      <c r="AA799" s="213" t="str">
        <f>IFERROR(__xludf.DUMMYFUNCTION("""COMPUTED_VALUE"""),"HER-106-X ALICATE PELACABLE- CET")</f>
        <v>HER-106-X ALICATE PELACABLE- CET</v>
      </c>
      <c r="AB799" s="213"/>
      <c r="AC799" s="213"/>
      <c r="AD799" s="213"/>
      <c r="AE799" s="213"/>
      <c r="AF799" s="213"/>
      <c r="AG799" s="213"/>
      <c r="AH799" s="213" t="str">
        <f>IFERROR(__xludf.DUMMYFUNCTION("""COMPUTED_VALUE"""),"NACIONAL")</f>
        <v>NACIONAL</v>
      </c>
      <c r="AI799" s="213"/>
      <c r="AJ799" s="213"/>
      <c r="AK799" s="213"/>
      <c r="AL799" s="213"/>
      <c r="AM799" s="213"/>
      <c r="AN799" s="213"/>
      <c r="AO799" s="213"/>
      <c r="AP799" s="213" t="str">
        <f>IFERROR(__xludf.DUMMYFUNCTION("""COMPUTED_VALUE"""),"SEBASTIAN")</f>
        <v>SEBASTIAN</v>
      </c>
      <c r="AQ799" s="213"/>
      <c r="AR799" s="213"/>
      <c r="AS799" s="213"/>
      <c r="AT799" s="213"/>
      <c r="AU799" s="213"/>
      <c r="AV799" s="213"/>
      <c r="AW799" s="213"/>
      <c r="AX799" s="213"/>
      <c r="AY799" s="213"/>
      <c r="AZ799" s="213"/>
      <c r="BA799" s="213"/>
      <c r="BB799" s="213"/>
      <c r="BC799" s="213"/>
      <c r="BD799" s="213"/>
    </row>
    <row r="800">
      <c r="A800" s="213">
        <f>IFERROR(__xludf.DUMMYFUNCTION("""COMPUTED_VALUE"""),634.0)</f>
        <v>634</v>
      </c>
      <c r="B800" s="213" t="str">
        <f>IFERROR(__xludf.DUMMYFUNCTION("""COMPUTED_VALUE"""),"6049 RICARDO PALMA")</f>
        <v>6049 RICARDO PALMA</v>
      </c>
      <c r="C800" s="213" t="str">
        <f>IFERROR(__xludf.DUMMYFUNCTION("""COMPUTED_VALUE"""),"TALLER SFT DE ELECTRÓNICA")</f>
        <v>TALLER SFT DE ELECTRÓNICA</v>
      </c>
      <c r="D800" s="213" t="str">
        <f>IFERROR(__xludf.DUMMYFUNCTION("""COMPUTED_VALUE"""),"HERRAMIENTAS")</f>
        <v>HERRAMIENTAS</v>
      </c>
      <c r="E800" s="213" t="str">
        <f>IFERROR(__xludf.DUMMYFUNCTION("""COMPUTED_VALUE"""),"HER-106")</f>
        <v>HER-106</v>
      </c>
      <c r="F800" s="213" t="str">
        <f>IFERROR(__xludf.DUMMYFUNCTION("""COMPUTED_VALUE"""),"HER-106-X")</f>
        <v>HER-106-X</v>
      </c>
      <c r="G800" s="213"/>
      <c r="H800" s="213" t="str">
        <f>IFERROR(__xludf.DUMMYFUNCTION("""COMPUTED_VALUE"""),"ALICATE PELACABLE")</f>
        <v>ALICATE PELACABLE</v>
      </c>
      <c r="I800" s="213" t="str">
        <f>IFERROR(__xludf.DUMMYFUNCTION("""COMPUTED_VALUE"""),"· Pela y corta cables redondos, corta cables planos.
· Pela el recubrimiento de plástico de cables redondos y se ajusta automáticamente.
· Prensa enchufes modulares de formatos RJ45/RJ11/RJ12.
· Mango ergonómico para mayor comodidad de uso y antideslizant"&amp;"e
· Corta cables de cobre y aluminio.")</f>
        <v>· Pela y corta cables redondos, corta cables planos.
· Pela el recubrimiento de plástico de cables redondos y se ajusta automáticamente.
· Prensa enchufes modulares de formatos RJ45/RJ11/RJ12.
· Mango ergonómico para mayor comodidad de uso y antideslizante
· Corta cables de cobre y aluminio.</v>
      </c>
      <c r="J800" s="213">
        <f>IFERROR(__xludf.DUMMYFUNCTION("""COMPUTED_VALUE"""),3.0)</f>
        <v>3</v>
      </c>
      <c r="K800" s="213" t="str">
        <f>IFERROR(__xludf.DUMMYFUNCTION("""COMPUTED_VALUE"""),"90 DÍAS CALENDARIO")</f>
        <v>90 DÍAS CALENDARIO</v>
      </c>
      <c r="L800" s="213" t="str">
        <f>IFERROR(__xludf.DUMMYFUNCTION("""COMPUTED_VALUE"""),"ELECTRICIDAD, ELECTRÓNICA")</f>
        <v>ELECTRICIDAD, ELECTRÓNICA</v>
      </c>
      <c r="M800" s="213">
        <f>IFERROR(__xludf.DUMMYFUNCTION("""COMPUTED_VALUE"""),1.0)</f>
        <v>1</v>
      </c>
      <c r="N800" s="213">
        <f>IFERROR(__xludf.DUMMYFUNCTION("""COMPUTED_VALUE"""),4.0)</f>
        <v>4</v>
      </c>
      <c r="O800" s="213">
        <f>IFERROR(__xludf.DUMMYFUNCTION("""COMPUTED_VALUE"""),4.0)</f>
        <v>4</v>
      </c>
      <c r="P800" s="213"/>
      <c r="Q800" s="213"/>
      <c r="R800" s="213" t="str">
        <f>IFERROR(__xludf.DUMMYFUNCTION("""COMPUTED_VALUE"""),"SI")</f>
        <v>SI</v>
      </c>
      <c r="S800" s="213"/>
      <c r="T800" s="213" t="str">
        <f>IFERROR(__xludf.DUMMYFUNCTION("""COMPUTED_VALUE"""),"SI")</f>
        <v>SI</v>
      </c>
      <c r="U800" s="213" t="str">
        <f>IFERROR(__xludf.DUMMYFUNCTION("""COMPUTED_VALUE"""),"SI")</f>
        <v>SI</v>
      </c>
      <c r="V800" s="213" t="str">
        <f>IFERROR(__xludf.DUMMYFUNCTION("""COMPUTED_VALUE"""),"-")</f>
        <v>-</v>
      </c>
      <c r="W800" s="213" t="str">
        <f>IFERROR(__xludf.DUMMYFUNCTION("""COMPUTED_VALUE"""),"-")</f>
        <v>-</v>
      </c>
      <c r="X800" s="213" t="str">
        <f>IFERROR(__xludf.DUMMYFUNCTION("""COMPUTED_VALUE"""),"STANLEY")</f>
        <v>STANLEY</v>
      </c>
      <c r="Y800" s="213" t="str">
        <f>IFERROR(__xludf.DUMMYFUNCTION("""COMPUTED_VALUE"""),"96-225")</f>
        <v>96-225</v>
      </c>
      <c r="Z800" s="215" t="str">
        <f>IFERROR(__xludf.DUMMYFUNCTION("""COMPUTED_VALUE"""),"https://sodimac.falabella.com.pe/sodimac-pe/product/113539082/Pelacables-3-en-1/113539092")</f>
        <v>https://sodimac.falabella.com.pe/sodimac-pe/product/113539082/Pelacables-3-en-1/113539092</v>
      </c>
      <c r="AA800" s="213" t="str">
        <f>IFERROR(__xludf.DUMMYFUNCTION("""COMPUTED_VALUE"""),"HER-106-X ALICATE PELACABLE- CET")</f>
        <v>HER-106-X ALICATE PELACABLE- CET</v>
      </c>
      <c r="AB800" s="213"/>
      <c r="AC800" s="213"/>
      <c r="AD800" s="213"/>
      <c r="AE800" s="213"/>
      <c r="AF800" s="213"/>
      <c r="AG800" s="213"/>
      <c r="AH800" s="213" t="str">
        <f>IFERROR(__xludf.DUMMYFUNCTION("""COMPUTED_VALUE"""),"NACIONAL")</f>
        <v>NACIONAL</v>
      </c>
      <c r="AI800" s="213"/>
      <c r="AJ800" s="213"/>
      <c r="AK800" s="213"/>
      <c r="AL800" s="213"/>
      <c r="AM800" s="213"/>
      <c r="AN800" s="213"/>
      <c r="AO800" s="213"/>
      <c r="AP800" s="213" t="str">
        <f>IFERROR(__xludf.DUMMYFUNCTION("""COMPUTED_VALUE"""),"SEBASTIAN")</f>
        <v>SEBASTIAN</v>
      </c>
      <c r="AQ800" s="213"/>
      <c r="AR800" s="213"/>
      <c r="AS800" s="213"/>
      <c r="AT800" s="213"/>
      <c r="AU800" s="213"/>
      <c r="AV800" s="213"/>
      <c r="AW800" s="213"/>
      <c r="AX800" s="213"/>
      <c r="AY800" s="213"/>
      <c r="AZ800" s="213"/>
      <c r="BA800" s="213"/>
      <c r="BB800" s="213"/>
      <c r="BC800" s="213"/>
      <c r="BD800" s="213"/>
    </row>
    <row r="801">
      <c r="A801" s="213">
        <f>IFERROR(__xludf.DUMMYFUNCTION("""COMPUTED_VALUE"""),838.0)</f>
        <v>838</v>
      </c>
      <c r="B801" s="213" t="str">
        <f>IFERROR(__xludf.DUMMYFUNCTION("""COMPUTED_VALUE"""),"6049 RICARDO PALMA")</f>
        <v>6049 RICARDO PALMA</v>
      </c>
      <c r="C801" s="213" t="str">
        <f>IFERROR(__xludf.DUMMYFUNCTION("""COMPUTED_VALUE"""),"TALLER SFT DE ELECTRICIDAD")</f>
        <v>TALLER SFT DE ELECTRICIDAD</v>
      </c>
      <c r="D801" s="213" t="str">
        <f>IFERROR(__xludf.DUMMYFUNCTION("""COMPUTED_VALUE"""),"HERRAMIENTAS")</f>
        <v>HERRAMIENTAS</v>
      </c>
      <c r="E801" s="213" t="str">
        <f>IFERROR(__xludf.DUMMYFUNCTION("""COMPUTED_VALUE"""),"HER-106")</f>
        <v>HER-106</v>
      </c>
      <c r="F801" s="213" t="str">
        <f>IFERROR(__xludf.DUMMYFUNCTION("""COMPUTED_VALUE"""),"HER-106-X")</f>
        <v>HER-106-X</v>
      </c>
      <c r="G801" s="213"/>
      <c r="H801" s="213" t="str">
        <f>IFERROR(__xludf.DUMMYFUNCTION("""COMPUTED_VALUE"""),"ALICATE PELACABLE")</f>
        <v>ALICATE PELACABLE</v>
      </c>
      <c r="I801" s="213" t="str">
        <f>IFERROR(__xludf.DUMMYFUNCTION("""COMPUTED_VALUE"""),"· Características Técnicas deseables:
- Que permita pelar y cortar cables redondos y cables planos.
- Que permita pelar el recubrimiento de plástico de cables redondos y se ajusta automáticamente.
- Prensa enchufes modulares de formatos RJ45/RJ11/RJ12.
- "&amp;"Con mango ergonómico para mayor comodidad de uso y antideslizante
- Que permita el corte de cables de cobre y aluminio.")</f>
        <v>· Características Técnicas deseables:
- Que permita pelar y cortar cables redondos y cables planos.
- Que permita pelar el recubrimiento de plástico de cables redondos y se ajusta automáticamente.
- Prensa enchufes modulares de formatos RJ45/RJ11/RJ12.
- Con mango ergonómico para mayor comodidad de uso y antideslizante
- Que permita el corte de cables de cobre y aluminio.</v>
      </c>
      <c r="J801" s="213">
        <f>IFERROR(__xludf.DUMMYFUNCTION("""COMPUTED_VALUE"""),3.0)</f>
        <v>3</v>
      </c>
      <c r="K801" s="213" t="str">
        <f>IFERROR(__xludf.DUMMYFUNCTION("""COMPUTED_VALUE"""),"90 DÍAS CALENDARIO")</f>
        <v>90 DÍAS CALENDARIO</v>
      </c>
      <c r="L801" s="213" t="str">
        <f>IFERROR(__xludf.DUMMYFUNCTION("""COMPUTED_VALUE"""),"ELECTRICIDAD, ELECTRÓNICA")</f>
        <v>ELECTRICIDAD, ELECTRÓNICA</v>
      </c>
      <c r="M801" s="213">
        <f>IFERROR(__xludf.DUMMYFUNCTION("""COMPUTED_VALUE"""),1.0)</f>
        <v>1</v>
      </c>
      <c r="N801" s="213">
        <f>IFERROR(__xludf.DUMMYFUNCTION("""COMPUTED_VALUE"""),5.0)</f>
        <v>5</v>
      </c>
      <c r="O801" s="213">
        <f>IFERROR(__xludf.DUMMYFUNCTION("""COMPUTED_VALUE"""),5.0)</f>
        <v>5</v>
      </c>
      <c r="P801" s="213"/>
      <c r="Q801" s="213"/>
      <c r="R801" s="213" t="str">
        <f>IFERROR(__xludf.DUMMYFUNCTION("""COMPUTED_VALUE"""),"SI")</f>
        <v>SI</v>
      </c>
      <c r="S801" s="213"/>
      <c r="T801" s="213" t="str">
        <f>IFERROR(__xludf.DUMMYFUNCTION("""COMPUTED_VALUE"""),"SI")</f>
        <v>SI</v>
      </c>
      <c r="U801" s="213" t="str">
        <f>IFERROR(__xludf.DUMMYFUNCTION("""COMPUTED_VALUE"""),"SI")</f>
        <v>SI</v>
      </c>
      <c r="V801" s="213" t="str">
        <f>IFERROR(__xludf.DUMMYFUNCTION("""COMPUTED_VALUE"""),"-")</f>
        <v>-</v>
      </c>
      <c r="W801" s="213" t="str">
        <f>IFERROR(__xludf.DUMMYFUNCTION("""COMPUTED_VALUE"""),"-")</f>
        <v>-</v>
      </c>
      <c r="X801" s="213" t="str">
        <f>IFERROR(__xludf.DUMMYFUNCTION("""COMPUTED_VALUE"""),"STANLEY")</f>
        <v>STANLEY</v>
      </c>
      <c r="Y801" s="213" t="str">
        <f>IFERROR(__xludf.DUMMYFUNCTION("""COMPUTED_VALUE"""),"96-225")</f>
        <v>96-225</v>
      </c>
      <c r="Z801" s="215" t="str">
        <f>IFERROR(__xludf.DUMMYFUNCTION("""COMPUTED_VALUE"""),"https://sodimac.falabella.com.pe/sodimac-pe/product/113539082/Pelacables-3-en-1/113539092")</f>
        <v>https://sodimac.falabella.com.pe/sodimac-pe/product/113539082/Pelacables-3-en-1/113539092</v>
      </c>
      <c r="AA801" s="213" t="str">
        <f>IFERROR(__xludf.DUMMYFUNCTION("""COMPUTED_VALUE"""),"HER-106-X ALICATE PELACABLE- CET")</f>
        <v>HER-106-X ALICATE PELACABLE- CET</v>
      </c>
      <c r="AB801" s="213"/>
      <c r="AC801" s="213"/>
      <c r="AD801" s="213"/>
      <c r="AE801" s="213"/>
      <c r="AF801" s="213"/>
      <c r="AG801" s="213"/>
      <c r="AH801" s="213" t="str">
        <f>IFERROR(__xludf.DUMMYFUNCTION("""COMPUTED_VALUE"""),"NACIONAL")</f>
        <v>NACIONAL</v>
      </c>
      <c r="AI801" s="213"/>
      <c r="AJ801" s="213"/>
      <c r="AK801" s="213"/>
      <c r="AL801" s="213"/>
      <c r="AM801" s="213"/>
      <c r="AN801" s="213"/>
      <c r="AO801" s="213"/>
      <c r="AP801" s="213" t="str">
        <f>IFERROR(__xludf.DUMMYFUNCTION("""COMPUTED_VALUE"""),"SEBASTIAN")</f>
        <v>SEBASTIAN</v>
      </c>
      <c r="AQ801" s="213"/>
      <c r="AR801" s="213"/>
      <c r="AS801" s="213"/>
      <c r="AT801" s="213"/>
      <c r="AU801" s="213"/>
      <c r="AV801" s="213"/>
      <c r="AW801" s="213"/>
      <c r="AX801" s="213"/>
      <c r="AY801" s="213"/>
      <c r="AZ801" s="213"/>
      <c r="BA801" s="213"/>
      <c r="BB801" s="213"/>
      <c r="BC801" s="213"/>
      <c r="BD801" s="213"/>
    </row>
    <row r="802">
      <c r="A802" s="213">
        <f>IFERROR(__xludf.DUMMYFUNCTION("""COMPUTED_VALUE"""),1260.0)</f>
        <v>1260</v>
      </c>
      <c r="B802" s="213" t="str">
        <f>IFERROR(__xludf.DUMMYFUNCTION("""COMPUTED_VALUE"""),"GUILLERMO E. BILLINGHURST ")</f>
        <v>GUILLERMO E. BILLINGHURST </v>
      </c>
      <c r="C802" s="213" t="str">
        <f>IFERROR(__xludf.DUMMYFUNCTION("""COMPUTED_VALUE"""),"TALLER SFT DE ELECTRICIDAD")</f>
        <v>TALLER SFT DE ELECTRICIDAD</v>
      </c>
      <c r="D802" s="213" t="str">
        <f>IFERROR(__xludf.DUMMYFUNCTION("""COMPUTED_VALUE"""),"HERRAMIENTAS")</f>
        <v>HERRAMIENTAS</v>
      </c>
      <c r="E802" s="213" t="str">
        <f>IFERROR(__xludf.DUMMYFUNCTION("""COMPUTED_VALUE"""),"HER-106")</f>
        <v>HER-106</v>
      </c>
      <c r="F802" s="213" t="str">
        <f>IFERROR(__xludf.DUMMYFUNCTION("""COMPUTED_VALUE"""),"HER-106-X")</f>
        <v>HER-106-X</v>
      </c>
      <c r="G802" s="213"/>
      <c r="H802" s="213" t="str">
        <f>IFERROR(__xludf.DUMMYFUNCTION("""COMPUTED_VALUE"""),"ALICATE PELACABLE")</f>
        <v>ALICATE PELACABLE</v>
      </c>
      <c r="I802" s="213" t="str">
        <f>IFERROR(__xludf.DUMMYFUNCTION("""COMPUTED_VALUE"""),"· Características Técnicas deseables:
- Que permita pelar y cortar cables redondos y cables planos.
- Que permita pelar el recubrimiento de plástico de cables redondos y se ajusta automáticamente.
- Prensa enchufes modulares de formatos RJ45/RJ11/RJ12.
- "&amp;"Con mango ergonómico para mayor comodidad de uso y antideslizante
- Que permita el corte de cables de cobre y aluminio.")</f>
        <v>· Características Técnicas deseables:
- Que permita pelar y cortar cables redondos y cables planos.
- Que permita pelar el recubrimiento de plástico de cables redondos y se ajusta automáticamente.
- Prensa enchufes modulares de formatos RJ45/RJ11/RJ12.
- Con mango ergonómico para mayor comodidad de uso y antideslizante
- Que permita el corte de cables de cobre y aluminio.</v>
      </c>
      <c r="J802" s="213">
        <f>IFERROR(__xludf.DUMMYFUNCTION("""COMPUTED_VALUE"""),3.0)</f>
        <v>3</v>
      </c>
      <c r="K802" s="213" t="str">
        <f>IFERROR(__xludf.DUMMYFUNCTION("""COMPUTED_VALUE"""),"90 DÍAS CALENDARIO")</f>
        <v>90 DÍAS CALENDARIO</v>
      </c>
      <c r="L802" s="213" t="str">
        <f>IFERROR(__xludf.DUMMYFUNCTION("""COMPUTED_VALUE"""),"ELECTRICIDAD, ELECTRÓNICA")</f>
        <v>ELECTRICIDAD, ELECTRÓNICA</v>
      </c>
      <c r="M802" s="213">
        <f>IFERROR(__xludf.DUMMYFUNCTION("""COMPUTED_VALUE"""),1.0)</f>
        <v>1</v>
      </c>
      <c r="N802" s="213">
        <f>IFERROR(__xludf.DUMMYFUNCTION("""COMPUTED_VALUE"""),5.0)</f>
        <v>5</v>
      </c>
      <c r="O802" s="213">
        <f>IFERROR(__xludf.DUMMYFUNCTION("""COMPUTED_VALUE"""),5.0)</f>
        <v>5</v>
      </c>
      <c r="P802" s="213"/>
      <c r="Q802" s="213"/>
      <c r="R802" s="213" t="str">
        <f>IFERROR(__xludf.DUMMYFUNCTION("""COMPUTED_VALUE"""),"SI")</f>
        <v>SI</v>
      </c>
      <c r="S802" s="213"/>
      <c r="T802" s="213" t="str">
        <f>IFERROR(__xludf.DUMMYFUNCTION("""COMPUTED_VALUE"""),"SI")</f>
        <v>SI</v>
      </c>
      <c r="U802" s="213" t="str">
        <f>IFERROR(__xludf.DUMMYFUNCTION("""COMPUTED_VALUE"""),"SI")</f>
        <v>SI</v>
      </c>
      <c r="V802" s="213" t="str">
        <f>IFERROR(__xludf.DUMMYFUNCTION("""COMPUTED_VALUE"""),"-")</f>
        <v>-</v>
      </c>
      <c r="W802" s="213" t="str">
        <f>IFERROR(__xludf.DUMMYFUNCTION("""COMPUTED_VALUE"""),"-")</f>
        <v>-</v>
      </c>
      <c r="X802" s="213" t="str">
        <f>IFERROR(__xludf.DUMMYFUNCTION("""COMPUTED_VALUE"""),"STANLEY")</f>
        <v>STANLEY</v>
      </c>
      <c r="Y802" s="213" t="str">
        <f>IFERROR(__xludf.DUMMYFUNCTION("""COMPUTED_VALUE"""),"96-225")</f>
        <v>96-225</v>
      </c>
      <c r="Z802" s="215" t="str">
        <f>IFERROR(__xludf.DUMMYFUNCTION("""COMPUTED_VALUE"""),"https://sodimac.falabella.com.pe/sodimac-pe/product/113539082/Pelacables-3-en-1/113539092")</f>
        <v>https://sodimac.falabella.com.pe/sodimac-pe/product/113539082/Pelacables-3-en-1/113539092</v>
      </c>
      <c r="AA802" s="213" t="str">
        <f>IFERROR(__xludf.DUMMYFUNCTION("""COMPUTED_VALUE"""),"HER-106-X ALICATE PELACABLE- CET")</f>
        <v>HER-106-X ALICATE PELACABLE- CET</v>
      </c>
      <c r="AB802" s="213"/>
      <c r="AC802" s="213"/>
      <c r="AD802" s="213"/>
      <c r="AE802" s="213"/>
      <c r="AF802" s="213"/>
      <c r="AG802" s="213"/>
      <c r="AH802" s="213" t="str">
        <f>IFERROR(__xludf.DUMMYFUNCTION("""COMPUTED_VALUE"""),"NACIONAL")</f>
        <v>NACIONAL</v>
      </c>
      <c r="AI802" s="213"/>
      <c r="AJ802" s="213"/>
      <c r="AK802" s="213"/>
      <c r="AL802" s="213"/>
      <c r="AM802" s="213"/>
      <c r="AN802" s="213"/>
      <c r="AO802" s="213"/>
      <c r="AP802" s="213" t="str">
        <f>IFERROR(__xludf.DUMMYFUNCTION("""COMPUTED_VALUE"""),"SEBASTIAN")</f>
        <v>SEBASTIAN</v>
      </c>
      <c r="AQ802" s="213"/>
      <c r="AR802" s="213"/>
      <c r="AS802" s="213"/>
      <c r="AT802" s="213"/>
      <c r="AU802" s="213"/>
      <c r="AV802" s="213"/>
      <c r="AW802" s="213"/>
      <c r="AX802" s="213"/>
      <c r="AY802" s="213"/>
      <c r="AZ802" s="213"/>
      <c r="BA802" s="213"/>
      <c r="BB802" s="213"/>
      <c r="BC802" s="213"/>
      <c r="BD802" s="213"/>
    </row>
    <row r="803">
      <c r="A803" s="213">
        <f>IFERROR(__xludf.DUMMYFUNCTION("""COMPUTED_VALUE"""),1824.0)</f>
        <v>1824</v>
      </c>
      <c r="B803" s="213" t="str">
        <f>IFERROR(__xludf.DUMMYFUNCTION("""COMPUTED_VALUE"""),"GUILLERMO E. BILLINGHURST ")</f>
        <v>GUILLERMO E. BILLINGHURST </v>
      </c>
      <c r="C803" s="213" t="str">
        <f>IFERROR(__xludf.DUMMYFUNCTION("""COMPUTED_VALUE"""),"TALLER SFT DE EBANISTERÍA")</f>
        <v>TALLER SFT DE EBANISTERÍA</v>
      </c>
      <c r="D803" s="213" t="str">
        <f>IFERROR(__xludf.DUMMYFUNCTION("""COMPUTED_VALUE"""),"HERRAMIENTAS")</f>
        <v>HERRAMIENTAS</v>
      </c>
      <c r="E803" s="213" t="str">
        <f>IFERROR(__xludf.DUMMYFUNCTION("""COMPUTED_VALUE"""),"HER-106")</f>
        <v>HER-106</v>
      </c>
      <c r="F803" s="213" t="str">
        <f>IFERROR(__xludf.DUMMYFUNCTION("""COMPUTED_VALUE"""),"HER-106-Y")</f>
        <v>HER-106-Y</v>
      </c>
      <c r="G803" s="213"/>
      <c r="H803" s="213" t="str">
        <f>IFERROR(__xludf.DUMMYFUNCTION("""COMPUTED_VALUE"""),"ALICATE PELACABLE")</f>
        <v>ALICATE PELACABLE</v>
      </c>
      <c r="I803" s="213" t="str">
        <f>IFERROR(__xludf.DUMMYFUNCTION("""COMPUTED_VALUE"""),"Fabricado en acero de alto carbono y mangos aislados. Corta y pela cables de cobre y aluminio 22 - 10 AWG Prensa cables calibre entre 6 - 10 AWG
Corta perno.")</f>
        <v>Fabricado en acero de alto carbono y mangos aislados. Corta y pela cables de cobre y aluminio 22 - 10 AWG Prensa cables calibre entre 6 - 10 AWG
Corta perno.</v>
      </c>
      <c r="J803" s="213">
        <f>IFERROR(__xludf.DUMMYFUNCTION("""COMPUTED_VALUE"""),3.0)</f>
        <v>3</v>
      </c>
      <c r="K803" s="213" t="str">
        <f>IFERROR(__xludf.DUMMYFUNCTION("""COMPUTED_VALUE"""),"90 DÍAS CALENDARIO")</f>
        <v>90 DÍAS CALENDARIO</v>
      </c>
      <c r="L803" s="213" t="str">
        <f>IFERROR(__xludf.DUMMYFUNCTION("""COMPUTED_VALUE"""),"")</f>
        <v/>
      </c>
      <c r="M803" s="213">
        <f>IFERROR(__xludf.DUMMYFUNCTION("""COMPUTED_VALUE"""),1.0)</f>
        <v>1</v>
      </c>
      <c r="N803" s="213">
        <f>IFERROR(__xludf.DUMMYFUNCTION("""COMPUTED_VALUE"""),4.0)</f>
        <v>4</v>
      </c>
      <c r="O803" s="213">
        <f>IFERROR(__xludf.DUMMYFUNCTION("""COMPUTED_VALUE"""),4.0)</f>
        <v>4</v>
      </c>
      <c r="P803" s="213"/>
      <c r="Q803" s="213"/>
      <c r="R803" s="213" t="str">
        <f>IFERROR(__xludf.DUMMYFUNCTION("""COMPUTED_VALUE"""),"SI")</f>
        <v>SI</v>
      </c>
      <c r="S803" s="213"/>
      <c r="T803" s="213" t="str">
        <f>IFERROR(__xludf.DUMMYFUNCTION("""COMPUTED_VALUE"""),"SI")</f>
        <v>SI</v>
      </c>
      <c r="U803" s="213" t="str">
        <f>IFERROR(__xludf.DUMMYFUNCTION("""COMPUTED_VALUE"""),"NO")</f>
        <v>NO</v>
      </c>
      <c r="V803" s="213" t="str">
        <f>IFERROR(__xludf.DUMMYFUNCTION("""COMPUTED_VALUE"""),"SUSTENTO")</f>
        <v>SUSTENTO</v>
      </c>
      <c r="W803" s="213" t="str">
        <f>IFERROR(__xludf.DUMMYFUNCTION("""COMPUTED_VALUE"""),"EQU TEC")</f>
        <v>EQU TEC</v>
      </c>
      <c r="X803" s="213" t="str">
        <f>IFERROR(__xludf.DUMMYFUNCTION("""COMPUTED_VALUE"""),"TRUPER")</f>
        <v>TRUPER</v>
      </c>
      <c r="Y803" s="213" t="str">
        <f>IFERROR(__xludf.DUMMYFUNCTION("""COMPUTED_VALUE"""),"PE-CA-9")</f>
        <v>PE-CA-9</v>
      </c>
      <c r="Z803" s="215" t="str">
        <f>IFERROR(__xludf.DUMMYFUNCTION("""COMPUTED_VALUE"""),"https://www.truper.com/ficha_tecnica/Pinza-pelacables-9-7-medidas-4-mordazas-4240.html?code=17353")</f>
        <v>https://www.truper.com/ficha_tecnica/Pinza-pelacables-9-7-medidas-4-mordazas-4240.html?code=17353</v>
      </c>
      <c r="AA803" s="213" t="str">
        <f>IFERROR(__xludf.DUMMYFUNCTION("""COMPUTED_VALUE"""),"HER-106-Y ALICATE PELACABLE- CET")</f>
        <v>HER-106-Y ALICATE PELACABLE- CET</v>
      </c>
      <c r="AB803" s="213"/>
      <c r="AC803" s="215" t="str">
        <f>IFERROR(__xludf.DUMMYFUNCTION("""COMPUTED_VALUE"""),"https://www.falabella.com.pe/falabella-pe/product/118323677/Alicate-pela-cables-20-a-10-AWG-Truper/118323678?utm_source=chatgpt.com")</f>
        <v>https://www.falabella.com.pe/falabella-pe/product/118323677/Alicate-pela-cables-20-a-10-AWG-Truper/118323678?utm_source=chatgpt.com</v>
      </c>
      <c r="AD803" s="213"/>
      <c r="AE803" s="213"/>
      <c r="AF803" s="213"/>
      <c r="AG803" s="213"/>
      <c r="AH803" s="213" t="str">
        <f>IFERROR(__xludf.DUMMYFUNCTION("""COMPUTED_VALUE"""),"NACIONAL")</f>
        <v>NACIONAL</v>
      </c>
      <c r="AI803" s="213"/>
      <c r="AJ803" s="213"/>
      <c r="AK803" s="213"/>
      <c r="AL803" s="213"/>
      <c r="AM803" s="213"/>
      <c r="AN803" s="213"/>
      <c r="AO803" s="213"/>
      <c r="AP803" s="213" t="str">
        <f>IFERROR(__xludf.DUMMYFUNCTION("""COMPUTED_VALUE"""),"SEBASTIAN")</f>
        <v>SEBASTIAN</v>
      </c>
      <c r="AQ803" s="213"/>
      <c r="AR803" s="213"/>
      <c r="AS803" s="213"/>
      <c r="AT803" s="213"/>
      <c r="AU803" s="213"/>
      <c r="AV803" s="213"/>
      <c r="AW803" s="213"/>
      <c r="AX803" s="213"/>
      <c r="AY803" s="213"/>
      <c r="AZ803" s="213"/>
      <c r="BA803" s="213"/>
      <c r="BB803" s="213"/>
      <c r="BC803" s="213"/>
      <c r="BD803" s="213"/>
    </row>
    <row r="804">
      <c r="A804" s="213">
        <f>IFERROR(__xludf.DUMMYFUNCTION("""COMPUTED_VALUE"""),2606.0)</f>
        <v>2606</v>
      </c>
      <c r="B804" s="213" t="str">
        <f>IFERROR(__xludf.DUMMYFUNCTION("""COMPUTED_VALUE"""),"MANUEL ANTONIO MESONES MURO")</f>
        <v>MANUEL ANTONIO MESONES MURO</v>
      </c>
      <c r="C804" s="213" t="str">
        <f>IFERROR(__xludf.DUMMYFUNCTION("""COMPUTED_VALUE"""),"TALLER SFT DE EBANISTERÍA")</f>
        <v>TALLER SFT DE EBANISTERÍA</v>
      </c>
      <c r="D804" s="213" t="str">
        <f>IFERROR(__xludf.DUMMYFUNCTION("""COMPUTED_VALUE"""),"HERRAMIENTAS")</f>
        <v>HERRAMIENTAS</v>
      </c>
      <c r="E804" s="213" t="str">
        <f>IFERROR(__xludf.DUMMYFUNCTION("""COMPUTED_VALUE"""),"HER-106")</f>
        <v>HER-106</v>
      </c>
      <c r="F804" s="213" t="str">
        <f>IFERROR(__xludf.DUMMYFUNCTION("""COMPUTED_VALUE"""),"HER-106-Y")</f>
        <v>HER-106-Y</v>
      </c>
      <c r="G804" s="213"/>
      <c r="H804" s="213" t="str">
        <f>IFERROR(__xludf.DUMMYFUNCTION("""COMPUTED_VALUE"""),"ALICATE PELACABLE")</f>
        <v>ALICATE PELACABLE</v>
      </c>
      <c r="I804" s="213" t="str">
        <f>IFERROR(__xludf.DUMMYFUNCTION("""COMPUTED_VALUE"""),"Fabricado en acero de alto carbono y mangos aislados. Corta y pela cables de cobre y aluminio 22 - 10 AWG Prensa cables calibre entre 6 - 10 AWG
Corta perno.")</f>
        <v>Fabricado en acero de alto carbono y mangos aislados. Corta y pela cables de cobre y aluminio 22 - 10 AWG Prensa cables calibre entre 6 - 10 AWG
Corta perno.</v>
      </c>
      <c r="J804" s="213">
        <f>IFERROR(__xludf.DUMMYFUNCTION("""COMPUTED_VALUE"""),3.0)</f>
        <v>3</v>
      </c>
      <c r="K804" s="213" t="str">
        <f>IFERROR(__xludf.DUMMYFUNCTION("""COMPUTED_VALUE"""),"90 DÍAS CALENDARIO")</f>
        <v>90 DÍAS CALENDARIO</v>
      </c>
      <c r="L804" s="213" t="str">
        <f>IFERROR(__xludf.DUMMYFUNCTION("""COMPUTED_VALUE"""),"")</f>
        <v/>
      </c>
      <c r="M804" s="213">
        <f>IFERROR(__xludf.DUMMYFUNCTION("""COMPUTED_VALUE"""),1.0)</f>
        <v>1</v>
      </c>
      <c r="N804" s="213">
        <f>IFERROR(__xludf.DUMMYFUNCTION("""COMPUTED_VALUE"""),4.0)</f>
        <v>4</v>
      </c>
      <c r="O804" s="213">
        <f>IFERROR(__xludf.DUMMYFUNCTION("""COMPUTED_VALUE"""),4.0)</f>
        <v>4</v>
      </c>
      <c r="P804" s="213"/>
      <c r="Q804" s="213"/>
      <c r="R804" s="213" t="str">
        <f>IFERROR(__xludf.DUMMYFUNCTION("""COMPUTED_VALUE"""),"SI")</f>
        <v>SI</v>
      </c>
      <c r="S804" s="213"/>
      <c r="T804" s="213" t="str">
        <f>IFERROR(__xludf.DUMMYFUNCTION("""COMPUTED_VALUE"""),"SI")</f>
        <v>SI</v>
      </c>
      <c r="U804" s="213" t="str">
        <f>IFERROR(__xludf.DUMMYFUNCTION("""COMPUTED_VALUE"""),"NO")</f>
        <v>NO</v>
      </c>
      <c r="V804" s="213" t="str">
        <f>IFERROR(__xludf.DUMMYFUNCTION("""COMPUTED_VALUE"""),"SUSTENTO")</f>
        <v>SUSTENTO</v>
      </c>
      <c r="W804" s="213" t="str">
        <f>IFERROR(__xludf.DUMMYFUNCTION("""COMPUTED_VALUE"""),"EQU TEC")</f>
        <v>EQU TEC</v>
      </c>
      <c r="X804" s="213" t="str">
        <f>IFERROR(__xludf.DUMMYFUNCTION("""COMPUTED_VALUE"""),"TRUPER")</f>
        <v>TRUPER</v>
      </c>
      <c r="Y804" s="213" t="str">
        <f>IFERROR(__xludf.DUMMYFUNCTION("""COMPUTED_VALUE"""),"PE-CA-9")</f>
        <v>PE-CA-9</v>
      </c>
      <c r="Z804" s="215" t="str">
        <f>IFERROR(__xludf.DUMMYFUNCTION("""COMPUTED_VALUE"""),"https://www.truper.com/ficha_tecnica/Pinza-pelacables-9-7-medidas-4-mordazas-4240.html?code=17353")</f>
        <v>https://www.truper.com/ficha_tecnica/Pinza-pelacables-9-7-medidas-4-mordazas-4240.html?code=17353</v>
      </c>
      <c r="AA804" s="213" t="str">
        <f>IFERROR(__xludf.DUMMYFUNCTION("""COMPUTED_VALUE"""),"HER-106-Y ALICATE PELACABLE- CET")</f>
        <v>HER-106-Y ALICATE PELACABLE- CET</v>
      </c>
      <c r="AB804" s="213"/>
      <c r="AC804" s="215" t="str">
        <f>IFERROR(__xludf.DUMMYFUNCTION("""COMPUTED_VALUE"""),"https://www.falabella.com.pe/falabella-pe/product/118323677/Alicate-pela-cables-20-a-10-AWG-Truper/118323678?utm_source=chatgpt.com")</f>
        <v>https://www.falabella.com.pe/falabella-pe/product/118323677/Alicate-pela-cables-20-a-10-AWG-Truper/118323678?utm_source=chatgpt.com</v>
      </c>
      <c r="AD804" s="213"/>
      <c r="AE804" s="213"/>
      <c r="AF804" s="213"/>
      <c r="AG804" s="213"/>
      <c r="AH804" s="213" t="str">
        <f>IFERROR(__xludf.DUMMYFUNCTION("""COMPUTED_VALUE"""),"NACIONAL")</f>
        <v>NACIONAL</v>
      </c>
      <c r="AI804" s="213"/>
      <c r="AJ804" s="213"/>
      <c r="AK804" s="213"/>
      <c r="AL804" s="213"/>
      <c r="AM804" s="213"/>
      <c r="AN804" s="213"/>
      <c r="AO804" s="213"/>
      <c r="AP804" s="213" t="str">
        <f>IFERROR(__xludf.DUMMYFUNCTION("""COMPUTED_VALUE"""),"SEBASTIAN")</f>
        <v>SEBASTIAN</v>
      </c>
      <c r="AQ804" s="213"/>
      <c r="AR804" s="213"/>
      <c r="AS804" s="213"/>
      <c r="AT804" s="213"/>
      <c r="AU804" s="213"/>
      <c r="AV804" s="213"/>
      <c r="AW804" s="213"/>
      <c r="AX804" s="213"/>
      <c r="AY804" s="213"/>
      <c r="AZ804" s="213"/>
      <c r="BA804" s="213"/>
      <c r="BB804" s="213"/>
      <c r="BC804" s="213"/>
      <c r="BD804" s="213"/>
    </row>
    <row r="805">
      <c r="A805" s="213">
        <f>IFERROR(__xludf.DUMMYFUNCTION("""COMPUTED_VALUE"""),351.0)</f>
        <v>351</v>
      </c>
      <c r="B805" s="213" t="str">
        <f>IFERROR(__xludf.DUMMYFUNCTION("""COMPUTED_VALUE"""),"2026 SIMON BOLIVAR")</f>
        <v>2026 SIMON BOLIVAR</v>
      </c>
      <c r="C805" s="213" t="str">
        <f>IFERROR(__xludf.DUMMYFUNCTION("""COMPUTED_VALUE"""),"TALLER SFT DE ELECTRICIDAD")</f>
        <v>TALLER SFT DE ELECTRICIDAD</v>
      </c>
      <c r="D805" s="213" t="str">
        <f>IFERROR(__xludf.DUMMYFUNCTION("""COMPUTED_VALUE"""),"HERRAMIENTAS")</f>
        <v>HERRAMIENTAS</v>
      </c>
      <c r="E805" s="213" t="str">
        <f>IFERROR(__xludf.DUMMYFUNCTION("""COMPUTED_VALUE"""),"HER-109")</f>
        <v>HER-109</v>
      </c>
      <c r="F805" s="213" t="str">
        <f>IFERROR(__xludf.DUMMYFUNCTION("""COMPUTED_VALUE"""),"HER-109-X")</f>
        <v>HER-109-X</v>
      </c>
      <c r="G805" s="213"/>
      <c r="H805" s="213" t="str">
        <f>IFERROR(__xludf.DUMMYFUNCTION("""COMPUTED_VALUE"""),"ALICATE UNIVERSAL")</f>
        <v>ALICATE UNIVERSAL</v>
      </c>
      <c r="I805" s="213" t="str">
        <f>IFERROR(__xludf.DUMMYFUNCTION("""COMPUTED_VALUE"""),"· Características Técnicas:
- Alicates dieléctricos, para trabajos en corriente eléctrica.
- Para trabajos en alta tensión hasta 1000 V.
- Vástago y punta de material de acero al cromo-vanadio.
- Mango con aislamiento de PVC bimaterial, ergonómico y antid"&amp;"eslizante.
- Longitud total: 20 cm Max.
- Estuche de plástico para almacenar.")</f>
        <v>· Características Técnicas:
- Alicates dieléctricos, para trabajos en corriente eléctrica.
- Para trabajos en alta tensión hasta 1000 V.
- Vástago y punta de material de acero al cromo-vanadio.
- Mango con aislamiento de PVC bimaterial, ergonómico y antideslizante.
- Longitud total: 20 cm Max.
- Estuche de plástico para almacenar.</v>
      </c>
      <c r="J805" s="213">
        <f>IFERROR(__xludf.DUMMYFUNCTION("""COMPUTED_VALUE"""),3.0)</f>
        <v>3</v>
      </c>
      <c r="K805" s="213" t="str">
        <f>IFERROR(__xludf.DUMMYFUNCTION("""COMPUTED_VALUE"""),"90 DÍAS CALENDARIO")</f>
        <v>90 DÍAS CALENDARIO</v>
      </c>
      <c r="L805" s="213" t="str">
        <f>IFERROR(__xludf.DUMMYFUNCTION("""COMPUTED_VALUE"""),"")</f>
        <v/>
      </c>
      <c r="M805" s="213">
        <f>IFERROR(__xludf.DUMMYFUNCTION("""COMPUTED_VALUE"""),1.0)</f>
        <v>1</v>
      </c>
      <c r="N805" s="213">
        <f>IFERROR(__xludf.DUMMYFUNCTION("""COMPUTED_VALUE"""),5.0)</f>
        <v>5</v>
      </c>
      <c r="O805" s="213">
        <f>IFERROR(__xludf.DUMMYFUNCTION("""COMPUTED_VALUE"""),5.0)</f>
        <v>5</v>
      </c>
      <c r="P805" s="213"/>
      <c r="Q805" s="213"/>
      <c r="R805" s="213" t="str">
        <f>IFERROR(__xludf.DUMMYFUNCTION("""COMPUTED_VALUE"""),"SI")</f>
        <v>SI</v>
      </c>
      <c r="S805" s="213"/>
      <c r="T805" s="213" t="str">
        <f>IFERROR(__xludf.DUMMYFUNCTION("""COMPUTED_VALUE"""),"SI")</f>
        <v>SI</v>
      </c>
      <c r="U805" s="213" t="str">
        <f>IFERROR(__xludf.DUMMYFUNCTION("""COMPUTED_VALUE"""),"SI")</f>
        <v>SI</v>
      </c>
      <c r="V805" s="213" t="str">
        <f>IFERROR(__xludf.DUMMYFUNCTION("""COMPUTED_VALUE"""),"-")</f>
        <v>-</v>
      </c>
      <c r="W805" s="213" t="str">
        <f>IFERROR(__xludf.DUMMYFUNCTION("""COMPUTED_VALUE"""),"-")</f>
        <v>-</v>
      </c>
      <c r="X805" s="213" t="str">
        <f>IFERROR(__xludf.DUMMYFUNCTION("""COMPUTED_VALUE"""),"STANLEY")</f>
        <v>STANLEY</v>
      </c>
      <c r="Y805" s="213" t="str">
        <f>IFERROR(__xludf.DUMMYFUNCTION("""COMPUTED_VALUE"""),"84-002")</f>
        <v>84-002</v>
      </c>
      <c r="Z805" s="215" t="str">
        <f>IFERROR(__xludf.DUMMYFUNCTION("""COMPUTED_VALUE"""),"https://www.falabella.com.pe/falabella-pe/product/146837340/Alicate-Universal-8-Aislado-1000V-200mm-STANLEY-Mango-Erg/146837343")</f>
        <v>https://www.falabella.com.pe/falabella-pe/product/146837340/Alicate-Universal-8-Aislado-1000V-200mm-STANLEY-Mango-Erg/146837343</v>
      </c>
      <c r="AA805" s="213" t="str">
        <f>IFERROR(__xludf.DUMMYFUNCTION("""COMPUTED_VALUE"""),"HER-109-X ALICATE UNIVERSAL - CET")</f>
        <v>HER-109-X ALICATE UNIVERSAL - CET</v>
      </c>
      <c r="AB805" s="215" t="str">
        <f>IFERROR(__xludf.DUMMYFUNCTION("""COMPUTED_VALUE"""),"https://drive.google.com/file/d/1bVIqqWRAtW54F1Nz2lDR1l8Zt8VfRVXZ/view?usp=sharing")</f>
        <v>https://drive.google.com/file/d/1bVIqqWRAtW54F1Nz2lDR1l8Zt8VfRVXZ/view?usp=sharing</v>
      </c>
      <c r="AC805" s="215" t="str">
        <f>IFERROR(__xludf.DUMMYFUNCTION("""COMPUTED_VALUE"""),"https://www.falabella.com.pe/falabella-pe/product/146837340/Alicate-Universal-8-Aislado-1000V-200mm-STANLEY-Mango-Erg/146837343")</f>
        <v>https://www.falabella.com.pe/falabella-pe/product/146837340/Alicate-Universal-8-Aislado-1000V-200mm-STANLEY-Mango-Erg/146837343</v>
      </c>
      <c r="AD805" s="213"/>
      <c r="AE805" s="213"/>
      <c r="AF805" s="213"/>
      <c r="AG805" s="213"/>
      <c r="AH805" s="213" t="str">
        <f>IFERROR(__xludf.DUMMYFUNCTION("""COMPUTED_VALUE"""),"NACIONAL")</f>
        <v>NACIONAL</v>
      </c>
      <c r="AI805" s="213"/>
      <c r="AJ805" s="213"/>
      <c r="AK805" s="213"/>
      <c r="AL805" s="213"/>
      <c r="AM805" s="213"/>
      <c r="AN805" s="213"/>
      <c r="AO805" s="213"/>
      <c r="AP805" s="213" t="str">
        <f>IFERROR(__xludf.DUMMYFUNCTION("""COMPUTED_VALUE"""),"LUIS")</f>
        <v>LUIS</v>
      </c>
      <c r="AQ805" s="213"/>
      <c r="AR805" s="213"/>
      <c r="AS805" s="213"/>
      <c r="AT805" s="213"/>
      <c r="AU805" s="213"/>
      <c r="AV805" s="213"/>
      <c r="AW805" s="213"/>
      <c r="AX805" s="213"/>
      <c r="AY805" s="213"/>
      <c r="AZ805" s="213"/>
      <c r="BA805" s="213"/>
      <c r="BB805" s="213"/>
      <c r="BC805" s="213"/>
      <c r="BD805" s="213"/>
    </row>
    <row r="806">
      <c r="A806" s="213">
        <f>IFERROR(__xludf.DUMMYFUNCTION("""COMPUTED_VALUE"""),632.0)</f>
        <v>632</v>
      </c>
      <c r="B806" s="213" t="str">
        <f>IFERROR(__xludf.DUMMYFUNCTION("""COMPUTED_VALUE"""),"6049 RICARDO PALMA")</f>
        <v>6049 RICARDO PALMA</v>
      </c>
      <c r="C806" s="213" t="str">
        <f>IFERROR(__xludf.DUMMYFUNCTION("""COMPUTED_VALUE"""),"TALLER SFT DE ELECTRÓNICA")</f>
        <v>TALLER SFT DE ELECTRÓNICA</v>
      </c>
      <c r="D806" s="213" t="str">
        <f>IFERROR(__xludf.DUMMYFUNCTION("""COMPUTED_VALUE"""),"HERRAMIENTAS")</f>
        <v>HERRAMIENTAS</v>
      </c>
      <c r="E806" s="213" t="str">
        <f>IFERROR(__xludf.DUMMYFUNCTION("""COMPUTED_VALUE"""),"HER-109")</f>
        <v>HER-109</v>
      </c>
      <c r="F806" s="213" t="str">
        <f>IFERROR(__xludf.DUMMYFUNCTION("""COMPUTED_VALUE"""),"HER-109-Y")</f>
        <v>HER-109-Y</v>
      </c>
      <c r="G806" s="213"/>
      <c r="H806" s="213" t="str">
        <f>IFERROR(__xludf.DUMMYFUNCTION("""COMPUTED_VALUE"""),"ALICATE UNIVERSAL")</f>
        <v>ALICATE UNIVERSAL</v>
      </c>
      <c r="I806" s="213" t="str">
        <f>IFERROR(__xludf.DUMMYFUNCTION("""COMPUTED_VALUE"""),"· Posee aislamiento, para trabajos en alta tensión, hasta 1000 V
· Fabricada en acero cromo - vanadio
· Mangos bimateriales y ergonómicos
· Alicate universal, longitud: 18 cm.aprox.")</f>
        <v>· Posee aislamiento, para trabajos en alta tensión, hasta 1000 V
· Fabricada en acero cromo - vanadio
· Mangos bimateriales y ergonómicos
· Alicate universal, longitud: 18 cm.aprox.</v>
      </c>
      <c r="J806" s="213">
        <f>IFERROR(__xludf.DUMMYFUNCTION("""COMPUTED_VALUE"""),3.0)</f>
        <v>3</v>
      </c>
      <c r="K806" s="213" t="str">
        <f>IFERROR(__xludf.DUMMYFUNCTION("""COMPUTED_VALUE"""),"90 DÍAS CALENDARIO")</f>
        <v>90 DÍAS CALENDARIO</v>
      </c>
      <c r="L806" s="213" t="str">
        <f>IFERROR(__xludf.DUMMYFUNCTION("""COMPUTED_VALUE"""),"")</f>
        <v/>
      </c>
      <c r="M806" s="213">
        <f>IFERROR(__xludf.DUMMYFUNCTION("""COMPUTED_VALUE"""),1.0)</f>
        <v>1</v>
      </c>
      <c r="N806" s="213">
        <f>IFERROR(__xludf.DUMMYFUNCTION("""COMPUTED_VALUE"""),4.0)</f>
        <v>4</v>
      </c>
      <c r="O806" s="213">
        <f>IFERROR(__xludf.DUMMYFUNCTION("""COMPUTED_VALUE"""),4.0)</f>
        <v>4</v>
      </c>
      <c r="P806" s="213"/>
      <c r="Q806" s="213"/>
      <c r="R806" s="213" t="str">
        <f>IFERROR(__xludf.DUMMYFUNCTION("""COMPUTED_VALUE"""),"SI")</f>
        <v>SI</v>
      </c>
      <c r="S806" s="213"/>
      <c r="T806" s="213" t="str">
        <f>IFERROR(__xludf.DUMMYFUNCTION("""COMPUTED_VALUE"""),"SI")</f>
        <v>SI</v>
      </c>
      <c r="U806" s="213" t="str">
        <f>IFERROR(__xludf.DUMMYFUNCTION("""COMPUTED_VALUE"""),"SI")</f>
        <v>SI</v>
      </c>
      <c r="V806" s="213" t="str">
        <f>IFERROR(__xludf.DUMMYFUNCTION("""COMPUTED_VALUE"""),"-")</f>
        <v>-</v>
      </c>
      <c r="W806" s="213" t="str">
        <f>IFERROR(__xludf.DUMMYFUNCTION("""COMPUTED_VALUE"""),"-")</f>
        <v>-</v>
      </c>
      <c r="X806" s="213" t="str">
        <f>IFERROR(__xludf.DUMMYFUNCTION("""COMPUTED_VALUE"""),"STANLEY")</f>
        <v>STANLEY</v>
      </c>
      <c r="Y806" s="213" t="str">
        <f>IFERROR(__xludf.DUMMYFUNCTION("""COMPUTED_VALUE"""),"84-003")</f>
        <v>84-003</v>
      </c>
      <c r="Z806" s="215" t="str">
        <f>IFERROR(__xludf.DUMMYFUNCTION("""COMPUTED_VALUE"""),"https://www.falabella.com.pe/falabella-pe/product/146837340/Alicate-Universal-8-Aislado-1000V-200mm-STANLEY-Mango-Erg/146837343")</f>
        <v>https://www.falabella.com.pe/falabella-pe/product/146837340/Alicate-Universal-8-Aislado-1000V-200mm-STANLEY-Mango-Erg/146837343</v>
      </c>
      <c r="AA806" s="213" t="str">
        <f>IFERROR(__xludf.DUMMYFUNCTION("""COMPUTED_VALUE"""),"HER-109-Y ALICATE UNIVERSAL - CET")</f>
        <v>HER-109-Y ALICATE UNIVERSAL - CET</v>
      </c>
      <c r="AB806" s="215" t="str">
        <f>IFERROR(__xludf.DUMMYFUNCTION("""COMPUTED_VALUE"""),"https://drive.google.com/file/d/1bVIqqWRAtW54F1Nz2lDR1l8Zt8VfRVXZ/view?usp=sharing")</f>
        <v>https://drive.google.com/file/d/1bVIqqWRAtW54F1Nz2lDR1l8Zt8VfRVXZ/view?usp=sharing</v>
      </c>
      <c r="AC806" s="215" t="str">
        <f>IFERROR(__xludf.DUMMYFUNCTION("""COMPUTED_VALUE"""),"https://www.falabella.com.pe/falabella-pe/product/146837340/Alicate-Universal-8-Aislado-1000V-200mm-STANLEY-Mango-Erg/146837343")</f>
        <v>https://www.falabella.com.pe/falabella-pe/product/146837340/Alicate-Universal-8-Aislado-1000V-200mm-STANLEY-Mango-Erg/146837343</v>
      </c>
      <c r="AD806" s="213"/>
      <c r="AE806" s="213"/>
      <c r="AF806" s="213"/>
      <c r="AG806" s="213"/>
      <c r="AH806" s="213" t="str">
        <f>IFERROR(__xludf.DUMMYFUNCTION("""COMPUTED_VALUE"""),"NACIONAL")</f>
        <v>NACIONAL</v>
      </c>
      <c r="AI806" s="213"/>
      <c r="AJ806" s="213"/>
      <c r="AK806" s="213"/>
      <c r="AL806" s="213"/>
      <c r="AM806" s="213"/>
      <c r="AN806" s="213"/>
      <c r="AO806" s="213"/>
      <c r="AP806" s="213" t="str">
        <f>IFERROR(__xludf.DUMMYFUNCTION("""COMPUTED_VALUE"""),"LUIS")</f>
        <v>LUIS</v>
      </c>
      <c r="AQ806" s="213"/>
      <c r="AR806" s="213"/>
      <c r="AS806" s="213"/>
      <c r="AT806" s="213"/>
      <c r="AU806" s="213"/>
      <c r="AV806" s="213"/>
      <c r="AW806" s="213"/>
      <c r="AX806" s="213"/>
      <c r="AY806" s="213"/>
      <c r="AZ806" s="213"/>
      <c r="BA806" s="213"/>
      <c r="BB806" s="213"/>
      <c r="BC806" s="213"/>
      <c r="BD806" s="213"/>
    </row>
    <row r="807">
      <c r="A807" s="213">
        <f>IFERROR(__xludf.DUMMYFUNCTION("""COMPUTED_VALUE"""),837.0)</f>
        <v>837</v>
      </c>
      <c r="B807" s="213" t="str">
        <f>IFERROR(__xludf.DUMMYFUNCTION("""COMPUTED_VALUE"""),"6049 RICARDO PALMA")</f>
        <v>6049 RICARDO PALMA</v>
      </c>
      <c r="C807" s="213" t="str">
        <f>IFERROR(__xludf.DUMMYFUNCTION("""COMPUTED_VALUE"""),"TALLER SFT DE ELECTRICIDAD")</f>
        <v>TALLER SFT DE ELECTRICIDAD</v>
      </c>
      <c r="D807" s="213" t="str">
        <f>IFERROR(__xludf.DUMMYFUNCTION("""COMPUTED_VALUE"""),"HERRAMIENTAS")</f>
        <v>HERRAMIENTAS</v>
      </c>
      <c r="E807" s="213" t="str">
        <f>IFERROR(__xludf.DUMMYFUNCTION("""COMPUTED_VALUE"""),"HER-109")</f>
        <v>HER-109</v>
      </c>
      <c r="F807" s="213" t="str">
        <f>IFERROR(__xludf.DUMMYFUNCTION("""COMPUTED_VALUE"""),"HER-109-X")</f>
        <v>HER-109-X</v>
      </c>
      <c r="G807" s="213"/>
      <c r="H807" s="213" t="str">
        <f>IFERROR(__xludf.DUMMYFUNCTION("""COMPUTED_VALUE"""),"ALICATE UNIVERSAL")</f>
        <v>ALICATE UNIVERSAL</v>
      </c>
      <c r="I807" s="213" t="str">
        <f>IFERROR(__xludf.DUMMYFUNCTION("""COMPUTED_VALUE"""),"· Características Técnicas:
- Alicates dieléctricos, para trabajos en corriente eléctrica.
- Para trabajos en alta tensión hasta 1000 V.
- Vástago y punta de material de acero al cromo-vanadio.
- Mango con aislamiento de PVC bimaterial, ergonómico y antid"&amp;"eslizante.
- Longitud total: 20 cm Max.
- Estuche de plástico para almacenar.")</f>
        <v>· Características Técnicas:
- Alicates dieléctricos, para trabajos en corriente eléctrica.
- Para trabajos en alta tensión hasta 1000 V.
- Vástago y punta de material de acero al cromo-vanadio.
- Mango con aislamiento de PVC bimaterial, ergonómico y antideslizante.
- Longitud total: 20 cm Max.
- Estuche de plástico para almacenar.</v>
      </c>
      <c r="J807" s="213">
        <f>IFERROR(__xludf.DUMMYFUNCTION("""COMPUTED_VALUE"""),3.0)</f>
        <v>3</v>
      </c>
      <c r="K807" s="213" t="str">
        <f>IFERROR(__xludf.DUMMYFUNCTION("""COMPUTED_VALUE"""),"90 DÍAS CALENDARIO")</f>
        <v>90 DÍAS CALENDARIO</v>
      </c>
      <c r="L807" s="213" t="str">
        <f>IFERROR(__xludf.DUMMYFUNCTION("""COMPUTED_VALUE"""),"")</f>
        <v/>
      </c>
      <c r="M807" s="213">
        <f>IFERROR(__xludf.DUMMYFUNCTION("""COMPUTED_VALUE"""),1.0)</f>
        <v>1</v>
      </c>
      <c r="N807" s="213">
        <f>IFERROR(__xludf.DUMMYFUNCTION("""COMPUTED_VALUE"""),5.0)</f>
        <v>5</v>
      </c>
      <c r="O807" s="213">
        <f>IFERROR(__xludf.DUMMYFUNCTION("""COMPUTED_VALUE"""),5.0)</f>
        <v>5</v>
      </c>
      <c r="P807" s="213"/>
      <c r="Q807" s="213"/>
      <c r="R807" s="213" t="str">
        <f>IFERROR(__xludf.DUMMYFUNCTION("""COMPUTED_VALUE"""),"SI")</f>
        <v>SI</v>
      </c>
      <c r="S807" s="213"/>
      <c r="T807" s="213" t="str">
        <f>IFERROR(__xludf.DUMMYFUNCTION("""COMPUTED_VALUE"""),"SI")</f>
        <v>SI</v>
      </c>
      <c r="U807" s="213" t="str">
        <f>IFERROR(__xludf.DUMMYFUNCTION("""COMPUTED_VALUE"""),"SI")</f>
        <v>SI</v>
      </c>
      <c r="V807" s="213" t="str">
        <f>IFERROR(__xludf.DUMMYFUNCTION("""COMPUTED_VALUE"""),"-")</f>
        <v>-</v>
      </c>
      <c r="W807" s="213" t="str">
        <f>IFERROR(__xludf.DUMMYFUNCTION("""COMPUTED_VALUE"""),"-")</f>
        <v>-</v>
      </c>
      <c r="X807" s="213" t="str">
        <f>IFERROR(__xludf.DUMMYFUNCTION("""COMPUTED_VALUE"""),"STANLEY")</f>
        <v>STANLEY</v>
      </c>
      <c r="Y807" s="213" t="str">
        <f>IFERROR(__xludf.DUMMYFUNCTION("""COMPUTED_VALUE"""),"84-002")</f>
        <v>84-002</v>
      </c>
      <c r="Z807" s="215" t="str">
        <f>IFERROR(__xludf.DUMMYFUNCTION("""COMPUTED_VALUE"""),"https://www.falabella.com.pe/falabella-pe/product/146837340/Alicate-Universal-8-Aislado-1000V-200mm-STANLEY-Mango-Erg/146837343")</f>
        <v>https://www.falabella.com.pe/falabella-pe/product/146837340/Alicate-Universal-8-Aislado-1000V-200mm-STANLEY-Mango-Erg/146837343</v>
      </c>
      <c r="AA807" s="213" t="str">
        <f>IFERROR(__xludf.DUMMYFUNCTION("""COMPUTED_VALUE"""),"HER-109-X ALICATE UNIVERSAL - CET")</f>
        <v>HER-109-X ALICATE UNIVERSAL - CET</v>
      </c>
      <c r="AB807" s="215" t="str">
        <f>IFERROR(__xludf.DUMMYFUNCTION("""COMPUTED_VALUE"""),"https://drive.google.com/file/d/1bVIqqWRAtW54F1Nz2lDR1l8Zt8VfRVXZ/view?usp=sharing")</f>
        <v>https://drive.google.com/file/d/1bVIqqWRAtW54F1Nz2lDR1l8Zt8VfRVXZ/view?usp=sharing</v>
      </c>
      <c r="AC807" s="215" t="str">
        <f>IFERROR(__xludf.DUMMYFUNCTION("""COMPUTED_VALUE"""),"https://www.falabella.com.pe/falabella-pe/product/146837340/Alicate-Universal-8-Aislado-1000V-200mm-STANLEY-Mango-Erg/146837343")</f>
        <v>https://www.falabella.com.pe/falabella-pe/product/146837340/Alicate-Universal-8-Aislado-1000V-200mm-STANLEY-Mango-Erg/146837343</v>
      </c>
      <c r="AD807" s="213"/>
      <c r="AE807" s="213"/>
      <c r="AF807" s="213"/>
      <c r="AG807" s="213"/>
      <c r="AH807" s="213" t="str">
        <f>IFERROR(__xludf.DUMMYFUNCTION("""COMPUTED_VALUE"""),"NACIONAL")</f>
        <v>NACIONAL</v>
      </c>
      <c r="AI807" s="213"/>
      <c r="AJ807" s="213"/>
      <c r="AK807" s="213"/>
      <c r="AL807" s="213"/>
      <c r="AM807" s="213"/>
      <c r="AN807" s="213"/>
      <c r="AO807" s="213"/>
      <c r="AP807" s="213" t="str">
        <f>IFERROR(__xludf.DUMMYFUNCTION("""COMPUTED_VALUE"""),"LUIS")</f>
        <v>LUIS</v>
      </c>
      <c r="AQ807" s="213"/>
      <c r="AR807" s="213"/>
      <c r="AS807" s="213"/>
      <c r="AT807" s="213"/>
      <c r="AU807" s="213"/>
      <c r="AV807" s="213"/>
      <c r="AW807" s="213"/>
      <c r="AX807" s="213"/>
      <c r="AY807" s="213"/>
      <c r="AZ807" s="213"/>
      <c r="BA807" s="213"/>
      <c r="BB807" s="213"/>
      <c r="BC807" s="213"/>
      <c r="BD807" s="213"/>
    </row>
    <row r="808">
      <c r="A808" s="213">
        <f>IFERROR(__xludf.DUMMYFUNCTION("""COMPUTED_VALUE"""),1259.0)</f>
        <v>1259</v>
      </c>
      <c r="B808" s="213" t="str">
        <f>IFERROR(__xludf.DUMMYFUNCTION("""COMPUTED_VALUE"""),"GUILLERMO E. BILLINGHURST ")</f>
        <v>GUILLERMO E. BILLINGHURST </v>
      </c>
      <c r="C808" s="213" t="str">
        <f>IFERROR(__xludf.DUMMYFUNCTION("""COMPUTED_VALUE"""),"TALLER SFT DE ELECTRICIDAD")</f>
        <v>TALLER SFT DE ELECTRICIDAD</v>
      </c>
      <c r="D808" s="213" t="str">
        <f>IFERROR(__xludf.DUMMYFUNCTION("""COMPUTED_VALUE"""),"HERRAMIENTAS")</f>
        <v>HERRAMIENTAS</v>
      </c>
      <c r="E808" s="213" t="str">
        <f>IFERROR(__xludf.DUMMYFUNCTION("""COMPUTED_VALUE"""),"HER-109")</f>
        <v>HER-109</v>
      </c>
      <c r="F808" s="213" t="str">
        <f>IFERROR(__xludf.DUMMYFUNCTION("""COMPUTED_VALUE"""),"HER-109-X")</f>
        <v>HER-109-X</v>
      </c>
      <c r="G808" s="213"/>
      <c r="H808" s="213" t="str">
        <f>IFERROR(__xludf.DUMMYFUNCTION("""COMPUTED_VALUE"""),"ALICATE UNIVERSAL")</f>
        <v>ALICATE UNIVERSAL</v>
      </c>
      <c r="I808" s="213" t="str">
        <f>IFERROR(__xludf.DUMMYFUNCTION("""COMPUTED_VALUE"""),"· Características Técnicas:
- Alicates dieléctricos, para trabajos en corriente eléctrica.
- Para trabajos en alta tensión hasta 1000 V.
- Vástago y punta de material de acero al cromo-vanadio.
- Mango con aislamiento de PVC bimaterial, ergonómico y antid"&amp;"eslizante.
- Longitud total: 20 cm Max.
- Estuche de plástico para almacenar.")</f>
        <v>· Características Técnicas:
- Alicates dieléctricos, para trabajos en corriente eléctrica.
- Para trabajos en alta tensión hasta 1000 V.
- Vástago y punta de material de acero al cromo-vanadio.
- Mango con aislamiento de PVC bimaterial, ergonómico y antideslizante.
- Longitud total: 20 cm Max.
- Estuche de plástico para almacenar.</v>
      </c>
      <c r="J808" s="213">
        <f>IFERROR(__xludf.DUMMYFUNCTION("""COMPUTED_VALUE"""),3.0)</f>
        <v>3</v>
      </c>
      <c r="K808" s="213" t="str">
        <f>IFERROR(__xludf.DUMMYFUNCTION("""COMPUTED_VALUE"""),"90 DÍAS CALENDARIO")</f>
        <v>90 DÍAS CALENDARIO</v>
      </c>
      <c r="L808" s="213" t="str">
        <f>IFERROR(__xludf.DUMMYFUNCTION("""COMPUTED_VALUE"""),"")</f>
        <v/>
      </c>
      <c r="M808" s="213">
        <f>IFERROR(__xludf.DUMMYFUNCTION("""COMPUTED_VALUE"""),1.0)</f>
        <v>1</v>
      </c>
      <c r="N808" s="213">
        <f>IFERROR(__xludf.DUMMYFUNCTION("""COMPUTED_VALUE"""),5.0)</f>
        <v>5</v>
      </c>
      <c r="O808" s="213">
        <f>IFERROR(__xludf.DUMMYFUNCTION("""COMPUTED_VALUE"""),5.0)</f>
        <v>5</v>
      </c>
      <c r="P808" s="213"/>
      <c r="Q808" s="213"/>
      <c r="R808" s="213" t="str">
        <f>IFERROR(__xludf.DUMMYFUNCTION("""COMPUTED_VALUE"""),"SI")</f>
        <v>SI</v>
      </c>
      <c r="S808" s="213"/>
      <c r="T808" s="213" t="str">
        <f>IFERROR(__xludf.DUMMYFUNCTION("""COMPUTED_VALUE"""),"SI")</f>
        <v>SI</v>
      </c>
      <c r="U808" s="213" t="str">
        <f>IFERROR(__xludf.DUMMYFUNCTION("""COMPUTED_VALUE"""),"SI")</f>
        <v>SI</v>
      </c>
      <c r="V808" s="213" t="str">
        <f>IFERROR(__xludf.DUMMYFUNCTION("""COMPUTED_VALUE"""),"-")</f>
        <v>-</v>
      </c>
      <c r="W808" s="213" t="str">
        <f>IFERROR(__xludf.DUMMYFUNCTION("""COMPUTED_VALUE"""),"-")</f>
        <v>-</v>
      </c>
      <c r="X808" s="213" t="str">
        <f>IFERROR(__xludf.DUMMYFUNCTION("""COMPUTED_VALUE"""),"STANLEY")</f>
        <v>STANLEY</v>
      </c>
      <c r="Y808" s="213" t="str">
        <f>IFERROR(__xludf.DUMMYFUNCTION("""COMPUTED_VALUE"""),"84-002")</f>
        <v>84-002</v>
      </c>
      <c r="Z808" s="215" t="str">
        <f>IFERROR(__xludf.DUMMYFUNCTION("""COMPUTED_VALUE"""),"https://www.falabella.com.pe/falabella-pe/product/146837340/Alicate-Universal-8-Aislado-1000V-200mm-STANLEY-Mango-Erg/146837343")</f>
        <v>https://www.falabella.com.pe/falabella-pe/product/146837340/Alicate-Universal-8-Aislado-1000V-200mm-STANLEY-Mango-Erg/146837343</v>
      </c>
      <c r="AA808" s="213" t="str">
        <f>IFERROR(__xludf.DUMMYFUNCTION("""COMPUTED_VALUE"""),"HER-109-X ALICATE UNIVERSAL - CET")</f>
        <v>HER-109-X ALICATE UNIVERSAL - CET</v>
      </c>
      <c r="AB808" s="215" t="str">
        <f>IFERROR(__xludf.DUMMYFUNCTION("""COMPUTED_VALUE"""),"https://drive.google.com/file/d/1bVIqqWRAtW54F1Nz2lDR1l8Zt8VfRVXZ/view?usp=sharing")</f>
        <v>https://drive.google.com/file/d/1bVIqqWRAtW54F1Nz2lDR1l8Zt8VfRVXZ/view?usp=sharing</v>
      </c>
      <c r="AC808" s="215" t="str">
        <f>IFERROR(__xludf.DUMMYFUNCTION("""COMPUTED_VALUE"""),"https://www.falabella.com.pe/falabella-pe/product/146837340/Alicate-Universal-8-Aislado-1000V-200mm-STANLEY-Mango-Erg/146837343")</f>
        <v>https://www.falabella.com.pe/falabella-pe/product/146837340/Alicate-Universal-8-Aislado-1000V-200mm-STANLEY-Mango-Erg/146837343</v>
      </c>
      <c r="AD808" s="213"/>
      <c r="AE808" s="213"/>
      <c r="AF808" s="213"/>
      <c r="AG808" s="213"/>
      <c r="AH808" s="213" t="str">
        <f>IFERROR(__xludf.DUMMYFUNCTION("""COMPUTED_VALUE"""),"NACIONAL")</f>
        <v>NACIONAL</v>
      </c>
      <c r="AI808" s="213"/>
      <c r="AJ808" s="213"/>
      <c r="AK808" s="213"/>
      <c r="AL808" s="213"/>
      <c r="AM808" s="213"/>
      <c r="AN808" s="213"/>
      <c r="AO808" s="213"/>
      <c r="AP808" s="213" t="str">
        <f>IFERROR(__xludf.DUMMYFUNCTION("""COMPUTED_VALUE"""),"LUIS")</f>
        <v>LUIS</v>
      </c>
      <c r="AQ808" s="213"/>
      <c r="AR808" s="213"/>
      <c r="AS808" s="213"/>
      <c r="AT808" s="213"/>
      <c r="AU808" s="213"/>
      <c r="AV808" s="213"/>
      <c r="AW808" s="213"/>
      <c r="AX808" s="213"/>
      <c r="AY808" s="213"/>
      <c r="AZ808" s="213"/>
      <c r="BA808" s="213"/>
      <c r="BB808" s="213"/>
      <c r="BC808" s="213"/>
      <c r="BD808" s="213"/>
    </row>
    <row r="809">
      <c r="A809" s="213">
        <f>IFERROR(__xludf.DUMMYFUNCTION("""COMPUTED_VALUE"""),955.0)</f>
        <v>955</v>
      </c>
      <c r="B809" s="213" t="str">
        <f>IFERROR(__xludf.DUMMYFUNCTION("""COMPUTED_VALUE"""),"FRANCISCO IRAZOLA")</f>
        <v>FRANCISCO IRAZOLA</v>
      </c>
      <c r="C809" s="213" t="str">
        <f>IFERROR(__xludf.DUMMYFUNCTION("""COMPUTED_VALUE"""),"TALLER SFT DE MECÁNICA AUTOMOTRIZ")</f>
        <v>TALLER SFT DE MECÁNICA AUTOMOTRIZ</v>
      </c>
      <c r="D809" s="213" t="str">
        <f>IFERROR(__xludf.DUMMYFUNCTION("""COMPUTED_VALUE"""),"HERRAMIENTAS")</f>
        <v>HERRAMIENTAS</v>
      </c>
      <c r="E809" s="213" t="str">
        <f>IFERROR(__xludf.DUMMYFUNCTION("""COMPUTED_VALUE"""),"HER-110")</f>
        <v>HER-110</v>
      </c>
      <c r="F809" s="213" t="str">
        <f>IFERROR(__xludf.DUMMYFUNCTION("""COMPUTED_VALUE"""),"HER-110-X")</f>
        <v>HER-110-X</v>
      </c>
      <c r="G809" s="213"/>
      <c r="H809" s="213" t="str">
        <f>IFERROR(__xludf.DUMMYFUNCTION("""COMPUTED_VALUE"""),"ARCO DE SIERRA")</f>
        <v>ARCO DE SIERRA</v>
      </c>
      <c r="I809" s="213" t="str">
        <f>IFERROR(__xludf.DUMMYFUNCTION("""COMPUTED_VALUE"""),"Para corte de metal, rápido y sin esfuerzo. Mango de plástico.
Material del arco: acero de alto carbono. Para hojas de 300 mm.")</f>
        <v>Para corte de metal, rápido y sin esfuerzo. Mango de plástico.
Material del arco: acero de alto carbono. Para hojas de 300 mm.</v>
      </c>
      <c r="J809" s="213">
        <f>IFERROR(__xludf.DUMMYFUNCTION("""COMPUTED_VALUE"""),3.0)</f>
        <v>3</v>
      </c>
      <c r="K809" s="213" t="str">
        <f>IFERROR(__xludf.DUMMYFUNCTION("""COMPUTED_VALUE"""),"90 DÍAS CALENDARIO")</f>
        <v>90 DÍAS CALENDARIO</v>
      </c>
      <c r="L809" s="213" t="str">
        <f>IFERROR(__xludf.DUMMYFUNCTION("""COMPUTED_VALUE"""),"MECÁNICA AUTOMOTRÍZ, EBANISTERÍA")</f>
        <v>MECÁNICA AUTOMOTRÍZ, EBANISTERÍA</v>
      </c>
      <c r="M809" s="213">
        <f>IFERROR(__xludf.DUMMYFUNCTION("""COMPUTED_VALUE"""),1.0)</f>
        <v>1</v>
      </c>
      <c r="N809" s="213">
        <f>IFERROR(__xludf.DUMMYFUNCTION("""COMPUTED_VALUE"""),1.0)</f>
        <v>1</v>
      </c>
      <c r="O809" s="213">
        <f>IFERROR(__xludf.DUMMYFUNCTION("""COMPUTED_VALUE"""),1.0)</f>
        <v>1</v>
      </c>
      <c r="P809" s="213"/>
      <c r="Q809" s="213"/>
      <c r="R809" s="213" t="str">
        <f>IFERROR(__xludf.DUMMYFUNCTION("""COMPUTED_VALUE"""),"SI")</f>
        <v>SI</v>
      </c>
      <c r="S809" s="213"/>
      <c r="T809" s="213" t="str">
        <f>IFERROR(__xludf.DUMMYFUNCTION("""COMPUTED_VALUE"""),"SI")</f>
        <v>SI</v>
      </c>
      <c r="U809" s="213" t="str">
        <f>IFERROR(__xludf.DUMMYFUNCTION("""COMPUTED_VALUE"""),"SI")</f>
        <v>SI</v>
      </c>
      <c r="V809" s="213" t="str">
        <f>IFERROR(__xludf.DUMMYFUNCTION("""COMPUTED_VALUE"""),"-")</f>
        <v>-</v>
      </c>
      <c r="W809" s="213" t="str">
        <f>IFERROR(__xludf.DUMMYFUNCTION("""COMPUTED_VALUE"""),"-")</f>
        <v>-</v>
      </c>
      <c r="X809" s="213" t="str">
        <f>IFERROR(__xludf.DUMMYFUNCTION("""COMPUTED_VALUE"""),"TRUPER")</f>
        <v>TRUPER</v>
      </c>
      <c r="Y809" s="213" t="str">
        <f>IFERROR(__xludf.DUMMYFUNCTION("""COMPUTED_VALUE"""),"ATX-12")</f>
        <v>ATX-12</v>
      </c>
      <c r="Z809" s="215" t="str">
        <f>IFERROR(__xludf.DUMMYFUNCTION("""COMPUTED_VALUE"""),"https://www.truper.com/ficha_tecnica/Arco-profesional-extra-pesado-1-kg-62.html?code=10232")</f>
        <v>https://www.truper.com/ficha_tecnica/Arco-profesional-extra-pesado-1-kg-62.html?code=10232</v>
      </c>
      <c r="AA809" s="213" t="str">
        <f>IFERROR(__xludf.DUMMYFUNCTION("""COMPUTED_VALUE"""),"HER-110-X ARCO DE SIERRA - CET")</f>
        <v>HER-110-X ARCO DE SIERRA - CET</v>
      </c>
      <c r="AB809" s="213"/>
      <c r="AC809" s="215" t="str">
        <f>IFERROR(__xludf.DUMMYFUNCTION("""COMPUTED_VALUE"""),"https://www.promart.pe/arco-de-sierra-kendo-para-trabajo-pesado-300mm-12-pulgadas-ken30566-1000971608/p?srsltid=AfmBOoptr3n3tElOtveuHVgdqBOZ4O4pGPGYQ57BN87qI38aG3lt4iqI")</f>
        <v>https://www.promart.pe/arco-de-sierra-kendo-para-trabajo-pesado-300mm-12-pulgadas-ken30566-1000971608/p?srsltid=AfmBOoptr3n3tElOtveuHVgdqBOZ4O4pGPGYQ57BN87qI38aG3lt4iqI</v>
      </c>
      <c r="AD809" s="213"/>
      <c r="AE809" s="213"/>
      <c r="AF809" s="213"/>
      <c r="AG809" s="213"/>
      <c r="AH809" s="213" t="str">
        <f>IFERROR(__xludf.DUMMYFUNCTION("""COMPUTED_VALUE"""),"NACIONAL")</f>
        <v>NACIONAL</v>
      </c>
      <c r="AI809" s="213"/>
      <c r="AJ809" s="213"/>
      <c r="AK809" s="213"/>
      <c r="AL809" s="213"/>
      <c r="AM809" s="213"/>
      <c r="AN809" s="213"/>
      <c r="AO809" s="213"/>
      <c r="AP809" s="213" t="str">
        <f>IFERROR(__xludf.DUMMYFUNCTION("""COMPUTED_VALUE"""),"LUIS")</f>
        <v>LUIS</v>
      </c>
      <c r="AQ809" s="213"/>
      <c r="AR809" s="213"/>
      <c r="AS809" s="213"/>
      <c r="AT809" s="213"/>
      <c r="AU809" s="213"/>
      <c r="AV809" s="213"/>
      <c r="AW809" s="213"/>
      <c r="AX809" s="213"/>
      <c r="AY809" s="213"/>
      <c r="AZ809" s="213"/>
      <c r="BA809" s="213"/>
      <c r="BB809" s="213"/>
      <c r="BC809" s="213"/>
      <c r="BD809" s="213"/>
    </row>
    <row r="810">
      <c r="A810" s="213">
        <f>IFERROR(__xludf.DUMMYFUNCTION("""COMPUTED_VALUE"""),1556.0)</f>
        <v>1556</v>
      </c>
      <c r="B810" s="213" t="str">
        <f>IFERROR(__xludf.DUMMYFUNCTION("""COMPUTED_VALUE"""),"GUILLERMO E. BILLINGHURST ")</f>
        <v>GUILLERMO E. BILLINGHURST </v>
      </c>
      <c r="C810" s="213" t="str">
        <f>IFERROR(__xludf.DUMMYFUNCTION("""COMPUTED_VALUE"""),"TALLER SFT DE MECÁNICA AUTOMOTRIZ")</f>
        <v>TALLER SFT DE MECÁNICA AUTOMOTRIZ</v>
      </c>
      <c r="D810" s="213" t="str">
        <f>IFERROR(__xludf.DUMMYFUNCTION("""COMPUTED_VALUE"""),"HERRAMIENTAS")</f>
        <v>HERRAMIENTAS</v>
      </c>
      <c r="E810" s="213" t="str">
        <f>IFERROR(__xludf.DUMMYFUNCTION("""COMPUTED_VALUE"""),"HER-110")</f>
        <v>HER-110</v>
      </c>
      <c r="F810" s="213" t="str">
        <f>IFERROR(__xludf.DUMMYFUNCTION("""COMPUTED_VALUE"""),"HER-110-X")</f>
        <v>HER-110-X</v>
      </c>
      <c r="G810" s="213"/>
      <c r="H810" s="213" t="str">
        <f>IFERROR(__xludf.DUMMYFUNCTION("""COMPUTED_VALUE"""),"ARCO DE SIERRA")</f>
        <v>ARCO DE SIERRA</v>
      </c>
      <c r="I810" s="213" t="str">
        <f>IFERROR(__xludf.DUMMYFUNCTION("""COMPUTED_VALUE"""),"Para corte de metal, rápido y sin esfuerzo. Mango de plástico.
Material del arco: acero de alto carbono. Para hojas de 300 mm.")</f>
        <v>Para corte de metal, rápido y sin esfuerzo. Mango de plástico.
Material del arco: acero de alto carbono. Para hojas de 300 mm.</v>
      </c>
      <c r="J810" s="213">
        <f>IFERROR(__xludf.DUMMYFUNCTION("""COMPUTED_VALUE"""),3.0)</f>
        <v>3</v>
      </c>
      <c r="K810" s="213" t="str">
        <f>IFERROR(__xludf.DUMMYFUNCTION("""COMPUTED_VALUE"""),"90 DÍAS CALENDARIO")</f>
        <v>90 DÍAS CALENDARIO</v>
      </c>
      <c r="L810" s="213" t="str">
        <f>IFERROR(__xludf.DUMMYFUNCTION("""COMPUTED_VALUE"""),"MECÁNICA AUTOMOTRÍZ, EBANISTERÍA")</f>
        <v>MECÁNICA AUTOMOTRÍZ, EBANISTERÍA</v>
      </c>
      <c r="M810" s="213">
        <f>IFERROR(__xludf.DUMMYFUNCTION("""COMPUTED_VALUE"""),1.0)</f>
        <v>1</v>
      </c>
      <c r="N810" s="213">
        <f>IFERROR(__xludf.DUMMYFUNCTION("""COMPUTED_VALUE"""),1.0)</f>
        <v>1</v>
      </c>
      <c r="O810" s="213">
        <f>IFERROR(__xludf.DUMMYFUNCTION("""COMPUTED_VALUE"""),1.0)</f>
        <v>1</v>
      </c>
      <c r="P810" s="213"/>
      <c r="Q810" s="213"/>
      <c r="R810" s="213" t="str">
        <f>IFERROR(__xludf.DUMMYFUNCTION("""COMPUTED_VALUE"""),"SI")</f>
        <v>SI</v>
      </c>
      <c r="S810" s="213"/>
      <c r="T810" s="213" t="str">
        <f>IFERROR(__xludf.DUMMYFUNCTION("""COMPUTED_VALUE"""),"SI")</f>
        <v>SI</v>
      </c>
      <c r="U810" s="213" t="str">
        <f>IFERROR(__xludf.DUMMYFUNCTION("""COMPUTED_VALUE"""),"SI")</f>
        <v>SI</v>
      </c>
      <c r="V810" s="213" t="str">
        <f>IFERROR(__xludf.DUMMYFUNCTION("""COMPUTED_VALUE"""),"-")</f>
        <v>-</v>
      </c>
      <c r="W810" s="213" t="str">
        <f>IFERROR(__xludf.DUMMYFUNCTION("""COMPUTED_VALUE"""),"-")</f>
        <v>-</v>
      </c>
      <c r="X810" s="213" t="str">
        <f>IFERROR(__xludf.DUMMYFUNCTION("""COMPUTED_VALUE"""),"TRUPER")</f>
        <v>TRUPER</v>
      </c>
      <c r="Y810" s="213" t="str">
        <f>IFERROR(__xludf.DUMMYFUNCTION("""COMPUTED_VALUE"""),"ATX-12")</f>
        <v>ATX-12</v>
      </c>
      <c r="Z810" s="215" t="str">
        <f>IFERROR(__xludf.DUMMYFUNCTION("""COMPUTED_VALUE"""),"https://www.truper.com/ficha_tecnica/Arco-profesional-extra-pesado-1-kg-62.html?code=10232")</f>
        <v>https://www.truper.com/ficha_tecnica/Arco-profesional-extra-pesado-1-kg-62.html?code=10232</v>
      </c>
      <c r="AA810" s="213" t="str">
        <f>IFERROR(__xludf.DUMMYFUNCTION("""COMPUTED_VALUE"""),"HER-110-X ARCO DE SIERRA - CET")</f>
        <v>HER-110-X ARCO DE SIERRA - CET</v>
      </c>
      <c r="AB810" s="213"/>
      <c r="AC810" s="215" t="str">
        <f>IFERROR(__xludf.DUMMYFUNCTION("""COMPUTED_VALUE"""),"https://www.promart.pe/arco-de-sierra-kendo-para-trabajo-pesado-300mm-12-pulgadas-ken30566-1000971608/p?srsltid=AfmBOoptr3n3tElOtveuHVgdqBOZ4O4pGPGYQ57BN87qI38aG3lt4iqI")</f>
        <v>https://www.promart.pe/arco-de-sierra-kendo-para-trabajo-pesado-300mm-12-pulgadas-ken30566-1000971608/p?srsltid=AfmBOoptr3n3tElOtveuHVgdqBOZ4O4pGPGYQ57BN87qI38aG3lt4iqI</v>
      </c>
      <c r="AD810" s="213"/>
      <c r="AE810" s="213"/>
      <c r="AF810" s="213"/>
      <c r="AG810" s="213"/>
      <c r="AH810" s="213" t="str">
        <f>IFERROR(__xludf.DUMMYFUNCTION("""COMPUTED_VALUE"""),"NACIONAL")</f>
        <v>NACIONAL</v>
      </c>
      <c r="AI810" s="213"/>
      <c r="AJ810" s="213"/>
      <c r="AK810" s="213"/>
      <c r="AL810" s="213"/>
      <c r="AM810" s="213"/>
      <c r="AN810" s="213"/>
      <c r="AO810" s="213"/>
      <c r="AP810" s="213" t="str">
        <f>IFERROR(__xludf.DUMMYFUNCTION("""COMPUTED_VALUE"""),"LUIS")</f>
        <v>LUIS</v>
      </c>
      <c r="AQ810" s="213"/>
      <c r="AR810" s="213"/>
      <c r="AS810" s="213"/>
      <c r="AT810" s="213"/>
      <c r="AU810" s="213"/>
      <c r="AV810" s="213"/>
      <c r="AW810" s="213"/>
      <c r="AX810" s="213"/>
      <c r="AY810" s="213"/>
      <c r="AZ810" s="213"/>
      <c r="BA810" s="213"/>
      <c r="BB810" s="213"/>
      <c r="BC810" s="213"/>
      <c r="BD810" s="213"/>
    </row>
    <row r="811">
      <c r="A811" s="213">
        <f>IFERROR(__xludf.DUMMYFUNCTION("""COMPUTED_VALUE"""),1833.0)</f>
        <v>1833</v>
      </c>
      <c r="B811" s="213" t="str">
        <f>IFERROR(__xludf.DUMMYFUNCTION("""COMPUTED_VALUE"""),"GUILLERMO E. BILLINGHURST ")</f>
        <v>GUILLERMO E. BILLINGHURST </v>
      </c>
      <c r="C811" s="213" t="str">
        <f>IFERROR(__xludf.DUMMYFUNCTION("""COMPUTED_VALUE"""),"TALLER SFT DE EBANISTERÍA")</f>
        <v>TALLER SFT DE EBANISTERÍA</v>
      </c>
      <c r="D811" s="213" t="str">
        <f>IFERROR(__xludf.DUMMYFUNCTION("""COMPUTED_VALUE"""),"HERRAMIENTAS")</f>
        <v>HERRAMIENTAS</v>
      </c>
      <c r="E811" s="213" t="str">
        <f>IFERROR(__xludf.DUMMYFUNCTION("""COMPUTED_VALUE"""),"HER-110")</f>
        <v>HER-110</v>
      </c>
      <c r="F811" s="213" t="str">
        <f>IFERROR(__xludf.DUMMYFUNCTION("""COMPUTED_VALUE"""),"HER-110-X")</f>
        <v>HER-110-X</v>
      </c>
      <c r="G811" s="213"/>
      <c r="H811" s="213" t="str">
        <f>IFERROR(__xludf.DUMMYFUNCTION("""COMPUTED_VALUE"""),"ARCO DE SIERRA")</f>
        <v>ARCO DE SIERRA</v>
      </c>
      <c r="I811" s="213" t="str">
        <f>IFERROR(__xludf.DUMMYFUNCTION("""COMPUTED_VALUE"""),"Para corte de metal rápido y sin esfuerzo. Mango de plástico.
Hoja de acero de alto carbono. Para hojas de 300 mm.")</f>
        <v>Para corte de metal rápido y sin esfuerzo. Mango de plástico.
Hoja de acero de alto carbono. Para hojas de 300 mm.</v>
      </c>
      <c r="J811" s="213">
        <f>IFERROR(__xludf.DUMMYFUNCTION("""COMPUTED_VALUE"""),3.0)</f>
        <v>3</v>
      </c>
      <c r="K811" s="213" t="str">
        <f>IFERROR(__xludf.DUMMYFUNCTION("""COMPUTED_VALUE"""),"90 DÍAS CALENDARIO")</f>
        <v>90 DÍAS CALENDARIO</v>
      </c>
      <c r="L811" s="213" t="str">
        <f>IFERROR(__xludf.DUMMYFUNCTION("""COMPUTED_VALUE"""),"MECÁNICA AUTOMOTRÍZ, EBANISTERÍA")</f>
        <v>MECÁNICA AUTOMOTRÍZ, EBANISTERÍA</v>
      </c>
      <c r="M811" s="213">
        <f>IFERROR(__xludf.DUMMYFUNCTION("""COMPUTED_VALUE"""),1.0)</f>
        <v>1</v>
      </c>
      <c r="N811" s="213">
        <f>IFERROR(__xludf.DUMMYFUNCTION("""COMPUTED_VALUE"""),1.0)</f>
        <v>1</v>
      </c>
      <c r="O811" s="213">
        <f>IFERROR(__xludf.DUMMYFUNCTION("""COMPUTED_VALUE"""),1.0)</f>
        <v>1</v>
      </c>
      <c r="P811" s="213"/>
      <c r="Q811" s="213"/>
      <c r="R811" s="213" t="str">
        <f>IFERROR(__xludf.DUMMYFUNCTION("""COMPUTED_VALUE"""),"SI")</f>
        <v>SI</v>
      </c>
      <c r="S811" s="213"/>
      <c r="T811" s="213" t="str">
        <f>IFERROR(__xludf.DUMMYFUNCTION("""COMPUTED_VALUE"""),"SI")</f>
        <v>SI</v>
      </c>
      <c r="U811" s="213" t="str">
        <f>IFERROR(__xludf.DUMMYFUNCTION("""COMPUTED_VALUE"""),"SI")</f>
        <v>SI</v>
      </c>
      <c r="V811" s="213" t="str">
        <f>IFERROR(__xludf.DUMMYFUNCTION("""COMPUTED_VALUE"""),"-")</f>
        <v>-</v>
      </c>
      <c r="W811" s="213" t="str">
        <f>IFERROR(__xludf.DUMMYFUNCTION("""COMPUTED_VALUE"""),"-")</f>
        <v>-</v>
      </c>
      <c r="X811" s="213" t="str">
        <f>IFERROR(__xludf.DUMMYFUNCTION("""COMPUTED_VALUE"""),"TRUPER")</f>
        <v>TRUPER</v>
      </c>
      <c r="Y811" s="213" t="str">
        <f>IFERROR(__xludf.DUMMYFUNCTION("""COMPUTED_VALUE"""),"ATX-12")</f>
        <v>ATX-12</v>
      </c>
      <c r="Z811" s="215" t="str">
        <f>IFERROR(__xludf.DUMMYFUNCTION("""COMPUTED_VALUE"""),"https://www.truper.com/ficha_tecnica/Arco-profesional-extra-pesado-1-kg-62.html?code=10232")</f>
        <v>https://www.truper.com/ficha_tecnica/Arco-profesional-extra-pesado-1-kg-62.html?code=10232</v>
      </c>
      <c r="AA811" s="213" t="str">
        <f>IFERROR(__xludf.DUMMYFUNCTION("""COMPUTED_VALUE"""),"HER-110-X ARCO DE SIERRA - CET")</f>
        <v>HER-110-X ARCO DE SIERRA - CET</v>
      </c>
      <c r="AB811" s="213"/>
      <c r="AC811" s="215" t="str">
        <f>IFERROR(__xludf.DUMMYFUNCTION("""COMPUTED_VALUE"""),"https://www.promart.pe/arco-de-sierra-kendo-para-trabajo-pesado-300mm-12-pulgadas-ken30566-1000971608/p?srsltid=AfmBOoptr3n3tElOtveuHVgdqBOZ4O4pGPGYQ57BN87qI38aG3lt4iqI")</f>
        <v>https://www.promart.pe/arco-de-sierra-kendo-para-trabajo-pesado-300mm-12-pulgadas-ken30566-1000971608/p?srsltid=AfmBOoptr3n3tElOtveuHVgdqBOZ4O4pGPGYQ57BN87qI38aG3lt4iqI</v>
      </c>
      <c r="AD811" s="213"/>
      <c r="AE811" s="213"/>
      <c r="AF811" s="213"/>
      <c r="AG811" s="213"/>
      <c r="AH811" s="213" t="str">
        <f>IFERROR(__xludf.DUMMYFUNCTION("""COMPUTED_VALUE"""),"NACIONAL")</f>
        <v>NACIONAL</v>
      </c>
      <c r="AI811" s="213"/>
      <c r="AJ811" s="213"/>
      <c r="AK811" s="213"/>
      <c r="AL811" s="213"/>
      <c r="AM811" s="213"/>
      <c r="AN811" s="213"/>
      <c r="AO811" s="213"/>
      <c r="AP811" s="213" t="str">
        <f>IFERROR(__xludf.DUMMYFUNCTION("""COMPUTED_VALUE"""),"LUIS")</f>
        <v>LUIS</v>
      </c>
      <c r="AQ811" s="213"/>
      <c r="AR811" s="213"/>
      <c r="AS811" s="213"/>
      <c r="AT811" s="213"/>
      <c r="AU811" s="213"/>
      <c r="AV811" s="213"/>
      <c r="AW811" s="213"/>
      <c r="AX811" s="213"/>
      <c r="AY811" s="213"/>
      <c r="AZ811" s="213"/>
      <c r="BA811" s="213"/>
      <c r="BB811" s="213"/>
      <c r="BC811" s="213"/>
      <c r="BD811" s="213"/>
    </row>
    <row r="812">
      <c r="A812" s="213">
        <f>IFERROR(__xludf.DUMMYFUNCTION("""COMPUTED_VALUE"""),2248.0)</f>
        <v>2248</v>
      </c>
      <c r="B812" s="213" t="str">
        <f>IFERROR(__xludf.DUMMYFUNCTION("""COMPUTED_VALUE"""),"JOSE GRANDA")</f>
        <v>JOSE GRANDA</v>
      </c>
      <c r="C812" s="213" t="str">
        <f>IFERROR(__xludf.DUMMYFUNCTION("""COMPUTED_VALUE"""),"TALLER SFT DE MECÁNICA AUTOMOTRIZ")</f>
        <v>TALLER SFT DE MECÁNICA AUTOMOTRIZ</v>
      </c>
      <c r="D812" s="213" t="str">
        <f>IFERROR(__xludf.DUMMYFUNCTION("""COMPUTED_VALUE"""),"HERRAMIENTAS")</f>
        <v>HERRAMIENTAS</v>
      </c>
      <c r="E812" s="213" t="str">
        <f>IFERROR(__xludf.DUMMYFUNCTION("""COMPUTED_VALUE"""),"HER-110")</f>
        <v>HER-110</v>
      </c>
      <c r="F812" s="213" t="str">
        <f>IFERROR(__xludf.DUMMYFUNCTION("""COMPUTED_VALUE"""),"HER-110-X")</f>
        <v>HER-110-X</v>
      </c>
      <c r="G812" s="213"/>
      <c r="H812" s="213" t="str">
        <f>IFERROR(__xludf.DUMMYFUNCTION("""COMPUTED_VALUE"""),"ARCO DE SIERRA")</f>
        <v>ARCO DE SIERRA</v>
      </c>
      <c r="I812" s="213" t="str">
        <f>IFERROR(__xludf.DUMMYFUNCTION("""COMPUTED_VALUE"""),"Para corte de metal, rápido y sin esfuerzo. Mango de plástico.
Material del arco: acero de alto carbono. Para hojas de 300 mm.")</f>
        <v>Para corte de metal, rápido y sin esfuerzo. Mango de plástico.
Material del arco: acero de alto carbono. Para hojas de 300 mm.</v>
      </c>
      <c r="J812" s="213">
        <f>IFERROR(__xludf.DUMMYFUNCTION("""COMPUTED_VALUE"""),3.0)</f>
        <v>3</v>
      </c>
      <c r="K812" s="213" t="str">
        <f>IFERROR(__xludf.DUMMYFUNCTION("""COMPUTED_VALUE"""),"90 DÍAS CALENDARIO")</f>
        <v>90 DÍAS CALENDARIO</v>
      </c>
      <c r="L812" s="213" t="str">
        <f>IFERROR(__xludf.DUMMYFUNCTION("""COMPUTED_VALUE"""),"MECÁNICA AUTOMOTRÍZ, EBANISTERÍA")</f>
        <v>MECÁNICA AUTOMOTRÍZ, EBANISTERÍA</v>
      </c>
      <c r="M812" s="213">
        <f>IFERROR(__xludf.DUMMYFUNCTION("""COMPUTED_VALUE"""),1.0)</f>
        <v>1</v>
      </c>
      <c r="N812" s="213">
        <f>IFERROR(__xludf.DUMMYFUNCTION("""COMPUTED_VALUE"""),1.0)</f>
        <v>1</v>
      </c>
      <c r="O812" s="213">
        <f>IFERROR(__xludf.DUMMYFUNCTION("""COMPUTED_VALUE"""),1.0)</f>
        <v>1</v>
      </c>
      <c r="P812" s="213"/>
      <c r="Q812" s="213"/>
      <c r="R812" s="213" t="str">
        <f>IFERROR(__xludf.DUMMYFUNCTION("""COMPUTED_VALUE"""),"SI")</f>
        <v>SI</v>
      </c>
      <c r="S812" s="213"/>
      <c r="T812" s="213" t="str">
        <f>IFERROR(__xludf.DUMMYFUNCTION("""COMPUTED_VALUE"""),"SI")</f>
        <v>SI</v>
      </c>
      <c r="U812" s="213" t="str">
        <f>IFERROR(__xludf.DUMMYFUNCTION("""COMPUTED_VALUE"""),"SI")</f>
        <v>SI</v>
      </c>
      <c r="V812" s="213" t="str">
        <f>IFERROR(__xludf.DUMMYFUNCTION("""COMPUTED_VALUE"""),"-")</f>
        <v>-</v>
      </c>
      <c r="W812" s="213" t="str">
        <f>IFERROR(__xludf.DUMMYFUNCTION("""COMPUTED_VALUE"""),"-")</f>
        <v>-</v>
      </c>
      <c r="X812" s="213" t="str">
        <f>IFERROR(__xludf.DUMMYFUNCTION("""COMPUTED_VALUE"""),"TRUPER")</f>
        <v>TRUPER</v>
      </c>
      <c r="Y812" s="213" t="str">
        <f>IFERROR(__xludf.DUMMYFUNCTION("""COMPUTED_VALUE"""),"ATX-12")</f>
        <v>ATX-12</v>
      </c>
      <c r="Z812" s="215" t="str">
        <f>IFERROR(__xludf.DUMMYFUNCTION("""COMPUTED_VALUE"""),"https://www.truper.com/ficha_tecnica/Arco-profesional-extra-pesado-1-kg-62.html?code=10232")</f>
        <v>https://www.truper.com/ficha_tecnica/Arco-profesional-extra-pesado-1-kg-62.html?code=10232</v>
      </c>
      <c r="AA812" s="213" t="str">
        <f>IFERROR(__xludf.DUMMYFUNCTION("""COMPUTED_VALUE"""),"HER-110-X ARCO DE SIERRA - CET")</f>
        <v>HER-110-X ARCO DE SIERRA - CET</v>
      </c>
      <c r="AB812" s="213"/>
      <c r="AC812" s="215" t="str">
        <f>IFERROR(__xludf.DUMMYFUNCTION("""COMPUTED_VALUE"""),"https://www.promart.pe/arco-de-sierra-kendo-para-trabajo-pesado-300mm-12-pulgadas-ken30566-1000971608/p?srsltid=AfmBOoptr3n3tElOtveuHVgdqBOZ4O4pGPGYQ57BN87qI38aG3lt4iqI")</f>
        <v>https://www.promart.pe/arco-de-sierra-kendo-para-trabajo-pesado-300mm-12-pulgadas-ken30566-1000971608/p?srsltid=AfmBOoptr3n3tElOtveuHVgdqBOZ4O4pGPGYQ57BN87qI38aG3lt4iqI</v>
      </c>
      <c r="AD812" s="213"/>
      <c r="AE812" s="213"/>
      <c r="AF812" s="213"/>
      <c r="AG812" s="213"/>
      <c r="AH812" s="213" t="str">
        <f>IFERROR(__xludf.DUMMYFUNCTION("""COMPUTED_VALUE"""),"NACIONAL")</f>
        <v>NACIONAL</v>
      </c>
      <c r="AI812" s="213"/>
      <c r="AJ812" s="213"/>
      <c r="AK812" s="213"/>
      <c r="AL812" s="213"/>
      <c r="AM812" s="213"/>
      <c r="AN812" s="213"/>
      <c r="AO812" s="213"/>
      <c r="AP812" s="213" t="str">
        <f>IFERROR(__xludf.DUMMYFUNCTION("""COMPUTED_VALUE"""),"LUIS")</f>
        <v>LUIS</v>
      </c>
      <c r="AQ812" s="213"/>
      <c r="AR812" s="213"/>
      <c r="AS812" s="213"/>
      <c r="AT812" s="213"/>
      <c r="AU812" s="213"/>
      <c r="AV812" s="213"/>
      <c r="AW812" s="213"/>
      <c r="AX812" s="213"/>
      <c r="AY812" s="213"/>
      <c r="AZ812" s="213"/>
      <c r="BA812" s="213"/>
      <c r="BB812" s="213"/>
      <c r="BC812" s="213"/>
      <c r="BD812" s="213"/>
    </row>
    <row r="813">
      <c r="A813" s="213">
        <f>IFERROR(__xludf.DUMMYFUNCTION("""COMPUTED_VALUE"""),2500.0)</f>
        <v>2500</v>
      </c>
      <c r="B813" s="213" t="str">
        <f>IFERROR(__xludf.DUMMYFUNCTION("""COMPUTED_VALUE"""),"MANUEL ANTONIO MESONES MURO")</f>
        <v>MANUEL ANTONIO MESONES MURO</v>
      </c>
      <c r="C813" s="213" t="str">
        <f>IFERROR(__xludf.DUMMYFUNCTION("""COMPUTED_VALUE"""),"TALLER SFT DE CONSTRUCCIONES METÁLICAS")</f>
        <v>TALLER SFT DE CONSTRUCCIONES METÁLICAS</v>
      </c>
      <c r="D813" s="213" t="str">
        <f>IFERROR(__xludf.DUMMYFUNCTION("""COMPUTED_VALUE"""),"HERRAMIENTAS")</f>
        <v>HERRAMIENTAS</v>
      </c>
      <c r="E813" s="213" t="str">
        <f>IFERROR(__xludf.DUMMYFUNCTION("""COMPUTED_VALUE"""),"COM-182")</f>
        <v>COM-182</v>
      </c>
      <c r="F813" s="213" t="str">
        <f>IFERROR(__xludf.DUMMYFUNCTION("""COMPUTED_VALUE"""),"COM-182")</f>
        <v>COM-182</v>
      </c>
      <c r="G813" s="213"/>
      <c r="H813" s="213" t="str">
        <f>IFERROR(__xludf.DUMMYFUNCTION("""COMPUTED_VALUE"""),"JUEGO DE BROCAS HSS PARA METAL")</f>
        <v>JUEGO DE BROCAS HSS PARA METAL</v>
      </c>
      <c r="I813" s="213" t="str">
        <f>IFERROR(__xludf.DUMMYFUNCTION("""COMPUTED_VALUE"""),"Oxido negro
-       Acero de alta velocidad
-       Caña recta fraccional
-       Punta de 118 grados
-       Medidas 9 piezas: 3/32”; 1/82; 5/32”; 3/16”; ¼”; 5/16”; 3/8”; 7/16”; ½”
-       Estuche organizador metálico")</f>
        <v>Oxido negro
-       Acero de alta velocidad
-       Caña recta fraccional
-       Punta de 118 grados
-       Medidas 9 piezas: 3/32”; 1/82; 5/32”; 3/16”; ¼”; 5/16”; 3/8”; 7/16”; ½”
-       Estuche organizador metálico</v>
      </c>
      <c r="J813" s="213">
        <f>IFERROR(__xludf.DUMMYFUNCTION("""COMPUTED_VALUE"""),3.0)</f>
        <v>3</v>
      </c>
      <c r="K813" s="213" t="str">
        <f>IFERROR(__xludf.DUMMYFUNCTION("""COMPUTED_VALUE"""),"90 DÍAS CALENDARIO")</f>
        <v>90 DÍAS CALENDARIO</v>
      </c>
      <c r="L813" s="213" t="str">
        <f>IFERROR(__xludf.DUMMYFUNCTION("""COMPUTED_VALUE"""),"")</f>
        <v/>
      </c>
      <c r="M813" s="213">
        <f>IFERROR(__xludf.DUMMYFUNCTION("""COMPUTED_VALUE"""),1.0)</f>
        <v>1</v>
      </c>
      <c r="N813" s="213">
        <f>IFERROR(__xludf.DUMMYFUNCTION("""COMPUTED_VALUE"""),3.0)</f>
        <v>3</v>
      </c>
      <c r="O813" s="213">
        <f>IFERROR(__xludf.DUMMYFUNCTION("""COMPUTED_VALUE"""),3.0)</f>
        <v>3</v>
      </c>
      <c r="P813" s="213"/>
      <c r="Q813" s="213"/>
      <c r="R813" s="213" t="str">
        <f>IFERROR(__xludf.DUMMYFUNCTION("""COMPUTED_VALUE"""),"SI")</f>
        <v>SI</v>
      </c>
      <c r="S813" s="213"/>
      <c r="T813" s="213" t="str">
        <f>IFERROR(__xludf.DUMMYFUNCTION("""COMPUTED_VALUE"""),"SI")</f>
        <v>SI</v>
      </c>
      <c r="U813" s="213" t="str">
        <f>IFERROR(__xludf.DUMMYFUNCTION("""COMPUTED_VALUE"""),"SI")</f>
        <v>SI</v>
      </c>
      <c r="V813" s="213" t="str">
        <f>IFERROR(__xludf.DUMMYFUNCTION("""COMPUTED_VALUE"""),"-")</f>
        <v>-</v>
      </c>
      <c r="W813" s="213" t="str">
        <f>IFERROR(__xludf.DUMMYFUNCTION("""COMPUTED_VALUE"""),"-")</f>
        <v>-</v>
      </c>
      <c r="X813" s="213" t="str">
        <f>IFERROR(__xludf.DUMMYFUNCTION("""COMPUTED_VALUE"""),"CHAMPION")</f>
        <v>CHAMPION</v>
      </c>
      <c r="Y813" s="213" t="str">
        <f>IFERROR(__xludf.DUMMYFUNCTION("""COMPUTED_VALUE"""),"Contractor Series HSS GP Jobber")</f>
        <v>Contractor Series HSS GP Jobber</v>
      </c>
      <c r="Z813" s="215" t="str">
        <f>IFERROR(__xludf.DUMMYFUNCTION("""COMPUTED_VALUE"""),"https://www.amazon.com.mx/Champion-Contratista-set-118-deg-tratado-29-piezas/dp/B000OBDHZK#averageCustomerReviewsAnchor")</f>
        <v>https://www.amazon.com.mx/Champion-Contratista-set-118-deg-tratado-29-piezas/dp/B000OBDHZK#averageCustomerReviewsAnchor</v>
      </c>
      <c r="AA813" s="213" t="str">
        <f>IFERROR(__xludf.DUMMYFUNCTION("""COMPUTED_VALUE"""),"COM-182 JUEGO DE BROCAS HSS PARA METAL - CET")</f>
        <v>COM-182 JUEGO DE BROCAS HSS PARA METAL - CET</v>
      </c>
      <c r="AB813" s="213"/>
      <c r="AC813" s="213"/>
      <c r="AD813" s="213"/>
      <c r="AE813" s="213"/>
      <c r="AF813" s="213"/>
      <c r="AG813" s="213"/>
      <c r="AH813" s="213"/>
      <c r="AI813" s="213"/>
      <c r="AJ813" s="213"/>
      <c r="AK813" s="213"/>
      <c r="AL813" s="213"/>
      <c r="AM813" s="213"/>
      <c r="AN813" s="213"/>
      <c r="AO813" s="213"/>
      <c r="AP813" s="213" t="str">
        <f>IFERROR(__xludf.DUMMYFUNCTION("""COMPUTED_VALUE"""),"LUIS")</f>
        <v>LUIS</v>
      </c>
      <c r="AQ813" s="213"/>
      <c r="AR813" s="213"/>
      <c r="AS813" s="213"/>
      <c r="AT813" s="213"/>
      <c r="AU813" s="213"/>
      <c r="AV813" s="213"/>
      <c r="AW813" s="213"/>
      <c r="AX813" s="213"/>
      <c r="AY813" s="213"/>
      <c r="AZ813" s="213"/>
      <c r="BA813" s="213"/>
      <c r="BB813" s="213"/>
      <c r="BC813" s="213"/>
      <c r="BD813" s="213"/>
    </row>
    <row r="814">
      <c r="A814" s="213">
        <f>IFERROR(__xludf.DUMMYFUNCTION("""COMPUTED_VALUE"""),2615.0)</f>
        <v>2615</v>
      </c>
      <c r="B814" s="213" t="str">
        <f>IFERROR(__xludf.DUMMYFUNCTION("""COMPUTED_VALUE"""),"MANUEL ANTONIO MESONES MURO")</f>
        <v>MANUEL ANTONIO MESONES MURO</v>
      </c>
      <c r="C814" s="213" t="str">
        <f>IFERROR(__xludf.DUMMYFUNCTION("""COMPUTED_VALUE"""),"TALLER SFT DE EBANISTERÍA")</f>
        <v>TALLER SFT DE EBANISTERÍA</v>
      </c>
      <c r="D814" s="213" t="str">
        <f>IFERROR(__xludf.DUMMYFUNCTION("""COMPUTED_VALUE"""),"HERRAMIENTAS")</f>
        <v>HERRAMIENTAS</v>
      </c>
      <c r="E814" s="213" t="str">
        <f>IFERROR(__xludf.DUMMYFUNCTION("""COMPUTED_VALUE"""),"HER-110")</f>
        <v>HER-110</v>
      </c>
      <c r="F814" s="213" t="str">
        <f>IFERROR(__xludf.DUMMYFUNCTION("""COMPUTED_VALUE"""),"HER-110-X")</f>
        <v>HER-110-X</v>
      </c>
      <c r="G814" s="213"/>
      <c r="H814" s="213" t="str">
        <f>IFERROR(__xludf.DUMMYFUNCTION("""COMPUTED_VALUE"""),"ARCO DE SIERRA")</f>
        <v>ARCO DE SIERRA</v>
      </c>
      <c r="I814" s="213" t="str">
        <f>IFERROR(__xludf.DUMMYFUNCTION("""COMPUTED_VALUE"""),"Para corte de metal rápido y sin esfuerzo. Mango de plástico.
Hoja de acero de alto carbono. Para hojas de 300 mm.")</f>
        <v>Para corte de metal rápido y sin esfuerzo. Mango de plástico.
Hoja de acero de alto carbono. Para hojas de 300 mm.</v>
      </c>
      <c r="J814" s="213">
        <f>IFERROR(__xludf.DUMMYFUNCTION("""COMPUTED_VALUE"""),3.0)</f>
        <v>3</v>
      </c>
      <c r="K814" s="213" t="str">
        <f>IFERROR(__xludf.DUMMYFUNCTION("""COMPUTED_VALUE"""),"90 DÍAS CALENDARIO")</f>
        <v>90 DÍAS CALENDARIO</v>
      </c>
      <c r="L814" s="213" t="str">
        <f>IFERROR(__xludf.DUMMYFUNCTION("""COMPUTED_VALUE"""),"MECÁNICA AUTOMOTRÍZ, EBANISTERÍA")</f>
        <v>MECÁNICA AUTOMOTRÍZ, EBANISTERÍA</v>
      </c>
      <c r="M814" s="213">
        <f>IFERROR(__xludf.DUMMYFUNCTION("""COMPUTED_VALUE"""),1.0)</f>
        <v>1</v>
      </c>
      <c r="N814" s="213">
        <f>IFERROR(__xludf.DUMMYFUNCTION("""COMPUTED_VALUE"""),1.0)</f>
        <v>1</v>
      </c>
      <c r="O814" s="213">
        <f>IFERROR(__xludf.DUMMYFUNCTION("""COMPUTED_VALUE"""),1.0)</f>
        <v>1</v>
      </c>
      <c r="P814" s="213"/>
      <c r="Q814" s="213"/>
      <c r="R814" s="213" t="str">
        <f>IFERROR(__xludf.DUMMYFUNCTION("""COMPUTED_VALUE"""),"SI")</f>
        <v>SI</v>
      </c>
      <c r="S814" s="213"/>
      <c r="T814" s="213" t="str">
        <f>IFERROR(__xludf.DUMMYFUNCTION("""COMPUTED_VALUE"""),"SI")</f>
        <v>SI</v>
      </c>
      <c r="U814" s="213" t="str">
        <f>IFERROR(__xludf.DUMMYFUNCTION("""COMPUTED_VALUE"""),"SI")</f>
        <v>SI</v>
      </c>
      <c r="V814" s="213" t="str">
        <f>IFERROR(__xludf.DUMMYFUNCTION("""COMPUTED_VALUE"""),"-")</f>
        <v>-</v>
      </c>
      <c r="W814" s="213" t="str">
        <f>IFERROR(__xludf.DUMMYFUNCTION("""COMPUTED_VALUE"""),"-")</f>
        <v>-</v>
      </c>
      <c r="X814" s="213" t="str">
        <f>IFERROR(__xludf.DUMMYFUNCTION("""COMPUTED_VALUE"""),"TRUPER")</f>
        <v>TRUPER</v>
      </c>
      <c r="Y814" s="213" t="str">
        <f>IFERROR(__xludf.DUMMYFUNCTION("""COMPUTED_VALUE"""),"ATX-12")</f>
        <v>ATX-12</v>
      </c>
      <c r="Z814" s="215" t="str">
        <f>IFERROR(__xludf.DUMMYFUNCTION("""COMPUTED_VALUE"""),"https://www.truper.com/ficha_tecnica/Arco-profesional-extra-pesado-1-kg-62.html?code=10232")</f>
        <v>https://www.truper.com/ficha_tecnica/Arco-profesional-extra-pesado-1-kg-62.html?code=10232</v>
      </c>
      <c r="AA814" s="213" t="str">
        <f>IFERROR(__xludf.DUMMYFUNCTION("""COMPUTED_VALUE"""),"HER-110-X ARCO DE SIERRA - CET")</f>
        <v>HER-110-X ARCO DE SIERRA - CET</v>
      </c>
      <c r="AB814" s="213"/>
      <c r="AC814" s="215" t="str">
        <f>IFERROR(__xludf.DUMMYFUNCTION("""COMPUTED_VALUE"""),"https://www.promart.pe/arco-de-sierra-kendo-para-trabajo-pesado-300mm-12-pulgadas-ken30566-1000971608/p?srsltid=AfmBOoptr3n3tElOtveuHVgdqBOZ4O4pGPGYQ57BN87qI38aG3lt4iqI")</f>
        <v>https://www.promart.pe/arco-de-sierra-kendo-para-trabajo-pesado-300mm-12-pulgadas-ken30566-1000971608/p?srsltid=AfmBOoptr3n3tElOtveuHVgdqBOZ4O4pGPGYQ57BN87qI38aG3lt4iqI</v>
      </c>
      <c r="AD814" s="213"/>
      <c r="AE814" s="213"/>
      <c r="AF814" s="213"/>
      <c r="AG814" s="213"/>
      <c r="AH814" s="213" t="str">
        <f>IFERROR(__xludf.DUMMYFUNCTION("""COMPUTED_VALUE"""),"NACIONAL")</f>
        <v>NACIONAL</v>
      </c>
      <c r="AI814" s="213"/>
      <c r="AJ814" s="213"/>
      <c r="AK814" s="213"/>
      <c r="AL814" s="213"/>
      <c r="AM814" s="213"/>
      <c r="AN814" s="213"/>
      <c r="AO814" s="213"/>
      <c r="AP814" s="213" t="str">
        <f>IFERROR(__xludf.DUMMYFUNCTION("""COMPUTED_VALUE"""),"LUIS")</f>
        <v>LUIS</v>
      </c>
      <c r="AQ814" s="213"/>
      <c r="AR814" s="213"/>
      <c r="AS814" s="213"/>
      <c r="AT814" s="213"/>
      <c r="AU814" s="213"/>
      <c r="AV814" s="213"/>
      <c r="AW814" s="213"/>
      <c r="AX814" s="213"/>
      <c r="AY814" s="213"/>
      <c r="AZ814" s="213"/>
      <c r="BA814" s="213"/>
      <c r="BB814" s="213"/>
      <c r="BC814" s="213"/>
      <c r="BD814" s="213"/>
    </row>
    <row r="815">
      <c r="A815" s="213">
        <f>IFERROR(__xludf.DUMMYFUNCTION("""COMPUTED_VALUE"""),2496.0)</f>
        <v>2496</v>
      </c>
      <c r="B815" s="213" t="str">
        <f>IFERROR(__xludf.DUMMYFUNCTION("""COMPUTED_VALUE"""),"MANUEL ANTONIO MESONES MURO")</f>
        <v>MANUEL ANTONIO MESONES MURO</v>
      </c>
      <c r="C815" s="213" t="str">
        <f>IFERROR(__xludf.DUMMYFUNCTION("""COMPUTED_VALUE"""),"TALLER SFT DE CONSTRUCCIONES METÁLICAS")</f>
        <v>TALLER SFT DE CONSTRUCCIONES METÁLICAS</v>
      </c>
      <c r="D815" s="213" t="str">
        <f>IFERROR(__xludf.DUMMYFUNCTION("""COMPUTED_VALUE"""),"HERRAMIENTAS")</f>
        <v>HERRAMIENTAS</v>
      </c>
      <c r="E815" s="213" t="str">
        <f>IFERROR(__xludf.DUMMYFUNCTION("""COMPUTED_VALUE"""),"HER-114")</f>
        <v>HER-114</v>
      </c>
      <c r="F815" s="213" t="str">
        <f>IFERROR(__xludf.DUMMYFUNCTION("""COMPUTED_VALUE"""),"HER-114")</f>
        <v>HER-114</v>
      </c>
      <c r="G815" s="213"/>
      <c r="H815" s="213" t="str">
        <f>IFERROR(__xludf.DUMMYFUNCTION("""COMPUTED_VALUE"""),"JUEGO DE CINCEL")</f>
        <v>JUEGO DE CINCEL</v>
      </c>
      <c r="I815" s="213" t="str">
        <f>IFERROR(__xludf.DUMMYFUNCTION("""COMPUTED_VALUE"""),"Juego de 3
-       Cincel plano 14 x 250 x 20 mm
-       Cincel de pala 14x 250 x 40 mm
-       Cincel 14 x 250 mm")</f>
        <v>Juego de 3
-       Cincel plano 14 x 250 x 20 mm
-       Cincel de pala 14x 250 x 40 mm
-       Cincel 14 x 250 mm</v>
      </c>
      <c r="J815" s="213">
        <f>IFERROR(__xludf.DUMMYFUNCTION("""COMPUTED_VALUE"""),3.0)</f>
        <v>3</v>
      </c>
      <c r="K815" s="213" t="str">
        <f>IFERROR(__xludf.DUMMYFUNCTION("""COMPUTED_VALUE"""),"90 DÍAS CALENDARIO")</f>
        <v>90 DÍAS CALENDARIO</v>
      </c>
      <c r="L815" s="213" t="str">
        <f>IFERROR(__xludf.DUMMYFUNCTION("""COMPUTED_VALUE"""),"")</f>
        <v/>
      </c>
      <c r="M815" s="213">
        <f>IFERROR(__xludf.DUMMYFUNCTION("""COMPUTED_VALUE"""),1.0)</f>
        <v>1</v>
      </c>
      <c r="N815" s="213">
        <f>IFERROR(__xludf.DUMMYFUNCTION("""COMPUTED_VALUE"""),3.0)</f>
        <v>3</v>
      </c>
      <c r="O815" s="213">
        <f>IFERROR(__xludf.DUMMYFUNCTION("""COMPUTED_VALUE"""),3.0)</f>
        <v>3</v>
      </c>
      <c r="P815" s="213"/>
      <c r="Q815" s="213"/>
      <c r="R815" s="213" t="str">
        <f>IFERROR(__xludf.DUMMYFUNCTION("""COMPUTED_VALUE"""),"SI")</f>
        <v>SI</v>
      </c>
      <c r="S815" s="213"/>
      <c r="T815" s="213" t="str">
        <f>IFERROR(__xludf.DUMMYFUNCTION("""COMPUTED_VALUE"""),"SI")</f>
        <v>SI</v>
      </c>
      <c r="U815" s="213" t="str">
        <f>IFERROR(__xludf.DUMMYFUNCTION("""COMPUTED_VALUE"""),"SI")</f>
        <v>SI</v>
      </c>
      <c r="V815" s="213" t="str">
        <f>IFERROR(__xludf.DUMMYFUNCTION("""COMPUTED_VALUE"""),"-")</f>
        <v>-</v>
      </c>
      <c r="W815" s="213" t="str">
        <f>IFERROR(__xludf.DUMMYFUNCTION("""COMPUTED_VALUE"""),"-")</f>
        <v>-</v>
      </c>
      <c r="X815" s="213" t="str">
        <f>IFERROR(__xludf.DUMMYFUNCTION("""COMPUTED_VALUE"""),"BOSCH")</f>
        <v>BOSCH</v>
      </c>
      <c r="Y815" s="213" t="str">
        <f>IFERROR(__xludf.DUMMYFUNCTION("""COMPUTED_VALUE"""),"SDS-Plus 3 Piezas Punta Plano y Pala")</f>
        <v>SDS-Plus 3 Piezas Punta Plano y Pala</v>
      </c>
      <c r="Z815" s="215" t="str">
        <f>IFERROR(__xludf.DUMMYFUNCTION("""COMPUTED_VALUE"""),"https://drive.google.com/file/d/1XCyX6rb6U7248SxlK8q6Y7HeWSDHD232/view")</f>
        <v>https://drive.google.com/file/d/1XCyX6rb6U7248SxlK8q6Y7HeWSDHD232/view</v>
      </c>
      <c r="AA815" s="213" t="str">
        <f>IFERROR(__xludf.DUMMYFUNCTION("""COMPUTED_VALUE"""),"HER-114 JUEGO DE CINCEL - CET")</f>
        <v>HER-114 JUEGO DE CINCEL - CET</v>
      </c>
      <c r="AB815" s="213"/>
      <c r="AC815" s="213"/>
      <c r="AD815" s="213"/>
      <c r="AE815" s="213"/>
      <c r="AF815" s="213"/>
      <c r="AG815" s="213"/>
      <c r="AH815" s="213"/>
      <c r="AI815" s="213"/>
      <c r="AJ815" s="213"/>
      <c r="AK815" s="213"/>
      <c r="AL815" s="213"/>
      <c r="AM815" s="213"/>
      <c r="AN815" s="213"/>
      <c r="AO815" s="213"/>
      <c r="AP815" s="213" t="str">
        <f>IFERROR(__xludf.DUMMYFUNCTION("""COMPUTED_VALUE"""),"LUIS")</f>
        <v>LUIS</v>
      </c>
      <c r="AQ815" s="213"/>
      <c r="AR815" s="213"/>
      <c r="AS815" s="213"/>
      <c r="AT815" s="213"/>
      <c r="AU815" s="213"/>
      <c r="AV815" s="213"/>
      <c r="AW815" s="213"/>
      <c r="AX815" s="213"/>
      <c r="AY815" s="213"/>
      <c r="AZ815" s="213"/>
      <c r="BA815" s="213"/>
      <c r="BB815" s="213"/>
      <c r="BC815" s="213"/>
      <c r="BD815" s="213"/>
    </row>
    <row r="816">
      <c r="A816" s="213">
        <f>IFERROR(__xludf.DUMMYFUNCTION("""COMPUTED_VALUE"""),2498.0)</f>
        <v>2498</v>
      </c>
      <c r="B816" s="213" t="str">
        <f>IFERROR(__xludf.DUMMYFUNCTION("""COMPUTED_VALUE"""),"MANUEL ANTONIO MESONES MURO")</f>
        <v>MANUEL ANTONIO MESONES MURO</v>
      </c>
      <c r="C816" s="213" t="str">
        <f>IFERROR(__xludf.DUMMYFUNCTION("""COMPUTED_VALUE"""),"TALLER SFT DE CONSTRUCCIONES METÁLICAS")</f>
        <v>TALLER SFT DE CONSTRUCCIONES METÁLICAS</v>
      </c>
      <c r="D816" s="213" t="str">
        <f>IFERROR(__xludf.DUMMYFUNCTION("""COMPUTED_VALUE"""),"HERRAMIENTAS")</f>
        <v>HERRAMIENTAS</v>
      </c>
      <c r="E816" s="213" t="str">
        <f>IFERROR(__xludf.DUMMYFUNCTION("""COMPUTED_VALUE"""),"COM-137")</f>
        <v>COM-137</v>
      </c>
      <c r="F816" s="213" t="str">
        <f>IFERROR(__xludf.DUMMYFUNCTION("""COMPUTED_VALUE"""),"COM-137")</f>
        <v>COM-137</v>
      </c>
      <c r="G816" s="213"/>
      <c r="H816" s="213" t="str">
        <f>IFERROR(__xludf.DUMMYFUNCTION("""COMPUTED_VALUE"""),"JUEGO DE COMPAS DE PUNTA")</f>
        <v>JUEGO DE COMPAS DE PUNTA</v>
      </c>
      <c r="I816" s="213" t="str">
        <f>IFERROR(__xludf.DUMMYFUNCTION("""COMPUTED_VALUE"""),"Juego de 02 compases:
-       01 punta para medida interior
-       01 punta para medida exterior De acero templado en las puntas Pavonado")</f>
        <v>Juego de 02 compases:
-       01 punta para medida interior
-       01 punta para medida exterior De acero templado en las puntas Pavonado</v>
      </c>
      <c r="J816" s="213">
        <f>IFERROR(__xludf.DUMMYFUNCTION("""COMPUTED_VALUE"""),3.0)</f>
        <v>3</v>
      </c>
      <c r="K816" s="213" t="str">
        <f>IFERROR(__xludf.DUMMYFUNCTION("""COMPUTED_VALUE"""),"90 DÍAS CALENDARIO")</f>
        <v>90 DÍAS CALENDARIO</v>
      </c>
      <c r="L816" s="213" t="str">
        <f>IFERROR(__xludf.DUMMYFUNCTION("""COMPUTED_VALUE"""),"")</f>
        <v/>
      </c>
      <c r="M816" s="213">
        <f>IFERROR(__xludf.DUMMYFUNCTION("""COMPUTED_VALUE"""),1.0)</f>
        <v>1</v>
      </c>
      <c r="N816" s="213">
        <f>IFERROR(__xludf.DUMMYFUNCTION("""COMPUTED_VALUE"""),3.0)</f>
        <v>3</v>
      </c>
      <c r="O816" s="213">
        <f>IFERROR(__xludf.DUMMYFUNCTION("""COMPUTED_VALUE"""),3.0)</f>
        <v>3</v>
      </c>
      <c r="P816" s="213"/>
      <c r="Q816" s="213"/>
      <c r="R816" s="213" t="str">
        <f>IFERROR(__xludf.DUMMYFUNCTION("""COMPUTED_VALUE"""),"SI")</f>
        <v>SI</v>
      </c>
      <c r="S816" s="213"/>
      <c r="T816" s="213" t="str">
        <f>IFERROR(__xludf.DUMMYFUNCTION("""COMPUTED_VALUE"""),"SI")</f>
        <v>SI</v>
      </c>
      <c r="U816" s="213" t="str">
        <f>IFERROR(__xludf.DUMMYFUNCTION("""COMPUTED_VALUE"""),"SI")</f>
        <v>SI</v>
      </c>
      <c r="V816" s="213" t="str">
        <f>IFERROR(__xludf.DUMMYFUNCTION("""COMPUTED_VALUE"""),"-")</f>
        <v>-</v>
      </c>
      <c r="W816" s="213" t="str">
        <f>IFERROR(__xludf.DUMMYFUNCTION("""COMPUTED_VALUE"""),"-")</f>
        <v>-</v>
      </c>
      <c r="X816" s="213" t="str">
        <f>IFERROR(__xludf.DUMMYFUNCTION("""COMPUTED_VALUE"""),"Vogel")</f>
        <v>Vogel</v>
      </c>
      <c r="Y816" s="213">
        <f>IFERROR(__xludf.DUMMYFUNCTION("""COMPUTED_VALUE"""),302465.0)</f>
        <v>302465</v>
      </c>
      <c r="Z816" s="215" t="str">
        <f>IFERROR(__xludf.DUMMYFUNCTION("""COMPUTED_VALUE"""),"https://drive.google.com/file/d/1NuFXtOcMT9i5W5OnCzQ-7zV6qPyyioJT/view")</f>
        <v>https://drive.google.com/file/d/1NuFXtOcMT9i5W5OnCzQ-7zV6qPyyioJT/view</v>
      </c>
      <c r="AA816" s="213" t="str">
        <f>IFERROR(__xludf.DUMMYFUNCTION("""COMPUTED_VALUE"""),"COM-137 JUEGO DE COMPÁS DE PUNTA - CET")</f>
        <v>COM-137 JUEGO DE COMPÁS DE PUNTA - CET</v>
      </c>
      <c r="AB816" s="213"/>
      <c r="AC816" s="213"/>
      <c r="AD816" s="213"/>
      <c r="AE816" s="213"/>
      <c r="AF816" s="213"/>
      <c r="AG816" s="213"/>
      <c r="AH816" s="213"/>
      <c r="AI816" s="213"/>
      <c r="AJ816" s="213"/>
      <c r="AK816" s="213"/>
      <c r="AL816" s="213"/>
      <c r="AM816" s="213"/>
      <c r="AN816" s="213"/>
      <c r="AO816" s="213"/>
      <c r="AP816" s="213" t="str">
        <f>IFERROR(__xludf.DUMMYFUNCTION("""COMPUTED_VALUE"""),"LUIS")</f>
        <v>LUIS</v>
      </c>
      <c r="AQ816" s="213"/>
      <c r="AR816" s="213"/>
      <c r="AS816" s="213"/>
      <c r="AT816" s="213"/>
      <c r="AU816" s="213"/>
      <c r="AV816" s="213"/>
      <c r="AW816" s="213"/>
      <c r="AX816" s="213"/>
      <c r="AY816" s="213"/>
      <c r="AZ816" s="213"/>
      <c r="BA816" s="213"/>
      <c r="BB816" s="213"/>
      <c r="BC816" s="213"/>
      <c r="BD816" s="213"/>
    </row>
    <row r="817">
      <c r="A817" s="213">
        <f>IFERROR(__xludf.DUMMYFUNCTION("""COMPUTED_VALUE"""),356.0)</f>
        <v>356</v>
      </c>
      <c r="B817" s="213" t="str">
        <f>IFERROR(__xludf.DUMMYFUNCTION("""COMPUTED_VALUE"""),"2026 SIMON BOLIVAR")</f>
        <v>2026 SIMON BOLIVAR</v>
      </c>
      <c r="C817" s="213" t="str">
        <f>IFERROR(__xludf.DUMMYFUNCTION("""COMPUTED_VALUE"""),"TALLER SFT DE ELECTRICIDAD")</f>
        <v>TALLER SFT DE ELECTRICIDAD</v>
      </c>
      <c r="D817" s="213" t="str">
        <f>IFERROR(__xludf.DUMMYFUNCTION("""COMPUTED_VALUE"""),"HERRAMIENTAS")</f>
        <v>HERRAMIENTAS</v>
      </c>
      <c r="E817" s="213" t="str">
        <f>IFERROR(__xludf.DUMMYFUNCTION("""COMPUTED_VALUE"""),"HER-122")</f>
        <v>HER-122</v>
      </c>
      <c r="F817" s="213" t="str">
        <f>IFERROR(__xludf.DUMMYFUNCTION("""COMPUTED_VALUE"""),"HER-122")</f>
        <v>HER-122</v>
      </c>
      <c r="G817" s="213"/>
      <c r="H817" s="213" t="str">
        <f>IFERROR(__xludf.DUMMYFUNCTION("""COMPUTED_VALUE"""),"CUCHILLA DE ELECTRICISTA")</f>
        <v>CUCHILLA DE ELECTRICISTA</v>
      </c>
      <c r="I817" s="213" t="str">
        <f>IFERROR(__xludf.DUMMYFUNCTION("""COMPUTED_VALUE"""),"· Características Técnicas:
- Mango recubierto de material aislante con tope de seguridad
- Hoja en acero al cromo vanadio
- Tope de seguridad para la mano
- Dimensiones mínimas: 200 mm de largo y filo de corte de 50 mm.")</f>
        <v>· Características Técnicas:
- Mango recubierto de material aislante con tope de seguridad
- Hoja en acero al cromo vanadio
- Tope de seguridad para la mano
- Dimensiones mínimas: 200 mm de largo y filo de corte de 50 mm.</v>
      </c>
      <c r="J817" s="213">
        <f>IFERROR(__xludf.DUMMYFUNCTION("""COMPUTED_VALUE"""),3.0)</f>
        <v>3</v>
      </c>
      <c r="K817" s="213" t="str">
        <f>IFERROR(__xludf.DUMMYFUNCTION("""COMPUTED_VALUE"""),"90 DÍAS CALENDARIO")</f>
        <v>90 DÍAS CALENDARIO</v>
      </c>
      <c r="L817" s="213" t="str">
        <f>IFERROR(__xludf.DUMMYFUNCTION("""COMPUTED_VALUE"""),"")</f>
        <v/>
      </c>
      <c r="M817" s="213">
        <f>IFERROR(__xludf.DUMMYFUNCTION("""COMPUTED_VALUE"""),1.0)</f>
        <v>1</v>
      </c>
      <c r="N817" s="213">
        <f>IFERROR(__xludf.DUMMYFUNCTION("""COMPUTED_VALUE"""),5.0)</f>
        <v>5</v>
      </c>
      <c r="O817" s="213">
        <f>IFERROR(__xludf.DUMMYFUNCTION("""COMPUTED_VALUE"""),5.0)</f>
        <v>5</v>
      </c>
      <c r="P817" s="213"/>
      <c r="Q817" s="213"/>
      <c r="R817" s="213"/>
      <c r="S817" s="213"/>
      <c r="T817" s="213" t="str">
        <f>IFERROR(__xludf.DUMMYFUNCTION("""COMPUTED_VALUE"""),"NO")</f>
        <v>NO</v>
      </c>
      <c r="U817" s="213" t="str">
        <f>IFERROR(__xludf.DUMMYFUNCTION("""COMPUTED_VALUE"""),"NO")</f>
        <v>NO</v>
      </c>
      <c r="V817" s="213" t="str">
        <f>IFERROR(__xludf.DUMMYFUNCTION("""COMPUTED_VALUE"""),"NO")</f>
        <v>NO</v>
      </c>
      <c r="W817" s="213" t="str">
        <f>IFERROR(__xludf.DUMMYFUNCTION("""COMPUTED_VALUE"""),"DIMENSIONAL")</f>
        <v>DIMENSIONAL</v>
      </c>
      <c r="X817" s="213" t="str">
        <f>IFERROR(__xludf.DUMMYFUNCTION("""COMPUTED_VALUE"""),"EGA MASTER")</f>
        <v>EGA MASTER</v>
      </c>
      <c r="Y817" s="213">
        <f>IFERROR(__xludf.DUMMYFUNCTION("""COMPUTED_VALUE"""),8.412783730357E12)</f>
        <v>8412783730357</v>
      </c>
      <c r="Z817" s="215" t="str">
        <f>IFERROR(__xludf.DUMMYFUNCTION("""COMPUTED_VALUE"""),"https://massbusinessperu.com/cuchilla-electricista-recta-aislada-a-1000v-170mm")</f>
        <v>https://massbusinessperu.com/cuchilla-electricista-recta-aislada-a-1000v-170mm</v>
      </c>
      <c r="AA817" s="213" t="str">
        <f>IFERROR(__xludf.DUMMYFUNCTION("""COMPUTED_VALUE"""),"HER-122 CUCHILLA DE ELECTRICISTA - CET")</f>
        <v>HER-122 CUCHILLA DE ELECTRICISTA - CET</v>
      </c>
      <c r="AB817" s="213"/>
      <c r="AC817" s="213"/>
      <c r="AD817" s="213"/>
      <c r="AE817" s="213"/>
      <c r="AF817" s="213"/>
      <c r="AG817" s="213"/>
      <c r="AH817" s="213"/>
      <c r="AI817" s="213"/>
      <c r="AJ817" s="213"/>
      <c r="AK817" s="213"/>
      <c r="AL817" s="213"/>
      <c r="AM817" s="213"/>
      <c r="AN817" s="213"/>
      <c r="AO817" s="213"/>
      <c r="AP817" s="213" t="str">
        <f>IFERROR(__xludf.DUMMYFUNCTION("""COMPUTED_VALUE"""),"BRUNO")</f>
        <v>BRUNO</v>
      </c>
      <c r="AQ817" s="213"/>
      <c r="AR817" s="213"/>
      <c r="AS817" s="213"/>
      <c r="AT817" s="213"/>
      <c r="AU817" s="213"/>
      <c r="AV817" s="213"/>
      <c r="AW817" s="213"/>
      <c r="AX817" s="213"/>
      <c r="AY817" s="213"/>
      <c r="AZ817" s="213"/>
      <c r="BA817" s="213"/>
      <c r="BB817" s="213"/>
      <c r="BC817" s="213"/>
      <c r="BD817" s="213"/>
    </row>
    <row r="818">
      <c r="A818" s="213">
        <f>IFERROR(__xludf.DUMMYFUNCTION("""COMPUTED_VALUE"""),842.0)</f>
        <v>842</v>
      </c>
      <c r="B818" s="213" t="str">
        <f>IFERROR(__xludf.DUMMYFUNCTION("""COMPUTED_VALUE"""),"6049 RICARDO PALMA")</f>
        <v>6049 RICARDO PALMA</v>
      </c>
      <c r="C818" s="213" t="str">
        <f>IFERROR(__xludf.DUMMYFUNCTION("""COMPUTED_VALUE"""),"TALLER SFT DE ELECTRICIDAD")</f>
        <v>TALLER SFT DE ELECTRICIDAD</v>
      </c>
      <c r="D818" s="213" t="str">
        <f>IFERROR(__xludf.DUMMYFUNCTION("""COMPUTED_VALUE"""),"HERRAMIENTAS")</f>
        <v>HERRAMIENTAS</v>
      </c>
      <c r="E818" s="213" t="str">
        <f>IFERROR(__xludf.DUMMYFUNCTION("""COMPUTED_VALUE"""),"HER-122")</f>
        <v>HER-122</v>
      </c>
      <c r="F818" s="213" t="str">
        <f>IFERROR(__xludf.DUMMYFUNCTION("""COMPUTED_VALUE"""),"HER-122")</f>
        <v>HER-122</v>
      </c>
      <c r="G818" s="213"/>
      <c r="H818" s="213" t="str">
        <f>IFERROR(__xludf.DUMMYFUNCTION("""COMPUTED_VALUE"""),"CUCHILLA DE ELECTRICISTA")</f>
        <v>CUCHILLA DE ELECTRICISTA</v>
      </c>
      <c r="I818" s="213" t="str">
        <f>IFERROR(__xludf.DUMMYFUNCTION("""COMPUTED_VALUE"""),"· Características Técnicas:
- Mango recubierto de material aislante con tope de seguridad
- Hoja en acero al cromo vanadio
- Tope de seguridad para la mano
- Dimensiones mínimas: 200 mm de largo y filo de corte de 50 mm.")</f>
        <v>· Características Técnicas:
- Mango recubierto de material aislante con tope de seguridad
- Hoja en acero al cromo vanadio
- Tope de seguridad para la mano
- Dimensiones mínimas: 200 mm de largo y filo de corte de 50 mm.</v>
      </c>
      <c r="J818" s="213">
        <f>IFERROR(__xludf.DUMMYFUNCTION("""COMPUTED_VALUE"""),3.0)</f>
        <v>3</v>
      </c>
      <c r="K818" s="213" t="str">
        <f>IFERROR(__xludf.DUMMYFUNCTION("""COMPUTED_VALUE"""),"90 DÍAS CALENDARIO")</f>
        <v>90 DÍAS CALENDARIO</v>
      </c>
      <c r="L818" s="213" t="str">
        <f>IFERROR(__xludf.DUMMYFUNCTION("""COMPUTED_VALUE"""),"")</f>
        <v/>
      </c>
      <c r="M818" s="213">
        <f>IFERROR(__xludf.DUMMYFUNCTION("""COMPUTED_VALUE"""),1.0)</f>
        <v>1</v>
      </c>
      <c r="N818" s="213">
        <f>IFERROR(__xludf.DUMMYFUNCTION("""COMPUTED_VALUE"""),5.0)</f>
        <v>5</v>
      </c>
      <c r="O818" s="213">
        <f>IFERROR(__xludf.DUMMYFUNCTION("""COMPUTED_VALUE"""),5.0)</f>
        <v>5</v>
      </c>
      <c r="P818" s="213"/>
      <c r="Q818" s="213"/>
      <c r="R818" s="213"/>
      <c r="S818" s="213"/>
      <c r="T818" s="213" t="str">
        <f>IFERROR(__xludf.DUMMYFUNCTION("""COMPUTED_VALUE"""),"NO")</f>
        <v>NO</v>
      </c>
      <c r="U818" s="213" t="str">
        <f>IFERROR(__xludf.DUMMYFUNCTION("""COMPUTED_VALUE"""),"NO")</f>
        <v>NO</v>
      </c>
      <c r="V818" s="213" t="str">
        <f>IFERROR(__xludf.DUMMYFUNCTION("""COMPUTED_VALUE"""),"NO")</f>
        <v>NO</v>
      </c>
      <c r="W818" s="213" t="str">
        <f>IFERROR(__xludf.DUMMYFUNCTION("""COMPUTED_VALUE"""),"DIMENSIONAL")</f>
        <v>DIMENSIONAL</v>
      </c>
      <c r="X818" s="213" t="str">
        <f>IFERROR(__xludf.DUMMYFUNCTION("""COMPUTED_VALUE"""),"EGA MASTER")</f>
        <v>EGA MASTER</v>
      </c>
      <c r="Y818" s="213">
        <f>IFERROR(__xludf.DUMMYFUNCTION("""COMPUTED_VALUE"""),8.412783730357E12)</f>
        <v>8412783730357</v>
      </c>
      <c r="Z818" s="215" t="str">
        <f>IFERROR(__xludf.DUMMYFUNCTION("""COMPUTED_VALUE"""),"https://massbusinessperu.com/cuchilla-electricista-recta-aislada-a-1000v-170mm")</f>
        <v>https://massbusinessperu.com/cuchilla-electricista-recta-aislada-a-1000v-170mm</v>
      </c>
      <c r="AA818" s="213" t="str">
        <f>IFERROR(__xludf.DUMMYFUNCTION("""COMPUTED_VALUE"""),"HER-122 CUCHILLA DE ELECTRICISTA - CET")</f>
        <v>HER-122 CUCHILLA DE ELECTRICISTA - CET</v>
      </c>
      <c r="AB818" s="213"/>
      <c r="AC818" s="213"/>
      <c r="AD818" s="213"/>
      <c r="AE818" s="213"/>
      <c r="AF818" s="213"/>
      <c r="AG818" s="213"/>
      <c r="AH818" s="213"/>
      <c r="AI818" s="213"/>
      <c r="AJ818" s="213"/>
      <c r="AK818" s="213"/>
      <c r="AL818" s="213"/>
      <c r="AM818" s="213"/>
      <c r="AN818" s="213"/>
      <c r="AO818" s="213"/>
      <c r="AP818" s="213" t="str">
        <f>IFERROR(__xludf.DUMMYFUNCTION("""COMPUTED_VALUE"""),"BRUNO")</f>
        <v>BRUNO</v>
      </c>
      <c r="AQ818" s="213"/>
      <c r="AR818" s="213"/>
      <c r="AS818" s="213"/>
      <c r="AT818" s="213"/>
      <c r="AU818" s="213"/>
      <c r="AV818" s="213"/>
      <c r="AW818" s="213"/>
      <c r="AX818" s="213"/>
      <c r="AY818" s="213"/>
      <c r="AZ818" s="213"/>
      <c r="BA818" s="213"/>
      <c r="BB818" s="213"/>
      <c r="BC818" s="213"/>
      <c r="BD818" s="213"/>
    </row>
    <row r="819">
      <c r="A819" s="213">
        <f>IFERROR(__xludf.DUMMYFUNCTION("""COMPUTED_VALUE"""),1264.0)</f>
        <v>1264</v>
      </c>
      <c r="B819" s="213" t="str">
        <f>IFERROR(__xludf.DUMMYFUNCTION("""COMPUTED_VALUE"""),"GUILLERMO E. BILLINGHURST ")</f>
        <v>GUILLERMO E. BILLINGHURST </v>
      </c>
      <c r="C819" s="213" t="str">
        <f>IFERROR(__xludf.DUMMYFUNCTION("""COMPUTED_VALUE"""),"TALLER SFT DE ELECTRICIDAD")</f>
        <v>TALLER SFT DE ELECTRICIDAD</v>
      </c>
      <c r="D819" s="213" t="str">
        <f>IFERROR(__xludf.DUMMYFUNCTION("""COMPUTED_VALUE"""),"HERRAMIENTAS")</f>
        <v>HERRAMIENTAS</v>
      </c>
      <c r="E819" s="213" t="str">
        <f>IFERROR(__xludf.DUMMYFUNCTION("""COMPUTED_VALUE"""),"HER-122")</f>
        <v>HER-122</v>
      </c>
      <c r="F819" s="213" t="str">
        <f>IFERROR(__xludf.DUMMYFUNCTION("""COMPUTED_VALUE"""),"HER-122")</f>
        <v>HER-122</v>
      </c>
      <c r="G819" s="213"/>
      <c r="H819" s="213" t="str">
        <f>IFERROR(__xludf.DUMMYFUNCTION("""COMPUTED_VALUE"""),"CUCHILLA DE ELECTRICISTA")</f>
        <v>CUCHILLA DE ELECTRICISTA</v>
      </c>
      <c r="I819" s="213" t="str">
        <f>IFERROR(__xludf.DUMMYFUNCTION("""COMPUTED_VALUE"""),"· Características Técnicas:
- Mango recubierto de material aislante con tope de seguridad
- Hoja en acero al cromo vanadio
- Tope de seguridad para la mano
- Dimensiones mínimas: 200 mm de largo y filo de corte de 50 mm.")</f>
        <v>· Características Técnicas:
- Mango recubierto de material aislante con tope de seguridad
- Hoja en acero al cromo vanadio
- Tope de seguridad para la mano
- Dimensiones mínimas: 200 mm de largo y filo de corte de 50 mm.</v>
      </c>
      <c r="J819" s="213">
        <f>IFERROR(__xludf.DUMMYFUNCTION("""COMPUTED_VALUE"""),3.0)</f>
        <v>3</v>
      </c>
      <c r="K819" s="213" t="str">
        <f>IFERROR(__xludf.DUMMYFUNCTION("""COMPUTED_VALUE"""),"90 DÍAS CALENDARIO")</f>
        <v>90 DÍAS CALENDARIO</v>
      </c>
      <c r="L819" s="213" t="str">
        <f>IFERROR(__xludf.DUMMYFUNCTION("""COMPUTED_VALUE"""),"")</f>
        <v/>
      </c>
      <c r="M819" s="213">
        <f>IFERROR(__xludf.DUMMYFUNCTION("""COMPUTED_VALUE"""),1.0)</f>
        <v>1</v>
      </c>
      <c r="N819" s="213">
        <f>IFERROR(__xludf.DUMMYFUNCTION("""COMPUTED_VALUE"""),5.0)</f>
        <v>5</v>
      </c>
      <c r="O819" s="213">
        <f>IFERROR(__xludf.DUMMYFUNCTION("""COMPUTED_VALUE"""),5.0)</f>
        <v>5</v>
      </c>
      <c r="P819" s="213"/>
      <c r="Q819" s="213"/>
      <c r="R819" s="213"/>
      <c r="S819" s="213"/>
      <c r="T819" s="213" t="str">
        <f>IFERROR(__xludf.DUMMYFUNCTION("""COMPUTED_VALUE"""),"NO")</f>
        <v>NO</v>
      </c>
      <c r="U819" s="213" t="str">
        <f>IFERROR(__xludf.DUMMYFUNCTION("""COMPUTED_VALUE"""),"NO")</f>
        <v>NO</v>
      </c>
      <c r="V819" s="213" t="str">
        <f>IFERROR(__xludf.DUMMYFUNCTION("""COMPUTED_VALUE"""),"NO")</f>
        <v>NO</v>
      </c>
      <c r="W819" s="213" t="str">
        <f>IFERROR(__xludf.DUMMYFUNCTION("""COMPUTED_VALUE"""),"DIMENSIONAL")</f>
        <v>DIMENSIONAL</v>
      </c>
      <c r="X819" s="213" t="str">
        <f>IFERROR(__xludf.DUMMYFUNCTION("""COMPUTED_VALUE"""),"EGA MASTER")</f>
        <v>EGA MASTER</v>
      </c>
      <c r="Y819" s="213">
        <f>IFERROR(__xludf.DUMMYFUNCTION("""COMPUTED_VALUE"""),8.412783730357E12)</f>
        <v>8412783730357</v>
      </c>
      <c r="Z819" s="215" t="str">
        <f>IFERROR(__xludf.DUMMYFUNCTION("""COMPUTED_VALUE"""),"https://massbusinessperu.com/cuchilla-electricista-recta-aislada-a-1000v-170mm")</f>
        <v>https://massbusinessperu.com/cuchilla-electricista-recta-aislada-a-1000v-170mm</v>
      </c>
      <c r="AA819" s="213" t="str">
        <f>IFERROR(__xludf.DUMMYFUNCTION("""COMPUTED_VALUE"""),"HER-122 CUCHILLA DE ELECTRICISTA - CET")</f>
        <v>HER-122 CUCHILLA DE ELECTRICISTA - CET</v>
      </c>
      <c r="AB819" s="213"/>
      <c r="AC819" s="213"/>
      <c r="AD819" s="213"/>
      <c r="AE819" s="213"/>
      <c r="AF819" s="213"/>
      <c r="AG819" s="213"/>
      <c r="AH819" s="213"/>
      <c r="AI819" s="213"/>
      <c r="AJ819" s="213"/>
      <c r="AK819" s="213"/>
      <c r="AL819" s="213"/>
      <c r="AM819" s="213"/>
      <c r="AN819" s="213"/>
      <c r="AO819" s="213"/>
      <c r="AP819" s="213" t="str">
        <f>IFERROR(__xludf.DUMMYFUNCTION("""COMPUTED_VALUE"""),"BRUNO")</f>
        <v>BRUNO</v>
      </c>
      <c r="AQ819" s="213"/>
      <c r="AR819" s="213"/>
      <c r="AS819" s="213"/>
      <c r="AT819" s="213"/>
      <c r="AU819" s="213"/>
      <c r="AV819" s="213"/>
      <c r="AW819" s="213"/>
      <c r="AX819" s="213"/>
      <c r="AY819" s="213"/>
      <c r="AZ819" s="213"/>
      <c r="BA819" s="213"/>
      <c r="BB819" s="213"/>
      <c r="BC819" s="213"/>
      <c r="BD819" s="213"/>
    </row>
    <row r="820">
      <c r="A820" s="213">
        <f>IFERROR(__xludf.DUMMYFUNCTION("""COMPUTED_VALUE"""),185.0)</f>
        <v>185</v>
      </c>
      <c r="B820" s="213" t="str">
        <f>IFERROR(__xludf.DUMMYFUNCTION("""COMPUTED_VALUE"""),"2026 SIMON BOLIVAR")</f>
        <v>2026 SIMON BOLIVAR</v>
      </c>
      <c r="C820" s="213" t="str">
        <f>IFERROR(__xludf.DUMMYFUNCTION("""COMPUTED_VALUE"""),"TALLER SFT DE INDUSTRIA DEL VESTIDO")</f>
        <v>TALLER SFT DE INDUSTRIA DEL VESTIDO</v>
      </c>
      <c r="D820" s="213" t="str">
        <f>IFERROR(__xludf.DUMMYFUNCTION("""COMPUTED_VALUE"""),"HERRAMIENTAS")</f>
        <v>HERRAMIENTAS</v>
      </c>
      <c r="E820" s="213" t="str">
        <f>IFERROR(__xludf.DUMMYFUNCTION("""COMPUTED_VALUE"""),"HER-125")</f>
        <v>HER-125</v>
      </c>
      <c r="F820" s="213" t="str">
        <f>IFERROR(__xludf.DUMMYFUNCTION("""COMPUTED_VALUE"""),"HER-125")</f>
        <v>HER-125</v>
      </c>
      <c r="G820" s="213"/>
      <c r="H820" s="213" t="str">
        <f>IFERROR(__xludf.DUMMYFUNCTION("""COMPUTED_VALUE"""),"JUEGO DE DESTORNILLADORES")</f>
        <v>JUEGO DE DESTORNILLADORES</v>
      </c>
      <c r="I820" s="213" t="str">
        <f>IFERROR(__xludf.DUMMYFUNCTION("""COMPUTED_VALUE"""),"06 destornilladores, con mango bimaterial con orificio integrado. Varilla fabricada en acero templado y cromado.
Punta con tratamiento anti-corrosión. Composición y dimensiones:
- Destornillador punta plana de:
- 3 x 75 mm
- 4 x 100 mm
- 5,5 x 125 mm
- 6,"&amp;"5 x 150 mm
- Destornillador punta Phillips de:
-  PH 1 x 100 mm
-  PH 2 x 125 mm")</f>
        <v>06 destornilladores, con mango bimaterial con orificio integrado. Varilla fabricada en acero templado y cromado.
Punta con tratamiento anti-corrosión. Composición y dimensiones:
- Destornillador punta plana de:
- 3 x 75 mm
- 4 x 100 mm
- 5,5 x 125 mm
- 6,5 x 150 mm
- Destornillador punta Phillips de:
-  PH 1 x 100 mm
-  PH 2 x 125 mm</v>
      </c>
      <c r="J820" s="213">
        <f>IFERROR(__xludf.DUMMYFUNCTION("""COMPUTED_VALUE"""),3.0)</f>
        <v>3</v>
      </c>
      <c r="K820" s="213" t="str">
        <f>IFERROR(__xludf.DUMMYFUNCTION("""COMPUTED_VALUE"""),"90 DÍAS CALENDARIO")</f>
        <v>90 DÍAS CALENDARIO</v>
      </c>
      <c r="L820" s="213" t="str">
        <f>IFERROR(__xludf.DUMMYFUNCTION("""COMPUTED_VALUE"""),"")</f>
        <v/>
      </c>
      <c r="M820" s="213">
        <f>IFERROR(__xludf.DUMMYFUNCTION("""COMPUTED_VALUE"""),1.0)</f>
        <v>1</v>
      </c>
      <c r="N820" s="213">
        <f>IFERROR(__xludf.DUMMYFUNCTION("""COMPUTED_VALUE"""),1.0)</f>
        <v>1</v>
      </c>
      <c r="O820" s="213">
        <f>IFERROR(__xludf.DUMMYFUNCTION("""COMPUTED_VALUE"""),1.0)</f>
        <v>1</v>
      </c>
      <c r="P820" s="213"/>
      <c r="Q820" s="213"/>
      <c r="R820" s="213" t="str">
        <f>IFERROR(__xludf.DUMMYFUNCTION("""COMPUTED_VALUE"""),"SI")</f>
        <v>SI</v>
      </c>
      <c r="S820" s="213"/>
      <c r="T820" s="213" t="str">
        <f>IFERROR(__xludf.DUMMYFUNCTION("""COMPUTED_VALUE"""),"CONSULTA FINAL")</f>
        <v>CONSULTA FINAL</v>
      </c>
      <c r="U820" s="213" t="str">
        <f>IFERROR(__xludf.DUMMYFUNCTION("""COMPUTED_VALUE"""),"NO")</f>
        <v>NO</v>
      </c>
      <c r="V820" s="213" t="str">
        <f>IFERROR(__xludf.DUMMYFUNCTION("""COMPUTED_VALUE"""),"SUSTENTO")</f>
        <v>SUSTENTO</v>
      </c>
      <c r="W820" s="213" t="str">
        <f>IFERROR(__xludf.DUMMYFUNCTION("""COMPUTED_VALUE"""),"EQU TEC")</f>
        <v>EQU TEC</v>
      </c>
      <c r="X820" s="213" t="str">
        <f>IFERROR(__xludf.DUMMYFUNCTION("""COMPUTED_VALUE"""),"Bahco")</f>
        <v>Bahco</v>
      </c>
      <c r="Y820" s="213" t="str">
        <f>IFERROR(__xludf.DUMMYFUNCTION("""COMPUTED_VALUE"""),"620-6")</f>
        <v>620-6</v>
      </c>
      <c r="Z820" s="215" t="str">
        <f>IFERROR(__xludf.DUMMYFUNCTION("""COMPUTED_VALUE"""),"https://cahema.pe/juego-de-desarmador/16797-juego-de-desarmadores-aislados-6-piezas-bahco-620-6-7314150128594.html")</f>
        <v>https://cahema.pe/juego-de-desarmador/16797-juego-de-desarmadores-aislados-6-piezas-bahco-620-6-7314150128594.html</v>
      </c>
      <c r="AA820" s="213" t="str">
        <f>IFERROR(__xludf.DUMMYFUNCTION("""COMPUTED_VALUE"""),"HER-125 JUEGO DE DESTORNILLADORES - CET")</f>
        <v>HER-125 JUEGO DE DESTORNILLADORES - CET</v>
      </c>
      <c r="AB820" s="213"/>
      <c r="AC820" s="213"/>
      <c r="AD820" s="213"/>
      <c r="AE820" s="213"/>
      <c r="AF820" s="213"/>
      <c r="AG820" s="213"/>
      <c r="AH820" s="213"/>
      <c r="AI820" s="213"/>
      <c r="AJ820" s="213"/>
      <c r="AK820" s="213"/>
      <c r="AL820" s="213"/>
      <c r="AM820" s="213"/>
      <c r="AN820" s="213"/>
      <c r="AO820" s="213"/>
      <c r="AP820" s="213" t="str">
        <f>IFERROR(__xludf.DUMMYFUNCTION("""COMPUTED_VALUE"""),"SEBASTIAN")</f>
        <v>SEBASTIAN</v>
      </c>
      <c r="AQ820" s="213"/>
      <c r="AR820" s="213"/>
      <c r="AS820" s="213"/>
      <c r="AT820" s="213"/>
      <c r="AU820" s="213"/>
      <c r="AV820" s="213"/>
      <c r="AW820" s="213"/>
      <c r="AX820" s="213"/>
      <c r="AY820" s="213"/>
      <c r="AZ820" s="213"/>
      <c r="BA820" s="213"/>
      <c r="BB820" s="213"/>
      <c r="BC820" s="213"/>
      <c r="BD820" s="213"/>
    </row>
    <row r="821">
      <c r="A821" s="213">
        <f>IFERROR(__xludf.DUMMYFUNCTION("""COMPUTED_VALUE"""),2407.0)</f>
        <v>2407</v>
      </c>
      <c r="B821" s="213" t="str">
        <f>IFERROR(__xludf.DUMMYFUNCTION("""COMPUTED_VALUE"""),"MANUEL ANTONIO MESONES MURO")</f>
        <v>MANUEL ANTONIO MESONES MURO</v>
      </c>
      <c r="C821" s="213" t="str">
        <f>IFERROR(__xludf.DUMMYFUNCTION("""COMPUTED_VALUE"""),"TALLER SFT DE INDUSTRIA DEL VESTIDO")</f>
        <v>TALLER SFT DE INDUSTRIA DEL VESTIDO</v>
      </c>
      <c r="D821" s="213" t="str">
        <f>IFERROR(__xludf.DUMMYFUNCTION("""COMPUTED_VALUE"""),"HERRAMIENTAS")</f>
        <v>HERRAMIENTAS</v>
      </c>
      <c r="E821" s="213" t="str">
        <f>IFERROR(__xludf.DUMMYFUNCTION("""COMPUTED_VALUE"""),"HER-125")</f>
        <v>HER-125</v>
      </c>
      <c r="F821" s="213" t="str">
        <f>IFERROR(__xludf.DUMMYFUNCTION("""COMPUTED_VALUE"""),"HER-125")</f>
        <v>HER-125</v>
      </c>
      <c r="G821" s="213"/>
      <c r="H821" s="213" t="str">
        <f>IFERROR(__xludf.DUMMYFUNCTION("""COMPUTED_VALUE"""),"JUEGO DE DESTORNILLADORES")</f>
        <v>JUEGO DE DESTORNILLADORES</v>
      </c>
      <c r="I821" s="213" t="str">
        <f>IFERROR(__xludf.DUMMYFUNCTION("""COMPUTED_VALUE"""),"06 destornilladores, con mango bimaterial con orificio integrado. Varilla fabricada en acero templado y cromado.
Punta con tratamiento anti-corrosión. Composición y dimensiones:
- Destornillador punta plana de:
- 3 x 75 mm
- 4 x 100 mm
- 5,5 x 125 mm
- 6,"&amp;"5 x 150 mm
- Destornillador punta Phillips de:
-  PH 1 x 100 mm
-  PH 2 x 125 mm")</f>
        <v>06 destornilladores, con mango bimaterial con orificio integrado. Varilla fabricada en acero templado y cromado.
Punta con tratamiento anti-corrosión. Composición y dimensiones:
- Destornillador punta plana de:
- 3 x 75 mm
- 4 x 100 mm
- 5,5 x 125 mm
- 6,5 x 150 mm
- Destornillador punta Phillips de:
-  PH 1 x 100 mm
-  PH 2 x 125 mm</v>
      </c>
      <c r="J821" s="213">
        <f>IFERROR(__xludf.DUMMYFUNCTION("""COMPUTED_VALUE"""),3.0)</f>
        <v>3</v>
      </c>
      <c r="K821" s="213" t="str">
        <f>IFERROR(__xludf.DUMMYFUNCTION("""COMPUTED_VALUE"""),"90 DÍAS CALENDARIO")</f>
        <v>90 DÍAS CALENDARIO</v>
      </c>
      <c r="L821" s="213" t="str">
        <f>IFERROR(__xludf.DUMMYFUNCTION("""COMPUTED_VALUE"""),"")</f>
        <v/>
      </c>
      <c r="M821" s="213">
        <f>IFERROR(__xludf.DUMMYFUNCTION("""COMPUTED_VALUE"""),1.0)</f>
        <v>1</v>
      </c>
      <c r="N821" s="213">
        <f>IFERROR(__xludf.DUMMYFUNCTION("""COMPUTED_VALUE"""),1.0)</f>
        <v>1</v>
      </c>
      <c r="O821" s="213">
        <f>IFERROR(__xludf.DUMMYFUNCTION("""COMPUTED_VALUE"""),1.0)</f>
        <v>1</v>
      </c>
      <c r="P821" s="213"/>
      <c r="Q821" s="213"/>
      <c r="R821" s="213" t="str">
        <f>IFERROR(__xludf.DUMMYFUNCTION("""COMPUTED_VALUE"""),"SI")</f>
        <v>SI</v>
      </c>
      <c r="S821" s="213"/>
      <c r="T821" s="213" t="str">
        <f>IFERROR(__xludf.DUMMYFUNCTION("""COMPUTED_VALUE"""),"CONSULTA FINAL")</f>
        <v>CONSULTA FINAL</v>
      </c>
      <c r="U821" s="213" t="str">
        <f>IFERROR(__xludf.DUMMYFUNCTION("""COMPUTED_VALUE"""),"NO")</f>
        <v>NO</v>
      </c>
      <c r="V821" s="213" t="str">
        <f>IFERROR(__xludf.DUMMYFUNCTION("""COMPUTED_VALUE"""),"SUSTENTO")</f>
        <v>SUSTENTO</v>
      </c>
      <c r="W821" s="213" t="str">
        <f>IFERROR(__xludf.DUMMYFUNCTION("""COMPUTED_VALUE"""),"EQU TEC")</f>
        <v>EQU TEC</v>
      </c>
      <c r="X821" s="213" t="str">
        <f>IFERROR(__xludf.DUMMYFUNCTION("""COMPUTED_VALUE"""),"Bahco")</f>
        <v>Bahco</v>
      </c>
      <c r="Y821" s="213" t="str">
        <f>IFERROR(__xludf.DUMMYFUNCTION("""COMPUTED_VALUE"""),"620-6")</f>
        <v>620-6</v>
      </c>
      <c r="Z821" s="215" t="str">
        <f>IFERROR(__xludf.DUMMYFUNCTION("""COMPUTED_VALUE"""),"https://cahema.pe/juego-de-desarmador/16797-juego-de-desarmadores-aislados-6-piezas-bahco-620-6-7314150128594.html")</f>
        <v>https://cahema.pe/juego-de-desarmador/16797-juego-de-desarmadores-aislados-6-piezas-bahco-620-6-7314150128594.html</v>
      </c>
      <c r="AA821" s="213" t="str">
        <f>IFERROR(__xludf.DUMMYFUNCTION("""COMPUTED_VALUE"""),"HER-125 JUEGO DE DESTORNILLADORES - CET")</f>
        <v>HER-125 JUEGO DE DESTORNILLADORES - CET</v>
      </c>
      <c r="AB821" s="213"/>
      <c r="AC821" s="213"/>
      <c r="AD821" s="213"/>
      <c r="AE821" s="213"/>
      <c r="AF821" s="213"/>
      <c r="AG821" s="213"/>
      <c r="AH821" s="213"/>
      <c r="AI821" s="213"/>
      <c r="AJ821" s="213"/>
      <c r="AK821" s="213"/>
      <c r="AL821" s="213"/>
      <c r="AM821" s="213"/>
      <c r="AN821" s="213"/>
      <c r="AO821" s="213"/>
      <c r="AP821" s="213" t="str">
        <f>IFERROR(__xludf.DUMMYFUNCTION("""COMPUTED_VALUE"""),"SEBASTIAN")</f>
        <v>SEBASTIAN</v>
      </c>
      <c r="AQ821" s="213"/>
      <c r="AR821" s="213"/>
      <c r="AS821" s="213"/>
      <c r="AT821" s="213"/>
      <c r="AU821" s="213"/>
      <c r="AV821" s="213"/>
      <c r="AW821" s="213"/>
      <c r="AX821" s="213"/>
      <c r="AY821" s="213"/>
      <c r="AZ821" s="213"/>
      <c r="BA821" s="213"/>
      <c r="BB821" s="213"/>
      <c r="BC821" s="213"/>
      <c r="BD821" s="213"/>
    </row>
    <row r="822">
      <c r="A822" s="213">
        <f>IFERROR(__xludf.DUMMYFUNCTION("""COMPUTED_VALUE"""),944.0)</f>
        <v>944</v>
      </c>
      <c r="B822" s="213" t="str">
        <f>IFERROR(__xludf.DUMMYFUNCTION("""COMPUTED_VALUE"""),"FRANCISCO IRAZOLA")</f>
        <v>FRANCISCO IRAZOLA</v>
      </c>
      <c r="C822" s="213" t="str">
        <f>IFERROR(__xludf.DUMMYFUNCTION("""COMPUTED_VALUE"""),"TALLER SFT DE MECÁNICA AUTOMOTRIZ")</f>
        <v>TALLER SFT DE MECÁNICA AUTOMOTRIZ</v>
      </c>
      <c r="D822" s="213" t="str">
        <f>IFERROR(__xludf.DUMMYFUNCTION("""COMPUTED_VALUE"""),"HERRAMIENTAS")</f>
        <v>HERRAMIENTAS</v>
      </c>
      <c r="E822" s="213" t="str">
        <f>IFERROR(__xludf.DUMMYFUNCTION("""COMPUTED_VALUE"""),"HER-126")</f>
        <v>HER-126</v>
      </c>
      <c r="F822" s="213" t="str">
        <f>IFERROR(__xludf.DUMMYFUNCTION("""COMPUTED_VALUE"""),"HER-126")</f>
        <v>HER-126</v>
      </c>
      <c r="G822" s="213"/>
      <c r="H822" s="213" t="str">
        <f>IFERROR(__xludf.DUMMYFUNCTION("""COMPUTED_VALUE"""),"EXTRACTOR DE PALIER")</f>
        <v>EXTRACTOR DE PALIER</v>
      </c>
      <c r="I822" s="213" t="str">
        <f>IFERROR(__xludf.DUMMYFUNCTION("""COMPUTED_VALUE"""),"Herramienta adecuada para separar la junta homocinética de la trasmisión. Se fija la guillotina al palier para realizar la extracción.
Evita dañar la articulación de la junta y la transmisión. Altura regulable de mínimo 7 niveles y largo de 100 mm Fabrica"&amp;"ción en acero.")</f>
        <v>Herramienta adecuada para separar la junta homocinética de la trasmisión. Se fija la guillotina al palier para realizar la extracción.
Evita dañar la articulación de la junta y la transmisión. Altura regulable de mínimo 7 niveles y largo de 100 mm Fabricación en acero.</v>
      </c>
      <c r="J822" s="213">
        <f>IFERROR(__xludf.DUMMYFUNCTION("""COMPUTED_VALUE"""),3.0)</f>
        <v>3</v>
      </c>
      <c r="K822" s="213" t="str">
        <f>IFERROR(__xludf.DUMMYFUNCTION("""COMPUTED_VALUE"""),"90 DÍAS CALENDARIO")</f>
        <v>90 DÍAS CALENDARIO</v>
      </c>
      <c r="L822" s="213" t="str">
        <f>IFERROR(__xludf.DUMMYFUNCTION("""COMPUTED_VALUE"""),"")</f>
        <v/>
      </c>
      <c r="M822" s="213">
        <f>IFERROR(__xludf.DUMMYFUNCTION("""COMPUTED_VALUE"""),1.0)</f>
        <v>1</v>
      </c>
      <c r="N822" s="213">
        <f>IFERROR(__xludf.DUMMYFUNCTION("""COMPUTED_VALUE"""),1.0)</f>
        <v>1</v>
      </c>
      <c r="O822" s="213">
        <f>IFERROR(__xludf.DUMMYFUNCTION("""COMPUTED_VALUE"""),1.0)</f>
        <v>1</v>
      </c>
      <c r="P822" s="213"/>
      <c r="Q822" s="213"/>
      <c r="R822" s="213" t="str">
        <f>IFERROR(__xludf.DUMMYFUNCTION("""COMPUTED_VALUE"""),"SI")</f>
        <v>SI</v>
      </c>
      <c r="S822" s="213"/>
      <c r="T822" s="213" t="str">
        <f>IFERROR(__xludf.DUMMYFUNCTION("""COMPUTED_VALUE"""),"SI")</f>
        <v>SI</v>
      </c>
      <c r="U822" s="213" t="str">
        <f>IFERROR(__xludf.DUMMYFUNCTION("""COMPUTED_VALUE"""),"SI")</f>
        <v>SI</v>
      </c>
      <c r="V822" s="213" t="str">
        <f>IFERROR(__xludf.DUMMYFUNCTION("""COMPUTED_VALUE"""),"-")</f>
        <v>-</v>
      </c>
      <c r="W822" s="213" t="str">
        <f>IFERROR(__xludf.DUMMYFUNCTION("""COMPUTED_VALUE"""),"-")</f>
        <v>-</v>
      </c>
      <c r="X822" s="213" t="str">
        <f>IFERROR(__xludf.DUMMYFUNCTION("""COMPUTED_VALUE"""),"GENÉRICO")</f>
        <v>GENÉRICO</v>
      </c>
      <c r="Y822" s="213" t="str">
        <f>IFERROR(__xludf.DUMMYFUNCTION("""COMPUTED_VALUE"""),"9-Hole Universal CV Joint Puller Tool")</f>
        <v>9-Hole Universal CV Joint Puller Tool</v>
      </c>
      <c r="Z822" s="215" t="str">
        <f>IFERROR(__xludf.DUMMYFUNCTION("""COMPUTED_VALUE"""),"https://drive.google.com/file/d/1-VmHYBa8oXg1_HPTwi2nPAMoE6qassiV/view")</f>
        <v>https://drive.google.com/file/d/1-VmHYBa8oXg1_HPTwi2nPAMoE6qassiV/view</v>
      </c>
      <c r="AA822" s="213" t="str">
        <f>IFERROR(__xludf.DUMMYFUNCTION("""COMPUTED_VALUE"""),"HER-126 EXTRACTOR DE PALIER - CET")</f>
        <v>HER-126 EXTRACTOR DE PALIER - CET</v>
      </c>
      <c r="AB822" s="213"/>
      <c r="AC822" s="215" t="str">
        <f>IFERROR(__xludf.DUMMYFUNCTION("""COMPUTED_VALUE"""),"https://drive.google.com/file/d/1-VmHYBa8oXg1_HPTwi2nPAMoE6qassiV/view?usp=drive_link")</f>
        <v>https://drive.google.com/file/d/1-VmHYBa8oXg1_HPTwi2nPAMoE6qassiV/view?usp=drive_link</v>
      </c>
      <c r="AD822" s="213"/>
      <c r="AE822" s="213"/>
      <c r="AF822" s="213"/>
      <c r="AG822" s="213"/>
      <c r="AH822" s="213"/>
      <c r="AI822" s="213"/>
      <c r="AJ822" s="213"/>
      <c r="AK822" s="213"/>
      <c r="AL822" s="213"/>
      <c r="AM822" s="213"/>
      <c r="AN822" s="213"/>
      <c r="AO822" s="213"/>
      <c r="AP822" s="213" t="str">
        <f>IFERROR(__xludf.DUMMYFUNCTION("""COMPUTED_VALUE"""),"LUIS")</f>
        <v>LUIS</v>
      </c>
      <c r="AQ822" s="213"/>
      <c r="AR822" s="213"/>
      <c r="AS822" s="213"/>
      <c r="AT822" s="213"/>
      <c r="AU822" s="213"/>
      <c r="AV822" s="213"/>
      <c r="AW822" s="213"/>
      <c r="AX822" s="213"/>
      <c r="AY822" s="213"/>
      <c r="AZ822" s="213"/>
      <c r="BA822" s="213"/>
      <c r="BB822" s="213"/>
      <c r="BC822" s="213"/>
      <c r="BD822" s="213"/>
    </row>
    <row r="823">
      <c r="A823" s="213">
        <f>IFERROR(__xludf.DUMMYFUNCTION("""COMPUTED_VALUE"""),1545.0)</f>
        <v>1545</v>
      </c>
      <c r="B823" s="213" t="str">
        <f>IFERROR(__xludf.DUMMYFUNCTION("""COMPUTED_VALUE"""),"GUILLERMO E. BILLINGHURST ")</f>
        <v>GUILLERMO E. BILLINGHURST </v>
      </c>
      <c r="C823" s="213" t="str">
        <f>IFERROR(__xludf.DUMMYFUNCTION("""COMPUTED_VALUE"""),"TALLER SFT DE MECÁNICA AUTOMOTRIZ")</f>
        <v>TALLER SFT DE MECÁNICA AUTOMOTRIZ</v>
      </c>
      <c r="D823" s="213" t="str">
        <f>IFERROR(__xludf.DUMMYFUNCTION("""COMPUTED_VALUE"""),"HERRAMIENTAS")</f>
        <v>HERRAMIENTAS</v>
      </c>
      <c r="E823" s="213" t="str">
        <f>IFERROR(__xludf.DUMMYFUNCTION("""COMPUTED_VALUE"""),"HER-126")</f>
        <v>HER-126</v>
      </c>
      <c r="F823" s="213" t="str">
        <f>IFERROR(__xludf.DUMMYFUNCTION("""COMPUTED_VALUE"""),"HER-126")</f>
        <v>HER-126</v>
      </c>
      <c r="G823" s="213"/>
      <c r="H823" s="213" t="str">
        <f>IFERROR(__xludf.DUMMYFUNCTION("""COMPUTED_VALUE"""),"EXTRACTOR DE PALIER")</f>
        <v>EXTRACTOR DE PALIER</v>
      </c>
      <c r="I823" s="213" t="str">
        <f>IFERROR(__xludf.DUMMYFUNCTION("""COMPUTED_VALUE"""),"Herramienta adecuada para separar la junta homocinética de la trasmisión. Se fija la guillotina al palier para realizar la extracción.
Evita dañar la articulación de la junta y la transmisión. Altura regulable de mínimo 7 niveles y largo de 100 mm Fabrica"&amp;"ción en acero.")</f>
        <v>Herramienta adecuada para separar la junta homocinética de la trasmisión. Se fija la guillotina al palier para realizar la extracción.
Evita dañar la articulación de la junta y la transmisión. Altura regulable de mínimo 7 niveles y largo de 100 mm Fabricación en acero.</v>
      </c>
      <c r="J823" s="213">
        <f>IFERROR(__xludf.DUMMYFUNCTION("""COMPUTED_VALUE"""),3.0)</f>
        <v>3</v>
      </c>
      <c r="K823" s="213" t="str">
        <f>IFERROR(__xludf.DUMMYFUNCTION("""COMPUTED_VALUE"""),"90 DÍAS CALENDARIO")</f>
        <v>90 DÍAS CALENDARIO</v>
      </c>
      <c r="L823" s="213" t="str">
        <f>IFERROR(__xludf.DUMMYFUNCTION("""COMPUTED_VALUE"""),"")</f>
        <v/>
      </c>
      <c r="M823" s="213">
        <f>IFERROR(__xludf.DUMMYFUNCTION("""COMPUTED_VALUE"""),1.0)</f>
        <v>1</v>
      </c>
      <c r="N823" s="213">
        <f>IFERROR(__xludf.DUMMYFUNCTION("""COMPUTED_VALUE"""),1.0)</f>
        <v>1</v>
      </c>
      <c r="O823" s="213">
        <f>IFERROR(__xludf.DUMMYFUNCTION("""COMPUTED_VALUE"""),1.0)</f>
        <v>1</v>
      </c>
      <c r="P823" s="213"/>
      <c r="Q823" s="213"/>
      <c r="R823" s="213" t="str">
        <f>IFERROR(__xludf.DUMMYFUNCTION("""COMPUTED_VALUE"""),"SI")</f>
        <v>SI</v>
      </c>
      <c r="S823" s="213"/>
      <c r="T823" s="213" t="str">
        <f>IFERROR(__xludf.DUMMYFUNCTION("""COMPUTED_VALUE"""),"SI")</f>
        <v>SI</v>
      </c>
      <c r="U823" s="213" t="str">
        <f>IFERROR(__xludf.DUMMYFUNCTION("""COMPUTED_VALUE"""),"SI")</f>
        <v>SI</v>
      </c>
      <c r="V823" s="213" t="str">
        <f>IFERROR(__xludf.DUMMYFUNCTION("""COMPUTED_VALUE"""),"-")</f>
        <v>-</v>
      </c>
      <c r="W823" s="213" t="str">
        <f>IFERROR(__xludf.DUMMYFUNCTION("""COMPUTED_VALUE"""),"-")</f>
        <v>-</v>
      </c>
      <c r="X823" s="213" t="str">
        <f>IFERROR(__xludf.DUMMYFUNCTION("""COMPUTED_VALUE"""),"GENÉRICO")</f>
        <v>GENÉRICO</v>
      </c>
      <c r="Y823" s="213" t="str">
        <f>IFERROR(__xludf.DUMMYFUNCTION("""COMPUTED_VALUE"""),"9-Hole Universal CV Joint Puller Tool")</f>
        <v>9-Hole Universal CV Joint Puller Tool</v>
      </c>
      <c r="Z823" s="215" t="str">
        <f>IFERROR(__xludf.DUMMYFUNCTION("""COMPUTED_VALUE"""),"https://drive.google.com/file/d/1-VmHYBa8oXg1_HPTwi2nPAMoE6qassiV/view")</f>
        <v>https://drive.google.com/file/d/1-VmHYBa8oXg1_HPTwi2nPAMoE6qassiV/view</v>
      </c>
      <c r="AA823" s="213" t="str">
        <f>IFERROR(__xludf.DUMMYFUNCTION("""COMPUTED_VALUE"""),"HER-126 EXTRACTOR DE PALIER - CET")</f>
        <v>HER-126 EXTRACTOR DE PALIER - CET</v>
      </c>
      <c r="AB823" s="213"/>
      <c r="AC823" s="215" t="str">
        <f>IFERROR(__xludf.DUMMYFUNCTION("""COMPUTED_VALUE"""),"https://drive.google.com/file/d/1-VmHYBa8oXg1_HPTwi2nPAMoE6qassiV/view?usp=drive_link")</f>
        <v>https://drive.google.com/file/d/1-VmHYBa8oXg1_HPTwi2nPAMoE6qassiV/view?usp=drive_link</v>
      </c>
      <c r="AD823" s="213"/>
      <c r="AE823" s="213"/>
      <c r="AF823" s="213"/>
      <c r="AG823" s="213"/>
      <c r="AH823" s="213"/>
      <c r="AI823" s="213"/>
      <c r="AJ823" s="213"/>
      <c r="AK823" s="213"/>
      <c r="AL823" s="213"/>
      <c r="AM823" s="213"/>
      <c r="AN823" s="213"/>
      <c r="AO823" s="213"/>
      <c r="AP823" s="213" t="str">
        <f>IFERROR(__xludf.DUMMYFUNCTION("""COMPUTED_VALUE"""),"LUIS")</f>
        <v>LUIS</v>
      </c>
      <c r="AQ823" s="213"/>
      <c r="AR823" s="213"/>
      <c r="AS823" s="213"/>
      <c r="AT823" s="213"/>
      <c r="AU823" s="213"/>
      <c r="AV823" s="213"/>
      <c r="AW823" s="213"/>
      <c r="AX823" s="213"/>
      <c r="AY823" s="213"/>
      <c r="AZ823" s="213"/>
      <c r="BA823" s="213"/>
      <c r="BB823" s="213"/>
      <c r="BC823" s="213"/>
      <c r="BD823" s="213"/>
    </row>
    <row r="824">
      <c r="A824" s="213">
        <f>IFERROR(__xludf.DUMMYFUNCTION("""COMPUTED_VALUE"""),2237.0)</f>
        <v>2237</v>
      </c>
      <c r="B824" s="213" t="str">
        <f>IFERROR(__xludf.DUMMYFUNCTION("""COMPUTED_VALUE"""),"JOSE GRANDA")</f>
        <v>JOSE GRANDA</v>
      </c>
      <c r="C824" s="213" t="str">
        <f>IFERROR(__xludf.DUMMYFUNCTION("""COMPUTED_VALUE"""),"TALLER SFT DE MECÁNICA AUTOMOTRIZ")</f>
        <v>TALLER SFT DE MECÁNICA AUTOMOTRIZ</v>
      </c>
      <c r="D824" s="213" t="str">
        <f>IFERROR(__xludf.DUMMYFUNCTION("""COMPUTED_VALUE"""),"HERRAMIENTAS")</f>
        <v>HERRAMIENTAS</v>
      </c>
      <c r="E824" s="213" t="str">
        <f>IFERROR(__xludf.DUMMYFUNCTION("""COMPUTED_VALUE"""),"HER-126")</f>
        <v>HER-126</v>
      </c>
      <c r="F824" s="213" t="str">
        <f>IFERROR(__xludf.DUMMYFUNCTION("""COMPUTED_VALUE"""),"HER-126")</f>
        <v>HER-126</v>
      </c>
      <c r="G824" s="213"/>
      <c r="H824" s="213" t="str">
        <f>IFERROR(__xludf.DUMMYFUNCTION("""COMPUTED_VALUE"""),"EXTRACTOR DE PALIER")</f>
        <v>EXTRACTOR DE PALIER</v>
      </c>
      <c r="I824" s="213" t="str">
        <f>IFERROR(__xludf.DUMMYFUNCTION("""COMPUTED_VALUE"""),"Herramienta adecuada para separar la junta homocinética de la trasmisión. Se fija la guillotina al palier para realizar la extracción.
Evita dañar la articulación de la junta y la transmisión. Altura regulable de mínimo 7 niveles y largo de 100 mm Fabrica"&amp;"ción en acero.")</f>
        <v>Herramienta adecuada para separar la junta homocinética de la trasmisión. Se fija la guillotina al palier para realizar la extracción.
Evita dañar la articulación de la junta y la transmisión. Altura regulable de mínimo 7 niveles y largo de 100 mm Fabricación en acero.</v>
      </c>
      <c r="J824" s="213">
        <f>IFERROR(__xludf.DUMMYFUNCTION("""COMPUTED_VALUE"""),3.0)</f>
        <v>3</v>
      </c>
      <c r="K824" s="213" t="str">
        <f>IFERROR(__xludf.DUMMYFUNCTION("""COMPUTED_VALUE"""),"90 DÍAS CALENDARIO")</f>
        <v>90 DÍAS CALENDARIO</v>
      </c>
      <c r="L824" s="213" t="str">
        <f>IFERROR(__xludf.DUMMYFUNCTION("""COMPUTED_VALUE"""),"")</f>
        <v/>
      </c>
      <c r="M824" s="213">
        <f>IFERROR(__xludf.DUMMYFUNCTION("""COMPUTED_VALUE"""),1.0)</f>
        <v>1</v>
      </c>
      <c r="N824" s="213">
        <f>IFERROR(__xludf.DUMMYFUNCTION("""COMPUTED_VALUE"""),1.0)</f>
        <v>1</v>
      </c>
      <c r="O824" s="213">
        <f>IFERROR(__xludf.DUMMYFUNCTION("""COMPUTED_VALUE"""),1.0)</f>
        <v>1</v>
      </c>
      <c r="P824" s="213"/>
      <c r="Q824" s="213"/>
      <c r="R824" s="213" t="str">
        <f>IFERROR(__xludf.DUMMYFUNCTION("""COMPUTED_VALUE"""),"SI")</f>
        <v>SI</v>
      </c>
      <c r="S824" s="213"/>
      <c r="T824" s="213" t="str">
        <f>IFERROR(__xludf.DUMMYFUNCTION("""COMPUTED_VALUE"""),"SI")</f>
        <v>SI</v>
      </c>
      <c r="U824" s="213" t="str">
        <f>IFERROR(__xludf.DUMMYFUNCTION("""COMPUTED_VALUE"""),"SI")</f>
        <v>SI</v>
      </c>
      <c r="V824" s="213" t="str">
        <f>IFERROR(__xludf.DUMMYFUNCTION("""COMPUTED_VALUE"""),"-")</f>
        <v>-</v>
      </c>
      <c r="W824" s="213" t="str">
        <f>IFERROR(__xludf.DUMMYFUNCTION("""COMPUTED_VALUE"""),"-")</f>
        <v>-</v>
      </c>
      <c r="X824" s="213" t="str">
        <f>IFERROR(__xludf.DUMMYFUNCTION("""COMPUTED_VALUE"""),"GENÉRICO")</f>
        <v>GENÉRICO</v>
      </c>
      <c r="Y824" s="213" t="str">
        <f>IFERROR(__xludf.DUMMYFUNCTION("""COMPUTED_VALUE"""),"9-Hole Universal CV Joint Puller Tool")</f>
        <v>9-Hole Universal CV Joint Puller Tool</v>
      </c>
      <c r="Z824" s="215" t="str">
        <f>IFERROR(__xludf.DUMMYFUNCTION("""COMPUTED_VALUE"""),"https://drive.google.com/file/d/1-VmHYBa8oXg1_HPTwi2nPAMoE6qassiV/view")</f>
        <v>https://drive.google.com/file/d/1-VmHYBa8oXg1_HPTwi2nPAMoE6qassiV/view</v>
      </c>
      <c r="AA824" s="213" t="str">
        <f>IFERROR(__xludf.DUMMYFUNCTION("""COMPUTED_VALUE"""),"HER-126 EXTRACTOR DE PALIER - CET")</f>
        <v>HER-126 EXTRACTOR DE PALIER - CET</v>
      </c>
      <c r="AB824" s="213"/>
      <c r="AC824" s="215" t="str">
        <f>IFERROR(__xludf.DUMMYFUNCTION("""COMPUTED_VALUE"""),"https://drive.google.com/file/d/1-VmHYBa8oXg1_HPTwi2nPAMoE6qassiV/view?usp=drive_link")</f>
        <v>https://drive.google.com/file/d/1-VmHYBa8oXg1_HPTwi2nPAMoE6qassiV/view?usp=drive_link</v>
      </c>
      <c r="AD824" s="213"/>
      <c r="AE824" s="213"/>
      <c r="AF824" s="213"/>
      <c r="AG824" s="213"/>
      <c r="AH824" s="213"/>
      <c r="AI824" s="213"/>
      <c r="AJ824" s="213"/>
      <c r="AK824" s="213"/>
      <c r="AL824" s="213"/>
      <c r="AM824" s="213"/>
      <c r="AN824" s="213"/>
      <c r="AO824" s="213"/>
      <c r="AP824" s="213" t="str">
        <f>IFERROR(__xludf.DUMMYFUNCTION("""COMPUTED_VALUE"""),"LUIS")</f>
        <v>LUIS</v>
      </c>
      <c r="AQ824" s="213"/>
      <c r="AR824" s="213"/>
      <c r="AS824" s="213"/>
      <c r="AT824" s="213"/>
      <c r="AU824" s="213"/>
      <c r="AV824" s="213"/>
      <c r="AW824" s="213"/>
      <c r="AX824" s="213"/>
      <c r="AY824" s="213"/>
      <c r="AZ824" s="213"/>
      <c r="BA824" s="213"/>
      <c r="BB824" s="213"/>
      <c r="BC824" s="213"/>
      <c r="BD824" s="213"/>
    </row>
    <row r="825">
      <c r="A825" s="213">
        <f>IFERROR(__xludf.DUMMYFUNCTION("""COMPUTED_VALUE"""),934.0)</f>
        <v>934</v>
      </c>
      <c r="B825" s="213" t="str">
        <f>IFERROR(__xludf.DUMMYFUNCTION("""COMPUTED_VALUE"""),"FRANCISCO IRAZOLA")</f>
        <v>FRANCISCO IRAZOLA</v>
      </c>
      <c r="C825" s="213" t="str">
        <f>IFERROR(__xludf.DUMMYFUNCTION("""COMPUTED_VALUE"""),"TALLER SFT DE MECÁNICA AUTOMOTRIZ")</f>
        <v>TALLER SFT DE MECÁNICA AUTOMOTRIZ</v>
      </c>
      <c r="D825" s="213" t="str">
        <f>IFERROR(__xludf.DUMMYFUNCTION("""COMPUTED_VALUE"""),"HERRAMIENTAS")</f>
        <v>HERRAMIENTAS</v>
      </c>
      <c r="E825" s="213" t="str">
        <f>IFERROR(__xludf.DUMMYFUNCTION("""COMPUTED_VALUE"""),"HER-127")</f>
        <v>HER-127</v>
      </c>
      <c r="F825" s="213" t="str">
        <f>IFERROR(__xludf.DUMMYFUNCTION("""COMPUTED_VALUE"""),"HER-127")</f>
        <v>HER-127</v>
      </c>
      <c r="G825" s="213"/>
      <c r="H825" s="213" t="str">
        <f>IFERROR(__xludf.DUMMYFUNCTION("""COMPUTED_VALUE"""),"EXTRACTOR DE RESORTES (COMPRESOR DE RESORTES DE SUSPENSIÓN)")</f>
        <v>EXTRACTOR DE RESORTES (COMPRESOR DE RESORTES DE SUSPENSIÓN)</v>
      </c>
      <c r="I825" s="213" t="str">
        <f>IFERROR(__xludf.DUMMYFUNCTION("""COMPUTED_VALUE"""),"Compresor de resortes de amortiguador en automóviles. Fabricado en acero al cromo molibdeno (Cr-Mo).
Para ser usada con herramienta de llave.
Adecuado diseño de mandíbula para el uso en áreas confinadas, bajo el arco de la rueda.")</f>
        <v>Compresor de resortes de amortiguador en automóviles. Fabricado en acero al cromo molibdeno (Cr-Mo).
Para ser usada con herramienta de llave.
Adecuado diseño de mandíbula para el uso en áreas confinadas, bajo el arco de la rueda.</v>
      </c>
      <c r="J825" s="213">
        <f>IFERROR(__xludf.DUMMYFUNCTION("""COMPUTED_VALUE"""),3.0)</f>
        <v>3</v>
      </c>
      <c r="K825" s="213" t="str">
        <f>IFERROR(__xludf.DUMMYFUNCTION("""COMPUTED_VALUE"""),"90 DÍAS CALENDARIO")</f>
        <v>90 DÍAS CALENDARIO</v>
      </c>
      <c r="L825" s="213" t="str">
        <f>IFERROR(__xludf.DUMMYFUNCTION("""COMPUTED_VALUE"""),"")</f>
        <v/>
      </c>
      <c r="M825" s="213">
        <f>IFERROR(__xludf.DUMMYFUNCTION("""COMPUTED_VALUE"""),1.0)</f>
        <v>1</v>
      </c>
      <c r="N825" s="213">
        <f>IFERROR(__xludf.DUMMYFUNCTION("""COMPUTED_VALUE"""),1.0)</f>
        <v>1</v>
      </c>
      <c r="O825" s="213">
        <f>IFERROR(__xludf.DUMMYFUNCTION("""COMPUTED_VALUE"""),1.0)</f>
        <v>1</v>
      </c>
      <c r="P825" s="213"/>
      <c r="Q825" s="213"/>
      <c r="R825" s="213" t="str">
        <f>IFERROR(__xludf.DUMMYFUNCTION("""COMPUTED_VALUE"""),"SI")</f>
        <v>SI</v>
      </c>
      <c r="S825" s="213"/>
      <c r="T825" s="213" t="str">
        <f>IFERROR(__xludf.DUMMYFUNCTION("""COMPUTED_VALUE"""),"SI")</f>
        <v>SI</v>
      </c>
      <c r="U825" s="213" t="str">
        <f>IFERROR(__xludf.DUMMYFUNCTION("""COMPUTED_VALUE"""),"SI")</f>
        <v>SI</v>
      </c>
      <c r="V825" s="213" t="str">
        <f>IFERROR(__xludf.DUMMYFUNCTION("""COMPUTED_VALUE"""),"-")</f>
        <v>-</v>
      </c>
      <c r="W825" s="213" t="str">
        <f>IFERROR(__xludf.DUMMYFUNCTION("""COMPUTED_VALUE"""),"-")</f>
        <v>-</v>
      </c>
      <c r="X825" s="213" t="str">
        <f>IFERROR(__xludf.DUMMYFUNCTION("""COMPUTED_VALUE"""),"GENÉRICO")</f>
        <v>GENÉRICO</v>
      </c>
      <c r="Y825" s="213" t="str">
        <f>IFERROR(__xludf.DUMMYFUNCTION("""COMPUTED_VALUE"""),"GENÉRICO")</f>
        <v>GENÉRICO</v>
      </c>
      <c r="Z825" s="215" t="str">
        <f>IFERROR(__xludf.DUMMYFUNCTION("""COMPUTED_VALUE"""),"https://drive.google.com/file/d/1kEVjUPkgISv6c_6rQUm69GaaqHR9HfNM/view")</f>
        <v>https://drive.google.com/file/d/1kEVjUPkgISv6c_6rQUm69GaaqHR9HfNM/view</v>
      </c>
      <c r="AA825" s="213" t="str">
        <f>IFERROR(__xludf.DUMMYFUNCTION("""COMPUTED_VALUE"""),"HER-127 EXTRACTOR DE RESORTES - CET")</f>
        <v>HER-127 EXTRACTOR DE RESORTES - CET</v>
      </c>
      <c r="AB825" s="213"/>
      <c r="AC825" s="215" t="str">
        <f>IFERROR(__xludf.DUMMYFUNCTION("""COMPUTED_VALUE"""),"https://drive.google.com/file/d/1kEVjUPkgISv6c_6rQUm69GaaqHR9HfNM/view?usp=drive_link")</f>
        <v>https://drive.google.com/file/d/1kEVjUPkgISv6c_6rQUm69GaaqHR9HfNM/view?usp=drive_link</v>
      </c>
      <c r="AD825" s="213"/>
      <c r="AE825" s="213"/>
      <c r="AF825" s="213"/>
      <c r="AG825" s="213"/>
      <c r="AH825" s="213"/>
      <c r="AI825" s="213"/>
      <c r="AJ825" s="213"/>
      <c r="AK825" s="213"/>
      <c r="AL825" s="213"/>
      <c r="AM825" s="213"/>
      <c r="AN825" s="213"/>
      <c r="AO825" s="213"/>
      <c r="AP825" s="213" t="str">
        <f>IFERROR(__xludf.DUMMYFUNCTION("""COMPUTED_VALUE"""),"LUIS")</f>
        <v>LUIS</v>
      </c>
      <c r="AQ825" s="213"/>
      <c r="AR825" s="213"/>
      <c r="AS825" s="213" t="str">
        <f>IFERROR(__xludf.DUMMYFUNCTION("""COMPUTED_VALUE"""),"El material no cumple")</f>
        <v>El material no cumple</v>
      </c>
      <c r="AT825" s="213"/>
      <c r="AU825" s="213"/>
      <c r="AV825" s="213"/>
      <c r="AW825" s="213"/>
      <c r="AX825" s="213"/>
      <c r="AY825" s="213"/>
      <c r="AZ825" s="213"/>
      <c r="BA825" s="213"/>
      <c r="BB825" s="213"/>
      <c r="BC825" s="213"/>
      <c r="BD825" s="213"/>
    </row>
    <row r="826">
      <c r="A826" s="213">
        <f>IFERROR(__xludf.DUMMYFUNCTION("""COMPUTED_VALUE"""),95.0)</f>
        <v>95</v>
      </c>
      <c r="B826" s="213" t="str">
        <f>IFERROR(__xludf.DUMMYFUNCTION("""COMPUTED_VALUE"""),"16449 ELOY SOBERON  FLORES")</f>
        <v>16449 ELOY SOBERON  FLORES</v>
      </c>
      <c r="C826" s="213" t="str">
        <f>IFERROR(__xludf.DUMMYFUNCTION("""COMPUTED_VALUE"""),"TALLER SFT DE COCINA Y REPOSTERÍA")</f>
        <v>TALLER SFT DE COCINA Y REPOSTERÍA</v>
      </c>
      <c r="D826" s="213" t="str">
        <f>IFERROR(__xludf.DUMMYFUNCTION("""COMPUTED_VALUE"""),"EQUIPOS")</f>
        <v>EQUIPOS</v>
      </c>
      <c r="E826" s="213" t="str">
        <f>IFERROR(__xludf.DUMMYFUNCTION("""COMPUTED_VALUE"""),"ESP-185")</f>
        <v>ESP-185</v>
      </c>
      <c r="F826" s="213" t="str">
        <f>IFERROR(__xludf.DUMMYFUNCTION("""COMPUTED_VALUE"""),"ESP-185-X")</f>
        <v>ESP-185-X</v>
      </c>
      <c r="G826" s="213"/>
      <c r="H826" s="213" t="str">
        <f>IFERROR(__xludf.DUMMYFUNCTION("""COMPUTED_VALUE"""),"HORNO PASTELERO")</f>
        <v>HORNO PASTELERO</v>
      </c>
      <c r="I826" s="213" t="str">
        <f>IFERROR(__xludf.DUMMYFUNCTION("""COMPUTED_VALUE"""),". Del tipo Eléctrico.
. Voltaje 220V/60HZ/ monofásico.
. Temperatura de operación 250°C
. Potencia mínima 2600 Watts
. Area de cocción mínima (65x45cm)
. Material: Acero inoxidable
. Termostato e indicador de temperatura.
. 3 rejillas mínimo
VERA Hilda 99"&amp;"8 soft")</f>
        <v>. Del tipo Eléctrico.
. Voltaje 220V/60HZ/ monofásico.
. Temperatura de operación 250°C
. Potencia mínima 2600 Watts
. Area de cocción mínima (65x45cm)
. Material: Acero inoxidable
. Termostato e indicador de temperatura.
. 3 rejillas mínimo
VERA Hilda 998 soft</v>
      </c>
      <c r="J826" s="213">
        <f>IFERROR(__xludf.DUMMYFUNCTION("""COMPUTED_VALUE"""),3.0)</f>
        <v>3</v>
      </c>
      <c r="K826" s="213" t="str">
        <f>IFERROR(__xludf.DUMMYFUNCTION("""COMPUTED_VALUE"""),"170 DÍAS CALENDARIO")</f>
        <v>170 DÍAS CALENDARIO</v>
      </c>
      <c r="L826" s="213" t="str">
        <f>IFERROR(__xludf.DUMMYFUNCTION("""COMPUTED_VALUE"""),"")</f>
        <v/>
      </c>
      <c r="M826" s="213">
        <f>IFERROR(__xludf.DUMMYFUNCTION("""COMPUTED_VALUE"""),1.0)</f>
        <v>1</v>
      </c>
      <c r="N826" s="213">
        <f>IFERROR(__xludf.DUMMYFUNCTION("""COMPUTED_VALUE"""),1.0)</f>
        <v>1</v>
      </c>
      <c r="O826" s="213">
        <f>IFERROR(__xludf.DUMMYFUNCTION("""COMPUTED_VALUE"""),1.0)</f>
        <v>1</v>
      </c>
      <c r="P826" s="213"/>
      <c r="Q826" s="213"/>
      <c r="R826" s="213"/>
      <c r="S826" s="213" t="str">
        <f>IFERROR(__xludf.DUMMYFUNCTION("""COMPUTED_VALUE"""),"SI")</f>
        <v>SI</v>
      </c>
      <c r="T826" s="213" t="str">
        <f>IFERROR(__xludf.DUMMYFUNCTION("""COMPUTED_VALUE"""),"CONSULTA FINAL")</f>
        <v>CONSULTA FINAL</v>
      </c>
      <c r="U826" s="213" t="str">
        <f>IFERROR(__xludf.DUMMYFUNCTION("""COMPUTED_VALUE"""),"SI")</f>
        <v>SI</v>
      </c>
      <c r="V826" s="213" t="str">
        <f>IFERROR(__xludf.DUMMYFUNCTION("""COMPUTED_VALUE"""),"-")</f>
        <v>-</v>
      </c>
      <c r="W826" s="213" t="str">
        <f>IFERROR(__xludf.DUMMYFUNCTION("""COMPUTED_VALUE"""),"-")</f>
        <v>-</v>
      </c>
      <c r="X826" s="213" t="str">
        <f>IFERROR(__xludf.DUMMYFUNCTION("""COMPUTED_VALUE"""),"NOVA")</f>
        <v>NOVA</v>
      </c>
      <c r="Y826" s="213" t="str">
        <f>IFERROR(__xludf.DUMMYFUNCTION("""COMPUTED_VALUE"""),"MAXITO 6B ELÉCTRICO")</f>
        <v>MAXITO 6B ELÉCTRICO</v>
      </c>
      <c r="Z826" s="215" t="str">
        <f>IFERROR(__xludf.DUMMYFUNCTION("""COMPUTED_VALUE"""),"https://www.gruponova.pe/products/horno-nova-kit-horno-maxito-6b-electrico?srsltid=AfmBOooAmwSzicU5EeORaTQOP7zmi1c2fyupuVFZrPzL2TFBscLT28KG")</f>
        <v>https://www.gruponova.pe/products/horno-nova-kit-horno-maxito-6b-electrico?srsltid=AfmBOooAmwSzicU5EeORaTQOP7zmi1c2fyupuVFZrPzL2TFBscLT28KG</v>
      </c>
      <c r="AA826" s="213" t="str">
        <f>IFERROR(__xludf.DUMMYFUNCTION("""COMPUTED_VALUE"""),"ESP-185-X HORNO PASTELERO - CET")</f>
        <v>ESP-185-X HORNO PASTELERO - CET</v>
      </c>
      <c r="AB826" s="213"/>
      <c r="AC826" s="213"/>
      <c r="AD826" s="213"/>
      <c r="AE826" s="213"/>
      <c r="AF826" s="213"/>
      <c r="AG826" s="213"/>
      <c r="AH826" s="213" t="str">
        <f>IFERROR(__xludf.DUMMYFUNCTION("""COMPUTED_VALUE"""),"IMPORTADO")</f>
        <v>IMPORTADO</v>
      </c>
      <c r="AI826" s="213"/>
      <c r="AJ826" s="213"/>
      <c r="AK826" s="213"/>
      <c r="AL826" s="213"/>
      <c r="AM826" s="213"/>
      <c r="AN826" s="213"/>
      <c r="AO826" s="213"/>
      <c r="AP826" s="213" t="str">
        <f>IFERROR(__xludf.DUMMYFUNCTION("""COMPUTED_VALUE"""),"JASON")</f>
        <v>JASON</v>
      </c>
      <c r="AQ826" s="213"/>
      <c r="AR826" s="213"/>
      <c r="AS826" s="213" t="str">
        <f>IFERROR(__xludf.DUMMYFUNCTION("""COMPUTED_VALUE"""),"ACCESORIOS PARA CONEXIÓN A GAS")</f>
        <v>ACCESORIOS PARA CONEXIÓN A GAS</v>
      </c>
      <c r="AT826" s="213"/>
      <c r="AU826" s="213"/>
      <c r="AV826" s="213"/>
      <c r="AW826" s="213"/>
      <c r="AX826" s="213"/>
      <c r="AY826" s="213"/>
      <c r="AZ826" s="213"/>
      <c r="BA826" s="213"/>
      <c r="BB826" s="213"/>
      <c r="BC826" s="213"/>
      <c r="BD826" s="213"/>
    </row>
    <row r="827">
      <c r="A827" s="213">
        <f>IFERROR(__xludf.DUMMYFUNCTION("""COMPUTED_VALUE"""),555.0)</f>
        <v>555</v>
      </c>
      <c r="B827" s="213" t="str">
        <f>IFERROR(__xludf.DUMMYFUNCTION("""COMPUTED_VALUE"""),"2026 SIMON BOLIVAR")</f>
        <v>2026 SIMON BOLIVAR</v>
      </c>
      <c r="C827" s="213" t="str">
        <f>IFERROR(__xludf.DUMMYFUNCTION("""COMPUTED_VALUE"""),"TALLER SFT DE INDUSTRIA ALIMENTARIA")</f>
        <v>TALLER SFT DE INDUSTRIA ALIMENTARIA</v>
      </c>
      <c r="D827" s="213" t="str">
        <f>IFERROR(__xludf.DUMMYFUNCTION("""COMPUTED_VALUE"""),"EQUIPOS")</f>
        <v>EQUIPOS</v>
      </c>
      <c r="E827" s="213" t="str">
        <f>IFERROR(__xludf.DUMMYFUNCTION("""COMPUTED_VALUE"""),"ESP-185")</f>
        <v>ESP-185</v>
      </c>
      <c r="F827" s="213" t="str">
        <f>IFERROR(__xludf.DUMMYFUNCTION("""COMPUTED_VALUE"""),"ESP-185-Y")</f>
        <v>ESP-185-Y</v>
      </c>
      <c r="G827" s="213"/>
      <c r="H827" s="213" t="str">
        <f>IFERROR(__xludf.DUMMYFUNCTION("""COMPUTED_VALUE"""),"HORNO PASTELERO")</f>
        <v>HORNO PASTELERO</v>
      </c>
      <c r="I827" s="213" t="str">
        <f>IFERROR(__xludf.DUMMYFUNCTION("""COMPUTED_VALUE"""),".  Horno Semi Industrial a gas
.  Fabricado en acero satinado exterior
.  Pirómetro digital de control de temperatura
.  Válvula solenoide de corte de gas y pilotos de encendido
.  Manija inoxidable con aisladores de nylon y vidrio templado doble
.  Venti"&amp;"lador para movimiento de masa de aire caliente,
.   Rango de temperatura hasta 280°C,
.   Mueble inferior en acero inoxidable con repisa porta bandejas
.  Reguladores de nivel de piso, 03 niveles para bandejas medidas: 0.90 X 0.70 X 1.40cm.
.  Luz interna"&amp;"
.  Puerta con empaquetaduras para evitar escape de calor.
.  En el interior 3 rejillas de 65 cm X 55cms en seis niveles, (en total 6 rieles).")</f>
        <v>.  Horno Semi Industrial a gas
.  Fabricado en acero satinado exterior
.  Pirómetro digital de control de temperatura
.  Válvula solenoide de corte de gas y pilotos de encendido
.  Manija inoxidable con aisladores de nylon y vidrio templado doble
.  Ventilador para movimiento de masa de aire caliente,
.   Rango de temperatura hasta 280°C,
.   Mueble inferior en acero inoxidable con repisa porta bandejas
.  Reguladores de nivel de piso, 03 niveles para bandejas medidas: 0.90 X 0.70 X 1.40cm.
.  Luz interna
.  Puerta con empaquetaduras para evitar escape de calor.
.  En el interior 3 rejillas de 65 cm X 55cms en seis niveles, (en total 6 rieles).</v>
      </c>
      <c r="J827" s="213">
        <f>IFERROR(__xludf.DUMMYFUNCTION("""COMPUTED_VALUE"""),3.0)</f>
        <v>3</v>
      </c>
      <c r="K827" s="213" t="str">
        <f>IFERROR(__xludf.DUMMYFUNCTION("""COMPUTED_VALUE"""),"170 DÍAS CALENDARIO")</f>
        <v>170 DÍAS CALENDARIO</v>
      </c>
      <c r="L827" s="213" t="str">
        <f>IFERROR(__xludf.DUMMYFUNCTION("""COMPUTED_VALUE"""),"")</f>
        <v/>
      </c>
      <c r="M827" s="213">
        <f>IFERROR(__xludf.DUMMYFUNCTION("""COMPUTED_VALUE"""),1.0)</f>
        <v>1</v>
      </c>
      <c r="N827" s="213">
        <f>IFERROR(__xludf.DUMMYFUNCTION("""COMPUTED_VALUE"""),1.0)</f>
        <v>1</v>
      </c>
      <c r="O827" s="213">
        <f>IFERROR(__xludf.DUMMYFUNCTION("""COMPUTED_VALUE"""),1.0)</f>
        <v>1</v>
      </c>
      <c r="P827" s="213"/>
      <c r="Q827" s="213"/>
      <c r="R827" s="213"/>
      <c r="S827" s="213" t="str">
        <f>IFERROR(__xludf.DUMMYFUNCTION("""COMPUTED_VALUE"""),"SI")</f>
        <v>SI</v>
      </c>
      <c r="T827" s="213" t="str">
        <f>IFERROR(__xludf.DUMMYFUNCTION("""COMPUTED_VALUE"""),"SI")</f>
        <v>SI</v>
      </c>
      <c r="U827" s="213" t="str">
        <f>IFERROR(__xludf.DUMMYFUNCTION("""COMPUTED_VALUE"""),"SI")</f>
        <v>SI</v>
      </c>
      <c r="V827" s="213" t="str">
        <f>IFERROR(__xludf.DUMMYFUNCTION("""COMPUTED_VALUE"""),"-")</f>
        <v>-</v>
      </c>
      <c r="W827" s="213" t="str">
        <f>IFERROR(__xludf.DUMMYFUNCTION("""COMPUTED_VALUE"""),"-")</f>
        <v>-</v>
      </c>
      <c r="X827" s="213" t="str">
        <f>IFERROR(__xludf.DUMMYFUNCTION("""COMPUTED_VALUE"""),"FABRICAR A MEDIDA")</f>
        <v>FABRICAR A MEDIDA</v>
      </c>
      <c r="Y827" s="213" t="str">
        <f>IFERROR(__xludf.DUMMYFUNCTION("""COMPUTED_VALUE"""),"FABRICAR A MEDIDA")</f>
        <v>FABRICAR A MEDIDA</v>
      </c>
      <c r="Z827" s="215" t="str">
        <f>IFERROR(__xludf.DUMMYFUNCTION("""COMPUTED_VALUE"""),"https://www.gruponova.pe/collections/hornos/products/horno-nova-kit-horno-maxito-6b-a-gas-1")</f>
        <v>https://www.gruponova.pe/collections/hornos/products/horno-nova-kit-horno-maxito-6b-a-gas-1</v>
      </c>
      <c r="AA827" s="213" t="str">
        <f>IFERROR(__xludf.DUMMYFUNCTION("""COMPUTED_VALUE"""),"ESP-185-Y HORNO PASTELERO - CET")</f>
        <v>ESP-185-Y HORNO PASTELERO - CET</v>
      </c>
      <c r="AB827" s="213"/>
      <c r="AC827" s="213"/>
      <c r="AD827" s="213"/>
      <c r="AE827" s="213"/>
      <c r="AF827" s="213"/>
      <c r="AG827" s="213"/>
      <c r="AH827" s="213" t="str">
        <f>IFERROR(__xludf.DUMMYFUNCTION("""COMPUTED_VALUE"""),"NACIONAL")</f>
        <v>NACIONAL</v>
      </c>
      <c r="AI827" s="213"/>
      <c r="AJ827" s="213"/>
      <c r="AK827" s="213"/>
      <c r="AL827" s="213"/>
      <c r="AM827" s="213"/>
      <c r="AN827" s="213"/>
      <c r="AO827" s="213"/>
      <c r="AP827" s="213" t="str">
        <f>IFERROR(__xludf.DUMMYFUNCTION("""COMPUTED_VALUE"""),"ANTONELLA")</f>
        <v>ANTONELLA</v>
      </c>
      <c r="AQ827" s="213" t="str">
        <f>IFERROR(__xludf.DUMMYFUNCTION("""COMPUTED_VALUE"""),"Tiene demasiadas caracteristicas que rara vez se encuentran en los equipos, se recomienda fabricar a medida (NO LINCCNOX)")</f>
        <v>Tiene demasiadas caracteristicas que rara vez se encuentran en los equipos, se recomienda fabricar a medida (NO LINCCNOX)</v>
      </c>
      <c r="AR827" s="213"/>
      <c r="AS827" s="213"/>
      <c r="AT827" s="213"/>
      <c r="AU827" s="213"/>
      <c r="AV827" s="213"/>
      <c r="AW827" s="213"/>
      <c r="AX827" s="213"/>
      <c r="AY827" s="213"/>
      <c r="AZ827" s="213"/>
      <c r="BA827" s="213"/>
      <c r="BB827" s="213"/>
      <c r="BC827" s="213"/>
      <c r="BD827" s="213"/>
    </row>
    <row r="828">
      <c r="A828" s="213">
        <f>IFERROR(__xludf.DUMMYFUNCTION("""COMPUTED_VALUE"""),1182.0)</f>
        <v>1182</v>
      </c>
      <c r="B828" s="213" t="str">
        <f>IFERROR(__xludf.DUMMYFUNCTION("""COMPUTED_VALUE"""),"FRANCISCO IRAZOLA")</f>
        <v>FRANCISCO IRAZOLA</v>
      </c>
      <c r="C828" s="213" t="str">
        <f>IFERROR(__xludf.DUMMYFUNCTION("""COMPUTED_VALUE"""),"TALLER SFT DE INDUSTRIA ALIMENTARIA")</f>
        <v>TALLER SFT DE INDUSTRIA ALIMENTARIA</v>
      </c>
      <c r="D828" s="213" t="str">
        <f>IFERROR(__xludf.DUMMYFUNCTION("""COMPUTED_VALUE"""),"EQUIPOS")</f>
        <v>EQUIPOS</v>
      </c>
      <c r="E828" s="213" t="str">
        <f>IFERROR(__xludf.DUMMYFUNCTION("""COMPUTED_VALUE"""),"ESP-185")</f>
        <v>ESP-185</v>
      </c>
      <c r="F828" s="213" t="str">
        <f>IFERROR(__xludf.DUMMYFUNCTION("""COMPUTED_VALUE"""),"ESP-185-Y")</f>
        <v>ESP-185-Y</v>
      </c>
      <c r="G828" s="213"/>
      <c r="H828" s="213" t="str">
        <f>IFERROR(__xludf.DUMMYFUNCTION("""COMPUTED_VALUE"""),"HORNO PASTELERO")</f>
        <v>HORNO PASTELERO</v>
      </c>
      <c r="I828" s="213" t="str">
        <f>IFERROR(__xludf.DUMMYFUNCTION("""COMPUTED_VALUE"""),".  Horno Semi Industrial a gas
.  Fabricado en acero satinado exterior
.  Pirómetro digital de control de temperatura
.  Válvula solenoide de corte de gas y pilotos de encendido
.  Manija inoxidable con aisladores de nylon y vidrio templado doble
.  Venti"&amp;"lador para movimiento de masa de aire caliente,
.   Rango de temperatura hasta 280°C,
.   Mueble inferior en acero inoxidable con repisa porta bandejas
.  Reguladores de nivel de piso, 03 niveles para bandejas medidas: 0.90 X 0.70 X 1.40cm.
.  Luz interna"&amp;"
.  Puerta con empaquetaduras para evitar escape de calor.
.  En el interior 3 rejillas de 65 cm X 55cms en seis niveles, (en total 6 rieles).")</f>
        <v>.  Horno Semi Industrial a gas
.  Fabricado en acero satinado exterior
.  Pirómetro digital de control de temperatura
.  Válvula solenoide de corte de gas y pilotos de encendido
.  Manija inoxidable con aisladores de nylon y vidrio templado doble
.  Ventilador para movimiento de masa de aire caliente,
.   Rango de temperatura hasta 280°C,
.   Mueble inferior en acero inoxidable con repisa porta bandejas
.  Reguladores de nivel de piso, 03 niveles para bandejas medidas: 0.90 X 0.70 X 1.40cm.
.  Luz interna
.  Puerta con empaquetaduras para evitar escape de calor.
.  En el interior 3 rejillas de 65 cm X 55cms en seis niveles, (en total 6 rieles).</v>
      </c>
      <c r="J828" s="213">
        <f>IFERROR(__xludf.DUMMYFUNCTION("""COMPUTED_VALUE"""),3.0)</f>
        <v>3</v>
      </c>
      <c r="K828" s="213" t="str">
        <f>IFERROR(__xludf.DUMMYFUNCTION("""COMPUTED_VALUE"""),"170 DÍAS CALENDARIO")</f>
        <v>170 DÍAS CALENDARIO</v>
      </c>
      <c r="L828" s="213" t="str">
        <f>IFERROR(__xludf.DUMMYFUNCTION("""COMPUTED_VALUE"""),"")</f>
        <v/>
      </c>
      <c r="M828" s="213">
        <f>IFERROR(__xludf.DUMMYFUNCTION("""COMPUTED_VALUE"""),1.0)</f>
        <v>1</v>
      </c>
      <c r="N828" s="213">
        <f>IFERROR(__xludf.DUMMYFUNCTION("""COMPUTED_VALUE"""),1.0)</f>
        <v>1</v>
      </c>
      <c r="O828" s="213">
        <f>IFERROR(__xludf.DUMMYFUNCTION("""COMPUTED_VALUE"""),1.0)</f>
        <v>1</v>
      </c>
      <c r="P828" s="213"/>
      <c r="Q828" s="213"/>
      <c r="R828" s="213"/>
      <c r="S828" s="213" t="str">
        <f>IFERROR(__xludf.DUMMYFUNCTION("""COMPUTED_VALUE"""),"SI")</f>
        <v>SI</v>
      </c>
      <c r="T828" s="213" t="str">
        <f>IFERROR(__xludf.DUMMYFUNCTION("""COMPUTED_VALUE"""),"SI")</f>
        <v>SI</v>
      </c>
      <c r="U828" s="213" t="str">
        <f>IFERROR(__xludf.DUMMYFUNCTION("""COMPUTED_VALUE"""),"SI")</f>
        <v>SI</v>
      </c>
      <c r="V828" s="213" t="str">
        <f>IFERROR(__xludf.DUMMYFUNCTION("""COMPUTED_VALUE"""),"-")</f>
        <v>-</v>
      </c>
      <c r="W828" s="213" t="str">
        <f>IFERROR(__xludf.DUMMYFUNCTION("""COMPUTED_VALUE"""),"-")</f>
        <v>-</v>
      </c>
      <c r="X828" s="213" t="str">
        <f>IFERROR(__xludf.DUMMYFUNCTION("""COMPUTED_VALUE"""),"FABRICAR A MEDIDA")</f>
        <v>FABRICAR A MEDIDA</v>
      </c>
      <c r="Y828" s="213" t="str">
        <f>IFERROR(__xludf.DUMMYFUNCTION("""COMPUTED_VALUE"""),"FABRICAR A MEDIDA")</f>
        <v>FABRICAR A MEDIDA</v>
      </c>
      <c r="Z828" s="215" t="str">
        <f>IFERROR(__xludf.DUMMYFUNCTION("""COMPUTED_VALUE"""),"https://www.gruponova.pe/collections/hornos/products/horno-nova-kit-horno-maxito-6b-a-gas-1")</f>
        <v>https://www.gruponova.pe/collections/hornos/products/horno-nova-kit-horno-maxito-6b-a-gas-1</v>
      </c>
      <c r="AA828" s="215" t="str">
        <f>IFERROR(__xludf.DUMMYFUNCTION("""COMPUTED_VALUE"""),"https://docs.google.com/spreadsheets/d/1rHYQAjx_drmWk_Bv8Wke6WVGCHPwGFrvBm049KTwrIU/edit?gid=0#gid=0 ")</f>
        <v>https://docs.google.com/spreadsheets/d/1rHYQAjx_drmWk_Bv8Wke6WVGCHPwGFrvBm049KTwrIU/edit?gid=0#gid=0 </v>
      </c>
      <c r="AB828" s="213"/>
      <c r="AC828" s="213"/>
      <c r="AD828" s="213"/>
      <c r="AE828" s="213"/>
      <c r="AF828" s="213"/>
      <c r="AG828" s="213"/>
      <c r="AH828" s="213" t="str">
        <f>IFERROR(__xludf.DUMMYFUNCTION("""COMPUTED_VALUE"""),"NACIONAL")</f>
        <v>NACIONAL</v>
      </c>
      <c r="AI828" s="213"/>
      <c r="AJ828" s="213"/>
      <c r="AK828" s="213"/>
      <c r="AL828" s="213"/>
      <c r="AM828" s="213"/>
      <c r="AN828" s="213"/>
      <c r="AO828" s="213"/>
      <c r="AP828" s="213" t="str">
        <f>IFERROR(__xludf.DUMMYFUNCTION("""COMPUTED_VALUE"""),"ANTONELLA")</f>
        <v>ANTONELLA</v>
      </c>
      <c r="AQ828" s="213" t="str">
        <f>IFERROR(__xludf.DUMMYFUNCTION("""COMPUTED_VALUE"""),"Tiene demasiadas caracteristicas que rara vez se encuentran en los equipos, se recomienda fabricar a medida (NO LINCCNOX)")</f>
        <v>Tiene demasiadas caracteristicas que rara vez se encuentran en los equipos, se recomienda fabricar a medida (NO LINCCNOX)</v>
      </c>
      <c r="AR828" s="213"/>
      <c r="AS828" s="213"/>
      <c r="AT828" s="213"/>
      <c r="AU828" s="213"/>
      <c r="AV828" s="213"/>
      <c r="AW828" s="213"/>
      <c r="AX828" s="213"/>
      <c r="AY828" s="213"/>
      <c r="AZ828" s="213"/>
      <c r="BA828" s="213"/>
      <c r="BB828" s="213"/>
      <c r="BC828" s="213"/>
      <c r="BD828" s="213"/>
    </row>
    <row r="829">
      <c r="A829" s="213">
        <f>IFERROR(__xludf.DUMMYFUNCTION("""COMPUTED_VALUE"""),1457.0)</f>
        <v>1457</v>
      </c>
      <c r="B829" s="213" t="str">
        <f>IFERROR(__xludf.DUMMYFUNCTION("""COMPUTED_VALUE"""),"GUILLERMO E. BILLINGHURST ")</f>
        <v>GUILLERMO E. BILLINGHURST </v>
      </c>
      <c r="C829" s="213" t="str">
        <f>IFERROR(__xludf.DUMMYFUNCTION("""COMPUTED_VALUE"""),"TALLER SFT DE INDUSTRIA ALIMENTARIA")</f>
        <v>TALLER SFT DE INDUSTRIA ALIMENTARIA</v>
      </c>
      <c r="D829" s="213" t="str">
        <f>IFERROR(__xludf.DUMMYFUNCTION("""COMPUTED_VALUE"""),"EQUIPOS")</f>
        <v>EQUIPOS</v>
      </c>
      <c r="E829" s="213" t="str">
        <f>IFERROR(__xludf.DUMMYFUNCTION("""COMPUTED_VALUE"""),"ESP-185")</f>
        <v>ESP-185</v>
      </c>
      <c r="F829" s="213" t="str">
        <f>IFERROR(__xludf.DUMMYFUNCTION("""COMPUTED_VALUE"""),"ESP-185-Y")</f>
        <v>ESP-185-Y</v>
      </c>
      <c r="G829" s="213"/>
      <c r="H829" s="213" t="str">
        <f>IFERROR(__xludf.DUMMYFUNCTION("""COMPUTED_VALUE"""),"HORNO PASTELERO")</f>
        <v>HORNO PASTELERO</v>
      </c>
      <c r="I829" s="213" t="str">
        <f>IFERROR(__xludf.DUMMYFUNCTION("""COMPUTED_VALUE"""),".  Horno Semi Industrial a gas
.  Fabricado en acero satinado exterior
.  Pirómetro digital de control de temperatura
.  Válvula solenoide de corte de gas y pilotos de encendido
.  Manija inoxidable con aisladores de nylon y vidrio templado doble
.  Venti"&amp;"lador para movimiento de masa de aire caliente,
.   Rango de temperatura hasta 280°C,
.   Mueble inferior en acero inoxidable con repisa porta bandejas
.  Reguladores de nivel de piso, 03 niveles para bandejas medidas: 0.90 X 0.70 X 1.40cm.
.  Luz interna"&amp;"
.  Puerta con empaquetaduras para evitar escape de calor.
.  En el interior 3 rejillas de 65 cm X 55cms en seis niveles, (en total 6 rieles).")</f>
        <v>.  Horno Semi Industrial a gas
.  Fabricado en acero satinado exterior
.  Pirómetro digital de control de temperatura
.  Válvula solenoide de corte de gas y pilotos de encendido
.  Manija inoxidable con aisladores de nylon y vidrio templado doble
.  Ventilador para movimiento de masa de aire caliente,
.   Rango de temperatura hasta 280°C,
.   Mueble inferior en acero inoxidable con repisa porta bandejas
.  Reguladores de nivel de piso, 03 niveles para bandejas medidas: 0.90 X 0.70 X 1.40cm.
.  Luz interna
.  Puerta con empaquetaduras para evitar escape de calor.
.  En el interior 3 rejillas de 65 cm X 55cms en seis niveles, (en total 6 rieles).</v>
      </c>
      <c r="J829" s="213">
        <f>IFERROR(__xludf.DUMMYFUNCTION("""COMPUTED_VALUE"""),3.0)</f>
        <v>3</v>
      </c>
      <c r="K829" s="213" t="str">
        <f>IFERROR(__xludf.DUMMYFUNCTION("""COMPUTED_VALUE"""),"170 DÍAS CALENDARIO")</f>
        <v>170 DÍAS CALENDARIO</v>
      </c>
      <c r="L829" s="213" t="str">
        <f>IFERROR(__xludf.DUMMYFUNCTION("""COMPUTED_VALUE"""),"")</f>
        <v/>
      </c>
      <c r="M829" s="213">
        <f>IFERROR(__xludf.DUMMYFUNCTION("""COMPUTED_VALUE"""),1.0)</f>
        <v>1</v>
      </c>
      <c r="N829" s="213">
        <f>IFERROR(__xludf.DUMMYFUNCTION("""COMPUTED_VALUE"""),1.0)</f>
        <v>1</v>
      </c>
      <c r="O829" s="213">
        <f>IFERROR(__xludf.DUMMYFUNCTION("""COMPUTED_VALUE"""),1.0)</f>
        <v>1</v>
      </c>
      <c r="P829" s="213"/>
      <c r="Q829" s="213"/>
      <c r="R829" s="213"/>
      <c r="S829" s="213" t="str">
        <f>IFERROR(__xludf.DUMMYFUNCTION("""COMPUTED_VALUE"""),"SI")</f>
        <v>SI</v>
      </c>
      <c r="T829" s="213" t="str">
        <f>IFERROR(__xludf.DUMMYFUNCTION("""COMPUTED_VALUE"""),"SI")</f>
        <v>SI</v>
      </c>
      <c r="U829" s="213" t="str">
        <f>IFERROR(__xludf.DUMMYFUNCTION("""COMPUTED_VALUE"""),"SI")</f>
        <v>SI</v>
      </c>
      <c r="V829" s="213" t="str">
        <f>IFERROR(__xludf.DUMMYFUNCTION("""COMPUTED_VALUE"""),"-")</f>
        <v>-</v>
      </c>
      <c r="W829" s="213" t="str">
        <f>IFERROR(__xludf.DUMMYFUNCTION("""COMPUTED_VALUE"""),"-")</f>
        <v>-</v>
      </c>
      <c r="X829" s="213" t="str">
        <f>IFERROR(__xludf.DUMMYFUNCTION("""COMPUTED_VALUE"""),"FABRICAR A MEDIDA")</f>
        <v>FABRICAR A MEDIDA</v>
      </c>
      <c r="Y829" s="213" t="str">
        <f>IFERROR(__xludf.DUMMYFUNCTION("""COMPUTED_VALUE"""),"FABRICAR A MEDIDA")</f>
        <v>FABRICAR A MEDIDA</v>
      </c>
      <c r="Z829" s="215" t="str">
        <f>IFERROR(__xludf.DUMMYFUNCTION("""COMPUTED_VALUE"""),"https://www.gruponova.pe/collections/hornos/products/horno-nova-kit-horno-maxito-6b-a-gas-1")</f>
        <v>https://www.gruponova.pe/collections/hornos/products/horno-nova-kit-horno-maxito-6b-a-gas-1</v>
      </c>
      <c r="AA829" s="213" t="str">
        <f>IFERROR(__xludf.DUMMYFUNCTION("""COMPUTED_VALUE"""),"ESP-185-Y HORNO PASTELERO - CET")</f>
        <v>ESP-185-Y HORNO PASTELERO - CET</v>
      </c>
      <c r="AB829" s="213"/>
      <c r="AC829" s="213"/>
      <c r="AD829" s="213"/>
      <c r="AE829" s="213"/>
      <c r="AF829" s="213"/>
      <c r="AG829" s="213"/>
      <c r="AH829" s="213" t="str">
        <f>IFERROR(__xludf.DUMMYFUNCTION("""COMPUTED_VALUE"""),"NACIONAL")</f>
        <v>NACIONAL</v>
      </c>
      <c r="AI829" s="213"/>
      <c r="AJ829" s="213"/>
      <c r="AK829" s="213"/>
      <c r="AL829" s="213"/>
      <c r="AM829" s="213"/>
      <c r="AN829" s="213"/>
      <c r="AO829" s="213"/>
      <c r="AP829" s="213" t="str">
        <f>IFERROR(__xludf.DUMMYFUNCTION("""COMPUTED_VALUE"""),"ANTONELLA")</f>
        <v>ANTONELLA</v>
      </c>
      <c r="AQ829" s="213" t="str">
        <f>IFERROR(__xludf.DUMMYFUNCTION("""COMPUTED_VALUE"""),"Tiene demasiadas caracteristicas que rara vez se encuentran en los equipos, se recomienda fabricar a medida (NO LINCCNOX)")</f>
        <v>Tiene demasiadas caracteristicas que rara vez se encuentran en los equipos, se recomienda fabricar a medida (NO LINCCNOX)</v>
      </c>
      <c r="AR829" s="213"/>
      <c r="AS829" s="213"/>
      <c r="AT829" s="213"/>
      <c r="AU829" s="213"/>
      <c r="AV829" s="213"/>
      <c r="AW829" s="213"/>
      <c r="AX829" s="213"/>
      <c r="AY829" s="213"/>
      <c r="AZ829" s="213"/>
      <c r="BA829" s="213"/>
      <c r="BB829" s="213"/>
      <c r="BC829" s="213"/>
      <c r="BD829" s="213"/>
    </row>
    <row r="830">
      <c r="A830" s="213">
        <f>IFERROR(__xludf.DUMMYFUNCTION("""COMPUTED_VALUE"""),2144.0)</f>
        <v>2144</v>
      </c>
      <c r="B830" s="213" t="str">
        <f>IFERROR(__xludf.DUMMYFUNCTION("""COMPUTED_VALUE"""),"JOSE GRANDA")</f>
        <v>JOSE GRANDA</v>
      </c>
      <c r="C830" s="213" t="str">
        <f>IFERROR(__xludf.DUMMYFUNCTION("""COMPUTED_VALUE"""),"TALLER SFT DE INDUSTRIA ALIMENTARIA")</f>
        <v>TALLER SFT DE INDUSTRIA ALIMENTARIA</v>
      </c>
      <c r="D830" s="213" t="str">
        <f>IFERROR(__xludf.DUMMYFUNCTION("""COMPUTED_VALUE"""),"EQUIPOS")</f>
        <v>EQUIPOS</v>
      </c>
      <c r="E830" s="213" t="str">
        <f>IFERROR(__xludf.DUMMYFUNCTION("""COMPUTED_VALUE"""),"ESP-185")</f>
        <v>ESP-185</v>
      </c>
      <c r="F830" s="213" t="str">
        <f>IFERROR(__xludf.DUMMYFUNCTION("""COMPUTED_VALUE"""),"ESP-185-Y")</f>
        <v>ESP-185-Y</v>
      </c>
      <c r="G830" s="213"/>
      <c r="H830" s="213" t="str">
        <f>IFERROR(__xludf.DUMMYFUNCTION("""COMPUTED_VALUE"""),"HORNO PASTELERO")</f>
        <v>HORNO PASTELERO</v>
      </c>
      <c r="I830" s="213" t="str">
        <f>IFERROR(__xludf.DUMMYFUNCTION("""COMPUTED_VALUE"""),".  Horno Semi Industrial a gas
.  Fabricado en acero satinado exterior
.  Pirómetro digital de control de temperatura
.  Válvula solenoide de corte de gas y pilotos de encendido
.  Manija inoxidable con aisladores de nylon y vidrio templado doble
.  Venti"&amp;"lador para movimiento de masa de aire caliente,
.   Rango de temperatura hasta 280°C,
.   Mueble inferior en acero inoxidable con repisa porta bandejas
.  Reguladores de nivel de piso, 03 niveles para bandejas medidas: 0.90 X 0.70 X 1.40cm.
.  Luz interna"&amp;"
.  Puerta con empaquetaduras para evitar escape de calor.
.  En el interior 3 rejillas de 65 cm X 55cms en seis niveles, (en total 6 rieles).")</f>
        <v>.  Horno Semi Industrial a gas
.  Fabricado en acero satinado exterior
.  Pirómetro digital de control de temperatura
.  Válvula solenoide de corte de gas y pilotos de encendido
.  Manija inoxidable con aisladores de nylon y vidrio templado doble
.  Ventilador para movimiento de masa de aire caliente,
.   Rango de temperatura hasta 280°C,
.   Mueble inferior en acero inoxidable con repisa porta bandejas
.  Reguladores de nivel de piso, 03 niveles para bandejas medidas: 0.90 X 0.70 X 1.40cm.
.  Luz interna
.  Puerta con empaquetaduras para evitar escape de calor.
.  En el interior 3 rejillas de 65 cm X 55cms en seis niveles, (en total 6 rieles).</v>
      </c>
      <c r="J830" s="213">
        <f>IFERROR(__xludf.DUMMYFUNCTION("""COMPUTED_VALUE"""),3.0)</f>
        <v>3</v>
      </c>
      <c r="K830" s="213" t="str">
        <f>IFERROR(__xludf.DUMMYFUNCTION("""COMPUTED_VALUE"""),"170 DÍAS CALENDARIO")</f>
        <v>170 DÍAS CALENDARIO</v>
      </c>
      <c r="L830" s="213" t="str">
        <f>IFERROR(__xludf.DUMMYFUNCTION("""COMPUTED_VALUE"""),"")</f>
        <v/>
      </c>
      <c r="M830" s="213">
        <f>IFERROR(__xludf.DUMMYFUNCTION("""COMPUTED_VALUE"""),1.0)</f>
        <v>1</v>
      </c>
      <c r="N830" s="213">
        <f>IFERROR(__xludf.DUMMYFUNCTION("""COMPUTED_VALUE"""),1.0)</f>
        <v>1</v>
      </c>
      <c r="O830" s="213">
        <f>IFERROR(__xludf.DUMMYFUNCTION("""COMPUTED_VALUE"""),1.0)</f>
        <v>1</v>
      </c>
      <c r="P830" s="213"/>
      <c r="Q830" s="213"/>
      <c r="R830" s="213"/>
      <c r="S830" s="213" t="str">
        <f>IFERROR(__xludf.DUMMYFUNCTION("""COMPUTED_VALUE"""),"SI")</f>
        <v>SI</v>
      </c>
      <c r="T830" s="213" t="str">
        <f>IFERROR(__xludf.DUMMYFUNCTION("""COMPUTED_VALUE"""),"SI")</f>
        <v>SI</v>
      </c>
      <c r="U830" s="213" t="str">
        <f>IFERROR(__xludf.DUMMYFUNCTION("""COMPUTED_VALUE"""),"SI")</f>
        <v>SI</v>
      </c>
      <c r="V830" s="213" t="str">
        <f>IFERROR(__xludf.DUMMYFUNCTION("""COMPUTED_VALUE"""),"-")</f>
        <v>-</v>
      </c>
      <c r="W830" s="213" t="str">
        <f>IFERROR(__xludf.DUMMYFUNCTION("""COMPUTED_VALUE"""),"-")</f>
        <v>-</v>
      </c>
      <c r="X830" s="213" t="str">
        <f>IFERROR(__xludf.DUMMYFUNCTION("""COMPUTED_VALUE"""),"FABRICAR A MEDIDA")</f>
        <v>FABRICAR A MEDIDA</v>
      </c>
      <c r="Y830" s="213" t="str">
        <f>IFERROR(__xludf.DUMMYFUNCTION("""COMPUTED_VALUE"""),"FABRICAR A MEDIDA")</f>
        <v>FABRICAR A MEDIDA</v>
      </c>
      <c r="Z830" s="215" t="str">
        <f>IFERROR(__xludf.DUMMYFUNCTION("""COMPUTED_VALUE"""),"https://www.gruponova.pe/collections/hornos/products/horno-nova-kit-horno-maxito-6b-a-gas-1")</f>
        <v>https://www.gruponova.pe/collections/hornos/products/horno-nova-kit-horno-maxito-6b-a-gas-1</v>
      </c>
      <c r="AA830" s="213" t="str">
        <f>IFERROR(__xludf.DUMMYFUNCTION("""COMPUTED_VALUE"""),"ESP-185-Y HORNO PASTELERO - CET")</f>
        <v>ESP-185-Y HORNO PASTELERO - CET</v>
      </c>
      <c r="AB830" s="213"/>
      <c r="AC830" s="213"/>
      <c r="AD830" s="213"/>
      <c r="AE830" s="213"/>
      <c r="AF830" s="213"/>
      <c r="AG830" s="213"/>
      <c r="AH830" s="213" t="str">
        <f>IFERROR(__xludf.DUMMYFUNCTION("""COMPUTED_VALUE"""),"NACIONAL")</f>
        <v>NACIONAL</v>
      </c>
      <c r="AI830" s="213"/>
      <c r="AJ830" s="213"/>
      <c r="AK830" s="213"/>
      <c r="AL830" s="213"/>
      <c r="AM830" s="213"/>
      <c r="AN830" s="213"/>
      <c r="AO830" s="213"/>
      <c r="AP830" s="213" t="str">
        <f>IFERROR(__xludf.DUMMYFUNCTION("""COMPUTED_VALUE"""),"ANTONELLA")</f>
        <v>ANTONELLA</v>
      </c>
      <c r="AQ830" s="213" t="str">
        <f>IFERROR(__xludf.DUMMYFUNCTION("""COMPUTED_VALUE"""),"Tiene demasiadas caracteristicas que rara vez se encuentran en los equipos, se recomienda fabricar a medida (NO LINCCNOX)")</f>
        <v>Tiene demasiadas caracteristicas que rara vez se encuentran en los equipos, se recomienda fabricar a medida (NO LINCCNOX)</v>
      </c>
      <c r="AR830" s="213"/>
      <c r="AS830" s="213"/>
      <c r="AT830" s="213"/>
      <c r="AU830" s="213"/>
      <c r="AV830" s="213"/>
      <c r="AW830" s="213"/>
      <c r="AX830" s="213"/>
      <c r="AY830" s="213"/>
      <c r="AZ830" s="213"/>
      <c r="BA830" s="213"/>
      <c r="BB830" s="213"/>
      <c r="BC830" s="213"/>
      <c r="BD830" s="213"/>
    </row>
    <row r="831">
      <c r="A831" s="213">
        <f>IFERROR(__xludf.DUMMYFUNCTION("""COMPUTED_VALUE"""),562.0)</f>
        <v>562</v>
      </c>
      <c r="B831" s="213" t="str">
        <f>IFERROR(__xludf.DUMMYFUNCTION("""COMPUTED_VALUE"""),"2026 SIMON BOLIVAR")</f>
        <v>2026 SIMON BOLIVAR</v>
      </c>
      <c r="C831" s="213" t="str">
        <f>IFERROR(__xludf.DUMMYFUNCTION("""COMPUTED_VALUE"""),"TALLER SFT DE INDUSTRIA ALIMENTARIA")</f>
        <v>TALLER SFT DE INDUSTRIA ALIMENTARIA</v>
      </c>
      <c r="D831" s="213" t="str">
        <f>IFERROR(__xludf.DUMMYFUNCTION("""COMPUTED_VALUE"""),"EQUIPOS")</f>
        <v>EQUIPOS</v>
      </c>
      <c r="E831" s="213" t="str">
        <f>IFERROR(__xludf.DUMMYFUNCTION("""COMPUTED_VALUE"""),"ESP-186")</f>
        <v>ESP-186</v>
      </c>
      <c r="F831" s="213" t="str">
        <f>IFERROR(__xludf.DUMMYFUNCTION("""COMPUTED_VALUE"""),"ESP-186")</f>
        <v>ESP-186</v>
      </c>
      <c r="G831" s="213"/>
      <c r="H831" s="213" t="str">
        <f>IFERROR(__xludf.DUMMYFUNCTION("""COMPUTED_VALUE"""),"HORNO TOSTADOR")</f>
        <v>HORNO TOSTADOR</v>
      </c>
      <c r="I831" s="213" t="str">
        <f>IFERROR(__xludf.DUMMYFUNCTION("""COMPUTED_VALUE"""),"· Material de la carcasa: Acero Inoxidable
· Potencia (W):3500
· Voltaje (V):220 /60hz
· Modo de calefacción: calefacción de Gas
· Tiempo de tostado: 12-15minutes
· Aplicación: Tostador de cacao,  café  y otros granos
· La capacidad de: 1 kg 2 kg 3 kg-500"&amp;" kg/h
· Dimensión aproximada: 1200mm x 800mm x 1100mm
* Incluye una funda protectora impermeable para su almacenamiento.")</f>
        <v>· Material de la carcasa: Acero Inoxidable
· Potencia (W):3500
· Voltaje (V):220 /60hz
· Modo de calefacción: calefacción de Gas
· Tiempo de tostado: 12-15minutes
· Aplicación: Tostador de cacao,  café  y otros granos
· La capacidad de: 1 kg 2 kg 3 kg-500 kg/h
· Dimensión aproximada: 1200mm x 800mm x 1100mm
* Incluye una funda protectora impermeable para su almacenamiento.</v>
      </c>
      <c r="J831" s="213">
        <f>IFERROR(__xludf.DUMMYFUNCTION("""COMPUTED_VALUE"""),3.0)</f>
        <v>3</v>
      </c>
      <c r="K831" s="213" t="str">
        <f>IFERROR(__xludf.DUMMYFUNCTION("""COMPUTED_VALUE"""),"170 DÍAS CALENDARIO")</f>
        <v>170 DÍAS CALENDARIO</v>
      </c>
      <c r="L831" s="213" t="str">
        <f>IFERROR(__xludf.DUMMYFUNCTION("""COMPUTED_VALUE"""),"")</f>
        <v/>
      </c>
      <c r="M831" s="213">
        <f>IFERROR(__xludf.DUMMYFUNCTION("""COMPUTED_VALUE"""),1.0)</f>
        <v>1</v>
      </c>
      <c r="N831" s="213">
        <f>IFERROR(__xludf.DUMMYFUNCTION("""COMPUTED_VALUE"""),1.0)</f>
        <v>1</v>
      </c>
      <c r="O831" s="213">
        <f>IFERROR(__xludf.DUMMYFUNCTION("""COMPUTED_VALUE"""),1.0)</f>
        <v>1</v>
      </c>
      <c r="P831" s="213"/>
      <c r="Q831" s="213"/>
      <c r="R831" s="213"/>
      <c r="S831" s="213" t="str">
        <f>IFERROR(__xludf.DUMMYFUNCTION("""COMPUTED_VALUE"""),"SI")</f>
        <v>SI</v>
      </c>
      <c r="T831" s="213" t="str">
        <f>IFERROR(__xludf.DUMMYFUNCTION("""COMPUTED_VALUE"""),"CONSULTA FINAL")</f>
        <v>CONSULTA FINAL</v>
      </c>
      <c r="U831" s="213" t="str">
        <f>IFERROR(__xludf.DUMMYFUNCTION("""COMPUTED_VALUE"""),"NO")</f>
        <v>NO</v>
      </c>
      <c r="V831" s="213" t="str">
        <f>IFERROR(__xludf.DUMMYFUNCTION("""COMPUTED_VALUE"""),"SUSTENTO")</f>
        <v>SUSTENTO</v>
      </c>
      <c r="W831" s="213" t="str">
        <f>IFERROR(__xludf.DUMMYFUNCTION("""COMPUTED_VALUE"""),"ERROR EETT, ELÉCTRICO")</f>
        <v>ERROR EETT, ELÉCTRICO</v>
      </c>
      <c r="X831" s="213" t="str">
        <f>IFERROR(__xludf.DUMMYFUNCTION("""COMPUTED_VALUE"""),"YOSHAN")</f>
        <v>YOSHAN</v>
      </c>
      <c r="Y831" s="213" t="str">
        <f>IFERROR(__xludf.DUMMYFUNCTION("""COMPUTED_VALUE"""),"YS-2kg")</f>
        <v>YS-2kg</v>
      </c>
      <c r="Z831" s="215" t="str">
        <f>IFERROR(__xludf.DUMMYFUNCTION("""COMPUTED_VALUE"""),"https://www.alibaba.com/product-detail/Yoshan-Coffee-Roaster-Gas-LPG-1_1600059378742.html")</f>
        <v>https://www.alibaba.com/product-detail/Yoshan-Coffee-Roaster-Gas-LPG-1_1600059378742.html</v>
      </c>
      <c r="AA831" s="213" t="str">
        <f>IFERROR(__xludf.DUMMYFUNCTION("""COMPUTED_VALUE"""),"ESP-186 HORNO TOSTADOR - CET")</f>
        <v>ESP-186 HORNO TOSTADOR - CET</v>
      </c>
      <c r="AB831" s="213"/>
      <c r="AC831" s="213"/>
      <c r="AD831" s="213"/>
      <c r="AE831" s="213"/>
      <c r="AF831" s="213"/>
      <c r="AG831" s="213"/>
      <c r="AH831" s="213"/>
      <c r="AI831" s="213"/>
      <c r="AJ831" s="213"/>
      <c r="AK831" s="213"/>
      <c r="AL831" s="213"/>
      <c r="AM831" s="213"/>
      <c r="AN831" s="213"/>
      <c r="AO831" s="213"/>
      <c r="AP831" s="213" t="str">
        <f>IFERROR(__xludf.DUMMYFUNCTION("""COMPUTED_VALUE"""),"ANTONELLA")</f>
        <v>ANTONELLA</v>
      </c>
      <c r="AQ831" s="213" t="str">
        <f>IFERROR(__xludf.DUMMYFUNCTION("""COMPUTED_VALUE"""),"Se debe solicitar la versión con calefacción eléctrica y gas. Se necesitaría de una máquina industrial de grandes dimensiones y potencia. No hay forma de que se obtengan 500 kg/h de producción, si máximo pueden entrar 3 kg y la tuesta dura 15 min. Se obit"&amp;"enen máximo 12 kg/h. ")</f>
        <v>Se debe solicitar la versión con calefacción eléctrica y gas. Se necesitaría de una máquina industrial de grandes dimensiones y potencia. No hay forma de que se obtengan 500 kg/h de producción, si máximo pueden entrar 3 kg y la tuesta dura 15 min. Se obitenen máximo 12 kg/h. </v>
      </c>
      <c r="AR831" s="213"/>
      <c r="AS831" s="217" t="str">
        <f>IFERROR(__xludf.DUMMYFUNCTION("""COMPUTED_VALUE"""),"FUNDA IMPERMEABLE")</f>
        <v>FUNDA IMPERMEABLE</v>
      </c>
      <c r="AT831" s="213"/>
      <c r="AU831" s="213"/>
      <c r="AV831" s="213"/>
      <c r="AW831" s="213"/>
      <c r="AX831" s="213"/>
      <c r="AY831" s="213"/>
      <c r="AZ831" s="213"/>
      <c r="BA831" s="213"/>
      <c r="BB831" s="213"/>
      <c r="BC831" s="213"/>
      <c r="BD831" s="213"/>
    </row>
    <row r="832">
      <c r="A832" s="213">
        <f>IFERROR(__xludf.DUMMYFUNCTION("""COMPUTED_VALUE"""),1189.0)</f>
        <v>1189</v>
      </c>
      <c r="B832" s="213" t="str">
        <f>IFERROR(__xludf.DUMMYFUNCTION("""COMPUTED_VALUE"""),"FRANCISCO IRAZOLA")</f>
        <v>FRANCISCO IRAZOLA</v>
      </c>
      <c r="C832" s="213" t="str">
        <f>IFERROR(__xludf.DUMMYFUNCTION("""COMPUTED_VALUE"""),"TALLER SFT DE INDUSTRIA ALIMENTARIA")</f>
        <v>TALLER SFT DE INDUSTRIA ALIMENTARIA</v>
      </c>
      <c r="D832" s="213" t="str">
        <f>IFERROR(__xludf.DUMMYFUNCTION("""COMPUTED_VALUE"""),"EQUIPOS")</f>
        <v>EQUIPOS</v>
      </c>
      <c r="E832" s="213" t="str">
        <f>IFERROR(__xludf.DUMMYFUNCTION("""COMPUTED_VALUE"""),"ESP-186")</f>
        <v>ESP-186</v>
      </c>
      <c r="F832" s="213" t="str">
        <f>IFERROR(__xludf.DUMMYFUNCTION("""COMPUTED_VALUE"""),"ESP-186")</f>
        <v>ESP-186</v>
      </c>
      <c r="G832" s="213"/>
      <c r="H832" s="213" t="str">
        <f>IFERROR(__xludf.DUMMYFUNCTION("""COMPUTED_VALUE"""),"HORNO TOSTADOR")</f>
        <v>HORNO TOSTADOR</v>
      </c>
      <c r="I832" s="213" t="str">
        <f>IFERROR(__xludf.DUMMYFUNCTION("""COMPUTED_VALUE"""),"· Material de la carcasa: Acero Inoxidable
· Potencia (W):3500
· Voltaje (V):220 /60hz
· Modo de calefacción: calefacción de Gas
· Tiempo de tostado: 12-15minutes
· Aplicación: Tostador de cacao,  café  y otros granos
· La capacidad de: 1 kg 2 kg 3 kg-500"&amp;" kg/h
· Dimensión aproximada: 1200mm x 800mm x 1100mm
* Incluye una funda protectora impermeable para su almacenamiento.")</f>
        <v>· Material de la carcasa: Acero Inoxidable
· Potencia (W):3500
· Voltaje (V):220 /60hz
· Modo de calefacción: calefacción de Gas
· Tiempo de tostado: 12-15minutes
· Aplicación: Tostador de cacao,  café  y otros granos
· La capacidad de: 1 kg 2 kg 3 kg-500 kg/h
· Dimensión aproximada: 1200mm x 800mm x 1100mm
* Incluye una funda protectora impermeable para su almacenamiento.</v>
      </c>
      <c r="J832" s="213">
        <f>IFERROR(__xludf.DUMMYFUNCTION("""COMPUTED_VALUE"""),3.0)</f>
        <v>3</v>
      </c>
      <c r="K832" s="213" t="str">
        <f>IFERROR(__xludf.DUMMYFUNCTION("""COMPUTED_VALUE"""),"170 DÍAS CALENDARIO")</f>
        <v>170 DÍAS CALENDARIO</v>
      </c>
      <c r="L832" s="213" t="str">
        <f>IFERROR(__xludf.DUMMYFUNCTION("""COMPUTED_VALUE"""),"")</f>
        <v/>
      </c>
      <c r="M832" s="213">
        <f>IFERROR(__xludf.DUMMYFUNCTION("""COMPUTED_VALUE"""),1.0)</f>
        <v>1</v>
      </c>
      <c r="N832" s="213">
        <f>IFERROR(__xludf.DUMMYFUNCTION("""COMPUTED_VALUE"""),1.0)</f>
        <v>1</v>
      </c>
      <c r="O832" s="213">
        <f>IFERROR(__xludf.DUMMYFUNCTION("""COMPUTED_VALUE"""),1.0)</f>
        <v>1</v>
      </c>
      <c r="P832" s="213"/>
      <c r="Q832" s="213"/>
      <c r="R832" s="213"/>
      <c r="S832" s="213" t="str">
        <f>IFERROR(__xludf.DUMMYFUNCTION("""COMPUTED_VALUE"""),"SI")</f>
        <v>SI</v>
      </c>
      <c r="T832" s="213" t="str">
        <f>IFERROR(__xludf.DUMMYFUNCTION("""COMPUTED_VALUE"""),"CONSULTA FINAL")</f>
        <v>CONSULTA FINAL</v>
      </c>
      <c r="U832" s="213" t="str">
        <f>IFERROR(__xludf.DUMMYFUNCTION("""COMPUTED_VALUE"""),"NO")</f>
        <v>NO</v>
      </c>
      <c r="V832" s="213" t="str">
        <f>IFERROR(__xludf.DUMMYFUNCTION("""COMPUTED_VALUE"""),"SUSTENTO")</f>
        <v>SUSTENTO</v>
      </c>
      <c r="W832" s="213" t="str">
        <f>IFERROR(__xludf.DUMMYFUNCTION("""COMPUTED_VALUE"""),"ERROR EETT, ELÉCTRICO")</f>
        <v>ERROR EETT, ELÉCTRICO</v>
      </c>
      <c r="X832" s="213" t="str">
        <f>IFERROR(__xludf.DUMMYFUNCTION("""COMPUTED_VALUE"""),"YOSHAN")</f>
        <v>YOSHAN</v>
      </c>
      <c r="Y832" s="213" t="str">
        <f>IFERROR(__xludf.DUMMYFUNCTION("""COMPUTED_VALUE"""),"YS-2kg")</f>
        <v>YS-2kg</v>
      </c>
      <c r="Z832" s="215" t="str">
        <f>IFERROR(__xludf.DUMMYFUNCTION("""COMPUTED_VALUE"""),"https://www.alibaba.com/product-detail/Yoshan-Coffee-Roaster-Gas-LPG-1_1600059378742.html")</f>
        <v>https://www.alibaba.com/product-detail/Yoshan-Coffee-Roaster-Gas-LPG-1_1600059378742.html</v>
      </c>
      <c r="AA832" s="213" t="str">
        <f>IFERROR(__xludf.DUMMYFUNCTION("""COMPUTED_VALUE"""),"ESP-186 HORNO TOSTADOR - CET")</f>
        <v>ESP-186 HORNO TOSTADOR - CET</v>
      </c>
      <c r="AB832" s="213"/>
      <c r="AC832" s="213"/>
      <c r="AD832" s="213"/>
      <c r="AE832" s="213"/>
      <c r="AF832" s="213"/>
      <c r="AG832" s="213"/>
      <c r="AH832" s="213"/>
      <c r="AI832" s="213"/>
      <c r="AJ832" s="213"/>
      <c r="AK832" s="213"/>
      <c r="AL832" s="213"/>
      <c r="AM832" s="213"/>
      <c r="AN832" s="213"/>
      <c r="AO832" s="213"/>
      <c r="AP832" s="213" t="str">
        <f>IFERROR(__xludf.DUMMYFUNCTION("""COMPUTED_VALUE"""),"ANTONELLA")</f>
        <v>ANTONELLA</v>
      </c>
      <c r="AQ832" s="213" t="str">
        <f>IFERROR(__xludf.DUMMYFUNCTION("""COMPUTED_VALUE"""),"Se debe solicitar la versión con calefacción eléctrica y gas. Se necesitaría de una máquina industrial de grandes dimensiones y potencia. No hay forma de que se obtengan 500 kg/h de producción, si máximo pueden entrar 3 kg y la tuesta dura 15 min. Se obit"&amp;"enen máximo 12 kg/h. ")</f>
        <v>Se debe solicitar la versión con calefacción eléctrica y gas. Se necesitaría de una máquina industrial de grandes dimensiones y potencia. No hay forma de que se obtengan 500 kg/h de producción, si máximo pueden entrar 3 kg y la tuesta dura 15 min. Se obitenen máximo 12 kg/h. </v>
      </c>
      <c r="AR832" s="213"/>
      <c r="AS832" s="217" t="str">
        <f>IFERROR(__xludf.DUMMYFUNCTION("""COMPUTED_VALUE"""),"FUNDA IMPERMEABLE")</f>
        <v>FUNDA IMPERMEABLE</v>
      </c>
      <c r="AT832" s="213"/>
      <c r="AU832" s="213"/>
      <c r="AV832" s="213"/>
      <c r="AW832" s="213"/>
      <c r="AX832" s="213"/>
      <c r="AY832" s="213"/>
      <c r="AZ832" s="213"/>
      <c r="BA832" s="213"/>
      <c r="BB832" s="213"/>
      <c r="BC832" s="213"/>
      <c r="BD832" s="213"/>
    </row>
    <row r="833">
      <c r="A833" s="213">
        <f>IFERROR(__xludf.DUMMYFUNCTION("""COMPUTED_VALUE"""),1464.0)</f>
        <v>1464</v>
      </c>
      <c r="B833" s="213" t="str">
        <f>IFERROR(__xludf.DUMMYFUNCTION("""COMPUTED_VALUE"""),"GUILLERMO E. BILLINGHURST ")</f>
        <v>GUILLERMO E. BILLINGHURST </v>
      </c>
      <c r="C833" s="213" t="str">
        <f>IFERROR(__xludf.DUMMYFUNCTION("""COMPUTED_VALUE"""),"TALLER SFT DE INDUSTRIA ALIMENTARIA")</f>
        <v>TALLER SFT DE INDUSTRIA ALIMENTARIA</v>
      </c>
      <c r="D833" s="213" t="str">
        <f>IFERROR(__xludf.DUMMYFUNCTION("""COMPUTED_VALUE"""),"EQUIPOS")</f>
        <v>EQUIPOS</v>
      </c>
      <c r="E833" s="213" t="str">
        <f>IFERROR(__xludf.DUMMYFUNCTION("""COMPUTED_VALUE"""),"ESP-186")</f>
        <v>ESP-186</v>
      </c>
      <c r="F833" s="213" t="str">
        <f>IFERROR(__xludf.DUMMYFUNCTION("""COMPUTED_VALUE"""),"ESP-186")</f>
        <v>ESP-186</v>
      </c>
      <c r="G833" s="213"/>
      <c r="H833" s="213" t="str">
        <f>IFERROR(__xludf.DUMMYFUNCTION("""COMPUTED_VALUE"""),"HORNO TOSTADOR")</f>
        <v>HORNO TOSTADOR</v>
      </c>
      <c r="I833" s="213" t="str">
        <f>IFERROR(__xludf.DUMMYFUNCTION("""COMPUTED_VALUE"""),"· Material de la carcasa: Acero Inoxidable
· Potencia (W):3500
· Voltaje (V):220 /60hz
· Modo de calefacción: calefacción de Gas
· Tiempo de tostado: 12-15minutes
· Aplicación: Tostador de cacao,  café  y otros granos
· La capacidad de: 1 kg 2 kg 3 kg-500"&amp;" kg/h
· Dimensión aproximada: 1200mm x 800mm x 1100mm
* Incluye una funda protectora impermeable para su almacenamiento.")</f>
        <v>· Material de la carcasa: Acero Inoxidable
· Potencia (W):3500
· Voltaje (V):220 /60hz
· Modo de calefacción: calefacción de Gas
· Tiempo de tostado: 12-15minutes
· Aplicación: Tostador de cacao,  café  y otros granos
· La capacidad de: 1 kg 2 kg 3 kg-500 kg/h
· Dimensión aproximada: 1200mm x 800mm x 1100mm
* Incluye una funda protectora impermeable para su almacenamiento.</v>
      </c>
      <c r="J833" s="213">
        <f>IFERROR(__xludf.DUMMYFUNCTION("""COMPUTED_VALUE"""),3.0)</f>
        <v>3</v>
      </c>
      <c r="K833" s="213" t="str">
        <f>IFERROR(__xludf.DUMMYFUNCTION("""COMPUTED_VALUE"""),"170 DÍAS CALENDARIO")</f>
        <v>170 DÍAS CALENDARIO</v>
      </c>
      <c r="L833" s="213" t="str">
        <f>IFERROR(__xludf.DUMMYFUNCTION("""COMPUTED_VALUE"""),"")</f>
        <v/>
      </c>
      <c r="M833" s="213">
        <f>IFERROR(__xludf.DUMMYFUNCTION("""COMPUTED_VALUE"""),1.0)</f>
        <v>1</v>
      </c>
      <c r="N833" s="213">
        <f>IFERROR(__xludf.DUMMYFUNCTION("""COMPUTED_VALUE"""),1.0)</f>
        <v>1</v>
      </c>
      <c r="O833" s="213">
        <f>IFERROR(__xludf.DUMMYFUNCTION("""COMPUTED_VALUE"""),1.0)</f>
        <v>1</v>
      </c>
      <c r="P833" s="213"/>
      <c r="Q833" s="213"/>
      <c r="R833" s="213"/>
      <c r="S833" s="213" t="str">
        <f>IFERROR(__xludf.DUMMYFUNCTION("""COMPUTED_VALUE"""),"SI")</f>
        <v>SI</v>
      </c>
      <c r="T833" s="213" t="str">
        <f>IFERROR(__xludf.DUMMYFUNCTION("""COMPUTED_VALUE"""),"CONSULTA FINAL")</f>
        <v>CONSULTA FINAL</v>
      </c>
      <c r="U833" s="213" t="str">
        <f>IFERROR(__xludf.DUMMYFUNCTION("""COMPUTED_VALUE"""),"NO")</f>
        <v>NO</v>
      </c>
      <c r="V833" s="213" t="str">
        <f>IFERROR(__xludf.DUMMYFUNCTION("""COMPUTED_VALUE"""),"SUSTENTO")</f>
        <v>SUSTENTO</v>
      </c>
      <c r="W833" s="213" t="str">
        <f>IFERROR(__xludf.DUMMYFUNCTION("""COMPUTED_VALUE"""),"ERROR EETT, ELÉCTRICO")</f>
        <v>ERROR EETT, ELÉCTRICO</v>
      </c>
      <c r="X833" s="213" t="str">
        <f>IFERROR(__xludf.DUMMYFUNCTION("""COMPUTED_VALUE"""),"YOSHAN")</f>
        <v>YOSHAN</v>
      </c>
      <c r="Y833" s="213" t="str">
        <f>IFERROR(__xludf.DUMMYFUNCTION("""COMPUTED_VALUE"""),"YS-2kg")</f>
        <v>YS-2kg</v>
      </c>
      <c r="Z833" s="215" t="str">
        <f>IFERROR(__xludf.DUMMYFUNCTION("""COMPUTED_VALUE"""),"https://www.alibaba.com/product-detail/Yoshan-Coffee-Roaster-Gas-LPG-1_1600059378742.html")</f>
        <v>https://www.alibaba.com/product-detail/Yoshan-Coffee-Roaster-Gas-LPG-1_1600059378742.html</v>
      </c>
      <c r="AA833" s="213" t="str">
        <f>IFERROR(__xludf.DUMMYFUNCTION("""COMPUTED_VALUE"""),"ESP-186 HORNO TOSTADOR - CET")</f>
        <v>ESP-186 HORNO TOSTADOR - CET</v>
      </c>
      <c r="AB833" s="213"/>
      <c r="AC833" s="213"/>
      <c r="AD833" s="213"/>
      <c r="AE833" s="213"/>
      <c r="AF833" s="213"/>
      <c r="AG833" s="213"/>
      <c r="AH833" s="213"/>
      <c r="AI833" s="213"/>
      <c r="AJ833" s="213"/>
      <c r="AK833" s="213"/>
      <c r="AL833" s="213"/>
      <c r="AM833" s="213"/>
      <c r="AN833" s="213"/>
      <c r="AO833" s="213"/>
      <c r="AP833" s="213" t="str">
        <f>IFERROR(__xludf.DUMMYFUNCTION("""COMPUTED_VALUE"""),"ANTONELLA")</f>
        <v>ANTONELLA</v>
      </c>
      <c r="AQ833" s="213" t="str">
        <f>IFERROR(__xludf.DUMMYFUNCTION("""COMPUTED_VALUE"""),"Se debe solicitar la versión con calefacción eléctrica y gas. Se necesitaría de una máquina industrial de grandes dimensiones y potencia. No hay forma de que se obtengan 500 kg/h de producción, si máximo pueden entrar 3 kg y la tuesta dura 15 min. Se obit"&amp;"enen máximo 12 kg/h. ")</f>
        <v>Se debe solicitar la versión con calefacción eléctrica y gas. Se necesitaría de una máquina industrial de grandes dimensiones y potencia. No hay forma de que se obtengan 500 kg/h de producción, si máximo pueden entrar 3 kg y la tuesta dura 15 min. Se obitenen máximo 12 kg/h. </v>
      </c>
      <c r="AR833" s="213"/>
      <c r="AS833" s="217" t="str">
        <f>IFERROR(__xludf.DUMMYFUNCTION("""COMPUTED_VALUE"""),"FUNDA IMPERMEABLE")</f>
        <v>FUNDA IMPERMEABLE</v>
      </c>
      <c r="AT833" s="213"/>
      <c r="AU833" s="213"/>
      <c r="AV833" s="213"/>
      <c r="AW833" s="213"/>
      <c r="AX833" s="213"/>
      <c r="AY833" s="213"/>
      <c r="AZ833" s="213"/>
      <c r="BA833" s="213"/>
      <c r="BB833" s="213"/>
      <c r="BC833" s="213"/>
      <c r="BD833" s="213"/>
    </row>
    <row r="834">
      <c r="A834" s="213">
        <f>IFERROR(__xludf.DUMMYFUNCTION("""COMPUTED_VALUE"""),2151.0)</f>
        <v>2151</v>
      </c>
      <c r="B834" s="213" t="str">
        <f>IFERROR(__xludf.DUMMYFUNCTION("""COMPUTED_VALUE"""),"JOSE GRANDA")</f>
        <v>JOSE GRANDA</v>
      </c>
      <c r="C834" s="213" t="str">
        <f>IFERROR(__xludf.DUMMYFUNCTION("""COMPUTED_VALUE"""),"TALLER SFT DE INDUSTRIA ALIMENTARIA")</f>
        <v>TALLER SFT DE INDUSTRIA ALIMENTARIA</v>
      </c>
      <c r="D834" s="213" t="str">
        <f>IFERROR(__xludf.DUMMYFUNCTION("""COMPUTED_VALUE"""),"EQUIPOS")</f>
        <v>EQUIPOS</v>
      </c>
      <c r="E834" s="213" t="str">
        <f>IFERROR(__xludf.DUMMYFUNCTION("""COMPUTED_VALUE"""),"ESP-186")</f>
        <v>ESP-186</v>
      </c>
      <c r="F834" s="213" t="str">
        <f>IFERROR(__xludf.DUMMYFUNCTION("""COMPUTED_VALUE"""),"ESP-186")</f>
        <v>ESP-186</v>
      </c>
      <c r="G834" s="213"/>
      <c r="H834" s="213" t="str">
        <f>IFERROR(__xludf.DUMMYFUNCTION("""COMPUTED_VALUE"""),"HORNO TOSTADOR")</f>
        <v>HORNO TOSTADOR</v>
      </c>
      <c r="I834" s="213" t="str">
        <f>IFERROR(__xludf.DUMMYFUNCTION("""COMPUTED_VALUE"""),"· Material de la carcasa: Acero Inoxidable
· Potencia (W):3500
· Voltaje (V):220 /60hz
· Modo de calefacción: calefacción de Gas
· Tiempo de tostado: 12-15minutes
· Aplicación: Tostador de cacao,  café  y otros granos
· La capacidad de: 1 kg 2 kg 3 kg-500"&amp;" kg/h
· Dimensión aproximada: 1200mm x 800mm x 1100mm
* Incluye una funda protectora impermeable para su almacenamiento.")</f>
        <v>· Material de la carcasa: Acero Inoxidable
· Potencia (W):3500
· Voltaje (V):220 /60hz
· Modo de calefacción: calefacción de Gas
· Tiempo de tostado: 12-15minutes
· Aplicación: Tostador de cacao,  café  y otros granos
· La capacidad de: 1 kg 2 kg 3 kg-500 kg/h
· Dimensión aproximada: 1200mm x 800mm x 1100mm
* Incluye una funda protectora impermeable para su almacenamiento.</v>
      </c>
      <c r="J834" s="213">
        <f>IFERROR(__xludf.DUMMYFUNCTION("""COMPUTED_VALUE"""),3.0)</f>
        <v>3</v>
      </c>
      <c r="K834" s="213" t="str">
        <f>IFERROR(__xludf.DUMMYFUNCTION("""COMPUTED_VALUE"""),"170 DÍAS CALENDARIO")</f>
        <v>170 DÍAS CALENDARIO</v>
      </c>
      <c r="L834" s="213" t="str">
        <f>IFERROR(__xludf.DUMMYFUNCTION("""COMPUTED_VALUE"""),"")</f>
        <v/>
      </c>
      <c r="M834" s="213">
        <f>IFERROR(__xludf.DUMMYFUNCTION("""COMPUTED_VALUE"""),1.0)</f>
        <v>1</v>
      </c>
      <c r="N834" s="213">
        <f>IFERROR(__xludf.DUMMYFUNCTION("""COMPUTED_VALUE"""),1.0)</f>
        <v>1</v>
      </c>
      <c r="O834" s="213">
        <f>IFERROR(__xludf.DUMMYFUNCTION("""COMPUTED_VALUE"""),1.0)</f>
        <v>1</v>
      </c>
      <c r="P834" s="213"/>
      <c r="Q834" s="213"/>
      <c r="R834" s="213"/>
      <c r="S834" s="213" t="str">
        <f>IFERROR(__xludf.DUMMYFUNCTION("""COMPUTED_VALUE"""),"SI")</f>
        <v>SI</v>
      </c>
      <c r="T834" s="213" t="str">
        <f>IFERROR(__xludf.DUMMYFUNCTION("""COMPUTED_VALUE"""),"CONSULTA FINAL")</f>
        <v>CONSULTA FINAL</v>
      </c>
      <c r="U834" s="213" t="str">
        <f>IFERROR(__xludf.DUMMYFUNCTION("""COMPUTED_VALUE"""),"NO")</f>
        <v>NO</v>
      </c>
      <c r="V834" s="213" t="str">
        <f>IFERROR(__xludf.DUMMYFUNCTION("""COMPUTED_VALUE"""),"SUSTENTO")</f>
        <v>SUSTENTO</v>
      </c>
      <c r="W834" s="213" t="str">
        <f>IFERROR(__xludf.DUMMYFUNCTION("""COMPUTED_VALUE"""),"ERROR EETT, ELÉCTRICO")</f>
        <v>ERROR EETT, ELÉCTRICO</v>
      </c>
      <c r="X834" s="213" t="str">
        <f>IFERROR(__xludf.DUMMYFUNCTION("""COMPUTED_VALUE"""),"YOSHAN")</f>
        <v>YOSHAN</v>
      </c>
      <c r="Y834" s="213" t="str">
        <f>IFERROR(__xludf.DUMMYFUNCTION("""COMPUTED_VALUE"""),"YS-2kg")</f>
        <v>YS-2kg</v>
      </c>
      <c r="Z834" s="215" t="str">
        <f>IFERROR(__xludf.DUMMYFUNCTION("""COMPUTED_VALUE"""),"https://www.alibaba.com/product-detail/Yoshan-Coffee-Roaster-Gas-LPG-1_1600059378742.html")</f>
        <v>https://www.alibaba.com/product-detail/Yoshan-Coffee-Roaster-Gas-LPG-1_1600059378742.html</v>
      </c>
      <c r="AA834" s="213" t="str">
        <f>IFERROR(__xludf.DUMMYFUNCTION("""COMPUTED_VALUE"""),"ESP-186 HORNO TOSTADOR - CET")</f>
        <v>ESP-186 HORNO TOSTADOR - CET</v>
      </c>
      <c r="AB834" s="213"/>
      <c r="AC834" s="213"/>
      <c r="AD834" s="213"/>
      <c r="AE834" s="213"/>
      <c r="AF834" s="213"/>
      <c r="AG834" s="213"/>
      <c r="AH834" s="213"/>
      <c r="AI834" s="213"/>
      <c r="AJ834" s="213"/>
      <c r="AK834" s="213"/>
      <c r="AL834" s="213"/>
      <c r="AM834" s="213"/>
      <c r="AN834" s="213"/>
      <c r="AO834" s="213"/>
      <c r="AP834" s="213" t="str">
        <f>IFERROR(__xludf.DUMMYFUNCTION("""COMPUTED_VALUE"""),"ANTONELLA")</f>
        <v>ANTONELLA</v>
      </c>
      <c r="AQ834" s="213" t="str">
        <f>IFERROR(__xludf.DUMMYFUNCTION("""COMPUTED_VALUE"""),"Se debe solicitar la versión con calefacción eléctrica y gas. Se necesitaría de una máquina industrial de grandes dimensiones y potencia. No hay forma de que se obtengan 500 kg/h de producción, si máximo pueden entrar 3 kg y la tuesta dura 15 min. Se obit"&amp;"enen máximo 12 kg/h. ")</f>
        <v>Se debe solicitar la versión con calefacción eléctrica y gas. Se necesitaría de una máquina industrial de grandes dimensiones y potencia. No hay forma de que se obtengan 500 kg/h de producción, si máximo pueden entrar 3 kg y la tuesta dura 15 min. Se obitenen máximo 12 kg/h. </v>
      </c>
      <c r="AR834" s="213"/>
      <c r="AS834" s="217" t="str">
        <f>IFERROR(__xludf.DUMMYFUNCTION("""COMPUTED_VALUE"""),"FUNDA IMPERMEABLE")</f>
        <v>FUNDA IMPERMEABLE</v>
      </c>
      <c r="AT834" s="213"/>
      <c r="AU834" s="213"/>
      <c r="AV834" s="213"/>
      <c r="AW834" s="213"/>
      <c r="AX834" s="213"/>
      <c r="AY834" s="213"/>
      <c r="AZ834" s="213"/>
      <c r="BA834" s="213"/>
      <c r="BB834" s="213"/>
      <c r="BC834" s="213"/>
      <c r="BD834" s="213"/>
    </row>
    <row r="835">
      <c r="A835" s="213">
        <f>IFERROR(__xludf.DUMMYFUNCTION("""COMPUTED_VALUE"""),129.0)</f>
        <v>129</v>
      </c>
      <c r="B835" s="213" t="str">
        <f>IFERROR(__xludf.DUMMYFUNCTION("""COMPUTED_VALUE"""),"16449 ELOY SOBERON  FLORES")</f>
        <v>16449 ELOY SOBERON  FLORES</v>
      </c>
      <c r="C835" s="213" t="str">
        <f>IFERROR(__xludf.DUMMYFUNCTION("""COMPUTED_VALUE"""),"TALLER SFT DE COCINA Y REPOSTERÍA")</f>
        <v>TALLER SFT DE COCINA Y REPOSTERÍA</v>
      </c>
      <c r="D835" s="213" t="str">
        <f>IFERROR(__xludf.DUMMYFUNCTION("""COMPUTED_VALUE"""),"EQUIPOS")</f>
        <v>EQUIPOS</v>
      </c>
      <c r="E835" s="213" t="str">
        <f>IFERROR(__xludf.DUMMYFUNCTION("""COMPUTED_VALUE"""),"ESP-187")</f>
        <v>ESP-187</v>
      </c>
      <c r="F835" s="213" t="str">
        <f>IFERROR(__xludf.DUMMYFUNCTION("""COMPUTED_VALUE"""),"ESP-187-Y")</f>
        <v>ESP-187-Y</v>
      </c>
      <c r="G835" s="213"/>
      <c r="H835" s="213" t="str">
        <f>IFERROR(__xludf.DUMMYFUNCTION("""COMPUTED_VALUE"""),"IMPRESORA 3D")</f>
        <v>IMPRESORA 3D</v>
      </c>
      <c r="I835" s="213" t="str">
        <f>IFERROR(__xludf.DUMMYFUNCTION("""COMPUTED_VALUE"""),"Características TECNOLOGÍA: FDM
VOLUMEN DE IMPRESIÓN: 21cm x 21cm x 25 cm MATERIAL DE IMPRESIÓN: PLA, HIPS CONECTIVIDAD: WiFi y USB 2.0
PLATAFORMA DE TRABAJO: Windows 11
ACCESORIOS: 01 Cable de poder, 01 Manual y 01 Rollo de filamento. FUENTE DE PODER: 22"&amp;"0VAC /60 HZ
SOFTWARE INCLUIDO: Controladores, software de impresión de para Imagen en 3D. CERTIFICADO: Energy STAR y/o CE y/o FCC y/o RoHS.
GARANTÍA Tres (03) años Onsite.
VERA Hilda 998 soft")</f>
        <v>Características TECNOLOGÍA: FDM
VOLUMEN DE IMPRESIÓN: 21cm x 21cm x 25 cm MATERIAL DE IMPRESIÓN: PLA, HIPS CONECTIVIDAD: WiFi y USB 2.0
PLATAFORMA DE TRABAJO: Windows 11
ACCESORIOS: 01 Cable de poder, 01 Manual y 01 Rollo de filamento. FUENTE DE PODER: 220VAC /60 HZ
SOFTWARE INCLUIDO: Controladores, software de impresión de para Imagen en 3D. CERTIFICADO: Energy STAR y/o CE y/o FCC y/o RoHS.
GARANTÍA Tres (03) años Onsite.
VERA Hilda 998 soft</v>
      </c>
      <c r="J835" s="213">
        <f>IFERROR(__xludf.DUMMYFUNCTION("""COMPUTED_VALUE"""),3.0)</f>
        <v>3</v>
      </c>
      <c r="K835" s="213" t="str">
        <f>IFERROR(__xludf.DUMMYFUNCTION("""COMPUTED_VALUE"""),"170 DÍAS CALENDARIO")</f>
        <v>170 DÍAS CALENDARIO</v>
      </c>
      <c r="L835" s="213" t="str">
        <f>IFERROR(__xludf.DUMMYFUNCTION("""COMPUTED_VALUE"""),"COCINA Y REPOSTERÍA, ELECTRICIDAD, ELECTRÓNICA")</f>
        <v>COCINA Y REPOSTERÍA, ELECTRICIDAD, ELECTRÓNICA</v>
      </c>
      <c r="M835" s="213">
        <f>IFERROR(__xludf.DUMMYFUNCTION("""COMPUTED_VALUE"""),1.0)</f>
        <v>1</v>
      </c>
      <c r="N835" s="213">
        <f>IFERROR(__xludf.DUMMYFUNCTION("""COMPUTED_VALUE"""),4.0)</f>
        <v>4</v>
      </c>
      <c r="O835" s="213">
        <f>IFERROR(__xludf.DUMMYFUNCTION("""COMPUTED_VALUE"""),4.0)</f>
        <v>4</v>
      </c>
      <c r="P835" s="213"/>
      <c r="Q835" s="213"/>
      <c r="R835" s="213"/>
      <c r="S835" s="213" t="str">
        <f>IFERROR(__xludf.DUMMYFUNCTION("""COMPUTED_VALUE"""),"SI")</f>
        <v>SI</v>
      </c>
      <c r="T835" s="213" t="str">
        <f>IFERROR(__xludf.DUMMYFUNCTION("""COMPUTED_VALUE"""),"SI")</f>
        <v>SI</v>
      </c>
      <c r="U835" s="213" t="str">
        <f>IFERROR(__xludf.DUMMYFUNCTION("""COMPUTED_VALUE"""),"NO")</f>
        <v>NO</v>
      </c>
      <c r="V835" s="213" t="str">
        <f>IFERROR(__xludf.DUMMYFUNCTION("""COMPUTED_VALUE"""),"SUSTENTO")</f>
        <v>SUSTENTO</v>
      </c>
      <c r="W835" s="213" t="str">
        <f>IFERROR(__xludf.DUMMYFUNCTION("""COMPUTED_VALUE"""),"EQU TEC")</f>
        <v>EQU TEC</v>
      </c>
      <c r="X835" s="213" t="str">
        <f>IFERROR(__xludf.DUMMYFUNCTION("""COMPUTED_VALUE"""),"Creality")</f>
        <v>Creality</v>
      </c>
      <c r="Y835" s="213" t="str">
        <f>IFERROR(__xludf.DUMMYFUNCTION("""COMPUTED_VALUE"""),"K1 SE")</f>
        <v>K1 SE</v>
      </c>
      <c r="Z835" s="215" t="str">
        <f>IFERROR(__xludf.DUMMYFUNCTION("""COMPUTED_VALUE"""),"https://store.creality.com/es/products/k1-se-impresora-3d")</f>
        <v>https://store.creality.com/es/products/k1-se-impresora-3d</v>
      </c>
      <c r="AA835" s="213" t="str">
        <f>IFERROR(__xludf.DUMMYFUNCTION("""COMPUTED_VALUE"""),"ESP-187-B IMPRESORA 3D - CET")</f>
        <v>ESP-187-B IMPRESORA 3D - CET</v>
      </c>
      <c r="AB835" s="215" t="str">
        <f>IFERROR(__xludf.DUMMYFUNCTION("""COMPUTED_VALUE"""),"https://drive.google.com/file/d/1E0j0w1lERE5KzfLHnwjCYqpy91_mDAdB/view")</f>
        <v>https://drive.google.com/file/d/1E0j0w1lERE5KzfLHnwjCYqpy91_mDAdB/view</v>
      </c>
      <c r="AC835" s="213"/>
      <c r="AD835" s="213"/>
      <c r="AE835" s="213"/>
      <c r="AF835" s="213"/>
      <c r="AG835" s="213"/>
      <c r="AH835" s="213" t="str">
        <f>IFERROR(__xludf.DUMMYFUNCTION("""COMPUTED_VALUE"""),"IMPORTADO / NACIONAL")</f>
        <v>IMPORTADO / NACIONAL</v>
      </c>
      <c r="AI835" s="213"/>
      <c r="AJ835" s="213"/>
      <c r="AK835" s="213"/>
      <c r="AL835" s="213"/>
      <c r="AM835" s="213"/>
      <c r="AN835" s="213"/>
      <c r="AO835" s="213"/>
      <c r="AP835" s="213" t="str">
        <f>IFERROR(__xludf.DUMMYFUNCTION("""COMPUTED_VALUE"""),"NALDI")</f>
        <v>NALDI</v>
      </c>
      <c r="AQ835"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R835" s="213"/>
      <c r="AS835" s="217" t="str">
        <f>IFERROR(__xludf.DUMMYFUNCTION("""COMPUTED_VALUE"""),"Rollo de filamente PLA 1 kg
")</f>
        <v>Rollo de filamente PLA 1 kg
</v>
      </c>
      <c r="AT835" s="213"/>
      <c r="AU835" s="213"/>
      <c r="AV835" s="213"/>
      <c r="AW835" s="213"/>
      <c r="AX835" s="213"/>
      <c r="AY835" s="213"/>
      <c r="AZ835" s="213"/>
      <c r="BA835" s="213"/>
      <c r="BB835" s="213"/>
      <c r="BC835" s="213"/>
      <c r="BD835" s="213"/>
    </row>
    <row r="836">
      <c r="A836" s="213">
        <f>IFERROR(__xludf.DUMMYFUNCTION("""COMPUTED_VALUE"""),362.0)</f>
        <v>362</v>
      </c>
      <c r="B836" s="213" t="str">
        <f>IFERROR(__xludf.DUMMYFUNCTION("""COMPUTED_VALUE"""),"2026 SIMON BOLIVAR")</f>
        <v>2026 SIMON BOLIVAR</v>
      </c>
      <c r="C836" s="213" t="str">
        <f>IFERROR(__xludf.DUMMYFUNCTION("""COMPUTED_VALUE"""),"TALLER SFT DE ELECTRICIDAD")</f>
        <v>TALLER SFT DE ELECTRICIDAD</v>
      </c>
      <c r="D836" s="213" t="str">
        <f>IFERROR(__xludf.DUMMYFUNCTION("""COMPUTED_VALUE"""),"EQUIPOS")</f>
        <v>EQUIPOS</v>
      </c>
      <c r="E836" s="213" t="str">
        <f>IFERROR(__xludf.DUMMYFUNCTION("""COMPUTED_VALUE"""),"ESP-187")</f>
        <v>ESP-187</v>
      </c>
      <c r="F836" s="213" t="str">
        <f>IFERROR(__xludf.DUMMYFUNCTION("""COMPUTED_VALUE"""),"ESP-187-Y")</f>
        <v>ESP-187-Y</v>
      </c>
      <c r="G836" s="213"/>
      <c r="H836" s="213" t="str">
        <f>IFERROR(__xludf.DUMMYFUNCTION("""COMPUTED_VALUE"""),"IMPRESORA 3D")</f>
        <v>IMPRESORA 3D</v>
      </c>
      <c r="I836" s="213" t="str">
        <f>IFERROR(__xludf.DUMMYFUNCTION("""COMPUTED_VALUE"""),"Características TECNOLOGÍA: FDM
VOLUMEN DE IMPRESIÓN: 21 cm x 21 cm x 25 cm MATERIAL DE IMPRESIÓN: PLA, HIPS CONECTIVIDAD: WiFi y USB 2.0
PLATAFORMA DE TRABAJO: Windows 11 o superior
ACCESORIOS: 01 Cable de poder, 01 Manual y 01 Rollo de filamento. FUENTE"&amp;" DE PODER: 220VAC /60 HZ
SOFTWARE INCLUIDO: Controladores, software de impresión de para Imagen en 3D. CERTIFICADO: Energy STAR y/o CE y/o FCC y/o RoHS.
GARANTÍA Tres (03) años Onsite.")</f>
        <v>Características TECNOLOGÍA: FDM
VOLUMEN DE IMPRESIÓN: 21 cm x 21 cm x 25 cm MATERIAL DE IMPRESIÓN: PLA, HIPS CONECTIVIDAD: WiFi y USB 2.0
PLATAFORMA DE TRABAJO: Windows 11 o superior
ACCESORIOS: 01 Cable de poder, 01 Manual y 01 Rollo de filamento. FUENTE DE PODER: 220VAC /60 HZ
SOFTWARE INCLUIDO: Controladores, software de impresión de para Imagen en 3D. CERTIFICADO: Energy STAR y/o CE y/o FCC y/o RoHS.
GARANTÍA Tres (03) años Onsite.</v>
      </c>
      <c r="J836" s="213">
        <f>IFERROR(__xludf.DUMMYFUNCTION("""COMPUTED_VALUE"""),3.0)</f>
        <v>3</v>
      </c>
      <c r="K836" s="213" t="str">
        <f>IFERROR(__xludf.DUMMYFUNCTION("""COMPUTED_VALUE"""),"170 DÍAS CALENDARIO")</f>
        <v>170 DÍAS CALENDARIO</v>
      </c>
      <c r="L836" s="213" t="str">
        <f>IFERROR(__xludf.DUMMYFUNCTION("""COMPUTED_VALUE"""),"COCINA Y REPOSTERÍA, ELECTRICIDAD, ELECTRÓNICA")</f>
        <v>COCINA Y REPOSTERÍA, ELECTRICIDAD, ELECTRÓNICA</v>
      </c>
      <c r="M836" s="213">
        <f>IFERROR(__xludf.DUMMYFUNCTION("""COMPUTED_VALUE"""),1.0)</f>
        <v>1</v>
      </c>
      <c r="N836" s="213">
        <f>IFERROR(__xludf.DUMMYFUNCTION("""COMPUTED_VALUE"""),3.0)</f>
        <v>3</v>
      </c>
      <c r="O836" s="213">
        <f>IFERROR(__xludf.DUMMYFUNCTION("""COMPUTED_VALUE"""),3.0)</f>
        <v>3</v>
      </c>
      <c r="P836" s="213"/>
      <c r="Q836" s="213"/>
      <c r="R836" s="213"/>
      <c r="S836" s="213" t="str">
        <f>IFERROR(__xludf.DUMMYFUNCTION("""COMPUTED_VALUE"""),"SI")</f>
        <v>SI</v>
      </c>
      <c r="T836" s="213" t="str">
        <f>IFERROR(__xludf.DUMMYFUNCTION("""COMPUTED_VALUE"""),"SI")</f>
        <v>SI</v>
      </c>
      <c r="U836" s="213" t="str">
        <f>IFERROR(__xludf.DUMMYFUNCTION("""COMPUTED_VALUE"""),"NO")</f>
        <v>NO</v>
      </c>
      <c r="V836" s="213" t="str">
        <f>IFERROR(__xludf.DUMMYFUNCTION("""COMPUTED_VALUE"""),"SUSTENTO")</f>
        <v>SUSTENTO</v>
      </c>
      <c r="W836" s="213" t="str">
        <f>IFERROR(__xludf.DUMMYFUNCTION("""COMPUTED_VALUE"""),"EQU TEC")</f>
        <v>EQU TEC</v>
      </c>
      <c r="X836" s="213" t="str">
        <f>IFERROR(__xludf.DUMMYFUNCTION("""COMPUTED_VALUE"""),"Creality")</f>
        <v>Creality</v>
      </c>
      <c r="Y836" s="213" t="str">
        <f>IFERROR(__xludf.DUMMYFUNCTION("""COMPUTED_VALUE"""),"K1 SE")</f>
        <v>K1 SE</v>
      </c>
      <c r="Z836" s="215" t="str">
        <f>IFERROR(__xludf.DUMMYFUNCTION("""COMPUTED_VALUE"""),"https://store.creality.com/es/products/k1-se-impresora-3d")</f>
        <v>https://store.creality.com/es/products/k1-se-impresora-3d</v>
      </c>
      <c r="AA836" s="213" t="str">
        <f>IFERROR(__xludf.DUMMYFUNCTION("""COMPUTED_VALUE"""),"ESP-187-B IMPRESORA 3D - CET")</f>
        <v>ESP-187-B IMPRESORA 3D - CET</v>
      </c>
      <c r="AB836" s="215" t="str">
        <f>IFERROR(__xludf.DUMMYFUNCTION("""COMPUTED_VALUE"""),"https://drive.google.com/file/d/1E0j0w1lERE5KzfLHnwjCYqpy91_mDAdB/view")</f>
        <v>https://drive.google.com/file/d/1E0j0w1lERE5KzfLHnwjCYqpy91_mDAdB/view</v>
      </c>
      <c r="AC836" s="213"/>
      <c r="AD836" s="213"/>
      <c r="AE836" s="213"/>
      <c r="AF836" s="213"/>
      <c r="AG836" s="213"/>
      <c r="AH836" s="213" t="str">
        <f>IFERROR(__xludf.DUMMYFUNCTION("""COMPUTED_VALUE"""),"IMPORTADO / NACIONAL")</f>
        <v>IMPORTADO / NACIONAL</v>
      </c>
      <c r="AI836" s="213"/>
      <c r="AJ836" s="213"/>
      <c r="AK836" s="213"/>
      <c r="AL836" s="213"/>
      <c r="AM836" s="213"/>
      <c r="AN836" s="213"/>
      <c r="AO836" s="213"/>
      <c r="AP836" s="213" t="str">
        <f>IFERROR(__xludf.DUMMYFUNCTION("""COMPUTED_VALUE"""),"NALDI")</f>
        <v>NALDI</v>
      </c>
      <c r="AQ836" s="213" t="str">
        <f>IFERROR(__xludf.DUMMYFUNCTION("""COMPUTED_VALUE"""),"GARANTÍA Tres (03) años Onsite.")</f>
        <v>GARANTÍA Tres (03) años Onsite.</v>
      </c>
      <c r="AR836" s="213"/>
      <c r="AS836"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836" s="217" t="str">
        <f>IFERROR(__xludf.DUMMYFUNCTION("""COMPUTED_VALUE"""),"Rollo de filamente PLA 1 kg
")</f>
        <v>Rollo de filamente PLA 1 kg
</v>
      </c>
      <c r="AU836" s="213"/>
      <c r="AV836" s="213"/>
      <c r="AW836" s="213"/>
      <c r="AX836" s="213"/>
      <c r="AY836" s="213"/>
      <c r="AZ836" s="213"/>
      <c r="BA836" s="213"/>
      <c r="BB836" s="213"/>
      <c r="BC836" s="213"/>
      <c r="BD836" s="213"/>
    </row>
    <row r="837">
      <c r="A837" s="213">
        <f>IFERROR(__xludf.DUMMYFUNCTION("""COMPUTED_VALUE"""),650.0)</f>
        <v>650</v>
      </c>
      <c r="B837" s="213" t="str">
        <f>IFERROR(__xludf.DUMMYFUNCTION("""COMPUTED_VALUE"""),"6049 RICARDO PALMA")</f>
        <v>6049 RICARDO PALMA</v>
      </c>
      <c r="C837" s="213" t="str">
        <f>IFERROR(__xludf.DUMMYFUNCTION("""COMPUTED_VALUE"""),"TALLER SFT DE ELECTRÓNICA")</f>
        <v>TALLER SFT DE ELECTRÓNICA</v>
      </c>
      <c r="D837" s="213" t="str">
        <f>IFERROR(__xludf.DUMMYFUNCTION("""COMPUTED_VALUE"""),"EQUIPOS")</f>
        <v>EQUIPOS</v>
      </c>
      <c r="E837" s="213" t="str">
        <f>IFERROR(__xludf.DUMMYFUNCTION("""COMPUTED_VALUE"""),"ESP-187")</f>
        <v>ESP-187</v>
      </c>
      <c r="F837" s="213" t="str">
        <f>IFERROR(__xludf.DUMMYFUNCTION("""COMPUTED_VALUE"""),"ESP-187-Y")</f>
        <v>ESP-187-Y</v>
      </c>
      <c r="G837" s="213"/>
      <c r="H837" s="213" t="str">
        <f>IFERROR(__xludf.DUMMYFUNCTION("""COMPUTED_VALUE"""),"IMPRESORA 3D")</f>
        <v>IMPRESORA 3D</v>
      </c>
      <c r="I837" s="213" t="str">
        <f>IFERROR(__xludf.DUMMYFUNCTION("""COMPUTED_VALUE"""),"Características TECNOLOGÍA: FDM
VOLUMEN DE IMPRESIÓN: 21cm x 21cm x 25 cm MATERIAL DE IMPRESIÓN: PLA, HIPS CONECTIVIDAD: WiFi y USB 2.0
PLATAFORMA DE TRABAJO: Windows 11
ACCESORIOS: 01 Cable de poder, 01 Manual y 01 Rollo de filamento. FUENTE DE PODER: 22"&amp;"0VAC /60 HZ
SOFTWARE INCLUIDO: Controladores, software de impresión de para Imagen en 3D. CERTIFICADO: Energy STAR y/o CE y/o FCC y/o RoHS.
GARANTÍA Tres (03) años Onsite.")</f>
        <v>Características TECNOLOGÍA: FDM
VOLUMEN DE IMPRESIÓN: 21cm x 21cm x 25 cm MATERIAL DE IMPRESIÓN: PLA, HIPS CONECTIVIDAD: WiFi y USB 2.0
PLATAFORMA DE TRABAJO: Windows 11
ACCESORIOS: 01 Cable de poder, 01 Manual y 01 Rollo de filamento. FUENTE DE PODER: 220VAC /60 HZ
SOFTWARE INCLUIDO: Controladores, software de impresión de para Imagen en 3D. CERTIFICADO: Energy STAR y/o CE y/o FCC y/o RoHS.
GARANTÍA Tres (03) años Onsite.</v>
      </c>
      <c r="J837" s="213">
        <f>IFERROR(__xludf.DUMMYFUNCTION("""COMPUTED_VALUE"""),3.0)</f>
        <v>3</v>
      </c>
      <c r="K837" s="213" t="str">
        <f>IFERROR(__xludf.DUMMYFUNCTION("""COMPUTED_VALUE"""),"170 DÍAS CALENDARIO")</f>
        <v>170 DÍAS CALENDARIO</v>
      </c>
      <c r="L837" s="213" t="str">
        <f>IFERROR(__xludf.DUMMYFUNCTION("""COMPUTED_VALUE"""),"COCINA Y REPOSTERÍA, ELECTRICIDAD, ELECTRÓNICA")</f>
        <v>COCINA Y REPOSTERÍA, ELECTRICIDAD, ELECTRÓNICA</v>
      </c>
      <c r="M837" s="213">
        <f>IFERROR(__xludf.DUMMYFUNCTION("""COMPUTED_VALUE"""),1.0)</f>
        <v>1</v>
      </c>
      <c r="N837" s="213">
        <f>IFERROR(__xludf.DUMMYFUNCTION("""COMPUTED_VALUE"""),4.0)</f>
        <v>4</v>
      </c>
      <c r="O837" s="213">
        <f>IFERROR(__xludf.DUMMYFUNCTION("""COMPUTED_VALUE"""),4.0)</f>
        <v>4</v>
      </c>
      <c r="P837" s="213"/>
      <c r="Q837" s="213"/>
      <c r="R837" s="213"/>
      <c r="S837" s="213" t="str">
        <f>IFERROR(__xludf.DUMMYFUNCTION("""COMPUTED_VALUE"""),"SI")</f>
        <v>SI</v>
      </c>
      <c r="T837" s="213" t="str">
        <f>IFERROR(__xludf.DUMMYFUNCTION("""COMPUTED_VALUE"""),"SI")</f>
        <v>SI</v>
      </c>
      <c r="U837" s="213" t="str">
        <f>IFERROR(__xludf.DUMMYFUNCTION("""COMPUTED_VALUE"""),"NO")</f>
        <v>NO</v>
      </c>
      <c r="V837" s="213" t="str">
        <f>IFERROR(__xludf.DUMMYFUNCTION("""COMPUTED_VALUE"""),"SUSTENTO")</f>
        <v>SUSTENTO</v>
      </c>
      <c r="W837" s="213" t="str">
        <f>IFERROR(__xludf.DUMMYFUNCTION("""COMPUTED_VALUE"""),"EQU TEC")</f>
        <v>EQU TEC</v>
      </c>
      <c r="X837" s="213" t="str">
        <f>IFERROR(__xludf.DUMMYFUNCTION("""COMPUTED_VALUE"""),"Creality")</f>
        <v>Creality</v>
      </c>
      <c r="Y837" s="213" t="str">
        <f>IFERROR(__xludf.DUMMYFUNCTION("""COMPUTED_VALUE"""),"K1 SE")</f>
        <v>K1 SE</v>
      </c>
      <c r="Z837" s="215" t="str">
        <f>IFERROR(__xludf.DUMMYFUNCTION("""COMPUTED_VALUE"""),"https://store.creality.com/es/products/k1-se-impresora-3d")</f>
        <v>https://store.creality.com/es/products/k1-se-impresora-3d</v>
      </c>
      <c r="AA837" s="213" t="str">
        <f>IFERROR(__xludf.DUMMYFUNCTION("""COMPUTED_VALUE"""),"ESP-187-B IMPRESORA 3D - CET")</f>
        <v>ESP-187-B IMPRESORA 3D - CET</v>
      </c>
      <c r="AB837" s="215" t="str">
        <f>IFERROR(__xludf.DUMMYFUNCTION("""COMPUTED_VALUE"""),"https://drive.google.com/file/d/1E0j0w1lERE5KzfLHnwjCYqpy91_mDAdB/view")</f>
        <v>https://drive.google.com/file/d/1E0j0w1lERE5KzfLHnwjCYqpy91_mDAdB/view</v>
      </c>
      <c r="AC837" s="213"/>
      <c r="AD837" s="213"/>
      <c r="AE837" s="213"/>
      <c r="AF837" s="213"/>
      <c r="AG837" s="213"/>
      <c r="AH837" s="213" t="str">
        <f>IFERROR(__xludf.DUMMYFUNCTION("""COMPUTED_VALUE"""),"IMPORTADO / NACIONAL")</f>
        <v>IMPORTADO / NACIONAL</v>
      </c>
      <c r="AI837" s="213"/>
      <c r="AJ837" s="213"/>
      <c r="AK837" s="213"/>
      <c r="AL837" s="213"/>
      <c r="AM837" s="213"/>
      <c r="AN837" s="213"/>
      <c r="AO837" s="213"/>
      <c r="AP837" s="213" t="str">
        <f>IFERROR(__xludf.DUMMYFUNCTION("""COMPUTED_VALUE"""),"NALDI")</f>
        <v>NALDI</v>
      </c>
      <c r="AQ837" s="213" t="str">
        <f>IFERROR(__xludf.DUMMYFUNCTION("""COMPUTED_VALUE"""),"GARANTÍA Tres (03) años Onsite.")</f>
        <v>GARANTÍA Tres (03) años Onsite.</v>
      </c>
      <c r="AR837" s="213"/>
      <c r="AS837"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837" s="217" t="str">
        <f>IFERROR(__xludf.DUMMYFUNCTION("""COMPUTED_VALUE"""),"Rollo de filamente PLA 1 kg
")</f>
        <v>Rollo de filamente PLA 1 kg
</v>
      </c>
      <c r="AU837" s="213"/>
      <c r="AV837" s="213"/>
      <c r="AW837" s="213"/>
      <c r="AX837" s="213"/>
      <c r="AY837" s="213"/>
      <c r="AZ837" s="213"/>
      <c r="BA837" s="213"/>
      <c r="BB837" s="213"/>
      <c r="BC837" s="213"/>
      <c r="BD837" s="213"/>
    </row>
    <row r="838">
      <c r="A838" s="213">
        <f>IFERROR(__xludf.DUMMYFUNCTION("""COMPUTED_VALUE"""),848.0)</f>
        <v>848</v>
      </c>
      <c r="B838" s="213" t="str">
        <f>IFERROR(__xludf.DUMMYFUNCTION("""COMPUTED_VALUE"""),"6049 RICARDO PALMA")</f>
        <v>6049 RICARDO PALMA</v>
      </c>
      <c r="C838" s="213" t="str">
        <f>IFERROR(__xludf.DUMMYFUNCTION("""COMPUTED_VALUE"""),"TALLER SFT DE ELECTRICIDAD")</f>
        <v>TALLER SFT DE ELECTRICIDAD</v>
      </c>
      <c r="D838" s="213" t="str">
        <f>IFERROR(__xludf.DUMMYFUNCTION("""COMPUTED_VALUE"""),"EQUIPOS")</f>
        <v>EQUIPOS</v>
      </c>
      <c r="E838" s="213" t="str">
        <f>IFERROR(__xludf.DUMMYFUNCTION("""COMPUTED_VALUE"""),"ESP-187")</f>
        <v>ESP-187</v>
      </c>
      <c r="F838" s="213" t="str">
        <f>IFERROR(__xludf.DUMMYFUNCTION("""COMPUTED_VALUE"""),"ESP-187-Y")</f>
        <v>ESP-187-Y</v>
      </c>
      <c r="G838" s="213"/>
      <c r="H838" s="213" t="str">
        <f>IFERROR(__xludf.DUMMYFUNCTION("""COMPUTED_VALUE"""),"IMPRESORA 3D")</f>
        <v>IMPRESORA 3D</v>
      </c>
      <c r="I838" s="213" t="str">
        <f>IFERROR(__xludf.DUMMYFUNCTION("""COMPUTED_VALUE"""),"Características TECNOLOGÍA: FDM
VOLUMEN DE IMPRESIÓN: 21 cm x 21 cm x 25 cm MATERIAL DE IMPRESIÓN: PLA, HIPS CONECTIVIDAD: WiFi y USB 2.0
PLATAFORMA DE TRABAJO: Windows 11 o superior
ACCESORIOS: 01 Cable de poder, 01 Manual y 01 Rollo de filamento. FUENTE"&amp;" DE PODER: 220VAC /60 HZ
SOFTWARE INCLUIDO: Controladores, software de impresión de para Imagen en 3D. CERTIFICADO: Energy STAR y/o CE y/o FCC y/o RoHS.
GARANTÍA Tres (03) años Onsite.")</f>
        <v>Características TECNOLOGÍA: FDM
VOLUMEN DE IMPRESIÓN: 21 cm x 21 cm x 25 cm MATERIAL DE IMPRESIÓN: PLA, HIPS CONECTIVIDAD: WiFi y USB 2.0
PLATAFORMA DE TRABAJO: Windows 11 o superior
ACCESORIOS: 01 Cable de poder, 01 Manual y 01 Rollo de filamento. FUENTE DE PODER: 220VAC /60 HZ
SOFTWARE INCLUIDO: Controladores, software de impresión de para Imagen en 3D. CERTIFICADO: Energy STAR y/o CE y/o FCC y/o RoHS.
GARANTÍA Tres (03) años Onsite.</v>
      </c>
      <c r="J838" s="213">
        <f>IFERROR(__xludf.DUMMYFUNCTION("""COMPUTED_VALUE"""),3.0)</f>
        <v>3</v>
      </c>
      <c r="K838" s="213" t="str">
        <f>IFERROR(__xludf.DUMMYFUNCTION("""COMPUTED_VALUE"""),"170 DÍAS CALENDARIO")</f>
        <v>170 DÍAS CALENDARIO</v>
      </c>
      <c r="L838" s="213" t="str">
        <f>IFERROR(__xludf.DUMMYFUNCTION("""COMPUTED_VALUE"""),"COCINA Y REPOSTERÍA, ELECTRICIDAD, ELECTRÓNICA")</f>
        <v>COCINA Y REPOSTERÍA, ELECTRICIDAD, ELECTRÓNICA</v>
      </c>
      <c r="M838" s="213">
        <f>IFERROR(__xludf.DUMMYFUNCTION("""COMPUTED_VALUE"""),1.0)</f>
        <v>1</v>
      </c>
      <c r="N838" s="213">
        <f>IFERROR(__xludf.DUMMYFUNCTION("""COMPUTED_VALUE"""),3.0)</f>
        <v>3</v>
      </c>
      <c r="O838" s="213">
        <f>IFERROR(__xludf.DUMMYFUNCTION("""COMPUTED_VALUE"""),3.0)</f>
        <v>3</v>
      </c>
      <c r="P838" s="213"/>
      <c r="Q838" s="213"/>
      <c r="R838" s="213"/>
      <c r="S838" s="213" t="str">
        <f>IFERROR(__xludf.DUMMYFUNCTION("""COMPUTED_VALUE"""),"SI")</f>
        <v>SI</v>
      </c>
      <c r="T838" s="213" t="str">
        <f>IFERROR(__xludf.DUMMYFUNCTION("""COMPUTED_VALUE"""),"SI")</f>
        <v>SI</v>
      </c>
      <c r="U838" s="213" t="str">
        <f>IFERROR(__xludf.DUMMYFUNCTION("""COMPUTED_VALUE"""),"NO")</f>
        <v>NO</v>
      </c>
      <c r="V838" s="213" t="str">
        <f>IFERROR(__xludf.DUMMYFUNCTION("""COMPUTED_VALUE"""),"SUSTENTO")</f>
        <v>SUSTENTO</v>
      </c>
      <c r="W838" s="213" t="str">
        <f>IFERROR(__xludf.DUMMYFUNCTION("""COMPUTED_VALUE"""),"EQU TEC")</f>
        <v>EQU TEC</v>
      </c>
      <c r="X838" s="213" t="str">
        <f>IFERROR(__xludf.DUMMYFUNCTION("""COMPUTED_VALUE"""),"Creality")</f>
        <v>Creality</v>
      </c>
      <c r="Y838" s="213" t="str">
        <f>IFERROR(__xludf.DUMMYFUNCTION("""COMPUTED_VALUE"""),"K1 SE")</f>
        <v>K1 SE</v>
      </c>
      <c r="Z838" s="215" t="str">
        <f>IFERROR(__xludf.DUMMYFUNCTION("""COMPUTED_VALUE"""),"https://store.creality.com/es/products/k1-se-impresora-3d")</f>
        <v>https://store.creality.com/es/products/k1-se-impresora-3d</v>
      </c>
      <c r="AA838" s="213" t="str">
        <f>IFERROR(__xludf.DUMMYFUNCTION("""COMPUTED_VALUE"""),"ESP-187-B IMPRESORA 3D - CET")</f>
        <v>ESP-187-B IMPRESORA 3D - CET</v>
      </c>
      <c r="AB838" s="215" t="str">
        <f>IFERROR(__xludf.DUMMYFUNCTION("""COMPUTED_VALUE"""),"https://drive.google.com/file/d/1E0j0w1lERE5KzfLHnwjCYqpy91_mDAdB/view")</f>
        <v>https://drive.google.com/file/d/1E0j0w1lERE5KzfLHnwjCYqpy91_mDAdB/view</v>
      </c>
      <c r="AC838" s="213"/>
      <c r="AD838" s="213"/>
      <c r="AE838" s="213"/>
      <c r="AF838" s="213"/>
      <c r="AG838" s="213"/>
      <c r="AH838" s="213" t="str">
        <f>IFERROR(__xludf.DUMMYFUNCTION("""COMPUTED_VALUE"""),"IMPORTADO / NACIONAL")</f>
        <v>IMPORTADO / NACIONAL</v>
      </c>
      <c r="AI838" s="213"/>
      <c r="AJ838" s="213"/>
      <c r="AK838" s="213"/>
      <c r="AL838" s="213"/>
      <c r="AM838" s="213"/>
      <c r="AN838" s="213"/>
      <c r="AO838" s="213"/>
      <c r="AP838" s="213" t="str">
        <f>IFERROR(__xludf.DUMMYFUNCTION("""COMPUTED_VALUE"""),"NALDI")</f>
        <v>NALDI</v>
      </c>
      <c r="AQ838" s="213" t="str">
        <f>IFERROR(__xludf.DUMMYFUNCTION("""COMPUTED_VALUE"""),"GARANTÍA Tres (03) años Onsite.")</f>
        <v>GARANTÍA Tres (03) años Onsite.</v>
      </c>
      <c r="AR838" s="213"/>
      <c r="AS838"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838" s="217" t="str">
        <f>IFERROR(__xludf.DUMMYFUNCTION("""COMPUTED_VALUE"""),"Rollo de filamente PLA 1 kg
")</f>
        <v>Rollo de filamente PLA 1 kg
</v>
      </c>
      <c r="AU838" s="213"/>
      <c r="AV838" s="213"/>
      <c r="AW838" s="213"/>
      <c r="AX838" s="213"/>
      <c r="AY838" s="213"/>
      <c r="AZ838" s="213"/>
      <c r="BA838" s="213"/>
      <c r="BB838" s="213"/>
      <c r="BC838" s="213"/>
      <c r="BD838" s="213"/>
    </row>
    <row r="839">
      <c r="A839" s="213">
        <f>IFERROR(__xludf.DUMMYFUNCTION("""COMPUTED_VALUE"""),982.0)</f>
        <v>982</v>
      </c>
      <c r="B839" s="213" t="str">
        <f>IFERROR(__xludf.DUMMYFUNCTION("""COMPUTED_VALUE"""),"FRANCISCO IRAZOLA")</f>
        <v>FRANCISCO IRAZOLA</v>
      </c>
      <c r="C839" s="213" t="str">
        <f>IFERROR(__xludf.DUMMYFUNCTION("""COMPUTED_VALUE"""),"TALLER SFT DE MECÁNICA AUTOMOTRIZ")</f>
        <v>TALLER SFT DE MECÁNICA AUTOMOTRIZ</v>
      </c>
      <c r="D839" s="213" t="str">
        <f>IFERROR(__xludf.DUMMYFUNCTION("""COMPUTED_VALUE"""),"EQUIPOS")</f>
        <v>EQUIPOS</v>
      </c>
      <c r="E839" s="213" t="str">
        <f>IFERROR(__xludf.DUMMYFUNCTION("""COMPUTED_VALUE"""),"ESP-187")</f>
        <v>ESP-187</v>
      </c>
      <c r="F839" s="213" t="str">
        <f>IFERROR(__xludf.DUMMYFUNCTION("""COMPUTED_VALUE"""),"ESP-187-X")</f>
        <v>ESP-187-X</v>
      </c>
      <c r="G839" s="213"/>
      <c r="H839" s="213" t="str">
        <f>IFERROR(__xludf.DUMMYFUNCTION("""COMPUTED_VALUE"""),"IMPRESORA 3D")</f>
        <v>IMPRESORA 3D</v>
      </c>
      <c r="I839" s="213" t="str">
        <f>IFERROR(__xludf.DUMMYFUNCTION("""COMPUTED_VALUE"""),"Características TECNOLOGÍA: FDM
VOLUMEN DE IMPRESIÓN: 20cm x 20cm x 25 cm MATERIAL DE IMPRESIÓN: PLA, HIPS CONECTIVIDAD: WiFi y USB 2.0
PLATAFORMA DE TRABAJO: Windows 11 o superior
ACCESORIOS: 01 Cable de poder, 01 Manual y 01 Rollo de filamento. FUENTE D"&amp;"E PODER: 220VAC /60 HZ
SOFTWARE INCLUIDO: Controladores, software de impresión de para Imagen en 3D. CERTIFICADO: Energy STAR y/o CE y/o FCC y/o RoHS.
GARANTÍA Tres (03) años Onsite.")</f>
        <v>Características TECNOLOGÍA: FDM
VOLUMEN DE IMPRESIÓN: 20cm x 20cm x 25 cm MATERIAL DE IMPRESIÓN: PLA, HIPS CONECTIVIDAD: WiFi y USB 2.0
PLATAFORMA DE TRABAJO: Windows 11 o superior
ACCESORIOS: 01 Cable de poder, 01 Manual y 01 Rollo de filamento. FUENTE DE PODER: 220VAC /60 HZ
SOFTWARE INCLUIDO: Controladores, software de impresión de para Imagen en 3D. CERTIFICADO: Energy STAR y/o CE y/o FCC y/o RoHS.
GARANTÍA Tres (03) años Onsite.</v>
      </c>
      <c r="J839" s="213">
        <f>IFERROR(__xludf.DUMMYFUNCTION("""COMPUTED_VALUE"""),3.0)</f>
        <v>3</v>
      </c>
      <c r="K839" s="213" t="str">
        <f>IFERROR(__xludf.DUMMYFUNCTION("""COMPUTED_VALUE"""),"170 DÍAS CALENDARIO")</f>
        <v>170 DÍAS CALENDARIO</v>
      </c>
      <c r="L839" s="213" t="str">
        <f>IFERROR(__xludf.DUMMYFUNCTION("""COMPUTED_VALUE"""),"MECÁNICA AUTOMOTRÍZ, EBANISTERÍA")</f>
        <v>MECÁNICA AUTOMOTRÍZ, EBANISTERÍA</v>
      </c>
      <c r="M839" s="213">
        <f>IFERROR(__xludf.DUMMYFUNCTION("""COMPUTED_VALUE"""),1.0)</f>
        <v>1</v>
      </c>
      <c r="N839" s="213">
        <f>IFERROR(__xludf.DUMMYFUNCTION("""COMPUTED_VALUE"""),4.0)</f>
        <v>4</v>
      </c>
      <c r="O839" s="213">
        <f>IFERROR(__xludf.DUMMYFUNCTION("""COMPUTED_VALUE"""),4.0)</f>
        <v>4</v>
      </c>
      <c r="P839" s="213"/>
      <c r="Q839" s="213"/>
      <c r="R839" s="213"/>
      <c r="S839" s="213" t="str">
        <f>IFERROR(__xludf.DUMMYFUNCTION("""COMPUTED_VALUE"""),"SI")</f>
        <v>SI</v>
      </c>
      <c r="T839" s="213" t="str">
        <f>IFERROR(__xludf.DUMMYFUNCTION("""COMPUTED_VALUE"""),"SI")</f>
        <v>SI</v>
      </c>
      <c r="U839" s="213" t="str">
        <f>IFERROR(__xludf.DUMMYFUNCTION("""COMPUTED_VALUE"""),"NO")</f>
        <v>NO</v>
      </c>
      <c r="V839" s="213" t="str">
        <f>IFERROR(__xludf.DUMMYFUNCTION("""COMPUTED_VALUE"""),"SUSTENTO")</f>
        <v>SUSTENTO</v>
      </c>
      <c r="W839" s="213" t="str">
        <f>IFERROR(__xludf.DUMMYFUNCTION("""COMPUTED_VALUE"""),"EQU TEC")</f>
        <v>EQU TEC</v>
      </c>
      <c r="X839" s="213" t="str">
        <f>IFERROR(__xludf.DUMMYFUNCTION("""COMPUTED_VALUE"""),"Creality")</f>
        <v>Creality</v>
      </c>
      <c r="Y839" s="213" t="str">
        <f>IFERROR(__xludf.DUMMYFUNCTION("""COMPUTED_VALUE"""),"K1 SE")</f>
        <v>K1 SE</v>
      </c>
      <c r="Z839" s="215" t="str">
        <f>IFERROR(__xludf.DUMMYFUNCTION("""COMPUTED_VALUE"""),"https://store.creality.com/es/products/k1-se-impresora-3d")</f>
        <v>https://store.creality.com/es/products/k1-se-impresora-3d</v>
      </c>
      <c r="AA839" s="213" t="str">
        <f>IFERROR(__xludf.DUMMYFUNCTION("""COMPUTED_VALUE"""),"ESP-187-A IMPRESORA 3D - CET")</f>
        <v>ESP-187-A IMPRESORA 3D - CET</v>
      </c>
      <c r="AB839" s="215" t="str">
        <f>IFERROR(__xludf.DUMMYFUNCTION("""COMPUTED_VALUE"""),"https://drive.google.com/file/d/1E0j0w1lERE5KzfLHnwjCYqpy91_mDAdB/view")</f>
        <v>https://drive.google.com/file/d/1E0j0w1lERE5KzfLHnwjCYqpy91_mDAdB/view</v>
      </c>
      <c r="AC839" s="213"/>
      <c r="AD839" s="213"/>
      <c r="AE839" s="213"/>
      <c r="AF839" s="213"/>
      <c r="AG839" s="213"/>
      <c r="AH839" s="213" t="str">
        <f>IFERROR(__xludf.DUMMYFUNCTION("""COMPUTED_VALUE"""),"IMPORTADO / NACIONAL")</f>
        <v>IMPORTADO / NACIONAL</v>
      </c>
      <c r="AI839" s="213"/>
      <c r="AJ839" s="213"/>
      <c r="AK839" s="213"/>
      <c r="AL839" s="213"/>
      <c r="AM839" s="213"/>
      <c r="AN839" s="213"/>
      <c r="AO839" s="213"/>
      <c r="AP839" s="213" t="str">
        <f>IFERROR(__xludf.DUMMYFUNCTION("""COMPUTED_VALUE"""),"NALDI")</f>
        <v>NALDI</v>
      </c>
      <c r="AQ839" s="213" t="str">
        <f>IFERROR(__xludf.DUMMYFUNCTION("""COMPUTED_VALUE"""),"GARANTÍA Tres (03) años Onsite.")</f>
        <v>GARANTÍA Tres (03) años Onsite.</v>
      </c>
      <c r="AR839" s="213"/>
      <c r="AS839"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839" s="217" t="str">
        <f>IFERROR(__xludf.DUMMYFUNCTION("""COMPUTED_VALUE"""),"Rollo de filamente PLA 1 kg
")</f>
        <v>Rollo de filamente PLA 1 kg
</v>
      </c>
      <c r="AU839" s="213"/>
      <c r="AV839" s="213"/>
      <c r="AW839" s="213"/>
      <c r="AX839" s="213"/>
      <c r="AY839" s="213"/>
      <c r="AZ839" s="213"/>
      <c r="BA839" s="213"/>
      <c r="BB839" s="213"/>
      <c r="BC839" s="213"/>
      <c r="BD839" s="213"/>
    </row>
    <row r="840">
      <c r="A840" s="213">
        <f>IFERROR(__xludf.DUMMYFUNCTION("""COMPUTED_VALUE"""),1270.0)</f>
        <v>1270</v>
      </c>
      <c r="B840" s="213" t="str">
        <f>IFERROR(__xludf.DUMMYFUNCTION("""COMPUTED_VALUE"""),"GUILLERMO E. BILLINGHURST ")</f>
        <v>GUILLERMO E. BILLINGHURST </v>
      </c>
      <c r="C840" s="213" t="str">
        <f>IFERROR(__xludf.DUMMYFUNCTION("""COMPUTED_VALUE"""),"TALLER SFT DE ELECTRICIDAD")</f>
        <v>TALLER SFT DE ELECTRICIDAD</v>
      </c>
      <c r="D840" s="213" t="str">
        <f>IFERROR(__xludf.DUMMYFUNCTION("""COMPUTED_VALUE"""),"EQUIPOS")</f>
        <v>EQUIPOS</v>
      </c>
      <c r="E840" s="213" t="str">
        <f>IFERROR(__xludf.DUMMYFUNCTION("""COMPUTED_VALUE"""),"ESP-187")</f>
        <v>ESP-187</v>
      </c>
      <c r="F840" s="213" t="str">
        <f>IFERROR(__xludf.DUMMYFUNCTION("""COMPUTED_VALUE"""),"ESP-187-Y")</f>
        <v>ESP-187-Y</v>
      </c>
      <c r="G840" s="213"/>
      <c r="H840" s="213" t="str">
        <f>IFERROR(__xludf.DUMMYFUNCTION("""COMPUTED_VALUE"""),"IMPRESORA 3D")</f>
        <v>IMPRESORA 3D</v>
      </c>
      <c r="I840" s="213" t="str">
        <f>IFERROR(__xludf.DUMMYFUNCTION("""COMPUTED_VALUE"""),"Características TECNOLOGÍA: FDM
VOLUMEN DE IMPRESIÓN: 21 cm x 21 cm x 25 cm MATERIAL DE IMPRESIÓN: PLA, HIPS CONECTIVIDAD: WiFi y USB 2.0
PLATAFORMA DE TRABAJO: Windows 11 o superior
ACCESORIOS: 01 Cable de poder, 01 Manual y 01 Rollo de filamento. FUENTE"&amp;" DE PODER: 220VAC /60 HZ
SOFTWARE INCLUIDO: Controladores, software de impresión de para Imagen en 3D. CERTIFICADO: Energy STAR y/o CE y/o FCC y/o RoHS.
GARANTÍA Tres (03) años Onsite.")</f>
        <v>Características TECNOLOGÍA: FDM
VOLUMEN DE IMPRESIÓN: 21 cm x 21 cm x 25 cm MATERIAL DE IMPRESIÓN: PLA, HIPS CONECTIVIDAD: WiFi y USB 2.0
PLATAFORMA DE TRABAJO: Windows 11 o superior
ACCESORIOS: 01 Cable de poder, 01 Manual y 01 Rollo de filamento. FUENTE DE PODER: 220VAC /60 HZ
SOFTWARE INCLUIDO: Controladores, software de impresión de para Imagen en 3D. CERTIFICADO: Energy STAR y/o CE y/o FCC y/o RoHS.
GARANTÍA Tres (03) años Onsite.</v>
      </c>
      <c r="J840" s="213">
        <f>IFERROR(__xludf.DUMMYFUNCTION("""COMPUTED_VALUE"""),3.0)</f>
        <v>3</v>
      </c>
      <c r="K840" s="213" t="str">
        <f>IFERROR(__xludf.DUMMYFUNCTION("""COMPUTED_VALUE"""),"170 DÍAS CALENDARIO")</f>
        <v>170 DÍAS CALENDARIO</v>
      </c>
      <c r="L840" s="213" t="str">
        <f>IFERROR(__xludf.DUMMYFUNCTION("""COMPUTED_VALUE"""),"COCINA Y REPOSTERÍA, ELECTRICIDAD, ELECTRÓNICA")</f>
        <v>COCINA Y REPOSTERÍA, ELECTRICIDAD, ELECTRÓNICA</v>
      </c>
      <c r="M840" s="213">
        <f>IFERROR(__xludf.DUMMYFUNCTION("""COMPUTED_VALUE"""),1.0)</f>
        <v>1</v>
      </c>
      <c r="N840" s="213">
        <f>IFERROR(__xludf.DUMMYFUNCTION("""COMPUTED_VALUE"""),4.0)</f>
        <v>4</v>
      </c>
      <c r="O840" s="213">
        <f>IFERROR(__xludf.DUMMYFUNCTION("""COMPUTED_VALUE"""),4.0)</f>
        <v>4</v>
      </c>
      <c r="P840" s="213"/>
      <c r="Q840" s="213"/>
      <c r="R840" s="213"/>
      <c r="S840" s="213" t="str">
        <f>IFERROR(__xludf.DUMMYFUNCTION("""COMPUTED_VALUE"""),"SI")</f>
        <v>SI</v>
      </c>
      <c r="T840" s="213" t="str">
        <f>IFERROR(__xludf.DUMMYFUNCTION("""COMPUTED_VALUE"""),"SI")</f>
        <v>SI</v>
      </c>
      <c r="U840" s="213" t="str">
        <f>IFERROR(__xludf.DUMMYFUNCTION("""COMPUTED_VALUE"""),"NO")</f>
        <v>NO</v>
      </c>
      <c r="V840" s="213" t="str">
        <f>IFERROR(__xludf.DUMMYFUNCTION("""COMPUTED_VALUE"""),"SUSTENTO")</f>
        <v>SUSTENTO</v>
      </c>
      <c r="W840" s="213" t="str">
        <f>IFERROR(__xludf.DUMMYFUNCTION("""COMPUTED_VALUE"""),"EQU TEC")</f>
        <v>EQU TEC</v>
      </c>
      <c r="X840" s="213" t="str">
        <f>IFERROR(__xludf.DUMMYFUNCTION("""COMPUTED_VALUE"""),"Creality")</f>
        <v>Creality</v>
      </c>
      <c r="Y840" s="213" t="str">
        <f>IFERROR(__xludf.DUMMYFUNCTION("""COMPUTED_VALUE"""),"K1 SE")</f>
        <v>K1 SE</v>
      </c>
      <c r="Z840" s="215" t="str">
        <f>IFERROR(__xludf.DUMMYFUNCTION("""COMPUTED_VALUE"""),"https://store.creality.com/es/products/k1-se-impresora-3d")</f>
        <v>https://store.creality.com/es/products/k1-se-impresora-3d</v>
      </c>
      <c r="AA840" s="213" t="str">
        <f>IFERROR(__xludf.DUMMYFUNCTION("""COMPUTED_VALUE"""),"ESP-187-B IMPRESORA 3D - CET")</f>
        <v>ESP-187-B IMPRESORA 3D - CET</v>
      </c>
      <c r="AB840" s="215" t="str">
        <f>IFERROR(__xludf.DUMMYFUNCTION("""COMPUTED_VALUE"""),"https://drive.google.com/file/d/1E0j0w1lERE5KzfLHnwjCYqpy91_mDAdB/view")</f>
        <v>https://drive.google.com/file/d/1E0j0w1lERE5KzfLHnwjCYqpy91_mDAdB/view</v>
      </c>
      <c r="AC840" s="213"/>
      <c r="AD840" s="213"/>
      <c r="AE840" s="213"/>
      <c r="AF840" s="213"/>
      <c r="AG840" s="213"/>
      <c r="AH840" s="213" t="str">
        <f>IFERROR(__xludf.DUMMYFUNCTION("""COMPUTED_VALUE"""),"IMPORTADO / NACIONAL")</f>
        <v>IMPORTADO / NACIONAL</v>
      </c>
      <c r="AI840" s="213"/>
      <c r="AJ840" s="213"/>
      <c r="AK840" s="213"/>
      <c r="AL840" s="213"/>
      <c r="AM840" s="213"/>
      <c r="AN840" s="213"/>
      <c r="AO840" s="213"/>
      <c r="AP840" s="213" t="str">
        <f>IFERROR(__xludf.DUMMYFUNCTION("""COMPUTED_VALUE"""),"NALDI")</f>
        <v>NALDI</v>
      </c>
      <c r="AQ840" s="213" t="str">
        <f>IFERROR(__xludf.DUMMYFUNCTION("""COMPUTED_VALUE"""),"GARANTÍA Tres (03) años Onsite.")</f>
        <v>GARANTÍA Tres (03) años Onsite.</v>
      </c>
      <c r="AR840" s="213"/>
      <c r="AS840"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840" s="217" t="str">
        <f>IFERROR(__xludf.DUMMYFUNCTION("""COMPUTED_VALUE"""),"Rollo de filamente PLA 1 kg
")</f>
        <v>Rollo de filamente PLA 1 kg
</v>
      </c>
      <c r="AU840" s="213"/>
      <c r="AV840" s="213"/>
      <c r="AW840" s="213"/>
      <c r="AX840" s="213"/>
      <c r="AY840" s="213"/>
      <c r="AZ840" s="213"/>
      <c r="BA840" s="213"/>
      <c r="BB840" s="213"/>
      <c r="BC840" s="213"/>
      <c r="BD840" s="213"/>
    </row>
    <row r="841">
      <c r="A841" s="213">
        <f>IFERROR(__xludf.DUMMYFUNCTION("""COMPUTED_VALUE"""),1583.0)</f>
        <v>1583</v>
      </c>
      <c r="B841" s="213" t="str">
        <f>IFERROR(__xludf.DUMMYFUNCTION("""COMPUTED_VALUE"""),"GUILLERMO E. BILLINGHURST ")</f>
        <v>GUILLERMO E. BILLINGHURST </v>
      </c>
      <c r="C841" s="213" t="str">
        <f>IFERROR(__xludf.DUMMYFUNCTION("""COMPUTED_VALUE"""),"TALLER SFT DE MECÁNICA AUTOMOTRIZ")</f>
        <v>TALLER SFT DE MECÁNICA AUTOMOTRIZ</v>
      </c>
      <c r="D841" s="213" t="str">
        <f>IFERROR(__xludf.DUMMYFUNCTION("""COMPUTED_VALUE"""),"EQUIPOS")</f>
        <v>EQUIPOS</v>
      </c>
      <c r="E841" s="213" t="str">
        <f>IFERROR(__xludf.DUMMYFUNCTION("""COMPUTED_VALUE"""),"ESP-187")</f>
        <v>ESP-187</v>
      </c>
      <c r="F841" s="213" t="str">
        <f>IFERROR(__xludf.DUMMYFUNCTION("""COMPUTED_VALUE"""),"ESP-187-X")</f>
        <v>ESP-187-X</v>
      </c>
      <c r="G841" s="213"/>
      <c r="H841" s="213" t="str">
        <f>IFERROR(__xludf.DUMMYFUNCTION("""COMPUTED_VALUE"""),"IMPRESORA 3D")</f>
        <v>IMPRESORA 3D</v>
      </c>
      <c r="I841" s="213" t="str">
        <f>IFERROR(__xludf.DUMMYFUNCTION("""COMPUTED_VALUE"""),"Características TECNOLOGÍA: FDM
VOLUMEN DE IMPRESIÓN: 20cm x 20cm x 25 cm MATERIAL DE IMPRESIÓN: PLA, HIPS CONECTIVIDAD: WiFi y USB 2.0
PLATAFORMA DE TRABAJO: Windows 11 o superior
ACCESORIOS: 01 Cable de poder, 01 Manual y 01 Rollo de filamento. FUENTE D"&amp;"E PODER: 220VAC /60 HZ
SOFTWARE INCLUIDO: Controladores, software de impresión de para Imagen en 3D. CERTIFICADO: Energy STAR y/o CE y/o FCC y/o RoHS.
GARANTÍA Tres (03) años Onsite.")</f>
        <v>Características TECNOLOGÍA: FDM
VOLUMEN DE IMPRESIÓN: 20cm x 20cm x 25 cm MATERIAL DE IMPRESIÓN: PLA, HIPS CONECTIVIDAD: WiFi y USB 2.0
PLATAFORMA DE TRABAJO: Windows 11 o superior
ACCESORIOS: 01 Cable de poder, 01 Manual y 01 Rollo de filamento. FUENTE DE PODER: 220VAC /60 HZ
SOFTWARE INCLUIDO: Controladores, software de impresión de para Imagen en 3D. CERTIFICADO: Energy STAR y/o CE y/o FCC y/o RoHS.
GARANTÍA Tres (03) años Onsite.</v>
      </c>
      <c r="J841" s="213">
        <f>IFERROR(__xludf.DUMMYFUNCTION("""COMPUTED_VALUE"""),3.0)</f>
        <v>3</v>
      </c>
      <c r="K841" s="213" t="str">
        <f>IFERROR(__xludf.DUMMYFUNCTION("""COMPUTED_VALUE"""),"170 DÍAS CALENDARIO")</f>
        <v>170 DÍAS CALENDARIO</v>
      </c>
      <c r="L841" s="213" t="str">
        <f>IFERROR(__xludf.DUMMYFUNCTION("""COMPUTED_VALUE"""),"MECÁNICA AUTOMOTRÍZ, EBANISTERÍA")</f>
        <v>MECÁNICA AUTOMOTRÍZ, EBANISTERÍA</v>
      </c>
      <c r="M841" s="213">
        <f>IFERROR(__xludf.DUMMYFUNCTION("""COMPUTED_VALUE"""),1.0)</f>
        <v>1</v>
      </c>
      <c r="N841" s="213">
        <f>IFERROR(__xludf.DUMMYFUNCTION("""COMPUTED_VALUE"""),4.0)</f>
        <v>4</v>
      </c>
      <c r="O841" s="213">
        <f>IFERROR(__xludf.DUMMYFUNCTION("""COMPUTED_VALUE"""),4.0)</f>
        <v>4</v>
      </c>
      <c r="P841" s="213"/>
      <c r="Q841" s="213"/>
      <c r="R841" s="213"/>
      <c r="S841" s="213" t="str">
        <f>IFERROR(__xludf.DUMMYFUNCTION("""COMPUTED_VALUE"""),"SI")</f>
        <v>SI</v>
      </c>
      <c r="T841" s="213" t="str">
        <f>IFERROR(__xludf.DUMMYFUNCTION("""COMPUTED_VALUE"""),"SI")</f>
        <v>SI</v>
      </c>
      <c r="U841" s="213" t="str">
        <f>IFERROR(__xludf.DUMMYFUNCTION("""COMPUTED_VALUE"""),"NO")</f>
        <v>NO</v>
      </c>
      <c r="V841" s="213" t="str">
        <f>IFERROR(__xludf.DUMMYFUNCTION("""COMPUTED_VALUE"""),"SUSTENTO")</f>
        <v>SUSTENTO</v>
      </c>
      <c r="W841" s="213" t="str">
        <f>IFERROR(__xludf.DUMMYFUNCTION("""COMPUTED_VALUE"""),"EQU TEC")</f>
        <v>EQU TEC</v>
      </c>
      <c r="X841" s="213" t="str">
        <f>IFERROR(__xludf.DUMMYFUNCTION("""COMPUTED_VALUE"""),"Creality")</f>
        <v>Creality</v>
      </c>
      <c r="Y841" s="213" t="str">
        <f>IFERROR(__xludf.DUMMYFUNCTION("""COMPUTED_VALUE"""),"K1 SE")</f>
        <v>K1 SE</v>
      </c>
      <c r="Z841" s="215" t="str">
        <f>IFERROR(__xludf.DUMMYFUNCTION("""COMPUTED_VALUE"""),"https://store.creality.com/es/products/k1-se-impresora-3d")</f>
        <v>https://store.creality.com/es/products/k1-se-impresora-3d</v>
      </c>
      <c r="AA841" s="213" t="str">
        <f>IFERROR(__xludf.DUMMYFUNCTION("""COMPUTED_VALUE"""),"ESP-187-A IMPRESORA 3D - CET")</f>
        <v>ESP-187-A IMPRESORA 3D - CET</v>
      </c>
      <c r="AB841" s="215" t="str">
        <f>IFERROR(__xludf.DUMMYFUNCTION("""COMPUTED_VALUE"""),"https://drive.google.com/file/d/1E0j0w1lERE5KzfLHnwjCYqpy91_mDAdB/view")</f>
        <v>https://drive.google.com/file/d/1E0j0w1lERE5KzfLHnwjCYqpy91_mDAdB/view</v>
      </c>
      <c r="AC841" s="213"/>
      <c r="AD841" s="213"/>
      <c r="AE841" s="213"/>
      <c r="AF841" s="213"/>
      <c r="AG841" s="213"/>
      <c r="AH841" s="213" t="str">
        <f>IFERROR(__xludf.DUMMYFUNCTION("""COMPUTED_VALUE"""),"IMPORTADO / NACIONAL")</f>
        <v>IMPORTADO / NACIONAL</v>
      </c>
      <c r="AI841" s="213"/>
      <c r="AJ841" s="213"/>
      <c r="AK841" s="213"/>
      <c r="AL841" s="213"/>
      <c r="AM841" s="213"/>
      <c r="AN841" s="213"/>
      <c r="AO841" s="213"/>
      <c r="AP841" s="213" t="str">
        <f>IFERROR(__xludf.DUMMYFUNCTION("""COMPUTED_VALUE"""),"NALDI")</f>
        <v>NALDI</v>
      </c>
      <c r="AQ841" s="213" t="str">
        <f>IFERROR(__xludf.DUMMYFUNCTION("""COMPUTED_VALUE"""),"GARANTÍA Tres (03) años Onsite.")</f>
        <v>GARANTÍA Tres (03) años Onsite.</v>
      </c>
      <c r="AR841" s="213"/>
      <c r="AS841"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841" s="217" t="str">
        <f>IFERROR(__xludf.DUMMYFUNCTION("""COMPUTED_VALUE"""),"Rollo de filamente PLA 1 kg
")</f>
        <v>Rollo de filamente PLA 1 kg
</v>
      </c>
      <c r="AU841" s="213"/>
      <c r="AV841" s="213"/>
      <c r="AW841" s="213"/>
      <c r="AX841" s="213"/>
      <c r="AY841" s="213"/>
      <c r="AZ841" s="213"/>
      <c r="BA841" s="213"/>
      <c r="BB841" s="213"/>
      <c r="BC841" s="213"/>
      <c r="BD841" s="213"/>
    </row>
    <row r="842">
      <c r="A842" s="213">
        <f>IFERROR(__xludf.DUMMYFUNCTION("""COMPUTED_VALUE"""),1853.0)</f>
        <v>1853</v>
      </c>
      <c r="B842" s="213" t="str">
        <f>IFERROR(__xludf.DUMMYFUNCTION("""COMPUTED_VALUE"""),"GUILLERMO E. BILLINGHURST ")</f>
        <v>GUILLERMO E. BILLINGHURST </v>
      </c>
      <c r="C842" s="213" t="str">
        <f>IFERROR(__xludf.DUMMYFUNCTION("""COMPUTED_VALUE"""),"TALLER SFT DE EBANISTERÍA")</f>
        <v>TALLER SFT DE EBANISTERÍA</v>
      </c>
      <c r="D842" s="213" t="str">
        <f>IFERROR(__xludf.DUMMYFUNCTION("""COMPUTED_VALUE"""),"EQUIPOS")</f>
        <v>EQUIPOS</v>
      </c>
      <c r="E842" s="213" t="str">
        <f>IFERROR(__xludf.DUMMYFUNCTION("""COMPUTED_VALUE"""),"ESP-187")</f>
        <v>ESP-187</v>
      </c>
      <c r="F842" s="213" t="str">
        <f>IFERROR(__xludf.DUMMYFUNCTION("""COMPUTED_VALUE"""),"ESP-187-X")</f>
        <v>ESP-187-X</v>
      </c>
      <c r="G842" s="213"/>
      <c r="H842" s="213" t="str">
        <f>IFERROR(__xludf.DUMMYFUNCTION("""COMPUTED_VALUE"""),"IMPRESORA 3D")</f>
        <v>IMPRESORA 3D</v>
      </c>
      <c r="I842" s="213" t="str">
        <f>IFERROR(__xludf.DUMMYFUNCTION("""COMPUTED_VALUE"""),"Características TECNOLOGÍA: FDM
VOLUMEN DE IMPRESIÓN: 20cm x 20cm x 25 cm MATERIAL DE IMPRESIÓN: PLA, HIPS CONECTIVIDAD: WiFi y USB 2.0
PLATAFORMA DE TRABAJO: Windows 11 o superior ACCESORIOS: 01 Cable de poder, 01 Manual y 01 Rollo de filamento. FUENTE D"&amp;"E PODER: 220VAC /60 HZ
SOFTWARE INCLUIDO: Controladores, software de impresión de para Imagen en 3D. CERTIFICADO: Energy STAR y/o CE y/o FCC y/o RoHS.
GARANTÍA Tres (03) años Onsite.")</f>
        <v>Características TECNOLOGÍA: FDM
VOLUMEN DE IMPRESIÓN: 20cm x 20cm x 25 cm MATERIAL DE IMPRESIÓN: PLA, HIPS CONECTIVIDAD: WiFi y USB 2.0
PLATAFORMA DE TRABAJO: Windows 11 o superior ACCESORIOS: 01 Cable de poder, 01 Manual y 01 Rollo de filamento. FUENTE DE PODER: 220VAC /60 HZ
SOFTWARE INCLUIDO: Controladores, software de impresión de para Imagen en 3D. CERTIFICADO: Energy STAR y/o CE y/o FCC y/o RoHS.
GARANTÍA Tres (03) años Onsite.</v>
      </c>
      <c r="J842" s="213">
        <f>IFERROR(__xludf.DUMMYFUNCTION("""COMPUTED_VALUE"""),3.0)</f>
        <v>3</v>
      </c>
      <c r="K842" s="213" t="str">
        <f>IFERROR(__xludf.DUMMYFUNCTION("""COMPUTED_VALUE"""),"170 DÍAS CALENDARIO")</f>
        <v>170 DÍAS CALENDARIO</v>
      </c>
      <c r="L842" s="213" t="str">
        <f>IFERROR(__xludf.DUMMYFUNCTION("""COMPUTED_VALUE"""),"MECÁNICA AUTOMOTRÍZ, EBANISTERÍA")</f>
        <v>MECÁNICA AUTOMOTRÍZ, EBANISTERÍA</v>
      </c>
      <c r="M842" s="213">
        <f>IFERROR(__xludf.DUMMYFUNCTION("""COMPUTED_VALUE"""),1.0)</f>
        <v>1</v>
      </c>
      <c r="N842" s="213">
        <f>IFERROR(__xludf.DUMMYFUNCTION("""COMPUTED_VALUE"""),2.0)</f>
        <v>2</v>
      </c>
      <c r="O842" s="213">
        <f>IFERROR(__xludf.DUMMYFUNCTION("""COMPUTED_VALUE"""),2.0)</f>
        <v>2</v>
      </c>
      <c r="P842" s="213"/>
      <c r="Q842" s="213"/>
      <c r="R842" s="213"/>
      <c r="S842" s="213" t="str">
        <f>IFERROR(__xludf.DUMMYFUNCTION("""COMPUTED_VALUE"""),"SI")</f>
        <v>SI</v>
      </c>
      <c r="T842" s="213" t="str">
        <f>IFERROR(__xludf.DUMMYFUNCTION("""COMPUTED_VALUE"""),"SI")</f>
        <v>SI</v>
      </c>
      <c r="U842" s="213" t="str">
        <f>IFERROR(__xludf.DUMMYFUNCTION("""COMPUTED_VALUE"""),"NO")</f>
        <v>NO</v>
      </c>
      <c r="V842" s="213" t="str">
        <f>IFERROR(__xludf.DUMMYFUNCTION("""COMPUTED_VALUE"""),"SUSTENTO")</f>
        <v>SUSTENTO</v>
      </c>
      <c r="W842" s="213" t="str">
        <f>IFERROR(__xludf.DUMMYFUNCTION("""COMPUTED_VALUE"""),"EQU TEC")</f>
        <v>EQU TEC</v>
      </c>
      <c r="X842" s="213" t="str">
        <f>IFERROR(__xludf.DUMMYFUNCTION("""COMPUTED_VALUE"""),"Creality")</f>
        <v>Creality</v>
      </c>
      <c r="Y842" s="213" t="str">
        <f>IFERROR(__xludf.DUMMYFUNCTION("""COMPUTED_VALUE"""),"K1 SE")</f>
        <v>K1 SE</v>
      </c>
      <c r="Z842" s="215" t="str">
        <f>IFERROR(__xludf.DUMMYFUNCTION("""COMPUTED_VALUE"""),"https://store.creality.com/es/products/k1-se-impresora-3d")</f>
        <v>https://store.creality.com/es/products/k1-se-impresora-3d</v>
      </c>
      <c r="AA842" s="213" t="str">
        <f>IFERROR(__xludf.DUMMYFUNCTION("""COMPUTED_VALUE"""),"ESP-187-A IMPRESORA 3D - CET")</f>
        <v>ESP-187-A IMPRESORA 3D - CET</v>
      </c>
      <c r="AB842" s="215" t="str">
        <f>IFERROR(__xludf.DUMMYFUNCTION("""COMPUTED_VALUE"""),"https://drive.google.com/file/d/1E0j0w1lERE5KzfLHnwjCYqpy91_mDAdB/view")</f>
        <v>https://drive.google.com/file/d/1E0j0w1lERE5KzfLHnwjCYqpy91_mDAdB/view</v>
      </c>
      <c r="AC842" s="213"/>
      <c r="AD842" s="213"/>
      <c r="AE842" s="213"/>
      <c r="AF842" s="213"/>
      <c r="AG842" s="213"/>
      <c r="AH842" s="213" t="str">
        <f>IFERROR(__xludf.DUMMYFUNCTION("""COMPUTED_VALUE"""),"IMPORTADO / NACIONAL")</f>
        <v>IMPORTADO / NACIONAL</v>
      </c>
      <c r="AI842" s="213"/>
      <c r="AJ842" s="213"/>
      <c r="AK842" s="213"/>
      <c r="AL842" s="213"/>
      <c r="AM842" s="213"/>
      <c r="AN842" s="213"/>
      <c r="AO842" s="213"/>
      <c r="AP842" s="213" t="str">
        <f>IFERROR(__xludf.DUMMYFUNCTION("""COMPUTED_VALUE"""),"NALDI")</f>
        <v>NALDI</v>
      </c>
      <c r="AQ842" s="213" t="str">
        <f>IFERROR(__xludf.DUMMYFUNCTION("""COMPUTED_VALUE"""),"GARANTÍA Tres (03) años Onsite.")</f>
        <v>GARANTÍA Tres (03) años Onsite.</v>
      </c>
      <c r="AR842" s="213"/>
      <c r="AS842"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842" s="217" t="str">
        <f>IFERROR(__xludf.DUMMYFUNCTION("""COMPUTED_VALUE"""),"Rollo de filamente PLA 1 kg
")</f>
        <v>Rollo de filamente PLA 1 kg
</v>
      </c>
      <c r="AU842" s="213"/>
      <c r="AV842" s="213"/>
      <c r="AW842" s="213"/>
      <c r="AX842" s="213"/>
      <c r="AY842" s="213"/>
      <c r="AZ842" s="213"/>
      <c r="BA842" s="213"/>
      <c r="BB842" s="213"/>
      <c r="BC842" s="213"/>
      <c r="BD842" s="213"/>
    </row>
    <row r="843">
      <c r="A843" s="213">
        <f>IFERROR(__xludf.DUMMYFUNCTION("""COMPUTED_VALUE"""),2296.0)</f>
        <v>2296</v>
      </c>
      <c r="B843" s="213" t="str">
        <f>IFERROR(__xludf.DUMMYFUNCTION("""COMPUTED_VALUE"""),"JOSE GRANDA")</f>
        <v>JOSE GRANDA</v>
      </c>
      <c r="C843" s="213" t="str">
        <f>IFERROR(__xludf.DUMMYFUNCTION("""COMPUTED_VALUE"""),"TALLER SFT DE MECÁNICA AUTOMOTRIZ")</f>
        <v>TALLER SFT DE MECÁNICA AUTOMOTRIZ</v>
      </c>
      <c r="D843" s="213" t="str">
        <f>IFERROR(__xludf.DUMMYFUNCTION("""COMPUTED_VALUE"""),"EQUIPOS")</f>
        <v>EQUIPOS</v>
      </c>
      <c r="E843" s="213" t="str">
        <f>IFERROR(__xludf.DUMMYFUNCTION("""COMPUTED_VALUE"""),"ESP-187")</f>
        <v>ESP-187</v>
      </c>
      <c r="F843" s="213" t="str">
        <f>IFERROR(__xludf.DUMMYFUNCTION("""COMPUTED_VALUE"""),"ESP-187-X")</f>
        <v>ESP-187-X</v>
      </c>
      <c r="G843" s="213"/>
      <c r="H843" s="213" t="str">
        <f>IFERROR(__xludf.DUMMYFUNCTION("""COMPUTED_VALUE"""),"IMPRESORA 3D")</f>
        <v>IMPRESORA 3D</v>
      </c>
      <c r="I843" s="213" t="str">
        <f>IFERROR(__xludf.DUMMYFUNCTION("""COMPUTED_VALUE"""),"Características TECNOLOGÍA: FDM
VOLUMEN DE IMPRESIÓN: 20cm x 20cm x 25 cm MATERIAL DE IMPRESIÓN: PLA, HIPS CONECTIVIDAD: WiFi y USB 2.0
PLATAFORMA DE TRABAJO: Windows 11 o superior
ACCESORIOS: 01 Cable de poder, 01 Manual y 01 Rollo de filamento. FUENTE D"&amp;"E PODER: 220VAC /60 HZ
SOFTWARE INCLUIDO: Controladores, software de impresión de para Imagen en 3D. CERTIFICADO: Energy STAR y/o CE y/o FCC y/o RoHS.
GARANTÍA Tres (03) años Onsite.")</f>
        <v>Características TECNOLOGÍA: FDM
VOLUMEN DE IMPRESIÓN: 20cm x 20cm x 25 cm MATERIAL DE IMPRESIÓN: PLA, HIPS CONECTIVIDAD: WiFi y USB 2.0
PLATAFORMA DE TRABAJO: Windows 11 o superior
ACCESORIOS: 01 Cable de poder, 01 Manual y 01 Rollo de filamento. FUENTE DE PODER: 220VAC /60 HZ
SOFTWARE INCLUIDO: Controladores, software de impresión de para Imagen en 3D. CERTIFICADO: Energy STAR y/o CE y/o FCC y/o RoHS.
GARANTÍA Tres (03) años Onsite.</v>
      </c>
      <c r="J843" s="213">
        <f>IFERROR(__xludf.DUMMYFUNCTION("""COMPUTED_VALUE"""),3.0)</f>
        <v>3</v>
      </c>
      <c r="K843" s="213" t="str">
        <f>IFERROR(__xludf.DUMMYFUNCTION("""COMPUTED_VALUE"""),"170 DÍAS CALENDARIO")</f>
        <v>170 DÍAS CALENDARIO</v>
      </c>
      <c r="L843" s="213" t="str">
        <f>IFERROR(__xludf.DUMMYFUNCTION("""COMPUTED_VALUE"""),"MECÁNICA AUTOMOTRÍZ, EBANISTERÍA")</f>
        <v>MECÁNICA AUTOMOTRÍZ, EBANISTERÍA</v>
      </c>
      <c r="M843" s="213">
        <f>IFERROR(__xludf.DUMMYFUNCTION("""COMPUTED_VALUE"""),1.0)</f>
        <v>1</v>
      </c>
      <c r="N843" s="213">
        <f>IFERROR(__xludf.DUMMYFUNCTION("""COMPUTED_VALUE"""),4.0)</f>
        <v>4</v>
      </c>
      <c r="O843" s="213">
        <f>IFERROR(__xludf.DUMMYFUNCTION("""COMPUTED_VALUE"""),4.0)</f>
        <v>4</v>
      </c>
      <c r="P843" s="213"/>
      <c r="Q843" s="213"/>
      <c r="R843" s="213"/>
      <c r="S843" s="213" t="str">
        <f>IFERROR(__xludf.DUMMYFUNCTION("""COMPUTED_VALUE"""),"SI")</f>
        <v>SI</v>
      </c>
      <c r="T843" s="213" t="str">
        <f>IFERROR(__xludf.DUMMYFUNCTION("""COMPUTED_VALUE"""),"SI")</f>
        <v>SI</v>
      </c>
      <c r="U843" s="213" t="str">
        <f>IFERROR(__xludf.DUMMYFUNCTION("""COMPUTED_VALUE"""),"NO")</f>
        <v>NO</v>
      </c>
      <c r="V843" s="213" t="str">
        <f>IFERROR(__xludf.DUMMYFUNCTION("""COMPUTED_VALUE"""),"SUSTENTO")</f>
        <v>SUSTENTO</v>
      </c>
      <c r="W843" s="213" t="str">
        <f>IFERROR(__xludf.DUMMYFUNCTION("""COMPUTED_VALUE"""),"EQU TEC")</f>
        <v>EQU TEC</v>
      </c>
      <c r="X843" s="213" t="str">
        <f>IFERROR(__xludf.DUMMYFUNCTION("""COMPUTED_VALUE"""),"Creality")</f>
        <v>Creality</v>
      </c>
      <c r="Y843" s="213" t="str">
        <f>IFERROR(__xludf.DUMMYFUNCTION("""COMPUTED_VALUE"""),"K1 SE")</f>
        <v>K1 SE</v>
      </c>
      <c r="Z843" s="215" t="str">
        <f>IFERROR(__xludf.DUMMYFUNCTION("""COMPUTED_VALUE"""),"https://store.creality.com/es/products/k1-se-impresora-3d")</f>
        <v>https://store.creality.com/es/products/k1-se-impresora-3d</v>
      </c>
      <c r="AA843" s="213" t="str">
        <f>IFERROR(__xludf.DUMMYFUNCTION("""COMPUTED_VALUE"""),"ESP-187-A IMPRESORA 3D - CET")</f>
        <v>ESP-187-A IMPRESORA 3D - CET</v>
      </c>
      <c r="AB843" s="215" t="str">
        <f>IFERROR(__xludf.DUMMYFUNCTION("""COMPUTED_VALUE"""),"https://drive.google.com/file/d/1E0j0w1lERE5KzfLHnwjCYqpy91_mDAdB/view")</f>
        <v>https://drive.google.com/file/d/1E0j0w1lERE5KzfLHnwjCYqpy91_mDAdB/view</v>
      </c>
      <c r="AC843" s="213"/>
      <c r="AD843" s="213"/>
      <c r="AE843" s="213"/>
      <c r="AF843" s="213"/>
      <c r="AG843" s="213"/>
      <c r="AH843" s="213" t="str">
        <f>IFERROR(__xludf.DUMMYFUNCTION("""COMPUTED_VALUE"""),"IMPORTADO / NACIONAL")</f>
        <v>IMPORTADO / NACIONAL</v>
      </c>
      <c r="AI843" s="213"/>
      <c r="AJ843" s="213"/>
      <c r="AK843" s="213"/>
      <c r="AL843" s="213"/>
      <c r="AM843" s="213"/>
      <c r="AN843" s="213"/>
      <c r="AO843" s="213"/>
      <c r="AP843" s="213" t="str">
        <f>IFERROR(__xludf.DUMMYFUNCTION("""COMPUTED_VALUE"""),"NALDI")</f>
        <v>NALDI</v>
      </c>
      <c r="AQ843" s="213" t="str">
        <f>IFERROR(__xludf.DUMMYFUNCTION("""COMPUTED_VALUE"""),"GARANTÍA Tres (03) años Onsite.")</f>
        <v>GARANTÍA Tres (03) años Onsite.</v>
      </c>
      <c r="AR843" s="213"/>
      <c r="AS843"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843" s="217" t="str">
        <f>IFERROR(__xludf.DUMMYFUNCTION("""COMPUTED_VALUE"""),"Rollo de filamente PLA 1 kg
")</f>
        <v>Rollo de filamente PLA 1 kg
</v>
      </c>
      <c r="AU843" s="213"/>
      <c r="AV843" s="213"/>
      <c r="AW843" s="213"/>
      <c r="AX843" s="213"/>
      <c r="AY843" s="213"/>
      <c r="AZ843" s="213"/>
      <c r="BA843" s="213"/>
      <c r="BB843" s="213"/>
      <c r="BC843" s="213"/>
      <c r="BD843" s="213"/>
    </row>
    <row r="844">
      <c r="A844" s="213">
        <f>IFERROR(__xludf.DUMMYFUNCTION("""COMPUTED_VALUE"""),2495.0)</f>
        <v>2495</v>
      </c>
      <c r="B844" s="213" t="str">
        <f>IFERROR(__xludf.DUMMYFUNCTION("""COMPUTED_VALUE"""),"MANUEL ANTONIO MESONES MURO")</f>
        <v>MANUEL ANTONIO MESONES MURO</v>
      </c>
      <c r="C844" s="213" t="str">
        <f>IFERROR(__xludf.DUMMYFUNCTION("""COMPUTED_VALUE"""),"TALLER SFT DE CONSTRUCCIONES METÁLICAS")</f>
        <v>TALLER SFT DE CONSTRUCCIONES METÁLICAS</v>
      </c>
      <c r="D844" s="213" t="str">
        <f>IFERROR(__xludf.DUMMYFUNCTION("""COMPUTED_VALUE"""),"PEDAGOGICO")</f>
        <v>PEDAGOGICO</v>
      </c>
      <c r="E844" s="213" t="str">
        <f>IFERROR(__xludf.DUMMYFUNCTION("""COMPUTED_VALUE"""),"MAT-229")</f>
        <v>MAT-229</v>
      </c>
      <c r="F844" s="213" t="str">
        <f>IFERROR(__xludf.DUMMYFUNCTION("""COMPUTED_VALUE"""),"MAT-164-Y-3")</f>
        <v>MAT-164-Y-3</v>
      </c>
      <c r="G844" s="213"/>
      <c r="H844" s="213" t="str">
        <f>IFERROR(__xludf.DUMMYFUNCTION("""COMPUTED_VALUE"""),"JUEGO DE FICHAS PARA EL APRENDIZAJE DE LA SEÑALÉTICA Y SÍMBOLOS DE SEGURIDAD PARA EL TALLER")</f>
        <v>JUEGO DE FICHAS PARA EL APRENDIZAJE DE LA SEÑALÉTICA Y SÍMBOLOS DE SEGURIDAD PARA EL TALLER</v>
      </c>
      <c r="I844" s="213" t="str">
        <f>IFERROR(__xludf.DUMMYFUNCTION("""COMPUTED_VALUE"""),"Según el Ministerio de Trabajo 5 tipos de señalización
1.    Señal de obligación
2.    Señal de peligro
3.    Señal de auxilio
4.    Señal de prohibición
5.    Señal de equipo contra incendios")</f>
        <v>Según el Ministerio de Trabajo 5 tipos de señalización
1.    Señal de obligación
2.    Señal de peligro
3.    Señal de auxilio
4.    Señal de prohibición
5.    Señal de equipo contra incendios</v>
      </c>
      <c r="J844" s="213">
        <f>IFERROR(__xludf.DUMMYFUNCTION("""COMPUTED_VALUE"""),3.0)</f>
        <v>3</v>
      </c>
      <c r="K844" s="213" t="str">
        <f>IFERROR(__xludf.DUMMYFUNCTION("""COMPUTED_VALUE"""),"90 DÍAS CALENDARIO")</f>
        <v>90 DÍAS CALENDARIO</v>
      </c>
      <c r="L844" s="213" t="str">
        <f>IFERROR(__xludf.DUMMYFUNCTION("""COMPUTED_VALUE"""),"")</f>
        <v/>
      </c>
      <c r="M844" s="213">
        <f>IFERROR(__xludf.DUMMYFUNCTION("""COMPUTED_VALUE"""),1.0)</f>
        <v>1</v>
      </c>
      <c r="N844" s="213">
        <f>IFERROR(__xludf.DUMMYFUNCTION("""COMPUTED_VALUE"""),1.0)</f>
        <v>1</v>
      </c>
      <c r="O844" s="213">
        <f>IFERROR(__xludf.DUMMYFUNCTION("""COMPUTED_VALUE"""),1.0)</f>
        <v>1</v>
      </c>
      <c r="P844" s="213"/>
      <c r="Q844" s="213"/>
      <c r="R844" s="213"/>
      <c r="S844" s="213"/>
      <c r="T844" s="213"/>
      <c r="U844" s="213"/>
      <c r="V844" s="213"/>
      <c r="W844" s="213"/>
      <c r="X844" s="213"/>
      <c r="Y844" s="213"/>
      <c r="Z844" s="213"/>
      <c r="AA844" s="213"/>
      <c r="AB844" s="213"/>
      <c r="AC844" s="213"/>
      <c r="AD844" s="213"/>
      <c r="AE844" s="213"/>
      <c r="AF844" s="213"/>
      <c r="AG844" s="213"/>
      <c r="AH844" s="213"/>
      <c r="AI844" s="213"/>
      <c r="AJ844" s="213"/>
      <c r="AK844" s="213"/>
      <c r="AL844" s="213"/>
      <c r="AM844" s="213"/>
      <c r="AN844" s="213"/>
      <c r="AO844" s="213"/>
      <c r="AP844" s="213"/>
      <c r="AQ844" s="213"/>
      <c r="AR844" s="213"/>
      <c r="AS844" s="213"/>
      <c r="AT844" s="213"/>
      <c r="AU844" s="213"/>
      <c r="AV844" s="213"/>
      <c r="AW844" s="213"/>
      <c r="AX844" s="213"/>
      <c r="AY844" s="213"/>
      <c r="AZ844" s="213"/>
      <c r="BA844" s="213"/>
      <c r="BB844" s="213"/>
      <c r="BC844" s="213"/>
      <c r="BD844" s="213"/>
    </row>
    <row r="845">
      <c r="A845" s="213">
        <f>IFERROR(__xludf.DUMMYFUNCTION("""COMPUTED_VALUE"""),2635.0)</f>
        <v>2635</v>
      </c>
      <c r="B845" s="213" t="str">
        <f>IFERROR(__xludf.DUMMYFUNCTION("""COMPUTED_VALUE"""),"MANUEL ANTONIO MESONES MURO")</f>
        <v>MANUEL ANTONIO MESONES MURO</v>
      </c>
      <c r="C845" s="213" t="str">
        <f>IFERROR(__xludf.DUMMYFUNCTION("""COMPUTED_VALUE"""),"TALLER SFT DE EBANISTERÍA")</f>
        <v>TALLER SFT DE EBANISTERÍA</v>
      </c>
      <c r="D845" s="213" t="str">
        <f>IFERROR(__xludf.DUMMYFUNCTION("""COMPUTED_VALUE"""),"EQUIPOS")</f>
        <v>EQUIPOS</v>
      </c>
      <c r="E845" s="213" t="str">
        <f>IFERROR(__xludf.DUMMYFUNCTION("""COMPUTED_VALUE"""),"ESP-187")</f>
        <v>ESP-187</v>
      </c>
      <c r="F845" s="213" t="str">
        <f>IFERROR(__xludf.DUMMYFUNCTION("""COMPUTED_VALUE"""),"ESP-187-X")</f>
        <v>ESP-187-X</v>
      </c>
      <c r="G845" s="213"/>
      <c r="H845" s="213" t="str">
        <f>IFERROR(__xludf.DUMMYFUNCTION("""COMPUTED_VALUE"""),"IMPRESORA 3D")</f>
        <v>IMPRESORA 3D</v>
      </c>
      <c r="I845" s="213" t="str">
        <f>IFERROR(__xludf.DUMMYFUNCTION("""COMPUTED_VALUE"""),"Características TECNOLOGÍA: FDM
VOLUMEN DE IMPRESIÓN: 20cm x 20cm x 25 cm MATERIAL DE IMPRESIÓN: PLA, HIPS CONECTIVIDAD: WiFi y USB 2.0
PLATAFORMA DE TRABAJO: Windows 11 o superior ACCESORIOS: 01 Cable de poder, 01 Manual y 01 Rollo de filamento. FUENTE D"&amp;"E PODER: 220VAC /60 HZ
SOFTWARE INCLUIDO: Controladores, software de impresión de para Imagen en 3D. CERTIFICADO: Energy STAR y/o CE y/o FCC y/o RoHS.
GARANTÍA Tres (03) años Onsite.")</f>
        <v>Características TECNOLOGÍA: FDM
VOLUMEN DE IMPRESIÓN: 20cm x 20cm x 25 cm MATERIAL DE IMPRESIÓN: PLA, HIPS CONECTIVIDAD: WiFi y USB 2.0
PLATAFORMA DE TRABAJO: Windows 11 o superior ACCESORIOS: 01 Cable de poder, 01 Manual y 01 Rollo de filamento. FUENTE DE PODER: 220VAC /60 HZ
SOFTWARE INCLUIDO: Controladores, software de impresión de para Imagen en 3D. CERTIFICADO: Energy STAR y/o CE y/o FCC y/o RoHS.
GARANTÍA Tres (03) años Onsite.</v>
      </c>
      <c r="J845" s="213">
        <f>IFERROR(__xludf.DUMMYFUNCTION("""COMPUTED_VALUE"""),3.0)</f>
        <v>3</v>
      </c>
      <c r="K845" s="213" t="str">
        <f>IFERROR(__xludf.DUMMYFUNCTION("""COMPUTED_VALUE"""),"170 DÍAS CALENDARIO")</f>
        <v>170 DÍAS CALENDARIO</v>
      </c>
      <c r="L845" s="213" t="str">
        <f>IFERROR(__xludf.DUMMYFUNCTION("""COMPUTED_VALUE"""),"MECÁNICA AUTOMOTRÍZ, EBANISTERÍA")</f>
        <v>MECÁNICA AUTOMOTRÍZ, EBANISTERÍA</v>
      </c>
      <c r="M845" s="213">
        <f>IFERROR(__xludf.DUMMYFUNCTION("""COMPUTED_VALUE"""),1.0)</f>
        <v>1</v>
      </c>
      <c r="N845" s="213">
        <f>IFERROR(__xludf.DUMMYFUNCTION("""COMPUTED_VALUE"""),4.0)</f>
        <v>4</v>
      </c>
      <c r="O845" s="213">
        <f>IFERROR(__xludf.DUMMYFUNCTION("""COMPUTED_VALUE"""),4.0)</f>
        <v>4</v>
      </c>
      <c r="P845" s="213"/>
      <c r="Q845" s="213"/>
      <c r="R845" s="213"/>
      <c r="S845" s="213" t="str">
        <f>IFERROR(__xludf.DUMMYFUNCTION("""COMPUTED_VALUE"""),"SI")</f>
        <v>SI</v>
      </c>
      <c r="T845" s="213" t="str">
        <f>IFERROR(__xludf.DUMMYFUNCTION("""COMPUTED_VALUE"""),"SI")</f>
        <v>SI</v>
      </c>
      <c r="U845" s="213" t="str">
        <f>IFERROR(__xludf.DUMMYFUNCTION("""COMPUTED_VALUE"""),"NO")</f>
        <v>NO</v>
      </c>
      <c r="V845" s="213" t="str">
        <f>IFERROR(__xludf.DUMMYFUNCTION("""COMPUTED_VALUE"""),"SUSTENTO")</f>
        <v>SUSTENTO</v>
      </c>
      <c r="W845" s="213" t="str">
        <f>IFERROR(__xludf.DUMMYFUNCTION("""COMPUTED_VALUE"""),"EQU TEC")</f>
        <v>EQU TEC</v>
      </c>
      <c r="X845" s="213" t="str">
        <f>IFERROR(__xludf.DUMMYFUNCTION("""COMPUTED_VALUE"""),"Creality")</f>
        <v>Creality</v>
      </c>
      <c r="Y845" s="213" t="str">
        <f>IFERROR(__xludf.DUMMYFUNCTION("""COMPUTED_VALUE"""),"K1 SE")</f>
        <v>K1 SE</v>
      </c>
      <c r="Z845" s="215" t="str">
        <f>IFERROR(__xludf.DUMMYFUNCTION("""COMPUTED_VALUE"""),"https://store.creality.com/es/products/k1-se-impresora-3d")</f>
        <v>https://store.creality.com/es/products/k1-se-impresora-3d</v>
      </c>
      <c r="AA845" s="213" t="str">
        <f>IFERROR(__xludf.DUMMYFUNCTION("""COMPUTED_VALUE"""),"ESP-187-A IMPRESORA 3D - CET")</f>
        <v>ESP-187-A IMPRESORA 3D - CET</v>
      </c>
      <c r="AB845" s="215" t="str">
        <f>IFERROR(__xludf.DUMMYFUNCTION("""COMPUTED_VALUE"""),"https://drive.google.com/file/d/1E0j0w1lERE5KzfLHnwjCYqpy91_mDAdB/view")</f>
        <v>https://drive.google.com/file/d/1E0j0w1lERE5KzfLHnwjCYqpy91_mDAdB/view</v>
      </c>
      <c r="AC845" s="213"/>
      <c r="AD845" s="213"/>
      <c r="AE845" s="213"/>
      <c r="AF845" s="213"/>
      <c r="AG845" s="213"/>
      <c r="AH845" s="213" t="str">
        <f>IFERROR(__xludf.DUMMYFUNCTION("""COMPUTED_VALUE"""),"IMPORTADO / NACIONAL")</f>
        <v>IMPORTADO / NACIONAL</v>
      </c>
      <c r="AI845" s="213"/>
      <c r="AJ845" s="213"/>
      <c r="AK845" s="213"/>
      <c r="AL845" s="213"/>
      <c r="AM845" s="213"/>
      <c r="AN845" s="213"/>
      <c r="AO845" s="213"/>
      <c r="AP845" s="213" t="str">
        <f>IFERROR(__xludf.DUMMYFUNCTION("""COMPUTED_VALUE"""),"NALDI")</f>
        <v>NALDI</v>
      </c>
      <c r="AQ845" s="213" t="str">
        <f>IFERROR(__xludf.DUMMYFUNCTION("""COMPUTED_VALUE"""),"GARANTÍA Tres (03) años Onsite.")</f>
        <v>GARANTÍA Tres (03) años Onsite.</v>
      </c>
      <c r="AR845" s="213"/>
      <c r="AS845" s="213" t="str">
        <f>IFERROR(__xludf.DUMMYFUNCTION("""COMPUTED_VALUE"""),"Se sustentará que impreme HIPS con las características de la cama y la boquilla, ya que no se indica en la ficha.")</f>
        <v>Se sustentará que impreme HIPS con las características de la cama y la boquilla, ya que no se indica en la ficha.</v>
      </c>
      <c r="AT845" s="217" t="str">
        <f>IFERROR(__xludf.DUMMYFUNCTION("""COMPUTED_VALUE"""),"Rollo de filamente PLA 1 kg
")</f>
        <v>Rollo de filamente PLA 1 kg
</v>
      </c>
      <c r="AU845" s="213"/>
      <c r="AV845" s="213"/>
      <c r="AW845" s="213"/>
      <c r="AX845" s="213"/>
      <c r="AY845" s="213"/>
      <c r="AZ845" s="213"/>
      <c r="BA845" s="213"/>
      <c r="BB845" s="213"/>
      <c r="BC845" s="213"/>
      <c r="BD845" s="213"/>
    </row>
    <row r="846">
      <c r="A846" s="213">
        <f>IFERROR(__xludf.DUMMYFUNCTION("""COMPUTED_VALUE"""),197.0)</f>
        <v>197</v>
      </c>
      <c r="B846" s="213" t="str">
        <f>IFERROR(__xludf.DUMMYFUNCTION("""COMPUTED_VALUE"""),"2026 SIMON BOLIVAR")</f>
        <v>2026 SIMON BOLIVAR</v>
      </c>
      <c r="C846" s="213" t="str">
        <f>IFERROR(__xludf.DUMMYFUNCTION("""COMPUTED_VALUE"""),"TALLER SFT DE INDUSTRIA DEL VESTIDO")</f>
        <v>TALLER SFT DE INDUSTRIA DEL VESTIDO</v>
      </c>
      <c r="D846" s="213" t="str">
        <f>IFERROR(__xludf.DUMMYFUNCTION("""COMPUTED_VALUE"""),"EQUIPOS")</f>
        <v>EQUIPOS</v>
      </c>
      <c r="E846" s="213" t="str">
        <f>IFERROR(__xludf.DUMMYFUNCTION("""COMPUTED_VALUE"""),"ESP-189")</f>
        <v>ESP-189</v>
      </c>
      <c r="F846" s="213" t="str">
        <f>IFERROR(__xludf.DUMMYFUNCTION("""COMPUTED_VALUE"""),"ESP-189")</f>
        <v>ESP-189</v>
      </c>
      <c r="G846" s="213"/>
      <c r="H846" s="213" t="str">
        <f>IFERROR(__xludf.DUMMYFUNCTION("""COMPUTED_VALUE"""),"IMPRESORA DIGITAL TEXTIL")</f>
        <v>IMPRESORA DIGITAL TEXTIL</v>
      </c>
      <c r="I846" s="213" t="str">
        <f>IFERROR(__xludf.DUMMYFUNCTION("""COMPUTED_VALUE"""),"· Diseñada para impresión directa de alta calidad en prendas
·  Máxima calidad de impresión en tejido negro sobre una base blanca.
·   Pantalla LCD
·   Compatibilidad con Windows
·   Resolución máxima de impresión: Color hasta 1440 × 720 ppp y blanco hast"&amp;"a 1440 × 1440 ppp
·  Velocidad de impresión: modo de color CMYK dual: 27 segundos
·   Interfaces: USB 2.0 tipo A (2x),LAN
·   Software incluido en la máquina  en español, compatible con Windows.
·   Incluye colores de tinta:       CA: 220V, 60 Hz
·   Tama"&amp;"ño aproximado: 1.207 mm x 1595 mm x 480 mm (ancho x profundidad  x altura) aproximadamente")</f>
        <v>· Diseñada para impresión directa de alta calidad en prendas
·  Máxima calidad de impresión en tejido negro sobre una base blanca.
·   Pantalla LCD
·   Compatibilidad con Windows
·   Resolución máxima de impresión: Color hasta 1440 × 720 ppp y blanco hasta 1440 × 1440 ppp
·  Velocidad de impresión: modo de color CMYK dual: 27 segundos
·   Interfaces: USB 2.0 tipo A (2x),LAN
·   Software incluido en la máquina  en español, compatible con Windows.
·   Incluye colores de tinta:       CA: 220V, 60 Hz
·   Tamaño aproximado: 1.207 mm x 1595 mm x 480 mm (ancho x profundidad  x altura) aproximadamente</v>
      </c>
      <c r="J846" s="213">
        <f>IFERROR(__xludf.DUMMYFUNCTION("""COMPUTED_VALUE"""),3.0)</f>
        <v>3</v>
      </c>
      <c r="K846" s="213" t="str">
        <f>IFERROR(__xludf.DUMMYFUNCTION("""COMPUTED_VALUE"""),"170 DÍAS CALENDARIO")</f>
        <v>170 DÍAS CALENDARIO</v>
      </c>
      <c r="L846" s="213" t="str">
        <f>IFERROR(__xludf.DUMMYFUNCTION("""COMPUTED_VALUE"""),"")</f>
        <v/>
      </c>
      <c r="M846" s="213">
        <f>IFERROR(__xludf.DUMMYFUNCTION("""COMPUTED_VALUE"""),1.0)</f>
        <v>1</v>
      </c>
      <c r="N846" s="213">
        <f>IFERROR(__xludf.DUMMYFUNCTION("""COMPUTED_VALUE"""),1.0)</f>
        <v>1</v>
      </c>
      <c r="O846" s="213">
        <f>IFERROR(__xludf.DUMMYFUNCTION("""COMPUTED_VALUE"""),1.0)</f>
        <v>1</v>
      </c>
      <c r="P846" s="213"/>
      <c r="Q846" s="213"/>
      <c r="R846" s="213"/>
      <c r="S846" s="213" t="str">
        <f>IFERROR(__xludf.DUMMYFUNCTION("""COMPUTED_VALUE"""),"SI")</f>
        <v>SI</v>
      </c>
      <c r="T846" s="213" t="str">
        <f>IFERROR(__xludf.DUMMYFUNCTION("""COMPUTED_VALUE"""),"SI")</f>
        <v>SI</v>
      </c>
      <c r="U846" s="213" t="str">
        <f>IFERROR(__xludf.DUMMYFUNCTION("""COMPUTED_VALUE"""),"NO")</f>
        <v>NO</v>
      </c>
      <c r="V846" s="213" t="str">
        <f>IFERROR(__xludf.DUMMYFUNCTION("""COMPUTED_VALUE"""),"SUSTENTO")</f>
        <v>SUSTENTO</v>
      </c>
      <c r="W846" s="213" t="str">
        <f>IFERROR(__xludf.DUMMYFUNCTION("""COMPUTED_VALUE"""),"EQU TEC")</f>
        <v>EQU TEC</v>
      </c>
      <c r="X846" s="213" t="str">
        <f>IFERROR(__xludf.DUMMYFUNCTION("""COMPUTED_VALUE"""),"EPSON")</f>
        <v>EPSON</v>
      </c>
      <c r="Y846" s="213" t="str">
        <f>IFERROR(__xludf.DUMMYFUNCTION("""COMPUTED_VALUE"""),"SURECOLOR F2200")</f>
        <v>SURECOLOR F2200</v>
      </c>
      <c r="Z846" s="215" t="str">
        <f>IFERROR(__xludf.DUMMYFUNCTION("""COMPUTED_VALUE"""),"https://drive.google.com/file/d/1cu00IYcXcPwzGin1xW1G7fuPLF8-snwa/view")</f>
        <v>https://drive.google.com/file/d/1cu00IYcXcPwzGin1xW1G7fuPLF8-snwa/view</v>
      </c>
      <c r="AA846" s="213" t="str">
        <f>IFERROR(__xludf.DUMMYFUNCTION("""COMPUTED_VALUE"""),"ESP-189 IMPRESORA DIGITAL TEXTIL - CET")</f>
        <v>ESP-189 IMPRESORA DIGITAL TEXTIL - CET</v>
      </c>
      <c r="AB846" s="215" t="str">
        <f>IFERROR(__xludf.DUMMYFUNCTION("""COMPUTED_VALUE"""),"https://drive.google.com/file/d/1cu00IYcXcPwzGin1xW1G7fuPLF8-snwa/view")</f>
        <v>https://drive.google.com/file/d/1cu00IYcXcPwzGin1xW1G7fuPLF8-snwa/view</v>
      </c>
      <c r="AC846" s="213"/>
      <c r="AD846" s="213"/>
      <c r="AE846" s="213"/>
      <c r="AF846" s="213"/>
      <c r="AG846" s="213"/>
      <c r="AH846" s="213" t="str">
        <f>IFERROR(__xludf.DUMMYFUNCTION("""COMPUTED_VALUE"""),"NACIONAL")</f>
        <v>NACIONAL</v>
      </c>
      <c r="AI846" s="213"/>
      <c r="AJ846" s="213"/>
      <c r="AK846" s="213"/>
      <c r="AL846" s="213"/>
      <c r="AM846" s="213"/>
      <c r="AN846" s="213"/>
      <c r="AO846" s="213"/>
      <c r="AP846" s="213" t="str">
        <f>IFERROR(__xludf.DUMMYFUNCTION("""COMPUTED_VALUE"""),"ANTONELLA")</f>
        <v>ANTONELLA</v>
      </c>
      <c r="AQ846" s="213" t="str">
        <f>IFERROR(__xludf.DUMMYFUNCTION("""COMPUTED_VALUE"""),"La que cumple es el modelo anterior descontinuado EPSON SC-F2100 (se tiene carta de Dioni de sustento). ")</f>
        <v>La que cumple es el modelo anterior descontinuado EPSON SC-F2100 (se tiene carta de Dioni de sustento). </v>
      </c>
      <c r="AR846" s="213"/>
      <c r="AS846" s="213" t="str">
        <f>IFERROR(__xludf.DUMMYFUNCTION("""COMPUTED_VALUE"""),"Verificar que incluyan tintas.")</f>
        <v>Verificar que incluyan tintas.</v>
      </c>
      <c r="AT846" s="213"/>
      <c r="AU846" s="213"/>
      <c r="AV846" s="213"/>
      <c r="AW846" s="213"/>
      <c r="AX846" s="213"/>
      <c r="AY846" s="213"/>
      <c r="AZ846" s="213"/>
      <c r="BA846" s="213"/>
      <c r="BB846" s="213"/>
      <c r="BC846" s="213"/>
      <c r="BD846" s="213"/>
    </row>
    <row r="847">
      <c r="A847" s="213">
        <f>IFERROR(__xludf.DUMMYFUNCTION("""COMPUTED_VALUE"""),127.0)</f>
        <v>127</v>
      </c>
      <c r="B847" s="213" t="str">
        <f>IFERROR(__xludf.DUMMYFUNCTION("""COMPUTED_VALUE"""),"16449 ELOY SOBERON  FLORES")</f>
        <v>16449 ELOY SOBERON  FLORES</v>
      </c>
      <c r="C847" s="213" t="str">
        <f>IFERROR(__xludf.DUMMYFUNCTION("""COMPUTED_VALUE"""),"TALLER SFT DE COCINA Y REPOSTERÍA")</f>
        <v>TALLER SFT DE COCINA Y REPOSTERÍA</v>
      </c>
      <c r="D847" s="213" t="str">
        <f>IFERROR(__xludf.DUMMYFUNCTION("""COMPUTED_VALUE"""),"TICS")</f>
        <v>TICS</v>
      </c>
      <c r="E847" s="213" t="str">
        <f>IFERROR(__xludf.DUMMYFUNCTION("""COMPUTED_VALUE"""),"TEC-111")</f>
        <v>TEC-111</v>
      </c>
      <c r="F847" s="213" t="str">
        <f>IFERROR(__xludf.DUMMYFUNCTION("""COMPUTED_VALUE"""),"TEC-111-X")</f>
        <v>TEC-111-X</v>
      </c>
      <c r="G847" s="213"/>
      <c r="H847" s="213" t="str">
        <f>IFERROR(__xludf.DUMMYFUNCTION("""COMPUTED_VALUE"""),"IMPRESORA MULTIFUNCIONAL")</f>
        <v>IMPRESORA MULTIFUNCIONAL</v>
      </c>
      <c r="I847"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47" s="213">
        <f>IFERROR(__xludf.DUMMYFUNCTION("""COMPUTED_VALUE"""),3.0)</f>
        <v>3</v>
      </c>
      <c r="K847" s="213" t="str">
        <f>IFERROR(__xludf.DUMMYFUNCTION("""COMPUTED_VALUE"""),"170 DÍAS CALENDARIO")</f>
        <v>170 DÍAS CALENDARIO</v>
      </c>
      <c r="L847"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47" s="213">
        <f>IFERROR(__xludf.DUMMYFUNCTION("""COMPUTED_VALUE"""),1.0)</f>
        <v>1</v>
      </c>
      <c r="N847" s="213">
        <f>IFERROR(__xludf.DUMMYFUNCTION("""COMPUTED_VALUE"""),1.0)</f>
        <v>1</v>
      </c>
      <c r="O847" s="213">
        <f>IFERROR(__xludf.DUMMYFUNCTION("""COMPUTED_VALUE"""),1.0)</f>
        <v>1</v>
      </c>
      <c r="P847" s="213"/>
      <c r="Q847" s="213"/>
      <c r="R847" s="213"/>
      <c r="S847" s="213"/>
      <c r="T847" s="213" t="str">
        <f>IFERROR(__xludf.DUMMYFUNCTION("""COMPUTED_VALUE"""),"SI")</f>
        <v>SI</v>
      </c>
      <c r="U847" s="213" t="str">
        <f>IFERROR(__xludf.DUMMYFUNCTION("""COMPUTED_VALUE"""),"SI")</f>
        <v>SI</v>
      </c>
      <c r="V847" s="213" t="str">
        <f>IFERROR(__xludf.DUMMYFUNCTION("""COMPUTED_VALUE"""),"-")</f>
        <v>-</v>
      </c>
      <c r="W847" s="213" t="str">
        <f>IFERROR(__xludf.DUMMYFUNCTION("""COMPUTED_VALUE"""),"-")</f>
        <v>-</v>
      </c>
      <c r="X847" s="213" t="str">
        <f>IFERROR(__xludf.DUMMYFUNCTION("""COMPUTED_VALUE"""),"BROTHER ")</f>
        <v>BROTHER </v>
      </c>
      <c r="Y847" s="213" t="str">
        <f>IFERROR(__xludf.DUMMYFUNCTION("""COMPUTED_VALUE"""),"MFC-T4500DW")</f>
        <v>MFC-T4500DW</v>
      </c>
      <c r="Z847" s="215" t="str">
        <f>IFERROR(__xludf.DUMMYFUNCTION("""COMPUTED_VALUE"""),"https://www.brother.com.pe/products/mfct4500dw")</f>
        <v>https://www.brother.com.pe/products/mfct4500dw</v>
      </c>
      <c r="AA847" s="213" t="str">
        <f>IFERROR(__xludf.DUMMYFUNCTION("""COMPUTED_VALUE"""),"TEC-111-A IMPRESORA MULTIFUNCIONAL - CET")</f>
        <v>TEC-111-A IMPRESORA MULTIFUNCIONAL - CET</v>
      </c>
      <c r="AB847" s="213"/>
      <c r="AC847" s="213"/>
      <c r="AD847" s="213"/>
      <c r="AE847" s="213"/>
      <c r="AF847" s="213"/>
      <c r="AG847" s="213"/>
      <c r="AH847" s="213"/>
      <c r="AI847" s="213"/>
      <c r="AJ847" s="213"/>
      <c r="AK847" s="213"/>
      <c r="AL847" s="213"/>
      <c r="AM847" s="213"/>
      <c r="AN847" s="213"/>
      <c r="AO847" s="213"/>
      <c r="AP847" s="213" t="str">
        <f>IFERROR(__xludf.DUMMYFUNCTION("""COMPUTED_VALUE"""),"NALDI")</f>
        <v>NALDI</v>
      </c>
      <c r="AQ847" s="213"/>
      <c r="AR847" s="213"/>
      <c r="AS847" s="213"/>
      <c r="AT847" s="213"/>
      <c r="AU847" s="213"/>
      <c r="AV847" s="213"/>
      <c r="AW847" s="213"/>
      <c r="AX847" s="213"/>
      <c r="AY847" s="213"/>
      <c r="AZ847" s="213"/>
      <c r="BA847" s="213"/>
      <c r="BB847" s="213"/>
      <c r="BC847" s="213"/>
      <c r="BD847" s="213"/>
    </row>
    <row r="848">
      <c r="A848" s="213">
        <f>IFERROR(__xludf.DUMMYFUNCTION("""COMPUTED_VALUE"""),188.0)</f>
        <v>188</v>
      </c>
      <c r="B848" s="213" t="str">
        <f>IFERROR(__xludf.DUMMYFUNCTION("""COMPUTED_VALUE"""),"2026 SIMON BOLIVAR")</f>
        <v>2026 SIMON BOLIVAR</v>
      </c>
      <c r="C848" s="213" t="str">
        <f>IFERROR(__xludf.DUMMYFUNCTION("""COMPUTED_VALUE"""),"TALLER SFT DE INDUSTRIA DEL VESTIDO")</f>
        <v>TALLER SFT DE INDUSTRIA DEL VESTIDO</v>
      </c>
      <c r="D848" s="213" t="str">
        <f>IFERROR(__xludf.DUMMYFUNCTION("""COMPUTED_VALUE"""),"TICS")</f>
        <v>TICS</v>
      </c>
      <c r="E848" s="213" t="str">
        <f>IFERROR(__xludf.DUMMYFUNCTION("""COMPUTED_VALUE"""),"TEC-111")</f>
        <v>TEC-111</v>
      </c>
      <c r="F848" s="213" t="str">
        <f>IFERROR(__xludf.DUMMYFUNCTION("""COMPUTED_VALUE"""),"TEC-111-X")</f>
        <v>TEC-111-X</v>
      </c>
      <c r="G848" s="213"/>
      <c r="H848" s="213" t="str">
        <f>IFERROR(__xludf.DUMMYFUNCTION("""COMPUTED_VALUE"""),"IMPRESORA MULTIFUNCIONAL")</f>
        <v>IMPRESORA MULTIFUNCIONAL</v>
      </c>
      <c r="I848"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48" s="213">
        <f>IFERROR(__xludf.DUMMYFUNCTION("""COMPUTED_VALUE"""),3.0)</f>
        <v>3</v>
      </c>
      <c r="K848" s="213" t="str">
        <f>IFERROR(__xludf.DUMMYFUNCTION("""COMPUTED_VALUE"""),"170 DÍAS CALENDARIO")</f>
        <v>170 DÍAS CALENDARIO</v>
      </c>
      <c r="L848"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48" s="213">
        <f>IFERROR(__xludf.DUMMYFUNCTION("""COMPUTED_VALUE"""),1.0)</f>
        <v>1</v>
      </c>
      <c r="N848" s="213">
        <f>IFERROR(__xludf.DUMMYFUNCTION("""COMPUTED_VALUE"""),1.0)</f>
        <v>1</v>
      </c>
      <c r="O848" s="213">
        <f>IFERROR(__xludf.DUMMYFUNCTION("""COMPUTED_VALUE"""),1.0)</f>
        <v>1</v>
      </c>
      <c r="P848" s="213"/>
      <c r="Q848" s="213"/>
      <c r="R848" s="213"/>
      <c r="S848" s="213"/>
      <c r="T848" s="213" t="str">
        <f>IFERROR(__xludf.DUMMYFUNCTION("""COMPUTED_VALUE"""),"SI")</f>
        <v>SI</v>
      </c>
      <c r="U848" s="213" t="str">
        <f>IFERROR(__xludf.DUMMYFUNCTION("""COMPUTED_VALUE"""),"SI")</f>
        <v>SI</v>
      </c>
      <c r="V848" s="213" t="str">
        <f>IFERROR(__xludf.DUMMYFUNCTION("""COMPUTED_VALUE"""),"-")</f>
        <v>-</v>
      </c>
      <c r="W848" s="213" t="str">
        <f>IFERROR(__xludf.DUMMYFUNCTION("""COMPUTED_VALUE"""),"-")</f>
        <v>-</v>
      </c>
      <c r="X848" s="213" t="str">
        <f>IFERROR(__xludf.DUMMYFUNCTION("""COMPUTED_VALUE"""),"BROTHER ")</f>
        <v>BROTHER </v>
      </c>
      <c r="Y848" s="213" t="str">
        <f>IFERROR(__xludf.DUMMYFUNCTION("""COMPUTED_VALUE"""),"MFC-T4500DW")</f>
        <v>MFC-T4500DW</v>
      </c>
      <c r="Z848" s="215" t="str">
        <f>IFERROR(__xludf.DUMMYFUNCTION("""COMPUTED_VALUE"""),"https://www.brother.com.pe/products/mfct4500dw")</f>
        <v>https://www.brother.com.pe/products/mfct4500dw</v>
      </c>
      <c r="AA848" s="213" t="str">
        <f>IFERROR(__xludf.DUMMYFUNCTION("""COMPUTED_VALUE"""),"TEC-111-A IMPRESORA MULTIFUNCIONAL - CET")</f>
        <v>TEC-111-A IMPRESORA MULTIFUNCIONAL - CET</v>
      </c>
      <c r="AB848" s="213"/>
      <c r="AC848" s="213"/>
      <c r="AD848" s="213"/>
      <c r="AE848" s="213"/>
      <c r="AF848" s="213"/>
      <c r="AG848" s="213"/>
      <c r="AH848" s="213"/>
      <c r="AI848" s="213"/>
      <c r="AJ848" s="213"/>
      <c r="AK848" s="213"/>
      <c r="AL848" s="213"/>
      <c r="AM848" s="213"/>
      <c r="AN848" s="213"/>
      <c r="AO848" s="213"/>
      <c r="AP848" s="213" t="str">
        <f>IFERROR(__xludf.DUMMYFUNCTION("""COMPUTED_VALUE"""),"NALDI")</f>
        <v>NALDI</v>
      </c>
      <c r="AQ848" s="213"/>
      <c r="AR848" s="213"/>
      <c r="AS848" s="213"/>
      <c r="AT848" s="213"/>
      <c r="AU848" s="213"/>
      <c r="AV848" s="213"/>
      <c r="AW848" s="213"/>
      <c r="AX848" s="213"/>
      <c r="AY848" s="213"/>
      <c r="AZ848" s="213"/>
      <c r="BA848" s="213"/>
      <c r="BB848" s="213"/>
      <c r="BC848" s="213"/>
      <c r="BD848" s="213"/>
    </row>
    <row r="849">
      <c r="A849" s="213">
        <f>IFERROR(__xludf.DUMMYFUNCTION("""COMPUTED_VALUE"""),273.0)</f>
        <v>273</v>
      </c>
      <c r="B849" s="213" t="str">
        <f>IFERROR(__xludf.DUMMYFUNCTION("""COMPUTED_VALUE"""),"2026 SIMON BOLIVAR")</f>
        <v>2026 SIMON BOLIVAR</v>
      </c>
      <c r="C849" s="213" t="str">
        <f>IFERROR(__xludf.DUMMYFUNCTION("""COMPUTED_VALUE"""),"TALLER SFT DE COMPUTACIÓN E INFORMÁTICA")</f>
        <v>TALLER SFT DE COMPUTACIÓN E INFORMÁTICA</v>
      </c>
      <c r="D849" s="213" t="str">
        <f>IFERROR(__xludf.DUMMYFUNCTION("""COMPUTED_VALUE"""),"TICS")</f>
        <v>TICS</v>
      </c>
      <c r="E849" s="213" t="str">
        <f>IFERROR(__xludf.DUMMYFUNCTION("""COMPUTED_VALUE"""),"TEC-111")</f>
        <v>TEC-111</v>
      </c>
      <c r="F849" s="213" t="str">
        <f>IFERROR(__xludf.DUMMYFUNCTION("""COMPUTED_VALUE"""),"TEC-111-X")</f>
        <v>TEC-111-X</v>
      </c>
      <c r="G849" s="213"/>
      <c r="H849" s="213" t="str">
        <f>IFERROR(__xludf.DUMMYFUNCTION("""COMPUTED_VALUE"""),"IMPRESORA MULTIFUNCIONAL")</f>
        <v>IMPRESORA MULTIFUNCIONAL</v>
      </c>
      <c r="I849"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49" s="213">
        <f>IFERROR(__xludf.DUMMYFUNCTION("""COMPUTED_VALUE"""),3.0)</f>
        <v>3</v>
      </c>
      <c r="K849" s="213" t="str">
        <f>IFERROR(__xludf.DUMMYFUNCTION("""COMPUTED_VALUE"""),"170 DÍAS CALENDARIO")</f>
        <v>170 DÍAS CALENDARIO</v>
      </c>
      <c r="L849"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49" s="213">
        <f>IFERROR(__xludf.DUMMYFUNCTION("""COMPUTED_VALUE"""),1.0)</f>
        <v>1</v>
      </c>
      <c r="N849" s="213">
        <f>IFERROR(__xludf.DUMMYFUNCTION("""COMPUTED_VALUE"""),1.0)</f>
        <v>1</v>
      </c>
      <c r="O849" s="213">
        <f>IFERROR(__xludf.DUMMYFUNCTION("""COMPUTED_VALUE"""),1.0)</f>
        <v>1</v>
      </c>
      <c r="P849" s="213"/>
      <c r="Q849" s="213"/>
      <c r="R849" s="213"/>
      <c r="S849" s="213"/>
      <c r="T849" s="213" t="str">
        <f>IFERROR(__xludf.DUMMYFUNCTION("""COMPUTED_VALUE"""),"SI")</f>
        <v>SI</v>
      </c>
      <c r="U849" s="213" t="str">
        <f>IFERROR(__xludf.DUMMYFUNCTION("""COMPUTED_VALUE"""),"SI")</f>
        <v>SI</v>
      </c>
      <c r="V849" s="213" t="str">
        <f>IFERROR(__xludf.DUMMYFUNCTION("""COMPUTED_VALUE"""),"-")</f>
        <v>-</v>
      </c>
      <c r="W849" s="213" t="str">
        <f>IFERROR(__xludf.DUMMYFUNCTION("""COMPUTED_VALUE"""),"-")</f>
        <v>-</v>
      </c>
      <c r="X849" s="213" t="str">
        <f>IFERROR(__xludf.DUMMYFUNCTION("""COMPUTED_VALUE"""),"BROTHER ")</f>
        <v>BROTHER </v>
      </c>
      <c r="Y849" s="213" t="str">
        <f>IFERROR(__xludf.DUMMYFUNCTION("""COMPUTED_VALUE"""),"MFC-T4500DW")</f>
        <v>MFC-T4500DW</v>
      </c>
      <c r="Z849" s="215" t="str">
        <f>IFERROR(__xludf.DUMMYFUNCTION("""COMPUTED_VALUE"""),"https://www.brother.com.pe/products/mfct4500dw")</f>
        <v>https://www.brother.com.pe/products/mfct4500dw</v>
      </c>
      <c r="AA849" s="213" t="str">
        <f>IFERROR(__xludf.DUMMYFUNCTION("""COMPUTED_VALUE"""),"TEC-111-A IMPRESORA MULTIFUNCIONAL - CET")</f>
        <v>TEC-111-A IMPRESORA MULTIFUNCIONAL - CET</v>
      </c>
      <c r="AB849" s="213"/>
      <c r="AC849" s="213"/>
      <c r="AD849" s="213"/>
      <c r="AE849" s="213"/>
      <c r="AF849" s="213"/>
      <c r="AG849" s="213"/>
      <c r="AH849" s="213"/>
      <c r="AI849" s="213"/>
      <c r="AJ849" s="213"/>
      <c r="AK849" s="213"/>
      <c r="AL849" s="213"/>
      <c r="AM849" s="213"/>
      <c r="AN849" s="213"/>
      <c r="AO849" s="213"/>
      <c r="AP849" s="213" t="str">
        <f>IFERROR(__xludf.DUMMYFUNCTION("""COMPUTED_VALUE"""),"NALDI")</f>
        <v>NALDI</v>
      </c>
      <c r="AQ849" s="213"/>
      <c r="AR849" s="213"/>
      <c r="AS849" s="213"/>
      <c r="AT849" s="213"/>
      <c r="AU849" s="213"/>
      <c r="AV849" s="213"/>
      <c r="AW849" s="213"/>
      <c r="AX849" s="213"/>
      <c r="AY849" s="213"/>
      <c r="AZ849" s="213"/>
      <c r="BA849" s="213"/>
      <c r="BB849" s="213"/>
      <c r="BC849" s="213"/>
      <c r="BD849" s="213"/>
    </row>
    <row r="850">
      <c r="A850" s="213">
        <f>IFERROR(__xludf.DUMMYFUNCTION("""COMPUTED_VALUE"""),360.0)</f>
        <v>360</v>
      </c>
      <c r="B850" s="213" t="str">
        <f>IFERROR(__xludf.DUMMYFUNCTION("""COMPUTED_VALUE"""),"2026 SIMON BOLIVAR")</f>
        <v>2026 SIMON BOLIVAR</v>
      </c>
      <c r="C850" s="213" t="str">
        <f>IFERROR(__xludf.DUMMYFUNCTION("""COMPUTED_VALUE"""),"TALLER SFT DE ELECTRICIDAD")</f>
        <v>TALLER SFT DE ELECTRICIDAD</v>
      </c>
      <c r="D850" s="213" t="str">
        <f>IFERROR(__xludf.DUMMYFUNCTION("""COMPUTED_VALUE"""),"TICS")</f>
        <v>TICS</v>
      </c>
      <c r="E850" s="213" t="str">
        <f>IFERROR(__xludf.DUMMYFUNCTION("""COMPUTED_VALUE"""),"TEC-111")</f>
        <v>TEC-111</v>
      </c>
      <c r="F850" s="213" t="str">
        <f>IFERROR(__xludf.DUMMYFUNCTION("""COMPUTED_VALUE"""),"TEC-111-Y")</f>
        <v>TEC-111-Y</v>
      </c>
      <c r="G850" s="213"/>
      <c r="H850" s="213" t="str">
        <f>IFERROR(__xludf.DUMMYFUNCTION("""COMPUTED_VALUE"""),"IMPRESORA MULTIFUNCIONAL")</f>
        <v>IMPRESORA MULTIFUNCIONAL</v>
      </c>
      <c r="I850" s="213" t="str">
        <f>IFERROR(__xludf.DUMMYFUNCTION("""COMPUTED_VALUE"""),"TECNOLOGÍA: IMPRIME, ESCANEA, COPIA				
PANTALLA TACTIL: LCD a color				
TAMAÑO DE HOJAS A SOPORTAR: A4, A3				
CATEGORÍA Tanque de Tinta				
TIPO: Color				
ADF DUPLEX: Si				
VELOCIDAD DE IMPRESIÓN: Mínimo Negro 32 ppm - Color 20 ppm				
FORMATO DE ESCA"&amp;"NEO: PDF, JPEG o TIFF o PNG				
CONECTIVIDAD USB: USB 2.0				
CONECTIVIDAD INALÁMBRICA: Sí				
RESOLUCIÓN DE IMPRESIÓN: 4800 X 1200 DPI				
PLATAFORMA DE TRABAJO: Windows 11 o superior				
CAPACIDAD DE ENTRADA DE PAPEL: 100 hojas o superior				
ACCESORIOS"&amp;": 01 Cable de poder, 01 Manual y 01 Juego de tintas para la impresora.				
FUENTE DE PODER 220VAC /60 HZ				
CERTIFICADO Energy STAR y/o CE y/o FCC y/o RoHS.				
GARANTÍA Minimo 1 año de garantia				")</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11 o superior				
CAPACIDAD DE ENTRADA DE PAPEL: 100 hojas o superior				
ACCESORIOS: 01 Cable de poder, 01 Manual y 01 Juego de tintas para la impresora.				
FUENTE DE PODER 220VAC /60 HZ				
CERTIFICADO Energy STAR y/o CE y/o FCC y/o RoHS.				
GARANTÍA Minimo 1 año de garantia				</v>
      </c>
      <c r="J850" s="213">
        <f>IFERROR(__xludf.DUMMYFUNCTION("""COMPUTED_VALUE"""),3.0)</f>
        <v>3</v>
      </c>
      <c r="K850" s="213" t="str">
        <f>IFERROR(__xludf.DUMMYFUNCTION("""COMPUTED_VALUE"""),"170 DÍAS CALENDARIO")</f>
        <v>170 DÍAS CALENDARIO</v>
      </c>
      <c r="L850" s="213" t="str">
        <f>IFERROR(__xludf.DUMMYFUNCTION("""COMPUTED_VALUE"""),"INDUSTRIA ALIMENTARIA, ELECTRICIDAD, CONSTRUCCIONES METÁLICAS")</f>
        <v>INDUSTRIA ALIMENTARIA, ELECTRICIDAD, CONSTRUCCIONES METÁLICAS</v>
      </c>
      <c r="M850" s="213">
        <f>IFERROR(__xludf.DUMMYFUNCTION("""COMPUTED_VALUE"""),1.0)</f>
        <v>1</v>
      </c>
      <c r="N850" s="213">
        <f>IFERROR(__xludf.DUMMYFUNCTION("""COMPUTED_VALUE"""),1.0)</f>
        <v>1</v>
      </c>
      <c r="O850" s="213">
        <f>IFERROR(__xludf.DUMMYFUNCTION("""COMPUTED_VALUE"""),1.0)</f>
        <v>1</v>
      </c>
      <c r="P850" s="213"/>
      <c r="Q850" s="213"/>
      <c r="R850" s="213"/>
      <c r="S850" s="213"/>
      <c r="T850" s="213" t="str">
        <f>IFERROR(__xludf.DUMMYFUNCTION("""COMPUTED_VALUE"""),"SI")</f>
        <v>SI</v>
      </c>
      <c r="U850" s="213" t="str">
        <f>IFERROR(__xludf.DUMMYFUNCTION("""COMPUTED_VALUE"""),"SI")</f>
        <v>SI</v>
      </c>
      <c r="V850" s="213" t="str">
        <f>IFERROR(__xludf.DUMMYFUNCTION("""COMPUTED_VALUE"""),"-")</f>
        <v>-</v>
      </c>
      <c r="W850" s="213" t="str">
        <f>IFERROR(__xludf.DUMMYFUNCTION("""COMPUTED_VALUE"""),"-")</f>
        <v>-</v>
      </c>
      <c r="X850" s="213" t="str">
        <f>IFERROR(__xludf.DUMMYFUNCTION("""COMPUTED_VALUE"""),"BROTHER ")</f>
        <v>BROTHER </v>
      </c>
      <c r="Y850" s="213" t="str">
        <f>IFERROR(__xludf.DUMMYFUNCTION("""COMPUTED_VALUE"""),"MFC-T4500DW")</f>
        <v>MFC-T4500DW</v>
      </c>
      <c r="Z850" s="215" t="str">
        <f>IFERROR(__xludf.DUMMYFUNCTION("""COMPUTED_VALUE"""),"https://www.brother.com.pe/products/mfct4500dw")</f>
        <v>https://www.brother.com.pe/products/mfct4500dw</v>
      </c>
      <c r="AA850" s="213" t="str">
        <f>IFERROR(__xludf.DUMMYFUNCTION("""COMPUTED_VALUE"""),"TEC-111-B IMPRESORA MULTIFUNCIONAL - CET")</f>
        <v>TEC-111-B IMPRESORA MULTIFUNCIONAL - CET</v>
      </c>
      <c r="AB850" s="213"/>
      <c r="AC850" s="213"/>
      <c r="AD850" s="213"/>
      <c r="AE850" s="213"/>
      <c r="AF850" s="213"/>
      <c r="AG850" s="213"/>
      <c r="AH850" s="213"/>
      <c r="AI850" s="213"/>
      <c r="AJ850" s="213"/>
      <c r="AK850" s="213"/>
      <c r="AL850" s="213"/>
      <c r="AM850" s="213"/>
      <c r="AN850" s="213"/>
      <c r="AO850" s="213"/>
      <c r="AP850" s="213" t="str">
        <f>IFERROR(__xludf.DUMMYFUNCTION("""COMPUTED_VALUE"""),"NALDI")</f>
        <v>NALDI</v>
      </c>
      <c r="AQ850" s="213"/>
      <c r="AR850" s="213"/>
      <c r="AS850" s="213"/>
      <c r="AT850" s="213"/>
      <c r="AU850" s="213"/>
      <c r="AV850" s="213"/>
      <c r="AW850" s="213"/>
      <c r="AX850" s="213"/>
      <c r="AY850" s="213"/>
      <c r="AZ850" s="213"/>
      <c r="BA850" s="213"/>
      <c r="BB850" s="213"/>
      <c r="BC850" s="213"/>
      <c r="BD850" s="213"/>
    </row>
    <row r="851">
      <c r="A851" s="213">
        <f>IFERROR(__xludf.DUMMYFUNCTION("""COMPUTED_VALUE"""),537.0)</f>
        <v>537</v>
      </c>
      <c r="B851" s="213" t="str">
        <f>IFERROR(__xludf.DUMMYFUNCTION("""COMPUTED_VALUE"""),"2026 SIMON BOLIVAR")</f>
        <v>2026 SIMON BOLIVAR</v>
      </c>
      <c r="C851" s="213" t="str">
        <f>IFERROR(__xludf.DUMMYFUNCTION("""COMPUTED_VALUE"""),"TALLER SFT DE INDUSTRIA ALIMENTARIA")</f>
        <v>TALLER SFT DE INDUSTRIA ALIMENTARIA</v>
      </c>
      <c r="D851" s="213" t="str">
        <f>IFERROR(__xludf.DUMMYFUNCTION("""COMPUTED_VALUE"""),"TICS")</f>
        <v>TICS</v>
      </c>
      <c r="E851" s="213" t="str">
        <f>IFERROR(__xludf.DUMMYFUNCTION("""COMPUTED_VALUE"""),"TEC-111")</f>
        <v>TEC-111</v>
      </c>
      <c r="F851" s="213" t="str">
        <f>IFERROR(__xludf.DUMMYFUNCTION("""COMPUTED_VALUE"""),"TEC-111-Y")</f>
        <v>TEC-111-Y</v>
      </c>
      <c r="G851" s="213"/>
      <c r="H851" s="213" t="str">
        <f>IFERROR(__xludf.DUMMYFUNCTION("""COMPUTED_VALUE"""),"IMPRESORA MULTIFUNCIONAL")</f>
        <v>IMPRESORA MULTIFUNCIONAL</v>
      </c>
      <c r="I851"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11 o superior CAPACIDAD DE ENTRADA DE PAPEL: 100 hojas o superior
ACCESORIOS: 01 Cable de poder, 01 Manual y 01 Juego de tintas "&amp;"para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11 o superior CAPACIDAD DE ENTRADA DE PAPEL: 100 hojas o superior
ACCESORIOS: 01 Cable de poder, 01 Manual y 01 Juego de tintas para la impresora. FUENTE DE PODER 220VAC /60 HZ
CERTIFICADO Energy STAR y/o CE y/o FCC y/o RoHS. GARANTÍA Minimo 1 año de garantia</v>
      </c>
      <c r="J851" s="213">
        <f>IFERROR(__xludf.DUMMYFUNCTION("""COMPUTED_VALUE"""),3.0)</f>
        <v>3</v>
      </c>
      <c r="K851" s="213" t="str">
        <f>IFERROR(__xludf.DUMMYFUNCTION("""COMPUTED_VALUE"""),"170 DÍAS CALENDARIO")</f>
        <v>170 DÍAS CALENDARIO</v>
      </c>
      <c r="L851" s="213" t="str">
        <f>IFERROR(__xludf.DUMMYFUNCTION("""COMPUTED_VALUE"""),"INDUSTRIA ALIMENTARIA, ELECTRICIDAD, CONSTRUCCIONES METÁLICAS")</f>
        <v>INDUSTRIA ALIMENTARIA, ELECTRICIDAD, CONSTRUCCIONES METÁLICAS</v>
      </c>
      <c r="M851" s="213">
        <f>IFERROR(__xludf.DUMMYFUNCTION("""COMPUTED_VALUE"""),1.0)</f>
        <v>1</v>
      </c>
      <c r="N851" s="213">
        <f>IFERROR(__xludf.DUMMYFUNCTION("""COMPUTED_VALUE"""),1.0)</f>
        <v>1</v>
      </c>
      <c r="O851" s="213">
        <f>IFERROR(__xludf.DUMMYFUNCTION("""COMPUTED_VALUE"""),1.0)</f>
        <v>1</v>
      </c>
      <c r="P851" s="213"/>
      <c r="Q851" s="213"/>
      <c r="R851" s="213"/>
      <c r="S851" s="213"/>
      <c r="T851" s="213" t="str">
        <f>IFERROR(__xludf.DUMMYFUNCTION("""COMPUTED_VALUE"""),"SI")</f>
        <v>SI</v>
      </c>
      <c r="U851" s="213" t="str">
        <f>IFERROR(__xludf.DUMMYFUNCTION("""COMPUTED_VALUE"""),"SI")</f>
        <v>SI</v>
      </c>
      <c r="V851" s="213" t="str">
        <f>IFERROR(__xludf.DUMMYFUNCTION("""COMPUTED_VALUE"""),"-")</f>
        <v>-</v>
      </c>
      <c r="W851" s="213" t="str">
        <f>IFERROR(__xludf.DUMMYFUNCTION("""COMPUTED_VALUE"""),"-")</f>
        <v>-</v>
      </c>
      <c r="X851" s="213" t="str">
        <f>IFERROR(__xludf.DUMMYFUNCTION("""COMPUTED_VALUE"""),"BROTHER ")</f>
        <v>BROTHER </v>
      </c>
      <c r="Y851" s="213" t="str">
        <f>IFERROR(__xludf.DUMMYFUNCTION("""COMPUTED_VALUE"""),"MFC-T4500DW")</f>
        <v>MFC-T4500DW</v>
      </c>
      <c r="Z851" s="215" t="str">
        <f>IFERROR(__xludf.DUMMYFUNCTION("""COMPUTED_VALUE"""),"https://www.brother.com.pe/products/mfct4500dw")</f>
        <v>https://www.brother.com.pe/products/mfct4500dw</v>
      </c>
      <c r="AA851" s="213" t="str">
        <f>IFERROR(__xludf.DUMMYFUNCTION("""COMPUTED_VALUE"""),"TEC-111-B IMPRESORA MULTIFUNCIONAL - CET")</f>
        <v>TEC-111-B IMPRESORA MULTIFUNCIONAL - CET</v>
      </c>
      <c r="AB851" s="213"/>
      <c r="AC851" s="213"/>
      <c r="AD851" s="213"/>
      <c r="AE851" s="213"/>
      <c r="AF851" s="213"/>
      <c r="AG851" s="213"/>
      <c r="AH851" s="213"/>
      <c r="AI851" s="213"/>
      <c r="AJ851" s="213"/>
      <c r="AK851" s="213"/>
      <c r="AL851" s="213"/>
      <c r="AM851" s="213"/>
      <c r="AN851" s="213"/>
      <c r="AO851" s="213"/>
      <c r="AP851" s="213" t="str">
        <f>IFERROR(__xludf.DUMMYFUNCTION("""COMPUTED_VALUE"""),"NALDI")</f>
        <v>NALDI</v>
      </c>
      <c r="AQ851" s="213"/>
      <c r="AR851" s="213"/>
      <c r="AS851" s="213"/>
      <c r="AT851" s="213"/>
      <c r="AU851" s="213"/>
      <c r="AV851" s="213"/>
      <c r="AW851" s="213"/>
      <c r="AX851" s="213"/>
      <c r="AY851" s="213"/>
      <c r="AZ851" s="213"/>
      <c r="BA851" s="213"/>
      <c r="BB851" s="213"/>
      <c r="BC851" s="213"/>
      <c r="BD851" s="213"/>
    </row>
    <row r="852">
      <c r="A852" s="213">
        <f>IFERROR(__xludf.DUMMYFUNCTION("""COMPUTED_VALUE"""),648.0)</f>
        <v>648</v>
      </c>
      <c r="B852" s="213" t="str">
        <f>IFERROR(__xludf.DUMMYFUNCTION("""COMPUTED_VALUE"""),"6049 RICARDO PALMA")</f>
        <v>6049 RICARDO PALMA</v>
      </c>
      <c r="C852" s="213" t="str">
        <f>IFERROR(__xludf.DUMMYFUNCTION("""COMPUTED_VALUE"""),"TALLER SFT DE ELECTRÓNICA")</f>
        <v>TALLER SFT DE ELECTRÓNICA</v>
      </c>
      <c r="D852" s="213" t="str">
        <f>IFERROR(__xludf.DUMMYFUNCTION("""COMPUTED_VALUE"""),"TICS")</f>
        <v>TICS</v>
      </c>
      <c r="E852" s="213" t="str">
        <f>IFERROR(__xludf.DUMMYFUNCTION("""COMPUTED_VALUE"""),"TEC-111")</f>
        <v>TEC-111</v>
      </c>
      <c r="F852" s="213" t="str">
        <f>IFERROR(__xludf.DUMMYFUNCTION("""COMPUTED_VALUE"""),"TEC-111-X")</f>
        <v>TEC-111-X</v>
      </c>
      <c r="G852" s="213"/>
      <c r="H852" s="213" t="str">
        <f>IFERROR(__xludf.DUMMYFUNCTION("""COMPUTED_VALUE"""),"IMPRESORA MULTIFUNCIONAL")</f>
        <v>IMPRESORA MULTIFUNCIONAL</v>
      </c>
      <c r="I852"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52" s="213">
        <f>IFERROR(__xludf.DUMMYFUNCTION("""COMPUTED_VALUE"""),3.0)</f>
        <v>3</v>
      </c>
      <c r="K852" s="213" t="str">
        <f>IFERROR(__xludf.DUMMYFUNCTION("""COMPUTED_VALUE"""),"170 DÍAS CALENDARIO")</f>
        <v>170 DÍAS CALENDARIO</v>
      </c>
      <c r="L852"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52" s="213">
        <f>IFERROR(__xludf.DUMMYFUNCTION("""COMPUTED_VALUE"""),1.0)</f>
        <v>1</v>
      </c>
      <c r="N852" s="213">
        <f>IFERROR(__xludf.DUMMYFUNCTION("""COMPUTED_VALUE"""),1.0)</f>
        <v>1</v>
      </c>
      <c r="O852" s="213">
        <f>IFERROR(__xludf.DUMMYFUNCTION("""COMPUTED_VALUE"""),1.0)</f>
        <v>1</v>
      </c>
      <c r="P852" s="213"/>
      <c r="Q852" s="213"/>
      <c r="R852" s="213"/>
      <c r="S852" s="213"/>
      <c r="T852" s="213" t="str">
        <f>IFERROR(__xludf.DUMMYFUNCTION("""COMPUTED_VALUE"""),"SI")</f>
        <v>SI</v>
      </c>
      <c r="U852" s="213" t="str">
        <f>IFERROR(__xludf.DUMMYFUNCTION("""COMPUTED_VALUE"""),"SI")</f>
        <v>SI</v>
      </c>
      <c r="V852" s="213" t="str">
        <f>IFERROR(__xludf.DUMMYFUNCTION("""COMPUTED_VALUE"""),"-")</f>
        <v>-</v>
      </c>
      <c r="W852" s="213" t="str">
        <f>IFERROR(__xludf.DUMMYFUNCTION("""COMPUTED_VALUE"""),"-")</f>
        <v>-</v>
      </c>
      <c r="X852" s="213" t="str">
        <f>IFERROR(__xludf.DUMMYFUNCTION("""COMPUTED_VALUE"""),"BROTHER ")</f>
        <v>BROTHER </v>
      </c>
      <c r="Y852" s="213" t="str">
        <f>IFERROR(__xludf.DUMMYFUNCTION("""COMPUTED_VALUE"""),"MFC-T4500DW")</f>
        <v>MFC-T4500DW</v>
      </c>
      <c r="Z852" s="215" t="str">
        <f>IFERROR(__xludf.DUMMYFUNCTION("""COMPUTED_VALUE"""),"https://www.brother.com.pe/products/mfct4500dw")</f>
        <v>https://www.brother.com.pe/products/mfct4500dw</v>
      </c>
      <c r="AA852" s="213" t="str">
        <f>IFERROR(__xludf.DUMMYFUNCTION("""COMPUTED_VALUE"""),"TEC-111-A IMPRESORA MULTIFUNCIONAL - CET")</f>
        <v>TEC-111-A IMPRESORA MULTIFUNCIONAL - CET</v>
      </c>
      <c r="AB852" s="213"/>
      <c r="AC852" s="213"/>
      <c r="AD852" s="213"/>
      <c r="AE852" s="213"/>
      <c r="AF852" s="213"/>
      <c r="AG852" s="213"/>
      <c r="AH852" s="213"/>
      <c r="AI852" s="213"/>
      <c r="AJ852" s="213"/>
      <c r="AK852" s="213"/>
      <c r="AL852" s="213"/>
      <c r="AM852" s="213"/>
      <c r="AN852" s="213"/>
      <c r="AO852" s="213"/>
      <c r="AP852" s="213" t="str">
        <f>IFERROR(__xludf.DUMMYFUNCTION("""COMPUTED_VALUE"""),"NALDI")</f>
        <v>NALDI</v>
      </c>
      <c r="AQ852" s="213"/>
      <c r="AR852" s="213"/>
      <c r="AS852" s="213"/>
      <c r="AT852" s="213"/>
      <c r="AU852" s="213"/>
      <c r="AV852" s="213"/>
      <c r="AW852" s="213"/>
      <c r="AX852" s="213"/>
      <c r="AY852" s="213"/>
      <c r="AZ852" s="213"/>
      <c r="BA852" s="213"/>
      <c r="BB852" s="213"/>
      <c r="BC852" s="213"/>
      <c r="BD852" s="213"/>
    </row>
    <row r="853">
      <c r="A853" s="213">
        <f>IFERROR(__xludf.DUMMYFUNCTION("""COMPUTED_VALUE"""),758.0)</f>
        <v>758</v>
      </c>
      <c r="B853" s="213" t="str">
        <f>IFERROR(__xludf.DUMMYFUNCTION("""COMPUTED_VALUE"""),"6049 RICARDO PALMA")</f>
        <v>6049 RICARDO PALMA</v>
      </c>
      <c r="C853" s="213" t="str">
        <f>IFERROR(__xludf.DUMMYFUNCTION("""COMPUTED_VALUE"""),"TALLER SFT DE COMPUTACIÓN E INFORMÁTICA")</f>
        <v>TALLER SFT DE COMPUTACIÓN E INFORMÁTICA</v>
      </c>
      <c r="D853" s="213" t="str">
        <f>IFERROR(__xludf.DUMMYFUNCTION("""COMPUTED_VALUE"""),"TICS")</f>
        <v>TICS</v>
      </c>
      <c r="E853" s="213" t="str">
        <f>IFERROR(__xludf.DUMMYFUNCTION("""COMPUTED_VALUE"""),"TEC-111")</f>
        <v>TEC-111</v>
      </c>
      <c r="F853" s="213" t="str">
        <f>IFERROR(__xludf.DUMMYFUNCTION("""COMPUTED_VALUE"""),"TEC-111-X")</f>
        <v>TEC-111-X</v>
      </c>
      <c r="G853" s="213"/>
      <c r="H853" s="213" t="str">
        <f>IFERROR(__xludf.DUMMYFUNCTION("""COMPUTED_VALUE"""),"IMPRESORA MULTIFUNCIONAL")</f>
        <v>IMPRESORA MULTIFUNCIONAL</v>
      </c>
      <c r="I853"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53" s="213">
        <f>IFERROR(__xludf.DUMMYFUNCTION("""COMPUTED_VALUE"""),3.0)</f>
        <v>3</v>
      </c>
      <c r="K853" s="213" t="str">
        <f>IFERROR(__xludf.DUMMYFUNCTION("""COMPUTED_VALUE"""),"170 DÍAS CALENDARIO")</f>
        <v>170 DÍAS CALENDARIO</v>
      </c>
      <c r="L853"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53" s="213">
        <f>IFERROR(__xludf.DUMMYFUNCTION("""COMPUTED_VALUE"""),1.0)</f>
        <v>1</v>
      </c>
      <c r="N853" s="213">
        <f>IFERROR(__xludf.DUMMYFUNCTION("""COMPUTED_VALUE"""),1.0)</f>
        <v>1</v>
      </c>
      <c r="O853" s="213">
        <f>IFERROR(__xludf.DUMMYFUNCTION("""COMPUTED_VALUE"""),1.0)</f>
        <v>1</v>
      </c>
      <c r="P853" s="213"/>
      <c r="Q853" s="213"/>
      <c r="R853" s="213"/>
      <c r="S853" s="213"/>
      <c r="T853" s="213" t="str">
        <f>IFERROR(__xludf.DUMMYFUNCTION("""COMPUTED_VALUE"""),"SI")</f>
        <v>SI</v>
      </c>
      <c r="U853" s="213" t="str">
        <f>IFERROR(__xludf.DUMMYFUNCTION("""COMPUTED_VALUE"""),"SI")</f>
        <v>SI</v>
      </c>
      <c r="V853" s="213" t="str">
        <f>IFERROR(__xludf.DUMMYFUNCTION("""COMPUTED_VALUE"""),"-")</f>
        <v>-</v>
      </c>
      <c r="W853" s="213" t="str">
        <f>IFERROR(__xludf.DUMMYFUNCTION("""COMPUTED_VALUE"""),"-")</f>
        <v>-</v>
      </c>
      <c r="X853" s="213" t="str">
        <f>IFERROR(__xludf.DUMMYFUNCTION("""COMPUTED_VALUE"""),"BROTHER ")</f>
        <v>BROTHER </v>
      </c>
      <c r="Y853" s="213" t="str">
        <f>IFERROR(__xludf.DUMMYFUNCTION("""COMPUTED_VALUE"""),"MFC-T4500DW")</f>
        <v>MFC-T4500DW</v>
      </c>
      <c r="Z853" s="215" t="str">
        <f>IFERROR(__xludf.DUMMYFUNCTION("""COMPUTED_VALUE"""),"https://www.brother.com.pe/products/mfct4500dw")</f>
        <v>https://www.brother.com.pe/products/mfct4500dw</v>
      </c>
      <c r="AA853" s="213" t="str">
        <f>IFERROR(__xludf.DUMMYFUNCTION("""COMPUTED_VALUE"""),"TEC-111-A IMPRESORA MULTIFUNCIONAL - CET")</f>
        <v>TEC-111-A IMPRESORA MULTIFUNCIONAL - CET</v>
      </c>
      <c r="AB853" s="213"/>
      <c r="AC853" s="213"/>
      <c r="AD853" s="213"/>
      <c r="AE853" s="213"/>
      <c r="AF853" s="213"/>
      <c r="AG853" s="213"/>
      <c r="AH853" s="213"/>
      <c r="AI853" s="213"/>
      <c r="AJ853" s="213"/>
      <c r="AK853" s="213"/>
      <c r="AL853" s="213"/>
      <c r="AM853" s="213"/>
      <c r="AN853" s="213"/>
      <c r="AO853" s="213"/>
      <c r="AP853" s="213" t="str">
        <f>IFERROR(__xludf.DUMMYFUNCTION("""COMPUTED_VALUE"""),"NALDI")</f>
        <v>NALDI</v>
      </c>
      <c r="AQ853" s="213"/>
      <c r="AR853" s="213"/>
      <c r="AS853" s="213"/>
      <c r="AT853" s="213"/>
      <c r="AU853" s="213"/>
      <c r="AV853" s="213"/>
      <c r="AW853" s="213"/>
      <c r="AX853" s="213"/>
      <c r="AY853" s="213"/>
      <c r="AZ853" s="213"/>
      <c r="BA853" s="213"/>
      <c r="BB853" s="213"/>
      <c r="BC853" s="213"/>
      <c r="BD853" s="213"/>
    </row>
    <row r="854">
      <c r="A854" s="213">
        <f>IFERROR(__xludf.DUMMYFUNCTION("""COMPUTED_VALUE"""),846.0)</f>
        <v>846</v>
      </c>
      <c r="B854" s="213" t="str">
        <f>IFERROR(__xludf.DUMMYFUNCTION("""COMPUTED_VALUE"""),"6049 RICARDO PALMA")</f>
        <v>6049 RICARDO PALMA</v>
      </c>
      <c r="C854" s="213" t="str">
        <f>IFERROR(__xludf.DUMMYFUNCTION("""COMPUTED_VALUE"""),"TALLER SFT DE ELECTRICIDAD")</f>
        <v>TALLER SFT DE ELECTRICIDAD</v>
      </c>
      <c r="D854" s="213" t="str">
        <f>IFERROR(__xludf.DUMMYFUNCTION("""COMPUTED_VALUE"""),"TICS")</f>
        <v>TICS</v>
      </c>
      <c r="E854" s="213" t="str">
        <f>IFERROR(__xludf.DUMMYFUNCTION("""COMPUTED_VALUE"""),"TEC-111")</f>
        <v>TEC-111</v>
      </c>
      <c r="F854" s="213" t="str">
        <f>IFERROR(__xludf.DUMMYFUNCTION("""COMPUTED_VALUE"""),"TEC-111-Y")</f>
        <v>TEC-111-Y</v>
      </c>
      <c r="G854" s="213"/>
      <c r="H854" s="213" t="str">
        <f>IFERROR(__xludf.DUMMYFUNCTION("""COMPUTED_VALUE"""),"IMPRESORA MULTIFUNCIONAL")</f>
        <v>IMPRESORA MULTIFUNCIONAL</v>
      </c>
      <c r="I854" s="213" t="str">
        <f>IFERROR(__xludf.DUMMYFUNCTION("""COMPUTED_VALUE"""),"TECNOLOGÍA: IMPRIME, ESCANEA, COPIA				
PANTALLA TACTIL: LCD a color				
TAMAÑO DE HOJAS A SOPORTAR: A4, A3				
CATEGORÍA Tanque de Tinta				
TIPO: Color				
ADF DUPLEX: Si				
VELOCIDAD DE IMPRESIÓN: Mínimo Negro 32 ppm - Color 20 ppm				
FORMATO DE ESCA"&amp;"NEO: PDF, JPEG o TIFF o PNG				
CONECTIVIDAD USB: USB 2.0				
CONECTIVIDAD INALÁMBRICA: Sí				
RESOLUCIÓN DE IMPRESIÓN: 4800 X 1200 DPI				
PLATAFORMA DE TRABAJO: Windows 11 o superior				
CAPACIDAD DE ENTRADA DE PAPEL: 100 hojas o superior				
ACCESORIOS"&amp;": 01 Cable de poder, 01 Manual y 01 Juego de tintas para la impresora.				
FUENTE DE PODER 220VAC /60 HZ				
CERTIFICADO Energy STAR y/o CE y/o FCC y/o RoHS.				
GARANTÍA Minimo 1 año de garantia				")</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11 o superior				
CAPACIDAD DE ENTRADA DE PAPEL: 100 hojas o superior				
ACCESORIOS: 01 Cable de poder, 01 Manual y 01 Juego de tintas para la impresora.				
FUENTE DE PODER 220VAC /60 HZ				
CERTIFICADO Energy STAR y/o CE y/o FCC y/o RoHS.				
GARANTÍA Minimo 1 año de garantia				</v>
      </c>
      <c r="J854" s="213">
        <f>IFERROR(__xludf.DUMMYFUNCTION("""COMPUTED_VALUE"""),3.0)</f>
        <v>3</v>
      </c>
      <c r="K854" s="213" t="str">
        <f>IFERROR(__xludf.DUMMYFUNCTION("""COMPUTED_VALUE"""),"170 DÍAS CALENDARIO")</f>
        <v>170 DÍAS CALENDARIO</v>
      </c>
      <c r="L854" s="213" t="str">
        <f>IFERROR(__xludf.DUMMYFUNCTION("""COMPUTED_VALUE"""),"INDUSTRIA ALIMENTARIA, ELECTRICIDAD, CONSTRUCCIONES METÁLICAS")</f>
        <v>INDUSTRIA ALIMENTARIA, ELECTRICIDAD, CONSTRUCCIONES METÁLICAS</v>
      </c>
      <c r="M854" s="213">
        <f>IFERROR(__xludf.DUMMYFUNCTION("""COMPUTED_VALUE"""),1.0)</f>
        <v>1</v>
      </c>
      <c r="N854" s="213">
        <f>IFERROR(__xludf.DUMMYFUNCTION("""COMPUTED_VALUE"""),1.0)</f>
        <v>1</v>
      </c>
      <c r="O854" s="213">
        <f>IFERROR(__xludf.DUMMYFUNCTION("""COMPUTED_VALUE"""),1.0)</f>
        <v>1</v>
      </c>
      <c r="P854" s="213"/>
      <c r="Q854" s="213"/>
      <c r="R854" s="213"/>
      <c r="S854" s="213"/>
      <c r="T854" s="213" t="str">
        <f>IFERROR(__xludf.DUMMYFUNCTION("""COMPUTED_VALUE"""),"SI")</f>
        <v>SI</v>
      </c>
      <c r="U854" s="213" t="str">
        <f>IFERROR(__xludf.DUMMYFUNCTION("""COMPUTED_VALUE"""),"SI")</f>
        <v>SI</v>
      </c>
      <c r="V854" s="213" t="str">
        <f>IFERROR(__xludf.DUMMYFUNCTION("""COMPUTED_VALUE"""),"-")</f>
        <v>-</v>
      </c>
      <c r="W854" s="213" t="str">
        <f>IFERROR(__xludf.DUMMYFUNCTION("""COMPUTED_VALUE"""),"-")</f>
        <v>-</v>
      </c>
      <c r="X854" s="213" t="str">
        <f>IFERROR(__xludf.DUMMYFUNCTION("""COMPUTED_VALUE"""),"BROTHER ")</f>
        <v>BROTHER </v>
      </c>
      <c r="Y854" s="213" t="str">
        <f>IFERROR(__xludf.DUMMYFUNCTION("""COMPUTED_VALUE"""),"MFC-T4500DW")</f>
        <v>MFC-T4500DW</v>
      </c>
      <c r="Z854" s="215" t="str">
        <f>IFERROR(__xludf.DUMMYFUNCTION("""COMPUTED_VALUE"""),"https://www.brother.com.pe/products/mfct4500dw")</f>
        <v>https://www.brother.com.pe/products/mfct4500dw</v>
      </c>
      <c r="AA854" s="213" t="str">
        <f>IFERROR(__xludf.DUMMYFUNCTION("""COMPUTED_VALUE"""),"TEC-111-B IMPRESORA MULTIFUNCIONAL - CET")</f>
        <v>TEC-111-B IMPRESORA MULTIFUNCIONAL - CET</v>
      </c>
      <c r="AB854" s="213"/>
      <c r="AC854" s="213"/>
      <c r="AD854" s="213"/>
      <c r="AE854" s="213"/>
      <c r="AF854" s="213"/>
      <c r="AG854" s="213"/>
      <c r="AH854" s="213"/>
      <c r="AI854" s="213"/>
      <c r="AJ854" s="213"/>
      <c r="AK854" s="213"/>
      <c r="AL854" s="213"/>
      <c r="AM854" s="213"/>
      <c r="AN854" s="213"/>
      <c r="AO854" s="213"/>
      <c r="AP854" s="213" t="str">
        <f>IFERROR(__xludf.DUMMYFUNCTION("""COMPUTED_VALUE"""),"NALDI")</f>
        <v>NALDI</v>
      </c>
      <c r="AQ854" s="213"/>
      <c r="AR854" s="213"/>
      <c r="AS854" s="213"/>
      <c r="AT854" s="213"/>
      <c r="AU854" s="213"/>
      <c r="AV854" s="213"/>
      <c r="AW854" s="213"/>
      <c r="AX854" s="213"/>
      <c r="AY854" s="213"/>
      <c r="AZ854" s="213"/>
      <c r="BA854" s="213"/>
      <c r="BB854" s="213"/>
      <c r="BC854" s="213"/>
      <c r="BD854" s="213"/>
    </row>
    <row r="855">
      <c r="A855" s="213">
        <f>IFERROR(__xludf.DUMMYFUNCTION("""COMPUTED_VALUE"""),980.0)</f>
        <v>980</v>
      </c>
      <c r="B855" s="213" t="str">
        <f>IFERROR(__xludf.DUMMYFUNCTION("""COMPUTED_VALUE"""),"FRANCISCO IRAZOLA")</f>
        <v>FRANCISCO IRAZOLA</v>
      </c>
      <c r="C855" s="213" t="str">
        <f>IFERROR(__xludf.DUMMYFUNCTION("""COMPUTED_VALUE"""),"TALLER SFT DE MECÁNICA AUTOMOTRIZ")</f>
        <v>TALLER SFT DE MECÁNICA AUTOMOTRIZ</v>
      </c>
      <c r="D855" s="213" t="str">
        <f>IFERROR(__xludf.DUMMYFUNCTION("""COMPUTED_VALUE"""),"TICS")</f>
        <v>TICS</v>
      </c>
      <c r="E855" s="213" t="str">
        <f>IFERROR(__xludf.DUMMYFUNCTION("""COMPUTED_VALUE"""),"TEC-111")</f>
        <v>TEC-111</v>
      </c>
      <c r="F855" s="213" t="str">
        <f>IFERROR(__xludf.DUMMYFUNCTION("""COMPUTED_VALUE"""),"TEC-111-X")</f>
        <v>TEC-111-X</v>
      </c>
      <c r="G855" s="213"/>
      <c r="H855" s="213" t="str">
        <f>IFERROR(__xludf.DUMMYFUNCTION("""COMPUTED_VALUE"""),"IMPRESORA MULTIFUNCIONAL")</f>
        <v>IMPRESORA MULTIFUNCIONAL</v>
      </c>
      <c r="I855"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55" s="213">
        <f>IFERROR(__xludf.DUMMYFUNCTION("""COMPUTED_VALUE"""),3.0)</f>
        <v>3</v>
      </c>
      <c r="K855" s="213" t="str">
        <f>IFERROR(__xludf.DUMMYFUNCTION("""COMPUTED_VALUE"""),"170 DÍAS CALENDARIO")</f>
        <v>170 DÍAS CALENDARIO</v>
      </c>
      <c r="L855"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55" s="213">
        <f>IFERROR(__xludf.DUMMYFUNCTION("""COMPUTED_VALUE"""),1.0)</f>
        <v>1</v>
      </c>
      <c r="N855" s="213">
        <f>IFERROR(__xludf.DUMMYFUNCTION("""COMPUTED_VALUE"""),1.0)</f>
        <v>1</v>
      </c>
      <c r="O855" s="213">
        <f>IFERROR(__xludf.DUMMYFUNCTION("""COMPUTED_VALUE"""),1.0)</f>
        <v>1</v>
      </c>
      <c r="P855" s="213"/>
      <c r="Q855" s="213"/>
      <c r="R855" s="213"/>
      <c r="S855" s="213"/>
      <c r="T855" s="213" t="str">
        <f>IFERROR(__xludf.DUMMYFUNCTION("""COMPUTED_VALUE"""),"SI")</f>
        <v>SI</v>
      </c>
      <c r="U855" s="213" t="str">
        <f>IFERROR(__xludf.DUMMYFUNCTION("""COMPUTED_VALUE"""),"SI")</f>
        <v>SI</v>
      </c>
      <c r="V855" s="213" t="str">
        <f>IFERROR(__xludf.DUMMYFUNCTION("""COMPUTED_VALUE"""),"-")</f>
        <v>-</v>
      </c>
      <c r="W855" s="213" t="str">
        <f>IFERROR(__xludf.DUMMYFUNCTION("""COMPUTED_VALUE"""),"-")</f>
        <v>-</v>
      </c>
      <c r="X855" s="213" t="str">
        <f>IFERROR(__xludf.DUMMYFUNCTION("""COMPUTED_VALUE"""),"BROTHER ")</f>
        <v>BROTHER </v>
      </c>
      <c r="Y855" s="213" t="str">
        <f>IFERROR(__xludf.DUMMYFUNCTION("""COMPUTED_VALUE"""),"MFC-T4500DW")</f>
        <v>MFC-T4500DW</v>
      </c>
      <c r="Z855" s="215" t="str">
        <f>IFERROR(__xludf.DUMMYFUNCTION("""COMPUTED_VALUE"""),"https://www.brother.com.pe/products/mfct4500dw")</f>
        <v>https://www.brother.com.pe/products/mfct4500dw</v>
      </c>
      <c r="AA855" s="213" t="str">
        <f>IFERROR(__xludf.DUMMYFUNCTION("""COMPUTED_VALUE"""),"TEC-111-A IMPRESORA MULTIFUNCIONAL - CET")</f>
        <v>TEC-111-A IMPRESORA MULTIFUNCIONAL - CET</v>
      </c>
      <c r="AB855" s="213"/>
      <c r="AC855" s="213"/>
      <c r="AD855" s="213"/>
      <c r="AE855" s="213"/>
      <c r="AF855" s="213"/>
      <c r="AG855" s="213"/>
      <c r="AH855" s="213"/>
      <c r="AI855" s="213"/>
      <c r="AJ855" s="213"/>
      <c r="AK855" s="213"/>
      <c r="AL855" s="213"/>
      <c r="AM855" s="213"/>
      <c r="AN855" s="213"/>
      <c r="AO855" s="213"/>
      <c r="AP855" s="213" t="str">
        <f>IFERROR(__xludf.DUMMYFUNCTION("""COMPUTED_VALUE"""),"NALDI")</f>
        <v>NALDI</v>
      </c>
      <c r="AQ855" s="213"/>
      <c r="AR855" s="213"/>
      <c r="AS855" s="213"/>
      <c r="AT855" s="213"/>
      <c r="AU855" s="213"/>
      <c r="AV855" s="213"/>
      <c r="AW855" s="213"/>
      <c r="AX855" s="213"/>
      <c r="AY855" s="213"/>
      <c r="AZ855" s="213"/>
      <c r="BA855" s="213"/>
      <c r="BB855" s="213"/>
      <c r="BC855" s="213"/>
      <c r="BD855" s="213"/>
    </row>
    <row r="856">
      <c r="A856" s="213">
        <f>IFERROR(__xludf.DUMMYFUNCTION("""COMPUTED_VALUE"""),1195.0)</f>
        <v>1195</v>
      </c>
      <c r="B856" s="213" t="str">
        <f>IFERROR(__xludf.DUMMYFUNCTION("""COMPUTED_VALUE"""),"FRANCISCO IRAZOLA")</f>
        <v>FRANCISCO IRAZOLA</v>
      </c>
      <c r="C856" s="213" t="str">
        <f>IFERROR(__xludf.DUMMYFUNCTION("""COMPUTED_VALUE"""),"TALLER SFT DE INDUSTRIA ALIMENTARIA")</f>
        <v>TALLER SFT DE INDUSTRIA ALIMENTARIA</v>
      </c>
      <c r="D856" s="213" t="str">
        <f>IFERROR(__xludf.DUMMYFUNCTION("""COMPUTED_VALUE"""),"TICS")</f>
        <v>TICS</v>
      </c>
      <c r="E856" s="213" t="str">
        <f>IFERROR(__xludf.DUMMYFUNCTION("""COMPUTED_VALUE"""),"TEC-111")</f>
        <v>TEC-111</v>
      </c>
      <c r="F856" s="213" t="str">
        <f>IFERROR(__xludf.DUMMYFUNCTION("""COMPUTED_VALUE"""),"TEC-111-Y")</f>
        <v>TEC-111-Y</v>
      </c>
      <c r="G856" s="213"/>
      <c r="H856" s="213" t="str">
        <f>IFERROR(__xludf.DUMMYFUNCTION("""COMPUTED_VALUE"""),"IMPRESORA MULTIFUNCIONAL")</f>
        <v>IMPRESORA MULTIFUNCIONAL</v>
      </c>
      <c r="I856"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11 o superior CAPACIDAD DE ENTRADA DE PAPEL: 100 hojas o superior
ACCESORIOS: 01 Cable de poder, 01 Manual y 01 Juego de tintas "&amp;"para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11 o superior CAPACIDAD DE ENTRADA DE PAPEL: 100 hojas o superior
ACCESORIOS: 01 Cable de poder, 01 Manual y 01 Juego de tintas para la impresora. FUENTE DE PODER 220VAC /60 HZ
CERTIFICADO Energy STAR y/o CE y/o FCC y/o RoHS. GARANTÍA Minimo 1 año de garantia</v>
      </c>
      <c r="J856" s="213">
        <f>IFERROR(__xludf.DUMMYFUNCTION("""COMPUTED_VALUE"""),3.0)</f>
        <v>3</v>
      </c>
      <c r="K856" s="213" t="str">
        <f>IFERROR(__xludf.DUMMYFUNCTION("""COMPUTED_VALUE"""),"170 DÍAS CALENDARIO")</f>
        <v>170 DÍAS CALENDARIO</v>
      </c>
      <c r="L856" s="213" t="str">
        <f>IFERROR(__xludf.DUMMYFUNCTION("""COMPUTED_VALUE"""),"INDUSTRIA ALIMENTARIA, ELECTRICIDAD, CONSTRUCCIONES METÁLICAS")</f>
        <v>INDUSTRIA ALIMENTARIA, ELECTRICIDAD, CONSTRUCCIONES METÁLICAS</v>
      </c>
      <c r="M856" s="213">
        <f>IFERROR(__xludf.DUMMYFUNCTION("""COMPUTED_VALUE"""),1.0)</f>
        <v>1</v>
      </c>
      <c r="N856" s="213">
        <f>IFERROR(__xludf.DUMMYFUNCTION("""COMPUTED_VALUE"""),1.0)</f>
        <v>1</v>
      </c>
      <c r="O856" s="213">
        <f>IFERROR(__xludf.DUMMYFUNCTION("""COMPUTED_VALUE"""),1.0)</f>
        <v>1</v>
      </c>
      <c r="P856" s="213"/>
      <c r="Q856" s="213"/>
      <c r="R856" s="213"/>
      <c r="S856" s="213"/>
      <c r="T856" s="213" t="str">
        <f>IFERROR(__xludf.DUMMYFUNCTION("""COMPUTED_VALUE"""),"SI")</f>
        <v>SI</v>
      </c>
      <c r="U856" s="213" t="str">
        <f>IFERROR(__xludf.DUMMYFUNCTION("""COMPUTED_VALUE"""),"SI")</f>
        <v>SI</v>
      </c>
      <c r="V856" s="213" t="str">
        <f>IFERROR(__xludf.DUMMYFUNCTION("""COMPUTED_VALUE"""),"-")</f>
        <v>-</v>
      </c>
      <c r="W856" s="213" t="str">
        <f>IFERROR(__xludf.DUMMYFUNCTION("""COMPUTED_VALUE"""),"-")</f>
        <v>-</v>
      </c>
      <c r="X856" s="213" t="str">
        <f>IFERROR(__xludf.DUMMYFUNCTION("""COMPUTED_VALUE"""),"BROTHER ")</f>
        <v>BROTHER </v>
      </c>
      <c r="Y856" s="213" t="str">
        <f>IFERROR(__xludf.DUMMYFUNCTION("""COMPUTED_VALUE"""),"MFC-T4500DW")</f>
        <v>MFC-T4500DW</v>
      </c>
      <c r="Z856" s="215" t="str">
        <f>IFERROR(__xludf.DUMMYFUNCTION("""COMPUTED_VALUE"""),"https://www.brother.com.pe/products/mfct4500dw")</f>
        <v>https://www.brother.com.pe/products/mfct4500dw</v>
      </c>
      <c r="AA856" s="213" t="str">
        <f>IFERROR(__xludf.DUMMYFUNCTION("""COMPUTED_VALUE"""),"TEC-111-B IMPRESORA MULTIFUNCIONAL - CET")</f>
        <v>TEC-111-B IMPRESORA MULTIFUNCIONAL - CET</v>
      </c>
      <c r="AB856" s="213"/>
      <c r="AC856" s="213"/>
      <c r="AD856" s="213"/>
      <c r="AE856" s="213"/>
      <c r="AF856" s="213"/>
      <c r="AG856" s="213"/>
      <c r="AH856" s="213"/>
      <c r="AI856" s="213"/>
      <c r="AJ856" s="213"/>
      <c r="AK856" s="213"/>
      <c r="AL856" s="213"/>
      <c r="AM856" s="213"/>
      <c r="AN856" s="213"/>
      <c r="AO856" s="213"/>
      <c r="AP856" s="213" t="str">
        <f>IFERROR(__xludf.DUMMYFUNCTION("""COMPUTED_VALUE"""),"NALDI")</f>
        <v>NALDI</v>
      </c>
      <c r="AQ856" s="213"/>
      <c r="AR856" s="213"/>
      <c r="AS856" s="213"/>
      <c r="AT856" s="213"/>
      <c r="AU856" s="213"/>
      <c r="AV856" s="213"/>
      <c r="AW856" s="213"/>
      <c r="AX856" s="213"/>
      <c r="AY856" s="213"/>
      <c r="AZ856" s="213"/>
      <c r="BA856" s="213"/>
      <c r="BB856" s="213"/>
      <c r="BC856" s="213"/>
      <c r="BD856" s="213"/>
    </row>
    <row r="857">
      <c r="A857" s="213">
        <f>IFERROR(__xludf.DUMMYFUNCTION("""COMPUTED_VALUE"""),1268.0)</f>
        <v>1268</v>
      </c>
      <c r="B857" s="213" t="str">
        <f>IFERROR(__xludf.DUMMYFUNCTION("""COMPUTED_VALUE"""),"GUILLERMO E. BILLINGHURST ")</f>
        <v>GUILLERMO E. BILLINGHURST </v>
      </c>
      <c r="C857" s="213" t="str">
        <f>IFERROR(__xludf.DUMMYFUNCTION("""COMPUTED_VALUE"""),"TALLER SFT DE ELECTRICIDAD")</f>
        <v>TALLER SFT DE ELECTRICIDAD</v>
      </c>
      <c r="D857" s="213" t="str">
        <f>IFERROR(__xludf.DUMMYFUNCTION("""COMPUTED_VALUE"""),"TICS")</f>
        <v>TICS</v>
      </c>
      <c r="E857" s="213" t="str">
        <f>IFERROR(__xludf.DUMMYFUNCTION("""COMPUTED_VALUE"""),"TEC-111")</f>
        <v>TEC-111</v>
      </c>
      <c r="F857" s="213" t="str">
        <f>IFERROR(__xludf.DUMMYFUNCTION("""COMPUTED_VALUE"""),"TEC-111-Y")</f>
        <v>TEC-111-Y</v>
      </c>
      <c r="G857" s="213"/>
      <c r="H857" s="213" t="str">
        <f>IFERROR(__xludf.DUMMYFUNCTION("""COMPUTED_VALUE"""),"IMPRESORA MULTIFUNCIONAL")</f>
        <v>IMPRESORA MULTIFUNCIONAL</v>
      </c>
      <c r="I857" s="213" t="str">
        <f>IFERROR(__xludf.DUMMYFUNCTION("""COMPUTED_VALUE"""),"TECNOLOGÍA: IMPRIME, ESCANEA, COPIA                                
PANTALLA TACTIL: LCD a color                                
TAMAÑO DE HOJAS A SOPORTAR: A4, A3                                
CATEGORÍA Tanque de Tinta                                
T"&amp;"IPO: Color                                
ADF DUPLEX: Si                                
VELOCIDAD DE IMPRESIÓN: Mínimo Negro 32 ppm - Color 20 ppm                                
FORMATO DE ESCANEO: PDF, JPEG o TIFF o PNG                                "&amp;"
CONECTIVIDAD USB: USB 2.0                                
CONECTIVIDAD INALÁMBRICA: Sí                                
RESOLUCIÓN DE IMPRESIÓN: 4800 X 1200 DPI                                
PLATAFORMA DE TRABAJO: Windows 11 o superior                  "&amp;"              
CAPACIDAD DE ENTRADA DE PAPEL: 100 hojas o superior                                
ACCESORIOS: 01 Cable de poder, 01 Manual y 01 Juego de tintas para la impresora.                                
FUENTE DE PODER 220VAC /60 HZ              "&amp;"                  
CERTIFICADO Energy STAR y/o CE y/o FCC y/o RoHS.                                
GARANTÍA Minimo 1 año de garantia                                ")</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11 o superior                                
CAPACIDAD DE ENTRADA DE PAPEL: 100 hojas o superior                                
ACCESORIOS: 01 Cable de poder, 01 Manual y 01 Juego de tintas para la impresora.                                
FUENTE DE PODER 220VAC /60 HZ                                
CERTIFICADO Energy STAR y/o CE y/o FCC y/o RoHS.                                
GARANTÍA Minimo 1 año de garantia                                </v>
      </c>
      <c r="J857" s="213">
        <f>IFERROR(__xludf.DUMMYFUNCTION("""COMPUTED_VALUE"""),3.0)</f>
        <v>3</v>
      </c>
      <c r="K857" s="213" t="str">
        <f>IFERROR(__xludf.DUMMYFUNCTION("""COMPUTED_VALUE"""),"170 DÍAS CALENDARIO")</f>
        <v>170 DÍAS CALENDARIO</v>
      </c>
      <c r="L857" s="213" t="str">
        <f>IFERROR(__xludf.DUMMYFUNCTION("""COMPUTED_VALUE"""),"INDUSTRIA ALIMENTARIA, ELECTRICIDAD, CONSTRUCCIONES METÁLICAS")</f>
        <v>INDUSTRIA ALIMENTARIA, ELECTRICIDAD, CONSTRUCCIONES METÁLICAS</v>
      </c>
      <c r="M857" s="213">
        <f>IFERROR(__xludf.DUMMYFUNCTION("""COMPUTED_VALUE"""),1.0)</f>
        <v>1</v>
      </c>
      <c r="N857" s="213">
        <f>IFERROR(__xludf.DUMMYFUNCTION("""COMPUTED_VALUE"""),1.0)</f>
        <v>1</v>
      </c>
      <c r="O857" s="213">
        <f>IFERROR(__xludf.DUMMYFUNCTION("""COMPUTED_VALUE"""),1.0)</f>
        <v>1</v>
      </c>
      <c r="P857" s="213"/>
      <c r="Q857" s="213"/>
      <c r="R857" s="213"/>
      <c r="S857" s="213"/>
      <c r="T857" s="213" t="str">
        <f>IFERROR(__xludf.DUMMYFUNCTION("""COMPUTED_VALUE"""),"SI")</f>
        <v>SI</v>
      </c>
      <c r="U857" s="213" t="str">
        <f>IFERROR(__xludf.DUMMYFUNCTION("""COMPUTED_VALUE"""),"SI")</f>
        <v>SI</v>
      </c>
      <c r="V857" s="213" t="str">
        <f>IFERROR(__xludf.DUMMYFUNCTION("""COMPUTED_VALUE"""),"-")</f>
        <v>-</v>
      </c>
      <c r="W857" s="213" t="str">
        <f>IFERROR(__xludf.DUMMYFUNCTION("""COMPUTED_VALUE"""),"-")</f>
        <v>-</v>
      </c>
      <c r="X857" s="213" t="str">
        <f>IFERROR(__xludf.DUMMYFUNCTION("""COMPUTED_VALUE"""),"BROTHER ")</f>
        <v>BROTHER </v>
      </c>
      <c r="Y857" s="213" t="str">
        <f>IFERROR(__xludf.DUMMYFUNCTION("""COMPUTED_VALUE"""),"MFC-T4500DW")</f>
        <v>MFC-T4500DW</v>
      </c>
      <c r="Z857" s="215" t="str">
        <f>IFERROR(__xludf.DUMMYFUNCTION("""COMPUTED_VALUE"""),"https://www.brother.com.pe/products/mfct4500dw")</f>
        <v>https://www.brother.com.pe/products/mfct4500dw</v>
      </c>
      <c r="AA857" s="213" t="str">
        <f>IFERROR(__xludf.DUMMYFUNCTION("""COMPUTED_VALUE"""),"TEC-111-B IMPRESORA MULTIFUNCIONAL - CET")</f>
        <v>TEC-111-B IMPRESORA MULTIFUNCIONAL - CET</v>
      </c>
      <c r="AB857" s="213"/>
      <c r="AC857" s="213"/>
      <c r="AD857" s="213"/>
      <c r="AE857" s="213"/>
      <c r="AF857" s="213"/>
      <c r="AG857" s="213"/>
      <c r="AH857" s="213"/>
      <c r="AI857" s="213"/>
      <c r="AJ857" s="213"/>
      <c r="AK857" s="213"/>
      <c r="AL857" s="213"/>
      <c r="AM857" s="213"/>
      <c r="AN857" s="213"/>
      <c r="AO857" s="213"/>
      <c r="AP857" s="213" t="str">
        <f>IFERROR(__xludf.DUMMYFUNCTION("""COMPUTED_VALUE"""),"NALDI")</f>
        <v>NALDI</v>
      </c>
      <c r="AQ857" s="213"/>
      <c r="AR857" s="213"/>
      <c r="AS857" s="213"/>
      <c r="AT857" s="213"/>
      <c r="AU857" s="213"/>
      <c r="AV857" s="213"/>
      <c r="AW857" s="213"/>
      <c r="AX857" s="213"/>
      <c r="AY857" s="213"/>
      <c r="AZ857" s="213"/>
      <c r="BA857" s="213"/>
      <c r="BB857" s="213"/>
      <c r="BC857" s="213"/>
      <c r="BD857" s="213"/>
    </row>
    <row r="858">
      <c r="A858" s="213">
        <f>IFERROR(__xludf.DUMMYFUNCTION("""COMPUTED_VALUE"""),1439.0)</f>
        <v>1439</v>
      </c>
      <c r="B858" s="213" t="str">
        <f>IFERROR(__xludf.DUMMYFUNCTION("""COMPUTED_VALUE"""),"GUILLERMO E. BILLINGHURST ")</f>
        <v>GUILLERMO E. BILLINGHURST </v>
      </c>
      <c r="C858" s="213" t="str">
        <f>IFERROR(__xludf.DUMMYFUNCTION("""COMPUTED_VALUE"""),"TALLER SFT DE INDUSTRIA ALIMENTARIA")</f>
        <v>TALLER SFT DE INDUSTRIA ALIMENTARIA</v>
      </c>
      <c r="D858" s="213" t="str">
        <f>IFERROR(__xludf.DUMMYFUNCTION("""COMPUTED_VALUE"""),"TICS")</f>
        <v>TICS</v>
      </c>
      <c r="E858" s="213" t="str">
        <f>IFERROR(__xludf.DUMMYFUNCTION("""COMPUTED_VALUE"""),"TEC-111")</f>
        <v>TEC-111</v>
      </c>
      <c r="F858" s="213" t="str">
        <f>IFERROR(__xludf.DUMMYFUNCTION("""COMPUTED_VALUE"""),"TEC-111-Y")</f>
        <v>TEC-111-Y</v>
      </c>
      <c r="G858" s="213"/>
      <c r="H858" s="213" t="str">
        <f>IFERROR(__xludf.DUMMYFUNCTION("""COMPUTED_VALUE"""),"IMPRESORA MULTIFUNCIONAL")</f>
        <v>IMPRESORA MULTIFUNCIONAL</v>
      </c>
      <c r="I858"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11 o superior CAPACIDAD DE ENTRADA DE PAPEL: 100 hojas o superior
ACCESORIOS: 01 Cable de poder, 01 Manual y 01 Juego de tintas "&amp;"para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11 o superior CAPACIDAD DE ENTRADA DE PAPEL: 100 hojas o superior
ACCESORIOS: 01 Cable de poder, 01 Manual y 01 Juego de tintas para la impresora. FUENTE DE PODER 220VAC /60 HZ
CERTIFICADO Energy STAR y/o CE y/o FCC y/o RoHS. GARANTÍA Minimo 1 año de garantia</v>
      </c>
      <c r="J858" s="213">
        <f>IFERROR(__xludf.DUMMYFUNCTION("""COMPUTED_VALUE"""),3.0)</f>
        <v>3</v>
      </c>
      <c r="K858" s="213" t="str">
        <f>IFERROR(__xludf.DUMMYFUNCTION("""COMPUTED_VALUE"""),"170 DÍAS CALENDARIO")</f>
        <v>170 DÍAS CALENDARIO</v>
      </c>
      <c r="L858" s="213" t="str">
        <f>IFERROR(__xludf.DUMMYFUNCTION("""COMPUTED_VALUE"""),"INDUSTRIA ALIMENTARIA, ELECTRICIDAD, CONSTRUCCIONES METÁLICAS")</f>
        <v>INDUSTRIA ALIMENTARIA, ELECTRICIDAD, CONSTRUCCIONES METÁLICAS</v>
      </c>
      <c r="M858" s="213">
        <f>IFERROR(__xludf.DUMMYFUNCTION("""COMPUTED_VALUE"""),1.0)</f>
        <v>1</v>
      </c>
      <c r="N858" s="213">
        <f>IFERROR(__xludf.DUMMYFUNCTION("""COMPUTED_VALUE"""),0.0)</f>
        <v>0</v>
      </c>
      <c r="O858" s="213">
        <f>IFERROR(__xludf.DUMMYFUNCTION("""COMPUTED_VALUE"""),0.0)</f>
        <v>0</v>
      </c>
      <c r="P858" s="213"/>
      <c r="Q858" s="213"/>
      <c r="R858" s="213"/>
      <c r="S858" s="213"/>
      <c r="T858" s="213" t="str">
        <f>IFERROR(__xludf.DUMMYFUNCTION("""COMPUTED_VALUE"""),"SI")</f>
        <v>SI</v>
      </c>
      <c r="U858" s="213" t="str">
        <f>IFERROR(__xludf.DUMMYFUNCTION("""COMPUTED_VALUE"""),"SI")</f>
        <v>SI</v>
      </c>
      <c r="V858" s="213" t="str">
        <f>IFERROR(__xludf.DUMMYFUNCTION("""COMPUTED_VALUE"""),"-")</f>
        <v>-</v>
      </c>
      <c r="W858" s="213" t="str">
        <f>IFERROR(__xludf.DUMMYFUNCTION("""COMPUTED_VALUE"""),"-")</f>
        <v>-</v>
      </c>
      <c r="X858" s="213" t="str">
        <f>IFERROR(__xludf.DUMMYFUNCTION("""COMPUTED_VALUE"""),"BROTHER ")</f>
        <v>BROTHER </v>
      </c>
      <c r="Y858" s="213" t="str">
        <f>IFERROR(__xludf.DUMMYFUNCTION("""COMPUTED_VALUE"""),"MFC-T4500DW")</f>
        <v>MFC-T4500DW</v>
      </c>
      <c r="Z858" s="215" t="str">
        <f>IFERROR(__xludf.DUMMYFUNCTION("""COMPUTED_VALUE"""),"https://www.brother.com.pe/products/mfct4500dw")</f>
        <v>https://www.brother.com.pe/products/mfct4500dw</v>
      </c>
      <c r="AA858" s="213" t="str">
        <f>IFERROR(__xludf.DUMMYFUNCTION("""COMPUTED_VALUE"""),"TEC-111-B IMPRESORA MULTIFUNCIONAL - CET")</f>
        <v>TEC-111-B IMPRESORA MULTIFUNCIONAL - CET</v>
      </c>
      <c r="AB858" s="213"/>
      <c r="AC858" s="213"/>
      <c r="AD858" s="213"/>
      <c r="AE858" s="213"/>
      <c r="AF858" s="213"/>
      <c r="AG858" s="213"/>
      <c r="AH858" s="213"/>
      <c r="AI858" s="213"/>
      <c r="AJ858" s="213"/>
      <c r="AK858" s="213"/>
      <c r="AL858" s="213"/>
      <c r="AM858" s="213"/>
      <c r="AN858" s="213"/>
      <c r="AO858" s="213"/>
      <c r="AP858" s="213" t="str">
        <f>IFERROR(__xludf.DUMMYFUNCTION("""COMPUTED_VALUE"""),"NALDI")</f>
        <v>NALDI</v>
      </c>
      <c r="AQ858" s="213"/>
      <c r="AR858" s="213"/>
      <c r="AS858" s="213"/>
      <c r="AT858" s="213"/>
      <c r="AU858" s="213"/>
      <c r="AV858" s="213"/>
      <c r="AW858" s="213"/>
      <c r="AX858" s="213"/>
      <c r="AY858" s="213"/>
      <c r="AZ858" s="213"/>
      <c r="BA858" s="213"/>
      <c r="BB858" s="213"/>
      <c r="BC858" s="213"/>
      <c r="BD858" s="213"/>
    </row>
    <row r="859">
      <c r="A859" s="213">
        <f>IFERROR(__xludf.DUMMYFUNCTION("""COMPUTED_VALUE"""),1581.0)</f>
        <v>1581</v>
      </c>
      <c r="B859" s="213" t="str">
        <f>IFERROR(__xludf.DUMMYFUNCTION("""COMPUTED_VALUE"""),"GUILLERMO E. BILLINGHURST ")</f>
        <v>GUILLERMO E. BILLINGHURST </v>
      </c>
      <c r="C859" s="213" t="str">
        <f>IFERROR(__xludf.DUMMYFUNCTION("""COMPUTED_VALUE"""),"TALLER SFT DE MECÁNICA AUTOMOTRIZ")</f>
        <v>TALLER SFT DE MECÁNICA AUTOMOTRIZ</v>
      </c>
      <c r="D859" s="213" t="str">
        <f>IFERROR(__xludf.DUMMYFUNCTION("""COMPUTED_VALUE"""),"TICS")</f>
        <v>TICS</v>
      </c>
      <c r="E859" s="213" t="str">
        <f>IFERROR(__xludf.DUMMYFUNCTION("""COMPUTED_VALUE"""),"TEC-111")</f>
        <v>TEC-111</v>
      </c>
      <c r="F859" s="213" t="str">
        <f>IFERROR(__xludf.DUMMYFUNCTION("""COMPUTED_VALUE"""),"TEC-111-X")</f>
        <v>TEC-111-X</v>
      </c>
      <c r="G859" s="213"/>
      <c r="H859" s="213" t="str">
        <f>IFERROR(__xludf.DUMMYFUNCTION("""COMPUTED_VALUE"""),"IMPRESORA MULTIFUNCIONAL")</f>
        <v>IMPRESORA MULTIFUNCIONAL</v>
      </c>
      <c r="I859"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59" s="213">
        <f>IFERROR(__xludf.DUMMYFUNCTION("""COMPUTED_VALUE"""),3.0)</f>
        <v>3</v>
      </c>
      <c r="K859" s="213" t="str">
        <f>IFERROR(__xludf.DUMMYFUNCTION("""COMPUTED_VALUE"""),"170 DÍAS CALENDARIO")</f>
        <v>170 DÍAS CALENDARIO</v>
      </c>
      <c r="L859"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59" s="213">
        <f>IFERROR(__xludf.DUMMYFUNCTION("""COMPUTED_VALUE"""),1.0)</f>
        <v>1</v>
      </c>
      <c r="N859" s="213">
        <f>IFERROR(__xludf.DUMMYFUNCTION("""COMPUTED_VALUE"""),1.0)</f>
        <v>1</v>
      </c>
      <c r="O859" s="213">
        <f>IFERROR(__xludf.DUMMYFUNCTION("""COMPUTED_VALUE"""),1.0)</f>
        <v>1</v>
      </c>
      <c r="P859" s="213"/>
      <c r="Q859" s="213"/>
      <c r="R859" s="213"/>
      <c r="S859" s="213"/>
      <c r="T859" s="213" t="str">
        <f>IFERROR(__xludf.DUMMYFUNCTION("""COMPUTED_VALUE"""),"SI")</f>
        <v>SI</v>
      </c>
      <c r="U859" s="213" t="str">
        <f>IFERROR(__xludf.DUMMYFUNCTION("""COMPUTED_VALUE"""),"SI")</f>
        <v>SI</v>
      </c>
      <c r="V859" s="213" t="str">
        <f>IFERROR(__xludf.DUMMYFUNCTION("""COMPUTED_VALUE"""),"-")</f>
        <v>-</v>
      </c>
      <c r="W859" s="213" t="str">
        <f>IFERROR(__xludf.DUMMYFUNCTION("""COMPUTED_VALUE"""),"-")</f>
        <v>-</v>
      </c>
      <c r="X859" s="213" t="str">
        <f>IFERROR(__xludf.DUMMYFUNCTION("""COMPUTED_VALUE"""),"BROTHER ")</f>
        <v>BROTHER </v>
      </c>
      <c r="Y859" s="213" t="str">
        <f>IFERROR(__xludf.DUMMYFUNCTION("""COMPUTED_VALUE"""),"MFC-T4500DW")</f>
        <v>MFC-T4500DW</v>
      </c>
      <c r="Z859" s="215" t="str">
        <f>IFERROR(__xludf.DUMMYFUNCTION("""COMPUTED_VALUE"""),"https://www.brother.com.pe/products/mfct4500dw")</f>
        <v>https://www.brother.com.pe/products/mfct4500dw</v>
      </c>
      <c r="AA859" s="213" t="str">
        <f>IFERROR(__xludf.DUMMYFUNCTION("""COMPUTED_VALUE"""),"TEC-111-A IMPRESORA MULTIFUNCIONAL - CET")</f>
        <v>TEC-111-A IMPRESORA MULTIFUNCIONAL - CET</v>
      </c>
      <c r="AB859" s="213"/>
      <c r="AC859" s="213"/>
      <c r="AD859" s="213"/>
      <c r="AE859" s="213"/>
      <c r="AF859" s="213"/>
      <c r="AG859" s="213"/>
      <c r="AH859" s="213"/>
      <c r="AI859" s="213"/>
      <c r="AJ859" s="213"/>
      <c r="AK859" s="213"/>
      <c r="AL859" s="213"/>
      <c r="AM859" s="213"/>
      <c r="AN859" s="213"/>
      <c r="AO859" s="213"/>
      <c r="AP859" s="213" t="str">
        <f>IFERROR(__xludf.DUMMYFUNCTION("""COMPUTED_VALUE"""),"NALDI")</f>
        <v>NALDI</v>
      </c>
      <c r="AQ859" s="213"/>
      <c r="AR859" s="213"/>
      <c r="AS859" s="213"/>
      <c r="AT859" s="213"/>
      <c r="AU859" s="213"/>
      <c r="AV859" s="213"/>
      <c r="AW859" s="213"/>
      <c r="AX859" s="213"/>
      <c r="AY859" s="213"/>
      <c r="AZ859" s="213"/>
      <c r="BA859" s="213"/>
      <c r="BB859" s="213"/>
      <c r="BC859" s="213"/>
      <c r="BD859" s="213"/>
    </row>
    <row r="860">
      <c r="A860" s="213">
        <f>IFERROR(__xludf.DUMMYFUNCTION("""COMPUTED_VALUE"""),1696.0)</f>
        <v>1696</v>
      </c>
      <c r="B860" s="213" t="str">
        <f>IFERROR(__xludf.DUMMYFUNCTION("""COMPUTED_VALUE"""),"GUILLERMO E. BILLINGHURST ")</f>
        <v>GUILLERMO E. BILLINGHURST </v>
      </c>
      <c r="C860" s="213" t="str">
        <f>IFERROR(__xludf.DUMMYFUNCTION("""COMPUTED_VALUE"""),"TALLER SFT DE COMPUTACIÓN E INFORMÁTICA")</f>
        <v>TALLER SFT DE COMPUTACIÓN E INFORMÁTICA</v>
      </c>
      <c r="D860" s="213" t="str">
        <f>IFERROR(__xludf.DUMMYFUNCTION("""COMPUTED_VALUE"""),"TICS")</f>
        <v>TICS</v>
      </c>
      <c r="E860" s="213" t="str">
        <f>IFERROR(__xludf.DUMMYFUNCTION("""COMPUTED_VALUE"""),"TEC-111")</f>
        <v>TEC-111</v>
      </c>
      <c r="F860" s="213" t="str">
        <f>IFERROR(__xludf.DUMMYFUNCTION("""COMPUTED_VALUE"""),"TEC-111-X")</f>
        <v>TEC-111-X</v>
      </c>
      <c r="G860" s="213"/>
      <c r="H860" s="213" t="str">
        <f>IFERROR(__xludf.DUMMYFUNCTION("""COMPUTED_VALUE"""),"IMPRESORA MULTIFUNCIONAL")</f>
        <v>IMPRESORA MULTIFUNCIONAL</v>
      </c>
      <c r="I860"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60" s="213">
        <f>IFERROR(__xludf.DUMMYFUNCTION("""COMPUTED_VALUE"""),3.0)</f>
        <v>3</v>
      </c>
      <c r="K860" s="213" t="str">
        <f>IFERROR(__xludf.DUMMYFUNCTION("""COMPUTED_VALUE"""),"170 DÍAS CALENDARIO")</f>
        <v>170 DÍAS CALENDARIO</v>
      </c>
      <c r="L860"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60" s="213">
        <f>IFERROR(__xludf.DUMMYFUNCTION("""COMPUTED_VALUE"""),1.0)</f>
        <v>1</v>
      </c>
      <c r="N860" s="213">
        <f>IFERROR(__xludf.DUMMYFUNCTION("""COMPUTED_VALUE"""),1.0)</f>
        <v>1</v>
      </c>
      <c r="O860" s="213">
        <f>IFERROR(__xludf.DUMMYFUNCTION("""COMPUTED_VALUE"""),1.0)</f>
        <v>1</v>
      </c>
      <c r="P860" s="213"/>
      <c r="Q860" s="213"/>
      <c r="R860" s="213"/>
      <c r="S860" s="213"/>
      <c r="T860" s="213" t="str">
        <f>IFERROR(__xludf.DUMMYFUNCTION("""COMPUTED_VALUE"""),"SI")</f>
        <v>SI</v>
      </c>
      <c r="U860" s="213" t="str">
        <f>IFERROR(__xludf.DUMMYFUNCTION("""COMPUTED_VALUE"""),"SI")</f>
        <v>SI</v>
      </c>
      <c r="V860" s="213" t="str">
        <f>IFERROR(__xludf.DUMMYFUNCTION("""COMPUTED_VALUE"""),"-")</f>
        <v>-</v>
      </c>
      <c r="W860" s="213" t="str">
        <f>IFERROR(__xludf.DUMMYFUNCTION("""COMPUTED_VALUE"""),"-")</f>
        <v>-</v>
      </c>
      <c r="X860" s="213" t="str">
        <f>IFERROR(__xludf.DUMMYFUNCTION("""COMPUTED_VALUE"""),"BROTHER ")</f>
        <v>BROTHER </v>
      </c>
      <c r="Y860" s="213" t="str">
        <f>IFERROR(__xludf.DUMMYFUNCTION("""COMPUTED_VALUE"""),"MFC-T4500DW")</f>
        <v>MFC-T4500DW</v>
      </c>
      <c r="Z860" s="215" t="str">
        <f>IFERROR(__xludf.DUMMYFUNCTION("""COMPUTED_VALUE"""),"https://www.brother.com.pe/products/mfct4500dw")</f>
        <v>https://www.brother.com.pe/products/mfct4500dw</v>
      </c>
      <c r="AA860" s="213" t="str">
        <f>IFERROR(__xludf.DUMMYFUNCTION("""COMPUTED_VALUE"""),"TEC-111-A IMPRESORA MULTIFUNCIONAL - CET")</f>
        <v>TEC-111-A IMPRESORA MULTIFUNCIONAL - CET</v>
      </c>
      <c r="AB860" s="213"/>
      <c r="AC860" s="213"/>
      <c r="AD860" s="213"/>
      <c r="AE860" s="213"/>
      <c r="AF860" s="213"/>
      <c r="AG860" s="213"/>
      <c r="AH860" s="213"/>
      <c r="AI860" s="213"/>
      <c r="AJ860" s="213"/>
      <c r="AK860" s="213"/>
      <c r="AL860" s="213"/>
      <c r="AM860" s="213"/>
      <c r="AN860" s="213"/>
      <c r="AO860" s="213"/>
      <c r="AP860" s="213" t="str">
        <f>IFERROR(__xludf.DUMMYFUNCTION("""COMPUTED_VALUE"""),"NALDI")</f>
        <v>NALDI</v>
      </c>
      <c r="AQ860" s="213"/>
      <c r="AR860" s="213"/>
      <c r="AS860" s="213"/>
      <c r="AT860" s="213"/>
      <c r="AU860" s="213"/>
      <c r="AV860" s="213"/>
      <c r="AW860" s="213"/>
      <c r="AX860" s="213"/>
      <c r="AY860" s="213"/>
      <c r="AZ860" s="213"/>
      <c r="BA860" s="213"/>
      <c r="BB860" s="213"/>
      <c r="BC860" s="213"/>
      <c r="BD860" s="213"/>
    </row>
    <row r="861">
      <c r="A861" s="213">
        <f>IFERROR(__xludf.DUMMYFUNCTION("""COMPUTED_VALUE"""),1851.0)</f>
        <v>1851</v>
      </c>
      <c r="B861" s="213" t="str">
        <f>IFERROR(__xludf.DUMMYFUNCTION("""COMPUTED_VALUE"""),"GUILLERMO E. BILLINGHURST ")</f>
        <v>GUILLERMO E. BILLINGHURST </v>
      </c>
      <c r="C861" s="213" t="str">
        <f>IFERROR(__xludf.DUMMYFUNCTION("""COMPUTED_VALUE"""),"TALLER SFT DE EBANISTERÍA")</f>
        <v>TALLER SFT DE EBANISTERÍA</v>
      </c>
      <c r="D861" s="213" t="str">
        <f>IFERROR(__xludf.DUMMYFUNCTION("""COMPUTED_VALUE"""),"TICS")</f>
        <v>TICS</v>
      </c>
      <c r="E861" s="213" t="str">
        <f>IFERROR(__xludf.DUMMYFUNCTION("""COMPUTED_VALUE"""),"TEC-111")</f>
        <v>TEC-111</v>
      </c>
      <c r="F861" s="213" t="str">
        <f>IFERROR(__xludf.DUMMYFUNCTION("""COMPUTED_VALUE"""),"TEC-111-X")</f>
        <v>TEC-111-X</v>
      </c>
      <c r="G861" s="213"/>
      <c r="H861" s="213" t="str">
        <f>IFERROR(__xludf.DUMMYFUNCTION("""COMPUTED_VALUE"""),"IMPRESORA MULTIFUNCIONAL")</f>
        <v>IMPRESORA MULTIFUNCIONAL</v>
      </c>
      <c r="I861"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61" s="213">
        <f>IFERROR(__xludf.DUMMYFUNCTION("""COMPUTED_VALUE"""),3.0)</f>
        <v>3</v>
      </c>
      <c r="K861" s="213" t="str">
        <f>IFERROR(__xludf.DUMMYFUNCTION("""COMPUTED_VALUE"""),"170 DÍAS CALENDARIO")</f>
        <v>170 DÍAS CALENDARIO</v>
      </c>
      <c r="L861"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61" s="213">
        <f>IFERROR(__xludf.DUMMYFUNCTION("""COMPUTED_VALUE"""),1.0)</f>
        <v>1</v>
      </c>
      <c r="N861" s="213">
        <f>IFERROR(__xludf.DUMMYFUNCTION("""COMPUTED_VALUE"""),1.0)</f>
        <v>1</v>
      </c>
      <c r="O861" s="213">
        <f>IFERROR(__xludf.DUMMYFUNCTION("""COMPUTED_VALUE"""),1.0)</f>
        <v>1</v>
      </c>
      <c r="P861" s="213"/>
      <c r="Q861" s="213"/>
      <c r="R861" s="213"/>
      <c r="S861" s="213"/>
      <c r="T861" s="213" t="str">
        <f>IFERROR(__xludf.DUMMYFUNCTION("""COMPUTED_VALUE"""),"SI")</f>
        <v>SI</v>
      </c>
      <c r="U861" s="213" t="str">
        <f>IFERROR(__xludf.DUMMYFUNCTION("""COMPUTED_VALUE"""),"SI")</f>
        <v>SI</v>
      </c>
      <c r="V861" s="213" t="str">
        <f>IFERROR(__xludf.DUMMYFUNCTION("""COMPUTED_VALUE"""),"-")</f>
        <v>-</v>
      </c>
      <c r="W861" s="213" t="str">
        <f>IFERROR(__xludf.DUMMYFUNCTION("""COMPUTED_VALUE"""),"-")</f>
        <v>-</v>
      </c>
      <c r="X861" s="213" t="str">
        <f>IFERROR(__xludf.DUMMYFUNCTION("""COMPUTED_VALUE"""),"BROTHER ")</f>
        <v>BROTHER </v>
      </c>
      <c r="Y861" s="213" t="str">
        <f>IFERROR(__xludf.DUMMYFUNCTION("""COMPUTED_VALUE"""),"MFC-T4500DW")</f>
        <v>MFC-T4500DW</v>
      </c>
      <c r="Z861" s="215" t="str">
        <f>IFERROR(__xludf.DUMMYFUNCTION("""COMPUTED_VALUE"""),"https://www.brother.com.pe/products/mfct4500dw")</f>
        <v>https://www.brother.com.pe/products/mfct4500dw</v>
      </c>
      <c r="AA861" s="213" t="str">
        <f>IFERROR(__xludf.DUMMYFUNCTION("""COMPUTED_VALUE"""),"TEC-111-A IMPRESORA MULTIFUNCIONAL - CET")</f>
        <v>TEC-111-A IMPRESORA MULTIFUNCIONAL - CET</v>
      </c>
      <c r="AB861" s="213"/>
      <c r="AC861" s="213"/>
      <c r="AD861" s="213"/>
      <c r="AE861" s="213"/>
      <c r="AF861" s="213"/>
      <c r="AG861" s="213"/>
      <c r="AH861" s="213"/>
      <c r="AI861" s="213"/>
      <c r="AJ861" s="213"/>
      <c r="AK861" s="213"/>
      <c r="AL861" s="213"/>
      <c r="AM861" s="213"/>
      <c r="AN861" s="213"/>
      <c r="AO861" s="213"/>
      <c r="AP861" s="213" t="str">
        <f>IFERROR(__xludf.DUMMYFUNCTION("""COMPUTED_VALUE"""),"NALDI")</f>
        <v>NALDI</v>
      </c>
      <c r="AQ861" s="213"/>
      <c r="AR861" s="213"/>
      <c r="AS861" s="213"/>
      <c r="AT861" s="213"/>
      <c r="AU861" s="213"/>
      <c r="AV861" s="213"/>
      <c r="AW861" s="213"/>
      <c r="AX861" s="213"/>
      <c r="AY861" s="213"/>
      <c r="AZ861" s="213"/>
      <c r="BA861" s="213"/>
      <c r="BB861" s="213"/>
      <c r="BC861" s="213"/>
      <c r="BD861" s="213"/>
    </row>
    <row r="862">
      <c r="A862" s="213">
        <f>IFERROR(__xludf.DUMMYFUNCTION("""COMPUTED_VALUE"""),1948.0)</f>
        <v>1948</v>
      </c>
      <c r="B862" s="213" t="str">
        <f>IFERROR(__xludf.DUMMYFUNCTION("""COMPUTED_VALUE"""),"JOSE GRANDA")</f>
        <v>JOSE GRANDA</v>
      </c>
      <c r="C862" s="213" t="str">
        <f>IFERROR(__xludf.DUMMYFUNCTION("""COMPUTED_VALUE"""),"TALLER SFT DE COMPUTACIÓN E INFORMÁTICA")</f>
        <v>TALLER SFT DE COMPUTACIÓN E INFORMÁTICA</v>
      </c>
      <c r="D862" s="213" t="str">
        <f>IFERROR(__xludf.DUMMYFUNCTION("""COMPUTED_VALUE"""),"TICS")</f>
        <v>TICS</v>
      </c>
      <c r="E862" s="213" t="str">
        <f>IFERROR(__xludf.DUMMYFUNCTION("""COMPUTED_VALUE"""),"TEC-111")</f>
        <v>TEC-111</v>
      </c>
      <c r="F862" s="213" t="str">
        <f>IFERROR(__xludf.DUMMYFUNCTION("""COMPUTED_VALUE"""),"TEC-111-X")</f>
        <v>TEC-111-X</v>
      </c>
      <c r="G862" s="213"/>
      <c r="H862" s="213" t="str">
        <f>IFERROR(__xludf.DUMMYFUNCTION("""COMPUTED_VALUE"""),"IMPRESORA MULTIFUNCIONAL")</f>
        <v>IMPRESORA MULTIFUNCIONAL</v>
      </c>
      <c r="I862"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62" s="213">
        <f>IFERROR(__xludf.DUMMYFUNCTION("""COMPUTED_VALUE"""),3.0)</f>
        <v>3</v>
      </c>
      <c r="K862" s="213" t="str">
        <f>IFERROR(__xludf.DUMMYFUNCTION("""COMPUTED_VALUE"""),"170 DÍAS CALENDARIO")</f>
        <v>170 DÍAS CALENDARIO</v>
      </c>
      <c r="L862"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62" s="213">
        <f>IFERROR(__xludf.DUMMYFUNCTION("""COMPUTED_VALUE"""),1.0)</f>
        <v>1</v>
      </c>
      <c r="N862" s="213">
        <f>IFERROR(__xludf.DUMMYFUNCTION("""COMPUTED_VALUE"""),1.0)</f>
        <v>1</v>
      </c>
      <c r="O862" s="213">
        <f>IFERROR(__xludf.DUMMYFUNCTION("""COMPUTED_VALUE"""),1.0)</f>
        <v>1</v>
      </c>
      <c r="P862" s="213"/>
      <c r="Q862" s="213"/>
      <c r="R862" s="213"/>
      <c r="S862" s="213"/>
      <c r="T862" s="213" t="str">
        <f>IFERROR(__xludf.DUMMYFUNCTION("""COMPUTED_VALUE"""),"SI")</f>
        <v>SI</v>
      </c>
      <c r="U862" s="213" t="str">
        <f>IFERROR(__xludf.DUMMYFUNCTION("""COMPUTED_VALUE"""),"SI")</f>
        <v>SI</v>
      </c>
      <c r="V862" s="213" t="str">
        <f>IFERROR(__xludf.DUMMYFUNCTION("""COMPUTED_VALUE"""),"-")</f>
        <v>-</v>
      </c>
      <c r="W862" s="213" t="str">
        <f>IFERROR(__xludf.DUMMYFUNCTION("""COMPUTED_VALUE"""),"-")</f>
        <v>-</v>
      </c>
      <c r="X862" s="213" t="str">
        <f>IFERROR(__xludf.DUMMYFUNCTION("""COMPUTED_VALUE"""),"BROTHER ")</f>
        <v>BROTHER </v>
      </c>
      <c r="Y862" s="213" t="str">
        <f>IFERROR(__xludf.DUMMYFUNCTION("""COMPUTED_VALUE"""),"MFC-T4500DW")</f>
        <v>MFC-T4500DW</v>
      </c>
      <c r="Z862" s="215" t="str">
        <f>IFERROR(__xludf.DUMMYFUNCTION("""COMPUTED_VALUE"""),"https://www.brother.com.pe/products/mfct4500dw")</f>
        <v>https://www.brother.com.pe/products/mfct4500dw</v>
      </c>
      <c r="AA862" s="213" t="str">
        <f>IFERROR(__xludf.DUMMYFUNCTION("""COMPUTED_VALUE"""),"TEC-111-A IMPRESORA MULTIFUNCIONAL - CET")</f>
        <v>TEC-111-A IMPRESORA MULTIFUNCIONAL - CET</v>
      </c>
      <c r="AB862" s="213"/>
      <c r="AC862" s="213"/>
      <c r="AD862" s="213"/>
      <c r="AE862" s="213"/>
      <c r="AF862" s="213"/>
      <c r="AG862" s="213"/>
      <c r="AH862" s="213"/>
      <c r="AI862" s="213"/>
      <c r="AJ862" s="213"/>
      <c r="AK862" s="213"/>
      <c r="AL862" s="213"/>
      <c r="AM862" s="213"/>
      <c r="AN862" s="213"/>
      <c r="AO862" s="213"/>
      <c r="AP862" s="213" t="str">
        <f>IFERROR(__xludf.DUMMYFUNCTION("""COMPUTED_VALUE"""),"NALDI")</f>
        <v>NALDI</v>
      </c>
      <c r="AQ862" s="213"/>
      <c r="AR862" s="213"/>
      <c r="AS862" s="213"/>
      <c r="AT862" s="213"/>
      <c r="AU862" s="213"/>
      <c r="AV862" s="213"/>
      <c r="AW862" s="213"/>
      <c r="AX862" s="213"/>
      <c r="AY862" s="213"/>
      <c r="AZ862" s="213"/>
      <c r="BA862" s="213"/>
      <c r="BB862" s="213"/>
      <c r="BC862" s="213"/>
      <c r="BD862" s="213"/>
    </row>
    <row r="863">
      <c r="A863" s="213">
        <f>IFERROR(__xludf.DUMMYFUNCTION("""COMPUTED_VALUE"""),2126.0)</f>
        <v>2126</v>
      </c>
      <c r="B863" s="213" t="str">
        <f>IFERROR(__xludf.DUMMYFUNCTION("""COMPUTED_VALUE"""),"JOSE GRANDA")</f>
        <v>JOSE GRANDA</v>
      </c>
      <c r="C863" s="213" t="str">
        <f>IFERROR(__xludf.DUMMYFUNCTION("""COMPUTED_VALUE"""),"TALLER SFT DE INDUSTRIA ALIMENTARIA")</f>
        <v>TALLER SFT DE INDUSTRIA ALIMENTARIA</v>
      </c>
      <c r="D863" s="213" t="str">
        <f>IFERROR(__xludf.DUMMYFUNCTION("""COMPUTED_VALUE"""),"TICS")</f>
        <v>TICS</v>
      </c>
      <c r="E863" s="213" t="str">
        <f>IFERROR(__xludf.DUMMYFUNCTION("""COMPUTED_VALUE"""),"TEC-111")</f>
        <v>TEC-111</v>
      </c>
      <c r="F863" s="213" t="str">
        <f>IFERROR(__xludf.DUMMYFUNCTION("""COMPUTED_VALUE"""),"TEC-111-Y")</f>
        <v>TEC-111-Y</v>
      </c>
      <c r="G863" s="213"/>
      <c r="H863" s="213" t="str">
        <f>IFERROR(__xludf.DUMMYFUNCTION("""COMPUTED_VALUE"""),"IMPRESORA MULTIFUNCIONAL")</f>
        <v>IMPRESORA MULTIFUNCIONAL</v>
      </c>
      <c r="I863"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11 o superior CAPACIDAD DE ENTRADA DE PAPEL: 100 hojas o superior
ACCESORIOS: 01 Cable de poder, 01 Manual y 01 Juego de tintas "&amp;"para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11 o superior CAPACIDAD DE ENTRADA DE PAPEL: 100 hojas o superior
ACCESORIOS: 01 Cable de poder, 01 Manual y 01 Juego de tintas para la impresora. FUENTE DE PODER 220VAC /60 HZ
CERTIFICADO Energy STAR y/o CE y/o FCC y/o RoHS. GARANTÍA Minimo 1 año de garantia</v>
      </c>
      <c r="J863" s="213">
        <f>IFERROR(__xludf.DUMMYFUNCTION("""COMPUTED_VALUE"""),3.0)</f>
        <v>3</v>
      </c>
      <c r="K863" s="213" t="str">
        <f>IFERROR(__xludf.DUMMYFUNCTION("""COMPUTED_VALUE"""),"170 DÍAS CALENDARIO")</f>
        <v>170 DÍAS CALENDARIO</v>
      </c>
      <c r="L863" s="213" t="str">
        <f>IFERROR(__xludf.DUMMYFUNCTION("""COMPUTED_VALUE"""),"INDUSTRIA ALIMENTARIA, ELECTRICIDAD, CONSTRUCCIONES METÁLICAS")</f>
        <v>INDUSTRIA ALIMENTARIA, ELECTRICIDAD, CONSTRUCCIONES METÁLICAS</v>
      </c>
      <c r="M863" s="213">
        <f>IFERROR(__xludf.DUMMYFUNCTION("""COMPUTED_VALUE"""),1.0)</f>
        <v>1</v>
      </c>
      <c r="N863" s="213">
        <f>IFERROR(__xludf.DUMMYFUNCTION("""COMPUTED_VALUE"""),1.0)</f>
        <v>1</v>
      </c>
      <c r="O863" s="213">
        <f>IFERROR(__xludf.DUMMYFUNCTION("""COMPUTED_VALUE"""),1.0)</f>
        <v>1</v>
      </c>
      <c r="P863" s="213"/>
      <c r="Q863" s="213"/>
      <c r="R863" s="213"/>
      <c r="S863" s="213"/>
      <c r="T863" s="213" t="str">
        <f>IFERROR(__xludf.DUMMYFUNCTION("""COMPUTED_VALUE"""),"SI")</f>
        <v>SI</v>
      </c>
      <c r="U863" s="213" t="str">
        <f>IFERROR(__xludf.DUMMYFUNCTION("""COMPUTED_VALUE"""),"SI")</f>
        <v>SI</v>
      </c>
      <c r="V863" s="213" t="str">
        <f>IFERROR(__xludf.DUMMYFUNCTION("""COMPUTED_VALUE"""),"-")</f>
        <v>-</v>
      </c>
      <c r="W863" s="213" t="str">
        <f>IFERROR(__xludf.DUMMYFUNCTION("""COMPUTED_VALUE"""),"-")</f>
        <v>-</v>
      </c>
      <c r="X863" s="213" t="str">
        <f>IFERROR(__xludf.DUMMYFUNCTION("""COMPUTED_VALUE"""),"BROTHER ")</f>
        <v>BROTHER </v>
      </c>
      <c r="Y863" s="213" t="str">
        <f>IFERROR(__xludf.DUMMYFUNCTION("""COMPUTED_VALUE"""),"MFC-T4500DW")</f>
        <v>MFC-T4500DW</v>
      </c>
      <c r="Z863" s="215" t="str">
        <f>IFERROR(__xludf.DUMMYFUNCTION("""COMPUTED_VALUE"""),"https://www.brother.com.pe/products/mfct4500dw")</f>
        <v>https://www.brother.com.pe/products/mfct4500dw</v>
      </c>
      <c r="AA863" s="213" t="str">
        <f>IFERROR(__xludf.DUMMYFUNCTION("""COMPUTED_VALUE"""),"TEC-111-B IMPRESORA MULTIFUNCIONAL - CET")</f>
        <v>TEC-111-B IMPRESORA MULTIFUNCIONAL - CET</v>
      </c>
      <c r="AB863" s="213"/>
      <c r="AC863" s="213"/>
      <c r="AD863" s="213"/>
      <c r="AE863" s="213"/>
      <c r="AF863" s="213"/>
      <c r="AG863" s="213"/>
      <c r="AH863" s="213"/>
      <c r="AI863" s="213"/>
      <c r="AJ863" s="213"/>
      <c r="AK863" s="213"/>
      <c r="AL863" s="213"/>
      <c r="AM863" s="213"/>
      <c r="AN863" s="213"/>
      <c r="AO863" s="213"/>
      <c r="AP863" s="213" t="str">
        <f>IFERROR(__xludf.DUMMYFUNCTION("""COMPUTED_VALUE"""),"NALDI")</f>
        <v>NALDI</v>
      </c>
      <c r="AQ863" s="213"/>
      <c r="AR863" s="213"/>
      <c r="AS863" s="213"/>
      <c r="AT863" s="213"/>
      <c r="AU863" s="213"/>
      <c r="AV863" s="213"/>
      <c r="AW863" s="213"/>
      <c r="AX863" s="213"/>
      <c r="AY863" s="213"/>
      <c r="AZ863" s="213"/>
      <c r="BA863" s="213"/>
      <c r="BB863" s="213"/>
      <c r="BC863" s="213"/>
      <c r="BD863" s="213"/>
    </row>
    <row r="864">
      <c r="A864" s="213">
        <f>IFERROR(__xludf.DUMMYFUNCTION("""COMPUTED_VALUE"""),2294.0)</f>
        <v>2294</v>
      </c>
      <c r="B864" s="213" t="str">
        <f>IFERROR(__xludf.DUMMYFUNCTION("""COMPUTED_VALUE"""),"JOSE GRANDA")</f>
        <v>JOSE GRANDA</v>
      </c>
      <c r="C864" s="213" t="str">
        <f>IFERROR(__xludf.DUMMYFUNCTION("""COMPUTED_VALUE"""),"TALLER SFT DE MECÁNICA AUTOMOTRIZ")</f>
        <v>TALLER SFT DE MECÁNICA AUTOMOTRIZ</v>
      </c>
      <c r="D864" s="213" t="str">
        <f>IFERROR(__xludf.DUMMYFUNCTION("""COMPUTED_VALUE"""),"TICS")</f>
        <v>TICS</v>
      </c>
      <c r="E864" s="213" t="str">
        <f>IFERROR(__xludf.DUMMYFUNCTION("""COMPUTED_VALUE"""),"TEC-111")</f>
        <v>TEC-111</v>
      </c>
      <c r="F864" s="213" t="str">
        <f>IFERROR(__xludf.DUMMYFUNCTION("""COMPUTED_VALUE"""),"TEC-111-X")</f>
        <v>TEC-111-X</v>
      </c>
      <c r="G864" s="213"/>
      <c r="H864" s="213" t="str">
        <f>IFERROR(__xludf.DUMMYFUNCTION("""COMPUTED_VALUE"""),"IMPRESORA MULTIFUNCIONAL")</f>
        <v>IMPRESORA MULTIFUNCIONAL</v>
      </c>
      <c r="I864"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64" s="213">
        <f>IFERROR(__xludf.DUMMYFUNCTION("""COMPUTED_VALUE"""),3.0)</f>
        <v>3</v>
      </c>
      <c r="K864" s="213" t="str">
        <f>IFERROR(__xludf.DUMMYFUNCTION("""COMPUTED_VALUE"""),"170 DÍAS CALENDARIO")</f>
        <v>170 DÍAS CALENDARIO</v>
      </c>
      <c r="L864"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64" s="213">
        <f>IFERROR(__xludf.DUMMYFUNCTION("""COMPUTED_VALUE"""),1.0)</f>
        <v>1</v>
      </c>
      <c r="N864" s="213">
        <f>IFERROR(__xludf.DUMMYFUNCTION("""COMPUTED_VALUE"""),1.0)</f>
        <v>1</v>
      </c>
      <c r="O864" s="213">
        <f>IFERROR(__xludf.DUMMYFUNCTION("""COMPUTED_VALUE"""),1.0)</f>
        <v>1</v>
      </c>
      <c r="P864" s="213"/>
      <c r="Q864" s="213"/>
      <c r="R864" s="213"/>
      <c r="S864" s="213"/>
      <c r="T864" s="213" t="str">
        <f>IFERROR(__xludf.DUMMYFUNCTION("""COMPUTED_VALUE"""),"SI")</f>
        <v>SI</v>
      </c>
      <c r="U864" s="213" t="str">
        <f>IFERROR(__xludf.DUMMYFUNCTION("""COMPUTED_VALUE"""),"SI")</f>
        <v>SI</v>
      </c>
      <c r="V864" s="213" t="str">
        <f>IFERROR(__xludf.DUMMYFUNCTION("""COMPUTED_VALUE"""),"-")</f>
        <v>-</v>
      </c>
      <c r="W864" s="213" t="str">
        <f>IFERROR(__xludf.DUMMYFUNCTION("""COMPUTED_VALUE"""),"-")</f>
        <v>-</v>
      </c>
      <c r="X864" s="213" t="str">
        <f>IFERROR(__xludf.DUMMYFUNCTION("""COMPUTED_VALUE"""),"BROTHER ")</f>
        <v>BROTHER </v>
      </c>
      <c r="Y864" s="213" t="str">
        <f>IFERROR(__xludf.DUMMYFUNCTION("""COMPUTED_VALUE"""),"MFC-T4500DW")</f>
        <v>MFC-T4500DW</v>
      </c>
      <c r="Z864" s="215" t="str">
        <f>IFERROR(__xludf.DUMMYFUNCTION("""COMPUTED_VALUE"""),"https://www.brother.com.pe/products/mfct4500dw")</f>
        <v>https://www.brother.com.pe/products/mfct4500dw</v>
      </c>
      <c r="AA864" s="213" t="str">
        <f>IFERROR(__xludf.DUMMYFUNCTION("""COMPUTED_VALUE"""),"TEC-111-A IMPRESORA MULTIFUNCIONAL - CET")</f>
        <v>TEC-111-A IMPRESORA MULTIFUNCIONAL - CET</v>
      </c>
      <c r="AB864" s="213"/>
      <c r="AC864" s="213"/>
      <c r="AD864" s="213"/>
      <c r="AE864" s="213"/>
      <c r="AF864" s="213"/>
      <c r="AG864" s="213"/>
      <c r="AH864" s="213"/>
      <c r="AI864" s="213"/>
      <c r="AJ864" s="213"/>
      <c r="AK864" s="213"/>
      <c r="AL864" s="213"/>
      <c r="AM864" s="213"/>
      <c r="AN864" s="213"/>
      <c r="AO864" s="213"/>
      <c r="AP864" s="213" t="str">
        <f>IFERROR(__xludf.DUMMYFUNCTION("""COMPUTED_VALUE"""),"NALDI")</f>
        <v>NALDI</v>
      </c>
      <c r="AQ864" s="213"/>
      <c r="AR864" s="213"/>
      <c r="AS864" s="213"/>
      <c r="AT864" s="213"/>
      <c r="AU864" s="213"/>
      <c r="AV864" s="213"/>
      <c r="AW864" s="213"/>
      <c r="AX864" s="213"/>
      <c r="AY864" s="213"/>
      <c r="AZ864" s="213"/>
      <c r="BA864" s="213"/>
      <c r="BB864" s="213"/>
      <c r="BC864" s="213"/>
      <c r="BD864" s="213"/>
    </row>
    <row r="865">
      <c r="A865" s="213">
        <f>IFERROR(__xludf.DUMMYFUNCTION("""COMPUTED_VALUE"""),2411.0)</f>
        <v>2411</v>
      </c>
      <c r="B865" s="213" t="str">
        <f>IFERROR(__xludf.DUMMYFUNCTION("""COMPUTED_VALUE"""),"MANUEL ANTONIO MESONES MURO")</f>
        <v>MANUEL ANTONIO MESONES MURO</v>
      </c>
      <c r="C865" s="213" t="str">
        <f>IFERROR(__xludf.DUMMYFUNCTION("""COMPUTED_VALUE"""),"TALLER SFT DE INDUSTRIA DEL VESTIDO")</f>
        <v>TALLER SFT DE INDUSTRIA DEL VESTIDO</v>
      </c>
      <c r="D865" s="213" t="str">
        <f>IFERROR(__xludf.DUMMYFUNCTION("""COMPUTED_VALUE"""),"TICS")</f>
        <v>TICS</v>
      </c>
      <c r="E865" s="213" t="str">
        <f>IFERROR(__xludf.DUMMYFUNCTION("""COMPUTED_VALUE"""),"TEC-111")</f>
        <v>TEC-111</v>
      </c>
      <c r="F865" s="213" t="str">
        <f>IFERROR(__xludf.DUMMYFUNCTION("""COMPUTED_VALUE"""),"TEC-111-X")</f>
        <v>TEC-111-X</v>
      </c>
      <c r="G865" s="213"/>
      <c r="H865" s="213" t="str">
        <f>IFERROR(__xludf.DUMMYFUNCTION("""COMPUTED_VALUE"""),"IMPRESORA MULTIFUNCIONAL")</f>
        <v>IMPRESORA MULTIFUNCIONAL</v>
      </c>
      <c r="I865"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65" s="213">
        <f>IFERROR(__xludf.DUMMYFUNCTION("""COMPUTED_VALUE"""),3.0)</f>
        <v>3</v>
      </c>
      <c r="K865" s="213" t="str">
        <f>IFERROR(__xludf.DUMMYFUNCTION("""COMPUTED_VALUE"""),"170 DÍAS CALENDARIO")</f>
        <v>170 DÍAS CALENDARIO</v>
      </c>
      <c r="L865"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65" s="213">
        <f>IFERROR(__xludf.DUMMYFUNCTION("""COMPUTED_VALUE"""),1.0)</f>
        <v>1</v>
      </c>
      <c r="N865" s="213">
        <f>IFERROR(__xludf.DUMMYFUNCTION("""COMPUTED_VALUE"""),1.0)</f>
        <v>1</v>
      </c>
      <c r="O865" s="213">
        <f>IFERROR(__xludf.DUMMYFUNCTION("""COMPUTED_VALUE"""),1.0)</f>
        <v>1</v>
      </c>
      <c r="P865" s="213"/>
      <c r="Q865" s="213"/>
      <c r="R865" s="213"/>
      <c r="S865" s="213"/>
      <c r="T865" s="213" t="str">
        <f>IFERROR(__xludf.DUMMYFUNCTION("""COMPUTED_VALUE"""),"SI")</f>
        <v>SI</v>
      </c>
      <c r="U865" s="213" t="str">
        <f>IFERROR(__xludf.DUMMYFUNCTION("""COMPUTED_VALUE"""),"SI")</f>
        <v>SI</v>
      </c>
      <c r="V865" s="213" t="str">
        <f>IFERROR(__xludf.DUMMYFUNCTION("""COMPUTED_VALUE"""),"-")</f>
        <v>-</v>
      </c>
      <c r="W865" s="213" t="str">
        <f>IFERROR(__xludf.DUMMYFUNCTION("""COMPUTED_VALUE"""),"-")</f>
        <v>-</v>
      </c>
      <c r="X865" s="213" t="str">
        <f>IFERROR(__xludf.DUMMYFUNCTION("""COMPUTED_VALUE"""),"BROTHER ")</f>
        <v>BROTHER </v>
      </c>
      <c r="Y865" s="213" t="str">
        <f>IFERROR(__xludf.DUMMYFUNCTION("""COMPUTED_VALUE"""),"MFC-T4500DW")</f>
        <v>MFC-T4500DW</v>
      </c>
      <c r="Z865" s="215" t="str">
        <f>IFERROR(__xludf.DUMMYFUNCTION("""COMPUTED_VALUE"""),"https://www.brother.com.pe/products/mfct4500dw")</f>
        <v>https://www.brother.com.pe/products/mfct4500dw</v>
      </c>
      <c r="AA865" s="213" t="str">
        <f>IFERROR(__xludf.DUMMYFUNCTION("""COMPUTED_VALUE"""),"TEC-111-A IMPRESORA MULTIFUNCIONAL - CET")</f>
        <v>TEC-111-A IMPRESORA MULTIFUNCIONAL - CET</v>
      </c>
      <c r="AB865" s="213"/>
      <c r="AC865" s="213"/>
      <c r="AD865" s="213"/>
      <c r="AE865" s="213"/>
      <c r="AF865" s="213"/>
      <c r="AG865" s="213"/>
      <c r="AH865" s="213"/>
      <c r="AI865" s="213"/>
      <c r="AJ865" s="213"/>
      <c r="AK865" s="213"/>
      <c r="AL865" s="213"/>
      <c r="AM865" s="213"/>
      <c r="AN865" s="213"/>
      <c r="AO865" s="213"/>
      <c r="AP865" s="213" t="str">
        <f>IFERROR(__xludf.DUMMYFUNCTION("""COMPUTED_VALUE"""),"NALDI")</f>
        <v>NALDI</v>
      </c>
      <c r="AQ865" s="213"/>
      <c r="AR865" s="213"/>
      <c r="AS865" s="213"/>
      <c r="AT865" s="213"/>
      <c r="AU865" s="213"/>
      <c r="AV865" s="213"/>
      <c r="AW865" s="213"/>
      <c r="AX865" s="213"/>
      <c r="AY865" s="213"/>
      <c r="AZ865" s="213"/>
      <c r="BA865" s="213"/>
      <c r="BB865" s="213"/>
      <c r="BC865" s="213"/>
      <c r="BD865" s="213"/>
    </row>
    <row r="866">
      <c r="A866" s="213">
        <f>IFERROR(__xludf.DUMMYFUNCTION("""COMPUTED_VALUE"""),2489.0)</f>
        <v>2489</v>
      </c>
      <c r="B866" s="213" t="str">
        <f>IFERROR(__xludf.DUMMYFUNCTION("""COMPUTED_VALUE"""),"MANUEL ANTONIO MESONES MURO")</f>
        <v>MANUEL ANTONIO MESONES MURO</v>
      </c>
      <c r="C866" s="213" t="str">
        <f>IFERROR(__xludf.DUMMYFUNCTION("""COMPUTED_VALUE"""),"TALLER SFT DE CONSTRUCCIONES METÁLICAS")</f>
        <v>TALLER SFT DE CONSTRUCCIONES METÁLICAS</v>
      </c>
      <c r="D866" s="213" t="str">
        <f>IFERROR(__xludf.DUMMYFUNCTION("""COMPUTED_VALUE"""),"HERRAMIENTAS")</f>
        <v>HERRAMIENTAS</v>
      </c>
      <c r="E866" s="213" t="str">
        <f>IFERROR(__xludf.DUMMYFUNCTION("""COMPUTED_VALUE"""),"HER-145")</f>
        <v>HER-145</v>
      </c>
      <c r="F866" s="213" t="str">
        <f>IFERROR(__xludf.DUMMYFUNCTION("""COMPUTED_VALUE"""),"HER-145-Y")</f>
        <v>HER-145-Y</v>
      </c>
      <c r="G866" s="213"/>
      <c r="H866" s="213" t="str">
        <f>IFERROR(__xludf.DUMMYFUNCTION("""COMPUTED_VALUE"""),"JUEGO DE LIMAS")</f>
        <v>JUEGO DE LIMAS</v>
      </c>
      <c r="I866" s="213" t="str">
        <f>IFERROR(__xludf.DUMMYFUNCTION("""COMPUTED_VALUE"""),"El juego de limas está compuesto de:
-       Lima de basto entre finas
-       Limas planas (bastarda)
-       Limas media caña
-       Limas redondas
-       Limas cuadradas
-       Limas triangulares")</f>
        <v>El juego de limas está compuesto de:
-       Lima de basto entre finas
-       Limas planas (bastarda)
-       Limas media caña
-       Limas redondas
-       Limas cuadradas
-       Limas triangulares</v>
      </c>
      <c r="J866" s="213">
        <f>IFERROR(__xludf.DUMMYFUNCTION("""COMPUTED_VALUE"""),3.0)</f>
        <v>3</v>
      </c>
      <c r="K866" s="213" t="str">
        <f>IFERROR(__xludf.DUMMYFUNCTION("""COMPUTED_VALUE"""),"90 DÍAS CALENDARIO")</f>
        <v>90 DÍAS CALENDARIO</v>
      </c>
      <c r="L866" s="213" t="str">
        <f>IFERROR(__xludf.DUMMYFUNCTION("""COMPUTED_VALUE"""),"")</f>
        <v/>
      </c>
      <c r="M866" s="213">
        <f>IFERROR(__xludf.DUMMYFUNCTION("""COMPUTED_VALUE"""),1.0)</f>
        <v>1</v>
      </c>
      <c r="N866" s="213">
        <f>IFERROR(__xludf.DUMMYFUNCTION("""COMPUTED_VALUE"""),5.0)</f>
        <v>5</v>
      </c>
      <c r="O866" s="213">
        <f>IFERROR(__xludf.DUMMYFUNCTION("""COMPUTED_VALUE"""),5.0)</f>
        <v>5</v>
      </c>
      <c r="P866" s="213"/>
      <c r="Q866" s="213"/>
      <c r="R866" s="213" t="str">
        <f>IFERROR(__xludf.DUMMYFUNCTION("""COMPUTED_VALUE"""),"SI")</f>
        <v>SI</v>
      </c>
      <c r="S866" s="213"/>
      <c r="T866" s="213" t="str">
        <f>IFERROR(__xludf.DUMMYFUNCTION("""COMPUTED_VALUE"""),"SI")</f>
        <v>SI</v>
      </c>
      <c r="U866" s="213" t="str">
        <f>IFERROR(__xludf.DUMMYFUNCTION("""COMPUTED_VALUE"""),"SI")</f>
        <v>SI</v>
      </c>
      <c r="V866" s="213" t="str">
        <f>IFERROR(__xludf.DUMMYFUNCTION("""COMPUTED_VALUE"""),"-")</f>
        <v>-</v>
      </c>
      <c r="W866" s="213" t="str">
        <f>IFERROR(__xludf.DUMMYFUNCTION("""COMPUTED_VALUE"""),"-")</f>
        <v>-</v>
      </c>
      <c r="X866" s="213" t="str">
        <f>IFERROR(__xludf.DUMMYFUNCTION("""COMPUTED_VALUE"""),"IRIMO")</f>
        <v>IRIMO</v>
      </c>
      <c r="Y866" s="213" t="str">
        <f>IFERROR(__xludf.DUMMYFUNCTION("""COMPUTED_VALUE"""),"SN534501")</f>
        <v>SN534501</v>
      </c>
      <c r="Z866" s="215" t="str">
        <f>IFERROR(__xludf.DUMMYFUNCTION("""COMPUTED_VALUE"""),"https://suminca.es/producto/juego-limas-irimo/")</f>
        <v>https://suminca.es/producto/juego-limas-irimo/</v>
      </c>
      <c r="AA866" s="213" t="str">
        <f>IFERROR(__xludf.DUMMYFUNCTION("""COMPUTED_VALUE"""),"HER-145-Y JUEGO DE LIMAS - CET")</f>
        <v>HER-145-Y JUEGO DE LIMAS - CET</v>
      </c>
      <c r="AB866" s="213"/>
      <c r="AC866" s="213"/>
      <c r="AD866" s="213"/>
      <c r="AE866" s="213"/>
      <c r="AF866" s="213"/>
      <c r="AG866" s="213"/>
      <c r="AH866" s="213"/>
      <c r="AI866" s="213"/>
      <c r="AJ866" s="213"/>
      <c r="AK866" s="213"/>
      <c r="AL866" s="213"/>
      <c r="AM866" s="213"/>
      <c r="AN866" s="213"/>
      <c r="AO866" s="213"/>
      <c r="AP866" s="213" t="str">
        <f>IFERROR(__xludf.DUMMYFUNCTION("""COMPUTED_VALUE"""),"LUIS")</f>
        <v>LUIS</v>
      </c>
      <c r="AQ866" s="213"/>
      <c r="AR866" s="213"/>
      <c r="AS866" s="213"/>
      <c r="AT866" s="213"/>
      <c r="AU866" s="213"/>
      <c r="AV866" s="213"/>
      <c r="AW866" s="213"/>
      <c r="AX866" s="213"/>
      <c r="AY866" s="213"/>
      <c r="AZ866" s="213"/>
      <c r="BA866" s="213"/>
      <c r="BB866" s="213"/>
      <c r="BC866" s="213"/>
      <c r="BD866" s="213"/>
    </row>
    <row r="867">
      <c r="A867" s="213">
        <f>IFERROR(__xludf.DUMMYFUNCTION("""COMPUTED_VALUE"""),2633.0)</f>
        <v>2633</v>
      </c>
      <c r="B867" s="213" t="str">
        <f>IFERROR(__xludf.DUMMYFUNCTION("""COMPUTED_VALUE"""),"MANUEL ANTONIO MESONES MURO")</f>
        <v>MANUEL ANTONIO MESONES MURO</v>
      </c>
      <c r="C867" s="213" t="str">
        <f>IFERROR(__xludf.DUMMYFUNCTION("""COMPUTED_VALUE"""),"TALLER SFT DE EBANISTERÍA")</f>
        <v>TALLER SFT DE EBANISTERÍA</v>
      </c>
      <c r="D867" s="213" t="str">
        <f>IFERROR(__xludf.DUMMYFUNCTION("""COMPUTED_VALUE"""),"TICS")</f>
        <v>TICS</v>
      </c>
      <c r="E867" s="213" t="str">
        <f>IFERROR(__xludf.DUMMYFUNCTION("""COMPUTED_VALUE"""),"TEC-111")</f>
        <v>TEC-111</v>
      </c>
      <c r="F867" s="213" t="str">
        <f>IFERROR(__xludf.DUMMYFUNCTION("""COMPUTED_VALUE"""),"TEC-111-X")</f>
        <v>TEC-111-X</v>
      </c>
      <c r="G867" s="213"/>
      <c r="H867" s="213" t="str">
        <f>IFERROR(__xludf.DUMMYFUNCTION("""COMPUTED_VALUE"""),"IMPRESORA MULTIFUNCIONAL")</f>
        <v>IMPRESORA MULTIFUNCIONAL</v>
      </c>
      <c r="I867" s="213" t="str">
        <f>IFERROR(__xludf.DUMMYFUNCTION("""COMPUTED_VALUE"""),"TECNOLOGÍA: IMPRIME, ESCANEA, COPIA PANTALLA TACTIL: LCD a color
TAMAÑO DE HOJAS A SOPORTAR: A4, A3
CATEGORÍA Tanque de Tinta TIPO: Color
ADF DUPLEX: Si
VELOCIDAD DE IMPRESIÓN: Mínimo Negro 32 ppm - Color 20 ppm FORMATO DE ESCANEO: PDF, JPEG o TIFF o PNG "&amp;"CONECTIVIDAD USB: USB 2.0
CONECTIVIDAD INALÁMBRICA: Sí RESOLUCIÓN DE IMPRESIÓN: 4800 X 1200 DPI
PLATAFORMA DE TRABAJO: Windows 8 o superior CAPACIDAD DE ENTRADA DE PAPEL: 100 hojas o superior
ACCESORIOS: 01 Cable de poder, 01 Manual y 01 Juego de tintas p"&amp;"ara la impresora. FUENTE DE PODER 220VAC /60 HZ
CERTIFICADO Energy STAR y/o CE y/o FCC y/o RoHS. GARANTÍA Minimo 1 año de garantia")</f>
        <v>TECNOLOGÍA: IMPRIME, ESCANEA, COPIA PANTALLA TACTIL: LCD a color
TAMAÑO DE HOJAS A SOPORTAR: A4, A3
CATEGORÍA Tanque de Tinta TIPO: Color
ADF DUPLEX: Si
VELOCIDAD DE IMPRESIÓN: Mínimo Negro 32 ppm - Color 20 ppm FORMATO DE ESCANEO: PDF, JPEG o TIFF o PNG CONECTIVIDAD USB: USB 2.0
CONECTIVIDAD INALÁMBRICA: Sí RESOLUCIÓN DE IMPRESIÓN: 4800 X 1200 DPI
PLATAFORMA DE TRABAJO: Windows 8 o superior CAPACIDAD DE ENTRADA DE PAPEL: 100 hojas o superior
ACCESORIOS: 01 Cable de poder, 01 Manual y 01 Juego de tintas para la impresora. FUENTE DE PODER 220VAC /60 HZ
CERTIFICADO Energy STAR y/o CE y/o FCC y/o RoHS. GARANTÍA Minimo 1 año de garantia</v>
      </c>
      <c r="J867" s="213">
        <f>IFERROR(__xludf.DUMMYFUNCTION("""COMPUTED_VALUE"""),3.0)</f>
        <v>3</v>
      </c>
      <c r="K867" s="213" t="str">
        <f>IFERROR(__xludf.DUMMYFUNCTION("""COMPUTED_VALUE"""),"170 DÍAS CALENDARIO")</f>
        <v>170 DÍAS CALENDARIO</v>
      </c>
      <c r="L867" s="213" t="str">
        <f>IFERROR(__xludf.DUMMYFUNCTION("""COMPUTED_VALUE"""),"MECÁNICA AUTOMOTRÍZ, COCINA Y REPOSTERÍA, COMPUTACIÓN E INFORMÁTICA, EBANISTERÍA, ELECTRÓNICA, INDUSTRIA DEL VESTIDO")</f>
        <v>MECÁNICA AUTOMOTRÍZ, COCINA Y REPOSTERÍA, COMPUTACIÓN E INFORMÁTICA, EBANISTERÍA, ELECTRÓNICA, INDUSTRIA DEL VESTIDO</v>
      </c>
      <c r="M867" s="213">
        <f>IFERROR(__xludf.DUMMYFUNCTION("""COMPUTED_VALUE"""),1.0)</f>
        <v>1</v>
      </c>
      <c r="N867" s="213">
        <f>IFERROR(__xludf.DUMMYFUNCTION("""COMPUTED_VALUE"""),1.0)</f>
        <v>1</v>
      </c>
      <c r="O867" s="213">
        <f>IFERROR(__xludf.DUMMYFUNCTION("""COMPUTED_VALUE"""),1.0)</f>
        <v>1</v>
      </c>
      <c r="P867" s="213"/>
      <c r="Q867" s="213"/>
      <c r="R867" s="213"/>
      <c r="S867" s="213"/>
      <c r="T867" s="213" t="str">
        <f>IFERROR(__xludf.DUMMYFUNCTION("""COMPUTED_VALUE"""),"SI")</f>
        <v>SI</v>
      </c>
      <c r="U867" s="213" t="str">
        <f>IFERROR(__xludf.DUMMYFUNCTION("""COMPUTED_VALUE"""),"SI")</f>
        <v>SI</v>
      </c>
      <c r="V867" s="213" t="str">
        <f>IFERROR(__xludf.DUMMYFUNCTION("""COMPUTED_VALUE"""),"-")</f>
        <v>-</v>
      </c>
      <c r="W867" s="213" t="str">
        <f>IFERROR(__xludf.DUMMYFUNCTION("""COMPUTED_VALUE"""),"-")</f>
        <v>-</v>
      </c>
      <c r="X867" s="213" t="str">
        <f>IFERROR(__xludf.DUMMYFUNCTION("""COMPUTED_VALUE"""),"BROTHER ")</f>
        <v>BROTHER </v>
      </c>
      <c r="Y867" s="213" t="str">
        <f>IFERROR(__xludf.DUMMYFUNCTION("""COMPUTED_VALUE"""),"MFC-T4500DW")</f>
        <v>MFC-T4500DW</v>
      </c>
      <c r="Z867" s="215" t="str">
        <f>IFERROR(__xludf.DUMMYFUNCTION("""COMPUTED_VALUE"""),"https://www.brother.com.pe/products/mfct4500dw")</f>
        <v>https://www.brother.com.pe/products/mfct4500dw</v>
      </c>
      <c r="AA867" s="213" t="str">
        <f>IFERROR(__xludf.DUMMYFUNCTION("""COMPUTED_VALUE"""),"TEC-111-A IMPRESORA MULTIFUNCIONAL - CET")</f>
        <v>TEC-111-A IMPRESORA MULTIFUNCIONAL - CET</v>
      </c>
      <c r="AB867" s="213"/>
      <c r="AC867" s="213"/>
      <c r="AD867" s="213"/>
      <c r="AE867" s="213"/>
      <c r="AF867" s="213"/>
      <c r="AG867" s="213"/>
      <c r="AH867" s="213"/>
      <c r="AI867" s="213"/>
      <c r="AJ867" s="213"/>
      <c r="AK867" s="213"/>
      <c r="AL867" s="213"/>
      <c r="AM867" s="213"/>
      <c r="AN867" s="213"/>
      <c r="AO867" s="213"/>
      <c r="AP867" s="213" t="str">
        <f>IFERROR(__xludf.DUMMYFUNCTION("""COMPUTED_VALUE"""),"NALDI")</f>
        <v>NALDI</v>
      </c>
      <c r="AQ867" s="213"/>
      <c r="AR867" s="213"/>
      <c r="AS867" s="213"/>
      <c r="AT867" s="213"/>
      <c r="AU867" s="213"/>
      <c r="AV867" s="213"/>
      <c r="AW867" s="213"/>
      <c r="AX867" s="213"/>
      <c r="AY867" s="213"/>
      <c r="AZ867" s="213"/>
      <c r="BA867" s="213"/>
      <c r="BB867" s="213"/>
      <c r="BC867" s="213"/>
      <c r="BD867" s="213"/>
    </row>
    <row r="868">
      <c r="A868" s="213">
        <f>IFERROR(__xludf.DUMMYFUNCTION("""COMPUTED_VALUE"""),274.0)</f>
        <v>274</v>
      </c>
      <c r="B868" s="213" t="str">
        <f>IFERROR(__xludf.DUMMYFUNCTION("""COMPUTED_VALUE"""),"2026 SIMON BOLIVAR")</f>
        <v>2026 SIMON BOLIVAR</v>
      </c>
      <c r="C868" s="213" t="str">
        <f>IFERROR(__xludf.DUMMYFUNCTION("""COMPUTED_VALUE"""),"TALLER SFT DE COMPUTACIÓN E INFORMÁTICA")</f>
        <v>TALLER SFT DE COMPUTACIÓN E INFORMÁTICA</v>
      </c>
      <c r="D868" s="213" t="str">
        <f>IFERROR(__xludf.DUMMYFUNCTION("""COMPUTED_VALUE"""),"EQUIPOS")</f>
        <v>EQUIPOS</v>
      </c>
      <c r="E868" s="213" t="str">
        <f>IFERROR(__xludf.DUMMYFUNCTION("""COMPUTED_VALUE"""),"ESP-191")</f>
        <v>ESP-191</v>
      </c>
      <c r="F868" s="213" t="str">
        <f>IFERROR(__xludf.DUMMYFUNCTION("""COMPUTED_VALUE"""),"ESP-191")</f>
        <v>ESP-191</v>
      </c>
      <c r="G868" s="213"/>
      <c r="H868" s="213" t="str">
        <f>IFERROR(__xludf.DUMMYFUNCTION("""COMPUTED_VALUE"""),"IMPRESORA PARA SUBLIMACIÓN")</f>
        <v>IMPRESORA PARA SUBLIMACIÓN</v>
      </c>
      <c r="I868" s="213" t="str">
        <f>IFERROR(__xludf.DUMMYFUNCTION("""COMPUTED_VALUE"""),"·  Tecnología de impresión: inyección de tinta a color
·  Resolución máxima de impresión:  760 x 1440 dpi
·  Área máxima de impresión: desde 43""
·  Capacidad de bandeja entrada para papel hasta 100 hjs.
·  Conectividad estándar USB 2.0
·  CD con drivers "&amp;"y manuales
·  Configuración del cabezal monocromática
·  Incluye pack de 4 tintas de un litro, un pack de 100 hojas")</f>
        <v>·  Tecnología de impresión: inyección de tinta a color
·  Resolución máxima de impresión:  760 x 1440 dpi
·  Área máxima de impresión: desde 43"
·  Capacidad de bandeja entrada para papel hasta 100 hjs.
·  Conectividad estándar USB 2.0
·  CD con drivers y manuales
·  Configuración del cabezal monocromática
·  Incluye pack de 4 tintas de un litro, un pack de 100 hojas</v>
      </c>
      <c r="J868" s="213">
        <f>IFERROR(__xludf.DUMMYFUNCTION("""COMPUTED_VALUE"""),3.0)</f>
        <v>3</v>
      </c>
      <c r="K868" s="213" t="str">
        <f>IFERROR(__xludf.DUMMYFUNCTION("""COMPUTED_VALUE"""),"170 DÍAS CALENDARIO")</f>
        <v>170 DÍAS CALENDARIO</v>
      </c>
      <c r="L868" s="213" t="str">
        <f>IFERROR(__xludf.DUMMYFUNCTION("""COMPUTED_VALUE"""),"")</f>
        <v/>
      </c>
      <c r="M868" s="213">
        <f>IFERROR(__xludf.DUMMYFUNCTION("""COMPUTED_VALUE"""),1.0)</f>
        <v>1</v>
      </c>
      <c r="N868" s="213">
        <f>IFERROR(__xludf.DUMMYFUNCTION("""COMPUTED_VALUE"""),1.0)</f>
        <v>1</v>
      </c>
      <c r="O868" s="213">
        <f>IFERROR(__xludf.DUMMYFUNCTION("""COMPUTED_VALUE"""),1.0)</f>
        <v>1</v>
      </c>
      <c r="P868" s="213"/>
      <c r="Q868" s="213"/>
      <c r="R868" s="213"/>
      <c r="S868" s="213" t="str">
        <f>IFERROR(__xludf.DUMMYFUNCTION("""COMPUTED_VALUE"""),"SI")</f>
        <v>SI</v>
      </c>
      <c r="T868" s="213" t="str">
        <f>IFERROR(__xludf.DUMMYFUNCTION("""COMPUTED_VALUE"""),"SI")</f>
        <v>SI</v>
      </c>
      <c r="U868" s="213" t="str">
        <f>IFERROR(__xludf.DUMMYFUNCTION("""COMPUTED_VALUE"""),"SI")</f>
        <v>SI</v>
      </c>
      <c r="V868" s="213" t="str">
        <f>IFERROR(__xludf.DUMMYFUNCTION("""COMPUTED_VALUE"""),"-")</f>
        <v>-</v>
      </c>
      <c r="W868" s="213" t="str">
        <f>IFERROR(__xludf.DUMMYFUNCTION("""COMPUTED_VALUE"""),"-")</f>
        <v>-</v>
      </c>
      <c r="X868" s="213" t="str">
        <f>IFERROR(__xludf.DUMMYFUNCTION("""COMPUTED_VALUE"""),"EPSON")</f>
        <v>EPSON</v>
      </c>
      <c r="Y868" s="213" t="str">
        <f>IFERROR(__xludf.DUMMYFUNCTION("""COMPUTED_VALUE"""),"ECOTANK L1250")</f>
        <v>ECOTANK L1250</v>
      </c>
      <c r="Z868" s="215" t="str">
        <f>IFERROR(__xludf.DUMMYFUNCTION("""COMPUTED_VALUE"""),"https://epson.com.pe/Para-el-hogar/Impresoras/Inyecci%C3%B3n-de-tinta/Impresora-Inal%C3%A1mbrica-EcoTank-L1250/p/C11CJ71301")</f>
        <v>https://epson.com.pe/Para-el-hogar/Impresoras/Inyecci%C3%B3n-de-tinta/Impresora-Inal%C3%A1mbrica-EcoTank-L1250/p/C11CJ71301</v>
      </c>
      <c r="AA868" s="213" t="str">
        <f>IFERROR(__xludf.DUMMYFUNCTION("""COMPUTED_VALUE"""),"ESP-191 IMPRESORA PARA SUBLIMACIÓN - CET")</f>
        <v>ESP-191 IMPRESORA PARA SUBLIMACIÓN - CET</v>
      </c>
      <c r="AB868" s="215" t="str">
        <f>IFERROR(__xludf.DUMMYFUNCTION("""COMPUTED_VALUE"""),"https://drive.google.com/file/d/1so_iDBRrW0VjSjZe9apP0NvD8i9VGKh9/view?usp=sharing")</f>
        <v>https://drive.google.com/file/d/1so_iDBRrW0VjSjZe9apP0NvD8i9VGKh9/view?usp=sharing</v>
      </c>
      <c r="AC868" s="213"/>
      <c r="AD868" s="213"/>
      <c r="AE868" s="213"/>
      <c r="AF868" s="213"/>
      <c r="AG868" s="213"/>
      <c r="AH868" s="213"/>
      <c r="AI868" s="213"/>
      <c r="AJ868" s="213"/>
      <c r="AK868" s="213"/>
      <c r="AL868" s="213"/>
      <c r="AM868" s="213"/>
      <c r="AN868" s="213"/>
      <c r="AO868" s="213"/>
      <c r="AP868" s="213" t="str">
        <f>IFERROR(__xludf.DUMMYFUNCTION("""COMPUTED_VALUE"""),"MICHEL")</f>
        <v>MICHEL</v>
      </c>
      <c r="AQ868" s="213"/>
      <c r="AR868" s="213"/>
      <c r="AS868" s="217" t="str">
        <f>IFERROR(__xludf.DUMMYFUNCTION("""COMPUTED_VALUE"""),"Juego de 4 tintas de 1 L, pack de 100 hojas")</f>
        <v>Juego de 4 tintas de 1 L, pack de 100 hojas</v>
      </c>
      <c r="AT868" s="220" t="str">
        <f>IFERROR(__xludf.DUMMYFUNCTION("""COMPUTED_VALUE"""),"https://www.tiendaimex.com/inicio/70-tintas-de-sublimacion-koreana-standar-.html#/42-color-cyan
https://www.tiendaimex.com/inicio/70-tintas-de-sublimacion-koreana-standar-.html#/44-color-yellow
https://www.tiendaimex.com/inicio/70-tintas-de-sublimacion-ko"&amp;"reana-standar-.html#/43-color-magenta
https://www.tiendaimex.com/inicio/70-tintas-de-sublimacion-koreana-standar-.html#/45-color-black
https://www.tiendaimex.com/inicio/55-papel-de-sublimacion.html#/34-formato-a4")</f>
        <v>https://www.tiendaimex.com/inicio/70-tintas-de-sublimacion-koreana-standar-.html#/42-color-cyan
https://www.tiendaimex.com/inicio/70-tintas-de-sublimacion-koreana-standar-.html#/44-color-yellow
https://www.tiendaimex.com/inicio/70-tintas-de-sublimacion-koreana-standar-.html#/43-color-magenta
https://www.tiendaimex.com/inicio/70-tintas-de-sublimacion-koreana-standar-.html#/45-color-black
https://www.tiendaimex.com/inicio/55-papel-de-sublimacion.html#/34-formato-a4</v>
      </c>
      <c r="AU868" s="213"/>
      <c r="AV868" s="213"/>
      <c r="AW868" s="213"/>
      <c r="AX868" s="213"/>
      <c r="AY868" s="213"/>
      <c r="AZ868" s="213"/>
      <c r="BA868" s="213"/>
      <c r="BB868" s="213"/>
      <c r="BC868" s="213"/>
      <c r="BD868" s="213"/>
    </row>
    <row r="869">
      <c r="A869" s="213">
        <f>IFERROR(__xludf.DUMMYFUNCTION("""COMPUTED_VALUE"""),759.0)</f>
        <v>759</v>
      </c>
      <c r="B869" s="213" t="str">
        <f>IFERROR(__xludf.DUMMYFUNCTION("""COMPUTED_VALUE"""),"6049 RICARDO PALMA")</f>
        <v>6049 RICARDO PALMA</v>
      </c>
      <c r="C869" s="213" t="str">
        <f>IFERROR(__xludf.DUMMYFUNCTION("""COMPUTED_VALUE"""),"TALLER SFT DE COMPUTACIÓN E INFORMÁTICA")</f>
        <v>TALLER SFT DE COMPUTACIÓN E INFORMÁTICA</v>
      </c>
      <c r="D869" s="213" t="str">
        <f>IFERROR(__xludf.DUMMYFUNCTION("""COMPUTED_VALUE"""),"EQUIPOS")</f>
        <v>EQUIPOS</v>
      </c>
      <c r="E869" s="213" t="str">
        <f>IFERROR(__xludf.DUMMYFUNCTION("""COMPUTED_VALUE"""),"ESP-191")</f>
        <v>ESP-191</v>
      </c>
      <c r="F869" s="213" t="str">
        <f>IFERROR(__xludf.DUMMYFUNCTION("""COMPUTED_VALUE"""),"ESP-191")</f>
        <v>ESP-191</v>
      </c>
      <c r="G869" s="213"/>
      <c r="H869" s="213" t="str">
        <f>IFERROR(__xludf.DUMMYFUNCTION("""COMPUTED_VALUE"""),"IMPRESORA PARA SUBLIMACIÓN")</f>
        <v>IMPRESORA PARA SUBLIMACIÓN</v>
      </c>
      <c r="I869" s="213" t="str">
        <f>IFERROR(__xludf.DUMMYFUNCTION("""COMPUTED_VALUE"""),"·  Tecnología de impresión: inyección de tinta a color
·  Resolución máxima de impresión:  760 x 1440 dpi
·  Área máxima de impresión: desde 43""
·  Capacidad de bandeja entrada para papel hasta 100 hjs.
·  Conectividad estándar USB 2.0
·  CD con drivers "&amp;"y manuales
·  Configuración del cabezal monocromática
·  Incluye pack de 4 tintas de un litro, un pack de 100 hojas")</f>
        <v>·  Tecnología de impresión: inyección de tinta a color
·  Resolución máxima de impresión:  760 x 1440 dpi
·  Área máxima de impresión: desde 43"
·  Capacidad de bandeja entrada para papel hasta 100 hjs.
·  Conectividad estándar USB 2.0
·  CD con drivers y manuales
·  Configuración del cabezal monocromática
·  Incluye pack de 4 tintas de un litro, un pack de 100 hojas</v>
      </c>
      <c r="J869" s="213">
        <f>IFERROR(__xludf.DUMMYFUNCTION("""COMPUTED_VALUE"""),3.0)</f>
        <v>3</v>
      </c>
      <c r="K869" s="213" t="str">
        <f>IFERROR(__xludf.DUMMYFUNCTION("""COMPUTED_VALUE"""),"170 DÍAS CALENDARIO")</f>
        <v>170 DÍAS CALENDARIO</v>
      </c>
      <c r="L869" s="213" t="str">
        <f>IFERROR(__xludf.DUMMYFUNCTION("""COMPUTED_VALUE"""),"")</f>
        <v/>
      </c>
      <c r="M869" s="213">
        <f>IFERROR(__xludf.DUMMYFUNCTION("""COMPUTED_VALUE"""),1.0)</f>
        <v>1</v>
      </c>
      <c r="N869" s="213">
        <f>IFERROR(__xludf.DUMMYFUNCTION("""COMPUTED_VALUE"""),1.0)</f>
        <v>1</v>
      </c>
      <c r="O869" s="213">
        <f>IFERROR(__xludf.DUMMYFUNCTION("""COMPUTED_VALUE"""),1.0)</f>
        <v>1</v>
      </c>
      <c r="P869" s="213"/>
      <c r="Q869" s="213"/>
      <c r="R869" s="213"/>
      <c r="S869" s="213" t="str">
        <f>IFERROR(__xludf.DUMMYFUNCTION("""COMPUTED_VALUE"""),"SI")</f>
        <v>SI</v>
      </c>
      <c r="T869" s="213" t="str">
        <f>IFERROR(__xludf.DUMMYFUNCTION("""COMPUTED_VALUE"""),"SI")</f>
        <v>SI</v>
      </c>
      <c r="U869" s="213" t="str">
        <f>IFERROR(__xludf.DUMMYFUNCTION("""COMPUTED_VALUE"""),"SI")</f>
        <v>SI</v>
      </c>
      <c r="V869" s="213" t="str">
        <f>IFERROR(__xludf.DUMMYFUNCTION("""COMPUTED_VALUE"""),"-")</f>
        <v>-</v>
      </c>
      <c r="W869" s="213" t="str">
        <f>IFERROR(__xludf.DUMMYFUNCTION("""COMPUTED_VALUE"""),"-")</f>
        <v>-</v>
      </c>
      <c r="X869" s="213" t="str">
        <f>IFERROR(__xludf.DUMMYFUNCTION("""COMPUTED_VALUE"""),"EPSON")</f>
        <v>EPSON</v>
      </c>
      <c r="Y869" s="213" t="str">
        <f>IFERROR(__xludf.DUMMYFUNCTION("""COMPUTED_VALUE"""),"ECOTANK L1250")</f>
        <v>ECOTANK L1250</v>
      </c>
      <c r="Z869" s="215" t="str">
        <f>IFERROR(__xludf.DUMMYFUNCTION("""COMPUTED_VALUE"""),"https://epson.com.pe/Para-el-hogar/Impresoras/Inyecci%C3%B3n-de-tinta/Impresora-Inal%C3%A1mbrica-EcoTank-L1250/p/C11CJ71301")</f>
        <v>https://epson.com.pe/Para-el-hogar/Impresoras/Inyecci%C3%B3n-de-tinta/Impresora-Inal%C3%A1mbrica-EcoTank-L1250/p/C11CJ71301</v>
      </c>
      <c r="AA869" s="213" t="str">
        <f>IFERROR(__xludf.DUMMYFUNCTION("""COMPUTED_VALUE"""),"ESP-191 IMPRESORA PARA SUBLIMACIÓN - CET")</f>
        <v>ESP-191 IMPRESORA PARA SUBLIMACIÓN - CET</v>
      </c>
      <c r="AB869" s="215" t="str">
        <f>IFERROR(__xludf.DUMMYFUNCTION("""COMPUTED_VALUE"""),"https://drive.google.com/file/d/1so_iDBRrW0VjSjZe9apP0NvD8i9VGKh9/view?usp=sharing")</f>
        <v>https://drive.google.com/file/d/1so_iDBRrW0VjSjZe9apP0NvD8i9VGKh9/view?usp=sharing</v>
      </c>
      <c r="AC869" s="213"/>
      <c r="AD869" s="213"/>
      <c r="AE869" s="213"/>
      <c r="AF869" s="213"/>
      <c r="AG869" s="213"/>
      <c r="AH869" s="213"/>
      <c r="AI869" s="213"/>
      <c r="AJ869" s="213"/>
      <c r="AK869" s="213"/>
      <c r="AL869" s="213"/>
      <c r="AM869" s="213"/>
      <c r="AN869" s="213"/>
      <c r="AO869" s="213"/>
      <c r="AP869" s="213" t="str">
        <f>IFERROR(__xludf.DUMMYFUNCTION("""COMPUTED_VALUE"""),"MICHEL")</f>
        <v>MICHEL</v>
      </c>
      <c r="AQ869" s="213"/>
      <c r="AR869" s="213"/>
      <c r="AS869" s="217" t="str">
        <f>IFERROR(__xludf.DUMMYFUNCTION("""COMPUTED_VALUE"""),"Juego de 4 tintas de 1 L, pack de 100 hojas")</f>
        <v>Juego de 4 tintas de 1 L, pack de 100 hojas</v>
      </c>
      <c r="AT869" s="220" t="str">
        <f>IFERROR(__xludf.DUMMYFUNCTION("""COMPUTED_VALUE"""),"https://www.tiendaimex.com/inicio/70-tintas-de-sublimacion-koreana-standar-.html#/42-color-cyan
https://www.tiendaimex.com/inicio/70-tintas-de-sublimacion-koreana-standar-.html#/44-color-yellow
https://www.tiendaimex.com/inicio/70-tintas-de-sublimacion-ko"&amp;"reana-standar-.html#/43-color-magenta
https://www.tiendaimex.com/inicio/70-tintas-de-sublimacion-koreana-standar-.html#/45-color-black
https://www.tiendaimex.com/inicio/55-papel-de-sublimacion.html#/34-formato-a4")</f>
        <v>https://www.tiendaimex.com/inicio/70-tintas-de-sublimacion-koreana-standar-.html#/42-color-cyan
https://www.tiendaimex.com/inicio/70-tintas-de-sublimacion-koreana-standar-.html#/44-color-yellow
https://www.tiendaimex.com/inicio/70-tintas-de-sublimacion-koreana-standar-.html#/43-color-magenta
https://www.tiendaimex.com/inicio/70-tintas-de-sublimacion-koreana-standar-.html#/45-color-black
https://www.tiendaimex.com/inicio/55-papel-de-sublimacion.html#/34-formato-a4</v>
      </c>
      <c r="AU869" s="213"/>
      <c r="AV869" s="213"/>
      <c r="AW869" s="213"/>
      <c r="AX869" s="213"/>
      <c r="AY869" s="213"/>
      <c r="AZ869" s="213"/>
      <c r="BA869" s="213"/>
      <c r="BB869" s="213"/>
      <c r="BC869" s="213"/>
      <c r="BD869" s="213"/>
    </row>
    <row r="870">
      <c r="A870" s="213">
        <f>IFERROR(__xludf.DUMMYFUNCTION("""COMPUTED_VALUE"""),1697.0)</f>
        <v>1697</v>
      </c>
      <c r="B870" s="213" t="str">
        <f>IFERROR(__xludf.DUMMYFUNCTION("""COMPUTED_VALUE"""),"GUILLERMO E. BILLINGHURST ")</f>
        <v>GUILLERMO E. BILLINGHURST </v>
      </c>
      <c r="C870" s="213" t="str">
        <f>IFERROR(__xludf.DUMMYFUNCTION("""COMPUTED_VALUE"""),"TALLER SFT DE COMPUTACIÓN E INFORMÁTICA")</f>
        <v>TALLER SFT DE COMPUTACIÓN E INFORMÁTICA</v>
      </c>
      <c r="D870" s="213" t="str">
        <f>IFERROR(__xludf.DUMMYFUNCTION("""COMPUTED_VALUE"""),"EQUIPOS")</f>
        <v>EQUIPOS</v>
      </c>
      <c r="E870" s="213" t="str">
        <f>IFERROR(__xludf.DUMMYFUNCTION("""COMPUTED_VALUE"""),"ESP-191")</f>
        <v>ESP-191</v>
      </c>
      <c r="F870" s="213" t="str">
        <f>IFERROR(__xludf.DUMMYFUNCTION("""COMPUTED_VALUE"""),"ESP-191")</f>
        <v>ESP-191</v>
      </c>
      <c r="G870" s="213"/>
      <c r="H870" s="213" t="str">
        <f>IFERROR(__xludf.DUMMYFUNCTION("""COMPUTED_VALUE"""),"IMPRESORA PARA SUBLIMACIÓN")</f>
        <v>IMPRESORA PARA SUBLIMACIÓN</v>
      </c>
      <c r="I870" s="213" t="str">
        <f>IFERROR(__xludf.DUMMYFUNCTION("""COMPUTED_VALUE"""),"·  Tecnología de impresión: inyección de tinta a color
·  Resolución máxima de impresión:  760 x 1440 dpi
·  Área máxima de impresión: desde 43""
·  Capacidad de bandeja entrada para papel hasta 100 hjs.
·  Conectividad estándar USB 2.0
·  CD con drivers "&amp;"y manuales
·  Configuración del cabezal monocromática
·  Incluye pack de 4 tintas de un litro, un pack de 100 hojas")</f>
        <v>·  Tecnología de impresión: inyección de tinta a color
·  Resolución máxima de impresión:  760 x 1440 dpi
·  Área máxima de impresión: desde 43"
·  Capacidad de bandeja entrada para papel hasta 100 hjs.
·  Conectividad estándar USB 2.0
·  CD con drivers y manuales
·  Configuración del cabezal monocromática
·  Incluye pack de 4 tintas de un litro, un pack de 100 hojas</v>
      </c>
      <c r="J870" s="213">
        <f>IFERROR(__xludf.DUMMYFUNCTION("""COMPUTED_VALUE"""),3.0)</f>
        <v>3</v>
      </c>
      <c r="K870" s="213" t="str">
        <f>IFERROR(__xludf.DUMMYFUNCTION("""COMPUTED_VALUE"""),"170 DÍAS CALENDARIO")</f>
        <v>170 DÍAS CALENDARIO</v>
      </c>
      <c r="L870" s="213" t="str">
        <f>IFERROR(__xludf.DUMMYFUNCTION("""COMPUTED_VALUE"""),"")</f>
        <v/>
      </c>
      <c r="M870" s="213">
        <f>IFERROR(__xludf.DUMMYFUNCTION("""COMPUTED_VALUE"""),1.0)</f>
        <v>1</v>
      </c>
      <c r="N870" s="213">
        <f>IFERROR(__xludf.DUMMYFUNCTION("""COMPUTED_VALUE"""),1.0)</f>
        <v>1</v>
      </c>
      <c r="O870" s="213">
        <f>IFERROR(__xludf.DUMMYFUNCTION("""COMPUTED_VALUE"""),1.0)</f>
        <v>1</v>
      </c>
      <c r="P870" s="213"/>
      <c r="Q870" s="213"/>
      <c r="R870" s="213"/>
      <c r="S870" s="213" t="str">
        <f>IFERROR(__xludf.DUMMYFUNCTION("""COMPUTED_VALUE"""),"SI")</f>
        <v>SI</v>
      </c>
      <c r="T870" s="213" t="str">
        <f>IFERROR(__xludf.DUMMYFUNCTION("""COMPUTED_VALUE"""),"SI")</f>
        <v>SI</v>
      </c>
      <c r="U870" s="213" t="str">
        <f>IFERROR(__xludf.DUMMYFUNCTION("""COMPUTED_VALUE"""),"SI")</f>
        <v>SI</v>
      </c>
      <c r="V870" s="213" t="str">
        <f>IFERROR(__xludf.DUMMYFUNCTION("""COMPUTED_VALUE"""),"-")</f>
        <v>-</v>
      </c>
      <c r="W870" s="213" t="str">
        <f>IFERROR(__xludf.DUMMYFUNCTION("""COMPUTED_VALUE"""),"-")</f>
        <v>-</v>
      </c>
      <c r="X870" s="213" t="str">
        <f>IFERROR(__xludf.DUMMYFUNCTION("""COMPUTED_VALUE"""),"EPSON")</f>
        <v>EPSON</v>
      </c>
      <c r="Y870" s="213" t="str">
        <f>IFERROR(__xludf.DUMMYFUNCTION("""COMPUTED_VALUE"""),"ECOTANK L1250")</f>
        <v>ECOTANK L1250</v>
      </c>
      <c r="Z870" s="215" t="str">
        <f>IFERROR(__xludf.DUMMYFUNCTION("""COMPUTED_VALUE"""),"https://epson.com.pe/Para-el-hogar/Impresoras/Inyecci%C3%B3n-de-tinta/Impresora-Inal%C3%A1mbrica-EcoTank-L1250/p/C11CJ71301")</f>
        <v>https://epson.com.pe/Para-el-hogar/Impresoras/Inyecci%C3%B3n-de-tinta/Impresora-Inal%C3%A1mbrica-EcoTank-L1250/p/C11CJ71301</v>
      </c>
      <c r="AA870" s="213" t="str">
        <f>IFERROR(__xludf.DUMMYFUNCTION("""COMPUTED_VALUE"""),"ESP-191 IMPRESORA PARA SUBLIMACIÓN - CET")</f>
        <v>ESP-191 IMPRESORA PARA SUBLIMACIÓN - CET</v>
      </c>
      <c r="AB870" s="215" t="str">
        <f>IFERROR(__xludf.DUMMYFUNCTION("""COMPUTED_VALUE"""),"https://drive.google.com/file/d/1so_iDBRrW0VjSjZe9apP0NvD8i9VGKh9/view?usp=sharing")</f>
        <v>https://drive.google.com/file/d/1so_iDBRrW0VjSjZe9apP0NvD8i9VGKh9/view?usp=sharing</v>
      </c>
      <c r="AC870" s="213"/>
      <c r="AD870" s="213"/>
      <c r="AE870" s="213"/>
      <c r="AF870" s="213"/>
      <c r="AG870" s="213"/>
      <c r="AH870" s="213"/>
      <c r="AI870" s="213"/>
      <c r="AJ870" s="213"/>
      <c r="AK870" s="213"/>
      <c r="AL870" s="213"/>
      <c r="AM870" s="213"/>
      <c r="AN870" s="213"/>
      <c r="AO870" s="213"/>
      <c r="AP870" s="213" t="str">
        <f>IFERROR(__xludf.DUMMYFUNCTION("""COMPUTED_VALUE"""),"MICHEL")</f>
        <v>MICHEL</v>
      </c>
      <c r="AQ870" s="213"/>
      <c r="AR870" s="213"/>
      <c r="AS870" s="217" t="str">
        <f>IFERROR(__xludf.DUMMYFUNCTION("""COMPUTED_VALUE"""),"Juego de 4 tintas de 1 L, pack de 100 hojas")</f>
        <v>Juego de 4 tintas de 1 L, pack de 100 hojas</v>
      </c>
      <c r="AT870" s="220" t="str">
        <f>IFERROR(__xludf.DUMMYFUNCTION("""COMPUTED_VALUE"""),"https://www.tiendaimex.com/inicio/70-tintas-de-sublimacion-koreana-standar-.html#/42-color-cyan
https://www.tiendaimex.com/inicio/70-tintas-de-sublimacion-koreana-standar-.html#/44-color-yellow
https://www.tiendaimex.com/inicio/70-tintas-de-sublimacion-ko"&amp;"reana-standar-.html#/43-color-magenta
https://www.tiendaimex.com/inicio/70-tintas-de-sublimacion-koreana-standar-.html#/45-color-black
https://www.tiendaimex.com/inicio/55-papel-de-sublimacion.html#/34-formato-a4")</f>
        <v>https://www.tiendaimex.com/inicio/70-tintas-de-sublimacion-koreana-standar-.html#/42-color-cyan
https://www.tiendaimex.com/inicio/70-tintas-de-sublimacion-koreana-standar-.html#/44-color-yellow
https://www.tiendaimex.com/inicio/70-tintas-de-sublimacion-koreana-standar-.html#/43-color-magenta
https://www.tiendaimex.com/inicio/70-tintas-de-sublimacion-koreana-standar-.html#/45-color-black
https://www.tiendaimex.com/inicio/55-papel-de-sublimacion.html#/34-formato-a4</v>
      </c>
      <c r="AU870" s="213"/>
      <c r="AV870" s="213"/>
      <c r="AW870" s="213"/>
      <c r="AX870" s="213"/>
      <c r="AY870" s="213"/>
      <c r="AZ870" s="213"/>
      <c r="BA870" s="213"/>
      <c r="BB870" s="213"/>
      <c r="BC870" s="213"/>
      <c r="BD870" s="213"/>
    </row>
    <row r="871">
      <c r="A871" s="213">
        <f>IFERROR(__xludf.DUMMYFUNCTION("""COMPUTED_VALUE"""),1949.0)</f>
        <v>1949</v>
      </c>
      <c r="B871" s="213" t="str">
        <f>IFERROR(__xludf.DUMMYFUNCTION("""COMPUTED_VALUE"""),"JOSE GRANDA")</f>
        <v>JOSE GRANDA</v>
      </c>
      <c r="C871" s="213" t="str">
        <f>IFERROR(__xludf.DUMMYFUNCTION("""COMPUTED_VALUE"""),"TALLER SFT DE COMPUTACIÓN E INFORMÁTICA")</f>
        <v>TALLER SFT DE COMPUTACIÓN E INFORMÁTICA</v>
      </c>
      <c r="D871" s="213" t="str">
        <f>IFERROR(__xludf.DUMMYFUNCTION("""COMPUTED_VALUE"""),"EQUIPOS")</f>
        <v>EQUIPOS</v>
      </c>
      <c r="E871" s="213" t="str">
        <f>IFERROR(__xludf.DUMMYFUNCTION("""COMPUTED_VALUE"""),"ESP-191")</f>
        <v>ESP-191</v>
      </c>
      <c r="F871" s="213" t="str">
        <f>IFERROR(__xludf.DUMMYFUNCTION("""COMPUTED_VALUE"""),"ESP-191")</f>
        <v>ESP-191</v>
      </c>
      <c r="G871" s="213"/>
      <c r="H871" s="213" t="str">
        <f>IFERROR(__xludf.DUMMYFUNCTION("""COMPUTED_VALUE"""),"IMPRESORA PARA SUBLIMACIÓN")</f>
        <v>IMPRESORA PARA SUBLIMACIÓN</v>
      </c>
      <c r="I871" s="213" t="str">
        <f>IFERROR(__xludf.DUMMYFUNCTION("""COMPUTED_VALUE"""),"·  Tecnología de impresión: inyección de tinta a color
·  Resolución máxima de impresión:  760 x 1440 dpi
·  Área máxima de impresión: desde 43""
·  Capacidad de bandeja entrada para papel hasta 100 hjs.
·  Conectividad estándar USB 2.0
·  CD con drivers "&amp;"y manuales
·  Configuración del cabezal monocromática
·  Incluye pack de 4 tintas de un litro, un pack de 100 hojas")</f>
        <v>·  Tecnología de impresión: inyección de tinta a color
·  Resolución máxima de impresión:  760 x 1440 dpi
·  Área máxima de impresión: desde 43"
·  Capacidad de bandeja entrada para papel hasta 100 hjs.
·  Conectividad estándar USB 2.0
·  CD con drivers y manuales
·  Configuración del cabezal monocromática
·  Incluye pack de 4 tintas de un litro, un pack de 100 hojas</v>
      </c>
      <c r="J871" s="213">
        <f>IFERROR(__xludf.DUMMYFUNCTION("""COMPUTED_VALUE"""),3.0)</f>
        <v>3</v>
      </c>
      <c r="K871" s="213" t="str">
        <f>IFERROR(__xludf.DUMMYFUNCTION("""COMPUTED_VALUE"""),"170 DÍAS CALENDARIO")</f>
        <v>170 DÍAS CALENDARIO</v>
      </c>
      <c r="L871" s="213" t="str">
        <f>IFERROR(__xludf.DUMMYFUNCTION("""COMPUTED_VALUE"""),"")</f>
        <v/>
      </c>
      <c r="M871" s="213">
        <f>IFERROR(__xludf.DUMMYFUNCTION("""COMPUTED_VALUE"""),1.0)</f>
        <v>1</v>
      </c>
      <c r="N871" s="213">
        <f>IFERROR(__xludf.DUMMYFUNCTION("""COMPUTED_VALUE"""),1.0)</f>
        <v>1</v>
      </c>
      <c r="O871" s="213">
        <f>IFERROR(__xludf.DUMMYFUNCTION("""COMPUTED_VALUE"""),1.0)</f>
        <v>1</v>
      </c>
      <c r="P871" s="213"/>
      <c r="Q871" s="213"/>
      <c r="R871" s="213"/>
      <c r="S871" s="213" t="str">
        <f>IFERROR(__xludf.DUMMYFUNCTION("""COMPUTED_VALUE"""),"SI")</f>
        <v>SI</v>
      </c>
      <c r="T871" s="213" t="str">
        <f>IFERROR(__xludf.DUMMYFUNCTION("""COMPUTED_VALUE"""),"SI")</f>
        <v>SI</v>
      </c>
      <c r="U871" s="213" t="str">
        <f>IFERROR(__xludf.DUMMYFUNCTION("""COMPUTED_VALUE"""),"SI")</f>
        <v>SI</v>
      </c>
      <c r="V871" s="213" t="str">
        <f>IFERROR(__xludf.DUMMYFUNCTION("""COMPUTED_VALUE"""),"-")</f>
        <v>-</v>
      </c>
      <c r="W871" s="213" t="str">
        <f>IFERROR(__xludf.DUMMYFUNCTION("""COMPUTED_VALUE"""),"-")</f>
        <v>-</v>
      </c>
      <c r="X871" s="213" t="str">
        <f>IFERROR(__xludf.DUMMYFUNCTION("""COMPUTED_VALUE"""),"EPSON")</f>
        <v>EPSON</v>
      </c>
      <c r="Y871" s="213" t="str">
        <f>IFERROR(__xludf.DUMMYFUNCTION("""COMPUTED_VALUE"""),"ECOTANK L1250")</f>
        <v>ECOTANK L1250</v>
      </c>
      <c r="Z871" s="215" t="str">
        <f>IFERROR(__xludf.DUMMYFUNCTION("""COMPUTED_VALUE"""),"https://epson.com.pe/Para-el-hogar/Impresoras/Inyecci%C3%B3n-de-tinta/Impresora-Inal%C3%A1mbrica-EcoTank-L1250/p/C11CJ71301")</f>
        <v>https://epson.com.pe/Para-el-hogar/Impresoras/Inyecci%C3%B3n-de-tinta/Impresora-Inal%C3%A1mbrica-EcoTank-L1250/p/C11CJ71301</v>
      </c>
      <c r="AA871" s="213" t="str">
        <f>IFERROR(__xludf.DUMMYFUNCTION("""COMPUTED_VALUE"""),"ESP-191 IMPRESORA PARA SUBLIMACIÓN - CET")</f>
        <v>ESP-191 IMPRESORA PARA SUBLIMACIÓN - CET</v>
      </c>
      <c r="AB871" s="215" t="str">
        <f>IFERROR(__xludf.DUMMYFUNCTION("""COMPUTED_VALUE"""),"https://drive.google.com/file/d/1so_iDBRrW0VjSjZe9apP0NvD8i9VGKh9/view?usp=sharing")</f>
        <v>https://drive.google.com/file/d/1so_iDBRrW0VjSjZe9apP0NvD8i9VGKh9/view?usp=sharing</v>
      </c>
      <c r="AC871" s="213"/>
      <c r="AD871" s="213"/>
      <c r="AE871" s="213"/>
      <c r="AF871" s="213"/>
      <c r="AG871" s="213"/>
      <c r="AH871" s="213"/>
      <c r="AI871" s="213"/>
      <c r="AJ871" s="213"/>
      <c r="AK871" s="213"/>
      <c r="AL871" s="213"/>
      <c r="AM871" s="213"/>
      <c r="AN871" s="213"/>
      <c r="AO871" s="213"/>
      <c r="AP871" s="213" t="str">
        <f>IFERROR(__xludf.DUMMYFUNCTION("""COMPUTED_VALUE"""),"MICHEL")</f>
        <v>MICHEL</v>
      </c>
      <c r="AQ871" s="213"/>
      <c r="AR871" s="213"/>
      <c r="AS871" s="217" t="str">
        <f>IFERROR(__xludf.DUMMYFUNCTION("""COMPUTED_VALUE"""),"Juego de 4 tintas de 1 L, pack de 100 hojas")</f>
        <v>Juego de 4 tintas de 1 L, pack de 100 hojas</v>
      </c>
      <c r="AT871" s="220" t="str">
        <f>IFERROR(__xludf.DUMMYFUNCTION("""COMPUTED_VALUE"""),"https://www.tiendaimex.com/inicio/70-tintas-de-sublimacion-koreana-standar-.html#/42-color-cyan
https://www.tiendaimex.com/inicio/70-tintas-de-sublimacion-koreana-standar-.html#/44-color-yellow
https://www.tiendaimex.com/inicio/70-tintas-de-sublimacion-ko"&amp;"reana-standar-.html#/43-color-magenta
https://www.tiendaimex.com/inicio/70-tintas-de-sublimacion-koreana-standar-.html#/45-color-black
https://www.tiendaimex.com/inicio/55-papel-de-sublimacion.html#/34-formato-a4")</f>
        <v>https://www.tiendaimex.com/inicio/70-tintas-de-sublimacion-koreana-standar-.html#/42-color-cyan
https://www.tiendaimex.com/inicio/70-tintas-de-sublimacion-koreana-standar-.html#/44-color-yellow
https://www.tiendaimex.com/inicio/70-tintas-de-sublimacion-koreana-standar-.html#/43-color-magenta
https://www.tiendaimex.com/inicio/70-tintas-de-sublimacion-koreana-standar-.html#/45-color-black
https://www.tiendaimex.com/inicio/55-papel-de-sublimacion.html#/34-formato-a4</v>
      </c>
      <c r="AU871" s="213"/>
      <c r="AV871" s="213"/>
      <c r="AW871" s="213"/>
      <c r="AX871" s="213"/>
      <c r="AY871" s="213"/>
      <c r="AZ871" s="213"/>
      <c r="BA871" s="213"/>
      <c r="BB871" s="213"/>
      <c r="BC871" s="213"/>
      <c r="BD871" s="213"/>
    </row>
    <row r="872">
      <c r="A872" s="213">
        <f>IFERROR(__xludf.DUMMYFUNCTION("""COMPUTED_VALUE"""),551.0)</f>
        <v>551</v>
      </c>
      <c r="B872" s="213" t="str">
        <f>IFERROR(__xludf.DUMMYFUNCTION("""COMPUTED_VALUE"""),"2026 SIMON BOLIVAR")</f>
        <v>2026 SIMON BOLIVAR</v>
      </c>
      <c r="C872" s="213" t="str">
        <f>IFERROR(__xludf.DUMMYFUNCTION("""COMPUTED_VALUE"""),"TALLER SFT DE INDUSTRIA ALIMENTARIA")</f>
        <v>TALLER SFT DE INDUSTRIA ALIMENTARIA</v>
      </c>
      <c r="D872" s="213" t="str">
        <f>IFERROR(__xludf.DUMMYFUNCTION("""COMPUTED_VALUE"""),"EQUIPOS")</f>
        <v>EQUIPOS</v>
      </c>
      <c r="E872" s="213" t="str">
        <f>IFERROR(__xludf.DUMMYFUNCTION("""COMPUTED_VALUE"""),"ESP-192")</f>
        <v>ESP-192</v>
      </c>
      <c r="F872" s="213" t="str">
        <f>IFERROR(__xludf.DUMMYFUNCTION("""COMPUTED_VALUE"""),"ESP-192")</f>
        <v>ESP-192</v>
      </c>
      <c r="G872" s="213"/>
      <c r="H872" s="213" t="str">
        <f>IFERROR(__xludf.DUMMYFUNCTION("""COMPUTED_VALUE"""),"INCUBADORA PARA YOGURT")</f>
        <v>INCUBADORA PARA YOGURT</v>
      </c>
      <c r="I872" s="213" t="str">
        <f>IFERROR(__xludf.DUMMYFUNCTION("""COMPUTED_VALUE"""),".  Incubadora De Temperatura Estable Electrotérmica
.  Voltaje: ~220V / 60 Hz
.  Rango de Temperatura +5 ~ 65 ° C
.  Temperatura fluctuación: ±0.5
.  Temperatura resolución: 0.1
.  Consumo eléctrico: 250W
.  Cámara de trabajo minimo: 36cm×36cm×42cm
.  Tam"&amp;"año de equipo aproximado: 47cm×44cm×68cm")</f>
        <v>.  Incubadora De Temperatura Estable Electrotérmica
.  Voltaje: ~220V / 60 Hz
.  Rango de Temperatura +5 ~ 65 ° C
.  Temperatura fluctuación: ±0.5
.  Temperatura resolución: 0.1
.  Consumo eléctrico: 250W
.  Cámara de trabajo minimo: 36cm×36cm×42cm
.  Tamaño de equipo aproximado: 47cm×44cm×68cm</v>
      </c>
      <c r="J872" s="213">
        <f>IFERROR(__xludf.DUMMYFUNCTION("""COMPUTED_VALUE"""),3.0)</f>
        <v>3</v>
      </c>
      <c r="K872" s="213" t="str">
        <f>IFERROR(__xludf.DUMMYFUNCTION("""COMPUTED_VALUE"""),"170 DÍAS CALENDARIO")</f>
        <v>170 DÍAS CALENDARIO</v>
      </c>
      <c r="L872" s="213" t="str">
        <f>IFERROR(__xludf.DUMMYFUNCTION("""COMPUTED_VALUE"""),"")</f>
        <v/>
      </c>
      <c r="M872" s="213">
        <f>IFERROR(__xludf.DUMMYFUNCTION("""COMPUTED_VALUE"""),1.0)</f>
        <v>1</v>
      </c>
      <c r="N872" s="213">
        <f>IFERROR(__xludf.DUMMYFUNCTION("""COMPUTED_VALUE"""),1.0)</f>
        <v>1</v>
      </c>
      <c r="O872" s="213">
        <f>IFERROR(__xludf.DUMMYFUNCTION("""COMPUTED_VALUE"""),1.0)</f>
        <v>1</v>
      </c>
      <c r="P872" s="213"/>
      <c r="Q872" s="213"/>
      <c r="R872" s="213"/>
      <c r="S872" s="213" t="str">
        <f>IFERROR(__xludf.DUMMYFUNCTION("""COMPUTED_VALUE"""),"SI")</f>
        <v>SI</v>
      </c>
      <c r="T872" s="213" t="str">
        <f>IFERROR(__xludf.DUMMYFUNCTION("""COMPUTED_VALUE"""),"SI")</f>
        <v>SI</v>
      </c>
      <c r="U872" s="213" t="str">
        <f>IFERROR(__xludf.DUMMYFUNCTION("""COMPUTED_VALUE"""),"NO")</f>
        <v>NO</v>
      </c>
      <c r="V872" s="213" t="str">
        <f>IFERROR(__xludf.DUMMYFUNCTION("""COMPUTED_VALUE"""),"SUSTENTO")</f>
        <v>SUSTENTO</v>
      </c>
      <c r="W872" s="213" t="str">
        <f>IFERROR(__xludf.DUMMYFUNCTION("""COMPUTED_VALUE"""),"ELÉCTRICO")</f>
        <v>ELÉCTRICO</v>
      </c>
      <c r="X872" s="213" t="str">
        <f>IFERROR(__xludf.DUMMYFUNCTION("""COMPUTED_VALUE"""),"ZENITH LAB")</f>
        <v>ZENITH LAB</v>
      </c>
      <c r="Y872" s="213" t="str">
        <f>IFERROR(__xludf.DUMMYFUNCTION("""COMPUTED_VALUE"""),"DNP-9052A")</f>
        <v>DNP-9052A</v>
      </c>
      <c r="Z872" s="215" t="str">
        <f>IFERROR(__xludf.DUMMYFUNCTION("""COMPUTED_VALUE"""),"https://es.zenithlabo.com/laboratory-incubator/62102395.html")</f>
        <v>https://es.zenithlabo.com/laboratory-incubator/62102395.html</v>
      </c>
      <c r="AA872" s="213" t="str">
        <f>IFERROR(__xludf.DUMMYFUNCTION("""COMPUTED_VALUE"""),"ESP-192 INCUBADORA PARA YOGURT - CET")</f>
        <v>ESP-192 INCUBADORA PARA YOGURT - CET</v>
      </c>
      <c r="AB872" s="215" t="str">
        <f>IFERROR(__xludf.DUMMYFUNCTION("""COMPUTED_VALUE"""),"https://drive.google.com/file/d/1nq8tOqp8Ab7A7gPA4dR1t46QHHozqk6B/view?usp=sharing")</f>
        <v>https://drive.google.com/file/d/1nq8tOqp8Ab7A7gPA4dR1t46QHHozqk6B/view?usp=sharing</v>
      </c>
      <c r="AC872" s="213"/>
      <c r="AD872" s="213"/>
      <c r="AE872" s="213"/>
      <c r="AF872" s="213"/>
      <c r="AG872" s="213"/>
      <c r="AH872" s="213"/>
      <c r="AI872" s="213"/>
      <c r="AJ872" s="213"/>
      <c r="AK872" s="213"/>
      <c r="AL872" s="213"/>
      <c r="AM872" s="213"/>
      <c r="AN872" s="213"/>
      <c r="AO872" s="213"/>
      <c r="AP872" s="213" t="str">
        <f>IFERROR(__xludf.DUMMYFUNCTION("""COMPUTED_VALUE"""),"ANTONELLA")</f>
        <v>ANTONELLA</v>
      </c>
      <c r="AQ872" s="213" t="str">
        <f>IFERROR(__xludf.DUMMYFUNCTION("""COMPUTED_VALUE"""),"El equipo trabaja con 50Hz 220VAC.")</f>
        <v>El equipo trabaja con 50Hz 220VAC.</v>
      </c>
      <c r="AR872" s="213"/>
      <c r="AS872" s="213"/>
      <c r="AT872" s="213"/>
      <c r="AU872" s="213"/>
      <c r="AV872" s="213"/>
      <c r="AW872" s="213"/>
      <c r="AX872" s="213"/>
      <c r="AY872" s="213"/>
      <c r="AZ872" s="213"/>
      <c r="BA872" s="213"/>
      <c r="BB872" s="213"/>
      <c r="BC872" s="213"/>
      <c r="BD872" s="213"/>
    </row>
    <row r="873">
      <c r="A873" s="213">
        <f>IFERROR(__xludf.DUMMYFUNCTION("""COMPUTED_VALUE"""),1178.0)</f>
        <v>1178</v>
      </c>
      <c r="B873" s="213" t="str">
        <f>IFERROR(__xludf.DUMMYFUNCTION("""COMPUTED_VALUE"""),"FRANCISCO IRAZOLA")</f>
        <v>FRANCISCO IRAZOLA</v>
      </c>
      <c r="C873" s="213" t="str">
        <f>IFERROR(__xludf.DUMMYFUNCTION("""COMPUTED_VALUE"""),"TALLER SFT DE INDUSTRIA ALIMENTARIA")</f>
        <v>TALLER SFT DE INDUSTRIA ALIMENTARIA</v>
      </c>
      <c r="D873" s="213" t="str">
        <f>IFERROR(__xludf.DUMMYFUNCTION("""COMPUTED_VALUE"""),"EQUIPOS")</f>
        <v>EQUIPOS</v>
      </c>
      <c r="E873" s="213" t="str">
        <f>IFERROR(__xludf.DUMMYFUNCTION("""COMPUTED_VALUE"""),"ESP-192")</f>
        <v>ESP-192</v>
      </c>
      <c r="F873" s="213" t="str">
        <f>IFERROR(__xludf.DUMMYFUNCTION("""COMPUTED_VALUE"""),"ESP-192")</f>
        <v>ESP-192</v>
      </c>
      <c r="G873" s="213"/>
      <c r="H873" s="213" t="str">
        <f>IFERROR(__xludf.DUMMYFUNCTION("""COMPUTED_VALUE"""),"INCUBADORA PARA YOGURT")</f>
        <v>INCUBADORA PARA YOGURT</v>
      </c>
      <c r="I873" s="213" t="str">
        <f>IFERROR(__xludf.DUMMYFUNCTION("""COMPUTED_VALUE"""),".  Incubadora De Temperatura Estable Electrotérmica
.  Voltaje: ~220V / 60 Hz
.  Rango de Temperatura +5 ~ 65 ° C
.  Temperatura fluctuación: ±0.5
.  Temperatura resolución: 0.1
.  Consumo eléctrico: 250W
.  Cámara de trabajo minimo: 36cm×36cm×42cm
.  Tam"&amp;"año de equipo aproximado: 47cm×44cm×68cm")</f>
        <v>.  Incubadora De Temperatura Estable Electrotérmica
.  Voltaje: ~220V / 60 Hz
.  Rango de Temperatura +5 ~ 65 ° C
.  Temperatura fluctuación: ±0.5
.  Temperatura resolución: 0.1
.  Consumo eléctrico: 250W
.  Cámara de trabajo minimo: 36cm×36cm×42cm
.  Tamaño de equipo aproximado: 47cm×44cm×68cm</v>
      </c>
      <c r="J873" s="213">
        <f>IFERROR(__xludf.DUMMYFUNCTION("""COMPUTED_VALUE"""),3.0)</f>
        <v>3</v>
      </c>
      <c r="K873" s="213" t="str">
        <f>IFERROR(__xludf.DUMMYFUNCTION("""COMPUTED_VALUE"""),"170 DÍAS CALENDARIO")</f>
        <v>170 DÍAS CALENDARIO</v>
      </c>
      <c r="L873" s="213" t="str">
        <f>IFERROR(__xludf.DUMMYFUNCTION("""COMPUTED_VALUE"""),"")</f>
        <v/>
      </c>
      <c r="M873" s="213">
        <f>IFERROR(__xludf.DUMMYFUNCTION("""COMPUTED_VALUE"""),1.0)</f>
        <v>1</v>
      </c>
      <c r="N873" s="213">
        <f>IFERROR(__xludf.DUMMYFUNCTION("""COMPUTED_VALUE"""),1.0)</f>
        <v>1</v>
      </c>
      <c r="O873" s="213">
        <f>IFERROR(__xludf.DUMMYFUNCTION("""COMPUTED_VALUE"""),1.0)</f>
        <v>1</v>
      </c>
      <c r="P873" s="213"/>
      <c r="Q873" s="213"/>
      <c r="R873" s="213"/>
      <c r="S873" s="213" t="str">
        <f>IFERROR(__xludf.DUMMYFUNCTION("""COMPUTED_VALUE"""),"SI")</f>
        <v>SI</v>
      </c>
      <c r="T873" s="213" t="str">
        <f>IFERROR(__xludf.DUMMYFUNCTION("""COMPUTED_VALUE"""),"SI")</f>
        <v>SI</v>
      </c>
      <c r="U873" s="213" t="str">
        <f>IFERROR(__xludf.DUMMYFUNCTION("""COMPUTED_VALUE"""),"NO")</f>
        <v>NO</v>
      </c>
      <c r="V873" s="213" t="str">
        <f>IFERROR(__xludf.DUMMYFUNCTION("""COMPUTED_VALUE"""),"SUSTENTO")</f>
        <v>SUSTENTO</v>
      </c>
      <c r="W873" s="213" t="str">
        <f>IFERROR(__xludf.DUMMYFUNCTION("""COMPUTED_VALUE"""),"ELÉCTRICO")</f>
        <v>ELÉCTRICO</v>
      </c>
      <c r="X873" s="213" t="str">
        <f>IFERROR(__xludf.DUMMYFUNCTION("""COMPUTED_VALUE"""),"ZENITH LAB")</f>
        <v>ZENITH LAB</v>
      </c>
      <c r="Y873" s="213" t="str">
        <f>IFERROR(__xludf.DUMMYFUNCTION("""COMPUTED_VALUE"""),"DNP-9052A")</f>
        <v>DNP-9052A</v>
      </c>
      <c r="Z873" s="215" t="str">
        <f>IFERROR(__xludf.DUMMYFUNCTION("""COMPUTED_VALUE"""),"https://es.zenithlabo.com/laboratory-incubator/62102395.html")</f>
        <v>https://es.zenithlabo.com/laboratory-incubator/62102395.html</v>
      </c>
      <c r="AA873" s="213" t="str">
        <f>IFERROR(__xludf.DUMMYFUNCTION("""COMPUTED_VALUE"""),"ESP-192 INCUBADORA PARA YOGURT - CET")</f>
        <v>ESP-192 INCUBADORA PARA YOGURT - CET</v>
      </c>
      <c r="AB873" s="215" t="str">
        <f>IFERROR(__xludf.DUMMYFUNCTION("""COMPUTED_VALUE"""),"https://drive.google.com/file/d/1nq8tOqp8Ab7A7gPA4dR1t46QHHozqk6B/view?usp=sharing")</f>
        <v>https://drive.google.com/file/d/1nq8tOqp8Ab7A7gPA4dR1t46QHHozqk6B/view?usp=sharing</v>
      </c>
      <c r="AC873" s="213"/>
      <c r="AD873" s="213"/>
      <c r="AE873" s="213"/>
      <c r="AF873" s="213"/>
      <c r="AG873" s="213"/>
      <c r="AH873" s="213"/>
      <c r="AI873" s="213"/>
      <c r="AJ873" s="213"/>
      <c r="AK873" s="213"/>
      <c r="AL873" s="213"/>
      <c r="AM873" s="213"/>
      <c r="AN873" s="213"/>
      <c r="AO873" s="213"/>
      <c r="AP873" s="213" t="str">
        <f>IFERROR(__xludf.DUMMYFUNCTION("""COMPUTED_VALUE"""),"ANTONELLA")</f>
        <v>ANTONELLA</v>
      </c>
      <c r="AQ873" s="213" t="str">
        <f>IFERROR(__xludf.DUMMYFUNCTION("""COMPUTED_VALUE"""),"El equipo trabaja con 50Hz 220VAC.")</f>
        <v>El equipo trabaja con 50Hz 220VAC.</v>
      </c>
      <c r="AR873" s="213"/>
      <c r="AS873" s="213"/>
      <c r="AT873" s="213"/>
      <c r="AU873" s="213"/>
      <c r="AV873" s="213"/>
      <c r="AW873" s="213"/>
      <c r="AX873" s="213"/>
      <c r="AY873" s="213"/>
      <c r="AZ873" s="213"/>
      <c r="BA873" s="213"/>
      <c r="BB873" s="213"/>
      <c r="BC873" s="213"/>
      <c r="BD873" s="213"/>
    </row>
    <row r="874">
      <c r="A874" s="213">
        <f>IFERROR(__xludf.DUMMYFUNCTION("""COMPUTED_VALUE"""),1453.0)</f>
        <v>1453</v>
      </c>
      <c r="B874" s="213" t="str">
        <f>IFERROR(__xludf.DUMMYFUNCTION("""COMPUTED_VALUE"""),"GUILLERMO E. BILLINGHURST ")</f>
        <v>GUILLERMO E. BILLINGHURST </v>
      </c>
      <c r="C874" s="213" t="str">
        <f>IFERROR(__xludf.DUMMYFUNCTION("""COMPUTED_VALUE"""),"TALLER SFT DE INDUSTRIA ALIMENTARIA")</f>
        <v>TALLER SFT DE INDUSTRIA ALIMENTARIA</v>
      </c>
      <c r="D874" s="213" t="str">
        <f>IFERROR(__xludf.DUMMYFUNCTION("""COMPUTED_VALUE"""),"EQUIPOS")</f>
        <v>EQUIPOS</v>
      </c>
      <c r="E874" s="213" t="str">
        <f>IFERROR(__xludf.DUMMYFUNCTION("""COMPUTED_VALUE"""),"ESP-192")</f>
        <v>ESP-192</v>
      </c>
      <c r="F874" s="213" t="str">
        <f>IFERROR(__xludf.DUMMYFUNCTION("""COMPUTED_VALUE"""),"ESP-192")</f>
        <v>ESP-192</v>
      </c>
      <c r="G874" s="213"/>
      <c r="H874" s="213" t="str">
        <f>IFERROR(__xludf.DUMMYFUNCTION("""COMPUTED_VALUE"""),"INCUBADORA PARA YOGURT")</f>
        <v>INCUBADORA PARA YOGURT</v>
      </c>
      <c r="I874" s="213" t="str">
        <f>IFERROR(__xludf.DUMMYFUNCTION("""COMPUTED_VALUE"""),".  Incubadora De Temperatura Estable Electrotérmica
.  Voltaje: ~220V / 60 Hz
.  Rango de Temperatura +5 ~ 65 ° C
.  Temperatura fluctuación: ±0.5
.  Temperatura resolución: 0.1
.  Consumo eléctrico: 250W
.  Cámara de trabajo minimo: 36cm×36cm×42cm
.  Tam"&amp;"año de equipo aproximado: 47cm×44cm×68cm")</f>
        <v>.  Incubadora De Temperatura Estable Electrotérmica
.  Voltaje: ~220V / 60 Hz
.  Rango de Temperatura +5 ~ 65 ° C
.  Temperatura fluctuación: ±0.5
.  Temperatura resolución: 0.1
.  Consumo eléctrico: 250W
.  Cámara de trabajo minimo: 36cm×36cm×42cm
.  Tamaño de equipo aproximado: 47cm×44cm×68cm</v>
      </c>
      <c r="J874" s="213">
        <f>IFERROR(__xludf.DUMMYFUNCTION("""COMPUTED_VALUE"""),3.0)</f>
        <v>3</v>
      </c>
      <c r="K874" s="213" t="str">
        <f>IFERROR(__xludf.DUMMYFUNCTION("""COMPUTED_VALUE"""),"170 DÍAS CALENDARIO")</f>
        <v>170 DÍAS CALENDARIO</v>
      </c>
      <c r="L874" s="213" t="str">
        <f>IFERROR(__xludf.DUMMYFUNCTION("""COMPUTED_VALUE"""),"")</f>
        <v/>
      </c>
      <c r="M874" s="213">
        <f>IFERROR(__xludf.DUMMYFUNCTION("""COMPUTED_VALUE"""),1.0)</f>
        <v>1</v>
      </c>
      <c r="N874" s="213">
        <f>IFERROR(__xludf.DUMMYFUNCTION("""COMPUTED_VALUE"""),1.0)</f>
        <v>1</v>
      </c>
      <c r="O874" s="213">
        <f>IFERROR(__xludf.DUMMYFUNCTION("""COMPUTED_VALUE"""),1.0)</f>
        <v>1</v>
      </c>
      <c r="P874" s="213"/>
      <c r="Q874" s="213"/>
      <c r="R874" s="213"/>
      <c r="S874" s="213" t="str">
        <f>IFERROR(__xludf.DUMMYFUNCTION("""COMPUTED_VALUE"""),"SI")</f>
        <v>SI</v>
      </c>
      <c r="T874" s="213" t="str">
        <f>IFERROR(__xludf.DUMMYFUNCTION("""COMPUTED_VALUE"""),"SI")</f>
        <v>SI</v>
      </c>
      <c r="U874" s="213" t="str">
        <f>IFERROR(__xludf.DUMMYFUNCTION("""COMPUTED_VALUE"""),"NO")</f>
        <v>NO</v>
      </c>
      <c r="V874" s="213" t="str">
        <f>IFERROR(__xludf.DUMMYFUNCTION("""COMPUTED_VALUE"""),"SUSTENTO")</f>
        <v>SUSTENTO</v>
      </c>
      <c r="W874" s="213" t="str">
        <f>IFERROR(__xludf.DUMMYFUNCTION("""COMPUTED_VALUE"""),"ELÉCTRICO")</f>
        <v>ELÉCTRICO</v>
      </c>
      <c r="X874" s="213" t="str">
        <f>IFERROR(__xludf.DUMMYFUNCTION("""COMPUTED_VALUE"""),"ZENITH LAB")</f>
        <v>ZENITH LAB</v>
      </c>
      <c r="Y874" s="213" t="str">
        <f>IFERROR(__xludf.DUMMYFUNCTION("""COMPUTED_VALUE"""),"DNP-9052A")</f>
        <v>DNP-9052A</v>
      </c>
      <c r="Z874" s="215" t="str">
        <f>IFERROR(__xludf.DUMMYFUNCTION("""COMPUTED_VALUE"""),"https://es.zenithlabo.com/laboratory-incubator/62102395.html")</f>
        <v>https://es.zenithlabo.com/laboratory-incubator/62102395.html</v>
      </c>
      <c r="AA874" s="213" t="str">
        <f>IFERROR(__xludf.DUMMYFUNCTION("""COMPUTED_VALUE"""),"ESP-192 INCUBADORA PARA YOGURT - CET")</f>
        <v>ESP-192 INCUBADORA PARA YOGURT - CET</v>
      </c>
      <c r="AB874" s="215" t="str">
        <f>IFERROR(__xludf.DUMMYFUNCTION("""COMPUTED_VALUE"""),"https://drive.google.com/file/d/1nq8tOqp8Ab7A7gPA4dR1t46QHHozqk6B/view?usp=sharing")</f>
        <v>https://drive.google.com/file/d/1nq8tOqp8Ab7A7gPA4dR1t46QHHozqk6B/view?usp=sharing</v>
      </c>
      <c r="AC874" s="213"/>
      <c r="AD874" s="213"/>
      <c r="AE874" s="213"/>
      <c r="AF874" s="213"/>
      <c r="AG874" s="213"/>
      <c r="AH874" s="213"/>
      <c r="AI874" s="213"/>
      <c r="AJ874" s="213"/>
      <c r="AK874" s="213"/>
      <c r="AL874" s="213"/>
      <c r="AM874" s="213"/>
      <c r="AN874" s="213"/>
      <c r="AO874" s="213"/>
      <c r="AP874" s="213" t="str">
        <f>IFERROR(__xludf.DUMMYFUNCTION("""COMPUTED_VALUE"""),"ANTONELLA")</f>
        <v>ANTONELLA</v>
      </c>
      <c r="AQ874" s="213" t="str">
        <f>IFERROR(__xludf.DUMMYFUNCTION("""COMPUTED_VALUE"""),"El equipo trabaja con 50Hz 220VAC.")</f>
        <v>El equipo trabaja con 50Hz 220VAC.</v>
      </c>
      <c r="AR874" s="213"/>
      <c r="AS874" s="213"/>
      <c r="AT874" s="213"/>
      <c r="AU874" s="213"/>
      <c r="AV874" s="213"/>
      <c r="AW874" s="213"/>
      <c r="AX874" s="213"/>
      <c r="AY874" s="213"/>
      <c r="AZ874" s="213"/>
      <c r="BA874" s="213"/>
      <c r="BB874" s="213"/>
      <c r="BC874" s="213"/>
      <c r="BD874" s="213"/>
    </row>
    <row r="875">
      <c r="A875" s="213">
        <f>IFERROR(__xludf.DUMMYFUNCTION("""COMPUTED_VALUE"""),2140.0)</f>
        <v>2140</v>
      </c>
      <c r="B875" s="213" t="str">
        <f>IFERROR(__xludf.DUMMYFUNCTION("""COMPUTED_VALUE"""),"JOSE GRANDA")</f>
        <v>JOSE GRANDA</v>
      </c>
      <c r="C875" s="213" t="str">
        <f>IFERROR(__xludf.DUMMYFUNCTION("""COMPUTED_VALUE"""),"TALLER SFT DE INDUSTRIA ALIMENTARIA")</f>
        <v>TALLER SFT DE INDUSTRIA ALIMENTARIA</v>
      </c>
      <c r="D875" s="213" t="str">
        <f>IFERROR(__xludf.DUMMYFUNCTION("""COMPUTED_VALUE"""),"EQUIPOS")</f>
        <v>EQUIPOS</v>
      </c>
      <c r="E875" s="213" t="str">
        <f>IFERROR(__xludf.DUMMYFUNCTION("""COMPUTED_VALUE"""),"ESP-192")</f>
        <v>ESP-192</v>
      </c>
      <c r="F875" s="213" t="str">
        <f>IFERROR(__xludf.DUMMYFUNCTION("""COMPUTED_VALUE"""),"ESP-192")</f>
        <v>ESP-192</v>
      </c>
      <c r="G875" s="213"/>
      <c r="H875" s="213" t="str">
        <f>IFERROR(__xludf.DUMMYFUNCTION("""COMPUTED_VALUE"""),"INCUBADORA PARA YOGURT")</f>
        <v>INCUBADORA PARA YOGURT</v>
      </c>
      <c r="I875" s="213" t="str">
        <f>IFERROR(__xludf.DUMMYFUNCTION("""COMPUTED_VALUE"""),".  Incubadora De Temperatura Estable Electrotérmica
.  Voltaje: ~220V / 60 Hz
.  Rango de Temperatura +5 ~ 65 ° C
.  Temperatura fluctuación: ±0.5
.  Temperatura resolución: 0.1
.  Consumo eléctrico: 250W
.  Cámara de trabajo minimo: 36cm×36cm×42cm
.  Tam"&amp;"año de equipo aproximado: 47cm×44cm×68cm")</f>
        <v>.  Incubadora De Temperatura Estable Electrotérmica
.  Voltaje: ~220V / 60 Hz
.  Rango de Temperatura +5 ~ 65 ° C
.  Temperatura fluctuación: ±0.5
.  Temperatura resolución: 0.1
.  Consumo eléctrico: 250W
.  Cámara de trabajo minimo: 36cm×36cm×42cm
.  Tamaño de equipo aproximado: 47cm×44cm×68cm</v>
      </c>
      <c r="J875" s="213">
        <f>IFERROR(__xludf.DUMMYFUNCTION("""COMPUTED_VALUE"""),3.0)</f>
        <v>3</v>
      </c>
      <c r="K875" s="213" t="str">
        <f>IFERROR(__xludf.DUMMYFUNCTION("""COMPUTED_VALUE"""),"170 DÍAS CALENDARIO")</f>
        <v>170 DÍAS CALENDARIO</v>
      </c>
      <c r="L875" s="213" t="str">
        <f>IFERROR(__xludf.DUMMYFUNCTION("""COMPUTED_VALUE"""),"")</f>
        <v/>
      </c>
      <c r="M875" s="213">
        <f>IFERROR(__xludf.DUMMYFUNCTION("""COMPUTED_VALUE"""),1.0)</f>
        <v>1</v>
      </c>
      <c r="N875" s="213">
        <f>IFERROR(__xludf.DUMMYFUNCTION("""COMPUTED_VALUE"""),1.0)</f>
        <v>1</v>
      </c>
      <c r="O875" s="213">
        <f>IFERROR(__xludf.DUMMYFUNCTION("""COMPUTED_VALUE"""),1.0)</f>
        <v>1</v>
      </c>
      <c r="P875" s="213"/>
      <c r="Q875" s="213"/>
      <c r="R875" s="213"/>
      <c r="S875" s="213" t="str">
        <f>IFERROR(__xludf.DUMMYFUNCTION("""COMPUTED_VALUE"""),"SI")</f>
        <v>SI</v>
      </c>
      <c r="T875" s="213" t="str">
        <f>IFERROR(__xludf.DUMMYFUNCTION("""COMPUTED_VALUE"""),"SI")</f>
        <v>SI</v>
      </c>
      <c r="U875" s="213" t="str">
        <f>IFERROR(__xludf.DUMMYFUNCTION("""COMPUTED_VALUE"""),"NO")</f>
        <v>NO</v>
      </c>
      <c r="V875" s="213" t="str">
        <f>IFERROR(__xludf.DUMMYFUNCTION("""COMPUTED_VALUE"""),"SUSTENTO")</f>
        <v>SUSTENTO</v>
      </c>
      <c r="W875" s="213" t="str">
        <f>IFERROR(__xludf.DUMMYFUNCTION("""COMPUTED_VALUE"""),"ELÉCTRICO")</f>
        <v>ELÉCTRICO</v>
      </c>
      <c r="X875" s="213" t="str">
        <f>IFERROR(__xludf.DUMMYFUNCTION("""COMPUTED_VALUE"""),"ZENITH LAB")</f>
        <v>ZENITH LAB</v>
      </c>
      <c r="Y875" s="213" t="str">
        <f>IFERROR(__xludf.DUMMYFUNCTION("""COMPUTED_VALUE"""),"DNP-9052A")</f>
        <v>DNP-9052A</v>
      </c>
      <c r="Z875" s="215" t="str">
        <f>IFERROR(__xludf.DUMMYFUNCTION("""COMPUTED_VALUE"""),"https://es.zenithlabo.com/laboratory-incubator/62102395.html")</f>
        <v>https://es.zenithlabo.com/laboratory-incubator/62102395.html</v>
      </c>
      <c r="AA875" s="213" t="str">
        <f>IFERROR(__xludf.DUMMYFUNCTION("""COMPUTED_VALUE"""),"ESP-192 INCUBADORA PARA YOGURT - CET")</f>
        <v>ESP-192 INCUBADORA PARA YOGURT - CET</v>
      </c>
      <c r="AB875" s="215" t="str">
        <f>IFERROR(__xludf.DUMMYFUNCTION("""COMPUTED_VALUE"""),"https://drive.google.com/file/d/1nq8tOqp8Ab7A7gPA4dR1t46QHHozqk6B/view?usp=sharing")</f>
        <v>https://drive.google.com/file/d/1nq8tOqp8Ab7A7gPA4dR1t46QHHozqk6B/view?usp=sharing</v>
      </c>
      <c r="AC875" s="213"/>
      <c r="AD875" s="213"/>
      <c r="AE875" s="213"/>
      <c r="AF875" s="213"/>
      <c r="AG875" s="213"/>
      <c r="AH875" s="213"/>
      <c r="AI875" s="213"/>
      <c r="AJ875" s="213"/>
      <c r="AK875" s="213"/>
      <c r="AL875" s="213"/>
      <c r="AM875" s="213"/>
      <c r="AN875" s="213"/>
      <c r="AO875" s="213"/>
      <c r="AP875" s="213" t="str">
        <f>IFERROR(__xludf.DUMMYFUNCTION("""COMPUTED_VALUE"""),"ANTONELLA")</f>
        <v>ANTONELLA</v>
      </c>
      <c r="AQ875" s="213" t="str">
        <f>IFERROR(__xludf.DUMMYFUNCTION("""COMPUTED_VALUE"""),"El equipo trabaja con 50Hz 220VAC.")</f>
        <v>El equipo trabaja con 50Hz 220VAC.</v>
      </c>
      <c r="AR875" s="213"/>
      <c r="AS875" s="213"/>
      <c r="AT875" s="213"/>
      <c r="AU875" s="213"/>
      <c r="AV875" s="213"/>
      <c r="AW875" s="213"/>
      <c r="AX875" s="213"/>
      <c r="AY875" s="213"/>
      <c r="AZ875" s="213"/>
      <c r="BA875" s="213"/>
      <c r="BB875" s="213"/>
      <c r="BC875" s="213"/>
      <c r="BD875" s="213"/>
    </row>
    <row r="876">
      <c r="A876" s="213">
        <f>IFERROR(__xludf.DUMMYFUNCTION("""COMPUTED_VALUE"""),1535.0)</f>
        <v>1535</v>
      </c>
      <c r="B876" s="213" t="str">
        <f>IFERROR(__xludf.DUMMYFUNCTION("""COMPUTED_VALUE"""),"GUILLERMO E. BILLINGHURST ")</f>
        <v>GUILLERMO E. BILLINGHURST </v>
      </c>
      <c r="C876" s="213" t="str">
        <f>IFERROR(__xludf.DUMMYFUNCTION("""COMPUTED_VALUE"""),"TALLER SFT DE MECÁNICA AUTOMOTRIZ")</f>
        <v>TALLER SFT DE MECÁNICA AUTOMOTRIZ</v>
      </c>
      <c r="D876" s="213" t="str">
        <f>IFERROR(__xludf.DUMMYFUNCTION("""COMPUTED_VALUE"""),"HERRAMIENTAS")</f>
        <v>HERRAMIENTAS</v>
      </c>
      <c r="E876" s="213" t="str">
        <f>IFERROR(__xludf.DUMMYFUNCTION("""COMPUTED_VALUE"""),"HER-127")</f>
        <v>HER-127</v>
      </c>
      <c r="F876" s="213" t="str">
        <f>IFERROR(__xludf.DUMMYFUNCTION("""COMPUTED_VALUE"""),"HER-127")</f>
        <v>HER-127</v>
      </c>
      <c r="G876" s="213"/>
      <c r="H876" s="213" t="str">
        <f>IFERROR(__xludf.DUMMYFUNCTION("""COMPUTED_VALUE"""),"EXTRACTOR DE RESORTES (COMPRESOR DE RESORTES DE SUSPENSIÓN)")</f>
        <v>EXTRACTOR DE RESORTES (COMPRESOR DE RESORTES DE SUSPENSIÓN)</v>
      </c>
      <c r="I876" s="213" t="str">
        <f>IFERROR(__xludf.DUMMYFUNCTION("""COMPUTED_VALUE"""),"Compresor de resortes de amortiguador en automóviles. Fabricado en acero al cromo molibdeno (Cr-Mo).
Para ser usada con herramienta de llave.
Adecuado diseño de mandíbula para el uso en áreas confinadas, bajo el arco de la rueda.")</f>
        <v>Compresor de resortes de amortiguador en automóviles. Fabricado en acero al cromo molibdeno (Cr-Mo).
Para ser usada con herramienta de llave.
Adecuado diseño de mandíbula para el uso en áreas confinadas, bajo el arco de la rueda.</v>
      </c>
      <c r="J876" s="213">
        <f>IFERROR(__xludf.DUMMYFUNCTION("""COMPUTED_VALUE"""),3.0)</f>
        <v>3</v>
      </c>
      <c r="K876" s="213" t="str">
        <f>IFERROR(__xludf.DUMMYFUNCTION("""COMPUTED_VALUE"""),"90 DÍAS CALENDARIO")</f>
        <v>90 DÍAS CALENDARIO</v>
      </c>
      <c r="L876" s="213" t="str">
        <f>IFERROR(__xludf.DUMMYFUNCTION("""COMPUTED_VALUE"""),"")</f>
        <v/>
      </c>
      <c r="M876" s="213">
        <f>IFERROR(__xludf.DUMMYFUNCTION("""COMPUTED_VALUE"""),1.0)</f>
        <v>1</v>
      </c>
      <c r="N876" s="213">
        <f>IFERROR(__xludf.DUMMYFUNCTION("""COMPUTED_VALUE"""),1.0)</f>
        <v>1</v>
      </c>
      <c r="O876" s="213">
        <f>IFERROR(__xludf.DUMMYFUNCTION("""COMPUTED_VALUE"""),1.0)</f>
        <v>1</v>
      </c>
      <c r="P876" s="213"/>
      <c r="Q876" s="213"/>
      <c r="R876" s="213" t="str">
        <f>IFERROR(__xludf.DUMMYFUNCTION("""COMPUTED_VALUE"""),"SI")</f>
        <v>SI</v>
      </c>
      <c r="S876" s="213"/>
      <c r="T876" s="213" t="str">
        <f>IFERROR(__xludf.DUMMYFUNCTION("""COMPUTED_VALUE"""),"SI")</f>
        <v>SI</v>
      </c>
      <c r="U876" s="213" t="str">
        <f>IFERROR(__xludf.DUMMYFUNCTION("""COMPUTED_VALUE"""),"SI")</f>
        <v>SI</v>
      </c>
      <c r="V876" s="213" t="str">
        <f>IFERROR(__xludf.DUMMYFUNCTION("""COMPUTED_VALUE"""),"-")</f>
        <v>-</v>
      </c>
      <c r="W876" s="213" t="str">
        <f>IFERROR(__xludf.DUMMYFUNCTION("""COMPUTED_VALUE"""),"-")</f>
        <v>-</v>
      </c>
      <c r="X876" s="213" t="str">
        <f>IFERROR(__xludf.DUMMYFUNCTION("""COMPUTED_VALUE"""),"GENÉRICO")</f>
        <v>GENÉRICO</v>
      </c>
      <c r="Y876" s="213" t="str">
        <f>IFERROR(__xludf.DUMMYFUNCTION("""COMPUTED_VALUE"""),"GENÉRICO")</f>
        <v>GENÉRICO</v>
      </c>
      <c r="Z876" s="215" t="str">
        <f>IFERROR(__xludf.DUMMYFUNCTION("""COMPUTED_VALUE"""),"https://drive.google.com/file/d/1kEVjUPkgISv6c_6rQUm69GaaqHR9HfNM/view")</f>
        <v>https://drive.google.com/file/d/1kEVjUPkgISv6c_6rQUm69GaaqHR9HfNM/view</v>
      </c>
      <c r="AA876" s="213" t="str">
        <f>IFERROR(__xludf.DUMMYFUNCTION("""COMPUTED_VALUE"""),"HER-127 EXTRACTOR DE RESORTES - CET")</f>
        <v>HER-127 EXTRACTOR DE RESORTES - CET</v>
      </c>
      <c r="AB876" s="213"/>
      <c r="AC876" s="215" t="str">
        <f>IFERROR(__xludf.DUMMYFUNCTION("""COMPUTED_VALUE"""),"https://drive.google.com/file/d/1kEVjUPkgISv6c_6rQUm69GaaqHR9HfNM/view?usp=drive_link")</f>
        <v>https://drive.google.com/file/d/1kEVjUPkgISv6c_6rQUm69GaaqHR9HfNM/view?usp=drive_link</v>
      </c>
      <c r="AD876" s="213"/>
      <c r="AE876" s="213"/>
      <c r="AF876" s="213"/>
      <c r="AG876" s="213"/>
      <c r="AH876" s="213"/>
      <c r="AI876" s="213"/>
      <c r="AJ876" s="213"/>
      <c r="AK876" s="213"/>
      <c r="AL876" s="213"/>
      <c r="AM876" s="213"/>
      <c r="AN876" s="213"/>
      <c r="AO876" s="213"/>
      <c r="AP876" s="213" t="str">
        <f>IFERROR(__xludf.DUMMYFUNCTION("""COMPUTED_VALUE"""),"LUIS")</f>
        <v>LUIS</v>
      </c>
      <c r="AQ876" s="213"/>
      <c r="AR876" s="213"/>
      <c r="AS876" s="213" t="str">
        <f>IFERROR(__xludf.DUMMYFUNCTION("""COMPUTED_VALUE"""),"El material no cumple")</f>
        <v>El material no cumple</v>
      </c>
      <c r="AT876" s="213"/>
      <c r="AU876" s="213"/>
      <c r="AV876" s="213"/>
      <c r="AW876" s="213"/>
      <c r="AX876" s="213"/>
      <c r="AY876" s="213"/>
      <c r="AZ876" s="213"/>
      <c r="BA876" s="213"/>
      <c r="BB876" s="213"/>
      <c r="BC876" s="213"/>
      <c r="BD876" s="213"/>
    </row>
    <row r="877">
      <c r="A877" s="213">
        <f>IFERROR(__xludf.DUMMYFUNCTION("""COMPUTED_VALUE"""),2227.0)</f>
        <v>2227</v>
      </c>
      <c r="B877" s="213" t="str">
        <f>IFERROR(__xludf.DUMMYFUNCTION("""COMPUTED_VALUE"""),"JOSE GRANDA")</f>
        <v>JOSE GRANDA</v>
      </c>
      <c r="C877" s="213" t="str">
        <f>IFERROR(__xludf.DUMMYFUNCTION("""COMPUTED_VALUE"""),"TALLER SFT DE MECÁNICA AUTOMOTRIZ")</f>
        <v>TALLER SFT DE MECÁNICA AUTOMOTRIZ</v>
      </c>
      <c r="D877" s="213" t="str">
        <f>IFERROR(__xludf.DUMMYFUNCTION("""COMPUTED_VALUE"""),"HERRAMIENTAS")</f>
        <v>HERRAMIENTAS</v>
      </c>
      <c r="E877" s="213" t="str">
        <f>IFERROR(__xludf.DUMMYFUNCTION("""COMPUTED_VALUE"""),"HER-127")</f>
        <v>HER-127</v>
      </c>
      <c r="F877" s="213" t="str">
        <f>IFERROR(__xludf.DUMMYFUNCTION("""COMPUTED_VALUE"""),"HER-127")</f>
        <v>HER-127</v>
      </c>
      <c r="G877" s="213"/>
      <c r="H877" s="213" t="str">
        <f>IFERROR(__xludf.DUMMYFUNCTION("""COMPUTED_VALUE"""),"EXTRACTOR DE RESORTES (COMPRESOR DE RESORTES DE SUSPENSIÓN)")</f>
        <v>EXTRACTOR DE RESORTES (COMPRESOR DE RESORTES DE SUSPENSIÓN)</v>
      </c>
      <c r="I877" s="213" t="str">
        <f>IFERROR(__xludf.DUMMYFUNCTION("""COMPUTED_VALUE"""),"Compresor de resortes de amortiguador en automóviles. Fabricado en acero al cromo molibdeno (Cr-Mo).
Para ser usada con herramienta de llave.
Adecuado diseño de mandíbula para el uso en áreas confinadas, bajo el arco de la rueda.")</f>
        <v>Compresor de resortes de amortiguador en automóviles. Fabricado en acero al cromo molibdeno (Cr-Mo).
Para ser usada con herramienta de llave.
Adecuado diseño de mandíbula para el uso en áreas confinadas, bajo el arco de la rueda.</v>
      </c>
      <c r="J877" s="213">
        <f>IFERROR(__xludf.DUMMYFUNCTION("""COMPUTED_VALUE"""),3.0)</f>
        <v>3</v>
      </c>
      <c r="K877" s="213" t="str">
        <f>IFERROR(__xludf.DUMMYFUNCTION("""COMPUTED_VALUE"""),"90 DÍAS CALENDARIO")</f>
        <v>90 DÍAS CALENDARIO</v>
      </c>
      <c r="L877" s="213" t="str">
        <f>IFERROR(__xludf.DUMMYFUNCTION("""COMPUTED_VALUE"""),"")</f>
        <v/>
      </c>
      <c r="M877" s="213">
        <f>IFERROR(__xludf.DUMMYFUNCTION("""COMPUTED_VALUE"""),1.0)</f>
        <v>1</v>
      </c>
      <c r="N877" s="213">
        <f>IFERROR(__xludf.DUMMYFUNCTION("""COMPUTED_VALUE"""),1.0)</f>
        <v>1</v>
      </c>
      <c r="O877" s="213">
        <f>IFERROR(__xludf.DUMMYFUNCTION("""COMPUTED_VALUE"""),1.0)</f>
        <v>1</v>
      </c>
      <c r="P877" s="213"/>
      <c r="Q877" s="213"/>
      <c r="R877" s="213" t="str">
        <f>IFERROR(__xludf.DUMMYFUNCTION("""COMPUTED_VALUE"""),"SI")</f>
        <v>SI</v>
      </c>
      <c r="S877" s="213"/>
      <c r="T877" s="213" t="str">
        <f>IFERROR(__xludf.DUMMYFUNCTION("""COMPUTED_VALUE"""),"SI")</f>
        <v>SI</v>
      </c>
      <c r="U877" s="213" t="str">
        <f>IFERROR(__xludf.DUMMYFUNCTION("""COMPUTED_VALUE"""),"SI")</f>
        <v>SI</v>
      </c>
      <c r="V877" s="213" t="str">
        <f>IFERROR(__xludf.DUMMYFUNCTION("""COMPUTED_VALUE"""),"-")</f>
        <v>-</v>
      </c>
      <c r="W877" s="213" t="str">
        <f>IFERROR(__xludf.DUMMYFUNCTION("""COMPUTED_VALUE"""),"-")</f>
        <v>-</v>
      </c>
      <c r="X877" s="213" t="str">
        <f>IFERROR(__xludf.DUMMYFUNCTION("""COMPUTED_VALUE"""),"GENÉRICO")</f>
        <v>GENÉRICO</v>
      </c>
      <c r="Y877" s="213" t="str">
        <f>IFERROR(__xludf.DUMMYFUNCTION("""COMPUTED_VALUE"""),"GENÉRICO")</f>
        <v>GENÉRICO</v>
      </c>
      <c r="Z877" s="215" t="str">
        <f>IFERROR(__xludf.DUMMYFUNCTION("""COMPUTED_VALUE"""),"https://drive.google.com/file/d/1kEVjUPkgISv6c_6rQUm69GaaqHR9HfNM/view")</f>
        <v>https://drive.google.com/file/d/1kEVjUPkgISv6c_6rQUm69GaaqHR9HfNM/view</v>
      </c>
      <c r="AA877" s="213" t="str">
        <f>IFERROR(__xludf.DUMMYFUNCTION("""COMPUTED_VALUE"""),"HER-127 EXTRACTOR DE RESORTES - CET")</f>
        <v>HER-127 EXTRACTOR DE RESORTES - CET</v>
      </c>
      <c r="AB877" s="213"/>
      <c r="AC877" s="215" t="str">
        <f>IFERROR(__xludf.DUMMYFUNCTION("""COMPUTED_VALUE"""),"https://drive.google.com/file/d/1kEVjUPkgISv6c_6rQUm69GaaqHR9HfNM/view?usp=drive_link")</f>
        <v>https://drive.google.com/file/d/1kEVjUPkgISv6c_6rQUm69GaaqHR9HfNM/view?usp=drive_link</v>
      </c>
      <c r="AD877" s="213"/>
      <c r="AE877" s="213"/>
      <c r="AF877" s="213"/>
      <c r="AG877" s="213"/>
      <c r="AH877" s="213"/>
      <c r="AI877" s="213"/>
      <c r="AJ877" s="213"/>
      <c r="AK877" s="213"/>
      <c r="AL877" s="213"/>
      <c r="AM877" s="213"/>
      <c r="AN877" s="213"/>
      <c r="AO877" s="213"/>
      <c r="AP877" s="213" t="str">
        <f>IFERROR(__xludf.DUMMYFUNCTION("""COMPUTED_VALUE"""),"LUIS")</f>
        <v>LUIS</v>
      </c>
      <c r="AQ877" s="213"/>
      <c r="AR877" s="213"/>
      <c r="AS877" s="213" t="str">
        <f>IFERROR(__xludf.DUMMYFUNCTION("""COMPUTED_VALUE"""),"El material no cumple")</f>
        <v>El material no cumple</v>
      </c>
      <c r="AT877" s="213"/>
      <c r="AU877" s="213"/>
      <c r="AV877" s="213"/>
      <c r="AW877" s="213"/>
      <c r="AX877" s="213"/>
      <c r="AY877" s="213"/>
      <c r="AZ877" s="213"/>
      <c r="BA877" s="213"/>
      <c r="BB877" s="213"/>
      <c r="BC877" s="213"/>
      <c r="BD877" s="213"/>
    </row>
    <row r="878">
      <c r="A878" s="213">
        <f>IFERROR(__xludf.DUMMYFUNCTION("""COMPUTED_VALUE"""),949.0)</f>
        <v>949</v>
      </c>
      <c r="B878" s="213" t="str">
        <f>IFERROR(__xludf.DUMMYFUNCTION("""COMPUTED_VALUE"""),"FRANCISCO IRAZOLA")</f>
        <v>FRANCISCO IRAZOLA</v>
      </c>
      <c r="C878" s="213" t="str">
        <f>IFERROR(__xludf.DUMMYFUNCTION("""COMPUTED_VALUE"""),"TALLER SFT DE MECÁNICA AUTOMOTRIZ")</f>
        <v>TALLER SFT DE MECÁNICA AUTOMOTRIZ</v>
      </c>
      <c r="D878" s="213" t="str">
        <f>IFERROR(__xludf.DUMMYFUNCTION("""COMPUTED_VALUE"""),"HERRAMIENTAS")</f>
        <v>HERRAMIENTAS</v>
      </c>
      <c r="E878" s="213" t="str">
        <f>IFERROR(__xludf.DUMMYFUNCTION("""COMPUTED_VALUE"""),"HER-128")</f>
        <v>HER-128</v>
      </c>
      <c r="F878" s="213" t="str">
        <f>IFERROR(__xludf.DUMMYFUNCTION("""COMPUTED_VALUE"""),"HER-128")</f>
        <v>HER-128</v>
      </c>
      <c r="G878" s="213"/>
      <c r="H878" s="213" t="str">
        <f>IFERROR(__xludf.DUMMYFUNCTION("""COMPUTED_VALUE"""),"JUEGO DE EXTRACTOR DE RODAJES")</f>
        <v>JUEGO DE EXTRACTOR DE RODAJES</v>
      </c>
      <c r="I878" s="213" t="str">
        <f>IFERROR(__xludf.DUMMYFUNCTION("""COMPUTED_VALUE"""),"Se trata de un juego extractor y separador de rodamiento. Compuesto de dos extractores de guillotina.
Capacidad: entre 30 - 75 mm.  Varilla principal: mínimo 4 unidades.
Mínimo un perno central, entre otros.")</f>
        <v>Se trata de un juego extractor y separador de rodamiento. Compuesto de dos extractores de guillotina.
Capacidad: entre 30 - 75 mm.  Varilla principal: mínimo 4 unidades.
Mínimo un perno central, entre otros.</v>
      </c>
      <c r="J878" s="213">
        <f>IFERROR(__xludf.DUMMYFUNCTION("""COMPUTED_VALUE"""),3.0)</f>
        <v>3</v>
      </c>
      <c r="K878" s="213" t="str">
        <f>IFERROR(__xludf.DUMMYFUNCTION("""COMPUTED_VALUE"""),"90 DÍAS CALENDARIO")</f>
        <v>90 DÍAS CALENDARIO</v>
      </c>
      <c r="L878" s="213" t="str">
        <f>IFERROR(__xludf.DUMMYFUNCTION("""COMPUTED_VALUE"""),"")</f>
        <v/>
      </c>
      <c r="M878" s="213">
        <f>IFERROR(__xludf.DUMMYFUNCTION("""COMPUTED_VALUE"""),1.0)</f>
        <v>1</v>
      </c>
      <c r="N878" s="213">
        <f>IFERROR(__xludf.DUMMYFUNCTION("""COMPUTED_VALUE"""),1.0)</f>
        <v>1</v>
      </c>
      <c r="O878" s="213">
        <f>IFERROR(__xludf.DUMMYFUNCTION("""COMPUTED_VALUE"""),1.0)</f>
        <v>1</v>
      </c>
      <c r="P878" s="213"/>
      <c r="Q878" s="213"/>
      <c r="R878" s="213" t="str">
        <f>IFERROR(__xludf.DUMMYFUNCTION("""COMPUTED_VALUE"""),"SI")</f>
        <v>SI</v>
      </c>
      <c r="S878" s="213"/>
      <c r="T878" s="213" t="str">
        <f>IFERROR(__xludf.DUMMYFUNCTION("""COMPUTED_VALUE"""),"SI")</f>
        <v>SI</v>
      </c>
      <c r="U878" s="213" t="str">
        <f>IFERROR(__xludf.DUMMYFUNCTION("""COMPUTED_VALUE"""),"SI")</f>
        <v>SI</v>
      </c>
      <c r="V878" s="213" t="str">
        <f>IFERROR(__xludf.DUMMYFUNCTION("""COMPUTED_VALUE"""),"-")</f>
        <v>-</v>
      </c>
      <c r="W878" s="213" t="str">
        <f>IFERROR(__xludf.DUMMYFUNCTION("""COMPUTED_VALUE"""),"-")</f>
        <v>-</v>
      </c>
      <c r="X878" s="213" t="str">
        <f>IFERROR(__xludf.DUMMYFUNCTION("""COMPUTED_VALUE"""),"UYUSTOOLS")</f>
        <v>UYUSTOOLS</v>
      </c>
      <c r="Y878" s="213" t="str">
        <f>IFERROR(__xludf.DUMMYFUNCTION("""COMPUTED_VALUE"""),"UYUSTOOLS")</f>
        <v>UYUSTOOLS</v>
      </c>
      <c r="Z878" s="215" t="str">
        <f>IFERROR(__xludf.DUMMYFUNCTION("""COMPUTED_VALUE"""),"https://drive.google.com/file/d/1kTsu-g8lW6sxvLjbZ6s6TkJ1hGSaQWua/view")</f>
        <v>https://drive.google.com/file/d/1kTsu-g8lW6sxvLjbZ6s6TkJ1hGSaQWua/view</v>
      </c>
      <c r="AA878" s="213" t="str">
        <f>IFERROR(__xludf.DUMMYFUNCTION("""COMPUTED_VALUE"""),"HER-128 JUEGO DE EXTRACTOR DE RODAJES - CET")</f>
        <v>HER-128 JUEGO DE EXTRACTOR DE RODAJES - CET</v>
      </c>
      <c r="AB878" s="213"/>
      <c r="AC878" s="213"/>
      <c r="AD878" s="213"/>
      <c r="AE878" s="213"/>
      <c r="AF878" s="213"/>
      <c r="AG878" s="213"/>
      <c r="AH878" s="213"/>
      <c r="AI878" s="213"/>
      <c r="AJ878" s="213"/>
      <c r="AK878" s="213"/>
      <c r="AL878" s="213"/>
      <c r="AM878" s="213"/>
      <c r="AN878" s="213"/>
      <c r="AO878" s="213"/>
      <c r="AP878" s="213" t="str">
        <f>IFERROR(__xludf.DUMMYFUNCTION("""COMPUTED_VALUE"""),"LUIS")</f>
        <v>LUIS</v>
      </c>
      <c r="AQ878" s="213"/>
      <c r="AR878" s="213"/>
      <c r="AS878" s="213"/>
      <c r="AT878" s="213"/>
      <c r="AU878" s="213"/>
      <c r="AV878" s="213"/>
      <c r="AW878" s="213"/>
      <c r="AX878" s="213"/>
      <c r="AY878" s="213"/>
      <c r="AZ878" s="213"/>
      <c r="BA878" s="213"/>
      <c r="BB878" s="213"/>
      <c r="BC878" s="213"/>
      <c r="BD878" s="213"/>
    </row>
    <row r="879">
      <c r="A879" s="213">
        <f>IFERROR(__xludf.DUMMYFUNCTION("""COMPUTED_VALUE"""),1550.0)</f>
        <v>1550</v>
      </c>
      <c r="B879" s="213" t="str">
        <f>IFERROR(__xludf.DUMMYFUNCTION("""COMPUTED_VALUE"""),"GUILLERMO E. BILLINGHURST ")</f>
        <v>GUILLERMO E. BILLINGHURST </v>
      </c>
      <c r="C879" s="213" t="str">
        <f>IFERROR(__xludf.DUMMYFUNCTION("""COMPUTED_VALUE"""),"TALLER SFT DE MECÁNICA AUTOMOTRIZ")</f>
        <v>TALLER SFT DE MECÁNICA AUTOMOTRIZ</v>
      </c>
      <c r="D879" s="213" t="str">
        <f>IFERROR(__xludf.DUMMYFUNCTION("""COMPUTED_VALUE"""),"HERRAMIENTAS")</f>
        <v>HERRAMIENTAS</v>
      </c>
      <c r="E879" s="213" t="str">
        <f>IFERROR(__xludf.DUMMYFUNCTION("""COMPUTED_VALUE"""),"HER-128")</f>
        <v>HER-128</v>
      </c>
      <c r="F879" s="213" t="str">
        <f>IFERROR(__xludf.DUMMYFUNCTION("""COMPUTED_VALUE"""),"HER-128")</f>
        <v>HER-128</v>
      </c>
      <c r="G879" s="213"/>
      <c r="H879" s="213" t="str">
        <f>IFERROR(__xludf.DUMMYFUNCTION("""COMPUTED_VALUE"""),"JUEGO DE EXTRACTOR DE RODAJES")</f>
        <v>JUEGO DE EXTRACTOR DE RODAJES</v>
      </c>
      <c r="I879" s="213" t="str">
        <f>IFERROR(__xludf.DUMMYFUNCTION("""COMPUTED_VALUE"""),"Se trata de un juego extractor y separador de rodamiento. Compuesto de dos extractores de guillotina.
Capacidad: entre 30 - 75 mm.  Varilla principal: mínimo 4 unidades.
Mínimo un perno central, entre otros.")</f>
        <v>Se trata de un juego extractor y separador de rodamiento. Compuesto de dos extractores de guillotina.
Capacidad: entre 30 - 75 mm.  Varilla principal: mínimo 4 unidades.
Mínimo un perno central, entre otros.</v>
      </c>
      <c r="J879" s="213">
        <f>IFERROR(__xludf.DUMMYFUNCTION("""COMPUTED_VALUE"""),3.0)</f>
        <v>3</v>
      </c>
      <c r="K879" s="213" t="str">
        <f>IFERROR(__xludf.DUMMYFUNCTION("""COMPUTED_VALUE"""),"90 DÍAS CALENDARIO")</f>
        <v>90 DÍAS CALENDARIO</v>
      </c>
      <c r="L879" s="213" t="str">
        <f>IFERROR(__xludf.DUMMYFUNCTION("""COMPUTED_VALUE"""),"")</f>
        <v/>
      </c>
      <c r="M879" s="213">
        <f>IFERROR(__xludf.DUMMYFUNCTION("""COMPUTED_VALUE"""),1.0)</f>
        <v>1</v>
      </c>
      <c r="N879" s="213">
        <f>IFERROR(__xludf.DUMMYFUNCTION("""COMPUTED_VALUE"""),1.0)</f>
        <v>1</v>
      </c>
      <c r="O879" s="213">
        <f>IFERROR(__xludf.DUMMYFUNCTION("""COMPUTED_VALUE"""),1.0)</f>
        <v>1</v>
      </c>
      <c r="P879" s="213"/>
      <c r="Q879" s="213"/>
      <c r="R879" s="213" t="str">
        <f>IFERROR(__xludf.DUMMYFUNCTION("""COMPUTED_VALUE"""),"SI")</f>
        <v>SI</v>
      </c>
      <c r="S879" s="213"/>
      <c r="T879" s="213" t="str">
        <f>IFERROR(__xludf.DUMMYFUNCTION("""COMPUTED_VALUE"""),"SI")</f>
        <v>SI</v>
      </c>
      <c r="U879" s="213" t="str">
        <f>IFERROR(__xludf.DUMMYFUNCTION("""COMPUTED_VALUE"""),"SI")</f>
        <v>SI</v>
      </c>
      <c r="V879" s="213" t="str">
        <f>IFERROR(__xludf.DUMMYFUNCTION("""COMPUTED_VALUE"""),"-")</f>
        <v>-</v>
      </c>
      <c r="W879" s="213" t="str">
        <f>IFERROR(__xludf.DUMMYFUNCTION("""COMPUTED_VALUE"""),"-")</f>
        <v>-</v>
      </c>
      <c r="X879" s="213" t="str">
        <f>IFERROR(__xludf.DUMMYFUNCTION("""COMPUTED_VALUE"""),"UYUSTOOLS")</f>
        <v>UYUSTOOLS</v>
      </c>
      <c r="Y879" s="213" t="str">
        <f>IFERROR(__xludf.DUMMYFUNCTION("""COMPUTED_VALUE"""),"UYUSTOOLS")</f>
        <v>UYUSTOOLS</v>
      </c>
      <c r="Z879" s="215" t="str">
        <f>IFERROR(__xludf.DUMMYFUNCTION("""COMPUTED_VALUE"""),"https://drive.google.com/file/d/1kTsu-g8lW6sxvLjbZ6s6TkJ1hGSaQWua/view")</f>
        <v>https://drive.google.com/file/d/1kTsu-g8lW6sxvLjbZ6s6TkJ1hGSaQWua/view</v>
      </c>
      <c r="AA879" s="213" t="str">
        <f>IFERROR(__xludf.DUMMYFUNCTION("""COMPUTED_VALUE"""),"HER-128 JUEGO DE EXTRACTOR DE RODAJES - CET")</f>
        <v>HER-128 JUEGO DE EXTRACTOR DE RODAJES - CET</v>
      </c>
      <c r="AB879" s="213"/>
      <c r="AC879" s="213"/>
      <c r="AD879" s="213"/>
      <c r="AE879" s="213"/>
      <c r="AF879" s="213"/>
      <c r="AG879" s="213"/>
      <c r="AH879" s="213"/>
      <c r="AI879" s="213"/>
      <c r="AJ879" s="213"/>
      <c r="AK879" s="213"/>
      <c r="AL879" s="213"/>
      <c r="AM879" s="213"/>
      <c r="AN879" s="213"/>
      <c r="AO879" s="213"/>
      <c r="AP879" s="213" t="str">
        <f>IFERROR(__xludf.DUMMYFUNCTION("""COMPUTED_VALUE"""),"LUIS")</f>
        <v>LUIS</v>
      </c>
      <c r="AQ879" s="213"/>
      <c r="AR879" s="213"/>
      <c r="AS879" s="213"/>
      <c r="AT879" s="213"/>
      <c r="AU879" s="213"/>
      <c r="AV879" s="213"/>
      <c r="AW879" s="213"/>
      <c r="AX879" s="213"/>
      <c r="AY879" s="213"/>
      <c r="AZ879" s="213"/>
      <c r="BA879" s="213"/>
      <c r="BB879" s="213"/>
      <c r="BC879" s="213"/>
      <c r="BD879" s="213"/>
    </row>
    <row r="880">
      <c r="A880" s="213">
        <f>IFERROR(__xludf.DUMMYFUNCTION("""COMPUTED_VALUE"""),2242.0)</f>
        <v>2242</v>
      </c>
      <c r="B880" s="213" t="str">
        <f>IFERROR(__xludf.DUMMYFUNCTION("""COMPUTED_VALUE"""),"JOSE GRANDA")</f>
        <v>JOSE GRANDA</v>
      </c>
      <c r="C880" s="213" t="str">
        <f>IFERROR(__xludf.DUMMYFUNCTION("""COMPUTED_VALUE"""),"TALLER SFT DE MECÁNICA AUTOMOTRIZ")</f>
        <v>TALLER SFT DE MECÁNICA AUTOMOTRIZ</v>
      </c>
      <c r="D880" s="213" t="str">
        <f>IFERROR(__xludf.DUMMYFUNCTION("""COMPUTED_VALUE"""),"HERRAMIENTAS")</f>
        <v>HERRAMIENTAS</v>
      </c>
      <c r="E880" s="213" t="str">
        <f>IFERROR(__xludf.DUMMYFUNCTION("""COMPUTED_VALUE"""),"HER-128")</f>
        <v>HER-128</v>
      </c>
      <c r="F880" s="213" t="str">
        <f>IFERROR(__xludf.DUMMYFUNCTION("""COMPUTED_VALUE"""),"HER-128")</f>
        <v>HER-128</v>
      </c>
      <c r="G880" s="213"/>
      <c r="H880" s="213" t="str">
        <f>IFERROR(__xludf.DUMMYFUNCTION("""COMPUTED_VALUE"""),"JUEGO DE EXTRACTOR DE RODAJES")</f>
        <v>JUEGO DE EXTRACTOR DE RODAJES</v>
      </c>
      <c r="I880" s="213" t="str">
        <f>IFERROR(__xludf.DUMMYFUNCTION("""COMPUTED_VALUE"""),"Se trata de un juego extractor y separador de rodamiento. Compuesto de dos extractores de guillotina.
Capacidad: entre 30 - 75 mm.  Varilla principal: mínimo 4 unidades.
Mínimo un perno central, entre otros.")</f>
        <v>Se trata de un juego extractor y separador de rodamiento. Compuesto de dos extractores de guillotina.
Capacidad: entre 30 - 75 mm.  Varilla principal: mínimo 4 unidades.
Mínimo un perno central, entre otros.</v>
      </c>
      <c r="J880" s="213">
        <f>IFERROR(__xludf.DUMMYFUNCTION("""COMPUTED_VALUE"""),3.0)</f>
        <v>3</v>
      </c>
      <c r="K880" s="213" t="str">
        <f>IFERROR(__xludf.DUMMYFUNCTION("""COMPUTED_VALUE"""),"90 DÍAS CALENDARIO")</f>
        <v>90 DÍAS CALENDARIO</v>
      </c>
      <c r="L880" s="213" t="str">
        <f>IFERROR(__xludf.DUMMYFUNCTION("""COMPUTED_VALUE"""),"")</f>
        <v/>
      </c>
      <c r="M880" s="213">
        <f>IFERROR(__xludf.DUMMYFUNCTION("""COMPUTED_VALUE"""),1.0)</f>
        <v>1</v>
      </c>
      <c r="N880" s="213">
        <f>IFERROR(__xludf.DUMMYFUNCTION("""COMPUTED_VALUE"""),1.0)</f>
        <v>1</v>
      </c>
      <c r="O880" s="213">
        <f>IFERROR(__xludf.DUMMYFUNCTION("""COMPUTED_VALUE"""),1.0)</f>
        <v>1</v>
      </c>
      <c r="P880" s="213"/>
      <c r="Q880" s="213"/>
      <c r="R880" s="213" t="str">
        <f>IFERROR(__xludf.DUMMYFUNCTION("""COMPUTED_VALUE"""),"SI")</f>
        <v>SI</v>
      </c>
      <c r="S880" s="213"/>
      <c r="T880" s="213" t="str">
        <f>IFERROR(__xludf.DUMMYFUNCTION("""COMPUTED_VALUE"""),"SI")</f>
        <v>SI</v>
      </c>
      <c r="U880" s="213" t="str">
        <f>IFERROR(__xludf.DUMMYFUNCTION("""COMPUTED_VALUE"""),"SI")</f>
        <v>SI</v>
      </c>
      <c r="V880" s="213" t="str">
        <f>IFERROR(__xludf.DUMMYFUNCTION("""COMPUTED_VALUE"""),"-")</f>
        <v>-</v>
      </c>
      <c r="W880" s="213" t="str">
        <f>IFERROR(__xludf.DUMMYFUNCTION("""COMPUTED_VALUE"""),"-")</f>
        <v>-</v>
      </c>
      <c r="X880" s="213" t="str">
        <f>IFERROR(__xludf.DUMMYFUNCTION("""COMPUTED_VALUE"""),"UYUSTOOLS")</f>
        <v>UYUSTOOLS</v>
      </c>
      <c r="Y880" s="213" t="str">
        <f>IFERROR(__xludf.DUMMYFUNCTION("""COMPUTED_VALUE"""),"UYUSTOOLS")</f>
        <v>UYUSTOOLS</v>
      </c>
      <c r="Z880" s="215" t="str">
        <f>IFERROR(__xludf.DUMMYFUNCTION("""COMPUTED_VALUE"""),"https://drive.google.com/file/d/1kTsu-g8lW6sxvLjbZ6s6TkJ1hGSaQWua/view")</f>
        <v>https://drive.google.com/file/d/1kTsu-g8lW6sxvLjbZ6s6TkJ1hGSaQWua/view</v>
      </c>
      <c r="AA880" s="213" t="str">
        <f>IFERROR(__xludf.DUMMYFUNCTION("""COMPUTED_VALUE"""),"HER-128 JUEGO DE EXTRACTOR DE RODAJES - CET")</f>
        <v>HER-128 JUEGO DE EXTRACTOR DE RODAJES - CET</v>
      </c>
      <c r="AB880" s="213"/>
      <c r="AC880" s="213"/>
      <c r="AD880" s="213"/>
      <c r="AE880" s="213"/>
      <c r="AF880" s="213"/>
      <c r="AG880" s="213"/>
      <c r="AH880" s="213"/>
      <c r="AI880" s="213"/>
      <c r="AJ880" s="213"/>
      <c r="AK880" s="213"/>
      <c r="AL880" s="213"/>
      <c r="AM880" s="213"/>
      <c r="AN880" s="213"/>
      <c r="AO880" s="213"/>
      <c r="AP880" s="213" t="str">
        <f>IFERROR(__xludf.DUMMYFUNCTION("""COMPUTED_VALUE"""),"LUIS")</f>
        <v>LUIS</v>
      </c>
      <c r="AQ880" s="213"/>
      <c r="AR880" s="213"/>
      <c r="AS880" s="213"/>
      <c r="AT880" s="213"/>
      <c r="AU880" s="213"/>
      <c r="AV880" s="213"/>
      <c r="AW880" s="213"/>
      <c r="AX880" s="213"/>
      <c r="AY880" s="213"/>
      <c r="AZ880" s="213"/>
      <c r="BA880" s="213"/>
      <c r="BB880" s="213"/>
      <c r="BC880" s="213"/>
      <c r="BD880" s="213"/>
    </row>
    <row r="881">
      <c r="A881" s="213">
        <f>IFERROR(__xludf.DUMMYFUNCTION("""COMPUTED_VALUE"""),938.0)</f>
        <v>938</v>
      </c>
      <c r="B881" s="213" t="str">
        <f>IFERROR(__xludf.DUMMYFUNCTION("""COMPUTED_VALUE"""),"FRANCISCO IRAZOLA")</f>
        <v>FRANCISCO IRAZOLA</v>
      </c>
      <c r="C881" s="213" t="str">
        <f>IFERROR(__xludf.DUMMYFUNCTION("""COMPUTED_VALUE"""),"TALLER SFT DE MECÁNICA AUTOMOTRIZ")</f>
        <v>TALLER SFT DE MECÁNICA AUTOMOTRIZ</v>
      </c>
      <c r="D881" s="213" t="str">
        <f>IFERROR(__xludf.DUMMYFUNCTION("""COMPUTED_VALUE"""),"HERRAMIENTAS")</f>
        <v>HERRAMIENTAS</v>
      </c>
      <c r="E881" s="213" t="str">
        <f>IFERROR(__xludf.DUMMYFUNCTION("""COMPUTED_VALUE"""),"HER-129")</f>
        <v>HER-129</v>
      </c>
      <c r="F881" s="213" t="str">
        <f>IFERROR(__xludf.DUMMYFUNCTION("""COMPUTED_VALUE"""),"HER-129")</f>
        <v>HER-129</v>
      </c>
      <c r="G881" s="213"/>
      <c r="H881" s="213" t="str">
        <f>IFERROR(__xludf.DUMMYFUNCTION("""COMPUTED_VALUE"""),"EXTRACTOR DE VOLANTE")</f>
        <v>EXTRACTOR DE VOLANTE</v>
      </c>
      <c r="I881" s="213" t="str">
        <f>IFERROR(__xludf.DUMMYFUNCTION("""COMPUTED_VALUE"""),"Adecuado para la extracción de volante de diferentes marcas de automóviles. Perno central giratorio.
Tratamiento en el material de la herramienta. Incluye juego de tornillos.")</f>
        <v>Adecuado para la extracción de volante de diferentes marcas de automóviles. Perno central giratorio.
Tratamiento en el material de la herramienta. Incluye juego de tornillos.</v>
      </c>
      <c r="J881" s="213">
        <f>IFERROR(__xludf.DUMMYFUNCTION("""COMPUTED_VALUE"""),3.0)</f>
        <v>3</v>
      </c>
      <c r="K881" s="213" t="str">
        <f>IFERROR(__xludf.DUMMYFUNCTION("""COMPUTED_VALUE"""),"90 DÍAS CALENDARIO")</f>
        <v>90 DÍAS CALENDARIO</v>
      </c>
      <c r="L881" s="213" t="str">
        <f>IFERROR(__xludf.DUMMYFUNCTION("""COMPUTED_VALUE"""),"")</f>
        <v/>
      </c>
      <c r="M881" s="213">
        <f>IFERROR(__xludf.DUMMYFUNCTION("""COMPUTED_VALUE"""),1.0)</f>
        <v>1</v>
      </c>
      <c r="N881" s="213">
        <f>IFERROR(__xludf.DUMMYFUNCTION("""COMPUTED_VALUE"""),1.0)</f>
        <v>1</v>
      </c>
      <c r="O881" s="213">
        <f>IFERROR(__xludf.DUMMYFUNCTION("""COMPUTED_VALUE"""),1.0)</f>
        <v>1</v>
      </c>
      <c r="P881" s="213"/>
      <c r="Q881" s="213"/>
      <c r="R881" s="213" t="str">
        <f>IFERROR(__xludf.DUMMYFUNCTION("""COMPUTED_VALUE"""),"SI")</f>
        <v>SI</v>
      </c>
      <c r="S881" s="213"/>
      <c r="T881" s="213" t="str">
        <f>IFERROR(__xludf.DUMMYFUNCTION("""COMPUTED_VALUE"""),"SI")</f>
        <v>SI</v>
      </c>
      <c r="U881" s="213" t="str">
        <f>IFERROR(__xludf.DUMMYFUNCTION("""COMPUTED_VALUE"""),"SI")</f>
        <v>SI</v>
      </c>
      <c r="V881" s="213" t="str">
        <f>IFERROR(__xludf.DUMMYFUNCTION("""COMPUTED_VALUE"""),"-")</f>
        <v>-</v>
      </c>
      <c r="W881" s="213" t="str">
        <f>IFERROR(__xludf.DUMMYFUNCTION("""COMPUTED_VALUE"""),"-")</f>
        <v>-</v>
      </c>
      <c r="X881" s="213" t="str">
        <f>IFERROR(__xludf.DUMMYFUNCTION("""COMPUTED_VALUE"""),"TRUPER")</f>
        <v>TRUPER</v>
      </c>
      <c r="Y881" s="213">
        <f>IFERROR(__xludf.DUMMYFUNCTION("""COMPUTED_VALUE"""),14508.0)</f>
        <v>14508</v>
      </c>
      <c r="Z881" s="215" t="str">
        <f>IFERROR(__xludf.DUMMYFUNCTION("""COMPUTED_VALUE"""),"https://drive.google.com/file/d/1UT764cX0OlKmGI7J1vo-oLN7DVoptuOI/view")</f>
        <v>https://drive.google.com/file/d/1UT764cX0OlKmGI7J1vo-oLN7DVoptuOI/view</v>
      </c>
      <c r="AA881" s="213" t="str">
        <f>IFERROR(__xludf.DUMMYFUNCTION("""COMPUTED_VALUE"""),"HER-129 EXTRACTOR DE VOLANTES - CET")</f>
        <v>HER-129 EXTRACTOR DE VOLANTES - CET</v>
      </c>
      <c r="AB881" s="213"/>
      <c r="AC881" s="215" t="str">
        <f>IFERROR(__xludf.DUMMYFUNCTION("""COMPUTED_VALUE"""),"https://drive.google.com/file/d/1UT764cX0OlKmGI7J1vo-oLN7DVoptuOI/view?usp=drive_link")</f>
        <v>https://drive.google.com/file/d/1UT764cX0OlKmGI7J1vo-oLN7DVoptuOI/view?usp=drive_link</v>
      </c>
      <c r="AD881" s="213"/>
      <c r="AE881" s="213"/>
      <c r="AF881" s="213"/>
      <c r="AG881" s="213"/>
      <c r="AH881" s="213" t="str">
        <f>IFERROR(__xludf.DUMMYFUNCTION("""COMPUTED_VALUE"""),"NACIONAL")</f>
        <v>NACIONAL</v>
      </c>
      <c r="AI881" s="213"/>
      <c r="AJ881" s="213"/>
      <c r="AK881" s="213"/>
      <c r="AL881" s="213"/>
      <c r="AM881" s="213"/>
      <c r="AN881" s="213"/>
      <c r="AO881" s="213"/>
      <c r="AP881" s="213" t="str">
        <f>IFERROR(__xludf.DUMMYFUNCTION("""COMPUTED_VALUE"""),"LUIS")</f>
        <v>LUIS</v>
      </c>
      <c r="AQ881" s="213"/>
      <c r="AR881" s="213"/>
      <c r="AS881" s="213"/>
      <c r="AT881" s="213"/>
      <c r="AU881" s="213"/>
      <c r="AV881" s="213"/>
      <c r="AW881" s="213"/>
      <c r="AX881" s="213"/>
      <c r="AY881" s="213"/>
      <c r="AZ881" s="213"/>
      <c r="BA881" s="213"/>
      <c r="BB881" s="213"/>
      <c r="BC881" s="213"/>
      <c r="BD881" s="213"/>
    </row>
    <row r="882">
      <c r="A882" s="213">
        <f>IFERROR(__xludf.DUMMYFUNCTION("""COMPUTED_VALUE"""),1539.0)</f>
        <v>1539</v>
      </c>
      <c r="B882" s="213" t="str">
        <f>IFERROR(__xludf.DUMMYFUNCTION("""COMPUTED_VALUE"""),"GUILLERMO E. BILLINGHURST ")</f>
        <v>GUILLERMO E. BILLINGHURST </v>
      </c>
      <c r="C882" s="213" t="str">
        <f>IFERROR(__xludf.DUMMYFUNCTION("""COMPUTED_VALUE"""),"TALLER SFT DE MECÁNICA AUTOMOTRIZ")</f>
        <v>TALLER SFT DE MECÁNICA AUTOMOTRIZ</v>
      </c>
      <c r="D882" s="213" t="str">
        <f>IFERROR(__xludf.DUMMYFUNCTION("""COMPUTED_VALUE"""),"HERRAMIENTAS")</f>
        <v>HERRAMIENTAS</v>
      </c>
      <c r="E882" s="213" t="str">
        <f>IFERROR(__xludf.DUMMYFUNCTION("""COMPUTED_VALUE"""),"HER-129")</f>
        <v>HER-129</v>
      </c>
      <c r="F882" s="213" t="str">
        <f>IFERROR(__xludf.DUMMYFUNCTION("""COMPUTED_VALUE"""),"HER-129")</f>
        <v>HER-129</v>
      </c>
      <c r="G882" s="213"/>
      <c r="H882" s="213" t="str">
        <f>IFERROR(__xludf.DUMMYFUNCTION("""COMPUTED_VALUE"""),"EXTRACTOR DE VOLANTE")</f>
        <v>EXTRACTOR DE VOLANTE</v>
      </c>
      <c r="I882" s="213" t="str">
        <f>IFERROR(__xludf.DUMMYFUNCTION("""COMPUTED_VALUE"""),"Adecuado para la extracción de volante de diferentes marcas de automóviles. Perno central giratorio.
Tratamiento en el material de la herramienta. Incluye juego de tornillos.")</f>
        <v>Adecuado para la extracción de volante de diferentes marcas de automóviles. Perno central giratorio.
Tratamiento en el material de la herramienta. Incluye juego de tornillos.</v>
      </c>
      <c r="J882" s="213">
        <f>IFERROR(__xludf.DUMMYFUNCTION("""COMPUTED_VALUE"""),3.0)</f>
        <v>3</v>
      </c>
      <c r="K882" s="213" t="str">
        <f>IFERROR(__xludf.DUMMYFUNCTION("""COMPUTED_VALUE"""),"90 DÍAS CALENDARIO")</f>
        <v>90 DÍAS CALENDARIO</v>
      </c>
      <c r="L882" s="213" t="str">
        <f>IFERROR(__xludf.DUMMYFUNCTION("""COMPUTED_VALUE"""),"")</f>
        <v/>
      </c>
      <c r="M882" s="213">
        <f>IFERROR(__xludf.DUMMYFUNCTION("""COMPUTED_VALUE"""),1.0)</f>
        <v>1</v>
      </c>
      <c r="N882" s="213">
        <f>IFERROR(__xludf.DUMMYFUNCTION("""COMPUTED_VALUE"""),1.0)</f>
        <v>1</v>
      </c>
      <c r="O882" s="213">
        <f>IFERROR(__xludf.DUMMYFUNCTION("""COMPUTED_VALUE"""),1.0)</f>
        <v>1</v>
      </c>
      <c r="P882" s="213"/>
      <c r="Q882" s="213"/>
      <c r="R882" s="213" t="str">
        <f>IFERROR(__xludf.DUMMYFUNCTION("""COMPUTED_VALUE"""),"SI")</f>
        <v>SI</v>
      </c>
      <c r="S882" s="213"/>
      <c r="T882" s="213" t="str">
        <f>IFERROR(__xludf.DUMMYFUNCTION("""COMPUTED_VALUE"""),"SI")</f>
        <v>SI</v>
      </c>
      <c r="U882" s="213" t="str">
        <f>IFERROR(__xludf.DUMMYFUNCTION("""COMPUTED_VALUE"""),"SI")</f>
        <v>SI</v>
      </c>
      <c r="V882" s="213" t="str">
        <f>IFERROR(__xludf.DUMMYFUNCTION("""COMPUTED_VALUE"""),"-")</f>
        <v>-</v>
      </c>
      <c r="W882" s="213" t="str">
        <f>IFERROR(__xludf.DUMMYFUNCTION("""COMPUTED_VALUE"""),"-")</f>
        <v>-</v>
      </c>
      <c r="X882" s="213" t="str">
        <f>IFERROR(__xludf.DUMMYFUNCTION("""COMPUTED_VALUE"""),"TRUPER")</f>
        <v>TRUPER</v>
      </c>
      <c r="Y882" s="213">
        <f>IFERROR(__xludf.DUMMYFUNCTION("""COMPUTED_VALUE"""),14508.0)</f>
        <v>14508</v>
      </c>
      <c r="Z882" s="215" t="str">
        <f>IFERROR(__xludf.DUMMYFUNCTION("""COMPUTED_VALUE"""),"https://drive.google.com/file/d/1UT764cX0OlKmGI7J1vo-oLN7DVoptuOI/view")</f>
        <v>https://drive.google.com/file/d/1UT764cX0OlKmGI7J1vo-oLN7DVoptuOI/view</v>
      </c>
      <c r="AA882" s="213" t="str">
        <f>IFERROR(__xludf.DUMMYFUNCTION("""COMPUTED_VALUE"""),"HER-129 EXTRACTOR DE VOLANTES - CET")</f>
        <v>HER-129 EXTRACTOR DE VOLANTES - CET</v>
      </c>
      <c r="AB882" s="213"/>
      <c r="AC882" s="215" t="str">
        <f>IFERROR(__xludf.DUMMYFUNCTION("""COMPUTED_VALUE"""),"https://drive.google.com/file/d/1UT764cX0OlKmGI7J1vo-oLN7DVoptuOI/view?usp=drive_link")</f>
        <v>https://drive.google.com/file/d/1UT764cX0OlKmGI7J1vo-oLN7DVoptuOI/view?usp=drive_link</v>
      </c>
      <c r="AD882" s="213"/>
      <c r="AE882" s="213"/>
      <c r="AF882" s="213"/>
      <c r="AG882" s="213"/>
      <c r="AH882" s="213" t="str">
        <f>IFERROR(__xludf.DUMMYFUNCTION("""COMPUTED_VALUE"""),"NACIONAL")</f>
        <v>NACIONAL</v>
      </c>
      <c r="AI882" s="213"/>
      <c r="AJ882" s="213"/>
      <c r="AK882" s="213"/>
      <c r="AL882" s="213"/>
      <c r="AM882" s="213"/>
      <c r="AN882" s="213"/>
      <c r="AO882" s="213"/>
      <c r="AP882" s="213" t="str">
        <f>IFERROR(__xludf.DUMMYFUNCTION("""COMPUTED_VALUE"""),"LUIS")</f>
        <v>LUIS</v>
      </c>
      <c r="AQ882" s="213"/>
      <c r="AR882" s="213"/>
      <c r="AS882" s="213"/>
      <c r="AT882" s="213"/>
      <c r="AU882" s="213"/>
      <c r="AV882" s="213"/>
      <c r="AW882" s="213"/>
      <c r="AX882" s="213"/>
      <c r="AY882" s="213"/>
      <c r="AZ882" s="213"/>
      <c r="BA882" s="213"/>
      <c r="BB882" s="213"/>
      <c r="BC882" s="213"/>
      <c r="BD882" s="213"/>
    </row>
    <row r="883">
      <c r="A883" s="213">
        <f>IFERROR(__xludf.DUMMYFUNCTION("""COMPUTED_VALUE"""),2231.0)</f>
        <v>2231</v>
      </c>
      <c r="B883" s="213" t="str">
        <f>IFERROR(__xludf.DUMMYFUNCTION("""COMPUTED_VALUE"""),"JOSE GRANDA")</f>
        <v>JOSE GRANDA</v>
      </c>
      <c r="C883" s="213" t="str">
        <f>IFERROR(__xludf.DUMMYFUNCTION("""COMPUTED_VALUE"""),"TALLER SFT DE MECÁNICA AUTOMOTRIZ")</f>
        <v>TALLER SFT DE MECÁNICA AUTOMOTRIZ</v>
      </c>
      <c r="D883" s="213" t="str">
        <f>IFERROR(__xludf.DUMMYFUNCTION("""COMPUTED_VALUE"""),"HERRAMIENTAS")</f>
        <v>HERRAMIENTAS</v>
      </c>
      <c r="E883" s="213" t="str">
        <f>IFERROR(__xludf.DUMMYFUNCTION("""COMPUTED_VALUE"""),"HER-129")</f>
        <v>HER-129</v>
      </c>
      <c r="F883" s="213" t="str">
        <f>IFERROR(__xludf.DUMMYFUNCTION("""COMPUTED_VALUE"""),"HER-129")</f>
        <v>HER-129</v>
      </c>
      <c r="G883" s="213"/>
      <c r="H883" s="213" t="str">
        <f>IFERROR(__xludf.DUMMYFUNCTION("""COMPUTED_VALUE"""),"EXTRACTOR DE VOLANTE")</f>
        <v>EXTRACTOR DE VOLANTE</v>
      </c>
      <c r="I883" s="213" t="str">
        <f>IFERROR(__xludf.DUMMYFUNCTION("""COMPUTED_VALUE"""),"Adecuado para la extracción de volante de diferentes marcas de automóviles. Perno central giratorio.
Tratamiento en el material de la herramienta. Incluye juego de tornillos.")</f>
        <v>Adecuado para la extracción de volante de diferentes marcas de automóviles. Perno central giratorio.
Tratamiento en el material de la herramienta. Incluye juego de tornillos.</v>
      </c>
      <c r="J883" s="213">
        <f>IFERROR(__xludf.DUMMYFUNCTION("""COMPUTED_VALUE"""),3.0)</f>
        <v>3</v>
      </c>
      <c r="K883" s="213" t="str">
        <f>IFERROR(__xludf.DUMMYFUNCTION("""COMPUTED_VALUE"""),"90 DÍAS CALENDARIO")</f>
        <v>90 DÍAS CALENDARIO</v>
      </c>
      <c r="L883" s="213" t="str">
        <f>IFERROR(__xludf.DUMMYFUNCTION("""COMPUTED_VALUE"""),"")</f>
        <v/>
      </c>
      <c r="M883" s="213">
        <f>IFERROR(__xludf.DUMMYFUNCTION("""COMPUTED_VALUE"""),1.0)</f>
        <v>1</v>
      </c>
      <c r="N883" s="213">
        <f>IFERROR(__xludf.DUMMYFUNCTION("""COMPUTED_VALUE"""),1.0)</f>
        <v>1</v>
      </c>
      <c r="O883" s="213">
        <f>IFERROR(__xludf.DUMMYFUNCTION("""COMPUTED_VALUE"""),1.0)</f>
        <v>1</v>
      </c>
      <c r="P883" s="213"/>
      <c r="Q883" s="213"/>
      <c r="R883" s="213" t="str">
        <f>IFERROR(__xludf.DUMMYFUNCTION("""COMPUTED_VALUE"""),"SI")</f>
        <v>SI</v>
      </c>
      <c r="S883" s="213"/>
      <c r="T883" s="213" t="str">
        <f>IFERROR(__xludf.DUMMYFUNCTION("""COMPUTED_VALUE"""),"SI")</f>
        <v>SI</v>
      </c>
      <c r="U883" s="213" t="str">
        <f>IFERROR(__xludf.DUMMYFUNCTION("""COMPUTED_VALUE"""),"SI")</f>
        <v>SI</v>
      </c>
      <c r="V883" s="213" t="str">
        <f>IFERROR(__xludf.DUMMYFUNCTION("""COMPUTED_VALUE"""),"-")</f>
        <v>-</v>
      </c>
      <c r="W883" s="213" t="str">
        <f>IFERROR(__xludf.DUMMYFUNCTION("""COMPUTED_VALUE"""),"-")</f>
        <v>-</v>
      </c>
      <c r="X883" s="213" t="str">
        <f>IFERROR(__xludf.DUMMYFUNCTION("""COMPUTED_VALUE"""),"TRUPER")</f>
        <v>TRUPER</v>
      </c>
      <c r="Y883" s="213">
        <f>IFERROR(__xludf.DUMMYFUNCTION("""COMPUTED_VALUE"""),14508.0)</f>
        <v>14508</v>
      </c>
      <c r="Z883" s="215" t="str">
        <f>IFERROR(__xludf.DUMMYFUNCTION("""COMPUTED_VALUE"""),"https://drive.google.com/file/d/1UT764cX0OlKmGI7J1vo-oLN7DVoptuOI/view")</f>
        <v>https://drive.google.com/file/d/1UT764cX0OlKmGI7J1vo-oLN7DVoptuOI/view</v>
      </c>
      <c r="AA883" s="213" t="str">
        <f>IFERROR(__xludf.DUMMYFUNCTION("""COMPUTED_VALUE"""),"HER-129 EXTRACTOR DE VOLANTES - CET")</f>
        <v>HER-129 EXTRACTOR DE VOLANTES - CET</v>
      </c>
      <c r="AB883" s="213"/>
      <c r="AC883" s="215" t="str">
        <f>IFERROR(__xludf.DUMMYFUNCTION("""COMPUTED_VALUE"""),"https://drive.google.com/file/d/1UT764cX0OlKmGI7J1vo-oLN7DVoptuOI/view?usp=drive_link")</f>
        <v>https://drive.google.com/file/d/1UT764cX0OlKmGI7J1vo-oLN7DVoptuOI/view?usp=drive_link</v>
      </c>
      <c r="AD883" s="213"/>
      <c r="AE883" s="213"/>
      <c r="AF883" s="213"/>
      <c r="AG883" s="213"/>
      <c r="AH883" s="213" t="str">
        <f>IFERROR(__xludf.DUMMYFUNCTION("""COMPUTED_VALUE"""),"NACIONAL")</f>
        <v>NACIONAL</v>
      </c>
      <c r="AI883" s="213"/>
      <c r="AJ883" s="213"/>
      <c r="AK883" s="213"/>
      <c r="AL883" s="213"/>
      <c r="AM883" s="213"/>
      <c r="AN883" s="213"/>
      <c r="AO883" s="213"/>
      <c r="AP883" s="213" t="str">
        <f>IFERROR(__xludf.DUMMYFUNCTION("""COMPUTED_VALUE"""),"LUIS")</f>
        <v>LUIS</v>
      </c>
      <c r="AQ883" s="213"/>
      <c r="AR883" s="213"/>
      <c r="AS883" s="213"/>
      <c r="AT883" s="213"/>
      <c r="AU883" s="213"/>
      <c r="AV883" s="213"/>
      <c r="AW883" s="213"/>
      <c r="AX883" s="213"/>
      <c r="AY883" s="213"/>
      <c r="AZ883" s="213"/>
      <c r="BA883" s="213"/>
      <c r="BB883" s="213"/>
      <c r="BC883" s="213"/>
      <c r="BD883" s="213"/>
    </row>
    <row r="884">
      <c r="A884" s="213">
        <f>IFERROR(__xludf.DUMMYFUNCTION("""COMPUTED_VALUE"""),950.0)</f>
        <v>950</v>
      </c>
      <c r="B884" s="213" t="str">
        <f>IFERROR(__xludf.DUMMYFUNCTION("""COMPUTED_VALUE"""),"FRANCISCO IRAZOLA")</f>
        <v>FRANCISCO IRAZOLA</v>
      </c>
      <c r="C884" s="213" t="str">
        <f>IFERROR(__xludf.DUMMYFUNCTION("""COMPUTED_VALUE"""),"TALLER SFT DE MECÁNICA AUTOMOTRIZ")</f>
        <v>TALLER SFT DE MECÁNICA AUTOMOTRIZ</v>
      </c>
      <c r="D884" s="213" t="str">
        <f>IFERROR(__xludf.DUMMYFUNCTION("""COMPUTED_VALUE"""),"HERRAMIENTAS")</f>
        <v>HERRAMIENTAS</v>
      </c>
      <c r="E884" s="213" t="str">
        <f>IFERROR(__xludf.DUMMYFUNCTION("""COMPUTED_VALUE"""),"HER-132")</f>
        <v>HER-132</v>
      </c>
      <c r="F884" s="213" t="str">
        <f>IFERROR(__xludf.DUMMYFUNCTION("""COMPUTED_VALUE"""),"HER-132")</f>
        <v>HER-132</v>
      </c>
      <c r="G884" s="213"/>
      <c r="H884" s="213" t="str">
        <f>IFERROR(__xludf.DUMMYFUNCTION("""COMPUTED_VALUE"""),"JUEGO DE GAUGE DE LÁMINAS")</f>
        <v>JUEGO DE GAUGE DE LÁMINAS</v>
      </c>
      <c r="I884" s="213" t="str">
        <f>IFERROR(__xludf.DUMMYFUNCTION("""COMPUTED_VALUE"""),"Comprende tres tipos de peines cuentahílos o galga rosca métrica, en pulgadas:
En rosca GAS (ángulo 55° whitworth  - pulgada). Contiene 6 hojas de 8, 10, 11, 14, 19, 28.
En rosca whitworth 55° (pulgada). Contiene 28 hojas de 4, 4.5, 5, 6, 7, 8, 9, 10, 11,"&amp;" 12, 13, 14, 16, 18, 19,
20, 22, 24, 25, 26, 28, 30, 32, 36, 40, 48, 60, 62.
En rosca métrico Internacional 60° (milímetro). Contiene 24 hojas de 0.25, 0.3, 0.35, 0.4, 0.45, 0.5, 0.6, 0.7,
0.75, 0.8, 0.9, 1.0, 1.25, 1.5, 1.75, 2.0, 2.5, 3.0, 3.5, 4.0, 4.5"&amp;", 5.0, 5.5, 6.0.
Material: láminas de acero.")</f>
        <v>Comprende tres tipos de peines cuentahílos o galga rosca métrica, en pulgadas:
En rosca GAS (ángulo 55° whitworth  - pulgada). Contiene 6 hojas de 8, 10, 11, 14, 19, 28.
En rosca whitworth 55° (pulgada). Contiene 28 hojas de 4, 4.5, 5, 6, 7, 8, 9, 10, 11, 12, 13, 14, 16, 18, 19,
20, 22, 24, 25, 26, 28, 30, 32, 36, 40, 48, 60, 62.
En rosca métrico Internacional 60° (milímetro). Contiene 24 hojas de 0.25, 0.3, 0.35, 0.4, 0.45, 0.5, 0.6, 0.7,
0.75, 0.8, 0.9, 1.0, 1.25, 1.5, 1.75, 2.0, 2.5, 3.0, 3.5, 4.0, 4.5, 5.0, 5.5, 6.0.
Material: láminas de acero.</v>
      </c>
      <c r="J884" s="213">
        <f>IFERROR(__xludf.DUMMYFUNCTION("""COMPUTED_VALUE"""),3.0)</f>
        <v>3</v>
      </c>
      <c r="K884" s="213" t="str">
        <f>IFERROR(__xludf.DUMMYFUNCTION("""COMPUTED_VALUE"""),"90 DÍAS CALENDARIO")</f>
        <v>90 DÍAS CALENDARIO</v>
      </c>
      <c r="L884" s="213" t="str">
        <f>IFERROR(__xludf.DUMMYFUNCTION("""COMPUTED_VALUE"""),"")</f>
        <v/>
      </c>
      <c r="M884" s="213">
        <f>IFERROR(__xludf.DUMMYFUNCTION("""COMPUTED_VALUE"""),1.0)</f>
        <v>1</v>
      </c>
      <c r="N884" s="213">
        <f>IFERROR(__xludf.DUMMYFUNCTION("""COMPUTED_VALUE"""),1.0)</f>
        <v>1</v>
      </c>
      <c r="O884" s="213">
        <f>IFERROR(__xludf.DUMMYFUNCTION("""COMPUTED_VALUE"""),1.0)</f>
        <v>1</v>
      </c>
      <c r="P884" s="213"/>
      <c r="Q884" s="213"/>
      <c r="R884" s="213" t="str">
        <f>IFERROR(__xludf.DUMMYFUNCTION("""COMPUTED_VALUE"""),"SI")</f>
        <v>SI</v>
      </c>
      <c r="S884" s="213"/>
      <c r="T884" s="213" t="str">
        <f>IFERROR(__xludf.DUMMYFUNCTION("""COMPUTED_VALUE"""),"SI")</f>
        <v>SI</v>
      </c>
      <c r="U884" s="213" t="str">
        <f>IFERROR(__xludf.DUMMYFUNCTION("""COMPUTED_VALUE"""),"SI")</f>
        <v>SI</v>
      </c>
      <c r="V884" s="213" t="str">
        <f>IFERROR(__xludf.DUMMYFUNCTION("""COMPUTED_VALUE"""),"-")</f>
        <v>-</v>
      </c>
      <c r="W884" s="213" t="str">
        <f>IFERROR(__xludf.DUMMYFUNCTION("""COMPUTED_VALUE"""),"-")</f>
        <v>-</v>
      </c>
      <c r="X884" s="213" t="str">
        <f>IFERROR(__xludf.DUMMYFUNCTION("""COMPUTED_VALUE"""),"THREAD GAUGE")</f>
        <v>THREAD GAUGE</v>
      </c>
      <c r="Y884" s="213" t="str">
        <f>IFERROR(__xludf.DUMMYFUNCTION("""COMPUTED_VALUE"""),"THREAD GAUGE")</f>
        <v>THREAD GAUGE</v>
      </c>
      <c r="Z884" s="215" t="str">
        <f>IFERROR(__xludf.DUMMYFUNCTION("""COMPUTED_VALUE"""),"https://drive.google.com/file/d/1JMrFZxWT0THeoiAHcfRrYaRuA6uVtNPj/view")</f>
        <v>https://drive.google.com/file/d/1JMrFZxWT0THeoiAHcfRrYaRuA6uVtNPj/view</v>
      </c>
      <c r="AA884" s="213" t="str">
        <f>IFERROR(__xludf.DUMMYFUNCTION("""COMPUTED_VALUE"""),"HER-132 JUEGO DE GAUGE DE LÁMINAS - CET")</f>
        <v>HER-132 JUEGO DE GAUGE DE LÁMINAS - CET</v>
      </c>
      <c r="AB884" s="213"/>
      <c r="AC884" s="213"/>
      <c r="AD884" s="213"/>
      <c r="AE884" s="213"/>
      <c r="AF884" s="213"/>
      <c r="AG884" s="213"/>
      <c r="AH884" s="213"/>
      <c r="AI884" s="213"/>
      <c r="AJ884" s="213"/>
      <c r="AK884" s="213"/>
      <c r="AL884" s="213"/>
      <c r="AM884" s="213"/>
      <c r="AN884" s="213"/>
      <c r="AO884" s="213"/>
      <c r="AP884" s="213" t="str">
        <f>IFERROR(__xludf.DUMMYFUNCTION("""COMPUTED_VALUE"""),"LUIS")</f>
        <v>LUIS</v>
      </c>
      <c r="AQ884" s="213"/>
      <c r="AR884" s="213"/>
      <c r="AS884" s="213"/>
      <c r="AT884" s="213"/>
      <c r="AU884" s="213"/>
      <c r="AV884" s="213"/>
      <c r="AW884" s="213"/>
      <c r="AX884" s="213"/>
      <c r="AY884" s="213"/>
      <c r="AZ884" s="213"/>
      <c r="BA884" s="213"/>
      <c r="BB884" s="213"/>
      <c r="BC884" s="213"/>
      <c r="BD884" s="213"/>
    </row>
    <row r="885">
      <c r="A885" s="213">
        <f>IFERROR(__xludf.DUMMYFUNCTION("""COMPUTED_VALUE"""),2243.0)</f>
        <v>2243</v>
      </c>
      <c r="B885" s="213" t="str">
        <f>IFERROR(__xludf.DUMMYFUNCTION("""COMPUTED_VALUE"""),"JOSE GRANDA")</f>
        <v>JOSE GRANDA</v>
      </c>
      <c r="C885" s="213" t="str">
        <f>IFERROR(__xludf.DUMMYFUNCTION("""COMPUTED_VALUE"""),"TALLER SFT DE MECÁNICA AUTOMOTRIZ")</f>
        <v>TALLER SFT DE MECÁNICA AUTOMOTRIZ</v>
      </c>
      <c r="D885" s="213" t="str">
        <f>IFERROR(__xludf.DUMMYFUNCTION("""COMPUTED_VALUE"""),"HERRAMIENTAS")</f>
        <v>HERRAMIENTAS</v>
      </c>
      <c r="E885" s="213" t="str">
        <f>IFERROR(__xludf.DUMMYFUNCTION("""COMPUTED_VALUE"""),"HER-132")</f>
        <v>HER-132</v>
      </c>
      <c r="F885" s="213" t="str">
        <f>IFERROR(__xludf.DUMMYFUNCTION("""COMPUTED_VALUE"""),"HER-132")</f>
        <v>HER-132</v>
      </c>
      <c r="G885" s="213"/>
      <c r="H885" s="213" t="str">
        <f>IFERROR(__xludf.DUMMYFUNCTION("""COMPUTED_VALUE"""),"JUEGO DE GAUGE DE LÁMINAS")</f>
        <v>JUEGO DE GAUGE DE LÁMINAS</v>
      </c>
      <c r="I885" s="213" t="str">
        <f>IFERROR(__xludf.DUMMYFUNCTION("""COMPUTED_VALUE"""),"Comprende tres tipos de peines cuentahílos o galga rosca métrica, en pulgadas:
En rosca GAS (ángulo 55° whitworth  - pulgada). Contiene 6 hojas de 8, 10, 11, 14, 19, 28.
En rosca whitworth 55° (pulgada). Contiene 28 hojas de 4, 4.5, 5, 6, 7, 8, 9, 10, 11,"&amp;" 12, 13, 14, 16, 18, 19,
20, 22, 24, 25, 26, 28, 30, 32, 36, 40, 48, 60, 62.
En rosca métrico Internacional 60° (milímetro). Contiene 24 hojas de 0.25, 0.3, 0.35, 0.4, 0.45, 0.5, 0.6, 0.7,
0.75, 0.8, 0.9, 1.0, 1.25, 1.5, 1.75, 2.0, 2.5, 3.0, 3.5, 4.0, 4.5"&amp;", 5.0, 5.5, 6.0.
Material: láminas de acero.")</f>
        <v>Comprende tres tipos de peines cuentahílos o galga rosca métrica, en pulgadas:
En rosca GAS (ángulo 55° whitworth  - pulgada). Contiene 6 hojas de 8, 10, 11, 14, 19, 28.
En rosca whitworth 55° (pulgada). Contiene 28 hojas de 4, 4.5, 5, 6, 7, 8, 9, 10, 11, 12, 13, 14, 16, 18, 19,
20, 22, 24, 25, 26, 28, 30, 32, 36, 40, 48, 60, 62.
En rosca métrico Internacional 60° (milímetro). Contiene 24 hojas de 0.25, 0.3, 0.35, 0.4, 0.45, 0.5, 0.6, 0.7,
0.75, 0.8, 0.9, 1.0, 1.25, 1.5, 1.75, 2.0, 2.5, 3.0, 3.5, 4.0, 4.5, 5.0, 5.5, 6.0.
Material: láminas de acero.</v>
      </c>
      <c r="J885" s="213">
        <f>IFERROR(__xludf.DUMMYFUNCTION("""COMPUTED_VALUE"""),3.0)</f>
        <v>3</v>
      </c>
      <c r="K885" s="213" t="str">
        <f>IFERROR(__xludf.DUMMYFUNCTION("""COMPUTED_VALUE"""),"90 DÍAS CALENDARIO")</f>
        <v>90 DÍAS CALENDARIO</v>
      </c>
      <c r="L885" s="213" t="str">
        <f>IFERROR(__xludf.DUMMYFUNCTION("""COMPUTED_VALUE"""),"")</f>
        <v/>
      </c>
      <c r="M885" s="213">
        <f>IFERROR(__xludf.DUMMYFUNCTION("""COMPUTED_VALUE"""),1.0)</f>
        <v>1</v>
      </c>
      <c r="N885" s="213">
        <f>IFERROR(__xludf.DUMMYFUNCTION("""COMPUTED_VALUE"""),1.0)</f>
        <v>1</v>
      </c>
      <c r="O885" s="213">
        <f>IFERROR(__xludf.DUMMYFUNCTION("""COMPUTED_VALUE"""),1.0)</f>
        <v>1</v>
      </c>
      <c r="P885" s="213"/>
      <c r="Q885" s="213"/>
      <c r="R885" s="213" t="str">
        <f>IFERROR(__xludf.DUMMYFUNCTION("""COMPUTED_VALUE"""),"SI")</f>
        <v>SI</v>
      </c>
      <c r="S885" s="213"/>
      <c r="T885" s="213" t="str">
        <f>IFERROR(__xludf.DUMMYFUNCTION("""COMPUTED_VALUE"""),"SI")</f>
        <v>SI</v>
      </c>
      <c r="U885" s="213" t="str">
        <f>IFERROR(__xludf.DUMMYFUNCTION("""COMPUTED_VALUE"""),"SI")</f>
        <v>SI</v>
      </c>
      <c r="V885" s="213" t="str">
        <f>IFERROR(__xludf.DUMMYFUNCTION("""COMPUTED_VALUE"""),"-")</f>
        <v>-</v>
      </c>
      <c r="W885" s="213" t="str">
        <f>IFERROR(__xludf.DUMMYFUNCTION("""COMPUTED_VALUE"""),"-")</f>
        <v>-</v>
      </c>
      <c r="X885" s="213" t="str">
        <f>IFERROR(__xludf.DUMMYFUNCTION("""COMPUTED_VALUE"""),"THREAD GAUGE")</f>
        <v>THREAD GAUGE</v>
      </c>
      <c r="Y885" s="213" t="str">
        <f>IFERROR(__xludf.DUMMYFUNCTION("""COMPUTED_VALUE"""),"THREAD GAUGE")</f>
        <v>THREAD GAUGE</v>
      </c>
      <c r="Z885" s="215" t="str">
        <f>IFERROR(__xludf.DUMMYFUNCTION("""COMPUTED_VALUE"""),"https://drive.google.com/file/d/1JMrFZxWT0THeoiAHcfRrYaRuA6uVtNPj/view")</f>
        <v>https://drive.google.com/file/d/1JMrFZxWT0THeoiAHcfRrYaRuA6uVtNPj/view</v>
      </c>
      <c r="AA885" s="213" t="str">
        <f>IFERROR(__xludf.DUMMYFUNCTION("""COMPUTED_VALUE"""),"HER-132 JUEGO DE GAUGE DE LÁMINAS - CET")</f>
        <v>HER-132 JUEGO DE GAUGE DE LÁMINAS - CET</v>
      </c>
      <c r="AB885" s="213"/>
      <c r="AC885" s="213"/>
      <c r="AD885" s="213"/>
      <c r="AE885" s="213"/>
      <c r="AF885" s="213"/>
      <c r="AG885" s="213"/>
      <c r="AH885" s="213"/>
      <c r="AI885" s="213"/>
      <c r="AJ885" s="213"/>
      <c r="AK885" s="213"/>
      <c r="AL885" s="213"/>
      <c r="AM885" s="213"/>
      <c r="AN885" s="213"/>
      <c r="AO885" s="213"/>
      <c r="AP885" s="213" t="str">
        <f>IFERROR(__xludf.DUMMYFUNCTION("""COMPUTED_VALUE"""),"LUIS")</f>
        <v>LUIS</v>
      </c>
      <c r="AQ885" s="213"/>
      <c r="AR885" s="213"/>
      <c r="AS885" s="213"/>
      <c r="AT885" s="213"/>
      <c r="AU885" s="213"/>
      <c r="AV885" s="213"/>
      <c r="AW885" s="213"/>
      <c r="AX885" s="213"/>
      <c r="AY885" s="213"/>
      <c r="AZ885" s="213"/>
      <c r="BA885" s="213"/>
      <c r="BB885" s="213"/>
      <c r="BC885" s="213"/>
      <c r="BD885" s="213"/>
    </row>
    <row r="886">
      <c r="A886" s="213"/>
      <c r="B886" s="213" t="str">
        <f>IFERROR(__xludf.DUMMYFUNCTION("""COMPUTED_VALUE"""),"GUILLERMO E. BILLINGHURST ")</f>
        <v>GUILLERMO E. BILLINGHURST </v>
      </c>
      <c r="C886" s="213" t="str">
        <f>IFERROR(__xludf.DUMMYFUNCTION("""COMPUTED_VALUE"""),"TALLER SFT DE MECÁNICA AUTOMOTRIZ")</f>
        <v>TALLER SFT DE MECÁNICA AUTOMOTRIZ</v>
      </c>
      <c r="D886" s="213" t="str">
        <f>IFERROR(__xludf.DUMMYFUNCTION("""COMPUTED_VALUE"""),"HERRAMIENTAS")</f>
        <v>HERRAMIENTAS</v>
      </c>
      <c r="E886" s="213" t="str">
        <f>IFERROR(__xludf.DUMMYFUNCTION("""COMPUTED_VALUE"""),"HER-132")</f>
        <v>HER-132</v>
      </c>
      <c r="F886" s="213" t="str">
        <f>IFERROR(__xludf.DUMMYFUNCTION("""COMPUTED_VALUE"""),"HER-132")</f>
        <v>HER-132</v>
      </c>
      <c r="G886" s="213"/>
      <c r="H886" s="213" t="str">
        <f>IFERROR(__xludf.DUMMYFUNCTION("""COMPUTED_VALUE"""),"JUEGO DE GAUGE DE LÁMINAS")</f>
        <v>JUEGO DE GAUGE DE LÁMINAS</v>
      </c>
      <c r="I886" s="213" t="str">
        <f>IFERROR(__xludf.DUMMYFUNCTION("""COMPUTED_VALUE"""),"Comprende tres tipos de peines cuentahílos o galga rosca métrica, en pulgadas:
En rosca GAS (ángulo 55° whitworth  - pulgada). Contiene 6 hojas de 8, 10, 11, 14, 19, 28.
En rosca whitworth 55° (pulgada). Contiene 28 hojas de 4, 4.5, 5, 6, 7, 8, 9, 10, 11,"&amp;" 12, 13, 14, 16, 18, 19,
20, 22, 24, 25, 26, 28, 30, 32, 36, 40, 48, 60, 62.
En rosca métrico Internacional 60° (milímetro). Contiene 24 hojas de 0.25, 0.3, 0.35, 0.4, 0.45, 0.5, 0.6, 0.7,
0.75, 0.8, 0.9, 1.0, 1.25, 1.5, 1.75, 2.0, 2.5, 3.0, 3.5, 4.0, 4.5"&amp;", 5.0, 5.5, 6.0.
Material: láminas de acero.")</f>
        <v>Comprende tres tipos de peines cuentahílos o galga rosca métrica, en pulgadas:
En rosca GAS (ángulo 55° whitworth  - pulgada). Contiene 6 hojas de 8, 10, 11, 14, 19, 28.
En rosca whitworth 55° (pulgada). Contiene 28 hojas de 4, 4.5, 5, 6, 7, 8, 9, 10, 11, 12, 13, 14, 16, 18, 19,
20, 22, 24, 25, 26, 28, 30, 32, 36, 40, 48, 60, 62.
En rosca métrico Internacional 60° (milímetro). Contiene 24 hojas de 0.25, 0.3, 0.35, 0.4, 0.45, 0.5, 0.6, 0.7,
0.75, 0.8, 0.9, 1.0, 1.25, 1.5, 1.75, 2.0, 2.5, 3.0, 3.5, 4.0, 4.5, 5.0, 5.5, 6.0.
Material: láminas de acero.</v>
      </c>
      <c r="J886" s="213">
        <f>IFERROR(__xludf.DUMMYFUNCTION("""COMPUTED_VALUE"""),3.0)</f>
        <v>3</v>
      </c>
      <c r="K886" s="213" t="str">
        <f>IFERROR(__xludf.DUMMYFUNCTION("""COMPUTED_VALUE"""),"90 DÍAS CALENDARIO")</f>
        <v>90 DÍAS CALENDARIO</v>
      </c>
      <c r="L886" s="213" t="str">
        <f>IFERROR(__xludf.DUMMYFUNCTION("""COMPUTED_VALUE"""),"")</f>
        <v/>
      </c>
      <c r="M886" s="213">
        <f>IFERROR(__xludf.DUMMYFUNCTION("""COMPUTED_VALUE"""),1.0)</f>
        <v>1</v>
      </c>
      <c r="N886" s="213">
        <f>IFERROR(__xludf.DUMMYFUNCTION("""COMPUTED_VALUE"""),1.0)</f>
        <v>1</v>
      </c>
      <c r="O886" s="213">
        <f>IFERROR(__xludf.DUMMYFUNCTION("""COMPUTED_VALUE"""),1.0)</f>
        <v>1</v>
      </c>
      <c r="P886" s="213"/>
      <c r="Q886" s="213"/>
      <c r="R886" s="213" t="str">
        <f>IFERROR(__xludf.DUMMYFUNCTION("""COMPUTED_VALUE"""),"SI")</f>
        <v>SI</v>
      </c>
      <c r="S886" s="213"/>
      <c r="T886" s="213" t="str">
        <f>IFERROR(__xludf.DUMMYFUNCTION("""COMPUTED_VALUE"""),"SI")</f>
        <v>SI</v>
      </c>
      <c r="U886" s="213" t="str">
        <f>IFERROR(__xludf.DUMMYFUNCTION("""COMPUTED_VALUE"""),"SI")</f>
        <v>SI</v>
      </c>
      <c r="V886" s="213" t="str">
        <f>IFERROR(__xludf.DUMMYFUNCTION("""COMPUTED_VALUE"""),"-")</f>
        <v>-</v>
      </c>
      <c r="W886" s="213" t="str">
        <f>IFERROR(__xludf.DUMMYFUNCTION("""COMPUTED_VALUE"""),"-")</f>
        <v>-</v>
      </c>
      <c r="X886" s="213" t="str">
        <f>IFERROR(__xludf.DUMMYFUNCTION("""COMPUTED_VALUE"""),"THREAD GAUGE")</f>
        <v>THREAD GAUGE</v>
      </c>
      <c r="Y886" s="213" t="str">
        <f>IFERROR(__xludf.DUMMYFUNCTION("""COMPUTED_VALUE"""),"THREAD GAUGE")</f>
        <v>THREAD GAUGE</v>
      </c>
      <c r="Z886" s="215" t="str">
        <f>IFERROR(__xludf.DUMMYFUNCTION("""COMPUTED_VALUE"""),"https://drive.google.com/file/d/1JMrFZxWT0THeoiAHcfRrYaRuA6uVtNPj/view")</f>
        <v>https://drive.google.com/file/d/1JMrFZxWT0THeoiAHcfRrYaRuA6uVtNPj/view</v>
      </c>
      <c r="AA886" s="213" t="str">
        <f>IFERROR(__xludf.DUMMYFUNCTION("""COMPUTED_VALUE"""),"HER-132 JUEGO DE GAUGE DE LÁMINAS - CET")</f>
        <v>HER-132 JUEGO DE GAUGE DE LÁMINAS - CET</v>
      </c>
      <c r="AB886" s="213"/>
      <c r="AC886" s="213"/>
      <c r="AD886" s="213"/>
      <c r="AE886" s="213"/>
      <c r="AF886" s="213"/>
      <c r="AG886" s="213"/>
      <c r="AH886" s="213"/>
      <c r="AI886" s="213"/>
      <c r="AJ886" s="213"/>
      <c r="AK886" s="213"/>
      <c r="AL886" s="213"/>
      <c r="AM886" s="213"/>
      <c r="AN886" s="213"/>
      <c r="AO886" s="213"/>
      <c r="AP886" s="213" t="str">
        <f>IFERROR(__xludf.DUMMYFUNCTION("""COMPUTED_VALUE"""),"LUIS")</f>
        <v>LUIS</v>
      </c>
      <c r="AQ886" s="213"/>
      <c r="AR886" s="213"/>
      <c r="AS886" s="213"/>
      <c r="AT886" s="213"/>
      <c r="AU886" s="213"/>
      <c r="AV886" s="213"/>
      <c r="AW886" s="213"/>
      <c r="AX886" s="213"/>
      <c r="AY886" s="213"/>
      <c r="AZ886" s="213"/>
      <c r="BA886" s="213"/>
      <c r="BB886" s="213"/>
      <c r="BC886" s="213"/>
      <c r="BD886" s="213"/>
    </row>
    <row r="887">
      <c r="A887" s="213">
        <f>IFERROR(__xludf.DUMMYFUNCTION("""COMPUTED_VALUE"""),267.0)</f>
        <v>267</v>
      </c>
      <c r="B887" s="213" t="str">
        <f>IFERROR(__xludf.DUMMYFUNCTION("""COMPUTED_VALUE"""),"2026 SIMON BOLIVAR")</f>
        <v>2026 SIMON BOLIVAR</v>
      </c>
      <c r="C887" s="213" t="str">
        <f>IFERROR(__xludf.DUMMYFUNCTION("""COMPUTED_VALUE"""),"TALLER SFT DE COMPUTACIÓN E INFORMÁTICA")</f>
        <v>TALLER SFT DE COMPUTACIÓN E INFORMÁTICA</v>
      </c>
      <c r="D887" s="213" t="str">
        <f>IFERROR(__xludf.DUMMYFUNCTION("""COMPUTED_VALUE"""),"HERRAMIENTAS")</f>
        <v>HERRAMIENTAS</v>
      </c>
      <c r="E887" s="213" t="str">
        <f>IFERROR(__xludf.DUMMYFUNCTION("""COMPUTED_VALUE"""),"HER-133")</f>
        <v>HER-133</v>
      </c>
      <c r="F887" s="213" t="str">
        <f>IFERROR(__xludf.DUMMYFUNCTION("""COMPUTED_VALUE"""),"HER-133")</f>
        <v>HER-133</v>
      </c>
      <c r="G887" s="213"/>
      <c r="H887" s="213" t="str">
        <f>IFERROR(__xludf.DUMMYFUNCTION("""COMPUTED_VALUE"""),"HERRAMIENTA DE IMPACTO")</f>
        <v>HERRAMIENTA DE IMPACTO</v>
      </c>
      <c r="I887" s="213" t="str">
        <f>IFERROR(__xludf.DUMMYFUNCTION("""COMPUTED_VALUE"""),"·  Herramienta versátil, que permite insertar, cortar y terminar conectores
·  Gancho y  punta punzadora incorporados en mango
·  Mecanismo de giro y bloqueo
·  Mecanismo de compresión de resorte (alto/bajo)
·  Compartimiento tapa y seguro para guardar ho"&amp;"ja
·  Cabezal con hoja de acero reversible: un extremo termina y corta el cable, en tanto que el otro sólo ensambla sin cortar
·  Mangos ergonómicos antideslizantes")</f>
        <v>·  Herramienta versátil, que permite insertar, cortar y terminar conectores
·  Gancho y  punta punzadora incorporados en mango
·  Mecanismo de giro y bloqueo
·  Mecanismo de compresión de resorte (alto/bajo)
·  Compartimiento tapa y seguro para guardar hoja
·  Cabezal con hoja de acero reversible: un extremo termina y corta el cable, en tanto que el otro sólo ensambla sin cortar
·  Mangos ergonómicos antideslizantes</v>
      </c>
      <c r="J887" s="213">
        <f>IFERROR(__xludf.DUMMYFUNCTION("""COMPUTED_VALUE"""),3.0)</f>
        <v>3</v>
      </c>
      <c r="K887" s="213" t="str">
        <f>IFERROR(__xludf.DUMMYFUNCTION("""COMPUTED_VALUE"""),"90 DÍAS CALENDARIO")</f>
        <v>90 DÍAS CALENDARIO</v>
      </c>
      <c r="L887" s="213" t="str">
        <f>IFERROR(__xludf.DUMMYFUNCTION("""COMPUTED_VALUE"""),"")</f>
        <v/>
      </c>
      <c r="M887" s="213">
        <f>IFERROR(__xludf.DUMMYFUNCTION("""COMPUTED_VALUE"""),1.0)</f>
        <v>1</v>
      </c>
      <c r="N887" s="213">
        <f>IFERROR(__xludf.DUMMYFUNCTION("""COMPUTED_VALUE"""),4.0)</f>
        <v>4</v>
      </c>
      <c r="O887" s="213">
        <f>IFERROR(__xludf.DUMMYFUNCTION("""COMPUTED_VALUE"""),4.0)</f>
        <v>4</v>
      </c>
      <c r="P887" s="213"/>
      <c r="Q887" s="213"/>
      <c r="R887" s="213" t="str">
        <f>IFERROR(__xludf.DUMMYFUNCTION("""COMPUTED_VALUE"""),"SI")</f>
        <v>SI</v>
      </c>
      <c r="S887" s="213"/>
      <c r="T887" s="213" t="str">
        <f>IFERROR(__xludf.DUMMYFUNCTION("""COMPUTED_VALUE"""),"SI")</f>
        <v>SI</v>
      </c>
      <c r="U887" s="213" t="str">
        <f>IFERROR(__xludf.DUMMYFUNCTION("""COMPUTED_VALUE"""),"SI")</f>
        <v>SI</v>
      </c>
      <c r="V887" s="213" t="str">
        <f>IFERROR(__xludf.DUMMYFUNCTION("""COMPUTED_VALUE"""),"-")</f>
        <v>-</v>
      </c>
      <c r="W887" s="213" t="str">
        <f>IFERROR(__xludf.DUMMYFUNCTION("""COMPUTED_VALUE"""),"-")</f>
        <v>-</v>
      </c>
      <c r="X887" s="213" t="str">
        <f>IFERROR(__xludf.DUMMYFUNCTION("""COMPUTED_VALUE"""),"NEXXT")</f>
        <v>NEXXT</v>
      </c>
      <c r="Y887" s="213" t="str">
        <f>IFERROR(__xludf.DUMMYFUNCTION("""COMPUTED_VALUE"""),"AW250NXT11")</f>
        <v>AW250NXT11</v>
      </c>
      <c r="Z887" s="215" t="str">
        <f>IFERROR(__xludf.DUMMYFUNCTION("""COMPUTED_VALUE"""),"https://www.nexxtsolutions.com/es/infraestructura/interna-productos/AW250NXT11-es/")</f>
        <v>https://www.nexxtsolutions.com/es/infraestructura/interna-productos/AW250NXT11-es/</v>
      </c>
      <c r="AA887" s="213" t="str">
        <f>IFERROR(__xludf.DUMMYFUNCTION("""COMPUTED_VALUE"""),"HER-133 HERRAMIENTA DE IMPACTO - CET")</f>
        <v>HER-133 HERRAMIENTA DE IMPACTO - CET</v>
      </c>
      <c r="AB887" s="213"/>
      <c r="AC887" s="213"/>
      <c r="AD887" s="213"/>
      <c r="AE887" s="213"/>
      <c r="AF887" s="213"/>
      <c r="AG887" s="213"/>
      <c r="AH887" s="213"/>
      <c r="AI887" s="213"/>
      <c r="AJ887" s="213"/>
      <c r="AK887" s="213"/>
      <c r="AL887" s="213"/>
      <c r="AM887" s="213"/>
      <c r="AN887" s="213"/>
      <c r="AO887" s="213"/>
      <c r="AP887" s="213" t="str">
        <f>IFERROR(__xludf.DUMMYFUNCTION("""COMPUTED_VALUE"""),"LUIS")</f>
        <v>LUIS</v>
      </c>
      <c r="AQ887" s="213"/>
      <c r="AR887" s="213"/>
      <c r="AS887" s="213"/>
      <c r="AT887" s="213"/>
      <c r="AU887" s="213"/>
      <c r="AV887" s="213"/>
      <c r="AW887" s="213"/>
      <c r="AX887" s="213"/>
      <c r="AY887" s="213"/>
      <c r="AZ887" s="213"/>
      <c r="BA887" s="213"/>
      <c r="BB887" s="213"/>
      <c r="BC887" s="213"/>
      <c r="BD887" s="213"/>
    </row>
    <row r="888">
      <c r="A888" s="213">
        <f>IFERROR(__xludf.DUMMYFUNCTION("""COMPUTED_VALUE"""),752.0)</f>
        <v>752</v>
      </c>
      <c r="B888" s="213" t="str">
        <f>IFERROR(__xludf.DUMMYFUNCTION("""COMPUTED_VALUE"""),"6049 RICARDO PALMA")</f>
        <v>6049 RICARDO PALMA</v>
      </c>
      <c r="C888" s="213" t="str">
        <f>IFERROR(__xludf.DUMMYFUNCTION("""COMPUTED_VALUE"""),"TALLER SFT DE COMPUTACIÓN E INFORMÁTICA")</f>
        <v>TALLER SFT DE COMPUTACIÓN E INFORMÁTICA</v>
      </c>
      <c r="D888" s="213" t="str">
        <f>IFERROR(__xludf.DUMMYFUNCTION("""COMPUTED_VALUE"""),"HERRAMIENTAS")</f>
        <v>HERRAMIENTAS</v>
      </c>
      <c r="E888" s="213" t="str">
        <f>IFERROR(__xludf.DUMMYFUNCTION("""COMPUTED_VALUE"""),"HER-133")</f>
        <v>HER-133</v>
      </c>
      <c r="F888" s="213" t="str">
        <f>IFERROR(__xludf.DUMMYFUNCTION("""COMPUTED_VALUE"""),"HER-133")</f>
        <v>HER-133</v>
      </c>
      <c r="G888" s="213"/>
      <c r="H888" s="213" t="str">
        <f>IFERROR(__xludf.DUMMYFUNCTION("""COMPUTED_VALUE"""),"HERRAMIENTA DE IMPACTO")</f>
        <v>HERRAMIENTA DE IMPACTO</v>
      </c>
      <c r="I888" s="213" t="str">
        <f>IFERROR(__xludf.DUMMYFUNCTION("""COMPUTED_VALUE"""),"·  Herramienta versátil, que permite insertar, cortar y terminar conectores
·  Gancho y  punta punzadora incorporados en mango
·  Mecanismo de giro y bloqueo
·  Mecanismo de compresión de resorte (alto/bajo)
·  Compartimiento tapa y seguro para guardar ho"&amp;"ja
·  Cabezal con hoja de acero reversible: un extremo termina y corta el cable, en tanto que el otro sólo ensambla sin cortar
·  Mangos ergonómicos antideslizantes")</f>
        <v>·  Herramienta versátil, que permite insertar, cortar y terminar conectores
·  Gancho y  punta punzadora incorporados en mango
·  Mecanismo de giro y bloqueo
·  Mecanismo de compresión de resorte (alto/bajo)
·  Compartimiento tapa y seguro para guardar hoja
·  Cabezal con hoja de acero reversible: un extremo termina y corta el cable, en tanto que el otro sólo ensambla sin cortar
·  Mangos ergonómicos antideslizantes</v>
      </c>
      <c r="J888" s="213">
        <f>IFERROR(__xludf.DUMMYFUNCTION("""COMPUTED_VALUE"""),3.0)</f>
        <v>3</v>
      </c>
      <c r="K888" s="213" t="str">
        <f>IFERROR(__xludf.DUMMYFUNCTION("""COMPUTED_VALUE"""),"90 DÍAS CALENDARIO")</f>
        <v>90 DÍAS CALENDARIO</v>
      </c>
      <c r="L888" s="213" t="str">
        <f>IFERROR(__xludf.DUMMYFUNCTION("""COMPUTED_VALUE"""),"")</f>
        <v/>
      </c>
      <c r="M888" s="213">
        <f>IFERROR(__xludf.DUMMYFUNCTION("""COMPUTED_VALUE"""),1.0)</f>
        <v>1</v>
      </c>
      <c r="N888" s="213">
        <f>IFERROR(__xludf.DUMMYFUNCTION("""COMPUTED_VALUE"""),4.0)</f>
        <v>4</v>
      </c>
      <c r="O888" s="213">
        <f>IFERROR(__xludf.DUMMYFUNCTION("""COMPUTED_VALUE"""),4.0)</f>
        <v>4</v>
      </c>
      <c r="P888" s="213"/>
      <c r="Q888" s="213"/>
      <c r="R888" s="213" t="str">
        <f>IFERROR(__xludf.DUMMYFUNCTION("""COMPUTED_VALUE"""),"SI")</f>
        <v>SI</v>
      </c>
      <c r="S888" s="213"/>
      <c r="T888" s="213" t="str">
        <f>IFERROR(__xludf.DUMMYFUNCTION("""COMPUTED_VALUE"""),"SI")</f>
        <v>SI</v>
      </c>
      <c r="U888" s="213" t="str">
        <f>IFERROR(__xludf.DUMMYFUNCTION("""COMPUTED_VALUE"""),"SI")</f>
        <v>SI</v>
      </c>
      <c r="V888" s="213" t="str">
        <f>IFERROR(__xludf.DUMMYFUNCTION("""COMPUTED_VALUE"""),"-")</f>
        <v>-</v>
      </c>
      <c r="W888" s="213" t="str">
        <f>IFERROR(__xludf.DUMMYFUNCTION("""COMPUTED_VALUE"""),"-")</f>
        <v>-</v>
      </c>
      <c r="X888" s="213" t="str">
        <f>IFERROR(__xludf.DUMMYFUNCTION("""COMPUTED_VALUE"""),"NEXXT")</f>
        <v>NEXXT</v>
      </c>
      <c r="Y888" s="213" t="str">
        <f>IFERROR(__xludf.DUMMYFUNCTION("""COMPUTED_VALUE"""),"AW250NXT12")</f>
        <v>AW250NXT12</v>
      </c>
      <c r="Z888" s="215" t="str">
        <f>IFERROR(__xludf.DUMMYFUNCTION("""COMPUTED_VALUE"""),"https://www.nexxtsolutions.com/es/infraestructura/interna-productos/AW250NXT11-es/")</f>
        <v>https://www.nexxtsolutions.com/es/infraestructura/interna-productos/AW250NXT11-es/</v>
      </c>
      <c r="AA888" s="213" t="str">
        <f>IFERROR(__xludf.DUMMYFUNCTION("""COMPUTED_VALUE"""),"HER-133 HERRAMIENTA DE IMPACTO - CET")</f>
        <v>HER-133 HERRAMIENTA DE IMPACTO - CET</v>
      </c>
      <c r="AB888" s="213"/>
      <c r="AC888" s="213"/>
      <c r="AD888" s="213"/>
      <c r="AE888" s="213"/>
      <c r="AF888" s="213"/>
      <c r="AG888" s="213"/>
      <c r="AH888" s="213"/>
      <c r="AI888" s="213"/>
      <c r="AJ888" s="213"/>
      <c r="AK888" s="213"/>
      <c r="AL888" s="213"/>
      <c r="AM888" s="213"/>
      <c r="AN888" s="213"/>
      <c r="AO888" s="213"/>
      <c r="AP888" s="213" t="str">
        <f>IFERROR(__xludf.DUMMYFUNCTION("""COMPUTED_VALUE"""),"LUIS")</f>
        <v>LUIS</v>
      </c>
      <c r="AQ888" s="213"/>
      <c r="AR888" s="213"/>
      <c r="AS888" s="213"/>
      <c r="AT888" s="213"/>
      <c r="AU888" s="213"/>
      <c r="AV888" s="213"/>
      <c r="AW888" s="213"/>
      <c r="AX888" s="213"/>
      <c r="AY888" s="213"/>
      <c r="AZ888" s="213"/>
      <c r="BA888" s="213"/>
      <c r="BB888" s="213"/>
      <c r="BC888" s="213"/>
      <c r="BD888" s="213"/>
    </row>
    <row r="889">
      <c r="A889" s="213">
        <f>IFERROR(__xludf.DUMMYFUNCTION("""COMPUTED_VALUE"""),1690.0)</f>
        <v>1690</v>
      </c>
      <c r="B889" s="213" t="str">
        <f>IFERROR(__xludf.DUMMYFUNCTION("""COMPUTED_VALUE"""),"GUILLERMO E. BILLINGHURST ")</f>
        <v>GUILLERMO E. BILLINGHURST </v>
      </c>
      <c r="C889" s="213" t="str">
        <f>IFERROR(__xludf.DUMMYFUNCTION("""COMPUTED_VALUE"""),"TALLER SFT DE COMPUTACIÓN E INFORMÁTICA")</f>
        <v>TALLER SFT DE COMPUTACIÓN E INFORMÁTICA</v>
      </c>
      <c r="D889" s="213" t="str">
        <f>IFERROR(__xludf.DUMMYFUNCTION("""COMPUTED_VALUE"""),"HERRAMIENTAS")</f>
        <v>HERRAMIENTAS</v>
      </c>
      <c r="E889" s="213" t="str">
        <f>IFERROR(__xludf.DUMMYFUNCTION("""COMPUTED_VALUE"""),"HER-133")</f>
        <v>HER-133</v>
      </c>
      <c r="F889" s="213" t="str">
        <f>IFERROR(__xludf.DUMMYFUNCTION("""COMPUTED_VALUE"""),"HER-133")</f>
        <v>HER-133</v>
      </c>
      <c r="G889" s="213"/>
      <c r="H889" s="213" t="str">
        <f>IFERROR(__xludf.DUMMYFUNCTION("""COMPUTED_VALUE"""),"HERRAMIENTA DE IMPACTO")</f>
        <v>HERRAMIENTA DE IMPACTO</v>
      </c>
      <c r="I889" s="213" t="str">
        <f>IFERROR(__xludf.DUMMYFUNCTION("""COMPUTED_VALUE"""),"·  Herramienta versátil, que permite insertar, cortar y terminar conectores
·  Gancho y  punta punzadora incorporados en mango
·  Mecanismo de giro y bloqueo
·  Mecanismo de compresión de resorte (alto/bajo)
·  Compartimiento tapa y seguro para guardar ho"&amp;"ja
·  Cabezal con hoja de acero reversible: un extremo termina y corta el cable, en tanto que el otro sólo ensambla sin cortar
·  Mangos ergonómicos antideslizantes")</f>
        <v>·  Herramienta versátil, que permite insertar, cortar y terminar conectores
·  Gancho y  punta punzadora incorporados en mango
·  Mecanismo de giro y bloqueo
·  Mecanismo de compresión de resorte (alto/bajo)
·  Compartimiento tapa y seguro para guardar hoja
·  Cabezal con hoja de acero reversible: un extremo termina y corta el cable, en tanto que el otro sólo ensambla sin cortar
·  Mangos ergonómicos antideslizantes</v>
      </c>
      <c r="J889" s="213">
        <f>IFERROR(__xludf.DUMMYFUNCTION("""COMPUTED_VALUE"""),3.0)</f>
        <v>3</v>
      </c>
      <c r="K889" s="213" t="str">
        <f>IFERROR(__xludf.DUMMYFUNCTION("""COMPUTED_VALUE"""),"90 DÍAS CALENDARIO")</f>
        <v>90 DÍAS CALENDARIO</v>
      </c>
      <c r="L889" s="213" t="str">
        <f>IFERROR(__xludf.DUMMYFUNCTION("""COMPUTED_VALUE"""),"")</f>
        <v/>
      </c>
      <c r="M889" s="213">
        <f>IFERROR(__xludf.DUMMYFUNCTION("""COMPUTED_VALUE"""),1.0)</f>
        <v>1</v>
      </c>
      <c r="N889" s="213">
        <f>IFERROR(__xludf.DUMMYFUNCTION("""COMPUTED_VALUE"""),4.0)</f>
        <v>4</v>
      </c>
      <c r="O889" s="213">
        <f>IFERROR(__xludf.DUMMYFUNCTION("""COMPUTED_VALUE"""),4.0)</f>
        <v>4</v>
      </c>
      <c r="P889" s="213"/>
      <c r="Q889" s="213"/>
      <c r="R889" s="213" t="str">
        <f>IFERROR(__xludf.DUMMYFUNCTION("""COMPUTED_VALUE"""),"SI")</f>
        <v>SI</v>
      </c>
      <c r="S889" s="213"/>
      <c r="T889" s="213" t="str">
        <f>IFERROR(__xludf.DUMMYFUNCTION("""COMPUTED_VALUE"""),"SI")</f>
        <v>SI</v>
      </c>
      <c r="U889" s="213" t="str">
        <f>IFERROR(__xludf.DUMMYFUNCTION("""COMPUTED_VALUE"""),"SI")</f>
        <v>SI</v>
      </c>
      <c r="V889" s="213" t="str">
        <f>IFERROR(__xludf.DUMMYFUNCTION("""COMPUTED_VALUE"""),"-")</f>
        <v>-</v>
      </c>
      <c r="W889" s="213" t="str">
        <f>IFERROR(__xludf.DUMMYFUNCTION("""COMPUTED_VALUE"""),"-")</f>
        <v>-</v>
      </c>
      <c r="X889" s="213" t="str">
        <f>IFERROR(__xludf.DUMMYFUNCTION("""COMPUTED_VALUE"""),"NEXXT")</f>
        <v>NEXXT</v>
      </c>
      <c r="Y889" s="213" t="str">
        <f>IFERROR(__xludf.DUMMYFUNCTION("""COMPUTED_VALUE"""),"AW250NXT13")</f>
        <v>AW250NXT13</v>
      </c>
      <c r="Z889" s="215" t="str">
        <f>IFERROR(__xludf.DUMMYFUNCTION("""COMPUTED_VALUE"""),"https://www.nexxtsolutions.com/es/infraestructura/interna-productos/AW250NXT11-es/")</f>
        <v>https://www.nexxtsolutions.com/es/infraestructura/interna-productos/AW250NXT11-es/</v>
      </c>
      <c r="AA889" s="213" t="str">
        <f>IFERROR(__xludf.DUMMYFUNCTION("""COMPUTED_VALUE"""),"HER-133 HERRAMIENTA DE IMPACTO - CET")</f>
        <v>HER-133 HERRAMIENTA DE IMPACTO - CET</v>
      </c>
      <c r="AB889" s="213"/>
      <c r="AC889" s="213"/>
      <c r="AD889" s="213"/>
      <c r="AE889" s="213"/>
      <c r="AF889" s="213"/>
      <c r="AG889" s="213"/>
      <c r="AH889" s="213"/>
      <c r="AI889" s="213"/>
      <c r="AJ889" s="213"/>
      <c r="AK889" s="213"/>
      <c r="AL889" s="213"/>
      <c r="AM889" s="213"/>
      <c r="AN889" s="213"/>
      <c r="AO889" s="213"/>
      <c r="AP889" s="213" t="str">
        <f>IFERROR(__xludf.DUMMYFUNCTION("""COMPUTED_VALUE"""),"LUIS")</f>
        <v>LUIS</v>
      </c>
      <c r="AQ889" s="213"/>
      <c r="AR889" s="213"/>
      <c r="AS889" s="213"/>
      <c r="AT889" s="213"/>
      <c r="AU889" s="213"/>
      <c r="AV889" s="213"/>
      <c r="AW889" s="213"/>
      <c r="AX889" s="213"/>
      <c r="AY889" s="213"/>
      <c r="AZ889" s="213"/>
      <c r="BA889" s="213"/>
      <c r="BB889" s="213"/>
      <c r="BC889" s="213"/>
      <c r="BD889" s="213"/>
    </row>
    <row r="890">
      <c r="A890" s="213">
        <f>IFERROR(__xludf.DUMMYFUNCTION("""COMPUTED_VALUE"""),1942.0)</f>
        <v>1942</v>
      </c>
      <c r="B890" s="213" t="str">
        <f>IFERROR(__xludf.DUMMYFUNCTION("""COMPUTED_VALUE"""),"JOSE GRANDA")</f>
        <v>JOSE GRANDA</v>
      </c>
      <c r="C890" s="213" t="str">
        <f>IFERROR(__xludf.DUMMYFUNCTION("""COMPUTED_VALUE"""),"TALLER SFT DE COMPUTACIÓN E INFORMÁTICA")</f>
        <v>TALLER SFT DE COMPUTACIÓN E INFORMÁTICA</v>
      </c>
      <c r="D890" s="213" t="str">
        <f>IFERROR(__xludf.DUMMYFUNCTION("""COMPUTED_VALUE"""),"HERRAMIENTAS")</f>
        <v>HERRAMIENTAS</v>
      </c>
      <c r="E890" s="213" t="str">
        <f>IFERROR(__xludf.DUMMYFUNCTION("""COMPUTED_VALUE"""),"HER-133")</f>
        <v>HER-133</v>
      </c>
      <c r="F890" s="213" t="str">
        <f>IFERROR(__xludf.DUMMYFUNCTION("""COMPUTED_VALUE"""),"HER-133")</f>
        <v>HER-133</v>
      </c>
      <c r="G890" s="213"/>
      <c r="H890" s="213" t="str">
        <f>IFERROR(__xludf.DUMMYFUNCTION("""COMPUTED_VALUE"""),"HERRAMIENTA DE IMPACTO")</f>
        <v>HERRAMIENTA DE IMPACTO</v>
      </c>
      <c r="I890" s="213" t="str">
        <f>IFERROR(__xludf.DUMMYFUNCTION("""COMPUTED_VALUE"""),"·  Herramienta versátil, que permite insertar, cortar y terminar conectores
·  Gancho y  punta punzadora incorporados en mango
·  Mecanismo de giro y bloqueo
·  Mecanismo de compresión de resorte (alto/bajo)
·  Compartimiento tapa y seguro para guardar ho"&amp;"ja
·  Cabezal con hoja de acero reversible: un extremo termina y corta el cable, en tanto que el otro sólo ensambla sin cortar
·  Mangos ergonómicos antideslizantes")</f>
        <v>·  Herramienta versátil, que permite insertar, cortar y terminar conectores
·  Gancho y  punta punzadora incorporados en mango
·  Mecanismo de giro y bloqueo
·  Mecanismo de compresión de resorte (alto/bajo)
·  Compartimiento tapa y seguro para guardar hoja
·  Cabezal con hoja de acero reversible: un extremo termina y corta el cable, en tanto que el otro sólo ensambla sin cortar
·  Mangos ergonómicos antideslizantes</v>
      </c>
      <c r="J890" s="213">
        <f>IFERROR(__xludf.DUMMYFUNCTION("""COMPUTED_VALUE"""),3.0)</f>
        <v>3</v>
      </c>
      <c r="K890" s="213" t="str">
        <f>IFERROR(__xludf.DUMMYFUNCTION("""COMPUTED_VALUE"""),"90 DÍAS CALENDARIO")</f>
        <v>90 DÍAS CALENDARIO</v>
      </c>
      <c r="L890" s="213" t="str">
        <f>IFERROR(__xludf.DUMMYFUNCTION("""COMPUTED_VALUE"""),"")</f>
        <v/>
      </c>
      <c r="M890" s="213">
        <f>IFERROR(__xludf.DUMMYFUNCTION("""COMPUTED_VALUE"""),1.0)</f>
        <v>1</v>
      </c>
      <c r="N890" s="213">
        <f>IFERROR(__xludf.DUMMYFUNCTION("""COMPUTED_VALUE"""),4.0)</f>
        <v>4</v>
      </c>
      <c r="O890" s="213">
        <f>IFERROR(__xludf.DUMMYFUNCTION("""COMPUTED_VALUE"""),4.0)</f>
        <v>4</v>
      </c>
      <c r="P890" s="213"/>
      <c r="Q890" s="213"/>
      <c r="R890" s="213" t="str">
        <f>IFERROR(__xludf.DUMMYFUNCTION("""COMPUTED_VALUE"""),"SI")</f>
        <v>SI</v>
      </c>
      <c r="S890" s="213"/>
      <c r="T890" s="213" t="str">
        <f>IFERROR(__xludf.DUMMYFUNCTION("""COMPUTED_VALUE"""),"SI")</f>
        <v>SI</v>
      </c>
      <c r="U890" s="213" t="str">
        <f>IFERROR(__xludf.DUMMYFUNCTION("""COMPUTED_VALUE"""),"SI")</f>
        <v>SI</v>
      </c>
      <c r="V890" s="213" t="str">
        <f>IFERROR(__xludf.DUMMYFUNCTION("""COMPUTED_VALUE"""),"-")</f>
        <v>-</v>
      </c>
      <c r="W890" s="213" t="str">
        <f>IFERROR(__xludf.DUMMYFUNCTION("""COMPUTED_VALUE"""),"-")</f>
        <v>-</v>
      </c>
      <c r="X890" s="213" t="str">
        <f>IFERROR(__xludf.DUMMYFUNCTION("""COMPUTED_VALUE"""),"NEXXT")</f>
        <v>NEXXT</v>
      </c>
      <c r="Y890" s="213" t="str">
        <f>IFERROR(__xludf.DUMMYFUNCTION("""COMPUTED_VALUE"""),"AW250NXT14")</f>
        <v>AW250NXT14</v>
      </c>
      <c r="Z890" s="215" t="str">
        <f>IFERROR(__xludf.DUMMYFUNCTION("""COMPUTED_VALUE"""),"https://www.nexxtsolutions.com/es/infraestructura/interna-productos/AW250NXT11-es/")</f>
        <v>https://www.nexxtsolutions.com/es/infraestructura/interna-productos/AW250NXT11-es/</v>
      </c>
      <c r="AA890" s="213" t="str">
        <f>IFERROR(__xludf.DUMMYFUNCTION("""COMPUTED_VALUE"""),"HER-133 HERRAMIENTA DE IMPACTO - CET")</f>
        <v>HER-133 HERRAMIENTA DE IMPACTO - CET</v>
      </c>
      <c r="AB890" s="213"/>
      <c r="AC890" s="213"/>
      <c r="AD890" s="213"/>
      <c r="AE890" s="213"/>
      <c r="AF890" s="213"/>
      <c r="AG890" s="213"/>
      <c r="AH890" s="213"/>
      <c r="AI890" s="213"/>
      <c r="AJ890" s="213"/>
      <c r="AK890" s="213"/>
      <c r="AL890" s="213"/>
      <c r="AM890" s="213"/>
      <c r="AN890" s="213"/>
      <c r="AO890" s="213"/>
      <c r="AP890" s="213" t="str">
        <f>IFERROR(__xludf.DUMMYFUNCTION("""COMPUTED_VALUE"""),"LUIS")</f>
        <v>LUIS</v>
      </c>
      <c r="AQ890" s="213"/>
      <c r="AR890" s="213"/>
      <c r="AS890" s="213"/>
      <c r="AT890" s="213"/>
      <c r="AU890" s="213"/>
      <c r="AV890" s="213"/>
      <c r="AW890" s="213"/>
      <c r="AX890" s="213"/>
      <c r="AY890" s="213"/>
      <c r="AZ890" s="213"/>
      <c r="BA890" s="213"/>
      <c r="BB890" s="213"/>
      <c r="BC890" s="213"/>
      <c r="BD890" s="213"/>
    </row>
    <row r="891">
      <c r="A891" s="213">
        <f>IFERROR(__xludf.DUMMYFUNCTION("""COMPUTED_VALUE"""),956.0)</f>
        <v>956</v>
      </c>
      <c r="B891" s="213" t="str">
        <f>IFERROR(__xludf.DUMMYFUNCTION("""COMPUTED_VALUE"""),"FRANCISCO IRAZOLA")</f>
        <v>FRANCISCO IRAZOLA</v>
      </c>
      <c r="C891" s="213" t="str">
        <f>IFERROR(__xludf.DUMMYFUNCTION("""COMPUTED_VALUE"""),"TALLER SFT DE MECÁNICA AUTOMOTRIZ")</f>
        <v>TALLER SFT DE MECÁNICA AUTOMOTRIZ</v>
      </c>
      <c r="D891" s="213" t="str">
        <f>IFERROR(__xludf.DUMMYFUNCTION("""COMPUTED_VALUE"""),"HERRAMIENTAS")</f>
        <v>HERRAMIENTAS</v>
      </c>
      <c r="E891" s="213" t="str">
        <f>IFERROR(__xludf.DUMMYFUNCTION("""COMPUTED_VALUE"""),"HER-134")</f>
        <v>HER-134</v>
      </c>
      <c r="F891" s="213" t="str">
        <f>IFERROR(__xludf.DUMMYFUNCTION("""COMPUTED_VALUE"""),"HER-134")</f>
        <v>HER-134</v>
      </c>
      <c r="G891" s="213"/>
      <c r="H891" s="213" t="str">
        <f>IFERROR(__xludf.DUMMYFUNCTION("""COMPUTED_VALUE"""),"HERRAMIENTA PARA REMOVER RESORTE DE FRENO")</f>
        <v>HERRAMIENTA PARA REMOVER RESORTE DE FRENO</v>
      </c>
      <c r="I891" s="213" t="str">
        <f>IFERROR(__xludf.DUMMYFUNCTION("""COMPUTED_VALUE"""),"Herramienta de dos extremos para remover e instalar resortes de frenos. Puntas sirven para extender el resorte.
Los extremos del mango remueven e instalan el resorte sobre el poste de anclaje.")</f>
        <v>Herramienta de dos extremos para remover e instalar resortes de frenos. Puntas sirven para extender el resorte.
Los extremos del mango remueven e instalan el resorte sobre el poste de anclaje.</v>
      </c>
      <c r="J891" s="213">
        <f>IFERROR(__xludf.DUMMYFUNCTION("""COMPUTED_VALUE"""),3.0)</f>
        <v>3</v>
      </c>
      <c r="K891" s="213" t="str">
        <f>IFERROR(__xludf.DUMMYFUNCTION("""COMPUTED_VALUE"""),"90 DÍAS CALENDARIO")</f>
        <v>90 DÍAS CALENDARIO</v>
      </c>
      <c r="L891" s="213" t="str">
        <f>IFERROR(__xludf.DUMMYFUNCTION("""COMPUTED_VALUE"""),"")</f>
        <v/>
      </c>
      <c r="M891" s="213">
        <f>IFERROR(__xludf.DUMMYFUNCTION("""COMPUTED_VALUE"""),1.0)</f>
        <v>1</v>
      </c>
      <c r="N891" s="213">
        <f>IFERROR(__xludf.DUMMYFUNCTION("""COMPUTED_VALUE"""),1.0)</f>
        <v>1</v>
      </c>
      <c r="O891" s="213">
        <f>IFERROR(__xludf.DUMMYFUNCTION("""COMPUTED_VALUE"""),1.0)</f>
        <v>1</v>
      </c>
      <c r="P891" s="213"/>
      <c r="Q891" s="213"/>
      <c r="R891" s="213" t="str">
        <f>IFERROR(__xludf.DUMMYFUNCTION("""COMPUTED_VALUE"""),"SI")</f>
        <v>SI</v>
      </c>
      <c r="S891" s="213"/>
      <c r="T891" s="213" t="str">
        <f>IFERROR(__xludf.DUMMYFUNCTION("""COMPUTED_VALUE"""),"SI")</f>
        <v>SI</v>
      </c>
      <c r="U891" s="213" t="str">
        <f>IFERROR(__xludf.DUMMYFUNCTION("""COMPUTED_VALUE"""),"SI")</f>
        <v>SI</v>
      </c>
      <c r="V891" s="213" t="str">
        <f>IFERROR(__xludf.DUMMYFUNCTION("""COMPUTED_VALUE"""),"-")</f>
        <v>-</v>
      </c>
      <c r="W891" s="213" t="str">
        <f>IFERROR(__xludf.DUMMYFUNCTION("""COMPUTED_VALUE"""),"-")</f>
        <v>-</v>
      </c>
      <c r="X891" s="213" t="str">
        <f>IFERROR(__xludf.DUMMYFUNCTION("""COMPUTED_VALUE"""),"STANLEY")</f>
        <v>STANLEY</v>
      </c>
      <c r="Y891" s="213" t="str">
        <f>IFERROR(__xludf.DUMMYFUNCTION("""COMPUTED_VALUE"""),"78-022")</f>
        <v>78-022</v>
      </c>
      <c r="Z891" s="215" t="str">
        <f>IFERROR(__xludf.DUMMYFUNCTION("""COMPUTED_VALUE"""),"https://drive.google.com/file/d/1lOCqTSkGStci5iYaJZ6XbYswFfppS0uY/view")</f>
        <v>https://drive.google.com/file/d/1lOCqTSkGStci5iYaJZ6XbYswFfppS0uY/view</v>
      </c>
      <c r="AA891" s="213" t="str">
        <f>IFERROR(__xludf.DUMMYFUNCTION("""COMPUTED_VALUE"""),"HER-134 HERRAMIENTA PARA REMOVER RESORTE DE FRENO - CET")</f>
        <v>HER-134 HERRAMIENTA PARA REMOVER RESORTE DE FRENO - CET</v>
      </c>
      <c r="AB891" s="213"/>
      <c r="AC891" s="213"/>
      <c r="AD891" s="213"/>
      <c r="AE891" s="213"/>
      <c r="AF891" s="213"/>
      <c r="AG891" s="213"/>
      <c r="AH891" s="213"/>
      <c r="AI891" s="213"/>
      <c r="AJ891" s="213"/>
      <c r="AK891" s="213"/>
      <c r="AL891" s="213"/>
      <c r="AM891" s="213"/>
      <c r="AN891" s="213"/>
      <c r="AO891" s="213"/>
      <c r="AP891" s="213" t="str">
        <f>IFERROR(__xludf.DUMMYFUNCTION("""COMPUTED_VALUE"""),"LUIS")</f>
        <v>LUIS</v>
      </c>
      <c r="AQ891" s="213"/>
      <c r="AR891" s="213"/>
      <c r="AS891" s="213"/>
      <c r="AT891" s="213"/>
      <c r="AU891" s="213"/>
      <c r="AV891" s="213"/>
      <c r="AW891" s="213"/>
      <c r="AX891" s="213"/>
      <c r="AY891" s="213"/>
      <c r="AZ891" s="213"/>
      <c r="BA891" s="213"/>
      <c r="BB891" s="213"/>
      <c r="BC891" s="213"/>
      <c r="BD891" s="213"/>
    </row>
    <row r="892">
      <c r="A892" s="213">
        <f>IFERROR(__xludf.DUMMYFUNCTION("""COMPUTED_VALUE"""),1557.0)</f>
        <v>1557</v>
      </c>
      <c r="B892" s="213" t="str">
        <f>IFERROR(__xludf.DUMMYFUNCTION("""COMPUTED_VALUE"""),"GUILLERMO E. BILLINGHURST ")</f>
        <v>GUILLERMO E. BILLINGHURST </v>
      </c>
      <c r="C892" s="213" t="str">
        <f>IFERROR(__xludf.DUMMYFUNCTION("""COMPUTED_VALUE"""),"TALLER SFT DE MECÁNICA AUTOMOTRIZ")</f>
        <v>TALLER SFT DE MECÁNICA AUTOMOTRIZ</v>
      </c>
      <c r="D892" s="213" t="str">
        <f>IFERROR(__xludf.DUMMYFUNCTION("""COMPUTED_VALUE"""),"HERRAMIENTAS")</f>
        <v>HERRAMIENTAS</v>
      </c>
      <c r="E892" s="213" t="str">
        <f>IFERROR(__xludf.DUMMYFUNCTION("""COMPUTED_VALUE"""),"HER-134")</f>
        <v>HER-134</v>
      </c>
      <c r="F892" s="213" t="str">
        <f>IFERROR(__xludf.DUMMYFUNCTION("""COMPUTED_VALUE"""),"HER-134")</f>
        <v>HER-134</v>
      </c>
      <c r="G892" s="213"/>
      <c r="H892" s="213" t="str">
        <f>IFERROR(__xludf.DUMMYFUNCTION("""COMPUTED_VALUE"""),"HERRAMIENTA PARA REMOVER RESORTE DE FRENO")</f>
        <v>HERRAMIENTA PARA REMOVER RESORTE DE FRENO</v>
      </c>
      <c r="I892" s="213" t="str">
        <f>IFERROR(__xludf.DUMMYFUNCTION("""COMPUTED_VALUE"""),"Herramienta de dos extremos para remover e instalar resortes de frenos. Puntas sirven para extender el resorte.
Los extremos del mango remueven e instalan el resorte sobre el poste de anclaje.")</f>
        <v>Herramienta de dos extremos para remover e instalar resortes de frenos. Puntas sirven para extender el resorte.
Los extremos del mango remueven e instalan el resorte sobre el poste de anclaje.</v>
      </c>
      <c r="J892" s="213">
        <f>IFERROR(__xludf.DUMMYFUNCTION("""COMPUTED_VALUE"""),3.0)</f>
        <v>3</v>
      </c>
      <c r="K892" s="213" t="str">
        <f>IFERROR(__xludf.DUMMYFUNCTION("""COMPUTED_VALUE"""),"90 DÍAS CALENDARIO")</f>
        <v>90 DÍAS CALENDARIO</v>
      </c>
      <c r="L892" s="213" t="str">
        <f>IFERROR(__xludf.DUMMYFUNCTION("""COMPUTED_VALUE"""),"")</f>
        <v/>
      </c>
      <c r="M892" s="213">
        <f>IFERROR(__xludf.DUMMYFUNCTION("""COMPUTED_VALUE"""),1.0)</f>
        <v>1</v>
      </c>
      <c r="N892" s="213">
        <f>IFERROR(__xludf.DUMMYFUNCTION("""COMPUTED_VALUE"""),1.0)</f>
        <v>1</v>
      </c>
      <c r="O892" s="213">
        <f>IFERROR(__xludf.DUMMYFUNCTION("""COMPUTED_VALUE"""),1.0)</f>
        <v>1</v>
      </c>
      <c r="P892" s="213"/>
      <c r="Q892" s="213"/>
      <c r="R892" s="213" t="str">
        <f>IFERROR(__xludf.DUMMYFUNCTION("""COMPUTED_VALUE"""),"SI")</f>
        <v>SI</v>
      </c>
      <c r="S892" s="213"/>
      <c r="T892" s="213" t="str">
        <f>IFERROR(__xludf.DUMMYFUNCTION("""COMPUTED_VALUE"""),"SI")</f>
        <v>SI</v>
      </c>
      <c r="U892" s="213" t="str">
        <f>IFERROR(__xludf.DUMMYFUNCTION("""COMPUTED_VALUE"""),"SI")</f>
        <v>SI</v>
      </c>
      <c r="V892" s="213" t="str">
        <f>IFERROR(__xludf.DUMMYFUNCTION("""COMPUTED_VALUE"""),"-")</f>
        <v>-</v>
      </c>
      <c r="W892" s="213" t="str">
        <f>IFERROR(__xludf.DUMMYFUNCTION("""COMPUTED_VALUE"""),"-")</f>
        <v>-</v>
      </c>
      <c r="X892" s="213" t="str">
        <f>IFERROR(__xludf.DUMMYFUNCTION("""COMPUTED_VALUE"""),"STANLEY")</f>
        <v>STANLEY</v>
      </c>
      <c r="Y892" s="213" t="str">
        <f>IFERROR(__xludf.DUMMYFUNCTION("""COMPUTED_VALUE"""),"78-022")</f>
        <v>78-022</v>
      </c>
      <c r="Z892" s="215" t="str">
        <f>IFERROR(__xludf.DUMMYFUNCTION("""COMPUTED_VALUE"""),"https://drive.google.com/file/d/1lOCqTSkGStci5iYaJZ6XbYswFfppS0uY/view")</f>
        <v>https://drive.google.com/file/d/1lOCqTSkGStci5iYaJZ6XbYswFfppS0uY/view</v>
      </c>
      <c r="AA892" s="213" t="str">
        <f>IFERROR(__xludf.DUMMYFUNCTION("""COMPUTED_VALUE"""),"HER-134 HERRAMIENTA PARA REMOVER RESORTE DE FRENO - CET")</f>
        <v>HER-134 HERRAMIENTA PARA REMOVER RESORTE DE FRENO - CET</v>
      </c>
      <c r="AB892" s="213"/>
      <c r="AC892" s="213"/>
      <c r="AD892" s="213"/>
      <c r="AE892" s="213"/>
      <c r="AF892" s="213"/>
      <c r="AG892" s="213"/>
      <c r="AH892" s="213"/>
      <c r="AI892" s="213"/>
      <c r="AJ892" s="213"/>
      <c r="AK892" s="213"/>
      <c r="AL892" s="213"/>
      <c r="AM892" s="213"/>
      <c r="AN892" s="213"/>
      <c r="AO892" s="213"/>
      <c r="AP892" s="213" t="str">
        <f>IFERROR(__xludf.DUMMYFUNCTION("""COMPUTED_VALUE"""),"LUIS")</f>
        <v>LUIS</v>
      </c>
      <c r="AQ892" s="213"/>
      <c r="AR892" s="213"/>
      <c r="AS892" s="213"/>
      <c r="AT892" s="213"/>
      <c r="AU892" s="213"/>
      <c r="AV892" s="213"/>
      <c r="AW892" s="213"/>
      <c r="AX892" s="213"/>
      <c r="AY892" s="213"/>
      <c r="AZ892" s="213"/>
      <c r="BA892" s="213"/>
      <c r="BB892" s="213"/>
      <c r="BC892" s="213"/>
      <c r="BD892" s="213"/>
    </row>
    <row r="893">
      <c r="A893" s="213">
        <f>IFERROR(__xludf.DUMMYFUNCTION("""COMPUTED_VALUE"""),2249.0)</f>
        <v>2249</v>
      </c>
      <c r="B893" s="213" t="str">
        <f>IFERROR(__xludf.DUMMYFUNCTION("""COMPUTED_VALUE"""),"JOSE GRANDA")</f>
        <v>JOSE GRANDA</v>
      </c>
      <c r="C893" s="213" t="str">
        <f>IFERROR(__xludf.DUMMYFUNCTION("""COMPUTED_VALUE"""),"TALLER SFT DE MECÁNICA AUTOMOTRIZ")</f>
        <v>TALLER SFT DE MECÁNICA AUTOMOTRIZ</v>
      </c>
      <c r="D893" s="213" t="str">
        <f>IFERROR(__xludf.DUMMYFUNCTION("""COMPUTED_VALUE"""),"HERRAMIENTAS")</f>
        <v>HERRAMIENTAS</v>
      </c>
      <c r="E893" s="213" t="str">
        <f>IFERROR(__xludf.DUMMYFUNCTION("""COMPUTED_VALUE"""),"HER-134")</f>
        <v>HER-134</v>
      </c>
      <c r="F893" s="213" t="str">
        <f>IFERROR(__xludf.DUMMYFUNCTION("""COMPUTED_VALUE"""),"HER-134")</f>
        <v>HER-134</v>
      </c>
      <c r="G893" s="213"/>
      <c r="H893" s="213" t="str">
        <f>IFERROR(__xludf.DUMMYFUNCTION("""COMPUTED_VALUE"""),"HERRAMIENTA PARA REMOVER RESORTE DE FRENO")</f>
        <v>HERRAMIENTA PARA REMOVER RESORTE DE FRENO</v>
      </c>
      <c r="I893" s="213" t="str">
        <f>IFERROR(__xludf.DUMMYFUNCTION("""COMPUTED_VALUE"""),"Herramienta de dos extremos para remover e instalar resortes de frenos. Puntas sirven para extender el resorte.
Los extremos del mango remueven e instalan el resorte sobre el poste de anclaje.")</f>
        <v>Herramienta de dos extremos para remover e instalar resortes de frenos. Puntas sirven para extender el resorte.
Los extremos del mango remueven e instalan el resorte sobre el poste de anclaje.</v>
      </c>
      <c r="J893" s="213">
        <f>IFERROR(__xludf.DUMMYFUNCTION("""COMPUTED_VALUE"""),3.0)</f>
        <v>3</v>
      </c>
      <c r="K893" s="213" t="str">
        <f>IFERROR(__xludf.DUMMYFUNCTION("""COMPUTED_VALUE"""),"90 DÍAS CALENDARIO")</f>
        <v>90 DÍAS CALENDARIO</v>
      </c>
      <c r="L893" s="213" t="str">
        <f>IFERROR(__xludf.DUMMYFUNCTION("""COMPUTED_VALUE"""),"")</f>
        <v/>
      </c>
      <c r="M893" s="213">
        <f>IFERROR(__xludf.DUMMYFUNCTION("""COMPUTED_VALUE"""),1.0)</f>
        <v>1</v>
      </c>
      <c r="N893" s="213">
        <f>IFERROR(__xludf.DUMMYFUNCTION("""COMPUTED_VALUE"""),1.0)</f>
        <v>1</v>
      </c>
      <c r="O893" s="213">
        <f>IFERROR(__xludf.DUMMYFUNCTION("""COMPUTED_VALUE"""),1.0)</f>
        <v>1</v>
      </c>
      <c r="P893" s="213"/>
      <c r="Q893" s="213"/>
      <c r="R893" s="213" t="str">
        <f>IFERROR(__xludf.DUMMYFUNCTION("""COMPUTED_VALUE"""),"SI")</f>
        <v>SI</v>
      </c>
      <c r="S893" s="213"/>
      <c r="T893" s="213" t="str">
        <f>IFERROR(__xludf.DUMMYFUNCTION("""COMPUTED_VALUE"""),"SI")</f>
        <v>SI</v>
      </c>
      <c r="U893" s="213" t="str">
        <f>IFERROR(__xludf.DUMMYFUNCTION("""COMPUTED_VALUE"""),"SI")</f>
        <v>SI</v>
      </c>
      <c r="V893" s="213" t="str">
        <f>IFERROR(__xludf.DUMMYFUNCTION("""COMPUTED_VALUE"""),"-")</f>
        <v>-</v>
      </c>
      <c r="W893" s="213" t="str">
        <f>IFERROR(__xludf.DUMMYFUNCTION("""COMPUTED_VALUE"""),"-")</f>
        <v>-</v>
      </c>
      <c r="X893" s="213" t="str">
        <f>IFERROR(__xludf.DUMMYFUNCTION("""COMPUTED_VALUE"""),"STANLEY")</f>
        <v>STANLEY</v>
      </c>
      <c r="Y893" s="213" t="str">
        <f>IFERROR(__xludf.DUMMYFUNCTION("""COMPUTED_VALUE"""),"78-022")</f>
        <v>78-022</v>
      </c>
      <c r="Z893" s="215" t="str">
        <f>IFERROR(__xludf.DUMMYFUNCTION("""COMPUTED_VALUE"""),"https://drive.google.com/file/d/1lOCqTSkGStci5iYaJZ6XbYswFfppS0uY/view")</f>
        <v>https://drive.google.com/file/d/1lOCqTSkGStci5iYaJZ6XbYswFfppS0uY/view</v>
      </c>
      <c r="AA893" s="213" t="str">
        <f>IFERROR(__xludf.DUMMYFUNCTION("""COMPUTED_VALUE"""),"HER-134 HERRAMIENTA PARA REMOVER RESORTE DE FRENO - CET")</f>
        <v>HER-134 HERRAMIENTA PARA REMOVER RESORTE DE FRENO - CET</v>
      </c>
      <c r="AB893" s="213"/>
      <c r="AC893" s="213"/>
      <c r="AD893" s="213"/>
      <c r="AE893" s="213"/>
      <c r="AF893" s="213"/>
      <c r="AG893" s="213"/>
      <c r="AH893" s="213"/>
      <c r="AI893" s="213"/>
      <c r="AJ893" s="213"/>
      <c r="AK893" s="213"/>
      <c r="AL893" s="213"/>
      <c r="AM893" s="213"/>
      <c r="AN893" s="213"/>
      <c r="AO893" s="213"/>
      <c r="AP893" s="213" t="str">
        <f>IFERROR(__xludf.DUMMYFUNCTION("""COMPUTED_VALUE"""),"LUIS")</f>
        <v>LUIS</v>
      </c>
      <c r="AQ893" s="213"/>
      <c r="AR893" s="213"/>
      <c r="AS893" s="213"/>
      <c r="AT893" s="213"/>
      <c r="AU893" s="213"/>
      <c r="AV893" s="213"/>
      <c r="AW893" s="213"/>
      <c r="AX893" s="213"/>
      <c r="AY893" s="213"/>
      <c r="AZ893" s="213"/>
      <c r="BA893" s="213"/>
      <c r="BB893" s="213"/>
      <c r="BC893" s="213"/>
      <c r="BD893" s="213"/>
    </row>
    <row r="894">
      <c r="A894" s="213">
        <f>IFERROR(__xludf.DUMMYFUNCTION("""COMPUTED_VALUE"""),186.0)</f>
        <v>186</v>
      </c>
      <c r="B894" s="213" t="str">
        <f>IFERROR(__xludf.DUMMYFUNCTION("""COMPUTED_VALUE"""),"2026 SIMON BOLIVAR")</f>
        <v>2026 SIMON BOLIVAR</v>
      </c>
      <c r="C894" s="213" t="str">
        <f>IFERROR(__xludf.DUMMYFUNCTION("""COMPUTED_VALUE"""),"TALLER SFT DE INDUSTRIA DEL VESTIDO")</f>
        <v>TALLER SFT DE INDUSTRIA DEL VESTIDO</v>
      </c>
      <c r="D894" s="213" t="str">
        <f>IFERROR(__xludf.DUMMYFUNCTION("""COMPUTED_VALUE"""),"HERRAMIENTAS")</f>
        <v>HERRAMIENTAS</v>
      </c>
      <c r="E894" s="213" t="str">
        <f>IFERROR(__xludf.DUMMYFUNCTION("""COMPUTED_VALUE"""),"HER-135")</f>
        <v>HER-135</v>
      </c>
      <c r="F894" s="213" t="str">
        <f>IFERROR(__xludf.DUMMYFUNCTION("""COMPUTED_VALUE"""),"HER-135-X")</f>
        <v>HER-135-X</v>
      </c>
      <c r="G894" s="213"/>
      <c r="H894" s="213" t="str">
        <f>IFERROR(__xludf.DUMMYFUNCTION("""COMPUTED_VALUE"""),"JUEGO DE ALICATES")</f>
        <v>JUEGO DE ALICATES</v>
      </c>
      <c r="I894" s="213" t="str">
        <f>IFERROR(__xludf.DUMMYFUNCTION("""COMPUTED_VALUE"""),"Juego fabricado en acero de alto rendimiento. Mango bimaterial.
Dureza en puntas: 58 - 65 HRc. Composición y dimensiones:
- Alicate universal: 180 mm de largo.
- Alicate cortante: 160 mm de largo.
- Alicate de boca semiredonda: 200 mm de largo.")</f>
        <v>Juego fabricado en acero de alto rendimiento. Mango bimaterial.
Dureza en puntas: 58 - 65 HRc. Composición y dimensiones:
- Alicate universal: 180 mm de largo.
- Alicate cortante: 160 mm de largo.
- Alicate de boca semiredonda: 200 mm de largo.</v>
      </c>
      <c r="J894" s="213">
        <f>IFERROR(__xludf.DUMMYFUNCTION("""COMPUTED_VALUE"""),3.0)</f>
        <v>3</v>
      </c>
      <c r="K894" s="213" t="str">
        <f>IFERROR(__xludf.DUMMYFUNCTION("""COMPUTED_VALUE"""),"90 DÍAS CALENDARIO")</f>
        <v>90 DÍAS CALENDARIO</v>
      </c>
      <c r="L894" s="213" t="str">
        <f>IFERROR(__xludf.DUMMYFUNCTION("""COMPUTED_VALUE"""),"INDUSTRIA DEL VESTIDO, MECÁNICA AUTOMOTRÍZ")</f>
        <v>INDUSTRIA DEL VESTIDO, MECÁNICA AUTOMOTRÍZ</v>
      </c>
      <c r="M894" s="213">
        <f>IFERROR(__xludf.DUMMYFUNCTION("""COMPUTED_VALUE"""),1.0)</f>
        <v>1</v>
      </c>
      <c r="N894" s="213">
        <f>IFERROR(__xludf.DUMMYFUNCTION("""COMPUTED_VALUE"""),1.0)</f>
        <v>1</v>
      </c>
      <c r="O894" s="213">
        <f>IFERROR(__xludf.DUMMYFUNCTION("""COMPUTED_VALUE"""),1.0)</f>
        <v>1</v>
      </c>
      <c r="P894" s="213"/>
      <c r="Q894" s="213"/>
      <c r="R894" s="213" t="str">
        <f>IFERROR(__xludf.DUMMYFUNCTION("""COMPUTED_VALUE"""),"SI")</f>
        <v>SI</v>
      </c>
      <c r="S894" s="213"/>
      <c r="T894" s="213" t="str">
        <f>IFERROR(__xludf.DUMMYFUNCTION("""COMPUTED_VALUE"""),"NO")</f>
        <v>NO</v>
      </c>
      <c r="U894" s="213" t="str">
        <f>IFERROR(__xludf.DUMMYFUNCTION("""COMPUTED_VALUE"""),"SI")</f>
        <v>SI</v>
      </c>
      <c r="V894" s="213" t="str">
        <f>IFERROR(__xludf.DUMMYFUNCTION("""COMPUTED_VALUE"""),"-")</f>
        <v>-</v>
      </c>
      <c r="W894" s="213" t="str">
        <f>IFERROR(__xludf.DUMMYFUNCTION("""COMPUTED_VALUE"""),"-")</f>
        <v>-</v>
      </c>
      <c r="X894" s="213" t="str">
        <f>IFERROR(__xludf.DUMMYFUNCTION("""COMPUTED_VALUE"""),"IRIMO")</f>
        <v>IRIMO</v>
      </c>
      <c r="Y894" s="213" t="str">
        <f>IFERROR(__xludf.DUMMYFUNCTION("""COMPUTED_VALUE"""),"601-3-C")</f>
        <v>601-3-C</v>
      </c>
      <c r="Z894" s="215" t="str">
        <f>IFERROR(__xludf.DUMMYFUNCTION("""COMPUTED_VALUE"""),"https://rodavigo.net/datos/articulos/534/juego-alicates-irimo-1.pdf")</f>
        <v>https://rodavigo.net/datos/articulos/534/juego-alicates-irimo-1.pdf</v>
      </c>
      <c r="AA894" s="213" t="str">
        <f>IFERROR(__xludf.DUMMYFUNCTION("""COMPUTED_VALUE"""),"HER-135-X JUEGO DE ALICATES - CET")</f>
        <v>HER-135-X JUEGO DE ALICATES - CET</v>
      </c>
      <c r="AB894" s="213"/>
      <c r="AC894" s="213"/>
      <c r="AD894" s="213"/>
      <c r="AE894" s="213"/>
      <c r="AF894" s="213"/>
      <c r="AG894" s="213"/>
      <c r="AH894" s="213"/>
      <c r="AI894" s="213"/>
      <c r="AJ894" s="213"/>
      <c r="AK894" s="213"/>
      <c r="AL894" s="213"/>
      <c r="AM894" s="213"/>
      <c r="AN894" s="213"/>
      <c r="AO894" s="213"/>
      <c r="AP894" s="213" t="str">
        <f>IFERROR(__xludf.DUMMYFUNCTION("""COMPUTED_VALUE"""),"LUIS")</f>
        <v>LUIS</v>
      </c>
      <c r="AQ894" s="213"/>
      <c r="AR894" s="213"/>
      <c r="AS894" s="213"/>
      <c r="AT894" s="213"/>
      <c r="AU894" s="213"/>
      <c r="AV894" s="213"/>
      <c r="AW894" s="213"/>
      <c r="AX894" s="213"/>
      <c r="AY894" s="213"/>
      <c r="AZ894" s="213"/>
      <c r="BA894" s="213"/>
      <c r="BB894" s="213"/>
      <c r="BC894" s="213"/>
      <c r="BD894" s="213"/>
    </row>
    <row r="895">
      <c r="A895" s="213">
        <f>IFERROR(__xludf.DUMMYFUNCTION("""COMPUTED_VALUE"""),270.0)</f>
        <v>270</v>
      </c>
      <c r="B895" s="213" t="str">
        <f>IFERROR(__xludf.DUMMYFUNCTION("""COMPUTED_VALUE"""),"2026 SIMON BOLIVAR")</f>
        <v>2026 SIMON BOLIVAR</v>
      </c>
      <c r="C895" s="213" t="str">
        <f>IFERROR(__xludf.DUMMYFUNCTION("""COMPUTED_VALUE"""),"TALLER SFT DE COMPUTACIÓN E INFORMÁTICA")</f>
        <v>TALLER SFT DE COMPUTACIÓN E INFORMÁTICA</v>
      </c>
      <c r="D895" s="213" t="str">
        <f>IFERROR(__xludf.DUMMYFUNCTION("""COMPUTED_VALUE"""),"HERRAMIENTAS")</f>
        <v>HERRAMIENTAS</v>
      </c>
      <c r="E895" s="213" t="str">
        <f>IFERROR(__xludf.DUMMYFUNCTION("""COMPUTED_VALUE"""),"HER-135")</f>
        <v>HER-135</v>
      </c>
      <c r="F895" s="213" t="str">
        <f>IFERROR(__xludf.DUMMYFUNCTION("""COMPUTED_VALUE"""),"HER-135-Z")</f>
        <v>HER-135-Z</v>
      </c>
      <c r="G895" s="213"/>
      <c r="H895" s="213" t="str">
        <f>IFERROR(__xludf.DUMMYFUNCTION("""COMPUTED_VALUE"""),"JUEGO DE ALICATES")</f>
        <v>JUEGO DE ALICATES</v>
      </c>
      <c r="I895" s="213" t="str">
        <f>IFERROR(__xludf.DUMMYFUNCTION("""COMPUTED_VALUE"""),"El juego está conformado por:
·  Composición y dimensiones:
·  1 alicate de punta de aguja de 5""
·  1 alicate de punta y corte de 4""
·  1 alicate de corte diagonal de 4""
·  Forjadas en acero al cromo vanadio
·  Mango en bimaterial.
·  Dureza en puntas:"&amp;" 58 - 65 HRc.")</f>
        <v>El juego está conformado por:
·  Composición y dimensiones:
·  1 alicate de punta de aguja de 5"
·  1 alicate de punta y corte de 4"
·  1 alicate de corte diagonal de 4"
·  Forjadas en acero al cromo vanadio
·  Mango en bimaterial.
·  Dureza en puntas: 58 - 65 HRc.</v>
      </c>
      <c r="J895" s="213">
        <f>IFERROR(__xludf.DUMMYFUNCTION("""COMPUTED_VALUE"""),3.0)</f>
        <v>3</v>
      </c>
      <c r="K895" s="213" t="str">
        <f>IFERROR(__xludf.DUMMYFUNCTION("""COMPUTED_VALUE"""),"90 DÍAS CALENDARIO")</f>
        <v>90 DÍAS CALENDARIO</v>
      </c>
      <c r="L895" s="213" t="str">
        <f>IFERROR(__xludf.DUMMYFUNCTION("""COMPUTED_VALUE"""),"")</f>
        <v/>
      </c>
      <c r="M895" s="213">
        <f>IFERROR(__xludf.DUMMYFUNCTION("""COMPUTED_VALUE"""),1.0)</f>
        <v>1</v>
      </c>
      <c r="N895" s="213">
        <f>IFERROR(__xludf.DUMMYFUNCTION("""COMPUTED_VALUE"""),4.0)</f>
        <v>4</v>
      </c>
      <c r="O895" s="213">
        <f>IFERROR(__xludf.DUMMYFUNCTION("""COMPUTED_VALUE"""),4.0)</f>
        <v>4</v>
      </c>
      <c r="P895" s="213"/>
      <c r="Q895" s="213"/>
      <c r="R895" s="213" t="str">
        <f>IFERROR(__xludf.DUMMYFUNCTION("""COMPUTED_VALUE"""),"SI")</f>
        <v>SI</v>
      </c>
      <c r="S895" s="213"/>
      <c r="T895" s="213" t="str">
        <f>IFERROR(__xludf.DUMMYFUNCTION("""COMPUTED_VALUE"""),"NO")</f>
        <v>NO</v>
      </c>
      <c r="U895" s="213" t="str">
        <f>IFERROR(__xludf.DUMMYFUNCTION("""COMPUTED_VALUE"""),"SI")</f>
        <v>SI</v>
      </c>
      <c r="V895" s="213" t="str">
        <f>IFERROR(__xludf.DUMMYFUNCTION("""COMPUTED_VALUE"""),"-")</f>
        <v>-</v>
      </c>
      <c r="W895" s="213" t="str">
        <f>IFERROR(__xludf.DUMMYFUNCTION("""COMPUTED_VALUE"""),"-")</f>
        <v>-</v>
      </c>
      <c r="X895" s="213" t="str">
        <f>IFERROR(__xludf.DUMMYFUNCTION("""COMPUTED_VALUE"""),"TRUPER")</f>
        <v>TRUPER</v>
      </c>
      <c r="Y895" s="213">
        <f>IFERROR(__xludf.DUMMYFUNCTION("""COMPUTED_VALUE"""),5632486.0)</f>
        <v>5632486</v>
      </c>
      <c r="Z895" s="215" t="str">
        <f>IFERROR(__xludf.DUMMYFUNCTION("""COMPUTED_VALUE"""),"https://simple.ripley.com.pe/juego-de-alicates-3-piezas-truper-18215-pmp20000843165?srsltid=AfmBOooFairssWBR9swvwgkKS021r2FwkJodihAxEXSKevC0SlSZtDXd&amp;color_80=naranja&amp;s=mdco")</f>
        <v>https://simple.ripley.com.pe/juego-de-alicates-3-piezas-truper-18215-pmp20000843165?srsltid=AfmBOooFairssWBR9swvwgkKS021r2FwkJodihAxEXSKevC0SlSZtDXd&amp;color_80=naranja&amp;s=mdco</v>
      </c>
      <c r="AA895" s="213" t="str">
        <f>IFERROR(__xludf.DUMMYFUNCTION("""COMPUTED_VALUE"""),"HER-135-Z JUEGO DE ALICATES - CET")</f>
        <v>HER-135-Z JUEGO DE ALICATES - CET</v>
      </c>
      <c r="AB895" s="213"/>
      <c r="AC895" s="213"/>
      <c r="AD895" s="213"/>
      <c r="AE895" s="213"/>
      <c r="AF895" s="213"/>
      <c r="AG895" s="213"/>
      <c r="AH895" s="213"/>
      <c r="AI895" s="213"/>
      <c r="AJ895" s="213"/>
      <c r="AK895" s="213"/>
      <c r="AL895" s="213"/>
      <c r="AM895" s="213"/>
      <c r="AN895" s="213"/>
      <c r="AO895" s="213"/>
      <c r="AP895" s="213" t="str">
        <f>IFERROR(__xludf.DUMMYFUNCTION("""COMPUTED_VALUE"""),"LUIS")</f>
        <v>LUIS</v>
      </c>
      <c r="AQ895" s="213"/>
      <c r="AR895" s="213"/>
      <c r="AS895" s="213"/>
      <c r="AT895" s="213"/>
      <c r="AU895" s="213"/>
      <c r="AV895" s="213"/>
      <c r="AW895" s="213"/>
      <c r="AX895" s="213"/>
      <c r="AY895" s="213"/>
      <c r="AZ895" s="213"/>
      <c r="BA895" s="213"/>
      <c r="BB895" s="213"/>
      <c r="BC895" s="213"/>
      <c r="BD895" s="213"/>
    </row>
    <row r="896">
      <c r="A896" s="213">
        <f>IFERROR(__xludf.DUMMYFUNCTION("""COMPUTED_VALUE"""),755.0)</f>
        <v>755</v>
      </c>
      <c r="B896" s="213" t="str">
        <f>IFERROR(__xludf.DUMMYFUNCTION("""COMPUTED_VALUE"""),"6049 RICARDO PALMA")</f>
        <v>6049 RICARDO PALMA</v>
      </c>
      <c r="C896" s="213" t="str">
        <f>IFERROR(__xludf.DUMMYFUNCTION("""COMPUTED_VALUE"""),"TALLER SFT DE COMPUTACIÓN E INFORMÁTICA")</f>
        <v>TALLER SFT DE COMPUTACIÓN E INFORMÁTICA</v>
      </c>
      <c r="D896" s="213" t="str">
        <f>IFERROR(__xludf.DUMMYFUNCTION("""COMPUTED_VALUE"""),"HERRAMIENTAS")</f>
        <v>HERRAMIENTAS</v>
      </c>
      <c r="E896" s="213" t="str">
        <f>IFERROR(__xludf.DUMMYFUNCTION("""COMPUTED_VALUE"""),"HER-135")</f>
        <v>HER-135</v>
      </c>
      <c r="F896" s="213" t="str">
        <f>IFERROR(__xludf.DUMMYFUNCTION("""COMPUTED_VALUE"""),"HER-135-Z")</f>
        <v>HER-135-Z</v>
      </c>
      <c r="G896" s="213"/>
      <c r="H896" s="213" t="str">
        <f>IFERROR(__xludf.DUMMYFUNCTION("""COMPUTED_VALUE"""),"JUEGO DE ALICATES")</f>
        <v>JUEGO DE ALICATES</v>
      </c>
      <c r="I896" s="213" t="str">
        <f>IFERROR(__xludf.DUMMYFUNCTION("""COMPUTED_VALUE"""),"El juego está conformado por:
·  Composición y dimensiones:
·  1 alicate de punta de aguja de 5""
·  1 alicate de punta y corte de 4""
·  1 alicate de corte diagonal de 4""
·  Forjadas en acero al cromo vanadio
·  Mango en bimaterial.
·  Dureza en puntas:"&amp;" 58 - 65 HRc.")</f>
        <v>El juego está conformado por:
·  Composición y dimensiones:
·  1 alicate de punta de aguja de 5"
·  1 alicate de punta y corte de 4"
·  1 alicate de corte diagonal de 4"
·  Forjadas en acero al cromo vanadio
·  Mango en bimaterial.
·  Dureza en puntas: 58 - 65 HRc.</v>
      </c>
      <c r="J896" s="213">
        <f>IFERROR(__xludf.DUMMYFUNCTION("""COMPUTED_VALUE"""),3.0)</f>
        <v>3</v>
      </c>
      <c r="K896" s="213" t="str">
        <f>IFERROR(__xludf.DUMMYFUNCTION("""COMPUTED_VALUE"""),"90 DÍAS CALENDARIO")</f>
        <v>90 DÍAS CALENDARIO</v>
      </c>
      <c r="L896" s="213" t="str">
        <f>IFERROR(__xludf.DUMMYFUNCTION("""COMPUTED_VALUE"""),"")</f>
        <v/>
      </c>
      <c r="M896" s="213">
        <f>IFERROR(__xludf.DUMMYFUNCTION("""COMPUTED_VALUE"""),1.0)</f>
        <v>1</v>
      </c>
      <c r="N896" s="213">
        <f>IFERROR(__xludf.DUMMYFUNCTION("""COMPUTED_VALUE"""),4.0)</f>
        <v>4</v>
      </c>
      <c r="O896" s="213">
        <f>IFERROR(__xludf.DUMMYFUNCTION("""COMPUTED_VALUE"""),4.0)</f>
        <v>4</v>
      </c>
      <c r="P896" s="213"/>
      <c r="Q896" s="213"/>
      <c r="R896" s="213" t="str">
        <f>IFERROR(__xludf.DUMMYFUNCTION("""COMPUTED_VALUE"""),"SI")</f>
        <v>SI</v>
      </c>
      <c r="S896" s="213"/>
      <c r="T896" s="213" t="str">
        <f>IFERROR(__xludf.DUMMYFUNCTION("""COMPUTED_VALUE"""),"NO")</f>
        <v>NO</v>
      </c>
      <c r="U896" s="213" t="str">
        <f>IFERROR(__xludf.DUMMYFUNCTION("""COMPUTED_VALUE"""),"SI")</f>
        <v>SI</v>
      </c>
      <c r="V896" s="213" t="str">
        <f>IFERROR(__xludf.DUMMYFUNCTION("""COMPUTED_VALUE"""),"-")</f>
        <v>-</v>
      </c>
      <c r="W896" s="213" t="str">
        <f>IFERROR(__xludf.DUMMYFUNCTION("""COMPUTED_VALUE"""),"-")</f>
        <v>-</v>
      </c>
      <c r="X896" s="213" t="str">
        <f>IFERROR(__xludf.DUMMYFUNCTION("""COMPUTED_VALUE"""),"TRUPER")</f>
        <v>TRUPER</v>
      </c>
      <c r="Y896" s="213">
        <f>IFERROR(__xludf.DUMMYFUNCTION("""COMPUTED_VALUE"""),5632486.0)</f>
        <v>5632486</v>
      </c>
      <c r="Z896" s="215" t="str">
        <f>IFERROR(__xludf.DUMMYFUNCTION("""COMPUTED_VALUE"""),"https://simple.ripley.com.pe/juego-de-alicates-3-piezas-truper-18215-pmp20000843165?srsltid=AfmBOooFairssWBR9swvwgkKS021r2FwkJodihAxEXSKevC0SlSZtDXd&amp;color_80=naranja&amp;s=mdco")</f>
        <v>https://simple.ripley.com.pe/juego-de-alicates-3-piezas-truper-18215-pmp20000843165?srsltid=AfmBOooFairssWBR9swvwgkKS021r2FwkJodihAxEXSKevC0SlSZtDXd&amp;color_80=naranja&amp;s=mdco</v>
      </c>
      <c r="AA896" s="213" t="str">
        <f>IFERROR(__xludf.DUMMYFUNCTION("""COMPUTED_VALUE"""),"HER-135-Z JUEGO DE ALICATES - CET")</f>
        <v>HER-135-Z JUEGO DE ALICATES - CET</v>
      </c>
      <c r="AB896" s="213"/>
      <c r="AC896" s="213"/>
      <c r="AD896" s="213"/>
      <c r="AE896" s="213"/>
      <c r="AF896" s="213"/>
      <c r="AG896" s="213"/>
      <c r="AH896" s="213"/>
      <c r="AI896" s="213"/>
      <c r="AJ896" s="213"/>
      <c r="AK896" s="213"/>
      <c r="AL896" s="213"/>
      <c r="AM896" s="213"/>
      <c r="AN896" s="213"/>
      <c r="AO896" s="213"/>
      <c r="AP896" s="213" t="str">
        <f>IFERROR(__xludf.DUMMYFUNCTION("""COMPUTED_VALUE"""),"LUIS")</f>
        <v>LUIS</v>
      </c>
      <c r="AQ896" s="213"/>
      <c r="AR896" s="213"/>
      <c r="AS896" s="213"/>
      <c r="AT896" s="213"/>
      <c r="AU896" s="213"/>
      <c r="AV896" s="213"/>
      <c r="AW896" s="213"/>
      <c r="AX896" s="213"/>
      <c r="AY896" s="213"/>
      <c r="AZ896" s="213"/>
      <c r="BA896" s="213"/>
      <c r="BB896" s="213"/>
      <c r="BC896" s="213"/>
      <c r="BD896" s="213"/>
    </row>
    <row r="897">
      <c r="A897" s="213">
        <f>IFERROR(__xludf.DUMMYFUNCTION("""COMPUTED_VALUE"""),940.0)</f>
        <v>940</v>
      </c>
      <c r="B897" s="213" t="str">
        <f>IFERROR(__xludf.DUMMYFUNCTION("""COMPUTED_VALUE"""),"FRANCISCO IRAZOLA")</f>
        <v>FRANCISCO IRAZOLA</v>
      </c>
      <c r="C897" s="213" t="str">
        <f>IFERROR(__xludf.DUMMYFUNCTION("""COMPUTED_VALUE"""),"TALLER SFT DE MECÁNICA AUTOMOTRIZ")</f>
        <v>TALLER SFT DE MECÁNICA AUTOMOTRIZ</v>
      </c>
      <c r="D897" s="213" t="str">
        <f>IFERROR(__xludf.DUMMYFUNCTION("""COMPUTED_VALUE"""),"HERRAMIENTAS")</f>
        <v>HERRAMIENTAS</v>
      </c>
      <c r="E897" s="213" t="str">
        <f>IFERROR(__xludf.DUMMYFUNCTION("""COMPUTED_VALUE"""),"HER-135")</f>
        <v>HER-135</v>
      </c>
      <c r="F897" s="213" t="str">
        <f>IFERROR(__xludf.DUMMYFUNCTION("""COMPUTED_VALUE"""),"HER-135-X")</f>
        <v>HER-135-X</v>
      </c>
      <c r="G897" s="213"/>
      <c r="H897" s="213" t="str">
        <f>IFERROR(__xludf.DUMMYFUNCTION("""COMPUTED_VALUE"""),"JUEGO DE ALICATES")</f>
        <v>JUEGO DE ALICATES</v>
      </c>
      <c r="I897" s="213" t="str">
        <f>IFERROR(__xludf.DUMMYFUNCTION("""COMPUTED_VALUE"""),"Fabricada en acero de alto rendimiento. Mangos bimaterial.
Dureza en puntas: 58 - 65 HRc. Composición y dimensiones:
Alicate universal: Longitud 180 mm. Alicate cortante: Longitud 160 mm.
Alicate de boca semiredonda: Longitud 200 mm.")</f>
        <v>Fabricada en acero de alto rendimiento. Mangos bimaterial.
Dureza en puntas: 58 - 65 HRc. Composición y dimensiones:
Alicate universal: Longitud 180 mm. Alicate cortante: Longitud 160 mm.
Alicate de boca semiredonda: Longitud 200 mm.</v>
      </c>
      <c r="J897" s="213">
        <f>IFERROR(__xludf.DUMMYFUNCTION("""COMPUTED_VALUE"""),3.0)</f>
        <v>3</v>
      </c>
      <c r="K897" s="213" t="str">
        <f>IFERROR(__xludf.DUMMYFUNCTION("""COMPUTED_VALUE"""),"90 DÍAS CALENDARIO")</f>
        <v>90 DÍAS CALENDARIO</v>
      </c>
      <c r="L897" s="213" t="str">
        <f>IFERROR(__xludf.DUMMYFUNCTION("""COMPUTED_VALUE"""),"INDUSTRIA DEL VESTIDO, MECÁNICA AUTOMOTRÍZ")</f>
        <v>INDUSTRIA DEL VESTIDO, MECÁNICA AUTOMOTRÍZ</v>
      </c>
      <c r="M897" s="213">
        <f>IFERROR(__xludf.DUMMYFUNCTION("""COMPUTED_VALUE"""),1.0)</f>
        <v>1</v>
      </c>
      <c r="N897" s="213">
        <f>IFERROR(__xludf.DUMMYFUNCTION("""COMPUTED_VALUE"""),4.0)</f>
        <v>4</v>
      </c>
      <c r="O897" s="213">
        <f>IFERROR(__xludf.DUMMYFUNCTION("""COMPUTED_VALUE"""),4.0)</f>
        <v>4</v>
      </c>
      <c r="P897" s="213"/>
      <c r="Q897" s="213"/>
      <c r="R897" s="213" t="str">
        <f>IFERROR(__xludf.DUMMYFUNCTION("""COMPUTED_VALUE"""),"SI")</f>
        <v>SI</v>
      </c>
      <c r="S897" s="213"/>
      <c r="T897" s="213" t="str">
        <f>IFERROR(__xludf.DUMMYFUNCTION("""COMPUTED_VALUE"""),"NO")</f>
        <v>NO</v>
      </c>
      <c r="U897" s="213" t="str">
        <f>IFERROR(__xludf.DUMMYFUNCTION("""COMPUTED_VALUE"""),"SI")</f>
        <v>SI</v>
      </c>
      <c r="V897" s="213" t="str">
        <f>IFERROR(__xludf.DUMMYFUNCTION("""COMPUTED_VALUE"""),"-")</f>
        <v>-</v>
      </c>
      <c r="W897" s="213" t="str">
        <f>IFERROR(__xludf.DUMMYFUNCTION("""COMPUTED_VALUE"""),"-")</f>
        <v>-</v>
      </c>
      <c r="X897" s="213" t="str">
        <f>IFERROR(__xludf.DUMMYFUNCTION("""COMPUTED_VALUE"""),"IRIMO")</f>
        <v>IRIMO</v>
      </c>
      <c r="Y897" s="213" t="str">
        <f>IFERROR(__xludf.DUMMYFUNCTION("""COMPUTED_VALUE"""),"601-3-C")</f>
        <v>601-3-C</v>
      </c>
      <c r="Z897" s="215" t="str">
        <f>IFERROR(__xludf.DUMMYFUNCTION("""COMPUTED_VALUE"""),"https://rodavigo.net/datos/articulos/534/juego-alicates-irimo-1.pdf")</f>
        <v>https://rodavigo.net/datos/articulos/534/juego-alicates-irimo-1.pdf</v>
      </c>
      <c r="AA897" s="213" t="str">
        <f>IFERROR(__xludf.DUMMYFUNCTION("""COMPUTED_VALUE"""),"HER-135-X JUEGO DE ALICATES - CET")</f>
        <v>HER-135-X JUEGO DE ALICATES - CET</v>
      </c>
      <c r="AB897" s="213"/>
      <c r="AC897" s="213"/>
      <c r="AD897" s="213"/>
      <c r="AE897" s="213"/>
      <c r="AF897" s="213"/>
      <c r="AG897" s="213"/>
      <c r="AH897" s="213"/>
      <c r="AI897" s="213"/>
      <c r="AJ897" s="213"/>
      <c r="AK897" s="213"/>
      <c r="AL897" s="213"/>
      <c r="AM897" s="213"/>
      <c r="AN897" s="213"/>
      <c r="AO897" s="213"/>
      <c r="AP897" s="213" t="str">
        <f>IFERROR(__xludf.DUMMYFUNCTION("""COMPUTED_VALUE"""),"LUIS")</f>
        <v>LUIS</v>
      </c>
      <c r="AQ897" s="213"/>
      <c r="AR897" s="213"/>
      <c r="AS897" s="213"/>
      <c r="AT897" s="213"/>
      <c r="AU897" s="213"/>
      <c r="AV897" s="213"/>
      <c r="AW897" s="213"/>
      <c r="AX897" s="213"/>
      <c r="AY897" s="213"/>
      <c r="AZ897" s="213"/>
      <c r="BA897" s="213"/>
      <c r="BB897" s="213"/>
      <c r="BC897" s="213"/>
      <c r="BD897" s="213"/>
    </row>
    <row r="898">
      <c r="A898" s="213">
        <f>IFERROR(__xludf.DUMMYFUNCTION("""COMPUTED_VALUE"""),1541.0)</f>
        <v>1541</v>
      </c>
      <c r="B898" s="213" t="str">
        <f>IFERROR(__xludf.DUMMYFUNCTION("""COMPUTED_VALUE"""),"GUILLERMO E. BILLINGHURST ")</f>
        <v>GUILLERMO E. BILLINGHURST </v>
      </c>
      <c r="C898" s="213" t="str">
        <f>IFERROR(__xludf.DUMMYFUNCTION("""COMPUTED_VALUE"""),"TALLER SFT DE MECÁNICA AUTOMOTRIZ")</f>
        <v>TALLER SFT DE MECÁNICA AUTOMOTRIZ</v>
      </c>
      <c r="D898" s="213" t="str">
        <f>IFERROR(__xludf.DUMMYFUNCTION("""COMPUTED_VALUE"""),"HERRAMIENTAS")</f>
        <v>HERRAMIENTAS</v>
      </c>
      <c r="E898" s="213" t="str">
        <f>IFERROR(__xludf.DUMMYFUNCTION("""COMPUTED_VALUE"""),"HER-135")</f>
        <v>HER-135</v>
      </c>
      <c r="F898" s="213" t="str">
        <f>IFERROR(__xludf.DUMMYFUNCTION("""COMPUTED_VALUE"""),"HER-135-X")</f>
        <v>HER-135-X</v>
      </c>
      <c r="G898" s="213"/>
      <c r="H898" s="213" t="str">
        <f>IFERROR(__xludf.DUMMYFUNCTION("""COMPUTED_VALUE"""),"JUEGO DE ALICATES")</f>
        <v>JUEGO DE ALICATES</v>
      </c>
      <c r="I898" s="213" t="str">
        <f>IFERROR(__xludf.DUMMYFUNCTION("""COMPUTED_VALUE"""),"Fabricada en acero de alto rendimiento. Mangos bimaterial.
Dureza en puntas: 58 - 65 HRc. Composición y dimensiones:
Alicate universal: Longitud 180 mm. Alicate cortante: Longitud 160 mm.
Alicate de boca semiredonda: Longitud 200 mm.")</f>
        <v>Fabricada en acero de alto rendimiento. Mangos bimaterial.
Dureza en puntas: 58 - 65 HRc. Composición y dimensiones:
Alicate universal: Longitud 180 mm. Alicate cortante: Longitud 160 mm.
Alicate de boca semiredonda: Longitud 200 mm.</v>
      </c>
      <c r="J898" s="213">
        <f>IFERROR(__xludf.DUMMYFUNCTION("""COMPUTED_VALUE"""),3.0)</f>
        <v>3</v>
      </c>
      <c r="K898" s="213" t="str">
        <f>IFERROR(__xludf.DUMMYFUNCTION("""COMPUTED_VALUE"""),"90 DÍAS CALENDARIO")</f>
        <v>90 DÍAS CALENDARIO</v>
      </c>
      <c r="L898" s="213" t="str">
        <f>IFERROR(__xludf.DUMMYFUNCTION("""COMPUTED_VALUE"""),"INDUSTRIA DEL VESTIDO, MECÁNICA AUTOMOTRÍZ")</f>
        <v>INDUSTRIA DEL VESTIDO, MECÁNICA AUTOMOTRÍZ</v>
      </c>
      <c r="M898" s="213">
        <f>IFERROR(__xludf.DUMMYFUNCTION("""COMPUTED_VALUE"""),1.0)</f>
        <v>1</v>
      </c>
      <c r="N898" s="213">
        <f>IFERROR(__xludf.DUMMYFUNCTION("""COMPUTED_VALUE"""),4.0)</f>
        <v>4</v>
      </c>
      <c r="O898" s="213">
        <f>IFERROR(__xludf.DUMMYFUNCTION("""COMPUTED_VALUE"""),4.0)</f>
        <v>4</v>
      </c>
      <c r="P898" s="213"/>
      <c r="Q898" s="213"/>
      <c r="R898" s="213" t="str">
        <f>IFERROR(__xludf.DUMMYFUNCTION("""COMPUTED_VALUE"""),"SI")</f>
        <v>SI</v>
      </c>
      <c r="S898" s="213"/>
      <c r="T898" s="213" t="str">
        <f>IFERROR(__xludf.DUMMYFUNCTION("""COMPUTED_VALUE"""),"NO")</f>
        <v>NO</v>
      </c>
      <c r="U898" s="213" t="str">
        <f>IFERROR(__xludf.DUMMYFUNCTION("""COMPUTED_VALUE"""),"SI")</f>
        <v>SI</v>
      </c>
      <c r="V898" s="213" t="str">
        <f>IFERROR(__xludf.DUMMYFUNCTION("""COMPUTED_VALUE"""),"-")</f>
        <v>-</v>
      </c>
      <c r="W898" s="213" t="str">
        <f>IFERROR(__xludf.DUMMYFUNCTION("""COMPUTED_VALUE"""),"-")</f>
        <v>-</v>
      </c>
      <c r="X898" s="213" t="str">
        <f>IFERROR(__xludf.DUMMYFUNCTION("""COMPUTED_VALUE"""),"IRIMO")</f>
        <v>IRIMO</v>
      </c>
      <c r="Y898" s="213" t="str">
        <f>IFERROR(__xludf.DUMMYFUNCTION("""COMPUTED_VALUE"""),"601-3-C")</f>
        <v>601-3-C</v>
      </c>
      <c r="Z898" s="215" t="str">
        <f>IFERROR(__xludf.DUMMYFUNCTION("""COMPUTED_VALUE"""),"https://rodavigo.net/datos/articulos/534/juego-alicates-irimo-1.pdf")</f>
        <v>https://rodavigo.net/datos/articulos/534/juego-alicates-irimo-1.pdf</v>
      </c>
      <c r="AA898" s="213" t="str">
        <f>IFERROR(__xludf.DUMMYFUNCTION("""COMPUTED_VALUE"""),"HER-135-X JUEGO DE ALICATES - CET")</f>
        <v>HER-135-X JUEGO DE ALICATES - CET</v>
      </c>
      <c r="AB898" s="213"/>
      <c r="AC898" s="213"/>
      <c r="AD898" s="213"/>
      <c r="AE898" s="213"/>
      <c r="AF898" s="213"/>
      <c r="AG898" s="213"/>
      <c r="AH898" s="213"/>
      <c r="AI898" s="213"/>
      <c r="AJ898" s="213"/>
      <c r="AK898" s="213"/>
      <c r="AL898" s="213"/>
      <c r="AM898" s="213"/>
      <c r="AN898" s="213"/>
      <c r="AO898" s="213"/>
      <c r="AP898" s="213" t="str">
        <f>IFERROR(__xludf.DUMMYFUNCTION("""COMPUTED_VALUE"""),"LUIS")</f>
        <v>LUIS</v>
      </c>
      <c r="AQ898" s="213"/>
      <c r="AR898" s="213"/>
      <c r="AS898" s="213"/>
      <c r="AT898" s="213"/>
      <c r="AU898" s="213"/>
      <c r="AV898" s="213"/>
      <c r="AW898" s="213"/>
      <c r="AX898" s="213"/>
      <c r="AY898" s="213"/>
      <c r="AZ898" s="213"/>
      <c r="BA898" s="213"/>
      <c r="BB898" s="213"/>
      <c r="BC898" s="213"/>
      <c r="BD898" s="213"/>
    </row>
    <row r="899">
      <c r="A899" s="213">
        <f>IFERROR(__xludf.DUMMYFUNCTION("""COMPUTED_VALUE"""),1693.0)</f>
        <v>1693</v>
      </c>
      <c r="B899" s="213" t="str">
        <f>IFERROR(__xludf.DUMMYFUNCTION("""COMPUTED_VALUE"""),"GUILLERMO E. BILLINGHURST ")</f>
        <v>GUILLERMO E. BILLINGHURST </v>
      </c>
      <c r="C899" s="213" t="str">
        <f>IFERROR(__xludf.DUMMYFUNCTION("""COMPUTED_VALUE"""),"TALLER SFT DE COMPUTACIÓN E INFORMÁTICA")</f>
        <v>TALLER SFT DE COMPUTACIÓN E INFORMÁTICA</v>
      </c>
      <c r="D899" s="213" t="str">
        <f>IFERROR(__xludf.DUMMYFUNCTION("""COMPUTED_VALUE"""),"HERRAMIENTAS")</f>
        <v>HERRAMIENTAS</v>
      </c>
      <c r="E899" s="213" t="str">
        <f>IFERROR(__xludf.DUMMYFUNCTION("""COMPUTED_VALUE"""),"HER-135")</f>
        <v>HER-135</v>
      </c>
      <c r="F899" s="213" t="str">
        <f>IFERROR(__xludf.DUMMYFUNCTION("""COMPUTED_VALUE"""),"HER-135-Z")</f>
        <v>HER-135-Z</v>
      </c>
      <c r="G899" s="213"/>
      <c r="H899" s="213" t="str">
        <f>IFERROR(__xludf.DUMMYFUNCTION("""COMPUTED_VALUE"""),"JUEGO DE ALICATES")</f>
        <v>JUEGO DE ALICATES</v>
      </c>
      <c r="I899" s="213" t="str">
        <f>IFERROR(__xludf.DUMMYFUNCTION("""COMPUTED_VALUE"""),"El juego está conformado por:
·  Composición y dimensiones:
·  1 alicate de punta de aguja de 5""
·  1 alicate de punta y corte de 4""
·  1 alicate de corte diagonal de 4""
·  Forjadas en acero al cromo vanadio
·  Mango en bimaterial.
·  Dureza en puntas:"&amp;" 58 - 65 HRc.")</f>
        <v>El juego está conformado por:
·  Composición y dimensiones:
·  1 alicate de punta de aguja de 5"
·  1 alicate de punta y corte de 4"
·  1 alicate de corte diagonal de 4"
·  Forjadas en acero al cromo vanadio
·  Mango en bimaterial.
·  Dureza en puntas: 58 - 65 HRc.</v>
      </c>
      <c r="J899" s="213">
        <f>IFERROR(__xludf.DUMMYFUNCTION("""COMPUTED_VALUE"""),3.0)</f>
        <v>3</v>
      </c>
      <c r="K899" s="213" t="str">
        <f>IFERROR(__xludf.DUMMYFUNCTION("""COMPUTED_VALUE"""),"90 DÍAS CALENDARIO")</f>
        <v>90 DÍAS CALENDARIO</v>
      </c>
      <c r="L899" s="213" t="str">
        <f>IFERROR(__xludf.DUMMYFUNCTION("""COMPUTED_VALUE"""),"")</f>
        <v/>
      </c>
      <c r="M899" s="213">
        <f>IFERROR(__xludf.DUMMYFUNCTION("""COMPUTED_VALUE"""),1.0)</f>
        <v>1</v>
      </c>
      <c r="N899" s="213">
        <f>IFERROR(__xludf.DUMMYFUNCTION("""COMPUTED_VALUE"""),4.0)</f>
        <v>4</v>
      </c>
      <c r="O899" s="213">
        <f>IFERROR(__xludf.DUMMYFUNCTION("""COMPUTED_VALUE"""),4.0)</f>
        <v>4</v>
      </c>
      <c r="P899" s="213"/>
      <c r="Q899" s="213"/>
      <c r="R899" s="213" t="str">
        <f>IFERROR(__xludf.DUMMYFUNCTION("""COMPUTED_VALUE"""),"SI")</f>
        <v>SI</v>
      </c>
      <c r="S899" s="213"/>
      <c r="T899" s="213" t="str">
        <f>IFERROR(__xludf.DUMMYFUNCTION("""COMPUTED_VALUE"""),"NO")</f>
        <v>NO</v>
      </c>
      <c r="U899" s="213" t="str">
        <f>IFERROR(__xludf.DUMMYFUNCTION("""COMPUTED_VALUE"""),"SI")</f>
        <v>SI</v>
      </c>
      <c r="V899" s="213" t="str">
        <f>IFERROR(__xludf.DUMMYFUNCTION("""COMPUTED_VALUE"""),"-")</f>
        <v>-</v>
      </c>
      <c r="W899" s="213" t="str">
        <f>IFERROR(__xludf.DUMMYFUNCTION("""COMPUTED_VALUE"""),"-")</f>
        <v>-</v>
      </c>
      <c r="X899" s="213" t="str">
        <f>IFERROR(__xludf.DUMMYFUNCTION("""COMPUTED_VALUE"""),"TRUPER")</f>
        <v>TRUPER</v>
      </c>
      <c r="Y899" s="213">
        <f>IFERROR(__xludf.DUMMYFUNCTION("""COMPUTED_VALUE"""),5632486.0)</f>
        <v>5632486</v>
      </c>
      <c r="Z899" s="215" t="str">
        <f>IFERROR(__xludf.DUMMYFUNCTION("""COMPUTED_VALUE"""),"https://simple.ripley.com.pe/juego-de-alicates-3-piezas-truper-18215-pmp20000843165?srsltid=AfmBOooFairssWBR9swvwgkKS021r2FwkJodihAxEXSKevC0SlSZtDXd&amp;color_80=naranja&amp;s=mdco")</f>
        <v>https://simple.ripley.com.pe/juego-de-alicates-3-piezas-truper-18215-pmp20000843165?srsltid=AfmBOooFairssWBR9swvwgkKS021r2FwkJodihAxEXSKevC0SlSZtDXd&amp;color_80=naranja&amp;s=mdco</v>
      </c>
      <c r="AA899" s="213" t="str">
        <f>IFERROR(__xludf.DUMMYFUNCTION("""COMPUTED_VALUE"""),"HER-135-Z JUEGO DE ALICATES - CET")</f>
        <v>HER-135-Z JUEGO DE ALICATES - CET</v>
      </c>
      <c r="AB899" s="213"/>
      <c r="AC899" s="213"/>
      <c r="AD899" s="213"/>
      <c r="AE899" s="213"/>
      <c r="AF899" s="213"/>
      <c r="AG899" s="213"/>
      <c r="AH899" s="213"/>
      <c r="AI899" s="213"/>
      <c r="AJ899" s="213"/>
      <c r="AK899" s="213"/>
      <c r="AL899" s="213"/>
      <c r="AM899" s="213"/>
      <c r="AN899" s="213"/>
      <c r="AO899" s="213"/>
      <c r="AP899" s="213" t="str">
        <f>IFERROR(__xludf.DUMMYFUNCTION("""COMPUTED_VALUE"""),"LUIS")</f>
        <v>LUIS</v>
      </c>
      <c r="AQ899" s="213"/>
      <c r="AR899" s="213"/>
      <c r="AS899" s="213"/>
      <c r="AT899" s="213"/>
      <c r="AU899" s="213"/>
      <c r="AV899" s="213"/>
      <c r="AW899" s="213"/>
      <c r="AX899" s="213"/>
      <c r="AY899" s="213"/>
      <c r="AZ899" s="213"/>
      <c r="BA899" s="213"/>
      <c r="BB899" s="213"/>
      <c r="BC899" s="213"/>
      <c r="BD899" s="213"/>
    </row>
    <row r="900">
      <c r="A900" s="213">
        <f>IFERROR(__xludf.DUMMYFUNCTION("""COMPUTED_VALUE"""),1825.0)</f>
        <v>1825</v>
      </c>
      <c r="B900" s="213" t="str">
        <f>IFERROR(__xludf.DUMMYFUNCTION("""COMPUTED_VALUE"""),"GUILLERMO E. BILLINGHURST ")</f>
        <v>GUILLERMO E. BILLINGHURST </v>
      </c>
      <c r="C900" s="213" t="str">
        <f>IFERROR(__xludf.DUMMYFUNCTION("""COMPUTED_VALUE"""),"TALLER SFT DE EBANISTERÍA")</f>
        <v>TALLER SFT DE EBANISTERÍA</v>
      </c>
      <c r="D900" s="213" t="str">
        <f>IFERROR(__xludf.DUMMYFUNCTION("""COMPUTED_VALUE"""),"HERRAMIENTAS")</f>
        <v>HERRAMIENTAS</v>
      </c>
      <c r="E900" s="213" t="str">
        <f>IFERROR(__xludf.DUMMYFUNCTION("""COMPUTED_VALUE"""),"HER-135")</f>
        <v>HER-135</v>
      </c>
      <c r="F900" s="213" t="str">
        <f>IFERROR(__xludf.DUMMYFUNCTION("""COMPUTED_VALUE"""),"HER-135-Y")</f>
        <v>HER-135-Y</v>
      </c>
      <c r="G900" s="213"/>
      <c r="H900" s="213" t="str">
        <f>IFERROR(__xludf.DUMMYFUNCTION("""COMPUTED_VALUE"""),"JUEGO DE ALICATES")</f>
        <v>JUEGO DE ALICATES</v>
      </c>
      <c r="I900" s="213" t="str">
        <f>IFERROR(__xludf.DUMMYFUNCTION("""COMPUTED_VALUE"""),"Fabricada en acero Cromo Níquel. Mangos bimaterial.
Dureza en puntas: 58 - 65 HRc. Composición y dimensiones del juego:
- Alicate universal: Longitud 180 mm.
- Alicate cortante: Longitud 160 mm.
- Alicate de boca semiredonda: Longitud 200 mm.")</f>
        <v>Fabricada en acero Cromo Níquel. Mangos bimaterial.
Dureza en puntas: 58 - 65 HRc. Composición y dimensiones del juego:
- Alicate universal: Longitud 180 mm.
- Alicate cortante: Longitud 160 mm.
- Alicate de boca semiredonda: Longitud 200 mm.</v>
      </c>
      <c r="J900" s="213">
        <f>IFERROR(__xludf.DUMMYFUNCTION("""COMPUTED_VALUE"""),3.0)</f>
        <v>3</v>
      </c>
      <c r="K900" s="213" t="str">
        <f>IFERROR(__xludf.DUMMYFUNCTION("""COMPUTED_VALUE"""),"90 DÍAS CALENDARIO")</f>
        <v>90 DÍAS CALENDARIO</v>
      </c>
      <c r="L900" s="213" t="str">
        <f>IFERROR(__xludf.DUMMYFUNCTION("""COMPUTED_VALUE"""),"")</f>
        <v/>
      </c>
      <c r="M900" s="213">
        <f>IFERROR(__xludf.DUMMYFUNCTION("""COMPUTED_VALUE"""),1.0)</f>
        <v>1</v>
      </c>
      <c r="N900" s="213">
        <f>IFERROR(__xludf.DUMMYFUNCTION("""COMPUTED_VALUE"""),4.0)</f>
        <v>4</v>
      </c>
      <c r="O900" s="213">
        <f>IFERROR(__xludf.DUMMYFUNCTION("""COMPUTED_VALUE"""),4.0)</f>
        <v>4</v>
      </c>
      <c r="P900" s="213"/>
      <c r="Q900" s="213"/>
      <c r="R900" s="213" t="str">
        <f>IFERROR(__xludf.DUMMYFUNCTION("""COMPUTED_VALUE"""),"SI")</f>
        <v>SI</v>
      </c>
      <c r="S900" s="213"/>
      <c r="T900" s="213" t="str">
        <f>IFERROR(__xludf.DUMMYFUNCTION("""COMPUTED_VALUE"""),"NO")</f>
        <v>NO</v>
      </c>
      <c r="U900" s="213"/>
      <c r="V900" s="213"/>
      <c r="W900" s="213"/>
      <c r="X900" s="213"/>
      <c r="Y900" s="213"/>
      <c r="Z900" s="215" t="str">
        <f>IFERROR(__xludf.DUMMYFUNCTION("""COMPUTED_VALUE"""),"https://cahema.pe/set-mixtos/14160-juego-de-alicates-3-piezas-irimo-601-3-c-8414909218114.html?utm_source=chatgpt.com")</f>
        <v>https://cahema.pe/set-mixtos/14160-juego-de-alicates-3-piezas-irimo-601-3-c-8414909218114.html?utm_source=chatgpt.com</v>
      </c>
      <c r="AA900" s="213" t="str">
        <f>IFERROR(__xludf.DUMMYFUNCTION("""COMPUTED_VALUE"""),"HER-135-Y JUEGO DE ALICATES - CET")</f>
        <v>HER-135-Y JUEGO DE ALICATES - CET</v>
      </c>
      <c r="AB900" s="213"/>
      <c r="AC900" s="213"/>
      <c r="AD900" s="213"/>
      <c r="AE900" s="213"/>
      <c r="AF900" s="213"/>
      <c r="AG900" s="213"/>
      <c r="AH900" s="213"/>
      <c r="AI900" s="213"/>
      <c r="AJ900" s="213"/>
      <c r="AK900" s="213"/>
      <c r="AL900" s="213"/>
      <c r="AM900" s="213"/>
      <c r="AN900" s="213"/>
      <c r="AO900" s="213"/>
      <c r="AP900" s="213" t="str">
        <f>IFERROR(__xludf.DUMMYFUNCTION("""COMPUTED_VALUE"""),"LUIS")</f>
        <v>LUIS</v>
      </c>
      <c r="AQ900" s="213"/>
      <c r="AR900" s="213"/>
      <c r="AS900" s="213"/>
      <c r="AT900" s="213"/>
      <c r="AU900" s="213"/>
      <c r="AV900" s="213"/>
      <c r="AW900" s="213"/>
      <c r="AX900" s="213"/>
      <c r="AY900" s="213"/>
      <c r="AZ900" s="213"/>
      <c r="BA900" s="213"/>
      <c r="BB900" s="213"/>
      <c r="BC900" s="213"/>
      <c r="BD900" s="213"/>
    </row>
    <row r="901">
      <c r="A901" s="213">
        <f>IFERROR(__xludf.DUMMYFUNCTION("""COMPUTED_VALUE"""),1945.0)</f>
        <v>1945</v>
      </c>
      <c r="B901" s="213" t="str">
        <f>IFERROR(__xludf.DUMMYFUNCTION("""COMPUTED_VALUE"""),"JOSE GRANDA")</f>
        <v>JOSE GRANDA</v>
      </c>
      <c r="C901" s="213" t="str">
        <f>IFERROR(__xludf.DUMMYFUNCTION("""COMPUTED_VALUE"""),"TALLER SFT DE COMPUTACIÓN E INFORMÁTICA")</f>
        <v>TALLER SFT DE COMPUTACIÓN E INFORMÁTICA</v>
      </c>
      <c r="D901" s="213" t="str">
        <f>IFERROR(__xludf.DUMMYFUNCTION("""COMPUTED_VALUE"""),"HERRAMIENTAS")</f>
        <v>HERRAMIENTAS</v>
      </c>
      <c r="E901" s="213" t="str">
        <f>IFERROR(__xludf.DUMMYFUNCTION("""COMPUTED_VALUE"""),"HER-135")</f>
        <v>HER-135</v>
      </c>
      <c r="F901" s="213" t="str">
        <f>IFERROR(__xludf.DUMMYFUNCTION("""COMPUTED_VALUE"""),"HER-135-Z")</f>
        <v>HER-135-Z</v>
      </c>
      <c r="G901" s="213"/>
      <c r="H901" s="213" t="str">
        <f>IFERROR(__xludf.DUMMYFUNCTION("""COMPUTED_VALUE"""),"JUEGO DE ALICATES")</f>
        <v>JUEGO DE ALICATES</v>
      </c>
      <c r="I901" s="213" t="str">
        <f>IFERROR(__xludf.DUMMYFUNCTION("""COMPUTED_VALUE"""),"El juego está conformado por:
·  Composición y dimensiones:
·  1 alicate de punta de aguja de 5""
·  1 alicate de punta y corte de 4""
·  1 alicate de corte diagonal de 4""
·  Forjadas en acero al cromo vanadio
·  Mango en bimaterial.
·  Dureza en puntas:"&amp;" 58 - 65 HRc.")</f>
        <v>El juego está conformado por:
·  Composición y dimensiones:
·  1 alicate de punta de aguja de 5"
·  1 alicate de punta y corte de 4"
·  1 alicate de corte diagonal de 4"
·  Forjadas en acero al cromo vanadio
·  Mango en bimaterial.
·  Dureza en puntas: 58 - 65 HRc.</v>
      </c>
      <c r="J901" s="213">
        <f>IFERROR(__xludf.DUMMYFUNCTION("""COMPUTED_VALUE"""),3.0)</f>
        <v>3</v>
      </c>
      <c r="K901" s="213" t="str">
        <f>IFERROR(__xludf.DUMMYFUNCTION("""COMPUTED_VALUE"""),"90 DÍAS CALENDARIO")</f>
        <v>90 DÍAS CALENDARIO</v>
      </c>
      <c r="L901" s="213" t="str">
        <f>IFERROR(__xludf.DUMMYFUNCTION("""COMPUTED_VALUE"""),"")</f>
        <v/>
      </c>
      <c r="M901" s="213">
        <f>IFERROR(__xludf.DUMMYFUNCTION("""COMPUTED_VALUE"""),1.0)</f>
        <v>1</v>
      </c>
      <c r="N901" s="213">
        <f>IFERROR(__xludf.DUMMYFUNCTION("""COMPUTED_VALUE"""),4.0)</f>
        <v>4</v>
      </c>
      <c r="O901" s="213">
        <f>IFERROR(__xludf.DUMMYFUNCTION("""COMPUTED_VALUE"""),4.0)</f>
        <v>4</v>
      </c>
      <c r="P901" s="213"/>
      <c r="Q901" s="213"/>
      <c r="R901" s="213" t="str">
        <f>IFERROR(__xludf.DUMMYFUNCTION("""COMPUTED_VALUE"""),"SI")</f>
        <v>SI</v>
      </c>
      <c r="S901" s="213"/>
      <c r="T901" s="213" t="str">
        <f>IFERROR(__xludf.DUMMYFUNCTION("""COMPUTED_VALUE"""),"NO")</f>
        <v>NO</v>
      </c>
      <c r="U901" s="213" t="str">
        <f>IFERROR(__xludf.DUMMYFUNCTION("""COMPUTED_VALUE"""),"SI")</f>
        <v>SI</v>
      </c>
      <c r="V901" s="213" t="str">
        <f>IFERROR(__xludf.DUMMYFUNCTION("""COMPUTED_VALUE"""),"-")</f>
        <v>-</v>
      </c>
      <c r="W901" s="213" t="str">
        <f>IFERROR(__xludf.DUMMYFUNCTION("""COMPUTED_VALUE"""),"-")</f>
        <v>-</v>
      </c>
      <c r="X901" s="213" t="str">
        <f>IFERROR(__xludf.DUMMYFUNCTION("""COMPUTED_VALUE"""),"TRUPER")</f>
        <v>TRUPER</v>
      </c>
      <c r="Y901" s="213">
        <f>IFERROR(__xludf.DUMMYFUNCTION("""COMPUTED_VALUE"""),5632486.0)</f>
        <v>5632486</v>
      </c>
      <c r="Z901" s="215" t="str">
        <f>IFERROR(__xludf.DUMMYFUNCTION("""COMPUTED_VALUE"""),"https://simple.ripley.com.pe/juego-de-alicates-3-piezas-truper-18215-pmp20000843165?srsltid=AfmBOooFairssWBR9swvwgkKS021r2FwkJodihAxEXSKevC0SlSZtDXd&amp;color_80=naranja&amp;s=mdco")</f>
        <v>https://simple.ripley.com.pe/juego-de-alicates-3-piezas-truper-18215-pmp20000843165?srsltid=AfmBOooFairssWBR9swvwgkKS021r2FwkJodihAxEXSKevC0SlSZtDXd&amp;color_80=naranja&amp;s=mdco</v>
      </c>
      <c r="AA901" s="213" t="str">
        <f>IFERROR(__xludf.DUMMYFUNCTION("""COMPUTED_VALUE"""),"HER-135-Z JUEGO DE ALICATES - CET")</f>
        <v>HER-135-Z JUEGO DE ALICATES - CET</v>
      </c>
      <c r="AB901" s="213"/>
      <c r="AC901" s="213"/>
      <c r="AD901" s="213"/>
      <c r="AE901" s="213"/>
      <c r="AF901" s="213"/>
      <c r="AG901" s="213"/>
      <c r="AH901" s="213"/>
      <c r="AI901" s="213"/>
      <c r="AJ901" s="213"/>
      <c r="AK901" s="213"/>
      <c r="AL901" s="213"/>
      <c r="AM901" s="213"/>
      <c r="AN901" s="213"/>
      <c r="AO901" s="213"/>
      <c r="AP901" s="213" t="str">
        <f>IFERROR(__xludf.DUMMYFUNCTION("""COMPUTED_VALUE"""),"LUIS")</f>
        <v>LUIS</v>
      </c>
      <c r="AQ901" s="213"/>
      <c r="AR901" s="213"/>
      <c r="AS901" s="213"/>
      <c r="AT901" s="213"/>
      <c r="AU901" s="213"/>
      <c r="AV901" s="213"/>
      <c r="AW901" s="213"/>
      <c r="AX901" s="213"/>
      <c r="AY901" s="213"/>
      <c r="AZ901" s="213"/>
      <c r="BA901" s="213"/>
      <c r="BB901" s="213"/>
      <c r="BC901" s="213"/>
      <c r="BD901" s="213"/>
    </row>
    <row r="902">
      <c r="A902" s="213">
        <f>IFERROR(__xludf.DUMMYFUNCTION("""COMPUTED_VALUE"""),2233.0)</f>
        <v>2233</v>
      </c>
      <c r="B902" s="213" t="str">
        <f>IFERROR(__xludf.DUMMYFUNCTION("""COMPUTED_VALUE"""),"JOSE GRANDA")</f>
        <v>JOSE GRANDA</v>
      </c>
      <c r="C902" s="213" t="str">
        <f>IFERROR(__xludf.DUMMYFUNCTION("""COMPUTED_VALUE"""),"TALLER SFT DE MECÁNICA AUTOMOTRIZ")</f>
        <v>TALLER SFT DE MECÁNICA AUTOMOTRIZ</v>
      </c>
      <c r="D902" s="213" t="str">
        <f>IFERROR(__xludf.DUMMYFUNCTION("""COMPUTED_VALUE"""),"HERRAMIENTAS")</f>
        <v>HERRAMIENTAS</v>
      </c>
      <c r="E902" s="213" t="str">
        <f>IFERROR(__xludf.DUMMYFUNCTION("""COMPUTED_VALUE"""),"HER-135")</f>
        <v>HER-135</v>
      </c>
      <c r="F902" s="213" t="str">
        <f>IFERROR(__xludf.DUMMYFUNCTION("""COMPUTED_VALUE"""),"HER-135-X")</f>
        <v>HER-135-X</v>
      </c>
      <c r="G902" s="213"/>
      <c r="H902" s="213" t="str">
        <f>IFERROR(__xludf.DUMMYFUNCTION("""COMPUTED_VALUE"""),"JUEGO DE ALICATES")</f>
        <v>JUEGO DE ALICATES</v>
      </c>
      <c r="I902" s="213" t="str">
        <f>IFERROR(__xludf.DUMMYFUNCTION("""COMPUTED_VALUE"""),"Fabricada en acero de alto rendimiento. Mangos bimaterial.
Dureza en puntas: 58 - 65 HRc. Composición y dimensiones:
Alicate universal: Longitud 180 mm. Alicate cortante: Longitud 160 mm.
Alicate de boca semiredonda: Longitud 200 mm.")</f>
        <v>Fabricada en acero de alto rendimiento. Mangos bimaterial.
Dureza en puntas: 58 - 65 HRc. Composición y dimensiones:
Alicate universal: Longitud 180 mm. Alicate cortante: Longitud 160 mm.
Alicate de boca semiredonda: Longitud 200 mm.</v>
      </c>
      <c r="J902" s="213">
        <f>IFERROR(__xludf.DUMMYFUNCTION("""COMPUTED_VALUE"""),3.0)</f>
        <v>3</v>
      </c>
      <c r="K902" s="213" t="str">
        <f>IFERROR(__xludf.DUMMYFUNCTION("""COMPUTED_VALUE"""),"90 DÍAS CALENDARIO")</f>
        <v>90 DÍAS CALENDARIO</v>
      </c>
      <c r="L902" s="213" t="str">
        <f>IFERROR(__xludf.DUMMYFUNCTION("""COMPUTED_VALUE"""),"INDUSTRIA DEL VESTIDO, MECÁNICA AUTOMOTRÍZ")</f>
        <v>INDUSTRIA DEL VESTIDO, MECÁNICA AUTOMOTRÍZ</v>
      </c>
      <c r="M902" s="213">
        <f>IFERROR(__xludf.DUMMYFUNCTION("""COMPUTED_VALUE"""),1.0)</f>
        <v>1</v>
      </c>
      <c r="N902" s="213">
        <f>IFERROR(__xludf.DUMMYFUNCTION("""COMPUTED_VALUE"""),4.0)</f>
        <v>4</v>
      </c>
      <c r="O902" s="213">
        <f>IFERROR(__xludf.DUMMYFUNCTION("""COMPUTED_VALUE"""),4.0)</f>
        <v>4</v>
      </c>
      <c r="P902" s="213"/>
      <c r="Q902" s="213"/>
      <c r="R902" s="213" t="str">
        <f>IFERROR(__xludf.DUMMYFUNCTION("""COMPUTED_VALUE"""),"SI")</f>
        <v>SI</v>
      </c>
      <c r="S902" s="213"/>
      <c r="T902" s="213" t="str">
        <f>IFERROR(__xludf.DUMMYFUNCTION("""COMPUTED_VALUE"""),"NO")</f>
        <v>NO</v>
      </c>
      <c r="U902" s="213" t="str">
        <f>IFERROR(__xludf.DUMMYFUNCTION("""COMPUTED_VALUE"""),"SI")</f>
        <v>SI</v>
      </c>
      <c r="V902" s="213" t="str">
        <f>IFERROR(__xludf.DUMMYFUNCTION("""COMPUTED_VALUE"""),"-")</f>
        <v>-</v>
      </c>
      <c r="W902" s="213" t="str">
        <f>IFERROR(__xludf.DUMMYFUNCTION("""COMPUTED_VALUE"""),"-")</f>
        <v>-</v>
      </c>
      <c r="X902" s="213" t="str">
        <f>IFERROR(__xludf.DUMMYFUNCTION("""COMPUTED_VALUE"""),"IRIMO")</f>
        <v>IRIMO</v>
      </c>
      <c r="Y902" s="213" t="str">
        <f>IFERROR(__xludf.DUMMYFUNCTION("""COMPUTED_VALUE"""),"601-3-C")</f>
        <v>601-3-C</v>
      </c>
      <c r="Z902" s="215" t="str">
        <f>IFERROR(__xludf.DUMMYFUNCTION("""COMPUTED_VALUE"""),"https://rodavigo.net/datos/articulos/534/juego-alicates-irimo-1.pdf")</f>
        <v>https://rodavigo.net/datos/articulos/534/juego-alicates-irimo-1.pdf</v>
      </c>
      <c r="AA902" s="213" t="str">
        <f>IFERROR(__xludf.DUMMYFUNCTION("""COMPUTED_VALUE"""),"HER-135-X JUEGO DE ALICATES - CET")</f>
        <v>HER-135-X JUEGO DE ALICATES - CET</v>
      </c>
      <c r="AB902" s="213"/>
      <c r="AC902" s="213"/>
      <c r="AD902" s="213"/>
      <c r="AE902" s="213"/>
      <c r="AF902" s="213"/>
      <c r="AG902" s="213"/>
      <c r="AH902" s="213"/>
      <c r="AI902" s="213"/>
      <c r="AJ902" s="213"/>
      <c r="AK902" s="213"/>
      <c r="AL902" s="213"/>
      <c r="AM902" s="213"/>
      <c r="AN902" s="213"/>
      <c r="AO902" s="213"/>
      <c r="AP902" s="213" t="str">
        <f>IFERROR(__xludf.DUMMYFUNCTION("""COMPUTED_VALUE"""),"LUIS")</f>
        <v>LUIS</v>
      </c>
      <c r="AQ902" s="213"/>
      <c r="AR902" s="213"/>
      <c r="AS902" s="213"/>
      <c r="AT902" s="213"/>
      <c r="AU902" s="213"/>
      <c r="AV902" s="213"/>
      <c r="AW902" s="213"/>
      <c r="AX902" s="213"/>
      <c r="AY902" s="213"/>
      <c r="AZ902" s="213"/>
      <c r="BA902" s="213"/>
      <c r="BB902" s="213"/>
      <c r="BC902" s="213"/>
      <c r="BD902" s="213"/>
    </row>
    <row r="903">
      <c r="A903" s="213">
        <f>IFERROR(__xludf.DUMMYFUNCTION("""COMPUTED_VALUE"""),2408.0)</f>
        <v>2408</v>
      </c>
      <c r="B903" s="213" t="str">
        <f>IFERROR(__xludf.DUMMYFUNCTION("""COMPUTED_VALUE"""),"MANUEL ANTONIO MESONES MURO")</f>
        <v>MANUEL ANTONIO MESONES MURO</v>
      </c>
      <c r="C903" s="213" t="str">
        <f>IFERROR(__xludf.DUMMYFUNCTION("""COMPUTED_VALUE"""),"TALLER SFT DE INDUSTRIA DEL VESTIDO")</f>
        <v>TALLER SFT DE INDUSTRIA DEL VESTIDO</v>
      </c>
      <c r="D903" s="213" t="str">
        <f>IFERROR(__xludf.DUMMYFUNCTION("""COMPUTED_VALUE"""),"HERRAMIENTAS")</f>
        <v>HERRAMIENTAS</v>
      </c>
      <c r="E903" s="213" t="str">
        <f>IFERROR(__xludf.DUMMYFUNCTION("""COMPUTED_VALUE"""),"HER-135")</f>
        <v>HER-135</v>
      </c>
      <c r="F903" s="213" t="str">
        <f>IFERROR(__xludf.DUMMYFUNCTION("""COMPUTED_VALUE"""),"HER-135-X")</f>
        <v>HER-135-X</v>
      </c>
      <c r="G903" s="213"/>
      <c r="H903" s="213" t="str">
        <f>IFERROR(__xludf.DUMMYFUNCTION("""COMPUTED_VALUE"""),"JUEGO DE ALICATES")</f>
        <v>JUEGO DE ALICATES</v>
      </c>
      <c r="I903" s="213" t="str">
        <f>IFERROR(__xludf.DUMMYFUNCTION("""COMPUTED_VALUE"""),"Juego fabricado en acero de alto rendimiento. Mango bimaterial.
Dureza en puntas: 58 - 65 HRc. Composición y dimensiones:
- Alicate universal: 180 mm de largo.
- Alicate cortante: 160 mm de largo.
- Alicate de boca semiredonda: 200 mm de largo.")</f>
        <v>Juego fabricado en acero de alto rendimiento. Mango bimaterial.
Dureza en puntas: 58 - 65 HRc. Composición y dimensiones:
- Alicate universal: 180 mm de largo.
- Alicate cortante: 160 mm de largo.
- Alicate de boca semiredonda: 200 mm de largo.</v>
      </c>
      <c r="J903" s="213">
        <f>IFERROR(__xludf.DUMMYFUNCTION("""COMPUTED_VALUE"""),3.0)</f>
        <v>3</v>
      </c>
      <c r="K903" s="213" t="str">
        <f>IFERROR(__xludf.DUMMYFUNCTION("""COMPUTED_VALUE"""),"90 DÍAS CALENDARIO")</f>
        <v>90 DÍAS CALENDARIO</v>
      </c>
      <c r="L903" s="213" t="str">
        <f>IFERROR(__xludf.DUMMYFUNCTION("""COMPUTED_VALUE"""),"INDUSTRIA DEL VESTIDO, MECÁNICA AUTOMOTRÍZ")</f>
        <v>INDUSTRIA DEL VESTIDO, MECÁNICA AUTOMOTRÍZ</v>
      </c>
      <c r="M903" s="213">
        <f>IFERROR(__xludf.DUMMYFUNCTION("""COMPUTED_VALUE"""),1.0)</f>
        <v>1</v>
      </c>
      <c r="N903" s="213">
        <f>IFERROR(__xludf.DUMMYFUNCTION("""COMPUTED_VALUE"""),1.0)</f>
        <v>1</v>
      </c>
      <c r="O903" s="213">
        <f>IFERROR(__xludf.DUMMYFUNCTION("""COMPUTED_VALUE"""),1.0)</f>
        <v>1</v>
      </c>
      <c r="P903" s="213"/>
      <c r="Q903" s="213"/>
      <c r="R903" s="213" t="str">
        <f>IFERROR(__xludf.DUMMYFUNCTION("""COMPUTED_VALUE"""),"SI")</f>
        <v>SI</v>
      </c>
      <c r="S903" s="213"/>
      <c r="T903" s="213" t="str">
        <f>IFERROR(__xludf.DUMMYFUNCTION("""COMPUTED_VALUE"""),"NO")</f>
        <v>NO</v>
      </c>
      <c r="U903" s="213" t="str">
        <f>IFERROR(__xludf.DUMMYFUNCTION("""COMPUTED_VALUE"""),"SI")</f>
        <v>SI</v>
      </c>
      <c r="V903" s="213" t="str">
        <f>IFERROR(__xludf.DUMMYFUNCTION("""COMPUTED_VALUE"""),"-")</f>
        <v>-</v>
      </c>
      <c r="W903" s="213" t="str">
        <f>IFERROR(__xludf.DUMMYFUNCTION("""COMPUTED_VALUE"""),"-")</f>
        <v>-</v>
      </c>
      <c r="X903" s="213" t="str">
        <f>IFERROR(__xludf.DUMMYFUNCTION("""COMPUTED_VALUE"""),"IRIMO")</f>
        <v>IRIMO</v>
      </c>
      <c r="Y903" s="213" t="str">
        <f>IFERROR(__xludf.DUMMYFUNCTION("""COMPUTED_VALUE"""),"601-3-C")</f>
        <v>601-3-C</v>
      </c>
      <c r="Z903" s="215" t="str">
        <f>IFERROR(__xludf.DUMMYFUNCTION("""COMPUTED_VALUE"""),"https://rodavigo.net/datos/articulos/534/juego-alicates-irimo-1.pdf")</f>
        <v>https://rodavigo.net/datos/articulos/534/juego-alicates-irimo-1.pdf</v>
      </c>
      <c r="AA903" s="213" t="str">
        <f>IFERROR(__xludf.DUMMYFUNCTION("""COMPUTED_VALUE"""),"HER-135-X JUEGO DE ALICATES - CET")</f>
        <v>HER-135-X JUEGO DE ALICATES - CET</v>
      </c>
      <c r="AB903" s="213"/>
      <c r="AC903" s="213"/>
      <c r="AD903" s="213"/>
      <c r="AE903" s="213"/>
      <c r="AF903" s="213"/>
      <c r="AG903" s="213"/>
      <c r="AH903" s="213"/>
      <c r="AI903" s="213"/>
      <c r="AJ903" s="213"/>
      <c r="AK903" s="213"/>
      <c r="AL903" s="213"/>
      <c r="AM903" s="213"/>
      <c r="AN903" s="213"/>
      <c r="AO903" s="213"/>
      <c r="AP903" s="213" t="str">
        <f>IFERROR(__xludf.DUMMYFUNCTION("""COMPUTED_VALUE"""),"LUIS")</f>
        <v>LUIS</v>
      </c>
      <c r="AQ903" s="213"/>
      <c r="AR903" s="213"/>
      <c r="AS903" s="213"/>
      <c r="AT903" s="213"/>
      <c r="AU903" s="213"/>
      <c r="AV903" s="213"/>
      <c r="AW903" s="213"/>
      <c r="AX903" s="213"/>
      <c r="AY903" s="213"/>
      <c r="AZ903" s="213"/>
      <c r="BA903" s="213"/>
      <c r="BB903" s="213"/>
      <c r="BC903" s="213"/>
      <c r="BD903" s="213"/>
    </row>
    <row r="904">
      <c r="A904" s="213">
        <f>IFERROR(__xludf.DUMMYFUNCTION("""COMPUTED_VALUE"""),2607.0)</f>
        <v>2607</v>
      </c>
      <c r="B904" s="213" t="str">
        <f>IFERROR(__xludf.DUMMYFUNCTION("""COMPUTED_VALUE"""),"MANUEL ANTONIO MESONES MURO")</f>
        <v>MANUEL ANTONIO MESONES MURO</v>
      </c>
      <c r="C904" s="213" t="str">
        <f>IFERROR(__xludf.DUMMYFUNCTION("""COMPUTED_VALUE"""),"TALLER SFT DE EBANISTERÍA")</f>
        <v>TALLER SFT DE EBANISTERÍA</v>
      </c>
      <c r="D904" s="213" t="str">
        <f>IFERROR(__xludf.DUMMYFUNCTION("""COMPUTED_VALUE"""),"HERRAMIENTAS")</f>
        <v>HERRAMIENTAS</v>
      </c>
      <c r="E904" s="213" t="str">
        <f>IFERROR(__xludf.DUMMYFUNCTION("""COMPUTED_VALUE"""),"HER-135")</f>
        <v>HER-135</v>
      </c>
      <c r="F904" s="213" t="str">
        <f>IFERROR(__xludf.DUMMYFUNCTION("""COMPUTED_VALUE"""),"HER-135-Y")</f>
        <v>HER-135-Y</v>
      </c>
      <c r="G904" s="213"/>
      <c r="H904" s="213" t="str">
        <f>IFERROR(__xludf.DUMMYFUNCTION("""COMPUTED_VALUE"""),"JUEGO DE ALICATES")</f>
        <v>JUEGO DE ALICATES</v>
      </c>
      <c r="I904" s="213" t="str">
        <f>IFERROR(__xludf.DUMMYFUNCTION("""COMPUTED_VALUE"""),"Fabricada en acero Cromo Níquel. Mangos bimaterial.
Dureza en puntas: 58 - 65 HRc. Composición y dimensiones del juego:
- Alicate universal: Longitud 180 mm.
- Alicate cortante: Longitud 160 mm.
- Alicate de boca semiredonda: Longitud 200 mm.")</f>
        <v>Fabricada en acero Cromo Níquel. Mangos bimaterial.
Dureza en puntas: 58 - 65 HRc. Composición y dimensiones del juego:
- Alicate universal: Longitud 180 mm.
- Alicate cortante: Longitud 160 mm.
- Alicate de boca semiredonda: Longitud 200 mm.</v>
      </c>
      <c r="J904" s="213">
        <f>IFERROR(__xludf.DUMMYFUNCTION("""COMPUTED_VALUE"""),3.0)</f>
        <v>3</v>
      </c>
      <c r="K904" s="213" t="str">
        <f>IFERROR(__xludf.DUMMYFUNCTION("""COMPUTED_VALUE"""),"90 DÍAS CALENDARIO")</f>
        <v>90 DÍAS CALENDARIO</v>
      </c>
      <c r="L904" s="213" t="str">
        <f>IFERROR(__xludf.DUMMYFUNCTION("""COMPUTED_VALUE"""),"")</f>
        <v/>
      </c>
      <c r="M904" s="213">
        <f>IFERROR(__xludf.DUMMYFUNCTION("""COMPUTED_VALUE"""),1.0)</f>
        <v>1</v>
      </c>
      <c r="N904" s="213">
        <f>IFERROR(__xludf.DUMMYFUNCTION("""COMPUTED_VALUE"""),4.0)</f>
        <v>4</v>
      </c>
      <c r="O904" s="213">
        <f>IFERROR(__xludf.DUMMYFUNCTION("""COMPUTED_VALUE"""),4.0)</f>
        <v>4</v>
      </c>
      <c r="P904" s="213"/>
      <c r="Q904" s="213"/>
      <c r="R904" s="213" t="str">
        <f>IFERROR(__xludf.DUMMYFUNCTION("""COMPUTED_VALUE"""),"SI")</f>
        <v>SI</v>
      </c>
      <c r="S904" s="213"/>
      <c r="T904" s="213" t="str">
        <f>IFERROR(__xludf.DUMMYFUNCTION("""COMPUTED_VALUE"""),"NO")</f>
        <v>NO</v>
      </c>
      <c r="U904" s="213"/>
      <c r="V904" s="213"/>
      <c r="W904" s="213"/>
      <c r="X904" s="213"/>
      <c r="Y904" s="213"/>
      <c r="Z904" s="215" t="str">
        <f>IFERROR(__xludf.DUMMYFUNCTION("""COMPUTED_VALUE"""),"https://cahema.pe/set-mixtos/14160-juego-de-alicates-3-piezas-irimo-601-3-c-8414909218114.html?utm_source=chatgpt.com")</f>
        <v>https://cahema.pe/set-mixtos/14160-juego-de-alicates-3-piezas-irimo-601-3-c-8414909218114.html?utm_source=chatgpt.com</v>
      </c>
      <c r="AA904" s="213" t="str">
        <f>IFERROR(__xludf.DUMMYFUNCTION("""COMPUTED_VALUE"""),"HER-135-Y JUEGO DE ALICATES - CET")</f>
        <v>HER-135-Y JUEGO DE ALICATES - CET</v>
      </c>
      <c r="AB904" s="213"/>
      <c r="AC904" s="213"/>
      <c r="AD904" s="213"/>
      <c r="AE904" s="213"/>
      <c r="AF904" s="213"/>
      <c r="AG904" s="213"/>
      <c r="AH904" s="213"/>
      <c r="AI904" s="213"/>
      <c r="AJ904" s="213"/>
      <c r="AK904" s="213"/>
      <c r="AL904" s="213"/>
      <c r="AM904" s="213"/>
      <c r="AN904" s="213"/>
      <c r="AO904" s="213"/>
      <c r="AP904" s="213" t="str">
        <f>IFERROR(__xludf.DUMMYFUNCTION("""COMPUTED_VALUE"""),"LUIS")</f>
        <v>LUIS</v>
      </c>
      <c r="AQ904" s="213"/>
      <c r="AR904" s="213"/>
      <c r="AS904" s="213"/>
      <c r="AT904" s="213"/>
      <c r="AU904" s="213"/>
      <c r="AV904" s="213"/>
      <c r="AW904" s="213"/>
      <c r="AX904" s="213"/>
      <c r="AY904" s="213"/>
      <c r="AZ904" s="213"/>
      <c r="BA904" s="213"/>
      <c r="BB904" s="213"/>
      <c r="BC904" s="213"/>
      <c r="BD904" s="213"/>
    </row>
    <row r="905">
      <c r="A905" s="213">
        <f>IFERROR(__xludf.DUMMYFUNCTION("""COMPUTED_VALUE"""),2493.0)</f>
        <v>2493</v>
      </c>
      <c r="B905" s="213" t="str">
        <f>IFERROR(__xludf.DUMMYFUNCTION("""COMPUTED_VALUE"""),"MANUEL ANTONIO MESONES MURO")</f>
        <v>MANUEL ANTONIO MESONES MURO</v>
      </c>
      <c r="C905" s="213" t="str">
        <f>IFERROR(__xludf.DUMMYFUNCTION("""COMPUTED_VALUE"""),"TALLER SFT DE CONSTRUCCIONES METÁLICAS")</f>
        <v>TALLER SFT DE CONSTRUCCIONES METÁLICAS</v>
      </c>
      <c r="D905" s="213" t="str">
        <f>IFERROR(__xludf.DUMMYFUNCTION("""COMPUTED_VALUE"""),"HERRAMIENTAS")</f>
        <v>HERRAMIENTAS</v>
      </c>
      <c r="E905" s="213" t="str">
        <f>IFERROR(__xludf.DUMMYFUNCTION("""COMPUTED_VALUE"""),"HER-147")</f>
        <v>HER-147</v>
      </c>
      <c r="F905" s="213" t="str">
        <f>IFERROR(__xludf.DUMMYFUNCTION("""COMPUTED_VALUE"""),"HER-147")</f>
        <v>HER-147</v>
      </c>
      <c r="G905" s="213"/>
      <c r="H905" s="213" t="str">
        <f>IFERROR(__xludf.DUMMYFUNCTION("""COMPUTED_VALUE"""),"JUEGO DE LLAVES ALLEN MILIMÉTRICAS Y PULGADAS")</f>
        <v>JUEGO DE LLAVES ALLEN MILIMÉTRICAS Y PULGADAS</v>
      </c>
      <c r="I905" s="213" t="str">
        <f>IFERROR(__xludf.DUMMYFUNCTION("""COMPUTED_VALUE"""),"Juego plegable de llaves
-       Contenido 8 unidades, acero
-       Medidas: 1.5, 2, 2.5, 3, 4, 5, 6, 8 mm
-       Medidas en pulgadas: 5/64”; 3/32”; 7/64”; 1/8”; 9/64”; 5/32”; 5/16”; 7/32”; ¼” para tornillo hexagonal Ancho 3.5 cm
Alto 12 cm")</f>
        <v>Juego plegable de llaves
-       Contenido 8 unidades, acero
-       Medidas: 1.5, 2, 2.5, 3, 4, 5, 6, 8 mm
-       Medidas en pulgadas: 5/64”; 3/32”; 7/64”; 1/8”; 9/64”; 5/32”; 5/16”; 7/32”; ¼” para tornillo hexagonal Ancho 3.5 cm
Alto 12 cm</v>
      </c>
      <c r="J905" s="213">
        <f>IFERROR(__xludf.DUMMYFUNCTION("""COMPUTED_VALUE"""),3.0)</f>
        <v>3</v>
      </c>
      <c r="K905" s="213" t="str">
        <f>IFERROR(__xludf.DUMMYFUNCTION("""COMPUTED_VALUE"""),"90 DÍAS CALENDARIO")</f>
        <v>90 DÍAS CALENDARIO</v>
      </c>
      <c r="L905" s="213" t="str">
        <f>IFERROR(__xludf.DUMMYFUNCTION("""COMPUTED_VALUE"""),"")</f>
        <v/>
      </c>
      <c r="M905" s="213">
        <f>IFERROR(__xludf.DUMMYFUNCTION("""COMPUTED_VALUE"""),1.0)</f>
        <v>1</v>
      </c>
      <c r="N905" s="213">
        <f>IFERROR(__xludf.DUMMYFUNCTION("""COMPUTED_VALUE"""),2.0)</f>
        <v>2</v>
      </c>
      <c r="O905" s="213">
        <f>IFERROR(__xludf.DUMMYFUNCTION("""COMPUTED_VALUE"""),2.0)</f>
        <v>2</v>
      </c>
      <c r="P905" s="213"/>
      <c r="Q905" s="213"/>
      <c r="R905" s="213" t="str">
        <f>IFERROR(__xludf.DUMMYFUNCTION("""COMPUTED_VALUE"""),"SI")</f>
        <v>SI</v>
      </c>
      <c r="S905" s="213"/>
      <c r="T905" s="213" t="str">
        <f>IFERROR(__xludf.DUMMYFUNCTION("""COMPUTED_VALUE"""),"SI")</f>
        <v>SI</v>
      </c>
      <c r="U905" s="213" t="str">
        <f>IFERROR(__xludf.DUMMYFUNCTION("""COMPUTED_VALUE"""),"SI")</f>
        <v>SI</v>
      </c>
      <c r="V905" s="213" t="str">
        <f>IFERROR(__xludf.DUMMYFUNCTION("""COMPUTED_VALUE"""),"-")</f>
        <v>-</v>
      </c>
      <c r="W905" s="213" t="str">
        <f>IFERROR(__xludf.DUMMYFUNCTION("""COMPUTED_VALUE"""),"-")</f>
        <v>-</v>
      </c>
      <c r="X905" s="213" t="str">
        <f>IFERROR(__xludf.DUMMYFUNCTION("""COMPUTED_VALUE"""),"MILWAUKEE")</f>
        <v>MILWAUKEE</v>
      </c>
      <c r="Y905" s="213" t="str">
        <f>IFERROR(__xludf.DUMMYFUNCTION("""COMPUTED_VALUE"""),"48-22-2183")</f>
        <v>48-22-2183</v>
      </c>
      <c r="Z905" s="215" t="str">
        <f>IFERROR(__xludf.DUMMYFUNCTION("""COMPUTED_VALUE"""),"https://www.sodimac.com.pe/sodimac-pe/articulo/142250850/Juego-de-2-llaves-hexagonales-plegables-de-17-piezas-48-22-2183/142250851?srsltid=AfmBOorrSeB9EWakOKdHb4OPgiCkOg7EVoCNdoetfoMXGBWEyngrCpUW&amp;utm_source")</f>
        <v>https://www.sodimac.com.pe/sodimac-pe/articulo/142250850/Juego-de-2-llaves-hexagonales-plegables-de-17-piezas-48-22-2183/142250851?srsltid=AfmBOorrSeB9EWakOKdHb4OPgiCkOg7EVoCNdoetfoMXGBWEyngrCpUW&amp;utm_source</v>
      </c>
      <c r="AA905" s="213" t="str">
        <f>IFERROR(__xludf.DUMMYFUNCTION("""COMPUTED_VALUE"""),"HER-147 JUEGO DE LLAVES ALLEN - CET")</f>
        <v>HER-147 JUEGO DE LLAVES ALLEN - CET</v>
      </c>
      <c r="AB905" s="213"/>
      <c r="AC905" s="213"/>
      <c r="AD905" s="213"/>
      <c r="AE905" s="213"/>
      <c r="AF905" s="213"/>
      <c r="AG905" s="213"/>
      <c r="AH905" s="213"/>
      <c r="AI905" s="213"/>
      <c r="AJ905" s="213"/>
      <c r="AK905" s="213"/>
      <c r="AL905" s="213"/>
      <c r="AM905" s="213"/>
      <c r="AN905" s="213"/>
      <c r="AO905" s="213"/>
      <c r="AP905" s="213" t="str">
        <f>IFERROR(__xludf.DUMMYFUNCTION("""COMPUTED_VALUE"""),"LUIS")</f>
        <v>LUIS</v>
      </c>
      <c r="AQ905" s="213"/>
      <c r="AR905" s="213"/>
      <c r="AS905" s="213"/>
      <c r="AT905" s="213"/>
      <c r="AU905" s="213"/>
      <c r="AV905" s="213"/>
      <c r="AW905" s="213"/>
      <c r="AX905" s="213"/>
      <c r="AY905" s="213"/>
      <c r="AZ905" s="213"/>
      <c r="BA905" s="213"/>
      <c r="BB905" s="213"/>
      <c r="BC905" s="213"/>
      <c r="BD905" s="213"/>
    </row>
    <row r="906">
      <c r="A906" s="213">
        <f>IFERROR(__xludf.DUMMYFUNCTION("""COMPUTED_VALUE"""),1822.0)</f>
        <v>1822</v>
      </c>
      <c r="B906" s="213" t="str">
        <f>IFERROR(__xludf.DUMMYFUNCTION("""COMPUTED_VALUE"""),"GUILLERMO E. BILLINGHURST ")</f>
        <v>GUILLERMO E. BILLINGHURST </v>
      </c>
      <c r="C906" s="213" t="str">
        <f>IFERROR(__xludf.DUMMYFUNCTION("""COMPUTED_VALUE"""),"TALLER SFT DE EBANISTERÍA")</f>
        <v>TALLER SFT DE EBANISTERÍA</v>
      </c>
      <c r="D906" s="213" t="str">
        <f>IFERROR(__xludf.DUMMYFUNCTION("""COMPUTED_VALUE"""),"HERRAMIENTAS")</f>
        <v>HERRAMIENTAS</v>
      </c>
      <c r="E906" s="213" t="str">
        <f>IFERROR(__xludf.DUMMYFUNCTION("""COMPUTED_VALUE"""),"HER-137")</f>
        <v>HER-137</v>
      </c>
      <c r="F906" s="213" t="str">
        <f>IFERROR(__xludf.DUMMYFUNCTION("""COMPUTED_VALUE"""),"HER-137")</f>
        <v>HER-137</v>
      </c>
      <c r="G906" s="213"/>
      <c r="H906" s="213" t="str">
        <f>IFERROR(__xludf.DUMMYFUNCTION("""COMPUTED_VALUE"""),"JUEGO DE BROCAS DE PALETA")</f>
        <v>JUEGO DE BROCAS DE PALETA</v>
      </c>
      <c r="I906" s="213" t="str">
        <f>IFERROR(__xludf.DUMMYFUNCTION("""COMPUTED_VALUE"""),"El juego contiene 06 Brocas de Paleta de:
- 3/8"",
- 1/2"",
- 5/8"",
- 3/4"",
- 7/8"" y
- 1"".
Fabricado en acero de alto carbono.")</f>
        <v>El juego contiene 06 Brocas de Paleta de:
- 3/8",
- 1/2",
- 5/8",
- 3/4",
- 7/8" y
- 1".
Fabricado en acero de alto carbono.</v>
      </c>
      <c r="J906" s="213">
        <f>IFERROR(__xludf.DUMMYFUNCTION("""COMPUTED_VALUE"""),3.0)</f>
        <v>3</v>
      </c>
      <c r="K906" s="213" t="str">
        <f>IFERROR(__xludf.DUMMYFUNCTION("""COMPUTED_VALUE"""),"90 DÍAS CALENDARIO")</f>
        <v>90 DÍAS CALENDARIO</v>
      </c>
      <c r="L906" s="213" t="str">
        <f>IFERROR(__xludf.DUMMYFUNCTION("""COMPUTED_VALUE"""),"")</f>
        <v/>
      </c>
      <c r="M906" s="213">
        <f>IFERROR(__xludf.DUMMYFUNCTION("""COMPUTED_VALUE"""),1.0)</f>
        <v>1</v>
      </c>
      <c r="N906" s="213">
        <f>IFERROR(__xludf.DUMMYFUNCTION("""COMPUTED_VALUE"""),4.0)</f>
        <v>4</v>
      </c>
      <c r="O906" s="213">
        <f>IFERROR(__xludf.DUMMYFUNCTION("""COMPUTED_VALUE"""),4.0)</f>
        <v>4</v>
      </c>
      <c r="P906" s="213"/>
      <c r="Q906" s="213"/>
      <c r="R906" s="213" t="str">
        <f>IFERROR(__xludf.DUMMYFUNCTION("""COMPUTED_VALUE"""),"SI")</f>
        <v>SI</v>
      </c>
      <c r="S906" s="213"/>
      <c r="T906" s="213" t="str">
        <f>IFERROR(__xludf.DUMMYFUNCTION("""COMPUTED_VALUE"""),"SI")</f>
        <v>SI</v>
      </c>
      <c r="U906" s="213" t="str">
        <f>IFERROR(__xludf.DUMMYFUNCTION("""COMPUTED_VALUE"""),"SI")</f>
        <v>SI</v>
      </c>
      <c r="V906" s="213" t="str">
        <f>IFERROR(__xludf.DUMMYFUNCTION("""COMPUTED_VALUE"""),"-")</f>
        <v>-</v>
      </c>
      <c r="W906" s="213" t="str">
        <f>IFERROR(__xludf.DUMMYFUNCTION("""COMPUTED_VALUE"""),"-")</f>
        <v>-</v>
      </c>
      <c r="X906" s="213" t="str">
        <f>IFERROR(__xludf.DUMMYFUNCTION("""COMPUTED_VALUE"""),"Truper")</f>
        <v>Truper</v>
      </c>
      <c r="Y906" s="213">
        <f>IFERROR(__xludf.DUMMYFUNCTION("""COMPUTED_VALUE"""),11395.0)</f>
        <v>11395</v>
      </c>
      <c r="Z906" s="215" t="str">
        <f>IFERROR(__xludf.DUMMYFUNCTION("""COMPUTED_VALUE"""),"https://cahema.pe/paleta/17291-set-de-brocas-paleta-14-hex-6-piezas-para-madera-truper-11395-7501206679555.html")</f>
        <v>https://cahema.pe/paleta/17291-set-de-brocas-paleta-14-hex-6-piezas-para-madera-truper-11395-7501206679555.html</v>
      </c>
      <c r="AA906" s="213" t="str">
        <f>IFERROR(__xludf.DUMMYFUNCTION("""COMPUTED_VALUE"""),"HER-137 JUEGO DE BROCAS DE PALETA - CET")</f>
        <v>HER-137 JUEGO DE BROCAS DE PALETA - CET</v>
      </c>
      <c r="AB906" s="213"/>
      <c r="AC906" s="213"/>
      <c r="AD906" s="213"/>
      <c r="AE906" s="213"/>
      <c r="AF906" s="213"/>
      <c r="AG906" s="213"/>
      <c r="AH906" s="213"/>
      <c r="AI906" s="213"/>
      <c r="AJ906" s="213"/>
      <c r="AK906" s="213"/>
      <c r="AL906" s="213"/>
      <c r="AM906" s="213"/>
      <c r="AN906" s="213"/>
      <c r="AO906" s="213"/>
      <c r="AP906" s="213" t="str">
        <f>IFERROR(__xludf.DUMMYFUNCTION("""COMPUTED_VALUE"""),"SEBASTIAN")</f>
        <v>SEBASTIAN</v>
      </c>
      <c r="AQ906" s="213"/>
      <c r="AR906" s="213"/>
      <c r="AS906" s="213"/>
      <c r="AT906" s="213"/>
      <c r="AU906" s="213"/>
      <c r="AV906" s="213"/>
      <c r="AW906" s="213"/>
      <c r="AX906" s="213"/>
      <c r="AY906" s="213"/>
      <c r="AZ906" s="213"/>
      <c r="BA906" s="213"/>
      <c r="BB906" s="213"/>
      <c r="BC906" s="213"/>
      <c r="BD906" s="213"/>
    </row>
    <row r="907">
      <c r="A907" s="213">
        <f>IFERROR(__xludf.DUMMYFUNCTION("""COMPUTED_VALUE"""),2604.0)</f>
        <v>2604</v>
      </c>
      <c r="B907" s="213" t="str">
        <f>IFERROR(__xludf.DUMMYFUNCTION("""COMPUTED_VALUE"""),"MANUEL ANTONIO MESONES MURO")</f>
        <v>MANUEL ANTONIO MESONES MURO</v>
      </c>
      <c r="C907" s="213" t="str">
        <f>IFERROR(__xludf.DUMMYFUNCTION("""COMPUTED_VALUE"""),"TALLER SFT DE EBANISTERÍA")</f>
        <v>TALLER SFT DE EBANISTERÍA</v>
      </c>
      <c r="D907" s="213" t="str">
        <f>IFERROR(__xludf.DUMMYFUNCTION("""COMPUTED_VALUE"""),"HERRAMIENTAS")</f>
        <v>HERRAMIENTAS</v>
      </c>
      <c r="E907" s="213" t="str">
        <f>IFERROR(__xludf.DUMMYFUNCTION("""COMPUTED_VALUE"""),"HER-137")</f>
        <v>HER-137</v>
      </c>
      <c r="F907" s="213" t="str">
        <f>IFERROR(__xludf.DUMMYFUNCTION("""COMPUTED_VALUE"""),"HER-137")</f>
        <v>HER-137</v>
      </c>
      <c r="G907" s="213"/>
      <c r="H907" s="213" t="str">
        <f>IFERROR(__xludf.DUMMYFUNCTION("""COMPUTED_VALUE"""),"JUEGO DE BROCAS DE PALETA")</f>
        <v>JUEGO DE BROCAS DE PALETA</v>
      </c>
      <c r="I907" s="213" t="str">
        <f>IFERROR(__xludf.DUMMYFUNCTION("""COMPUTED_VALUE"""),"El juego contiene 06 Brocas de Paleta de:
- 3/8"",
- 1/2"",
- 5/8"",
- 3/4"",
- 7/8"" y
- 1"".
Fabricado en acero de alto carbono.")</f>
        <v>El juego contiene 06 Brocas de Paleta de:
- 3/8",
- 1/2",
- 5/8",
- 3/4",
- 7/8" y
- 1".
Fabricado en acero de alto carbono.</v>
      </c>
      <c r="J907" s="213">
        <f>IFERROR(__xludf.DUMMYFUNCTION("""COMPUTED_VALUE"""),3.0)</f>
        <v>3</v>
      </c>
      <c r="K907" s="213" t="str">
        <f>IFERROR(__xludf.DUMMYFUNCTION("""COMPUTED_VALUE"""),"90 DÍAS CALENDARIO")</f>
        <v>90 DÍAS CALENDARIO</v>
      </c>
      <c r="L907" s="213" t="str">
        <f>IFERROR(__xludf.DUMMYFUNCTION("""COMPUTED_VALUE"""),"")</f>
        <v/>
      </c>
      <c r="M907" s="213">
        <f>IFERROR(__xludf.DUMMYFUNCTION("""COMPUTED_VALUE"""),1.0)</f>
        <v>1</v>
      </c>
      <c r="N907" s="213">
        <f>IFERROR(__xludf.DUMMYFUNCTION("""COMPUTED_VALUE"""),4.0)</f>
        <v>4</v>
      </c>
      <c r="O907" s="213">
        <f>IFERROR(__xludf.DUMMYFUNCTION("""COMPUTED_VALUE"""),4.0)</f>
        <v>4</v>
      </c>
      <c r="P907" s="213"/>
      <c r="Q907" s="213"/>
      <c r="R907" s="213" t="str">
        <f>IFERROR(__xludf.DUMMYFUNCTION("""COMPUTED_VALUE"""),"SI")</f>
        <v>SI</v>
      </c>
      <c r="S907" s="213"/>
      <c r="T907" s="213" t="str">
        <f>IFERROR(__xludf.DUMMYFUNCTION("""COMPUTED_VALUE"""),"SI")</f>
        <v>SI</v>
      </c>
      <c r="U907" s="213" t="str">
        <f>IFERROR(__xludf.DUMMYFUNCTION("""COMPUTED_VALUE"""),"SI")</f>
        <v>SI</v>
      </c>
      <c r="V907" s="213" t="str">
        <f>IFERROR(__xludf.DUMMYFUNCTION("""COMPUTED_VALUE"""),"-")</f>
        <v>-</v>
      </c>
      <c r="W907" s="213" t="str">
        <f>IFERROR(__xludf.DUMMYFUNCTION("""COMPUTED_VALUE"""),"-")</f>
        <v>-</v>
      </c>
      <c r="X907" s="213" t="str">
        <f>IFERROR(__xludf.DUMMYFUNCTION("""COMPUTED_VALUE"""),"Truper")</f>
        <v>Truper</v>
      </c>
      <c r="Y907" s="213">
        <f>IFERROR(__xludf.DUMMYFUNCTION("""COMPUTED_VALUE"""),11395.0)</f>
        <v>11395</v>
      </c>
      <c r="Z907" s="215" t="str">
        <f>IFERROR(__xludf.DUMMYFUNCTION("""COMPUTED_VALUE"""),"https://cahema.pe/paleta/17291-set-de-brocas-paleta-14-hex-6-piezas-para-madera-truper-11395-7501206679555.html")</f>
        <v>https://cahema.pe/paleta/17291-set-de-brocas-paleta-14-hex-6-piezas-para-madera-truper-11395-7501206679555.html</v>
      </c>
      <c r="AA907" s="213" t="str">
        <f>IFERROR(__xludf.DUMMYFUNCTION("""COMPUTED_VALUE"""),"HER-137 JUEGO DE BROCAS DE PALETA - CET")</f>
        <v>HER-137 JUEGO DE BROCAS DE PALETA - CET</v>
      </c>
      <c r="AB907" s="213"/>
      <c r="AC907" s="213"/>
      <c r="AD907" s="213"/>
      <c r="AE907" s="213"/>
      <c r="AF907" s="213"/>
      <c r="AG907" s="213"/>
      <c r="AH907" s="213"/>
      <c r="AI907" s="213"/>
      <c r="AJ907" s="213"/>
      <c r="AK907" s="213"/>
      <c r="AL907" s="213"/>
      <c r="AM907" s="213"/>
      <c r="AN907" s="213"/>
      <c r="AO907" s="213"/>
      <c r="AP907" s="213" t="str">
        <f>IFERROR(__xludf.DUMMYFUNCTION("""COMPUTED_VALUE"""),"SEBASTIAN")</f>
        <v>SEBASTIAN</v>
      </c>
      <c r="AQ907" s="213"/>
      <c r="AR907" s="213"/>
      <c r="AS907" s="213"/>
      <c r="AT907" s="213"/>
      <c r="AU907" s="213"/>
      <c r="AV907" s="213"/>
      <c r="AW907" s="213"/>
      <c r="AX907" s="213"/>
      <c r="AY907" s="213"/>
      <c r="AZ907" s="213"/>
      <c r="BA907" s="213"/>
      <c r="BB907" s="213"/>
      <c r="BC907" s="213"/>
      <c r="BD907" s="213"/>
    </row>
    <row r="908">
      <c r="A908" s="213">
        <f>IFERROR(__xludf.DUMMYFUNCTION("""COMPUTED_VALUE"""),1797.0)</f>
        <v>1797</v>
      </c>
      <c r="B908" s="213" t="str">
        <f>IFERROR(__xludf.DUMMYFUNCTION("""COMPUTED_VALUE"""),"GUILLERMO E. BILLINGHURST ")</f>
        <v>GUILLERMO E. BILLINGHURST </v>
      </c>
      <c r="C908" s="213" t="str">
        <f>IFERROR(__xludf.DUMMYFUNCTION("""COMPUTED_VALUE"""),"TALLER SFT DE EBANISTERÍA")</f>
        <v>TALLER SFT DE EBANISTERÍA</v>
      </c>
      <c r="D908" s="213" t="str">
        <f>IFERROR(__xludf.DUMMYFUNCTION("""COMPUTED_VALUE"""),"HERRAMIENTAS")</f>
        <v>HERRAMIENTAS</v>
      </c>
      <c r="E908" s="213" t="str">
        <f>IFERROR(__xludf.DUMMYFUNCTION("""COMPUTED_VALUE"""),"HER-138")</f>
        <v>HER-138</v>
      </c>
      <c r="F908" s="213" t="str">
        <f>IFERROR(__xludf.DUMMYFUNCTION("""COMPUTED_VALUE"""),"HER-138")</f>
        <v>HER-138</v>
      </c>
      <c r="G908" s="213"/>
      <c r="H908" s="213" t="str">
        <f>IFERROR(__xludf.DUMMYFUNCTION("""COMPUTED_VALUE"""),"JUEGO DE CEPILLOS")</f>
        <v>JUEGO DE CEPILLOS</v>
      </c>
      <c r="I908" s="213" t="str">
        <f>IFERROR(__xludf.DUMMYFUNCTION("""COMPUTED_VALUE"""),"Juego de Cepillo metálico ajustable que permite abrir o reducir la abertura de la hoja. Base de fundición rectificada en sus tres caras.
Están provistos de cuña para fijar la cuchilla. Composición y dimensiones:
03 cepillos manuales N° 4 de 250 mm x 50 mm"&amp;".
10 cepillos manuales N° 5 de 355 mm x 50 mm.
03 cepillos manuales N° 6 de 455 mm x 60 mm.")</f>
        <v>Juego de Cepillo metálico ajustable que permite abrir o reducir la abertura de la hoja. Base de fundición rectificada en sus tres caras.
Están provistos de cuña para fijar la cuchilla. Composición y dimensiones:
03 cepillos manuales N° 4 de 250 mm x 50 mm.
10 cepillos manuales N° 5 de 355 mm x 50 mm.
03 cepillos manuales N° 6 de 455 mm x 60 mm.</v>
      </c>
      <c r="J908" s="213">
        <f>IFERROR(__xludf.DUMMYFUNCTION("""COMPUTED_VALUE"""),3.0)</f>
        <v>3</v>
      </c>
      <c r="K908" s="213" t="str">
        <f>IFERROR(__xludf.DUMMYFUNCTION("""COMPUTED_VALUE"""),"90 DÍAS CALENDARIO")</f>
        <v>90 DÍAS CALENDARIO</v>
      </c>
      <c r="L908" s="213" t="str">
        <f>IFERROR(__xludf.DUMMYFUNCTION("""COMPUTED_VALUE"""),"")</f>
        <v/>
      </c>
      <c r="M908" s="213">
        <f>IFERROR(__xludf.DUMMYFUNCTION("""COMPUTED_VALUE"""),1.0)</f>
        <v>1</v>
      </c>
      <c r="N908" s="213">
        <f>IFERROR(__xludf.DUMMYFUNCTION("""COMPUTED_VALUE"""),1.0)</f>
        <v>1</v>
      </c>
      <c r="O908" s="213">
        <f>IFERROR(__xludf.DUMMYFUNCTION("""COMPUTED_VALUE"""),1.0)</f>
        <v>1</v>
      </c>
      <c r="P908" s="213"/>
      <c r="Q908" s="213"/>
      <c r="R908" s="213" t="str">
        <f>IFERROR(__xludf.DUMMYFUNCTION("""COMPUTED_VALUE"""),"SI")</f>
        <v>SI</v>
      </c>
      <c r="S908" s="213"/>
      <c r="T908" s="213" t="str">
        <f>IFERROR(__xludf.DUMMYFUNCTION("""COMPUTED_VALUE"""),"SI")</f>
        <v>SI</v>
      </c>
      <c r="U908" s="213" t="str">
        <f>IFERROR(__xludf.DUMMYFUNCTION("""COMPUTED_VALUE"""),"SI")</f>
        <v>SI</v>
      </c>
      <c r="V908" s="213" t="str">
        <f>IFERROR(__xludf.DUMMYFUNCTION("""COMPUTED_VALUE"""),"-")</f>
        <v>-</v>
      </c>
      <c r="W908" s="213" t="str">
        <f>IFERROR(__xludf.DUMMYFUNCTION("""COMPUTED_VALUE"""),"-")</f>
        <v>-</v>
      </c>
      <c r="X908" s="213" t="str">
        <f>IFERROR(__xludf.DUMMYFUNCTION("""COMPUTED_VALUE"""),"STANLEY / WOLFOX")</f>
        <v>STANLEY / WOLFOX</v>
      </c>
      <c r="Y908" s="213" t="str">
        <f>IFERROR(__xludf.DUMMYFUNCTION("""COMPUTED_VALUE"""),"‎1-12-004 / WF1429 / 1-12-006 ")</f>
        <v>‎1-12-004 / WF1429 / 1-12-006 </v>
      </c>
      <c r="Z908" s="215" t="str">
        <f>IFERROR(__xludf.DUMMYFUNCTION("""COMPUTED_VALUE"""),"https://www.amazon.es/Stanley-1-12-004-Cepillo-manual-4-50x245mm/dp/B0001GRVKU?th=1")</f>
        <v>https://www.amazon.es/Stanley-1-12-004-Cepillo-manual-4-50x245mm/dp/B0001GRVKU?th=1</v>
      </c>
      <c r="AA908" s="213" t="str">
        <f>IFERROR(__xludf.DUMMYFUNCTION("""COMPUTED_VALUE"""),"HER-138 JUEGO DE CEPILLOS - CET")</f>
        <v>HER-138 JUEGO DE CEPILLOS - CET</v>
      </c>
      <c r="AB908" s="213"/>
      <c r="AC908" s="213"/>
      <c r="AD908" s="213"/>
      <c r="AE908" s="213"/>
      <c r="AF908" s="213"/>
      <c r="AG908" s="213"/>
      <c r="AH908" s="213"/>
      <c r="AI908" s="213"/>
      <c r="AJ908" s="213"/>
      <c r="AK908" s="213"/>
      <c r="AL908" s="213"/>
      <c r="AM908" s="213"/>
      <c r="AN908" s="213"/>
      <c r="AO908" s="213"/>
      <c r="AP908" s="213" t="str">
        <f>IFERROR(__xludf.DUMMYFUNCTION("""COMPUTED_VALUE"""),"SEBASTIAN")</f>
        <v>SEBASTIAN</v>
      </c>
      <c r="AQ908" s="213"/>
      <c r="AR908" s="213"/>
      <c r="AS908" s="213"/>
      <c r="AT908" s="213"/>
      <c r="AU908" s="213"/>
      <c r="AV908" s="213"/>
      <c r="AW908" s="213"/>
      <c r="AX908" s="213"/>
      <c r="AY908" s="213"/>
      <c r="AZ908" s="213"/>
      <c r="BA908" s="213"/>
      <c r="BB908" s="213"/>
      <c r="BC908" s="213"/>
      <c r="BD908" s="213"/>
    </row>
    <row r="909">
      <c r="A909" s="213">
        <f>IFERROR(__xludf.DUMMYFUNCTION("""COMPUTED_VALUE"""),2579.0)</f>
        <v>2579</v>
      </c>
      <c r="B909" s="213" t="str">
        <f>IFERROR(__xludf.DUMMYFUNCTION("""COMPUTED_VALUE"""),"MANUEL ANTONIO MESONES MURO")</f>
        <v>MANUEL ANTONIO MESONES MURO</v>
      </c>
      <c r="C909" s="213" t="str">
        <f>IFERROR(__xludf.DUMMYFUNCTION("""COMPUTED_VALUE"""),"TALLER SFT DE EBANISTERÍA")</f>
        <v>TALLER SFT DE EBANISTERÍA</v>
      </c>
      <c r="D909" s="213" t="str">
        <f>IFERROR(__xludf.DUMMYFUNCTION("""COMPUTED_VALUE"""),"HERRAMIENTAS")</f>
        <v>HERRAMIENTAS</v>
      </c>
      <c r="E909" s="213" t="str">
        <f>IFERROR(__xludf.DUMMYFUNCTION("""COMPUTED_VALUE"""),"HER-138")</f>
        <v>HER-138</v>
      </c>
      <c r="F909" s="213" t="str">
        <f>IFERROR(__xludf.DUMMYFUNCTION("""COMPUTED_VALUE"""),"HER-138")</f>
        <v>HER-138</v>
      </c>
      <c r="G909" s="213"/>
      <c r="H909" s="213" t="str">
        <f>IFERROR(__xludf.DUMMYFUNCTION("""COMPUTED_VALUE"""),"JUEGO DE CEPILLOS")</f>
        <v>JUEGO DE CEPILLOS</v>
      </c>
      <c r="I909" s="213" t="str">
        <f>IFERROR(__xludf.DUMMYFUNCTION("""COMPUTED_VALUE"""),"Juego de Cepillo metálico ajustable que permite abrir o reducir la abertura de la hoja. Base de fundición rectificada en sus tres caras.
Están provistos de cuña para fijar la cuchilla. Composición y dimensiones:
03 cepillos manuales N° 4 de 250 mm x 50 mm"&amp;".
10 cepillos manuales N° 5 de 355 mm x 50 mm.
03 cepillos manuales N° 6 de 455 mm x 60 mm.")</f>
        <v>Juego de Cepillo metálico ajustable que permite abrir o reducir la abertura de la hoja. Base de fundición rectificada en sus tres caras.
Están provistos de cuña para fijar la cuchilla. Composición y dimensiones:
03 cepillos manuales N° 4 de 250 mm x 50 mm.
10 cepillos manuales N° 5 de 355 mm x 50 mm.
03 cepillos manuales N° 6 de 455 mm x 60 mm.</v>
      </c>
      <c r="J909" s="213">
        <f>IFERROR(__xludf.DUMMYFUNCTION("""COMPUTED_VALUE"""),3.0)</f>
        <v>3</v>
      </c>
      <c r="K909" s="213" t="str">
        <f>IFERROR(__xludf.DUMMYFUNCTION("""COMPUTED_VALUE"""),"90 DÍAS CALENDARIO")</f>
        <v>90 DÍAS CALENDARIO</v>
      </c>
      <c r="L909" s="213" t="str">
        <f>IFERROR(__xludf.DUMMYFUNCTION("""COMPUTED_VALUE"""),"")</f>
        <v/>
      </c>
      <c r="M909" s="213">
        <f>IFERROR(__xludf.DUMMYFUNCTION("""COMPUTED_VALUE"""),1.0)</f>
        <v>1</v>
      </c>
      <c r="N909" s="213">
        <f>IFERROR(__xludf.DUMMYFUNCTION("""COMPUTED_VALUE"""),1.0)</f>
        <v>1</v>
      </c>
      <c r="O909" s="213">
        <f>IFERROR(__xludf.DUMMYFUNCTION("""COMPUTED_VALUE"""),1.0)</f>
        <v>1</v>
      </c>
      <c r="P909" s="213"/>
      <c r="Q909" s="213"/>
      <c r="R909" s="213" t="str">
        <f>IFERROR(__xludf.DUMMYFUNCTION("""COMPUTED_VALUE"""),"SI")</f>
        <v>SI</v>
      </c>
      <c r="S909" s="213"/>
      <c r="T909" s="213" t="str">
        <f>IFERROR(__xludf.DUMMYFUNCTION("""COMPUTED_VALUE"""),"SI")</f>
        <v>SI</v>
      </c>
      <c r="U909" s="213" t="str">
        <f>IFERROR(__xludf.DUMMYFUNCTION("""COMPUTED_VALUE"""),"SI")</f>
        <v>SI</v>
      </c>
      <c r="V909" s="213" t="str">
        <f>IFERROR(__xludf.DUMMYFUNCTION("""COMPUTED_VALUE"""),"-")</f>
        <v>-</v>
      </c>
      <c r="W909" s="213" t="str">
        <f>IFERROR(__xludf.DUMMYFUNCTION("""COMPUTED_VALUE"""),"-")</f>
        <v>-</v>
      </c>
      <c r="X909" s="213" t="str">
        <f>IFERROR(__xludf.DUMMYFUNCTION("""COMPUTED_VALUE"""),"STANLEY / WOLFOX")</f>
        <v>STANLEY / WOLFOX</v>
      </c>
      <c r="Y909" s="213" t="str">
        <f>IFERROR(__xludf.DUMMYFUNCTION("""COMPUTED_VALUE"""),"‎1-12-004 / WF1429 / 1-12-006 ")</f>
        <v>‎1-12-004 / WF1429 / 1-12-006 </v>
      </c>
      <c r="Z909" s="215" t="str">
        <f>IFERROR(__xludf.DUMMYFUNCTION("""COMPUTED_VALUE"""),"https://www.amazon.es/Stanley-1-12-004-Cepillo-manual-4-50x245mm/dp/B0001GRVKU?th=1")</f>
        <v>https://www.amazon.es/Stanley-1-12-004-Cepillo-manual-4-50x245mm/dp/B0001GRVKU?th=1</v>
      </c>
      <c r="AA909" s="213" t="str">
        <f>IFERROR(__xludf.DUMMYFUNCTION("""COMPUTED_VALUE"""),"HER-138 JUEGO DE CEPILLOS - CET")</f>
        <v>HER-138 JUEGO DE CEPILLOS - CET</v>
      </c>
      <c r="AB909" s="213"/>
      <c r="AC909" s="213"/>
      <c r="AD909" s="213"/>
      <c r="AE909" s="213"/>
      <c r="AF909" s="213"/>
      <c r="AG909" s="213"/>
      <c r="AH909" s="213"/>
      <c r="AI909" s="213"/>
      <c r="AJ909" s="213"/>
      <c r="AK909" s="213"/>
      <c r="AL909" s="213"/>
      <c r="AM909" s="213"/>
      <c r="AN909" s="213"/>
      <c r="AO909" s="213"/>
      <c r="AP909" s="213" t="str">
        <f>IFERROR(__xludf.DUMMYFUNCTION("""COMPUTED_VALUE"""),"SEBASTIAN")</f>
        <v>SEBASTIAN</v>
      </c>
      <c r="AQ909" s="213"/>
      <c r="AR909" s="213"/>
      <c r="AS909" s="213"/>
      <c r="AT909" s="213"/>
      <c r="AU909" s="213"/>
      <c r="AV909" s="213"/>
      <c r="AW909" s="213"/>
      <c r="AX909" s="213"/>
      <c r="AY909" s="213"/>
      <c r="AZ909" s="213"/>
      <c r="BA909" s="213"/>
      <c r="BB909" s="213"/>
      <c r="BC909" s="213"/>
      <c r="BD909" s="213"/>
    </row>
    <row r="910">
      <c r="A910" s="213">
        <f>IFERROR(__xludf.DUMMYFUNCTION("""COMPUTED_VALUE"""),1798.0)</f>
        <v>1798</v>
      </c>
      <c r="B910" s="213" t="str">
        <f>IFERROR(__xludf.DUMMYFUNCTION("""COMPUTED_VALUE"""),"GUILLERMO E. BILLINGHURST ")</f>
        <v>GUILLERMO E. BILLINGHURST </v>
      </c>
      <c r="C910" s="213" t="str">
        <f>IFERROR(__xludf.DUMMYFUNCTION("""COMPUTED_VALUE"""),"TALLER SFT DE EBANISTERÍA")</f>
        <v>TALLER SFT DE EBANISTERÍA</v>
      </c>
      <c r="D910" s="213" t="str">
        <f>IFERROR(__xludf.DUMMYFUNCTION("""COMPUTED_VALUE"""),"HERRAMIENTAS")</f>
        <v>HERRAMIENTAS</v>
      </c>
      <c r="E910" s="213" t="str">
        <f>IFERROR(__xludf.DUMMYFUNCTION("""COMPUTED_VALUE"""),"HER-139")</f>
        <v>HER-139</v>
      </c>
      <c r="F910" s="213" t="str">
        <f>IFERROR(__xludf.DUMMYFUNCTION("""COMPUTED_VALUE"""),"HER-139")</f>
        <v>HER-139</v>
      </c>
      <c r="G910" s="213"/>
      <c r="H910" s="213" t="str">
        <f>IFERROR(__xludf.DUMMYFUNCTION("""COMPUTED_VALUE"""),"JUEGO DE CUCHILLAS DE VUELTA DE BASE PLANA")</f>
        <v>JUEGO DE CUCHILLAS DE VUELTA DE BASE PLANA</v>
      </c>
      <c r="I910" s="213" t="str">
        <f>IFERROR(__xludf.DUMMYFUNCTION("""COMPUTED_VALUE"""),"El juego de cuchillas de vuelta son de Hojas de acero ajustable para profundidad de corte y alineación mediante tornillos.
Composición y dimensiones:
- 02 cuchilla de vuelta de base plana, ancho de la hoja 55 mm.
- 02 cuchilla de vuelta de base cóncava, a"&amp;"ncho de la hoja 55 mm.")</f>
        <v>El juego de cuchillas de vuelta son de Hojas de acero ajustable para profundidad de corte y alineación mediante tornillos.
Composición y dimensiones:
- 02 cuchilla de vuelta de base plana, ancho de la hoja 55 mm.
- 02 cuchilla de vuelta de base cóncava, ancho de la hoja 55 mm.</v>
      </c>
      <c r="J910" s="213">
        <f>IFERROR(__xludf.DUMMYFUNCTION("""COMPUTED_VALUE"""),3.0)</f>
        <v>3</v>
      </c>
      <c r="K910" s="213" t="str">
        <f>IFERROR(__xludf.DUMMYFUNCTION("""COMPUTED_VALUE"""),"90 DÍAS CALENDARIO")</f>
        <v>90 DÍAS CALENDARIO</v>
      </c>
      <c r="L910" s="213" t="str">
        <f>IFERROR(__xludf.DUMMYFUNCTION("""COMPUTED_VALUE"""),"")</f>
        <v/>
      </c>
      <c r="M910" s="213">
        <f>IFERROR(__xludf.DUMMYFUNCTION("""COMPUTED_VALUE"""),1.0)</f>
        <v>1</v>
      </c>
      <c r="N910" s="213">
        <f>IFERROR(__xludf.DUMMYFUNCTION("""COMPUTED_VALUE"""),4.0)</f>
        <v>4</v>
      </c>
      <c r="O910" s="213">
        <f>IFERROR(__xludf.DUMMYFUNCTION("""COMPUTED_VALUE"""),4.0)</f>
        <v>4</v>
      </c>
      <c r="P910" s="213"/>
      <c r="Q910" s="213"/>
      <c r="R910" s="213"/>
      <c r="S910" s="213"/>
      <c r="T910" s="213" t="str">
        <f>IFERROR(__xludf.DUMMYFUNCTION("""COMPUTED_VALUE"""),"CONSULTA FINAL")</f>
        <v>CONSULTA FINAL</v>
      </c>
      <c r="U910" s="213" t="str">
        <f>IFERROR(__xludf.DUMMYFUNCTION("""COMPUTED_VALUE"""),"NO")</f>
        <v>NO</v>
      </c>
      <c r="V910" s="213" t="str">
        <f>IFERROR(__xludf.DUMMYFUNCTION("""COMPUTED_VALUE"""),"SUSTENTO")</f>
        <v>SUSTENTO</v>
      </c>
      <c r="W910" s="213" t="str">
        <f>IFERROR(__xludf.DUMMYFUNCTION("""COMPUTED_VALUE"""),"DIMENSIONAL")</f>
        <v>DIMENSIONAL</v>
      </c>
      <c r="X910" s="213" t="str">
        <f>IFERROR(__xludf.DUMMYFUNCTION("""COMPUTED_VALUE"""),"Truper / Kunz")</f>
        <v>Truper / Kunz</v>
      </c>
      <c r="Y910" s="213" t="str">
        <f>IFERROR(__xludf.DUMMYFUNCTION("""COMPUTED_VALUE"""),"102419 / 13.55")</f>
        <v>102419 / 13.55</v>
      </c>
      <c r="Z910" s="215" t="str">
        <f>IFERROR(__xludf.DUMMYFUNCTION("""COMPUTED_VALUE"""),"https://www.promart.pe/cuchilla-de-vuelta-para-carpintero-curva-9-/p?srsltid=AfmBOop95Z2JRnvsoIj-UMYofQlUA3GBO4GFIEuho4UpdMX7Tx8iR9Ct")</f>
        <v>https://www.promart.pe/cuchilla-de-vuelta-para-carpintero-curva-9-/p?srsltid=AfmBOop95Z2JRnvsoIj-UMYofQlUA3GBO4GFIEuho4UpdMX7Tx8iR9Ct</v>
      </c>
      <c r="AA910" s="213" t="str">
        <f>IFERROR(__xludf.DUMMYFUNCTION("""COMPUTED_VALUE"""),"HER-139 JUEGO DE CUCHILLAS DE VUELTA DE BASE PLANA - CET")</f>
        <v>HER-139 JUEGO DE CUCHILLAS DE VUELTA DE BASE PLANA - CET</v>
      </c>
      <c r="AB910" s="213"/>
      <c r="AC910" s="213"/>
      <c r="AD910" s="213"/>
      <c r="AE910" s="213"/>
      <c r="AF910" s="213"/>
      <c r="AG910" s="213"/>
      <c r="AH910" s="213"/>
      <c r="AI910" s="213"/>
      <c r="AJ910" s="213"/>
      <c r="AK910" s="213"/>
      <c r="AL910" s="213"/>
      <c r="AM910" s="213"/>
      <c r="AN910" s="213"/>
      <c r="AO910" s="213"/>
      <c r="AP910" s="213" t="str">
        <f>IFERROR(__xludf.DUMMYFUNCTION("""COMPUTED_VALUE"""),"SEBASTIAN")</f>
        <v>SEBASTIAN</v>
      </c>
      <c r="AQ910" s="213"/>
      <c r="AR910" s="213"/>
      <c r="AS910" s="213" t="str">
        <f>IFERROR(__xludf.DUMMYFUNCTION("""COMPUTED_VALUE"""),"OBSERVACIÓN COMEX (VIENEN EN PAQUETES DE 3 UNIDADES, NO SE PUEDE COMPRAR POR UNIDAD)")</f>
        <v>OBSERVACIÓN COMEX (VIENEN EN PAQUETES DE 3 UNIDADES, NO SE PUEDE COMPRAR POR UNIDAD)</v>
      </c>
      <c r="AT910" s="213"/>
      <c r="AU910" s="213"/>
      <c r="AV910" s="213"/>
      <c r="AW910" s="213"/>
      <c r="AX910" s="213"/>
      <c r="AY910" s="213"/>
      <c r="AZ910" s="213"/>
      <c r="BA910" s="213"/>
      <c r="BB910" s="213"/>
      <c r="BC910" s="213"/>
      <c r="BD910" s="213"/>
    </row>
    <row r="911">
      <c r="A911" s="213">
        <f>IFERROR(__xludf.DUMMYFUNCTION("""COMPUTED_VALUE"""),2580.0)</f>
        <v>2580</v>
      </c>
      <c r="B911" s="213" t="str">
        <f>IFERROR(__xludf.DUMMYFUNCTION("""COMPUTED_VALUE"""),"MANUEL ANTONIO MESONES MURO")</f>
        <v>MANUEL ANTONIO MESONES MURO</v>
      </c>
      <c r="C911" s="213" t="str">
        <f>IFERROR(__xludf.DUMMYFUNCTION("""COMPUTED_VALUE"""),"TALLER SFT DE EBANISTERÍA")</f>
        <v>TALLER SFT DE EBANISTERÍA</v>
      </c>
      <c r="D911" s="213" t="str">
        <f>IFERROR(__xludf.DUMMYFUNCTION("""COMPUTED_VALUE"""),"HERRAMIENTAS")</f>
        <v>HERRAMIENTAS</v>
      </c>
      <c r="E911" s="213" t="str">
        <f>IFERROR(__xludf.DUMMYFUNCTION("""COMPUTED_VALUE"""),"HER-139")</f>
        <v>HER-139</v>
      </c>
      <c r="F911" s="213" t="str">
        <f>IFERROR(__xludf.DUMMYFUNCTION("""COMPUTED_VALUE"""),"HER-139")</f>
        <v>HER-139</v>
      </c>
      <c r="G911" s="213"/>
      <c r="H911" s="213" t="str">
        <f>IFERROR(__xludf.DUMMYFUNCTION("""COMPUTED_VALUE"""),"JUEGO DE CUCHILLAS DE VUELTA DE BASE PLANA")</f>
        <v>JUEGO DE CUCHILLAS DE VUELTA DE BASE PLANA</v>
      </c>
      <c r="I911" s="213" t="str">
        <f>IFERROR(__xludf.DUMMYFUNCTION("""COMPUTED_VALUE"""),"El juego de cuchillas de vuelta son de Hojas de acero ajustable para profundidad de corte y alineación mediante tornillos.
Composición y dimensiones:
- 02 cuchilla de vuelta de base plana, ancho de la hoja 55 mm.
- 02 cuchilla de vuelta de base cóncava, a"&amp;"ncho de la hoja 55 mm.")</f>
        <v>El juego de cuchillas de vuelta son de Hojas de acero ajustable para profundidad de corte y alineación mediante tornillos.
Composición y dimensiones:
- 02 cuchilla de vuelta de base plana, ancho de la hoja 55 mm.
- 02 cuchilla de vuelta de base cóncava, ancho de la hoja 55 mm.</v>
      </c>
      <c r="J911" s="213">
        <f>IFERROR(__xludf.DUMMYFUNCTION("""COMPUTED_VALUE"""),3.0)</f>
        <v>3</v>
      </c>
      <c r="K911" s="213" t="str">
        <f>IFERROR(__xludf.DUMMYFUNCTION("""COMPUTED_VALUE"""),"90 DÍAS CALENDARIO")</f>
        <v>90 DÍAS CALENDARIO</v>
      </c>
      <c r="L911" s="213" t="str">
        <f>IFERROR(__xludf.DUMMYFUNCTION("""COMPUTED_VALUE"""),"")</f>
        <v/>
      </c>
      <c r="M911" s="213">
        <f>IFERROR(__xludf.DUMMYFUNCTION("""COMPUTED_VALUE"""),1.0)</f>
        <v>1</v>
      </c>
      <c r="N911" s="213">
        <f>IFERROR(__xludf.DUMMYFUNCTION("""COMPUTED_VALUE"""),4.0)</f>
        <v>4</v>
      </c>
      <c r="O911" s="213">
        <f>IFERROR(__xludf.DUMMYFUNCTION("""COMPUTED_VALUE"""),4.0)</f>
        <v>4</v>
      </c>
      <c r="P911" s="213"/>
      <c r="Q911" s="213"/>
      <c r="R911" s="213"/>
      <c r="S911" s="213"/>
      <c r="T911" s="213" t="str">
        <f>IFERROR(__xludf.DUMMYFUNCTION("""COMPUTED_VALUE"""),"CONSULTA FINAL")</f>
        <v>CONSULTA FINAL</v>
      </c>
      <c r="U911" s="213" t="str">
        <f>IFERROR(__xludf.DUMMYFUNCTION("""COMPUTED_VALUE"""),"NO")</f>
        <v>NO</v>
      </c>
      <c r="V911" s="213" t="str">
        <f>IFERROR(__xludf.DUMMYFUNCTION("""COMPUTED_VALUE"""),"SUSTENTO")</f>
        <v>SUSTENTO</v>
      </c>
      <c r="W911" s="213" t="str">
        <f>IFERROR(__xludf.DUMMYFUNCTION("""COMPUTED_VALUE"""),"DIMENSIONAL")</f>
        <v>DIMENSIONAL</v>
      </c>
      <c r="X911" s="213" t="str">
        <f>IFERROR(__xludf.DUMMYFUNCTION("""COMPUTED_VALUE"""),"Truper / Kunz")</f>
        <v>Truper / Kunz</v>
      </c>
      <c r="Y911" s="213" t="str">
        <f>IFERROR(__xludf.DUMMYFUNCTION("""COMPUTED_VALUE"""),"102420 / 13.55")</f>
        <v>102420 / 13.55</v>
      </c>
      <c r="Z911" s="215" t="str">
        <f>IFERROR(__xludf.DUMMYFUNCTION("""COMPUTED_VALUE"""),"https://www.promart.pe/cuchilla-de-vuelta-para-carpintero-curva-9-/p?srsltid=AfmBOop95Z2JRnvsoIj-UMYofQlUA3GBO4GFIEuho4UpdMX7Tx8iR9Ct")</f>
        <v>https://www.promart.pe/cuchilla-de-vuelta-para-carpintero-curva-9-/p?srsltid=AfmBOop95Z2JRnvsoIj-UMYofQlUA3GBO4GFIEuho4UpdMX7Tx8iR9Ct</v>
      </c>
      <c r="AA911" s="213" t="str">
        <f>IFERROR(__xludf.DUMMYFUNCTION("""COMPUTED_VALUE"""),"HER-139 JUEGO DE CUCHILLAS DE VUELTA DE BASE PLANA - CET")</f>
        <v>HER-139 JUEGO DE CUCHILLAS DE VUELTA DE BASE PLANA - CET</v>
      </c>
      <c r="AB911" s="213"/>
      <c r="AC911" s="213"/>
      <c r="AD911" s="213"/>
      <c r="AE911" s="213"/>
      <c r="AF911" s="213"/>
      <c r="AG911" s="213"/>
      <c r="AH911" s="213"/>
      <c r="AI911" s="213"/>
      <c r="AJ911" s="213"/>
      <c r="AK911" s="213"/>
      <c r="AL911" s="213"/>
      <c r="AM911" s="213"/>
      <c r="AN911" s="213"/>
      <c r="AO911" s="213"/>
      <c r="AP911" s="213" t="str">
        <f>IFERROR(__xludf.DUMMYFUNCTION("""COMPUTED_VALUE"""),"SEBASTIAN")</f>
        <v>SEBASTIAN</v>
      </c>
      <c r="AQ911" s="213"/>
      <c r="AR911" s="213"/>
      <c r="AS911" s="213" t="str">
        <f>IFERROR(__xludf.DUMMYFUNCTION("""COMPUTED_VALUE"""),"OBSERVACIÓN COMEX (VIENEN EN PAQUETES DE 3 UNIDADES, NO SE PUEDE COMPRAR POR UNIDAD)")</f>
        <v>OBSERVACIÓN COMEX (VIENEN EN PAQUETES DE 3 UNIDADES, NO SE PUEDE COMPRAR POR UNIDAD)</v>
      </c>
      <c r="AT911" s="213"/>
      <c r="AU911" s="213"/>
      <c r="AV911" s="213"/>
      <c r="AW911" s="213"/>
      <c r="AX911" s="213"/>
      <c r="AY911" s="213"/>
      <c r="AZ911" s="213"/>
      <c r="BA911" s="213"/>
      <c r="BB911" s="213"/>
      <c r="BC911" s="213"/>
      <c r="BD911" s="213"/>
    </row>
    <row r="912">
      <c r="A912" s="213">
        <f>IFERROR(__xludf.DUMMYFUNCTION("""COMPUTED_VALUE"""),1823.0)</f>
        <v>1823</v>
      </c>
      <c r="B912" s="213" t="str">
        <f>IFERROR(__xludf.DUMMYFUNCTION("""COMPUTED_VALUE"""),"GUILLERMO E. BILLINGHURST ")</f>
        <v>GUILLERMO E. BILLINGHURST </v>
      </c>
      <c r="C912" s="213" t="str">
        <f>IFERROR(__xludf.DUMMYFUNCTION("""COMPUTED_VALUE"""),"TALLER SFT DE EBANISTERÍA")</f>
        <v>TALLER SFT DE EBANISTERÍA</v>
      </c>
      <c r="D912" s="213" t="str">
        <f>IFERROR(__xludf.DUMMYFUNCTION("""COMPUTED_VALUE"""),"HERRAMIENTAS")</f>
        <v>HERRAMIENTAS</v>
      </c>
      <c r="E912" s="213" t="str">
        <f>IFERROR(__xludf.DUMMYFUNCTION("""COMPUTED_VALUE"""),"HER-140")</f>
        <v>HER-140</v>
      </c>
      <c r="F912" s="213" t="str">
        <f>IFERROR(__xludf.DUMMYFUNCTION("""COMPUTED_VALUE"""),"HER-140-X")</f>
        <v>HER-140-X</v>
      </c>
      <c r="G912" s="213"/>
      <c r="H912" s="213" t="str">
        <f>IFERROR(__xludf.DUMMYFUNCTION("""COMPUTED_VALUE"""),"JUEGO DE DESTORNILLADORES")</f>
        <v>JUEGO DE DESTORNILLADORES</v>
      </c>
      <c r="I912" s="213" t="str">
        <f>IFERROR(__xludf.DUMMYFUNCTION("""COMPUTED_VALUE"""),"Set de 6 destornilladores, con mango bimaterial con orificio integrado. Varilla fabricada de acero templado y cromado.
Punta con tratamiento anticorrosión. Composición y dimensiones:
04 Destornilladores planos de:
- 3 x 75 mm
- 4 x 100 mm
- 5,5 x 125 mm
-"&amp;" 6,5 x 150 mm.
02 Destornilladores Phillips de:
- PH 1 x 100 mm
- PH 2 x 125 mm.")</f>
        <v>Set de 6 destornilladores, con mango bimaterial con orificio integrado. Varilla fabricada de acero templado y cromado.
Punta con tratamiento anticorrosión. Composición y dimensiones:
04 Destornilladores planos de:
- 3 x 75 mm
- 4 x 100 mm
- 5,5 x 125 mm
- 6,5 x 150 mm.
02 Destornilladores Phillips de:
- PH 1 x 100 mm
- PH 2 x 125 mm.</v>
      </c>
      <c r="J912" s="213">
        <f>IFERROR(__xludf.DUMMYFUNCTION("""COMPUTED_VALUE"""),3.0)</f>
        <v>3</v>
      </c>
      <c r="K912" s="213" t="str">
        <f>IFERROR(__xludf.DUMMYFUNCTION("""COMPUTED_VALUE"""),"90 DÍAS CALENDARIO")</f>
        <v>90 DÍAS CALENDARIO</v>
      </c>
      <c r="L912" s="213" t="str">
        <f>IFERROR(__xludf.DUMMYFUNCTION("""COMPUTED_VALUE"""),"")</f>
        <v/>
      </c>
      <c r="M912" s="213">
        <f>IFERROR(__xludf.DUMMYFUNCTION("""COMPUTED_VALUE"""),1.0)</f>
        <v>1</v>
      </c>
      <c r="N912" s="213">
        <f>IFERROR(__xludf.DUMMYFUNCTION("""COMPUTED_VALUE"""),4.0)</f>
        <v>4</v>
      </c>
      <c r="O912" s="213">
        <f>IFERROR(__xludf.DUMMYFUNCTION("""COMPUTED_VALUE"""),4.0)</f>
        <v>4</v>
      </c>
      <c r="P912" s="213"/>
      <c r="Q912" s="213"/>
      <c r="R912" s="213" t="str">
        <f>IFERROR(__xludf.DUMMYFUNCTION("""COMPUTED_VALUE"""),"SI")</f>
        <v>SI</v>
      </c>
      <c r="S912" s="213"/>
      <c r="T912" s="213" t="str">
        <f>IFERROR(__xludf.DUMMYFUNCTION("""COMPUTED_VALUE"""),"CONSULTA FINAL")</f>
        <v>CONSULTA FINAL</v>
      </c>
      <c r="U912" s="213" t="str">
        <f>IFERROR(__xludf.DUMMYFUNCTION("""COMPUTED_VALUE"""),"NO")</f>
        <v>NO</v>
      </c>
      <c r="V912" s="213" t="str">
        <f>IFERROR(__xludf.DUMMYFUNCTION("""COMPUTED_VALUE"""),"SUSTENTO")</f>
        <v>SUSTENTO</v>
      </c>
      <c r="W912" s="213" t="str">
        <f>IFERROR(__xludf.DUMMYFUNCTION("""COMPUTED_VALUE"""),"EQU TEC")</f>
        <v>EQU TEC</v>
      </c>
      <c r="X912" s="213" t="str">
        <f>IFERROR(__xludf.DUMMYFUNCTION("""COMPUTED_VALUE"""),"Bahco")</f>
        <v>Bahco</v>
      </c>
      <c r="Y912" s="213" t="str">
        <f>IFERROR(__xludf.DUMMYFUNCTION("""COMPUTED_VALUE"""),"620-6")</f>
        <v>620-6</v>
      </c>
      <c r="Z912" s="215" t="str">
        <f>IFERROR(__xludf.DUMMYFUNCTION("""COMPUTED_VALUE"""),"https://cahema.pe/juego-de-desarmador/16797-juego-de-desarmadores-aislados-6-piezas-bahco-620-6-7314150128594.html")</f>
        <v>https://cahema.pe/juego-de-desarmador/16797-juego-de-desarmadores-aislados-6-piezas-bahco-620-6-7314150128594.html</v>
      </c>
      <c r="AA912" s="213" t="str">
        <f>IFERROR(__xludf.DUMMYFUNCTION("""COMPUTED_VALUE"""),"HER-140-X JUEGO DE DESTORNILLADORES - CET")</f>
        <v>HER-140-X JUEGO DE DESTORNILLADORES - CET</v>
      </c>
      <c r="AB912" s="213"/>
      <c r="AC912" s="213"/>
      <c r="AD912" s="213"/>
      <c r="AE912" s="213"/>
      <c r="AF912" s="213"/>
      <c r="AG912" s="213"/>
      <c r="AH912" s="213"/>
      <c r="AI912" s="213"/>
      <c r="AJ912" s="213"/>
      <c r="AK912" s="213"/>
      <c r="AL912" s="213"/>
      <c r="AM912" s="213"/>
      <c r="AN912" s="213"/>
      <c r="AO912" s="213"/>
      <c r="AP912" s="213" t="str">
        <f>IFERROR(__xludf.DUMMYFUNCTION("""COMPUTED_VALUE"""),"SEBASTIAN")</f>
        <v>SEBASTIAN</v>
      </c>
      <c r="AQ912" s="213"/>
      <c r="AR912" s="213"/>
      <c r="AS912" s="213"/>
      <c r="AT912" s="213"/>
      <c r="AU912" s="213"/>
      <c r="AV912" s="213"/>
      <c r="AW912" s="213"/>
      <c r="AX912" s="213"/>
      <c r="AY912" s="213"/>
      <c r="AZ912" s="213"/>
      <c r="BA912" s="213"/>
      <c r="BB912" s="213"/>
      <c r="BC912" s="213"/>
      <c r="BD912" s="213"/>
    </row>
    <row r="913">
      <c r="A913" s="213">
        <f>IFERROR(__xludf.DUMMYFUNCTION("""COMPUTED_VALUE"""),2605.0)</f>
        <v>2605</v>
      </c>
      <c r="B913" s="213" t="str">
        <f>IFERROR(__xludf.DUMMYFUNCTION("""COMPUTED_VALUE"""),"MANUEL ANTONIO MESONES MURO")</f>
        <v>MANUEL ANTONIO MESONES MURO</v>
      </c>
      <c r="C913" s="213" t="str">
        <f>IFERROR(__xludf.DUMMYFUNCTION("""COMPUTED_VALUE"""),"TALLER SFT DE EBANISTERÍA")</f>
        <v>TALLER SFT DE EBANISTERÍA</v>
      </c>
      <c r="D913" s="213" t="str">
        <f>IFERROR(__xludf.DUMMYFUNCTION("""COMPUTED_VALUE"""),"HERRAMIENTAS")</f>
        <v>HERRAMIENTAS</v>
      </c>
      <c r="E913" s="213" t="str">
        <f>IFERROR(__xludf.DUMMYFUNCTION("""COMPUTED_VALUE"""),"HER-140")</f>
        <v>HER-140</v>
      </c>
      <c r="F913" s="213" t="str">
        <f>IFERROR(__xludf.DUMMYFUNCTION("""COMPUTED_VALUE"""),"HER-140-X")</f>
        <v>HER-140-X</v>
      </c>
      <c r="G913" s="213"/>
      <c r="H913" s="213" t="str">
        <f>IFERROR(__xludf.DUMMYFUNCTION("""COMPUTED_VALUE"""),"JUEGO DE DESTORNILLADORES")</f>
        <v>JUEGO DE DESTORNILLADORES</v>
      </c>
      <c r="I913" s="213" t="str">
        <f>IFERROR(__xludf.DUMMYFUNCTION("""COMPUTED_VALUE"""),"Set de 6 destornilladores, con mango bimaterial con orificio integrado. Varilla fabricada de acero templado y cromado.
Punta con tratamiento anticorrosión. Composición y dimensiones:
04 Destornilladores planos de:
- 3 x 75 mm
- 4 x 100 mm
- 5,5 x 125 mm
-"&amp;" 6,5 x 150 mm.
02 Destornilladores Phillips de:
- PH 1 x 100 mm
- PH 2 x 125 mm.")</f>
        <v>Set de 6 destornilladores, con mango bimaterial con orificio integrado. Varilla fabricada de acero templado y cromado.
Punta con tratamiento anticorrosión. Composición y dimensiones:
04 Destornilladores planos de:
- 3 x 75 mm
- 4 x 100 mm
- 5,5 x 125 mm
- 6,5 x 150 mm.
02 Destornilladores Phillips de:
- PH 1 x 100 mm
- PH 2 x 125 mm.</v>
      </c>
      <c r="J913" s="213">
        <f>IFERROR(__xludf.DUMMYFUNCTION("""COMPUTED_VALUE"""),3.0)</f>
        <v>3</v>
      </c>
      <c r="K913" s="213" t="str">
        <f>IFERROR(__xludf.DUMMYFUNCTION("""COMPUTED_VALUE"""),"90 DÍAS CALENDARIO")</f>
        <v>90 DÍAS CALENDARIO</v>
      </c>
      <c r="L913" s="213" t="str">
        <f>IFERROR(__xludf.DUMMYFUNCTION("""COMPUTED_VALUE"""),"")</f>
        <v/>
      </c>
      <c r="M913" s="213">
        <f>IFERROR(__xludf.DUMMYFUNCTION("""COMPUTED_VALUE"""),1.0)</f>
        <v>1</v>
      </c>
      <c r="N913" s="213">
        <f>IFERROR(__xludf.DUMMYFUNCTION("""COMPUTED_VALUE"""),4.0)</f>
        <v>4</v>
      </c>
      <c r="O913" s="213">
        <f>IFERROR(__xludf.DUMMYFUNCTION("""COMPUTED_VALUE"""),4.0)</f>
        <v>4</v>
      </c>
      <c r="P913" s="213"/>
      <c r="Q913" s="213"/>
      <c r="R913" s="213" t="str">
        <f>IFERROR(__xludf.DUMMYFUNCTION("""COMPUTED_VALUE"""),"SI")</f>
        <v>SI</v>
      </c>
      <c r="S913" s="213"/>
      <c r="T913" s="213" t="str">
        <f>IFERROR(__xludf.DUMMYFUNCTION("""COMPUTED_VALUE"""),"CONSULTA FINAL")</f>
        <v>CONSULTA FINAL</v>
      </c>
      <c r="U913" s="213" t="str">
        <f>IFERROR(__xludf.DUMMYFUNCTION("""COMPUTED_VALUE"""),"NO")</f>
        <v>NO</v>
      </c>
      <c r="V913" s="213" t="str">
        <f>IFERROR(__xludf.DUMMYFUNCTION("""COMPUTED_VALUE"""),"SUSTENTO")</f>
        <v>SUSTENTO</v>
      </c>
      <c r="W913" s="213" t="str">
        <f>IFERROR(__xludf.DUMMYFUNCTION("""COMPUTED_VALUE"""),"EQU TEC")</f>
        <v>EQU TEC</v>
      </c>
      <c r="X913" s="213" t="str">
        <f>IFERROR(__xludf.DUMMYFUNCTION("""COMPUTED_VALUE"""),"Bahco")</f>
        <v>Bahco</v>
      </c>
      <c r="Y913" s="213" t="str">
        <f>IFERROR(__xludf.DUMMYFUNCTION("""COMPUTED_VALUE"""),"620-6")</f>
        <v>620-6</v>
      </c>
      <c r="Z913" s="215" t="str">
        <f>IFERROR(__xludf.DUMMYFUNCTION("""COMPUTED_VALUE"""),"https://cahema.pe/juego-de-desarmador/16797-juego-de-desarmadores-aislados-6-piezas-bahco-620-6-7314150128594.html")</f>
        <v>https://cahema.pe/juego-de-desarmador/16797-juego-de-desarmadores-aislados-6-piezas-bahco-620-6-7314150128594.html</v>
      </c>
      <c r="AA913" s="213" t="str">
        <f>IFERROR(__xludf.DUMMYFUNCTION("""COMPUTED_VALUE"""),"HER-140-X JUEGO DE DESTORNILLADORES - CET")</f>
        <v>HER-140-X JUEGO DE DESTORNILLADORES - CET</v>
      </c>
      <c r="AB913" s="213"/>
      <c r="AC913" s="213"/>
      <c r="AD913" s="213"/>
      <c r="AE913" s="213"/>
      <c r="AF913" s="213"/>
      <c r="AG913" s="213"/>
      <c r="AH913" s="213"/>
      <c r="AI913" s="213"/>
      <c r="AJ913" s="213"/>
      <c r="AK913" s="213"/>
      <c r="AL913" s="213"/>
      <c r="AM913" s="213"/>
      <c r="AN913" s="213"/>
      <c r="AO913" s="213"/>
      <c r="AP913" s="213" t="str">
        <f>IFERROR(__xludf.DUMMYFUNCTION("""COMPUTED_VALUE"""),"SEBASTIAN")</f>
        <v>SEBASTIAN</v>
      </c>
      <c r="AQ913" s="213"/>
      <c r="AR913" s="213"/>
      <c r="AS913" s="213"/>
      <c r="AT913" s="213"/>
      <c r="AU913" s="213"/>
      <c r="AV913" s="213"/>
      <c r="AW913" s="213"/>
      <c r="AX913" s="213"/>
      <c r="AY913" s="213"/>
      <c r="AZ913" s="213"/>
      <c r="BA913" s="213"/>
      <c r="BB913" s="213"/>
      <c r="BC913" s="213"/>
      <c r="BD913" s="213"/>
    </row>
    <row r="914">
      <c r="A914" s="213">
        <f>IFERROR(__xludf.DUMMYFUNCTION("""COMPUTED_VALUE"""),945.0)</f>
        <v>945</v>
      </c>
      <c r="B914" s="213" t="str">
        <f>IFERROR(__xludf.DUMMYFUNCTION("""COMPUTED_VALUE"""),"FRANCISCO IRAZOLA")</f>
        <v>FRANCISCO IRAZOLA</v>
      </c>
      <c r="C914" s="213" t="str">
        <f>IFERROR(__xludf.DUMMYFUNCTION("""COMPUTED_VALUE"""),"TALLER SFT DE MECÁNICA AUTOMOTRIZ")</f>
        <v>TALLER SFT DE MECÁNICA AUTOMOTRIZ</v>
      </c>
      <c r="D914" s="213" t="str">
        <f>IFERROR(__xludf.DUMMYFUNCTION("""COMPUTED_VALUE"""),"HERRAMIENTAS")</f>
        <v>HERRAMIENTAS</v>
      </c>
      <c r="E914" s="213" t="str">
        <f>IFERROR(__xludf.DUMMYFUNCTION("""COMPUTED_VALUE"""),"HER-140")</f>
        <v>HER-140</v>
      </c>
      <c r="F914" s="213" t="str">
        <f>IFERROR(__xludf.DUMMYFUNCTION("""COMPUTED_VALUE"""),"HER-140-Y")</f>
        <v>HER-140-Y</v>
      </c>
      <c r="G914" s="213"/>
      <c r="H914" s="213" t="str">
        <f>IFERROR(__xludf.DUMMYFUNCTION("""COMPUTED_VALUE"""),"JUEGO DE DESTORNILLADORES (6 DESTORNILLADORES)")</f>
        <v>JUEGO DE DESTORNILLADORES (6 DESTORNILLADORES)</v>
      </c>
      <c r="I914" s="213" t="str">
        <f>IFERROR(__xludf.DUMMYFUNCTION("""COMPUTED_VALUE"""),"Set de 6 destornilladores, con mango bimaterial con orificio integrado. Varilla fabricada de acero templado y cromado.
Punta con tratamiento anticorrosión. Composición y dimensiones:
Destornillador plano: 3 x 75 mm - 4 x 100 mm - 5,5 x 125 mm - 6,5 x 150 "&amp;"mm.
Destornillador Phillips: PH 1 x 100 mm - PH 2 x 125 mm.")</f>
        <v>Set de 6 destornilladores, con mango bimaterial con orificio integrado. Varilla fabricada de acero templado y cromado.
Punta con tratamiento anticorrosión. Composición y dimensiones:
Destornillador plano: 3 x 75 mm - 4 x 100 mm - 5,5 x 125 mm - 6,5 x 150 mm.
Destornillador Phillips: PH 1 x 100 mm - PH 2 x 125 mm.</v>
      </c>
      <c r="J914" s="213">
        <f>IFERROR(__xludf.DUMMYFUNCTION("""COMPUTED_VALUE"""),3.0)</f>
        <v>3</v>
      </c>
      <c r="K914" s="213" t="str">
        <f>IFERROR(__xludf.DUMMYFUNCTION("""COMPUTED_VALUE"""),"90 DÍAS CALENDARIO")</f>
        <v>90 DÍAS CALENDARIO</v>
      </c>
      <c r="L914" s="213" t="str">
        <f>IFERROR(__xludf.DUMMYFUNCTION("""COMPUTED_VALUE"""),"")</f>
        <v/>
      </c>
      <c r="M914" s="213">
        <f>IFERROR(__xludf.DUMMYFUNCTION("""COMPUTED_VALUE"""),1.0)</f>
        <v>1</v>
      </c>
      <c r="N914" s="213">
        <f>IFERROR(__xludf.DUMMYFUNCTION("""COMPUTED_VALUE"""),4.0)</f>
        <v>4</v>
      </c>
      <c r="O914" s="213">
        <f>IFERROR(__xludf.DUMMYFUNCTION("""COMPUTED_VALUE"""),4.0)</f>
        <v>4</v>
      </c>
      <c r="P914" s="213"/>
      <c r="Q914" s="213"/>
      <c r="R914" s="213" t="str">
        <f>IFERROR(__xludf.DUMMYFUNCTION("""COMPUTED_VALUE"""),"SI")</f>
        <v>SI</v>
      </c>
      <c r="S914" s="213"/>
      <c r="T914" s="213" t="str">
        <f>IFERROR(__xludf.DUMMYFUNCTION("""COMPUTED_VALUE"""),"SI")</f>
        <v>SI</v>
      </c>
      <c r="U914" s="213" t="str">
        <f>IFERROR(__xludf.DUMMYFUNCTION("""COMPUTED_VALUE"""),"NO")</f>
        <v>NO</v>
      </c>
      <c r="V914" s="213" t="str">
        <f>IFERROR(__xludf.DUMMYFUNCTION("""COMPUTED_VALUE"""),"SUSTENTO")</f>
        <v>SUSTENTO</v>
      </c>
      <c r="W914" s="213" t="str">
        <f>IFERROR(__xludf.DUMMYFUNCTION("""COMPUTED_VALUE"""),"EQU TEC")</f>
        <v>EQU TEC</v>
      </c>
      <c r="X914" s="213" t="str">
        <f>IFERROR(__xludf.DUMMYFUNCTION("""COMPUTED_VALUE"""),"BAHCO")</f>
        <v>BAHCO</v>
      </c>
      <c r="Y914" s="213" t="str">
        <f>IFERROR(__xludf.DUMMYFUNCTION("""COMPUTED_VALUE"""),"620-6")</f>
        <v>620-6</v>
      </c>
      <c r="Z914" s="215" t="str">
        <f>IFERROR(__xludf.DUMMYFUNCTION("""COMPUTED_VALUE"""),"https://cahema.pe/juego-de-desarmador/16797-juego-de-desarmadores-aislados-6-piezas-bahco-620-6-7314150128594.html")</f>
        <v>https://cahema.pe/juego-de-desarmador/16797-juego-de-desarmadores-aislados-6-piezas-bahco-620-6-7314150128594.html</v>
      </c>
      <c r="AA914" s="213" t="str">
        <f>IFERROR(__xludf.DUMMYFUNCTION("""COMPUTED_VALUE"""),"HER-140-Y JUEGO DE DESTORNILLADORES (6 DESTORNILLADORES) - CET")</f>
        <v>HER-140-Y JUEGO DE DESTORNILLADORES (6 DESTORNILLADORES) - CET</v>
      </c>
      <c r="AB914" s="213"/>
      <c r="AC914" s="213"/>
      <c r="AD914" s="213"/>
      <c r="AE914" s="213"/>
      <c r="AF914" s="213"/>
      <c r="AG914" s="213"/>
      <c r="AH914" s="213"/>
      <c r="AI914" s="213"/>
      <c r="AJ914" s="213"/>
      <c r="AK914" s="213"/>
      <c r="AL914" s="213"/>
      <c r="AM914" s="213"/>
      <c r="AN914" s="213"/>
      <c r="AO914" s="213"/>
      <c r="AP914" s="213" t="str">
        <f>IFERROR(__xludf.DUMMYFUNCTION("""COMPUTED_VALUE"""),"LUIS")</f>
        <v>LUIS</v>
      </c>
      <c r="AQ914" s="213"/>
      <c r="AR914" s="213"/>
      <c r="AS914" s="213"/>
      <c r="AT914" s="213"/>
      <c r="AU914" s="213"/>
      <c r="AV914" s="213"/>
      <c r="AW914" s="213"/>
      <c r="AX914" s="213"/>
      <c r="AY914" s="213"/>
      <c r="AZ914" s="213"/>
      <c r="BA914" s="213"/>
      <c r="BB914" s="213"/>
      <c r="BC914" s="213"/>
      <c r="BD914" s="213"/>
    </row>
    <row r="915">
      <c r="A915" s="213">
        <f>IFERROR(__xludf.DUMMYFUNCTION("""COMPUTED_VALUE"""),962.0)</f>
        <v>962</v>
      </c>
      <c r="B915" s="213" t="str">
        <f>IFERROR(__xludf.DUMMYFUNCTION("""COMPUTED_VALUE"""),"FRANCISCO IRAZOLA")</f>
        <v>FRANCISCO IRAZOLA</v>
      </c>
      <c r="C915" s="213" t="str">
        <f>IFERROR(__xludf.DUMMYFUNCTION("""COMPUTED_VALUE"""),"TALLER SFT DE MECÁNICA AUTOMOTRIZ")</f>
        <v>TALLER SFT DE MECÁNICA AUTOMOTRIZ</v>
      </c>
      <c r="D915" s="213" t="str">
        <f>IFERROR(__xludf.DUMMYFUNCTION("""COMPUTED_VALUE"""),"HERRAMIENTAS")</f>
        <v>HERRAMIENTAS</v>
      </c>
      <c r="E915" s="213" t="str">
        <f>IFERROR(__xludf.DUMMYFUNCTION("""COMPUTED_VALUE"""),"HER-140")</f>
        <v>HER-140</v>
      </c>
      <c r="F915" s="213" t="str">
        <f>IFERROR(__xludf.DUMMYFUNCTION("""COMPUTED_VALUE"""),"HER-140-Y")</f>
        <v>HER-140-Y</v>
      </c>
      <c r="G915" s="213"/>
      <c r="H915" s="213" t="str">
        <f>IFERROR(__xludf.DUMMYFUNCTION("""COMPUTED_VALUE"""),"JUEGO DE DESTORNILLADORES (6 DESTORNILLADORES)")</f>
        <v>JUEGO DE DESTORNILLADORES (6 DESTORNILLADORES)</v>
      </c>
      <c r="I915" s="213" t="str">
        <f>IFERROR(__xludf.DUMMYFUNCTION("""COMPUTED_VALUE"""),"Set de 6 destornilladores, con mango bimaterial con orificio integrado. Varilla fabricada de acero templado y cromado.
Punta con tratamiento anticorrosión. Composición y dimensiones:
Destornillador plano: 3 x 75 mm - 4 x 100 mm - 5,5 x 125 mm - 6,5 x 150 "&amp;"mm.
Destornillador Phillips: PH 1 x 100 mm - PH 2 x 125 mm.")</f>
        <v>Set de 6 destornilladores, con mango bimaterial con orificio integrado. Varilla fabricada de acero templado y cromado.
Punta con tratamiento anticorrosión. Composición y dimensiones:
Destornillador plano: 3 x 75 mm - 4 x 100 mm - 5,5 x 125 mm - 6,5 x 150 mm.
Destornillador Phillips: PH 1 x 100 mm - PH 2 x 125 mm.</v>
      </c>
      <c r="J915" s="213">
        <f>IFERROR(__xludf.DUMMYFUNCTION("""COMPUTED_VALUE"""),3.0)</f>
        <v>3</v>
      </c>
      <c r="K915" s="213" t="str">
        <f>IFERROR(__xludf.DUMMYFUNCTION("""COMPUTED_VALUE"""),"90 DÍAS CALENDARIO")</f>
        <v>90 DÍAS CALENDARIO</v>
      </c>
      <c r="L915" s="213" t="str">
        <f>IFERROR(__xludf.DUMMYFUNCTION("""COMPUTED_VALUE"""),"")</f>
        <v/>
      </c>
      <c r="M915" s="213">
        <f>IFERROR(__xludf.DUMMYFUNCTION("""COMPUTED_VALUE"""),1.0)</f>
        <v>1</v>
      </c>
      <c r="N915" s="213">
        <f>IFERROR(__xludf.DUMMYFUNCTION("""COMPUTED_VALUE"""),4.0)</f>
        <v>4</v>
      </c>
      <c r="O915" s="213">
        <f>IFERROR(__xludf.DUMMYFUNCTION("""COMPUTED_VALUE"""),4.0)</f>
        <v>4</v>
      </c>
      <c r="P915" s="213"/>
      <c r="Q915" s="213"/>
      <c r="R915" s="213" t="str">
        <f>IFERROR(__xludf.DUMMYFUNCTION("""COMPUTED_VALUE"""),"SI")</f>
        <v>SI</v>
      </c>
      <c r="S915" s="213"/>
      <c r="T915" s="213" t="str">
        <f>IFERROR(__xludf.DUMMYFUNCTION("""COMPUTED_VALUE"""),"SI")</f>
        <v>SI</v>
      </c>
      <c r="U915" s="213" t="str">
        <f>IFERROR(__xludf.DUMMYFUNCTION("""COMPUTED_VALUE"""),"SI")</f>
        <v>SI</v>
      </c>
      <c r="V915" s="213" t="str">
        <f>IFERROR(__xludf.DUMMYFUNCTION("""COMPUTED_VALUE"""),"-")</f>
        <v>-</v>
      </c>
      <c r="W915" s="213" t="str">
        <f>IFERROR(__xludf.DUMMYFUNCTION("""COMPUTED_VALUE"""),"-")</f>
        <v>-</v>
      </c>
      <c r="X915" s="213" t="str">
        <f>IFERROR(__xludf.DUMMYFUNCTION("""COMPUTED_VALUE"""),"BAHCO")</f>
        <v>BAHCO</v>
      </c>
      <c r="Y915" s="213" t="str">
        <f>IFERROR(__xludf.DUMMYFUNCTION("""COMPUTED_VALUE"""),"620-6")</f>
        <v>620-6</v>
      </c>
      <c r="Z915" s="215" t="str">
        <f>IFERROR(__xludf.DUMMYFUNCTION("""COMPUTED_VALUE"""),"https://cahema.pe/juego-de-desarmador/16797-juego-de-desarmadores-aislados-6-piezas-bahco-620-6-7314150128594.html")</f>
        <v>https://cahema.pe/juego-de-desarmador/16797-juego-de-desarmadores-aislados-6-piezas-bahco-620-6-7314150128594.html</v>
      </c>
      <c r="AA915" s="213" t="str">
        <f>IFERROR(__xludf.DUMMYFUNCTION("""COMPUTED_VALUE"""),"HER-140-Y JUEGO DE DESTORNILLADORES (6 DESTORNILLADORES) - CET")</f>
        <v>HER-140-Y JUEGO DE DESTORNILLADORES (6 DESTORNILLADORES) - CET</v>
      </c>
      <c r="AB915" s="213"/>
      <c r="AC915" s="213"/>
      <c r="AD915" s="213"/>
      <c r="AE915" s="213"/>
      <c r="AF915" s="213"/>
      <c r="AG915" s="213"/>
      <c r="AH915" s="213"/>
      <c r="AI915" s="213"/>
      <c r="AJ915" s="213"/>
      <c r="AK915" s="213"/>
      <c r="AL915" s="213"/>
      <c r="AM915" s="213"/>
      <c r="AN915" s="213"/>
      <c r="AO915" s="213"/>
      <c r="AP915" s="213" t="str">
        <f>IFERROR(__xludf.DUMMYFUNCTION("""COMPUTED_VALUE"""),"LUIS")</f>
        <v>LUIS</v>
      </c>
      <c r="AQ915" s="213"/>
      <c r="AR915" s="213"/>
      <c r="AS915" s="213"/>
      <c r="AT915" s="213"/>
      <c r="AU915" s="213"/>
      <c r="AV915" s="213"/>
      <c r="AW915" s="213"/>
      <c r="AX915" s="213"/>
      <c r="AY915" s="213"/>
      <c r="AZ915" s="213"/>
      <c r="BA915" s="213"/>
      <c r="BB915" s="213"/>
      <c r="BC915" s="213"/>
      <c r="BD915" s="213"/>
    </row>
    <row r="916">
      <c r="A916" s="213">
        <f>IFERROR(__xludf.DUMMYFUNCTION("""COMPUTED_VALUE"""),1546.0)</f>
        <v>1546</v>
      </c>
      <c r="B916" s="213" t="str">
        <f>IFERROR(__xludf.DUMMYFUNCTION("""COMPUTED_VALUE"""),"GUILLERMO E. BILLINGHURST ")</f>
        <v>GUILLERMO E. BILLINGHURST </v>
      </c>
      <c r="C916" s="213" t="str">
        <f>IFERROR(__xludf.DUMMYFUNCTION("""COMPUTED_VALUE"""),"TALLER SFT DE MECÁNICA AUTOMOTRIZ")</f>
        <v>TALLER SFT DE MECÁNICA AUTOMOTRIZ</v>
      </c>
      <c r="D916" s="213" t="str">
        <f>IFERROR(__xludf.DUMMYFUNCTION("""COMPUTED_VALUE"""),"HERRAMIENTAS")</f>
        <v>HERRAMIENTAS</v>
      </c>
      <c r="E916" s="213" t="str">
        <f>IFERROR(__xludf.DUMMYFUNCTION("""COMPUTED_VALUE"""),"HER-140")</f>
        <v>HER-140</v>
      </c>
      <c r="F916" s="213" t="str">
        <f>IFERROR(__xludf.DUMMYFUNCTION("""COMPUTED_VALUE"""),"HER-140-Y")</f>
        <v>HER-140-Y</v>
      </c>
      <c r="G916" s="213"/>
      <c r="H916" s="213" t="str">
        <f>IFERROR(__xludf.DUMMYFUNCTION("""COMPUTED_VALUE"""),"JUEGO DE DESTORNILLADORES (6 DESTORNILLADORES)")</f>
        <v>JUEGO DE DESTORNILLADORES (6 DESTORNILLADORES)</v>
      </c>
      <c r="I916" s="213" t="str">
        <f>IFERROR(__xludf.DUMMYFUNCTION("""COMPUTED_VALUE"""),"Set de 6 destornilladores, con mango bimaterial con orificio integrado. Varilla fabricada de acero templado y cromado.
Punta con tratamiento anticorrosión. Composición y dimensiones:
Destornillador plano: 3 x 75 mm - 4 x 100 mm - 5,5 x 125 mm - 6,5 x 150 "&amp;"mm.
Destornillador Phillips: PH 1 x 100 mm - PH 2 x 125 mm.")</f>
        <v>Set de 6 destornilladores, con mango bimaterial con orificio integrado. Varilla fabricada de acero templado y cromado.
Punta con tratamiento anticorrosión. Composición y dimensiones:
Destornillador plano: 3 x 75 mm - 4 x 100 mm - 5,5 x 125 mm - 6,5 x 150 mm.
Destornillador Phillips: PH 1 x 100 mm - PH 2 x 125 mm.</v>
      </c>
      <c r="J916" s="213">
        <f>IFERROR(__xludf.DUMMYFUNCTION("""COMPUTED_VALUE"""),3.0)</f>
        <v>3</v>
      </c>
      <c r="K916" s="213" t="str">
        <f>IFERROR(__xludf.DUMMYFUNCTION("""COMPUTED_VALUE"""),"90 DÍAS CALENDARIO")</f>
        <v>90 DÍAS CALENDARIO</v>
      </c>
      <c r="L916" s="213" t="str">
        <f>IFERROR(__xludf.DUMMYFUNCTION("""COMPUTED_VALUE"""),"")</f>
        <v/>
      </c>
      <c r="M916" s="213">
        <f>IFERROR(__xludf.DUMMYFUNCTION("""COMPUTED_VALUE"""),1.0)</f>
        <v>1</v>
      </c>
      <c r="N916" s="213">
        <f>IFERROR(__xludf.DUMMYFUNCTION("""COMPUTED_VALUE"""),4.0)</f>
        <v>4</v>
      </c>
      <c r="O916" s="213">
        <f>IFERROR(__xludf.DUMMYFUNCTION("""COMPUTED_VALUE"""),4.0)</f>
        <v>4</v>
      </c>
      <c r="P916" s="213"/>
      <c r="Q916" s="213"/>
      <c r="R916" s="213" t="str">
        <f>IFERROR(__xludf.DUMMYFUNCTION("""COMPUTED_VALUE"""),"SI")</f>
        <v>SI</v>
      </c>
      <c r="S916" s="213"/>
      <c r="T916" s="213" t="str">
        <f>IFERROR(__xludf.DUMMYFUNCTION("""COMPUTED_VALUE"""),"SI")</f>
        <v>SI</v>
      </c>
      <c r="U916" s="213" t="str">
        <f>IFERROR(__xludf.DUMMYFUNCTION("""COMPUTED_VALUE"""),"SI")</f>
        <v>SI</v>
      </c>
      <c r="V916" s="213" t="str">
        <f>IFERROR(__xludf.DUMMYFUNCTION("""COMPUTED_VALUE"""),"-")</f>
        <v>-</v>
      </c>
      <c r="W916" s="213" t="str">
        <f>IFERROR(__xludf.DUMMYFUNCTION("""COMPUTED_VALUE"""),"-")</f>
        <v>-</v>
      </c>
      <c r="X916" s="213" t="str">
        <f>IFERROR(__xludf.DUMMYFUNCTION("""COMPUTED_VALUE"""),"BAHCO")</f>
        <v>BAHCO</v>
      </c>
      <c r="Y916" s="213" t="str">
        <f>IFERROR(__xludf.DUMMYFUNCTION("""COMPUTED_VALUE"""),"620-6")</f>
        <v>620-6</v>
      </c>
      <c r="Z916" s="215" t="str">
        <f>IFERROR(__xludf.DUMMYFUNCTION("""COMPUTED_VALUE"""),"https://cahema.pe/juego-de-desarmador/16797-juego-de-desarmadores-aislados-6-piezas-bahco-620-6-7314150128594.html")</f>
        <v>https://cahema.pe/juego-de-desarmador/16797-juego-de-desarmadores-aislados-6-piezas-bahco-620-6-7314150128594.html</v>
      </c>
      <c r="AA916" s="213" t="str">
        <f>IFERROR(__xludf.DUMMYFUNCTION("""COMPUTED_VALUE"""),"HER-140-Y JUEGO DE DESTORNILLADORES (6 DESTORNILLADORES) - CET")</f>
        <v>HER-140-Y JUEGO DE DESTORNILLADORES (6 DESTORNILLADORES) - CET</v>
      </c>
      <c r="AB916" s="213"/>
      <c r="AC916" s="213"/>
      <c r="AD916" s="213"/>
      <c r="AE916" s="213"/>
      <c r="AF916" s="213"/>
      <c r="AG916" s="213"/>
      <c r="AH916" s="213"/>
      <c r="AI916" s="213"/>
      <c r="AJ916" s="213"/>
      <c r="AK916" s="213"/>
      <c r="AL916" s="213"/>
      <c r="AM916" s="213"/>
      <c r="AN916" s="213"/>
      <c r="AO916" s="213"/>
      <c r="AP916" s="213" t="str">
        <f>IFERROR(__xludf.DUMMYFUNCTION("""COMPUTED_VALUE"""),"LUIS")</f>
        <v>LUIS</v>
      </c>
      <c r="AQ916" s="213"/>
      <c r="AR916" s="213"/>
      <c r="AS916" s="213"/>
      <c r="AT916" s="213"/>
      <c r="AU916" s="213"/>
      <c r="AV916" s="213"/>
      <c r="AW916" s="213"/>
      <c r="AX916" s="213"/>
      <c r="AY916" s="213"/>
      <c r="AZ916" s="213"/>
      <c r="BA916" s="213"/>
      <c r="BB916" s="213"/>
      <c r="BC916" s="213"/>
      <c r="BD916" s="213"/>
    </row>
    <row r="917">
      <c r="A917" s="213">
        <f>IFERROR(__xludf.DUMMYFUNCTION("""COMPUTED_VALUE"""),1563.0)</f>
        <v>1563</v>
      </c>
      <c r="B917" s="213" t="str">
        <f>IFERROR(__xludf.DUMMYFUNCTION("""COMPUTED_VALUE"""),"GUILLERMO E. BILLINGHURST ")</f>
        <v>GUILLERMO E. BILLINGHURST </v>
      </c>
      <c r="C917" s="213" t="str">
        <f>IFERROR(__xludf.DUMMYFUNCTION("""COMPUTED_VALUE"""),"TALLER SFT DE MECÁNICA AUTOMOTRIZ")</f>
        <v>TALLER SFT DE MECÁNICA AUTOMOTRIZ</v>
      </c>
      <c r="D917" s="213" t="str">
        <f>IFERROR(__xludf.DUMMYFUNCTION("""COMPUTED_VALUE"""),"HERRAMIENTAS")</f>
        <v>HERRAMIENTAS</v>
      </c>
      <c r="E917" s="213" t="str">
        <f>IFERROR(__xludf.DUMMYFUNCTION("""COMPUTED_VALUE"""),"HER-140")</f>
        <v>HER-140</v>
      </c>
      <c r="F917" s="213" t="str">
        <f>IFERROR(__xludf.DUMMYFUNCTION("""COMPUTED_VALUE"""),"HER-140-Y")</f>
        <v>HER-140-Y</v>
      </c>
      <c r="G917" s="213"/>
      <c r="H917" s="213" t="str">
        <f>IFERROR(__xludf.DUMMYFUNCTION("""COMPUTED_VALUE"""),"JUEGO DE DESTORNILLADORES (6 DESTORNILLADORES)")</f>
        <v>JUEGO DE DESTORNILLADORES (6 DESTORNILLADORES)</v>
      </c>
      <c r="I917" s="213" t="str">
        <f>IFERROR(__xludf.DUMMYFUNCTION("""COMPUTED_VALUE"""),"Set de 6 destornilladores, con mango bimaterial con orificio integrado. Varilla fabricada de acero templado y cromado.
Punta con tratamiento anticorrosión. Composición y dimensiones:
Destornillador plano: 3 x 75 mm - 4 x 100 mm - 5,5 x 125 mm - 6,5 x 150 "&amp;"mm.
Destornillador Phillips: PH 1 x 100 mm - PH 2 x 125 mm.")</f>
        <v>Set de 6 destornilladores, con mango bimaterial con orificio integrado. Varilla fabricada de acero templado y cromado.
Punta con tratamiento anticorrosión. Composición y dimensiones:
Destornillador plano: 3 x 75 mm - 4 x 100 mm - 5,5 x 125 mm - 6,5 x 150 mm.
Destornillador Phillips: PH 1 x 100 mm - PH 2 x 125 mm.</v>
      </c>
      <c r="J917" s="213">
        <f>IFERROR(__xludf.DUMMYFUNCTION("""COMPUTED_VALUE"""),3.0)</f>
        <v>3</v>
      </c>
      <c r="K917" s="213" t="str">
        <f>IFERROR(__xludf.DUMMYFUNCTION("""COMPUTED_VALUE"""),"90 DÍAS CALENDARIO")</f>
        <v>90 DÍAS CALENDARIO</v>
      </c>
      <c r="L917" s="213" t="str">
        <f>IFERROR(__xludf.DUMMYFUNCTION("""COMPUTED_VALUE"""),"")</f>
        <v/>
      </c>
      <c r="M917" s="213">
        <f>IFERROR(__xludf.DUMMYFUNCTION("""COMPUTED_VALUE"""),1.0)</f>
        <v>1</v>
      </c>
      <c r="N917" s="213">
        <f>IFERROR(__xludf.DUMMYFUNCTION("""COMPUTED_VALUE"""),4.0)</f>
        <v>4</v>
      </c>
      <c r="O917" s="213">
        <f>IFERROR(__xludf.DUMMYFUNCTION("""COMPUTED_VALUE"""),4.0)</f>
        <v>4</v>
      </c>
      <c r="P917" s="213"/>
      <c r="Q917" s="213"/>
      <c r="R917" s="213" t="str">
        <f>IFERROR(__xludf.DUMMYFUNCTION("""COMPUTED_VALUE"""),"SI")</f>
        <v>SI</v>
      </c>
      <c r="S917" s="213"/>
      <c r="T917" s="213" t="str">
        <f>IFERROR(__xludf.DUMMYFUNCTION("""COMPUTED_VALUE"""),"SI")</f>
        <v>SI</v>
      </c>
      <c r="U917" s="213" t="str">
        <f>IFERROR(__xludf.DUMMYFUNCTION("""COMPUTED_VALUE"""),"SI")</f>
        <v>SI</v>
      </c>
      <c r="V917" s="213" t="str">
        <f>IFERROR(__xludf.DUMMYFUNCTION("""COMPUTED_VALUE"""),"-")</f>
        <v>-</v>
      </c>
      <c r="W917" s="213" t="str">
        <f>IFERROR(__xludf.DUMMYFUNCTION("""COMPUTED_VALUE"""),"-")</f>
        <v>-</v>
      </c>
      <c r="X917" s="213" t="str">
        <f>IFERROR(__xludf.DUMMYFUNCTION("""COMPUTED_VALUE"""),"BAHCO")</f>
        <v>BAHCO</v>
      </c>
      <c r="Y917" s="213" t="str">
        <f>IFERROR(__xludf.DUMMYFUNCTION("""COMPUTED_VALUE"""),"620-6")</f>
        <v>620-6</v>
      </c>
      <c r="Z917" s="215" t="str">
        <f>IFERROR(__xludf.DUMMYFUNCTION("""COMPUTED_VALUE"""),"https://cahema.pe/juego-de-desarmador/16797-juego-de-desarmadores-aislados-6-piezas-bahco-620-6-7314150128594.html")</f>
        <v>https://cahema.pe/juego-de-desarmador/16797-juego-de-desarmadores-aislados-6-piezas-bahco-620-6-7314150128594.html</v>
      </c>
      <c r="AA917" s="213" t="str">
        <f>IFERROR(__xludf.DUMMYFUNCTION("""COMPUTED_VALUE"""),"HER-140-Y JUEGO DE DESTORNILLADORES (6 DESTORNILLADORES) - CET")</f>
        <v>HER-140-Y JUEGO DE DESTORNILLADORES (6 DESTORNILLADORES) - CET</v>
      </c>
      <c r="AB917" s="213"/>
      <c r="AC917" s="213"/>
      <c r="AD917" s="213"/>
      <c r="AE917" s="213"/>
      <c r="AF917" s="213"/>
      <c r="AG917" s="213"/>
      <c r="AH917" s="213"/>
      <c r="AI917" s="213"/>
      <c r="AJ917" s="213"/>
      <c r="AK917" s="213"/>
      <c r="AL917" s="213"/>
      <c r="AM917" s="213"/>
      <c r="AN917" s="213"/>
      <c r="AO917" s="213"/>
      <c r="AP917" s="213" t="str">
        <f>IFERROR(__xludf.DUMMYFUNCTION("""COMPUTED_VALUE"""),"LUIS")</f>
        <v>LUIS</v>
      </c>
      <c r="AQ917" s="213"/>
      <c r="AR917" s="213"/>
      <c r="AS917" s="213"/>
      <c r="AT917" s="213"/>
      <c r="AU917" s="213"/>
      <c r="AV917" s="213"/>
      <c r="AW917" s="213"/>
      <c r="AX917" s="213"/>
      <c r="AY917" s="213"/>
      <c r="AZ917" s="213"/>
      <c r="BA917" s="213"/>
      <c r="BB917" s="213"/>
      <c r="BC917" s="213"/>
      <c r="BD917" s="213"/>
    </row>
    <row r="918">
      <c r="A918" s="213">
        <f>IFERROR(__xludf.DUMMYFUNCTION("""COMPUTED_VALUE"""),2238.0)</f>
        <v>2238</v>
      </c>
      <c r="B918" s="213" t="str">
        <f>IFERROR(__xludf.DUMMYFUNCTION("""COMPUTED_VALUE"""),"JOSE GRANDA")</f>
        <v>JOSE GRANDA</v>
      </c>
      <c r="C918" s="213" t="str">
        <f>IFERROR(__xludf.DUMMYFUNCTION("""COMPUTED_VALUE"""),"TALLER SFT DE MECÁNICA AUTOMOTRIZ")</f>
        <v>TALLER SFT DE MECÁNICA AUTOMOTRIZ</v>
      </c>
      <c r="D918" s="213" t="str">
        <f>IFERROR(__xludf.DUMMYFUNCTION("""COMPUTED_VALUE"""),"HERRAMIENTAS")</f>
        <v>HERRAMIENTAS</v>
      </c>
      <c r="E918" s="213" t="str">
        <f>IFERROR(__xludf.DUMMYFUNCTION("""COMPUTED_VALUE"""),"HER-140")</f>
        <v>HER-140</v>
      </c>
      <c r="F918" s="213" t="str">
        <f>IFERROR(__xludf.DUMMYFUNCTION("""COMPUTED_VALUE"""),"HER-140-Y")</f>
        <v>HER-140-Y</v>
      </c>
      <c r="G918" s="213"/>
      <c r="H918" s="213" t="str">
        <f>IFERROR(__xludf.DUMMYFUNCTION("""COMPUTED_VALUE"""),"JUEGO DE DESTORNILLADORES (6 DESTORNILLADORES)")</f>
        <v>JUEGO DE DESTORNILLADORES (6 DESTORNILLADORES)</v>
      </c>
      <c r="I918" s="213" t="str">
        <f>IFERROR(__xludf.DUMMYFUNCTION("""COMPUTED_VALUE"""),"Set de 6 destornilladores, con mango bimaterial con orificio integrado. Varilla fabricada de acero templado y cromado.
Punta con tratamiento anticorrosión. Composición y dimensiones:
Destornillador plano: 3 x 75 mm - 4 x 100 mm - 5,5 x 125 mm - 6,5 x 150 "&amp;"mm.
Destornillador Phillips: PH 1 x 100 mm - PH 2 x 125 mm.")</f>
        <v>Set de 6 destornilladores, con mango bimaterial con orificio integrado. Varilla fabricada de acero templado y cromado.
Punta con tratamiento anticorrosión. Composición y dimensiones:
Destornillador plano: 3 x 75 mm - 4 x 100 mm - 5,5 x 125 mm - 6,5 x 150 mm.
Destornillador Phillips: PH 1 x 100 mm - PH 2 x 125 mm.</v>
      </c>
      <c r="J918" s="213">
        <f>IFERROR(__xludf.DUMMYFUNCTION("""COMPUTED_VALUE"""),3.0)</f>
        <v>3</v>
      </c>
      <c r="K918" s="213" t="str">
        <f>IFERROR(__xludf.DUMMYFUNCTION("""COMPUTED_VALUE"""),"90 DÍAS CALENDARIO")</f>
        <v>90 DÍAS CALENDARIO</v>
      </c>
      <c r="L918" s="213" t="str">
        <f>IFERROR(__xludf.DUMMYFUNCTION("""COMPUTED_VALUE"""),"")</f>
        <v/>
      </c>
      <c r="M918" s="213">
        <f>IFERROR(__xludf.DUMMYFUNCTION("""COMPUTED_VALUE"""),1.0)</f>
        <v>1</v>
      </c>
      <c r="N918" s="213">
        <f>IFERROR(__xludf.DUMMYFUNCTION("""COMPUTED_VALUE"""),4.0)</f>
        <v>4</v>
      </c>
      <c r="O918" s="213">
        <f>IFERROR(__xludf.DUMMYFUNCTION("""COMPUTED_VALUE"""),4.0)</f>
        <v>4</v>
      </c>
      <c r="P918" s="213"/>
      <c r="Q918" s="213"/>
      <c r="R918" s="213" t="str">
        <f>IFERROR(__xludf.DUMMYFUNCTION("""COMPUTED_VALUE"""),"SI")</f>
        <v>SI</v>
      </c>
      <c r="S918" s="213"/>
      <c r="T918" s="213" t="str">
        <f>IFERROR(__xludf.DUMMYFUNCTION("""COMPUTED_VALUE"""),"SI")</f>
        <v>SI</v>
      </c>
      <c r="U918" s="213" t="str">
        <f>IFERROR(__xludf.DUMMYFUNCTION("""COMPUTED_VALUE"""),"SI")</f>
        <v>SI</v>
      </c>
      <c r="V918" s="213" t="str">
        <f>IFERROR(__xludf.DUMMYFUNCTION("""COMPUTED_VALUE"""),"-")</f>
        <v>-</v>
      </c>
      <c r="W918" s="213" t="str">
        <f>IFERROR(__xludf.DUMMYFUNCTION("""COMPUTED_VALUE"""),"-")</f>
        <v>-</v>
      </c>
      <c r="X918" s="213" t="str">
        <f>IFERROR(__xludf.DUMMYFUNCTION("""COMPUTED_VALUE"""),"BAHCO")</f>
        <v>BAHCO</v>
      </c>
      <c r="Y918" s="213" t="str">
        <f>IFERROR(__xludf.DUMMYFUNCTION("""COMPUTED_VALUE"""),"620-6")</f>
        <v>620-6</v>
      </c>
      <c r="Z918" s="215" t="str">
        <f>IFERROR(__xludf.DUMMYFUNCTION("""COMPUTED_VALUE"""),"https://cahema.pe/juego-de-desarmador/16797-juego-de-desarmadores-aislados-6-piezas-bahco-620-6-7314150128594.html")</f>
        <v>https://cahema.pe/juego-de-desarmador/16797-juego-de-desarmadores-aislados-6-piezas-bahco-620-6-7314150128594.html</v>
      </c>
      <c r="AA918" s="213" t="str">
        <f>IFERROR(__xludf.DUMMYFUNCTION("""COMPUTED_VALUE"""),"HER-140-Y JUEGO DE DESTORNILLADORES (6 DESTORNILLADORES) - CET")</f>
        <v>HER-140-Y JUEGO DE DESTORNILLADORES (6 DESTORNILLADORES) - CET</v>
      </c>
      <c r="AB918" s="213"/>
      <c r="AC918" s="213"/>
      <c r="AD918" s="213"/>
      <c r="AE918" s="213"/>
      <c r="AF918" s="213"/>
      <c r="AG918" s="213"/>
      <c r="AH918" s="213"/>
      <c r="AI918" s="213"/>
      <c r="AJ918" s="213"/>
      <c r="AK918" s="213"/>
      <c r="AL918" s="213"/>
      <c r="AM918" s="213"/>
      <c r="AN918" s="213"/>
      <c r="AO918" s="213"/>
      <c r="AP918" s="213" t="str">
        <f>IFERROR(__xludf.DUMMYFUNCTION("""COMPUTED_VALUE"""),"LUIS")</f>
        <v>LUIS</v>
      </c>
      <c r="AQ918" s="213"/>
      <c r="AR918" s="213"/>
      <c r="AS918" s="213"/>
      <c r="AT918" s="213"/>
      <c r="AU918" s="213"/>
      <c r="AV918" s="213"/>
      <c r="AW918" s="213"/>
      <c r="AX918" s="213"/>
      <c r="AY918" s="213"/>
      <c r="AZ918" s="213"/>
      <c r="BA918" s="213"/>
      <c r="BB918" s="213"/>
      <c r="BC918" s="213"/>
      <c r="BD918" s="213"/>
    </row>
    <row r="919">
      <c r="A919" s="213">
        <f>IFERROR(__xludf.DUMMYFUNCTION("""COMPUTED_VALUE"""),2255.0)</f>
        <v>2255</v>
      </c>
      <c r="B919" s="213" t="str">
        <f>IFERROR(__xludf.DUMMYFUNCTION("""COMPUTED_VALUE"""),"JOSE GRANDA")</f>
        <v>JOSE GRANDA</v>
      </c>
      <c r="C919" s="213" t="str">
        <f>IFERROR(__xludf.DUMMYFUNCTION("""COMPUTED_VALUE"""),"TALLER SFT DE MECÁNICA AUTOMOTRIZ")</f>
        <v>TALLER SFT DE MECÁNICA AUTOMOTRIZ</v>
      </c>
      <c r="D919" s="213" t="str">
        <f>IFERROR(__xludf.DUMMYFUNCTION("""COMPUTED_VALUE"""),"HERRAMIENTAS")</f>
        <v>HERRAMIENTAS</v>
      </c>
      <c r="E919" s="213" t="str">
        <f>IFERROR(__xludf.DUMMYFUNCTION("""COMPUTED_VALUE"""),"HER-140")</f>
        <v>HER-140</v>
      </c>
      <c r="F919" s="213" t="str">
        <f>IFERROR(__xludf.DUMMYFUNCTION("""COMPUTED_VALUE"""),"HER-140-Y")</f>
        <v>HER-140-Y</v>
      </c>
      <c r="G919" s="213"/>
      <c r="H919" s="213" t="str">
        <f>IFERROR(__xludf.DUMMYFUNCTION("""COMPUTED_VALUE"""),"JUEGO DE DESTORNILLADORES (6 DESTORNILLADORES)")</f>
        <v>JUEGO DE DESTORNILLADORES (6 DESTORNILLADORES)</v>
      </c>
      <c r="I919" s="213" t="str">
        <f>IFERROR(__xludf.DUMMYFUNCTION("""COMPUTED_VALUE"""),"Set de 6 destornilladores, con mango bimaterial con orificio integrado. Varilla fabricada de acero templado y cromado.
Punta con tratamiento anticorrosión. Composición y dimensiones:
Destornillador plano: 3 x 75 mm - 4 x 100 mm - 5,5 x 125 mm - 6,5 x 150 "&amp;"mm.
Destornillador Phillips: PH 1 x 100 mm - PH 2 x 125 mm.")</f>
        <v>Set de 6 destornilladores, con mango bimaterial con orificio integrado. Varilla fabricada de acero templado y cromado.
Punta con tratamiento anticorrosión. Composición y dimensiones:
Destornillador plano: 3 x 75 mm - 4 x 100 mm - 5,5 x 125 mm - 6,5 x 150 mm.
Destornillador Phillips: PH 1 x 100 mm - PH 2 x 125 mm.</v>
      </c>
      <c r="J919" s="213">
        <f>IFERROR(__xludf.DUMMYFUNCTION("""COMPUTED_VALUE"""),3.0)</f>
        <v>3</v>
      </c>
      <c r="K919" s="213" t="str">
        <f>IFERROR(__xludf.DUMMYFUNCTION("""COMPUTED_VALUE"""),"90 DÍAS CALENDARIO")</f>
        <v>90 DÍAS CALENDARIO</v>
      </c>
      <c r="L919" s="213" t="str">
        <f>IFERROR(__xludf.DUMMYFUNCTION("""COMPUTED_VALUE"""),"")</f>
        <v/>
      </c>
      <c r="M919" s="213">
        <f>IFERROR(__xludf.DUMMYFUNCTION("""COMPUTED_VALUE"""),1.0)</f>
        <v>1</v>
      </c>
      <c r="N919" s="213">
        <f>IFERROR(__xludf.DUMMYFUNCTION("""COMPUTED_VALUE"""),4.0)</f>
        <v>4</v>
      </c>
      <c r="O919" s="213">
        <f>IFERROR(__xludf.DUMMYFUNCTION("""COMPUTED_VALUE"""),4.0)</f>
        <v>4</v>
      </c>
      <c r="P919" s="213"/>
      <c r="Q919" s="213"/>
      <c r="R919" s="213" t="str">
        <f>IFERROR(__xludf.DUMMYFUNCTION("""COMPUTED_VALUE"""),"SI")</f>
        <v>SI</v>
      </c>
      <c r="S919" s="213"/>
      <c r="T919" s="213" t="str">
        <f>IFERROR(__xludf.DUMMYFUNCTION("""COMPUTED_VALUE"""),"SI")</f>
        <v>SI</v>
      </c>
      <c r="U919" s="213" t="str">
        <f>IFERROR(__xludf.DUMMYFUNCTION("""COMPUTED_VALUE"""),"SI")</f>
        <v>SI</v>
      </c>
      <c r="V919" s="213" t="str">
        <f>IFERROR(__xludf.DUMMYFUNCTION("""COMPUTED_VALUE"""),"-")</f>
        <v>-</v>
      </c>
      <c r="W919" s="213" t="str">
        <f>IFERROR(__xludf.DUMMYFUNCTION("""COMPUTED_VALUE"""),"-")</f>
        <v>-</v>
      </c>
      <c r="X919" s="213" t="str">
        <f>IFERROR(__xludf.DUMMYFUNCTION("""COMPUTED_VALUE"""),"BAHCO")</f>
        <v>BAHCO</v>
      </c>
      <c r="Y919" s="213" t="str">
        <f>IFERROR(__xludf.DUMMYFUNCTION("""COMPUTED_VALUE"""),"620-6")</f>
        <v>620-6</v>
      </c>
      <c r="Z919" s="215" t="str">
        <f>IFERROR(__xludf.DUMMYFUNCTION("""COMPUTED_VALUE"""),"https://cahema.pe/juego-de-desarmador/16797-juego-de-desarmadores-aislados-6-piezas-bahco-620-6-7314150128594.html")</f>
        <v>https://cahema.pe/juego-de-desarmador/16797-juego-de-desarmadores-aislados-6-piezas-bahco-620-6-7314150128594.html</v>
      </c>
      <c r="AA919" s="213" t="str">
        <f>IFERROR(__xludf.DUMMYFUNCTION("""COMPUTED_VALUE"""),"HER-140-Y JUEGO DE DESTORNILLADORES (6 DESTORNILLADORES) - CET")</f>
        <v>HER-140-Y JUEGO DE DESTORNILLADORES (6 DESTORNILLADORES) - CET</v>
      </c>
      <c r="AB919" s="213"/>
      <c r="AC919" s="213"/>
      <c r="AD919" s="213"/>
      <c r="AE919" s="213"/>
      <c r="AF919" s="213"/>
      <c r="AG919" s="213"/>
      <c r="AH919" s="213"/>
      <c r="AI919" s="213"/>
      <c r="AJ919" s="213"/>
      <c r="AK919" s="213"/>
      <c r="AL919" s="213"/>
      <c r="AM919" s="213"/>
      <c r="AN919" s="213"/>
      <c r="AO919" s="213"/>
      <c r="AP919" s="213" t="str">
        <f>IFERROR(__xludf.DUMMYFUNCTION("""COMPUTED_VALUE"""),"LUIS")</f>
        <v>LUIS</v>
      </c>
      <c r="AQ919" s="213"/>
      <c r="AR919" s="213"/>
      <c r="AS919" s="213"/>
      <c r="AT919" s="213"/>
      <c r="AU919" s="213"/>
      <c r="AV919" s="213"/>
      <c r="AW919" s="213"/>
      <c r="AX919" s="213"/>
      <c r="AY919" s="213"/>
      <c r="AZ919" s="213"/>
      <c r="BA919" s="213"/>
      <c r="BB919" s="213"/>
      <c r="BC919" s="213"/>
      <c r="BD919" s="213"/>
    </row>
    <row r="920">
      <c r="A920" s="213">
        <f>IFERROR(__xludf.DUMMYFUNCTION("""COMPUTED_VALUE"""),353.0)</f>
        <v>353</v>
      </c>
      <c r="B920" s="213" t="str">
        <f>IFERROR(__xludf.DUMMYFUNCTION("""COMPUTED_VALUE"""),"2026 SIMON BOLIVAR")</f>
        <v>2026 SIMON BOLIVAR</v>
      </c>
      <c r="C920" s="213" t="str">
        <f>IFERROR(__xludf.DUMMYFUNCTION("""COMPUTED_VALUE"""),"TALLER SFT DE ELECTRICIDAD")</f>
        <v>TALLER SFT DE ELECTRICIDAD</v>
      </c>
      <c r="D920" s="213" t="str">
        <f>IFERROR(__xludf.DUMMYFUNCTION("""COMPUTED_VALUE"""),"HERRAMIENTAS")</f>
        <v>HERRAMIENTAS</v>
      </c>
      <c r="E920" s="213" t="str">
        <f>IFERROR(__xludf.DUMMYFUNCTION("""COMPUTED_VALUE"""),"HER-141")</f>
        <v>HER-141</v>
      </c>
      <c r="F920" s="213" t="str">
        <f>IFERROR(__xludf.DUMMYFUNCTION("""COMPUTED_VALUE"""),"HER-141-X")</f>
        <v>HER-141-X</v>
      </c>
      <c r="G920" s="213"/>
      <c r="H920" s="213" t="str">
        <f>IFERROR(__xludf.DUMMYFUNCTION("""COMPUTED_VALUE"""),"JUEGO DE DESTORNILLADORES (8 DESTORNILLADORES)")</f>
        <v>JUEGO DE DESTORNILLADORES (8 DESTORNILLADORES)</v>
      </c>
      <c r="I920" s="213" t="str">
        <f>IFERROR(__xludf.DUMMYFUNCTION("""COMPUTED_VALUE"""),"· Características Técnicas:
- Conformado por 8 destornilladores dieléctricos, para trabajos en corriente eléctrica.
- Para trabajos en alta tensión de hasta 1000 V.
- Ejes metálicas fabricadas en acero al cromo-vanadio-molibdeno.
- Puntas imantadas.
- Ter"&amp;"minales con mango ergonómico bimaterial.
- Diseño para acceso en espacios reducidos.
· Composición y dimensiones aprox:
- Boca plana: 3 x 0.5 x 100, 4 x 0.8 x 100, 5.5 x 1 x 125 mm
- Boca Phillips: PH1 x 100, PH2 x 100 mm
- Boca pozidrive: PZ1 x 100, PZ2 "&amp;"x 100 mm
- Tester: 3 x 140 mm, voltaje testeable de 100 - 250 V.
- Estuche de plástico para almacenar")</f>
        <v>· Características Técnicas:
- Conformado por 8 destornilladores dieléctricos, para trabajos en corriente eléctrica.
- Para trabajos en alta tensión de hasta 1000 V.
- Ejes metálicas fabricadas en acero al cromo-vanadio-molibdeno.
- Puntas imantadas.
- Terminales con mango ergonómico bimaterial.
- Diseño para acceso en espacios reducidos.
· Composición y dimensiones aprox:
- Boca plana: 3 x 0.5 x 100, 4 x 0.8 x 100, 5.5 x 1 x 125 mm
- Boca Phillips: PH1 x 100, PH2 x 100 mm
- Boca pozidrive: PZ1 x 100, PZ2 x 100 mm
- Tester: 3 x 140 mm, voltaje testeable de 100 - 250 V.
- Estuche de plástico para almacenar</v>
      </c>
      <c r="J920" s="213">
        <f>IFERROR(__xludf.DUMMYFUNCTION("""COMPUTED_VALUE"""),3.0)</f>
        <v>3</v>
      </c>
      <c r="K920" s="213" t="str">
        <f>IFERROR(__xludf.DUMMYFUNCTION("""COMPUTED_VALUE"""),"90 DÍAS CALENDARIO")</f>
        <v>90 DÍAS CALENDARIO</v>
      </c>
      <c r="L920" s="213" t="str">
        <f>IFERROR(__xludf.DUMMYFUNCTION("""COMPUTED_VALUE"""),"")</f>
        <v/>
      </c>
      <c r="M920" s="213">
        <f>IFERROR(__xludf.DUMMYFUNCTION("""COMPUTED_VALUE"""),1.0)</f>
        <v>1</v>
      </c>
      <c r="N920" s="213">
        <f>IFERROR(__xludf.DUMMYFUNCTION("""COMPUTED_VALUE"""),5.0)</f>
        <v>5</v>
      </c>
      <c r="O920" s="213">
        <f>IFERROR(__xludf.DUMMYFUNCTION("""COMPUTED_VALUE"""),5.0)</f>
        <v>5</v>
      </c>
      <c r="P920" s="213"/>
      <c r="Q920" s="213"/>
      <c r="R920" s="213" t="str">
        <f>IFERROR(__xludf.DUMMYFUNCTION("""COMPUTED_VALUE"""),"SI")</f>
        <v>SI</v>
      </c>
      <c r="S920" s="213"/>
      <c r="T920" s="213" t="str">
        <f>IFERROR(__xludf.DUMMYFUNCTION("""COMPUTED_VALUE"""),"SI")</f>
        <v>SI</v>
      </c>
      <c r="U920" s="213" t="str">
        <f>IFERROR(__xludf.DUMMYFUNCTION("""COMPUTED_VALUE"""),"SI")</f>
        <v>SI</v>
      </c>
      <c r="V920" s="213" t="str">
        <f>IFERROR(__xludf.DUMMYFUNCTION("""COMPUTED_VALUE"""),"-")</f>
        <v>-</v>
      </c>
      <c r="W920" s="213" t="str">
        <f>IFERROR(__xludf.DUMMYFUNCTION("""COMPUTED_VALUE"""),"-")</f>
        <v>-</v>
      </c>
      <c r="X920" s="213" t="str">
        <f>IFERROR(__xludf.DUMMYFUNCTION("""COMPUTED_VALUE"""),"FACOM")</f>
        <v>FACOM</v>
      </c>
      <c r="Y920" s="213" t="str">
        <f>IFERROR(__xludf.DUMMYFUNCTION("""COMPUTED_VALUE"""),"FACOM")</f>
        <v>FACOM</v>
      </c>
      <c r="Z920" s="215" t="str">
        <f>IFERROR(__xludf.DUMMYFUNCTION("""COMPUTED_VALUE"""),"https://drive.google.com/file/d/1ZVuP_FXXVhE3RmYIK90hvoBHlGBD34EC/view")</f>
        <v>https://drive.google.com/file/d/1ZVuP_FXXVhE3RmYIK90hvoBHlGBD34EC/view</v>
      </c>
      <c r="AA920" s="213" t="str">
        <f>IFERROR(__xludf.DUMMYFUNCTION("""COMPUTED_VALUE"""),"HER-141-X JUEGO DE DESTORNILLADORES (8 DESTORNILLADORES) - CET")</f>
        <v>HER-141-X JUEGO DE DESTORNILLADORES (8 DESTORNILLADORES) - CET</v>
      </c>
      <c r="AB920" s="213"/>
      <c r="AC920" s="213"/>
      <c r="AD920" s="213"/>
      <c r="AE920" s="213"/>
      <c r="AF920" s="213"/>
      <c r="AG920" s="213"/>
      <c r="AH920" s="213"/>
      <c r="AI920" s="213"/>
      <c r="AJ920" s="213"/>
      <c r="AK920" s="213"/>
      <c r="AL920" s="213"/>
      <c r="AM920" s="213"/>
      <c r="AN920" s="213"/>
      <c r="AO920" s="213"/>
      <c r="AP920" s="213" t="str">
        <f>IFERROR(__xludf.DUMMYFUNCTION("""COMPUTED_VALUE"""),"LUIS")</f>
        <v>LUIS</v>
      </c>
      <c r="AQ920" s="213"/>
      <c r="AR920" s="213"/>
      <c r="AS920" s="213"/>
      <c r="AT920" s="213"/>
      <c r="AU920" s="213"/>
      <c r="AV920" s="213"/>
      <c r="AW920" s="213"/>
      <c r="AX920" s="213"/>
      <c r="AY920" s="213"/>
      <c r="AZ920" s="213"/>
      <c r="BA920" s="213"/>
      <c r="BB920" s="213"/>
      <c r="BC920" s="213"/>
      <c r="BD920" s="213"/>
    </row>
    <row r="921">
      <c r="A921" s="213">
        <f>IFERROR(__xludf.DUMMYFUNCTION("""COMPUTED_VALUE"""),636.0)</f>
        <v>636</v>
      </c>
      <c r="B921" s="213" t="str">
        <f>IFERROR(__xludf.DUMMYFUNCTION("""COMPUTED_VALUE"""),"6049 RICARDO PALMA")</f>
        <v>6049 RICARDO PALMA</v>
      </c>
      <c r="C921" s="213" t="str">
        <f>IFERROR(__xludf.DUMMYFUNCTION("""COMPUTED_VALUE"""),"TALLER SFT DE ELECTRÓNICA")</f>
        <v>TALLER SFT DE ELECTRÓNICA</v>
      </c>
      <c r="D921" s="213" t="str">
        <f>IFERROR(__xludf.DUMMYFUNCTION("""COMPUTED_VALUE"""),"HERRAMIENTAS")</f>
        <v>HERRAMIENTAS</v>
      </c>
      <c r="E921" s="213" t="str">
        <f>IFERROR(__xludf.DUMMYFUNCTION("""COMPUTED_VALUE"""),"HER-141")</f>
        <v>HER-141</v>
      </c>
      <c r="F921" s="213" t="str">
        <f>IFERROR(__xludf.DUMMYFUNCTION("""COMPUTED_VALUE"""),"HER-141-Y")</f>
        <v>HER-141-Y</v>
      </c>
      <c r="G921" s="213"/>
      <c r="H921" s="213" t="str">
        <f>IFERROR(__xludf.DUMMYFUNCTION("""COMPUTED_VALUE"""),"JUEGO DE DESTORNILLADORES (8 DESTORNILLADORES)")</f>
        <v>JUEGO DE DESTORNILLADORES (8 DESTORNILLADORES)</v>
      </c>
      <c r="I921" s="213" t="str">
        <f>IFERROR(__xludf.DUMMYFUNCTION("""COMPUTED_VALUE"""),"· El juego conformado por 8 destornilladores dieléctricos, para trabajos en corriente eléctrica
· Para trabajos en alta tensión de hasta 1000 V.
· Fabricadas en acero al cromo-vanadio-molibdeno.
· Con mango ergonómico bimaterial.
· Mejor acceso en espacio"&amp;"s reducidos
· Composición y dimensiones:
· Boca plana: 3 x 0.5 x 100, 4 x 0.8 x 100, 5.5 x 1 x 125 mm
· Boca phillips: PH1 x 100 mm, PH2 x 100 mm
· Boca pozidrive: PZ1 x 100 mm, PZ2 x 100 mm
· Tester: 3 x 140 mm, voltaje testable de 100 - 250 V.
· Estuche"&amp;" de plástico para almacenar.")</f>
        <v>· El juego conformado por 8 destornilladores dieléctricos, para trabajos en corriente eléctrica
· Para trabajos en alta tensión de hasta 1000 V.
· Fabricadas en acero al cromo-vanadio-molibdeno.
· Con mango ergonómico bimaterial.
· Mejor acceso en espacios reducidos
· Composición y dimensiones:
· Boca plana: 3 x 0.5 x 100, 4 x 0.8 x 100, 5.5 x 1 x 125 mm
· Boca phillips: PH1 x 100 mm, PH2 x 100 mm
· Boca pozidrive: PZ1 x 100 mm, PZ2 x 100 mm
· Tester: 3 x 140 mm, voltaje testable de 100 - 250 V.
· Estuche de plástico para almacenar.</v>
      </c>
      <c r="J921" s="213">
        <f>IFERROR(__xludf.DUMMYFUNCTION("""COMPUTED_VALUE"""),3.0)</f>
        <v>3</v>
      </c>
      <c r="K921" s="213" t="str">
        <f>IFERROR(__xludf.DUMMYFUNCTION("""COMPUTED_VALUE"""),"90 DÍAS CALENDARIO")</f>
        <v>90 DÍAS CALENDARIO</v>
      </c>
      <c r="L921" s="213" t="str">
        <f>IFERROR(__xludf.DUMMYFUNCTION("""COMPUTED_VALUE"""),"")</f>
        <v/>
      </c>
      <c r="M921" s="213">
        <f>IFERROR(__xludf.DUMMYFUNCTION("""COMPUTED_VALUE"""),1.0)</f>
        <v>1</v>
      </c>
      <c r="N921" s="213">
        <f>IFERROR(__xludf.DUMMYFUNCTION("""COMPUTED_VALUE"""),4.0)</f>
        <v>4</v>
      </c>
      <c r="O921" s="213">
        <f>IFERROR(__xludf.DUMMYFUNCTION("""COMPUTED_VALUE"""),4.0)</f>
        <v>4</v>
      </c>
      <c r="P921" s="213"/>
      <c r="Q921" s="213"/>
      <c r="R921" s="213" t="str">
        <f>IFERROR(__xludf.DUMMYFUNCTION("""COMPUTED_VALUE"""),"SI")</f>
        <v>SI</v>
      </c>
      <c r="S921" s="213"/>
      <c r="T921" s="213" t="str">
        <f>IFERROR(__xludf.DUMMYFUNCTION("""COMPUTED_VALUE"""),"SI")</f>
        <v>SI</v>
      </c>
      <c r="U921" s="213" t="str">
        <f>IFERROR(__xludf.DUMMYFUNCTION("""COMPUTED_VALUE"""),"SI")</f>
        <v>SI</v>
      </c>
      <c r="V921" s="213" t="str">
        <f>IFERROR(__xludf.DUMMYFUNCTION("""COMPUTED_VALUE"""),"-")</f>
        <v>-</v>
      </c>
      <c r="W921" s="213" t="str">
        <f>IFERROR(__xludf.DUMMYFUNCTION("""COMPUTED_VALUE"""),"-")</f>
        <v>-</v>
      </c>
      <c r="X921" s="213" t="str">
        <f>IFERROR(__xludf.DUMMYFUNCTION("""COMPUTED_VALUE"""),"FACOM")</f>
        <v>FACOM</v>
      </c>
      <c r="Y921" s="213" t="str">
        <f>IFERROR(__xludf.DUMMYFUNCTION("""COMPUTED_VALUE"""),"FACOM")</f>
        <v>FACOM</v>
      </c>
      <c r="Z921" s="215" t="str">
        <f>IFERROR(__xludf.DUMMYFUNCTION("""COMPUTED_VALUE"""),"https://drive.google.com/file/d/1ZVuP_FXXVhE3RmYIK90hvoBHlGBD34EC/view")</f>
        <v>https://drive.google.com/file/d/1ZVuP_FXXVhE3RmYIK90hvoBHlGBD34EC/view</v>
      </c>
      <c r="AA921" s="213" t="str">
        <f>IFERROR(__xludf.DUMMYFUNCTION("""COMPUTED_VALUE"""),"HER-141-Y JUEGO DE DESTORNILLADORES (8 DESTORNILLADORES) - CET")</f>
        <v>HER-141-Y JUEGO DE DESTORNILLADORES (8 DESTORNILLADORES) - CET</v>
      </c>
      <c r="AB921" s="213"/>
      <c r="AC921" s="213"/>
      <c r="AD921" s="213"/>
      <c r="AE921" s="213"/>
      <c r="AF921" s="213"/>
      <c r="AG921" s="213"/>
      <c r="AH921" s="213"/>
      <c r="AI921" s="213"/>
      <c r="AJ921" s="213"/>
      <c r="AK921" s="213"/>
      <c r="AL921" s="213"/>
      <c r="AM921" s="213"/>
      <c r="AN921" s="213"/>
      <c r="AO921" s="213"/>
      <c r="AP921" s="213" t="str">
        <f>IFERROR(__xludf.DUMMYFUNCTION("""COMPUTED_VALUE"""),"LUIS")</f>
        <v>LUIS</v>
      </c>
      <c r="AQ921" s="213"/>
      <c r="AR921" s="213"/>
      <c r="AS921" s="213"/>
      <c r="AT921" s="213"/>
      <c r="AU921" s="213"/>
      <c r="AV921" s="213"/>
      <c r="AW921" s="213"/>
      <c r="AX921" s="213"/>
      <c r="AY921" s="213"/>
      <c r="AZ921" s="213"/>
      <c r="BA921" s="213"/>
      <c r="BB921" s="213"/>
      <c r="BC921" s="213"/>
      <c r="BD921" s="213"/>
    </row>
    <row r="922">
      <c r="A922" s="213">
        <f>IFERROR(__xludf.DUMMYFUNCTION("""COMPUTED_VALUE"""),839.0)</f>
        <v>839</v>
      </c>
      <c r="B922" s="213" t="str">
        <f>IFERROR(__xludf.DUMMYFUNCTION("""COMPUTED_VALUE"""),"6049 RICARDO PALMA")</f>
        <v>6049 RICARDO PALMA</v>
      </c>
      <c r="C922" s="213" t="str">
        <f>IFERROR(__xludf.DUMMYFUNCTION("""COMPUTED_VALUE"""),"TALLER SFT DE ELECTRICIDAD")</f>
        <v>TALLER SFT DE ELECTRICIDAD</v>
      </c>
      <c r="D922" s="213" t="str">
        <f>IFERROR(__xludf.DUMMYFUNCTION("""COMPUTED_VALUE"""),"HERRAMIENTAS")</f>
        <v>HERRAMIENTAS</v>
      </c>
      <c r="E922" s="213" t="str">
        <f>IFERROR(__xludf.DUMMYFUNCTION("""COMPUTED_VALUE"""),"HER-141")</f>
        <v>HER-141</v>
      </c>
      <c r="F922" s="213" t="str">
        <f>IFERROR(__xludf.DUMMYFUNCTION("""COMPUTED_VALUE"""),"HER-141-X")</f>
        <v>HER-141-X</v>
      </c>
      <c r="G922" s="213"/>
      <c r="H922" s="213" t="str">
        <f>IFERROR(__xludf.DUMMYFUNCTION("""COMPUTED_VALUE"""),"JUEGO DE DESTORNILLADORES (8 DESTORNILLADORES)")</f>
        <v>JUEGO DE DESTORNILLADORES (8 DESTORNILLADORES)</v>
      </c>
      <c r="I922" s="213" t="str">
        <f>IFERROR(__xludf.DUMMYFUNCTION("""COMPUTED_VALUE"""),"· Características Técnicas:
- Conformado por 8 destornilladores dieléctricos, para trabajos en corriente eléctrica.
- Para trabajos en alta tensión de hasta 1000 V.
- Ejes metálicas fabricadas en acero al cromo-vanadio-molibdeno.
- Puntas imantadas.
- Ter"&amp;"minales con mango ergonómico bimaterial.
- Diseño para acceso en espacios reducidos.
· Composición y dimensiones aprox:
- Boca plana: 3 x 0.5 x 100, 4 x 0.8 x 100, 5.5 x 1 x 125 mm
- Boca Phillips: PH1 x 100, PH2 x 100 mm
- Boca pozidrive: PZ1 x 100, PZ2 "&amp;"x 100 mm
- Tester: 3 x 140 mm, voltaje testeable de 100 - 250 V.
- Estuche de plástico para almacenar")</f>
        <v>· Características Técnicas:
- Conformado por 8 destornilladores dieléctricos, para trabajos en corriente eléctrica.
- Para trabajos en alta tensión de hasta 1000 V.
- Ejes metálicas fabricadas en acero al cromo-vanadio-molibdeno.
- Puntas imantadas.
- Terminales con mango ergonómico bimaterial.
- Diseño para acceso en espacios reducidos.
· Composición y dimensiones aprox:
- Boca plana: 3 x 0.5 x 100, 4 x 0.8 x 100, 5.5 x 1 x 125 mm
- Boca Phillips: PH1 x 100, PH2 x 100 mm
- Boca pozidrive: PZ1 x 100, PZ2 x 100 mm
- Tester: 3 x 140 mm, voltaje testeable de 100 - 250 V.
- Estuche de plástico para almacenar</v>
      </c>
      <c r="J922" s="213">
        <f>IFERROR(__xludf.DUMMYFUNCTION("""COMPUTED_VALUE"""),3.0)</f>
        <v>3</v>
      </c>
      <c r="K922" s="213" t="str">
        <f>IFERROR(__xludf.DUMMYFUNCTION("""COMPUTED_VALUE"""),"90 DÍAS CALENDARIO")</f>
        <v>90 DÍAS CALENDARIO</v>
      </c>
      <c r="L922" s="213" t="str">
        <f>IFERROR(__xludf.DUMMYFUNCTION("""COMPUTED_VALUE"""),"")</f>
        <v/>
      </c>
      <c r="M922" s="213">
        <f>IFERROR(__xludf.DUMMYFUNCTION("""COMPUTED_VALUE"""),1.0)</f>
        <v>1</v>
      </c>
      <c r="N922" s="213">
        <f>IFERROR(__xludf.DUMMYFUNCTION("""COMPUTED_VALUE"""),5.0)</f>
        <v>5</v>
      </c>
      <c r="O922" s="213">
        <f>IFERROR(__xludf.DUMMYFUNCTION("""COMPUTED_VALUE"""),5.0)</f>
        <v>5</v>
      </c>
      <c r="P922" s="213"/>
      <c r="Q922" s="213"/>
      <c r="R922" s="213" t="str">
        <f>IFERROR(__xludf.DUMMYFUNCTION("""COMPUTED_VALUE"""),"SI")</f>
        <v>SI</v>
      </c>
      <c r="S922" s="213"/>
      <c r="T922" s="213" t="str">
        <f>IFERROR(__xludf.DUMMYFUNCTION("""COMPUTED_VALUE"""),"SI")</f>
        <v>SI</v>
      </c>
      <c r="U922" s="213" t="str">
        <f>IFERROR(__xludf.DUMMYFUNCTION("""COMPUTED_VALUE"""),"SI")</f>
        <v>SI</v>
      </c>
      <c r="V922" s="213" t="str">
        <f>IFERROR(__xludf.DUMMYFUNCTION("""COMPUTED_VALUE"""),"-")</f>
        <v>-</v>
      </c>
      <c r="W922" s="213" t="str">
        <f>IFERROR(__xludf.DUMMYFUNCTION("""COMPUTED_VALUE"""),"-")</f>
        <v>-</v>
      </c>
      <c r="X922" s="213" t="str">
        <f>IFERROR(__xludf.DUMMYFUNCTION("""COMPUTED_VALUE"""),"FACOM")</f>
        <v>FACOM</v>
      </c>
      <c r="Y922" s="213" t="str">
        <f>IFERROR(__xludf.DUMMYFUNCTION("""COMPUTED_VALUE"""),"FACOM")</f>
        <v>FACOM</v>
      </c>
      <c r="Z922" s="215" t="str">
        <f>IFERROR(__xludf.DUMMYFUNCTION("""COMPUTED_VALUE"""),"https://drive.google.com/file/d/1ZVuP_FXXVhE3RmYIK90hvoBHlGBD34EC/view")</f>
        <v>https://drive.google.com/file/d/1ZVuP_FXXVhE3RmYIK90hvoBHlGBD34EC/view</v>
      </c>
      <c r="AA922" s="213" t="str">
        <f>IFERROR(__xludf.DUMMYFUNCTION("""COMPUTED_VALUE"""),"HER-141-X JUEGO DE DESTORNILLADORES (8 DESTORNILLADORES) - CET")</f>
        <v>HER-141-X JUEGO DE DESTORNILLADORES (8 DESTORNILLADORES) - CET</v>
      </c>
      <c r="AB922" s="213"/>
      <c r="AC922" s="213"/>
      <c r="AD922" s="213"/>
      <c r="AE922" s="213"/>
      <c r="AF922" s="213"/>
      <c r="AG922" s="213"/>
      <c r="AH922" s="213"/>
      <c r="AI922" s="213"/>
      <c r="AJ922" s="213"/>
      <c r="AK922" s="213"/>
      <c r="AL922" s="213"/>
      <c r="AM922" s="213"/>
      <c r="AN922" s="213"/>
      <c r="AO922" s="213"/>
      <c r="AP922" s="213" t="str">
        <f>IFERROR(__xludf.DUMMYFUNCTION("""COMPUTED_VALUE"""),"LUIS")</f>
        <v>LUIS</v>
      </c>
      <c r="AQ922" s="213"/>
      <c r="AR922" s="213"/>
      <c r="AS922" s="213"/>
      <c r="AT922" s="213"/>
      <c r="AU922" s="213"/>
      <c r="AV922" s="213"/>
      <c r="AW922" s="213"/>
      <c r="AX922" s="213"/>
      <c r="AY922" s="213"/>
      <c r="AZ922" s="213"/>
      <c r="BA922" s="213"/>
      <c r="BB922" s="213"/>
      <c r="BC922" s="213"/>
      <c r="BD922" s="213"/>
    </row>
    <row r="923">
      <c r="A923" s="213">
        <f>IFERROR(__xludf.DUMMYFUNCTION("""COMPUTED_VALUE"""),1261.0)</f>
        <v>1261</v>
      </c>
      <c r="B923" s="213" t="str">
        <f>IFERROR(__xludf.DUMMYFUNCTION("""COMPUTED_VALUE"""),"GUILLERMO E. BILLINGHURST ")</f>
        <v>GUILLERMO E. BILLINGHURST </v>
      </c>
      <c r="C923" s="213" t="str">
        <f>IFERROR(__xludf.DUMMYFUNCTION("""COMPUTED_VALUE"""),"TALLER SFT DE ELECTRICIDAD")</f>
        <v>TALLER SFT DE ELECTRICIDAD</v>
      </c>
      <c r="D923" s="213" t="str">
        <f>IFERROR(__xludf.DUMMYFUNCTION("""COMPUTED_VALUE"""),"HERRAMIENTAS")</f>
        <v>HERRAMIENTAS</v>
      </c>
      <c r="E923" s="213" t="str">
        <f>IFERROR(__xludf.DUMMYFUNCTION("""COMPUTED_VALUE"""),"HER-141")</f>
        <v>HER-141</v>
      </c>
      <c r="F923" s="213" t="str">
        <f>IFERROR(__xludf.DUMMYFUNCTION("""COMPUTED_VALUE"""),"HER-141-X")</f>
        <v>HER-141-X</v>
      </c>
      <c r="G923" s="213"/>
      <c r="H923" s="213" t="str">
        <f>IFERROR(__xludf.DUMMYFUNCTION("""COMPUTED_VALUE"""),"JUEGO DE DESTORNILLADORES (8 DESTORNILLADORES)")</f>
        <v>JUEGO DE DESTORNILLADORES (8 DESTORNILLADORES)</v>
      </c>
      <c r="I923" s="213" t="str">
        <f>IFERROR(__xludf.DUMMYFUNCTION("""COMPUTED_VALUE"""),"· Características Técnicas:
- Conformado por 8 destornilladores dieléctricos, para trabajos en corriente eléctrica.
- Para trabajos en alta tensión de hasta 1000 V.
- Ejes metálicas fabricadas en acero al cromo-vanadio-molibdeno.
- Puntas imantadas.
- Ter"&amp;"minales con mango ergonómico bimaterial.
- Diseño para acceso en espacios reducidos.
· Composición y dimensiones aprox:
- Boca plana: 3 x 0.5 x 100, 4 x 0.8 x 100, 5.5 x 1 x 125 mm
- Boca Phillips: PH1 x 100, PH2 x 100 mm
- Boca pozidrive: PZ1 x 100, PZ2 "&amp;"x 100 mm
- Tester: 3 x 140 mm, voltaje testeable de 100 - 250 V.
- Estuche de plástico para almacenar")</f>
        <v>· Características Técnicas:
- Conformado por 8 destornilladores dieléctricos, para trabajos en corriente eléctrica.
- Para trabajos en alta tensión de hasta 1000 V.
- Ejes metálicas fabricadas en acero al cromo-vanadio-molibdeno.
- Puntas imantadas.
- Terminales con mango ergonómico bimaterial.
- Diseño para acceso en espacios reducidos.
· Composición y dimensiones aprox:
- Boca plana: 3 x 0.5 x 100, 4 x 0.8 x 100, 5.5 x 1 x 125 mm
- Boca Phillips: PH1 x 100, PH2 x 100 mm
- Boca pozidrive: PZ1 x 100, PZ2 x 100 mm
- Tester: 3 x 140 mm, voltaje testeable de 100 - 250 V.
- Estuche de plástico para almacenar</v>
      </c>
      <c r="J923" s="213">
        <f>IFERROR(__xludf.DUMMYFUNCTION("""COMPUTED_VALUE"""),3.0)</f>
        <v>3</v>
      </c>
      <c r="K923" s="213" t="str">
        <f>IFERROR(__xludf.DUMMYFUNCTION("""COMPUTED_VALUE"""),"90 DÍAS CALENDARIO")</f>
        <v>90 DÍAS CALENDARIO</v>
      </c>
      <c r="L923" s="213" t="str">
        <f>IFERROR(__xludf.DUMMYFUNCTION("""COMPUTED_VALUE"""),"")</f>
        <v/>
      </c>
      <c r="M923" s="213">
        <f>IFERROR(__xludf.DUMMYFUNCTION("""COMPUTED_VALUE"""),1.0)</f>
        <v>1</v>
      </c>
      <c r="N923" s="213">
        <f>IFERROR(__xludf.DUMMYFUNCTION("""COMPUTED_VALUE"""),5.0)</f>
        <v>5</v>
      </c>
      <c r="O923" s="213">
        <f>IFERROR(__xludf.DUMMYFUNCTION("""COMPUTED_VALUE"""),5.0)</f>
        <v>5</v>
      </c>
      <c r="P923" s="213"/>
      <c r="Q923" s="213"/>
      <c r="R923" s="213" t="str">
        <f>IFERROR(__xludf.DUMMYFUNCTION("""COMPUTED_VALUE"""),"SI")</f>
        <v>SI</v>
      </c>
      <c r="S923" s="213"/>
      <c r="T923" s="213" t="str">
        <f>IFERROR(__xludf.DUMMYFUNCTION("""COMPUTED_VALUE"""),"SI")</f>
        <v>SI</v>
      </c>
      <c r="U923" s="213" t="str">
        <f>IFERROR(__xludf.DUMMYFUNCTION("""COMPUTED_VALUE"""),"SI")</f>
        <v>SI</v>
      </c>
      <c r="V923" s="213" t="str">
        <f>IFERROR(__xludf.DUMMYFUNCTION("""COMPUTED_VALUE"""),"-")</f>
        <v>-</v>
      </c>
      <c r="W923" s="213" t="str">
        <f>IFERROR(__xludf.DUMMYFUNCTION("""COMPUTED_VALUE"""),"-")</f>
        <v>-</v>
      </c>
      <c r="X923" s="213" t="str">
        <f>IFERROR(__xludf.DUMMYFUNCTION("""COMPUTED_VALUE"""),"FACOM")</f>
        <v>FACOM</v>
      </c>
      <c r="Y923" s="213" t="str">
        <f>IFERROR(__xludf.DUMMYFUNCTION("""COMPUTED_VALUE"""),"FACOM")</f>
        <v>FACOM</v>
      </c>
      <c r="Z923" s="215" t="str">
        <f>IFERROR(__xludf.DUMMYFUNCTION("""COMPUTED_VALUE"""),"https://drive.google.com/file/d/1ZVuP_FXXVhE3RmYIK90hvoBHlGBD34EC/view")</f>
        <v>https://drive.google.com/file/d/1ZVuP_FXXVhE3RmYIK90hvoBHlGBD34EC/view</v>
      </c>
      <c r="AA923" s="213" t="str">
        <f>IFERROR(__xludf.DUMMYFUNCTION("""COMPUTED_VALUE"""),"HER-141-X JUEGO DE DESTORNILLADORES (8 DESTORNILLADORES) - CET")</f>
        <v>HER-141-X JUEGO DE DESTORNILLADORES (8 DESTORNILLADORES) - CET</v>
      </c>
      <c r="AB923" s="213"/>
      <c r="AC923" s="213"/>
      <c r="AD923" s="213"/>
      <c r="AE923" s="213"/>
      <c r="AF923" s="213"/>
      <c r="AG923" s="213"/>
      <c r="AH923" s="213"/>
      <c r="AI923" s="213"/>
      <c r="AJ923" s="213"/>
      <c r="AK923" s="213"/>
      <c r="AL923" s="213"/>
      <c r="AM923" s="213"/>
      <c r="AN923" s="213"/>
      <c r="AO923" s="213"/>
      <c r="AP923" s="213" t="str">
        <f>IFERROR(__xludf.DUMMYFUNCTION("""COMPUTED_VALUE"""),"LUIS")</f>
        <v>LUIS</v>
      </c>
      <c r="AQ923" s="213"/>
      <c r="AR923" s="213"/>
      <c r="AS923" s="213"/>
      <c r="AT923" s="213"/>
      <c r="AU923" s="213"/>
      <c r="AV923" s="213"/>
      <c r="AW923" s="213"/>
      <c r="AX923" s="213"/>
      <c r="AY923" s="213"/>
      <c r="AZ923" s="213"/>
      <c r="BA923" s="213"/>
      <c r="BB923" s="213"/>
      <c r="BC923" s="213"/>
      <c r="BD923" s="213"/>
    </row>
    <row r="924">
      <c r="A924" s="213">
        <f>IFERROR(__xludf.DUMMYFUNCTION("""COMPUTED_VALUE"""),637.0)</f>
        <v>637</v>
      </c>
      <c r="B924" s="213" t="str">
        <f>IFERROR(__xludf.DUMMYFUNCTION("""COMPUTED_VALUE"""),"6049 RICARDO PALMA")</f>
        <v>6049 RICARDO PALMA</v>
      </c>
      <c r="C924" s="213" t="str">
        <f>IFERROR(__xludf.DUMMYFUNCTION("""COMPUTED_VALUE"""),"TALLER SFT DE ELECTRÓNICA")</f>
        <v>TALLER SFT DE ELECTRÓNICA</v>
      </c>
      <c r="D924" s="213" t="str">
        <f>IFERROR(__xludf.DUMMYFUNCTION("""COMPUTED_VALUE"""),"HERRAMIENTAS")</f>
        <v>HERRAMIENTAS</v>
      </c>
      <c r="E924" s="213" t="str">
        <f>IFERROR(__xludf.DUMMYFUNCTION("""COMPUTED_VALUE"""),"HER-142")</f>
        <v>HER-142</v>
      </c>
      <c r="F924" s="213" t="str">
        <f>IFERROR(__xludf.DUMMYFUNCTION("""COMPUTED_VALUE"""),"HER-142")</f>
        <v>HER-142</v>
      </c>
      <c r="G924" s="213"/>
      <c r="H924" s="213" t="str">
        <f>IFERROR(__xludf.DUMMYFUNCTION("""COMPUTED_VALUE"""),"JUEGO DE DESTORNILLADORES DE PRECISIÓN")</f>
        <v>JUEGO DE DESTORNILLADORES DE PRECISIÓN</v>
      </c>
      <c r="I924" s="213" t="str">
        <f>IFERROR(__xludf.DUMMYFUNCTION("""COMPUTED_VALUE"""),"· Juego de 15 piezas de destornilladores de precisión, para tornillos tipo: ranurados, estrella (Phillips), estrella de 6 puntas (TORX) y hexagonales.
· Mango con cabeza giratoria que permite un giro rápido y cómodo con los dedos.
· Puntas fabricadas en a"&amp;"leación de acero cromo vanadio.
· La medida de los destornilladores planos es mínima: 1,4; 1,8; 2,4 mm.
· La medida de los destornilladores estrella (PH) es mínimo: PH00, PH0, PH1.
· La medida de los destornilladores estrella de 6 puntas (T), es mínimo: T"&amp;"5, T6, T7, T8, T9, T10.
· La medida de los destornilladores hexagonales (H), es mínimo: 1.5 mm, 2 mm, 2.5 mm.
· Incluye estuche.")</f>
        <v>· Juego de 15 piezas de destornilladores de precisión, para tornillos tipo: ranurados, estrella (Phillips), estrella de 6 puntas (TORX) y hexagonales.
· Mango con cabeza giratoria que permite un giro rápido y cómodo con los dedos.
· Puntas fabricadas en aleación de acero cromo vanadio.
· La medida de los destornilladores planos es mínima: 1,4; 1,8; 2,4 mm.
· La medida de los destornilladores estrella (PH) es mínimo: PH00, PH0, PH1.
· La medida de los destornilladores estrella de 6 puntas (T), es mínimo: T5, T6, T7, T8, T9, T10.
· La medida de los destornilladores hexagonales (H), es mínimo: 1.5 mm, 2 mm, 2.5 mm.
· Incluye estuche.</v>
      </c>
      <c r="J924" s="213">
        <f>IFERROR(__xludf.DUMMYFUNCTION("""COMPUTED_VALUE"""),3.0)</f>
        <v>3</v>
      </c>
      <c r="K924" s="213" t="str">
        <f>IFERROR(__xludf.DUMMYFUNCTION("""COMPUTED_VALUE"""),"90 DÍAS CALENDARIO")</f>
        <v>90 DÍAS CALENDARIO</v>
      </c>
      <c r="L924" s="213" t="str">
        <f>IFERROR(__xludf.DUMMYFUNCTION("""COMPUTED_VALUE"""),"")</f>
        <v/>
      </c>
      <c r="M924" s="213">
        <f>IFERROR(__xludf.DUMMYFUNCTION("""COMPUTED_VALUE"""),1.0)</f>
        <v>1</v>
      </c>
      <c r="N924" s="213">
        <f>IFERROR(__xludf.DUMMYFUNCTION("""COMPUTED_VALUE"""),4.0)</f>
        <v>4</v>
      </c>
      <c r="O924" s="213">
        <f>IFERROR(__xludf.DUMMYFUNCTION("""COMPUTED_VALUE"""),4.0)</f>
        <v>4</v>
      </c>
      <c r="P924" s="213"/>
      <c r="Q924" s="213"/>
      <c r="R924" s="213" t="str">
        <f>IFERROR(__xludf.DUMMYFUNCTION("""COMPUTED_VALUE"""),"SI")</f>
        <v>SI</v>
      </c>
      <c r="S924" s="213"/>
      <c r="T924" s="213" t="str">
        <f>IFERROR(__xludf.DUMMYFUNCTION("""COMPUTED_VALUE"""),"SI")</f>
        <v>SI</v>
      </c>
      <c r="U924" s="213" t="str">
        <f>IFERROR(__xludf.DUMMYFUNCTION("""COMPUTED_VALUE"""),"SI")</f>
        <v>SI</v>
      </c>
      <c r="V924" s="213" t="str">
        <f>IFERROR(__xludf.DUMMYFUNCTION("""COMPUTED_VALUE"""),"-")</f>
        <v>-</v>
      </c>
      <c r="W924" s="213" t="str">
        <f>IFERROR(__xludf.DUMMYFUNCTION("""COMPUTED_VALUE"""),"-")</f>
        <v>-</v>
      </c>
      <c r="X924" s="213" t="str">
        <f>IFERROR(__xludf.DUMMYFUNCTION("""COMPUTED_VALUE"""),"TRUPER")</f>
        <v>TRUPER</v>
      </c>
      <c r="Y924" s="213">
        <f>IFERROR(__xludf.DUMMYFUNCTION("""COMPUTED_VALUE"""),14157.0)</f>
        <v>14157</v>
      </c>
      <c r="Z924" s="215" t="str">
        <f>IFERROR(__xludf.DUMMYFUNCTION("""COMPUTED_VALUE"""),"https://seir.com.gt/producto/juego-con-15-desarmadores-largos-de-precision/?srsltid=AfmBOopYZrlcTXe__7De22TEO5gqOq4BpA_YHIYPR63WzB_TPQ9tzeLj")</f>
        <v>https://seir.com.gt/producto/juego-con-15-desarmadores-largos-de-precision/?srsltid=AfmBOopYZrlcTXe__7De22TEO5gqOq4BpA_YHIYPR63WzB_TPQ9tzeLj</v>
      </c>
      <c r="AA924" s="213" t="str">
        <f>IFERROR(__xludf.DUMMYFUNCTION("""COMPUTED_VALUE"""),"HER-142 JUEGO DE DESTORNILLADORES DE PRECISIÓN - CET")</f>
        <v>HER-142 JUEGO DE DESTORNILLADORES DE PRECISIÓN - CET</v>
      </c>
      <c r="AB924" s="213"/>
      <c r="AC924" s="213"/>
      <c r="AD924" s="213"/>
      <c r="AE924" s="213"/>
      <c r="AF924" s="213"/>
      <c r="AG924" s="213"/>
      <c r="AH924" s="213"/>
      <c r="AI924" s="213"/>
      <c r="AJ924" s="213"/>
      <c r="AK924" s="213"/>
      <c r="AL924" s="213"/>
      <c r="AM924" s="213"/>
      <c r="AN924" s="213"/>
      <c r="AO924" s="213"/>
      <c r="AP924" s="213" t="str">
        <f>IFERROR(__xludf.DUMMYFUNCTION("""COMPUTED_VALUE"""),"LUIS")</f>
        <v>LUIS</v>
      </c>
      <c r="AQ924" s="213"/>
      <c r="AR924" s="213"/>
      <c r="AS924" s="213"/>
      <c r="AT924" s="213"/>
      <c r="AU924" s="213"/>
      <c r="AV924" s="213"/>
      <c r="AW924" s="213"/>
      <c r="AX924" s="213"/>
      <c r="AY924" s="213"/>
      <c r="AZ924" s="213"/>
      <c r="BA924" s="213"/>
      <c r="BB924" s="213"/>
      <c r="BC924" s="213"/>
      <c r="BD924" s="213"/>
    </row>
    <row r="925">
      <c r="A925" s="213">
        <f>IFERROR(__xludf.DUMMYFUNCTION("""COMPUTED_VALUE"""),1804.0)</f>
        <v>1804</v>
      </c>
      <c r="B925" s="213" t="str">
        <f>IFERROR(__xludf.DUMMYFUNCTION("""COMPUTED_VALUE"""),"GUILLERMO E. BILLINGHURST ")</f>
        <v>GUILLERMO E. BILLINGHURST </v>
      </c>
      <c r="C925" s="213" t="str">
        <f>IFERROR(__xludf.DUMMYFUNCTION("""COMPUTED_VALUE"""),"TALLER SFT DE EBANISTERÍA")</f>
        <v>TALLER SFT DE EBANISTERÍA</v>
      </c>
      <c r="D925" s="213" t="str">
        <f>IFERROR(__xludf.DUMMYFUNCTION("""COMPUTED_VALUE"""),"HERRAMIENTAS")</f>
        <v>HERRAMIENTAS</v>
      </c>
      <c r="E925" s="213" t="str">
        <f>IFERROR(__xludf.DUMMYFUNCTION("""COMPUTED_VALUE"""),"HER-143")</f>
        <v>HER-143</v>
      </c>
      <c r="F925" s="213" t="str">
        <f>IFERROR(__xludf.DUMMYFUNCTION("""COMPUTED_VALUE"""),"HER-143")</f>
        <v>HER-143</v>
      </c>
      <c r="G925" s="213"/>
      <c r="H925" s="213" t="str">
        <f>IFERROR(__xludf.DUMMYFUNCTION("""COMPUTED_VALUE"""),"JUEGO DE ESCOFINA")</f>
        <v>JUEGO DE ESCOFINA</v>
      </c>
      <c r="I925" s="213" t="str">
        <f>IFERROR(__xludf.DUMMYFUNCTION("""COMPUTED_VALUE"""),"Fabricado en acero.
Mango bimaterial con diseño ergonómico. Longitud de las escofinas, mínimo: 200 mm.
Compuesto por 3 escofinas de formas: Plana paralela, media caña, redonda. Tipo de picado: Entrefino.")</f>
        <v>Fabricado en acero.
Mango bimaterial con diseño ergonómico. Longitud de las escofinas, mínimo: 200 mm.
Compuesto por 3 escofinas de formas: Plana paralela, media caña, redonda. Tipo de picado: Entrefino.</v>
      </c>
      <c r="J925" s="213">
        <f>IFERROR(__xludf.DUMMYFUNCTION("""COMPUTED_VALUE"""),3.0)</f>
        <v>3</v>
      </c>
      <c r="K925" s="213" t="str">
        <f>IFERROR(__xludf.DUMMYFUNCTION("""COMPUTED_VALUE"""),"90 DÍAS CALENDARIO")</f>
        <v>90 DÍAS CALENDARIO</v>
      </c>
      <c r="L925" s="213" t="str">
        <f>IFERROR(__xludf.DUMMYFUNCTION("""COMPUTED_VALUE"""),"")</f>
        <v/>
      </c>
      <c r="M925" s="213">
        <f>IFERROR(__xludf.DUMMYFUNCTION("""COMPUTED_VALUE"""),1.0)</f>
        <v>1</v>
      </c>
      <c r="N925" s="213">
        <f>IFERROR(__xludf.DUMMYFUNCTION("""COMPUTED_VALUE"""),4.0)</f>
        <v>4</v>
      </c>
      <c r="O925" s="213">
        <f>IFERROR(__xludf.DUMMYFUNCTION("""COMPUTED_VALUE"""),4.0)</f>
        <v>4</v>
      </c>
      <c r="P925" s="213"/>
      <c r="Q925" s="213"/>
      <c r="R925" s="213" t="str">
        <f>IFERROR(__xludf.DUMMYFUNCTION("""COMPUTED_VALUE"""),"SI")</f>
        <v>SI</v>
      </c>
      <c r="S925" s="213"/>
      <c r="T925" s="213" t="str">
        <f>IFERROR(__xludf.DUMMYFUNCTION("""COMPUTED_VALUE"""),"SI")</f>
        <v>SI</v>
      </c>
      <c r="U925" s="213" t="str">
        <f>IFERROR(__xludf.DUMMYFUNCTION("""COMPUTED_VALUE"""),"SI")</f>
        <v>SI</v>
      </c>
      <c r="V925" s="213" t="str">
        <f>IFERROR(__xludf.DUMMYFUNCTION("""COMPUTED_VALUE"""),"-")</f>
        <v>-</v>
      </c>
      <c r="W925" s="213" t="str">
        <f>IFERROR(__xludf.DUMMYFUNCTION("""COMPUTED_VALUE"""),"-")</f>
        <v>-</v>
      </c>
      <c r="X925" s="213" t="str">
        <f>IFERROR(__xludf.DUMMYFUNCTION("""COMPUTED_VALUE"""),"Kamasa")</f>
        <v>Kamasa</v>
      </c>
      <c r="Y925" s="213" t="str">
        <f>IFERROR(__xludf.DUMMYFUNCTION("""COMPUTED_VALUE"""),"KM756")</f>
        <v>KM756</v>
      </c>
      <c r="Z925" s="215" t="str">
        <f>IFERROR(__xludf.DUMMYFUNCTION("""COMPUTED_VALUE"""),"https://www.mercadolibre.com.pe/juego-de-limas-escofinas-10-3pzs-goma-kamasa/p/MPE50680164")</f>
        <v>https://www.mercadolibre.com.pe/juego-de-limas-escofinas-10-3pzs-goma-kamasa/p/MPE50680164</v>
      </c>
      <c r="AA925" s="213" t="str">
        <f>IFERROR(__xludf.DUMMYFUNCTION("""COMPUTED_VALUE"""),"HER-143 JUEGO DE ESCOFINA- CET")</f>
        <v>HER-143 JUEGO DE ESCOFINA- CET</v>
      </c>
      <c r="AB925" s="213"/>
      <c r="AC925" s="213"/>
      <c r="AD925" s="213"/>
      <c r="AE925" s="213"/>
      <c r="AF925" s="213"/>
      <c r="AG925" s="213"/>
      <c r="AH925" s="213"/>
      <c r="AI925" s="213"/>
      <c r="AJ925" s="213"/>
      <c r="AK925" s="213"/>
      <c r="AL925" s="213"/>
      <c r="AM925" s="213"/>
      <c r="AN925" s="213"/>
      <c r="AO925" s="213"/>
      <c r="AP925" s="213" t="str">
        <f>IFERROR(__xludf.DUMMYFUNCTION("""COMPUTED_VALUE"""),"SEBASTIAN")</f>
        <v>SEBASTIAN</v>
      </c>
      <c r="AQ925" s="213"/>
      <c r="AR925" s="213"/>
      <c r="AS925" s="213"/>
      <c r="AT925" s="213"/>
      <c r="AU925" s="213"/>
      <c r="AV925" s="213"/>
      <c r="AW925" s="213"/>
      <c r="AX925" s="213"/>
      <c r="AY925" s="213"/>
      <c r="AZ925" s="213"/>
      <c r="BA925" s="213"/>
      <c r="BB925" s="213"/>
      <c r="BC925" s="213"/>
      <c r="BD925" s="213"/>
    </row>
    <row r="926">
      <c r="A926" s="213">
        <f>IFERROR(__xludf.DUMMYFUNCTION("""COMPUTED_VALUE"""),2586.0)</f>
        <v>2586</v>
      </c>
      <c r="B926" s="213" t="str">
        <f>IFERROR(__xludf.DUMMYFUNCTION("""COMPUTED_VALUE"""),"MANUEL ANTONIO MESONES MURO")</f>
        <v>MANUEL ANTONIO MESONES MURO</v>
      </c>
      <c r="C926" s="213" t="str">
        <f>IFERROR(__xludf.DUMMYFUNCTION("""COMPUTED_VALUE"""),"TALLER SFT DE EBANISTERÍA")</f>
        <v>TALLER SFT DE EBANISTERÍA</v>
      </c>
      <c r="D926" s="213" t="str">
        <f>IFERROR(__xludf.DUMMYFUNCTION("""COMPUTED_VALUE"""),"HERRAMIENTAS")</f>
        <v>HERRAMIENTAS</v>
      </c>
      <c r="E926" s="213" t="str">
        <f>IFERROR(__xludf.DUMMYFUNCTION("""COMPUTED_VALUE"""),"HER-143")</f>
        <v>HER-143</v>
      </c>
      <c r="F926" s="213" t="str">
        <f>IFERROR(__xludf.DUMMYFUNCTION("""COMPUTED_VALUE"""),"HER-143")</f>
        <v>HER-143</v>
      </c>
      <c r="G926" s="213"/>
      <c r="H926" s="213" t="str">
        <f>IFERROR(__xludf.DUMMYFUNCTION("""COMPUTED_VALUE"""),"JUEGO DE ESCOFINA")</f>
        <v>JUEGO DE ESCOFINA</v>
      </c>
      <c r="I926" s="213" t="str">
        <f>IFERROR(__xludf.DUMMYFUNCTION("""COMPUTED_VALUE"""),"Fabricado en acero.
Mango bimaterial con diseño ergonómico. Longitud de las escofinas, mínimo: 200 mm.
Compuesto por 3 escofinas de formas: Plana paralela, media caña, redonda. Tipo de picado: Entrefino.")</f>
        <v>Fabricado en acero.
Mango bimaterial con diseño ergonómico. Longitud de las escofinas, mínimo: 200 mm.
Compuesto por 3 escofinas de formas: Plana paralela, media caña, redonda. Tipo de picado: Entrefino.</v>
      </c>
      <c r="J926" s="213">
        <f>IFERROR(__xludf.DUMMYFUNCTION("""COMPUTED_VALUE"""),3.0)</f>
        <v>3</v>
      </c>
      <c r="K926" s="213" t="str">
        <f>IFERROR(__xludf.DUMMYFUNCTION("""COMPUTED_VALUE"""),"90 DÍAS CALENDARIO")</f>
        <v>90 DÍAS CALENDARIO</v>
      </c>
      <c r="L926" s="213" t="str">
        <f>IFERROR(__xludf.DUMMYFUNCTION("""COMPUTED_VALUE"""),"")</f>
        <v/>
      </c>
      <c r="M926" s="213">
        <f>IFERROR(__xludf.DUMMYFUNCTION("""COMPUTED_VALUE"""),1.0)</f>
        <v>1</v>
      </c>
      <c r="N926" s="213">
        <f>IFERROR(__xludf.DUMMYFUNCTION("""COMPUTED_VALUE"""),4.0)</f>
        <v>4</v>
      </c>
      <c r="O926" s="213">
        <f>IFERROR(__xludf.DUMMYFUNCTION("""COMPUTED_VALUE"""),4.0)</f>
        <v>4</v>
      </c>
      <c r="P926" s="213"/>
      <c r="Q926" s="213"/>
      <c r="R926" s="213" t="str">
        <f>IFERROR(__xludf.DUMMYFUNCTION("""COMPUTED_VALUE"""),"SI")</f>
        <v>SI</v>
      </c>
      <c r="S926" s="213"/>
      <c r="T926" s="213" t="str">
        <f>IFERROR(__xludf.DUMMYFUNCTION("""COMPUTED_VALUE"""),"SI")</f>
        <v>SI</v>
      </c>
      <c r="U926" s="213" t="str">
        <f>IFERROR(__xludf.DUMMYFUNCTION("""COMPUTED_VALUE"""),"SI")</f>
        <v>SI</v>
      </c>
      <c r="V926" s="213" t="str">
        <f>IFERROR(__xludf.DUMMYFUNCTION("""COMPUTED_VALUE"""),"-")</f>
        <v>-</v>
      </c>
      <c r="W926" s="213" t="str">
        <f>IFERROR(__xludf.DUMMYFUNCTION("""COMPUTED_VALUE"""),"-")</f>
        <v>-</v>
      </c>
      <c r="X926" s="213" t="str">
        <f>IFERROR(__xludf.DUMMYFUNCTION("""COMPUTED_VALUE"""),"Kamasa")</f>
        <v>Kamasa</v>
      </c>
      <c r="Y926" s="213" t="str">
        <f>IFERROR(__xludf.DUMMYFUNCTION("""COMPUTED_VALUE"""),"KM756")</f>
        <v>KM756</v>
      </c>
      <c r="Z926" s="215" t="str">
        <f>IFERROR(__xludf.DUMMYFUNCTION("""COMPUTED_VALUE"""),"https://www.mercadolibre.com.pe/juego-de-limas-escofinas-10-3pzs-goma-kamasa/p/MPE50680164")</f>
        <v>https://www.mercadolibre.com.pe/juego-de-limas-escofinas-10-3pzs-goma-kamasa/p/MPE50680164</v>
      </c>
      <c r="AA926" s="213" t="str">
        <f>IFERROR(__xludf.DUMMYFUNCTION("""COMPUTED_VALUE"""),"HER-143 JUEGO DE ESCOFINA- CET")</f>
        <v>HER-143 JUEGO DE ESCOFINA- CET</v>
      </c>
      <c r="AB926" s="213"/>
      <c r="AC926" s="213"/>
      <c r="AD926" s="213"/>
      <c r="AE926" s="213"/>
      <c r="AF926" s="213"/>
      <c r="AG926" s="213"/>
      <c r="AH926" s="213"/>
      <c r="AI926" s="213"/>
      <c r="AJ926" s="213"/>
      <c r="AK926" s="213"/>
      <c r="AL926" s="213"/>
      <c r="AM926" s="213"/>
      <c r="AN926" s="213"/>
      <c r="AO926" s="213"/>
      <c r="AP926" s="213" t="str">
        <f>IFERROR(__xludf.DUMMYFUNCTION("""COMPUTED_VALUE"""),"SEBASTIAN")</f>
        <v>SEBASTIAN</v>
      </c>
      <c r="AQ926" s="213"/>
      <c r="AR926" s="213"/>
      <c r="AS926" s="213"/>
      <c r="AT926" s="213"/>
      <c r="AU926" s="213"/>
      <c r="AV926" s="213"/>
      <c r="AW926" s="213"/>
      <c r="AX926" s="213"/>
      <c r="AY926" s="213"/>
      <c r="AZ926" s="213"/>
      <c r="BA926" s="213"/>
      <c r="BB926" s="213"/>
      <c r="BC926" s="213"/>
      <c r="BD926" s="213"/>
    </row>
    <row r="927">
      <c r="A927" s="213">
        <f>IFERROR(__xludf.DUMMYFUNCTION("""COMPUTED_VALUE"""),1803.0)</f>
        <v>1803</v>
      </c>
      <c r="B927" s="213" t="str">
        <f>IFERROR(__xludf.DUMMYFUNCTION("""COMPUTED_VALUE"""),"GUILLERMO E. BILLINGHURST ")</f>
        <v>GUILLERMO E. BILLINGHURST </v>
      </c>
      <c r="C927" s="213" t="str">
        <f>IFERROR(__xludf.DUMMYFUNCTION("""COMPUTED_VALUE"""),"TALLER SFT DE EBANISTERÍA")</f>
        <v>TALLER SFT DE EBANISTERÍA</v>
      </c>
      <c r="D927" s="213" t="str">
        <f>IFERROR(__xludf.DUMMYFUNCTION("""COMPUTED_VALUE"""),"HERRAMIENTAS")</f>
        <v>HERRAMIENTAS</v>
      </c>
      <c r="E927" s="213" t="str">
        <f>IFERROR(__xludf.DUMMYFUNCTION("""COMPUTED_VALUE"""),"HER-144")</f>
        <v>HER-144</v>
      </c>
      <c r="F927" s="213" t="str">
        <f>IFERROR(__xludf.DUMMYFUNCTION("""COMPUTED_VALUE"""),"HER-144")</f>
        <v>HER-144</v>
      </c>
      <c r="G927" s="213"/>
      <c r="H927" s="213" t="str">
        <f>IFERROR(__xludf.DUMMYFUNCTION("""COMPUTED_VALUE"""),"JUEGO DE FORMONES")</f>
        <v>JUEGO DE FORMONES</v>
      </c>
      <c r="I927" s="213" t="str">
        <f>IFERROR(__xludf.DUMMYFUNCTION("""COMPUTED_VALUE"""),"Hojas de acero de alta calidad.
Mango de madera con casquillo de metal.
En las hojas el formón tiene un diseño biselado en los bordes laterales.
El Juego esta compuesto por 5 piezas de medidas: 6 mm, 10mm, 12mm, 18mm, 25 mm.")</f>
        <v>Hojas de acero de alta calidad.
Mango de madera con casquillo de metal.
En las hojas el formón tiene un diseño biselado en los bordes laterales.
El Juego esta compuesto por 5 piezas de medidas: 6 mm, 10mm, 12mm, 18mm, 25 mm.</v>
      </c>
      <c r="J927" s="213">
        <f>IFERROR(__xludf.DUMMYFUNCTION("""COMPUTED_VALUE"""),3.0)</f>
        <v>3</v>
      </c>
      <c r="K927" s="213" t="str">
        <f>IFERROR(__xludf.DUMMYFUNCTION("""COMPUTED_VALUE"""),"90 DÍAS CALENDARIO")</f>
        <v>90 DÍAS CALENDARIO</v>
      </c>
      <c r="L927" s="213" t="str">
        <f>IFERROR(__xludf.DUMMYFUNCTION("""COMPUTED_VALUE"""),"")</f>
        <v/>
      </c>
      <c r="M927" s="213">
        <f>IFERROR(__xludf.DUMMYFUNCTION("""COMPUTED_VALUE"""),1.0)</f>
        <v>1</v>
      </c>
      <c r="N927" s="213">
        <f>IFERROR(__xludf.DUMMYFUNCTION("""COMPUTED_VALUE"""),4.0)</f>
        <v>4</v>
      </c>
      <c r="O927" s="213">
        <f>IFERROR(__xludf.DUMMYFUNCTION("""COMPUTED_VALUE"""),4.0)</f>
        <v>4</v>
      </c>
      <c r="P927" s="213"/>
      <c r="Q927" s="213"/>
      <c r="R927" s="213" t="str">
        <f>IFERROR(__xludf.DUMMYFUNCTION("""COMPUTED_VALUE"""),"SI")</f>
        <v>SI</v>
      </c>
      <c r="S927" s="213"/>
      <c r="T927" s="213" t="str">
        <f>IFERROR(__xludf.DUMMYFUNCTION("""COMPUTED_VALUE"""),"SI")</f>
        <v>SI</v>
      </c>
      <c r="U927" s="213" t="str">
        <f>IFERROR(__xludf.DUMMYFUNCTION("""COMPUTED_VALUE"""),"SI")</f>
        <v>SI</v>
      </c>
      <c r="V927" s="213" t="str">
        <f>IFERROR(__xludf.DUMMYFUNCTION("""COMPUTED_VALUE"""),"-")</f>
        <v>-</v>
      </c>
      <c r="W927" s="213" t="str">
        <f>IFERROR(__xludf.DUMMYFUNCTION("""COMPUTED_VALUE"""),"-")</f>
        <v>-</v>
      </c>
      <c r="X927" s="213" t="str">
        <f>IFERROR(__xludf.DUMMYFUNCTION("""COMPUTED_VALUE"""),"Stanley")</f>
        <v>Stanley</v>
      </c>
      <c r="Y927" s="213" t="str">
        <f>IFERROR(__xludf.DUMMYFUNCTION("""COMPUTED_VALUE"""),"2-16-888")</f>
        <v>2-16-888</v>
      </c>
      <c r="Z927" s="215" t="str">
        <f>IFERROR(__xludf.DUMMYFUNCTION("""COMPUTED_VALUE"""),"https://es.rubix.com/es/juego-de-formones-dynagrip-5-piezas-6-12-18-25-32mm/p-G1337001002")</f>
        <v>https://es.rubix.com/es/juego-de-formones-dynagrip-5-piezas-6-12-18-25-32mm/p-G1337001002</v>
      </c>
      <c r="AA927" s="213" t="str">
        <f>IFERROR(__xludf.DUMMYFUNCTION("""COMPUTED_VALUE"""),"HER-144 JUEGO DE FORMONES- CET")</f>
        <v>HER-144 JUEGO DE FORMONES- CET</v>
      </c>
      <c r="AB927" s="213"/>
      <c r="AC927" s="213"/>
      <c r="AD927" s="213"/>
      <c r="AE927" s="213"/>
      <c r="AF927" s="213"/>
      <c r="AG927" s="213"/>
      <c r="AH927" s="213"/>
      <c r="AI927" s="213"/>
      <c r="AJ927" s="213"/>
      <c r="AK927" s="213"/>
      <c r="AL927" s="213"/>
      <c r="AM927" s="213"/>
      <c r="AN927" s="213"/>
      <c r="AO927" s="213"/>
      <c r="AP927" s="213" t="str">
        <f>IFERROR(__xludf.DUMMYFUNCTION("""COMPUTED_VALUE"""),"SEBASTIAN")</f>
        <v>SEBASTIAN</v>
      </c>
      <c r="AQ927" s="213"/>
      <c r="AR927" s="213"/>
      <c r="AS927" s="213"/>
      <c r="AT927" s="213"/>
      <c r="AU927" s="213"/>
      <c r="AV927" s="213"/>
      <c r="AW927" s="213"/>
      <c r="AX927" s="213"/>
      <c r="AY927" s="213"/>
      <c r="AZ927" s="213"/>
      <c r="BA927" s="213"/>
      <c r="BB927" s="213"/>
      <c r="BC927" s="213"/>
      <c r="BD927" s="213"/>
    </row>
    <row r="928">
      <c r="A928" s="213">
        <f>IFERROR(__xludf.DUMMYFUNCTION("""COMPUTED_VALUE"""),322.0)</f>
        <v>322</v>
      </c>
      <c r="B928" s="213" t="str">
        <f>IFERROR(__xludf.DUMMYFUNCTION("""COMPUTED_VALUE"""),"2026 SIMON BOLIVAR")</f>
        <v>2026 SIMON BOLIVAR</v>
      </c>
      <c r="C928" s="213" t="str">
        <f>IFERROR(__xludf.DUMMYFUNCTION("""COMPUTED_VALUE"""),"TALLER SFT DE COMPUTACIÓN E INFORMÁTICA")</f>
        <v>TALLER SFT DE COMPUTACIÓN E INFORMÁTICA</v>
      </c>
      <c r="D928" s="213" t="str">
        <f>IFERROR(__xludf.DUMMYFUNCTION("""COMPUTED_VALUE"""),"EQUIPOS")</f>
        <v>EQUIPOS</v>
      </c>
      <c r="E928" s="213" t="str">
        <f>IFERROR(__xludf.DUMMYFUNCTION("""COMPUTED_VALUE"""),"ESP-194")</f>
        <v>ESP-194</v>
      </c>
      <c r="F928" s="213" t="str">
        <f>IFERROR(__xludf.DUMMYFUNCTION("""COMPUTED_VALUE"""),"ESP-194")</f>
        <v>ESP-194</v>
      </c>
      <c r="G928" s="213"/>
      <c r="H928" s="213" t="str">
        <f>IFERROR(__xludf.DUMMYFUNCTION("""COMPUTED_VALUE"""),"JUEGO DE CABLES UTP")</f>
        <v>JUEGO DE CABLES UTP</v>
      </c>
      <c r="I928" s="213" t="str">
        <f>IFERROR(__xludf.DUMMYFUNCTION("""COMPUTED_VALUE"""),"Juego de Cable Cat.6A :
Calibre del conductor 24 AWG
·  Compuesto de 4 pares de hilos de cobre trenzados
·  Máxima velocidad en aplicaciones de transmisión de datos de redes LAN
·  Rollo de 305 m.
Calibre del conductor 23 AWG
·  Compuesto de 4 pares de hi"&amp;"los de cobre trenzados
·  Máxima velocidad en aplicaciones de transmisión de datos de redes LAN
·  Rollo de 305 m.")</f>
        <v>Juego de Cable Cat.6A :
Calibre del conductor 24 AWG
·  Compuesto de 4 pares de hilos de cobre trenzados
·  Máxima velocidad en aplicaciones de transmisión de datos de redes LAN
·  Rollo de 305 m.
Calibre del conductor 23 AWG
·  Compuesto de 4 pares de hilos de cobre trenzados
·  Máxima velocidad en aplicaciones de transmisión de datos de redes LAN
·  Rollo de 305 m.</v>
      </c>
      <c r="J928" s="213">
        <f>IFERROR(__xludf.DUMMYFUNCTION("""COMPUTED_VALUE"""),3.0)</f>
        <v>3</v>
      </c>
      <c r="K928" s="213" t="str">
        <f>IFERROR(__xludf.DUMMYFUNCTION("""COMPUTED_VALUE"""),"170 DÍAS CALENDARIO")</f>
        <v>170 DÍAS CALENDARIO</v>
      </c>
      <c r="L928" s="213" t="str">
        <f>IFERROR(__xludf.DUMMYFUNCTION("""COMPUTED_VALUE"""),"")</f>
        <v/>
      </c>
      <c r="M928" s="213">
        <f>IFERROR(__xludf.DUMMYFUNCTION("""COMPUTED_VALUE"""),1.0)</f>
        <v>1</v>
      </c>
      <c r="N928" s="213">
        <f>IFERROR(__xludf.DUMMYFUNCTION("""COMPUTED_VALUE"""),1.0)</f>
        <v>1</v>
      </c>
      <c r="O928" s="213">
        <f>IFERROR(__xludf.DUMMYFUNCTION("""COMPUTED_VALUE"""),1.0)</f>
        <v>1</v>
      </c>
      <c r="P928" s="213"/>
      <c r="Q928" s="213"/>
      <c r="R928" s="213"/>
      <c r="S928" s="213" t="str">
        <f>IFERROR(__xludf.DUMMYFUNCTION("""COMPUTED_VALUE"""),"SI")</f>
        <v>SI</v>
      </c>
      <c r="T928" s="213" t="str">
        <f>IFERROR(__xludf.DUMMYFUNCTION("""COMPUTED_VALUE"""),"SI")</f>
        <v>SI</v>
      </c>
      <c r="U928" s="213" t="str">
        <f>IFERROR(__xludf.DUMMYFUNCTION("""COMPUTED_VALUE"""),"SI")</f>
        <v>SI</v>
      </c>
      <c r="V928" s="213" t="str">
        <f>IFERROR(__xludf.DUMMYFUNCTION("""COMPUTED_VALUE"""),"-")</f>
        <v>-</v>
      </c>
      <c r="W928" s="213" t="str">
        <f>IFERROR(__xludf.DUMMYFUNCTION("""COMPUTED_VALUE"""),"-")</f>
        <v>-</v>
      </c>
      <c r="X928" s="213" t="str">
        <f>IFERROR(__xludf.DUMMYFUNCTION("""COMPUTED_VALUE"""),"COMMSCOPE + PANDUIT")</f>
        <v>COMMSCOPE + PANDUIT</v>
      </c>
      <c r="Y928" s="213" t="str">
        <f>IFERROR(__xludf.DUMMYFUNCTION("""COMPUTED_VALUE"""),"884047004/10 + PFL6X04WH-CEG")</f>
        <v>884047004/10 + PFL6X04WH-CEG</v>
      </c>
      <c r="Z928" s="215" t="str">
        <f>IFERROR(__xludf.DUMMYFUNCTION("""COMPUTED_VALUE"""),"https://www.commscope.com/product-type/cables/twisted-pair-cables/category-6a-cables/item884047004-10/")</f>
        <v>https://www.commscope.com/product-type/cables/twisted-pair-cables/category-6a-cables/item884047004-10/</v>
      </c>
      <c r="AA928" s="213" t="str">
        <f>IFERROR(__xludf.DUMMYFUNCTION("""COMPUTED_VALUE"""),"ESP-194 JUEGO DE CABLES UTP - CET")</f>
        <v>ESP-194 JUEGO DE CABLES UTP - CET</v>
      </c>
      <c r="AB928" s="215" t="str">
        <f>IFERROR(__xludf.DUMMYFUNCTION("""COMPUTED_VALUE"""),"https://drive.google.com/file/d/1xbDBa8TvCgYIDv1-vxDR8vpY7DwcCk6g/view?usp=drive_link")</f>
        <v>https://drive.google.com/file/d/1xbDBa8TvCgYIDv1-vxDR8vpY7DwcCk6g/view?usp=drive_link</v>
      </c>
      <c r="AC928" s="213"/>
      <c r="AD928" s="213"/>
      <c r="AE928" s="213"/>
      <c r="AF928" s="213"/>
      <c r="AG928" s="213"/>
      <c r="AH928" s="213"/>
      <c r="AI928" s="213"/>
      <c r="AJ928" s="213"/>
      <c r="AK928" s="213"/>
      <c r="AL928" s="213"/>
      <c r="AM928" s="213"/>
      <c r="AN928" s="213"/>
      <c r="AO928" s="213"/>
      <c r="AP928" s="213" t="str">
        <f>IFERROR(__xludf.DUMMYFUNCTION("""COMPUTED_VALUE"""),"MICHEL")</f>
        <v>MICHEL</v>
      </c>
      <c r="AQ928" s="213" t="str">
        <f>IFERROR(__xludf.DUMMYFUNCTION("""COMPUTED_VALUE"""),"Tener en cuenta que dos rollos de diferente calibre conforman un ítem")</f>
        <v>Tener en cuenta que dos rollos de diferente calibre conforman un ítem</v>
      </c>
      <c r="AR928" s="213"/>
      <c r="AS928" s="213"/>
      <c r="AT928" s="213"/>
      <c r="AU928" s="213"/>
      <c r="AV928" s="213"/>
      <c r="AW928" s="213"/>
      <c r="AX928" s="213"/>
      <c r="AY928" s="213"/>
      <c r="AZ928" s="213"/>
      <c r="BA928" s="213"/>
      <c r="BB928" s="213"/>
      <c r="BC928" s="213"/>
      <c r="BD928" s="213"/>
    </row>
    <row r="929">
      <c r="A929" s="213">
        <f>IFERROR(__xludf.DUMMYFUNCTION("""COMPUTED_VALUE"""),808.0)</f>
        <v>808</v>
      </c>
      <c r="B929" s="213" t="str">
        <f>IFERROR(__xludf.DUMMYFUNCTION("""COMPUTED_VALUE"""),"6049 RICARDO PALMA")</f>
        <v>6049 RICARDO PALMA</v>
      </c>
      <c r="C929" s="213" t="str">
        <f>IFERROR(__xludf.DUMMYFUNCTION("""COMPUTED_VALUE"""),"TALLER SFT DE COMPUTACIÓN E INFORMÁTICA")</f>
        <v>TALLER SFT DE COMPUTACIÓN E INFORMÁTICA</v>
      </c>
      <c r="D929" s="213" t="str">
        <f>IFERROR(__xludf.DUMMYFUNCTION("""COMPUTED_VALUE"""),"EQUIPOS")</f>
        <v>EQUIPOS</v>
      </c>
      <c r="E929" s="213" t="str">
        <f>IFERROR(__xludf.DUMMYFUNCTION("""COMPUTED_VALUE"""),"ESP-194")</f>
        <v>ESP-194</v>
      </c>
      <c r="F929" s="213" t="str">
        <f>IFERROR(__xludf.DUMMYFUNCTION("""COMPUTED_VALUE"""),"ESP-194")</f>
        <v>ESP-194</v>
      </c>
      <c r="G929" s="213"/>
      <c r="H929" s="213" t="str">
        <f>IFERROR(__xludf.DUMMYFUNCTION("""COMPUTED_VALUE"""),"JUEGO DE CABLES UTP")</f>
        <v>JUEGO DE CABLES UTP</v>
      </c>
      <c r="I929" s="213" t="str">
        <f>IFERROR(__xludf.DUMMYFUNCTION("""COMPUTED_VALUE"""),"Juego de Cable Cat.6A :
Calibre del conductor 24 AWG
·  Compuesto de 4 pares de hilos de cobre trenzados
·  Máxima velocidad en aplicaciones de transmisión de datos de redes LAN
·  Rollo de 305 m.
Calibre del conductor 23 AWG
·  Compuesto de 4 pares de hi"&amp;"los de cobre trenzados
·  Máxima velocidad en aplicaciones de transmisión de datos de redes LAN
·  Rollo de 305 m.")</f>
        <v>Juego de Cable Cat.6A :
Calibre del conductor 24 AWG
·  Compuesto de 4 pares de hilos de cobre trenzados
·  Máxima velocidad en aplicaciones de transmisión de datos de redes LAN
·  Rollo de 305 m.
Calibre del conductor 23 AWG
·  Compuesto de 4 pares de hilos de cobre trenzados
·  Máxima velocidad en aplicaciones de transmisión de datos de redes LAN
·  Rollo de 305 m.</v>
      </c>
      <c r="J929" s="213">
        <f>IFERROR(__xludf.DUMMYFUNCTION("""COMPUTED_VALUE"""),3.0)</f>
        <v>3</v>
      </c>
      <c r="K929" s="213" t="str">
        <f>IFERROR(__xludf.DUMMYFUNCTION("""COMPUTED_VALUE"""),"170 DÍAS CALENDARIO")</f>
        <v>170 DÍAS CALENDARIO</v>
      </c>
      <c r="L929" s="213" t="str">
        <f>IFERROR(__xludf.DUMMYFUNCTION("""COMPUTED_VALUE"""),"")</f>
        <v/>
      </c>
      <c r="M929" s="213">
        <f>IFERROR(__xludf.DUMMYFUNCTION("""COMPUTED_VALUE"""),1.0)</f>
        <v>1</v>
      </c>
      <c r="N929" s="213">
        <f>IFERROR(__xludf.DUMMYFUNCTION("""COMPUTED_VALUE"""),1.0)</f>
        <v>1</v>
      </c>
      <c r="O929" s="213">
        <f>IFERROR(__xludf.DUMMYFUNCTION("""COMPUTED_VALUE"""),1.0)</f>
        <v>1</v>
      </c>
      <c r="P929" s="213"/>
      <c r="Q929" s="213"/>
      <c r="R929" s="213"/>
      <c r="S929" s="213" t="str">
        <f>IFERROR(__xludf.DUMMYFUNCTION("""COMPUTED_VALUE"""),"SI")</f>
        <v>SI</v>
      </c>
      <c r="T929" s="213" t="str">
        <f>IFERROR(__xludf.DUMMYFUNCTION("""COMPUTED_VALUE"""),"SI")</f>
        <v>SI</v>
      </c>
      <c r="U929" s="213" t="str">
        <f>IFERROR(__xludf.DUMMYFUNCTION("""COMPUTED_VALUE"""),"SI")</f>
        <v>SI</v>
      </c>
      <c r="V929" s="213" t="str">
        <f>IFERROR(__xludf.DUMMYFUNCTION("""COMPUTED_VALUE"""),"-")</f>
        <v>-</v>
      </c>
      <c r="W929" s="213" t="str">
        <f>IFERROR(__xludf.DUMMYFUNCTION("""COMPUTED_VALUE"""),"-")</f>
        <v>-</v>
      </c>
      <c r="X929" s="213" t="str">
        <f>IFERROR(__xludf.DUMMYFUNCTION("""COMPUTED_VALUE"""),"COMMSCOPE + PANDUIT")</f>
        <v>COMMSCOPE + PANDUIT</v>
      </c>
      <c r="Y929" s="213" t="str">
        <f>IFERROR(__xludf.DUMMYFUNCTION("""COMPUTED_VALUE"""),"884047004/10 + PFL6X04WH-CEG")</f>
        <v>884047004/10 + PFL6X04WH-CEG</v>
      </c>
      <c r="Z929" s="215" t="str">
        <f>IFERROR(__xludf.DUMMYFUNCTION("""COMPUTED_VALUE"""),"https://www.commscope.com/product-type/cables/twisted-pair-cables/category-6a-cables/item884047004-10/")</f>
        <v>https://www.commscope.com/product-type/cables/twisted-pair-cables/category-6a-cables/item884047004-10/</v>
      </c>
      <c r="AA929" s="213" t="str">
        <f>IFERROR(__xludf.DUMMYFUNCTION("""COMPUTED_VALUE"""),"ESP-194 JUEGO DE CABLES UTP - CET")</f>
        <v>ESP-194 JUEGO DE CABLES UTP - CET</v>
      </c>
      <c r="AB929" s="215" t="str">
        <f>IFERROR(__xludf.DUMMYFUNCTION("""COMPUTED_VALUE"""),"https://drive.google.com/file/d/1xbDBa8TvCgYIDv1-vxDR8vpY7DwcCk6g/view?usp=drive_link")</f>
        <v>https://drive.google.com/file/d/1xbDBa8TvCgYIDv1-vxDR8vpY7DwcCk6g/view?usp=drive_link</v>
      </c>
      <c r="AC929" s="213"/>
      <c r="AD929" s="213"/>
      <c r="AE929" s="213"/>
      <c r="AF929" s="213"/>
      <c r="AG929" s="213"/>
      <c r="AH929" s="213"/>
      <c r="AI929" s="213"/>
      <c r="AJ929" s="213"/>
      <c r="AK929" s="213"/>
      <c r="AL929" s="213"/>
      <c r="AM929" s="213"/>
      <c r="AN929" s="213"/>
      <c r="AO929" s="213"/>
      <c r="AP929" s="213" t="str">
        <f>IFERROR(__xludf.DUMMYFUNCTION("""COMPUTED_VALUE"""),"MICHEL")</f>
        <v>MICHEL</v>
      </c>
      <c r="AQ929" s="213" t="str">
        <f>IFERROR(__xludf.DUMMYFUNCTION("""COMPUTED_VALUE"""),"Tener en cuenta que dos rollos de diferente calibre conforman un ítem")</f>
        <v>Tener en cuenta que dos rollos de diferente calibre conforman un ítem</v>
      </c>
      <c r="AR929" s="213"/>
      <c r="AS929" s="213"/>
      <c r="AT929" s="213"/>
      <c r="AU929" s="213"/>
      <c r="AV929" s="213"/>
      <c r="AW929" s="213"/>
      <c r="AX929" s="213"/>
      <c r="AY929" s="213"/>
      <c r="AZ929" s="213"/>
      <c r="BA929" s="213"/>
      <c r="BB929" s="213"/>
      <c r="BC929" s="213"/>
      <c r="BD929" s="213"/>
    </row>
    <row r="930">
      <c r="A930" s="213">
        <f>IFERROR(__xludf.DUMMYFUNCTION("""COMPUTED_VALUE"""),1745.0)</f>
        <v>1745</v>
      </c>
      <c r="B930" s="213" t="str">
        <f>IFERROR(__xludf.DUMMYFUNCTION("""COMPUTED_VALUE"""),"GUILLERMO E. BILLINGHURST ")</f>
        <v>GUILLERMO E. BILLINGHURST </v>
      </c>
      <c r="C930" s="213" t="str">
        <f>IFERROR(__xludf.DUMMYFUNCTION("""COMPUTED_VALUE"""),"TALLER SFT DE COMPUTACIÓN E INFORMÁTICA")</f>
        <v>TALLER SFT DE COMPUTACIÓN E INFORMÁTICA</v>
      </c>
      <c r="D930" s="213" t="str">
        <f>IFERROR(__xludf.DUMMYFUNCTION("""COMPUTED_VALUE"""),"EQUIPOS")</f>
        <v>EQUIPOS</v>
      </c>
      <c r="E930" s="213" t="str">
        <f>IFERROR(__xludf.DUMMYFUNCTION("""COMPUTED_VALUE"""),"ESP-194")</f>
        <v>ESP-194</v>
      </c>
      <c r="F930" s="213" t="str">
        <f>IFERROR(__xludf.DUMMYFUNCTION("""COMPUTED_VALUE"""),"ESP-194")</f>
        <v>ESP-194</v>
      </c>
      <c r="G930" s="213"/>
      <c r="H930" s="213" t="str">
        <f>IFERROR(__xludf.DUMMYFUNCTION("""COMPUTED_VALUE"""),"JUEGO DE CABLES UTP")</f>
        <v>JUEGO DE CABLES UTP</v>
      </c>
      <c r="I930" s="213" t="str">
        <f>IFERROR(__xludf.DUMMYFUNCTION("""COMPUTED_VALUE"""),"Juego de Cable Cat.6A :
Calibre del conductor 24 AWG
·  Compuesto de 4 pares de hilos de cobre trenzados
·  Máxima velocidad en aplicaciones de transmisión de datos de redes LAN
·  Rollo de 305 m.
Calibre del conductor 23 AWG
·  Compuesto de 4 pares de hi"&amp;"los de cobre trenzados
·  Máxima velocidad en aplicaciones de transmisión de datos de redes LAN
·  Rollo de 305 m.")</f>
        <v>Juego de Cable Cat.6A :
Calibre del conductor 24 AWG
·  Compuesto de 4 pares de hilos de cobre trenzados
·  Máxima velocidad en aplicaciones de transmisión de datos de redes LAN
·  Rollo de 305 m.
Calibre del conductor 23 AWG
·  Compuesto de 4 pares de hilos de cobre trenzados
·  Máxima velocidad en aplicaciones de transmisión de datos de redes LAN
·  Rollo de 305 m.</v>
      </c>
      <c r="J930" s="213">
        <f>IFERROR(__xludf.DUMMYFUNCTION("""COMPUTED_VALUE"""),3.0)</f>
        <v>3</v>
      </c>
      <c r="K930" s="213" t="str">
        <f>IFERROR(__xludf.DUMMYFUNCTION("""COMPUTED_VALUE"""),"170 DÍAS CALENDARIO")</f>
        <v>170 DÍAS CALENDARIO</v>
      </c>
      <c r="L930" s="213" t="str">
        <f>IFERROR(__xludf.DUMMYFUNCTION("""COMPUTED_VALUE"""),"")</f>
        <v/>
      </c>
      <c r="M930" s="213">
        <f>IFERROR(__xludf.DUMMYFUNCTION("""COMPUTED_VALUE"""),1.0)</f>
        <v>1</v>
      </c>
      <c r="N930" s="213">
        <f>IFERROR(__xludf.DUMMYFUNCTION("""COMPUTED_VALUE"""),1.0)</f>
        <v>1</v>
      </c>
      <c r="O930" s="213">
        <f>IFERROR(__xludf.DUMMYFUNCTION("""COMPUTED_VALUE"""),1.0)</f>
        <v>1</v>
      </c>
      <c r="P930" s="213"/>
      <c r="Q930" s="213"/>
      <c r="R930" s="213"/>
      <c r="S930" s="213" t="str">
        <f>IFERROR(__xludf.DUMMYFUNCTION("""COMPUTED_VALUE"""),"SI")</f>
        <v>SI</v>
      </c>
      <c r="T930" s="213" t="str">
        <f>IFERROR(__xludf.DUMMYFUNCTION("""COMPUTED_VALUE"""),"SI")</f>
        <v>SI</v>
      </c>
      <c r="U930" s="213" t="str">
        <f>IFERROR(__xludf.DUMMYFUNCTION("""COMPUTED_VALUE"""),"SI")</f>
        <v>SI</v>
      </c>
      <c r="V930" s="213" t="str">
        <f>IFERROR(__xludf.DUMMYFUNCTION("""COMPUTED_VALUE"""),"-")</f>
        <v>-</v>
      </c>
      <c r="W930" s="213" t="str">
        <f>IFERROR(__xludf.DUMMYFUNCTION("""COMPUTED_VALUE"""),"-")</f>
        <v>-</v>
      </c>
      <c r="X930" s="213" t="str">
        <f>IFERROR(__xludf.DUMMYFUNCTION("""COMPUTED_VALUE"""),"COMMSCOPE + PANDUIT")</f>
        <v>COMMSCOPE + PANDUIT</v>
      </c>
      <c r="Y930" s="213" t="str">
        <f>IFERROR(__xludf.DUMMYFUNCTION("""COMPUTED_VALUE"""),"884047004/10 + PFL6X04WH-CEG")</f>
        <v>884047004/10 + PFL6X04WH-CEG</v>
      </c>
      <c r="Z930" s="215" t="str">
        <f>IFERROR(__xludf.DUMMYFUNCTION("""COMPUTED_VALUE"""),"https://www.commscope.com/product-type/cables/twisted-pair-cables/category-6a-cables/item884047004-10/")</f>
        <v>https://www.commscope.com/product-type/cables/twisted-pair-cables/category-6a-cables/item884047004-10/</v>
      </c>
      <c r="AA930" s="213" t="str">
        <f>IFERROR(__xludf.DUMMYFUNCTION("""COMPUTED_VALUE"""),"ESP-194 JUEGO DE CABLES UTP - CET")</f>
        <v>ESP-194 JUEGO DE CABLES UTP - CET</v>
      </c>
      <c r="AB930" s="215" t="str">
        <f>IFERROR(__xludf.DUMMYFUNCTION("""COMPUTED_VALUE"""),"https://drive.google.com/file/d/1xbDBa8TvCgYIDv1-vxDR8vpY7DwcCk6g/view?usp=drive_link")</f>
        <v>https://drive.google.com/file/d/1xbDBa8TvCgYIDv1-vxDR8vpY7DwcCk6g/view?usp=drive_link</v>
      </c>
      <c r="AC930" s="213"/>
      <c r="AD930" s="213"/>
      <c r="AE930" s="213"/>
      <c r="AF930" s="213"/>
      <c r="AG930" s="213"/>
      <c r="AH930" s="213"/>
      <c r="AI930" s="213"/>
      <c r="AJ930" s="213"/>
      <c r="AK930" s="213"/>
      <c r="AL930" s="213"/>
      <c r="AM930" s="213"/>
      <c r="AN930" s="213"/>
      <c r="AO930" s="213"/>
      <c r="AP930" s="213" t="str">
        <f>IFERROR(__xludf.DUMMYFUNCTION("""COMPUTED_VALUE"""),"MICHEL")</f>
        <v>MICHEL</v>
      </c>
      <c r="AQ930" s="213" t="str">
        <f>IFERROR(__xludf.DUMMYFUNCTION("""COMPUTED_VALUE"""),"Tener en cuenta que dos rollos de diferente calibre conforman un ítem")</f>
        <v>Tener en cuenta que dos rollos de diferente calibre conforman un ítem</v>
      </c>
      <c r="AR930" s="213"/>
      <c r="AS930" s="213"/>
      <c r="AT930" s="213"/>
      <c r="AU930" s="213"/>
      <c r="AV930" s="213"/>
      <c r="AW930" s="213"/>
      <c r="AX930" s="213"/>
      <c r="AY930" s="213"/>
      <c r="AZ930" s="213"/>
      <c r="BA930" s="213"/>
      <c r="BB930" s="213"/>
      <c r="BC930" s="213"/>
      <c r="BD930" s="213"/>
    </row>
    <row r="931">
      <c r="A931" s="213">
        <f>IFERROR(__xludf.DUMMYFUNCTION("""COMPUTED_VALUE"""),1996.0)</f>
        <v>1996</v>
      </c>
      <c r="B931" s="213" t="str">
        <f>IFERROR(__xludf.DUMMYFUNCTION("""COMPUTED_VALUE"""),"JOSE GRANDA")</f>
        <v>JOSE GRANDA</v>
      </c>
      <c r="C931" s="213" t="str">
        <f>IFERROR(__xludf.DUMMYFUNCTION("""COMPUTED_VALUE"""),"TALLER SFT DE COMPUTACIÓN E INFORMÁTICA")</f>
        <v>TALLER SFT DE COMPUTACIÓN E INFORMÁTICA</v>
      </c>
      <c r="D931" s="213" t="str">
        <f>IFERROR(__xludf.DUMMYFUNCTION("""COMPUTED_VALUE"""),"EQUIPOS")</f>
        <v>EQUIPOS</v>
      </c>
      <c r="E931" s="213" t="str">
        <f>IFERROR(__xludf.DUMMYFUNCTION("""COMPUTED_VALUE"""),"ESP-194")</f>
        <v>ESP-194</v>
      </c>
      <c r="F931" s="213" t="str">
        <f>IFERROR(__xludf.DUMMYFUNCTION("""COMPUTED_VALUE"""),"ESP-194")</f>
        <v>ESP-194</v>
      </c>
      <c r="G931" s="213"/>
      <c r="H931" s="213" t="str">
        <f>IFERROR(__xludf.DUMMYFUNCTION("""COMPUTED_VALUE"""),"JUEGO DE CABLES UTP")</f>
        <v>JUEGO DE CABLES UTP</v>
      </c>
      <c r="I931" s="213" t="str">
        <f>IFERROR(__xludf.DUMMYFUNCTION("""COMPUTED_VALUE"""),"Juego de Cable Cat.6A :
Calibre del conductor 24 AWG
·  Compuesto de 4 pares de hilos de cobre trenzados
·  Máxima velocidad en aplicaciones de transmisión de datos de redes LAN
·  Rollo de 305 m.
Calibre del conductor 23 AWG
·  Compuesto de 4 pares de hi"&amp;"los de cobre trenzados
·  Máxima velocidad en aplicaciones de transmisión de datos de redes LAN
·  Rollo de 305 m.")</f>
        <v>Juego de Cable Cat.6A :
Calibre del conductor 24 AWG
·  Compuesto de 4 pares de hilos de cobre trenzados
·  Máxima velocidad en aplicaciones de transmisión de datos de redes LAN
·  Rollo de 305 m.
Calibre del conductor 23 AWG
·  Compuesto de 4 pares de hilos de cobre trenzados
·  Máxima velocidad en aplicaciones de transmisión de datos de redes LAN
·  Rollo de 305 m.</v>
      </c>
      <c r="J931" s="213">
        <f>IFERROR(__xludf.DUMMYFUNCTION("""COMPUTED_VALUE"""),3.0)</f>
        <v>3</v>
      </c>
      <c r="K931" s="213" t="str">
        <f>IFERROR(__xludf.DUMMYFUNCTION("""COMPUTED_VALUE"""),"170 DÍAS CALENDARIO")</f>
        <v>170 DÍAS CALENDARIO</v>
      </c>
      <c r="L931" s="213" t="str">
        <f>IFERROR(__xludf.DUMMYFUNCTION("""COMPUTED_VALUE"""),"")</f>
        <v/>
      </c>
      <c r="M931" s="213">
        <f>IFERROR(__xludf.DUMMYFUNCTION("""COMPUTED_VALUE"""),1.0)</f>
        <v>1</v>
      </c>
      <c r="N931" s="213">
        <f>IFERROR(__xludf.DUMMYFUNCTION("""COMPUTED_VALUE"""),1.0)</f>
        <v>1</v>
      </c>
      <c r="O931" s="213">
        <f>IFERROR(__xludf.DUMMYFUNCTION("""COMPUTED_VALUE"""),1.0)</f>
        <v>1</v>
      </c>
      <c r="P931" s="213"/>
      <c r="Q931" s="213"/>
      <c r="R931" s="213"/>
      <c r="S931" s="213" t="str">
        <f>IFERROR(__xludf.DUMMYFUNCTION("""COMPUTED_VALUE"""),"SI")</f>
        <v>SI</v>
      </c>
      <c r="T931" s="213" t="str">
        <f>IFERROR(__xludf.DUMMYFUNCTION("""COMPUTED_VALUE"""),"SI")</f>
        <v>SI</v>
      </c>
      <c r="U931" s="213" t="str">
        <f>IFERROR(__xludf.DUMMYFUNCTION("""COMPUTED_VALUE"""),"SI")</f>
        <v>SI</v>
      </c>
      <c r="V931" s="213" t="str">
        <f>IFERROR(__xludf.DUMMYFUNCTION("""COMPUTED_VALUE"""),"-")</f>
        <v>-</v>
      </c>
      <c r="W931" s="213" t="str">
        <f>IFERROR(__xludf.DUMMYFUNCTION("""COMPUTED_VALUE"""),"-")</f>
        <v>-</v>
      </c>
      <c r="X931" s="213" t="str">
        <f>IFERROR(__xludf.DUMMYFUNCTION("""COMPUTED_VALUE"""),"COMMSCOPE + PANDUIT")</f>
        <v>COMMSCOPE + PANDUIT</v>
      </c>
      <c r="Y931" s="213" t="str">
        <f>IFERROR(__xludf.DUMMYFUNCTION("""COMPUTED_VALUE"""),"884047004/10 + PFL6X04WH-CEG")</f>
        <v>884047004/10 + PFL6X04WH-CEG</v>
      </c>
      <c r="Z931" s="215" t="str">
        <f>IFERROR(__xludf.DUMMYFUNCTION("""COMPUTED_VALUE"""),"https://www.commscope.com/product-type/cables/twisted-pair-cables/category-6a-cables/item884047004-10/")</f>
        <v>https://www.commscope.com/product-type/cables/twisted-pair-cables/category-6a-cables/item884047004-10/</v>
      </c>
      <c r="AA931" s="213" t="str">
        <f>IFERROR(__xludf.DUMMYFUNCTION("""COMPUTED_VALUE"""),"ESP-194 JUEGO DE CABLES UTP - CET")</f>
        <v>ESP-194 JUEGO DE CABLES UTP - CET</v>
      </c>
      <c r="AB931" s="215" t="str">
        <f>IFERROR(__xludf.DUMMYFUNCTION("""COMPUTED_VALUE"""),"https://drive.google.com/file/d/1xbDBa8TvCgYIDv1-vxDR8vpY7DwcCk6g/view?usp=drive_link")</f>
        <v>https://drive.google.com/file/d/1xbDBa8TvCgYIDv1-vxDR8vpY7DwcCk6g/view?usp=drive_link</v>
      </c>
      <c r="AC931" s="213"/>
      <c r="AD931" s="213"/>
      <c r="AE931" s="213"/>
      <c r="AF931" s="213"/>
      <c r="AG931" s="213"/>
      <c r="AH931" s="213"/>
      <c r="AI931" s="213"/>
      <c r="AJ931" s="213"/>
      <c r="AK931" s="213"/>
      <c r="AL931" s="213"/>
      <c r="AM931" s="213"/>
      <c r="AN931" s="213"/>
      <c r="AO931" s="213"/>
      <c r="AP931" s="213" t="str">
        <f>IFERROR(__xludf.DUMMYFUNCTION("""COMPUTED_VALUE"""),"MICHEL")</f>
        <v>MICHEL</v>
      </c>
      <c r="AQ931" s="213" t="str">
        <f>IFERROR(__xludf.DUMMYFUNCTION("""COMPUTED_VALUE"""),"Tener en cuenta que dos rollos de diferente calibre conforman un ítem")</f>
        <v>Tener en cuenta que dos rollos de diferente calibre conforman un ítem</v>
      </c>
      <c r="AR931" s="213"/>
      <c r="AS931" s="213"/>
      <c r="AT931" s="213"/>
      <c r="AU931" s="213"/>
      <c r="AV931" s="213"/>
      <c r="AW931" s="213"/>
      <c r="AX931" s="213"/>
      <c r="AY931" s="213"/>
      <c r="AZ931" s="213"/>
      <c r="BA931" s="213"/>
      <c r="BB931" s="213"/>
      <c r="BC931" s="213"/>
      <c r="BD931" s="213"/>
    </row>
    <row r="932">
      <c r="A932" s="213">
        <f>IFERROR(__xludf.DUMMYFUNCTION("""COMPUTED_VALUE"""),2585.0)</f>
        <v>2585</v>
      </c>
      <c r="B932" s="213" t="str">
        <f>IFERROR(__xludf.DUMMYFUNCTION("""COMPUTED_VALUE"""),"MANUEL ANTONIO MESONES MURO")</f>
        <v>MANUEL ANTONIO MESONES MURO</v>
      </c>
      <c r="C932" s="213" t="str">
        <f>IFERROR(__xludf.DUMMYFUNCTION("""COMPUTED_VALUE"""),"TALLER SFT DE EBANISTERÍA")</f>
        <v>TALLER SFT DE EBANISTERÍA</v>
      </c>
      <c r="D932" s="213" t="str">
        <f>IFERROR(__xludf.DUMMYFUNCTION("""COMPUTED_VALUE"""),"HERRAMIENTAS")</f>
        <v>HERRAMIENTAS</v>
      </c>
      <c r="E932" s="213" t="str">
        <f>IFERROR(__xludf.DUMMYFUNCTION("""COMPUTED_VALUE"""),"HER-144")</f>
        <v>HER-144</v>
      </c>
      <c r="F932" s="213" t="str">
        <f>IFERROR(__xludf.DUMMYFUNCTION("""COMPUTED_VALUE"""),"HER-144")</f>
        <v>HER-144</v>
      </c>
      <c r="G932" s="213"/>
      <c r="H932" s="213" t="str">
        <f>IFERROR(__xludf.DUMMYFUNCTION("""COMPUTED_VALUE"""),"JUEGO DE FORMONES")</f>
        <v>JUEGO DE FORMONES</v>
      </c>
      <c r="I932" s="213" t="str">
        <f>IFERROR(__xludf.DUMMYFUNCTION("""COMPUTED_VALUE"""),"Hojas de acero de alta calidad.
Mango de madera con casquillo de metal.
En las hojas el formón tiene un diseño biselado en los bordes laterales.
El Juego esta compuesto por 5 piezas de medidas: 6 mm, 10mm, 12mm, 18mm, 25 mm.")</f>
        <v>Hojas de acero de alta calidad.
Mango de madera con casquillo de metal.
En las hojas el formón tiene un diseño biselado en los bordes laterales.
El Juego esta compuesto por 5 piezas de medidas: 6 mm, 10mm, 12mm, 18mm, 25 mm.</v>
      </c>
      <c r="J932" s="213">
        <f>IFERROR(__xludf.DUMMYFUNCTION("""COMPUTED_VALUE"""),3.0)</f>
        <v>3</v>
      </c>
      <c r="K932" s="213" t="str">
        <f>IFERROR(__xludf.DUMMYFUNCTION("""COMPUTED_VALUE"""),"90 DÍAS CALENDARIO")</f>
        <v>90 DÍAS CALENDARIO</v>
      </c>
      <c r="L932" s="213" t="str">
        <f>IFERROR(__xludf.DUMMYFUNCTION("""COMPUTED_VALUE"""),"")</f>
        <v/>
      </c>
      <c r="M932" s="213">
        <f>IFERROR(__xludf.DUMMYFUNCTION("""COMPUTED_VALUE"""),1.0)</f>
        <v>1</v>
      </c>
      <c r="N932" s="213">
        <f>IFERROR(__xludf.DUMMYFUNCTION("""COMPUTED_VALUE"""),4.0)</f>
        <v>4</v>
      </c>
      <c r="O932" s="213">
        <f>IFERROR(__xludf.DUMMYFUNCTION("""COMPUTED_VALUE"""),4.0)</f>
        <v>4</v>
      </c>
      <c r="P932" s="213"/>
      <c r="Q932" s="213"/>
      <c r="R932" s="213" t="str">
        <f>IFERROR(__xludf.DUMMYFUNCTION("""COMPUTED_VALUE"""),"SI")</f>
        <v>SI</v>
      </c>
      <c r="S932" s="213"/>
      <c r="T932" s="213" t="str">
        <f>IFERROR(__xludf.DUMMYFUNCTION("""COMPUTED_VALUE"""),"SI")</f>
        <v>SI</v>
      </c>
      <c r="U932" s="213" t="str">
        <f>IFERROR(__xludf.DUMMYFUNCTION("""COMPUTED_VALUE"""),"SI")</f>
        <v>SI</v>
      </c>
      <c r="V932" s="213" t="str">
        <f>IFERROR(__xludf.DUMMYFUNCTION("""COMPUTED_VALUE"""),"-")</f>
        <v>-</v>
      </c>
      <c r="W932" s="213" t="str">
        <f>IFERROR(__xludf.DUMMYFUNCTION("""COMPUTED_VALUE"""),"-")</f>
        <v>-</v>
      </c>
      <c r="X932" s="213" t="str">
        <f>IFERROR(__xludf.DUMMYFUNCTION("""COMPUTED_VALUE"""),"Stanley")</f>
        <v>Stanley</v>
      </c>
      <c r="Y932" s="213" t="str">
        <f>IFERROR(__xludf.DUMMYFUNCTION("""COMPUTED_VALUE"""),"2-16-888")</f>
        <v>2-16-888</v>
      </c>
      <c r="Z932" s="215" t="str">
        <f>IFERROR(__xludf.DUMMYFUNCTION("""COMPUTED_VALUE"""),"https://es.rubix.com/es/juego-de-formones-dynagrip-5-piezas-6-12-18-25-32mm/p-G1337001002")</f>
        <v>https://es.rubix.com/es/juego-de-formones-dynagrip-5-piezas-6-12-18-25-32mm/p-G1337001002</v>
      </c>
      <c r="AA932" s="213" t="str">
        <f>IFERROR(__xludf.DUMMYFUNCTION("""COMPUTED_VALUE"""),"HER-144 JUEGO DE FORMONES- CET")</f>
        <v>HER-144 JUEGO DE FORMONES- CET</v>
      </c>
      <c r="AB932" s="213"/>
      <c r="AC932" s="213"/>
      <c r="AD932" s="213"/>
      <c r="AE932" s="213"/>
      <c r="AF932" s="213"/>
      <c r="AG932" s="213"/>
      <c r="AH932" s="213"/>
      <c r="AI932" s="213"/>
      <c r="AJ932" s="213"/>
      <c r="AK932" s="213"/>
      <c r="AL932" s="213"/>
      <c r="AM932" s="213"/>
      <c r="AN932" s="213"/>
      <c r="AO932" s="213"/>
      <c r="AP932" s="213" t="str">
        <f>IFERROR(__xludf.DUMMYFUNCTION("""COMPUTED_VALUE"""),"SEBASTIAN")</f>
        <v>SEBASTIAN</v>
      </c>
      <c r="AQ932" s="213"/>
      <c r="AR932" s="213"/>
      <c r="AS932" s="213"/>
      <c r="AT932" s="213"/>
      <c r="AU932" s="213"/>
      <c r="AV932" s="213"/>
      <c r="AW932" s="213"/>
      <c r="AX932" s="213"/>
      <c r="AY932" s="213"/>
      <c r="AZ932" s="213"/>
      <c r="BA932" s="213"/>
      <c r="BB932" s="213"/>
      <c r="BC932" s="213"/>
      <c r="BD932" s="213"/>
    </row>
    <row r="933">
      <c r="A933" s="213">
        <f>IFERROR(__xludf.DUMMYFUNCTION("""COMPUTED_VALUE"""),957.0)</f>
        <v>957</v>
      </c>
      <c r="B933" s="213" t="str">
        <f>IFERROR(__xludf.DUMMYFUNCTION("""COMPUTED_VALUE"""),"FRANCISCO IRAZOLA")</f>
        <v>FRANCISCO IRAZOLA</v>
      </c>
      <c r="C933" s="213" t="str">
        <f>IFERROR(__xludf.DUMMYFUNCTION("""COMPUTED_VALUE"""),"TALLER SFT DE MECÁNICA AUTOMOTRIZ")</f>
        <v>TALLER SFT DE MECÁNICA AUTOMOTRIZ</v>
      </c>
      <c r="D933" s="213" t="str">
        <f>IFERROR(__xludf.DUMMYFUNCTION("""COMPUTED_VALUE"""),"HERRAMIENTAS")</f>
        <v>HERRAMIENTAS</v>
      </c>
      <c r="E933" s="213" t="str">
        <f>IFERROR(__xludf.DUMMYFUNCTION("""COMPUTED_VALUE"""),"HER-145")</f>
        <v>HER-145</v>
      </c>
      <c r="F933" s="213" t="str">
        <f>IFERROR(__xludf.DUMMYFUNCTION("""COMPUTED_VALUE"""),"HER-145-X")</f>
        <v>HER-145-X</v>
      </c>
      <c r="G933" s="213"/>
      <c r="H933" s="213" t="str">
        <f>IFERROR(__xludf.DUMMYFUNCTION("""COMPUTED_VALUE"""),"JUEGO DE LIMAS")</f>
        <v>JUEGO DE LIMAS</v>
      </c>
      <c r="I933" s="213" t="str">
        <f>IFERROR(__xludf.DUMMYFUNCTION("""COMPUTED_VALUE"""),"Juego de 6 limas.
El juego de limas contiene: plana punta, plana paralela, media caña, redonda, triangular, cuadrada. Las limas son de grado entrefino.
Material: acero al carbón endurecido. Diseñado para el picado de superficies. Medida: 200 mm (8"") de l"&amp;"argo.")</f>
        <v>Juego de 6 limas.
El juego de limas contiene: plana punta, plana paralela, media caña, redonda, triangular, cuadrada. Las limas son de grado entrefino.
Material: acero al carbón endurecido. Diseñado para el picado de superficies. Medida: 200 mm (8") de largo.</v>
      </c>
      <c r="J933" s="213">
        <f>IFERROR(__xludf.DUMMYFUNCTION("""COMPUTED_VALUE"""),3.0)</f>
        <v>3</v>
      </c>
      <c r="K933" s="213" t="str">
        <f>IFERROR(__xludf.DUMMYFUNCTION("""COMPUTED_VALUE"""),"90 DÍAS CALENDARIO")</f>
        <v>90 DÍAS CALENDARIO</v>
      </c>
      <c r="L933" s="213" t="str">
        <f>IFERROR(__xludf.DUMMYFUNCTION("""COMPUTED_VALUE"""),"")</f>
        <v/>
      </c>
      <c r="M933" s="213">
        <f>IFERROR(__xludf.DUMMYFUNCTION("""COMPUTED_VALUE"""),1.0)</f>
        <v>1</v>
      </c>
      <c r="N933" s="213">
        <f>IFERROR(__xludf.DUMMYFUNCTION("""COMPUTED_VALUE"""),1.0)</f>
        <v>1</v>
      </c>
      <c r="O933" s="213">
        <f>IFERROR(__xludf.DUMMYFUNCTION("""COMPUTED_VALUE"""),1.0)</f>
        <v>1</v>
      </c>
      <c r="P933" s="213"/>
      <c r="Q933" s="213"/>
      <c r="R933" s="213" t="str">
        <f>IFERROR(__xludf.DUMMYFUNCTION("""COMPUTED_VALUE"""),"SI")</f>
        <v>SI</v>
      </c>
      <c r="S933" s="213"/>
      <c r="T933" s="213" t="str">
        <f>IFERROR(__xludf.DUMMYFUNCTION("""COMPUTED_VALUE"""),"SI")</f>
        <v>SI</v>
      </c>
      <c r="U933" s="213" t="str">
        <f>IFERROR(__xludf.DUMMYFUNCTION("""COMPUTED_VALUE"""),"SI")</f>
        <v>SI</v>
      </c>
      <c r="V933" s="213" t="str">
        <f>IFERROR(__xludf.DUMMYFUNCTION("""COMPUTED_VALUE"""),"-")</f>
        <v>-</v>
      </c>
      <c r="W933" s="213" t="str">
        <f>IFERROR(__xludf.DUMMYFUNCTION("""COMPUTED_VALUE"""),"-")</f>
        <v>-</v>
      </c>
      <c r="X933" s="213" t="str">
        <f>IFERROR(__xludf.DUMMYFUNCTION("""COMPUTED_VALUE"""),"IRIMO")</f>
        <v>IRIMO</v>
      </c>
      <c r="Y933" s="213" t="str">
        <f>IFERROR(__xludf.DUMMYFUNCTION("""COMPUTED_VALUE"""),"SN534501")</f>
        <v>SN534501</v>
      </c>
      <c r="Z933" s="215" t="str">
        <f>IFERROR(__xludf.DUMMYFUNCTION("""COMPUTED_VALUE"""),"https://suminca.es/producto/juego-limas-irimo/")</f>
        <v>https://suminca.es/producto/juego-limas-irimo/</v>
      </c>
      <c r="AA933" s="213" t="str">
        <f>IFERROR(__xludf.DUMMYFUNCTION("""COMPUTED_VALUE"""),"HER-145-X JUEGO DE LIMAS - CET")</f>
        <v>HER-145-X JUEGO DE LIMAS - CET</v>
      </c>
      <c r="AB933" s="213"/>
      <c r="AC933" s="213"/>
      <c r="AD933" s="213"/>
      <c r="AE933" s="213"/>
      <c r="AF933" s="213"/>
      <c r="AG933" s="213"/>
      <c r="AH933" s="213"/>
      <c r="AI933" s="213"/>
      <c r="AJ933" s="213"/>
      <c r="AK933" s="213"/>
      <c r="AL933" s="213"/>
      <c r="AM933" s="213"/>
      <c r="AN933" s="213"/>
      <c r="AO933" s="213"/>
      <c r="AP933" s="213" t="str">
        <f>IFERROR(__xludf.DUMMYFUNCTION("""COMPUTED_VALUE"""),"LUIS")</f>
        <v>LUIS</v>
      </c>
      <c r="AQ933" s="213"/>
      <c r="AR933" s="213"/>
      <c r="AS933" s="213"/>
      <c r="AT933" s="213"/>
      <c r="AU933" s="213"/>
      <c r="AV933" s="213"/>
      <c r="AW933" s="213"/>
      <c r="AX933" s="213"/>
      <c r="AY933" s="213"/>
      <c r="AZ933" s="213"/>
      <c r="BA933" s="213"/>
      <c r="BB933" s="213"/>
      <c r="BC933" s="213"/>
      <c r="BD933" s="213"/>
    </row>
    <row r="934">
      <c r="A934" s="213">
        <f>IFERROR(__xludf.DUMMYFUNCTION("""COMPUTED_VALUE"""),1558.0)</f>
        <v>1558</v>
      </c>
      <c r="B934" s="213" t="str">
        <f>IFERROR(__xludf.DUMMYFUNCTION("""COMPUTED_VALUE"""),"GUILLERMO E. BILLINGHURST ")</f>
        <v>GUILLERMO E. BILLINGHURST </v>
      </c>
      <c r="C934" s="213" t="str">
        <f>IFERROR(__xludf.DUMMYFUNCTION("""COMPUTED_VALUE"""),"TALLER SFT DE MECÁNICA AUTOMOTRIZ")</f>
        <v>TALLER SFT DE MECÁNICA AUTOMOTRIZ</v>
      </c>
      <c r="D934" s="213" t="str">
        <f>IFERROR(__xludf.DUMMYFUNCTION("""COMPUTED_VALUE"""),"HERRAMIENTAS")</f>
        <v>HERRAMIENTAS</v>
      </c>
      <c r="E934" s="213" t="str">
        <f>IFERROR(__xludf.DUMMYFUNCTION("""COMPUTED_VALUE"""),"HER-145")</f>
        <v>HER-145</v>
      </c>
      <c r="F934" s="213" t="str">
        <f>IFERROR(__xludf.DUMMYFUNCTION("""COMPUTED_VALUE"""),"HER-145-X")</f>
        <v>HER-145-X</v>
      </c>
      <c r="G934" s="213"/>
      <c r="H934" s="213" t="str">
        <f>IFERROR(__xludf.DUMMYFUNCTION("""COMPUTED_VALUE"""),"JUEGO DE LIMAS")</f>
        <v>JUEGO DE LIMAS</v>
      </c>
      <c r="I934" s="213" t="str">
        <f>IFERROR(__xludf.DUMMYFUNCTION("""COMPUTED_VALUE"""),"Juego de 6 limas.
El juego de limas contiene: plana punta, plana paralela, media caña, redonda, triangular, cuadrada. Las limas son de grado entrefino.
Material: acero al carbón endurecido. Diseñado para el picado de superficies. Medida: 200 mm (8"") de l"&amp;"argo.")</f>
        <v>Juego de 6 limas.
El juego de limas contiene: plana punta, plana paralela, media caña, redonda, triangular, cuadrada. Las limas son de grado entrefino.
Material: acero al carbón endurecido. Diseñado para el picado de superficies. Medida: 200 mm (8") de largo.</v>
      </c>
      <c r="J934" s="213">
        <f>IFERROR(__xludf.DUMMYFUNCTION("""COMPUTED_VALUE"""),3.0)</f>
        <v>3</v>
      </c>
      <c r="K934" s="213" t="str">
        <f>IFERROR(__xludf.DUMMYFUNCTION("""COMPUTED_VALUE"""),"90 DÍAS CALENDARIO")</f>
        <v>90 DÍAS CALENDARIO</v>
      </c>
      <c r="L934" s="213" t="str">
        <f>IFERROR(__xludf.DUMMYFUNCTION("""COMPUTED_VALUE"""),"")</f>
        <v/>
      </c>
      <c r="M934" s="213">
        <f>IFERROR(__xludf.DUMMYFUNCTION("""COMPUTED_VALUE"""),1.0)</f>
        <v>1</v>
      </c>
      <c r="N934" s="213">
        <f>IFERROR(__xludf.DUMMYFUNCTION("""COMPUTED_VALUE"""),1.0)</f>
        <v>1</v>
      </c>
      <c r="O934" s="213">
        <f>IFERROR(__xludf.DUMMYFUNCTION("""COMPUTED_VALUE"""),1.0)</f>
        <v>1</v>
      </c>
      <c r="P934" s="213"/>
      <c r="Q934" s="213"/>
      <c r="R934" s="213" t="str">
        <f>IFERROR(__xludf.DUMMYFUNCTION("""COMPUTED_VALUE"""),"SI")</f>
        <v>SI</v>
      </c>
      <c r="S934" s="213"/>
      <c r="T934" s="213" t="str">
        <f>IFERROR(__xludf.DUMMYFUNCTION("""COMPUTED_VALUE"""),"SI")</f>
        <v>SI</v>
      </c>
      <c r="U934" s="213" t="str">
        <f>IFERROR(__xludf.DUMMYFUNCTION("""COMPUTED_VALUE"""),"SI")</f>
        <v>SI</v>
      </c>
      <c r="V934" s="213" t="str">
        <f>IFERROR(__xludf.DUMMYFUNCTION("""COMPUTED_VALUE"""),"-")</f>
        <v>-</v>
      </c>
      <c r="W934" s="213" t="str">
        <f>IFERROR(__xludf.DUMMYFUNCTION("""COMPUTED_VALUE"""),"-")</f>
        <v>-</v>
      </c>
      <c r="X934" s="213" t="str">
        <f>IFERROR(__xludf.DUMMYFUNCTION("""COMPUTED_VALUE"""),"IRIMO")</f>
        <v>IRIMO</v>
      </c>
      <c r="Y934" s="213" t="str">
        <f>IFERROR(__xludf.DUMMYFUNCTION("""COMPUTED_VALUE"""),"SN534501")</f>
        <v>SN534501</v>
      </c>
      <c r="Z934" s="215" t="str">
        <f>IFERROR(__xludf.DUMMYFUNCTION("""COMPUTED_VALUE"""),"https://suminca.es/producto/juego-limas-irimo/")</f>
        <v>https://suminca.es/producto/juego-limas-irimo/</v>
      </c>
      <c r="AA934" s="213" t="str">
        <f>IFERROR(__xludf.DUMMYFUNCTION("""COMPUTED_VALUE"""),"HER-145-X JUEGO DE LIMAS - CET")</f>
        <v>HER-145-X JUEGO DE LIMAS - CET</v>
      </c>
      <c r="AB934" s="213"/>
      <c r="AC934" s="213"/>
      <c r="AD934" s="213"/>
      <c r="AE934" s="213"/>
      <c r="AF934" s="213"/>
      <c r="AG934" s="213"/>
      <c r="AH934" s="213"/>
      <c r="AI934" s="213"/>
      <c r="AJ934" s="213"/>
      <c r="AK934" s="213"/>
      <c r="AL934" s="213"/>
      <c r="AM934" s="213"/>
      <c r="AN934" s="213"/>
      <c r="AO934" s="213"/>
      <c r="AP934" s="213" t="str">
        <f>IFERROR(__xludf.DUMMYFUNCTION("""COMPUTED_VALUE"""),"LUIS")</f>
        <v>LUIS</v>
      </c>
      <c r="AQ934" s="213"/>
      <c r="AR934" s="213"/>
      <c r="AS934" s="213"/>
      <c r="AT934" s="213"/>
      <c r="AU934" s="213"/>
      <c r="AV934" s="213"/>
      <c r="AW934" s="213"/>
      <c r="AX934" s="213"/>
      <c r="AY934" s="213"/>
      <c r="AZ934" s="213"/>
      <c r="BA934" s="213"/>
      <c r="BB934" s="213"/>
      <c r="BC934" s="213"/>
      <c r="BD934" s="213"/>
    </row>
    <row r="935">
      <c r="A935" s="213">
        <f>IFERROR(__xludf.DUMMYFUNCTION("""COMPUTED_VALUE"""),2250.0)</f>
        <v>2250</v>
      </c>
      <c r="B935" s="213" t="str">
        <f>IFERROR(__xludf.DUMMYFUNCTION("""COMPUTED_VALUE"""),"JOSE GRANDA")</f>
        <v>JOSE GRANDA</v>
      </c>
      <c r="C935" s="213" t="str">
        <f>IFERROR(__xludf.DUMMYFUNCTION("""COMPUTED_VALUE"""),"TALLER SFT DE MECÁNICA AUTOMOTRIZ")</f>
        <v>TALLER SFT DE MECÁNICA AUTOMOTRIZ</v>
      </c>
      <c r="D935" s="213" t="str">
        <f>IFERROR(__xludf.DUMMYFUNCTION("""COMPUTED_VALUE"""),"HERRAMIENTAS")</f>
        <v>HERRAMIENTAS</v>
      </c>
      <c r="E935" s="213" t="str">
        <f>IFERROR(__xludf.DUMMYFUNCTION("""COMPUTED_VALUE"""),"HER-145")</f>
        <v>HER-145</v>
      </c>
      <c r="F935" s="213" t="str">
        <f>IFERROR(__xludf.DUMMYFUNCTION("""COMPUTED_VALUE"""),"HER-145-X")</f>
        <v>HER-145-X</v>
      </c>
      <c r="G935" s="213"/>
      <c r="H935" s="213" t="str">
        <f>IFERROR(__xludf.DUMMYFUNCTION("""COMPUTED_VALUE"""),"JUEGO DE LIMAS")</f>
        <v>JUEGO DE LIMAS</v>
      </c>
      <c r="I935" s="213" t="str">
        <f>IFERROR(__xludf.DUMMYFUNCTION("""COMPUTED_VALUE"""),"Juego de 6 limas.
El juego de limas contiene: plana punta, plana paralela, media caña, redonda, triangular, cuadrada. Las limas son de grado entrefino.
Material: acero al carbón endurecido. Diseñado para el picado de superficies. Medida: 200 mm (8"") de l"&amp;"argo.")</f>
        <v>Juego de 6 limas.
El juego de limas contiene: plana punta, plana paralela, media caña, redonda, triangular, cuadrada. Las limas son de grado entrefino.
Material: acero al carbón endurecido. Diseñado para el picado de superficies. Medida: 200 mm (8") de largo.</v>
      </c>
      <c r="J935" s="213">
        <f>IFERROR(__xludf.DUMMYFUNCTION("""COMPUTED_VALUE"""),3.0)</f>
        <v>3</v>
      </c>
      <c r="K935" s="213" t="str">
        <f>IFERROR(__xludf.DUMMYFUNCTION("""COMPUTED_VALUE"""),"90 DÍAS CALENDARIO")</f>
        <v>90 DÍAS CALENDARIO</v>
      </c>
      <c r="L935" s="213" t="str">
        <f>IFERROR(__xludf.DUMMYFUNCTION("""COMPUTED_VALUE"""),"")</f>
        <v/>
      </c>
      <c r="M935" s="213">
        <f>IFERROR(__xludf.DUMMYFUNCTION("""COMPUTED_VALUE"""),1.0)</f>
        <v>1</v>
      </c>
      <c r="N935" s="213">
        <f>IFERROR(__xludf.DUMMYFUNCTION("""COMPUTED_VALUE"""),1.0)</f>
        <v>1</v>
      </c>
      <c r="O935" s="213">
        <f>IFERROR(__xludf.DUMMYFUNCTION("""COMPUTED_VALUE"""),1.0)</f>
        <v>1</v>
      </c>
      <c r="P935" s="213"/>
      <c r="Q935" s="213"/>
      <c r="R935" s="213" t="str">
        <f>IFERROR(__xludf.DUMMYFUNCTION("""COMPUTED_VALUE"""),"SI")</f>
        <v>SI</v>
      </c>
      <c r="S935" s="213"/>
      <c r="T935" s="213" t="str">
        <f>IFERROR(__xludf.DUMMYFUNCTION("""COMPUTED_VALUE"""),"SI")</f>
        <v>SI</v>
      </c>
      <c r="U935" s="213" t="str">
        <f>IFERROR(__xludf.DUMMYFUNCTION("""COMPUTED_VALUE"""),"SI")</f>
        <v>SI</v>
      </c>
      <c r="V935" s="213" t="str">
        <f>IFERROR(__xludf.DUMMYFUNCTION("""COMPUTED_VALUE"""),"-")</f>
        <v>-</v>
      </c>
      <c r="W935" s="213" t="str">
        <f>IFERROR(__xludf.DUMMYFUNCTION("""COMPUTED_VALUE"""),"-")</f>
        <v>-</v>
      </c>
      <c r="X935" s="213" t="str">
        <f>IFERROR(__xludf.DUMMYFUNCTION("""COMPUTED_VALUE"""),"IRIMO")</f>
        <v>IRIMO</v>
      </c>
      <c r="Y935" s="213" t="str">
        <f>IFERROR(__xludf.DUMMYFUNCTION("""COMPUTED_VALUE"""),"SN534501")</f>
        <v>SN534501</v>
      </c>
      <c r="Z935" s="215" t="str">
        <f>IFERROR(__xludf.DUMMYFUNCTION("""COMPUTED_VALUE"""),"https://suminca.es/producto/juego-limas-irimo/")</f>
        <v>https://suminca.es/producto/juego-limas-irimo/</v>
      </c>
      <c r="AA935" s="213" t="str">
        <f>IFERROR(__xludf.DUMMYFUNCTION("""COMPUTED_VALUE"""),"HER-145-X JUEGO DE LIMAS - CET")</f>
        <v>HER-145-X JUEGO DE LIMAS - CET</v>
      </c>
      <c r="AB935" s="213"/>
      <c r="AC935" s="213"/>
      <c r="AD935" s="213"/>
      <c r="AE935" s="213"/>
      <c r="AF935" s="213"/>
      <c r="AG935" s="213"/>
      <c r="AH935" s="213"/>
      <c r="AI935" s="213"/>
      <c r="AJ935" s="213"/>
      <c r="AK935" s="213"/>
      <c r="AL935" s="213"/>
      <c r="AM935" s="213"/>
      <c r="AN935" s="213"/>
      <c r="AO935" s="213"/>
      <c r="AP935" s="213" t="str">
        <f>IFERROR(__xludf.DUMMYFUNCTION("""COMPUTED_VALUE"""),"LUIS")</f>
        <v>LUIS</v>
      </c>
      <c r="AQ935" s="213"/>
      <c r="AR935" s="213"/>
      <c r="AS935" s="213"/>
      <c r="AT935" s="213"/>
      <c r="AU935" s="213"/>
      <c r="AV935" s="213"/>
      <c r="AW935" s="213"/>
      <c r="AX935" s="213"/>
      <c r="AY935" s="213"/>
      <c r="AZ935" s="213"/>
      <c r="BA935" s="213"/>
      <c r="BB935" s="213"/>
      <c r="BC935" s="213"/>
      <c r="BD935" s="213"/>
    </row>
    <row r="936">
      <c r="A936" s="213">
        <f>IFERROR(__xludf.DUMMYFUNCTION("""COMPUTED_VALUE"""),2492.0)</f>
        <v>2492</v>
      </c>
      <c r="B936" s="213" t="str">
        <f>IFERROR(__xludf.DUMMYFUNCTION("""COMPUTED_VALUE"""),"MANUEL ANTONIO MESONES MURO")</f>
        <v>MANUEL ANTONIO MESONES MURO</v>
      </c>
      <c r="C936" s="213" t="str">
        <f>IFERROR(__xludf.DUMMYFUNCTION("""COMPUTED_VALUE"""),"TALLER SFT DE CONSTRUCCIONES METÁLICAS")</f>
        <v>TALLER SFT DE CONSTRUCCIONES METÁLICAS</v>
      </c>
      <c r="D936" s="213" t="str">
        <f>IFERROR(__xludf.DUMMYFUNCTION("""COMPUTED_VALUE"""),"HERRAMIENTAS")</f>
        <v>HERRAMIENTAS</v>
      </c>
      <c r="E936" s="213" t="str">
        <f>IFERROR(__xludf.DUMMYFUNCTION("""COMPUTED_VALUE"""),"HER-150")</f>
        <v>HER-150</v>
      </c>
      <c r="F936" s="213" t="str">
        <f>IFERROR(__xludf.DUMMYFUNCTION("""COMPUTED_VALUE"""),"HER-150-Y")</f>
        <v>HER-150-Y</v>
      </c>
      <c r="G936" s="213"/>
      <c r="H936" s="213" t="str">
        <f>IFERROR(__xludf.DUMMYFUNCTION("""COMPUTED_VALUE"""),"JUEGO DE LLAVES MIXTAS")</f>
        <v>JUEGO DE LLAVES MIXTAS</v>
      </c>
      <c r="I936" s="213" t="str">
        <f>IFERROR(__xludf.DUMMYFUNCTION("""COMPUTED_VALUE"""),"Material acero
-       Contenido 14 piezas
-       Medidas 7, 8, 9, 10, 11, 12, 13, 14, 15, 17, 19, 21, 22, 24 mm
-       Cromadas y niqueladas doblemente")</f>
        <v>Material acero
-       Contenido 14 piezas
-       Medidas 7, 8, 9, 10, 11, 12, 13, 14, 15, 17, 19, 21, 22, 24 mm
-       Cromadas y niqueladas doblemente</v>
      </c>
      <c r="J936" s="213">
        <f>IFERROR(__xludf.DUMMYFUNCTION("""COMPUTED_VALUE"""),3.0)</f>
        <v>3</v>
      </c>
      <c r="K936" s="213" t="str">
        <f>IFERROR(__xludf.DUMMYFUNCTION("""COMPUTED_VALUE"""),"90 DÍAS CALENDARIO")</f>
        <v>90 DÍAS CALENDARIO</v>
      </c>
      <c r="L936" s="213" t="str">
        <f>IFERROR(__xludf.DUMMYFUNCTION("""COMPUTED_VALUE"""),"")</f>
        <v/>
      </c>
      <c r="M936" s="213">
        <f>IFERROR(__xludf.DUMMYFUNCTION("""COMPUTED_VALUE"""),1.0)</f>
        <v>1</v>
      </c>
      <c r="N936" s="213">
        <f>IFERROR(__xludf.DUMMYFUNCTION("""COMPUTED_VALUE"""),2.0)</f>
        <v>2</v>
      </c>
      <c r="O936" s="213">
        <f>IFERROR(__xludf.DUMMYFUNCTION("""COMPUTED_VALUE"""),2.0)</f>
        <v>2</v>
      </c>
      <c r="P936" s="213"/>
      <c r="Q936" s="213"/>
      <c r="R936" s="213"/>
      <c r="S936" s="213"/>
      <c r="T936" s="213" t="str">
        <f>IFERROR(__xludf.DUMMYFUNCTION("""COMPUTED_VALUE"""),"SI")</f>
        <v>SI</v>
      </c>
      <c r="U936" s="213" t="str">
        <f>IFERROR(__xludf.DUMMYFUNCTION("""COMPUTED_VALUE"""),"SI")</f>
        <v>SI</v>
      </c>
      <c r="V936" s="213" t="str">
        <f>IFERROR(__xludf.DUMMYFUNCTION("""COMPUTED_VALUE"""),"-")</f>
        <v>-</v>
      </c>
      <c r="W936" s="213" t="str">
        <f>IFERROR(__xludf.DUMMYFUNCTION("""COMPUTED_VALUE"""),"-")</f>
        <v>-</v>
      </c>
      <c r="X936" s="213" t="str">
        <f>IFERROR(__xludf.DUMMYFUNCTION("""COMPUTED_VALUE"""),"STANLEY")</f>
        <v>STANLEY</v>
      </c>
      <c r="Y936" s="213">
        <f>IFERROR(__xludf.DUMMYFUNCTION("""COMPUTED_VALUE"""),56623.0)</f>
        <v>56623</v>
      </c>
      <c r="Z936" s="215" t="str">
        <f>IFERROR(__xludf.DUMMYFUNCTION("""COMPUTED_VALUE"""),"https://www.promart.pe/juego-de-llaves-7-24-mm-x14-piezas-56623/p?srsltid=AfmBOoqe5sFWv-lqFMZT3ybAyNJiw1dKjOljgrQeFhgrQJk_UDAW04LU")</f>
        <v>https://www.promart.pe/juego-de-llaves-7-24-mm-x14-piezas-56623/p?srsltid=AfmBOoqe5sFWv-lqFMZT3ybAyNJiw1dKjOljgrQeFhgrQJk_UDAW04LU</v>
      </c>
      <c r="AA936" s="213" t="str">
        <f>IFERROR(__xludf.DUMMYFUNCTION("""COMPUTED_VALUE"""),"HER-150-Y JUEGO DE LLAVES MIXTAS - CET")</f>
        <v>HER-150-Y JUEGO DE LLAVES MIXTAS - CET</v>
      </c>
      <c r="AB936" s="213"/>
      <c r="AC936" s="213"/>
      <c r="AD936" s="213"/>
      <c r="AE936" s="213"/>
      <c r="AF936" s="213"/>
      <c r="AG936" s="213"/>
      <c r="AH936" s="213"/>
      <c r="AI936" s="213"/>
      <c r="AJ936" s="213"/>
      <c r="AK936" s="213"/>
      <c r="AL936" s="213"/>
      <c r="AM936" s="213"/>
      <c r="AN936" s="213"/>
      <c r="AO936" s="213"/>
      <c r="AP936" s="213" t="str">
        <f>IFERROR(__xludf.DUMMYFUNCTION("""COMPUTED_VALUE"""),"LUIS")</f>
        <v>LUIS</v>
      </c>
      <c r="AQ936" s="213"/>
      <c r="AR936" s="213"/>
      <c r="AS936" s="213"/>
      <c r="AT936" s="213"/>
      <c r="AU936" s="213"/>
      <c r="AV936" s="213"/>
      <c r="AW936" s="213"/>
      <c r="AX936" s="213"/>
      <c r="AY936" s="213"/>
      <c r="AZ936" s="213"/>
      <c r="BA936" s="213"/>
      <c r="BB936" s="213"/>
      <c r="BC936" s="213"/>
      <c r="BD936" s="213"/>
    </row>
    <row r="937">
      <c r="A937" s="213">
        <f>IFERROR(__xludf.DUMMYFUNCTION("""COMPUTED_VALUE"""),639.0)</f>
        <v>639</v>
      </c>
      <c r="B937" s="213" t="str">
        <f>IFERROR(__xludf.DUMMYFUNCTION("""COMPUTED_VALUE"""),"6049 RICARDO PALMA")</f>
        <v>6049 RICARDO PALMA</v>
      </c>
      <c r="C937" s="213" t="str">
        <f>IFERROR(__xludf.DUMMYFUNCTION("""COMPUTED_VALUE"""),"TALLER SFT DE ELECTRÓNICA")</f>
        <v>TALLER SFT DE ELECTRÓNICA</v>
      </c>
      <c r="D937" s="213" t="str">
        <f>IFERROR(__xludf.DUMMYFUNCTION("""COMPUTED_VALUE"""),"HERRAMIENTAS")</f>
        <v>HERRAMIENTAS</v>
      </c>
      <c r="E937" s="213" t="str">
        <f>IFERROR(__xludf.DUMMYFUNCTION("""COMPUTED_VALUE"""),"HER-146")</f>
        <v>HER-146</v>
      </c>
      <c r="F937" s="213" t="str">
        <f>IFERROR(__xludf.DUMMYFUNCTION("""COMPUTED_VALUE"""),"HER-146")</f>
        <v>HER-146</v>
      </c>
      <c r="G937" s="213"/>
      <c r="H937" s="213" t="str">
        <f>IFERROR(__xludf.DUMMYFUNCTION("""COMPUTED_VALUE"""),"JUEGO DE LLAVES ALLEN")</f>
        <v>JUEGO DE LLAVES ALLEN</v>
      </c>
      <c r="I937" s="213" t="str">
        <f>IFERROR(__xludf.DUMMYFUNCTION("""COMPUTED_VALUE"""),"· Juego de llaves hexagonales niqueladas.
· Tamaño marcado en la varilla.
· Composición y dimensiones:
· Set de 15 llaves graduados en milímetros: 2, 2.5, 3, 4, 5, 6, 7, 8, 9, 10, 12, 14, 17, 19, 22 mm.
· Set de 12 llaves graduados en pulgadas: 1/8, 5/32,"&amp;" 3/16, 7/32, 1/4, 5/16, 3/8, 7/16, 1/2, 9/16, 5/8, 3/4"".
· Incluye estuches de plástico.")</f>
        <v>· Juego de llaves hexagonales niqueladas.
· Tamaño marcado en la varilla.
· Composición y dimensiones:
· Set de 15 llaves graduados en milímetros: 2, 2.5, 3, 4, 5, 6, 7, 8, 9, 10, 12, 14, 17, 19, 22 mm.
· Set de 12 llaves graduados en pulgadas: 1/8, 5/32, 3/16, 7/32, 1/4, 5/16, 3/8, 7/16, 1/2, 9/16, 5/8, 3/4".
· Incluye estuches de plástico.</v>
      </c>
      <c r="J937" s="213">
        <f>IFERROR(__xludf.DUMMYFUNCTION("""COMPUTED_VALUE"""),3.0)</f>
        <v>3</v>
      </c>
      <c r="K937" s="213" t="str">
        <f>IFERROR(__xludf.DUMMYFUNCTION("""COMPUTED_VALUE"""),"90 DÍAS CALENDARIO")</f>
        <v>90 DÍAS CALENDARIO</v>
      </c>
      <c r="L937" s="213" t="str">
        <f>IFERROR(__xludf.DUMMYFUNCTION("""COMPUTED_VALUE"""),"ELECTRÓNICA, EBANISTERÍA, MECÁNICA AUTOMOTRÍZ")</f>
        <v>ELECTRÓNICA, EBANISTERÍA, MECÁNICA AUTOMOTRÍZ</v>
      </c>
      <c r="M937" s="213">
        <f>IFERROR(__xludf.DUMMYFUNCTION("""COMPUTED_VALUE"""),1.0)</f>
        <v>1</v>
      </c>
      <c r="N937" s="213">
        <f>IFERROR(__xludf.DUMMYFUNCTION("""COMPUTED_VALUE"""),4.0)</f>
        <v>4</v>
      </c>
      <c r="O937" s="213">
        <f>IFERROR(__xludf.DUMMYFUNCTION("""COMPUTED_VALUE"""),4.0)</f>
        <v>4</v>
      </c>
      <c r="P937" s="213"/>
      <c r="Q937" s="213"/>
      <c r="R937" s="213" t="str">
        <f>IFERROR(__xludf.DUMMYFUNCTION("""COMPUTED_VALUE"""),"SI")</f>
        <v>SI</v>
      </c>
      <c r="S937" s="213"/>
      <c r="T937" s="213" t="str">
        <f>IFERROR(__xludf.DUMMYFUNCTION("""COMPUTED_VALUE"""),"SI")</f>
        <v>SI</v>
      </c>
      <c r="U937" s="213" t="str">
        <f>IFERROR(__xludf.DUMMYFUNCTION("""COMPUTED_VALUE"""),"SI")</f>
        <v>SI</v>
      </c>
      <c r="V937" s="213" t="str">
        <f>IFERROR(__xludf.DUMMYFUNCTION("""COMPUTED_VALUE"""),"-")</f>
        <v>-</v>
      </c>
      <c r="W937" s="213" t="str">
        <f>IFERROR(__xludf.DUMMYFUNCTION("""COMPUTED_VALUE"""),"-")</f>
        <v>-</v>
      </c>
      <c r="X937" s="213" t="str">
        <f>IFERROR(__xludf.DUMMYFUNCTION("""COMPUTED_VALUE"""),"IRIMO")</f>
        <v>IRIMO</v>
      </c>
      <c r="Y937" s="213" t="str">
        <f>IFERROR(__xludf.DUMMYFUNCTION("""COMPUTED_VALUE"""),"Set 15 / Set 12")</f>
        <v>Set 15 / Set 12</v>
      </c>
      <c r="Z937" s="215" t="str">
        <f>IFERROR(__xludf.DUMMYFUNCTION("""COMPUTED_VALUE"""),"https://www.irimo.com/int_en/hex-keys-nickel-plated-set-metric-pb_041101_.html")</f>
        <v>https://www.irimo.com/int_en/hex-keys-nickel-plated-set-metric-pb_041101_.html</v>
      </c>
      <c r="AA937" s="213" t="str">
        <f>IFERROR(__xludf.DUMMYFUNCTION("""COMPUTED_VALUE"""),"HER-146-A JUEGO DE LLAVES ALLEN - CET")</f>
        <v>HER-146-A JUEGO DE LLAVES ALLEN - CET</v>
      </c>
      <c r="AB937" s="213"/>
      <c r="AC937" s="213"/>
      <c r="AD937" s="213"/>
      <c r="AE937" s="213"/>
      <c r="AF937" s="213"/>
      <c r="AG937" s="213"/>
      <c r="AH937" s="213"/>
      <c r="AI937" s="213"/>
      <c r="AJ937" s="213"/>
      <c r="AK937" s="213"/>
      <c r="AL937" s="213"/>
      <c r="AM937" s="213"/>
      <c r="AN937" s="213"/>
      <c r="AO937" s="213"/>
      <c r="AP937" s="213" t="str">
        <f>IFERROR(__xludf.DUMMYFUNCTION("""COMPUTED_VALUE"""),"LUIS")</f>
        <v>LUIS</v>
      </c>
      <c r="AQ937" s="213"/>
      <c r="AR937" s="213"/>
      <c r="AS937" s="213"/>
      <c r="AT937" s="213"/>
      <c r="AU937" s="213"/>
      <c r="AV937" s="213"/>
      <c r="AW937" s="213"/>
      <c r="AX937" s="213"/>
      <c r="AY937" s="213"/>
      <c r="AZ937" s="213"/>
      <c r="BA937" s="213"/>
      <c r="BB937" s="213"/>
      <c r="BC937" s="213"/>
      <c r="BD937" s="213"/>
    </row>
    <row r="938">
      <c r="A938" s="213">
        <f>IFERROR(__xludf.DUMMYFUNCTION("""COMPUTED_VALUE"""),967.0)</f>
        <v>967</v>
      </c>
      <c r="B938" s="213" t="str">
        <f>IFERROR(__xludf.DUMMYFUNCTION("""COMPUTED_VALUE"""),"FRANCISCO IRAZOLA")</f>
        <v>FRANCISCO IRAZOLA</v>
      </c>
      <c r="C938" s="213" t="str">
        <f>IFERROR(__xludf.DUMMYFUNCTION("""COMPUTED_VALUE"""),"TALLER SFT DE MECÁNICA AUTOMOTRIZ")</f>
        <v>TALLER SFT DE MECÁNICA AUTOMOTRIZ</v>
      </c>
      <c r="D938" s="213" t="str">
        <f>IFERROR(__xludf.DUMMYFUNCTION("""COMPUTED_VALUE"""),"HERRAMIENTAS")</f>
        <v>HERRAMIENTAS</v>
      </c>
      <c r="E938" s="213" t="str">
        <f>IFERROR(__xludf.DUMMYFUNCTION("""COMPUTED_VALUE"""),"HER-146")</f>
        <v>HER-146</v>
      </c>
      <c r="F938" s="213" t="str">
        <f>IFERROR(__xludf.DUMMYFUNCTION("""COMPUTED_VALUE"""),"HER-146")</f>
        <v>HER-146</v>
      </c>
      <c r="G938" s="213"/>
      <c r="H938" s="213" t="str">
        <f>IFERROR(__xludf.DUMMYFUNCTION("""COMPUTED_VALUE"""),"JUEGO DE LLAVES ALLEN")</f>
        <v>JUEGO DE LLAVES ALLEN</v>
      </c>
      <c r="I938" s="213" t="str">
        <f>IFERROR(__xludf.DUMMYFUNCTION("""COMPUTED_VALUE"""),"Llaves hexagonales niqueladas. Tamaño marcado en la varilla. Composición y dimensiones:
Set de 15 llaves graduados en milímetros: 2, 2.5, 3, 4, 5, 6, 7, 8, 9, 10, 12, 14, 17, 19, 22 mm.
Set de 12 llaves graduados en pulgadas: 1/8"", 5/32"", 3/16"", 7/32"""&amp;", 1/4"", 5/16"", 3/8"", 7/16"", 1/2"", 9/16"", 5/8"", 3/4"".
Incluye estuche de plástico.")</f>
        <v>Llaves hexagonales niqueladas. Tamaño marcado en la varilla. Composición y dimensiones:
Set de 15 llaves graduados en milímetros: 2, 2.5, 3, 4, 5, 6, 7, 8, 9, 10, 12, 14, 17, 19, 22 mm.
Set de 12 llaves graduados en pulgadas: 1/8", 5/32", 3/16", 7/32", 1/4", 5/16", 3/8", 7/16", 1/2", 9/16", 5/8", 3/4".
Incluye estuche de plástico.</v>
      </c>
      <c r="J938" s="213">
        <f>IFERROR(__xludf.DUMMYFUNCTION("""COMPUTED_VALUE"""),3.0)</f>
        <v>3</v>
      </c>
      <c r="K938" s="213" t="str">
        <f>IFERROR(__xludf.DUMMYFUNCTION("""COMPUTED_VALUE"""),"90 DÍAS CALENDARIO")</f>
        <v>90 DÍAS CALENDARIO</v>
      </c>
      <c r="L938" s="213" t="str">
        <f>IFERROR(__xludf.DUMMYFUNCTION("""COMPUTED_VALUE"""),"ELECTRÓNICA, EBANISTERÍA, MECÁNICA AUTOMOTRÍZ")</f>
        <v>ELECTRÓNICA, EBANISTERÍA, MECÁNICA AUTOMOTRÍZ</v>
      </c>
      <c r="M938" s="213">
        <f>IFERROR(__xludf.DUMMYFUNCTION("""COMPUTED_VALUE"""),1.0)</f>
        <v>1</v>
      </c>
      <c r="N938" s="213">
        <f>IFERROR(__xludf.DUMMYFUNCTION("""COMPUTED_VALUE"""),4.0)</f>
        <v>4</v>
      </c>
      <c r="O938" s="213">
        <f>IFERROR(__xludf.DUMMYFUNCTION("""COMPUTED_VALUE"""),4.0)</f>
        <v>4</v>
      </c>
      <c r="P938" s="213"/>
      <c r="Q938" s="213"/>
      <c r="R938" s="213" t="str">
        <f>IFERROR(__xludf.DUMMYFUNCTION("""COMPUTED_VALUE"""),"SI")</f>
        <v>SI</v>
      </c>
      <c r="S938" s="213"/>
      <c r="T938" s="213" t="str">
        <f>IFERROR(__xludf.DUMMYFUNCTION("""COMPUTED_VALUE"""),"SI")</f>
        <v>SI</v>
      </c>
      <c r="U938" s="213" t="str">
        <f>IFERROR(__xludf.DUMMYFUNCTION("""COMPUTED_VALUE"""),"SI")</f>
        <v>SI</v>
      </c>
      <c r="V938" s="213" t="str">
        <f>IFERROR(__xludf.DUMMYFUNCTION("""COMPUTED_VALUE"""),"-")</f>
        <v>-</v>
      </c>
      <c r="W938" s="213" t="str">
        <f>IFERROR(__xludf.DUMMYFUNCTION("""COMPUTED_VALUE"""),"-")</f>
        <v>-</v>
      </c>
      <c r="X938" s="213" t="str">
        <f>IFERROR(__xludf.DUMMYFUNCTION("""COMPUTED_VALUE"""),"IRIMO")</f>
        <v>IRIMO</v>
      </c>
      <c r="Y938" s="213" t="str">
        <f>IFERROR(__xludf.DUMMYFUNCTION("""COMPUTED_VALUE"""),"Set 15 / Set 12")</f>
        <v>Set 15 / Set 12</v>
      </c>
      <c r="Z938" s="215" t="str">
        <f>IFERROR(__xludf.DUMMYFUNCTION("""COMPUTED_VALUE"""),"https://www.irimo.com/int_en/hex-keys-nickel-plated-set-metric-pb_041101_.html")</f>
        <v>https://www.irimo.com/int_en/hex-keys-nickel-plated-set-metric-pb_041101_.html</v>
      </c>
      <c r="AA938" s="213" t="str">
        <f>IFERROR(__xludf.DUMMYFUNCTION("""COMPUTED_VALUE"""),"HER-146 JUEGO DE LLAVES ALLEN - CET")</f>
        <v>HER-146 JUEGO DE LLAVES ALLEN - CET</v>
      </c>
      <c r="AB938" s="213"/>
      <c r="AC938" s="213"/>
      <c r="AD938" s="213"/>
      <c r="AE938" s="213"/>
      <c r="AF938" s="213"/>
      <c r="AG938" s="213"/>
      <c r="AH938" s="213"/>
      <c r="AI938" s="213"/>
      <c r="AJ938" s="213"/>
      <c r="AK938" s="213"/>
      <c r="AL938" s="213"/>
      <c r="AM938" s="213"/>
      <c r="AN938" s="213"/>
      <c r="AO938" s="213"/>
      <c r="AP938" s="213" t="str">
        <f>IFERROR(__xludf.DUMMYFUNCTION("""COMPUTED_VALUE"""),"SEBASTIAN")</f>
        <v>SEBASTIAN</v>
      </c>
      <c r="AQ938" s="213"/>
      <c r="AR938" s="213"/>
      <c r="AS938" s="213"/>
      <c r="AT938" s="213"/>
      <c r="AU938" s="213"/>
      <c r="AV938" s="213"/>
      <c r="AW938" s="213"/>
      <c r="AX938" s="213"/>
      <c r="AY938" s="213"/>
      <c r="AZ938" s="213"/>
      <c r="BA938" s="213"/>
      <c r="BB938" s="213"/>
      <c r="BC938" s="213"/>
      <c r="BD938" s="213"/>
    </row>
    <row r="939">
      <c r="A939" s="213">
        <f>IFERROR(__xludf.DUMMYFUNCTION("""COMPUTED_VALUE"""),1568.0)</f>
        <v>1568</v>
      </c>
      <c r="B939" s="213" t="str">
        <f>IFERROR(__xludf.DUMMYFUNCTION("""COMPUTED_VALUE"""),"GUILLERMO E. BILLINGHURST ")</f>
        <v>GUILLERMO E. BILLINGHURST </v>
      </c>
      <c r="C939" s="213" t="str">
        <f>IFERROR(__xludf.DUMMYFUNCTION("""COMPUTED_VALUE"""),"TALLER SFT DE MECÁNICA AUTOMOTRIZ")</f>
        <v>TALLER SFT DE MECÁNICA AUTOMOTRIZ</v>
      </c>
      <c r="D939" s="213" t="str">
        <f>IFERROR(__xludf.DUMMYFUNCTION("""COMPUTED_VALUE"""),"HERRAMIENTAS")</f>
        <v>HERRAMIENTAS</v>
      </c>
      <c r="E939" s="213" t="str">
        <f>IFERROR(__xludf.DUMMYFUNCTION("""COMPUTED_VALUE"""),"HER-146")</f>
        <v>HER-146</v>
      </c>
      <c r="F939" s="213" t="str">
        <f>IFERROR(__xludf.DUMMYFUNCTION("""COMPUTED_VALUE"""),"HER-146")</f>
        <v>HER-146</v>
      </c>
      <c r="G939" s="213"/>
      <c r="H939" s="213" t="str">
        <f>IFERROR(__xludf.DUMMYFUNCTION("""COMPUTED_VALUE"""),"JUEGO DE LLAVES ALLEN")</f>
        <v>JUEGO DE LLAVES ALLEN</v>
      </c>
      <c r="I939" s="213" t="str">
        <f>IFERROR(__xludf.DUMMYFUNCTION("""COMPUTED_VALUE"""),"Llaves hexagonales niqueladas. Tamaño marcado en la varilla. Composición y dimensiones:
Set de 15 llaves graduados en milímetros: 2, 2.5, 3, 4, 5, 6, 7, 8, 9, 10, 12, 14, 17, 19, 22 mm.
Set de 12 llaves graduados en pulgadas: 1/8"", 5/32"", 3/16"", 7/32"""&amp;", 1/4"", 5/16"", 3/8"", 7/16"", 1/2"", 9/16"", 5/8"", 3/4"".
Incluye estuche de plástico.")</f>
        <v>Llaves hexagonales niqueladas. Tamaño marcado en la varilla. Composición y dimensiones:
Set de 15 llaves graduados en milímetros: 2, 2.5, 3, 4, 5, 6, 7, 8, 9, 10, 12, 14, 17, 19, 22 mm.
Set de 12 llaves graduados en pulgadas: 1/8", 5/32", 3/16", 7/32", 1/4", 5/16", 3/8", 7/16", 1/2", 9/16", 5/8", 3/4".
Incluye estuche de plástico.</v>
      </c>
      <c r="J939" s="213">
        <f>IFERROR(__xludf.DUMMYFUNCTION("""COMPUTED_VALUE"""),3.0)</f>
        <v>3</v>
      </c>
      <c r="K939" s="213" t="str">
        <f>IFERROR(__xludf.DUMMYFUNCTION("""COMPUTED_VALUE"""),"90 DÍAS CALENDARIO")</f>
        <v>90 DÍAS CALENDARIO</v>
      </c>
      <c r="L939" s="213" t="str">
        <f>IFERROR(__xludf.DUMMYFUNCTION("""COMPUTED_VALUE"""),"ELECTRÓNICA, EBANISTERÍA, MECÁNICA AUTOMOTRÍZ")</f>
        <v>ELECTRÓNICA, EBANISTERÍA, MECÁNICA AUTOMOTRÍZ</v>
      </c>
      <c r="M939" s="213">
        <f>IFERROR(__xludf.DUMMYFUNCTION("""COMPUTED_VALUE"""),1.0)</f>
        <v>1</v>
      </c>
      <c r="N939" s="213">
        <f>IFERROR(__xludf.DUMMYFUNCTION("""COMPUTED_VALUE"""),4.0)</f>
        <v>4</v>
      </c>
      <c r="O939" s="213">
        <f>IFERROR(__xludf.DUMMYFUNCTION("""COMPUTED_VALUE"""),4.0)</f>
        <v>4</v>
      </c>
      <c r="P939" s="213"/>
      <c r="Q939" s="213"/>
      <c r="R939" s="213" t="str">
        <f>IFERROR(__xludf.DUMMYFUNCTION("""COMPUTED_VALUE"""),"SI")</f>
        <v>SI</v>
      </c>
      <c r="S939" s="213"/>
      <c r="T939" s="213" t="str">
        <f>IFERROR(__xludf.DUMMYFUNCTION("""COMPUTED_VALUE"""),"SI")</f>
        <v>SI</v>
      </c>
      <c r="U939" s="213" t="str">
        <f>IFERROR(__xludf.DUMMYFUNCTION("""COMPUTED_VALUE"""),"SI")</f>
        <v>SI</v>
      </c>
      <c r="V939" s="213" t="str">
        <f>IFERROR(__xludf.DUMMYFUNCTION("""COMPUTED_VALUE"""),"-")</f>
        <v>-</v>
      </c>
      <c r="W939" s="213" t="str">
        <f>IFERROR(__xludf.DUMMYFUNCTION("""COMPUTED_VALUE"""),"-")</f>
        <v>-</v>
      </c>
      <c r="X939" s="213" t="str">
        <f>IFERROR(__xludf.DUMMYFUNCTION("""COMPUTED_VALUE"""),"IRIMO")</f>
        <v>IRIMO</v>
      </c>
      <c r="Y939" s="213" t="str">
        <f>IFERROR(__xludf.DUMMYFUNCTION("""COMPUTED_VALUE"""),"Set 15 / Set 12")</f>
        <v>Set 15 / Set 12</v>
      </c>
      <c r="Z939" s="215" t="str">
        <f>IFERROR(__xludf.DUMMYFUNCTION("""COMPUTED_VALUE"""),"https://www.irimo.com/int_en/hex-keys-nickel-plated-set-metric-pb_041101_.html")</f>
        <v>https://www.irimo.com/int_en/hex-keys-nickel-plated-set-metric-pb_041101_.html</v>
      </c>
      <c r="AA939" s="215" t="str">
        <f>IFERROR(__xludf.DUMMYFUNCTION("""COMPUTED_VALUE"""),"https://docs.google.com/spreadsheets/d/1BD93GYF-56qzCzM-ACekzb7NFVwD-fCQC0cpf5HnRmA/edit?gid=0#gid=1")</f>
        <v>https://docs.google.com/spreadsheets/d/1BD93GYF-56qzCzM-ACekzb7NFVwD-fCQC0cpf5HnRmA/edit?gid=0#gid=1</v>
      </c>
      <c r="AB939" s="213"/>
      <c r="AC939" s="213"/>
      <c r="AD939" s="213"/>
      <c r="AE939" s="213"/>
      <c r="AF939" s="213"/>
      <c r="AG939" s="213"/>
      <c r="AH939" s="213"/>
      <c r="AI939" s="213"/>
      <c r="AJ939" s="213"/>
      <c r="AK939" s="213"/>
      <c r="AL939" s="213"/>
      <c r="AM939" s="213"/>
      <c r="AN939" s="213"/>
      <c r="AO939" s="213"/>
      <c r="AP939" s="213" t="str">
        <f>IFERROR(__xludf.DUMMYFUNCTION("""COMPUTED_VALUE"""),"SEBASTIAN")</f>
        <v>SEBASTIAN</v>
      </c>
      <c r="AQ939" s="213"/>
      <c r="AR939" s="213"/>
      <c r="AS939" s="213"/>
      <c r="AT939" s="213"/>
      <c r="AU939" s="213"/>
      <c r="AV939" s="213"/>
      <c r="AW939" s="213"/>
      <c r="AX939" s="213"/>
      <c r="AY939" s="213"/>
      <c r="AZ939" s="213"/>
      <c r="BA939" s="213"/>
      <c r="BB939" s="213"/>
      <c r="BC939" s="213"/>
      <c r="BD939" s="213"/>
    </row>
    <row r="940">
      <c r="A940" s="213">
        <f>IFERROR(__xludf.DUMMYFUNCTION("""COMPUTED_VALUE"""),1821.0)</f>
        <v>1821</v>
      </c>
      <c r="B940" s="213" t="str">
        <f>IFERROR(__xludf.DUMMYFUNCTION("""COMPUTED_VALUE"""),"GUILLERMO E. BILLINGHURST ")</f>
        <v>GUILLERMO E. BILLINGHURST </v>
      </c>
      <c r="C940" s="213" t="str">
        <f>IFERROR(__xludf.DUMMYFUNCTION("""COMPUTED_VALUE"""),"TALLER SFT DE EBANISTERÍA")</f>
        <v>TALLER SFT DE EBANISTERÍA</v>
      </c>
      <c r="D940" s="213" t="str">
        <f>IFERROR(__xludf.DUMMYFUNCTION("""COMPUTED_VALUE"""),"HERRAMIENTAS")</f>
        <v>HERRAMIENTAS</v>
      </c>
      <c r="E940" s="213" t="str">
        <f>IFERROR(__xludf.DUMMYFUNCTION("""COMPUTED_VALUE"""),"HER-146")</f>
        <v>HER-146</v>
      </c>
      <c r="F940" s="213" t="str">
        <f>IFERROR(__xludf.DUMMYFUNCTION("""COMPUTED_VALUE"""),"HER-146")</f>
        <v>HER-146</v>
      </c>
      <c r="G940" s="213"/>
      <c r="H940" s="213" t="str">
        <f>IFERROR(__xludf.DUMMYFUNCTION("""COMPUTED_VALUE"""),"JUEGO DE LLAVES ALLEN")</f>
        <v>JUEGO DE LLAVES ALLEN</v>
      </c>
      <c r="I940" s="213" t="str">
        <f>IFERROR(__xludf.DUMMYFUNCTION("""COMPUTED_VALUE"""),"Llaves hexagonales niqueladas. Tamaño marcado en la varilla. Composición y dimensiones:
Set de 15 llaves graduados en milímetros: 2, 2.5, 3, 4, 5, 6, 7, 8, 9, 10, 12, 14, 17, 19, 22.
Set de 12 llaves graduados en pulgadas: 1/8"", 5/32"", 3/16"", 7/32"", 1"&amp;"/4"", 5/16"", 3/8"", 7/16"", 1/2"", 9/16"", 5/8"", 3/4"".
Incluye estuche de plástico.")</f>
        <v>Llaves hexagonales niqueladas. Tamaño marcado en la varilla. Composición y dimensiones:
Set de 15 llaves graduados en milímetros: 2, 2.5, 3, 4, 5, 6, 7, 8, 9, 10, 12, 14, 17, 19, 22.
Set de 12 llaves graduados en pulgadas: 1/8", 5/32", 3/16", 7/32", 1/4", 5/16", 3/8", 7/16", 1/2", 9/16", 5/8", 3/4".
Incluye estuche de plástico.</v>
      </c>
      <c r="J940" s="213">
        <f>IFERROR(__xludf.DUMMYFUNCTION("""COMPUTED_VALUE"""),3.0)</f>
        <v>3</v>
      </c>
      <c r="K940" s="213" t="str">
        <f>IFERROR(__xludf.DUMMYFUNCTION("""COMPUTED_VALUE"""),"90 DÍAS CALENDARIO")</f>
        <v>90 DÍAS CALENDARIO</v>
      </c>
      <c r="L940" s="213" t="str">
        <f>IFERROR(__xludf.DUMMYFUNCTION("""COMPUTED_VALUE"""),"ELECTRÓNICA, EBANISTERÍA, MECÁNICA AUTOMOTRÍZ")</f>
        <v>ELECTRÓNICA, EBANISTERÍA, MECÁNICA AUTOMOTRÍZ</v>
      </c>
      <c r="M940" s="213">
        <f>IFERROR(__xludf.DUMMYFUNCTION("""COMPUTED_VALUE"""),1.0)</f>
        <v>1</v>
      </c>
      <c r="N940" s="213">
        <f>IFERROR(__xludf.DUMMYFUNCTION("""COMPUTED_VALUE"""),4.0)</f>
        <v>4</v>
      </c>
      <c r="O940" s="213">
        <f>IFERROR(__xludf.DUMMYFUNCTION("""COMPUTED_VALUE"""),4.0)</f>
        <v>4</v>
      </c>
      <c r="P940" s="213"/>
      <c r="Q940" s="213"/>
      <c r="R940" s="213" t="str">
        <f>IFERROR(__xludf.DUMMYFUNCTION("""COMPUTED_VALUE"""),"SI")</f>
        <v>SI</v>
      </c>
      <c r="S940" s="213"/>
      <c r="T940" s="213" t="str">
        <f>IFERROR(__xludf.DUMMYFUNCTION("""COMPUTED_VALUE"""),"SI")</f>
        <v>SI</v>
      </c>
      <c r="U940" s="213" t="str">
        <f>IFERROR(__xludf.DUMMYFUNCTION("""COMPUTED_VALUE"""),"SI")</f>
        <v>SI</v>
      </c>
      <c r="V940" s="213" t="str">
        <f>IFERROR(__xludf.DUMMYFUNCTION("""COMPUTED_VALUE"""),"-")</f>
        <v>-</v>
      </c>
      <c r="W940" s="213" t="str">
        <f>IFERROR(__xludf.DUMMYFUNCTION("""COMPUTED_VALUE"""),"-")</f>
        <v>-</v>
      </c>
      <c r="X940" s="213" t="str">
        <f>IFERROR(__xludf.DUMMYFUNCTION("""COMPUTED_VALUE"""),"IRIMO")</f>
        <v>IRIMO</v>
      </c>
      <c r="Y940" s="213" t="str">
        <f>IFERROR(__xludf.DUMMYFUNCTION("""COMPUTED_VALUE"""),"Set 15 / Set 12")</f>
        <v>Set 15 / Set 12</v>
      </c>
      <c r="Z940" s="215" t="str">
        <f>IFERROR(__xludf.DUMMYFUNCTION("""COMPUTED_VALUE"""),"https://www.irimo.com/int_en/hex-keys-nickel-plated-set-metric-pb_041101_.html")</f>
        <v>https://www.irimo.com/int_en/hex-keys-nickel-plated-set-metric-pb_041101_.html</v>
      </c>
      <c r="AA940" s="215" t="str">
        <f>IFERROR(__xludf.DUMMYFUNCTION("""COMPUTED_VALUE"""),"https://docs.google.com/spreadsheets/d/1BD93GYF-56qzCzM-ACekzb7NFVwD-fCQC0cpf5HnRmA/edit?gid=0#gid=2")</f>
        <v>https://docs.google.com/spreadsheets/d/1BD93GYF-56qzCzM-ACekzb7NFVwD-fCQC0cpf5HnRmA/edit?gid=0#gid=2</v>
      </c>
      <c r="AB940" s="213"/>
      <c r="AC940" s="213"/>
      <c r="AD940" s="213"/>
      <c r="AE940" s="213"/>
      <c r="AF940" s="213"/>
      <c r="AG940" s="213"/>
      <c r="AH940" s="213"/>
      <c r="AI940" s="213"/>
      <c r="AJ940" s="213"/>
      <c r="AK940" s="213"/>
      <c r="AL940" s="213"/>
      <c r="AM940" s="213"/>
      <c r="AN940" s="213"/>
      <c r="AO940" s="213"/>
      <c r="AP940" s="213" t="str">
        <f>IFERROR(__xludf.DUMMYFUNCTION("""COMPUTED_VALUE"""),"SEBASTIAN")</f>
        <v>SEBASTIAN</v>
      </c>
      <c r="AQ940" s="213"/>
      <c r="AR940" s="213"/>
      <c r="AS940" s="213"/>
      <c r="AT940" s="213"/>
      <c r="AU940" s="213"/>
      <c r="AV940" s="213"/>
      <c r="AW940" s="213"/>
      <c r="AX940" s="213"/>
      <c r="AY940" s="213"/>
      <c r="AZ940" s="213"/>
      <c r="BA940" s="213"/>
      <c r="BB940" s="213"/>
      <c r="BC940" s="213"/>
      <c r="BD940" s="213"/>
    </row>
    <row r="941">
      <c r="A941" s="213">
        <f>IFERROR(__xludf.DUMMYFUNCTION("""COMPUTED_VALUE"""),2260.0)</f>
        <v>2260</v>
      </c>
      <c r="B941" s="213" t="str">
        <f>IFERROR(__xludf.DUMMYFUNCTION("""COMPUTED_VALUE"""),"JOSE GRANDA")</f>
        <v>JOSE GRANDA</v>
      </c>
      <c r="C941" s="213" t="str">
        <f>IFERROR(__xludf.DUMMYFUNCTION("""COMPUTED_VALUE"""),"TALLER SFT DE MECÁNICA AUTOMOTRIZ")</f>
        <v>TALLER SFT DE MECÁNICA AUTOMOTRIZ</v>
      </c>
      <c r="D941" s="213" t="str">
        <f>IFERROR(__xludf.DUMMYFUNCTION("""COMPUTED_VALUE"""),"HERRAMIENTAS")</f>
        <v>HERRAMIENTAS</v>
      </c>
      <c r="E941" s="213" t="str">
        <f>IFERROR(__xludf.DUMMYFUNCTION("""COMPUTED_VALUE"""),"HER-146")</f>
        <v>HER-146</v>
      </c>
      <c r="F941" s="213" t="str">
        <f>IFERROR(__xludf.DUMMYFUNCTION("""COMPUTED_VALUE"""),"HER-146")</f>
        <v>HER-146</v>
      </c>
      <c r="G941" s="213"/>
      <c r="H941" s="213" t="str">
        <f>IFERROR(__xludf.DUMMYFUNCTION("""COMPUTED_VALUE"""),"JUEGO DE LLAVES ALLEN")</f>
        <v>JUEGO DE LLAVES ALLEN</v>
      </c>
      <c r="I941" s="213" t="str">
        <f>IFERROR(__xludf.DUMMYFUNCTION("""COMPUTED_VALUE"""),"Llaves hexagonales niqueladas. Tamaño marcado en la varilla. Composición y dimensiones:
Set de 15 llaves graduados en milímetros: 2, 2.5, 3, 4, 5, 6, 7, 8, 9, 10, 12, 14, 17, 19, 22 mm.
Set de 12 llaves graduados en pulgadas: 1/8"", 5/32"", 3/16"", 7/32"""&amp;", 1/4"", 5/16"", 3/8"", 7/16"", 1/2"", 9/16"", 5/8"", 3/4"".
Incluye estuche de plástico.")</f>
        <v>Llaves hexagonales niqueladas. Tamaño marcado en la varilla. Composición y dimensiones:
Set de 15 llaves graduados en milímetros: 2, 2.5, 3, 4, 5, 6, 7, 8, 9, 10, 12, 14, 17, 19, 22 mm.
Set de 12 llaves graduados en pulgadas: 1/8", 5/32", 3/16", 7/32", 1/4", 5/16", 3/8", 7/16", 1/2", 9/16", 5/8", 3/4".
Incluye estuche de plástico.</v>
      </c>
      <c r="J941" s="213">
        <f>IFERROR(__xludf.DUMMYFUNCTION("""COMPUTED_VALUE"""),3.0)</f>
        <v>3</v>
      </c>
      <c r="K941" s="213" t="str">
        <f>IFERROR(__xludf.DUMMYFUNCTION("""COMPUTED_VALUE"""),"90 DÍAS CALENDARIO")</f>
        <v>90 DÍAS CALENDARIO</v>
      </c>
      <c r="L941" s="213" t="str">
        <f>IFERROR(__xludf.DUMMYFUNCTION("""COMPUTED_VALUE"""),"ELECTRÓNICA, EBANISTERÍA, MECÁNICA AUTOMOTRÍZ")</f>
        <v>ELECTRÓNICA, EBANISTERÍA, MECÁNICA AUTOMOTRÍZ</v>
      </c>
      <c r="M941" s="213">
        <f>IFERROR(__xludf.DUMMYFUNCTION("""COMPUTED_VALUE"""),1.0)</f>
        <v>1</v>
      </c>
      <c r="N941" s="213">
        <f>IFERROR(__xludf.DUMMYFUNCTION("""COMPUTED_VALUE"""),4.0)</f>
        <v>4</v>
      </c>
      <c r="O941" s="213">
        <f>IFERROR(__xludf.DUMMYFUNCTION("""COMPUTED_VALUE"""),4.0)</f>
        <v>4</v>
      </c>
      <c r="P941" s="213"/>
      <c r="Q941" s="213"/>
      <c r="R941" s="213" t="str">
        <f>IFERROR(__xludf.DUMMYFUNCTION("""COMPUTED_VALUE"""),"SI")</f>
        <v>SI</v>
      </c>
      <c r="S941" s="213"/>
      <c r="T941" s="213" t="str">
        <f>IFERROR(__xludf.DUMMYFUNCTION("""COMPUTED_VALUE"""),"SI")</f>
        <v>SI</v>
      </c>
      <c r="U941" s="213" t="str">
        <f>IFERROR(__xludf.DUMMYFUNCTION("""COMPUTED_VALUE"""),"SI")</f>
        <v>SI</v>
      </c>
      <c r="V941" s="213" t="str">
        <f>IFERROR(__xludf.DUMMYFUNCTION("""COMPUTED_VALUE"""),"-")</f>
        <v>-</v>
      </c>
      <c r="W941" s="213" t="str">
        <f>IFERROR(__xludf.DUMMYFUNCTION("""COMPUTED_VALUE"""),"-")</f>
        <v>-</v>
      </c>
      <c r="X941" s="213" t="str">
        <f>IFERROR(__xludf.DUMMYFUNCTION("""COMPUTED_VALUE"""),"IRIMO")</f>
        <v>IRIMO</v>
      </c>
      <c r="Y941" s="213" t="str">
        <f>IFERROR(__xludf.DUMMYFUNCTION("""COMPUTED_VALUE"""),"Set 15 / Set 12")</f>
        <v>Set 15 / Set 12</v>
      </c>
      <c r="Z941" s="215" t="str">
        <f>IFERROR(__xludf.DUMMYFUNCTION("""COMPUTED_VALUE"""),"https://www.irimo.com/int_en/hex-keys-nickel-plated-set-metric-pb_041101_.html")</f>
        <v>https://www.irimo.com/int_en/hex-keys-nickel-plated-set-metric-pb_041101_.html</v>
      </c>
      <c r="AA941" s="215" t="str">
        <f>IFERROR(__xludf.DUMMYFUNCTION("""COMPUTED_VALUE"""),"https://docs.google.com/spreadsheets/d/1BD93GYF-56qzCzM-ACekzb7NFVwD-fCQC0cpf5HnRmA/edit?gid=0#gid=3")</f>
        <v>https://docs.google.com/spreadsheets/d/1BD93GYF-56qzCzM-ACekzb7NFVwD-fCQC0cpf5HnRmA/edit?gid=0#gid=3</v>
      </c>
      <c r="AB941" s="213"/>
      <c r="AC941" s="213"/>
      <c r="AD941" s="213"/>
      <c r="AE941" s="213"/>
      <c r="AF941" s="213"/>
      <c r="AG941" s="213"/>
      <c r="AH941" s="213"/>
      <c r="AI941" s="213"/>
      <c r="AJ941" s="213"/>
      <c r="AK941" s="213"/>
      <c r="AL941" s="213"/>
      <c r="AM941" s="213"/>
      <c r="AN941" s="213"/>
      <c r="AO941" s="213"/>
      <c r="AP941" s="213" t="str">
        <f>IFERROR(__xludf.DUMMYFUNCTION("""COMPUTED_VALUE"""),"SEBASTIAN")</f>
        <v>SEBASTIAN</v>
      </c>
      <c r="AQ941" s="213"/>
      <c r="AR941" s="213"/>
      <c r="AS941" s="213"/>
      <c r="AT941" s="213"/>
      <c r="AU941" s="213"/>
      <c r="AV941" s="213"/>
      <c r="AW941" s="213"/>
      <c r="AX941" s="213"/>
      <c r="AY941" s="213"/>
      <c r="AZ941" s="213"/>
      <c r="BA941" s="213"/>
      <c r="BB941" s="213"/>
      <c r="BC941" s="213"/>
      <c r="BD941" s="213"/>
    </row>
    <row r="942">
      <c r="A942" s="213">
        <f>IFERROR(__xludf.DUMMYFUNCTION("""COMPUTED_VALUE"""),2603.0)</f>
        <v>2603</v>
      </c>
      <c r="B942" s="213" t="str">
        <f>IFERROR(__xludf.DUMMYFUNCTION("""COMPUTED_VALUE"""),"MANUEL ANTONIO MESONES MURO")</f>
        <v>MANUEL ANTONIO MESONES MURO</v>
      </c>
      <c r="C942" s="213" t="str">
        <f>IFERROR(__xludf.DUMMYFUNCTION("""COMPUTED_VALUE"""),"TALLER SFT DE EBANISTERÍA")</f>
        <v>TALLER SFT DE EBANISTERÍA</v>
      </c>
      <c r="D942" s="213" t="str">
        <f>IFERROR(__xludf.DUMMYFUNCTION("""COMPUTED_VALUE"""),"HERRAMIENTAS")</f>
        <v>HERRAMIENTAS</v>
      </c>
      <c r="E942" s="213" t="str">
        <f>IFERROR(__xludf.DUMMYFUNCTION("""COMPUTED_VALUE"""),"HER-146")</f>
        <v>HER-146</v>
      </c>
      <c r="F942" s="213" t="str">
        <f>IFERROR(__xludf.DUMMYFUNCTION("""COMPUTED_VALUE"""),"HER-146")</f>
        <v>HER-146</v>
      </c>
      <c r="G942" s="213"/>
      <c r="H942" s="213" t="str">
        <f>IFERROR(__xludf.DUMMYFUNCTION("""COMPUTED_VALUE"""),"JUEGO DE LLAVES ALLEN")</f>
        <v>JUEGO DE LLAVES ALLEN</v>
      </c>
      <c r="I942" s="213" t="str">
        <f>IFERROR(__xludf.DUMMYFUNCTION("""COMPUTED_VALUE"""),"Llaves hexagonales niqueladas. Tamaño marcado en la varilla. Composición y dimensiones:
Set de 15 llaves graduados en milímetros: 2, 2.5, 3, 4, 5, 6, 7, 8, 9, 10, 12, 14, 17, 19, 22.
Set de 12 llaves graduados en pulgadas: 1/8"", 5/32"", 3/16"", 7/32"", 1"&amp;"/4"", 5/16"", 3/8"", 7/16"", 1/2"", 9/16"", 5/8"", 3/4"".
Incluye estuche de plástico.")</f>
        <v>Llaves hexagonales niqueladas. Tamaño marcado en la varilla. Composición y dimensiones:
Set de 15 llaves graduados en milímetros: 2, 2.5, 3, 4, 5, 6, 7, 8, 9, 10, 12, 14, 17, 19, 22.
Set de 12 llaves graduados en pulgadas: 1/8", 5/32", 3/16", 7/32", 1/4", 5/16", 3/8", 7/16", 1/2", 9/16", 5/8", 3/4".
Incluye estuche de plástico.</v>
      </c>
      <c r="J942" s="213">
        <f>IFERROR(__xludf.DUMMYFUNCTION("""COMPUTED_VALUE"""),3.0)</f>
        <v>3</v>
      </c>
      <c r="K942" s="213" t="str">
        <f>IFERROR(__xludf.DUMMYFUNCTION("""COMPUTED_VALUE"""),"90 DÍAS CALENDARIO")</f>
        <v>90 DÍAS CALENDARIO</v>
      </c>
      <c r="L942" s="213" t="str">
        <f>IFERROR(__xludf.DUMMYFUNCTION("""COMPUTED_VALUE"""),"ELECTRÓNICA, EBANISTERÍA, MECÁNICA AUTOMOTRÍZ")</f>
        <v>ELECTRÓNICA, EBANISTERÍA, MECÁNICA AUTOMOTRÍZ</v>
      </c>
      <c r="M942" s="213">
        <f>IFERROR(__xludf.DUMMYFUNCTION("""COMPUTED_VALUE"""),1.0)</f>
        <v>1</v>
      </c>
      <c r="N942" s="213">
        <f>IFERROR(__xludf.DUMMYFUNCTION("""COMPUTED_VALUE"""),4.0)</f>
        <v>4</v>
      </c>
      <c r="O942" s="213">
        <f>IFERROR(__xludf.DUMMYFUNCTION("""COMPUTED_VALUE"""),4.0)</f>
        <v>4</v>
      </c>
      <c r="P942" s="213"/>
      <c r="Q942" s="213"/>
      <c r="R942" s="213" t="str">
        <f>IFERROR(__xludf.DUMMYFUNCTION("""COMPUTED_VALUE"""),"SI")</f>
        <v>SI</v>
      </c>
      <c r="S942" s="213"/>
      <c r="T942" s="213" t="str">
        <f>IFERROR(__xludf.DUMMYFUNCTION("""COMPUTED_VALUE"""),"SI")</f>
        <v>SI</v>
      </c>
      <c r="U942" s="213" t="str">
        <f>IFERROR(__xludf.DUMMYFUNCTION("""COMPUTED_VALUE"""),"SI")</f>
        <v>SI</v>
      </c>
      <c r="V942" s="213" t="str">
        <f>IFERROR(__xludf.DUMMYFUNCTION("""COMPUTED_VALUE"""),"-")</f>
        <v>-</v>
      </c>
      <c r="W942" s="213" t="str">
        <f>IFERROR(__xludf.DUMMYFUNCTION("""COMPUTED_VALUE"""),"-")</f>
        <v>-</v>
      </c>
      <c r="X942" s="213" t="str">
        <f>IFERROR(__xludf.DUMMYFUNCTION("""COMPUTED_VALUE"""),"IRIMO")</f>
        <v>IRIMO</v>
      </c>
      <c r="Y942" s="213" t="str">
        <f>IFERROR(__xludf.DUMMYFUNCTION("""COMPUTED_VALUE"""),"Set 15 / Set 12")</f>
        <v>Set 15 / Set 12</v>
      </c>
      <c r="Z942" s="215" t="str">
        <f>IFERROR(__xludf.DUMMYFUNCTION("""COMPUTED_VALUE"""),"https://www.irimo.com/int_en/hex-keys-nickel-plated-set-metric-pb_041101_.html")</f>
        <v>https://www.irimo.com/int_en/hex-keys-nickel-plated-set-metric-pb_041101_.html</v>
      </c>
      <c r="AA942" s="215" t="str">
        <f>IFERROR(__xludf.DUMMYFUNCTION("""COMPUTED_VALUE"""),"https://docs.google.com/spreadsheets/d/1BD93GYF-56qzCzM-ACekzb7NFVwD-fCQC0cpf5HnRmA/edit?gid=0#gid=4")</f>
        <v>https://docs.google.com/spreadsheets/d/1BD93GYF-56qzCzM-ACekzb7NFVwD-fCQC0cpf5HnRmA/edit?gid=0#gid=4</v>
      </c>
      <c r="AB942" s="213"/>
      <c r="AC942" s="213"/>
      <c r="AD942" s="213"/>
      <c r="AE942" s="213"/>
      <c r="AF942" s="213"/>
      <c r="AG942" s="213"/>
      <c r="AH942" s="213"/>
      <c r="AI942" s="213"/>
      <c r="AJ942" s="213"/>
      <c r="AK942" s="213"/>
      <c r="AL942" s="213"/>
      <c r="AM942" s="213"/>
      <c r="AN942" s="213"/>
      <c r="AO942" s="213"/>
      <c r="AP942" s="213" t="str">
        <f>IFERROR(__xludf.DUMMYFUNCTION("""COMPUTED_VALUE"""),"SEBASTIAN")</f>
        <v>SEBASTIAN</v>
      </c>
      <c r="AQ942" s="213"/>
      <c r="AR942" s="213"/>
      <c r="AS942" s="213"/>
      <c r="AT942" s="213"/>
      <c r="AU942" s="213"/>
      <c r="AV942" s="213"/>
      <c r="AW942" s="213"/>
      <c r="AX942" s="213"/>
      <c r="AY942" s="213"/>
      <c r="AZ942" s="213"/>
      <c r="BA942" s="213"/>
      <c r="BB942" s="213"/>
      <c r="BC942" s="213"/>
      <c r="BD942" s="213"/>
    </row>
    <row r="943">
      <c r="A943" s="213">
        <f>IFERROR(__xludf.DUMMYFUNCTION("""COMPUTED_VALUE"""),2490.0)</f>
        <v>2490</v>
      </c>
      <c r="B943" s="213" t="str">
        <f>IFERROR(__xludf.DUMMYFUNCTION("""COMPUTED_VALUE"""),"MANUEL ANTONIO MESONES MURO")</f>
        <v>MANUEL ANTONIO MESONES MURO</v>
      </c>
      <c r="C943" s="213" t="str">
        <f>IFERROR(__xludf.DUMMYFUNCTION("""COMPUTED_VALUE"""),"TALLER SFT DE CONSTRUCCIONES METÁLICAS")</f>
        <v>TALLER SFT DE CONSTRUCCIONES METÁLICAS</v>
      </c>
      <c r="D943" s="213" t="str">
        <f>IFERROR(__xludf.DUMMYFUNCTION("""COMPUTED_VALUE"""),"HERRAMIENTAS")</f>
        <v>HERRAMIENTAS</v>
      </c>
      <c r="E943" s="213" t="str">
        <f>IFERROR(__xludf.DUMMYFUNCTION("""COMPUTED_VALUE"""),"HER-153")</f>
        <v>HER-153</v>
      </c>
      <c r="F943" s="213" t="str">
        <f>IFERROR(__xludf.DUMMYFUNCTION("""COMPUTED_VALUE"""),"HER-153")</f>
        <v>HER-153</v>
      </c>
      <c r="G943" s="213"/>
      <c r="H943" s="213" t="str">
        <f>IFERROR(__xludf.DUMMYFUNCTION("""COMPUTED_VALUE"""),"JUEGO DE MARTILLO DE BOLA")</f>
        <v>JUEGO DE MARTILLO DE BOLA</v>
      </c>
      <c r="I943" s="213" t="str">
        <f>IFERROR(__xludf.DUMMYFUNCTION("""COMPUTED_VALUE"""),"Es una herramienta de percusión
-       Cabeza forjada en acero especial y templado
-       Mango de madera fijado con cuña metálico
-       Acabado jateado y cabeza barnizado de: 300 g, 500 g, 600 g, 800 g y 1 000 g.")</f>
        <v>Es una herramienta de percusión
-       Cabeza forjada en acero especial y templado
-       Mango de madera fijado con cuña metálico
-       Acabado jateado y cabeza barnizado de: 300 g, 500 g, 600 g, 800 g y 1 000 g.</v>
      </c>
      <c r="J943" s="213">
        <f>IFERROR(__xludf.DUMMYFUNCTION("""COMPUTED_VALUE"""),3.0)</f>
        <v>3</v>
      </c>
      <c r="K943" s="213" t="str">
        <f>IFERROR(__xludf.DUMMYFUNCTION("""COMPUTED_VALUE"""),"90 DÍAS CALENDARIO")</f>
        <v>90 DÍAS CALENDARIO</v>
      </c>
      <c r="L943" s="213" t="str">
        <f>IFERROR(__xludf.DUMMYFUNCTION("""COMPUTED_VALUE"""),"")</f>
        <v/>
      </c>
      <c r="M943" s="213">
        <f>IFERROR(__xludf.DUMMYFUNCTION("""COMPUTED_VALUE"""),1.0)</f>
        <v>1</v>
      </c>
      <c r="N943" s="213">
        <f>IFERROR(__xludf.DUMMYFUNCTION("""COMPUTED_VALUE"""),5.0)</f>
        <v>5</v>
      </c>
      <c r="O943" s="213">
        <f>IFERROR(__xludf.DUMMYFUNCTION("""COMPUTED_VALUE"""),5.0)</f>
        <v>5</v>
      </c>
      <c r="P943" s="213"/>
      <c r="Q943" s="213"/>
      <c r="R943" s="213"/>
      <c r="S943" s="213"/>
      <c r="T943" s="213" t="str">
        <f>IFERROR(__xludf.DUMMYFUNCTION("""COMPUTED_VALUE"""),"SI")</f>
        <v>SI</v>
      </c>
      <c r="U943" s="213" t="str">
        <f>IFERROR(__xludf.DUMMYFUNCTION("""COMPUTED_VALUE"""),"SI")</f>
        <v>SI</v>
      </c>
      <c r="V943" s="213" t="str">
        <f>IFERROR(__xludf.DUMMYFUNCTION("""COMPUTED_VALUE"""),"-")</f>
        <v>-</v>
      </c>
      <c r="W943" s="213" t="str">
        <f>IFERROR(__xludf.DUMMYFUNCTION("""COMPUTED_VALUE"""),"-")</f>
        <v>-</v>
      </c>
      <c r="X943" s="213" t="str">
        <f>IFERROR(__xludf.DUMMYFUNCTION("""COMPUTED_VALUE"""),"GENERICO")</f>
        <v>GENERICO</v>
      </c>
      <c r="Y943" s="213" t="str">
        <f>IFERROR(__xludf.DUMMYFUNCTION("""COMPUTED_VALUE"""),"GENERICO")</f>
        <v>GENERICO</v>
      </c>
      <c r="Z943" s="215" t="str">
        <f>IFERROR(__xludf.DUMMYFUNCTION("""COMPUTED_VALUE"""),"https://www.leroymerlin.es/productos/martillo-bola-cromado-300-gr-91050626.html")</f>
        <v>https://www.leroymerlin.es/productos/martillo-bola-cromado-300-gr-91050626.html</v>
      </c>
      <c r="AA943" s="213" t="str">
        <f>IFERROR(__xludf.DUMMYFUNCTION("""COMPUTED_VALUE"""),"HER-153 JUEGO DE MARTILLO DE BOLA - CET")</f>
        <v>HER-153 JUEGO DE MARTILLO DE BOLA - CET</v>
      </c>
      <c r="AB943" s="213"/>
      <c r="AC943" s="213"/>
      <c r="AD943" s="213"/>
      <c r="AE943" s="213"/>
      <c r="AF943" s="213"/>
      <c r="AG943" s="213"/>
      <c r="AH943" s="213"/>
      <c r="AI943" s="213"/>
      <c r="AJ943" s="213"/>
      <c r="AK943" s="213"/>
      <c r="AL943" s="213"/>
      <c r="AM943" s="213"/>
      <c r="AN943" s="213"/>
      <c r="AO943" s="213"/>
      <c r="AP943" s="213" t="str">
        <f>IFERROR(__xludf.DUMMYFUNCTION("""COMPUTED_VALUE"""),"LUIS")</f>
        <v>LUIS</v>
      </c>
      <c r="AQ943" s="213"/>
      <c r="AR943" s="213"/>
      <c r="AS943" s="213"/>
      <c r="AT943" s="213"/>
      <c r="AU943" s="213"/>
      <c r="AV943" s="213"/>
      <c r="AW943" s="213"/>
      <c r="AX943" s="213"/>
      <c r="AY943" s="213"/>
      <c r="AZ943" s="213"/>
      <c r="BA943" s="213"/>
      <c r="BB943" s="213"/>
      <c r="BC943" s="213"/>
      <c r="BD943" s="213"/>
    </row>
    <row r="944">
      <c r="A944" s="213">
        <f>IFERROR(__xludf.DUMMYFUNCTION("""COMPUTED_VALUE"""),933.0)</f>
        <v>933</v>
      </c>
      <c r="B944" s="213" t="str">
        <f>IFERROR(__xludf.DUMMYFUNCTION("""COMPUTED_VALUE"""),"FRANCISCO IRAZOLA")</f>
        <v>FRANCISCO IRAZOLA</v>
      </c>
      <c r="C944" s="213" t="str">
        <f>IFERROR(__xludf.DUMMYFUNCTION("""COMPUTED_VALUE"""),"TALLER SFT DE MECÁNICA AUTOMOTRIZ")</f>
        <v>TALLER SFT DE MECÁNICA AUTOMOTRIZ</v>
      </c>
      <c r="D944" s="213" t="str">
        <f>IFERROR(__xludf.DUMMYFUNCTION("""COMPUTED_VALUE"""),"HERRAMIENTAS")</f>
        <v>HERRAMIENTAS</v>
      </c>
      <c r="E944" s="213" t="str">
        <f>IFERROR(__xludf.DUMMYFUNCTION("""COMPUTED_VALUE"""),"HER-148")</f>
        <v>HER-148</v>
      </c>
      <c r="F944" s="213" t="str">
        <f>IFERROR(__xludf.DUMMYFUNCTION("""COMPUTED_VALUE"""),"HER-148")</f>
        <v>HER-148</v>
      </c>
      <c r="G944" s="213"/>
      <c r="H944" s="213" t="str">
        <f>IFERROR(__xludf.DUMMYFUNCTION("""COMPUTED_VALUE"""),"JUEGO DE LLAVES DE DADO")</f>
        <v>JUEGO DE LLAVES DE DADO</v>
      </c>
      <c r="I944" s="213" t="str">
        <f>IFERROR(__xludf.DUMMYFUNCTION("""COMPUTED_VALUE"""),"Mínimo de 120 piezas entre dados y otras herramientas. Fabricadas de acero cromo, vanadio.
Composición y dimensiones:
Dados largos: entre 8 - 17 mm.
Dados estándar en milímetros: entre 4 - 32 mm. Dados estándar en pulgadas: entre 5/32"" - 1-1/4"" mm. Dado"&amp;"s de impacto: entre 17 - 23 mm.
Ratchet cabeza de pera de: 3/8"" y 1/2"". Extensiones de: 1/4"", 3/8"", 1/2""
Adaptador para puntas de 1/4"", entre otros.")</f>
        <v>Mínimo de 120 piezas entre dados y otras herramientas. Fabricadas de acero cromo, vanadio.
Composición y dimensiones:
Dados largos: entre 8 - 17 mm.
Dados estándar en milímetros: entre 4 - 32 mm. Dados estándar en pulgadas: entre 5/32" - 1-1/4" mm. Dados de impacto: entre 17 - 23 mm.
Ratchet cabeza de pera de: 3/8" y 1/2". Extensiones de: 1/4", 3/8", 1/2"
Adaptador para puntas de 1/4", entre otros.</v>
      </c>
      <c r="J944" s="213">
        <f>IFERROR(__xludf.DUMMYFUNCTION("""COMPUTED_VALUE"""),3.0)</f>
        <v>3</v>
      </c>
      <c r="K944" s="213" t="str">
        <f>IFERROR(__xludf.DUMMYFUNCTION("""COMPUTED_VALUE"""),"90 DÍAS CALENDARIO")</f>
        <v>90 DÍAS CALENDARIO</v>
      </c>
      <c r="L944" s="213" t="str">
        <f>IFERROR(__xludf.DUMMYFUNCTION("""COMPUTED_VALUE"""),"")</f>
        <v/>
      </c>
      <c r="M944" s="213">
        <f>IFERROR(__xludf.DUMMYFUNCTION("""COMPUTED_VALUE"""),1.0)</f>
        <v>1</v>
      </c>
      <c r="N944" s="213">
        <f>IFERROR(__xludf.DUMMYFUNCTION("""COMPUTED_VALUE"""),4.0)</f>
        <v>4</v>
      </c>
      <c r="O944" s="213">
        <f>IFERROR(__xludf.DUMMYFUNCTION("""COMPUTED_VALUE"""),4.0)</f>
        <v>4</v>
      </c>
      <c r="P944" s="213"/>
      <c r="Q944" s="213"/>
      <c r="R944" s="213" t="str">
        <f>IFERROR(__xludf.DUMMYFUNCTION("""COMPUTED_VALUE"""),"SI")</f>
        <v>SI</v>
      </c>
      <c r="S944" s="213"/>
      <c r="T944" s="213" t="str">
        <f>IFERROR(__xludf.DUMMYFUNCTION("""COMPUTED_VALUE"""),"SI")</f>
        <v>SI</v>
      </c>
      <c r="U944" s="213" t="str">
        <f>IFERROR(__xludf.DUMMYFUNCTION("""COMPUTED_VALUE"""),"SI")</f>
        <v>SI</v>
      </c>
      <c r="V944" s="213" t="str">
        <f>IFERROR(__xludf.DUMMYFUNCTION("""COMPUTED_VALUE"""),"-")</f>
        <v>-</v>
      </c>
      <c r="W944" s="213" t="str">
        <f>IFERROR(__xludf.DUMMYFUNCTION("""COMPUTED_VALUE"""),"-")</f>
        <v>-</v>
      </c>
      <c r="X944" s="213" t="str">
        <f>IFERROR(__xludf.DUMMYFUNCTION("""COMPUTED_VALUE"""),"STANLEY")</f>
        <v>STANLEY</v>
      </c>
      <c r="Y944" s="213" t="str">
        <f>IFERROR(__xludf.DUMMYFUNCTION("""COMPUTED_VALUE"""),"91-931")</f>
        <v>91-931</v>
      </c>
      <c r="Z944" s="215" t="str">
        <f>IFERROR(__xludf.DUMMYFUNCTION("""COMPUTED_VALUE"""),"https://www.amazon.com.mx/STANLEY-Herramientas-Mec%C3%A1nicas-Piezas-91-931/dp/B09VKB8811")</f>
        <v>https://www.amazon.com.mx/STANLEY-Herramientas-Mec%C3%A1nicas-Piezas-91-931/dp/B09VKB8811</v>
      </c>
      <c r="AA944" s="213" t="str">
        <f>IFERROR(__xludf.DUMMYFUNCTION("""COMPUTED_VALUE"""),"HER-148 JUEGO DE LLAVES DE DADO - CET")</f>
        <v>HER-148 JUEGO DE LLAVES DE DADO - CET</v>
      </c>
      <c r="AB944" s="213"/>
      <c r="AC944" s="213"/>
      <c r="AD944" s="213"/>
      <c r="AE944" s="213"/>
      <c r="AF944" s="213"/>
      <c r="AG944" s="213"/>
      <c r="AH944" s="213"/>
      <c r="AI944" s="213"/>
      <c r="AJ944" s="213"/>
      <c r="AK944" s="213"/>
      <c r="AL944" s="213"/>
      <c r="AM944" s="213"/>
      <c r="AN944" s="213"/>
      <c r="AO944" s="213"/>
      <c r="AP944" s="213" t="str">
        <f>IFERROR(__xludf.DUMMYFUNCTION("""COMPUTED_VALUE"""),"LUIS")</f>
        <v>LUIS</v>
      </c>
      <c r="AQ944" s="213"/>
      <c r="AR944" s="213"/>
      <c r="AS944" s="213"/>
      <c r="AT944" s="213"/>
      <c r="AU944" s="213"/>
      <c r="AV944" s="213"/>
      <c r="AW944" s="213"/>
      <c r="AX944" s="213"/>
      <c r="AY944" s="213"/>
      <c r="AZ944" s="213"/>
      <c r="BA944" s="213"/>
      <c r="BB944" s="213"/>
      <c r="BC944" s="213"/>
      <c r="BD944" s="213"/>
    </row>
    <row r="945">
      <c r="A945" s="213">
        <f>IFERROR(__xludf.DUMMYFUNCTION("""COMPUTED_VALUE"""),1534.0)</f>
        <v>1534</v>
      </c>
      <c r="B945" s="213" t="str">
        <f>IFERROR(__xludf.DUMMYFUNCTION("""COMPUTED_VALUE"""),"GUILLERMO E. BILLINGHURST ")</f>
        <v>GUILLERMO E. BILLINGHURST </v>
      </c>
      <c r="C945" s="213" t="str">
        <f>IFERROR(__xludf.DUMMYFUNCTION("""COMPUTED_VALUE"""),"TALLER SFT DE MECÁNICA AUTOMOTRIZ")</f>
        <v>TALLER SFT DE MECÁNICA AUTOMOTRIZ</v>
      </c>
      <c r="D945" s="213" t="str">
        <f>IFERROR(__xludf.DUMMYFUNCTION("""COMPUTED_VALUE"""),"HERRAMIENTAS")</f>
        <v>HERRAMIENTAS</v>
      </c>
      <c r="E945" s="213" t="str">
        <f>IFERROR(__xludf.DUMMYFUNCTION("""COMPUTED_VALUE"""),"HER-148")</f>
        <v>HER-148</v>
      </c>
      <c r="F945" s="213" t="str">
        <f>IFERROR(__xludf.DUMMYFUNCTION("""COMPUTED_VALUE"""),"HER-148")</f>
        <v>HER-148</v>
      </c>
      <c r="G945" s="213"/>
      <c r="H945" s="213" t="str">
        <f>IFERROR(__xludf.DUMMYFUNCTION("""COMPUTED_VALUE"""),"JUEGO DE LLAVES DE DADO")</f>
        <v>JUEGO DE LLAVES DE DADO</v>
      </c>
      <c r="I945" s="213" t="str">
        <f>IFERROR(__xludf.DUMMYFUNCTION("""COMPUTED_VALUE"""),"Mínimo de 120 piezas entre dados y otras herramientas. Fabricadas de acero cromo, vanadio.
Composición y dimensiones:
Dados largos: entre 8 - 17 mm.
Dados estándar en milímetros: entre 4 - 32 mm. Dados estándar en pulgadas: entre 5/32"" - 1-1/4"" mm. Dado"&amp;"s de impacto: entre 17 - 23 mm.
Ratchet cabeza de pera de: 3/8"" y 1/2"". Extensiones de: 1/4"", 3/8"", 1/2""
Adaptador para puntas de 1/4"", entre otros.")</f>
        <v>Mínimo de 120 piezas entre dados y otras herramientas. Fabricadas de acero cromo, vanadio.
Composición y dimensiones:
Dados largos: entre 8 - 17 mm.
Dados estándar en milímetros: entre 4 - 32 mm. Dados estándar en pulgadas: entre 5/32" - 1-1/4" mm. Dados de impacto: entre 17 - 23 mm.
Ratchet cabeza de pera de: 3/8" y 1/2". Extensiones de: 1/4", 3/8", 1/2"
Adaptador para puntas de 1/4", entre otros.</v>
      </c>
      <c r="J945" s="213">
        <f>IFERROR(__xludf.DUMMYFUNCTION("""COMPUTED_VALUE"""),3.0)</f>
        <v>3</v>
      </c>
      <c r="K945" s="213" t="str">
        <f>IFERROR(__xludf.DUMMYFUNCTION("""COMPUTED_VALUE"""),"90 DÍAS CALENDARIO")</f>
        <v>90 DÍAS CALENDARIO</v>
      </c>
      <c r="L945" s="213" t="str">
        <f>IFERROR(__xludf.DUMMYFUNCTION("""COMPUTED_VALUE"""),"")</f>
        <v/>
      </c>
      <c r="M945" s="213">
        <f>IFERROR(__xludf.DUMMYFUNCTION("""COMPUTED_VALUE"""),1.0)</f>
        <v>1</v>
      </c>
      <c r="N945" s="213">
        <f>IFERROR(__xludf.DUMMYFUNCTION("""COMPUTED_VALUE"""),4.0)</f>
        <v>4</v>
      </c>
      <c r="O945" s="213">
        <f>IFERROR(__xludf.DUMMYFUNCTION("""COMPUTED_VALUE"""),4.0)</f>
        <v>4</v>
      </c>
      <c r="P945" s="213"/>
      <c r="Q945" s="213"/>
      <c r="R945" s="213" t="str">
        <f>IFERROR(__xludf.DUMMYFUNCTION("""COMPUTED_VALUE"""),"SI")</f>
        <v>SI</v>
      </c>
      <c r="S945" s="213"/>
      <c r="T945" s="213" t="str">
        <f>IFERROR(__xludf.DUMMYFUNCTION("""COMPUTED_VALUE"""),"SI")</f>
        <v>SI</v>
      </c>
      <c r="U945" s="213" t="str">
        <f>IFERROR(__xludf.DUMMYFUNCTION("""COMPUTED_VALUE"""),"SI")</f>
        <v>SI</v>
      </c>
      <c r="V945" s="213" t="str">
        <f>IFERROR(__xludf.DUMMYFUNCTION("""COMPUTED_VALUE"""),"-")</f>
        <v>-</v>
      </c>
      <c r="W945" s="213" t="str">
        <f>IFERROR(__xludf.DUMMYFUNCTION("""COMPUTED_VALUE"""),"-")</f>
        <v>-</v>
      </c>
      <c r="X945" s="213" t="str">
        <f>IFERROR(__xludf.DUMMYFUNCTION("""COMPUTED_VALUE"""),"STANLEY")</f>
        <v>STANLEY</v>
      </c>
      <c r="Y945" s="213" t="str">
        <f>IFERROR(__xludf.DUMMYFUNCTION("""COMPUTED_VALUE"""),"91-931")</f>
        <v>91-931</v>
      </c>
      <c r="Z945" s="215" t="str">
        <f>IFERROR(__xludf.DUMMYFUNCTION("""COMPUTED_VALUE"""),"https://www.amazon.com.mx/STANLEY-Herramientas-Mec%C3%A1nicas-Piezas-91-931/dp/B09VKB8811")</f>
        <v>https://www.amazon.com.mx/STANLEY-Herramientas-Mec%C3%A1nicas-Piezas-91-931/dp/B09VKB8811</v>
      </c>
      <c r="AA945" s="213" t="str">
        <f>IFERROR(__xludf.DUMMYFUNCTION("""COMPUTED_VALUE"""),"HER-148 JUEGO DE LLAVES DE DADO - CET")</f>
        <v>HER-148 JUEGO DE LLAVES DE DADO - CET</v>
      </c>
      <c r="AB945" s="213"/>
      <c r="AC945" s="213"/>
      <c r="AD945" s="213"/>
      <c r="AE945" s="213"/>
      <c r="AF945" s="213"/>
      <c r="AG945" s="213"/>
      <c r="AH945" s="213"/>
      <c r="AI945" s="213"/>
      <c r="AJ945" s="213"/>
      <c r="AK945" s="213"/>
      <c r="AL945" s="213"/>
      <c r="AM945" s="213"/>
      <c r="AN945" s="213"/>
      <c r="AO945" s="213"/>
      <c r="AP945" s="213" t="str">
        <f>IFERROR(__xludf.DUMMYFUNCTION("""COMPUTED_VALUE"""),"LUIS")</f>
        <v>LUIS</v>
      </c>
      <c r="AQ945" s="213"/>
      <c r="AR945" s="213"/>
      <c r="AS945" s="213"/>
      <c r="AT945" s="213"/>
      <c r="AU945" s="213"/>
      <c r="AV945" s="213"/>
      <c r="AW945" s="213"/>
      <c r="AX945" s="213"/>
      <c r="AY945" s="213"/>
      <c r="AZ945" s="213"/>
      <c r="BA945" s="213"/>
      <c r="BB945" s="213"/>
      <c r="BC945" s="213"/>
      <c r="BD945" s="213"/>
    </row>
    <row r="946">
      <c r="A946" s="213">
        <f>IFERROR(__xludf.DUMMYFUNCTION("""COMPUTED_VALUE"""),2226.0)</f>
        <v>2226</v>
      </c>
      <c r="B946" s="213" t="str">
        <f>IFERROR(__xludf.DUMMYFUNCTION("""COMPUTED_VALUE"""),"JOSE GRANDA")</f>
        <v>JOSE GRANDA</v>
      </c>
      <c r="C946" s="213" t="str">
        <f>IFERROR(__xludf.DUMMYFUNCTION("""COMPUTED_VALUE"""),"TALLER SFT DE MECÁNICA AUTOMOTRIZ")</f>
        <v>TALLER SFT DE MECÁNICA AUTOMOTRIZ</v>
      </c>
      <c r="D946" s="213" t="str">
        <f>IFERROR(__xludf.DUMMYFUNCTION("""COMPUTED_VALUE"""),"HERRAMIENTAS")</f>
        <v>HERRAMIENTAS</v>
      </c>
      <c r="E946" s="213" t="str">
        <f>IFERROR(__xludf.DUMMYFUNCTION("""COMPUTED_VALUE"""),"HER-148")</f>
        <v>HER-148</v>
      </c>
      <c r="F946" s="213" t="str">
        <f>IFERROR(__xludf.DUMMYFUNCTION("""COMPUTED_VALUE"""),"HER-148")</f>
        <v>HER-148</v>
      </c>
      <c r="G946" s="213"/>
      <c r="H946" s="213" t="str">
        <f>IFERROR(__xludf.DUMMYFUNCTION("""COMPUTED_VALUE"""),"JUEGO DE LLAVES DE DADO")</f>
        <v>JUEGO DE LLAVES DE DADO</v>
      </c>
      <c r="I946" s="213" t="str">
        <f>IFERROR(__xludf.DUMMYFUNCTION("""COMPUTED_VALUE"""),"Mínimo de 120 piezas entre dados y otras herramientas. Fabricadas de acero cromo, vanadio.
Composición y dimensiones:
Dados largos: entre 8 - 17 mm.
Dados estándar en milímetros: entre 4 - 32 mm. Dados estándar en pulgadas: entre 5/32"" - 1-1/4"" mm. Dado"&amp;"s de impacto: entre 17 - 23 mm.
Ratchet cabeza de pera de: 3/8"" y 1/2"". Extensiones de: 1/4"", 3/8"", 1/2""
Adaptador para puntas de 1/4"", entre otros.")</f>
        <v>Mínimo de 120 piezas entre dados y otras herramientas. Fabricadas de acero cromo, vanadio.
Composición y dimensiones:
Dados largos: entre 8 - 17 mm.
Dados estándar en milímetros: entre 4 - 32 mm. Dados estándar en pulgadas: entre 5/32" - 1-1/4" mm. Dados de impacto: entre 17 - 23 mm.
Ratchet cabeza de pera de: 3/8" y 1/2". Extensiones de: 1/4", 3/8", 1/2"
Adaptador para puntas de 1/4", entre otros.</v>
      </c>
      <c r="J946" s="213">
        <f>IFERROR(__xludf.DUMMYFUNCTION("""COMPUTED_VALUE"""),3.0)</f>
        <v>3</v>
      </c>
      <c r="K946" s="213" t="str">
        <f>IFERROR(__xludf.DUMMYFUNCTION("""COMPUTED_VALUE"""),"90 DÍAS CALENDARIO")</f>
        <v>90 DÍAS CALENDARIO</v>
      </c>
      <c r="L946" s="213" t="str">
        <f>IFERROR(__xludf.DUMMYFUNCTION("""COMPUTED_VALUE"""),"")</f>
        <v/>
      </c>
      <c r="M946" s="213">
        <f>IFERROR(__xludf.DUMMYFUNCTION("""COMPUTED_VALUE"""),1.0)</f>
        <v>1</v>
      </c>
      <c r="N946" s="213">
        <f>IFERROR(__xludf.DUMMYFUNCTION("""COMPUTED_VALUE"""),4.0)</f>
        <v>4</v>
      </c>
      <c r="O946" s="213">
        <f>IFERROR(__xludf.DUMMYFUNCTION("""COMPUTED_VALUE"""),4.0)</f>
        <v>4</v>
      </c>
      <c r="P946" s="213"/>
      <c r="Q946" s="213"/>
      <c r="R946" s="213" t="str">
        <f>IFERROR(__xludf.DUMMYFUNCTION("""COMPUTED_VALUE"""),"SI")</f>
        <v>SI</v>
      </c>
      <c r="S946" s="213"/>
      <c r="T946" s="213" t="str">
        <f>IFERROR(__xludf.DUMMYFUNCTION("""COMPUTED_VALUE"""),"SI")</f>
        <v>SI</v>
      </c>
      <c r="U946" s="213" t="str">
        <f>IFERROR(__xludf.DUMMYFUNCTION("""COMPUTED_VALUE"""),"SI")</f>
        <v>SI</v>
      </c>
      <c r="V946" s="213" t="str">
        <f>IFERROR(__xludf.DUMMYFUNCTION("""COMPUTED_VALUE"""),"-")</f>
        <v>-</v>
      </c>
      <c r="W946" s="213" t="str">
        <f>IFERROR(__xludf.DUMMYFUNCTION("""COMPUTED_VALUE"""),"-")</f>
        <v>-</v>
      </c>
      <c r="X946" s="213" t="str">
        <f>IFERROR(__xludf.DUMMYFUNCTION("""COMPUTED_VALUE"""),"STANLEY")</f>
        <v>STANLEY</v>
      </c>
      <c r="Y946" s="213" t="str">
        <f>IFERROR(__xludf.DUMMYFUNCTION("""COMPUTED_VALUE"""),"91-931")</f>
        <v>91-931</v>
      </c>
      <c r="Z946" s="215" t="str">
        <f>IFERROR(__xludf.DUMMYFUNCTION("""COMPUTED_VALUE"""),"https://www.amazon.com.mx/STANLEY-Herramientas-Mec%C3%A1nicas-Piezas-91-931/dp/B09VKB8811")</f>
        <v>https://www.amazon.com.mx/STANLEY-Herramientas-Mec%C3%A1nicas-Piezas-91-931/dp/B09VKB8811</v>
      </c>
      <c r="AA946" s="213" t="str">
        <f>IFERROR(__xludf.DUMMYFUNCTION("""COMPUTED_VALUE"""),"HER-148 JUEGO DE LLAVES DE DADO - CET")</f>
        <v>HER-148 JUEGO DE LLAVES DE DADO - CET</v>
      </c>
      <c r="AB946" s="213"/>
      <c r="AC946" s="213"/>
      <c r="AD946" s="213"/>
      <c r="AE946" s="213"/>
      <c r="AF946" s="213"/>
      <c r="AG946" s="213"/>
      <c r="AH946" s="213"/>
      <c r="AI946" s="213"/>
      <c r="AJ946" s="213"/>
      <c r="AK946" s="213"/>
      <c r="AL946" s="213"/>
      <c r="AM946" s="213"/>
      <c r="AN946" s="213"/>
      <c r="AO946" s="213"/>
      <c r="AP946" s="213" t="str">
        <f>IFERROR(__xludf.DUMMYFUNCTION("""COMPUTED_VALUE"""),"LUIS")</f>
        <v>LUIS</v>
      </c>
      <c r="AQ946" s="213"/>
      <c r="AR946" s="213"/>
      <c r="AS946" s="213"/>
      <c r="AT946" s="213"/>
      <c r="AU946" s="213"/>
      <c r="AV946" s="213"/>
      <c r="AW946" s="213"/>
      <c r="AX946" s="213"/>
      <c r="AY946" s="213"/>
      <c r="AZ946" s="213"/>
      <c r="BA946" s="213"/>
      <c r="BB946" s="213"/>
      <c r="BC946" s="213"/>
      <c r="BD946" s="213"/>
    </row>
    <row r="947">
      <c r="A947" s="213">
        <f>IFERROR(__xludf.DUMMYFUNCTION("""COMPUTED_VALUE"""),932.0)</f>
        <v>932</v>
      </c>
      <c r="B947" s="213" t="str">
        <f>IFERROR(__xludf.DUMMYFUNCTION("""COMPUTED_VALUE"""),"FRANCISCO IRAZOLA")</f>
        <v>FRANCISCO IRAZOLA</v>
      </c>
      <c r="C947" s="213" t="str">
        <f>IFERROR(__xludf.DUMMYFUNCTION("""COMPUTED_VALUE"""),"TALLER SFT DE MECÁNICA AUTOMOTRIZ")</f>
        <v>TALLER SFT DE MECÁNICA AUTOMOTRIZ</v>
      </c>
      <c r="D947" s="213" t="str">
        <f>IFERROR(__xludf.DUMMYFUNCTION("""COMPUTED_VALUE"""),"HERRAMIENTAS")</f>
        <v>HERRAMIENTAS</v>
      </c>
      <c r="E947" s="213" t="str">
        <f>IFERROR(__xludf.DUMMYFUNCTION("""COMPUTED_VALUE"""),"HER-149")</f>
        <v>HER-149</v>
      </c>
      <c r="F947" s="213" t="str">
        <f>IFERROR(__xludf.DUMMYFUNCTION("""COMPUTED_VALUE"""),"HER-149")</f>
        <v>HER-149</v>
      </c>
      <c r="G947" s="213"/>
      <c r="H947" s="213" t="str">
        <f>IFERROR(__xludf.DUMMYFUNCTION("""COMPUTED_VALUE"""),"JUEGO DE LLAVES DE RUEDAS (LLAVE DE CRUZ.)")</f>
        <v>JUEGO DE LLAVES DE RUEDAS (LLAVE DE CRUZ.)</v>
      </c>
      <c r="I947" s="213" t="str">
        <f>IFERROR(__xludf.DUMMYFUNCTION("""COMPUTED_VALUE"""),"De acero galvanizado. Llave de 4 puntas
Medida de punta en milímetro: 17,19,22
Medidas de puntas en pulgadas: 3/4"", 13/16"", 7/8""
Diseñado para desajuste y ajuste de tuercas que sujetan la rueda del automóvil.")</f>
        <v>De acero galvanizado. Llave de 4 puntas
Medida de punta en milímetro: 17,19,22
Medidas de puntas en pulgadas: 3/4", 13/16", 7/8"
Diseñado para desajuste y ajuste de tuercas que sujetan la rueda del automóvil.</v>
      </c>
      <c r="J947" s="213">
        <f>IFERROR(__xludf.DUMMYFUNCTION("""COMPUTED_VALUE"""),3.0)</f>
        <v>3</v>
      </c>
      <c r="K947" s="213" t="str">
        <f>IFERROR(__xludf.DUMMYFUNCTION("""COMPUTED_VALUE"""),"90 DÍAS CALENDARIO")</f>
        <v>90 DÍAS CALENDARIO</v>
      </c>
      <c r="L947" s="213" t="str">
        <f>IFERROR(__xludf.DUMMYFUNCTION("""COMPUTED_VALUE"""),"")</f>
        <v/>
      </c>
      <c r="M947" s="213">
        <f>IFERROR(__xludf.DUMMYFUNCTION("""COMPUTED_VALUE"""),1.0)</f>
        <v>1</v>
      </c>
      <c r="N947" s="213">
        <f>IFERROR(__xludf.DUMMYFUNCTION("""COMPUTED_VALUE"""),4.0)</f>
        <v>4</v>
      </c>
      <c r="O947" s="213">
        <f>IFERROR(__xludf.DUMMYFUNCTION("""COMPUTED_VALUE"""),4.0)</f>
        <v>4</v>
      </c>
      <c r="P947" s="213"/>
      <c r="Q947" s="213"/>
      <c r="R947" s="213" t="str">
        <f>IFERROR(__xludf.DUMMYFUNCTION("""COMPUTED_VALUE"""),"SI")</f>
        <v>SI</v>
      </c>
      <c r="S947" s="213"/>
      <c r="T947" s="213" t="str">
        <f>IFERROR(__xludf.DUMMYFUNCTION("""COMPUTED_VALUE"""),"SI")</f>
        <v>SI</v>
      </c>
      <c r="U947" s="213" t="str">
        <f>IFERROR(__xludf.DUMMYFUNCTION("""COMPUTED_VALUE"""),"SI")</f>
        <v>SI</v>
      </c>
      <c r="V947" s="213" t="str">
        <f>IFERROR(__xludf.DUMMYFUNCTION("""COMPUTED_VALUE"""),"-")</f>
        <v>-</v>
      </c>
      <c r="W947" s="213" t="str">
        <f>IFERROR(__xludf.DUMMYFUNCTION("""COMPUTED_VALUE"""),"-")</f>
        <v>-</v>
      </c>
      <c r="X947" s="213" t="str">
        <f>IFERROR(__xludf.DUMMYFUNCTION("""COMPUTED_VALUE"""),"EPAuto")</f>
        <v>EPAuto</v>
      </c>
      <c r="Y947" s="213" t="str">
        <f>IFERROR(__xludf.DUMMYFUNCTION("""COMPUTED_VALUE"""),"‎ST-001-1")</f>
        <v>‎ST-001-1</v>
      </c>
      <c r="Z947" s="215" t="str">
        <f>IFERROR(__xludf.DUMMYFUNCTION("""COMPUTED_VALUE"""),"https://www.amazon.com/EPAuto-Heavy-Universal-Wrench-4-Way/dp/B01I5RCIUY?th=1")</f>
        <v>https://www.amazon.com/EPAuto-Heavy-Universal-Wrench-4-Way/dp/B01I5RCIUY?th=1</v>
      </c>
      <c r="AA947" s="213" t="str">
        <f>IFERROR(__xludf.DUMMYFUNCTION("""COMPUTED_VALUE"""),"HER-149 JUEGO DE LLAVES DE RUEDAS (LLAVE DE CRUZ.) - CET")</f>
        <v>HER-149 JUEGO DE LLAVES DE RUEDAS (LLAVE DE CRUZ.) - CET</v>
      </c>
      <c r="AB947" s="213"/>
      <c r="AC947" s="213"/>
      <c r="AD947" s="213"/>
      <c r="AE947" s="213"/>
      <c r="AF947" s="213"/>
      <c r="AG947" s="213"/>
      <c r="AH947" s="213"/>
      <c r="AI947" s="213"/>
      <c r="AJ947" s="213"/>
      <c r="AK947" s="213"/>
      <c r="AL947" s="213"/>
      <c r="AM947" s="213"/>
      <c r="AN947" s="213"/>
      <c r="AO947" s="213"/>
      <c r="AP947" s="213" t="str">
        <f>IFERROR(__xludf.DUMMYFUNCTION("""COMPUTED_VALUE"""),"SEBASTIAN")</f>
        <v>SEBASTIAN</v>
      </c>
      <c r="AQ947" s="213"/>
      <c r="AR947" s="213"/>
      <c r="AS947" s="213"/>
      <c r="AT947" s="213"/>
      <c r="AU947" s="213"/>
      <c r="AV947" s="213"/>
      <c r="AW947" s="213"/>
      <c r="AX947" s="213"/>
      <c r="AY947" s="213"/>
      <c r="AZ947" s="213"/>
      <c r="BA947" s="213"/>
      <c r="BB947" s="213"/>
      <c r="BC947" s="213"/>
      <c r="BD947" s="213"/>
    </row>
    <row r="948">
      <c r="A948" s="213">
        <f>IFERROR(__xludf.DUMMYFUNCTION("""COMPUTED_VALUE"""),1533.0)</f>
        <v>1533</v>
      </c>
      <c r="B948" s="213" t="str">
        <f>IFERROR(__xludf.DUMMYFUNCTION("""COMPUTED_VALUE"""),"GUILLERMO E. BILLINGHURST ")</f>
        <v>GUILLERMO E. BILLINGHURST </v>
      </c>
      <c r="C948" s="213" t="str">
        <f>IFERROR(__xludf.DUMMYFUNCTION("""COMPUTED_VALUE"""),"TALLER SFT DE MECÁNICA AUTOMOTRIZ")</f>
        <v>TALLER SFT DE MECÁNICA AUTOMOTRIZ</v>
      </c>
      <c r="D948" s="213" t="str">
        <f>IFERROR(__xludf.DUMMYFUNCTION("""COMPUTED_VALUE"""),"HERRAMIENTAS")</f>
        <v>HERRAMIENTAS</v>
      </c>
      <c r="E948" s="213" t="str">
        <f>IFERROR(__xludf.DUMMYFUNCTION("""COMPUTED_VALUE"""),"HER-149")</f>
        <v>HER-149</v>
      </c>
      <c r="F948" s="213" t="str">
        <f>IFERROR(__xludf.DUMMYFUNCTION("""COMPUTED_VALUE"""),"HER-149")</f>
        <v>HER-149</v>
      </c>
      <c r="G948" s="213"/>
      <c r="H948" s="213" t="str">
        <f>IFERROR(__xludf.DUMMYFUNCTION("""COMPUTED_VALUE"""),"JUEGO DE LLAVES DE RUEDAS (LLAVE DE CRUZ.)")</f>
        <v>JUEGO DE LLAVES DE RUEDAS (LLAVE DE CRUZ.)</v>
      </c>
      <c r="I948" s="213" t="str">
        <f>IFERROR(__xludf.DUMMYFUNCTION("""COMPUTED_VALUE"""),"De acero galvanizado. Llave de 4 puntas
Medida de punta en milímetro: 17,19,22
Medidas de puntas en pulgadas: 3/4"", 13/16"", 7/8""
Diseñado para desajuste y ajuste de tuercas que sujetan la rueda del automóvil.")</f>
        <v>De acero galvanizado. Llave de 4 puntas
Medida de punta en milímetro: 17,19,22
Medidas de puntas en pulgadas: 3/4", 13/16", 7/8"
Diseñado para desajuste y ajuste de tuercas que sujetan la rueda del automóvil.</v>
      </c>
      <c r="J948" s="213">
        <f>IFERROR(__xludf.DUMMYFUNCTION("""COMPUTED_VALUE"""),3.0)</f>
        <v>3</v>
      </c>
      <c r="K948" s="213" t="str">
        <f>IFERROR(__xludf.DUMMYFUNCTION("""COMPUTED_VALUE"""),"90 DÍAS CALENDARIO")</f>
        <v>90 DÍAS CALENDARIO</v>
      </c>
      <c r="L948" s="213" t="str">
        <f>IFERROR(__xludf.DUMMYFUNCTION("""COMPUTED_VALUE"""),"")</f>
        <v/>
      </c>
      <c r="M948" s="213">
        <f>IFERROR(__xludf.DUMMYFUNCTION("""COMPUTED_VALUE"""),1.0)</f>
        <v>1</v>
      </c>
      <c r="N948" s="213">
        <f>IFERROR(__xludf.DUMMYFUNCTION("""COMPUTED_VALUE"""),4.0)</f>
        <v>4</v>
      </c>
      <c r="O948" s="213">
        <f>IFERROR(__xludf.DUMMYFUNCTION("""COMPUTED_VALUE"""),4.0)</f>
        <v>4</v>
      </c>
      <c r="P948" s="213"/>
      <c r="Q948" s="213"/>
      <c r="R948" s="213" t="str">
        <f>IFERROR(__xludf.DUMMYFUNCTION("""COMPUTED_VALUE"""),"SI")</f>
        <v>SI</v>
      </c>
      <c r="S948" s="213"/>
      <c r="T948" s="213" t="str">
        <f>IFERROR(__xludf.DUMMYFUNCTION("""COMPUTED_VALUE"""),"SI")</f>
        <v>SI</v>
      </c>
      <c r="U948" s="213" t="str">
        <f>IFERROR(__xludf.DUMMYFUNCTION("""COMPUTED_VALUE"""),"SI")</f>
        <v>SI</v>
      </c>
      <c r="V948" s="213" t="str">
        <f>IFERROR(__xludf.DUMMYFUNCTION("""COMPUTED_VALUE"""),"-")</f>
        <v>-</v>
      </c>
      <c r="W948" s="213" t="str">
        <f>IFERROR(__xludf.DUMMYFUNCTION("""COMPUTED_VALUE"""),"-")</f>
        <v>-</v>
      </c>
      <c r="X948" s="213" t="str">
        <f>IFERROR(__xludf.DUMMYFUNCTION("""COMPUTED_VALUE"""),"EPAuto")</f>
        <v>EPAuto</v>
      </c>
      <c r="Y948" s="213" t="str">
        <f>IFERROR(__xludf.DUMMYFUNCTION("""COMPUTED_VALUE"""),"‎ST-001-2")</f>
        <v>‎ST-001-2</v>
      </c>
      <c r="Z948" s="215" t="str">
        <f>IFERROR(__xludf.DUMMYFUNCTION("""COMPUTED_VALUE"""),"https://www.amazon.com/EPAuto-Heavy-Universal-Wrench-4-Way/dp/B01I5RCIUY?th=2")</f>
        <v>https://www.amazon.com/EPAuto-Heavy-Universal-Wrench-4-Way/dp/B01I5RCIUY?th=2</v>
      </c>
      <c r="AA948" s="215" t="str">
        <f>IFERROR(__xludf.DUMMYFUNCTION("""COMPUTED_VALUE"""),"https://docs.google.com/spreadsheets/d/1mlqnc-2TCw9KQVJkFi4c6SfffX92stoSMSUBggGZTtI/edit?gid=0#gid=1")</f>
        <v>https://docs.google.com/spreadsheets/d/1mlqnc-2TCw9KQVJkFi4c6SfffX92stoSMSUBggGZTtI/edit?gid=0#gid=1</v>
      </c>
      <c r="AB948" s="213"/>
      <c r="AC948" s="213"/>
      <c r="AD948" s="213"/>
      <c r="AE948" s="213"/>
      <c r="AF948" s="213"/>
      <c r="AG948" s="213"/>
      <c r="AH948" s="213"/>
      <c r="AI948" s="213"/>
      <c r="AJ948" s="213"/>
      <c r="AK948" s="213"/>
      <c r="AL948" s="213"/>
      <c r="AM948" s="213"/>
      <c r="AN948" s="213"/>
      <c r="AO948" s="213"/>
      <c r="AP948" s="213" t="str">
        <f>IFERROR(__xludf.DUMMYFUNCTION("""COMPUTED_VALUE"""),"SEBASTIAN")</f>
        <v>SEBASTIAN</v>
      </c>
      <c r="AQ948" s="213"/>
      <c r="AR948" s="213"/>
      <c r="AS948" s="213"/>
      <c r="AT948" s="213"/>
      <c r="AU948" s="213"/>
      <c r="AV948" s="213"/>
      <c r="AW948" s="213"/>
      <c r="AX948" s="213"/>
      <c r="AY948" s="213"/>
      <c r="AZ948" s="213"/>
      <c r="BA948" s="213"/>
      <c r="BB948" s="213"/>
      <c r="BC948" s="213"/>
      <c r="BD948" s="213"/>
    </row>
    <row r="949">
      <c r="A949" s="213">
        <f>IFERROR(__xludf.DUMMYFUNCTION("""COMPUTED_VALUE"""),2225.0)</f>
        <v>2225</v>
      </c>
      <c r="B949" s="213" t="str">
        <f>IFERROR(__xludf.DUMMYFUNCTION("""COMPUTED_VALUE"""),"JOSE GRANDA")</f>
        <v>JOSE GRANDA</v>
      </c>
      <c r="C949" s="213" t="str">
        <f>IFERROR(__xludf.DUMMYFUNCTION("""COMPUTED_VALUE"""),"TALLER SFT DE MECÁNICA AUTOMOTRIZ")</f>
        <v>TALLER SFT DE MECÁNICA AUTOMOTRIZ</v>
      </c>
      <c r="D949" s="213" t="str">
        <f>IFERROR(__xludf.DUMMYFUNCTION("""COMPUTED_VALUE"""),"HERRAMIENTAS")</f>
        <v>HERRAMIENTAS</v>
      </c>
      <c r="E949" s="213" t="str">
        <f>IFERROR(__xludf.DUMMYFUNCTION("""COMPUTED_VALUE"""),"HER-149")</f>
        <v>HER-149</v>
      </c>
      <c r="F949" s="213" t="str">
        <f>IFERROR(__xludf.DUMMYFUNCTION("""COMPUTED_VALUE"""),"HER-149")</f>
        <v>HER-149</v>
      </c>
      <c r="G949" s="213"/>
      <c r="H949" s="213" t="str">
        <f>IFERROR(__xludf.DUMMYFUNCTION("""COMPUTED_VALUE"""),"JUEGO DE LLAVES DE RUEDAS (LLAVE DE CRUZ.)")</f>
        <v>JUEGO DE LLAVES DE RUEDAS (LLAVE DE CRUZ.)</v>
      </c>
      <c r="I949" s="213" t="str">
        <f>IFERROR(__xludf.DUMMYFUNCTION("""COMPUTED_VALUE"""),"De acero galvanizado. Llave de 4 puntas
Medida de punta en milímetro: 17,19,22
Medidas de puntas en pulgadas: 3/4"", 13/16"", 7/8""
Diseñado para desajuste y ajuste de tuercas que sujetan la rueda del automóvil.")</f>
        <v>De acero galvanizado. Llave de 4 puntas
Medida de punta en milímetro: 17,19,22
Medidas de puntas en pulgadas: 3/4", 13/16", 7/8"
Diseñado para desajuste y ajuste de tuercas que sujetan la rueda del automóvil.</v>
      </c>
      <c r="J949" s="213">
        <f>IFERROR(__xludf.DUMMYFUNCTION("""COMPUTED_VALUE"""),3.0)</f>
        <v>3</v>
      </c>
      <c r="K949" s="213" t="str">
        <f>IFERROR(__xludf.DUMMYFUNCTION("""COMPUTED_VALUE"""),"90 DÍAS CALENDARIO")</f>
        <v>90 DÍAS CALENDARIO</v>
      </c>
      <c r="L949" s="213" t="str">
        <f>IFERROR(__xludf.DUMMYFUNCTION("""COMPUTED_VALUE"""),"")</f>
        <v/>
      </c>
      <c r="M949" s="213">
        <f>IFERROR(__xludf.DUMMYFUNCTION("""COMPUTED_VALUE"""),1.0)</f>
        <v>1</v>
      </c>
      <c r="N949" s="213">
        <f>IFERROR(__xludf.DUMMYFUNCTION("""COMPUTED_VALUE"""),4.0)</f>
        <v>4</v>
      </c>
      <c r="O949" s="213">
        <f>IFERROR(__xludf.DUMMYFUNCTION("""COMPUTED_VALUE"""),4.0)</f>
        <v>4</v>
      </c>
      <c r="P949" s="213"/>
      <c r="Q949" s="213"/>
      <c r="R949" s="213" t="str">
        <f>IFERROR(__xludf.DUMMYFUNCTION("""COMPUTED_VALUE"""),"SI")</f>
        <v>SI</v>
      </c>
      <c r="S949" s="213"/>
      <c r="T949" s="213" t="str">
        <f>IFERROR(__xludf.DUMMYFUNCTION("""COMPUTED_VALUE"""),"SI")</f>
        <v>SI</v>
      </c>
      <c r="U949" s="213" t="str">
        <f>IFERROR(__xludf.DUMMYFUNCTION("""COMPUTED_VALUE"""),"SI")</f>
        <v>SI</v>
      </c>
      <c r="V949" s="213" t="str">
        <f>IFERROR(__xludf.DUMMYFUNCTION("""COMPUTED_VALUE"""),"-")</f>
        <v>-</v>
      </c>
      <c r="W949" s="213" t="str">
        <f>IFERROR(__xludf.DUMMYFUNCTION("""COMPUTED_VALUE"""),"-")</f>
        <v>-</v>
      </c>
      <c r="X949" s="213" t="str">
        <f>IFERROR(__xludf.DUMMYFUNCTION("""COMPUTED_VALUE"""),"EPAuto")</f>
        <v>EPAuto</v>
      </c>
      <c r="Y949" s="213" t="str">
        <f>IFERROR(__xludf.DUMMYFUNCTION("""COMPUTED_VALUE"""),"‎ST-001-3")</f>
        <v>‎ST-001-3</v>
      </c>
      <c r="Z949" s="215" t="str">
        <f>IFERROR(__xludf.DUMMYFUNCTION("""COMPUTED_VALUE"""),"https://www.amazon.com/EPAuto-Heavy-Universal-Wrench-4-Way/dp/B01I5RCIUY?th=3")</f>
        <v>https://www.amazon.com/EPAuto-Heavy-Universal-Wrench-4-Way/dp/B01I5RCIUY?th=3</v>
      </c>
      <c r="AA949" s="215" t="str">
        <f>IFERROR(__xludf.DUMMYFUNCTION("""COMPUTED_VALUE"""),"https://docs.google.com/spreadsheets/d/1mlqnc-2TCw9KQVJkFi4c6SfffX92stoSMSUBggGZTtI/edit?gid=0#gid=2")</f>
        <v>https://docs.google.com/spreadsheets/d/1mlqnc-2TCw9KQVJkFi4c6SfffX92stoSMSUBggGZTtI/edit?gid=0#gid=2</v>
      </c>
      <c r="AB949" s="213"/>
      <c r="AC949" s="213"/>
      <c r="AD949" s="213"/>
      <c r="AE949" s="213"/>
      <c r="AF949" s="213"/>
      <c r="AG949" s="213"/>
      <c r="AH949" s="213"/>
      <c r="AI949" s="213"/>
      <c r="AJ949" s="213"/>
      <c r="AK949" s="213"/>
      <c r="AL949" s="213"/>
      <c r="AM949" s="213"/>
      <c r="AN949" s="213"/>
      <c r="AO949" s="213"/>
      <c r="AP949" s="213" t="str">
        <f>IFERROR(__xludf.DUMMYFUNCTION("""COMPUTED_VALUE"""),"SEBASTIAN")</f>
        <v>SEBASTIAN</v>
      </c>
      <c r="AQ949" s="213"/>
      <c r="AR949" s="213"/>
      <c r="AS949" s="213"/>
      <c r="AT949" s="213"/>
      <c r="AU949" s="213"/>
      <c r="AV949" s="213"/>
      <c r="AW949" s="213"/>
      <c r="AX949" s="213"/>
      <c r="AY949" s="213"/>
      <c r="AZ949" s="213"/>
      <c r="BA949" s="213"/>
      <c r="BB949" s="213"/>
      <c r="BC949" s="213"/>
      <c r="BD949" s="213"/>
    </row>
    <row r="950">
      <c r="A950" s="213">
        <f>IFERROR(__xludf.DUMMYFUNCTION("""COMPUTED_VALUE"""),1820.0)</f>
        <v>1820</v>
      </c>
      <c r="B950" s="213" t="str">
        <f>IFERROR(__xludf.DUMMYFUNCTION("""COMPUTED_VALUE"""),"GUILLERMO E. BILLINGHURST ")</f>
        <v>GUILLERMO E. BILLINGHURST </v>
      </c>
      <c r="C950" s="213" t="str">
        <f>IFERROR(__xludf.DUMMYFUNCTION("""COMPUTED_VALUE"""),"TALLER SFT DE EBANISTERÍA")</f>
        <v>TALLER SFT DE EBANISTERÍA</v>
      </c>
      <c r="D950" s="213" t="str">
        <f>IFERROR(__xludf.DUMMYFUNCTION("""COMPUTED_VALUE"""),"HERRAMIENTAS")</f>
        <v>HERRAMIENTAS</v>
      </c>
      <c r="E950" s="213" t="str">
        <f>IFERROR(__xludf.DUMMYFUNCTION("""COMPUTED_VALUE"""),"HER-150")</f>
        <v>HER-150</v>
      </c>
      <c r="F950" s="213" t="str">
        <f>IFERROR(__xludf.DUMMYFUNCTION("""COMPUTED_VALUE"""),"HER-150-X")</f>
        <v>HER-150-X</v>
      </c>
      <c r="G950" s="213"/>
      <c r="H950" s="213" t="str">
        <f>IFERROR(__xludf.DUMMYFUNCTION("""COMPUTED_VALUE"""),"JUEGO DE LLAVES MIXTAS")</f>
        <v>JUEGO DE LLAVES MIXTAS</v>
      </c>
      <c r="I950" s="213" t="str">
        <f>IFERROR(__xludf.DUMMYFUNCTION("""COMPUTED_VALUE"""),"Llaves combinadas que poseen las mismas medidas en los extremos Fabricadas en acero cromo-vanadio
Composición y dimensiones:
Set de 12 llaves graduados en milímetros: 8, 9, 10, 11, 12, 13, 14, 15, 16, 17, 18, 19.
Set de 12 llaves graduados en pulgadas: 3/"&amp;"8"", 7/16"", 1/2"", 9/16"", 5/8"", 11/16"", 3/4"", 13/16"", 7/8"", 15/16"", 1"", 1-1/16"".
Incluye porta llaves
VERA Hilda 998 soft
A")</f>
        <v>Llaves combinadas que poseen las mismas medidas en los extremos Fabricadas en acero cromo-vanadio
Composición y dimensiones:
Set de 12 llaves graduados en milímetros: 8, 9, 10, 11, 12, 13, 14, 15, 16, 17, 18, 19.
Set de 12 llaves graduados en pulgadas: 3/8", 7/16", 1/2", 9/16", 5/8", 11/16", 3/4", 13/16", 7/8", 15/16", 1", 1-1/16".
Incluye porta llaves
VERA Hilda 998 soft
A</v>
      </c>
      <c r="J950" s="213">
        <f>IFERROR(__xludf.DUMMYFUNCTION("""COMPUTED_VALUE"""),3.0)</f>
        <v>3</v>
      </c>
      <c r="K950" s="213" t="str">
        <f>IFERROR(__xludf.DUMMYFUNCTION("""COMPUTED_VALUE"""),"90 DÍAS CALENDARIO")</f>
        <v>90 DÍAS CALENDARIO</v>
      </c>
      <c r="L950" s="213" t="str">
        <f>IFERROR(__xludf.DUMMYFUNCTION("""COMPUTED_VALUE"""),"")</f>
        <v/>
      </c>
      <c r="M950" s="213">
        <f>IFERROR(__xludf.DUMMYFUNCTION("""COMPUTED_VALUE"""),1.0)</f>
        <v>1</v>
      </c>
      <c r="N950" s="213">
        <f>IFERROR(__xludf.DUMMYFUNCTION("""COMPUTED_VALUE"""),4.0)</f>
        <v>4</v>
      </c>
      <c r="O950" s="213">
        <f>IFERROR(__xludf.DUMMYFUNCTION("""COMPUTED_VALUE"""),4.0)</f>
        <v>4</v>
      </c>
      <c r="P950" s="213"/>
      <c r="Q950" s="213"/>
      <c r="R950" s="213" t="str">
        <f>IFERROR(__xludf.DUMMYFUNCTION("""COMPUTED_VALUE"""),"SI")</f>
        <v>SI</v>
      </c>
      <c r="S950" s="213"/>
      <c r="T950" s="213" t="str">
        <f>IFERROR(__xludf.DUMMYFUNCTION("""COMPUTED_VALUE"""),"SI")</f>
        <v>SI</v>
      </c>
      <c r="U950" s="213" t="str">
        <f>IFERROR(__xludf.DUMMYFUNCTION("""COMPUTED_VALUE"""),"SI")</f>
        <v>SI</v>
      </c>
      <c r="V950" s="213" t="str">
        <f>IFERROR(__xludf.DUMMYFUNCTION("""COMPUTED_VALUE"""),"-")</f>
        <v>-</v>
      </c>
      <c r="W950" s="213" t="str">
        <f>IFERROR(__xludf.DUMMYFUNCTION("""COMPUTED_VALUE"""),"-")</f>
        <v>-</v>
      </c>
      <c r="X950" s="213" t="str">
        <f>IFERROR(__xludf.DUMMYFUNCTION("""COMPUTED_VALUE"""),"Stanley (mm) / Gedore (pulg)")</f>
        <v>Stanley (mm) / Gedore (pulg)</v>
      </c>
      <c r="Y950" s="213" t="str">
        <f>IFERROR(__xludf.DUMMYFUNCTION("""COMPUTED_VALUE"""),"96698 (mm) / RO9115016 (pulg)")</f>
        <v>96698 (mm) / RO9115016 (pulg)</v>
      </c>
      <c r="Z950" s="215" t="str">
        <f>IFERROR(__xludf.DUMMYFUNCTION("""COMPUTED_VALUE"""),"https://www.promart.pe/juego-de-llaves-combinadas-metricas-x12-piezas-96697/p?srsltid=AfmBOooHCane3IDVLNOL20k1t-k4ErDXoOaLi7RKrl5-vNwCfTCb6HOq")</f>
        <v>https://www.promart.pe/juego-de-llaves-combinadas-metricas-x12-piezas-96697/p?srsltid=AfmBOooHCane3IDVLNOL20k1t-k4ErDXoOaLi7RKrl5-vNwCfTCb6HOq</v>
      </c>
      <c r="AA950" s="213" t="str">
        <f>IFERROR(__xludf.DUMMYFUNCTION("""COMPUTED_VALUE"""),"HER-150-X JUEGO DE LLAVES MIXTAS - CET")</f>
        <v>HER-150-X JUEGO DE LLAVES MIXTAS - CET</v>
      </c>
      <c r="AB950" s="213"/>
      <c r="AC950" s="213"/>
      <c r="AD950" s="213"/>
      <c r="AE950" s="213"/>
      <c r="AF950" s="213"/>
      <c r="AG950" s="213"/>
      <c r="AH950" s="213"/>
      <c r="AI950" s="213"/>
      <c r="AJ950" s="213"/>
      <c r="AK950" s="213"/>
      <c r="AL950" s="213"/>
      <c r="AM950" s="213"/>
      <c r="AN950" s="213"/>
      <c r="AO950" s="213"/>
      <c r="AP950" s="213" t="str">
        <f>IFERROR(__xludf.DUMMYFUNCTION("""COMPUTED_VALUE"""),"SEBASTIAN")</f>
        <v>SEBASTIAN</v>
      </c>
      <c r="AQ950" s="213"/>
      <c r="AR950" s="213"/>
      <c r="AS950" s="213"/>
      <c r="AT950" s="213"/>
      <c r="AU950" s="213"/>
      <c r="AV950" s="213"/>
      <c r="AW950" s="213"/>
      <c r="AX950" s="213"/>
      <c r="AY950" s="213"/>
      <c r="AZ950" s="213"/>
      <c r="BA950" s="213"/>
      <c r="BB950" s="213"/>
      <c r="BC950" s="213"/>
      <c r="BD950" s="213"/>
    </row>
    <row r="951">
      <c r="A951" s="213">
        <f>IFERROR(__xludf.DUMMYFUNCTION("""COMPUTED_VALUE"""),2473.0)</f>
        <v>2473</v>
      </c>
      <c r="B951" s="213" t="str">
        <f>IFERROR(__xludf.DUMMYFUNCTION("""COMPUTED_VALUE"""),"MANUEL ANTONIO MESONES MURO")</f>
        <v>MANUEL ANTONIO MESONES MURO</v>
      </c>
      <c r="C951" s="213" t="str">
        <f>IFERROR(__xludf.DUMMYFUNCTION("""COMPUTED_VALUE"""),"TALLER SFT DE CONSTRUCCIONES METÁLICAS")</f>
        <v>TALLER SFT DE CONSTRUCCIONES METÁLICAS</v>
      </c>
      <c r="D951" s="213" t="str">
        <f>IFERROR(__xludf.DUMMYFUNCTION("""COMPUTED_VALUE"""),"PEDAGOGICO")</f>
        <v>PEDAGOGICO</v>
      </c>
      <c r="E951" s="213" t="str">
        <f>IFERROR(__xludf.DUMMYFUNCTION("""COMPUTED_VALUE"""),"COM-234")</f>
        <v>COM-234</v>
      </c>
      <c r="F951" s="213" t="str">
        <f>IFERROR(__xludf.DUMMYFUNCTION("""COMPUTED_VALUE"""),"COM-234")</f>
        <v>COM-234</v>
      </c>
      <c r="G951" s="213"/>
      <c r="H951" s="213" t="str">
        <f>IFERROR(__xludf.DUMMYFUNCTION("""COMPUTED_VALUE"""),"JUEGO DE MODELOS DE PIEZAS.")</f>
        <v>JUEGO DE MODELOS DE PIEZAS.</v>
      </c>
      <c r="I951" s="213" t="str">
        <f>IFERROR(__xludf.DUMMYFUNCTION("""COMPUTED_VALUE"""),"Juego de modelos de piezas de madera (sólidos) Contiene:
- 01 Tipo cubo conformado por un mínimo de 2 piezas de aproximadamente 10 cm X 10 cm X 10cm.
- 01 Tipo paralelepípedo  rectangular conformado por un mínimo de 3 piezas de aproximadamente l=15 cm X a"&amp;"=10 cm X h=10 cm.
- 01 Tipo cilindro conformado por un minimo de 2 piezas de aproximadamente d=10 cm y H=10 cm. Son para dibujode proyeccione de vistas isométricas, de frente, de planta y laterales.")</f>
        <v>Juego de modelos de piezas de madera (sólidos) Contiene:
- 01 Tipo cubo conformado por un mínimo de 2 piezas de aproximadamente 10 cm X 10 cm X 10cm.
- 01 Tipo paralelepípedo  rectangular conformado por un mínimo de 3 piezas de aproximadamente l=15 cm X a=10 cm X h=10 cm.
- 01 Tipo cilindro conformado por un minimo de 2 piezas de aproximadamente d=10 cm y H=10 cm. Son para dibujode proyeccione de vistas isométricas, de frente, de planta y laterales.</v>
      </c>
      <c r="J951" s="213">
        <f>IFERROR(__xludf.DUMMYFUNCTION("""COMPUTED_VALUE"""),3.0)</f>
        <v>3</v>
      </c>
      <c r="K951" s="213" t="str">
        <f>IFERROR(__xludf.DUMMYFUNCTION("""COMPUTED_VALUE"""),"90 DÍAS CALENDARIO")</f>
        <v>90 DÍAS CALENDARIO</v>
      </c>
      <c r="L951" s="213" t="str">
        <f>IFERROR(__xludf.DUMMYFUNCTION("""COMPUTED_VALUE"""),"")</f>
        <v/>
      </c>
      <c r="M951" s="213">
        <f>IFERROR(__xludf.DUMMYFUNCTION("""COMPUTED_VALUE"""),1.0)</f>
        <v>1</v>
      </c>
      <c r="N951" s="213">
        <f>IFERROR(__xludf.DUMMYFUNCTION("""COMPUTED_VALUE"""),5.0)</f>
        <v>5</v>
      </c>
      <c r="O951" s="213">
        <f>IFERROR(__xludf.DUMMYFUNCTION("""COMPUTED_VALUE"""),5.0)</f>
        <v>5</v>
      </c>
      <c r="P951" s="213"/>
      <c r="Q951" s="213"/>
      <c r="R951" s="213"/>
      <c r="S951" s="213"/>
      <c r="T951" s="213" t="str">
        <f>IFERROR(__xludf.DUMMYFUNCTION("""COMPUTED_VALUE"""),"NO")</f>
        <v>NO</v>
      </c>
      <c r="U951" s="213"/>
      <c r="V951" s="213"/>
      <c r="W951" s="213" t="str">
        <f>IFERROR(__xludf.DUMMYFUNCTION("""COMPUTED_VALUE"""),"CRÍTICO")</f>
        <v>CRÍTICO</v>
      </c>
      <c r="X951" s="213" t="str">
        <f>IFERROR(__xludf.DUMMYFUNCTION("""COMPUTED_VALUE"""),"A MEDIDA")</f>
        <v>A MEDIDA</v>
      </c>
      <c r="Y951" s="213" t="str">
        <f>IFERROR(__xludf.DUMMYFUNCTION("""COMPUTED_VALUE"""),"A MEDIDA")</f>
        <v>A MEDIDA</v>
      </c>
      <c r="Z951" s="213" t="str">
        <f>IFERROR(__xludf.DUMMYFUNCTION("""COMPUTED_VALUE"""),"A MEDIDA")</f>
        <v>A MEDIDA</v>
      </c>
      <c r="AA951" s="213" t="str">
        <f>IFERROR(__xludf.DUMMYFUNCTION("""COMPUTED_VALUE"""),"COM-234 JUEGO DE MODELOS DE PIEZAS - CET")</f>
        <v>COM-234 JUEGO DE MODELOS DE PIEZAS - CET</v>
      </c>
      <c r="AB951" s="213"/>
      <c r="AC951" s="213"/>
      <c r="AD951" s="213"/>
      <c r="AE951" s="213"/>
      <c r="AF951" s="213"/>
      <c r="AG951" s="213"/>
      <c r="AH951" s="213" t="str">
        <f>IFERROR(__xludf.DUMMYFUNCTION("""COMPUTED_VALUE"""),"NACIONAL")</f>
        <v>NACIONAL</v>
      </c>
      <c r="AI951" s="213"/>
      <c r="AJ951" s="213"/>
      <c r="AK951" s="213"/>
      <c r="AL951" s="213"/>
      <c r="AM951" s="213"/>
      <c r="AN951" s="213"/>
      <c r="AO951" s="213"/>
      <c r="AP951" s="213" t="str">
        <f>IFERROR(__xludf.DUMMYFUNCTION("""COMPUTED_VALUE"""),"NALDI")</f>
        <v>NALDI</v>
      </c>
      <c r="AQ951" s="213" t="str">
        <f>IFERROR(__xludf.DUMMYFUNCTION("""COMPUTED_VALUE"""),"Consultar con el ingeniero Hugo")</f>
        <v>Consultar con el ingeniero Hugo</v>
      </c>
      <c r="AR951" s="213"/>
      <c r="AS951" s="213"/>
      <c r="AT951" s="213"/>
      <c r="AU951" s="213"/>
      <c r="AV951" s="213"/>
      <c r="AW951" s="213"/>
      <c r="AX951" s="213"/>
      <c r="AY951" s="213"/>
      <c r="AZ951" s="213"/>
      <c r="BA951" s="213"/>
      <c r="BB951" s="213"/>
      <c r="BC951" s="213"/>
      <c r="BD951" s="213"/>
    </row>
    <row r="952">
      <c r="A952" s="213">
        <f>IFERROR(__xludf.DUMMYFUNCTION("""COMPUTED_VALUE"""),2602.0)</f>
        <v>2602</v>
      </c>
      <c r="B952" s="213" t="str">
        <f>IFERROR(__xludf.DUMMYFUNCTION("""COMPUTED_VALUE"""),"MANUEL ANTONIO MESONES MURO")</f>
        <v>MANUEL ANTONIO MESONES MURO</v>
      </c>
      <c r="C952" s="213" t="str">
        <f>IFERROR(__xludf.DUMMYFUNCTION("""COMPUTED_VALUE"""),"TALLER SFT DE EBANISTERÍA")</f>
        <v>TALLER SFT DE EBANISTERÍA</v>
      </c>
      <c r="D952" s="213" t="str">
        <f>IFERROR(__xludf.DUMMYFUNCTION("""COMPUTED_VALUE"""),"HERRAMIENTAS")</f>
        <v>HERRAMIENTAS</v>
      </c>
      <c r="E952" s="213" t="str">
        <f>IFERROR(__xludf.DUMMYFUNCTION("""COMPUTED_VALUE"""),"HER-150")</f>
        <v>HER-150</v>
      </c>
      <c r="F952" s="213" t="str">
        <f>IFERROR(__xludf.DUMMYFUNCTION("""COMPUTED_VALUE"""),"HER-150-X")</f>
        <v>HER-150-X</v>
      </c>
      <c r="G952" s="213"/>
      <c r="H952" s="213" t="str">
        <f>IFERROR(__xludf.DUMMYFUNCTION("""COMPUTED_VALUE"""),"JUEGO DE LLAVES MIXTAS")</f>
        <v>JUEGO DE LLAVES MIXTAS</v>
      </c>
      <c r="I952" s="213" t="str">
        <f>IFERROR(__xludf.DUMMYFUNCTION("""COMPUTED_VALUE"""),"Llaves combinadas que poseen las mismas medidas en los extremos Fabricadas en acero cromo-vanadio
Composición y dimensiones:
Set de 12 llaves graduados en milímetros: 8, 9, 10, 11, 12, 13, 14, 15, 16, 17, 18, 19.
Set de 12 llaves graduados en pulgadas: 3/"&amp;"8"", 7/16"", 1/2"", 9/16"", 5/8"", 11/16"", 3/4"", 13/16"", 7/8"", 15/16"", 1"", 1-1/16"".
Incluye porta llaves
VERA Hilda 998 soft
A")</f>
        <v>Llaves combinadas que poseen las mismas medidas en los extremos Fabricadas en acero cromo-vanadio
Composición y dimensiones:
Set de 12 llaves graduados en milímetros: 8, 9, 10, 11, 12, 13, 14, 15, 16, 17, 18, 19.
Set de 12 llaves graduados en pulgadas: 3/8", 7/16", 1/2", 9/16", 5/8", 11/16", 3/4", 13/16", 7/8", 15/16", 1", 1-1/16".
Incluye porta llaves
VERA Hilda 998 soft
A</v>
      </c>
      <c r="J952" s="213">
        <f>IFERROR(__xludf.DUMMYFUNCTION("""COMPUTED_VALUE"""),3.0)</f>
        <v>3</v>
      </c>
      <c r="K952" s="213" t="str">
        <f>IFERROR(__xludf.DUMMYFUNCTION("""COMPUTED_VALUE"""),"90 DÍAS CALENDARIO")</f>
        <v>90 DÍAS CALENDARIO</v>
      </c>
      <c r="L952" s="213" t="str">
        <f>IFERROR(__xludf.DUMMYFUNCTION("""COMPUTED_VALUE"""),"")</f>
        <v/>
      </c>
      <c r="M952" s="213">
        <f>IFERROR(__xludf.DUMMYFUNCTION("""COMPUTED_VALUE"""),1.0)</f>
        <v>1</v>
      </c>
      <c r="N952" s="213">
        <f>IFERROR(__xludf.DUMMYFUNCTION("""COMPUTED_VALUE"""),4.0)</f>
        <v>4</v>
      </c>
      <c r="O952" s="213">
        <f>IFERROR(__xludf.DUMMYFUNCTION("""COMPUTED_VALUE"""),4.0)</f>
        <v>4</v>
      </c>
      <c r="P952" s="213"/>
      <c r="Q952" s="213"/>
      <c r="R952" s="213" t="str">
        <f>IFERROR(__xludf.DUMMYFUNCTION("""COMPUTED_VALUE"""),"SI")</f>
        <v>SI</v>
      </c>
      <c r="S952" s="213"/>
      <c r="T952" s="213" t="str">
        <f>IFERROR(__xludf.DUMMYFUNCTION("""COMPUTED_VALUE"""),"SI")</f>
        <v>SI</v>
      </c>
      <c r="U952" s="213" t="str">
        <f>IFERROR(__xludf.DUMMYFUNCTION("""COMPUTED_VALUE"""),"SI")</f>
        <v>SI</v>
      </c>
      <c r="V952" s="213" t="str">
        <f>IFERROR(__xludf.DUMMYFUNCTION("""COMPUTED_VALUE"""),"-")</f>
        <v>-</v>
      </c>
      <c r="W952" s="213" t="str">
        <f>IFERROR(__xludf.DUMMYFUNCTION("""COMPUTED_VALUE"""),"-")</f>
        <v>-</v>
      </c>
      <c r="X952" s="213" t="str">
        <f>IFERROR(__xludf.DUMMYFUNCTION("""COMPUTED_VALUE"""),"Stanley (mm) / Gedore (pulg)")</f>
        <v>Stanley (mm) / Gedore (pulg)</v>
      </c>
      <c r="Y952" s="213" t="str">
        <f>IFERROR(__xludf.DUMMYFUNCTION("""COMPUTED_VALUE"""),"96698 (mm) / RO9115016 (pulg)")</f>
        <v>96698 (mm) / RO9115016 (pulg)</v>
      </c>
      <c r="Z952" s="215" t="str">
        <f>IFERROR(__xludf.DUMMYFUNCTION("""COMPUTED_VALUE"""),"https://www.promart.pe/juego-de-llaves-combinadas-metricas-x12-piezas-96697/p?srsltid=AfmBOooHCane3IDVLNOL20k1t-k4ErDXoOaLi7RKrl5-vNwCfTCb6HOq")</f>
        <v>https://www.promart.pe/juego-de-llaves-combinadas-metricas-x12-piezas-96697/p?srsltid=AfmBOooHCane3IDVLNOL20k1t-k4ErDXoOaLi7RKrl5-vNwCfTCb6HOq</v>
      </c>
      <c r="AA952" s="213" t="str">
        <f>IFERROR(__xludf.DUMMYFUNCTION("""COMPUTED_VALUE"""),"HER-150-X JUEGO DE LLAVES MIXTAS - CET")</f>
        <v>HER-150-X JUEGO DE LLAVES MIXTAS - CET</v>
      </c>
      <c r="AB952" s="213"/>
      <c r="AC952" s="213"/>
      <c r="AD952" s="213"/>
      <c r="AE952" s="213"/>
      <c r="AF952" s="213"/>
      <c r="AG952" s="213"/>
      <c r="AH952" s="213"/>
      <c r="AI952" s="213"/>
      <c r="AJ952" s="213"/>
      <c r="AK952" s="213"/>
      <c r="AL952" s="213"/>
      <c r="AM952" s="213"/>
      <c r="AN952" s="213"/>
      <c r="AO952" s="213"/>
      <c r="AP952" s="213" t="str">
        <f>IFERROR(__xludf.DUMMYFUNCTION("""COMPUTED_VALUE"""),"SEBASTIAN")</f>
        <v>SEBASTIAN</v>
      </c>
      <c r="AQ952" s="213"/>
      <c r="AR952" s="213"/>
      <c r="AS952" s="213"/>
      <c r="AT952" s="213"/>
      <c r="AU952" s="213"/>
      <c r="AV952" s="213"/>
      <c r="AW952" s="213"/>
      <c r="AX952" s="213"/>
      <c r="AY952" s="213"/>
      <c r="AZ952" s="213"/>
      <c r="BA952" s="213"/>
      <c r="BB952" s="213"/>
      <c r="BC952" s="213"/>
      <c r="BD952" s="213"/>
    </row>
    <row r="953">
      <c r="A953" s="213">
        <f>IFERROR(__xludf.DUMMYFUNCTION("""COMPUTED_VALUE"""),935.0)</f>
        <v>935</v>
      </c>
      <c r="B953" s="213" t="str">
        <f>IFERROR(__xludf.DUMMYFUNCTION("""COMPUTED_VALUE"""),"FRANCISCO IRAZOLA")</f>
        <v>FRANCISCO IRAZOLA</v>
      </c>
      <c r="C953" s="213" t="str">
        <f>IFERROR(__xludf.DUMMYFUNCTION("""COMPUTED_VALUE"""),"TALLER SFT DE MECÁNICA AUTOMOTRIZ")</f>
        <v>TALLER SFT DE MECÁNICA AUTOMOTRIZ</v>
      </c>
      <c r="D953" s="213" t="str">
        <f>IFERROR(__xludf.DUMMYFUNCTION("""COMPUTED_VALUE"""),"HERRAMIENTAS")</f>
        <v>HERRAMIENTAS</v>
      </c>
      <c r="E953" s="213" t="str">
        <f>IFERROR(__xludf.DUMMYFUNCTION("""COMPUTED_VALUE"""),"HER-151")</f>
        <v>HER-151</v>
      </c>
      <c r="F953" s="213" t="str">
        <f>IFERROR(__xludf.DUMMYFUNCTION("""COMPUTED_VALUE"""),"HER-151")</f>
        <v>HER-151</v>
      </c>
      <c r="G953" s="213"/>
      <c r="H953" s="213" t="str">
        <f>IFERROR(__xludf.DUMMYFUNCTION("""COMPUTED_VALUE"""),"KIT DE LLAVES MIXTAS BOCA - CORONA")</f>
        <v>KIT DE LLAVES MIXTAS BOCA - CORONA</v>
      </c>
      <c r="I953" s="213" t="str">
        <f>IFERROR(__xludf.DUMMYFUNCTION("""COMPUTED_VALUE"""),"Llaves combinadas que poseen las mismas medidas en los extremos. Fabricadas de acero cromo, vanadio.
Composición y dimensiones:
Set de 16 llaves graduados en milímetros: entre 6 - 24mm.
Set de mínimo 14 llaves graduados en pulgadas: entre ≤ 3/8"" - 1-1/4"&amp;""".")</f>
        <v>Llaves combinadas que poseen las mismas medidas en los extremos. Fabricadas de acero cromo, vanadio.
Composición y dimensiones:
Set de 16 llaves graduados en milímetros: entre 6 - 24mm.
Set de mínimo 14 llaves graduados en pulgadas: entre ≤ 3/8" - 1-1/4".</v>
      </c>
      <c r="J953" s="213">
        <f>IFERROR(__xludf.DUMMYFUNCTION("""COMPUTED_VALUE"""),3.0)</f>
        <v>3</v>
      </c>
      <c r="K953" s="213" t="str">
        <f>IFERROR(__xludf.DUMMYFUNCTION("""COMPUTED_VALUE"""),"90 DÍAS CALENDARIO")</f>
        <v>90 DÍAS CALENDARIO</v>
      </c>
      <c r="L953" s="213" t="str">
        <f>IFERROR(__xludf.DUMMYFUNCTION("""COMPUTED_VALUE"""),"")</f>
        <v/>
      </c>
      <c r="M953" s="213">
        <f>IFERROR(__xludf.DUMMYFUNCTION("""COMPUTED_VALUE"""),1.0)</f>
        <v>1</v>
      </c>
      <c r="N953" s="213">
        <f>IFERROR(__xludf.DUMMYFUNCTION("""COMPUTED_VALUE"""),4.0)</f>
        <v>4</v>
      </c>
      <c r="O953" s="213">
        <f>IFERROR(__xludf.DUMMYFUNCTION("""COMPUTED_VALUE"""),4.0)</f>
        <v>4</v>
      </c>
      <c r="P953" s="213"/>
      <c r="Q953" s="213"/>
      <c r="R953" s="213" t="str">
        <f>IFERROR(__xludf.DUMMYFUNCTION("""COMPUTED_VALUE"""),"SI")</f>
        <v>SI</v>
      </c>
      <c r="S953" s="213"/>
      <c r="T953" s="213" t="str">
        <f>IFERROR(__xludf.DUMMYFUNCTION("""COMPUTED_VALUE"""),"SI")</f>
        <v>SI</v>
      </c>
      <c r="U953" s="213" t="str">
        <f>IFERROR(__xludf.DUMMYFUNCTION("""COMPUTED_VALUE"""),"SI")</f>
        <v>SI</v>
      </c>
      <c r="V953" s="213" t="str">
        <f>IFERROR(__xludf.DUMMYFUNCTION("""COMPUTED_VALUE"""),"-")</f>
        <v>-</v>
      </c>
      <c r="W953" s="213" t="str">
        <f>IFERROR(__xludf.DUMMYFUNCTION("""COMPUTED_VALUE"""),"-")</f>
        <v>-</v>
      </c>
      <c r="X953" s="213" t="str">
        <f>IFERROR(__xludf.DUMMYFUNCTION("""COMPUTED_VALUE"""),"FERRAWYY")</f>
        <v>FERRAWYY</v>
      </c>
      <c r="Y953" s="213" t="str">
        <f>IFERROR(__xludf.DUMMYFUNCTION("""COMPUTED_VALUE"""),"YOS-914")</f>
        <v>YOS-914</v>
      </c>
      <c r="Z953" s="215" t="str">
        <f>IFERROR(__xludf.DUMMYFUNCTION("""COMPUTED_VALUE"""),"https://www.sodimac.com.pe/sodimac-pe/articulo/124515794/Juego-14-piezas-enrollable-Llave-mixta-6-24mm-Acero-Satinado-Ferrawyy/124515799")</f>
        <v>https://www.sodimac.com.pe/sodimac-pe/articulo/124515794/Juego-14-piezas-enrollable-Llave-mixta-6-24mm-Acero-Satinado-Ferrawyy/124515799</v>
      </c>
      <c r="AA953" s="213" t="str">
        <f>IFERROR(__xludf.DUMMYFUNCTION("""COMPUTED_VALUE"""),"HER-151 KIT DE LLAVES MIXTAS BOCA- CORONA - CET")</f>
        <v>HER-151 KIT DE LLAVES MIXTAS BOCA- CORONA - CET</v>
      </c>
      <c r="AB953" s="213"/>
      <c r="AC953" s="213"/>
      <c r="AD953" s="213"/>
      <c r="AE953" s="213"/>
      <c r="AF953" s="213"/>
      <c r="AG953" s="213"/>
      <c r="AH953" s="213"/>
      <c r="AI953" s="213"/>
      <c r="AJ953" s="213"/>
      <c r="AK953" s="213"/>
      <c r="AL953" s="213"/>
      <c r="AM953" s="213"/>
      <c r="AN953" s="213"/>
      <c r="AO953" s="213"/>
      <c r="AP953" s="213" t="str">
        <f>IFERROR(__xludf.DUMMYFUNCTION("""COMPUTED_VALUE"""),"LUIS")</f>
        <v>LUIS</v>
      </c>
      <c r="AQ953" s="213"/>
      <c r="AR953" s="213"/>
      <c r="AS953" s="213"/>
      <c r="AT953" s="213"/>
      <c r="AU953" s="213"/>
      <c r="AV953" s="213"/>
      <c r="AW953" s="213"/>
      <c r="AX953" s="213"/>
      <c r="AY953" s="213"/>
      <c r="AZ953" s="213"/>
      <c r="BA953" s="213"/>
      <c r="BB953" s="213"/>
      <c r="BC953" s="213"/>
      <c r="BD953" s="213"/>
    </row>
    <row r="954">
      <c r="A954" s="213">
        <f>IFERROR(__xludf.DUMMYFUNCTION("""COMPUTED_VALUE"""),1536.0)</f>
        <v>1536</v>
      </c>
      <c r="B954" s="213" t="str">
        <f>IFERROR(__xludf.DUMMYFUNCTION("""COMPUTED_VALUE"""),"GUILLERMO E. BILLINGHURST ")</f>
        <v>GUILLERMO E. BILLINGHURST </v>
      </c>
      <c r="C954" s="213" t="str">
        <f>IFERROR(__xludf.DUMMYFUNCTION("""COMPUTED_VALUE"""),"TALLER SFT DE MECÁNICA AUTOMOTRIZ")</f>
        <v>TALLER SFT DE MECÁNICA AUTOMOTRIZ</v>
      </c>
      <c r="D954" s="213" t="str">
        <f>IFERROR(__xludf.DUMMYFUNCTION("""COMPUTED_VALUE"""),"HERRAMIENTAS")</f>
        <v>HERRAMIENTAS</v>
      </c>
      <c r="E954" s="213" t="str">
        <f>IFERROR(__xludf.DUMMYFUNCTION("""COMPUTED_VALUE"""),"HER-151")</f>
        <v>HER-151</v>
      </c>
      <c r="F954" s="213" t="str">
        <f>IFERROR(__xludf.DUMMYFUNCTION("""COMPUTED_VALUE"""),"HER-151")</f>
        <v>HER-151</v>
      </c>
      <c r="G954" s="213"/>
      <c r="H954" s="213" t="str">
        <f>IFERROR(__xludf.DUMMYFUNCTION("""COMPUTED_VALUE"""),"KIT DE LLAVES MIXTAS BOCA - CORONA")</f>
        <v>KIT DE LLAVES MIXTAS BOCA - CORONA</v>
      </c>
      <c r="I954" s="213" t="str">
        <f>IFERROR(__xludf.DUMMYFUNCTION("""COMPUTED_VALUE"""),"Llaves combinadas que poseen las mismas medidas en los extremos. Fabricadas de acero cromo, vanadio.
Composición y dimensiones:
Set de 16 llaves graduados en milímetros: entre 6 - 24mm.
Set de mínimo 14 llaves graduados en pulgadas: entre ≤ 3/8"" - 1-1/4"&amp;""".")</f>
        <v>Llaves combinadas que poseen las mismas medidas en los extremos. Fabricadas de acero cromo, vanadio.
Composición y dimensiones:
Set de 16 llaves graduados en milímetros: entre 6 - 24mm.
Set de mínimo 14 llaves graduados en pulgadas: entre ≤ 3/8" - 1-1/4".</v>
      </c>
      <c r="J954" s="213">
        <f>IFERROR(__xludf.DUMMYFUNCTION("""COMPUTED_VALUE"""),3.0)</f>
        <v>3</v>
      </c>
      <c r="K954" s="213" t="str">
        <f>IFERROR(__xludf.DUMMYFUNCTION("""COMPUTED_VALUE"""),"90 DÍAS CALENDARIO")</f>
        <v>90 DÍAS CALENDARIO</v>
      </c>
      <c r="L954" s="213" t="str">
        <f>IFERROR(__xludf.DUMMYFUNCTION("""COMPUTED_VALUE"""),"")</f>
        <v/>
      </c>
      <c r="M954" s="213">
        <f>IFERROR(__xludf.DUMMYFUNCTION("""COMPUTED_VALUE"""),1.0)</f>
        <v>1</v>
      </c>
      <c r="N954" s="213">
        <f>IFERROR(__xludf.DUMMYFUNCTION("""COMPUTED_VALUE"""),4.0)</f>
        <v>4</v>
      </c>
      <c r="O954" s="213">
        <f>IFERROR(__xludf.DUMMYFUNCTION("""COMPUTED_VALUE"""),4.0)</f>
        <v>4</v>
      </c>
      <c r="P954" s="213"/>
      <c r="Q954" s="213"/>
      <c r="R954" s="213" t="str">
        <f>IFERROR(__xludf.DUMMYFUNCTION("""COMPUTED_VALUE"""),"SI")</f>
        <v>SI</v>
      </c>
      <c r="S954" s="213"/>
      <c r="T954" s="213" t="str">
        <f>IFERROR(__xludf.DUMMYFUNCTION("""COMPUTED_VALUE"""),"SI")</f>
        <v>SI</v>
      </c>
      <c r="U954" s="213" t="str">
        <f>IFERROR(__xludf.DUMMYFUNCTION("""COMPUTED_VALUE"""),"SI")</f>
        <v>SI</v>
      </c>
      <c r="V954" s="213" t="str">
        <f>IFERROR(__xludf.DUMMYFUNCTION("""COMPUTED_VALUE"""),"-")</f>
        <v>-</v>
      </c>
      <c r="W954" s="213" t="str">
        <f>IFERROR(__xludf.DUMMYFUNCTION("""COMPUTED_VALUE"""),"-")</f>
        <v>-</v>
      </c>
      <c r="X954" s="213" t="str">
        <f>IFERROR(__xludf.DUMMYFUNCTION("""COMPUTED_VALUE"""),"FERRAWYY")</f>
        <v>FERRAWYY</v>
      </c>
      <c r="Y954" s="213" t="str">
        <f>IFERROR(__xludf.DUMMYFUNCTION("""COMPUTED_VALUE"""),"YOS-914")</f>
        <v>YOS-914</v>
      </c>
      <c r="Z954" s="215" t="str">
        <f>IFERROR(__xludf.DUMMYFUNCTION("""COMPUTED_VALUE"""),"https://www.sodimac.com.pe/sodimac-pe/articulo/124515794/Juego-14-piezas-enrollable-Llave-mixta-6-24mm-Acero-Satinado-Ferrawyy/124515799")</f>
        <v>https://www.sodimac.com.pe/sodimac-pe/articulo/124515794/Juego-14-piezas-enrollable-Llave-mixta-6-24mm-Acero-Satinado-Ferrawyy/124515799</v>
      </c>
      <c r="AA954" s="213" t="str">
        <f>IFERROR(__xludf.DUMMYFUNCTION("""COMPUTED_VALUE"""),"HER-151 KIT DE LLAVES MIXTAS BOCA- CORONA - CET")</f>
        <v>HER-151 KIT DE LLAVES MIXTAS BOCA- CORONA - CET</v>
      </c>
      <c r="AB954" s="213"/>
      <c r="AC954" s="213"/>
      <c r="AD954" s="213"/>
      <c r="AE954" s="213"/>
      <c r="AF954" s="213"/>
      <c r="AG954" s="213"/>
      <c r="AH954" s="213"/>
      <c r="AI954" s="213"/>
      <c r="AJ954" s="213"/>
      <c r="AK954" s="213"/>
      <c r="AL954" s="213"/>
      <c r="AM954" s="213"/>
      <c r="AN954" s="213"/>
      <c r="AO954" s="213"/>
      <c r="AP954" s="213" t="str">
        <f>IFERROR(__xludf.DUMMYFUNCTION("""COMPUTED_VALUE"""),"LUIS")</f>
        <v>LUIS</v>
      </c>
      <c r="AQ954" s="213"/>
      <c r="AR954" s="213"/>
      <c r="AS954" s="213"/>
      <c r="AT954" s="213"/>
      <c r="AU954" s="213"/>
      <c r="AV954" s="213"/>
      <c r="AW954" s="213"/>
      <c r="AX954" s="213"/>
      <c r="AY954" s="213"/>
      <c r="AZ954" s="213"/>
      <c r="BA954" s="213"/>
      <c r="BB954" s="213"/>
      <c r="BC954" s="213"/>
      <c r="BD954" s="213"/>
    </row>
    <row r="955">
      <c r="A955" s="213">
        <f>IFERROR(__xludf.DUMMYFUNCTION("""COMPUTED_VALUE"""),2228.0)</f>
        <v>2228</v>
      </c>
      <c r="B955" s="213" t="str">
        <f>IFERROR(__xludf.DUMMYFUNCTION("""COMPUTED_VALUE"""),"JOSE GRANDA")</f>
        <v>JOSE GRANDA</v>
      </c>
      <c r="C955" s="213" t="str">
        <f>IFERROR(__xludf.DUMMYFUNCTION("""COMPUTED_VALUE"""),"TALLER SFT DE MECÁNICA AUTOMOTRIZ")</f>
        <v>TALLER SFT DE MECÁNICA AUTOMOTRIZ</v>
      </c>
      <c r="D955" s="213" t="str">
        <f>IFERROR(__xludf.DUMMYFUNCTION("""COMPUTED_VALUE"""),"HERRAMIENTAS")</f>
        <v>HERRAMIENTAS</v>
      </c>
      <c r="E955" s="213" t="str">
        <f>IFERROR(__xludf.DUMMYFUNCTION("""COMPUTED_VALUE"""),"HER-151")</f>
        <v>HER-151</v>
      </c>
      <c r="F955" s="213" t="str">
        <f>IFERROR(__xludf.DUMMYFUNCTION("""COMPUTED_VALUE"""),"HER-151")</f>
        <v>HER-151</v>
      </c>
      <c r="G955" s="213"/>
      <c r="H955" s="213" t="str">
        <f>IFERROR(__xludf.DUMMYFUNCTION("""COMPUTED_VALUE"""),"KIT DE LLAVES MIXTAS BOCA - CORONA")</f>
        <v>KIT DE LLAVES MIXTAS BOCA - CORONA</v>
      </c>
      <c r="I955" s="213" t="str">
        <f>IFERROR(__xludf.DUMMYFUNCTION("""COMPUTED_VALUE"""),"Llaves combinadas que poseen las mismas medidas en los extremos. Fabricadas de acero cromo, vanadio.
Composición y dimensiones:
Set de 16 llaves graduados en milímetros: entre 6 - 24mm.
Set de mínimo 14 llaves graduados en pulgadas: entre ≤ 3/8"" - 1-1/4"&amp;""".")</f>
        <v>Llaves combinadas que poseen las mismas medidas en los extremos. Fabricadas de acero cromo, vanadio.
Composición y dimensiones:
Set de 16 llaves graduados en milímetros: entre 6 - 24mm.
Set de mínimo 14 llaves graduados en pulgadas: entre ≤ 3/8" - 1-1/4".</v>
      </c>
      <c r="J955" s="213">
        <f>IFERROR(__xludf.DUMMYFUNCTION("""COMPUTED_VALUE"""),3.0)</f>
        <v>3</v>
      </c>
      <c r="K955" s="213" t="str">
        <f>IFERROR(__xludf.DUMMYFUNCTION("""COMPUTED_VALUE"""),"90 DÍAS CALENDARIO")</f>
        <v>90 DÍAS CALENDARIO</v>
      </c>
      <c r="L955" s="213" t="str">
        <f>IFERROR(__xludf.DUMMYFUNCTION("""COMPUTED_VALUE"""),"")</f>
        <v/>
      </c>
      <c r="M955" s="213">
        <f>IFERROR(__xludf.DUMMYFUNCTION("""COMPUTED_VALUE"""),1.0)</f>
        <v>1</v>
      </c>
      <c r="N955" s="213">
        <f>IFERROR(__xludf.DUMMYFUNCTION("""COMPUTED_VALUE"""),4.0)</f>
        <v>4</v>
      </c>
      <c r="O955" s="213">
        <f>IFERROR(__xludf.DUMMYFUNCTION("""COMPUTED_VALUE"""),4.0)</f>
        <v>4</v>
      </c>
      <c r="P955" s="213"/>
      <c r="Q955" s="213"/>
      <c r="R955" s="213" t="str">
        <f>IFERROR(__xludf.DUMMYFUNCTION("""COMPUTED_VALUE"""),"SI")</f>
        <v>SI</v>
      </c>
      <c r="S955" s="213"/>
      <c r="T955" s="213" t="str">
        <f>IFERROR(__xludf.DUMMYFUNCTION("""COMPUTED_VALUE"""),"SI")</f>
        <v>SI</v>
      </c>
      <c r="U955" s="213" t="str">
        <f>IFERROR(__xludf.DUMMYFUNCTION("""COMPUTED_VALUE"""),"SI")</f>
        <v>SI</v>
      </c>
      <c r="V955" s="213" t="str">
        <f>IFERROR(__xludf.DUMMYFUNCTION("""COMPUTED_VALUE"""),"-")</f>
        <v>-</v>
      </c>
      <c r="W955" s="213" t="str">
        <f>IFERROR(__xludf.DUMMYFUNCTION("""COMPUTED_VALUE"""),"-")</f>
        <v>-</v>
      </c>
      <c r="X955" s="213" t="str">
        <f>IFERROR(__xludf.DUMMYFUNCTION("""COMPUTED_VALUE"""),"FERRAWYY")</f>
        <v>FERRAWYY</v>
      </c>
      <c r="Y955" s="213" t="str">
        <f>IFERROR(__xludf.DUMMYFUNCTION("""COMPUTED_VALUE"""),"YOS-914")</f>
        <v>YOS-914</v>
      </c>
      <c r="Z955" s="215" t="str">
        <f>IFERROR(__xludf.DUMMYFUNCTION("""COMPUTED_VALUE"""),"https://www.sodimac.com.pe/sodimac-pe/articulo/124515794/Juego-14-piezas-enrollable-Llave-mixta-6-24mm-Acero-Satinado-Ferrawyy/124515799")</f>
        <v>https://www.sodimac.com.pe/sodimac-pe/articulo/124515794/Juego-14-piezas-enrollable-Llave-mixta-6-24mm-Acero-Satinado-Ferrawyy/124515799</v>
      </c>
      <c r="AA955" s="213" t="str">
        <f>IFERROR(__xludf.DUMMYFUNCTION("""COMPUTED_VALUE"""),"HER-151 KIT DE LLAVES MIXTAS BOCA- CORONA - CET")</f>
        <v>HER-151 KIT DE LLAVES MIXTAS BOCA- CORONA - CET</v>
      </c>
      <c r="AB955" s="213"/>
      <c r="AC955" s="213"/>
      <c r="AD955" s="213"/>
      <c r="AE955" s="213"/>
      <c r="AF955" s="213"/>
      <c r="AG955" s="213"/>
      <c r="AH955" s="213"/>
      <c r="AI955" s="213"/>
      <c r="AJ955" s="213"/>
      <c r="AK955" s="213"/>
      <c r="AL955" s="213"/>
      <c r="AM955" s="213"/>
      <c r="AN955" s="213"/>
      <c r="AO955" s="213"/>
      <c r="AP955" s="213" t="str">
        <f>IFERROR(__xludf.DUMMYFUNCTION("""COMPUTED_VALUE"""),"LUIS")</f>
        <v>LUIS</v>
      </c>
      <c r="AQ955" s="213"/>
      <c r="AR955" s="213"/>
      <c r="AS955" s="213"/>
      <c r="AT955" s="213"/>
      <c r="AU955" s="213"/>
      <c r="AV955" s="213"/>
      <c r="AW955" s="213"/>
      <c r="AX955" s="213"/>
      <c r="AY955" s="213"/>
      <c r="AZ955" s="213"/>
      <c r="BA955" s="213"/>
      <c r="BB955" s="213"/>
      <c r="BC955" s="213"/>
      <c r="BD955" s="213"/>
    </row>
    <row r="956">
      <c r="A956" s="213">
        <f>IFERROR(__xludf.DUMMYFUNCTION("""COMPUTED_VALUE"""),975.0)</f>
        <v>975</v>
      </c>
      <c r="B956" s="213" t="str">
        <f>IFERROR(__xludf.DUMMYFUNCTION("""COMPUTED_VALUE"""),"FRANCISCO IRAZOLA")</f>
        <v>FRANCISCO IRAZOLA</v>
      </c>
      <c r="C956" s="213" t="str">
        <f>IFERROR(__xludf.DUMMYFUNCTION("""COMPUTED_VALUE"""),"TALLER SFT DE MECÁNICA AUTOMOTRIZ")</f>
        <v>TALLER SFT DE MECÁNICA AUTOMOTRIZ</v>
      </c>
      <c r="D956" s="213" t="str">
        <f>IFERROR(__xludf.DUMMYFUNCTION("""COMPUTED_VALUE"""),"HERRAMIENTAS")</f>
        <v>HERRAMIENTAS</v>
      </c>
      <c r="E956" s="213" t="str">
        <f>IFERROR(__xludf.DUMMYFUNCTION("""COMPUTED_VALUE"""),"HER-152")</f>
        <v>HER-152</v>
      </c>
      <c r="F956" s="213" t="str">
        <f>IFERROR(__xludf.DUMMYFUNCTION("""COMPUTED_VALUE"""),"HER-152")</f>
        <v>HER-152</v>
      </c>
      <c r="G956" s="213"/>
      <c r="H956" s="213" t="str">
        <f>IFERROR(__xludf.DUMMYFUNCTION("""COMPUTED_VALUE"""),"JUEGO DE LLAVES PARA FILTROS DE ACEITE")</f>
        <v>JUEGO DE LLAVES PARA FILTROS DE ACEITE</v>
      </c>
      <c r="I956" s="213" t="str">
        <f>IFERROR(__xludf.DUMMYFUNCTION("""COMPUTED_VALUE"""),"Llaves para el retiro y montaje de filtro de aceite.
Mínimo juego de 2 unidades de llaves para manipular el filtro.
Uno de banda de acero inoxidable para tamaño de diámetros: entre ≤ 70 - ≥ 80 mm.
El otro de banda plastica, para retirar objetos circulares"&amp;" e irregulares, tamaño de diámetro a trabajar: ≥ 120 mm.")</f>
        <v>Llaves para el retiro y montaje de filtro de aceite.
Mínimo juego de 2 unidades de llaves para manipular el filtro.
Uno de banda de acero inoxidable para tamaño de diámetros: entre ≤ 70 - ≥ 80 mm.
El otro de banda plastica, para retirar objetos circulares e irregulares, tamaño de diámetro a trabajar: ≥ 120 mm.</v>
      </c>
      <c r="J956" s="213">
        <f>IFERROR(__xludf.DUMMYFUNCTION("""COMPUTED_VALUE"""),3.0)</f>
        <v>3</v>
      </c>
      <c r="K956" s="213" t="str">
        <f>IFERROR(__xludf.DUMMYFUNCTION("""COMPUTED_VALUE"""),"90 DÍAS CALENDARIO")</f>
        <v>90 DÍAS CALENDARIO</v>
      </c>
      <c r="L956" s="213" t="str">
        <f>IFERROR(__xludf.DUMMYFUNCTION("""COMPUTED_VALUE"""),"")</f>
        <v/>
      </c>
      <c r="M956" s="213">
        <f>IFERROR(__xludf.DUMMYFUNCTION("""COMPUTED_VALUE"""),1.0)</f>
        <v>1</v>
      </c>
      <c r="N956" s="213">
        <f>IFERROR(__xludf.DUMMYFUNCTION("""COMPUTED_VALUE"""),1.0)</f>
        <v>1</v>
      </c>
      <c r="O956" s="213">
        <f>IFERROR(__xludf.DUMMYFUNCTION("""COMPUTED_VALUE"""),1.0)</f>
        <v>1</v>
      </c>
      <c r="P956" s="213"/>
      <c r="Q956" s="213"/>
      <c r="R956" s="213"/>
      <c r="S956" s="213"/>
      <c r="T956" s="213" t="str">
        <f>IFERROR(__xludf.DUMMYFUNCTION("""COMPUTED_VALUE"""),"SI")</f>
        <v>SI</v>
      </c>
      <c r="U956" s="213" t="str">
        <f>IFERROR(__xludf.DUMMYFUNCTION("""COMPUTED_VALUE"""),"SI")</f>
        <v>SI</v>
      </c>
      <c r="V956" s="213" t="str">
        <f>IFERROR(__xludf.DUMMYFUNCTION("""COMPUTED_VALUE"""),"-")</f>
        <v>-</v>
      </c>
      <c r="W956" s="213" t="str">
        <f>IFERROR(__xludf.DUMMYFUNCTION("""COMPUTED_VALUE"""),"-")</f>
        <v>-</v>
      </c>
      <c r="X956" s="213" t="str">
        <f>IFERROR(__xludf.DUMMYFUNCTION("""COMPUTED_VALUE"""),"Spurtar")</f>
        <v>Spurtar</v>
      </c>
      <c r="Y956" s="213" t="str">
        <f>IFERROR(__xludf.DUMMYFUNCTION("""COMPUTED_VALUE"""),"‎SPU-001")</f>
        <v>‎SPU-001</v>
      </c>
      <c r="Z956" s="215" t="str">
        <f>IFERROR(__xludf.DUMMYFUNCTION("""COMPUTED_VALUE"""),"https://www.amazon.com/Spurtar-Adjustable-68-85-133-35mm-Universal-Generator/dp/B0C4P1SP58?th=1")</f>
        <v>https://www.amazon.com/Spurtar-Adjustable-68-85-133-35mm-Universal-Generator/dp/B0C4P1SP58?th=1</v>
      </c>
      <c r="AA956" s="213" t="str">
        <f>IFERROR(__xludf.DUMMYFUNCTION("""COMPUTED_VALUE"""),"HER-152 JUEGO DE LLAVES PARA FILTROS DE ACEITE - CET")</f>
        <v>HER-152 JUEGO DE LLAVES PARA FILTROS DE ACEITE - CET</v>
      </c>
      <c r="AB956" s="213"/>
      <c r="AC956" s="213"/>
      <c r="AD956" s="213"/>
      <c r="AE956" s="213"/>
      <c r="AF956" s="213"/>
      <c r="AG956" s="213"/>
      <c r="AH956" s="213"/>
      <c r="AI956" s="213"/>
      <c r="AJ956" s="213"/>
      <c r="AK956" s="213"/>
      <c r="AL956" s="213"/>
      <c r="AM956" s="213"/>
      <c r="AN956" s="213"/>
      <c r="AO956" s="213"/>
      <c r="AP956" s="213" t="str">
        <f>IFERROR(__xludf.DUMMYFUNCTION("""COMPUTED_VALUE"""),"SEBASTIAN")</f>
        <v>SEBASTIAN</v>
      </c>
      <c r="AQ956" s="213"/>
      <c r="AR956" s="213"/>
      <c r="AS956" s="213"/>
      <c r="AT956" s="213"/>
      <c r="AU956" s="213"/>
      <c r="AV956" s="213"/>
      <c r="AW956" s="213"/>
      <c r="AX956" s="213"/>
      <c r="AY956" s="213"/>
      <c r="AZ956" s="213"/>
      <c r="BA956" s="213"/>
      <c r="BB956" s="213"/>
      <c r="BC956" s="213"/>
      <c r="BD956" s="213"/>
    </row>
    <row r="957">
      <c r="A957" s="213">
        <f>IFERROR(__xludf.DUMMYFUNCTION("""COMPUTED_VALUE"""),1576.0)</f>
        <v>1576</v>
      </c>
      <c r="B957" s="213" t="str">
        <f>IFERROR(__xludf.DUMMYFUNCTION("""COMPUTED_VALUE"""),"GUILLERMO E. BILLINGHURST ")</f>
        <v>GUILLERMO E. BILLINGHURST </v>
      </c>
      <c r="C957" s="213" t="str">
        <f>IFERROR(__xludf.DUMMYFUNCTION("""COMPUTED_VALUE"""),"TALLER SFT DE MECÁNICA AUTOMOTRIZ")</f>
        <v>TALLER SFT DE MECÁNICA AUTOMOTRIZ</v>
      </c>
      <c r="D957" s="213" t="str">
        <f>IFERROR(__xludf.DUMMYFUNCTION("""COMPUTED_VALUE"""),"HERRAMIENTAS")</f>
        <v>HERRAMIENTAS</v>
      </c>
      <c r="E957" s="213" t="str">
        <f>IFERROR(__xludf.DUMMYFUNCTION("""COMPUTED_VALUE"""),"HER-152")</f>
        <v>HER-152</v>
      </c>
      <c r="F957" s="213" t="str">
        <f>IFERROR(__xludf.DUMMYFUNCTION("""COMPUTED_VALUE"""),"HER-152")</f>
        <v>HER-152</v>
      </c>
      <c r="G957" s="213"/>
      <c r="H957" s="213" t="str">
        <f>IFERROR(__xludf.DUMMYFUNCTION("""COMPUTED_VALUE"""),"JUEGO DE LLAVES PARA FILTROS DE ACEITE")</f>
        <v>JUEGO DE LLAVES PARA FILTROS DE ACEITE</v>
      </c>
      <c r="I957" s="213" t="str">
        <f>IFERROR(__xludf.DUMMYFUNCTION("""COMPUTED_VALUE"""),"Llaves para el retiro y montaje de filtro de aceite.
Mínimo juego de 2 unidades de llaves para manipular el filtro.
Uno de banda de acero inoxidable para tamaño de diámetros: entre ≤ 70 - ≥ 80 mm.
El otro de banda plastica, para retirar objetos circulares"&amp;" e irregulares, tamaño de diámetro a trabajar: ≥ 120 mm.")</f>
        <v>Llaves para el retiro y montaje de filtro de aceite.
Mínimo juego de 2 unidades de llaves para manipular el filtro.
Uno de banda de acero inoxidable para tamaño de diámetros: entre ≤ 70 - ≥ 80 mm.
El otro de banda plastica, para retirar objetos circulares e irregulares, tamaño de diámetro a trabajar: ≥ 120 mm.</v>
      </c>
      <c r="J957" s="213">
        <f>IFERROR(__xludf.DUMMYFUNCTION("""COMPUTED_VALUE"""),3.0)</f>
        <v>3</v>
      </c>
      <c r="K957" s="213" t="str">
        <f>IFERROR(__xludf.DUMMYFUNCTION("""COMPUTED_VALUE"""),"90 DÍAS CALENDARIO")</f>
        <v>90 DÍAS CALENDARIO</v>
      </c>
      <c r="L957" s="213" t="str">
        <f>IFERROR(__xludf.DUMMYFUNCTION("""COMPUTED_VALUE"""),"")</f>
        <v/>
      </c>
      <c r="M957" s="213">
        <f>IFERROR(__xludf.DUMMYFUNCTION("""COMPUTED_VALUE"""),1.0)</f>
        <v>1</v>
      </c>
      <c r="N957" s="213">
        <f>IFERROR(__xludf.DUMMYFUNCTION("""COMPUTED_VALUE"""),1.0)</f>
        <v>1</v>
      </c>
      <c r="O957" s="213">
        <f>IFERROR(__xludf.DUMMYFUNCTION("""COMPUTED_VALUE"""),1.0)</f>
        <v>1</v>
      </c>
      <c r="P957" s="213"/>
      <c r="Q957" s="213"/>
      <c r="R957" s="213"/>
      <c r="S957" s="213"/>
      <c r="T957" s="213" t="str">
        <f>IFERROR(__xludf.DUMMYFUNCTION("""COMPUTED_VALUE"""),"SI")</f>
        <v>SI</v>
      </c>
      <c r="U957" s="213" t="str">
        <f>IFERROR(__xludf.DUMMYFUNCTION("""COMPUTED_VALUE"""),"SI")</f>
        <v>SI</v>
      </c>
      <c r="V957" s="213" t="str">
        <f>IFERROR(__xludf.DUMMYFUNCTION("""COMPUTED_VALUE"""),"-")</f>
        <v>-</v>
      </c>
      <c r="W957" s="213" t="str">
        <f>IFERROR(__xludf.DUMMYFUNCTION("""COMPUTED_VALUE"""),"-")</f>
        <v>-</v>
      </c>
      <c r="X957" s="213" t="str">
        <f>IFERROR(__xludf.DUMMYFUNCTION("""COMPUTED_VALUE"""),"Spurtar")</f>
        <v>Spurtar</v>
      </c>
      <c r="Y957" s="213" t="str">
        <f>IFERROR(__xludf.DUMMYFUNCTION("""COMPUTED_VALUE"""),"‎SPU-001")</f>
        <v>‎SPU-001</v>
      </c>
      <c r="Z957" s="215" t="str">
        <f>IFERROR(__xludf.DUMMYFUNCTION("""COMPUTED_VALUE"""),"https://www.amazon.com/Spurtar-Adjustable-68-85-133-35mm-Universal-Generator/dp/B0C4P1SP58?th=2")</f>
        <v>https://www.amazon.com/Spurtar-Adjustable-68-85-133-35mm-Universal-Generator/dp/B0C4P1SP58?th=2</v>
      </c>
      <c r="AA957" s="215" t="str">
        <f>IFERROR(__xludf.DUMMYFUNCTION("""COMPUTED_VALUE"""),"https://docs.google.com/spreadsheets/d/1TYXL9kI7Yc6xT3Ln7BjTZf3ismRlZU8wtaSurh-iwc8/edit?gid=0#gid=1")</f>
        <v>https://docs.google.com/spreadsheets/d/1TYXL9kI7Yc6xT3Ln7BjTZf3ismRlZU8wtaSurh-iwc8/edit?gid=0#gid=1</v>
      </c>
      <c r="AB957" s="213"/>
      <c r="AC957" s="213"/>
      <c r="AD957" s="213"/>
      <c r="AE957" s="213"/>
      <c r="AF957" s="213"/>
      <c r="AG957" s="213"/>
      <c r="AH957" s="213"/>
      <c r="AI957" s="213"/>
      <c r="AJ957" s="213"/>
      <c r="AK957" s="213"/>
      <c r="AL957" s="213"/>
      <c r="AM957" s="213"/>
      <c r="AN957" s="213"/>
      <c r="AO957" s="213"/>
      <c r="AP957" s="213" t="str">
        <f>IFERROR(__xludf.DUMMYFUNCTION("""COMPUTED_VALUE"""),"SEBASTIAN")</f>
        <v>SEBASTIAN</v>
      </c>
      <c r="AQ957" s="213"/>
      <c r="AR957" s="213"/>
      <c r="AS957" s="213"/>
      <c r="AT957" s="213"/>
      <c r="AU957" s="213"/>
      <c r="AV957" s="213"/>
      <c r="AW957" s="213"/>
      <c r="AX957" s="213"/>
      <c r="AY957" s="213"/>
      <c r="AZ957" s="213"/>
      <c r="BA957" s="213"/>
      <c r="BB957" s="213"/>
      <c r="BC957" s="213"/>
      <c r="BD957" s="213"/>
    </row>
    <row r="958">
      <c r="A958" s="213">
        <f>IFERROR(__xludf.DUMMYFUNCTION("""COMPUTED_VALUE"""),2268.0)</f>
        <v>2268</v>
      </c>
      <c r="B958" s="213" t="str">
        <f>IFERROR(__xludf.DUMMYFUNCTION("""COMPUTED_VALUE"""),"JOSE GRANDA")</f>
        <v>JOSE GRANDA</v>
      </c>
      <c r="C958" s="213" t="str">
        <f>IFERROR(__xludf.DUMMYFUNCTION("""COMPUTED_VALUE"""),"TALLER SFT DE MECÁNICA AUTOMOTRIZ")</f>
        <v>TALLER SFT DE MECÁNICA AUTOMOTRIZ</v>
      </c>
      <c r="D958" s="213" t="str">
        <f>IFERROR(__xludf.DUMMYFUNCTION("""COMPUTED_VALUE"""),"HERRAMIENTAS")</f>
        <v>HERRAMIENTAS</v>
      </c>
      <c r="E958" s="213" t="str">
        <f>IFERROR(__xludf.DUMMYFUNCTION("""COMPUTED_VALUE"""),"HER-152")</f>
        <v>HER-152</v>
      </c>
      <c r="F958" s="213" t="str">
        <f>IFERROR(__xludf.DUMMYFUNCTION("""COMPUTED_VALUE"""),"HER-152")</f>
        <v>HER-152</v>
      </c>
      <c r="G958" s="213"/>
      <c r="H958" s="213" t="str">
        <f>IFERROR(__xludf.DUMMYFUNCTION("""COMPUTED_VALUE"""),"JUEGO DE LLAVES PARA FILTROS DE ACEITE")</f>
        <v>JUEGO DE LLAVES PARA FILTROS DE ACEITE</v>
      </c>
      <c r="I958" s="213" t="str">
        <f>IFERROR(__xludf.DUMMYFUNCTION("""COMPUTED_VALUE"""),"Llaves para el retiro y montaje de filtro de aceite.
Mínimo juego de 2 unidades de llaves para manipular el filtro.
Uno de banda de acero inoxidable para tamaño de diámetros: entre ≤ 70 - ≥ 80 mm.
El otro de banda plastica, para retirar objetos circulares"&amp;" e irregulares, tamaño de diámetro a trabajar: ≥ 120 mm.")</f>
        <v>Llaves para el retiro y montaje de filtro de aceite.
Mínimo juego de 2 unidades de llaves para manipular el filtro.
Uno de banda de acero inoxidable para tamaño de diámetros: entre ≤ 70 - ≥ 80 mm.
El otro de banda plastica, para retirar objetos circulares e irregulares, tamaño de diámetro a trabajar: ≥ 120 mm.</v>
      </c>
      <c r="J958" s="213">
        <f>IFERROR(__xludf.DUMMYFUNCTION("""COMPUTED_VALUE"""),3.0)</f>
        <v>3</v>
      </c>
      <c r="K958" s="213" t="str">
        <f>IFERROR(__xludf.DUMMYFUNCTION("""COMPUTED_VALUE"""),"90 DÍAS CALENDARIO")</f>
        <v>90 DÍAS CALENDARIO</v>
      </c>
      <c r="L958" s="213" t="str">
        <f>IFERROR(__xludf.DUMMYFUNCTION("""COMPUTED_VALUE"""),"")</f>
        <v/>
      </c>
      <c r="M958" s="213">
        <f>IFERROR(__xludf.DUMMYFUNCTION("""COMPUTED_VALUE"""),1.0)</f>
        <v>1</v>
      </c>
      <c r="N958" s="213">
        <f>IFERROR(__xludf.DUMMYFUNCTION("""COMPUTED_VALUE"""),1.0)</f>
        <v>1</v>
      </c>
      <c r="O958" s="213">
        <f>IFERROR(__xludf.DUMMYFUNCTION("""COMPUTED_VALUE"""),1.0)</f>
        <v>1</v>
      </c>
      <c r="P958" s="213"/>
      <c r="Q958" s="213"/>
      <c r="R958" s="213"/>
      <c r="S958" s="213"/>
      <c r="T958" s="213" t="str">
        <f>IFERROR(__xludf.DUMMYFUNCTION("""COMPUTED_VALUE"""),"SI")</f>
        <v>SI</v>
      </c>
      <c r="U958" s="213" t="str">
        <f>IFERROR(__xludf.DUMMYFUNCTION("""COMPUTED_VALUE"""),"SI")</f>
        <v>SI</v>
      </c>
      <c r="V958" s="213" t="str">
        <f>IFERROR(__xludf.DUMMYFUNCTION("""COMPUTED_VALUE"""),"-")</f>
        <v>-</v>
      </c>
      <c r="W958" s="213" t="str">
        <f>IFERROR(__xludf.DUMMYFUNCTION("""COMPUTED_VALUE"""),"-")</f>
        <v>-</v>
      </c>
      <c r="X958" s="213" t="str">
        <f>IFERROR(__xludf.DUMMYFUNCTION("""COMPUTED_VALUE"""),"Spurtar")</f>
        <v>Spurtar</v>
      </c>
      <c r="Y958" s="213" t="str">
        <f>IFERROR(__xludf.DUMMYFUNCTION("""COMPUTED_VALUE"""),"‎SPU-001")</f>
        <v>‎SPU-001</v>
      </c>
      <c r="Z958" s="215" t="str">
        <f>IFERROR(__xludf.DUMMYFUNCTION("""COMPUTED_VALUE"""),"https://www.amazon.com/Spurtar-Adjustable-68-85-133-35mm-Universal-Generator/dp/B0C4P1SP58?th=3")</f>
        <v>https://www.amazon.com/Spurtar-Adjustable-68-85-133-35mm-Universal-Generator/dp/B0C4P1SP58?th=3</v>
      </c>
      <c r="AA958" s="215" t="str">
        <f>IFERROR(__xludf.DUMMYFUNCTION("""COMPUTED_VALUE"""),"https://docs.google.com/spreadsheets/d/1TYXL9kI7Yc6xT3Ln7BjTZf3ismRlZU8wtaSurh-iwc8/edit?gid=0#gid=2")</f>
        <v>https://docs.google.com/spreadsheets/d/1TYXL9kI7Yc6xT3Ln7BjTZf3ismRlZU8wtaSurh-iwc8/edit?gid=0#gid=2</v>
      </c>
      <c r="AB958" s="213"/>
      <c r="AC958" s="213"/>
      <c r="AD958" s="213"/>
      <c r="AE958" s="213"/>
      <c r="AF958" s="213"/>
      <c r="AG958" s="213"/>
      <c r="AH958" s="213"/>
      <c r="AI958" s="213"/>
      <c r="AJ958" s="213"/>
      <c r="AK958" s="213"/>
      <c r="AL958" s="213"/>
      <c r="AM958" s="213"/>
      <c r="AN958" s="213"/>
      <c r="AO958" s="213"/>
      <c r="AP958" s="213" t="str">
        <f>IFERROR(__xludf.DUMMYFUNCTION("""COMPUTED_VALUE"""),"SEBASTIAN")</f>
        <v>SEBASTIAN</v>
      </c>
      <c r="AQ958" s="213"/>
      <c r="AR958" s="213"/>
      <c r="AS958" s="213"/>
      <c r="AT958" s="213"/>
      <c r="AU958" s="213"/>
      <c r="AV958" s="213"/>
      <c r="AW958" s="213"/>
      <c r="AX958" s="213"/>
      <c r="AY958" s="213"/>
      <c r="AZ958" s="213"/>
      <c r="BA958" s="213"/>
      <c r="BB958" s="213"/>
      <c r="BC958" s="213"/>
      <c r="BD958" s="213"/>
    </row>
    <row r="959">
      <c r="A959" s="213">
        <f>IFERROR(__xludf.DUMMYFUNCTION("""COMPUTED_VALUE"""),2532.0)</f>
        <v>2532</v>
      </c>
      <c r="B959" s="213" t="str">
        <f>IFERROR(__xludf.DUMMYFUNCTION("""COMPUTED_VALUE"""),"MANUEL ANTONIO MESONES MURO")</f>
        <v>MANUEL ANTONIO MESONES MURO</v>
      </c>
      <c r="C959" s="213" t="str">
        <f>IFERROR(__xludf.DUMMYFUNCTION("""COMPUTED_VALUE"""),"TALLER SFT DE CONSTRUCCIONES METÁLICAS")</f>
        <v>TALLER SFT DE CONSTRUCCIONES METÁLICAS</v>
      </c>
      <c r="D959" s="213" t="str">
        <f>IFERROR(__xludf.DUMMYFUNCTION("""COMPUTED_VALUE"""),"HERRAMIENTAS")</f>
        <v>HERRAMIENTAS</v>
      </c>
      <c r="E959" s="213" t="str">
        <f>IFERROR(__xludf.DUMMYFUNCTION("""COMPUTED_VALUE"""),"MAT-404")</f>
        <v>MAT-404</v>
      </c>
      <c r="F959" s="213" t="str">
        <f>IFERROR(__xludf.DUMMYFUNCTION("""COMPUTED_VALUE"""),"MAT-404")</f>
        <v>MAT-404</v>
      </c>
      <c r="G959" s="213"/>
      <c r="H959" s="213" t="str">
        <f>IFERROR(__xludf.DUMMYFUNCTION("""COMPUTED_VALUE"""),"JUEGO DE PRENDAS DE PROTECCIÓN PARA LOS PROCESOS DE SOLDAR")</f>
        <v>JUEGO DE PRENDAS DE PROTECCIÓN PARA LOS PROCESOS DE SOLDAR</v>
      </c>
      <c r="I959" s="213" t="str">
        <f>IFERROR(__xludf.DUMMYFUNCTION("""COMPUTED_VALUE"""),"Zapato de cuero con punta de acero
-       Mandil de cuero cromo
-       Guantes de soldar de cuero cromo
-       Tapones de oído.
-       Escarpines de cuero")</f>
        <v>Zapato de cuero con punta de acero
-       Mandil de cuero cromo
-       Guantes de soldar de cuero cromo
-       Tapones de oído.
-       Escarpines de cuero</v>
      </c>
      <c r="J959" s="213">
        <f>IFERROR(__xludf.DUMMYFUNCTION("""COMPUTED_VALUE"""),3.0)</f>
        <v>3</v>
      </c>
      <c r="K959" s="213" t="str">
        <f>IFERROR(__xludf.DUMMYFUNCTION("""COMPUTED_VALUE"""),"170 DÍAS CALENDARIO")</f>
        <v>170 DÍAS CALENDARIO</v>
      </c>
      <c r="L959" s="213" t="str">
        <f>IFERROR(__xludf.DUMMYFUNCTION("""COMPUTED_VALUE"""),"")</f>
        <v/>
      </c>
      <c r="M959" s="213">
        <f>IFERROR(__xludf.DUMMYFUNCTION("""COMPUTED_VALUE"""),1.0)</f>
        <v>1</v>
      </c>
      <c r="N959" s="213">
        <f>IFERROR(__xludf.DUMMYFUNCTION("""COMPUTED_VALUE"""),20.0)</f>
        <v>20</v>
      </c>
      <c r="O959" s="213">
        <f>IFERROR(__xludf.DUMMYFUNCTION("""COMPUTED_VALUE"""),20.0)</f>
        <v>20</v>
      </c>
      <c r="P959" s="213"/>
      <c r="Q959" s="213"/>
      <c r="R959" s="213"/>
      <c r="S959" s="213"/>
      <c r="T959" s="213" t="str">
        <f>IFERROR(__xludf.DUMMYFUNCTION("""COMPUTED_VALUE"""),"SI")</f>
        <v>SI</v>
      </c>
      <c r="U959" s="213" t="str">
        <f>IFERROR(__xludf.DUMMYFUNCTION("""COMPUTED_VALUE"""),"SI")</f>
        <v>SI</v>
      </c>
      <c r="V959" s="213" t="str">
        <f>IFERROR(__xludf.DUMMYFUNCTION("""COMPUTED_VALUE"""),"-")</f>
        <v>-</v>
      </c>
      <c r="W959" s="213" t="str">
        <f>IFERROR(__xludf.DUMMYFUNCTION("""COMPUTED_VALUE"""),"-")</f>
        <v>-</v>
      </c>
      <c r="X959" s="213" t="str">
        <f>IFERROR(__xludf.DUMMYFUNCTION("""COMPUTED_VALUE"""),"-")</f>
        <v>-</v>
      </c>
      <c r="Y959" s="213" t="str">
        <f>IFERROR(__xludf.DUMMYFUNCTION("""COMPUTED_VALUE"""),"-")</f>
        <v>-</v>
      </c>
      <c r="Z959" s="213" t="str">
        <f>IFERROR(__xludf.DUMMYFUNCTION("""COMPUTED_VALUE"""),"-")</f>
        <v>-</v>
      </c>
      <c r="AA959" s="213" t="str">
        <f>IFERROR(__xludf.DUMMYFUNCTION("""COMPUTED_VALUE"""),"MAT-404 JUEGO DE PRENDAS DE PROTECCIÓN PARA LOS PROCESOS DE SOLDAR - CET")</f>
        <v>MAT-404 JUEGO DE PRENDAS DE PROTECCIÓN PARA LOS PROCESOS DE SOLDAR - CET</v>
      </c>
      <c r="AB959" s="213"/>
      <c r="AC959" s="213"/>
      <c r="AD959" s="213"/>
      <c r="AE959" s="213"/>
      <c r="AF959" s="213"/>
      <c r="AG959" s="213"/>
      <c r="AH959" s="213"/>
      <c r="AI959" s="213"/>
      <c r="AJ959" s="213"/>
      <c r="AK959" s="213"/>
      <c r="AL959" s="213"/>
      <c r="AM959" s="213"/>
      <c r="AN959" s="213"/>
      <c r="AO959" s="213"/>
      <c r="AP959" s="213" t="str">
        <f>IFERROR(__xludf.DUMMYFUNCTION("""COMPUTED_VALUE"""),"BRUNO")</f>
        <v>BRUNO</v>
      </c>
      <c r="AQ959" s="213"/>
      <c r="AR959" s="213"/>
      <c r="AS959" s="213"/>
      <c r="AT959" s="213"/>
      <c r="AU959" s="213"/>
      <c r="AV959" s="213"/>
      <c r="AW959" s="213"/>
      <c r="AX959" s="213"/>
      <c r="AY959" s="213"/>
      <c r="AZ959" s="213"/>
      <c r="BA959" s="213"/>
      <c r="BB959" s="213"/>
      <c r="BC959" s="213"/>
      <c r="BD959" s="213"/>
    </row>
    <row r="960">
      <c r="A960" s="213">
        <f>IFERROR(__xludf.DUMMYFUNCTION("""COMPUTED_VALUE"""),635.0)</f>
        <v>635</v>
      </c>
      <c r="B960" s="213" t="str">
        <f>IFERROR(__xludf.DUMMYFUNCTION("""COMPUTED_VALUE"""),"6049 RICARDO PALMA")</f>
        <v>6049 RICARDO PALMA</v>
      </c>
      <c r="C960" s="213" t="str">
        <f>IFERROR(__xludf.DUMMYFUNCTION("""COMPUTED_VALUE"""),"TALLER SFT DE ELECTRÓNICA")</f>
        <v>TALLER SFT DE ELECTRÓNICA</v>
      </c>
      <c r="D960" s="213" t="str">
        <f>IFERROR(__xludf.DUMMYFUNCTION("""COMPUTED_VALUE"""),"HERRAMIENTAS")</f>
        <v>HERRAMIENTAS</v>
      </c>
      <c r="E960" s="213" t="str">
        <f>IFERROR(__xludf.DUMMYFUNCTION("""COMPUTED_VALUE"""),"HER-154")</f>
        <v>HER-154</v>
      </c>
      <c r="F960" s="213" t="str">
        <f>IFERROR(__xludf.DUMMYFUNCTION("""COMPUTED_VALUE"""),"HER-154")</f>
        <v>HER-154</v>
      </c>
      <c r="G960" s="213"/>
      <c r="H960" s="213" t="str">
        <f>IFERROR(__xludf.DUMMYFUNCTION("""COMPUTED_VALUE"""),"JUEGO DE MINI ALICATES")</f>
        <v>JUEGO DE MINI ALICATES</v>
      </c>
      <c r="I960" s="213" t="str">
        <f>IFERROR(__xludf.DUMMYFUNCTION("""COMPUTED_VALUE"""),"· Juego de mini alicates para electrónica.
· Acabado: Niquelado resistente a la corrosión.
· Material: Aleación de acero de alto rendimiento.
· Mangos confortables.
· Composición y dimensiones:
· 01 mini alicate de punta de aguja, longitud: mínimo 150 mm."&amp;"
· 01 mini alicate de punta y corte, longitud: mínimo 125 mm.
· 01 mini alicate de corte diagonal, longitud: mínimo 100 mm.")</f>
        <v>· Juego de mini alicates para electrónica.
· Acabado: Niquelado resistente a la corrosión.
· Material: Aleación de acero de alto rendimiento.
· Mangos confortables.
· Composición y dimensiones:
· 01 mini alicate de punta de aguja, longitud: mínimo 150 mm.
· 01 mini alicate de punta y corte, longitud: mínimo 125 mm.
· 01 mini alicate de corte diagonal, longitud: mínimo 100 mm.</v>
      </c>
      <c r="J960" s="213">
        <f>IFERROR(__xludf.DUMMYFUNCTION("""COMPUTED_VALUE"""),3.0)</f>
        <v>3</v>
      </c>
      <c r="K960" s="213" t="str">
        <f>IFERROR(__xludf.DUMMYFUNCTION("""COMPUTED_VALUE"""),"90 DÍAS CALENDARIO")</f>
        <v>90 DÍAS CALENDARIO</v>
      </c>
      <c r="L960" s="213" t="str">
        <f>IFERROR(__xludf.DUMMYFUNCTION("""COMPUTED_VALUE"""),"")</f>
        <v/>
      </c>
      <c r="M960" s="213">
        <f>IFERROR(__xludf.DUMMYFUNCTION("""COMPUTED_VALUE"""),1.0)</f>
        <v>1</v>
      </c>
      <c r="N960" s="213">
        <f>IFERROR(__xludf.DUMMYFUNCTION("""COMPUTED_VALUE"""),4.0)</f>
        <v>4</v>
      </c>
      <c r="O960" s="213">
        <f>IFERROR(__xludf.DUMMYFUNCTION("""COMPUTED_VALUE"""),4.0)</f>
        <v>4</v>
      </c>
      <c r="P960" s="213"/>
      <c r="Q960" s="213"/>
      <c r="R960" s="213" t="str">
        <f>IFERROR(__xludf.DUMMYFUNCTION("""COMPUTED_VALUE"""),"SI")</f>
        <v>SI</v>
      </c>
      <c r="S960" s="213"/>
      <c r="T960" s="213" t="str">
        <f>IFERROR(__xludf.DUMMYFUNCTION("""COMPUTED_VALUE"""),"SI")</f>
        <v>SI</v>
      </c>
      <c r="U960" s="213" t="str">
        <f>IFERROR(__xludf.DUMMYFUNCTION("""COMPUTED_VALUE"""),"SI")</f>
        <v>SI</v>
      </c>
      <c r="V960" s="213" t="str">
        <f>IFERROR(__xludf.DUMMYFUNCTION("""COMPUTED_VALUE"""),"-")</f>
        <v>-</v>
      </c>
      <c r="W960" s="213" t="str">
        <f>IFERROR(__xludf.DUMMYFUNCTION("""COMPUTED_VALUE"""),"-")</f>
        <v>-</v>
      </c>
      <c r="X960" s="213" t="str">
        <f>IFERROR(__xludf.DUMMYFUNCTION("""COMPUTED_VALUE"""),"TRUPER")</f>
        <v>TRUPER</v>
      </c>
      <c r="Y960" s="213" t="str">
        <f>IFERROR(__xludf.DUMMYFUNCTION("""COMPUTED_VALUE"""),"JGO-PM-3")</f>
        <v>JGO-PM-3</v>
      </c>
      <c r="Z960" s="215" t="str">
        <f>IFERROR(__xludf.DUMMYFUNCTION("""COMPUTED_VALUE"""),"https://www.corporacionferremax.com/product/juego-de-alicates-pinzas-miniatura-3-piezas-truper")</f>
        <v>https://www.corporacionferremax.com/product/juego-de-alicates-pinzas-miniatura-3-piezas-truper</v>
      </c>
      <c r="AA960" s="213" t="str">
        <f>IFERROR(__xludf.DUMMYFUNCTION("""COMPUTED_VALUE"""),"HER-154 JUEGO DE MINI ALICATES - CET")</f>
        <v>HER-154 JUEGO DE MINI ALICATES - CET</v>
      </c>
      <c r="AB960" s="213"/>
      <c r="AC960" s="213"/>
      <c r="AD960" s="213"/>
      <c r="AE960" s="213"/>
      <c r="AF960" s="213"/>
      <c r="AG960" s="213"/>
      <c r="AH960" s="213"/>
      <c r="AI960" s="213"/>
      <c r="AJ960" s="213"/>
      <c r="AK960" s="213"/>
      <c r="AL960" s="213"/>
      <c r="AM960" s="213"/>
      <c r="AN960" s="213"/>
      <c r="AO960" s="213"/>
      <c r="AP960" s="213" t="str">
        <f>IFERROR(__xludf.DUMMYFUNCTION("""COMPUTED_VALUE"""),"LUIS")</f>
        <v>LUIS</v>
      </c>
      <c r="AQ960" s="213"/>
      <c r="AR960" s="213"/>
      <c r="AS960" s="213"/>
      <c r="AT960" s="213"/>
      <c r="AU960" s="213"/>
      <c r="AV960" s="213"/>
      <c r="AW960" s="213"/>
      <c r="AX960" s="213"/>
      <c r="AY960" s="213"/>
      <c r="AZ960" s="213"/>
      <c r="BA960" s="213"/>
      <c r="BB960" s="213"/>
      <c r="BC960" s="213"/>
      <c r="BD960" s="213"/>
    </row>
    <row r="961">
      <c r="A961" s="213">
        <f>IFERROR(__xludf.DUMMYFUNCTION("""COMPUTED_VALUE"""),1817.0)</f>
        <v>1817</v>
      </c>
      <c r="B961" s="213" t="str">
        <f>IFERROR(__xludf.DUMMYFUNCTION("""COMPUTED_VALUE"""),"GUILLERMO E. BILLINGHURST ")</f>
        <v>GUILLERMO E. BILLINGHURST </v>
      </c>
      <c r="C961" s="213" t="str">
        <f>IFERROR(__xludf.DUMMYFUNCTION("""COMPUTED_VALUE"""),"TALLER SFT DE EBANISTERÍA")</f>
        <v>TALLER SFT DE EBANISTERÍA</v>
      </c>
      <c r="D961" s="213" t="str">
        <f>IFERROR(__xludf.DUMMYFUNCTION("""COMPUTED_VALUE"""),"HERRAMIENTAS")</f>
        <v>HERRAMIENTAS</v>
      </c>
      <c r="E961" s="213" t="str">
        <f>IFERROR(__xludf.DUMMYFUNCTION("""COMPUTED_VALUE"""),"HER-155")</f>
        <v>HER-155</v>
      </c>
      <c r="F961" s="213" t="str">
        <f>IFERROR(__xludf.DUMMYFUNCTION("""COMPUTED_VALUE"""),"HER-155")</f>
        <v>HER-155</v>
      </c>
      <c r="G961" s="213"/>
      <c r="H961" s="213" t="str">
        <f>IFERROR(__xludf.DUMMYFUNCTION("""COMPUTED_VALUE"""),"JUEGO DE PRENSAS RAPIDAS")</f>
        <v>JUEGO DE PRENSAS RAPIDAS</v>
      </c>
      <c r="I961" s="213" t="str">
        <f>IFERROR(__xludf.DUMMYFUNCTION("""COMPUTED_VALUE"""),"Prensa Rapida de:
- 01 de 6"",
- 01 de 12"" y
- 01 de 24"".
Función de ajuste y separador. Barra de acero templado.
Mordazas de nylon reforzado.")</f>
        <v>Prensa Rapida de:
- 01 de 6",
- 01 de 12" y
- 01 de 24".
Función de ajuste y separador. Barra de acero templado.
Mordazas de nylon reforzado.</v>
      </c>
      <c r="J961" s="213">
        <f>IFERROR(__xludf.DUMMYFUNCTION("""COMPUTED_VALUE"""),3.0)</f>
        <v>3</v>
      </c>
      <c r="K961" s="213" t="str">
        <f>IFERROR(__xludf.DUMMYFUNCTION("""COMPUTED_VALUE"""),"90 DÍAS CALENDARIO")</f>
        <v>90 DÍAS CALENDARIO</v>
      </c>
      <c r="L961" s="213" t="str">
        <f>IFERROR(__xludf.DUMMYFUNCTION("""COMPUTED_VALUE"""),"")</f>
        <v/>
      </c>
      <c r="M961" s="213">
        <f>IFERROR(__xludf.DUMMYFUNCTION("""COMPUTED_VALUE"""),1.0)</f>
        <v>1</v>
      </c>
      <c r="N961" s="213">
        <f>IFERROR(__xludf.DUMMYFUNCTION("""COMPUTED_VALUE"""),8.0)</f>
        <v>8</v>
      </c>
      <c r="O961" s="213">
        <f>IFERROR(__xludf.DUMMYFUNCTION("""COMPUTED_VALUE"""),8.0)</f>
        <v>8</v>
      </c>
      <c r="P961" s="213"/>
      <c r="Q961" s="213"/>
      <c r="R961" s="213"/>
      <c r="S961" s="213"/>
      <c r="T961" s="213" t="str">
        <f>IFERROR(__xludf.DUMMYFUNCTION("""COMPUTED_VALUE"""),"CONSULTA FINAL")</f>
        <v>CONSULTA FINAL</v>
      </c>
      <c r="U961" s="213" t="str">
        <f>IFERROR(__xludf.DUMMYFUNCTION("""COMPUTED_VALUE"""),"NO")</f>
        <v>NO</v>
      </c>
      <c r="V961" s="213" t="str">
        <f>IFERROR(__xludf.DUMMYFUNCTION("""COMPUTED_VALUE"""),"SUSTENTO")</f>
        <v>SUSTENTO</v>
      </c>
      <c r="W961" s="213" t="str">
        <f>IFERROR(__xludf.DUMMYFUNCTION("""COMPUTED_VALUE"""),"EQU TEC")</f>
        <v>EQU TEC</v>
      </c>
      <c r="X961" s="213" t="str">
        <f>IFERROR(__xludf.DUMMYFUNCTION("""COMPUTED_VALUE"""),"Bauker")</f>
        <v>Bauker</v>
      </c>
      <c r="Y961" s="213">
        <f>IFERROR(__xludf.DUMMYFUNCTION("""COMPUTED_VALUE"""),1.27281475E8)</f>
        <v>127281475</v>
      </c>
      <c r="Z961" s="215" t="str">
        <f>IFERROR(__xludf.DUMMYFUNCTION("""COMPUTED_VALUE"""),"https://sodimac.falabella.com.pe/sodimac-pe/product/127281473/Prensa-Rapida-12-Bauker/127281475?exp=sodimac")</f>
        <v>https://sodimac.falabella.com.pe/sodimac-pe/product/127281473/Prensa-Rapida-12-Bauker/127281475?exp=sodimac</v>
      </c>
      <c r="AA961" s="215" t="str">
        <f>IFERROR(__xludf.DUMMYFUNCTION("""COMPUTED_VALUE"""),"https://docs.google.com/spreadsheets/d/16awoRAtskLQraHNQXLdL0CnDjXnR969ICeyM8AufBGA/edit?gid=0#gid=0")</f>
        <v>https://docs.google.com/spreadsheets/d/16awoRAtskLQraHNQXLdL0CnDjXnR969ICeyM8AufBGA/edit?gid=0#gid=0</v>
      </c>
      <c r="AB961" s="213"/>
      <c r="AC961" s="215" t="str">
        <f>IFERROR(__xludf.DUMMYFUNCTION("""COMPUTED_VALUE"""),"https://www.amazon.com/-/es/Pinza-esp%C3%A1tula-pulgadas-marca-Irwin/dp/B001JT87RY/ref=sr_1_1?crid=2ULAY2PDJSIO9&amp;dib=eyJ2IjoiMSJ9.7n29Z-98vTCywKuHc-gLva-o2N5D2kCZEcMlw4ZWLoQMuDZ4TVdNEnguapSKJ-win6dDl-ZnMT__37VrBCKlhQhjFVr_Yg4cfj4VjnHQBgkLssIPxkIk7OYDtcd8i"&amp;"LR7DPlpJiOekOpny-0Tcnne7vSbLg1LwwlvxRMloNs4HAgBHfHCRR2FFY1M1PKv9ApyiqNUYRITUPlyyUwGTSj5a_Zu8FIqsxALl7R6AIn9LfA.kAUdeXxiuEZAzaAxpfNvYjfkaTZg4batO0meK32Tjek&amp;dib_tag=se&amp;keywords=Prensa%2BQuick%2BGrip%2B6%22%2Birwin&amp;qid=1760045071&amp;sprefix=prensa%2Bquick%2Bgri"&amp;"p%2B6%2Birwin%2Caps%2C161&amp;sr=8-1&amp;th=1")</f>
        <v>https://www.amazon.com/-/es/Pinza-esp%C3%A1tula-pulgadas-marca-Irwin/dp/B001JT87RY/ref=sr_1_1?crid=2ULAY2PDJSIO9&amp;dib=eyJ2IjoiMSJ9.7n29Z-98vTCywKuHc-gLva-o2N5D2kCZEcMlw4ZWLoQMuDZ4TVdNEnguapSKJ-win6dDl-ZnMT__37VrBCKlhQhjFVr_Yg4cfj4VjnHQBgkLssIPxkIk7OYDtcd8iLR7DPlpJiOekOpny-0Tcnne7vSbLg1LwwlvxRMloNs4HAgBHfHCRR2FFY1M1PKv9ApyiqNUYRITUPlyyUwGTSj5a_Zu8FIqsxALl7R6AIn9LfA.kAUdeXxiuEZAzaAxpfNvYjfkaTZg4batO0meK32Tjek&amp;dib_tag=se&amp;keywords=Prensa%2BQuick%2BGrip%2B6%22%2Birwin&amp;qid=1760045071&amp;sprefix=prensa%2Bquick%2Bgrip%2B6%2Birwin%2Caps%2C161&amp;sr=8-1&amp;th=1</v>
      </c>
      <c r="AD961" s="213"/>
      <c r="AE961" s="213"/>
      <c r="AF961" s="213"/>
      <c r="AG961" s="213"/>
      <c r="AH961" s="213" t="str">
        <f>IFERROR(__xludf.DUMMYFUNCTION("""COMPUTED_VALUE"""),"IMPORTADO")</f>
        <v>IMPORTADO</v>
      </c>
      <c r="AI961" s="213"/>
      <c r="AJ961" s="213"/>
      <c r="AK961" s="213"/>
      <c r="AL961" s="213"/>
      <c r="AM961" s="213"/>
      <c r="AN961" s="213"/>
      <c r="AO961" s="213"/>
      <c r="AP961" s="213" t="str">
        <f>IFERROR(__xludf.DUMMYFUNCTION("""COMPUTED_VALUE"""),"SEBASTIAN")</f>
        <v>SEBASTIAN</v>
      </c>
      <c r="AQ961" s="213" t="str">
        <f>IFERROR(__xludf.DUMMYFUNCTION("""COMPUTED_VALUE"""),"TENER EN CUENTA QUE SON 3 MEDIDAS 6"" 12 "" Y 24""")</f>
        <v>TENER EN CUENTA QUE SON 3 MEDIDAS 6" 12 " Y 24"</v>
      </c>
      <c r="AR961" s="213"/>
      <c r="AS961" s="213" t="str">
        <f>IFERROR(__xludf.DUMMYFUNCTION("""COMPUTED_VALUE"""),"Asegurarse de comprar las 3 mordazas: SKU: 1964717, 1964718, 1964720. Cambio del modelo propuesto por BTD")</f>
        <v>Asegurarse de comprar las 3 mordazas: SKU: 1964717, 1964718, 1964720. Cambio del modelo propuesto por BTD</v>
      </c>
      <c r="AT961" s="213"/>
      <c r="AU961" s="213"/>
      <c r="AV961" s="213"/>
      <c r="AW961" s="213"/>
      <c r="AX961" s="213"/>
      <c r="AY961" s="213"/>
      <c r="AZ961" s="213"/>
      <c r="BA961" s="213"/>
      <c r="BB961" s="213"/>
      <c r="BC961" s="213"/>
      <c r="BD961" s="213"/>
    </row>
    <row r="962">
      <c r="A962" s="213">
        <f>IFERROR(__xludf.DUMMYFUNCTION("""COMPUTED_VALUE"""),2599.0)</f>
        <v>2599</v>
      </c>
      <c r="B962" s="213" t="str">
        <f>IFERROR(__xludf.DUMMYFUNCTION("""COMPUTED_VALUE"""),"MANUEL ANTONIO MESONES MURO")</f>
        <v>MANUEL ANTONIO MESONES MURO</v>
      </c>
      <c r="C962" s="213" t="str">
        <f>IFERROR(__xludf.DUMMYFUNCTION("""COMPUTED_VALUE"""),"TALLER SFT DE EBANISTERÍA")</f>
        <v>TALLER SFT DE EBANISTERÍA</v>
      </c>
      <c r="D962" s="213" t="str">
        <f>IFERROR(__xludf.DUMMYFUNCTION("""COMPUTED_VALUE"""),"HERRAMIENTAS")</f>
        <v>HERRAMIENTAS</v>
      </c>
      <c r="E962" s="213" t="str">
        <f>IFERROR(__xludf.DUMMYFUNCTION("""COMPUTED_VALUE"""),"HER-155")</f>
        <v>HER-155</v>
      </c>
      <c r="F962" s="213" t="str">
        <f>IFERROR(__xludf.DUMMYFUNCTION("""COMPUTED_VALUE"""),"HER-155")</f>
        <v>HER-155</v>
      </c>
      <c r="G962" s="213"/>
      <c r="H962" s="213" t="str">
        <f>IFERROR(__xludf.DUMMYFUNCTION("""COMPUTED_VALUE"""),"JUEGO DE PRENSAS RAPIDAS")</f>
        <v>JUEGO DE PRENSAS RAPIDAS</v>
      </c>
      <c r="I962" s="213" t="str">
        <f>IFERROR(__xludf.DUMMYFUNCTION("""COMPUTED_VALUE"""),"Prensa Rapida de:
- 01 de 6"",
- 01 de 12"" y
- 01 de 24"".
Función de ajuste y separador. Barra de acero templado.
Mordazas de nylon reforzado.")</f>
        <v>Prensa Rapida de:
- 01 de 6",
- 01 de 12" y
- 01 de 24".
Función de ajuste y separador. Barra de acero templado.
Mordazas de nylon reforzado.</v>
      </c>
      <c r="J962" s="213">
        <f>IFERROR(__xludf.DUMMYFUNCTION("""COMPUTED_VALUE"""),3.0)</f>
        <v>3</v>
      </c>
      <c r="K962" s="213" t="str">
        <f>IFERROR(__xludf.DUMMYFUNCTION("""COMPUTED_VALUE"""),"90 DÍAS CALENDARIO")</f>
        <v>90 DÍAS CALENDARIO</v>
      </c>
      <c r="L962" s="213" t="str">
        <f>IFERROR(__xludf.DUMMYFUNCTION("""COMPUTED_VALUE"""),"")</f>
        <v/>
      </c>
      <c r="M962" s="213">
        <f>IFERROR(__xludf.DUMMYFUNCTION("""COMPUTED_VALUE"""),1.0)</f>
        <v>1</v>
      </c>
      <c r="N962" s="213">
        <f>IFERROR(__xludf.DUMMYFUNCTION("""COMPUTED_VALUE"""),8.0)</f>
        <v>8</v>
      </c>
      <c r="O962" s="213">
        <f>IFERROR(__xludf.DUMMYFUNCTION("""COMPUTED_VALUE"""),8.0)</f>
        <v>8</v>
      </c>
      <c r="P962" s="213"/>
      <c r="Q962" s="213"/>
      <c r="R962" s="213"/>
      <c r="S962" s="213"/>
      <c r="T962" s="213" t="str">
        <f>IFERROR(__xludf.DUMMYFUNCTION("""COMPUTED_VALUE"""),"CONSULTA FINAL")</f>
        <v>CONSULTA FINAL</v>
      </c>
      <c r="U962" s="213" t="str">
        <f>IFERROR(__xludf.DUMMYFUNCTION("""COMPUTED_VALUE"""),"NO")</f>
        <v>NO</v>
      </c>
      <c r="V962" s="213" t="str">
        <f>IFERROR(__xludf.DUMMYFUNCTION("""COMPUTED_VALUE"""),"SUSTENTO")</f>
        <v>SUSTENTO</v>
      </c>
      <c r="W962" s="213" t="str">
        <f>IFERROR(__xludf.DUMMYFUNCTION("""COMPUTED_VALUE"""),"EQU TEC")</f>
        <v>EQU TEC</v>
      </c>
      <c r="X962" s="213" t="str">
        <f>IFERROR(__xludf.DUMMYFUNCTION("""COMPUTED_VALUE"""),"Bauker")</f>
        <v>Bauker</v>
      </c>
      <c r="Y962" s="213">
        <f>IFERROR(__xludf.DUMMYFUNCTION("""COMPUTED_VALUE"""),1.27281475E8)</f>
        <v>127281475</v>
      </c>
      <c r="Z962" s="215" t="str">
        <f>IFERROR(__xludf.DUMMYFUNCTION("""COMPUTED_VALUE"""),"https://sodimac.falabella.com.pe/sodimac-pe/product/127281473/Prensa-Rapida-12-Bauker/127281475?exp=sodimac")</f>
        <v>https://sodimac.falabella.com.pe/sodimac-pe/product/127281473/Prensa-Rapida-12-Bauker/127281475?exp=sodimac</v>
      </c>
      <c r="AA962" s="215" t="str">
        <f>IFERROR(__xludf.DUMMYFUNCTION("""COMPUTED_VALUE"""),"https://docs.google.com/spreadsheets/d/16awoRAtskLQraHNQXLdL0CnDjXnR969ICeyM8AufBGA/edit?gid=0#gid=0")</f>
        <v>https://docs.google.com/spreadsheets/d/16awoRAtskLQraHNQXLdL0CnDjXnR969ICeyM8AufBGA/edit?gid=0#gid=0</v>
      </c>
      <c r="AB962" s="213"/>
      <c r="AC962" s="215" t="str">
        <f>IFERROR(__xludf.DUMMYFUNCTION("""COMPUTED_VALUE"""),"https://www.amazon.com/-/es/Pinza-esp%C3%A1tula-pulgadas-marca-Irwin/dp/B001JT87RY/ref=sr_1_1?crid=2ULAY2PDJSIO9&amp;dib=eyJ2IjoiMSJ9.7n29Z-98vTCywKuHc-gLva-o2N5D2kCZEcMlw4ZWLoQMuDZ4TVdNEnguapSKJ-win6dDl-ZnMT__37VrBCKlhQhjFVr_Yg4cfj4VjnHQBgkLssIPxkIk7OYDtcd8i"&amp;"LR7DPlpJiOekOpny-0Tcnne7vSbLg1LwwlvxRMloNs4HAgBHfHCRR2FFY1M1PKv9ApyiqNUYRITUPlyyUwGTSj5a_Zu8FIqsxALl7R6AIn9LfA.kAUdeXxiuEZAzaAxpfNvYjfkaTZg4batO0meK32Tjek&amp;dib_tag=se&amp;keywords=Prensa%2BQuick%2BGrip%2B6%22%2Birwin&amp;qid=1760045071&amp;sprefix=prensa%2Bquick%2Bgri"&amp;"p%2B6%2Birwin%2Caps%2C161&amp;sr=8-1&amp;th=1")</f>
        <v>https://www.amazon.com/-/es/Pinza-esp%C3%A1tula-pulgadas-marca-Irwin/dp/B001JT87RY/ref=sr_1_1?crid=2ULAY2PDJSIO9&amp;dib=eyJ2IjoiMSJ9.7n29Z-98vTCywKuHc-gLva-o2N5D2kCZEcMlw4ZWLoQMuDZ4TVdNEnguapSKJ-win6dDl-ZnMT__37VrBCKlhQhjFVr_Yg4cfj4VjnHQBgkLssIPxkIk7OYDtcd8iLR7DPlpJiOekOpny-0Tcnne7vSbLg1LwwlvxRMloNs4HAgBHfHCRR2FFY1M1PKv9ApyiqNUYRITUPlyyUwGTSj5a_Zu8FIqsxALl7R6AIn9LfA.kAUdeXxiuEZAzaAxpfNvYjfkaTZg4batO0meK32Tjek&amp;dib_tag=se&amp;keywords=Prensa%2BQuick%2BGrip%2B6%22%2Birwin&amp;qid=1760045071&amp;sprefix=prensa%2Bquick%2Bgrip%2B6%2Birwin%2Caps%2C161&amp;sr=8-1&amp;th=1</v>
      </c>
      <c r="AD962" s="213"/>
      <c r="AE962" s="213"/>
      <c r="AF962" s="213"/>
      <c r="AG962" s="213"/>
      <c r="AH962" s="213" t="str">
        <f>IFERROR(__xludf.DUMMYFUNCTION("""COMPUTED_VALUE"""),"IMPORTADO")</f>
        <v>IMPORTADO</v>
      </c>
      <c r="AI962" s="213"/>
      <c r="AJ962" s="213"/>
      <c r="AK962" s="213"/>
      <c r="AL962" s="213"/>
      <c r="AM962" s="213"/>
      <c r="AN962" s="213"/>
      <c r="AO962" s="213"/>
      <c r="AP962" s="213" t="str">
        <f>IFERROR(__xludf.DUMMYFUNCTION("""COMPUTED_VALUE"""),"SEBASTIAN")</f>
        <v>SEBASTIAN</v>
      </c>
      <c r="AQ962" s="213" t="str">
        <f>IFERROR(__xludf.DUMMYFUNCTION("""COMPUTED_VALUE"""),"TENER EN CUENTA QUE SON 3 MEDIDAS 6"" 12 "" Y 24""")</f>
        <v>TENER EN CUENTA QUE SON 3 MEDIDAS 6" 12 " Y 24"</v>
      </c>
      <c r="AR962" s="213"/>
      <c r="AS962" s="213" t="str">
        <f>IFERROR(__xludf.DUMMYFUNCTION("""COMPUTED_VALUE"""),"Asegurarse de comprar las 3 mordazas: SKU: 1964717, 1964718, 1964720. Cambio del modelo propuesto por BTD")</f>
        <v>Asegurarse de comprar las 3 mordazas: SKU: 1964717, 1964718, 1964720. Cambio del modelo propuesto por BTD</v>
      </c>
      <c r="AT962" s="213"/>
      <c r="AU962" s="213"/>
      <c r="AV962" s="213"/>
      <c r="AW962" s="213"/>
      <c r="AX962" s="213"/>
      <c r="AY962" s="213"/>
      <c r="AZ962" s="213"/>
      <c r="BA962" s="213"/>
      <c r="BB962" s="213"/>
      <c r="BC962" s="213"/>
      <c r="BD962" s="213"/>
    </row>
    <row r="963">
      <c r="A963" s="213">
        <f>IFERROR(__xludf.DUMMYFUNCTION("""COMPUTED_VALUE"""),952.0)</f>
        <v>952</v>
      </c>
      <c r="B963" s="213" t="str">
        <f>IFERROR(__xludf.DUMMYFUNCTION("""COMPUTED_VALUE"""),"FRANCISCO IRAZOLA")</f>
        <v>FRANCISCO IRAZOLA</v>
      </c>
      <c r="C963" s="213" t="str">
        <f>IFERROR(__xludf.DUMMYFUNCTION("""COMPUTED_VALUE"""),"TALLER SFT DE MECÁNICA AUTOMOTRIZ")</f>
        <v>TALLER SFT DE MECÁNICA AUTOMOTRIZ</v>
      </c>
      <c r="D963" s="213" t="str">
        <f>IFERROR(__xludf.DUMMYFUNCTION("""COMPUTED_VALUE"""),"HERRAMIENTAS")</f>
        <v>HERRAMIENTAS</v>
      </c>
      <c r="E963" s="213" t="str">
        <f>IFERROR(__xludf.DUMMYFUNCTION("""COMPUTED_VALUE"""),"HER-160")</f>
        <v>HER-160</v>
      </c>
      <c r="F963" s="213" t="str">
        <f>IFERROR(__xludf.DUMMYFUNCTION("""COMPUTED_VALUE"""),"HER-160")</f>
        <v>HER-160</v>
      </c>
      <c r="G963" s="213"/>
      <c r="H963" s="213" t="str">
        <f>IFERROR(__xludf.DUMMYFUNCTION("""COMPUTED_VALUE"""),"KIT DE TERRAJAS Y MACHOS EN MILÍMETROS Y PULGADAS")</f>
        <v>KIT DE TERRAJAS Y MACHOS EN MILÍMETROS Y PULGADAS</v>
      </c>
      <c r="I963" s="213" t="str">
        <f>IFERROR(__xludf.DUMMYFUNCTION("""COMPUTED_VALUE"""),"Material de acero.
""Compuesto por un juego de 2 portaterrajas (fileras), 1 giramachos, 27 machos y 27 terrajas (fileras). Medidas mínimas de los machos en milímetros: entre 2 a 24 mm. ""
""Y otro juego compuesto por 2 portaterrajas (fileras), 3 giramacho"&amp;"s, 33 machos y 33 terrajas (fileras). Medidas mínimas de los machos en pulgadas: entre 4NC40 a 12NC24, 1/4""""NC20 a 3/4""""NC10, 1/4""""NF28 a 3/4""""NF16, 1/8""""NPT a 1/4""""NPT18.""
Incluye maletín.")</f>
        <v>Material de acero.
"Compuesto por un juego de 2 portaterrajas (fileras), 1 giramachos, 27 machos y 27 terrajas (fileras). Medidas mínimas de los machos en milímetros: entre 2 a 24 mm. "
"Y otro juego compuesto por 2 portaterrajas (fileras), 3 giramachos, 33 machos y 33 terrajas (fileras). Medidas mínimas de los machos en pulgadas: entre 4NC40 a 12NC24, 1/4""NC20 a 3/4""NC10, 1/4""NF28 a 3/4""NF16, 1/8""NPT a 1/4""NPT18."
Incluye maletín.</v>
      </c>
      <c r="J963" s="213">
        <f>IFERROR(__xludf.DUMMYFUNCTION("""COMPUTED_VALUE"""),3.0)</f>
        <v>3</v>
      </c>
      <c r="K963" s="213" t="str">
        <f>IFERROR(__xludf.DUMMYFUNCTION("""COMPUTED_VALUE"""),"90 DÍAS CALENDARIO")</f>
        <v>90 DÍAS CALENDARIO</v>
      </c>
      <c r="L963" s="213" t="str">
        <f>IFERROR(__xludf.DUMMYFUNCTION("""COMPUTED_VALUE"""),"")</f>
        <v/>
      </c>
      <c r="M963" s="213">
        <f>IFERROR(__xludf.DUMMYFUNCTION("""COMPUTED_VALUE"""),1.0)</f>
        <v>1</v>
      </c>
      <c r="N963" s="213">
        <f>IFERROR(__xludf.DUMMYFUNCTION("""COMPUTED_VALUE"""),1.0)</f>
        <v>1</v>
      </c>
      <c r="O963" s="213">
        <f>IFERROR(__xludf.DUMMYFUNCTION("""COMPUTED_VALUE"""),1.0)</f>
        <v>1</v>
      </c>
      <c r="P963" s="213"/>
      <c r="Q963" s="213"/>
      <c r="R963" s="213"/>
      <c r="S963" s="213"/>
      <c r="T963" s="213" t="str">
        <f>IFERROR(__xludf.DUMMYFUNCTION("""COMPUTED_VALUE"""),"CONSULTA FINAL")</f>
        <v>CONSULTA FINAL</v>
      </c>
      <c r="U963" s="213" t="str">
        <f>IFERROR(__xludf.DUMMYFUNCTION("""COMPUTED_VALUE"""),"SI")</f>
        <v>SI</v>
      </c>
      <c r="V963" s="213" t="str">
        <f>IFERROR(__xludf.DUMMYFUNCTION("""COMPUTED_VALUE"""),"-")</f>
        <v>-</v>
      </c>
      <c r="W963" s="213" t="str">
        <f>IFERROR(__xludf.DUMMYFUNCTION("""COMPUTED_VALUE"""),"-")</f>
        <v>-</v>
      </c>
      <c r="X963" s="213" t="str">
        <f>IFERROR(__xludf.DUMMYFUNCTION("""COMPUTED_VALUE"""),"Truper")</f>
        <v>Truper</v>
      </c>
      <c r="Y963" s="213">
        <f>IFERROR(__xludf.DUMMYFUNCTION("""COMPUTED_VALUE"""),1.000486065E9)</f>
        <v>1000486065</v>
      </c>
      <c r="Z963" s="215" t="str">
        <f>IFERROR(__xludf.DUMMYFUNCTION("""COMPUTED_VALUE"""),"https://www.promart.pe/juego-de-60-piezas-de-machos-y-tarrajas-truper-11443-1000461525/p?srsltid=AfmBOorRN6KHdurwrZ-8SLLRznaoxscnz_Swp856VRtoPGJPI-hjqbyC&amp;utm_source=chatgpt.com")</f>
        <v>https://www.promart.pe/juego-de-60-piezas-de-machos-y-tarrajas-truper-11443-1000461525/p?srsltid=AfmBOorRN6KHdurwrZ-8SLLRznaoxscnz_Swp856VRtoPGJPI-hjqbyC&amp;utm_source=chatgpt.com</v>
      </c>
      <c r="AA963" s="213" t="str">
        <f>IFERROR(__xludf.DUMMYFUNCTION("""COMPUTED_VALUE"""),"HER-160 KIT DE TERRAJAS Y MACHOS EN MILÍMETROS Y PULGADAS - CET")</f>
        <v>HER-160 KIT DE TERRAJAS Y MACHOS EN MILÍMETROS Y PULGADAS - CET</v>
      </c>
      <c r="AB963" s="213"/>
      <c r="AC963" s="213"/>
      <c r="AD963" s="213"/>
      <c r="AE963" s="213"/>
      <c r="AF963" s="213"/>
      <c r="AG963" s="213"/>
      <c r="AH963" s="213"/>
      <c r="AI963" s="213"/>
      <c r="AJ963" s="213"/>
      <c r="AK963" s="213"/>
      <c r="AL963" s="213"/>
      <c r="AM963" s="213"/>
      <c r="AN963" s="213"/>
      <c r="AO963" s="213"/>
      <c r="AP963" s="213" t="str">
        <f>IFERROR(__xludf.DUMMYFUNCTION("""COMPUTED_VALUE"""),"SEBASTIAN")</f>
        <v>SEBASTIAN</v>
      </c>
      <c r="AQ963" s="213"/>
      <c r="AR963" s="213"/>
      <c r="AS963" s="213" t="str">
        <f>IFERROR(__xludf.DUMMYFUNCTION("""COMPUTED_VALUE"""),"Se deberá de comprar dos unidades para llegar a las cantidades designadas")</f>
        <v>Se deberá de comprar dos unidades para llegar a las cantidades designadas</v>
      </c>
      <c r="AT963" s="213"/>
      <c r="AU963" s="213"/>
      <c r="AV963" s="213"/>
      <c r="AW963" s="213"/>
      <c r="AX963" s="213"/>
      <c r="AY963" s="213"/>
      <c r="AZ963" s="213"/>
      <c r="BA963" s="213"/>
      <c r="BB963" s="213"/>
      <c r="BC963" s="213"/>
      <c r="BD963" s="213"/>
    </row>
    <row r="964">
      <c r="A964" s="213">
        <f>IFERROR(__xludf.DUMMYFUNCTION("""COMPUTED_VALUE"""),1553.0)</f>
        <v>1553</v>
      </c>
      <c r="B964" s="213" t="str">
        <f>IFERROR(__xludf.DUMMYFUNCTION("""COMPUTED_VALUE"""),"GUILLERMO E. BILLINGHURST ")</f>
        <v>GUILLERMO E. BILLINGHURST </v>
      </c>
      <c r="C964" s="213" t="str">
        <f>IFERROR(__xludf.DUMMYFUNCTION("""COMPUTED_VALUE"""),"TALLER SFT DE MECÁNICA AUTOMOTRIZ")</f>
        <v>TALLER SFT DE MECÁNICA AUTOMOTRIZ</v>
      </c>
      <c r="D964" s="213" t="str">
        <f>IFERROR(__xludf.DUMMYFUNCTION("""COMPUTED_VALUE"""),"HERRAMIENTAS")</f>
        <v>HERRAMIENTAS</v>
      </c>
      <c r="E964" s="213" t="str">
        <f>IFERROR(__xludf.DUMMYFUNCTION("""COMPUTED_VALUE"""),"HER-160")</f>
        <v>HER-160</v>
      </c>
      <c r="F964" s="213" t="str">
        <f>IFERROR(__xludf.DUMMYFUNCTION("""COMPUTED_VALUE"""),"HER-160")</f>
        <v>HER-160</v>
      </c>
      <c r="G964" s="213"/>
      <c r="H964" s="213" t="str">
        <f>IFERROR(__xludf.DUMMYFUNCTION("""COMPUTED_VALUE"""),"KIT DE TERRAJAS Y MACHOS EN MILÍMETROS Y PULGADAS")</f>
        <v>KIT DE TERRAJAS Y MACHOS EN MILÍMETROS Y PULGADAS</v>
      </c>
      <c r="I964" s="213" t="str">
        <f>IFERROR(__xludf.DUMMYFUNCTION("""COMPUTED_VALUE"""),"Material de acero.
""Compuesto por un juego de 2 portaterrajas (fileras), 1 giramachos, 27 machos y 27 terrajas (fileras). Medidas mínimas de los machos en milímetros: entre 2 a 24 mm. ""
""Y otro juego compuesto por 2 portaterrajas (fileras), 3 giramacho"&amp;"s, 33 machos y 33 terrajas (fileras). Medidas mínimas de los machos en pulgadas: entre 4NC40 a 12NC24, 1/4""""NC20 a 3/4""""NC10, 1/4""""NF28 a 3/4""""NF16, 1/8""""NPT a 1/4""""NPT18.""
Incluye maletín.")</f>
        <v>Material de acero.
"Compuesto por un juego de 2 portaterrajas (fileras), 1 giramachos, 27 machos y 27 terrajas (fileras). Medidas mínimas de los machos en milímetros: entre 2 a 24 mm. "
"Y otro juego compuesto por 2 portaterrajas (fileras), 3 giramachos, 33 machos y 33 terrajas (fileras). Medidas mínimas de los machos en pulgadas: entre 4NC40 a 12NC24, 1/4""NC20 a 3/4""NC10, 1/4""NF28 a 3/4""NF16, 1/8""NPT a 1/4""NPT18."
Incluye maletín.</v>
      </c>
      <c r="J964" s="213">
        <f>IFERROR(__xludf.DUMMYFUNCTION("""COMPUTED_VALUE"""),3.0)</f>
        <v>3</v>
      </c>
      <c r="K964" s="213" t="str">
        <f>IFERROR(__xludf.DUMMYFUNCTION("""COMPUTED_VALUE"""),"90 DÍAS CALENDARIO")</f>
        <v>90 DÍAS CALENDARIO</v>
      </c>
      <c r="L964" s="213" t="str">
        <f>IFERROR(__xludf.DUMMYFUNCTION("""COMPUTED_VALUE"""),"")</f>
        <v/>
      </c>
      <c r="M964" s="213">
        <f>IFERROR(__xludf.DUMMYFUNCTION("""COMPUTED_VALUE"""),1.0)</f>
        <v>1</v>
      </c>
      <c r="N964" s="213">
        <f>IFERROR(__xludf.DUMMYFUNCTION("""COMPUTED_VALUE"""),1.0)</f>
        <v>1</v>
      </c>
      <c r="O964" s="213">
        <f>IFERROR(__xludf.DUMMYFUNCTION("""COMPUTED_VALUE"""),1.0)</f>
        <v>1</v>
      </c>
      <c r="P964" s="213"/>
      <c r="Q964" s="213"/>
      <c r="R964" s="213"/>
      <c r="S964" s="213"/>
      <c r="T964" s="213" t="str">
        <f>IFERROR(__xludf.DUMMYFUNCTION("""COMPUTED_VALUE"""),"CONSULTA FINAL")</f>
        <v>CONSULTA FINAL</v>
      </c>
      <c r="U964" s="213" t="str">
        <f>IFERROR(__xludf.DUMMYFUNCTION("""COMPUTED_VALUE"""),"SI")</f>
        <v>SI</v>
      </c>
      <c r="V964" s="213" t="str">
        <f>IFERROR(__xludf.DUMMYFUNCTION("""COMPUTED_VALUE"""),"-")</f>
        <v>-</v>
      </c>
      <c r="W964" s="213" t="str">
        <f>IFERROR(__xludf.DUMMYFUNCTION("""COMPUTED_VALUE"""),"-")</f>
        <v>-</v>
      </c>
      <c r="X964" s="213" t="str">
        <f>IFERROR(__xludf.DUMMYFUNCTION("""COMPUTED_VALUE"""),"Truper")</f>
        <v>Truper</v>
      </c>
      <c r="Y964" s="213">
        <f>IFERROR(__xludf.DUMMYFUNCTION("""COMPUTED_VALUE"""),1.000486065E9)</f>
        <v>1000486065</v>
      </c>
      <c r="Z964" s="215" t="str">
        <f>IFERROR(__xludf.DUMMYFUNCTION("""COMPUTED_VALUE"""),"https://www.promart.pe/juego-de-60-piezas-de-machos-y-tarrajas-truper-11443-1000461525/p?srsltid=AfmBOorRN6KHdurwrZ-8SLLRznaoxscnz_Swp856VRtoPGJPI-hjqbyC&amp;utm_source=chatgpt.com")</f>
        <v>https://www.promart.pe/juego-de-60-piezas-de-machos-y-tarrajas-truper-11443-1000461525/p?srsltid=AfmBOorRN6KHdurwrZ-8SLLRznaoxscnz_Swp856VRtoPGJPI-hjqbyC&amp;utm_source=chatgpt.com</v>
      </c>
      <c r="AA964" s="213" t="str">
        <f>IFERROR(__xludf.DUMMYFUNCTION("""COMPUTED_VALUE"""),"HER-160 KIT DE TERRAJAS Y MACHOS EN MILÍMETROS Y PULGADAS - CET")</f>
        <v>HER-160 KIT DE TERRAJAS Y MACHOS EN MILÍMETROS Y PULGADAS - CET</v>
      </c>
      <c r="AB964" s="213"/>
      <c r="AC964" s="213"/>
      <c r="AD964" s="213"/>
      <c r="AE964" s="213"/>
      <c r="AF964" s="213"/>
      <c r="AG964" s="213"/>
      <c r="AH964" s="213"/>
      <c r="AI964" s="213"/>
      <c r="AJ964" s="213"/>
      <c r="AK964" s="213"/>
      <c r="AL964" s="213"/>
      <c r="AM964" s="213"/>
      <c r="AN964" s="213"/>
      <c r="AO964" s="213"/>
      <c r="AP964" s="213" t="str">
        <f>IFERROR(__xludf.DUMMYFUNCTION("""COMPUTED_VALUE"""),"SEBASTIAN")</f>
        <v>SEBASTIAN</v>
      </c>
      <c r="AQ964" s="213"/>
      <c r="AR964" s="213"/>
      <c r="AS964" s="213" t="str">
        <f>IFERROR(__xludf.DUMMYFUNCTION("""COMPUTED_VALUE"""),"Se deberá de comprar dos unidades para llegar a las cantidades designadas")</f>
        <v>Se deberá de comprar dos unidades para llegar a las cantidades designadas</v>
      </c>
      <c r="AT964" s="213"/>
      <c r="AU964" s="213"/>
      <c r="AV964" s="213"/>
      <c r="AW964" s="213"/>
      <c r="AX964" s="213"/>
      <c r="AY964" s="213"/>
      <c r="AZ964" s="213"/>
      <c r="BA964" s="213"/>
      <c r="BB964" s="213"/>
      <c r="BC964" s="213"/>
      <c r="BD964" s="213"/>
    </row>
    <row r="965">
      <c r="A965" s="213">
        <f>IFERROR(__xludf.DUMMYFUNCTION("""COMPUTED_VALUE"""),2245.0)</f>
        <v>2245</v>
      </c>
      <c r="B965" s="213" t="str">
        <f>IFERROR(__xludf.DUMMYFUNCTION("""COMPUTED_VALUE"""),"JOSE GRANDA")</f>
        <v>JOSE GRANDA</v>
      </c>
      <c r="C965" s="213" t="str">
        <f>IFERROR(__xludf.DUMMYFUNCTION("""COMPUTED_VALUE"""),"TALLER SFT DE MECÁNICA AUTOMOTRIZ")</f>
        <v>TALLER SFT DE MECÁNICA AUTOMOTRIZ</v>
      </c>
      <c r="D965" s="213" t="str">
        <f>IFERROR(__xludf.DUMMYFUNCTION("""COMPUTED_VALUE"""),"HERRAMIENTAS")</f>
        <v>HERRAMIENTAS</v>
      </c>
      <c r="E965" s="213" t="str">
        <f>IFERROR(__xludf.DUMMYFUNCTION("""COMPUTED_VALUE"""),"HER-160")</f>
        <v>HER-160</v>
      </c>
      <c r="F965" s="213" t="str">
        <f>IFERROR(__xludf.DUMMYFUNCTION("""COMPUTED_VALUE"""),"HER-160")</f>
        <v>HER-160</v>
      </c>
      <c r="G965" s="213"/>
      <c r="H965" s="213" t="str">
        <f>IFERROR(__xludf.DUMMYFUNCTION("""COMPUTED_VALUE"""),"KIT DE TERRAJAS Y MACHOS EN MILÍMETROS Y PULGADAS")</f>
        <v>KIT DE TERRAJAS Y MACHOS EN MILÍMETROS Y PULGADAS</v>
      </c>
      <c r="I965" s="213" t="str">
        <f>IFERROR(__xludf.DUMMYFUNCTION("""COMPUTED_VALUE"""),"Material de acero.
""Compuesto por un juego de 2 portaterrajas (fileras), 1 giramachos, 27 machos y 27 terrajas (fileras). Medidas mínimas de los machos en milímetros: entre 2 a 24 mm. ""
""Y otro juego compuesto por 2 portaterrajas (fileras), 3 giramacho"&amp;"s, 33 machos y 33 terrajas (fileras). Medidas mínimas de los machos en pulgadas: entre 4NC40 a 12NC24, 1/4""""NC20 a 3/4""""NC10, 1/4""""NF28 a 3/4""""NF16, 1/8""""NPT a 1/4""""NPT18.""
Incluye maletín.")</f>
        <v>Material de acero.
"Compuesto por un juego de 2 portaterrajas (fileras), 1 giramachos, 27 machos y 27 terrajas (fileras). Medidas mínimas de los machos en milímetros: entre 2 a 24 mm. "
"Y otro juego compuesto por 2 portaterrajas (fileras), 3 giramachos, 33 machos y 33 terrajas (fileras). Medidas mínimas de los machos en pulgadas: entre 4NC40 a 12NC24, 1/4""NC20 a 3/4""NC10, 1/4""NF28 a 3/4""NF16, 1/8""NPT a 1/4""NPT18."
Incluye maletín.</v>
      </c>
      <c r="J965" s="213">
        <f>IFERROR(__xludf.DUMMYFUNCTION("""COMPUTED_VALUE"""),3.0)</f>
        <v>3</v>
      </c>
      <c r="K965" s="213" t="str">
        <f>IFERROR(__xludf.DUMMYFUNCTION("""COMPUTED_VALUE"""),"90 DÍAS CALENDARIO")</f>
        <v>90 DÍAS CALENDARIO</v>
      </c>
      <c r="L965" s="213" t="str">
        <f>IFERROR(__xludf.DUMMYFUNCTION("""COMPUTED_VALUE"""),"")</f>
        <v/>
      </c>
      <c r="M965" s="213">
        <f>IFERROR(__xludf.DUMMYFUNCTION("""COMPUTED_VALUE"""),1.0)</f>
        <v>1</v>
      </c>
      <c r="N965" s="213">
        <f>IFERROR(__xludf.DUMMYFUNCTION("""COMPUTED_VALUE"""),1.0)</f>
        <v>1</v>
      </c>
      <c r="O965" s="213">
        <f>IFERROR(__xludf.DUMMYFUNCTION("""COMPUTED_VALUE"""),1.0)</f>
        <v>1</v>
      </c>
      <c r="P965" s="213"/>
      <c r="Q965" s="213"/>
      <c r="R965" s="213"/>
      <c r="S965" s="213"/>
      <c r="T965" s="213" t="str">
        <f>IFERROR(__xludf.DUMMYFUNCTION("""COMPUTED_VALUE"""),"CONSULTA FINAL")</f>
        <v>CONSULTA FINAL</v>
      </c>
      <c r="U965" s="213" t="str">
        <f>IFERROR(__xludf.DUMMYFUNCTION("""COMPUTED_VALUE"""),"SI")</f>
        <v>SI</v>
      </c>
      <c r="V965" s="213" t="str">
        <f>IFERROR(__xludf.DUMMYFUNCTION("""COMPUTED_VALUE"""),"-")</f>
        <v>-</v>
      </c>
      <c r="W965" s="213" t="str">
        <f>IFERROR(__xludf.DUMMYFUNCTION("""COMPUTED_VALUE"""),"-")</f>
        <v>-</v>
      </c>
      <c r="X965" s="213" t="str">
        <f>IFERROR(__xludf.DUMMYFUNCTION("""COMPUTED_VALUE"""),"Truper")</f>
        <v>Truper</v>
      </c>
      <c r="Y965" s="213">
        <f>IFERROR(__xludf.DUMMYFUNCTION("""COMPUTED_VALUE"""),1.000486065E9)</f>
        <v>1000486065</v>
      </c>
      <c r="Z965" s="215" t="str">
        <f>IFERROR(__xludf.DUMMYFUNCTION("""COMPUTED_VALUE"""),"https://www.promart.pe/juego-de-60-piezas-de-machos-y-tarrajas-truper-11443-1000461525/p?srsltid=AfmBOorRN6KHdurwrZ-8SLLRznaoxscnz_Swp856VRtoPGJPI-hjqbyC&amp;utm_source=chatgpt.com")</f>
        <v>https://www.promart.pe/juego-de-60-piezas-de-machos-y-tarrajas-truper-11443-1000461525/p?srsltid=AfmBOorRN6KHdurwrZ-8SLLRznaoxscnz_Swp856VRtoPGJPI-hjqbyC&amp;utm_source=chatgpt.com</v>
      </c>
      <c r="AA965" s="213" t="str">
        <f>IFERROR(__xludf.DUMMYFUNCTION("""COMPUTED_VALUE"""),"HER-160 KIT DE TERRAJAS Y MACHOS EN MILÍMETROS Y PULGADAS - CET")</f>
        <v>HER-160 KIT DE TERRAJAS Y MACHOS EN MILÍMETROS Y PULGADAS - CET</v>
      </c>
      <c r="AB965" s="213"/>
      <c r="AC965" s="213"/>
      <c r="AD965" s="213"/>
      <c r="AE965" s="213"/>
      <c r="AF965" s="213"/>
      <c r="AG965" s="213"/>
      <c r="AH965" s="213"/>
      <c r="AI965" s="213"/>
      <c r="AJ965" s="213"/>
      <c r="AK965" s="213"/>
      <c r="AL965" s="213"/>
      <c r="AM965" s="213"/>
      <c r="AN965" s="213"/>
      <c r="AO965" s="213"/>
      <c r="AP965" s="213" t="str">
        <f>IFERROR(__xludf.DUMMYFUNCTION("""COMPUTED_VALUE"""),"SEBASTIAN")</f>
        <v>SEBASTIAN</v>
      </c>
      <c r="AQ965" s="213"/>
      <c r="AR965" s="213"/>
      <c r="AS965" s="213" t="str">
        <f>IFERROR(__xludf.DUMMYFUNCTION("""COMPUTED_VALUE"""),"Se deberá de comprar dos unidades para llegar a las cantidades designadas")</f>
        <v>Se deberá de comprar dos unidades para llegar a las cantidades designadas</v>
      </c>
      <c r="AT965" s="213"/>
      <c r="AU965" s="213"/>
      <c r="AV965" s="213"/>
      <c r="AW965" s="213"/>
      <c r="AX965" s="213"/>
      <c r="AY965" s="213"/>
      <c r="AZ965" s="213"/>
      <c r="BA965" s="213"/>
      <c r="BB965" s="213"/>
      <c r="BC965" s="213"/>
      <c r="BD965" s="213"/>
    </row>
    <row r="966">
      <c r="A966" s="213">
        <f>IFERROR(__xludf.DUMMYFUNCTION("""COMPUTED_VALUE"""),643.0)</f>
        <v>643</v>
      </c>
      <c r="B966" s="213" t="str">
        <f>IFERROR(__xludf.DUMMYFUNCTION("""COMPUTED_VALUE"""),"6049 RICARDO PALMA")</f>
        <v>6049 RICARDO PALMA</v>
      </c>
      <c r="C966" s="213" t="str">
        <f>IFERROR(__xludf.DUMMYFUNCTION("""COMPUTED_VALUE"""),"TALLER SFT DE ELECTRÓNICA")</f>
        <v>TALLER SFT DE ELECTRÓNICA</v>
      </c>
      <c r="D966" s="213" t="str">
        <f>IFERROR(__xludf.DUMMYFUNCTION("""COMPUTED_VALUE"""),"HERRAMIENTAS")</f>
        <v>HERRAMIENTAS</v>
      </c>
      <c r="E966" s="213" t="str">
        <f>IFERROR(__xludf.DUMMYFUNCTION("""COMPUTED_VALUE"""),"HER-162")</f>
        <v>HER-162</v>
      </c>
      <c r="F966" s="213" t="str">
        <f>IFERROR(__xludf.DUMMYFUNCTION("""COMPUTED_VALUE"""),"HER-162-X")</f>
        <v>HER-162-X</v>
      </c>
      <c r="G966" s="213"/>
      <c r="H966" s="213" t="str">
        <f>IFERROR(__xludf.DUMMYFUNCTION("""COMPUTED_VALUE"""),"LLAVE AJUSTABLE")</f>
        <v>LLAVE AJUSTABLE</v>
      </c>
      <c r="I966" s="213" t="str">
        <f>IFERROR(__xludf.DUMMYFUNCTION("""COMPUTED_VALUE"""),"· Llave de expansión, que permite adaptarse a diferentes medidas de pernos y tuercas de cabeza cuadrada o hexagonal, para ajustar o aflojar.
· Longitud de Llave, mínimo: 6"" (152 mm).
· Abertura de boca, mínimo: 20 mm.
· Cuerpo templado, con tratamiento a"&amp;"nticorrosión.")</f>
        <v>· Llave de expansión, que permite adaptarse a diferentes medidas de pernos y tuercas de cabeza cuadrada o hexagonal, para ajustar o aflojar.
· Longitud de Llave, mínimo: 6" (152 mm).
· Abertura de boca, mínimo: 20 mm.
· Cuerpo templado, con tratamiento anticorrosión.</v>
      </c>
      <c r="J966" s="213">
        <f>IFERROR(__xludf.DUMMYFUNCTION("""COMPUTED_VALUE"""),3.0)</f>
        <v>3</v>
      </c>
      <c r="K966" s="213" t="str">
        <f>IFERROR(__xludf.DUMMYFUNCTION("""COMPUTED_VALUE"""),"90 DÍAS CALENDARIO")</f>
        <v>90 DÍAS CALENDARIO</v>
      </c>
      <c r="L966" s="213" t="str">
        <f>IFERROR(__xludf.DUMMYFUNCTION("""COMPUTED_VALUE"""),"")</f>
        <v/>
      </c>
      <c r="M966" s="213">
        <f>IFERROR(__xludf.DUMMYFUNCTION("""COMPUTED_VALUE"""),1.0)</f>
        <v>1</v>
      </c>
      <c r="N966" s="213">
        <f>IFERROR(__xludf.DUMMYFUNCTION("""COMPUTED_VALUE"""),4.0)</f>
        <v>4</v>
      </c>
      <c r="O966" s="213">
        <f>IFERROR(__xludf.DUMMYFUNCTION("""COMPUTED_VALUE"""),4.0)</f>
        <v>4</v>
      </c>
      <c r="P966" s="213"/>
      <c r="Q966" s="213"/>
      <c r="R966" s="213" t="str">
        <f>IFERROR(__xludf.DUMMYFUNCTION("""COMPUTED_VALUE"""),"SI")</f>
        <v>SI</v>
      </c>
      <c r="S966" s="213"/>
      <c r="T966" s="213" t="str">
        <f>IFERROR(__xludf.DUMMYFUNCTION("""COMPUTED_VALUE"""),"SI")</f>
        <v>SI</v>
      </c>
      <c r="U966" s="213" t="str">
        <f>IFERROR(__xludf.DUMMYFUNCTION("""COMPUTED_VALUE"""),"SI")</f>
        <v>SI</v>
      </c>
      <c r="V966" s="213" t="str">
        <f>IFERROR(__xludf.DUMMYFUNCTION("""COMPUTED_VALUE"""),"-")</f>
        <v>-</v>
      </c>
      <c r="W966" s="213" t="str">
        <f>IFERROR(__xludf.DUMMYFUNCTION("""COMPUTED_VALUE"""),"-")</f>
        <v>-</v>
      </c>
      <c r="X966" s="213" t="str">
        <f>IFERROR(__xludf.DUMMYFUNCTION("""COMPUTED_VALUE"""),"Utoolmart")</f>
        <v>Utoolmart</v>
      </c>
      <c r="Y966" s="213" t="str">
        <f>IFERROR(__xludf.DUMMYFUNCTION("""COMPUTED_VALUE"""),"‎UT190724B-0003")</f>
        <v>‎UT190724B-0003</v>
      </c>
      <c r="Z966" s="215" t="str">
        <f>IFERROR(__xludf.DUMMYFUNCTION("""COMPUTED_VALUE"""),"https://www.amazon.com/Utoolmart-Measuring-Adjustable-Shifting-Spanner/dp/B07VQV693H?utm_source=chatgpt.com&amp;th=1")</f>
        <v>https://www.amazon.com/Utoolmart-Measuring-Adjustable-Shifting-Spanner/dp/B07VQV693H?utm_source=chatgpt.com&amp;th=1</v>
      </c>
      <c r="AA966" s="213" t="str">
        <f>IFERROR(__xludf.DUMMYFUNCTION("""COMPUTED_VALUE"""),"HER-162-X LLAVE AJUSTABLE - CET")</f>
        <v>HER-162-X LLAVE AJUSTABLE - CET</v>
      </c>
      <c r="AB966" s="213"/>
      <c r="AC966" s="213"/>
      <c r="AD966" s="213"/>
      <c r="AE966" s="213"/>
      <c r="AF966" s="213"/>
      <c r="AG966" s="213"/>
      <c r="AH966" s="213"/>
      <c r="AI966" s="213"/>
      <c r="AJ966" s="213"/>
      <c r="AK966" s="213"/>
      <c r="AL966" s="213"/>
      <c r="AM966" s="213"/>
      <c r="AN966" s="213"/>
      <c r="AO966" s="213"/>
      <c r="AP966" s="213" t="str">
        <f>IFERROR(__xludf.DUMMYFUNCTION("""COMPUTED_VALUE"""),"SEBASTIAN")</f>
        <v>SEBASTIAN</v>
      </c>
      <c r="AQ966" s="213"/>
      <c r="AR966" s="213"/>
      <c r="AS966" s="213"/>
      <c r="AT966" s="213"/>
      <c r="AU966" s="213"/>
      <c r="AV966" s="213"/>
      <c r="AW966" s="213"/>
      <c r="AX966" s="213"/>
      <c r="AY966" s="213"/>
      <c r="AZ966" s="213"/>
      <c r="BA966" s="213"/>
      <c r="BB966" s="213"/>
      <c r="BC966" s="213"/>
      <c r="BD966" s="213"/>
    </row>
    <row r="967">
      <c r="A967" s="213">
        <f>IFERROR(__xludf.DUMMYFUNCTION("""COMPUTED_VALUE"""),936.0)</f>
        <v>936</v>
      </c>
      <c r="B967" s="213" t="str">
        <f>IFERROR(__xludf.DUMMYFUNCTION("""COMPUTED_VALUE"""),"FRANCISCO IRAZOLA")</f>
        <v>FRANCISCO IRAZOLA</v>
      </c>
      <c r="C967" s="213" t="str">
        <f>IFERROR(__xludf.DUMMYFUNCTION("""COMPUTED_VALUE"""),"TALLER SFT DE MECÁNICA AUTOMOTRIZ")</f>
        <v>TALLER SFT DE MECÁNICA AUTOMOTRIZ</v>
      </c>
      <c r="D967" s="213" t="str">
        <f>IFERROR(__xludf.DUMMYFUNCTION("""COMPUTED_VALUE"""),"HERRAMIENTAS")</f>
        <v>HERRAMIENTAS</v>
      </c>
      <c r="E967" s="213" t="str">
        <f>IFERROR(__xludf.DUMMYFUNCTION("""COMPUTED_VALUE"""),"HER-162")</f>
        <v>HER-162</v>
      </c>
      <c r="F967" s="213" t="str">
        <f>IFERROR(__xludf.DUMMYFUNCTION("""COMPUTED_VALUE"""),"HER-162-Y")</f>
        <v>HER-162-Y</v>
      </c>
      <c r="G967" s="213"/>
      <c r="H967" s="213" t="str">
        <f>IFERROR(__xludf.DUMMYFUNCTION("""COMPUTED_VALUE"""),"LLAVE AJUSTABLE")</f>
        <v>LLAVE AJUSTABLE</v>
      </c>
      <c r="I967" s="213" t="str">
        <f>IFERROR(__xludf.DUMMYFUNCTION("""COMPUTED_VALUE"""),"Permite adaptarse a diferentes medidas de pernos y tuercas de cabeza cuadrada o hexagonal, para ajustar o aflojar.
Longitud de la llave: mínimo 12"" (300 mm). Abertura de la boca: mínimo 34 mm.
Cuerpo de acero cromado, para evitar la corrosión.")</f>
        <v>Permite adaptarse a diferentes medidas de pernos y tuercas de cabeza cuadrada o hexagonal, para ajustar o aflojar.
Longitud de la llave: mínimo 12" (300 mm). Abertura de la boca: mínimo 34 mm.
Cuerpo de acero cromado, para evitar la corrosión.</v>
      </c>
      <c r="J967" s="213">
        <f>IFERROR(__xludf.DUMMYFUNCTION("""COMPUTED_VALUE"""),3.0)</f>
        <v>3</v>
      </c>
      <c r="K967" s="213" t="str">
        <f>IFERROR(__xludf.DUMMYFUNCTION("""COMPUTED_VALUE"""),"90 DÍAS CALENDARIO")</f>
        <v>90 DÍAS CALENDARIO</v>
      </c>
      <c r="L967" s="213" t="str">
        <f>IFERROR(__xludf.DUMMYFUNCTION("""COMPUTED_VALUE"""),"")</f>
        <v/>
      </c>
      <c r="M967" s="213">
        <f>IFERROR(__xludf.DUMMYFUNCTION("""COMPUTED_VALUE"""),1.0)</f>
        <v>1</v>
      </c>
      <c r="N967" s="213">
        <f>IFERROR(__xludf.DUMMYFUNCTION("""COMPUTED_VALUE"""),1.0)</f>
        <v>1</v>
      </c>
      <c r="O967" s="213">
        <f>IFERROR(__xludf.DUMMYFUNCTION("""COMPUTED_VALUE"""),1.0)</f>
        <v>1</v>
      </c>
      <c r="P967" s="213"/>
      <c r="Q967" s="213"/>
      <c r="R967" s="213" t="str">
        <f>IFERROR(__xludf.DUMMYFUNCTION("""COMPUTED_VALUE"""),"SI")</f>
        <v>SI</v>
      </c>
      <c r="S967" s="213"/>
      <c r="T967" s="213" t="str">
        <f>IFERROR(__xludf.DUMMYFUNCTION("""COMPUTED_VALUE"""),"SI")</f>
        <v>SI</v>
      </c>
      <c r="U967" s="213" t="str">
        <f>IFERROR(__xludf.DUMMYFUNCTION("""COMPUTED_VALUE"""),"SI")</f>
        <v>SI</v>
      </c>
      <c r="V967" s="213" t="str">
        <f>IFERROR(__xludf.DUMMYFUNCTION("""COMPUTED_VALUE"""),"-")</f>
        <v>-</v>
      </c>
      <c r="W967" s="213" t="str">
        <f>IFERROR(__xludf.DUMMYFUNCTION("""COMPUTED_VALUE"""),"-")</f>
        <v>-</v>
      </c>
      <c r="X967" s="213" t="str">
        <f>IFERROR(__xludf.DUMMYFUNCTION("""COMPUTED_VALUE"""),"Bahco")</f>
        <v>Bahco</v>
      </c>
      <c r="Y967" s="213" t="str">
        <f>IFERROR(__xludf.DUMMYFUNCTION("""COMPUTED_VALUE"""),"8073 C")</f>
        <v>8073 C</v>
      </c>
      <c r="Z967" s="215" t="str">
        <f>IFERROR(__xludf.DUMMYFUNCTION("""COMPUTED_VALUE"""),"https://cahema.pe/llaves-ajustable/12511-llave-ajustable-cromada-12-8073-c-bahco.html")</f>
        <v>https://cahema.pe/llaves-ajustable/12511-llave-ajustable-cromada-12-8073-c-bahco.html</v>
      </c>
      <c r="AA967" s="215" t="str">
        <f>IFERROR(__xludf.DUMMYFUNCTION("""COMPUTED_VALUE"""),"https://docs.google.com/spreadsheets/d/1AQ3z87-54l5Evlh7gC9sRVsQwlbjr5SdGqhlEgBCqxM/edit?gid=0#gid=0")</f>
        <v>https://docs.google.com/spreadsheets/d/1AQ3z87-54l5Evlh7gC9sRVsQwlbjr5SdGqhlEgBCqxM/edit?gid=0#gid=0</v>
      </c>
      <c r="AB967" s="213"/>
      <c r="AC967" s="213"/>
      <c r="AD967" s="213"/>
      <c r="AE967" s="213"/>
      <c r="AF967" s="213"/>
      <c r="AG967" s="213"/>
      <c r="AH967" s="213"/>
      <c r="AI967" s="213"/>
      <c r="AJ967" s="213"/>
      <c r="AK967" s="213"/>
      <c r="AL967" s="213"/>
      <c r="AM967" s="213"/>
      <c r="AN967" s="213"/>
      <c r="AO967" s="213"/>
      <c r="AP967" s="213" t="str">
        <f>IFERROR(__xludf.DUMMYFUNCTION("""COMPUTED_VALUE"""),"SEBASTIAN")</f>
        <v>SEBASTIAN</v>
      </c>
      <c r="AQ967" s="213"/>
      <c r="AR967" s="213"/>
      <c r="AS967" s="213"/>
      <c r="AT967" s="213"/>
      <c r="AU967" s="213"/>
      <c r="AV967" s="213"/>
      <c r="AW967" s="213"/>
      <c r="AX967" s="213"/>
      <c r="AY967" s="213"/>
      <c r="AZ967" s="213"/>
      <c r="BA967" s="213"/>
      <c r="BB967" s="213"/>
      <c r="BC967" s="213"/>
      <c r="BD967" s="213"/>
    </row>
    <row r="968">
      <c r="A968" s="213">
        <f>IFERROR(__xludf.DUMMYFUNCTION("""COMPUTED_VALUE"""),1537.0)</f>
        <v>1537</v>
      </c>
      <c r="B968" s="213" t="str">
        <f>IFERROR(__xludf.DUMMYFUNCTION("""COMPUTED_VALUE"""),"GUILLERMO E. BILLINGHURST ")</f>
        <v>GUILLERMO E. BILLINGHURST </v>
      </c>
      <c r="C968" s="213" t="str">
        <f>IFERROR(__xludf.DUMMYFUNCTION("""COMPUTED_VALUE"""),"TALLER SFT DE MECÁNICA AUTOMOTRIZ")</f>
        <v>TALLER SFT DE MECÁNICA AUTOMOTRIZ</v>
      </c>
      <c r="D968" s="213" t="str">
        <f>IFERROR(__xludf.DUMMYFUNCTION("""COMPUTED_VALUE"""),"HERRAMIENTAS")</f>
        <v>HERRAMIENTAS</v>
      </c>
      <c r="E968" s="213" t="str">
        <f>IFERROR(__xludf.DUMMYFUNCTION("""COMPUTED_VALUE"""),"HER-162")</f>
        <v>HER-162</v>
      </c>
      <c r="F968" s="213" t="str">
        <f>IFERROR(__xludf.DUMMYFUNCTION("""COMPUTED_VALUE"""),"HER-162-Y")</f>
        <v>HER-162-Y</v>
      </c>
      <c r="G968" s="213"/>
      <c r="H968" s="213" t="str">
        <f>IFERROR(__xludf.DUMMYFUNCTION("""COMPUTED_VALUE"""),"LLAVE AJUSTABLE")</f>
        <v>LLAVE AJUSTABLE</v>
      </c>
      <c r="I968" s="213" t="str">
        <f>IFERROR(__xludf.DUMMYFUNCTION("""COMPUTED_VALUE"""),"Permite adaptarse a diferentes medidas de pernos y tuercas de cabeza cuadrada o hexagonal, para ajustar o aflojar.
Longitud de la llave: mínimo 12"" (300 mm). Abertura de la boca: mínimo 34 mm.
Cuerpo de acero cromado, para evitar la corrosión.")</f>
        <v>Permite adaptarse a diferentes medidas de pernos y tuercas de cabeza cuadrada o hexagonal, para ajustar o aflojar.
Longitud de la llave: mínimo 12" (300 mm). Abertura de la boca: mínimo 34 mm.
Cuerpo de acero cromado, para evitar la corrosión.</v>
      </c>
      <c r="J968" s="213">
        <f>IFERROR(__xludf.DUMMYFUNCTION("""COMPUTED_VALUE"""),3.0)</f>
        <v>3</v>
      </c>
      <c r="K968" s="213" t="str">
        <f>IFERROR(__xludf.DUMMYFUNCTION("""COMPUTED_VALUE"""),"90 DÍAS CALENDARIO")</f>
        <v>90 DÍAS CALENDARIO</v>
      </c>
      <c r="L968" s="213" t="str">
        <f>IFERROR(__xludf.DUMMYFUNCTION("""COMPUTED_VALUE"""),"")</f>
        <v/>
      </c>
      <c r="M968" s="213">
        <f>IFERROR(__xludf.DUMMYFUNCTION("""COMPUTED_VALUE"""),1.0)</f>
        <v>1</v>
      </c>
      <c r="N968" s="213">
        <f>IFERROR(__xludf.DUMMYFUNCTION("""COMPUTED_VALUE"""),1.0)</f>
        <v>1</v>
      </c>
      <c r="O968" s="213">
        <f>IFERROR(__xludf.DUMMYFUNCTION("""COMPUTED_VALUE"""),1.0)</f>
        <v>1</v>
      </c>
      <c r="P968" s="213"/>
      <c r="Q968" s="213"/>
      <c r="R968" s="213" t="str">
        <f>IFERROR(__xludf.DUMMYFUNCTION("""COMPUTED_VALUE"""),"SI")</f>
        <v>SI</v>
      </c>
      <c r="S968" s="213"/>
      <c r="T968" s="213" t="str">
        <f>IFERROR(__xludf.DUMMYFUNCTION("""COMPUTED_VALUE"""),"SI")</f>
        <v>SI</v>
      </c>
      <c r="U968" s="213" t="str">
        <f>IFERROR(__xludf.DUMMYFUNCTION("""COMPUTED_VALUE"""),"SI")</f>
        <v>SI</v>
      </c>
      <c r="V968" s="213" t="str">
        <f>IFERROR(__xludf.DUMMYFUNCTION("""COMPUTED_VALUE"""),"-")</f>
        <v>-</v>
      </c>
      <c r="W968" s="213" t="str">
        <f>IFERROR(__xludf.DUMMYFUNCTION("""COMPUTED_VALUE"""),"-")</f>
        <v>-</v>
      </c>
      <c r="X968" s="213" t="str">
        <f>IFERROR(__xludf.DUMMYFUNCTION("""COMPUTED_VALUE"""),"Bahco")</f>
        <v>Bahco</v>
      </c>
      <c r="Y968" s="213" t="str">
        <f>IFERROR(__xludf.DUMMYFUNCTION("""COMPUTED_VALUE"""),"8073 C")</f>
        <v>8073 C</v>
      </c>
      <c r="Z968" s="215" t="str">
        <f>IFERROR(__xludf.DUMMYFUNCTION("""COMPUTED_VALUE"""),"https://cahema.pe/llaves-ajustable/12511-llave-ajustable-cromada-12-8073-c-bahco.html")</f>
        <v>https://cahema.pe/llaves-ajustable/12511-llave-ajustable-cromada-12-8073-c-bahco.html</v>
      </c>
      <c r="AA968" s="215" t="str">
        <f>IFERROR(__xludf.DUMMYFUNCTION("""COMPUTED_VALUE"""),"https://docs.google.com/spreadsheets/d/1AQ3z87-54l5Evlh7gC9sRVsQwlbjr5SdGqhlEgBCqxM/edit?gid=0#gid=0")</f>
        <v>https://docs.google.com/spreadsheets/d/1AQ3z87-54l5Evlh7gC9sRVsQwlbjr5SdGqhlEgBCqxM/edit?gid=0#gid=0</v>
      </c>
      <c r="AB968" s="213"/>
      <c r="AC968" s="213"/>
      <c r="AD968" s="213"/>
      <c r="AE968" s="213"/>
      <c r="AF968" s="213"/>
      <c r="AG968" s="213"/>
      <c r="AH968" s="213"/>
      <c r="AI968" s="213"/>
      <c r="AJ968" s="213"/>
      <c r="AK968" s="213"/>
      <c r="AL968" s="213"/>
      <c r="AM968" s="213"/>
      <c r="AN968" s="213"/>
      <c r="AO968" s="213"/>
      <c r="AP968" s="213" t="str">
        <f>IFERROR(__xludf.DUMMYFUNCTION("""COMPUTED_VALUE"""),"SEBASTIAN")</f>
        <v>SEBASTIAN</v>
      </c>
      <c r="AQ968" s="213"/>
      <c r="AR968" s="213"/>
      <c r="AS968" s="213"/>
      <c r="AT968" s="213"/>
      <c r="AU968" s="213"/>
      <c r="AV968" s="213"/>
      <c r="AW968" s="213"/>
      <c r="AX968" s="213"/>
      <c r="AY968" s="213"/>
      <c r="AZ968" s="213"/>
      <c r="BA968" s="213"/>
      <c r="BB968" s="213"/>
      <c r="BC968" s="213"/>
      <c r="BD968" s="213"/>
    </row>
    <row r="969">
      <c r="A969" s="213">
        <f>IFERROR(__xludf.DUMMYFUNCTION("""COMPUTED_VALUE"""),2229.0)</f>
        <v>2229</v>
      </c>
      <c r="B969" s="213" t="str">
        <f>IFERROR(__xludf.DUMMYFUNCTION("""COMPUTED_VALUE"""),"JOSE GRANDA")</f>
        <v>JOSE GRANDA</v>
      </c>
      <c r="C969" s="213" t="str">
        <f>IFERROR(__xludf.DUMMYFUNCTION("""COMPUTED_VALUE"""),"TALLER SFT DE MECÁNICA AUTOMOTRIZ")</f>
        <v>TALLER SFT DE MECÁNICA AUTOMOTRIZ</v>
      </c>
      <c r="D969" s="213" t="str">
        <f>IFERROR(__xludf.DUMMYFUNCTION("""COMPUTED_VALUE"""),"HERRAMIENTAS")</f>
        <v>HERRAMIENTAS</v>
      </c>
      <c r="E969" s="213" t="str">
        <f>IFERROR(__xludf.DUMMYFUNCTION("""COMPUTED_VALUE"""),"HER-162")</f>
        <v>HER-162</v>
      </c>
      <c r="F969" s="213" t="str">
        <f>IFERROR(__xludf.DUMMYFUNCTION("""COMPUTED_VALUE"""),"HER-162-Y")</f>
        <v>HER-162-Y</v>
      </c>
      <c r="G969" s="213"/>
      <c r="H969" s="213" t="str">
        <f>IFERROR(__xludf.DUMMYFUNCTION("""COMPUTED_VALUE"""),"LLAVE AJUSTABLE")</f>
        <v>LLAVE AJUSTABLE</v>
      </c>
      <c r="I969" s="213" t="str">
        <f>IFERROR(__xludf.DUMMYFUNCTION("""COMPUTED_VALUE"""),"Permite adaptarse a diferentes medidas de pernos y tuercas de cabeza cuadrada o hexagonal, para ajustar o aflojar.
Longitud de la llave: mínimo 12"" (300 mm). Abertura de la boca: mínimo 34 mm.
Cuerpo de acero cromado, para evitar la corrosión.")</f>
        <v>Permite adaptarse a diferentes medidas de pernos y tuercas de cabeza cuadrada o hexagonal, para ajustar o aflojar.
Longitud de la llave: mínimo 12" (300 mm). Abertura de la boca: mínimo 34 mm.
Cuerpo de acero cromado, para evitar la corrosión.</v>
      </c>
      <c r="J969" s="213">
        <f>IFERROR(__xludf.DUMMYFUNCTION("""COMPUTED_VALUE"""),3.0)</f>
        <v>3</v>
      </c>
      <c r="K969" s="213" t="str">
        <f>IFERROR(__xludf.DUMMYFUNCTION("""COMPUTED_VALUE"""),"90 DÍAS CALENDARIO")</f>
        <v>90 DÍAS CALENDARIO</v>
      </c>
      <c r="L969" s="213" t="str">
        <f>IFERROR(__xludf.DUMMYFUNCTION("""COMPUTED_VALUE"""),"")</f>
        <v/>
      </c>
      <c r="M969" s="213">
        <f>IFERROR(__xludf.DUMMYFUNCTION("""COMPUTED_VALUE"""),1.0)</f>
        <v>1</v>
      </c>
      <c r="N969" s="213">
        <f>IFERROR(__xludf.DUMMYFUNCTION("""COMPUTED_VALUE"""),1.0)</f>
        <v>1</v>
      </c>
      <c r="O969" s="213">
        <f>IFERROR(__xludf.DUMMYFUNCTION("""COMPUTED_VALUE"""),1.0)</f>
        <v>1</v>
      </c>
      <c r="P969" s="213"/>
      <c r="Q969" s="213"/>
      <c r="R969" s="213" t="str">
        <f>IFERROR(__xludf.DUMMYFUNCTION("""COMPUTED_VALUE"""),"SI")</f>
        <v>SI</v>
      </c>
      <c r="S969" s="213"/>
      <c r="T969" s="213" t="str">
        <f>IFERROR(__xludf.DUMMYFUNCTION("""COMPUTED_VALUE"""),"SI")</f>
        <v>SI</v>
      </c>
      <c r="U969" s="213" t="str">
        <f>IFERROR(__xludf.DUMMYFUNCTION("""COMPUTED_VALUE"""),"SI")</f>
        <v>SI</v>
      </c>
      <c r="V969" s="213" t="str">
        <f>IFERROR(__xludf.DUMMYFUNCTION("""COMPUTED_VALUE"""),"-")</f>
        <v>-</v>
      </c>
      <c r="W969" s="213" t="str">
        <f>IFERROR(__xludf.DUMMYFUNCTION("""COMPUTED_VALUE"""),"-")</f>
        <v>-</v>
      </c>
      <c r="X969" s="213" t="str">
        <f>IFERROR(__xludf.DUMMYFUNCTION("""COMPUTED_VALUE"""),"Bahco")</f>
        <v>Bahco</v>
      </c>
      <c r="Y969" s="213" t="str">
        <f>IFERROR(__xludf.DUMMYFUNCTION("""COMPUTED_VALUE"""),"8073 C")</f>
        <v>8073 C</v>
      </c>
      <c r="Z969" s="215" t="str">
        <f>IFERROR(__xludf.DUMMYFUNCTION("""COMPUTED_VALUE"""),"https://cahema.pe/llaves-ajustable/12511-llave-ajustable-cromada-12-8073-c-bahco.html")</f>
        <v>https://cahema.pe/llaves-ajustable/12511-llave-ajustable-cromada-12-8073-c-bahco.html</v>
      </c>
      <c r="AA969" s="215" t="str">
        <f>IFERROR(__xludf.DUMMYFUNCTION("""COMPUTED_VALUE"""),"https://docs.google.com/spreadsheets/d/1AQ3z87-54l5Evlh7gC9sRVsQwlbjr5SdGqhlEgBCqxM/edit?gid=0#gid=0")</f>
        <v>https://docs.google.com/spreadsheets/d/1AQ3z87-54l5Evlh7gC9sRVsQwlbjr5SdGqhlEgBCqxM/edit?gid=0#gid=0</v>
      </c>
      <c r="AB969" s="213"/>
      <c r="AC969" s="213"/>
      <c r="AD969" s="213"/>
      <c r="AE969" s="213"/>
      <c r="AF969" s="213"/>
      <c r="AG969" s="213"/>
      <c r="AH969" s="213"/>
      <c r="AI969" s="213"/>
      <c r="AJ969" s="213"/>
      <c r="AK969" s="213"/>
      <c r="AL969" s="213"/>
      <c r="AM969" s="213"/>
      <c r="AN969" s="213"/>
      <c r="AO969" s="213"/>
      <c r="AP969" s="213" t="str">
        <f>IFERROR(__xludf.DUMMYFUNCTION("""COMPUTED_VALUE"""),"SEBASTIAN")</f>
        <v>SEBASTIAN</v>
      </c>
      <c r="AQ969" s="213"/>
      <c r="AR969" s="213"/>
      <c r="AS969" s="213"/>
      <c r="AT969" s="213"/>
      <c r="AU969" s="213"/>
      <c r="AV969" s="213"/>
      <c r="AW969" s="213"/>
      <c r="AX969" s="213"/>
      <c r="AY969" s="213"/>
      <c r="AZ969" s="213"/>
      <c r="BA969" s="213"/>
      <c r="BB969" s="213"/>
      <c r="BC969" s="213"/>
      <c r="BD969" s="213"/>
    </row>
    <row r="970">
      <c r="A970" s="213">
        <f>IFERROR(__xludf.DUMMYFUNCTION("""COMPUTED_VALUE"""),1828.0)</f>
        <v>1828</v>
      </c>
      <c r="B970" s="213" t="str">
        <f>IFERROR(__xludf.DUMMYFUNCTION("""COMPUTED_VALUE"""),"GUILLERMO E. BILLINGHURST ")</f>
        <v>GUILLERMO E. BILLINGHURST </v>
      </c>
      <c r="C970" s="213" t="str">
        <f>IFERROR(__xludf.DUMMYFUNCTION("""COMPUTED_VALUE"""),"TALLER SFT DE EBANISTERÍA")</f>
        <v>TALLER SFT DE EBANISTERÍA</v>
      </c>
      <c r="D970" s="213" t="str">
        <f>IFERROR(__xludf.DUMMYFUNCTION("""COMPUTED_VALUE"""),"HERRAMIENTAS")</f>
        <v>HERRAMIENTAS</v>
      </c>
      <c r="E970" s="213" t="str">
        <f>IFERROR(__xludf.DUMMYFUNCTION("""COMPUTED_VALUE"""),"HER-164")</f>
        <v>HER-164</v>
      </c>
      <c r="F970" s="213" t="str">
        <f>IFERROR(__xludf.DUMMYFUNCTION("""COMPUTED_VALUE"""),"HER-164")</f>
        <v>HER-164</v>
      </c>
      <c r="G970" s="213"/>
      <c r="H970" s="213" t="str">
        <f>IFERROR(__xludf.DUMMYFUNCTION("""COMPUTED_VALUE"""),"LLAVE FRANCESA")</f>
        <v>LLAVE FRANCESA</v>
      </c>
      <c r="I970" s="213" t="str">
        <f>IFERROR(__xludf.DUMMYFUNCTION("""COMPUTED_VALUE"""),"Permite adaptarse a diferentes medidas de pernos y tuercas de cabeza cuadrada o hexagonal, para ajustar o aflojar.
Longitud de la llave: mínimo 12"" (300 mm). abertura de la boca: mínimo 34 mm.
Cuerpo de acero al carbono cromado al vanadio, para evitar la"&amp;" corrosión.")</f>
        <v>Permite adaptarse a diferentes medidas de pernos y tuercas de cabeza cuadrada o hexagonal, para ajustar o aflojar.
Longitud de la llave: mínimo 12" (300 mm). abertura de la boca: mínimo 34 mm.
Cuerpo de acero al carbono cromado al vanadio, para evitar la corrosión.</v>
      </c>
      <c r="J970" s="213">
        <f>IFERROR(__xludf.DUMMYFUNCTION("""COMPUTED_VALUE"""),3.0)</f>
        <v>3</v>
      </c>
      <c r="K970" s="213" t="str">
        <f>IFERROR(__xludf.DUMMYFUNCTION("""COMPUTED_VALUE"""),"90 DÍAS CALENDARIO")</f>
        <v>90 DÍAS CALENDARIO</v>
      </c>
      <c r="L970" s="213" t="str">
        <f>IFERROR(__xludf.DUMMYFUNCTION("""COMPUTED_VALUE"""),"")</f>
        <v/>
      </c>
      <c r="M970" s="213">
        <f>IFERROR(__xludf.DUMMYFUNCTION("""COMPUTED_VALUE"""),1.0)</f>
        <v>1</v>
      </c>
      <c r="N970" s="213">
        <f>IFERROR(__xludf.DUMMYFUNCTION("""COMPUTED_VALUE"""),1.0)</f>
        <v>1</v>
      </c>
      <c r="O970" s="213">
        <f>IFERROR(__xludf.DUMMYFUNCTION("""COMPUTED_VALUE"""),1.0)</f>
        <v>1</v>
      </c>
      <c r="P970" s="213"/>
      <c r="Q970" s="213"/>
      <c r="R970" s="213"/>
      <c r="S970" s="213"/>
      <c r="T970" s="213" t="str">
        <f>IFERROR(__xludf.DUMMYFUNCTION("""COMPUTED_VALUE"""),"SI")</f>
        <v>SI</v>
      </c>
      <c r="U970" s="213" t="str">
        <f>IFERROR(__xludf.DUMMYFUNCTION("""COMPUTED_VALUE"""),"SI")</f>
        <v>SI</v>
      </c>
      <c r="V970" s="213" t="str">
        <f>IFERROR(__xludf.DUMMYFUNCTION("""COMPUTED_VALUE"""),"-")</f>
        <v>-</v>
      </c>
      <c r="W970" s="213" t="str">
        <f>IFERROR(__xludf.DUMMYFUNCTION("""COMPUTED_VALUE"""),"-")</f>
        <v>-</v>
      </c>
      <c r="X970" s="213" t="str">
        <f>IFERROR(__xludf.DUMMYFUNCTION("""COMPUTED_VALUE"""),"Bahco")</f>
        <v>Bahco</v>
      </c>
      <c r="Y970" s="213" t="str">
        <f>IFERROR(__xludf.DUMMYFUNCTION("""COMPUTED_VALUE"""),"8073 C")</f>
        <v>8073 C</v>
      </c>
      <c r="Z970" s="215" t="str">
        <f>IFERROR(__xludf.DUMMYFUNCTION("""COMPUTED_VALUE"""),"https://cahema.pe/llaves-ajustable/12511-llave-ajustable-cromada-12-8073-c-bahco.html")</f>
        <v>https://cahema.pe/llaves-ajustable/12511-llave-ajustable-cromada-12-8073-c-bahco.html</v>
      </c>
      <c r="AA970" s="215" t="str">
        <f>IFERROR(__xludf.DUMMYFUNCTION("""COMPUTED_VALUE"""),"https://docs.google.com/spreadsheets/d/1MWBPH7erx5wXodEF8W533U8TUk37cJpLz5f6iz6zsEI/edit?gid=0#gid=0")</f>
        <v>https://docs.google.com/spreadsheets/d/1MWBPH7erx5wXodEF8W533U8TUk37cJpLz5f6iz6zsEI/edit?gid=0#gid=0</v>
      </c>
      <c r="AB970" s="213"/>
      <c r="AC970" s="213"/>
      <c r="AD970" s="213"/>
      <c r="AE970" s="213"/>
      <c r="AF970" s="213"/>
      <c r="AG970" s="213"/>
      <c r="AH970" s="213"/>
      <c r="AI970" s="213"/>
      <c r="AJ970" s="213"/>
      <c r="AK970" s="213"/>
      <c r="AL970" s="213"/>
      <c r="AM970" s="213"/>
      <c r="AN970" s="213"/>
      <c r="AO970" s="213"/>
      <c r="AP970" s="213" t="str">
        <f>IFERROR(__xludf.DUMMYFUNCTION("""COMPUTED_VALUE"""),"SEBASTIAN")</f>
        <v>SEBASTIAN</v>
      </c>
      <c r="AQ970" s="213"/>
      <c r="AR970" s="213"/>
      <c r="AS970" s="213"/>
      <c r="AT970" s="213"/>
      <c r="AU970" s="213"/>
      <c r="AV970" s="213"/>
      <c r="AW970" s="213"/>
      <c r="AX970" s="213"/>
      <c r="AY970" s="213"/>
      <c r="AZ970" s="213"/>
      <c r="BA970" s="213"/>
      <c r="BB970" s="213"/>
      <c r="BC970" s="213"/>
      <c r="BD970" s="213"/>
    </row>
    <row r="971">
      <c r="A971" s="213">
        <f>IFERROR(__xludf.DUMMYFUNCTION("""COMPUTED_VALUE"""),2610.0)</f>
        <v>2610</v>
      </c>
      <c r="B971" s="213" t="str">
        <f>IFERROR(__xludf.DUMMYFUNCTION("""COMPUTED_VALUE"""),"MANUEL ANTONIO MESONES MURO")</f>
        <v>MANUEL ANTONIO MESONES MURO</v>
      </c>
      <c r="C971" s="213" t="str">
        <f>IFERROR(__xludf.DUMMYFUNCTION("""COMPUTED_VALUE"""),"TALLER SFT DE EBANISTERÍA")</f>
        <v>TALLER SFT DE EBANISTERÍA</v>
      </c>
      <c r="D971" s="213" t="str">
        <f>IFERROR(__xludf.DUMMYFUNCTION("""COMPUTED_VALUE"""),"HERRAMIENTAS")</f>
        <v>HERRAMIENTAS</v>
      </c>
      <c r="E971" s="213" t="str">
        <f>IFERROR(__xludf.DUMMYFUNCTION("""COMPUTED_VALUE"""),"HER-164")</f>
        <v>HER-164</v>
      </c>
      <c r="F971" s="213" t="str">
        <f>IFERROR(__xludf.DUMMYFUNCTION("""COMPUTED_VALUE"""),"HER-164")</f>
        <v>HER-164</v>
      </c>
      <c r="G971" s="213"/>
      <c r="H971" s="213" t="str">
        <f>IFERROR(__xludf.DUMMYFUNCTION("""COMPUTED_VALUE"""),"LLAVE FRANCESA")</f>
        <v>LLAVE FRANCESA</v>
      </c>
      <c r="I971" s="213" t="str">
        <f>IFERROR(__xludf.DUMMYFUNCTION("""COMPUTED_VALUE"""),"Permite adaptarse a diferentes medidas de pernos y tuercas de cabeza cuadrada o hexagonal, para ajustar o aflojar.
Longitud de la llave: mínimo 12"" (300 mm). abertura de la boca: mínimo 34 mm.
Cuerpo de acero al carbono cromado al vanadio, para evitar la"&amp;" corrosión.")</f>
        <v>Permite adaptarse a diferentes medidas de pernos y tuercas de cabeza cuadrada o hexagonal, para ajustar o aflojar.
Longitud de la llave: mínimo 12" (300 mm). abertura de la boca: mínimo 34 mm.
Cuerpo de acero al carbono cromado al vanadio, para evitar la corrosión.</v>
      </c>
      <c r="J971" s="213">
        <f>IFERROR(__xludf.DUMMYFUNCTION("""COMPUTED_VALUE"""),3.0)</f>
        <v>3</v>
      </c>
      <c r="K971" s="213" t="str">
        <f>IFERROR(__xludf.DUMMYFUNCTION("""COMPUTED_VALUE"""),"90 DÍAS CALENDARIO")</f>
        <v>90 DÍAS CALENDARIO</v>
      </c>
      <c r="L971" s="213" t="str">
        <f>IFERROR(__xludf.DUMMYFUNCTION("""COMPUTED_VALUE"""),"")</f>
        <v/>
      </c>
      <c r="M971" s="213">
        <f>IFERROR(__xludf.DUMMYFUNCTION("""COMPUTED_VALUE"""),1.0)</f>
        <v>1</v>
      </c>
      <c r="N971" s="213">
        <f>IFERROR(__xludf.DUMMYFUNCTION("""COMPUTED_VALUE"""),1.0)</f>
        <v>1</v>
      </c>
      <c r="O971" s="213">
        <f>IFERROR(__xludf.DUMMYFUNCTION("""COMPUTED_VALUE"""),1.0)</f>
        <v>1</v>
      </c>
      <c r="P971" s="213"/>
      <c r="Q971" s="213"/>
      <c r="R971" s="213"/>
      <c r="S971" s="213"/>
      <c r="T971" s="213" t="str">
        <f>IFERROR(__xludf.DUMMYFUNCTION("""COMPUTED_VALUE"""),"SI")</f>
        <v>SI</v>
      </c>
      <c r="U971" s="213" t="str">
        <f>IFERROR(__xludf.DUMMYFUNCTION("""COMPUTED_VALUE"""),"SI")</f>
        <v>SI</v>
      </c>
      <c r="V971" s="213" t="str">
        <f>IFERROR(__xludf.DUMMYFUNCTION("""COMPUTED_VALUE"""),"-")</f>
        <v>-</v>
      </c>
      <c r="W971" s="213" t="str">
        <f>IFERROR(__xludf.DUMMYFUNCTION("""COMPUTED_VALUE"""),"-")</f>
        <v>-</v>
      </c>
      <c r="X971" s="213" t="str">
        <f>IFERROR(__xludf.DUMMYFUNCTION("""COMPUTED_VALUE"""),"Bahco")</f>
        <v>Bahco</v>
      </c>
      <c r="Y971" s="213" t="str">
        <f>IFERROR(__xludf.DUMMYFUNCTION("""COMPUTED_VALUE"""),"8073 C")</f>
        <v>8073 C</v>
      </c>
      <c r="Z971" s="215" t="str">
        <f>IFERROR(__xludf.DUMMYFUNCTION("""COMPUTED_VALUE"""),"https://cahema.pe/llaves-ajustable/12511-llave-ajustable-cromada-12-8073-c-bahco.html")</f>
        <v>https://cahema.pe/llaves-ajustable/12511-llave-ajustable-cromada-12-8073-c-bahco.html</v>
      </c>
      <c r="AA971" s="215" t="str">
        <f>IFERROR(__xludf.DUMMYFUNCTION("""COMPUTED_VALUE"""),"https://docs.google.com/spreadsheets/d/1MWBPH7erx5wXodEF8W533U8TUk37cJpLz5f6iz6zsEI/edit?gid=0#gid=0")</f>
        <v>https://docs.google.com/spreadsheets/d/1MWBPH7erx5wXodEF8W533U8TUk37cJpLz5f6iz6zsEI/edit?gid=0#gid=0</v>
      </c>
      <c r="AB971" s="213"/>
      <c r="AC971" s="213"/>
      <c r="AD971" s="213"/>
      <c r="AE971" s="213"/>
      <c r="AF971" s="213"/>
      <c r="AG971" s="213"/>
      <c r="AH971" s="213"/>
      <c r="AI971" s="213"/>
      <c r="AJ971" s="213"/>
      <c r="AK971" s="213"/>
      <c r="AL971" s="213"/>
      <c r="AM971" s="213"/>
      <c r="AN971" s="213"/>
      <c r="AO971" s="213"/>
      <c r="AP971" s="213" t="str">
        <f>IFERROR(__xludf.DUMMYFUNCTION("""COMPUTED_VALUE"""),"SEBASTIAN")</f>
        <v>SEBASTIAN</v>
      </c>
      <c r="AQ971" s="213"/>
      <c r="AR971" s="213"/>
      <c r="AS971" s="213"/>
      <c r="AT971" s="213"/>
      <c r="AU971" s="213"/>
      <c r="AV971" s="213"/>
      <c r="AW971" s="213"/>
      <c r="AX971" s="213"/>
      <c r="AY971" s="213"/>
      <c r="AZ971" s="213"/>
      <c r="BA971" s="213"/>
      <c r="BB971" s="213"/>
      <c r="BC971" s="213"/>
      <c r="BD971" s="213"/>
    </row>
    <row r="972">
      <c r="A972" s="213">
        <f>IFERROR(__xludf.DUMMYFUNCTION("""COMPUTED_VALUE"""),937.0)</f>
        <v>937</v>
      </c>
      <c r="B972" s="213" t="str">
        <f>IFERROR(__xludf.DUMMYFUNCTION("""COMPUTED_VALUE"""),"FRANCISCO IRAZOLA")</f>
        <v>FRANCISCO IRAZOLA</v>
      </c>
      <c r="C972" s="213" t="str">
        <f>IFERROR(__xludf.DUMMYFUNCTION("""COMPUTED_VALUE"""),"TALLER SFT DE MECÁNICA AUTOMOTRIZ")</f>
        <v>TALLER SFT DE MECÁNICA AUTOMOTRIZ</v>
      </c>
      <c r="D972" s="213" t="str">
        <f>IFERROR(__xludf.DUMMYFUNCTION("""COMPUTED_VALUE"""),"HERRAMIENTAS")</f>
        <v>HERRAMIENTAS</v>
      </c>
      <c r="E972" s="213" t="str">
        <f>IFERROR(__xludf.DUMMYFUNCTION("""COMPUTED_VALUE"""),"HER-165")</f>
        <v>HER-165</v>
      </c>
      <c r="F972" s="213" t="str">
        <f>IFERROR(__xludf.DUMMYFUNCTION("""COMPUTED_VALUE"""),"HER-165")</f>
        <v>HER-165</v>
      </c>
      <c r="G972" s="213"/>
      <c r="H972" s="213" t="str">
        <f>IFERROR(__xludf.DUMMYFUNCTION("""COMPUTED_VALUE"""),"LLAVE STILLSON")</f>
        <v>LLAVE STILLSON</v>
      </c>
      <c r="I972" s="213" t="str">
        <f>IFERROR(__xludf.DUMMYFUNCTION("""COMPUTED_VALUE"""),"De 14"", con abertura de boca de 2"". De acero forjado.
Dentado templado de bocas: mínimo 55 HRC (dureza). Acabado: en pintura epóxica.")</f>
        <v>De 14", con abertura de boca de 2". De acero forjado.
Dentado templado de bocas: mínimo 55 HRC (dureza). Acabado: en pintura epóxica.</v>
      </c>
      <c r="J972" s="213">
        <f>IFERROR(__xludf.DUMMYFUNCTION("""COMPUTED_VALUE"""),3.0)</f>
        <v>3</v>
      </c>
      <c r="K972" s="213" t="str">
        <f>IFERROR(__xludf.DUMMYFUNCTION("""COMPUTED_VALUE"""),"90 DÍAS CALENDARIO")</f>
        <v>90 DÍAS CALENDARIO</v>
      </c>
      <c r="L972" s="213" t="str">
        <f>IFERROR(__xludf.DUMMYFUNCTION("""COMPUTED_VALUE"""),"")</f>
        <v/>
      </c>
      <c r="M972" s="213">
        <f>IFERROR(__xludf.DUMMYFUNCTION("""COMPUTED_VALUE"""),1.0)</f>
        <v>1</v>
      </c>
      <c r="N972" s="213">
        <f>IFERROR(__xludf.DUMMYFUNCTION("""COMPUTED_VALUE"""),1.0)</f>
        <v>1</v>
      </c>
      <c r="O972" s="213">
        <f>IFERROR(__xludf.DUMMYFUNCTION("""COMPUTED_VALUE"""),1.0)</f>
        <v>1</v>
      </c>
      <c r="P972" s="213"/>
      <c r="Q972" s="213"/>
      <c r="R972" s="213"/>
      <c r="S972" s="213"/>
      <c r="T972" s="213" t="str">
        <f>IFERROR(__xludf.DUMMYFUNCTION("""COMPUTED_VALUE"""),"SI")</f>
        <v>SI</v>
      </c>
      <c r="U972" s="213" t="str">
        <f>IFERROR(__xludf.DUMMYFUNCTION("""COMPUTED_VALUE"""),"SI")</f>
        <v>SI</v>
      </c>
      <c r="V972" s="213" t="str">
        <f>IFERROR(__xludf.DUMMYFUNCTION("""COMPUTED_VALUE"""),"-")</f>
        <v>-</v>
      </c>
      <c r="W972" s="213" t="str">
        <f>IFERROR(__xludf.DUMMYFUNCTION("""COMPUTED_VALUE"""),"-")</f>
        <v>-</v>
      </c>
      <c r="X972" s="213" t="str">
        <f>IFERROR(__xludf.DUMMYFUNCTION("""COMPUTED_VALUE"""),"Bahco")</f>
        <v>Bahco</v>
      </c>
      <c r="Y972" s="213">
        <f>IFERROR(__xludf.DUMMYFUNCTION("""COMPUTED_VALUE"""),150692.0)</f>
        <v>150692</v>
      </c>
      <c r="Z972" s="215" t="str">
        <f>IFERROR(__xludf.DUMMYFUNCTION("""COMPUTED_VALUE"""),"https://www.promart.pe/llave-para-tubo-stillson-14-bahco/p?srsltid=AfmBOoqUsELd0wGvbK_Em1KBhHTKCk3yOPIP_vhJX-98QSMpdLkt3Uiw")</f>
        <v>https://www.promart.pe/llave-para-tubo-stillson-14-bahco/p?srsltid=AfmBOoqUsELd0wGvbK_Em1KBhHTKCk3yOPIP_vhJX-98QSMpdLkt3Uiw</v>
      </c>
      <c r="AA972" s="215" t="str">
        <f>IFERROR(__xludf.DUMMYFUNCTION("""COMPUTED_VALUE"""),"https://docs.google.com/spreadsheets/d/1wh9RVNOHl7DjnIV1RLt8cyI2uyiKnwtaRudCN5GN1BY/edit?gid=0#gid=0")</f>
        <v>https://docs.google.com/spreadsheets/d/1wh9RVNOHl7DjnIV1RLt8cyI2uyiKnwtaRudCN5GN1BY/edit?gid=0#gid=0</v>
      </c>
      <c r="AB972" s="213"/>
      <c r="AC972" s="213"/>
      <c r="AD972" s="213"/>
      <c r="AE972" s="213"/>
      <c r="AF972" s="213"/>
      <c r="AG972" s="213"/>
      <c r="AH972" s="213"/>
      <c r="AI972" s="213"/>
      <c r="AJ972" s="213"/>
      <c r="AK972" s="213"/>
      <c r="AL972" s="213"/>
      <c r="AM972" s="213"/>
      <c r="AN972" s="213"/>
      <c r="AO972" s="213"/>
      <c r="AP972" s="213" t="str">
        <f>IFERROR(__xludf.DUMMYFUNCTION("""COMPUTED_VALUE"""),"SEBASTIAN")</f>
        <v>SEBASTIAN</v>
      </c>
      <c r="AQ972" s="213"/>
      <c r="AR972" s="213"/>
      <c r="AS972" s="213"/>
      <c r="AT972" s="213"/>
      <c r="AU972" s="213"/>
      <c r="AV972" s="213"/>
      <c r="AW972" s="213"/>
      <c r="AX972" s="213"/>
      <c r="AY972" s="213"/>
      <c r="AZ972" s="213"/>
      <c r="BA972" s="213"/>
      <c r="BB972" s="213"/>
      <c r="BC972" s="213"/>
      <c r="BD972" s="213"/>
    </row>
    <row r="973">
      <c r="A973" s="213">
        <f>IFERROR(__xludf.DUMMYFUNCTION("""COMPUTED_VALUE"""),1538.0)</f>
        <v>1538</v>
      </c>
      <c r="B973" s="213" t="str">
        <f>IFERROR(__xludf.DUMMYFUNCTION("""COMPUTED_VALUE"""),"GUILLERMO E. BILLINGHURST ")</f>
        <v>GUILLERMO E. BILLINGHURST </v>
      </c>
      <c r="C973" s="213" t="str">
        <f>IFERROR(__xludf.DUMMYFUNCTION("""COMPUTED_VALUE"""),"TALLER SFT DE MECÁNICA AUTOMOTRIZ")</f>
        <v>TALLER SFT DE MECÁNICA AUTOMOTRIZ</v>
      </c>
      <c r="D973" s="213" t="str">
        <f>IFERROR(__xludf.DUMMYFUNCTION("""COMPUTED_VALUE"""),"HERRAMIENTAS")</f>
        <v>HERRAMIENTAS</v>
      </c>
      <c r="E973" s="213" t="str">
        <f>IFERROR(__xludf.DUMMYFUNCTION("""COMPUTED_VALUE"""),"HER-165")</f>
        <v>HER-165</v>
      </c>
      <c r="F973" s="213" t="str">
        <f>IFERROR(__xludf.DUMMYFUNCTION("""COMPUTED_VALUE"""),"HER-165")</f>
        <v>HER-165</v>
      </c>
      <c r="G973" s="213"/>
      <c r="H973" s="213" t="str">
        <f>IFERROR(__xludf.DUMMYFUNCTION("""COMPUTED_VALUE"""),"LLAVE STILLSON")</f>
        <v>LLAVE STILLSON</v>
      </c>
      <c r="I973" s="213" t="str">
        <f>IFERROR(__xludf.DUMMYFUNCTION("""COMPUTED_VALUE"""),"De 14"", con abertura de boca de 2"". De acero forjado.
Dentado templado de bocas: mínimo 55 HRC (dureza). Acabado: en pintura epóxica.")</f>
        <v>De 14", con abertura de boca de 2". De acero forjado.
Dentado templado de bocas: mínimo 55 HRC (dureza). Acabado: en pintura epóxica.</v>
      </c>
      <c r="J973" s="213">
        <f>IFERROR(__xludf.DUMMYFUNCTION("""COMPUTED_VALUE"""),3.0)</f>
        <v>3</v>
      </c>
      <c r="K973" s="213" t="str">
        <f>IFERROR(__xludf.DUMMYFUNCTION("""COMPUTED_VALUE"""),"90 DÍAS CALENDARIO")</f>
        <v>90 DÍAS CALENDARIO</v>
      </c>
      <c r="L973" s="213" t="str">
        <f>IFERROR(__xludf.DUMMYFUNCTION("""COMPUTED_VALUE"""),"")</f>
        <v/>
      </c>
      <c r="M973" s="213">
        <f>IFERROR(__xludf.DUMMYFUNCTION("""COMPUTED_VALUE"""),1.0)</f>
        <v>1</v>
      </c>
      <c r="N973" s="213">
        <f>IFERROR(__xludf.DUMMYFUNCTION("""COMPUTED_VALUE"""),1.0)</f>
        <v>1</v>
      </c>
      <c r="O973" s="213">
        <f>IFERROR(__xludf.DUMMYFUNCTION("""COMPUTED_VALUE"""),1.0)</f>
        <v>1</v>
      </c>
      <c r="P973" s="213"/>
      <c r="Q973" s="213"/>
      <c r="R973" s="213"/>
      <c r="S973" s="213"/>
      <c r="T973" s="213" t="str">
        <f>IFERROR(__xludf.DUMMYFUNCTION("""COMPUTED_VALUE"""),"SI")</f>
        <v>SI</v>
      </c>
      <c r="U973" s="213" t="str">
        <f>IFERROR(__xludf.DUMMYFUNCTION("""COMPUTED_VALUE"""),"SI")</f>
        <v>SI</v>
      </c>
      <c r="V973" s="213" t="str">
        <f>IFERROR(__xludf.DUMMYFUNCTION("""COMPUTED_VALUE"""),"-")</f>
        <v>-</v>
      </c>
      <c r="W973" s="213" t="str">
        <f>IFERROR(__xludf.DUMMYFUNCTION("""COMPUTED_VALUE"""),"-")</f>
        <v>-</v>
      </c>
      <c r="X973" s="213" t="str">
        <f>IFERROR(__xludf.DUMMYFUNCTION("""COMPUTED_VALUE"""),"Bahco")</f>
        <v>Bahco</v>
      </c>
      <c r="Y973" s="213">
        <f>IFERROR(__xludf.DUMMYFUNCTION("""COMPUTED_VALUE"""),150692.0)</f>
        <v>150692</v>
      </c>
      <c r="Z973" s="215" t="str">
        <f>IFERROR(__xludf.DUMMYFUNCTION("""COMPUTED_VALUE"""),"https://www.promart.pe/llave-para-tubo-stillson-14-bahco/p?srsltid=AfmBOoqUsELd0wGvbK_Em1KBhHTKCk3yOPIP_vhJX-98QSMpdLkt3Uiw")</f>
        <v>https://www.promart.pe/llave-para-tubo-stillson-14-bahco/p?srsltid=AfmBOoqUsELd0wGvbK_Em1KBhHTKCk3yOPIP_vhJX-98QSMpdLkt3Uiw</v>
      </c>
      <c r="AA973" s="215" t="str">
        <f>IFERROR(__xludf.DUMMYFUNCTION("""COMPUTED_VALUE"""),"https://docs.google.com/spreadsheets/d/1wh9RVNOHl7DjnIV1RLt8cyI2uyiKnwtaRudCN5GN1BY/edit?gid=0#gid=0")</f>
        <v>https://docs.google.com/spreadsheets/d/1wh9RVNOHl7DjnIV1RLt8cyI2uyiKnwtaRudCN5GN1BY/edit?gid=0#gid=0</v>
      </c>
      <c r="AB973" s="213"/>
      <c r="AC973" s="213"/>
      <c r="AD973" s="213"/>
      <c r="AE973" s="213"/>
      <c r="AF973" s="213"/>
      <c r="AG973" s="213"/>
      <c r="AH973" s="213"/>
      <c r="AI973" s="213"/>
      <c r="AJ973" s="213"/>
      <c r="AK973" s="213"/>
      <c r="AL973" s="213"/>
      <c r="AM973" s="213"/>
      <c r="AN973" s="213"/>
      <c r="AO973" s="213"/>
      <c r="AP973" s="213" t="str">
        <f>IFERROR(__xludf.DUMMYFUNCTION("""COMPUTED_VALUE"""),"SEBASTIAN")</f>
        <v>SEBASTIAN</v>
      </c>
      <c r="AQ973" s="213"/>
      <c r="AR973" s="213"/>
      <c r="AS973" s="213"/>
      <c r="AT973" s="213"/>
      <c r="AU973" s="213"/>
      <c r="AV973" s="213"/>
      <c r="AW973" s="213"/>
      <c r="AX973" s="213"/>
      <c r="AY973" s="213"/>
      <c r="AZ973" s="213"/>
      <c r="BA973" s="213"/>
      <c r="BB973" s="213"/>
      <c r="BC973" s="213"/>
      <c r="BD973" s="213"/>
    </row>
    <row r="974">
      <c r="A974" s="213">
        <f>IFERROR(__xludf.DUMMYFUNCTION("""COMPUTED_VALUE"""),2230.0)</f>
        <v>2230</v>
      </c>
      <c r="B974" s="213" t="str">
        <f>IFERROR(__xludf.DUMMYFUNCTION("""COMPUTED_VALUE"""),"JOSE GRANDA")</f>
        <v>JOSE GRANDA</v>
      </c>
      <c r="C974" s="213" t="str">
        <f>IFERROR(__xludf.DUMMYFUNCTION("""COMPUTED_VALUE"""),"TALLER SFT DE MECÁNICA AUTOMOTRIZ")</f>
        <v>TALLER SFT DE MECÁNICA AUTOMOTRIZ</v>
      </c>
      <c r="D974" s="213" t="str">
        <f>IFERROR(__xludf.DUMMYFUNCTION("""COMPUTED_VALUE"""),"HERRAMIENTAS")</f>
        <v>HERRAMIENTAS</v>
      </c>
      <c r="E974" s="213" t="str">
        <f>IFERROR(__xludf.DUMMYFUNCTION("""COMPUTED_VALUE"""),"HER-165")</f>
        <v>HER-165</v>
      </c>
      <c r="F974" s="213" t="str">
        <f>IFERROR(__xludf.DUMMYFUNCTION("""COMPUTED_VALUE"""),"HER-165")</f>
        <v>HER-165</v>
      </c>
      <c r="G974" s="213"/>
      <c r="H974" s="213" t="str">
        <f>IFERROR(__xludf.DUMMYFUNCTION("""COMPUTED_VALUE"""),"LLAVE STILLSON")</f>
        <v>LLAVE STILLSON</v>
      </c>
      <c r="I974" s="213" t="str">
        <f>IFERROR(__xludf.DUMMYFUNCTION("""COMPUTED_VALUE"""),"De 14"", con abertura de boca de 2"". De acero forjado.
Dentado templado de bocas: mínimo 55 HRC (dureza). Acabado: en pintura epóxica.")</f>
        <v>De 14", con abertura de boca de 2". De acero forjado.
Dentado templado de bocas: mínimo 55 HRC (dureza). Acabado: en pintura epóxica.</v>
      </c>
      <c r="J974" s="213">
        <f>IFERROR(__xludf.DUMMYFUNCTION("""COMPUTED_VALUE"""),3.0)</f>
        <v>3</v>
      </c>
      <c r="K974" s="213" t="str">
        <f>IFERROR(__xludf.DUMMYFUNCTION("""COMPUTED_VALUE"""),"90 DÍAS CALENDARIO")</f>
        <v>90 DÍAS CALENDARIO</v>
      </c>
      <c r="L974" s="213" t="str">
        <f>IFERROR(__xludf.DUMMYFUNCTION("""COMPUTED_VALUE"""),"")</f>
        <v/>
      </c>
      <c r="M974" s="213">
        <f>IFERROR(__xludf.DUMMYFUNCTION("""COMPUTED_VALUE"""),1.0)</f>
        <v>1</v>
      </c>
      <c r="N974" s="213">
        <f>IFERROR(__xludf.DUMMYFUNCTION("""COMPUTED_VALUE"""),1.0)</f>
        <v>1</v>
      </c>
      <c r="O974" s="213">
        <f>IFERROR(__xludf.DUMMYFUNCTION("""COMPUTED_VALUE"""),1.0)</f>
        <v>1</v>
      </c>
      <c r="P974" s="213"/>
      <c r="Q974" s="213"/>
      <c r="R974" s="213"/>
      <c r="S974" s="213"/>
      <c r="T974" s="213" t="str">
        <f>IFERROR(__xludf.DUMMYFUNCTION("""COMPUTED_VALUE"""),"SI")</f>
        <v>SI</v>
      </c>
      <c r="U974" s="213" t="str">
        <f>IFERROR(__xludf.DUMMYFUNCTION("""COMPUTED_VALUE"""),"SI")</f>
        <v>SI</v>
      </c>
      <c r="V974" s="213" t="str">
        <f>IFERROR(__xludf.DUMMYFUNCTION("""COMPUTED_VALUE"""),"-")</f>
        <v>-</v>
      </c>
      <c r="W974" s="213" t="str">
        <f>IFERROR(__xludf.DUMMYFUNCTION("""COMPUTED_VALUE"""),"-")</f>
        <v>-</v>
      </c>
      <c r="X974" s="213" t="str">
        <f>IFERROR(__xludf.DUMMYFUNCTION("""COMPUTED_VALUE"""),"Bahco")</f>
        <v>Bahco</v>
      </c>
      <c r="Y974" s="213">
        <f>IFERROR(__xludf.DUMMYFUNCTION("""COMPUTED_VALUE"""),150692.0)</f>
        <v>150692</v>
      </c>
      <c r="Z974" s="215" t="str">
        <f>IFERROR(__xludf.DUMMYFUNCTION("""COMPUTED_VALUE"""),"https://www.promart.pe/llave-para-tubo-stillson-14-bahco/p?srsltid=AfmBOoqUsELd0wGvbK_Em1KBhHTKCk3yOPIP_vhJX-98QSMpdLkt3Uiw")</f>
        <v>https://www.promart.pe/llave-para-tubo-stillson-14-bahco/p?srsltid=AfmBOoqUsELd0wGvbK_Em1KBhHTKCk3yOPIP_vhJX-98QSMpdLkt3Uiw</v>
      </c>
      <c r="AA974" s="215" t="str">
        <f>IFERROR(__xludf.DUMMYFUNCTION("""COMPUTED_VALUE"""),"https://docs.google.com/spreadsheets/d/1wh9RVNOHl7DjnIV1RLt8cyI2uyiKnwtaRudCN5GN1BY/edit?gid=0#gid=0")</f>
        <v>https://docs.google.com/spreadsheets/d/1wh9RVNOHl7DjnIV1RLt8cyI2uyiKnwtaRudCN5GN1BY/edit?gid=0#gid=0</v>
      </c>
      <c r="AB974" s="213"/>
      <c r="AC974" s="213"/>
      <c r="AD974" s="213"/>
      <c r="AE974" s="213"/>
      <c r="AF974" s="213"/>
      <c r="AG974" s="213"/>
      <c r="AH974" s="213"/>
      <c r="AI974" s="213"/>
      <c r="AJ974" s="213"/>
      <c r="AK974" s="213"/>
      <c r="AL974" s="213"/>
      <c r="AM974" s="213"/>
      <c r="AN974" s="213"/>
      <c r="AO974" s="213"/>
      <c r="AP974" s="213" t="str">
        <f>IFERROR(__xludf.DUMMYFUNCTION("""COMPUTED_VALUE"""),"SEBASTIAN")</f>
        <v>SEBASTIAN</v>
      </c>
      <c r="AQ974" s="213"/>
      <c r="AR974" s="213"/>
      <c r="AS974" s="213"/>
      <c r="AT974" s="213"/>
      <c r="AU974" s="213"/>
      <c r="AV974" s="213"/>
      <c r="AW974" s="213"/>
      <c r="AX974" s="213"/>
      <c r="AY974" s="213"/>
      <c r="AZ974" s="213"/>
      <c r="BA974" s="213"/>
      <c r="BB974" s="213"/>
      <c r="BC974" s="213"/>
      <c r="BD974" s="213"/>
    </row>
    <row r="975">
      <c r="A975" s="213">
        <f>IFERROR(__xludf.DUMMYFUNCTION("""COMPUTED_VALUE"""),939.0)</f>
        <v>939</v>
      </c>
      <c r="B975" s="213" t="str">
        <f>IFERROR(__xludf.DUMMYFUNCTION("""COMPUTED_VALUE"""),"FRANCISCO IRAZOLA")</f>
        <v>FRANCISCO IRAZOLA</v>
      </c>
      <c r="C975" s="213" t="str">
        <f>IFERROR(__xludf.DUMMYFUNCTION("""COMPUTED_VALUE"""),"TALLER SFT DE MECÁNICA AUTOMOTRIZ")</f>
        <v>TALLER SFT DE MECÁNICA AUTOMOTRIZ</v>
      </c>
      <c r="D975" s="213" t="str">
        <f>IFERROR(__xludf.DUMMYFUNCTION("""COMPUTED_VALUE"""),"HERRAMIENTAS")</f>
        <v>HERRAMIENTAS</v>
      </c>
      <c r="E975" s="213" t="str">
        <f>IFERROR(__xludf.DUMMYFUNCTION("""COMPUTED_VALUE"""),"HER-167")</f>
        <v>HER-167</v>
      </c>
      <c r="F975" s="213" t="str">
        <f>IFERROR(__xludf.DUMMYFUNCTION("""COMPUTED_VALUE"""),"HER-167")</f>
        <v>HER-167</v>
      </c>
      <c r="G975" s="213"/>
      <c r="H975" s="213" t="str">
        <f>IFERROR(__xludf.DUMMYFUNCTION("""COMPUTED_VALUE"""),"MARTILLO DE BOLA")</f>
        <v>MARTILLO DE BOLA</v>
      </c>
      <c r="I975" s="213" t="str">
        <f>IFERROR(__xludf.DUMMYFUNCTION("""COMPUTED_VALUE"""),"Martillo, mínimo de 16 onzas.
El martillo posee una cabeza redonda y otra de superficie plana. Material de la cabeza: acero.
Longitud, mínima: 300 mm")</f>
        <v>Martillo, mínimo de 16 onzas.
El martillo posee una cabeza redonda y otra de superficie plana. Material de la cabeza: acero.
Longitud, mínima: 300 mm</v>
      </c>
      <c r="J975" s="213">
        <f>IFERROR(__xludf.DUMMYFUNCTION("""COMPUTED_VALUE"""),3.0)</f>
        <v>3</v>
      </c>
      <c r="K975" s="213" t="str">
        <f>IFERROR(__xludf.DUMMYFUNCTION("""COMPUTED_VALUE"""),"90 DÍAS CALENDARIO")</f>
        <v>90 DÍAS CALENDARIO</v>
      </c>
      <c r="L975" s="213" t="str">
        <f>IFERROR(__xludf.DUMMYFUNCTION("""COMPUTED_VALUE"""),"")</f>
        <v/>
      </c>
      <c r="M975" s="213">
        <f>IFERROR(__xludf.DUMMYFUNCTION("""COMPUTED_VALUE"""),1.0)</f>
        <v>1</v>
      </c>
      <c r="N975" s="213">
        <f>IFERROR(__xludf.DUMMYFUNCTION("""COMPUTED_VALUE"""),1.0)</f>
        <v>1</v>
      </c>
      <c r="O975" s="213">
        <f>IFERROR(__xludf.DUMMYFUNCTION("""COMPUTED_VALUE"""),1.0)</f>
        <v>1</v>
      </c>
      <c r="P975" s="213"/>
      <c r="Q975" s="213"/>
      <c r="R975" s="213" t="str">
        <f>IFERROR(__xludf.DUMMYFUNCTION("""COMPUTED_VALUE"""),"SI")</f>
        <v>SI</v>
      </c>
      <c r="S975" s="213"/>
      <c r="T975" s="213" t="str">
        <f>IFERROR(__xludf.DUMMYFUNCTION("""COMPUTED_VALUE"""),"SI")</f>
        <v>SI</v>
      </c>
      <c r="U975" s="213" t="str">
        <f>IFERROR(__xludf.DUMMYFUNCTION("""COMPUTED_VALUE"""),"SI")</f>
        <v>SI</v>
      </c>
      <c r="V975" s="213" t="str">
        <f>IFERROR(__xludf.DUMMYFUNCTION("""COMPUTED_VALUE"""),"-")</f>
        <v>-</v>
      </c>
      <c r="W975" s="213" t="str">
        <f>IFERROR(__xludf.DUMMYFUNCTION("""COMPUTED_VALUE"""),"-")</f>
        <v>-</v>
      </c>
      <c r="X975" s="213" t="str">
        <f>IFERROR(__xludf.DUMMYFUNCTION("""COMPUTED_VALUE"""),"REDLINE")</f>
        <v>REDLINE</v>
      </c>
      <c r="Y975" s="213">
        <f>IFERROR(__xludf.DUMMYFUNCTION("""COMPUTED_VALUE"""),1.14502979E8)</f>
        <v>114502979</v>
      </c>
      <c r="Z975" s="215" t="str">
        <f>IFERROR(__xludf.DUMMYFUNCTION("""COMPUTED_VALUE"""),"https://sodimac.falabella.com.pe/sodimac-pe/product/114502978/Martillo-Mecanico-16-Oz-Redline/114502979?utm_source=chatgpt.com")</f>
        <v>https://sodimac.falabella.com.pe/sodimac-pe/product/114502978/Martillo-Mecanico-16-Oz-Redline/114502979?utm_source=chatgpt.com</v>
      </c>
      <c r="AA975" s="215" t="str">
        <f>IFERROR(__xludf.DUMMYFUNCTION("""COMPUTED_VALUE"""),"https://docs.google.com/spreadsheets/d/1nYx3d8iRB8D5aJDy9oO7fd8B1OPL348raBbtUsLFJxM/edit?gid=0#gid=0")</f>
        <v>https://docs.google.com/spreadsheets/d/1nYx3d8iRB8D5aJDy9oO7fd8B1OPL348raBbtUsLFJxM/edit?gid=0#gid=0</v>
      </c>
      <c r="AB975" s="213"/>
      <c r="AC975" s="213"/>
      <c r="AD975" s="213"/>
      <c r="AE975" s="213"/>
      <c r="AF975" s="213"/>
      <c r="AG975" s="213"/>
      <c r="AH975" s="213"/>
      <c r="AI975" s="213"/>
      <c r="AJ975" s="213"/>
      <c r="AK975" s="213"/>
      <c r="AL975" s="213"/>
      <c r="AM975" s="213"/>
      <c r="AN975" s="213"/>
      <c r="AO975" s="213"/>
      <c r="AP975" s="213" t="str">
        <f>IFERROR(__xludf.DUMMYFUNCTION("""COMPUTED_VALUE"""),"SEBASTIAN")</f>
        <v>SEBASTIAN</v>
      </c>
      <c r="AQ975" s="213"/>
      <c r="AR975" s="213"/>
      <c r="AS975" s="213"/>
      <c r="AT975" s="213"/>
      <c r="AU975" s="213"/>
      <c r="AV975" s="213"/>
      <c r="AW975" s="213"/>
      <c r="AX975" s="213"/>
      <c r="AY975" s="213"/>
      <c r="AZ975" s="213"/>
      <c r="BA975" s="213"/>
      <c r="BB975" s="213"/>
      <c r="BC975" s="213"/>
      <c r="BD975" s="213"/>
    </row>
    <row r="976">
      <c r="A976" s="213">
        <f>IFERROR(__xludf.DUMMYFUNCTION("""COMPUTED_VALUE"""),1540.0)</f>
        <v>1540</v>
      </c>
      <c r="B976" s="213" t="str">
        <f>IFERROR(__xludf.DUMMYFUNCTION("""COMPUTED_VALUE"""),"GUILLERMO E. BILLINGHURST ")</f>
        <v>GUILLERMO E. BILLINGHURST </v>
      </c>
      <c r="C976" s="213" t="str">
        <f>IFERROR(__xludf.DUMMYFUNCTION("""COMPUTED_VALUE"""),"TALLER SFT DE MECÁNICA AUTOMOTRIZ")</f>
        <v>TALLER SFT DE MECÁNICA AUTOMOTRIZ</v>
      </c>
      <c r="D976" s="213" t="str">
        <f>IFERROR(__xludf.DUMMYFUNCTION("""COMPUTED_VALUE"""),"HERRAMIENTAS")</f>
        <v>HERRAMIENTAS</v>
      </c>
      <c r="E976" s="213" t="str">
        <f>IFERROR(__xludf.DUMMYFUNCTION("""COMPUTED_VALUE"""),"HER-167")</f>
        <v>HER-167</v>
      </c>
      <c r="F976" s="213" t="str">
        <f>IFERROR(__xludf.DUMMYFUNCTION("""COMPUTED_VALUE"""),"HER-167")</f>
        <v>HER-167</v>
      </c>
      <c r="G976" s="213"/>
      <c r="H976" s="213" t="str">
        <f>IFERROR(__xludf.DUMMYFUNCTION("""COMPUTED_VALUE"""),"MARTILLO DE BOLA")</f>
        <v>MARTILLO DE BOLA</v>
      </c>
      <c r="I976" s="213" t="str">
        <f>IFERROR(__xludf.DUMMYFUNCTION("""COMPUTED_VALUE"""),"Martillo, mínimo de 16 onzas.
El martillo posee una cabeza redonda y otra de superficie plana. Material de la cabeza: acero.
Longitud, mínima: 300 mm")</f>
        <v>Martillo, mínimo de 16 onzas.
El martillo posee una cabeza redonda y otra de superficie plana. Material de la cabeza: acero.
Longitud, mínima: 300 mm</v>
      </c>
      <c r="J976" s="213">
        <f>IFERROR(__xludf.DUMMYFUNCTION("""COMPUTED_VALUE"""),3.0)</f>
        <v>3</v>
      </c>
      <c r="K976" s="213" t="str">
        <f>IFERROR(__xludf.DUMMYFUNCTION("""COMPUTED_VALUE"""),"90 DÍAS CALENDARIO")</f>
        <v>90 DÍAS CALENDARIO</v>
      </c>
      <c r="L976" s="213" t="str">
        <f>IFERROR(__xludf.DUMMYFUNCTION("""COMPUTED_VALUE"""),"")</f>
        <v/>
      </c>
      <c r="M976" s="213">
        <f>IFERROR(__xludf.DUMMYFUNCTION("""COMPUTED_VALUE"""),1.0)</f>
        <v>1</v>
      </c>
      <c r="N976" s="213">
        <f>IFERROR(__xludf.DUMMYFUNCTION("""COMPUTED_VALUE"""),1.0)</f>
        <v>1</v>
      </c>
      <c r="O976" s="213">
        <f>IFERROR(__xludf.DUMMYFUNCTION("""COMPUTED_VALUE"""),1.0)</f>
        <v>1</v>
      </c>
      <c r="P976" s="213"/>
      <c r="Q976" s="213"/>
      <c r="R976" s="213" t="str">
        <f>IFERROR(__xludf.DUMMYFUNCTION("""COMPUTED_VALUE"""),"SI")</f>
        <v>SI</v>
      </c>
      <c r="S976" s="213"/>
      <c r="T976" s="213" t="str">
        <f>IFERROR(__xludf.DUMMYFUNCTION("""COMPUTED_VALUE"""),"SI")</f>
        <v>SI</v>
      </c>
      <c r="U976" s="213" t="str">
        <f>IFERROR(__xludf.DUMMYFUNCTION("""COMPUTED_VALUE"""),"SI")</f>
        <v>SI</v>
      </c>
      <c r="V976" s="213" t="str">
        <f>IFERROR(__xludf.DUMMYFUNCTION("""COMPUTED_VALUE"""),"-")</f>
        <v>-</v>
      </c>
      <c r="W976" s="213" t="str">
        <f>IFERROR(__xludf.DUMMYFUNCTION("""COMPUTED_VALUE"""),"-")</f>
        <v>-</v>
      </c>
      <c r="X976" s="213" t="str">
        <f>IFERROR(__xludf.DUMMYFUNCTION("""COMPUTED_VALUE"""),"REDLINE")</f>
        <v>REDLINE</v>
      </c>
      <c r="Y976" s="213">
        <f>IFERROR(__xludf.DUMMYFUNCTION("""COMPUTED_VALUE"""),1.14502979E8)</f>
        <v>114502979</v>
      </c>
      <c r="Z976" s="215" t="str">
        <f>IFERROR(__xludf.DUMMYFUNCTION("""COMPUTED_VALUE"""),"https://sodimac.falabella.com.pe/sodimac-pe/product/114502978/Martillo-Mecanico-16-Oz-Redline/114502979?utm_source=chatgpt.com")</f>
        <v>https://sodimac.falabella.com.pe/sodimac-pe/product/114502978/Martillo-Mecanico-16-Oz-Redline/114502979?utm_source=chatgpt.com</v>
      </c>
      <c r="AA976" s="215" t="str">
        <f>IFERROR(__xludf.DUMMYFUNCTION("""COMPUTED_VALUE"""),"https://docs.google.com/spreadsheets/d/1nYx3d8iRB8D5aJDy9oO7fd8B1OPL348raBbtUsLFJxM/edit?gid=0#gid=0")</f>
        <v>https://docs.google.com/spreadsheets/d/1nYx3d8iRB8D5aJDy9oO7fd8B1OPL348raBbtUsLFJxM/edit?gid=0#gid=0</v>
      </c>
      <c r="AB976" s="213"/>
      <c r="AC976" s="213"/>
      <c r="AD976" s="213"/>
      <c r="AE976" s="213"/>
      <c r="AF976" s="213"/>
      <c r="AG976" s="213"/>
      <c r="AH976" s="213"/>
      <c r="AI976" s="213"/>
      <c r="AJ976" s="213"/>
      <c r="AK976" s="213"/>
      <c r="AL976" s="213"/>
      <c r="AM976" s="213"/>
      <c r="AN976" s="213"/>
      <c r="AO976" s="213"/>
      <c r="AP976" s="213" t="str">
        <f>IFERROR(__xludf.DUMMYFUNCTION("""COMPUTED_VALUE"""),"SEBASTIAN")</f>
        <v>SEBASTIAN</v>
      </c>
      <c r="AQ976" s="213"/>
      <c r="AR976" s="213"/>
      <c r="AS976" s="213"/>
      <c r="AT976" s="213"/>
      <c r="AU976" s="213"/>
      <c r="AV976" s="213"/>
      <c r="AW976" s="213"/>
      <c r="AX976" s="213"/>
      <c r="AY976" s="213"/>
      <c r="AZ976" s="213"/>
      <c r="BA976" s="213"/>
      <c r="BB976" s="213"/>
      <c r="BC976" s="213"/>
      <c r="BD976" s="213"/>
    </row>
    <row r="977">
      <c r="A977" s="213">
        <f>IFERROR(__xludf.DUMMYFUNCTION("""COMPUTED_VALUE"""),2232.0)</f>
        <v>2232</v>
      </c>
      <c r="B977" s="213" t="str">
        <f>IFERROR(__xludf.DUMMYFUNCTION("""COMPUTED_VALUE"""),"JOSE GRANDA")</f>
        <v>JOSE GRANDA</v>
      </c>
      <c r="C977" s="213" t="str">
        <f>IFERROR(__xludf.DUMMYFUNCTION("""COMPUTED_VALUE"""),"TALLER SFT DE MECÁNICA AUTOMOTRIZ")</f>
        <v>TALLER SFT DE MECÁNICA AUTOMOTRIZ</v>
      </c>
      <c r="D977" s="213" t="str">
        <f>IFERROR(__xludf.DUMMYFUNCTION("""COMPUTED_VALUE"""),"HERRAMIENTAS")</f>
        <v>HERRAMIENTAS</v>
      </c>
      <c r="E977" s="213" t="str">
        <f>IFERROR(__xludf.DUMMYFUNCTION("""COMPUTED_VALUE"""),"HER-167")</f>
        <v>HER-167</v>
      </c>
      <c r="F977" s="213" t="str">
        <f>IFERROR(__xludf.DUMMYFUNCTION("""COMPUTED_VALUE"""),"HER-167")</f>
        <v>HER-167</v>
      </c>
      <c r="G977" s="213"/>
      <c r="H977" s="213" t="str">
        <f>IFERROR(__xludf.DUMMYFUNCTION("""COMPUTED_VALUE"""),"MARTILLO DE BOLA")</f>
        <v>MARTILLO DE BOLA</v>
      </c>
      <c r="I977" s="213" t="str">
        <f>IFERROR(__xludf.DUMMYFUNCTION("""COMPUTED_VALUE"""),"Martillo, mínimo de 16 onzas.
El martillo posee una cabeza redonda y otra de superficie plana. Material de la cabeza: acero.
Longitud, mínima: 300 mm")</f>
        <v>Martillo, mínimo de 16 onzas.
El martillo posee una cabeza redonda y otra de superficie plana. Material de la cabeza: acero.
Longitud, mínima: 300 mm</v>
      </c>
      <c r="J977" s="213">
        <f>IFERROR(__xludf.DUMMYFUNCTION("""COMPUTED_VALUE"""),3.0)</f>
        <v>3</v>
      </c>
      <c r="K977" s="213" t="str">
        <f>IFERROR(__xludf.DUMMYFUNCTION("""COMPUTED_VALUE"""),"90 DÍAS CALENDARIO")</f>
        <v>90 DÍAS CALENDARIO</v>
      </c>
      <c r="L977" s="213" t="str">
        <f>IFERROR(__xludf.DUMMYFUNCTION("""COMPUTED_VALUE"""),"")</f>
        <v/>
      </c>
      <c r="M977" s="213">
        <f>IFERROR(__xludf.DUMMYFUNCTION("""COMPUTED_VALUE"""),1.0)</f>
        <v>1</v>
      </c>
      <c r="N977" s="213">
        <f>IFERROR(__xludf.DUMMYFUNCTION("""COMPUTED_VALUE"""),1.0)</f>
        <v>1</v>
      </c>
      <c r="O977" s="213">
        <f>IFERROR(__xludf.DUMMYFUNCTION("""COMPUTED_VALUE"""),1.0)</f>
        <v>1</v>
      </c>
      <c r="P977" s="213"/>
      <c r="Q977" s="213"/>
      <c r="R977" s="213" t="str">
        <f>IFERROR(__xludf.DUMMYFUNCTION("""COMPUTED_VALUE"""),"SI")</f>
        <v>SI</v>
      </c>
      <c r="S977" s="213"/>
      <c r="T977" s="213" t="str">
        <f>IFERROR(__xludf.DUMMYFUNCTION("""COMPUTED_VALUE"""),"SI")</f>
        <v>SI</v>
      </c>
      <c r="U977" s="213" t="str">
        <f>IFERROR(__xludf.DUMMYFUNCTION("""COMPUTED_VALUE"""),"SI")</f>
        <v>SI</v>
      </c>
      <c r="V977" s="213" t="str">
        <f>IFERROR(__xludf.DUMMYFUNCTION("""COMPUTED_VALUE"""),"-")</f>
        <v>-</v>
      </c>
      <c r="W977" s="213" t="str">
        <f>IFERROR(__xludf.DUMMYFUNCTION("""COMPUTED_VALUE"""),"-")</f>
        <v>-</v>
      </c>
      <c r="X977" s="213" t="str">
        <f>IFERROR(__xludf.DUMMYFUNCTION("""COMPUTED_VALUE"""),"REDLINE")</f>
        <v>REDLINE</v>
      </c>
      <c r="Y977" s="213">
        <f>IFERROR(__xludf.DUMMYFUNCTION("""COMPUTED_VALUE"""),1.14502979E8)</f>
        <v>114502979</v>
      </c>
      <c r="Z977" s="215" t="str">
        <f>IFERROR(__xludf.DUMMYFUNCTION("""COMPUTED_VALUE"""),"https://sodimac.falabella.com.pe/sodimac-pe/product/114502978/Martillo-Mecanico-16-Oz-Redline/114502979?utm_source=chatgpt.com")</f>
        <v>https://sodimac.falabella.com.pe/sodimac-pe/product/114502978/Martillo-Mecanico-16-Oz-Redline/114502979?utm_source=chatgpt.com</v>
      </c>
      <c r="AA977" s="215" t="str">
        <f>IFERROR(__xludf.DUMMYFUNCTION("""COMPUTED_VALUE"""),"https://docs.google.com/spreadsheets/d/1nYx3d8iRB8D5aJDy9oO7fd8B1OPL348raBbtUsLFJxM/edit?gid=0#gid=0")</f>
        <v>https://docs.google.com/spreadsheets/d/1nYx3d8iRB8D5aJDy9oO7fd8B1OPL348raBbtUsLFJxM/edit?gid=0#gid=0</v>
      </c>
      <c r="AB977" s="213"/>
      <c r="AC977" s="213"/>
      <c r="AD977" s="213"/>
      <c r="AE977" s="213"/>
      <c r="AF977" s="213"/>
      <c r="AG977" s="213"/>
      <c r="AH977" s="213"/>
      <c r="AI977" s="213"/>
      <c r="AJ977" s="213"/>
      <c r="AK977" s="213"/>
      <c r="AL977" s="213"/>
      <c r="AM977" s="213"/>
      <c r="AN977" s="213"/>
      <c r="AO977" s="213"/>
      <c r="AP977" s="213" t="str">
        <f>IFERROR(__xludf.DUMMYFUNCTION("""COMPUTED_VALUE"""),"SEBASTIAN")</f>
        <v>SEBASTIAN</v>
      </c>
      <c r="AQ977" s="213"/>
      <c r="AR977" s="213"/>
      <c r="AS977" s="213"/>
      <c r="AT977" s="213"/>
      <c r="AU977" s="213"/>
      <c r="AV977" s="213"/>
      <c r="AW977" s="213"/>
      <c r="AX977" s="213"/>
      <c r="AY977" s="213"/>
      <c r="AZ977" s="213"/>
      <c r="BA977" s="213"/>
      <c r="BB977" s="213"/>
      <c r="BC977" s="213"/>
      <c r="BD977" s="213"/>
    </row>
    <row r="978">
      <c r="A978" s="213">
        <f>IFERROR(__xludf.DUMMYFUNCTION("""COMPUTED_VALUE"""),1814.0)</f>
        <v>1814</v>
      </c>
      <c r="B978" s="213" t="str">
        <f>IFERROR(__xludf.DUMMYFUNCTION("""COMPUTED_VALUE"""),"GUILLERMO E. BILLINGHURST ")</f>
        <v>GUILLERMO E. BILLINGHURST </v>
      </c>
      <c r="C978" s="213" t="str">
        <f>IFERROR(__xludf.DUMMYFUNCTION("""COMPUTED_VALUE"""),"TALLER SFT DE EBANISTERÍA")</f>
        <v>TALLER SFT DE EBANISTERÍA</v>
      </c>
      <c r="D978" s="213" t="str">
        <f>IFERROR(__xludf.DUMMYFUNCTION("""COMPUTED_VALUE"""),"HERRAMIENTAS")</f>
        <v>HERRAMIENTAS</v>
      </c>
      <c r="E978" s="213" t="str">
        <f>IFERROR(__xludf.DUMMYFUNCTION("""COMPUTED_VALUE"""),"HER-169")</f>
        <v>HER-169</v>
      </c>
      <c r="F978" s="213" t="str">
        <f>IFERROR(__xludf.DUMMYFUNCTION("""COMPUTED_VALUE"""),"HER-169")</f>
        <v>HER-169</v>
      </c>
      <c r="G978" s="213"/>
      <c r="H978" s="213" t="str">
        <f>IFERROR(__xludf.DUMMYFUNCTION("""COMPUTED_VALUE"""),"MARTILLO DE UÑA")</f>
        <v>MARTILLO DE UÑA</v>
      </c>
      <c r="I978" s="213" t="str">
        <f>IFERROR(__xludf.DUMMYFUNCTION("""COMPUTED_VALUE"""),"Cabeza templada endurecida con esquinas biseladas. Mango de madera que se une a la cabeza.
Material de la mango sugerido: Madera nogal. Peso mínimo de la cabeza del martillo: 450 g. Longitud total aproximada 30 cm.
Espesor aproximado 2.8 cm.")</f>
        <v>Cabeza templada endurecida con esquinas biseladas. Mango de madera que se une a la cabeza.
Material de la mango sugerido: Madera nogal. Peso mínimo de la cabeza del martillo: 450 g. Longitud total aproximada 30 cm.
Espesor aproximado 2.8 cm.</v>
      </c>
      <c r="J978" s="213">
        <f>IFERROR(__xludf.DUMMYFUNCTION("""COMPUTED_VALUE"""),3.0)</f>
        <v>3</v>
      </c>
      <c r="K978" s="213" t="str">
        <f>IFERROR(__xludf.DUMMYFUNCTION("""COMPUTED_VALUE"""),"90 DÍAS CALENDARIO")</f>
        <v>90 DÍAS CALENDARIO</v>
      </c>
      <c r="L978" s="213" t="str">
        <f>IFERROR(__xludf.DUMMYFUNCTION("""COMPUTED_VALUE"""),"")</f>
        <v/>
      </c>
      <c r="M978" s="213">
        <f>IFERROR(__xludf.DUMMYFUNCTION("""COMPUTED_VALUE"""),1.0)</f>
        <v>1</v>
      </c>
      <c r="N978" s="213">
        <f>IFERROR(__xludf.DUMMYFUNCTION("""COMPUTED_VALUE"""),4.0)</f>
        <v>4</v>
      </c>
      <c r="O978" s="213">
        <f>IFERROR(__xludf.DUMMYFUNCTION("""COMPUTED_VALUE"""),4.0)</f>
        <v>4</v>
      </c>
      <c r="P978" s="213"/>
      <c r="Q978" s="213"/>
      <c r="R978" s="213"/>
      <c r="S978" s="213"/>
      <c r="T978" s="213" t="str">
        <f>IFERROR(__xludf.DUMMYFUNCTION("""COMPUTED_VALUE"""),"CONSULTA FINAL")</f>
        <v>CONSULTA FINAL</v>
      </c>
      <c r="U978" s="213" t="str">
        <f>IFERROR(__xludf.DUMMYFUNCTION("""COMPUTED_VALUE"""),"NO")</f>
        <v>NO</v>
      </c>
      <c r="V978" s="213" t="str">
        <f>IFERROR(__xludf.DUMMYFUNCTION("""COMPUTED_VALUE"""),"SUSTENTO")</f>
        <v>SUSTENTO</v>
      </c>
      <c r="W978" s="213" t="str">
        <f>IFERROR(__xludf.DUMMYFUNCTION("""COMPUTED_VALUE"""),"DIMENSIONAL")</f>
        <v>DIMENSIONAL</v>
      </c>
      <c r="X978" s="213" t="str">
        <f>IFERROR(__xludf.DUMMYFUNCTION("""COMPUTED_VALUE"""),"Stanley")</f>
        <v>Stanley</v>
      </c>
      <c r="Y978" s="213" t="str">
        <f>IFERROR(__xludf.DUMMYFUNCTION("""COMPUTED_VALUE"""),"51-271")</f>
        <v>51-271</v>
      </c>
      <c r="Z978" s="215" t="str">
        <f>IFERROR(__xludf.DUMMYFUNCTION("""COMPUTED_VALUE"""),"https://prosinfer.pe/product/martillo-mango-madera-16-oz-stanley-51-271/?utm_source=chatgpt.com")</f>
        <v>https://prosinfer.pe/product/martillo-mango-madera-16-oz-stanley-51-271/?utm_source=chatgpt.com</v>
      </c>
      <c r="AA978" s="215" t="str">
        <f>IFERROR(__xludf.DUMMYFUNCTION("""COMPUTED_VALUE"""),"https://docs.google.com/spreadsheets/d/1rOhjeF4AGPJcYdyQgKe7-X6otyVtMvB0Vebglf-CVLs/edit?gid=0#gid=0")</f>
        <v>https://docs.google.com/spreadsheets/d/1rOhjeF4AGPJcYdyQgKe7-X6otyVtMvB0Vebglf-CVLs/edit?gid=0#gid=0</v>
      </c>
      <c r="AB978" s="213"/>
      <c r="AC978" s="213"/>
      <c r="AD978" s="213"/>
      <c r="AE978" s="213"/>
      <c r="AF978" s="213"/>
      <c r="AG978" s="213"/>
      <c r="AH978" s="213"/>
      <c r="AI978" s="213"/>
      <c r="AJ978" s="213"/>
      <c r="AK978" s="213"/>
      <c r="AL978" s="213"/>
      <c r="AM978" s="213"/>
      <c r="AN978" s="213"/>
      <c r="AO978" s="213"/>
      <c r="AP978" s="213" t="str">
        <f>IFERROR(__xludf.DUMMYFUNCTION("""COMPUTED_VALUE"""),"SEBASTIAN")</f>
        <v>SEBASTIAN</v>
      </c>
      <c r="AQ978" s="213"/>
      <c r="AR978" s="213"/>
      <c r="AS978" s="213"/>
      <c r="AT978" s="213"/>
      <c r="AU978" s="213"/>
      <c r="AV978" s="213"/>
      <c r="AW978" s="213"/>
      <c r="AX978" s="213"/>
      <c r="AY978" s="213"/>
      <c r="AZ978" s="213"/>
      <c r="BA978" s="213"/>
      <c r="BB978" s="213"/>
      <c r="BC978" s="213"/>
      <c r="BD978" s="213"/>
    </row>
    <row r="979">
      <c r="A979" s="213">
        <f>IFERROR(__xludf.DUMMYFUNCTION("""COMPUTED_VALUE"""),2596.0)</f>
        <v>2596</v>
      </c>
      <c r="B979" s="213" t="str">
        <f>IFERROR(__xludf.DUMMYFUNCTION("""COMPUTED_VALUE"""),"MANUEL ANTONIO MESONES MURO")</f>
        <v>MANUEL ANTONIO MESONES MURO</v>
      </c>
      <c r="C979" s="213" t="str">
        <f>IFERROR(__xludf.DUMMYFUNCTION("""COMPUTED_VALUE"""),"TALLER SFT DE EBANISTERÍA")</f>
        <v>TALLER SFT DE EBANISTERÍA</v>
      </c>
      <c r="D979" s="213" t="str">
        <f>IFERROR(__xludf.DUMMYFUNCTION("""COMPUTED_VALUE"""),"HERRAMIENTAS")</f>
        <v>HERRAMIENTAS</v>
      </c>
      <c r="E979" s="213" t="str">
        <f>IFERROR(__xludf.DUMMYFUNCTION("""COMPUTED_VALUE"""),"HER-169")</f>
        <v>HER-169</v>
      </c>
      <c r="F979" s="213" t="str">
        <f>IFERROR(__xludf.DUMMYFUNCTION("""COMPUTED_VALUE"""),"HER-169")</f>
        <v>HER-169</v>
      </c>
      <c r="G979" s="213"/>
      <c r="H979" s="213" t="str">
        <f>IFERROR(__xludf.DUMMYFUNCTION("""COMPUTED_VALUE"""),"MARTILLO DE UÑA")</f>
        <v>MARTILLO DE UÑA</v>
      </c>
      <c r="I979" s="213" t="str">
        <f>IFERROR(__xludf.DUMMYFUNCTION("""COMPUTED_VALUE"""),"Cabeza templada endurecida con esquinas biseladas. Mango de madera que se une a la cabeza.
Material de la mango sugerido: Madera nogal. Peso mínimo de la cabeza del martillo: 450 g. Longitud total aproximada 30 cm.
Espesor aproximado 2.8 cm.")</f>
        <v>Cabeza templada endurecida con esquinas biseladas. Mango de madera que se une a la cabeza.
Material de la mango sugerido: Madera nogal. Peso mínimo de la cabeza del martillo: 450 g. Longitud total aproximada 30 cm.
Espesor aproximado 2.8 cm.</v>
      </c>
      <c r="J979" s="213">
        <f>IFERROR(__xludf.DUMMYFUNCTION("""COMPUTED_VALUE"""),3.0)</f>
        <v>3</v>
      </c>
      <c r="K979" s="213" t="str">
        <f>IFERROR(__xludf.DUMMYFUNCTION("""COMPUTED_VALUE"""),"90 DÍAS CALENDARIO")</f>
        <v>90 DÍAS CALENDARIO</v>
      </c>
      <c r="L979" s="213" t="str">
        <f>IFERROR(__xludf.DUMMYFUNCTION("""COMPUTED_VALUE"""),"")</f>
        <v/>
      </c>
      <c r="M979" s="213">
        <f>IFERROR(__xludf.DUMMYFUNCTION("""COMPUTED_VALUE"""),1.0)</f>
        <v>1</v>
      </c>
      <c r="N979" s="213">
        <f>IFERROR(__xludf.DUMMYFUNCTION("""COMPUTED_VALUE"""),4.0)</f>
        <v>4</v>
      </c>
      <c r="O979" s="213">
        <f>IFERROR(__xludf.DUMMYFUNCTION("""COMPUTED_VALUE"""),4.0)</f>
        <v>4</v>
      </c>
      <c r="P979" s="213"/>
      <c r="Q979" s="213"/>
      <c r="R979" s="213"/>
      <c r="S979" s="213"/>
      <c r="T979" s="213" t="str">
        <f>IFERROR(__xludf.DUMMYFUNCTION("""COMPUTED_VALUE"""),"CONSULTA FINAL")</f>
        <v>CONSULTA FINAL</v>
      </c>
      <c r="U979" s="213" t="str">
        <f>IFERROR(__xludf.DUMMYFUNCTION("""COMPUTED_VALUE"""),"NO")</f>
        <v>NO</v>
      </c>
      <c r="V979" s="213" t="str">
        <f>IFERROR(__xludf.DUMMYFUNCTION("""COMPUTED_VALUE"""),"SUSTENTO")</f>
        <v>SUSTENTO</v>
      </c>
      <c r="W979" s="213" t="str">
        <f>IFERROR(__xludf.DUMMYFUNCTION("""COMPUTED_VALUE"""),"DIMENSIONAL")</f>
        <v>DIMENSIONAL</v>
      </c>
      <c r="X979" s="213" t="str">
        <f>IFERROR(__xludf.DUMMYFUNCTION("""COMPUTED_VALUE"""),"Stanley")</f>
        <v>Stanley</v>
      </c>
      <c r="Y979" s="213" t="str">
        <f>IFERROR(__xludf.DUMMYFUNCTION("""COMPUTED_VALUE"""),"51-271")</f>
        <v>51-271</v>
      </c>
      <c r="Z979" s="215" t="str">
        <f>IFERROR(__xludf.DUMMYFUNCTION("""COMPUTED_VALUE"""),"https://prosinfer.pe/product/martillo-mango-madera-16-oz-stanley-51-271/?utm_source=chatgpt.com")</f>
        <v>https://prosinfer.pe/product/martillo-mango-madera-16-oz-stanley-51-271/?utm_source=chatgpt.com</v>
      </c>
      <c r="AA979" s="215" t="str">
        <f>IFERROR(__xludf.DUMMYFUNCTION("""COMPUTED_VALUE"""),"https://docs.google.com/spreadsheets/d/1rOhjeF4AGPJcYdyQgKe7-X6otyVtMvB0Vebglf-CVLs/edit?gid=0#gid=0")</f>
        <v>https://docs.google.com/spreadsheets/d/1rOhjeF4AGPJcYdyQgKe7-X6otyVtMvB0Vebglf-CVLs/edit?gid=0#gid=0</v>
      </c>
      <c r="AB979" s="213"/>
      <c r="AC979" s="213"/>
      <c r="AD979" s="213"/>
      <c r="AE979" s="213"/>
      <c r="AF979" s="213"/>
      <c r="AG979" s="213"/>
      <c r="AH979" s="213"/>
      <c r="AI979" s="213"/>
      <c r="AJ979" s="213"/>
      <c r="AK979" s="213"/>
      <c r="AL979" s="213"/>
      <c r="AM979" s="213"/>
      <c r="AN979" s="213"/>
      <c r="AO979" s="213"/>
      <c r="AP979" s="213" t="str">
        <f>IFERROR(__xludf.DUMMYFUNCTION("""COMPUTED_VALUE"""),"SEBASTIAN")</f>
        <v>SEBASTIAN</v>
      </c>
      <c r="AQ979" s="213"/>
      <c r="AR979" s="213"/>
      <c r="AS979" s="213"/>
      <c r="AT979" s="213"/>
      <c r="AU979" s="213"/>
      <c r="AV979" s="213"/>
      <c r="AW979" s="213"/>
      <c r="AX979" s="213"/>
      <c r="AY979" s="213"/>
      <c r="AZ979" s="213"/>
      <c r="BA979" s="213"/>
      <c r="BB979" s="213"/>
      <c r="BC979" s="213"/>
      <c r="BD979" s="213"/>
    </row>
    <row r="980">
      <c r="A980" s="213">
        <f>IFERROR(__xludf.DUMMYFUNCTION("""COMPUTED_VALUE"""),1805.0)</f>
        <v>1805</v>
      </c>
      <c r="B980" s="213" t="str">
        <f>IFERROR(__xludf.DUMMYFUNCTION("""COMPUTED_VALUE"""),"GUILLERMO E. BILLINGHURST ")</f>
        <v>GUILLERMO E. BILLINGHURST </v>
      </c>
      <c r="C980" s="213" t="str">
        <f>IFERROR(__xludf.DUMMYFUNCTION("""COMPUTED_VALUE"""),"TALLER SFT DE EBANISTERÍA")</f>
        <v>TALLER SFT DE EBANISTERÍA</v>
      </c>
      <c r="D980" s="213" t="str">
        <f>IFERROR(__xludf.DUMMYFUNCTION("""COMPUTED_VALUE"""),"HERRAMIENTAS")</f>
        <v>HERRAMIENTAS</v>
      </c>
      <c r="E980" s="213" t="str">
        <f>IFERROR(__xludf.DUMMYFUNCTION("""COMPUTED_VALUE"""),"HER-175")</f>
        <v>HER-175</v>
      </c>
      <c r="F980" s="213" t="str">
        <f>IFERROR(__xludf.DUMMYFUNCTION("""COMPUTED_VALUE"""),"HER-175-X")</f>
        <v>HER-175-X</v>
      </c>
      <c r="G980" s="213"/>
      <c r="H980" s="213" t="str">
        <f>IFERROR(__xludf.DUMMYFUNCTION("""COMPUTED_VALUE"""),"MAZO DE GOMA")</f>
        <v>MAZO DE GOMA</v>
      </c>
      <c r="I980" s="213" t="str">
        <f>IFERROR(__xludf.DUMMYFUNCTION("""COMPUTED_VALUE"""),"Martillo ideal para trabajos que no dejen marca. Con cabezas de caucho y la otra sintético.
Diámetro de la cabeza, entre: 35 mm - 40 mm. Empuñadura ergonómico.
Dimensiones aproximadas del producto 26 cm x 7.5 cm x 4 cm")</f>
        <v>Martillo ideal para trabajos que no dejen marca. Con cabezas de caucho y la otra sintético.
Diámetro de la cabeza, entre: 35 mm - 40 mm. Empuñadura ergonómico.
Dimensiones aproximadas del producto 26 cm x 7.5 cm x 4 cm</v>
      </c>
      <c r="J980" s="213">
        <f>IFERROR(__xludf.DUMMYFUNCTION("""COMPUTED_VALUE"""),3.0)</f>
        <v>3</v>
      </c>
      <c r="K980" s="213" t="str">
        <f>IFERROR(__xludf.DUMMYFUNCTION("""COMPUTED_VALUE"""),"90 DÍAS CALENDARIO")</f>
        <v>90 DÍAS CALENDARIO</v>
      </c>
      <c r="L980" s="213" t="str">
        <f>IFERROR(__xludf.DUMMYFUNCTION("""COMPUTED_VALUE"""),"")</f>
        <v/>
      </c>
      <c r="M980" s="213">
        <f>IFERROR(__xludf.DUMMYFUNCTION("""COMPUTED_VALUE"""),1.0)</f>
        <v>1</v>
      </c>
      <c r="N980" s="213">
        <f>IFERROR(__xludf.DUMMYFUNCTION("""COMPUTED_VALUE"""),4.0)</f>
        <v>4</v>
      </c>
      <c r="O980" s="213">
        <f>IFERROR(__xludf.DUMMYFUNCTION("""COMPUTED_VALUE"""),4.0)</f>
        <v>4</v>
      </c>
      <c r="P980" s="213"/>
      <c r="Q980" s="213"/>
      <c r="R980" s="213" t="str">
        <f>IFERROR(__xludf.DUMMYFUNCTION("""COMPUTED_VALUE"""),"SI")</f>
        <v>SI</v>
      </c>
      <c r="S980" s="213"/>
      <c r="T980" s="213" t="str">
        <f>IFERROR(__xludf.DUMMYFUNCTION("""COMPUTED_VALUE"""),"CONSULTA FINAL")</f>
        <v>CONSULTA FINAL</v>
      </c>
      <c r="U980" s="213" t="str">
        <f>IFERROR(__xludf.DUMMYFUNCTION("""COMPUTED_VALUE"""),"NO")</f>
        <v>NO</v>
      </c>
      <c r="V980" s="213" t="str">
        <f>IFERROR(__xludf.DUMMYFUNCTION("""COMPUTED_VALUE"""),"SUPERA")</f>
        <v>SUPERA</v>
      </c>
      <c r="W980" s="213" t="str">
        <f>IFERROR(__xludf.DUMMYFUNCTION("""COMPUTED_VALUE"""),"DIMENSIONAL")</f>
        <v>DIMENSIONAL</v>
      </c>
      <c r="X980" s="213" t="str">
        <f>IFERROR(__xludf.DUMMYFUNCTION("""COMPUTED_VALUE"""),"LOGAZU")</f>
        <v>LOGAZU</v>
      </c>
      <c r="Y980" s="213" t="str">
        <f>IFERROR(__xludf.DUMMYFUNCTION("""COMPUTED_VALUE"""),"8 Onzas")</f>
        <v>8 Onzas</v>
      </c>
      <c r="Z980" s="215" t="str">
        <f>IFERROR(__xludf.DUMMYFUNCTION("""COMPUTED_VALUE"""),"https://articulo.mercadolibre.cl/MLC-1546742643-lozagu-martillo-de-mazo-de-goma-de-8-oz-mango-de-fibra-de-v-_JM")</f>
        <v>https://articulo.mercadolibre.cl/MLC-1546742643-lozagu-martillo-de-mazo-de-goma-de-8-oz-mango-de-fibra-de-v-_JM</v>
      </c>
      <c r="AA980" s="213" t="str">
        <f>IFERROR(__xludf.DUMMYFUNCTION("""COMPUTED_VALUE"""),"HER-175-X MAZO DE GOMA - CET")</f>
        <v>HER-175-X MAZO DE GOMA - CET</v>
      </c>
      <c r="AB980" s="213"/>
      <c r="AC980" s="213"/>
      <c r="AD980" s="213"/>
      <c r="AE980" s="213"/>
      <c r="AF980" s="213"/>
      <c r="AG980" s="213"/>
      <c r="AH980" s="213"/>
      <c r="AI980" s="213"/>
      <c r="AJ980" s="213"/>
      <c r="AK980" s="213"/>
      <c r="AL980" s="213"/>
      <c r="AM980" s="213"/>
      <c r="AN980" s="213"/>
      <c r="AO980" s="213"/>
      <c r="AP980" s="213" t="str">
        <f>IFERROR(__xludf.DUMMYFUNCTION("""COMPUTED_VALUE"""),"SEBASTIAN")</f>
        <v>SEBASTIAN</v>
      </c>
      <c r="AQ980" s="213"/>
      <c r="AR980" s="213"/>
      <c r="AS980" s="213"/>
      <c r="AT980" s="213"/>
      <c r="AU980" s="213"/>
      <c r="AV980" s="213"/>
      <c r="AW980" s="213"/>
      <c r="AX980" s="213"/>
      <c r="AY980" s="213"/>
      <c r="AZ980" s="213"/>
      <c r="BA980" s="213"/>
      <c r="BB980" s="213"/>
      <c r="BC980" s="213"/>
      <c r="BD980" s="213"/>
    </row>
    <row r="981">
      <c r="A981" s="213">
        <f>IFERROR(__xludf.DUMMYFUNCTION("""COMPUTED_VALUE"""),2587.0)</f>
        <v>2587</v>
      </c>
      <c r="B981" s="213" t="str">
        <f>IFERROR(__xludf.DUMMYFUNCTION("""COMPUTED_VALUE"""),"MANUEL ANTONIO MESONES MURO")</f>
        <v>MANUEL ANTONIO MESONES MURO</v>
      </c>
      <c r="C981" s="213" t="str">
        <f>IFERROR(__xludf.DUMMYFUNCTION("""COMPUTED_VALUE"""),"TALLER SFT DE EBANISTERÍA")</f>
        <v>TALLER SFT DE EBANISTERÍA</v>
      </c>
      <c r="D981" s="213" t="str">
        <f>IFERROR(__xludf.DUMMYFUNCTION("""COMPUTED_VALUE"""),"HERRAMIENTAS")</f>
        <v>HERRAMIENTAS</v>
      </c>
      <c r="E981" s="213" t="str">
        <f>IFERROR(__xludf.DUMMYFUNCTION("""COMPUTED_VALUE"""),"HER-175")</f>
        <v>HER-175</v>
      </c>
      <c r="F981" s="213" t="str">
        <f>IFERROR(__xludf.DUMMYFUNCTION("""COMPUTED_VALUE"""),"HER-175-X")</f>
        <v>HER-175-X</v>
      </c>
      <c r="G981" s="213"/>
      <c r="H981" s="213" t="str">
        <f>IFERROR(__xludf.DUMMYFUNCTION("""COMPUTED_VALUE"""),"MAZO DE GOMA")</f>
        <v>MAZO DE GOMA</v>
      </c>
      <c r="I981" s="213" t="str">
        <f>IFERROR(__xludf.DUMMYFUNCTION("""COMPUTED_VALUE"""),"Martillo ideal para trabajos que no dejen marca. Con cabezas de caucho y la otra sintético.
Diámetro de la cabeza, entre: 35 mm - 40 mm. Empuñadura ergonómico.
Dimensiones aproximadas del producto 26 cm x 7.5 cm x 4 cm")</f>
        <v>Martillo ideal para trabajos que no dejen marca. Con cabezas de caucho y la otra sintético.
Diámetro de la cabeza, entre: 35 mm - 40 mm. Empuñadura ergonómico.
Dimensiones aproximadas del producto 26 cm x 7.5 cm x 4 cm</v>
      </c>
      <c r="J981" s="213">
        <f>IFERROR(__xludf.DUMMYFUNCTION("""COMPUTED_VALUE"""),3.0)</f>
        <v>3</v>
      </c>
      <c r="K981" s="213" t="str">
        <f>IFERROR(__xludf.DUMMYFUNCTION("""COMPUTED_VALUE"""),"90 DÍAS CALENDARIO")</f>
        <v>90 DÍAS CALENDARIO</v>
      </c>
      <c r="L981" s="213" t="str">
        <f>IFERROR(__xludf.DUMMYFUNCTION("""COMPUTED_VALUE"""),"")</f>
        <v/>
      </c>
      <c r="M981" s="213">
        <f>IFERROR(__xludf.DUMMYFUNCTION("""COMPUTED_VALUE"""),1.0)</f>
        <v>1</v>
      </c>
      <c r="N981" s="213">
        <f>IFERROR(__xludf.DUMMYFUNCTION("""COMPUTED_VALUE"""),4.0)</f>
        <v>4</v>
      </c>
      <c r="O981" s="213">
        <f>IFERROR(__xludf.DUMMYFUNCTION("""COMPUTED_VALUE"""),4.0)</f>
        <v>4</v>
      </c>
      <c r="P981" s="213"/>
      <c r="Q981" s="213"/>
      <c r="R981" s="213" t="str">
        <f>IFERROR(__xludf.DUMMYFUNCTION("""COMPUTED_VALUE"""),"SI")</f>
        <v>SI</v>
      </c>
      <c r="S981" s="213"/>
      <c r="T981" s="213" t="str">
        <f>IFERROR(__xludf.DUMMYFUNCTION("""COMPUTED_VALUE"""),"CONSULTA FINAL")</f>
        <v>CONSULTA FINAL</v>
      </c>
      <c r="U981" s="213" t="str">
        <f>IFERROR(__xludf.DUMMYFUNCTION("""COMPUTED_VALUE"""),"NO")</f>
        <v>NO</v>
      </c>
      <c r="V981" s="213" t="str">
        <f>IFERROR(__xludf.DUMMYFUNCTION("""COMPUTED_VALUE"""),"SUPERA")</f>
        <v>SUPERA</v>
      </c>
      <c r="W981" s="213" t="str">
        <f>IFERROR(__xludf.DUMMYFUNCTION("""COMPUTED_VALUE"""),"DIMENSIONAL")</f>
        <v>DIMENSIONAL</v>
      </c>
      <c r="X981" s="213" t="str">
        <f>IFERROR(__xludf.DUMMYFUNCTION("""COMPUTED_VALUE"""),"LOGAZU")</f>
        <v>LOGAZU</v>
      </c>
      <c r="Y981" s="213" t="str">
        <f>IFERROR(__xludf.DUMMYFUNCTION("""COMPUTED_VALUE"""),"8 Onzas")</f>
        <v>8 Onzas</v>
      </c>
      <c r="Z981" s="215" t="str">
        <f>IFERROR(__xludf.DUMMYFUNCTION("""COMPUTED_VALUE"""),"https://articulo.mercadolibre.cl/MLC-1546742643-lozagu-martillo-de-mazo-de-goma-de-8-oz-mango-de-fibra-de-v-_JM")</f>
        <v>https://articulo.mercadolibre.cl/MLC-1546742643-lozagu-martillo-de-mazo-de-goma-de-8-oz-mango-de-fibra-de-v-_JM</v>
      </c>
      <c r="AA981" s="213" t="str">
        <f>IFERROR(__xludf.DUMMYFUNCTION("""COMPUTED_VALUE"""),"HER-175-X MAZO DE GOMA - CET")</f>
        <v>HER-175-X MAZO DE GOMA - CET</v>
      </c>
      <c r="AB981" s="213"/>
      <c r="AC981" s="213"/>
      <c r="AD981" s="213"/>
      <c r="AE981" s="213"/>
      <c r="AF981" s="213"/>
      <c r="AG981" s="213"/>
      <c r="AH981" s="213"/>
      <c r="AI981" s="213"/>
      <c r="AJ981" s="213"/>
      <c r="AK981" s="213"/>
      <c r="AL981" s="213"/>
      <c r="AM981" s="213"/>
      <c r="AN981" s="213"/>
      <c r="AO981" s="213"/>
      <c r="AP981" s="213" t="str">
        <f>IFERROR(__xludf.DUMMYFUNCTION("""COMPUTED_VALUE"""),"SEBASTIAN")</f>
        <v>SEBASTIAN</v>
      </c>
      <c r="AQ981" s="213"/>
      <c r="AR981" s="213"/>
      <c r="AS981" s="213"/>
      <c r="AT981" s="213"/>
      <c r="AU981" s="213"/>
      <c r="AV981" s="213"/>
      <c r="AW981" s="213"/>
      <c r="AX981" s="213"/>
      <c r="AY981" s="213"/>
      <c r="AZ981" s="213"/>
      <c r="BA981" s="213"/>
      <c r="BB981" s="213"/>
      <c r="BC981" s="213"/>
      <c r="BD981" s="213"/>
    </row>
    <row r="982">
      <c r="A982" s="213">
        <f>IFERROR(__xludf.DUMMYFUNCTION("""COMPUTED_VALUE"""),959.0)</f>
        <v>959</v>
      </c>
      <c r="B982" s="213" t="str">
        <f>IFERROR(__xludf.DUMMYFUNCTION("""COMPUTED_VALUE"""),"FRANCISCO IRAZOLA")</f>
        <v>FRANCISCO IRAZOLA</v>
      </c>
      <c r="C982" s="213" t="str">
        <f>IFERROR(__xludf.DUMMYFUNCTION("""COMPUTED_VALUE"""),"TALLER SFT DE MECÁNICA AUTOMOTRIZ")</f>
        <v>TALLER SFT DE MECÁNICA AUTOMOTRIZ</v>
      </c>
      <c r="D982" s="213" t="str">
        <f>IFERROR(__xludf.DUMMYFUNCTION("""COMPUTED_VALUE"""),"HERRAMIENTAS")</f>
        <v>HERRAMIENTAS</v>
      </c>
      <c r="E982" s="213" t="str">
        <f>IFERROR(__xludf.DUMMYFUNCTION("""COMPUTED_VALUE"""),"HER-175")</f>
        <v>HER-175</v>
      </c>
      <c r="F982" s="213" t="str">
        <f>IFERROR(__xludf.DUMMYFUNCTION("""COMPUTED_VALUE"""),"HER-175-Y")</f>
        <v>HER-175-Y</v>
      </c>
      <c r="G982" s="213"/>
      <c r="H982" s="213" t="str">
        <f>IFERROR(__xludf.DUMMYFUNCTION("""COMPUTED_VALUE"""),"MAZO DE GOMA")</f>
        <v>MAZO DE GOMA</v>
      </c>
      <c r="I982" s="213" t="str">
        <f>IFERROR(__xludf.DUMMYFUNCTION("""COMPUTED_VALUE"""),"Mazo, mínimo de 20 onzas. Herramienta adecuada para golpear Resistente y durable
Longitud, mínima: 300 mm. Material: Goma")</f>
        <v>Mazo, mínimo de 20 onzas. Herramienta adecuada para golpear Resistente y durable
Longitud, mínima: 300 mm. Material: Goma</v>
      </c>
      <c r="J982" s="213">
        <f>IFERROR(__xludf.DUMMYFUNCTION("""COMPUTED_VALUE"""),3.0)</f>
        <v>3</v>
      </c>
      <c r="K982" s="213" t="str">
        <f>IFERROR(__xludf.DUMMYFUNCTION("""COMPUTED_VALUE"""),"90 DÍAS CALENDARIO")</f>
        <v>90 DÍAS CALENDARIO</v>
      </c>
      <c r="L982" s="213" t="str">
        <f>IFERROR(__xludf.DUMMYFUNCTION("""COMPUTED_VALUE"""),"")</f>
        <v/>
      </c>
      <c r="M982" s="213">
        <f>IFERROR(__xludf.DUMMYFUNCTION("""COMPUTED_VALUE"""),1.0)</f>
        <v>1</v>
      </c>
      <c r="N982" s="213">
        <f>IFERROR(__xludf.DUMMYFUNCTION("""COMPUTED_VALUE"""),1.0)</f>
        <v>1</v>
      </c>
      <c r="O982" s="213">
        <f>IFERROR(__xludf.DUMMYFUNCTION("""COMPUTED_VALUE"""),1.0)</f>
        <v>1</v>
      </c>
      <c r="P982" s="213"/>
      <c r="Q982" s="213"/>
      <c r="R982" s="213" t="str">
        <f>IFERROR(__xludf.DUMMYFUNCTION("""COMPUTED_VALUE"""),"SI")</f>
        <v>SI</v>
      </c>
      <c r="S982" s="213"/>
      <c r="T982" s="213" t="str">
        <f>IFERROR(__xludf.DUMMYFUNCTION("""COMPUTED_VALUE"""),"CONSULTA FINAL")</f>
        <v>CONSULTA FINAL</v>
      </c>
      <c r="U982" s="213" t="str">
        <f>IFERROR(__xludf.DUMMYFUNCTION("""COMPUTED_VALUE"""),"NO")</f>
        <v>NO</v>
      </c>
      <c r="V982" s="213" t="str">
        <f>IFERROR(__xludf.DUMMYFUNCTION("""COMPUTED_VALUE"""),"SUPERA")</f>
        <v>SUPERA</v>
      </c>
      <c r="W982" s="213" t="str">
        <f>IFERROR(__xludf.DUMMYFUNCTION("""COMPUTED_VALUE"""),"DIMENSIONAL")</f>
        <v>DIMENSIONAL</v>
      </c>
      <c r="X982" s="213" t="str">
        <f>IFERROR(__xludf.DUMMYFUNCTION("""COMPUTED_VALUE"""),"LOGAZU")</f>
        <v>LOGAZU</v>
      </c>
      <c r="Y982" s="213" t="str">
        <f>IFERROR(__xludf.DUMMYFUNCTION("""COMPUTED_VALUE"""),"8 Onzas")</f>
        <v>8 Onzas</v>
      </c>
      <c r="Z982" s="215" t="str">
        <f>IFERROR(__xludf.DUMMYFUNCTION("""COMPUTED_VALUE"""),"https://articulo.mercadolibre.cl/MLC-1546742643-lozagu-martillo-de-mazo-de-goma-de-8-oz-mango-de-fibra-de-v-_JM")</f>
        <v>https://articulo.mercadolibre.cl/MLC-1546742643-lozagu-martillo-de-mazo-de-goma-de-8-oz-mango-de-fibra-de-v-_JM</v>
      </c>
      <c r="AA982" s="213" t="str">
        <f>IFERROR(__xludf.DUMMYFUNCTION("""COMPUTED_VALUE"""),"HER-175-Y MAZO DE GOMA - CET")</f>
        <v>HER-175-Y MAZO DE GOMA - CET</v>
      </c>
      <c r="AB982" s="213"/>
      <c r="AC982" s="213"/>
      <c r="AD982" s="213"/>
      <c r="AE982" s="213"/>
      <c r="AF982" s="213"/>
      <c r="AG982" s="213"/>
      <c r="AH982" s="213"/>
      <c r="AI982" s="213"/>
      <c r="AJ982" s="213"/>
      <c r="AK982" s="213"/>
      <c r="AL982" s="213"/>
      <c r="AM982" s="213"/>
      <c r="AN982" s="213"/>
      <c r="AO982" s="213"/>
      <c r="AP982" s="213" t="str">
        <f>IFERROR(__xludf.DUMMYFUNCTION("""COMPUTED_VALUE"""),"SEBASTIAN")</f>
        <v>SEBASTIAN</v>
      </c>
      <c r="AQ982" s="213"/>
      <c r="AR982" s="213"/>
      <c r="AS982" s="213"/>
      <c r="AT982" s="213"/>
      <c r="AU982" s="213"/>
      <c r="AV982" s="213"/>
      <c r="AW982" s="213"/>
      <c r="AX982" s="213"/>
      <c r="AY982" s="213"/>
      <c r="AZ982" s="213"/>
      <c r="BA982" s="213"/>
      <c r="BB982" s="213"/>
      <c r="BC982" s="213"/>
      <c r="BD982" s="213"/>
    </row>
    <row r="983">
      <c r="A983" s="213">
        <f>IFERROR(__xludf.DUMMYFUNCTION("""COMPUTED_VALUE"""),1560.0)</f>
        <v>1560</v>
      </c>
      <c r="B983" s="213" t="str">
        <f>IFERROR(__xludf.DUMMYFUNCTION("""COMPUTED_VALUE"""),"GUILLERMO E. BILLINGHURST ")</f>
        <v>GUILLERMO E. BILLINGHURST </v>
      </c>
      <c r="C983" s="213" t="str">
        <f>IFERROR(__xludf.DUMMYFUNCTION("""COMPUTED_VALUE"""),"TALLER SFT DE MECÁNICA AUTOMOTRIZ")</f>
        <v>TALLER SFT DE MECÁNICA AUTOMOTRIZ</v>
      </c>
      <c r="D983" s="213" t="str">
        <f>IFERROR(__xludf.DUMMYFUNCTION("""COMPUTED_VALUE"""),"HERRAMIENTAS")</f>
        <v>HERRAMIENTAS</v>
      </c>
      <c r="E983" s="213" t="str">
        <f>IFERROR(__xludf.DUMMYFUNCTION("""COMPUTED_VALUE"""),"HER-175")</f>
        <v>HER-175</v>
      </c>
      <c r="F983" s="213" t="str">
        <f>IFERROR(__xludf.DUMMYFUNCTION("""COMPUTED_VALUE"""),"HER-175-Y")</f>
        <v>HER-175-Y</v>
      </c>
      <c r="G983" s="213"/>
      <c r="H983" s="213" t="str">
        <f>IFERROR(__xludf.DUMMYFUNCTION("""COMPUTED_VALUE"""),"MAZO DE GOMA")</f>
        <v>MAZO DE GOMA</v>
      </c>
      <c r="I983" s="213" t="str">
        <f>IFERROR(__xludf.DUMMYFUNCTION("""COMPUTED_VALUE"""),"Mazo, mínimo de 20 onzas. Herramienta adecuada para golpear Resistente y durable
Longitud, mínima: 300 mm. Material: Goma")</f>
        <v>Mazo, mínimo de 20 onzas. Herramienta adecuada para golpear Resistente y durable
Longitud, mínima: 300 mm. Material: Goma</v>
      </c>
      <c r="J983" s="213">
        <f>IFERROR(__xludf.DUMMYFUNCTION("""COMPUTED_VALUE"""),3.0)</f>
        <v>3</v>
      </c>
      <c r="K983" s="213" t="str">
        <f>IFERROR(__xludf.DUMMYFUNCTION("""COMPUTED_VALUE"""),"90 DÍAS CALENDARIO")</f>
        <v>90 DÍAS CALENDARIO</v>
      </c>
      <c r="L983" s="213" t="str">
        <f>IFERROR(__xludf.DUMMYFUNCTION("""COMPUTED_VALUE"""),"")</f>
        <v/>
      </c>
      <c r="M983" s="213">
        <f>IFERROR(__xludf.DUMMYFUNCTION("""COMPUTED_VALUE"""),1.0)</f>
        <v>1</v>
      </c>
      <c r="N983" s="213">
        <f>IFERROR(__xludf.DUMMYFUNCTION("""COMPUTED_VALUE"""),1.0)</f>
        <v>1</v>
      </c>
      <c r="O983" s="213">
        <f>IFERROR(__xludf.DUMMYFUNCTION("""COMPUTED_VALUE"""),1.0)</f>
        <v>1</v>
      </c>
      <c r="P983" s="213"/>
      <c r="Q983" s="213"/>
      <c r="R983" s="213" t="str">
        <f>IFERROR(__xludf.DUMMYFUNCTION("""COMPUTED_VALUE"""),"SI")</f>
        <v>SI</v>
      </c>
      <c r="S983" s="213"/>
      <c r="T983" s="213" t="str">
        <f>IFERROR(__xludf.DUMMYFUNCTION("""COMPUTED_VALUE"""),"CONSULTA FINAL")</f>
        <v>CONSULTA FINAL</v>
      </c>
      <c r="U983" s="213" t="str">
        <f>IFERROR(__xludf.DUMMYFUNCTION("""COMPUTED_VALUE"""),"NO")</f>
        <v>NO</v>
      </c>
      <c r="V983" s="213" t="str">
        <f>IFERROR(__xludf.DUMMYFUNCTION("""COMPUTED_VALUE"""),"SUPERA")</f>
        <v>SUPERA</v>
      </c>
      <c r="W983" s="213" t="str">
        <f>IFERROR(__xludf.DUMMYFUNCTION("""COMPUTED_VALUE"""),"DIMENSIONAL")</f>
        <v>DIMENSIONAL</v>
      </c>
      <c r="X983" s="213" t="str">
        <f>IFERROR(__xludf.DUMMYFUNCTION("""COMPUTED_VALUE"""),"LOGAZU")</f>
        <v>LOGAZU</v>
      </c>
      <c r="Y983" s="213" t="str">
        <f>IFERROR(__xludf.DUMMYFUNCTION("""COMPUTED_VALUE"""),"8 Onzas")</f>
        <v>8 Onzas</v>
      </c>
      <c r="Z983" s="215" t="str">
        <f>IFERROR(__xludf.DUMMYFUNCTION("""COMPUTED_VALUE"""),"https://articulo.mercadolibre.cl/MLC-1546742643-lozagu-martillo-de-mazo-de-goma-de-8-oz-mango-de-fibra-de-v-_JM")</f>
        <v>https://articulo.mercadolibre.cl/MLC-1546742643-lozagu-martillo-de-mazo-de-goma-de-8-oz-mango-de-fibra-de-v-_JM</v>
      </c>
      <c r="AA983" s="213" t="str">
        <f>IFERROR(__xludf.DUMMYFUNCTION("""COMPUTED_VALUE"""),"HER-175-Y MAZO DE GOMA - CET")</f>
        <v>HER-175-Y MAZO DE GOMA - CET</v>
      </c>
      <c r="AB983" s="213"/>
      <c r="AC983" s="213"/>
      <c r="AD983" s="213"/>
      <c r="AE983" s="213"/>
      <c r="AF983" s="213"/>
      <c r="AG983" s="213"/>
      <c r="AH983" s="213"/>
      <c r="AI983" s="213"/>
      <c r="AJ983" s="213"/>
      <c r="AK983" s="213"/>
      <c r="AL983" s="213"/>
      <c r="AM983" s="213"/>
      <c r="AN983" s="213"/>
      <c r="AO983" s="213"/>
      <c r="AP983" s="213" t="str">
        <f>IFERROR(__xludf.DUMMYFUNCTION("""COMPUTED_VALUE"""),"SEBASTIAN")</f>
        <v>SEBASTIAN</v>
      </c>
      <c r="AQ983" s="213"/>
      <c r="AR983" s="213"/>
      <c r="AS983" s="213"/>
      <c r="AT983" s="213"/>
      <c r="AU983" s="213"/>
      <c r="AV983" s="213"/>
      <c r="AW983" s="213"/>
      <c r="AX983" s="213"/>
      <c r="AY983" s="213"/>
      <c r="AZ983" s="213"/>
      <c r="BA983" s="213"/>
      <c r="BB983" s="213"/>
      <c r="BC983" s="213"/>
      <c r="BD983" s="213"/>
    </row>
    <row r="984">
      <c r="A984" s="213">
        <f>IFERROR(__xludf.DUMMYFUNCTION("""COMPUTED_VALUE"""),2252.0)</f>
        <v>2252</v>
      </c>
      <c r="B984" s="213" t="str">
        <f>IFERROR(__xludf.DUMMYFUNCTION("""COMPUTED_VALUE"""),"JOSE GRANDA")</f>
        <v>JOSE GRANDA</v>
      </c>
      <c r="C984" s="213" t="str">
        <f>IFERROR(__xludf.DUMMYFUNCTION("""COMPUTED_VALUE"""),"TALLER SFT DE MECÁNICA AUTOMOTRIZ")</f>
        <v>TALLER SFT DE MECÁNICA AUTOMOTRIZ</v>
      </c>
      <c r="D984" s="213" t="str">
        <f>IFERROR(__xludf.DUMMYFUNCTION("""COMPUTED_VALUE"""),"HERRAMIENTAS")</f>
        <v>HERRAMIENTAS</v>
      </c>
      <c r="E984" s="213" t="str">
        <f>IFERROR(__xludf.DUMMYFUNCTION("""COMPUTED_VALUE"""),"HER-175")</f>
        <v>HER-175</v>
      </c>
      <c r="F984" s="213" t="str">
        <f>IFERROR(__xludf.DUMMYFUNCTION("""COMPUTED_VALUE"""),"HER-175-Y")</f>
        <v>HER-175-Y</v>
      </c>
      <c r="G984" s="213"/>
      <c r="H984" s="213" t="str">
        <f>IFERROR(__xludf.DUMMYFUNCTION("""COMPUTED_VALUE"""),"MAZO DE GOMA")</f>
        <v>MAZO DE GOMA</v>
      </c>
      <c r="I984" s="213" t="str">
        <f>IFERROR(__xludf.DUMMYFUNCTION("""COMPUTED_VALUE"""),"Mazo, mínimo de 20 onzas. Herramienta adecuada para golpear Resistente y durable
Longitud, mínima: 300 mm. Material: Goma")</f>
        <v>Mazo, mínimo de 20 onzas. Herramienta adecuada para golpear Resistente y durable
Longitud, mínima: 300 mm. Material: Goma</v>
      </c>
      <c r="J984" s="213">
        <f>IFERROR(__xludf.DUMMYFUNCTION("""COMPUTED_VALUE"""),3.0)</f>
        <v>3</v>
      </c>
      <c r="K984" s="213" t="str">
        <f>IFERROR(__xludf.DUMMYFUNCTION("""COMPUTED_VALUE"""),"90 DÍAS CALENDARIO")</f>
        <v>90 DÍAS CALENDARIO</v>
      </c>
      <c r="L984" s="213" t="str">
        <f>IFERROR(__xludf.DUMMYFUNCTION("""COMPUTED_VALUE"""),"")</f>
        <v/>
      </c>
      <c r="M984" s="213">
        <f>IFERROR(__xludf.DUMMYFUNCTION("""COMPUTED_VALUE"""),1.0)</f>
        <v>1</v>
      </c>
      <c r="N984" s="213">
        <f>IFERROR(__xludf.DUMMYFUNCTION("""COMPUTED_VALUE"""),1.0)</f>
        <v>1</v>
      </c>
      <c r="O984" s="213">
        <f>IFERROR(__xludf.DUMMYFUNCTION("""COMPUTED_VALUE"""),1.0)</f>
        <v>1</v>
      </c>
      <c r="P984" s="213"/>
      <c r="Q984" s="213"/>
      <c r="R984" s="213" t="str">
        <f>IFERROR(__xludf.DUMMYFUNCTION("""COMPUTED_VALUE"""),"SI")</f>
        <v>SI</v>
      </c>
      <c r="S984" s="213"/>
      <c r="T984" s="213" t="str">
        <f>IFERROR(__xludf.DUMMYFUNCTION("""COMPUTED_VALUE"""),"CONSULTA FINAL")</f>
        <v>CONSULTA FINAL</v>
      </c>
      <c r="U984" s="213" t="str">
        <f>IFERROR(__xludf.DUMMYFUNCTION("""COMPUTED_VALUE"""),"NO")</f>
        <v>NO</v>
      </c>
      <c r="V984" s="213" t="str">
        <f>IFERROR(__xludf.DUMMYFUNCTION("""COMPUTED_VALUE"""),"SUPERA")</f>
        <v>SUPERA</v>
      </c>
      <c r="W984" s="213" t="str">
        <f>IFERROR(__xludf.DUMMYFUNCTION("""COMPUTED_VALUE"""),"DIMENSIONAL")</f>
        <v>DIMENSIONAL</v>
      </c>
      <c r="X984" s="213" t="str">
        <f>IFERROR(__xludf.DUMMYFUNCTION("""COMPUTED_VALUE"""),"LOGAZU")</f>
        <v>LOGAZU</v>
      </c>
      <c r="Y984" s="213" t="str">
        <f>IFERROR(__xludf.DUMMYFUNCTION("""COMPUTED_VALUE"""),"8 Onzas")</f>
        <v>8 Onzas</v>
      </c>
      <c r="Z984" s="215" t="str">
        <f>IFERROR(__xludf.DUMMYFUNCTION("""COMPUTED_VALUE"""),"https://articulo.mercadolibre.cl/MLC-1546742643-lozagu-martillo-de-mazo-de-goma-de-8-oz-mango-de-fibra-de-v-_JM")</f>
        <v>https://articulo.mercadolibre.cl/MLC-1546742643-lozagu-martillo-de-mazo-de-goma-de-8-oz-mango-de-fibra-de-v-_JM</v>
      </c>
      <c r="AA984" s="213" t="str">
        <f>IFERROR(__xludf.DUMMYFUNCTION("""COMPUTED_VALUE"""),"HER-175-Y MAZO DE GOMA - CET")</f>
        <v>HER-175-Y MAZO DE GOMA - CET</v>
      </c>
      <c r="AB984" s="213"/>
      <c r="AC984" s="213"/>
      <c r="AD984" s="213"/>
      <c r="AE984" s="213"/>
      <c r="AF984" s="213"/>
      <c r="AG984" s="213"/>
      <c r="AH984" s="213"/>
      <c r="AI984" s="213"/>
      <c r="AJ984" s="213"/>
      <c r="AK984" s="213"/>
      <c r="AL984" s="213"/>
      <c r="AM984" s="213"/>
      <c r="AN984" s="213"/>
      <c r="AO984" s="213"/>
      <c r="AP984" s="213" t="str">
        <f>IFERROR(__xludf.DUMMYFUNCTION("""COMPUTED_VALUE"""),"SEBASTIAN")</f>
        <v>SEBASTIAN</v>
      </c>
      <c r="AQ984" s="213"/>
      <c r="AR984" s="213"/>
      <c r="AS984" s="213"/>
      <c r="AT984" s="213"/>
      <c r="AU984" s="213"/>
      <c r="AV984" s="213"/>
      <c r="AW984" s="213"/>
      <c r="AX984" s="213"/>
      <c r="AY984" s="213"/>
      <c r="AZ984" s="213"/>
      <c r="BA984" s="213"/>
      <c r="BB984" s="213"/>
      <c r="BC984" s="213"/>
      <c r="BD984" s="213"/>
    </row>
    <row r="985">
      <c r="A985" s="213">
        <f>IFERROR(__xludf.DUMMYFUNCTION("""COMPUTED_VALUE"""),268.0)</f>
        <v>268</v>
      </c>
      <c r="B985" s="213" t="str">
        <f>IFERROR(__xludf.DUMMYFUNCTION("""COMPUTED_VALUE"""),"2026 SIMON BOLIVAR")</f>
        <v>2026 SIMON BOLIVAR</v>
      </c>
      <c r="C985" s="213" t="str">
        <f>IFERROR(__xludf.DUMMYFUNCTION("""COMPUTED_VALUE"""),"TALLER SFT DE COMPUTACIÓN E INFORMÁTICA")</f>
        <v>TALLER SFT DE COMPUTACIÓN E INFORMÁTICA</v>
      </c>
      <c r="D985" s="213" t="str">
        <f>IFERROR(__xludf.DUMMYFUNCTION("""COMPUTED_VALUE"""),"HERRAMIENTAS")</f>
        <v>HERRAMIENTAS</v>
      </c>
      <c r="E985" s="213" t="str">
        <f>IFERROR(__xludf.DUMMYFUNCTION("""COMPUTED_VALUE"""),"HER-179")</f>
        <v>HER-179</v>
      </c>
      <c r="F985" s="213" t="str">
        <f>IFERROR(__xludf.DUMMYFUNCTION("""COMPUTED_VALUE"""),"HER-179")</f>
        <v>HER-179</v>
      </c>
      <c r="G985" s="213"/>
      <c r="H985" s="213" t="str">
        <f>IFERROR(__xludf.DUMMYFUNCTION("""COMPUTED_VALUE"""),"PELA CABLE UNIVERSAL")</f>
        <v>PELA CABLE UNIVERSAL</v>
      </c>
      <c r="I985" s="213" t="str">
        <f>IFERROR(__xludf.DUMMYFUNCTION("""COMPUTED_VALUE"""),"·  Desforrador de cable con cuchilla
·  Para  cortar y desforrar cables de pares trenzados, cables coaxiales, telefónicos planos y redondos
·  Diámetro máximo de tubería 12 mm
·  Diámetro mínimo de tubería 6 mm
·  Cuenta con los tipos de cables marcados e"&amp;"n el mango para poder identificarlos con toda facilidad.")</f>
        <v>·  Desforrador de cable con cuchilla
·  Para  cortar y desforrar cables de pares trenzados, cables coaxiales, telefónicos planos y redondos
·  Diámetro máximo de tubería 12 mm
·  Diámetro mínimo de tubería 6 mm
·  Cuenta con los tipos de cables marcados en el mango para poder identificarlos con toda facilidad.</v>
      </c>
      <c r="J985" s="213">
        <f>IFERROR(__xludf.DUMMYFUNCTION("""COMPUTED_VALUE"""),3.0)</f>
        <v>3</v>
      </c>
      <c r="K985" s="213" t="str">
        <f>IFERROR(__xludf.DUMMYFUNCTION("""COMPUTED_VALUE"""),"90 DÍAS CALENDARIO")</f>
        <v>90 DÍAS CALENDARIO</v>
      </c>
      <c r="L985" s="213" t="str">
        <f>IFERROR(__xludf.DUMMYFUNCTION("""COMPUTED_VALUE"""),"")</f>
        <v/>
      </c>
      <c r="M985" s="213">
        <f>IFERROR(__xludf.DUMMYFUNCTION("""COMPUTED_VALUE"""),1.0)</f>
        <v>1</v>
      </c>
      <c r="N985" s="213">
        <f>IFERROR(__xludf.DUMMYFUNCTION("""COMPUTED_VALUE"""),4.0)</f>
        <v>4</v>
      </c>
      <c r="O985" s="213">
        <f>IFERROR(__xludf.DUMMYFUNCTION("""COMPUTED_VALUE"""),4.0)</f>
        <v>4</v>
      </c>
      <c r="P985" s="213"/>
      <c r="Q985" s="213"/>
      <c r="R985" s="213" t="str">
        <f>IFERROR(__xludf.DUMMYFUNCTION("""COMPUTED_VALUE"""),"SI")</f>
        <v>SI</v>
      </c>
      <c r="S985" s="213"/>
      <c r="T985" s="213" t="str">
        <f>IFERROR(__xludf.DUMMYFUNCTION("""COMPUTED_VALUE"""),"SI")</f>
        <v>SI</v>
      </c>
      <c r="U985" s="213" t="str">
        <f>IFERROR(__xludf.DUMMYFUNCTION("""COMPUTED_VALUE"""),"SI")</f>
        <v>SI</v>
      </c>
      <c r="V985" s="213" t="str">
        <f>IFERROR(__xludf.DUMMYFUNCTION("""COMPUTED_VALUE"""),"-")</f>
        <v>-</v>
      </c>
      <c r="W985" s="213" t="str">
        <f>IFERROR(__xludf.DUMMYFUNCTION("""COMPUTED_VALUE"""),"-")</f>
        <v>-</v>
      </c>
      <c r="X985" s="213" t="str">
        <f>IFERROR(__xludf.DUMMYFUNCTION("""COMPUTED_VALUE"""),"NEXXT")</f>
        <v>NEXXT</v>
      </c>
      <c r="Y985" s="213" t="str">
        <f>IFERROR(__xludf.DUMMYFUNCTION("""COMPUTED_VALUE"""),"AW250NXT09")</f>
        <v>AW250NXT09</v>
      </c>
      <c r="Z985" s="215" t="str">
        <f>IFERROR(__xludf.DUMMYFUNCTION("""COMPUTED_VALUE"""),"https://drive.google.com/file/d/18MigtMJJDfa63y6AOD4e5URhXJ9SfIjS/view")</f>
        <v>https://drive.google.com/file/d/18MigtMJJDfa63y6AOD4e5URhXJ9SfIjS/view</v>
      </c>
      <c r="AA985" s="213" t="str">
        <f>IFERROR(__xludf.DUMMYFUNCTION("""COMPUTED_VALUE"""),"HER-179 PELA CABLE UNIVERSAL - CET")</f>
        <v>HER-179 PELA CABLE UNIVERSAL - CET</v>
      </c>
      <c r="AB985" s="213"/>
      <c r="AC985" s="213"/>
      <c r="AD985" s="213"/>
      <c r="AE985" s="213"/>
      <c r="AF985" s="213"/>
      <c r="AG985" s="213"/>
      <c r="AH985" s="213"/>
      <c r="AI985" s="213"/>
      <c r="AJ985" s="213"/>
      <c r="AK985" s="213"/>
      <c r="AL985" s="213"/>
      <c r="AM985" s="213"/>
      <c r="AN985" s="213"/>
      <c r="AO985" s="213"/>
      <c r="AP985" s="213" t="str">
        <f>IFERROR(__xludf.DUMMYFUNCTION("""COMPUTED_VALUE"""),"LUIS")</f>
        <v>LUIS</v>
      </c>
      <c r="AQ985" s="213"/>
      <c r="AR985" s="213"/>
      <c r="AS985" s="213"/>
      <c r="AT985" s="213"/>
      <c r="AU985" s="213"/>
      <c r="AV985" s="213"/>
      <c r="AW985" s="213"/>
      <c r="AX985" s="213"/>
      <c r="AY985" s="213"/>
      <c r="AZ985" s="213"/>
      <c r="BA985" s="213"/>
      <c r="BB985" s="213"/>
      <c r="BC985" s="213"/>
      <c r="BD985" s="213"/>
    </row>
    <row r="986">
      <c r="A986" s="213">
        <f>IFERROR(__xludf.DUMMYFUNCTION("""COMPUTED_VALUE"""),775.0)</f>
        <v>775</v>
      </c>
      <c r="B986" s="213" t="str">
        <f>IFERROR(__xludf.DUMMYFUNCTION("""COMPUTED_VALUE"""),"6049 RICARDO PALMA")</f>
        <v>6049 RICARDO PALMA</v>
      </c>
      <c r="C986" s="213" t="str">
        <f>IFERROR(__xludf.DUMMYFUNCTION("""COMPUTED_VALUE"""),"TALLER SFT DE COMPUTACIÓN E INFORMÁTICA")</f>
        <v>TALLER SFT DE COMPUTACIÓN E INFORMÁTICA</v>
      </c>
      <c r="D986" s="213" t="str">
        <f>IFERROR(__xludf.DUMMYFUNCTION("""COMPUTED_VALUE"""),"PEDAGOGICO")</f>
        <v>PEDAGOGICO</v>
      </c>
      <c r="E986" s="213" t="str">
        <f>IFERROR(__xludf.DUMMYFUNCTION("""COMPUTED_VALUE"""),"MAT-164")</f>
        <v>MAT-164</v>
      </c>
      <c r="F986" s="213" t="str">
        <f>IFERROR(__xludf.DUMMYFUNCTION("""COMPUTED_VALUE"""),"MAT-164-Y-2")</f>
        <v>MAT-164-Y-2</v>
      </c>
      <c r="G986" s="213"/>
      <c r="H986" s="213" t="str">
        <f>IFERROR(__xludf.DUMMYFUNCTION("""COMPUTED_VALUE"""),"JUEGO DE FICHAS PARA EL APRENDIZAJE DE LA SEÑALÉTICA Y SÍMBOLOS DE SEGURIDAD PARA EL TALLER")</f>
        <v>JUEGO DE FICHAS PARA EL APRENDIZAJE DE LA SEÑALÉTICA Y SÍMBOLOS DE SEGURIDAD PARA EL TALLER</v>
      </c>
      <c r="I986"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am"&amp;"bos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986" s="213">
        <f>IFERROR(__xludf.DUMMYFUNCTION("""COMPUTED_VALUE"""),3.0)</f>
        <v>3</v>
      </c>
      <c r="K986" s="213" t="str">
        <f>IFERROR(__xludf.DUMMYFUNCTION("""COMPUTED_VALUE"""),"90 DÍAS CALENDARIO")</f>
        <v>90 DÍAS CALENDARIO</v>
      </c>
      <c r="L986" s="213" t="str">
        <f>IFERROR(__xludf.DUMMYFUNCTION("""COMPUTED_VALUE"""),"")</f>
        <v/>
      </c>
      <c r="M986" s="213">
        <f>IFERROR(__xludf.DUMMYFUNCTION("""COMPUTED_VALUE"""),1.0)</f>
        <v>1</v>
      </c>
      <c r="N986" s="213">
        <f>IFERROR(__xludf.DUMMYFUNCTION("""COMPUTED_VALUE"""),1.0)</f>
        <v>1</v>
      </c>
      <c r="O986" s="213">
        <f>IFERROR(__xludf.DUMMYFUNCTION("""COMPUTED_VALUE"""),1.0)</f>
        <v>1</v>
      </c>
      <c r="P986" s="213"/>
      <c r="Q986" s="213"/>
      <c r="R986" s="213"/>
      <c r="S986" s="213"/>
      <c r="T986" s="213"/>
      <c r="U986" s="213"/>
      <c r="V986" s="213"/>
      <c r="W986" s="213"/>
      <c r="X986" s="213"/>
      <c r="Y986" s="213"/>
      <c r="Z986" s="213"/>
      <c r="AA986" s="213"/>
      <c r="AB986" s="213"/>
      <c r="AC986" s="213"/>
      <c r="AD986" s="213"/>
      <c r="AE986" s="213"/>
      <c r="AF986" s="213"/>
      <c r="AG986" s="213"/>
      <c r="AH986" s="213"/>
      <c r="AI986" s="213"/>
      <c r="AJ986" s="213"/>
      <c r="AK986" s="213"/>
      <c r="AL986" s="213"/>
      <c r="AM986" s="213"/>
      <c r="AN986" s="213"/>
      <c r="AO986" s="213"/>
      <c r="AP986" s="213"/>
      <c r="AQ986" s="213"/>
      <c r="AR986" s="213"/>
      <c r="AS986" s="213"/>
      <c r="AT986" s="213"/>
      <c r="AU986" s="213"/>
      <c r="AV986" s="213"/>
      <c r="AW986" s="213"/>
      <c r="AX986" s="213"/>
      <c r="AY986" s="213"/>
      <c r="AZ986" s="213"/>
      <c r="BA986" s="213"/>
      <c r="BB986" s="213"/>
      <c r="BC986" s="213"/>
      <c r="BD986" s="213"/>
    </row>
    <row r="987">
      <c r="A987" s="213">
        <f>IFERROR(__xludf.DUMMYFUNCTION("""COMPUTED_VALUE"""),850.0)</f>
        <v>850</v>
      </c>
      <c r="B987" s="213" t="str">
        <f>IFERROR(__xludf.DUMMYFUNCTION("""COMPUTED_VALUE"""),"6049 RICARDO PALMA")</f>
        <v>6049 RICARDO PALMA</v>
      </c>
      <c r="C987" s="213" t="str">
        <f>IFERROR(__xludf.DUMMYFUNCTION("""COMPUTED_VALUE"""),"TALLER SFT DE ELECTRICIDAD")</f>
        <v>TALLER SFT DE ELECTRICIDAD</v>
      </c>
      <c r="D987" s="213" t="str">
        <f>IFERROR(__xludf.DUMMYFUNCTION("""COMPUTED_VALUE"""),"EQUIPOS")</f>
        <v>EQUIPOS</v>
      </c>
      <c r="E987" s="213" t="str">
        <f>IFERROR(__xludf.DUMMYFUNCTION("""COMPUTED_VALUE"""),"ESP-203")</f>
        <v>ESP-203</v>
      </c>
      <c r="F987" s="213" t="str">
        <f>IFERROR(__xludf.DUMMYFUNCTION("""COMPUTED_VALUE"""),"ESP-203")</f>
        <v>ESP-203</v>
      </c>
      <c r="G987" s="213"/>
      <c r="H987" s="213" t="str">
        <f>IFERROR(__xludf.DUMMYFUNCTION("""COMPUTED_VALUE"""),"KIT DE ESTACIONES DE ENTRENAMIENTO DE INSTALACIONES DE SISTEMAS DE SEGURIDAD")</f>
        <v>KIT DE ESTACIONES DE ENTRENAMIENTO DE INSTALACIONES DE SISTEMAS DE SEGURIDAD</v>
      </c>
      <c r="I987" s="213" t="str">
        <f>IFERROR(__xludf.DUMMYFUNCTION("""COMPUTED_VALUE"""),"· Características del KIT:
El equipo representa un edificio en escala reducida, la estructura metálica está colocada sobre una base móvil con ruedas, que facilita el transporte.
· Características del Kit
Permite aplicar las técnicas de montaje, de ensayo "&amp;"y de verificación de las instalaciones eléctricas inherentes a los edificios civiles de uso residencial y comercial, tal como: realizar mediciones de aislamiento y la impedancia del lazo de avería, caídas de tensión, las pruebas de continuidad y la verifi"&amp;"cación de los dispositivos de protección en instalaciones eléctricas ya cableadas, así como podrán realizar modificaciones y transformaciones en las instalaciones ya existentes.
- Dimensiones aprox: 1300 x 1300 x 1800 mm
- Incluye programa básico para la "&amp;"enseñanza:
- Instalación de iluminación y distribución de la fuerza motriz con contador medidor de energía (kWh)
- Instalación de iluminación de escaleras
- Instalación de intercomunicación
- Instalación de puesta a tierra y equipotencial
- Instalación de"&amp;" antena de TV
- Instalación de distribución telefónica
- Instalación de alarma con detector de gas y óxido de carbono
- Instalación de detección de antirrobo
· Principales componentes que debe contener el Kit como minimo:
1 contador de energía monofásica "&amp;"/ 1 central con 2 interruptores diferenciales y 3 interruptores  automáticos termomagnéticos / 1 central de antena con repartidor de 4 salidas y 7 tomas de TV / 1 fuente de alimentación de intercomunicación con conmutador / 1 portero + intercomunicador co"&amp;"n 2 pulsadores / 4 conexiones de tierra con resistencia de 1Ω y bornes / 1 central antirrobo de 2 zonas / 12 tomacorrientes de 220 V / 3 timbres / 1 detector electrónico de humo / calor / 1 detector de presencia de infrarrojos / 1 intercomunicador de pare"&amp;"d que comunica con un puesto externo y un puesto interno / 1 detector de fugas de gas / 1 microcontacto para antirrobo / 1 lámpara halógena de baja tensión / 6 lámparas incandescentes
/ 1 detector de presencia de microondas / 3 lámparas piloto (simulación"&amp;" de bombas de las zonas de calefacción) / 1 electroválvula de bloqueo del gas / Manual de uso del Kit de Estaciones de Entrenamiento de Sistemas de Seguridad.")</f>
        <v>· Características del KIT:
El equipo representa un edificio en escala reducida, la estructura metálica está colocada sobre una base móvil con ruedas, que facilita el transporte.
· Características del Kit
Permite aplicar las técnicas de montaje, de ensayo y de verificación de las instalaciones eléctricas inherentes a los edificios civiles de uso residencial y comercial, tal como: realizar mediciones de aislamiento y la impedancia del lazo de avería, caídas de tensión, las pruebas de continuidad y la verificación de los dispositivos de protección en instalaciones eléctricas ya cableadas, así como podrán realizar modificaciones y transformaciones en las instalaciones ya existentes.
- Dimensiones aprox: 1300 x 1300 x 1800 mm
- Incluye programa básico para la enseñanza:
- Instalación de iluminación y distribución de la fuerza motriz con contador medidor de energía (kWh)
- Instalación de iluminación de escaleras
- Instalación de intercomunicación
- Instalación de puesta a tierra y equipotencial
- Instalación de antena de TV
- Instalación de distribución telefónica
- Instalación de alarma con detector de gas y óxido de carbono
- Instalación de detección de antirrobo
· Principales componentes que debe contener el Kit como minimo:
1 contador de energía monofásica / 1 central con 2 interruptores diferenciales y 3 interruptores  automáticos termomagnéticos / 1 central de antena con repartidor de 4 salidas y 7 tomas de TV / 1 fuente de alimentación de intercomunicación con conmutador / 1 portero + intercomunicador con 2 pulsadores / 4 conexiones de tierra con resistencia de 1Ω y bornes / 1 central antirrobo de 2 zonas / 12 tomacorrientes de 220 V / 3 timbres / 1 detector electrónico de humo / calor / 1 detector de presencia de infrarrojos / 1 intercomunicador de pared que comunica con un puesto externo y un puesto interno / 1 detector de fugas de gas / 1 microcontacto para antirrobo / 1 lámpara halógena de baja tensión / 6 lámparas incandescentes
/ 1 detector de presencia de microondas / 3 lámparas piloto (simulación de bombas de las zonas de calefacción) / 1 electroválvula de bloqueo del gas / Manual de uso del Kit de Estaciones de Entrenamiento de Sistemas de Seguridad.</v>
      </c>
      <c r="J987" s="213">
        <f>IFERROR(__xludf.DUMMYFUNCTION("""COMPUTED_VALUE"""),3.0)</f>
        <v>3</v>
      </c>
      <c r="K987" s="213" t="str">
        <f>IFERROR(__xludf.DUMMYFUNCTION("""COMPUTED_VALUE"""),"170 DÍAS CALENDARIO")</f>
        <v>170 DÍAS CALENDARIO</v>
      </c>
      <c r="L987" s="213" t="str">
        <f>IFERROR(__xludf.DUMMYFUNCTION("""COMPUTED_VALUE"""),"")</f>
        <v/>
      </c>
      <c r="M987" s="213">
        <f>IFERROR(__xludf.DUMMYFUNCTION("""COMPUTED_VALUE"""),1.0)</f>
        <v>1</v>
      </c>
      <c r="N987" s="213">
        <f>IFERROR(__xludf.DUMMYFUNCTION("""COMPUTED_VALUE"""),4.0)</f>
        <v>4</v>
      </c>
      <c r="O987" s="213">
        <f>IFERROR(__xludf.DUMMYFUNCTION("""COMPUTED_VALUE"""),4.0)</f>
        <v>4</v>
      </c>
      <c r="P987" s="213"/>
      <c r="Q987" s="213"/>
      <c r="R987" s="213"/>
      <c r="S987" s="213" t="str">
        <f>IFERROR(__xludf.DUMMYFUNCTION("""COMPUTED_VALUE"""),"SI")</f>
        <v>SI</v>
      </c>
      <c r="T987" s="213" t="str">
        <f>IFERROR(__xludf.DUMMYFUNCTION("""COMPUTED_VALUE"""),"SI")</f>
        <v>SI</v>
      </c>
      <c r="U987" s="213" t="str">
        <f>IFERROR(__xludf.DUMMYFUNCTION("""COMPUTED_VALUE"""),"SI")</f>
        <v>SI</v>
      </c>
      <c r="V987" s="213" t="str">
        <f>IFERROR(__xludf.DUMMYFUNCTION("""COMPUTED_VALUE"""),"-")</f>
        <v>-</v>
      </c>
      <c r="W987" s="213" t="str">
        <f>IFERROR(__xludf.DUMMYFUNCTION("""COMPUTED_VALUE"""),"-")</f>
        <v>-</v>
      </c>
      <c r="X987" s="213" t="str">
        <f>IFERROR(__xludf.DUMMYFUNCTION("""COMPUTED_VALUE"""),"Shouldshine")</f>
        <v>Shouldshine</v>
      </c>
      <c r="Y987" s="213" t="str">
        <f>IFERROR(__xludf.DUMMYFUNCTION("""COMPUTED_VALUE"""),"TB-230320-V-004")</f>
        <v>TB-230320-V-004</v>
      </c>
      <c r="Z987" s="215" t="str">
        <f>IFERROR(__xludf.DUMMYFUNCTION("""COMPUTED_VALUE"""),"https://drive.google.com/file/d/1Gn-fn_WN4ajeI_kpYMAVZmuMvl2aSkHx/view?usp=sharing")</f>
        <v>https://drive.google.com/file/d/1Gn-fn_WN4ajeI_kpYMAVZmuMvl2aSkHx/view?usp=sharing</v>
      </c>
      <c r="AA987" s="213" t="str">
        <f>IFERROR(__xludf.DUMMYFUNCTION("""COMPUTED_VALUE"""),"ESP-203 KIT DE ESTACIONES DE ENTRENAMIENTO DE INSTALACIONES DE SISTEMAS DE SEGURIDAD - CET")</f>
        <v>ESP-203 KIT DE ESTACIONES DE ENTRENAMIENTO DE INSTALACIONES DE SISTEMAS DE SEGURIDAD - CET</v>
      </c>
      <c r="AB987" s="215" t="str">
        <f>IFERROR(__xludf.DUMMYFUNCTION("""COMPUTED_VALUE"""),"https://drive.google.com/file/d/1Gn-fn_WN4ajeI_kpYMAVZmuMvl2aSkHx/view?usp=sharing")</f>
        <v>https://drive.google.com/file/d/1Gn-fn_WN4ajeI_kpYMAVZmuMvl2aSkHx/view?usp=sharing</v>
      </c>
      <c r="AC987" s="213"/>
      <c r="AD987" s="213"/>
      <c r="AE987" s="213"/>
      <c r="AF987" s="213"/>
      <c r="AG987" s="213"/>
      <c r="AH987" s="213"/>
      <c r="AI987" s="213"/>
      <c r="AJ987" s="213"/>
      <c r="AK987" s="213"/>
      <c r="AL987" s="213"/>
      <c r="AM987" s="213"/>
      <c r="AN987" s="213"/>
      <c r="AO987" s="213"/>
      <c r="AP987" s="213" t="str">
        <f>IFERROR(__xludf.DUMMYFUNCTION("""COMPUTED_VALUE"""),"NALDI")</f>
        <v>NALDI</v>
      </c>
      <c r="AQ987" s="213"/>
      <c r="AR987" s="213"/>
      <c r="AS987" s="213"/>
      <c r="AT987" s="213"/>
      <c r="AU987" s="213"/>
      <c r="AV987" s="213"/>
      <c r="AW987" s="213"/>
      <c r="AX987" s="213"/>
      <c r="AY987" s="213"/>
      <c r="AZ987" s="213"/>
      <c r="BA987" s="213"/>
      <c r="BB987" s="213"/>
      <c r="BC987" s="213"/>
      <c r="BD987" s="213"/>
    </row>
    <row r="988">
      <c r="A988" s="213">
        <f>IFERROR(__xludf.DUMMYFUNCTION("""COMPUTED_VALUE"""),625.0)</f>
        <v>625</v>
      </c>
      <c r="B988" s="213" t="str">
        <f>IFERROR(__xludf.DUMMYFUNCTION("""COMPUTED_VALUE"""),"6049 RICARDO PALMA")</f>
        <v>6049 RICARDO PALMA</v>
      </c>
      <c r="C988" s="213" t="str">
        <f>IFERROR(__xludf.DUMMYFUNCTION("""COMPUTED_VALUE"""),"TALLER SFT DE ELECTRÓNICA")</f>
        <v>TALLER SFT DE ELECTRÓNICA</v>
      </c>
      <c r="D988" s="213" t="str">
        <f>IFERROR(__xludf.DUMMYFUNCTION("""COMPUTED_VALUE"""),"PEDAGOGICO")</f>
        <v>PEDAGOGICO</v>
      </c>
      <c r="E988" s="213" t="str">
        <f>IFERROR(__xludf.DUMMYFUNCTION("""COMPUTED_VALUE"""),"MAT-229")</f>
        <v>MAT-229</v>
      </c>
      <c r="F988" s="213" t="str">
        <f>IFERROR(__xludf.DUMMYFUNCTION("""COMPUTED_VALUE"""),"MAT-164-Y-5")</f>
        <v>MAT-164-Y-5</v>
      </c>
      <c r="G988" s="213"/>
      <c r="H988" s="213" t="str">
        <f>IFERROR(__xludf.DUMMYFUNCTION("""COMPUTED_VALUE"""),"JUEGO DE FICHAS PARA EL APRENDIZAJE DE LA SEÑALÉTICA Y SÍMBOLOS DE SEGURIDAD PARA EL TALLER")</f>
        <v>JUEGO DE FICHAS PARA EL APRENDIZAJE DE LA SEÑALÉTICA Y SÍMBOLOS DE SEGURIDAD PARA EL TALLER</v>
      </c>
      <c r="I988"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"&amp;"5.     Señal de equipo contra incendios - mínimo 02 fichas (o en función a los equipos a instalar). Fichas Tamaño 10 cm x 6 cm
-          Base cartón grueso elaborado en una sola pieza
-          impresas a todo color en papel couche de 350 gr/m2, enmicad"&amp;"os por ambos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988" s="213">
        <f>IFERROR(__xludf.DUMMYFUNCTION("""COMPUTED_VALUE"""),3.0)</f>
        <v>3</v>
      </c>
      <c r="K988" s="213" t="str">
        <f>IFERROR(__xludf.DUMMYFUNCTION("""COMPUTED_VALUE"""),"90 DÍAS CALENDARIO")</f>
        <v>90 DÍAS CALENDARIO</v>
      </c>
      <c r="L988" s="213" t="str">
        <f>IFERROR(__xludf.DUMMYFUNCTION("""COMPUTED_VALUE"""),"")</f>
        <v/>
      </c>
      <c r="M988" s="213">
        <f>IFERROR(__xludf.DUMMYFUNCTION("""COMPUTED_VALUE"""),1.0)</f>
        <v>1</v>
      </c>
      <c r="N988" s="213">
        <f>IFERROR(__xludf.DUMMYFUNCTION("""COMPUTED_VALUE"""),1.0)</f>
        <v>1</v>
      </c>
      <c r="O988" s="213">
        <f>IFERROR(__xludf.DUMMYFUNCTION("""COMPUTED_VALUE"""),1.0)</f>
        <v>1</v>
      </c>
      <c r="P988" s="213"/>
      <c r="Q988" s="213"/>
      <c r="R988" s="213"/>
      <c r="S988" s="213"/>
      <c r="T988" s="213"/>
      <c r="U988" s="213"/>
      <c r="V988" s="213"/>
      <c r="W988" s="213"/>
      <c r="X988" s="213"/>
      <c r="Y988" s="213"/>
      <c r="Z988" s="213"/>
      <c r="AA988" s="213"/>
      <c r="AB988" s="213"/>
      <c r="AC988" s="213"/>
      <c r="AD988" s="213"/>
      <c r="AE988" s="213"/>
      <c r="AF988" s="213"/>
      <c r="AG988" s="213"/>
      <c r="AH988" s="213"/>
      <c r="AI988" s="213"/>
      <c r="AJ988" s="213"/>
      <c r="AK988" s="213"/>
      <c r="AL988" s="213"/>
      <c r="AM988" s="213"/>
      <c r="AN988" s="213"/>
      <c r="AO988" s="213"/>
      <c r="AP988" s="213"/>
      <c r="AQ988" s="213"/>
      <c r="AR988" s="213"/>
      <c r="AS988" s="213"/>
      <c r="AT988" s="213"/>
      <c r="AU988" s="213"/>
      <c r="AV988" s="213"/>
      <c r="AW988" s="213"/>
      <c r="AX988" s="213"/>
      <c r="AY988" s="213"/>
      <c r="AZ988" s="213"/>
      <c r="BA988" s="213"/>
      <c r="BB988" s="213"/>
      <c r="BC988" s="213"/>
      <c r="BD988" s="213"/>
    </row>
    <row r="989">
      <c r="A989" s="213">
        <f>IFERROR(__xludf.DUMMYFUNCTION("""COMPUTED_VALUE"""),2534.0)</f>
        <v>2534</v>
      </c>
      <c r="B989" s="213" t="str">
        <f>IFERROR(__xludf.DUMMYFUNCTION("""COMPUTED_VALUE"""),"MANUEL ANTONIO MESONES MURO")</f>
        <v>MANUEL ANTONIO MESONES MURO</v>
      </c>
      <c r="C989" s="213" t="str">
        <f>IFERROR(__xludf.DUMMYFUNCTION("""COMPUTED_VALUE"""),"TALLER SFT DE CONSTRUCCIONES METÁLICAS")</f>
        <v>TALLER SFT DE CONSTRUCCIONES METÁLICAS</v>
      </c>
      <c r="D989" s="213" t="str">
        <f>IFERROR(__xludf.DUMMYFUNCTION("""COMPUTED_VALUE"""),"EQUIPOS")</f>
        <v>EQUIPOS</v>
      </c>
      <c r="E989" s="213" t="str">
        <f>IFERROR(__xludf.DUMMYFUNCTION("""COMPUTED_VALUE"""),"ESP-202")</f>
        <v>ESP-202</v>
      </c>
      <c r="F989" s="213" t="str">
        <f>IFERROR(__xludf.DUMMYFUNCTION("""COMPUTED_VALUE"""),"ESP-202")</f>
        <v>ESP-202</v>
      </c>
      <c r="G989" s="213"/>
      <c r="H989" s="213" t="str">
        <f>IFERROR(__xludf.DUMMYFUNCTION("""COMPUTED_VALUE"""),"KIT DE EQUIPO OXICORTE")</f>
        <v>KIT DE EQUIPO OXICORTE</v>
      </c>
      <c r="I989" s="213" t="str">
        <f>IFERROR(__xludf.DUMMYFUNCTION("""COMPUTED_VALUE"""),"Contiene:
-       01 caña de soldar 21 válvula check
-       04 boquillas de soldar 1, 2, 3, 5
-       03 boquillas de corte oxígeno/acetileno 3, 4, 5
-       Boquilla de calentador N° 7
-       Manómetro para oxígeno
-       Manómetro para gas
-       01"&amp;" par de bloqueadores para llama
-       6 m de manguera Mellizo ¼” de alta presión color rojo y verde
-       02 abrazaderas de ¼”
-       01 lente de soldar
-       01 chispero
-       01 limpia boquillas
-       01 carro guía
-       01 par de guantes
-"&amp;"       Todo en un maletín")</f>
        <v>Contiene:
-       01 caña de soldar 21 válvula check
-       04 boquillas de soldar 1, 2, 3, 5
-       03 boquillas de corte oxígeno/acetileno 3, 4, 5
-       Boquilla de calentador N° 7
-       Manómetro para oxígeno
-       Manómetro para gas
-       01 par de bloqueadores para llama
-       6 m de manguera Mellizo ¼” de alta presión color rojo y verde
-       02 abrazaderas de ¼”
-       01 lente de soldar
-       01 chispero
-       01 limpia boquillas
-       01 carro guía
-       01 par de guantes
-       Todo en un maletín</v>
      </c>
      <c r="J989" s="213">
        <f>IFERROR(__xludf.DUMMYFUNCTION("""COMPUTED_VALUE"""),3.0)</f>
        <v>3</v>
      </c>
      <c r="K989" s="213" t="str">
        <f>IFERROR(__xludf.DUMMYFUNCTION("""COMPUTED_VALUE"""),"170 DÍAS CALENDARIO")</f>
        <v>170 DÍAS CALENDARIO</v>
      </c>
      <c r="L989" s="213" t="str">
        <f>IFERROR(__xludf.DUMMYFUNCTION("""COMPUTED_VALUE"""),"")</f>
        <v/>
      </c>
      <c r="M989" s="213">
        <f>IFERROR(__xludf.DUMMYFUNCTION("""COMPUTED_VALUE"""),1.0)</f>
        <v>1</v>
      </c>
      <c r="N989" s="213">
        <f>IFERROR(__xludf.DUMMYFUNCTION("""COMPUTED_VALUE"""),1.0)</f>
        <v>1</v>
      </c>
      <c r="O989" s="213">
        <f>IFERROR(__xludf.DUMMYFUNCTION("""COMPUTED_VALUE"""),1.0)</f>
        <v>1</v>
      </c>
      <c r="P989" s="213"/>
      <c r="Q989" s="213"/>
      <c r="R989" s="213"/>
      <c r="S989" s="213" t="str">
        <f>IFERROR(__xludf.DUMMYFUNCTION("""COMPUTED_VALUE"""),"SI")</f>
        <v>SI</v>
      </c>
      <c r="T989" s="213" t="str">
        <f>IFERROR(__xludf.DUMMYFUNCTION("""COMPUTED_VALUE"""),"SI")</f>
        <v>SI</v>
      </c>
      <c r="U989" s="213" t="str">
        <f>IFERROR(__xludf.DUMMYFUNCTION("""COMPUTED_VALUE"""),"SI")</f>
        <v>SI</v>
      </c>
      <c r="V989" s="213" t="str">
        <f>IFERROR(__xludf.DUMMYFUNCTION("""COMPUTED_VALUE"""),"-")</f>
        <v>-</v>
      </c>
      <c r="W989" s="213" t="str">
        <f>IFERROR(__xludf.DUMMYFUNCTION("""COMPUTED_VALUE"""),"-")</f>
        <v>-</v>
      </c>
      <c r="X989" s="213" t="str">
        <f>IFERROR(__xludf.DUMMYFUNCTION("""COMPUTED_VALUE"""),"AGA")</f>
        <v>AGA</v>
      </c>
      <c r="Y989" s="213" t="str">
        <f>IFERROR(__xludf.DUMMYFUNCTION("""COMPUTED_VALUE"""),"EQUIPO OXICORTE X21")</f>
        <v>EQUIPO OXICORTE X21</v>
      </c>
      <c r="Z989" s="215" t="str">
        <f>IFERROR(__xludf.DUMMYFUNCTION("""COMPUTED_VALUE"""),"https://velponperu.com/producto/equipo-oxicorte-x21-aga/")</f>
        <v>https://velponperu.com/producto/equipo-oxicorte-x21-aga/</v>
      </c>
      <c r="AA989" s="213" t="str">
        <f>IFERROR(__xludf.DUMMYFUNCTION("""COMPUTED_VALUE"""),"ESP-202 KIT DE EQUIPO OXICORTE - CET")</f>
        <v>ESP-202 KIT DE EQUIPO OXICORTE - CET</v>
      </c>
      <c r="AB989" s="215" t="str">
        <f>IFERROR(__xludf.DUMMYFUNCTION("""COMPUTED_VALUE"""),"https://drive.google.com/file/d/1tceVVZjpBlU7uTkmaIEzET_0Pbv8OCbi/view?usp=drive_link")</f>
        <v>https://drive.google.com/file/d/1tceVVZjpBlU7uTkmaIEzET_0Pbv8OCbi/view?usp=drive_link</v>
      </c>
      <c r="AC989" s="213"/>
      <c r="AD989" s="213"/>
      <c r="AE989" s="213"/>
      <c r="AF989" s="213"/>
      <c r="AG989" s="213"/>
      <c r="AH989" s="213" t="str">
        <f>IFERROR(__xludf.DUMMYFUNCTION("""COMPUTED_VALUE"""),"NACIONAL")</f>
        <v>NACIONAL</v>
      </c>
      <c r="AI989" s="213"/>
      <c r="AJ989" s="213"/>
      <c r="AK989" s="213"/>
      <c r="AL989" s="213"/>
      <c r="AM989" s="213"/>
      <c r="AN989" s="213"/>
      <c r="AO989" s="213"/>
      <c r="AP989" s="213" t="str">
        <f>IFERROR(__xludf.DUMMYFUNCTION("""COMPUTED_VALUE"""),"NALDI")</f>
        <v>NALDI</v>
      </c>
      <c r="AQ989" s="213"/>
      <c r="AR989" s="213"/>
      <c r="AS989" s="213"/>
      <c r="AT989" s="213"/>
      <c r="AU989" s="213"/>
      <c r="AV989" s="213"/>
      <c r="AW989" s="213"/>
      <c r="AX989" s="213"/>
      <c r="AY989" s="213"/>
      <c r="AZ989" s="213"/>
      <c r="BA989" s="213"/>
      <c r="BB989" s="213"/>
      <c r="BC989" s="213"/>
      <c r="BD989" s="213"/>
    </row>
    <row r="990">
      <c r="A990" s="213">
        <f>IFERROR(__xludf.DUMMYFUNCTION("""COMPUTED_VALUE"""),2553.0)</f>
        <v>2553</v>
      </c>
      <c r="B990" s="213" t="str">
        <f>IFERROR(__xludf.DUMMYFUNCTION("""COMPUTED_VALUE"""),"MANUEL ANTONIO MESONES MURO")</f>
        <v>MANUEL ANTONIO MESONES MURO</v>
      </c>
      <c r="C990" s="213" t="str">
        <f>IFERROR(__xludf.DUMMYFUNCTION("""COMPUTED_VALUE"""),"TALLER SFT DE EBANISTERÍA")</f>
        <v>TALLER SFT DE EBANISTERÍA</v>
      </c>
      <c r="D990" s="213" t="str">
        <f>IFERROR(__xludf.DUMMYFUNCTION("""COMPUTED_VALUE"""),"PEDAGOGICO")</f>
        <v>PEDAGOGICO</v>
      </c>
      <c r="E990" s="213" t="str">
        <f>IFERROR(__xludf.DUMMYFUNCTION("""COMPUTED_VALUE"""),"MAT-164")</f>
        <v>MAT-164</v>
      </c>
      <c r="F990" s="213" t="str">
        <f>IFERROR(__xludf.DUMMYFUNCTION("""COMPUTED_VALUE"""),"MAT-164-Y-4")</f>
        <v>MAT-164-Y-4</v>
      </c>
      <c r="G990" s="213"/>
      <c r="H990" s="213" t="str">
        <f>IFERROR(__xludf.DUMMYFUNCTION("""COMPUTED_VALUE"""),"JUEGO DE FICHAS PARA EL APRENDIZAJE DE LA SEÑALÉTICA Y SÍMBOLOS DE SEGURIDAD PARA EL TALLER")</f>
        <v>JUEGO DE FICHAS PARA EL APRENDIZAJE DE LA SEÑALÉTICA Y SÍMBOLOS DE SEGURIDAD PARA EL TALLER</v>
      </c>
      <c r="I990"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ambos lados y c"&amp;"on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990" s="213">
        <f>IFERROR(__xludf.DUMMYFUNCTION("""COMPUTED_VALUE"""),3.0)</f>
        <v>3</v>
      </c>
      <c r="K990" s="213" t="str">
        <f>IFERROR(__xludf.DUMMYFUNCTION("""COMPUTED_VALUE"""),"90 DÍAS CALENDARIO")</f>
        <v>90 DÍAS CALENDARIO</v>
      </c>
      <c r="L990" s="213" t="str">
        <f>IFERROR(__xludf.DUMMYFUNCTION("""COMPUTED_VALUE"""),"")</f>
        <v/>
      </c>
      <c r="M990" s="213">
        <f>IFERROR(__xludf.DUMMYFUNCTION("""COMPUTED_VALUE"""),1.0)</f>
        <v>1</v>
      </c>
      <c r="N990" s="213">
        <f>IFERROR(__xludf.DUMMYFUNCTION("""COMPUTED_VALUE"""),1.0)</f>
        <v>1</v>
      </c>
      <c r="O990" s="213">
        <f>IFERROR(__xludf.DUMMYFUNCTION("""COMPUTED_VALUE"""),1.0)</f>
        <v>1</v>
      </c>
      <c r="P990" s="213"/>
      <c r="Q990" s="213"/>
      <c r="R990" s="213"/>
      <c r="S990" s="213"/>
      <c r="T990" s="213"/>
      <c r="U990" s="213"/>
      <c r="V990" s="213"/>
      <c r="W990" s="213"/>
      <c r="X990" s="213"/>
      <c r="Y990" s="213"/>
      <c r="Z990" s="213"/>
      <c r="AA990" s="213"/>
      <c r="AB990" s="213"/>
      <c r="AC990" s="213"/>
      <c r="AD990" s="213"/>
      <c r="AE990" s="213"/>
      <c r="AF990" s="213"/>
      <c r="AG990" s="213"/>
      <c r="AH990" s="213"/>
      <c r="AI990" s="213"/>
      <c r="AJ990" s="213"/>
      <c r="AK990" s="213"/>
      <c r="AL990" s="213"/>
      <c r="AM990" s="213"/>
      <c r="AN990" s="213"/>
      <c r="AO990" s="213"/>
      <c r="AP990" s="213"/>
      <c r="AQ990" s="213"/>
      <c r="AR990" s="213"/>
      <c r="AS990" s="213"/>
      <c r="AT990" s="213"/>
      <c r="AU990" s="213"/>
      <c r="AV990" s="213"/>
      <c r="AW990" s="213"/>
      <c r="AX990" s="213"/>
      <c r="AY990" s="213"/>
      <c r="AZ990" s="213"/>
      <c r="BA990" s="213"/>
      <c r="BB990" s="213"/>
      <c r="BC990" s="213"/>
      <c r="BD990" s="213"/>
    </row>
    <row r="991">
      <c r="A991" s="213">
        <f>IFERROR(__xludf.DUMMYFUNCTION("""COMPUTED_VALUE"""),2381.0)</f>
        <v>2381</v>
      </c>
      <c r="B991" s="213" t="str">
        <f>IFERROR(__xludf.DUMMYFUNCTION("""COMPUTED_VALUE"""),"MANUEL ANTONIO MESONES MURO")</f>
        <v>MANUEL ANTONIO MESONES MURO</v>
      </c>
      <c r="C991" s="213" t="str">
        <f>IFERROR(__xludf.DUMMYFUNCTION("""COMPUTED_VALUE"""),"TALLER SFT DE INDUSTRIA DEL VESTIDO")</f>
        <v>TALLER SFT DE INDUSTRIA DEL VESTIDO</v>
      </c>
      <c r="D991" s="213" t="str">
        <f>IFERROR(__xludf.DUMMYFUNCTION("""COMPUTED_VALUE"""),"PEDAGOGICO")</f>
        <v>PEDAGOGICO</v>
      </c>
      <c r="E991" s="213" t="str">
        <f>IFERROR(__xludf.DUMMYFUNCTION("""COMPUTED_VALUE"""),"MAT-164")</f>
        <v>MAT-164</v>
      </c>
      <c r="F991" s="213" t="str">
        <f>IFERROR(__xludf.DUMMYFUNCTION("""COMPUTED_VALUE"""),"MAT-164-Y-6")</f>
        <v>MAT-164-Y-6</v>
      </c>
      <c r="G991" s="213"/>
      <c r="H991" s="213" t="str">
        <f>IFERROR(__xludf.DUMMYFUNCTION("""COMPUTED_VALUE"""),"JUEGO DE FICHAS PARA EL APRENDIZAJE DE LA SEÑALÉTICA Y SÍMBOLOS DE SEGURIDAD PARA EL TALLER")</f>
        <v>JUEGO DE FICHAS PARA EL APRENDIZAJE DE LA SEÑALÉTICA Y SÍMBOLOS DE SEGURIDAD PARA EL TALLER</v>
      </c>
      <c r="I991"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am"&amp;"bos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991" s="213">
        <f>IFERROR(__xludf.DUMMYFUNCTION("""COMPUTED_VALUE"""),3.0)</f>
        <v>3</v>
      </c>
      <c r="K991" s="213" t="str">
        <f>IFERROR(__xludf.DUMMYFUNCTION("""COMPUTED_VALUE"""),"90 DÍAS CALENDARIO")</f>
        <v>90 DÍAS CALENDARIO</v>
      </c>
      <c r="L991" s="213" t="str">
        <f>IFERROR(__xludf.DUMMYFUNCTION("""COMPUTED_VALUE"""),"")</f>
        <v/>
      </c>
      <c r="M991" s="213">
        <f>IFERROR(__xludf.DUMMYFUNCTION("""COMPUTED_VALUE"""),1.0)</f>
        <v>1</v>
      </c>
      <c r="N991" s="213">
        <f>IFERROR(__xludf.DUMMYFUNCTION("""COMPUTED_VALUE"""),1.0)</f>
        <v>1</v>
      </c>
      <c r="O991" s="213">
        <f>IFERROR(__xludf.DUMMYFUNCTION("""COMPUTED_VALUE"""),1.0)</f>
        <v>1</v>
      </c>
      <c r="P991" s="213"/>
      <c r="Q991" s="213"/>
      <c r="R991" s="213"/>
      <c r="S991" s="213"/>
      <c r="T991" s="213"/>
      <c r="U991" s="213"/>
      <c r="V991" s="213"/>
      <c r="W991" s="213"/>
      <c r="X991" s="213"/>
      <c r="Y991" s="213"/>
      <c r="Z991" s="213"/>
      <c r="AA991" s="213"/>
      <c r="AB991" s="213"/>
      <c r="AC991" s="213"/>
      <c r="AD991" s="213"/>
      <c r="AE991" s="213"/>
      <c r="AF991" s="213"/>
      <c r="AG991" s="213"/>
      <c r="AH991" s="213"/>
      <c r="AI991" s="213"/>
      <c r="AJ991" s="213"/>
      <c r="AK991" s="213"/>
      <c r="AL991" s="213"/>
      <c r="AM991" s="213"/>
      <c r="AN991" s="213"/>
      <c r="AO991" s="213"/>
      <c r="AP991" s="213"/>
      <c r="AQ991" s="213"/>
      <c r="AR991" s="213"/>
      <c r="AS991" s="213"/>
      <c r="AT991" s="213"/>
      <c r="AU991" s="213"/>
      <c r="AV991" s="213"/>
      <c r="AW991" s="213"/>
      <c r="AX991" s="213"/>
      <c r="AY991" s="213"/>
      <c r="AZ991" s="213"/>
      <c r="BA991" s="213"/>
      <c r="BB991" s="213"/>
      <c r="BC991" s="213"/>
      <c r="BD991" s="213"/>
    </row>
    <row r="992">
      <c r="A992" s="213">
        <f>IFERROR(__xludf.DUMMYFUNCTION("""COMPUTED_VALUE"""),73.0)</f>
        <v>73</v>
      </c>
      <c r="B992" s="213" t="str">
        <f>IFERROR(__xludf.DUMMYFUNCTION("""COMPUTED_VALUE"""),"16449 ELOY SOBERON  FLORES")</f>
        <v>16449 ELOY SOBERON  FLORES</v>
      </c>
      <c r="C992" s="213" t="str">
        <f>IFERROR(__xludf.DUMMYFUNCTION("""COMPUTED_VALUE"""),"TALLER SFT DE COCINA Y REPOSTERÍA")</f>
        <v>TALLER SFT DE COCINA Y REPOSTERÍA</v>
      </c>
      <c r="D992" s="213" t="str">
        <f>IFERROR(__xludf.DUMMYFUNCTION("""COMPUTED_VALUE"""),"PEDAGOGICO")</f>
        <v>PEDAGOGICO</v>
      </c>
      <c r="E992" s="213" t="str">
        <f>IFERROR(__xludf.DUMMYFUNCTION("""COMPUTED_VALUE"""),"MAT-164")</f>
        <v>MAT-164</v>
      </c>
      <c r="F992" s="213" t="str">
        <f>IFERROR(__xludf.DUMMYFUNCTION("""COMPUTED_VALUE"""),"MAT-164-Y-1")</f>
        <v>MAT-164-Y-1</v>
      </c>
      <c r="G992" s="213"/>
      <c r="H992" s="213" t="str">
        <f>IFERROR(__xludf.DUMMYFUNCTION("""COMPUTED_VALUE"""),"JUEGO DE FICHAS PARA EL APRENDIZAJE DE LA SEÑALÉTICA Y SÍMBOLOS DE SEGURIDAD PARA EL TALLER")</f>
        <v>JUEGO DE FICHAS PARA EL APRENDIZAJE DE LA SEÑALÉTICA Y SÍMBOLOS DE SEGURIDAD PARA EL TALLER</v>
      </c>
      <c r="I992"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am"&amp;"bos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992" s="213">
        <f>IFERROR(__xludf.DUMMYFUNCTION("""COMPUTED_VALUE"""),3.0)</f>
        <v>3</v>
      </c>
      <c r="K992" s="213" t="str">
        <f>IFERROR(__xludf.DUMMYFUNCTION("""COMPUTED_VALUE"""),"90 DÍAS CALENDARIO")</f>
        <v>90 DÍAS CALENDARIO</v>
      </c>
      <c r="L992" s="213" t="str">
        <f>IFERROR(__xludf.DUMMYFUNCTION("""COMPUTED_VALUE"""),"")</f>
        <v/>
      </c>
      <c r="M992" s="213">
        <f>IFERROR(__xludf.DUMMYFUNCTION("""COMPUTED_VALUE"""),1.0)</f>
        <v>1</v>
      </c>
      <c r="N992" s="213">
        <f>IFERROR(__xludf.DUMMYFUNCTION("""COMPUTED_VALUE"""),1.0)</f>
        <v>1</v>
      </c>
      <c r="O992" s="213">
        <f>IFERROR(__xludf.DUMMYFUNCTION("""COMPUTED_VALUE"""),1.0)</f>
        <v>1</v>
      </c>
      <c r="P992" s="213"/>
      <c r="Q992" s="213"/>
      <c r="R992" s="213"/>
      <c r="S992" s="213"/>
      <c r="T992" s="213"/>
      <c r="U992" s="213"/>
      <c r="V992" s="213"/>
      <c r="W992" s="213"/>
      <c r="X992" s="213"/>
      <c r="Y992" s="213"/>
      <c r="Z992" s="213"/>
      <c r="AA992" s="213"/>
      <c r="AB992" s="213"/>
      <c r="AC992" s="213"/>
      <c r="AD992" s="213"/>
      <c r="AE992" s="213"/>
      <c r="AF992" s="213"/>
      <c r="AG992" s="213"/>
      <c r="AH992" s="213"/>
      <c r="AI992" s="213"/>
      <c r="AJ992" s="213"/>
      <c r="AK992" s="213"/>
      <c r="AL992" s="213"/>
      <c r="AM992" s="213"/>
      <c r="AN992" s="213"/>
      <c r="AO992" s="213"/>
      <c r="AP992" s="213"/>
      <c r="AQ992" s="213"/>
      <c r="AR992" s="213"/>
      <c r="AS992" s="213"/>
      <c r="AT992" s="213"/>
      <c r="AU992" s="213"/>
      <c r="AV992" s="213"/>
      <c r="AW992" s="213"/>
      <c r="AX992" s="213"/>
      <c r="AY992" s="213"/>
      <c r="AZ992" s="213"/>
      <c r="BA992" s="213"/>
      <c r="BB992" s="213"/>
      <c r="BC992" s="213"/>
      <c r="BD992" s="213"/>
    </row>
    <row r="993">
      <c r="A993" s="213">
        <f>IFERROR(__xludf.DUMMYFUNCTION("""COMPUTED_VALUE"""),1087.0)</f>
        <v>1087</v>
      </c>
      <c r="B993" s="213" t="str">
        <f>IFERROR(__xludf.DUMMYFUNCTION("""COMPUTED_VALUE"""),"FRANCISCO IRAZOLA")</f>
        <v>FRANCISCO IRAZOLA</v>
      </c>
      <c r="C993" s="213" t="str">
        <f>IFERROR(__xludf.DUMMYFUNCTION("""COMPUTED_VALUE"""),"TALLER SFT DE INDUSTRIA ALIMENTARIA")</f>
        <v>TALLER SFT DE INDUSTRIA ALIMENTARIA</v>
      </c>
      <c r="D993" s="213" t="str">
        <f>IFERROR(__xludf.DUMMYFUNCTION("""COMPUTED_VALUE"""),"PEDAGOGICO")</f>
        <v>PEDAGOGICO</v>
      </c>
      <c r="E993" s="213" t="str">
        <f>IFERROR(__xludf.DUMMYFUNCTION("""COMPUTED_VALUE"""),"MAT-164")</f>
        <v>MAT-164</v>
      </c>
      <c r="F993" s="213" t="str">
        <f>IFERROR(__xludf.DUMMYFUNCTION("""COMPUTED_VALUE"""),"MAT-164-X")</f>
        <v>MAT-164-X</v>
      </c>
      <c r="G993" s="213"/>
      <c r="H993" s="213" t="str">
        <f>IFERROR(__xludf.DUMMYFUNCTION("""COMPUTED_VALUE"""),"FICHAS PARA EL APRENDIZAJE DE LA SEÑALÉTICA Y SÍMBOLOS DE SEGURIDAD PARA EL TALLER")</f>
        <v>FICHAS PARA EL APRENDIZAJE DE LA SEÑALÉTICA Y SÍMBOLOS DE SEGURIDAD PARA EL TALLER</v>
      </c>
      <c r="I993" s="213" t="str">
        <f>IFERROR(__xludf.DUMMYFUNCTION("""COMPUTED_VALUE"""),"· Fichas Tamaño 10 cm x 6 cm
· Base cartón grueso elaborado en una sola pieza
· Impresas a todo color en papel couche de 350 gr/m2, enmicados por ambos lados y con bordes boleados
· Comprende:
- Fichas que describen prohibiciones y restricciones.
- Fichas"&amp;" asociadas a las precauciones.
- Fichas  que se emplean para establecer zonas o áreas de seguridad y vías de evacuación.
- Fichas que orientan acciones obligatorias o uso necesario de equipo especifico.")</f>
        <v>· Fichas Tamaño 10 cm x 6 cm
· Base cartón grueso elaborado en una sola pieza
· Impresas a todo color en papel couche de 350 gr/m2, enmicados por ambos lados y con bordes boleados
· Comprende:
- Fichas que describen prohibiciones y restricciones.
- Fichas asociadas a las precauciones.
- Fichas  que se emplean para establecer zonas o áreas de seguridad y vías de evacuación.
- Fichas que orientan acciones obligatorias o uso necesario de equipo especifico.</v>
      </c>
      <c r="J993" s="213">
        <f>IFERROR(__xludf.DUMMYFUNCTION("""COMPUTED_VALUE"""),3.0)</f>
        <v>3</v>
      </c>
      <c r="K993" s="213" t="str">
        <f>IFERROR(__xludf.DUMMYFUNCTION("""COMPUTED_VALUE"""),"90 DÍAS CALENDARIO")</f>
        <v>90 DÍAS CALENDARIO</v>
      </c>
      <c r="L993" s="213" t="str">
        <f>IFERROR(__xludf.DUMMYFUNCTION("""COMPUTED_VALUE"""),"")</f>
        <v/>
      </c>
      <c r="M993" s="213">
        <f>IFERROR(__xludf.DUMMYFUNCTION("""COMPUTED_VALUE"""),1.0)</f>
        <v>1</v>
      </c>
      <c r="N993" s="213">
        <f>IFERROR(__xludf.DUMMYFUNCTION("""COMPUTED_VALUE"""),4.0)</f>
        <v>4</v>
      </c>
      <c r="O993" s="213">
        <f>IFERROR(__xludf.DUMMYFUNCTION("""COMPUTED_VALUE"""),4.0)</f>
        <v>4</v>
      </c>
      <c r="P993" s="213"/>
      <c r="Q993" s="213"/>
      <c r="R993" s="213"/>
      <c r="S993" s="213"/>
      <c r="T993" s="213"/>
      <c r="U993" s="213"/>
      <c r="V993" s="213"/>
      <c r="W993" s="213"/>
      <c r="X993" s="213"/>
      <c r="Y993" s="213"/>
      <c r="Z993" s="213"/>
      <c r="AA993" s="213"/>
      <c r="AB993" s="213"/>
      <c r="AC993" s="213"/>
      <c r="AD993" s="213"/>
      <c r="AE993" s="213"/>
      <c r="AF993" s="213"/>
      <c r="AG993" s="213"/>
      <c r="AH993" s="213"/>
      <c r="AI993" s="213"/>
      <c r="AJ993" s="213"/>
      <c r="AK993" s="213"/>
      <c r="AL993" s="213"/>
      <c r="AM993" s="213"/>
      <c r="AN993" s="213"/>
      <c r="AO993" s="213"/>
      <c r="AP993" s="213"/>
      <c r="AQ993" s="213"/>
      <c r="AR993" s="213"/>
      <c r="AS993" s="213"/>
      <c r="AT993" s="213"/>
      <c r="AU993" s="213"/>
      <c r="AV993" s="213"/>
      <c r="AW993" s="213"/>
      <c r="AX993" s="213"/>
      <c r="AY993" s="213"/>
      <c r="AZ993" s="213"/>
      <c r="BA993" s="213"/>
      <c r="BB993" s="213"/>
      <c r="BC993" s="213"/>
      <c r="BD993" s="213"/>
    </row>
    <row r="994">
      <c r="A994" s="213">
        <f>IFERROR(__xludf.DUMMYFUNCTION("""COMPUTED_VALUE"""),918.0)</f>
        <v>918</v>
      </c>
      <c r="B994" s="213" t="str">
        <f>IFERROR(__xludf.DUMMYFUNCTION("""COMPUTED_VALUE"""),"FRANCISCO IRAZOLA")</f>
        <v>FRANCISCO IRAZOLA</v>
      </c>
      <c r="C994" s="213" t="str">
        <f>IFERROR(__xludf.DUMMYFUNCTION("""COMPUTED_VALUE"""),"TALLER SFT DE MECÁNICA AUTOMOTRIZ")</f>
        <v>TALLER SFT DE MECÁNICA AUTOMOTRIZ</v>
      </c>
      <c r="D994" s="213" t="str">
        <f>IFERROR(__xludf.DUMMYFUNCTION("""COMPUTED_VALUE"""),"PEDAGOGICO")</f>
        <v>PEDAGOGICO</v>
      </c>
      <c r="E994" s="213" t="str">
        <f>IFERROR(__xludf.DUMMYFUNCTION("""COMPUTED_VALUE"""),"MAT-229")</f>
        <v>MAT-229</v>
      </c>
      <c r="F994" s="213" t="str">
        <f>IFERROR(__xludf.DUMMYFUNCTION("""COMPUTED_VALUE"""),"MAT-164-Y-7")</f>
        <v>MAT-164-Y-7</v>
      </c>
      <c r="G994" s="213"/>
      <c r="H994" s="213" t="str">
        <f>IFERROR(__xludf.DUMMYFUNCTION("""COMPUTED_VALUE"""),"JUEGO DE FICHAS PARA EL APRENDIZAJE DE LA SEÑALÉTICA Y SÍMBOLOS DE SEGURIDAD PARA EL TALLER")</f>
        <v>JUEGO DE FICHAS PARA EL APRENDIZAJE DE LA SEÑALÉTICA Y SÍMBOLOS DE SEGURIDAD PARA EL TALLER</v>
      </c>
      <c r="I994"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"&amp;"ambos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994" s="213">
        <f>IFERROR(__xludf.DUMMYFUNCTION("""COMPUTED_VALUE"""),3.0)</f>
        <v>3</v>
      </c>
      <c r="K994" s="213" t="str">
        <f>IFERROR(__xludf.DUMMYFUNCTION("""COMPUTED_VALUE"""),"90 DÍAS CALENDARIO")</f>
        <v>90 DÍAS CALENDARIO</v>
      </c>
      <c r="L994" s="213" t="str">
        <f>IFERROR(__xludf.DUMMYFUNCTION("""COMPUTED_VALUE"""),"")</f>
        <v/>
      </c>
      <c r="M994" s="213">
        <f>IFERROR(__xludf.DUMMYFUNCTION("""COMPUTED_VALUE"""),1.0)</f>
        <v>1</v>
      </c>
      <c r="N994" s="213">
        <f>IFERROR(__xludf.DUMMYFUNCTION("""COMPUTED_VALUE"""),1.0)</f>
        <v>1</v>
      </c>
      <c r="O994" s="213">
        <f>IFERROR(__xludf.DUMMYFUNCTION("""COMPUTED_VALUE"""),1.0)</f>
        <v>1</v>
      </c>
      <c r="P994" s="213"/>
      <c r="Q994" s="213"/>
      <c r="R994" s="213"/>
      <c r="S994" s="213"/>
      <c r="T994" s="213"/>
      <c r="U994" s="213"/>
      <c r="V994" s="213"/>
      <c r="W994" s="213"/>
      <c r="X994" s="213"/>
      <c r="Y994" s="213"/>
      <c r="Z994" s="213"/>
      <c r="AA994" s="213"/>
      <c r="AB994" s="213"/>
      <c r="AC994" s="213"/>
      <c r="AD994" s="213"/>
      <c r="AE994" s="213"/>
      <c r="AF994" s="213"/>
      <c r="AG994" s="213"/>
      <c r="AH994" s="213"/>
      <c r="AI994" s="213"/>
      <c r="AJ994" s="213"/>
      <c r="AK994" s="213"/>
      <c r="AL994" s="213"/>
      <c r="AM994" s="213"/>
      <c r="AN994" s="213"/>
      <c r="AO994" s="213"/>
      <c r="AP994" s="213"/>
      <c r="AQ994" s="213"/>
      <c r="AR994" s="213"/>
      <c r="AS994" s="213"/>
      <c r="AT994" s="213"/>
      <c r="AU994" s="213"/>
      <c r="AV994" s="213"/>
      <c r="AW994" s="213"/>
      <c r="AX994" s="213"/>
      <c r="AY994" s="213"/>
      <c r="AZ994" s="213"/>
      <c r="BA994" s="213"/>
      <c r="BB994" s="213"/>
      <c r="BC994" s="213"/>
      <c r="BD994" s="213"/>
    </row>
    <row r="995">
      <c r="A995" s="213">
        <f>IFERROR(__xludf.DUMMYFUNCTION("""COMPUTED_VALUE"""),753.0)</f>
        <v>753</v>
      </c>
      <c r="B995" s="213" t="str">
        <f>IFERROR(__xludf.DUMMYFUNCTION("""COMPUTED_VALUE"""),"6049 RICARDO PALMA")</f>
        <v>6049 RICARDO PALMA</v>
      </c>
      <c r="C995" s="213" t="str">
        <f>IFERROR(__xludf.DUMMYFUNCTION("""COMPUTED_VALUE"""),"TALLER SFT DE COMPUTACIÓN E INFORMÁTICA")</f>
        <v>TALLER SFT DE COMPUTACIÓN E INFORMÁTICA</v>
      </c>
      <c r="D995" s="213" t="str">
        <f>IFERROR(__xludf.DUMMYFUNCTION("""COMPUTED_VALUE"""),"HERRAMIENTAS")</f>
        <v>HERRAMIENTAS</v>
      </c>
      <c r="E995" s="213" t="str">
        <f>IFERROR(__xludf.DUMMYFUNCTION("""COMPUTED_VALUE"""),"HER-179")</f>
        <v>HER-179</v>
      </c>
      <c r="F995" s="213" t="str">
        <f>IFERROR(__xludf.DUMMYFUNCTION("""COMPUTED_VALUE"""),"HER-179")</f>
        <v>HER-179</v>
      </c>
      <c r="G995" s="213"/>
      <c r="H995" s="213" t="str">
        <f>IFERROR(__xludf.DUMMYFUNCTION("""COMPUTED_VALUE"""),"PELA CABLE UNIVERSAL")</f>
        <v>PELA CABLE UNIVERSAL</v>
      </c>
      <c r="I995" s="213" t="str">
        <f>IFERROR(__xludf.DUMMYFUNCTION("""COMPUTED_VALUE"""),"·  Desforrador de cable con cuchilla
·  Para  cortar y desforrar cables de pares trenzados, cables coaxiales, telefónicos planos y redondos
·  Diámetro máximo de tubería 12 mm
·  Diámetro mínimo de tubería 6 mm
·  Cuenta con los tipos de cables marcados e"&amp;"n el mango para poder identificarlos con toda facilidad.")</f>
        <v>·  Desforrador de cable con cuchilla
·  Para  cortar y desforrar cables de pares trenzados, cables coaxiales, telefónicos planos y redondos
·  Diámetro máximo de tubería 12 mm
·  Diámetro mínimo de tubería 6 mm
·  Cuenta con los tipos de cables marcados en el mango para poder identificarlos con toda facilidad.</v>
      </c>
      <c r="J995" s="213">
        <f>IFERROR(__xludf.DUMMYFUNCTION("""COMPUTED_VALUE"""),3.0)</f>
        <v>3</v>
      </c>
      <c r="K995" s="213" t="str">
        <f>IFERROR(__xludf.DUMMYFUNCTION("""COMPUTED_VALUE"""),"90 DÍAS CALENDARIO")</f>
        <v>90 DÍAS CALENDARIO</v>
      </c>
      <c r="L995" s="213" t="str">
        <f>IFERROR(__xludf.DUMMYFUNCTION("""COMPUTED_VALUE"""),"")</f>
        <v/>
      </c>
      <c r="M995" s="213">
        <f>IFERROR(__xludf.DUMMYFUNCTION("""COMPUTED_VALUE"""),1.0)</f>
        <v>1</v>
      </c>
      <c r="N995" s="213">
        <f>IFERROR(__xludf.DUMMYFUNCTION("""COMPUTED_VALUE"""),4.0)</f>
        <v>4</v>
      </c>
      <c r="O995" s="213">
        <f>IFERROR(__xludf.DUMMYFUNCTION("""COMPUTED_VALUE"""),4.0)</f>
        <v>4</v>
      </c>
      <c r="P995" s="213"/>
      <c r="Q995" s="213"/>
      <c r="R995" s="213" t="str">
        <f>IFERROR(__xludf.DUMMYFUNCTION("""COMPUTED_VALUE"""),"SI")</f>
        <v>SI</v>
      </c>
      <c r="S995" s="213"/>
      <c r="T995" s="213" t="str">
        <f>IFERROR(__xludf.DUMMYFUNCTION("""COMPUTED_VALUE"""),"SI")</f>
        <v>SI</v>
      </c>
      <c r="U995" s="213" t="str">
        <f>IFERROR(__xludf.DUMMYFUNCTION("""COMPUTED_VALUE"""),"SI")</f>
        <v>SI</v>
      </c>
      <c r="V995" s="213" t="str">
        <f>IFERROR(__xludf.DUMMYFUNCTION("""COMPUTED_VALUE"""),"-")</f>
        <v>-</v>
      </c>
      <c r="W995" s="213" t="str">
        <f>IFERROR(__xludf.DUMMYFUNCTION("""COMPUTED_VALUE"""),"-")</f>
        <v>-</v>
      </c>
      <c r="X995" s="213" t="str">
        <f>IFERROR(__xludf.DUMMYFUNCTION("""COMPUTED_VALUE"""),"NEXXT")</f>
        <v>NEXXT</v>
      </c>
      <c r="Y995" s="213" t="str">
        <f>IFERROR(__xludf.DUMMYFUNCTION("""COMPUTED_VALUE"""),"AW250NXT09")</f>
        <v>AW250NXT09</v>
      </c>
      <c r="Z995" s="215" t="str">
        <f>IFERROR(__xludf.DUMMYFUNCTION("""COMPUTED_VALUE"""),"https://drive.google.com/file/d/18MigtMJJDfa63y6AOD4e5URhXJ9SfIjS/view")</f>
        <v>https://drive.google.com/file/d/18MigtMJJDfa63y6AOD4e5URhXJ9SfIjS/view</v>
      </c>
      <c r="AA995" s="213" t="str">
        <f>IFERROR(__xludf.DUMMYFUNCTION("""COMPUTED_VALUE"""),"HER-179 PELA CABLE UNIVERSAL - CET")</f>
        <v>HER-179 PELA CABLE UNIVERSAL - CET</v>
      </c>
      <c r="AB995" s="213"/>
      <c r="AC995" s="213"/>
      <c r="AD995" s="213"/>
      <c r="AE995" s="213"/>
      <c r="AF995" s="213"/>
      <c r="AG995" s="213"/>
      <c r="AH995" s="213"/>
      <c r="AI995" s="213"/>
      <c r="AJ995" s="213"/>
      <c r="AK995" s="213"/>
      <c r="AL995" s="213"/>
      <c r="AM995" s="213"/>
      <c r="AN995" s="213"/>
      <c r="AO995" s="213"/>
      <c r="AP995" s="213" t="str">
        <f>IFERROR(__xludf.DUMMYFUNCTION("""COMPUTED_VALUE"""),"LUIS")</f>
        <v>LUIS</v>
      </c>
      <c r="AQ995" s="213"/>
      <c r="AR995" s="213"/>
      <c r="AS995" s="213"/>
      <c r="AT995" s="213"/>
      <c r="AU995" s="213"/>
      <c r="AV995" s="213"/>
      <c r="AW995" s="213"/>
      <c r="AX995" s="213"/>
      <c r="AY995" s="213"/>
      <c r="AZ995" s="213"/>
      <c r="BA995" s="213"/>
      <c r="BB995" s="213"/>
      <c r="BC995" s="213"/>
      <c r="BD995" s="213"/>
    </row>
    <row r="996">
      <c r="A996" s="213">
        <f>IFERROR(__xludf.DUMMYFUNCTION("""COMPUTED_VALUE"""),1691.0)</f>
        <v>1691</v>
      </c>
      <c r="B996" s="213" t="str">
        <f>IFERROR(__xludf.DUMMYFUNCTION("""COMPUTED_VALUE"""),"GUILLERMO E. BILLINGHURST ")</f>
        <v>GUILLERMO E. BILLINGHURST </v>
      </c>
      <c r="C996" s="213" t="str">
        <f>IFERROR(__xludf.DUMMYFUNCTION("""COMPUTED_VALUE"""),"TALLER SFT DE COMPUTACIÓN E INFORMÁTICA")</f>
        <v>TALLER SFT DE COMPUTACIÓN E INFORMÁTICA</v>
      </c>
      <c r="D996" s="213" t="str">
        <f>IFERROR(__xludf.DUMMYFUNCTION("""COMPUTED_VALUE"""),"HERRAMIENTAS")</f>
        <v>HERRAMIENTAS</v>
      </c>
      <c r="E996" s="213" t="str">
        <f>IFERROR(__xludf.DUMMYFUNCTION("""COMPUTED_VALUE"""),"HER-179")</f>
        <v>HER-179</v>
      </c>
      <c r="F996" s="213" t="str">
        <f>IFERROR(__xludf.DUMMYFUNCTION("""COMPUTED_VALUE"""),"HER-179")</f>
        <v>HER-179</v>
      </c>
      <c r="G996" s="213"/>
      <c r="H996" s="213" t="str">
        <f>IFERROR(__xludf.DUMMYFUNCTION("""COMPUTED_VALUE"""),"PELA CABLE UNIVERSAL")</f>
        <v>PELA CABLE UNIVERSAL</v>
      </c>
      <c r="I996" s="213" t="str">
        <f>IFERROR(__xludf.DUMMYFUNCTION("""COMPUTED_VALUE"""),"·  Desforrador de cable con cuchilla
·  Para  cortar y desforrar cables de pares trenzados, cables coaxiales, telefónicos planos y redondos
·  Diámetro máximo de tubería 12 mm
·  Diámetro mínimo de tubería 6 mm
·  Cuenta con los tipos de cables marcados e"&amp;"n el mango para poder identificarlos con toda facilidad.")</f>
        <v>·  Desforrador de cable con cuchilla
·  Para  cortar y desforrar cables de pares trenzados, cables coaxiales, telefónicos planos y redondos
·  Diámetro máximo de tubería 12 mm
·  Diámetro mínimo de tubería 6 mm
·  Cuenta con los tipos de cables marcados en el mango para poder identificarlos con toda facilidad.</v>
      </c>
      <c r="J996" s="213">
        <f>IFERROR(__xludf.DUMMYFUNCTION("""COMPUTED_VALUE"""),3.0)</f>
        <v>3</v>
      </c>
      <c r="K996" s="213" t="str">
        <f>IFERROR(__xludf.DUMMYFUNCTION("""COMPUTED_VALUE"""),"90 DÍAS CALENDARIO")</f>
        <v>90 DÍAS CALENDARIO</v>
      </c>
      <c r="L996" s="213" t="str">
        <f>IFERROR(__xludf.DUMMYFUNCTION("""COMPUTED_VALUE"""),"")</f>
        <v/>
      </c>
      <c r="M996" s="213">
        <f>IFERROR(__xludf.DUMMYFUNCTION("""COMPUTED_VALUE"""),1.0)</f>
        <v>1</v>
      </c>
      <c r="N996" s="213">
        <f>IFERROR(__xludf.DUMMYFUNCTION("""COMPUTED_VALUE"""),4.0)</f>
        <v>4</v>
      </c>
      <c r="O996" s="213">
        <f>IFERROR(__xludf.DUMMYFUNCTION("""COMPUTED_VALUE"""),4.0)</f>
        <v>4</v>
      </c>
      <c r="P996" s="213"/>
      <c r="Q996" s="213"/>
      <c r="R996" s="213" t="str">
        <f>IFERROR(__xludf.DUMMYFUNCTION("""COMPUTED_VALUE"""),"SI")</f>
        <v>SI</v>
      </c>
      <c r="S996" s="213"/>
      <c r="T996" s="213" t="str">
        <f>IFERROR(__xludf.DUMMYFUNCTION("""COMPUTED_VALUE"""),"SI")</f>
        <v>SI</v>
      </c>
      <c r="U996" s="213" t="str">
        <f>IFERROR(__xludf.DUMMYFUNCTION("""COMPUTED_VALUE"""),"SI")</f>
        <v>SI</v>
      </c>
      <c r="V996" s="213" t="str">
        <f>IFERROR(__xludf.DUMMYFUNCTION("""COMPUTED_VALUE"""),"-")</f>
        <v>-</v>
      </c>
      <c r="W996" s="213" t="str">
        <f>IFERROR(__xludf.DUMMYFUNCTION("""COMPUTED_VALUE"""),"-")</f>
        <v>-</v>
      </c>
      <c r="X996" s="213" t="str">
        <f>IFERROR(__xludf.DUMMYFUNCTION("""COMPUTED_VALUE"""),"NEXXT")</f>
        <v>NEXXT</v>
      </c>
      <c r="Y996" s="213" t="str">
        <f>IFERROR(__xludf.DUMMYFUNCTION("""COMPUTED_VALUE"""),"AW250NXT09")</f>
        <v>AW250NXT09</v>
      </c>
      <c r="Z996" s="215" t="str">
        <f>IFERROR(__xludf.DUMMYFUNCTION("""COMPUTED_VALUE"""),"https://drive.google.com/file/d/18MigtMJJDfa63y6AOD4e5URhXJ9SfIjS/view")</f>
        <v>https://drive.google.com/file/d/18MigtMJJDfa63y6AOD4e5URhXJ9SfIjS/view</v>
      </c>
      <c r="AA996" s="213" t="str">
        <f>IFERROR(__xludf.DUMMYFUNCTION("""COMPUTED_VALUE"""),"HER-179 PELA CABLE UNIVERSAL - CET")</f>
        <v>HER-179 PELA CABLE UNIVERSAL - CET</v>
      </c>
      <c r="AB996" s="213"/>
      <c r="AC996" s="213"/>
      <c r="AD996" s="213"/>
      <c r="AE996" s="213"/>
      <c r="AF996" s="213"/>
      <c r="AG996" s="213"/>
      <c r="AH996" s="213"/>
      <c r="AI996" s="213"/>
      <c r="AJ996" s="213"/>
      <c r="AK996" s="213"/>
      <c r="AL996" s="213"/>
      <c r="AM996" s="213"/>
      <c r="AN996" s="213"/>
      <c r="AO996" s="213"/>
      <c r="AP996" s="213" t="str">
        <f>IFERROR(__xludf.DUMMYFUNCTION("""COMPUTED_VALUE"""),"LUIS")</f>
        <v>LUIS</v>
      </c>
      <c r="AQ996" s="213"/>
      <c r="AR996" s="213"/>
      <c r="AS996" s="213"/>
      <c r="AT996" s="213"/>
      <c r="AU996" s="213"/>
      <c r="AV996" s="213"/>
      <c r="AW996" s="213"/>
      <c r="AX996" s="213"/>
      <c r="AY996" s="213"/>
      <c r="AZ996" s="213"/>
      <c r="BA996" s="213"/>
      <c r="BB996" s="213"/>
      <c r="BC996" s="213"/>
      <c r="BD996" s="213"/>
    </row>
    <row r="997">
      <c r="A997" s="213">
        <f>IFERROR(__xludf.DUMMYFUNCTION("""COMPUTED_VALUE"""),1943.0)</f>
        <v>1943</v>
      </c>
      <c r="B997" s="213" t="str">
        <f>IFERROR(__xludf.DUMMYFUNCTION("""COMPUTED_VALUE"""),"JOSE GRANDA")</f>
        <v>JOSE GRANDA</v>
      </c>
      <c r="C997" s="213" t="str">
        <f>IFERROR(__xludf.DUMMYFUNCTION("""COMPUTED_VALUE"""),"TALLER SFT DE COMPUTACIÓN E INFORMÁTICA")</f>
        <v>TALLER SFT DE COMPUTACIÓN E INFORMÁTICA</v>
      </c>
      <c r="D997" s="213" t="str">
        <f>IFERROR(__xludf.DUMMYFUNCTION("""COMPUTED_VALUE"""),"HERRAMIENTAS")</f>
        <v>HERRAMIENTAS</v>
      </c>
      <c r="E997" s="213" t="str">
        <f>IFERROR(__xludf.DUMMYFUNCTION("""COMPUTED_VALUE"""),"HER-179")</f>
        <v>HER-179</v>
      </c>
      <c r="F997" s="213" t="str">
        <f>IFERROR(__xludf.DUMMYFUNCTION("""COMPUTED_VALUE"""),"HER-179")</f>
        <v>HER-179</v>
      </c>
      <c r="G997" s="213"/>
      <c r="H997" s="213" t="str">
        <f>IFERROR(__xludf.DUMMYFUNCTION("""COMPUTED_VALUE"""),"PELA CABLE UNIVERSAL")</f>
        <v>PELA CABLE UNIVERSAL</v>
      </c>
      <c r="I997" s="213" t="str">
        <f>IFERROR(__xludf.DUMMYFUNCTION("""COMPUTED_VALUE"""),"·  Desforrador de cable con cuchilla
·  Para  cortar y desforrar cables de pares trenzados, cables coaxiales, telefónicos planos y redondos
·  Diámetro máximo de tubería 12 mm
·  Diámetro mínimo de tubería 6 mm
·  Cuenta con los tipos de cables marcados e"&amp;"n el mango para poder identificarlos con toda facilidad.")</f>
        <v>·  Desforrador de cable con cuchilla
·  Para  cortar y desforrar cables de pares trenzados, cables coaxiales, telefónicos planos y redondos
·  Diámetro máximo de tubería 12 mm
·  Diámetro mínimo de tubería 6 mm
·  Cuenta con los tipos de cables marcados en el mango para poder identificarlos con toda facilidad.</v>
      </c>
      <c r="J997" s="213">
        <f>IFERROR(__xludf.DUMMYFUNCTION("""COMPUTED_VALUE"""),3.0)</f>
        <v>3</v>
      </c>
      <c r="K997" s="213" t="str">
        <f>IFERROR(__xludf.DUMMYFUNCTION("""COMPUTED_VALUE"""),"90 DÍAS CALENDARIO")</f>
        <v>90 DÍAS CALENDARIO</v>
      </c>
      <c r="L997" s="213" t="str">
        <f>IFERROR(__xludf.DUMMYFUNCTION("""COMPUTED_VALUE"""),"")</f>
        <v/>
      </c>
      <c r="M997" s="213">
        <f>IFERROR(__xludf.DUMMYFUNCTION("""COMPUTED_VALUE"""),1.0)</f>
        <v>1</v>
      </c>
      <c r="N997" s="213">
        <f>IFERROR(__xludf.DUMMYFUNCTION("""COMPUTED_VALUE"""),4.0)</f>
        <v>4</v>
      </c>
      <c r="O997" s="213">
        <f>IFERROR(__xludf.DUMMYFUNCTION("""COMPUTED_VALUE"""),4.0)</f>
        <v>4</v>
      </c>
      <c r="P997" s="213"/>
      <c r="Q997" s="213"/>
      <c r="R997" s="213" t="str">
        <f>IFERROR(__xludf.DUMMYFUNCTION("""COMPUTED_VALUE"""),"SI")</f>
        <v>SI</v>
      </c>
      <c r="S997" s="213"/>
      <c r="T997" s="213" t="str">
        <f>IFERROR(__xludf.DUMMYFUNCTION("""COMPUTED_VALUE"""),"SI")</f>
        <v>SI</v>
      </c>
      <c r="U997" s="213" t="str">
        <f>IFERROR(__xludf.DUMMYFUNCTION("""COMPUTED_VALUE"""),"SI")</f>
        <v>SI</v>
      </c>
      <c r="V997" s="213" t="str">
        <f>IFERROR(__xludf.DUMMYFUNCTION("""COMPUTED_VALUE"""),"-")</f>
        <v>-</v>
      </c>
      <c r="W997" s="213" t="str">
        <f>IFERROR(__xludf.DUMMYFUNCTION("""COMPUTED_VALUE"""),"-")</f>
        <v>-</v>
      </c>
      <c r="X997" s="213" t="str">
        <f>IFERROR(__xludf.DUMMYFUNCTION("""COMPUTED_VALUE"""),"NEXXT")</f>
        <v>NEXXT</v>
      </c>
      <c r="Y997" s="213" t="str">
        <f>IFERROR(__xludf.DUMMYFUNCTION("""COMPUTED_VALUE"""),"AW250NXT09")</f>
        <v>AW250NXT09</v>
      </c>
      <c r="Z997" s="215" t="str">
        <f>IFERROR(__xludf.DUMMYFUNCTION("""COMPUTED_VALUE"""),"https://drive.google.com/file/d/18MigtMJJDfa63y6AOD4e5URhXJ9SfIjS/view")</f>
        <v>https://drive.google.com/file/d/18MigtMJJDfa63y6AOD4e5URhXJ9SfIjS/view</v>
      </c>
      <c r="AA997" s="213" t="str">
        <f>IFERROR(__xludf.DUMMYFUNCTION("""COMPUTED_VALUE"""),"HER-179 PELA CABLE UNIVERSAL - CET")</f>
        <v>HER-179 PELA CABLE UNIVERSAL - CET</v>
      </c>
      <c r="AB997" s="213"/>
      <c r="AC997" s="213"/>
      <c r="AD997" s="213"/>
      <c r="AE997" s="213"/>
      <c r="AF997" s="213"/>
      <c r="AG997" s="213"/>
      <c r="AH997" s="213"/>
      <c r="AI997" s="213"/>
      <c r="AJ997" s="213"/>
      <c r="AK997" s="213"/>
      <c r="AL997" s="213"/>
      <c r="AM997" s="213"/>
      <c r="AN997" s="213"/>
      <c r="AO997" s="213"/>
      <c r="AP997" s="213" t="str">
        <f>IFERROR(__xludf.DUMMYFUNCTION("""COMPUTED_VALUE"""),"LUIS")</f>
        <v>LUIS</v>
      </c>
      <c r="AQ997" s="213"/>
      <c r="AR997" s="213"/>
      <c r="AS997" s="213"/>
      <c r="AT997" s="213"/>
      <c r="AU997" s="213"/>
      <c r="AV997" s="213"/>
      <c r="AW997" s="213"/>
      <c r="AX997" s="213"/>
      <c r="AY997" s="213"/>
      <c r="AZ997" s="213"/>
      <c r="BA997" s="213"/>
      <c r="BB997" s="213"/>
      <c r="BC997" s="213"/>
      <c r="BD997" s="213"/>
    </row>
    <row r="998">
      <c r="A998" s="213">
        <f>IFERROR(__xludf.DUMMYFUNCTION("""COMPUTED_VALUE"""),972.0)</f>
        <v>972</v>
      </c>
      <c r="B998" s="213" t="str">
        <f>IFERROR(__xludf.DUMMYFUNCTION("""COMPUTED_VALUE"""),"FRANCISCO IRAZOLA")</f>
        <v>FRANCISCO IRAZOLA</v>
      </c>
      <c r="C998" s="213" t="str">
        <f>IFERROR(__xludf.DUMMYFUNCTION("""COMPUTED_VALUE"""),"TALLER SFT DE MECÁNICA AUTOMOTRIZ")</f>
        <v>TALLER SFT DE MECÁNICA AUTOMOTRIZ</v>
      </c>
      <c r="D998" s="213" t="str">
        <f>IFERROR(__xludf.DUMMYFUNCTION("""COMPUTED_VALUE"""),"HERRAMIENTAS")</f>
        <v>HERRAMIENTAS</v>
      </c>
      <c r="E998" s="213" t="str">
        <f>IFERROR(__xludf.DUMMYFUNCTION("""COMPUTED_VALUE"""),"HER-181")</f>
        <v>HER-181</v>
      </c>
      <c r="F998" s="213" t="str">
        <f>IFERROR(__xludf.DUMMYFUNCTION("""COMPUTED_VALUE"""),"HER-181")</f>
        <v>HER-181</v>
      </c>
      <c r="G998" s="213"/>
      <c r="H998" s="213" t="str">
        <f>IFERROR(__xludf.DUMMYFUNCTION("""COMPUTED_VALUE"""),"PIQUETA MARTILLO CINCEL")</f>
        <v>PIQUETA MARTILLO CINCEL</v>
      </c>
      <c r="I998" s="213" t="str">
        <f>IFERROR(__xludf.DUMMYFUNCTION("""COMPUTED_VALUE"""),"Piqueta de acero. Mango de madera. Peso mínimo: 0.2 Kg.
Ancho entre: 135 - 145 mm.
Espesor entre: 18 - 22 mm. Longitud total, mínimo: 260 mm.")</f>
        <v>Piqueta de acero. Mango de madera. Peso mínimo: 0.2 Kg.
Ancho entre: 135 - 145 mm.
Espesor entre: 18 - 22 mm. Longitud total, mínimo: 260 mm.</v>
      </c>
      <c r="J998" s="213">
        <f>IFERROR(__xludf.DUMMYFUNCTION("""COMPUTED_VALUE"""),3.0)</f>
        <v>3</v>
      </c>
      <c r="K998" s="213" t="str">
        <f>IFERROR(__xludf.DUMMYFUNCTION("""COMPUTED_VALUE"""),"90 DÍAS CALENDARIO")</f>
        <v>90 DÍAS CALENDARIO</v>
      </c>
      <c r="L998" s="213" t="str">
        <f>IFERROR(__xludf.DUMMYFUNCTION("""COMPUTED_VALUE"""),"")</f>
        <v/>
      </c>
      <c r="M998" s="213">
        <f>IFERROR(__xludf.DUMMYFUNCTION("""COMPUTED_VALUE"""),1.0)</f>
        <v>1</v>
      </c>
      <c r="N998" s="213">
        <f>IFERROR(__xludf.DUMMYFUNCTION("""COMPUTED_VALUE"""),1.0)</f>
        <v>1</v>
      </c>
      <c r="O998" s="213">
        <f>IFERROR(__xludf.DUMMYFUNCTION("""COMPUTED_VALUE"""),1.0)</f>
        <v>1</v>
      </c>
      <c r="P998" s="213"/>
      <c r="Q998" s="213"/>
      <c r="R998" s="213" t="str">
        <f>IFERROR(__xludf.DUMMYFUNCTION("""COMPUTED_VALUE"""),"SI")</f>
        <v>SI</v>
      </c>
      <c r="S998" s="213"/>
      <c r="T998" s="213" t="str">
        <f>IFERROR(__xludf.DUMMYFUNCTION("""COMPUTED_VALUE"""),"SI")</f>
        <v>SI</v>
      </c>
      <c r="U998" s="213" t="str">
        <f>IFERROR(__xludf.DUMMYFUNCTION("""COMPUTED_VALUE"""),"SI")</f>
        <v>SI</v>
      </c>
      <c r="V998" s="213" t="str">
        <f>IFERROR(__xludf.DUMMYFUNCTION("""COMPUTED_VALUE"""),"-")</f>
        <v>-</v>
      </c>
      <c r="W998" s="213" t="str">
        <f>IFERROR(__xludf.DUMMYFUNCTION("""COMPUTED_VALUE"""),"-")</f>
        <v>-</v>
      </c>
      <c r="X998" s="213" t="str">
        <f>IFERROR(__xludf.DUMMYFUNCTION("""COMPUTED_VALUE"""),"GENERICO")</f>
        <v>GENERICO</v>
      </c>
      <c r="Y998" s="213" t="str">
        <f>IFERROR(__xludf.DUMMYFUNCTION("""COMPUTED_VALUE"""),"GENERICO")</f>
        <v>GENERICO</v>
      </c>
      <c r="Z998" s="215" t="str">
        <f>IFERROR(__xludf.DUMMYFUNCTION("""COMPUTED_VALUE"""),"https://www.alibaba.com/product-detail/OEM-Logo-Wooden-Handle-Machinist-Hammer_1601218393734.html?spm=a2700.7724857.0.0.650f400asMaz51-https://solter.com/en_GB/shop/06003-welding-pickaxe-wooden-handle-40285#attr=8691,8692")</f>
        <v>https://www.alibaba.com/product-detail/OEM-Logo-Wooden-Handle-Machinist-Hammer_1601218393734.html?spm=a2700.7724857.0.0.650f400asMaz51-https://solter.com/en_GB/shop/06003-welding-pickaxe-wooden-handle-40285#attr=8691,8692</v>
      </c>
      <c r="AA998" s="213" t="str">
        <f>IFERROR(__xludf.DUMMYFUNCTION("""COMPUTED_VALUE"""),"HER-181 PIQUETA MARTILLO CINCEL - CET")</f>
        <v>HER-181 PIQUETA MARTILLO CINCEL - CET</v>
      </c>
      <c r="AB998" s="213"/>
      <c r="AC998" s="213"/>
      <c r="AD998" s="213"/>
      <c r="AE998" s="213"/>
      <c r="AF998" s="213"/>
      <c r="AG998" s="213"/>
      <c r="AH998" s="213"/>
      <c r="AI998" s="213"/>
      <c r="AJ998" s="213"/>
      <c r="AK998" s="213"/>
      <c r="AL998" s="213"/>
      <c r="AM998" s="213"/>
      <c r="AN998" s="213"/>
      <c r="AO998" s="213"/>
      <c r="AP998" s="213" t="str">
        <f>IFERROR(__xludf.DUMMYFUNCTION("""COMPUTED_VALUE"""),"LUIS")</f>
        <v>LUIS</v>
      </c>
      <c r="AQ998" s="213"/>
      <c r="AR998" s="213"/>
      <c r="AS998" s="213"/>
      <c r="AT998" s="213"/>
      <c r="AU998" s="213"/>
      <c r="AV998" s="213"/>
      <c r="AW998" s="213"/>
      <c r="AX998" s="213"/>
      <c r="AY998" s="213"/>
      <c r="AZ998" s="213"/>
      <c r="BA998" s="213"/>
      <c r="BB998" s="213"/>
      <c r="BC998" s="213"/>
      <c r="BD998" s="213"/>
    </row>
    <row r="999">
      <c r="A999" s="213">
        <f>IFERROR(__xludf.DUMMYFUNCTION("""COMPUTED_VALUE"""),1573.0)</f>
        <v>1573</v>
      </c>
      <c r="B999" s="213" t="str">
        <f>IFERROR(__xludf.DUMMYFUNCTION("""COMPUTED_VALUE"""),"GUILLERMO E. BILLINGHURST ")</f>
        <v>GUILLERMO E. BILLINGHURST </v>
      </c>
      <c r="C999" s="213" t="str">
        <f>IFERROR(__xludf.DUMMYFUNCTION("""COMPUTED_VALUE"""),"TALLER SFT DE MECÁNICA AUTOMOTRIZ")</f>
        <v>TALLER SFT DE MECÁNICA AUTOMOTRIZ</v>
      </c>
      <c r="D999" s="213" t="str">
        <f>IFERROR(__xludf.DUMMYFUNCTION("""COMPUTED_VALUE"""),"HERRAMIENTAS")</f>
        <v>HERRAMIENTAS</v>
      </c>
      <c r="E999" s="213" t="str">
        <f>IFERROR(__xludf.DUMMYFUNCTION("""COMPUTED_VALUE"""),"HER-181")</f>
        <v>HER-181</v>
      </c>
      <c r="F999" s="213" t="str">
        <f>IFERROR(__xludf.DUMMYFUNCTION("""COMPUTED_VALUE"""),"HER-181")</f>
        <v>HER-181</v>
      </c>
      <c r="G999" s="213"/>
      <c r="H999" s="213" t="str">
        <f>IFERROR(__xludf.DUMMYFUNCTION("""COMPUTED_VALUE"""),"PIQUETA MARTILLO CINCEL")</f>
        <v>PIQUETA MARTILLO CINCEL</v>
      </c>
      <c r="I999" s="213" t="str">
        <f>IFERROR(__xludf.DUMMYFUNCTION("""COMPUTED_VALUE"""),"Piqueta de acero. Mango de madera. Peso mínimo: 0.2 Kg.
Ancho entre: 135 - 145 mm.
Espesor entre: 18 - 22 mm. Longitud total, mínimo: 260 mm.")</f>
        <v>Piqueta de acero. Mango de madera. Peso mínimo: 0.2 Kg.
Ancho entre: 135 - 145 mm.
Espesor entre: 18 - 22 mm. Longitud total, mínimo: 260 mm.</v>
      </c>
      <c r="J999" s="213">
        <f>IFERROR(__xludf.DUMMYFUNCTION("""COMPUTED_VALUE"""),3.0)</f>
        <v>3</v>
      </c>
      <c r="K999" s="213" t="str">
        <f>IFERROR(__xludf.DUMMYFUNCTION("""COMPUTED_VALUE"""),"90 DÍAS CALENDARIO")</f>
        <v>90 DÍAS CALENDARIO</v>
      </c>
      <c r="L999" s="213" t="str">
        <f>IFERROR(__xludf.DUMMYFUNCTION("""COMPUTED_VALUE"""),"")</f>
        <v/>
      </c>
      <c r="M999" s="213">
        <f>IFERROR(__xludf.DUMMYFUNCTION("""COMPUTED_VALUE"""),1.0)</f>
        <v>1</v>
      </c>
      <c r="N999" s="213">
        <f>IFERROR(__xludf.DUMMYFUNCTION("""COMPUTED_VALUE"""),1.0)</f>
        <v>1</v>
      </c>
      <c r="O999" s="213">
        <f>IFERROR(__xludf.DUMMYFUNCTION("""COMPUTED_VALUE"""),1.0)</f>
        <v>1</v>
      </c>
      <c r="P999" s="213"/>
      <c r="Q999" s="213"/>
      <c r="R999" s="213" t="str">
        <f>IFERROR(__xludf.DUMMYFUNCTION("""COMPUTED_VALUE"""),"SI")</f>
        <v>SI</v>
      </c>
      <c r="S999" s="213"/>
      <c r="T999" s="213" t="str">
        <f>IFERROR(__xludf.DUMMYFUNCTION("""COMPUTED_VALUE"""),"SI")</f>
        <v>SI</v>
      </c>
      <c r="U999" s="213" t="str">
        <f>IFERROR(__xludf.DUMMYFUNCTION("""COMPUTED_VALUE"""),"SI")</f>
        <v>SI</v>
      </c>
      <c r="V999" s="213" t="str">
        <f>IFERROR(__xludf.DUMMYFUNCTION("""COMPUTED_VALUE"""),"-")</f>
        <v>-</v>
      </c>
      <c r="W999" s="213" t="str">
        <f>IFERROR(__xludf.DUMMYFUNCTION("""COMPUTED_VALUE"""),"-")</f>
        <v>-</v>
      </c>
      <c r="X999" s="213" t="str">
        <f>IFERROR(__xludf.DUMMYFUNCTION("""COMPUTED_VALUE"""),"GENERICO")</f>
        <v>GENERICO</v>
      </c>
      <c r="Y999" s="213" t="str">
        <f>IFERROR(__xludf.DUMMYFUNCTION("""COMPUTED_VALUE"""),"GENERICO")</f>
        <v>GENERICO</v>
      </c>
      <c r="Z999" s="215" t="str">
        <f>IFERROR(__xludf.DUMMYFUNCTION("""COMPUTED_VALUE"""),"https://www.alibaba.com/product-detail/OEM-Logo-Wooden-Handle-Machinist-Hammer_1601218393734.html?spm=a2700.7724857.0.0.650f400asMaz51-https://solter.com/en_GB/shop/06003-welding-pickaxe-wooden-handle-40285#attr=8691,8692")</f>
        <v>https://www.alibaba.com/product-detail/OEM-Logo-Wooden-Handle-Machinist-Hammer_1601218393734.html?spm=a2700.7724857.0.0.650f400asMaz51-https://solter.com/en_GB/shop/06003-welding-pickaxe-wooden-handle-40285#attr=8691,8692</v>
      </c>
      <c r="AA999" s="213" t="str">
        <f>IFERROR(__xludf.DUMMYFUNCTION("""COMPUTED_VALUE"""),"HER-181 PIQUETA MARTILLO CINCEL - CET")</f>
        <v>HER-181 PIQUETA MARTILLO CINCEL - CET</v>
      </c>
      <c r="AB999" s="213"/>
      <c r="AC999" s="213"/>
      <c r="AD999" s="213"/>
      <c r="AE999" s="213"/>
      <c r="AF999" s="213"/>
      <c r="AG999" s="213"/>
      <c r="AH999" s="213"/>
      <c r="AI999" s="213"/>
      <c r="AJ999" s="213"/>
      <c r="AK999" s="213"/>
      <c r="AL999" s="213"/>
      <c r="AM999" s="213"/>
      <c r="AN999" s="213"/>
      <c r="AO999" s="213"/>
      <c r="AP999" s="213" t="str">
        <f>IFERROR(__xludf.DUMMYFUNCTION("""COMPUTED_VALUE"""),"LUIS")</f>
        <v>LUIS</v>
      </c>
      <c r="AQ999" s="213"/>
      <c r="AR999" s="213"/>
      <c r="AS999" s="213"/>
      <c r="AT999" s="213"/>
      <c r="AU999" s="213"/>
      <c r="AV999" s="213"/>
      <c r="AW999" s="213"/>
      <c r="AX999" s="213"/>
      <c r="AY999" s="213"/>
      <c r="AZ999" s="213"/>
      <c r="BA999" s="213"/>
      <c r="BB999" s="213"/>
      <c r="BC999" s="213"/>
      <c r="BD999" s="213"/>
    </row>
    <row r="1000">
      <c r="A1000" s="213">
        <f>IFERROR(__xludf.DUMMYFUNCTION("""COMPUTED_VALUE"""),2265.0)</f>
        <v>2265</v>
      </c>
      <c r="B1000" s="213" t="str">
        <f>IFERROR(__xludf.DUMMYFUNCTION("""COMPUTED_VALUE"""),"JOSE GRANDA")</f>
        <v>JOSE GRANDA</v>
      </c>
      <c r="C1000" s="213" t="str">
        <f>IFERROR(__xludf.DUMMYFUNCTION("""COMPUTED_VALUE"""),"TALLER SFT DE MECÁNICA AUTOMOTRIZ")</f>
        <v>TALLER SFT DE MECÁNICA AUTOMOTRIZ</v>
      </c>
      <c r="D1000" s="213" t="str">
        <f>IFERROR(__xludf.DUMMYFUNCTION("""COMPUTED_VALUE"""),"HERRAMIENTAS")</f>
        <v>HERRAMIENTAS</v>
      </c>
      <c r="E1000" s="213" t="str">
        <f>IFERROR(__xludf.DUMMYFUNCTION("""COMPUTED_VALUE"""),"HER-181")</f>
        <v>HER-181</v>
      </c>
      <c r="F1000" s="213" t="str">
        <f>IFERROR(__xludf.DUMMYFUNCTION("""COMPUTED_VALUE"""),"HER-181")</f>
        <v>HER-181</v>
      </c>
      <c r="G1000" s="213"/>
      <c r="H1000" s="213" t="str">
        <f>IFERROR(__xludf.DUMMYFUNCTION("""COMPUTED_VALUE"""),"PIQUETA MARTILLO CINCEL")</f>
        <v>PIQUETA MARTILLO CINCEL</v>
      </c>
      <c r="I1000" s="213" t="str">
        <f>IFERROR(__xludf.DUMMYFUNCTION("""COMPUTED_VALUE"""),"Piqueta de acero. Mango de madera. Peso mínimo: 0.2 Kg.
Ancho entre: 135 - 145 mm.
Espesor entre: 18 - 22 mm. Longitud total, mínimo: 260 mm.")</f>
        <v>Piqueta de acero. Mango de madera. Peso mínimo: 0.2 Kg.
Ancho entre: 135 - 145 mm.
Espesor entre: 18 - 22 mm. Longitud total, mínimo: 260 mm.</v>
      </c>
      <c r="J1000" s="213">
        <f>IFERROR(__xludf.DUMMYFUNCTION("""COMPUTED_VALUE"""),3.0)</f>
        <v>3</v>
      </c>
      <c r="K1000" s="213" t="str">
        <f>IFERROR(__xludf.DUMMYFUNCTION("""COMPUTED_VALUE"""),"90 DÍAS CALENDARIO")</f>
        <v>90 DÍAS CALENDARIO</v>
      </c>
      <c r="L1000" s="213" t="str">
        <f>IFERROR(__xludf.DUMMYFUNCTION("""COMPUTED_VALUE"""),"")</f>
        <v/>
      </c>
      <c r="M1000" s="213">
        <f>IFERROR(__xludf.DUMMYFUNCTION("""COMPUTED_VALUE"""),1.0)</f>
        <v>1</v>
      </c>
      <c r="N1000" s="213">
        <f>IFERROR(__xludf.DUMMYFUNCTION("""COMPUTED_VALUE"""),1.0)</f>
        <v>1</v>
      </c>
      <c r="O1000" s="213">
        <f>IFERROR(__xludf.DUMMYFUNCTION("""COMPUTED_VALUE"""),1.0)</f>
        <v>1</v>
      </c>
      <c r="P1000" s="213"/>
      <c r="Q1000" s="213"/>
      <c r="R1000" s="213" t="str">
        <f>IFERROR(__xludf.DUMMYFUNCTION("""COMPUTED_VALUE"""),"SI")</f>
        <v>SI</v>
      </c>
      <c r="S1000" s="213"/>
      <c r="T1000" s="213" t="str">
        <f>IFERROR(__xludf.DUMMYFUNCTION("""COMPUTED_VALUE"""),"SI")</f>
        <v>SI</v>
      </c>
      <c r="U1000" s="213" t="str">
        <f>IFERROR(__xludf.DUMMYFUNCTION("""COMPUTED_VALUE"""),"SI")</f>
        <v>SI</v>
      </c>
      <c r="V1000" s="213" t="str">
        <f>IFERROR(__xludf.DUMMYFUNCTION("""COMPUTED_VALUE"""),"-")</f>
        <v>-</v>
      </c>
      <c r="W1000" s="213" t="str">
        <f>IFERROR(__xludf.DUMMYFUNCTION("""COMPUTED_VALUE"""),"-")</f>
        <v>-</v>
      </c>
      <c r="X1000" s="213" t="str">
        <f>IFERROR(__xludf.DUMMYFUNCTION("""COMPUTED_VALUE"""),"GENERICO")</f>
        <v>GENERICO</v>
      </c>
      <c r="Y1000" s="213" t="str">
        <f>IFERROR(__xludf.DUMMYFUNCTION("""COMPUTED_VALUE"""),"GENERICO")</f>
        <v>GENERICO</v>
      </c>
      <c r="Z1000" s="215" t="str">
        <f>IFERROR(__xludf.DUMMYFUNCTION("""COMPUTED_VALUE"""),"https://www.alibaba.com/product-detail/OEM-Logo-Wooden-Handle-Machinist-Hammer_1601218393734.html?spm=a2700.7724857.0.0.650f400asMaz51-https://solter.com/en_GB/shop/06003-welding-pickaxe-wooden-handle-40285#attr=8691,8692")</f>
        <v>https://www.alibaba.com/product-detail/OEM-Logo-Wooden-Handle-Machinist-Hammer_1601218393734.html?spm=a2700.7724857.0.0.650f400asMaz51-https://solter.com/en_GB/shop/06003-welding-pickaxe-wooden-handle-40285#attr=8691,8692</v>
      </c>
      <c r="AA1000" s="213" t="str">
        <f>IFERROR(__xludf.DUMMYFUNCTION("""COMPUTED_VALUE"""),"HER-181 PIQUETA MARTILLO CINCEL - CET")</f>
        <v>HER-181 PIQUETA MARTILLO CINCEL - CET</v>
      </c>
      <c r="AB1000" s="213"/>
      <c r="AC1000" s="213"/>
      <c r="AD1000" s="213"/>
      <c r="AE1000" s="213"/>
      <c r="AF1000" s="213"/>
      <c r="AG1000" s="213"/>
      <c r="AH1000" s="213"/>
      <c r="AI1000" s="213"/>
      <c r="AJ1000" s="213"/>
      <c r="AK1000" s="213"/>
      <c r="AL1000" s="213"/>
      <c r="AM1000" s="213"/>
      <c r="AN1000" s="213"/>
      <c r="AO1000" s="213"/>
      <c r="AP1000" s="213" t="str">
        <f>IFERROR(__xludf.DUMMYFUNCTION("""COMPUTED_VALUE"""),"LUIS")</f>
        <v>LUIS</v>
      </c>
      <c r="AQ1000" s="213"/>
      <c r="AR1000" s="213"/>
      <c r="AS1000" s="213"/>
      <c r="AT1000" s="213"/>
      <c r="AU1000" s="213"/>
      <c r="AV1000" s="213"/>
      <c r="AW1000" s="213"/>
      <c r="AX1000" s="213"/>
      <c r="AY1000" s="213"/>
      <c r="AZ1000" s="213"/>
      <c r="BA1000" s="213"/>
      <c r="BB1000" s="213"/>
      <c r="BC1000" s="213"/>
      <c r="BD1000" s="213"/>
    </row>
    <row r="1001">
      <c r="A1001" s="213">
        <f>IFERROR(__xludf.DUMMYFUNCTION("""COMPUTED_VALUE"""),953.0)</f>
        <v>953</v>
      </c>
      <c r="B1001" s="213" t="str">
        <f>IFERROR(__xludf.DUMMYFUNCTION("""COMPUTED_VALUE"""),"FRANCISCO IRAZOLA")</f>
        <v>FRANCISCO IRAZOLA</v>
      </c>
      <c r="C1001" s="213" t="str">
        <f>IFERROR(__xludf.DUMMYFUNCTION("""COMPUTED_VALUE"""),"TALLER SFT DE MECÁNICA AUTOMOTRIZ")</f>
        <v>TALLER SFT DE MECÁNICA AUTOMOTRIZ</v>
      </c>
      <c r="D1001" s="213" t="str">
        <f>IFERROR(__xludf.DUMMYFUNCTION("""COMPUTED_VALUE"""),"HERRAMIENTAS")</f>
        <v>HERRAMIENTAS</v>
      </c>
      <c r="E1001" s="213" t="str">
        <f>IFERROR(__xludf.DUMMYFUNCTION("""COMPUTED_VALUE"""),"HER-184")</f>
        <v>HER-184</v>
      </c>
      <c r="F1001" s="213" t="str">
        <f>IFERROR(__xludf.DUMMYFUNCTION("""COMPUTED_VALUE"""),"HER-184")</f>
        <v>HER-184</v>
      </c>
      <c r="G1001" s="213"/>
      <c r="H1001" s="213" t="str">
        <f>IFERROR(__xludf.DUMMYFUNCTION("""COMPUTED_VALUE"""),"PRENSA C")</f>
        <v>PRENSA C</v>
      </c>
      <c r="I1001" s="213" t="str">
        <f>IFERROR(__xludf.DUMMYFUNCTION("""COMPUTED_VALUE"""),"Abrazadera de apriete. Abertura máxima: 80 mm. Material metálico.
Tornillo giratorio ajustable.
Pensado para el fijado de materiales.")</f>
        <v>Abrazadera de apriete. Abertura máxima: 80 mm. Material metálico.
Tornillo giratorio ajustable.
Pensado para el fijado de materiales.</v>
      </c>
      <c r="J1001" s="213">
        <f>IFERROR(__xludf.DUMMYFUNCTION("""COMPUTED_VALUE"""),3.0)</f>
        <v>3</v>
      </c>
      <c r="K1001" s="213" t="str">
        <f>IFERROR(__xludf.DUMMYFUNCTION("""COMPUTED_VALUE"""),"90 DÍAS CALENDARIO")</f>
        <v>90 DÍAS CALENDARIO</v>
      </c>
      <c r="L1001" s="213" t="str">
        <f>IFERROR(__xludf.DUMMYFUNCTION("""COMPUTED_VALUE"""),"MECÁNICA AUTOMOTRÍZ, EBANISTERÍA")</f>
        <v>MECÁNICA AUTOMOTRÍZ, EBANISTERÍA</v>
      </c>
      <c r="M1001" s="213">
        <f>IFERROR(__xludf.DUMMYFUNCTION("""COMPUTED_VALUE"""),1.0)</f>
        <v>1</v>
      </c>
      <c r="N1001" s="213">
        <f>IFERROR(__xludf.DUMMYFUNCTION("""COMPUTED_VALUE"""),1.0)</f>
        <v>1</v>
      </c>
      <c r="O1001" s="213">
        <f>IFERROR(__xludf.DUMMYFUNCTION("""COMPUTED_VALUE"""),1.0)</f>
        <v>1</v>
      </c>
      <c r="P1001" s="213"/>
      <c r="Q1001" s="213"/>
      <c r="R1001" s="213" t="str">
        <f>IFERROR(__xludf.DUMMYFUNCTION("""COMPUTED_VALUE"""),"SI")</f>
        <v>SI</v>
      </c>
      <c r="S1001" s="213"/>
      <c r="T1001" s="213" t="str">
        <f>IFERROR(__xludf.DUMMYFUNCTION("""COMPUTED_VALUE"""),"SI")</f>
        <v>SI</v>
      </c>
      <c r="U1001" s="213" t="str">
        <f>IFERROR(__xludf.DUMMYFUNCTION("""COMPUTED_VALUE"""),"SI")</f>
        <v>SI</v>
      </c>
      <c r="V1001" s="213" t="str">
        <f>IFERROR(__xludf.DUMMYFUNCTION("""COMPUTED_VALUE"""),"-")</f>
        <v>-</v>
      </c>
      <c r="W1001" s="213" t="str">
        <f>IFERROR(__xludf.DUMMYFUNCTION("""COMPUTED_VALUE"""),"-")</f>
        <v>-</v>
      </c>
      <c r="X1001" s="213" t="str">
        <f>IFERROR(__xludf.DUMMYFUNCTION("""COMPUTED_VALUE"""),"STANLEY")</f>
        <v>STANLEY</v>
      </c>
      <c r="Y1001" s="213" t="str">
        <f>IFERROR(__xludf.DUMMYFUNCTION("""COMPUTED_VALUE"""),"83-503")</f>
        <v>83-503</v>
      </c>
      <c r="Z1001" s="215" t="str">
        <f>IFERROR(__xludf.DUMMYFUNCTION("""COMPUTED_VALUE"""),"https://prosinfer.pe/product/prensas-c-3%E2%80%B3-80-mm-stanley-83-503/")</f>
        <v>https://prosinfer.pe/product/prensas-c-3%E2%80%B3-80-mm-stanley-83-503/</v>
      </c>
      <c r="AA1001" s="213" t="str">
        <f>IFERROR(__xludf.DUMMYFUNCTION("""COMPUTED_VALUE"""),"HER-184 PRENSA C - CET")</f>
        <v>HER-184 PRENSA C - CET</v>
      </c>
      <c r="AB1001" s="213"/>
      <c r="AC1001" s="213"/>
      <c r="AD1001" s="213"/>
      <c r="AE1001" s="213"/>
      <c r="AF1001" s="213"/>
      <c r="AG1001" s="213"/>
      <c r="AH1001" s="213"/>
      <c r="AI1001" s="213"/>
      <c r="AJ1001" s="213"/>
      <c r="AK1001" s="213"/>
      <c r="AL1001" s="213"/>
      <c r="AM1001" s="213"/>
      <c r="AN1001" s="213"/>
      <c r="AO1001" s="213"/>
      <c r="AP1001" s="213" t="str">
        <f>IFERROR(__xludf.DUMMYFUNCTION("""COMPUTED_VALUE"""),"SEBASTIAN")</f>
        <v>SEBASTIAN</v>
      </c>
      <c r="AQ1001" s="213"/>
      <c r="AR1001" s="213"/>
      <c r="AS1001" s="213"/>
      <c r="AT1001" s="213"/>
      <c r="AU1001" s="213"/>
      <c r="AV1001" s="213"/>
      <c r="AW1001" s="213"/>
      <c r="AX1001" s="213"/>
      <c r="AY1001" s="213"/>
      <c r="AZ1001" s="213"/>
      <c r="BA1001" s="213"/>
      <c r="BB1001" s="213"/>
      <c r="BC1001" s="213"/>
      <c r="BD1001" s="213"/>
    </row>
    <row r="1002">
      <c r="A1002" s="213">
        <f>IFERROR(__xludf.DUMMYFUNCTION("""COMPUTED_VALUE"""),1554.0)</f>
        <v>1554</v>
      </c>
      <c r="B1002" s="213" t="str">
        <f>IFERROR(__xludf.DUMMYFUNCTION("""COMPUTED_VALUE"""),"GUILLERMO E. BILLINGHURST ")</f>
        <v>GUILLERMO E. BILLINGHURST </v>
      </c>
      <c r="C1002" s="213" t="str">
        <f>IFERROR(__xludf.DUMMYFUNCTION("""COMPUTED_VALUE"""),"TALLER SFT DE MECÁNICA AUTOMOTRIZ")</f>
        <v>TALLER SFT DE MECÁNICA AUTOMOTRIZ</v>
      </c>
      <c r="D1002" s="213" t="str">
        <f>IFERROR(__xludf.DUMMYFUNCTION("""COMPUTED_VALUE"""),"HERRAMIENTAS")</f>
        <v>HERRAMIENTAS</v>
      </c>
      <c r="E1002" s="213" t="str">
        <f>IFERROR(__xludf.DUMMYFUNCTION("""COMPUTED_VALUE"""),"HER-184")</f>
        <v>HER-184</v>
      </c>
      <c r="F1002" s="213" t="str">
        <f>IFERROR(__xludf.DUMMYFUNCTION("""COMPUTED_VALUE"""),"HER-184")</f>
        <v>HER-184</v>
      </c>
      <c r="G1002" s="213"/>
      <c r="H1002" s="213" t="str">
        <f>IFERROR(__xludf.DUMMYFUNCTION("""COMPUTED_VALUE"""),"PRENSA C")</f>
        <v>PRENSA C</v>
      </c>
      <c r="I1002" s="213" t="str">
        <f>IFERROR(__xludf.DUMMYFUNCTION("""COMPUTED_VALUE"""),"Abrazadera de apriete. Abertura máxima: 80 mm. Material metálico.
Tornillo giratorio ajustable.
Pensado para el fijado de materiales.")</f>
        <v>Abrazadera de apriete. Abertura máxima: 80 mm. Material metálico.
Tornillo giratorio ajustable.
Pensado para el fijado de materiales.</v>
      </c>
      <c r="J1002" s="213">
        <f>IFERROR(__xludf.DUMMYFUNCTION("""COMPUTED_VALUE"""),3.0)</f>
        <v>3</v>
      </c>
      <c r="K1002" s="213" t="str">
        <f>IFERROR(__xludf.DUMMYFUNCTION("""COMPUTED_VALUE"""),"90 DÍAS CALENDARIO")</f>
        <v>90 DÍAS CALENDARIO</v>
      </c>
      <c r="L1002" s="213" t="str">
        <f>IFERROR(__xludf.DUMMYFUNCTION("""COMPUTED_VALUE"""),"MECÁNICA AUTOMOTRÍZ, EBANISTERÍA")</f>
        <v>MECÁNICA AUTOMOTRÍZ, EBANISTERÍA</v>
      </c>
      <c r="M1002" s="213">
        <f>IFERROR(__xludf.DUMMYFUNCTION("""COMPUTED_VALUE"""),1.0)</f>
        <v>1</v>
      </c>
      <c r="N1002" s="213">
        <f>IFERROR(__xludf.DUMMYFUNCTION("""COMPUTED_VALUE"""),1.0)</f>
        <v>1</v>
      </c>
      <c r="O1002" s="213">
        <f>IFERROR(__xludf.DUMMYFUNCTION("""COMPUTED_VALUE"""),1.0)</f>
        <v>1</v>
      </c>
      <c r="P1002" s="213"/>
      <c r="Q1002" s="213"/>
      <c r="R1002" s="213" t="str">
        <f>IFERROR(__xludf.DUMMYFUNCTION("""COMPUTED_VALUE"""),"SI")</f>
        <v>SI</v>
      </c>
      <c r="S1002" s="213"/>
      <c r="T1002" s="213" t="str">
        <f>IFERROR(__xludf.DUMMYFUNCTION("""COMPUTED_VALUE"""),"SI")</f>
        <v>SI</v>
      </c>
      <c r="U1002" s="213" t="str">
        <f>IFERROR(__xludf.DUMMYFUNCTION("""COMPUTED_VALUE"""),"SI")</f>
        <v>SI</v>
      </c>
      <c r="V1002" s="213" t="str">
        <f>IFERROR(__xludf.DUMMYFUNCTION("""COMPUTED_VALUE"""),"-")</f>
        <v>-</v>
      </c>
      <c r="W1002" s="213" t="str">
        <f>IFERROR(__xludf.DUMMYFUNCTION("""COMPUTED_VALUE"""),"-")</f>
        <v>-</v>
      </c>
      <c r="X1002" s="213" t="str">
        <f>IFERROR(__xludf.DUMMYFUNCTION("""COMPUTED_VALUE"""),"STANLEY")</f>
        <v>STANLEY</v>
      </c>
      <c r="Y1002" s="213" t="str">
        <f>IFERROR(__xludf.DUMMYFUNCTION("""COMPUTED_VALUE"""),"83-503")</f>
        <v>83-503</v>
      </c>
      <c r="Z1002" s="215" t="str">
        <f>IFERROR(__xludf.DUMMYFUNCTION("""COMPUTED_VALUE"""),"https://prosinfer.pe/product/prensas-c-3%E2%80%B3-80-mm-stanley-83-503/")</f>
        <v>https://prosinfer.pe/product/prensas-c-3%E2%80%B3-80-mm-stanley-83-503/</v>
      </c>
      <c r="AA1002" s="213" t="str">
        <f>IFERROR(__xludf.DUMMYFUNCTION("""COMPUTED_VALUE"""),"HER-184 PRENSA C - CET")</f>
        <v>HER-184 PRENSA C - CET</v>
      </c>
      <c r="AB1002" s="213"/>
      <c r="AC1002" s="213"/>
      <c r="AD1002" s="213"/>
      <c r="AE1002" s="213"/>
      <c r="AF1002" s="213"/>
      <c r="AG1002" s="213"/>
      <c r="AH1002" s="213"/>
      <c r="AI1002" s="213"/>
      <c r="AJ1002" s="213"/>
      <c r="AK1002" s="213"/>
      <c r="AL1002" s="213"/>
      <c r="AM1002" s="213"/>
      <c r="AN1002" s="213"/>
      <c r="AO1002" s="213"/>
      <c r="AP1002" s="213" t="str">
        <f>IFERROR(__xludf.DUMMYFUNCTION("""COMPUTED_VALUE"""),"SEBASTIAN")</f>
        <v>SEBASTIAN</v>
      </c>
      <c r="AQ1002" s="213"/>
      <c r="AR1002" s="213"/>
      <c r="AS1002" s="213"/>
      <c r="AT1002" s="213"/>
      <c r="AU1002" s="213"/>
      <c r="AV1002" s="213"/>
      <c r="AW1002" s="213"/>
      <c r="AX1002" s="213"/>
      <c r="AY1002" s="213"/>
      <c r="AZ1002" s="213"/>
      <c r="BA1002" s="213"/>
      <c r="BB1002" s="213"/>
      <c r="BC1002" s="213"/>
      <c r="BD1002" s="213"/>
    </row>
    <row r="1003">
      <c r="A1003" s="213">
        <f>IFERROR(__xludf.DUMMYFUNCTION("""COMPUTED_VALUE"""),1816.0)</f>
        <v>1816</v>
      </c>
      <c r="B1003" s="213" t="str">
        <f>IFERROR(__xludf.DUMMYFUNCTION("""COMPUTED_VALUE"""),"GUILLERMO E. BILLINGHURST ")</f>
        <v>GUILLERMO E. BILLINGHURST </v>
      </c>
      <c r="C1003" s="213" t="str">
        <f>IFERROR(__xludf.DUMMYFUNCTION("""COMPUTED_VALUE"""),"TALLER SFT DE EBANISTERÍA")</f>
        <v>TALLER SFT DE EBANISTERÍA</v>
      </c>
      <c r="D1003" s="213" t="str">
        <f>IFERROR(__xludf.DUMMYFUNCTION("""COMPUTED_VALUE"""),"HERRAMIENTAS")</f>
        <v>HERRAMIENTAS</v>
      </c>
      <c r="E1003" s="213" t="str">
        <f>IFERROR(__xludf.DUMMYFUNCTION("""COMPUTED_VALUE"""),"HER-184")</f>
        <v>HER-184</v>
      </c>
      <c r="F1003" s="213" t="str">
        <f>IFERROR(__xludf.DUMMYFUNCTION("""COMPUTED_VALUE"""),"HER-184")</f>
        <v>HER-184</v>
      </c>
      <c r="G1003" s="213"/>
      <c r="H1003" s="213" t="str">
        <f>IFERROR(__xludf.DUMMYFUNCTION("""COMPUTED_VALUE"""),"PRENSA C")</f>
        <v>PRENSA C</v>
      </c>
      <c r="I1003" s="213" t="str">
        <f>IFERROR(__xludf.DUMMYFUNCTION("""COMPUTED_VALUE"""),"Abrazadera de apriete. Abertura máxima: 80 mm. Material metálico.
Tornillo giratorio ajustable.
Pensado para el fijado de materiales.")</f>
        <v>Abrazadera de apriete. Abertura máxima: 80 mm. Material metálico.
Tornillo giratorio ajustable.
Pensado para el fijado de materiales.</v>
      </c>
      <c r="J1003" s="213">
        <f>IFERROR(__xludf.DUMMYFUNCTION("""COMPUTED_VALUE"""),3.0)</f>
        <v>3</v>
      </c>
      <c r="K1003" s="213" t="str">
        <f>IFERROR(__xludf.DUMMYFUNCTION("""COMPUTED_VALUE"""),"90 DÍAS CALENDARIO")</f>
        <v>90 DÍAS CALENDARIO</v>
      </c>
      <c r="L1003" s="213" t="str">
        <f>IFERROR(__xludf.DUMMYFUNCTION("""COMPUTED_VALUE"""),"MECÁNICA AUTOMOTRÍZ, EBANISTERÍA")</f>
        <v>MECÁNICA AUTOMOTRÍZ, EBANISTERÍA</v>
      </c>
      <c r="M1003" s="213">
        <f>IFERROR(__xludf.DUMMYFUNCTION("""COMPUTED_VALUE"""),1.0)</f>
        <v>1</v>
      </c>
      <c r="N1003" s="213">
        <f>IFERROR(__xludf.DUMMYFUNCTION("""COMPUTED_VALUE"""),16.0)</f>
        <v>16</v>
      </c>
      <c r="O1003" s="213">
        <f>IFERROR(__xludf.DUMMYFUNCTION("""COMPUTED_VALUE"""),16.0)</f>
        <v>16</v>
      </c>
      <c r="P1003" s="213"/>
      <c r="Q1003" s="213"/>
      <c r="R1003" s="213" t="str">
        <f>IFERROR(__xludf.DUMMYFUNCTION("""COMPUTED_VALUE"""),"SI")</f>
        <v>SI</v>
      </c>
      <c r="S1003" s="213"/>
      <c r="T1003" s="213" t="str">
        <f>IFERROR(__xludf.DUMMYFUNCTION("""COMPUTED_VALUE"""),"SI")</f>
        <v>SI</v>
      </c>
      <c r="U1003" s="213" t="str">
        <f>IFERROR(__xludf.DUMMYFUNCTION("""COMPUTED_VALUE"""),"SI")</f>
        <v>SI</v>
      </c>
      <c r="V1003" s="213" t="str">
        <f>IFERROR(__xludf.DUMMYFUNCTION("""COMPUTED_VALUE"""),"-")</f>
        <v>-</v>
      </c>
      <c r="W1003" s="213" t="str">
        <f>IFERROR(__xludf.DUMMYFUNCTION("""COMPUTED_VALUE"""),"-")</f>
        <v>-</v>
      </c>
      <c r="X1003" s="213" t="str">
        <f>IFERROR(__xludf.DUMMYFUNCTION("""COMPUTED_VALUE"""),"STANLEY")</f>
        <v>STANLEY</v>
      </c>
      <c r="Y1003" s="213" t="str">
        <f>IFERROR(__xludf.DUMMYFUNCTION("""COMPUTED_VALUE"""),"83-503")</f>
        <v>83-503</v>
      </c>
      <c r="Z1003" s="215" t="str">
        <f>IFERROR(__xludf.DUMMYFUNCTION("""COMPUTED_VALUE"""),"https://prosinfer.pe/product/prensas-c-3%E2%80%B3-80-mm-stanley-83-503/")</f>
        <v>https://prosinfer.pe/product/prensas-c-3%E2%80%B3-80-mm-stanley-83-503/</v>
      </c>
      <c r="AA1003" s="213" t="str">
        <f>IFERROR(__xludf.DUMMYFUNCTION("""COMPUTED_VALUE"""),"HER-184 PRENSA C - CET")</f>
        <v>HER-184 PRENSA C - CET</v>
      </c>
      <c r="AB1003" s="213"/>
      <c r="AC1003" s="213"/>
      <c r="AD1003" s="213"/>
      <c r="AE1003" s="213"/>
      <c r="AF1003" s="213"/>
      <c r="AG1003" s="213"/>
      <c r="AH1003" s="213"/>
      <c r="AI1003" s="213"/>
      <c r="AJ1003" s="213"/>
      <c r="AK1003" s="213"/>
      <c r="AL1003" s="213"/>
      <c r="AM1003" s="213"/>
      <c r="AN1003" s="213"/>
      <c r="AO1003" s="213"/>
      <c r="AP1003" s="213" t="str">
        <f>IFERROR(__xludf.DUMMYFUNCTION("""COMPUTED_VALUE"""),"SEBASTIAN")</f>
        <v>SEBASTIAN</v>
      </c>
      <c r="AQ1003" s="213"/>
      <c r="AR1003" s="213"/>
      <c r="AS1003" s="213"/>
      <c r="AT1003" s="213"/>
      <c r="AU1003" s="213"/>
      <c r="AV1003" s="213"/>
      <c r="AW1003" s="213"/>
      <c r="AX1003" s="213"/>
      <c r="AY1003" s="213"/>
      <c r="AZ1003" s="213"/>
      <c r="BA1003" s="213"/>
      <c r="BB1003" s="213"/>
      <c r="BC1003" s="213"/>
      <c r="BD1003" s="213"/>
    </row>
    <row r="1004">
      <c r="A1004" s="213">
        <f>IFERROR(__xludf.DUMMYFUNCTION("""COMPUTED_VALUE"""),2246.0)</f>
        <v>2246</v>
      </c>
      <c r="B1004" s="213" t="str">
        <f>IFERROR(__xludf.DUMMYFUNCTION("""COMPUTED_VALUE"""),"JOSE GRANDA")</f>
        <v>JOSE GRANDA</v>
      </c>
      <c r="C1004" s="213" t="str">
        <f>IFERROR(__xludf.DUMMYFUNCTION("""COMPUTED_VALUE"""),"TALLER SFT DE MECÁNICA AUTOMOTRIZ")</f>
        <v>TALLER SFT DE MECÁNICA AUTOMOTRIZ</v>
      </c>
      <c r="D1004" s="213" t="str">
        <f>IFERROR(__xludf.DUMMYFUNCTION("""COMPUTED_VALUE"""),"HERRAMIENTAS")</f>
        <v>HERRAMIENTAS</v>
      </c>
      <c r="E1004" s="213" t="str">
        <f>IFERROR(__xludf.DUMMYFUNCTION("""COMPUTED_VALUE"""),"HER-184")</f>
        <v>HER-184</v>
      </c>
      <c r="F1004" s="213" t="str">
        <f>IFERROR(__xludf.DUMMYFUNCTION("""COMPUTED_VALUE"""),"HER-184")</f>
        <v>HER-184</v>
      </c>
      <c r="G1004" s="213"/>
      <c r="H1004" s="213" t="str">
        <f>IFERROR(__xludf.DUMMYFUNCTION("""COMPUTED_VALUE"""),"PRENSA C")</f>
        <v>PRENSA C</v>
      </c>
      <c r="I1004" s="213" t="str">
        <f>IFERROR(__xludf.DUMMYFUNCTION("""COMPUTED_VALUE"""),"Abrazadera de apriete. Abertura máxima: 80 mm. Material metálico.
Tornillo giratorio ajustable.
Pensado para el fijado de materiales.")</f>
        <v>Abrazadera de apriete. Abertura máxima: 80 mm. Material metálico.
Tornillo giratorio ajustable.
Pensado para el fijado de materiales.</v>
      </c>
      <c r="J1004" s="213">
        <f>IFERROR(__xludf.DUMMYFUNCTION("""COMPUTED_VALUE"""),3.0)</f>
        <v>3</v>
      </c>
      <c r="K1004" s="213" t="str">
        <f>IFERROR(__xludf.DUMMYFUNCTION("""COMPUTED_VALUE"""),"90 DÍAS CALENDARIO")</f>
        <v>90 DÍAS CALENDARIO</v>
      </c>
      <c r="L1004" s="213" t="str">
        <f>IFERROR(__xludf.DUMMYFUNCTION("""COMPUTED_VALUE"""),"MECÁNICA AUTOMOTRÍZ, EBANISTERÍA")</f>
        <v>MECÁNICA AUTOMOTRÍZ, EBANISTERÍA</v>
      </c>
      <c r="M1004" s="213">
        <f>IFERROR(__xludf.DUMMYFUNCTION("""COMPUTED_VALUE"""),1.0)</f>
        <v>1</v>
      </c>
      <c r="N1004" s="213">
        <f>IFERROR(__xludf.DUMMYFUNCTION("""COMPUTED_VALUE"""),1.0)</f>
        <v>1</v>
      </c>
      <c r="O1004" s="213">
        <f>IFERROR(__xludf.DUMMYFUNCTION("""COMPUTED_VALUE"""),1.0)</f>
        <v>1</v>
      </c>
      <c r="P1004" s="213"/>
      <c r="Q1004" s="213"/>
      <c r="R1004" s="213" t="str">
        <f>IFERROR(__xludf.DUMMYFUNCTION("""COMPUTED_VALUE"""),"SI")</f>
        <v>SI</v>
      </c>
      <c r="S1004" s="213"/>
      <c r="T1004" s="213" t="str">
        <f>IFERROR(__xludf.DUMMYFUNCTION("""COMPUTED_VALUE"""),"SI")</f>
        <v>SI</v>
      </c>
      <c r="U1004" s="213" t="str">
        <f>IFERROR(__xludf.DUMMYFUNCTION("""COMPUTED_VALUE"""),"SI")</f>
        <v>SI</v>
      </c>
      <c r="V1004" s="213" t="str">
        <f>IFERROR(__xludf.DUMMYFUNCTION("""COMPUTED_VALUE"""),"-")</f>
        <v>-</v>
      </c>
      <c r="W1004" s="213" t="str">
        <f>IFERROR(__xludf.DUMMYFUNCTION("""COMPUTED_VALUE"""),"-")</f>
        <v>-</v>
      </c>
      <c r="X1004" s="213" t="str">
        <f>IFERROR(__xludf.DUMMYFUNCTION("""COMPUTED_VALUE"""),"STANLEY")</f>
        <v>STANLEY</v>
      </c>
      <c r="Y1004" s="213" t="str">
        <f>IFERROR(__xludf.DUMMYFUNCTION("""COMPUTED_VALUE"""),"83-503")</f>
        <v>83-503</v>
      </c>
      <c r="Z1004" s="215" t="str">
        <f>IFERROR(__xludf.DUMMYFUNCTION("""COMPUTED_VALUE"""),"https://prosinfer.pe/product/prensas-c-3%E2%80%B3-80-mm-stanley-83-503/")</f>
        <v>https://prosinfer.pe/product/prensas-c-3%E2%80%B3-80-mm-stanley-83-503/</v>
      </c>
      <c r="AA1004" s="213" t="str">
        <f>IFERROR(__xludf.DUMMYFUNCTION("""COMPUTED_VALUE"""),"HER-184 PRENSA C - CET")</f>
        <v>HER-184 PRENSA C - CET</v>
      </c>
      <c r="AB1004" s="213"/>
      <c r="AC1004" s="213"/>
      <c r="AD1004" s="213"/>
      <c r="AE1004" s="213"/>
      <c r="AF1004" s="213"/>
      <c r="AG1004" s="213"/>
      <c r="AH1004" s="213"/>
      <c r="AI1004" s="213"/>
      <c r="AJ1004" s="213"/>
      <c r="AK1004" s="213"/>
      <c r="AL1004" s="213"/>
      <c r="AM1004" s="213"/>
      <c r="AN1004" s="213"/>
      <c r="AO1004" s="213"/>
      <c r="AP1004" s="213" t="str">
        <f>IFERROR(__xludf.DUMMYFUNCTION("""COMPUTED_VALUE"""),"SEBASTIAN")</f>
        <v>SEBASTIAN</v>
      </c>
      <c r="AQ1004" s="213"/>
      <c r="AR1004" s="213"/>
      <c r="AS1004" s="213"/>
      <c r="AT1004" s="213"/>
      <c r="AU1004" s="213"/>
      <c r="AV1004" s="213"/>
      <c r="AW1004" s="213"/>
      <c r="AX1004" s="213"/>
      <c r="AY1004" s="213"/>
      <c r="AZ1004" s="213"/>
      <c r="BA1004" s="213"/>
      <c r="BB1004" s="213"/>
      <c r="BC1004" s="213"/>
      <c r="BD1004" s="213"/>
    </row>
    <row r="1005">
      <c r="A1005" s="213">
        <f>IFERROR(__xludf.DUMMYFUNCTION("""COMPUTED_VALUE"""),2598.0)</f>
        <v>2598</v>
      </c>
      <c r="B1005" s="213" t="str">
        <f>IFERROR(__xludf.DUMMYFUNCTION("""COMPUTED_VALUE"""),"MANUEL ANTONIO MESONES MURO")</f>
        <v>MANUEL ANTONIO MESONES MURO</v>
      </c>
      <c r="C1005" s="213" t="str">
        <f>IFERROR(__xludf.DUMMYFUNCTION("""COMPUTED_VALUE"""),"TALLER SFT DE EBANISTERÍA")</f>
        <v>TALLER SFT DE EBANISTERÍA</v>
      </c>
      <c r="D1005" s="213" t="str">
        <f>IFERROR(__xludf.DUMMYFUNCTION("""COMPUTED_VALUE"""),"HERRAMIENTAS")</f>
        <v>HERRAMIENTAS</v>
      </c>
      <c r="E1005" s="213" t="str">
        <f>IFERROR(__xludf.DUMMYFUNCTION("""COMPUTED_VALUE"""),"HER-184")</f>
        <v>HER-184</v>
      </c>
      <c r="F1005" s="213" t="str">
        <f>IFERROR(__xludf.DUMMYFUNCTION("""COMPUTED_VALUE"""),"HER-184")</f>
        <v>HER-184</v>
      </c>
      <c r="G1005" s="213"/>
      <c r="H1005" s="213" t="str">
        <f>IFERROR(__xludf.DUMMYFUNCTION("""COMPUTED_VALUE"""),"PRENSA C")</f>
        <v>PRENSA C</v>
      </c>
      <c r="I1005" s="213" t="str">
        <f>IFERROR(__xludf.DUMMYFUNCTION("""COMPUTED_VALUE"""),"Abrazadera de apriete. Abertura máxima: 80 mm. Material metálico.
Tornillo giratorio ajustable.
Pensado para el fijado de materiales.")</f>
        <v>Abrazadera de apriete. Abertura máxima: 80 mm. Material metálico.
Tornillo giratorio ajustable.
Pensado para el fijado de materiales.</v>
      </c>
      <c r="J1005" s="213">
        <f>IFERROR(__xludf.DUMMYFUNCTION("""COMPUTED_VALUE"""),3.0)</f>
        <v>3</v>
      </c>
      <c r="K1005" s="213" t="str">
        <f>IFERROR(__xludf.DUMMYFUNCTION("""COMPUTED_VALUE"""),"90 DÍAS CALENDARIO")</f>
        <v>90 DÍAS CALENDARIO</v>
      </c>
      <c r="L1005" s="213" t="str">
        <f>IFERROR(__xludf.DUMMYFUNCTION("""COMPUTED_VALUE"""),"MECÁNICA AUTOMOTRÍZ, EBANISTERÍA")</f>
        <v>MECÁNICA AUTOMOTRÍZ, EBANISTERÍA</v>
      </c>
      <c r="M1005" s="213">
        <f>IFERROR(__xludf.DUMMYFUNCTION("""COMPUTED_VALUE"""),1.0)</f>
        <v>1</v>
      </c>
      <c r="N1005" s="213">
        <f>IFERROR(__xludf.DUMMYFUNCTION("""COMPUTED_VALUE"""),16.0)</f>
        <v>16</v>
      </c>
      <c r="O1005" s="213">
        <f>IFERROR(__xludf.DUMMYFUNCTION("""COMPUTED_VALUE"""),16.0)</f>
        <v>16</v>
      </c>
      <c r="P1005" s="213"/>
      <c r="Q1005" s="213"/>
      <c r="R1005" s="213" t="str">
        <f>IFERROR(__xludf.DUMMYFUNCTION("""COMPUTED_VALUE"""),"SI")</f>
        <v>SI</v>
      </c>
      <c r="S1005" s="213"/>
      <c r="T1005" s="213" t="str">
        <f>IFERROR(__xludf.DUMMYFUNCTION("""COMPUTED_VALUE"""),"SI")</f>
        <v>SI</v>
      </c>
      <c r="U1005" s="213" t="str">
        <f>IFERROR(__xludf.DUMMYFUNCTION("""COMPUTED_VALUE"""),"SI")</f>
        <v>SI</v>
      </c>
      <c r="V1005" s="213" t="str">
        <f>IFERROR(__xludf.DUMMYFUNCTION("""COMPUTED_VALUE"""),"-")</f>
        <v>-</v>
      </c>
      <c r="W1005" s="213" t="str">
        <f>IFERROR(__xludf.DUMMYFUNCTION("""COMPUTED_VALUE"""),"-")</f>
        <v>-</v>
      </c>
      <c r="X1005" s="213" t="str">
        <f>IFERROR(__xludf.DUMMYFUNCTION("""COMPUTED_VALUE"""),"STANLEY")</f>
        <v>STANLEY</v>
      </c>
      <c r="Y1005" s="213" t="str">
        <f>IFERROR(__xludf.DUMMYFUNCTION("""COMPUTED_VALUE"""),"83-503")</f>
        <v>83-503</v>
      </c>
      <c r="Z1005" s="215" t="str">
        <f>IFERROR(__xludf.DUMMYFUNCTION("""COMPUTED_VALUE"""),"https://prosinfer.pe/product/prensas-c-3%E2%80%B3-80-mm-stanley-83-503/")</f>
        <v>https://prosinfer.pe/product/prensas-c-3%E2%80%B3-80-mm-stanley-83-503/</v>
      </c>
      <c r="AA1005" s="213" t="str">
        <f>IFERROR(__xludf.DUMMYFUNCTION("""COMPUTED_VALUE"""),"HER-184 PRENSA C - CET")</f>
        <v>HER-184 PRENSA C - CET</v>
      </c>
      <c r="AB1005" s="213"/>
      <c r="AC1005" s="213"/>
      <c r="AD1005" s="213"/>
      <c r="AE1005" s="213"/>
      <c r="AF1005" s="213"/>
      <c r="AG1005" s="213"/>
      <c r="AH1005" s="213"/>
      <c r="AI1005" s="213"/>
      <c r="AJ1005" s="213"/>
      <c r="AK1005" s="213"/>
      <c r="AL1005" s="213"/>
      <c r="AM1005" s="213"/>
      <c r="AN1005" s="213"/>
      <c r="AO1005" s="213"/>
      <c r="AP1005" s="213" t="str">
        <f>IFERROR(__xludf.DUMMYFUNCTION("""COMPUTED_VALUE"""),"SEBASTIAN")</f>
        <v>SEBASTIAN</v>
      </c>
      <c r="AQ1005" s="213"/>
      <c r="AR1005" s="213"/>
      <c r="AS1005" s="213"/>
      <c r="AT1005" s="213"/>
      <c r="AU1005" s="213"/>
      <c r="AV1005" s="213"/>
      <c r="AW1005" s="213"/>
      <c r="AX1005" s="213"/>
      <c r="AY1005" s="213"/>
      <c r="AZ1005" s="213"/>
      <c r="BA1005" s="213"/>
      <c r="BB1005" s="213"/>
      <c r="BC1005" s="213"/>
      <c r="BD1005" s="213"/>
    </row>
    <row r="1006">
      <c r="A1006" s="213">
        <f>IFERROR(__xludf.DUMMYFUNCTION("""COMPUTED_VALUE"""),184.0)</f>
        <v>184</v>
      </c>
      <c r="B1006" s="213" t="str">
        <f>IFERROR(__xludf.DUMMYFUNCTION("""COMPUTED_VALUE"""),"2026 SIMON BOLIVAR")</f>
        <v>2026 SIMON BOLIVAR</v>
      </c>
      <c r="C1006" s="213" t="str">
        <f>IFERROR(__xludf.DUMMYFUNCTION("""COMPUTED_VALUE"""),"TALLER SFT DE INDUSTRIA DEL VESTIDO")</f>
        <v>TALLER SFT DE INDUSTRIA DEL VESTIDO</v>
      </c>
      <c r="D1006" s="213" t="str">
        <f>IFERROR(__xludf.DUMMYFUNCTION("""COMPUTED_VALUE"""),"HERRAMIENTAS")</f>
        <v>HERRAMIENTAS</v>
      </c>
      <c r="E1006" s="213" t="str">
        <f>IFERROR(__xludf.DUMMYFUNCTION("""COMPUTED_VALUE"""),"HER-186")</f>
        <v>HER-186</v>
      </c>
      <c r="F1006" s="213" t="str">
        <f>IFERROR(__xludf.DUMMYFUNCTION("""COMPUTED_VALUE"""),"HER-186")</f>
        <v>HER-186</v>
      </c>
      <c r="G1006" s="213"/>
      <c r="H1006" s="213" t="str">
        <f>IFERROR(__xludf.DUMMYFUNCTION("""COMPUTED_VALUE"""),"REMACHADORA MANUAL")</f>
        <v>REMACHADORA MANUAL</v>
      </c>
      <c r="I1006" s="213" t="str">
        <f>IFERROR(__xludf.DUMMYFUNCTION("""COMPUTED_VALUE"""),"· Coloca todo tipo de botones, broches y  ojalillos a presión con intercambio de troqueles
·  Ancho aproximadas (+-2cm) : 26 cm.
·  Alto aproximadas (+-5cm) : 60 cm.
·  Profundidad  aproximadasv(+-2cm): 7 cm.
·  Material: cuerpo fundido  de hierro .")</f>
        <v>· Coloca todo tipo de botones, broches y  ojalillos a presión con intercambio de troqueles
·  Ancho aproximadas (+-2cm) : 26 cm.
·  Alto aproximadas (+-5cm) : 60 cm.
·  Profundidad  aproximadasv(+-2cm): 7 cm.
·  Material: cuerpo fundido  de hierro .</v>
      </c>
      <c r="J1006" s="213">
        <f>IFERROR(__xludf.DUMMYFUNCTION("""COMPUTED_VALUE"""),3.0)</f>
        <v>3</v>
      </c>
      <c r="K1006" s="213" t="str">
        <f>IFERROR(__xludf.DUMMYFUNCTION("""COMPUTED_VALUE"""),"90 DÍAS CALENDARIO")</f>
        <v>90 DÍAS CALENDARIO</v>
      </c>
      <c r="L1006" s="213" t="str">
        <f>IFERROR(__xludf.DUMMYFUNCTION("""COMPUTED_VALUE"""),"")</f>
        <v/>
      </c>
      <c r="M1006" s="213">
        <f>IFERROR(__xludf.DUMMYFUNCTION("""COMPUTED_VALUE"""),1.0)</f>
        <v>1</v>
      </c>
      <c r="N1006" s="213">
        <f>IFERROR(__xludf.DUMMYFUNCTION("""COMPUTED_VALUE"""),1.0)</f>
        <v>1</v>
      </c>
      <c r="O1006" s="213">
        <f>IFERROR(__xludf.DUMMYFUNCTION("""COMPUTED_VALUE"""),1.0)</f>
        <v>1</v>
      </c>
      <c r="P1006" s="213"/>
      <c r="Q1006" s="213"/>
      <c r="R1006" s="213" t="str">
        <f>IFERROR(__xludf.DUMMYFUNCTION("""COMPUTED_VALUE"""),"SI")</f>
        <v>SI</v>
      </c>
      <c r="S1006" s="213"/>
      <c r="T1006" s="213" t="str">
        <f>IFERROR(__xludf.DUMMYFUNCTION("""COMPUTED_VALUE"""),"SI")</f>
        <v>SI</v>
      </c>
      <c r="U1006" s="213" t="str">
        <f>IFERROR(__xludf.DUMMYFUNCTION("""COMPUTED_VALUE"""),"SI")</f>
        <v>SI</v>
      </c>
      <c r="V1006" s="213" t="str">
        <f>IFERROR(__xludf.DUMMYFUNCTION("""COMPUTED_VALUE"""),"-")</f>
        <v>-</v>
      </c>
      <c r="W1006" s="213" t="str">
        <f>IFERROR(__xludf.DUMMYFUNCTION("""COMPUTED_VALUE"""),"-")</f>
        <v>-</v>
      </c>
      <c r="X1006" s="213" t="str">
        <f>IFERROR(__xludf.DUMMYFUNCTION("""COMPUTED_VALUE"""),"HERMMEX")</f>
        <v>HERMMEX</v>
      </c>
      <c r="Y1006" s="213" t="str">
        <f>IFERROR(__xludf.DUMMYFUNCTION("""COMPUTED_VALUE""")," M-94b")</f>
        <v> M-94b</v>
      </c>
      <c r="Z1006" s="215" t="str">
        <f>IFERROR(__xludf.DUMMYFUNCTION("""COMPUTED_VALUE"""),"https://www.claroshop.com/producto/14785171/ojilladora-remachadora-manual-m-94b?utm_source=chatgpt.com")</f>
        <v>https://www.claroshop.com/producto/14785171/ojilladora-remachadora-manual-m-94b?utm_source=chatgpt.com</v>
      </c>
      <c r="AA1006" s="215" t="str">
        <f>IFERROR(__xludf.DUMMYFUNCTION("""COMPUTED_VALUE"""),"https://docs.google.com/spreadsheets/d/1AiI9UVwzD_zcMU5cxZpEh6Jsuzb_c3rn2bwUk5EW4oo/edit?gid=0#gid=0")</f>
        <v>https://docs.google.com/spreadsheets/d/1AiI9UVwzD_zcMU5cxZpEh6Jsuzb_c3rn2bwUk5EW4oo/edit?gid=0#gid=0</v>
      </c>
      <c r="AB1006" s="213"/>
      <c r="AC1006" s="213"/>
      <c r="AD1006" s="213"/>
      <c r="AE1006" s="213"/>
      <c r="AF1006" s="213"/>
      <c r="AG1006" s="213"/>
      <c r="AH1006" s="213"/>
      <c r="AI1006" s="213"/>
      <c r="AJ1006" s="213"/>
      <c r="AK1006" s="213"/>
      <c r="AL1006" s="213"/>
      <c r="AM1006" s="213"/>
      <c r="AN1006" s="213"/>
      <c r="AO1006" s="213"/>
      <c r="AP1006" s="213" t="str">
        <f>IFERROR(__xludf.DUMMYFUNCTION("""COMPUTED_VALUE"""),"SEBASTIAN")</f>
        <v>SEBASTIAN</v>
      </c>
      <c r="AQ1006" s="213"/>
      <c r="AR1006" s="213"/>
      <c r="AS1006" s="213"/>
      <c r="AT1006" s="213"/>
      <c r="AU1006" s="213"/>
      <c r="AV1006" s="213"/>
      <c r="AW1006" s="213"/>
      <c r="AX1006" s="213"/>
      <c r="AY1006" s="213"/>
      <c r="AZ1006" s="213"/>
      <c r="BA1006" s="213"/>
      <c r="BB1006" s="213"/>
      <c r="BC1006" s="213"/>
      <c r="BD1006" s="213"/>
    </row>
    <row r="1007">
      <c r="A1007" s="213">
        <f>IFERROR(__xludf.DUMMYFUNCTION("""COMPUTED_VALUE"""),2404.0)</f>
        <v>2404</v>
      </c>
      <c r="B1007" s="213" t="str">
        <f>IFERROR(__xludf.DUMMYFUNCTION("""COMPUTED_VALUE"""),"MANUEL ANTONIO MESONES MURO")</f>
        <v>MANUEL ANTONIO MESONES MURO</v>
      </c>
      <c r="C1007" s="213" t="str">
        <f>IFERROR(__xludf.DUMMYFUNCTION("""COMPUTED_VALUE"""),"TALLER SFT DE INDUSTRIA DEL VESTIDO")</f>
        <v>TALLER SFT DE INDUSTRIA DEL VESTIDO</v>
      </c>
      <c r="D1007" s="213" t="str">
        <f>IFERROR(__xludf.DUMMYFUNCTION("""COMPUTED_VALUE"""),"HERRAMIENTAS")</f>
        <v>HERRAMIENTAS</v>
      </c>
      <c r="E1007" s="213" t="str">
        <f>IFERROR(__xludf.DUMMYFUNCTION("""COMPUTED_VALUE"""),"HER-186")</f>
        <v>HER-186</v>
      </c>
      <c r="F1007" s="213" t="str">
        <f>IFERROR(__xludf.DUMMYFUNCTION("""COMPUTED_VALUE"""),"HER-186")</f>
        <v>HER-186</v>
      </c>
      <c r="G1007" s="213"/>
      <c r="H1007" s="213" t="str">
        <f>IFERROR(__xludf.DUMMYFUNCTION("""COMPUTED_VALUE"""),"REMACHADORA MANUAL")</f>
        <v>REMACHADORA MANUAL</v>
      </c>
      <c r="I1007" s="213" t="str">
        <f>IFERROR(__xludf.DUMMYFUNCTION("""COMPUTED_VALUE"""),"· Coloca todo tipo de botones, broches y  ojalillos a presión con intercambio de troqueles
·  Ancho aproximadas (+-2cm) : 26 cm.
·  Alto aproximadas (+-5cm) : 60 cm.
·  Profundidad  aproximadasv(+-2cm): 7 cm.
·  Material: cuerpo fundido  de hierro .")</f>
        <v>· Coloca todo tipo de botones, broches y  ojalillos a presión con intercambio de troqueles
·  Ancho aproximadas (+-2cm) : 26 cm.
·  Alto aproximadas (+-5cm) : 60 cm.
·  Profundidad  aproximadasv(+-2cm): 7 cm.
·  Material: cuerpo fundido  de hierro .</v>
      </c>
      <c r="J1007" s="213">
        <f>IFERROR(__xludf.DUMMYFUNCTION("""COMPUTED_VALUE"""),3.0)</f>
        <v>3</v>
      </c>
      <c r="K1007" s="213" t="str">
        <f>IFERROR(__xludf.DUMMYFUNCTION("""COMPUTED_VALUE"""),"90 DÍAS CALENDARIO")</f>
        <v>90 DÍAS CALENDARIO</v>
      </c>
      <c r="L1007" s="213" t="str">
        <f>IFERROR(__xludf.DUMMYFUNCTION("""COMPUTED_VALUE"""),"")</f>
        <v/>
      </c>
      <c r="M1007" s="213">
        <f>IFERROR(__xludf.DUMMYFUNCTION("""COMPUTED_VALUE"""),1.0)</f>
        <v>1</v>
      </c>
      <c r="N1007" s="213">
        <f>IFERROR(__xludf.DUMMYFUNCTION("""COMPUTED_VALUE"""),1.0)</f>
        <v>1</v>
      </c>
      <c r="O1007" s="213">
        <f>IFERROR(__xludf.DUMMYFUNCTION("""COMPUTED_VALUE"""),1.0)</f>
        <v>1</v>
      </c>
      <c r="P1007" s="213"/>
      <c r="Q1007" s="213"/>
      <c r="R1007" s="213" t="str">
        <f>IFERROR(__xludf.DUMMYFUNCTION("""COMPUTED_VALUE"""),"SI")</f>
        <v>SI</v>
      </c>
      <c r="S1007" s="213"/>
      <c r="T1007" s="213" t="str">
        <f>IFERROR(__xludf.DUMMYFUNCTION("""COMPUTED_VALUE"""),"SI")</f>
        <v>SI</v>
      </c>
      <c r="U1007" s="213" t="str">
        <f>IFERROR(__xludf.DUMMYFUNCTION("""COMPUTED_VALUE"""),"SI")</f>
        <v>SI</v>
      </c>
      <c r="V1007" s="213" t="str">
        <f>IFERROR(__xludf.DUMMYFUNCTION("""COMPUTED_VALUE"""),"-")</f>
        <v>-</v>
      </c>
      <c r="W1007" s="213" t="str">
        <f>IFERROR(__xludf.DUMMYFUNCTION("""COMPUTED_VALUE"""),"-")</f>
        <v>-</v>
      </c>
      <c r="X1007" s="213" t="str">
        <f>IFERROR(__xludf.DUMMYFUNCTION("""COMPUTED_VALUE"""),"HERMMEX")</f>
        <v>HERMMEX</v>
      </c>
      <c r="Y1007" s="213" t="str">
        <f>IFERROR(__xludf.DUMMYFUNCTION("""COMPUTED_VALUE""")," M-94b")</f>
        <v> M-94b</v>
      </c>
      <c r="Z1007" s="215" t="str">
        <f>IFERROR(__xludf.DUMMYFUNCTION("""COMPUTED_VALUE"""),"https://www.claroshop.com/producto/14785171/ojilladora-remachadora-manual-m-94b?utm_source=chatgpt.com")</f>
        <v>https://www.claroshop.com/producto/14785171/ojilladora-remachadora-manual-m-94b?utm_source=chatgpt.com</v>
      </c>
      <c r="AA1007" s="215" t="str">
        <f>IFERROR(__xludf.DUMMYFUNCTION("""COMPUTED_VALUE"""),"https://docs.google.com/spreadsheets/d/1AiI9UVwzD_zcMU5cxZpEh6Jsuzb_c3rn2bwUk5EW4oo/edit?gid=0#gid=0")</f>
        <v>https://docs.google.com/spreadsheets/d/1AiI9UVwzD_zcMU5cxZpEh6Jsuzb_c3rn2bwUk5EW4oo/edit?gid=0#gid=0</v>
      </c>
      <c r="AB1007" s="213"/>
      <c r="AC1007" s="213"/>
      <c r="AD1007" s="213"/>
      <c r="AE1007" s="213"/>
      <c r="AF1007" s="213"/>
      <c r="AG1007" s="213"/>
      <c r="AH1007" s="213"/>
      <c r="AI1007" s="213"/>
      <c r="AJ1007" s="213"/>
      <c r="AK1007" s="213"/>
      <c r="AL1007" s="213"/>
      <c r="AM1007" s="213"/>
      <c r="AN1007" s="213"/>
      <c r="AO1007" s="213"/>
      <c r="AP1007" s="213" t="str">
        <f>IFERROR(__xludf.DUMMYFUNCTION("""COMPUTED_VALUE"""),"SEBASTIAN")</f>
        <v>SEBASTIAN</v>
      </c>
      <c r="AQ1007" s="213"/>
      <c r="AR1007" s="213"/>
      <c r="AS1007" s="213"/>
      <c r="AT1007" s="213"/>
      <c r="AU1007" s="213"/>
      <c r="AV1007" s="213"/>
      <c r="AW1007" s="213"/>
      <c r="AX1007" s="213"/>
      <c r="AY1007" s="213"/>
      <c r="AZ1007" s="213"/>
      <c r="BA1007" s="213"/>
      <c r="BB1007" s="213"/>
      <c r="BC1007" s="213"/>
      <c r="BD1007" s="213"/>
    </row>
    <row r="1008">
      <c r="A1008" s="213">
        <f>IFERROR(__xludf.DUMMYFUNCTION("""COMPUTED_VALUE"""),1815.0)</f>
        <v>1815</v>
      </c>
      <c r="B1008" s="213" t="str">
        <f>IFERROR(__xludf.DUMMYFUNCTION("""COMPUTED_VALUE"""),"GUILLERMO E. BILLINGHURST ")</f>
        <v>GUILLERMO E. BILLINGHURST </v>
      </c>
      <c r="C1008" s="213" t="str">
        <f>IFERROR(__xludf.DUMMYFUNCTION("""COMPUTED_VALUE"""),"TALLER SFT DE EBANISTERÍA")</f>
        <v>TALLER SFT DE EBANISTERÍA</v>
      </c>
      <c r="D1008" s="213" t="str">
        <f>IFERROR(__xludf.DUMMYFUNCTION("""COMPUTED_VALUE"""),"HERRAMIENTAS")</f>
        <v>HERRAMIENTAS</v>
      </c>
      <c r="E1008" s="213" t="str">
        <f>IFERROR(__xludf.DUMMYFUNCTION("""COMPUTED_VALUE"""),"HER-188")</f>
        <v>HER-188</v>
      </c>
      <c r="F1008" s="213" t="str">
        <f>IFERROR(__xludf.DUMMYFUNCTION("""COMPUTED_VALUE"""),"HER-188")</f>
        <v>HER-188</v>
      </c>
      <c r="G1008" s="213"/>
      <c r="H1008" s="213" t="str">
        <f>IFERROR(__xludf.DUMMYFUNCTION("""COMPUTED_VALUE"""),"SARGENTAS DE 120 CM")</f>
        <v>SARGENTAS DE 120 CM</v>
      </c>
      <c r="I1008" s="213" t="str">
        <f>IFERROR(__xludf.DUMMYFUNCTION("""COMPUTED_VALUE"""),"Soporte fijo y corredizo, con barra metálica. Mecanismo de traba para fijar la base del tornillo.
Bocas forjadas que permiten una gran fuerza de forma constante. Longitud de apertura, máximo: 1200 mm.
Longitud de profundidad de la boca: 150 mm.")</f>
        <v>Soporte fijo y corredizo, con barra metálica. Mecanismo de traba para fijar la base del tornillo.
Bocas forjadas que permiten una gran fuerza de forma constante. Longitud de apertura, máximo: 1200 mm.
Longitud de profundidad de la boca: 150 mm.</v>
      </c>
      <c r="J1008" s="213">
        <f>IFERROR(__xludf.DUMMYFUNCTION("""COMPUTED_VALUE"""),3.0)</f>
        <v>3</v>
      </c>
      <c r="K1008" s="213" t="str">
        <f>IFERROR(__xludf.DUMMYFUNCTION("""COMPUTED_VALUE"""),"90 DÍAS CALENDARIO")</f>
        <v>90 DÍAS CALENDARIO</v>
      </c>
      <c r="L1008" s="213" t="str">
        <f>IFERROR(__xludf.DUMMYFUNCTION("""COMPUTED_VALUE"""),"")</f>
        <v/>
      </c>
      <c r="M1008" s="213">
        <f>IFERROR(__xludf.DUMMYFUNCTION("""COMPUTED_VALUE"""),1.0)</f>
        <v>1</v>
      </c>
      <c r="N1008" s="213">
        <f>IFERROR(__xludf.DUMMYFUNCTION("""COMPUTED_VALUE"""),12.0)</f>
        <v>12</v>
      </c>
      <c r="O1008" s="213">
        <f>IFERROR(__xludf.DUMMYFUNCTION("""COMPUTED_VALUE"""),12.0)</f>
        <v>12</v>
      </c>
      <c r="P1008" s="213"/>
      <c r="Q1008" s="213"/>
      <c r="R1008" s="213" t="str">
        <f>IFERROR(__xludf.DUMMYFUNCTION("""COMPUTED_VALUE"""),"SI")</f>
        <v>SI</v>
      </c>
      <c r="S1008" s="213"/>
      <c r="T1008" s="213" t="str">
        <f>IFERROR(__xludf.DUMMYFUNCTION("""COMPUTED_VALUE"""),"CONSULTA FINAL")</f>
        <v>CONSULTA FINAL</v>
      </c>
      <c r="U1008" s="213" t="str">
        <f>IFERROR(__xludf.DUMMYFUNCTION("""COMPUTED_VALUE"""),"SI")</f>
        <v>SI</v>
      </c>
      <c r="V1008" s="213" t="str">
        <f>IFERROR(__xludf.DUMMYFUNCTION("""COMPUTED_VALUE"""),"-")</f>
        <v>-</v>
      </c>
      <c r="W1008" s="213" t="str">
        <f>IFERROR(__xludf.DUMMYFUNCTION("""COMPUTED_VALUE"""),"-")</f>
        <v>-</v>
      </c>
      <c r="X1008" s="213" t="str">
        <f>IFERROR(__xludf.DUMMYFUNCTION("""COMPUTED_VALUE"""),"PONY JORGENSEN")</f>
        <v>PONY JORGENSEN</v>
      </c>
      <c r="Y1008" s="213">
        <f>IFERROR(__xludf.DUMMYFUNCTION("""COMPUTED_VALUE"""),4748.0)</f>
        <v>4748</v>
      </c>
      <c r="Z1008" s="215" t="str">
        <f>IFERROR(__xludf.DUMMYFUNCTION("""COMPUTED_VALUE"""),"https://ponyjorgensen.com/product/jorgensen-deep-reach-throat-bar-clamp/")</f>
        <v>https://ponyjorgensen.com/product/jorgensen-deep-reach-throat-bar-clamp/</v>
      </c>
      <c r="AA1008" s="213" t="str">
        <f>IFERROR(__xludf.DUMMYFUNCTION("""COMPUTED_VALUE"""),"HER-188 SARGENTAS DE 120 CM - CET")</f>
        <v>HER-188 SARGENTAS DE 120 CM - CET</v>
      </c>
      <c r="AB1008" s="213"/>
      <c r="AC1008" s="213"/>
      <c r="AD1008" s="213"/>
      <c r="AE1008" s="213"/>
      <c r="AF1008" s="213"/>
      <c r="AG1008" s="213"/>
      <c r="AH1008" s="213"/>
      <c r="AI1008" s="213"/>
      <c r="AJ1008" s="213"/>
      <c r="AK1008" s="213"/>
      <c r="AL1008" s="213"/>
      <c r="AM1008" s="213"/>
      <c r="AN1008" s="213"/>
      <c r="AO1008" s="213"/>
      <c r="AP1008" s="213" t="str">
        <f>IFERROR(__xludf.DUMMYFUNCTION("""COMPUTED_VALUE"""),"SEBASTIAN")</f>
        <v>SEBASTIAN</v>
      </c>
      <c r="AQ1008" s="213"/>
      <c r="AR1008" s="213"/>
      <c r="AS1008" s="213"/>
      <c r="AT1008" s="213"/>
      <c r="AU1008" s="213"/>
      <c r="AV1008" s="213"/>
      <c r="AW1008" s="213"/>
      <c r="AX1008" s="213"/>
      <c r="AY1008" s="213"/>
      <c r="AZ1008" s="213"/>
      <c r="BA1008" s="213"/>
      <c r="BB1008" s="213"/>
      <c r="BC1008" s="213"/>
      <c r="BD1008" s="213"/>
    </row>
    <row r="1009">
      <c r="A1009" s="213">
        <f>IFERROR(__xludf.DUMMYFUNCTION("""COMPUTED_VALUE"""),1686.0)</f>
        <v>1686</v>
      </c>
      <c r="B1009" s="213" t="str">
        <f>IFERROR(__xludf.DUMMYFUNCTION("""COMPUTED_VALUE"""),"GUILLERMO E. BILLINGHURST ")</f>
        <v>GUILLERMO E. BILLINGHURST </v>
      </c>
      <c r="C1009" s="213" t="str">
        <f>IFERROR(__xludf.DUMMYFUNCTION("""COMPUTED_VALUE"""),"TALLER SFT DE COMPUTACIÓN E INFORMÁTICA")</f>
        <v>TALLER SFT DE COMPUTACIÓN E INFORMÁTICA</v>
      </c>
      <c r="D1009" s="213" t="str">
        <f>IFERROR(__xludf.DUMMYFUNCTION("""COMPUTED_VALUE"""),"PEDAGOGICO")</f>
        <v>PEDAGOGICO</v>
      </c>
      <c r="E1009" s="213" t="str">
        <f>IFERROR(__xludf.DUMMYFUNCTION("""COMPUTED_VALUE"""),"MAT-164")</f>
        <v>MAT-164</v>
      </c>
      <c r="F1009" s="213" t="str">
        <f>IFERROR(__xludf.DUMMYFUNCTION("""COMPUTED_VALUE"""),"MAT-164-Y-2")</f>
        <v>MAT-164-Y-2</v>
      </c>
      <c r="G1009" s="213"/>
      <c r="H1009" s="213" t="str">
        <f>IFERROR(__xludf.DUMMYFUNCTION("""COMPUTED_VALUE"""),"JUEGO DE FICHAS PARA EL APRENDIZAJE DE LA SEÑALÉTICA Y SÍMBOLOS DE SEGURIDAD PARA EL TALLER")</f>
        <v>JUEGO DE FICHAS PARA EL APRENDIZAJE DE LA SEÑALÉTICA Y SÍMBOLOS DE SEGURIDAD PARA EL TALLER</v>
      </c>
      <c r="I1009"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am"&amp;"bos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1009" s="213">
        <f>IFERROR(__xludf.DUMMYFUNCTION("""COMPUTED_VALUE"""),3.0)</f>
        <v>3</v>
      </c>
      <c r="K1009" s="213" t="str">
        <f>IFERROR(__xludf.DUMMYFUNCTION("""COMPUTED_VALUE"""),"90 DÍAS CALENDARIO")</f>
        <v>90 DÍAS CALENDARIO</v>
      </c>
      <c r="L1009" s="213" t="str">
        <f>IFERROR(__xludf.DUMMYFUNCTION("""COMPUTED_VALUE"""),"")</f>
        <v/>
      </c>
      <c r="M1009" s="213">
        <f>IFERROR(__xludf.DUMMYFUNCTION("""COMPUTED_VALUE"""),1.0)</f>
        <v>1</v>
      </c>
      <c r="N1009" s="213">
        <f>IFERROR(__xludf.DUMMYFUNCTION("""COMPUTED_VALUE"""),1.0)</f>
        <v>1</v>
      </c>
      <c r="O1009" s="213">
        <f>IFERROR(__xludf.DUMMYFUNCTION("""COMPUTED_VALUE"""),1.0)</f>
        <v>1</v>
      </c>
      <c r="P1009" s="213"/>
      <c r="Q1009" s="213"/>
      <c r="R1009" s="213"/>
      <c r="S1009" s="213"/>
      <c r="T1009" s="213"/>
      <c r="U1009" s="213"/>
      <c r="V1009" s="213"/>
      <c r="W1009" s="213"/>
      <c r="X1009" s="213"/>
      <c r="Y1009" s="213"/>
      <c r="Z1009" s="213"/>
      <c r="AA1009" s="213"/>
      <c r="AB1009" s="213"/>
      <c r="AC1009" s="213"/>
      <c r="AD1009" s="213"/>
      <c r="AE1009" s="213"/>
      <c r="AF1009" s="213"/>
      <c r="AG1009" s="213"/>
      <c r="AH1009" s="213"/>
      <c r="AI1009" s="213"/>
      <c r="AJ1009" s="213"/>
      <c r="AK1009" s="213"/>
      <c r="AL1009" s="213"/>
      <c r="AM1009" s="213"/>
      <c r="AN1009" s="213"/>
      <c r="AO1009" s="213"/>
      <c r="AP1009" s="213"/>
      <c r="AQ1009" s="213"/>
      <c r="AR1009" s="213"/>
      <c r="AS1009" s="213"/>
      <c r="AT1009" s="213"/>
      <c r="AU1009" s="213"/>
      <c r="AV1009" s="213"/>
      <c r="AW1009" s="213"/>
      <c r="AX1009" s="213"/>
      <c r="AY1009" s="213"/>
      <c r="AZ1009" s="213"/>
      <c r="BA1009" s="213"/>
      <c r="BB1009" s="213"/>
      <c r="BC1009" s="213"/>
      <c r="BD1009" s="213"/>
    </row>
    <row r="1010">
      <c r="A1010" s="213">
        <f>IFERROR(__xludf.DUMMYFUNCTION("""COMPUTED_VALUE"""),2597.0)</f>
        <v>2597</v>
      </c>
      <c r="B1010" s="213" t="str">
        <f>IFERROR(__xludf.DUMMYFUNCTION("""COMPUTED_VALUE"""),"MANUEL ANTONIO MESONES MURO")</f>
        <v>MANUEL ANTONIO MESONES MURO</v>
      </c>
      <c r="C1010" s="213" t="str">
        <f>IFERROR(__xludf.DUMMYFUNCTION("""COMPUTED_VALUE"""),"TALLER SFT DE EBANISTERÍA")</f>
        <v>TALLER SFT DE EBANISTERÍA</v>
      </c>
      <c r="D1010" s="213" t="str">
        <f>IFERROR(__xludf.DUMMYFUNCTION("""COMPUTED_VALUE"""),"HERRAMIENTAS")</f>
        <v>HERRAMIENTAS</v>
      </c>
      <c r="E1010" s="213" t="str">
        <f>IFERROR(__xludf.DUMMYFUNCTION("""COMPUTED_VALUE"""),"HER-188")</f>
        <v>HER-188</v>
      </c>
      <c r="F1010" s="213" t="str">
        <f>IFERROR(__xludf.DUMMYFUNCTION("""COMPUTED_VALUE"""),"HER-188")</f>
        <v>HER-188</v>
      </c>
      <c r="G1010" s="213"/>
      <c r="H1010" s="213" t="str">
        <f>IFERROR(__xludf.DUMMYFUNCTION("""COMPUTED_VALUE"""),"SARGENTAS DE 120 CM")</f>
        <v>SARGENTAS DE 120 CM</v>
      </c>
      <c r="I1010" s="213" t="str">
        <f>IFERROR(__xludf.DUMMYFUNCTION("""COMPUTED_VALUE"""),"Soporte fijo y corredizo, con barra metálica. Mecanismo de traba para fijar la base del tornillo.
Bocas forjadas que permiten una gran fuerza de forma constante. Longitud de apertura, máximo: 1200 mm.
Longitud de profundidad de la boca: 150 mm.")</f>
        <v>Soporte fijo y corredizo, con barra metálica. Mecanismo de traba para fijar la base del tornillo.
Bocas forjadas que permiten una gran fuerza de forma constante. Longitud de apertura, máximo: 1200 mm.
Longitud de profundidad de la boca: 150 mm.</v>
      </c>
      <c r="J1010" s="213">
        <f>IFERROR(__xludf.DUMMYFUNCTION("""COMPUTED_VALUE"""),3.0)</f>
        <v>3</v>
      </c>
      <c r="K1010" s="213" t="str">
        <f>IFERROR(__xludf.DUMMYFUNCTION("""COMPUTED_VALUE"""),"90 DÍAS CALENDARIO")</f>
        <v>90 DÍAS CALENDARIO</v>
      </c>
      <c r="L1010" s="213" t="str">
        <f>IFERROR(__xludf.DUMMYFUNCTION("""COMPUTED_VALUE"""),"")</f>
        <v/>
      </c>
      <c r="M1010" s="213">
        <f>IFERROR(__xludf.DUMMYFUNCTION("""COMPUTED_VALUE"""),1.0)</f>
        <v>1</v>
      </c>
      <c r="N1010" s="213">
        <f>IFERROR(__xludf.DUMMYFUNCTION("""COMPUTED_VALUE"""),12.0)</f>
        <v>12</v>
      </c>
      <c r="O1010" s="213">
        <f>IFERROR(__xludf.DUMMYFUNCTION("""COMPUTED_VALUE"""),12.0)</f>
        <v>12</v>
      </c>
      <c r="P1010" s="213"/>
      <c r="Q1010" s="213"/>
      <c r="R1010" s="213" t="str">
        <f>IFERROR(__xludf.DUMMYFUNCTION("""COMPUTED_VALUE"""),"SI")</f>
        <v>SI</v>
      </c>
      <c r="S1010" s="213"/>
      <c r="T1010" s="213" t="str">
        <f>IFERROR(__xludf.DUMMYFUNCTION("""COMPUTED_VALUE"""),"CONSULTA FINAL")</f>
        <v>CONSULTA FINAL</v>
      </c>
      <c r="U1010" s="213" t="str">
        <f>IFERROR(__xludf.DUMMYFUNCTION("""COMPUTED_VALUE"""),"SI")</f>
        <v>SI</v>
      </c>
      <c r="V1010" s="213" t="str">
        <f>IFERROR(__xludf.DUMMYFUNCTION("""COMPUTED_VALUE"""),"-")</f>
        <v>-</v>
      </c>
      <c r="W1010" s="213" t="str">
        <f>IFERROR(__xludf.DUMMYFUNCTION("""COMPUTED_VALUE"""),"-")</f>
        <v>-</v>
      </c>
      <c r="X1010" s="213" t="str">
        <f>IFERROR(__xludf.DUMMYFUNCTION("""COMPUTED_VALUE"""),"PONY JORGENSEN")</f>
        <v>PONY JORGENSEN</v>
      </c>
      <c r="Y1010" s="213">
        <f>IFERROR(__xludf.DUMMYFUNCTION("""COMPUTED_VALUE"""),4748.0)</f>
        <v>4748</v>
      </c>
      <c r="Z1010" s="215" t="str">
        <f>IFERROR(__xludf.DUMMYFUNCTION("""COMPUTED_VALUE"""),"https://ponyjorgensen.com/product/jorgensen-deep-reach-throat-bar-clamp/")</f>
        <v>https://ponyjorgensen.com/product/jorgensen-deep-reach-throat-bar-clamp/</v>
      </c>
      <c r="AA1010" s="213" t="str">
        <f>IFERROR(__xludf.DUMMYFUNCTION("""COMPUTED_VALUE"""),"HER-188 SARGENTAS DE 120 CM - CET")</f>
        <v>HER-188 SARGENTAS DE 120 CM - CET</v>
      </c>
      <c r="AB1010" s="213"/>
      <c r="AC1010" s="213"/>
      <c r="AD1010" s="213"/>
      <c r="AE1010" s="213"/>
      <c r="AF1010" s="213"/>
      <c r="AG1010" s="213"/>
      <c r="AH1010" s="213"/>
      <c r="AI1010" s="213"/>
      <c r="AJ1010" s="213"/>
      <c r="AK1010" s="213"/>
      <c r="AL1010" s="213"/>
      <c r="AM1010" s="213"/>
      <c r="AN1010" s="213"/>
      <c r="AO1010" s="213"/>
      <c r="AP1010" s="213" t="str">
        <f>IFERROR(__xludf.DUMMYFUNCTION("""COMPUTED_VALUE"""),"SEBASTIAN")</f>
        <v>SEBASTIAN</v>
      </c>
      <c r="AQ1010" s="213"/>
      <c r="AR1010" s="213"/>
      <c r="AS1010" s="213"/>
      <c r="AT1010" s="213"/>
      <c r="AU1010" s="213"/>
      <c r="AV1010" s="213"/>
      <c r="AW1010" s="213"/>
      <c r="AX1010" s="213"/>
      <c r="AY1010" s="213"/>
      <c r="AZ1010" s="213"/>
      <c r="BA1010" s="213"/>
      <c r="BB1010" s="213"/>
      <c r="BC1010" s="213"/>
      <c r="BD1010" s="213"/>
    </row>
    <row r="1011">
      <c r="A1011" s="213">
        <f>IFERROR(__xludf.DUMMYFUNCTION("""COMPUTED_VALUE"""),1802.0)</f>
        <v>1802</v>
      </c>
      <c r="B1011" s="213" t="str">
        <f>IFERROR(__xludf.DUMMYFUNCTION("""COMPUTED_VALUE"""),"GUILLERMO E. BILLINGHURST ")</f>
        <v>GUILLERMO E. BILLINGHURST </v>
      </c>
      <c r="C1011" s="213" t="str">
        <f>IFERROR(__xludf.DUMMYFUNCTION("""COMPUTED_VALUE"""),"TALLER SFT DE EBANISTERÍA")</f>
        <v>TALLER SFT DE EBANISTERÍA</v>
      </c>
      <c r="D1011" s="213" t="str">
        <f>IFERROR(__xludf.DUMMYFUNCTION("""COMPUTED_VALUE"""),"HERRAMIENTAS")</f>
        <v>HERRAMIENTAS</v>
      </c>
      <c r="E1011" s="213" t="str">
        <f>IFERROR(__xludf.DUMMYFUNCTION("""COMPUTED_VALUE"""),"HER-189")</f>
        <v>HER-189</v>
      </c>
      <c r="F1011" s="213" t="str">
        <f>IFERROR(__xludf.DUMMYFUNCTION("""COMPUTED_VALUE"""),"HER-189")</f>
        <v>HER-189</v>
      </c>
      <c r="G1011" s="213"/>
      <c r="H1011" s="213" t="str">
        <f>IFERROR(__xludf.DUMMYFUNCTION("""COMPUTED_VALUE"""),"SERRUCHO DE COSTILLA")</f>
        <v>SERRUCHO DE COSTILLA</v>
      </c>
      <c r="I1011" s="213" t="str">
        <f>IFERROR(__xludf.DUMMYFUNCTION("""COMPUTED_VALUE"""),"Serrucho para madera y de grosor medio. Dentado templado para mayor duración. Longitud útil del serrucho: 300 mm (12""). Entre 12 a 14 dientes por pulgadas.
Lomo de la hoja de acero fuerte, para mayor rigidez. Mango de una sola pieza y atornillada a la ho"&amp;"ja.")</f>
        <v>Serrucho para madera y de grosor medio. Dentado templado para mayor duración. Longitud útil del serrucho: 300 mm (12"). Entre 12 a 14 dientes por pulgadas.
Lomo de la hoja de acero fuerte, para mayor rigidez. Mango de una sola pieza y atornillada a la hoja.</v>
      </c>
      <c r="J1011" s="213">
        <f>IFERROR(__xludf.DUMMYFUNCTION("""COMPUTED_VALUE"""),3.0)</f>
        <v>3</v>
      </c>
      <c r="K1011" s="213" t="str">
        <f>IFERROR(__xludf.DUMMYFUNCTION("""COMPUTED_VALUE"""),"90 DÍAS CALENDARIO")</f>
        <v>90 DÍAS CALENDARIO</v>
      </c>
      <c r="L1011" s="213" t="str">
        <f>IFERROR(__xludf.DUMMYFUNCTION("""COMPUTED_VALUE"""),"")</f>
        <v/>
      </c>
      <c r="M1011" s="213">
        <f>IFERROR(__xludf.DUMMYFUNCTION("""COMPUTED_VALUE"""),1.0)</f>
        <v>1</v>
      </c>
      <c r="N1011" s="213">
        <f>IFERROR(__xludf.DUMMYFUNCTION("""COMPUTED_VALUE"""),4.0)</f>
        <v>4</v>
      </c>
      <c r="O1011" s="213">
        <f>IFERROR(__xludf.DUMMYFUNCTION("""COMPUTED_VALUE"""),4.0)</f>
        <v>4</v>
      </c>
      <c r="P1011" s="213"/>
      <c r="Q1011" s="213"/>
      <c r="R1011" s="213" t="str">
        <f>IFERROR(__xludf.DUMMYFUNCTION("""COMPUTED_VALUE"""),"SI")</f>
        <v>SI</v>
      </c>
      <c r="S1011" s="213"/>
      <c r="T1011" s="213" t="str">
        <f>IFERROR(__xludf.DUMMYFUNCTION("""COMPUTED_VALUE"""),"SI")</f>
        <v>SI</v>
      </c>
      <c r="U1011" s="213" t="str">
        <f>IFERROR(__xludf.DUMMYFUNCTION("""COMPUTED_VALUE"""),"SI")</f>
        <v>SI</v>
      </c>
      <c r="V1011" s="213" t="str">
        <f>IFERROR(__xludf.DUMMYFUNCTION("""COMPUTED_VALUE"""),"-")</f>
        <v>-</v>
      </c>
      <c r="W1011" s="213" t="str">
        <f>IFERROR(__xludf.DUMMYFUNCTION("""COMPUTED_VALUE"""),"-")</f>
        <v>-</v>
      </c>
      <c r="X1011" s="213" t="str">
        <f>IFERROR(__xludf.DUMMYFUNCTION("""COMPUTED_VALUE"""),"TRUPER")</f>
        <v>TRUPER</v>
      </c>
      <c r="Y1011" s="213" t="str">
        <f>IFERROR(__xludf.DUMMYFUNCTION("""COMPUTED_VALUE"""),"STCX-12 ")</f>
        <v>STCX-12 </v>
      </c>
      <c r="Z1011" s="215" t="str">
        <f>IFERROR(__xludf.DUMMYFUNCTION("""COMPUTED_VALUE"""),"https://www.aibitech.com/herramientas-de-carpinteria/serruchos/serrucho-diamante-de-costilla-12-espesor-08mm-dpp9-en-acero-alto-carbono-templado-stcx-12-18165-truper-10814.html?srsltid=AfmBOorhCkbWB6VZ2U_S75ymKSs5FzOxa2Chqzw1JE8zl2j9ni4XWbWL")</f>
        <v>https://www.aibitech.com/herramientas-de-carpinteria/serruchos/serrucho-diamante-de-costilla-12-espesor-08mm-dpp9-en-acero-alto-carbono-templado-stcx-12-18165-truper-10814.html?srsltid=AfmBOorhCkbWB6VZ2U_S75ymKSs5FzOxa2Chqzw1JE8zl2j9ni4XWbWL</v>
      </c>
      <c r="AA1011" s="213" t="str">
        <f>IFERROR(__xludf.DUMMYFUNCTION("""COMPUTED_VALUE"""),"HER-189 SERRUCHO DE COSTILLA - CET")</f>
        <v>HER-189 SERRUCHO DE COSTILLA - CET</v>
      </c>
      <c r="AB1011" s="213"/>
      <c r="AC1011" s="213"/>
      <c r="AD1011" s="213"/>
      <c r="AE1011" s="213"/>
      <c r="AF1011" s="213"/>
      <c r="AG1011" s="213"/>
      <c r="AH1011" s="213"/>
      <c r="AI1011" s="213"/>
      <c r="AJ1011" s="213"/>
      <c r="AK1011" s="213"/>
      <c r="AL1011" s="213"/>
      <c r="AM1011" s="213"/>
      <c r="AN1011" s="213"/>
      <c r="AO1011" s="213"/>
      <c r="AP1011" s="213" t="str">
        <f>IFERROR(__xludf.DUMMYFUNCTION("""COMPUTED_VALUE"""),"SEBASTIAN")</f>
        <v>SEBASTIAN</v>
      </c>
      <c r="AQ1011" s="213"/>
      <c r="AR1011" s="213"/>
      <c r="AS1011" s="213"/>
      <c r="AT1011" s="213"/>
      <c r="AU1011" s="213"/>
      <c r="AV1011" s="213"/>
      <c r="AW1011" s="213"/>
      <c r="AX1011" s="213"/>
      <c r="AY1011" s="213"/>
      <c r="AZ1011" s="213"/>
      <c r="BA1011" s="213"/>
      <c r="BB1011" s="213"/>
      <c r="BC1011" s="213"/>
      <c r="BD1011" s="213"/>
    </row>
    <row r="1012">
      <c r="A1012" s="213">
        <f>IFERROR(__xludf.DUMMYFUNCTION("""COMPUTED_VALUE"""),2584.0)</f>
        <v>2584</v>
      </c>
      <c r="B1012" s="213" t="str">
        <f>IFERROR(__xludf.DUMMYFUNCTION("""COMPUTED_VALUE"""),"MANUEL ANTONIO MESONES MURO")</f>
        <v>MANUEL ANTONIO MESONES MURO</v>
      </c>
      <c r="C1012" s="213" t="str">
        <f>IFERROR(__xludf.DUMMYFUNCTION("""COMPUTED_VALUE"""),"TALLER SFT DE EBANISTERÍA")</f>
        <v>TALLER SFT DE EBANISTERÍA</v>
      </c>
      <c r="D1012" s="213" t="str">
        <f>IFERROR(__xludf.DUMMYFUNCTION("""COMPUTED_VALUE"""),"HERRAMIENTAS")</f>
        <v>HERRAMIENTAS</v>
      </c>
      <c r="E1012" s="213" t="str">
        <f>IFERROR(__xludf.DUMMYFUNCTION("""COMPUTED_VALUE"""),"HER-189")</f>
        <v>HER-189</v>
      </c>
      <c r="F1012" s="213" t="str">
        <f>IFERROR(__xludf.DUMMYFUNCTION("""COMPUTED_VALUE"""),"HER-189")</f>
        <v>HER-189</v>
      </c>
      <c r="G1012" s="213"/>
      <c r="H1012" s="213" t="str">
        <f>IFERROR(__xludf.DUMMYFUNCTION("""COMPUTED_VALUE"""),"SERRUCHO DE COSTILLA")</f>
        <v>SERRUCHO DE COSTILLA</v>
      </c>
      <c r="I1012" s="213" t="str">
        <f>IFERROR(__xludf.DUMMYFUNCTION("""COMPUTED_VALUE"""),"Serrucho para madera y de grosor medio. Dentado templado para mayor duración. Longitud útil del serrucho: 300 mm (12""). Entre 12 a 14 dientes por pulgadas.
Lomo de la hoja de acero fuerte, para mayor rigidez. Mango de una sola pieza y atornillada a la ho"&amp;"ja.")</f>
        <v>Serrucho para madera y de grosor medio. Dentado templado para mayor duración. Longitud útil del serrucho: 300 mm (12"). Entre 12 a 14 dientes por pulgadas.
Lomo de la hoja de acero fuerte, para mayor rigidez. Mango de una sola pieza y atornillada a la hoja.</v>
      </c>
      <c r="J1012" s="213">
        <f>IFERROR(__xludf.DUMMYFUNCTION("""COMPUTED_VALUE"""),3.0)</f>
        <v>3</v>
      </c>
      <c r="K1012" s="213" t="str">
        <f>IFERROR(__xludf.DUMMYFUNCTION("""COMPUTED_VALUE"""),"90 DÍAS CALENDARIO")</f>
        <v>90 DÍAS CALENDARIO</v>
      </c>
      <c r="L1012" s="213" t="str">
        <f>IFERROR(__xludf.DUMMYFUNCTION("""COMPUTED_VALUE"""),"")</f>
        <v/>
      </c>
      <c r="M1012" s="213">
        <f>IFERROR(__xludf.DUMMYFUNCTION("""COMPUTED_VALUE"""),1.0)</f>
        <v>1</v>
      </c>
      <c r="N1012" s="213">
        <f>IFERROR(__xludf.DUMMYFUNCTION("""COMPUTED_VALUE"""),4.0)</f>
        <v>4</v>
      </c>
      <c r="O1012" s="213">
        <f>IFERROR(__xludf.DUMMYFUNCTION("""COMPUTED_VALUE"""),4.0)</f>
        <v>4</v>
      </c>
      <c r="P1012" s="213"/>
      <c r="Q1012" s="213"/>
      <c r="R1012" s="213" t="str">
        <f>IFERROR(__xludf.DUMMYFUNCTION("""COMPUTED_VALUE"""),"SI")</f>
        <v>SI</v>
      </c>
      <c r="S1012" s="213"/>
      <c r="T1012" s="213" t="str">
        <f>IFERROR(__xludf.DUMMYFUNCTION("""COMPUTED_VALUE"""),"SI")</f>
        <v>SI</v>
      </c>
      <c r="U1012" s="213" t="str">
        <f>IFERROR(__xludf.DUMMYFUNCTION("""COMPUTED_VALUE"""),"SI")</f>
        <v>SI</v>
      </c>
      <c r="V1012" s="213" t="str">
        <f>IFERROR(__xludf.DUMMYFUNCTION("""COMPUTED_VALUE"""),"-")</f>
        <v>-</v>
      </c>
      <c r="W1012" s="213" t="str">
        <f>IFERROR(__xludf.DUMMYFUNCTION("""COMPUTED_VALUE"""),"-")</f>
        <v>-</v>
      </c>
      <c r="X1012" s="213" t="str">
        <f>IFERROR(__xludf.DUMMYFUNCTION("""COMPUTED_VALUE"""),"TRUPER")</f>
        <v>TRUPER</v>
      </c>
      <c r="Y1012" s="213" t="str">
        <f>IFERROR(__xludf.DUMMYFUNCTION("""COMPUTED_VALUE"""),"STCX-12 ")</f>
        <v>STCX-12 </v>
      </c>
      <c r="Z1012" s="215" t="str">
        <f>IFERROR(__xludf.DUMMYFUNCTION("""COMPUTED_VALUE"""),"https://www.aibitech.com/herramientas-de-carpinteria/serruchos/serrucho-diamante-de-costilla-12-espesor-08mm-dpp9-en-acero-alto-carbono-templado-stcx-12-18165-truper-10814.html?srsltid=AfmBOorhCkbWB6VZ2U_S75ymKSs5FzOxa2Chqzw1JE8zl2j9ni4XWbWL")</f>
        <v>https://www.aibitech.com/herramientas-de-carpinteria/serruchos/serrucho-diamante-de-costilla-12-espesor-08mm-dpp9-en-acero-alto-carbono-templado-stcx-12-18165-truper-10814.html?srsltid=AfmBOorhCkbWB6VZ2U_S75ymKSs5FzOxa2Chqzw1JE8zl2j9ni4XWbWL</v>
      </c>
      <c r="AA1012" s="213" t="str">
        <f>IFERROR(__xludf.DUMMYFUNCTION("""COMPUTED_VALUE"""),"HER-189 SERRUCHO DE COSTILLA - CET")</f>
        <v>HER-189 SERRUCHO DE COSTILLA - CET</v>
      </c>
      <c r="AB1012" s="213"/>
      <c r="AC1012" s="213"/>
      <c r="AD1012" s="213"/>
      <c r="AE1012" s="213"/>
      <c r="AF1012" s="213"/>
      <c r="AG1012" s="213"/>
      <c r="AH1012" s="213"/>
      <c r="AI1012" s="213"/>
      <c r="AJ1012" s="213"/>
      <c r="AK1012" s="213"/>
      <c r="AL1012" s="213"/>
      <c r="AM1012" s="213"/>
      <c r="AN1012" s="213"/>
      <c r="AO1012" s="213"/>
      <c r="AP1012" s="213" t="str">
        <f>IFERROR(__xludf.DUMMYFUNCTION("""COMPUTED_VALUE"""),"SEBASTIAN")</f>
        <v>SEBASTIAN</v>
      </c>
      <c r="AQ1012" s="213"/>
      <c r="AR1012" s="213"/>
      <c r="AS1012" s="213"/>
      <c r="AT1012" s="213"/>
      <c r="AU1012" s="213"/>
      <c r="AV1012" s="213"/>
      <c r="AW1012" s="213"/>
      <c r="AX1012" s="213"/>
      <c r="AY1012" s="213"/>
      <c r="AZ1012" s="213"/>
      <c r="BA1012" s="213"/>
      <c r="BB1012" s="213"/>
      <c r="BC1012" s="213"/>
      <c r="BD1012" s="213"/>
    </row>
    <row r="1013">
      <c r="A1013" s="213">
        <f>IFERROR(__xludf.DUMMYFUNCTION("""COMPUTED_VALUE"""),2535.0)</f>
        <v>2535</v>
      </c>
      <c r="B1013" s="213" t="str">
        <f>IFERROR(__xludf.DUMMYFUNCTION("""COMPUTED_VALUE"""),"MANUEL ANTONIO MESONES MURO")</f>
        <v>MANUEL ANTONIO MESONES MURO</v>
      </c>
      <c r="C1013" s="213" t="str">
        <f>IFERROR(__xludf.DUMMYFUNCTION("""COMPUTED_VALUE"""),"TALLER SFT DE CONSTRUCCIONES METÁLICAS")</f>
        <v>TALLER SFT DE CONSTRUCCIONES METÁLICAS</v>
      </c>
      <c r="D1013" s="213" t="str">
        <f>IFERROR(__xludf.DUMMYFUNCTION("""COMPUTED_VALUE"""),"HERRAMIENTAS")</f>
        <v>HERRAMIENTAS</v>
      </c>
      <c r="E1013" s="213" t="str">
        <f>IFERROR(__xludf.DUMMYFUNCTION("""COMPUTED_VALUE"""),"ESP-204")</f>
        <v>ESP-204</v>
      </c>
      <c r="F1013" s="213" t="str">
        <f>IFERROR(__xludf.DUMMYFUNCTION("""COMPUTED_VALUE"""),"ESP-204")</f>
        <v>ESP-204</v>
      </c>
      <c r="G1013" s="213"/>
      <c r="H1013" s="213" t="str">
        <f>IFERROR(__xludf.DUMMYFUNCTION("""COMPUTED_VALUE"""),"KIT DE GALGAS")</f>
        <v>KIT DE GALGAS</v>
      </c>
      <c r="I1013" s="213" t="str">
        <f>IFERROR(__xludf.DUMMYFUNCTION("""COMPUTED_VALUE"""),"Contiene
·      Estuche con 8 juegos de diferentes galgas.
·      Galgas de ángulos: 55º, 60º, 90º, 118º y 120º, espesor 2 mm.
·      Galgas de soldaduras: rango de medida 20 mm, graduación 0,1 mm.
·      Galgas de radios: rango de medida 1 ÷ 7 mm; 17 uni"&amp;"dades de acero inoxidable.
·      Galgas de radios: rango de medida 7,5 ÷ 15 mm; 16 unidades de acero inoxidable.
·      Galgas de radios: rango de medida 15,5 ÷ 25 mm; 15 unidades de acero inoxidable.
·      Galgas de Roscas ISO: rango de medida 0,25 ÷ 6"&amp;" mm; 24 unidades.
·      Galgas de Roscas Withwork: rango de medida 4 ÷ 62 mm; 28 unidades.
·      Galgas de Espesores: rango de medida 0,05 ÷ 1 mm; 20 unidades; longitud de láminas 100 mm.
·      Suministrado en estuche de madera.")</f>
        <v>Contiene
·      Estuche con 8 juegos de diferentes galgas.
·      Galgas de ángulos: 55º, 60º, 90º, 118º y 120º, espesor 2 mm.
·      Galgas de soldaduras: rango de medida 20 mm, graduación 0,1 mm.
·      Galgas de radios: rango de medida 1 ÷ 7 mm; 17 unidades de acero inoxidable.
·      Galgas de radios: rango de medida 7,5 ÷ 15 mm; 16 unidades de acero inoxidable.
·      Galgas de radios: rango de medida 15,5 ÷ 25 mm; 15 unidades de acero inoxidable.
·      Galgas de Roscas ISO: rango de medida 0,25 ÷ 6 mm; 24 unidades.
·      Galgas de Roscas Withwork: rango de medida 4 ÷ 62 mm; 28 unidades.
·      Galgas de Espesores: rango de medida 0,05 ÷ 1 mm; 20 unidades; longitud de láminas 100 mm.
·      Suministrado en estuche de madera.</v>
      </c>
      <c r="J1013" s="213">
        <f>IFERROR(__xludf.DUMMYFUNCTION("""COMPUTED_VALUE"""),3.0)</f>
        <v>3</v>
      </c>
      <c r="K1013" s="213" t="str">
        <f>IFERROR(__xludf.DUMMYFUNCTION("""COMPUTED_VALUE"""),"170 DÍAS CALENDARIO")</f>
        <v>170 DÍAS CALENDARIO</v>
      </c>
      <c r="L1013" s="213" t="str">
        <f>IFERROR(__xludf.DUMMYFUNCTION("""COMPUTED_VALUE"""),"")</f>
        <v/>
      </c>
      <c r="M1013" s="213">
        <f>IFERROR(__xludf.DUMMYFUNCTION("""COMPUTED_VALUE"""),1.0)</f>
        <v>1</v>
      </c>
      <c r="N1013" s="213">
        <f>IFERROR(__xludf.DUMMYFUNCTION("""COMPUTED_VALUE"""),1.0)</f>
        <v>1</v>
      </c>
      <c r="O1013" s="213">
        <f>IFERROR(__xludf.DUMMYFUNCTION("""COMPUTED_VALUE"""),1.0)</f>
        <v>1</v>
      </c>
      <c r="P1013" s="213"/>
      <c r="Q1013" s="213"/>
      <c r="R1013" s="213" t="str">
        <f>IFERROR(__xludf.DUMMYFUNCTION("""COMPUTED_VALUE"""),"SI")</f>
        <v>SI</v>
      </c>
      <c r="S1013" s="213"/>
      <c r="T1013" s="213" t="str">
        <f>IFERROR(__xludf.DUMMYFUNCTION("""COMPUTED_VALUE"""),"CONSULTA FINAL")</f>
        <v>CONSULTA FINAL</v>
      </c>
      <c r="U1013" s="213" t="str">
        <f>IFERROR(__xludf.DUMMYFUNCTION("""COMPUTED_VALUE"""),"NO")</f>
        <v>NO</v>
      </c>
      <c r="V1013" s="213" t="str">
        <f>IFERROR(__xludf.DUMMYFUNCTION("""COMPUTED_VALUE"""),"SUSTENTO")</f>
        <v>SUSTENTO</v>
      </c>
      <c r="W1013" s="213" t="str">
        <f>IFERROR(__xludf.DUMMYFUNCTION("""COMPUTED_VALUE"""),"EQU TEC")</f>
        <v>EQU TEC</v>
      </c>
      <c r="X1013" s="213" t="str">
        <f>IFERROR(__xludf.DUMMYFUNCTION("""COMPUTED_VALUE"""),"HELIOS-PREISSER GmbH")</f>
        <v>HELIOS-PREISSER GmbH</v>
      </c>
      <c r="Y1013" s="213" t="str">
        <f>IFERROR(__xludf.DUMMYFUNCTION("""COMPUTED_VALUE"""),"T-367445")</f>
        <v>T-367445</v>
      </c>
      <c r="Z1013" s="215" t="str">
        <f>IFERROR(__xludf.DUMMYFUNCTION("""COMPUTED_VALUE"""),"https://www.toolteam.com/de-DE/helios-preisser-lehrensatz-8-teilig-0609190-t-367445-4029713247904")</f>
        <v>https://www.toolteam.com/de-DE/helios-preisser-lehrensatz-8-teilig-0609190-t-367445-4029713247904</v>
      </c>
      <c r="AA1013" s="213" t="str">
        <f>IFERROR(__xludf.DUMMYFUNCTION("""COMPUTED_VALUE"""),"ESP-204 KIT DE GALGAS - CET")</f>
        <v>ESP-204 KIT DE GALGAS - CET</v>
      </c>
      <c r="AB1013" s="213"/>
      <c r="AC1013" s="213"/>
      <c r="AD1013" s="213"/>
      <c r="AE1013" s="213"/>
      <c r="AF1013" s="213"/>
      <c r="AG1013" s="213"/>
      <c r="AH1013" s="213"/>
      <c r="AI1013" s="213"/>
      <c r="AJ1013" s="213"/>
      <c r="AK1013" s="213"/>
      <c r="AL1013" s="213"/>
      <c r="AM1013" s="213"/>
      <c r="AN1013" s="213"/>
      <c r="AO1013" s="213"/>
      <c r="AP1013" s="213" t="str">
        <f>IFERROR(__xludf.DUMMYFUNCTION("""COMPUTED_VALUE"""),"SEBASTIAN")</f>
        <v>SEBASTIAN</v>
      </c>
      <c r="AQ1013" s="213"/>
      <c r="AR1013" s="213"/>
      <c r="AS1013" s="213"/>
      <c r="AT1013" s="213"/>
      <c r="AU1013" s="213"/>
      <c r="AV1013" s="213"/>
      <c r="AW1013" s="213"/>
      <c r="AX1013" s="213"/>
      <c r="AY1013" s="213"/>
      <c r="AZ1013" s="213"/>
      <c r="BA1013" s="213"/>
      <c r="BB1013" s="213"/>
      <c r="BC1013" s="213"/>
      <c r="BD1013" s="213"/>
    </row>
    <row r="1014">
      <c r="A1014" s="213">
        <f>IFERROR(__xludf.DUMMYFUNCTION("""COMPUTED_VALUE"""),266.0)</f>
        <v>266</v>
      </c>
      <c r="B1014" s="213" t="str">
        <f>IFERROR(__xludf.DUMMYFUNCTION("""COMPUTED_VALUE"""),"2026 SIMON BOLIVAR")</f>
        <v>2026 SIMON BOLIVAR</v>
      </c>
      <c r="C1014" s="213" t="str">
        <f>IFERROR(__xludf.DUMMYFUNCTION("""COMPUTED_VALUE"""),"TALLER SFT DE COMPUTACIÓN E INFORMÁTICA")</f>
        <v>TALLER SFT DE COMPUTACIÓN E INFORMÁTICA</v>
      </c>
      <c r="D1014" s="213" t="str">
        <f>IFERROR(__xludf.DUMMYFUNCTION("""COMPUTED_VALUE"""),"HERRAMIENTAS")</f>
        <v>HERRAMIENTAS</v>
      </c>
      <c r="E1014" s="213" t="str">
        <f>IFERROR(__xludf.DUMMYFUNCTION("""COMPUTED_VALUE"""),"HER-198")</f>
        <v>HER-198</v>
      </c>
      <c r="F1014" s="213" t="str">
        <f>IFERROR(__xludf.DUMMYFUNCTION("""COMPUTED_VALUE"""),"HER-198")</f>
        <v>HER-198</v>
      </c>
      <c r="G1014" s="213"/>
      <c r="H1014" s="213" t="str">
        <f>IFERROR(__xludf.DUMMYFUNCTION("""COMPUTED_VALUE"""),"TENAZA CON PRENSA")</f>
        <v>TENAZA CON PRENSA</v>
      </c>
      <c r="I1014" s="213" t="str">
        <f>IFERROR(__xludf.DUMMYFUNCTION("""COMPUTED_VALUE"""),"·  Herramienta multipropósito para conectores RJ45, RJ12 Y RJ11
·  Con trinquete y prensa terminal
·  Permite cortar y desforrar cables redondos y planos
·  Módulo para entallar conectores de 4, 6 y 8 posiciones
·  Mecanismo de desbloqueo
·  Estructura de"&amp;" acero al carbono endurecido
·  Mangos ergonómicos antideslizantes")</f>
        <v>·  Herramienta multipropósito para conectores RJ45, RJ12 Y RJ11
·  Con trinquete y prensa terminal
·  Permite cortar y desforrar cables redondos y planos
·  Módulo para entallar conectores de 4, 6 y 8 posiciones
·  Mecanismo de desbloqueo
·  Estructura de acero al carbono endurecido
·  Mangos ergonómicos antideslizantes</v>
      </c>
      <c r="J1014" s="213">
        <f>IFERROR(__xludf.DUMMYFUNCTION("""COMPUTED_VALUE"""),3.0)</f>
        <v>3</v>
      </c>
      <c r="K1014" s="213" t="str">
        <f>IFERROR(__xludf.DUMMYFUNCTION("""COMPUTED_VALUE"""),"90 DÍAS CALENDARIO")</f>
        <v>90 DÍAS CALENDARIO</v>
      </c>
      <c r="L1014" s="213" t="str">
        <f>IFERROR(__xludf.DUMMYFUNCTION("""COMPUTED_VALUE"""),"")</f>
        <v/>
      </c>
      <c r="M1014" s="213">
        <f>IFERROR(__xludf.DUMMYFUNCTION("""COMPUTED_VALUE"""),1.0)</f>
        <v>1</v>
      </c>
      <c r="N1014" s="213">
        <f>IFERROR(__xludf.DUMMYFUNCTION("""COMPUTED_VALUE"""),4.0)</f>
        <v>4</v>
      </c>
      <c r="O1014" s="213">
        <f>IFERROR(__xludf.DUMMYFUNCTION("""COMPUTED_VALUE"""),4.0)</f>
        <v>4</v>
      </c>
      <c r="P1014" s="213"/>
      <c r="Q1014" s="213"/>
      <c r="R1014" s="213" t="str">
        <f>IFERROR(__xludf.DUMMYFUNCTION("""COMPUTED_VALUE"""),"SI")</f>
        <v>SI</v>
      </c>
      <c r="S1014" s="213"/>
      <c r="T1014" s="213" t="str">
        <f>IFERROR(__xludf.DUMMYFUNCTION("""COMPUTED_VALUE"""),"SI")</f>
        <v>SI</v>
      </c>
      <c r="U1014" s="213" t="str">
        <f>IFERROR(__xludf.DUMMYFUNCTION("""COMPUTED_VALUE"""),"SI")</f>
        <v>SI</v>
      </c>
      <c r="V1014" s="213" t="str">
        <f>IFERROR(__xludf.DUMMYFUNCTION("""COMPUTED_VALUE"""),"-")</f>
        <v>-</v>
      </c>
      <c r="W1014" s="213" t="str">
        <f>IFERROR(__xludf.DUMMYFUNCTION("""COMPUTED_VALUE"""),"-")</f>
        <v>-</v>
      </c>
      <c r="X1014" s="213" t="str">
        <f>IFERROR(__xludf.DUMMYFUNCTION("""COMPUTED_VALUE"""),"VCE")</f>
        <v>VCE</v>
      </c>
      <c r="Y1014" s="213" t="str">
        <f>IFERROR(__xludf.DUMMYFUNCTION("""COMPUTED_VALUE"""),"VCE")</f>
        <v>VCE</v>
      </c>
      <c r="Z1014" s="215" t="str">
        <f>IFERROR(__xludf.DUMMYFUNCTION("""COMPUTED_VALUE"""),"https://www.amazon.com/Herramienta-crimpado-Ethernet-Crimpadora-Multi-herramienta/dp/B07XD98YYT/ref=sr_1_1_sspa?crid=NSGEVTZZO10O&amp;dib=eyJ2IjoiMSJ9.rrRTCAooboGVWtyrS_gzsQYMOhfE3R4EZywEuZAJKtlBpSrFeF7ePWNaKOYRarOb2VbzGQJ69eW9_b9wtGIzHMXo_v4n3-Y64bgnzLMo6gs_"&amp;"45Tle8otUnUBaI9t2yqpKKlINnAQ2irTjOE1uVrqDqLfBKUYpsdbyByO01awyEtUpGbUR2_Q_hG6HWOyMTmAp9b7qgj3qKFld0u8fyM3YEmdxB8zxwejW63KLuegM68.NuvmrcBorJ7gGZ9SpMRfjSjmhEGmAkN-Ga-91KZUcNk&amp;dib_tag=se&amp;keywords=TENAZA+CON+PRENSA+PARA+CONECTORES+RJ45&amp;qid=1759159516&amp;sprefix=t"&amp;"enaza+con+prensa+para+conectores+rj45%2Caps%2C170&amp;sr=8-1-spons&amp;sp_csd=d2lkZ2V0TmFtZT1zcF9hdGY&amp;psc=1")</f>
        <v>https://www.amazon.com/Herramienta-crimpado-Ethernet-Crimpadora-Multi-herramienta/dp/B07XD98YYT/ref=sr_1_1_sspa?crid=NSGEVTZZO10O&amp;dib=eyJ2IjoiMSJ9.rrRTCAooboGVWtyrS_gzsQYMOhfE3R4EZywEuZAJKtlBpSrFeF7ePWNaKOYRarOb2VbzGQJ69eW9_b9wtGIzHMXo_v4n3-Y64bgnzLMo6gs_45Tle8otUnUBaI9t2yqpKKlINnAQ2irTjOE1uVrqDqLfBKUYpsdbyByO01awyEtUpGbUR2_Q_hG6HWOyMTmAp9b7qgj3qKFld0u8fyM3YEmdxB8zxwejW63KLuegM68.NuvmrcBorJ7gGZ9SpMRfjSjmhEGmAkN-Ga-91KZUcNk&amp;dib_tag=se&amp;keywords=TENAZA+CON+PRENSA+PARA+CONECTORES+RJ45&amp;qid=1759159516&amp;sprefix=tenaza+con+prensa+para+conectores+rj45%2Caps%2C170&amp;sr=8-1-spons&amp;sp_csd=d2lkZ2V0TmFtZT1zcF9hdGY&amp;psc=1</v>
      </c>
      <c r="AA1014" s="213" t="str">
        <f>IFERROR(__xludf.DUMMYFUNCTION("""COMPUTED_VALUE"""),"HER-198 TENAZA CON PRENSA - CET")</f>
        <v>HER-198 TENAZA CON PRENSA - CET</v>
      </c>
      <c r="AB1014" s="213"/>
      <c r="AC1014" s="213"/>
      <c r="AD1014" s="213"/>
      <c r="AE1014" s="213"/>
      <c r="AF1014" s="213"/>
      <c r="AG1014" s="213"/>
      <c r="AH1014" s="213"/>
      <c r="AI1014" s="213"/>
      <c r="AJ1014" s="213"/>
      <c r="AK1014" s="213"/>
      <c r="AL1014" s="213"/>
      <c r="AM1014" s="213"/>
      <c r="AN1014" s="213"/>
      <c r="AO1014" s="213"/>
      <c r="AP1014" s="213" t="str">
        <f>IFERROR(__xludf.DUMMYFUNCTION("""COMPUTED_VALUE"""),"LUIS")</f>
        <v>LUIS</v>
      </c>
      <c r="AQ1014" s="213"/>
      <c r="AR1014" s="213"/>
      <c r="AS1014" s="213"/>
      <c r="AT1014" s="213"/>
      <c r="AU1014" s="213"/>
      <c r="AV1014" s="213"/>
      <c r="AW1014" s="213"/>
      <c r="AX1014" s="213"/>
      <c r="AY1014" s="213"/>
      <c r="AZ1014" s="213"/>
      <c r="BA1014" s="213"/>
      <c r="BB1014" s="213"/>
      <c r="BC1014" s="213"/>
      <c r="BD1014" s="213"/>
    </row>
    <row r="1015">
      <c r="A1015" s="213">
        <f>IFERROR(__xludf.DUMMYFUNCTION("""COMPUTED_VALUE"""),751.0)</f>
        <v>751</v>
      </c>
      <c r="B1015" s="213" t="str">
        <f>IFERROR(__xludf.DUMMYFUNCTION("""COMPUTED_VALUE"""),"6049 RICARDO PALMA")</f>
        <v>6049 RICARDO PALMA</v>
      </c>
      <c r="C1015" s="213" t="str">
        <f>IFERROR(__xludf.DUMMYFUNCTION("""COMPUTED_VALUE"""),"TALLER SFT DE COMPUTACIÓN E INFORMÁTICA")</f>
        <v>TALLER SFT DE COMPUTACIÓN E INFORMÁTICA</v>
      </c>
      <c r="D1015" s="213" t="str">
        <f>IFERROR(__xludf.DUMMYFUNCTION("""COMPUTED_VALUE"""),"HERRAMIENTAS")</f>
        <v>HERRAMIENTAS</v>
      </c>
      <c r="E1015" s="213" t="str">
        <f>IFERROR(__xludf.DUMMYFUNCTION("""COMPUTED_VALUE"""),"HER-198")</f>
        <v>HER-198</v>
      </c>
      <c r="F1015" s="213" t="str">
        <f>IFERROR(__xludf.DUMMYFUNCTION("""COMPUTED_VALUE"""),"HER-198")</f>
        <v>HER-198</v>
      </c>
      <c r="G1015" s="213"/>
      <c r="H1015" s="213" t="str">
        <f>IFERROR(__xludf.DUMMYFUNCTION("""COMPUTED_VALUE"""),"TENAZA CON PRENSA")</f>
        <v>TENAZA CON PRENSA</v>
      </c>
      <c r="I1015" s="213" t="str">
        <f>IFERROR(__xludf.DUMMYFUNCTION("""COMPUTED_VALUE"""),"·  Herramienta multipropósito para conectores RJ45, RJ12 Y RJ11
·  Con trinquete y prensa terminal
·  Permite cortar y desforrar cables redondos y planos
·  Módulo para entallar conectores de 4, 6 y 8 posiciones
·  Mecanismo de desbloqueo
·  Estructura de"&amp;" acero al carbono endurecido
·  Mangos ergonómicos antideslizantes")</f>
        <v>·  Herramienta multipropósito para conectores RJ45, RJ12 Y RJ11
·  Con trinquete y prensa terminal
·  Permite cortar y desforrar cables redondos y planos
·  Módulo para entallar conectores de 4, 6 y 8 posiciones
·  Mecanismo de desbloqueo
·  Estructura de acero al carbono endurecido
·  Mangos ergonómicos antideslizantes</v>
      </c>
      <c r="J1015" s="213">
        <f>IFERROR(__xludf.DUMMYFUNCTION("""COMPUTED_VALUE"""),3.0)</f>
        <v>3</v>
      </c>
      <c r="K1015" s="213" t="str">
        <f>IFERROR(__xludf.DUMMYFUNCTION("""COMPUTED_VALUE"""),"90 DÍAS CALENDARIO")</f>
        <v>90 DÍAS CALENDARIO</v>
      </c>
      <c r="L1015" s="213" t="str">
        <f>IFERROR(__xludf.DUMMYFUNCTION("""COMPUTED_VALUE"""),"")</f>
        <v/>
      </c>
      <c r="M1015" s="213">
        <f>IFERROR(__xludf.DUMMYFUNCTION("""COMPUTED_VALUE"""),1.0)</f>
        <v>1</v>
      </c>
      <c r="N1015" s="213">
        <f>IFERROR(__xludf.DUMMYFUNCTION("""COMPUTED_VALUE"""),4.0)</f>
        <v>4</v>
      </c>
      <c r="O1015" s="213">
        <f>IFERROR(__xludf.DUMMYFUNCTION("""COMPUTED_VALUE"""),4.0)</f>
        <v>4</v>
      </c>
      <c r="P1015" s="213"/>
      <c r="Q1015" s="213"/>
      <c r="R1015" s="213" t="str">
        <f>IFERROR(__xludf.DUMMYFUNCTION("""COMPUTED_VALUE"""),"SI")</f>
        <v>SI</v>
      </c>
      <c r="S1015" s="213"/>
      <c r="T1015" s="213" t="str">
        <f>IFERROR(__xludf.DUMMYFUNCTION("""COMPUTED_VALUE"""),"SI")</f>
        <v>SI</v>
      </c>
      <c r="U1015" s="213" t="str">
        <f>IFERROR(__xludf.DUMMYFUNCTION("""COMPUTED_VALUE"""),"SI")</f>
        <v>SI</v>
      </c>
      <c r="V1015" s="213" t="str">
        <f>IFERROR(__xludf.DUMMYFUNCTION("""COMPUTED_VALUE"""),"-")</f>
        <v>-</v>
      </c>
      <c r="W1015" s="213" t="str">
        <f>IFERROR(__xludf.DUMMYFUNCTION("""COMPUTED_VALUE"""),"-")</f>
        <v>-</v>
      </c>
      <c r="X1015" s="213" t="str">
        <f>IFERROR(__xludf.DUMMYFUNCTION("""COMPUTED_VALUE"""),"VCE")</f>
        <v>VCE</v>
      </c>
      <c r="Y1015" s="213" t="str">
        <f>IFERROR(__xludf.DUMMYFUNCTION("""COMPUTED_VALUE"""),"VCE")</f>
        <v>VCE</v>
      </c>
      <c r="Z1015" s="215" t="str">
        <f>IFERROR(__xludf.DUMMYFUNCTION("""COMPUTED_VALUE"""),"https://www.amazon.com/Herramienta-crimpado-Ethernet-Crimpadora-Multi-herramienta/dp/B07XD98YYT/ref=sr_1_1_sspa?crid=NSGEVTZZO10O&amp;dib=eyJ2IjoiMSJ9.rrRTCAooboGVWtyrS_gzsQYMOhfE3R4EZywEuZAJKtlBpSrFeF7ePWNaKOYRarOb2VbzGQJ69eW9_b9wtGIzHMXo_v4n3-Y64bgnzLMo6gs_"&amp;"45Tle8otUnUBaI9t2yqpKKlINnAQ2irTjOE1uVrqDqLfBKUYpsdbyByO01awyEtUpGbUR2_Q_hG6HWOyMTmAp9b7qgj3qKFld0u8fyM3YEmdxB8zxwejW63KLuegM68.NuvmrcBorJ7gGZ9SpMRfjSjmhEGmAkN-Ga-91KZUcNk&amp;dib_tag=se&amp;keywords=TENAZA+CON+PRENSA+PARA+CONECTORES+RJ45&amp;qid=1759159516&amp;sprefix=t"&amp;"enaza+con+prensa+para+conectores+rj45%2Caps%2C170&amp;sr=8-1-spons&amp;sp_csd=d2lkZ2V0TmFtZT1zcF9hdGY&amp;psc=1")</f>
        <v>https://www.amazon.com/Herramienta-crimpado-Ethernet-Crimpadora-Multi-herramienta/dp/B07XD98YYT/ref=sr_1_1_sspa?crid=NSGEVTZZO10O&amp;dib=eyJ2IjoiMSJ9.rrRTCAooboGVWtyrS_gzsQYMOhfE3R4EZywEuZAJKtlBpSrFeF7ePWNaKOYRarOb2VbzGQJ69eW9_b9wtGIzHMXo_v4n3-Y64bgnzLMo6gs_45Tle8otUnUBaI9t2yqpKKlINnAQ2irTjOE1uVrqDqLfBKUYpsdbyByO01awyEtUpGbUR2_Q_hG6HWOyMTmAp9b7qgj3qKFld0u8fyM3YEmdxB8zxwejW63KLuegM68.NuvmrcBorJ7gGZ9SpMRfjSjmhEGmAkN-Ga-91KZUcNk&amp;dib_tag=se&amp;keywords=TENAZA+CON+PRENSA+PARA+CONECTORES+RJ45&amp;qid=1759159516&amp;sprefix=tenaza+con+prensa+para+conectores+rj45%2Caps%2C170&amp;sr=8-1-spons&amp;sp_csd=d2lkZ2V0TmFtZT1zcF9hdGY&amp;psc=1</v>
      </c>
      <c r="AA1015" s="213" t="str">
        <f>IFERROR(__xludf.DUMMYFUNCTION("""COMPUTED_VALUE"""),"HER-198 TENAZA CON PRENSA - CET")</f>
        <v>HER-198 TENAZA CON PRENSA - CET</v>
      </c>
      <c r="AB1015" s="213"/>
      <c r="AC1015" s="213"/>
      <c r="AD1015" s="213"/>
      <c r="AE1015" s="213"/>
      <c r="AF1015" s="213"/>
      <c r="AG1015" s="213"/>
      <c r="AH1015" s="213"/>
      <c r="AI1015" s="213"/>
      <c r="AJ1015" s="213"/>
      <c r="AK1015" s="213"/>
      <c r="AL1015" s="213"/>
      <c r="AM1015" s="213"/>
      <c r="AN1015" s="213"/>
      <c r="AO1015" s="213"/>
      <c r="AP1015" s="213" t="str">
        <f>IFERROR(__xludf.DUMMYFUNCTION("""COMPUTED_VALUE"""),"LUIS")</f>
        <v>LUIS</v>
      </c>
      <c r="AQ1015" s="213"/>
      <c r="AR1015" s="213"/>
      <c r="AS1015" s="213"/>
      <c r="AT1015" s="213"/>
      <c r="AU1015" s="213"/>
      <c r="AV1015" s="213"/>
      <c r="AW1015" s="213"/>
      <c r="AX1015" s="213"/>
      <c r="AY1015" s="213"/>
      <c r="AZ1015" s="213"/>
      <c r="BA1015" s="213"/>
      <c r="BB1015" s="213"/>
      <c r="BC1015" s="213"/>
      <c r="BD1015" s="213"/>
    </row>
    <row r="1016">
      <c r="A1016" s="213">
        <f>IFERROR(__xludf.DUMMYFUNCTION("""COMPUTED_VALUE"""),1689.0)</f>
        <v>1689</v>
      </c>
      <c r="B1016" s="213" t="str">
        <f>IFERROR(__xludf.DUMMYFUNCTION("""COMPUTED_VALUE"""),"GUILLERMO E. BILLINGHURST ")</f>
        <v>GUILLERMO E. BILLINGHURST </v>
      </c>
      <c r="C1016" s="213" t="str">
        <f>IFERROR(__xludf.DUMMYFUNCTION("""COMPUTED_VALUE"""),"TALLER SFT DE COMPUTACIÓN E INFORMÁTICA")</f>
        <v>TALLER SFT DE COMPUTACIÓN E INFORMÁTICA</v>
      </c>
      <c r="D1016" s="213" t="str">
        <f>IFERROR(__xludf.DUMMYFUNCTION("""COMPUTED_VALUE"""),"HERRAMIENTAS")</f>
        <v>HERRAMIENTAS</v>
      </c>
      <c r="E1016" s="213" t="str">
        <f>IFERROR(__xludf.DUMMYFUNCTION("""COMPUTED_VALUE"""),"HER-198")</f>
        <v>HER-198</v>
      </c>
      <c r="F1016" s="213" t="str">
        <f>IFERROR(__xludf.DUMMYFUNCTION("""COMPUTED_VALUE"""),"HER-198")</f>
        <v>HER-198</v>
      </c>
      <c r="G1016" s="213"/>
      <c r="H1016" s="213" t="str">
        <f>IFERROR(__xludf.DUMMYFUNCTION("""COMPUTED_VALUE"""),"TENAZA CON PRENSA")</f>
        <v>TENAZA CON PRENSA</v>
      </c>
      <c r="I1016" s="213" t="str">
        <f>IFERROR(__xludf.DUMMYFUNCTION("""COMPUTED_VALUE"""),"·  Herramienta multipropósito para conectores RJ45, RJ12 Y RJ11
·  Con trinquete y prensa terminal
·  Permite cortar y desforrar cables redondos y planos
·  Módulo para entallar conectores de 4, 6 y 8 posiciones
·  Mecanismo de desbloqueo
·  Estructura de"&amp;" acero al carbono endurecido
·  Mangos ergonómicos antideslizantes")</f>
        <v>·  Herramienta multipropósito para conectores RJ45, RJ12 Y RJ11
·  Con trinquete y prensa terminal
·  Permite cortar y desforrar cables redondos y planos
·  Módulo para entallar conectores de 4, 6 y 8 posiciones
·  Mecanismo de desbloqueo
·  Estructura de acero al carbono endurecido
·  Mangos ergonómicos antideslizantes</v>
      </c>
      <c r="J1016" s="213">
        <f>IFERROR(__xludf.DUMMYFUNCTION("""COMPUTED_VALUE"""),3.0)</f>
        <v>3</v>
      </c>
      <c r="K1016" s="213" t="str">
        <f>IFERROR(__xludf.DUMMYFUNCTION("""COMPUTED_VALUE"""),"90 DÍAS CALENDARIO")</f>
        <v>90 DÍAS CALENDARIO</v>
      </c>
      <c r="L1016" s="213" t="str">
        <f>IFERROR(__xludf.DUMMYFUNCTION("""COMPUTED_VALUE"""),"")</f>
        <v/>
      </c>
      <c r="M1016" s="213">
        <f>IFERROR(__xludf.DUMMYFUNCTION("""COMPUTED_VALUE"""),1.0)</f>
        <v>1</v>
      </c>
      <c r="N1016" s="213">
        <f>IFERROR(__xludf.DUMMYFUNCTION("""COMPUTED_VALUE"""),4.0)</f>
        <v>4</v>
      </c>
      <c r="O1016" s="213">
        <f>IFERROR(__xludf.DUMMYFUNCTION("""COMPUTED_VALUE"""),4.0)</f>
        <v>4</v>
      </c>
      <c r="P1016" s="213"/>
      <c r="Q1016" s="213"/>
      <c r="R1016" s="213" t="str">
        <f>IFERROR(__xludf.DUMMYFUNCTION("""COMPUTED_VALUE"""),"SI")</f>
        <v>SI</v>
      </c>
      <c r="S1016" s="213"/>
      <c r="T1016" s="213" t="str">
        <f>IFERROR(__xludf.DUMMYFUNCTION("""COMPUTED_VALUE"""),"SI")</f>
        <v>SI</v>
      </c>
      <c r="U1016" s="213" t="str">
        <f>IFERROR(__xludf.DUMMYFUNCTION("""COMPUTED_VALUE"""),"SI")</f>
        <v>SI</v>
      </c>
      <c r="V1016" s="213" t="str">
        <f>IFERROR(__xludf.DUMMYFUNCTION("""COMPUTED_VALUE"""),"-")</f>
        <v>-</v>
      </c>
      <c r="W1016" s="213" t="str">
        <f>IFERROR(__xludf.DUMMYFUNCTION("""COMPUTED_VALUE"""),"-")</f>
        <v>-</v>
      </c>
      <c r="X1016" s="213" t="str">
        <f>IFERROR(__xludf.DUMMYFUNCTION("""COMPUTED_VALUE"""),"VCE")</f>
        <v>VCE</v>
      </c>
      <c r="Y1016" s="213" t="str">
        <f>IFERROR(__xludf.DUMMYFUNCTION("""COMPUTED_VALUE"""),"VCE")</f>
        <v>VCE</v>
      </c>
      <c r="Z1016" s="215" t="str">
        <f>IFERROR(__xludf.DUMMYFUNCTION("""COMPUTED_VALUE"""),"https://www.amazon.com/Herramienta-crimpado-Ethernet-Crimpadora-Multi-herramienta/dp/B07XD98YYT/ref=sr_1_1_sspa?crid=NSGEVTZZO10O&amp;dib=eyJ2IjoiMSJ9.rrRTCAooboGVWtyrS_gzsQYMOhfE3R4EZywEuZAJKtlBpSrFeF7ePWNaKOYRarOb2VbzGQJ69eW9_b9wtGIzHMXo_v4n3-Y64bgnzLMo6gs_"&amp;"45Tle8otUnUBaI9t2yqpKKlINnAQ2irTjOE1uVrqDqLfBKUYpsdbyByO01awyEtUpGbUR2_Q_hG6HWOyMTmAp9b7qgj3qKFld0u8fyM3YEmdxB8zxwejW63KLuegM68.NuvmrcBorJ7gGZ9SpMRfjSjmhEGmAkN-Ga-91KZUcNk&amp;dib_tag=se&amp;keywords=TENAZA+CON+PRENSA+PARA+CONECTORES+RJ45&amp;qid=1759159516&amp;sprefix=t"&amp;"enaza+con+prensa+para+conectores+rj45%2Caps%2C170&amp;sr=8-1-spons&amp;sp_csd=d2lkZ2V0TmFtZT1zcF9hdGY&amp;psc=1")</f>
        <v>https://www.amazon.com/Herramienta-crimpado-Ethernet-Crimpadora-Multi-herramienta/dp/B07XD98YYT/ref=sr_1_1_sspa?crid=NSGEVTZZO10O&amp;dib=eyJ2IjoiMSJ9.rrRTCAooboGVWtyrS_gzsQYMOhfE3R4EZywEuZAJKtlBpSrFeF7ePWNaKOYRarOb2VbzGQJ69eW9_b9wtGIzHMXo_v4n3-Y64bgnzLMo6gs_45Tle8otUnUBaI9t2yqpKKlINnAQ2irTjOE1uVrqDqLfBKUYpsdbyByO01awyEtUpGbUR2_Q_hG6HWOyMTmAp9b7qgj3qKFld0u8fyM3YEmdxB8zxwejW63KLuegM68.NuvmrcBorJ7gGZ9SpMRfjSjmhEGmAkN-Ga-91KZUcNk&amp;dib_tag=se&amp;keywords=TENAZA+CON+PRENSA+PARA+CONECTORES+RJ45&amp;qid=1759159516&amp;sprefix=tenaza+con+prensa+para+conectores+rj45%2Caps%2C170&amp;sr=8-1-spons&amp;sp_csd=d2lkZ2V0TmFtZT1zcF9hdGY&amp;psc=1</v>
      </c>
      <c r="AA1016" s="213" t="str">
        <f>IFERROR(__xludf.DUMMYFUNCTION("""COMPUTED_VALUE"""),"HER-198 TENAZA CON PRENSA - CET")</f>
        <v>HER-198 TENAZA CON PRENSA - CET</v>
      </c>
      <c r="AB1016" s="213"/>
      <c r="AC1016" s="213"/>
      <c r="AD1016" s="213"/>
      <c r="AE1016" s="213"/>
      <c r="AF1016" s="213"/>
      <c r="AG1016" s="213"/>
      <c r="AH1016" s="213"/>
      <c r="AI1016" s="213"/>
      <c r="AJ1016" s="213"/>
      <c r="AK1016" s="213"/>
      <c r="AL1016" s="213"/>
      <c r="AM1016" s="213"/>
      <c r="AN1016" s="213"/>
      <c r="AO1016" s="213"/>
      <c r="AP1016" s="213" t="str">
        <f>IFERROR(__xludf.DUMMYFUNCTION("""COMPUTED_VALUE"""),"LUIS")</f>
        <v>LUIS</v>
      </c>
      <c r="AQ1016" s="213"/>
      <c r="AR1016" s="213"/>
      <c r="AS1016" s="213"/>
      <c r="AT1016" s="213"/>
      <c r="AU1016" s="213"/>
      <c r="AV1016" s="213"/>
      <c r="AW1016" s="213"/>
      <c r="AX1016" s="213"/>
      <c r="AY1016" s="213"/>
      <c r="AZ1016" s="213"/>
      <c r="BA1016" s="213"/>
      <c r="BB1016" s="213"/>
      <c r="BC1016" s="213"/>
      <c r="BD1016" s="213"/>
    </row>
    <row r="1017">
      <c r="A1017" s="213">
        <f>IFERROR(__xludf.DUMMYFUNCTION("""COMPUTED_VALUE"""),1941.0)</f>
        <v>1941</v>
      </c>
      <c r="B1017" s="213" t="str">
        <f>IFERROR(__xludf.DUMMYFUNCTION("""COMPUTED_VALUE"""),"JOSE GRANDA")</f>
        <v>JOSE GRANDA</v>
      </c>
      <c r="C1017" s="213" t="str">
        <f>IFERROR(__xludf.DUMMYFUNCTION("""COMPUTED_VALUE"""),"TALLER SFT DE COMPUTACIÓN E INFORMÁTICA")</f>
        <v>TALLER SFT DE COMPUTACIÓN E INFORMÁTICA</v>
      </c>
      <c r="D1017" s="213" t="str">
        <f>IFERROR(__xludf.DUMMYFUNCTION("""COMPUTED_VALUE"""),"HERRAMIENTAS")</f>
        <v>HERRAMIENTAS</v>
      </c>
      <c r="E1017" s="213" t="str">
        <f>IFERROR(__xludf.DUMMYFUNCTION("""COMPUTED_VALUE"""),"HER-198")</f>
        <v>HER-198</v>
      </c>
      <c r="F1017" s="213" t="str">
        <f>IFERROR(__xludf.DUMMYFUNCTION("""COMPUTED_VALUE"""),"HER-198")</f>
        <v>HER-198</v>
      </c>
      <c r="G1017" s="213"/>
      <c r="H1017" s="213" t="str">
        <f>IFERROR(__xludf.DUMMYFUNCTION("""COMPUTED_VALUE"""),"TENAZA CON PRENSA")</f>
        <v>TENAZA CON PRENSA</v>
      </c>
      <c r="I1017" s="213" t="str">
        <f>IFERROR(__xludf.DUMMYFUNCTION("""COMPUTED_VALUE"""),"·  Herramienta multipropósito para conectores RJ45, RJ12 Y RJ11
·  Con trinquete y prensa terminal
·  Permite cortar y desforrar cables redondos y planos
·  Módulo para entallar conectores de 4, 6 y 8 posiciones
·  Mecanismo de desbloqueo
·  Estructura de"&amp;" acero al carbono endurecido
·  Mangos ergonómicos antideslizantes")</f>
        <v>·  Herramienta multipropósito para conectores RJ45, RJ12 Y RJ11
·  Con trinquete y prensa terminal
·  Permite cortar y desforrar cables redondos y planos
·  Módulo para entallar conectores de 4, 6 y 8 posiciones
·  Mecanismo de desbloqueo
·  Estructura de acero al carbono endurecido
·  Mangos ergonómicos antideslizantes</v>
      </c>
      <c r="J1017" s="213">
        <f>IFERROR(__xludf.DUMMYFUNCTION("""COMPUTED_VALUE"""),3.0)</f>
        <v>3</v>
      </c>
      <c r="K1017" s="213" t="str">
        <f>IFERROR(__xludf.DUMMYFUNCTION("""COMPUTED_VALUE"""),"90 DÍAS CALENDARIO")</f>
        <v>90 DÍAS CALENDARIO</v>
      </c>
      <c r="L1017" s="213" t="str">
        <f>IFERROR(__xludf.DUMMYFUNCTION("""COMPUTED_VALUE"""),"")</f>
        <v/>
      </c>
      <c r="M1017" s="213">
        <f>IFERROR(__xludf.DUMMYFUNCTION("""COMPUTED_VALUE"""),1.0)</f>
        <v>1</v>
      </c>
      <c r="N1017" s="213">
        <f>IFERROR(__xludf.DUMMYFUNCTION("""COMPUTED_VALUE"""),4.0)</f>
        <v>4</v>
      </c>
      <c r="O1017" s="213">
        <f>IFERROR(__xludf.DUMMYFUNCTION("""COMPUTED_VALUE"""),4.0)</f>
        <v>4</v>
      </c>
      <c r="P1017" s="213"/>
      <c r="Q1017" s="213"/>
      <c r="R1017" s="213" t="str">
        <f>IFERROR(__xludf.DUMMYFUNCTION("""COMPUTED_VALUE"""),"SI")</f>
        <v>SI</v>
      </c>
      <c r="S1017" s="213"/>
      <c r="T1017" s="213" t="str">
        <f>IFERROR(__xludf.DUMMYFUNCTION("""COMPUTED_VALUE"""),"SI")</f>
        <v>SI</v>
      </c>
      <c r="U1017" s="213" t="str">
        <f>IFERROR(__xludf.DUMMYFUNCTION("""COMPUTED_VALUE"""),"SI")</f>
        <v>SI</v>
      </c>
      <c r="V1017" s="213" t="str">
        <f>IFERROR(__xludf.DUMMYFUNCTION("""COMPUTED_VALUE"""),"-")</f>
        <v>-</v>
      </c>
      <c r="W1017" s="213" t="str">
        <f>IFERROR(__xludf.DUMMYFUNCTION("""COMPUTED_VALUE"""),"-")</f>
        <v>-</v>
      </c>
      <c r="X1017" s="213" t="str">
        <f>IFERROR(__xludf.DUMMYFUNCTION("""COMPUTED_VALUE"""),"VCE")</f>
        <v>VCE</v>
      </c>
      <c r="Y1017" s="213" t="str">
        <f>IFERROR(__xludf.DUMMYFUNCTION("""COMPUTED_VALUE"""),"VCE")</f>
        <v>VCE</v>
      </c>
      <c r="Z1017" s="215" t="str">
        <f>IFERROR(__xludf.DUMMYFUNCTION("""COMPUTED_VALUE"""),"https://www.amazon.com/Herramienta-crimpado-Ethernet-Crimpadora-Multi-herramienta/dp/B07XD98YYT/ref=sr_1_1_sspa?crid=NSGEVTZZO10O&amp;dib=eyJ2IjoiMSJ9.rrRTCAooboGVWtyrS_gzsQYMOhfE3R4EZywEuZAJKtlBpSrFeF7ePWNaKOYRarOb2VbzGQJ69eW9_b9wtGIzHMXo_v4n3-Y64bgnzLMo6gs_"&amp;"45Tle8otUnUBaI9t2yqpKKlINnAQ2irTjOE1uVrqDqLfBKUYpsdbyByO01awyEtUpGbUR2_Q_hG6HWOyMTmAp9b7qgj3qKFld0u8fyM3YEmdxB8zxwejW63KLuegM68.NuvmrcBorJ7gGZ9SpMRfjSjmhEGmAkN-Ga-91KZUcNk&amp;dib_tag=se&amp;keywords=TENAZA+CON+PRENSA+PARA+CONECTORES+RJ45&amp;qid=1759159516&amp;sprefix=t"&amp;"enaza+con+prensa+para+conectores+rj45%2Caps%2C170&amp;sr=8-1-spons&amp;sp_csd=d2lkZ2V0TmFtZT1zcF9hdGY&amp;psc=1")</f>
        <v>https://www.amazon.com/Herramienta-crimpado-Ethernet-Crimpadora-Multi-herramienta/dp/B07XD98YYT/ref=sr_1_1_sspa?crid=NSGEVTZZO10O&amp;dib=eyJ2IjoiMSJ9.rrRTCAooboGVWtyrS_gzsQYMOhfE3R4EZywEuZAJKtlBpSrFeF7ePWNaKOYRarOb2VbzGQJ69eW9_b9wtGIzHMXo_v4n3-Y64bgnzLMo6gs_45Tle8otUnUBaI9t2yqpKKlINnAQ2irTjOE1uVrqDqLfBKUYpsdbyByO01awyEtUpGbUR2_Q_hG6HWOyMTmAp9b7qgj3qKFld0u8fyM3YEmdxB8zxwejW63KLuegM68.NuvmrcBorJ7gGZ9SpMRfjSjmhEGmAkN-Ga-91KZUcNk&amp;dib_tag=se&amp;keywords=TENAZA+CON+PRENSA+PARA+CONECTORES+RJ45&amp;qid=1759159516&amp;sprefix=tenaza+con+prensa+para+conectores+rj45%2Caps%2C170&amp;sr=8-1-spons&amp;sp_csd=d2lkZ2V0TmFtZT1zcF9hdGY&amp;psc=1</v>
      </c>
      <c r="AA1017" s="213" t="str">
        <f>IFERROR(__xludf.DUMMYFUNCTION("""COMPUTED_VALUE"""),"HER-198 TENAZA CON PRENSA - CET")</f>
        <v>HER-198 TENAZA CON PRENSA - CET</v>
      </c>
      <c r="AB1017" s="213"/>
      <c r="AC1017" s="213"/>
      <c r="AD1017" s="213"/>
      <c r="AE1017" s="213"/>
      <c r="AF1017" s="213"/>
      <c r="AG1017" s="213"/>
      <c r="AH1017" s="213"/>
      <c r="AI1017" s="213"/>
      <c r="AJ1017" s="213"/>
      <c r="AK1017" s="213"/>
      <c r="AL1017" s="213"/>
      <c r="AM1017" s="213"/>
      <c r="AN1017" s="213"/>
      <c r="AO1017" s="213"/>
      <c r="AP1017" s="213" t="str">
        <f>IFERROR(__xludf.DUMMYFUNCTION("""COMPUTED_VALUE"""),"LUIS")</f>
        <v>LUIS</v>
      </c>
      <c r="AQ1017" s="213"/>
      <c r="AR1017" s="213"/>
      <c r="AS1017" s="213"/>
      <c r="AT1017" s="213"/>
      <c r="AU1017" s="213"/>
      <c r="AV1017" s="213"/>
      <c r="AW1017" s="213"/>
      <c r="AX1017" s="213"/>
      <c r="AY1017" s="213"/>
      <c r="AZ1017" s="213"/>
      <c r="BA1017" s="213"/>
      <c r="BB1017" s="213"/>
      <c r="BC1017" s="213"/>
      <c r="BD1017" s="213"/>
    </row>
    <row r="1018">
      <c r="A1018" s="213">
        <f>IFERROR(__xludf.DUMMYFUNCTION("""COMPUTED_VALUE"""),269.0)</f>
        <v>269</v>
      </c>
      <c r="B1018" s="213" t="str">
        <f>IFERROR(__xludf.DUMMYFUNCTION("""COMPUTED_VALUE"""),"2026 SIMON BOLIVAR")</f>
        <v>2026 SIMON BOLIVAR</v>
      </c>
      <c r="C1018" s="213" t="str">
        <f>IFERROR(__xludf.DUMMYFUNCTION("""COMPUTED_VALUE"""),"TALLER SFT DE COMPUTACIÓN E INFORMÁTICA")</f>
        <v>TALLER SFT DE COMPUTACIÓN E INFORMÁTICA</v>
      </c>
      <c r="D1018" s="213" t="str">
        <f>IFERROR(__xludf.DUMMYFUNCTION("""COMPUTED_VALUE"""),"HERRAMIENTAS")</f>
        <v>HERRAMIENTAS</v>
      </c>
      <c r="E1018" s="213" t="str">
        <f>IFERROR(__xludf.DUMMYFUNCTION("""COMPUTED_VALUE"""),"HER-203")</f>
        <v>HER-203</v>
      </c>
      <c r="F1018" s="213" t="str">
        <f>IFERROR(__xludf.DUMMYFUNCTION("""COMPUTED_VALUE"""),"HER-203")</f>
        <v>HER-203</v>
      </c>
      <c r="G1018" s="213"/>
      <c r="H1018" s="213" t="str">
        <f>IFERROR(__xludf.DUMMYFUNCTION("""COMPUTED_VALUE"""),"TIJERA CORTA TUBO")</f>
        <v>TIJERA CORTA TUBO</v>
      </c>
      <c r="I1018" s="213" t="str">
        <f>IFERROR(__xludf.DUMMYFUNCTION("""COMPUTED_VALUE"""),"·  Para corte de tubos de plástico tipo PVC, PEX, PP, PB y MLP
·  Fabricada en aluminio de primera fusión
·  Palanca de desbloqueo y cierre de seguridad
·  Mango con diseño ergonómico
·  Capacidad de corte: Ø 1.5/8"" - 42 mm.
·  Cuchilla de acero inoxidab"&amp;"le que permite un corte rápido y limpio.
·  Cortes de precisión en ángulo recto.")</f>
        <v>·  Para corte de tubos de plástico tipo PVC, PEX, PP, PB y MLP
·  Fabricada en aluminio de primera fusión
·  Palanca de desbloqueo y cierre de seguridad
·  Mango con diseño ergonómico
·  Capacidad de corte: Ø 1.5/8" - 42 mm.
·  Cuchilla de acero inoxidable que permite un corte rápido y limpio.
·  Cortes de precisión en ángulo recto.</v>
      </c>
      <c r="J1018" s="213">
        <f>IFERROR(__xludf.DUMMYFUNCTION("""COMPUTED_VALUE"""),3.0)</f>
        <v>3</v>
      </c>
      <c r="K1018" s="213" t="str">
        <f>IFERROR(__xludf.DUMMYFUNCTION("""COMPUTED_VALUE"""),"90 DÍAS CALENDARIO")</f>
        <v>90 DÍAS CALENDARIO</v>
      </c>
      <c r="L1018" s="213" t="str">
        <f>IFERROR(__xludf.DUMMYFUNCTION("""COMPUTED_VALUE"""),"")</f>
        <v/>
      </c>
      <c r="M1018" s="213">
        <f>IFERROR(__xludf.DUMMYFUNCTION("""COMPUTED_VALUE"""),1.0)</f>
        <v>1</v>
      </c>
      <c r="N1018" s="213">
        <f>IFERROR(__xludf.DUMMYFUNCTION("""COMPUTED_VALUE"""),4.0)</f>
        <v>4</v>
      </c>
      <c r="O1018" s="213">
        <f>IFERROR(__xludf.DUMMYFUNCTION("""COMPUTED_VALUE"""),4.0)</f>
        <v>4</v>
      </c>
      <c r="P1018" s="213"/>
      <c r="Q1018" s="213"/>
      <c r="R1018" s="213" t="str">
        <f>IFERROR(__xludf.DUMMYFUNCTION("""COMPUTED_VALUE"""),"SI")</f>
        <v>SI</v>
      </c>
      <c r="S1018" s="213"/>
      <c r="T1018" s="213" t="str">
        <f>IFERROR(__xludf.DUMMYFUNCTION("""COMPUTED_VALUE"""),"SI")</f>
        <v>SI</v>
      </c>
      <c r="U1018" s="213" t="str">
        <f>IFERROR(__xludf.DUMMYFUNCTION("""COMPUTED_VALUE"""),"SI")</f>
        <v>SI</v>
      </c>
      <c r="V1018" s="213" t="str">
        <f>IFERROR(__xludf.DUMMYFUNCTION("""COMPUTED_VALUE"""),"-")</f>
        <v>-</v>
      </c>
      <c r="W1018" s="213" t="str">
        <f>IFERROR(__xludf.DUMMYFUNCTION("""COMPUTED_VALUE"""),"-")</f>
        <v>-</v>
      </c>
      <c r="X1018" s="213" t="str">
        <f>IFERROR(__xludf.DUMMYFUNCTION("""COMPUTED_VALUE"""),"MPT")</f>
        <v>MPT</v>
      </c>
      <c r="Y1018" s="213" t="str">
        <f>IFERROR(__xludf.DUMMYFUNCTION("""COMPUTED_VALUE"""),"MPT")</f>
        <v>MPT</v>
      </c>
      <c r="Z1018" s="215" t="str">
        <f>IFERROR(__xludf.DUMMYFUNCTION("""COMPUTED_VALUE"""),"https://www.sodimac.com.pe/sodimac-pe/articulo/122121228/TIJERAS-CORTA-TUBOS-42MM-PROFESIONAL-MPT-TOOLS/122121229?srsltid=AfmBOoryVgdljfYsv6tmlvlv_N1ho0NQBGTjZIJYkhz9e9JzWDn5wkJT")</f>
        <v>https://www.sodimac.com.pe/sodimac-pe/articulo/122121228/TIJERAS-CORTA-TUBOS-42MM-PROFESIONAL-MPT-TOOLS/122121229?srsltid=AfmBOoryVgdljfYsv6tmlvlv_N1ho0NQBGTjZIJYkhz9e9JzWDn5wkJT</v>
      </c>
      <c r="AA1018" s="213" t="str">
        <f>IFERROR(__xludf.DUMMYFUNCTION("""COMPUTED_VALUE"""),"HER-203 TIJERA CORTA TUBO - CET")</f>
        <v>HER-203 TIJERA CORTA TUBO - CET</v>
      </c>
      <c r="AB1018" s="213"/>
      <c r="AC1018" s="213"/>
      <c r="AD1018" s="213"/>
      <c r="AE1018" s="213"/>
      <c r="AF1018" s="213"/>
      <c r="AG1018" s="213"/>
      <c r="AH1018" s="213"/>
      <c r="AI1018" s="213"/>
      <c r="AJ1018" s="213"/>
      <c r="AK1018" s="213"/>
      <c r="AL1018" s="213"/>
      <c r="AM1018" s="213"/>
      <c r="AN1018" s="213"/>
      <c r="AO1018" s="213"/>
      <c r="AP1018" s="213" t="str">
        <f>IFERROR(__xludf.DUMMYFUNCTION("""COMPUTED_VALUE"""),"LUIS")</f>
        <v>LUIS</v>
      </c>
      <c r="AQ1018" s="213"/>
      <c r="AR1018" s="213"/>
      <c r="AS1018" s="213"/>
      <c r="AT1018" s="213"/>
      <c r="AU1018" s="213"/>
      <c r="AV1018" s="213"/>
      <c r="AW1018" s="213"/>
      <c r="AX1018" s="213"/>
      <c r="AY1018" s="213"/>
      <c r="AZ1018" s="213"/>
      <c r="BA1018" s="213"/>
      <c r="BB1018" s="213"/>
      <c r="BC1018" s="213"/>
      <c r="BD1018" s="213"/>
    </row>
    <row r="1019">
      <c r="A1019" s="213">
        <f>IFERROR(__xludf.DUMMYFUNCTION("""COMPUTED_VALUE"""),754.0)</f>
        <v>754</v>
      </c>
      <c r="B1019" s="213" t="str">
        <f>IFERROR(__xludf.DUMMYFUNCTION("""COMPUTED_VALUE"""),"6049 RICARDO PALMA")</f>
        <v>6049 RICARDO PALMA</v>
      </c>
      <c r="C1019" s="213" t="str">
        <f>IFERROR(__xludf.DUMMYFUNCTION("""COMPUTED_VALUE"""),"TALLER SFT DE COMPUTACIÓN E INFORMÁTICA")</f>
        <v>TALLER SFT DE COMPUTACIÓN E INFORMÁTICA</v>
      </c>
      <c r="D1019" s="213" t="str">
        <f>IFERROR(__xludf.DUMMYFUNCTION("""COMPUTED_VALUE"""),"HERRAMIENTAS")</f>
        <v>HERRAMIENTAS</v>
      </c>
      <c r="E1019" s="213" t="str">
        <f>IFERROR(__xludf.DUMMYFUNCTION("""COMPUTED_VALUE"""),"HER-203")</f>
        <v>HER-203</v>
      </c>
      <c r="F1019" s="213" t="str">
        <f>IFERROR(__xludf.DUMMYFUNCTION("""COMPUTED_VALUE"""),"HER-203")</f>
        <v>HER-203</v>
      </c>
      <c r="G1019" s="213"/>
      <c r="H1019" s="213" t="str">
        <f>IFERROR(__xludf.DUMMYFUNCTION("""COMPUTED_VALUE"""),"TIJERA CORTA TUBO")</f>
        <v>TIJERA CORTA TUBO</v>
      </c>
      <c r="I1019" s="213" t="str">
        <f>IFERROR(__xludf.DUMMYFUNCTION("""COMPUTED_VALUE"""),"·  Para corte de tubos de plástico tipo PVC, PEX, PP, PB y MLP
·  Fabricada en aluminio de primera fusión
·  Palanca de desbloqueo y cierre de seguridad
·  Mango con diseño ergonómico
·  Capacidad de corte: Ø 1.5/8"" - 42 mm.
·  Cuchilla de acero inoxidab"&amp;"le que permite un corte rápido y limpio.
·  Cortes de precisión en ángulo recto.")</f>
        <v>·  Para corte de tubos de plástico tipo PVC, PEX, PP, PB y MLP
·  Fabricada en aluminio de primera fusión
·  Palanca de desbloqueo y cierre de seguridad
·  Mango con diseño ergonómico
·  Capacidad de corte: Ø 1.5/8" - 42 mm.
·  Cuchilla de acero inoxidable que permite un corte rápido y limpio.
·  Cortes de precisión en ángulo recto.</v>
      </c>
      <c r="J1019" s="213">
        <f>IFERROR(__xludf.DUMMYFUNCTION("""COMPUTED_VALUE"""),3.0)</f>
        <v>3</v>
      </c>
      <c r="K1019" s="213" t="str">
        <f>IFERROR(__xludf.DUMMYFUNCTION("""COMPUTED_VALUE"""),"90 DÍAS CALENDARIO")</f>
        <v>90 DÍAS CALENDARIO</v>
      </c>
      <c r="L1019" s="213" t="str">
        <f>IFERROR(__xludf.DUMMYFUNCTION("""COMPUTED_VALUE"""),"")</f>
        <v/>
      </c>
      <c r="M1019" s="213">
        <f>IFERROR(__xludf.DUMMYFUNCTION("""COMPUTED_VALUE"""),1.0)</f>
        <v>1</v>
      </c>
      <c r="N1019" s="213">
        <f>IFERROR(__xludf.DUMMYFUNCTION("""COMPUTED_VALUE"""),4.0)</f>
        <v>4</v>
      </c>
      <c r="O1019" s="213">
        <f>IFERROR(__xludf.DUMMYFUNCTION("""COMPUTED_VALUE"""),4.0)</f>
        <v>4</v>
      </c>
      <c r="P1019" s="213"/>
      <c r="Q1019" s="213"/>
      <c r="R1019" s="213" t="str">
        <f>IFERROR(__xludf.DUMMYFUNCTION("""COMPUTED_VALUE"""),"SI")</f>
        <v>SI</v>
      </c>
      <c r="S1019" s="213"/>
      <c r="T1019" s="213" t="str">
        <f>IFERROR(__xludf.DUMMYFUNCTION("""COMPUTED_VALUE"""),"SI")</f>
        <v>SI</v>
      </c>
      <c r="U1019" s="213" t="str">
        <f>IFERROR(__xludf.DUMMYFUNCTION("""COMPUTED_VALUE"""),"SI")</f>
        <v>SI</v>
      </c>
      <c r="V1019" s="213" t="str">
        <f>IFERROR(__xludf.DUMMYFUNCTION("""COMPUTED_VALUE"""),"-")</f>
        <v>-</v>
      </c>
      <c r="W1019" s="213" t="str">
        <f>IFERROR(__xludf.DUMMYFUNCTION("""COMPUTED_VALUE"""),"-")</f>
        <v>-</v>
      </c>
      <c r="X1019" s="213" t="str">
        <f>IFERROR(__xludf.DUMMYFUNCTION("""COMPUTED_VALUE"""),"MPT")</f>
        <v>MPT</v>
      </c>
      <c r="Y1019" s="213" t="str">
        <f>IFERROR(__xludf.DUMMYFUNCTION("""COMPUTED_VALUE"""),"MPT")</f>
        <v>MPT</v>
      </c>
      <c r="Z1019" s="215" t="str">
        <f>IFERROR(__xludf.DUMMYFUNCTION("""COMPUTED_VALUE"""),"https://www.sodimac.com.pe/sodimac-pe/articulo/122121228/TIJERAS-CORTA-TUBOS-42MM-PROFESIONAL-MPT-TOOLS/122121229?srsltid=AfmBOoryVgdljfYsv6tmlvlv_N1ho0NQBGTjZIJYkhz9e9JzWDn5wkJT")</f>
        <v>https://www.sodimac.com.pe/sodimac-pe/articulo/122121228/TIJERAS-CORTA-TUBOS-42MM-PROFESIONAL-MPT-TOOLS/122121229?srsltid=AfmBOoryVgdljfYsv6tmlvlv_N1ho0NQBGTjZIJYkhz9e9JzWDn5wkJT</v>
      </c>
      <c r="AA1019" s="213" t="str">
        <f>IFERROR(__xludf.DUMMYFUNCTION("""COMPUTED_VALUE"""),"HER-203 TIJERA CORTA TUBO - CET")</f>
        <v>HER-203 TIJERA CORTA TUBO - CET</v>
      </c>
      <c r="AB1019" s="213"/>
      <c r="AC1019" s="213"/>
      <c r="AD1019" s="213"/>
      <c r="AE1019" s="213"/>
      <c r="AF1019" s="213"/>
      <c r="AG1019" s="213"/>
      <c r="AH1019" s="213"/>
      <c r="AI1019" s="213"/>
      <c r="AJ1019" s="213"/>
      <c r="AK1019" s="213"/>
      <c r="AL1019" s="213"/>
      <c r="AM1019" s="213"/>
      <c r="AN1019" s="213"/>
      <c r="AO1019" s="213"/>
      <c r="AP1019" s="213" t="str">
        <f>IFERROR(__xludf.DUMMYFUNCTION("""COMPUTED_VALUE"""),"LUIS")</f>
        <v>LUIS</v>
      </c>
      <c r="AQ1019" s="213"/>
      <c r="AR1019" s="213"/>
      <c r="AS1019" s="213"/>
      <c r="AT1019" s="213"/>
      <c r="AU1019" s="213"/>
      <c r="AV1019" s="213"/>
      <c r="AW1019" s="213"/>
      <c r="AX1019" s="213"/>
      <c r="AY1019" s="213"/>
      <c r="AZ1019" s="213"/>
      <c r="BA1019" s="213"/>
      <c r="BB1019" s="213"/>
      <c r="BC1019" s="213"/>
      <c r="BD1019" s="213"/>
    </row>
    <row r="1020">
      <c r="A1020" s="213">
        <f>IFERROR(__xludf.DUMMYFUNCTION("""COMPUTED_VALUE"""),1692.0)</f>
        <v>1692</v>
      </c>
      <c r="B1020" s="213" t="str">
        <f>IFERROR(__xludf.DUMMYFUNCTION("""COMPUTED_VALUE"""),"GUILLERMO E. BILLINGHURST ")</f>
        <v>GUILLERMO E. BILLINGHURST </v>
      </c>
      <c r="C1020" s="213" t="str">
        <f>IFERROR(__xludf.DUMMYFUNCTION("""COMPUTED_VALUE"""),"TALLER SFT DE COMPUTACIÓN E INFORMÁTICA")</f>
        <v>TALLER SFT DE COMPUTACIÓN E INFORMÁTICA</v>
      </c>
      <c r="D1020" s="213" t="str">
        <f>IFERROR(__xludf.DUMMYFUNCTION("""COMPUTED_VALUE"""),"HERRAMIENTAS")</f>
        <v>HERRAMIENTAS</v>
      </c>
      <c r="E1020" s="213" t="str">
        <f>IFERROR(__xludf.DUMMYFUNCTION("""COMPUTED_VALUE"""),"HER-203")</f>
        <v>HER-203</v>
      </c>
      <c r="F1020" s="213" t="str">
        <f>IFERROR(__xludf.DUMMYFUNCTION("""COMPUTED_VALUE"""),"HER-203")</f>
        <v>HER-203</v>
      </c>
      <c r="G1020" s="213"/>
      <c r="H1020" s="213" t="str">
        <f>IFERROR(__xludf.DUMMYFUNCTION("""COMPUTED_VALUE"""),"TIJERA CORTA TUBO")</f>
        <v>TIJERA CORTA TUBO</v>
      </c>
      <c r="I1020" s="213" t="str">
        <f>IFERROR(__xludf.DUMMYFUNCTION("""COMPUTED_VALUE"""),"·  Para corte de tubos de plástico tipo PVC, PEX, PP, PB y MLP
·  Fabricada en aluminio de primera fusión
·  Palanca de desbloqueo y cierre de seguridad
·  Mango con diseño ergonómico
·  Capacidad de corte: Ø 1.5/8"" - 42 mm.
·  Cuchilla de acero inoxidab"&amp;"le que permite un corte rápido y limpio.
·  Cortes de precisión en ángulo recto.")</f>
        <v>·  Para corte de tubos de plástico tipo PVC, PEX, PP, PB y MLP
·  Fabricada en aluminio de primera fusión
·  Palanca de desbloqueo y cierre de seguridad
·  Mango con diseño ergonómico
·  Capacidad de corte: Ø 1.5/8" - 42 mm.
·  Cuchilla de acero inoxidable que permite un corte rápido y limpio.
·  Cortes de precisión en ángulo recto.</v>
      </c>
      <c r="J1020" s="213">
        <f>IFERROR(__xludf.DUMMYFUNCTION("""COMPUTED_VALUE"""),3.0)</f>
        <v>3</v>
      </c>
      <c r="K1020" s="213" t="str">
        <f>IFERROR(__xludf.DUMMYFUNCTION("""COMPUTED_VALUE"""),"90 DÍAS CALENDARIO")</f>
        <v>90 DÍAS CALENDARIO</v>
      </c>
      <c r="L1020" s="213" t="str">
        <f>IFERROR(__xludf.DUMMYFUNCTION("""COMPUTED_VALUE"""),"")</f>
        <v/>
      </c>
      <c r="M1020" s="213">
        <f>IFERROR(__xludf.DUMMYFUNCTION("""COMPUTED_VALUE"""),1.0)</f>
        <v>1</v>
      </c>
      <c r="N1020" s="213">
        <f>IFERROR(__xludf.DUMMYFUNCTION("""COMPUTED_VALUE"""),4.0)</f>
        <v>4</v>
      </c>
      <c r="O1020" s="213">
        <f>IFERROR(__xludf.DUMMYFUNCTION("""COMPUTED_VALUE"""),4.0)</f>
        <v>4</v>
      </c>
      <c r="P1020" s="213"/>
      <c r="Q1020" s="213"/>
      <c r="R1020" s="213" t="str">
        <f>IFERROR(__xludf.DUMMYFUNCTION("""COMPUTED_VALUE"""),"SI")</f>
        <v>SI</v>
      </c>
      <c r="S1020" s="213"/>
      <c r="T1020" s="213" t="str">
        <f>IFERROR(__xludf.DUMMYFUNCTION("""COMPUTED_VALUE"""),"SI")</f>
        <v>SI</v>
      </c>
      <c r="U1020" s="213" t="str">
        <f>IFERROR(__xludf.DUMMYFUNCTION("""COMPUTED_VALUE"""),"SI")</f>
        <v>SI</v>
      </c>
      <c r="V1020" s="213" t="str">
        <f>IFERROR(__xludf.DUMMYFUNCTION("""COMPUTED_VALUE"""),"-")</f>
        <v>-</v>
      </c>
      <c r="W1020" s="213" t="str">
        <f>IFERROR(__xludf.DUMMYFUNCTION("""COMPUTED_VALUE"""),"-")</f>
        <v>-</v>
      </c>
      <c r="X1020" s="213" t="str">
        <f>IFERROR(__xludf.DUMMYFUNCTION("""COMPUTED_VALUE"""),"MPT")</f>
        <v>MPT</v>
      </c>
      <c r="Y1020" s="213" t="str">
        <f>IFERROR(__xludf.DUMMYFUNCTION("""COMPUTED_VALUE"""),"MPT")</f>
        <v>MPT</v>
      </c>
      <c r="Z1020" s="215" t="str">
        <f>IFERROR(__xludf.DUMMYFUNCTION("""COMPUTED_VALUE"""),"https://www.sodimac.com.pe/sodimac-pe/articulo/122121228/TIJERAS-CORTA-TUBOS-42MM-PROFESIONAL-MPT-TOOLS/122121229?srsltid=AfmBOoryVgdljfYsv6tmlvlv_N1ho0NQBGTjZIJYkhz9e9JzWDn5wkJT")</f>
        <v>https://www.sodimac.com.pe/sodimac-pe/articulo/122121228/TIJERAS-CORTA-TUBOS-42MM-PROFESIONAL-MPT-TOOLS/122121229?srsltid=AfmBOoryVgdljfYsv6tmlvlv_N1ho0NQBGTjZIJYkhz9e9JzWDn5wkJT</v>
      </c>
      <c r="AA1020" s="213" t="str">
        <f>IFERROR(__xludf.DUMMYFUNCTION("""COMPUTED_VALUE"""),"HER-203 TIJERA CORTA TUBO - CET")</f>
        <v>HER-203 TIJERA CORTA TUBO - CET</v>
      </c>
      <c r="AB1020" s="213"/>
      <c r="AC1020" s="213"/>
      <c r="AD1020" s="213"/>
      <c r="AE1020" s="213"/>
      <c r="AF1020" s="213"/>
      <c r="AG1020" s="213"/>
      <c r="AH1020" s="213"/>
      <c r="AI1020" s="213"/>
      <c r="AJ1020" s="213"/>
      <c r="AK1020" s="213"/>
      <c r="AL1020" s="213"/>
      <c r="AM1020" s="213"/>
      <c r="AN1020" s="213"/>
      <c r="AO1020" s="213"/>
      <c r="AP1020" s="213" t="str">
        <f>IFERROR(__xludf.DUMMYFUNCTION("""COMPUTED_VALUE"""),"LUIS")</f>
        <v>LUIS</v>
      </c>
      <c r="AQ1020" s="213"/>
      <c r="AR1020" s="213"/>
      <c r="AS1020" s="213"/>
      <c r="AT1020" s="213"/>
      <c r="AU1020" s="213"/>
      <c r="AV1020" s="213"/>
      <c r="AW1020" s="213"/>
      <c r="AX1020" s="213"/>
      <c r="AY1020" s="213"/>
      <c r="AZ1020" s="213"/>
      <c r="BA1020" s="213"/>
      <c r="BB1020" s="213"/>
      <c r="BC1020" s="213"/>
      <c r="BD1020" s="213"/>
    </row>
    <row r="1021">
      <c r="A1021" s="213">
        <f>IFERROR(__xludf.DUMMYFUNCTION("""COMPUTED_VALUE"""),1944.0)</f>
        <v>1944</v>
      </c>
      <c r="B1021" s="213" t="str">
        <f>IFERROR(__xludf.DUMMYFUNCTION("""COMPUTED_VALUE"""),"JOSE GRANDA")</f>
        <v>JOSE GRANDA</v>
      </c>
      <c r="C1021" s="213" t="str">
        <f>IFERROR(__xludf.DUMMYFUNCTION("""COMPUTED_VALUE"""),"TALLER SFT DE COMPUTACIÓN E INFORMÁTICA")</f>
        <v>TALLER SFT DE COMPUTACIÓN E INFORMÁTICA</v>
      </c>
      <c r="D1021" s="213" t="str">
        <f>IFERROR(__xludf.DUMMYFUNCTION("""COMPUTED_VALUE"""),"HERRAMIENTAS")</f>
        <v>HERRAMIENTAS</v>
      </c>
      <c r="E1021" s="213" t="str">
        <f>IFERROR(__xludf.DUMMYFUNCTION("""COMPUTED_VALUE"""),"HER-203")</f>
        <v>HER-203</v>
      </c>
      <c r="F1021" s="213" t="str">
        <f>IFERROR(__xludf.DUMMYFUNCTION("""COMPUTED_VALUE"""),"HER-203")</f>
        <v>HER-203</v>
      </c>
      <c r="G1021" s="213"/>
      <c r="H1021" s="213" t="str">
        <f>IFERROR(__xludf.DUMMYFUNCTION("""COMPUTED_VALUE"""),"TIJERA CORTA TUBO")</f>
        <v>TIJERA CORTA TUBO</v>
      </c>
      <c r="I1021" s="213" t="str">
        <f>IFERROR(__xludf.DUMMYFUNCTION("""COMPUTED_VALUE"""),"·  Para corte de tubos de plástico tipo PVC, PEX, PP, PB y MLP
·  Fabricada en aluminio de primera fusión
·  Palanca de desbloqueo y cierre de seguridad
·  Mango con diseño ergonómico
·  Capacidad de corte: Ø 1.5/8"" - 42 mm.
·  Cuchilla de acero inoxidab"&amp;"le que permite un corte rápido y limpio.
·  Cortes de precisión en ángulo recto.")</f>
        <v>·  Para corte de tubos de plástico tipo PVC, PEX, PP, PB y MLP
·  Fabricada en aluminio de primera fusión
·  Palanca de desbloqueo y cierre de seguridad
·  Mango con diseño ergonómico
·  Capacidad de corte: Ø 1.5/8" - 42 mm.
·  Cuchilla de acero inoxidable que permite un corte rápido y limpio.
·  Cortes de precisión en ángulo recto.</v>
      </c>
      <c r="J1021" s="213">
        <f>IFERROR(__xludf.DUMMYFUNCTION("""COMPUTED_VALUE"""),3.0)</f>
        <v>3</v>
      </c>
      <c r="K1021" s="213" t="str">
        <f>IFERROR(__xludf.DUMMYFUNCTION("""COMPUTED_VALUE"""),"90 DÍAS CALENDARIO")</f>
        <v>90 DÍAS CALENDARIO</v>
      </c>
      <c r="L1021" s="213" t="str">
        <f>IFERROR(__xludf.DUMMYFUNCTION("""COMPUTED_VALUE"""),"")</f>
        <v/>
      </c>
      <c r="M1021" s="213">
        <f>IFERROR(__xludf.DUMMYFUNCTION("""COMPUTED_VALUE"""),1.0)</f>
        <v>1</v>
      </c>
      <c r="N1021" s="213">
        <f>IFERROR(__xludf.DUMMYFUNCTION("""COMPUTED_VALUE"""),4.0)</f>
        <v>4</v>
      </c>
      <c r="O1021" s="213">
        <f>IFERROR(__xludf.DUMMYFUNCTION("""COMPUTED_VALUE"""),4.0)</f>
        <v>4</v>
      </c>
      <c r="P1021" s="213"/>
      <c r="Q1021" s="213"/>
      <c r="R1021" s="213" t="str">
        <f>IFERROR(__xludf.DUMMYFUNCTION("""COMPUTED_VALUE"""),"SI")</f>
        <v>SI</v>
      </c>
      <c r="S1021" s="213"/>
      <c r="T1021" s="213" t="str">
        <f>IFERROR(__xludf.DUMMYFUNCTION("""COMPUTED_VALUE"""),"SI")</f>
        <v>SI</v>
      </c>
      <c r="U1021" s="213" t="str">
        <f>IFERROR(__xludf.DUMMYFUNCTION("""COMPUTED_VALUE"""),"SI")</f>
        <v>SI</v>
      </c>
      <c r="V1021" s="213" t="str">
        <f>IFERROR(__xludf.DUMMYFUNCTION("""COMPUTED_VALUE"""),"-")</f>
        <v>-</v>
      </c>
      <c r="W1021" s="213" t="str">
        <f>IFERROR(__xludf.DUMMYFUNCTION("""COMPUTED_VALUE"""),"-")</f>
        <v>-</v>
      </c>
      <c r="X1021" s="213" t="str">
        <f>IFERROR(__xludf.DUMMYFUNCTION("""COMPUTED_VALUE"""),"MPT")</f>
        <v>MPT</v>
      </c>
      <c r="Y1021" s="213" t="str">
        <f>IFERROR(__xludf.DUMMYFUNCTION("""COMPUTED_VALUE"""),"MPT")</f>
        <v>MPT</v>
      </c>
      <c r="Z1021" s="215" t="str">
        <f>IFERROR(__xludf.DUMMYFUNCTION("""COMPUTED_VALUE"""),"https://www.sodimac.com.pe/sodimac-pe/articulo/122121228/TIJERAS-CORTA-TUBOS-42MM-PROFESIONAL-MPT-TOOLS/122121229?srsltid=AfmBOoryVgdljfYsv6tmlvlv_N1ho0NQBGTjZIJYkhz9e9JzWDn5wkJT")</f>
        <v>https://www.sodimac.com.pe/sodimac-pe/articulo/122121228/TIJERAS-CORTA-TUBOS-42MM-PROFESIONAL-MPT-TOOLS/122121229?srsltid=AfmBOoryVgdljfYsv6tmlvlv_N1ho0NQBGTjZIJYkhz9e9JzWDn5wkJT</v>
      </c>
      <c r="AA1021" s="213" t="str">
        <f>IFERROR(__xludf.DUMMYFUNCTION("""COMPUTED_VALUE"""),"HER-203 TIJERA CORTA TUBO - CET")</f>
        <v>HER-203 TIJERA CORTA TUBO - CET</v>
      </c>
      <c r="AB1021" s="213"/>
      <c r="AC1021" s="213"/>
      <c r="AD1021" s="213"/>
      <c r="AE1021" s="213"/>
      <c r="AF1021" s="213"/>
      <c r="AG1021" s="213"/>
      <c r="AH1021" s="213"/>
      <c r="AI1021" s="213"/>
      <c r="AJ1021" s="213"/>
      <c r="AK1021" s="213"/>
      <c r="AL1021" s="213"/>
      <c r="AM1021" s="213"/>
      <c r="AN1021" s="213"/>
      <c r="AO1021" s="213"/>
      <c r="AP1021" s="213" t="str">
        <f>IFERROR(__xludf.DUMMYFUNCTION("""COMPUTED_VALUE"""),"LUIS")</f>
        <v>LUIS</v>
      </c>
      <c r="AQ1021" s="213"/>
      <c r="AR1021" s="213"/>
      <c r="AS1021" s="213"/>
      <c r="AT1021" s="213"/>
      <c r="AU1021" s="213"/>
      <c r="AV1021" s="213"/>
      <c r="AW1021" s="213"/>
      <c r="AX1021" s="213"/>
      <c r="AY1021" s="213"/>
      <c r="AZ1021" s="213"/>
      <c r="BA1021" s="213"/>
      <c r="BB1021" s="213"/>
      <c r="BC1021" s="213"/>
      <c r="BD1021" s="213"/>
    </row>
    <row r="1022">
      <c r="A1022" s="213">
        <f>IFERROR(__xludf.DUMMYFUNCTION("""COMPUTED_VALUE"""),28.0)</f>
        <v>28</v>
      </c>
      <c r="B1022" s="213" t="str">
        <f>IFERROR(__xludf.DUMMYFUNCTION("""COMPUTED_VALUE"""),"16449 ELOY SOBERON  FLORES")</f>
        <v>16449 ELOY SOBERON  FLORES</v>
      </c>
      <c r="C1022" s="213" t="str">
        <f>IFERROR(__xludf.DUMMYFUNCTION("""COMPUTED_VALUE"""),"TALLER SFT DE COCINA Y REPOSTERÍA")</f>
        <v>TALLER SFT DE COCINA Y REPOSTERÍA</v>
      </c>
      <c r="D1022" s="213" t="str">
        <f>IFERROR(__xludf.DUMMYFUNCTION("""COMPUTED_VALUE"""),"HERRAMIENTAS")</f>
        <v>HERRAMIENTAS</v>
      </c>
      <c r="E1022" s="213" t="str">
        <f>IFERROR(__xludf.DUMMYFUNCTION("""COMPUTED_VALUE"""),"MAT-101")</f>
        <v>MAT-101</v>
      </c>
      <c r="F1022" s="213" t="str">
        <f>IFERROR(__xludf.DUMMYFUNCTION("""COMPUTED_VALUE"""),"MAT-101")</f>
        <v>MAT-101</v>
      </c>
      <c r="G1022" s="213"/>
      <c r="H1022" s="213" t="str">
        <f>IFERROR(__xludf.DUMMYFUNCTION("""COMPUTED_VALUE"""),"ABLANDADOR DE CARNE")</f>
        <v>ABLANDADOR DE CARNE</v>
      </c>
      <c r="I1022" s="213" t="str">
        <f>IFERROR(__xludf.DUMMYFUNCTION("""COMPUTED_VALUE"""),"•   Hecho de aleación de aluminio de grado alimentario, construcción de una sola pieza para mayor resistencia y durabilidad, antioxidante y anticorrosivo, larga vida útil.
•   Un lado es de 140 puntas afiladas para ablandar carne, el otro lado es superfic"&amp;"ie lisa para golpear la carne, gran superficie ayuda a que su carne sea más fácil y eficiente.
•   Este mazo de carne es sólido, resistente y resistente; mango ergonómico de plástico ABS, para que el martillo para carne no ruede en la mano, reduzca la fat"&amp;"iga.
•   Fácil de limpiar a mano; el lavavajillas puede decolorarse; fácil de almacenar con agujero para colgar.
L•VDEimReAnsHioniledsaaproximadas ( +- 3 cm ) del producto 28,5 cm x 8 cm x 6,5 cm
998 soft")</f>
        <v>•   Hecho de aleación de aluminio de grado alimentario, construcción de una sola pieza para mayor resistencia y durabilidad, antioxidante y anticorrosivo, larga vida útil.
•   Un lado es de 140 puntas afiladas para ablandar carne, el otro lado es superficie lisa para golpear la carne, gran superficie ayuda a que su carne sea más fácil y eficiente.
•   Este mazo de carne es sólido, resistente y resistente; mango ergonómico de plástico ABS, para que el martillo para carne no ruede en la mano, reduzca la fatiga.
•   Fácil de limpiar a mano; el lavavajillas puede decolorarse; fácil de almacenar con agujero para colgar.
L•VDEimReAnsHioniledsaaproximadas ( +- 3 cm ) del producto 28,5 cm x 8 cm x 6,5 cm
998 soft</v>
      </c>
      <c r="J1022" s="213">
        <f>IFERROR(__xludf.DUMMYFUNCTION("""COMPUTED_VALUE"""),3.0)</f>
        <v>3</v>
      </c>
      <c r="K1022" s="213" t="str">
        <f>IFERROR(__xludf.DUMMYFUNCTION("""COMPUTED_VALUE"""),"90 DÍAS CALENDARIO")</f>
        <v>90 DÍAS CALENDARIO</v>
      </c>
      <c r="L1022" s="213" t="str">
        <f>IFERROR(__xludf.DUMMYFUNCTION("""COMPUTED_VALUE"""),"")</f>
        <v/>
      </c>
      <c r="M1022" s="213">
        <f>IFERROR(__xludf.DUMMYFUNCTION("""COMPUTED_VALUE"""),1.0)</f>
        <v>1</v>
      </c>
      <c r="N1022" s="213">
        <f>IFERROR(__xludf.DUMMYFUNCTION("""COMPUTED_VALUE"""),2.0)</f>
        <v>2</v>
      </c>
      <c r="O1022" s="213">
        <f>IFERROR(__xludf.DUMMYFUNCTION("""COMPUTED_VALUE"""),2.0)</f>
        <v>2</v>
      </c>
      <c r="P1022" s="213"/>
      <c r="Q1022" s="213"/>
      <c r="R1022" s="213" t="str">
        <f>IFERROR(__xludf.DUMMYFUNCTION("""COMPUTED_VALUE"""),"SI")</f>
        <v>SI</v>
      </c>
      <c r="S1022" s="213"/>
      <c r="T1022" s="213" t="str">
        <f>IFERROR(__xludf.DUMMYFUNCTION("""COMPUTED_VALUE"""),"SI")</f>
        <v>SI</v>
      </c>
      <c r="U1022" s="213" t="str">
        <f>IFERROR(__xludf.DUMMYFUNCTION("""COMPUTED_VALUE"""),"SI")</f>
        <v>SI</v>
      </c>
      <c r="V1022" s="213" t="str">
        <f>IFERROR(__xludf.DUMMYFUNCTION("""COMPUTED_VALUE"""),"-")</f>
        <v>-</v>
      </c>
      <c r="W1022" s="213" t="str">
        <f>IFERROR(__xludf.DUMMYFUNCTION("""COMPUTED_VALUE"""),"-")</f>
        <v>-</v>
      </c>
      <c r="X1022" s="213" t="str">
        <f>IFERROR(__xludf.DUMMYFUNCTION("""COMPUTED_VALUE"""),"TIMESETL")</f>
        <v>TIMESETL</v>
      </c>
      <c r="Y1022" s="213" t="str">
        <f>IFERROR(__xludf.DUMMYFUNCTION("""COMPUTED_VALUE"""),"‎TXJ-118-EU")</f>
        <v>‎TXJ-118-EU</v>
      </c>
      <c r="Z1022" s="215" t="str">
        <f>IFERROR(__xludf.DUMMYFUNCTION("""COMPUTED_VALUE"""),"https://www.amazon.es/TIMESETL-Martillo-ablandador-resistente-superficie/dp/B07M6K2CTV")</f>
        <v>https://www.amazon.es/TIMESETL-Martillo-ablandador-resistente-superficie/dp/B07M6K2CTV</v>
      </c>
      <c r="AA1022" s="213" t="str">
        <f>IFERROR(__xludf.DUMMYFUNCTION("""COMPUTED_VALUE"""),"MAT-101 ABLANDADOR DE CARNE - CET")</f>
        <v>MAT-101 ABLANDADOR DE CARNE - CET</v>
      </c>
      <c r="AB1022" s="215" t="str">
        <f>IFERROR(__xludf.DUMMYFUNCTION("""COMPUTED_VALUE"""),"https://drive.google.com/file/d/1H4a7eTRMTHgsYnMCogOhD9C6jYRFOGNQ/view?usp=sharing")</f>
        <v>https://drive.google.com/file/d/1H4a7eTRMTHgsYnMCogOhD9C6jYRFOGNQ/view?usp=sharing</v>
      </c>
      <c r="AC1022" s="215" t="str">
        <f>IFERROR(__xludf.DUMMYFUNCTION("""COMPUTED_VALUE"""),"https://www.amazon.es/TIMESETL-Martillo-ablandador-resistente-superficie/dp/B07M6K2CTV")</f>
        <v>https://www.amazon.es/TIMESETL-Martillo-ablandador-resistente-superficie/dp/B07M6K2CTV</v>
      </c>
      <c r="AD1022" s="213"/>
      <c r="AE1022" s="213"/>
      <c r="AF1022" s="213"/>
      <c r="AG1022" s="213"/>
      <c r="AH1022" s="213" t="str">
        <f>IFERROR(__xludf.DUMMYFUNCTION("""COMPUTED_VALUE"""),"IMPORTADO")</f>
        <v>IMPORTADO</v>
      </c>
      <c r="AI1022" s="213"/>
      <c r="AJ1022" s="213"/>
      <c r="AK1022" s="213"/>
      <c r="AL1022" s="213"/>
      <c r="AM1022" s="213"/>
      <c r="AN1022" s="213"/>
      <c r="AO1022" s="213"/>
      <c r="AP1022" s="213" t="str">
        <f>IFERROR(__xludf.DUMMYFUNCTION("""COMPUTED_VALUE"""),"SEBASTIAN")</f>
        <v>SEBASTIAN</v>
      </c>
      <c r="AQ1022" s="213"/>
      <c r="AR1022" s="213"/>
      <c r="AS1022" s="213"/>
      <c r="AT1022" s="213"/>
      <c r="AU1022" s="213"/>
      <c r="AV1022" s="213"/>
      <c r="AW1022" s="213"/>
      <c r="AX1022" s="213"/>
      <c r="AY1022" s="213"/>
      <c r="AZ1022" s="213"/>
      <c r="BA1022" s="213"/>
      <c r="BB1022" s="213"/>
      <c r="BC1022" s="213"/>
      <c r="BD1022" s="213"/>
    </row>
    <row r="1023">
      <c r="A1023" s="213">
        <f>IFERROR(__xludf.DUMMYFUNCTION("""COMPUTED_VALUE"""),496.0)</f>
        <v>496</v>
      </c>
      <c r="B1023" s="213" t="str">
        <f>IFERROR(__xludf.DUMMYFUNCTION("""COMPUTED_VALUE"""),"2026 SIMON BOLIVAR")</f>
        <v>2026 SIMON BOLIVAR</v>
      </c>
      <c r="C1023" s="213" t="str">
        <f>IFERROR(__xludf.DUMMYFUNCTION("""COMPUTED_VALUE"""),"TALLER SFT DE INDUSTRIA ALIMENTARIA")</f>
        <v>TALLER SFT DE INDUSTRIA ALIMENTARIA</v>
      </c>
      <c r="D1023" s="213" t="str">
        <f>IFERROR(__xludf.DUMMYFUNCTION("""COMPUTED_VALUE"""),"HERRAMIENTAS")</f>
        <v>HERRAMIENTAS</v>
      </c>
      <c r="E1023" s="213" t="str">
        <f>IFERROR(__xludf.DUMMYFUNCTION("""COMPUTED_VALUE"""),"MAT-106")</f>
        <v>MAT-106</v>
      </c>
      <c r="F1023" s="213" t="str">
        <f>IFERROR(__xludf.DUMMYFUNCTION("""COMPUTED_VALUE"""),"MAT-106")</f>
        <v>MAT-106</v>
      </c>
      <c r="G1023" s="213"/>
      <c r="H1023" s="213" t="str">
        <f>IFERROR(__xludf.DUMMYFUNCTION("""COMPUTED_VALUE"""),"AGITADOR PARA YOGURT")</f>
        <v>AGITADOR PARA YOGURT</v>
      </c>
      <c r="I1023" s="213" t="str">
        <f>IFERROR(__xludf.DUMMYFUNCTION("""COMPUTED_VALUE"""),".  Medidas tubo de 5 mm de diámetro, Largo  400mm
.  Plancha perforada  150mm de diámetro y orificio de 10mm
.  Acero inoxidable tipo 304, grado alimenticio.
.  Acabado sanitario.")</f>
        <v>.  Medidas tubo de 5 mm de diámetro, Largo  400mm
.  Plancha perforada  150mm de diámetro y orificio de 10mm
.  Acero inoxidable tipo 304, grado alimenticio.
.  Acabado sanitario.</v>
      </c>
      <c r="J1023" s="213">
        <f>IFERROR(__xludf.DUMMYFUNCTION("""COMPUTED_VALUE"""),3.0)</f>
        <v>3</v>
      </c>
      <c r="K1023" s="213" t="str">
        <f>IFERROR(__xludf.DUMMYFUNCTION("""COMPUTED_VALUE"""),"90 DÍAS CALENDARIO")</f>
        <v>90 DÍAS CALENDARIO</v>
      </c>
      <c r="L1023" s="213" t="str">
        <f>IFERROR(__xludf.DUMMYFUNCTION("""COMPUTED_VALUE"""),"")</f>
        <v/>
      </c>
      <c r="M1023" s="213">
        <f>IFERROR(__xludf.DUMMYFUNCTION("""COMPUTED_VALUE"""),1.0)</f>
        <v>1</v>
      </c>
      <c r="N1023" s="213">
        <f>IFERROR(__xludf.DUMMYFUNCTION("""COMPUTED_VALUE"""),4.0)</f>
        <v>4</v>
      </c>
      <c r="O1023" s="213">
        <f>IFERROR(__xludf.DUMMYFUNCTION("""COMPUTED_VALUE"""),4.0)</f>
        <v>4</v>
      </c>
      <c r="P1023" s="213"/>
      <c r="Q1023" s="213"/>
      <c r="R1023" s="213" t="str">
        <f>IFERROR(__xludf.DUMMYFUNCTION("""COMPUTED_VALUE"""),"SI")</f>
        <v>SI</v>
      </c>
      <c r="S1023" s="213"/>
      <c r="T1023" s="213" t="str">
        <f>IFERROR(__xludf.DUMMYFUNCTION("""COMPUTED_VALUE"""),"CONSULTA FINAL")</f>
        <v>CONSULTA FINAL</v>
      </c>
      <c r="U1023" s="213" t="str">
        <f>IFERROR(__xludf.DUMMYFUNCTION("""COMPUTED_VALUE"""),"NO")</f>
        <v>NO</v>
      </c>
      <c r="V1023" s="213" t="str">
        <f>IFERROR(__xludf.DUMMYFUNCTION("""COMPUTED_VALUE"""),"SUSTENTO")</f>
        <v>SUSTENTO</v>
      </c>
      <c r="W1023" s="213" t="str">
        <f>IFERROR(__xludf.DUMMYFUNCTION("""COMPUTED_VALUE"""),"DIMENSIONAL")</f>
        <v>DIMENSIONAL</v>
      </c>
      <c r="X1023" s="213" t="str">
        <f>IFERROR(__xludf.DUMMYFUNCTION("""COMPUTED_VALUE"""),"GENERICO")</f>
        <v>GENERICO</v>
      </c>
      <c r="Y1023" s="213" t="str">
        <f>IFERROR(__xludf.DUMMYFUNCTION("""COMPUTED_VALUE"""),"GENERICO")</f>
        <v>GENERICO</v>
      </c>
      <c r="Z1023" s="215" t="str">
        <f>IFERROR(__xludf.DUMMYFUNCTION("""COMPUTED_VALUE"""),"https://lacasadelchef.net/quesos-y-derivados-lacteos/otro-equipamiento-para-quesos-y-derivados-lacteos/agitador-para-leche-de-acero-inoxidable.html")</f>
        <v>https://lacasadelchef.net/quesos-y-derivados-lacteos/otro-equipamiento-para-quesos-y-derivados-lacteos/agitador-para-leche-de-acero-inoxidable.html</v>
      </c>
      <c r="AA1023" s="213" t="str">
        <f>IFERROR(__xludf.DUMMYFUNCTION("""COMPUTED_VALUE"""),"MAT-106 AGITADOR PARA YOGURT - CET")</f>
        <v>MAT-106 AGITADOR PARA YOGURT - CET</v>
      </c>
      <c r="AB1023" s="215" t="str">
        <f>IFERROR(__xludf.DUMMYFUNCTION("""COMPUTED_VALUE"""),"https://drive.google.com/file/d/1N4xDUZQPxYGWHK4PBPmJvNXUI5ItP5Da/view?usp=sharing")</f>
        <v>https://drive.google.com/file/d/1N4xDUZQPxYGWHK4PBPmJvNXUI5ItP5Da/view?usp=sharing</v>
      </c>
      <c r="AC1023" s="215" t="str">
        <f>IFERROR(__xludf.DUMMYFUNCTION("""COMPUTED_VALUE"""),"https://lacasadelchef.net/quesos-y-derivados-lacteos/otro-equipamiento-para-quesos-y-derivados-lacteos/agitador-para-leche-de-acero-inoxidable.html")</f>
        <v>https://lacasadelchef.net/quesos-y-derivados-lacteos/otro-equipamiento-para-quesos-y-derivados-lacteos/agitador-para-leche-de-acero-inoxidable.html</v>
      </c>
      <c r="AD1023" s="213"/>
      <c r="AE1023" s="213"/>
      <c r="AF1023" s="213"/>
      <c r="AG1023" s="213"/>
      <c r="AH1023" s="213" t="str">
        <f>IFERROR(__xludf.DUMMYFUNCTION("""COMPUTED_VALUE"""),"IMPORTADO")</f>
        <v>IMPORTADO</v>
      </c>
      <c r="AI1023" s="213"/>
      <c r="AJ1023" s="213"/>
      <c r="AK1023" s="213"/>
      <c r="AL1023" s="213"/>
      <c r="AM1023" s="213"/>
      <c r="AN1023" s="213"/>
      <c r="AO1023" s="213"/>
      <c r="AP1023" s="213" t="str">
        <f>IFERROR(__xludf.DUMMYFUNCTION("""COMPUTED_VALUE"""),"LUIS")</f>
        <v>LUIS</v>
      </c>
      <c r="AQ1023" s="213"/>
      <c r="AR1023" s="213"/>
      <c r="AS1023" s="213" t="str">
        <f>IFERROR(__xludf.DUMMYFUNCTION("""COMPUTED_VALUE"""),"Se deber fabricar a medida. Las medidas de diámetrto son muy pequeñas")</f>
        <v>Se deber fabricar a medida. Las medidas de diámetrto son muy pequeñas</v>
      </c>
      <c r="AT1023" s="213"/>
      <c r="AU1023" s="213"/>
      <c r="AV1023" s="213"/>
      <c r="AW1023" s="213"/>
      <c r="AX1023" s="213"/>
      <c r="AY1023" s="213"/>
      <c r="AZ1023" s="213"/>
      <c r="BA1023" s="213"/>
      <c r="BB1023" s="213"/>
      <c r="BC1023" s="213"/>
      <c r="BD1023" s="213"/>
    </row>
    <row r="1024">
      <c r="A1024" s="213">
        <f>IFERROR(__xludf.DUMMYFUNCTION("""COMPUTED_VALUE"""),1126.0)</f>
        <v>1126</v>
      </c>
      <c r="B1024" s="213" t="str">
        <f>IFERROR(__xludf.DUMMYFUNCTION("""COMPUTED_VALUE"""),"FRANCISCO IRAZOLA")</f>
        <v>FRANCISCO IRAZOLA</v>
      </c>
      <c r="C1024" s="213" t="str">
        <f>IFERROR(__xludf.DUMMYFUNCTION("""COMPUTED_VALUE"""),"TALLER SFT DE INDUSTRIA ALIMENTARIA")</f>
        <v>TALLER SFT DE INDUSTRIA ALIMENTARIA</v>
      </c>
      <c r="D1024" s="213" t="str">
        <f>IFERROR(__xludf.DUMMYFUNCTION("""COMPUTED_VALUE"""),"HERRAMIENTAS")</f>
        <v>HERRAMIENTAS</v>
      </c>
      <c r="E1024" s="213" t="str">
        <f>IFERROR(__xludf.DUMMYFUNCTION("""COMPUTED_VALUE"""),"MAT-106")</f>
        <v>MAT-106</v>
      </c>
      <c r="F1024" s="213" t="str">
        <f>IFERROR(__xludf.DUMMYFUNCTION("""COMPUTED_VALUE"""),"MAT-106")</f>
        <v>MAT-106</v>
      </c>
      <c r="G1024" s="213"/>
      <c r="H1024" s="213" t="str">
        <f>IFERROR(__xludf.DUMMYFUNCTION("""COMPUTED_VALUE"""),"AGITADOR PARA YOGURT")</f>
        <v>AGITADOR PARA YOGURT</v>
      </c>
      <c r="I1024" s="213" t="str">
        <f>IFERROR(__xludf.DUMMYFUNCTION("""COMPUTED_VALUE"""),".  Medidas tubo de 5 mm de diámetro, Largo  400mm
.  Plancha perforada  150mm de diámetro y orificio de 10mm
.  Acero inoxidable tipo 304, grado alimenticio.
.  Acabado sanitario.")</f>
        <v>.  Medidas tubo de 5 mm de diámetro, Largo  400mm
.  Plancha perforada  150mm de diámetro y orificio de 10mm
.  Acero inoxidable tipo 304, grado alimenticio.
.  Acabado sanitario.</v>
      </c>
      <c r="J1024" s="213">
        <f>IFERROR(__xludf.DUMMYFUNCTION("""COMPUTED_VALUE"""),3.0)</f>
        <v>3</v>
      </c>
      <c r="K1024" s="213" t="str">
        <f>IFERROR(__xludf.DUMMYFUNCTION("""COMPUTED_VALUE"""),"90 DÍAS CALENDARIO")</f>
        <v>90 DÍAS CALENDARIO</v>
      </c>
      <c r="L1024" s="213" t="str">
        <f>IFERROR(__xludf.DUMMYFUNCTION("""COMPUTED_VALUE"""),"")</f>
        <v/>
      </c>
      <c r="M1024" s="213">
        <f>IFERROR(__xludf.DUMMYFUNCTION("""COMPUTED_VALUE"""),1.0)</f>
        <v>1</v>
      </c>
      <c r="N1024" s="213">
        <f>IFERROR(__xludf.DUMMYFUNCTION("""COMPUTED_VALUE"""),4.0)</f>
        <v>4</v>
      </c>
      <c r="O1024" s="213">
        <f>IFERROR(__xludf.DUMMYFUNCTION("""COMPUTED_VALUE"""),4.0)</f>
        <v>4</v>
      </c>
      <c r="P1024" s="213"/>
      <c r="Q1024" s="213"/>
      <c r="R1024" s="213" t="str">
        <f>IFERROR(__xludf.DUMMYFUNCTION("""COMPUTED_VALUE"""),"SI")</f>
        <v>SI</v>
      </c>
      <c r="S1024" s="213"/>
      <c r="T1024" s="213" t="str">
        <f>IFERROR(__xludf.DUMMYFUNCTION("""COMPUTED_VALUE"""),"CONSULTA FINAL")</f>
        <v>CONSULTA FINAL</v>
      </c>
      <c r="U1024" s="213" t="str">
        <f>IFERROR(__xludf.DUMMYFUNCTION("""COMPUTED_VALUE"""),"NO")</f>
        <v>NO</v>
      </c>
      <c r="V1024" s="213" t="str">
        <f>IFERROR(__xludf.DUMMYFUNCTION("""COMPUTED_VALUE"""),"SUSTENTO")</f>
        <v>SUSTENTO</v>
      </c>
      <c r="W1024" s="213" t="str">
        <f>IFERROR(__xludf.DUMMYFUNCTION("""COMPUTED_VALUE"""),"DIMENSIONAL")</f>
        <v>DIMENSIONAL</v>
      </c>
      <c r="X1024" s="213" t="str">
        <f>IFERROR(__xludf.DUMMYFUNCTION("""COMPUTED_VALUE"""),"GENERICO")</f>
        <v>GENERICO</v>
      </c>
      <c r="Y1024" s="213" t="str">
        <f>IFERROR(__xludf.DUMMYFUNCTION("""COMPUTED_VALUE"""),"GENERICO")</f>
        <v>GENERICO</v>
      </c>
      <c r="Z1024" s="215" t="str">
        <f>IFERROR(__xludf.DUMMYFUNCTION("""COMPUTED_VALUE"""),"https://lacasadelchef.net/quesos-y-derivados-lacteos/otro-equipamiento-para-quesos-y-derivados-lacteos/agitador-para-leche-de-acero-inoxidable.html")</f>
        <v>https://lacasadelchef.net/quesos-y-derivados-lacteos/otro-equipamiento-para-quesos-y-derivados-lacteos/agitador-para-leche-de-acero-inoxidable.html</v>
      </c>
      <c r="AA1024" s="213" t="str">
        <f>IFERROR(__xludf.DUMMYFUNCTION("""COMPUTED_VALUE"""),"MAT-106 AGITADOR PARA YOGURT - CET")</f>
        <v>MAT-106 AGITADOR PARA YOGURT - CET</v>
      </c>
      <c r="AB1024" s="215" t="str">
        <f>IFERROR(__xludf.DUMMYFUNCTION("""COMPUTED_VALUE"""),"https://drive.google.com/file/d/1N4xDUZQPxYGWHK4PBPmJvNXUI5ItP5Da/view?usp=sharing")</f>
        <v>https://drive.google.com/file/d/1N4xDUZQPxYGWHK4PBPmJvNXUI5ItP5Da/view?usp=sharing</v>
      </c>
      <c r="AC1024" s="215" t="str">
        <f>IFERROR(__xludf.DUMMYFUNCTION("""COMPUTED_VALUE"""),"https://lacasadelchef.net/quesos-y-derivados-lacteos/otro-equipamiento-para-quesos-y-derivados-lacteos/agitador-para-leche-de-acero-inoxidable.html")</f>
        <v>https://lacasadelchef.net/quesos-y-derivados-lacteos/otro-equipamiento-para-quesos-y-derivados-lacteos/agitador-para-leche-de-acero-inoxidable.html</v>
      </c>
      <c r="AD1024" s="213"/>
      <c r="AE1024" s="213"/>
      <c r="AF1024" s="213"/>
      <c r="AG1024" s="213"/>
      <c r="AH1024" s="213" t="str">
        <f>IFERROR(__xludf.DUMMYFUNCTION("""COMPUTED_VALUE"""),"IMPORTADO")</f>
        <v>IMPORTADO</v>
      </c>
      <c r="AI1024" s="213"/>
      <c r="AJ1024" s="213"/>
      <c r="AK1024" s="213"/>
      <c r="AL1024" s="213"/>
      <c r="AM1024" s="213"/>
      <c r="AN1024" s="213"/>
      <c r="AO1024" s="213"/>
      <c r="AP1024" s="213" t="str">
        <f>IFERROR(__xludf.DUMMYFUNCTION("""COMPUTED_VALUE"""),"LUIS")</f>
        <v>LUIS</v>
      </c>
      <c r="AQ1024" s="213"/>
      <c r="AR1024" s="213"/>
      <c r="AS1024" s="213" t="str">
        <f>IFERROR(__xludf.DUMMYFUNCTION("""COMPUTED_VALUE"""),"Se deber fabricar a medida. Las medidas de diámetrto son muy pequeñas")</f>
        <v>Se deber fabricar a medida. Las medidas de diámetrto son muy pequeñas</v>
      </c>
      <c r="AT1024" s="213"/>
      <c r="AU1024" s="213"/>
      <c r="AV1024" s="213"/>
      <c r="AW1024" s="213"/>
      <c r="AX1024" s="213"/>
      <c r="AY1024" s="213"/>
      <c r="AZ1024" s="213"/>
      <c r="BA1024" s="213"/>
      <c r="BB1024" s="213"/>
      <c r="BC1024" s="213"/>
      <c r="BD1024" s="213"/>
    </row>
    <row r="1025">
      <c r="A1025" s="213">
        <f>IFERROR(__xludf.DUMMYFUNCTION("""COMPUTED_VALUE"""),1398.0)</f>
        <v>1398</v>
      </c>
      <c r="B1025" s="213" t="str">
        <f>IFERROR(__xludf.DUMMYFUNCTION("""COMPUTED_VALUE"""),"GUILLERMO E. BILLINGHURST ")</f>
        <v>GUILLERMO E. BILLINGHURST </v>
      </c>
      <c r="C1025" s="213" t="str">
        <f>IFERROR(__xludf.DUMMYFUNCTION("""COMPUTED_VALUE"""),"TALLER SFT DE INDUSTRIA ALIMENTARIA")</f>
        <v>TALLER SFT DE INDUSTRIA ALIMENTARIA</v>
      </c>
      <c r="D1025" s="213" t="str">
        <f>IFERROR(__xludf.DUMMYFUNCTION("""COMPUTED_VALUE"""),"HERRAMIENTAS")</f>
        <v>HERRAMIENTAS</v>
      </c>
      <c r="E1025" s="213" t="str">
        <f>IFERROR(__xludf.DUMMYFUNCTION("""COMPUTED_VALUE"""),"MAT-106")</f>
        <v>MAT-106</v>
      </c>
      <c r="F1025" s="213" t="str">
        <f>IFERROR(__xludf.DUMMYFUNCTION("""COMPUTED_VALUE"""),"MAT-106")</f>
        <v>MAT-106</v>
      </c>
      <c r="G1025" s="213"/>
      <c r="H1025" s="213" t="str">
        <f>IFERROR(__xludf.DUMMYFUNCTION("""COMPUTED_VALUE"""),"AGITADOR PARA YOGURT")</f>
        <v>AGITADOR PARA YOGURT</v>
      </c>
      <c r="I1025" s="213" t="str">
        <f>IFERROR(__xludf.DUMMYFUNCTION("""COMPUTED_VALUE"""),".  Medidas tubo de 5 mm de diámetro, Largo  400mm
.  Plancha perforada  150mm de diámetro y orificio de 10mm
.  Acero inoxidable tipo 304, grado alimenticio.
.  Acabado sanitario.")</f>
        <v>.  Medidas tubo de 5 mm de diámetro, Largo  400mm
.  Plancha perforada  150mm de diámetro y orificio de 10mm
.  Acero inoxidable tipo 304, grado alimenticio.
.  Acabado sanitario.</v>
      </c>
      <c r="J1025" s="213">
        <f>IFERROR(__xludf.DUMMYFUNCTION("""COMPUTED_VALUE"""),3.0)</f>
        <v>3</v>
      </c>
      <c r="K1025" s="213" t="str">
        <f>IFERROR(__xludf.DUMMYFUNCTION("""COMPUTED_VALUE"""),"90 DÍAS CALENDARIO")</f>
        <v>90 DÍAS CALENDARIO</v>
      </c>
      <c r="L1025" s="213" t="str">
        <f>IFERROR(__xludf.DUMMYFUNCTION("""COMPUTED_VALUE"""),"")</f>
        <v/>
      </c>
      <c r="M1025" s="213">
        <f>IFERROR(__xludf.DUMMYFUNCTION("""COMPUTED_VALUE"""),1.0)</f>
        <v>1</v>
      </c>
      <c r="N1025" s="213">
        <f>IFERROR(__xludf.DUMMYFUNCTION("""COMPUTED_VALUE"""),4.0)</f>
        <v>4</v>
      </c>
      <c r="O1025" s="213">
        <f>IFERROR(__xludf.DUMMYFUNCTION("""COMPUTED_VALUE"""),4.0)</f>
        <v>4</v>
      </c>
      <c r="P1025" s="213"/>
      <c r="Q1025" s="213"/>
      <c r="R1025" s="213" t="str">
        <f>IFERROR(__xludf.DUMMYFUNCTION("""COMPUTED_VALUE"""),"SI")</f>
        <v>SI</v>
      </c>
      <c r="S1025" s="213"/>
      <c r="T1025" s="213" t="str">
        <f>IFERROR(__xludf.DUMMYFUNCTION("""COMPUTED_VALUE"""),"CONSULTA FINAL")</f>
        <v>CONSULTA FINAL</v>
      </c>
      <c r="U1025" s="213" t="str">
        <f>IFERROR(__xludf.DUMMYFUNCTION("""COMPUTED_VALUE"""),"NO")</f>
        <v>NO</v>
      </c>
      <c r="V1025" s="213" t="str">
        <f>IFERROR(__xludf.DUMMYFUNCTION("""COMPUTED_VALUE"""),"SUSTENTO")</f>
        <v>SUSTENTO</v>
      </c>
      <c r="W1025" s="213" t="str">
        <f>IFERROR(__xludf.DUMMYFUNCTION("""COMPUTED_VALUE"""),"DIMENSIONAL")</f>
        <v>DIMENSIONAL</v>
      </c>
      <c r="X1025" s="213" t="str">
        <f>IFERROR(__xludf.DUMMYFUNCTION("""COMPUTED_VALUE"""),"GENERICO")</f>
        <v>GENERICO</v>
      </c>
      <c r="Y1025" s="213" t="str">
        <f>IFERROR(__xludf.DUMMYFUNCTION("""COMPUTED_VALUE"""),"GENERICO")</f>
        <v>GENERICO</v>
      </c>
      <c r="Z1025" s="215" t="str">
        <f>IFERROR(__xludf.DUMMYFUNCTION("""COMPUTED_VALUE"""),"https://lacasadelchef.net/quesos-y-derivados-lacteos/otro-equipamiento-para-quesos-y-derivados-lacteos/agitador-para-leche-de-acero-inoxidable.html")</f>
        <v>https://lacasadelchef.net/quesos-y-derivados-lacteos/otro-equipamiento-para-quesos-y-derivados-lacteos/agitador-para-leche-de-acero-inoxidable.html</v>
      </c>
      <c r="AA1025" s="213" t="str">
        <f>IFERROR(__xludf.DUMMYFUNCTION("""COMPUTED_VALUE"""),"MAT-106 AGITADOR PARA YOGURT - CET")</f>
        <v>MAT-106 AGITADOR PARA YOGURT - CET</v>
      </c>
      <c r="AB1025" s="215" t="str">
        <f>IFERROR(__xludf.DUMMYFUNCTION("""COMPUTED_VALUE"""),"https://drive.google.com/file/d/1N4xDUZQPxYGWHK4PBPmJvNXUI5ItP5Da/view?usp=sharing")</f>
        <v>https://drive.google.com/file/d/1N4xDUZQPxYGWHK4PBPmJvNXUI5ItP5Da/view?usp=sharing</v>
      </c>
      <c r="AC1025" s="215" t="str">
        <f>IFERROR(__xludf.DUMMYFUNCTION("""COMPUTED_VALUE"""),"https://lacasadelchef.net/quesos-y-derivados-lacteos/otro-equipamiento-para-quesos-y-derivados-lacteos/agitador-para-leche-de-acero-inoxidable.html")</f>
        <v>https://lacasadelchef.net/quesos-y-derivados-lacteos/otro-equipamiento-para-quesos-y-derivados-lacteos/agitador-para-leche-de-acero-inoxidable.html</v>
      </c>
      <c r="AD1025" s="213"/>
      <c r="AE1025" s="213"/>
      <c r="AF1025" s="213"/>
      <c r="AG1025" s="213"/>
      <c r="AH1025" s="213" t="str">
        <f>IFERROR(__xludf.DUMMYFUNCTION("""COMPUTED_VALUE"""),"IMPORTADO")</f>
        <v>IMPORTADO</v>
      </c>
      <c r="AI1025" s="213"/>
      <c r="AJ1025" s="213"/>
      <c r="AK1025" s="213"/>
      <c r="AL1025" s="213"/>
      <c r="AM1025" s="213"/>
      <c r="AN1025" s="213"/>
      <c r="AO1025" s="213"/>
      <c r="AP1025" s="213" t="str">
        <f>IFERROR(__xludf.DUMMYFUNCTION("""COMPUTED_VALUE"""),"LUIS")</f>
        <v>LUIS</v>
      </c>
      <c r="AQ1025" s="213"/>
      <c r="AR1025" s="213"/>
      <c r="AS1025" s="213" t="str">
        <f>IFERROR(__xludf.DUMMYFUNCTION("""COMPUTED_VALUE"""),"Se deber fabricar a medida. Las medidas de diámetrto son muy pequeñas")</f>
        <v>Se deber fabricar a medida. Las medidas de diámetrto son muy pequeñas</v>
      </c>
      <c r="AT1025" s="213"/>
      <c r="AU1025" s="213"/>
      <c r="AV1025" s="213"/>
      <c r="AW1025" s="213"/>
      <c r="AX1025" s="213"/>
      <c r="AY1025" s="213"/>
      <c r="AZ1025" s="213"/>
      <c r="BA1025" s="213"/>
      <c r="BB1025" s="213"/>
      <c r="BC1025" s="213"/>
      <c r="BD1025" s="213"/>
    </row>
    <row r="1026">
      <c r="A1026" s="213">
        <f>IFERROR(__xludf.DUMMYFUNCTION("""COMPUTED_VALUE"""),2085.0)</f>
        <v>2085</v>
      </c>
      <c r="B1026" s="213" t="str">
        <f>IFERROR(__xludf.DUMMYFUNCTION("""COMPUTED_VALUE"""),"JOSE GRANDA")</f>
        <v>JOSE GRANDA</v>
      </c>
      <c r="C1026" s="213" t="str">
        <f>IFERROR(__xludf.DUMMYFUNCTION("""COMPUTED_VALUE"""),"TALLER SFT DE INDUSTRIA ALIMENTARIA")</f>
        <v>TALLER SFT DE INDUSTRIA ALIMENTARIA</v>
      </c>
      <c r="D1026" s="213" t="str">
        <f>IFERROR(__xludf.DUMMYFUNCTION("""COMPUTED_VALUE"""),"HERRAMIENTAS")</f>
        <v>HERRAMIENTAS</v>
      </c>
      <c r="E1026" s="213" t="str">
        <f>IFERROR(__xludf.DUMMYFUNCTION("""COMPUTED_VALUE"""),"MAT-106")</f>
        <v>MAT-106</v>
      </c>
      <c r="F1026" s="213" t="str">
        <f>IFERROR(__xludf.DUMMYFUNCTION("""COMPUTED_VALUE"""),"MAT-106")</f>
        <v>MAT-106</v>
      </c>
      <c r="G1026" s="213"/>
      <c r="H1026" s="213" t="str">
        <f>IFERROR(__xludf.DUMMYFUNCTION("""COMPUTED_VALUE"""),"AGITADOR PARA YOGURT")</f>
        <v>AGITADOR PARA YOGURT</v>
      </c>
      <c r="I1026" s="213" t="str">
        <f>IFERROR(__xludf.DUMMYFUNCTION("""COMPUTED_VALUE"""),".  Medidas tubo de 5 mm de diámetro, Largo  400mm
.  Plancha perforada  150mm de diámetro y orificio de 10mm
.  Acero inoxidable tipo 304, grado alimenticio.
.  Acabado sanitario.")</f>
        <v>.  Medidas tubo de 5 mm de diámetro, Largo  400mm
.  Plancha perforada  150mm de diámetro y orificio de 10mm
.  Acero inoxidable tipo 304, grado alimenticio.
.  Acabado sanitario.</v>
      </c>
      <c r="J1026" s="213">
        <f>IFERROR(__xludf.DUMMYFUNCTION("""COMPUTED_VALUE"""),3.0)</f>
        <v>3</v>
      </c>
      <c r="K1026" s="213" t="str">
        <f>IFERROR(__xludf.DUMMYFUNCTION("""COMPUTED_VALUE"""),"90 DÍAS CALENDARIO")</f>
        <v>90 DÍAS CALENDARIO</v>
      </c>
      <c r="L1026" s="213" t="str">
        <f>IFERROR(__xludf.DUMMYFUNCTION("""COMPUTED_VALUE"""),"")</f>
        <v/>
      </c>
      <c r="M1026" s="213">
        <f>IFERROR(__xludf.DUMMYFUNCTION("""COMPUTED_VALUE"""),1.0)</f>
        <v>1</v>
      </c>
      <c r="N1026" s="213">
        <f>IFERROR(__xludf.DUMMYFUNCTION("""COMPUTED_VALUE"""),4.0)</f>
        <v>4</v>
      </c>
      <c r="O1026" s="213">
        <f>IFERROR(__xludf.DUMMYFUNCTION("""COMPUTED_VALUE"""),4.0)</f>
        <v>4</v>
      </c>
      <c r="P1026" s="213"/>
      <c r="Q1026" s="213"/>
      <c r="R1026" s="213" t="str">
        <f>IFERROR(__xludf.DUMMYFUNCTION("""COMPUTED_VALUE"""),"SI")</f>
        <v>SI</v>
      </c>
      <c r="S1026" s="213"/>
      <c r="T1026" s="213" t="str">
        <f>IFERROR(__xludf.DUMMYFUNCTION("""COMPUTED_VALUE"""),"CONSULTA FINAL")</f>
        <v>CONSULTA FINAL</v>
      </c>
      <c r="U1026" s="213" t="str">
        <f>IFERROR(__xludf.DUMMYFUNCTION("""COMPUTED_VALUE"""),"NO")</f>
        <v>NO</v>
      </c>
      <c r="V1026" s="213" t="str">
        <f>IFERROR(__xludf.DUMMYFUNCTION("""COMPUTED_VALUE"""),"SUSTENTO")</f>
        <v>SUSTENTO</v>
      </c>
      <c r="W1026" s="213" t="str">
        <f>IFERROR(__xludf.DUMMYFUNCTION("""COMPUTED_VALUE"""),"DIMENSIONAL")</f>
        <v>DIMENSIONAL</v>
      </c>
      <c r="X1026" s="213" t="str">
        <f>IFERROR(__xludf.DUMMYFUNCTION("""COMPUTED_VALUE"""),"GENERICO")</f>
        <v>GENERICO</v>
      </c>
      <c r="Y1026" s="213" t="str">
        <f>IFERROR(__xludf.DUMMYFUNCTION("""COMPUTED_VALUE"""),"GENERICO")</f>
        <v>GENERICO</v>
      </c>
      <c r="Z1026" s="215" t="str">
        <f>IFERROR(__xludf.DUMMYFUNCTION("""COMPUTED_VALUE"""),"https://lacasadelchef.net/quesos-y-derivados-lacteos/otro-equipamiento-para-quesos-y-derivados-lacteos/agitador-para-leche-de-acero-inoxidable.html")</f>
        <v>https://lacasadelchef.net/quesos-y-derivados-lacteos/otro-equipamiento-para-quesos-y-derivados-lacteos/agitador-para-leche-de-acero-inoxidable.html</v>
      </c>
      <c r="AA1026" s="213" t="str">
        <f>IFERROR(__xludf.DUMMYFUNCTION("""COMPUTED_VALUE"""),"MAT-106 AGITADOR PARA YOGURT - CET")</f>
        <v>MAT-106 AGITADOR PARA YOGURT - CET</v>
      </c>
      <c r="AB1026" s="215" t="str">
        <f>IFERROR(__xludf.DUMMYFUNCTION("""COMPUTED_VALUE"""),"https://drive.google.com/file/d/1N4xDUZQPxYGWHK4PBPmJvNXUI5ItP5Da/view?usp=sharing")</f>
        <v>https://drive.google.com/file/d/1N4xDUZQPxYGWHK4PBPmJvNXUI5ItP5Da/view?usp=sharing</v>
      </c>
      <c r="AC1026" s="215" t="str">
        <f>IFERROR(__xludf.DUMMYFUNCTION("""COMPUTED_VALUE"""),"https://lacasadelchef.net/quesos-y-derivados-lacteos/otro-equipamiento-para-quesos-y-derivados-lacteos/agitador-para-leche-de-acero-inoxidable.html")</f>
        <v>https://lacasadelchef.net/quesos-y-derivados-lacteos/otro-equipamiento-para-quesos-y-derivados-lacteos/agitador-para-leche-de-acero-inoxidable.html</v>
      </c>
      <c r="AD1026" s="213"/>
      <c r="AE1026" s="213"/>
      <c r="AF1026" s="213"/>
      <c r="AG1026" s="213"/>
      <c r="AH1026" s="213" t="str">
        <f>IFERROR(__xludf.DUMMYFUNCTION("""COMPUTED_VALUE"""),"IMPORTADO")</f>
        <v>IMPORTADO</v>
      </c>
      <c r="AI1026" s="213"/>
      <c r="AJ1026" s="213"/>
      <c r="AK1026" s="213"/>
      <c r="AL1026" s="213"/>
      <c r="AM1026" s="213"/>
      <c r="AN1026" s="213"/>
      <c r="AO1026" s="213"/>
      <c r="AP1026" s="213" t="str">
        <f>IFERROR(__xludf.DUMMYFUNCTION("""COMPUTED_VALUE"""),"LUIS")</f>
        <v>LUIS</v>
      </c>
      <c r="AQ1026" s="213"/>
      <c r="AR1026" s="213"/>
      <c r="AS1026" s="213" t="str">
        <f>IFERROR(__xludf.DUMMYFUNCTION("""COMPUTED_VALUE"""),"Se deber fabricar a medida. Las medidas de diámetrto son muy pequeñas")</f>
        <v>Se deber fabricar a medida. Las medidas de diámetrto son muy pequeñas</v>
      </c>
      <c r="AT1026" s="213"/>
      <c r="AU1026" s="213"/>
      <c r="AV1026" s="213"/>
      <c r="AW1026" s="213"/>
      <c r="AX1026" s="213"/>
      <c r="AY1026" s="213"/>
      <c r="AZ1026" s="213"/>
      <c r="BA1026" s="213"/>
      <c r="BB1026" s="213"/>
      <c r="BC1026" s="213"/>
      <c r="BD1026" s="213"/>
    </row>
    <row r="1027">
      <c r="A1027" s="213">
        <f>IFERROR(__xludf.DUMMYFUNCTION("""COMPUTED_VALUE"""),221.0)</f>
        <v>221</v>
      </c>
      <c r="B1027" s="213" t="str">
        <f>IFERROR(__xludf.DUMMYFUNCTION("""COMPUTED_VALUE"""),"2026 SIMON BOLIVAR")</f>
        <v>2026 SIMON BOLIVAR</v>
      </c>
      <c r="C1027" s="213" t="str">
        <f>IFERROR(__xludf.DUMMYFUNCTION("""COMPUTED_VALUE"""),"TALLER SFT DE INDUSTRIA DEL VESTIDO")</f>
        <v>TALLER SFT DE INDUSTRIA DEL VESTIDO</v>
      </c>
      <c r="D1027" s="213" t="str">
        <f>IFERROR(__xludf.DUMMYFUNCTION("""COMPUTED_VALUE"""),"HERRAMIENTAS")</f>
        <v>HERRAMIENTAS</v>
      </c>
      <c r="E1027" s="213" t="str">
        <f>IFERROR(__xludf.DUMMYFUNCTION("""COMPUTED_VALUE"""),"MAT-108")</f>
        <v>MAT-108</v>
      </c>
      <c r="F1027" s="213" t="str">
        <f>IFERROR(__xludf.DUMMYFUNCTION("""COMPUTED_VALUE"""),"MAT-108")</f>
        <v>MAT-108</v>
      </c>
      <c r="G1027" s="213"/>
      <c r="H1027" s="213" t="str">
        <f>IFERROR(__xludf.DUMMYFUNCTION("""COMPUTED_VALUE"""),"RULETA DE ALFILERES")</f>
        <v>RULETA DE ALFILERES</v>
      </c>
      <c r="I1027" s="213" t="str">
        <f>IFERROR(__xludf.DUMMYFUNCTION("""COMPUTED_VALUE"""),"La  ruleta contiene:
·      30 Alfileres con cabeza de plástico
·      Punta de acero inoxidable
·      Longitud  alrededor de los 32 mm y se usan para sujetar la tela.")</f>
        <v>La  ruleta contiene:
·      30 Alfileres con cabeza de plástico
·      Punta de acero inoxidable
·      Longitud  alrededor de los 32 mm y se usan para sujetar la tela.</v>
      </c>
      <c r="J1027" s="213">
        <f>IFERROR(__xludf.DUMMYFUNCTION("""COMPUTED_VALUE"""),3.0)</f>
        <v>3</v>
      </c>
      <c r="K1027" s="213" t="str">
        <f>IFERROR(__xludf.DUMMYFUNCTION("""COMPUTED_VALUE"""),"90 DÍAS CALENDARIO")</f>
        <v>90 DÍAS CALENDARIO</v>
      </c>
      <c r="L1027" s="213" t="str">
        <f>IFERROR(__xludf.DUMMYFUNCTION("""COMPUTED_VALUE"""),"")</f>
        <v/>
      </c>
      <c r="M1027" s="213">
        <f>IFERROR(__xludf.DUMMYFUNCTION("""COMPUTED_VALUE"""),1.0)</f>
        <v>1</v>
      </c>
      <c r="N1027" s="213">
        <f>IFERROR(__xludf.DUMMYFUNCTION("""COMPUTED_VALUE"""),10.0)</f>
        <v>10</v>
      </c>
      <c r="O1027" s="213">
        <f>IFERROR(__xludf.DUMMYFUNCTION("""COMPUTED_VALUE"""),10.0)</f>
        <v>10</v>
      </c>
      <c r="P1027" s="213"/>
      <c r="Q1027" s="213"/>
      <c r="R1027" s="213" t="str">
        <f>IFERROR(__xludf.DUMMYFUNCTION("""COMPUTED_VALUE"""),"SI")</f>
        <v>SI</v>
      </c>
      <c r="S1027" s="213"/>
      <c r="T1027" s="213" t="str">
        <f>IFERROR(__xludf.DUMMYFUNCTION("""COMPUTED_VALUE"""),"SI")</f>
        <v>SI</v>
      </c>
      <c r="U1027" s="213" t="str">
        <f>IFERROR(__xludf.DUMMYFUNCTION("""COMPUTED_VALUE"""),"SI")</f>
        <v>SI</v>
      </c>
      <c r="V1027" s="213" t="str">
        <f>IFERROR(__xludf.DUMMYFUNCTION("""COMPUTED_VALUE"""),"-")</f>
        <v>-</v>
      </c>
      <c r="W1027" s="213" t="str">
        <f>IFERROR(__xludf.DUMMYFUNCTION("""COMPUTED_VALUE"""),"-")</f>
        <v>-</v>
      </c>
      <c r="X1027" s="213" t="str">
        <f>IFERROR(__xludf.DUMMYFUNCTION("""COMPUTED_VALUE"""),"DECORA")</f>
        <v>DECORA</v>
      </c>
      <c r="Y1027" s="213" t="str">
        <f>IFERROR(__xludf.DUMMYFUNCTION("""COMPUTED_VALUE"""),"B01K4NW88E")</f>
        <v>B01K4NW88E</v>
      </c>
      <c r="Z1027" s="215" t="str">
        <f>IFERROR(__xludf.DUMMYFUNCTION("""COMPUTED_VALUE"""),"https://www.amazon.com/DECORA-pines-vestimenta-cabezal-redonda/dp/B01K4NW88E/ref=sxin_16_pa_sp_search_thematic-asin_sspa?content-id=amzn1.sym.ab2f90ad-3f8d-43ce-ac3a-7446bd8192fd%3Aamzn1.sym.ab2f90ad-3f8d-43ce-ac3a-7446bd8192fd&amp;crid=5DP959GZAKDM&amp;cv_ct_cx="&amp;"sewing%2Bpins&amp;keywords=alfileres%2Bde%2Bcostura&amp;pd_rd_i=B01K4NW88E&amp;pd_rd_r=d36af232-6cba-4dbe-8968-433470c210d6&amp;pd_rd_w=9dA66&amp;pd_rd_wg=qS5pP&amp;pf_rd_p=ab2f90ad-3f8d-43ce-ac3a-7446bd8192fd&amp;pf_rd_r=ME85CXHVE5Y0MDTFPY16&amp;qid=1759261755&amp;sbo=RZvfv%2F%2FHxDF%2BO50"&amp;"21pAnSA%3D%3D&amp;sprefix=alfileres%2Bde%2Bcostura%2Caps%2C226&amp;sr=1-4-baa1f287-65d3-41a3-a655-8bbba0531537-spons&amp;sp_csd=d2lkZ2V0TmFtZT1zcF9zZWFyY2hfdGhlbWF0aWM&amp;th=1")</f>
        <v>https://www.amazon.com/DECORA-pines-vestimenta-cabezal-redonda/dp/B01K4NW88E/ref=sxin_16_pa_sp_search_thematic-asin_sspa?content-id=amzn1.sym.ab2f90ad-3f8d-43ce-ac3a-7446bd8192fd%3Aamzn1.sym.ab2f90ad-3f8d-43ce-ac3a-7446bd8192fd&amp;crid=5DP959GZAKDM&amp;cv_ct_cx=sewing%2Bpins&amp;keywords=alfileres%2Bde%2Bcostura&amp;pd_rd_i=B01K4NW88E&amp;pd_rd_r=d36af232-6cba-4dbe-8968-433470c210d6&amp;pd_rd_w=9dA66&amp;pd_rd_wg=qS5pP&amp;pf_rd_p=ab2f90ad-3f8d-43ce-ac3a-7446bd8192fd&amp;pf_rd_r=ME85CXHVE5Y0MDTFPY16&amp;qid=1759261755&amp;sbo=RZvfv%2F%2FHxDF%2BO5021pAnSA%3D%3D&amp;sprefix=alfileres%2Bde%2Bcostura%2Caps%2C226&amp;sr=1-4-baa1f287-65d3-41a3-a655-8bbba0531537-spons&amp;sp_csd=d2lkZ2V0TmFtZT1zcF9zZWFyY2hfdGhlbWF0aWM&amp;th=1</v>
      </c>
      <c r="AA1027" s="213" t="str">
        <f>IFERROR(__xludf.DUMMYFUNCTION("""COMPUTED_VALUE"""),"MAT-108 RULETA DE ALFILERES - CET")</f>
        <v>MAT-108 RULETA DE ALFILERES - CET</v>
      </c>
      <c r="AB1027" s="213"/>
      <c r="AC1027" s="213"/>
      <c r="AD1027" s="213"/>
      <c r="AE1027" s="213"/>
      <c r="AF1027" s="213"/>
      <c r="AG1027" s="213"/>
      <c r="AH1027" s="213"/>
      <c r="AI1027" s="213"/>
      <c r="AJ1027" s="213"/>
      <c r="AK1027" s="213"/>
      <c r="AL1027" s="213"/>
      <c r="AM1027" s="213"/>
      <c r="AN1027" s="213"/>
      <c r="AO1027" s="213"/>
      <c r="AP1027" s="213" t="str">
        <f>IFERROR(__xludf.DUMMYFUNCTION("""COMPUTED_VALUE"""),"SEBASTIAN")</f>
        <v>SEBASTIAN</v>
      </c>
      <c r="AQ1027" s="213"/>
      <c r="AR1027" s="213"/>
      <c r="AS1027" s="213"/>
      <c r="AT1027" s="213"/>
      <c r="AU1027" s="213"/>
      <c r="AV1027" s="213"/>
      <c r="AW1027" s="213"/>
      <c r="AX1027" s="213"/>
      <c r="AY1027" s="213"/>
      <c r="AZ1027" s="213"/>
      <c r="BA1027" s="213"/>
      <c r="BB1027" s="213"/>
      <c r="BC1027" s="213"/>
      <c r="BD1027" s="213"/>
    </row>
    <row r="1028">
      <c r="A1028" s="213">
        <f>IFERROR(__xludf.DUMMYFUNCTION("""COMPUTED_VALUE"""),2394.0)</f>
        <v>2394</v>
      </c>
      <c r="B1028" s="213" t="str">
        <f>IFERROR(__xludf.DUMMYFUNCTION("""COMPUTED_VALUE"""),"MANUEL ANTONIO MESONES MURO")</f>
        <v>MANUEL ANTONIO MESONES MURO</v>
      </c>
      <c r="C1028" s="213" t="str">
        <f>IFERROR(__xludf.DUMMYFUNCTION("""COMPUTED_VALUE"""),"TALLER SFT DE INDUSTRIA DEL VESTIDO")</f>
        <v>TALLER SFT DE INDUSTRIA DEL VESTIDO</v>
      </c>
      <c r="D1028" s="213" t="str">
        <f>IFERROR(__xludf.DUMMYFUNCTION("""COMPUTED_VALUE"""),"HERRAMIENTAS")</f>
        <v>HERRAMIENTAS</v>
      </c>
      <c r="E1028" s="213" t="str">
        <f>IFERROR(__xludf.DUMMYFUNCTION("""COMPUTED_VALUE"""),"MAT-108")</f>
        <v>MAT-108</v>
      </c>
      <c r="F1028" s="213" t="str">
        <f>IFERROR(__xludf.DUMMYFUNCTION("""COMPUTED_VALUE"""),"MAT-108")</f>
        <v>MAT-108</v>
      </c>
      <c r="G1028" s="213"/>
      <c r="H1028" s="213" t="str">
        <f>IFERROR(__xludf.DUMMYFUNCTION("""COMPUTED_VALUE"""),"RULETA DE ALFILERES")</f>
        <v>RULETA DE ALFILERES</v>
      </c>
      <c r="I1028" s="213" t="str">
        <f>IFERROR(__xludf.DUMMYFUNCTION("""COMPUTED_VALUE"""),"La  ruleta contiene:
·      30 Alfileres con cabeza de plástico
·      Punta de acero inoxidable
·      Longitud  alrededor de los 32 mm y se usan para sujetar la tela.")</f>
        <v>La  ruleta contiene:
·      30 Alfileres con cabeza de plástico
·      Punta de acero inoxidable
·      Longitud  alrededor de los 32 mm y se usan para sujetar la tela.</v>
      </c>
      <c r="J1028" s="213">
        <f>IFERROR(__xludf.DUMMYFUNCTION("""COMPUTED_VALUE"""),3.0)</f>
        <v>3</v>
      </c>
      <c r="K1028" s="213" t="str">
        <f>IFERROR(__xludf.DUMMYFUNCTION("""COMPUTED_VALUE"""),"90 DÍAS CALENDARIO")</f>
        <v>90 DÍAS CALENDARIO</v>
      </c>
      <c r="L1028" s="213" t="str">
        <f>IFERROR(__xludf.DUMMYFUNCTION("""COMPUTED_VALUE"""),"")</f>
        <v/>
      </c>
      <c r="M1028" s="213">
        <f>IFERROR(__xludf.DUMMYFUNCTION("""COMPUTED_VALUE"""),1.0)</f>
        <v>1</v>
      </c>
      <c r="N1028" s="213">
        <f>IFERROR(__xludf.DUMMYFUNCTION("""COMPUTED_VALUE"""),10.0)</f>
        <v>10</v>
      </c>
      <c r="O1028" s="213">
        <f>IFERROR(__xludf.DUMMYFUNCTION("""COMPUTED_VALUE"""),10.0)</f>
        <v>10</v>
      </c>
      <c r="P1028" s="213"/>
      <c r="Q1028" s="213"/>
      <c r="R1028" s="213" t="str">
        <f>IFERROR(__xludf.DUMMYFUNCTION("""COMPUTED_VALUE"""),"SI")</f>
        <v>SI</v>
      </c>
      <c r="S1028" s="213"/>
      <c r="T1028" s="213" t="str">
        <f>IFERROR(__xludf.DUMMYFUNCTION("""COMPUTED_VALUE"""),"SI")</f>
        <v>SI</v>
      </c>
      <c r="U1028" s="213" t="str">
        <f>IFERROR(__xludf.DUMMYFUNCTION("""COMPUTED_VALUE"""),"SI")</f>
        <v>SI</v>
      </c>
      <c r="V1028" s="213" t="str">
        <f>IFERROR(__xludf.DUMMYFUNCTION("""COMPUTED_VALUE"""),"-")</f>
        <v>-</v>
      </c>
      <c r="W1028" s="213" t="str">
        <f>IFERROR(__xludf.DUMMYFUNCTION("""COMPUTED_VALUE"""),"-")</f>
        <v>-</v>
      </c>
      <c r="X1028" s="213" t="str">
        <f>IFERROR(__xludf.DUMMYFUNCTION("""COMPUTED_VALUE"""),"DECORA")</f>
        <v>DECORA</v>
      </c>
      <c r="Y1028" s="213" t="str">
        <f>IFERROR(__xludf.DUMMYFUNCTION("""COMPUTED_VALUE"""),"B01K4NW88E")</f>
        <v>B01K4NW88E</v>
      </c>
      <c r="Z1028" s="215" t="str">
        <f>IFERROR(__xludf.DUMMYFUNCTION("""COMPUTED_VALUE"""),"https://www.amazon.com/DECORA-pines-vestimenta-cabezal-redonda/dp/B01K4NW88E/ref=sxin_16_pa_sp_search_thematic-asin_sspa?content-id=amzn1.sym.ab2f90ad-3f8d-43ce-ac3a-7446bd8192fd%3Aamzn1.sym.ab2f90ad-3f8d-43ce-ac3a-7446bd8192fd&amp;crid=5DP959GZAKDM&amp;cv_ct_cx="&amp;"sewing%2Bpins&amp;keywords=alfileres%2Bde%2Bcostura&amp;pd_rd_i=B01K4NW88E&amp;pd_rd_r=d36af232-6cba-4dbe-8968-433470c210d6&amp;pd_rd_w=9dA66&amp;pd_rd_wg=qS5pP&amp;pf_rd_p=ab2f90ad-3f8d-43ce-ac3a-7446bd8192fd&amp;pf_rd_r=ME85CXHVE5Y0MDTFPY16&amp;qid=1759261755&amp;sbo=RZvfv%2F%2FHxDF%2BO50"&amp;"21pAnSA%3D%3D&amp;sprefix=alfileres%2Bde%2Bcostura%2Caps%2C226&amp;sr=1-4-baa1f287-65d3-41a3-a655-8bbba0531537-spons&amp;sp_csd=d2lkZ2V0TmFtZT1zcF9zZWFyY2hfdGhlbWF0aWM&amp;th=1")</f>
        <v>https://www.amazon.com/DECORA-pines-vestimenta-cabezal-redonda/dp/B01K4NW88E/ref=sxin_16_pa_sp_search_thematic-asin_sspa?content-id=amzn1.sym.ab2f90ad-3f8d-43ce-ac3a-7446bd8192fd%3Aamzn1.sym.ab2f90ad-3f8d-43ce-ac3a-7446bd8192fd&amp;crid=5DP959GZAKDM&amp;cv_ct_cx=sewing%2Bpins&amp;keywords=alfileres%2Bde%2Bcostura&amp;pd_rd_i=B01K4NW88E&amp;pd_rd_r=d36af232-6cba-4dbe-8968-433470c210d6&amp;pd_rd_w=9dA66&amp;pd_rd_wg=qS5pP&amp;pf_rd_p=ab2f90ad-3f8d-43ce-ac3a-7446bd8192fd&amp;pf_rd_r=ME85CXHVE5Y0MDTFPY16&amp;qid=1759261755&amp;sbo=RZvfv%2F%2FHxDF%2BO5021pAnSA%3D%3D&amp;sprefix=alfileres%2Bde%2Bcostura%2Caps%2C226&amp;sr=1-4-baa1f287-65d3-41a3-a655-8bbba0531537-spons&amp;sp_csd=d2lkZ2V0TmFtZT1zcF9zZWFyY2hfdGhlbWF0aWM&amp;th=1</v>
      </c>
      <c r="AA1028" s="213" t="str">
        <f>IFERROR(__xludf.DUMMYFUNCTION("""COMPUTED_VALUE"""),"MAT-108 RULETA DE ALFILERES - CET")</f>
        <v>MAT-108 RULETA DE ALFILERES - CET</v>
      </c>
      <c r="AB1028" s="213"/>
      <c r="AC1028" s="213"/>
      <c r="AD1028" s="213"/>
      <c r="AE1028" s="213"/>
      <c r="AF1028" s="213"/>
      <c r="AG1028" s="213"/>
      <c r="AH1028" s="213"/>
      <c r="AI1028" s="213"/>
      <c r="AJ1028" s="213"/>
      <c r="AK1028" s="213"/>
      <c r="AL1028" s="213"/>
      <c r="AM1028" s="213"/>
      <c r="AN1028" s="213"/>
      <c r="AO1028" s="213"/>
      <c r="AP1028" s="213" t="str">
        <f>IFERROR(__xludf.DUMMYFUNCTION("""COMPUTED_VALUE"""),"SEBASTIAN")</f>
        <v>SEBASTIAN</v>
      </c>
      <c r="AQ1028" s="213"/>
      <c r="AR1028" s="213"/>
      <c r="AS1028" s="213"/>
      <c r="AT1028" s="213"/>
      <c r="AU1028" s="213"/>
      <c r="AV1028" s="213"/>
      <c r="AW1028" s="213"/>
      <c r="AX1028" s="213"/>
      <c r="AY1028" s="213"/>
      <c r="AZ1028" s="213"/>
      <c r="BA1028" s="213"/>
      <c r="BB1028" s="213"/>
      <c r="BC1028" s="213"/>
      <c r="BD1028" s="213"/>
    </row>
    <row r="1029">
      <c r="A1029" s="213">
        <f>IFERROR(__xludf.DUMMYFUNCTION("""COMPUTED_VALUE"""),482.0)</f>
        <v>482</v>
      </c>
      <c r="B1029" s="213" t="str">
        <f>IFERROR(__xludf.DUMMYFUNCTION("""COMPUTED_VALUE"""),"2026 SIMON BOLIVAR")</f>
        <v>2026 SIMON BOLIVAR</v>
      </c>
      <c r="C1029" s="213" t="str">
        <f>IFERROR(__xludf.DUMMYFUNCTION("""COMPUTED_VALUE"""),"TALLER SFT DE INDUSTRIA ALIMENTARIA")</f>
        <v>TALLER SFT DE INDUSTRIA ALIMENTARIA</v>
      </c>
      <c r="D1029" s="213" t="str">
        <f>IFERROR(__xludf.DUMMYFUNCTION("""COMPUTED_VALUE"""),"HERRAMIENTAS")</f>
        <v>HERRAMIENTAS</v>
      </c>
      <c r="E1029" s="213" t="str">
        <f>IFERROR(__xludf.DUMMYFUNCTION("""COMPUTED_VALUE"""),"MAT-109")</f>
        <v>MAT-109</v>
      </c>
      <c r="F1029" s="213" t="str">
        <f>IFERROR(__xludf.DUMMYFUNCTION("""COMPUTED_VALUE"""),"MAT-109")</f>
        <v>MAT-109</v>
      </c>
      <c r="G1029" s="213"/>
      <c r="H1029" s="213" t="str">
        <f>IFERROR(__xludf.DUMMYFUNCTION("""COMPUTED_VALUE"""),"BALDE DE PLÁSTICO 10 LITROS")</f>
        <v>BALDE DE PLÁSTICO 10 LITROS</v>
      </c>
      <c r="I1029" s="213"/>
      <c r="J1029" s="213">
        <f>IFERROR(__xludf.DUMMYFUNCTION("""COMPUTED_VALUE"""),3.0)</f>
        <v>3</v>
      </c>
      <c r="K1029" s="213" t="str">
        <f>IFERROR(__xludf.DUMMYFUNCTION("""COMPUTED_VALUE"""),"90 DÍAS CALENDARIO")</f>
        <v>90 DÍAS CALENDARIO</v>
      </c>
      <c r="L1029" s="213" t="str">
        <f>IFERROR(__xludf.DUMMYFUNCTION("""COMPUTED_VALUE"""),"")</f>
        <v/>
      </c>
      <c r="M1029" s="213">
        <f>IFERROR(__xludf.DUMMYFUNCTION("""COMPUTED_VALUE"""),1.0)</f>
        <v>1</v>
      </c>
      <c r="N1029" s="213">
        <f>IFERROR(__xludf.DUMMYFUNCTION("""COMPUTED_VALUE"""),5.0)</f>
        <v>5</v>
      </c>
      <c r="O1029" s="213">
        <f>IFERROR(__xludf.DUMMYFUNCTION("""COMPUTED_VALUE"""),5.0)</f>
        <v>5</v>
      </c>
      <c r="P1029" s="213"/>
      <c r="Q1029" s="213"/>
      <c r="R1029" s="213" t="str">
        <f>IFERROR(__xludf.DUMMYFUNCTION("""COMPUTED_VALUE"""),"SI")</f>
        <v>SI</v>
      </c>
      <c r="S1029" s="213"/>
      <c r="T1029" s="213" t="str">
        <f>IFERROR(__xludf.DUMMYFUNCTION("""COMPUTED_VALUE"""),"CONSULTA FINAL")</f>
        <v>CONSULTA FINAL</v>
      </c>
      <c r="U1029" s="213" t="str">
        <f>IFERROR(__xludf.DUMMYFUNCTION("""COMPUTED_VALUE"""),"NO")</f>
        <v>NO</v>
      </c>
      <c r="V1029" s="213" t="str">
        <f>IFERROR(__xludf.DUMMYFUNCTION("""COMPUTED_VALUE"""),"SUSTENTO")</f>
        <v>SUSTENTO</v>
      </c>
      <c r="W1029" s="213" t="str">
        <f>IFERROR(__xludf.DUMMYFUNCTION("""COMPUTED_VALUE"""),"DIMENSIONAL")</f>
        <v>DIMENSIONAL</v>
      </c>
      <c r="X1029" s="213" t="str">
        <f>IFERROR(__xludf.DUMMYFUNCTION("""COMPUTED_VALUE"""),"POLINPLAST")</f>
        <v>POLINPLAST</v>
      </c>
      <c r="Y1029" s="213" t="str">
        <f>IFERROR(__xludf.DUMMYFUNCTION("""COMPUTED_VALUE"""),"BALDE 10 L C/ PICO Y ASA")</f>
        <v>BALDE 10 L C/ PICO Y ASA</v>
      </c>
      <c r="Z1029" s="215" t="str">
        <f>IFERROR(__xludf.DUMMYFUNCTION("""COMPUTED_VALUE"""),"https://www.mallplast.pe/balde-10-l-comercial-c-tapa-color?srsltid=AfmBOoo78PFPEuNfCdFzn69TTsE6xjBSjm0O8-6zG_vxcMxUCggS5vHv")</f>
        <v>https://www.mallplast.pe/balde-10-l-comercial-c-tapa-color?srsltid=AfmBOoo78PFPEuNfCdFzn69TTsE6xjBSjm0O8-6zG_vxcMxUCggS5vHv</v>
      </c>
      <c r="AA1029" s="213" t="str">
        <f>IFERROR(__xludf.DUMMYFUNCTION("""COMPUTED_VALUE"""),"MAT-109 BALDE DE PLÁSTICO 10 LITROS - CET")</f>
        <v>MAT-109 BALDE DE PLÁSTICO 10 LITROS - CET</v>
      </c>
      <c r="AB1029" s="213"/>
      <c r="AC1029" s="213"/>
      <c r="AD1029" s="213"/>
      <c r="AE1029" s="213"/>
      <c r="AF1029" s="213"/>
      <c r="AG1029" s="213"/>
      <c r="AH1029" s="213"/>
      <c r="AI1029" s="213"/>
      <c r="AJ1029" s="213"/>
      <c r="AK1029" s="213"/>
      <c r="AL1029" s="213"/>
      <c r="AM1029" s="213"/>
      <c r="AN1029" s="213"/>
      <c r="AO1029" s="213"/>
      <c r="AP1029" s="213" t="str">
        <f>IFERROR(__xludf.DUMMYFUNCTION("""COMPUTED_VALUE"""),"LUIS")</f>
        <v>LUIS</v>
      </c>
      <c r="AQ1029" s="213"/>
      <c r="AR1029" s="213"/>
      <c r="AS1029" s="213"/>
      <c r="AT1029" s="213"/>
      <c r="AU1029" s="213"/>
      <c r="AV1029" s="213"/>
      <c r="AW1029" s="213"/>
      <c r="AX1029" s="213"/>
      <c r="AY1029" s="213"/>
      <c r="AZ1029" s="213"/>
      <c r="BA1029" s="213"/>
      <c r="BB1029" s="213"/>
      <c r="BC1029" s="213"/>
      <c r="BD1029" s="213"/>
    </row>
    <row r="1030">
      <c r="A1030" s="213">
        <f>IFERROR(__xludf.DUMMYFUNCTION("""COMPUTED_VALUE"""),1112.0)</f>
        <v>1112</v>
      </c>
      <c r="B1030" s="213" t="str">
        <f>IFERROR(__xludf.DUMMYFUNCTION("""COMPUTED_VALUE"""),"FRANCISCO IRAZOLA")</f>
        <v>FRANCISCO IRAZOLA</v>
      </c>
      <c r="C1030" s="213" t="str">
        <f>IFERROR(__xludf.DUMMYFUNCTION("""COMPUTED_VALUE"""),"TALLER SFT DE INDUSTRIA ALIMENTARIA")</f>
        <v>TALLER SFT DE INDUSTRIA ALIMENTARIA</v>
      </c>
      <c r="D1030" s="213" t="str">
        <f>IFERROR(__xludf.DUMMYFUNCTION("""COMPUTED_VALUE"""),"HERRAMIENTAS")</f>
        <v>HERRAMIENTAS</v>
      </c>
      <c r="E1030" s="213" t="str">
        <f>IFERROR(__xludf.DUMMYFUNCTION("""COMPUTED_VALUE"""),"MAT-109")</f>
        <v>MAT-109</v>
      </c>
      <c r="F1030" s="213" t="str">
        <f>IFERROR(__xludf.DUMMYFUNCTION("""COMPUTED_VALUE"""),"MAT-109")</f>
        <v>MAT-109</v>
      </c>
      <c r="G1030" s="213"/>
      <c r="H1030" s="213" t="str">
        <f>IFERROR(__xludf.DUMMYFUNCTION("""COMPUTED_VALUE"""),"BALDE DE PLÁSTICO 10 LITROS")</f>
        <v>BALDE DE PLÁSTICO 10 LITROS</v>
      </c>
      <c r="I1030" s="213"/>
      <c r="J1030" s="213">
        <f>IFERROR(__xludf.DUMMYFUNCTION("""COMPUTED_VALUE"""),3.0)</f>
        <v>3</v>
      </c>
      <c r="K1030" s="213" t="str">
        <f>IFERROR(__xludf.DUMMYFUNCTION("""COMPUTED_VALUE"""),"90 DÍAS CALENDARIO")</f>
        <v>90 DÍAS CALENDARIO</v>
      </c>
      <c r="L1030" s="213" t="str">
        <f>IFERROR(__xludf.DUMMYFUNCTION("""COMPUTED_VALUE"""),"")</f>
        <v/>
      </c>
      <c r="M1030" s="213">
        <f>IFERROR(__xludf.DUMMYFUNCTION("""COMPUTED_VALUE"""),1.0)</f>
        <v>1</v>
      </c>
      <c r="N1030" s="213">
        <f>IFERROR(__xludf.DUMMYFUNCTION("""COMPUTED_VALUE"""),5.0)</f>
        <v>5</v>
      </c>
      <c r="O1030" s="213">
        <f>IFERROR(__xludf.DUMMYFUNCTION("""COMPUTED_VALUE"""),5.0)</f>
        <v>5</v>
      </c>
      <c r="P1030" s="213"/>
      <c r="Q1030" s="213"/>
      <c r="R1030" s="213" t="str">
        <f>IFERROR(__xludf.DUMMYFUNCTION("""COMPUTED_VALUE"""),"SI")</f>
        <v>SI</v>
      </c>
      <c r="S1030" s="213"/>
      <c r="T1030" s="213" t="str">
        <f>IFERROR(__xludf.DUMMYFUNCTION("""COMPUTED_VALUE"""),"CONSULTA FINAL")</f>
        <v>CONSULTA FINAL</v>
      </c>
      <c r="U1030" s="213" t="str">
        <f>IFERROR(__xludf.DUMMYFUNCTION("""COMPUTED_VALUE"""),"NO")</f>
        <v>NO</v>
      </c>
      <c r="V1030" s="213" t="str">
        <f>IFERROR(__xludf.DUMMYFUNCTION("""COMPUTED_VALUE"""),"SUSTENTO")</f>
        <v>SUSTENTO</v>
      </c>
      <c r="W1030" s="213" t="str">
        <f>IFERROR(__xludf.DUMMYFUNCTION("""COMPUTED_VALUE"""),"DIMENSIONAL")</f>
        <v>DIMENSIONAL</v>
      </c>
      <c r="X1030" s="213" t="str">
        <f>IFERROR(__xludf.DUMMYFUNCTION("""COMPUTED_VALUE"""),"POLINPLAST")</f>
        <v>POLINPLAST</v>
      </c>
      <c r="Y1030" s="213" t="str">
        <f>IFERROR(__xludf.DUMMYFUNCTION("""COMPUTED_VALUE"""),"BALDE 10 L C/ PICO Y ASA")</f>
        <v>BALDE 10 L C/ PICO Y ASA</v>
      </c>
      <c r="Z1030" s="215" t="str">
        <f>IFERROR(__xludf.DUMMYFUNCTION("""COMPUTED_VALUE"""),"https://www.mallplast.pe/balde-10-l-comercial-c-tapa-color?srsltid=AfmBOoo78PFPEuNfCdFzn69TTsE6xjBSjm0O8-6zG_vxcMxUCggS5vHv")</f>
        <v>https://www.mallplast.pe/balde-10-l-comercial-c-tapa-color?srsltid=AfmBOoo78PFPEuNfCdFzn69TTsE6xjBSjm0O8-6zG_vxcMxUCggS5vHv</v>
      </c>
      <c r="AA1030" s="213" t="str">
        <f>IFERROR(__xludf.DUMMYFUNCTION("""COMPUTED_VALUE"""),"MAT-109 BALDE DE PLÁSTICO 10 LITROS - CET")</f>
        <v>MAT-109 BALDE DE PLÁSTICO 10 LITROS - CET</v>
      </c>
      <c r="AB1030" s="213"/>
      <c r="AC1030" s="213"/>
      <c r="AD1030" s="213"/>
      <c r="AE1030" s="213"/>
      <c r="AF1030" s="213"/>
      <c r="AG1030" s="213"/>
      <c r="AH1030" s="213"/>
      <c r="AI1030" s="213"/>
      <c r="AJ1030" s="213"/>
      <c r="AK1030" s="213"/>
      <c r="AL1030" s="213"/>
      <c r="AM1030" s="213"/>
      <c r="AN1030" s="213"/>
      <c r="AO1030" s="213"/>
      <c r="AP1030" s="213" t="str">
        <f>IFERROR(__xludf.DUMMYFUNCTION("""COMPUTED_VALUE"""),"LUIS")</f>
        <v>LUIS</v>
      </c>
      <c r="AQ1030" s="213"/>
      <c r="AR1030" s="213"/>
      <c r="AS1030" s="213"/>
      <c r="AT1030" s="213"/>
      <c r="AU1030" s="213"/>
      <c r="AV1030" s="213"/>
      <c r="AW1030" s="213"/>
      <c r="AX1030" s="213"/>
      <c r="AY1030" s="213"/>
      <c r="AZ1030" s="213"/>
      <c r="BA1030" s="213"/>
      <c r="BB1030" s="213"/>
      <c r="BC1030" s="213"/>
      <c r="BD1030" s="213"/>
    </row>
    <row r="1031">
      <c r="A1031" s="213">
        <f>IFERROR(__xludf.DUMMYFUNCTION("""COMPUTED_VALUE"""),1384.0)</f>
        <v>1384</v>
      </c>
      <c r="B1031" s="213" t="str">
        <f>IFERROR(__xludf.DUMMYFUNCTION("""COMPUTED_VALUE"""),"GUILLERMO E. BILLINGHURST ")</f>
        <v>GUILLERMO E. BILLINGHURST </v>
      </c>
      <c r="C1031" s="213" t="str">
        <f>IFERROR(__xludf.DUMMYFUNCTION("""COMPUTED_VALUE"""),"TALLER SFT DE INDUSTRIA ALIMENTARIA")</f>
        <v>TALLER SFT DE INDUSTRIA ALIMENTARIA</v>
      </c>
      <c r="D1031" s="213" t="str">
        <f>IFERROR(__xludf.DUMMYFUNCTION("""COMPUTED_VALUE"""),"HERRAMIENTAS")</f>
        <v>HERRAMIENTAS</v>
      </c>
      <c r="E1031" s="213" t="str">
        <f>IFERROR(__xludf.DUMMYFUNCTION("""COMPUTED_VALUE"""),"MAT-109")</f>
        <v>MAT-109</v>
      </c>
      <c r="F1031" s="213" t="str">
        <f>IFERROR(__xludf.DUMMYFUNCTION("""COMPUTED_VALUE"""),"MAT-109")</f>
        <v>MAT-109</v>
      </c>
      <c r="G1031" s="213"/>
      <c r="H1031" s="213" t="str">
        <f>IFERROR(__xludf.DUMMYFUNCTION("""COMPUTED_VALUE"""),"BALDE DE PLÁSTICO 10 LITROS")</f>
        <v>BALDE DE PLÁSTICO 10 LITROS</v>
      </c>
      <c r="I1031" s="213"/>
      <c r="J1031" s="213">
        <f>IFERROR(__xludf.DUMMYFUNCTION("""COMPUTED_VALUE"""),3.0)</f>
        <v>3</v>
      </c>
      <c r="K1031" s="213" t="str">
        <f>IFERROR(__xludf.DUMMYFUNCTION("""COMPUTED_VALUE"""),"90 DÍAS CALENDARIO")</f>
        <v>90 DÍAS CALENDARIO</v>
      </c>
      <c r="L1031" s="213" t="str">
        <f>IFERROR(__xludf.DUMMYFUNCTION("""COMPUTED_VALUE"""),"")</f>
        <v/>
      </c>
      <c r="M1031" s="213">
        <f>IFERROR(__xludf.DUMMYFUNCTION("""COMPUTED_VALUE"""),1.0)</f>
        <v>1</v>
      </c>
      <c r="N1031" s="213">
        <f>IFERROR(__xludf.DUMMYFUNCTION("""COMPUTED_VALUE"""),5.0)</f>
        <v>5</v>
      </c>
      <c r="O1031" s="213">
        <f>IFERROR(__xludf.DUMMYFUNCTION("""COMPUTED_VALUE"""),5.0)</f>
        <v>5</v>
      </c>
      <c r="P1031" s="213"/>
      <c r="Q1031" s="213"/>
      <c r="R1031" s="213" t="str">
        <f>IFERROR(__xludf.DUMMYFUNCTION("""COMPUTED_VALUE"""),"SI")</f>
        <v>SI</v>
      </c>
      <c r="S1031" s="213"/>
      <c r="T1031" s="213" t="str">
        <f>IFERROR(__xludf.DUMMYFUNCTION("""COMPUTED_VALUE"""),"CONSULTA FINAL")</f>
        <v>CONSULTA FINAL</v>
      </c>
      <c r="U1031" s="213" t="str">
        <f>IFERROR(__xludf.DUMMYFUNCTION("""COMPUTED_VALUE"""),"NO")</f>
        <v>NO</v>
      </c>
      <c r="V1031" s="213" t="str">
        <f>IFERROR(__xludf.DUMMYFUNCTION("""COMPUTED_VALUE"""),"SUSTENTO")</f>
        <v>SUSTENTO</v>
      </c>
      <c r="W1031" s="213" t="str">
        <f>IFERROR(__xludf.DUMMYFUNCTION("""COMPUTED_VALUE"""),"DIMENSIONAL")</f>
        <v>DIMENSIONAL</v>
      </c>
      <c r="X1031" s="213" t="str">
        <f>IFERROR(__xludf.DUMMYFUNCTION("""COMPUTED_VALUE"""),"POLINPLAST")</f>
        <v>POLINPLAST</v>
      </c>
      <c r="Y1031" s="213" t="str">
        <f>IFERROR(__xludf.DUMMYFUNCTION("""COMPUTED_VALUE"""),"BALDE 10 L C/ PICO Y ASA")</f>
        <v>BALDE 10 L C/ PICO Y ASA</v>
      </c>
      <c r="Z1031" s="215" t="str">
        <f>IFERROR(__xludf.DUMMYFUNCTION("""COMPUTED_VALUE"""),"https://www.mallplast.pe/balde-10-l-comercial-c-tapa-color?srsltid=AfmBOoo78PFPEuNfCdFzn69TTsE6xjBSjm0O8-6zG_vxcMxUCggS5vHv")</f>
        <v>https://www.mallplast.pe/balde-10-l-comercial-c-tapa-color?srsltid=AfmBOoo78PFPEuNfCdFzn69TTsE6xjBSjm0O8-6zG_vxcMxUCggS5vHv</v>
      </c>
      <c r="AA1031" s="213" t="str">
        <f>IFERROR(__xludf.DUMMYFUNCTION("""COMPUTED_VALUE"""),"MAT-109 BALDE DE PLÁSTICO 10 LITROS - CET")</f>
        <v>MAT-109 BALDE DE PLÁSTICO 10 LITROS - CET</v>
      </c>
      <c r="AB1031" s="213"/>
      <c r="AC1031" s="213"/>
      <c r="AD1031" s="213"/>
      <c r="AE1031" s="213"/>
      <c r="AF1031" s="213"/>
      <c r="AG1031" s="213"/>
      <c r="AH1031" s="213"/>
      <c r="AI1031" s="213"/>
      <c r="AJ1031" s="213"/>
      <c r="AK1031" s="213"/>
      <c r="AL1031" s="213"/>
      <c r="AM1031" s="213"/>
      <c r="AN1031" s="213"/>
      <c r="AO1031" s="213"/>
      <c r="AP1031" s="213" t="str">
        <f>IFERROR(__xludf.DUMMYFUNCTION("""COMPUTED_VALUE"""),"LUIS")</f>
        <v>LUIS</v>
      </c>
      <c r="AQ1031" s="213"/>
      <c r="AR1031" s="213"/>
      <c r="AS1031" s="213"/>
      <c r="AT1031" s="213"/>
      <c r="AU1031" s="213"/>
      <c r="AV1031" s="213"/>
      <c r="AW1031" s="213"/>
      <c r="AX1031" s="213"/>
      <c r="AY1031" s="213"/>
      <c r="AZ1031" s="213"/>
      <c r="BA1031" s="213"/>
      <c r="BB1031" s="213"/>
      <c r="BC1031" s="213"/>
      <c r="BD1031" s="213"/>
    </row>
    <row r="1032">
      <c r="A1032" s="213">
        <f>IFERROR(__xludf.DUMMYFUNCTION("""COMPUTED_VALUE"""),2071.0)</f>
        <v>2071</v>
      </c>
      <c r="B1032" s="213" t="str">
        <f>IFERROR(__xludf.DUMMYFUNCTION("""COMPUTED_VALUE"""),"JOSE GRANDA")</f>
        <v>JOSE GRANDA</v>
      </c>
      <c r="C1032" s="213" t="str">
        <f>IFERROR(__xludf.DUMMYFUNCTION("""COMPUTED_VALUE"""),"TALLER SFT DE INDUSTRIA ALIMENTARIA")</f>
        <v>TALLER SFT DE INDUSTRIA ALIMENTARIA</v>
      </c>
      <c r="D1032" s="213" t="str">
        <f>IFERROR(__xludf.DUMMYFUNCTION("""COMPUTED_VALUE"""),"HERRAMIENTAS")</f>
        <v>HERRAMIENTAS</v>
      </c>
      <c r="E1032" s="213" t="str">
        <f>IFERROR(__xludf.DUMMYFUNCTION("""COMPUTED_VALUE"""),"MAT-109")</f>
        <v>MAT-109</v>
      </c>
      <c r="F1032" s="213" t="str">
        <f>IFERROR(__xludf.DUMMYFUNCTION("""COMPUTED_VALUE"""),"MAT-109")</f>
        <v>MAT-109</v>
      </c>
      <c r="G1032" s="213"/>
      <c r="H1032" s="213" t="str">
        <f>IFERROR(__xludf.DUMMYFUNCTION("""COMPUTED_VALUE"""),"BALDE DE PLÁSTICO 10 LITROS")</f>
        <v>BALDE DE PLÁSTICO 10 LITROS</v>
      </c>
      <c r="I1032" s="213"/>
      <c r="J1032" s="213">
        <f>IFERROR(__xludf.DUMMYFUNCTION("""COMPUTED_VALUE"""),3.0)</f>
        <v>3</v>
      </c>
      <c r="K1032" s="213" t="str">
        <f>IFERROR(__xludf.DUMMYFUNCTION("""COMPUTED_VALUE"""),"90 DÍAS CALENDARIO")</f>
        <v>90 DÍAS CALENDARIO</v>
      </c>
      <c r="L1032" s="213" t="str">
        <f>IFERROR(__xludf.DUMMYFUNCTION("""COMPUTED_VALUE"""),"")</f>
        <v/>
      </c>
      <c r="M1032" s="213">
        <f>IFERROR(__xludf.DUMMYFUNCTION("""COMPUTED_VALUE"""),1.0)</f>
        <v>1</v>
      </c>
      <c r="N1032" s="213">
        <f>IFERROR(__xludf.DUMMYFUNCTION("""COMPUTED_VALUE"""),5.0)</f>
        <v>5</v>
      </c>
      <c r="O1032" s="213">
        <f>IFERROR(__xludf.DUMMYFUNCTION("""COMPUTED_VALUE"""),5.0)</f>
        <v>5</v>
      </c>
      <c r="P1032" s="213"/>
      <c r="Q1032" s="213"/>
      <c r="R1032" s="213" t="str">
        <f>IFERROR(__xludf.DUMMYFUNCTION("""COMPUTED_VALUE"""),"SI")</f>
        <v>SI</v>
      </c>
      <c r="S1032" s="213"/>
      <c r="T1032" s="213" t="str">
        <f>IFERROR(__xludf.DUMMYFUNCTION("""COMPUTED_VALUE"""),"CONSULTA FINAL")</f>
        <v>CONSULTA FINAL</v>
      </c>
      <c r="U1032" s="213" t="str">
        <f>IFERROR(__xludf.DUMMYFUNCTION("""COMPUTED_VALUE"""),"NO")</f>
        <v>NO</v>
      </c>
      <c r="V1032" s="213" t="str">
        <f>IFERROR(__xludf.DUMMYFUNCTION("""COMPUTED_VALUE"""),"SUSTENTO")</f>
        <v>SUSTENTO</v>
      </c>
      <c r="W1032" s="213" t="str">
        <f>IFERROR(__xludf.DUMMYFUNCTION("""COMPUTED_VALUE"""),"DIMENSIONAL")</f>
        <v>DIMENSIONAL</v>
      </c>
      <c r="X1032" s="213" t="str">
        <f>IFERROR(__xludf.DUMMYFUNCTION("""COMPUTED_VALUE"""),"POLINPLAST")</f>
        <v>POLINPLAST</v>
      </c>
      <c r="Y1032" s="213" t="str">
        <f>IFERROR(__xludf.DUMMYFUNCTION("""COMPUTED_VALUE"""),"BALDE 10 L C/ PICO Y ASA")</f>
        <v>BALDE 10 L C/ PICO Y ASA</v>
      </c>
      <c r="Z1032" s="215" t="str">
        <f>IFERROR(__xludf.DUMMYFUNCTION("""COMPUTED_VALUE"""),"https://www.mallplast.pe/balde-10-l-comercial-c-tapa-color?srsltid=AfmBOoo78PFPEuNfCdFzn69TTsE6xjBSjm0O8-6zG_vxcMxUCggS5vHv")</f>
        <v>https://www.mallplast.pe/balde-10-l-comercial-c-tapa-color?srsltid=AfmBOoo78PFPEuNfCdFzn69TTsE6xjBSjm0O8-6zG_vxcMxUCggS5vHv</v>
      </c>
      <c r="AA1032" s="213" t="str">
        <f>IFERROR(__xludf.DUMMYFUNCTION("""COMPUTED_VALUE"""),"MAT-109 BALDE DE PLÁSTICO 10 LITROS - CET")</f>
        <v>MAT-109 BALDE DE PLÁSTICO 10 LITROS - CET</v>
      </c>
      <c r="AB1032" s="213"/>
      <c r="AC1032" s="213"/>
      <c r="AD1032" s="213"/>
      <c r="AE1032" s="213"/>
      <c r="AF1032" s="213"/>
      <c r="AG1032" s="213"/>
      <c r="AH1032" s="213"/>
      <c r="AI1032" s="213"/>
      <c r="AJ1032" s="213"/>
      <c r="AK1032" s="213"/>
      <c r="AL1032" s="213"/>
      <c r="AM1032" s="213"/>
      <c r="AN1032" s="213"/>
      <c r="AO1032" s="213"/>
      <c r="AP1032" s="213" t="str">
        <f>IFERROR(__xludf.DUMMYFUNCTION("""COMPUTED_VALUE"""),"LUIS")</f>
        <v>LUIS</v>
      </c>
      <c r="AQ1032" s="213"/>
      <c r="AR1032" s="213"/>
      <c r="AS1032" s="213"/>
      <c r="AT1032" s="213"/>
      <c r="AU1032" s="213"/>
      <c r="AV1032" s="213"/>
      <c r="AW1032" s="213"/>
      <c r="AX1032" s="213"/>
      <c r="AY1032" s="213"/>
      <c r="AZ1032" s="213"/>
      <c r="BA1032" s="213"/>
      <c r="BB1032" s="213"/>
      <c r="BC1032" s="213"/>
      <c r="BD1032" s="213"/>
    </row>
    <row r="1033">
      <c r="A1033" s="213">
        <f>IFERROR(__xludf.DUMMYFUNCTION("""COMPUTED_VALUE"""),481.0)</f>
        <v>481</v>
      </c>
      <c r="B1033" s="213" t="str">
        <f>IFERROR(__xludf.DUMMYFUNCTION("""COMPUTED_VALUE"""),"2026 SIMON BOLIVAR")</f>
        <v>2026 SIMON BOLIVAR</v>
      </c>
      <c r="C1033" s="213" t="str">
        <f>IFERROR(__xludf.DUMMYFUNCTION("""COMPUTED_VALUE"""),"TALLER SFT DE INDUSTRIA ALIMENTARIA")</f>
        <v>TALLER SFT DE INDUSTRIA ALIMENTARIA</v>
      </c>
      <c r="D1033" s="213" t="str">
        <f>IFERROR(__xludf.DUMMYFUNCTION("""COMPUTED_VALUE"""),"HERRAMIENTAS")</f>
        <v>HERRAMIENTAS</v>
      </c>
      <c r="E1033" s="213" t="str">
        <f>IFERROR(__xludf.DUMMYFUNCTION("""COMPUTED_VALUE"""),"MAT-110")</f>
        <v>MAT-110</v>
      </c>
      <c r="F1033" s="213" t="str">
        <f>IFERROR(__xludf.DUMMYFUNCTION("""COMPUTED_VALUE"""),"MAT-110")</f>
        <v>MAT-110</v>
      </c>
      <c r="G1033" s="213"/>
      <c r="H1033" s="213" t="str">
        <f>IFERROR(__xludf.DUMMYFUNCTION("""COMPUTED_VALUE"""),"BALDE DE PLÁSTICO 20 LITROS")</f>
        <v>BALDE DE PLÁSTICO 20 LITROS</v>
      </c>
      <c r="I1033" s="213" t="str">
        <f>IFERROR(__xludf.DUMMYFUNCTION("""COMPUTED_VALUE"""),"· Envase cilíndrico con tapa y precinto de seguridad
· Cuerpo y tapa: PEAD
· Asa: Fierro galvanizado (agarradera: PEAD)
· Posee asa de fierro galvanizado con agarradera plástica para su fácil manipulación.
· Medidas mínimas L 35cm x F 35cm x H 45cm
· Capa"&amp;"cidad  20Lt")</f>
        <v>· Envase cilíndrico con tapa y precinto de seguridad
· Cuerpo y tapa: PEAD
· Asa: Fierro galvanizado (agarradera: PEAD)
· Posee asa de fierro galvanizado con agarradera plástica para su fácil manipulación.
· Medidas mínimas L 35cm x F 35cm x H 45cm
· Capacidad  20Lt</v>
      </c>
      <c r="J1033" s="213">
        <f>IFERROR(__xludf.DUMMYFUNCTION("""COMPUTED_VALUE"""),3.0)</f>
        <v>3</v>
      </c>
      <c r="K1033" s="213" t="str">
        <f>IFERROR(__xludf.DUMMYFUNCTION("""COMPUTED_VALUE"""),"90 DÍAS CALENDARIO")</f>
        <v>90 DÍAS CALENDARIO</v>
      </c>
      <c r="L1033" s="213" t="str">
        <f>IFERROR(__xludf.DUMMYFUNCTION("""COMPUTED_VALUE"""),"")</f>
        <v/>
      </c>
      <c r="M1033" s="213">
        <f>IFERROR(__xludf.DUMMYFUNCTION("""COMPUTED_VALUE"""),1.0)</f>
        <v>1</v>
      </c>
      <c r="N1033" s="213">
        <f>IFERROR(__xludf.DUMMYFUNCTION("""COMPUTED_VALUE"""),5.0)</f>
        <v>5</v>
      </c>
      <c r="O1033" s="213">
        <f>IFERROR(__xludf.DUMMYFUNCTION("""COMPUTED_VALUE"""),5.0)</f>
        <v>5</v>
      </c>
      <c r="P1033" s="213"/>
      <c r="Q1033" s="213"/>
      <c r="R1033" s="213" t="str">
        <f>IFERROR(__xludf.DUMMYFUNCTION("""COMPUTED_VALUE"""),"SI")</f>
        <v>SI</v>
      </c>
      <c r="S1033" s="213"/>
      <c r="T1033" s="213" t="str">
        <f>IFERROR(__xludf.DUMMYFUNCTION("""COMPUTED_VALUE"""),"CONSULTA FINAL")</f>
        <v>CONSULTA FINAL</v>
      </c>
      <c r="U1033" s="213" t="str">
        <f>IFERROR(__xludf.DUMMYFUNCTION("""COMPUTED_VALUE"""),"NO")</f>
        <v>NO</v>
      </c>
      <c r="V1033" s="213" t="str">
        <f>IFERROR(__xludf.DUMMYFUNCTION("""COMPUTED_VALUE"""),"SUSTENTO")</f>
        <v>SUSTENTO</v>
      </c>
      <c r="W1033" s="213" t="str">
        <f>IFERROR(__xludf.DUMMYFUNCTION("""COMPUTED_VALUE"""),"DIMENSIONAL")</f>
        <v>DIMENSIONAL</v>
      </c>
      <c r="X1033" s="213" t="str">
        <f>IFERROR(__xludf.DUMMYFUNCTION("""COMPUTED_VALUE"""),"POLINPLAST")</f>
        <v>POLINPLAST</v>
      </c>
      <c r="Y1033" s="213" t="str">
        <f>IFERROR(__xludf.DUMMYFUNCTION("""COMPUTED_VALUE"""),"BALDE 20L BLANCO C/TAPA")</f>
        <v>BALDE 20L BLANCO C/TAPA</v>
      </c>
      <c r="Z1033" s="215" t="str">
        <f>IFERROR(__xludf.DUMMYFUNCTION("""COMPUTED_VALUE"""),"https://www.mallplast.pe/balde-20L-transparente-con-tapa?srsltid=AfmBOoqtLiTgWQmu6FOHiR6fPMHWWSpZeUfdpmN3HigTWQluuqL2ZiCn")</f>
        <v>https://www.mallplast.pe/balde-20L-transparente-con-tapa?srsltid=AfmBOoqtLiTgWQmu6FOHiR6fPMHWWSpZeUfdpmN3HigTWQluuqL2ZiCn</v>
      </c>
      <c r="AA1033" s="213" t="str">
        <f>IFERROR(__xludf.DUMMYFUNCTION("""COMPUTED_VALUE"""),"MAT-110 BALDE DE PLÁSTICO 20 LITROS - CET")</f>
        <v>MAT-110 BALDE DE PLÁSTICO 20 LITROS - CET</v>
      </c>
      <c r="AB1033" s="213"/>
      <c r="AC1033" s="213"/>
      <c r="AD1033" s="213"/>
      <c r="AE1033" s="213"/>
      <c r="AF1033" s="213"/>
      <c r="AG1033" s="213"/>
      <c r="AH1033" s="213"/>
      <c r="AI1033" s="213"/>
      <c r="AJ1033" s="213"/>
      <c r="AK1033" s="213"/>
      <c r="AL1033" s="213"/>
      <c r="AM1033" s="213"/>
      <c r="AN1033" s="213"/>
      <c r="AO1033" s="213"/>
      <c r="AP1033" s="213" t="str">
        <f>IFERROR(__xludf.DUMMYFUNCTION("""COMPUTED_VALUE"""),"LUIS")</f>
        <v>LUIS</v>
      </c>
      <c r="AQ1033" s="213"/>
      <c r="AR1033" s="213"/>
      <c r="AS1033" s="213"/>
      <c r="AT1033" s="213"/>
      <c r="AU1033" s="213"/>
      <c r="AV1033" s="213"/>
      <c r="AW1033" s="213"/>
      <c r="AX1033" s="213"/>
      <c r="AY1033" s="213"/>
      <c r="AZ1033" s="213"/>
      <c r="BA1033" s="213"/>
      <c r="BB1033" s="213"/>
      <c r="BC1033" s="213"/>
      <c r="BD1033" s="213"/>
    </row>
    <row r="1034">
      <c r="A1034" s="213">
        <f>IFERROR(__xludf.DUMMYFUNCTION("""COMPUTED_VALUE"""),1111.0)</f>
        <v>1111</v>
      </c>
      <c r="B1034" s="213" t="str">
        <f>IFERROR(__xludf.DUMMYFUNCTION("""COMPUTED_VALUE"""),"FRANCISCO IRAZOLA")</f>
        <v>FRANCISCO IRAZOLA</v>
      </c>
      <c r="C1034" s="213" t="str">
        <f>IFERROR(__xludf.DUMMYFUNCTION("""COMPUTED_VALUE"""),"TALLER SFT DE INDUSTRIA ALIMENTARIA")</f>
        <v>TALLER SFT DE INDUSTRIA ALIMENTARIA</v>
      </c>
      <c r="D1034" s="213" t="str">
        <f>IFERROR(__xludf.DUMMYFUNCTION("""COMPUTED_VALUE"""),"HERRAMIENTAS")</f>
        <v>HERRAMIENTAS</v>
      </c>
      <c r="E1034" s="213" t="str">
        <f>IFERROR(__xludf.DUMMYFUNCTION("""COMPUTED_VALUE"""),"MAT-110")</f>
        <v>MAT-110</v>
      </c>
      <c r="F1034" s="213" t="str">
        <f>IFERROR(__xludf.DUMMYFUNCTION("""COMPUTED_VALUE"""),"MAT-110")</f>
        <v>MAT-110</v>
      </c>
      <c r="G1034" s="213"/>
      <c r="H1034" s="213" t="str">
        <f>IFERROR(__xludf.DUMMYFUNCTION("""COMPUTED_VALUE"""),"BALDE DE PLÁSTICO 20 LITROS")</f>
        <v>BALDE DE PLÁSTICO 20 LITROS</v>
      </c>
      <c r="I1034" s="213" t="str">
        <f>IFERROR(__xludf.DUMMYFUNCTION("""COMPUTED_VALUE"""),"· Envase cilíndrico con tapa y precinto de seguridad
· Cuerpo y tapa: PEAD
· Asa: Fierro galvanizado (agarradera: PEAD)
· Posee asa de fierro galvanizado con agarradera plástica para su fácil manipulación.
· Medidas mínimas L 35cm x F 35cm x H 45cm
· Capa"&amp;"cidad  20Lt")</f>
        <v>· Envase cilíndrico con tapa y precinto de seguridad
· Cuerpo y tapa: PEAD
· Asa: Fierro galvanizado (agarradera: PEAD)
· Posee asa de fierro galvanizado con agarradera plástica para su fácil manipulación.
· Medidas mínimas L 35cm x F 35cm x H 45cm
· Capacidad  20Lt</v>
      </c>
      <c r="J1034" s="213">
        <f>IFERROR(__xludf.DUMMYFUNCTION("""COMPUTED_VALUE"""),3.0)</f>
        <v>3</v>
      </c>
      <c r="K1034" s="213" t="str">
        <f>IFERROR(__xludf.DUMMYFUNCTION("""COMPUTED_VALUE"""),"90 DÍAS CALENDARIO")</f>
        <v>90 DÍAS CALENDARIO</v>
      </c>
      <c r="L1034" s="213" t="str">
        <f>IFERROR(__xludf.DUMMYFUNCTION("""COMPUTED_VALUE"""),"")</f>
        <v/>
      </c>
      <c r="M1034" s="213">
        <f>IFERROR(__xludf.DUMMYFUNCTION("""COMPUTED_VALUE"""),1.0)</f>
        <v>1</v>
      </c>
      <c r="N1034" s="213">
        <f>IFERROR(__xludf.DUMMYFUNCTION("""COMPUTED_VALUE"""),5.0)</f>
        <v>5</v>
      </c>
      <c r="O1034" s="213">
        <f>IFERROR(__xludf.DUMMYFUNCTION("""COMPUTED_VALUE"""),5.0)</f>
        <v>5</v>
      </c>
      <c r="P1034" s="213"/>
      <c r="Q1034" s="213"/>
      <c r="R1034" s="213" t="str">
        <f>IFERROR(__xludf.DUMMYFUNCTION("""COMPUTED_VALUE"""),"SI")</f>
        <v>SI</v>
      </c>
      <c r="S1034" s="213"/>
      <c r="T1034" s="213" t="str">
        <f>IFERROR(__xludf.DUMMYFUNCTION("""COMPUTED_VALUE"""),"CONSULTA FINAL")</f>
        <v>CONSULTA FINAL</v>
      </c>
      <c r="U1034" s="213" t="str">
        <f>IFERROR(__xludf.DUMMYFUNCTION("""COMPUTED_VALUE"""),"NO")</f>
        <v>NO</v>
      </c>
      <c r="V1034" s="213" t="str">
        <f>IFERROR(__xludf.DUMMYFUNCTION("""COMPUTED_VALUE"""),"SUSTENTO")</f>
        <v>SUSTENTO</v>
      </c>
      <c r="W1034" s="213" t="str">
        <f>IFERROR(__xludf.DUMMYFUNCTION("""COMPUTED_VALUE"""),"DIMENSIONAL")</f>
        <v>DIMENSIONAL</v>
      </c>
      <c r="X1034" s="213" t="str">
        <f>IFERROR(__xludf.DUMMYFUNCTION("""COMPUTED_VALUE"""),"POLINPLAST")</f>
        <v>POLINPLAST</v>
      </c>
      <c r="Y1034" s="213" t="str">
        <f>IFERROR(__xludf.DUMMYFUNCTION("""COMPUTED_VALUE"""),"BALDE 20L BLANCO C/TAPA")</f>
        <v>BALDE 20L BLANCO C/TAPA</v>
      </c>
      <c r="Z1034" s="215" t="str">
        <f>IFERROR(__xludf.DUMMYFUNCTION("""COMPUTED_VALUE"""),"https://www.mallplast.pe/balde-20L-transparente-con-tapa?srsltid=AfmBOoqtLiTgWQmu6FOHiR6fPMHWWSpZeUfdpmN3HigTWQluuqL2ZiCn")</f>
        <v>https://www.mallplast.pe/balde-20L-transparente-con-tapa?srsltid=AfmBOoqtLiTgWQmu6FOHiR6fPMHWWSpZeUfdpmN3HigTWQluuqL2ZiCn</v>
      </c>
      <c r="AA1034" s="213" t="str">
        <f>IFERROR(__xludf.DUMMYFUNCTION("""COMPUTED_VALUE"""),"MAT-110 BALDE DE PLÁSTICO 20 LITROS - CET")</f>
        <v>MAT-110 BALDE DE PLÁSTICO 20 LITROS - CET</v>
      </c>
      <c r="AB1034" s="213"/>
      <c r="AC1034" s="213"/>
      <c r="AD1034" s="213"/>
      <c r="AE1034" s="213"/>
      <c r="AF1034" s="213"/>
      <c r="AG1034" s="213"/>
      <c r="AH1034" s="213"/>
      <c r="AI1034" s="213"/>
      <c r="AJ1034" s="213"/>
      <c r="AK1034" s="213"/>
      <c r="AL1034" s="213"/>
      <c r="AM1034" s="213"/>
      <c r="AN1034" s="213"/>
      <c r="AO1034" s="213"/>
      <c r="AP1034" s="213" t="str">
        <f>IFERROR(__xludf.DUMMYFUNCTION("""COMPUTED_VALUE"""),"LUIS")</f>
        <v>LUIS</v>
      </c>
      <c r="AQ1034" s="213"/>
      <c r="AR1034" s="213"/>
      <c r="AS1034" s="213"/>
      <c r="AT1034" s="213"/>
      <c r="AU1034" s="213"/>
      <c r="AV1034" s="213"/>
      <c r="AW1034" s="213"/>
      <c r="AX1034" s="213"/>
      <c r="AY1034" s="213"/>
      <c r="AZ1034" s="213"/>
      <c r="BA1034" s="213"/>
      <c r="BB1034" s="213"/>
      <c r="BC1034" s="213"/>
      <c r="BD1034" s="213"/>
    </row>
    <row r="1035">
      <c r="A1035" s="213">
        <f>IFERROR(__xludf.DUMMYFUNCTION("""COMPUTED_VALUE"""),1383.0)</f>
        <v>1383</v>
      </c>
      <c r="B1035" s="213" t="str">
        <f>IFERROR(__xludf.DUMMYFUNCTION("""COMPUTED_VALUE"""),"GUILLERMO E. BILLINGHURST ")</f>
        <v>GUILLERMO E. BILLINGHURST </v>
      </c>
      <c r="C1035" s="213" t="str">
        <f>IFERROR(__xludf.DUMMYFUNCTION("""COMPUTED_VALUE"""),"TALLER SFT DE INDUSTRIA ALIMENTARIA")</f>
        <v>TALLER SFT DE INDUSTRIA ALIMENTARIA</v>
      </c>
      <c r="D1035" s="213" t="str">
        <f>IFERROR(__xludf.DUMMYFUNCTION("""COMPUTED_VALUE"""),"HERRAMIENTAS")</f>
        <v>HERRAMIENTAS</v>
      </c>
      <c r="E1035" s="213" t="str">
        <f>IFERROR(__xludf.DUMMYFUNCTION("""COMPUTED_VALUE"""),"MAT-110")</f>
        <v>MAT-110</v>
      </c>
      <c r="F1035" s="213" t="str">
        <f>IFERROR(__xludf.DUMMYFUNCTION("""COMPUTED_VALUE"""),"MAT-110")</f>
        <v>MAT-110</v>
      </c>
      <c r="G1035" s="213"/>
      <c r="H1035" s="213" t="str">
        <f>IFERROR(__xludf.DUMMYFUNCTION("""COMPUTED_VALUE"""),"BALDE DE PLÁSTICO 20 LITROS")</f>
        <v>BALDE DE PLÁSTICO 20 LITROS</v>
      </c>
      <c r="I1035" s="213" t="str">
        <f>IFERROR(__xludf.DUMMYFUNCTION("""COMPUTED_VALUE"""),"· Envase cilíndrico con tapa y precinto de seguridad
· Cuerpo y tapa: PEAD
· Asa: Fierro galvanizado (agarradera: PEAD)
· Posee asa de fierro galvanizado con agarradera plástica para su fácil manipulación.
· Medidas mínimas L 35cm x F 35cm x H 45cm
· Capa"&amp;"cidad  20Lt")</f>
        <v>· Envase cilíndrico con tapa y precinto de seguridad
· Cuerpo y tapa: PEAD
· Asa: Fierro galvanizado (agarradera: PEAD)
· Posee asa de fierro galvanizado con agarradera plástica para su fácil manipulación.
· Medidas mínimas L 35cm x F 35cm x H 45cm
· Capacidad  20Lt</v>
      </c>
      <c r="J1035" s="213">
        <f>IFERROR(__xludf.DUMMYFUNCTION("""COMPUTED_VALUE"""),3.0)</f>
        <v>3</v>
      </c>
      <c r="K1035" s="213" t="str">
        <f>IFERROR(__xludf.DUMMYFUNCTION("""COMPUTED_VALUE"""),"90 DÍAS CALENDARIO")</f>
        <v>90 DÍAS CALENDARIO</v>
      </c>
      <c r="L1035" s="213" t="str">
        <f>IFERROR(__xludf.DUMMYFUNCTION("""COMPUTED_VALUE"""),"")</f>
        <v/>
      </c>
      <c r="M1035" s="213">
        <f>IFERROR(__xludf.DUMMYFUNCTION("""COMPUTED_VALUE"""),1.0)</f>
        <v>1</v>
      </c>
      <c r="N1035" s="213">
        <f>IFERROR(__xludf.DUMMYFUNCTION("""COMPUTED_VALUE"""),5.0)</f>
        <v>5</v>
      </c>
      <c r="O1035" s="213">
        <f>IFERROR(__xludf.DUMMYFUNCTION("""COMPUTED_VALUE"""),5.0)</f>
        <v>5</v>
      </c>
      <c r="P1035" s="213"/>
      <c r="Q1035" s="213"/>
      <c r="R1035" s="213" t="str">
        <f>IFERROR(__xludf.DUMMYFUNCTION("""COMPUTED_VALUE"""),"SI")</f>
        <v>SI</v>
      </c>
      <c r="S1035" s="213"/>
      <c r="T1035" s="213" t="str">
        <f>IFERROR(__xludf.DUMMYFUNCTION("""COMPUTED_VALUE"""),"CONSULTA FINAL")</f>
        <v>CONSULTA FINAL</v>
      </c>
      <c r="U1035" s="213" t="str">
        <f>IFERROR(__xludf.DUMMYFUNCTION("""COMPUTED_VALUE"""),"NO")</f>
        <v>NO</v>
      </c>
      <c r="V1035" s="213" t="str">
        <f>IFERROR(__xludf.DUMMYFUNCTION("""COMPUTED_VALUE"""),"SUSTENTO")</f>
        <v>SUSTENTO</v>
      </c>
      <c r="W1035" s="213" t="str">
        <f>IFERROR(__xludf.DUMMYFUNCTION("""COMPUTED_VALUE"""),"DIMENSIONAL")</f>
        <v>DIMENSIONAL</v>
      </c>
      <c r="X1035" s="213" t="str">
        <f>IFERROR(__xludf.DUMMYFUNCTION("""COMPUTED_VALUE"""),"POLINPLAST")</f>
        <v>POLINPLAST</v>
      </c>
      <c r="Y1035" s="213" t="str">
        <f>IFERROR(__xludf.DUMMYFUNCTION("""COMPUTED_VALUE"""),"BALDE 20L BLANCO C/TAPA")</f>
        <v>BALDE 20L BLANCO C/TAPA</v>
      </c>
      <c r="Z1035" s="215" t="str">
        <f>IFERROR(__xludf.DUMMYFUNCTION("""COMPUTED_VALUE"""),"https://www.mallplast.pe/balde-20L-transparente-con-tapa?srsltid=AfmBOoqtLiTgWQmu6FOHiR6fPMHWWSpZeUfdpmN3HigTWQluuqL2ZiCn")</f>
        <v>https://www.mallplast.pe/balde-20L-transparente-con-tapa?srsltid=AfmBOoqtLiTgWQmu6FOHiR6fPMHWWSpZeUfdpmN3HigTWQluuqL2ZiCn</v>
      </c>
      <c r="AA1035" s="213" t="str">
        <f>IFERROR(__xludf.DUMMYFUNCTION("""COMPUTED_VALUE"""),"MAT-110 BALDE DE PLÁSTICO 20 LITROS - CET")</f>
        <v>MAT-110 BALDE DE PLÁSTICO 20 LITROS - CET</v>
      </c>
      <c r="AB1035" s="213"/>
      <c r="AC1035" s="213"/>
      <c r="AD1035" s="213"/>
      <c r="AE1035" s="213"/>
      <c r="AF1035" s="213"/>
      <c r="AG1035" s="213"/>
      <c r="AH1035" s="213"/>
      <c r="AI1035" s="213"/>
      <c r="AJ1035" s="213"/>
      <c r="AK1035" s="213"/>
      <c r="AL1035" s="213"/>
      <c r="AM1035" s="213"/>
      <c r="AN1035" s="213"/>
      <c r="AO1035" s="213"/>
      <c r="AP1035" s="213" t="str">
        <f>IFERROR(__xludf.DUMMYFUNCTION("""COMPUTED_VALUE"""),"LUIS")</f>
        <v>LUIS</v>
      </c>
      <c r="AQ1035" s="213"/>
      <c r="AR1035" s="213"/>
      <c r="AS1035" s="213"/>
      <c r="AT1035" s="213"/>
      <c r="AU1035" s="213"/>
      <c r="AV1035" s="213"/>
      <c r="AW1035" s="213"/>
      <c r="AX1035" s="213"/>
      <c r="AY1035" s="213"/>
      <c r="AZ1035" s="213"/>
      <c r="BA1035" s="213"/>
      <c r="BB1035" s="213"/>
      <c r="BC1035" s="213"/>
      <c r="BD1035" s="213"/>
    </row>
    <row r="1036">
      <c r="A1036" s="213">
        <f>IFERROR(__xludf.DUMMYFUNCTION("""COMPUTED_VALUE"""),2070.0)</f>
        <v>2070</v>
      </c>
      <c r="B1036" s="213" t="str">
        <f>IFERROR(__xludf.DUMMYFUNCTION("""COMPUTED_VALUE"""),"JOSE GRANDA")</f>
        <v>JOSE GRANDA</v>
      </c>
      <c r="C1036" s="213" t="str">
        <f>IFERROR(__xludf.DUMMYFUNCTION("""COMPUTED_VALUE"""),"TALLER SFT DE INDUSTRIA ALIMENTARIA")</f>
        <v>TALLER SFT DE INDUSTRIA ALIMENTARIA</v>
      </c>
      <c r="D1036" s="213" t="str">
        <f>IFERROR(__xludf.DUMMYFUNCTION("""COMPUTED_VALUE"""),"HERRAMIENTAS")</f>
        <v>HERRAMIENTAS</v>
      </c>
      <c r="E1036" s="213" t="str">
        <f>IFERROR(__xludf.DUMMYFUNCTION("""COMPUTED_VALUE"""),"MAT-110")</f>
        <v>MAT-110</v>
      </c>
      <c r="F1036" s="213" t="str">
        <f>IFERROR(__xludf.DUMMYFUNCTION("""COMPUTED_VALUE"""),"MAT-110")</f>
        <v>MAT-110</v>
      </c>
      <c r="G1036" s="213"/>
      <c r="H1036" s="213" t="str">
        <f>IFERROR(__xludf.DUMMYFUNCTION("""COMPUTED_VALUE"""),"BALDE DE PLÁSTICO 20 LITROS")</f>
        <v>BALDE DE PLÁSTICO 20 LITROS</v>
      </c>
      <c r="I1036" s="213" t="str">
        <f>IFERROR(__xludf.DUMMYFUNCTION("""COMPUTED_VALUE"""),"· Envase cilíndrico con tapa y precinto de seguridad
· Cuerpo y tapa: PEAD
· Asa: Fierro galvanizado (agarradera: PEAD)
· Posee asa de fierro galvanizado con agarradera plástica para su fácil manipulación.
· Medidas mínimas L 35cm x F 35cm x H 45cm
· Capa"&amp;"cidad  20Lt")</f>
        <v>· Envase cilíndrico con tapa y precinto de seguridad
· Cuerpo y tapa: PEAD
· Asa: Fierro galvanizado (agarradera: PEAD)
· Posee asa de fierro galvanizado con agarradera plástica para su fácil manipulación.
· Medidas mínimas L 35cm x F 35cm x H 45cm
· Capacidad  20Lt</v>
      </c>
      <c r="J1036" s="213">
        <f>IFERROR(__xludf.DUMMYFUNCTION("""COMPUTED_VALUE"""),3.0)</f>
        <v>3</v>
      </c>
      <c r="K1036" s="213" t="str">
        <f>IFERROR(__xludf.DUMMYFUNCTION("""COMPUTED_VALUE"""),"90 DÍAS CALENDARIO")</f>
        <v>90 DÍAS CALENDARIO</v>
      </c>
      <c r="L1036" s="213" t="str">
        <f>IFERROR(__xludf.DUMMYFUNCTION("""COMPUTED_VALUE"""),"")</f>
        <v/>
      </c>
      <c r="M1036" s="213">
        <f>IFERROR(__xludf.DUMMYFUNCTION("""COMPUTED_VALUE"""),1.0)</f>
        <v>1</v>
      </c>
      <c r="N1036" s="213">
        <f>IFERROR(__xludf.DUMMYFUNCTION("""COMPUTED_VALUE"""),5.0)</f>
        <v>5</v>
      </c>
      <c r="O1036" s="213">
        <f>IFERROR(__xludf.DUMMYFUNCTION("""COMPUTED_VALUE"""),5.0)</f>
        <v>5</v>
      </c>
      <c r="P1036" s="213"/>
      <c r="Q1036" s="213"/>
      <c r="R1036" s="213" t="str">
        <f>IFERROR(__xludf.DUMMYFUNCTION("""COMPUTED_VALUE"""),"SI")</f>
        <v>SI</v>
      </c>
      <c r="S1036" s="213"/>
      <c r="T1036" s="213" t="str">
        <f>IFERROR(__xludf.DUMMYFUNCTION("""COMPUTED_VALUE"""),"CONSULTA FINAL")</f>
        <v>CONSULTA FINAL</v>
      </c>
      <c r="U1036" s="213" t="str">
        <f>IFERROR(__xludf.DUMMYFUNCTION("""COMPUTED_VALUE"""),"NO")</f>
        <v>NO</v>
      </c>
      <c r="V1036" s="213" t="str">
        <f>IFERROR(__xludf.DUMMYFUNCTION("""COMPUTED_VALUE"""),"SUSTENTO")</f>
        <v>SUSTENTO</v>
      </c>
      <c r="W1036" s="213" t="str">
        <f>IFERROR(__xludf.DUMMYFUNCTION("""COMPUTED_VALUE"""),"DIMENSIONAL")</f>
        <v>DIMENSIONAL</v>
      </c>
      <c r="X1036" s="213" t="str">
        <f>IFERROR(__xludf.DUMMYFUNCTION("""COMPUTED_VALUE"""),"POLINPLAST")</f>
        <v>POLINPLAST</v>
      </c>
      <c r="Y1036" s="213" t="str">
        <f>IFERROR(__xludf.DUMMYFUNCTION("""COMPUTED_VALUE"""),"BALDE 20L BLANCO C/TAPA")</f>
        <v>BALDE 20L BLANCO C/TAPA</v>
      </c>
      <c r="Z1036" s="215" t="str">
        <f>IFERROR(__xludf.DUMMYFUNCTION("""COMPUTED_VALUE"""),"https://www.mallplast.pe/balde-20L-transparente-con-tapa?srsltid=AfmBOoqtLiTgWQmu6FOHiR6fPMHWWSpZeUfdpmN3HigTWQluuqL2ZiCn")</f>
        <v>https://www.mallplast.pe/balde-20L-transparente-con-tapa?srsltid=AfmBOoqtLiTgWQmu6FOHiR6fPMHWWSpZeUfdpmN3HigTWQluuqL2ZiCn</v>
      </c>
      <c r="AA1036" s="213" t="str">
        <f>IFERROR(__xludf.DUMMYFUNCTION("""COMPUTED_VALUE"""),"MAT-110 BALDE DE PLÁSTICO 20 LITROS - CET")</f>
        <v>MAT-110 BALDE DE PLÁSTICO 20 LITROS - CET</v>
      </c>
      <c r="AB1036" s="213"/>
      <c r="AC1036" s="213"/>
      <c r="AD1036" s="213"/>
      <c r="AE1036" s="213"/>
      <c r="AF1036" s="213"/>
      <c r="AG1036" s="213"/>
      <c r="AH1036" s="213"/>
      <c r="AI1036" s="213"/>
      <c r="AJ1036" s="213"/>
      <c r="AK1036" s="213"/>
      <c r="AL1036" s="213"/>
      <c r="AM1036" s="213"/>
      <c r="AN1036" s="213"/>
      <c r="AO1036" s="213"/>
      <c r="AP1036" s="213" t="str">
        <f>IFERROR(__xludf.DUMMYFUNCTION("""COMPUTED_VALUE"""),"LUIS")</f>
        <v>LUIS</v>
      </c>
      <c r="AQ1036" s="213"/>
      <c r="AR1036" s="213"/>
      <c r="AS1036" s="213"/>
      <c r="AT1036" s="213"/>
      <c r="AU1036" s="213"/>
      <c r="AV1036" s="213"/>
      <c r="AW1036" s="213"/>
      <c r="AX1036" s="213"/>
      <c r="AY1036" s="213"/>
      <c r="AZ1036" s="213"/>
      <c r="BA1036" s="213"/>
      <c r="BB1036" s="213"/>
      <c r="BC1036" s="213"/>
      <c r="BD1036" s="213"/>
    </row>
    <row r="1037">
      <c r="A1037" s="213">
        <f>IFERROR(__xludf.DUMMYFUNCTION("""COMPUTED_VALUE"""),504.0)</f>
        <v>504</v>
      </c>
      <c r="B1037" s="213" t="str">
        <f>IFERROR(__xludf.DUMMYFUNCTION("""COMPUTED_VALUE"""),"2026 SIMON BOLIVAR")</f>
        <v>2026 SIMON BOLIVAR</v>
      </c>
      <c r="C1037" s="213" t="str">
        <f>IFERROR(__xludf.DUMMYFUNCTION("""COMPUTED_VALUE"""),"TALLER SFT DE INDUSTRIA ALIMENTARIA")</f>
        <v>TALLER SFT DE INDUSTRIA ALIMENTARIA</v>
      </c>
      <c r="D1037" s="213" t="str">
        <f>IFERROR(__xludf.DUMMYFUNCTION("""COMPUTED_VALUE"""),"HERRAMIENTAS")</f>
        <v>HERRAMIENTAS</v>
      </c>
      <c r="E1037" s="213" t="str">
        <f>IFERROR(__xludf.DUMMYFUNCTION("""COMPUTED_VALUE"""),"MAT-111")</f>
        <v>MAT-111</v>
      </c>
      <c r="F1037" s="213" t="str">
        <f>IFERROR(__xludf.DUMMYFUNCTION("""COMPUTED_VALUE"""),"MAT-111")</f>
        <v>MAT-111</v>
      </c>
      <c r="G1037" s="213"/>
      <c r="H1037" s="213" t="str">
        <f>IFERROR(__xludf.DUMMYFUNCTION("""COMPUTED_VALUE"""),"BALDE DE PLÁSTICO 5 LITROS")</f>
        <v>BALDE DE PLÁSTICO 5 LITROS</v>
      </c>
      <c r="I1037" s="213" t="str">
        <f>IFERROR(__xludf.DUMMYFUNCTION("""COMPUTED_VALUE"""),".  Balde plástico con asa de plástico
.  No es toxico y durable
.  Material Virgen
.  Aprobado para tener contacto con alimentos
.  Tapa y asa  PEAD
.  Medidas mínimas:  L 21.2cm F 22.2cm H 18.9 cm                                                          "&amp;"                            .  Capacidad 5 Litros")</f>
        <v>.  Balde plástico con asa de plástico
.  No es toxico y durable
.  Material Virgen
.  Aprobado para tener contacto con alimentos
.  Tapa y asa  PEAD
.  Medidas mínimas:  L 21.2cm F 22.2cm H 18.9 cm                                                                                      .  Capacidad 5 Litros</v>
      </c>
      <c r="J1037" s="213">
        <f>IFERROR(__xludf.DUMMYFUNCTION("""COMPUTED_VALUE"""),3.0)</f>
        <v>3</v>
      </c>
      <c r="K1037" s="213" t="str">
        <f>IFERROR(__xludf.DUMMYFUNCTION("""COMPUTED_VALUE"""),"90 DÍAS CALENDARIO")</f>
        <v>90 DÍAS CALENDARIO</v>
      </c>
      <c r="L1037" s="213" t="str">
        <f>IFERROR(__xludf.DUMMYFUNCTION("""COMPUTED_VALUE"""),"")</f>
        <v/>
      </c>
      <c r="M1037" s="213">
        <f>IFERROR(__xludf.DUMMYFUNCTION("""COMPUTED_VALUE"""),1.0)</f>
        <v>1</v>
      </c>
      <c r="N1037" s="213">
        <f>IFERROR(__xludf.DUMMYFUNCTION("""COMPUTED_VALUE"""),3.0)</f>
        <v>3</v>
      </c>
      <c r="O1037" s="213">
        <f>IFERROR(__xludf.DUMMYFUNCTION("""COMPUTED_VALUE"""),3.0)</f>
        <v>3</v>
      </c>
      <c r="P1037" s="213"/>
      <c r="Q1037" s="213"/>
      <c r="R1037" s="213" t="str">
        <f>IFERROR(__xludf.DUMMYFUNCTION("""COMPUTED_VALUE"""),"SI")</f>
        <v>SI</v>
      </c>
      <c r="S1037" s="213"/>
      <c r="T1037" s="213" t="str">
        <f>IFERROR(__xludf.DUMMYFUNCTION("""COMPUTED_VALUE"""),"CONSULTA FINAL")</f>
        <v>CONSULTA FINAL</v>
      </c>
      <c r="U1037" s="213" t="str">
        <f>IFERROR(__xludf.DUMMYFUNCTION("""COMPUTED_VALUE"""),"NO")</f>
        <v>NO</v>
      </c>
      <c r="V1037" s="213" t="str">
        <f>IFERROR(__xludf.DUMMYFUNCTION("""COMPUTED_VALUE"""),"SUSTENTO")</f>
        <v>SUSTENTO</v>
      </c>
      <c r="W1037" s="213" t="str">
        <f>IFERROR(__xludf.DUMMYFUNCTION("""COMPUTED_VALUE"""),"DIMENSIONAL")</f>
        <v>DIMENSIONAL</v>
      </c>
      <c r="X1037" s="213" t="str">
        <f>IFERROR(__xludf.DUMMYFUNCTION("""COMPUTED_VALUE"""),"GENÉRICO / AR IMPORT")</f>
        <v>GENÉRICO / AR IMPORT</v>
      </c>
      <c r="Y1037" s="213" t="str">
        <f>IFERROR(__xludf.DUMMYFUNCTION("""COMPUTED_VALUE"""),"BALDE DE 5 LITROS CON TAPA Y MANILLA RESISTENTE")</f>
        <v>BALDE DE 5 LITROS CON TAPA Y MANILLA RESISTENTE</v>
      </c>
      <c r="Z1037" s="215" t="str">
        <f>IFERROR(__xludf.DUMMYFUNCTION("""COMPUTED_VALUE"""),"https://drive.google.com/file/d/1hM-YliOlq7tqvNJZwyvzoSsnTD4VPg6s/view")</f>
        <v>https://drive.google.com/file/d/1hM-YliOlq7tqvNJZwyvzoSsnTD4VPg6s/view</v>
      </c>
      <c r="AA1037" s="213" t="str">
        <f>IFERROR(__xludf.DUMMYFUNCTION("""COMPUTED_VALUE"""),"MAT-111 BALDE DE PLÁSTICO 5 LITROS - CET")</f>
        <v>MAT-111 BALDE DE PLÁSTICO 5 LITROS - CET</v>
      </c>
      <c r="AB1037" s="213"/>
      <c r="AC1037" s="213"/>
      <c r="AD1037" s="213"/>
      <c r="AE1037" s="213"/>
      <c r="AF1037" s="213"/>
      <c r="AG1037" s="213"/>
      <c r="AH1037" s="213"/>
      <c r="AI1037" s="213"/>
      <c r="AJ1037" s="213"/>
      <c r="AK1037" s="213"/>
      <c r="AL1037" s="213"/>
      <c r="AM1037" s="213"/>
      <c r="AN1037" s="213"/>
      <c r="AO1037" s="213"/>
      <c r="AP1037" s="213" t="str">
        <f>IFERROR(__xludf.DUMMYFUNCTION("""COMPUTED_VALUE"""),"LUIS")</f>
        <v>LUIS</v>
      </c>
      <c r="AQ1037" s="213"/>
      <c r="AR1037" s="213"/>
      <c r="AS1037" s="213"/>
      <c r="AT1037" s="213"/>
      <c r="AU1037" s="213"/>
      <c r="AV1037" s="213"/>
      <c r="AW1037" s="213"/>
      <c r="AX1037" s="213"/>
      <c r="AY1037" s="213"/>
      <c r="AZ1037" s="213"/>
      <c r="BA1037" s="213"/>
      <c r="BB1037" s="213"/>
      <c r="BC1037" s="213"/>
      <c r="BD1037" s="213"/>
    </row>
    <row r="1038">
      <c r="A1038" s="213">
        <f>IFERROR(__xludf.DUMMYFUNCTION("""COMPUTED_VALUE"""),1134.0)</f>
        <v>1134</v>
      </c>
      <c r="B1038" s="213" t="str">
        <f>IFERROR(__xludf.DUMMYFUNCTION("""COMPUTED_VALUE"""),"FRANCISCO IRAZOLA")</f>
        <v>FRANCISCO IRAZOLA</v>
      </c>
      <c r="C1038" s="213" t="str">
        <f>IFERROR(__xludf.DUMMYFUNCTION("""COMPUTED_VALUE"""),"TALLER SFT DE INDUSTRIA ALIMENTARIA")</f>
        <v>TALLER SFT DE INDUSTRIA ALIMENTARIA</v>
      </c>
      <c r="D1038" s="213" t="str">
        <f>IFERROR(__xludf.DUMMYFUNCTION("""COMPUTED_VALUE"""),"HERRAMIENTAS")</f>
        <v>HERRAMIENTAS</v>
      </c>
      <c r="E1038" s="213" t="str">
        <f>IFERROR(__xludf.DUMMYFUNCTION("""COMPUTED_VALUE"""),"MAT-111")</f>
        <v>MAT-111</v>
      </c>
      <c r="F1038" s="213" t="str">
        <f>IFERROR(__xludf.DUMMYFUNCTION("""COMPUTED_VALUE"""),"MAT-111")</f>
        <v>MAT-111</v>
      </c>
      <c r="G1038" s="213"/>
      <c r="H1038" s="213" t="str">
        <f>IFERROR(__xludf.DUMMYFUNCTION("""COMPUTED_VALUE"""),"BALDE DE PLÁSTICO 5 LITROS")</f>
        <v>BALDE DE PLÁSTICO 5 LITROS</v>
      </c>
      <c r="I1038" s="213" t="str">
        <f>IFERROR(__xludf.DUMMYFUNCTION("""COMPUTED_VALUE"""),".  Balde plástico con asa de plástico
.  No es toxico y durable
.  Material Virgen
.  Aprobado para tener contacto con alimentos
.  Tapa y asa  PEAD
.  Medidas mínimas:  L 21.2cm F 22.2cm H 18.9 cm                                                          "&amp;"                            .  Capacidad 5 Litros")</f>
        <v>.  Balde plástico con asa de plástico
.  No es toxico y durable
.  Material Virgen
.  Aprobado para tener contacto con alimentos
.  Tapa y asa  PEAD
.  Medidas mínimas:  L 21.2cm F 22.2cm H 18.9 cm                                                                                      .  Capacidad 5 Litros</v>
      </c>
      <c r="J1038" s="213">
        <f>IFERROR(__xludf.DUMMYFUNCTION("""COMPUTED_VALUE"""),3.0)</f>
        <v>3</v>
      </c>
      <c r="K1038" s="213" t="str">
        <f>IFERROR(__xludf.DUMMYFUNCTION("""COMPUTED_VALUE"""),"90 DÍAS CALENDARIO")</f>
        <v>90 DÍAS CALENDARIO</v>
      </c>
      <c r="L1038" s="213" t="str">
        <f>IFERROR(__xludf.DUMMYFUNCTION("""COMPUTED_VALUE"""),"")</f>
        <v/>
      </c>
      <c r="M1038" s="213">
        <f>IFERROR(__xludf.DUMMYFUNCTION("""COMPUTED_VALUE"""),1.0)</f>
        <v>1</v>
      </c>
      <c r="N1038" s="213">
        <f>IFERROR(__xludf.DUMMYFUNCTION("""COMPUTED_VALUE"""),3.0)</f>
        <v>3</v>
      </c>
      <c r="O1038" s="213">
        <f>IFERROR(__xludf.DUMMYFUNCTION("""COMPUTED_VALUE"""),3.0)</f>
        <v>3</v>
      </c>
      <c r="P1038" s="213"/>
      <c r="Q1038" s="213"/>
      <c r="R1038" s="213" t="str">
        <f>IFERROR(__xludf.DUMMYFUNCTION("""COMPUTED_VALUE"""),"SI")</f>
        <v>SI</v>
      </c>
      <c r="S1038" s="213"/>
      <c r="T1038" s="213" t="str">
        <f>IFERROR(__xludf.DUMMYFUNCTION("""COMPUTED_VALUE"""),"CONSULTA FINAL")</f>
        <v>CONSULTA FINAL</v>
      </c>
      <c r="U1038" s="213" t="str">
        <f>IFERROR(__xludf.DUMMYFUNCTION("""COMPUTED_VALUE"""),"NO")</f>
        <v>NO</v>
      </c>
      <c r="V1038" s="213" t="str">
        <f>IFERROR(__xludf.DUMMYFUNCTION("""COMPUTED_VALUE"""),"SUSTENTO")</f>
        <v>SUSTENTO</v>
      </c>
      <c r="W1038" s="213" t="str">
        <f>IFERROR(__xludf.DUMMYFUNCTION("""COMPUTED_VALUE"""),"DIMENSIONAL")</f>
        <v>DIMENSIONAL</v>
      </c>
      <c r="X1038" s="213" t="str">
        <f>IFERROR(__xludf.DUMMYFUNCTION("""COMPUTED_VALUE"""),"GENÉRICO / AR IMPORT")</f>
        <v>GENÉRICO / AR IMPORT</v>
      </c>
      <c r="Y1038" s="213" t="str">
        <f>IFERROR(__xludf.DUMMYFUNCTION("""COMPUTED_VALUE"""),"BALDE DE 5 LITROS CON TAPA Y MANILLA RESISTENTE")</f>
        <v>BALDE DE 5 LITROS CON TAPA Y MANILLA RESISTENTE</v>
      </c>
      <c r="Z1038" s="215" t="str">
        <f>IFERROR(__xludf.DUMMYFUNCTION("""COMPUTED_VALUE"""),"https://drive.google.com/file/d/1hM-YliOlq7tqvNJZwyvzoSsnTD4VPg6s/view")</f>
        <v>https://drive.google.com/file/d/1hM-YliOlq7tqvNJZwyvzoSsnTD4VPg6s/view</v>
      </c>
      <c r="AA1038" s="213" t="str">
        <f>IFERROR(__xludf.DUMMYFUNCTION("""COMPUTED_VALUE"""),"MAT-111 BALDE DE PLÁSTICO 5 LITROS - CET")</f>
        <v>MAT-111 BALDE DE PLÁSTICO 5 LITROS - CET</v>
      </c>
      <c r="AB1038" s="213"/>
      <c r="AC1038" s="213"/>
      <c r="AD1038" s="213"/>
      <c r="AE1038" s="213"/>
      <c r="AF1038" s="213"/>
      <c r="AG1038" s="213"/>
      <c r="AH1038" s="213"/>
      <c r="AI1038" s="213"/>
      <c r="AJ1038" s="213"/>
      <c r="AK1038" s="213"/>
      <c r="AL1038" s="213"/>
      <c r="AM1038" s="213"/>
      <c r="AN1038" s="213"/>
      <c r="AO1038" s="213"/>
      <c r="AP1038" s="213" t="str">
        <f>IFERROR(__xludf.DUMMYFUNCTION("""COMPUTED_VALUE"""),"LUIS")</f>
        <v>LUIS</v>
      </c>
      <c r="AQ1038" s="213"/>
      <c r="AR1038" s="213"/>
      <c r="AS1038" s="213"/>
      <c r="AT1038" s="213"/>
      <c r="AU1038" s="213"/>
      <c r="AV1038" s="213"/>
      <c r="AW1038" s="213"/>
      <c r="AX1038" s="213"/>
      <c r="AY1038" s="213"/>
      <c r="AZ1038" s="213"/>
      <c r="BA1038" s="213"/>
      <c r="BB1038" s="213"/>
      <c r="BC1038" s="213"/>
      <c r="BD1038" s="213"/>
    </row>
    <row r="1039">
      <c r="A1039" s="213">
        <f>IFERROR(__xludf.DUMMYFUNCTION("""COMPUTED_VALUE"""),1406.0)</f>
        <v>1406</v>
      </c>
      <c r="B1039" s="213" t="str">
        <f>IFERROR(__xludf.DUMMYFUNCTION("""COMPUTED_VALUE"""),"GUILLERMO E. BILLINGHURST ")</f>
        <v>GUILLERMO E. BILLINGHURST </v>
      </c>
      <c r="C1039" s="213" t="str">
        <f>IFERROR(__xludf.DUMMYFUNCTION("""COMPUTED_VALUE"""),"TALLER SFT DE INDUSTRIA ALIMENTARIA")</f>
        <v>TALLER SFT DE INDUSTRIA ALIMENTARIA</v>
      </c>
      <c r="D1039" s="213" t="str">
        <f>IFERROR(__xludf.DUMMYFUNCTION("""COMPUTED_VALUE"""),"HERRAMIENTAS")</f>
        <v>HERRAMIENTAS</v>
      </c>
      <c r="E1039" s="213" t="str">
        <f>IFERROR(__xludf.DUMMYFUNCTION("""COMPUTED_VALUE"""),"MAT-111")</f>
        <v>MAT-111</v>
      </c>
      <c r="F1039" s="213" t="str">
        <f>IFERROR(__xludf.DUMMYFUNCTION("""COMPUTED_VALUE"""),"MAT-111")</f>
        <v>MAT-111</v>
      </c>
      <c r="G1039" s="213"/>
      <c r="H1039" s="213" t="str">
        <f>IFERROR(__xludf.DUMMYFUNCTION("""COMPUTED_VALUE"""),"BALDE DE PLÁSTICO 5 LITROS")</f>
        <v>BALDE DE PLÁSTICO 5 LITROS</v>
      </c>
      <c r="I1039" s="213" t="str">
        <f>IFERROR(__xludf.DUMMYFUNCTION("""COMPUTED_VALUE"""),".  Balde plástico con asa de plástico
.  No es toxico y durable
.  Material Virgen
.  Aprobado para tener contacto con alimentos
.  Tapa y asa  PEAD
.  Medidas mínimas:  L 21.2cm F 22.2cm H 18.9 cm                                                          "&amp;"                            .  Capacidad 5 Litros")</f>
        <v>.  Balde plástico con asa de plástico
.  No es toxico y durable
.  Material Virgen
.  Aprobado para tener contacto con alimentos
.  Tapa y asa  PEAD
.  Medidas mínimas:  L 21.2cm F 22.2cm H 18.9 cm                                                                                      .  Capacidad 5 Litros</v>
      </c>
      <c r="J1039" s="213">
        <f>IFERROR(__xludf.DUMMYFUNCTION("""COMPUTED_VALUE"""),3.0)</f>
        <v>3</v>
      </c>
      <c r="K1039" s="213" t="str">
        <f>IFERROR(__xludf.DUMMYFUNCTION("""COMPUTED_VALUE"""),"90 DÍAS CALENDARIO")</f>
        <v>90 DÍAS CALENDARIO</v>
      </c>
      <c r="L1039" s="213" t="str">
        <f>IFERROR(__xludf.DUMMYFUNCTION("""COMPUTED_VALUE"""),"")</f>
        <v/>
      </c>
      <c r="M1039" s="213">
        <f>IFERROR(__xludf.DUMMYFUNCTION("""COMPUTED_VALUE"""),1.0)</f>
        <v>1</v>
      </c>
      <c r="N1039" s="213">
        <f>IFERROR(__xludf.DUMMYFUNCTION("""COMPUTED_VALUE"""),3.0)</f>
        <v>3</v>
      </c>
      <c r="O1039" s="213">
        <f>IFERROR(__xludf.DUMMYFUNCTION("""COMPUTED_VALUE"""),3.0)</f>
        <v>3</v>
      </c>
      <c r="P1039" s="213"/>
      <c r="Q1039" s="213"/>
      <c r="R1039" s="213" t="str">
        <f>IFERROR(__xludf.DUMMYFUNCTION("""COMPUTED_VALUE"""),"SI")</f>
        <v>SI</v>
      </c>
      <c r="S1039" s="213"/>
      <c r="T1039" s="213" t="str">
        <f>IFERROR(__xludf.DUMMYFUNCTION("""COMPUTED_VALUE"""),"CONSULTA FINAL")</f>
        <v>CONSULTA FINAL</v>
      </c>
      <c r="U1039" s="213" t="str">
        <f>IFERROR(__xludf.DUMMYFUNCTION("""COMPUTED_VALUE"""),"NO")</f>
        <v>NO</v>
      </c>
      <c r="V1039" s="213" t="str">
        <f>IFERROR(__xludf.DUMMYFUNCTION("""COMPUTED_VALUE"""),"SUSTENTO")</f>
        <v>SUSTENTO</v>
      </c>
      <c r="W1039" s="213" t="str">
        <f>IFERROR(__xludf.DUMMYFUNCTION("""COMPUTED_VALUE"""),"DIMENSIONAL")</f>
        <v>DIMENSIONAL</v>
      </c>
      <c r="X1039" s="213" t="str">
        <f>IFERROR(__xludf.DUMMYFUNCTION("""COMPUTED_VALUE"""),"GENÉRICO / AR IMPORT")</f>
        <v>GENÉRICO / AR IMPORT</v>
      </c>
      <c r="Y1039" s="213" t="str">
        <f>IFERROR(__xludf.DUMMYFUNCTION("""COMPUTED_VALUE"""),"BALDE DE 5 LITROS CON TAPA Y MANILLA RESISTENTE")</f>
        <v>BALDE DE 5 LITROS CON TAPA Y MANILLA RESISTENTE</v>
      </c>
      <c r="Z1039" s="215" t="str">
        <f>IFERROR(__xludf.DUMMYFUNCTION("""COMPUTED_VALUE"""),"https://drive.google.com/file/d/1hM-YliOlq7tqvNJZwyvzoSsnTD4VPg6s/view")</f>
        <v>https://drive.google.com/file/d/1hM-YliOlq7tqvNJZwyvzoSsnTD4VPg6s/view</v>
      </c>
      <c r="AA1039" s="213" t="str">
        <f>IFERROR(__xludf.DUMMYFUNCTION("""COMPUTED_VALUE"""),"MAT-111 BALDE DE PLÁSTICO 5 LITROS - CET")</f>
        <v>MAT-111 BALDE DE PLÁSTICO 5 LITROS - CET</v>
      </c>
      <c r="AB1039" s="213"/>
      <c r="AC1039" s="213"/>
      <c r="AD1039" s="213"/>
      <c r="AE1039" s="213"/>
      <c r="AF1039" s="213"/>
      <c r="AG1039" s="213"/>
      <c r="AH1039" s="213"/>
      <c r="AI1039" s="213"/>
      <c r="AJ1039" s="213"/>
      <c r="AK1039" s="213"/>
      <c r="AL1039" s="213"/>
      <c r="AM1039" s="213"/>
      <c r="AN1039" s="213"/>
      <c r="AO1039" s="213"/>
      <c r="AP1039" s="213" t="str">
        <f>IFERROR(__xludf.DUMMYFUNCTION("""COMPUTED_VALUE"""),"LUIS")</f>
        <v>LUIS</v>
      </c>
      <c r="AQ1039" s="213"/>
      <c r="AR1039" s="213"/>
      <c r="AS1039" s="213"/>
      <c r="AT1039" s="213"/>
      <c r="AU1039" s="213"/>
      <c r="AV1039" s="213"/>
      <c r="AW1039" s="213"/>
      <c r="AX1039" s="213"/>
      <c r="AY1039" s="213"/>
      <c r="AZ1039" s="213"/>
      <c r="BA1039" s="213"/>
      <c r="BB1039" s="213"/>
      <c r="BC1039" s="213"/>
      <c r="BD1039" s="213"/>
    </row>
    <row r="1040">
      <c r="A1040" s="213">
        <f>IFERROR(__xludf.DUMMYFUNCTION("""COMPUTED_VALUE"""),2093.0)</f>
        <v>2093</v>
      </c>
      <c r="B1040" s="213" t="str">
        <f>IFERROR(__xludf.DUMMYFUNCTION("""COMPUTED_VALUE"""),"JOSE GRANDA")</f>
        <v>JOSE GRANDA</v>
      </c>
      <c r="C1040" s="213" t="str">
        <f>IFERROR(__xludf.DUMMYFUNCTION("""COMPUTED_VALUE"""),"TALLER SFT DE INDUSTRIA ALIMENTARIA")</f>
        <v>TALLER SFT DE INDUSTRIA ALIMENTARIA</v>
      </c>
      <c r="D1040" s="213" t="str">
        <f>IFERROR(__xludf.DUMMYFUNCTION("""COMPUTED_VALUE"""),"HERRAMIENTAS")</f>
        <v>HERRAMIENTAS</v>
      </c>
      <c r="E1040" s="213" t="str">
        <f>IFERROR(__xludf.DUMMYFUNCTION("""COMPUTED_VALUE"""),"MAT-111")</f>
        <v>MAT-111</v>
      </c>
      <c r="F1040" s="213" t="str">
        <f>IFERROR(__xludf.DUMMYFUNCTION("""COMPUTED_VALUE"""),"MAT-111")</f>
        <v>MAT-111</v>
      </c>
      <c r="G1040" s="213"/>
      <c r="H1040" s="213" t="str">
        <f>IFERROR(__xludf.DUMMYFUNCTION("""COMPUTED_VALUE"""),"BALDE DE PLÁSTICO 5 LITROS")</f>
        <v>BALDE DE PLÁSTICO 5 LITROS</v>
      </c>
      <c r="I1040" s="213" t="str">
        <f>IFERROR(__xludf.DUMMYFUNCTION("""COMPUTED_VALUE"""),".  Balde plástico con asa de plástico
.  No es toxico y durable
.  Material Virgen
.  Aprobado para tener contacto con alimentos
.  Tapa y asa  PEAD
.  Medidas mínimas:  L 21.2cm F 22.2cm H 18.9 cm                                                          "&amp;"                            .  Capacidad 5 Litros")</f>
        <v>.  Balde plástico con asa de plástico
.  No es toxico y durable
.  Material Virgen
.  Aprobado para tener contacto con alimentos
.  Tapa y asa  PEAD
.  Medidas mínimas:  L 21.2cm F 22.2cm H 18.9 cm                                                                                      .  Capacidad 5 Litros</v>
      </c>
      <c r="J1040" s="213">
        <f>IFERROR(__xludf.DUMMYFUNCTION("""COMPUTED_VALUE"""),3.0)</f>
        <v>3</v>
      </c>
      <c r="K1040" s="213" t="str">
        <f>IFERROR(__xludf.DUMMYFUNCTION("""COMPUTED_VALUE"""),"90 DÍAS CALENDARIO")</f>
        <v>90 DÍAS CALENDARIO</v>
      </c>
      <c r="L1040" s="213" t="str">
        <f>IFERROR(__xludf.DUMMYFUNCTION("""COMPUTED_VALUE"""),"")</f>
        <v/>
      </c>
      <c r="M1040" s="213">
        <f>IFERROR(__xludf.DUMMYFUNCTION("""COMPUTED_VALUE"""),1.0)</f>
        <v>1</v>
      </c>
      <c r="N1040" s="213">
        <f>IFERROR(__xludf.DUMMYFUNCTION("""COMPUTED_VALUE"""),3.0)</f>
        <v>3</v>
      </c>
      <c r="O1040" s="213">
        <f>IFERROR(__xludf.DUMMYFUNCTION("""COMPUTED_VALUE"""),3.0)</f>
        <v>3</v>
      </c>
      <c r="P1040" s="213"/>
      <c r="Q1040" s="213"/>
      <c r="R1040" s="213" t="str">
        <f>IFERROR(__xludf.DUMMYFUNCTION("""COMPUTED_VALUE"""),"SI")</f>
        <v>SI</v>
      </c>
      <c r="S1040" s="213"/>
      <c r="T1040" s="213" t="str">
        <f>IFERROR(__xludf.DUMMYFUNCTION("""COMPUTED_VALUE"""),"CONSULTA FINAL")</f>
        <v>CONSULTA FINAL</v>
      </c>
      <c r="U1040" s="213" t="str">
        <f>IFERROR(__xludf.DUMMYFUNCTION("""COMPUTED_VALUE"""),"NO")</f>
        <v>NO</v>
      </c>
      <c r="V1040" s="213" t="str">
        <f>IFERROR(__xludf.DUMMYFUNCTION("""COMPUTED_VALUE"""),"SUSTENTO")</f>
        <v>SUSTENTO</v>
      </c>
      <c r="W1040" s="213" t="str">
        <f>IFERROR(__xludf.DUMMYFUNCTION("""COMPUTED_VALUE"""),"DIMENSIONAL")</f>
        <v>DIMENSIONAL</v>
      </c>
      <c r="X1040" s="213" t="str">
        <f>IFERROR(__xludf.DUMMYFUNCTION("""COMPUTED_VALUE"""),"GENÉRICO / AR IMPORT")</f>
        <v>GENÉRICO / AR IMPORT</v>
      </c>
      <c r="Y1040" s="213" t="str">
        <f>IFERROR(__xludf.DUMMYFUNCTION("""COMPUTED_VALUE"""),"BALDE DE 5 LITROS CON TAPA Y MANILLA RESISTENTE")</f>
        <v>BALDE DE 5 LITROS CON TAPA Y MANILLA RESISTENTE</v>
      </c>
      <c r="Z1040" s="215" t="str">
        <f>IFERROR(__xludf.DUMMYFUNCTION("""COMPUTED_VALUE"""),"https://drive.google.com/file/d/1hM-YliOlq7tqvNJZwyvzoSsnTD4VPg6s/view")</f>
        <v>https://drive.google.com/file/d/1hM-YliOlq7tqvNJZwyvzoSsnTD4VPg6s/view</v>
      </c>
      <c r="AA1040" s="213" t="str">
        <f>IFERROR(__xludf.DUMMYFUNCTION("""COMPUTED_VALUE"""),"MAT-111 BALDE DE PLÁSTICO 5 LITROS - CET")</f>
        <v>MAT-111 BALDE DE PLÁSTICO 5 LITROS - CET</v>
      </c>
      <c r="AB1040" s="213"/>
      <c r="AC1040" s="213"/>
      <c r="AD1040" s="213"/>
      <c r="AE1040" s="213"/>
      <c r="AF1040" s="213"/>
      <c r="AG1040" s="213"/>
      <c r="AH1040" s="213"/>
      <c r="AI1040" s="213"/>
      <c r="AJ1040" s="213"/>
      <c r="AK1040" s="213"/>
      <c r="AL1040" s="213"/>
      <c r="AM1040" s="213"/>
      <c r="AN1040" s="213"/>
      <c r="AO1040" s="213"/>
      <c r="AP1040" s="213" t="str">
        <f>IFERROR(__xludf.DUMMYFUNCTION("""COMPUTED_VALUE"""),"LUIS")</f>
        <v>LUIS</v>
      </c>
      <c r="AQ1040" s="213"/>
      <c r="AR1040" s="213"/>
      <c r="AS1040" s="213"/>
      <c r="AT1040" s="213"/>
      <c r="AU1040" s="213"/>
      <c r="AV1040" s="213"/>
      <c r="AW1040" s="213"/>
      <c r="AX1040" s="213"/>
      <c r="AY1040" s="213"/>
      <c r="AZ1040" s="213"/>
      <c r="BA1040" s="213"/>
      <c r="BB1040" s="213"/>
      <c r="BC1040" s="213"/>
      <c r="BD1040" s="213"/>
    </row>
    <row r="1041">
      <c r="A1041" s="213">
        <f>IFERROR(__xludf.DUMMYFUNCTION("""COMPUTED_VALUE"""),2499.0)</f>
        <v>2499</v>
      </c>
      <c r="B1041" s="213" t="str">
        <f>IFERROR(__xludf.DUMMYFUNCTION("""COMPUTED_VALUE"""),"MANUEL ANTONIO MESONES MURO")</f>
        <v>MANUEL ANTONIO MESONES MURO</v>
      </c>
      <c r="C1041" s="213" t="str">
        <f>IFERROR(__xludf.DUMMYFUNCTION("""COMPUTED_VALUE"""),"TALLER SFT DE CONSTRUCCIONES METÁLICAS")</f>
        <v>TALLER SFT DE CONSTRUCCIONES METÁLICAS</v>
      </c>
      <c r="D1041" s="213" t="str">
        <f>IFERROR(__xludf.DUMMYFUNCTION("""COMPUTED_VALUE"""),"HERRAMIENTAS")</f>
        <v>HERRAMIENTAS</v>
      </c>
      <c r="E1041" s="213" t="str">
        <f>IFERROR(__xludf.DUMMYFUNCTION("""COMPUTED_VALUE"""),"COM-197")</f>
        <v>COM-197</v>
      </c>
      <c r="F1041" s="213" t="str">
        <f>IFERROR(__xludf.DUMMYFUNCTION("""COMPUTED_VALUE"""),"COM-197")</f>
        <v>COM-197</v>
      </c>
      <c r="G1041" s="213"/>
      <c r="H1041" s="213" t="str">
        <f>IFERROR(__xludf.DUMMYFUNCTION("""COMPUTED_VALUE"""),"KIT DE MACHOS Y TERRAJAS")</f>
        <v>KIT DE MACHOS Y TERRAJAS</v>
      </c>
      <c r="I1041" s="213" t="str">
        <f>IFERROR(__xludf.DUMMYFUNCTION("""COMPUTED_VALUE"""),"Material acero de herramienta Milimétricos: 01 juego
-       Porta terraja y gira machos
-       Machos milimétricos de 2 a 24 mm Pulgadas: 01 juego
-       Porta terraja y gira machos NC; 3/16”; ¼”, 3/8”; 5/16” NF; 1/8” a ¼”")</f>
        <v>Material acero de herramienta Milimétricos: 01 juego
-       Porta terraja y gira machos
-       Machos milimétricos de 2 a 24 mm Pulgadas: 01 juego
-       Porta terraja y gira machos NC; 3/16”; ¼”, 3/8”; 5/16” NF; 1/8” a ¼”</v>
      </c>
      <c r="J1041" s="213">
        <f>IFERROR(__xludf.DUMMYFUNCTION("""COMPUTED_VALUE"""),3.0)</f>
        <v>3</v>
      </c>
      <c r="K1041" s="213" t="str">
        <f>IFERROR(__xludf.DUMMYFUNCTION("""COMPUTED_VALUE"""),"90 DÍAS CALENDARIO")</f>
        <v>90 DÍAS CALENDARIO</v>
      </c>
      <c r="L1041" s="213" t="str">
        <f>IFERROR(__xludf.DUMMYFUNCTION("""COMPUTED_VALUE"""),"")</f>
        <v/>
      </c>
      <c r="M1041" s="213">
        <f>IFERROR(__xludf.DUMMYFUNCTION("""COMPUTED_VALUE"""),1.0)</f>
        <v>1</v>
      </c>
      <c r="N1041" s="213">
        <f>IFERROR(__xludf.DUMMYFUNCTION("""COMPUTED_VALUE"""),2.0)</f>
        <v>2</v>
      </c>
      <c r="O1041" s="213">
        <f>IFERROR(__xludf.DUMMYFUNCTION("""COMPUTED_VALUE"""),2.0)</f>
        <v>2</v>
      </c>
      <c r="P1041" s="213"/>
      <c r="Q1041" s="213"/>
      <c r="R1041" s="213" t="str">
        <f>IFERROR(__xludf.DUMMYFUNCTION("""COMPUTED_VALUE"""),"SI")</f>
        <v>SI</v>
      </c>
      <c r="S1041" s="213"/>
      <c r="T1041" s="213" t="str">
        <f>IFERROR(__xludf.DUMMYFUNCTION("""COMPUTED_VALUE"""),"SI")</f>
        <v>SI</v>
      </c>
      <c r="U1041" s="213" t="str">
        <f>IFERROR(__xludf.DUMMYFUNCTION("""COMPUTED_VALUE"""),"SI")</f>
        <v>SI</v>
      </c>
      <c r="V1041" s="213" t="str">
        <f>IFERROR(__xludf.DUMMYFUNCTION("""COMPUTED_VALUE"""),"-")</f>
        <v>-</v>
      </c>
      <c r="W1041" s="213" t="str">
        <f>IFERROR(__xludf.DUMMYFUNCTION("""COMPUTED_VALUE"""),"-")</f>
        <v>-</v>
      </c>
      <c r="X1041" s="213" t="str">
        <f>IFERROR(__xludf.DUMMYFUNCTION("""COMPUTED_VALUE"""),"GENERICO")</f>
        <v>GENERICO</v>
      </c>
      <c r="Y1041" s="213" t="str">
        <f>IFERROR(__xludf.DUMMYFUNCTION("""COMPUTED_VALUE"""),"GENERICO")</f>
        <v>GENERICO</v>
      </c>
      <c r="Z1041" s="215" t="str">
        <f>IFERROR(__xludf.DUMMYFUNCTION("""COMPUTED_VALUE"""),"https://www.jomafa.com/reparacion-rosca-helicoli/4974-juego-de-machos-y-terrajas-especial-metricas-y-pulgadas-115-piezas.html")</f>
        <v>https://www.jomafa.com/reparacion-rosca-helicoli/4974-juego-de-machos-y-terrajas-especial-metricas-y-pulgadas-115-piezas.html</v>
      </c>
      <c r="AA1041" s="213" t="str">
        <f>IFERROR(__xludf.DUMMYFUNCTION("""COMPUTED_VALUE"""),"COM-197 KIT DE MACHOS Y TERRAJAS - CET")</f>
        <v>COM-197 KIT DE MACHOS Y TERRAJAS - CET</v>
      </c>
      <c r="AB1041" s="213"/>
      <c r="AC1041" s="213"/>
      <c r="AD1041" s="213"/>
      <c r="AE1041" s="213"/>
      <c r="AF1041" s="213"/>
      <c r="AG1041" s="213"/>
      <c r="AH1041" s="213"/>
      <c r="AI1041" s="213"/>
      <c r="AJ1041" s="213"/>
      <c r="AK1041" s="213"/>
      <c r="AL1041" s="213"/>
      <c r="AM1041" s="213"/>
      <c r="AN1041" s="213"/>
      <c r="AO1041" s="213"/>
      <c r="AP1041" s="213" t="str">
        <f>IFERROR(__xludf.DUMMYFUNCTION("""COMPUTED_VALUE"""),"LUIS")</f>
        <v>LUIS</v>
      </c>
      <c r="AQ1041" s="213"/>
      <c r="AR1041" s="213"/>
      <c r="AS1041" s="213"/>
      <c r="AT1041" s="213"/>
      <c r="AU1041" s="213"/>
      <c r="AV1041" s="213"/>
      <c r="AW1041" s="213"/>
      <c r="AX1041" s="213"/>
      <c r="AY1041" s="213"/>
      <c r="AZ1041" s="213"/>
      <c r="BA1041" s="213"/>
      <c r="BB1041" s="213"/>
      <c r="BC1041" s="213"/>
      <c r="BD1041" s="213"/>
    </row>
    <row r="1042">
      <c r="A1042" s="213">
        <f>IFERROR(__xludf.DUMMYFUNCTION("""COMPUTED_VALUE"""),2536.0)</f>
        <v>2536</v>
      </c>
      <c r="B1042" s="213" t="str">
        <f>IFERROR(__xludf.DUMMYFUNCTION("""COMPUTED_VALUE"""),"MANUEL ANTONIO MESONES MURO")</f>
        <v>MANUEL ANTONIO MESONES MURO</v>
      </c>
      <c r="C1042" s="213" t="str">
        <f>IFERROR(__xludf.DUMMYFUNCTION("""COMPUTED_VALUE"""),"TALLER SFT DE CONSTRUCCIONES METÁLICAS")</f>
        <v>TALLER SFT DE CONSTRUCCIONES METÁLICAS</v>
      </c>
      <c r="D1042" s="213" t="str">
        <f>IFERROR(__xludf.DUMMYFUNCTION("""COMPUTED_VALUE"""),"EQUIPOS")</f>
        <v>EQUIPOS</v>
      </c>
      <c r="E1042" s="213" t="str">
        <f>IFERROR(__xludf.DUMMYFUNCTION("""COMPUTED_VALUE"""),"ESP-210")</f>
        <v>ESP-210</v>
      </c>
      <c r="F1042" s="213" t="str">
        <f>IFERROR(__xludf.DUMMYFUNCTION("""COMPUTED_VALUE"""),"ESP-210")</f>
        <v>ESP-210</v>
      </c>
      <c r="G1042" s="213"/>
      <c r="H1042" s="213" t="str">
        <f>IFERROR(__xludf.DUMMYFUNCTION("""COMPUTED_VALUE"""),"Kit de Taladro/Destornillad or Inalámbrico")</f>
        <v>Kit de Taladro/Destornillad or Inalámbrico</v>
      </c>
      <c r="I1042" s="213"/>
      <c r="J1042" s="213">
        <f>IFERROR(__xludf.DUMMYFUNCTION("""COMPUTED_VALUE"""),3.0)</f>
        <v>3</v>
      </c>
      <c r="K1042" s="213" t="str">
        <f>IFERROR(__xludf.DUMMYFUNCTION("""COMPUTED_VALUE"""),"170 DÍAS CALENDARIO")</f>
        <v>170 DÍAS CALENDARIO</v>
      </c>
      <c r="L1042" s="213" t="str">
        <f>IFERROR(__xludf.DUMMYFUNCTION("""COMPUTED_VALUE"""),"")</f>
        <v/>
      </c>
      <c r="M1042" s="213">
        <f>IFERROR(__xludf.DUMMYFUNCTION("""COMPUTED_VALUE"""),1.0)</f>
        <v>1</v>
      </c>
      <c r="N1042" s="213">
        <f>IFERROR(__xludf.DUMMYFUNCTION("""COMPUTED_VALUE"""),2.0)</f>
        <v>2</v>
      </c>
      <c r="O1042" s="213">
        <f>IFERROR(__xludf.DUMMYFUNCTION("""COMPUTED_VALUE"""),2.0)</f>
        <v>2</v>
      </c>
      <c r="P1042" s="213"/>
      <c r="Q1042" s="213"/>
      <c r="R1042" s="213"/>
      <c r="S1042" s="213" t="str">
        <f>IFERROR(__xludf.DUMMYFUNCTION("""COMPUTED_VALUE"""),"SI")</f>
        <v>SI</v>
      </c>
      <c r="T1042" s="213" t="str">
        <f>IFERROR(__xludf.DUMMYFUNCTION("""COMPUTED_VALUE"""),"SI")</f>
        <v>SI</v>
      </c>
      <c r="U1042" s="213" t="str">
        <f>IFERROR(__xludf.DUMMYFUNCTION("""COMPUTED_VALUE"""),"NO")</f>
        <v>NO</v>
      </c>
      <c r="V1042" s="213" t="str">
        <f>IFERROR(__xludf.DUMMYFUNCTION("""COMPUTED_VALUE"""),"SUSTENTO")</f>
        <v>SUSTENTO</v>
      </c>
      <c r="W1042" s="213" t="str">
        <f>IFERROR(__xludf.DUMMYFUNCTION("""COMPUTED_VALUE"""),"EQU TEC, ERROR EETT")</f>
        <v>EQU TEC, ERROR EETT</v>
      </c>
      <c r="X1042" s="213" t="str">
        <f>IFERROR(__xludf.DUMMYFUNCTION("""COMPUTED_VALUE"""),"BOSCH")</f>
        <v>BOSCH</v>
      </c>
      <c r="Y1042" s="213" t="str">
        <f>IFERROR(__xludf.DUMMYFUNCTION("""COMPUTED_VALUE"""),"GSB 185-LI")</f>
        <v>GSB 185-LI</v>
      </c>
      <c r="Z1042" s="215" t="str">
        <f>IFERROR(__xludf.DUMMYFUNCTION("""COMPUTED_VALUE"""),"https://drive.google.com/file/d/14inIOihNd-TLYUTNnkD4Y1Yp4DnmYrHB/view?usp=drive_link")</f>
        <v>https://drive.google.com/file/d/14inIOihNd-TLYUTNnkD4Y1Yp4DnmYrHB/view?usp=drive_link</v>
      </c>
      <c r="AA1042" s="213" t="str">
        <f>IFERROR(__xludf.DUMMYFUNCTION("""COMPUTED_VALUE"""),"ESP-210 Kit de Taladro/Destornillad or Inalámbrico - CET")</f>
        <v>ESP-210 Kit de Taladro/Destornillad or Inalámbrico - CET</v>
      </c>
      <c r="AB1042" s="213"/>
      <c r="AC1042" s="213"/>
      <c r="AD1042" s="213"/>
      <c r="AE1042" s="213"/>
      <c r="AF1042" s="213"/>
      <c r="AG1042" s="213"/>
      <c r="AH1042" s="213"/>
      <c r="AI1042" s="213"/>
      <c r="AJ1042" s="213"/>
      <c r="AK1042" s="213"/>
      <c r="AL1042" s="213"/>
      <c r="AM1042" s="213"/>
      <c r="AN1042" s="213"/>
      <c r="AO1042" s="213"/>
      <c r="AP1042" s="213" t="str">
        <f>IFERROR(__xludf.DUMMYFUNCTION("""COMPUTED_VALUE"""),"NALDI")</f>
        <v>NALDI</v>
      </c>
      <c r="AQ1042" s="213" t="str">
        <f>IFERROR(__xludf.DUMMYFUNCTION("""COMPUTED_VALUE"""),"Considerar el modelo incluye (2) Baterías ")</f>
        <v>Considerar el modelo incluye (2) Baterías </v>
      </c>
      <c r="AR1042" s="213"/>
      <c r="AS1042" s="213"/>
      <c r="AT1042" s="213"/>
      <c r="AU1042" s="213"/>
      <c r="AV1042" s="213"/>
      <c r="AW1042" s="213"/>
      <c r="AX1042" s="213"/>
      <c r="AY1042" s="213"/>
      <c r="AZ1042" s="213"/>
      <c r="BA1042" s="213"/>
      <c r="BB1042" s="213"/>
      <c r="BC1042" s="213"/>
      <c r="BD1042" s="213"/>
    </row>
    <row r="1043">
      <c r="A1043" s="213">
        <f>IFERROR(__xludf.DUMMYFUNCTION("""COMPUTED_VALUE"""),2455.0)</f>
        <v>2455</v>
      </c>
      <c r="B1043" s="213" t="str">
        <f>IFERROR(__xludf.DUMMYFUNCTION("""COMPUTED_VALUE"""),"MANUEL ANTONIO MESONES MURO")</f>
        <v>MANUEL ANTONIO MESONES MURO</v>
      </c>
      <c r="C1043" s="213" t="str">
        <f>IFERROR(__xludf.DUMMYFUNCTION("""COMPUTED_VALUE"""),"TALLER SFT DE CONSTRUCCIONES METÁLICAS")</f>
        <v>TALLER SFT DE CONSTRUCCIONES METÁLICAS</v>
      </c>
      <c r="D1043" s="213" t="str">
        <f>IFERROR(__xludf.DUMMYFUNCTION("""COMPUTED_VALUE"""),"PEDAGOGICO")</f>
        <v>PEDAGOGICO</v>
      </c>
      <c r="E1043" s="213" t="str">
        <f>IFERROR(__xludf.DUMMYFUNCTION("""COMPUTED_VALUE"""),"COM-204")</f>
        <v>COM-204</v>
      </c>
      <c r="F1043" s="213" t="str">
        <f>IFERROR(__xludf.DUMMYFUNCTION("""COMPUTED_VALUE"""),"COM-204")</f>
        <v>COM-204</v>
      </c>
      <c r="G1043" s="213"/>
      <c r="H1043" s="213" t="str">
        <f>IFERROR(__xludf.DUMMYFUNCTION("""COMPUTED_VALUE"""),"LIENZO MAGNÉTICO PARA APLICAR METODOLOGÍAS DE DISEÑO")</f>
        <v>LIENZO MAGNÉTICO PARA APLICAR METODOLOGÍAS DE DISEÑO</v>
      </c>
      <c r="I1043" s="213" t="str">
        <f>IFERROR(__xludf.DUMMYFUNCTION("""COMPUTED_VALUE"""),"Calidad Física
· 01 lienzo (tablero o panel) plegable receptivo al magnetismo por ambos lados, de 120 x 80 cm como mínimo. Es impreso a colores, con protección ultravioleta, por uno de sus lados permite el trabajo magnético y por el otro lado se puede esc"&amp;"ribir y borrar con plumones.
· 5 juegos de tarjetas magnéticas de 100 mm x 100 x 5 mm, cada juego tienen un color diferente y corresponde a una técnica de diseño. Se puede escribir y borrar sobre ellas y está compuesto como mínimo de 10 tarjetas magnética"&amp;"s.
· 5 juegos de tarjetas magnéticas de 200 mm x 15 mm x 5mm, cada juego tiene un color diferente y corresponde a una técnica de diseño. Se puede escribir y borrar sobre ellas y está compuesto como mínimo de 10 tarjetas magnéticas.
· 10 Fichas tamaño A4 ("&amp;"210 mm x 297 mm) impresas a todo color en papel couche de 350 gr/m2, enmicados por ambos lados y con bordes boleados que contiene información sobre las técnicas de diseño y su proceso de aplicación.
· Plumones de 4 colores (rojo, azul, verde y negro)
· El"&amp;" material se presenta en una caja de cartón, con la imagen y descripción del material interactivo.
Calidad pedagógica
· Las tarjetas están organizadas en 10 técnicas de la metodología Design Thinking
· Cada juego de tarjetas desarrolla una técnica de la m"&amp;"etodología Design Thinking
· Entre las posibles técnicas del Design Thinking: brainwritting, ¿Qué, cómo y por qué?, mapa de la empatía, lienzo de propuesta de valor, SCAMPER, PIN, 5 por qué, diagrama de causa efecto, diagrama de  prioridades, diagrama de "&amp;"Porter, entre otros.
· Las fichas presentan la descripción de la técnica, protocolo para la aplicación de las 10 técnicas seleccionadas.")</f>
        <v>Calidad Física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043" s="213">
        <f>IFERROR(__xludf.DUMMYFUNCTION("""COMPUTED_VALUE"""),3.0)</f>
        <v>3</v>
      </c>
      <c r="K1043" s="213" t="str">
        <f>IFERROR(__xludf.DUMMYFUNCTION("""COMPUTED_VALUE"""),"90 DÍAS CALENDARIO")</f>
        <v>90 DÍAS CALENDARIO</v>
      </c>
      <c r="L1043" s="213" t="str">
        <f>IFERROR(__xludf.DUMMYFUNCTION("""COMPUTED_VALUE"""),"")</f>
        <v/>
      </c>
      <c r="M1043" s="213">
        <f>IFERROR(__xludf.DUMMYFUNCTION("""COMPUTED_VALUE"""),1.0)</f>
        <v>1</v>
      </c>
      <c r="N1043" s="213">
        <f>IFERROR(__xludf.DUMMYFUNCTION("""COMPUTED_VALUE"""),4.0)</f>
        <v>4</v>
      </c>
      <c r="O1043" s="213">
        <f>IFERROR(__xludf.DUMMYFUNCTION("""COMPUTED_VALUE"""),4.0)</f>
        <v>4</v>
      </c>
      <c r="P1043" s="213"/>
      <c r="Q1043" s="213"/>
      <c r="R1043" s="213"/>
      <c r="S1043" s="213"/>
      <c r="T1043" s="213"/>
      <c r="U1043" s="213"/>
      <c r="V1043" s="213"/>
      <c r="W1043" s="213"/>
      <c r="X1043" s="213"/>
      <c r="Y1043" s="213"/>
      <c r="Z1043" s="213"/>
      <c r="AA1043" s="213"/>
      <c r="AB1043" s="213"/>
      <c r="AC1043" s="213"/>
      <c r="AD1043" s="213"/>
      <c r="AE1043" s="213"/>
      <c r="AF1043" s="213"/>
      <c r="AG1043" s="213"/>
      <c r="AH1043" s="213"/>
      <c r="AI1043" s="213"/>
      <c r="AJ1043" s="213"/>
      <c r="AK1043" s="213"/>
      <c r="AL1043" s="213"/>
      <c r="AM1043" s="213"/>
      <c r="AN1043" s="213"/>
      <c r="AO1043" s="213"/>
      <c r="AP1043" s="213"/>
      <c r="AQ1043" s="213"/>
      <c r="AR1043" s="213"/>
      <c r="AS1043" s="213"/>
      <c r="AT1043" s="213"/>
      <c r="AU1043" s="213"/>
      <c r="AV1043" s="213"/>
      <c r="AW1043" s="213"/>
      <c r="AX1043" s="213"/>
      <c r="AY1043" s="213"/>
      <c r="AZ1043" s="213"/>
      <c r="BA1043" s="213"/>
      <c r="BB1043" s="213"/>
      <c r="BC1043" s="213"/>
      <c r="BD1043" s="213"/>
    </row>
    <row r="1044">
      <c r="A1044" s="213">
        <f>IFERROR(__xludf.DUMMYFUNCTION("""COMPUTED_VALUE"""),2527.0)</f>
        <v>2527</v>
      </c>
      <c r="B1044" s="213" t="str">
        <f>IFERROR(__xludf.DUMMYFUNCTION("""COMPUTED_VALUE"""),"MANUEL ANTONIO MESONES MURO")</f>
        <v>MANUEL ANTONIO MESONES MURO</v>
      </c>
      <c r="C1044" s="213" t="str">
        <f>IFERROR(__xludf.DUMMYFUNCTION("""COMPUTED_VALUE"""),"TALLER SFT DE CONSTRUCCIONES METÁLICAS")</f>
        <v>TALLER SFT DE CONSTRUCCIONES METÁLICAS</v>
      </c>
      <c r="D1044" s="213" t="str">
        <f>IFERROR(__xludf.DUMMYFUNCTION("""COMPUTED_VALUE"""),"PEDAGOGICO")</f>
        <v>PEDAGOGICO</v>
      </c>
      <c r="E1044" s="213" t="str">
        <f>IFERROR(__xludf.DUMMYFUNCTION("""COMPUTED_VALUE"""),"MAT-303")</f>
        <v>MAT-303</v>
      </c>
      <c r="F1044" s="213" t="str">
        <f>IFERROR(__xludf.DUMMYFUNCTION("""COMPUTED_VALUE"""),"KEFF-01")</f>
        <v>KEFF-01</v>
      </c>
      <c r="G1044" s="213"/>
      <c r="H1044" s="213" t="str">
        <f>IFERROR(__xludf.DUMMYFUNCTION("""COMPUTED_VALUE"""),"MANUAL DE USO POR CADA EQUIPO DE IDENTIFICACIÓN DE NECESIDADES Y PROBLEMAS")</f>
        <v>MANUAL DE USO POR CADA EQUIPO DE IDENTIFICACIÓN DE NECESIDADES Y PROBLEMAS</v>
      </c>
      <c r="I1044" s="213" t="str">
        <f>IFERROR(__xludf.DUMMYFUNCTION("""COMPUTED_VALUE"""),"· Acabado de la carátula: La carátula en papel cuché de 150 gramos plastificado en la tira.                
· Impresión de carátula: Offset a todo color en tira y retira.                
· Impresión de texto interior: A todo color tira y retira, en papel "&amp;"cuché de 115 gramos o papel bond de 75                
gramos de 80% de blancura como mínimo.                
· Tamaño: como mínimo 21 x 29,7 cm                
· Tipo de Encuadernación: caballete con 2 grapas cuando sea menos de 80 páginas y encolado cua"&amp;"ndo sea                
más de 80 páginas.                
· Contenido que presenta:                
- Descripción de las partes y accesorios de cada equipo.                
- Descripción de las principales tareas que se pueden realizar con cada equipo (p"&amp;"or ejemplo, filmar, tomar                
fotografías, etc.)                
- Descripción grafica de la instalación, uso y conservación de cada equipo.                
- Descripción de los errores comunes que se presentan en el uso y la forma de solucion"&amp;"arlos.                
- Descripción de las normas de seguridad que se tienen que se deben tener en cuenta durante el uso de cada                
equipo.                ")</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                </v>
      </c>
      <c r="J1044" s="213">
        <f>IFERROR(__xludf.DUMMYFUNCTION("""COMPUTED_VALUE"""),3.0)</f>
        <v>3</v>
      </c>
      <c r="K1044" s="213" t="str">
        <f>IFERROR(__xludf.DUMMYFUNCTION("""COMPUTED_VALUE"""),"170 DÍAS CALENDARIO")</f>
        <v>170 DÍAS CALENDARIO</v>
      </c>
      <c r="L1044" s="213" t="str">
        <f>IFERROR(__xludf.DUMMYFUNCTION("""COMPUTED_VALUE"""),"")</f>
        <v/>
      </c>
      <c r="M1044" s="213">
        <f>IFERROR(__xludf.DUMMYFUNCTION("""COMPUTED_VALUE"""),1.0)</f>
        <v>1</v>
      </c>
      <c r="N1044" s="213">
        <f>IFERROR(__xludf.DUMMYFUNCTION("""COMPUTED_VALUE"""),7.0)</f>
        <v>7</v>
      </c>
      <c r="O1044" s="213">
        <f>IFERROR(__xludf.DUMMYFUNCTION("""COMPUTED_VALUE"""),7.0)</f>
        <v>7</v>
      </c>
      <c r="P1044" s="213"/>
      <c r="Q1044" s="213"/>
      <c r="R1044" s="213"/>
      <c r="S1044" s="213"/>
      <c r="T1044" s="213"/>
      <c r="U1044" s="213"/>
      <c r="V1044" s="213"/>
      <c r="W1044" s="213"/>
      <c r="X1044" s="213"/>
      <c r="Y1044" s="213"/>
      <c r="Z1044" s="213"/>
      <c r="AA1044" s="213"/>
      <c r="AB1044" s="213"/>
      <c r="AC1044" s="213"/>
      <c r="AD1044" s="213"/>
      <c r="AE1044" s="213"/>
      <c r="AF1044" s="213"/>
      <c r="AG1044" s="213"/>
      <c r="AH1044" s="213"/>
      <c r="AI1044" s="213"/>
      <c r="AJ1044" s="213"/>
      <c r="AK1044" s="213"/>
      <c r="AL1044" s="213"/>
      <c r="AM1044" s="213"/>
      <c r="AN1044" s="213"/>
      <c r="AO1044" s="213"/>
      <c r="AP1044" s="213"/>
      <c r="AQ1044" s="213"/>
      <c r="AR1044" s="213"/>
      <c r="AS1044" s="213" t="str">
        <f>IFERROR(__xludf.DUMMYFUNCTION("""COMPUTED_VALUE"""),"")</f>
        <v/>
      </c>
      <c r="AT1044" s="217" t="str">
        <f>IFERROR(__xludf.DUMMYFUNCTION("""COMPUTED_VALUE"""),"")</f>
        <v/>
      </c>
      <c r="AU1044" s="213"/>
      <c r="AV1044" s="213"/>
      <c r="AW1044" s="213"/>
      <c r="AX1044" s="213"/>
      <c r="AY1044" s="213"/>
      <c r="AZ1044" s="213"/>
      <c r="BA1044" s="213"/>
      <c r="BB1044" s="213"/>
      <c r="BC1044" s="213"/>
      <c r="BD1044" s="213"/>
    </row>
    <row r="1045">
      <c r="A1045" s="213">
        <f>IFERROR(__xludf.DUMMYFUNCTION("""COMPUTED_VALUE"""),480.0)</f>
        <v>480</v>
      </c>
      <c r="B1045" s="213" t="str">
        <f>IFERROR(__xludf.DUMMYFUNCTION("""COMPUTED_VALUE"""),"2026 SIMON BOLIVAR")</f>
        <v>2026 SIMON BOLIVAR</v>
      </c>
      <c r="C1045" s="213" t="str">
        <f>IFERROR(__xludf.DUMMYFUNCTION("""COMPUTED_VALUE"""),"TALLER SFT DE INDUSTRIA ALIMENTARIA")</f>
        <v>TALLER SFT DE INDUSTRIA ALIMENTARIA</v>
      </c>
      <c r="D1045" s="213" t="str">
        <f>IFERROR(__xludf.DUMMYFUNCTION("""COMPUTED_VALUE"""),"HERRAMIENTAS")</f>
        <v>HERRAMIENTAS</v>
      </c>
      <c r="E1045" s="213" t="str">
        <f>IFERROR(__xludf.DUMMYFUNCTION("""COMPUTED_VALUE"""),"MAT-116")</f>
        <v>MAT-116</v>
      </c>
      <c r="F1045" s="213" t="str">
        <f>IFERROR(__xludf.DUMMYFUNCTION("""COMPUTED_VALUE"""),"MAT-116")</f>
        <v>MAT-116</v>
      </c>
      <c r="G1045" s="213"/>
      <c r="H1045" s="213" t="str">
        <f>IFERROR(__xludf.DUMMYFUNCTION("""COMPUTED_VALUE"""),"BANDEJAS DE PLÁSTICO")</f>
        <v>BANDEJAS DE PLÁSTICO</v>
      </c>
      <c r="I1045" s="213" t="str">
        <f>IFERROR(__xludf.DUMMYFUNCTION("""COMPUTED_VALUE"""),"· Hecho de polipropileno resistente.
· Apto para congelador Almacenamiento a -40 grados centígrados.
· Apto para lavavajillas y apilable
· Forma Artículo Rectangular
· Material Plástico
· Color Blanco")</f>
        <v>· Hecho de polipropileno resistente.
· Apto para congelador Almacenamiento a -40 grados centígrados.
· Apto para lavavajillas y apilable
· Forma Artículo Rectangular
· Material Plástico
· Color Blanco</v>
      </c>
      <c r="J1045" s="213">
        <f>IFERROR(__xludf.DUMMYFUNCTION("""COMPUTED_VALUE"""),3.0)</f>
        <v>3</v>
      </c>
      <c r="K1045" s="213" t="str">
        <f>IFERROR(__xludf.DUMMYFUNCTION("""COMPUTED_VALUE"""),"90 DÍAS CALENDARIO")</f>
        <v>90 DÍAS CALENDARIO</v>
      </c>
      <c r="L1045" s="213" t="str">
        <f>IFERROR(__xludf.DUMMYFUNCTION("""COMPUTED_VALUE"""),"")</f>
        <v/>
      </c>
      <c r="M1045" s="213">
        <f>IFERROR(__xludf.DUMMYFUNCTION("""COMPUTED_VALUE"""),1.0)</f>
        <v>1</v>
      </c>
      <c r="N1045" s="213">
        <f>IFERROR(__xludf.DUMMYFUNCTION("""COMPUTED_VALUE"""),5.0)</f>
        <v>5</v>
      </c>
      <c r="O1045" s="213">
        <f>IFERROR(__xludf.DUMMYFUNCTION("""COMPUTED_VALUE"""),5.0)</f>
        <v>5</v>
      </c>
      <c r="P1045" s="213"/>
      <c r="Q1045" s="213"/>
      <c r="R1045" s="213"/>
      <c r="S1045" s="213"/>
      <c r="T1045" s="213" t="str">
        <f>IFERROR(__xludf.DUMMYFUNCTION("""COMPUTED_VALUE"""),"SI")</f>
        <v>SI</v>
      </c>
      <c r="U1045" s="213" t="str">
        <f>IFERROR(__xludf.DUMMYFUNCTION("""COMPUTED_VALUE"""),"SI")</f>
        <v>SI</v>
      </c>
      <c r="V1045" s="213" t="str">
        <f>IFERROR(__xludf.DUMMYFUNCTION("""COMPUTED_VALUE"""),"-")</f>
        <v>-</v>
      </c>
      <c r="W1045" s="213" t="str">
        <f>IFERROR(__xludf.DUMMYFUNCTION("""COMPUTED_VALUE"""),"-")</f>
        <v>-</v>
      </c>
      <c r="X1045" s="213" t="str">
        <f>IFERROR(__xludf.DUMMYFUNCTION("""COMPUTED_VALUE"""),"Araven ")</f>
        <v>Araven </v>
      </c>
      <c r="Y1045" s="213" t="str">
        <f>IFERROR(__xludf.DUMMYFUNCTION("""COMPUTED_VALUE"""),"J209")</f>
        <v>J209</v>
      </c>
      <c r="Z1045" s="215" t="str">
        <f>IFERROR(__xludf.DUMMYFUNCTION("""COMPUTED_VALUE"""),"https://ibergastro.es/Bandeja-para-congelador-Araven-285x435x80mm?srsltid=AfmBOooZRvKxWmKkPFlaKuKsdT820c0pwMpWHwlBY4LanHv0TZUpCI2H")</f>
        <v>https://ibergastro.es/Bandeja-para-congelador-Araven-285x435x80mm?srsltid=AfmBOooZRvKxWmKkPFlaKuKsdT820c0pwMpWHwlBY4LanHv0TZUpCI2H</v>
      </c>
      <c r="AA1045" s="213" t="str">
        <f>IFERROR(__xludf.DUMMYFUNCTION("""COMPUTED_VALUE"""),"MAT-116 BANDEJAS DE PLÁSTICO - CET")</f>
        <v>MAT-116 BANDEJAS DE PLÁSTICO - CET</v>
      </c>
      <c r="AB1045" s="213"/>
      <c r="AC1045" s="213"/>
      <c r="AD1045" s="213"/>
      <c r="AE1045" s="213"/>
      <c r="AF1045" s="213"/>
      <c r="AG1045" s="213"/>
      <c r="AH1045" s="213"/>
      <c r="AI1045" s="213"/>
      <c r="AJ1045" s="213"/>
      <c r="AK1045" s="213"/>
      <c r="AL1045" s="213"/>
      <c r="AM1045" s="213"/>
      <c r="AN1045" s="213"/>
      <c r="AO1045" s="213"/>
      <c r="AP1045" s="213" t="str">
        <f>IFERROR(__xludf.DUMMYFUNCTION("""COMPUTED_VALUE"""),"BRUNO")</f>
        <v>BRUNO</v>
      </c>
      <c r="AQ1045" s="213" t="str">
        <f>IFERROR(__xludf.DUMMYFUNCTION("""COMPUTED_VALUE"""),"Hay mas opciones con direfentes dimensiones para considerar")</f>
        <v>Hay mas opciones con direfentes dimensiones para considerar</v>
      </c>
      <c r="AR1045" s="213"/>
      <c r="AS1045" s="213"/>
      <c r="AT1045" s="213"/>
      <c r="AU1045" s="213"/>
      <c r="AV1045" s="213"/>
      <c r="AW1045" s="213"/>
      <c r="AX1045" s="213"/>
      <c r="AY1045" s="213"/>
      <c r="AZ1045" s="213"/>
      <c r="BA1045" s="213"/>
      <c r="BB1045" s="213"/>
      <c r="BC1045" s="213"/>
      <c r="BD1045" s="213"/>
    </row>
    <row r="1046">
      <c r="A1046" s="213">
        <f>IFERROR(__xludf.DUMMYFUNCTION("""COMPUTED_VALUE"""),1110.0)</f>
        <v>1110</v>
      </c>
      <c r="B1046" s="213" t="str">
        <f>IFERROR(__xludf.DUMMYFUNCTION("""COMPUTED_VALUE"""),"FRANCISCO IRAZOLA")</f>
        <v>FRANCISCO IRAZOLA</v>
      </c>
      <c r="C1046" s="213" t="str">
        <f>IFERROR(__xludf.DUMMYFUNCTION("""COMPUTED_VALUE"""),"TALLER SFT DE INDUSTRIA ALIMENTARIA")</f>
        <v>TALLER SFT DE INDUSTRIA ALIMENTARIA</v>
      </c>
      <c r="D1046" s="213" t="str">
        <f>IFERROR(__xludf.DUMMYFUNCTION("""COMPUTED_VALUE"""),"HERRAMIENTAS")</f>
        <v>HERRAMIENTAS</v>
      </c>
      <c r="E1046" s="213" t="str">
        <f>IFERROR(__xludf.DUMMYFUNCTION("""COMPUTED_VALUE"""),"MAT-116")</f>
        <v>MAT-116</v>
      </c>
      <c r="F1046" s="213" t="str">
        <f>IFERROR(__xludf.DUMMYFUNCTION("""COMPUTED_VALUE"""),"MAT-116")</f>
        <v>MAT-116</v>
      </c>
      <c r="G1046" s="213"/>
      <c r="H1046" s="213" t="str">
        <f>IFERROR(__xludf.DUMMYFUNCTION("""COMPUTED_VALUE"""),"BANDEJAS DE PLÁSTICO")</f>
        <v>BANDEJAS DE PLÁSTICO</v>
      </c>
      <c r="I1046" s="213" t="str">
        <f>IFERROR(__xludf.DUMMYFUNCTION("""COMPUTED_VALUE"""),"· Hecho de polipropileno resistente.
· Apto para congelador Almacenamiento a -40 grados centígrados.
· Apto para lavavajillas y apilable
· Forma Artículo Rectangular
· Material Plástico
· Color Blanco")</f>
        <v>· Hecho de polipropileno resistente.
· Apto para congelador Almacenamiento a -40 grados centígrados.
· Apto para lavavajillas y apilable
· Forma Artículo Rectangular
· Material Plástico
· Color Blanco</v>
      </c>
      <c r="J1046" s="213">
        <f>IFERROR(__xludf.DUMMYFUNCTION("""COMPUTED_VALUE"""),3.0)</f>
        <v>3</v>
      </c>
      <c r="K1046" s="213" t="str">
        <f>IFERROR(__xludf.DUMMYFUNCTION("""COMPUTED_VALUE"""),"90 DÍAS CALENDARIO")</f>
        <v>90 DÍAS CALENDARIO</v>
      </c>
      <c r="L1046" s="213" t="str">
        <f>IFERROR(__xludf.DUMMYFUNCTION("""COMPUTED_VALUE"""),"")</f>
        <v/>
      </c>
      <c r="M1046" s="213">
        <f>IFERROR(__xludf.DUMMYFUNCTION("""COMPUTED_VALUE"""),1.0)</f>
        <v>1</v>
      </c>
      <c r="N1046" s="213">
        <f>IFERROR(__xludf.DUMMYFUNCTION("""COMPUTED_VALUE"""),5.0)</f>
        <v>5</v>
      </c>
      <c r="O1046" s="213">
        <f>IFERROR(__xludf.DUMMYFUNCTION("""COMPUTED_VALUE"""),5.0)</f>
        <v>5</v>
      </c>
      <c r="P1046" s="213"/>
      <c r="Q1046" s="213"/>
      <c r="R1046" s="213"/>
      <c r="S1046" s="213"/>
      <c r="T1046" s="213" t="str">
        <f>IFERROR(__xludf.DUMMYFUNCTION("""COMPUTED_VALUE"""),"SI")</f>
        <v>SI</v>
      </c>
      <c r="U1046" s="213" t="str">
        <f>IFERROR(__xludf.DUMMYFUNCTION("""COMPUTED_VALUE"""),"SI")</f>
        <v>SI</v>
      </c>
      <c r="V1046" s="213" t="str">
        <f>IFERROR(__xludf.DUMMYFUNCTION("""COMPUTED_VALUE"""),"-")</f>
        <v>-</v>
      </c>
      <c r="W1046" s="213" t="str">
        <f>IFERROR(__xludf.DUMMYFUNCTION("""COMPUTED_VALUE"""),"-")</f>
        <v>-</v>
      </c>
      <c r="X1046" s="213" t="str">
        <f>IFERROR(__xludf.DUMMYFUNCTION("""COMPUTED_VALUE"""),"Araven ")</f>
        <v>Araven </v>
      </c>
      <c r="Y1046" s="213" t="str">
        <f>IFERROR(__xludf.DUMMYFUNCTION("""COMPUTED_VALUE"""),"J209")</f>
        <v>J209</v>
      </c>
      <c r="Z1046" s="215" t="str">
        <f>IFERROR(__xludf.DUMMYFUNCTION("""COMPUTED_VALUE"""),"https://ibergastro.es/Bandeja-para-congelador-Araven-285x435x80mm?srsltid=AfmBOooZRvKxWmKkPFlaKuKsdT820c0pwMpWHwlBY4LanHv0TZUpCI2H")</f>
        <v>https://ibergastro.es/Bandeja-para-congelador-Araven-285x435x80mm?srsltid=AfmBOooZRvKxWmKkPFlaKuKsdT820c0pwMpWHwlBY4LanHv0TZUpCI2H</v>
      </c>
      <c r="AA1046" s="213" t="str">
        <f>IFERROR(__xludf.DUMMYFUNCTION("""COMPUTED_VALUE"""),"MAT-116 BANDEJAS DE PLÁSTICO - CET")</f>
        <v>MAT-116 BANDEJAS DE PLÁSTICO - CET</v>
      </c>
      <c r="AB1046" s="213"/>
      <c r="AC1046" s="213"/>
      <c r="AD1046" s="213"/>
      <c r="AE1046" s="213"/>
      <c r="AF1046" s="213"/>
      <c r="AG1046" s="213"/>
      <c r="AH1046" s="213"/>
      <c r="AI1046" s="213"/>
      <c r="AJ1046" s="213"/>
      <c r="AK1046" s="213"/>
      <c r="AL1046" s="213"/>
      <c r="AM1046" s="213"/>
      <c r="AN1046" s="213"/>
      <c r="AO1046" s="213"/>
      <c r="AP1046" s="213" t="str">
        <f>IFERROR(__xludf.DUMMYFUNCTION("""COMPUTED_VALUE"""),"BRUNO")</f>
        <v>BRUNO</v>
      </c>
      <c r="AQ1046" s="213" t="str">
        <f>IFERROR(__xludf.DUMMYFUNCTION("""COMPUTED_VALUE"""),"Hay mas opciones con direfentes dimensiones para considerar")</f>
        <v>Hay mas opciones con direfentes dimensiones para considerar</v>
      </c>
      <c r="AR1046" s="213"/>
      <c r="AS1046" s="213"/>
      <c r="AT1046" s="213"/>
      <c r="AU1046" s="213"/>
      <c r="AV1046" s="213"/>
      <c r="AW1046" s="213"/>
      <c r="AX1046" s="213"/>
      <c r="AY1046" s="213"/>
      <c r="AZ1046" s="213"/>
      <c r="BA1046" s="213"/>
      <c r="BB1046" s="213"/>
      <c r="BC1046" s="213"/>
      <c r="BD1046" s="213"/>
    </row>
    <row r="1047">
      <c r="A1047" s="213">
        <f>IFERROR(__xludf.DUMMYFUNCTION("""COMPUTED_VALUE"""),1382.0)</f>
        <v>1382</v>
      </c>
      <c r="B1047" s="213" t="str">
        <f>IFERROR(__xludf.DUMMYFUNCTION("""COMPUTED_VALUE"""),"GUILLERMO E. BILLINGHURST ")</f>
        <v>GUILLERMO E. BILLINGHURST </v>
      </c>
      <c r="C1047" s="213" t="str">
        <f>IFERROR(__xludf.DUMMYFUNCTION("""COMPUTED_VALUE"""),"TALLER SFT DE INDUSTRIA ALIMENTARIA")</f>
        <v>TALLER SFT DE INDUSTRIA ALIMENTARIA</v>
      </c>
      <c r="D1047" s="213" t="str">
        <f>IFERROR(__xludf.DUMMYFUNCTION("""COMPUTED_VALUE"""),"HERRAMIENTAS")</f>
        <v>HERRAMIENTAS</v>
      </c>
      <c r="E1047" s="213" t="str">
        <f>IFERROR(__xludf.DUMMYFUNCTION("""COMPUTED_VALUE"""),"MAT-116")</f>
        <v>MAT-116</v>
      </c>
      <c r="F1047" s="213" t="str">
        <f>IFERROR(__xludf.DUMMYFUNCTION("""COMPUTED_VALUE"""),"MAT-116")</f>
        <v>MAT-116</v>
      </c>
      <c r="G1047" s="213"/>
      <c r="H1047" s="213" t="str">
        <f>IFERROR(__xludf.DUMMYFUNCTION("""COMPUTED_VALUE"""),"BANDEJAS DE PLÁSTICO")</f>
        <v>BANDEJAS DE PLÁSTICO</v>
      </c>
      <c r="I1047" s="213" t="str">
        <f>IFERROR(__xludf.DUMMYFUNCTION("""COMPUTED_VALUE"""),"· Hecho de polipropileno resistente.
· Apto para congelador Almacenamiento a -40 grados centígrados.
· Apto para lavavajillas y apilable
· Forma Artículo Rectangular
· Material Plástico
· Color Blanco")</f>
        <v>· Hecho de polipropileno resistente.
· Apto para congelador Almacenamiento a -40 grados centígrados.
· Apto para lavavajillas y apilable
· Forma Artículo Rectangular
· Material Plástico
· Color Blanco</v>
      </c>
      <c r="J1047" s="213">
        <f>IFERROR(__xludf.DUMMYFUNCTION("""COMPUTED_VALUE"""),3.0)</f>
        <v>3</v>
      </c>
      <c r="K1047" s="213" t="str">
        <f>IFERROR(__xludf.DUMMYFUNCTION("""COMPUTED_VALUE"""),"90 DÍAS CALENDARIO")</f>
        <v>90 DÍAS CALENDARIO</v>
      </c>
      <c r="L1047" s="213" t="str">
        <f>IFERROR(__xludf.DUMMYFUNCTION("""COMPUTED_VALUE"""),"")</f>
        <v/>
      </c>
      <c r="M1047" s="213">
        <f>IFERROR(__xludf.DUMMYFUNCTION("""COMPUTED_VALUE"""),1.0)</f>
        <v>1</v>
      </c>
      <c r="N1047" s="213">
        <f>IFERROR(__xludf.DUMMYFUNCTION("""COMPUTED_VALUE"""),5.0)</f>
        <v>5</v>
      </c>
      <c r="O1047" s="213">
        <f>IFERROR(__xludf.DUMMYFUNCTION("""COMPUTED_VALUE"""),5.0)</f>
        <v>5</v>
      </c>
      <c r="P1047" s="213"/>
      <c r="Q1047" s="213"/>
      <c r="R1047" s="213"/>
      <c r="S1047" s="213"/>
      <c r="T1047" s="213" t="str">
        <f>IFERROR(__xludf.DUMMYFUNCTION("""COMPUTED_VALUE"""),"SI")</f>
        <v>SI</v>
      </c>
      <c r="U1047" s="213" t="str">
        <f>IFERROR(__xludf.DUMMYFUNCTION("""COMPUTED_VALUE"""),"SI")</f>
        <v>SI</v>
      </c>
      <c r="V1047" s="213" t="str">
        <f>IFERROR(__xludf.DUMMYFUNCTION("""COMPUTED_VALUE"""),"-")</f>
        <v>-</v>
      </c>
      <c r="W1047" s="213" t="str">
        <f>IFERROR(__xludf.DUMMYFUNCTION("""COMPUTED_VALUE"""),"-")</f>
        <v>-</v>
      </c>
      <c r="X1047" s="213" t="str">
        <f>IFERROR(__xludf.DUMMYFUNCTION("""COMPUTED_VALUE"""),"Araven ")</f>
        <v>Araven </v>
      </c>
      <c r="Y1047" s="213" t="str">
        <f>IFERROR(__xludf.DUMMYFUNCTION("""COMPUTED_VALUE"""),"J209")</f>
        <v>J209</v>
      </c>
      <c r="Z1047" s="215" t="str">
        <f>IFERROR(__xludf.DUMMYFUNCTION("""COMPUTED_VALUE"""),"https://ibergastro.es/Bandeja-para-congelador-Araven-285x435x80mm?srsltid=AfmBOooZRvKxWmKkPFlaKuKsdT820c0pwMpWHwlBY4LanHv0TZUpCI2H")</f>
        <v>https://ibergastro.es/Bandeja-para-congelador-Araven-285x435x80mm?srsltid=AfmBOooZRvKxWmKkPFlaKuKsdT820c0pwMpWHwlBY4LanHv0TZUpCI2H</v>
      </c>
      <c r="AA1047" s="213" t="str">
        <f>IFERROR(__xludf.DUMMYFUNCTION("""COMPUTED_VALUE"""),"MAT-116 BANDEJAS DE PLÁSTICO - CET")</f>
        <v>MAT-116 BANDEJAS DE PLÁSTICO - CET</v>
      </c>
      <c r="AB1047" s="213"/>
      <c r="AC1047" s="213"/>
      <c r="AD1047" s="213"/>
      <c r="AE1047" s="213"/>
      <c r="AF1047" s="213"/>
      <c r="AG1047" s="213"/>
      <c r="AH1047" s="213"/>
      <c r="AI1047" s="213"/>
      <c r="AJ1047" s="213"/>
      <c r="AK1047" s="213"/>
      <c r="AL1047" s="213"/>
      <c r="AM1047" s="213"/>
      <c r="AN1047" s="213"/>
      <c r="AO1047" s="213"/>
      <c r="AP1047" s="213" t="str">
        <f>IFERROR(__xludf.DUMMYFUNCTION("""COMPUTED_VALUE"""),"BRUNO")</f>
        <v>BRUNO</v>
      </c>
      <c r="AQ1047" s="213" t="str">
        <f>IFERROR(__xludf.DUMMYFUNCTION("""COMPUTED_VALUE"""),"Hay mas opciones con direfentes dimensiones para considerar")</f>
        <v>Hay mas opciones con direfentes dimensiones para considerar</v>
      </c>
      <c r="AR1047" s="213"/>
      <c r="AS1047" s="213"/>
      <c r="AT1047" s="213"/>
      <c r="AU1047" s="213"/>
      <c r="AV1047" s="213"/>
      <c r="AW1047" s="213"/>
      <c r="AX1047" s="213"/>
      <c r="AY1047" s="213"/>
      <c r="AZ1047" s="213"/>
      <c r="BA1047" s="213"/>
      <c r="BB1047" s="213"/>
      <c r="BC1047" s="213"/>
      <c r="BD1047" s="213"/>
    </row>
    <row r="1048">
      <c r="A1048" s="213">
        <f>IFERROR(__xludf.DUMMYFUNCTION("""COMPUTED_VALUE"""),2069.0)</f>
        <v>2069</v>
      </c>
      <c r="B1048" s="213" t="str">
        <f>IFERROR(__xludf.DUMMYFUNCTION("""COMPUTED_VALUE"""),"JOSE GRANDA")</f>
        <v>JOSE GRANDA</v>
      </c>
      <c r="C1048" s="213" t="str">
        <f>IFERROR(__xludf.DUMMYFUNCTION("""COMPUTED_VALUE"""),"TALLER SFT DE INDUSTRIA ALIMENTARIA")</f>
        <v>TALLER SFT DE INDUSTRIA ALIMENTARIA</v>
      </c>
      <c r="D1048" s="213" t="str">
        <f>IFERROR(__xludf.DUMMYFUNCTION("""COMPUTED_VALUE"""),"HERRAMIENTAS")</f>
        <v>HERRAMIENTAS</v>
      </c>
      <c r="E1048" s="213" t="str">
        <f>IFERROR(__xludf.DUMMYFUNCTION("""COMPUTED_VALUE"""),"MAT-116")</f>
        <v>MAT-116</v>
      </c>
      <c r="F1048" s="213" t="str">
        <f>IFERROR(__xludf.DUMMYFUNCTION("""COMPUTED_VALUE"""),"MAT-116")</f>
        <v>MAT-116</v>
      </c>
      <c r="G1048" s="213"/>
      <c r="H1048" s="213" t="str">
        <f>IFERROR(__xludf.DUMMYFUNCTION("""COMPUTED_VALUE"""),"BANDEJAS DE PLÁSTICO")</f>
        <v>BANDEJAS DE PLÁSTICO</v>
      </c>
      <c r="I1048" s="213" t="str">
        <f>IFERROR(__xludf.DUMMYFUNCTION("""COMPUTED_VALUE"""),"· Hecho de polipropileno resistente.
· Apto para congelador Almacenamiento a -40 grados centígrados.
· Apto para lavavajillas y apilable
· Forma Artículo Rectangular
· Material Plástico
· Color Blanco")</f>
        <v>· Hecho de polipropileno resistente.
· Apto para congelador Almacenamiento a -40 grados centígrados.
· Apto para lavavajillas y apilable
· Forma Artículo Rectangular
· Material Plástico
· Color Blanco</v>
      </c>
      <c r="J1048" s="213">
        <f>IFERROR(__xludf.DUMMYFUNCTION("""COMPUTED_VALUE"""),3.0)</f>
        <v>3</v>
      </c>
      <c r="K1048" s="213" t="str">
        <f>IFERROR(__xludf.DUMMYFUNCTION("""COMPUTED_VALUE"""),"90 DÍAS CALENDARIO")</f>
        <v>90 DÍAS CALENDARIO</v>
      </c>
      <c r="L1048" s="213" t="str">
        <f>IFERROR(__xludf.DUMMYFUNCTION("""COMPUTED_VALUE"""),"")</f>
        <v/>
      </c>
      <c r="M1048" s="213">
        <f>IFERROR(__xludf.DUMMYFUNCTION("""COMPUTED_VALUE"""),1.0)</f>
        <v>1</v>
      </c>
      <c r="N1048" s="213">
        <f>IFERROR(__xludf.DUMMYFUNCTION("""COMPUTED_VALUE"""),5.0)</f>
        <v>5</v>
      </c>
      <c r="O1048" s="213">
        <f>IFERROR(__xludf.DUMMYFUNCTION("""COMPUTED_VALUE"""),5.0)</f>
        <v>5</v>
      </c>
      <c r="P1048" s="213"/>
      <c r="Q1048" s="213"/>
      <c r="R1048" s="213"/>
      <c r="S1048" s="213"/>
      <c r="T1048" s="213" t="str">
        <f>IFERROR(__xludf.DUMMYFUNCTION("""COMPUTED_VALUE"""),"SI")</f>
        <v>SI</v>
      </c>
      <c r="U1048" s="213" t="str">
        <f>IFERROR(__xludf.DUMMYFUNCTION("""COMPUTED_VALUE"""),"SI")</f>
        <v>SI</v>
      </c>
      <c r="V1048" s="213" t="str">
        <f>IFERROR(__xludf.DUMMYFUNCTION("""COMPUTED_VALUE"""),"-")</f>
        <v>-</v>
      </c>
      <c r="W1048" s="213" t="str">
        <f>IFERROR(__xludf.DUMMYFUNCTION("""COMPUTED_VALUE"""),"-")</f>
        <v>-</v>
      </c>
      <c r="X1048" s="213" t="str">
        <f>IFERROR(__xludf.DUMMYFUNCTION("""COMPUTED_VALUE"""),"Araven ")</f>
        <v>Araven </v>
      </c>
      <c r="Y1048" s="213" t="str">
        <f>IFERROR(__xludf.DUMMYFUNCTION("""COMPUTED_VALUE"""),"J209")</f>
        <v>J209</v>
      </c>
      <c r="Z1048" s="215" t="str">
        <f>IFERROR(__xludf.DUMMYFUNCTION("""COMPUTED_VALUE"""),"https://ibergastro.es/Bandeja-para-congelador-Araven-285x435x80mm?srsltid=AfmBOooZRvKxWmKkPFlaKuKsdT820c0pwMpWHwlBY4LanHv0TZUpCI2H")</f>
        <v>https://ibergastro.es/Bandeja-para-congelador-Araven-285x435x80mm?srsltid=AfmBOooZRvKxWmKkPFlaKuKsdT820c0pwMpWHwlBY4LanHv0TZUpCI2H</v>
      </c>
      <c r="AA1048" s="213" t="str">
        <f>IFERROR(__xludf.DUMMYFUNCTION("""COMPUTED_VALUE"""),"MAT-116 BANDEJAS DE PLÁSTICO - CET")</f>
        <v>MAT-116 BANDEJAS DE PLÁSTICO - CET</v>
      </c>
      <c r="AB1048" s="213"/>
      <c r="AC1048" s="213"/>
      <c r="AD1048" s="213"/>
      <c r="AE1048" s="213"/>
      <c r="AF1048" s="213"/>
      <c r="AG1048" s="213"/>
      <c r="AH1048" s="213"/>
      <c r="AI1048" s="213"/>
      <c r="AJ1048" s="213"/>
      <c r="AK1048" s="213"/>
      <c r="AL1048" s="213"/>
      <c r="AM1048" s="213"/>
      <c r="AN1048" s="213"/>
      <c r="AO1048" s="213"/>
      <c r="AP1048" s="213" t="str">
        <f>IFERROR(__xludf.DUMMYFUNCTION("""COMPUTED_VALUE"""),"BRUNO")</f>
        <v>BRUNO</v>
      </c>
      <c r="AQ1048" s="213" t="str">
        <f>IFERROR(__xludf.DUMMYFUNCTION("""COMPUTED_VALUE"""),"Hay mas opciones con direfentes dimensiones para considerar")</f>
        <v>Hay mas opciones con direfentes dimensiones para considerar</v>
      </c>
      <c r="AR1048" s="213"/>
      <c r="AS1048" s="213"/>
      <c r="AT1048" s="213"/>
      <c r="AU1048" s="213"/>
      <c r="AV1048" s="213"/>
      <c r="AW1048" s="213"/>
      <c r="AX1048" s="213"/>
      <c r="AY1048" s="213"/>
      <c r="AZ1048" s="213"/>
      <c r="BA1048" s="213"/>
      <c r="BB1048" s="213"/>
      <c r="BC1048" s="213"/>
      <c r="BD1048" s="213"/>
    </row>
    <row r="1049">
      <c r="A1049" s="213">
        <f>IFERROR(__xludf.DUMMYFUNCTION("""COMPUTED_VALUE"""),288.0)</f>
        <v>288</v>
      </c>
      <c r="B1049" s="213" t="str">
        <f>IFERROR(__xludf.DUMMYFUNCTION("""COMPUTED_VALUE"""),"2026 SIMON BOLIVAR")</f>
        <v>2026 SIMON BOLIVAR</v>
      </c>
      <c r="C1049" s="213" t="str">
        <f>IFERROR(__xludf.DUMMYFUNCTION("""COMPUTED_VALUE"""),"TALLER SFT DE COMPUTACIÓN E INFORMÁTICA")</f>
        <v>TALLER SFT DE COMPUTACIÓN E INFORMÁTICA</v>
      </c>
      <c r="D1049" s="213" t="str">
        <f>IFERROR(__xludf.DUMMYFUNCTION("""COMPUTED_VALUE"""),"PEDAGOGICO")</f>
        <v>PEDAGOGICO</v>
      </c>
      <c r="E1049" s="213" t="str">
        <f>IFERROR(__xludf.DUMMYFUNCTION("""COMPUTED_VALUE"""),"MAT-117")</f>
        <v>MAT-117</v>
      </c>
      <c r="F1049" s="213" t="str">
        <f>IFERROR(__xludf.DUMMYFUNCTION("""COMPUTED_VALUE"""),"MAT-117")</f>
        <v>MAT-117</v>
      </c>
      <c r="G1049" s="213"/>
      <c r="H1049" s="213" t="str">
        <f>IFERROR(__xludf.DUMMYFUNCTION("""COMPUTED_VALUE"""),"BANNER DE LÍNEAS DEL TIEMPO CON TEMAS DEL TALLER")</f>
        <v>BANNER DE LÍNEAS DEL TIEMPO CON TEMAS DEL TALLER</v>
      </c>
      <c r="I1049" s="213" t="str">
        <f>IFERROR(__xludf.DUMMYFUNCTION("""COMPUTED_VALUE"""),"·  Material: Vinil ; Medidas: 98 cm x 78 cm
·  Impresión por un solo lado con las líneas del tiempo, que explican las ventajas de la aplicación de cada una en diferentes tiempos.
·  Incluye panel receptivo al magnetismo, laminado resistente y plegable en "&amp;"2, medidas 100 cm x 80 cm.
·  Presenta 50 siluetas de diversas figuras, impreso a todo color en material magnético, temas de la especialidad.")</f>
        <v>·  Material: Vinil ; Medidas: 98 cm x 78 cm
·  Impresión por un solo lado con las líneas del tiempo, que explican las ventajas de la aplicación de cada una en diferentes tiempos.
·  Incluye panel receptivo al magnetismo, laminado resistente y plegable en 2, medidas 100 cm x 80 cm.
·  Presenta 50 siluetas de diversas figuras, impreso a todo color en material magnético, temas de la especialidad.</v>
      </c>
      <c r="J1049" s="213">
        <f>IFERROR(__xludf.DUMMYFUNCTION("""COMPUTED_VALUE"""),3.0)</f>
        <v>3</v>
      </c>
      <c r="K1049" s="213" t="str">
        <f>IFERROR(__xludf.DUMMYFUNCTION("""COMPUTED_VALUE"""),"90 DÍAS CALENDARIO")</f>
        <v>90 DÍAS CALENDARIO</v>
      </c>
      <c r="L1049" s="213" t="str">
        <f>IFERROR(__xludf.DUMMYFUNCTION("""COMPUTED_VALUE"""),"")</f>
        <v/>
      </c>
      <c r="M1049" s="213">
        <f>IFERROR(__xludf.DUMMYFUNCTION("""COMPUTED_VALUE"""),1.0)</f>
        <v>1</v>
      </c>
      <c r="N1049" s="213">
        <f>IFERROR(__xludf.DUMMYFUNCTION("""COMPUTED_VALUE"""),4.0)</f>
        <v>4</v>
      </c>
      <c r="O1049" s="213">
        <f>IFERROR(__xludf.DUMMYFUNCTION("""COMPUTED_VALUE"""),4.0)</f>
        <v>4</v>
      </c>
      <c r="P1049" s="213"/>
      <c r="Q1049" s="213"/>
      <c r="R1049" s="213"/>
      <c r="S1049" s="213"/>
      <c r="T1049" s="213" t="str">
        <f>IFERROR(__xludf.DUMMYFUNCTION("""COMPUTED_VALUE"""),"CONSULTA FINAL")</f>
        <v>CONSULTA FINAL</v>
      </c>
      <c r="U1049" s="213"/>
      <c r="V1049" s="213" t="str">
        <f>IFERROR(__xludf.DUMMYFUNCTION("""COMPUTED_VALUE"""),"-")</f>
        <v>-</v>
      </c>
      <c r="W1049" s="213" t="str">
        <f>IFERROR(__xludf.DUMMYFUNCTION("""COMPUTED_VALUE"""),"CRÍTICO")</f>
        <v>CRÍTICO</v>
      </c>
      <c r="X1049" s="213" t="str">
        <f>IFERROR(__xludf.DUMMYFUNCTION("""COMPUTED_VALUE"""),"A MEDIDA")</f>
        <v>A MEDIDA</v>
      </c>
      <c r="Y1049" s="213" t="str">
        <f>IFERROR(__xludf.DUMMYFUNCTION("""COMPUTED_VALUE"""),"A MEDIDA")</f>
        <v>A MEDIDA</v>
      </c>
      <c r="Z1049" s="213" t="str">
        <f>IFERROR(__xludf.DUMMYFUNCTION("""COMPUTED_VALUE"""),"A MEDIDA")</f>
        <v>A MEDIDA</v>
      </c>
      <c r="AA1049" s="213" t="str">
        <f>IFERROR(__xludf.DUMMYFUNCTION("""COMPUTED_VALUE"""),"MAT-117 BANNER DE LÍNEAS DEL TIEMPO CON TEMAS DEL TALLER- CET")</f>
        <v>MAT-117 BANNER DE LÍNEAS DEL TIEMPO CON TEMAS DEL TALLER- CET</v>
      </c>
      <c r="AB1049" s="213"/>
      <c r="AC1049" s="213"/>
      <c r="AD1049" s="213"/>
      <c r="AE1049" s="213"/>
      <c r="AF1049" s="213"/>
      <c r="AG1049" s="213"/>
      <c r="AH1049" s="213"/>
      <c r="AI1049" s="213"/>
      <c r="AJ1049" s="213"/>
      <c r="AK1049" s="213"/>
      <c r="AL1049" s="213"/>
      <c r="AM1049" s="213"/>
      <c r="AN1049" s="213"/>
      <c r="AO1049" s="213"/>
      <c r="AP1049" s="213" t="str">
        <f>IFERROR(__xludf.DUMMYFUNCTION("""COMPUTED_VALUE"""),"LUIS")</f>
        <v>LUIS</v>
      </c>
      <c r="AQ1049" s="213"/>
      <c r="AR1049" s="213"/>
      <c r="AS1049" s="213"/>
      <c r="AT1049" s="213"/>
      <c r="AU1049" s="213"/>
      <c r="AV1049" s="213"/>
      <c r="AW1049" s="213"/>
      <c r="AX1049" s="213"/>
      <c r="AY1049" s="213"/>
      <c r="AZ1049" s="213"/>
      <c r="BA1049" s="213"/>
      <c r="BB1049" s="213"/>
      <c r="BC1049" s="213"/>
      <c r="BD1049" s="213"/>
    </row>
    <row r="1050">
      <c r="A1050" s="213">
        <f>IFERROR(__xludf.DUMMYFUNCTION("""COMPUTED_VALUE"""),774.0)</f>
        <v>774</v>
      </c>
      <c r="B1050" s="213" t="str">
        <f>IFERROR(__xludf.DUMMYFUNCTION("""COMPUTED_VALUE"""),"6049 RICARDO PALMA")</f>
        <v>6049 RICARDO PALMA</v>
      </c>
      <c r="C1050" s="213" t="str">
        <f>IFERROR(__xludf.DUMMYFUNCTION("""COMPUTED_VALUE"""),"TALLER SFT DE COMPUTACIÓN E INFORMÁTICA")</f>
        <v>TALLER SFT DE COMPUTACIÓN E INFORMÁTICA</v>
      </c>
      <c r="D1050" s="213" t="str">
        <f>IFERROR(__xludf.DUMMYFUNCTION("""COMPUTED_VALUE"""),"PEDAGOGICO")</f>
        <v>PEDAGOGICO</v>
      </c>
      <c r="E1050" s="213" t="str">
        <f>IFERROR(__xludf.DUMMYFUNCTION("""COMPUTED_VALUE"""),"MAT-117")</f>
        <v>MAT-117</v>
      </c>
      <c r="F1050" s="213" t="str">
        <f>IFERROR(__xludf.DUMMYFUNCTION("""COMPUTED_VALUE"""),"MAT-117")</f>
        <v>MAT-117</v>
      </c>
      <c r="G1050" s="213"/>
      <c r="H1050" s="213" t="str">
        <f>IFERROR(__xludf.DUMMYFUNCTION("""COMPUTED_VALUE"""),"BANNER DE LÍNEAS DEL TIEMPO CON TEMAS DEL TALLER")</f>
        <v>BANNER DE LÍNEAS DEL TIEMPO CON TEMAS DEL TALLER</v>
      </c>
      <c r="I1050" s="213" t="str">
        <f>IFERROR(__xludf.DUMMYFUNCTION("""COMPUTED_VALUE"""),"·  Material: Vinil ; Medidas: 98 cm x 78 cm
·  Impresión por un solo lado con las líneas del tiempo, que explican las ventajas de la aplicación de cada una en diferentes tiempos.
·  Incluye panel receptivo al magnetismo, laminado resistente y plegable en "&amp;"2, medidas 100 cm x 80 cm.
·  Presenta 50 siluetas de diversas figuras, impreso a todo color en material magnético, temas de la especialidad.")</f>
        <v>·  Material: Vinil ; Medidas: 98 cm x 78 cm
·  Impresión por un solo lado con las líneas del tiempo, que explican las ventajas de la aplicación de cada una en diferentes tiempos.
·  Incluye panel receptivo al magnetismo, laminado resistente y plegable en 2, medidas 100 cm x 80 cm.
·  Presenta 50 siluetas de diversas figuras, impreso a todo color en material magnético, temas de la especialidad.</v>
      </c>
      <c r="J1050" s="213">
        <f>IFERROR(__xludf.DUMMYFUNCTION("""COMPUTED_VALUE"""),3.0)</f>
        <v>3</v>
      </c>
      <c r="K1050" s="213" t="str">
        <f>IFERROR(__xludf.DUMMYFUNCTION("""COMPUTED_VALUE"""),"90 DÍAS CALENDARIO")</f>
        <v>90 DÍAS CALENDARIO</v>
      </c>
      <c r="L1050" s="213" t="str">
        <f>IFERROR(__xludf.DUMMYFUNCTION("""COMPUTED_VALUE"""),"")</f>
        <v/>
      </c>
      <c r="M1050" s="213">
        <f>IFERROR(__xludf.DUMMYFUNCTION("""COMPUTED_VALUE"""),1.0)</f>
        <v>1</v>
      </c>
      <c r="N1050" s="213">
        <f>IFERROR(__xludf.DUMMYFUNCTION("""COMPUTED_VALUE"""),4.0)</f>
        <v>4</v>
      </c>
      <c r="O1050" s="213">
        <f>IFERROR(__xludf.DUMMYFUNCTION("""COMPUTED_VALUE"""),4.0)</f>
        <v>4</v>
      </c>
      <c r="P1050" s="213"/>
      <c r="Q1050" s="213"/>
      <c r="R1050" s="213"/>
      <c r="S1050" s="213"/>
      <c r="T1050" s="213" t="str">
        <f>IFERROR(__xludf.DUMMYFUNCTION("""COMPUTED_VALUE"""),"CONSULTA FINAL")</f>
        <v>CONSULTA FINAL</v>
      </c>
      <c r="U1050" s="213"/>
      <c r="V1050" s="213" t="str">
        <f>IFERROR(__xludf.DUMMYFUNCTION("""COMPUTED_VALUE"""),"-")</f>
        <v>-</v>
      </c>
      <c r="W1050" s="213" t="str">
        <f>IFERROR(__xludf.DUMMYFUNCTION("""COMPUTED_VALUE"""),"CRÍTICO")</f>
        <v>CRÍTICO</v>
      </c>
      <c r="X1050" s="213" t="str">
        <f>IFERROR(__xludf.DUMMYFUNCTION("""COMPUTED_VALUE"""),"A MEDIDA")</f>
        <v>A MEDIDA</v>
      </c>
      <c r="Y1050" s="213" t="str">
        <f>IFERROR(__xludf.DUMMYFUNCTION("""COMPUTED_VALUE"""),"A MEDIDA")</f>
        <v>A MEDIDA</v>
      </c>
      <c r="Z1050" s="213" t="str">
        <f>IFERROR(__xludf.DUMMYFUNCTION("""COMPUTED_VALUE"""),"A MEDIDA")</f>
        <v>A MEDIDA</v>
      </c>
      <c r="AA1050" s="213" t="str">
        <f>IFERROR(__xludf.DUMMYFUNCTION("""COMPUTED_VALUE"""),"MAT-117 BANNER DE LÍNEAS DEL TIEMPO CON TEMAS DEL TALLER- CET")</f>
        <v>MAT-117 BANNER DE LÍNEAS DEL TIEMPO CON TEMAS DEL TALLER- CET</v>
      </c>
      <c r="AB1050" s="213"/>
      <c r="AC1050" s="213"/>
      <c r="AD1050" s="213"/>
      <c r="AE1050" s="213"/>
      <c r="AF1050" s="213"/>
      <c r="AG1050" s="213"/>
      <c r="AH1050" s="213"/>
      <c r="AI1050" s="213"/>
      <c r="AJ1050" s="213"/>
      <c r="AK1050" s="213"/>
      <c r="AL1050" s="213"/>
      <c r="AM1050" s="213"/>
      <c r="AN1050" s="213"/>
      <c r="AO1050" s="213"/>
      <c r="AP1050" s="213" t="str">
        <f>IFERROR(__xludf.DUMMYFUNCTION("""COMPUTED_VALUE"""),"LUIS")</f>
        <v>LUIS</v>
      </c>
      <c r="AQ1050" s="213"/>
      <c r="AR1050" s="213"/>
      <c r="AS1050" s="213"/>
      <c r="AT1050" s="213"/>
      <c r="AU1050" s="213"/>
      <c r="AV1050" s="213"/>
      <c r="AW1050" s="213"/>
      <c r="AX1050" s="213"/>
      <c r="AY1050" s="213"/>
      <c r="AZ1050" s="213"/>
      <c r="BA1050" s="213"/>
      <c r="BB1050" s="213"/>
      <c r="BC1050" s="213"/>
      <c r="BD1050" s="213"/>
    </row>
    <row r="1051">
      <c r="A1051" s="213">
        <f>IFERROR(__xludf.DUMMYFUNCTION("""COMPUTED_VALUE"""),1713.0)</f>
        <v>1713</v>
      </c>
      <c r="B1051" s="213" t="str">
        <f>IFERROR(__xludf.DUMMYFUNCTION("""COMPUTED_VALUE"""),"GUILLERMO E. BILLINGHURST ")</f>
        <v>GUILLERMO E. BILLINGHURST </v>
      </c>
      <c r="C1051" s="213" t="str">
        <f>IFERROR(__xludf.DUMMYFUNCTION("""COMPUTED_VALUE"""),"TALLER SFT DE COMPUTACIÓN E INFORMÁTICA")</f>
        <v>TALLER SFT DE COMPUTACIÓN E INFORMÁTICA</v>
      </c>
      <c r="D1051" s="213" t="str">
        <f>IFERROR(__xludf.DUMMYFUNCTION("""COMPUTED_VALUE"""),"PEDAGOGICO")</f>
        <v>PEDAGOGICO</v>
      </c>
      <c r="E1051" s="213" t="str">
        <f>IFERROR(__xludf.DUMMYFUNCTION("""COMPUTED_VALUE"""),"MAT-117")</f>
        <v>MAT-117</v>
      </c>
      <c r="F1051" s="213" t="str">
        <f>IFERROR(__xludf.DUMMYFUNCTION("""COMPUTED_VALUE"""),"MAT-117")</f>
        <v>MAT-117</v>
      </c>
      <c r="G1051" s="213"/>
      <c r="H1051" s="213" t="str">
        <f>IFERROR(__xludf.DUMMYFUNCTION("""COMPUTED_VALUE"""),"BANNER DE LÍNEAS DEL TIEMPO CON TEMAS DEL TALLER")</f>
        <v>BANNER DE LÍNEAS DEL TIEMPO CON TEMAS DEL TALLER</v>
      </c>
      <c r="I1051" s="213" t="str">
        <f>IFERROR(__xludf.DUMMYFUNCTION("""COMPUTED_VALUE"""),"·  Material: Vinil ; Medidas: 98 cm x 78 cm
·  Impresión por un solo lado con las líneas del tiempo, que explican las ventajas de la aplicación de cada una en diferentes tiempos.
·  Incluye panel receptivo al magnetismo, laminado resistente y plegable en "&amp;"2, medidas 100 cm x 80 cm.
·  Presenta 50 siluetas de diversas figuras, impreso a todo color en material magnético, temas de la especialidad.")</f>
        <v>·  Material: Vinil ; Medidas: 98 cm x 78 cm
·  Impresión por un solo lado con las líneas del tiempo, que explican las ventajas de la aplicación de cada una en diferentes tiempos.
·  Incluye panel receptivo al magnetismo, laminado resistente y plegable en 2, medidas 100 cm x 80 cm.
·  Presenta 50 siluetas de diversas figuras, impreso a todo color en material magnético, temas de la especialidad.</v>
      </c>
      <c r="J1051" s="213">
        <f>IFERROR(__xludf.DUMMYFUNCTION("""COMPUTED_VALUE"""),3.0)</f>
        <v>3</v>
      </c>
      <c r="K1051" s="213" t="str">
        <f>IFERROR(__xludf.DUMMYFUNCTION("""COMPUTED_VALUE"""),"90 DÍAS CALENDARIO")</f>
        <v>90 DÍAS CALENDARIO</v>
      </c>
      <c r="L1051" s="213" t="str">
        <f>IFERROR(__xludf.DUMMYFUNCTION("""COMPUTED_VALUE"""),"")</f>
        <v/>
      </c>
      <c r="M1051" s="213">
        <f>IFERROR(__xludf.DUMMYFUNCTION("""COMPUTED_VALUE"""),1.0)</f>
        <v>1</v>
      </c>
      <c r="N1051" s="213">
        <f>IFERROR(__xludf.DUMMYFUNCTION("""COMPUTED_VALUE"""),4.0)</f>
        <v>4</v>
      </c>
      <c r="O1051" s="213">
        <f>IFERROR(__xludf.DUMMYFUNCTION("""COMPUTED_VALUE"""),4.0)</f>
        <v>4</v>
      </c>
      <c r="P1051" s="213"/>
      <c r="Q1051" s="213"/>
      <c r="R1051" s="213"/>
      <c r="S1051" s="213"/>
      <c r="T1051" s="213" t="str">
        <f>IFERROR(__xludf.DUMMYFUNCTION("""COMPUTED_VALUE"""),"CONSULTA FINAL")</f>
        <v>CONSULTA FINAL</v>
      </c>
      <c r="U1051" s="213"/>
      <c r="V1051" s="213" t="str">
        <f>IFERROR(__xludf.DUMMYFUNCTION("""COMPUTED_VALUE"""),"-")</f>
        <v>-</v>
      </c>
      <c r="W1051" s="213" t="str">
        <f>IFERROR(__xludf.DUMMYFUNCTION("""COMPUTED_VALUE"""),"CRÍTICO")</f>
        <v>CRÍTICO</v>
      </c>
      <c r="X1051" s="213" t="str">
        <f>IFERROR(__xludf.DUMMYFUNCTION("""COMPUTED_VALUE"""),"A MEDIDA")</f>
        <v>A MEDIDA</v>
      </c>
      <c r="Y1051" s="213" t="str">
        <f>IFERROR(__xludf.DUMMYFUNCTION("""COMPUTED_VALUE"""),"A MEDIDA")</f>
        <v>A MEDIDA</v>
      </c>
      <c r="Z1051" s="213" t="str">
        <f>IFERROR(__xludf.DUMMYFUNCTION("""COMPUTED_VALUE"""),"A MEDIDA")</f>
        <v>A MEDIDA</v>
      </c>
      <c r="AA1051" s="213" t="str">
        <f>IFERROR(__xludf.DUMMYFUNCTION("""COMPUTED_VALUE"""),"MAT-117 BANNER DE LÍNEAS DEL TIEMPO CON TEMAS DEL TALLER- CET")</f>
        <v>MAT-117 BANNER DE LÍNEAS DEL TIEMPO CON TEMAS DEL TALLER- CET</v>
      </c>
      <c r="AB1051" s="213"/>
      <c r="AC1051" s="213"/>
      <c r="AD1051" s="213"/>
      <c r="AE1051" s="213"/>
      <c r="AF1051" s="213"/>
      <c r="AG1051" s="213"/>
      <c r="AH1051" s="213"/>
      <c r="AI1051" s="213"/>
      <c r="AJ1051" s="213"/>
      <c r="AK1051" s="213"/>
      <c r="AL1051" s="213"/>
      <c r="AM1051" s="213"/>
      <c r="AN1051" s="213"/>
      <c r="AO1051" s="213"/>
      <c r="AP1051" s="213" t="str">
        <f>IFERROR(__xludf.DUMMYFUNCTION("""COMPUTED_VALUE"""),"LUIS")</f>
        <v>LUIS</v>
      </c>
      <c r="AQ1051" s="213"/>
      <c r="AR1051" s="213"/>
      <c r="AS1051" s="213"/>
      <c r="AT1051" s="213"/>
      <c r="AU1051" s="213"/>
      <c r="AV1051" s="213"/>
      <c r="AW1051" s="213"/>
      <c r="AX1051" s="213"/>
      <c r="AY1051" s="213"/>
      <c r="AZ1051" s="213"/>
      <c r="BA1051" s="213"/>
      <c r="BB1051" s="213"/>
      <c r="BC1051" s="213"/>
      <c r="BD1051" s="213"/>
    </row>
    <row r="1052">
      <c r="A1052" s="213">
        <f>IFERROR(__xludf.DUMMYFUNCTION("""COMPUTED_VALUE"""),1936.0)</f>
        <v>1936</v>
      </c>
      <c r="B1052" s="213" t="str">
        <f>IFERROR(__xludf.DUMMYFUNCTION("""COMPUTED_VALUE"""),"JOSE GRANDA")</f>
        <v>JOSE GRANDA</v>
      </c>
      <c r="C1052" s="213" t="str">
        <f>IFERROR(__xludf.DUMMYFUNCTION("""COMPUTED_VALUE"""),"TALLER SFT DE COMPUTACIÓN E INFORMÁTICA")</f>
        <v>TALLER SFT DE COMPUTACIÓN E INFORMÁTICA</v>
      </c>
      <c r="D1052" s="213" t="str">
        <f>IFERROR(__xludf.DUMMYFUNCTION("""COMPUTED_VALUE"""),"PEDAGOGICO")</f>
        <v>PEDAGOGICO</v>
      </c>
      <c r="E1052" s="213" t="str">
        <f>IFERROR(__xludf.DUMMYFUNCTION("""COMPUTED_VALUE"""),"MAT-117")</f>
        <v>MAT-117</v>
      </c>
      <c r="F1052" s="213" t="str">
        <f>IFERROR(__xludf.DUMMYFUNCTION("""COMPUTED_VALUE"""),"MAT-117")</f>
        <v>MAT-117</v>
      </c>
      <c r="G1052" s="213"/>
      <c r="H1052" s="213" t="str">
        <f>IFERROR(__xludf.DUMMYFUNCTION("""COMPUTED_VALUE"""),"BANNER DE LÍNEAS DEL TIEMPO CON TEMAS DEL TALLER")</f>
        <v>BANNER DE LÍNEAS DEL TIEMPO CON TEMAS DEL TALLER</v>
      </c>
      <c r="I1052" s="213" t="str">
        <f>IFERROR(__xludf.DUMMYFUNCTION("""COMPUTED_VALUE"""),"·  Material: Vinil ; Medidas: 98 cm x 78 cm
·  Impresión por un solo lado con las líneas del tiempo, que explican las ventajas de la aplicación de cada una en diferentes tiempos.
·  Incluye panel receptivo al magnetismo, laminado resistente y plegable en "&amp;"2, medidas 100 cm x 80 cm.
·  Presenta 50 siluetas de diversas figuras, impreso a todo color en material magnético, temas de la especialidad.")</f>
        <v>·  Material: Vinil ; Medidas: 98 cm x 78 cm
·  Impresión por un solo lado con las líneas del tiempo, que explican las ventajas de la aplicación de cada una en diferentes tiempos.
·  Incluye panel receptivo al magnetismo, laminado resistente y plegable en 2, medidas 100 cm x 80 cm.
·  Presenta 50 siluetas de diversas figuras, impreso a todo color en material magnético, temas de la especialidad.</v>
      </c>
      <c r="J1052" s="213">
        <f>IFERROR(__xludf.DUMMYFUNCTION("""COMPUTED_VALUE"""),3.0)</f>
        <v>3</v>
      </c>
      <c r="K1052" s="213" t="str">
        <f>IFERROR(__xludf.DUMMYFUNCTION("""COMPUTED_VALUE"""),"90 DÍAS CALENDARIO")</f>
        <v>90 DÍAS CALENDARIO</v>
      </c>
      <c r="L1052" s="213" t="str">
        <f>IFERROR(__xludf.DUMMYFUNCTION("""COMPUTED_VALUE"""),"")</f>
        <v/>
      </c>
      <c r="M1052" s="213">
        <f>IFERROR(__xludf.DUMMYFUNCTION("""COMPUTED_VALUE"""),1.0)</f>
        <v>1</v>
      </c>
      <c r="N1052" s="213">
        <f>IFERROR(__xludf.DUMMYFUNCTION("""COMPUTED_VALUE"""),4.0)</f>
        <v>4</v>
      </c>
      <c r="O1052" s="213">
        <f>IFERROR(__xludf.DUMMYFUNCTION("""COMPUTED_VALUE"""),4.0)</f>
        <v>4</v>
      </c>
      <c r="P1052" s="213"/>
      <c r="Q1052" s="213"/>
      <c r="R1052" s="213"/>
      <c r="S1052" s="213"/>
      <c r="T1052" s="213" t="str">
        <f>IFERROR(__xludf.DUMMYFUNCTION("""COMPUTED_VALUE"""),"CONSULTA FINAL")</f>
        <v>CONSULTA FINAL</v>
      </c>
      <c r="U1052" s="213"/>
      <c r="V1052" s="213" t="str">
        <f>IFERROR(__xludf.DUMMYFUNCTION("""COMPUTED_VALUE"""),"-")</f>
        <v>-</v>
      </c>
      <c r="W1052" s="213" t="str">
        <f>IFERROR(__xludf.DUMMYFUNCTION("""COMPUTED_VALUE"""),"CRÍTICO")</f>
        <v>CRÍTICO</v>
      </c>
      <c r="X1052" s="213" t="str">
        <f>IFERROR(__xludf.DUMMYFUNCTION("""COMPUTED_VALUE"""),"A MEDIDA")</f>
        <v>A MEDIDA</v>
      </c>
      <c r="Y1052" s="213" t="str">
        <f>IFERROR(__xludf.DUMMYFUNCTION("""COMPUTED_VALUE"""),"A MEDIDA")</f>
        <v>A MEDIDA</v>
      </c>
      <c r="Z1052" s="213" t="str">
        <f>IFERROR(__xludf.DUMMYFUNCTION("""COMPUTED_VALUE"""),"A MEDIDA")</f>
        <v>A MEDIDA</v>
      </c>
      <c r="AA1052" s="213" t="str">
        <f>IFERROR(__xludf.DUMMYFUNCTION("""COMPUTED_VALUE"""),"MAT-117 BANNER DE LÍNEAS DEL TIEMPO CON TEMAS DEL TALLER- CET")</f>
        <v>MAT-117 BANNER DE LÍNEAS DEL TIEMPO CON TEMAS DEL TALLER- CET</v>
      </c>
      <c r="AB1052" s="213"/>
      <c r="AC1052" s="213"/>
      <c r="AD1052" s="213"/>
      <c r="AE1052" s="213"/>
      <c r="AF1052" s="213"/>
      <c r="AG1052" s="213"/>
      <c r="AH1052" s="213"/>
      <c r="AI1052" s="213"/>
      <c r="AJ1052" s="213"/>
      <c r="AK1052" s="213"/>
      <c r="AL1052" s="213"/>
      <c r="AM1052" s="213"/>
      <c r="AN1052" s="213"/>
      <c r="AO1052" s="213"/>
      <c r="AP1052" s="213" t="str">
        <f>IFERROR(__xludf.DUMMYFUNCTION("""COMPUTED_VALUE"""),"LUIS")</f>
        <v>LUIS</v>
      </c>
      <c r="AQ1052" s="213"/>
      <c r="AR1052" s="213"/>
      <c r="AS1052" s="213"/>
      <c r="AT1052" s="213"/>
      <c r="AU1052" s="213"/>
      <c r="AV1052" s="213"/>
      <c r="AW1052" s="213"/>
      <c r="AX1052" s="213"/>
      <c r="AY1052" s="213"/>
      <c r="AZ1052" s="213"/>
      <c r="BA1052" s="213"/>
      <c r="BB1052" s="213"/>
      <c r="BC1052" s="213"/>
      <c r="BD1052" s="213"/>
    </row>
    <row r="1053">
      <c r="A1053" s="213">
        <f>IFERROR(__xludf.DUMMYFUNCTION("""COMPUTED_VALUE"""),960.0)</f>
        <v>960</v>
      </c>
      <c r="B1053" s="213" t="str">
        <f>IFERROR(__xludf.DUMMYFUNCTION("""COMPUTED_VALUE"""),"FRANCISCO IRAZOLA")</f>
        <v>FRANCISCO IRAZOLA</v>
      </c>
      <c r="C1053" s="213" t="str">
        <f>IFERROR(__xludf.DUMMYFUNCTION("""COMPUTED_VALUE"""),"TALLER SFT DE MECÁNICA AUTOMOTRIZ")</f>
        <v>TALLER SFT DE MECÁNICA AUTOMOTRIZ</v>
      </c>
      <c r="D1053" s="213" t="str">
        <f>IFERROR(__xludf.DUMMYFUNCTION("""COMPUTED_VALUE"""),"HERRAMIENTAS")</f>
        <v>HERRAMIENTAS</v>
      </c>
      <c r="E1053" s="213" t="str">
        <f>IFERROR(__xludf.DUMMYFUNCTION("""COMPUTED_VALUE"""),"MAT-119")</f>
        <v>MAT-119</v>
      </c>
      <c r="F1053" s="213" t="str">
        <f>IFERROR(__xludf.DUMMYFUNCTION("""COMPUTED_VALUE"""),"MAT-119")</f>
        <v>MAT-119</v>
      </c>
      <c r="G1053" s="213"/>
      <c r="H1053" s="213" t="str">
        <f>IFERROR(__xludf.DUMMYFUNCTION("""COMPUTED_VALUE"""),"BATERÍA")</f>
        <v>BATERÍA</v>
      </c>
      <c r="I1053" s="213" t="str">
        <f>IFERROR(__xludf.DUMMYFUNCTION("""COMPUTED_VALUE"""),"Polaridad (- +) positivo a la derecha, bajo mantenimiento. Composición: 15 Placas.
Voltaje: 12 V.
Amperaje: mínimo 90 A.
Material de la caja: Polipropileno.")</f>
        <v>Polaridad (- +) positivo a la derecha, bajo mantenimiento. Composición: 15 Placas.
Voltaje: 12 V.
Amperaje: mínimo 90 A.
Material de la caja: Polipropileno.</v>
      </c>
      <c r="J1053" s="213">
        <f>IFERROR(__xludf.DUMMYFUNCTION("""COMPUTED_VALUE"""),3.0)</f>
        <v>3</v>
      </c>
      <c r="K1053" s="213" t="str">
        <f>IFERROR(__xludf.DUMMYFUNCTION("""COMPUTED_VALUE"""),"90 DÍAS CALENDARIO")</f>
        <v>90 DÍAS CALENDARIO</v>
      </c>
      <c r="L1053" s="213" t="str">
        <f>IFERROR(__xludf.DUMMYFUNCTION("""COMPUTED_VALUE"""),"")</f>
        <v/>
      </c>
      <c r="M1053" s="213">
        <f>IFERROR(__xludf.DUMMYFUNCTION("""COMPUTED_VALUE"""),1.0)</f>
        <v>1</v>
      </c>
      <c r="N1053" s="213">
        <f>IFERROR(__xludf.DUMMYFUNCTION("""COMPUTED_VALUE"""),4.0)</f>
        <v>4</v>
      </c>
      <c r="O1053" s="213">
        <f>IFERROR(__xludf.DUMMYFUNCTION("""COMPUTED_VALUE"""),4.0)</f>
        <v>4</v>
      </c>
      <c r="P1053" s="213"/>
      <c r="Q1053" s="213"/>
      <c r="R1053" s="213" t="str">
        <f>IFERROR(__xludf.DUMMYFUNCTION("""COMPUTED_VALUE"""),"SI")</f>
        <v>SI</v>
      </c>
      <c r="S1053" s="213"/>
      <c r="T1053" s="213" t="str">
        <f>IFERROR(__xludf.DUMMYFUNCTION("""COMPUTED_VALUE"""),"SI")</f>
        <v>SI</v>
      </c>
      <c r="U1053" s="213" t="str">
        <f>IFERROR(__xludf.DUMMYFUNCTION("""COMPUTED_VALUE"""),"SI")</f>
        <v>SI</v>
      </c>
      <c r="V1053" s="213" t="str">
        <f>IFERROR(__xludf.DUMMYFUNCTION("""COMPUTED_VALUE"""),"-")</f>
        <v>-</v>
      </c>
      <c r="W1053" s="213" t="str">
        <f>IFERROR(__xludf.DUMMYFUNCTION("""COMPUTED_VALUE"""),"-")</f>
        <v>-</v>
      </c>
      <c r="X1053" s="213" t="str">
        <f>IFERROR(__xludf.DUMMYFUNCTION("""COMPUTED_VALUE"""),"ETNA")</f>
        <v>ETNA</v>
      </c>
      <c r="Y1053" s="213" t="str">
        <f>IFERROR(__xludf.DUMMYFUNCTION("""COMPUTED_VALUE"""),"S-1215EM")</f>
        <v>S-1215EM</v>
      </c>
      <c r="Z1053" s="215" t="str">
        <f>IFERROR(__xludf.DUMMYFUNCTION("""COMPUTED_VALUE"""),"https://sodimac.falabella.com.pe/sodimac-pe/product/113316296/Bateria-para-Auto-Etna-15-Placas-90Ah-S-1215EM-PL/113316299")</f>
        <v>https://sodimac.falabella.com.pe/sodimac-pe/product/113316296/Bateria-para-Auto-Etna-15-Placas-90Ah-S-1215EM-PL/113316299</v>
      </c>
      <c r="AA1053" s="213" t="str">
        <f>IFERROR(__xludf.DUMMYFUNCTION("""COMPUTED_VALUE"""),"MAT-119 BATERÍA - CET")</f>
        <v>MAT-119 BATERÍA - CET</v>
      </c>
      <c r="AB1053" s="215" t="str">
        <f>IFERROR(__xludf.DUMMYFUNCTION("""COMPUTED_VALUE"""),"https://drive.google.com/file/d/1GsKz7N3sBWRnQXndfXEoXXYO6plWBBHD/view?usp=sharing")</f>
        <v>https://drive.google.com/file/d/1GsKz7N3sBWRnQXndfXEoXXYO6plWBBHD/view?usp=sharing</v>
      </c>
      <c r="AC1053" s="215" t="str">
        <f>IFERROR(__xludf.DUMMYFUNCTION("""COMPUTED_VALUE"""),"https://sodimac.falabella.com.pe/sodimac-pe/product/113316296/Bateria-para-Auto-Etna-15-Placas-90Ah-S-1215EM-PL/113316299")</f>
        <v>https://sodimac.falabella.com.pe/sodimac-pe/product/113316296/Bateria-para-Auto-Etna-15-Placas-90Ah-S-1215EM-PL/113316299</v>
      </c>
      <c r="AD1053" s="213"/>
      <c r="AE1053" s="213"/>
      <c r="AF1053" s="213"/>
      <c r="AG1053" s="213"/>
      <c r="AH1053" s="213" t="str">
        <f>IFERROR(__xludf.DUMMYFUNCTION("""COMPUTED_VALUE"""),"NACIONAL")</f>
        <v>NACIONAL</v>
      </c>
      <c r="AI1053" s="213"/>
      <c r="AJ1053" s="213"/>
      <c r="AK1053" s="213"/>
      <c r="AL1053" s="213"/>
      <c r="AM1053" s="213"/>
      <c r="AN1053" s="213"/>
      <c r="AO1053" s="213"/>
      <c r="AP1053" s="213" t="str">
        <f>IFERROR(__xludf.DUMMYFUNCTION("""COMPUTED_VALUE"""),"LUIS")</f>
        <v>LUIS</v>
      </c>
      <c r="AQ1053" s="213"/>
      <c r="AR1053" s="213"/>
      <c r="AS1053" s="213"/>
      <c r="AT1053" s="213"/>
      <c r="AU1053" s="213"/>
      <c r="AV1053" s="213"/>
      <c r="AW1053" s="213"/>
      <c r="AX1053" s="213"/>
      <c r="AY1053" s="213"/>
      <c r="AZ1053" s="213"/>
      <c r="BA1053" s="213"/>
      <c r="BB1053" s="213"/>
      <c r="BC1053" s="213"/>
      <c r="BD1053" s="213"/>
    </row>
    <row r="1054">
      <c r="A1054" s="213">
        <f>IFERROR(__xludf.DUMMYFUNCTION("""COMPUTED_VALUE"""),1561.0)</f>
        <v>1561</v>
      </c>
      <c r="B1054" s="213" t="str">
        <f>IFERROR(__xludf.DUMMYFUNCTION("""COMPUTED_VALUE"""),"GUILLERMO E. BILLINGHURST ")</f>
        <v>GUILLERMO E. BILLINGHURST </v>
      </c>
      <c r="C1054" s="213" t="str">
        <f>IFERROR(__xludf.DUMMYFUNCTION("""COMPUTED_VALUE"""),"TALLER SFT DE MECÁNICA AUTOMOTRIZ")</f>
        <v>TALLER SFT DE MECÁNICA AUTOMOTRIZ</v>
      </c>
      <c r="D1054" s="213" t="str">
        <f>IFERROR(__xludf.DUMMYFUNCTION("""COMPUTED_VALUE"""),"HERRAMIENTAS")</f>
        <v>HERRAMIENTAS</v>
      </c>
      <c r="E1054" s="213" t="str">
        <f>IFERROR(__xludf.DUMMYFUNCTION("""COMPUTED_VALUE"""),"MAT-119")</f>
        <v>MAT-119</v>
      </c>
      <c r="F1054" s="213" t="str">
        <f>IFERROR(__xludf.DUMMYFUNCTION("""COMPUTED_VALUE"""),"MAT-119")</f>
        <v>MAT-119</v>
      </c>
      <c r="G1054" s="213"/>
      <c r="H1054" s="213" t="str">
        <f>IFERROR(__xludf.DUMMYFUNCTION("""COMPUTED_VALUE"""),"BATERÍA")</f>
        <v>BATERÍA</v>
      </c>
      <c r="I1054" s="213" t="str">
        <f>IFERROR(__xludf.DUMMYFUNCTION("""COMPUTED_VALUE"""),"Polaridad (- +) positivo a la derecha, bajo mantenimiento. Composición: 15 Placas.
Voltaje: 12 V.
Amperaje: mínimo 90 A.
Material de la caja: Polipropileno.")</f>
        <v>Polaridad (- +) positivo a la derecha, bajo mantenimiento. Composición: 15 Placas.
Voltaje: 12 V.
Amperaje: mínimo 90 A.
Material de la caja: Polipropileno.</v>
      </c>
      <c r="J1054" s="213">
        <f>IFERROR(__xludf.DUMMYFUNCTION("""COMPUTED_VALUE"""),3.0)</f>
        <v>3</v>
      </c>
      <c r="K1054" s="213" t="str">
        <f>IFERROR(__xludf.DUMMYFUNCTION("""COMPUTED_VALUE"""),"90 DÍAS CALENDARIO")</f>
        <v>90 DÍAS CALENDARIO</v>
      </c>
      <c r="L1054" s="213" t="str">
        <f>IFERROR(__xludf.DUMMYFUNCTION("""COMPUTED_VALUE"""),"")</f>
        <v/>
      </c>
      <c r="M1054" s="213">
        <f>IFERROR(__xludf.DUMMYFUNCTION("""COMPUTED_VALUE"""),1.0)</f>
        <v>1</v>
      </c>
      <c r="N1054" s="213">
        <f>IFERROR(__xludf.DUMMYFUNCTION("""COMPUTED_VALUE"""),4.0)</f>
        <v>4</v>
      </c>
      <c r="O1054" s="213">
        <f>IFERROR(__xludf.DUMMYFUNCTION("""COMPUTED_VALUE"""),4.0)</f>
        <v>4</v>
      </c>
      <c r="P1054" s="213"/>
      <c r="Q1054" s="213"/>
      <c r="R1054" s="213" t="str">
        <f>IFERROR(__xludf.DUMMYFUNCTION("""COMPUTED_VALUE"""),"SI")</f>
        <v>SI</v>
      </c>
      <c r="S1054" s="213"/>
      <c r="T1054" s="213" t="str">
        <f>IFERROR(__xludf.DUMMYFUNCTION("""COMPUTED_VALUE"""),"SI")</f>
        <v>SI</v>
      </c>
      <c r="U1054" s="213" t="str">
        <f>IFERROR(__xludf.DUMMYFUNCTION("""COMPUTED_VALUE"""),"SI")</f>
        <v>SI</v>
      </c>
      <c r="V1054" s="213" t="str">
        <f>IFERROR(__xludf.DUMMYFUNCTION("""COMPUTED_VALUE"""),"-")</f>
        <v>-</v>
      </c>
      <c r="W1054" s="213" t="str">
        <f>IFERROR(__xludf.DUMMYFUNCTION("""COMPUTED_VALUE"""),"-")</f>
        <v>-</v>
      </c>
      <c r="X1054" s="213" t="str">
        <f>IFERROR(__xludf.DUMMYFUNCTION("""COMPUTED_VALUE"""),"ETNA")</f>
        <v>ETNA</v>
      </c>
      <c r="Y1054" s="213" t="str">
        <f>IFERROR(__xludf.DUMMYFUNCTION("""COMPUTED_VALUE"""),"S-1215EM")</f>
        <v>S-1215EM</v>
      </c>
      <c r="Z1054" s="215" t="str">
        <f>IFERROR(__xludf.DUMMYFUNCTION("""COMPUTED_VALUE"""),"https://sodimac.falabella.com.pe/sodimac-pe/product/113316296/Bateria-para-Auto-Etna-15-Placas-90Ah-S-1215EM-PL/113316299")</f>
        <v>https://sodimac.falabella.com.pe/sodimac-pe/product/113316296/Bateria-para-Auto-Etna-15-Placas-90Ah-S-1215EM-PL/113316299</v>
      </c>
      <c r="AA1054" s="213" t="str">
        <f>IFERROR(__xludf.DUMMYFUNCTION("""COMPUTED_VALUE"""),"MAT-119 BATERÍA - CET")</f>
        <v>MAT-119 BATERÍA - CET</v>
      </c>
      <c r="AB1054" s="215" t="str">
        <f>IFERROR(__xludf.DUMMYFUNCTION("""COMPUTED_VALUE"""),"https://drive.google.com/file/d/1GsKz7N3sBWRnQXndfXEoXXYO6plWBBHD/view?usp=sharing")</f>
        <v>https://drive.google.com/file/d/1GsKz7N3sBWRnQXndfXEoXXYO6plWBBHD/view?usp=sharing</v>
      </c>
      <c r="AC1054" s="215" t="str">
        <f>IFERROR(__xludf.DUMMYFUNCTION("""COMPUTED_VALUE"""),"https://sodimac.falabella.com.pe/sodimac-pe/product/113316296/Bateria-para-Auto-Etna-15-Placas-90Ah-S-1215EM-PL/113316299")</f>
        <v>https://sodimac.falabella.com.pe/sodimac-pe/product/113316296/Bateria-para-Auto-Etna-15-Placas-90Ah-S-1215EM-PL/113316299</v>
      </c>
      <c r="AD1054" s="213"/>
      <c r="AE1054" s="213"/>
      <c r="AF1054" s="213"/>
      <c r="AG1054" s="213"/>
      <c r="AH1054" s="213" t="str">
        <f>IFERROR(__xludf.DUMMYFUNCTION("""COMPUTED_VALUE"""),"NACIONAL")</f>
        <v>NACIONAL</v>
      </c>
      <c r="AI1054" s="213"/>
      <c r="AJ1054" s="213"/>
      <c r="AK1054" s="213"/>
      <c r="AL1054" s="213"/>
      <c r="AM1054" s="213"/>
      <c r="AN1054" s="213"/>
      <c r="AO1054" s="213"/>
      <c r="AP1054" s="213" t="str">
        <f>IFERROR(__xludf.DUMMYFUNCTION("""COMPUTED_VALUE"""),"LUIS")</f>
        <v>LUIS</v>
      </c>
      <c r="AQ1054" s="213"/>
      <c r="AR1054" s="213"/>
      <c r="AS1054" s="213"/>
      <c r="AT1054" s="213"/>
      <c r="AU1054" s="213"/>
      <c r="AV1054" s="213"/>
      <c r="AW1054" s="213"/>
      <c r="AX1054" s="213"/>
      <c r="AY1054" s="213"/>
      <c r="AZ1054" s="213"/>
      <c r="BA1054" s="213"/>
      <c r="BB1054" s="213"/>
      <c r="BC1054" s="213"/>
      <c r="BD1054" s="213"/>
    </row>
    <row r="1055">
      <c r="A1055" s="213">
        <f>IFERROR(__xludf.DUMMYFUNCTION("""COMPUTED_VALUE"""),2253.0)</f>
        <v>2253</v>
      </c>
      <c r="B1055" s="213" t="str">
        <f>IFERROR(__xludf.DUMMYFUNCTION("""COMPUTED_VALUE"""),"JOSE GRANDA")</f>
        <v>JOSE GRANDA</v>
      </c>
      <c r="C1055" s="213" t="str">
        <f>IFERROR(__xludf.DUMMYFUNCTION("""COMPUTED_VALUE"""),"TALLER SFT DE MECÁNICA AUTOMOTRIZ")</f>
        <v>TALLER SFT DE MECÁNICA AUTOMOTRIZ</v>
      </c>
      <c r="D1055" s="213" t="str">
        <f>IFERROR(__xludf.DUMMYFUNCTION("""COMPUTED_VALUE"""),"HERRAMIENTAS")</f>
        <v>HERRAMIENTAS</v>
      </c>
      <c r="E1055" s="213" t="str">
        <f>IFERROR(__xludf.DUMMYFUNCTION("""COMPUTED_VALUE"""),"MAT-119")</f>
        <v>MAT-119</v>
      </c>
      <c r="F1055" s="213" t="str">
        <f>IFERROR(__xludf.DUMMYFUNCTION("""COMPUTED_VALUE"""),"MAT-119")</f>
        <v>MAT-119</v>
      </c>
      <c r="G1055" s="213"/>
      <c r="H1055" s="213" t="str">
        <f>IFERROR(__xludf.DUMMYFUNCTION("""COMPUTED_VALUE"""),"BATERÍA")</f>
        <v>BATERÍA</v>
      </c>
      <c r="I1055" s="213" t="str">
        <f>IFERROR(__xludf.DUMMYFUNCTION("""COMPUTED_VALUE"""),"Polaridad (- +) positivo a la derecha, bajo mantenimiento. Composición: 15 Placas.
Voltaje: 12 V.
Amperaje: mínimo 90 A.
Material de la caja: Polipropileno.")</f>
        <v>Polaridad (- +) positivo a la derecha, bajo mantenimiento. Composición: 15 Placas.
Voltaje: 12 V.
Amperaje: mínimo 90 A.
Material de la caja: Polipropileno.</v>
      </c>
      <c r="J1055" s="213">
        <f>IFERROR(__xludf.DUMMYFUNCTION("""COMPUTED_VALUE"""),3.0)</f>
        <v>3</v>
      </c>
      <c r="K1055" s="213" t="str">
        <f>IFERROR(__xludf.DUMMYFUNCTION("""COMPUTED_VALUE"""),"90 DÍAS CALENDARIO")</f>
        <v>90 DÍAS CALENDARIO</v>
      </c>
      <c r="L1055" s="213" t="str">
        <f>IFERROR(__xludf.DUMMYFUNCTION("""COMPUTED_VALUE"""),"")</f>
        <v/>
      </c>
      <c r="M1055" s="213">
        <f>IFERROR(__xludf.DUMMYFUNCTION("""COMPUTED_VALUE"""),1.0)</f>
        <v>1</v>
      </c>
      <c r="N1055" s="213">
        <f>IFERROR(__xludf.DUMMYFUNCTION("""COMPUTED_VALUE"""),4.0)</f>
        <v>4</v>
      </c>
      <c r="O1055" s="213">
        <f>IFERROR(__xludf.DUMMYFUNCTION("""COMPUTED_VALUE"""),4.0)</f>
        <v>4</v>
      </c>
      <c r="P1055" s="213"/>
      <c r="Q1055" s="213"/>
      <c r="R1055" s="213" t="str">
        <f>IFERROR(__xludf.DUMMYFUNCTION("""COMPUTED_VALUE"""),"SI")</f>
        <v>SI</v>
      </c>
      <c r="S1055" s="213"/>
      <c r="T1055" s="213" t="str">
        <f>IFERROR(__xludf.DUMMYFUNCTION("""COMPUTED_VALUE"""),"SI")</f>
        <v>SI</v>
      </c>
      <c r="U1055" s="213" t="str">
        <f>IFERROR(__xludf.DUMMYFUNCTION("""COMPUTED_VALUE"""),"SI")</f>
        <v>SI</v>
      </c>
      <c r="V1055" s="213" t="str">
        <f>IFERROR(__xludf.DUMMYFUNCTION("""COMPUTED_VALUE"""),"-")</f>
        <v>-</v>
      </c>
      <c r="W1055" s="213" t="str">
        <f>IFERROR(__xludf.DUMMYFUNCTION("""COMPUTED_VALUE"""),"-")</f>
        <v>-</v>
      </c>
      <c r="X1055" s="213" t="str">
        <f>IFERROR(__xludf.DUMMYFUNCTION("""COMPUTED_VALUE"""),"ETNA")</f>
        <v>ETNA</v>
      </c>
      <c r="Y1055" s="213" t="str">
        <f>IFERROR(__xludf.DUMMYFUNCTION("""COMPUTED_VALUE"""),"S-1215EM")</f>
        <v>S-1215EM</v>
      </c>
      <c r="Z1055" s="215" t="str">
        <f>IFERROR(__xludf.DUMMYFUNCTION("""COMPUTED_VALUE"""),"https://sodimac.falabella.com.pe/sodimac-pe/product/113316296/Bateria-para-Auto-Etna-15-Placas-90Ah-S-1215EM-PL/113316299")</f>
        <v>https://sodimac.falabella.com.pe/sodimac-pe/product/113316296/Bateria-para-Auto-Etna-15-Placas-90Ah-S-1215EM-PL/113316299</v>
      </c>
      <c r="AA1055" s="213" t="str">
        <f>IFERROR(__xludf.DUMMYFUNCTION("""COMPUTED_VALUE"""),"MAT-119 BATERÍA - CET")</f>
        <v>MAT-119 BATERÍA - CET</v>
      </c>
      <c r="AB1055" s="215" t="str">
        <f>IFERROR(__xludf.DUMMYFUNCTION("""COMPUTED_VALUE"""),"https://drive.google.com/file/d/1GsKz7N3sBWRnQXndfXEoXXYO6plWBBHD/view?usp=sharing")</f>
        <v>https://drive.google.com/file/d/1GsKz7N3sBWRnQXndfXEoXXYO6plWBBHD/view?usp=sharing</v>
      </c>
      <c r="AC1055" s="215" t="str">
        <f>IFERROR(__xludf.DUMMYFUNCTION("""COMPUTED_VALUE"""),"https://sodimac.falabella.com.pe/sodimac-pe/product/113316296/Bateria-para-Auto-Etna-15-Placas-90Ah-S-1215EM-PL/113316299")</f>
        <v>https://sodimac.falabella.com.pe/sodimac-pe/product/113316296/Bateria-para-Auto-Etna-15-Placas-90Ah-S-1215EM-PL/113316299</v>
      </c>
      <c r="AD1055" s="213"/>
      <c r="AE1055" s="213"/>
      <c r="AF1055" s="213"/>
      <c r="AG1055" s="213"/>
      <c r="AH1055" s="213" t="str">
        <f>IFERROR(__xludf.DUMMYFUNCTION("""COMPUTED_VALUE"""),"NACIONAL")</f>
        <v>NACIONAL</v>
      </c>
      <c r="AI1055" s="213"/>
      <c r="AJ1055" s="213"/>
      <c r="AK1055" s="213"/>
      <c r="AL1055" s="213"/>
      <c r="AM1055" s="213"/>
      <c r="AN1055" s="213"/>
      <c r="AO1055" s="213"/>
      <c r="AP1055" s="213" t="str">
        <f>IFERROR(__xludf.DUMMYFUNCTION("""COMPUTED_VALUE"""),"LUIS")</f>
        <v>LUIS</v>
      </c>
      <c r="AQ1055" s="213"/>
      <c r="AR1055" s="213"/>
      <c r="AS1055" s="213"/>
      <c r="AT1055" s="213"/>
      <c r="AU1055" s="213"/>
      <c r="AV1055" s="213"/>
      <c r="AW1055" s="213"/>
      <c r="AX1055" s="213"/>
      <c r="AY1055" s="213"/>
      <c r="AZ1055" s="213"/>
      <c r="BA1055" s="213"/>
      <c r="BB1055" s="213"/>
      <c r="BC1055" s="213"/>
      <c r="BD1055" s="213"/>
    </row>
    <row r="1056">
      <c r="A1056" s="213">
        <f>IFERROR(__xludf.DUMMYFUNCTION("""COMPUTED_VALUE"""),517.0)</f>
        <v>517</v>
      </c>
      <c r="B1056" s="213" t="str">
        <f>IFERROR(__xludf.DUMMYFUNCTION("""COMPUTED_VALUE"""),"2026 SIMON BOLIVAR")</f>
        <v>2026 SIMON BOLIVAR</v>
      </c>
      <c r="C1056" s="213" t="str">
        <f>IFERROR(__xludf.DUMMYFUNCTION("""COMPUTED_VALUE"""),"TALLER SFT DE INDUSTRIA ALIMENTARIA")</f>
        <v>TALLER SFT DE INDUSTRIA ALIMENTARIA</v>
      </c>
      <c r="D1056" s="213" t="str">
        <f>IFERROR(__xludf.DUMMYFUNCTION("""COMPUTED_VALUE"""),"HERRAMIENTAS")</f>
        <v>HERRAMIENTAS</v>
      </c>
      <c r="E1056" s="213" t="str">
        <f>IFERROR(__xludf.DUMMYFUNCTION("""COMPUTED_VALUE"""),"MAT-120")</f>
        <v>MAT-120</v>
      </c>
      <c r="F1056" s="213" t="str">
        <f>IFERROR(__xludf.DUMMYFUNCTION("""COMPUTED_VALUE"""),"MAT-120")</f>
        <v>MAT-120</v>
      </c>
      <c r="G1056" s="213"/>
      <c r="H1056" s="213" t="str">
        <f>IFERROR(__xludf.DUMMYFUNCTION("""COMPUTED_VALUE"""),"BATIDOR MANUAL")</f>
        <v>BATIDOR MANUAL</v>
      </c>
      <c r="I1056" s="213" t="str">
        <f>IFERROR(__xludf.DUMMYFUNCTION("""COMPUTED_VALUE"""),"· Material: acero inoxidable
· Tamaño: 30cm mínimo")</f>
        <v>· Material: acero inoxidable
· Tamaño: 30cm mínimo</v>
      </c>
      <c r="J1056" s="213">
        <f>IFERROR(__xludf.DUMMYFUNCTION("""COMPUTED_VALUE"""),3.0)</f>
        <v>3</v>
      </c>
      <c r="K1056" s="213" t="str">
        <f>IFERROR(__xludf.DUMMYFUNCTION("""COMPUTED_VALUE"""),"90 DÍAS CALENDARIO")</f>
        <v>90 DÍAS CALENDARIO</v>
      </c>
      <c r="L1056" s="213" t="str">
        <f>IFERROR(__xludf.DUMMYFUNCTION("""COMPUTED_VALUE"""),"")</f>
        <v/>
      </c>
      <c r="M1056" s="213">
        <f>IFERROR(__xludf.DUMMYFUNCTION("""COMPUTED_VALUE"""),1.0)</f>
        <v>1</v>
      </c>
      <c r="N1056" s="213">
        <f>IFERROR(__xludf.DUMMYFUNCTION("""COMPUTED_VALUE"""),5.0)</f>
        <v>5</v>
      </c>
      <c r="O1056" s="213">
        <f>IFERROR(__xludf.DUMMYFUNCTION("""COMPUTED_VALUE"""),5.0)</f>
        <v>5</v>
      </c>
      <c r="P1056" s="213"/>
      <c r="Q1056" s="213"/>
      <c r="R1056" s="213" t="str">
        <f>IFERROR(__xludf.DUMMYFUNCTION("""COMPUTED_VALUE"""),"SI")</f>
        <v>SI</v>
      </c>
      <c r="S1056" s="213"/>
      <c r="T1056" s="213" t="str">
        <f>IFERROR(__xludf.DUMMYFUNCTION("""COMPUTED_VALUE"""),"SI")</f>
        <v>SI</v>
      </c>
      <c r="U1056" s="213" t="str">
        <f>IFERROR(__xludf.DUMMYFUNCTION("""COMPUTED_VALUE"""),"SI")</f>
        <v>SI</v>
      </c>
      <c r="V1056" s="213" t="str">
        <f>IFERROR(__xludf.DUMMYFUNCTION("""COMPUTED_VALUE"""),"-")</f>
        <v>-</v>
      </c>
      <c r="W1056" s="213" t="str">
        <f>IFERROR(__xludf.DUMMYFUNCTION("""COMPUTED_VALUE"""),"-")</f>
        <v>-</v>
      </c>
      <c r="X1056" s="213" t="str">
        <f>IFERROR(__xludf.DUMMYFUNCTION("""COMPUTED_VALUE"""),"TRAMONTINA")</f>
        <v>TRAMONTINA</v>
      </c>
      <c r="Y1056" s="213" t="str">
        <f>IFERROR(__xludf.DUMMYFUNCTION("""COMPUTED_VALUE"""),"TRAMONTINA")</f>
        <v>TRAMONTINA</v>
      </c>
      <c r="Z1056" s="215" t="str">
        <f>IFERROR(__xludf.DUMMYFUNCTION("""COMPUTED_VALUE"""),"https://www.tramontina.com.pe/batidor-manual-marffim-de-acero-inoxidable-de-32-cm-tramontina_63809530/p?srsltid=AfmBOopiEUk53igz7csaroqjgk56ok_LCmBxtb8uhT_5XP-GcBF1Wq67")</f>
        <v>https://www.tramontina.com.pe/batidor-manual-marffim-de-acero-inoxidable-de-32-cm-tramontina_63809530/p?srsltid=AfmBOopiEUk53igz7csaroqjgk56ok_LCmBxtb8uhT_5XP-GcBF1Wq67</v>
      </c>
      <c r="AA1056" s="213" t="str">
        <f>IFERROR(__xludf.DUMMYFUNCTION("""COMPUTED_VALUE"""),"MAT-120 BATIDOR MANUAL - CET")</f>
        <v>MAT-120 BATIDOR MANUAL - CET</v>
      </c>
      <c r="AB1056" s="215" t="str">
        <f>IFERROR(__xludf.DUMMYFUNCTION("""COMPUTED_VALUE"""),"https://drive.google.com/file/d/1xhd3SJ0A0FHAHRZ7BayEv4ely7x0QnDL/view?usp=sharing")</f>
        <v>https://drive.google.com/file/d/1xhd3SJ0A0FHAHRZ7BayEv4ely7x0QnDL/view?usp=sharing</v>
      </c>
      <c r="AC1056" s="215" t="str">
        <f>IFERROR(__xludf.DUMMYFUNCTION("""COMPUTED_VALUE"""),"https://www.amazon.com/-/es/Table-Batidor-franc%C3%A9s-inoxidable-plateado/dp/B0743WJ858?th=1")</f>
        <v>https://www.amazon.com/-/es/Table-Batidor-franc%C3%A9s-inoxidable-plateado/dp/B0743WJ858?th=1</v>
      </c>
      <c r="AD1056" s="213"/>
      <c r="AE1056" s="213"/>
      <c r="AF1056" s="213"/>
      <c r="AG1056" s="213"/>
      <c r="AH1056" s="213" t="str">
        <f>IFERROR(__xludf.DUMMYFUNCTION("""COMPUTED_VALUE"""),"IMPORTADO")</f>
        <v>IMPORTADO</v>
      </c>
      <c r="AI1056" s="213"/>
      <c r="AJ1056" s="213"/>
      <c r="AK1056" s="213"/>
      <c r="AL1056" s="213"/>
      <c r="AM1056" s="213"/>
      <c r="AN1056" s="213"/>
      <c r="AO1056" s="213"/>
      <c r="AP1056" s="213" t="str">
        <f>IFERROR(__xludf.DUMMYFUNCTION("""COMPUTED_VALUE"""),"LUIS")</f>
        <v>LUIS</v>
      </c>
      <c r="AQ1056" s="213"/>
      <c r="AR1056" s="213"/>
      <c r="AS1056" s="213"/>
      <c r="AT1056" s="213"/>
      <c r="AU1056" s="213"/>
      <c r="AV1056" s="213"/>
      <c r="AW1056" s="213"/>
      <c r="AX1056" s="213"/>
      <c r="AY1056" s="213"/>
      <c r="AZ1056" s="213"/>
      <c r="BA1056" s="213"/>
      <c r="BB1056" s="213"/>
      <c r="BC1056" s="213"/>
      <c r="BD1056" s="213"/>
    </row>
    <row r="1057">
      <c r="A1057" s="213">
        <f>IFERROR(__xludf.DUMMYFUNCTION("""COMPUTED_VALUE"""),1147.0)</f>
        <v>1147</v>
      </c>
      <c r="B1057" s="213" t="str">
        <f>IFERROR(__xludf.DUMMYFUNCTION("""COMPUTED_VALUE"""),"FRANCISCO IRAZOLA")</f>
        <v>FRANCISCO IRAZOLA</v>
      </c>
      <c r="C1057" s="213" t="str">
        <f>IFERROR(__xludf.DUMMYFUNCTION("""COMPUTED_VALUE"""),"TALLER SFT DE INDUSTRIA ALIMENTARIA")</f>
        <v>TALLER SFT DE INDUSTRIA ALIMENTARIA</v>
      </c>
      <c r="D1057" s="213" t="str">
        <f>IFERROR(__xludf.DUMMYFUNCTION("""COMPUTED_VALUE"""),"HERRAMIENTAS")</f>
        <v>HERRAMIENTAS</v>
      </c>
      <c r="E1057" s="213" t="str">
        <f>IFERROR(__xludf.DUMMYFUNCTION("""COMPUTED_VALUE"""),"MAT-120")</f>
        <v>MAT-120</v>
      </c>
      <c r="F1057" s="213" t="str">
        <f>IFERROR(__xludf.DUMMYFUNCTION("""COMPUTED_VALUE"""),"MAT-120")</f>
        <v>MAT-120</v>
      </c>
      <c r="G1057" s="213"/>
      <c r="H1057" s="213" t="str">
        <f>IFERROR(__xludf.DUMMYFUNCTION("""COMPUTED_VALUE"""),"BATIDOR MANUAL")</f>
        <v>BATIDOR MANUAL</v>
      </c>
      <c r="I1057" s="213" t="str">
        <f>IFERROR(__xludf.DUMMYFUNCTION("""COMPUTED_VALUE"""),"· Material: acero inoxidable
· Tamaño: 30cm mínimo")</f>
        <v>· Material: acero inoxidable
· Tamaño: 30cm mínimo</v>
      </c>
      <c r="J1057" s="213">
        <f>IFERROR(__xludf.DUMMYFUNCTION("""COMPUTED_VALUE"""),3.0)</f>
        <v>3</v>
      </c>
      <c r="K1057" s="213" t="str">
        <f>IFERROR(__xludf.DUMMYFUNCTION("""COMPUTED_VALUE"""),"90 DÍAS CALENDARIO")</f>
        <v>90 DÍAS CALENDARIO</v>
      </c>
      <c r="L1057" s="213" t="str">
        <f>IFERROR(__xludf.DUMMYFUNCTION("""COMPUTED_VALUE"""),"")</f>
        <v/>
      </c>
      <c r="M1057" s="213">
        <f>IFERROR(__xludf.DUMMYFUNCTION("""COMPUTED_VALUE"""),1.0)</f>
        <v>1</v>
      </c>
      <c r="N1057" s="213">
        <f>IFERROR(__xludf.DUMMYFUNCTION("""COMPUTED_VALUE"""),5.0)</f>
        <v>5</v>
      </c>
      <c r="O1057" s="213">
        <f>IFERROR(__xludf.DUMMYFUNCTION("""COMPUTED_VALUE"""),5.0)</f>
        <v>5</v>
      </c>
      <c r="P1057" s="213"/>
      <c r="Q1057" s="213"/>
      <c r="R1057" s="213" t="str">
        <f>IFERROR(__xludf.DUMMYFUNCTION("""COMPUTED_VALUE"""),"SI")</f>
        <v>SI</v>
      </c>
      <c r="S1057" s="213"/>
      <c r="T1057" s="213" t="str">
        <f>IFERROR(__xludf.DUMMYFUNCTION("""COMPUTED_VALUE"""),"SI")</f>
        <v>SI</v>
      </c>
      <c r="U1057" s="213" t="str">
        <f>IFERROR(__xludf.DUMMYFUNCTION("""COMPUTED_VALUE"""),"SI")</f>
        <v>SI</v>
      </c>
      <c r="V1057" s="213" t="str">
        <f>IFERROR(__xludf.DUMMYFUNCTION("""COMPUTED_VALUE"""),"-")</f>
        <v>-</v>
      </c>
      <c r="W1057" s="213" t="str">
        <f>IFERROR(__xludf.DUMMYFUNCTION("""COMPUTED_VALUE"""),"-")</f>
        <v>-</v>
      </c>
      <c r="X1057" s="213" t="str">
        <f>IFERROR(__xludf.DUMMYFUNCTION("""COMPUTED_VALUE"""),"TRAMONTINA")</f>
        <v>TRAMONTINA</v>
      </c>
      <c r="Y1057" s="213" t="str">
        <f>IFERROR(__xludf.DUMMYFUNCTION("""COMPUTED_VALUE"""),"TRAMONTINA")</f>
        <v>TRAMONTINA</v>
      </c>
      <c r="Z1057" s="215" t="str">
        <f>IFERROR(__xludf.DUMMYFUNCTION("""COMPUTED_VALUE"""),"https://www.tramontina.com.pe/batidor-manual-marffim-de-acero-inoxidable-de-32-cm-tramontina_63809530/p?srsltid=AfmBOopiEUk53igz7csaroqjgk56ok_LCmBxtb8uhT_5XP-GcBF1Wq67")</f>
        <v>https://www.tramontina.com.pe/batidor-manual-marffim-de-acero-inoxidable-de-32-cm-tramontina_63809530/p?srsltid=AfmBOopiEUk53igz7csaroqjgk56ok_LCmBxtb8uhT_5XP-GcBF1Wq67</v>
      </c>
      <c r="AA1057" s="213" t="str">
        <f>IFERROR(__xludf.DUMMYFUNCTION("""COMPUTED_VALUE"""),"MAT-120 BATIDOR MANUAL - CET")</f>
        <v>MAT-120 BATIDOR MANUAL - CET</v>
      </c>
      <c r="AB1057" s="215" t="str">
        <f>IFERROR(__xludf.DUMMYFUNCTION("""COMPUTED_VALUE"""),"https://drive.google.com/file/d/1xhd3SJ0A0FHAHRZ7BayEv4ely7x0QnDL/view?usp=sharing")</f>
        <v>https://drive.google.com/file/d/1xhd3SJ0A0FHAHRZ7BayEv4ely7x0QnDL/view?usp=sharing</v>
      </c>
      <c r="AC1057" s="215" t="str">
        <f>IFERROR(__xludf.DUMMYFUNCTION("""COMPUTED_VALUE"""),"https://www.amazon.com/-/es/Table-Batidor-franc%C3%A9s-inoxidable-plateado/dp/B0743WJ858?th=1")</f>
        <v>https://www.amazon.com/-/es/Table-Batidor-franc%C3%A9s-inoxidable-plateado/dp/B0743WJ858?th=1</v>
      </c>
      <c r="AD1057" s="213"/>
      <c r="AE1057" s="213"/>
      <c r="AF1057" s="213"/>
      <c r="AG1057" s="213"/>
      <c r="AH1057" s="213" t="str">
        <f>IFERROR(__xludf.DUMMYFUNCTION("""COMPUTED_VALUE"""),"IMPORTADO")</f>
        <v>IMPORTADO</v>
      </c>
      <c r="AI1057" s="213"/>
      <c r="AJ1057" s="213"/>
      <c r="AK1057" s="213"/>
      <c r="AL1057" s="213"/>
      <c r="AM1057" s="213"/>
      <c r="AN1057" s="213"/>
      <c r="AO1057" s="213"/>
      <c r="AP1057" s="213" t="str">
        <f>IFERROR(__xludf.DUMMYFUNCTION("""COMPUTED_VALUE"""),"LUIS")</f>
        <v>LUIS</v>
      </c>
      <c r="AQ1057" s="213"/>
      <c r="AR1057" s="213"/>
      <c r="AS1057" s="213"/>
      <c r="AT1057" s="213"/>
      <c r="AU1057" s="213"/>
      <c r="AV1057" s="213"/>
      <c r="AW1057" s="213"/>
      <c r="AX1057" s="213"/>
      <c r="AY1057" s="213"/>
      <c r="AZ1057" s="213"/>
      <c r="BA1057" s="213"/>
      <c r="BB1057" s="213"/>
      <c r="BC1057" s="213"/>
      <c r="BD1057" s="213"/>
    </row>
    <row r="1058">
      <c r="A1058" s="213">
        <f>IFERROR(__xludf.DUMMYFUNCTION("""COMPUTED_VALUE"""),1419.0)</f>
        <v>1419</v>
      </c>
      <c r="B1058" s="213" t="str">
        <f>IFERROR(__xludf.DUMMYFUNCTION("""COMPUTED_VALUE"""),"GUILLERMO E. BILLINGHURST ")</f>
        <v>GUILLERMO E. BILLINGHURST </v>
      </c>
      <c r="C1058" s="213" t="str">
        <f>IFERROR(__xludf.DUMMYFUNCTION("""COMPUTED_VALUE"""),"TALLER SFT DE INDUSTRIA ALIMENTARIA")</f>
        <v>TALLER SFT DE INDUSTRIA ALIMENTARIA</v>
      </c>
      <c r="D1058" s="213" t="str">
        <f>IFERROR(__xludf.DUMMYFUNCTION("""COMPUTED_VALUE"""),"HERRAMIENTAS")</f>
        <v>HERRAMIENTAS</v>
      </c>
      <c r="E1058" s="213" t="str">
        <f>IFERROR(__xludf.DUMMYFUNCTION("""COMPUTED_VALUE"""),"MAT-120")</f>
        <v>MAT-120</v>
      </c>
      <c r="F1058" s="213" t="str">
        <f>IFERROR(__xludf.DUMMYFUNCTION("""COMPUTED_VALUE"""),"MAT-120")</f>
        <v>MAT-120</v>
      </c>
      <c r="G1058" s="213"/>
      <c r="H1058" s="213" t="str">
        <f>IFERROR(__xludf.DUMMYFUNCTION("""COMPUTED_VALUE"""),"BATIDOR MANUAL")</f>
        <v>BATIDOR MANUAL</v>
      </c>
      <c r="I1058" s="213" t="str">
        <f>IFERROR(__xludf.DUMMYFUNCTION("""COMPUTED_VALUE"""),"· Material: acero inoxidable
· Tamaño: 30cm mínimo")</f>
        <v>· Material: acero inoxidable
· Tamaño: 30cm mínimo</v>
      </c>
      <c r="J1058" s="213">
        <f>IFERROR(__xludf.DUMMYFUNCTION("""COMPUTED_VALUE"""),3.0)</f>
        <v>3</v>
      </c>
      <c r="K1058" s="213" t="str">
        <f>IFERROR(__xludf.DUMMYFUNCTION("""COMPUTED_VALUE"""),"90 DÍAS CALENDARIO")</f>
        <v>90 DÍAS CALENDARIO</v>
      </c>
      <c r="L1058" s="213" t="str">
        <f>IFERROR(__xludf.DUMMYFUNCTION("""COMPUTED_VALUE"""),"")</f>
        <v/>
      </c>
      <c r="M1058" s="213">
        <f>IFERROR(__xludf.DUMMYFUNCTION("""COMPUTED_VALUE"""),1.0)</f>
        <v>1</v>
      </c>
      <c r="N1058" s="213">
        <f>IFERROR(__xludf.DUMMYFUNCTION("""COMPUTED_VALUE"""),5.0)</f>
        <v>5</v>
      </c>
      <c r="O1058" s="213">
        <f>IFERROR(__xludf.DUMMYFUNCTION("""COMPUTED_VALUE"""),5.0)</f>
        <v>5</v>
      </c>
      <c r="P1058" s="213"/>
      <c r="Q1058" s="213"/>
      <c r="R1058" s="213" t="str">
        <f>IFERROR(__xludf.DUMMYFUNCTION("""COMPUTED_VALUE"""),"SI")</f>
        <v>SI</v>
      </c>
      <c r="S1058" s="213"/>
      <c r="T1058" s="213" t="str">
        <f>IFERROR(__xludf.DUMMYFUNCTION("""COMPUTED_VALUE"""),"SI")</f>
        <v>SI</v>
      </c>
      <c r="U1058" s="213" t="str">
        <f>IFERROR(__xludf.DUMMYFUNCTION("""COMPUTED_VALUE"""),"SI")</f>
        <v>SI</v>
      </c>
      <c r="V1058" s="213" t="str">
        <f>IFERROR(__xludf.DUMMYFUNCTION("""COMPUTED_VALUE"""),"-")</f>
        <v>-</v>
      </c>
      <c r="W1058" s="213" t="str">
        <f>IFERROR(__xludf.DUMMYFUNCTION("""COMPUTED_VALUE"""),"-")</f>
        <v>-</v>
      </c>
      <c r="X1058" s="213" t="str">
        <f>IFERROR(__xludf.DUMMYFUNCTION("""COMPUTED_VALUE"""),"TRAMONTINA")</f>
        <v>TRAMONTINA</v>
      </c>
      <c r="Y1058" s="213" t="str">
        <f>IFERROR(__xludf.DUMMYFUNCTION("""COMPUTED_VALUE"""),"TRAMONTINA")</f>
        <v>TRAMONTINA</v>
      </c>
      <c r="Z1058" s="215" t="str">
        <f>IFERROR(__xludf.DUMMYFUNCTION("""COMPUTED_VALUE"""),"https://www.tramontina.com.pe/batidor-manual-marffim-de-acero-inoxidable-de-32-cm-tramontina_63809530/p?srsltid=AfmBOopiEUk53igz7csaroqjgk56ok_LCmBxtb8uhT_5XP-GcBF1Wq67")</f>
        <v>https://www.tramontina.com.pe/batidor-manual-marffim-de-acero-inoxidable-de-32-cm-tramontina_63809530/p?srsltid=AfmBOopiEUk53igz7csaroqjgk56ok_LCmBxtb8uhT_5XP-GcBF1Wq67</v>
      </c>
      <c r="AA1058" s="213" t="str">
        <f>IFERROR(__xludf.DUMMYFUNCTION("""COMPUTED_VALUE"""),"MAT-120 BATIDOR MANUAL - CET")</f>
        <v>MAT-120 BATIDOR MANUAL - CET</v>
      </c>
      <c r="AB1058" s="215" t="str">
        <f>IFERROR(__xludf.DUMMYFUNCTION("""COMPUTED_VALUE"""),"https://drive.google.com/file/d/1xhd3SJ0A0FHAHRZ7BayEv4ely7x0QnDL/view?usp=sharing")</f>
        <v>https://drive.google.com/file/d/1xhd3SJ0A0FHAHRZ7BayEv4ely7x0QnDL/view?usp=sharing</v>
      </c>
      <c r="AC1058" s="215" t="str">
        <f>IFERROR(__xludf.DUMMYFUNCTION("""COMPUTED_VALUE"""),"https://www.amazon.com/-/es/Table-Batidor-franc%C3%A9s-inoxidable-plateado/dp/B0743WJ858?th=1")</f>
        <v>https://www.amazon.com/-/es/Table-Batidor-franc%C3%A9s-inoxidable-plateado/dp/B0743WJ858?th=1</v>
      </c>
      <c r="AD1058" s="213"/>
      <c r="AE1058" s="213"/>
      <c r="AF1058" s="213"/>
      <c r="AG1058" s="213"/>
      <c r="AH1058" s="213" t="str">
        <f>IFERROR(__xludf.DUMMYFUNCTION("""COMPUTED_VALUE"""),"IMPORTADO")</f>
        <v>IMPORTADO</v>
      </c>
      <c r="AI1058" s="213"/>
      <c r="AJ1058" s="213"/>
      <c r="AK1058" s="213"/>
      <c r="AL1058" s="213"/>
      <c r="AM1058" s="213"/>
      <c r="AN1058" s="213"/>
      <c r="AO1058" s="213"/>
      <c r="AP1058" s="213" t="str">
        <f>IFERROR(__xludf.DUMMYFUNCTION("""COMPUTED_VALUE"""),"LUIS")</f>
        <v>LUIS</v>
      </c>
      <c r="AQ1058" s="213"/>
      <c r="AR1058" s="213"/>
      <c r="AS1058" s="213"/>
      <c r="AT1058" s="213"/>
      <c r="AU1058" s="213"/>
      <c r="AV1058" s="213"/>
      <c r="AW1058" s="213"/>
      <c r="AX1058" s="213"/>
      <c r="AY1058" s="213"/>
      <c r="AZ1058" s="213"/>
      <c r="BA1058" s="213"/>
      <c r="BB1058" s="213"/>
      <c r="BC1058" s="213"/>
      <c r="BD1058" s="213"/>
    </row>
    <row r="1059">
      <c r="A1059" s="213">
        <f>IFERROR(__xludf.DUMMYFUNCTION("""COMPUTED_VALUE"""),2106.0)</f>
        <v>2106</v>
      </c>
      <c r="B1059" s="213" t="str">
        <f>IFERROR(__xludf.DUMMYFUNCTION("""COMPUTED_VALUE"""),"JOSE GRANDA")</f>
        <v>JOSE GRANDA</v>
      </c>
      <c r="C1059" s="213" t="str">
        <f>IFERROR(__xludf.DUMMYFUNCTION("""COMPUTED_VALUE"""),"TALLER SFT DE INDUSTRIA ALIMENTARIA")</f>
        <v>TALLER SFT DE INDUSTRIA ALIMENTARIA</v>
      </c>
      <c r="D1059" s="213" t="str">
        <f>IFERROR(__xludf.DUMMYFUNCTION("""COMPUTED_VALUE"""),"HERRAMIENTAS")</f>
        <v>HERRAMIENTAS</v>
      </c>
      <c r="E1059" s="213" t="str">
        <f>IFERROR(__xludf.DUMMYFUNCTION("""COMPUTED_VALUE"""),"MAT-120")</f>
        <v>MAT-120</v>
      </c>
      <c r="F1059" s="213" t="str">
        <f>IFERROR(__xludf.DUMMYFUNCTION("""COMPUTED_VALUE"""),"MAT-120")</f>
        <v>MAT-120</v>
      </c>
      <c r="G1059" s="213"/>
      <c r="H1059" s="213" t="str">
        <f>IFERROR(__xludf.DUMMYFUNCTION("""COMPUTED_VALUE"""),"BATIDOR MANUAL")</f>
        <v>BATIDOR MANUAL</v>
      </c>
      <c r="I1059" s="213" t="str">
        <f>IFERROR(__xludf.DUMMYFUNCTION("""COMPUTED_VALUE"""),"· Material: acero inoxidable
· Tamaño: 30cm mínimo")</f>
        <v>· Material: acero inoxidable
· Tamaño: 30cm mínimo</v>
      </c>
      <c r="J1059" s="213">
        <f>IFERROR(__xludf.DUMMYFUNCTION("""COMPUTED_VALUE"""),3.0)</f>
        <v>3</v>
      </c>
      <c r="K1059" s="213" t="str">
        <f>IFERROR(__xludf.DUMMYFUNCTION("""COMPUTED_VALUE"""),"90 DÍAS CALENDARIO")</f>
        <v>90 DÍAS CALENDARIO</v>
      </c>
      <c r="L1059" s="213" t="str">
        <f>IFERROR(__xludf.DUMMYFUNCTION("""COMPUTED_VALUE"""),"")</f>
        <v/>
      </c>
      <c r="M1059" s="213">
        <f>IFERROR(__xludf.DUMMYFUNCTION("""COMPUTED_VALUE"""),1.0)</f>
        <v>1</v>
      </c>
      <c r="N1059" s="213">
        <f>IFERROR(__xludf.DUMMYFUNCTION("""COMPUTED_VALUE"""),5.0)</f>
        <v>5</v>
      </c>
      <c r="O1059" s="213">
        <f>IFERROR(__xludf.DUMMYFUNCTION("""COMPUTED_VALUE"""),5.0)</f>
        <v>5</v>
      </c>
      <c r="P1059" s="213"/>
      <c r="Q1059" s="213"/>
      <c r="R1059" s="213" t="str">
        <f>IFERROR(__xludf.DUMMYFUNCTION("""COMPUTED_VALUE"""),"SI")</f>
        <v>SI</v>
      </c>
      <c r="S1059" s="213"/>
      <c r="T1059" s="213" t="str">
        <f>IFERROR(__xludf.DUMMYFUNCTION("""COMPUTED_VALUE"""),"SI")</f>
        <v>SI</v>
      </c>
      <c r="U1059" s="213" t="str">
        <f>IFERROR(__xludf.DUMMYFUNCTION("""COMPUTED_VALUE"""),"SI")</f>
        <v>SI</v>
      </c>
      <c r="V1059" s="213" t="str">
        <f>IFERROR(__xludf.DUMMYFUNCTION("""COMPUTED_VALUE"""),"-")</f>
        <v>-</v>
      </c>
      <c r="W1059" s="213" t="str">
        <f>IFERROR(__xludf.DUMMYFUNCTION("""COMPUTED_VALUE"""),"-")</f>
        <v>-</v>
      </c>
      <c r="X1059" s="213" t="str">
        <f>IFERROR(__xludf.DUMMYFUNCTION("""COMPUTED_VALUE"""),"TRAMONTINA")</f>
        <v>TRAMONTINA</v>
      </c>
      <c r="Y1059" s="213" t="str">
        <f>IFERROR(__xludf.DUMMYFUNCTION("""COMPUTED_VALUE"""),"TRAMONTINA")</f>
        <v>TRAMONTINA</v>
      </c>
      <c r="Z1059" s="215" t="str">
        <f>IFERROR(__xludf.DUMMYFUNCTION("""COMPUTED_VALUE"""),"https://www.tramontina.com.pe/batidor-manual-marffim-de-acero-inoxidable-de-32-cm-tramontina_63809530/p?srsltid=AfmBOopiEUk53igz7csaroqjgk56ok_LCmBxtb8uhT_5XP-GcBF1Wq67")</f>
        <v>https://www.tramontina.com.pe/batidor-manual-marffim-de-acero-inoxidable-de-32-cm-tramontina_63809530/p?srsltid=AfmBOopiEUk53igz7csaroqjgk56ok_LCmBxtb8uhT_5XP-GcBF1Wq67</v>
      </c>
      <c r="AA1059" s="213" t="str">
        <f>IFERROR(__xludf.DUMMYFUNCTION("""COMPUTED_VALUE"""),"MAT-120 BATIDOR MANUAL - CET")</f>
        <v>MAT-120 BATIDOR MANUAL - CET</v>
      </c>
      <c r="AB1059" s="215" t="str">
        <f>IFERROR(__xludf.DUMMYFUNCTION("""COMPUTED_VALUE"""),"https://drive.google.com/file/d/1xhd3SJ0A0FHAHRZ7BayEv4ely7x0QnDL/view?usp=sharing")</f>
        <v>https://drive.google.com/file/d/1xhd3SJ0A0FHAHRZ7BayEv4ely7x0QnDL/view?usp=sharing</v>
      </c>
      <c r="AC1059" s="215" t="str">
        <f>IFERROR(__xludf.DUMMYFUNCTION("""COMPUTED_VALUE"""),"https://www.amazon.com/-/es/Table-Batidor-franc%C3%A9s-inoxidable-plateado/dp/B0743WJ858?th=1")</f>
        <v>https://www.amazon.com/-/es/Table-Batidor-franc%C3%A9s-inoxidable-plateado/dp/B0743WJ858?th=1</v>
      </c>
      <c r="AD1059" s="213"/>
      <c r="AE1059" s="213"/>
      <c r="AF1059" s="213"/>
      <c r="AG1059" s="213"/>
      <c r="AH1059" s="213" t="str">
        <f>IFERROR(__xludf.DUMMYFUNCTION("""COMPUTED_VALUE"""),"IMPORTADO")</f>
        <v>IMPORTADO</v>
      </c>
      <c r="AI1059" s="213"/>
      <c r="AJ1059" s="213"/>
      <c r="AK1059" s="213"/>
      <c r="AL1059" s="213"/>
      <c r="AM1059" s="213"/>
      <c r="AN1059" s="213"/>
      <c r="AO1059" s="213"/>
      <c r="AP1059" s="213" t="str">
        <f>IFERROR(__xludf.DUMMYFUNCTION("""COMPUTED_VALUE"""),"LUIS")</f>
        <v>LUIS</v>
      </c>
      <c r="AQ1059" s="213"/>
      <c r="AR1059" s="213"/>
      <c r="AS1059" s="213"/>
      <c r="AT1059" s="213"/>
      <c r="AU1059" s="213"/>
      <c r="AV1059" s="213"/>
      <c r="AW1059" s="213"/>
      <c r="AX1059" s="213"/>
      <c r="AY1059" s="213"/>
      <c r="AZ1059" s="213"/>
      <c r="BA1059" s="213"/>
      <c r="BB1059" s="213"/>
      <c r="BC1059" s="213"/>
      <c r="BD1059" s="213"/>
    </row>
    <row r="1060">
      <c r="A1060" s="213">
        <f>IFERROR(__xludf.DUMMYFUNCTION("""COMPUTED_VALUE"""),532.0)</f>
        <v>532</v>
      </c>
      <c r="B1060" s="213" t="str">
        <f>IFERROR(__xludf.DUMMYFUNCTION("""COMPUTED_VALUE"""),"2026 SIMON BOLIVAR")</f>
        <v>2026 SIMON BOLIVAR</v>
      </c>
      <c r="C1060" s="213" t="str">
        <f>IFERROR(__xludf.DUMMYFUNCTION("""COMPUTED_VALUE"""),"TALLER SFT DE INDUSTRIA ALIMENTARIA")</f>
        <v>TALLER SFT DE INDUSTRIA ALIMENTARIA</v>
      </c>
      <c r="D1060" s="213" t="str">
        <f>IFERROR(__xludf.DUMMYFUNCTION("""COMPUTED_VALUE"""),"HERRAMIENTAS")</f>
        <v>HERRAMIENTAS</v>
      </c>
      <c r="E1060" s="213" t="str">
        <f>IFERROR(__xludf.DUMMYFUNCTION("""COMPUTED_VALUE"""),"MAT-122")</f>
        <v>MAT-122</v>
      </c>
      <c r="F1060" s="213" t="str">
        <f>IFERROR(__xludf.DUMMYFUNCTION("""COMPUTED_VALUE"""),"MAT-122")</f>
        <v>MAT-122</v>
      </c>
      <c r="G1060" s="213"/>
      <c r="H1060" s="213" t="str">
        <f>IFERROR(__xludf.DUMMYFUNCTION("""COMPUTED_VALUE"""),"PAR DE BOTAS DE JEBE")</f>
        <v>PAR DE BOTAS DE JEBE</v>
      </c>
      <c r="I1060" s="213" t="str">
        <f>IFERROR(__xludf.DUMMYFUNCTION("""COMPUTED_VALUE"""),"· Bota fabricada en material de PVC, color BLANCO.
· De mínimo 36 cm. de altura.
· Para trabajos pesados en la industria, construcción y minería.
· De buen contacto con todo tipo de suelos.
· Planta totalmente antideslizante.
· Con Punta de Acero o Punta "&amp;"Reforzada.
. Antiestática.
· Modelo industrial.")</f>
        <v>· Bota fabricada en material de PVC, color BLANCO.
· De mínimo 36 cm. de altura.
· Para trabajos pesados en la industria, construcción y minería.
· De buen contacto con todo tipo de suelos.
· Planta totalmente antideslizante.
· Con Punta de Acero o Punta Reforzada.
. Antiestática.
· Modelo industrial.</v>
      </c>
      <c r="J1060" s="213">
        <f>IFERROR(__xludf.DUMMYFUNCTION("""COMPUTED_VALUE"""),3.0)</f>
        <v>3</v>
      </c>
      <c r="K1060" s="213" t="str">
        <f>IFERROR(__xludf.DUMMYFUNCTION("""COMPUTED_VALUE"""),"90 DÍAS CALENDARIO")</f>
        <v>90 DÍAS CALENDARIO</v>
      </c>
      <c r="L1060" s="213" t="str">
        <f>IFERROR(__xludf.DUMMYFUNCTION("""COMPUTED_VALUE"""),"")</f>
        <v/>
      </c>
      <c r="M1060" s="213">
        <f>IFERROR(__xludf.DUMMYFUNCTION("""COMPUTED_VALUE"""),1.0)</f>
        <v>1</v>
      </c>
      <c r="N1060" s="213">
        <f>IFERROR(__xludf.DUMMYFUNCTION("""COMPUTED_VALUE"""),20.0)</f>
        <v>20</v>
      </c>
      <c r="O1060" s="213">
        <f>IFERROR(__xludf.DUMMYFUNCTION("""COMPUTED_VALUE"""),20.0)</f>
        <v>20</v>
      </c>
      <c r="P1060" s="213"/>
      <c r="Q1060" s="213"/>
      <c r="R1060" s="213" t="str">
        <f>IFERROR(__xludf.DUMMYFUNCTION("""COMPUTED_VALUE"""),"SI")</f>
        <v>SI</v>
      </c>
      <c r="S1060" s="213"/>
      <c r="T1060" s="213" t="str">
        <f>IFERROR(__xludf.DUMMYFUNCTION("""COMPUTED_VALUE"""),"SI")</f>
        <v>SI</v>
      </c>
      <c r="U1060" s="213" t="str">
        <f>IFERROR(__xludf.DUMMYFUNCTION("""COMPUTED_VALUE"""),"SI")</f>
        <v>SI</v>
      </c>
      <c r="V1060" s="213" t="str">
        <f>IFERROR(__xludf.DUMMYFUNCTION("""COMPUTED_VALUE"""),"-")</f>
        <v>-</v>
      </c>
      <c r="W1060" s="213" t="str">
        <f>IFERROR(__xludf.DUMMYFUNCTION("""COMPUTED_VALUE"""),"-")</f>
        <v>-</v>
      </c>
      <c r="X1060" s="213" t="str">
        <f>IFERROR(__xludf.DUMMYFUNCTION("""COMPUTED_VALUE"""),"SEGUSA")</f>
        <v>SEGUSA</v>
      </c>
      <c r="Y1060" s="213" t="str">
        <f>IFERROR(__xludf.DUMMYFUNCTION("""COMPUTED_VALUE"""),"SEGUSA")</f>
        <v>SEGUSA</v>
      </c>
      <c r="Z1060" s="215" t="str">
        <f>IFERROR(__xludf.DUMMYFUNCTION("""COMPUTED_VALUE"""),"https://grupocasalima.com/producto/bota-de-pvc-blanco-c-punta-segusa/")</f>
        <v>https://grupocasalima.com/producto/bota-de-pvc-blanco-c-punta-segusa/</v>
      </c>
      <c r="AA1060" s="213" t="str">
        <f>IFERROR(__xludf.DUMMYFUNCTION("""COMPUTED_VALUE"""),"MAT-122 PAR DE BOTAS DE JEBE - CET")</f>
        <v>MAT-122 PAR DE BOTAS DE JEBE - CET</v>
      </c>
      <c r="AB1060" s="213"/>
      <c r="AC1060" s="213"/>
      <c r="AD1060" s="213"/>
      <c r="AE1060" s="213"/>
      <c r="AF1060" s="213"/>
      <c r="AG1060" s="213"/>
      <c r="AH1060" s="213"/>
      <c r="AI1060" s="213"/>
      <c r="AJ1060" s="213"/>
      <c r="AK1060" s="213"/>
      <c r="AL1060" s="213"/>
      <c r="AM1060" s="213"/>
      <c r="AN1060" s="213"/>
      <c r="AO1060" s="213"/>
      <c r="AP1060" s="213" t="str">
        <f>IFERROR(__xludf.DUMMYFUNCTION("""COMPUTED_VALUE"""),"LUIS")</f>
        <v>LUIS</v>
      </c>
      <c r="AQ1060" s="213"/>
      <c r="AR1060" s="213"/>
      <c r="AS1060" s="213"/>
      <c r="AT1060" s="213"/>
      <c r="AU1060" s="213"/>
      <c r="AV1060" s="213"/>
      <c r="AW1060" s="213"/>
      <c r="AX1060" s="213"/>
      <c r="AY1060" s="213"/>
      <c r="AZ1060" s="213"/>
      <c r="BA1060" s="213"/>
      <c r="BB1060" s="213"/>
      <c r="BC1060" s="213"/>
      <c r="BD1060" s="213"/>
    </row>
    <row r="1061">
      <c r="A1061" s="213">
        <f>IFERROR(__xludf.DUMMYFUNCTION("""COMPUTED_VALUE"""),1162.0)</f>
        <v>1162</v>
      </c>
      <c r="B1061" s="213" t="str">
        <f>IFERROR(__xludf.DUMMYFUNCTION("""COMPUTED_VALUE"""),"FRANCISCO IRAZOLA")</f>
        <v>FRANCISCO IRAZOLA</v>
      </c>
      <c r="C1061" s="213" t="str">
        <f>IFERROR(__xludf.DUMMYFUNCTION("""COMPUTED_VALUE"""),"TALLER SFT DE INDUSTRIA ALIMENTARIA")</f>
        <v>TALLER SFT DE INDUSTRIA ALIMENTARIA</v>
      </c>
      <c r="D1061" s="213" t="str">
        <f>IFERROR(__xludf.DUMMYFUNCTION("""COMPUTED_VALUE"""),"HERRAMIENTAS")</f>
        <v>HERRAMIENTAS</v>
      </c>
      <c r="E1061" s="213" t="str">
        <f>IFERROR(__xludf.DUMMYFUNCTION("""COMPUTED_VALUE"""),"MAT-122")</f>
        <v>MAT-122</v>
      </c>
      <c r="F1061" s="213" t="str">
        <f>IFERROR(__xludf.DUMMYFUNCTION("""COMPUTED_VALUE"""),"MAT-122")</f>
        <v>MAT-122</v>
      </c>
      <c r="G1061" s="213"/>
      <c r="H1061" s="213" t="str">
        <f>IFERROR(__xludf.DUMMYFUNCTION("""COMPUTED_VALUE"""),"PAR DE BOTAS DE JEBE")</f>
        <v>PAR DE BOTAS DE JEBE</v>
      </c>
      <c r="I1061" s="213" t="str">
        <f>IFERROR(__xludf.DUMMYFUNCTION("""COMPUTED_VALUE"""),"· Bota fabricada en material de PVC, color BLANCO.
· De mínimo 36 cm. de altura.
· Para trabajos pesados en la industria, construcción y minería.
· De buen contacto con todo tipo de suelos.
· Planta totalmente antideslizante.
· Con Punta de Acero o Punta "&amp;"Reforzada.
. Antiestática.
· Modelo industrial.")</f>
        <v>· Bota fabricada en material de PVC, color BLANCO.
· De mínimo 36 cm. de altura.
· Para trabajos pesados en la industria, construcción y minería.
· De buen contacto con todo tipo de suelos.
· Planta totalmente antideslizante.
· Con Punta de Acero o Punta Reforzada.
. Antiestática.
· Modelo industrial.</v>
      </c>
      <c r="J1061" s="213">
        <f>IFERROR(__xludf.DUMMYFUNCTION("""COMPUTED_VALUE"""),3.0)</f>
        <v>3</v>
      </c>
      <c r="K1061" s="213" t="str">
        <f>IFERROR(__xludf.DUMMYFUNCTION("""COMPUTED_VALUE"""),"90 DÍAS CALENDARIO")</f>
        <v>90 DÍAS CALENDARIO</v>
      </c>
      <c r="L1061" s="213" t="str">
        <f>IFERROR(__xludf.DUMMYFUNCTION("""COMPUTED_VALUE"""),"")</f>
        <v/>
      </c>
      <c r="M1061" s="213">
        <f>IFERROR(__xludf.DUMMYFUNCTION("""COMPUTED_VALUE"""),1.0)</f>
        <v>1</v>
      </c>
      <c r="N1061" s="213">
        <f>IFERROR(__xludf.DUMMYFUNCTION("""COMPUTED_VALUE"""),20.0)</f>
        <v>20</v>
      </c>
      <c r="O1061" s="213">
        <f>IFERROR(__xludf.DUMMYFUNCTION("""COMPUTED_VALUE"""),20.0)</f>
        <v>20</v>
      </c>
      <c r="P1061" s="213"/>
      <c r="Q1061" s="213"/>
      <c r="R1061" s="213" t="str">
        <f>IFERROR(__xludf.DUMMYFUNCTION("""COMPUTED_VALUE"""),"SI")</f>
        <v>SI</v>
      </c>
      <c r="S1061" s="213"/>
      <c r="T1061" s="213" t="str">
        <f>IFERROR(__xludf.DUMMYFUNCTION("""COMPUTED_VALUE"""),"SI")</f>
        <v>SI</v>
      </c>
      <c r="U1061" s="213" t="str">
        <f>IFERROR(__xludf.DUMMYFUNCTION("""COMPUTED_VALUE"""),"SI")</f>
        <v>SI</v>
      </c>
      <c r="V1061" s="213" t="str">
        <f>IFERROR(__xludf.DUMMYFUNCTION("""COMPUTED_VALUE"""),"-")</f>
        <v>-</v>
      </c>
      <c r="W1061" s="213" t="str">
        <f>IFERROR(__xludf.DUMMYFUNCTION("""COMPUTED_VALUE"""),"-")</f>
        <v>-</v>
      </c>
      <c r="X1061" s="213" t="str">
        <f>IFERROR(__xludf.DUMMYFUNCTION("""COMPUTED_VALUE"""),"SEGUSA")</f>
        <v>SEGUSA</v>
      </c>
      <c r="Y1061" s="213" t="str">
        <f>IFERROR(__xludf.DUMMYFUNCTION("""COMPUTED_VALUE"""),"SEGUSA")</f>
        <v>SEGUSA</v>
      </c>
      <c r="Z1061" s="215" t="str">
        <f>IFERROR(__xludf.DUMMYFUNCTION("""COMPUTED_VALUE"""),"https://grupocasalima.com/producto/bota-de-pvc-blanco-c-punta-segusa/")</f>
        <v>https://grupocasalima.com/producto/bota-de-pvc-blanco-c-punta-segusa/</v>
      </c>
      <c r="AA1061" s="213" t="str">
        <f>IFERROR(__xludf.DUMMYFUNCTION("""COMPUTED_VALUE"""),"MAT-122 PAR DE BOTAS DE JEBE - CET")</f>
        <v>MAT-122 PAR DE BOTAS DE JEBE - CET</v>
      </c>
      <c r="AB1061" s="213"/>
      <c r="AC1061" s="213"/>
      <c r="AD1061" s="213"/>
      <c r="AE1061" s="213"/>
      <c r="AF1061" s="213"/>
      <c r="AG1061" s="213"/>
      <c r="AH1061" s="213"/>
      <c r="AI1061" s="213"/>
      <c r="AJ1061" s="213"/>
      <c r="AK1061" s="213"/>
      <c r="AL1061" s="213"/>
      <c r="AM1061" s="213"/>
      <c r="AN1061" s="213"/>
      <c r="AO1061" s="213"/>
      <c r="AP1061" s="213" t="str">
        <f>IFERROR(__xludf.DUMMYFUNCTION("""COMPUTED_VALUE"""),"LUIS")</f>
        <v>LUIS</v>
      </c>
      <c r="AQ1061" s="213"/>
      <c r="AR1061" s="213"/>
      <c r="AS1061" s="213"/>
      <c r="AT1061" s="213"/>
      <c r="AU1061" s="213"/>
      <c r="AV1061" s="213"/>
      <c r="AW1061" s="213"/>
      <c r="AX1061" s="213"/>
      <c r="AY1061" s="213"/>
      <c r="AZ1061" s="213"/>
      <c r="BA1061" s="213"/>
      <c r="BB1061" s="213"/>
      <c r="BC1061" s="213"/>
      <c r="BD1061" s="213"/>
    </row>
    <row r="1062">
      <c r="A1062" s="213">
        <f>IFERROR(__xludf.DUMMYFUNCTION("""COMPUTED_VALUE"""),1434.0)</f>
        <v>1434</v>
      </c>
      <c r="B1062" s="213" t="str">
        <f>IFERROR(__xludf.DUMMYFUNCTION("""COMPUTED_VALUE"""),"GUILLERMO E. BILLINGHURST ")</f>
        <v>GUILLERMO E. BILLINGHURST </v>
      </c>
      <c r="C1062" s="213" t="str">
        <f>IFERROR(__xludf.DUMMYFUNCTION("""COMPUTED_VALUE"""),"TALLER SFT DE INDUSTRIA ALIMENTARIA")</f>
        <v>TALLER SFT DE INDUSTRIA ALIMENTARIA</v>
      </c>
      <c r="D1062" s="213" t="str">
        <f>IFERROR(__xludf.DUMMYFUNCTION("""COMPUTED_VALUE"""),"HERRAMIENTAS")</f>
        <v>HERRAMIENTAS</v>
      </c>
      <c r="E1062" s="213" t="str">
        <f>IFERROR(__xludf.DUMMYFUNCTION("""COMPUTED_VALUE"""),"MAT-122")</f>
        <v>MAT-122</v>
      </c>
      <c r="F1062" s="213" t="str">
        <f>IFERROR(__xludf.DUMMYFUNCTION("""COMPUTED_VALUE"""),"MAT-122")</f>
        <v>MAT-122</v>
      </c>
      <c r="G1062" s="213"/>
      <c r="H1062" s="213" t="str">
        <f>IFERROR(__xludf.DUMMYFUNCTION("""COMPUTED_VALUE"""),"PAR DE BOTAS DE JEBE")</f>
        <v>PAR DE BOTAS DE JEBE</v>
      </c>
      <c r="I1062" s="213" t="str">
        <f>IFERROR(__xludf.DUMMYFUNCTION("""COMPUTED_VALUE"""),"· Bota fabricada en material de PVC, color BLANCO.
· De mínimo 36 cm. de altura.
· Para trabajos pesados en la industria, construcción y minería.
· De buen contacto con todo tipo de suelos.
· Planta totalmente antideslizante.
· Con Punta de Acero o Punta "&amp;"Reforzada.
. Antiestática.
· Modelo industrial.")</f>
        <v>· Bota fabricada en material de PVC, color BLANCO.
· De mínimo 36 cm. de altura.
· Para trabajos pesados en la industria, construcción y minería.
· De buen contacto con todo tipo de suelos.
· Planta totalmente antideslizante.
· Con Punta de Acero o Punta Reforzada.
. Antiestática.
· Modelo industrial.</v>
      </c>
      <c r="J1062" s="213">
        <f>IFERROR(__xludf.DUMMYFUNCTION("""COMPUTED_VALUE"""),3.0)</f>
        <v>3</v>
      </c>
      <c r="K1062" s="213" t="str">
        <f>IFERROR(__xludf.DUMMYFUNCTION("""COMPUTED_VALUE"""),"90 DÍAS CALENDARIO")</f>
        <v>90 DÍAS CALENDARIO</v>
      </c>
      <c r="L1062" s="213" t="str">
        <f>IFERROR(__xludf.DUMMYFUNCTION("""COMPUTED_VALUE"""),"")</f>
        <v/>
      </c>
      <c r="M1062" s="213">
        <f>IFERROR(__xludf.DUMMYFUNCTION("""COMPUTED_VALUE"""),1.0)</f>
        <v>1</v>
      </c>
      <c r="N1062" s="213">
        <f>IFERROR(__xludf.DUMMYFUNCTION("""COMPUTED_VALUE"""),20.0)</f>
        <v>20</v>
      </c>
      <c r="O1062" s="213">
        <f>IFERROR(__xludf.DUMMYFUNCTION("""COMPUTED_VALUE"""),20.0)</f>
        <v>20</v>
      </c>
      <c r="P1062" s="213"/>
      <c r="Q1062" s="213"/>
      <c r="R1062" s="213" t="str">
        <f>IFERROR(__xludf.DUMMYFUNCTION("""COMPUTED_VALUE"""),"SI")</f>
        <v>SI</v>
      </c>
      <c r="S1062" s="213"/>
      <c r="T1062" s="213" t="str">
        <f>IFERROR(__xludf.DUMMYFUNCTION("""COMPUTED_VALUE"""),"SI")</f>
        <v>SI</v>
      </c>
      <c r="U1062" s="213" t="str">
        <f>IFERROR(__xludf.DUMMYFUNCTION("""COMPUTED_VALUE"""),"SI")</f>
        <v>SI</v>
      </c>
      <c r="V1062" s="213" t="str">
        <f>IFERROR(__xludf.DUMMYFUNCTION("""COMPUTED_VALUE"""),"-")</f>
        <v>-</v>
      </c>
      <c r="W1062" s="213" t="str">
        <f>IFERROR(__xludf.DUMMYFUNCTION("""COMPUTED_VALUE"""),"-")</f>
        <v>-</v>
      </c>
      <c r="X1062" s="213" t="str">
        <f>IFERROR(__xludf.DUMMYFUNCTION("""COMPUTED_VALUE"""),"SEGUSA")</f>
        <v>SEGUSA</v>
      </c>
      <c r="Y1062" s="213" t="str">
        <f>IFERROR(__xludf.DUMMYFUNCTION("""COMPUTED_VALUE"""),"SEGUSA")</f>
        <v>SEGUSA</v>
      </c>
      <c r="Z1062" s="215" t="str">
        <f>IFERROR(__xludf.DUMMYFUNCTION("""COMPUTED_VALUE"""),"https://grupocasalima.com/producto/bota-de-pvc-blanco-c-punta-segusa/")</f>
        <v>https://grupocasalima.com/producto/bota-de-pvc-blanco-c-punta-segusa/</v>
      </c>
      <c r="AA1062" s="213" t="str">
        <f>IFERROR(__xludf.DUMMYFUNCTION("""COMPUTED_VALUE"""),"MAT-122 PAR DE BOTAS DE JEBE - CET")</f>
        <v>MAT-122 PAR DE BOTAS DE JEBE - CET</v>
      </c>
      <c r="AB1062" s="213"/>
      <c r="AC1062" s="213"/>
      <c r="AD1062" s="213"/>
      <c r="AE1062" s="213"/>
      <c r="AF1062" s="213"/>
      <c r="AG1062" s="213"/>
      <c r="AH1062" s="213"/>
      <c r="AI1062" s="213"/>
      <c r="AJ1062" s="213"/>
      <c r="AK1062" s="213"/>
      <c r="AL1062" s="213"/>
      <c r="AM1062" s="213"/>
      <c r="AN1062" s="213"/>
      <c r="AO1062" s="213"/>
      <c r="AP1062" s="213" t="str">
        <f>IFERROR(__xludf.DUMMYFUNCTION("""COMPUTED_VALUE"""),"LUIS")</f>
        <v>LUIS</v>
      </c>
      <c r="AQ1062" s="213"/>
      <c r="AR1062" s="213"/>
      <c r="AS1062" s="213"/>
      <c r="AT1062" s="213"/>
      <c r="AU1062" s="213"/>
      <c r="AV1062" s="213"/>
      <c r="AW1062" s="213"/>
      <c r="AX1062" s="213"/>
      <c r="AY1062" s="213"/>
      <c r="AZ1062" s="213"/>
      <c r="BA1062" s="213"/>
      <c r="BB1062" s="213"/>
      <c r="BC1062" s="213"/>
      <c r="BD1062" s="213"/>
    </row>
    <row r="1063">
      <c r="A1063" s="213">
        <f>IFERROR(__xludf.DUMMYFUNCTION("""COMPUTED_VALUE"""),2121.0)</f>
        <v>2121</v>
      </c>
      <c r="B1063" s="213" t="str">
        <f>IFERROR(__xludf.DUMMYFUNCTION("""COMPUTED_VALUE"""),"JOSE GRANDA")</f>
        <v>JOSE GRANDA</v>
      </c>
      <c r="C1063" s="213" t="str">
        <f>IFERROR(__xludf.DUMMYFUNCTION("""COMPUTED_VALUE"""),"TALLER SFT DE INDUSTRIA ALIMENTARIA")</f>
        <v>TALLER SFT DE INDUSTRIA ALIMENTARIA</v>
      </c>
      <c r="D1063" s="213" t="str">
        <f>IFERROR(__xludf.DUMMYFUNCTION("""COMPUTED_VALUE"""),"HERRAMIENTAS")</f>
        <v>HERRAMIENTAS</v>
      </c>
      <c r="E1063" s="213" t="str">
        <f>IFERROR(__xludf.DUMMYFUNCTION("""COMPUTED_VALUE"""),"MAT-122")</f>
        <v>MAT-122</v>
      </c>
      <c r="F1063" s="213" t="str">
        <f>IFERROR(__xludf.DUMMYFUNCTION("""COMPUTED_VALUE"""),"MAT-122")</f>
        <v>MAT-122</v>
      </c>
      <c r="G1063" s="213"/>
      <c r="H1063" s="213" t="str">
        <f>IFERROR(__xludf.DUMMYFUNCTION("""COMPUTED_VALUE"""),"PAR DE BOTAS DE JEBE")</f>
        <v>PAR DE BOTAS DE JEBE</v>
      </c>
      <c r="I1063" s="213" t="str">
        <f>IFERROR(__xludf.DUMMYFUNCTION("""COMPUTED_VALUE"""),"· Bota fabricada en material de PVC, color BLANCO.
· De mínimo 36 cm. de altura.
· Para trabajos pesados en la industria, construcción y minería.
· De buen contacto con todo tipo de suelos.
· Planta totalmente antideslizante.
· Con Punta de Acero o Punta "&amp;"Reforzada.
. Antiestática.
· Modelo industrial.")</f>
        <v>· Bota fabricada en material de PVC, color BLANCO.
· De mínimo 36 cm. de altura.
· Para trabajos pesados en la industria, construcción y minería.
· De buen contacto con todo tipo de suelos.
· Planta totalmente antideslizante.
· Con Punta de Acero o Punta Reforzada.
. Antiestática.
· Modelo industrial.</v>
      </c>
      <c r="J1063" s="213">
        <f>IFERROR(__xludf.DUMMYFUNCTION("""COMPUTED_VALUE"""),3.0)</f>
        <v>3</v>
      </c>
      <c r="K1063" s="213" t="str">
        <f>IFERROR(__xludf.DUMMYFUNCTION("""COMPUTED_VALUE"""),"90 DÍAS CALENDARIO")</f>
        <v>90 DÍAS CALENDARIO</v>
      </c>
      <c r="L1063" s="213" t="str">
        <f>IFERROR(__xludf.DUMMYFUNCTION("""COMPUTED_VALUE"""),"")</f>
        <v/>
      </c>
      <c r="M1063" s="213">
        <f>IFERROR(__xludf.DUMMYFUNCTION("""COMPUTED_VALUE"""),1.0)</f>
        <v>1</v>
      </c>
      <c r="N1063" s="213">
        <f>IFERROR(__xludf.DUMMYFUNCTION("""COMPUTED_VALUE"""),20.0)</f>
        <v>20</v>
      </c>
      <c r="O1063" s="213">
        <f>IFERROR(__xludf.DUMMYFUNCTION("""COMPUTED_VALUE"""),20.0)</f>
        <v>20</v>
      </c>
      <c r="P1063" s="213"/>
      <c r="Q1063" s="213"/>
      <c r="R1063" s="213" t="str">
        <f>IFERROR(__xludf.DUMMYFUNCTION("""COMPUTED_VALUE"""),"SI")</f>
        <v>SI</v>
      </c>
      <c r="S1063" s="213"/>
      <c r="T1063" s="213" t="str">
        <f>IFERROR(__xludf.DUMMYFUNCTION("""COMPUTED_VALUE"""),"SI")</f>
        <v>SI</v>
      </c>
      <c r="U1063" s="213" t="str">
        <f>IFERROR(__xludf.DUMMYFUNCTION("""COMPUTED_VALUE"""),"SI")</f>
        <v>SI</v>
      </c>
      <c r="V1063" s="213" t="str">
        <f>IFERROR(__xludf.DUMMYFUNCTION("""COMPUTED_VALUE"""),"-")</f>
        <v>-</v>
      </c>
      <c r="W1063" s="213" t="str">
        <f>IFERROR(__xludf.DUMMYFUNCTION("""COMPUTED_VALUE"""),"-")</f>
        <v>-</v>
      </c>
      <c r="X1063" s="213" t="str">
        <f>IFERROR(__xludf.DUMMYFUNCTION("""COMPUTED_VALUE"""),"SEGUSA")</f>
        <v>SEGUSA</v>
      </c>
      <c r="Y1063" s="213" t="str">
        <f>IFERROR(__xludf.DUMMYFUNCTION("""COMPUTED_VALUE"""),"SEGUSA")</f>
        <v>SEGUSA</v>
      </c>
      <c r="Z1063" s="215" t="str">
        <f>IFERROR(__xludf.DUMMYFUNCTION("""COMPUTED_VALUE"""),"https://grupocasalima.com/producto/bota-de-pvc-blanco-c-punta-segusa/")</f>
        <v>https://grupocasalima.com/producto/bota-de-pvc-blanco-c-punta-segusa/</v>
      </c>
      <c r="AA1063" s="213" t="str">
        <f>IFERROR(__xludf.DUMMYFUNCTION("""COMPUTED_VALUE"""),"MAT-122 PAR DE BOTAS DE JEBE - CET")</f>
        <v>MAT-122 PAR DE BOTAS DE JEBE - CET</v>
      </c>
      <c r="AB1063" s="213"/>
      <c r="AC1063" s="213"/>
      <c r="AD1063" s="213"/>
      <c r="AE1063" s="213"/>
      <c r="AF1063" s="213"/>
      <c r="AG1063" s="213"/>
      <c r="AH1063" s="213"/>
      <c r="AI1063" s="213"/>
      <c r="AJ1063" s="213"/>
      <c r="AK1063" s="213"/>
      <c r="AL1063" s="213"/>
      <c r="AM1063" s="213"/>
      <c r="AN1063" s="213"/>
      <c r="AO1063" s="213"/>
      <c r="AP1063" s="213" t="str">
        <f>IFERROR(__xludf.DUMMYFUNCTION("""COMPUTED_VALUE"""),"LUIS")</f>
        <v>LUIS</v>
      </c>
      <c r="AQ1063" s="213"/>
      <c r="AR1063" s="213"/>
      <c r="AS1063" s="213"/>
      <c r="AT1063" s="213"/>
      <c r="AU1063" s="213"/>
      <c r="AV1063" s="213"/>
      <c r="AW1063" s="213"/>
      <c r="AX1063" s="213"/>
      <c r="AY1063" s="213"/>
      <c r="AZ1063" s="213"/>
      <c r="BA1063" s="213"/>
      <c r="BB1063" s="213"/>
      <c r="BC1063" s="213"/>
      <c r="BD1063" s="213"/>
    </row>
    <row r="1064">
      <c r="A1064" s="213">
        <f>IFERROR(__xludf.DUMMYFUNCTION("""COMPUTED_VALUE"""),8.0)</f>
        <v>8</v>
      </c>
      <c r="B1064" s="213" t="str">
        <f>IFERROR(__xludf.DUMMYFUNCTION("""COMPUTED_VALUE"""),"16449 ELOY SOBERON  FLORES")</f>
        <v>16449 ELOY SOBERON  FLORES</v>
      </c>
      <c r="C1064" s="213" t="str">
        <f>IFERROR(__xludf.DUMMYFUNCTION("""COMPUTED_VALUE"""),"TALLER SFT DE COCINA Y REPOSTERÍA")</f>
        <v>TALLER SFT DE COCINA Y REPOSTERÍA</v>
      </c>
      <c r="D1064" s="213" t="str">
        <f>IFERROR(__xludf.DUMMYFUNCTION("""COMPUTED_VALUE"""),"HERRAMIENTAS")</f>
        <v>HERRAMIENTAS</v>
      </c>
      <c r="E1064" s="213" t="str">
        <f>IFERROR(__xludf.DUMMYFUNCTION("""COMPUTED_VALUE"""),"MAT-123")</f>
        <v>MAT-123</v>
      </c>
      <c r="F1064" s="213" t="str">
        <f>IFERROR(__xludf.DUMMYFUNCTION("""COMPUTED_VALUE"""),"MAT-123-X")</f>
        <v>MAT-123-X</v>
      </c>
      <c r="G1064" s="213"/>
      <c r="H1064" s="213" t="str">
        <f>IFERROR(__xludf.DUMMYFUNCTION("""COMPUTED_VALUE"""),"BOTIQUÍN")</f>
        <v>BOTIQUÍN</v>
      </c>
      <c r="I1064" s="213" t="str">
        <f>IFERROR(__xludf.DUMMYFUNCTION("""COMPUTED_VALUE"""),"· Contiene materiales para curar heridas, controlar hemorragias, limpiar, cubrir quemaduras o zonas expuestas, y prevenir la contaminación e infección. Estos son:
- 01 caja x 20 unid. Gasas esterilizadas (10×10 cm).
- Una venda elástica 4"" x 5 yd, y una "&amp;"venda elástica 2"" x 5 yd, con sus seguros.
- 01 esparadrapo de 2.5 cm x 5 yd.
- 02 Guantes quirúrgicos.
- 01 caja de 100 curitas.
- 06 bajalenguas.
- 01 jabón antiséptico.
- 01 termómetro.
- 01 paquete de algodón de 20 g.
- 01 Tijera punta roma de 5"", m"&amp;"ango de plástico.
- 01 botella de alcohol de 250 ml.
- 01 botella de agua oxigenada de 250 ml.
· Dimensiones: 30 cm x 25 cm x 10 cm, con divisiones para guardar los medicamentos.")</f>
        <v>· Contiene materiales para curar heridas, controlar hemorragias, limpiar, cubrir quemaduras o zonas expuestas, y prevenir la contaminación e infección. Estos son:
- 01 caja x 20 unid. Gasas esterilizadas (10×10 cm).
- Una venda elástica 4" x 5 yd, y una venda elástica 2" x 5 yd, con sus seguros.
- 01 esparadrapo de 2.5 cm x 5 yd.
- 02 Guantes quirúrgicos.
- 01 caja de 100 curitas.
- 06 bajalenguas.
- 01 jabón antiséptico.
- 01 termómetro.
- 01 paquete de algodón de 20 g.
- 01 Tijera punta roma de 5", mango de plástico.
- 01 botella de alcohol de 250 ml.
- 01 botella de agua oxigenada de 250 ml.
· Dimensiones: 30 cm x 25 cm x 10 cm, con divisiones para guardar los medicamentos.</v>
      </c>
      <c r="J1064" s="213">
        <f>IFERROR(__xludf.DUMMYFUNCTION("""COMPUTED_VALUE"""),3.0)</f>
        <v>3</v>
      </c>
      <c r="K1064" s="213" t="str">
        <f>IFERROR(__xludf.DUMMYFUNCTION("""COMPUTED_VALUE"""),"90 DÍAS CALENDARIO")</f>
        <v>90 DÍAS CALENDARIO</v>
      </c>
      <c r="L1064"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64" s="213">
        <f>IFERROR(__xludf.DUMMYFUNCTION("""COMPUTED_VALUE"""),1.0)</f>
        <v>1</v>
      </c>
      <c r="N1064" s="213">
        <f>IFERROR(__xludf.DUMMYFUNCTION("""COMPUTED_VALUE"""),1.0)</f>
        <v>1</v>
      </c>
      <c r="O1064" s="213">
        <f>IFERROR(__xludf.DUMMYFUNCTION("""COMPUTED_VALUE"""),1.0)</f>
        <v>1</v>
      </c>
      <c r="P1064" s="213"/>
      <c r="Q1064" s="213"/>
      <c r="R1064" s="213"/>
      <c r="S1064" s="213"/>
      <c r="T1064" s="213" t="str">
        <f>IFERROR(__xludf.DUMMYFUNCTION("""COMPUTED_VALUE"""),"CONSULTA FINAL")</f>
        <v>CONSULTA FINAL</v>
      </c>
      <c r="U1064" s="213" t="str">
        <f>IFERROR(__xludf.DUMMYFUNCTION("""COMPUTED_VALUE"""),"SI")</f>
        <v>SI</v>
      </c>
      <c r="V1064" s="213" t="str">
        <f>IFERROR(__xludf.DUMMYFUNCTION("""COMPUTED_VALUE"""),"-")</f>
        <v>-</v>
      </c>
      <c r="W1064" s="213" t="str">
        <f>IFERROR(__xludf.DUMMYFUNCTION("""COMPUTED_VALUE"""),"-")</f>
        <v>-</v>
      </c>
      <c r="X1064" s="213"/>
      <c r="Y1064" s="213" t="str">
        <f>IFERROR(__xludf.DUMMYFUNCTION("""COMPUTED_VALUE"""),"A MEDIDA")</f>
        <v>A MEDIDA</v>
      </c>
      <c r="Z1064" s="213"/>
      <c r="AA1064" s="213" t="str">
        <f>IFERROR(__xludf.DUMMYFUNCTION("""COMPUTED_VALUE"""),"MAT-123 BOTIQUÍN-X - CET")</f>
        <v>MAT-123 BOTIQUÍN-X - CET</v>
      </c>
      <c r="AB1064" s="213"/>
      <c r="AC1064" s="213"/>
      <c r="AD1064" s="213"/>
      <c r="AE1064" s="213"/>
      <c r="AF1064" s="213"/>
      <c r="AG1064" s="213"/>
      <c r="AH1064" s="213"/>
      <c r="AI1064" s="213"/>
      <c r="AJ1064" s="213"/>
      <c r="AK1064" s="213"/>
      <c r="AL1064" s="213"/>
      <c r="AM1064" s="213"/>
      <c r="AN1064" s="213"/>
      <c r="AO1064" s="213"/>
      <c r="AP1064" s="213" t="str">
        <f>IFERROR(__xludf.DUMMYFUNCTION("""COMPUTED_VALUE"""),"BRUNO")</f>
        <v>BRUNO</v>
      </c>
      <c r="AQ1064" s="213"/>
      <c r="AR1064" s="213"/>
      <c r="AS1064" s="213"/>
      <c r="AT1064" s="213"/>
      <c r="AU1064" s="213"/>
      <c r="AV1064" s="213"/>
      <c r="AW1064" s="213"/>
      <c r="AX1064" s="213"/>
      <c r="AY1064" s="213"/>
      <c r="AZ1064" s="213"/>
      <c r="BA1064" s="213"/>
      <c r="BB1064" s="213"/>
      <c r="BC1064" s="213"/>
      <c r="BD1064" s="213"/>
    </row>
    <row r="1065">
      <c r="A1065" s="213">
        <f>IFERROR(__xludf.DUMMYFUNCTION("""COMPUTED_VALUE"""),149.0)</f>
        <v>149</v>
      </c>
      <c r="B1065" s="213" t="str">
        <f>IFERROR(__xludf.DUMMYFUNCTION("""COMPUTED_VALUE"""),"2026 SIMON BOLIVAR")</f>
        <v>2026 SIMON BOLIVAR</v>
      </c>
      <c r="C1065" s="213" t="str">
        <f>IFERROR(__xludf.DUMMYFUNCTION("""COMPUTED_VALUE"""),"TALLER SFT DE INDUSTRIA DEL VESTIDO")</f>
        <v>TALLER SFT DE INDUSTRIA DEL VESTIDO</v>
      </c>
      <c r="D1065" s="213" t="str">
        <f>IFERROR(__xludf.DUMMYFUNCTION("""COMPUTED_VALUE"""),"HERRAMIENTAS")</f>
        <v>HERRAMIENTAS</v>
      </c>
      <c r="E1065" s="213" t="str">
        <f>IFERROR(__xludf.DUMMYFUNCTION("""COMPUTED_VALUE"""),"MAT-123")</f>
        <v>MAT-123</v>
      </c>
      <c r="F1065" s="213" t="str">
        <f>IFERROR(__xludf.DUMMYFUNCTION("""COMPUTED_VALUE"""),"MAT-123-X")</f>
        <v>MAT-123-X</v>
      </c>
      <c r="G1065" s="213"/>
      <c r="H1065" s="213" t="str">
        <f>IFERROR(__xludf.DUMMYFUNCTION("""COMPUTED_VALUE"""),"BOTIQUÍN")</f>
        <v>BOTIQUÍN</v>
      </c>
      <c r="I1065" s="213" t="str">
        <f>IFERROR(__xludf.DUMMYFUNCTION("""COMPUTED_VALUE"""),"· Contiene materiales para curar heridas, controlar hemorragias, limpiar, cubrir quemaduras o zonas expuestas, y prevenir la contaminación e infección.
Estos son:
- 01 caja x 20 unid. Gasas esterilizadas (10×10 cm).
- Una venda elástica 4"" x 5 yd, y una "&amp;"venda elástica 2"" x 5 yd, con sus seguros.
- 01 esparadrapo de 2.5 cm x 5 yd.
- 02 Guantes quirúrgicos.
- 01 caja de 100 curitas.
- 06 bajalenguas.
- 01 jabón antiséptico.
- 01 termómetro.
- 01 paquete de algodón de 20 g.
- 01 Tijera punta roma de 5"", m"&amp;"ango de plástico.
- 01 botella de alcohol de 250 ml.
- 01 botella de agua oxigenada de 250 ml.
· Dimensiones: 30cm x 25cm x 10cm, con divisiones para guardar los medicamentos.")</f>
        <v>· Contiene materiales para curar heridas, controlar hemorragias, limpiar, cubrir quemaduras o zonas expuestas, y prevenir la contaminación e infección.
Estos son:
- 01 caja x 20 unid. Gasas esterilizadas (10×10 cm).
- Una venda elástica 4" x 5 yd, y una venda elástica 2" x 5 yd, con sus seguros.
- 01 esparadrapo de 2.5 cm x 5 yd.
- 02 Guantes quirúrgicos.
- 01 caja de 100 curitas.
- 06 bajalenguas.
- 01 jabón antiséptico.
- 01 termómetro.
- 01 paquete de algodón de 20 g.
- 01 Tijera punta roma de 5", mango de plástico.
- 01 botella de alcohol de 250 ml.
- 01 botella de agua oxigenada de 250 ml.
· Dimensiones: 30cm x 25cm x 10cm, con divisiones para guardar los medicamentos.</v>
      </c>
      <c r="J1065" s="213">
        <f>IFERROR(__xludf.DUMMYFUNCTION("""COMPUTED_VALUE"""),3.0)</f>
        <v>3</v>
      </c>
      <c r="K1065" s="213" t="str">
        <f>IFERROR(__xludf.DUMMYFUNCTION("""COMPUTED_VALUE"""),"90 DÍAS CALENDARIO")</f>
        <v>90 DÍAS CALENDARIO</v>
      </c>
      <c r="L1065"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65" s="213">
        <f>IFERROR(__xludf.DUMMYFUNCTION("""COMPUTED_VALUE"""),1.0)</f>
        <v>1</v>
      </c>
      <c r="N1065" s="213">
        <f>IFERROR(__xludf.DUMMYFUNCTION("""COMPUTED_VALUE"""),1.0)</f>
        <v>1</v>
      </c>
      <c r="O1065" s="213">
        <f>IFERROR(__xludf.DUMMYFUNCTION("""COMPUTED_VALUE"""),1.0)</f>
        <v>1</v>
      </c>
      <c r="P1065" s="213"/>
      <c r="Q1065" s="213"/>
      <c r="R1065" s="213"/>
      <c r="S1065" s="213"/>
      <c r="T1065" s="213" t="str">
        <f>IFERROR(__xludf.DUMMYFUNCTION("""COMPUTED_VALUE"""),"CONSULTA FINAL")</f>
        <v>CONSULTA FINAL</v>
      </c>
      <c r="U1065" s="213"/>
      <c r="V1065" s="213"/>
      <c r="W1065" s="213"/>
      <c r="X1065" s="213"/>
      <c r="Y1065" s="213" t="str">
        <f>IFERROR(__xludf.DUMMYFUNCTION("""COMPUTED_VALUE"""),"A MEDIDA")</f>
        <v>A MEDIDA</v>
      </c>
      <c r="Z1065" s="213"/>
      <c r="AA1065" s="213" t="str">
        <f>IFERROR(__xludf.DUMMYFUNCTION("""COMPUTED_VALUE"""),"MAT-123 BOTIQUÍN-X - CET")</f>
        <v>MAT-123 BOTIQUÍN-X - CET</v>
      </c>
      <c r="AB1065" s="213"/>
      <c r="AC1065" s="213"/>
      <c r="AD1065" s="213"/>
      <c r="AE1065" s="213"/>
      <c r="AF1065" s="213"/>
      <c r="AG1065" s="213"/>
      <c r="AH1065" s="213"/>
      <c r="AI1065" s="213"/>
      <c r="AJ1065" s="213"/>
      <c r="AK1065" s="213"/>
      <c r="AL1065" s="213"/>
      <c r="AM1065" s="213"/>
      <c r="AN1065" s="213"/>
      <c r="AO1065" s="213"/>
      <c r="AP1065" s="213" t="str">
        <f>IFERROR(__xludf.DUMMYFUNCTION("""COMPUTED_VALUE"""),"BRUNO")</f>
        <v>BRUNO</v>
      </c>
      <c r="AQ1065" s="213"/>
      <c r="AR1065" s="213"/>
      <c r="AS1065" s="213"/>
      <c r="AT1065" s="213"/>
      <c r="AU1065" s="213"/>
      <c r="AV1065" s="213"/>
      <c r="AW1065" s="213"/>
      <c r="AX1065" s="213"/>
      <c r="AY1065" s="213"/>
      <c r="AZ1065" s="213"/>
      <c r="BA1065" s="213"/>
      <c r="BB1065" s="213"/>
      <c r="BC1065" s="213"/>
      <c r="BD1065" s="213"/>
    </row>
    <row r="1066">
      <c r="A1066" s="213">
        <f>IFERROR(__xludf.DUMMYFUNCTION("""COMPUTED_VALUE"""),158.0)</f>
        <v>158</v>
      </c>
      <c r="B1066" s="213" t="str">
        <f>IFERROR(__xludf.DUMMYFUNCTION("""COMPUTED_VALUE"""),"2026 SIMON BOLIVAR")</f>
        <v>2026 SIMON BOLIVAR</v>
      </c>
      <c r="C1066" s="213" t="str">
        <f>IFERROR(__xludf.DUMMYFUNCTION("""COMPUTED_VALUE"""),"TALLER SFT DE INDUSTRIA DEL VESTIDO")</f>
        <v>TALLER SFT DE INDUSTRIA DEL VESTIDO</v>
      </c>
      <c r="D1066" s="213" t="str">
        <f>IFERROR(__xludf.DUMMYFUNCTION("""COMPUTED_VALUE"""),"HERRAMIENTAS")</f>
        <v>HERRAMIENTAS</v>
      </c>
      <c r="E1066" s="213" t="str">
        <f>IFERROR(__xludf.DUMMYFUNCTION("""COMPUTED_VALUE"""),"MAT-123")</f>
        <v>MAT-123</v>
      </c>
      <c r="F1066" s="213" t="str">
        <f>IFERROR(__xludf.DUMMYFUNCTION("""COMPUTED_VALUE"""),"MAT-123-X")</f>
        <v>MAT-123-X</v>
      </c>
      <c r="G1066" s="213"/>
      <c r="H1066" s="213" t="str">
        <f>IFERROR(__xludf.DUMMYFUNCTION("""COMPUTED_VALUE"""),"BOTIQUÍN")</f>
        <v>BOTIQUÍN</v>
      </c>
      <c r="I1066" s="213" t="str">
        <f>IFERROR(__xludf.DUMMYFUNCTION("""COMPUTED_VALUE"""),"· Contiene materiales para curar heridas, controlar hemorragias, limpiar, cubrir quemaduras o zonas expuestas, y prevenir la contaminación e infección.
Estos son:
- 01 caja x 20 unid. Gasas esterilizadas (10×10 cm).
- Una venda elástica 4"" x 5 yd, y una "&amp;"venda elástica 2"" x 5 yd, con sus seguros.
- 01 esparadrapo de 2.5 cm x 5 yd.
- 02 Guantes quirúrgicos.
- 01 caja de 100 curitas.
- 06 bajalenguas.
- 01 jabón antiséptico.
- 01 termómetro.
- 01 paquete de algodón de 20 g.
- 01 Tijera punta roma de 5"", m"&amp;"ango de plástico.
- 01 botella de alcohol de 250 ml.
- 01 botella de agua oxigenada de 250 ml.
· Dimensiones: 30cm x 25cm x 10cm, con divisiones para guardar los medicamentos.")</f>
        <v>· Contiene materiales para curar heridas, controlar hemorragias, limpiar, cubrir quemaduras o zonas expuestas, y prevenir la contaminación e infección.
Estos son:
- 01 caja x 20 unid. Gasas esterilizadas (10×10 cm).
- Una venda elástica 4" x 5 yd, y una venda elástica 2" x 5 yd, con sus seguros.
- 01 esparadrapo de 2.5 cm x 5 yd.
- 02 Guantes quirúrgicos.
- 01 caja de 100 curitas.
- 06 bajalenguas.
- 01 jabón antiséptico.
- 01 termómetro.
- 01 paquete de algodón de 20 g.
- 01 Tijera punta roma de 5", mango de plástico.
- 01 botella de alcohol de 250 ml.
- 01 botella de agua oxigenada de 250 ml.
· Dimensiones: 30cm x 25cm x 10cm, con divisiones para guardar los medicamentos.</v>
      </c>
      <c r="J1066" s="213">
        <f>IFERROR(__xludf.DUMMYFUNCTION("""COMPUTED_VALUE"""),3.0)</f>
        <v>3</v>
      </c>
      <c r="K1066" s="213" t="str">
        <f>IFERROR(__xludf.DUMMYFUNCTION("""COMPUTED_VALUE"""),"90 DÍAS CALENDARIO")</f>
        <v>90 DÍAS CALENDARIO</v>
      </c>
      <c r="L1066"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66" s="213">
        <f>IFERROR(__xludf.DUMMYFUNCTION("""COMPUTED_VALUE"""),1.0)</f>
        <v>1</v>
      </c>
      <c r="N1066" s="213">
        <f>IFERROR(__xludf.DUMMYFUNCTION("""COMPUTED_VALUE"""),1.0)</f>
        <v>1</v>
      </c>
      <c r="O1066" s="213">
        <f>IFERROR(__xludf.DUMMYFUNCTION("""COMPUTED_VALUE"""),1.0)</f>
        <v>1</v>
      </c>
      <c r="P1066" s="213"/>
      <c r="Q1066" s="213"/>
      <c r="R1066" s="213"/>
      <c r="S1066" s="213"/>
      <c r="T1066" s="213" t="str">
        <f>IFERROR(__xludf.DUMMYFUNCTION("""COMPUTED_VALUE"""),"CONSULTA FINAL")</f>
        <v>CONSULTA FINAL</v>
      </c>
      <c r="U1066" s="213"/>
      <c r="V1066" s="213"/>
      <c r="W1066" s="213"/>
      <c r="X1066" s="213"/>
      <c r="Y1066" s="213" t="str">
        <f>IFERROR(__xludf.DUMMYFUNCTION("""COMPUTED_VALUE"""),"A MEDIDA")</f>
        <v>A MEDIDA</v>
      </c>
      <c r="Z1066" s="213"/>
      <c r="AA1066" s="213" t="str">
        <f>IFERROR(__xludf.DUMMYFUNCTION("""COMPUTED_VALUE"""),"MAT-123 BOTIQUÍN-X - CET")</f>
        <v>MAT-123 BOTIQUÍN-X - CET</v>
      </c>
      <c r="AB1066" s="213"/>
      <c r="AC1066" s="213"/>
      <c r="AD1066" s="213"/>
      <c r="AE1066" s="213"/>
      <c r="AF1066" s="213"/>
      <c r="AG1066" s="213"/>
      <c r="AH1066" s="213"/>
      <c r="AI1066" s="213"/>
      <c r="AJ1066" s="213"/>
      <c r="AK1066" s="213"/>
      <c r="AL1066" s="213"/>
      <c r="AM1066" s="213"/>
      <c r="AN1066" s="213"/>
      <c r="AO1066" s="213"/>
      <c r="AP1066" s="213" t="str">
        <f>IFERROR(__xludf.DUMMYFUNCTION("""COMPUTED_VALUE"""),"BRUNO")</f>
        <v>BRUNO</v>
      </c>
      <c r="AQ1066" s="213"/>
      <c r="AR1066" s="213"/>
      <c r="AS1066" s="213"/>
      <c r="AT1066" s="213"/>
      <c r="AU1066" s="213"/>
      <c r="AV1066" s="213"/>
      <c r="AW1066" s="213"/>
      <c r="AX1066" s="213"/>
      <c r="AY1066" s="213"/>
      <c r="AZ1066" s="213"/>
      <c r="BA1066" s="213"/>
      <c r="BB1066" s="213"/>
      <c r="BC1066" s="213"/>
      <c r="BD1066" s="213"/>
    </row>
    <row r="1067">
      <c r="A1067" s="213">
        <f>IFERROR(__xludf.DUMMYFUNCTION("""COMPUTED_VALUE"""),259.0)</f>
        <v>259</v>
      </c>
      <c r="B1067" s="213" t="str">
        <f>IFERROR(__xludf.DUMMYFUNCTION("""COMPUTED_VALUE"""),"2026 SIMON BOLIVAR")</f>
        <v>2026 SIMON BOLIVAR</v>
      </c>
      <c r="C1067" s="213" t="str">
        <f>IFERROR(__xludf.DUMMYFUNCTION("""COMPUTED_VALUE"""),"TALLER SFT DE COMPUTACIÓN E INFORMÁTICA")</f>
        <v>TALLER SFT DE COMPUTACIÓN E INFORMÁTICA</v>
      </c>
      <c r="D1067" s="213" t="str">
        <f>IFERROR(__xludf.DUMMYFUNCTION("""COMPUTED_VALUE"""),"HERRAMIENTAS")</f>
        <v>HERRAMIENTAS</v>
      </c>
      <c r="E1067" s="213" t="str">
        <f>IFERROR(__xludf.DUMMYFUNCTION("""COMPUTED_VALUE"""),"MAT-123")</f>
        <v>MAT-123</v>
      </c>
      <c r="F1067" s="213" t="str">
        <f>IFERROR(__xludf.DUMMYFUNCTION("""COMPUTED_VALUE"""),"MAT-123-X")</f>
        <v>MAT-123-X</v>
      </c>
      <c r="G1067" s="213"/>
      <c r="H1067" s="213" t="str">
        <f>IFERROR(__xludf.DUMMYFUNCTION("""COMPUTED_VALUE"""),"BOTIQUÍN")</f>
        <v>BOTIQUÍN</v>
      </c>
      <c r="I1067" s="213" t="str">
        <f>IFERROR(__xludf.DUMMYFUNCTION("""COMPUTED_VALUE"""),"·  Contiene materiales para curar heridas, controlar hemorragias, limpiar, cubrir quemaduras o zonas expuestas, y prevenir la contaminación e infección.
·  Dimensiones: 30 x 25 x 10 cm, con divisiones para guardar los medicamentos.
·  Conformado por:
-   "&amp;"01 caja x 20 unid. de gasas esterilizadas (10 × 10 cm).
-   01 venda elástica de 4"" x 5 yd, y una venda elástica de 2"" x 5 yd, con sus seguros.
-   01 esparadrapo de 2,5 cm x 5 yd.
-   02 guantes quirúrgicos.
-   01 caja de 100 curitas.
-   06 bajalengu"&amp;"as.
-   01 jabón antiséptico.
-   01 termómetro clínico.
-   01 paquete de algodón de 20 g.
-   01 tijera punta roma de 5"", mango de plástico.
-   01 botella de alcohol de 250 mL.
-   01 botella de agua oxigenada de 250 mL.")</f>
        <v>·  Contiene materiales para curar heridas, controlar hemorragias, limpiar, cubrir quemaduras o zonas expuestas, y prevenir la contaminación e infección.
·  Dimensiones: 30 x 25 x 10 cm, con divisiones para guardar los medicamentos.
·  Conformado por:
-   01 caja x 20 unid. de gasas esterilizadas (10 × 10 cm).
-   01 venda elástica de 4" x 5 yd, y una venda elástica de 2" x 5 yd, con sus seguros.
-   01 esparadrapo de 2,5 cm x 5 yd.
-   02 guantes quirúrgicos.
-   01 caja de 100 curitas.
-   06 bajalenguas.
-   01 jabón antiséptico.
-   01 termómetro clínico.
-   01 paquete de algodón de 20 g.
-   01 tijera punta roma de 5", mango de plástico.
-   01 botella de alcohol de 250 mL.
-   01 botella de agua oxigenada de 250 mL.</v>
      </c>
      <c r="J1067" s="213">
        <f>IFERROR(__xludf.DUMMYFUNCTION("""COMPUTED_VALUE"""),3.0)</f>
        <v>3</v>
      </c>
      <c r="K1067" s="213" t="str">
        <f>IFERROR(__xludf.DUMMYFUNCTION("""COMPUTED_VALUE"""),"90 DÍAS CALENDARIO")</f>
        <v>90 DÍAS CALENDARIO</v>
      </c>
      <c r="L1067"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67" s="213">
        <f>IFERROR(__xludf.DUMMYFUNCTION("""COMPUTED_VALUE"""),1.0)</f>
        <v>1</v>
      </c>
      <c r="N1067" s="213">
        <f>IFERROR(__xludf.DUMMYFUNCTION("""COMPUTED_VALUE"""),1.0)</f>
        <v>1</v>
      </c>
      <c r="O1067" s="213">
        <f>IFERROR(__xludf.DUMMYFUNCTION("""COMPUTED_VALUE"""),1.0)</f>
        <v>1</v>
      </c>
      <c r="P1067" s="213"/>
      <c r="Q1067" s="213"/>
      <c r="R1067" s="213"/>
      <c r="S1067" s="213"/>
      <c r="T1067" s="213" t="str">
        <f>IFERROR(__xludf.DUMMYFUNCTION("""COMPUTED_VALUE"""),"CONSULTA FINAL")</f>
        <v>CONSULTA FINAL</v>
      </c>
      <c r="U1067" s="213"/>
      <c r="V1067" s="213"/>
      <c r="W1067" s="213"/>
      <c r="X1067" s="213"/>
      <c r="Y1067" s="213" t="str">
        <f>IFERROR(__xludf.DUMMYFUNCTION("""COMPUTED_VALUE"""),"A MEDIDA")</f>
        <v>A MEDIDA</v>
      </c>
      <c r="Z1067" s="213"/>
      <c r="AA1067" s="213" t="str">
        <f>IFERROR(__xludf.DUMMYFUNCTION("""COMPUTED_VALUE"""),"MAT-123 BOTIQUÍN-X - CET")</f>
        <v>MAT-123 BOTIQUÍN-X - CET</v>
      </c>
      <c r="AB1067" s="213"/>
      <c r="AC1067" s="213"/>
      <c r="AD1067" s="213"/>
      <c r="AE1067" s="213"/>
      <c r="AF1067" s="213"/>
      <c r="AG1067" s="213"/>
      <c r="AH1067" s="213"/>
      <c r="AI1067" s="213"/>
      <c r="AJ1067" s="213"/>
      <c r="AK1067" s="213"/>
      <c r="AL1067" s="213"/>
      <c r="AM1067" s="213"/>
      <c r="AN1067" s="213"/>
      <c r="AO1067" s="213"/>
      <c r="AP1067" s="213" t="str">
        <f>IFERROR(__xludf.DUMMYFUNCTION("""COMPUTED_VALUE"""),"BRUNO")</f>
        <v>BRUNO</v>
      </c>
      <c r="AQ1067" s="213"/>
      <c r="AR1067" s="213"/>
      <c r="AS1067" s="213"/>
      <c r="AT1067" s="213"/>
      <c r="AU1067" s="213"/>
      <c r="AV1067" s="213"/>
      <c r="AW1067" s="213"/>
      <c r="AX1067" s="213"/>
      <c r="AY1067" s="213"/>
      <c r="AZ1067" s="213"/>
      <c r="BA1067" s="213"/>
      <c r="BB1067" s="213"/>
      <c r="BC1067" s="213"/>
      <c r="BD1067" s="213"/>
    </row>
    <row r="1068">
      <c r="A1068" s="213">
        <f>IFERROR(__xludf.DUMMYFUNCTION("""COMPUTED_VALUE"""),346.0)</f>
        <v>346</v>
      </c>
      <c r="B1068" s="213" t="str">
        <f>IFERROR(__xludf.DUMMYFUNCTION("""COMPUTED_VALUE"""),"2026 SIMON BOLIVAR")</f>
        <v>2026 SIMON BOLIVAR</v>
      </c>
      <c r="C1068" s="213" t="str">
        <f>IFERROR(__xludf.DUMMYFUNCTION("""COMPUTED_VALUE"""),"TALLER SFT DE ELECTRICIDAD")</f>
        <v>TALLER SFT DE ELECTRICIDAD</v>
      </c>
      <c r="D1068" s="213" t="str">
        <f>IFERROR(__xludf.DUMMYFUNCTION("""COMPUTED_VALUE"""),"HERRAMIENTAS")</f>
        <v>HERRAMIENTAS</v>
      </c>
      <c r="E1068" s="213" t="str">
        <f>IFERROR(__xludf.DUMMYFUNCTION("""COMPUTED_VALUE"""),"MAT-123")</f>
        <v>MAT-123</v>
      </c>
      <c r="F1068" s="213" t="str">
        <f>IFERROR(__xludf.DUMMYFUNCTION("""COMPUTED_VALUE"""),"MAT-123-X")</f>
        <v>MAT-123-X</v>
      </c>
      <c r="G1068" s="213"/>
      <c r="H1068" s="213" t="str">
        <f>IFERROR(__xludf.DUMMYFUNCTION("""COMPUTED_VALUE"""),"BOTIQUÍN")</f>
        <v>BOTIQUÍN</v>
      </c>
      <c r="I1068" s="213"/>
      <c r="J1068" s="213">
        <f>IFERROR(__xludf.DUMMYFUNCTION("""COMPUTED_VALUE"""),3.0)</f>
        <v>3</v>
      </c>
      <c r="K1068" s="213" t="str">
        <f>IFERROR(__xludf.DUMMYFUNCTION("""COMPUTED_VALUE"""),"90 DÍAS CALENDARIO")</f>
        <v>90 DÍAS CALENDARIO</v>
      </c>
      <c r="L1068"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68" s="213">
        <f>IFERROR(__xludf.DUMMYFUNCTION("""COMPUTED_VALUE"""),1.0)</f>
        <v>1</v>
      </c>
      <c r="N1068" s="213">
        <f>IFERROR(__xludf.DUMMYFUNCTION("""COMPUTED_VALUE"""),1.0)</f>
        <v>1</v>
      </c>
      <c r="O1068" s="213">
        <f>IFERROR(__xludf.DUMMYFUNCTION("""COMPUTED_VALUE"""),1.0)</f>
        <v>1</v>
      </c>
      <c r="P1068" s="213"/>
      <c r="Q1068" s="213"/>
      <c r="R1068" s="213"/>
      <c r="S1068" s="213"/>
      <c r="T1068" s="213" t="str">
        <f>IFERROR(__xludf.DUMMYFUNCTION("""COMPUTED_VALUE"""),"CONSULTA FINAL")</f>
        <v>CONSULTA FINAL</v>
      </c>
      <c r="U1068" s="213"/>
      <c r="V1068" s="213"/>
      <c r="W1068" s="213"/>
      <c r="X1068" s="213"/>
      <c r="Y1068" s="213" t="str">
        <f>IFERROR(__xludf.DUMMYFUNCTION("""COMPUTED_VALUE"""),"A MEDIDA")</f>
        <v>A MEDIDA</v>
      </c>
      <c r="Z1068" s="213"/>
      <c r="AA1068" s="213" t="str">
        <f>IFERROR(__xludf.DUMMYFUNCTION("""COMPUTED_VALUE"""),"MAT-123 BOTIQUÍN-Y - CET")</f>
        <v>MAT-123 BOTIQUÍN-Y - CET</v>
      </c>
      <c r="AB1068" s="213"/>
      <c r="AC1068" s="213"/>
      <c r="AD1068" s="213"/>
      <c r="AE1068" s="213"/>
      <c r="AF1068" s="213"/>
      <c r="AG1068" s="213"/>
      <c r="AH1068" s="213"/>
      <c r="AI1068" s="213"/>
      <c r="AJ1068" s="213"/>
      <c r="AK1068" s="213"/>
      <c r="AL1068" s="213"/>
      <c r="AM1068" s="213"/>
      <c r="AN1068" s="213"/>
      <c r="AO1068" s="213"/>
      <c r="AP1068" s="213" t="str">
        <f>IFERROR(__xludf.DUMMYFUNCTION("""COMPUTED_VALUE"""),"BRUNO")</f>
        <v>BRUNO</v>
      </c>
      <c r="AQ1068" s="213"/>
      <c r="AR1068" s="213"/>
      <c r="AS1068" s="213"/>
      <c r="AT1068" s="213"/>
      <c r="AU1068" s="213"/>
      <c r="AV1068" s="213"/>
      <c r="AW1068" s="213"/>
      <c r="AX1068" s="213"/>
      <c r="AY1068" s="213"/>
      <c r="AZ1068" s="213"/>
      <c r="BA1068" s="213"/>
      <c r="BB1068" s="213"/>
      <c r="BC1068" s="213"/>
      <c r="BD1068" s="213"/>
    </row>
    <row r="1069">
      <c r="A1069" s="213">
        <f>IFERROR(__xludf.DUMMYFUNCTION("""COMPUTED_VALUE"""),459.0)</f>
        <v>459</v>
      </c>
      <c r="B1069" s="213" t="str">
        <f>IFERROR(__xludf.DUMMYFUNCTION("""COMPUTED_VALUE"""),"2026 SIMON BOLIVAR")</f>
        <v>2026 SIMON BOLIVAR</v>
      </c>
      <c r="C1069" s="213" t="str">
        <f>IFERROR(__xludf.DUMMYFUNCTION("""COMPUTED_VALUE"""),"TALLER SFT DE INDUSTRIA ALIMENTARIA")</f>
        <v>TALLER SFT DE INDUSTRIA ALIMENTARIA</v>
      </c>
      <c r="D1069" s="213" t="str">
        <f>IFERROR(__xludf.DUMMYFUNCTION("""COMPUTED_VALUE"""),"HERRAMIENTAS")</f>
        <v>HERRAMIENTAS</v>
      </c>
      <c r="E1069" s="213" t="str">
        <f>IFERROR(__xludf.DUMMYFUNCTION("""COMPUTED_VALUE"""),"MAT-123")</f>
        <v>MAT-123</v>
      </c>
      <c r="F1069" s="213" t="str">
        <f>IFERROR(__xludf.DUMMYFUNCTION("""COMPUTED_VALUE"""),"MAT-123-X")</f>
        <v>MAT-123-X</v>
      </c>
      <c r="G1069" s="213"/>
      <c r="H1069" s="213" t="str">
        <f>IFERROR(__xludf.DUMMYFUNCTION("""COMPUTED_VALUE"""),"BOTIQUÍN")</f>
        <v>BOTIQUÍN</v>
      </c>
      <c r="I1069" s="213" t="str">
        <f>IFERROR(__xludf.DUMMYFUNCTION("""COMPUTED_VALUE"""),"· Contiene materiales para curar heridas, controlar hemorragias, limpiar, cubrir quemaduras o zonas expuestas, y prevenir la contaminación e infección.
Estos son:
- 01 caja x 20 unid. Gasas esterilizadas (10×10 cm).
- Una venda elástica 4"" x 5 yd, y una "&amp;"venda elástica 2"" x 5 yd, con sus seguros.
- 01 esparadrapo de 2.5 cm x 5 yd.
- 02 Guantes quirúrgicos.
- 01 caja de 100 curitas.
- 06 bajalenguas.
- 01 jabón antiséptico.
- 01 termómetro.
- 01 paquete de algodón de 20 g.
- 01 Tijera punta roma de 5"", m"&amp;"ango de plástico.
- 01 botella de alcohol de 250 ml.
- 01 botella de agua oxigenada de 250 ml.
· Dimensiones: 30cm x 25cm x 10cm, con divisiones para guardar los medicamentos.")</f>
        <v>· Contiene materiales para curar heridas, controlar hemorragias, limpiar, cubrir quemaduras o zonas expuestas, y prevenir la contaminación e infección.
Estos son:
- 01 caja x 20 unid. Gasas esterilizadas (10×10 cm).
- Una venda elástica 4" x 5 yd, y una venda elástica 2" x 5 yd, con sus seguros.
- 01 esparadrapo de 2.5 cm x 5 yd.
- 02 Guantes quirúrgicos.
- 01 caja de 100 curitas.
- 06 bajalenguas.
- 01 jabón antiséptico.
- 01 termómetro.
- 01 paquete de algodón de 20 g.
- 01 Tijera punta roma de 5", mango de plástico.
- 01 botella de alcohol de 250 ml.
- 01 botella de agua oxigenada de 250 ml.
· Dimensiones: 30cm x 25cm x 10cm, con divisiones para guardar los medicamentos.</v>
      </c>
      <c r="J1069" s="213">
        <f>IFERROR(__xludf.DUMMYFUNCTION("""COMPUTED_VALUE"""),3.0)</f>
        <v>3</v>
      </c>
      <c r="K1069" s="213" t="str">
        <f>IFERROR(__xludf.DUMMYFUNCTION("""COMPUTED_VALUE"""),"90 DÍAS CALENDARIO")</f>
        <v>90 DÍAS CALENDARIO</v>
      </c>
      <c r="L1069"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69" s="213">
        <f>IFERROR(__xludf.DUMMYFUNCTION("""COMPUTED_VALUE"""),1.0)</f>
        <v>1</v>
      </c>
      <c r="N1069" s="213">
        <f>IFERROR(__xludf.DUMMYFUNCTION("""COMPUTED_VALUE"""),1.0)</f>
        <v>1</v>
      </c>
      <c r="O1069" s="213">
        <f>IFERROR(__xludf.DUMMYFUNCTION("""COMPUTED_VALUE"""),1.0)</f>
        <v>1</v>
      </c>
      <c r="P1069" s="213"/>
      <c r="Q1069" s="213"/>
      <c r="R1069" s="213"/>
      <c r="S1069" s="213"/>
      <c r="T1069" s="213" t="str">
        <f>IFERROR(__xludf.DUMMYFUNCTION("""COMPUTED_VALUE"""),"CONSULTA FINAL")</f>
        <v>CONSULTA FINAL</v>
      </c>
      <c r="U1069" s="213"/>
      <c r="V1069" s="213"/>
      <c r="W1069" s="213"/>
      <c r="X1069" s="213"/>
      <c r="Y1069" s="213" t="str">
        <f>IFERROR(__xludf.DUMMYFUNCTION("""COMPUTED_VALUE"""),"A MEDIDA")</f>
        <v>A MEDIDA</v>
      </c>
      <c r="Z1069" s="213"/>
      <c r="AA1069" s="213" t="str">
        <f>IFERROR(__xludf.DUMMYFUNCTION("""COMPUTED_VALUE"""),"MAT-123 BOTIQUÍN-X - CET")</f>
        <v>MAT-123 BOTIQUÍN-X - CET</v>
      </c>
      <c r="AB1069" s="213"/>
      <c r="AC1069" s="213"/>
      <c r="AD1069" s="213"/>
      <c r="AE1069" s="213"/>
      <c r="AF1069" s="213"/>
      <c r="AG1069" s="213"/>
      <c r="AH1069" s="213"/>
      <c r="AI1069" s="213"/>
      <c r="AJ1069" s="213"/>
      <c r="AK1069" s="213"/>
      <c r="AL1069" s="213"/>
      <c r="AM1069" s="213"/>
      <c r="AN1069" s="213"/>
      <c r="AO1069" s="213"/>
      <c r="AP1069" s="213" t="str">
        <f>IFERROR(__xludf.DUMMYFUNCTION("""COMPUTED_VALUE"""),"BRUNO")</f>
        <v>BRUNO</v>
      </c>
      <c r="AQ1069" s="213"/>
      <c r="AR1069" s="213"/>
      <c r="AS1069" s="213"/>
      <c r="AT1069" s="213"/>
      <c r="AU1069" s="213"/>
      <c r="AV1069" s="213"/>
      <c r="AW1069" s="213"/>
      <c r="AX1069" s="213"/>
      <c r="AY1069" s="213"/>
      <c r="AZ1069" s="213"/>
      <c r="BA1069" s="213"/>
      <c r="BB1069" s="213"/>
      <c r="BC1069" s="213"/>
      <c r="BD1069" s="213"/>
    </row>
    <row r="1070">
      <c r="A1070" s="213">
        <f>IFERROR(__xludf.DUMMYFUNCTION("""COMPUTED_VALUE"""),624.0)</f>
        <v>624</v>
      </c>
      <c r="B1070" s="213" t="str">
        <f>IFERROR(__xludf.DUMMYFUNCTION("""COMPUTED_VALUE"""),"6049 RICARDO PALMA")</f>
        <v>6049 RICARDO PALMA</v>
      </c>
      <c r="C1070" s="213" t="str">
        <f>IFERROR(__xludf.DUMMYFUNCTION("""COMPUTED_VALUE"""),"TALLER SFT DE ELECTRÓNICA")</f>
        <v>TALLER SFT DE ELECTRÓNICA</v>
      </c>
      <c r="D1070" s="213" t="str">
        <f>IFERROR(__xludf.DUMMYFUNCTION("""COMPUTED_VALUE"""),"HERRAMIENTAS")</f>
        <v>HERRAMIENTAS</v>
      </c>
      <c r="E1070" s="213" t="str">
        <f>IFERROR(__xludf.DUMMYFUNCTION("""COMPUTED_VALUE"""),"MAT-123")</f>
        <v>MAT-123</v>
      </c>
      <c r="F1070" s="213" t="str">
        <f>IFERROR(__xludf.DUMMYFUNCTION("""COMPUTED_VALUE"""),"MAT-123-Y")</f>
        <v>MAT-123-Y</v>
      </c>
      <c r="G1070" s="213"/>
      <c r="H1070" s="213" t="str">
        <f>IFERROR(__xludf.DUMMYFUNCTION("""COMPUTED_VALUE"""),"BOTIQUÍN")</f>
        <v>BOTIQUÍN</v>
      </c>
      <c r="I1070" s="213" t="str">
        <f>IFERROR(__xludf.DUMMYFUNCTION("""COMPUTED_VALUE"""),"· Contiene materiales para curar heridas, controlar hemorragias, limpiar, cubrir quemaduras o zonas expuestas, y prevenir la contaminación e infección.
· Dimensiones: 30 cm x 25 cm x 10 cm, con divisiones para guardar los medicamentos.
· Conformado por:
-"&amp;" 01 caja x 20 unid. de gasas esterilizadas (10 cm × 10 cm).
- 01 venda elástica de 4"" x 5 yd, y una venda elástica de 2"" x 5 yd, con sus seguros.
- 01 esparadrapo de 2,5 cm x 5 yd.
- 02 guantes quirúrgicos.
- 01 caja de 100 curitas.
- 06 bajalenguas.
- "&amp;"01 jabón antiséptico.
- 01 termómetro clínico.
- 01 paquete de algodón de 20 g.
- 01 tijera punta roma de 5"", mango de plástico.
- 01 botella de alcohol de 250 mL.")</f>
        <v>· Contiene materiales para curar heridas, controlar hemorragias, limpiar, cubrir quemaduras o zonas expuestas, y prevenir la contaminación e infección.
· Dimensiones: 30 cm x 25 cm x 10 cm, con divisiones para guardar los medicamentos.
· Conformado por:
- 01 caja x 20 unid. de gasas esterilizadas (10 cm × 10 cm).
- 01 venda elástica de 4" x 5 yd, y una venda elástica de 2" x 5 yd, con sus seguros.
- 01 esparadrapo de 2,5 cm x 5 yd.
- 02 guantes quirúrgicos.
- 01 caja de 100 curitas.
- 06 bajalenguas.
- 01 jabón antiséptico.
- 01 termómetro clínico.
- 01 paquete de algodón de 20 g.
- 01 tijera punta roma de 5", mango de plástico.
- 01 botella de alcohol de 250 mL.</v>
      </c>
      <c r="J1070" s="213">
        <f>IFERROR(__xludf.DUMMYFUNCTION("""COMPUTED_VALUE"""),3.0)</f>
        <v>3</v>
      </c>
      <c r="K1070" s="213" t="str">
        <f>IFERROR(__xludf.DUMMYFUNCTION("""COMPUTED_VALUE"""),"90 DÍAS CALENDARIO")</f>
        <v>90 DÍAS CALENDARIO</v>
      </c>
      <c r="L1070" s="213" t="str">
        <f>IFERROR(__xludf.DUMMYFUNCTION("""COMPUTED_VALUE"""),"")</f>
        <v/>
      </c>
      <c r="M1070" s="213">
        <f>IFERROR(__xludf.DUMMYFUNCTION("""COMPUTED_VALUE"""),1.0)</f>
        <v>1</v>
      </c>
      <c r="N1070" s="213">
        <f>IFERROR(__xludf.DUMMYFUNCTION("""COMPUTED_VALUE"""),1.0)</f>
        <v>1</v>
      </c>
      <c r="O1070" s="213">
        <f>IFERROR(__xludf.DUMMYFUNCTION("""COMPUTED_VALUE"""),1.0)</f>
        <v>1</v>
      </c>
      <c r="P1070" s="213"/>
      <c r="Q1070" s="213"/>
      <c r="R1070" s="213"/>
      <c r="S1070" s="213"/>
      <c r="T1070" s="213" t="str">
        <f>IFERROR(__xludf.DUMMYFUNCTION("""COMPUTED_VALUE"""),"CONSULTA FINAL")</f>
        <v>CONSULTA FINAL</v>
      </c>
      <c r="U1070" s="213"/>
      <c r="V1070" s="213"/>
      <c r="W1070" s="213"/>
      <c r="X1070" s="213"/>
      <c r="Y1070" s="213" t="str">
        <f>IFERROR(__xludf.DUMMYFUNCTION("""COMPUTED_VALUE"""),"A MEDIDA")</f>
        <v>A MEDIDA</v>
      </c>
      <c r="Z1070" s="213"/>
      <c r="AA1070" s="213" t="str">
        <f>IFERROR(__xludf.DUMMYFUNCTION("""COMPUTED_VALUE"""),"MAT-123 BOTIQUÍN-Y - CET")</f>
        <v>MAT-123 BOTIQUÍN-Y - CET</v>
      </c>
      <c r="AB1070" s="213"/>
      <c r="AC1070" s="213"/>
      <c r="AD1070" s="213"/>
      <c r="AE1070" s="213"/>
      <c r="AF1070" s="213"/>
      <c r="AG1070" s="213"/>
      <c r="AH1070" s="213"/>
      <c r="AI1070" s="213"/>
      <c r="AJ1070" s="213"/>
      <c r="AK1070" s="213"/>
      <c r="AL1070" s="213"/>
      <c r="AM1070" s="213"/>
      <c r="AN1070" s="213"/>
      <c r="AO1070" s="213"/>
      <c r="AP1070" s="213" t="str">
        <f>IFERROR(__xludf.DUMMYFUNCTION("""COMPUTED_VALUE"""),"BRUNO")</f>
        <v>BRUNO</v>
      </c>
      <c r="AQ1070" s="213"/>
      <c r="AR1070" s="213"/>
      <c r="AS1070" s="213"/>
      <c r="AT1070" s="213"/>
      <c r="AU1070" s="213"/>
      <c r="AV1070" s="213"/>
      <c r="AW1070" s="213"/>
      <c r="AX1070" s="213"/>
      <c r="AY1070" s="213"/>
      <c r="AZ1070" s="213"/>
      <c r="BA1070" s="213"/>
      <c r="BB1070" s="213"/>
      <c r="BC1070" s="213"/>
      <c r="BD1070" s="213"/>
    </row>
    <row r="1071">
      <c r="A1071" s="213">
        <f>IFERROR(__xludf.DUMMYFUNCTION("""COMPUTED_VALUE"""),744.0)</f>
        <v>744</v>
      </c>
      <c r="B1071" s="213" t="str">
        <f>IFERROR(__xludf.DUMMYFUNCTION("""COMPUTED_VALUE"""),"6049 RICARDO PALMA")</f>
        <v>6049 RICARDO PALMA</v>
      </c>
      <c r="C1071" s="213" t="str">
        <f>IFERROR(__xludf.DUMMYFUNCTION("""COMPUTED_VALUE"""),"TALLER SFT DE COMPUTACIÓN E INFORMÁTICA")</f>
        <v>TALLER SFT DE COMPUTACIÓN E INFORMÁTICA</v>
      </c>
      <c r="D1071" s="213" t="str">
        <f>IFERROR(__xludf.DUMMYFUNCTION("""COMPUTED_VALUE"""),"HERRAMIENTAS")</f>
        <v>HERRAMIENTAS</v>
      </c>
      <c r="E1071" s="213" t="str">
        <f>IFERROR(__xludf.DUMMYFUNCTION("""COMPUTED_VALUE"""),"MAT-123")</f>
        <v>MAT-123</v>
      </c>
      <c r="F1071" s="213" t="str">
        <f>IFERROR(__xludf.DUMMYFUNCTION("""COMPUTED_VALUE"""),"MAT-123-X")</f>
        <v>MAT-123-X</v>
      </c>
      <c r="G1071" s="213"/>
      <c r="H1071" s="213" t="str">
        <f>IFERROR(__xludf.DUMMYFUNCTION("""COMPUTED_VALUE"""),"BOTIQUÍN")</f>
        <v>BOTIQUÍN</v>
      </c>
      <c r="I1071" s="213" t="str">
        <f>IFERROR(__xludf.DUMMYFUNCTION("""COMPUTED_VALUE"""),"·  Contiene materiales para curar heridas, controlar hemorragias, limpiar, cubrir quemaduras o zonas expuestas, y prevenir la contaminación e infección.
·  Dimensiones: 30 x 25 x 10 cm, con divisiones para guardar los medicamentos.
·  Conformado por:
-   "&amp;"01 caja x 20 unid. de gasas esterilizadas (10 × 10 cm).
-   01 venda elástica de 4"" x 5 yd, y una venda elástica de 2"" x 5 yd, con sus seguros.
-   01 esparadrapo de 2,5 cm x 5 yd.
-   02 guantes quirúrgicos.
-   01 caja de 100 curitas.
-   06 bajalengu"&amp;"as.
-   01 jabón antiséptico.
-   01 termómetro clínico.
-   01 paquete de algodón de 20 g.
-   01 tijera punta roma de 5"", mango de plástico.
-   01 botella de alcohol de 250 mL.
-   01 botella de agua oxigenada de 250 mL.")</f>
        <v>·  Contiene materiales para curar heridas, controlar hemorragias, limpiar, cubrir quemaduras o zonas expuestas, y prevenir la contaminación e infección.
·  Dimensiones: 30 x 25 x 10 cm, con divisiones para guardar los medicamentos.
·  Conformado por:
-   01 caja x 20 unid. de gasas esterilizadas (10 × 10 cm).
-   01 venda elástica de 4" x 5 yd, y una venda elástica de 2" x 5 yd, con sus seguros.
-   01 esparadrapo de 2,5 cm x 5 yd.
-   02 guantes quirúrgicos.
-   01 caja de 100 curitas.
-   06 bajalenguas.
-   01 jabón antiséptico.
-   01 termómetro clínico.
-   01 paquete de algodón de 20 g.
-   01 tijera punta roma de 5", mango de plástico.
-   01 botella de alcohol de 250 mL.
-   01 botella de agua oxigenada de 250 mL.</v>
      </c>
      <c r="J1071" s="213">
        <f>IFERROR(__xludf.DUMMYFUNCTION("""COMPUTED_VALUE"""),3.0)</f>
        <v>3</v>
      </c>
      <c r="K1071" s="213" t="str">
        <f>IFERROR(__xludf.DUMMYFUNCTION("""COMPUTED_VALUE"""),"90 DÍAS CALENDARIO")</f>
        <v>90 DÍAS CALENDARIO</v>
      </c>
      <c r="L1071"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71" s="213">
        <f>IFERROR(__xludf.DUMMYFUNCTION("""COMPUTED_VALUE"""),1.0)</f>
        <v>1</v>
      </c>
      <c r="N1071" s="213">
        <f>IFERROR(__xludf.DUMMYFUNCTION("""COMPUTED_VALUE"""),1.0)</f>
        <v>1</v>
      </c>
      <c r="O1071" s="213">
        <f>IFERROR(__xludf.DUMMYFUNCTION("""COMPUTED_VALUE"""),1.0)</f>
        <v>1</v>
      </c>
      <c r="P1071" s="213"/>
      <c r="Q1071" s="213"/>
      <c r="R1071" s="213"/>
      <c r="S1071" s="213"/>
      <c r="T1071" s="213" t="str">
        <f>IFERROR(__xludf.DUMMYFUNCTION("""COMPUTED_VALUE"""),"CONSULTA FINAL")</f>
        <v>CONSULTA FINAL</v>
      </c>
      <c r="U1071" s="213"/>
      <c r="V1071" s="213"/>
      <c r="W1071" s="213"/>
      <c r="X1071" s="213"/>
      <c r="Y1071" s="213" t="str">
        <f>IFERROR(__xludf.DUMMYFUNCTION("""COMPUTED_VALUE"""),"A MEDIDA")</f>
        <v>A MEDIDA</v>
      </c>
      <c r="Z1071" s="213"/>
      <c r="AA1071" s="213" t="str">
        <f>IFERROR(__xludf.DUMMYFUNCTION("""COMPUTED_VALUE"""),"MAT-123 BOTIQUÍN-X - CET")</f>
        <v>MAT-123 BOTIQUÍN-X - CET</v>
      </c>
      <c r="AB1071" s="213"/>
      <c r="AC1071" s="213"/>
      <c r="AD1071" s="213"/>
      <c r="AE1071" s="213"/>
      <c r="AF1071" s="213"/>
      <c r="AG1071" s="213"/>
      <c r="AH1071" s="213"/>
      <c r="AI1071" s="213"/>
      <c r="AJ1071" s="213"/>
      <c r="AK1071" s="213"/>
      <c r="AL1071" s="213"/>
      <c r="AM1071" s="213"/>
      <c r="AN1071" s="213"/>
      <c r="AO1071" s="213"/>
      <c r="AP1071" s="213" t="str">
        <f>IFERROR(__xludf.DUMMYFUNCTION("""COMPUTED_VALUE"""),"BRUNO")</f>
        <v>BRUNO</v>
      </c>
      <c r="AQ1071" s="213"/>
      <c r="AR1071" s="213"/>
      <c r="AS1071" s="213"/>
      <c r="AT1071" s="213"/>
      <c r="AU1071" s="213"/>
      <c r="AV1071" s="213"/>
      <c r="AW1071" s="213"/>
      <c r="AX1071" s="213"/>
      <c r="AY1071" s="213"/>
      <c r="AZ1071" s="213"/>
      <c r="BA1071" s="213"/>
      <c r="BB1071" s="213"/>
      <c r="BC1071" s="213"/>
      <c r="BD1071" s="213"/>
    </row>
    <row r="1072">
      <c r="A1072" s="213">
        <f>IFERROR(__xludf.DUMMYFUNCTION("""COMPUTED_VALUE"""),832.0)</f>
        <v>832</v>
      </c>
      <c r="B1072" s="213" t="str">
        <f>IFERROR(__xludf.DUMMYFUNCTION("""COMPUTED_VALUE"""),"6049 RICARDO PALMA")</f>
        <v>6049 RICARDO PALMA</v>
      </c>
      <c r="C1072" s="213" t="str">
        <f>IFERROR(__xludf.DUMMYFUNCTION("""COMPUTED_VALUE"""),"TALLER SFT DE ELECTRICIDAD")</f>
        <v>TALLER SFT DE ELECTRICIDAD</v>
      </c>
      <c r="D1072" s="213" t="str">
        <f>IFERROR(__xludf.DUMMYFUNCTION("""COMPUTED_VALUE"""),"HERRAMIENTAS")</f>
        <v>HERRAMIENTAS</v>
      </c>
      <c r="E1072" s="213" t="str">
        <f>IFERROR(__xludf.DUMMYFUNCTION("""COMPUTED_VALUE"""),"MAT-123")</f>
        <v>MAT-123</v>
      </c>
      <c r="F1072" s="213" t="str">
        <f>IFERROR(__xludf.DUMMYFUNCTION("""COMPUTED_VALUE"""),"MAT-123-X")</f>
        <v>MAT-123-X</v>
      </c>
      <c r="G1072" s="213"/>
      <c r="H1072" s="213" t="str">
        <f>IFERROR(__xludf.DUMMYFUNCTION("""COMPUTED_VALUE"""),"BOTIQUÍN")</f>
        <v>BOTIQUÍN</v>
      </c>
      <c r="I1072" s="213"/>
      <c r="J1072" s="213">
        <f>IFERROR(__xludf.DUMMYFUNCTION("""COMPUTED_VALUE"""),3.0)</f>
        <v>3</v>
      </c>
      <c r="K1072" s="213" t="str">
        <f>IFERROR(__xludf.DUMMYFUNCTION("""COMPUTED_VALUE"""),"90 DÍAS CALENDARIO")</f>
        <v>90 DÍAS CALENDARIO</v>
      </c>
      <c r="L1072"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72" s="213">
        <f>IFERROR(__xludf.DUMMYFUNCTION("""COMPUTED_VALUE"""),1.0)</f>
        <v>1</v>
      </c>
      <c r="N1072" s="213">
        <f>IFERROR(__xludf.DUMMYFUNCTION("""COMPUTED_VALUE"""),1.0)</f>
        <v>1</v>
      </c>
      <c r="O1072" s="213">
        <f>IFERROR(__xludf.DUMMYFUNCTION("""COMPUTED_VALUE"""),1.0)</f>
        <v>1</v>
      </c>
      <c r="P1072" s="213"/>
      <c r="Q1072" s="213"/>
      <c r="R1072" s="213"/>
      <c r="S1072" s="213"/>
      <c r="T1072" s="213" t="str">
        <f>IFERROR(__xludf.DUMMYFUNCTION("""COMPUTED_VALUE"""),"CONSULTA FINAL")</f>
        <v>CONSULTA FINAL</v>
      </c>
      <c r="U1072" s="213"/>
      <c r="V1072" s="213"/>
      <c r="W1072" s="213"/>
      <c r="X1072" s="213"/>
      <c r="Y1072" s="213" t="str">
        <f>IFERROR(__xludf.DUMMYFUNCTION("""COMPUTED_VALUE"""),"A MEDIDA")</f>
        <v>A MEDIDA</v>
      </c>
      <c r="Z1072" s="213"/>
      <c r="AA1072" s="213" t="str">
        <f>IFERROR(__xludf.DUMMYFUNCTION("""COMPUTED_VALUE"""),"MAT-123 BOTIQUÍN-Y - CET")</f>
        <v>MAT-123 BOTIQUÍN-Y - CET</v>
      </c>
      <c r="AB1072" s="213"/>
      <c r="AC1072" s="213"/>
      <c r="AD1072" s="213"/>
      <c r="AE1072" s="213"/>
      <c r="AF1072" s="213"/>
      <c r="AG1072" s="213"/>
      <c r="AH1072" s="213"/>
      <c r="AI1072" s="213"/>
      <c r="AJ1072" s="213"/>
      <c r="AK1072" s="213"/>
      <c r="AL1072" s="213"/>
      <c r="AM1072" s="213"/>
      <c r="AN1072" s="213"/>
      <c r="AO1072" s="213"/>
      <c r="AP1072" s="213" t="str">
        <f>IFERROR(__xludf.DUMMYFUNCTION("""COMPUTED_VALUE"""),"BRUNO")</f>
        <v>BRUNO</v>
      </c>
      <c r="AQ1072" s="213"/>
      <c r="AR1072" s="213"/>
      <c r="AS1072" s="213"/>
      <c r="AT1072" s="213"/>
      <c r="AU1072" s="213"/>
      <c r="AV1072" s="213"/>
      <c r="AW1072" s="213"/>
      <c r="AX1072" s="213"/>
      <c r="AY1072" s="213"/>
      <c r="AZ1072" s="213"/>
      <c r="BA1072" s="213"/>
      <c r="BB1072" s="213"/>
      <c r="BC1072" s="213"/>
      <c r="BD1072" s="213"/>
    </row>
    <row r="1073">
      <c r="A1073" s="213">
        <f>IFERROR(__xludf.DUMMYFUNCTION("""COMPUTED_VALUE"""),913.0)</f>
        <v>913</v>
      </c>
      <c r="B1073" s="213" t="str">
        <f>IFERROR(__xludf.DUMMYFUNCTION("""COMPUTED_VALUE"""),"FRANCISCO IRAZOLA")</f>
        <v>FRANCISCO IRAZOLA</v>
      </c>
      <c r="C1073" s="213" t="str">
        <f>IFERROR(__xludf.DUMMYFUNCTION("""COMPUTED_VALUE"""),"TALLER SFT DE MECÁNICA AUTOMOTRIZ")</f>
        <v>TALLER SFT DE MECÁNICA AUTOMOTRIZ</v>
      </c>
      <c r="D1073" s="213" t="str">
        <f>IFERROR(__xludf.DUMMYFUNCTION("""COMPUTED_VALUE"""),"HERRAMIENTAS")</f>
        <v>HERRAMIENTAS</v>
      </c>
      <c r="E1073" s="213" t="str">
        <f>IFERROR(__xludf.DUMMYFUNCTION("""COMPUTED_VALUE"""),"MAT-123")</f>
        <v>MAT-123</v>
      </c>
      <c r="F1073" s="213" t="str">
        <f>IFERROR(__xludf.DUMMYFUNCTION("""COMPUTED_VALUE"""),"MAT-123-X")</f>
        <v>MAT-123-X</v>
      </c>
      <c r="G1073" s="213"/>
      <c r="H1073" s="213" t="str">
        <f>IFERROR(__xludf.DUMMYFUNCTION("""COMPUTED_VALUE"""),"BOTIQUÍN")</f>
        <v>BOTIQUÍN</v>
      </c>
      <c r="I1073" s="213" t="str">
        <f>IFERROR(__xludf.DUMMYFUNCTION("""COMPUTED_VALUE"""),"· Contiene materiales para curar heridas, controlar hemorragias, limpiar, cubrir quemaduras o zonas expuestas, y prevenir la contaminación e infección.
· Dimensiones mínimas: 30 x 25 x 10 cm, con divisiones para guardar los medicamentos.
· Conformado por:"&amp;"
- 01 caja x 20 unid. de gasas esterilizadas (10 × 10 cm).
- 01 venda elástica de 4"" x 5 yd, y una venda elástica de 2"" x 5 yd, con sus seguros.
- 01 esparadrapo de 2,5 cm x 5 yd.
- 02 guantes quirúrgicos.
- 01 caja de 100 curitas.
- 06 bajalenguas.
- 0"&amp;"1 jabón antiséptico.
- 01 termómetro clínico.
- 01 paquete de algodón de 20 g.
- 01 tijera punta roma de 5"", mango de plástico.
- 01 botella de alcohol de 250 ml.
- 01 botella de agua oxigenada de 250 ml.")</f>
        <v>· Contiene materiales para curar heridas, controlar hemorragias, limpiar, cubrir quemaduras o zonas expuestas, y prevenir la contaminación e infección.
· Dimensiones mínimas: 30 x 25 x 10 cm, con divisiones para guardar los medicamentos.
· Conformado por:
- 01 caja x 20 unid. de gasas esterilizadas (10 × 10 cm).
- 01 venda elástica de 4" x 5 yd, y una venda elástica de 2" x 5 yd, con sus seguros.
- 01 esparadrapo de 2,5 cm x 5 yd.
- 02 guantes quirúrgicos.
- 01 caja de 100 curitas.
- 06 bajalenguas.
- 01 jabón antiséptico.
- 01 termómetro clínico.
- 01 paquete de algodón de 20 g.
- 01 tijera punta roma de 5", mango de plástico.
- 01 botella de alcohol de 250 ml.
- 01 botella de agua oxigenada de 250 ml.</v>
      </c>
      <c r="J1073" s="213">
        <f>IFERROR(__xludf.DUMMYFUNCTION("""COMPUTED_VALUE"""),3.0)</f>
        <v>3</v>
      </c>
      <c r="K1073" s="213" t="str">
        <f>IFERROR(__xludf.DUMMYFUNCTION("""COMPUTED_VALUE"""),"90 DÍAS CALENDARIO")</f>
        <v>90 DÍAS CALENDARIO</v>
      </c>
      <c r="L1073"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73" s="213">
        <f>IFERROR(__xludf.DUMMYFUNCTION("""COMPUTED_VALUE"""),1.0)</f>
        <v>1</v>
      </c>
      <c r="N1073" s="213">
        <f>IFERROR(__xludf.DUMMYFUNCTION("""COMPUTED_VALUE"""),1.0)</f>
        <v>1</v>
      </c>
      <c r="O1073" s="213">
        <f>IFERROR(__xludf.DUMMYFUNCTION("""COMPUTED_VALUE"""),1.0)</f>
        <v>1</v>
      </c>
      <c r="P1073" s="213"/>
      <c r="Q1073" s="213"/>
      <c r="R1073" s="213"/>
      <c r="S1073" s="213"/>
      <c r="T1073" s="213" t="str">
        <f>IFERROR(__xludf.DUMMYFUNCTION("""COMPUTED_VALUE"""),"CONSULTA FINAL")</f>
        <v>CONSULTA FINAL</v>
      </c>
      <c r="U1073" s="213"/>
      <c r="V1073" s="213"/>
      <c r="W1073" s="213"/>
      <c r="X1073" s="213"/>
      <c r="Y1073" s="213" t="str">
        <f>IFERROR(__xludf.DUMMYFUNCTION("""COMPUTED_VALUE"""),"A MEDIDA")</f>
        <v>A MEDIDA</v>
      </c>
      <c r="Z1073" s="213"/>
      <c r="AA1073" s="213" t="str">
        <f>IFERROR(__xludf.DUMMYFUNCTION("""COMPUTED_VALUE"""),"MAT-123 BOTIQUÍN-X - CET")</f>
        <v>MAT-123 BOTIQUÍN-X - CET</v>
      </c>
      <c r="AB1073" s="213"/>
      <c r="AC1073" s="213"/>
      <c r="AD1073" s="213"/>
      <c r="AE1073" s="213"/>
      <c r="AF1073" s="213"/>
      <c r="AG1073" s="213"/>
      <c r="AH1073" s="213"/>
      <c r="AI1073" s="213"/>
      <c r="AJ1073" s="213"/>
      <c r="AK1073" s="213"/>
      <c r="AL1073" s="213"/>
      <c r="AM1073" s="213"/>
      <c r="AN1073" s="213"/>
      <c r="AO1073" s="213"/>
      <c r="AP1073" s="213" t="str">
        <f>IFERROR(__xludf.DUMMYFUNCTION("""COMPUTED_VALUE"""),"BRUNO")</f>
        <v>BRUNO</v>
      </c>
      <c r="AQ1073" s="213"/>
      <c r="AR1073" s="213"/>
      <c r="AS1073" s="213"/>
      <c r="AT1073" s="213"/>
      <c r="AU1073" s="213"/>
      <c r="AV1073" s="213"/>
      <c r="AW1073" s="213"/>
      <c r="AX1073" s="213"/>
      <c r="AY1073" s="213"/>
      <c r="AZ1073" s="213"/>
      <c r="BA1073" s="213"/>
      <c r="BB1073" s="213"/>
      <c r="BC1073" s="213"/>
      <c r="BD1073" s="213"/>
    </row>
    <row r="1074">
      <c r="A1074" s="213">
        <f>IFERROR(__xludf.DUMMYFUNCTION("""COMPUTED_VALUE"""),1086.0)</f>
        <v>1086</v>
      </c>
      <c r="B1074" s="213" t="str">
        <f>IFERROR(__xludf.DUMMYFUNCTION("""COMPUTED_VALUE"""),"FRANCISCO IRAZOLA")</f>
        <v>FRANCISCO IRAZOLA</v>
      </c>
      <c r="C1074" s="213" t="str">
        <f>IFERROR(__xludf.DUMMYFUNCTION("""COMPUTED_VALUE"""),"TALLER SFT DE INDUSTRIA ALIMENTARIA")</f>
        <v>TALLER SFT DE INDUSTRIA ALIMENTARIA</v>
      </c>
      <c r="D1074" s="213" t="str">
        <f>IFERROR(__xludf.DUMMYFUNCTION("""COMPUTED_VALUE"""),"HERRAMIENTAS")</f>
        <v>HERRAMIENTAS</v>
      </c>
      <c r="E1074" s="213" t="str">
        <f>IFERROR(__xludf.DUMMYFUNCTION("""COMPUTED_VALUE"""),"MAT-123")</f>
        <v>MAT-123</v>
      </c>
      <c r="F1074" s="213" t="str">
        <f>IFERROR(__xludf.DUMMYFUNCTION("""COMPUTED_VALUE"""),"MAT-123-X")</f>
        <v>MAT-123-X</v>
      </c>
      <c r="G1074" s="213"/>
      <c r="H1074" s="213" t="str">
        <f>IFERROR(__xludf.DUMMYFUNCTION("""COMPUTED_VALUE"""),"BOTIQUÍN")</f>
        <v>BOTIQUÍN</v>
      </c>
      <c r="I1074" s="213" t="str">
        <f>IFERROR(__xludf.DUMMYFUNCTION("""COMPUTED_VALUE"""),"· Contiene materiales para curar heridas, controlar hemorragias, limpiar, cubrir quemaduras o zonas expuestas, y prevenir la contaminación e infección.
Estos son:
- 01 caja x 20 unid. Gasas esterilizadas (10×10 cm).
- Una venda elástica 4"" x 5 yd, y una "&amp;"venda elástica 2"" x 5 yd, con sus seguros.
- 01 esparadrapo de 2.5 cm x 5 yd.
- 02 Guantes quirúrgicos.
- 01 caja de 100 curitas.
- 06 bajalenguas.
- 01 jabón antiséptico.
- 01 termómetro.
- 01 paquete de algodón de 20 g.
- 01 Tijera punta roma de 5"", m"&amp;"ango de plástico.
- 01 botella de alcohol de 250 ml.
- 01 botella de agua oxigenada de 250 ml.
· Dimensiones: 30cm x 25cm x 10cm, con divisiones para guardar los medicamentos.")</f>
        <v>· Contiene materiales para curar heridas, controlar hemorragias, limpiar, cubrir quemaduras o zonas expuestas, y prevenir la contaminación e infección.
Estos son:
- 01 caja x 20 unid. Gasas esterilizadas (10×10 cm).
- Una venda elástica 4" x 5 yd, y una venda elástica 2" x 5 yd, con sus seguros.
- 01 esparadrapo de 2.5 cm x 5 yd.
- 02 Guantes quirúrgicos.
- 01 caja de 100 curitas.
- 06 bajalenguas.
- 01 jabón antiséptico.
- 01 termómetro.
- 01 paquete de algodón de 20 g.
- 01 Tijera punta roma de 5", mango de plástico.
- 01 botella de alcohol de 250 ml.
- 01 botella de agua oxigenada de 250 ml.
· Dimensiones: 30cm x 25cm x 10cm, con divisiones para guardar los medicamentos.</v>
      </c>
      <c r="J1074" s="213">
        <f>IFERROR(__xludf.DUMMYFUNCTION("""COMPUTED_VALUE"""),3.0)</f>
        <v>3</v>
      </c>
      <c r="K1074" s="213" t="str">
        <f>IFERROR(__xludf.DUMMYFUNCTION("""COMPUTED_VALUE"""),"90 DÍAS CALENDARIO")</f>
        <v>90 DÍAS CALENDARIO</v>
      </c>
      <c r="L1074"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74" s="213">
        <f>IFERROR(__xludf.DUMMYFUNCTION("""COMPUTED_VALUE"""),1.0)</f>
        <v>1</v>
      </c>
      <c r="N1074" s="213">
        <f>IFERROR(__xludf.DUMMYFUNCTION("""COMPUTED_VALUE"""),1.0)</f>
        <v>1</v>
      </c>
      <c r="O1074" s="213">
        <f>IFERROR(__xludf.DUMMYFUNCTION("""COMPUTED_VALUE"""),1.0)</f>
        <v>1</v>
      </c>
      <c r="P1074" s="213"/>
      <c r="Q1074" s="213"/>
      <c r="R1074" s="213"/>
      <c r="S1074" s="213"/>
      <c r="T1074" s="213" t="str">
        <f>IFERROR(__xludf.DUMMYFUNCTION("""COMPUTED_VALUE"""),"CONSULTA FINAL")</f>
        <v>CONSULTA FINAL</v>
      </c>
      <c r="U1074" s="213"/>
      <c r="V1074" s="213"/>
      <c r="W1074" s="213"/>
      <c r="X1074" s="213"/>
      <c r="Y1074" s="213" t="str">
        <f>IFERROR(__xludf.DUMMYFUNCTION("""COMPUTED_VALUE"""),"A MEDIDA")</f>
        <v>A MEDIDA</v>
      </c>
      <c r="Z1074" s="213"/>
      <c r="AA1074" s="213" t="str">
        <f>IFERROR(__xludf.DUMMYFUNCTION("""COMPUTED_VALUE"""),"MAT-123 BOTIQUÍN-X - CET")</f>
        <v>MAT-123 BOTIQUÍN-X - CET</v>
      </c>
      <c r="AB1074" s="213"/>
      <c r="AC1074" s="213"/>
      <c r="AD1074" s="213"/>
      <c r="AE1074" s="213"/>
      <c r="AF1074" s="213"/>
      <c r="AG1074" s="213"/>
      <c r="AH1074" s="213"/>
      <c r="AI1074" s="213"/>
      <c r="AJ1074" s="213"/>
      <c r="AK1074" s="213"/>
      <c r="AL1074" s="213"/>
      <c r="AM1074" s="213"/>
      <c r="AN1074" s="213"/>
      <c r="AO1074" s="213"/>
      <c r="AP1074" s="213" t="str">
        <f>IFERROR(__xludf.DUMMYFUNCTION("""COMPUTED_VALUE"""),"BRUNO")</f>
        <v>BRUNO</v>
      </c>
      <c r="AQ1074" s="213"/>
      <c r="AR1074" s="213"/>
      <c r="AS1074" s="213"/>
      <c r="AT1074" s="213"/>
      <c r="AU1074" s="213"/>
      <c r="AV1074" s="213"/>
      <c r="AW1074" s="213"/>
      <c r="AX1074" s="213"/>
      <c r="AY1074" s="213"/>
      <c r="AZ1074" s="213"/>
      <c r="BA1074" s="213"/>
      <c r="BB1074" s="213"/>
      <c r="BC1074" s="213"/>
      <c r="BD1074" s="213"/>
    </row>
    <row r="1075">
      <c r="A1075" s="213">
        <f>IFERROR(__xludf.DUMMYFUNCTION("""COMPUTED_VALUE"""),1254.0)</f>
        <v>1254</v>
      </c>
      <c r="B1075" s="213" t="str">
        <f>IFERROR(__xludf.DUMMYFUNCTION("""COMPUTED_VALUE"""),"GUILLERMO E. BILLINGHURST ")</f>
        <v>GUILLERMO E. BILLINGHURST </v>
      </c>
      <c r="C1075" s="213" t="str">
        <f>IFERROR(__xludf.DUMMYFUNCTION("""COMPUTED_VALUE"""),"TALLER SFT DE ELECTRICIDAD")</f>
        <v>TALLER SFT DE ELECTRICIDAD</v>
      </c>
      <c r="D1075" s="213" t="str">
        <f>IFERROR(__xludf.DUMMYFUNCTION("""COMPUTED_VALUE"""),"HERRAMIENTAS")</f>
        <v>HERRAMIENTAS</v>
      </c>
      <c r="E1075" s="213" t="str">
        <f>IFERROR(__xludf.DUMMYFUNCTION("""COMPUTED_VALUE"""),"MAT-123")</f>
        <v>MAT-123</v>
      </c>
      <c r="F1075" s="213" t="str">
        <f>IFERROR(__xludf.DUMMYFUNCTION("""COMPUTED_VALUE"""),"MAT-123-X")</f>
        <v>MAT-123-X</v>
      </c>
      <c r="G1075" s="213"/>
      <c r="H1075" s="213" t="str">
        <f>IFERROR(__xludf.DUMMYFUNCTION("""COMPUTED_VALUE"""),"BOTIQUÍN")</f>
        <v>BOTIQUÍN</v>
      </c>
      <c r="I1075" s="213"/>
      <c r="J1075" s="213">
        <f>IFERROR(__xludf.DUMMYFUNCTION("""COMPUTED_VALUE"""),3.0)</f>
        <v>3</v>
      </c>
      <c r="K1075" s="213" t="str">
        <f>IFERROR(__xludf.DUMMYFUNCTION("""COMPUTED_VALUE"""),"90 DÍAS CALENDARIO")</f>
        <v>90 DÍAS CALENDARIO</v>
      </c>
      <c r="L1075"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75" s="213">
        <f>IFERROR(__xludf.DUMMYFUNCTION("""COMPUTED_VALUE"""),1.0)</f>
        <v>1</v>
      </c>
      <c r="N1075" s="213">
        <f>IFERROR(__xludf.DUMMYFUNCTION("""COMPUTED_VALUE"""),1.0)</f>
        <v>1</v>
      </c>
      <c r="O1075" s="213">
        <f>IFERROR(__xludf.DUMMYFUNCTION("""COMPUTED_VALUE"""),1.0)</f>
        <v>1</v>
      </c>
      <c r="P1075" s="213"/>
      <c r="Q1075" s="213"/>
      <c r="R1075" s="213"/>
      <c r="S1075" s="213"/>
      <c r="T1075" s="213" t="str">
        <f>IFERROR(__xludf.DUMMYFUNCTION("""COMPUTED_VALUE"""),"CONSULTA FINAL")</f>
        <v>CONSULTA FINAL</v>
      </c>
      <c r="U1075" s="213"/>
      <c r="V1075" s="213"/>
      <c r="W1075" s="213"/>
      <c r="X1075" s="213"/>
      <c r="Y1075" s="213" t="str">
        <f>IFERROR(__xludf.DUMMYFUNCTION("""COMPUTED_VALUE"""),"A MEDIDA")</f>
        <v>A MEDIDA</v>
      </c>
      <c r="Z1075" s="213"/>
      <c r="AA1075" s="213" t="str">
        <f>IFERROR(__xludf.DUMMYFUNCTION("""COMPUTED_VALUE"""),"MAT-123 BOTIQUÍN-Y - CET")</f>
        <v>MAT-123 BOTIQUÍN-Y - CET</v>
      </c>
      <c r="AB1075" s="213"/>
      <c r="AC1075" s="213"/>
      <c r="AD1075" s="213"/>
      <c r="AE1075" s="213"/>
      <c r="AF1075" s="213"/>
      <c r="AG1075" s="213"/>
      <c r="AH1075" s="213"/>
      <c r="AI1075" s="213"/>
      <c r="AJ1075" s="213"/>
      <c r="AK1075" s="213"/>
      <c r="AL1075" s="213"/>
      <c r="AM1075" s="213"/>
      <c r="AN1075" s="213"/>
      <c r="AO1075" s="213"/>
      <c r="AP1075" s="213" t="str">
        <f>IFERROR(__xludf.DUMMYFUNCTION("""COMPUTED_VALUE"""),"BRUNO")</f>
        <v>BRUNO</v>
      </c>
      <c r="AQ1075" s="213"/>
      <c r="AR1075" s="213"/>
      <c r="AS1075" s="213"/>
      <c r="AT1075" s="213"/>
      <c r="AU1075" s="213"/>
      <c r="AV1075" s="213"/>
      <c r="AW1075" s="213"/>
      <c r="AX1075" s="213"/>
      <c r="AY1075" s="213"/>
      <c r="AZ1075" s="213"/>
      <c r="BA1075" s="213"/>
      <c r="BB1075" s="213"/>
      <c r="BC1075" s="213"/>
      <c r="BD1075" s="213"/>
    </row>
    <row r="1076">
      <c r="A1076" s="213">
        <f>IFERROR(__xludf.DUMMYFUNCTION("""COMPUTED_VALUE"""),1363.0)</f>
        <v>1363</v>
      </c>
      <c r="B1076" s="213" t="str">
        <f>IFERROR(__xludf.DUMMYFUNCTION("""COMPUTED_VALUE"""),"GUILLERMO E. BILLINGHURST ")</f>
        <v>GUILLERMO E. BILLINGHURST </v>
      </c>
      <c r="C1076" s="213" t="str">
        <f>IFERROR(__xludf.DUMMYFUNCTION("""COMPUTED_VALUE"""),"TALLER SFT DE INDUSTRIA ALIMENTARIA")</f>
        <v>TALLER SFT DE INDUSTRIA ALIMENTARIA</v>
      </c>
      <c r="D1076" s="213" t="str">
        <f>IFERROR(__xludf.DUMMYFUNCTION("""COMPUTED_VALUE"""),"HERRAMIENTAS")</f>
        <v>HERRAMIENTAS</v>
      </c>
      <c r="E1076" s="213" t="str">
        <f>IFERROR(__xludf.DUMMYFUNCTION("""COMPUTED_VALUE"""),"MAT-123")</f>
        <v>MAT-123</v>
      </c>
      <c r="F1076" s="213" t="str">
        <f>IFERROR(__xludf.DUMMYFUNCTION("""COMPUTED_VALUE"""),"MAT-123-X")</f>
        <v>MAT-123-X</v>
      </c>
      <c r="G1076" s="213"/>
      <c r="H1076" s="213" t="str">
        <f>IFERROR(__xludf.DUMMYFUNCTION("""COMPUTED_VALUE"""),"BOTIQUÍN")</f>
        <v>BOTIQUÍN</v>
      </c>
      <c r="I1076" s="213" t="str">
        <f>IFERROR(__xludf.DUMMYFUNCTION("""COMPUTED_VALUE"""),"· Contiene materiales para curar heridas, controlar hemorragias, limpiar, cubrir quemaduras o zonas expuestas, y prevenir la contaminación e infección.
Estos son:
- 01 caja x 20 unid. Gasas esterilizadas (10×10 cm).
- Una venda elástica 4"" x 5 yd, y una "&amp;"venda elástica 2"" x 5 yd, con sus seguros.
- 01 esparadrapo de 2.5 cm x 5 yd.
- 02 Guantes quirúrgicos.
- 01 caja de 100 curitas.
- 06 bajalenguas.
- 01 jabón antiséptico.
- 01 termómetro.
- 01 paquete de algodón de 20 g.
- 01 Tijera punta roma de 5"", m"&amp;"ango de plástico.
- 01 botella de alcohol de 250 ml.
- 01 botella de agua oxigenada de 250 ml.
· Dimensiones: 30cm x 25cm x 10cm, con divisiones para guardar los medicamentos.")</f>
        <v>· Contiene materiales para curar heridas, controlar hemorragias, limpiar, cubrir quemaduras o zonas expuestas, y prevenir la contaminación e infección.
Estos son:
- 01 caja x 20 unid. Gasas esterilizadas (10×10 cm).
- Una venda elástica 4" x 5 yd, y una venda elástica 2" x 5 yd, con sus seguros.
- 01 esparadrapo de 2.5 cm x 5 yd.
- 02 Guantes quirúrgicos.
- 01 caja de 100 curitas.
- 06 bajalenguas.
- 01 jabón antiséptico.
- 01 termómetro.
- 01 paquete de algodón de 20 g.
- 01 Tijera punta roma de 5", mango de plástico.
- 01 botella de alcohol de 250 ml.
- 01 botella de agua oxigenada de 250 ml.
· Dimensiones: 30cm x 25cm x 10cm, con divisiones para guardar los medicamentos.</v>
      </c>
      <c r="J1076" s="213">
        <f>IFERROR(__xludf.DUMMYFUNCTION("""COMPUTED_VALUE"""),3.0)</f>
        <v>3</v>
      </c>
      <c r="K1076" s="213" t="str">
        <f>IFERROR(__xludf.DUMMYFUNCTION("""COMPUTED_VALUE"""),"90 DÍAS CALENDARIO")</f>
        <v>90 DÍAS CALENDARIO</v>
      </c>
      <c r="L1076"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76" s="213">
        <f>IFERROR(__xludf.DUMMYFUNCTION("""COMPUTED_VALUE"""),1.0)</f>
        <v>1</v>
      </c>
      <c r="N1076" s="213">
        <f>IFERROR(__xludf.DUMMYFUNCTION("""COMPUTED_VALUE"""),1.0)</f>
        <v>1</v>
      </c>
      <c r="O1076" s="213">
        <f>IFERROR(__xludf.DUMMYFUNCTION("""COMPUTED_VALUE"""),1.0)</f>
        <v>1</v>
      </c>
      <c r="P1076" s="213"/>
      <c r="Q1076" s="213"/>
      <c r="R1076" s="213"/>
      <c r="S1076" s="213"/>
      <c r="T1076" s="213" t="str">
        <f>IFERROR(__xludf.DUMMYFUNCTION("""COMPUTED_VALUE"""),"CONSULTA FINAL")</f>
        <v>CONSULTA FINAL</v>
      </c>
      <c r="U1076" s="213"/>
      <c r="V1076" s="213"/>
      <c r="W1076" s="213"/>
      <c r="X1076" s="213"/>
      <c r="Y1076" s="213" t="str">
        <f>IFERROR(__xludf.DUMMYFUNCTION("""COMPUTED_VALUE"""),"A MEDIDA")</f>
        <v>A MEDIDA</v>
      </c>
      <c r="Z1076" s="213"/>
      <c r="AA1076" s="213" t="str">
        <f>IFERROR(__xludf.DUMMYFUNCTION("""COMPUTED_VALUE"""),"MAT-123 BOTIQUÍN-X - CET")</f>
        <v>MAT-123 BOTIQUÍN-X - CET</v>
      </c>
      <c r="AB1076" s="213"/>
      <c r="AC1076" s="213"/>
      <c r="AD1076" s="213"/>
      <c r="AE1076" s="213"/>
      <c r="AF1076" s="213"/>
      <c r="AG1076" s="213"/>
      <c r="AH1076" s="213"/>
      <c r="AI1076" s="213"/>
      <c r="AJ1076" s="213"/>
      <c r="AK1076" s="213"/>
      <c r="AL1076" s="213"/>
      <c r="AM1076" s="213"/>
      <c r="AN1076" s="213"/>
      <c r="AO1076" s="213"/>
      <c r="AP1076" s="213" t="str">
        <f>IFERROR(__xludf.DUMMYFUNCTION("""COMPUTED_VALUE"""),"BRUNO")</f>
        <v>BRUNO</v>
      </c>
      <c r="AQ1076" s="213"/>
      <c r="AR1076" s="213"/>
      <c r="AS1076" s="213"/>
      <c r="AT1076" s="213"/>
      <c r="AU1076" s="213"/>
      <c r="AV1076" s="213"/>
      <c r="AW1076" s="213"/>
      <c r="AX1076" s="213"/>
      <c r="AY1076" s="213"/>
      <c r="AZ1076" s="213"/>
      <c r="BA1076" s="213"/>
      <c r="BB1076" s="213"/>
      <c r="BC1076" s="213"/>
      <c r="BD1076" s="213"/>
    </row>
    <row r="1077">
      <c r="A1077" s="213">
        <f>IFERROR(__xludf.DUMMYFUNCTION("""COMPUTED_VALUE"""),1514.0)</f>
        <v>1514</v>
      </c>
      <c r="B1077" s="213" t="str">
        <f>IFERROR(__xludf.DUMMYFUNCTION("""COMPUTED_VALUE"""),"GUILLERMO E. BILLINGHURST ")</f>
        <v>GUILLERMO E. BILLINGHURST </v>
      </c>
      <c r="C1077" s="213" t="str">
        <f>IFERROR(__xludf.DUMMYFUNCTION("""COMPUTED_VALUE"""),"TALLER SFT DE MECÁNICA AUTOMOTRIZ")</f>
        <v>TALLER SFT DE MECÁNICA AUTOMOTRIZ</v>
      </c>
      <c r="D1077" s="213" t="str">
        <f>IFERROR(__xludf.DUMMYFUNCTION("""COMPUTED_VALUE"""),"HERRAMIENTAS")</f>
        <v>HERRAMIENTAS</v>
      </c>
      <c r="E1077" s="213" t="str">
        <f>IFERROR(__xludf.DUMMYFUNCTION("""COMPUTED_VALUE"""),"MAT-123")</f>
        <v>MAT-123</v>
      </c>
      <c r="F1077" s="213" t="str">
        <f>IFERROR(__xludf.DUMMYFUNCTION("""COMPUTED_VALUE"""),"MAT-123-X")</f>
        <v>MAT-123-X</v>
      </c>
      <c r="G1077" s="213"/>
      <c r="H1077" s="213" t="str">
        <f>IFERROR(__xludf.DUMMYFUNCTION("""COMPUTED_VALUE"""),"BOTIQUÍN")</f>
        <v>BOTIQUÍN</v>
      </c>
      <c r="I1077" s="213" t="str">
        <f>IFERROR(__xludf.DUMMYFUNCTION("""COMPUTED_VALUE"""),"· Contiene materiales para curar heridas, controlar hemorragias, limpiar, cubrir quemaduras o zonas expuestas, y prevenir la contaminación e infección.
· Dimensiones mínimas: 30 x 25 x 10 cm, con divisiones para guardar los medicamentos.
· Conformado por:"&amp;"
- 01 caja x 20 unid. de gasas esterilizadas (10 × 10 cm).
- 01 venda elástica de 4"" x 5 yd, y una venda elástica de 2"" x 5 yd, con sus seguros.
- 01 esparadrapo de 2,5 cm x 5 yd.
- 02 guantes quirúrgicos.
- 01 caja de 100 curitas.
- 06 bajalenguas.
- 0"&amp;"1 jabón antiséptico.
- 01 termómetro clínico.
- 01 paquete de algodón de 20 g.
- 01 tijera punta roma de 5"", mango de plástico.
- 01 botella de alcohol de 250 ml.
- 01 botella de agua oxigenada de 250 ml.")</f>
        <v>· Contiene materiales para curar heridas, controlar hemorragias, limpiar, cubrir quemaduras o zonas expuestas, y prevenir la contaminación e infección.
· Dimensiones mínimas: 30 x 25 x 10 cm, con divisiones para guardar los medicamentos.
· Conformado por:
- 01 caja x 20 unid. de gasas esterilizadas (10 × 10 cm).
- 01 venda elástica de 4" x 5 yd, y una venda elástica de 2" x 5 yd, con sus seguros.
- 01 esparadrapo de 2,5 cm x 5 yd.
- 02 guantes quirúrgicos.
- 01 caja de 100 curitas.
- 06 bajalenguas.
- 01 jabón antiséptico.
- 01 termómetro clínico.
- 01 paquete de algodón de 20 g.
- 01 tijera punta roma de 5", mango de plástico.
- 01 botella de alcohol de 250 ml.
- 01 botella de agua oxigenada de 250 ml.</v>
      </c>
      <c r="J1077" s="213">
        <f>IFERROR(__xludf.DUMMYFUNCTION("""COMPUTED_VALUE"""),3.0)</f>
        <v>3</v>
      </c>
      <c r="K1077" s="213" t="str">
        <f>IFERROR(__xludf.DUMMYFUNCTION("""COMPUTED_VALUE"""),"90 DÍAS CALENDARIO")</f>
        <v>90 DÍAS CALENDARIO</v>
      </c>
      <c r="L1077"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77" s="213">
        <f>IFERROR(__xludf.DUMMYFUNCTION("""COMPUTED_VALUE"""),1.0)</f>
        <v>1</v>
      </c>
      <c r="N1077" s="213">
        <f>IFERROR(__xludf.DUMMYFUNCTION("""COMPUTED_VALUE"""),1.0)</f>
        <v>1</v>
      </c>
      <c r="O1077" s="213">
        <f>IFERROR(__xludf.DUMMYFUNCTION("""COMPUTED_VALUE"""),1.0)</f>
        <v>1</v>
      </c>
      <c r="P1077" s="213"/>
      <c r="Q1077" s="213"/>
      <c r="R1077" s="213"/>
      <c r="S1077" s="213"/>
      <c r="T1077" s="213" t="str">
        <f>IFERROR(__xludf.DUMMYFUNCTION("""COMPUTED_VALUE"""),"CONSULTA FINAL")</f>
        <v>CONSULTA FINAL</v>
      </c>
      <c r="U1077" s="213"/>
      <c r="V1077" s="213"/>
      <c r="W1077" s="213"/>
      <c r="X1077" s="213"/>
      <c r="Y1077" s="213" t="str">
        <f>IFERROR(__xludf.DUMMYFUNCTION("""COMPUTED_VALUE"""),"A MEDIDA")</f>
        <v>A MEDIDA</v>
      </c>
      <c r="Z1077" s="213"/>
      <c r="AA1077" s="213" t="str">
        <f>IFERROR(__xludf.DUMMYFUNCTION("""COMPUTED_VALUE"""),"MAT-123 BOTIQUÍN-X - CET")</f>
        <v>MAT-123 BOTIQUÍN-X - CET</v>
      </c>
      <c r="AB1077" s="213"/>
      <c r="AC1077" s="213"/>
      <c r="AD1077" s="213"/>
      <c r="AE1077" s="213"/>
      <c r="AF1077" s="213"/>
      <c r="AG1077" s="213"/>
      <c r="AH1077" s="213"/>
      <c r="AI1077" s="213"/>
      <c r="AJ1077" s="213"/>
      <c r="AK1077" s="213"/>
      <c r="AL1077" s="213"/>
      <c r="AM1077" s="213"/>
      <c r="AN1077" s="213"/>
      <c r="AO1077" s="213"/>
      <c r="AP1077" s="213" t="str">
        <f>IFERROR(__xludf.DUMMYFUNCTION("""COMPUTED_VALUE"""),"BRUNO")</f>
        <v>BRUNO</v>
      </c>
      <c r="AQ1077" s="213"/>
      <c r="AR1077" s="213"/>
      <c r="AS1077" s="213"/>
      <c r="AT1077" s="213"/>
      <c r="AU1077" s="213"/>
      <c r="AV1077" s="213"/>
      <c r="AW1077" s="213"/>
      <c r="AX1077" s="213"/>
      <c r="AY1077" s="213"/>
      <c r="AZ1077" s="213"/>
      <c r="BA1077" s="213"/>
      <c r="BB1077" s="213"/>
      <c r="BC1077" s="213"/>
      <c r="BD1077" s="213"/>
    </row>
    <row r="1078">
      <c r="A1078" s="213">
        <f>IFERROR(__xludf.DUMMYFUNCTION("""COMPUTED_VALUE"""),1679.0)</f>
        <v>1679</v>
      </c>
      <c r="B1078" s="213" t="str">
        <f>IFERROR(__xludf.DUMMYFUNCTION("""COMPUTED_VALUE"""),"GUILLERMO E. BILLINGHURST ")</f>
        <v>GUILLERMO E. BILLINGHURST </v>
      </c>
      <c r="C1078" s="213" t="str">
        <f>IFERROR(__xludf.DUMMYFUNCTION("""COMPUTED_VALUE"""),"TALLER SFT DE COMPUTACIÓN E INFORMÁTICA")</f>
        <v>TALLER SFT DE COMPUTACIÓN E INFORMÁTICA</v>
      </c>
      <c r="D1078" s="213" t="str">
        <f>IFERROR(__xludf.DUMMYFUNCTION("""COMPUTED_VALUE"""),"HERRAMIENTAS")</f>
        <v>HERRAMIENTAS</v>
      </c>
      <c r="E1078" s="213" t="str">
        <f>IFERROR(__xludf.DUMMYFUNCTION("""COMPUTED_VALUE"""),"MAT-123")</f>
        <v>MAT-123</v>
      </c>
      <c r="F1078" s="213" t="str">
        <f>IFERROR(__xludf.DUMMYFUNCTION("""COMPUTED_VALUE"""),"MAT-123-X")</f>
        <v>MAT-123-X</v>
      </c>
      <c r="G1078" s="213"/>
      <c r="H1078" s="213" t="str">
        <f>IFERROR(__xludf.DUMMYFUNCTION("""COMPUTED_VALUE"""),"BOTIQUÍN")</f>
        <v>BOTIQUÍN</v>
      </c>
      <c r="I1078" s="213" t="str">
        <f>IFERROR(__xludf.DUMMYFUNCTION("""COMPUTED_VALUE"""),"·  Contiene materiales para curar heridas, controlar hemorragias, limpiar, cubrir quemaduras o zonas expuestas, y prevenir la contaminación e infección.
·  Dimensiones: 30 x 25 x 10 cm, con divisiones para guardar los medicamentos.
·  Conformado por:
-   "&amp;"01 caja x 20 unid. de gasas esterilizadas (10 × 10 cm).
-   01 venda elástica de 4"" x 5 yd, y una venda elástica de 2"" x 5 yd, con sus seguros.
-   01 esparadrapo de 2,5 cm x 5 yd.
-   02 guantes quirúrgicos.
-   01 caja de 100 curitas.
-   06 bajalengu"&amp;"as.
-   01 jabón antiséptico.
-   01 termómetro clínico.
-   01 paquete de algodón de 20 g.
-   01 tijera punta roma de 5"", mango de plástico.
-   01 botella de alcohol de 250 mL.
-   01 botella de agua oxigenada de 250 mL.")</f>
        <v>·  Contiene materiales para curar heridas, controlar hemorragias, limpiar, cubrir quemaduras o zonas expuestas, y prevenir la contaminación e infección.
·  Dimensiones: 30 x 25 x 10 cm, con divisiones para guardar los medicamentos.
·  Conformado por:
-   01 caja x 20 unid. de gasas esterilizadas (10 × 10 cm).
-   01 venda elástica de 4" x 5 yd, y una venda elástica de 2" x 5 yd, con sus seguros.
-   01 esparadrapo de 2,5 cm x 5 yd.
-   02 guantes quirúrgicos.
-   01 caja de 100 curitas.
-   06 bajalenguas.
-   01 jabón antiséptico.
-   01 termómetro clínico.
-   01 paquete de algodón de 20 g.
-   01 tijera punta roma de 5", mango de plástico.
-   01 botella de alcohol de 250 mL.
-   01 botella de agua oxigenada de 250 mL.</v>
      </c>
      <c r="J1078" s="213">
        <f>IFERROR(__xludf.DUMMYFUNCTION("""COMPUTED_VALUE"""),3.0)</f>
        <v>3</v>
      </c>
      <c r="K1078" s="213" t="str">
        <f>IFERROR(__xludf.DUMMYFUNCTION("""COMPUTED_VALUE"""),"90 DÍAS CALENDARIO")</f>
        <v>90 DÍAS CALENDARIO</v>
      </c>
      <c r="L1078"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78" s="213">
        <f>IFERROR(__xludf.DUMMYFUNCTION("""COMPUTED_VALUE"""),1.0)</f>
        <v>1</v>
      </c>
      <c r="N1078" s="213">
        <f>IFERROR(__xludf.DUMMYFUNCTION("""COMPUTED_VALUE"""),1.0)</f>
        <v>1</v>
      </c>
      <c r="O1078" s="213">
        <f>IFERROR(__xludf.DUMMYFUNCTION("""COMPUTED_VALUE"""),1.0)</f>
        <v>1</v>
      </c>
      <c r="P1078" s="213"/>
      <c r="Q1078" s="213"/>
      <c r="R1078" s="213"/>
      <c r="S1078" s="213"/>
      <c r="T1078" s="213" t="str">
        <f>IFERROR(__xludf.DUMMYFUNCTION("""COMPUTED_VALUE"""),"CONSULTA FINAL")</f>
        <v>CONSULTA FINAL</v>
      </c>
      <c r="U1078" s="213"/>
      <c r="V1078" s="213"/>
      <c r="W1078" s="213"/>
      <c r="X1078" s="213"/>
      <c r="Y1078" s="213" t="str">
        <f>IFERROR(__xludf.DUMMYFUNCTION("""COMPUTED_VALUE"""),"A MEDIDA")</f>
        <v>A MEDIDA</v>
      </c>
      <c r="Z1078" s="213"/>
      <c r="AA1078" s="213" t="str">
        <f>IFERROR(__xludf.DUMMYFUNCTION("""COMPUTED_VALUE"""),"MAT-123 BOTIQUÍN-X - CET")</f>
        <v>MAT-123 BOTIQUÍN-X - CET</v>
      </c>
      <c r="AB1078" s="213"/>
      <c r="AC1078" s="213"/>
      <c r="AD1078" s="213"/>
      <c r="AE1078" s="213"/>
      <c r="AF1078" s="213"/>
      <c r="AG1078" s="213"/>
      <c r="AH1078" s="213"/>
      <c r="AI1078" s="213"/>
      <c r="AJ1078" s="213"/>
      <c r="AK1078" s="213"/>
      <c r="AL1078" s="213"/>
      <c r="AM1078" s="213"/>
      <c r="AN1078" s="213"/>
      <c r="AO1078" s="213"/>
      <c r="AP1078" s="213" t="str">
        <f>IFERROR(__xludf.DUMMYFUNCTION("""COMPUTED_VALUE"""),"BRUNO")</f>
        <v>BRUNO</v>
      </c>
      <c r="AQ1078" s="213"/>
      <c r="AR1078" s="213"/>
      <c r="AS1078" s="213"/>
      <c r="AT1078" s="213"/>
      <c r="AU1078" s="213"/>
      <c r="AV1078" s="213"/>
      <c r="AW1078" s="213"/>
      <c r="AX1078" s="213"/>
      <c r="AY1078" s="213"/>
      <c r="AZ1078" s="213"/>
      <c r="BA1078" s="213"/>
      <c r="BB1078" s="213"/>
      <c r="BC1078" s="213"/>
      <c r="BD1078" s="213"/>
    </row>
    <row r="1079">
      <c r="A1079" s="213">
        <f>IFERROR(__xludf.DUMMYFUNCTION("""COMPUTED_VALUE"""),1765.0)</f>
        <v>1765</v>
      </c>
      <c r="B1079" s="213" t="str">
        <f>IFERROR(__xludf.DUMMYFUNCTION("""COMPUTED_VALUE"""),"GUILLERMO E. BILLINGHURST ")</f>
        <v>GUILLERMO E. BILLINGHURST </v>
      </c>
      <c r="C1079" s="213" t="str">
        <f>IFERROR(__xludf.DUMMYFUNCTION("""COMPUTED_VALUE"""),"TALLER SFT DE EBANISTERÍA")</f>
        <v>TALLER SFT DE EBANISTERÍA</v>
      </c>
      <c r="D1079" s="213" t="str">
        <f>IFERROR(__xludf.DUMMYFUNCTION("""COMPUTED_VALUE"""),"HERRAMIENTAS")</f>
        <v>HERRAMIENTAS</v>
      </c>
      <c r="E1079" s="213" t="str">
        <f>IFERROR(__xludf.DUMMYFUNCTION("""COMPUTED_VALUE"""),"MAT-123")</f>
        <v>MAT-123</v>
      </c>
      <c r="F1079" s="213" t="str">
        <f>IFERROR(__xludf.DUMMYFUNCTION("""COMPUTED_VALUE"""),"MAT-123-X")</f>
        <v>MAT-123-X</v>
      </c>
      <c r="G1079" s="213"/>
      <c r="H1079" s="213" t="str">
        <f>IFERROR(__xludf.DUMMYFUNCTION("""COMPUTED_VALUE"""),"BOTIQUÍN")</f>
        <v>BOTIQUÍN</v>
      </c>
      <c r="I1079" s="213" t="str">
        <f>IFERROR(__xludf.DUMMYFUNCTION("""COMPUTED_VALUE"""),"El Botiquín contiene materiales para curar heridas, controlar hemorragias, limpiar, cubrir quemaduras o zonas expuestas, y prevenir la contaminación e infección. Estos son:
01 caja x 20 unid. gasas esterilizadas (10×10 cm).
Una venda elástica 4"" x 5 yd, "&amp;"y una venda elástica 2"" x 5 yd, con sus seguros. 01 esparadrapo de 2.5 cm x 5 yd.
02 Guantes quirúrgicos.
01 caja de 100 curitas.
06 bajalenguas.
01 jabón antiséptico.
01 termómetro.
01 paquete de algodón de 20 g.
01 Tijera punta roma de 5"", mango de pl"&amp;"ástico. 01 botella de alcohol de 250 ml.
01 botella de agua oxigenada de 250 ml.
Dimensiones: 30 x 25 x 10 cm, con divisiones para guardar los medicamentos.")</f>
        <v>El Botiquín contiene materiales para curar heridas, controlar hemorragias, limpiar, cubrir quemaduras o zonas expuestas, y prevenir la contaminación e infección. Estos son:
01 caja x 20 unid. gasas esterilizadas (10×10 cm).
Una venda elástica 4" x 5 yd, y una venda elástica 2" x 5 yd, con sus seguros. 01 esparadrapo de 2.5 cm x 5 yd.
02 Guantes quirúrgicos.
01 caja de 100 curitas.
06 bajalenguas.
01 jabón antiséptico.
01 termómetro.
01 paquete de algodón de 20 g.
01 Tijera punta roma de 5", mango de plástico. 01 botella de alcohol de 250 ml.
01 botella de agua oxigenada de 250 ml.
Dimensiones: 30 x 25 x 10 cm, con divisiones para guardar los medicamentos.</v>
      </c>
      <c r="J1079" s="213">
        <f>IFERROR(__xludf.DUMMYFUNCTION("""COMPUTED_VALUE"""),3.0)</f>
        <v>3</v>
      </c>
      <c r="K1079" s="213" t="str">
        <f>IFERROR(__xludf.DUMMYFUNCTION("""COMPUTED_VALUE"""),"90 DÍAS CALENDARIO")</f>
        <v>90 DÍAS CALENDARIO</v>
      </c>
      <c r="L1079"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79" s="213">
        <f>IFERROR(__xludf.DUMMYFUNCTION("""COMPUTED_VALUE"""),1.0)</f>
        <v>1</v>
      </c>
      <c r="N1079" s="213">
        <f>IFERROR(__xludf.DUMMYFUNCTION("""COMPUTED_VALUE"""),1.0)</f>
        <v>1</v>
      </c>
      <c r="O1079" s="213">
        <f>IFERROR(__xludf.DUMMYFUNCTION("""COMPUTED_VALUE"""),1.0)</f>
        <v>1</v>
      </c>
      <c r="P1079" s="213"/>
      <c r="Q1079" s="213"/>
      <c r="R1079" s="213"/>
      <c r="S1079" s="213"/>
      <c r="T1079" s="213" t="str">
        <f>IFERROR(__xludf.DUMMYFUNCTION("""COMPUTED_VALUE"""),"CONSULTA FINAL")</f>
        <v>CONSULTA FINAL</v>
      </c>
      <c r="U1079" s="213"/>
      <c r="V1079" s="213"/>
      <c r="W1079" s="213"/>
      <c r="X1079" s="213"/>
      <c r="Y1079" s="213" t="str">
        <f>IFERROR(__xludf.DUMMYFUNCTION("""COMPUTED_VALUE"""),"A MEDIDA")</f>
        <v>A MEDIDA</v>
      </c>
      <c r="Z1079" s="213"/>
      <c r="AA1079" s="213" t="str">
        <f>IFERROR(__xludf.DUMMYFUNCTION("""COMPUTED_VALUE"""),"MAT-123 BOTIQUÍN-X - CET")</f>
        <v>MAT-123 BOTIQUÍN-X - CET</v>
      </c>
      <c r="AB1079" s="213"/>
      <c r="AC1079" s="213"/>
      <c r="AD1079" s="213"/>
      <c r="AE1079" s="213"/>
      <c r="AF1079" s="213"/>
      <c r="AG1079" s="213"/>
      <c r="AH1079" s="213"/>
      <c r="AI1079" s="213"/>
      <c r="AJ1079" s="213"/>
      <c r="AK1079" s="213"/>
      <c r="AL1079" s="213"/>
      <c r="AM1079" s="213"/>
      <c r="AN1079" s="213"/>
      <c r="AO1079" s="213"/>
      <c r="AP1079" s="213" t="str">
        <f>IFERROR(__xludf.DUMMYFUNCTION("""COMPUTED_VALUE"""),"BRUNO")</f>
        <v>BRUNO</v>
      </c>
      <c r="AQ1079" s="213"/>
      <c r="AR1079" s="213"/>
      <c r="AS1079" s="213"/>
      <c r="AT1079" s="213"/>
      <c r="AU1079" s="213"/>
      <c r="AV1079" s="213"/>
      <c r="AW1079" s="213"/>
      <c r="AX1079" s="213"/>
      <c r="AY1079" s="213"/>
      <c r="AZ1079" s="213"/>
      <c r="BA1079" s="213"/>
      <c r="BB1079" s="213"/>
      <c r="BC1079" s="213"/>
      <c r="BD1079" s="213"/>
    </row>
    <row r="1080">
      <c r="A1080" s="213">
        <f>IFERROR(__xludf.DUMMYFUNCTION("""COMPUTED_VALUE"""),1930.0)</f>
        <v>1930</v>
      </c>
      <c r="B1080" s="213" t="str">
        <f>IFERROR(__xludf.DUMMYFUNCTION("""COMPUTED_VALUE"""),"JOSE GRANDA")</f>
        <v>JOSE GRANDA</v>
      </c>
      <c r="C1080" s="213" t="str">
        <f>IFERROR(__xludf.DUMMYFUNCTION("""COMPUTED_VALUE"""),"TALLER SFT DE COMPUTACIÓN E INFORMÁTICA")</f>
        <v>TALLER SFT DE COMPUTACIÓN E INFORMÁTICA</v>
      </c>
      <c r="D1080" s="213" t="str">
        <f>IFERROR(__xludf.DUMMYFUNCTION("""COMPUTED_VALUE"""),"HERRAMIENTAS")</f>
        <v>HERRAMIENTAS</v>
      </c>
      <c r="E1080" s="213" t="str">
        <f>IFERROR(__xludf.DUMMYFUNCTION("""COMPUTED_VALUE"""),"MAT-123")</f>
        <v>MAT-123</v>
      </c>
      <c r="F1080" s="213" t="str">
        <f>IFERROR(__xludf.DUMMYFUNCTION("""COMPUTED_VALUE"""),"MAT-123-X")</f>
        <v>MAT-123-X</v>
      </c>
      <c r="G1080" s="213"/>
      <c r="H1080" s="213" t="str">
        <f>IFERROR(__xludf.DUMMYFUNCTION("""COMPUTED_VALUE"""),"BOTIQUÍN")</f>
        <v>BOTIQUÍN</v>
      </c>
      <c r="I1080" s="213" t="str">
        <f>IFERROR(__xludf.DUMMYFUNCTION("""COMPUTED_VALUE"""),"·  Contiene materiales para curar heridas, controlar hemorragias, limpiar, cubrir quemaduras o zonas expuestas, y prevenir la contaminación e infección.
·  Dimensiones: 30 x 25 x 10 cm, con divisiones para guardar los medicamentos.
·  Conformado por:
-   "&amp;"01 caja x 20 unid. de gasas esterilizadas (10 × 10 cm).
-   01 venda elástica de 4"" x 5 yd, y una venda elástica de 2"" x 5 yd, con sus seguros.
-   01 esparadrapo de 2,5 cm x 5 yd.
-   02 guantes quirúrgicos.
-   01 caja de 100 curitas.
-   06 bajalengu"&amp;"as.
-   01 jabón antiséptico.
-   01 termómetro clínico.
-   01 paquete de algodón de 20 g.
-   01 tijera punta roma de 5"", mango de plástico.
-   01 botella de alcohol de 250 mL.
-   01 botella de agua oxigenada de 250 mL.")</f>
        <v>·  Contiene materiales para curar heridas, controlar hemorragias, limpiar, cubrir quemaduras o zonas expuestas, y prevenir la contaminación e infección.
·  Dimensiones: 30 x 25 x 10 cm, con divisiones para guardar los medicamentos.
·  Conformado por:
-   01 caja x 20 unid. de gasas esterilizadas (10 × 10 cm).
-   01 venda elástica de 4" x 5 yd, y una venda elástica de 2" x 5 yd, con sus seguros.
-   01 esparadrapo de 2,5 cm x 5 yd.
-   02 guantes quirúrgicos.
-   01 caja de 100 curitas.
-   06 bajalenguas.
-   01 jabón antiséptico.
-   01 termómetro clínico.
-   01 paquete de algodón de 20 g.
-   01 tijera punta roma de 5", mango de plástico.
-   01 botella de alcohol de 250 mL.
-   01 botella de agua oxigenada de 250 mL.</v>
      </c>
      <c r="J1080" s="213">
        <f>IFERROR(__xludf.DUMMYFUNCTION("""COMPUTED_VALUE"""),3.0)</f>
        <v>3</v>
      </c>
      <c r="K1080" s="213" t="str">
        <f>IFERROR(__xludf.DUMMYFUNCTION("""COMPUTED_VALUE"""),"90 DÍAS CALENDARIO")</f>
        <v>90 DÍAS CALENDARIO</v>
      </c>
      <c r="L1080"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80" s="213">
        <f>IFERROR(__xludf.DUMMYFUNCTION("""COMPUTED_VALUE"""),1.0)</f>
        <v>1</v>
      </c>
      <c r="N1080" s="213">
        <f>IFERROR(__xludf.DUMMYFUNCTION("""COMPUTED_VALUE"""),1.0)</f>
        <v>1</v>
      </c>
      <c r="O1080" s="213">
        <f>IFERROR(__xludf.DUMMYFUNCTION("""COMPUTED_VALUE"""),1.0)</f>
        <v>1</v>
      </c>
      <c r="P1080" s="213"/>
      <c r="Q1080" s="213"/>
      <c r="R1080" s="213"/>
      <c r="S1080" s="213"/>
      <c r="T1080" s="213" t="str">
        <f>IFERROR(__xludf.DUMMYFUNCTION("""COMPUTED_VALUE"""),"CONSULTA FINAL")</f>
        <v>CONSULTA FINAL</v>
      </c>
      <c r="U1080" s="213"/>
      <c r="V1080" s="213"/>
      <c r="W1080" s="213"/>
      <c r="X1080" s="213"/>
      <c r="Y1080" s="213" t="str">
        <f>IFERROR(__xludf.DUMMYFUNCTION("""COMPUTED_VALUE"""),"A MEDIDA")</f>
        <v>A MEDIDA</v>
      </c>
      <c r="Z1080" s="213"/>
      <c r="AA1080" s="213" t="str">
        <f>IFERROR(__xludf.DUMMYFUNCTION("""COMPUTED_VALUE"""),"MAT-123 BOTIQUÍN-X - CET")</f>
        <v>MAT-123 BOTIQUÍN-X - CET</v>
      </c>
      <c r="AB1080" s="213"/>
      <c r="AC1080" s="213"/>
      <c r="AD1080" s="213"/>
      <c r="AE1080" s="213"/>
      <c r="AF1080" s="213"/>
      <c r="AG1080" s="213"/>
      <c r="AH1080" s="213"/>
      <c r="AI1080" s="213"/>
      <c r="AJ1080" s="213"/>
      <c r="AK1080" s="213"/>
      <c r="AL1080" s="213"/>
      <c r="AM1080" s="213"/>
      <c r="AN1080" s="213"/>
      <c r="AO1080" s="213"/>
      <c r="AP1080" s="213" t="str">
        <f>IFERROR(__xludf.DUMMYFUNCTION("""COMPUTED_VALUE"""),"BRUNO")</f>
        <v>BRUNO</v>
      </c>
      <c r="AQ1080" s="213"/>
      <c r="AR1080" s="213"/>
      <c r="AS1080" s="213"/>
      <c r="AT1080" s="213"/>
      <c r="AU1080" s="213"/>
      <c r="AV1080" s="213"/>
      <c r="AW1080" s="213"/>
      <c r="AX1080" s="213"/>
      <c r="AY1080" s="213"/>
      <c r="AZ1080" s="213"/>
      <c r="BA1080" s="213"/>
      <c r="BB1080" s="213"/>
      <c r="BC1080" s="213"/>
      <c r="BD1080" s="213"/>
    </row>
    <row r="1081">
      <c r="A1081" s="213">
        <f>IFERROR(__xludf.DUMMYFUNCTION("""COMPUTED_VALUE"""),2048.0)</f>
        <v>2048</v>
      </c>
      <c r="B1081" s="213" t="str">
        <f>IFERROR(__xludf.DUMMYFUNCTION("""COMPUTED_VALUE"""),"JOSE GRANDA")</f>
        <v>JOSE GRANDA</v>
      </c>
      <c r="C1081" s="213" t="str">
        <f>IFERROR(__xludf.DUMMYFUNCTION("""COMPUTED_VALUE"""),"TALLER SFT DE INDUSTRIA ALIMENTARIA")</f>
        <v>TALLER SFT DE INDUSTRIA ALIMENTARIA</v>
      </c>
      <c r="D1081" s="213" t="str">
        <f>IFERROR(__xludf.DUMMYFUNCTION("""COMPUTED_VALUE"""),"HERRAMIENTAS")</f>
        <v>HERRAMIENTAS</v>
      </c>
      <c r="E1081" s="213" t="str">
        <f>IFERROR(__xludf.DUMMYFUNCTION("""COMPUTED_VALUE"""),"MAT-123")</f>
        <v>MAT-123</v>
      </c>
      <c r="F1081" s="213" t="str">
        <f>IFERROR(__xludf.DUMMYFUNCTION("""COMPUTED_VALUE"""),"MAT-123-X")</f>
        <v>MAT-123-X</v>
      </c>
      <c r="G1081" s="213"/>
      <c r="H1081" s="213" t="str">
        <f>IFERROR(__xludf.DUMMYFUNCTION("""COMPUTED_VALUE"""),"BOTIQUÍN")</f>
        <v>BOTIQUÍN</v>
      </c>
      <c r="I1081" s="213" t="str">
        <f>IFERROR(__xludf.DUMMYFUNCTION("""COMPUTED_VALUE"""),"· Contiene materiales para curar heridas, controlar hemorragias, limpiar, cubrir quemaduras o zonas expuestas, y prevenir la contaminación e infección.
Estos son:
- 01 caja x 20 unid. Gasas esterilizadas (10×10 cm).
- Una venda elástica 4"" x 5 yd, y una "&amp;"venda elástica 2"" x 5 yd, con sus seguros.
- 01 esparadrapo de 2.5 cm x 5 yd.
- 02 Guantes quirúrgicos.
- 01 caja de 100 curitas.
- 06 bajalenguas.
- 01 jabón antiséptico.
- 01 termómetro.
- 01 paquete de algodón de 20 g.
- 01 Tijera punta roma de 5"", m"&amp;"ango de plástico.
- 01 botella de alcohol de 250 ml.
- 01 botella de agua oxigenada de 250 ml.
· Dimensiones: 30cm x 25cm x 10cm, con divisiones para guardar los medicamentos.")</f>
        <v>· Contiene materiales para curar heridas, controlar hemorragias, limpiar, cubrir quemaduras o zonas expuestas, y prevenir la contaminación e infección.
Estos son:
- 01 caja x 20 unid. Gasas esterilizadas (10×10 cm).
- Una venda elástica 4" x 5 yd, y una venda elástica 2" x 5 yd, con sus seguros.
- 01 esparadrapo de 2.5 cm x 5 yd.
- 02 Guantes quirúrgicos.
- 01 caja de 100 curitas.
- 06 bajalenguas.
- 01 jabón antiséptico.
- 01 termómetro.
- 01 paquete de algodón de 20 g.
- 01 Tijera punta roma de 5", mango de plástico.
- 01 botella de alcohol de 250 ml.
- 01 botella de agua oxigenada de 250 ml.
· Dimensiones: 30cm x 25cm x 10cm, con divisiones para guardar los medicamentos.</v>
      </c>
      <c r="J1081" s="213">
        <f>IFERROR(__xludf.DUMMYFUNCTION("""COMPUTED_VALUE"""),3.0)</f>
        <v>3</v>
      </c>
      <c r="K1081" s="213" t="str">
        <f>IFERROR(__xludf.DUMMYFUNCTION("""COMPUTED_VALUE"""),"90 DÍAS CALENDARIO")</f>
        <v>90 DÍAS CALENDARIO</v>
      </c>
      <c r="L1081"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81" s="213">
        <f>IFERROR(__xludf.DUMMYFUNCTION("""COMPUTED_VALUE"""),1.0)</f>
        <v>1</v>
      </c>
      <c r="N1081" s="213">
        <f>IFERROR(__xludf.DUMMYFUNCTION("""COMPUTED_VALUE"""),1.0)</f>
        <v>1</v>
      </c>
      <c r="O1081" s="213">
        <f>IFERROR(__xludf.DUMMYFUNCTION("""COMPUTED_VALUE"""),1.0)</f>
        <v>1</v>
      </c>
      <c r="P1081" s="213"/>
      <c r="Q1081" s="213"/>
      <c r="R1081" s="213"/>
      <c r="S1081" s="213"/>
      <c r="T1081" s="213" t="str">
        <f>IFERROR(__xludf.DUMMYFUNCTION("""COMPUTED_VALUE"""),"CONSULTA FINAL")</f>
        <v>CONSULTA FINAL</v>
      </c>
      <c r="U1081" s="213"/>
      <c r="V1081" s="213"/>
      <c r="W1081" s="213"/>
      <c r="X1081" s="213"/>
      <c r="Y1081" s="213" t="str">
        <f>IFERROR(__xludf.DUMMYFUNCTION("""COMPUTED_VALUE"""),"A MEDIDA")</f>
        <v>A MEDIDA</v>
      </c>
      <c r="Z1081" s="213"/>
      <c r="AA1081" s="213" t="str">
        <f>IFERROR(__xludf.DUMMYFUNCTION("""COMPUTED_VALUE"""),"MAT-123 BOTIQUÍN-X - CET")</f>
        <v>MAT-123 BOTIQUÍN-X - CET</v>
      </c>
      <c r="AB1081" s="213"/>
      <c r="AC1081" s="213"/>
      <c r="AD1081" s="213"/>
      <c r="AE1081" s="213"/>
      <c r="AF1081" s="213"/>
      <c r="AG1081" s="213"/>
      <c r="AH1081" s="213"/>
      <c r="AI1081" s="213"/>
      <c r="AJ1081" s="213"/>
      <c r="AK1081" s="213"/>
      <c r="AL1081" s="213"/>
      <c r="AM1081" s="213"/>
      <c r="AN1081" s="213"/>
      <c r="AO1081" s="213"/>
      <c r="AP1081" s="213" t="str">
        <f>IFERROR(__xludf.DUMMYFUNCTION("""COMPUTED_VALUE"""),"BRUNO")</f>
        <v>BRUNO</v>
      </c>
      <c r="AQ1081" s="213"/>
      <c r="AR1081" s="213"/>
      <c r="AS1081" s="213"/>
      <c r="AT1081" s="213"/>
      <c r="AU1081" s="213"/>
      <c r="AV1081" s="213"/>
      <c r="AW1081" s="213"/>
      <c r="AX1081" s="213"/>
      <c r="AY1081" s="213"/>
      <c r="AZ1081" s="213"/>
      <c r="BA1081" s="213"/>
      <c r="BB1081" s="213"/>
      <c r="BC1081" s="213"/>
      <c r="BD1081" s="213"/>
    </row>
    <row r="1082">
      <c r="A1082" s="213">
        <f>IFERROR(__xludf.DUMMYFUNCTION("""COMPUTED_VALUE"""),2200.0)</f>
        <v>2200</v>
      </c>
      <c r="B1082" s="213" t="str">
        <f>IFERROR(__xludf.DUMMYFUNCTION("""COMPUTED_VALUE"""),"JOSE GRANDA")</f>
        <v>JOSE GRANDA</v>
      </c>
      <c r="C1082" s="213" t="str">
        <f>IFERROR(__xludf.DUMMYFUNCTION("""COMPUTED_VALUE"""),"TALLER SFT DE MECÁNICA AUTOMOTRIZ")</f>
        <v>TALLER SFT DE MECÁNICA AUTOMOTRIZ</v>
      </c>
      <c r="D1082" s="213" t="str">
        <f>IFERROR(__xludf.DUMMYFUNCTION("""COMPUTED_VALUE"""),"HERRAMIENTAS")</f>
        <v>HERRAMIENTAS</v>
      </c>
      <c r="E1082" s="213" t="str">
        <f>IFERROR(__xludf.DUMMYFUNCTION("""COMPUTED_VALUE"""),"MAT-123")</f>
        <v>MAT-123</v>
      </c>
      <c r="F1082" s="213" t="str">
        <f>IFERROR(__xludf.DUMMYFUNCTION("""COMPUTED_VALUE"""),"MAT-123-X")</f>
        <v>MAT-123-X</v>
      </c>
      <c r="G1082" s="213"/>
      <c r="H1082" s="213" t="str">
        <f>IFERROR(__xludf.DUMMYFUNCTION("""COMPUTED_VALUE"""),"BOTIQUÍN")</f>
        <v>BOTIQUÍN</v>
      </c>
      <c r="I1082" s="213" t="str">
        <f>IFERROR(__xludf.DUMMYFUNCTION("""COMPUTED_VALUE"""),"· Contiene materiales para curar heridas, controlar hemorragias, limpiar, cubrir quemaduras o zonas expuestas, y prevenir la contaminación e infección.
· Dimensiones mínimas: 30 x 25 x 10 cm, con divisiones para guardar los medicamentos.
· Conformado por:"&amp;"
- 01 caja x 20 unid. de gasas esterilizadas (10 × 10 cm).
- 01 venda elástica de 4"" x 5 yd, y una venda elástica de 2"" x 5 yd, con sus seguros.
- 01 esparadrapo de 2,5 cm x 5 yd.
- 02 guantes quirúrgicos.
- 01 caja de 100 curitas.
- 06 bajalenguas.
- 0"&amp;"1 jabón antiséptico.
- 01 termómetro clínico.
- 01 paquete de algodón de 20 g.
- 01 tijera punta roma de 5"", mango de plástico.
- 01 botella de alcohol de 250 ml.
- 01 botella de agua oxigenada de 250 ml.")</f>
        <v>· Contiene materiales para curar heridas, controlar hemorragias, limpiar, cubrir quemaduras o zonas expuestas, y prevenir la contaminación e infección.
· Dimensiones mínimas: 30 x 25 x 10 cm, con divisiones para guardar los medicamentos.
· Conformado por:
- 01 caja x 20 unid. de gasas esterilizadas (10 × 10 cm).
- 01 venda elástica de 4" x 5 yd, y una venda elástica de 2" x 5 yd, con sus seguros.
- 01 esparadrapo de 2,5 cm x 5 yd.
- 02 guantes quirúrgicos.
- 01 caja de 100 curitas.
- 06 bajalenguas.
- 01 jabón antiséptico.
- 01 termómetro clínico.
- 01 paquete de algodón de 20 g.
- 01 tijera punta roma de 5", mango de plástico.
- 01 botella de alcohol de 250 ml.
- 01 botella de agua oxigenada de 250 ml.</v>
      </c>
      <c r="J1082" s="213">
        <f>IFERROR(__xludf.DUMMYFUNCTION("""COMPUTED_VALUE"""),3.0)</f>
        <v>3</v>
      </c>
      <c r="K1082" s="213" t="str">
        <f>IFERROR(__xludf.DUMMYFUNCTION("""COMPUTED_VALUE"""),"90 DÍAS CALENDARIO")</f>
        <v>90 DÍAS CALENDARIO</v>
      </c>
      <c r="L1082"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82" s="213">
        <f>IFERROR(__xludf.DUMMYFUNCTION("""COMPUTED_VALUE"""),1.0)</f>
        <v>1</v>
      </c>
      <c r="N1082" s="213">
        <f>IFERROR(__xludf.DUMMYFUNCTION("""COMPUTED_VALUE"""),1.0)</f>
        <v>1</v>
      </c>
      <c r="O1082" s="213">
        <f>IFERROR(__xludf.DUMMYFUNCTION("""COMPUTED_VALUE"""),1.0)</f>
        <v>1</v>
      </c>
      <c r="P1082" s="213"/>
      <c r="Q1082" s="213"/>
      <c r="R1082" s="213"/>
      <c r="S1082" s="213"/>
      <c r="T1082" s="213" t="str">
        <f>IFERROR(__xludf.DUMMYFUNCTION("""COMPUTED_VALUE"""),"CONSULTA FINAL")</f>
        <v>CONSULTA FINAL</v>
      </c>
      <c r="U1082" s="213"/>
      <c r="V1082" s="213"/>
      <c r="W1082" s="213"/>
      <c r="X1082" s="213"/>
      <c r="Y1082" s="213" t="str">
        <f>IFERROR(__xludf.DUMMYFUNCTION("""COMPUTED_VALUE"""),"A MEDIDA")</f>
        <v>A MEDIDA</v>
      </c>
      <c r="Z1082" s="213"/>
      <c r="AA1082" s="213" t="str">
        <f>IFERROR(__xludf.DUMMYFUNCTION("""COMPUTED_VALUE"""),"MAT-123 BOTIQUÍN-X - CET")</f>
        <v>MAT-123 BOTIQUÍN-X - CET</v>
      </c>
      <c r="AB1082" s="213"/>
      <c r="AC1082" s="213"/>
      <c r="AD1082" s="213"/>
      <c r="AE1082" s="213"/>
      <c r="AF1082" s="213"/>
      <c r="AG1082" s="213"/>
      <c r="AH1082" s="213"/>
      <c r="AI1082" s="213"/>
      <c r="AJ1082" s="213"/>
      <c r="AK1082" s="213"/>
      <c r="AL1082" s="213"/>
      <c r="AM1082" s="213"/>
      <c r="AN1082" s="213"/>
      <c r="AO1082" s="213"/>
      <c r="AP1082" s="213" t="str">
        <f>IFERROR(__xludf.DUMMYFUNCTION("""COMPUTED_VALUE"""),"BRUNO")</f>
        <v>BRUNO</v>
      </c>
      <c r="AQ1082" s="213"/>
      <c r="AR1082" s="213"/>
      <c r="AS1082" s="213"/>
      <c r="AT1082" s="213"/>
      <c r="AU1082" s="213"/>
      <c r="AV1082" s="213"/>
      <c r="AW1082" s="213"/>
      <c r="AX1082" s="213"/>
      <c r="AY1082" s="213"/>
      <c r="AZ1082" s="213"/>
      <c r="BA1082" s="213"/>
      <c r="BB1082" s="213"/>
      <c r="BC1082" s="213"/>
      <c r="BD1082" s="213"/>
    </row>
    <row r="1083">
      <c r="A1083" s="213">
        <f>IFERROR(__xludf.DUMMYFUNCTION("""COMPUTED_VALUE"""),717.0)</f>
        <v>717</v>
      </c>
      <c r="B1083" s="213" t="str">
        <f>IFERROR(__xludf.DUMMYFUNCTION("""COMPUTED_VALUE"""),"6049 RICARDO PALMA")</f>
        <v>6049 RICARDO PALMA</v>
      </c>
      <c r="C1083" s="213" t="str">
        <f>IFERROR(__xludf.DUMMYFUNCTION("""COMPUTED_VALUE"""),"TALLER SFT DE ELECTRÓNICA")</f>
        <v>TALLER SFT DE ELECTRÓNICA</v>
      </c>
      <c r="D1083" s="213" t="str">
        <f>IFERROR(__xludf.DUMMYFUNCTION("""COMPUTED_VALUE"""),"EQUIPOS")</f>
        <v>EQUIPOS</v>
      </c>
      <c r="E1083" s="213" t="str">
        <f>IFERROR(__xludf.DUMMYFUNCTION("""COMPUTED_VALUE"""),"ESP-195")</f>
        <v>ESP-195</v>
      </c>
      <c r="F1083" s="213" t="str">
        <f>IFERROR(__xludf.DUMMYFUNCTION("""COMPUTED_VALUE"""),"ESP-195")</f>
        <v>ESP-195</v>
      </c>
      <c r="G1083" s="213"/>
      <c r="H1083" s="213" t="str">
        <f>IFERROR(__xludf.DUMMYFUNCTION("""COMPUTED_VALUE"""),"KIT COMPLETO DE INICIO PARA DESARROLLO DE ELECTRÓNICA CON MICROCONTROLADOR")</f>
        <v>KIT COMPLETO DE INICIO PARA DESARROLLO DE ELECTRÓNICA CON MICROCONTROLADOR</v>
      </c>
      <c r="I1083" s="213" t="str">
        <f>IFERROR(__xludf.DUMMYFUNCTION("""COMPUTED_VALUE"""),"· Kit completo de inicio para desarrollo de electrónica con microcontrolador, es un conjunto, basado en una placa de desarrollo, basada en un microcontrolador, además de 200 componentes adicionales.
· el microcontrolador posee 54 entradas y salidas digita"&amp;"les, 16 entradas analógicas, además de conexión USB (para PC), jack para alimentación DC, conector ICSP, y un botón de reseteo.
· Ciertos componentes incluyen conectores, con lo cual no necesita ser soldado.
· Guía libre en PDF incluida en un CD ROM, que "&amp;"contiene más de 33 lecciones.
· El conjunto avanzado de iniciación electrónica, proporciona una plataforma de desarrollo electrónico de código abierto con hardware y software flexible, fácil de usar para prototipado.
· Contiene todos los componentes neces"&amp;"arios para comenzar a programar la placa de desarrollo, a través de una PC.
· Motores AC y Variador de Velocidad. - Motores DC y Variador de Velocidad. - Reguladores de velocidad.
· Grabador de PIC
· Voltaje de alimentación: 5 VDC. - Puerto de salida USB."&amp;" - Puerto Auxiliar de 8 a 40 PIC.")</f>
        <v>· Kit completo de inicio para desarrollo de electrónica con microcontrolador, es un conjunto, basado en una placa de desarrollo, basada en un microcontrolador, además de 200 componentes adicionales.
· el microcontrolador posee 54 entradas y salidas digitales, 16 entradas analógicas, además de conexión USB (para PC), jack para alimentación DC, conector ICSP, y un botón de reseteo.
· Ciertos componentes incluyen conectores, con lo cual no necesita ser soldado.
· Guía libre en PDF incluida en un CD ROM, que contiene más de 33 lecciones.
· El conjunto avanzado de iniciación electrónica, proporciona una plataforma de desarrollo electrónico de código abierto con hardware y software flexible, fácil de usar para prototipado.
· Contiene todos los componentes necesarios para comenzar a programar la placa de desarrollo, a través de una PC.
· Motores AC y Variador de Velocidad. - Motores DC y Variador de Velocidad. - Reguladores de velocidad.
· Grabador de PIC
· Voltaje de alimentación: 5 VDC. - Puerto de salida USB. - Puerto Auxiliar de 8 a 40 PIC.</v>
      </c>
      <c r="J1083" s="213">
        <f>IFERROR(__xludf.DUMMYFUNCTION("""COMPUTED_VALUE"""),3.0)</f>
        <v>3</v>
      </c>
      <c r="K1083" s="213" t="str">
        <f>IFERROR(__xludf.DUMMYFUNCTION("""COMPUTED_VALUE"""),"170 DÍAS CALENDARIO")</f>
        <v>170 DÍAS CALENDARIO</v>
      </c>
      <c r="L1083" s="213" t="str">
        <f>IFERROR(__xludf.DUMMYFUNCTION("""COMPUTED_VALUE"""),"")</f>
        <v/>
      </c>
      <c r="M1083" s="213">
        <f>IFERROR(__xludf.DUMMYFUNCTION("""COMPUTED_VALUE"""),1.0)</f>
        <v>1</v>
      </c>
      <c r="N1083" s="213">
        <f>IFERROR(__xludf.DUMMYFUNCTION("""COMPUTED_VALUE"""),4.0)</f>
        <v>4</v>
      </c>
      <c r="O1083" s="213">
        <f>IFERROR(__xludf.DUMMYFUNCTION("""COMPUTED_VALUE"""),4.0)</f>
        <v>4</v>
      </c>
      <c r="P1083" s="213"/>
      <c r="Q1083" s="213"/>
      <c r="R1083" s="213"/>
      <c r="S1083" s="213" t="str">
        <f>IFERROR(__xludf.DUMMYFUNCTION("""COMPUTED_VALUE"""),"SI")</f>
        <v>SI</v>
      </c>
      <c r="T1083" s="213" t="str">
        <f>IFERROR(__xludf.DUMMYFUNCTION("""COMPUTED_VALUE"""),"SI")</f>
        <v>SI</v>
      </c>
      <c r="U1083" s="213" t="str">
        <f>IFERROR(__xludf.DUMMYFUNCTION("""COMPUTED_VALUE"""),"SI")</f>
        <v>SI</v>
      </c>
      <c r="V1083" s="213" t="str">
        <f>IFERROR(__xludf.DUMMYFUNCTION("""COMPUTED_VALUE"""),"-")</f>
        <v>-</v>
      </c>
      <c r="W1083" s="213" t="str">
        <f>IFERROR(__xludf.DUMMYFUNCTION("""COMPUTED_VALUE"""),"-")</f>
        <v>-</v>
      </c>
      <c r="X1083" s="213" t="str">
        <f>IFERROR(__xludf.DUMMYFUNCTION("""COMPUTED_VALUE"""),"Labtech")</f>
        <v>Labtech</v>
      </c>
      <c r="Y1083" s="213"/>
      <c r="Z1083" s="215" t="str">
        <f>IFERROR(__xludf.DUMMYFUNCTION("""COMPUTED_VALUE"""),"https://drive.google.com/file/d/1VFyhOgA4N6Y5Dxsl3IyaY1tAsMmtjMK-/view")</f>
        <v>https://drive.google.com/file/d/1VFyhOgA4N6Y5Dxsl3IyaY1tAsMmtjMK-/view</v>
      </c>
      <c r="AA1083" s="213" t="str">
        <f>IFERROR(__xludf.DUMMYFUNCTION("""COMPUTED_VALUE"""),"ESP-195 KIT COMPLETO DE INICIO PARA DESARROLLO DE ELECTRÓNICA CON MICROCONTROLADOR- CET")</f>
        <v>ESP-195 KIT COMPLETO DE INICIO PARA DESARROLLO DE ELECTRÓNICA CON MICROCONTROLADOR- CET</v>
      </c>
      <c r="AB1083" s="213"/>
      <c r="AC1083" s="213"/>
      <c r="AD1083" s="213"/>
      <c r="AE1083" s="213"/>
      <c r="AF1083" s="213"/>
      <c r="AG1083" s="213"/>
      <c r="AH1083" s="213"/>
      <c r="AI1083" s="213"/>
      <c r="AJ1083" s="213"/>
      <c r="AK1083" s="213"/>
      <c r="AL1083" s="213"/>
      <c r="AM1083" s="213"/>
      <c r="AN1083" s="213"/>
      <c r="AO1083" s="213"/>
      <c r="AP1083" s="213" t="str">
        <f>IFERROR(__xludf.DUMMYFUNCTION("""COMPUTED_VALUE"""),"BRUNO")</f>
        <v>BRUNO</v>
      </c>
      <c r="AQ1083" s="213" t="str">
        <f>IFERROR(__xludf.DUMMYFUNCTION("""COMPUTED_VALUE"""),"Realizar el costeo de las 4 tarjetas electronicas adicionales para el cumplimiento total de especificacion, las tarjetas son del mismo proovedor")</f>
        <v>Realizar el costeo de las 4 tarjetas electronicas adicionales para el cumplimiento total de especificacion, las tarjetas son del mismo proovedor</v>
      </c>
      <c r="AR1083" s="213"/>
      <c r="AS1083" s="213"/>
      <c r="AT1083" s="213"/>
      <c r="AU1083" s="213"/>
      <c r="AV1083" s="213"/>
      <c r="AW1083" s="213"/>
      <c r="AX1083" s="213"/>
      <c r="AY1083" s="213"/>
      <c r="AZ1083" s="213"/>
      <c r="BA1083" s="213"/>
      <c r="BB1083" s="213"/>
      <c r="BC1083" s="213"/>
      <c r="BD1083" s="213"/>
    </row>
    <row r="1084">
      <c r="A1084" s="213">
        <f>IFERROR(__xludf.DUMMYFUNCTION("""COMPUTED_VALUE"""),391.0)</f>
        <v>391</v>
      </c>
      <c r="B1084" s="213" t="str">
        <f>IFERROR(__xludf.DUMMYFUNCTION("""COMPUTED_VALUE"""),"2026 SIMON BOLIVAR")</f>
        <v>2026 SIMON BOLIVAR</v>
      </c>
      <c r="C1084" s="213" t="str">
        <f>IFERROR(__xludf.DUMMYFUNCTION("""COMPUTED_VALUE"""),"TALLER SFT DE ELECTRICIDAD")</f>
        <v>TALLER SFT DE ELECTRICIDAD</v>
      </c>
      <c r="D1084" s="213" t="str">
        <f>IFERROR(__xludf.DUMMYFUNCTION("""COMPUTED_VALUE"""),"EQUIPOS")</f>
        <v>EQUIPOS</v>
      </c>
      <c r="E1084" s="213" t="str">
        <f>IFERROR(__xludf.DUMMYFUNCTION("""COMPUTED_VALUE"""),"ESP-196")</f>
        <v>ESP-196</v>
      </c>
      <c r="F1084" s="213" t="str">
        <f>IFERROR(__xludf.DUMMYFUNCTION("""COMPUTED_VALUE"""),"ESP-196")</f>
        <v>ESP-196</v>
      </c>
      <c r="G1084" s="213"/>
      <c r="H1084" s="213" t="str">
        <f>IFERROR(__xludf.DUMMYFUNCTION("""COMPUTED_VALUE"""),"KIT DE COMPONENTES COMPLEMENTARIOS")</f>
        <v>KIT DE COMPONENTES COMPLEMENTARIOS</v>
      </c>
      <c r="I1084" s="213" t="str">
        <f>IFERROR(__xludf.DUMMYFUNCTION("""COMPUTED_VALUE"""),"· Debe incluir:
- 5 relé de 5V.
- 5 optoacopladores
- 1 módulo de Sensor de Temperatura y Humedad DHT11.
- 1 módulo de Sensor de Gas MQ5.
- 1 módulo de Sensor de Movimiento PIR.
- 1 micro Servomotor SG90.
- 1 Stepper motor (Motor de paso)
- 1 Buzzer peque"&amp;"ño de 5V (zumbador)
- 1 receptor Infrarojo IR
- 1 circuito integrado ULN2003 Stepper motor
- 1 circuito Integrado 74HC595
- 1 sensor Ultrasonido
- 1 ventilador pequeño de 12V.
- 1 interruptor de inclinación
- 1 display de un dígito de 7 segmentos
- 1 disp"&amp;"lay de cuatro dígitos de 7 segmentos
- 1 pantalla LCD tradicional
- 2 baterías de Litio de 3.7V a 1400 mAH recargable.
- 1 cargador de Batería de Litio Micro USB.
- 1 cable USB para conectar la tarjeta ARDUINO UNO a la PC.
- 1 protoboard
- 65 jumper Alamb"&amp;"re para protoboard.")</f>
        <v>· Debe incluir:
- 5 relé de 5V.
- 5 optoacopladores
- 1 módulo de Sensor de Temperatura y Humedad DHT11.
- 1 módulo de Sensor de Gas MQ5.
- 1 módulo de Sensor de Movimiento PIR.
- 1 micro Servomotor SG90.
- 1 Stepper motor (Motor de paso)
- 1 Buzzer pequeño de 5V (zumbador)
- 1 receptor Infrarojo IR
- 1 circuito integrado ULN2003 Stepper motor
- 1 circuito Integrado 74HC595
- 1 sensor Ultrasonido
- 1 ventilador pequeño de 12V.
- 1 interruptor de inclinación
- 1 display de un dígito de 7 segmentos
- 1 display de cuatro dígitos de 7 segmentos
- 1 pantalla LCD tradicional
- 2 baterías de Litio de 3.7V a 1400 mAH recargable.
- 1 cargador de Batería de Litio Micro USB.
- 1 cable USB para conectar la tarjeta ARDUINO UNO a la PC.
- 1 protoboard
- 65 jumper Alambre para protoboard.</v>
      </c>
      <c r="J1084" s="213">
        <f>IFERROR(__xludf.DUMMYFUNCTION("""COMPUTED_VALUE"""),3.0)</f>
        <v>3</v>
      </c>
      <c r="K1084" s="213" t="str">
        <f>IFERROR(__xludf.DUMMYFUNCTION("""COMPUTED_VALUE"""),"170 DÍAS CALENDARIO")</f>
        <v>170 DÍAS CALENDARIO</v>
      </c>
      <c r="L1084" s="213" t="str">
        <f>IFERROR(__xludf.DUMMYFUNCTION("""COMPUTED_VALUE"""),"")</f>
        <v/>
      </c>
      <c r="M1084" s="213">
        <f>IFERROR(__xludf.DUMMYFUNCTION("""COMPUTED_VALUE"""),1.0)</f>
        <v>1</v>
      </c>
      <c r="N1084" s="213">
        <f>IFERROR(__xludf.DUMMYFUNCTION("""COMPUTED_VALUE"""),4.0)</f>
        <v>4</v>
      </c>
      <c r="O1084" s="213">
        <f>IFERROR(__xludf.DUMMYFUNCTION("""COMPUTED_VALUE"""),4.0)</f>
        <v>4</v>
      </c>
      <c r="P1084" s="213"/>
      <c r="Q1084" s="213"/>
      <c r="R1084" s="213"/>
      <c r="S1084" s="213" t="str">
        <f>IFERROR(__xludf.DUMMYFUNCTION("""COMPUTED_VALUE"""),"SI")</f>
        <v>SI</v>
      </c>
      <c r="T1084" s="213" t="str">
        <f>IFERROR(__xludf.DUMMYFUNCTION("""COMPUTED_VALUE"""),"SI")</f>
        <v>SI</v>
      </c>
      <c r="U1084" s="213" t="str">
        <f>IFERROR(__xludf.DUMMYFUNCTION("""COMPUTED_VALUE"""),"SI")</f>
        <v>SI</v>
      </c>
      <c r="V1084" s="213" t="str">
        <f>IFERROR(__xludf.DUMMYFUNCTION("""COMPUTED_VALUE"""),"-")</f>
        <v>-</v>
      </c>
      <c r="W1084" s="213" t="str">
        <f>IFERROR(__xludf.DUMMYFUNCTION("""COMPUTED_VALUE"""),"-")</f>
        <v>-</v>
      </c>
      <c r="X1084" s="213" t="str">
        <f>IFERROR(__xludf.DUMMYFUNCTION("""COMPUTED_VALUE"""),"MAXQI INTERNATIONAL COMPANY LIMITED")</f>
        <v>MAXQI INTERNATIONAL COMPANY LIMITED</v>
      </c>
      <c r="Y1084" s="213" t="str">
        <f>IFERROR(__xludf.DUMMYFUNCTION("""COMPUTED_VALUE"""),"Varios")</f>
        <v>Varios</v>
      </c>
      <c r="Z1084" s="215" t="str">
        <f>IFERROR(__xludf.DUMMYFUNCTION("""COMPUTED_VALUE"""),"https://drive.google.com/file/d/1pQU39LoIKEVnEm3gAc-pUJxuuoHdBGjz/view?usp=sharing")</f>
        <v>https://drive.google.com/file/d/1pQU39LoIKEVnEm3gAc-pUJxuuoHdBGjz/view?usp=sharing</v>
      </c>
      <c r="AA1084" s="213" t="str">
        <f>IFERROR(__xludf.DUMMYFUNCTION("""COMPUTED_VALUE"""),"ESP-196 KIT DE COMPONENTES COMPLEMENTARIOS - CET")</f>
        <v>ESP-196 KIT DE COMPONENTES COMPLEMENTARIOS - CET</v>
      </c>
      <c r="AB1084" s="213"/>
      <c r="AC1084" s="213"/>
      <c r="AD1084" s="213"/>
      <c r="AE1084" s="213"/>
      <c r="AF1084" s="213"/>
      <c r="AG1084" s="213"/>
      <c r="AH1084" s="213" t="str">
        <f>IFERROR(__xludf.DUMMYFUNCTION("""COMPUTED_VALUE"""),"IMPORTADO")</f>
        <v>IMPORTADO</v>
      </c>
      <c r="AI1084" s="213"/>
      <c r="AJ1084" s="213"/>
      <c r="AK1084" s="213"/>
      <c r="AL1084" s="213"/>
      <c r="AM1084" s="213"/>
      <c r="AN1084" s="213"/>
      <c r="AO1084" s="213"/>
      <c r="AP1084" s="213" t="str">
        <f>IFERROR(__xludf.DUMMYFUNCTION("""COMPUTED_VALUE"""),"NALDI")</f>
        <v>NALDI</v>
      </c>
      <c r="AQ1084" s="213" t="str">
        <f>IFERROR(__xludf.DUMMYFUNCTION("""COMPUTED_VALUE"""),"Cotizar con listado MAXQI ")</f>
        <v>Cotizar con listado MAXQI </v>
      </c>
      <c r="AR1084" s="213"/>
      <c r="AS1084" s="213"/>
      <c r="AT1084" s="213"/>
      <c r="AU1084" s="213"/>
      <c r="AV1084" s="213"/>
      <c r="AW1084" s="213"/>
      <c r="AX1084" s="213"/>
      <c r="AY1084" s="213"/>
      <c r="AZ1084" s="213"/>
      <c r="BA1084" s="213"/>
      <c r="BB1084" s="213"/>
      <c r="BC1084" s="213"/>
      <c r="BD1084" s="213"/>
    </row>
    <row r="1085">
      <c r="A1085" s="213">
        <f>IFERROR(__xludf.DUMMYFUNCTION("""COMPUTED_VALUE"""),877.0)</f>
        <v>877</v>
      </c>
      <c r="B1085" s="213" t="str">
        <f>IFERROR(__xludf.DUMMYFUNCTION("""COMPUTED_VALUE"""),"6049 RICARDO PALMA")</f>
        <v>6049 RICARDO PALMA</v>
      </c>
      <c r="C1085" s="213" t="str">
        <f>IFERROR(__xludf.DUMMYFUNCTION("""COMPUTED_VALUE"""),"TALLER SFT DE ELECTRICIDAD")</f>
        <v>TALLER SFT DE ELECTRICIDAD</v>
      </c>
      <c r="D1085" s="213" t="str">
        <f>IFERROR(__xludf.DUMMYFUNCTION("""COMPUTED_VALUE"""),"EQUIPOS")</f>
        <v>EQUIPOS</v>
      </c>
      <c r="E1085" s="213" t="str">
        <f>IFERROR(__xludf.DUMMYFUNCTION("""COMPUTED_VALUE"""),"ESP-196")</f>
        <v>ESP-196</v>
      </c>
      <c r="F1085" s="213" t="str">
        <f>IFERROR(__xludf.DUMMYFUNCTION("""COMPUTED_VALUE"""),"ESP-196")</f>
        <v>ESP-196</v>
      </c>
      <c r="G1085" s="213"/>
      <c r="H1085" s="213" t="str">
        <f>IFERROR(__xludf.DUMMYFUNCTION("""COMPUTED_VALUE"""),"KIT DE COMPONENTES COMPLEMENTARIOS")</f>
        <v>KIT DE COMPONENTES COMPLEMENTARIOS</v>
      </c>
      <c r="I1085" s="213" t="str">
        <f>IFERROR(__xludf.DUMMYFUNCTION("""COMPUTED_VALUE"""),"· Debe incluir:
- 5 relé de 5V.
- 5 optoacopladores
- 1 módulo de Sensor de Temperatura y Humedad DHT11.
- 1 módulo de Sensor de Gas MQ5.
- 1 módulo de Sensor de Movimiento PIR.
- 1 micro Servomotor SG90.
- 1 Stepper motor (Motor de paso)
- 1 Buzzer peque"&amp;"ño de 5V (zumbador)
- 1 receptor Infrarojo IR
- 1 circuito integrado ULN2003 Stepper motor
- 1 circuito Integrado 74HC595
- 1 sensor Ultrasonido
- 1 ventilador pequeño de 12V.
- 1 interruptor de inclinación
- 1 display de un dígito de 7 segmentos
- 1 disp"&amp;"lay de cuatro dígitos de 7 segmentos
- 1 pantalla LCD tradicional
- 2 baterías de Litio de 3.7V a 1400 mAH recargable.
- 1 cargador de Batería de Litio Micro USB.
- 1 cable USB para conectar la tarjeta ARDUINO UNO a la PC.
- 1 protoboard
- 65 jumper Alamb"&amp;"re para protoboard.")</f>
        <v>· Debe incluir:
- 5 relé de 5V.
- 5 optoacopladores
- 1 módulo de Sensor de Temperatura y Humedad DHT11.
- 1 módulo de Sensor de Gas MQ5.
- 1 módulo de Sensor de Movimiento PIR.
- 1 micro Servomotor SG90.
- 1 Stepper motor (Motor de paso)
- 1 Buzzer pequeño de 5V (zumbador)
- 1 receptor Infrarojo IR
- 1 circuito integrado ULN2003 Stepper motor
- 1 circuito Integrado 74HC595
- 1 sensor Ultrasonido
- 1 ventilador pequeño de 12V.
- 1 interruptor de inclinación
- 1 display de un dígito de 7 segmentos
- 1 display de cuatro dígitos de 7 segmentos
- 1 pantalla LCD tradicional
- 2 baterías de Litio de 3.7V a 1400 mAH recargable.
- 1 cargador de Batería de Litio Micro USB.
- 1 cable USB para conectar la tarjeta ARDUINO UNO a la PC.
- 1 protoboard
- 65 jumper Alambre para protoboard.</v>
      </c>
      <c r="J1085" s="213">
        <f>IFERROR(__xludf.DUMMYFUNCTION("""COMPUTED_VALUE"""),3.0)</f>
        <v>3</v>
      </c>
      <c r="K1085" s="213" t="str">
        <f>IFERROR(__xludf.DUMMYFUNCTION("""COMPUTED_VALUE"""),"170 DÍAS CALENDARIO")</f>
        <v>170 DÍAS CALENDARIO</v>
      </c>
      <c r="L1085" s="213" t="str">
        <f>IFERROR(__xludf.DUMMYFUNCTION("""COMPUTED_VALUE"""),"")</f>
        <v/>
      </c>
      <c r="M1085" s="213">
        <f>IFERROR(__xludf.DUMMYFUNCTION("""COMPUTED_VALUE"""),1.0)</f>
        <v>1</v>
      </c>
      <c r="N1085" s="213">
        <f>IFERROR(__xludf.DUMMYFUNCTION("""COMPUTED_VALUE"""),4.0)</f>
        <v>4</v>
      </c>
      <c r="O1085" s="213">
        <f>IFERROR(__xludf.DUMMYFUNCTION("""COMPUTED_VALUE"""),4.0)</f>
        <v>4</v>
      </c>
      <c r="P1085" s="213"/>
      <c r="Q1085" s="213"/>
      <c r="R1085" s="213"/>
      <c r="S1085" s="213" t="str">
        <f>IFERROR(__xludf.DUMMYFUNCTION("""COMPUTED_VALUE"""),"SI")</f>
        <v>SI</v>
      </c>
      <c r="T1085" s="213" t="str">
        <f>IFERROR(__xludf.DUMMYFUNCTION("""COMPUTED_VALUE"""),"SI")</f>
        <v>SI</v>
      </c>
      <c r="U1085" s="213" t="str">
        <f>IFERROR(__xludf.DUMMYFUNCTION("""COMPUTED_VALUE"""),"SI")</f>
        <v>SI</v>
      </c>
      <c r="V1085" s="213" t="str">
        <f>IFERROR(__xludf.DUMMYFUNCTION("""COMPUTED_VALUE"""),"-")</f>
        <v>-</v>
      </c>
      <c r="W1085" s="213" t="str">
        <f>IFERROR(__xludf.DUMMYFUNCTION("""COMPUTED_VALUE"""),"-")</f>
        <v>-</v>
      </c>
      <c r="X1085" s="213" t="str">
        <f>IFERROR(__xludf.DUMMYFUNCTION("""COMPUTED_VALUE"""),"MAXQI INTERNATIONAL COMPANY LIMITED")</f>
        <v>MAXQI INTERNATIONAL COMPANY LIMITED</v>
      </c>
      <c r="Y1085" s="213" t="str">
        <f>IFERROR(__xludf.DUMMYFUNCTION("""COMPUTED_VALUE"""),"Varios")</f>
        <v>Varios</v>
      </c>
      <c r="Z1085" s="215" t="str">
        <f>IFERROR(__xludf.DUMMYFUNCTION("""COMPUTED_VALUE"""),"https://drive.google.com/file/d/1pQU39LoIKEVnEm3gAc-pUJxuuoHdBGjz/view?usp=sharing")</f>
        <v>https://drive.google.com/file/d/1pQU39LoIKEVnEm3gAc-pUJxuuoHdBGjz/view?usp=sharing</v>
      </c>
      <c r="AA1085" s="213" t="str">
        <f>IFERROR(__xludf.DUMMYFUNCTION("""COMPUTED_VALUE"""),"ESP-196 KIT DE COMPONENTES COMPLEMENTARIOS - CET")</f>
        <v>ESP-196 KIT DE COMPONENTES COMPLEMENTARIOS - CET</v>
      </c>
      <c r="AB1085" s="213"/>
      <c r="AC1085" s="213"/>
      <c r="AD1085" s="213"/>
      <c r="AE1085" s="213"/>
      <c r="AF1085" s="213"/>
      <c r="AG1085" s="213"/>
      <c r="AH1085" s="213" t="str">
        <f>IFERROR(__xludf.DUMMYFUNCTION("""COMPUTED_VALUE"""),"IMPORTADO")</f>
        <v>IMPORTADO</v>
      </c>
      <c r="AI1085" s="213"/>
      <c r="AJ1085" s="213"/>
      <c r="AK1085" s="213"/>
      <c r="AL1085" s="213"/>
      <c r="AM1085" s="213"/>
      <c r="AN1085" s="213"/>
      <c r="AO1085" s="213"/>
      <c r="AP1085" s="213" t="str">
        <f>IFERROR(__xludf.DUMMYFUNCTION("""COMPUTED_VALUE"""),"NALDI")</f>
        <v>NALDI</v>
      </c>
      <c r="AQ1085" s="213" t="str">
        <f>IFERROR(__xludf.DUMMYFUNCTION("""COMPUTED_VALUE"""),"Cotizar con listado MAXQI ")</f>
        <v>Cotizar con listado MAXQI </v>
      </c>
      <c r="AR1085" s="213"/>
      <c r="AS1085" s="213"/>
      <c r="AT1085" s="213"/>
      <c r="AU1085" s="213"/>
      <c r="AV1085" s="213"/>
      <c r="AW1085" s="213"/>
      <c r="AX1085" s="213"/>
      <c r="AY1085" s="213"/>
      <c r="AZ1085" s="213"/>
      <c r="BA1085" s="213"/>
      <c r="BB1085" s="213"/>
      <c r="BC1085" s="213"/>
      <c r="BD1085" s="213"/>
    </row>
    <row r="1086">
      <c r="A1086" s="213">
        <f>IFERROR(__xludf.DUMMYFUNCTION("""COMPUTED_VALUE"""),1299.0)</f>
        <v>1299</v>
      </c>
      <c r="B1086" s="213" t="str">
        <f>IFERROR(__xludf.DUMMYFUNCTION("""COMPUTED_VALUE"""),"GUILLERMO E. BILLINGHURST ")</f>
        <v>GUILLERMO E. BILLINGHURST </v>
      </c>
      <c r="C1086" s="213" t="str">
        <f>IFERROR(__xludf.DUMMYFUNCTION("""COMPUTED_VALUE"""),"TALLER SFT DE ELECTRICIDAD")</f>
        <v>TALLER SFT DE ELECTRICIDAD</v>
      </c>
      <c r="D1086" s="213" t="str">
        <f>IFERROR(__xludf.DUMMYFUNCTION("""COMPUTED_VALUE"""),"EQUIPOS")</f>
        <v>EQUIPOS</v>
      </c>
      <c r="E1086" s="213" t="str">
        <f>IFERROR(__xludf.DUMMYFUNCTION("""COMPUTED_VALUE"""),"ESP-196")</f>
        <v>ESP-196</v>
      </c>
      <c r="F1086" s="213" t="str">
        <f>IFERROR(__xludf.DUMMYFUNCTION("""COMPUTED_VALUE"""),"ESP-196")</f>
        <v>ESP-196</v>
      </c>
      <c r="G1086" s="213"/>
      <c r="H1086" s="213" t="str">
        <f>IFERROR(__xludf.DUMMYFUNCTION("""COMPUTED_VALUE"""),"KIT DE COMPONENTES COMPLEMENTARIOS")</f>
        <v>KIT DE COMPONENTES COMPLEMENTARIOS</v>
      </c>
      <c r="I1086" s="213" t="str">
        <f>IFERROR(__xludf.DUMMYFUNCTION("""COMPUTED_VALUE"""),"· Debe incluir:
- 5 relé de 5V.
- 5 optoacopladores
- 1 módulo de Sensor de Temperatura y Humedad DHT11.
- 1 módulo de Sensor de Gas MQ5.
- 1 módulo de Sensor de Movimiento PIR.
- 1 micro Servomotor SG90.
- 1 Stepper motor (Motor de paso)
- 1 Buzzer peque"&amp;"ño de 5V (zumbador)
- 1 receptor Infrarojo IR
- 1 circuito integrado ULN2003 Stepper motor
- 1 circuito Integrado 74HC595
- 1 sensor Ultrasonido
- 1 ventilador pequeño de 12V.
- 1 interruptor de inclinación
- 1 display de un dígito de 7 segmentos
- 1 disp"&amp;"lay de cuatro dígitos de 7 segmentos
- 1 pantalla LCD tradicional
- 2 baterías de Litio de 3.7V a 1400 mAH recargable.
- 1 cargador de Batería de Litio Micro USB.
- 1 cable USB para conectar la tarjeta ARDUINO UNO a la PC.
- 1 protoboard
- 65 jumper Alamb"&amp;"re para protoboard.")</f>
        <v>· Debe incluir:
- 5 relé de 5V.
- 5 optoacopladores
- 1 módulo de Sensor de Temperatura y Humedad DHT11.
- 1 módulo de Sensor de Gas MQ5.
- 1 módulo de Sensor de Movimiento PIR.
- 1 micro Servomotor SG90.
- 1 Stepper motor (Motor de paso)
- 1 Buzzer pequeño de 5V (zumbador)
- 1 receptor Infrarojo IR
- 1 circuito integrado ULN2003 Stepper motor
- 1 circuito Integrado 74HC595
- 1 sensor Ultrasonido
- 1 ventilador pequeño de 12V.
- 1 interruptor de inclinación
- 1 display de un dígito de 7 segmentos
- 1 display de cuatro dígitos de 7 segmentos
- 1 pantalla LCD tradicional
- 2 baterías de Litio de 3.7V a 1400 mAH recargable.
- 1 cargador de Batería de Litio Micro USB.
- 1 cable USB para conectar la tarjeta ARDUINO UNO a la PC.
- 1 protoboard
- 65 jumper Alambre para protoboard.</v>
      </c>
      <c r="J1086" s="213">
        <f>IFERROR(__xludf.DUMMYFUNCTION("""COMPUTED_VALUE"""),3.0)</f>
        <v>3</v>
      </c>
      <c r="K1086" s="213" t="str">
        <f>IFERROR(__xludf.DUMMYFUNCTION("""COMPUTED_VALUE"""),"170 DÍAS CALENDARIO")</f>
        <v>170 DÍAS CALENDARIO</v>
      </c>
      <c r="L1086" s="213" t="str">
        <f>IFERROR(__xludf.DUMMYFUNCTION("""COMPUTED_VALUE"""),"")</f>
        <v/>
      </c>
      <c r="M1086" s="213">
        <f>IFERROR(__xludf.DUMMYFUNCTION("""COMPUTED_VALUE"""),1.0)</f>
        <v>1</v>
      </c>
      <c r="N1086" s="213">
        <f>IFERROR(__xludf.DUMMYFUNCTION("""COMPUTED_VALUE"""),4.0)</f>
        <v>4</v>
      </c>
      <c r="O1086" s="213">
        <f>IFERROR(__xludf.DUMMYFUNCTION("""COMPUTED_VALUE"""),4.0)</f>
        <v>4</v>
      </c>
      <c r="P1086" s="213"/>
      <c r="Q1086" s="213"/>
      <c r="R1086" s="213"/>
      <c r="S1086" s="213" t="str">
        <f>IFERROR(__xludf.DUMMYFUNCTION("""COMPUTED_VALUE"""),"SI")</f>
        <v>SI</v>
      </c>
      <c r="T1086" s="213" t="str">
        <f>IFERROR(__xludf.DUMMYFUNCTION("""COMPUTED_VALUE"""),"SI")</f>
        <v>SI</v>
      </c>
      <c r="U1086" s="213" t="str">
        <f>IFERROR(__xludf.DUMMYFUNCTION("""COMPUTED_VALUE"""),"SI")</f>
        <v>SI</v>
      </c>
      <c r="V1086" s="213" t="str">
        <f>IFERROR(__xludf.DUMMYFUNCTION("""COMPUTED_VALUE"""),"-")</f>
        <v>-</v>
      </c>
      <c r="W1086" s="213" t="str">
        <f>IFERROR(__xludf.DUMMYFUNCTION("""COMPUTED_VALUE"""),"-")</f>
        <v>-</v>
      </c>
      <c r="X1086" s="213" t="str">
        <f>IFERROR(__xludf.DUMMYFUNCTION("""COMPUTED_VALUE"""),"MAXQI INTERNATIONAL COMPANY LIMITED")</f>
        <v>MAXQI INTERNATIONAL COMPANY LIMITED</v>
      </c>
      <c r="Y1086" s="213" t="str">
        <f>IFERROR(__xludf.DUMMYFUNCTION("""COMPUTED_VALUE"""),"Varios")</f>
        <v>Varios</v>
      </c>
      <c r="Z1086" s="215" t="str">
        <f>IFERROR(__xludf.DUMMYFUNCTION("""COMPUTED_VALUE"""),"https://drive.google.com/file/d/1pQU39LoIKEVnEm3gAc-pUJxuuoHdBGjz/view?usp=sharing")</f>
        <v>https://drive.google.com/file/d/1pQU39LoIKEVnEm3gAc-pUJxuuoHdBGjz/view?usp=sharing</v>
      </c>
      <c r="AA1086" s="213" t="str">
        <f>IFERROR(__xludf.DUMMYFUNCTION("""COMPUTED_VALUE"""),"ESP-196 KIT DE COMPONENTES COMPLEMENTARIOS - CET")</f>
        <v>ESP-196 KIT DE COMPONENTES COMPLEMENTARIOS - CET</v>
      </c>
      <c r="AB1086" s="213"/>
      <c r="AC1086" s="213"/>
      <c r="AD1086" s="213"/>
      <c r="AE1086" s="213"/>
      <c r="AF1086" s="213"/>
      <c r="AG1086" s="213"/>
      <c r="AH1086" s="213" t="str">
        <f>IFERROR(__xludf.DUMMYFUNCTION("""COMPUTED_VALUE"""),"IMPORTADO")</f>
        <v>IMPORTADO</v>
      </c>
      <c r="AI1086" s="213"/>
      <c r="AJ1086" s="213"/>
      <c r="AK1086" s="213"/>
      <c r="AL1086" s="213"/>
      <c r="AM1086" s="213"/>
      <c r="AN1086" s="213"/>
      <c r="AO1086" s="213"/>
      <c r="AP1086" s="213" t="str">
        <f>IFERROR(__xludf.DUMMYFUNCTION("""COMPUTED_VALUE"""),"NALDI")</f>
        <v>NALDI</v>
      </c>
      <c r="AQ1086" s="213" t="str">
        <f>IFERROR(__xludf.DUMMYFUNCTION("""COMPUTED_VALUE"""),"Cotizar con listado MAXQI ")</f>
        <v>Cotizar con listado MAXQI </v>
      </c>
      <c r="AR1086" s="213"/>
      <c r="AS1086" s="213"/>
      <c r="AT1086" s="213"/>
      <c r="AU1086" s="213"/>
      <c r="AV1086" s="213"/>
      <c r="AW1086" s="213"/>
      <c r="AX1086" s="213"/>
      <c r="AY1086" s="213"/>
      <c r="AZ1086" s="213"/>
      <c r="BA1086" s="213"/>
      <c r="BB1086" s="213"/>
      <c r="BC1086" s="213"/>
      <c r="BD1086" s="213"/>
    </row>
    <row r="1087">
      <c r="A1087" s="213">
        <f>IFERROR(__xludf.DUMMYFUNCTION("""COMPUTED_VALUE"""),2365.0)</f>
        <v>2365</v>
      </c>
      <c r="B1087" s="213" t="str">
        <f>IFERROR(__xludf.DUMMYFUNCTION("""COMPUTED_VALUE"""),"MANUEL ANTONIO MESONES MURO")</f>
        <v>MANUEL ANTONIO MESONES MURO</v>
      </c>
      <c r="C1087" s="213" t="str">
        <f>IFERROR(__xludf.DUMMYFUNCTION("""COMPUTED_VALUE"""),"TALLER SFT DE INDUSTRIA DEL VESTIDO")</f>
        <v>TALLER SFT DE INDUSTRIA DEL VESTIDO</v>
      </c>
      <c r="D1087" s="213" t="str">
        <f>IFERROR(__xludf.DUMMYFUNCTION("""COMPUTED_VALUE"""),"HERRAMIENTAS")</f>
        <v>HERRAMIENTAS</v>
      </c>
      <c r="E1087" s="213" t="str">
        <f>IFERROR(__xludf.DUMMYFUNCTION("""COMPUTED_VALUE"""),"MAT-123")</f>
        <v>MAT-123</v>
      </c>
      <c r="F1087" s="213" t="str">
        <f>IFERROR(__xludf.DUMMYFUNCTION("""COMPUTED_VALUE"""),"MAT-123-X")</f>
        <v>MAT-123-X</v>
      </c>
      <c r="G1087" s="213"/>
      <c r="H1087" s="213" t="str">
        <f>IFERROR(__xludf.DUMMYFUNCTION("""COMPUTED_VALUE"""),"BOTIQUÍN")</f>
        <v>BOTIQUÍN</v>
      </c>
      <c r="I1087" s="213" t="str">
        <f>IFERROR(__xludf.DUMMYFUNCTION("""COMPUTED_VALUE"""),"· Contiene materiales para curar heridas, controlar hemorragias, limpiar, cubrir quemaduras o zonas expuestas, y prevenir la contaminación e infección.
Estos son:
- 01 caja x 20 unid. Gasas esterilizadas (10×10 cm).
- Una venda elástica 4"" x 5 yd, y una "&amp;"venda elástica 2"" x 5 yd, con sus seguros.
- 01 esparadrapo de 2.5 cm x 5 yd.
- 02 Guantes quirúrgicos.
- 01 caja de 100 curitas.
- 06 bajalenguas.
- 01 jabón antiséptico.
- 01 termómetro.
- 01 paquete de algodón de 20 g.
- 01 Tijera punta roma de 5"", m"&amp;"ango de plástico.
- 01 botella de alcohol de 250 ml.
- 01 botella de agua oxigenada de 250 ml.
· Dimensiones: 30cm x 25cm x 10cm, con divisiones para guardar los medicamentos.")</f>
        <v>· Contiene materiales para curar heridas, controlar hemorragias, limpiar, cubrir quemaduras o zonas expuestas, y prevenir la contaminación e infección.
Estos son:
- 01 caja x 20 unid. Gasas esterilizadas (10×10 cm).
- Una venda elástica 4" x 5 yd, y una venda elástica 2" x 5 yd, con sus seguros.
- 01 esparadrapo de 2.5 cm x 5 yd.
- 02 Guantes quirúrgicos.
- 01 caja de 100 curitas.
- 06 bajalenguas.
- 01 jabón antiséptico.
- 01 termómetro.
- 01 paquete de algodón de 20 g.
- 01 Tijera punta roma de 5", mango de plástico.
- 01 botella de alcohol de 250 ml.
- 01 botella de agua oxigenada de 250 ml.
· Dimensiones: 30cm x 25cm x 10cm, con divisiones para guardar los medicamentos.</v>
      </c>
      <c r="J1087" s="213">
        <f>IFERROR(__xludf.DUMMYFUNCTION("""COMPUTED_VALUE"""),3.0)</f>
        <v>3</v>
      </c>
      <c r="K1087" s="213" t="str">
        <f>IFERROR(__xludf.DUMMYFUNCTION("""COMPUTED_VALUE"""),"90 DÍAS CALENDARIO")</f>
        <v>90 DÍAS CALENDARIO</v>
      </c>
      <c r="L1087"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87" s="213">
        <f>IFERROR(__xludf.DUMMYFUNCTION("""COMPUTED_VALUE"""),1.0)</f>
        <v>1</v>
      </c>
      <c r="N1087" s="213">
        <f>IFERROR(__xludf.DUMMYFUNCTION("""COMPUTED_VALUE"""),1.0)</f>
        <v>1</v>
      </c>
      <c r="O1087" s="213">
        <f>IFERROR(__xludf.DUMMYFUNCTION("""COMPUTED_VALUE"""),1.0)</f>
        <v>1</v>
      </c>
      <c r="P1087" s="213"/>
      <c r="Q1087" s="213"/>
      <c r="R1087" s="213"/>
      <c r="S1087" s="213"/>
      <c r="T1087" s="213" t="str">
        <f>IFERROR(__xludf.DUMMYFUNCTION("""COMPUTED_VALUE"""),"CONSULTA FINAL")</f>
        <v>CONSULTA FINAL</v>
      </c>
      <c r="U1087" s="213"/>
      <c r="V1087" s="213"/>
      <c r="W1087" s="213"/>
      <c r="X1087" s="213"/>
      <c r="Y1087" s="213" t="str">
        <f>IFERROR(__xludf.DUMMYFUNCTION("""COMPUTED_VALUE"""),"A MEDIDA")</f>
        <v>A MEDIDA</v>
      </c>
      <c r="Z1087" s="213"/>
      <c r="AA1087" s="213" t="str">
        <f>IFERROR(__xludf.DUMMYFUNCTION("""COMPUTED_VALUE"""),"MAT-123 BOTIQUÍN-X - CET")</f>
        <v>MAT-123 BOTIQUÍN-X - CET</v>
      </c>
      <c r="AB1087" s="213"/>
      <c r="AC1087" s="213"/>
      <c r="AD1087" s="213"/>
      <c r="AE1087" s="213"/>
      <c r="AF1087" s="213"/>
      <c r="AG1087" s="213"/>
      <c r="AH1087" s="213"/>
      <c r="AI1087" s="213"/>
      <c r="AJ1087" s="213"/>
      <c r="AK1087" s="213"/>
      <c r="AL1087" s="213"/>
      <c r="AM1087" s="213"/>
      <c r="AN1087" s="213"/>
      <c r="AO1087" s="213"/>
      <c r="AP1087" s="213" t="str">
        <f>IFERROR(__xludf.DUMMYFUNCTION("""COMPUTED_VALUE"""),"BRUNO")</f>
        <v>BRUNO</v>
      </c>
      <c r="AQ1087" s="213"/>
      <c r="AR1087" s="213"/>
      <c r="AS1087" s="213"/>
      <c r="AT1087" s="213"/>
      <c r="AU1087" s="213"/>
      <c r="AV1087" s="213"/>
      <c r="AW1087" s="213"/>
      <c r="AX1087" s="213"/>
      <c r="AY1087" s="213"/>
      <c r="AZ1087" s="213"/>
      <c r="BA1087" s="213"/>
      <c r="BB1087" s="213"/>
      <c r="BC1087" s="213"/>
      <c r="BD1087" s="213"/>
    </row>
    <row r="1088">
      <c r="A1088" s="213">
        <f>IFERROR(__xludf.DUMMYFUNCTION("""COMPUTED_VALUE"""),2373.0)</f>
        <v>2373</v>
      </c>
      <c r="B1088" s="213" t="str">
        <f>IFERROR(__xludf.DUMMYFUNCTION("""COMPUTED_VALUE"""),"MANUEL ANTONIO MESONES MURO")</f>
        <v>MANUEL ANTONIO MESONES MURO</v>
      </c>
      <c r="C1088" s="213" t="str">
        <f>IFERROR(__xludf.DUMMYFUNCTION("""COMPUTED_VALUE"""),"TALLER SFT DE INDUSTRIA DEL VESTIDO")</f>
        <v>TALLER SFT DE INDUSTRIA DEL VESTIDO</v>
      </c>
      <c r="D1088" s="213" t="str">
        <f>IFERROR(__xludf.DUMMYFUNCTION("""COMPUTED_VALUE"""),"HERRAMIENTAS")</f>
        <v>HERRAMIENTAS</v>
      </c>
      <c r="E1088" s="213" t="str">
        <f>IFERROR(__xludf.DUMMYFUNCTION("""COMPUTED_VALUE"""),"MAT-123")</f>
        <v>MAT-123</v>
      </c>
      <c r="F1088" s="213" t="str">
        <f>IFERROR(__xludf.DUMMYFUNCTION("""COMPUTED_VALUE"""),"MAT-123-X")</f>
        <v>MAT-123-X</v>
      </c>
      <c r="G1088" s="213"/>
      <c r="H1088" s="213" t="str">
        <f>IFERROR(__xludf.DUMMYFUNCTION("""COMPUTED_VALUE"""),"BOTIQUÍN")</f>
        <v>BOTIQUÍN</v>
      </c>
      <c r="I1088" s="213" t="str">
        <f>IFERROR(__xludf.DUMMYFUNCTION("""COMPUTED_VALUE"""),"· Contiene materiales para curar heridas, controlar hemorragias, limpiar, cubrir quemaduras o zonas expuestas, y prevenir la contaminación e infección.
Estos son:
- 01 caja x 20 unid. Gasas esterilizadas (10×10 cm).
- Una venda elástica 4"" x 5 yd, y una "&amp;"venda elástica 2"" x 5 yd, con sus seguros.
- 01 esparadrapo de 2.5 cm x 5 yd.
- 02 Guantes quirúrgicos.
- 01 caja de 100 curitas.
- 06 bajalenguas.
- 01 jabón antiséptico.
- 01 termómetro.
- 01 paquete de algodón de 20 g.
- 01 Tijera punta roma de 5"", m"&amp;"ango de plástico.
- 01 botella de alcohol de 250 ml.
- 01 botella de agua oxigenada de 250 ml.
· Dimensiones: 30cm x 25cm x 10cm, con divisiones para guardar los medicamentos.")</f>
        <v>· Contiene materiales para curar heridas, controlar hemorragias, limpiar, cubrir quemaduras o zonas expuestas, y prevenir la contaminación e infección.
Estos son:
- 01 caja x 20 unid. Gasas esterilizadas (10×10 cm).
- Una venda elástica 4" x 5 yd, y una venda elástica 2" x 5 yd, con sus seguros.
- 01 esparadrapo de 2.5 cm x 5 yd.
- 02 Guantes quirúrgicos.
- 01 caja de 100 curitas.
- 06 bajalenguas.
- 01 jabón antiséptico.
- 01 termómetro.
- 01 paquete de algodón de 20 g.
- 01 Tijera punta roma de 5", mango de plástico.
- 01 botella de alcohol de 250 ml.
- 01 botella de agua oxigenada de 250 ml.
· Dimensiones: 30cm x 25cm x 10cm, con divisiones para guardar los medicamentos.</v>
      </c>
      <c r="J1088" s="213">
        <f>IFERROR(__xludf.DUMMYFUNCTION("""COMPUTED_VALUE"""),3.0)</f>
        <v>3</v>
      </c>
      <c r="K1088" s="213" t="str">
        <f>IFERROR(__xludf.DUMMYFUNCTION("""COMPUTED_VALUE"""),"90 DÍAS CALENDARIO")</f>
        <v>90 DÍAS CALENDARIO</v>
      </c>
      <c r="L1088"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88" s="213">
        <f>IFERROR(__xludf.DUMMYFUNCTION("""COMPUTED_VALUE"""),1.0)</f>
        <v>1</v>
      </c>
      <c r="N1088" s="213">
        <f>IFERROR(__xludf.DUMMYFUNCTION("""COMPUTED_VALUE"""),1.0)</f>
        <v>1</v>
      </c>
      <c r="O1088" s="213">
        <f>IFERROR(__xludf.DUMMYFUNCTION("""COMPUTED_VALUE"""),1.0)</f>
        <v>1</v>
      </c>
      <c r="P1088" s="213"/>
      <c r="Q1088" s="213"/>
      <c r="R1088" s="213"/>
      <c r="S1088" s="213"/>
      <c r="T1088" s="213" t="str">
        <f>IFERROR(__xludf.DUMMYFUNCTION("""COMPUTED_VALUE"""),"CONSULTA FINAL")</f>
        <v>CONSULTA FINAL</v>
      </c>
      <c r="U1088" s="213"/>
      <c r="V1088" s="213"/>
      <c r="W1088" s="213"/>
      <c r="X1088" s="213"/>
      <c r="Y1088" s="213" t="str">
        <f>IFERROR(__xludf.DUMMYFUNCTION("""COMPUTED_VALUE"""),"A MEDIDA")</f>
        <v>A MEDIDA</v>
      </c>
      <c r="Z1088" s="213"/>
      <c r="AA1088" s="213" t="str">
        <f>IFERROR(__xludf.DUMMYFUNCTION("""COMPUTED_VALUE"""),"MAT-123 BOTIQUÍN-X - CET")</f>
        <v>MAT-123 BOTIQUÍN-X - CET</v>
      </c>
      <c r="AB1088" s="213"/>
      <c r="AC1088" s="213"/>
      <c r="AD1088" s="213"/>
      <c r="AE1088" s="213"/>
      <c r="AF1088" s="213"/>
      <c r="AG1088" s="213"/>
      <c r="AH1088" s="213"/>
      <c r="AI1088" s="213"/>
      <c r="AJ1088" s="213"/>
      <c r="AK1088" s="213"/>
      <c r="AL1088" s="213"/>
      <c r="AM1088" s="213"/>
      <c r="AN1088" s="213"/>
      <c r="AO1088" s="213"/>
      <c r="AP1088" s="213" t="str">
        <f>IFERROR(__xludf.DUMMYFUNCTION("""COMPUTED_VALUE"""),"BRUNO")</f>
        <v>BRUNO</v>
      </c>
      <c r="AQ1088" s="213"/>
      <c r="AR1088" s="213"/>
      <c r="AS1088" s="213"/>
      <c r="AT1088" s="213"/>
      <c r="AU1088" s="213"/>
      <c r="AV1088" s="213"/>
      <c r="AW1088" s="213"/>
      <c r="AX1088" s="213"/>
      <c r="AY1088" s="213"/>
      <c r="AZ1088" s="213"/>
      <c r="BA1088" s="213"/>
      <c r="BB1088" s="213"/>
      <c r="BC1088" s="213"/>
      <c r="BD1088" s="213"/>
    </row>
    <row r="1089">
      <c r="A1089" s="213">
        <f>IFERROR(__xludf.DUMMYFUNCTION("""COMPUTED_VALUE"""),2528.0)</f>
        <v>2528</v>
      </c>
      <c r="B1089" s="213" t="str">
        <f>IFERROR(__xludf.DUMMYFUNCTION("""COMPUTED_VALUE"""),"MANUEL ANTONIO MESONES MURO")</f>
        <v>MANUEL ANTONIO MESONES MURO</v>
      </c>
      <c r="C1089" s="213" t="str">
        <f>IFERROR(__xludf.DUMMYFUNCTION("""COMPUTED_VALUE"""),"TALLER SFT DE CONSTRUCCIONES METÁLICAS")</f>
        <v>TALLER SFT DE CONSTRUCCIONES METÁLICAS</v>
      </c>
      <c r="D1089" s="213" t="str">
        <f>IFERROR(__xludf.DUMMYFUNCTION("""COMPUTED_VALUE"""),"PEDAGOGICO")</f>
        <v>PEDAGOGICO</v>
      </c>
      <c r="E1089" s="213" t="str">
        <f>IFERROR(__xludf.DUMMYFUNCTION("""COMPUTED_VALUE"""),"MAT-375")</f>
        <v>MAT-375</v>
      </c>
      <c r="F1089" s="213" t="str">
        <f>IFERROR(__xludf.DUMMYFUNCTION("""COMPUTED_VALUE"""),"KEFF-03")</f>
        <v>KEFF-03</v>
      </c>
      <c r="G1089" s="213"/>
      <c r="H1089" s="213" t="str">
        <f>IFERROR(__xludf.DUMMYFUNCTION("""COMPUTED_VALUE"""),"MANUAL PEDAGÓGICO PARA IDENTIFICAR NECESIDADES Y PROBLEMAS UTILIZANDO LOS EQUIPOS")</f>
        <v>MANUAL PEDAGÓGICO PARA IDENTIFICAR NECESIDADES Y PROBLEMAS UTILIZANDO LOS EQUIPOS</v>
      </c>
      <c r="I108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"&amp;"bond de 75		
gramos de 80% de blancura como mínimo.		
· Tamaño: como mínimo 21 x 29,7 cm		
· Tipo de Encuadernación: caballete con 2 grapas cuando sea menos de 80 páginas y encolado cuando sea		
más de 80 páginas.		
· Contenido que presenta:		
- Descripci"&amp;"ón de los tipos de mantenimiento que requiere cada equipo.		
- Descripción de los materiales que se requiere para su mantenimiento.		
· Descripción de los procedimientos para realizar el mantenimiento preventivo de cada equipo.		")</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		</v>
      </c>
      <c r="J1089" s="213">
        <f>IFERROR(__xludf.DUMMYFUNCTION("""COMPUTED_VALUE"""),3.0)</f>
        <v>3</v>
      </c>
      <c r="K1089" s="213" t="str">
        <f>IFERROR(__xludf.DUMMYFUNCTION("""COMPUTED_VALUE"""),"170 DÍAS CALENDARIO")</f>
        <v>170 DÍAS CALENDARIO</v>
      </c>
      <c r="L1089" s="213" t="str">
        <f>IFERROR(__xludf.DUMMYFUNCTION("""COMPUTED_VALUE"""),"")</f>
        <v/>
      </c>
      <c r="M1089" s="213">
        <f>IFERROR(__xludf.DUMMYFUNCTION("""COMPUTED_VALUE"""),1.0)</f>
        <v>1</v>
      </c>
      <c r="N1089" s="213">
        <f>IFERROR(__xludf.DUMMYFUNCTION("""COMPUTED_VALUE"""),2.0)</f>
        <v>2</v>
      </c>
      <c r="O1089" s="213">
        <f>IFERROR(__xludf.DUMMYFUNCTION("""COMPUTED_VALUE"""),2.0)</f>
        <v>2</v>
      </c>
      <c r="P1089" s="213"/>
      <c r="Q1089" s="213"/>
      <c r="R1089" s="213"/>
      <c r="S1089" s="213"/>
      <c r="T1089" s="213"/>
      <c r="U1089" s="213"/>
      <c r="V1089" s="213"/>
      <c r="W1089" s="213"/>
      <c r="X1089" s="213"/>
      <c r="Y1089" s="213"/>
      <c r="Z1089" s="213"/>
      <c r="AA1089" s="213"/>
      <c r="AB1089" s="213"/>
      <c r="AC1089" s="213"/>
      <c r="AD1089" s="213"/>
      <c r="AE1089" s="213"/>
      <c r="AF1089" s="213"/>
      <c r="AG1089" s="213"/>
      <c r="AH1089" s="213"/>
      <c r="AI1089" s="213"/>
      <c r="AJ1089" s="213"/>
      <c r="AK1089" s="213"/>
      <c r="AL1089" s="213"/>
      <c r="AM1089" s="213"/>
      <c r="AN1089" s="213"/>
      <c r="AO1089" s="213"/>
      <c r="AP1089" s="213"/>
      <c r="AQ1089" s="213"/>
      <c r="AR1089" s="213"/>
      <c r="AS1089" s="213"/>
      <c r="AT1089" s="213"/>
      <c r="AU1089" s="213"/>
      <c r="AV1089" s="213"/>
      <c r="AW1089" s="213"/>
      <c r="AX1089" s="213"/>
      <c r="AY1089" s="213"/>
      <c r="AZ1089" s="213"/>
      <c r="BA1089" s="213"/>
      <c r="BB1089" s="213"/>
      <c r="BC1089" s="213"/>
      <c r="BD1089" s="213"/>
    </row>
    <row r="1090">
      <c r="A1090" s="213">
        <f>IFERROR(__xludf.DUMMYFUNCTION("""COMPUTED_VALUE"""),2550.0)</f>
        <v>2550</v>
      </c>
      <c r="B1090" s="213" t="str">
        <f>IFERROR(__xludf.DUMMYFUNCTION("""COMPUTED_VALUE"""),"MANUEL ANTONIO MESONES MURO")</f>
        <v>MANUEL ANTONIO MESONES MURO</v>
      </c>
      <c r="C1090" s="213" t="str">
        <f>IFERROR(__xludf.DUMMYFUNCTION("""COMPUTED_VALUE"""),"TALLER SFT DE EBANISTERÍA")</f>
        <v>TALLER SFT DE EBANISTERÍA</v>
      </c>
      <c r="D1090" s="213" t="str">
        <f>IFERROR(__xludf.DUMMYFUNCTION("""COMPUTED_VALUE"""),"HERRAMIENTAS")</f>
        <v>HERRAMIENTAS</v>
      </c>
      <c r="E1090" s="213" t="str">
        <f>IFERROR(__xludf.DUMMYFUNCTION("""COMPUTED_VALUE"""),"MAT-123")</f>
        <v>MAT-123</v>
      </c>
      <c r="F1090" s="213" t="str">
        <f>IFERROR(__xludf.DUMMYFUNCTION("""COMPUTED_VALUE"""),"MAT-123-X")</f>
        <v>MAT-123-X</v>
      </c>
      <c r="G1090" s="213"/>
      <c r="H1090" s="213" t="str">
        <f>IFERROR(__xludf.DUMMYFUNCTION("""COMPUTED_VALUE"""),"BOTIQUÍN")</f>
        <v>BOTIQUÍN</v>
      </c>
      <c r="I1090" s="213" t="str">
        <f>IFERROR(__xludf.DUMMYFUNCTION("""COMPUTED_VALUE"""),"El Botiquín contiene materiales para curar heridas, controlar hemorragias, limpiar, cubrir quemaduras o zonas expuestas, y prevenir la contaminación e infección. Estos son:
01 caja x 20 unid. gasas esterilizadas (10×10 cm).
Una venda elástica 4"" x 5 yd, "&amp;"y una venda elástica 2"" x 5 yd, con sus seguros. 01 esparadrapo de 2.5 cm x 5 yd.
02 Guantes quirúrgicos.
01 caja de 100 curitas.
06 bajalenguas.
01 jabón antiséptico.
01 termómetro.
01 paquete de algodón de 20 g.
01 Tijera punta roma de 5"", mango de pl"&amp;"ástico. 01 botella de alcohol de 250 ml.
01 botella de agua oxigenada de 250 ml.
Dimensiones: 30 x 25 x 10 cm, con divisiones para guardar los medicamentos.")</f>
        <v>El Botiquín contiene materiales para curar heridas, controlar hemorragias, limpiar, cubrir quemaduras o zonas expuestas, y prevenir la contaminación e infección. Estos son:
01 caja x 20 unid. gasas esterilizadas (10×10 cm).
Una venda elástica 4" x 5 yd, y una venda elástica 2" x 5 yd, con sus seguros. 01 esparadrapo de 2.5 cm x 5 yd.
02 Guantes quirúrgicos.
01 caja de 100 curitas.
06 bajalenguas.
01 jabón antiséptico.
01 termómetro.
01 paquete de algodón de 20 g.
01 Tijera punta roma de 5", mango de plástico. 01 botella de alcohol de 250 ml.
01 botella de agua oxigenada de 250 ml.
Dimensiones: 30 x 25 x 10 cm, con divisiones para guardar los medicamentos.</v>
      </c>
      <c r="J1090" s="213">
        <f>IFERROR(__xludf.DUMMYFUNCTION("""COMPUTED_VALUE"""),3.0)</f>
        <v>3</v>
      </c>
      <c r="K1090" s="213" t="str">
        <f>IFERROR(__xludf.DUMMYFUNCTION("""COMPUTED_VALUE"""),"90 DÍAS CALENDARIO")</f>
        <v>90 DÍAS CALENDARIO</v>
      </c>
      <c r="L1090" s="213" t="str">
        <f>IFERROR(__xludf.DUMMYFUNCTION("""COMPUTED_VALUE"""),"COCINA Y REPOSTERÍA, COMPUTACIÓN E INFORMÁTICA, CONSTRUCCIONES METÁLICAS, EBANISTERÍA, ELECTRICIDAD, INDUSTRIA ALIMENTARIA, INDUSTRIA DEL VESTIDO, MECÁNICA AUTOMOTRÍZ")</f>
        <v>COCINA Y REPOSTERÍA, COMPUTACIÓN E INFORMÁTICA, CONSTRUCCIONES METÁLICAS, EBANISTERÍA, ELECTRICIDAD, INDUSTRIA ALIMENTARIA, INDUSTRIA DEL VESTIDO, MECÁNICA AUTOMOTRÍZ</v>
      </c>
      <c r="M1090" s="213">
        <f>IFERROR(__xludf.DUMMYFUNCTION("""COMPUTED_VALUE"""),1.0)</f>
        <v>1</v>
      </c>
      <c r="N1090" s="213">
        <f>IFERROR(__xludf.DUMMYFUNCTION("""COMPUTED_VALUE"""),1.0)</f>
        <v>1</v>
      </c>
      <c r="O1090" s="213">
        <f>IFERROR(__xludf.DUMMYFUNCTION("""COMPUTED_VALUE"""),1.0)</f>
        <v>1</v>
      </c>
      <c r="P1090" s="213"/>
      <c r="Q1090" s="213"/>
      <c r="R1090" s="213"/>
      <c r="S1090" s="213"/>
      <c r="T1090" s="213" t="str">
        <f>IFERROR(__xludf.DUMMYFUNCTION("""COMPUTED_VALUE"""),"CONSULTA FINAL")</f>
        <v>CONSULTA FINAL</v>
      </c>
      <c r="U1090" s="213"/>
      <c r="V1090" s="213"/>
      <c r="W1090" s="213"/>
      <c r="X1090" s="213"/>
      <c r="Y1090" s="213" t="str">
        <f>IFERROR(__xludf.DUMMYFUNCTION("""COMPUTED_VALUE"""),"A MEDIDA")</f>
        <v>A MEDIDA</v>
      </c>
      <c r="Z1090" s="213"/>
      <c r="AA1090" s="213" t="str">
        <f>IFERROR(__xludf.DUMMYFUNCTION("""COMPUTED_VALUE"""),"MAT-123 BOTIQUÍN-X - CET")</f>
        <v>MAT-123 BOTIQUÍN-X - CET</v>
      </c>
      <c r="AB1090" s="213"/>
      <c r="AC1090" s="213"/>
      <c r="AD1090" s="213"/>
      <c r="AE1090" s="213"/>
      <c r="AF1090" s="213"/>
      <c r="AG1090" s="213"/>
      <c r="AH1090" s="213"/>
      <c r="AI1090" s="213"/>
      <c r="AJ1090" s="213"/>
      <c r="AK1090" s="213"/>
      <c r="AL1090" s="213"/>
      <c r="AM1090" s="213"/>
      <c r="AN1090" s="213"/>
      <c r="AO1090" s="213"/>
      <c r="AP1090" s="213" t="str">
        <f>IFERROR(__xludf.DUMMYFUNCTION("""COMPUTED_VALUE"""),"BRUNO")</f>
        <v>BRUNO</v>
      </c>
      <c r="AQ1090" s="213"/>
      <c r="AR1090" s="213"/>
      <c r="AS1090" s="213"/>
      <c r="AT1090" s="213"/>
      <c r="AU1090" s="213"/>
      <c r="AV1090" s="213"/>
      <c r="AW1090" s="213"/>
      <c r="AX1090" s="213"/>
      <c r="AY1090" s="213"/>
      <c r="AZ1090" s="213"/>
      <c r="BA1090" s="213"/>
      <c r="BB1090" s="213"/>
      <c r="BC1090" s="213"/>
      <c r="BD1090" s="213"/>
    </row>
    <row r="1091">
      <c r="A1091" s="213">
        <f>IFERROR(__xludf.DUMMYFUNCTION("""COMPUTED_VALUE"""),226.0)</f>
        <v>226</v>
      </c>
      <c r="B1091" s="213" t="str">
        <f>IFERROR(__xludf.DUMMYFUNCTION("""COMPUTED_VALUE"""),"2026 SIMON BOLIVAR")</f>
        <v>2026 SIMON BOLIVAR</v>
      </c>
      <c r="C1091" s="213" t="str">
        <f>IFERROR(__xludf.DUMMYFUNCTION("""COMPUTED_VALUE"""),"TALLER SFT DE INDUSTRIA DEL VESTIDO")</f>
        <v>TALLER SFT DE INDUSTRIA DEL VESTIDO</v>
      </c>
      <c r="D1091" s="213" t="str">
        <f>IFERROR(__xludf.DUMMYFUNCTION("""COMPUTED_VALUE"""),"HERRAMIENTAS")</f>
        <v>HERRAMIENTAS</v>
      </c>
      <c r="E1091" s="213" t="str">
        <f>IFERROR(__xludf.DUMMYFUNCTION("""COMPUTED_VALUE"""),"MAT-124")</f>
        <v>MAT-124</v>
      </c>
      <c r="F1091" s="213" t="str">
        <f>IFERROR(__xludf.DUMMYFUNCTION("""COMPUTED_VALUE"""),"MAT-124")</f>
        <v>MAT-124</v>
      </c>
      <c r="G1091" s="213"/>
      <c r="H1091" s="213" t="str">
        <f>IFERROR(__xludf.DUMMYFUNCTION("""COMPUTED_VALUE"""),"JUEGO DE BROCHA ANGULAR PARA LIMPIEZA DE MÁQUINAS")</f>
        <v>JUEGO DE BROCHA ANGULAR PARA LIMPIEZA DE MÁQUINAS</v>
      </c>
      <c r="I1091" s="213" t="str">
        <f>IFERROR(__xludf.DUMMYFUNCTION("""COMPUTED_VALUE"""),"Medidas de las brochas: 1"",  2"",  y  3"". Fabricado con:
·       Fibra sintética
·       Mango antideslizante y ergonómico
·       Mango de madera o plástico
·       Ranura  en la muñeca facilita el almacenamiento Facilita el trabajo en partes angostas")</f>
        <v>Medidas de las brochas: 1",  2",  y  3". Fabricado con:
·       Fibra sintética
·       Mango antideslizante y ergonómico
·       Mango de madera o plástico
·       Ranura  en la muñeca facilita el almacenamiento Facilita el trabajo en partes angostas</v>
      </c>
      <c r="J1091" s="213">
        <f>IFERROR(__xludf.DUMMYFUNCTION("""COMPUTED_VALUE"""),3.0)</f>
        <v>3</v>
      </c>
      <c r="K1091" s="213" t="str">
        <f>IFERROR(__xludf.DUMMYFUNCTION("""COMPUTED_VALUE"""),"90 DÍAS CALENDARIO")</f>
        <v>90 DÍAS CALENDARIO</v>
      </c>
      <c r="L1091" s="213" t="str">
        <f>IFERROR(__xludf.DUMMYFUNCTION("""COMPUTED_VALUE"""),"")</f>
        <v/>
      </c>
      <c r="M1091" s="213">
        <f>IFERROR(__xludf.DUMMYFUNCTION("""COMPUTED_VALUE"""),1.0)</f>
        <v>1</v>
      </c>
      <c r="N1091" s="213">
        <f>IFERROR(__xludf.DUMMYFUNCTION("""COMPUTED_VALUE"""),5.0)</f>
        <v>5</v>
      </c>
      <c r="O1091" s="213">
        <f>IFERROR(__xludf.DUMMYFUNCTION("""COMPUTED_VALUE"""),5.0)</f>
        <v>5</v>
      </c>
      <c r="P1091" s="213"/>
      <c r="Q1091" s="213"/>
      <c r="R1091" s="213" t="str">
        <f>IFERROR(__xludf.DUMMYFUNCTION("""COMPUTED_VALUE"""),"SI")</f>
        <v>SI</v>
      </c>
      <c r="S1091" s="213"/>
      <c r="T1091" s="213" t="str">
        <f>IFERROR(__xludf.DUMMYFUNCTION("""COMPUTED_VALUE"""),"CONSULTA FINAL")</f>
        <v>CONSULTA FINAL</v>
      </c>
      <c r="U1091" s="213" t="str">
        <f>IFERROR(__xludf.DUMMYFUNCTION("""COMPUTED_VALUE"""),"NO")</f>
        <v>NO</v>
      </c>
      <c r="V1091" s="213" t="str">
        <f>IFERROR(__xludf.DUMMYFUNCTION("""COMPUTED_VALUE"""),"SUSTENTO")</f>
        <v>SUSTENTO</v>
      </c>
      <c r="W1091" s="213" t="str">
        <f>IFERROR(__xludf.DUMMYFUNCTION("""COMPUTED_VALUE"""),"EQU TEC")</f>
        <v>EQU TEC</v>
      </c>
      <c r="X1091" s="213" t="str">
        <f>IFERROR(__xludf.DUMMYFUNCTION("""COMPUTED_VALUE"""),"TRUPER")</f>
        <v>TRUPER</v>
      </c>
      <c r="Y1091" s="213" t="str">
        <f>IFERROR(__xludf.DUMMYFUNCTION("""COMPUTED_VALUE"""),"BRT-1-1/2AS / BRT-2AS / BRT-3AS")</f>
        <v>BRT-1-1/2AS / BRT-2AS / BRT-3AS</v>
      </c>
      <c r="Z1091" s="215" t="str">
        <f>IFERROR(__xludf.DUMMYFUNCTION("""COMPUTED_VALUE"""),"https://www.truper.com/ficha_tecnica/Brochas-corte-angular-cerdas-sinteticas-mango-de-madera.html?code=13341")</f>
        <v>https://www.truper.com/ficha_tecnica/Brochas-corte-angular-cerdas-sinteticas-mango-de-madera.html?code=13341</v>
      </c>
      <c r="AA1091" s="213" t="str">
        <f>IFERROR(__xludf.DUMMYFUNCTION("""COMPUTED_VALUE"""),"MAT-124 JUEGO DE BROCHA ANGULAR PARA LIMPIEZA DE MÁQUINAS - CET")</f>
        <v>MAT-124 JUEGO DE BROCHA ANGULAR PARA LIMPIEZA DE MÁQUINAS - CET</v>
      </c>
      <c r="AB1091" s="213"/>
      <c r="AC1091" s="213"/>
      <c r="AD1091" s="213"/>
      <c r="AE1091" s="213"/>
      <c r="AF1091" s="213"/>
      <c r="AG1091" s="213"/>
      <c r="AH1091" s="213"/>
      <c r="AI1091" s="213"/>
      <c r="AJ1091" s="213"/>
      <c r="AK1091" s="213"/>
      <c r="AL1091" s="213"/>
      <c r="AM1091" s="213"/>
      <c r="AN1091" s="213"/>
      <c r="AO1091" s="213"/>
      <c r="AP1091" s="213" t="str">
        <f>IFERROR(__xludf.DUMMYFUNCTION("""COMPUTED_VALUE"""),"SEBASTIAN")</f>
        <v>SEBASTIAN</v>
      </c>
      <c r="AQ1091" s="213"/>
      <c r="AR1091" s="213"/>
      <c r="AS1091" s="213"/>
      <c r="AT1091" s="213"/>
      <c r="AU1091" s="213"/>
      <c r="AV1091" s="213"/>
      <c r="AW1091" s="213"/>
      <c r="AX1091" s="213"/>
      <c r="AY1091" s="213"/>
      <c r="AZ1091" s="213"/>
      <c r="BA1091" s="213"/>
      <c r="BB1091" s="213"/>
      <c r="BC1091" s="213"/>
      <c r="BD1091" s="213"/>
    </row>
    <row r="1092">
      <c r="A1092" s="213">
        <f>IFERROR(__xludf.DUMMYFUNCTION("""COMPUTED_VALUE"""),2409.0)</f>
        <v>2409</v>
      </c>
      <c r="B1092" s="213" t="str">
        <f>IFERROR(__xludf.DUMMYFUNCTION("""COMPUTED_VALUE"""),"MANUEL ANTONIO MESONES MURO")</f>
        <v>MANUEL ANTONIO MESONES MURO</v>
      </c>
      <c r="C1092" s="213" t="str">
        <f>IFERROR(__xludf.DUMMYFUNCTION("""COMPUTED_VALUE"""),"TALLER SFT DE INDUSTRIA DEL VESTIDO")</f>
        <v>TALLER SFT DE INDUSTRIA DEL VESTIDO</v>
      </c>
      <c r="D1092" s="213" t="str">
        <f>IFERROR(__xludf.DUMMYFUNCTION("""COMPUTED_VALUE"""),"HERRAMIENTAS")</f>
        <v>HERRAMIENTAS</v>
      </c>
      <c r="E1092" s="213" t="str">
        <f>IFERROR(__xludf.DUMMYFUNCTION("""COMPUTED_VALUE"""),"MAT-124")</f>
        <v>MAT-124</v>
      </c>
      <c r="F1092" s="213" t="str">
        <f>IFERROR(__xludf.DUMMYFUNCTION("""COMPUTED_VALUE"""),"MAT-124")</f>
        <v>MAT-124</v>
      </c>
      <c r="G1092" s="213"/>
      <c r="H1092" s="213" t="str">
        <f>IFERROR(__xludf.DUMMYFUNCTION("""COMPUTED_VALUE"""),"JUEGO DE BROCHA ANGULAR PARA LIMPIEZA DE MÁQUINAS")</f>
        <v>JUEGO DE BROCHA ANGULAR PARA LIMPIEZA DE MÁQUINAS</v>
      </c>
      <c r="I1092" s="213" t="str">
        <f>IFERROR(__xludf.DUMMYFUNCTION("""COMPUTED_VALUE"""),"Medidas de las brochas: 1"",  2"",  y  3"". Fabricado con:
·       Fibra sintética
·       Mango antideslizante y ergonómico
·       Mango de madera o plástico
·       Ranura  en la muñeca facilita el almacenamiento Facilita el trabajo en partes angostas")</f>
        <v>Medidas de las brochas: 1",  2",  y  3". Fabricado con:
·       Fibra sintética
·       Mango antideslizante y ergonómico
·       Mango de madera o plástico
·       Ranura  en la muñeca facilita el almacenamiento Facilita el trabajo en partes angostas</v>
      </c>
      <c r="J1092" s="213">
        <f>IFERROR(__xludf.DUMMYFUNCTION("""COMPUTED_VALUE"""),3.0)</f>
        <v>3</v>
      </c>
      <c r="K1092" s="213" t="str">
        <f>IFERROR(__xludf.DUMMYFUNCTION("""COMPUTED_VALUE"""),"90 DÍAS CALENDARIO")</f>
        <v>90 DÍAS CALENDARIO</v>
      </c>
      <c r="L1092" s="213" t="str">
        <f>IFERROR(__xludf.DUMMYFUNCTION("""COMPUTED_VALUE"""),"")</f>
        <v/>
      </c>
      <c r="M1092" s="213">
        <f>IFERROR(__xludf.DUMMYFUNCTION("""COMPUTED_VALUE"""),1.0)</f>
        <v>1</v>
      </c>
      <c r="N1092" s="213">
        <f>IFERROR(__xludf.DUMMYFUNCTION("""COMPUTED_VALUE"""),5.0)</f>
        <v>5</v>
      </c>
      <c r="O1092" s="213">
        <f>IFERROR(__xludf.DUMMYFUNCTION("""COMPUTED_VALUE"""),5.0)</f>
        <v>5</v>
      </c>
      <c r="P1092" s="213"/>
      <c r="Q1092" s="213"/>
      <c r="R1092" s="213" t="str">
        <f>IFERROR(__xludf.DUMMYFUNCTION("""COMPUTED_VALUE"""),"SI")</f>
        <v>SI</v>
      </c>
      <c r="S1092" s="213"/>
      <c r="T1092" s="213" t="str">
        <f>IFERROR(__xludf.DUMMYFUNCTION("""COMPUTED_VALUE"""),"CONSULTA FINAL")</f>
        <v>CONSULTA FINAL</v>
      </c>
      <c r="U1092" s="213" t="str">
        <f>IFERROR(__xludf.DUMMYFUNCTION("""COMPUTED_VALUE"""),"NO")</f>
        <v>NO</v>
      </c>
      <c r="V1092" s="213" t="str">
        <f>IFERROR(__xludf.DUMMYFUNCTION("""COMPUTED_VALUE"""),"SUSTENTO")</f>
        <v>SUSTENTO</v>
      </c>
      <c r="W1092" s="213" t="str">
        <f>IFERROR(__xludf.DUMMYFUNCTION("""COMPUTED_VALUE"""),"EQU TEC")</f>
        <v>EQU TEC</v>
      </c>
      <c r="X1092" s="213" t="str">
        <f>IFERROR(__xludf.DUMMYFUNCTION("""COMPUTED_VALUE"""),"TRUPER")</f>
        <v>TRUPER</v>
      </c>
      <c r="Y1092" s="213" t="str">
        <f>IFERROR(__xludf.DUMMYFUNCTION("""COMPUTED_VALUE"""),"BRT-1-1/2AS / BRT-2AS / BRT-3AS")</f>
        <v>BRT-1-1/2AS / BRT-2AS / BRT-3AS</v>
      </c>
      <c r="Z1092" s="215" t="str">
        <f>IFERROR(__xludf.DUMMYFUNCTION("""COMPUTED_VALUE"""),"https://www.truper.com/ficha_tecnica/Brochas-corte-angular-cerdas-sinteticas-mango-de-madera.html?code=13341")</f>
        <v>https://www.truper.com/ficha_tecnica/Brochas-corte-angular-cerdas-sinteticas-mango-de-madera.html?code=13341</v>
      </c>
      <c r="AA1092" s="213" t="str">
        <f>IFERROR(__xludf.DUMMYFUNCTION("""COMPUTED_VALUE"""),"MAT-124 JUEGO DE BROCHA ANGULAR PARA LIMPIEZA DE MÁQUINAS - CET")</f>
        <v>MAT-124 JUEGO DE BROCHA ANGULAR PARA LIMPIEZA DE MÁQUINAS - CET</v>
      </c>
      <c r="AB1092" s="213"/>
      <c r="AC1092" s="213"/>
      <c r="AD1092" s="213"/>
      <c r="AE1092" s="213"/>
      <c r="AF1092" s="213"/>
      <c r="AG1092" s="213"/>
      <c r="AH1092" s="213"/>
      <c r="AI1092" s="213"/>
      <c r="AJ1092" s="213"/>
      <c r="AK1092" s="213"/>
      <c r="AL1092" s="213"/>
      <c r="AM1092" s="213"/>
      <c r="AN1092" s="213"/>
      <c r="AO1092" s="213"/>
      <c r="AP1092" s="213" t="str">
        <f>IFERROR(__xludf.DUMMYFUNCTION("""COMPUTED_VALUE"""),"SEBASTIAN")</f>
        <v>SEBASTIAN</v>
      </c>
      <c r="AQ1092" s="213"/>
      <c r="AR1092" s="213"/>
      <c r="AS1092" s="213"/>
      <c r="AT1092" s="213"/>
      <c r="AU1092" s="213"/>
      <c r="AV1092" s="213"/>
      <c r="AW1092" s="213"/>
      <c r="AX1092" s="213"/>
      <c r="AY1092" s="213"/>
      <c r="AZ1092" s="213"/>
      <c r="BA1092" s="213"/>
      <c r="BB1092" s="213"/>
      <c r="BC1092" s="213"/>
      <c r="BD1092" s="213"/>
    </row>
    <row r="1093">
      <c r="A1093" s="213">
        <f>IFERROR(__xludf.DUMMYFUNCTION("""COMPUTED_VALUE"""),59.0)</f>
        <v>59</v>
      </c>
      <c r="B1093" s="213" t="str">
        <f>IFERROR(__xludf.DUMMYFUNCTION("""COMPUTED_VALUE"""),"16449 ELOY SOBERON  FLORES")</f>
        <v>16449 ELOY SOBERON  FLORES</v>
      </c>
      <c r="C1093" s="213" t="str">
        <f>IFERROR(__xludf.DUMMYFUNCTION("""COMPUTED_VALUE"""),"TALLER SFT DE COCINA Y REPOSTERÍA")</f>
        <v>TALLER SFT DE COCINA Y REPOSTERÍA</v>
      </c>
      <c r="D1093" s="213" t="str">
        <f>IFERROR(__xludf.DUMMYFUNCTION("""COMPUTED_VALUE"""),"HERRAMIENTAS")</f>
        <v>HERRAMIENTAS</v>
      </c>
      <c r="E1093" s="213" t="str">
        <f>IFERROR(__xludf.DUMMYFUNCTION("""COMPUTED_VALUE"""),"MAT-125")</f>
        <v>MAT-125</v>
      </c>
      <c r="F1093" s="213" t="str">
        <f>IFERROR(__xludf.DUMMYFUNCTION("""COMPUTED_VALUE"""),"MAT-125-X")</f>
        <v>MAT-125-X</v>
      </c>
      <c r="G1093" s="213"/>
      <c r="H1093" s="213" t="str">
        <f>IFERROR(__xludf.DUMMYFUNCTION("""COMPUTED_VALUE"""),"BROCHA DE SILICONA")</f>
        <v>BROCHA DE SILICONA</v>
      </c>
      <c r="I1093" s="213" t="str">
        <f>IFERROR(__xludf.DUMMYFUNCTION("""COMPUTED_VALUE"""),"· Materiales: Silicona, 100% de silicona de calidad alimentaria
· Función: Decoración de la torta
· Resistente al calor: - 40 a 260 C
· Uso: barnizado de productos
· Tipo de herramienta de horneado y repostería:
· Brochas para masa")</f>
        <v>· Materiales: Silicona, 100% de silicona de calidad alimentaria
· Función: Decoración de la torta
· Resistente al calor: - 40 a 260 C
· Uso: barnizado de productos
· Tipo de herramienta de horneado y repostería:
· Brochas para masa</v>
      </c>
      <c r="J1093" s="213">
        <f>IFERROR(__xludf.DUMMYFUNCTION("""COMPUTED_VALUE"""),3.0)</f>
        <v>3</v>
      </c>
      <c r="K1093" s="213" t="str">
        <f>IFERROR(__xludf.DUMMYFUNCTION("""COMPUTED_VALUE"""),"90 DÍAS CALENDARIO")</f>
        <v>90 DÍAS CALENDARIO</v>
      </c>
      <c r="L1093" s="213" t="str">
        <f>IFERROR(__xludf.DUMMYFUNCTION("""COMPUTED_VALUE"""),"")</f>
        <v/>
      </c>
      <c r="M1093" s="213">
        <f>IFERROR(__xludf.DUMMYFUNCTION("""COMPUTED_VALUE"""),1.0)</f>
        <v>1</v>
      </c>
      <c r="N1093" s="213">
        <f>IFERROR(__xludf.DUMMYFUNCTION("""COMPUTED_VALUE"""),4.0)</f>
        <v>4</v>
      </c>
      <c r="O1093" s="213">
        <f>IFERROR(__xludf.DUMMYFUNCTION("""COMPUTED_VALUE"""),4.0)</f>
        <v>4</v>
      </c>
      <c r="P1093" s="213"/>
      <c r="Q1093" s="213"/>
      <c r="R1093" s="213" t="str">
        <f>IFERROR(__xludf.DUMMYFUNCTION("""COMPUTED_VALUE"""),"SI")</f>
        <v>SI</v>
      </c>
      <c r="S1093" s="213"/>
      <c r="T1093" s="213" t="str">
        <f>IFERROR(__xludf.DUMMYFUNCTION("""COMPUTED_VALUE"""),"SI")</f>
        <v>SI</v>
      </c>
      <c r="U1093" s="213" t="str">
        <f>IFERROR(__xludf.DUMMYFUNCTION("""COMPUTED_VALUE"""),"SI")</f>
        <v>SI</v>
      </c>
      <c r="V1093" s="213" t="str">
        <f>IFERROR(__xludf.DUMMYFUNCTION("""COMPUTED_VALUE"""),"-")</f>
        <v>-</v>
      </c>
      <c r="W1093" s="213" t="str">
        <f>IFERROR(__xludf.DUMMYFUNCTION("""COMPUTED_VALUE"""),"-")</f>
        <v>-</v>
      </c>
      <c r="X1093" s="213" t="str">
        <f>IFERROR(__xludf.DUMMYFUNCTION("""COMPUTED_VALUE"""),"ICHIMATSU")</f>
        <v>ICHIMATSU</v>
      </c>
      <c r="Y1093" s="213">
        <f>IFERROR(__xludf.DUMMYFUNCTION("""COMPUTED_VALUE"""),7.0067391E7)</f>
        <v>70067391</v>
      </c>
      <c r="Z1093" s="215" t="str">
        <f>IFERROR(__xludf.DUMMYFUNCTION("""COMPUTED_VALUE"""),"https://www.uysa.com.pe/brocha-p-reposteria-silicona-con-mango-verde-de-abs-70067391/p?srsltid=AfmBOoo5FFHt3WEU0McXc8V9ycySDEQ00Ip0vMv2xUz8TIsp3JRRCTYh")</f>
        <v>https://www.uysa.com.pe/brocha-p-reposteria-silicona-con-mango-verde-de-abs-70067391/p?srsltid=AfmBOoo5FFHt3WEU0McXc8V9ycySDEQ00Ip0vMv2xUz8TIsp3JRRCTYh</v>
      </c>
      <c r="AA1093" s="213" t="str">
        <f>IFERROR(__xludf.DUMMYFUNCTION("""COMPUTED_VALUE"""),"MAT-125-X BROCHA DE SILICONA - CET")</f>
        <v>MAT-125-X BROCHA DE SILICONA - CET</v>
      </c>
      <c r="AB1093" s="213"/>
      <c r="AC1093" s="213"/>
      <c r="AD1093" s="213"/>
      <c r="AE1093" s="213"/>
      <c r="AF1093" s="213"/>
      <c r="AG1093" s="213"/>
      <c r="AH1093" s="213"/>
      <c r="AI1093" s="213"/>
      <c r="AJ1093" s="213"/>
      <c r="AK1093" s="213"/>
      <c r="AL1093" s="213"/>
      <c r="AM1093" s="213"/>
      <c r="AN1093" s="213"/>
      <c r="AO1093" s="213"/>
      <c r="AP1093" s="213" t="str">
        <f>IFERROR(__xludf.DUMMYFUNCTION("""COMPUTED_VALUE"""),"LUIS")</f>
        <v>LUIS</v>
      </c>
      <c r="AQ1093" s="213"/>
      <c r="AR1093" s="213"/>
      <c r="AS1093" s="213"/>
      <c r="AT1093" s="213"/>
      <c r="AU1093" s="213"/>
      <c r="AV1093" s="213"/>
      <c r="AW1093" s="213"/>
      <c r="AX1093" s="213"/>
      <c r="AY1093" s="213"/>
      <c r="AZ1093" s="213"/>
      <c r="BA1093" s="213"/>
      <c r="BB1093" s="213"/>
      <c r="BC1093" s="213"/>
      <c r="BD1093" s="213"/>
    </row>
    <row r="1094">
      <c r="A1094" s="213">
        <f>IFERROR(__xludf.DUMMYFUNCTION("""COMPUTED_VALUE"""),508.0)</f>
        <v>508</v>
      </c>
      <c r="B1094" s="213" t="str">
        <f>IFERROR(__xludf.DUMMYFUNCTION("""COMPUTED_VALUE"""),"2026 SIMON BOLIVAR")</f>
        <v>2026 SIMON BOLIVAR</v>
      </c>
      <c r="C1094" s="213" t="str">
        <f>IFERROR(__xludf.DUMMYFUNCTION("""COMPUTED_VALUE"""),"TALLER SFT DE INDUSTRIA ALIMENTARIA")</f>
        <v>TALLER SFT DE INDUSTRIA ALIMENTARIA</v>
      </c>
      <c r="D1094" s="213" t="str">
        <f>IFERROR(__xludf.DUMMYFUNCTION("""COMPUTED_VALUE"""),"HERRAMIENTAS")</f>
        <v>HERRAMIENTAS</v>
      </c>
      <c r="E1094" s="213" t="str">
        <f>IFERROR(__xludf.DUMMYFUNCTION("""COMPUTED_VALUE"""),"MAT-125")</f>
        <v>MAT-125</v>
      </c>
      <c r="F1094" s="213" t="str">
        <f>IFERROR(__xludf.DUMMYFUNCTION("""COMPUTED_VALUE"""),"MAT-125-Y")</f>
        <v>MAT-125-Y</v>
      </c>
      <c r="G1094" s="213"/>
      <c r="H1094" s="213" t="str">
        <f>IFERROR(__xludf.DUMMYFUNCTION("""COMPUTED_VALUE"""),"BROCHA DE SILICONA")</f>
        <v>BROCHA DE SILICONA</v>
      </c>
      <c r="I1094" s="213" t="str">
        <f>IFERROR(__xludf.DUMMYFUNCTION("""COMPUTED_VALUE"""),"· Materiales: Silicona, 100% de silicona de calidad alimentaria
· Función: Decoración de la torta
· Forma personalizada es aceptable
· Resistente al calor: - 40 a 260 C
· Uso: barnizado de productos
· Tipo de herramienta de horneado y repostería:
· Brocha"&amp;"s para masa")</f>
        <v>· Materiales: Silicona, 100% de silicona de calidad alimentaria
· Función: Decoración de la torta
· Forma personalizada es aceptable
· Resistente al calor: - 40 a 260 C
· Uso: barnizado de productos
· Tipo de herramienta de horneado y repostería:
· Brochas para masa</v>
      </c>
      <c r="J1094" s="213">
        <f>IFERROR(__xludf.DUMMYFUNCTION("""COMPUTED_VALUE"""),3.0)</f>
        <v>3</v>
      </c>
      <c r="K1094" s="213" t="str">
        <f>IFERROR(__xludf.DUMMYFUNCTION("""COMPUTED_VALUE"""),"90 DÍAS CALENDARIO")</f>
        <v>90 DÍAS CALENDARIO</v>
      </c>
      <c r="L1094" s="213" t="str">
        <f>IFERROR(__xludf.DUMMYFUNCTION("""COMPUTED_VALUE"""),"")</f>
        <v/>
      </c>
      <c r="M1094" s="213">
        <f>IFERROR(__xludf.DUMMYFUNCTION("""COMPUTED_VALUE"""),1.0)</f>
        <v>1</v>
      </c>
      <c r="N1094" s="213">
        <f>IFERROR(__xludf.DUMMYFUNCTION("""COMPUTED_VALUE"""),4.0)</f>
        <v>4</v>
      </c>
      <c r="O1094" s="213">
        <f>IFERROR(__xludf.DUMMYFUNCTION("""COMPUTED_VALUE"""),4.0)</f>
        <v>4</v>
      </c>
      <c r="P1094" s="213"/>
      <c r="Q1094" s="213"/>
      <c r="R1094" s="213" t="str">
        <f>IFERROR(__xludf.DUMMYFUNCTION("""COMPUTED_VALUE"""),"SI")</f>
        <v>SI</v>
      </c>
      <c r="S1094" s="213"/>
      <c r="T1094" s="213" t="str">
        <f>IFERROR(__xludf.DUMMYFUNCTION("""COMPUTED_VALUE"""),"SI")</f>
        <v>SI</v>
      </c>
      <c r="U1094" s="213" t="str">
        <f>IFERROR(__xludf.DUMMYFUNCTION("""COMPUTED_VALUE"""),"SI")</f>
        <v>SI</v>
      </c>
      <c r="V1094" s="213" t="str">
        <f>IFERROR(__xludf.DUMMYFUNCTION("""COMPUTED_VALUE"""),"-")</f>
        <v>-</v>
      </c>
      <c r="W1094" s="213" t="str">
        <f>IFERROR(__xludf.DUMMYFUNCTION("""COMPUTED_VALUE"""),"-")</f>
        <v>-</v>
      </c>
      <c r="X1094" s="213" t="str">
        <f>IFERROR(__xludf.DUMMYFUNCTION("""COMPUTED_VALUE"""),"ICHIMATSU")</f>
        <v>ICHIMATSU</v>
      </c>
      <c r="Y1094" s="213">
        <f>IFERROR(__xludf.DUMMYFUNCTION("""COMPUTED_VALUE"""),7.0067391E7)</f>
        <v>70067391</v>
      </c>
      <c r="Z1094" s="215" t="str">
        <f>IFERROR(__xludf.DUMMYFUNCTION("""COMPUTED_VALUE"""),"https://www.uysa.com.pe/brocha-p-reposteria-silicona-con-mango-verde-de-abs-70067391/p?srsltid=AfmBOoo5FFHt3WEU0McXc8V9ycySDEQ00Ip0vMv2xUz8TIsp3JRRCTYh")</f>
        <v>https://www.uysa.com.pe/brocha-p-reposteria-silicona-con-mango-verde-de-abs-70067391/p?srsltid=AfmBOoo5FFHt3WEU0McXc8V9ycySDEQ00Ip0vMv2xUz8TIsp3JRRCTYh</v>
      </c>
      <c r="AA1094" s="213" t="str">
        <f>IFERROR(__xludf.DUMMYFUNCTION("""COMPUTED_VALUE"""),"MAT-125-Y BROCHA DE SILICONA - CET")</f>
        <v>MAT-125-Y BROCHA DE SILICONA - CET</v>
      </c>
      <c r="AB1094" s="215" t="str">
        <f>IFERROR(__xludf.DUMMYFUNCTION("""COMPUTED_VALUE"""),"https://drive.google.com/file/d/1pphnmDgzBUV_K98QtTkJr0xe_I44PGif/view?usp=sharing")</f>
        <v>https://drive.google.com/file/d/1pphnmDgzBUV_K98QtTkJr0xe_I44PGif/view?usp=sharing</v>
      </c>
      <c r="AC1094" s="215" t="str">
        <f>IFERROR(__xludf.DUMMYFUNCTION("""COMPUTED_VALUE"""),"https://www.lacuisine.pe/lgc/product/brocha-de-silicona-de-23cm-gris-61-33436-tovolo/?utm_source")</f>
        <v>https://www.lacuisine.pe/lgc/product/brocha-de-silicona-de-23cm-gris-61-33436-tovolo/?utm_source</v>
      </c>
      <c r="AD1094" s="213"/>
      <c r="AE1094" s="213"/>
      <c r="AF1094" s="213"/>
      <c r="AG1094" s="213"/>
      <c r="AH1094" s="213" t="str">
        <f>IFERROR(__xludf.DUMMYFUNCTION("""COMPUTED_VALUE"""),"NACIONAL")</f>
        <v>NACIONAL</v>
      </c>
      <c r="AI1094" s="213"/>
      <c r="AJ1094" s="213"/>
      <c r="AK1094" s="213"/>
      <c r="AL1094" s="213"/>
      <c r="AM1094" s="213"/>
      <c r="AN1094" s="213"/>
      <c r="AO1094" s="213"/>
      <c r="AP1094" s="213" t="str">
        <f>IFERROR(__xludf.DUMMYFUNCTION("""COMPUTED_VALUE"""),"LUIS")</f>
        <v>LUIS</v>
      </c>
      <c r="AQ1094" s="213"/>
      <c r="AR1094" s="213"/>
      <c r="AS1094" s="213"/>
      <c r="AT1094" s="213"/>
      <c r="AU1094" s="213"/>
      <c r="AV1094" s="213"/>
      <c r="AW1094" s="213"/>
      <c r="AX1094" s="213"/>
      <c r="AY1094" s="213"/>
      <c r="AZ1094" s="213"/>
      <c r="BA1094" s="213"/>
      <c r="BB1094" s="213"/>
      <c r="BC1094" s="213"/>
      <c r="BD1094" s="213"/>
    </row>
    <row r="1095">
      <c r="A1095" s="213">
        <f>IFERROR(__xludf.DUMMYFUNCTION("""COMPUTED_VALUE"""),365.0)</f>
        <v>365</v>
      </c>
      <c r="B1095" s="213" t="str">
        <f>IFERROR(__xludf.DUMMYFUNCTION("""COMPUTED_VALUE"""),"2026 SIMON BOLIVAR")</f>
        <v>2026 SIMON BOLIVAR</v>
      </c>
      <c r="C1095" s="213" t="str">
        <f>IFERROR(__xludf.DUMMYFUNCTION("""COMPUTED_VALUE"""),"TALLER SFT DE ELECTRICIDAD")</f>
        <v>TALLER SFT DE ELECTRICIDAD</v>
      </c>
      <c r="D1095" s="213" t="str">
        <f>IFERROR(__xludf.DUMMYFUNCTION("""COMPUTED_VALUE"""),"EQUIPOS")</f>
        <v>EQUIPOS</v>
      </c>
      <c r="E1095" s="213" t="str">
        <f>IFERROR(__xludf.DUMMYFUNCTION("""COMPUTED_VALUE"""),"ESP-198")</f>
        <v>ESP-198</v>
      </c>
      <c r="F1095" s="213" t="str">
        <f>IFERROR(__xludf.DUMMYFUNCTION("""COMPUTED_VALUE"""),"ESP-198")</f>
        <v>ESP-198</v>
      </c>
      <c r="G1095" s="213"/>
      <c r="H1095" s="213" t="str">
        <f>IFERROR(__xludf.DUMMYFUNCTION("""COMPUTED_VALUE"""),"KIT DE ELECTRICIDAD PARA EL APRENDIZAJE DE ELECTRICIDAD BÁSICA (ELECTROMAGNETISMO, CIRCUITOS ELÉCTRICOS, MOTOR ELÉCTRICO)")</f>
        <v>KIT DE ELECTRICIDAD PARA EL APRENDIZAJE DE ELECTRICIDAD BÁSICA (ELECTROMAGNETISMO, CIRCUITOS ELÉCTRICOS, MOTOR ELÉCTRICO)</v>
      </c>
      <c r="I1095" s="213" t="str">
        <f>IFERROR(__xludf.DUMMYFUNCTION("""COMPUTED_VALUE"""),"· El Kit debe incluir diversos tipos de motores DC y componentes de control industrial, los motores tienen que estar totalmente equipados y se pueden usar en combinación.
· Tipo de motores:
- Motor eléctrico DC con excitación compuesta.
- Motor universal "&amp;"para prueba par de arranque, velocidad y potencia de medida.
- Motor trifásico asíncrono de jaula de ardilla.
· Mesa de trabajo:
- Con estructura y soporte metálico.
- Con tablero de alta densidad resistente al peso de los motores (30 Kg. Aprox).
- Superf"&amp;"icie tratada para resistir altas temperaturas.
- Ruedas giratorias con freno en la parte inferior para facilitar su transporte.
- Dimensiones aprox: 1600 x 800 x 1800 mm.
· Tablero de control eléctrico:
- Conformado por dispositivos de seguridad.
- Instru"&amp;"mentos para conexión.
- Control, protección y distribución de energía.
· Accesorios necesarios:
- Cables de conexión flexibles, de diferentes colores.
- Cable de Alimentación: 220V, 60 Hz.")</f>
        <v>· El Kit debe incluir diversos tipos de motores DC y componentes de control industrial, los motores tienen que estar totalmente equipados y se pueden usar en combinación.
· Tipo de motores:
- Motor eléctrico DC con excitación compuesta.
- Motor universal para prueba par de arranque, velocidad y potencia de medida.
- Motor trifásico asíncrono de jaula de ardilla.
· Mesa de trabajo:
- Con estructura y soporte metálico.
- Con tablero de alta densidad resistente al peso de los motores (30 Kg. Aprox).
- Superficie tratada para resistir altas temperaturas.
- Ruedas giratorias con freno en la parte inferior para facilitar su transporte.
- Dimensiones aprox: 1600 x 800 x 1800 mm.
· Tablero de control eléctrico:
- Conformado por dispositivos de seguridad.
- Instrumentos para conexión.
- Control, protección y distribución de energía.
· Accesorios necesarios:
- Cables de conexión flexibles, de diferentes colores.
- Cable de Alimentación: 220V, 60 Hz.</v>
      </c>
      <c r="J1095" s="213">
        <f>IFERROR(__xludf.DUMMYFUNCTION("""COMPUTED_VALUE"""),3.0)</f>
        <v>3</v>
      </c>
      <c r="K1095" s="213" t="str">
        <f>IFERROR(__xludf.DUMMYFUNCTION("""COMPUTED_VALUE"""),"170 DÍAS CALENDARIO")</f>
        <v>170 DÍAS CALENDARIO</v>
      </c>
      <c r="L1095" s="213" t="str">
        <f>IFERROR(__xludf.DUMMYFUNCTION("""COMPUTED_VALUE"""),"")</f>
        <v/>
      </c>
      <c r="M1095" s="213">
        <f>IFERROR(__xludf.DUMMYFUNCTION("""COMPUTED_VALUE"""),1.0)</f>
        <v>1</v>
      </c>
      <c r="N1095" s="213">
        <f>IFERROR(__xludf.DUMMYFUNCTION("""COMPUTED_VALUE"""),1.0)</f>
        <v>1</v>
      </c>
      <c r="O1095" s="213">
        <f>IFERROR(__xludf.DUMMYFUNCTION("""COMPUTED_VALUE"""),1.0)</f>
        <v>1</v>
      </c>
      <c r="P1095" s="213"/>
      <c r="Q1095" s="213"/>
      <c r="R1095" s="213"/>
      <c r="S1095" s="213" t="str">
        <f>IFERROR(__xludf.DUMMYFUNCTION("""COMPUTED_VALUE"""),"SI")</f>
        <v>SI</v>
      </c>
      <c r="T1095" s="213" t="str">
        <f>IFERROR(__xludf.DUMMYFUNCTION("""COMPUTED_VALUE"""),"SI")</f>
        <v>SI</v>
      </c>
      <c r="U1095" s="213" t="str">
        <f>IFERROR(__xludf.DUMMYFUNCTION("""COMPUTED_VALUE"""),"SI")</f>
        <v>SI</v>
      </c>
      <c r="V1095" s="213" t="str">
        <f>IFERROR(__xludf.DUMMYFUNCTION("""COMPUTED_VALUE"""),"-")</f>
        <v>-</v>
      </c>
      <c r="W1095" s="213" t="str">
        <f>IFERROR(__xludf.DUMMYFUNCTION("""COMPUTED_VALUE"""),"-")</f>
        <v>-</v>
      </c>
      <c r="X1095" s="213" t="str">
        <f>IFERROR(__xludf.DUMMYFUNCTION("""COMPUTED_VALUE"""),"Shouldshine")</f>
        <v>Shouldshine</v>
      </c>
      <c r="Y1095" s="213" t="str">
        <f>IFERROR(__xludf.DUMMYFUNCTION("""COMPUTED_VALUE"""),"TB-230320-V-002")</f>
        <v>TB-230320-V-002</v>
      </c>
      <c r="Z1095" s="215" t="str">
        <f>IFERROR(__xludf.DUMMYFUNCTION("""COMPUTED_VALUE"""),"https://drive.google.com/file/d/1Rpx5Hb5uO-kjD-pziQ-XZD_MyKjqW8qJ/view?usp=sharing")</f>
        <v>https://drive.google.com/file/d/1Rpx5Hb5uO-kjD-pziQ-XZD_MyKjqW8qJ/view?usp=sharing</v>
      </c>
      <c r="AA1095" s="213" t="str">
        <f>IFERROR(__xludf.DUMMYFUNCTION("""COMPUTED_VALUE"""),"ESP-198 KIT DE ELECTRICIDAD PARA EL APRENDIZAJE DE ELECTRICIDAD BÁSICA (ELECTROMAGNETISMO, CIRCUITOS ELÉCTRICOS, MOTOR ELÉCTRICO) - CET")</f>
        <v>ESP-198 KIT DE ELECTRICIDAD PARA EL APRENDIZAJE DE ELECTRICIDAD BÁSICA (ELECTROMAGNETISMO, CIRCUITOS ELÉCTRICOS, MOTOR ELÉCTRICO) - CET</v>
      </c>
      <c r="AB1095" s="215" t="str">
        <f>IFERROR(__xludf.DUMMYFUNCTION("""COMPUTED_VALUE"""),"https://drive.google.com/file/d/1Rpx5Hb5uO-kjD-pziQ-XZD_MyKjqW8qJ/view?usp=sharing")</f>
        <v>https://drive.google.com/file/d/1Rpx5Hb5uO-kjD-pziQ-XZD_MyKjqW8qJ/view?usp=sharing</v>
      </c>
      <c r="AC1095" s="213"/>
      <c r="AD1095" s="213"/>
      <c r="AE1095" s="213"/>
      <c r="AF1095" s="213"/>
      <c r="AG1095" s="213"/>
      <c r="AH1095" s="213"/>
      <c r="AI1095" s="213"/>
      <c r="AJ1095" s="213"/>
      <c r="AK1095" s="213"/>
      <c r="AL1095" s="213"/>
      <c r="AM1095" s="213"/>
      <c r="AN1095" s="213"/>
      <c r="AO1095" s="213"/>
      <c r="AP1095" s="213" t="str">
        <f>IFERROR(__xludf.DUMMYFUNCTION("""COMPUTED_VALUE"""),"NALDI")</f>
        <v>NALDI</v>
      </c>
      <c r="AQ1095" s="213"/>
      <c r="AR1095" s="213"/>
      <c r="AS1095" s="213"/>
      <c r="AT1095" s="213"/>
      <c r="AU1095" s="213"/>
      <c r="AV1095" s="213"/>
      <c r="AW1095" s="213"/>
      <c r="AX1095" s="213"/>
      <c r="AY1095" s="213"/>
      <c r="AZ1095" s="213"/>
      <c r="BA1095" s="213"/>
      <c r="BB1095" s="213"/>
      <c r="BC1095" s="213"/>
      <c r="BD1095" s="213"/>
    </row>
    <row r="1096">
      <c r="A1096" s="213">
        <f>IFERROR(__xludf.DUMMYFUNCTION("""COMPUTED_VALUE"""),851.0)</f>
        <v>851</v>
      </c>
      <c r="B1096" s="213" t="str">
        <f>IFERROR(__xludf.DUMMYFUNCTION("""COMPUTED_VALUE"""),"6049 RICARDO PALMA")</f>
        <v>6049 RICARDO PALMA</v>
      </c>
      <c r="C1096" s="213" t="str">
        <f>IFERROR(__xludf.DUMMYFUNCTION("""COMPUTED_VALUE"""),"TALLER SFT DE ELECTRICIDAD")</f>
        <v>TALLER SFT DE ELECTRICIDAD</v>
      </c>
      <c r="D1096" s="213" t="str">
        <f>IFERROR(__xludf.DUMMYFUNCTION("""COMPUTED_VALUE"""),"EQUIPOS")</f>
        <v>EQUIPOS</v>
      </c>
      <c r="E1096" s="213" t="str">
        <f>IFERROR(__xludf.DUMMYFUNCTION("""COMPUTED_VALUE"""),"ESP-198")</f>
        <v>ESP-198</v>
      </c>
      <c r="F1096" s="213" t="str">
        <f>IFERROR(__xludf.DUMMYFUNCTION("""COMPUTED_VALUE"""),"ESP-198")</f>
        <v>ESP-198</v>
      </c>
      <c r="G1096" s="213"/>
      <c r="H1096" s="213" t="str">
        <f>IFERROR(__xludf.DUMMYFUNCTION("""COMPUTED_VALUE"""),"KIT DE ELECTRICIDAD PARA EL APRENDIZAJE DE ELECTRICIDAD BÁSICA (ELECTROMAGNETISMO, CIRCUITOS ELÉCTRICOS, MOTOR ELÉCTRICO)")</f>
        <v>KIT DE ELECTRICIDAD PARA EL APRENDIZAJE DE ELECTRICIDAD BÁSICA (ELECTROMAGNETISMO, CIRCUITOS ELÉCTRICOS, MOTOR ELÉCTRICO)</v>
      </c>
      <c r="I1096" s="213" t="str">
        <f>IFERROR(__xludf.DUMMYFUNCTION("""COMPUTED_VALUE"""),"· El Kit debe incluir diversos tipos de motores DC y componentes de control industrial, los motores tienen que estar totalmente equipados y se pueden usar en combinación.
· Tipo de motores:
- Motor eléctrico DC con excitación compuesta.
- Motor universal "&amp;"para prueba par de arranque, velocidad y potencia de medida.
- Motor trifásico asíncrono de jaula de ardilla.
· Mesa de trabajo:
- Con estructura y soporte metálico.
- Con tablero de alta densidad resistente al peso de los motores (30 Kg. Aprox).
- Superf"&amp;"icie tratada para resistir altas temperaturas.
- Ruedas giratorias con freno en la parte inferior para facilitar su transporte.
- Dimensiones aprox: 1600 x 800 x 1800 mm.
· Tablero de control eléctrico:
- Conformado por dispositivos de seguridad.
- Instru"&amp;"mentos para conexión.
- Control, protección y distribución de energía.
· Accesorios necesarios:
- Cables de conexión flexibles, de diferentes colores.
- Cable de Alimentación: 220V, 60 Hz.")</f>
        <v>· El Kit debe incluir diversos tipos de motores DC y componentes de control industrial, los motores tienen que estar totalmente equipados y se pueden usar en combinación.
· Tipo de motores:
- Motor eléctrico DC con excitación compuesta.
- Motor universal para prueba par de arranque, velocidad y potencia de medida.
- Motor trifásico asíncrono de jaula de ardilla.
· Mesa de trabajo:
- Con estructura y soporte metálico.
- Con tablero de alta densidad resistente al peso de los motores (30 Kg. Aprox).
- Superficie tratada para resistir altas temperaturas.
- Ruedas giratorias con freno en la parte inferior para facilitar su transporte.
- Dimensiones aprox: 1600 x 800 x 1800 mm.
· Tablero de control eléctrico:
- Conformado por dispositivos de seguridad.
- Instrumentos para conexión.
- Control, protección y distribución de energía.
· Accesorios necesarios:
- Cables de conexión flexibles, de diferentes colores.
- Cable de Alimentación: 220V, 60 Hz.</v>
      </c>
      <c r="J1096" s="213">
        <f>IFERROR(__xludf.DUMMYFUNCTION("""COMPUTED_VALUE"""),3.0)</f>
        <v>3</v>
      </c>
      <c r="K1096" s="213" t="str">
        <f>IFERROR(__xludf.DUMMYFUNCTION("""COMPUTED_VALUE"""),"170 DÍAS CALENDARIO")</f>
        <v>170 DÍAS CALENDARIO</v>
      </c>
      <c r="L1096" s="213" t="str">
        <f>IFERROR(__xludf.DUMMYFUNCTION("""COMPUTED_VALUE"""),"")</f>
        <v/>
      </c>
      <c r="M1096" s="213">
        <f>IFERROR(__xludf.DUMMYFUNCTION("""COMPUTED_VALUE"""),1.0)</f>
        <v>1</v>
      </c>
      <c r="N1096" s="213">
        <f>IFERROR(__xludf.DUMMYFUNCTION("""COMPUTED_VALUE"""),1.0)</f>
        <v>1</v>
      </c>
      <c r="O1096" s="213">
        <f>IFERROR(__xludf.DUMMYFUNCTION("""COMPUTED_VALUE"""),1.0)</f>
        <v>1</v>
      </c>
      <c r="P1096" s="213"/>
      <c r="Q1096" s="213"/>
      <c r="R1096" s="213"/>
      <c r="S1096" s="213" t="str">
        <f>IFERROR(__xludf.DUMMYFUNCTION("""COMPUTED_VALUE"""),"SI")</f>
        <v>SI</v>
      </c>
      <c r="T1096" s="213" t="str">
        <f>IFERROR(__xludf.DUMMYFUNCTION("""COMPUTED_VALUE"""),"SI")</f>
        <v>SI</v>
      </c>
      <c r="U1096" s="213" t="str">
        <f>IFERROR(__xludf.DUMMYFUNCTION("""COMPUTED_VALUE"""),"SI")</f>
        <v>SI</v>
      </c>
      <c r="V1096" s="213" t="str">
        <f>IFERROR(__xludf.DUMMYFUNCTION("""COMPUTED_VALUE"""),"-")</f>
        <v>-</v>
      </c>
      <c r="W1096" s="213" t="str">
        <f>IFERROR(__xludf.DUMMYFUNCTION("""COMPUTED_VALUE"""),"-")</f>
        <v>-</v>
      </c>
      <c r="X1096" s="213" t="str">
        <f>IFERROR(__xludf.DUMMYFUNCTION("""COMPUTED_VALUE"""),"Shouldshine")</f>
        <v>Shouldshine</v>
      </c>
      <c r="Y1096" s="213" t="str">
        <f>IFERROR(__xludf.DUMMYFUNCTION("""COMPUTED_VALUE"""),"TB-230320-V-002")</f>
        <v>TB-230320-V-002</v>
      </c>
      <c r="Z1096" s="215" t="str">
        <f>IFERROR(__xludf.DUMMYFUNCTION("""COMPUTED_VALUE"""),"https://drive.google.com/file/d/1Rpx5Hb5uO-kjD-pziQ-XZD_MyKjqW8qJ/view?usp=sharing")</f>
        <v>https://drive.google.com/file/d/1Rpx5Hb5uO-kjD-pziQ-XZD_MyKjqW8qJ/view?usp=sharing</v>
      </c>
      <c r="AA1096" s="213" t="str">
        <f>IFERROR(__xludf.DUMMYFUNCTION("""COMPUTED_VALUE"""),"ESP-198 KIT DE ELECTRICIDAD PARA EL APRENDIZAJE DE ELECTRICIDAD BÁSICA (ELECTROMAGNETISMO, CIRCUITOS ELÉCTRICOS, MOTOR ELÉCTRICO) - CET")</f>
        <v>ESP-198 KIT DE ELECTRICIDAD PARA EL APRENDIZAJE DE ELECTRICIDAD BÁSICA (ELECTROMAGNETISMO, CIRCUITOS ELÉCTRICOS, MOTOR ELÉCTRICO) - CET</v>
      </c>
      <c r="AB1096" s="215" t="str">
        <f>IFERROR(__xludf.DUMMYFUNCTION("""COMPUTED_VALUE"""),"https://drive.google.com/file/d/1Rpx5Hb5uO-kjD-pziQ-XZD_MyKjqW8qJ/view?usp=sharing")</f>
        <v>https://drive.google.com/file/d/1Rpx5Hb5uO-kjD-pziQ-XZD_MyKjqW8qJ/view?usp=sharing</v>
      </c>
      <c r="AC1096" s="213"/>
      <c r="AD1096" s="213"/>
      <c r="AE1096" s="213"/>
      <c r="AF1096" s="213"/>
      <c r="AG1096" s="213"/>
      <c r="AH1096" s="213"/>
      <c r="AI1096" s="213"/>
      <c r="AJ1096" s="213"/>
      <c r="AK1096" s="213"/>
      <c r="AL1096" s="213"/>
      <c r="AM1096" s="213"/>
      <c r="AN1096" s="213"/>
      <c r="AO1096" s="213"/>
      <c r="AP1096" s="213" t="str">
        <f>IFERROR(__xludf.DUMMYFUNCTION("""COMPUTED_VALUE"""),"NALDI")</f>
        <v>NALDI</v>
      </c>
      <c r="AQ1096" s="213"/>
      <c r="AR1096" s="213"/>
      <c r="AS1096" s="213"/>
      <c r="AT1096" s="213"/>
      <c r="AU1096" s="213"/>
      <c r="AV1096" s="213"/>
      <c r="AW1096" s="213"/>
      <c r="AX1096" s="213"/>
      <c r="AY1096" s="213"/>
      <c r="AZ1096" s="213"/>
      <c r="BA1096" s="213"/>
      <c r="BB1096" s="213"/>
      <c r="BC1096" s="213"/>
      <c r="BD1096" s="213"/>
    </row>
    <row r="1097">
      <c r="A1097" s="213">
        <f>IFERROR(__xludf.DUMMYFUNCTION("""COMPUTED_VALUE"""),1273.0)</f>
        <v>1273</v>
      </c>
      <c r="B1097" s="213" t="str">
        <f>IFERROR(__xludf.DUMMYFUNCTION("""COMPUTED_VALUE"""),"GUILLERMO E. BILLINGHURST ")</f>
        <v>GUILLERMO E. BILLINGHURST </v>
      </c>
      <c r="C1097" s="213" t="str">
        <f>IFERROR(__xludf.DUMMYFUNCTION("""COMPUTED_VALUE"""),"TALLER SFT DE ELECTRICIDAD")</f>
        <v>TALLER SFT DE ELECTRICIDAD</v>
      </c>
      <c r="D1097" s="213" t="str">
        <f>IFERROR(__xludf.DUMMYFUNCTION("""COMPUTED_VALUE"""),"EQUIPOS")</f>
        <v>EQUIPOS</v>
      </c>
      <c r="E1097" s="213" t="str">
        <f>IFERROR(__xludf.DUMMYFUNCTION("""COMPUTED_VALUE"""),"ESP-198")</f>
        <v>ESP-198</v>
      </c>
      <c r="F1097" s="213" t="str">
        <f>IFERROR(__xludf.DUMMYFUNCTION("""COMPUTED_VALUE"""),"ESP-198")</f>
        <v>ESP-198</v>
      </c>
      <c r="G1097" s="213"/>
      <c r="H1097" s="213" t="str">
        <f>IFERROR(__xludf.DUMMYFUNCTION("""COMPUTED_VALUE"""),"KIT DE ELECTRICIDAD PARA EL APRENDIZAJE DE ELECTRICIDAD BÁSICA (ELECTROMAGNETISMO, CIRCUITOS ELÉCTRICOS, MOTOR ELÉCTRICO)")</f>
        <v>KIT DE ELECTRICIDAD PARA EL APRENDIZAJE DE ELECTRICIDAD BÁSICA (ELECTROMAGNETISMO, CIRCUITOS ELÉCTRICOS, MOTOR ELÉCTRICO)</v>
      </c>
      <c r="I1097" s="213" t="str">
        <f>IFERROR(__xludf.DUMMYFUNCTION("""COMPUTED_VALUE"""),"· El Kit debe incluir diversos tipos de motores DC y componentes de control industrial, los motores tienen que estar totalmente equipados y se pueden usar en combinación.
· Tipo de motores:
- Motor eléctrico DC con excitación compuesta.
- Motor universal "&amp;"para prueba par de arranque, velocidad y potencia de medida.
- Motor trifásico asíncrono de jaula de ardilla.
· Mesa de trabajo:
- Con estructura y soporte metálico.
- Con tablero de alta densidad resistente al peso de los motores (30 Kg. Aprox).
- Superf"&amp;"icie tratada para resistir altas temperaturas.
- Ruedas giratorias con freno en la parte inferior para facilitar su transporte.
- Dimensiones aprox: 1600 x 800 x 1800 mm.
· Tablero de control eléctrico:
- Conformado por dispositivos de seguridad.
- Instru"&amp;"mentos para conexión.
- Control, protección y distribución de energía.
· Accesorios necesarios:
- Cables de conexión flexibles, de diferentes colores.
- Cable de Alimentación: 220V, 60 Hz.")</f>
        <v>· El Kit debe incluir diversos tipos de motores DC y componentes de control industrial, los motores tienen que estar totalmente equipados y se pueden usar en combinación.
· Tipo de motores:
- Motor eléctrico DC con excitación compuesta.
- Motor universal para prueba par de arranque, velocidad y potencia de medida.
- Motor trifásico asíncrono de jaula de ardilla.
· Mesa de trabajo:
- Con estructura y soporte metálico.
- Con tablero de alta densidad resistente al peso de los motores (30 Kg. Aprox).
- Superficie tratada para resistir altas temperaturas.
- Ruedas giratorias con freno en la parte inferior para facilitar su transporte.
- Dimensiones aprox: 1600 x 800 x 1800 mm.
· Tablero de control eléctrico:
- Conformado por dispositivos de seguridad.
- Instrumentos para conexión.
- Control, protección y distribución de energía.
· Accesorios necesarios:
- Cables de conexión flexibles, de diferentes colores.
- Cable de Alimentación: 220V, 60 Hz.</v>
      </c>
      <c r="J1097" s="213">
        <f>IFERROR(__xludf.DUMMYFUNCTION("""COMPUTED_VALUE"""),3.0)</f>
        <v>3</v>
      </c>
      <c r="K1097" s="213" t="str">
        <f>IFERROR(__xludf.DUMMYFUNCTION("""COMPUTED_VALUE"""),"170 DÍAS CALENDARIO")</f>
        <v>170 DÍAS CALENDARIO</v>
      </c>
      <c r="L1097" s="213" t="str">
        <f>IFERROR(__xludf.DUMMYFUNCTION("""COMPUTED_VALUE"""),"")</f>
        <v/>
      </c>
      <c r="M1097" s="213">
        <f>IFERROR(__xludf.DUMMYFUNCTION("""COMPUTED_VALUE"""),1.0)</f>
        <v>1</v>
      </c>
      <c r="N1097" s="213">
        <f>IFERROR(__xludf.DUMMYFUNCTION("""COMPUTED_VALUE"""),1.0)</f>
        <v>1</v>
      </c>
      <c r="O1097" s="213">
        <f>IFERROR(__xludf.DUMMYFUNCTION("""COMPUTED_VALUE"""),1.0)</f>
        <v>1</v>
      </c>
      <c r="P1097" s="213"/>
      <c r="Q1097" s="213"/>
      <c r="R1097" s="213"/>
      <c r="S1097" s="213" t="str">
        <f>IFERROR(__xludf.DUMMYFUNCTION("""COMPUTED_VALUE"""),"SI")</f>
        <v>SI</v>
      </c>
      <c r="T1097" s="213" t="str">
        <f>IFERROR(__xludf.DUMMYFUNCTION("""COMPUTED_VALUE"""),"SI")</f>
        <v>SI</v>
      </c>
      <c r="U1097" s="213" t="str">
        <f>IFERROR(__xludf.DUMMYFUNCTION("""COMPUTED_VALUE"""),"SI")</f>
        <v>SI</v>
      </c>
      <c r="V1097" s="213" t="str">
        <f>IFERROR(__xludf.DUMMYFUNCTION("""COMPUTED_VALUE"""),"-")</f>
        <v>-</v>
      </c>
      <c r="W1097" s="213" t="str">
        <f>IFERROR(__xludf.DUMMYFUNCTION("""COMPUTED_VALUE"""),"-")</f>
        <v>-</v>
      </c>
      <c r="X1097" s="213" t="str">
        <f>IFERROR(__xludf.DUMMYFUNCTION("""COMPUTED_VALUE"""),"Shouldshine")</f>
        <v>Shouldshine</v>
      </c>
      <c r="Y1097" s="213" t="str">
        <f>IFERROR(__xludf.DUMMYFUNCTION("""COMPUTED_VALUE"""),"TB-230320-V-002")</f>
        <v>TB-230320-V-002</v>
      </c>
      <c r="Z1097" s="215" t="str">
        <f>IFERROR(__xludf.DUMMYFUNCTION("""COMPUTED_VALUE"""),"https://drive.google.com/file/d/1Rpx5Hb5uO-kjD-pziQ-XZD_MyKjqW8qJ/view?usp=sharing")</f>
        <v>https://drive.google.com/file/d/1Rpx5Hb5uO-kjD-pziQ-XZD_MyKjqW8qJ/view?usp=sharing</v>
      </c>
      <c r="AA1097" s="213" t="str">
        <f>IFERROR(__xludf.DUMMYFUNCTION("""COMPUTED_VALUE"""),"ESP-198 KIT DE ELECTRICIDAD PARA EL APRENDIZAJE DE ELECTRICIDAD BÁSICA (ELECTROMAGNETISMO, CIRCUITOS ELÉCTRICOS, MOTOR ELÉCTRICO) - CET")</f>
        <v>ESP-198 KIT DE ELECTRICIDAD PARA EL APRENDIZAJE DE ELECTRICIDAD BÁSICA (ELECTROMAGNETISMO, CIRCUITOS ELÉCTRICOS, MOTOR ELÉCTRICO) - CET</v>
      </c>
      <c r="AB1097" s="215" t="str">
        <f>IFERROR(__xludf.DUMMYFUNCTION("""COMPUTED_VALUE"""),"https://drive.google.com/file/d/1Rpx5Hb5uO-kjD-pziQ-XZD_MyKjqW8qJ/view?usp=sharing")</f>
        <v>https://drive.google.com/file/d/1Rpx5Hb5uO-kjD-pziQ-XZD_MyKjqW8qJ/view?usp=sharing</v>
      </c>
      <c r="AC1097" s="213"/>
      <c r="AD1097" s="213"/>
      <c r="AE1097" s="213"/>
      <c r="AF1097" s="213"/>
      <c r="AG1097" s="213"/>
      <c r="AH1097" s="213"/>
      <c r="AI1097" s="213"/>
      <c r="AJ1097" s="213"/>
      <c r="AK1097" s="213"/>
      <c r="AL1097" s="213"/>
      <c r="AM1097" s="213"/>
      <c r="AN1097" s="213"/>
      <c r="AO1097" s="213"/>
      <c r="AP1097" s="213" t="str">
        <f>IFERROR(__xludf.DUMMYFUNCTION("""COMPUTED_VALUE"""),"NALDI")</f>
        <v>NALDI</v>
      </c>
      <c r="AQ1097" s="213"/>
      <c r="AR1097" s="213"/>
      <c r="AS1097" s="213"/>
      <c r="AT1097" s="213"/>
      <c r="AU1097" s="213"/>
      <c r="AV1097" s="213"/>
      <c r="AW1097" s="213"/>
      <c r="AX1097" s="213"/>
      <c r="AY1097" s="213"/>
      <c r="AZ1097" s="213"/>
      <c r="BA1097" s="213"/>
      <c r="BB1097" s="213"/>
      <c r="BC1097" s="213"/>
      <c r="BD1097" s="213"/>
    </row>
    <row r="1098">
      <c r="A1098" s="213">
        <f>IFERROR(__xludf.DUMMYFUNCTION("""COMPUTED_VALUE"""),286.0)</f>
        <v>286</v>
      </c>
      <c r="B1098" s="213" t="str">
        <f>IFERROR(__xludf.DUMMYFUNCTION("""COMPUTED_VALUE"""),"2026 SIMON BOLIVAR")</f>
        <v>2026 SIMON BOLIVAR</v>
      </c>
      <c r="C1098" s="213" t="str">
        <f>IFERROR(__xludf.DUMMYFUNCTION("""COMPUTED_VALUE"""),"TALLER SFT DE COMPUTACIÓN E INFORMÁTICA")</f>
        <v>TALLER SFT DE COMPUTACIÓN E INFORMÁTICA</v>
      </c>
      <c r="D1098" s="213" t="str">
        <f>IFERROR(__xludf.DUMMYFUNCTION("""COMPUTED_VALUE"""),"EQUIPOS")</f>
        <v>EQUIPOS</v>
      </c>
      <c r="E1098" s="213" t="str">
        <f>IFERROR(__xludf.DUMMYFUNCTION("""COMPUTED_VALUE"""),"ESP-153")</f>
        <v>ESP-153</v>
      </c>
      <c r="F1098" s="213" t="str">
        <f>IFERROR(__xludf.DUMMYFUNCTION("""COMPUTED_VALUE"""),"ESP-153")</f>
        <v>ESP-153</v>
      </c>
      <c r="G1098" s="213"/>
      <c r="H1098" s="213" t="str">
        <f>IFERROR(__xludf.DUMMYFUNCTION("""COMPUTED_VALUE"""),"KIT DE ENTRENADOR BÁSICO DE SISTEMA DE RED DE PC")</f>
        <v>KIT DE ENTRENADOR BÁSICO DE SISTEMA DE RED DE PC</v>
      </c>
      <c r="I1098" s="213" t="str">
        <f>IFERROR(__xludf.DUMMYFUNCTION("""COMPUTED_VALUE"""),"Kit de entrenador
·  Diseñado para la creación de sistemas LAN, compatibles con la mayoría de software de LAN.
·  Incluye todos los componentes y periféricos estándar para un sistema de red y proporciona todos los módulos y piezas necesarios para crear un"&amp;"a red inalámbrica y una red de par trenzado.
·  Componentes y sistemas incluidos:
Manual de experimentos para estudiantes sobre los componentes que conforman un sistema de red de PC, cómo probar y solucionar problemas de los componentes y módulos. Los mat"&amp;"eriales orientados al sistema de certificación CompTIA NET+.
·  Módem: Módem de banda ancha de 1 unidad completo con conector de cable
·  Componentes y módulos de red:
-   Interfaz de red Ethernet de 3 unidades
-   Interfaz de red inalámbrica de 3 unidade"&amp;"s
-   Conmutador Ethernet de 8 puertos, punto de acceso inalámbrico
-   Cables UTP se compone de cables RJ-45
·  Sistema de fallas:
-   Módulo de inserción y eliminación de fallos
·  Software:
-   Último servidor de Windows O/S
-   Último cliente de Windo"&amp;"ws O/S
-   Software de comunicación
-   Antivirus y seguridad en internet
·  Herramientas y probador:
-   Equipo herramientas de servicio de red, incluye el comprobador de LAN y el engarce de cables
·  Accesorios:
-   Manual de experimentación
-   Windows"&amp;" Server Book
-   Caja de almacenamiento de piezas
-   Panel Mobile Frame Mini tipo (L1.20 m x A0.10 m x H1.20 m)
-   Alimentación eléctrica: 220 V,  60 Hz.")</f>
        <v>Kit de entrenador
·  Diseñado para la creación de sistemas LAN, compatibles con la mayoría de software de LAN.
·  Incluye todos los componentes y periféricos estándar para un sistema de red y proporciona todos los módulos y piezas necesarios para crear una red inalámbrica y una red de par trenzado.
·  Componentes y sistemas incluidos:
Manual de experimentos para estudiantes sobre los componentes que conforman un sistema de red de PC, cómo probar y solucionar problemas de los componentes y módulos. Los materiales orientados al sistema de certificación CompTIA NET+.
·  Módem: Módem de banda ancha de 1 unidad completo con conector de cable
·  Componentes y módulos de red:
-   Interfaz de red Ethernet de 3 unidades
-   Interfaz de red inalámbrica de 3 unidades
-   Conmutador Ethernet de 8 puertos, punto de acceso inalámbrico
-   Cables UTP se compone de cables RJ-45
·  Sistema de fallas:
-   Módulo de inserción y eliminación de fallos
·  Software:
-   Último servidor de Windows O/S
-   Último cliente de Windows O/S
-   Software de comunicación
-   Antivirus y seguridad en internet
·  Herramientas y probador:
-   Equipo herramientas de servicio de red, incluye el comprobador de LAN y el engarce de cables
·  Accesorios:
-   Manual de experimentación
-   Windows Server Book
-   Caja de almacenamiento de piezas
-   Panel Mobile Frame Mini tipo (L1.20 m x A0.10 m x H1.20 m)
-   Alimentación eléctrica: 220 V,  60 Hz.</v>
      </c>
      <c r="J1098" s="213">
        <f>IFERROR(__xludf.DUMMYFUNCTION("""COMPUTED_VALUE"""),3.0)</f>
        <v>3</v>
      </c>
      <c r="K1098" s="213" t="str">
        <f>IFERROR(__xludf.DUMMYFUNCTION("""COMPUTED_VALUE"""),"170 DÍAS CALENDARIO")</f>
        <v>170 DÍAS CALENDARIO</v>
      </c>
      <c r="L1098" s="213" t="str">
        <f>IFERROR(__xludf.DUMMYFUNCTION("""COMPUTED_VALUE"""),"")</f>
        <v/>
      </c>
      <c r="M1098" s="213">
        <f>IFERROR(__xludf.DUMMYFUNCTION("""COMPUTED_VALUE"""),1.0)</f>
        <v>1</v>
      </c>
      <c r="N1098" s="213">
        <f>IFERROR(__xludf.DUMMYFUNCTION("""COMPUTED_VALUE"""),1.0)</f>
        <v>1</v>
      </c>
      <c r="O1098" s="213">
        <f>IFERROR(__xludf.DUMMYFUNCTION("""COMPUTED_VALUE"""),1.0)</f>
        <v>1</v>
      </c>
      <c r="P1098" s="213"/>
      <c r="Q1098" s="213"/>
      <c r="R1098" s="213"/>
      <c r="S1098" s="213" t="str">
        <f>IFERROR(__xludf.DUMMYFUNCTION("""COMPUTED_VALUE"""),"SI")</f>
        <v>SI</v>
      </c>
      <c r="T1098" s="213" t="str">
        <f>IFERROR(__xludf.DUMMYFUNCTION("""COMPUTED_VALUE"""),"SI")</f>
        <v>SI</v>
      </c>
      <c r="U1098" s="213" t="str">
        <f>IFERROR(__xludf.DUMMYFUNCTION("""COMPUTED_VALUE"""),"SI")</f>
        <v>SI</v>
      </c>
      <c r="V1098" s="213" t="str">
        <f>IFERROR(__xludf.DUMMYFUNCTION("""COMPUTED_VALUE"""),"-")</f>
        <v>-</v>
      </c>
      <c r="W1098" s="213" t="str">
        <f>IFERROR(__xludf.DUMMYFUNCTION("""COMPUTED_VALUE"""),"-")</f>
        <v>-</v>
      </c>
      <c r="X1098" s="213" t="str">
        <f>IFERROR(__xludf.DUMMYFUNCTION("""COMPUTED_VALUE"""),"LABTECH")</f>
        <v>LABTECH</v>
      </c>
      <c r="Y1098" s="213" t="str">
        <f>IFERROR(__xludf.DUMMYFUNCTION("""COMPUTED_VALUE"""),"CLP-PCN-1")</f>
        <v>CLP-PCN-1</v>
      </c>
      <c r="Z1098" s="215" t="str">
        <f>IFERROR(__xludf.DUMMYFUNCTION("""COMPUTED_VALUE"""),"https://drive.google.com/file/d/1X70LaF7RqF7SoV2RK4MYqFx3rnQO6yLW/view?usp=sharing")</f>
        <v>https://drive.google.com/file/d/1X70LaF7RqF7SoV2RK4MYqFx3rnQO6yLW/view?usp=sharing</v>
      </c>
      <c r="AA1098" s="213" t="str">
        <f>IFERROR(__xludf.DUMMYFUNCTION("""COMPUTED_VALUE"""),"ESP-153 KIT DE ENTRENADOR BÁSICO DE SISTEMA DE RED DE PC - CET")</f>
        <v>ESP-153 KIT DE ENTRENADOR BÁSICO DE SISTEMA DE RED DE PC - CET</v>
      </c>
      <c r="AB1098" s="215" t="str">
        <f>IFERROR(__xludf.DUMMYFUNCTION("""COMPUTED_VALUE"""),"https://drive.google.com/file/d/1X70LaF7RqF7SoV2RK4MYqFx3rnQO6yLW/view?usp=sharing")</f>
        <v>https://drive.google.com/file/d/1X70LaF7RqF7SoV2RK4MYqFx3rnQO6yLW/view?usp=sharing</v>
      </c>
      <c r="AC1098" s="213"/>
      <c r="AD1098" s="213"/>
      <c r="AE1098" s="213"/>
      <c r="AF1098" s="213"/>
      <c r="AG1098" s="213"/>
      <c r="AH1098" s="213"/>
      <c r="AI1098" s="213"/>
      <c r="AJ1098" s="213"/>
      <c r="AK1098" s="213"/>
      <c r="AL1098" s="213"/>
      <c r="AM1098" s="213"/>
      <c r="AN1098" s="213"/>
      <c r="AO1098" s="213"/>
      <c r="AP1098" s="213" t="str">
        <f>IFERROR(__xludf.DUMMYFUNCTION("""COMPUTED_VALUE"""),"MICHEL")</f>
        <v>MICHEL</v>
      </c>
      <c r="AQ1098" s="213" t="str">
        <f>IFERROR(__xludf.DUMMYFUNCTION("""COMPUTED_VALUE"""),"Se debe tener en cuenta todos las conexiones eléctricas de los diversos componentes del kit (pantallas, CPU, módulos, modem, etc.)
Tener en cuenta que este equipo tiene un tiempo de fabricacion que puede exceder los 120 dias, sin embargo se debe saber que"&amp;" como modulo es el unico que cumple con las EETT especificamente.")</f>
        <v>Se debe tener en cuenta todos las conexiones eléctricas de los diversos componentes del kit (pantallas, CPU, módulos, modem, etc.)
Tener en cuenta que este equipo tiene un tiempo de fabricacion que puede exceder los 120 dias, sin embargo se debe saber que como modulo es el unico que cumple con las EETT especificamente.</v>
      </c>
      <c r="AR1098" s="213"/>
      <c r="AS1098" s="213"/>
      <c r="AT1098" s="213"/>
      <c r="AU1098" s="213"/>
      <c r="AV1098" s="213"/>
      <c r="AW1098" s="213"/>
      <c r="AX1098" s="213"/>
      <c r="AY1098" s="213"/>
      <c r="AZ1098" s="213"/>
      <c r="BA1098" s="213"/>
      <c r="BB1098" s="213"/>
      <c r="BC1098" s="213"/>
      <c r="BD1098" s="213"/>
    </row>
    <row r="1099">
      <c r="A1099" s="213">
        <f>IFERROR(__xludf.DUMMYFUNCTION("""COMPUTED_VALUE"""),772.0)</f>
        <v>772</v>
      </c>
      <c r="B1099" s="213" t="str">
        <f>IFERROR(__xludf.DUMMYFUNCTION("""COMPUTED_VALUE"""),"6049 RICARDO PALMA")</f>
        <v>6049 RICARDO PALMA</v>
      </c>
      <c r="C1099" s="213" t="str">
        <f>IFERROR(__xludf.DUMMYFUNCTION("""COMPUTED_VALUE"""),"TALLER SFT DE COMPUTACIÓN E INFORMÁTICA")</f>
        <v>TALLER SFT DE COMPUTACIÓN E INFORMÁTICA</v>
      </c>
      <c r="D1099" s="213" t="str">
        <f>IFERROR(__xludf.DUMMYFUNCTION("""COMPUTED_VALUE"""),"EQUIPOS")</f>
        <v>EQUIPOS</v>
      </c>
      <c r="E1099" s="213" t="str">
        <f>IFERROR(__xludf.DUMMYFUNCTION("""COMPUTED_VALUE"""),"ESP-153")</f>
        <v>ESP-153</v>
      </c>
      <c r="F1099" s="213" t="str">
        <f>IFERROR(__xludf.DUMMYFUNCTION("""COMPUTED_VALUE"""),"ESP-153")</f>
        <v>ESP-153</v>
      </c>
      <c r="G1099" s="213"/>
      <c r="H1099" s="213" t="str">
        <f>IFERROR(__xludf.DUMMYFUNCTION("""COMPUTED_VALUE"""),"KIT DE ENTRENADOR BÁSICO DE SISTEMA DE RED DE PC")</f>
        <v>KIT DE ENTRENADOR BÁSICO DE SISTEMA DE RED DE PC</v>
      </c>
      <c r="I1099" s="213" t="str">
        <f>IFERROR(__xludf.DUMMYFUNCTION("""COMPUTED_VALUE"""),"Kit de entrenador
·  Diseñado para la creación de sistemas LAN, compatibles con la mayoría de software de LAN.
·  Incluye todos los componentes y periféricos estándar para un sistema de red y proporciona todos los módulos y piezas necesarios para crear un"&amp;"a red inalámbrica y una red de par trenzado.
·  Componentes y sistemas incluidos:
Manual de experimentos para estudiantes sobre los componentes que conforman un sistema de red de PC, cómo probar y solucionar problemas de los componentes y módulos. Los mat"&amp;"eriales orientados al sistema de certificación CompTIA NET+.
·  Módem: Módem de banda ancha de 1 unidad completo con conector de cable
·  Componentes y módulos de red:
-   Interfaz de red Ethernet de 3 unidades
-   Interfaz de red inalámbrica de 3 unidade"&amp;"s
-   Conmutador Ethernet de 8 puertos, punto de acceso inalámbrico
-   Cables UTP se compone de cables RJ-45
·  Sistema de fallas:
-   Módulo de inserción y eliminación de fallos
·  Software:
-   Último servidor de Windows O/S
-   Último cliente de Windo"&amp;"ws O/S
-   Software de comunicación
-   Antivirus y seguridad en internet
·  Herramientas y probador:
-   Equipo herramientas de servicio de red, incluye el comprobador de LAN y el engarce de cables
·  Accesorios:
-   Manual de experimentación
-   Windows"&amp;" Server Book
-   Caja de almacenamiento de piezas
-   Panel Mobile Frame Mini tipo (L1.20 m x A0.10 m x H1.20 m)
-   Alimentación eléctrica: 220 V,  60 Hz.")</f>
        <v>Kit de entrenador
·  Diseñado para la creación de sistemas LAN, compatibles con la mayoría de software de LAN.
·  Incluye todos los componentes y periféricos estándar para un sistema de red y proporciona todos los módulos y piezas necesarios para crear una red inalámbrica y una red de par trenzado.
·  Componentes y sistemas incluidos:
Manual de experimentos para estudiantes sobre los componentes que conforman un sistema de red de PC, cómo probar y solucionar problemas de los componentes y módulos. Los materiales orientados al sistema de certificación CompTIA NET+.
·  Módem: Módem de banda ancha de 1 unidad completo con conector de cable
·  Componentes y módulos de red:
-   Interfaz de red Ethernet de 3 unidades
-   Interfaz de red inalámbrica de 3 unidades
-   Conmutador Ethernet de 8 puertos, punto de acceso inalámbrico
-   Cables UTP se compone de cables RJ-45
·  Sistema de fallas:
-   Módulo de inserción y eliminación de fallos
·  Software:
-   Último servidor de Windows O/S
-   Último cliente de Windows O/S
-   Software de comunicación
-   Antivirus y seguridad en internet
·  Herramientas y probador:
-   Equipo herramientas de servicio de red, incluye el comprobador de LAN y el engarce de cables
·  Accesorios:
-   Manual de experimentación
-   Windows Server Book
-   Caja de almacenamiento de piezas
-   Panel Mobile Frame Mini tipo (L1.20 m x A0.10 m x H1.20 m)
-   Alimentación eléctrica: 220 V,  60 Hz.</v>
      </c>
      <c r="J1099" s="213">
        <f>IFERROR(__xludf.DUMMYFUNCTION("""COMPUTED_VALUE"""),3.0)</f>
        <v>3</v>
      </c>
      <c r="K1099" s="213" t="str">
        <f>IFERROR(__xludf.DUMMYFUNCTION("""COMPUTED_VALUE"""),"170 DÍAS CALENDARIO")</f>
        <v>170 DÍAS CALENDARIO</v>
      </c>
      <c r="L1099" s="213" t="str">
        <f>IFERROR(__xludf.DUMMYFUNCTION("""COMPUTED_VALUE"""),"")</f>
        <v/>
      </c>
      <c r="M1099" s="213">
        <f>IFERROR(__xludf.DUMMYFUNCTION("""COMPUTED_VALUE"""),1.0)</f>
        <v>1</v>
      </c>
      <c r="N1099" s="213">
        <f>IFERROR(__xludf.DUMMYFUNCTION("""COMPUTED_VALUE"""),1.0)</f>
        <v>1</v>
      </c>
      <c r="O1099" s="213">
        <f>IFERROR(__xludf.DUMMYFUNCTION("""COMPUTED_VALUE"""),1.0)</f>
        <v>1</v>
      </c>
      <c r="P1099" s="213"/>
      <c r="Q1099" s="213"/>
      <c r="R1099" s="213"/>
      <c r="S1099" s="213" t="str">
        <f>IFERROR(__xludf.DUMMYFUNCTION("""COMPUTED_VALUE"""),"SI")</f>
        <v>SI</v>
      </c>
      <c r="T1099" s="213" t="str">
        <f>IFERROR(__xludf.DUMMYFUNCTION("""COMPUTED_VALUE"""),"SI")</f>
        <v>SI</v>
      </c>
      <c r="U1099" s="213" t="str">
        <f>IFERROR(__xludf.DUMMYFUNCTION("""COMPUTED_VALUE"""),"SI")</f>
        <v>SI</v>
      </c>
      <c r="V1099" s="213" t="str">
        <f>IFERROR(__xludf.DUMMYFUNCTION("""COMPUTED_VALUE"""),"-")</f>
        <v>-</v>
      </c>
      <c r="W1099" s="213" t="str">
        <f>IFERROR(__xludf.DUMMYFUNCTION("""COMPUTED_VALUE"""),"-")</f>
        <v>-</v>
      </c>
      <c r="X1099" s="213" t="str">
        <f>IFERROR(__xludf.DUMMYFUNCTION("""COMPUTED_VALUE"""),"LABTECH")</f>
        <v>LABTECH</v>
      </c>
      <c r="Y1099" s="213" t="str">
        <f>IFERROR(__xludf.DUMMYFUNCTION("""COMPUTED_VALUE"""),"CLP-PCN-1")</f>
        <v>CLP-PCN-1</v>
      </c>
      <c r="Z1099" s="215" t="str">
        <f>IFERROR(__xludf.DUMMYFUNCTION("""COMPUTED_VALUE"""),"https://drive.google.com/file/d/1X70LaF7RqF7SoV2RK4MYqFx3rnQO6yLW/view?usp=sharing")</f>
        <v>https://drive.google.com/file/d/1X70LaF7RqF7SoV2RK4MYqFx3rnQO6yLW/view?usp=sharing</v>
      </c>
      <c r="AA1099" s="213" t="str">
        <f>IFERROR(__xludf.DUMMYFUNCTION("""COMPUTED_VALUE"""),"ESP-153 KIT DE ENTRENADOR BÁSICO DE SISTEMA DE RED DE PC - CET")</f>
        <v>ESP-153 KIT DE ENTRENADOR BÁSICO DE SISTEMA DE RED DE PC - CET</v>
      </c>
      <c r="AB1099" s="215" t="str">
        <f>IFERROR(__xludf.DUMMYFUNCTION("""COMPUTED_VALUE"""),"https://drive.google.com/file/d/1X70LaF7RqF7SoV2RK4MYqFx3rnQO6yLW/view?usp=sharing")</f>
        <v>https://drive.google.com/file/d/1X70LaF7RqF7SoV2RK4MYqFx3rnQO6yLW/view?usp=sharing</v>
      </c>
      <c r="AC1099" s="213"/>
      <c r="AD1099" s="213"/>
      <c r="AE1099" s="213"/>
      <c r="AF1099" s="213"/>
      <c r="AG1099" s="213"/>
      <c r="AH1099" s="213"/>
      <c r="AI1099" s="213"/>
      <c r="AJ1099" s="213"/>
      <c r="AK1099" s="213"/>
      <c r="AL1099" s="213"/>
      <c r="AM1099" s="213"/>
      <c r="AN1099" s="213"/>
      <c r="AO1099" s="213"/>
      <c r="AP1099" s="213" t="str">
        <f>IFERROR(__xludf.DUMMYFUNCTION("""COMPUTED_VALUE"""),"MICHEL")</f>
        <v>MICHEL</v>
      </c>
      <c r="AQ1099" s="213" t="str">
        <f>IFERROR(__xludf.DUMMYFUNCTION("""COMPUTED_VALUE"""),"Se debe tener en cuenta todos las conexiones eléctricas de los diversos componentes del kit (pantallas, CPU, módulos, modem, etc.)
Tener en cuenta que este equipo tiene un tiempo de fabricacion que puede exceder los 120 dias, sin embargo se debe saber que"&amp;" como modulo es el unico que cumple con las EETT especificamente.")</f>
        <v>Se debe tener en cuenta todos las conexiones eléctricas de los diversos componentes del kit (pantallas, CPU, módulos, modem, etc.)
Tener en cuenta que este equipo tiene un tiempo de fabricacion que puede exceder los 120 dias, sin embargo se debe saber que como modulo es el unico que cumple con las EETT especificamente.</v>
      </c>
      <c r="AR1099" s="213"/>
      <c r="AS1099" s="213"/>
      <c r="AT1099" s="213"/>
      <c r="AU1099" s="213"/>
      <c r="AV1099" s="213"/>
      <c r="AW1099" s="213"/>
      <c r="AX1099" s="213"/>
      <c r="AY1099" s="213"/>
      <c r="AZ1099" s="213"/>
      <c r="BA1099" s="213"/>
      <c r="BB1099" s="213"/>
      <c r="BC1099" s="213"/>
      <c r="BD1099" s="213"/>
    </row>
    <row r="1100">
      <c r="A1100" s="213">
        <f>IFERROR(__xludf.DUMMYFUNCTION("""COMPUTED_VALUE"""),1711.0)</f>
        <v>1711</v>
      </c>
      <c r="B1100" s="213" t="str">
        <f>IFERROR(__xludf.DUMMYFUNCTION("""COMPUTED_VALUE"""),"GUILLERMO E. BILLINGHURST ")</f>
        <v>GUILLERMO E. BILLINGHURST </v>
      </c>
      <c r="C1100" s="213" t="str">
        <f>IFERROR(__xludf.DUMMYFUNCTION("""COMPUTED_VALUE"""),"TALLER SFT DE COMPUTACIÓN E INFORMÁTICA")</f>
        <v>TALLER SFT DE COMPUTACIÓN E INFORMÁTICA</v>
      </c>
      <c r="D1100" s="213" t="str">
        <f>IFERROR(__xludf.DUMMYFUNCTION("""COMPUTED_VALUE"""),"EQUIPOS")</f>
        <v>EQUIPOS</v>
      </c>
      <c r="E1100" s="213" t="str">
        <f>IFERROR(__xludf.DUMMYFUNCTION("""COMPUTED_VALUE"""),"ESP-153")</f>
        <v>ESP-153</v>
      </c>
      <c r="F1100" s="213" t="str">
        <f>IFERROR(__xludf.DUMMYFUNCTION("""COMPUTED_VALUE"""),"ESP-153")</f>
        <v>ESP-153</v>
      </c>
      <c r="G1100" s="213"/>
      <c r="H1100" s="213" t="str">
        <f>IFERROR(__xludf.DUMMYFUNCTION("""COMPUTED_VALUE"""),"KIT DE ENTRENADOR BÁSICO DE SISTEMA DE RED DE PC")</f>
        <v>KIT DE ENTRENADOR BÁSICO DE SISTEMA DE RED DE PC</v>
      </c>
      <c r="I1100" s="213" t="str">
        <f>IFERROR(__xludf.DUMMYFUNCTION("""COMPUTED_VALUE"""),"Kit de entrenador
·  Diseñado para la creación de sistemas LAN, compatibles con la mayoría de software de LAN.
·  Incluye todos los componentes y periféricos estándar para un sistema de red y proporciona todos los módulos y piezas necesarios para crear un"&amp;"a red inalámbrica y una red de par trenzado.
·  Componentes y sistemas incluidos:
Manual de experimentos para estudiantes sobre los componentes que conforman un sistema de red de PC, cómo probar y solucionar problemas de los componentes y módulos. Los mat"&amp;"eriales orientados al sistema de certificación CompTIA NET+.
·  Módem: Módem de banda ancha de 1 unidad completo con conector de cable
·  Componentes y módulos de red:
-   Interfaz de red Ethernet de 3 unidades
-   Interfaz de red inalámbrica de 3 unidade"&amp;"s
-   Conmutador Ethernet de 8 puertos, punto de acceso inalámbrico
-   Cables UTP se compone de cables RJ-45
·  Sistema de fallas:
-   Módulo de inserción y eliminación de fallos
·  Software:
-   Último servidor de Windows O/S
-   Último cliente de Windo"&amp;"ws O/S
-   Software de comunicación
-   Antivirus y seguridad en internet
·  Herramientas y probador:
-   Equipo herramientas de servicio de red, incluye el comprobador de LAN y el engarce de cables
·  Accesorios:
-   Manual de experimentación
-   Windows"&amp;" Server Book
-   Caja de almacenamiento de piezas
-   Panel Mobile Frame Mini tipo (L1.20 m x A0.10 m x H1.20 m)
-   Alimentación eléctrica: 220 V,  60 Hz.")</f>
        <v>Kit de entrenador
·  Diseñado para la creación de sistemas LAN, compatibles con la mayoría de software de LAN.
·  Incluye todos los componentes y periféricos estándar para un sistema de red y proporciona todos los módulos y piezas necesarios para crear una red inalámbrica y una red de par trenzado.
·  Componentes y sistemas incluidos:
Manual de experimentos para estudiantes sobre los componentes que conforman un sistema de red de PC, cómo probar y solucionar problemas de los componentes y módulos. Los materiales orientados al sistema de certificación CompTIA NET+.
·  Módem: Módem de banda ancha de 1 unidad completo con conector de cable
·  Componentes y módulos de red:
-   Interfaz de red Ethernet de 3 unidades
-   Interfaz de red inalámbrica de 3 unidades
-   Conmutador Ethernet de 8 puertos, punto de acceso inalámbrico
-   Cables UTP se compone de cables RJ-45
·  Sistema de fallas:
-   Módulo de inserción y eliminación de fallos
·  Software:
-   Último servidor de Windows O/S
-   Último cliente de Windows O/S
-   Software de comunicación
-   Antivirus y seguridad en internet
·  Herramientas y probador:
-   Equipo herramientas de servicio de red, incluye el comprobador de LAN y el engarce de cables
·  Accesorios:
-   Manual de experimentación
-   Windows Server Book
-   Caja de almacenamiento de piezas
-   Panel Mobile Frame Mini tipo (L1.20 m x A0.10 m x H1.20 m)
-   Alimentación eléctrica: 220 V,  60 Hz.</v>
      </c>
      <c r="J1100" s="213">
        <f>IFERROR(__xludf.DUMMYFUNCTION("""COMPUTED_VALUE"""),3.0)</f>
        <v>3</v>
      </c>
      <c r="K1100" s="213" t="str">
        <f>IFERROR(__xludf.DUMMYFUNCTION("""COMPUTED_VALUE"""),"170 DÍAS CALENDARIO")</f>
        <v>170 DÍAS CALENDARIO</v>
      </c>
      <c r="L1100" s="213" t="str">
        <f>IFERROR(__xludf.DUMMYFUNCTION("""COMPUTED_VALUE"""),"")</f>
        <v/>
      </c>
      <c r="M1100" s="213">
        <f>IFERROR(__xludf.DUMMYFUNCTION("""COMPUTED_VALUE"""),1.0)</f>
        <v>1</v>
      </c>
      <c r="N1100" s="213">
        <f>IFERROR(__xludf.DUMMYFUNCTION("""COMPUTED_VALUE"""),1.0)</f>
        <v>1</v>
      </c>
      <c r="O1100" s="213">
        <f>IFERROR(__xludf.DUMMYFUNCTION("""COMPUTED_VALUE"""),1.0)</f>
        <v>1</v>
      </c>
      <c r="P1100" s="213"/>
      <c r="Q1100" s="213"/>
      <c r="R1100" s="213"/>
      <c r="S1100" s="213" t="str">
        <f>IFERROR(__xludf.DUMMYFUNCTION("""COMPUTED_VALUE"""),"SI")</f>
        <v>SI</v>
      </c>
      <c r="T1100" s="213" t="str">
        <f>IFERROR(__xludf.DUMMYFUNCTION("""COMPUTED_VALUE"""),"SI")</f>
        <v>SI</v>
      </c>
      <c r="U1100" s="213" t="str">
        <f>IFERROR(__xludf.DUMMYFUNCTION("""COMPUTED_VALUE"""),"SI")</f>
        <v>SI</v>
      </c>
      <c r="V1100" s="213" t="str">
        <f>IFERROR(__xludf.DUMMYFUNCTION("""COMPUTED_VALUE"""),"-")</f>
        <v>-</v>
      </c>
      <c r="W1100" s="213" t="str">
        <f>IFERROR(__xludf.DUMMYFUNCTION("""COMPUTED_VALUE"""),"-")</f>
        <v>-</v>
      </c>
      <c r="X1100" s="213" t="str">
        <f>IFERROR(__xludf.DUMMYFUNCTION("""COMPUTED_VALUE"""),"LABTECH")</f>
        <v>LABTECH</v>
      </c>
      <c r="Y1100" s="213" t="str">
        <f>IFERROR(__xludf.DUMMYFUNCTION("""COMPUTED_VALUE"""),"CLP-PCN-1")</f>
        <v>CLP-PCN-1</v>
      </c>
      <c r="Z1100" s="215" t="str">
        <f>IFERROR(__xludf.DUMMYFUNCTION("""COMPUTED_VALUE"""),"https://drive.google.com/file/d/1X70LaF7RqF7SoV2RK4MYqFx3rnQO6yLW/view?usp=sharing")</f>
        <v>https://drive.google.com/file/d/1X70LaF7RqF7SoV2RK4MYqFx3rnQO6yLW/view?usp=sharing</v>
      </c>
      <c r="AA1100" s="213" t="str">
        <f>IFERROR(__xludf.DUMMYFUNCTION("""COMPUTED_VALUE"""),"ESP-153 KIT DE ENTRENADOR BÁSICO DE SISTEMA DE RED DE PC - CET")</f>
        <v>ESP-153 KIT DE ENTRENADOR BÁSICO DE SISTEMA DE RED DE PC - CET</v>
      </c>
      <c r="AB1100" s="215" t="str">
        <f>IFERROR(__xludf.DUMMYFUNCTION("""COMPUTED_VALUE"""),"https://drive.google.com/file/d/1X70LaF7RqF7SoV2RK4MYqFx3rnQO6yLW/view?usp=sharing")</f>
        <v>https://drive.google.com/file/d/1X70LaF7RqF7SoV2RK4MYqFx3rnQO6yLW/view?usp=sharing</v>
      </c>
      <c r="AC1100" s="213"/>
      <c r="AD1100" s="213"/>
      <c r="AE1100" s="213"/>
      <c r="AF1100" s="213"/>
      <c r="AG1100" s="213"/>
      <c r="AH1100" s="213"/>
      <c r="AI1100" s="213"/>
      <c r="AJ1100" s="213"/>
      <c r="AK1100" s="213"/>
      <c r="AL1100" s="213"/>
      <c r="AM1100" s="213"/>
      <c r="AN1100" s="213"/>
      <c r="AO1100" s="213"/>
      <c r="AP1100" s="213" t="str">
        <f>IFERROR(__xludf.DUMMYFUNCTION("""COMPUTED_VALUE"""),"MICHEL")</f>
        <v>MICHEL</v>
      </c>
      <c r="AQ1100" s="213" t="str">
        <f>IFERROR(__xludf.DUMMYFUNCTION("""COMPUTED_VALUE"""),"Se debe tener en cuenta todos las conexiones eléctricas de los diversos componentes del kit (pantallas, CPU, módulos, modem, etc.)
Tener en cuenta que este equipo tiene un tiempo de fabricacion que puede exceder los 120 dias, sin embargo se debe saber que"&amp;" como modulo es el unico que cumple con las EETT especificamente.")</f>
        <v>Se debe tener en cuenta todos las conexiones eléctricas de los diversos componentes del kit (pantallas, CPU, módulos, modem, etc.)
Tener en cuenta que este equipo tiene un tiempo de fabricacion que puede exceder los 120 dias, sin embargo se debe saber que como modulo es el unico que cumple con las EETT especificamente.</v>
      </c>
      <c r="AR1100" s="213"/>
      <c r="AS1100" s="213"/>
      <c r="AT1100" s="213"/>
      <c r="AU1100" s="213"/>
      <c r="AV1100" s="213"/>
      <c r="AW1100" s="213"/>
      <c r="AX1100" s="213"/>
      <c r="AY1100" s="213"/>
      <c r="AZ1100" s="213"/>
      <c r="BA1100" s="213"/>
      <c r="BB1100" s="213"/>
      <c r="BC1100" s="213"/>
      <c r="BD1100" s="213"/>
    </row>
    <row r="1101">
      <c r="A1101" s="213">
        <f>IFERROR(__xludf.DUMMYFUNCTION("""COMPUTED_VALUE"""),1962.0)</f>
        <v>1962</v>
      </c>
      <c r="B1101" s="213" t="str">
        <f>IFERROR(__xludf.DUMMYFUNCTION("""COMPUTED_VALUE"""),"JOSE GRANDA")</f>
        <v>JOSE GRANDA</v>
      </c>
      <c r="C1101" s="213" t="str">
        <f>IFERROR(__xludf.DUMMYFUNCTION("""COMPUTED_VALUE"""),"TALLER SFT DE COMPUTACIÓN E INFORMÁTICA")</f>
        <v>TALLER SFT DE COMPUTACIÓN E INFORMÁTICA</v>
      </c>
      <c r="D1101" s="213" t="str">
        <f>IFERROR(__xludf.DUMMYFUNCTION("""COMPUTED_VALUE"""),"EQUIPOS")</f>
        <v>EQUIPOS</v>
      </c>
      <c r="E1101" s="213" t="str">
        <f>IFERROR(__xludf.DUMMYFUNCTION("""COMPUTED_VALUE"""),"ESP-153")</f>
        <v>ESP-153</v>
      </c>
      <c r="F1101" s="213" t="str">
        <f>IFERROR(__xludf.DUMMYFUNCTION("""COMPUTED_VALUE"""),"ESP-153")</f>
        <v>ESP-153</v>
      </c>
      <c r="G1101" s="213"/>
      <c r="H1101" s="213" t="str">
        <f>IFERROR(__xludf.DUMMYFUNCTION("""COMPUTED_VALUE"""),"KIT DE ENTRENADOR BÁSICO DE SISTEMA DE RED DE PC")</f>
        <v>KIT DE ENTRENADOR BÁSICO DE SISTEMA DE RED DE PC</v>
      </c>
      <c r="I1101" s="213" t="str">
        <f>IFERROR(__xludf.DUMMYFUNCTION("""COMPUTED_VALUE"""),"Kit de entrenador
·  Diseñado para la creación de sistemas LAN, compatibles con la mayoría de software de LAN.
·  Incluye todos los componentes y periféricos estándar para un sistema de red y proporciona todos los módulos y piezas necesarios para crear un"&amp;"a red inalámbrica y una red de par trenzado.
·  Componentes y sistemas incluidos:
Manual de experimentos para estudiantes sobre los componentes que conforman un sistema de red de PC, cómo probar y solucionar problemas de los componentes y módulos. Los mat"&amp;"eriales orientados al sistema de certificación CompTIA NET+.
·  Módem: Módem de banda ancha de 1 unidad completo con conector de cable
·  Componentes y módulos de red:
-   Interfaz de red Ethernet de 3 unidades
-   Interfaz de red inalámbrica de 3 unidade"&amp;"s
-   Conmutador Ethernet de 8 puertos, punto de acceso inalámbrico
-   Cables UTP se compone de cables RJ-45
·  Sistema de fallas:
-   Módulo de inserción y eliminación de fallos
·  Software:
-   Último servidor de Windows O/S
-   Último cliente de Windo"&amp;"ws O/S
-   Software de comunicación
-   Antivirus y seguridad en internet
·  Herramientas y probador:
-   Equipo herramientas de servicio de red, incluye el comprobador de LAN y el engarce de cables
·  Accesorios:
-   Manual de experimentación
-   Windows"&amp;" Server Book
-   Caja de almacenamiento de piezas
-   Panel Mobile Frame Mini tipo (L1.20 m x A0.10 m x H1.20 m)
-   Alimentación eléctrica: 220 V,  60 Hz.")</f>
        <v>Kit de entrenador
·  Diseñado para la creación de sistemas LAN, compatibles con la mayoría de software de LAN.
·  Incluye todos los componentes y periféricos estándar para un sistema de red y proporciona todos los módulos y piezas necesarios para crear una red inalámbrica y una red de par trenzado.
·  Componentes y sistemas incluidos:
Manual de experimentos para estudiantes sobre los componentes que conforman un sistema de red de PC, cómo probar y solucionar problemas de los componentes y módulos. Los materiales orientados al sistema de certificación CompTIA NET+.
·  Módem: Módem de banda ancha de 1 unidad completo con conector de cable
·  Componentes y módulos de red:
-   Interfaz de red Ethernet de 3 unidades
-   Interfaz de red inalámbrica de 3 unidades
-   Conmutador Ethernet de 8 puertos, punto de acceso inalámbrico
-   Cables UTP se compone de cables RJ-45
·  Sistema de fallas:
-   Módulo de inserción y eliminación de fallos
·  Software:
-   Último servidor de Windows O/S
-   Último cliente de Windows O/S
-   Software de comunicación
-   Antivirus y seguridad en internet
·  Herramientas y probador:
-   Equipo herramientas de servicio de red, incluye el comprobador de LAN y el engarce de cables
·  Accesorios:
-   Manual de experimentación
-   Windows Server Book
-   Caja de almacenamiento de piezas
-   Panel Mobile Frame Mini tipo (L1.20 m x A0.10 m x H1.20 m)
-   Alimentación eléctrica: 220 V,  60 Hz.</v>
      </c>
      <c r="J1101" s="213">
        <f>IFERROR(__xludf.DUMMYFUNCTION("""COMPUTED_VALUE"""),3.0)</f>
        <v>3</v>
      </c>
      <c r="K1101" s="213" t="str">
        <f>IFERROR(__xludf.DUMMYFUNCTION("""COMPUTED_VALUE"""),"170 DÍAS CALENDARIO")</f>
        <v>170 DÍAS CALENDARIO</v>
      </c>
      <c r="L1101" s="213" t="str">
        <f>IFERROR(__xludf.DUMMYFUNCTION("""COMPUTED_VALUE"""),"")</f>
        <v/>
      </c>
      <c r="M1101" s="213">
        <f>IFERROR(__xludf.DUMMYFUNCTION("""COMPUTED_VALUE"""),1.0)</f>
        <v>1</v>
      </c>
      <c r="N1101" s="213">
        <f>IFERROR(__xludf.DUMMYFUNCTION("""COMPUTED_VALUE"""),1.0)</f>
        <v>1</v>
      </c>
      <c r="O1101" s="213">
        <f>IFERROR(__xludf.DUMMYFUNCTION("""COMPUTED_VALUE"""),1.0)</f>
        <v>1</v>
      </c>
      <c r="P1101" s="213"/>
      <c r="Q1101" s="213"/>
      <c r="R1101" s="213"/>
      <c r="S1101" s="213" t="str">
        <f>IFERROR(__xludf.DUMMYFUNCTION("""COMPUTED_VALUE"""),"SI")</f>
        <v>SI</v>
      </c>
      <c r="T1101" s="213" t="str">
        <f>IFERROR(__xludf.DUMMYFUNCTION("""COMPUTED_VALUE"""),"SI")</f>
        <v>SI</v>
      </c>
      <c r="U1101" s="213" t="str">
        <f>IFERROR(__xludf.DUMMYFUNCTION("""COMPUTED_VALUE"""),"SI")</f>
        <v>SI</v>
      </c>
      <c r="V1101" s="213" t="str">
        <f>IFERROR(__xludf.DUMMYFUNCTION("""COMPUTED_VALUE"""),"-")</f>
        <v>-</v>
      </c>
      <c r="W1101" s="213" t="str">
        <f>IFERROR(__xludf.DUMMYFUNCTION("""COMPUTED_VALUE"""),"-")</f>
        <v>-</v>
      </c>
      <c r="X1101" s="213" t="str">
        <f>IFERROR(__xludf.DUMMYFUNCTION("""COMPUTED_VALUE"""),"LABTECH")</f>
        <v>LABTECH</v>
      </c>
      <c r="Y1101" s="213" t="str">
        <f>IFERROR(__xludf.DUMMYFUNCTION("""COMPUTED_VALUE"""),"CLP-PCN-1")</f>
        <v>CLP-PCN-1</v>
      </c>
      <c r="Z1101" s="215" t="str">
        <f>IFERROR(__xludf.DUMMYFUNCTION("""COMPUTED_VALUE"""),"https://drive.google.com/file/d/1X70LaF7RqF7SoV2RK4MYqFx3rnQO6yLW/view?usp=sharing")</f>
        <v>https://drive.google.com/file/d/1X70LaF7RqF7SoV2RK4MYqFx3rnQO6yLW/view?usp=sharing</v>
      </c>
      <c r="AA1101" s="213" t="str">
        <f>IFERROR(__xludf.DUMMYFUNCTION("""COMPUTED_VALUE"""),"ESP-153 KIT DE ENTRENADOR BÁSICO DE SISTEMA DE RED DE PC - CET")</f>
        <v>ESP-153 KIT DE ENTRENADOR BÁSICO DE SISTEMA DE RED DE PC - CET</v>
      </c>
      <c r="AB1101" s="215" t="str">
        <f>IFERROR(__xludf.DUMMYFUNCTION("""COMPUTED_VALUE"""),"https://drive.google.com/file/d/1X70LaF7RqF7SoV2RK4MYqFx3rnQO6yLW/view?usp=sharing")</f>
        <v>https://drive.google.com/file/d/1X70LaF7RqF7SoV2RK4MYqFx3rnQO6yLW/view?usp=sharing</v>
      </c>
      <c r="AC1101" s="213"/>
      <c r="AD1101" s="213"/>
      <c r="AE1101" s="213"/>
      <c r="AF1101" s="213"/>
      <c r="AG1101" s="213"/>
      <c r="AH1101" s="213"/>
      <c r="AI1101" s="213"/>
      <c r="AJ1101" s="213"/>
      <c r="AK1101" s="213"/>
      <c r="AL1101" s="213"/>
      <c r="AM1101" s="213"/>
      <c r="AN1101" s="213"/>
      <c r="AO1101" s="213"/>
      <c r="AP1101" s="213" t="str">
        <f>IFERROR(__xludf.DUMMYFUNCTION("""COMPUTED_VALUE"""),"MICHEL")</f>
        <v>MICHEL</v>
      </c>
      <c r="AQ1101" s="213" t="str">
        <f>IFERROR(__xludf.DUMMYFUNCTION("""COMPUTED_VALUE"""),"Se debe tener en cuenta todos las conexiones eléctricas de los diversos componentes del kit (pantallas, CPU, módulos, modem, etc.)
Tener en cuenta que este equipo tiene un tiempo de fabricacion que puede exceder los 120 dias, sin embargo se debe saber que"&amp;" como modulo es el unico que cumple con las EETT especificamente.")</f>
        <v>Se debe tener en cuenta todos las conexiones eléctricas de los diversos componentes del kit (pantallas, CPU, módulos, modem, etc.)
Tener en cuenta que este equipo tiene un tiempo de fabricacion que puede exceder los 120 dias, sin embargo se debe saber que como modulo es el unico que cumple con las EETT especificamente.</v>
      </c>
      <c r="AR1101" s="213"/>
      <c r="AS1101" s="213"/>
      <c r="AT1101" s="213"/>
      <c r="AU1101" s="213"/>
      <c r="AV1101" s="213"/>
      <c r="AW1101" s="213"/>
      <c r="AX1101" s="213"/>
      <c r="AY1101" s="213"/>
      <c r="AZ1101" s="213"/>
      <c r="BA1101" s="213"/>
      <c r="BB1101" s="213"/>
      <c r="BC1101" s="213"/>
      <c r="BD1101" s="213"/>
    </row>
    <row r="1102">
      <c r="A1102" s="213">
        <f>IFERROR(__xludf.DUMMYFUNCTION("""COMPUTED_VALUE"""),287.0)</f>
        <v>287</v>
      </c>
      <c r="B1102" s="213" t="str">
        <f>IFERROR(__xludf.DUMMYFUNCTION("""COMPUTED_VALUE"""),"2026 SIMON BOLIVAR")</f>
        <v>2026 SIMON BOLIVAR</v>
      </c>
      <c r="C1102" s="213" t="str">
        <f>IFERROR(__xludf.DUMMYFUNCTION("""COMPUTED_VALUE"""),"TALLER SFT DE COMPUTACIÓN E INFORMÁTICA")</f>
        <v>TALLER SFT DE COMPUTACIÓN E INFORMÁTICA</v>
      </c>
      <c r="D1102" s="213" t="str">
        <f>IFERROR(__xludf.DUMMYFUNCTION("""COMPUTED_VALUE"""),"EQUIPOS")</f>
        <v>EQUIPOS</v>
      </c>
      <c r="E1102" s="213" t="str">
        <f>IFERROR(__xludf.DUMMYFUNCTION("""COMPUTED_VALUE"""),"ESP-154")</f>
        <v>ESP-154</v>
      </c>
      <c r="F1102" s="213" t="str">
        <f>IFERROR(__xludf.DUMMYFUNCTION("""COMPUTED_VALUE"""),"ESP-154")</f>
        <v>ESP-154</v>
      </c>
      <c r="G1102" s="213"/>
      <c r="H1102" s="213" t="str">
        <f>IFERROR(__xludf.DUMMYFUNCTION("""COMPUTED_VALUE"""),"KIT DE ENTRENADOR DE REDES Y CABLEADO")</f>
        <v>KIT DE ENTRENADOR DE REDES Y CABLEADO</v>
      </c>
      <c r="I1102" s="213" t="str">
        <f>IFERROR(__xludf.DUMMYFUNCTION("""COMPUTED_VALUE"""),"El Kit de entrenador proporciona solución completa para el aprendizaje aplicados a los sistemas de cableado de red  /  Presenta módulos
de demostración para explicar los aspectos fundamentales de la topología de la red de bus, la topología de la red en an"&amp;"illo y la topología de la red en estrella.  /  Componentes y sistemas incluidos: Sistema interactivo de inserción y eliminación de fallas no destructivas (FIRM): Esto causa fallos de funcionamiento en el sistema de la red, lo que permitirá solucionar y di"&amp;"agnosticar los problemas.  /  Manual de experimentos sobre los componentes que conforman un sistema de red de PC, cómo probar y solucionar problemas de los componentes y módulos, el manual completo del instructor, hardware y software necesario para formar"&amp;" un sistema de red. Todos los materiales están alineados al sistema de certificación  CompTIA A+.   /   Módulos de demostración del sistema de red Thinnet System (10Base2). Consta de 8 módulos que simulan 8 estaciones en un sistema de red Thinet. Cada mód"&amp;"ulo incorpora un sistema de simulación de fallas para ejercicios de resolución de problemas. Un circuito cableado completo simula la topología de la red de bus utilizando un cable coaxial RG-58 BNC, conectores T y terminador de 50 ohmios.  /  Módulo de de"&amp;"mostración del sistema de red Star Topology (10BaseT). Consta de una unidad de simulación de Hub / Switch, con un sistema de fallas y 8 unidades de red simulador de estación. El módulo actúa como un concentrador / conmutador Ethernet que consta de 8 puert"&amp;"os para la conexión de topología de red estrella. Incluye 8 interruptores de simulación de fallas para simular problemas para que el estudiante pueda solucionar e identificar.
Utilizando conectores UTP Cable Cat 6A y RJ-45.  /  Módulo de demostración del "&amp;"sistema de red Token Ring. Consta de un sistema de concentrador de 1 unidad y 8 unidades de estación de red del tipo Token Ring. El módulo actúa como un concentrador que consta de 8 puertos para la conexión de topología de red Token Ring. Incluye 8 interr"&amp;"uptores de simulación de fallas para simular problemas para que el estudiante pueda solucionar problemas y reparar. Utilice conectores UTP Cable Cat 6A y RJ-45.
""Módulo de instalación de cables de red. Modelo real de instalación de ductos de cableado int"&amp;"erno de edificios de pared, que incluye el conducto y las placas de pared con un conector RJ-45. Permite utilizar las herramientas de red para verificar la continuidad de la conexión.
·  Material para ejercicios de instalación de cableado. Incluye conecto"&amp;"res, cables de red, placas de pared, conductos, herramientas y tornillos de fijación.
·  Accesorios:
-   Cables de conexión BNC, para conectar el módulo de red Sistema Thinnet
-   Simulador de terminador BNC, para la demostración del sistema de red Thinne"&amp;"t System
-   Cable de conexión UTP, para conectar la demostración de la red
-   Cable de alimentación con conector DIN, para conectar entre el módulo experimental al módulo de fuente de alimentación
-   Recipiente de plástico para la conservación de los m"&amp;"ateriales
-   Panel móvil de tres niveles de uso para estación de módulo de entrenador
·  Alimentación eléctrica: 220 V, 60 Hz
·  Incluye 40 fallas electrónicas con puntos de prueba
·  Dimensiones aproximadas : L1.80 m x A0.30 m x H1.80 m.")</f>
        <v>El Kit de entrenador proporciona solución completa para el aprendizaje aplicados a los sistemas de cableado de red  /  Presenta módulos
de demostración para explicar los aspectos fundamentales de la topología de la red de bus, la topología de la red en anillo y la topología de la red en estrella.  /  Componentes y sistemas incluidos: Sistema interactivo de inserción y eliminación de fallas no destructivas (FIRM): Esto causa fallos de funcionamiento en el sistema de la red, lo que permitirá solucionar y diagnosticar los problemas.  /  Manual de experimentos sobre los componentes que conforman un sistema de red de PC, cómo probar y solucionar problemas de los componentes y módulos, el manual completo del instructor, hardware y software necesario para formar un sistema de red. Todos los materiales están alineados al sistema de certificación  CompTIA A+.   /   Módulos de demostración del sistema de red Thinnet System (10Base2). Consta de 8 módulos que simulan 8 estaciones en un sistema de red Thinet. Cada módulo incorpora un sistema de simulación de fallas para ejercicios de resolución de problemas. Un circuito cableado completo simula la topología de la red de bus utilizando un cable coaxial RG-58 BNC, conectores T y terminador de 50 ohmios.  /  Módulo de demostración del sistema de red Star Topology (10BaseT). Consta de una unidad de simulación de Hub / Switch, con un sistema de fallas y 8 unidades de red simulador de estación. El módulo actúa como un concentrador / conmutador Ethernet que consta de 8 puertos para la conexión de topología de red estrella. Incluye 8 interruptores de simulación de fallas para simular problemas para que el estudiante pueda solucionar e identificar.
Utilizando conectores UTP Cable Cat 6A y RJ-45.  /  Módulo de demostración del sistema de red Token Ring. Consta de un sistema de concentrador de 1 unidad y 8 unidades de estación de red del tipo Token Ring. El módulo actúa como un concentrador que consta de 8 puertos para la conexión de topología de red Token Ring. Incluye 8 interruptores de simulación de fallas para simular problemas para que el estudiante pueda solucionar problemas y reparar. Utilice conectores UTP Cable Cat 6A y RJ-45.
"Módulo de instalación de cables de red. Modelo real de instalación de ductos de cableado interno de edificios de pared, que incluye el conducto y las placas de pared con un conector RJ-45. Permite utilizar las herramientas de red para verificar la continuidad de la conexión.
·  Material para ejercicios de instalación de cableado. Incluye conectores, cables de red, placas de pared, conductos, herramientas y tornillos de fijación.
·  Accesorios:
-   Cables de conexión BNC, para conectar el módulo de red Sistema Thinnet
-   Simulador de terminador BNC, para la demostración del sistema de red Thinnet System
-   Cable de conexión UTP, para conectar la demostración de la red
-   Cable de alimentación con conector DIN, para conectar entre el módulo experimental al módulo de fuente de alimentación
-   Recipiente de plástico para la conservación de los materiales
-   Panel móvil de tres niveles de uso para estación de módulo de entrenador
·  Alimentación eléctrica: 220 V, 60 Hz
·  Incluye 40 fallas electrónicas con puntos de prueba
·  Dimensiones aproximadas : L1.80 m x A0.30 m x H1.80 m.</v>
      </c>
      <c r="J1102" s="213">
        <f>IFERROR(__xludf.DUMMYFUNCTION("""COMPUTED_VALUE"""),3.0)</f>
        <v>3</v>
      </c>
      <c r="K1102" s="213" t="str">
        <f>IFERROR(__xludf.DUMMYFUNCTION("""COMPUTED_VALUE"""),"170 DÍAS CALENDARIO")</f>
        <v>170 DÍAS CALENDARIO</v>
      </c>
      <c r="L1102" s="213" t="str">
        <f>IFERROR(__xludf.DUMMYFUNCTION("""COMPUTED_VALUE"""),"")</f>
        <v/>
      </c>
      <c r="M1102" s="213">
        <f>IFERROR(__xludf.DUMMYFUNCTION("""COMPUTED_VALUE"""),1.0)</f>
        <v>1</v>
      </c>
      <c r="N1102" s="213">
        <f>IFERROR(__xludf.DUMMYFUNCTION("""COMPUTED_VALUE"""),1.0)</f>
        <v>1</v>
      </c>
      <c r="O1102" s="213">
        <f>IFERROR(__xludf.DUMMYFUNCTION("""COMPUTED_VALUE"""),1.0)</f>
        <v>1</v>
      </c>
      <c r="P1102" s="213"/>
      <c r="Q1102" s="213"/>
      <c r="R1102" s="213"/>
      <c r="S1102" s="213" t="str">
        <f>IFERROR(__xludf.DUMMYFUNCTION("""COMPUTED_VALUE"""),"SI")</f>
        <v>SI</v>
      </c>
      <c r="T1102" s="213" t="str">
        <f>IFERROR(__xludf.DUMMYFUNCTION("""COMPUTED_VALUE"""),"SI")</f>
        <v>SI</v>
      </c>
      <c r="U1102" s="213" t="str">
        <f>IFERROR(__xludf.DUMMYFUNCTION("""COMPUTED_VALUE"""),"SI")</f>
        <v>SI</v>
      </c>
      <c r="V1102" s="213" t="str">
        <f>IFERROR(__xludf.DUMMYFUNCTION("""COMPUTED_VALUE"""),"-")</f>
        <v>-</v>
      </c>
      <c r="W1102" s="213" t="str">
        <f>IFERROR(__xludf.DUMMYFUNCTION("""COMPUTED_VALUE"""),"-")</f>
        <v>-</v>
      </c>
      <c r="X1102" s="213" t="str">
        <f>IFERROR(__xludf.DUMMYFUNCTION("""COMPUTED_VALUE"""),"LABTECH")</f>
        <v>LABTECH</v>
      </c>
      <c r="Y1102" s="213" t="str">
        <f>IFERROR(__xludf.DUMMYFUNCTION("""COMPUTED_VALUE"""),"CLP-PCN-2")</f>
        <v>CLP-PCN-2</v>
      </c>
      <c r="Z1102" s="215" t="str">
        <f>IFERROR(__xludf.DUMMYFUNCTION("""COMPUTED_VALUE"""),"https://drive.google.com/file/d/1OCbFNGZGK2T29DA6DWbu93qg2m8eEn0S/view")</f>
        <v>https://drive.google.com/file/d/1OCbFNGZGK2T29DA6DWbu93qg2m8eEn0S/view</v>
      </c>
      <c r="AA1102" s="213" t="str">
        <f>IFERROR(__xludf.DUMMYFUNCTION("""COMPUTED_VALUE"""),"ESP-154 KIT DE ENTRENADOR DE REDES Y CABLEADO - CET")</f>
        <v>ESP-154 KIT DE ENTRENADOR DE REDES Y CABLEADO - CET</v>
      </c>
      <c r="AB1102" s="215" t="str">
        <f>IFERROR(__xludf.DUMMYFUNCTION("""COMPUTED_VALUE"""),"https://drive.google.com/file/d/1-1PianNXiDf7JHPbN5oqLqrzeXlMrlVH/view?usp=sharing")</f>
        <v>https://drive.google.com/file/d/1-1PianNXiDf7JHPbN5oqLqrzeXlMrlVH/view?usp=sharing</v>
      </c>
      <c r="AC1102" s="213"/>
      <c r="AD1102" s="213"/>
      <c r="AE1102" s="213"/>
      <c r="AF1102" s="213"/>
      <c r="AG1102" s="213"/>
      <c r="AH1102" s="213"/>
      <c r="AI1102" s="213"/>
      <c r="AJ1102" s="213"/>
      <c r="AK1102" s="213"/>
      <c r="AL1102" s="213"/>
      <c r="AM1102" s="213"/>
      <c r="AN1102" s="213"/>
      <c r="AO1102" s="213"/>
      <c r="AP1102" s="213" t="str">
        <f>IFERROR(__xludf.DUMMYFUNCTION("""COMPUTED_VALUE"""),"MICHEL")</f>
        <v>MICHEL</v>
      </c>
      <c r="AQ1102" s="213" t="str">
        <f>IFERROR(__xludf.DUMMYFUNCTION("""COMPUTED_VALUE"""),"Se debe tener en cuenta todos las conexiones eléctricas de los diversos componentes del kit. Tener en cuenta que este equipo tiene un tiempo de fabricacion que puede exceder los 120 dias, sin embargo se debe saber que como modulo es el unico que cumple co"&amp;"n las EETT especificamente.")</f>
        <v>Se debe tener en cuenta todos las conexiones eléctricas de los diversos componentes del kit. Tener en cuenta que este equipo tiene un tiempo de fabricacion que puede exceder los 120 dias, sin embargo se debe saber que como modulo es el unico que cumple con las EETT especificamente.</v>
      </c>
      <c r="AR1102" s="213"/>
      <c r="AS1102" s="213"/>
      <c r="AT1102" s="213"/>
      <c r="AU1102" s="213"/>
      <c r="AV1102" s="213"/>
      <c r="AW1102" s="213"/>
      <c r="AX1102" s="213"/>
      <c r="AY1102" s="213"/>
      <c r="AZ1102" s="213"/>
      <c r="BA1102" s="213"/>
      <c r="BB1102" s="213"/>
      <c r="BC1102" s="213"/>
      <c r="BD1102" s="213"/>
    </row>
    <row r="1103">
      <c r="A1103" s="213">
        <f>IFERROR(__xludf.DUMMYFUNCTION("""COMPUTED_VALUE"""),773.0)</f>
        <v>773</v>
      </c>
      <c r="B1103" s="213" t="str">
        <f>IFERROR(__xludf.DUMMYFUNCTION("""COMPUTED_VALUE"""),"6049 RICARDO PALMA")</f>
        <v>6049 RICARDO PALMA</v>
      </c>
      <c r="C1103" s="213" t="str">
        <f>IFERROR(__xludf.DUMMYFUNCTION("""COMPUTED_VALUE"""),"TALLER SFT DE COMPUTACIÓN E INFORMÁTICA")</f>
        <v>TALLER SFT DE COMPUTACIÓN E INFORMÁTICA</v>
      </c>
      <c r="D1103" s="213" t="str">
        <f>IFERROR(__xludf.DUMMYFUNCTION("""COMPUTED_VALUE"""),"EQUIPOS")</f>
        <v>EQUIPOS</v>
      </c>
      <c r="E1103" s="213" t="str">
        <f>IFERROR(__xludf.DUMMYFUNCTION("""COMPUTED_VALUE"""),"ESP-154")</f>
        <v>ESP-154</v>
      </c>
      <c r="F1103" s="213" t="str">
        <f>IFERROR(__xludf.DUMMYFUNCTION("""COMPUTED_VALUE"""),"ESP-154")</f>
        <v>ESP-154</v>
      </c>
      <c r="G1103" s="213"/>
      <c r="H1103" s="213" t="str">
        <f>IFERROR(__xludf.DUMMYFUNCTION("""COMPUTED_VALUE"""),"KIT DE ENTRENADOR DE REDES Y CABLEADO")</f>
        <v>KIT DE ENTRENADOR DE REDES Y CABLEADO</v>
      </c>
      <c r="I1103" s="213" t="str">
        <f>IFERROR(__xludf.DUMMYFUNCTION("""COMPUTED_VALUE"""),"El Kit de entrenador proporciona solución completa para el aprendizaje aplicados a los sistemas de cableado de red  /  Presenta módulos
de demostración para explicar los aspectos fundamentales de la topología de la red de bus, la topología de la red en an"&amp;"illo y la topología de la red en estrella.  /  Componentes y sistemas incluidos: Sistema interactivo de inserción y eliminación de fallas no destructivas (FIRM): Esto causa fallos de funcionamiento en el sistema de la red, lo que permitirá solucionar y di"&amp;"agnosticar los problemas.  /  Manual de experimentos sobre los componentes que conforman un sistema de red de PC, cómo probar y solucionar problemas de los componentes y módulos, el manual completo del instructor, hardware y software necesario para formar"&amp;" un sistema de red. Todos los materiales están alineados al sistema de certificación  CompTIA A+.   /   Módulos de demostración del sistema de red Thinnet System (10Base2). Consta de 8 módulos que simulan 8 estaciones en un sistema de red Thinet. Cada mód"&amp;"ulo incorpora un sistema de simulación de fallas para ejercicios de resolución de problemas. Un circuito cableado completo simula la topología de la red de bus utilizando un cable coaxial RG-58 BNC, conectores T y terminador de 50 ohmios.  /  Módulo de de"&amp;"mostración del sistema de red Star Topology (10BaseT). Consta de una unidad de simulación de Hub / Switch, con un sistema de fallas y 8 unidades de red simulador de estación. El módulo actúa como un concentrador / conmutador Ethernet que consta de 8 puert"&amp;"os para la conexión de topología de red estrella. Incluye 8 interruptores de simulación de fallas para simular problemas para que el estudiante pueda solucionar e identificar.
Utilizando conectores UTP Cable Cat 6A y RJ-45.  /  Módulo de demostración del "&amp;"sistema de red Token Ring. Consta de un sistema de concentrador de 1 unidad y 8 unidades de estación de red del tipo Token Ring. El módulo actúa como un concentrador que consta de 8 puertos para la conexión de topología de red Token Ring. Incluye 8 interr"&amp;"uptores de simulación de fallas para simular problemas para que el estudiante pueda solucionar problemas y reparar. Utilice conectores UTP Cable Cat 6A y RJ-45.
""Módulo de instalación de cables de red. Modelo real de instalación de ductos de cableado int"&amp;"erno de edificios de pared, que incluye el conducto y las placas de pared con un conector RJ-45. Permite utilizar las herramientas de red para verificar la continuidad de la conexión.
·  Material para ejercicios de instalación de cableado. Incluye conecto"&amp;"res, cables de red, placas de pared, conductos, herramientas y tornillos de fijación.
·  Accesorios:
-   Cables de conexión BNC, para conectar el módulo de red Sistema Thinnet
-   Simulador de terminador BNC, para la demostración del sistema de red Thinne"&amp;"t System
-   Cable de conexión UTP, para conectar la demostración de la red
-   Cable de alimentación con conector DIN, para conectar entre el módulo experimental al módulo de fuente de alimentación
-   Recipiente de plástico para la conservación de los m"&amp;"ateriales
-   Panel móvil de tres niveles de uso para estación de módulo de entrenador
·  Alimentación eléctrica: 220 V, 60 Hz
·  Incluye 40 fallas electrónicas con puntos de prueba
·  Dimensiones aproximadas : L1.80 m x A0.30 m x H1.80 m.")</f>
        <v>El Kit de entrenador proporciona solución completa para el aprendizaje aplicados a los sistemas de cableado de red  /  Presenta módulos
de demostración para explicar los aspectos fundamentales de la topología de la red de bus, la topología de la red en anillo y la topología de la red en estrella.  /  Componentes y sistemas incluidos: Sistema interactivo de inserción y eliminación de fallas no destructivas (FIRM): Esto causa fallos de funcionamiento en el sistema de la red, lo que permitirá solucionar y diagnosticar los problemas.  /  Manual de experimentos sobre los componentes que conforman un sistema de red de PC, cómo probar y solucionar problemas de los componentes y módulos, el manual completo del instructor, hardware y software necesario para formar un sistema de red. Todos los materiales están alineados al sistema de certificación  CompTIA A+.   /   Módulos de demostración del sistema de red Thinnet System (10Base2). Consta de 8 módulos que simulan 8 estaciones en un sistema de red Thinet. Cada módulo incorpora un sistema de simulación de fallas para ejercicios de resolución de problemas. Un circuito cableado completo simula la topología de la red de bus utilizando un cable coaxial RG-58 BNC, conectores T y terminador de 50 ohmios.  /  Módulo de demostración del sistema de red Star Topology (10BaseT). Consta de una unidad de simulación de Hub / Switch, con un sistema de fallas y 8 unidades de red simulador de estación. El módulo actúa como un concentrador / conmutador Ethernet que consta de 8 puertos para la conexión de topología de red estrella. Incluye 8 interruptores de simulación de fallas para simular problemas para que el estudiante pueda solucionar e identificar.
Utilizando conectores UTP Cable Cat 6A y RJ-45.  /  Módulo de demostración del sistema de red Token Ring. Consta de un sistema de concentrador de 1 unidad y 8 unidades de estación de red del tipo Token Ring. El módulo actúa como un concentrador que consta de 8 puertos para la conexión de topología de red Token Ring. Incluye 8 interruptores de simulación de fallas para simular problemas para que el estudiante pueda solucionar problemas y reparar. Utilice conectores UTP Cable Cat 6A y RJ-45.
"Módulo de instalación de cables de red. Modelo real de instalación de ductos de cableado interno de edificios de pared, que incluye el conducto y las placas de pared con un conector RJ-45. Permite utilizar las herramientas de red para verificar la continuidad de la conexión.
·  Material para ejercicios de instalación de cableado. Incluye conectores, cables de red, placas de pared, conductos, herramientas y tornillos de fijación.
·  Accesorios:
-   Cables de conexión BNC, para conectar el módulo de red Sistema Thinnet
-   Simulador de terminador BNC, para la demostración del sistema de red Thinnet System
-   Cable de conexión UTP, para conectar la demostración de la red
-   Cable de alimentación con conector DIN, para conectar entre el módulo experimental al módulo de fuente de alimentación
-   Recipiente de plástico para la conservación de los materiales
-   Panel móvil de tres niveles de uso para estación de módulo de entrenador
·  Alimentación eléctrica: 220 V, 60 Hz
·  Incluye 40 fallas electrónicas con puntos de prueba
·  Dimensiones aproximadas : L1.80 m x A0.30 m x H1.80 m.</v>
      </c>
      <c r="J1103" s="213">
        <f>IFERROR(__xludf.DUMMYFUNCTION("""COMPUTED_VALUE"""),3.0)</f>
        <v>3</v>
      </c>
      <c r="K1103" s="213" t="str">
        <f>IFERROR(__xludf.DUMMYFUNCTION("""COMPUTED_VALUE"""),"170 DÍAS CALENDARIO")</f>
        <v>170 DÍAS CALENDARIO</v>
      </c>
      <c r="L1103" s="213" t="str">
        <f>IFERROR(__xludf.DUMMYFUNCTION("""COMPUTED_VALUE"""),"")</f>
        <v/>
      </c>
      <c r="M1103" s="213">
        <f>IFERROR(__xludf.DUMMYFUNCTION("""COMPUTED_VALUE"""),1.0)</f>
        <v>1</v>
      </c>
      <c r="N1103" s="213">
        <f>IFERROR(__xludf.DUMMYFUNCTION("""COMPUTED_VALUE"""),1.0)</f>
        <v>1</v>
      </c>
      <c r="O1103" s="213">
        <f>IFERROR(__xludf.DUMMYFUNCTION("""COMPUTED_VALUE"""),1.0)</f>
        <v>1</v>
      </c>
      <c r="P1103" s="213"/>
      <c r="Q1103" s="213"/>
      <c r="R1103" s="213"/>
      <c r="S1103" s="213" t="str">
        <f>IFERROR(__xludf.DUMMYFUNCTION("""COMPUTED_VALUE"""),"SI")</f>
        <v>SI</v>
      </c>
      <c r="T1103" s="213" t="str">
        <f>IFERROR(__xludf.DUMMYFUNCTION("""COMPUTED_VALUE"""),"SI")</f>
        <v>SI</v>
      </c>
      <c r="U1103" s="213" t="str">
        <f>IFERROR(__xludf.DUMMYFUNCTION("""COMPUTED_VALUE"""),"SI")</f>
        <v>SI</v>
      </c>
      <c r="V1103" s="213" t="str">
        <f>IFERROR(__xludf.DUMMYFUNCTION("""COMPUTED_VALUE"""),"-")</f>
        <v>-</v>
      </c>
      <c r="W1103" s="213" t="str">
        <f>IFERROR(__xludf.DUMMYFUNCTION("""COMPUTED_VALUE"""),"-")</f>
        <v>-</v>
      </c>
      <c r="X1103" s="213" t="str">
        <f>IFERROR(__xludf.DUMMYFUNCTION("""COMPUTED_VALUE"""),"LABTECH")</f>
        <v>LABTECH</v>
      </c>
      <c r="Y1103" s="213" t="str">
        <f>IFERROR(__xludf.DUMMYFUNCTION("""COMPUTED_VALUE"""),"CLP-PCN-2")</f>
        <v>CLP-PCN-2</v>
      </c>
      <c r="Z1103" s="215" t="str">
        <f>IFERROR(__xludf.DUMMYFUNCTION("""COMPUTED_VALUE"""),"https://drive.google.com/file/d/1OCbFNGZGK2T29DA6DWbu93qg2m8eEn0S/view")</f>
        <v>https://drive.google.com/file/d/1OCbFNGZGK2T29DA6DWbu93qg2m8eEn0S/view</v>
      </c>
      <c r="AA1103" s="213" t="str">
        <f>IFERROR(__xludf.DUMMYFUNCTION("""COMPUTED_VALUE"""),"ESP-154 KIT DE ENTRENADOR DE REDES Y CABLEADO - CET")</f>
        <v>ESP-154 KIT DE ENTRENADOR DE REDES Y CABLEADO - CET</v>
      </c>
      <c r="AB1103" s="215" t="str">
        <f>IFERROR(__xludf.DUMMYFUNCTION("""COMPUTED_VALUE"""),"https://drive.google.com/file/d/1-1PianNXiDf7JHPbN5oqLqrzeXlMrlVH/view?usp=sharing")</f>
        <v>https://drive.google.com/file/d/1-1PianNXiDf7JHPbN5oqLqrzeXlMrlVH/view?usp=sharing</v>
      </c>
      <c r="AC1103" s="213"/>
      <c r="AD1103" s="213"/>
      <c r="AE1103" s="213"/>
      <c r="AF1103" s="213"/>
      <c r="AG1103" s="213"/>
      <c r="AH1103" s="213"/>
      <c r="AI1103" s="213"/>
      <c r="AJ1103" s="213"/>
      <c r="AK1103" s="213"/>
      <c r="AL1103" s="213"/>
      <c r="AM1103" s="213"/>
      <c r="AN1103" s="213"/>
      <c r="AO1103" s="213"/>
      <c r="AP1103" s="213" t="str">
        <f>IFERROR(__xludf.DUMMYFUNCTION("""COMPUTED_VALUE"""),"MICHEL")</f>
        <v>MICHEL</v>
      </c>
      <c r="AQ1103" s="213" t="str">
        <f>IFERROR(__xludf.DUMMYFUNCTION("""COMPUTED_VALUE"""),"Se debe tener en cuenta todos las conexiones eléctricas de los diversos componentes del kit. Tener en cuenta que este equipo tiene un tiempo de fabricacion que puede exceder los 120 dias, sin embargo se debe saber que como modulo es el unico que cumple co"&amp;"n las EETT especificamente.")</f>
        <v>Se debe tener en cuenta todos las conexiones eléctricas de los diversos componentes del kit. Tener en cuenta que este equipo tiene un tiempo de fabricacion que puede exceder los 120 dias, sin embargo se debe saber que como modulo es el unico que cumple con las EETT especificamente.</v>
      </c>
      <c r="AR1103" s="213"/>
      <c r="AS1103" s="213"/>
      <c r="AT1103" s="213"/>
      <c r="AU1103" s="213"/>
      <c r="AV1103" s="213"/>
      <c r="AW1103" s="213"/>
      <c r="AX1103" s="213"/>
      <c r="AY1103" s="213"/>
      <c r="AZ1103" s="213"/>
      <c r="BA1103" s="213"/>
      <c r="BB1103" s="213"/>
      <c r="BC1103" s="213"/>
      <c r="BD1103" s="213"/>
    </row>
    <row r="1104">
      <c r="A1104" s="213">
        <f>IFERROR(__xludf.DUMMYFUNCTION("""COMPUTED_VALUE"""),1712.0)</f>
        <v>1712</v>
      </c>
      <c r="B1104" s="213" t="str">
        <f>IFERROR(__xludf.DUMMYFUNCTION("""COMPUTED_VALUE"""),"GUILLERMO E. BILLINGHURST ")</f>
        <v>GUILLERMO E. BILLINGHURST </v>
      </c>
      <c r="C1104" s="213" t="str">
        <f>IFERROR(__xludf.DUMMYFUNCTION("""COMPUTED_VALUE"""),"TALLER SFT DE COMPUTACIÓN E INFORMÁTICA")</f>
        <v>TALLER SFT DE COMPUTACIÓN E INFORMÁTICA</v>
      </c>
      <c r="D1104" s="213" t="str">
        <f>IFERROR(__xludf.DUMMYFUNCTION("""COMPUTED_VALUE"""),"EQUIPOS")</f>
        <v>EQUIPOS</v>
      </c>
      <c r="E1104" s="213" t="str">
        <f>IFERROR(__xludf.DUMMYFUNCTION("""COMPUTED_VALUE"""),"ESP-154")</f>
        <v>ESP-154</v>
      </c>
      <c r="F1104" s="213" t="str">
        <f>IFERROR(__xludf.DUMMYFUNCTION("""COMPUTED_VALUE"""),"ESP-154")</f>
        <v>ESP-154</v>
      </c>
      <c r="G1104" s="213"/>
      <c r="H1104" s="213" t="str">
        <f>IFERROR(__xludf.DUMMYFUNCTION("""COMPUTED_VALUE"""),"KIT DE ENTRENADOR DE REDES Y CABLEADO")</f>
        <v>KIT DE ENTRENADOR DE REDES Y CABLEADO</v>
      </c>
      <c r="I1104" s="213" t="str">
        <f>IFERROR(__xludf.DUMMYFUNCTION("""COMPUTED_VALUE"""),"El Kit de entrenador proporciona solución completa para el aprendizaje aplicados a los sistemas de cableado de red  /  Presenta módulos
de demostración para explicar los aspectos fundamentales de la topología de la red de bus, la topología de la red en an"&amp;"illo y la topología de la red en estrella.  /  Componentes y sistemas incluidos: Sistema interactivo de inserción y eliminación de fallas no destructivas (FIRM): Esto causa fallos de funcionamiento en el sistema de la red, lo que permitirá solucionar y di"&amp;"agnosticar los problemas.  /  Manual de experimentos sobre los componentes que conforman un sistema de red de PC, cómo probar y solucionar problemas de los componentes y módulos, el manual completo del instructor, hardware y software necesario para formar"&amp;" un sistema de red. Todos los materiales están alineados al sistema de certificación  CompTIA A+.   /   Módulos de demostración del sistema de red Thinnet System (10Base2). Consta de 8 módulos que simulan 8 estaciones en un sistema de red Thinet. Cada mód"&amp;"ulo incorpora un sistema de simulación de fallas para ejercicios de resolución de problemas. Un circuito cableado completo simula la topología de la red de bus utilizando un cable coaxial RG-58 BNC, conectores T y terminador de 50 ohmios.  /  Módulo de de"&amp;"mostración del sistema de red Star Topology (10BaseT). Consta de una unidad de simulación de Hub / Switch, con un sistema de fallas y 8 unidades de red simulador de estación. El módulo actúa como un concentrador / conmutador Ethernet que consta de 8 puert"&amp;"os para la conexión de topología de red estrella. Incluye 8 interruptores de simulación de fallas para simular problemas para que el estudiante pueda solucionar e identificar.
Utilizando conectores UTP Cable Cat 6A y RJ-45.  /  Módulo de demostración del "&amp;"sistema de red Token Ring. Consta de un sistema de concentrador de 1 unidad y 8 unidades de estación de red del tipo Token Ring. El módulo actúa como un concentrador que consta de 8 puertos para la conexión de topología de red Token Ring. Incluye 8 interr"&amp;"uptores de simulación de fallas para simular problemas para que el estudiante pueda solucionar problemas y reparar. Utilice conectores UTP Cable Cat 6A y RJ-45.
""Módulo de instalación de cables de red. Modelo real de instalación de ductos de cableado int"&amp;"erno de edificios de pared, que incluye el conducto y las placas de pared con un conector RJ-45. Permite utilizar las herramientas de red para verificar la continuidad de la conexión.
·  Material para ejercicios de instalación de cableado. Incluye conecto"&amp;"res, cables de red, placas de pared, conductos, herramientas y tornillos de fijación.
·  Accesorios:
-   Cables de conexión BNC, para conectar el módulo de red Sistema Thinnet
-   Simulador de terminador BNC, para la demostración del sistema de red Thinne"&amp;"t System
-   Cable de conexión UTP, para conectar la demostración de la red
-   Cable de alimentación con conector DIN, para conectar entre el módulo experimental al módulo de fuente de alimentación
-   Recipiente de plástico para la conservación de los m"&amp;"ateriales
-   Panel móvil de tres niveles de uso para estación de módulo de entrenador
·  Alimentación eléctrica: 220 V, 60 Hz
·  Incluye 40 fallas electrónicas con puntos de prueba
·  Dimensiones aproximadas : L1.80 m x A0.30 m x H1.80 m.")</f>
        <v>El Kit de entrenador proporciona solución completa para el aprendizaje aplicados a los sistemas de cableado de red  /  Presenta módulos
de demostración para explicar los aspectos fundamentales de la topología de la red de bus, la topología de la red en anillo y la topología de la red en estrella.  /  Componentes y sistemas incluidos: Sistema interactivo de inserción y eliminación de fallas no destructivas (FIRM): Esto causa fallos de funcionamiento en el sistema de la red, lo que permitirá solucionar y diagnosticar los problemas.  /  Manual de experimentos sobre los componentes que conforman un sistema de red de PC, cómo probar y solucionar problemas de los componentes y módulos, el manual completo del instructor, hardware y software necesario para formar un sistema de red. Todos los materiales están alineados al sistema de certificación  CompTIA A+.   /   Módulos de demostración del sistema de red Thinnet System (10Base2). Consta de 8 módulos que simulan 8 estaciones en un sistema de red Thinet. Cada módulo incorpora un sistema de simulación de fallas para ejercicios de resolución de problemas. Un circuito cableado completo simula la topología de la red de bus utilizando un cable coaxial RG-58 BNC, conectores T y terminador de 50 ohmios.  /  Módulo de demostración del sistema de red Star Topology (10BaseT). Consta de una unidad de simulación de Hub / Switch, con un sistema de fallas y 8 unidades de red simulador de estación. El módulo actúa como un concentrador / conmutador Ethernet que consta de 8 puertos para la conexión de topología de red estrella. Incluye 8 interruptores de simulación de fallas para simular problemas para que el estudiante pueda solucionar e identificar.
Utilizando conectores UTP Cable Cat 6A y RJ-45.  /  Módulo de demostración del sistema de red Token Ring. Consta de un sistema de concentrador de 1 unidad y 8 unidades de estación de red del tipo Token Ring. El módulo actúa como un concentrador que consta de 8 puertos para la conexión de topología de red Token Ring. Incluye 8 interruptores de simulación de fallas para simular problemas para que el estudiante pueda solucionar problemas y reparar. Utilice conectores UTP Cable Cat 6A y RJ-45.
"Módulo de instalación de cables de red. Modelo real de instalación de ductos de cableado interno de edificios de pared, que incluye el conducto y las placas de pared con un conector RJ-45. Permite utilizar las herramientas de red para verificar la continuidad de la conexión.
·  Material para ejercicios de instalación de cableado. Incluye conectores, cables de red, placas de pared, conductos, herramientas y tornillos de fijación.
·  Accesorios:
-   Cables de conexión BNC, para conectar el módulo de red Sistema Thinnet
-   Simulador de terminador BNC, para la demostración del sistema de red Thinnet System
-   Cable de conexión UTP, para conectar la demostración de la red
-   Cable de alimentación con conector DIN, para conectar entre el módulo experimental al módulo de fuente de alimentación
-   Recipiente de plástico para la conservación de los materiales
-   Panel móvil de tres niveles de uso para estación de módulo de entrenador
·  Alimentación eléctrica: 220 V, 60 Hz
·  Incluye 40 fallas electrónicas con puntos de prueba
·  Dimensiones aproximadas : L1.80 m x A0.30 m x H1.80 m.</v>
      </c>
      <c r="J1104" s="213">
        <f>IFERROR(__xludf.DUMMYFUNCTION("""COMPUTED_VALUE"""),3.0)</f>
        <v>3</v>
      </c>
      <c r="K1104" s="213" t="str">
        <f>IFERROR(__xludf.DUMMYFUNCTION("""COMPUTED_VALUE"""),"170 DÍAS CALENDARIO")</f>
        <v>170 DÍAS CALENDARIO</v>
      </c>
      <c r="L1104" s="213" t="str">
        <f>IFERROR(__xludf.DUMMYFUNCTION("""COMPUTED_VALUE"""),"")</f>
        <v/>
      </c>
      <c r="M1104" s="213">
        <f>IFERROR(__xludf.DUMMYFUNCTION("""COMPUTED_VALUE"""),1.0)</f>
        <v>1</v>
      </c>
      <c r="N1104" s="213">
        <f>IFERROR(__xludf.DUMMYFUNCTION("""COMPUTED_VALUE"""),1.0)</f>
        <v>1</v>
      </c>
      <c r="O1104" s="213">
        <f>IFERROR(__xludf.DUMMYFUNCTION("""COMPUTED_VALUE"""),1.0)</f>
        <v>1</v>
      </c>
      <c r="P1104" s="213"/>
      <c r="Q1104" s="213"/>
      <c r="R1104" s="213"/>
      <c r="S1104" s="213" t="str">
        <f>IFERROR(__xludf.DUMMYFUNCTION("""COMPUTED_VALUE"""),"SI")</f>
        <v>SI</v>
      </c>
      <c r="T1104" s="213" t="str">
        <f>IFERROR(__xludf.DUMMYFUNCTION("""COMPUTED_VALUE"""),"SI")</f>
        <v>SI</v>
      </c>
      <c r="U1104" s="213" t="str">
        <f>IFERROR(__xludf.DUMMYFUNCTION("""COMPUTED_VALUE"""),"SI")</f>
        <v>SI</v>
      </c>
      <c r="V1104" s="213" t="str">
        <f>IFERROR(__xludf.DUMMYFUNCTION("""COMPUTED_VALUE"""),"-")</f>
        <v>-</v>
      </c>
      <c r="W1104" s="213" t="str">
        <f>IFERROR(__xludf.DUMMYFUNCTION("""COMPUTED_VALUE"""),"-")</f>
        <v>-</v>
      </c>
      <c r="X1104" s="213" t="str">
        <f>IFERROR(__xludf.DUMMYFUNCTION("""COMPUTED_VALUE"""),"LABTECH")</f>
        <v>LABTECH</v>
      </c>
      <c r="Y1104" s="213" t="str">
        <f>IFERROR(__xludf.DUMMYFUNCTION("""COMPUTED_VALUE"""),"CLP-PCN-2")</f>
        <v>CLP-PCN-2</v>
      </c>
      <c r="Z1104" s="215" t="str">
        <f>IFERROR(__xludf.DUMMYFUNCTION("""COMPUTED_VALUE"""),"https://drive.google.com/file/d/1OCbFNGZGK2T29DA6DWbu93qg2m8eEn0S/view")</f>
        <v>https://drive.google.com/file/d/1OCbFNGZGK2T29DA6DWbu93qg2m8eEn0S/view</v>
      </c>
      <c r="AA1104" s="213" t="str">
        <f>IFERROR(__xludf.DUMMYFUNCTION("""COMPUTED_VALUE"""),"ESP-154 KIT DE ENTRENADOR DE REDES Y CABLEADO - CET")</f>
        <v>ESP-154 KIT DE ENTRENADOR DE REDES Y CABLEADO - CET</v>
      </c>
      <c r="AB1104" s="215" t="str">
        <f>IFERROR(__xludf.DUMMYFUNCTION("""COMPUTED_VALUE"""),"https://drive.google.com/file/d/1-1PianNXiDf7JHPbN5oqLqrzeXlMrlVH/view?usp=sharing")</f>
        <v>https://drive.google.com/file/d/1-1PianNXiDf7JHPbN5oqLqrzeXlMrlVH/view?usp=sharing</v>
      </c>
      <c r="AC1104" s="213"/>
      <c r="AD1104" s="213"/>
      <c r="AE1104" s="213"/>
      <c r="AF1104" s="213"/>
      <c r="AG1104" s="213"/>
      <c r="AH1104" s="213"/>
      <c r="AI1104" s="213"/>
      <c r="AJ1104" s="213"/>
      <c r="AK1104" s="213"/>
      <c r="AL1104" s="213"/>
      <c r="AM1104" s="213"/>
      <c r="AN1104" s="213"/>
      <c r="AO1104" s="213"/>
      <c r="AP1104" s="213" t="str">
        <f>IFERROR(__xludf.DUMMYFUNCTION("""COMPUTED_VALUE"""),"MICHEL")</f>
        <v>MICHEL</v>
      </c>
      <c r="AQ1104" s="213" t="str">
        <f>IFERROR(__xludf.DUMMYFUNCTION("""COMPUTED_VALUE"""),"Se debe tener en cuenta todos las conexiones eléctricas de los diversos componentes del kit. Tener en cuenta que este equipo tiene un tiempo de fabricacion que puede exceder los 120 dias, sin embargo se debe saber que como modulo es el unico que cumple co"&amp;"n las EETT especificamente.")</f>
        <v>Se debe tener en cuenta todos las conexiones eléctricas de los diversos componentes del kit. Tener en cuenta que este equipo tiene un tiempo de fabricacion que puede exceder los 120 dias, sin embargo se debe saber que como modulo es el unico que cumple con las EETT especificamente.</v>
      </c>
      <c r="AR1104" s="213"/>
      <c r="AS1104" s="213"/>
      <c r="AT1104" s="213"/>
      <c r="AU1104" s="213"/>
      <c r="AV1104" s="213"/>
      <c r="AW1104" s="213"/>
      <c r="AX1104" s="213"/>
      <c r="AY1104" s="213"/>
      <c r="AZ1104" s="213"/>
      <c r="BA1104" s="213"/>
      <c r="BB1104" s="213"/>
      <c r="BC1104" s="213"/>
      <c r="BD1104" s="213"/>
    </row>
    <row r="1105">
      <c r="A1105" s="213">
        <f>IFERROR(__xludf.DUMMYFUNCTION("""COMPUTED_VALUE"""),1963.0)</f>
        <v>1963</v>
      </c>
      <c r="B1105" s="213" t="str">
        <f>IFERROR(__xludf.DUMMYFUNCTION("""COMPUTED_VALUE"""),"JOSE GRANDA")</f>
        <v>JOSE GRANDA</v>
      </c>
      <c r="C1105" s="213" t="str">
        <f>IFERROR(__xludf.DUMMYFUNCTION("""COMPUTED_VALUE"""),"TALLER SFT DE COMPUTACIÓN E INFORMÁTICA")</f>
        <v>TALLER SFT DE COMPUTACIÓN E INFORMÁTICA</v>
      </c>
      <c r="D1105" s="213" t="str">
        <f>IFERROR(__xludf.DUMMYFUNCTION("""COMPUTED_VALUE"""),"EQUIPOS")</f>
        <v>EQUIPOS</v>
      </c>
      <c r="E1105" s="213" t="str">
        <f>IFERROR(__xludf.DUMMYFUNCTION("""COMPUTED_VALUE"""),"ESP-154")</f>
        <v>ESP-154</v>
      </c>
      <c r="F1105" s="213" t="str">
        <f>IFERROR(__xludf.DUMMYFUNCTION("""COMPUTED_VALUE"""),"ESP-154")</f>
        <v>ESP-154</v>
      </c>
      <c r="G1105" s="213"/>
      <c r="H1105" s="213" t="str">
        <f>IFERROR(__xludf.DUMMYFUNCTION("""COMPUTED_VALUE"""),"KIT DE ENTRENADOR DE REDES Y CABLEADO")</f>
        <v>KIT DE ENTRENADOR DE REDES Y CABLEADO</v>
      </c>
      <c r="I1105" s="213" t="str">
        <f>IFERROR(__xludf.DUMMYFUNCTION("""COMPUTED_VALUE"""),"El Kit de entrenador proporciona solución completa para el aprendizaje aplicados a los sistemas de cableado de red  /  Presenta módulos
de demostración para explicar los aspectos fundamentales de la topología de la red de bus, la topología de la red en an"&amp;"illo y la topología de la red en estrella.  /  Componentes y sistemas incluidos: Sistema interactivo de inserción y eliminación de fallas no destructivas (FIRM): Esto causa fallos de funcionamiento en el sistema de la red, lo que permitirá solucionar y di"&amp;"agnosticar los problemas.  /  Manual de experimentos sobre los componentes que conforman un sistema de red de PC, cómo probar y solucionar problemas de los componentes y módulos, el manual completo del instructor, hardware y software necesario para formar"&amp;" un sistema de red. Todos los materiales están alineados al sistema de certificación  CompTIA A+.   /   Módulos de demostración del sistema de red Thinnet System (10Base2). Consta de 8 módulos que simulan 8 estaciones en un sistema de red Thinet. Cada mód"&amp;"ulo incorpora un sistema de simulación de fallas para ejercicios de resolución de problemas. Un circuito cableado completo simula la topología de la red de bus utilizando un cable coaxial RG-58 BNC, conectores T y terminador de 50 ohmios.  /  Módulo de de"&amp;"mostración del sistema de red Star Topology (10BaseT). Consta de una unidad de simulación de Hub / Switch, con un sistema de fallas y 8 unidades de red simulador de estación. El módulo actúa como un concentrador / conmutador Ethernet que consta de 8 puert"&amp;"os para la conexión de topología de red estrella. Incluye 8 interruptores de simulación de fallas para simular problemas para que el estudiante pueda solucionar e identificar.
Utilizando conectores UTP Cable Cat 6A y RJ-45.  /  Módulo de demostración del "&amp;"sistema de red Token Ring. Consta de un sistema de concentrador de 1 unidad y 8 unidades de estación de red del tipo Token Ring. El módulo actúa como un concentrador que consta de 8 puertos para la conexión de topología de red Token Ring. Incluye 8 interr"&amp;"uptores de simulación de fallas para simular problemas para que el estudiante pueda solucionar problemas y reparar. Utilice conectores UTP Cable Cat 6A y RJ-45.
""Módulo de instalación de cables de red. Modelo real de instalación de ductos de cableado int"&amp;"erno de edificios de pared, que incluye el conducto y las placas de pared con un conector RJ-45. Permite utilizar las herramientas de red para verificar la continuidad de la conexión.
·  Material para ejercicios de instalación de cableado. Incluye conecto"&amp;"res, cables de red, placas de pared, conductos, herramientas y tornillos de fijación.
·  Accesorios:
-   Cables de conexión BNC, para conectar el módulo de red Sistema Thinnet
-   Simulador de terminador BNC, para la demostración del sistema de red Thinne"&amp;"t System
-   Cable de conexión UTP, para conectar la demostración de la red
-   Cable de alimentación con conector DIN, para conectar entre el módulo experimental al módulo de fuente de alimentación
-   Recipiente de plástico para la conservación de los m"&amp;"ateriales
-   Panel móvil de tres niveles de uso para estación de módulo de entrenador
·  Alimentación eléctrica: 220 V, 60 Hz
·  Incluye 40 fallas electrónicas con puntos de prueba
·  Dimensiones aproximadas : L1.80 m x A0.30 m x H1.80 m.")</f>
        <v>El Kit de entrenador proporciona solución completa para el aprendizaje aplicados a los sistemas de cableado de red  /  Presenta módulos
de demostración para explicar los aspectos fundamentales de la topología de la red de bus, la topología de la red en anillo y la topología de la red en estrella.  /  Componentes y sistemas incluidos: Sistema interactivo de inserción y eliminación de fallas no destructivas (FIRM): Esto causa fallos de funcionamiento en el sistema de la red, lo que permitirá solucionar y diagnosticar los problemas.  /  Manual de experimentos sobre los componentes que conforman un sistema de red de PC, cómo probar y solucionar problemas de los componentes y módulos, el manual completo del instructor, hardware y software necesario para formar un sistema de red. Todos los materiales están alineados al sistema de certificación  CompTIA A+.   /   Módulos de demostración del sistema de red Thinnet System (10Base2). Consta de 8 módulos que simulan 8 estaciones en un sistema de red Thinet. Cada módulo incorpora un sistema de simulación de fallas para ejercicios de resolución de problemas. Un circuito cableado completo simula la topología de la red de bus utilizando un cable coaxial RG-58 BNC, conectores T y terminador de 50 ohmios.  /  Módulo de demostración del sistema de red Star Topology (10BaseT). Consta de una unidad de simulación de Hub / Switch, con un sistema de fallas y 8 unidades de red simulador de estación. El módulo actúa como un concentrador / conmutador Ethernet que consta de 8 puertos para la conexión de topología de red estrella. Incluye 8 interruptores de simulación de fallas para simular problemas para que el estudiante pueda solucionar e identificar.
Utilizando conectores UTP Cable Cat 6A y RJ-45.  /  Módulo de demostración del sistema de red Token Ring. Consta de un sistema de concentrador de 1 unidad y 8 unidades de estación de red del tipo Token Ring. El módulo actúa como un concentrador que consta de 8 puertos para la conexión de topología de red Token Ring. Incluye 8 interruptores de simulación de fallas para simular problemas para que el estudiante pueda solucionar problemas y reparar. Utilice conectores UTP Cable Cat 6A y RJ-45.
"Módulo de instalación de cables de red. Modelo real de instalación de ductos de cableado interno de edificios de pared, que incluye el conducto y las placas de pared con un conector RJ-45. Permite utilizar las herramientas de red para verificar la continuidad de la conexión.
·  Material para ejercicios de instalación de cableado. Incluye conectores, cables de red, placas de pared, conductos, herramientas y tornillos de fijación.
·  Accesorios:
-   Cables de conexión BNC, para conectar el módulo de red Sistema Thinnet
-   Simulador de terminador BNC, para la demostración del sistema de red Thinnet System
-   Cable de conexión UTP, para conectar la demostración de la red
-   Cable de alimentación con conector DIN, para conectar entre el módulo experimental al módulo de fuente de alimentación
-   Recipiente de plástico para la conservación de los materiales
-   Panel móvil de tres niveles de uso para estación de módulo de entrenador
·  Alimentación eléctrica: 220 V, 60 Hz
·  Incluye 40 fallas electrónicas con puntos de prueba
·  Dimensiones aproximadas : L1.80 m x A0.30 m x H1.80 m.</v>
      </c>
      <c r="J1105" s="213">
        <f>IFERROR(__xludf.DUMMYFUNCTION("""COMPUTED_VALUE"""),3.0)</f>
        <v>3</v>
      </c>
      <c r="K1105" s="213" t="str">
        <f>IFERROR(__xludf.DUMMYFUNCTION("""COMPUTED_VALUE"""),"170 DÍAS CALENDARIO")</f>
        <v>170 DÍAS CALENDARIO</v>
      </c>
      <c r="L1105" s="213" t="str">
        <f>IFERROR(__xludf.DUMMYFUNCTION("""COMPUTED_VALUE"""),"")</f>
        <v/>
      </c>
      <c r="M1105" s="213">
        <f>IFERROR(__xludf.DUMMYFUNCTION("""COMPUTED_VALUE"""),1.0)</f>
        <v>1</v>
      </c>
      <c r="N1105" s="213">
        <f>IFERROR(__xludf.DUMMYFUNCTION("""COMPUTED_VALUE"""),1.0)</f>
        <v>1</v>
      </c>
      <c r="O1105" s="213">
        <f>IFERROR(__xludf.DUMMYFUNCTION("""COMPUTED_VALUE"""),1.0)</f>
        <v>1</v>
      </c>
      <c r="P1105" s="213"/>
      <c r="Q1105" s="213"/>
      <c r="R1105" s="213"/>
      <c r="S1105" s="213" t="str">
        <f>IFERROR(__xludf.DUMMYFUNCTION("""COMPUTED_VALUE"""),"SI")</f>
        <v>SI</v>
      </c>
      <c r="T1105" s="213" t="str">
        <f>IFERROR(__xludf.DUMMYFUNCTION("""COMPUTED_VALUE"""),"SI")</f>
        <v>SI</v>
      </c>
      <c r="U1105" s="213" t="str">
        <f>IFERROR(__xludf.DUMMYFUNCTION("""COMPUTED_VALUE"""),"SI")</f>
        <v>SI</v>
      </c>
      <c r="V1105" s="213" t="str">
        <f>IFERROR(__xludf.DUMMYFUNCTION("""COMPUTED_VALUE"""),"-")</f>
        <v>-</v>
      </c>
      <c r="W1105" s="213" t="str">
        <f>IFERROR(__xludf.DUMMYFUNCTION("""COMPUTED_VALUE"""),"-")</f>
        <v>-</v>
      </c>
      <c r="X1105" s="213" t="str">
        <f>IFERROR(__xludf.DUMMYFUNCTION("""COMPUTED_VALUE"""),"LABTECH")</f>
        <v>LABTECH</v>
      </c>
      <c r="Y1105" s="213" t="str">
        <f>IFERROR(__xludf.DUMMYFUNCTION("""COMPUTED_VALUE"""),"CLP-PCN-2")</f>
        <v>CLP-PCN-2</v>
      </c>
      <c r="Z1105" s="215" t="str">
        <f>IFERROR(__xludf.DUMMYFUNCTION("""COMPUTED_VALUE"""),"https://drive.google.com/file/d/1OCbFNGZGK2T29DA6DWbu93qg2m8eEn0S/view")</f>
        <v>https://drive.google.com/file/d/1OCbFNGZGK2T29DA6DWbu93qg2m8eEn0S/view</v>
      </c>
      <c r="AA1105" s="213" t="str">
        <f>IFERROR(__xludf.DUMMYFUNCTION("""COMPUTED_VALUE"""),"ESP-154 KIT DE ENTRENADOR DE REDES Y CABLEADO - CET")</f>
        <v>ESP-154 KIT DE ENTRENADOR DE REDES Y CABLEADO - CET</v>
      </c>
      <c r="AB1105" s="215" t="str">
        <f>IFERROR(__xludf.DUMMYFUNCTION("""COMPUTED_VALUE"""),"https://drive.google.com/file/d/1-1PianNXiDf7JHPbN5oqLqrzeXlMrlVH/view?usp=sharing")</f>
        <v>https://drive.google.com/file/d/1-1PianNXiDf7JHPbN5oqLqrzeXlMrlVH/view?usp=sharing</v>
      </c>
      <c r="AC1105" s="213"/>
      <c r="AD1105" s="213"/>
      <c r="AE1105" s="213"/>
      <c r="AF1105" s="213"/>
      <c r="AG1105" s="213"/>
      <c r="AH1105" s="213"/>
      <c r="AI1105" s="213"/>
      <c r="AJ1105" s="213"/>
      <c r="AK1105" s="213"/>
      <c r="AL1105" s="213"/>
      <c r="AM1105" s="213"/>
      <c r="AN1105" s="213"/>
      <c r="AO1105" s="213"/>
      <c r="AP1105" s="213" t="str">
        <f>IFERROR(__xludf.DUMMYFUNCTION("""COMPUTED_VALUE"""),"MICHEL")</f>
        <v>MICHEL</v>
      </c>
      <c r="AQ1105" s="213" t="str">
        <f>IFERROR(__xludf.DUMMYFUNCTION("""COMPUTED_VALUE"""),"Se debe tener en cuenta todos las conexiones eléctricas de los diversos componentes del kit. Tener en cuenta que este equipo tiene un tiempo de fabricacion que puede exceder los 120 dias, sin embargo se debe saber que como modulo es el unico que cumple co"&amp;"n las EETT especificamente.")</f>
        <v>Se debe tener en cuenta todos las conexiones eléctricas de los diversos componentes del kit. Tener en cuenta que este equipo tiene un tiempo de fabricacion que puede exceder los 120 dias, sin embargo se debe saber que como modulo es el unico que cumple con las EETT especificamente.</v>
      </c>
      <c r="AR1105" s="213"/>
      <c r="AS1105" s="213"/>
      <c r="AT1105" s="213"/>
      <c r="AU1105" s="213"/>
      <c r="AV1105" s="213"/>
      <c r="AW1105" s="213"/>
      <c r="AX1105" s="213"/>
      <c r="AY1105" s="213"/>
      <c r="AZ1105" s="213"/>
      <c r="BA1105" s="213"/>
      <c r="BB1105" s="213"/>
      <c r="BC1105" s="213"/>
      <c r="BD1105" s="213"/>
    </row>
    <row r="1106">
      <c r="A1106" s="213">
        <f>IFERROR(__xludf.DUMMYFUNCTION("""COMPUTED_VALUE"""),718.0)</f>
        <v>718</v>
      </c>
      <c r="B1106" s="213" t="str">
        <f>IFERROR(__xludf.DUMMYFUNCTION("""COMPUTED_VALUE"""),"6049 RICARDO PALMA")</f>
        <v>6049 RICARDO PALMA</v>
      </c>
      <c r="C1106" s="213" t="str">
        <f>IFERROR(__xludf.DUMMYFUNCTION("""COMPUTED_VALUE"""),"TALLER SFT DE ELECTRÓNICA")</f>
        <v>TALLER SFT DE ELECTRÓNICA</v>
      </c>
      <c r="D1106" s="213" t="str">
        <f>IFERROR(__xludf.DUMMYFUNCTION("""COMPUTED_VALUE"""),"EQUIPOS")</f>
        <v>EQUIPOS</v>
      </c>
      <c r="E1106" s="213" t="str">
        <f>IFERROR(__xludf.DUMMYFUNCTION("""COMPUTED_VALUE"""),"ESP-200")</f>
        <v>ESP-200</v>
      </c>
      <c r="F1106" s="213" t="str">
        <f>IFERROR(__xludf.DUMMYFUNCTION("""COMPUTED_VALUE"""),"ESP-200")</f>
        <v>ESP-200</v>
      </c>
      <c r="G1106" s="213"/>
      <c r="H1106" s="213" t="str">
        <f>IFERROR(__xludf.DUMMYFUNCTION("""COMPUTED_VALUE"""),"KIT DE ENTRENAMIENTO CON MICROCONTROLADORES")</f>
        <v>KIT DE ENTRENAMIENTO CON MICROCONTROLADORES</v>
      </c>
      <c r="I1106" s="213" t="str">
        <f>IFERROR(__xludf.DUMMYFUNCTION("""COMPUTED_VALUE"""),"·El Kit de entrenamiento con microcontroladores contiene:
. Entrenador para PIC de 6,8,14,18,28,40 pines y DSPIC de 40 pines
· Entrenador para programación y/o simulación en circuito con los programadores PICKIT3 o ICD3.
· El kit debe permitir el entrenam"&amp;"iento para practicar y aprender la programación básica de los microcontroladores PIC: conversión A/D, comunicación serial, visualización en LCD y display de 7 segmentos, manejo de entradas y salidas, entre otros.
· Incluye: cable de comunicación serial a "&amp;"USB, cables de conexión y manual de usuario.
· Voltaje de alimentación: 220V / 60 HZ")</f>
        <v>·El Kit de entrenamiento con microcontroladores contiene:
. Entrenador para PIC de 6,8,14,18,28,40 pines y DSPIC de 40 pines
· Entrenador para programación y/o simulación en circuito con los programadores PICKIT3 o ICD3.
· El kit debe permitir el entrenamiento para practicar y aprender la programación básica de los microcontroladores PIC: conversión A/D, comunicación serial, visualización en LCD y display de 7 segmentos, manejo de entradas y salidas, entre otros.
· Incluye: cable de comunicación serial a USB, cables de conexión y manual de usuario.
· Voltaje de alimentación: 220V / 60 HZ</v>
      </c>
      <c r="J1106" s="213">
        <f>IFERROR(__xludf.DUMMYFUNCTION("""COMPUTED_VALUE"""),3.0)</f>
        <v>3</v>
      </c>
      <c r="K1106" s="213" t="str">
        <f>IFERROR(__xludf.DUMMYFUNCTION("""COMPUTED_VALUE"""),"170 DÍAS CALENDARIO")</f>
        <v>170 DÍAS CALENDARIO</v>
      </c>
      <c r="L1106" s="213" t="str">
        <f>IFERROR(__xludf.DUMMYFUNCTION("""COMPUTED_VALUE"""),"")</f>
        <v/>
      </c>
      <c r="M1106" s="213">
        <f>IFERROR(__xludf.DUMMYFUNCTION("""COMPUTED_VALUE"""),1.0)</f>
        <v>1</v>
      </c>
      <c r="N1106" s="213">
        <f>IFERROR(__xludf.DUMMYFUNCTION("""COMPUTED_VALUE"""),4.0)</f>
        <v>4</v>
      </c>
      <c r="O1106" s="213">
        <f>IFERROR(__xludf.DUMMYFUNCTION("""COMPUTED_VALUE"""),4.0)</f>
        <v>4</v>
      </c>
      <c r="P1106" s="213"/>
      <c r="Q1106" s="213"/>
      <c r="R1106" s="213"/>
      <c r="S1106" s="213" t="str">
        <f>IFERROR(__xludf.DUMMYFUNCTION("""COMPUTED_VALUE"""),"SI")</f>
        <v>SI</v>
      </c>
      <c r="T1106" s="213" t="str">
        <f>IFERROR(__xludf.DUMMYFUNCTION("""COMPUTED_VALUE"""),"CONSULTA FINAL")</f>
        <v>CONSULTA FINAL</v>
      </c>
      <c r="U1106" s="213" t="str">
        <f>IFERROR(__xludf.DUMMYFUNCTION("""COMPUTED_VALUE"""),"NO")</f>
        <v>NO</v>
      </c>
      <c r="V1106" s="213" t="str">
        <f>IFERROR(__xludf.DUMMYFUNCTION("""COMPUTED_VALUE"""),"NO")</f>
        <v>NO</v>
      </c>
      <c r="W1106" s="213" t="str">
        <f>IFERROR(__xludf.DUMMYFUNCTION("""COMPUTED_VALUE"""),"-")</f>
        <v>-</v>
      </c>
      <c r="X1106" s="213" t="str">
        <f>IFERROR(__xludf.DUMMYFUNCTION("""COMPUTED_VALUE"""),"Shandong Xingke Intelligent Technology Co., Ltd.")</f>
        <v>Shandong Xingke Intelligent Technology Co., Ltd.</v>
      </c>
      <c r="Y1106" s="213" t="str">
        <f>IFERROR(__xludf.DUMMYFUNCTION("""COMPUTED_VALUE"""),"XK-MCB2 Microcontroller Training Set")</f>
        <v>XK-MCB2 Microcontroller Training Set</v>
      </c>
      <c r="Z1106" s="215" t="str">
        <f>IFERROR(__xludf.DUMMYFUNCTION("""COMPUTED_VALUE"""),"https://drive.google.com/file/d/1kHuEvo-uqo09r2BdBlNWsTF2fzqVk0Lh/view")</f>
        <v>https://drive.google.com/file/d/1kHuEvo-uqo09r2BdBlNWsTF2fzqVk0Lh/view</v>
      </c>
      <c r="AA1106" s="213" t="str">
        <f>IFERROR(__xludf.DUMMYFUNCTION("""COMPUTED_VALUE"""),"ESP-200 KIT DE ENTRENAMIENTO CON MICROCONTROLADORES - CET")</f>
        <v>ESP-200 KIT DE ENTRENAMIENTO CON MICROCONTROLADORES - CET</v>
      </c>
      <c r="AB1106" s="215" t="str">
        <f>IFERROR(__xludf.DUMMYFUNCTION("""COMPUTED_VALUE"""),"https://drive.google.com/file/d/1kHuEvo-uqo09r2BdBlNWsTF2fzqVk0Lh/view")</f>
        <v>https://drive.google.com/file/d/1kHuEvo-uqo09r2BdBlNWsTF2fzqVk0Lh/view</v>
      </c>
      <c r="AC1106" s="213"/>
      <c r="AD1106" s="213"/>
      <c r="AE1106" s="213"/>
      <c r="AF1106" s="213"/>
      <c r="AG1106" s="213"/>
      <c r="AH1106" s="213"/>
      <c r="AI1106" s="213"/>
      <c r="AJ1106" s="213"/>
      <c r="AK1106" s="213"/>
      <c r="AL1106" s="213"/>
      <c r="AM1106" s="213"/>
      <c r="AN1106" s="213"/>
      <c r="AO1106" s="213"/>
      <c r="AP1106" s="213" t="str">
        <f>IFERROR(__xludf.DUMMYFUNCTION("""COMPUTED_VALUE"""),"BRUNO")</f>
        <v>BRUNO</v>
      </c>
      <c r="AQ1106" s="213" t="str">
        <f>IFERROR(__xludf.DUMMYFUNCTION("""COMPUTED_VALUE"""),"EL KIT NO CUENTA CON EXPERIMENTOS CON DS PIC, SE SOLUCIONA ADQUIRIENDO UN DSPIC Y SU ENTRENADOR DE 40 PINES APARTE. REEVALUAR COMPONENTES ADICIONALES PARA EL CUMPLIMIENTO TOTAL DE LA EETT (COMPRAR ADICIONALMENTE EL PICKKIT 3 Y OTROS)")</f>
        <v>EL KIT NO CUENTA CON EXPERIMENTOS CON DS PIC, SE SOLUCIONA ADQUIRIENDO UN DSPIC Y SU ENTRENADOR DE 40 PINES APARTE. REEVALUAR COMPONENTES ADICIONALES PARA EL CUMPLIMIENTO TOTAL DE LA EETT (COMPRAR ADICIONALMENTE EL PICKKIT 3 Y OTROS)</v>
      </c>
      <c r="AR1106" s="213"/>
      <c r="AS1106" s="213"/>
      <c r="AT1106" s="213"/>
      <c r="AU1106" s="213"/>
      <c r="AV1106" s="213"/>
      <c r="AW1106" s="213"/>
      <c r="AX1106" s="213"/>
      <c r="AY1106" s="213"/>
      <c r="AZ1106" s="213"/>
      <c r="BA1106" s="213"/>
      <c r="BB1106" s="213"/>
      <c r="BC1106" s="213"/>
      <c r="BD1106" s="213"/>
    </row>
    <row r="1107">
      <c r="A1107" s="213">
        <f>IFERROR(__xludf.DUMMYFUNCTION("""COMPUTED_VALUE"""),711.0)</f>
        <v>711</v>
      </c>
      <c r="B1107" s="213" t="str">
        <f>IFERROR(__xludf.DUMMYFUNCTION("""COMPUTED_VALUE"""),"6049 RICARDO PALMA")</f>
        <v>6049 RICARDO PALMA</v>
      </c>
      <c r="C1107" s="213" t="str">
        <f>IFERROR(__xludf.DUMMYFUNCTION("""COMPUTED_VALUE"""),"TALLER SFT DE ELECTRÓNICA")</f>
        <v>TALLER SFT DE ELECTRÓNICA</v>
      </c>
      <c r="D1107" s="213" t="str">
        <f>IFERROR(__xludf.DUMMYFUNCTION("""COMPUTED_VALUE"""),"EQUIPOS")</f>
        <v>EQUIPOS</v>
      </c>
      <c r="E1107" s="213" t="str">
        <f>IFERROR(__xludf.DUMMYFUNCTION("""COMPUTED_VALUE"""),"ESP-199")</f>
        <v>ESP-199</v>
      </c>
      <c r="F1107" s="213" t="str">
        <f>IFERROR(__xludf.DUMMYFUNCTION("""COMPUTED_VALUE"""),"ESP-199")</f>
        <v>ESP-199</v>
      </c>
      <c r="G1107" s="213"/>
      <c r="H1107" s="213" t="str">
        <f>IFERROR(__xludf.DUMMYFUNCTION("""COMPUTED_VALUE"""),"KIT DE ENTRENAMIENTO DE ELECTRÓNICA DE POTENCIA")</f>
        <v>KIT DE ENTRENAMIENTO DE ELECTRÓNICA DE POTENCIA</v>
      </c>
      <c r="I1107" s="213" t="str">
        <f>IFERROR(__xludf.DUMMYFUNCTION("""COMPUTED_VALUE"""),"· El kit de entrenamiento de electrónica permitirá aplicaciones de la electrónica de potencia, como la conversión de corriente alterna a corriente continua.
· En el panel de control posee un medidor de voltaje de dos puntos, un medidor de corriente, un me"&amp;"didor de potencia.
· Tiene salida de corriente interna de CA 220 V, potencia de bobinado ajustable de CC de 0 - 220 V, con función de protección contra cortocircuitos.
· Posee conjuntos de: Resistencias, Capacitancias, inductancias, potenciómetro de resis"&amp;"tencia variable, SCR
· Podrá realizar experimento como mínimo: MOSFET, TRIAC, IGBT, DIAC, DIODE.
· Rectificadores trifásico y monofásico - Convertidores CC/CC - Chopper - Circuitos de disparo - Dispositivos de potencia y conmutación - Optoacopladores y op"&amp;"toaisladores
· Voltaje, frecuencia: 220 V, 60 Hz
· Incluye:
· mesa soporte
· Cables de conexión.")</f>
        <v>· El kit de entrenamiento de electrónica permitirá aplicaciones de la electrónica de potencia, como la conversión de corriente alterna a corriente continua.
· En el panel de control posee un medidor de voltaje de dos puntos, un medidor de corriente, un medidor de potencia.
· Tiene salida de corriente interna de CA 220 V, potencia de bobinado ajustable de CC de 0 - 220 V, con función de protección contra cortocircuitos.
· Posee conjuntos de: Resistencias, Capacitancias, inductancias, potenciómetro de resistencia variable, SCR
· Podrá realizar experimento como mínimo: MOSFET, TRIAC, IGBT, DIAC, DIODE.
· Rectificadores trifásico y monofásico - Convertidores CC/CC - Chopper - Circuitos de disparo - Dispositivos de potencia y conmutación - Optoacopladores y optoaisladores
· Voltaje, frecuencia: 220 V, 60 Hz
· Incluye:
· mesa soporte
· Cables de conexión.</v>
      </c>
      <c r="J1107" s="213">
        <f>IFERROR(__xludf.DUMMYFUNCTION("""COMPUTED_VALUE"""),3.0)</f>
        <v>3</v>
      </c>
      <c r="K1107" s="213" t="str">
        <f>IFERROR(__xludf.DUMMYFUNCTION("""COMPUTED_VALUE"""),"170 DÍAS CALENDARIO")</f>
        <v>170 DÍAS CALENDARIO</v>
      </c>
      <c r="L1107" s="213" t="str">
        <f>IFERROR(__xludf.DUMMYFUNCTION("""COMPUTED_VALUE"""),"")</f>
        <v/>
      </c>
      <c r="M1107" s="213">
        <f>IFERROR(__xludf.DUMMYFUNCTION("""COMPUTED_VALUE"""),1.0)</f>
        <v>1</v>
      </c>
      <c r="N1107" s="213">
        <f>IFERROR(__xludf.DUMMYFUNCTION("""COMPUTED_VALUE"""),4.0)</f>
        <v>4</v>
      </c>
      <c r="O1107" s="213">
        <f>IFERROR(__xludf.DUMMYFUNCTION("""COMPUTED_VALUE"""),4.0)</f>
        <v>4</v>
      </c>
      <c r="P1107" s="213"/>
      <c r="Q1107" s="213"/>
      <c r="R1107" s="213"/>
      <c r="S1107" s="213" t="str">
        <f>IFERROR(__xludf.DUMMYFUNCTION("""COMPUTED_VALUE"""),"SI")</f>
        <v>SI</v>
      </c>
      <c r="T1107" s="213" t="str">
        <f>IFERROR(__xludf.DUMMYFUNCTION("""COMPUTED_VALUE"""),"CONSULTA FINAL")</f>
        <v>CONSULTA FINAL</v>
      </c>
      <c r="U1107" s="213" t="str">
        <f>IFERROR(__xludf.DUMMYFUNCTION("""COMPUTED_VALUE"""),"NO")</f>
        <v>NO</v>
      </c>
      <c r="V1107" s="213" t="str">
        <f>IFERROR(__xludf.DUMMYFUNCTION("""COMPUTED_VALUE"""),"NO")</f>
        <v>NO</v>
      </c>
      <c r="W1107" s="213" t="str">
        <f>IFERROR(__xludf.DUMMYFUNCTION("""COMPUTED_VALUE"""),"-")</f>
        <v>-</v>
      </c>
      <c r="X1107" s="213" t="str">
        <f>IFERROR(__xludf.DUMMYFUNCTION("""COMPUTED_VALUE"""),"KNOLEDGE AND HOPE")</f>
        <v>KNOLEDGE AND HOPE</v>
      </c>
      <c r="Y1107" s="213" t="str">
        <f>IFERROR(__xludf.DUMMYFUNCTION("""COMPUTED_VALUE"""),"PE-5000")</f>
        <v>PE-5000</v>
      </c>
      <c r="Z1107" s="215" t="str">
        <f>IFERROR(__xludf.DUMMYFUNCTION("""COMPUTED_VALUE"""),"https://www.kandh.com.tw/pe-5000-power-electronics-training-system-pe-5000.html")</f>
        <v>https://www.kandh.com.tw/pe-5000-power-electronics-training-system-pe-5000.html</v>
      </c>
      <c r="AA1107" s="213" t="str">
        <f>IFERROR(__xludf.DUMMYFUNCTION("""COMPUTED_VALUE"""),"ESP-199 KIT DE ENTRENAMIENTO DE ELECTRÓNICA DE POTENCIA - CET")</f>
        <v>ESP-199 KIT DE ENTRENAMIENTO DE ELECTRÓNICA DE POTENCIA - CET</v>
      </c>
      <c r="AB1107" s="213"/>
      <c r="AC1107" s="213"/>
      <c r="AD1107" s="213"/>
      <c r="AE1107" s="213"/>
      <c r="AF1107" s="213"/>
      <c r="AG1107" s="213"/>
      <c r="AH1107" s="213"/>
      <c r="AI1107" s="213"/>
      <c r="AJ1107" s="213"/>
      <c r="AK1107" s="213"/>
      <c r="AL1107" s="213"/>
      <c r="AM1107" s="213"/>
      <c r="AN1107" s="213"/>
      <c r="AO1107" s="213"/>
      <c r="AP1107" s="213"/>
      <c r="AQ1107" s="213"/>
      <c r="AR1107" s="213"/>
      <c r="AS1107" s="213"/>
      <c r="AT1107" s="213"/>
      <c r="AU1107" s="213"/>
      <c r="AV1107" s="213"/>
      <c r="AW1107" s="213"/>
      <c r="AX1107" s="213"/>
      <c r="AY1107" s="213"/>
      <c r="AZ1107" s="213"/>
      <c r="BA1107" s="213"/>
      <c r="BB1107" s="213"/>
      <c r="BC1107" s="213"/>
      <c r="BD1107" s="213"/>
    </row>
    <row r="1108">
      <c r="A1108" s="213">
        <f>IFERROR(__xludf.DUMMYFUNCTION("""COMPUTED_VALUE"""),363.0)</f>
        <v>363</v>
      </c>
      <c r="B1108" s="213" t="str">
        <f>IFERROR(__xludf.DUMMYFUNCTION("""COMPUTED_VALUE"""),"2026 SIMON BOLIVAR")</f>
        <v>2026 SIMON BOLIVAR</v>
      </c>
      <c r="C1108" s="213" t="str">
        <f>IFERROR(__xludf.DUMMYFUNCTION("""COMPUTED_VALUE"""),"TALLER SFT DE ELECTRICIDAD")</f>
        <v>TALLER SFT DE ELECTRICIDAD</v>
      </c>
      <c r="D1108" s="213" t="str">
        <f>IFERROR(__xludf.DUMMYFUNCTION("""COMPUTED_VALUE"""),"EQUIPOS")</f>
        <v>EQUIPOS</v>
      </c>
      <c r="E1108" s="213" t="str">
        <f>IFERROR(__xludf.DUMMYFUNCTION("""COMPUTED_VALUE"""),"ESP-201")</f>
        <v>ESP-201</v>
      </c>
      <c r="F1108" s="213" t="str">
        <f>IFERROR(__xludf.DUMMYFUNCTION("""COMPUTED_VALUE"""),"ESP-201")</f>
        <v>ESP-201</v>
      </c>
      <c r="G1108" s="213"/>
      <c r="H1108" s="213" t="str">
        <f>IFERROR(__xludf.DUMMYFUNCTION("""COMPUTED_VALUE"""),"KIT DE ENTRENAMIENTO EN LA GENERACIÓN DE ELECTRICIDAD CON ENERGÍA RENOVABLE FOTOVOLTAICO Y EÓLICO")</f>
        <v>KIT DE ENTRENAMIENTO EN LA GENERACIÓN DE ELECTRICIDAD CON ENERGÍA RENOVABLE FOTOVOLTAICO Y EÓLICO</v>
      </c>
      <c r="I1108" s="213"/>
      <c r="J1108" s="213">
        <f>IFERROR(__xludf.DUMMYFUNCTION("""COMPUTED_VALUE"""),3.0)</f>
        <v>3</v>
      </c>
      <c r="K1108" s="213" t="str">
        <f>IFERROR(__xludf.DUMMYFUNCTION("""COMPUTED_VALUE"""),"170 DÍAS CALENDARIO")</f>
        <v>170 DÍAS CALENDARIO</v>
      </c>
      <c r="L1108" s="213" t="str">
        <f>IFERROR(__xludf.DUMMYFUNCTION("""COMPUTED_VALUE"""),"")</f>
        <v/>
      </c>
      <c r="M1108" s="213">
        <f>IFERROR(__xludf.DUMMYFUNCTION("""COMPUTED_VALUE"""),1.0)</f>
        <v>1</v>
      </c>
      <c r="N1108" s="213">
        <f>IFERROR(__xludf.DUMMYFUNCTION("""COMPUTED_VALUE"""),1.0)</f>
        <v>1</v>
      </c>
      <c r="O1108" s="213">
        <f>IFERROR(__xludf.DUMMYFUNCTION("""COMPUTED_VALUE"""),1.0)</f>
        <v>1</v>
      </c>
      <c r="P1108" s="213"/>
      <c r="Q1108" s="213"/>
      <c r="R1108" s="213"/>
      <c r="S1108" s="213" t="str">
        <f>IFERROR(__xludf.DUMMYFUNCTION("""COMPUTED_VALUE"""),"SI")</f>
        <v>SI</v>
      </c>
      <c r="T1108" s="213" t="str">
        <f>IFERROR(__xludf.DUMMYFUNCTION("""COMPUTED_VALUE"""),"SI")</f>
        <v>SI</v>
      </c>
      <c r="U1108" s="213" t="str">
        <f>IFERROR(__xludf.DUMMYFUNCTION("""COMPUTED_VALUE"""),"SI")</f>
        <v>SI</v>
      </c>
      <c r="V1108" s="213" t="str">
        <f>IFERROR(__xludf.DUMMYFUNCTION("""COMPUTED_VALUE"""),"-")</f>
        <v>-</v>
      </c>
      <c r="W1108" s="213" t="str">
        <f>IFERROR(__xludf.DUMMYFUNCTION("""COMPUTED_VALUE"""),"-")</f>
        <v>-</v>
      </c>
      <c r="X1108" s="213" t="str">
        <f>IFERROR(__xludf.DUMMYFUNCTION("""COMPUTED_VALUE"""),"Shouldshine")</f>
        <v>Shouldshine</v>
      </c>
      <c r="Y1108" s="213" t="str">
        <f>IFERROR(__xludf.DUMMYFUNCTION("""COMPUTED_VALUE"""),"TB-230320-V-001")</f>
        <v>TB-230320-V-001</v>
      </c>
      <c r="Z1108" s="215" t="str">
        <f>IFERROR(__xludf.DUMMYFUNCTION("""COMPUTED_VALUE"""),"https://drive.google.com/drive/search?q=KIT%20DE%20ENTRENAMIENTO%20EN%20LA%20GENERACI%C3%93N%20DE%20ELECTRICIDAD%20CON%20ENERG%C3%8DA%20RENOVABLE%20FOTOVOLTAICO%20Y%20E%C3%93LICO")</f>
        <v>https://drive.google.com/drive/search?q=KIT%20DE%20ENTRENAMIENTO%20EN%20LA%20GENERACI%C3%93N%20DE%20ELECTRICIDAD%20CON%20ENERG%C3%8DA%20RENOVABLE%20FOTOVOLTAICO%20Y%20E%C3%93LICO</v>
      </c>
      <c r="AA1108" s="213" t="str">
        <f>IFERROR(__xludf.DUMMYFUNCTION("""COMPUTED_VALUE"""),"ESP-201 KIT DE ENTRENAMIENTO EN LA GENERACIÓN DE ELECTRICIDAD CON ENERGÍA RENOVABLE FOTOVOLTAICO Y EÓLICO - CET")</f>
        <v>ESP-201 KIT DE ENTRENAMIENTO EN LA GENERACIÓN DE ELECTRICIDAD CON ENERGÍA RENOVABLE FOTOVOLTAICO Y EÓLICO - CET</v>
      </c>
      <c r="AB1108" s="215" t="str">
        <f>IFERROR(__xludf.DUMMYFUNCTION("""COMPUTED_VALUE"""),"https://drive.google.com/file/d/1Ix1TJ10FsJwgOKSvfsrIuJq5gyr-NJDU/view?usp=sharing")</f>
        <v>https://drive.google.com/file/d/1Ix1TJ10FsJwgOKSvfsrIuJq5gyr-NJDU/view?usp=sharing</v>
      </c>
      <c r="AC1108" s="213"/>
      <c r="AD1108" s="213"/>
      <c r="AE1108" s="213"/>
      <c r="AF1108" s="213"/>
      <c r="AG1108" s="213"/>
      <c r="AH1108" s="213"/>
      <c r="AI1108" s="213"/>
      <c r="AJ1108" s="213"/>
      <c r="AK1108" s="213"/>
      <c r="AL1108" s="213"/>
      <c r="AM1108" s="213"/>
      <c r="AN1108" s="213"/>
      <c r="AO1108" s="213"/>
      <c r="AP1108" s="213" t="str">
        <f>IFERROR(__xludf.DUMMYFUNCTION("""COMPUTED_VALUE"""),"NALDI")</f>
        <v>NALDI</v>
      </c>
      <c r="AQ1108" s="213"/>
      <c r="AR1108" s="213"/>
      <c r="AS1108" s="213"/>
      <c r="AT1108" s="213"/>
      <c r="AU1108" s="213"/>
      <c r="AV1108" s="213"/>
      <c r="AW1108" s="213"/>
      <c r="AX1108" s="213"/>
      <c r="AY1108" s="213"/>
      <c r="AZ1108" s="213"/>
      <c r="BA1108" s="213"/>
      <c r="BB1108" s="213"/>
      <c r="BC1108" s="213"/>
      <c r="BD1108" s="213"/>
    </row>
    <row r="1109">
      <c r="A1109" s="213">
        <f>IFERROR(__xludf.DUMMYFUNCTION("""COMPUTED_VALUE"""),849.0)</f>
        <v>849</v>
      </c>
      <c r="B1109" s="213" t="str">
        <f>IFERROR(__xludf.DUMMYFUNCTION("""COMPUTED_VALUE"""),"6049 RICARDO PALMA")</f>
        <v>6049 RICARDO PALMA</v>
      </c>
      <c r="C1109" s="213" t="str">
        <f>IFERROR(__xludf.DUMMYFUNCTION("""COMPUTED_VALUE"""),"TALLER SFT DE ELECTRICIDAD")</f>
        <v>TALLER SFT DE ELECTRICIDAD</v>
      </c>
      <c r="D1109" s="213" t="str">
        <f>IFERROR(__xludf.DUMMYFUNCTION("""COMPUTED_VALUE"""),"EQUIPOS")</f>
        <v>EQUIPOS</v>
      </c>
      <c r="E1109" s="213" t="str">
        <f>IFERROR(__xludf.DUMMYFUNCTION("""COMPUTED_VALUE"""),"ESP-201")</f>
        <v>ESP-201</v>
      </c>
      <c r="F1109" s="213" t="str">
        <f>IFERROR(__xludf.DUMMYFUNCTION("""COMPUTED_VALUE"""),"ESP-201")</f>
        <v>ESP-201</v>
      </c>
      <c r="G1109" s="213"/>
      <c r="H1109" s="213" t="str">
        <f>IFERROR(__xludf.DUMMYFUNCTION("""COMPUTED_VALUE"""),"KIT DE ENTRENAMIENTO EN LA GENERACIÓN DE ELECTRICIDAD CON ENERGÍA RENOVABLE FOTOVOLTAICO Y EÓLICO")</f>
        <v>KIT DE ENTRENAMIENTO EN LA GENERACIÓN DE ELECTRICIDAD CON ENERGÍA RENOVABLE FOTOVOLTAICO Y EÓLICO</v>
      </c>
      <c r="I1109" s="213"/>
      <c r="J1109" s="213">
        <f>IFERROR(__xludf.DUMMYFUNCTION("""COMPUTED_VALUE"""),3.0)</f>
        <v>3</v>
      </c>
      <c r="K1109" s="213" t="str">
        <f>IFERROR(__xludf.DUMMYFUNCTION("""COMPUTED_VALUE"""),"170 DÍAS CALENDARIO")</f>
        <v>170 DÍAS CALENDARIO</v>
      </c>
      <c r="L1109" s="213" t="str">
        <f>IFERROR(__xludf.DUMMYFUNCTION("""COMPUTED_VALUE"""),"")</f>
        <v/>
      </c>
      <c r="M1109" s="213">
        <f>IFERROR(__xludf.DUMMYFUNCTION("""COMPUTED_VALUE"""),1.0)</f>
        <v>1</v>
      </c>
      <c r="N1109" s="213">
        <f>IFERROR(__xludf.DUMMYFUNCTION("""COMPUTED_VALUE"""),1.0)</f>
        <v>1</v>
      </c>
      <c r="O1109" s="213">
        <f>IFERROR(__xludf.DUMMYFUNCTION("""COMPUTED_VALUE"""),1.0)</f>
        <v>1</v>
      </c>
      <c r="P1109" s="213"/>
      <c r="Q1109" s="213"/>
      <c r="R1109" s="213"/>
      <c r="S1109" s="213" t="str">
        <f>IFERROR(__xludf.DUMMYFUNCTION("""COMPUTED_VALUE"""),"SI")</f>
        <v>SI</v>
      </c>
      <c r="T1109" s="213" t="str">
        <f>IFERROR(__xludf.DUMMYFUNCTION("""COMPUTED_VALUE"""),"SI")</f>
        <v>SI</v>
      </c>
      <c r="U1109" s="213" t="str">
        <f>IFERROR(__xludf.DUMMYFUNCTION("""COMPUTED_VALUE"""),"SI")</f>
        <v>SI</v>
      </c>
      <c r="V1109" s="213" t="str">
        <f>IFERROR(__xludf.DUMMYFUNCTION("""COMPUTED_VALUE"""),"-")</f>
        <v>-</v>
      </c>
      <c r="W1109" s="213" t="str">
        <f>IFERROR(__xludf.DUMMYFUNCTION("""COMPUTED_VALUE"""),"-")</f>
        <v>-</v>
      </c>
      <c r="X1109" s="213" t="str">
        <f>IFERROR(__xludf.DUMMYFUNCTION("""COMPUTED_VALUE"""),"Shouldshine")</f>
        <v>Shouldshine</v>
      </c>
      <c r="Y1109" s="213" t="str">
        <f>IFERROR(__xludf.DUMMYFUNCTION("""COMPUTED_VALUE"""),"TB-230320-V-001")</f>
        <v>TB-230320-V-001</v>
      </c>
      <c r="Z1109" s="215" t="str">
        <f>IFERROR(__xludf.DUMMYFUNCTION("""COMPUTED_VALUE"""),"https://drive.google.com/drive/search?q=KIT%20DE%20ENTRENAMIENTO%20EN%20LA%20GENERACI%C3%93N%20DE%20ELECTRICIDAD%20CON%20ENERG%C3%8DA%20RENOVABLE%20FOTOVOLTAICO%20Y%20E%C3%93LICO")</f>
        <v>https://drive.google.com/drive/search?q=KIT%20DE%20ENTRENAMIENTO%20EN%20LA%20GENERACI%C3%93N%20DE%20ELECTRICIDAD%20CON%20ENERG%C3%8DA%20RENOVABLE%20FOTOVOLTAICO%20Y%20E%C3%93LICO</v>
      </c>
      <c r="AA1109" s="213" t="str">
        <f>IFERROR(__xludf.DUMMYFUNCTION("""COMPUTED_VALUE"""),"ESP-201 KIT DE ENTRENAMIENTO EN LA GENERACIÓN DE ELECTRICIDAD CON ENERGÍA RENOVABLE FOTOVOLTAICO Y EÓLICO - CET")</f>
        <v>ESP-201 KIT DE ENTRENAMIENTO EN LA GENERACIÓN DE ELECTRICIDAD CON ENERGÍA RENOVABLE FOTOVOLTAICO Y EÓLICO - CET</v>
      </c>
      <c r="AB1109" s="215" t="str">
        <f>IFERROR(__xludf.DUMMYFUNCTION("""COMPUTED_VALUE"""),"https://drive.google.com/file/d/1Ix1TJ10FsJwgOKSvfsrIuJq5gyr-NJDU/view?usp=sharing")</f>
        <v>https://drive.google.com/file/d/1Ix1TJ10FsJwgOKSvfsrIuJq5gyr-NJDU/view?usp=sharing</v>
      </c>
      <c r="AC1109" s="213"/>
      <c r="AD1109" s="213"/>
      <c r="AE1109" s="213"/>
      <c r="AF1109" s="213"/>
      <c r="AG1109" s="213"/>
      <c r="AH1109" s="213"/>
      <c r="AI1109" s="213"/>
      <c r="AJ1109" s="213"/>
      <c r="AK1109" s="213"/>
      <c r="AL1109" s="213"/>
      <c r="AM1109" s="213"/>
      <c r="AN1109" s="213"/>
      <c r="AO1109" s="213"/>
      <c r="AP1109" s="213" t="str">
        <f>IFERROR(__xludf.DUMMYFUNCTION("""COMPUTED_VALUE"""),"NALDI")</f>
        <v>NALDI</v>
      </c>
      <c r="AQ1109" s="213"/>
      <c r="AR1109" s="213"/>
      <c r="AS1109" s="213"/>
      <c r="AT1109" s="213"/>
      <c r="AU1109" s="213"/>
      <c r="AV1109" s="213"/>
      <c r="AW1109" s="213"/>
      <c r="AX1109" s="213"/>
      <c r="AY1109" s="213"/>
      <c r="AZ1109" s="213"/>
      <c r="BA1109" s="213"/>
      <c r="BB1109" s="213"/>
      <c r="BC1109" s="213"/>
      <c r="BD1109" s="213"/>
    </row>
    <row r="1110">
      <c r="A1110" s="213">
        <f>IFERROR(__xludf.DUMMYFUNCTION("""COMPUTED_VALUE"""),1271.0)</f>
        <v>1271</v>
      </c>
      <c r="B1110" s="213" t="str">
        <f>IFERROR(__xludf.DUMMYFUNCTION("""COMPUTED_VALUE"""),"GUILLERMO E. BILLINGHURST ")</f>
        <v>GUILLERMO E. BILLINGHURST </v>
      </c>
      <c r="C1110" s="213" t="str">
        <f>IFERROR(__xludf.DUMMYFUNCTION("""COMPUTED_VALUE"""),"TALLER SFT DE ELECTRICIDAD")</f>
        <v>TALLER SFT DE ELECTRICIDAD</v>
      </c>
      <c r="D1110" s="213" t="str">
        <f>IFERROR(__xludf.DUMMYFUNCTION("""COMPUTED_VALUE"""),"EQUIPOS")</f>
        <v>EQUIPOS</v>
      </c>
      <c r="E1110" s="213" t="str">
        <f>IFERROR(__xludf.DUMMYFUNCTION("""COMPUTED_VALUE"""),"ESP-201")</f>
        <v>ESP-201</v>
      </c>
      <c r="F1110" s="213" t="str">
        <f>IFERROR(__xludf.DUMMYFUNCTION("""COMPUTED_VALUE"""),"ESP-201")</f>
        <v>ESP-201</v>
      </c>
      <c r="G1110" s="213"/>
      <c r="H1110" s="213" t="str">
        <f>IFERROR(__xludf.DUMMYFUNCTION("""COMPUTED_VALUE"""),"KIT DE ENTRENAMIENTO EN LA GENERACIÓN DE ELECTRICIDAD CON ENERGÍA RENOVABLE FOTOVOLTAICO Y EÓLICO")</f>
        <v>KIT DE ENTRENAMIENTO EN LA GENERACIÓN DE ELECTRICIDAD CON ENERGÍA RENOVABLE FOTOVOLTAICO Y EÓLICO</v>
      </c>
      <c r="I1110" s="213"/>
      <c r="J1110" s="213">
        <f>IFERROR(__xludf.DUMMYFUNCTION("""COMPUTED_VALUE"""),3.0)</f>
        <v>3</v>
      </c>
      <c r="K1110" s="213" t="str">
        <f>IFERROR(__xludf.DUMMYFUNCTION("""COMPUTED_VALUE"""),"170 DÍAS CALENDARIO")</f>
        <v>170 DÍAS CALENDARIO</v>
      </c>
      <c r="L1110" s="213" t="str">
        <f>IFERROR(__xludf.DUMMYFUNCTION("""COMPUTED_VALUE"""),"")</f>
        <v/>
      </c>
      <c r="M1110" s="213">
        <f>IFERROR(__xludf.DUMMYFUNCTION("""COMPUTED_VALUE"""),1.0)</f>
        <v>1</v>
      </c>
      <c r="N1110" s="213">
        <f>IFERROR(__xludf.DUMMYFUNCTION("""COMPUTED_VALUE"""),1.0)</f>
        <v>1</v>
      </c>
      <c r="O1110" s="213">
        <f>IFERROR(__xludf.DUMMYFUNCTION("""COMPUTED_VALUE"""),1.0)</f>
        <v>1</v>
      </c>
      <c r="P1110" s="213"/>
      <c r="Q1110" s="213"/>
      <c r="R1110" s="213"/>
      <c r="S1110" s="213" t="str">
        <f>IFERROR(__xludf.DUMMYFUNCTION("""COMPUTED_VALUE"""),"SI")</f>
        <v>SI</v>
      </c>
      <c r="T1110" s="213" t="str">
        <f>IFERROR(__xludf.DUMMYFUNCTION("""COMPUTED_VALUE"""),"SI")</f>
        <v>SI</v>
      </c>
      <c r="U1110" s="213" t="str">
        <f>IFERROR(__xludf.DUMMYFUNCTION("""COMPUTED_VALUE"""),"SI")</f>
        <v>SI</v>
      </c>
      <c r="V1110" s="213" t="str">
        <f>IFERROR(__xludf.DUMMYFUNCTION("""COMPUTED_VALUE"""),"-")</f>
        <v>-</v>
      </c>
      <c r="W1110" s="213" t="str">
        <f>IFERROR(__xludf.DUMMYFUNCTION("""COMPUTED_VALUE"""),"-")</f>
        <v>-</v>
      </c>
      <c r="X1110" s="213" t="str">
        <f>IFERROR(__xludf.DUMMYFUNCTION("""COMPUTED_VALUE"""),"Shouldshine")</f>
        <v>Shouldshine</v>
      </c>
      <c r="Y1110" s="213" t="str">
        <f>IFERROR(__xludf.DUMMYFUNCTION("""COMPUTED_VALUE"""),"TB-230320-V-001")</f>
        <v>TB-230320-V-001</v>
      </c>
      <c r="Z1110" s="215" t="str">
        <f>IFERROR(__xludf.DUMMYFUNCTION("""COMPUTED_VALUE"""),"https://drive.google.com/drive/search?q=KIT%20DE%20ENTRENAMIENTO%20EN%20LA%20GENERACI%C3%93N%20DE%20ELECTRICIDAD%20CON%20ENERG%C3%8DA%20RENOVABLE%20FOTOVOLTAICO%20Y%20E%C3%93LICO")</f>
        <v>https://drive.google.com/drive/search?q=KIT%20DE%20ENTRENAMIENTO%20EN%20LA%20GENERACI%C3%93N%20DE%20ELECTRICIDAD%20CON%20ENERG%C3%8DA%20RENOVABLE%20FOTOVOLTAICO%20Y%20E%C3%93LICO</v>
      </c>
      <c r="AA1110" s="213" t="str">
        <f>IFERROR(__xludf.DUMMYFUNCTION("""COMPUTED_VALUE"""),"ESP-201 KIT DE ENTRENAMIENTO EN LA GENERACIÓN DE ELECTRICIDAD CON ENERGÍA RENOVABLE FOTOVOLTAICO Y EÓLICO - CET")</f>
        <v>ESP-201 KIT DE ENTRENAMIENTO EN LA GENERACIÓN DE ELECTRICIDAD CON ENERGÍA RENOVABLE FOTOVOLTAICO Y EÓLICO - CET</v>
      </c>
      <c r="AB1110" s="215" t="str">
        <f>IFERROR(__xludf.DUMMYFUNCTION("""COMPUTED_VALUE"""),"https://drive.google.com/file/d/1Ix1TJ10FsJwgOKSvfsrIuJq5gyr-NJDU/view?usp=sharing")</f>
        <v>https://drive.google.com/file/d/1Ix1TJ10FsJwgOKSvfsrIuJq5gyr-NJDU/view?usp=sharing</v>
      </c>
      <c r="AC1110" s="213"/>
      <c r="AD1110" s="213"/>
      <c r="AE1110" s="213"/>
      <c r="AF1110" s="213"/>
      <c r="AG1110" s="213"/>
      <c r="AH1110" s="213"/>
      <c r="AI1110" s="213"/>
      <c r="AJ1110" s="213"/>
      <c r="AK1110" s="213"/>
      <c r="AL1110" s="213"/>
      <c r="AM1110" s="213"/>
      <c r="AN1110" s="213"/>
      <c r="AO1110" s="213"/>
      <c r="AP1110" s="213" t="str">
        <f>IFERROR(__xludf.DUMMYFUNCTION("""COMPUTED_VALUE"""),"NALDI")</f>
        <v>NALDI</v>
      </c>
      <c r="AQ1110" s="213"/>
      <c r="AR1110" s="213"/>
      <c r="AS1110" s="213"/>
      <c r="AT1110" s="213"/>
      <c r="AU1110" s="213"/>
      <c r="AV1110" s="213"/>
      <c r="AW1110" s="213"/>
      <c r="AX1110" s="213"/>
      <c r="AY1110" s="213"/>
      <c r="AZ1110" s="213"/>
      <c r="BA1110" s="213"/>
      <c r="BB1110" s="213"/>
      <c r="BC1110" s="213"/>
      <c r="BD1110" s="213"/>
    </row>
    <row r="1111">
      <c r="A1111" s="213">
        <f>IFERROR(__xludf.DUMMYFUNCTION("""COMPUTED_VALUE"""),2538.0)</f>
        <v>2538</v>
      </c>
      <c r="B1111" s="213" t="str">
        <f>IFERROR(__xludf.DUMMYFUNCTION("""COMPUTED_VALUE"""),"MANUEL ANTONIO MESONES MURO")</f>
        <v>MANUEL ANTONIO MESONES MURO</v>
      </c>
      <c r="C1111" s="213" t="str">
        <f>IFERROR(__xludf.DUMMYFUNCTION("""COMPUTED_VALUE"""),"TALLER SFT DE CONSTRUCCIONES METÁLICAS")</f>
        <v>TALLER SFT DE CONSTRUCCIONES METÁLICAS</v>
      </c>
      <c r="D1111" s="213" t="str">
        <f>IFERROR(__xludf.DUMMYFUNCTION("""COMPUTED_VALUE"""),"EQUIPOS")</f>
        <v>EQUIPOS</v>
      </c>
      <c r="E1111" s="213" t="str">
        <f>IFERROR(__xludf.DUMMYFUNCTION("""COMPUTED_VALUE"""),"ESP-232")</f>
        <v>ESP-232</v>
      </c>
      <c r="F1111" s="213" t="str">
        <f>IFERROR(__xludf.DUMMYFUNCTION("""COMPUTED_VALUE"""),"ESP-232")</f>
        <v>ESP-232</v>
      </c>
      <c r="G1111" s="213"/>
      <c r="H1111" s="213" t="str">
        <f>IFERROR(__xludf.DUMMYFUNCTION("""COMPUTED_VALUE"""),"MÁQUINA DE SOLDAR MULTIPROCESO")</f>
        <v>MÁQUINA DE SOLDAR MULTIPROCESO</v>
      </c>
      <c r="I1111" s="213" t="str">
        <f>IFERROR(__xludf.DUMMYFUNCTION("""COMPUTED_VALUE"""),"Sistema multiproceso voltaje primario 208-230 V Capacidad de 300 A. Salida Max MIG 200A- 20 V 250A-26V.
Salida TIG (GTAW) 250 A – 20 A.
Rango de diámetro: 0.6 – 1.2 mm
Dimensión aproximada (+-2cm): L 440x A 260 x AL 600 mm Capacidad de tamaño de carrete: "&amp;"100 mm; 200 mm; 30 mm)")</f>
        <v>Sistema multiproceso voltaje primario 208-230 V Capacidad de 300 A. Salida Max MIG 200A- 20 V 250A-26V.
Salida TIG (GTAW) 250 A – 20 A.
Rango de diámetro: 0.6 – 1.2 mm
Dimensión aproximada (+-2cm): L 440x A 260 x AL 600 mm Capacidad de tamaño de carrete: 100 mm; 200 mm; 30 mm)</v>
      </c>
      <c r="J1111" s="213">
        <f>IFERROR(__xludf.DUMMYFUNCTION("""COMPUTED_VALUE"""),3.0)</f>
        <v>3</v>
      </c>
      <c r="K1111" s="213" t="str">
        <f>IFERROR(__xludf.DUMMYFUNCTION("""COMPUTED_VALUE"""),"170 DÍAS CALENDARIO")</f>
        <v>170 DÍAS CALENDARIO</v>
      </c>
      <c r="L1111" s="213" t="str">
        <f>IFERROR(__xludf.DUMMYFUNCTION("""COMPUTED_VALUE"""),"")</f>
        <v/>
      </c>
      <c r="M1111" s="213">
        <f>IFERROR(__xludf.DUMMYFUNCTION("""COMPUTED_VALUE"""),1.0)</f>
        <v>1</v>
      </c>
      <c r="N1111" s="213">
        <f>IFERROR(__xludf.DUMMYFUNCTION("""COMPUTED_VALUE"""),4.0)</f>
        <v>4</v>
      </c>
      <c r="O1111" s="213">
        <f>IFERROR(__xludf.DUMMYFUNCTION("""COMPUTED_VALUE"""),4.0)</f>
        <v>4</v>
      </c>
      <c r="P1111" s="213"/>
      <c r="Q1111" s="213"/>
      <c r="R1111" s="213"/>
      <c r="S1111" s="213" t="str">
        <f>IFERROR(__xludf.DUMMYFUNCTION("""COMPUTED_VALUE"""),"SI")</f>
        <v>SI</v>
      </c>
      <c r="T1111" s="213" t="str">
        <f>IFERROR(__xludf.DUMMYFUNCTION("""COMPUTED_VALUE"""),"CONSULTA FINAL")</f>
        <v>CONSULTA FINAL</v>
      </c>
      <c r="U1111" s="213" t="str">
        <f>IFERROR(__xludf.DUMMYFUNCTION("""COMPUTED_VALUE"""),"NO")</f>
        <v>NO</v>
      </c>
      <c r="V1111" s="213" t="str">
        <f>IFERROR(__xludf.DUMMYFUNCTION("""COMPUTED_VALUE"""),"SUSTENTO")</f>
        <v>SUSTENTO</v>
      </c>
      <c r="W1111" s="213" t="str">
        <f>IFERROR(__xludf.DUMMYFUNCTION("""COMPUTED_VALUE"""),"DIMENSIONAL, ELÉCTRICO")</f>
        <v>DIMENSIONAL, ELÉCTRICO</v>
      </c>
      <c r="X1111" s="213" t="str">
        <f>IFERROR(__xludf.DUMMYFUNCTION("""COMPUTED_VALUE"""),"ESAB")</f>
        <v>ESAB</v>
      </c>
      <c r="Y1111" s="213" t="str">
        <f>IFERROR(__xludf.DUMMYFUNCTION("""COMPUTED_VALUE"""),"REBEL 235ic")</f>
        <v>REBEL 235ic</v>
      </c>
      <c r="Z1111" s="215" t="str">
        <f>IFERROR(__xludf.DUMMYFUNCTION("""COMPUTED_VALUE"""),"https://drive.google.com/file/d/1Fw7MBBw092VP42xf4J4mMf6JFfkrRHWd/view?usp=drive_link")</f>
        <v>https://drive.google.com/file/d/1Fw7MBBw092VP42xf4J4mMf6JFfkrRHWd/view?usp=drive_link</v>
      </c>
      <c r="AA1111" s="213" t="str">
        <f>IFERROR(__xludf.DUMMYFUNCTION("""COMPUTED_VALUE"""),"ESP-232 MÁQUINA DE SOLDAR MULTIPROCESO - CET")</f>
        <v>ESP-232 MÁQUINA DE SOLDAR MULTIPROCESO - CET</v>
      </c>
      <c r="AB1111" s="213"/>
      <c r="AC1111" s="213"/>
      <c r="AD1111" s="213"/>
      <c r="AE1111" s="213"/>
      <c r="AF1111" s="213"/>
      <c r="AG1111" s="213"/>
      <c r="AH1111" s="213"/>
      <c r="AI1111" s="213"/>
      <c r="AJ1111" s="213"/>
      <c r="AK1111" s="213"/>
      <c r="AL1111" s="213"/>
      <c r="AM1111" s="213"/>
      <c r="AN1111" s="213"/>
      <c r="AO1111" s="213"/>
      <c r="AP1111" s="213" t="str">
        <f>IFERROR(__xludf.DUMMYFUNCTION("""COMPUTED_VALUE"""),"NALDI")</f>
        <v>NALDI</v>
      </c>
      <c r="AQ1111" s="213"/>
      <c r="AR1111" s="213"/>
      <c r="AS1111" s="213"/>
      <c r="AT1111" s="213"/>
      <c r="AU1111" s="213"/>
      <c r="AV1111" s="213"/>
      <c r="AW1111" s="213"/>
      <c r="AX1111" s="213"/>
      <c r="AY1111" s="213"/>
      <c r="AZ1111" s="213"/>
      <c r="BA1111" s="213"/>
      <c r="BB1111" s="213"/>
      <c r="BC1111" s="213"/>
      <c r="BD1111" s="213"/>
    </row>
    <row r="1112">
      <c r="A1112" s="213">
        <f>IFERROR(__xludf.DUMMYFUNCTION("""COMPUTED_VALUE"""),1768.0)</f>
        <v>1768</v>
      </c>
      <c r="B1112" s="213" t="str">
        <f>IFERROR(__xludf.DUMMYFUNCTION("""COMPUTED_VALUE"""),"GUILLERMO E. BILLINGHURST ")</f>
        <v>GUILLERMO E. BILLINGHURST </v>
      </c>
      <c r="C1112" s="213" t="str">
        <f>IFERROR(__xludf.DUMMYFUNCTION("""COMPUTED_VALUE"""),"TALLER SFT DE EBANISTERÍA")</f>
        <v>TALLER SFT DE EBANISTERÍA</v>
      </c>
      <c r="D1112" s="213" t="str">
        <f>IFERROR(__xludf.DUMMYFUNCTION("""COMPUTED_VALUE"""),"PEDAGOGICO")</f>
        <v>PEDAGOGICO</v>
      </c>
      <c r="E1112" s="213" t="str">
        <f>IFERROR(__xludf.DUMMYFUNCTION("""COMPUTED_VALUE"""),"MAT-164")</f>
        <v>MAT-164</v>
      </c>
      <c r="F1112" s="213" t="str">
        <f>IFERROR(__xludf.DUMMYFUNCTION("""COMPUTED_VALUE"""),"MAT-164-Y-4")</f>
        <v>MAT-164-Y-4</v>
      </c>
      <c r="G1112" s="213"/>
      <c r="H1112" s="213" t="str">
        <f>IFERROR(__xludf.DUMMYFUNCTION("""COMPUTED_VALUE"""),"JUEGO DE FICHAS PARA EL APRENDIZAJE DE LA SEÑALÉTICA Y SÍMBOLOS DE SEGURIDAD PARA EL TALLER")</f>
        <v>JUEGO DE FICHAS PARA EL APRENDIZAJE DE LA SEÑALÉTICA Y SÍMBOLOS DE SEGURIDAD PARA EL TALLER</v>
      </c>
      <c r="I1112"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ambos lados y c"&amp;"on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1112" s="213">
        <f>IFERROR(__xludf.DUMMYFUNCTION("""COMPUTED_VALUE"""),3.0)</f>
        <v>3</v>
      </c>
      <c r="K1112" s="213" t="str">
        <f>IFERROR(__xludf.DUMMYFUNCTION("""COMPUTED_VALUE"""),"90 DÍAS CALENDARIO")</f>
        <v>90 DÍAS CALENDARIO</v>
      </c>
      <c r="L1112" s="213" t="str">
        <f>IFERROR(__xludf.DUMMYFUNCTION("""COMPUTED_VALUE"""),"")</f>
        <v/>
      </c>
      <c r="M1112" s="213">
        <f>IFERROR(__xludf.DUMMYFUNCTION("""COMPUTED_VALUE"""),1.0)</f>
        <v>1</v>
      </c>
      <c r="N1112" s="213">
        <f>IFERROR(__xludf.DUMMYFUNCTION("""COMPUTED_VALUE"""),1.0)</f>
        <v>1</v>
      </c>
      <c r="O1112" s="213">
        <f>IFERROR(__xludf.DUMMYFUNCTION("""COMPUTED_VALUE"""),1.0)</f>
        <v>1</v>
      </c>
      <c r="P1112" s="213"/>
      <c r="Q1112" s="213"/>
      <c r="R1112" s="213"/>
      <c r="S1112" s="213"/>
      <c r="T1112" s="213"/>
      <c r="U1112" s="213"/>
      <c r="V1112" s="213"/>
      <c r="W1112" s="213"/>
      <c r="X1112" s="213"/>
      <c r="Y1112" s="213"/>
      <c r="Z1112" s="213"/>
      <c r="AA1112" s="213"/>
      <c r="AB1112" s="213"/>
      <c r="AC1112" s="213"/>
      <c r="AD1112" s="213"/>
      <c r="AE1112" s="213"/>
      <c r="AF1112" s="213"/>
      <c r="AG1112" s="213"/>
      <c r="AH1112" s="213"/>
      <c r="AI1112" s="213"/>
      <c r="AJ1112" s="213"/>
      <c r="AK1112" s="213"/>
      <c r="AL1112" s="213"/>
      <c r="AM1112" s="213"/>
      <c r="AN1112" s="213"/>
      <c r="AO1112" s="213"/>
      <c r="AP1112" s="213"/>
      <c r="AQ1112" s="213"/>
      <c r="AR1112" s="213"/>
      <c r="AS1112" s="213"/>
      <c r="AT1112" s="213"/>
      <c r="AU1112" s="213"/>
      <c r="AV1112" s="213"/>
      <c r="AW1112" s="213"/>
      <c r="AX1112" s="213"/>
      <c r="AY1112" s="213"/>
      <c r="AZ1112" s="213"/>
      <c r="BA1112" s="213"/>
      <c r="BB1112" s="213"/>
      <c r="BC1112" s="213"/>
      <c r="BD1112" s="213"/>
    </row>
    <row r="1113">
      <c r="A1113" s="213">
        <f>IFERROR(__xludf.DUMMYFUNCTION("""COMPUTED_VALUE"""),1272.0)</f>
        <v>1272</v>
      </c>
      <c r="B1113" s="213" t="str">
        <f>IFERROR(__xludf.DUMMYFUNCTION("""COMPUTED_VALUE"""),"GUILLERMO E. BILLINGHURST ")</f>
        <v>GUILLERMO E. BILLINGHURST </v>
      </c>
      <c r="C1113" s="213" t="str">
        <f>IFERROR(__xludf.DUMMYFUNCTION("""COMPUTED_VALUE"""),"TALLER SFT DE ELECTRICIDAD")</f>
        <v>TALLER SFT DE ELECTRICIDAD</v>
      </c>
      <c r="D1113" s="213" t="str">
        <f>IFERROR(__xludf.DUMMYFUNCTION("""COMPUTED_VALUE"""),"EQUIPOS")</f>
        <v>EQUIPOS</v>
      </c>
      <c r="E1113" s="213" t="str">
        <f>IFERROR(__xludf.DUMMYFUNCTION("""COMPUTED_VALUE"""),"ESP-203")</f>
        <v>ESP-203</v>
      </c>
      <c r="F1113" s="213" t="str">
        <f>IFERROR(__xludf.DUMMYFUNCTION("""COMPUTED_VALUE"""),"ESP-203")</f>
        <v>ESP-203</v>
      </c>
      <c r="G1113" s="213"/>
      <c r="H1113" s="213" t="str">
        <f>IFERROR(__xludf.DUMMYFUNCTION("""COMPUTED_VALUE"""),"KIT DE ESTACIONES DE ENTRENAMIENTO DE INSTALACIONES DE SISTEMAS DE SEGURIDAD")</f>
        <v>KIT DE ESTACIONES DE ENTRENAMIENTO DE INSTALACIONES DE SISTEMAS DE SEGURIDAD</v>
      </c>
      <c r="I1113" s="213" t="str">
        <f>IFERROR(__xludf.DUMMYFUNCTION("""COMPUTED_VALUE"""),"· Características del KIT:
El equipo representa un edificio en escala reducida, la estructura metálica está colocada sobre una base móvil con ruedas, que facilita el transporte.
· Características del Kit
Permite aplicar las técnicas de montaje, de ensayo "&amp;"y de verificación de las instalaciones eléctricas inherentes a los edificios civiles de uso residencial y comercial, tal como: realizar mediciones de aislamiento y la impedancia del lazo de avería, caídas de tensión, las pruebas de continuidad y la verifi"&amp;"cación de los dispositivos de protección en instalaciones eléctricas ya cableadas, así como podrán realizar modificaciones y transformaciones en las instalaciones ya existentes.
- Dimensiones aprox: 1300 x 1300 x 1800 mm
- Incluye programa básico para la "&amp;"enseñanza:
- Instalación de iluminación y distribución de la fuerza motriz con contador medidor de energía (kWh)
- Instalación de iluminación de escaleras
- Instalación de intercomunicación
- Instalación de puesta a tierra y equipotencial
- Instalación de"&amp;" antena de TV
- Instalación de distribución telefónica
- Instalación de alarma con detector de gas y óxido de carbono
- Instalación de detección de antirrobo
· Principales componentes que debe contener el Kit como minimo:
1 contador de energía monofásica "&amp;"/ 1 central con 2 interruptores diferenciales y 3 interruptores  automáticos termomagnéticos / 1 central de antena con repartidor de 4 salidas y 7 tomas de TV / 1 fuente de alimentación de intercomunicación con conmutador / 1 portero + intercomunicador co"&amp;"n 2 pulsadores / 4 conexiones de tierra con resistencia de 1Ω y bornes / 1 central antirrobo de 2 zonas / 12 tomacorrientes de 220 V / 3 timbres / 1 detector electrónico de humo / calor / 1 detector de presencia de infrarrojos / 1 intercomunicador de pare"&amp;"d que comunica con un puesto externo y un puesto interno / 1 detector de fugas de gas / 1 microcontacto para antirrobo / 1 lámpara halógena de baja tensión / 6 lámparas incandescentes
/ 1 detector de presencia de microondas / 3 lámparas piloto (simulación"&amp;" de bombas de las zonas de calefacción) / 1 electroválvula de bloqueo del gas / Manual de uso del Kit de Estaciones de Entrenamiento de Sistemas de Seguridad.")</f>
        <v>· Características del KIT:
El equipo representa un edificio en escala reducida, la estructura metálica está colocada sobre una base móvil con ruedas, que facilita el transporte.
· Características del Kit
Permite aplicar las técnicas de montaje, de ensayo y de verificación de las instalaciones eléctricas inherentes a los edificios civiles de uso residencial y comercial, tal como: realizar mediciones de aislamiento y la impedancia del lazo de avería, caídas de tensión, las pruebas de continuidad y la verificación de los dispositivos de protección en instalaciones eléctricas ya cableadas, así como podrán realizar modificaciones y transformaciones en las instalaciones ya existentes.
- Dimensiones aprox: 1300 x 1300 x 1800 mm
- Incluye programa básico para la enseñanza:
- Instalación de iluminación y distribución de la fuerza motriz con contador medidor de energía (kWh)
- Instalación de iluminación de escaleras
- Instalación de intercomunicación
- Instalación de puesta a tierra y equipotencial
- Instalación de antena de TV
- Instalación de distribución telefónica
- Instalación de alarma con detector de gas y óxido de carbono
- Instalación de detección de antirrobo
· Principales componentes que debe contener el Kit como minimo:
1 contador de energía monofásica / 1 central con 2 interruptores diferenciales y 3 interruptores  automáticos termomagnéticos / 1 central de antena con repartidor de 4 salidas y 7 tomas de TV / 1 fuente de alimentación de intercomunicación con conmutador / 1 portero + intercomunicador con 2 pulsadores / 4 conexiones de tierra con resistencia de 1Ω y bornes / 1 central antirrobo de 2 zonas / 12 tomacorrientes de 220 V / 3 timbres / 1 detector electrónico de humo / calor / 1 detector de presencia de infrarrojos / 1 intercomunicador de pared que comunica con un puesto externo y un puesto interno / 1 detector de fugas de gas / 1 microcontacto para antirrobo / 1 lámpara halógena de baja tensión / 6 lámparas incandescentes
/ 1 detector de presencia de microondas / 3 lámparas piloto (simulación de bombas de las zonas de calefacción) / 1 electroválvula de bloqueo del gas / Manual de uso del Kit de Estaciones de Entrenamiento de Sistemas de Seguridad.</v>
      </c>
      <c r="J1113" s="213">
        <f>IFERROR(__xludf.DUMMYFUNCTION("""COMPUTED_VALUE"""),3.0)</f>
        <v>3</v>
      </c>
      <c r="K1113" s="213" t="str">
        <f>IFERROR(__xludf.DUMMYFUNCTION("""COMPUTED_VALUE"""),"170 DÍAS CALENDARIO")</f>
        <v>170 DÍAS CALENDARIO</v>
      </c>
      <c r="L1113" s="213" t="str">
        <f>IFERROR(__xludf.DUMMYFUNCTION("""COMPUTED_VALUE"""),"")</f>
        <v/>
      </c>
      <c r="M1113" s="213">
        <f>IFERROR(__xludf.DUMMYFUNCTION("""COMPUTED_VALUE"""),1.0)</f>
        <v>1</v>
      </c>
      <c r="N1113" s="213">
        <f>IFERROR(__xludf.DUMMYFUNCTION("""COMPUTED_VALUE"""),3.0)</f>
        <v>3</v>
      </c>
      <c r="O1113" s="213">
        <f>IFERROR(__xludf.DUMMYFUNCTION("""COMPUTED_VALUE"""),3.0)</f>
        <v>3</v>
      </c>
      <c r="P1113" s="213"/>
      <c r="Q1113" s="213"/>
      <c r="R1113" s="213"/>
      <c r="S1113" s="213" t="str">
        <f>IFERROR(__xludf.DUMMYFUNCTION("""COMPUTED_VALUE"""),"SI")</f>
        <v>SI</v>
      </c>
      <c r="T1113" s="213" t="str">
        <f>IFERROR(__xludf.DUMMYFUNCTION("""COMPUTED_VALUE"""),"SI")</f>
        <v>SI</v>
      </c>
      <c r="U1113" s="213" t="str">
        <f>IFERROR(__xludf.DUMMYFUNCTION("""COMPUTED_VALUE"""),"SI")</f>
        <v>SI</v>
      </c>
      <c r="V1113" s="213" t="str">
        <f>IFERROR(__xludf.DUMMYFUNCTION("""COMPUTED_VALUE"""),"-")</f>
        <v>-</v>
      </c>
      <c r="W1113" s="213" t="str">
        <f>IFERROR(__xludf.DUMMYFUNCTION("""COMPUTED_VALUE"""),"-")</f>
        <v>-</v>
      </c>
      <c r="X1113" s="213" t="str">
        <f>IFERROR(__xludf.DUMMYFUNCTION("""COMPUTED_VALUE"""),"Shouldshine")</f>
        <v>Shouldshine</v>
      </c>
      <c r="Y1113" s="213" t="str">
        <f>IFERROR(__xludf.DUMMYFUNCTION("""COMPUTED_VALUE"""),"TB-230320-V-004")</f>
        <v>TB-230320-V-004</v>
      </c>
      <c r="Z1113" s="215" t="str">
        <f>IFERROR(__xludf.DUMMYFUNCTION("""COMPUTED_VALUE"""),"https://drive.google.com/file/d/1Gn-fn_WN4ajeI_kpYMAVZmuMvl2aSkHx/view?usp=sharing")</f>
        <v>https://drive.google.com/file/d/1Gn-fn_WN4ajeI_kpYMAVZmuMvl2aSkHx/view?usp=sharing</v>
      </c>
      <c r="AA1113" s="213" t="str">
        <f>IFERROR(__xludf.DUMMYFUNCTION("""COMPUTED_VALUE"""),"ESP-203 KIT DE ESTACIONES DE ENTRENAMIENTO DE INSTALACIONES DE SISTEMAS DE SEGURIDAD - CET")</f>
        <v>ESP-203 KIT DE ESTACIONES DE ENTRENAMIENTO DE INSTALACIONES DE SISTEMAS DE SEGURIDAD - CET</v>
      </c>
      <c r="AB1113" s="215" t="str">
        <f>IFERROR(__xludf.DUMMYFUNCTION("""COMPUTED_VALUE"""),"https://drive.google.com/file/d/1Gn-fn_WN4ajeI_kpYMAVZmuMvl2aSkHx/view?usp=sharing")</f>
        <v>https://drive.google.com/file/d/1Gn-fn_WN4ajeI_kpYMAVZmuMvl2aSkHx/view?usp=sharing</v>
      </c>
      <c r="AC1113" s="213"/>
      <c r="AD1113" s="213"/>
      <c r="AE1113" s="213"/>
      <c r="AF1113" s="213"/>
      <c r="AG1113" s="213"/>
      <c r="AH1113" s="213"/>
      <c r="AI1113" s="213"/>
      <c r="AJ1113" s="213"/>
      <c r="AK1113" s="213"/>
      <c r="AL1113" s="213"/>
      <c r="AM1113" s="213"/>
      <c r="AN1113" s="213"/>
      <c r="AO1113" s="213"/>
      <c r="AP1113" s="213" t="str">
        <f>IFERROR(__xludf.DUMMYFUNCTION("""COMPUTED_VALUE"""),"NALDI")</f>
        <v>NALDI</v>
      </c>
      <c r="AQ1113" s="213"/>
      <c r="AR1113" s="213"/>
      <c r="AS1113" s="213"/>
      <c r="AT1113" s="213"/>
      <c r="AU1113" s="213"/>
      <c r="AV1113" s="213"/>
      <c r="AW1113" s="213"/>
      <c r="AX1113" s="213"/>
      <c r="AY1113" s="213"/>
      <c r="AZ1113" s="213"/>
      <c r="BA1113" s="213"/>
      <c r="BB1113" s="213"/>
      <c r="BC1113" s="213"/>
      <c r="BD1113" s="213"/>
    </row>
    <row r="1114">
      <c r="A1114" s="213">
        <f>IFERROR(__xludf.DUMMYFUNCTION("""COMPUTED_VALUE"""),1364.0)</f>
        <v>1364</v>
      </c>
      <c r="B1114" s="213" t="str">
        <f>IFERROR(__xludf.DUMMYFUNCTION("""COMPUTED_VALUE"""),"GUILLERMO E. BILLINGHURST ")</f>
        <v>GUILLERMO E. BILLINGHURST </v>
      </c>
      <c r="C1114" s="213" t="str">
        <f>IFERROR(__xludf.DUMMYFUNCTION("""COMPUTED_VALUE"""),"TALLER SFT DE INDUSTRIA ALIMENTARIA")</f>
        <v>TALLER SFT DE INDUSTRIA ALIMENTARIA</v>
      </c>
      <c r="D1114" s="213" t="str">
        <f>IFERROR(__xludf.DUMMYFUNCTION("""COMPUTED_VALUE"""),"PEDAGOGICO")</f>
        <v>PEDAGOGICO</v>
      </c>
      <c r="E1114" s="213" t="str">
        <f>IFERROR(__xludf.DUMMYFUNCTION("""COMPUTED_VALUE"""),"MAT-164")</f>
        <v>MAT-164</v>
      </c>
      <c r="F1114" s="213" t="str">
        <f>IFERROR(__xludf.DUMMYFUNCTION("""COMPUTED_VALUE"""),"MAT-164-X")</f>
        <v>MAT-164-X</v>
      </c>
      <c r="G1114" s="213"/>
      <c r="H1114" s="213" t="str">
        <f>IFERROR(__xludf.DUMMYFUNCTION("""COMPUTED_VALUE"""),"FICHAS PARA EL APRENDIZAJE DE LA SEÑALÉTICA Y SÍMBOLOS DE SEGURIDAD PARA EL TALLER")</f>
        <v>FICHAS PARA EL APRENDIZAJE DE LA SEÑALÉTICA Y SÍMBOLOS DE SEGURIDAD PARA EL TALLER</v>
      </c>
      <c r="I1114" s="213" t="str">
        <f>IFERROR(__xludf.DUMMYFUNCTION("""COMPUTED_VALUE"""),"· Fichas Tamaño 10 cm x 6 cm
· Base cartón grueso elaborado en una sola pieza
· Impresas a todo color en papel couche de 350 gr/m2, enmicados por ambos lados y con bordes boleados
· Comprende:
- Fichas que describen prohibiciones y restricciones.
- Fichas"&amp;" asociadas a las precauciones.
- Fichas  que se emplean para establecer zonas o áreas de seguridad y vías de evacuación.
- Fichas que orientan acciones obligatorias o uso necesario de equipo especifico.")</f>
        <v>· Fichas Tamaño 10 cm x 6 cm
· Base cartón grueso elaborado en una sola pieza
· Impresas a todo color en papel couche de 350 gr/m2, enmicados por ambos lados y con bordes boleados
· Comprende:
- Fichas que describen prohibiciones y restricciones.
- Fichas asociadas a las precauciones.
- Fichas  que se emplean para establecer zonas o áreas de seguridad y vías de evacuación.
- Fichas que orientan acciones obligatorias o uso necesario de equipo especifico.</v>
      </c>
      <c r="J1114" s="213">
        <f>IFERROR(__xludf.DUMMYFUNCTION("""COMPUTED_VALUE"""),3.0)</f>
        <v>3</v>
      </c>
      <c r="K1114" s="213" t="str">
        <f>IFERROR(__xludf.DUMMYFUNCTION("""COMPUTED_VALUE"""),"90 DÍAS CALENDARIO")</f>
        <v>90 DÍAS CALENDARIO</v>
      </c>
      <c r="L1114" s="213" t="str">
        <f>IFERROR(__xludf.DUMMYFUNCTION("""COMPUTED_VALUE"""),"")</f>
        <v/>
      </c>
      <c r="M1114" s="213">
        <f>IFERROR(__xludf.DUMMYFUNCTION("""COMPUTED_VALUE"""),1.0)</f>
        <v>1</v>
      </c>
      <c r="N1114" s="213">
        <f>IFERROR(__xludf.DUMMYFUNCTION("""COMPUTED_VALUE"""),4.0)</f>
        <v>4</v>
      </c>
      <c r="O1114" s="213">
        <f>IFERROR(__xludf.DUMMYFUNCTION("""COMPUTED_VALUE"""),4.0)</f>
        <v>4</v>
      </c>
      <c r="P1114" s="213"/>
      <c r="Q1114" s="213"/>
      <c r="R1114" s="213"/>
      <c r="S1114" s="213"/>
      <c r="T1114" s="213"/>
      <c r="U1114" s="213"/>
      <c r="V1114" s="213"/>
      <c r="W1114" s="213"/>
      <c r="X1114" s="213"/>
      <c r="Y1114" s="213"/>
      <c r="Z1114" s="213"/>
      <c r="AA1114" s="213"/>
      <c r="AB1114" s="213"/>
      <c r="AC1114" s="213"/>
      <c r="AD1114" s="213"/>
      <c r="AE1114" s="213"/>
      <c r="AF1114" s="213"/>
      <c r="AG1114" s="213"/>
      <c r="AH1114" s="213"/>
      <c r="AI1114" s="213"/>
      <c r="AJ1114" s="213"/>
      <c r="AK1114" s="213"/>
      <c r="AL1114" s="213"/>
      <c r="AM1114" s="213"/>
      <c r="AN1114" s="213"/>
      <c r="AO1114" s="213"/>
      <c r="AP1114" s="213"/>
      <c r="AQ1114" s="213"/>
      <c r="AR1114" s="213"/>
      <c r="AS1114" s="213"/>
      <c r="AT1114" s="213"/>
      <c r="AU1114" s="213"/>
      <c r="AV1114" s="213"/>
      <c r="AW1114" s="213"/>
      <c r="AX1114" s="213"/>
      <c r="AY1114" s="213"/>
      <c r="AZ1114" s="213"/>
      <c r="BA1114" s="213"/>
      <c r="BB1114" s="213"/>
      <c r="BC1114" s="213"/>
      <c r="BD1114" s="213"/>
    </row>
    <row r="1115">
      <c r="A1115" s="213">
        <f>IFERROR(__xludf.DUMMYFUNCTION("""COMPUTED_VALUE"""),1138.0)</f>
        <v>1138</v>
      </c>
      <c r="B1115" s="213" t="str">
        <f>IFERROR(__xludf.DUMMYFUNCTION("""COMPUTED_VALUE"""),"FRANCISCO IRAZOLA")</f>
        <v>FRANCISCO IRAZOLA</v>
      </c>
      <c r="C1115" s="213" t="str">
        <f>IFERROR(__xludf.DUMMYFUNCTION("""COMPUTED_VALUE"""),"TALLER SFT DE INDUSTRIA ALIMENTARIA")</f>
        <v>TALLER SFT DE INDUSTRIA ALIMENTARIA</v>
      </c>
      <c r="D1115" s="213" t="str">
        <f>IFERROR(__xludf.DUMMYFUNCTION("""COMPUTED_VALUE"""),"HERRAMIENTAS")</f>
        <v>HERRAMIENTAS</v>
      </c>
      <c r="E1115" s="213" t="str">
        <f>IFERROR(__xludf.DUMMYFUNCTION("""COMPUTED_VALUE"""),"MAT-125")</f>
        <v>MAT-125</v>
      </c>
      <c r="F1115" s="213" t="str">
        <f>IFERROR(__xludf.DUMMYFUNCTION("""COMPUTED_VALUE"""),"MAT-125-Y")</f>
        <v>MAT-125-Y</v>
      </c>
      <c r="G1115" s="213"/>
      <c r="H1115" s="213" t="str">
        <f>IFERROR(__xludf.DUMMYFUNCTION("""COMPUTED_VALUE"""),"BROCHA DE SILICONA")</f>
        <v>BROCHA DE SILICONA</v>
      </c>
      <c r="I1115" s="213" t="str">
        <f>IFERROR(__xludf.DUMMYFUNCTION("""COMPUTED_VALUE"""),"· Materiales: Silicona, 100% de silicona de calidad alimentaria
· Función: Decoración de la torta
· Forma personalizada es aceptable
· Resistente al calor: - 40 a 260 C
· Uso: barnizado de productos
· Tipo de herramienta de horneado y repostería:
· Brocha"&amp;"s para masa")</f>
        <v>· Materiales: Silicona, 100% de silicona de calidad alimentaria
· Función: Decoración de la torta
· Forma personalizada es aceptable
· Resistente al calor: - 40 a 260 C
· Uso: barnizado de productos
· Tipo de herramienta de horneado y repostería:
· Brochas para masa</v>
      </c>
      <c r="J1115" s="213">
        <f>IFERROR(__xludf.DUMMYFUNCTION("""COMPUTED_VALUE"""),3.0)</f>
        <v>3</v>
      </c>
      <c r="K1115" s="213" t="str">
        <f>IFERROR(__xludf.DUMMYFUNCTION("""COMPUTED_VALUE"""),"90 DÍAS CALENDARIO")</f>
        <v>90 DÍAS CALENDARIO</v>
      </c>
      <c r="L1115" s="213" t="str">
        <f>IFERROR(__xludf.DUMMYFUNCTION("""COMPUTED_VALUE"""),"")</f>
        <v/>
      </c>
      <c r="M1115" s="213">
        <f>IFERROR(__xludf.DUMMYFUNCTION("""COMPUTED_VALUE"""),1.0)</f>
        <v>1</v>
      </c>
      <c r="N1115" s="213">
        <f>IFERROR(__xludf.DUMMYFUNCTION("""COMPUTED_VALUE"""),4.0)</f>
        <v>4</v>
      </c>
      <c r="O1115" s="213">
        <f>IFERROR(__xludf.DUMMYFUNCTION("""COMPUTED_VALUE"""),4.0)</f>
        <v>4</v>
      </c>
      <c r="P1115" s="213"/>
      <c r="Q1115" s="213"/>
      <c r="R1115" s="213" t="str">
        <f>IFERROR(__xludf.DUMMYFUNCTION("""COMPUTED_VALUE"""),"SI")</f>
        <v>SI</v>
      </c>
      <c r="S1115" s="213"/>
      <c r="T1115" s="213" t="str">
        <f>IFERROR(__xludf.DUMMYFUNCTION("""COMPUTED_VALUE"""),"SI")</f>
        <v>SI</v>
      </c>
      <c r="U1115" s="213" t="str">
        <f>IFERROR(__xludf.DUMMYFUNCTION("""COMPUTED_VALUE"""),"SI")</f>
        <v>SI</v>
      </c>
      <c r="V1115" s="213" t="str">
        <f>IFERROR(__xludf.DUMMYFUNCTION("""COMPUTED_VALUE"""),"-")</f>
        <v>-</v>
      </c>
      <c r="W1115" s="213" t="str">
        <f>IFERROR(__xludf.DUMMYFUNCTION("""COMPUTED_VALUE"""),"-")</f>
        <v>-</v>
      </c>
      <c r="X1115" s="213" t="str">
        <f>IFERROR(__xludf.DUMMYFUNCTION("""COMPUTED_VALUE"""),"ICHIMATSU")</f>
        <v>ICHIMATSU</v>
      </c>
      <c r="Y1115" s="213">
        <f>IFERROR(__xludf.DUMMYFUNCTION("""COMPUTED_VALUE"""),7.0067391E7)</f>
        <v>70067391</v>
      </c>
      <c r="Z1115" s="215" t="str">
        <f>IFERROR(__xludf.DUMMYFUNCTION("""COMPUTED_VALUE"""),"https://www.uysa.com.pe/brocha-p-reposteria-silicona-con-mango-verde-de-abs-70067391/p?srsltid=AfmBOoo5FFHt3WEU0McXc8V9ycySDEQ00Ip0vMv2xUz8TIsp3JRRCTYh")</f>
        <v>https://www.uysa.com.pe/brocha-p-reposteria-silicona-con-mango-verde-de-abs-70067391/p?srsltid=AfmBOoo5FFHt3WEU0McXc8V9ycySDEQ00Ip0vMv2xUz8TIsp3JRRCTYh</v>
      </c>
      <c r="AA1115" s="213" t="str">
        <f>IFERROR(__xludf.DUMMYFUNCTION("""COMPUTED_VALUE"""),"MAT-125-Y BROCHA DE SILICONA - CET")</f>
        <v>MAT-125-Y BROCHA DE SILICONA - CET</v>
      </c>
      <c r="AB1115" s="215" t="str">
        <f>IFERROR(__xludf.DUMMYFUNCTION("""COMPUTED_VALUE"""),"https://drive.google.com/file/d/1pphnmDgzBUV_K98QtTkJr0xe_I44PGif/view?usp=sharing")</f>
        <v>https://drive.google.com/file/d/1pphnmDgzBUV_K98QtTkJr0xe_I44PGif/view?usp=sharing</v>
      </c>
      <c r="AC1115" s="215" t="str">
        <f>IFERROR(__xludf.DUMMYFUNCTION("""COMPUTED_VALUE"""),"https://www.lacuisine.pe/lgc/product/brocha-de-silicona-de-23cm-gris-61-33436-tovolo/?utm_source")</f>
        <v>https://www.lacuisine.pe/lgc/product/brocha-de-silicona-de-23cm-gris-61-33436-tovolo/?utm_source</v>
      </c>
      <c r="AD1115" s="213"/>
      <c r="AE1115" s="213"/>
      <c r="AF1115" s="213"/>
      <c r="AG1115" s="213"/>
      <c r="AH1115" s="213" t="str">
        <f>IFERROR(__xludf.DUMMYFUNCTION("""COMPUTED_VALUE"""),"NACIONAL")</f>
        <v>NACIONAL</v>
      </c>
      <c r="AI1115" s="213"/>
      <c r="AJ1115" s="213"/>
      <c r="AK1115" s="213"/>
      <c r="AL1115" s="213"/>
      <c r="AM1115" s="213"/>
      <c r="AN1115" s="213"/>
      <c r="AO1115" s="213"/>
      <c r="AP1115" s="213" t="str">
        <f>IFERROR(__xludf.DUMMYFUNCTION("""COMPUTED_VALUE"""),"LUIS")</f>
        <v>LUIS</v>
      </c>
      <c r="AQ1115" s="213"/>
      <c r="AR1115" s="213"/>
      <c r="AS1115" s="213"/>
      <c r="AT1115" s="213"/>
      <c r="AU1115" s="213"/>
      <c r="AV1115" s="213"/>
      <c r="AW1115" s="213"/>
      <c r="AX1115" s="213"/>
      <c r="AY1115" s="213"/>
      <c r="AZ1115" s="213"/>
      <c r="BA1115" s="213"/>
      <c r="BB1115" s="213"/>
      <c r="BC1115" s="213"/>
      <c r="BD1115" s="213"/>
    </row>
    <row r="1116">
      <c r="A1116" s="213">
        <f>IFERROR(__xludf.DUMMYFUNCTION("""COMPUTED_VALUE"""),1410.0)</f>
        <v>1410</v>
      </c>
      <c r="B1116" s="213" t="str">
        <f>IFERROR(__xludf.DUMMYFUNCTION("""COMPUTED_VALUE"""),"GUILLERMO E. BILLINGHURST ")</f>
        <v>GUILLERMO E. BILLINGHURST </v>
      </c>
      <c r="C1116" s="213" t="str">
        <f>IFERROR(__xludf.DUMMYFUNCTION("""COMPUTED_VALUE"""),"TALLER SFT DE INDUSTRIA ALIMENTARIA")</f>
        <v>TALLER SFT DE INDUSTRIA ALIMENTARIA</v>
      </c>
      <c r="D1116" s="213" t="str">
        <f>IFERROR(__xludf.DUMMYFUNCTION("""COMPUTED_VALUE"""),"HERRAMIENTAS")</f>
        <v>HERRAMIENTAS</v>
      </c>
      <c r="E1116" s="213" t="str">
        <f>IFERROR(__xludf.DUMMYFUNCTION("""COMPUTED_VALUE"""),"MAT-125")</f>
        <v>MAT-125</v>
      </c>
      <c r="F1116" s="213" t="str">
        <f>IFERROR(__xludf.DUMMYFUNCTION("""COMPUTED_VALUE"""),"MAT-125-Y")</f>
        <v>MAT-125-Y</v>
      </c>
      <c r="G1116" s="213"/>
      <c r="H1116" s="213" t="str">
        <f>IFERROR(__xludf.DUMMYFUNCTION("""COMPUTED_VALUE"""),"BROCHA DE SILICONA")</f>
        <v>BROCHA DE SILICONA</v>
      </c>
      <c r="I1116" s="213" t="str">
        <f>IFERROR(__xludf.DUMMYFUNCTION("""COMPUTED_VALUE"""),"· Materiales: Silicona, 100% de silicona de calidad alimentaria
· Función: Decoración de la torta
· Forma personalizada es aceptable
· Resistente al calor: - 40 a 260 C
· Uso: barnizado de productos
· Tipo de herramienta de horneado y repostería:
· Brocha"&amp;"s para masa")</f>
        <v>· Materiales: Silicona, 100% de silicona de calidad alimentaria
· Función: Decoración de la torta
· Forma personalizada es aceptable
· Resistente al calor: - 40 a 260 C
· Uso: barnizado de productos
· Tipo de herramienta de horneado y repostería:
· Brochas para masa</v>
      </c>
      <c r="J1116" s="213">
        <f>IFERROR(__xludf.DUMMYFUNCTION("""COMPUTED_VALUE"""),3.0)</f>
        <v>3</v>
      </c>
      <c r="K1116" s="213" t="str">
        <f>IFERROR(__xludf.DUMMYFUNCTION("""COMPUTED_VALUE"""),"90 DÍAS CALENDARIO")</f>
        <v>90 DÍAS CALENDARIO</v>
      </c>
      <c r="L1116" s="213" t="str">
        <f>IFERROR(__xludf.DUMMYFUNCTION("""COMPUTED_VALUE"""),"")</f>
        <v/>
      </c>
      <c r="M1116" s="213">
        <f>IFERROR(__xludf.DUMMYFUNCTION("""COMPUTED_VALUE"""),1.0)</f>
        <v>1</v>
      </c>
      <c r="N1116" s="213">
        <f>IFERROR(__xludf.DUMMYFUNCTION("""COMPUTED_VALUE"""),4.0)</f>
        <v>4</v>
      </c>
      <c r="O1116" s="213">
        <f>IFERROR(__xludf.DUMMYFUNCTION("""COMPUTED_VALUE"""),4.0)</f>
        <v>4</v>
      </c>
      <c r="P1116" s="213"/>
      <c r="Q1116" s="213"/>
      <c r="R1116" s="213" t="str">
        <f>IFERROR(__xludf.DUMMYFUNCTION("""COMPUTED_VALUE"""),"SI")</f>
        <v>SI</v>
      </c>
      <c r="S1116" s="213"/>
      <c r="T1116" s="213" t="str">
        <f>IFERROR(__xludf.DUMMYFUNCTION("""COMPUTED_VALUE"""),"SI")</f>
        <v>SI</v>
      </c>
      <c r="U1116" s="213" t="str">
        <f>IFERROR(__xludf.DUMMYFUNCTION("""COMPUTED_VALUE"""),"SI")</f>
        <v>SI</v>
      </c>
      <c r="V1116" s="213" t="str">
        <f>IFERROR(__xludf.DUMMYFUNCTION("""COMPUTED_VALUE"""),"-")</f>
        <v>-</v>
      </c>
      <c r="W1116" s="213" t="str">
        <f>IFERROR(__xludf.DUMMYFUNCTION("""COMPUTED_VALUE"""),"-")</f>
        <v>-</v>
      </c>
      <c r="X1116" s="213" t="str">
        <f>IFERROR(__xludf.DUMMYFUNCTION("""COMPUTED_VALUE"""),"ICHIMATSU")</f>
        <v>ICHIMATSU</v>
      </c>
      <c r="Y1116" s="213">
        <f>IFERROR(__xludf.DUMMYFUNCTION("""COMPUTED_VALUE"""),7.0067391E7)</f>
        <v>70067391</v>
      </c>
      <c r="Z1116" s="215" t="str">
        <f>IFERROR(__xludf.DUMMYFUNCTION("""COMPUTED_VALUE"""),"https://www.uysa.com.pe/brocha-p-reposteria-silicona-con-mango-verde-de-abs-70067391/p?srsltid=AfmBOoo5FFHt3WEU0McXc8V9ycySDEQ00Ip0vMv2xUz8TIsp3JRRCTYh")</f>
        <v>https://www.uysa.com.pe/brocha-p-reposteria-silicona-con-mango-verde-de-abs-70067391/p?srsltid=AfmBOoo5FFHt3WEU0McXc8V9ycySDEQ00Ip0vMv2xUz8TIsp3JRRCTYh</v>
      </c>
      <c r="AA1116" s="213" t="str">
        <f>IFERROR(__xludf.DUMMYFUNCTION("""COMPUTED_VALUE"""),"MAT-125-Y BROCHA DE SILICONA - CET")</f>
        <v>MAT-125-Y BROCHA DE SILICONA - CET</v>
      </c>
      <c r="AB1116" s="215" t="str">
        <f>IFERROR(__xludf.DUMMYFUNCTION("""COMPUTED_VALUE"""),"https://drive.google.com/file/d/1pphnmDgzBUV_K98QtTkJr0xe_I44PGif/view?usp=sharing")</f>
        <v>https://drive.google.com/file/d/1pphnmDgzBUV_K98QtTkJr0xe_I44PGif/view?usp=sharing</v>
      </c>
      <c r="AC1116" s="215" t="str">
        <f>IFERROR(__xludf.DUMMYFUNCTION("""COMPUTED_VALUE"""),"https://www.lacuisine.pe/lgc/product/brocha-de-silicona-de-23cm-gris-61-33436-tovolo/?utm_source")</f>
        <v>https://www.lacuisine.pe/lgc/product/brocha-de-silicona-de-23cm-gris-61-33436-tovolo/?utm_source</v>
      </c>
      <c r="AD1116" s="213"/>
      <c r="AE1116" s="213"/>
      <c r="AF1116" s="213"/>
      <c r="AG1116" s="213"/>
      <c r="AH1116" s="213" t="str">
        <f>IFERROR(__xludf.DUMMYFUNCTION("""COMPUTED_VALUE"""),"NACIONAL")</f>
        <v>NACIONAL</v>
      </c>
      <c r="AI1116" s="213"/>
      <c r="AJ1116" s="213"/>
      <c r="AK1116" s="213"/>
      <c r="AL1116" s="213"/>
      <c r="AM1116" s="213"/>
      <c r="AN1116" s="213"/>
      <c r="AO1116" s="213"/>
      <c r="AP1116" s="213" t="str">
        <f>IFERROR(__xludf.DUMMYFUNCTION("""COMPUTED_VALUE"""),"LUIS")</f>
        <v>LUIS</v>
      </c>
      <c r="AQ1116" s="213"/>
      <c r="AR1116" s="213"/>
      <c r="AS1116" s="213"/>
      <c r="AT1116" s="213"/>
      <c r="AU1116" s="213"/>
      <c r="AV1116" s="213"/>
      <c r="AW1116" s="213"/>
      <c r="AX1116" s="213"/>
      <c r="AY1116" s="213"/>
      <c r="AZ1116" s="213"/>
      <c r="BA1116" s="213"/>
      <c r="BB1116" s="213"/>
      <c r="BC1116" s="213"/>
      <c r="BD1116" s="213"/>
    </row>
    <row r="1117">
      <c r="A1117" s="213">
        <f>IFERROR(__xludf.DUMMYFUNCTION("""COMPUTED_VALUE"""),2097.0)</f>
        <v>2097</v>
      </c>
      <c r="B1117" s="213" t="str">
        <f>IFERROR(__xludf.DUMMYFUNCTION("""COMPUTED_VALUE"""),"JOSE GRANDA")</f>
        <v>JOSE GRANDA</v>
      </c>
      <c r="C1117" s="213" t="str">
        <f>IFERROR(__xludf.DUMMYFUNCTION("""COMPUTED_VALUE"""),"TALLER SFT DE INDUSTRIA ALIMENTARIA")</f>
        <v>TALLER SFT DE INDUSTRIA ALIMENTARIA</v>
      </c>
      <c r="D1117" s="213" t="str">
        <f>IFERROR(__xludf.DUMMYFUNCTION("""COMPUTED_VALUE"""),"HERRAMIENTAS")</f>
        <v>HERRAMIENTAS</v>
      </c>
      <c r="E1117" s="213" t="str">
        <f>IFERROR(__xludf.DUMMYFUNCTION("""COMPUTED_VALUE"""),"MAT-125")</f>
        <v>MAT-125</v>
      </c>
      <c r="F1117" s="213" t="str">
        <f>IFERROR(__xludf.DUMMYFUNCTION("""COMPUTED_VALUE"""),"MAT-125-Y")</f>
        <v>MAT-125-Y</v>
      </c>
      <c r="G1117" s="213"/>
      <c r="H1117" s="213" t="str">
        <f>IFERROR(__xludf.DUMMYFUNCTION("""COMPUTED_VALUE"""),"BROCHA DE SILICONA")</f>
        <v>BROCHA DE SILICONA</v>
      </c>
      <c r="I1117" s="213" t="str">
        <f>IFERROR(__xludf.DUMMYFUNCTION("""COMPUTED_VALUE"""),"· Materiales: Silicona, 100% de silicona de calidad alimentaria
· Función: Decoración de la torta
· Forma personalizada es aceptable
· Resistente al calor: - 40 a 260 C
· Uso: barnizado de productos
· Tipo de herramienta de horneado y repostería:
· Brocha"&amp;"s para masa")</f>
        <v>· Materiales: Silicona, 100% de silicona de calidad alimentaria
· Función: Decoración de la torta
· Forma personalizada es aceptable
· Resistente al calor: - 40 a 260 C
· Uso: barnizado de productos
· Tipo de herramienta de horneado y repostería:
· Brochas para masa</v>
      </c>
      <c r="J1117" s="213">
        <f>IFERROR(__xludf.DUMMYFUNCTION("""COMPUTED_VALUE"""),3.0)</f>
        <v>3</v>
      </c>
      <c r="K1117" s="213" t="str">
        <f>IFERROR(__xludf.DUMMYFUNCTION("""COMPUTED_VALUE"""),"90 DÍAS CALENDARIO")</f>
        <v>90 DÍAS CALENDARIO</v>
      </c>
      <c r="L1117" s="213" t="str">
        <f>IFERROR(__xludf.DUMMYFUNCTION("""COMPUTED_VALUE"""),"")</f>
        <v/>
      </c>
      <c r="M1117" s="213">
        <f>IFERROR(__xludf.DUMMYFUNCTION("""COMPUTED_VALUE"""),1.0)</f>
        <v>1</v>
      </c>
      <c r="N1117" s="213">
        <f>IFERROR(__xludf.DUMMYFUNCTION("""COMPUTED_VALUE"""),4.0)</f>
        <v>4</v>
      </c>
      <c r="O1117" s="213">
        <f>IFERROR(__xludf.DUMMYFUNCTION("""COMPUTED_VALUE"""),4.0)</f>
        <v>4</v>
      </c>
      <c r="P1117" s="213"/>
      <c r="Q1117" s="213"/>
      <c r="R1117" s="213" t="str">
        <f>IFERROR(__xludf.DUMMYFUNCTION("""COMPUTED_VALUE"""),"SI")</f>
        <v>SI</v>
      </c>
      <c r="S1117" s="213"/>
      <c r="T1117" s="213" t="str">
        <f>IFERROR(__xludf.DUMMYFUNCTION("""COMPUTED_VALUE"""),"SI")</f>
        <v>SI</v>
      </c>
      <c r="U1117" s="213" t="str">
        <f>IFERROR(__xludf.DUMMYFUNCTION("""COMPUTED_VALUE"""),"SI")</f>
        <v>SI</v>
      </c>
      <c r="V1117" s="213" t="str">
        <f>IFERROR(__xludf.DUMMYFUNCTION("""COMPUTED_VALUE"""),"-")</f>
        <v>-</v>
      </c>
      <c r="W1117" s="213" t="str">
        <f>IFERROR(__xludf.DUMMYFUNCTION("""COMPUTED_VALUE"""),"-")</f>
        <v>-</v>
      </c>
      <c r="X1117" s="213" t="str">
        <f>IFERROR(__xludf.DUMMYFUNCTION("""COMPUTED_VALUE"""),"ICHIMATSU")</f>
        <v>ICHIMATSU</v>
      </c>
      <c r="Y1117" s="213">
        <f>IFERROR(__xludf.DUMMYFUNCTION("""COMPUTED_VALUE"""),7.0067391E7)</f>
        <v>70067391</v>
      </c>
      <c r="Z1117" s="215" t="str">
        <f>IFERROR(__xludf.DUMMYFUNCTION("""COMPUTED_VALUE"""),"https://www.uysa.com.pe/brocha-p-reposteria-silicona-con-mango-verde-de-abs-70067391/p?srsltid=AfmBOoo5FFHt3WEU0McXc8V9ycySDEQ00Ip0vMv2xUz8TIsp3JRRCTYh")</f>
        <v>https://www.uysa.com.pe/brocha-p-reposteria-silicona-con-mango-verde-de-abs-70067391/p?srsltid=AfmBOoo5FFHt3WEU0McXc8V9ycySDEQ00Ip0vMv2xUz8TIsp3JRRCTYh</v>
      </c>
      <c r="AA1117" s="213" t="str">
        <f>IFERROR(__xludf.DUMMYFUNCTION("""COMPUTED_VALUE"""),"MAT-125-Y BROCHA DE SILICONA - CET")</f>
        <v>MAT-125-Y BROCHA DE SILICONA - CET</v>
      </c>
      <c r="AB1117" s="215" t="str">
        <f>IFERROR(__xludf.DUMMYFUNCTION("""COMPUTED_VALUE"""),"https://drive.google.com/file/d/1pphnmDgzBUV_K98QtTkJr0xe_I44PGif/view?usp=sharing")</f>
        <v>https://drive.google.com/file/d/1pphnmDgzBUV_K98QtTkJr0xe_I44PGif/view?usp=sharing</v>
      </c>
      <c r="AC1117" s="215" t="str">
        <f>IFERROR(__xludf.DUMMYFUNCTION("""COMPUTED_VALUE"""),"https://www.lacuisine.pe/lgc/product/brocha-de-silicona-de-23cm-gris-61-33436-tovolo/?utm_source")</f>
        <v>https://www.lacuisine.pe/lgc/product/brocha-de-silicona-de-23cm-gris-61-33436-tovolo/?utm_source</v>
      </c>
      <c r="AD1117" s="213"/>
      <c r="AE1117" s="213"/>
      <c r="AF1117" s="213"/>
      <c r="AG1117" s="213"/>
      <c r="AH1117" s="213" t="str">
        <f>IFERROR(__xludf.DUMMYFUNCTION("""COMPUTED_VALUE"""),"NACIONAL")</f>
        <v>NACIONAL</v>
      </c>
      <c r="AI1117" s="213"/>
      <c r="AJ1117" s="213"/>
      <c r="AK1117" s="213"/>
      <c r="AL1117" s="213"/>
      <c r="AM1117" s="213"/>
      <c r="AN1117" s="213"/>
      <c r="AO1117" s="213"/>
      <c r="AP1117" s="213" t="str">
        <f>IFERROR(__xludf.DUMMYFUNCTION("""COMPUTED_VALUE"""),"LUIS")</f>
        <v>LUIS</v>
      </c>
      <c r="AQ1117" s="213"/>
      <c r="AR1117" s="213"/>
      <c r="AS1117" s="213"/>
      <c r="AT1117" s="213"/>
      <c r="AU1117" s="213"/>
      <c r="AV1117" s="213"/>
      <c r="AW1117" s="213"/>
      <c r="AX1117" s="213"/>
      <c r="AY1117" s="213"/>
      <c r="AZ1117" s="213"/>
      <c r="BA1117" s="213"/>
      <c r="BB1117" s="213"/>
      <c r="BC1117" s="213"/>
      <c r="BD1117" s="213"/>
    </row>
    <row r="1118">
      <c r="A1118" s="213">
        <f>IFERROR(__xludf.DUMMYFUNCTION("""COMPUTED_VALUE"""),1831.0)</f>
        <v>1831</v>
      </c>
      <c r="B1118" s="213" t="str">
        <f>IFERROR(__xludf.DUMMYFUNCTION("""COMPUTED_VALUE"""),"GUILLERMO E. BILLINGHURST ")</f>
        <v>GUILLERMO E. BILLINGHURST </v>
      </c>
      <c r="C1118" s="213" t="str">
        <f>IFERROR(__xludf.DUMMYFUNCTION("""COMPUTED_VALUE"""),"TALLER SFT DE EBANISTERÍA")</f>
        <v>TALLER SFT DE EBANISTERÍA</v>
      </c>
      <c r="D1118" s="213" t="str">
        <f>IFERROR(__xludf.DUMMYFUNCTION("""COMPUTED_VALUE"""),"HERRAMIENTAS")</f>
        <v>HERRAMIENTAS</v>
      </c>
      <c r="E1118" s="213" t="str">
        <f>IFERROR(__xludf.DUMMYFUNCTION("""COMPUTED_VALUE"""),"MAT-127")</f>
        <v>MAT-127</v>
      </c>
      <c r="F1118" s="213" t="str">
        <f>IFERROR(__xludf.DUMMYFUNCTION("""COMPUTED_VALUE"""),"MAT-127")</f>
        <v>MAT-127</v>
      </c>
      <c r="G1118" s="213"/>
      <c r="H1118" s="213" t="str">
        <f>IFERROR(__xludf.DUMMYFUNCTION("""COMPUTED_VALUE"""),"JUEGO DE BROCHAS CARPINTERIA")</f>
        <v>JUEGO DE BROCHAS CARPINTERIA</v>
      </c>
      <c r="I1118" s="213" t="str">
        <f>IFERROR(__xludf.DUMMYFUNCTION("""COMPUTED_VALUE"""),"El juego de brochas contiene las siguietes medidas:
- 1"",
- 2"",
- 4"" y
- 5"".
Fabricación de los filamentos de material natural o nylon. Material del mango: madera")</f>
        <v>El juego de brochas contiene las siguietes medidas:
- 1",
- 2",
- 4" y
- 5".
Fabricación de los filamentos de material natural o nylon. Material del mango: madera</v>
      </c>
      <c r="J1118" s="213">
        <f>IFERROR(__xludf.DUMMYFUNCTION("""COMPUTED_VALUE"""),3.0)</f>
        <v>3</v>
      </c>
      <c r="K1118" s="213" t="str">
        <f>IFERROR(__xludf.DUMMYFUNCTION("""COMPUTED_VALUE"""),"90 DÍAS CALENDARIO")</f>
        <v>90 DÍAS CALENDARIO</v>
      </c>
      <c r="L1118" s="213" t="str">
        <f>IFERROR(__xludf.DUMMYFUNCTION("""COMPUTED_VALUE"""),"")</f>
        <v/>
      </c>
      <c r="M1118" s="213">
        <f>IFERROR(__xludf.DUMMYFUNCTION("""COMPUTED_VALUE"""),1.0)</f>
        <v>1</v>
      </c>
      <c r="N1118" s="213">
        <f>IFERROR(__xludf.DUMMYFUNCTION("""COMPUTED_VALUE"""),4.0)</f>
        <v>4</v>
      </c>
      <c r="O1118" s="213">
        <f>IFERROR(__xludf.DUMMYFUNCTION("""COMPUTED_VALUE"""),4.0)</f>
        <v>4</v>
      </c>
      <c r="P1118" s="213"/>
      <c r="Q1118" s="213"/>
      <c r="R1118" s="213" t="str">
        <f>IFERROR(__xludf.DUMMYFUNCTION("""COMPUTED_VALUE"""),"SI")</f>
        <v>SI</v>
      </c>
      <c r="S1118" s="213"/>
      <c r="T1118" s="213" t="str">
        <f>IFERROR(__xludf.DUMMYFUNCTION("""COMPUTED_VALUE"""),"SI")</f>
        <v>SI</v>
      </c>
      <c r="U1118" s="213" t="str">
        <f>IFERROR(__xludf.DUMMYFUNCTION("""COMPUTED_VALUE"""),"SI")</f>
        <v>SI</v>
      </c>
      <c r="V1118" s="213" t="str">
        <f>IFERROR(__xludf.DUMMYFUNCTION("""COMPUTED_VALUE"""),"-")</f>
        <v>-</v>
      </c>
      <c r="W1118" s="213" t="str">
        <f>IFERROR(__xludf.DUMMYFUNCTION("""COMPUTED_VALUE"""),"-")</f>
        <v>-</v>
      </c>
      <c r="X1118" s="213" t="str">
        <f>IFERROR(__xludf.DUMMYFUNCTION("""COMPUTED_VALUE"""),"TUMI")</f>
        <v>TUMI</v>
      </c>
      <c r="Y1118" s="213" t="str">
        <f>IFERROR(__xludf.DUMMYFUNCTION("""COMPUTED_VALUE""")," 1"", 2"", 4"" y  5""")</f>
        <v> 1", 2", 4" y  5"</v>
      </c>
      <c r="Z1118" s="215" t="str">
        <f>IFERROR(__xludf.DUMMYFUNCTION("""COMPUTED_VALUE"""),"https://sodimac.falabella.com.pe/sodimac-pe/product/113309957/Brocha-TUMI-Multiuso-4''/113309958?exp=sodimac")</f>
        <v>https://sodimac.falabella.com.pe/sodimac-pe/product/113309957/Brocha-TUMI-Multiuso-4''/113309958?exp=sodimac</v>
      </c>
      <c r="AA1118" s="213" t="str">
        <f>IFERROR(__xludf.DUMMYFUNCTION("""COMPUTED_VALUE"""),"MAT-127 JUEGO DE BROCHAS CARPINTERIA - CET")</f>
        <v>MAT-127 JUEGO DE BROCHAS CARPINTERIA - CET</v>
      </c>
      <c r="AB1118" s="213"/>
      <c r="AC1118" s="213"/>
      <c r="AD1118" s="213"/>
      <c r="AE1118" s="213"/>
      <c r="AF1118" s="213"/>
      <c r="AG1118" s="213"/>
      <c r="AH1118" s="213"/>
      <c r="AI1118" s="213"/>
      <c r="AJ1118" s="213"/>
      <c r="AK1118" s="213"/>
      <c r="AL1118" s="213"/>
      <c r="AM1118" s="213"/>
      <c r="AN1118" s="213"/>
      <c r="AO1118" s="213"/>
      <c r="AP1118" s="213" t="str">
        <f>IFERROR(__xludf.DUMMYFUNCTION("""COMPUTED_VALUE"""),"SEBASTIAN")</f>
        <v>SEBASTIAN</v>
      </c>
      <c r="AQ1118" s="213"/>
      <c r="AR1118" s="213"/>
      <c r="AS1118" s="213"/>
      <c r="AT1118" s="213"/>
      <c r="AU1118" s="213"/>
      <c r="AV1118" s="213"/>
      <c r="AW1118" s="213"/>
      <c r="AX1118" s="213"/>
      <c r="AY1118" s="213"/>
      <c r="AZ1118" s="213"/>
      <c r="BA1118" s="213"/>
      <c r="BB1118" s="213"/>
      <c r="BC1118" s="213"/>
      <c r="BD1118" s="213"/>
    </row>
    <row r="1119">
      <c r="A1119" s="213">
        <f>IFERROR(__xludf.DUMMYFUNCTION("""COMPUTED_VALUE"""),2613.0)</f>
        <v>2613</v>
      </c>
      <c r="B1119" s="213" t="str">
        <f>IFERROR(__xludf.DUMMYFUNCTION("""COMPUTED_VALUE"""),"MANUEL ANTONIO MESONES MURO")</f>
        <v>MANUEL ANTONIO MESONES MURO</v>
      </c>
      <c r="C1119" s="213" t="str">
        <f>IFERROR(__xludf.DUMMYFUNCTION("""COMPUTED_VALUE"""),"TALLER SFT DE EBANISTERÍA")</f>
        <v>TALLER SFT DE EBANISTERÍA</v>
      </c>
      <c r="D1119" s="213" t="str">
        <f>IFERROR(__xludf.DUMMYFUNCTION("""COMPUTED_VALUE"""),"HERRAMIENTAS")</f>
        <v>HERRAMIENTAS</v>
      </c>
      <c r="E1119" s="213" t="str">
        <f>IFERROR(__xludf.DUMMYFUNCTION("""COMPUTED_VALUE"""),"MAT-127")</f>
        <v>MAT-127</v>
      </c>
      <c r="F1119" s="213" t="str">
        <f>IFERROR(__xludf.DUMMYFUNCTION("""COMPUTED_VALUE"""),"MAT-127")</f>
        <v>MAT-127</v>
      </c>
      <c r="G1119" s="213"/>
      <c r="H1119" s="213" t="str">
        <f>IFERROR(__xludf.DUMMYFUNCTION("""COMPUTED_VALUE"""),"JUEGO DE BROCHAS CARPINTERIA")</f>
        <v>JUEGO DE BROCHAS CARPINTERIA</v>
      </c>
      <c r="I1119" s="213" t="str">
        <f>IFERROR(__xludf.DUMMYFUNCTION("""COMPUTED_VALUE"""),"El juego de brochas contiene las siguietes medidas:
- 1"",
- 2"",
- 4"" y
- 5"".
Fabricación de los filamentos de material natural o nylon. Material del mango: madera")</f>
        <v>El juego de brochas contiene las siguietes medidas:
- 1",
- 2",
- 4" y
- 5".
Fabricación de los filamentos de material natural o nylon. Material del mango: madera</v>
      </c>
      <c r="J1119" s="213">
        <f>IFERROR(__xludf.DUMMYFUNCTION("""COMPUTED_VALUE"""),3.0)</f>
        <v>3</v>
      </c>
      <c r="K1119" s="213" t="str">
        <f>IFERROR(__xludf.DUMMYFUNCTION("""COMPUTED_VALUE"""),"90 DÍAS CALENDARIO")</f>
        <v>90 DÍAS CALENDARIO</v>
      </c>
      <c r="L1119" s="213" t="str">
        <f>IFERROR(__xludf.DUMMYFUNCTION("""COMPUTED_VALUE"""),"")</f>
        <v/>
      </c>
      <c r="M1119" s="213">
        <f>IFERROR(__xludf.DUMMYFUNCTION("""COMPUTED_VALUE"""),1.0)</f>
        <v>1</v>
      </c>
      <c r="N1119" s="213">
        <f>IFERROR(__xludf.DUMMYFUNCTION("""COMPUTED_VALUE"""),4.0)</f>
        <v>4</v>
      </c>
      <c r="O1119" s="213">
        <f>IFERROR(__xludf.DUMMYFUNCTION("""COMPUTED_VALUE"""),4.0)</f>
        <v>4</v>
      </c>
      <c r="P1119" s="213"/>
      <c r="Q1119" s="213"/>
      <c r="R1119" s="213" t="str">
        <f>IFERROR(__xludf.DUMMYFUNCTION("""COMPUTED_VALUE"""),"SI")</f>
        <v>SI</v>
      </c>
      <c r="S1119" s="213"/>
      <c r="T1119" s="213" t="str">
        <f>IFERROR(__xludf.DUMMYFUNCTION("""COMPUTED_VALUE"""),"SI")</f>
        <v>SI</v>
      </c>
      <c r="U1119" s="213" t="str">
        <f>IFERROR(__xludf.DUMMYFUNCTION("""COMPUTED_VALUE"""),"SI")</f>
        <v>SI</v>
      </c>
      <c r="V1119" s="213" t="str">
        <f>IFERROR(__xludf.DUMMYFUNCTION("""COMPUTED_VALUE"""),"-")</f>
        <v>-</v>
      </c>
      <c r="W1119" s="213" t="str">
        <f>IFERROR(__xludf.DUMMYFUNCTION("""COMPUTED_VALUE"""),"-")</f>
        <v>-</v>
      </c>
      <c r="X1119" s="213" t="str">
        <f>IFERROR(__xludf.DUMMYFUNCTION("""COMPUTED_VALUE"""),"TUMI")</f>
        <v>TUMI</v>
      </c>
      <c r="Y1119" s="213" t="str">
        <f>IFERROR(__xludf.DUMMYFUNCTION("""COMPUTED_VALUE""")," 1"", 2"", 4"" y  5""")</f>
        <v> 1", 2", 4" y  5"</v>
      </c>
      <c r="Z1119" s="215" t="str">
        <f>IFERROR(__xludf.DUMMYFUNCTION("""COMPUTED_VALUE"""),"https://sodimac.falabella.com.pe/sodimac-pe/product/113309957/Brocha-TUMI-Multiuso-4''/113309958?exp=sodimac")</f>
        <v>https://sodimac.falabella.com.pe/sodimac-pe/product/113309957/Brocha-TUMI-Multiuso-4''/113309958?exp=sodimac</v>
      </c>
      <c r="AA1119" s="213" t="str">
        <f>IFERROR(__xludf.DUMMYFUNCTION("""COMPUTED_VALUE"""),"MAT-127 JUEGO DE BROCHAS CARPINTERIA - CET")</f>
        <v>MAT-127 JUEGO DE BROCHAS CARPINTERIA - CET</v>
      </c>
      <c r="AB1119" s="213"/>
      <c r="AC1119" s="213"/>
      <c r="AD1119" s="213"/>
      <c r="AE1119" s="213"/>
      <c r="AF1119" s="213"/>
      <c r="AG1119" s="213"/>
      <c r="AH1119" s="213"/>
      <c r="AI1119" s="213"/>
      <c r="AJ1119" s="213"/>
      <c r="AK1119" s="213"/>
      <c r="AL1119" s="213"/>
      <c r="AM1119" s="213"/>
      <c r="AN1119" s="213"/>
      <c r="AO1119" s="213"/>
      <c r="AP1119" s="213" t="str">
        <f>IFERROR(__xludf.DUMMYFUNCTION("""COMPUTED_VALUE"""),"SEBASTIAN")</f>
        <v>SEBASTIAN</v>
      </c>
      <c r="AQ1119" s="213"/>
      <c r="AR1119" s="213"/>
      <c r="AS1119" s="213"/>
      <c r="AT1119" s="213"/>
      <c r="AU1119" s="213"/>
      <c r="AV1119" s="213"/>
      <c r="AW1119" s="213"/>
      <c r="AX1119" s="213"/>
      <c r="AY1119" s="213"/>
      <c r="AZ1119" s="213"/>
      <c r="BA1119" s="213"/>
      <c r="BB1119" s="213"/>
      <c r="BC1119" s="213"/>
      <c r="BD1119" s="213"/>
    </row>
    <row r="1120">
      <c r="A1120" s="213">
        <f>IFERROR(__xludf.DUMMYFUNCTION("""COMPUTED_VALUE"""),1849.0)</f>
        <v>1849</v>
      </c>
      <c r="B1120" s="213" t="str">
        <f>IFERROR(__xludf.DUMMYFUNCTION("""COMPUTED_VALUE"""),"GUILLERMO E. BILLINGHURST ")</f>
        <v>GUILLERMO E. BILLINGHURST </v>
      </c>
      <c r="C1120" s="213" t="str">
        <f>IFERROR(__xludf.DUMMYFUNCTION("""COMPUTED_VALUE"""),"TALLER SFT DE EBANISTERÍA")</f>
        <v>TALLER SFT DE EBANISTERÍA</v>
      </c>
      <c r="D1120" s="213" t="str">
        <f>IFERROR(__xludf.DUMMYFUNCTION("""COMPUTED_VALUE"""),"HERRAMIENTAS")</f>
        <v>HERRAMIENTAS</v>
      </c>
      <c r="E1120" s="213" t="str">
        <f>IFERROR(__xludf.DUMMYFUNCTION("""COMPUTED_VALUE"""),"MAT-129")</f>
        <v>MAT-129</v>
      </c>
      <c r="F1120" s="213" t="str">
        <f>IFERROR(__xludf.DUMMYFUNCTION("""COMPUTED_VALUE"""),"MAT-129")</f>
        <v>MAT-129</v>
      </c>
      <c r="G1120" s="213"/>
      <c r="H1120" s="213" t="str">
        <f>IFERROR(__xludf.DUMMYFUNCTION("""COMPUTED_VALUE"""),"CARETA FACIAL")</f>
        <v>CARETA FACIAL</v>
      </c>
      <c r="I1120" s="213" t="str">
        <f>IFERROR(__xludf.DUMMYFUNCTION("""COMPUTED_VALUE"""),"Protector facial con regulación y adaptador frontal. Visor incoloro en policarbonato.
Material: Termoplástico y policarbonato.
LTVamEaRñAo mHíinlidmao del lente (visor): 30 x 18 cm.
998 soft")</f>
        <v>Protector facial con regulación y adaptador frontal. Visor incoloro en policarbonato.
Material: Termoplástico y policarbonato.
LTVamEaRñAo mHíinlidmao del lente (visor): 30 x 18 cm.
998 soft</v>
      </c>
      <c r="J1120" s="213">
        <f>IFERROR(__xludf.DUMMYFUNCTION("""COMPUTED_VALUE"""),3.0)</f>
        <v>3</v>
      </c>
      <c r="K1120" s="213" t="str">
        <f>IFERROR(__xludf.DUMMYFUNCTION("""COMPUTED_VALUE"""),"90 DÍAS CALENDARIO")</f>
        <v>90 DÍAS CALENDARIO</v>
      </c>
      <c r="L1120" s="213" t="str">
        <f>IFERROR(__xludf.DUMMYFUNCTION("""COMPUTED_VALUE"""),"")</f>
        <v/>
      </c>
      <c r="M1120" s="213">
        <f>IFERROR(__xludf.DUMMYFUNCTION("""COMPUTED_VALUE"""),1.0)</f>
        <v>1</v>
      </c>
      <c r="N1120" s="213">
        <f>IFERROR(__xludf.DUMMYFUNCTION("""COMPUTED_VALUE"""),4.0)</f>
        <v>4</v>
      </c>
      <c r="O1120" s="213">
        <f>IFERROR(__xludf.DUMMYFUNCTION("""COMPUTED_VALUE"""),4.0)</f>
        <v>4</v>
      </c>
      <c r="P1120" s="213"/>
      <c r="Q1120" s="213"/>
      <c r="R1120" s="213" t="str">
        <f>IFERROR(__xludf.DUMMYFUNCTION("""COMPUTED_VALUE"""),"SI")</f>
        <v>SI</v>
      </c>
      <c r="S1120" s="213"/>
      <c r="T1120" s="213" t="str">
        <f>IFERROR(__xludf.DUMMYFUNCTION("""COMPUTED_VALUE"""),"SI")</f>
        <v>SI</v>
      </c>
      <c r="U1120" s="213" t="str">
        <f>IFERROR(__xludf.DUMMYFUNCTION("""COMPUTED_VALUE"""),"SI")</f>
        <v>SI</v>
      </c>
      <c r="V1120" s="213" t="str">
        <f>IFERROR(__xludf.DUMMYFUNCTION("""COMPUTED_VALUE"""),"-")</f>
        <v>-</v>
      </c>
      <c r="W1120" s="213" t="str">
        <f>IFERROR(__xludf.DUMMYFUNCTION("""COMPUTED_VALUE"""),"-")</f>
        <v>-</v>
      </c>
      <c r="X1120" s="213" t="str">
        <f>IFERROR(__xludf.DUMMYFUNCTION("""COMPUTED_VALUE"""),"Steelpro")</f>
        <v>Steelpro</v>
      </c>
      <c r="Y1120" s="213" t="str">
        <f>IFERROR(__xludf.DUMMYFUNCTION("""COMPUTED_VALUE"""),"Steelpro")</f>
        <v>Steelpro</v>
      </c>
      <c r="Z1120" s="215" t="str">
        <f>IFERROR(__xludf.DUMMYFUNCTION("""COMPUTED_VALUE"""),"https://segurimax.com.pe/product/careta-de-proteccion-facial/")</f>
        <v>https://segurimax.com.pe/product/careta-de-proteccion-facial/</v>
      </c>
      <c r="AA1120" s="213" t="str">
        <f>IFERROR(__xludf.DUMMYFUNCTION("""COMPUTED_VALUE"""),"MAT-129 CARETA FACIAL - CET")</f>
        <v>MAT-129 CARETA FACIAL - CET</v>
      </c>
      <c r="AB1120" s="215" t="str">
        <f>IFERROR(__xludf.DUMMYFUNCTION("""COMPUTED_VALUE"""),"https://drive.google.com/file/d/1je5Z30VlIqVBB6UgWwdChXCKvQ8WJQn1/view?usp=sharing")</f>
        <v>https://drive.google.com/file/d/1je5Z30VlIqVBB6UgWwdChXCKvQ8WJQn1/view?usp=sharing</v>
      </c>
      <c r="AC1120" s="215" t="str">
        <f>IFERROR(__xludf.DUMMYFUNCTION("""COMPUTED_VALUE"""),"https://segurimax.com.pe/product/careta-de-proteccion-facial/")</f>
        <v>https://segurimax.com.pe/product/careta-de-proteccion-facial/</v>
      </c>
      <c r="AD1120" s="213"/>
      <c r="AE1120" s="213"/>
      <c r="AF1120" s="213"/>
      <c r="AG1120" s="213"/>
      <c r="AH1120" s="213" t="str">
        <f>IFERROR(__xludf.DUMMYFUNCTION("""COMPUTED_VALUE"""),"NACIONAL")</f>
        <v>NACIONAL</v>
      </c>
      <c r="AI1120" s="213"/>
      <c r="AJ1120" s="213"/>
      <c r="AK1120" s="213"/>
      <c r="AL1120" s="213"/>
      <c r="AM1120" s="213"/>
      <c r="AN1120" s="213"/>
      <c r="AO1120" s="213"/>
      <c r="AP1120" s="213" t="str">
        <f>IFERROR(__xludf.DUMMYFUNCTION("""COMPUTED_VALUE"""),"SEBASTIAN")</f>
        <v>SEBASTIAN</v>
      </c>
      <c r="AQ1120" s="213"/>
      <c r="AR1120" s="213"/>
      <c r="AS1120" s="213"/>
      <c r="AT1120" s="213"/>
      <c r="AU1120" s="213"/>
      <c r="AV1120" s="213"/>
      <c r="AW1120" s="213"/>
      <c r="AX1120" s="213"/>
      <c r="AY1120" s="213"/>
      <c r="AZ1120" s="213"/>
      <c r="BA1120" s="213"/>
      <c r="BB1120" s="213"/>
      <c r="BC1120" s="213"/>
      <c r="BD1120" s="213"/>
    </row>
    <row r="1121">
      <c r="A1121" s="213">
        <f>IFERROR(__xludf.DUMMYFUNCTION("""COMPUTED_VALUE"""),2631.0)</f>
        <v>2631</v>
      </c>
      <c r="B1121" s="213" t="str">
        <f>IFERROR(__xludf.DUMMYFUNCTION("""COMPUTED_VALUE"""),"MANUEL ANTONIO MESONES MURO")</f>
        <v>MANUEL ANTONIO MESONES MURO</v>
      </c>
      <c r="C1121" s="213" t="str">
        <f>IFERROR(__xludf.DUMMYFUNCTION("""COMPUTED_VALUE"""),"TALLER SFT DE EBANISTERÍA")</f>
        <v>TALLER SFT DE EBANISTERÍA</v>
      </c>
      <c r="D1121" s="213" t="str">
        <f>IFERROR(__xludf.DUMMYFUNCTION("""COMPUTED_VALUE"""),"HERRAMIENTAS")</f>
        <v>HERRAMIENTAS</v>
      </c>
      <c r="E1121" s="213" t="str">
        <f>IFERROR(__xludf.DUMMYFUNCTION("""COMPUTED_VALUE"""),"MAT-129")</f>
        <v>MAT-129</v>
      </c>
      <c r="F1121" s="213" t="str">
        <f>IFERROR(__xludf.DUMMYFUNCTION("""COMPUTED_VALUE"""),"MAT-129")</f>
        <v>MAT-129</v>
      </c>
      <c r="G1121" s="213"/>
      <c r="H1121" s="213" t="str">
        <f>IFERROR(__xludf.DUMMYFUNCTION("""COMPUTED_VALUE"""),"CARETA FACIAL")</f>
        <v>CARETA FACIAL</v>
      </c>
      <c r="I1121" s="213" t="str">
        <f>IFERROR(__xludf.DUMMYFUNCTION("""COMPUTED_VALUE"""),"Protector facial con regulación y adaptador frontal. Visor incoloro en policarbonato.
Material: Termoplástico y policarbonato.
LTVamEaRñAo mHíinlidmao del lente (visor): 30 x 18 cm.
998 soft")</f>
        <v>Protector facial con regulación y adaptador frontal. Visor incoloro en policarbonato.
Material: Termoplástico y policarbonato.
LTVamEaRñAo mHíinlidmao del lente (visor): 30 x 18 cm.
998 soft</v>
      </c>
      <c r="J1121" s="213">
        <f>IFERROR(__xludf.DUMMYFUNCTION("""COMPUTED_VALUE"""),3.0)</f>
        <v>3</v>
      </c>
      <c r="K1121" s="213" t="str">
        <f>IFERROR(__xludf.DUMMYFUNCTION("""COMPUTED_VALUE"""),"90 DÍAS CALENDARIO")</f>
        <v>90 DÍAS CALENDARIO</v>
      </c>
      <c r="L1121" s="213" t="str">
        <f>IFERROR(__xludf.DUMMYFUNCTION("""COMPUTED_VALUE"""),"")</f>
        <v/>
      </c>
      <c r="M1121" s="213">
        <f>IFERROR(__xludf.DUMMYFUNCTION("""COMPUTED_VALUE"""),1.0)</f>
        <v>1</v>
      </c>
      <c r="N1121" s="213">
        <f>IFERROR(__xludf.DUMMYFUNCTION("""COMPUTED_VALUE"""),4.0)</f>
        <v>4</v>
      </c>
      <c r="O1121" s="213">
        <f>IFERROR(__xludf.DUMMYFUNCTION("""COMPUTED_VALUE"""),4.0)</f>
        <v>4</v>
      </c>
      <c r="P1121" s="213"/>
      <c r="Q1121" s="213"/>
      <c r="R1121" s="213" t="str">
        <f>IFERROR(__xludf.DUMMYFUNCTION("""COMPUTED_VALUE"""),"SI")</f>
        <v>SI</v>
      </c>
      <c r="S1121" s="213"/>
      <c r="T1121" s="213" t="str">
        <f>IFERROR(__xludf.DUMMYFUNCTION("""COMPUTED_VALUE"""),"SI")</f>
        <v>SI</v>
      </c>
      <c r="U1121" s="213" t="str">
        <f>IFERROR(__xludf.DUMMYFUNCTION("""COMPUTED_VALUE"""),"SI")</f>
        <v>SI</v>
      </c>
      <c r="V1121" s="213" t="str">
        <f>IFERROR(__xludf.DUMMYFUNCTION("""COMPUTED_VALUE"""),"-")</f>
        <v>-</v>
      </c>
      <c r="W1121" s="213" t="str">
        <f>IFERROR(__xludf.DUMMYFUNCTION("""COMPUTED_VALUE"""),"-")</f>
        <v>-</v>
      </c>
      <c r="X1121" s="213" t="str">
        <f>IFERROR(__xludf.DUMMYFUNCTION("""COMPUTED_VALUE"""),"Steelpro")</f>
        <v>Steelpro</v>
      </c>
      <c r="Y1121" s="213" t="str">
        <f>IFERROR(__xludf.DUMMYFUNCTION("""COMPUTED_VALUE"""),"Steelpro")</f>
        <v>Steelpro</v>
      </c>
      <c r="Z1121" s="215" t="str">
        <f>IFERROR(__xludf.DUMMYFUNCTION("""COMPUTED_VALUE"""),"https://segurimax.com.pe/product/careta-de-proteccion-facial/")</f>
        <v>https://segurimax.com.pe/product/careta-de-proteccion-facial/</v>
      </c>
      <c r="AA1121" s="213" t="str">
        <f>IFERROR(__xludf.DUMMYFUNCTION("""COMPUTED_VALUE"""),"MAT-129 CARETA FACIAL - CET")</f>
        <v>MAT-129 CARETA FACIAL - CET</v>
      </c>
      <c r="AB1121" s="215" t="str">
        <f>IFERROR(__xludf.DUMMYFUNCTION("""COMPUTED_VALUE"""),"https://drive.google.com/file/d/1je5Z30VlIqVBB6UgWwdChXCKvQ8WJQn1/view?usp=sharing")</f>
        <v>https://drive.google.com/file/d/1je5Z30VlIqVBB6UgWwdChXCKvQ8WJQn1/view?usp=sharing</v>
      </c>
      <c r="AC1121" s="215" t="str">
        <f>IFERROR(__xludf.DUMMYFUNCTION("""COMPUTED_VALUE"""),"https://segurimax.com.pe/product/careta-de-proteccion-facial/")</f>
        <v>https://segurimax.com.pe/product/careta-de-proteccion-facial/</v>
      </c>
      <c r="AD1121" s="213"/>
      <c r="AE1121" s="213"/>
      <c r="AF1121" s="213"/>
      <c r="AG1121" s="213"/>
      <c r="AH1121" s="213" t="str">
        <f>IFERROR(__xludf.DUMMYFUNCTION("""COMPUTED_VALUE"""),"NACIONAL")</f>
        <v>NACIONAL</v>
      </c>
      <c r="AI1121" s="213"/>
      <c r="AJ1121" s="213"/>
      <c r="AK1121" s="213"/>
      <c r="AL1121" s="213"/>
      <c r="AM1121" s="213"/>
      <c r="AN1121" s="213"/>
      <c r="AO1121" s="213"/>
      <c r="AP1121" s="213" t="str">
        <f>IFERROR(__xludf.DUMMYFUNCTION("""COMPUTED_VALUE"""),"SEBASTIAN")</f>
        <v>SEBASTIAN</v>
      </c>
      <c r="AQ1121" s="213"/>
      <c r="AR1121" s="213"/>
      <c r="AS1121" s="213"/>
      <c r="AT1121" s="213"/>
      <c r="AU1121" s="213"/>
      <c r="AV1121" s="213"/>
      <c r="AW1121" s="213"/>
      <c r="AX1121" s="213"/>
      <c r="AY1121" s="213"/>
      <c r="AZ1121" s="213"/>
      <c r="BA1121" s="213"/>
      <c r="BB1121" s="213"/>
      <c r="BC1121" s="213"/>
      <c r="BD1121" s="213"/>
    </row>
    <row r="1122">
      <c r="A1122" s="213">
        <f>IFERROR(__xludf.DUMMYFUNCTION("""COMPUTED_VALUE"""),708.0)</f>
        <v>708</v>
      </c>
      <c r="B1122" s="213" t="str">
        <f>IFERROR(__xludf.DUMMYFUNCTION("""COMPUTED_VALUE"""),"6049 RICARDO PALMA")</f>
        <v>6049 RICARDO PALMA</v>
      </c>
      <c r="C1122" s="213" t="str">
        <f>IFERROR(__xludf.DUMMYFUNCTION("""COMPUTED_VALUE"""),"TALLER SFT DE ELECTRÓNICA")</f>
        <v>TALLER SFT DE ELECTRÓNICA</v>
      </c>
      <c r="D1122" s="213" t="str">
        <f>IFERROR(__xludf.DUMMYFUNCTION("""COMPUTED_VALUE"""),"EQUIPOS")</f>
        <v>EQUIPOS</v>
      </c>
      <c r="E1122" s="213" t="str">
        <f>IFERROR(__xludf.DUMMYFUNCTION("""COMPUTED_VALUE"""),"ESP-205")</f>
        <v>ESP-205</v>
      </c>
      <c r="F1122" s="213" t="str">
        <f>IFERROR(__xludf.DUMMYFUNCTION("""COMPUTED_VALUE"""),"ESP-205")</f>
        <v>ESP-205</v>
      </c>
      <c r="G1122" s="213"/>
      <c r="H1122" s="213" t="str">
        <f>IFERROR(__xludf.DUMMYFUNCTION("""COMPUTED_VALUE"""),"KIT DE INICIO DE ELECTRÓNICA BÁSICA (COMPONENTES DE ELECTRÓNICA BÁSICA)")</f>
        <v>KIT DE INICIO DE ELECTRÓNICA BÁSICA (COMPONENTES DE ELECTRÓNICA BÁSICA)</v>
      </c>
      <c r="I1122" s="213" t="str">
        <f>IFERROR(__xludf.DUMMYFUNCTION("""COMPUTED_VALUE"""),"· El kit es un conjunto de iniciación, basado en algunos circuitos integrados y más de 200 componentes.
· Debe incluir circuito integrado 555, amplificadores operacionales, placa de prueba (protoboard) de 830 puntos, mini placa de prueba (mini protoboard)"&amp;", cables, módulo de reguladores de voltaje, paquete de resistencias, paquete de capacitores, componentes semiconductores analógicos y digitales(diodos, transistores, circuitos integrados de lógica combinacional, secuencial y memorias, Sensor de temperatur"&amp;"a LM35
· Sensor de inclinación, sensor de luz (fotoresistor),  termistores, LED de infrarrojos, optotransistor infrarrojos, timbre de 5 V activo y otros accesorios.
· Los componentes están ordenados en una caja de plástico ergonómico, portátil, robusto y "&amp;"muy práctico.")</f>
        <v>· El kit es un conjunto de iniciación, basado en algunos circuitos integrados y más de 200 componentes.
· Debe incluir circuito integrado 555, amplificadores operacionales, placa de prueba (protoboard) de 830 puntos, mini placa de prueba (mini protoboard), cables, módulo de reguladores de voltaje, paquete de resistencias, paquete de capacitores, componentes semiconductores analógicos y digitales(diodos, transistores, circuitos integrados de lógica combinacional, secuencial y memorias, Sensor de temperatura LM35
· Sensor de inclinación, sensor de luz (fotoresistor),  termistores, LED de infrarrojos, optotransistor infrarrojos, timbre de 5 V activo y otros accesorios.
· Los componentes están ordenados en una caja de plástico ergonómico, portátil, robusto y muy práctico.</v>
      </c>
      <c r="J1122" s="213">
        <f>IFERROR(__xludf.DUMMYFUNCTION("""COMPUTED_VALUE"""),3.0)</f>
        <v>3</v>
      </c>
      <c r="K1122" s="213" t="str">
        <f>IFERROR(__xludf.DUMMYFUNCTION("""COMPUTED_VALUE"""),"170 DÍAS CALENDARIO")</f>
        <v>170 DÍAS CALENDARIO</v>
      </c>
      <c r="L1122" s="213" t="str">
        <f>IFERROR(__xludf.DUMMYFUNCTION("""COMPUTED_VALUE"""),"")</f>
        <v/>
      </c>
      <c r="M1122" s="213">
        <f>IFERROR(__xludf.DUMMYFUNCTION("""COMPUTED_VALUE"""),1.0)</f>
        <v>1</v>
      </c>
      <c r="N1122" s="213">
        <f>IFERROR(__xludf.DUMMYFUNCTION("""COMPUTED_VALUE"""),4.0)</f>
        <v>4</v>
      </c>
      <c r="O1122" s="213">
        <f>IFERROR(__xludf.DUMMYFUNCTION("""COMPUTED_VALUE"""),4.0)</f>
        <v>4</v>
      </c>
      <c r="P1122" s="213"/>
      <c r="Q1122" s="213"/>
      <c r="R1122" s="213"/>
      <c r="S1122" s="213" t="str">
        <f>IFERROR(__xludf.DUMMYFUNCTION("""COMPUTED_VALUE"""),"SI")</f>
        <v>SI</v>
      </c>
      <c r="T1122" s="213" t="str">
        <f>IFERROR(__xludf.DUMMYFUNCTION("""COMPUTED_VALUE"""),"CONSULTA FINAL")</f>
        <v>CONSULTA FINAL</v>
      </c>
      <c r="U1122" s="213" t="str">
        <f>IFERROR(__xludf.DUMMYFUNCTION("""COMPUTED_VALUE"""),"NO")</f>
        <v>NO</v>
      </c>
      <c r="V1122" s="213" t="str">
        <f>IFERROR(__xludf.DUMMYFUNCTION("""COMPUTED_VALUE"""),"NO")</f>
        <v>NO</v>
      </c>
      <c r="W1122" s="213" t="str">
        <f>IFERROR(__xludf.DUMMYFUNCTION("""COMPUTED_VALUE"""),"-")</f>
        <v>-</v>
      </c>
      <c r="X1122" s="213" t="str">
        <f>IFERROR(__xludf.DUMMYFUNCTION("""COMPUTED_VALUE"""),"VALEJAT")</f>
        <v>VALEJAT</v>
      </c>
      <c r="Y1122" s="213" t="str">
        <f>IFERROR(__xludf.DUMMYFUNCTION("""COMPUTED_VALUE"""),"KIT K5")</f>
        <v>KIT K5</v>
      </c>
      <c r="Z1122" s="215" t="str">
        <f>IFERROR(__xludf.DUMMYFUNCTION("""COMPUTED_VALUE"""),"https://drive.google.com/file/d/1gQJK-A3KLTqDAkQaglqmKwQFx193asH9/view")</f>
        <v>https://drive.google.com/file/d/1gQJK-A3KLTqDAkQaglqmKwQFx193asH9/view</v>
      </c>
      <c r="AA1122" s="213" t="str">
        <f>IFERROR(__xludf.DUMMYFUNCTION("""COMPUTED_VALUE"""),"ESP-205 KIT DE INICIO DE ELECTRÓNICA BÁSICA (COMPONENTES DE ELECTRÓNICA BÁSICA) - CET")</f>
        <v>ESP-205 KIT DE INICIO DE ELECTRÓNICA BÁSICA (COMPONENTES DE ELECTRÓNICA BÁSICA) - CET</v>
      </c>
      <c r="AB1122" s="215" t="str">
        <f>IFERROR(__xludf.DUMMYFUNCTION("""COMPUTED_VALUE"""),"https://drive.google.com/file/d/1gQJK-A3KLTqDAkQaglqmKwQFx193asH9/view")</f>
        <v>https://drive.google.com/file/d/1gQJK-A3KLTqDAkQaglqmKwQFx193asH9/view</v>
      </c>
      <c r="AC1122" s="213"/>
      <c r="AD1122" s="213"/>
      <c r="AE1122" s="213"/>
      <c r="AF1122" s="213"/>
      <c r="AG1122" s="213"/>
      <c r="AH1122" s="213"/>
      <c r="AI1122" s="213"/>
      <c r="AJ1122" s="213"/>
      <c r="AK1122" s="213"/>
      <c r="AL1122" s="213"/>
      <c r="AM1122" s="213"/>
      <c r="AN1122" s="213"/>
      <c r="AO1122" s="213"/>
      <c r="AP1122" s="213" t="str">
        <f>IFERROR(__xludf.DUMMYFUNCTION("""COMPUTED_VALUE"""),"BRUNO")</f>
        <v>BRUNO</v>
      </c>
      <c r="AQ1122" s="213"/>
      <c r="AR1122" s="213"/>
      <c r="AS1122" s="213"/>
      <c r="AT1122" s="213"/>
      <c r="AU1122" s="213"/>
      <c r="AV1122" s="213"/>
      <c r="AW1122" s="213"/>
      <c r="AX1122" s="213"/>
      <c r="AY1122" s="213"/>
      <c r="AZ1122" s="213"/>
      <c r="BA1122" s="213"/>
      <c r="BB1122" s="213"/>
      <c r="BC1122" s="213"/>
      <c r="BD1122" s="213"/>
    </row>
    <row r="1123">
      <c r="A1123" s="213">
        <f>IFERROR(__xludf.DUMMYFUNCTION("""COMPUTED_VALUE"""),910.0)</f>
        <v>910</v>
      </c>
      <c r="B1123" s="213" t="str">
        <f>IFERROR(__xludf.DUMMYFUNCTION("""COMPUTED_VALUE"""),"FRANCISCO IRAZOLA")</f>
        <v>FRANCISCO IRAZOLA</v>
      </c>
      <c r="C1123" s="213" t="str">
        <f>IFERROR(__xludf.DUMMYFUNCTION("""COMPUTED_VALUE"""),"TALLER SFT DE MECÁNICA AUTOMOTRIZ")</f>
        <v>TALLER SFT DE MECÁNICA AUTOMOTRIZ</v>
      </c>
      <c r="D1123" s="213" t="str">
        <f>IFERROR(__xludf.DUMMYFUNCTION("""COMPUTED_VALUE"""),"PEDAGOGICO")</f>
        <v>PEDAGOGICO</v>
      </c>
      <c r="E1123" s="213" t="str">
        <f>IFERROR(__xludf.DUMMYFUNCTION("""COMPUTED_VALUE"""),"COM-204")</f>
        <v>COM-204</v>
      </c>
      <c r="F1123" s="213" t="str">
        <f>IFERROR(__xludf.DUMMYFUNCTION("""COMPUTED_VALUE"""),"COM-204")</f>
        <v>COM-204</v>
      </c>
      <c r="G1123" s="213"/>
      <c r="H1123" s="213" t="str">
        <f>IFERROR(__xludf.DUMMYFUNCTION("""COMPUTED_VALUE"""),"LIENZO MAGNÉTICO PARA APLICAR METODOLOGÍAS DE DISEÑO")</f>
        <v>LIENZO MAGNÉTICO PARA APLICAR METODOLOGÍAS DE DISEÑO</v>
      </c>
      <c r="I1123" s="213" t="str">
        <f>IFERROR(__xludf.DUMMYFUNCTION("""COMPUTED_VALUE"""),"El Kit contine:
· 01 lienzo (tablero o panel) plegable receptivo al magnetismo por ambos lados, de 120 x 80 cm como mínimo. Es impreso a colores, con protección ultravioleta, por uno de sus lados permite el trabajo magnético y por el otro lado se puede es"&amp;"cribir y borrar con plumones.
· 5 juegos de tarjetas magnéticas de 100 mm x 100 x 5 mm, cada juego tienen un color diferente y corresponde a una técnica de diseño. Se puede escribir y borrar sobre ellas y está compuesto como mínimo de 10 tarjetas magnétic"&amp;"as.
· 5 juegos de tarjetas magnéticas de 200 mm x 15 mm x 5mm, cada juego tiene un color diferente y corresponde a una técnica de diseño. Se puede escribir y borrar sobre ellas y está compuesto como mínimo de 10 tarjetas magnéticas.
· 10 Fichas tamaño A4 "&amp;"(210 mm x 297 mm) impresas a todo color en papel couche de 350 gr/m2, enmicados por ambos lados y con bordes boleados que contiene información sobre las técnicas de diseño y su proceso de aplicación.
· Plumones de 4 colores (rojo, azul, verde y negro)
· E"&amp;"l material se presenta en una caja de cartón, con la imagen y descripción del material interactivo.
Calidad pedagógica
· Las tarjetas están organizadas en 10 técnicas de ala metodología Design Thinking
· Cada juego de tarjetas desarrolla una técnica de la"&amp;" metodología Design Thinking
· Entre las posibles técnicas del Design Thinking: brainwritting, ¿Qué, cómo y por qué?, mapa de la empatía, lienzo de propuesta de valor, SCAMPER, PIN, 5 por qué, diagrama de causa efecto, diagrama de prioridades, diagrama de"&amp;" Porter, entre otros.
· Las fichas presentan la descripción de la técnica, protocolo para la aplicación de las 10 técnicas seleccionadas.")</f>
        <v>El Kit contine: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ala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23" s="213">
        <f>IFERROR(__xludf.DUMMYFUNCTION("""COMPUTED_VALUE"""),3.0)</f>
        <v>3</v>
      </c>
      <c r="K1123" s="213" t="str">
        <f>IFERROR(__xludf.DUMMYFUNCTION("""COMPUTED_VALUE"""),"90 DÍAS CALENDARIO")</f>
        <v>90 DÍAS CALENDARIO</v>
      </c>
      <c r="L1123" s="213" t="str">
        <f>IFERROR(__xludf.DUMMYFUNCTION("""COMPUTED_VALUE"""),"")</f>
        <v/>
      </c>
      <c r="M1123" s="213">
        <f>IFERROR(__xludf.DUMMYFUNCTION("""COMPUTED_VALUE"""),1.0)</f>
        <v>1</v>
      </c>
      <c r="N1123" s="213">
        <f>IFERROR(__xludf.DUMMYFUNCTION("""COMPUTED_VALUE"""),4.0)</f>
        <v>4</v>
      </c>
      <c r="O1123" s="213">
        <f>IFERROR(__xludf.DUMMYFUNCTION("""COMPUTED_VALUE"""),4.0)</f>
        <v>4</v>
      </c>
      <c r="P1123" s="213"/>
      <c r="Q1123" s="213"/>
      <c r="R1123" s="213"/>
      <c r="S1123" s="213"/>
      <c r="T1123" s="213"/>
      <c r="U1123" s="213"/>
      <c r="V1123" s="213"/>
      <c r="W1123" s="213"/>
      <c r="X1123" s="213"/>
      <c r="Y1123" s="213"/>
      <c r="Z1123" s="213"/>
      <c r="AA1123" s="213"/>
      <c r="AB1123" s="213"/>
      <c r="AC1123" s="213"/>
      <c r="AD1123" s="213"/>
      <c r="AE1123" s="213"/>
      <c r="AF1123" s="213"/>
      <c r="AG1123" s="213"/>
      <c r="AH1123" s="213"/>
      <c r="AI1123" s="213"/>
      <c r="AJ1123" s="213"/>
      <c r="AK1123" s="213"/>
      <c r="AL1123" s="213"/>
      <c r="AM1123" s="213"/>
      <c r="AN1123" s="213"/>
      <c r="AO1123" s="213"/>
      <c r="AP1123" s="213"/>
      <c r="AQ1123" s="213"/>
      <c r="AR1123" s="213"/>
      <c r="AS1123" s="213"/>
      <c r="AT1123" s="213"/>
      <c r="AU1123" s="213"/>
      <c r="AV1123" s="213"/>
      <c r="AW1123" s="213"/>
      <c r="AX1123" s="213"/>
      <c r="AY1123" s="213"/>
      <c r="AZ1123" s="213"/>
      <c r="BA1123" s="213"/>
      <c r="BB1123" s="213"/>
      <c r="BC1123" s="213"/>
      <c r="BD1123" s="213"/>
    </row>
    <row r="1124">
      <c r="A1124" s="213">
        <f>IFERROR(__xludf.DUMMYFUNCTION("""COMPUTED_VALUE"""),1512.0)</f>
        <v>1512</v>
      </c>
      <c r="B1124" s="213" t="str">
        <f>IFERROR(__xludf.DUMMYFUNCTION("""COMPUTED_VALUE"""),"GUILLERMO E. BILLINGHURST ")</f>
        <v>GUILLERMO E. BILLINGHURST </v>
      </c>
      <c r="C1124" s="213" t="str">
        <f>IFERROR(__xludf.DUMMYFUNCTION("""COMPUTED_VALUE"""),"TALLER SFT DE MECÁNICA AUTOMOTRIZ")</f>
        <v>TALLER SFT DE MECÁNICA AUTOMOTRIZ</v>
      </c>
      <c r="D1124" s="213" t="str">
        <f>IFERROR(__xludf.DUMMYFUNCTION("""COMPUTED_VALUE"""),"PEDAGOGICO")</f>
        <v>PEDAGOGICO</v>
      </c>
      <c r="E1124" s="213" t="str">
        <f>IFERROR(__xludf.DUMMYFUNCTION("""COMPUTED_VALUE"""),"COM-204")</f>
        <v>COM-204</v>
      </c>
      <c r="F1124" s="213" t="str">
        <f>IFERROR(__xludf.DUMMYFUNCTION("""COMPUTED_VALUE"""),"COM-204")</f>
        <v>COM-204</v>
      </c>
      <c r="G1124" s="213"/>
      <c r="H1124" s="213" t="str">
        <f>IFERROR(__xludf.DUMMYFUNCTION("""COMPUTED_VALUE"""),"LIENZO MAGNÉTICO PARA APLICAR METODOLOGÍAS DE DISEÑO")</f>
        <v>LIENZO MAGNÉTICO PARA APLICAR METODOLOGÍAS DE DISEÑO</v>
      </c>
      <c r="I1124" s="213" t="str">
        <f>IFERROR(__xludf.DUMMYFUNCTION("""COMPUTED_VALUE"""),"El Kit contine:
· 01 lienzo (tablero o panel) plegable receptivo al magnetismo por ambos lados, de 120 x 80 cm como mínimo. Es impreso a colores, con protección ultravioleta, por uno de sus lados permite el trabajo magnético y por el otro lado se puede es"&amp;"cribir y borrar con plumones.
· 5 juegos de tarjetas magnéticas de 100 mm x 100 x 5 mm, cada juego tienen un color diferente y corresponde a una técnica de diseño. Se puede escribir y borrar sobre ellas y está compuesto como mínimo de 10 tarjetas magnétic"&amp;"as.
· 5 juegos de tarjetas magnéticas de 200 mm x 15 mm x 5mm, cada juego tiene un color diferente y corresponde a una técnica de diseño. Se puede escribir y borrar sobre ellas y está compuesto como mínimo de 10 tarjetas magnéticas.
· 10 Fichas tamaño A4 "&amp;"(210 mm x 297 mm) impresas a todo color en papel couche de 350 gr/m2, enmicados por ambos lados y con bordes boleados que contiene información sobre las técnicas de diseño y su proceso de aplicación.
· Plumones de 4 colores (rojo, azul, verde y negro)
· E"&amp;"l material se presenta en una caja de cartón, con la imagen y descripción del material interactivo.
Calidad pedagógica
· Las tarjetas están organizadas en 10 técnicas de ala metodología Design Thinking
· Cada juego de tarjetas desarrolla una técnica de la"&amp;" metodología Design Thinking
· Entre las posibles técnicas del Design Thinking: brainwritting, ¿Qué, cómo y por qué?, mapa de la empatía, lienzo de propuesta de valor, SCAMPER, PIN, 5 por qué, diagrama de causa efecto, diagrama de prioridades, diagrama de"&amp;" Porter, entre otros.
· Las fichas presentan la descripción de la técnica, protocolo para la aplicación de las 10 técnicas seleccionadas.")</f>
        <v>El Kit contine: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ala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24" s="213">
        <f>IFERROR(__xludf.DUMMYFUNCTION("""COMPUTED_VALUE"""),3.0)</f>
        <v>3</v>
      </c>
      <c r="K1124" s="213" t="str">
        <f>IFERROR(__xludf.DUMMYFUNCTION("""COMPUTED_VALUE"""),"90 DÍAS CALENDARIO")</f>
        <v>90 DÍAS CALENDARIO</v>
      </c>
      <c r="L1124" s="213" t="str">
        <f>IFERROR(__xludf.DUMMYFUNCTION("""COMPUTED_VALUE"""),"")</f>
        <v/>
      </c>
      <c r="M1124" s="213">
        <f>IFERROR(__xludf.DUMMYFUNCTION("""COMPUTED_VALUE"""),1.0)</f>
        <v>1</v>
      </c>
      <c r="N1124" s="213">
        <f>IFERROR(__xludf.DUMMYFUNCTION("""COMPUTED_VALUE"""),4.0)</f>
        <v>4</v>
      </c>
      <c r="O1124" s="213">
        <f>IFERROR(__xludf.DUMMYFUNCTION("""COMPUTED_VALUE"""),4.0)</f>
        <v>4</v>
      </c>
      <c r="P1124" s="213"/>
      <c r="Q1124" s="213"/>
      <c r="R1124" s="213"/>
      <c r="S1124" s="213"/>
      <c r="T1124" s="213"/>
      <c r="U1124" s="213"/>
      <c r="V1124" s="213"/>
      <c r="W1124" s="213"/>
      <c r="X1124" s="213"/>
      <c r="Y1124" s="213"/>
      <c r="Z1124" s="213"/>
      <c r="AA1124" s="213"/>
      <c r="AB1124" s="213"/>
      <c r="AC1124" s="213"/>
      <c r="AD1124" s="213"/>
      <c r="AE1124" s="213"/>
      <c r="AF1124" s="213"/>
      <c r="AG1124" s="213"/>
      <c r="AH1124" s="213"/>
      <c r="AI1124" s="213"/>
      <c r="AJ1124" s="213"/>
      <c r="AK1124" s="213"/>
      <c r="AL1124" s="213"/>
      <c r="AM1124" s="213"/>
      <c r="AN1124" s="213"/>
      <c r="AO1124" s="213"/>
      <c r="AP1124" s="213"/>
      <c r="AQ1124" s="213"/>
      <c r="AR1124" s="213"/>
      <c r="AS1124" s="213"/>
      <c r="AT1124" s="213"/>
      <c r="AU1124" s="213"/>
      <c r="AV1124" s="213"/>
      <c r="AW1124" s="213"/>
      <c r="AX1124" s="213"/>
      <c r="AY1124" s="213"/>
      <c r="AZ1124" s="213"/>
      <c r="BA1124" s="213"/>
      <c r="BB1124" s="213"/>
      <c r="BC1124" s="213"/>
      <c r="BD1124" s="213"/>
    </row>
    <row r="1125">
      <c r="A1125" s="213">
        <f>IFERROR(__xludf.DUMMYFUNCTION("""COMPUTED_VALUE"""),924.0)</f>
        <v>924</v>
      </c>
      <c r="B1125" s="213" t="str">
        <f>IFERROR(__xludf.DUMMYFUNCTION("""COMPUTED_VALUE"""),"FRANCISCO IRAZOLA")</f>
        <v>FRANCISCO IRAZOLA</v>
      </c>
      <c r="C1125" s="213" t="str">
        <f>IFERROR(__xludf.DUMMYFUNCTION("""COMPUTED_VALUE"""),"TALLER SFT DE MECÁNICA AUTOMOTRIZ")</f>
        <v>TALLER SFT DE MECÁNICA AUTOMOTRIZ</v>
      </c>
      <c r="D1125" s="213" t="str">
        <f>IFERROR(__xludf.DUMMYFUNCTION("""COMPUTED_VALUE"""),"PEDAGOGICO")</f>
        <v>PEDAGOGICO</v>
      </c>
      <c r="E1125" s="213" t="str">
        <f>IFERROR(__xludf.DUMMYFUNCTION("""COMPUTED_VALUE"""),"COM-205")</f>
        <v>COM-205</v>
      </c>
      <c r="F1125" s="213" t="str">
        <f>IFERROR(__xludf.DUMMYFUNCTION("""COMPUTED_VALUE"""),"COM-205")</f>
        <v>COM-205</v>
      </c>
      <c r="G1125" s="213"/>
      <c r="H1125" s="213" t="str">
        <f>IFERROR(__xludf.DUMMYFUNCTION("""COMPUTED_VALUE"""),"LIENZO MAGNÉTICO PARA DISEÑAR FLUJOGRAMAS DE LA PRODUCCIÓN (DOP Y DAP)")</f>
        <v>LIENZO MAGNÉTICO PARA DISEÑAR FLUJOGRAMAS DE LA PRODUCCIÓN (DOP Y DAP)</v>
      </c>
      <c r="I1125" s="213" t="str">
        <f>IFERROR(__xludf.DUMMYFUNCTION("""COMPUTED_VALUE"""),"El Kit contiene:
· Base magnética Tamaño A2 (420 mm x 594 mm), tablero laminado, la base es de color banco, por uno de sus lados permite el trabajo magnético y por el otro lado se puede escribir y borrar con plumones
· Contiene piezas magnéticas que tiene"&amp;"n la forma de los símbolos de los diagramas de flujo del sistema ISO, 15 unidades de cada símbolo
· Contiene piezas magnéticas que tienen la forma de los símbolos de los diagramas de flujo del sistema ASME, 15 unidades de cada símbolo
· Contiene piezas ma"&amp;"gnéticas que tienen la forma de los símbolos de los diagramas de flujo del sistema ANSI, 15 unidades de cada símbolo
· Plumones de 4 colores (rojo, azul, verde y negro)
· Fichas tamaño A4 (210 mm x 297 mm) impresas a todo color en papel couche de 350 gr/m"&amp;"2, enmicados por ambos lados y con bordes boleados que contiene:
- Ficha 1. Descripción del sistema ISO, de sus símbolos y un ejemplo de aplicación.
- Ficha 2. Descripción del sistema ASME, de sus símbolos y un ejemplo de aplicación.
- Ficha 3. Descripció"&amp;"n del sistema ANSI, de sus símbolos y un ejemplo de aplicación.
- Ficha 4. Diagrama de operaciones y procesos: Pautas para la elaboración del DOP y un ejemplo.
- Ficha 5. Diagrama de análisis de procesos: Pautas para la elaboración del DAP y un ejemplo
· "&amp;"El material se presenta en una caja de cartón, con la imagen y descripción del material interactivo.")</f>
        <v>El Kit contiene:
· Base magnética Tamaño A2 (420 mm x 594 mm), tablero laminado, la base es de color banco, por uno de sus lados permite el trabajo magnético y por el otro lado se puede escribir y borrar con plumones
· Contiene piezas magnéticas que tienen la forma de los símbolos de los diagramas de flujo del sistema ISO, 15 unidades de cada símbolo
· Contiene piezas magnéticas que tienen la forma de los símbolos de los diagramas de flujo del sistema ASME, 15 unidades de cada símbolo
· Contiene piezas magnéticas que tienen la forma de los símbolos de los diagramas de flujo del sistema ANSI, 15 unidades de cada símbolo
· Plumones de 4 colores (rojo, azul, verde y negro)
· Fichas tamaño A4 (210 mm x 297 mm) impresas a todo color en papel couche de 350 gr/m2, enmicados por ambos lados y con bordes boleados que contiene:
- Ficha 1. Descripción del sistema ISO, de sus símbolos y un ejemplo de aplicación.
- Ficha 2. Descripción del sistema ASME, de sus símbolos y un ejemplo de aplicación.
- Ficha 3. Descripción del sistema ANSI, de sus símbolos y un ejemplo de aplicación.
- Ficha 4. Diagrama de operaciones y procesos: Pautas para la elaboración del DOP y un ejemplo.
- Ficha 5. Diagrama de análisis de procesos: Pautas para la elaboración del DAP y un ejemplo
· El material se presenta en una caja de cartón, con la imagen y descripción del material interactivo.</v>
      </c>
      <c r="J1125" s="213">
        <f>IFERROR(__xludf.DUMMYFUNCTION("""COMPUTED_VALUE"""),3.0)</f>
        <v>3</v>
      </c>
      <c r="K1125" s="213" t="str">
        <f>IFERROR(__xludf.DUMMYFUNCTION("""COMPUTED_VALUE"""),"90 DÍAS CALENDARIO")</f>
        <v>90 DÍAS CALENDARIO</v>
      </c>
      <c r="L1125" s="213" t="str">
        <f>IFERROR(__xludf.DUMMYFUNCTION("""COMPUTED_VALUE"""),"")</f>
        <v/>
      </c>
      <c r="M1125" s="213">
        <f>IFERROR(__xludf.DUMMYFUNCTION("""COMPUTED_VALUE"""),1.0)</f>
        <v>1</v>
      </c>
      <c r="N1125" s="213">
        <f>IFERROR(__xludf.DUMMYFUNCTION("""COMPUTED_VALUE"""),4.0)</f>
        <v>4</v>
      </c>
      <c r="O1125" s="213">
        <f>IFERROR(__xludf.DUMMYFUNCTION("""COMPUTED_VALUE"""),4.0)</f>
        <v>4</v>
      </c>
      <c r="P1125" s="213"/>
      <c r="Q1125" s="213"/>
      <c r="R1125" s="213"/>
      <c r="S1125" s="213"/>
      <c r="T1125" s="213"/>
      <c r="U1125" s="213"/>
      <c r="V1125" s="213"/>
      <c r="W1125" s="213"/>
      <c r="X1125" s="213"/>
      <c r="Y1125" s="213"/>
      <c r="Z1125" s="213"/>
      <c r="AA1125" s="213"/>
      <c r="AB1125" s="213"/>
      <c r="AC1125" s="213"/>
      <c r="AD1125" s="213"/>
      <c r="AE1125" s="213"/>
      <c r="AF1125" s="213"/>
      <c r="AG1125" s="213"/>
      <c r="AH1125" s="213"/>
      <c r="AI1125" s="213"/>
      <c r="AJ1125" s="213"/>
      <c r="AK1125" s="213"/>
      <c r="AL1125" s="213"/>
      <c r="AM1125" s="213"/>
      <c r="AN1125" s="213"/>
      <c r="AO1125" s="213"/>
      <c r="AP1125" s="213"/>
      <c r="AQ1125" s="213"/>
      <c r="AR1125" s="213"/>
      <c r="AS1125" s="213"/>
      <c r="AT1125" s="213"/>
      <c r="AU1125" s="213"/>
      <c r="AV1125" s="213"/>
      <c r="AW1125" s="213"/>
      <c r="AX1125" s="213"/>
      <c r="AY1125" s="213"/>
      <c r="AZ1125" s="213"/>
      <c r="BA1125" s="213"/>
      <c r="BB1125" s="213"/>
      <c r="BC1125" s="213"/>
      <c r="BD1125" s="213"/>
    </row>
    <row r="1126">
      <c r="A1126" s="213">
        <f>IFERROR(__xludf.DUMMYFUNCTION("""COMPUTED_VALUE"""),1525.0)</f>
        <v>1525</v>
      </c>
      <c r="B1126" s="213" t="str">
        <f>IFERROR(__xludf.DUMMYFUNCTION("""COMPUTED_VALUE"""),"GUILLERMO E. BILLINGHURST ")</f>
        <v>GUILLERMO E. BILLINGHURST </v>
      </c>
      <c r="C1126" s="213" t="str">
        <f>IFERROR(__xludf.DUMMYFUNCTION("""COMPUTED_VALUE"""),"TALLER SFT DE MECÁNICA AUTOMOTRIZ")</f>
        <v>TALLER SFT DE MECÁNICA AUTOMOTRIZ</v>
      </c>
      <c r="D1126" s="213" t="str">
        <f>IFERROR(__xludf.DUMMYFUNCTION("""COMPUTED_VALUE"""),"PEDAGOGICO")</f>
        <v>PEDAGOGICO</v>
      </c>
      <c r="E1126" s="213" t="str">
        <f>IFERROR(__xludf.DUMMYFUNCTION("""COMPUTED_VALUE"""),"COM-205")</f>
        <v>COM-205</v>
      </c>
      <c r="F1126" s="213" t="str">
        <f>IFERROR(__xludf.DUMMYFUNCTION("""COMPUTED_VALUE"""),"COM-205")</f>
        <v>COM-205</v>
      </c>
      <c r="G1126" s="213"/>
      <c r="H1126" s="213" t="str">
        <f>IFERROR(__xludf.DUMMYFUNCTION("""COMPUTED_VALUE"""),"LIENZO MAGNÉTICO PARA DISEÑAR FLUJOGRAMAS DE LA PRODUCCIÓN (DOP Y DAP)")</f>
        <v>LIENZO MAGNÉTICO PARA DISEÑAR FLUJOGRAMAS DE LA PRODUCCIÓN (DOP Y DAP)</v>
      </c>
      <c r="I1126" s="213" t="str">
        <f>IFERROR(__xludf.DUMMYFUNCTION("""COMPUTED_VALUE"""),"El Kit contiene:
· Base magnética Tamaño A2 (420 mm x 594 mm), tablero laminado, la base es de color banco, por uno de sus lados permite el trabajo magnético y por el otro lado se puede escribir y borrar con plumones
· Contiene piezas magnéticas que tiene"&amp;"n la forma de los símbolos de los diagramas de flujo del sistema ISO, 15 unidades de cada símbolo
· Contiene piezas magnéticas que tienen la forma de los símbolos de los diagramas de flujo del sistema ASME, 15 unidades de cada símbolo
· Contiene piezas ma"&amp;"gnéticas que tienen la forma de los símbolos de los diagramas de flujo del sistema ANSI, 15 unidades de cada símbolo
· Plumones de 4 colores (rojo, azul, verde y negro)
· Fichas tamaño A4 (210 mm x 297 mm) impresas a todo color en papel couche de 350 gr/m"&amp;"2, enmicados por ambos lados y con bordes boleados que contiene:
- Ficha 1. Descripción del sistema ISO, de sus símbolos y un ejemplo de aplicación.
- Ficha 2. Descripción del sistema ASME, de sus símbolos y un ejemplo de aplicación.
- Ficha 3. Descripció"&amp;"n del sistema ANSI, de sus símbolos y un ejemplo de aplicación.
- Ficha 4. Diagrama de operaciones y procesos: Pautas para la elaboración del DOP y un ejemplo.
- Ficha 5. Diagrama de análisis de procesos: Pautas para la elaboración del DAP y un ejemplo
· "&amp;"El material se presenta en una caja de cartón, con la imagen y descripción del material interactivo.")</f>
        <v>El Kit contiene:
· Base magnética Tamaño A2 (420 mm x 594 mm), tablero laminado, la base es de color banco, por uno de sus lados permite el trabajo magnético y por el otro lado se puede escribir y borrar con plumones
· Contiene piezas magnéticas que tienen la forma de los símbolos de los diagramas de flujo del sistema ISO, 15 unidades de cada símbolo
· Contiene piezas magnéticas que tienen la forma de los símbolos de los diagramas de flujo del sistema ASME, 15 unidades de cada símbolo
· Contiene piezas magnéticas que tienen la forma de los símbolos de los diagramas de flujo del sistema ANSI, 15 unidades de cada símbolo
· Plumones de 4 colores (rojo, azul, verde y negro)
· Fichas tamaño A4 (210 mm x 297 mm) impresas a todo color en papel couche de 350 gr/m2, enmicados por ambos lados y con bordes boleados que contiene:
- Ficha 1. Descripción del sistema ISO, de sus símbolos y un ejemplo de aplicación.
- Ficha 2. Descripción del sistema ASME, de sus símbolos y un ejemplo de aplicación.
- Ficha 3. Descripción del sistema ANSI, de sus símbolos y un ejemplo de aplicación.
- Ficha 4. Diagrama de operaciones y procesos: Pautas para la elaboración del DOP y un ejemplo.
- Ficha 5. Diagrama de análisis de procesos: Pautas para la elaboración del DAP y un ejemplo
· El material se presenta en una caja de cartón, con la imagen y descripción del material interactivo.</v>
      </c>
      <c r="J1126" s="213">
        <f>IFERROR(__xludf.DUMMYFUNCTION("""COMPUTED_VALUE"""),3.0)</f>
        <v>3</v>
      </c>
      <c r="K1126" s="213" t="str">
        <f>IFERROR(__xludf.DUMMYFUNCTION("""COMPUTED_VALUE"""),"90 DÍAS CALENDARIO")</f>
        <v>90 DÍAS CALENDARIO</v>
      </c>
      <c r="L1126" s="213" t="str">
        <f>IFERROR(__xludf.DUMMYFUNCTION("""COMPUTED_VALUE"""),"")</f>
        <v/>
      </c>
      <c r="M1126" s="213">
        <f>IFERROR(__xludf.DUMMYFUNCTION("""COMPUTED_VALUE"""),1.0)</f>
        <v>1</v>
      </c>
      <c r="N1126" s="213">
        <f>IFERROR(__xludf.DUMMYFUNCTION("""COMPUTED_VALUE"""),4.0)</f>
        <v>4</v>
      </c>
      <c r="O1126" s="213">
        <f>IFERROR(__xludf.DUMMYFUNCTION("""COMPUTED_VALUE"""),4.0)</f>
        <v>4</v>
      </c>
      <c r="P1126" s="213"/>
      <c r="Q1126" s="213"/>
      <c r="R1126" s="213"/>
      <c r="S1126" s="213"/>
      <c r="T1126" s="213"/>
      <c r="U1126" s="213"/>
      <c r="V1126" s="213"/>
      <c r="W1126" s="213"/>
      <c r="X1126" s="213"/>
      <c r="Y1126" s="213"/>
      <c r="Z1126" s="213"/>
      <c r="AA1126" s="213"/>
      <c r="AB1126" s="213"/>
      <c r="AC1126" s="213"/>
      <c r="AD1126" s="213"/>
      <c r="AE1126" s="213"/>
      <c r="AF1126" s="213"/>
      <c r="AG1126" s="213"/>
      <c r="AH1126" s="213"/>
      <c r="AI1126" s="213"/>
      <c r="AJ1126" s="213"/>
      <c r="AK1126" s="213"/>
      <c r="AL1126" s="213"/>
      <c r="AM1126" s="213"/>
      <c r="AN1126" s="213"/>
      <c r="AO1126" s="213"/>
      <c r="AP1126" s="213"/>
      <c r="AQ1126" s="213"/>
      <c r="AR1126" s="213"/>
      <c r="AS1126" s="213"/>
      <c r="AT1126" s="213"/>
      <c r="AU1126" s="213"/>
      <c r="AV1126" s="213"/>
      <c r="AW1126" s="213"/>
      <c r="AX1126" s="213"/>
      <c r="AY1126" s="213"/>
      <c r="AZ1126" s="213"/>
      <c r="BA1126" s="213"/>
      <c r="BB1126" s="213"/>
      <c r="BC1126" s="213"/>
      <c r="BD1126" s="213"/>
    </row>
    <row r="1127">
      <c r="A1127" s="213">
        <f>IFERROR(__xludf.DUMMYFUNCTION("""COMPUTED_VALUE"""),923.0)</f>
        <v>923</v>
      </c>
      <c r="B1127" s="213" t="str">
        <f>IFERROR(__xludf.DUMMYFUNCTION("""COMPUTED_VALUE"""),"FRANCISCO IRAZOLA")</f>
        <v>FRANCISCO IRAZOLA</v>
      </c>
      <c r="C1127" s="213" t="str">
        <f>IFERROR(__xludf.DUMMYFUNCTION("""COMPUTED_VALUE"""),"TALLER SFT DE MECÁNICA AUTOMOTRIZ")</f>
        <v>TALLER SFT DE MECÁNICA AUTOMOTRIZ</v>
      </c>
      <c r="D1127" s="213" t="str">
        <f>IFERROR(__xludf.DUMMYFUNCTION("""COMPUTED_VALUE"""),"PEDAGOGICO")</f>
        <v>PEDAGOGICO</v>
      </c>
      <c r="E1127" s="213" t="str">
        <f>IFERROR(__xludf.DUMMYFUNCTION("""COMPUTED_VALUE"""),"COM-206")</f>
        <v>COM-206</v>
      </c>
      <c r="F1127" s="213" t="str">
        <f>IFERROR(__xludf.DUMMYFUNCTION("""COMPUTED_VALUE"""),"COM-206")</f>
        <v>COM-206</v>
      </c>
      <c r="G1127" s="213"/>
      <c r="H1127" s="213" t="str">
        <f>IFERROR(__xludf.DUMMYFUNCTION("""COMPUTED_VALUE"""),"LIENZO MAGNÉTICO PARA DISEÑAR MODELOS DE NEGOCIOS")</f>
        <v>LIENZO MAGNÉTICO PARA DISEÑAR MODELOS DE NEGOCIOS</v>
      </c>
      <c r="I1127"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1"&amp;"0 cm, sobre la tarjeta se puede escribir y borrar con plumón de pizarra.
· Contiene 6 Fichas tamaño A4, impresas a todo color en papel couche de 350 gr/m2, enmicados por ambos lados y con bordes boleados.
· Contiene 4 plumones de pizarra (azul, rojo, verd"&amp;"e y negro), tinta de los plumones no debe ser tóxica / 1 Mota pequeña para borrar las escrituras de plumón en las tarjetas / Guía de metodología para el desarrollo de la metodología “Modelo de negocio LEAN CANVAS / El material se presenta en una caja de c"&amp;"artón, con la imagen y descripción del material interactivo.
Calidad Pedagógica
· Las tarjetas están organizadas en nueve (9) juegos, en la parte superior de la tarjeta esta rotulado el nombre del bloque de la metodología LEAN CANVAS:
- 10 tarjetas con el"&amp;" rotulado segmento de clientes / 10 tarjetas con la rotulada propuesta de valor / 10 tarjetas con el rotulado ventaja competitiva / 10 tarjetas con el rotulado canales / 10 tarjetas con el rotulado problema / 10 tarjetas con el rotulado solución / 10 tarj"&amp;"etas con el rotulado métrica / 10 tarjetas con el rotulado flujo de ingreso / 10 tarjetas con la rotulada estructura de costos.
· Las fichas tienen desarrollado la descripción, orientaciones para su aplicación y ejemplo de cada módulo / bloque del modelo "&amp;"LEAN CANVAS y mediante código QR están relacionados a información digital.
- Ficha1; descripción sintética de cada elemento de la metodología LEAN CANVAS.   /    - Ficha 2. Descripción, protocolo para su aplicación y un ejemplo del segmento de clientes.  "&amp;"  /   - Ficha 3. Descripción, protocolo para su aplicación y un ejemplo de propuesta de valor.   /   - Ficha 4. Descripción, protocolo para su aplicación y un ejemplo de ventaja competitiva.   /   - Ficha 5. Descripción, protocolo para su aplicación y un "&amp;"ejemplo canales. /  - Ficha 6. Descripción, protocolo para su aplicación y un ejemplo de Problema.
- Ficha 7. Descripción, protocolo para su aplicación y un ejemplo de solución.  /  - Ficha 8. Descripción, protocolo para su aplicación y un ejemplo de Métr"&amp;"ica.    /   - Ficha 9. Descripción, protocolo para su aplicación y un ejemplo flujo de ingreso.   /   - Ficha 10. Descripción, protocolo para su aplicación y un ejemplo de estructura de costos.   /  · Manual presenta información pedagógica y actividades d"&amp;"e aprendizaje para el desarrollo de la competencia y 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del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 Ficha 2. Descripción, protocolo para su aplicación y un ejemplo del segmento de clientes.    /   - Ficha 3. Descripción, protocolo para su aplicación y un ejemplo de propuesta de valor.   /   - Ficha 4. Descripción, protocolo para su aplicación y un ejemplo de ventaja competitiva.   /   - Ficha 5. Descripción, protocolo para su aplicación y un ejemplo canales. /  - Ficha 6. Descripción, protocolo para su aplicación y un ejemplo de Problema.
- Ficha 7. Descripción, protocolo para su aplicación y un ejemplo de solución.  /  - Ficha 8. Descripción, protocolo para su aplicación y un ejemplo de Métrica.    /   - Ficha 9. Descripción, protocolo para su aplicación y un ejemplo flujo de ingreso.   /   - Ficha 10. Descripción, protocolo para su aplicación y un ejemplo de estructura de costos.   /  · Manual presenta información pedagógica y actividades de aprendizaje para el desarrollo de la competencia y las capacidades del área educación para el trabajo utilizando el lienzo magnético para diseñar modelos de negocios.</v>
      </c>
      <c r="J1127" s="213">
        <f>IFERROR(__xludf.DUMMYFUNCTION("""COMPUTED_VALUE"""),3.0)</f>
        <v>3</v>
      </c>
      <c r="K1127" s="213" t="str">
        <f>IFERROR(__xludf.DUMMYFUNCTION("""COMPUTED_VALUE"""),"90 DÍAS CALENDARIO")</f>
        <v>90 DÍAS CALENDARIO</v>
      </c>
      <c r="L1127" s="213" t="str">
        <f>IFERROR(__xludf.DUMMYFUNCTION("""COMPUTED_VALUE"""),"")</f>
        <v/>
      </c>
      <c r="M1127" s="213">
        <f>IFERROR(__xludf.DUMMYFUNCTION("""COMPUTED_VALUE"""),1.0)</f>
        <v>1</v>
      </c>
      <c r="N1127" s="213">
        <f>IFERROR(__xludf.DUMMYFUNCTION("""COMPUTED_VALUE"""),4.0)</f>
        <v>4</v>
      </c>
      <c r="O1127" s="213">
        <f>IFERROR(__xludf.DUMMYFUNCTION("""COMPUTED_VALUE"""),4.0)</f>
        <v>4</v>
      </c>
      <c r="P1127" s="213"/>
      <c r="Q1127" s="213"/>
      <c r="R1127" s="213"/>
      <c r="S1127" s="213"/>
      <c r="T1127" s="213"/>
      <c r="U1127" s="213"/>
      <c r="V1127" s="213"/>
      <c r="W1127" s="213"/>
      <c r="X1127" s="213"/>
      <c r="Y1127" s="213"/>
      <c r="Z1127" s="213"/>
      <c r="AA1127" s="213"/>
      <c r="AB1127" s="213"/>
      <c r="AC1127" s="213"/>
      <c r="AD1127" s="213"/>
      <c r="AE1127" s="213"/>
      <c r="AF1127" s="213"/>
      <c r="AG1127" s="213"/>
      <c r="AH1127" s="213"/>
      <c r="AI1127" s="213"/>
      <c r="AJ1127" s="213"/>
      <c r="AK1127" s="213"/>
      <c r="AL1127" s="213"/>
      <c r="AM1127" s="213"/>
      <c r="AN1127" s="213"/>
      <c r="AO1127" s="213"/>
      <c r="AP1127" s="213"/>
      <c r="AQ1127" s="213"/>
      <c r="AR1127" s="213"/>
      <c r="AS1127" s="213"/>
      <c r="AT1127" s="213"/>
      <c r="AU1127" s="213"/>
      <c r="AV1127" s="213"/>
      <c r="AW1127" s="213"/>
      <c r="AX1127" s="213"/>
      <c r="AY1127" s="213"/>
      <c r="AZ1127" s="213"/>
      <c r="BA1127" s="213"/>
      <c r="BB1127" s="213"/>
      <c r="BC1127" s="213"/>
      <c r="BD1127" s="213"/>
    </row>
    <row r="1128">
      <c r="A1128" s="213">
        <f>IFERROR(__xludf.DUMMYFUNCTION("""COMPUTED_VALUE"""),1524.0)</f>
        <v>1524</v>
      </c>
      <c r="B1128" s="213" t="str">
        <f>IFERROR(__xludf.DUMMYFUNCTION("""COMPUTED_VALUE"""),"GUILLERMO E. BILLINGHURST ")</f>
        <v>GUILLERMO E. BILLINGHURST </v>
      </c>
      <c r="C1128" s="213" t="str">
        <f>IFERROR(__xludf.DUMMYFUNCTION("""COMPUTED_VALUE"""),"TALLER SFT DE MECÁNICA AUTOMOTRIZ")</f>
        <v>TALLER SFT DE MECÁNICA AUTOMOTRIZ</v>
      </c>
      <c r="D1128" s="213" t="str">
        <f>IFERROR(__xludf.DUMMYFUNCTION("""COMPUTED_VALUE"""),"PEDAGOGICO")</f>
        <v>PEDAGOGICO</v>
      </c>
      <c r="E1128" s="213" t="str">
        <f>IFERROR(__xludf.DUMMYFUNCTION("""COMPUTED_VALUE"""),"COM-206")</f>
        <v>COM-206</v>
      </c>
      <c r="F1128" s="213" t="str">
        <f>IFERROR(__xludf.DUMMYFUNCTION("""COMPUTED_VALUE"""),"COM-206")</f>
        <v>COM-206</v>
      </c>
      <c r="G1128" s="213"/>
      <c r="H1128" s="213" t="str">
        <f>IFERROR(__xludf.DUMMYFUNCTION("""COMPUTED_VALUE"""),"LIENZO MAGNÉTICO PARA DISEÑAR MODELOS DE NEGOCIOS")</f>
        <v>LIENZO MAGNÉTICO PARA DISEÑAR MODELOS DE NEGOCIOS</v>
      </c>
      <c r="I1128"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1"&amp;"0 cm, sobre la tarjeta se puede escribir y borrar con plumón de pizarra.
· Contiene 6 Fichas tamaño A4, impresas a todo color en papel couche de 350 gr/m2, enmicados por ambos lados y con bordes boleados.
· Contiene 4 plumones de pizarra (azul, rojo, verd"&amp;"e y negro), tinta de los plumones no debe ser tóxica / 1 Mota pequeña para borrar las escrituras de plumón en las tarjetas / Guía de metodología para el desarrollo de la metodología “Modelo de negocio LEAN CANVAS / El material se presenta en una caja de c"&amp;"artón, con la imagen y descripción del material interactivo.
Calidad Pedagógica
· Las tarjetas están organizadas en nueve (9) juegos, en la parte superior de la tarjeta esta rotulado el nombre del bloque de la metodología LEAN CANVAS:
- 10 tarjetas con el"&amp;" rotulado segmento de clientes / 10 tarjetas con la rotulada propuesta de valor / 10 tarjetas con el rotulado ventaja competitiva / 10 tarjetas con el rotulado canales / 10 tarjetas con el rotulado problema / 10 tarjetas con el rotulado solución / 10 tarj"&amp;"etas con el rotulado métrica / 10 tarjetas con el rotulado flujo de ingreso / 10 tarjetas con la rotulada estructura de costos.
· Las fichas tienen desarrollado la descripción, orientaciones para su aplicación y ejemplo de cada módulo / bloque del modelo "&amp;"LEAN CANVAS y mediante código QR están relacionados a información digital.
- Ficha1; descripción sintética de cada elemento de la metodología LEAN CANVAS.   /    - Ficha 2. Descripción, protocolo para su aplicación y un ejemplo del segmento de clientes.  "&amp;"  /   - Ficha 3. Descripción, protocolo para su aplicación y un ejemplo de propuesta de valor.   /   - Ficha 4. Descripción, protocolo para su aplicación y un ejemplo de ventaja competitiva.   /   - Ficha 5. Descripción, protocolo para su aplicación y un "&amp;"ejemplo canales. /  - Ficha 6. Descripción, protocolo para su aplicación y un ejemplo de Problema.
- Ficha 7. Descripción, protocolo para su aplicación y un ejemplo de solución.  /  - Ficha 8. Descripción, protocolo para su aplicación y un ejemplo de Métr"&amp;"ica.    /   - Ficha 9. Descripción, protocolo para su aplicación y un ejemplo flujo de ingreso.   /   - Ficha 10. Descripción, protocolo para su aplicación y un ejemplo de estructura de costos.   /  · Manual presenta información pedagógica y actividades d"&amp;"e aprendizaje para el desarrollo de la competencia y 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del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 Ficha 2. Descripción, protocolo para su aplicación y un ejemplo del segmento de clientes.    /   - Ficha 3. Descripción, protocolo para su aplicación y un ejemplo de propuesta de valor.   /   - Ficha 4. Descripción, protocolo para su aplicación y un ejemplo de ventaja competitiva.   /   - Ficha 5. Descripción, protocolo para su aplicación y un ejemplo canales. /  - Ficha 6. Descripción, protocolo para su aplicación y un ejemplo de Problema.
- Ficha 7. Descripción, protocolo para su aplicación y un ejemplo de solución.  /  - Ficha 8. Descripción, protocolo para su aplicación y un ejemplo de Métrica.    /   - Ficha 9. Descripción, protocolo para su aplicación y un ejemplo flujo de ingreso.   /   - Ficha 10. Descripción, protocolo para su aplicación y un ejemplo de estructura de costos.   /  · Manual presenta información pedagógica y actividades de aprendizaje para el desarrollo de la competencia y las capacidades del área educación para el trabajo utilizando el lienzo magnético para diseñar modelos de negocios.</v>
      </c>
      <c r="J1128" s="213">
        <f>IFERROR(__xludf.DUMMYFUNCTION("""COMPUTED_VALUE"""),3.0)</f>
        <v>3</v>
      </c>
      <c r="K1128" s="213" t="str">
        <f>IFERROR(__xludf.DUMMYFUNCTION("""COMPUTED_VALUE"""),"90 DÍAS CALENDARIO")</f>
        <v>90 DÍAS CALENDARIO</v>
      </c>
      <c r="L1128" s="213" t="str">
        <f>IFERROR(__xludf.DUMMYFUNCTION("""COMPUTED_VALUE"""),"")</f>
        <v/>
      </c>
      <c r="M1128" s="213">
        <f>IFERROR(__xludf.DUMMYFUNCTION("""COMPUTED_VALUE"""),1.0)</f>
        <v>1</v>
      </c>
      <c r="N1128" s="213">
        <f>IFERROR(__xludf.DUMMYFUNCTION("""COMPUTED_VALUE"""),4.0)</f>
        <v>4</v>
      </c>
      <c r="O1128" s="213">
        <f>IFERROR(__xludf.DUMMYFUNCTION("""COMPUTED_VALUE"""),4.0)</f>
        <v>4</v>
      </c>
      <c r="P1128" s="213"/>
      <c r="Q1128" s="213"/>
      <c r="R1128" s="213"/>
      <c r="S1128" s="213"/>
      <c r="T1128" s="213"/>
      <c r="U1128" s="213"/>
      <c r="V1128" s="213"/>
      <c r="W1128" s="213"/>
      <c r="X1128" s="213"/>
      <c r="Y1128" s="213"/>
      <c r="Z1128" s="213"/>
      <c r="AA1128" s="213"/>
      <c r="AB1128" s="213"/>
      <c r="AC1128" s="213"/>
      <c r="AD1128" s="213"/>
      <c r="AE1128" s="213"/>
      <c r="AF1128" s="213"/>
      <c r="AG1128" s="213"/>
      <c r="AH1128" s="213"/>
      <c r="AI1128" s="213"/>
      <c r="AJ1128" s="213"/>
      <c r="AK1128" s="213"/>
      <c r="AL1128" s="213"/>
      <c r="AM1128" s="213"/>
      <c r="AN1128" s="213"/>
      <c r="AO1128" s="213"/>
      <c r="AP1128" s="213"/>
      <c r="AQ1128" s="213"/>
      <c r="AR1128" s="213"/>
      <c r="AS1128" s="213"/>
      <c r="AT1128" s="213"/>
      <c r="AU1128" s="213"/>
      <c r="AV1128" s="213"/>
      <c r="AW1128" s="213"/>
      <c r="AX1128" s="213"/>
      <c r="AY1128" s="213"/>
      <c r="AZ1128" s="213"/>
      <c r="BA1128" s="213"/>
      <c r="BB1128" s="213"/>
      <c r="BC1128" s="213"/>
      <c r="BD1128" s="213"/>
    </row>
    <row r="1129">
      <c r="A1129" s="213">
        <f>IFERROR(__xludf.DUMMYFUNCTION("""COMPUTED_VALUE"""),971.0)</f>
        <v>971</v>
      </c>
      <c r="B1129" s="213" t="str">
        <f>IFERROR(__xludf.DUMMYFUNCTION("""COMPUTED_VALUE"""),"FRANCISCO IRAZOLA")</f>
        <v>FRANCISCO IRAZOLA</v>
      </c>
      <c r="C1129" s="213" t="str">
        <f>IFERROR(__xludf.DUMMYFUNCTION("""COMPUTED_VALUE"""),"TALLER SFT DE MECÁNICA AUTOMOTRIZ")</f>
        <v>TALLER SFT DE MECÁNICA AUTOMOTRIZ</v>
      </c>
      <c r="D1129" s="213" t="str">
        <f>IFERROR(__xludf.DUMMYFUNCTION("""COMPUTED_VALUE"""),"HERRAMIENTAS")</f>
        <v>HERRAMIENTAS</v>
      </c>
      <c r="E1129" s="213" t="str">
        <f>IFERROR(__xludf.DUMMYFUNCTION("""COMPUTED_VALUE"""),"MAT-132")</f>
        <v>MAT-132</v>
      </c>
      <c r="F1129" s="213" t="str">
        <f>IFERROR(__xludf.DUMMYFUNCTION("""COMPUTED_VALUE"""),"MAT-132-X")</f>
        <v>MAT-132-X</v>
      </c>
      <c r="G1129" s="213"/>
      <c r="H1129" s="213" t="str">
        <f>IFERROR(__xludf.DUMMYFUNCTION("""COMPUTED_VALUE"""),"CEPILLO DE ACERO")</f>
        <v>CEPILLO DE ACERO</v>
      </c>
      <c r="I1129" s="213" t="str">
        <f>IFERROR(__xludf.DUMMYFUNCTION("""COMPUTED_VALUE"""),"Fabricado en acero latonado ondulado. Diámetro del alambre: mínimo 0,30 mm. Longitud útil: mínimo 120 mm.
Largo total: mínimo 260 mm.")</f>
        <v>Fabricado en acero latonado ondulado. Diámetro del alambre: mínimo 0,30 mm. Longitud útil: mínimo 120 mm.
Largo total: mínimo 260 mm.</v>
      </c>
      <c r="J1129" s="213">
        <f>IFERROR(__xludf.DUMMYFUNCTION("""COMPUTED_VALUE"""),3.0)</f>
        <v>3</v>
      </c>
      <c r="K1129" s="213" t="str">
        <f>IFERROR(__xludf.DUMMYFUNCTION("""COMPUTED_VALUE"""),"90 DÍAS CALENDARIO")</f>
        <v>90 DÍAS CALENDARIO</v>
      </c>
      <c r="L1129" s="213" t="str">
        <f>IFERROR(__xludf.DUMMYFUNCTION("""COMPUTED_VALUE"""),"")</f>
        <v/>
      </c>
      <c r="M1129" s="213">
        <f>IFERROR(__xludf.DUMMYFUNCTION("""COMPUTED_VALUE"""),1.0)</f>
        <v>1</v>
      </c>
      <c r="N1129" s="213">
        <f>IFERROR(__xludf.DUMMYFUNCTION("""COMPUTED_VALUE"""),1.0)</f>
        <v>1</v>
      </c>
      <c r="O1129" s="213">
        <f>IFERROR(__xludf.DUMMYFUNCTION("""COMPUTED_VALUE"""),1.0)</f>
        <v>1</v>
      </c>
      <c r="P1129" s="213"/>
      <c r="Q1129" s="213"/>
      <c r="R1129" s="213"/>
      <c r="S1129" s="213"/>
      <c r="T1129" s="213" t="str">
        <f>IFERROR(__xludf.DUMMYFUNCTION("""COMPUTED_VALUE"""),"SI")</f>
        <v>SI</v>
      </c>
      <c r="U1129" s="213" t="str">
        <f>IFERROR(__xludf.DUMMYFUNCTION("""COMPUTED_VALUE"""),"SI")</f>
        <v>SI</v>
      </c>
      <c r="V1129" s="213" t="str">
        <f>IFERROR(__xludf.DUMMYFUNCTION("""COMPUTED_VALUE"""),"-")</f>
        <v>-</v>
      </c>
      <c r="W1129" s="213" t="str">
        <f>IFERROR(__xludf.DUMMYFUNCTION("""COMPUTED_VALUE"""),"-")</f>
        <v>-</v>
      </c>
      <c r="X1129" s="213" t="str">
        <f>IFERROR(__xludf.DUMMYFUNCTION("""COMPUTED_VALUE"""),"BELLOTA")</f>
        <v>BELLOTA</v>
      </c>
      <c r="Y1129" s="213" t="str">
        <f>IFERROR(__xludf.DUMMYFUNCTION("""COMPUTED_VALUE"""),"Cepillo Manual Estrecho Acero
Latonado Alambre Recto")</f>
        <v>Cepillo Manual Estrecho Acero
Latonado Alambre Recto</v>
      </c>
      <c r="Z1129" s="215" t="str">
        <f>IFERROR(__xludf.DUMMYFUNCTION("""COMPUTED_VALUE"""),"https://www.amazon.com/-/es/Bellota-50806-Cepillo-pl%C3%A1stico-di%C3%A1metro/dp/B00F2NS372?th=1")</f>
        <v>https://www.amazon.com/-/es/Bellota-50806-Cepillo-pl%C3%A1stico-di%C3%A1metro/dp/B00F2NS372?th=1</v>
      </c>
      <c r="AA1129" s="213" t="str">
        <f>IFERROR(__xludf.DUMMYFUNCTION("""COMPUTED_VALUE"""),"MAT-132-X CEPILLO DE ACERO - CET")</f>
        <v>MAT-132-X CEPILLO DE ACERO - CET</v>
      </c>
      <c r="AB1129" s="213"/>
      <c r="AC1129" s="213"/>
      <c r="AD1129" s="213"/>
      <c r="AE1129" s="213"/>
      <c r="AF1129" s="213"/>
      <c r="AG1129" s="213"/>
      <c r="AH1129" s="213"/>
      <c r="AI1129" s="213"/>
      <c r="AJ1129" s="213"/>
      <c r="AK1129" s="213"/>
      <c r="AL1129" s="213"/>
      <c r="AM1129" s="213"/>
      <c r="AN1129" s="213"/>
      <c r="AO1129" s="213"/>
      <c r="AP1129" s="213" t="str">
        <f>IFERROR(__xludf.DUMMYFUNCTION("""COMPUTED_VALUE"""),"BRUNO")</f>
        <v>BRUNO</v>
      </c>
      <c r="AQ1129" s="213"/>
      <c r="AR1129" s="213"/>
      <c r="AS1129" s="213"/>
      <c r="AT1129" s="213"/>
      <c r="AU1129" s="213"/>
      <c r="AV1129" s="213"/>
      <c r="AW1129" s="213"/>
      <c r="AX1129" s="213"/>
      <c r="AY1129" s="213"/>
      <c r="AZ1129" s="213"/>
      <c r="BA1129" s="213"/>
      <c r="BB1129" s="213"/>
      <c r="BC1129" s="213"/>
      <c r="BD1129" s="213"/>
    </row>
    <row r="1130">
      <c r="A1130" s="213">
        <f>IFERROR(__xludf.DUMMYFUNCTION("""COMPUTED_VALUE"""),1572.0)</f>
        <v>1572</v>
      </c>
      <c r="B1130" s="213" t="str">
        <f>IFERROR(__xludf.DUMMYFUNCTION("""COMPUTED_VALUE"""),"GUILLERMO E. BILLINGHURST ")</f>
        <v>GUILLERMO E. BILLINGHURST </v>
      </c>
      <c r="C1130" s="213" t="str">
        <f>IFERROR(__xludf.DUMMYFUNCTION("""COMPUTED_VALUE"""),"TALLER SFT DE MECÁNICA AUTOMOTRIZ")</f>
        <v>TALLER SFT DE MECÁNICA AUTOMOTRIZ</v>
      </c>
      <c r="D1130" s="213" t="str">
        <f>IFERROR(__xludf.DUMMYFUNCTION("""COMPUTED_VALUE"""),"HERRAMIENTAS")</f>
        <v>HERRAMIENTAS</v>
      </c>
      <c r="E1130" s="213" t="str">
        <f>IFERROR(__xludf.DUMMYFUNCTION("""COMPUTED_VALUE"""),"MAT-132")</f>
        <v>MAT-132</v>
      </c>
      <c r="F1130" s="213" t="str">
        <f>IFERROR(__xludf.DUMMYFUNCTION("""COMPUTED_VALUE"""),"MAT-132-X")</f>
        <v>MAT-132-X</v>
      </c>
      <c r="G1130" s="213"/>
      <c r="H1130" s="213" t="str">
        <f>IFERROR(__xludf.DUMMYFUNCTION("""COMPUTED_VALUE"""),"CEPILLO DE ACERO")</f>
        <v>CEPILLO DE ACERO</v>
      </c>
      <c r="I1130" s="213" t="str">
        <f>IFERROR(__xludf.DUMMYFUNCTION("""COMPUTED_VALUE"""),"Fabricado en acero latonado ondulado. Diámetro del alambre: mínimo 0,30 mm. Longitud útil: mínimo 120 mm.
Largo total: mínimo 260 mm.")</f>
        <v>Fabricado en acero latonado ondulado. Diámetro del alambre: mínimo 0,30 mm. Longitud útil: mínimo 120 mm.
Largo total: mínimo 260 mm.</v>
      </c>
      <c r="J1130" s="213">
        <f>IFERROR(__xludf.DUMMYFUNCTION("""COMPUTED_VALUE"""),3.0)</f>
        <v>3</v>
      </c>
      <c r="K1130" s="213" t="str">
        <f>IFERROR(__xludf.DUMMYFUNCTION("""COMPUTED_VALUE"""),"90 DÍAS CALENDARIO")</f>
        <v>90 DÍAS CALENDARIO</v>
      </c>
      <c r="L1130" s="213" t="str">
        <f>IFERROR(__xludf.DUMMYFUNCTION("""COMPUTED_VALUE"""),"")</f>
        <v/>
      </c>
      <c r="M1130" s="213">
        <f>IFERROR(__xludf.DUMMYFUNCTION("""COMPUTED_VALUE"""),1.0)</f>
        <v>1</v>
      </c>
      <c r="N1130" s="213">
        <f>IFERROR(__xludf.DUMMYFUNCTION("""COMPUTED_VALUE"""),1.0)</f>
        <v>1</v>
      </c>
      <c r="O1130" s="213">
        <f>IFERROR(__xludf.DUMMYFUNCTION("""COMPUTED_VALUE"""),1.0)</f>
        <v>1</v>
      </c>
      <c r="P1130" s="213"/>
      <c r="Q1130" s="213"/>
      <c r="R1130" s="213"/>
      <c r="S1130" s="213"/>
      <c r="T1130" s="213" t="str">
        <f>IFERROR(__xludf.DUMMYFUNCTION("""COMPUTED_VALUE"""),"SI")</f>
        <v>SI</v>
      </c>
      <c r="U1130" s="213" t="str">
        <f>IFERROR(__xludf.DUMMYFUNCTION("""COMPUTED_VALUE"""),"SI")</f>
        <v>SI</v>
      </c>
      <c r="V1130" s="213" t="str">
        <f>IFERROR(__xludf.DUMMYFUNCTION("""COMPUTED_VALUE"""),"-")</f>
        <v>-</v>
      </c>
      <c r="W1130" s="213" t="str">
        <f>IFERROR(__xludf.DUMMYFUNCTION("""COMPUTED_VALUE"""),"-")</f>
        <v>-</v>
      </c>
      <c r="X1130" s="213" t="str">
        <f>IFERROR(__xludf.DUMMYFUNCTION("""COMPUTED_VALUE"""),"BELLOTA")</f>
        <v>BELLOTA</v>
      </c>
      <c r="Y1130" s="213" t="str">
        <f>IFERROR(__xludf.DUMMYFUNCTION("""COMPUTED_VALUE"""),"Cepillo Manual Estrecho Acero
Latonado Alambre Recto")</f>
        <v>Cepillo Manual Estrecho Acero
Latonado Alambre Recto</v>
      </c>
      <c r="Z1130" s="215" t="str">
        <f>IFERROR(__xludf.DUMMYFUNCTION("""COMPUTED_VALUE"""),"https://www.amazon.com/-/es/Bellota-50806-Cepillo-pl%C3%A1stico-di%C3%A1metro/dp/B00F2NS372?th=1")</f>
        <v>https://www.amazon.com/-/es/Bellota-50806-Cepillo-pl%C3%A1stico-di%C3%A1metro/dp/B00F2NS372?th=1</v>
      </c>
      <c r="AA1130" s="213" t="str">
        <f>IFERROR(__xludf.DUMMYFUNCTION("""COMPUTED_VALUE"""),"MAT-132-X CEPILLO DE ACERO - CET")</f>
        <v>MAT-132-X CEPILLO DE ACERO - CET</v>
      </c>
      <c r="AB1130" s="213"/>
      <c r="AC1130" s="213"/>
      <c r="AD1130" s="213"/>
      <c r="AE1130" s="213"/>
      <c r="AF1130" s="213"/>
      <c r="AG1130" s="213"/>
      <c r="AH1130" s="213"/>
      <c r="AI1130" s="213"/>
      <c r="AJ1130" s="213"/>
      <c r="AK1130" s="213"/>
      <c r="AL1130" s="213"/>
      <c r="AM1130" s="213"/>
      <c r="AN1130" s="213"/>
      <c r="AO1130" s="213"/>
      <c r="AP1130" s="213" t="str">
        <f>IFERROR(__xludf.DUMMYFUNCTION("""COMPUTED_VALUE"""),"BRUNO")</f>
        <v>BRUNO</v>
      </c>
      <c r="AQ1130" s="213"/>
      <c r="AR1130" s="213"/>
      <c r="AS1130" s="213"/>
      <c r="AT1130" s="213"/>
      <c r="AU1130" s="213"/>
      <c r="AV1130" s="213"/>
      <c r="AW1130" s="213"/>
      <c r="AX1130" s="213"/>
      <c r="AY1130" s="213"/>
      <c r="AZ1130" s="213"/>
      <c r="BA1130" s="213"/>
      <c r="BB1130" s="213"/>
      <c r="BC1130" s="213"/>
      <c r="BD1130" s="213"/>
    </row>
    <row r="1131">
      <c r="A1131" s="213">
        <f>IFERROR(__xludf.DUMMYFUNCTION("""COMPUTED_VALUE"""),2264.0)</f>
        <v>2264</v>
      </c>
      <c r="B1131" s="213" t="str">
        <f>IFERROR(__xludf.DUMMYFUNCTION("""COMPUTED_VALUE"""),"JOSE GRANDA")</f>
        <v>JOSE GRANDA</v>
      </c>
      <c r="C1131" s="213" t="str">
        <f>IFERROR(__xludf.DUMMYFUNCTION("""COMPUTED_VALUE"""),"TALLER SFT DE MECÁNICA AUTOMOTRIZ")</f>
        <v>TALLER SFT DE MECÁNICA AUTOMOTRIZ</v>
      </c>
      <c r="D1131" s="213" t="str">
        <f>IFERROR(__xludf.DUMMYFUNCTION("""COMPUTED_VALUE"""),"HERRAMIENTAS")</f>
        <v>HERRAMIENTAS</v>
      </c>
      <c r="E1131" s="213" t="str">
        <f>IFERROR(__xludf.DUMMYFUNCTION("""COMPUTED_VALUE"""),"MAT-132")</f>
        <v>MAT-132</v>
      </c>
      <c r="F1131" s="213" t="str">
        <f>IFERROR(__xludf.DUMMYFUNCTION("""COMPUTED_VALUE"""),"MAT-132-X")</f>
        <v>MAT-132-X</v>
      </c>
      <c r="G1131" s="213"/>
      <c r="H1131" s="213" t="str">
        <f>IFERROR(__xludf.DUMMYFUNCTION("""COMPUTED_VALUE"""),"CEPILLO DE ACERO")</f>
        <v>CEPILLO DE ACERO</v>
      </c>
      <c r="I1131" s="213" t="str">
        <f>IFERROR(__xludf.DUMMYFUNCTION("""COMPUTED_VALUE"""),"Fabricado en acero latonado ondulado. Diámetro del alambre: mínimo 0,30 mm. Longitud útil: mínimo 120 mm.
Largo total: mínimo 260 mm.")</f>
        <v>Fabricado en acero latonado ondulado. Diámetro del alambre: mínimo 0,30 mm. Longitud útil: mínimo 120 mm.
Largo total: mínimo 260 mm.</v>
      </c>
      <c r="J1131" s="213">
        <f>IFERROR(__xludf.DUMMYFUNCTION("""COMPUTED_VALUE"""),3.0)</f>
        <v>3</v>
      </c>
      <c r="K1131" s="213" t="str">
        <f>IFERROR(__xludf.DUMMYFUNCTION("""COMPUTED_VALUE"""),"90 DÍAS CALENDARIO")</f>
        <v>90 DÍAS CALENDARIO</v>
      </c>
      <c r="L1131" s="213" t="str">
        <f>IFERROR(__xludf.DUMMYFUNCTION("""COMPUTED_VALUE"""),"")</f>
        <v/>
      </c>
      <c r="M1131" s="213">
        <f>IFERROR(__xludf.DUMMYFUNCTION("""COMPUTED_VALUE"""),1.0)</f>
        <v>1</v>
      </c>
      <c r="N1131" s="213">
        <f>IFERROR(__xludf.DUMMYFUNCTION("""COMPUTED_VALUE"""),1.0)</f>
        <v>1</v>
      </c>
      <c r="O1131" s="213">
        <f>IFERROR(__xludf.DUMMYFUNCTION("""COMPUTED_VALUE"""),1.0)</f>
        <v>1</v>
      </c>
      <c r="P1131" s="213"/>
      <c r="Q1131" s="213"/>
      <c r="R1131" s="213"/>
      <c r="S1131" s="213"/>
      <c r="T1131" s="213" t="str">
        <f>IFERROR(__xludf.DUMMYFUNCTION("""COMPUTED_VALUE"""),"SI")</f>
        <v>SI</v>
      </c>
      <c r="U1131" s="213" t="str">
        <f>IFERROR(__xludf.DUMMYFUNCTION("""COMPUTED_VALUE"""),"SI")</f>
        <v>SI</v>
      </c>
      <c r="V1131" s="213" t="str">
        <f>IFERROR(__xludf.DUMMYFUNCTION("""COMPUTED_VALUE"""),"-")</f>
        <v>-</v>
      </c>
      <c r="W1131" s="213" t="str">
        <f>IFERROR(__xludf.DUMMYFUNCTION("""COMPUTED_VALUE"""),"-")</f>
        <v>-</v>
      </c>
      <c r="X1131" s="213" t="str">
        <f>IFERROR(__xludf.DUMMYFUNCTION("""COMPUTED_VALUE"""),"BELLOTA")</f>
        <v>BELLOTA</v>
      </c>
      <c r="Y1131" s="213" t="str">
        <f>IFERROR(__xludf.DUMMYFUNCTION("""COMPUTED_VALUE"""),"Cepillo Manual Estrecho Acero
Latonado Alambre Recto")</f>
        <v>Cepillo Manual Estrecho Acero
Latonado Alambre Recto</v>
      </c>
      <c r="Z1131" s="215" t="str">
        <f>IFERROR(__xludf.DUMMYFUNCTION("""COMPUTED_VALUE"""),"https://www.amazon.com/-/es/Bellota-50806-Cepillo-pl%C3%A1stico-di%C3%A1metro/dp/B00F2NS372?th=1")</f>
        <v>https://www.amazon.com/-/es/Bellota-50806-Cepillo-pl%C3%A1stico-di%C3%A1metro/dp/B00F2NS372?th=1</v>
      </c>
      <c r="AA1131" s="213" t="str">
        <f>IFERROR(__xludf.DUMMYFUNCTION("""COMPUTED_VALUE"""),"MAT-132-X CEPILLO DE ACERO - CET")</f>
        <v>MAT-132-X CEPILLO DE ACERO - CET</v>
      </c>
      <c r="AB1131" s="213"/>
      <c r="AC1131" s="213"/>
      <c r="AD1131" s="213"/>
      <c r="AE1131" s="213"/>
      <c r="AF1131" s="213"/>
      <c r="AG1131" s="213"/>
      <c r="AH1131" s="213"/>
      <c r="AI1131" s="213"/>
      <c r="AJ1131" s="213"/>
      <c r="AK1131" s="213"/>
      <c r="AL1131" s="213"/>
      <c r="AM1131" s="213"/>
      <c r="AN1131" s="213"/>
      <c r="AO1131" s="213"/>
      <c r="AP1131" s="213" t="str">
        <f>IFERROR(__xludf.DUMMYFUNCTION("""COMPUTED_VALUE"""),"BRUNO")</f>
        <v>BRUNO</v>
      </c>
      <c r="AQ1131" s="213"/>
      <c r="AR1131" s="213"/>
      <c r="AS1131" s="213"/>
      <c r="AT1131" s="213"/>
      <c r="AU1131" s="213"/>
      <c r="AV1131" s="213"/>
      <c r="AW1131" s="213"/>
      <c r="AX1131" s="213"/>
      <c r="AY1131" s="213"/>
      <c r="AZ1131" s="213"/>
      <c r="BA1131" s="213"/>
      <c r="BB1131" s="213"/>
      <c r="BC1131" s="213"/>
      <c r="BD1131" s="213"/>
    </row>
    <row r="1132">
      <c r="A1132" s="213">
        <f>IFERROR(__xludf.DUMMYFUNCTION("""COMPUTED_VALUE"""),2514.0)</f>
        <v>2514</v>
      </c>
      <c r="B1132" s="213" t="str">
        <f>IFERROR(__xludf.DUMMYFUNCTION("""COMPUTED_VALUE"""),"MANUEL ANTONIO MESONES MURO")</f>
        <v>MANUEL ANTONIO MESONES MURO</v>
      </c>
      <c r="C1132" s="213" t="str">
        <f>IFERROR(__xludf.DUMMYFUNCTION("""COMPUTED_VALUE"""),"TALLER SFT DE CONSTRUCCIONES METÁLICAS")</f>
        <v>TALLER SFT DE CONSTRUCCIONES METÁLICAS</v>
      </c>
      <c r="D1132" s="213" t="str">
        <f>IFERROR(__xludf.DUMMYFUNCTION("""COMPUTED_VALUE"""),"EQUIPOS")</f>
        <v>EQUIPOS</v>
      </c>
      <c r="E1132" s="213" t="str">
        <f>IFERROR(__xludf.DUMMYFUNCTION("""COMPUTED_VALUE"""),"ESP-234")</f>
        <v>ESP-234</v>
      </c>
      <c r="F1132" s="213" t="str">
        <f>IFERROR(__xludf.DUMMYFUNCTION("""COMPUTED_VALUE"""),"ESP-234")</f>
        <v>ESP-234</v>
      </c>
      <c r="G1132" s="213"/>
      <c r="H1132" s="213" t="str">
        <f>IFERROR(__xludf.DUMMYFUNCTION("""COMPUTED_VALUE"""),"MÁQUINA DE SOLDAR POR ELECTRODO O ARCO ELÉCTRICO")</f>
        <v>MÁQUINA DE SOLDAR POR ELECTRODO O ARCO ELÉCTRICO</v>
      </c>
      <c r="I1132" s="213" t="str">
        <f>IFERROR(__xludf.DUMMYFUNCTION("""COMPUTED_VALUE"""),"Máquina de soldar con preseteo automático de 200 A- voltaje primario 220V monofásico de trabajo. Medidas aproximadas (+- 2cm) de 32x26x15. Peso neto mínimo de 7 kg.")</f>
        <v>Máquina de soldar con preseteo automático de 200 A- voltaje primario 220V monofásico de trabajo. Medidas aproximadas (+- 2cm) de 32x26x15. Peso neto mínimo de 7 kg.</v>
      </c>
      <c r="J1132" s="213">
        <f>IFERROR(__xludf.DUMMYFUNCTION("""COMPUTED_VALUE"""),3.0)</f>
        <v>3</v>
      </c>
      <c r="K1132" s="213" t="str">
        <f>IFERROR(__xludf.DUMMYFUNCTION("""COMPUTED_VALUE"""),"170 DÍAS CALENDARIO")</f>
        <v>170 DÍAS CALENDARIO</v>
      </c>
      <c r="L1132" s="213" t="str">
        <f>IFERROR(__xludf.DUMMYFUNCTION("""COMPUTED_VALUE"""),"")</f>
        <v/>
      </c>
      <c r="M1132" s="213">
        <f>IFERROR(__xludf.DUMMYFUNCTION("""COMPUTED_VALUE"""),1.0)</f>
        <v>1</v>
      </c>
      <c r="N1132" s="213">
        <f>IFERROR(__xludf.DUMMYFUNCTION("""COMPUTED_VALUE"""),4.0)</f>
        <v>4</v>
      </c>
      <c r="O1132" s="213">
        <f>IFERROR(__xludf.DUMMYFUNCTION("""COMPUTED_VALUE"""),4.0)</f>
        <v>4</v>
      </c>
      <c r="P1132" s="213"/>
      <c r="Q1132" s="213"/>
      <c r="R1132" s="213"/>
      <c r="S1132" s="213" t="str">
        <f>IFERROR(__xludf.DUMMYFUNCTION("""COMPUTED_VALUE"""),"SI")</f>
        <v>SI</v>
      </c>
      <c r="T1132" s="213" t="str">
        <f>IFERROR(__xludf.DUMMYFUNCTION("""COMPUTED_VALUE"""),"CONSULTA FINAL")</f>
        <v>CONSULTA FINAL</v>
      </c>
      <c r="U1132" s="213" t="str">
        <f>IFERROR(__xludf.DUMMYFUNCTION("""COMPUTED_VALUE"""),"NO")</f>
        <v>NO</v>
      </c>
      <c r="V1132" s="213" t="str">
        <f>IFERROR(__xludf.DUMMYFUNCTION("""COMPUTED_VALUE"""),"SUSTENTO")</f>
        <v>SUSTENTO</v>
      </c>
      <c r="W1132" s="213" t="str">
        <f>IFERROR(__xludf.DUMMYFUNCTION("""COMPUTED_VALUE"""),"DIMENSIONAL, ELÉCTRICO")</f>
        <v>DIMENSIONAL, ELÉCTRICO</v>
      </c>
      <c r="X1132" s="213" t="str">
        <f>IFERROR(__xludf.DUMMYFUNCTION("""COMPUTED_VALUE"""),"DAF")</f>
        <v>DAF</v>
      </c>
      <c r="Y1132" s="213" t="str">
        <f>IFERROR(__xludf.DUMMYFUNCTION("""COMPUTED_VALUE"""),"GMF 300ARC")</f>
        <v>GMF 300ARC</v>
      </c>
      <c r="Z1132" s="215" t="str">
        <f>IFERROR(__xludf.DUMMYFUNCTION("""COMPUTED_VALUE"""),"https://drive.google.com/file/d/1XzJ3vgKQLdWdAxVhXCHzZTAJw-7Fk-r2/view?usp=drive_link")</f>
        <v>https://drive.google.com/file/d/1XzJ3vgKQLdWdAxVhXCHzZTAJw-7Fk-r2/view?usp=drive_link</v>
      </c>
      <c r="AA1132" s="213" t="str">
        <f>IFERROR(__xludf.DUMMYFUNCTION("""COMPUTED_VALUE"""),"ESP-234 MÁQUINA DE SOLDAR POR ELECTRODO O ARCO ELÉCTRICO - CET")</f>
        <v>ESP-234 MÁQUINA DE SOLDAR POR ELECTRODO O ARCO ELÉCTRICO - CET</v>
      </c>
      <c r="AB1132" s="213"/>
      <c r="AC1132" s="213"/>
      <c r="AD1132" s="213"/>
      <c r="AE1132" s="213"/>
      <c r="AF1132" s="213"/>
      <c r="AG1132" s="213"/>
      <c r="AH1132" s="213"/>
      <c r="AI1132" s="213"/>
      <c r="AJ1132" s="213"/>
      <c r="AK1132" s="213"/>
      <c r="AL1132" s="213"/>
      <c r="AM1132" s="213"/>
      <c r="AN1132" s="213"/>
      <c r="AO1132" s="213"/>
      <c r="AP1132" s="213" t="str">
        <f>IFERROR(__xludf.DUMMYFUNCTION("""COMPUTED_VALUE"""),"NALDI")</f>
        <v>NALDI</v>
      </c>
      <c r="AQ1132" s="213"/>
      <c r="AR1132" s="213"/>
      <c r="AS1132" s="213"/>
      <c r="AT1132" s="213"/>
      <c r="AU1132" s="213"/>
      <c r="AV1132" s="213"/>
      <c r="AW1132" s="213"/>
      <c r="AX1132" s="213"/>
      <c r="AY1132" s="213"/>
      <c r="AZ1132" s="213"/>
      <c r="BA1132" s="213"/>
      <c r="BB1132" s="213"/>
      <c r="BC1132" s="213"/>
      <c r="BD1132" s="213"/>
    </row>
    <row r="1133">
      <c r="A1133" s="213">
        <f>IFERROR(__xludf.DUMMYFUNCTION("""COMPUTED_VALUE"""),461.0)</f>
        <v>461</v>
      </c>
      <c r="B1133" s="213" t="str">
        <f>IFERROR(__xludf.DUMMYFUNCTION("""COMPUTED_VALUE"""),"2026 SIMON BOLIVAR")</f>
        <v>2026 SIMON BOLIVAR</v>
      </c>
      <c r="C1133" s="213" t="str">
        <f>IFERROR(__xludf.DUMMYFUNCTION("""COMPUTED_VALUE"""),"TALLER SFT DE INDUSTRIA ALIMENTARIA")</f>
        <v>TALLER SFT DE INDUSTRIA ALIMENTARIA</v>
      </c>
      <c r="D1133" s="213" t="str">
        <f>IFERROR(__xludf.DUMMYFUNCTION("""COMPUTED_VALUE"""),"HERRAMIENTAS")</f>
        <v>HERRAMIENTAS</v>
      </c>
      <c r="E1133" s="213" t="str">
        <f>IFERROR(__xludf.DUMMYFUNCTION("""COMPUTED_VALUE"""),"MAT-133")</f>
        <v>MAT-133</v>
      </c>
      <c r="F1133" s="213" t="str">
        <f>IFERROR(__xludf.DUMMYFUNCTION("""COMPUTED_VALUE"""),"MAT-133")</f>
        <v>MAT-133</v>
      </c>
      <c r="G1133" s="213"/>
      <c r="H1133" s="213" t="str">
        <f>IFERROR(__xludf.DUMMYFUNCTION("""COMPUTED_VALUE"""),"CILINDROS DE PLÁSTICO")</f>
        <v>CILINDROS DE PLÁSTICO</v>
      </c>
      <c r="I1133" s="213" t="str">
        <f>IFERROR(__xludf.DUMMYFUNCTION("""COMPUTED_VALUE"""),"· Material 100% Original - HDPE
· Incluye: 2 Tapas de  5cm diámetro
· Capacidad: 200 Litros
· Dimensiones:
· Diámetro: 60cm mínimo.
· Altura: 90cm mínimo.")</f>
        <v>· Material 100% Original - HDPE
· Incluye: 2 Tapas de  5cm diámetro
· Capacidad: 200 Litros
· Dimensiones:
· Diámetro: 60cm mínimo.
· Altura: 90cm mínimo.</v>
      </c>
      <c r="J1133" s="213">
        <f>IFERROR(__xludf.DUMMYFUNCTION("""COMPUTED_VALUE"""),3.0)</f>
        <v>3</v>
      </c>
      <c r="K1133" s="213" t="str">
        <f>IFERROR(__xludf.DUMMYFUNCTION("""COMPUTED_VALUE"""),"90 DÍAS CALENDARIO")</f>
        <v>90 DÍAS CALENDARIO</v>
      </c>
      <c r="L1133" s="213" t="str">
        <f>IFERROR(__xludf.DUMMYFUNCTION("""COMPUTED_VALUE"""),"")</f>
        <v/>
      </c>
      <c r="M1133" s="213">
        <f>IFERROR(__xludf.DUMMYFUNCTION("""COMPUTED_VALUE"""),1.0)</f>
        <v>1</v>
      </c>
      <c r="N1133" s="213">
        <f>IFERROR(__xludf.DUMMYFUNCTION("""COMPUTED_VALUE"""),2.0)</f>
        <v>2</v>
      </c>
      <c r="O1133" s="213">
        <f>IFERROR(__xludf.DUMMYFUNCTION("""COMPUTED_VALUE"""),2.0)</f>
        <v>2</v>
      </c>
      <c r="P1133" s="213"/>
      <c r="Q1133" s="213"/>
      <c r="R1133" s="213"/>
      <c r="S1133" s="213"/>
      <c r="T1133" s="213" t="str">
        <f>IFERROR(__xludf.DUMMYFUNCTION("""COMPUTED_VALUE"""),"SI")</f>
        <v>SI</v>
      </c>
      <c r="U1133" s="213" t="str">
        <f>IFERROR(__xludf.DUMMYFUNCTION("""COMPUTED_VALUE"""),"SI")</f>
        <v>SI</v>
      </c>
      <c r="V1133" s="213" t="str">
        <f>IFERROR(__xludf.DUMMYFUNCTION("""COMPUTED_VALUE"""),"-")</f>
        <v>-</v>
      </c>
      <c r="W1133" s="213" t="str">
        <f>IFERROR(__xludf.DUMMYFUNCTION("""COMPUTED_VALUE"""),"-")</f>
        <v>-</v>
      </c>
      <c r="X1133" s="213" t="str">
        <f>IFERROR(__xludf.DUMMYFUNCTION("""COMPUTED_VALUE"""),"HDPC")</f>
        <v>HDPC</v>
      </c>
      <c r="Y1133" s="213" t="str">
        <f>IFERROR(__xludf.DUMMYFUNCTION("""COMPUTED_VALUE"""),"HDB-200L")</f>
        <v>HDB-200L</v>
      </c>
      <c r="Z1133" s="215" t="str">
        <f>IFERROR(__xludf.DUMMYFUNCTION("""COMPUTED_VALUE"""),"https://spanish.alibaba.com/product-detail/200-Litre-Plastic-Drums-for-Chemical-1600799966276.html")</f>
        <v>https://spanish.alibaba.com/product-detail/200-Litre-Plastic-Drums-for-Chemical-1600799966276.html</v>
      </c>
      <c r="AA1133" s="213" t="str">
        <f>IFERROR(__xludf.DUMMYFUNCTION("""COMPUTED_VALUE"""),"MAT-133 CILINDROS DE PLÁSTICO - CET")</f>
        <v>MAT-133 CILINDROS DE PLÁSTICO - CET</v>
      </c>
      <c r="AB1133" s="213"/>
      <c r="AC1133" s="213"/>
      <c r="AD1133" s="213"/>
      <c r="AE1133" s="213"/>
      <c r="AF1133" s="213"/>
      <c r="AG1133" s="213"/>
      <c r="AH1133" s="213"/>
      <c r="AI1133" s="213"/>
      <c r="AJ1133" s="213"/>
      <c r="AK1133" s="213"/>
      <c r="AL1133" s="213"/>
      <c r="AM1133" s="213"/>
      <c r="AN1133" s="213"/>
      <c r="AO1133" s="213"/>
      <c r="AP1133" s="213" t="str">
        <f>IFERROR(__xludf.DUMMYFUNCTION("""COMPUTED_VALUE"""),"BRUNO")</f>
        <v>BRUNO</v>
      </c>
      <c r="AQ1133" s="213"/>
      <c r="AR1133" s="213"/>
      <c r="AS1133" s="213"/>
      <c r="AT1133" s="213"/>
      <c r="AU1133" s="213"/>
      <c r="AV1133" s="213"/>
      <c r="AW1133" s="213"/>
      <c r="AX1133" s="213"/>
      <c r="AY1133" s="213"/>
      <c r="AZ1133" s="213"/>
      <c r="BA1133" s="213"/>
      <c r="BB1133" s="213"/>
      <c r="BC1133" s="213"/>
      <c r="BD1133" s="213"/>
    </row>
    <row r="1134">
      <c r="A1134" s="213">
        <f>IFERROR(__xludf.DUMMYFUNCTION("""COMPUTED_VALUE"""),1088.0)</f>
        <v>1088</v>
      </c>
      <c r="B1134" s="213" t="str">
        <f>IFERROR(__xludf.DUMMYFUNCTION("""COMPUTED_VALUE"""),"FRANCISCO IRAZOLA")</f>
        <v>FRANCISCO IRAZOLA</v>
      </c>
      <c r="C1134" s="213" t="str">
        <f>IFERROR(__xludf.DUMMYFUNCTION("""COMPUTED_VALUE"""),"TALLER SFT DE INDUSTRIA ALIMENTARIA")</f>
        <v>TALLER SFT DE INDUSTRIA ALIMENTARIA</v>
      </c>
      <c r="D1134" s="213" t="str">
        <f>IFERROR(__xludf.DUMMYFUNCTION("""COMPUTED_VALUE"""),"HERRAMIENTAS")</f>
        <v>HERRAMIENTAS</v>
      </c>
      <c r="E1134" s="213" t="str">
        <f>IFERROR(__xludf.DUMMYFUNCTION("""COMPUTED_VALUE"""),"MAT-133")</f>
        <v>MAT-133</v>
      </c>
      <c r="F1134" s="213" t="str">
        <f>IFERROR(__xludf.DUMMYFUNCTION("""COMPUTED_VALUE"""),"MAT-133")</f>
        <v>MAT-133</v>
      </c>
      <c r="G1134" s="213"/>
      <c r="H1134" s="213" t="str">
        <f>IFERROR(__xludf.DUMMYFUNCTION("""COMPUTED_VALUE"""),"CILINDROS DE PLÁSTICO")</f>
        <v>CILINDROS DE PLÁSTICO</v>
      </c>
      <c r="I1134" s="213" t="str">
        <f>IFERROR(__xludf.DUMMYFUNCTION("""COMPUTED_VALUE"""),"· Material 100% Original - HDPE
· Incluye: 2 Tapas de  5cm diámetro
· Capacidad: 200 Litros
· Dimensiones:
· Diámetro: 60cm mínimo.
· Altura: 90cm mínimo.")</f>
        <v>· Material 100% Original - HDPE
· Incluye: 2 Tapas de  5cm diámetro
· Capacidad: 200 Litros
· Dimensiones:
· Diámetro: 60cm mínimo.
· Altura: 90cm mínimo.</v>
      </c>
      <c r="J1134" s="213">
        <f>IFERROR(__xludf.DUMMYFUNCTION("""COMPUTED_VALUE"""),3.0)</f>
        <v>3</v>
      </c>
      <c r="K1134" s="213" t="str">
        <f>IFERROR(__xludf.DUMMYFUNCTION("""COMPUTED_VALUE"""),"90 DÍAS CALENDARIO")</f>
        <v>90 DÍAS CALENDARIO</v>
      </c>
      <c r="L1134" s="213" t="str">
        <f>IFERROR(__xludf.DUMMYFUNCTION("""COMPUTED_VALUE"""),"")</f>
        <v/>
      </c>
      <c r="M1134" s="213">
        <f>IFERROR(__xludf.DUMMYFUNCTION("""COMPUTED_VALUE"""),1.0)</f>
        <v>1</v>
      </c>
      <c r="N1134" s="213">
        <f>IFERROR(__xludf.DUMMYFUNCTION("""COMPUTED_VALUE"""),2.0)</f>
        <v>2</v>
      </c>
      <c r="O1134" s="213">
        <f>IFERROR(__xludf.DUMMYFUNCTION("""COMPUTED_VALUE"""),2.0)</f>
        <v>2</v>
      </c>
      <c r="P1134" s="213"/>
      <c r="Q1134" s="213"/>
      <c r="R1134" s="213"/>
      <c r="S1134" s="213"/>
      <c r="T1134" s="213" t="str">
        <f>IFERROR(__xludf.DUMMYFUNCTION("""COMPUTED_VALUE"""),"SI")</f>
        <v>SI</v>
      </c>
      <c r="U1134" s="213" t="str">
        <f>IFERROR(__xludf.DUMMYFUNCTION("""COMPUTED_VALUE"""),"SI")</f>
        <v>SI</v>
      </c>
      <c r="V1134" s="213" t="str">
        <f>IFERROR(__xludf.DUMMYFUNCTION("""COMPUTED_VALUE"""),"-")</f>
        <v>-</v>
      </c>
      <c r="W1134" s="213" t="str">
        <f>IFERROR(__xludf.DUMMYFUNCTION("""COMPUTED_VALUE"""),"-")</f>
        <v>-</v>
      </c>
      <c r="X1134" s="213" t="str">
        <f>IFERROR(__xludf.DUMMYFUNCTION("""COMPUTED_VALUE"""),"HDPC")</f>
        <v>HDPC</v>
      </c>
      <c r="Y1134" s="213" t="str">
        <f>IFERROR(__xludf.DUMMYFUNCTION("""COMPUTED_VALUE"""),"HDB-200L")</f>
        <v>HDB-200L</v>
      </c>
      <c r="Z1134" s="215" t="str">
        <f>IFERROR(__xludf.DUMMYFUNCTION("""COMPUTED_VALUE"""),"https://spanish.alibaba.com/product-detail/200-Litre-Plastic-Drums-for-Chemical-1600799966276.html")</f>
        <v>https://spanish.alibaba.com/product-detail/200-Litre-Plastic-Drums-for-Chemical-1600799966276.html</v>
      </c>
      <c r="AA1134" s="213" t="str">
        <f>IFERROR(__xludf.DUMMYFUNCTION("""COMPUTED_VALUE"""),"MAT-133 CILINDROS DE PLÁSTICO - CET")</f>
        <v>MAT-133 CILINDROS DE PLÁSTICO - CET</v>
      </c>
      <c r="AB1134" s="213"/>
      <c r="AC1134" s="213"/>
      <c r="AD1134" s="213"/>
      <c r="AE1134" s="213"/>
      <c r="AF1134" s="213"/>
      <c r="AG1134" s="213"/>
      <c r="AH1134" s="213"/>
      <c r="AI1134" s="213"/>
      <c r="AJ1134" s="213"/>
      <c r="AK1134" s="213"/>
      <c r="AL1134" s="213"/>
      <c r="AM1134" s="213"/>
      <c r="AN1134" s="213"/>
      <c r="AO1134" s="213"/>
      <c r="AP1134" s="213" t="str">
        <f>IFERROR(__xludf.DUMMYFUNCTION("""COMPUTED_VALUE"""),"BRUNO")</f>
        <v>BRUNO</v>
      </c>
      <c r="AQ1134" s="213"/>
      <c r="AR1134" s="213"/>
      <c r="AS1134" s="213"/>
      <c r="AT1134" s="213"/>
      <c r="AU1134" s="213"/>
      <c r="AV1134" s="213"/>
      <c r="AW1134" s="213"/>
      <c r="AX1134" s="213"/>
      <c r="AY1134" s="213"/>
      <c r="AZ1134" s="213"/>
      <c r="BA1134" s="213"/>
      <c r="BB1134" s="213"/>
      <c r="BC1134" s="213"/>
      <c r="BD1134" s="213"/>
    </row>
    <row r="1135">
      <c r="A1135" s="213">
        <f>IFERROR(__xludf.DUMMYFUNCTION("""COMPUTED_VALUE"""),1365.0)</f>
        <v>1365</v>
      </c>
      <c r="B1135" s="213" t="str">
        <f>IFERROR(__xludf.DUMMYFUNCTION("""COMPUTED_VALUE"""),"GUILLERMO E. BILLINGHURST ")</f>
        <v>GUILLERMO E. BILLINGHURST </v>
      </c>
      <c r="C1135" s="213" t="str">
        <f>IFERROR(__xludf.DUMMYFUNCTION("""COMPUTED_VALUE"""),"TALLER SFT DE INDUSTRIA ALIMENTARIA")</f>
        <v>TALLER SFT DE INDUSTRIA ALIMENTARIA</v>
      </c>
      <c r="D1135" s="213" t="str">
        <f>IFERROR(__xludf.DUMMYFUNCTION("""COMPUTED_VALUE"""),"HERRAMIENTAS")</f>
        <v>HERRAMIENTAS</v>
      </c>
      <c r="E1135" s="213" t="str">
        <f>IFERROR(__xludf.DUMMYFUNCTION("""COMPUTED_VALUE"""),"MAT-133")</f>
        <v>MAT-133</v>
      </c>
      <c r="F1135" s="213" t="str">
        <f>IFERROR(__xludf.DUMMYFUNCTION("""COMPUTED_VALUE"""),"MAT-133")</f>
        <v>MAT-133</v>
      </c>
      <c r="G1135" s="213"/>
      <c r="H1135" s="213" t="str">
        <f>IFERROR(__xludf.DUMMYFUNCTION("""COMPUTED_VALUE"""),"CILINDROS DE PLÁSTICO")</f>
        <v>CILINDROS DE PLÁSTICO</v>
      </c>
      <c r="I1135" s="213" t="str">
        <f>IFERROR(__xludf.DUMMYFUNCTION("""COMPUTED_VALUE"""),"· Material 100% Original - HDPE
· Incluye: 2 Tapas de  5cm diámetro
· Capacidad: 200 Litros
· Dimensiones:
· Diámetro: 60cm mínimo.
· Altura: 90cm mínimo.")</f>
        <v>· Material 100% Original - HDPE
· Incluye: 2 Tapas de  5cm diámetro
· Capacidad: 200 Litros
· Dimensiones:
· Diámetro: 60cm mínimo.
· Altura: 90cm mínimo.</v>
      </c>
      <c r="J1135" s="213">
        <f>IFERROR(__xludf.DUMMYFUNCTION("""COMPUTED_VALUE"""),3.0)</f>
        <v>3</v>
      </c>
      <c r="K1135" s="213" t="str">
        <f>IFERROR(__xludf.DUMMYFUNCTION("""COMPUTED_VALUE"""),"90 DÍAS CALENDARIO")</f>
        <v>90 DÍAS CALENDARIO</v>
      </c>
      <c r="L1135" s="213" t="str">
        <f>IFERROR(__xludf.DUMMYFUNCTION("""COMPUTED_VALUE"""),"")</f>
        <v/>
      </c>
      <c r="M1135" s="213">
        <f>IFERROR(__xludf.DUMMYFUNCTION("""COMPUTED_VALUE"""),1.0)</f>
        <v>1</v>
      </c>
      <c r="N1135" s="213">
        <f>IFERROR(__xludf.DUMMYFUNCTION("""COMPUTED_VALUE"""),2.0)</f>
        <v>2</v>
      </c>
      <c r="O1135" s="213">
        <f>IFERROR(__xludf.DUMMYFUNCTION("""COMPUTED_VALUE"""),2.0)</f>
        <v>2</v>
      </c>
      <c r="P1135" s="213"/>
      <c r="Q1135" s="213"/>
      <c r="R1135" s="213"/>
      <c r="S1135" s="213"/>
      <c r="T1135" s="213" t="str">
        <f>IFERROR(__xludf.DUMMYFUNCTION("""COMPUTED_VALUE"""),"SI")</f>
        <v>SI</v>
      </c>
      <c r="U1135" s="213" t="str">
        <f>IFERROR(__xludf.DUMMYFUNCTION("""COMPUTED_VALUE"""),"SI")</f>
        <v>SI</v>
      </c>
      <c r="V1135" s="213" t="str">
        <f>IFERROR(__xludf.DUMMYFUNCTION("""COMPUTED_VALUE"""),"-")</f>
        <v>-</v>
      </c>
      <c r="W1135" s="213" t="str">
        <f>IFERROR(__xludf.DUMMYFUNCTION("""COMPUTED_VALUE"""),"-")</f>
        <v>-</v>
      </c>
      <c r="X1135" s="213" t="str">
        <f>IFERROR(__xludf.DUMMYFUNCTION("""COMPUTED_VALUE"""),"HDPC")</f>
        <v>HDPC</v>
      </c>
      <c r="Y1135" s="213" t="str">
        <f>IFERROR(__xludf.DUMMYFUNCTION("""COMPUTED_VALUE"""),"HDB-200L")</f>
        <v>HDB-200L</v>
      </c>
      <c r="Z1135" s="215" t="str">
        <f>IFERROR(__xludf.DUMMYFUNCTION("""COMPUTED_VALUE"""),"https://spanish.alibaba.com/product-detail/200-Litre-Plastic-Drums-for-Chemical-1600799966276.html")</f>
        <v>https://spanish.alibaba.com/product-detail/200-Litre-Plastic-Drums-for-Chemical-1600799966276.html</v>
      </c>
      <c r="AA1135" s="213" t="str">
        <f>IFERROR(__xludf.DUMMYFUNCTION("""COMPUTED_VALUE"""),"MAT-133 CILINDROS DE PLÁSTICO - CET")</f>
        <v>MAT-133 CILINDROS DE PLÁSTICO - CET</v>
      </c>
      <c r="AB1135" s="213"/>
      <c r="AC1135" s="213"/>
      <c r="AD1135" s="213"/>
      <c r="AE1135" s="213"/>
      <c r="AF1135" s="213"/>
      <c r="AG1135" s="213"/>
      <c r="AH1135" s="213"/>
      <c r="AI1135" s="213"/>
      <c r="AJ1135" s="213"/>
      <c r="AK1135" s="213"/>
      <c r="AL1135" s="213"/>
      <c r="AM1135" s="213"/>
      <c r="AN1135" s="213"/>
      <c r="AO1135" s="213"/>
      <c r="AP1135" s="213" t="str">
        <f>IFERROR(__xludf.DUMMYFUNCTION("""COMPUTED_VALUE"""),"BRUNO")</f>
        <v>BRUNO</v>
      </c>
      <c r="AQ1135" s="213"/>
      <c r="AR1135" s="213"/>
      <c r="AS1135" s="213"/>
      <c r="AT1135" s="213"/>
      <c r="AU1135" s="213"/>
      <c r="AV1135" s="213"/>
      <c r="AW1135" s="213"/>
      <c r="AX1135" s="213"/>
      <c r="AY1135" s="213"/>
      <c r="AZ1135" s="213"/>
      <c r="BA1135" s="213"/>
      <c r="BB1135" s="213"/>
      <c r="BC1135" s="213"/>
      <c r="BD1135" s="213"/>
    </row>
    <row r="1136">
      <c r="A1136" s="213">
        <f>IFERROR(__xludf.DUMMYFUNCTION("""COMPUTED_VALUE"""),2050.0)</f>
        <v>2050</v>
      </c>
      <c r="B1136" s="213" t="str">
        <f>IFERROR(__xludf.DUMMYFUNCTION("""COMPUTED_VALUE"""),"JOSE GRANDA")</f>
        <v>JOSE GRANDA</v>
      </c>
      <c r="C1136" s="213" t="str">
        <f>IFERROR(__xludf.DUMMYFUNCTION("""COMPUTED_VALUE"""),"TALLER SFT DE INDUSTRIA ALIMENTARIA")</f>
        <v>TALLER SFT DE INDUSTRIA ALIMENTARIA</v>
      </c>
      <c r="D1136" s="213" t="str">
        <f>IFERROR(__xludf.DUMMYFUNCTION("""COMPUTED_VALUE"""),"HERRAMIENTAS")</f>
        <v>HERRAMIENTAS</v>
      </c>
      <c r="E1136" s="213" t="str">
        <f>IFERROR(__xludf.DUMMYFUNCTION("""COMPUTED_VALUE"""),"MAT-133")</f>
        <v>MAT-133</v>
      </c>
      <c r="F1136" s="213" t="str">
        <f>IFERROR(__xludf.DUMMYFUNCTION("""COMPUTED_VALUE"""),"MAT-133")</f>
        <v>MAT-133</v>
      </c>
      <c r="G1136" s="213"/>
      <c r="H1136" s="213" t="str">
        <f>IFERROR(__xludf.DUMMYFUNCTION("""COMPUTED_VALUE"""),"CILINDROS DE PLÁSTICO")</f>
        <v>CILINDROS DE PLÁSTICO</v>
      </c>
      <c r="I1136" s="213" t="str">
        <f>IFERROR(__xludf.DUMMYFUNCTION("""COMPUTED_VALUE"""),"· Material 100% Original - HDPE
· Incluye: 2 Tapas de  5cm diámetro
· Capacidad: 200 Litros
· Dimensiones:
· Diámetro: 60cm mínimo.
· Altura: 90cm mínimo.")</f>
        <v>· Material 100% Original - HDPE
· Incluye: 2 Tapas de  5cm diámetro
· Capacidad: 200 Litros
· Dimensiones:
· Diámetro: 60cm mínimo.
· Altura: 90cm mínimo.</v>
      </c>
      <c r="J1136" s="213">
        <f>IFERROR(__xludf.DUMMYFUNCTION("""COMPUTED_VALUE"""),3.0)</f>
        <v>3</v>
      </c>
      <c r="K1136" s="213" t="str">
        <f>IFERROR(__xludf.DUMMYFUNCTION("""COMPUTED_VALUE"""),"90 DÍAS CALENDARIO")</f>
        <v>90 DÍAS CALENDARIO</v>
      </c>
      <c r="L1136" s="213" t="str">
        <f>IFERROR(__xludf.DUMMYFUNCTION("""COMPUTED_VALUE"""),"")</f>
        <v/>
      </c>
      <c r="M1136" s="213">
        <f>IFERROR(__xludf.DUMMYFUNCTION("""COMPUTED_VALUE"""),1.0)</f>
        <v>1</v>
      </c>
      <c r="N1136" s="213">
        <f>IFERROR(__xludf.DUMMYFUNCTION("""COMPUTED_VALUE"""),2.0)</f>
        <v>2</v>
      </c>
      <c r="O1136" s="213">
        <f>IFERROR(__xludf.DUMMYFUNCTION("""COMPUTED_VALUE"""),2.0)</f>
        <v>2</v>
      </c>
      <c r="P1136" s="213"/>
      <c r="Q1136" s="213"/>
      <c r="R1136" s="213"/>
      <c r="S1136" s="213"/>
      <c r="T1136" s="213" t="str">
        <f>IFERROR(__xludf.DUMMYFUNCTION("""COMPUTED_VALUE"""),"SI")</f>
        <v>SI</v>
      </c>
      <c r="U1136" s="213" t="str">
        <f>IFERROR(__xludf.DUMMYFUNCTION("""COMPUTED_VALUE"""),"SI")</f>
        <v>SI</v>
      </c>
      <c r="V1136" s="213" t="str">
        <f>IFERROR(__xludf.DUMMYFUNCTION("""COMPUTED_VALUE"""),"-")</f>
        <v>-</v>
      </c>
      <c r="W1136" s="213" t="str">
        <f>IFERROR(__xludf.DUMMYFUNCTION("""COMPUTED_VALUE"""),"-")</f>
        <v>-</v>
      </c>
      <c r="X1136" s="213" t="str">
        <f>IFERROR(__xludf.DUMMYFUNCTION("""COMPUTED_VALUE"""),"HDPC")</f>
        <v>HDPC</v>
      </c>
      <c r="Y1136" s="213" t="str">
        <f>IFERROR(__xludf.DUMMYFUNCTION("""COMPUTED_VALUE"""),"HDB-200L")</f>
        <v>HDB-200L</v>
      </c>
      <c r="Z1136" s="215" t="str">
        <f>IFERROR(__xludf.DUMMYFUNCTION("""COMPUTED_VALUE"""),"https://spanish.alibaba.com/product-detail/200-Litre-Plastic-Drums-for-Chemical-1600799966276.html")</f>
        <v>https://spanish.alibaba.com/product-detail/200-Litre-Plastic-Drums-for-Chemical-1600799966276.html</v>
      </c>
      <c r="AA1136" s="213" t="str">
        <f>IFERROR(__xludf.DUMMYFUNCTION("""COMPUTED_VALUE"""),"MAT-133 CILINDROS DE PLÁSTICO - CET")</f>
        <v>MAT-133 CILINDROS DE PLÁSTICO - CET</v>
      </c>
      <c r="AB1136" s="213"/>
      <c r="AC1136" s="213"/>
      <c r="AD1136" s="213"/>
      <c r="AE1136" s="213"/>
      <c r="AF1136" s="213"/>
      <c r="AG1136" s="213"/>
      <c r="AH1136" s="213"/>
      <c r="AI1136" s="213"/>
      <c r="AJ1136" s="213"/>
      <c r="AK1136" s="213"/>
      <c r="AL1136" s="213"/>
      <c r="AM1136" s="213"/>
      <c r="AN1136" s="213"/>
      <c r="AO1136" s="213"/>
      <c r="AP1136" s="213" t="str">
        <f>IFERROR(__xludf.DUMMYFUNCTION("""COMPUTED_VALUE"""),"BRUNO")</f>
        <v>BRUNO</v>
      </c>
      <c r="AQ1136" s="213"/>
      <c r="AR1136" s="213"/>
      <c r="AS1136" s="213"/>
      <c r="AT1136" s="213"/>
      <c r="AU1136" s="213"/>
      <c r="AV1136" s="213"/>
      <c r="AW1136" s="213"/>
      <c r="AX1136" s="213"/>
      <c r="AY1136" s="213"/>
      <c r="AZ1136" s="213"/>
      <c r="BA1136" s="213"/>
      <c r="BB1136" s="213"/>
      <c r="BC1136" s="213"/>
      <c r="BD1136" s="213"/>
    </row>
    <row r="1137">
      <c r="A1137" s="213">
        <f>IFERROR(__xludf.DUMMYFUNCTION("""COMPUTED_VALUE"""),217.0)</f>
        <v>217</v>
      </c>
      <c r="B1137" s="213" t="str">
        <f>IFERROR(__xludf.DUMMYFUNCTION("""COMPUTED_VALUE"""),"2026 SIMON BOLIVAR")</f>
        <v>2026 SIMON BOLIVAR</v>
      </c>
      <c r="C1137" s="213" t="str">
        <f>IFERROR(__xludf.DUMMYFUNCTION("""COMPUTED_VALUE"""),"TALLER SFT DE INDUSTRIA DEL VESTIDO")</f>
        <v>TALLER SFT DE INDUSTRIA DEL VESTIDO</v>
      </c>
      <c r="D1137" s="213" t="str">
        <f>IFERROR(__xludf.DUMMYFUNCTION("""COMPUTED_VALUE"""),"HERRAMIENTAS")</f>
        <v>HERRAMIENTAS</v>
      </c>
      <c r="E1137" s="213" t="str">
        <f>IFERROR(__xludf.DUMMYFUNCTION("""COMPUTED_VALUE"""),"MAT-135")</f>
        <v>MAT-135</v>
      </c>
      <c r="F1137" s="213" t="str">
        <f>IFERROR(__xludf.DUMMYFUNCTION("""COMPUTED_VALUE"""),"MAT-135")</f>
        <v>MAT-135</v>
      </c>
      <c r="G1137" s="213"/>
      <c r="H1137" s="213" t="str">
        <f>IFERROR(__xludf.DUMMYFUNCTION("""COMPUTED_VALUE"""),"CINTA MÉTRICA (PLÁSTICO FLEXIBLE)")</f>
        <v>CINTA MÉTRICA (PLÁSTICO FLEXIBLE)</v>
      </c>
      <c r="I1137" s="213" t="str">
        <f>IFERROR(__xludf.DUMMYFUNCTION("""COMPUTED_VALUE"""),"·       Fabricada de material plástico flexible y suave, adecuado para medir superficies curvas o planas.
·       Sus terminales tienen lengüetas de metal.
·       Graduada en milímetros, centímetro  y pulgadas.
·       Dimensiones: 150 x 2 cm.")</f>
        <v>·       Fabricada de material plástico flexible y suave, adecuado para medir superficies curvas o planas.
·       Sus terminales tienen lengüetas de metal.
·       Graduada en milímetros, centímetro  y pulgadas.
·       Dimensiones: 150 x 2 cm.</v>
      </c>
      <c r="J1137" s="213">
        <f>IFERROR(__xludf.DUMMYFUNCTION("""COMPUTED_VALUE"""),3.0)</f>
        <v>3</v>
      </c>
      <c r="K1137" s="213" t="str">
        <f>IFERROR(__xludf.DUMMYFUNCTION("""COMPUTED_VALUE"""),"90 DÍAS CALENDARIO")</f>
        <v>90 DÍAS CALENDARIO</v>
      </c>
      <c r="L1137" s="213" t="str">
        <f>IFERROR(__xludf.DUMMYFUNCTION("""COMPUTED_VALUE"""),"")</f>
        <v/>
      </c>
      <c r="M1137" s="213">
        <f>IFERROR(__xludf.DUMMYFUNCTION("""COMPUTED_VALUE"""),1.0)</f>
        <v>1</v>
      </c>
      <c r="N1137" s="213">
        <f>IFERROR(__xludf.DUMMYFUNCTION("""COMPUTED_VALUE"""),10.0)</f>
        <v>10</v>
      </c>
      <c r="O1137" s="213">
        <f>IFERROR(__xludf.DUMMYFUNCTION("""COMPUTED_VALUE"""),10.0)</f>
        <v>10</v>
      </c>
      <c r="P1137" s="213"/>
      <c r="Q1137" s="213"/>
      <c r="R1137" s="213"/>
      <c r="S1137" s="213"/>
      <c r="T1137" s="213" t="str">
        <f>IFERROR(__xludf.DUMMYFUNCTION("""COMPUTED_VALUE"""),"SI")</f>
        <v>SI</v>
      </c>
      <c r="U1137" s="213" t="str">
        <f>IFERROR(__xludf.DUMMYFUNCTION("""COMPUTED_VALUE"""),"SI")</f>
        <v>SI</v>
      </c>
      <c r="V1137" s="213" t="str">
        <f>IFERROR(__xludf.DUMMYFUNCTION("""COMPUTED_VALUE"""),"-")</f>
        <v>-</v>
      </c>
      <c r="W1137" s="213" t="str">
        <f>IFERROR(__xludf.DUMMYFUNCTION("""COMPUTED_VALUE"""),"-")</f>
        <v>-</v>
      </c>
      <c r="X1137" s="213" t="str">
        <f>IFERROR(__xludf.DUMMYFUNCTION("""COMPUTED_VALUE"""),"GENERICO")</f>
        <v>GENERICO</v>
      </c>
      <c r="Y1137" s="213" t="str">
        <f>IFERROR(__xludf.DUMMYFUNCTION("""COMPUTED_VALUE"""),"GENERICO")</f>
        <v>GENERICO</v>
      </c>
      <c r="Z1137" s="215" t="str">
        <f>IFERROR(__xludf.DUMMYFUNCTION("""COMPUTED_VALUE"""),"https://gamypasamaneria.com/products/cinta-metrica-de-150cm?srsltid=AfmBOorrFfUk2--5etAXftU4N-xGSK6I3B6vc8FIAZG8wFxxK311i7Ld")</f>
        <v>https://gamypasamaneria.com/products/cinta-metrica-de-150cm?srsltid=AfmBOorrFfUk2--5etAXftU4N-xGSK6I3B6vc8FIAZG8wFxxK311i7Ld</v>
      </c>
      <c r="AA1137" s="213" t="str">
        <f>IFERROR(__xludf.DUMMYFUNCTION("""COMPUTED_VALUE"""),"MAT-135 CINTA MÉTRICA (PLÁSTICO FLEXIBLE) - CET")</f>
        <v>MAT-135 CINTA MÉTRICA (PLÁSTICO FLEXIBLE) - CET</v>
      </c>
      <c r="AB1137" s="213"/>
      <c r="AC1137" s="213"/>
      <c r="AD1137" s="213"/>
      <c r="AE1137" s="213"/>
      <c r="AF1137" s="213"/>
      <c r="AG1137" s="213"/>
      <c r="AH1137" s="213"/>
      <c r="AI1137" s="213"/>
      <c r="AJ1137" s="213"/>
      <c r="AK1137" s="213"/>
      <c r="AL1137" s="213"/>
      <c r="AM1137" s="213"/>
      <c r="AN1137" s="213"/>
      <c r="AO1137" s="213"/>
      <c r="AP1137" s="213" t="str">
        <f>IFERROR(__xludf.DUMMYFUNCTION("""COMPUTED_VALUE"""),"LUIS")</f>
        <v>LUIS</v>
      </c>
      <c r="AQ1137" s="213"/>
      <c r="AR1137" s="213"/>
      <c r="AS1137" s="213"/>
      <c r="AT1137" s="213"/>
      <c r="AU1137" s="213"/>
      <c r="AV1137" s="213"/>
      <c r="AW1137" s="213"/>
      <c r="AX1137" s="213"/>
      <c r="AY1137" s="213"/>
      <c r="AZ1137" s="213"/>
      <c r="BA1137" s="213"/>
      <c r="BB1137" s="213"/>
      <c r="BC1137" s="213"/>
      <c r="BD1137" s="213"/>
    </row>
    <row r="1138">
      <c r="A1138" s="213">
        <f>IFERROR(__xludf.DUMMYFUNCTION("""COMPUTED_VALUE"""),2387.0)</f>
        <v>2387</v>
      </c>
      <c r="B1138" s="213" t="str">
        <f>IFERROR(__xludf.DUMMYFUNCTION("""COMPUTED_VALUE"""),"MANUEL ANTONIO MESONES MURO")</f>
        <v>MANUEL ANTONIO MESONES MURO</v>
      </c>
      <c r="C1138" s="213" t="str">
        <f>IFERROR(__xludf.DUMMYFUNCTION("""COMPUTED_VALUE"""),"TALLER SFT DE INDUSTRIA DEL VESTIDO")</f>
        <v>TALLER SFT DE INDUSTRIA DEL VESTIDO</v>
      </c>
      <c r="D1138" s="213" t="str">
        <f>IFERROR(__xludf.DUMMYFUNCTION("""COMPUTED_VALUE"""),"HERRAMIENTAS")</f>
        <v>HERRAMIENTAS</v>
      </c>
      <c r="E1138" s="213" t="str">
        <f>IFERROR(__xludf.DUMMYFUNCTION("""COMPUTED_VALUE"""),"MAT-135")</f>
        <v>MAT-135</v>
      </c>
      <c r="F1138" s="213" t="str">
        <f>IFERROR(__xludf.DUMMYFUNCTION("""COMPUTED_VALUE"""),"MAT-135")</f>
        <v>MAT-135</v>
      </c>
      <c r="G1138" s="213"/>
      <c r="H1138" s="213" t="str">
        <f>IFERROR(__xludf.DUMMYFUNCTION("""COMPUTED_VALUE"""),"CINTA MÉTRICA (PLÁSTICO FLEXIBLE)")</f>
        <v>CINTA MÉTRICA (PLÁSTICO FLEXIBLE)</v>
      </c>
      <c r="I1138" s="213" t="str">
        <f>IFERROR(__xludf.DUMMYFUNCTION("""COMPUTED_VALUE"""),"·       Fabricada de material plástico flexible y suave, adecuado para medir superficies curvas o planas.
·       Sus terminales tienen lengüetas de metal.
·       Graduada en milímetros, centímetro  y pulgadas.
·       Dimensiones: 150 x 2 cm.")</f>
        <v>·       Fabricada de material plástico flexible y suave, adecuado para medir superficies curvas o planas.
·       Sus terminales tienen lengüetas de metal.
·       Graduada en milímetros, centímetro  y pulgadas.
·       Dimensiones: 150 x 2 cm.</v>
      </c>
      <c r="J1138" s="213">
        <f>IFERROR(__xludf.DUMMYFUNCTION("""COMPUTED_VALUE"""),3.0)</f>
        <v>3</v>
      </c>
      <c r="K1138" s="213" t="str">
        <f>IFERROR(__xludf.DUMMYFUNCTION("""COMPUTED_VALUE"""),"90 DÍAS CALENDARIO")</f>
        <v>90 DÍAS CALENDARIO</v>
      </c>
      <c r="L1138" s="213" t="str">
        <f>IFERROR(__xludf.DUMMYFUNCTION("""COMPUTED_VALUE"""),"")</f>
        <v/>
      </c>
      <c r="M1138" s="213">
        <f>IFERROR(__xludf.DUMMYFUNCTION("""COMPUTED_VALUE"""),1.0)</f>
        <v>1</v>
      </c>
      <c r="N1138" s="213">
        <f>IFERROR(__xludf.DUMMYFUNCTION("""COMPUTED_VALUE"""),10.0)</f>
        <v>10</v>
      </c>
      <c r="O1138" s="213">
        <f>IFERROR(__xludf.DUMMYFUNCTION("""COMPUTED_VALUE"""),10.0)</f>
        <v>10</v>
      </c>
      <c r="P1138" s="213"/>
      <c r="Q1138" s="213"/>
      <c r="R1138" s="213"/>
      <c r="S1138" s="213"/>
      <c r="T1138" s="213" t="str">
        <f>IFERROR(__xludf.DUMMYFUNCTION("""COMPUTED_VALUE"""),"SI")</f>
        <v>SI</v>
      </c>
      <c r="U1138" s="213" t="str">
        <f>IFERROR(__xludf.DUMMYFUNCTION("""COMPUTED_VALUE"""),"SI")</f>
        <v>SI</v>
      </c>
      <c r="V1138" s="213" t="str">
        <f>IFERROR(__xludf.DUMMYFUNCTION("""COMPUTED_VALUE"""),"-")</f>
        <v>-</v>
      </c>
      <c r="W1138" s="213" t="str">
        <f>IFERROR(__xludf.DUMMYFUNCTION("""COMPUTED_VALUE"""),"-")</f>
        <v>-</v>
      </c>
      <c r="X1138" s="213" t="str">
        <f>IFERROR(__xludf.DUMMYFUNCTION("""COMPUTED_VALUE"""),"GENERICO")</f>
        <v>GENERICO</v>
      </c>
      <c r="Y1138" s="213" t="str">
        <f>IFERROR(__xludf.DUMMYFUNCTION("""COMPUTED_VALUE"""),"GENERICO")</f>
        <v>GENERICO</v>
      </c>
      <c r="Z1138" s="215" t="str">
        <f>IFERROR(__xludf.DUMMYFUNCTION("""COMPUTED_VALUE"""),"https://gamypasamaneria.com/products/cinta-metrica-de-150cm?srsltid=AfmBOorrFfUk2--5etAXftU4N-xGSK6I3B6vc8FIAZG8wFxxK311i7Ld")</f>
        <v>https://gamypasamaneria.com/products/cinta-metrica-de-150cm?srsltid=AfmBOorrFfUk2--5etAXftU4N-xGSK6I3B6vc8FIAZG8wFxxK311i7Ld</v>
      </c>
      <c r="AA1138" s="213" t="str">
        <f>IFERROR(__xludf.DUMMYFUNCTION("""COMPUTED_VALUE"""),"MAT-135 CINTA MÉTRICA (PLÁSTICO FLEXIBLE) - CET")</f>
        <v>MAT-135 CINTA MÉTRICA (PLÁSTICO FLEXIBLE) - CET</v>
      </c>
      <c r="AB1138" s="213"/>
      <c r="AC1138" s="213"/>
      <c r="AD1138" s="213"/>
      <c r="AE1138" s="213"/>
      <c r="AF1138" s="213"/>
      <c r="AG1138" s="213"/>
      <c r="AH1138" s="213"/>
      <c r="AI1138" s="213"/>
      <c r="AJ1138" s="213"/>
      <c r="AK1138" s="213"/>
      <c r="AL1138" s="213"/>
      <c r="AM1138" s="213"/>
      <c r="AN1138" s="213"/>
      <c r="AO1138" s="213"/>
      <c r="AP1138" s="213" t="str">
        <f>IFERROR(__xludf.DUMMYFUNCTION("""COMPUTED_VALUE"""),"LUIS")</f>
        <v>LUIS</v>
      </c>
      <c r="AQ1138" s="213"/>
      <c r="AR1138" s="213"/>
      <c r="AS1138" s="213"/>
      <c r="AT1138" s="213"/>
      <c r="AU1138" s="213"/>
      <c r="AV1138" s="213"/>
      <c r="AW1138" s="213"/>
      <c r="AX1138" s="213"/>
      <c r="AY1138" s="213"/>
      <c r="AZ1138" s="213"/>
      <c r="BA1138" s="213"/>
      <c r="BB1138" s="213"/>
      <c r="BC1138" s="213"/>
      <c r="BD1138" s="213"/>
    </row>
    <row r="1139">
      <c r="A1139" s="213">
        <f>IFERROR(__xludf.DUMMYFUNCTION("""COMPUTED_VALUE"""),479.0)</f>
        <v>479</v>
      </c>
      <c r="B1139" s="213" t="str">
        <f>IFERROR(__xludf.DUMMYFUNCTION("""COMPUTED_VALUE"""),"2026 SIMON BOLIVAR")</f>
        <v>2026 SIMON BOLIVAR</v>
      </c>
      <c r="C1139" s="213" t="str">
        <f>IFERROR(__xludf.DUMMYFUNCTION("""COMPUTED_VALUE"""),"TALLER SFT DE INDUSTRIA ALIMENTARIA")</f>
        <v>TALLER SFT DE INDUSTRIA ALIMENTARIA</v>
      </c>
      <c r="D1139" s="213" t="str">
        <f>IFERROR(__xludf.DUMMYFUNCTION("""COMPUTED_VALUE"""),"HERRAMIENTAS")</f>
        <v>HERRAMIENTAS</v>
      </c>
      <c r="E1139" s="213" t="str">
        <f>IFERROR(__xludf.DUMMYFUNCTION("""COMPUTED_VALUE"""),"MAT-136")</f>
        <v>MAT-136</v>
      </c>
      <c r="F1139" s="213" t="str">
        <f>IFERROR(__xludf.DUMMYFUNCTION("""COMPUTED_VALUE"""),"MAT-136")</f>
        <v>MAT-136</v>
      </c>
      <c r="G1139" s="213"/>
      <c r="H1139" s="213" t="str">
        <f>IFERROR(__xludf.DUMMYFUNCTION("""COMPUTED_VALUE"""),"COLADERAS")</f>
        <v>COLADERAS</v>
      </c>
      <c r="I1139" s="213" t="str">
        <f>IFERROR(__xludf.DUMMYFUNCTION("""COMPUTED_VALUE"""),"· Tamiz de acero inoxidable 202.
· Cuenta con una malla de alambre refinada.
· Tiene 2 ganchos colgantes.
· La malla no permite que pasen grumos.
· Medidas mínimas: Diámetro: 14cm, Mango: 20cm.")</f>
        <v>· Tamiz de acero inoxidable 202.
· Cuenta con una malla de alambre refinada.
· Tiene 2 ganchos colgantes.
· La malla no permite que pasen grumos.
· Medidas mínimas: Diámetro: 14cm, Mango: 20cm.</v>
      </c>
      <c r="J1139" s="213">
        <f>IFERROR(__xludf.DUMMYFUNCTION("""COMPUTED_VALUE"""),3.0)</f>
        <v>3</v>
      </c>
      <c r="K1139" s="213" t="str">
        <f>IFERROR(__xludf.DUMMYFUNCTION("""COMPUTED_VALUE"""),"90 DÍAS CALENDARIO")</f>
        <v>90 DÍAS CALENDARIO</v>
      </c>
      <c r="L1139" s="213" t="str">
        <f>IFERROR(__xludf.DUMMYFUNCTION("""COMPUTED_VALUE"""),"")</f>
        <v/>
      </c>
      <c r="M1139" s="213">
        <f>IFERROR(__xludf.DUMMYFUNCTION("""COMPUTED_VALUE"""),1.0)</f>
        <v>1</v>
      </c>
      <c r="N1139" s="213">
        <f>IFERROR(__xludf.DUMMYFUNCTION("""COMPUTED_VALUE"""),4.0)</f>
        <v>4</v>
      </c>
      <c r="O1139" s="213">
        <f>IFERROR(__xludf.DUMMYFUNCTION("""COMPUTED_VALUE"""),4.0)</f>
        <v>4</v>
      </c>
      <c r="P1139" s="213"/>
      <c r="Q1139" s="213"/>
      <c r="R1139" s="213" t="str">
        <f>IFERROR(__xludf.DUMMYFUNCTION("""COMPUTED_VALUE"""),"SI")</f>
        <v>SI</v>
      </c>
      <c r="S1139" s="213"/>
      <c r="T1139" s="213" t="str">
        <f>IFERROR(__xludf.DUMMYFUNCTION("""COMPUTED_VALUE"""),"SI")</f>
        <v>SI</v>
      </c>
      <c r="U1139" s="213" t="str">
        <f>IFERROR(__xludf.DUMMYFUNCTION("""COMPUTED_VALUE"""),"SI")</f>
        <v>SI</v>
      </c>
      <c r="V1139" s="213" t="str">
        <f>IFERROR(__xludf.DUMMYFUNCTION("""COMPUTED_VALUE"""),"-")</f>
        <v>-</v>
      </c>
      <c r="W1139" s="213" t="str">
        <f>IFERROR(__xludf.DUMMYFUNCTION("""COMPUTED_VALUE"""),"-")</f>
        <v>-</v>
      </c>
      <c r="X1139" s="213" t="str">
        <f>IFERROR(__xludf.DUMMYFUNCTION("""COMPUTED_VALUE"""),"CHEF CRAFT")</f>
        <v>CHEF CRAFT</v>
      </c>
      <c r="Y1139" s="213" t="str">
        <f>IFERROR(__xludf.DUMMYFUNCTION("""COMPUTED_VALUE"""),"CHEF CRAFT")</f>
        <v>CHEF CRAFT</v>
      </c>
      <c r="Z1139"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A1139" s="213" t="str">
        <f>IFERROR(__xludf.DUMMYFUNCTION("""COMPUTED_VALUE"""),"MAT-136 COLADERAS - CET")</f>
        <v>MAT-136 COLADERAS - CET</v>
      </c>
      <c r="AB1139" s="215" t="str">
        <f>IFERROR(__xludf.DUMMYFUNCTION("""COMPUTED_VALUE"""),"https://drive.google.com/file/d/1n9cRtyq7oaUD4UtjAW60Zy0yvY8bIKfJ/view?usp=sharing")</f>
        <v>https://drive.google.com/file/d/1n9cRtyq7oaUD4UtjAW60Zy0yvY8bIKfJ/view?usp=sharing</v>
      </c>
      <c r="AC1139"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D1139" s="213"/>
      <c r="AE1139" s="213"/>
      <c r="AF1139" s="213"/>
      <c r="AG1139" s="213"/>
      <c r="AH1139" s="213" t="str">
        <f>IFERROR(__xludf.DUMMYFUNCTION("""COMPUTED_VALUE"""),"IMPORTADO")</f>
        <v>IMPORTADO</v>
      </c>
      <c r="AI1139" s="213"/>
      <c r="AJ1139" s="213"/>
      <c r="AK1139" s="213"/>
      <c r="AL1139" s="213"/>
      <c r="AM1139" s="213"/>
      <c r="AN1139" s="213"/>
      <c r="AO1139" s="213"/>
      <c r="AP1139" s="213" t="str">
        <f>IFERROR(__xludf.DUMMYFUNCTION("""COMPUTED_VALUE"""),"LUIS")</f>
        <v>LUIS</v>
      </c>
      <c r="AQ1139" s="213"/>
      <c r="AR1139" s="213"/>
      <c r="AS1139" s="213"/>
      <c r="AT1139" s="213"/>
      <c r="AU1139" s="213"/>
      <c r="AV1139" s="213"/>
      <c r="AW1139" s="213"/>
      <c r="AX1139" s="213"/>
      <c r="AY1139" s="213"/>
      <c r="AZ1139" s="213"/>
      <c r="BA1139" s="213"/>
      <c r="BB1139" s="213"/>
      <c r="BC1139" s="213"/>
      <c r="BD1139" s="213"/>
    </row>
    <row r="1140">
      <c r="A1140" s="213">
        <f>IFERROR(__xludf.DUMMYFUNCTION("""COMPUTED_VALUE"""),502.0)</f>
        <v>502</v>
      </c>
      <c r="B1140" s="213" t="str">
        <f>IFERROR(__xludf.DUMMYFUNCTION("""COMPUTED_VALUE"""),"2026 SIMON BOLIVAR")</f>
        <v>2026 SIMON BOLIVAR</v>
      </c>
      <c r="C1140" s="213" t="str">
        <f>IFERROR(__xludf.DUMMYFUNCTION("""COMPUTED_VALUE"""),"TALLER SFT DE INDUSTRIA ALIMENTARIA")</f>
        <v>TALLER SFT DE INDUSTRIA ALIMENTARIA</v>
      </c>
      <c r="D1140" s="213" t="str">
        <f>IFERROR(__xludf.DUMMYFUNCTION("""COMPUTED_VALUE"""),"HERRAMIENTAS")</f>
        <v>HERRAMIENTAS</v>
      </c>
      <c r="E1140" s="213" t="str">
        <f>IFERROR(__xludf.DUMMYFUNCTION("""COMPUTED_VALUE"""),"MAT-136")</f>
        <v>MAT-136</v>
      </c>
      <c r="F1140" s="213" t="str">
        <f>IFERROR(__xludf.DUMMYFUNCTION("""COMPUTED_VALUE"""),"MAT-136")</f>
        <v>MAT-136</v>
      </c>
      <c r="G1140" s="213"/>
      <c r="H1140" s="213" t="str">
        <f>IFERROR(__xludf.DUMMYFUNCTION("""COMPUTED_VALUE"""),"COLADERAS")</f>
        <v>COLADERAS</v>
      </c>
      <c r="I1140" s="213" t="str">
        <f>IFERROR(__xludf.DUMMYFUNCTION("""COMPUTED_VALUE"""),"· Tamiz de acero inoxidable 202.
· Cuenta con una malla de alambre refinada.
· Tiene 2 ganchos colgantes.
· La malla no permite que pasen grumos.
· Medidas mínimas: Diámetro: 14cm, Mango: 20cm.")</f>
        <v>· Tamiz de acero inoxidable 202.
· Cuenta con una malla de alambre refinada.
· Tiene 2 ganchos colgantes.
· La malla no permite que pasen grumos.
· Medidas mínimas: Diámetro: 14cm, Mango: 20cm.</v>
      </c>
      <c r="J1140" s="213">
        <f>IFERROR(__xludf.DUMMYFUNCTION("""COMPUTED_VALUE"""),3.0)</f>
        <v>3</v>
      </c>
      <c r="K1140" s="213" t="str">
        <f>IFERROR(__xludf.DUMMYFUNCTION("""COMPUTED_VALUE"""),"90 DÍAS CALENDARIO")</f>
        <v>90 DÍAS CALENDARIO</v>
      </c>
      <c r="L1140" s="213" t="str">
        <f>IFERROR(__xludf.DUMMYFUNCTION("""COMPUTED_VALUE"""),"")</f>
        <v/>
      </c>
      <c r="M1140" s="213">
        <f>IFERROR(__xludf.DUMMYFUNCTION("""COMPUTED_VALUE"""),1.0)</f>
        <v>1</v>
      </c>
      <c r="N1140" s="213">
        <f>IFERROR(__xludf.DUMMYFUNCTION("""COMPUTED_VALUE"""),2.0)</f>
        <v>2</v>
      </c>
      <c r="O1140" s="213">
        <f>IFERROR(__xludf.DUMMYFUNCTION("""COMPUTED_VALUE"""),2.0)</f>
        <v>2</v>
      </c>
      <c r="P1140" s="213"/>
      <c r="Q1140" s="213"/>
      <c r="R1140" s="213" t="str">
        <f>IFERROR(__xludf.DUMMYFUNCTION("""COMPUTED_VALUE"""),"SI")</f>
        <v>SI</v>
      </c>
      <c r="S1140" s="213"/>
      <c r="T1140" s="213" t="str">
        <f>IFERROR(__xludf.DUMMYFUNCTION("""COMPUTED_VALUE"""),"SI")</f>
        <v>SI</v>
      </c>
      <c r="U1140" s="213" t="str">
        <f>IFERROR(__xludf.DUMMYFUNCTION("""COMPUTED_VALUE"""),"SI")</f>
        <v>SI</v>
      </c>
      <c r="V1140" s="213" t="str">
        <f>IFERROR(__xludf.DUMMYFUNCTION("""COMPUTED_VALUE"""),"-")</f>
        <v>-</v>
      </c>
      <c r="W1140" s="213" t="str">
        <f>IFERROR(__xludf.DUMMYFUNCTION("""COMPUTED_VALUE"""),"-")</f>
        <v>-</v>
      </c>
      <c r="X1140" s="213" t="str">
        <f>IFERROR(__xludf.DUMMYFUNCTION("""COMPUTED_VALUE"""),"CHEF CRAFT")</f>
        <v>CHEF CRAFT</v>
      </c>
      <c r="Y1140" s="213" t="str">
        <f>IFERROR(__xludf.DUMMYFUNCTION("""COMPUTED_VALUE"""),"CHEF CRAFT")</f>
        <v>CHEF CRAFT</v>
      </c>
      <c r="Z1140"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A1140" s="213" t="str">
        <f>IFERROR(__xludf.DUMMYFUNCTION("""COMPUTED_VALUE"""),"MAT-136 COLADERAS - CET")</f>
        <v>MAT-136 COLADERAS - CET</v>
      </c>
      <c r="AB1140" s="215" t="str">
        <f>IFERROR(__xludf.DUMMYFUNCTION("""COMPUTED_VALUE"""),"https://drive.google.com/file/d/1n9cRtyq7oaUD4UtjAW60Zy0yvY8bIKfJ/view?usp=sharing")</f>
        <v>https://drive.google.com/file/d/1n9cRtyq7oaUD4UtjAW60Zy0yvY8bIKfJ/view?usp=sharing</v>
      </c>
      <c r="AC1140"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D1140" s="213"/>
      <c r="AE1140" s="213"/>
      <c r="AF1140" s="213"/>
      <c r="AG1140" s="213"/>
      <c r="AH1140" s="213" t="str">
        <f>IFERROR(__xludf.DUMMYFUNCTION("""COMPUTED_VALUE"""),"IMPORTADO")</f>
        <v>IMPORTADO</v>
      </c>
      <c r="AI1140" s="213"/>
      <c r="AJ1140" s="213"/>
      <c r="AK1140" s="213"/>
      <c r="AL1140" s="213"/>
      <c r="AM1140" s="213"/>
      <c r="AN1140" s="213"/>
      <c r="AO1140" s="213"/>
      <c r="AP1140" s="213" t="str">
        <f>IFERROR(__xludf.DUMMYFUNCTION("""COMPUTED_VALUE"""),"LUIS")</f>
        <v>LUIS</v>
      </c>
      <c r="AQ1140" s="213"/>
      <c r="AR1140" s="213"/>
      <c r="AS1140" s="213"/>
      <c r="AT1140" s="213"/>
      <c r="AU1140" s="213"/>
      <c r="AV1140" s="213"/>
      <c r="AW1140" s="213"/>
      <c r="AX1140" s="213"/>
      <c r="AY1140" s="213"/>
      <c r="AZ1140" s="213"/>
      <c r="BA1140" s="213"/>
      <c r="BB1140" s="213"/>
      <c r="BC1140" s="213"/>
      <c r="BD1140" s="213"/>
    </row>
    <row r="1141">
      <c r="A1141" s="213">
        <f>IFERROR(__xludf.DUMMYFUNCTION("""COMPUTED_VALUE"""),997.0)</f>
        <v>997</v>
      </c>
      <c r="B1141" s="213" t="str">
        <f>IFERROR(__xludf.DUMMYFUNCTION("""COMPUTED_VALUE"""),"FRANCISCO IRAZOLA")</f>
        <v>FRANCISCO IRAZOLA</v>
      </c>
      <c r="C1141" s="213" t="str">
        <f>IFERROR(__xludf.DUMMYFUNCTION("""COMPUTED_VALUE"""),"TALLER SFT DE MECÁNICA AUTOMOTRIZ")</f>
        <v>TALLER SFT DE MECÁNICA AUTOMOTRIZ</v>
      </c>
      <c r="D1141" s="213" t="str">
        <f>IFERROR(__xludf.DUMMYFUNCTION("""COMPUTED_VALUE"""),"EQUIPOS")</f>
        <v>EQUIPOS</v>
      </c>
      <c r="E1141" s="213" t="str">
        <f>IFERROR(__xludf.DUMMYFUNCTION("""COMPUTED_VALUE"""),"ESP-206")</f>
        <v>ESP-206</v>
      </c>
      <c r="F1141" s="213" t="str">
        <f>IFERROR(__xludf.DUMMYFUNCTION("""COMPUTED_VALUE"""),"ESP-206")</f>
        <v>ESP-206</v>
      </c>
      <c r="G1141" s="213"/>
      <c r="H1141" s="213" t="str">
        <f>IFERROR(__xludf.DUMMYFUNCTION("""COMPUTED_VALUE"""),"KIT DE MOTOR DE COMBUSTIÓN INTERNA V8 DE MATERIAL SINTÉTICO, ARMABLE Y DESARMABLE")</f>
        <v>KIT DE MOTOR DE COMBUSTIÓN INTERNA V8 DE MATERIAL SINTÉTICO, ARMABLE Y DESARMABLE</v>
      </c>
      <c r="I1141" s="213" t="str">
        <f>IFERROR(__xludf.DUMMYFUNCTION("""COMPUTED_VALUE"""),"· Modelo de plástico de motor de combustión interna V8 completamente funcional.
· El bloque de cilindros esta moldeado en plástico transparente para permitir la visión de los pistones, válvulas, bujías funcionando y correa de ventilador.
· Las piezas van "&amp;"encajadas o atornilladas para poder montar y desmontar el motor.
· Tiene un pequeño motor eléctrico que se encarga del movimiento
· Funcionan con tres pilas AA
· Contiene como mínimo 270 piezas. Incluye
· Un detallado manual de montaje pasó a paso que guí"&amp;"a a lo largo de todo el proceso de montaje.
· Incluye las herramientas y accesorios necesarios para su montaje.
· Dimensiones aproximadas L 50 cm x A35 cm x H40 cm")</f>
        <v>· Modelo de plástico de motor de combustión interna V8 completamente funcional.
· El bloque de cilindros esta moldeado en plástico transparente para permitir la visión de los pistones, válvulas, bujías funcionando y correa de ventilador.
· Las piezas van encajadas o atornilladas para poder montar y desmontar el motor.
· Tiene un pequeño motor eléctrico que se encarga del movimiento
· Funcionan con tres pilas AA
· Contiene como mínimo 270 piezas. Incluye
· Un detallado manual de montaje pasó a paso que guía a lo largo de todo el proceso de montaje.
· Incluye las herramientas y accesorios necesarios para su montaje.
· Dimensiones aproximadas L 50 cm x A35 cm x H40 cm</v>
      </c>
      <c r="J1141" s="213">
        <f>IFERROR(__xludf.DUMMYFUNCTION("""COMPUTED_VALUE"""),3.0)</f>
        <v>3</v>
      </c>
      <c r="K1141" s="213" t="str">
        <f>IFERROR(__xludf.DUMMYFUNCTION("""COMPUTED_VALUE"""),"170 DÍAS CALENDARIO")</f>
        <v>170 DÍAS CALENDARIO</v>
      </c>
      <c r="L1141" s="213" t="str">
        <f>IFERROR(__xludf.DUMMYFUNCTION("""COMPUTED_VALUE"""),"")</f>
        <v/>
      </c>
      <c r="M1141" s="213">
        <f>IFERROR(__xludf.DUMMYFUNCTION("""COMPUTED_VALUE"""),1.0)</f>
        <v>1</v>
      </c>
      <c r="N1141" s="213">
        <f>IFERROR(__xludf.DUMMYFUNCTION("""COMPUTED_VALUE"""),1.0)</f>
        <v>1</v>
      </c>
      <c r="O1141" s="213">
        <f>IFERROR(__xludf.DUMMYFUNCTION("""COMPUTED_VALUE"""),1.0)</f>
        <v>1</v>
      </c>
      <c r="P1141" s="213"/>
      <c r="Q1141" s="213"/>
      <c r="R1141" s="213"/>
      <c r="S1141" s="213" t="str">
        <f>IFERROR(__xludf.DUMMYFUNCTION("""COMPUTED_VALUE"""),"SI")</f>
        <v>SI</v>
      </c>
      <c r="T1141" s="213" t="str">
        <f>IFERROR(__xludf.DUMMYFUNCTION("""COMPUTED_VALUE"""),"SI")</f>
        <v>SI</v>
      </c>
      <c r="U1141" s="213" t="str">
        <f>IFERROR(__xludf.DUMMYFUNCTION("""COMPUTED_VALUE"""),"SI")</f>
        <v>SI</v>
      </c>
      <c r="V1141" s="213" t="str">
        <f>IFERROR(__xludf.DUMMYFUNCTION("""COMPUTED_VALUE"""),"-")</f>
        <v>-</v>
      </c>
      <c r="W1141" s="213" t="str">
        <f>IFERROR(__xludf.DUMMYFUNCTION("""COMPUTED_VALUE"""),"-")</f>
        <v>-</v>
      </c>
      <c r="X1141" s="213" t="str">
        <f>IFERROR(__xludf.DUMMYFUNCTION("""COMPUTED_VALUE"""),"PlayZ")</f>
        <v>PlayZ</v>
      </c>
      <c r="Y1141" s="213" t="str">
        <f>IFERROR(__xludf.DUMMYFUNCTION("""COMPUTED_VALUE"""),"V8 Combustion Engine Model Kit		")</f>
        <v>V8 Combustion Engine Model Kit		</v>
      </c>
      <c r="Z1141" s="215" t="str">
        <f>IFERROR(__xludf.DUMMYFUNCTION("""COMPUTED_VALUE"""),"https://www.amazon.com/dp/B07QCQNKG7/ref=sspa_dk_detail_0?pd_rd_i=B07QCQNKG7&amp;pd_rd_w=dxRZL&amp;content-id=amzn1.sym.7446a9d1-25fe-4460-b135-a60336bad2c9&amp;pf_rd_p=7446a9d1-25fe-4460-b135-a60336bad2c9&amp;pf_rd_r=X6ZZPQ5R3S6K0V8JNHAX&amp;pd_rd_wg=ms3xd&amp;pd_rd_r=4b1e4abc-"&amp;"0f38-4f5d-907e-e7c631ab4d14&amp;sp_csd=d2lkZ2V0TmFtZT1zcF9kZXRhaWw&amp;th=1")</f>
        <v>https://www.amazon.com/dp/B07QCQNKG7/ref=sspa_dk_detail_0?pd_rd_i=B07QCQNKG7&amp;pd_rd_w=dxRZL&amp;content-id=amzn1.sym.7446a9d1-25fe-4460-b135-a60336bad2c9&amp;pf_rd_p=7446a9d1-25fe-4460-b135-a60336bad2c9&amp;pf_rd_r=X6ZZPQ5R3S6K0V8JNHAX&amp;pd_rd_wg=ms3xd&amp;pd_rd_r=4b1e4abc-0f38-4f5d-907e-e7c631ab4d14&amp;sp_csd=d2lkZ2V0TmFtZT1zcF9kZXRhaWw&amp;th=1</v>
      </c>
      <c r="AA1141" s="213" t="str">
        <f>IFERROR(__xludf.DUMMYFUNCTION("""COMPUTED_VALUE"""),"ESP-206 KIT DE MOTOR DE COMBUSTIÓN INTERNA V8 DE MATERIAL SINTÉTICO, ARMABLE Y DESARMABLE - CET")</f>
        <v>ESP-206 KIT DE MOTOR DE COMBUSTIÓN INTERNA V8 DE MATERIAL SINTÉTICO, ARMABLE Y DESARMABLE - CET</v>
      </c>
      <c r="AB1141" s="213"/>
      <c r="AC1141" s="213"/>
      <c r="AD1141" s="213"/>
      <c r="AE1141" s="213"/>
      <c r="AF1141" s="213"/>
      <c r="AG1141" s="213"/>
      <c r="AH1141" s="213" t="str">
        <f>IFERROR(__xludf.DUMMYFUNCTION("""COMPUTED_VALUE"""),"IMPORTADO")</f>
        <v>IMPORTADO</v>
      </c>
      <c r="AI1141" s="213"/>
      <c r="AJ1141" s="213"/>
      <c r="AK1141" s="213"/>
      <c r="AL1141" s="213"/>
      <c r="AM1141" s="213"/>
      <c r="AN1141" s="213"/>
      <c r="AO1141" s="213"/>
      <c r="AP1141" s="213" t="str">
        <f>IFERROR(__xludf.DUMMYFUNCTION("""COMPUTED_VALUE"""),"NALDI")</f>
        <v>NALDI</v>
      </c>
      <c r="AQ1141" s="213"/>
      <c r="AR1141" s="213"/>
      <c r="AS1141" s="213" t="str">
        <f>IFERROR(__xludf.DUMMYFUNCTION("""COMPUTED_VALUE"""),"03 pilas AA")</f>
        <v>03 pilas AA</v>
      </c>
      <c r="AT1141" s="213"/>
      <c r="AU1141" s="213"/>
      <c r="AV1141" s="213"/>
      <c r="AW1141" s="213"/>
      <c r="AX1141" s="213"/>
      <c r="AY1141" s="213"/>
      <c r="AZ1141" s="213"/>
      <c r="BA1141" s="213"/>
      <c r="BB1141" s="213"/>
      <c r="BC1141" s="213"/>
      <c r="BD1141" s="213"/>
    </row>
    <row r="1142">
      <c r="A1142" s="213">
        <f>IFERROR(__xludf.DUMMYFUNCTION("""COMPUTED_VALUE"""),1602.0)</f>
        <v>1602</v>
      </c>
      <c r="B1142" s="213" t="str">
        <f>IFERROR(__xludf.DUMMYFUNCTION("""COMPUTED_VALUE"""),"GUILLERMO E. BILLINGHURST ")</f>
        <v>GUILLERMO E. BILLINGHURST </v>
      </c>
      <c r="C1142" s="213" t="str">
        <f>IFERROR(__xludf.DUMMYFUNCTION("""COMPUTED_VALUE"""),"TALLER SFT DE MECÁNICA AUTOMOTRIZ")</f>
        <v>TALLER SFT DE MECÁNICA AUTOMOTRIZ</v>
      </c>
      <c r="D1142" s="213" t="str">
        <f>IFERROR(__xludf.DUMMYFUNCTION("""COMPUTED_VALUE"""),"EQUIPOS")</f>
        <v>EQUIPOS</v>
      </c>
      <c r="E1142" s="213" t="str">
        <f>IFERROR(__xludf.DUMMYFUNCTION("""COMPUTED_VALUE"""),"ESP-206")</f>
        <v>ESP-206</v>
      </c>
      <c r="F1142" s="213" t="str">
        <f>IFERROR(__xludf.DUMMYFUNCTION("""COMPUTED_VALUE"""),"ESP-206")</f>
        <v>ESP-206</v>
      </c>
      <c r="G1142" s="213"/>
      <c r="H1142" s="213" t="str">
        <f>IFERROR(__xludf.DUMMYFUNCTION("""COMPUTED_VALUE"""),"KIT DE MOTOR DE COMBUSTIÓN INTERNA V8 DE MATERIAL SINTÉTICO, ARMABLE Y DESARMABLE")</f>
        <v>KIT DE MOTOR DE COMBUSTIÓN INTERNA V8 DE MATERIAL SINTÉTICO, ARMABLE Y DESARMABLE</v>
      </c>
      <c r="I1142" s="213" t="str">
        <f>IFERROR(__xludf.DUMMYFUNCTION("""COMPUTED_VALUE"""),"· Modelo de plástico de motor de combustión interna V8 completamente funcional.
· El bloque de cilindros esta moldeado en plástico transparente para permitir la visión de los pistones, válvulas, bujías funcionando y correa de ventilador.
· Las piezas van "&amp;"encajadas o atornilladas para poder montar y desmontar el motor.
· Tiene un pequeño motor eléctrico que se encarga del movimiento
· Funcionan con tres pilas AA
· Contiene como mínimo 270 piezas. Incluye
· Un detallado manual de montaje pasó a paso que guí"&amp;"a a lo largo de todo el proceso de montaje.
· Incluye las herramientas y accesorios necesarios para su montaje.
· Dimensiones aproximadas L 50 cm x A35 cm x H40 cm")</f>
        <v>· Modelo de plástico de motor de combustión interna V8 completamente funcional.
· El bloque de cilindros esta moldeado en plástico transparente para permitir la visión de los pistones, válvulas, bujías funcionando y correa de ventilador.
· Las piezas van encajadas o atornilladas para poder montar y desmontar el motor.
· Tiene un pequeño motor eléctrico que se encarga del movimiento
· Funcionan con tres pilas AA
· Contiene como mínimo 270 piezas. Incluye
· Un detallado manual de montaje pasó a paso que guía a lo largo de todo el proceso de montaje.
· Incluye las herramientas y accesorios necesarios para su montaje.
· Dimensiones aproximadas L 50 cm x A35 cm x H40 cm</v>
      </c>
      <c r="J1142" s="213">
        <f>IFERROR(__xludf.DUMMYFUNCTION("""COMPUTED_VALUE"""),3.0)</f>
        <v>3</v>
      </c>
      <c r="K1142" s="213" t="str">
        <f>IFERROR(__xludf.DUMMYFUNCTION("""COMPUTED_VALUE"""),"170 DÍAS CALENDARIO")</f>
        <v>170 DÍAS CALENDARIO</v>
      </c>
      <c r="L1142" s="213" t="str">
        <f>IFERROR(__xludf.DUMMYFUNCTION("""COMPUTED_VALUE"""),"")</f>
        <v/>
      </c>
      <c r="M1142" s="213">
        <f>IFERROR(__xludf.DUMMYFUNCTION("""COMPUTED_VALUE"""),1.0)</f>
        <v>1</v>
      </c>
      <c r="N1142" s="213">
        <f>IFERROR(__xludf.DUMMYFUNCTION("""COMPUTED_VALUE"""),1.0)</f>
        <v>1</v>
      </c>
      <c r="O1142" s="213">
        <f>IFERROR(__xludf.DUMMYFUNCTION("""COMPUTED_VALUE"""),1.0)</f>
        <v>1</v>
      </c>
      <c r="P1142" s="213"/>
      <c r="Q1142" s="213"/>
      <c r="R1142" s="213"/>
      <c r="S1142" s="213" t="str">
        <f>IFERROR(__xludf.DUMMYFUNCTION("""COMPUTED_VALUE"""),"SI")</f>
        <v>SI</v>
      </c>
      <c r="T1142" s="213" t="str">
        <f>IFERROR(__xludf.DUMMYFUNCTION("""COMPUTED_VALUE"""),"SI")</f>
        <v>SI</v>
      </c>
      <c r="U1142" s="213" t="str">
        <f>IFERROR(__xludf.DUMMYFUNCTION("""COMPUTED_VALUE"""),"SI")</f>
        <v>SI</v>
      </c>
      <c r="V1142" s="213" t="str">
        <f>IFERROR(__xludf.DUMMYFUNCTION("""COMPUTED_VALUE"""),"-")</f>
        <v>-</v>
      </c>
      <c r="W1142" s="213" t="str">
        <f>IFERROR(__xludf.DUMMYFUNCTION("""COMPUTED_VALUE"""),"-")</f>
        <v>-</v>
      </c>
      <c r="X1142" s="213" t="str">
        <f>IFERROR(__xludf.DUMMYFUNCTION("""COMPUTED_VALUE"""),"PlayZ")</f>
        <v>PlayZ</v>
      </c>
      <c r="Y1142" s="213" t="str">
        <f>IFERROR(__xludf.DUMMYFUNCTION("""COMPUTED_VALUE"""),"V8 Combustion Engine Model Kit		")</f>
        <v>V8 Combustion Engine Model Kit		</v>
      </c>
      <c r="Z1142" s="215" t="str">
        <f>IFERROR(__xludf.DUMMYFUNCTION("""COMPUTED_VALUE"""),"https://www.amazon.com/dp/B07QCQNKG7/ref=sspa_dk_detail_0?pd_rd_i=B07QCQNKG7&amp;pd_rd_w=dxRZL&amp;content-id=amzn1.sym.7446a9d1-25fe-4460-b135-a60336bad2c9&amp;pf_rd_p=7446a9d1-25fe-4460-b135-a60336bad2c9&amp;pf_rd_r=X6ZZPQ5R3S6K0V8JNHAX&amp;pd_rd_wg=ms3xd&amp;pd_rd_r=4b1e4abc-"&amp;"0f38-4f5d-907e-e7c631ab4d14&amp;sp_csd=d2lkZ2V0TmFtZT1zcF9kZXRhaWw&amp;th=1")</f>
        <v>https://www.amazon.com/dp/B07QCQNKG7/ref=sspa_dk_detail_0?pd_rd_i=B07QCQNKG7&amp;pd_rd_w=dxRZL&amp;content-id=amzn1.sym.7446a9d1-25fe-4460-b135-a60336bad2c9&amp;pf_rd_p=7446a9d1-25fe-4460-b135-a60336bad2c9&amp;pf_rd_r=X6ZZPQ5R3S6K0V8JNHAX&amp;pd_rd_wg=ms3xd&amp;pd_rd_r=4b1e4abc-0f38-4f5d-907e-e7c631ab4d14&amp;sp_csd=d2lkZ2V0TmFtZT1zcF9kZXRhaWw&amp;th=1</v>
      </c>
      <c r="AA1142" s="213" t="str">
        <f>IFERROR(__xludf.DUMMYFUNCTION("""COMPUTED_VALUE"""),"ESP-206 KIT DE MOTOR DE COMBUSTIÓN INTERNA V8 DE MATERIAL SINTÉTICO, ARMABLE Y DESARMABLE - CET")</f>
        <v>ESP-206 KIT DE MOTOR DE COMBUSTIÓN INTERNA V8 DE MATERIAL SINTÉTICO, ARMABLE Y DESARMABLE - CET</v>
      </c>
      <c r="AB1142" s="213"/>
      <c r="AC1142" s="213"/>
      <c r="AD1142" s="213"/>
      <c r="AE1142" s="213"/>
      <c r="AF1142" s="213"/>
      <c r="AG1142" s="213"/>
      <c r="AH1142" s="213" t="str">
        <f>IFERROR(__xludf.DUMMYFUNCTION("""COMPUTED_VALUE"""),"IMPORTADO")</f>
        <v>IMPORTADO</v>
      </c>
      <c r="AI1142" s="213"/>
      <c r="AJ1142" s="213"/>
      <c r="AK1142" s="213"/>
      <c r="AL1142" s="213"/>
      <c r="AM1142" s="213"/>
      <c r="AN1142" s="213"/>
      <c r="AO1142" s="213"/>
      <c r="AP1142" s="213" t="str">
        <f>IFERROR(__xludf.DUMMYFUNCTION("""COMPUTED_VALUE"""),"NALDI")</f>
        <v>NALDI</v>
      </c>
      <c r="AQ1142" s="213"/>
      <c r="AR1142" s="213"/>
      <c r="AS1142" s="213" t="str">
        <f>IFERROR(__xludf.DUMMYFUNCTION("""COMPUTED_VALUE"""),"03 pilas AA")</f>
        <v>03 pilas AA</v>
      </c>
      <c r="AT1142" s="213"/>
      <c r="AU1142" s="213"/>
      <c r="AV1142" s="213"/>
      <c r="AW1142" s="213"/>
      <c r="AX1142" s="213"/>
      <c r="AY1142" s="213"/>
      <c r="AZ1142" s="213"/>
      <c r="BA1142" s="213"/>
      <c r="BB1142" s="213"/>
      <c r="BC1142" s="213"/>
      <c r="BD1142" s="213"/>
    </row>
    <row r="1143">
      <c r="A1143" s="213">
        <f>IFERROR(__xludf.DUMMYFUNCTION("""COMPUTED_VALUE"""),2289.0)</f>
        <v>2289</v>
      </c>
      <c r="B1143" s="213" t="str">
        <f>IFERROR(__xludf.DUMMYFUNCTION("""COMPUTED_VALUE"""),"JOSE GRANDA")</f>
        <v>JOSE GRANDA</v>
      </c>
      <c r="C1143" s="213" t="str">
        <f>IFERROR(__xludf.DUMMYFUNCTION("""COMPUTED_VALUE"""),"TALLER SFT DE MECÁNICA AUTOMOTRIZ")</f>
        <v>TALLER SFT DE MECÁNICA AUTOMOTRIZ</v>
      </c>
      <c r="D1143" s="213" t="str">
        <f>IFERROR(__xludf.DUMMYFUNCTION("""COMPUTED_VALUE"""),"EQUIPOS")</f>
        <v>EQUIPOS</v>
      </c>
      <c r="E1143" s="213" t="str">
        <f>IFERROR(__xludf.DUMMYFUNCTION("""COMPUTED_VALUE"""),"ESP-206")</f>
        <v>ESP-206</v>
      </c>
      <c r="F1143" s="213" t="str">
        <f>IFERROR(__xludf.DUMMYFUNCTION("""COMPUTED_VALUE"""),"ESP-206")</f>
        <v>ESP-206</v>
      </c>
      <c r="G1143" s="213"/>
      <c r="H1143" s="213" t="str">
        <f>IFERROR(__xludf.DUMMYFUNCTION("""COMPUTED_VALUE"""),"KIT DE MOTOR DE COMBUSTIÓN INTERNA V8 DE MATERIAL SINTÉTICO, ARMABLE Y DESARMABLE")</f>
        <v>KIT DE MOTOR DE COMBUSTIÓN INTERNA V8 DE MATERIAL SINTÉTICO, ARMABLE Y DESARMABLE</v>
      </c>
      <c r="I1143" s="213" t="str">
        <f>IFERROR(__xludf.DUMMYFUNCTION("""COMPUTED_VALUE"""),"· Modelo de plástico de motor de combustión interna V8 completamente funcional.
· El bloque de cilindros esta moldeado en plástico transparente para permitir la visión de los pistones, válvulas, bujías funcionando y correa de ventilador.
· Las piezas van "&amp;"encajadas o atornilladas para poder montar y desmontar el motor.
· Tiene un pequeño motor eléctrico que se encarga del movimiento
· Funcionan con tres pilas AA
· Contiene como mínimo 270 piezas. Incluye
· Un detallado manual de montaje pasó a paso que guí"&amp;"a a lo largo de todo el proceso de montaje.
· Incluye las herramientas y accesorios necesarios para su montaje.
· Dimensiones aproximadas L 50 cm x A35 cm x H40 cm")</f>
        <v>· Modelo de plástico de motor de combustión interna V8 completamente funcional.
· El bloque de cilindros esta moldeado en plástico transparente para permitir la visión de los pistones, válvulas, bujías funcionando y correa de ventilador.
· Las piezas van encajadas o atornilladas para poder montar y desmontar el motor.
· Tiene un pequeño motor eléctrico que se encarga del movimiento
· Funcionan con tres pilas AA
· Contiene como mínimo 270 piezas. Incluye
· Un detallado manual de montaje pasó a paso que guía a lo largo de todo el proceso de montaje.
· Incluye las herramientas y accesorios necesarios para su montaje.
· Dimensiones aproximadas L 50 cm x A35 cm x H40 cm</v>
      </c>
      <c r="J1143" s="213">
        <f>IFERROR(__xludf.DUMMYFUNCTION("""COMPUTED_VALUE"""),3.0)</f>
        <v>3</v>
      </c>
      <c r="K1143" s="213" t="str">
        <f>IFERROR(__xludf.DUMMYFUNCTION("""COMPUTED_VALUE"""),"170 DÍAS CALENDARIO")</f>
        <v>170 DÍAS CALENDARIO</v>
      </c>
      <c r="L1143" s="213" t="str">
        <f>IFERROR(__xludf.DUMMYFUNCTION("""COMPUTED_VALUE"""),"")</f>
        <v/>
      </c>
      <c r="M1143" s="213">
        <f>IFERROR(__xludf.DUMMYFUNCTION("""COMPUTED_VALUE"""),1.0)</f>
        <v>1</v>
      </c>
      <c r="N1143" s="213">
        <f>IFERROR(__xludf.DUMMYFUNCTION("""COMPUTED_VALUE"""),1.0)</f>
        <v>1</v>
      </c>
      <c r="O1143" s="213">
        <f>IFERROR(__xludf.DUMMYFUNCTION("""COMPUTED_VALUE"""),1.0)</f>
        <v>1</v>
      </c>
      <c r="P1143" s="213"/>
      <c r="Q1143" s="213"/>
      <c r="R1143" s="213"/>
      <c r="S1143" s="213" t="str">
        <f>IFERROR(__xludf.DUMMYFUNCTION("""COMPUTED_VALUE"""),"SI")</f>
        <v>SI</v>
      </c>
      <c r="T1143" s="213" t="str">
        <f>IFERROR(__xludf.DUMMYFUNCTION("""COMPUTED_VALUE"""),"SI")</f>
        <v>SI</v>
      </c>
      <c r="U1143" s="213" t="str">
        <f>IFERROR(__xludf.DUMMYFUNCTION("""COMPUTED_VALUE"""),"SI")</f>
        <v>SI</v>
      </c>
      <c r="V1143" s="213" t="str">
        <f>IFERROR(__xludf.DUMMYFUNCTION("""COMPUTED_VALUE"""),"-")</f>
        <v>-</v>
      </c>
      <c r="W1143" s="213" t="str">
        <f>IFERROR(__xludf.DUMMYFUNCTION("""COMPUTED_VALUE"""),"-")</f>
        <v>-</v>
      </c>
      <c r="X1143" s="213" t="str">
        <f>IFERROR(__xludf.DUMMYFUNCTION("""COMPUTED_VALUE"""),"PlayZ")</f>
        <v>PlayZ</v>
      </c>
      <c r="Y1143" s="213" t="str">
        <f>IFERROR(__xludf.DUMMYFUNCTION("""COMPUTED_VALUE"""),"V8 Combustion Engine Model Kit		")</f>
        <v>V8 Combustion Engine Model Kit		</v>
      </c>
      <c r="Z1143" s="215" t="str">
        <f>IFERROR(__xludf.DUMMYFUNCTION("""COMPUTED_VALUE"""),"https://www.amazon.com/dp/B07QCQNKG7/ref=sspa_dk_detail_0?pd_rd_i=B07QCQNKG7&amp;pd_rd_w=dxRZL&amp;content-id=amzn1.sym.7446a9d1-25fe-4460-b135-a60336bad2c9&amp;pf_rd_p=7446a9d1-25fe-4460-b135-a60336bad2c9&amp;pf_rd_r=X6ZZPQ5R3S6K0V8JNHAX&amp;pd_rd_wg=ms3xd&amp;pd_rd_r=4b1e4abc-"&amp;"0f38-4f5d-907e-e7c631ab4d14&amp;sp_csd=d2lkZ2V0TmFtZT1zcF9kZXRhaWw&amp;th=1")</f>
        <v>https://www.amazon.com/dp/B07QCQNKG7/ref=sspa_dk_detail_0?pd_rd_i=B07QCQNKG7&amp;pd_rd_w=dxRZL&amp;content-id=amzn1.sym.7446a9d1-25fe-4460-b135-a60336bad2c9&amp;pf_rd_p=7446a9d1-25fe-4460-b135-a60336bad2c9&amp;pf_rd_r=X6ZZPQ5R3S6K0V8JNHAX&amp;pd_rd_wg=ms3xd&amp;pd_rd_r=4b1e4abc-0f38-4f5d-907e-e7c631ab4d14&amp;sp_csd=d2lkZ2V0TmFtZT1zcF9kZXRhaWw&amp;th=1</v>
      </c>
      <c r="AA1143" s="213" t="str">
        <f>IFERROR(__xludf.DUMMYFUNCTION("""COMPUTED_VALUE"""),"ESP-206 KIT DE MOTOR DE COMBUSTIÓN INTERNA V8 DE MATERIAL SINTÉTICO, ARMABLE Y DESARMABLE - CET")</f>
        <v>ESP-206 KIT DE MOTOR DE COMBUSTIÓN INTERNA V8 DE MATERIAL SINTÉTICO, ARMABLE Y DESARMABLE - CET</v>
      </c>
      <c r="AB1143" s="213"/>
      <c r="AC1143" s="213"/>
      <c r="AD1143" s="213"/>
      <c r="AE1143" s="213"/>
      <c r="AF1143" s="213"/>
      <c r="AG1143" s="213"/>
      <c r="AH1143" s="213" t="str">
        <f>IFERROR(__xludf.DUMMYFUNCTION("""COMPUTED_VALUE"""),"IMPORTADO")</f>
        <v>IMPORTADO</v>
      </c>
      <c r="AI1143" s="213"/>
      <c r="AJ1143" s="213"/>
      <c r="AK1143" s="213"/>
      <c r="AL1143" s="213"/>
      <c r="AM1143" s="213"/>
      <c r="AN1143" s="213"/>
      <c r="AO1143" s="213"/>
      <c r="AP1143" s="213" t="str">
        <f>IFERROR(__xludf.DUMMYFUNCTION("""COMPUTED_VALUE"""),"NALDI")</f>
        <v>NALDI</v>
      </c>
      <c r="AQ1143" s="213"/>
      <c r="AR1143" s="213"/>
      <c r="AS1143" s="213" t="str">
        <f>IFERROR(__xludf.DUMMYFUNCTION("""COMPUTED_VALUE"""),"03 pilas AA")</f>
        <v>03 pilas AA</v>
      </c>
      <c r="AT1143" s="213"/>
      <c r="AU1143" s="213"/>
      <c r="AV1143" s="213"/>
      <c r="AW1143" s="213"/>
      <c r="AX1143" s="213"/>
      <c r="AY1143" s="213"/>
      <c r="AZ1143" s="213"/>
      <c r="BA1143" s="213"/>
      <c r="BB1143" s="213"/>
      <c r="BC1143" s="213"/>
      <c r="BD1143" s="213"/>
    </row>
    <row r="1144">
      <c r="A1144" s="213">
        <f>IFERROR(__xludf.DUMMYFUNCTION("""COMPUTED_VALUE"""),679.0)</f>
        <v>679</v>
      </c>
      <c r="B1144" s="213" t="str">
        <f>IFERROR(__xludf.DUMMYFUNCTION("""COMPUTED_VALUE"""),"6049 RICARDO PALMA")</f>
        <v>6049 RICARDO PALMA</v>
      </c>
      <c r="C1144" s="213" t="str">
        <f>IFERROR(__xludf.DUMMYFUNCTION("""COMPUTED_VALUE"""),"TALLER SFT DE ELECTRÓNICA")</f>
        <v>TALLER SFT DE ELECTRÓNICA</v>
      </c>
      <c r="D1144" s="213" t="str">
        <f>IFERROR(__xludf.DUMMYFUNCTION("""COMPUTED_VALUE"""),"EQUIPOS")</f>
        <v>EQUIPOS</v>
      </c>
      <c r="E1144" s="213" t="str">
        <f>IFERROR(__xludf.DUMMYFUNCTION("""COMPUTED_VALUE"""),"ESP-197")</f>
        <v>ESP-197</v>
      </c>
      <c r="F1144" s="213" t="str">
        <f>IFERROR(__xludf.DUMMYFUNCTION("""COMPUTED_VALUE"""),"ESP-197")</f>
        <v>ESP-197</v>
      </c>
      <c r="G1144" s="213"/>
      <c r="H1144" s="213" t="str">
        <f>IFERROR(__xludf.DUMMYFUNCTION("""COMPUTED_VALUE"""),"KIT DE PLATAFORMA ELECTRÓNICA DE CÓDIGO ABIERTO - TARJETA DE MEGA2560")</f>
        <v>KIT DE PLATAFORMA ELECTRÓNICA DE CÓDIGO ABIERTO - TARJETA DE MEGA2560</v>
      </c>
      <c r="I1144" s="213"/>
      <c r="J1144" s="213">
        <f>IFERROR(__xludf.DUMMYFUNCTION("""COMPUTED_VALUE"""),3.0)</f>
        <v>3</v>
      </c>
      <c r="K1144" s="213" t="str">
        <f>IFERROR(__xludf.DUMMYFUNCTION("""COMPUTED_VALUE"""),"170 DÍAS CALENDARIO")</f>
        <v>170 DÍAS CALENDARIO</v>
      </c>
      <c r="L1144" s="213" t="str">
        <f>IFERROR(__xludf.DUMMYFUNCTION("""COMPUTED_VALUE"""),"")</f>
        <v/>
      </c>
      <c r="M1144" s="213">
        <f>IFERROR(__xludf.DUMMYFUNCTION("""COMPUTED_VALUE"""),1.0)</f>
        <v>1</v>
      </c>
      <c r="N1144" s="213">
        <f>IFERROR(__xludf.DUMMYFUNCTION("""COMPUTED_VALUE"""),4.0)</f>
        <v>4</v>
      </c>
      <c r="O1144" s="213">
        <f>IFERROR(__xludf.DUMMYFUNCTION("""COMPUTED_VALUE"""),4.0)</f>
        <v>4</v>
      </c>
      <c r="P1144" s="213"/>
      <c r="Q1144" s="213"/>
      <c r="R1144" s="213"/>
      <c r="S1144" s="213" t="str">
        <f>IFERROR(__xludf.DUMMYFUNCTION("""COMPUTED_VALUE"""),"SI")</f>
        <v>SI</v>
      </c>
      <c r="T1144" s="213" t="str">
        <f>IFERROR(__xludf.DUMMYFUNCTION("""COMPUTED_VALUE"""),"CONSULTA FINAL")</f>
        <v>CONSULTA FINAL</v>
      </c>
      <c r="U1144" s="213" t="str">
        <f>IFERROR(__xludf.DUMMYFUNCTION("""COMPUTED_VALUE"""),"NO")</f>
        <v>NO</v>
      </c>
      <c r="V1144" s="213" t="str">
        <f>IFERROR(__xludf.DUMMYFUNCTION("""COMPUTED_VALUE"""),"NO")</f>
        <v>NO</v>
      </c>
      <c r="W1144" s="213" t="str">
        <f>IFERROR(__xludf.DUMMYFUNCTION("""COMPUTED_VALUE"""),"-")</f>
        <v>-</v>
      </c>
      <c r="X1144" s="213" t="str">
        <f>IFERROR(__xludf.DUMMYFUNCTION("""COMPUTED_VALUE"""),"Maxqi")</f>
        <v>Maxqi</v>
      </c>
      <c r="Y1144" s="213"/>
      <c r="Z1144" s="215" t="str">
        <f>IFERROR(__xludf.DUMMYFUNCTION("""COMPUTED_VALUE"""),"https://drive.google.com/file/d/1v1AAQsVeQrygASBK_3QSihfknX9G56Us/view")</f>
        <v>https://drive.google.com/file/d/1v1AAQsVeQrygASBK_3QSihfknX9G56Us/view</v>
      </c>
      <c r="AA1144" s="213" t="str">
        <f>IFERROR(__xludf.DUMMYFUNCTION("""COMPUTED_VALUE"""),"ESP-197 KIT DE PLATAFORMA ELECTRÓNICA DE CÓDIGO ABIERTO - TARJETA DE MEGA2560 - CET")</f>
        <v>ESP-197 KIT DE PLATAFORMA ELECTRÓNICA DE CÓDIGO ABIERTO - TARJETA DE MEGA2560 - CET</v>
      </c>
      <c r="AB1144" s="215" t="str">
        <f>IFERROR(__xludf.DUMMYFUNCTION("""COMPUTED_VALUE"""),"https://drive.google.com/file/d/1v1AAQsVeQrygASBK_3QSihfknX9G56Us/view")</f>
        <v>https://drive.google.com/file/d/1v1AAQsVeQrygASBK_3QSihfknX9G56Us/view</v>
      </c>
      <c r="AC1144" s="213"/>
      <c r="AD1144" s="213"/>
      <c r="AE1144" s="213"/>
      <c r="AF1144" s="213"/>
      <c r="AG1144" s="213"/>
      <c r="AH1144" s="213"/>
      <c r="AI1144" s="213"/>
      <c r="AJ1144" s="213"/>
      <c r="AK1144" s="213"/>
      <c r="AL1144" s="213"/>
      <c r="AM1144" s="213"/>
      <c r="AN1144" s="213"/>
      <c r="AO1144" s="213"/>
      <c r="AP1144" s="213" t="str">
        <f>IFERROR(__xludf.DUMMYFUNCTION("""COMPUTED_VALUE"""),"BRUNO")</f>
        <v>BRUNO</v>
      </c>
      <c r="AQ1144" s="213"/>
      <c r="AR1144" s="213"/>
      <c r="AS1144" s="213"/>
      <c r="AT1144" s="213"/>
      <c r="AU1144" s="213"/>
      <c r="AV1144" s="213"/>
      <c r="AW1144" s="213"/>
      <c r="AX1144" s="213"/>
      <c r="AY1144" s="213"/>
      <c r="AZ1144" s="213"/>
      <c r="BA1144" s="213"/>
      <c r="BB1144" s="213"/>
      <c r="BC1144" s="213"/>
      <c r="BD1144" s="213"/>
    </row>
    <row r="1145">
      <c r="A1145" s="213">
        <f>IFERROR(__xludf.DUMMYFUNCTION("""COMPUTED_VALUE"""),1109.0)</f>
        <v>1109</v>
      </c>
      <c r="B1145" s="213" t="str">
        <f>IFERROR(__xludf.DUMMYFUNCTION("""COMPUTED_VALUE"""),"FRANCISCO IRAZOLA")</f>
        <v>FRANCISCO IRAZOLA</v>
      </c>
      <c r="C1145" s="213" t="str">
        <f>IFERROR(__xludf.DUMMYFUNCTION("""COMPUTED_VALUE"""),"TALLER SFT DE INDUSTRIA ALIMENTARIA")</f>
        <v>TALLER SFT DE INDUSTRIA ALIMENTARIA</v>
      </c>
      <c r="D1145" s="213" t="str">
        <f>IFERROR(__xludf.DUMMYFUNCTION("""COMPUTED_VALUE"""),"HERRAMIENTAS")</f>
        <v>HERRAMIENTAS</v>
      </c>
      <c r="E1145" s="213" t="str">
        <f>IFERROR(__xludf.DUMMYFUNCTION("""COMPUTED_VALUE"""),"MAT-136")</f>
        <v>MAT-136</v>
      </c>
      <c r="F1145" s="213" t="str">
        <f>IFERROR(__xludf.DUMMYFUNCTION("""COMPUTED_VALUE"""),"MAT-136")</f>
        <v>MAT-136</v>
      </c>
      <c r="G1145" s="213"/>
      <c r="H1145" s="213" t="str">
        <f>IFERROR(__xludf.DUMMYFUNCTION("""COMPUTED_VALUE"""),"COLADERAS")</f>
        <v>COLADERAS</v>
      </c>
      <c r="I1145" s="213" t="str">
        <f>IFERROR(__xludf.DUMMYFUNCTION("""COMPUTED_VALUE"""),"· Tamiz de acero inoxidable 202.
· Cuenta con una malla de alambre refinada.
· Tiene 2 ganchos colgantes.
· La malla no permite que pasen grumos.
· Medidas mínimas: Diámetro: 14cm, Mango: 20cm.")</f>
        <v>· Tamiz de acero inoxidable 202.
· Cuenta con una malla de alambre refinada.
· Tiene 2 ganchos colgantes.
· La malla no permite que pasen grumos.
· Medidas mínimas: Diámetro: 14cm, Mango: 20cm.</v>
      </c>
      <c r="J1145" s="213">
        <f>IFERROR(__xludf.DUMMYFUNCTION("""COMPUTED_VALUE"""),3.0)</f>
        <v>3</v>
      </c>
      <c r="K1145" s="213" t="str">
        <f>IFERROR(__xludf.DUMMYFUNCTION("""COMPUTED_VALUE"""),"90 DÍAS CALENDARIO")</f>
        <v>90 DÍAS CALENDARIO</v>
      </c>
      <c r="L1145" s="213" t="str">
        <f>IFERROR(__xludf.DUMMYFUNCTION("""COMPUTED_VALUE"""),"")</f>
        <v/>
      </c>
      <c r="M1145" s="213">
        <f>IFERROR(__xludf.DUMMYFUNCTION("""COMPUTED_VALUE"""),1.0)</f>
        <v>1</v>
      </c>
      <c r="N1145" s="213">
        <f>IFERROR(__xludf.DUMMYFUNCTION("""COMPUTED_VALUE"""),4.0)</f>
        <v>4</v>
      </c>
      <c r="O1145" s="213">
        <f>IFERROR(__xludf.DUMMYFUNCTION("""COMPUTED_VALUE"""),4.0)</f>
        <v>4</v>
      </c>
      <c r="P1145" s="213"/>
      <c r="Q1145" s="213"/>
      <c r="R1145" s="213" t="str">
        <f>IFERROR(__xludf.DUMMYFUNCTION("""COMPUTED_VALUE"""),"SI")</f>
        <v>SI</v>
      </c>
      <c r="S1145" s="213"/>
      <c r="T1145" s="213" t="str">
        <f>IFERROR(__xludf.DUMMYFUNCTION("""COMPUTED_VALUE"""),"SI")</f>
        <v>SI</v>
      </c>
      <c r="U1145" s="213" t="str">
        <f>IFERROR(__xludf.DUMMYFUNCTION("""COMPUTED_VALUE"""),"SI")</f>
        <v>SI</v>
      </c>
      <c r="V1145" s="213" t="str">
        <f>IFERROR(__xludf.DUMMYFUNCTION("""COMPUTED_VALUE"""),"-")</f>
        <v>-</v>
      </c>
      <c r="W1145" s="213" t="str">
        <f>IFERROR(__xludf.DUMMYFUNCTION("""COMPUTED_VALUE"""),"-")</f>
        <v>-</v>
      </c>
      <c r="X1145" s="213" t="str">
        <f>IFERROR(__xludf.DUMMYFUNCTION("""COMPUTED_VALUE"""),"CHEF CRAFT")</f>
        <v>CHEF CRAFT</v>
      </c>
      <c r="Y1145" s="213" t="str">
        <f>IFERROR(__xludf.DUMMYFUNCTION("""COMPUTED_VALUE"""),"CHEF CRAFT")</f>
        <v>CHEF CRAFT</v>
      </c>
      <c r="Z1145"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A1145" s="213" t="str">
        <f>IFERROR(__xludf.DUMMYFUNCTION("""COMPUTED_VALUE"""),"MAT-136 COLADERAS - CET")</f>
        <v>MAT-136 COLADERAS - CET</v>
      </c>
      <c r="AB1145" s="215" t="str">
        <f>IFERROR(__xludf.DUMMYFUNCTION("""COMPUTED_VALUE"""),"https://drive.google.com/file/d/1n9cRtyq7oaUD4UtjAW60Zy0yvY8bIKfJ/view?usp=sharing")</f>
        <v>https://drive.google.com/file/d/1n9cRtyq7oaUD4UtjAW60Zy0yvY8bIKfJ/view?usp=sharing</v>
      </c>
      <c r="AC1145"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D1145" s="213"/>
      <c r="AE1145" s="213"/>
      <c r="AF1145" s="213"/>
      <c r="AG1145" s="213"/>
      <c r="AH1145" s="213" t="str">
        <f>IFERROR(__xludf.DUMMYFUNCTION("""COMPUTED_VALUE"""),"IMPORTADO")</f>
        <v>IMPORTADO</v>
      </c>
      <c r="AI1145" s="213"/>
      <c r="AJ1145" s="213"/>
      <c r="AK1145" s="213"/>
      <c r="AL1145" s="213"/>
      <c r="AM1145" s="213"/>
      <c r="AN1145" s="213"/>
      <c r="AO1145" s="213"/>
      <c r="AP1145" s="213" t="str">
        <f>IFERROR(__xludf.DUMMYFUNCTION("""COMPUTED_VALUE"""),"LUIS")</f>
        <v>LUIS</v>
      </c>
      <c r="AQ1145" s="213"/>
      <c r="AR1145" s="213"/>
      <c r="AS1145" s="213"/>
      <c r="AT1145" s="213"/>
      <c r="AU1145" s="213"/>
      <c r="AV1145" s="213"/>
      <c r="AW1145" s="213"/>
      <c r="AX1145" s="213"/>
      <c r="AY1145" s="213"/>
      <c r="AZ1145" s="213"/>
      <c r="BA1145" s="213"/>
      <c r="BB1145" s="213"/>
      <c r="BC1145" s="213"/>
      <c r="BD1145" s="213"/>
    </row>
    <row r="1146">
      <c r="A1146" s="213">
        <f>IFERROR(__xludf.DUMMYFUNCTION("""COMPUTED_VALUE"""),1132.0)</f>
        <v>1132</v>
      </c>
      <c r="B1146" s="213" t="str">
        <f>IFERROR(__xludf.DUMMYFUNCTION("""COMPUTED_VALUE"""),"FRANCISCO IRAZOLA")</f>
        <v>FRANCISCO IRAZOLA</v>
      </c>
      <c r="C1146" s="213" t="str">
        <f>IFERROR(__xludf.DUMMYFUNCTION("""COMPUTED_VALUE"""),"TALLER SFT DE INDUSTRIA ALIMENTARIA")</f>
        <v>TALLER SFT DE INDUSTRIA ALIMENTARIA</v>
      </c>
      <c r="D1146" s="213" t="str">
        <f>IFERROR(__xludf.DUMMYFUNCTION("""COMPUTED_VALUE"""),"HERRAMIENTAS")</f>
        <v>HERRAMIENTAS</v>
      </c>
      <c r="E1146" s="213" t="str">
        <f>IFERROR(__xludf.DUMMYFUNCTION("""COMPUTED_VALUE"""),"MAT-136")</f>
        <v>MAT-136</v>
      </c>
      <c r="F1146" s="213" t="str">
        <f>IFERROR(__xludf.DUMMYFUNCTION("""COMPUTED_VALUE"""),"MAT-136")</f>
        <v>MAT-136</v>
      </c>
      <c r="G1146" s="213"/>
      <c r="H1146" s="213" t="str">
        <f>IFERROR(__xludf.DUMMYFUNCTION("""COMPUTED_VALUE"""),"COLADERAS")</f>
        <v>COLADERAS</v>
      </c>
      <c r="I1146" s="213" t="str">
        <f>IFERROR(__xludf.DUMMYFUNCTION("""COMPUTED_VALUE"""),"· Tamiz de acero inoxidable 202.
· Cuenta con una malla de alambre refinada.
· Tiene 2 ganchos colgantes.
· La malla no permite que pasen grumos.
· Medidas mínimas: Diámetro: 14cm, Mango: 20cm.")</f>
        <v>· Tamiz de acero inoxidable 202.
· Cuenta con una malla de alambre refinada.
· Tiene 2 ganchos colgantes.
· La malla no permite que pasen grumos.
· Medidas mínimas: Diámetro: 14cm, Mango: 20cm.</v>
      </c>
      <c r="J1146" s="213">
        <f>IFERROR(__xludf.DUMMYFUNCTION("""COMPUTED_VALUE"""),3.0)</f>
        <v>3</v>
      </c>
      <c r="K1146" s="213" t="str">
        <f>IFERROR(__xludf.DUMMYFUNCTION("""COMPUTED_VALUE"""),"90 DÍAS CALENDARIO")</f>
        <v>90 DÍAS CALENDARIO</v>
      </c>
      <c r="L1146" s="213" t="str">
        <f>IFERROR(__xludf.DUMMYFUNCTION("""COMPUTED_VALUE"""),"")</f>
        <v/>
      </c>
      <c r="M1146" s="213">
        <f>IFERROR(__xludf.DUMMYFUNCTION("""COMPUTED_VALUE"""),1.0)</f>
        <v>1</v>
      </c>
      <c r="N1146" s="213">
        <f>IFERROR(__xludf.DUMMYFUNCTION("""COMPUTED_VALUE"""),2.0)</f>
        <v>2</v>
      </c>
      <c r="O1146" s="213">
        <f>IFERROR(__xludf.DUMMYFUNCTION("""COMPUTED_VALUE"""),2.0)</f>
        <v>2</v>
      </c>
      <c r="P1146" s="213"/>
      <c r="Q1146" s="213"/>
      <c r="R1146" s="213" t="str">
        <f>IFERROR(__xludf.DUMMYFUNCTION("""COMPUTED_VALUE"""),"SI")</f>
        <v>SI</v>
      </c>
      <c r="S1146" s="213"/>
      <c r="T1146" s="213" t="str">
        <f>IFERROR(__xludf.DUMMYFUNCTION("""COMPUTED_VALUE"""),"SI")</f>
        <v>SI</v>
      </c>
      <c r="U1146" s="213" t="str">
        <f>IFERROR(__xludf.DUMMYFUNCTION("""COMPUTED_VALUE"""),"SI")</f>
        <v>SI</v>
      </c>
      <c r="V1146" s="213" t="str">
        <f>IFERROR(__xludf.DUMMYFUNCTION("""COMPUTED_VALUE"""),"-")</f>
        <v>-</v>
      </c>
      <c r="W1146" s="213" t="str">
        <f>IFERROR(__xludf.DUMMYFUNCTION("""COMPUTED_VALUE"""),"-")</f>
        <v>-</v>
      </c>
      <c r="X1146" s="213" t="str">
        <f>IFERROR(__xludf.DUMMYFUNCTION("""COMPUTED_VALUE"""),"CHEF CRAFT")</f>
        <v>CHEF CRAFT</v>
      </c>
      <c r="Y1146" s="213" t="str">
        <f>IFERROR(__xludf.DUMMYFUNCTION("""COMPUTED_VALUE"""),"CHEF CRAFT")</f>
        <v>CHEF CRAFT</v>
      </c>
      <c r="Z1146"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A1146" s="213" t="str">
        <f>IFERROR(__xludf.DUMMYFUNCTION("""COMPUTED_VALUE"""),"MAT-136 COLADERAS - CET")</f>
        <v>MAT-136 COLADERAS - CET</v>
      </c>
      <c r="AB1146" s="215" t="str">
        <f>IFERROR(__xludf.DUMMYFUNCTION("""COMPUTED_VALUE"""),"https://drive.google.com/file/d/1n9cRtyq7oaUD4UtjAW60Zy0yvY8bIKfJ/view?usp=sharing")</f>
        <v>https://drive.google.com/file/d/1n9cRtyq7oaUD4UtjAW60Zy0yvY8bIKfJ/view?usp=sharing</v>
      </c>
      <c r="AC1146"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D1146" s="213"/>
      <c r="AE1146" s="213"/>
      <c r="AF1146" s="213"/>
      <c r="AG1146" s="213"/>
      <c r="AH1146" s="213" t="str">
        <f>IFERROR(__xludf.DUMMYFUNCTION("""COMPUTED_VALUE"""),"IMPORTADO")</f>
        <v>IMPORTADO</v>
      </c>
      <c r="AI1146" s="213"/>
      <c r="AJ1146" s="213"/>
      <c r="AK1146" s="213"/>
      <c r="AL1146" s="213"/>
      <c r="AM1146" s="213"/>
      <c r="AN1146" s="213"/>
      <c r="AO1146" s="213"/>
      <c r="AP1146" s="213" t="str">
        <f>IFERROR(__xludf.DUMMYFUNCTION("""COMPUTED_VALUE"""),"LUIS")</f>
        <v>LUIS</v>
      </c>
      <c r="AQ1146" s="213"/>
      <c r="AR1146" s="213"/>
      <c r="AS1146" s="213"/>
      <c r="AT1146" s="213"/>
      <c r="AU1146" s="213"/>
      <c r="AV1146" s="213"/>
      <c r="AW1146" s="213"/>
      <c r="AX1146" s="213"/>
      <c r="AY1146" s="213"/>
      <c r="AZ1146" s="213"/>
      <c r="BA1146" s="213"/>
      <c r="BB1146" s="213"/>
      <c r="BC1146" s="213"/>
      <c r="BD1146" s="213"/>
    </row>
    <row r="1147">
      <c r="A1147" s="213">
        <f>IFERROR(__xludf.DUMMYFUNCTION("""COMPUTED_VALUE"""),1381.0)</f>
        <v>1381</v>
      </c>
      <c r="B1147" s="213" t="str">
        <f>IFERROR(__xludf.DUMMYFUNCTION("""COMPUTED_VALUE"""),"GUILLERMO E. BILLINGHURST ")</f>
        <v>GUILLERMO E. BILLINGHURST </v>
      </c>
      <c r="C1147" s="213" t="str">
        <f>IFERROR(__xludf.DUMMYFUNCTION("""COMPUTED_VALUE"""),"TALLER SFT DE INDUSTRIA ALIMENTARIA")</f>
        <v>TALLER SFT DE INDUSTRIA ALIMENTARIA</v>
      </c>
      <c r="D1147" s="213" t="str">
        <f>IFERROR(__xludf.DUMMYFUNCTION("""COMPUTED_VALUE"""),"HERRAMIENTAS")</f>
        <v>HERRAMIENTAS</v>
      </c>
      <c r="E1147" s="213" t="str">
        <f>IFERROR(__xludf.DUMMYFUNCTION("""COMPUTED_VALUE"""),"MAT-136")</f>
        <v>MAT-136</v>
      </c>
      <c r="F1147" s="213" t="str">
        <f>IFERROR(__xludf.DUMMYFUNCTION("""COMPUTED_VALUE"""),"MAT-136")</f>
        <v>MAT-136</v>
      </c>
      <c r="G1147" s="213"/>
      <c r="H1147" s="213" t="str">
        <f>IFERROR(__xludf.DUMMYFUNCTION("""COMPUTED_VALUE"""),"COLADERAS")</f>
        <v>COLADERAS</v>
      </c>
      <c r="I1147" s="213" t="str">
        <f>IFERROR(__xludf.DUMMYFUNCTION("""COMPUTED_VALUE"""),"· Tamiz de acero inoxidable 202.
· Cuenta con una malla de alambre refinada.
· Tiene 2 ganchos colgantes.
· La malla no permite que pasen grumos.
· Medidas mínimas: Diámetro: 14cm, Mango: 20cm.")</f>
        <v>· Tamiz de acero inoxidable 202.
· Cuenta con una malla de alambre refinada.
· Tiene 2 ganchos colgantes.
· La malla no permite que pasen grumos.
· Medidas mínimas: Diámetro: 14cm, Mango: 20cm.</v>
      </c>
      <c r="J1147" s="213">
        <f>IFERROR(__xludf.DUMMYFUNCTION("""COMPUTED_VALUE"""),3.0)</f>
        <v>3</v>
      </c>
      <c r="K1147" s="213" t="str">
        <f>IFERROR(__xludf.DUMMYFUNCTION("""COMPUTED_VALUE"""),"90 DÍAS CALENDARIO")</f>
        <v>90 DÍAS CALENDARIO</v>
      </c>
      <c r="L1147" s="213" t="str">
        <f>IFERROR(__xludf.DUMMYFUNCTION("""COMPUTED_VALUE"""),"")</f>
        <v/>
      </c>
      <c r="M1147" s="213">
        <f>IFERROR(__xludf.DUMMYFUNCTION("""COMPUTED_VALUE"""),1.0)</f>
        <v>1</v>
      </c>
      <c r="N1147" s="213">
        <f>IFERROR(__xludf.DUMMYFUNCTION("""COMPUTED_VALUE"""),4.0)</f>
        <v>4</v>
      </c>
      <c r="O1147" s="213">
        <f>IFERROR(__xludf.DUMMYFUNCTION("""COMPUTED_VALUE"""),4.0)</f>
        <v>4</v>
      </c>
      <c r="P1147" s="213"/>
      <c r="Q1147" s="213"/>
      <c r="R1147" s="213" t="str">
        <f>IFERROR(__xludf.DUMMYFUNCTION("""COMPUTED_VALUE"""),"SI")</f>
        <v>SI</v>
      </c>
      <c r="S1147" s="213"/>
      <c r="T1147" s="213" t="str">
        <f>IFERROR(__xludf.DUMMYFUNCTION("""COMPUTED_VALUE"""),"SI")</f>
        <v>SI</v>
      </c>
      <c r="U1147" s="213" t="str">
        <f>IFERROR(__xludf.DUMMYFUNCTION("""COMPUTED_VALUE"""),"SI")</f>
        <v>SI</v>
      </c>
      <c r="V1147" s="213" t="str">
        <f>IFERROR(__xludf.DUMMYFUNCTION("""COMPUTED_VALUE"""),"-")</f>
        <v>-</v>
      </c>
      <c r="W1147" s="213" t="str">
        <f>IFERROR(__xludf.DUMMYFUNCTION("""COMPUTED_VALUE"""),"-")</f>
        <v>-</v>
      </c>
      <c r="X1147" s="213" t="str">
        <f>IFERROR(__xludf.DUMMYFUNCTION("""COMPUTED_VALUE"""),"CHEF CRAFT")</f>
        <v>CHEF CRAFT</v>
      </c>
      <c r="Y1147" s="213" t="str">
        <f>IFERROR(__xludf.DUMMYFUNCTION("""COMPUTED_VALUE"""),"CHEF CRAFT")</f>
        <v>CHEF CRAFT</v>
      </c>
      <c r="Z1147"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A1147" s="213" t="str">
        <f>IFERROR(__xludf.DUMMYFUNCTION("""COMPUTED_VALUE"""),"MAT-136 COLADERAS - CET")</f>
        <v>MAT-136 COLADERAS - CET</v>
      </c>
      <c r="AB1147" s="215" t="str">
        <f>IFERROR(__xludf.DUMMYFUNCTION("""COMPUTED_VALUE"""),"https://drive.google.com/file/d/1n9cRtyq7oaUD4UtjAW60Zy0yvY8bIKfJ/view?usp=sharing")</f>
        <v>https://drive.google.com/file/d/1n9cRtyq7oaUD4UtjAW60Zy0yvY8bIKfJ/view?usp=sharing</v>
      </c>
      <c r="AC1147"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D1147" s="213"/>
      <c r="AE1147" s="213"/>
      <c r="AF1147" s="213"/>
      <c r="AG1147" s="213"/>
      <c r="AH1147" s="213" t="str">
        <f>IFERROR(__xludf.DUMMYFUNCTION("""COMPUTED_VALUE"""),"IMPORTADO")</f>
        <v>IMPORTADO</v>
      </c>
      <c r="AI1147" s="213"/>
      <c r="AJ1147" s="213"/>
      <c r="AK1147" s="213"/>
      <c r="AL1147" s="213"/>
      <c r="AM1147" s="213"/>
      <c r="AN1147" s="213"/>
      <c r="AO1147" s="213"/>
      <c r="AP1147" s="213" t="str">
        <f>IFERROR(__xludf.DUMMYFUNCTION("""COMPUTED_VALUE"""),"LUIS")</f>
        <v>LUIS</v>
      </c>
      <c r="AQ1147" s="213"/>
      <c r="AR1147" s="213"/>
      <c r="AS1147" s="213"/>
      <c r="AT1147" s="213"/>
      <c r="AU1147" s="213"/>
      <c r="AV1147" s="213"/>
      <c r="AW1147" s="213"/>
      <c r="AX1147" s="213"/>
      <c r="AY1147" s="213"/>
      <c r="AZ1147" s="213"/>
      <c r="BA1147" s="213"/>
      <c r="BB1147" s="213"/>
      <c r="BC1147" s="213"/>
      <c r="BD1147" s="213"/>
    </row>
    <row r="1148">
      <c r="A1148" s="213">
        <f>IFERROR(__xludf.DUMMYFUNCTION("""COMPUTED_VALUE"""),321.0)</f>
        <v>321</v>
      </c>
      <c r="B1148" s="213" t="str">
        <f>IFERROR(__xludf.DUMMYFUNCTION("""COMPUTED_VALUE"""),"2026 SIMON BOLIVAR")</f>
        <v>2026 SIMON BOLIVAR</v>
      </c>
      <c r="C1148" s="213" t="str">
        <f>IFERROR(__xludf.DUMMYFUNCTION("""COMPUTED_VALUE"""),"TALLER SFT DE COMPUTACIÓN E INFORMÁTICA")</f>
        <v>TALLER SFT DE COMPUTACIÓN E INFORMÁTICA</v>
      </c>
      <c r="D1148" s="213" t="str">
        <f>IFERROR(__xludf.DUMMYFUNCTION("""COMPUTED_VALUE"""),"EQUIPOS")</f>
        <v>EQUIPOS</v>
      </c>
      <c r="E1148" s="213" t="str">
        <f>IFERROR(__xludf.DUMMYFUNCTION("""COMPUTED_VALUE"""),"ESP-207")</f>
        <v>ESP-207</v>
      </c>
      <c r="F1148" s="213" t="str">
        <f>IFERROR(__xludf.DUMMYFUNCTION("""COMPUTED_VALUE"""),"ESP-207")</f>
        <v>ESP-207</v>
      </c>
      <c r="G1148" s="213"/>
      <c r="H1148" s="213" t="str">
        <f>IFERROR(__xludf.DUMMYFUNCTION("""COMPUTED_VALUE"""),"KIT DE ROBÓTICA PARA PLATAFORMA ELECTRÓNICA DE CÓDIGO ABIERTO")</f>
        <v>KIT DE ROBÓTICA PARA PLATAFORMA ELECTRÓNICA DE CÓDIGO ABIERTO</v>
      </c>
      <c r="I1148" s="213" t="str">
        <f>IFERROR(__xludf.DUMMYFUNCTION("""COMPUTED_VALUE"""),"Kit conformado por: Arduino UNO  R3  /  ·   SENSORES: 3 de cada uno, sensor de temperatura, humedad, de luz, de gas, presión atmosférica, distancia, líquido, corriente, aceleración, inclinación desplazamiento, fuerza, torsión, movimiento, pH, ultrasonido,"&amp;" contacto, obstáculos, velocidad, huella digital etc.  /  · ACTUADORES: 3 de cada uno, de electrónicos, hidráulicos, neumáticos, eléctricos , motores, bombas, / Bluetooth HC-06 (2 unidades)  /  Bluetooth HC-05 (2 unidades)  /  LCD, de 16×2 o 16×4 (2 unida"&amp;"des)  /  1 Mando a distancia de Infrarrojos.  /  1 teclado matricial 4×4  /  1 Modulo Micro SD  /  1 Cámara.  /  1 Micrófonos.  /  1 Pantalla táctil.  /  2 Displays numéricos  /  2 Zumbadores  /   Variedad de foto receptores.  / Puente h  /  Variedad de R"&amp;"esistencias.  /  2 Potenciómetros  /  1 Módulo de alimentación.  /  2 motor paso a paso.  /  2 servomotores  /  2 motores de corriente continua.  /  1 drive de motor paso a paso.  /  1 jostein  /  1 Protoboard  /  Cables macho, Cables hembra  /  2 relés
C"&amp;"ircuitos integrados  /  Batería de 9 voltios recargable.  /  1 cable usb  /  1 Shield  /  Pulsador  /  RTC DS3231
/  2 Enchufes macho y 2 Enchufes hembra  /  1 Cable de red eléctrica  /  1 bomba de agua.  /  1 caja para guardar los componentes electrónico"&amp;"s.  /  3 interruptores.  /  4 pulsadores  /  4 Cautil tipo pistola con sus soportes cada uno  /  4 Desarmador de estrella y plano  /  4 multímetro digital")</f>
        <v>Kit conformado por: Arduino UNO  R3  /  ·   SENSORES: 3 de cada uno, sensor de temperatura, humedad, de luz, de gas, presión atmosférica, distancia, líquido, corriente, aceleración, inclinación desplazamiento, fuerza, torsión, movimiento, pH, ultrasonido, contacto, obstáculos, velocidad, huella digital etc.  /  · ACTUADORES: 3 de cada uno, de electrónicos, hidráulicos, neumáticos, eléctricos , motores, bombas, / Bluetooth HC-06 (2 unidades)  /  Bluetooth HC-05 (2 unidades)  /  LCD, de 16×2 o 16×4 (2 unidades)  /  1 Mando a distancia de Infrarrojos.  /  1 teclado matricial 4×4  /  1 Modulo Micro SD  /  1 Cámara.  /  1 Micrófonos.  /  1 Pantalla táctil.  /  2 Displays numéricos  /  2 Zumbadores  /   Variedad de foto receptores.  / Puente h  /  Variedad de Resistencias.  /  2 Potenciómetros  /  1 Módulo de alimentación.  /  2 motor paso a paso.  /  2 servomotores  /  2 motores de corriente continua.  /  1 drive de motor paso a paso.  /  1 jostein  /  1 Protoboard  /  Cables macho, Cables hembra  /  2 relés
Circuitos integrados  /  Batería de 9 voltios recargable.  /  1 cable usb  /  1 Shield  /  Pulsador  /  RTC DS3231
/  2 Enchufes macho y 2 Enchufes hembra  /  1 Cable de red eléctrica  /  1 bomba de agua.  /  1 caja para guardar los componentes electrónicos.  /  3 interruptores.  /  4 pulsadores  /  4 Cautil tipo pistola con sus soportes cada uno  /  4 Desarmador de estrella y plano  /  4 multímetro digital</v>
      </c>
      <c r="J1148" s="213">
        <f>IFERROR(__xludf.DUMMYFUNCTION("""COMPUTED_VALUE"""),3.0)</f>
        <v>3</v>
      </c>
      <c r="K1148" s="213" t="str">
        <f>IFERROR(__xludf.DUMMYFUNCTION("""COMPUTED_VALUE"""),"170 DÍAS CALENDARIO")</f>
        <v>170 DÍAS CALENDARIO</v>
      </c>
      <c r="L1148" s="213" t="str">
        <f>IFERROR(__xludf.DUMMYFUNCTION("""COMPUTED_VALUE"""),"")</f>
        <v/>
      </c>
      <c r="M1148" s="213">
        <f>IFERROR(__xludf.DUMMYFUNCTION("""COMPUTED_VALUE"""),1.0)</f>
        <v>1</v>
      </c>
      <c r="N1148" s="213">
        <f>IFERROR(__xludf.DUMMYFUNCTION("""COMPUTED_VALUE"""),4.0)</f>
        <v>4</v>
      </c>
      <c r="O1148" s="213">
        <f>IFERROR(__xludf.DUMMYFUNCTION("""COMPUTED_VALUE"""),4.0)</f>
        <v>4</v>
      </c>
      <c r="P1148" s="213"/>
      <c r="Q1148" s="213"/>
      <c r="R1148" s="213"/>
      <c r="S1148" s="213" t="str">
        <f>IFERROR(__xludf.DUMMYFUNCTION("""COMPUTED_VALUE"""),"SI")</f>
        <v>SI</v>
      </c>
      <c r="T1148" s="213" t="str">
        <f>IFERROR(__xludf.DUMMYFUNCTION("""COMPUTED_VALUE"""),"SI")</f>
        <v>SI</v>
      </c>
      <c r="U1148" s="213" t="str">
        <f>IFERROR(__xludf.DUMMYFUNCTION("""COMPUTED_VALUE"""),"SI")</f>
        <v>SI</v>
      </c>
      <c r="V1148" s="213" t="str">
        <f>IFERROR(__xludf.DUMMYFUNCTION("""COMPUTED_VALUE"""),"-")</f>
        <v>-</v>
      </c>
      <c r="W1148" s="213" t="str">
        <f>IFERROR(__xludf.DUMMYFUNCTION("""COMPUTED_VALUE"""),"-")</f>
        <v>-</v>
      </c>
      <c r="X1148" s="213" t="str">
        <f>IFERROR(__xludf.DUMMYFUNCTION("""COMPUTED_VALUE"""),"Genérico")</f>
        <v>Genérico</v>
      </c>
      <c r="Y1148" s="213"/>
      <c r="Z1148" s="215" t="str">
        <f>IFERROR(__xludf.DUMMYFUNCTION("""COMPUTED_VALUE"""),"https://drive.google.com/file/d/1hULvcmGAGtLWQHJmoHYIqoO9KfiCndmO/view")</f>
        <v>https://drive.google.com/file/d/1hULvcmGAGtLWQHJmoHYIqoO9KfiCndmO/view</v>
      </c>
      <c r="AA1148" s="213" t="str">
        <f>IFERROR(__xludf.DUMMYFUNCTION("""COMPUTED_VALUE"""),"ESP-207 KIT DE ROBÓTICA PARA PLATAFORMA ELECTRÓNICA DE CÓDIGO ABIERTO - CET")</f>
        <v>ESP-207 KIT DE ROBÓTICA PARA PLATAFORMA ELECTRÓNICA DE CÓDIGO ABIERTO - CET</v>
      </c>
      <c r="AB1148" s="213"/>
      <c r="AC1148" s="213"/>
      <c r="AD1148" s="213"/>
      <c r="AE1148" s="213"/>
      <c r="AF1148" s="213"/>
      <c r="AG1148" s="213"/>
      <c r="AH1148" s="213"/>
      <c r="AI1148" s="213"/>
      <c r="AJ1148" s="213"/>
      <c r="AK1148" s="213"/>
      <c r="AL1148" s="213"/>
      <c r="AM1148" s="213"/>
      <c r="AN1148" s="213"/>
      <c r="AO1148" s="213"/>
      <c r="AP1148" s="213" t="str">
        <f>IFERROR(__xludf.DUMMYFUNCTION("""COMPUTED_VALUE"""),"ANTONELLA")</f>
        <v>ANTONELLA</v>
      </c>
      <c r="AQ1148" s="213"/>
      <c r="AR1148" s="213"/>
      <c r="AS1148" s="217" t="str">
        <f>IFERROR(__xludf.DUMMYFUNCTION("""COMPUTED_VALUE"""),"Resistencia varias, led varios, ESP8266")</f>
        <v>Resistencia varias, led varios, ESP8266</v>
      </c>
      <c r="AT1148" s="218" t="str">
        <f>IFERROR(__xludf.DUMMYFUNCTION("""COMPUTED_VALUE"""),"https://drive.google.com/file/d/1L7Hwf9qQChNj6Pr3qi1Wse247VkOKZD_/view?usp=drive_link")</f>
        <v>https://drive.google.com/file/d/1L7Hwf9qQChNj6Pr3qi1Wse247VkOKZD_/view?usp=drive_link</v>
      </c>
      <c r="AU1148" s="213"/>
      <c r="AV1148" s="213"/>
      <c r="AW1148" s="213"/>
      <c r="AX1148" s="213"/>
      <c r="AY1148" s="213"/>
      <c r="AZ1148" s="213"/>
      <c r="BA1148" s="213"/>
      <c r="BB1148" s="213"/>
      <c r="BC1148" s="213"/>
      <c r="BD1148" s="213"/>
    </row>
    <row r="1149">
      <c r="A1149" s="213">
        <f>IFERROR(__xludf.DUMMYFUNCTION("""COMPUTED_VALUE"""),807.0)</f>
        <v>807</v>
      </c>
      <c r="B1149" s="213" t="str">
        <f>IFERROR(__xludf.DUMMYFUNCTION("""COMPUTED_VALUE"""),"6049 RICARDO PALMA")</f>
        <v>6049 RICARDO PALMA</v>
      </c>
      <c r="C1149" s="213" t="str">
        <f>IFERROR(__xludf.DUMMYFUNCTION("""COMPUTED_VALUE"""),"TALLER SFT DE COMPUTACIÓN E INFORMÁTICA")</f>
        <v>TALLER SFT DE COMPUTACIÓN E INFORMÁTICA</v>
      </c>
      <c r="D1149" s="213" t="str">
        <f>IFERROR(__xludf.DUMMYFUNCTION("""COMPUTED_VALUE"""),"EQUIPOS")</f>
        <v>EQUIPOS</v>
      </c>
      <c r="E1149" s="213" t="str">
        <f>IFERROR(__xludf.DUMMYFUNCTION("""COMPUTED_VALUE"""),"ESP-207")</f>
        <v>ESP-207</v>
      </c>
      <c r="F1149" s="213" t="str">
        <f>IFERROR(__xludf.DUMMYFUNCTION("""COMPUTED_VALUE"""),"ESP-207")</f>
        <v>ESP-207</v>
      </c>
      <c r="G1149" s="213"/>
      <c r="H1149" s="213" t="str">
        <f>IFERROR(__xludf.DUMMYFUNCTION("""COMPUTED_VALUE"""),"KIT DE ROBÓTICA PARA PLATAFORMA ELECTRÓNICA DE CÓDIGO ABIERTO")</f>
        <v>KIT DE ROBÓTICA PARA PLATAFORMA ELECTRÓNICA DE CÓDIGO ABIERTO</v>
      </c>
      <c r="I1149" s="213" t="str">
        <f>IFERROR(__xludf.DUMMYFUNCTION("""COMPUTED_VALUE"""),"Kit conformado por: Arduino UNO  R3  /  ·   SENSORES: 3 de cada uno, sensor de temperatura, humedad, de luz, de gas, presión atmosférica, distancia, líquido, corriente, aceleración, inclinación desplazamiento, fuerza, torsión, movimiento, pH, ultrasonido,"&amp;" contacto, obstáculos, velocidad, huella digital etc.  /  · ACTUADORES: 3 de cada uno, de electrónicos, hidráulicos, neumáticos, eléctricos , motores, bombas, / Bluetooth HC-06 (2 unidades)  /  Bluetooth HC-05 (2 unidades)  /  LCD, de 16×2 o 16×4 (2 unida"&amp;"des)  /  1 Mando a distancia de Infrarrojos.  /  1 teclado matricial 4×4  /  1 Modulo Micro SD  /  1 Cámara.  /  1 Micrófonos.  /  1 Pantalla táctil.  /  2 Displays numéricos  /  2 Zumbadores  /   Variedad de foto receptores.  / Puente h  /  Variedad de R"&amp;"esistencias.  /  2 Potenciómetros  /  1 Módulo de alimentación.  /  2 motor paso a paso.  /  2 servomotores  /  2 motores de corriente continua.  /  1 drive de motor paso a paso.  /  1 jostein  /  1 Protoboard  /  Cables macho, Cables hembra  /  2 relés
C"&amp;"ircuitos integrados  /  Batería de 9 voltios recargable.  /  1 cable usb  /  1 Shield  /  Pulsador  /  RTC DS3231
/  2 Enchufes macho y 2 Enchufes hembra  /  1 Cable de red eléctrica  /  1 bomba de agua.  /  1 caja para guardar los componentes electrónico"&amp;"s.  /  3 interruptores.  /  4 pulsadores  /  4 Cautil tipo pistola con sus soportes cada uno  /  4 Desarmador de estrella y plano  /  4 multímetro digital")</f>
        <v>Kit conformado por: Arduino UNO  R3  /  ·   SENSORES: 3 de cada uno, sensor de temperatura, humedad, de luz, de gas, presión atmosférica, distancia, líquido, corriente, aceleración, inclinación desplazamiento, fuerza, torsión, movimiento, pH, ultrasonido, contacto, obstáculos, velocidad, huella digital etc.  /  · ACTUADORES: 3 de cada uno, de electrónicos, hidráulicos, neumáticos, eléctricos , motores, bombas, / Bluetooth HC-06 (2 unidades)  /  Bluetooth HC-05 (2 unidades)  /  LCD, de 16×2 o 16×4 (2 unidades)  /  1 Mando a distancia de Infrarrojos.  /  1 teclado matricial 4×4  /  1 Modulo Micro SD  /  1 Cámara.  /  1 Micrófonos.  /  1 Pantalla táctil.  /  2 Displays numéricos  /  2 Zumbadores  /   Variedad de foto receptores.  / Puente h  /  Variedad de Resistencias.  /  2 Potenciómetros  /  1 Módulo de alimentación.  /  2 motor paso a paso.  /  2 servomotores  /  2 motores de corriente continua.  /  1 drive de motor paso a paso.  /  1 jostein  /  1 Protoboard  /  Cables macho, Cables hembra  /  2 relés
Circuitos integrados  /  Batería de 9 voltios recargable.  /  1 cable usb  /  1 Shield  /  Pulsador  /  RTC DS3231
/  2 Enchufes macho y 2 Enchufes hembra  /  1 Cable de red eléctrica  /  1 bomba de agua.  /  1 caja para guardar los componentes electrónicos.  /  3 interruptores.  /  4 pulsadores  /  4 Cautil tipo pistola con sus soportes cada uno  /  4 Desarmador de estrella y plano  /  4 multímetro digital</v>
      </c>
      <c r="J1149" s="213">
        <f>IFERROR(__xludf.DUMMYFUNCTION("""COMPUTED_VALUE"""),3.0)</f>
        <v>3</v>
      </c>
      <c r="K1149" s="213" t="str">
        <f>IFERROR(__xludf.DUMMYFUNCTION("""COMPUTED_VALUE"""),"170 DÍAS CALENDARIO")</f>
        <v>170 DÍAS CALENDARIO</v>
      </c>
      <c r="L1149" s="213" t="str">
        <f>IFERROR(__xludf.DUMMYFUNCTION("""COMPUTED_VALUE"""),"")</f>
        <v/>
      </c>
      <c r="M1149" s="213">
        <f>IFERROR(__xludf.DUMMYFUNCTION("""COMPUTED_VALUE"""),1.0)</f>
        <v>1</v>
      </c>
      <c r="N1149" s="213">
        <f>IFERROR(__xludf.DUMMYFUNCTION("""COMPUTED_VALUE"""),4.0)</f>
        <v>4</v>
      </c>
      <c r="O1149" s="213">
        <f>IFERROR(__xludf.DUMMYFUNCTION("""COMPUTED_VALUE"""),4.0)</f>
        <v>4</v>
      </c>
      <c r="P1149" s="213"/>
      <c r="Q1149" s="213"/>
      <c r="R1149" s="213"/>
      <c r="S1149" s="213" t="str">
        <f>IFERROR(__xludf.DUMMYFUNCTION("""COMPUTED_VALUE"""),"SI")</f>
        <v>SI</v>
      </c>
      <c r="T1149" s="213" t="str">
        <f>IFERROR(__xludf.DUMMYFUNCTION("""COMPUTED_VALUE"""),"SI")</f>
        <v>SI</v>
      </c>
      <c r="U1149" s="213" t="str">
        <f>IFERROR(__xludf.DUMMYFUNCTION("""COMPUTED_VALUE"""),"SI")</f>
        <v>SI</v>
      </c>
      <c r="V1149" s="213" t="str">
        <f>IFERROR(__xludf.DUMMYFUNCTION("""COMPUTED_VALUE"""),"-")</f>
        <v>-</v>
      </c>
      <c r="W1149" s="213" t="str">
        <f>IFERROR(__xludf.DUMMYFUNCTION("""COMPUTED_VALUE"""),"-")</f>
        <v>-</v>
      </c>
      <c r="X1149" s="213" t="str">
        <f>IFERROR(__xludf.DUMMYFUNCTION("""COMPUTED_VALUE"""),"Genérico")</f>
        <v>Genérico</v>
      </c>
      <c r="Y1149" s="213"/>
      <c r="Z1149" s="215" t="str">
        <f>IFERROR(__xludf.DUMMYFUNCTION("""COMPUTED_VALUE"""),"https://drive.google.com/file/d/1hULvcmGAGtLWQHJmoHYIqoO9KfiCndmO/view")</f>
        <v>https://drive.google.com/file/d/1hULvcmGAGtLWQHJmoHYIqoO9KfiCndmO/view</v>
      </c>
      <c r="AA1149" s="213" t="str">
        <f>IFERROR(__xludf.DUMMYFUNCTION("""COMPUTED_VALUE"""),"ESP-207 KIT DE ROBÓTICA PARA PLATAFORMA ELECTRÓNICA DE CÓDIGO ABIERTO - CET")</f>
        <v>ESP-207 KIT DE ROBÓTICA PARA PLATAFORMA ELECTRÓNICA DE CÓDIGO ABIERTO - CET</v>
      </c>
      <c r="AB1149" s="213"/>
      <c r="AC1149" s="213"/>
      <c r="AD1149" s="213"/>
      <c r="AE1149" s="213"/>
      <c r="AF1149" s="213"/>
      <c r="AG1149" s="213"/>
      <c r="AH1149" s="213"/>
      <c r="AI1149" s="213"/>
      <c r="AJ1149" s="213"/>
      <c r="AK1149" s="213"/>
      <c r="AL1149" s="213"/>
      <c r="AM1149" s="213"/>
      <c r="AN1149" s="213"/>
      <c r="AO1149" s="213"/>
      <c r="AP1149" s="213" t="str">
        <f>IFERROR(__xludf.DUMMYFUNCTION("""COMPUTED_VALUE"""),"ANTONELLA")</f>
        <v>ANTONELLA</v>
      </c>
      <c r="AQ1149" s="213"/>
      <c r="AR1149" s="213"/>
      <c r="AS1149" s="217" t="str">
        <f>IFERROR(__xludf.DUMMYFUNCTION("""COMPUTED_VALUE"""),"Resistencia varias, led varios, ESP8266")</f>
        <v>Resistencia varias, led varios, ESP8266</v>
      </c>
      <c r="AT1149" s="218" t="str">
        <f>IFERROR(__xludf.DUMMYFUNCTION("""COMPUTED_VALUE"""),"https://drive.google.com/file/d/1L7Hwf9qQChNj6Pr3qi1Wse247VkOKZD_/view?usp=drive_link")</f>
        <v>https://drive.google.com/file/d/1L7Hwf9qQChNj6Pr3qi1Wse247VkOKZD_/view?usp=drive_link</v>
      </c>
      <c r="AU1149" s="213"/>
      <c r="AV1149" s="213"/>
      <c r="AW1149" s="213"/>
      <c r="AX1149" s="213"/>
      <c r="AY1149" s="213"/>
      <c r="AZ1149" s="213"/>
      <c r="BA1149" s="213"/>
      <c r="BB1149" s="213"/>
      <c r="BC1149" s="213"/>
      <c r="BD1149" s="213"/>
    </row>
    <row r="1150">
      <c r="A1150" s="213">
        <f>IFERROR(__xludf.DUMMYFUNCTION("""COMPUTED_VALUE"""),1744.0)</f>
        <v>1744</v>
      </c>
      <c r="B1150" s="213" t="str">
        <f>IFERROR(__xludf.DUMMYFUNCTION("""COMPUTED_VALUE"""),"GUILLERMO E. BILLINGHURST ")</f>
        <v>GUILLERMO E. BILLINGHURST </v>
      </c>
      <c r="C1150" s="213" t="str">
        <f>IFERROR(__xludf.DUMMYFUNCTION("""COMPUTED_VALUE"""),"TALLER SFT DE COMPUTACIÓN E INFORMÁTICA")</f>
        <v>TALLER SFT DE COMPUTACIÓN E INFORMÁTICA</v>
      </c>
      <c r="D1150" s="213" t="str">
        <f>IFERROR(__xludf.DUMMYFUNCTION("""COMPUTED_VALUE"""),"EQUIPOS")</f>
        <v>EQUIPOS</v>
      </c>
      <c r="E1150" s="213" t="str">
        <f>IFERROR(__xludf.DUMMYFUNCTION("""COMPUTED_VALUE"""),"ESP-207")</f>
        <v>ESP-207</v>
      </c>
      <c r="F1150" s="213" t="str">
        <f>IFERROR(__xludf.DUMMYFUNCTION("""COMPUTED_VALUE"""),"ESP-207")</f>
        <v>ESP-207</v>
      </c>
      <c r="G1150" s="213"/>
      <c r="H1150" s="213" t="str">
        <f>IFERROR(__xludf.DUMMYFUNCTION("""COMPUTED_VALUE"""),"KIT DE ROBÓTICA PARA PLATAFORMA ELECTRÓNICA DE CÓDIGO ABIERTO")</f>
        <v>KIT DE ROBÓTICA PARA PLATAFORMA ELECTRÓNICA DE CÓDIGO ABIERTO</v>
      </c>
      <c r="I1150" s="213" t="str">
        <f>IFERROR(__xludf.DUMMYFUNCTION("""COMPUTED_VALUE"""),"Kit conformado por: Arduino UNO  R3  /  ·   SENSORES: 3 de cada uno, sensor de temperatura, humedad, de luz, de gas, presión atmosférica, distancia, líquido, corriente, aceleración, inclinación desplazamiento, fuerza, torsión, movimiento, pH, ultrasonido,"&amp;" contacto, obstáculos, velocidad, huella digital etc.  /  · ACTUADORES: 3 de cada uno, de electrónicos, hidráulicos, neumáticos, eléctricos , motores, bombas, / Bluetooth HC-06 (2 unidades)  /  Bluetooth HC-05 (2 unidades)  /  LCD, de 16×2 o 16×4 (2 unida"&amp;"des)  /  1 Mando a distancia de Infrarrojos.  /  1 teclado matricial 4×4  /  1 Modulo Micro SD  /  1 Cámara.  /  1 Micrófonos.  /  1 Pantalla táctil.  /  2 Displays numéricos  /  2 Zumbadores  /   Variedad de foto receptores.  / Puente h  /  Variedad de R"&amp;"esistencias.  /  2 Potenciómetros  /  1 Módulo de alimentación.  /  2 motor paso a paso.  /  2 servomotores  /  2 motores de corriente continua.  /  1 drive de motor paso a paso.  /  1 jostein  /  1 Protoboard  /  Cables macho, Cables hembra  /  2 relés
C"&amp;"ircuitos integrados  /  Batería de 9 voltios recargable.  /  1 cable usb  /  1 Shield  /  Pulsador  /  RTC DS3231
/  2 Enchufes macho y 2 Enchufes hembra  /  1 Cable de red eléctrica  /  1 bomba de agua.  /  1 caja para guardar los componentes electrónico"&amp;"s.  /  3 interruptores.  /  4 pulsadores  /  4 Cautil tipo pistola con sus soportes cada uno  /  4 Desarmador de estrella y plano  /  4 multímetro digital")</f>
        <v>Kit conformado por: Arduino UNO  R3  /  ·   SENSORES: 3 de cada uno, sensor de temperatura, humedad, de luz, de gas, presión atmosférica, distancia, líquido, corriente, aceleración, inclinación desplazamiento, fuerza, torsión, movimiento, pH, ultrasonido, contacto, obstáculos, velocidad, huella digital etc.  /  · ACTUADORES: 3 de cada uno, de electrónicos, hidráulicos, neumáticos, eléctricos , motores, bombas, / Bluetooth HC-06 (2 unidades)  /  Bluetooth HC-05 (2 unidades)  /  LCD, de 16×2 o 16×4 (2 unidades)  /  1 Mando a distancia de Infrarrojos.  /  1 teclado matricial 4×4  /  1 Modulo Micro SD  /  1 Cámara.  /  1 Micrófonos.  /  1 Pantalla táctil.  /  2 Displays numéricos  /  2 Zumbadores  /   Variedad de foto receptores.  / Puente h  /  Variedad de Resistencias.  /  2 Potenciómetros  /  1 Módulo de alimentación.  /  2 motor paso a paso.  /  2 servomotores  /  2 motores de corriente continua.  /  1 drive de motor paso a paso.  /  1 jostein  /  1 Protoboard  /  Cables macho, Cables hembra  /  2 relés
Circuitos integrados  /  Batería de 9 voltios recargable.  /  1 cable usb  /  1 Shield  /  Pulsador  /  RTC DS3231
/  2 Enchufes macho y 2 Enchufes hembra  /  1 Cable de red eléctrica  /  1 bomba de agua.  /  1 caja para guardar los componentes electrónicos.  /  3 interruptores.  /  4 pulsadores  /  4 Cautil tipo pistola con sus soportes cada uno  /  4 Desarmador de estrella y plano  /  4 multímetro digital</v>
      </c>
      <c r="J1150" s="213">
        <f>IFERROR(__xludf.DUMMYFUNCTION("""COMPUTED_VALUE"""),3.0)</f>
        <v>3</v>
      </c>
      <c r="K1150" s="213" t="str">
        <f>IFERROR(__xludf.DUMMYFUNCTION("""COMPUTED_VALUE"""),"170 DÍAS CALENDARIO")</f>
        <v>170 DÍAS CALENDARIO</v>
      </c>
      <c r="L1150" s="213" t="str">
        <f>IFERROR(__xludf.DUMMYFUNCTION("""COMPUTED_VALUE"""),"")</f>
        <v/>
      </c>
      <c r="M1150" s="213">
        <f>IFERROR(__xludf.DUMMYFUNCTION("""COMPUTED_VALUE"""),1.0)</f>
        <v>1</v>
      </c>
      <c r="N1150" s="213">
        <f>IFERROR(__xludf.DUMMYFUNCTION("""COMPUTED_VALUE"""),4.0)</f>
        <v>4</v>
      </c>
      <c r="O1150" s="213">
        <f>IFERROR(__xludf.DUMMYFUNCTION("""COMPUTED_VALUE"""),4.0)</f>
        <v>4</v>
      </c>
      <c r="P1150" s="213"/>
      <c r="Q1150" s="213"/>
      <c r="R1150" s="213"/>
      <c r="S1150" s="213" t="str">
        <f>IFERROR(__xludf.DUMMYFUNCTION("""COMPUTED_VALUE"""),"SI")</f>
        <v>SI</v>
      </c>
      <c r="T1150" s="213" t="str">
        <f>IFERROR(__xludf.DUMMYFUNCTION("""COMPUTED_VALUE"""),"SI")</f>
        <v>SI</v>
      </c>
      <c r="U1150" s="213" t="str">
        <f>IFERROR(__xludf.DUMMYFUNCTION("""COMPUTED_VALUE"""),"SI")</f>
        <v>SI</v>
      </c>
      <c r="V1150" s="213" t="str">
        <f>IFERROR(__xludf.DUMMYFUNCTION("""COMPUTED_VALUE"""),"-")</f>
        <v>-</v>
      </c>
      <c r="W1150" s="213" t="str">
        <f>IFERROR(__xludf.DUMMYFUNCTION("""COMPUTED_VALUE"""),"-")</f>
        <v>-</v>
      </c>
      <c r="X1150" s="213" t="str">
        <f>IFERROR(__xludf.DUMMYFUNCTION("""COMPUTED_VALUE"""),"Genérico")</f>
        <v>Genérico</v>
      </c>
      <c r="Y1150" s="213"/>
      <c r="Z1150" s="215" t="str">
        <f>IFERROR(__xludf.DUMMYFUNCTION("""COMPUTED_VALUE"""),"https://drive.google.com/file/d/1hULvcmGAGtLWQHJmoHYIqoO9KfiCndmO/view")</f>
        <v>https://drive.google.com/file/d/1hULvcmGAGtLWQHJmoHYIqoO9KfiCndmO/view</v>
      </c>
      <c r="AA1150" s="213" t="str">
        <f>IFERROR(__xludf.DUMMYFUNCTION("""COMPUTED_VALUE"""),"ESP-207 KIT DE ROBÓTICA PARA PLATAFORMA ELECTRÓNICA DE CÓDIGO ABIERTO - CET")</f>
        <v>ESP-207 KIT DE ROBÓTICA PARA PLATAFORMA ELECTRÓNICA DE CÓDIGO ABIERTO - CET</v>
      </c>
      <c r="AB1150" s="213"/>
      <c r="AC1150" s="213"/>
      <c r="AD1150" s="213"/>
      <c r="AE1150" s="213"/>
      <c r="AF1150" s="213"/>
      <c r="AG1150" s="213"/>
      <c r="AH1150" s="213"/>
      <c r="AI1150" s="213"/>
      <c r="AJ1150" s="213"/>
      <c r="AK1150" s="213"/>
      <c r="AL1150" s="213"/>
      <c r="AM1150" s="213"/>
      <c r="AN1150" s="213"/>
      <c r="AO1150" s="213"/>
      <c r="AP1150" s="213" t="str">
        <f>IFERROR(__xludf.DUMMYFUNCTION("""COMPUTED_VALUE"""),"ANTONELLA")</f>
        <v>ANTONELLA</v>
      </c>
      <c r="AQ1150" s="213"/>
      <c r="AR1150" s="213"/>
      <c r="AS1150" s="217" t="str">
        <f>IFERROR(__xludf.DUMMYFUNCTION("""COMPUTED_VALUE"""),"Resistencia varias, led varios, ESP8266")</f>
        <v>Resistencia varias, led varios, ESP8266</v>
      </c>
      <c r="AT1150" s="218" t="str">
        <f>IFERROR(__xludf.DUMMYFUNCTION("""COMPUTED_VALUE"""),"https://drive.google.com/file/d/1L7Hwf9qQChNj6Pr3qi1Wse247VkOKZD_/view?usp=drive_link")</f>
        <v>https://drive.google.com/file/d/1L7Hwf9qQChNj6Pr3qi1Wse247VkOKZD_/view?usp=drive_link</v>
      </c>
      <c r="AU1150" s="213"/>
      <c r="AV1150" s="213"/>
      <c r="AW1150" s="213"/>
      <c r="AX1150" s="213"/>
      <c r="AY1150" s="213"/>
      <c r="AZ1150" s="213"/>
      <c r="BA1150" s="213"/>
      <c r="BB1150" s="213"/>
      <c r="BC1150" s="213"/>
      <c r="BD1150" s="213"/>
    </row>
    <row r="1151">
      <c r="A1151" s="213">
        <f>IFERROR(__xludf.DUMMYFUNCTION("""COMPUTED_VALUE"""),1995.0)</f>
        <v>1995</v>
      </c>
      <c r="B1151" s="213" t="str">
        <f>IFERROR(__xludf.DUMMYFUNCTION("""COMPUTED_VALUE"""),"JOSE GRANDA")</f>
        <v>JOSE GRANDA</v>
      </c>
      <c r="C1151" s="213" t="str">
        <f>IFERROR(__xludf.DUMMYFUNCTION("""COMPUTED_VALUE"""),"TALLER SFT DE COMPUTACIÓN E INFORMÁTICA")</f>
        <v>TALLER SFT DE COMPUTACIÓN E INFORMÁTICA</v>
      </c>
      <c r="D1151" s="213" t="str">
        <f>IFERROR(__xludf.DUMMYFUNCTION("""COMPUTED_VALUE"""),"EQUIPOS")</f>
        <v>EQUIPOS</v>
      </c>
      <c r="E1151" s="213" t="str">
        <f>IFERROR(__xludf.DUMMYFUNCTION("""COMPUTED_VALUE"""),"ESP-207")</f>
        <v>ESP-207</v>
      </c>
      <c r="F1151" s="213" t="str">
        <f>IFERROR(__xludf.DUMMYFUNCTION("""COMPUTED_VALUE"""),"ESP-207")</f>
        <v>ESP-207</v>
      </c>
      <c r="G1151" s="213"/>
      <c r="H1151" s="213" t="str">
        <f>IFERROR(__xludf.DUMMYFUNCTION("""COMPUTED_VALUE"""),"KIT DE ROBÓTICA PARA PLATAFORMA ELECTRÓNICA DE CÓDIGO ABIERTO")</f>
        <v>KIT DE ROBÓTICA PARA PLATAFORMA ELECTRÓNICA DE CÓDIGO ABIERTO</v>
      </c>
      <c r="I1151" s="213" t="str">
        <f>IFERROR(__xludf.DUMMYFUNCTION("""COMPUTED_VALUE"""),"Kit conformado por: Arduino UNO  R3  /  ·   SENSORES: 3 de cada uno, sensor de temperatura, humedad, de luz, de gas, presión atmosférica, distancia, líquido, corriente, aceleración, inclinación desplazamiento, fuerza, torsión, movimiento, pH, ultrasonido,"&amp;" contacto, obstáculos, velocidad, huella digital etc.  /  · ACTUADORES: 3 de cada uno, de electrónicos, hidráulicos, neumáticos, eléctricos , motores, bombas, / Bluetooth HC-06 (2 unidades)  /  Bluetooth HC-05 (2 unidades)  /  LCD, de 16×2 o 16×4 (2 unida"&amp;"des)  /  1 Mando a distancia de Infrarrojos.  /  1 teclado matricial 4×4  /  1 Modulo Micro SD  /  1 Cámara.  /  1 Micrófonos.  /  1 Pantalla táctil.  /  2 Displays numéricos  /  2 Zumbadores  /   Variedad de foto receptores.  / Puente h  /  Variedad de R"&amp;"esistencias.  /  2 Potenciómetros  /  1 Módulo de alimentación.  /  2 motor paso a paso.  /  2 servomotores  /  2 motores de corriente continua.  /  1 drive de motor paso a paso.  /  1 jostein  /  1 Protoboard  /  Cables macho, Cables hembra  /  2 relés
C"&amp;"ircuitos integrados  /  Batería de 9 voltios recargable.  /  1 cable usb  /  1 Shield  /  Pulsador  /  RTC DS3231
/  2 Enchufes macho y 2 Enchufes hembra  /  1 Cable de red eléctrica  /  1 bomba de agua.  /  1 caja para guardar los componentes electrónico"&amp;"s.  /  3 interruptores.  /  4 pulsadores  /  4 Cautil tipo pistola con sus soportes cada uno  /  4 Desarmador de estrella y plano  /  4 multímetro digital")</f>
        <v>Kit conformado por: Arduino UNO  R3  /  ·   SENSORES: 3 de cada uno, sensor de temperatura, humedad, de luz, de gas, presión atmosférica, distancia, líquido, corriente, aceleración, inclinación desplazamiento, fuerza, torsión, movimiento, pH, ultrasonido, contacto, obstáculos, velocidad, huella digital etc.  /  · ACTUADORES: 3 de cada uno, de electrónicos, hidráulicos, neumáticos, eléctricos , motores, bombas, / Bluetooth HC-06 (2 unidades)  /  Bluetooth HC-05 (2 unidades)  /  LCD, de 16×2 o 16×4 (2 unidades)  /  1 Mando a distancia de Infrarrojos.  /  1 teclado matricial 4×4  /  1 Modulo Micro SD  /  1 Cámara.  /  1 Micrófonos.  /  1 Pantalla táctil.  /  2 Displays numéricos  /  2 Zumbadores  /   Variedad de foto receptores.  / Puente h  /  Variedad de Resistencias.  /  2 Potenciómetros  /  1 Módulo de alimentación.  /  2 motor paso a paso.  /  2 servomotores  /  2 motores de corriente continua.  /  1 drive de motor paso a paso.  /  1 jostein  /  1 Protoboard  /  Cables macho, Cables hembra  /  2 relés
Circuitos integrados  /  Batería de 9 voltios recargable.  /  1 cable usb  /  1 Shield  /  Pulsador  /  RTC DS3231
/  2 Enchufes macho y 2 Enchufes hembra  /  1 Cable de red eléctrica  /  1 bomba de agua.  /  1 caja para guardar los componentes electrónicos.  /  3 interruptores.  /  4 pulsadores  /  4 Cautil tipo pistola con sus soportes cada uno  /  4 Desarmador de estrella y plano  /  4 multímetro digital</v>
      </c>
      <c r="J1151" s="213">
        <f>IFERROR(__xludf.DUMMYFUNCTION("""COMPUTED_VALUE"""),3.0)</f>
        <v>3</v>
      </c>
      <c r="K1151" s="213" t="str">
        <f>IFERROR(__xludf.DUMMYFUNCTION("""COMPUTED_VALUE"""),"170 DÍAS CALENDARIO")</f>
        <v>170 DÍAS CALENDARIO</v>
      </c>
      <c r="L1151" s="213" t="str">
        <f>IFERROR(__xludf.DUMMYFUNCTION("""COMPUTED_VALUE"""),"")</f>
        <v/>
      </c>
      <c r="M1151" s="213">
        <f>IFERROR(__xludf.DUMMYFUNCTION("""COMPUTED_VALUE"""),1.0)</f>
        <v>1</v>
      </c>
      <c r="N1151" s="213">
        <f>IFERROR(__xludf.DUMMYFUNCTION("""COMPUTED_VALUE"""),4.0)</f>
        <v>4</v>
      </c>
      <c r="O1151" s="213">
        <f>IFERROR(__xludf.DUMMYFUNCTION("""COMPUTED_VALUE"""),4.0)</f>
        <v>4</v>
      </c>
      <c r="P1151" s="213"/>
      <c r="Q1151" s="213"/>
      <c r="R1151" s="213"/>
      <c r="S1151" s="213" t="str">
        <f>IFERROR(__xludf.DUMMYFUNCTION("""COMPUTED_VALUE"""),"SI")</f>
        <v>SI</v>
      </c>
      <c r="T1151" s="213" t="str">
        <f>IFERROR(__xludf.DUMMYFUNCTION("""COMPUTED_VALUE"""),"SI")</f>
        <v>SI</v>
      </c>
      <c r="U1151" s="213" t="str">
        <f>IFERROR(__xludf.DUMMYFUNCTION("""COMPUTED_VALUE"""),"SI")</f>
        <v>SI</v>
      </c>
      <c r="V1151" s="213" t="str">
        <f>IFERROR(__xludf.DUMMYFUNCTION("""COMPUTED_VALUE"""),"-")</f>
        <v>-</v>
      </c>
      <c r="W1151" s="213" t="str">
        <f>IFERROR(__xludf.DUMMYFUNCTION("""COMPUTED_VALUE"""),"-")</f>
        <v>-</v>
      </c>
      <c r="X1151" s="213" t="str">
        <f>IFERROR(__xludf.DUMMYFUNCTION("""COMPUTED_VALUE"""),"Genérico")</f>
        <v>Genérico</v>
      </c>
      <c r="Y1151" s="213"/>
      <c r="Z1151" s="215" t="str">
        <f>IFERROR(__xludf.DUMMYFUNCTION("""COMPUTED_VALUE"""),"https://drive.google.com/file/d/1hULvcmGAGtLWQHJmoHYIqoO9KfiCndmO/view")</f>
        <v>https://drive.google.com/file/d/1hULvcmGAGtLWQHJmoHYIqoO9KfiCndmO/view</v>
      </c>
      <c r="AA1151" s="213" t="str">
        <f>IFERROR(__xludf.DUMMYFUNCTION("""COMPUTED_VALUE"""),"ESP-207 KIT DE ROBÓTICA PARA PLATAFORMA ELECTRÓNICA DE CÓDIGO ABIERTO - CET")</f>
        <v>ESP-207 KIT DE ROBÓTICA PARA PLATAFORMA ELECTRÓNICA DE CÓDIGO ABIERTO - CET</v>
      </c>
      <c r="AB1151" s="213"/>
      <c r="AC1151" s="213"/>
      <c r="AD1151" s="213"/>
      <c r="AE1151" s="213"/>
      <c r="AF1151" s="213"/>
      <c r="AG1151" s="213"/>
      <c r="AH1151" s="213"/>
      <c r="AI1151" s="213"/>
      <c r="AJ1151" s="213"/>
      <c r="AK1151" s="213"/>
      <c r="AL1151" s="213"/>
      <c r="AM1151" s="213"/>
      <c r="AN1151" s="213"/>
      <c r="AO1151" s="213"/>
      <c r="AP1151" s="213" t="str">
        <f>IFERROR(__xludf.DUMMYFUNCTION("""COMPUTED_VALUE"""),"ANTONELLA")</f>
        <v>ANTONELLA</v>
      </c>
      <c r="AQ1151" s="213"/>
      <c r="AR1151" s="213"/>
      <c r="AS1151" s="217" t="str">
        <f>IFERROR(__xludf.DUMMYFUNCTION("""COMPUTED_VALUE"""),"Resistencia varias, led varios, ESP8266")</f>
        <v>Resistencia varias, led varios, ESP8266</v>
      </c>
      <c r="AT1151" s="218" t="str">
        <f>IFERROR(__xludf.DUMMYFUNCTION("""COMPUTED_VALUE"""),"https://drive.google.com/file/d/1L7Hwf9qQChNj6Pr3qi1Wse247VkOKZD_/view?usp=drive_link")</f>
        <v>https://drive.google.com/file/d/1L7Hwf9qQChNj6Pr3qi1Wse247VkOKZD_/view?usp=drive_link</v>
      </c>
      <c r="AU1151" s="213"/>
      <c r="AV1151" s="213"/>
      <c r="AW1151" s="213"/>
      <c r="AX1151" s="213"/>
      <c r="AY1151" s="213"/>
      <c r="AZ1151" s="213"/>
      <c r="BA1151" s="213"/>
      <c r="BB1151" s="213"/>
      <c r="BC1151" s="213"/>
      <c r="BD1151" s="213"/>
    </row>
    <row r="1152">
      <c r="A1152" s="213">
        <f>IFERROR(__xludf.DUMMYFUNCTION("""COMPUTED_VALUE"""),702.0)</f>
        <v>702</v>
      </c>
      <c r="B1152" s="213" t="str">
        <f>IFERROR(__xludf.DUMMYFUNCTION("""COMPUTED_VALUE"""),"6049 RICARDO PALMA")</f>
        <v>6049 RICARDO PALMA</v>
      </c>
      <c r="C1152" s="213" t="str">
        <f>IFERROR(__xludf.DUMMYFUNCTION("""COMPUTED_VALUE"""),"TALLER SFT DE ELECTRÓNICA")</f>
        <v>TALLER SFT DE ELECTRÓNICA</v>
      </c>
      <c r="D1152" s="213" t="str">
        <f>IFERROR(__xludf.DUMMYFUNCTION("""COMPUTED_VALUE"""),"EQUIPOS")</f>
        <v>EQUIPOS</v>
      </c>
      <c r="E1152" s="213" t="str">
        <f>IFERROR(__xludf.DUMMYFUNCTION("""COMPUTED_VALUE"""),"ESP-208")</f>
        <v>ESP-208</v>
      </c>
      <c r="F1152" s="213" t="str">
        <f>IFERROR(__xludf.DUMMYFUNCTION("""COMPUTED_VALUE"""),"ESP-208")</f>
        <v>ESP-208</v>
      </c>
      <c r="G1152" s="213"/>
      <c r="H1152" s="213" t="str">
        <f>IFERROR(__xludf.DUMMYFUNCTION("""COMPUTED_VALUE"""),"KIT DE SOLDADURA - ESTACIÓN DE CALOR")</f>
        <v>KIT DE SOLDADURA - ESTACIÓN DE CALOR</v>
      </c>
      <c r="I1152" s="213" t="str">
        <f>IFERROR(__xludf.DUMMYFUNCTION("""COMPUTED_VALUE"""),"· Kit de soldadura diseñado para llevar a cabo reparaciones en el área de electrónica.
· Está equipada por una unidad central donde se regulan las diferentes funciones, el cual posee display (para mostrar temperatura), posee un cautín y una pistola de air"&amp;"e caliente, incluyendo sus respectivos soportes.
· Potencia total del equipo, mínimo: 700 W.
· Rango de temperatura de cautín, entre: 200 - 450 °C.
· Rango de temperatura de la pistola de aire, entre: 200 - 450 °C.
· Caudal del aire: ≤ 120 L/min.
· Voltaj"&amp;"e, frecuencia: 220 V, 60 Hz")</f>
        <v>· Kit de soldadura diseñado para llevar a cabo reparaciones en el área de electrónica.
· Está equipada por una unidad central donde se regulan las diferentes funciones, el cual posee display (para mostrar temperatura), posee un cautín y una pistola de aire caliente, incluyendo sus respectivos soportes.
· Potencia total del equipo, mínimo: 700 W.
· Rango de temperatura de cautín, entre: 200 - 450 °C.
· Rango de temperatura de la pistola de aire, entre: 200 - 450 °C.
· Caudal del aire: ≤ 120 L/min.
· Voltaje, frecuencia: 220 V, 60 Hz</v>
      </c>
      <c r="J1152" s="213">
        <f>IFERROR(__xludf.DUMMYFUNCTION("""COMPUTED_VALUE"""),3.0)</f>
        <v>3</v>
      </c>
      <c r="K1152" s="213" t="str">
        <f>IFERROR(__xludf.DUMMYFUNCTION("""COMPUTED_VALUE"""),"170 DÍAS CALENDARIO")</f>
        <v>170 DÍAS CALENDARIO</v>
      </c>
      <c r="L1152" s="213" t="str">
        <f>IFERROR(__xludf.DUMMYFUNCTION("""COMPUTED_VALUE"""),"")</f>
        <v/>
      </c>
      <c r="M1152" s="213">
        <f>IFERROR(__xludf.DUMMYFUNCTION("""COMPUTED_VALUE"""),1.0)</f>
        <v>1</v>
      </c>
      <c r="N1152" s="213">
        <f>IFERROR(__xludf.DUMMYFUNCTION("""COMPUTED_VALUE"""),4.0)</f>
        <v>4</v>
      </c>
      <c r="O1152" s="213">
        <f>IFERROR(__xludf.DUMMYFUNCTION("""COMPUTED_VALUE"""),4.0)</f>
        <v>4</v>
      </c>
      <c r="P1152" s="213"/>
      <c r="Q1152" s="213"/>
      <c r="R1152" s="213"/>
      <c r="S1152" s="213" t="str">
        <f>IFERROR(__xludf.DUMMYFUNCTION("""COMPUTED_VALUE"""),"SI")</f>
        <v>SI</v>
      </c>
      <c r="T1152" s="213" t="str">
        <f>IFERROR(__xludf.DUMMYFUNCTION("""COMPUTED_VALUE"""),"SI")</f>
        <v>SI</v>
      </c>
      <c r="U1152" s="213" t="str">
        <f>IFERROR(__xludf.DUMMYFUNCTION("""COMPUTED_VALUE"""),"SI")</f>
        <v>SI</v>
      </c>
      <c r="V1152" s="213" t="str">
        <f>IFERROR(__xludf.DUMMYFUNCTION("""COMPUTED_VALUE"""),"-")</f>
        <v>-</v>
      </c>
      <c r="W1152" s="213" t="str">
        <f>IFERROR(__xludf.DUMMYFUNCTION("""COMPUTED_VALUE"""),"-")</f>
        <v>-</v>
      </c>
      <c r="X1152" s="213" t="str">
        <f>IFERROR(__xludf.DUMMYFUNCTION("""COMPUTED_VALUE"""),"LeTkingok")</f>
        <v>LeTkingok</v>
      </c>
      <c r="Y1152" s="213" t="str">
        <f>IFERROR(__xludf.DUMMYFUNCTION("""COMPUTED_VALUE"""),"KS8586")</f>
        <v>KS8586</v>
      </c>
      <c r="Z1152" s="215" t="str">
        <f>IFERROR(__xludf.DUMMYFUNCTION("""COMPUTED_VALUE"""),"https://www.amazon.es/COVVY-soldadura-temperatura-calefacci%C3%B3n-8586/dp/B0DBLJ157B/ref=sr_1_3?__mk_es_ES=%C3%85M%C3%85%C5%BD%C3%95%C3%91&amp;crid=1508W2FHUG0FE&amp;dib=eyJ2IjoiMSJ9.EwYqlY1V8WMa1J064N2n8TugHK8S0laCb_G5web3eIZFSKQTVGvgmUSfalIUKYQfV31LIhUJ-zePCn9"&amp;"-AWC3jFkmR8UiIE3o4TcQU1HTLmiatnTLRw_dnLGzmzrDWFEdJMX8rDOt1uB1xI2uwOLA1R7jYm5EMsfT2TJnf861g0-CSg6qnxYEarpK_wk4C0w2zNaPjX3kcvUiebiTs3SHXzQQYrnOmmHZr06ZJG3OLbXx5W2z3lm4kMRYcgUzU5J5BOmxXlGLduj-bYNpLG_zG_3kZ7UZs1ZCUaOiLbgGxiE.DmnjdAPw3djsxRJUKvolesBo1mTjbGttjs"&amp;"qGDT8fvyA&amp;dib_tag=se&amp;keywords=KS+8586&amp;qid=1756843129&amp;sprefix=ks+8586%2Caps%2C244&amp;sr=8-3")</f>
        <v>https://www.amazon.es/COVVY-soldadura-temperatura-calefacci%C3%B3n-8586/dp/B0DBLJ157B/ref=sr_1_3?__mk_es_ES=%C3%85M%C3%85%C5%BD%C3%95%C3%91&amp;crid=1508W2FHUG0FE&amp;dib=eyJ2IjoiMSJ9.EwYqlY1V8WMa1J064N2n8TugHK8S0laCb_G5web3eIZFSKQTVGvgmUSfalIUKYQfV31LIhUJ-zePCn9-AWC3jFkmR8UiIE3o4TcQU1HTLmiatnTLRw_dnLGzmzrDWFEdJMX8rDOt1uB1xI2uwOLA1R7jYm5EMsfT2TJnf861g0-CSg6qnxYEarpK_wk4C0w2zNaPjX3kcvUiebiTs3SHXzQQYrnOmmHZr06ZJG3OLbXx5W2z3lm4kMRYcgUzU5J5BOmxXlGLduj-bYNpLG_zG_3kZ7UZs1ZCUaOiLbgGxiE.DmnjdAPw3djsxRJUKvolesBo1mTjbGttjsqGDT8fvyA&amp;dib_tag=se&amp;keywords=KS+8586&amp;qid=1756843129&amp;sprefix=ks+8586%2Caps%2C244&amp;sr=8-3</v>
      </c>
      <c r="AA1152" s="213" t="str">
        <f>IFERROR(__xludf.DUMMYFUNCTION("""COMPUTED_VALUE"""),"ESP-208 KIT DE SOLDADURA - ESTACIÓN DE CALOR - CET")</f>
        <v>ESP-208 KIT DE SOLDADURA - ESTACIÓN DE CALOR - CET</v>
      </c>
      <c r="AB1152" s="215" t="str">
        <f>IFERROR(__xludf.DUMMYFUNCTION("""COMPUTED_VALUE"""),"https://drive.google.com/file/d/12SeGLVGRmLpBxpEaHgTycDR2Mhs6PF9Y/view")</f>
        <v>https://drive.google.com/file/d/12SeGLVGRmLpBxpEaHgTycDR2Mhs6PF9Y/view</v>
      </c>
      <c r="AC1152" s="213"/>
      <c r="AD1152" s="213"/>
      <c r="AE1152" s="213"/>
      <c r="AF1152" s="213"/>
      <c r="AG1152" s="213"/>
      <c r="AH1152" s="213"/>
      <c r="AI1152" s="213"/>
      <c r="AJ1152" s="213"/>
      <c r="AK1152" s="213"/>
      <c r="AL1152" s="213"/>
      <c r="AM1152" s="213"/>
      <c r="AN1152" s="213"/>
      <c r="AO1152" s="213"/>
      <c r="AP1152" s="213" t="str">
        <f>IFERROR(__xludf.DUMMYFUNCTION("""COMPUTED_VALUE"""),"BRUNO")</f>
        <v>BRUNO</v>
      </c>
      <c r="AQ1152" s="213" t="str">
        <f>IFERROR(__xludf.DUMMYFUNCTION("""COMPUTED_VALUE"""),"EN LA DESCRIPCION DEL HISTORICO NO SE ENCONTRO EL NOMBRE, DEBE SER: KIT DE SOLDADURA")</f>
        <v>EN LA DESCRIPCION DEL HISTORICO NO SE ENCONTRO EL NOMBRE, DEBE SER: KIT DE SOLDADURA</v>
      </c>
      <c r="AR1152" s="213"/>
      <c r="AS1152" s="213"/>
      <c r="AT1152" s="213"/>
      <c r="AU1152" s="213"/>
      <c r="AV1152" s="213"/>
      <c r="AW1152" s="213"/>
      <c r="AX1152" s="213"/>
      <c r="AY1152" s="213"/>
      <c r="AZ1152" s="213"/>
      <c r="BA1152" s="213"/>
      <c r="BB1152" s="213"/>
      <c r="BC1152" s="213"/>
      <c r="BD1152" s="213"/>
    </row>
    <row r="1153">
      <c r="A1153" s="213">
        <f>IFERROR(__xludf.DUMMYFUNCTION("""COMPUTED_VALUE"""),2460.0)</f>
        <v>2460</v>
      </c>
      <c r="B1153" s="213" t="str">
        <f>IFERROR(__xludf.DUMMYFUNCTION("""COMPUTED_VALUE"""),"MANUEL ANTONIO MESONES MURO")</f>
        <v>MANUEL ANTONIO MESONES MURO</v>
      </c>
      <c r="C1153" s="213" t="str">
        <f>IFERROR(__xludf.DUMMYFUNCTION("""COMPUTED_VALUE"""),"TALLER SFT DE CONSTRUCCIONES METÁLICAS")</f>
        <v>TALLER SFT DE CONSTRUCCIONES METÁLICAS</v>
      </c>
      <c r="D1153" s="213" t="str">
        <f>IFERROR(__xludf.DUMMYFUNCTION("""COMPUTED_VALUE"""),"MOBILIARIO")</f>
        <v>MOBILIARIO</v>
      </c>
      <c r="E1153" s="213" t="str">
        <f>IFERROR(__xludf.DUMMYFUNCTION("""COMPUTED_VALUE"""),"MOB-126")</f>
        <v>MOB-126</v>
      </c>
      <c r="F1153" s="213" t="str">
        <f>IFERROR(__xludf.DUMMYFUNCTION("""COMPUTED_VALUE"""),"MOB-126")</f>
        <v>MOB-126</v>
      </c>
      <c r="G1153" s="213"/>
      <c r="H1153" s="213" t="str">
        <f>IFERROR(__xludf.DUMMYFUNCTION("""COMPUTED_VALUE"""),"MESA DE COMPUTADORA PARA ESTUDIANTE (1000 X 600 X 750 MM.)")</f>
        <v>MESA DE COMPUTADORA PARA ESTUDIANTE (1000 X 600 X 750 MM.)</v>
      </c>
      <c r="I1153"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153" s="213">
        <f>IFERROR(__xludf.DUMMYFUNCTION("""COMPUTED_VALUE"""),3.0)</f>
        <v>3</v>
      </c>
      <c r="K1153" s="213" t="str">
        <f>IFERROR(__xludf.DUMMYFUNCTION("""COMPUTED_VALUE"""),"90 DÍAS CALENDARIO")</f>
        <v>90 DÍAS CALENDARIO</v>
      </c>
      <c r="L1153" s="213" t="str">
        <f>IFERROR(__xludf.DUMMYFUNCTION("""COMPUTED_VALUE"""),"")</f>
        <v/>
      </c>
      <c r="M1153" s="213">
        <f>IFERROR(__xludf.DUMMYFUNCTION("""COMPUTED_VALUE"""),1.0)</f>
        <v>1</v>
      </c>
      <c r="N1153" s="213">
        <f>IFERROR(__xludf.DUMMYFUNCTION("""COMPUTED_VALUE"""),19.0)</f>
        <v>19</v>
      </c>
      <c r="O1153" s="213">
        <f>IFERROR(__xludf.DUMMYFUNCTION("""COMPUTED_VALUE"""),19.0)</f>
        <v>19</v>
      </c>
      <c r="P1153" s="213"/>
      <c r="Q1153" s="213"/>
      <c r="R1153" s="213"/>
      <c r="S1153" s="213"/>
      <c r="T1153" s="213"/>
      <c r="U1153" s="213"/>
      <c r="V1153" s="213"/>
      <c r="W1153" s="213"/>
      <c r="X1153" s="213"/>
      <c r="Y1153" s="213"/>
      <c r="Z1153" s="213"/>
      <c r="AA1153" s="213"/>
      <c r="AB1153" s="213"/>
      <c r="AC1153" s="213"/>
      <c r="AD1153" s="213"/>
      <c r="AE1153" s="213"/>
      <c r="AF1153" s="213"/>
      <c r="AG1153" s="213"/>
      <c r="AH1153" s="213"/>
      <c r="AI1153" s="213"/>
      <c r="AJ1153" s="213"/>
      <c r="AK1153" s="213"/>
      <c r="AL1153" s="213"/>
      <c r="AM1153" s="213"/>
      <c r="AN1153" s="213"/>
      <c r="AO1153" s="213"/>
      <c r="AP1153" s="213"/>
      <c r="AQ1153" s="213"/>
      <c r="AR1153" s="213"/>
      <c r="AS1153" s="213" t="str">
        <f>IFERROR(__xludf.DUMMYFUNCTION("""COMPUTED_VALUE"""),"")</f>
        <v/>
      </c>
      <c r="AT1153" s="217" t="str">
        <f>IFERROR(__xludf.DUMMYFUNCTION("""COMPUTED_VALUE"""),"")</f>
        <v/>
      </c>
      <c r="AU1153" s="213"/>
      <c r="AV1153" s="213"/>
      <c r="AW1153" s="213"/>
      <c r="AX1153" s="213"/>
      <c r="AY1153" s="213"/>
      <c r="AZ1153" s="213"/>
      <c r="BA1153" s="213"/>
      <c r="BB1153" s="213"/>
      <c r="BC1153" s="213"/>
      <c r="BD1153" s="213"/>
    </row>
    <row r="1154">
      <c r="A1154" s="213">
        <f>IFERROR(__xludf.DUMMYFUNCTION("""COMPUTED_VALUE"""),1404.0)</f>
        <v>1404</v>
      </c>
      <c r="B1154" s="213" t="str">
        <f>IFERROR(__xludf.DUMMYFUNCTION("""COMPUTED_VALUE"""),"GUILLERMO E. BILLINGHURST ")</f>
        <v>GUILLERMO E. BILLINGHURST </v>
      </c>
      <c r="C1154" s="213" t="str">
        <f>IFERROR(__xludf.DUMMYFUNCTION("""COMPUTED_VALUE"""),"TALLER SFT DE INDUSTRIA ALIMENTARIA")</f>
        <v>TALLER SFT DE INDUSTRIA ALIMENTARIA</v>
      </c>
      <c r="D1154" s="213" t="str">
        <f>IFERROR(__xludf.DUMMYFUNCTION("""COMPUTED_VALUE"""),"HERRAMIENTAS")</f>
        <v>HERRAMIENTAS</v>
      </c>
      <c r="E1154" s="213" t="str">
        <f>IFERROR(__xludf.DUMMYFUNCTION("""COMPUTED_VALUE"""),"MAT-136")</f>
        <v>MAT-136</v>
      </c>
      <c r="F1154" s="213" t="str">
        <f>IFERROR(__xludf.DUMMYFUNCTION("""COMPUTED_VALUE"""),"MAT-136")</f>
        <v>MAT-136</v>
      </c>
      <c r="G1154" s="213"/>
      <c r="H1154" s="213" t="str">
        <f>IFERROR(__xludf.DUMMYFUNCTION("""COMPUTED_VALUE"""),"COLADERAS")</f>
        <v>COLADERAS</v>
      </c>
      <c r="I1154" s="213" t="str">
        <f>IFERROR(__xludf.DUMMYFUNCTION("""COMPUTED_VALUE"""),"· Tamiz de acero inoxidable 202.
· Cuenta con una malla de alambre refinada.
· Tiene 2 ganchos colgantes.
· La malla no permite que pasen grumos.
· Medidas mínimas: Diámetro: 14cm, Mango: 20cm.")</f>
        <v>· Tamiz de acero inoxidable 202.
· Cuenta con una malla de alambre refinada.
· Tiene 2 ganchos colgantes.
· La malla no permite que pasen grumos.
· Medidas mínimas: Diámetro: 14cm, Mango: 20cm.</v>
      </c>
      <c r="J1154" s="213">
        <f>IFERROR(__xludf.DUMMYFUNCTION("""COMPUTED_VALUE"""),3.0)</f>
        <v>3</v>
      </c>
      <c r="K1154" s="213" t="str">
        <f>IFERROR(__xludf.DUMMYFUNCTION("""COMPUTED_VALUE"""),"90 DÍAS CALENDARIO")</f>
        <v>90 DÍAS CALENDARIO</v>
      </c>
      <c r="L1154" s="213" t="str">
        <f>IFERROR(__xludf.DUMMYFUNCTION("""COMPUTED_VALUE"""),"")</f>
        <v/>
      </c>
      <c r="M1154" s="213">
        <f>IFERROR(__xludf.DUMMYFUNCTION("""COMPUTED_VALUE"""),1.0)</f>
        <v>1</v>
      </c>
      <c r="N1154" s="213">
        <f>IFERROR(__xludf.DUMMYFUNCTION("""COMPUTED_VALUE"""),2.0)</f>
        <v>2</v>
      </c>
      <c r="O1154" s="213">
        <f>IFERROR(__xludf.DUMMYFUNCTION("""COMPUTED_VALUE"""),2.0)</f>
        <v>2</v>
      </c>
      <c r="P1154" s="213"/>
      <c r="Q1154" s="213"/>
      <c r="R1154" s="213" t="str">
        <f>IFERROR(__xludf.DUMMYFUNCTION("""COMPUTED_VALUE"""),"SI")</f>
        <v>SI</v>
      </c>
      <c r="S1154" s="213"/>
      <c r="T1154" s="213" t="str">
        <f>IFERROR(__xludf.DUMMYFUNCTION("""COMPUTED_VALUE"""),"SI")</f>
        <v>SI</v>
      </c>
      <c r="U1154" s="213" t="str">
        <f>IFERROR(__xludf.DUMMYFUNCTION("""COMPUTED_VALUE"""),"SI")</f>
        <v>SI</v>
      </c>
      <c r="V1154" s="213" t="str">
        <f>IFERROR(__xludf.DUMMYFUNCTION("""COMPUTED_VALUE"""),"-")</f>
        <v>-</v>
      </c>
      <c r="W1154" s="213" t="str">
        <f>IFERROR(__xludf.DUMMYFUNCTION("""COMPUTED_VALUE"""),"-")</f>
        <v>-</v>
      </c>
      <c r="X1154" s="213" t="str">
        <f>IFERROR(__xludf.DUMMYFUNCTION("""COMPUTED_VALUE"""),"CHEF CRAFT")</f>
        <v>CHEF CRAFT</v>
      </c>
      <c r="Y1154" s="213" t="str">
        <f>IFERROR(__xludf.DUMMYFUNCTION("""COMPUTED_VALUE"""),"CHEF CRAFT")</f>
        <v>CHEF CRAFT</v>
      </c>
      <c r="Z1154"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A1154" s="213" t="str">
        <f>IFERROR(__xludf.DUMMYFUNCTION("""COMPUTED_VALUE"""),"MAT-136 COLADERAS - CET")</f>
        <v>MAT-136 COLADERAS - CET</v>
      </c>
      <c r="AB1154" s="215" t="str">
        <f>IFERROR(__xludf.DUMMYFUNCTION("""COMPUTED_VALUE"""),"https://drive.google.com/file/d/1n9cRtyq7oaUD4UtjAW60Zy0yvY8bIKfJ/view?usp=sharing")</f>
        <v>https://drive.google.com/file/d/1n9cRtyq7oaUD4UtjAW60Zy0yvY8bIKfJ/view?usp=sharing</v>
      </c>
      <c r="AC1154"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D1154" s="213"/>
      <c r="AE1154" s="213"/>
      <c r="AF1154" s="213"/>
      <c r="AG1154" s="213"/>
      <c r="AH1154" s="213" t="str">
        <f>IFERROR(__xludf.DUMMYFUNCTION("""COMPUTED_VALUE"""),"IMPORTADO")</f>
        <v>IMPORTADO</v>
      </c>
      <c r="AI1154" s="213"/>
      <c r="AJ1154" s="213"/>
      <c r="AK1154" s="213"/>
      <c r="AL1154" s="213"/>
      <c r="AM1154" s="213"/>
      <c r="AN1154" s="213"/>
      <c r="AO1154" s="213"/>
      <c r="AP1154" s="213" t="str">
        <f>IFERROR(__xludf.DUMMYFUNCTION("""COMPUTED_VALUE"""),"LUIS")</f>
        <v>LUIS</v>
      </c>
      <c r="AQ1154" s="213"/>
      <c r="AR1154" s="213"/>
      <c r="AS1154" s="213"/>
      <c r="AT1154" s="213"/>
      <c r="AU1154" s="213"/>
      <c r="AV1154" s="213"/>
      <c r="AW1154" s="213"/>
      <c r="AX1154" s="213"/>
      <c r="AY1154" s="213"/>
      <c r="AZ1154" s="213"/>
      <c r="BA1154" s="213"/>
      <c r="BB1154" s="213"/>
      <c r="BC1154" s="213"/>
      <c r="BD1154" s="213"/>
    </row>
    <row r="1155">
      <c r="A1155" s="213">
        <f>IFERROR(__xludf.DUMMYFUNCTION("""COMPUTED_VALUE"""),2068.0)</f>
        <v>2068</v>
      </c>
      <c r="B1155" s="213" t="str">
        <f>IFERROR(__xludf.DUMMYFUNCTION("""COMPUTED_VALUE"""),"JOSE GRANDA")</f>
        <v>JOSE GRANDA</v>
      </c>
      <c r="C1155" s="213" t="str">
        <f>IFERROR(__xludf.DUMMYFUNCTION("""COMPUTED_VALUE"""),"TALLER SFT DE INDUSTRIA ALIMENTARIA")</f>
        <v>TALLER SFT DE INDUSTRIA ALIMENTARIA</v>
      </c>
      <c r="D1155" s="213" t="str">
        <f>IFERROR(__xludf.DUMMYFUNCTION("""COMPUTED_VALUE"""),"HERRAMIENTAS")</f>
        <v>HERRAMIENTAS</v>
      </c>
      <c r="E1155" s="213" t="str">
        <f>IFERROR(__xludf.DUMMYFUNCTION("""COMPUTED_VALUE"""),"MAT-136")</f>
        <v>MAT-136</v>
      </c>
      <c r="F1155" s="213" t="str">
        <f>IFERROR(__xludf.DUMMYFUNCTION("""COMPUTED_VALUE"""),"MAT-136")</f>
        <v>MAT-136</v>
      </c>
      <c r="G1155" s="213"/>
      <c r="H1155" s="213" t="str">
        <f>IFERROR(__xludf.DUMMYFUNCTION("""COMPUTED_VALUE"""),"COLADERAS")</f>
        <v>COLADERAS</v>
      </c>
      <c r="I1155" s="213" t="str">
        <f>IFERROR(__xludf.DUMMYFUNCTION("""COMPUTED_VALUE"""),"· Tamiz de acero inoxidable 202.
· Cuenta con una malla de alambre refinada.
· Tiene 2 ganchos colgantes.
· La malla no permite que pasen grumos.
· Medidas mínimas: Diámetro: 14cm, Mango: 20cm.")</f>
        <v>· Tamiz de acero inoxidable 202.
· Cuenta con una malla de alambre refinada.
· Tiene 2 ganchos colgantes.
· La malla no permite que pasen grumos.
· Medidas mínimas: Diámetro: 14cm, Mango: 20cm.</v>
      </c>
      <c r="J1155" s="213">
        <f>IFERROR(__xludf.DUMMYFUNCTION("""COMPUTED_VALUE"""),3.0)</f>
        <v>3</v>
      </c>
      <c r="K1155" s="213" t="str">
        <f>IFERROR(__xludf.DUMMYFUNCTION("""COMPUTED_VALUE"""),"90 DÍAS CALENDARIO")</f>
        <v>90 DÍAS CALENDARIO</v>
      </c>
      <c r="L1155" s="213" t="str">
        <f>IFERROR(__xludf.DUMMYFUNCTION("""COMPUTED_VALUE"""),"")</f>
        <v/>
      </c>
      <c r="M1155" s="213">
        <f>IFERROR(__xludf.DUMMYFUNCTION("""COMPUTED_VALUE"""),1.0)</f>
        <v>1</v>
      </c>
      <c r="N1155" s="213">
        <f>IFERROR(__xludf.DUMMYFUNCTION("""COMPUTED_VALUE"""),4.0)</f>
        <v>4</v>
      </c>
      <c r="O1155" s="213">
        <f>IFERROR(__xludf.DUMMYFUNCTION("""COMPUTED_VALUE"""),4.0)</f>
        <v>4</v>
      </c>
      <c r="P1155" s="213"/>
      <c r="Q1155" s="213"/>
      <c r="R1155" s="213" t="str">
        <f>IFERROR(__xludf.DUMMYFUNCTION("""COMPUTED_VALUE"""),"SI")</f>
        <v>SI</v>
      </c>
      <c r="S1155" s="213"/>
      <c r="T1155" s="213" t="str">
        <f>IFERROR(__xludf.DUMMYFUNCTION("""COMPUTED_VALUE"""),"SI")</f>
        <v>SI</v>
      </c>
      <c r="U1155" s="213" t="str">
        <f>IFERROR(__xludf.DUMMYFUNCTION("""COMPUTED_VALUE"""),"SI")</f>
        <v>SI</v>
      </c>
      <c r="V1155" s="213" t="str">
        <f>IFERROR(__xludf.DUMMYFUNCTION("""COMPUTED_VALUE"""),"-")</f>
        <v>-</v>
      </c>
      <c r="W1155" s="213" t="str">
        <f>IFERROR(__xludf.DUMMYFUNCTION("""COMPUTED_VALUE"""),"-")</f>
        <v>-</v>
      </c>
      <c r="X1155" s="213" t="str">
        <f>IFERROR(__xludf.DUMMYFUNCTION("""COMPUTED_VALUE"""),"CHEF CRAFT")</f>
        <v>CHEF CRAFT</v>
      </c>
      <c r="Y1155" s="213" t="str">
        <f>IFERROR(__xludf.DUMMYFUNCTION("""COMPUTED_VALUE"""),"CHEF CRAFT")</f>
        <v>CHEF CRAFT</v>
      </c>
      <c r="Z1155"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A1155" s="213" t="str">
        <f>IFERROR(__xludf.DUMMYFUNCTION("""COMPUTED_VALUE"""),"MAT-136 COLADERAS - CET")</f>
        <v>MAT-136 COLADERAS - CET</v>
      </c>
      <c r="AB1155" s="215" t="str">
        <f>IFERROR(__xludf.DUMMYFUNCTION("""COMPUTED_VALUE"""),"https://drive.google.com/file/d/1n9cRtyq7oaUD4UtjAW60Zy0yvY8bIKfJ/view?usp=sharing")</f>
        <v>https://drive.google.com/file/d/1n9cRtyq7oaUD4UtjAW60Zy0yvY8bIKfJ/view?usp=sharing</v>
      </c>
      <c r="AC1155"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D1155" s="213"/>
      <c r="AE1155" s="213"/>
      <c r="AF1155" s="213"/>
      <c r="AG1155" s="213"/>
      <c r="AH1155" s="213" t="str">
        <f>IFERROR(__xludf.DUMMYFUNCTION("""COMPUTED_VALUE"""),"IMPORTADO")</f>
        <v>IMPORTADO</v>
      </c>
      <c r="AI1155" s="213"/>
      <c r="AJ1155" s="213"/>
      <c r="AK1155" s="213"/>
      <c r="AL1155" s="213"/>
      <c r="AM1155" s="213"/>
      <c r="AN1155" s="213"/>
      <c r="AO1155" s="213"/>
      <c r="AP1155" s="213" t="str">
        <f>IFERROR(__xludf.DUMMYFUNCTION("""COMPUTED_VALUE"""),"LUIS")</f>
        <v>LUIS</v>
      </c>
      <c r="AQ1155" s="213"/>
      <c r="AR1155" s="213"/>
      <c r="AS1155" s="213"/>
      <c r="AT1155" s="213"/>
      <c r="AU1155" s="213"/>
      <c r="AV1155" s="213"/>
      <c r="AW1155" s="213"/>
      <c r="AX1155" s="213"/>
      <c r="AY1155" s="213"/>
      <c r="AZ1155" s="213"/>
      <c r="BA1155" s="213"/>
      <c r="BB1155" s="213"/>
      <c r="BC1155" s="213"/>
      <c r="BD1155" s="213"/>
    </row>
    <row r="1156">
      <c r="A1156" s="213">
        <f>IFERROR(__xludf.DUMMYFUNCTION("""COMPUTED_VALUE"""),2091.0)</f>
        <v>2091</v>
      </c>
      <c r="B1156" s="213" t="str">
        <f>IFERROR(__xludf.DUMMYFUNCTION("""COMPUTED_VALUE"""),"JOSE GRANDA")</f>
        <v>JOSE GRANDA</v>
      </c>
      <c r="C1156" s="213" t="str">
        <f>IFERROR(__xludf.DUMMYFUNCTION("""COMPUTED_VALUE"""),"TALLER SFT DE INDUSTRIA ALIMENTARIA")</f>
        <v>TALLER SFT DE INDUSTRIA ALIMENTARIA</v>
      </c>
      <c r="D1156" s="213" t="str">
        <f>IFERROR(__xludf.DUMMYFUNCTION("""COMPUTED_VALUE"""),"HERRAMIENTAS")</f>
        <v>HERRAMIENTAS</v>
      </c>
      <c r="E1156" s="213" t="str">
        <f>IFERROR(__xludf.DUMMYFUNCTION("""COMPUTED_VALUE"""),"MAT-136")</f>
        <v>MAT-136</v>
      </c>
      <c r="F1156" s="213" t="str">
        <f>IFERROR(__xludf.DUMMYFUNCTION("""COMPUTED_VALUE"""),"MAT-136")</f>
        <v>MAT-136</v>
      </c>
      <c r="G1156" s="213"/>
      <c r="H1156" s="213" t="str">
        <f>IFERROR(__xludf.DUMMYFUNCTION("""COMPUTED_VALUE"""),"COLADERAS")</f>
        <v>COLADERAS</v>
      </c>
      <c r="I1156" s="213" t="str">
        <f>IFERROR(__xludf.DUMMYFUNCTION("""COMPUTED_VALUE"""),"· Tamiz de acero inoxidable 202.
· Cuenta con una malla de alambre refinada.
· Tiene 2 ganchos colgantes.
· La malla no permite que pasen grumos.
· Medidas mínimas: Diámetro: 14cm, Mango: 20cm.")</f>
        <v>· Tamiz de acero inoxidable 202.
· Cuenta con una malla de alambre refinada.
· Tiene 2 ganchos colgantes.
· La malla no permite que pasen grumos.
· Medidas mínimas: Diámetro: 14cm, Mango: 20cm.</v>
      </c>
      <c r="J1156" s="213">
        <f>IFERROR(__xludf.DUMMYFUNCTION("""COMPUTED_VALUE"""),3.0)</f>
        <v>3</v>
      </c>
      <c r="K1156" s="213" t="str">
        <f>IFERROR(__xludf.DUMMYFUNCTION("""COMPUTED_VALUE"""),"90 DÍAS CALENDARIO")</f>
        <v>90 DÍAS CALENDARIO</v>
      </c>
      <c r="L1156" s="213" t="str">
        <f>IFERROR(__xludf.DUMMYFUNCTION("""COMPUTED_VALUE"""),"")</f>
        <v/>
      </c>
      <c r="M1156" s="213">
        <f>IFERROR(__xludf.DUMMYFUNCTION("""COMPUTED_VALUE"""),1.0)</f>
        <v>1</v>
      </c>
      <c r="N1156" s="213">
        <f>IFERROR(__xludf.DUMMYFUNCTION("""COMPUTED_VALUE"""),2.0)</f>
        <v>2</v>
      </c>
      <c r="O1156" s="213">
        <f>IFERROR(__xludf.DUMMYFUNCTION("""COMPUTED_VALUE"""),2.0)</f>
        <v>2</v>
      </c>
      <c r="P1156" s="213"/>
      <c r="Q1156" s="213"/>
      <c r="R1156" s="213" t="str">
        <f>IFERROR(__xludf.DUMMYFUNCTION("""COMPUTED_VALUE"""),"SI")</f>
        <v>SI</v>
      </c>
      <c r="S1156" s="213"/>
      <c r="T1156" s="213" t="str">
        <f>IFERROR(__xludf.DUMMYFUNCTION("""COMPUTED_VALUE"""),"SI")</f>
        <v>SI</v>
      </c>
      <c r="U1156" s="213" t="str">
        <f>IFERROR(__xludf.DUMMYFUNCTION("""COMPUTED_VALUE"""),"SI")</f>
        <v>SI</v>
      </c>
      <c r="V1156" s="213" t="str">
        <f>IFERROR(__xludf.DUMMYFUNCTION("""COMPUTED_VALUE"""),"-")</f>
        <v>-</v>
      </c>
      <c r="W1156" s="213" t="str">
        <f>IFERROR(__xludf.DUMMYFUNCTION("""COMPUTED_VALUE"""),"-")</f>
        <v>-</v>
      </c>
      <c r="X1156" s="213" t="str">
        <f>IFERROR(__xludf.DUMMYFUNCTION("""COMPUTED_VALUE"""),"CHEF CRAFT")</f>
        <v>CHEF CRAFT</v>
      </c>
      <c r="Y1156" s="213" t="str">
        <f>IFERROR(__xludf.DUMMYFUNCTION("""COMPUTED_VALUE"""),"CHEF CRAFT")</f>
        <v>CHEF CRAFT</v>
      </c>
      <c r="Z1156"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A1156" s="213" t="str">
        <f>IFERROR(__xludf.DUMMYFUNCTION("""COMPUTED_VALUE"""),"MAT-136 COLADERAS - CET")</f>
        <v>MAT-136 COLADERAS - CET</v>
      </c>
      <c r="AB1156" s="215" t="str">
        <f>IFERROR(__xludf.DUMMYFUNCTION("""COMPUTED_VALUE"""),"https://drive.google.com/file/d/1n9cRtyq7oaUD4UtjAW60Zy0yvY8bIKfJ/view?usp=sharing")</f>
        <v>https://drive.google.com/file/d/1n9cRtyq7oaUD4UtjAW60Zy0yvY8bIKfJ/view?usp=sharing</v>
      </c>
      <c r="AC1156" s="215" t="str">
        <f>IFERROR(__xludf.DUMMYFUNCTION("""COMPUTED_VALUE"""),"https://www.amazon.com/-/es/Select-Strainer-pulgadas-di%C3%A1metro-inoxidable/dp/B01LDC24VG/ref=sr_1_35?dib=eyJ2IjoiMSJ9.DbPEn0URjJqYJ1WCIUSWPsW8WqOSdgbxu-NdZcmiQ5Q.dkhhOUbHlLNFc7cp0rSdnUI54JhBS00nZ70dFUK4WFE&amp;dib_tag=se&amp;keywords=colador%2Bcon%2Bmango&amp;qid="&amp;"1759090665&amp;sr=8-35&amp;xpid=fvi9Yhg_rW5Z0&amp;th=1")</f>
        <v>https://www.amazon.com/-/es/Select-Strainer-pulgadas-di%C3%A1metro-inoxidable/dp/B01LDC24VG/ref=sr_1_35?dib=eyJ2IjoiMSJ9.DbPEn0URjJqYJ1WCIUSWPsW8WqOSdgbxu-NdZcmiQ5Q.dkhhOUbHlLNFc7cp0rSdnUI54JhBS00nZ70dFUK4WFE&amp;dib_tag=se&amp;keywords=colador%2Bcon%2Bmango&amp;qid=1759090665&amp;sr=8-35&amp;xpid=fvi9Yhg_rW5Z0&amp;th=1</v>
      </c>
      <c r="AD1156" s="213"/>
      <c r="AE1156" s="213"/>
      <c r="AF1156" s="213"/>
      <c r="AG1156" s="213"/>
      <c r="AH1156" s="213" t="str">
        <f>IFERROR(__xludf.DUMMYFUNCTION("""COMPUTED_VALUE"""),"IMPORTADO")</f>
        <v>IMPORTADO</v>
      </c>
      <c r="AI1156" s="213"/>
      <c r="AJ1156" s="213"/>
      <c r="AK1156" s="213"/>
      <c r="AL1156" s="213"/>
      <c r="AM1156" s="213"/>
      <c r="AN1156" s="213"/>
      <c r="AO1156" s="213"/>
      <c r="AP1156" s="213" t="str">
        <f>IFERROR(__xludf.DUMMYFUNCTION("""COMPUTED_VALUE"""),"LUIS")</f>
        <v>LUIS</v>
      </c>
      <c r="AQ1156" s="213"/>
      <c r="AR1156" s="213"/>
      <c r="AS1156" s="213"/>
      <c r="AT1156" s="213"/>
      <c r="AU1156" s="213"/>
      <c r="AV1156" s="213"/>
      <c r="AW1156" s="213"/>
      <c r="AX1156" s="213"/>
      <c r="AY1156" s="213"/>
      <c r="AZ1156" s="213"/>
      <c r="BA1156" s="213"/>
      <c r="BB1156" s="213"/>
      <c r="BC1156" s="213"/>
      <c r="BD1156" s="213"/>
    </row>
    <row r="1157">
      <c r="A1157" s="213">
        <f>IFERROR(__xludf.DUMMYFUNCTION("""COMPUTED_VALUE"""),64.0)</f>
        <v>64</v>
      </c>
      <c r="B1157" s="213" t="str">
        <f>IFERROR(__xludf.DUMMYFUNCTION("""COMPUTED_VALUE"""),"16449 ELOY SOBERON  FLORES")</f>
        <v>16449 ELOY SOBERON  FLORES</v>
      </c>
      <c r="C1157" s="213" t="str">
        <f>IFERROR(__xludf.DUMMYFUNCTION("""COMPUTED_VALUE"""),"TALLER SFT DE COCINA Y REPOSTERÍA")</f>
        <v>TALLER SFT DE COCINA Y REPOSTERÍA</v>
      </c>
      <c r="D1157" s="213" t="str">
        <f>IFERROR(__xludf.DUMMYFUNCTION("""COMPUTED_VALUE"""),"HERRAMIENTAS")</f>
        <v>HERRAMIENTAS</v>
      </c>
      <c r="E1157" s="213" t="str">
        <f>IFERROR(__xludf.DUMMYFUNCTION("""COMPUTED_VALUE"""),"MAT-137")</f>
        <v>MAT-137</v>
      </c>
      <c r="F1157" s="213" t="str">
        <f>IFERROR(__xludf.DUMMYFUNCTION("""COMPUTED_VALUE"""),"MAT-137")</f>
        <v>MAT-137</v>
      </c>
      <c r="G1157" s="213"/>
      <c r="H1157" s="213" t="str">
        <f>IFERROR(__xludf.DUMMYFUNCTION("""COMPUTED_VALUE"""),"COLADOR TIPO EMBUDO")</f>
        <v>COLADOR TIPO EMBUDO</v>
      </c>
      <c r="I1157" s="213" t="str">
        <f>IFERROR(__xludf.DUMMYFUNCTION("""COMPUTED_VALUE"""),".Embudo de acero inoxidable 201
.De mínimo 25 cm de diámetro")</f>
        <v>.Embudo de acero inoxidable 201
.De mínimo 25 cm de diámetro</v>
      </c>
      <c r="J1157" s="213">
        <f>IFERROR(__xludf.DUMMYFUNCTION("""COMPUTED_VALUE"""),3.0)</f>
        <v>3</v>
      </c>
      <c r="K1157" s="213" t="str">
        <f>IFERROR(__xludf.DUMMYFUNCTION("""COMPUTED_VALUE"""),"90 DÍAS CALENDARIO")</f>
        <v>90 DÍAS CALENDARIO</v>
      </c>
      <c r="L1157" s="213" t="str">
        <f>IFERROR(__xludf.DUMMYFUNCTION("""COMPUTED_VALUE"""),"")</f>
        <v/>
      </c>
      <c r="M1157" s="213">
        <f>IFERROR(__xludf.DUMMYFUNCTION("""COMPUTED_VALUE"""),1.0)</f>
        <v>1</v>
      </c>
      <c r="N1157" s="213">
        <f>IFERROR(__xludf.DUMMYFUNCTION("""COMPUTED_VALUE"""),4.0)</f>
        <v>4</v>
      </c>
      <c r="O1157" s="213">
        <f>IFERROR(__xludf.DUMMYFUNCTION("""COMPUTED_VALUE"""),4.0)</f>
        <v>4</v>
      </c>
      <c r="P1157" s="213"/>
      <c r="Q1157" s="213"/>
      <c r="R1157" s="213"/>
      <c r="S1157" s="213"/>
      <c r="T1157" s="213" t="str">
        <f>IFERROR(__xludf.DUMMYFUNCTION("""COMPUTED_VALUE"""),"SI")</f>
        <v>SI</v>
      </c>
      <c r="U1157" s="213" t="str">
        <f>IFERROR(__xludf.DUMMYFUNCTION("""COMPUTED_VALUE"""),"SI")</f>
        <v>SI</v>
      </c>
      <c r="V1157" s="213" t="str">
        <f>IFERROR(__xludf.DUMMYFUNCTION("""COMPUTED_VALUE"""),"-")</f>
        <v>-</v>
      </c>
      <c r="W1157" s="213" t="str">
        <f>IFERROR(__xludf.DUMMYFUNCTION("""COMPUTED_VALUE"""),"-")</f>
        <v>-</v>
      </c>
      <c r="X1157" s="213" t="str">
        <f>IFERROR(__xludf.DUMMYFUNCTION("""COMPUTED_VALUE"""),"THUNDER GROUP")</f>
        <v>THUNDER GROUP</v>
      </c>
      <c r="Y1157" s="213" t="str">
        <f>IFERROR(__xludf.DUMMYFUNCTION("""COMPUTED_VALUE"""),"ECV3100025")</f>
        <v>ECV3100025</v>
      </c>
      <c r="Z1157" s="215" t="str">
        <f>IFERROR(__xludf.DUMMYFUNCTION("""COMPUTED_VALUE"""),"https://veromatic.net/producto/colador-inox-conico-malla-gruesa-12-pulg/")</f>
        <v>https://veromatic.net/producto/colador-inox-conico-malla-gruesa-12-pulg/</v>
      </c>
      <c r="AA1157" s="213" t="str">
        <f>IFERROR(__xludf.DUMMYFUNCTION("""COMPUTED_VALUE"""),"MAT-137 COLADOR TIPO EMBUDO - CET")</f>
        <v>MAT-137 COLADOR TIPO EMBUDO - CET</v>
      </c>
      <c r="AB1157" s="213"/>
      <c r="AC1157" s="213"/>
      <c r="AD1157" s="213"/>
      <c r="AE1157" s="213"/>
      <c r="AF1157" s="213"/>
      <c r="AG1157" s="213"/>
      <c r="AH1157" s="213"/>
      <c r="AI1157" s="213"/>
      <c r="AJ1157" s="213"/>
      <c r="AK1157" s="213"/>
      <c r="AL1157" s="213"/>
      <c r="AM1157" s="213"/>
      <c r="AN1157" s="213"/>
      <c r="AO1157" s="213"/>
      <c r="AP1157" s="213" t="str">
        <f>IFERROR(__xludf.DUMMYFUNCTION("""COMPUTED_VALUE"""),"LUIS")</f>
        <v>LUIS</v>
      </c>
      <c r="AQ1157" s="213"/>
      <c r="AR1157" s="213"/>
      <c r="AS1157" s="213"/>
      <c r="AT1157" s="213"/>
      <c r="AU1157" s="213"/>
      <c r="AV1157" s="213"/>
      <c r="AW1157" s="213"/>
      <c r="AX1157" s="213"/>
      <c r="AY1157" s="213"/>
      <c r="AZ1157" s="213"/>
      <c r="BA1157" s="213"/>
      <c r="BB1157" s="213"/>
      <c r="BC1157" s="213"/>
      <c r="BD1157" s="213"/>
    </row>
    <row r="1158">
      <c r="A1158" s="213">
        <f>IFERROR(__xludf.DUMMYFUNCTION("""COMPUTED_VALUE"""),12.0)</f>
        <v>12</v>
      </c>
      <c r="B1158" s="213" t="str">
        <f>IFERROR(__xludf.DUMMYFUNCTION("""COMPUTED_VALUE"""),"16449 ELOY SOBERON  FLORES")</f>
        <v>16449 ELOY SOBERON  FLORES</v>
      </c>
      <c r="C1158" s="213" t="str">
        <f>IFERROR(__xludf.DUMMYFUNCTION("""COMPUTED_VALUE"""),"TALLER SFT DE COCINA Y REPOSTERÍA")</f>
        <v>TALLER SFT DE COCINA Y REPOSTERÍA</v>
      </c>
      <c r="D1158" s="213" t="str">
        <f>IFERROR(__xludf.DUMMYFUNCTION("""COMPUTED_VALUE"""),"HERRAMIENTAS")</f>
        <v>HERRAMIENTAS</v>
      </c>
      <c r="E1158" s="213" t="str">
        <f>IFERROR(__xludf.DUMMYFUNCTION("""COMPUTED_VALUE"""),"MAT-138")</f>
        <v>MAT-138</v>
      </c>
      <c r="F1158" s="213" t="str">
        <f>IFERROR(__xludf.DUMMYFUNCTION("""COMPUTED_VALUE"""),"MAT-138-X")</f>
        <v>MAT-138-X</v>
      </c>
      <c r="G1158" s="213"/>
      <c r="H1158" s="213" t="str">
        <f>IFERROR(__xludf.DUMMYFUNCTION("""COMPUTED_VALUE"""),"CONTENEDOR DE BASURA 50 LT")</f>
        <v>CONTENEDOR DE BASURA 50 LT</v>
      </c>
      <c r="I1158" s="213" t="str">
        <f>IFERROR(__xludf.DUMMYFUNCTION("""COMPUTED_VALUE"""),"· Material Plástico
· Apilable Si
· Uso Recolector de residuos sólidos
· Medidas  aproximadas (+- 5 cm ) (Alto 59,1 cm x Ancho 44,5 cm x Largo 44,7 cm)
· Capacidad minima 50 L")</f>
        <v>· Material Plástico
· Apilable Si
· Uso Recolector de residuos sólidos
· Medidas  aproximadas (+- 5 cm ) (Alto 59,1 cm x Ancho 44,5 cm x Largo 44,7 cm)
· Capacidad minima 50 L</v>
      </c>
      <c r="J1158" s="213">
        <f>IFERROR(__xludf.DUMMYFUNCTION("""COMPUTED_VALUE"""),3.0)</f>
        <v>3</v>
      </c>
      <c r="K1158" s="213" t="str">
        <f>IFERROR(__xludf.DUMMYFUNCTION("""COMPUTED_VALUE"""),"90 DÍAS CALENDARIO")</f>
        <v>90 DÍAS CALENDARIO</v>
      </c>
      <c r="L1158" s="213" t="str">
        <f>IFERROR(__xludf.DUMMYFUNCTION("""COMPUTED_VALUE"""),"")</f>
        <v/>
      </c>
      <c r="M1158" s="213">
        <f>IFERROR(__xludf.DUMMYFUNCTION("""COMPUTED_VALUE"""),1.0)</f>
        <v>1</v>
      </c>
      <c r="N1158" s="213">
        <f>IFERROR(__xludf.DUMMYFUNCTION("""COMPUTED_VALUE"""),2.0)</f>
        <v>2</v>
      </c>
      <c r="O1158" s="213">
        <f>IFERROR(__xludf.DUMMYFUNCTION("""COMPUTED_VALUE"""),2.0)</f>
        <v>2</v>
      </c>
      <c r="P1158" s="213"/>
      <c r="Q1158" s="213"/>
      <c r="R1158" s="213"/>
      <c r="S1158" s="213"/>
      <c r="T1158" s="213" t="str">
        <f>IFERROR(__xludf.DUMMYFUNCTION("""COMPUTED_VALUE"""),"SI")</f>
        <v>SI</v>
      </c>
      <c r="U1158" s="213" t="str">
        <f>IFERROR(__xludf.DUMMYFUNCTION("""COMPUTED_VALUE"""),"SI")</f>
        <v>SI</v>
      </c>
      <c r="V1158" s="213" t="str">
        <f>IFERROR(__xludf.DUMMYFUNCTION("""COMPUTED_VALUE"""),"-")</f>
        <v>-</v>
      </c>
      <c r="W1158" s="213" t="str">
        <f>IFERROR(__xludf.DUMMYFUNCTION("""COMPUTED_VALUE"""),"-")</f>
        <v>-</v>
      </c>
      <c r="X1158" s="213" t="str">
        <f>IFERROR(__xludf.DUMMYFUNCTION("""COMPUTED_VALUE"""),"Rey Plast")</f>
        <v>Rey Plast</v>
      </c>
      <c r="Y1158" s="213" t="str">
        <f>IFERROR(__xludf.DUMMYFUNCTION("""COMPUTED_VALUE"""),"Modelo 60")</f>
        <v>Modelo 60</v>
      </c>
      <c r="Z1158" s="215" t="str">
        <f>IFERROR(__xludf.DUMMYFUNCTION("""COMPUTED_VALUE"""),"https://www.promart.pe/tacho-robusto-c-tapa-mecanizada-50-9-l/p?gad_source=1&amp;gad_campaignid=23066034672&amp;gbraid=0AAAAADJIfALdWzROTOtlMXWDth9VPCM0s&amp;gclid=Cj0KCQjw6bfHBhDNARIsAIGsqLjZaUV-jCl7fWX6Fnju64LcyaysMIxehZlXDxVA_ax-ADo2eGfVG50aAq-jEALw_wcB")</f>
        <v>https://www.promart.pe/tacho-robusto-c-tapa-mecanizada-50-9-l/p?gad_source=1&amp;gad_campaignid=23066034672&amp;gbraid=0AAAAADJIfALdWzROTOtlMXWDth9VPCM0s&amp;gclid=Cj0KCQjw6bfHBhDNARIsAIGsqLjZaUV-jCl7fWX6Fnju64LcyaysMIxehZlXDxVA_ax-ADo2eGfVG50aAq-jEALw_wcB</v>
      </c>
      <c r="AA1158" s="213" t="str">
        <f>IFERROR(__xludf.DUMMYFUNCTION("""COMPUTED_VALUE"""),"MAT-138-X CONTENEDOR DE BASURA 50 LT ( CR ) - CET")</f>
        <v>MAT-138-X CONTENEDOR DE BASURA 50 LT ( CR ) - CET</v>
      </c>
      <c r="AB1158" s="213"/>
      <c r="AC1158" s="213"/>
      <c r="AD1158" s="213"/>
      <c r="AE1158" s="213"/>
      <c r="AF1158" s="213"/>
      <c r="AG1158" s="213"/>
      <c r="AH1158" s="213"/>
      <c r="AI1158" s="213"/>
      <c r="AJ1158" s="213"/>
      <c r="AK1158" s="213"/>
      <c r="AL1158" s="213"/>
      <c r="AM1158" s="213"/>
      <c r="AN1158" s="213"/>
      <c r="AO1158" s="213"/>
      <c r="AP1158" s="213" t="str">
        <f>IFERROR(__xludf.DUMMYFUNCTION("""COMPUTED_VALUE"""),"LUIS")</f>
        <v>LUIS</v>
      </c>
      <c r="AQ1158" s="213"/>
      <c r="AR1158" s="213"/>
      <c r="AS1158" s="213"/>
      <c r="AT1158" s="213"/>
      <c r="AU1158" s="213"/>
      <c r="AV1158" s="213"/>
      <c r="AW1158" s="213"/>
      <c r="AX1158" s="213"/>
      <c r="AY1158" s="213"/>
      <c r="AZ1158" s="213"/>
      <c r="BA1158" s="213"/>
      <c r="BB1158" s="213"/>
      <c r="BC1158" s="213"/>
      <c r="BD1158" s="213"/>
    </row>
    <row r="1159">
      <c r="A1159" s="213">
        <f>IFERROR(__xludf.DUMMYFUNCTION("""COMPUTED_VALUE"""),19.0)</f>
        <v>19</v>
      </c>
      <c r="B1159" s="213" t="str">
        <f>IFERROR(__xludf.DUMMYFUNCTION("""COMPUTED_VALUE"""),"16449 ELOY SOBERON  FLORES")</f>
        <v>16449 ELOY SOBERON  FLORES</v>
      </c>
      <c r="C1159" s="213" t="str">
        <f>IFERROR(__xludf.DUMMYFUNCTION("""COMPUTED_VALUE"""),"TALLER SFT DE COCINA Y REPOSTERÍA")</f>
        <v>TALLER SFT DE COCINA Y REPOSTERÍA</v>
      </c>
      <c r="D1159" s="213" t="str">
        <f>IFERROR(__xludf.DUMMYFUNCTION("""COMPUTED_VALUE"""),"HERRAMIENTAS")</f>
        <v>HERRAMIENTAS</v>
      </c>
      <c r="E1159" s="213" t="str">
        <f>IFERROR(__xludf.DUMMYFUNCTION("""COMPUTED_VALUE"""),"MAT-138")</f>
        <v>MAT-138</v>
      </c>
      <c r="F1159" s="213" t="str">
        <f>IFERROR(__xludf.DUMMYFUNCTION("""COMPUTED_VALUE"""),"MAT-138-X")</f>
        <v>MAT-138-X</v>
      </c>
      <c r="G1159" s="213"/>
      <c r="H1159" s="213" t="str">
        <f>IFERROR(__xludf.DUMMYFUNCTION("""COMPUTED_VALUE"""),"CONTENEDOR DE BASURA 50 LT")</f>
        <v>CONTENEDOR DE BASURA 50 LT</v>
      </c>
      <c r="I1159" s="213" t="str">
        <f>IFERROR(__xludf.DUMMYFUNCTION("""COMPUTED_VALUE"""),"· Material Plástico
· Apilable Si
· Uso Recolector de residuos sólidos
· Medidas  aproximadas (+- 5 cm ) (Alto 59,1 cm x Ancho 44,5 cm x Largo 44,7 cm)
· Capacidad minima 50 L")</f>
        <v>· Material Plástico
· Apilable Si
· Uso Recolector de residuos sólidos
· Medidas  aproximadas (+- 5 cm ) (Alto 59,1 cm x Ancho 44,5 cm x Largo 44,7 cm)
· Capacidad minima 50 L</v>
      </c>
      <c r="J1159" s="213">
        <f>IFERROR(__xludf.DUMMYFUNCTION("""COMPUTED_VALUE"""),3.0)</f>
        <v>3</v>
      </c>
      <c r="K1159" s="213" t="str">
        <f>IFERROR(__xludf.DUMMYFUNCTION("""COMPUTED_VALUE"""),"90 DÍAS CALENDARIO")</f>
        <v>90 DÍAS CALENDARIO</v>
      </c>
      <c r="L1159" s="213" t="str">
        <f>IFERROR(__xludf.DUMMYFUNCTION("""COMPUTED_VALUE"""),"")</f>
        <v/>
      </c>
      <c r="M1159" s="213">
        <f>IFERROR(__xludf.DUMMYFUNCTION("""COMPUTED_VALUE"""),1.0)</f>
        <v>1</v>
      </c>
      <c r="N1159" s="213">
        <f>IFERROR(__xludf.DUMMYFUNCTION("""COMPUTED_VALUE"""),2.0)</f>
        <v>2</v>
      </c>
      <c r="O1159" s="213">
        <f>IFERROR(__xludf.DUMMYFUNCTION("""COMPUTED_VALUE"""),2.0)</f>
        <v>2</v>
      </c>
      <c r="P1159" s="213"/>
      <c r="Q1159" s="213"/>
      <c r="R1159" s="213"/>
      <c r="S1159" s="213"/>
      <c r="T1159" s="213" t="str">
        <f>IFERROR(__xludf.DUMMYFUNCTION("""COMPUTED_VALUE"""),"SI")</f>
        <v>SI</v>
      </c>
      <c r="U1159" s="213" t="str">
        <f>IFERROR(__xludf.DUMMYFUNCTION("""COMPUTED_VALUE"""),"SI")</f>
        <v>SI</v>
      </c>
      <c r="V1159" s="213" t="str">
        <f>IFERROR(__xludf.DUMMYFUNCTION("""COMPUTED_VALUE"""),"-")</f>
        <v>-</v>
      </c>
      <c r="W1159" s="213" t="str">
        <f>IFERROR(__xludf.DUMMYFUNCTION("""COMPUTED_VALUE"""),"-")</f>
        <v>-</v>
      </c>
      <c r="X1159" s="213" t="str">
        <f>IFERROR(__xludf.DUMMYFUNCTION("""COMPUTED_VALUE"""),"Rey Plast")</f>
        <v>Rey Plast</v>
      </c>
      <c r="Y1159" s="213" t="str">
        <f>IFERROR(__xludf.DUMMYFUNCTION("""COMPUTED_VALUE"""),"Modelo 60")</f>
        <v>Modelo 60</v>
      </c>
      <c r="Z1159" s="215" t="str">
        <f>IFERROR(__xludf.DUMMYFUNCTION("""COMPUTED_VALUE"""),"https://www.promart.pe/tacho-robusto-c-tapa-mecanizada-50-9-l/p?gad_source=1&amp;gad_campaignid=23066034672&amp;gbraid=0AAAAADJIfALdWzROTOtlMXWDth9VPCM0s&amp;gclid=Cj0KCQjw6bfHBhDNARIsAIGsqLjZaUV-jCl7fWX6Fnju64LcyaysMIxehZlXDxVA_ax-ADo2eGfVG50aAq-jEALw_wcB")</f>
        <v>https://www.promart.pe/tacho-robusto-c-tapa-mecanizada-50-9-l/p?gad_source=1&amp;gad_campaignid=23066034672&amp;gbraid=0AAAAADJIfALdWzROTOtlMXWDth9VPCM0s&amp;gclid=Cj0KCQjw6bfHBhDNARIsAIGsqLjZaUV-jCl7fWX6Fnju64LcyaysMIxehZlXDxVA_ax-ADo2eGfVG50aAq-jEALw_wcB</v>
      </c>
      <c r="AA1159" s="213" t="str">
        <f>IFERROR(__xludf.DUMMYFUNCTION("""COMPUTED_VALUE"""),"MAT-138-X CONTENEDOR DE BASURA 50 LT ( CR ) - CET")</f>
        <v>MAT-138-X CONTENEDOR DE BASURA 50 LT ( CR ) - CET</v>
      </c>
      <c r="AB1159" s="213"/>
      <c r="AC1159" s="213"/>
      <c r="AD1159" s="213"/>
      <c r="AE1159" s="213"/>
      <c r="AF1159" s="213"/>
      <c r="AG1159" s="213"/>
      <c r="AH1159" s="213"/>
      <c r="AI1159" s="213"/>
      <c r="AJ1159" s="213"/>
      <c r="AK1159" s="213"/>
      <c r="AL1159" s="213"/>
      <c r="AM1159" s="213"/>
      <c r="AN1159" s="213"/>
      <c r="AO1159" s="213"/>
      <c r="AP1159" s="213" t="str">
        <f>IFERROR(__xludf.DUMMYFUNCTION("""COMPUTED_VALUE"""),"LUIS")</f>
        <v>LUIS</v>
      </c>
      <c r="AQ1159" s="213"/>
      <c r="AR1159" s="213"/>
      <c r="AS1159" s="213"/>
      <c r="AT1159" s="213"/>
      <c r="AU1159" s="213"/>
      <c r="AV1159" s="213"/>
      <c r="AW1159" s="213"/>
      <c r="AX1159" s="213"/>
      <c r="AY1159" s="213"/>
      <c r="AZ1159" s="213"/>
      <c r="BA1159" s="213"/>
      <c r="BB1159" s="213"/>
      <c r="BC1159" s="213"/>
      <c r="BD1159" s="213"/>
    </row>
    <row r="1160">
      <c r="A1160" s="213">
        <f>IFERROR(__xludf.DUMMYFUNCTION("""COMPUTED_VALUE"""),464.0)</f>
        <v>464</v>
      </c>
      <c r="B1160" s="213" t="str">
        <f>IFERROR(__xludf.DUMMYFUNCTION("""COMPUTED_VALUE"""),"2026 SIMON BOLIVAR")</f>
        <v>2026 SIMON BOLIVAR</v>
      </c>
      <c r="C1160" s="213" t="str">
        <f>IFERROR(__xludf.DUMMYFUNCTION("""COMPUTED_VALUE"""),"TALLER SFT DE INDUSTRIA ALIMENTARIA")</f>
        <v>TALLER SFT DE INDUSTRIA ALIMENTARIA</v>
      </c>
      <c r="D1160" s="213" t="str">
        <f>IFERROR(__xludf.DUMMYFUNCTION("""COMPUTED_VALUE"""),"HERRAMIENTAS")</f>
        <v>HERRAMIENTAS</v>
      </c>
      <c r="E1160" s="213" t="str">
        <f>IFERROR(__xludf.DUMMYFUNCTION("""COMPUTED_VALUE"""),"MAT-138")</f>
        <v>MAT-138</v>
      </c>
      <c r="F1160" s="213" t="str">
        <f>IFERROR(__xludf.DUMMYFUNCTION("""COMPUTED_VALUE"""),"MAT-138-Y")</f>
        <v>MAT-138-Y</v>
      </c>
      <c r="G1160" s="213"/>
      <c r="H1160" s="213" t="str">
        <f>IFERROR(__xludf.DUMMYFUNCTION("""COMPUTED_VALUE"""),"CONTENEDOR DE BASURA 50 LT")</f>
        <v>CONTENEDOR DE BASURA 50 LT</v>
      </c>
      <c r="I1160" s="213"/>
      <c r="J1160" s="213">
        <f>IFERROR(__xludf.DUMMYFUNCTION("""COMPUTED_VALUE"""),3.0)</f>
        <v>3</v>
      </c>
      <c r="K1160" s="213" t="str">
        <f>IFERROR(__xludf.DUMMYFUNCTION("""COMPUTED_VALUE"""),"90 DÍAS CALENDARIO")</f>
        <v>90 DÍAS CALENDARIO</v>
      </c>
      <c r="L1160" s="213" t="str">
        <f>IFERROR(__xludf.DUMMYFUNCTION("""COMPUTED_VALUE"""),"")</f>
        <v/>
      </c>
      <c r="M1160" s="213">
        <f>IFERROR(__xludf.DUMMYFUNCTION("""COMPUTED_VALUE"""),1.0)</f>
        <v>1</v>
      </c>
      <c r="N1160" s="213">
        <f>IFERROR(__xludf.DUMMYFUNCTION("""COMPUTED_VALUE"""),2.0)</f>
        <v>2</v>
      </c>
      <c r="O1160" s="213">
        <f>IFERROR(__xludf.DUMMYFUNCTION("""COMPUTED_VALUE"""),2.0)</f>
        <v>2</v>
      </c>
      <c r="P1160" s="213"/>
      <c r="Q1160" s="213"/>
      <c r="R1160" s="213"/>
      <c r="S1160" s="213"/>
      <c r="T1160" s="213" t="str">
        <f>IFERROR(__xludf.DUMMYFUNCTION("""COMPUTED_VALUE"""),"SI")</f>
        <v>SI</v>
      </c>
      <c r="U1160" s="213" t="str">
        <f>IFERROR(__xludf.DUMMYFUNCTION("""COMPUTED_VALUE"""),"SI")</f>
        <v>SI</v>
      </c>
      <c r="V1160" s="213" t="str">
        <f>IFERROR(__xludf.DUMMYFUNCTION("""COMPUTED_VALUE"""),"-")</f>
        <v>-</v>
      </c>
      <c r="W1160" s="213" t="str">
        <f>IFERROR(__xludf.DUMMYFUNCTION("""COMPUTED_VALUE"""),"-")</f>
        <v>-</v>
      </c>
      <c r="X1160" s="213" t="str">
        <f>IFERROR(__xludf.DUMMYFUNCTION("""COMPUTED_VALUE"""),"Rey Plast")</f>
        <v>Rey Plast</v>
      </c>
      <c r="Y1160" s="213" t="str">
        <f>IFERROR(__xludf.DUMMYFUNCTION("""COMPUTED_VALUE"""),"Modelo 60")</f>
        <v>Modelo 60</v>
      </c>
      <c r="Z1160" s="215" t="str">
        <f>IFERROR(__xludf.DUMMYFUNCTION("""COMPUTED_VALUE"""),"https://www.promart.pe/tacho-robusto-c-tapa-mecanizada-50-9-l/p?gad_source=1&amp;gad_campaignid=23066034672&amp;gbraid=0AAAAADJIfALdWzROTOtlMXWDth9VPCM0s&amp;gclid=Cj0KCQjw6bfHBhDNARIsAIGsqLjZaUV-jCl7fWX6Fnju64LcyaysMIxehZlXDxVA_ax-ADo2eGfVG50aAq-jEALw_wcB")</f>
        <v>https://www.promart.pe/tacho-robusto-c-tapa-mecanizada-50-9-l/p?gad_source=1&amp;gad_campaignid=23066034672&amp;gbraid=0AAAAADJIfALdWzROTOtlMXWDth9VPCM0s&amp;gclid=Cj0KCQjw6bfHBhDNARIsAIGsqLjZaUV-jCl7fWX6Fnju64LcyaysMIxehZlXDxVA_ax-ADo2eGfVG50aAq-jEALw_wcB</v>
      </c>
      <c r="AA1160" s="213" t="str">
        <f>IFERROR(__xludf.DUMMYFUNCTION("""COMPUTED_VALUE"""),"MAT-138-Y CONTENEDOR DE BASURA 50 LT ( IA ) - CET")</f>
        <v>MAT-138-Y CONTENEDOR DE BASURA 50 LT ( IA ) - CET</v>
      </c>
      <c r="AB1160" s="213"/>
      <c r="AC1160" s="213"/>
      <c r="AD1160" s="213"/>
      <c r="AE1160" s="213"/>
      <c r="AF1160" s="213"/>
      <c r="AG1160" s="213"/>
      <c r="AH1160" s="213"/>
      <c r="AI1160" s="213"/>
      <c r="AJ1160" s="213"/>
      <c r="AK1160" s="213"/>
      <c r="AL1160" s="213"/>
      <c r="AM1160" s="213"/>
      <c r="AN1160" s="213"/>
      <c r="AO1160" s="213"/>
      <c r="AP1160" s="213" t="str">
        <f>IFERROR(__xludf.DUMMYFUNCTION("""COMPUTED_VALUE"""),"BRUNO")</f>
        <v>BRUNO</v>
      </c>
      <c r="AQ1160" s="213"/>
      <c r="AR1160" s="213"/>
      <c r="AS1160" s="213"/>
      <c r="AT1160" s="213"/>
      <c r="AU1160" s="213"/>
      <c r="AV1160" s="213"/>
      <c r="AW1160" s="213"/>
      <c r="AX1160" s="213"/>
      <c r="AY1160" s="213"/>
      <c r="AZ1160" s="213"/>
      <c r="BA1160" s="213"/>
      <c r="BB1160" s="213"/>
      <c r="BC1160" s="213"/>
      <c r="BD1160" s="213"/>
    </row>
    <row r="1161">
      <c r="A1161" s="213">
        <f>IFERROR(__xludf.DUMMYFUNCTION("""COMPUTED_VALUE"""),1089.0)</f>
        <v>1089</v>
      </c>
      <c r="B1161" s="213" t="str">
        <f>IFERROR(__xludf.DUMMYFUNCTION("""COMPUTED_VALUE"""),"FRANCISCO IRAZOLA")</f>
        <v>FRANCISCO IRAZOLA</v>
      </c>
      <c r="C1161" s="213" t="str">
        <f>IFERROR(__xludf.DUMMYFUNCTION("""COMPUTED_VALUE"""),"TALLER SFT DE INDUSTRIA ALIMENTARIA")</f>
        <v>TALLER SFT DE INDUSTRIA ALIMENTARIA</v>
      </c>
      <c r="D1161" s="213" t="str">
        <f>IFERROR(__xludf.DUMMYFUNCTION("""COMPUTED_VALUE"""),"HERRAMIENTAS")</f>
        <v>HERRAMIENTAS</v>
      </c>
      <c r="E1161" s="213" t="str">
        <f>IFERROR(__xludf.DUMMYFUNCTION("""COMPUTED_VALUE"""),"MAT-138")</f>
        <v>MAT-138</v>
      </c>
      <c r="F1161" s="213" t="str">
        <f>IFERROR(__xludf.DUMMYFUNCTION("""COMPUTED_VALUE"""),"MAT-138-Y")</f>
        <v>MAT-138-Y</v>
      </c>
      <c r="G1161" s="213"/>
      <c r="H1161" s="213" t="str">
        <f>IFERROR(__xludf.DUMMYFUNCTION("""COMPUTED_VALUE"""),"CONTENEDOR DE BASURA 50 LT")</f>
        <v>CONTENEDOR DE BASURA 50 LT</v>
      </c>
      <c r="I1161" s="213"/>
      <c r="J1161" s="213">
        <f>IFERROR(__xludf.DUMMYFUNCTION("""COMPUTED_VALUE"""),3.0)</f>
        <v>3</v>
      </c>
      <c r="K1161" s="213" t="str">
        <f>IFERROR(__xludf.DUMMYFUNCTION("""COMPUTED_VALUE"""),"90 DÍAS CALENDARIO")</f>
        <v>90 DÍAS CALENDARIO</v>
      </c>
      <c r="L1161" s="213" t="str">
        <f>IFERROR(__xludf.DUMMYFUNCTION("""COMPUTED_VALUE"""),"")</f>
        <v/>
      </c>
      <c r="M1161" s="213">
        <f>IFERROR(__xludf.DUMMYFUNCTION("""COMPUTED_VALUE"""),1.0)</f>
        <v>1</v>
      </c>
      <c r="N1161" s="213">
        <f>IFERROR(__xludf.DUMMYFUNCTION("""COMPUTED_VALUE"""),2.0)</f>
        <v>2</v>
      </c>
      <c r="O1161" s="213">
        <f>IFERROR(__xludf.DUMMYFUNCTION("""COMPUTED_VALUE"""),2.0)</f>
        <v>2</v>
      </c>
      <c r="P1161" s="213"/>
      <c r="Q1161" s="213"/>
      <c r="R1161" s="213"/>
      <c r="S1161" s="213"/>
      <c r="T1161" s="213" t="str">
        <f>IFERROR(__xludf.DUMMYFUNCTION("""COMPUTED_VALUE"""),"SI")</f>
        <v>SI</v>
      </c>
      <c r="U1161" s="213" t="str">
        <f>IFERROR(__xludf.DUMMYFUNCTION("""COMPUTED_VALUE"""),"SI")</f>
        <v>SI</v>
      </c>
      <c r="V1161" s="213" t="str">
        <f>IFERROR(__xludf.DUMMYFUNCTION("""COMPUTED_VALUE"""),"-")</f>
        <v>-</v>
      </c>
      <c r="W1161" s="213" t="str">
        <f>IFERROR(__xludf.DUMMYFUNCTION("""COMPUTED_VALUE"""),"-")</f>
        <v>-</v>
      </c>
      <c r="X1161" s="213" t="str">
        <f>IFERROR(__xludf.DUMMYFUNCTION("""COMPUTED_VALUE"""),"Rey Plast")</f>
        <v>Rey Plast</v>
      </c>
      <c r="Y1161" s="213" t="str">
        <f>IFERROR(__xludf.DUMMYFUNCTION("""COMPUTED_VALUE"""),"Modelo 60")</f>
        <v>Modelo 60</v>
      </c>
      <c r="Z1161" s="215" t="str">
        <f>IFERROR(__xludf.DUMMYFUNCTION("""COMPUTED_VALUE"""),"https://www.promart.pe/tacho-robusto-c-tapa-mecanizada-50-9-l/p?gad_source=1&amp;gad_campaignid=23066034672&amp;gbraid=0AAAAADJIfALdWzROTOtlMXWDth9VPCM0s&amp;gclid=Cj0KCQjw6bfHBhDNARIsAIGsqLjZaUV-jCl7fWX6Fnju64LcyaysMIxehZlXDxVA_ax-ADo2eGfVG50aAq-jEALw_wcB")</f>
        <v>https://www.promart.pe/tacho-robusto-c-tapa-mecanizada-50-9-l/p?gad_source=1&amp;gad_campaignid=23066034672&amp;gbraid=0AAAAADJIfALdWzROTOtlMXWDth9VPCM0s&amp;gclid=Cj0KCQjw6bfHBhDNARIsAIGsqLjZaUV-jCl7fWX6Fnju64LcyaysMIxehZlXDxVA_ax-ADo2eGfVG50aAq-jEALw_wcB</v>
      </c>
      <c r="AA1161" s="213" t="str">
        <f>IFERROR(__xludf.DUMMYFUNCTION("""COMPUTED_VALUE"""),"MAT-138-Y CONTENEDOR DE BASURA 50 LT ( IA ) - CET")</f>
        <v>MAT-138-Y CONTENEDOR DE BASURA 50 LT ( IA ) - CET</v>
      </c>
      <c r="AB1161" s="213"/>
      <c r="AC1161" s="213"/>
      <c r="AD1161" s="213"/>
      <c r="AE1161" s="213"/>
      <c r="AF1161" s="213"/>
      <c r="AG1161" s="213"/>
      <c r="AH1161" s="213"/>
      <c r="AI1161" s="213"/>
      <c r="AJ1161" s="213"/>
      <c r="AK1161" s="213"/>
      <c r="AL1161" s="213"/>
      <c r="AM1161" s="213"/>
      <c r="AN1161" s="213"/>
      <c r="AO1161" s="213"/>
      <c r="AP1161" s="213" t="str">
        <f>IFERROR(__xludf.DUMMYFUNCTION("""COMPUTED_VALUE"""),"BRUNO")</f>
        <v>BRUNO</v>
      </c>
      <c r="AQ1161" s="213"/>
      <c r="AR1161" s="213"/>
      <c r="AS1161" s="213"/>
      <c r="AT1161" s="213"/>
      <c r="AU1161" s="213"/>
      <c r="AV1161" s="213"/>
      <c r="AW1161" s="213"/>
      <c r="AX1161" s="213"/>
      <c r="AY1161" s="213"/>
      <c r="AZ1161" s="213"/>
      <c r="BA1161" s="213"/>
      <c r="BB1161" s="213"/>
      <c r="BC1161" s="213"/>
      <c r="BD1161" s="213"/>
    </row>
    <row r="1162">
      <c r="A1162" s="213">
        <f>IFERROR(__xludf.DUMMYFUNCTION("""COMPUTED_VALUE"""),685.0)</f>
        <v>685</v>
      </c>
      <c r="B1162" s="213" t="str">
        <f>IFERROR(__xludf.DUMMYFUNCTION("""COMPUTED_VALUE"""),"6049 RICARDO PALMA")</f>
        <v>6049 RICARDO PALMA</v>
      </c>
      <c r="C1162" s="213" t="str">
        <f>IFERROR(__xludf.DUMMYFUNCTION("""COMPUTED_VALUE"""),"TALLER SFT DE ELECTRÓNICA")</f>
        <v>TALLER SFT DE ELECTRÓNICA</v>
      </c>
      <c r="D1162" s="213" t="str">
        <f>IFERROR(__xludf.DUMMYFUNCTION("""COMPUTED_VALUE"""),"EQUIPOS")</f>
        <v>EQUIPOS</v>
      </c>
      <c r="E1162" s="213" t="str">
        <f>IFERROR(__xludf.DUMMYFUNCTION("""COMPUTED_VALUE"""),"ESP-214")</f>
        <v>ESP-214</v>
      </c>
      <c r="F1162" s="213" t="str">
        <f>IFERROR(__xludf.DUMMYFUNCTION("""COMPUTED_VALUE"""),"ESP-214")</f>
        <v>ESP-214</v>
      </c>
      <c r="G1162" s="213"/>
      <c r="H1162" s="213" t="str">
        <f>IFERROR(__xludf.DUMMYFUNCTION("""COMPUTED_VALUE"""),"KITS DE ROBOTS ""NO ESTRUCTURADOS"": APLICACIONES A LA INDUSTRIA")</f>
        <v>KITS DE ROBOTS "NO ESTRUCTURADOS": APLICACIONES A LA INDUSTRIA</v>
      </c>
      <c r="I1162" s="213" t="str">
        <f>IFERROR(__xludf.DUMMYFUNCTION("""COMPUTED_VALUE"""),"· Los kits de robótica permiten interactuar con los principios de electrónica, mecánica, en razón a las
diferentes aplicaciones que se desarrollan en un proceso de automatización, aplicando técnicas de programación para el control de los movimientos del r"&amp;"obot; en ese sentido los kits de robótica permiten la construcción de sistemas mecánicos, de control, sistemas de sensores, automatización, mecanismos entre otros.
· Permite el desarrollo de prototipos de robots en sus diferentes funciones que se pueden a"&amp;"plicar a la industria.
· El kit debe contener:
· -No menor de 400 piezas de diferentes tipos para armar diferentes funciones que se dan en un proceso industrial (aplicación de materiales, alimentación de máquinas, transportación de materiales para el proc"&amp;"esado de un producto, corte, montaje, paletización, entre otros). Las diferentes piezas deben contener sus especificaciones técnicas.
- Debe contener baterías recargables para manipular el robot de forma autónoma.
· -Debe contener diferentes tipos de moto"&amp;"res y cables adecuados para conexión y para interacción con la computadora; así como controles remotos para el control inalámbrico.
- Debe contener sensores como mínimo de tipo de proximidad y posición.
- Debe contener actuadores como mínimo de tipo lumín"&amp;"ico.
- Debe contar con conexión Bluetooth para garantizar la comunicación inalámbrica.
· -Debe permitir la construcción de robots con arquitecturas diferentes, poli articulados, móviles, zoomórficas, híbridos.
- Debe incluir el software apropiado para la "&amp;"programación de las funciones del robot.
· -Los componentes deben estar en estuches de plástico apropiados de material resistente con el inventario respectivo impreso plastificado.
· -Debe tener un manual de instrucciones, un software que permita la progr"&amp;"amación del robot con un lenguaje.
· -Debe considerarse la asistencia técnica correspondiente, a través de tutoriales y soporte virtual para la aplicación y entrenamiento de los docentes de manera permanente.
· -Los prototipos de robots deben estar asocia"&amp;"dos a las diferentes funciones que se dan en un proceso de automatización.")</f>
        <v>· Los kits de robótica permiten interactuar con los principios de electrónica, mecánica, en razón a las
diferentes aplicaciones que se desarrollan en un proceso de automatización, aplicando técnicas de programación para el control de los movimientos del robot; en ese sentido los kits de robótica permiten la construcción de sistemas mecánicos, de control, sistemas de sensores, automatización, mecanismos entre otros.
· Permite el desarrollo de prototipos de robots en sus diferentes funciones que se pueden aplicar a la industria.
· El kit debe contener:
· -No menor de 400 piezas de diferentes tipos para armar diferentes funciones que se dan en un proceso industrial (aplicación de materiales, alimentación de máquinas, transportación de materiales para el procesado de un producto, corte, montaje, paletización, entre otros). Las diferentes piezas deben contener sus especificaciones técnicas.
- Debe contener baterías recargables para manipular el robot de forma autónoma.
· -Debe contener diferentes tipos de motores y cables adecuados para conexión y para interacción con la computadora; así como controles remotos para el control inalámbrico.
- Debe contener sensores como mínimo de tipo de proximidad y posición.
- Debe contener actuadores como mínimo de tipo lumínico.
- Debe contar con conexión Bluetooth para garantizar la comunicación inalámbrica.
· -Debe permitir la construcción de robots con arquitecturas diferentes, poli articulados, móviles, zoomórficas, híbridos.
- Debe incluir el software apropiado para la programación de las funciones del robot.
· -Los componentes deben estar en estuches de plástico apropiados de material resistente con el inventario respectivo impreso plastificado.
· -Debe tener un manual de instrucciones, un software que permita la programación del robot con un lenguaje.
· -Debe considerarse la asistencia técnica correspondiente, a través de tutoriales y soporte virtual para la aplicación y entrenamiento de los docentes de manera permanente.
· -Los prototipos de robots deben estar asociados a las diferentes funciones que se dan en un proceso de automatización.</v>
      </c>
      <c r="J1162" s="213">
        <f>IFERROR(__xludf.DUMMYFUNCTION("""COMPUTED_VALUE"""),3.0)</f>
        <v>3</v>
      </c>
      <c r="K1162" s="213" t="str">
        <f>IFERROR(__xludf.DUMMYFUNCTION("""COMPUTED_VALUE"""),"170 DÍAS CALENDARIO")</f>
        <v>170 DÍAS CALENDARIO</v>
      </c>
      <c r="L1162" s="213" t="str">
        <f>IFERROR(__xludf.DUMMYFUNCTION("""COMPUTED_VALUE"""),"")</f>
        <v/>
      </c>
      <c r="M1162" s="213">
        <f>IFERROR(__xludf.DUMMYFUNCTION("""COMPUTED_VALUE"""),1.0)</f>
        <v>1</v>
      </c>
      <c r="N1162" s="213">
        <f>IFERROR(__xludf.DUMMYFUNCTION("""COMPUTED_VALUE"""),4.0)</f>
        <v>4</v>
      </c>
      <c r="O1162" s="213">
        <f>IFERROR(__xludf.DUMMYFUNCTION("""COMPUTED_VALUE"""),4.0)</f>
        <v>4</v>
      </c>
      <c r="P1162" s="213"/>
      <c r="Q1162" s="213"/>
      <c r="R1162" s="213"/>
      <c r="S1162" s="213" t="str">
        <f>IFERROR(__xludf.DUMMYFUNCTION("""COMPUTED_VALUE"""),"SI")</f>
        <v>SI</v>
      </c>
      <c r="T1162" s="213" t="str">
        <f>IFERROR(__xludf.DUMMYFUNCTION("""COMPUTED_VALUE"""),"CONSULTA FINAL")</f>
        <v>CONSULTA FINAL</v>
      </c>
      <c r="U1162" s="213" t="str">
        <f>IFERROR(__xludf.DUMMYFUNCTION("""COMPUTED_VALUE"""),"NO")</f>
        <v>NO</v>
      </c>
      <c r="V1162" s="213" t="str">
        <f>IFERROR(__xludf.DUMMYFUNCTION("""COMPUTED_VALUE"""),"NO")</f>
        <v>NO</v>
      </c>
      <c r="W1162" s="213"/>
      <c r="X1162" s="213" t="str">
        <f>IFERROR(__xludf.DUMMYFUNCTION("""COMPUTED_VALUE"""),"MAKEBLOCK")</f>
        <v>MAKEBLOCK</v>
      </c>
      <c r="Y1162" s="213" t="str">
        <f>IFERROR(__xludf.DUMMYFUNCTION("""COMPUTED_VALUE"""),"2024 – 2025 MakeX Starter Educational Competition Kit")</f>
        <v>2024 – 2025 MakeX Starter Educational Competition Kit</v>
      </c>
      <c r="Z1162" s="215" t="str">
        <f>IFERROR(__xludf.DUMMYFUNCTION("""COMPUTED_VALUE"""),"https://www.engitronicperu.com/producto/2024-makex-starter-educational-competition-kit/")</f>
        <v>https://www.engitronicperu.com/producto/2024-makex-starter-educational-competition-kit/</v>
      </c>
      <c r="AA1162" s="213" t="str">
        <f>IFERROR(__xludf.DUMMYFUNCTION("""COMPUTED_VALUE"""),"ESP-214 KITS DE ROBOTS ""NO ESTRUCTURADOS"": APLICACIONES A LA INDUSTRIA - CET")</f>
        <v>ESP-214 KITS DE ROBOTS "NO ESTRUCTURADOS": APLICACIONES A LA INDUSTRIA - CET</v>
      </c>
      <c r="AB1162" s="213"/>
      <c r="AC1162" s="213"/>
      <c r="AD1162" s="213"/>
      <c r="AE1162" s="213"/>
      <c r="AF1162" s="213"/>
      <c r="AG1162" s="213"/>
      <c r="AH1162" s="213"/>
      <c r="AI1162" s="213"/>
      <c r="AJ1162" s="213"/>
      <c r="AK1162" s="213"/>
      <c r="AL1162" s="213"/>
      <c r="AM1162" s="213"/>
      <c r="AN1162" s="213"/>
      <c r="AO1162" s="213"/>
      <c r="AP1162" s="213" t="str">
        <f>IFERROR(__xludf.DUMMYFUNCTION("""COMPUTED_VALUE"""),"BRUNO")</f>
        <v>BRUNO</v>
      </c>
      <c r="AQ1162" s="213" t="str">
        <f>IFERROR(__xludf.DUMMYFUNCTION("""COMPUTED_VALUE"""),"Se deben añadir más tornillos, remaches y aranderlas para alcanzar el número de piezas estipulado (Solicitan 400 y se tienen 380). También se debe considerar el reempaquetado en bolsas antiestáticas con identificación impresa plastificada del inventario.")</f>
        <v>Se deben añadir más tornillos, remaches y aranderlas para alcanzar el número de piezas estipulado (Solicitan 400 y se tienen 380). También se debe considerar el reempaquetado en bolsas antiestáticas con identificación impresa plastificada del inventario.</v>
      </c>
      <c r="AR1162" s="213"/>
      <c r="AS1162" s="213"/>
      <c r="AT1162" s="213"/>
      <c r="AU1162" s="213"/>
      <c r="AV1162" s="213"/>
      <c r="AW1162" s="213"/>
      <c r="AX1162" s="213"/>
      <c r="AY1162" s="213"/>
      <c r="AZ1162" s="213"/>
      <c r="BA1162" s="213"/>
      <c r="BB1162" s="213"/>
      <c r="BC1162" s="213"/>
      <c r="BD1162" s="213"/>
    </row>
    <row r="1163">
      <c r="A1163" s="213">
        <f>IFERROR(__xludf.DUMMYFUNCTION("""COMPUTED_VALUE"""),1519.0)</f>
        <v>1519</v>
      </c>
      <c r="B1163" s="213" t="str">
        <f>IFERROR(__xludf.DUMMYFUNCTION("""COMPUTED_VALUE"""),"GUILLERMO E. BILLINGHURST ")</f>
        <v>GUILLERMO E. BILLINGHURST </v>
      </c>
      <c r="C1163" s="213" t="str">
        <f>IFERROR(__xludf.DUMMYFUNCTION("""COMPUTED_VALUE"""),"TALLER SFT DE MECÁNICA AUTOMOTRIZ")</f>
        <v>TALLER SFT DE MECÁNICA AUTOMOTRIZ</v>
      </c>
      <c r="D1163" s="213" t="str">
        <f>IFERROR(__xludf.DUMMYFUNCTION("""COMPUTED_VALUE"""),"PEDAGOGICO")</f>
        <v>PEDAGOGICO</v>
      </c>
      <c r="E1163" s="213" t="str">
        <f>IFERROR(__xludf.DUMMYFUNCTION("""COMPUTED_VALUE"""),"MAT-229")</f>
        <v>MAT-229</v>
      </c>
      <c r="F1163" s="213" t="str">
        <f>IFERROR(__xludf.DUMMYFUNCTION("""COMPUTED_VALUE"""),"MAT-164-Y-7")</f>
        <v>MAT-164-Y-7</v>
      </c>
      <c r="G1163" s="213"/>
      <c r="H1163" s="213" t="str">
        <f>IFERROR(__xludf.DUMMYFUNCTION("""COMPUTED_VALUE"""),"JUEGO DE FICHAS PARA EL APRENDIZAJE DE LA SEÑALÉTICA Y SÍMBOLOS DE SEGURIDAD PARA EL TALLER")</f>
        <v>JUEGO DE FICHAS PARA EL APRENDIZAJE DE LA SEÑALÉTICA Y SÍMBOLOS DE SEGURIDAD PARA EL TALLER</v>
      </c>
      <c r="I1163"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"&amp;"ambos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1163" s="213">
        <f>IFERROR(__xludf.DUMMYFUNCTION("""COMPUTED_VALUE"""),3.0)</f>
        <v>3</v>
      </c>
      <c r="K1163" s="213" t="str">
        <f>IFERROR(__xludf.DUMMYFUNCTION("""COMPUTED_VALUE"""),"90 DÍAS CALENDARIO")</f>
        <v>90 DÍAS CALENDARIO</v>
      </c>
      <c r="L1163" s="213" t="str">
        <f>IFERROR(__xludf.DUMMYFUNCTION("""COMPUTED_VALUE"""),"")</f>
        <v/>
      </c>
      <c r="M1163" s="213">
        <f>IFERROR(__xludf.DUMMYFUNCTION("""COMPUTED_VALUE"""),1.0)</f>
        <v>1</v>
      </c>
      <c r="N1163" s="213">
        <f>IFERROR(__xludf.DUMMYFUNCTION("""COMPUTED_VALUE"""),1.0)</f>
        <v>1</v>
      </c>
      <c r="O1163" s="213">
        <f>IFERROR(__xludf.DUMMYFUNCTION("""COMPUTED_VALUE"""),1.0)</f>
        <v>1</v>
      </c>
      <c r="P1163" s="213"/>
      <c r="Q1163" s="213"/>
      <c r="R1163" s="213"/>
      <c r="S1163" s="213"/>
      <c r="T1163" s="213"/>
      <c r="U1163" s="213"/>
      <c r="V1163" s="213"/>
      <c r="W1163" s="213"/>
      <c r="X1163" s="213"/>
      <c r="Y1163" s="213"/>
      <c r="Z1163" s="213"/>
      <c r="AA1163" s="213"/>
      <c r="AB1163" s="213"/>
      <c r="AC1163" s="213"/>
      <c r="AD1163" s="213"/>
      <c r="AE1163" s="213"/>
      <c r="AF1163" s="213"/>
      <c r="AG1163" s="213"/>
      <c r="AH1163" s="213"/>
      <c r="AI1163" s="213"/>
      <c r="AJ1163" s="213"/>
      <c r="AK1163" s="213"/>
      <c r="AL1163" s="213"/>
      <c r="AM1163" s="213"/>
      <c r="AN1163" s="213"/>
      <c r="AO1163" s="213"/>
      <c r="AP1163" s="213"/>
      <c r="AQ1163" s="213"/>
      <c r="AR1163" s="213"/>
      <c r="AS1163" s="213"/>
      <c r="AT1163" s="213"/>
      <c r="AU1163" s="213"/>
      <c r="AV1163" s="213"/>
      <c r="AW1163" s="213"/>
      <c r="AX1163" s="213"/>
      <c r="AY1163" s="213"/>
      <c r="AZ1163" s="213"/>
      <c r="BA1163" s="213"/>
      <c r="BB1163" s="213"/>
      <c r="BC1163" s="213"/>
      <c r="BD1163" s="213"/>
    </row>
    <row r="1164">
      <c r="A1164" s="213">
        <f>IFERROR(__xludf.DUMMYFUNCTION("""COMPUTED_VALUE"""),1938.0)</f>
        <v>1938</v>
      </c>
      <c r="B1164" s="213" t="str">
        <f>IFERROR(__xludf.DUMMYFUNCTION("""COMPUTED_VALUE"""),"JOSE GRANDA")</f>
        <v>JOSE GRANDA</v>
      </c>
      <c r="C1164" s="213" t="str">
        <f>IFERROR(__xludf.DUMMYFUNCTION("""COMPUTED_VALUE"""),"TALLER SFT DE COMPUTACIÓN E INFORMÁTICA")</f>
        <v>TALLER SFT DE COMPUTACIÓN E INFORMÁTICA</v>
      </c>
      <c r="D1164" s="213" t="str">
        <f>IFERROR(__xludf.DUMMYFUNCTION("""COMPUTED_VALUE"""),"PEDAGOGICO")</f>
        <v>PEDAGOGICO</v>
      </c>
      <c r="E1164" s="213" t="str">
        <f>IFERROR(__xludf.DUMMYFUNCTION("""COMPUTED_VALUE"""),"MAT-164")</f>
        <v>MAT-164</v>
      </c>
      <c r="F1164" s="213" t="str">
        <f>IFERROR(__xludf.DUMMYFUNCTION("""COMPUTED_VALUE"""),"MAT-164-Y-2")</f>
        <v>MAT-164-Y-2</v>
      </c>
      <c r="G1164" s="213"/>
      <c r="H1164" s="213" t="str">
        <f>IFERROR(__xludf.DUMMYFUNCTION("""COMPUTED_VALUE"""),"JUEGO DE FICHAS PARA EL APRENDIZAJE DE LA SEÑALÉTICA Y SÍMBOLOS DE SEGURIDAD PARA EL TALLER")</f>
        <v>JUEGO DE FICHAS PARA EL APRENDIZAJE DE LA SEÑALÉTICA Y SÍMBOLOS DE SEGURIDAD PARA EL TALLER</v>
      </c>
      <c r="I1164"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am"&amp;"bos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1164" s="213">
        <f>IFERROR(__xludf.DUMMYFUNCTION("""COMPUTED_VALUE"""),3.0)</f>
        <v>3</v>
      </c>
      <c r="K1164" s="213" t="str">
        <f>IFERROR(__xludf.DUMMYFUNCTION("""COMPUTED_VALUE"""),"90 DÍAS CALENDARIO")</f>
        <v>90 DÍAS CALENDARIO</v>
      </c>
      <c r="L1164" s="213" t="str">
        <f>IFERROR(__xludf.DUMMYFUNCTION("""COMPUTED_VALUE"""),"")</f>
        <v/>
      </c>
      <c r="M1164" s="213">
        <f>IFERROR(__xludf.DUMMYFUNCTION("""COMPUTED_VALUE"""),1.0)</f>
        <v>1</v>
      </c>
      <c r="N1164" s="213">
        <f>IFERROR(__xludf.DUMMYFUNCTION("""COMPUTED_VALUE"""),1.0)</f>
        <v>1</v>
      </c>
      <c r="O1164" s="213">
        <f>IFERROR(__xludf.DUMMYFUNCTION("""COMPUTED_VALUE"""),1.0)</f>
        <v>1</v>
      </c>
      <c r="P1164" s="213"/>
      <c r="Q1164" s="213"/>
      <c r="R1164" s="213"/>
      <c r="S1164" s="213"/>
      <c r="T1164" s="213"/>
      <c r="U1164" s="213"/>
      <c r="V1164" s="213"/>
      <c r="W1164" s="213"/>
      <c r="X1164" s="213"/>
      <c r="Y1164" s="213"/>
      <c r="Z1164" s="213"/>
      <c r="AA1164" s="213"/>
      <c r="AB1164" s="213"/>
      <c r="AC1164" s="213"/>
      <c r="AD1164" s="213"/>
      <c r="AE1164" s="213"/>
      <c r="AF1164" s="213"/>
      <c r="AG1164" s="213"/>
      <c r="AH1164" s="213"/>
      <c r="AI1164" s="213"/>
      <c r="AJ1164" s="213"/>
      <c r="AK1164" s="213"/>
      <c r="AL1164" s="213"/>
      <c r="AM1164" s="213"/>
      <c r="AN1164" s="213"/>
      <c r="AO1164" s="213"/>
      <c r="AP1164" s="213"/>
      <c r="AQ1164" s="213"/>
      <c r="AR1164" s="213"/>
      <c r="AS1164" s="213"/>
      <c r="AT1164" s="213"/>
      <c r="AU1164" s="213"/>
      <c r="AV1164" s="213"/>
      <c r="AW1164" s="213"/>
      <c r="AX1164" s="213"/>
      <c r="AY1164" s="213"/>
      <c r="AZ1164" s="213"/>
      <c r="BA1164" s="213"/>
      <c r="BB1164" s="213"/>
      <c r="BC1164" s="213"/>
      <c r="BD1164" s="213"/>
    </row>
    <row r="1165">
      <c r="A1165" s="213">
        <f>IFERROR(__xludf.DUMMYFUNCTION("""COMPUTED_VALUE"""),2049.0)</f>
        <v>2049</v>
      </c>
      <c r="B1165" s="213" t="str">
        <f>IFERROR(__xludf.DUMMYFUNCTION("""COMPUTED_VALUE"""),"JOSE GRANDA")</f>
        <v>JOSE GRANDA</v>
      </c>
      <c r="C1165" s="213" t="str">
        <f>IFERROR(__xludf.DUMMYFUNCTION("""COMPUTED_VALUE"""),"TALLER SFT DE INDUSTRIA ALIMENTARIA")</f>
        <v>TALLER SFT DE INDUSTRIA ALIMENTARIA</v>
      </c>
      <c r="D1165" s="213" t="str">
        <f>IFERROR(__xludf.DUMMYFUNCTION("""COMPUTED_VALUE"""),"PEDAGOGICO")</f>
        <v>PEDAGOGICO</v>
      </c>
      <c r="E1165" s="213" t="str">
        <f>IFERROR(__xludf.DUMMYFUNCTION("""COMPUTED_VALUE"""),"MAT-164")</f>
        <v>MAT-164</v>
      </c>
      <c r="F1165" s="213" t="str">
        <f>IFERROR(__xludf.DUMMYFUNCTION("""COMPUTED_VALUE"""),"MAT-164-X")</f>
        <v>MAT-164-X</v>
      </c>
      <c r="G1165" s="213"/>
      <c r="H1165" s="213" t="str">
        <f>IFERROR(__xludf.DUMMYFUNCTION("""COMPUTED_VALUE"""),"FICHAS PARA EL APRENDIZAJE DE LA SEÑALÉTICA Y SÍMBOLOS DE SEGURIDAD PARA EL TALLER")</f>
        <v>FICHAS PARA EL APRENDIZAJE DE LA SEÑALÉTICA Y SÍMBOLOS DE SEGURIDAD PARA EL TALLER</v>
      </c>
      <c r="I1165" s="213" t="str">
        <f>IFERROR(__xludf.DUMMYFUNCTION("""COMPUTED_VALUE"""),"· Fichas Tamaño 10 cm x 6 cm
· Base cartón grueso elaborado en una sola pieza
· Impresas a todo color en papel couche de 350 gr/m2, enmicados por ambos lados y con bordes boleados
· Comprende:
- Fichas que describen prohibiciones y restricciones.
- Fichas"&amp;" asociadas a las precauciones.
- Fichas  que se emplean para establecer zonas o áreas de seguridad y vías de evacuación.
- Fichas que orientan acciones obligatorias o uso necesario de equipo especifico.")</f>
        <v>· Fichas Tamaño 10 cm x 6 cm
· Base cartón grueso elaborado en una sola pieza
· Impresas a todo color en papel couche de 350 gr/m2, enmicados por ambos lados y con bordes boleados
· Comprende:
- Fichas que describen prohibiciones y restricciones.
- Fichas asociadas a las precauciones.
- Fichas  que se emplean para establecer zonas o áreas de seguridad y vías de evacuación.
- Fichas que orientan acciones obligatorias o uso necesario de equipo especifico.</v>
      </c>
      <c r="J1165" s="213">
        <f>IFERROR(__xludf.DUMMYFUNCTION("""COMPUTED_VALUE"""),3.0)</f>
        <v>3</v>
      </c>
      <c r="K1165" s="213" t="str">
        <f>IFERROR(__xludf.DUMMYFUNCTION("""COMPUTED_VALUE"""),"90 DÍAS CALENDARIO")</f>
        <v>90 DÍAS CALENDARIO</v>
      </c>
      <c r="L1165" s="213" t="str">
        <f>IFERROR(__xludf.DUMMYFUNCTION("""COMPUTED_VALUE"""),"")</f>
        <v/>
      </c>
      <c r="M1165" s="213">
        <f>IFERROR(__xludf.DUMMYFUNCTION("""COMPUTED_VALUE"""),1.0)</f>
        <v>1</v>
      </c>
      <c r="N1165" s="213">
        <f>IFERROR(__xludf.DUMMYFUNCTION("""COMPUTED_VALUE"""),4.0)</f>
        <v>4</v>
      </c>
      <c r="O1165" s="213">
        <f>IFERROR(__xludf.DUMMYFUNCTION("""COMPUTED_VALUE"""),4.0)</f>
        <v>4</v>
      </c>
      <c r="P1165" s="213"/>
      <c r="Q1165" s="213"/>
      <c r="R1165" s="213"/>
      <c r="S1165" s="213"/>
      <c r="T1165" s="213"/>
      <c r="U1165" s="213"/>
      <c r="V1165" s="213"/>
      <c r="W1165" s="213"/>
      <c r="X1165" s="213"/>
      <c r="Y1165" s="213"/>
      <c r="Z1165" s="213"/>
      <c r="AA1165" s="213"/>
      <c r="AB1165" s="213"/>
      <c r="AC1165" s="213"/>
      <c r="AD1165" s="213"/>
      <c r="AE1165" s="213"/>
      <c r="AF1165" s="213"/>
      <c r="AG1165" s="213"/>
      <c r="AH1165" s="213"/>
      <c r="AI1165" s="213"/>
      <c r="AJ1165" s="213"/>
      <c r="AK1165" s="213"/>
      <c r="AL1165" s="213"/>
      <c r="AM1165" s="213"/>
      <c r="AN1165" s="213"/>
      <c r="AO1165" s="213"/>
      <c r="AP1165" s="213"/>
      <c r="AQ1165" s="213"/>
      <c r="AR1165" s="213"/>
      <c r="AS1165" s="213"/>
      <c r="AT1165" s="213"/>
      <c r="AU1165" s="213"/>
      <c r="AV1165" s="213"/>
      <c r="AW1165" s="213"/>
      <c r="AX1165" s="213"/>
      <c r="AY1165" s="213"/>
      <c r="AZ1165" s="213"/>
      <c r="BA1165" s="213"/>
      <c r="BB1165" s="213"/>
      <c r="BC1165" s="213"/>
      <c r="BD1165" s="213"/>
    </row>
    <row r="1166">
      <c r="A1166" s="213">
        <f>IFERROR(__xludf.DUMMYFUNCTION("""COMPUTED_VALUE"""),2205.0)</f>
        <v>2205</v>
      </c>
      <c r="B1166" s="213" t="str">
        <f>IFERROR(__xludf.DUMMYFUNCTION("""COMPUTED_VALUE"""),"JOSE GRANDA")</f>
        <v>JOSE GRANDA</v>
      </c>
      <c r="C1166" s="213" t="str">
        <f>IFERROR(__xludf.DUMMYFUNCTION("""COMPUTED_VALUE"""),"TALLER SFT DE MECÁNICA AUTOMOTRIZ")</f>
        <v>TALLER SFT DE MECÁNICA AUTOMOTRIZ</v>
      </c>
      <c r="D1166" s="213" t="str">
        <f>IFERROR(__xludf.DUMMYFUNCTION("""COMPUTED_VALUE"""),"PEDAGOGICO")</f>
        <v>PEDAGOGICO</v>
      </c>
      <c r="E1166" s="213" t="str">
        <f>IFERROR(__xludf.DUMMYFUNCTION("""COMPUTED_VALUE"""),"MAT-229")</f>
        <v>MAT-229</v>
      </c>
      <c r="F1166" s="213" t="str">
        <f>IFERROR(__xludf.DUMMYFUNCTION("""COMPUTED_VALUE"""),"MAT-164-Y-7")</f>
        <v>MAT-164-Y-7</v>
      </c>
      <c r="G1166" s="213"/>
      <c r="H1166" s="213" t="str">
        <f>IFERROR(__xludf.DUMMYFUNCTION("""COMPUTED_VALUE"""),"JUEGO DE FICHAS PARA EL APRENDIZAJE DE LA SEÑALÉTICA Y SÍMBOLOS DE SEGURIDAD PARA EL TALLER")</f>
        <v>JUEGO DE FICHAS PARA EL APRENDIZAJE DE LA SEÑALÉTICA Y SÍMBOLOS DE SEGURIDAD PARA EL TALLER</v>
      </c>
      <c r="I1166" s="213" t="str">
        <f>IFERROR(__xludf.DUMMYFUNCTION("""COMPUTED_VALUE"""),"Juego de Fichas: según el Ministerio de Trabajo 5 tipos de señalización
1.    Señal de obligación - mínimo 02 fichas.
2.    Señal de peligro - mínimo 05 fichas.
3.    Señal de auxilio - mínimo 02 fichas.
4.    Señal de prohibición - mínimo 02 fichas.
5.  "&amp;"  Señal de equipo contra incendios - mínimo 02 fichas (o en función a los equipos a instalar). Fichas Tamaño 10 cm x 6 cm
-         Base cartón grueso elaborado en una sola pieza
-         impresas a todo color en papel couche de 350 gr/m2, enmicados por "&amp;"ambos lados y con bordes boleados")</f>
        <v>Juego de Fichas: según el Ministerio de Trabajo 5 tipos de señalización
1.    Señal de obligación - mínimo 02 fichas.
2.    Señal de peligro - mínimo 05 fichas.
3.    Señal de auxilio - mínimo 02 fichas.
4.    Señal de prohibición - mínimo 02 fichas.
5.    Señal de equipo contra incendios - mínimo 02 fichas (o en función a los equipos a instalar). Fichas Tamaño 10 cm x 6 cm
-         Base cartón grueso elaborado en una sola pieza
-         impresas a todo color en papel couche de 350 gr/m2, enmicados por ambos lados y con bordes boleados</v>
      </c>
      <c r="J1166" s="213">
        <f>IFERROR(__xludf.DUMMYFUNCTION("""COMPUTED_VALUE"""),3.0)</f>
        <v>3</v>
      </c>
      <c r="K1166" s="213" t="str">
        <f>IFERROR(__xludf.DUMMYFUNCTION("""COMPUTED_VALUE"""),"90 DÍAS CALENDARIO")</f>
        <v>90 DÍAS CALENDARIO</v>
      </c>
      <c r="L1166" s="213" t="str">
        <f>IFERROR(__xludf.DUMMYFUNCTION("""COMPUTED_VALUE"""),"")</f>
        <v/>
      </c>
      <c r="M1166" s="213">
        <f>IFERROR(__xludf.DUMMYFUNCTION("""COMPUTED_VALUE"""),1.0)</f>
        <v>1</v>
      </c>
      <c r="N1166" s="213">
        <f>IFERROR(__xludf.DUMMYFUNCTION("""COMPUTED_VALUE"""),1.0)</f>
        <v>1</v>
      </c>
      <c r="O1166" s="213">
        <f>IFERROR(__xludf.DUMMYFUNCTION("""COMPUTED_VALUE"""),1.0)</f>
        <v>1</v>
      </c>
      <c r="P1166" s="213"/>
      <c r="Q1166" s="213"/>
      <c r="R1166" s="213"/>
      <c r="S1166" s="213"/>
      <c r="T1166" s="213"/>
      <c r="U1166" s="213"/>
      <c r="V1166" s="213"/>
      <c r="W1166" s="213"/>
      <c r="X1166" s="213"/>
      <c r="Y1166" s="213"/>
      <c r="Z1166" s="213"/>
      <c r="AA1166" s="213"/>
      <c r="AB1166" s="213"/>
      <c r="AC1166" s="213"/>
      <c r="AD1166" s="213"/>
      <c r="AE1166" s="213"/>
      <c r="AF1166" s="213"/>
      <c r="AG1166" s="213"/>
      <c r="AH1166" s="213"/>
      <c r="AI1166" s="213"/>
      <c r="AJ1166" s="213"/>
      <c r="AK1166" s="213"/>
      <c r="AL1166" s="213"/>
      <c r="AM1166" s="213"/>
      <c r="AN1166" s="213"/>
      <c r="AO1166" s="213"/>
      <c r="AP1166" s="213"/>
      <c r="AQ1166" s="213"/>
      <c r="AR1166" s="213"/>
      <c r="AS1166" s="213"/>
      <c r="AT1166" s="213"/>
      <c r="AU1166" s="213"/>
      <c r="AV1166" s="213"/>
      <c r="AW1166" s="213"/>
      <c r="AX1166" s="213"/>
      <c r="AY1166" s="213"/>
      <c r="AZ1166" s="213"/>
      <c r="BA1166" s="213"/>
      <c r="BB1166" s="213"/>
      <c r="BC1166" s="213"/>
      <c r="BD1166" s="213"/>
    </row>
    <row r="1167">
      <c r="A1167" s="213">
        <f>IFERROR(__xludf.DUMMYFUNCTION("""COMPUTED_VALUE"""),912.0)</f>
        <v>912</v>
      </c>
      <c r="B1167" s="213" t="str">
        <f>IFERROR(__xludf.DUMMYFUNCTION("""COMPUTED_VALUE"""),"FRANCISCO IRAZOLA")</f>
        <v>FRANCISCO IRAZOLA</v>
      </c>
      <c r="C1167" s="213" t="str">
        <f>IFERROR(__xludf.DUMMYFUNCTION("""COMPUTED_VALUE"""),"TALLER SFT DE MECÁNICA AUTOMOTRIZ")</f>
        <v>TALLER SFT DE MECÁNICA AUTOMOTRIZ</v>
      </c>
      <c r="D1167" s="213" t="str">
        <f>IFERROR(__xludf.DUMMYFUNCTION("""COMPUTED_VALUE"""),"MOBILIARIO")</f>
        <v>MOBILIARIO</v>
      </c>
      <c r="E1167" s="213" t="str">
        <f>IFERROR(__xludf.DUMMYFUNCTION("""COMPUTED_VALUE"""),"MOB-120")</f>
        <v>MOB-120</v>
      </c>
      <c r="F1167" s="213" t="str">
        <f>IFERROR(__xludf.DUMMYFUNCTION("""COMPUTED_VALUE"""),"MOB-120")</f>
        <v>MOB-120</v>
      </c>
      <c r="G1167" s="213"/>
      <c r="H1167" s="213" t="str">
        <f>IFERROR(__xludf.DUMMYFUNCTION("""COMPUTED_VALUE"""),"LAVADERO DE 1 POZA")</f>
        <v>LAVADERO DE 1 POZA</v>
      </c>
      <c r="I1167" s="213" t="str">
        <f>IFERROR(__xludf.DUMMYFUNCTION("""COMPUTED_VALUE"""),"· 01 Poza s sanitaria de 0.70 x 0.50 x 35 m. (Rectangular).
· Fabricado de concreto.
· Instalación para toma de agua y desagüe.
· Accesorios incluidos: Grifo y drenaje.
· Medidas   0.80 x 0.60 x 0.40 m.")</f>
        <v>· 01 Poza s sanitaria de 0.70 x 0.50 x 35 m. (Rectangular).
· Fabricado de concreto.
· Instalación para toma de agua y desagüe.
· Accesorios incluidos: Grifo y drenaje.
· Medidas   0.80 x 0.60 x 0.40 m.</v>
      </c>
      <c r="J1167" s="213">
        <f>IFERROR(__xludf.DUMMYFUNCTION("""COMPUTED_VALUE"""),3.0)</f>
        <v>3</v>
      </c>
      <c r="K1167" s="213" t="str">
        <f>IFERROR(__xludf.DUMMYFUNCTION("""COMPUTED_VALUE"""),"90 DÍAS CALENDARIO")</f>
        <v>90 DÍAS CALENDARIO</v>
      </c>
      <c r="L1167" s="213" t="str">
        <f>IFERROR(__xludf.DUMMYFUNCTION("""COMPUTED_VALUE"""),"")</f>
        <v/>
      </c>
      <c r="M1167" s="213">
        <f>IFERROR(__xludf.DUMMYFUNCTION("""COMPUTED_VALUE"""),1.0)</f>
        <v>1</v>
      </c>
      <c r="N1167" s="213">
        <f>IFERROR(__xludf.DUMMYFUNCTION("""COMPUTED_VALUE"""),1.0)</f>
        <v>1</v>
      </c>
      <c r="O1167" s="213">
        <f>IFERROR(__xludf.DUMMYFUNCTION("""COMPUTED_VALUE"""),1.0)</f>
        <v>1</v>
      </c>
      <c r="P1167" s="213"/>
      <c r="Q1167" s="213"/>
      <c r="R1167" s="213"/>
      <c r="S1167" s="213"/>
      <c r="T1167" s="213"/>
      <c r="U1167" s="213"/>
      <c r="V1167" s="213"/>
      <c r="W1167" s="213"/>
      <c r="X1167" s="213"/>
      <c r="Y1167" s="213"/>
      <c r="Z1167" s="213"/>
      <c r="AA1167" s="213"/>
      <c r="AB1167" s="213"/>
      <c r="AC1167" s="213"/>
      <c r="AD1167" s="213"/>
      <c r="AE1167" s="213"/>
      <c r="AF1167" s="213"/>
      <c r="AG1167" s="213"/>
      <c r="AH1167" s="213"/>
      <c r="AI1167" s="213"/>
      <c r="AJ1167" s="213"/>
      <c r="AK1167" s="213"/>
      <c r="AL1167" s="213"/>
      <c r="AM1167" s="213"/>
      <c r="AN1167" s="213"/>
      <c r="AO1167" s="213"/>
      <c r="AP1167" s="213"/>
      <c r="AQ1167" s="213"/>
      <c r="AR1167" s="213"/>
      <c r="AS1167" s="213"/>
      <c r="AT1167" s="213"/>
      <c r="AU1167" s="213"/>
      <c r="AV1167" s="213"/>
      <c r="AW1167" s="213"/>
      <c r="AX1167" s="213"/>
      <c r="AY1167" s="213"/>
      <c r="AZ1167" s="213"/>
      <c r="BA1167" s="213"/>
      <c r="BB1167" s="213"/>
      <c r="BC1167" s="213"/>
      <c r="BD1167" s="213"/>
    </row>
    <row r="1168">
      <c r="A1168" s="213">
        <f>IFERROR(__xludf.DUMMYFUNCTION("""COMPUTED_VALUE"""),2199.0)</f>
        <v>2199</v>
      </c>
      <c r="B1168" s="213" t="str">
        <f>IFERROR(__xludf.DUMMYFUNCTION("""COMPUTED_VALUE"""),"JOSE GRANDA")</f>
        <v>JOSE GRANDA</v>
      </c>
      <c r="C1168" s="213" t="str">
        <f>IFERROR(__xludf.DUMMYFUNCTION("""COMPUTED_VALUE"""),"TALLER SFT DE MECÁNICA AUTOMOTRIZ")</f>
        <v>TALLER SFT DE MECÁNICA AUTOMOTRIZ</v>
      </c>
      <c r="D1168" s="213" t="str">
        <f>IFERROR(__xludf.DUMMYFUNCTION("""COMPUTED_VALUE"""),"MOBILIARIO")</f>
        <v>MOBILIARIO</v>
      </c>
      <c r="E1168" s="213" t="str">
        <f>IFERROR(__xludf.DUMMYFUNCTION("""COMPUTED_VALUE"""),"MOB-120")</f>
        <v>MOB-120</v>
      </c>
      <c r="F1168" s="213" t="str">
        <f>IFERROR(__xludf.DUMMYFUNCTION("""COMPUTED_VALUE"""),"MOB-120")</f>
        <v>MOB-120</v>
      </c>
      <c r="G1168" s="213"/>
      <c r="H1168" s="213" t="str">
        <f>IFERROR(__xludf.DUMMYFUNCTION("""COMPUTED_VALUE"""),"LAVADERO DE 1 POZA")</f>
        <v>LAVADERO DE 1 POZA</v>
      </c>
      <c r="I1168" s="213" t="str">
        <f>IFERROR(__xludf.DUMMYFUNCTION("""COMPUTED_VALUE"""),"· 01 Poza s sanitaria de 0.70 x 0.50 x 35 m. (Rectangular).
· Fabricado de concreto.
· Instalación para toma de agua y desagüe.
· Accesorios incluidos: Grifo y drenaje.
· Medidas   0.80 x 0.60 x 0.40 m.")</f>
        <v>· 01 Poza s sanitaria de 0.70 x 0.50 x 35 m. (Rectangular).
· Fabricado de concreto.
· Instalación para toma de agua y desagüe.
· Accesorios incluidos: Grifo y drenaje.
· Medidas   0.80 x 0.60 x 0.40 m.</v>
      </c>
      <c r="J1168" s="213">
        <f>IFERROR(__xludf.DUMMYFUNCTION("""COMPUTED_VALUE"""),3.0)</f>
        <v>3</v>
      </c>
      <c r="K1168" s="213" t="str">
        <f>IFERROR(__xludf.DUMMYFUNCTION("""COMPUTED_VALUE"""),"90 DÍAS CALENDARIO")</f>
        <v>90 DÍAS CALENDARIO</v>
      </c>
      <c r="L1168" s="213" t="str">
        <f>IFERROR(__xludf.DUMMYFUNCTION("""COMPUTED_VALUE"""),"")</f>
        <v/>
      </c>
      <c r="M1168" s="213">
        <f>IFERROR(__xludf.DUMMYFUNCTION("""COMPUTED_VALUE"""),1.0)</f>
        <v>1</v>
      </c>
      <c r="N1168" s="213">
        <f>IFERROR(__xludf.DUMMYFUNCTION("""COMPUTED_VALUE"""),1.0)</f>
        <v>1</v>
      </c>
      <c r="O1168" s="213">
        <f>IFERROR(__xludf.DUMMYFUNCTION("""COMPUTED_VALUE"""),1.0)</f>
        <v>1</v>
      </c>
      <c r="P1168" s="213"/>
      <c r="Q1168" s="213"/>
      <c r="R1168" s="213"/>
      <c r="S1168" s="213"/>
      <c r="T1168" s="213"/>
      <c r="U1168" s="213"/>
      <c r="V1168" s="213"/>
      <c r="W1168" s="213"/>
      <c r="X1168" s="213"/>
      <c r="Y1168" s="213"/>
      <c r="Z1168" s="213"/>
      <c r="AA1168" s="213"/>
      <c r="AB1168" s="213"/>
      <c r="AC1168" s="213"/>
      <c r="AD1168" s="213"/>
      <c r="AE1168" s="213"/>
      <c r="AF1168" s="213"/>
      <c r="AG1168" s="213"/>
      <c r="AH1168" s="213"/>
      <c r="AI1168" s="213"/>
      <c r="AJ1168" s="213"/>
      <c r="AK1168" s="213"/>
      <c r="AL1168" s="213"/>
      <c r="AM1168" s="213"/>
      <c r="AN1168" s="213"/>
      <c r="AO1168" s="213"/>
      <c r="AP1168" s="213"/>
      <c r="AQ1168" s="213"/>
      <c r="AR1168" s="213"/>
      <c r="AS1168" s="213"/>
      <c r="AT1168" s="213"/>
      <c r="AU1168" s="213"/>
      <c r="AV1168" s="213"/>
      <c r="AW1168" s="213"/>
      <c r="AX1168" s="213"/>
      <c r="AY1168" s="213"/>
      <c r="AZ1168" s="213"/>
      <c r="BA1168" s="213"/>
      <c r="BB1168" s="213"/>
      <c r="BC1168" s="213"/>
      <c r="BD1168" s="213"/>
    </row>
    <row r="1169">
      <c r="A1169" s="213">
        <f>IFERROR(__xludf.DUMMYFUNCTION("""COMPUTED_VALUE"""),1368.0)</f>
        <v>1368</v>
      </c>
      <c r="B1169" s="213" t="str">
        <f>IFERROR(__xludf.DUMMYFUNCTION("""COMPUTED_VALUE"""),"GUILLERMO E. BILLINGHURST ")</f>
        <v>GUILLERMO E. BILLINGHURST </v>
      </c>
      <c r="C1169" s="213" t="str">
        <f>IFERROR(__xludf.DUMMYFUNCTION("""COMPUTED_VALUE"""),"TALLER SFT DE INDUSTRIA ALIMENTARIA")</f>
        <v>TALLER SFT DE INDUSTRIA ALIMENTARIA</v>
      </c>
      <c r="D1169" s="213" t="str">
        <f>IFERROR(__xludf.DUMMYFUNCTION("""COMPUTED_VALUE"""),"HERRAMIENTAS")</f>
        <v>HERRAMIENTAS</v>
      </c>
      <c r="E1169" s="213" t="str">
        <f>IFERROR(__xludf.DUMMYFUNCTION("""COMPUTED_VALUE"""),"MAT-138")</f>
        <v>MAT-138</v>
      </c>
      <c r="F1169" s="213" t="str">
        <f>IFERROR(__xludf.DUMMYFUNCTION("""COMPUTED_VALUE"""),"MAT-138-Y")</f>
        <v>MAT-138-Y</v>
      </c>
      <c r="G1169" s="213"/>
      <c r="H1169" s="213" t="str">
        <f>IFERROR(__xludf.DUMMYFUNCTION("""COMPUTED_VALUE"""),"CONTENEDOR DE BASURA 50 LT")</f>
        <v>CONTENEDOR DE BASURA 50 LT</v>
      </c>
      <c r="I1169" s="213"/>
      <c r="J1169" s="213">
        <f>IFERROR(__xludf.DUMMYFUNCTION("""COMPUTED_VALUE"""),3.0)</f>
        <v>3</v>
      </c>
      <c r="K1169" s="213" t="str">
        <f>IFERROR(__xludf.DUMMYFUNCTION("""COMPUTED_VALUE"""),"90 DÍAS CALENDARIO")</f>
        <v>90 DÍAS CALENDARIO</v>
      </c>
      <c r="L1169" s="213" t="str">
        <f>IFERROR(__xludf.DUMMYFUNCTION("""COMPUTED_VALUE"""),"")</f>
        <v/>
      </c>
      <c r="M1169" s="213">
        <f>IFERROR(__xludf.DUMMYFUNCTION("""COMPUTED_VALUE"""),1.0)</f>
        <v>1</v>
      </c>
      <c r="N1169" s="213">
        <f>IFERROR(__xludf.DUMMYFUNCTION("""COMPUTED_VALUE"""),2.0)</f>
        <v>2</v>
      </c>
      <c r="O1169" s="213">
        <f>IFERROR(__xludf.DUMMYFUNCTION("""COMPUTED_VALUE"""),2.0)</f>
        <v>2</v>
      </c>
      <c r="P1169" s="213"/>
      <c r="Q1169" s="213"/>
      <c r="R1169" s="213"/>
      <c r="S1169" s="213"/>
      <c r="T1169" s="213" t="str">
        <f>IFERROR(__xludf.DUMMYFUNCTION("""COMPUTED_VALUE"""),"SI")</f>
        <v>SI</v>
      </c>
      <c r="U1169" s="213" t="str">
        <f>IFERROR(__xludf.DUMMYFUNCTION("""COMPUTED_VALUE"""),"SI")</f>
        <v>SI</v>
      </c>
      <c r="V1169" s="213" t="str">
        <f>IFERROR(__xludf.DUMMYFUNCTION("""COMPUTED_VALUE"""),"-")</f>
        <v>-</v>
      </c>
      <c r="W1169" s="213" t="str">
        <f>IFERROR(__xludf.DUMMYFUNCTION("""COMPUTED_VALUE"""),"-")</f>
        <v>-</v>
      </c>
      <c r="X1169" s="213" t="str">
        <f>IFERROR(__xludf.DUMMYFUNCTION("""COMPUTED_VALUE"""),"Rey Plast")</f>
        <v>Rey Plast</v>
      </c>
      <c r="Y1169" s="213" t="str">
        <f>IFERROR(__xludf.DUMMYFUNCTION("""COMPUTED_VALUE"""),"Modelo 60")</f>
        <v>Modelo 60</v>
      </c>
      <c r="Z1169" s="215" t="str">
        <f>IFERROR(__xludf.DUMMYFUNCTION("""COMPUTED_VALUE"""),"https://www.promart.pe/tacho-robusto-c-tapa-mecanizada-50-9-l/p?gad_source=1&amp;gad_campaignid=23066034672&amp;gbraid=0AAAAADJIfALdWzROTOtlMXWDth9VPCM0s&amp;gclid=Cj0KCQjw6bfHBhDNARIsAIGsqLjZaUV-jCl7fWX6Fnju64LcyaysMIxehZlXDxVA_ax-ADo2eGfVG50aAq-jEALw_wcB")</f>
        <v>https://www.promart.pe/tacho-robusto-c-tapa-mecanizada-50-9-l/p?gad_source=1&amp;gad_campaignid=23066034672&amp;gbraid=0AAAAADJIfALdWzROTOtlMXWDth9VPCM0s&amp;gclid=Cj0KCQjw6bfHBhDNARIsAIGsqLjZaUV-jCl7fWX6Fnju64LcyaysMIxehZlXDxVA_ax-ADo2eGfVG50aAq-jEALw_wcB</v>
      </c>
      <c r="AA1169" s="213" t="str">
        <f>IFERROR(__xludf.DUMMYFUNCTION("""COMPUTED_VALUE"""),"MAT-138-Y CONTENEDOR DE BASURA 50 LT ( IA ) - CET")</f>
        <v>MAT-138-Y CONTENEDOR DE BASURA 50 LT ( IA ) - CET</v>
      </c>
      <c r="AB1169" s="213"/>
      <c r="AC1169" s="213"/>
      <c r="AD1169" s="213"/>
      <c r="AE1169" s="213"/>
      <c r="AF1169" s="213"/>
      <c r="AG1169" s="213"/>
      <c r="AH1169" s="213"/>
      <c r="AI1169" s="213"/>
      <c r="AJ1169" s="213"/>
      <c r="AK1169" s="213"/>
      <c r="AL1169" s="213"/>
      <c r="AM1169" s="213"/>
      <c r="AN1169" s="213"/>
      <c r="AO1169" s="213"/>
      <c r="AP1169" s="213" t="str">
        <f>IFERROR(__xludf.DUMMYFUNCTION("""COMPUTED_VALUE"""),"BRUNO")</f>
        <v>BRUNO</v>
      </c>
      <c r="AQ1169" s="213"/>
      <c r="AR1169" s="213"/>
      <c r="AS1169" s="213"/>
      <c r="AT1169" s="213"/>
      <c r="AU1169" s="213"/>
      <c r="AV1169" s="213"/>
      <c r="AW1169" s="213"/>
      <c r="AX1169" s="213"/>
      <c r="AY1169" s="213"/>
      <c r="AZ1169" s="213"/>
      <c r="BA1169" s="213"/>
      <c r="BB1169" s="213"/>
      <c r="BC1169" s="213"/>
      <c r="BD1169" s="213"/>
    </row>
    <row r="1170">
      <c r="A1170" s="213">
        <f>IFERROR(__xludf.DUMMYFUNCTION("""COMPUTED_VALUE"""),2053.0)</f>
        <v>2053</v>
      </c>
      <c r="B1170" s="213" t="str">
        <f>IFERROR(__xludf.DUMMYFUNCTION("""COMPUTED_VALUE"""),"JOSE GRANDA")</f>
        <v>JOSE GRANDA</v>
      </c>
      <c r="C1170" s="213" t="str">
        <f>IFERROR(__xludf.DUMMYFUNCTION("""COMPUTED_VALUE"""),"TALLER SFT DE INDUSTRIA ALIMENTARIA")</f>
        <v>TALLER SFT DE INDUSTRIA ALIMENTARIA</v>
      </c>
      <c r="D1170" s="213" t="str">
        <f>IFERROR(__xludf.DUMMYFUNCTION("""COMPUTED_VALUE"""),"HERRAMIENTAS")</f>
        <v>HERRAMIENTAS</v>
      </c>
      <c r="E1170" s="213" t="str">
        <f>IFERROR(__xludf.DUMMYFUNCTION("""COMPUTED_VALUE"""),"MAT-138")</f>
        <v>MAT-138</v>
      </c>
      <c r="F1170" s="213" t="str">
        <f>IFERROR(__xludf.DUMMYFUNCTION("""COMPUTED_VALUE"""),"MAT-138-Y")</f>
        <v>MAT-138-Y</v>
      </c>
      <c r="G1170" s="213"/>
      <c r="H1170" s="213" t="str">
        <f>IFERROR(__xludf.DUMMYFUNCTION("""COMPUTED_VALUE"""),"CONTENEDOR DE BASURA 50 LT")</f>
        <v>CONTENEDOR DE BASURA 50 LT</v>
      </c>
      <c r="I1170" s="213"/>
      <c r="J1170" s="213">
        <f>IFERROR(__xludf.DUMMYFUNCTION("""COMPUTED_VALUE"""),3.0)</f>
        <v>3</v>
      </c>
      <c r="K1170" s="213" t="str">
        <f>IFERROR(__xludf.DUMMYFUNCTION("""COMPUTED_VALUE"""),"90 DÍAS CALENDARIO")</f>
        <v>90 DÍAS CALENDARIO</v>
      </c>
      <c r="L1170" s="213" t="str">
        <f>IFERROR(__xludf.DUMMYFUNCTION("""COMPUTED_VALUE"""),"")</f>
        <v/>
      </c>
      <c r="M1170" s="213">
        <f>IFERROR(__xludf.DUMMYFUNCTION("""COMPUTED_VALUE"""),1.0)</f>
        <v>1</v>
      </c>
      <c r="N1170" s="213">
        <f>IFERROR(__xludf.DUMMYFUNCTION("""COMPUTED_VALUE"""),2.0)</f>
        <v>2</v>
      </c>
      <c r="O1170" s="213">
        <f>IFERROR(__xludf.DUMMYFUNCTION("""COMPUTED_VALUE"""),2.0)</f>
        <v>2</v>
      </c>
      <c r="P1170" s="213"/>
      <c r="Q1170" s="213"/>
      <c r="R1170" s="213"/>
      <c r="S1170" s="213"/>
      <c r="T1170" s="213" t="str">
        <f>IFERROR(__xludf.DUMMYFUNCTION("""COMPUTED_VALUE"""),"SI")</f>
        <v>SI</v>
      </c>
      <c r="U1170" s="213" t="str">
        <f>IFERROR(__xludf.DUMMYFUNCTION("""COMPUTED_VALUE"""),"SI")</f>
        <v>SI</v>
      </c>
      <c r="V1170" s="213" t="str">
        <f>IFERROR(__xludf.DUMMYFUNCTION("""COMPUTED_VALUE"""),"-")</f>
        <v>-</v>
      </c>
      <c r="W1170" s="213" t="str">
        <f>IFERROR(__xludf.DUMMYFUNCTION("""COMPUTED_VALUE"""),"-")</f>
        <v>-</v>
      </c>
      <c r="X1170" s="213" t="str">
        <f>IFERROR(__xludf.DUMMYFUNCTION("""COMPUTED_VALUE"""),"Rey Plast")</f>
        <v>Rey Plast</v>
      </c>
      <c r="Y1170" s="213" t="str">
        <f>IFERROR(__xludf.DUMMYFUNCTION("""COMPUTED_VALUE"""),"Modelo 60")</f>
        <v>Modelo 60</v>
      </c>
      <c r="Z1170" s="215" t="str">
        <f>IFERROR(__xludf.DUMMYFUNCTION("""COMPUTED_VALUE"""),"https://www.promart.pe/tacho-robusto-c-tapa-mecanizada-50-9-l/p?gad_source=1&amp;gad_campaignid=23066034672&amp;gbraid=0AAAAADJIfALdWzROTOtlMXWDth9VPCM0s&amp;gclid=Cj0KCQjw6bfHBhDNARIsAIGsqLjZaUV-jCl7fWX6Fnju64LcyaysMIxehZlXDxVA_ax-ADo2eGfVG50aAq-jEALw_wcB")</f>
        <v>https://www.promart.pe/tacho-robusto-c-tapa-mecanizada-50-9-l/p?gad_source=1&amp;gad_campaignid=23066034672&amp;gbraid=0AAAAADJIfALdWzROTOtlMXWDth9VPCM0s&amp;gclid=Cj0KCQjw6bfHBhDNARIsAIGsqLjZaUV-jCl7fWX6Fnju64LcyaysMIxehZlXDxVA_ax-ADo2eGfVG50aAq-jEALw_wcB</v>
      </c>
      <c r="AA1170" s="213" t="str">
        <f>IFERROR(__xludf.DUMMYFUNCTION("""COMPUTED_VALUE"""),"MAT-138-Y CONTENEDOR DE BASURA 50 LT ( IA ) - CET")</f>
        <v>MAT-138-Y CONTENEDOR DE BASURA 50 LT ( IA ) - CET</v>
      </c>
      <c r="AB1170" s="213"/>
      <c r="AC1170" s="213"/>
      <c r="AD1170" s="213"/>
      <c r="AE1170" s="213"/>
      <c r="AF1170" s="213"/>
      <c r="AG1170" s="213"/>
      <c r="AH1170" s="213"/>
      <c r="AI1170" s="213"/>
      <c r="AJ1170" s="213"/>
      <c r="AK1170" s="213"/>
      <c r="AL1170" s="213"/>
      <c r="AM1170" s="213"/>
      <c r="AN1170" s="213"/>
      <c r="AO1170" s="213"/>
      <c r="AP1170" s="213" t="str">
        <f>IFERROR(__xludf.DUMMYFUNCTION("""COMPUTED_VALUE"""),"BRUNO")</f>
        <v>BRUNO</v>
      </c>
      <c r="AQ1170" s="213"/>
      <c r="AR1170" s="213"/>
      <c r="AS1170" s="213"/>
      <c r="AT1170" s="213"/>
      <c r="AU1170" s="213"/>
      <c r="AV1170" s="213"/>
      <c r="AW1170" s="213"/>
      <c r="AX1170" s="213"/>
      <c r="AY1170" s="213"/>
      <c r="AZ1170" s="213"/>
      <c r="BA1170" s="213"/>
      <c r="BB1170" s="213"/>
      <c r="BC1170" s="213"/>
      <c r="BD1170" s="213"/>
    </row>
    <row r="1171">
      <c r="A1171" s="213">
        <f>IFERROR(__xludf.DUMMYFUNCTION("""COMPUTED_VALUE"""),487.0)</f>
        <v>487</v>
      </c>
      <c r="B1171" s="213" t="str">
        <f>IFERROR(__xludf.DUMMYFUNCTION("""COMPUTED_VALUE"""),"2026 SIMON BOLIVAR")</f>
        <v>2026 SIMON BOLIVAR</v>
      </c>
      <c r="C1171" s="213" t="str">
        <f>IFERROR(__xludf.DUMMYFUNCTION("""COMPUTED_VALUE"""),"TALLER SFT DE INDUSTRIA ALIMENTARIA")</f>
        <v>TALLER SFT DE INDUSTRIA ALIMENTARIA</v>
      </c>
      <c r="D1171" s="213" t="str">
        <f>IFERROR(__xludf.DUMMYFUNCTION("""COMPUTED_VALUE"""),"HERRAMIENTAS")</f>
        <v>HERRAMIENTAS</v>
      </c>
      <c r="E1171" s="213" t="str">
        <f>IFERROR(__xludf.DUMMYFUNCTION("""COMPUTED_VALUE"""),"MAT-140")</f>
        <v>MAT-140</v>
      </c>
      <c r="F1171" s="213" t="str">
        <f>IFERROR(__xludf.DUMMYFUNCTION("""COMPUTED_VALUE"""),"MAT-140")</f>
        <v>MAT-140</v>
      </c>
      <c r="G1171" s="213"/>
      <c r="H1171" s="213" t="str">
        <f>IFERROR(__xludf.DUMMYFUNCTION("""COMPUTED_VALUE"""),"CUCHARA GRANDE DE MADERA")</f>
        <v>CUCHARA GRANDE DE MADERA</v>
      </c>
      <c r="I1171" s="213" t="str">
        <f>IFERROR(__xludf.DUMMYFUNCTION("""COMPUTED_VALUE"""),"· Material Madera Capirona
· Color Natural
· Medidas mínimas 20 cm X 3 cm")</f>
        <v>· Material Madera Capirona
· Color Natural
· Medidas mínimas 20 cm X 3 cm</v>
      </c>
      <c r="J1171" s="213">
        <f>IFERROR(__xludf.DUMMYFUNCTION("""COMPUTED_VALUE"""),3.0)</f>
        <v>3</v>
      </c>
      <c r="K1171" s="213" t="str">
        <f>IFERROR(__xludf.DUMMYFUNCTION("""COMPUTED_VALUE"""),"90 DÍAS CALENDARIO")</f>
        <v>90 DÍAS CALENDARIO</v>
      </c>
      <c r="L1171" s="213" t="str">
        <f>IFERROR(__xludf.DUMMYFUNCTION("""COMPUTED_VALUE"""),"")</f>
        <v/>
      </c>
      <c r="M1171" s="213">
        <f>IFERROR(__xludf.DUMMYFUNCTION("""COMPUTED_VALUE"""),1.0)</f>
        <v>1</v>
      </c>
      <c r="N1171" s="213">
        <f>IFERROR(__xludf.DUMMYFUNCTION("""COMPUTED_VALUE"""),3.0)</f>
        <v>3</v>
      </c>
      <c r="O1171" s="213">
        <f>IFERROR(__xludf.DUMMYFUNCTION("""COMPUTED_VALUE"""),3.0)</f>
        <v>3</v>
      </c>
      <c r="P1171" s="213"/>
      <c r="Q1171" s="213"/>
      <c r="R1171" s="213"/>
      <c r="S1171" s="213"/>
      <c r="T1171" s="213" t="str">
        <f>IFERROR(__xludf.DUMMYFUNCTION("""COMPUTED_VALUE"""),"SI")</f>
        <v>SI</v>
      </c>
      <c r="U1171" s="213" t="str">
        <f>IFERROR(__xludf.DUMMYFUNCTION("""COMPUTED_VALUE"""),"SI")</f>
        <v>SI</v>
      </c>
      <c r="V1171" s="213" t="str">
        <f>IFERROR(__xludf.DUMMYFUNCTION("""COMPUTED_VALUE"""),"-")</f>
        <v>-</v>
      </c>
      <c r="W1171" s="213" t="str">
        <f>IFERROR(__xludf.DUMMYFUNCTION("""COMPUTED_VALUE"""),"-")</f>
        <v>-</v>
      </c>
      <c r="X1171" s="213" t="str">
        <f>IFERROR(__xludf.DUMMYFUNCTION("""COMPUTED_VALUE"""),"OEM")</f>
        <v>OEM</v>
      </c>
      <c r="Y1171" s="213" t="str">
        <f>IFERROR(__xludf.DUMMYFUNCTION("""COMPUTED_VALUE"""),"Cuchara de Madera 35cm")</f>
        <v>Cuchara de Madera 35cm</v>
      </c>
      <c r="Z1171" s="215" t="str">
        <f>IFERROR(__xludf.DUMMYFUNCTION("""COMPUTED_VALUE"""),"https://www.falabella.com.pe/falabella-pe/product/139653407/Cuchara-de-Madera-35cm/139653409")</f>
        <v>https://www.falabella.com.pe/falabella-pe/product/139653407/Cuchara-de-Madera-35cm/139653409</v>
      </c>
      <c r="AA1171" s="213" t="str">
        <f>IFERROR(__xludf.DUMMYFUNCTION("""COMPUTED_VALUE"""),"MAT-140 CUCHARA GRANDE DE MADERA - CET")</f>
        <v>MAT-140 CUCHARA GRANDE DE MADERA - CET</v>
      </c>
      <c r="AB1171" s="213"/>
      <c r="AC1171" s="213"/>
      <c r="AD1171" s="213"/>
      <c r="AE1171" s="213"/>
      <c r="AF1171" s="213"/>
      <c r="AG1171" s="213"/>
      <c r="AH1171" s="213"/>
      <c r="AI1171" s="213"/>
      <c r="AJ1171" s="213"/>
      <c r="AK1171" s="213"/>
      <c r="AL1171" s="213"/>
      <c r="AM1171" s="213"/>
      <c r="AN1171" s="213"/>
      <c r="AO1171" s="213"/>
      <c r="AP1171" s="213" t="str">
        <f>IFERROR(__xludf.DUMMYFUNCTION("""COMPUTED_VALUE"""),"BRUNO")</f>
        <v>BRUNO</v>
      </c>
      <c r="AQ1171" s="213" t="str">
        <f>IFERROR(__xludf.DUMMYFUNCTION("""COMPUTED_VALUE"""),"Nueva propuesta. Cotizar con OEM o Luna Blas la cuchara de 35 cm en madera capirona.")</f>
        <v>Nueva propuesta. Cotizar con OEM o Luna Blas la cuchara de 35 cm en madera capirona.</v>
      </c>
      <c r="AR1171" s="213"/>
      <c r="AS1171" s="213"/>
      <c r="AT1171" s="213"/>
      <c r="AU1171" s="213"/>
      <c r="AV1171" s="213"/>
      <c r="AW1171" s="213"/>
      <c r="AX1171" s="213"/>
      <c r="AY1171" s="213"/>
      <c r="AZ1171" s="213"/>
      <c r="BA1171" s="213"/>
      <c r="BB1171" s="213"/>
      <c r="BC1171" s="213"/>
      <c r="BD1171" s="213"/>
    </row>
    <row r="1172">
      <c r="A1172" s="213">
        <f>IFERROR(__xludf.DUMMYFUNCTION("""COMPUTED_VALUE"""),1117.0)</f>
        <v>1117</v>
      </c>
      <c r="B1172" s="213" t="str">
        <f>IFERROR(__xludf.DUMMYFUNCTION("""COMPUTED_VALUE"""),"FRANCISCO IRAZOLA")</f>
        <v>FRANCISCO IRAZOLA</v>
      </c>
      <c r="C1172" s="213" t="str">
        <f>IFERROR(__xludf.DUMMYFUNCTION("""COMPUTED_VALUE"""),"TALLER SFT DE INDUSTRIA ALIMENTARIA")</f>
        <v>TALLER SFT DE INDUSTRIA ALIMENTARIA</v>
      </c>
      <c r="D1172" s="213" t="str">
        <f>IFERROR(__xludf.DUMMYFUNCTION("""COMPUTED_VALUE"""),"HERRAMIENTAS")</f>
        <v>HERRAMIENTAS</v>
      </c>
      <c r="E1172" s="213" t="str">
        <f>IFERROR(__xludf.DUMMYFUNCTION("""COMPUTED_VALUE"""),"MAT-140")</f>
        <v>MAT-140</v>
      </c>
      <c r="F1172" s="213" t="str">
        <f>IFERROR(__xludf.DUMMYFUNCTION("""COMPUTED_VALUE"""),"MAT-140")</f>
        <v>MAT-140</v>
      </c>
      <c r="G1172" s="213"/>
      <c r="H1172" s="213" t="str">
        <f>IFERROR(__xludf.DUMMYFUNCTION("""COMPUTED_VALUE"""),"CUCHARA GRANDE DE MADERA")</f>
        <v>CUCHARA GRANDE DE MADERA</v>
      </c>
      <c r="I1172" s="213" t="str">
        <f>IFERROR(__xludf.DUMMYFUNCTION("""COMPUTED_VALUE"""),"· Material Madera Capirona
· Color Natural
· Medidas mínimas 20 cm X 3 cm")</f>
        <v>· Material Madera Capirona
· Color Natural
· Medidas mínimas 20 cm X 3 cm</v>
      </c>
      <c r="J1172" s="213">
        <f>IFERROR(__xludf.DUMMYFUNCTION("""COMPUTED_VALUE"""),3.0)</f>
        <v>3</v>
      </c>
      <c r="K1172" s="213" t="str">
        <f>IFERROR(__xludf.DUMMYFUNCTION("""COMPUTED_VALUE"""),"90 DÍAS CALENDARIO")</f>
        <v>90 DÍAS CALENDARIO</v>
      </c>
      <c r="L1172" s="213" t="str">
        <f>IFERROR(__xludf.DUMMYFUNCTION("""COMPUTED_VALUE"""),"")</f>
        <v/>
      </c>
      <c r="M1172" s="213">
        <f>IFERROR(__xludf.DUMMYFUNCTION("""COMPUTED_VALUE"""),1.0)</f>
        <v>1</v>
      </c>
      <c r="N1172" s="213">
        <f>IFERROR(__xludf.DUMMYFUNCTION("""COMPUTED_VALUE"""),3.0)</f>
        <v>3</v>
      </c>
      <c r="O1172" s="213">
        <f>IFERROR(__xludf.DUMMYFUNCTION("""COMPUTED_VALUE"""),3.0)</f>
        <v>3</v>
      </c>
      <c r="P1172" s="213"/>
      <c r="Q1172" s="213"/>
      <c r="R1172" s="213"/>
      <c r="S1172" s="213"/>
      <c r="T1172" s="213" t="str">
        <f>IFERROR(__xludf.DUMMYFUNCTION("""COMPUTED_VALUE"""),"SI")</f>
        <v>SI</v>
      </c>
      <c r="U1172" s="213" t="str">
        <f>IFERROR(__xludf.DUMMYFUNCTION("""COMPUTED_VALUE"""),"SI")</f>
        <v>SI</v>
      </c>
      <c r="V1172" s="213" t="str">
        <f>IFERROR(__xludf.DUMMYFUNCTION("""COMPUTED_VALUE"""),"-")</f>
        <v>-</v>
      </c>
      <c r="W1172" s="213" t="str">
        <f>IFERROR(__xludf.DUMMYFUNCTION("""COMPUTED_VALUE"""),"-")</f>
        <v>-</v>
      </c>
      <c r="X1172" s="213" t="str">
        <f>IFERROR(__xludf.DUMMYFUNCTION("""COMPUTED_VALUE"""),"OEM")</f>
        <v>OEM</v>
      </c>
      <c r="Y1172" s="213" t="str">
        <f>IFERROR(__xludf.DUMMYFUNCTION("""COMPUTED_VALUE"""),"Cuchara de Madera 35cm")</f>
        <v>Cuchara de Madera 35cm</v>
      </c>
      <c r="Z1172" s="215" t="str">
        <f>IFERROR(__xludf.DUMMYFUNCTION("""COMPUTED_VALUE"""),"https://www.falabella.com.pe/falabella-pe/product/139653407/Cuchara-de-Madera-35cm/139653409")</f>
        <v>https://www.falabella.com.pe/falabella-pe/product/139653407/Cuchara-de-Madera-35cm/139653409</v>
      </c>
      <c r="AA1172" s="213" t="str">
        <f>IFERROR(__xludf.DUMMYFUNCTION("""COMPUTED_VALUE"""),"MAT-140 CUCHARA GRANDE DE MADERA - CET")</f>
        <v>MAT-140 CUCHARA GRANDE DE MADERA - CET</v>
      </c>
      <c r="AB1172" s="213"/>
      <c r="AC1172" s="213"/>
      <c r="AD1172" s="213"/>
      <c r="AE1172" s="213"/>
      <c r="AF1172" s="213"/>
      <c r="AG1172" s="213"/>
      <c r="AH1172" s="213"/>
      <c r="AI1172" s="213"/>
      <c r="AJ1172" s="213"/>
      <c r="AK1172" s="213"/>
      <c r="AL1172" s="213"/>
      <c r="AM1172" s="213"/>
      <c r="AN1172" s="213"/>
      <c r="AO1172" s="213"/>
      <c r="AP1172" s="213" t="str">
        <f>IFERROR(__xludf.DUMMYFUNCTION("""COMPUTED_VALUE"""),"BRUNO")</f>
        <v>BRUNO</v>
      </c>
      <c r="AQ1172" s="213" t="str">
        <f>IFERROR(__xludf.DUMMYFUNCTION("""COMPUTED_VALUE"""),"Nueva propuesta. Cotizar con OEM o Luna Blas la cuchara de 35 cm en madera capirona.")</f>
        <v>Nueva propuesta. Cotizar con OEM o Luna Blas la cuchara de 35 cm en madera capirona.</v>
      </c>
      <c r="AR1172" s="213"/>
      <c r="AS1172" s="213"/>
      <c r="AT1172" s="213"/>
      <c r="AU1172" s="213"/>
      <c r="AV1172" s="213"/>
      <c r="AW1172" s="213"/>
      <c r="AX1172" s="213"/>
      <c r="AY1172" s="213"/>
      <c r="AZ1172" s="213"/>
      <c r="BA1172" s="213"/>
      <c r="BB1172" s="213"/>
      <c r="BC1172" s="213"/>
      <c r="BD1172" s="213"/>
    </row>
    <row r="1173">
      <c r="A1173" s="213">
        <f>IFERROR(__xludf.DUMMYFUNCTION("""COMPUTED_VALUE"""),1389.0)</f>
        <v>1389</v>
      </c>
      <c r="B1173" s="213" t="str">
        <f>IFERROR(__xludf.DUMMYFUNCTION("""COMPUTED_VALUE"""),"GUILLERMO E. BILLINGHURST ")</f>
        <v>GUILLERMO E. BILLINGHURST </v>
      </c>
      <c r="C1173" s="213" t="str">
        <f>IFERROR(__xludf.DUMMYFUNCTION("""COMPUTED_VALUE"""),"TALLER SFT DE INDUSTRIA ALIMENTARIA")</f>
        <v>TALLER SFT DE INDUSTRIA ALIMENTARIA</v>
      </c>
      <c r="D1173" s="213" t="str">
        <f>IFERROR(__xludf.DUMMYFUNCTION("""COMPUTED_VALUE"""),"HERRAMIENTAS")</f>
        <v>HERRAMIENTAS</v>
      </c>
      <c r="E1173" s="213" t="str">
        <f>IFERROR(__xludf.DUMMYFUNCTION("""COMPUTED_VALUE"""),"MAT-140")</f>
        <v>MAT-140</v>
      </c>
      <c r="F1173" s="213" t="str">
        <f>IFERROR(__xludf.DUMMYFUNCTION("""COMPUTED_VALUE"""),"MAT-140")</f>
        <v>MAT-140</v>
      </c>
      <c r="G1173" s="213"/>
      <c r="H1173" s="213" t="str">
        <f>IFERROR(__xludf.DUMMYFUNCTION("""COMPUTED_VALUE"""),"CUCHARA GRANDE DE MADERA")</f>
        <v>CUCHARA GRANDE DE MADERA</v>
      </c>
      <c r="I1173" s="213" t="str">
        <f>IFERROR(__xludf.DUMMYFUNCTION("""COMPUTED_VALUE"""),"· Material Madera Capirona
· Color Natural
· Medidas mínimas 20 cm X 3 cm")</f>
        <v>· Material Madera Capirona
· Color Natural
· Medidas mínimas 20 cm X 3 cm</v>
      </c>
      <c r="J1173" s="213">
        <f>IFERROR(__xludf.DUMMYFUNCTION("""COMPUTED_VALUE"""),3.0)</f>
        <v>3</v>
      </c>
      <c r="K1173" s="213" t="str">
        <f>IFERROR(__xludf.DUMMYFUNCTION("""COMPUTED_VALUE"""),"90 DÍAS CALENDARIO")</f>
        <v>90 DÍAS CALENDARIO</v>
      </c>
      <c r="L1173" s="213" t="str">
        <f>IFERROR(__xludf.DUMMYFUNCTION("""COMPUTED_VALUE"""),"")</f>
        <v/>
      </c>
      <c r="M1173" s="213">
        <f>IFERROR(__xludf.DUMMYFUNCTION("""COMPUTED_VALUE"""),1.0)</f>
        <v>1</v>
      </c>
      <c r="N1173" s="213">
        <f>IFERROR(__xludf.DUMMYFUNCTION("""COMPUTED_VALUE"""),3.0)</f>
        <v>3</v>
      </c>
      <c r="O1173" s="213">
        <f>IFERROR(__xludf.DUMMYFUNCTION("""COMPUTED_VALUE"""),3.0)</f>
        <v>3</v>
      </c>
      <c r="P1173" s="213"/>
      <c r="Q1173" s="213"/>
      <c r="R1173" s="213"/>
      <c r="S1173" s="213"/>
      <c r="T1173" s="213" t="str">
        <f>IFERROR(__xludf.DUMMYFUNCTION("""COMPUTED_VALUE"""),"SI")</f>
        <v>SI</v>
      </c>
      <c r="U1173" s="213" t="str">
        <f>IFERROR(__xludf.DUMMYFUNCTION("""COMPUTED_VALUE"""),"SI")</f>
        <v>SI</v>
      </c>
      <c r="V1173" s="213" t="str">
        <f>IFERROR(__xludf.DUMMYFUNCTION("""COMPUTED_VALUE"""),"-")</f>
        <v>-</v>
      </c>
      <c r="W1173" s="213" t="str">
        <f>IFERROR(__xludf.DUMMYFUNCTION("""COMPUTED_VALUE"""),"-")</f>
        <v>-</v>
      </c>
      <c r="X1173" s="213" t="str">
        <f>IFERROR(__xludf.DUMMYFUNCTION("""COMPUTED_VALUE"""),"OEM")</f>
        <v>OEM</v>
      </c>
      <c r="Y1173" s="213" t="str">
        <f>IFERROR(__xludf.DUMMYFUNCTION("""COMPUTED_VALUE"""),"Cuchara de Madera 35cm")</f>
        <v>Cuchara de Madera 35cm</v>
      </c>
      <c r="Z1173" s="215" t="str">
        <f>IFERROR(__xludf.DUMMYFUNCTION("""COMPUTED_VALUE"""),"https://www.falabella.com.pe/falabella-pe/product/139653407/Cuchara-de-Madera-35cm/139653409")</f>
        <v>https://www.falabella.com.pe/falabella-pe/product/139653407/Cuchara-de-Madera-35cm/139653409</v>
      </c>
      <c r="AA1173" s="213" t="str">
        <f>IFERROR(__xludf.DUMMYFUNCTION("""COMPUTED_VALUE"""),"MAT-140 CUCHARA GRANDE DE MADERA - CET")</f>
        <v>MAT-140 CUCHARA GRANDE DE MADERA - CET</v>
      </c>
      <c r="AB1173" s="213"/>
      <c r="AC1173" s="213"/>
      <c r="AD1173" s="213"/>
      <c r="AE1173" s="213"/>
      <c r="AF1173" s="213"/>
      <c r="AG1173" s="213"/>
      <c r="AH1173" s="213"/>
      <c r="AI1173" s="213"/>
      <c r="AJ1173" s="213"/>
      <c r="AK1173" s="213"/>
      <c r="AL1173" s="213"/>
      <c r="AM1173" s="213"/>
      <c r="AN1173" s="213"/>
      <c r="AO1173" s="213"/>
      <c r="AP1173" s="213" t="str">
        <f>IFERROR(__xludf.DUMMYFUNCTION("""COMPUTED_VALUE"""),"BRUNO")</f>
        <v>BRUNO</v>
      </c>
      <c r="AQ1173" s="213" t="str">
        <f>IFERROR(__xludf.DUMMYFUNCTION("""COMPUTED_VALUE"""),"Nueva propuesta. Cotizar con OEM o Luna Blas la cuchara de 35 cm en madera capirona.")</f>
        <v>Nueva propuesta. Cotizar con OEM o Luna Blas la cuchara de 35 cm en madera capirona.</v>
      </c>
      <c r="AR1173" s="213"/>
      <c r="AS1173" s="213"/>
      <c r="AT1173" s="213"/>
      <c r="AU1173" s="213"/>
      <c r="AV1173" s="213"/>
      <c r="AW1173" s="213"/>
      <c r="AX1173" s="213"/>
      <c r="AY1173" s="213"/>
      <c r="AZ1173" s="213"/>
      <c r="BA1173" s="213"/>
      <c r="BB1173" s="213"/>
      <c r="BC1173" s="213"/>
      <c r="BD1173" s="213"/>
    </row>
    <row r="1174">
      <c r="A1174" s="213">
        <f>IFERROR(__xludf.DUMMYFUNCTION("""COMPUTED_VALUE"""),2076.0)</f>
        <v>2076</v>
      </c>
      <c r="B1174" s="213" t="str">
        <f>IFERROR(__xludf.DUMMYFUNCTION("""COMPUTED_VALUE"""),"JOSE GRANDA")</f>
        <v>JOSE GRANDA</v>
      </c>
      <c r="C1174" s="213" t="str">
        <f>IFERROR(__xludf.DUMMYFUNCTION("""COMPUTED_VALUE"""),"TALLER SFT DE INDUSTRIA ALIMENTARIA")</f>
        <v>TALLER SFT DE INDUSTRIA ALIMENTARIA</v>
      </c>
      <c r="D1174" s="213" t="str">
        <f>IFERROR(__xludf.DUMMYFUNCTION("""COMPUTED_VALUE"""),"HERRAMIENTAS")</f>
        <v>HERRAMIENTAS</v>
      </c>
      <c r="E1174" s="213" t="str">
        <f>IFERROR(__xludf.DUMMYFUNCTION("""COMPUTED_VALUE"""),"MAT-140")</f>
        <v>MAT-140</v>
      </c>
      <c r="F1174" s="213" t="str">
        <f>IFERROR(__xludf.DUMMYFUNCTION("""COMPUTED_VALUE"""),"MAT-140")</f>
        <v>MAT-140</v>
      </c>
      <c r="G1174" s="213"/>
      <c r="H1174" s="213" t="str">
        <f>IFERROR(__xludf.DUMMYFUNCTION("""COMPUTED_VALUE"""),"CUCHARA GRANDE DE MADERA")</f>
        <v>CUCHARA GRANDE DE MADERA</v>
      </c>
      <c r="I1174" s="213" t="str">
        <f>IFERROR(__xludf.DUMMYFUNCTION("""COMPUTED_VALUE"""),"· Material Madera Capirona
· Color Natural
· Medidas mínimas 20 cm X 3 cm")</f>
        <v>· Material Madera Capirona
· Color Natural
· Medidas mínimas 20 cm X 3 cm</v>
      </c>
      <c r="J1174" s="213">
        <f>IFERROR(__xludf.DUMMYFUNCTION("""COMPUTED_VALUE"""),3.0)</f>
        <v>3</v>
      </c>
      <c r="K1174" s="213" t="str">
        <f>IFERROR(__xludf.DUMMYFUNCTION("""COMPUTED_VALUE"""),"90 DÍAS CALENDARIO")</f>
        <v>90 DÍAS CALENDARIO</v>
      </c>
      <c r="L1174" s="213" t="str">
        <f>IFERROR(__xludf.DUMMYFUNCTION("""COMPUTED_VALUE"""),"")</f>
        <v/>
      </c>
      <c r="M1174" s="213">
        <f>IFERROR(__xludf.DUMMYFUNCTION("""COMPUTED_VALUE"""),1.0)</f>
        <v>1</v>
      </c>
      <c r="N1174" s="213">
        <f>IFERROR(__xludf.DUMMYFUNCTION("""COMPUTED_VALUE"""),3.0)</f>
        <v>3</v>
      </c>
      <c r="O1174" s="213">
        <f>IFERROR(__xludf.DUMMYFUNCTION("""COMPUTED_VALUE"""),3.0)</f>
        <v>3</v>
      </c>
      <c r="P1174" s="213"/>
      <c r="Q1174" s="213"/>
      <c r="R1174" s="213"/>
      <c r="S1174" s="213"/>
      <c r="T1174" s="213" t="str">
        <f>IFERROR(__xludf.DUMMYFUNCTION("""COMPUTED_VALUE"""),"SI")</f>
        <v>SI</v>
      </c>
      <c r="U1174" s="213" t="str">
        <f>IFERROR(__xludf.DUMMYFUNCTION("""COMPUTED_VALUE"""),"SI")</f>
        <v>SI</v>
      </c>
      <c r="V1174" s="213" t="str">
        <f>IFERROR(__xludf.DUMMYFUNCTION("""COMPUTED_VALUE"""),"-")</f>
        <v>-</v>
      </c>
      <c r="W1174" s="213" t="str">
        <f>IFERROR(__xludf.DUMMYFUNCTION("""COMPUTED_VALUE"""),"-")</f>
        <v>-</v>
      </c>
      <c r="X1174" s="213" t="str">
        <f>IFERROR(__xludf.DUMMYFUNCTION("""COMPUTED_VALUE"""),"OEM")</f>
        <v>OEM</v>
      </c>
      <c r="Y1174" s="213" t="str">
        <f>IFERROR(__xludf.DUMMYFUNCTION("""COMPUTED_VALUE"""),"Cuchara de Madera 35cm")</f>
        <v>Cuchara de Madera 35cm</v>
      </c>
      <c r="Z1174" s="215" t="str">
        <f>IFERROR(__xludf.DUMMYFUNCTION("""COMPUTED_VALUE"""),"https://www.falabella.com.pe/falabella-pe/product/139653407/Cuchara-de-Madera-35cm/139653409")</f>
        <v>https://www.falabella.com.pe/falabella-pe/product/139653407/Cuchara-de-Madera-35cm/139653409</v>
      </c>
      <c r="AA1174" s="213" t="str">
        <f>IFERROR(__xludf.DUMMYFUNCTION("""COMPUTED_VALUE"""),"MAT-140 CUCHARA GRANDE DE MADERA - CET")</f>
        <v>MAT-140 CUCHARA GRANDE DE MADERA - CET</v>
      </c>
      <c r="AB1174" s="213"/>
      <c r="AC1174" s="213"/>
      <c r="AD1174" s="213"/>
      <c r="AE1174" s="213"/>
      <c r="AF1174" s="213"/>
      <c r="AG1174" s="213"/>
      <c r="AH1174" s="213"/>
      <c r="AI1174" s="213"/>
      <c r="AJ1174" s="213"/>
      <c r="AK1174" s="213"/>
      <c r="AL1174" s="213"/>
      <c r="AM1174" s="213"/>
      <c r="AN1174" s="213"/>
      <c r="AO1174" s="213"/>
      <c r="AP1174" s="213" t="str">
        <f>IFERROR(__xludf.DUMMYFUNCTION("""COMPUTED_VALUE"""),"BRUNO")</f>
        <v>BRUNO</v>
      </c>
      <c r="AQ1174" s="213" t="str">
        <f>IFERROR(__xludf.DUMMYFUNCTION("""COMPUTED_VALUE"""),"Nueva propuesta. Cotizar con OEM o Luna Blas la cuchara de 35 cm en madera capirona.")</f>
        <v>Nueva propuesta. Cotizar con OEM o Luna Blas la cuchara de 35 cm en madera capirona.</v>
      </c>
      <c r="AR1174" s="213"/>
      <c r="AS1174" s="213"/>
      <c r="AT1174" s="213"/>
      <c r="AU1174" s="213"/>
      <c r="AV1174" s="213"/>
      <c r="AW1174" s="213"/>
      <c r="AX1174" s="213"/>
      <c r="AY1174" s="213"/>
      <c r="AZ1174" s="213"/>
      <c r="BA1174" s="213"/>
      <c r="BB1174" s="213"/>
      <c r="BC1174" s="213"/>
      <c r="BD1174" s="213"/>
    </row>
    <row r="1175">
      <c r="A1175" s="213">
        <f>IFERROR(__xludf.DUMMYFUNCTION("""COMPUTED_VALUE"""),52.0)</f>
        <v>52</v>
      </c>
      <c r="B1175" s="213" t="str">
        <f>IFERROR(__xludf.DUMMYFUNCTION("""COMPUTED_VALUE"""),"16449 ELOY SOBERON  FLORES")</f>
        <v>16449 ELOY SOBERON  FLORES</v>
      </c>
      <c r="C1175" s="213" t="str">
        <f>IFERROR(__xludf.DUMMYFUNCTION("""COMPUTED_VALUE"""),"TALLER SFT DE COCINA Y REPOSTERÍA")</f>
        <v>TALLER SFT DE COCINA Y REPOSTERÍA</v>
      </c>
      <c r="D1175" s="213" t="str">
        <f>IFERROR(__xludf.DUMMYFUNCTION("""COMPUTED_VALUE"""),"HERRAMIENTAS")</f>
        <v>HERRAMIENTAS</v>
      </c>
      <c r="E1175" s="213" t="str">
        <f>IFERROR(__xludf.DUMMYFUNCTION("""COMPUTED_VALUE"""),"MAT-141")</f>
        <v>MAT-141</v>
      </c>
      <c r="F1175" s="213" t="str">
        <f>IFERROR(__xludf.DUMMYFUNCTION("""COMPUTED_VALUE"""),"MAT-141")</f>
        <v>MAT-141</v>
      </c>
      <c r="G1175" s="213"/>
      <c r="H1175" s="213" t="str">
        <f>IFERROR(__xludf.DUMMYFUNCTION("""COMPUTED_VALUE"""),"CUCHARA PERFORADA")</f>
        <v>CUCHARA PERFORADA</v>
      </c>
      <c r="I1175" s="213" t="str">
        <f>IFERROR(__xludf.DUMMYFUNCTION("""COMPUTED_VALUE"""),"· Medidas aproximadas: 20cm x 6cm
· Orificios de 0.5cm de diámetro
· Acero Inoxidable gradro alimentario")</f>
        <v>· Medidas aproximadas: 20cm x 6cm
· Orificios de 0.5cm de diámetro
· Acero Inoxidable gradro alimentario</v>
      </c>
      <c r="J1175" s="213">
        <f>IFERROR(__xludf.DUMMYFUNCTION("""COMPUTED_VALUE"""),3.0)</f>
        <v>3</v>
      </c>
      <c r="K1175" s="213" t="str">
        <f>IFERROR(__xludf.DUMMYFUNCTION("""COMPUTED_VALUE"""),"90 DÍAS CALENDARIO")</f>
        <v>90 DÍAS CALENDARIO</v>
      </c>
      <c r="L1175" s="213" t="str">
        <f>IFERROR(__xludf.DUMMYFUNCTION("""COMPUTED_VALUE"""),"")</f>
        <v/>
      </c>
      <c r="M1175" s="213">
        <f>IFERROR(__xludf.DUMMYFUNCTION("""COMPUTED_VALUE"""),1.0)</f>
        <v>1</v>
      </c>
      <c r="N1175" s="213">
        <f>IFERROR(__xludf.DUMMYFUNCTION("""COMPUTED_VALUE"""),4.0)</f>
        <v>4</v>
      </c>
      <c r="O1175" s="213">
        <f>IFERROR(__xludf.DUMMYFUNCTION("""COMPUTED_VALUE"""),4.0)</f>
        <v>4</v>
      </c>
      <c r="P1175" s="213"/>
      <c r="Q1175" s="213"/>
      <c r="R1175" s="213"/>
      <c r="S1175" s="213"/>
      <c r="T1175" s="213" t="str">
        <f>IFERROR(__xludf.DUMMYFUNCTION("""COMPUTED_VALUE"""),"CONSULTA FINAL")</f>
        <v>CONSULTA FINAL</v>
      </c>
      <c r="U1175" s="213" t="str">
        <f>IFERROR(__xludf.DUMMYFUNCTION("""COMPUTED_VALUE"""),"NO")</f>
        <v>NO</v>
      </c>
      <c r="V1175" s="213" t="str">
        <f>IFERROR(__xludf.DUMMYFUNCTION("""COMPUTED_VALUE"""),"SUSTENTO")</f>
        <v>SUSTENTO</v>
      </c>
      <c r="W1175" s="213" t="str">
        <f>IFERROR(__xludf.DUMMYFUNCTION("""COMPUTED_VALUE"""),"DIMENSIONAL")</f>
        <v>DIMENSIONAL</v>
      </c>
      <c r="X1175" s="213" t="str">
        <f>IFERROR(__xludf.DUMMYFUNCTION("""COMPUTED_VALUE"""),"CAVIMEX")</f>
        <v>CAVIMEX</v>
      </c>
      <c r="Y1175" s="213" t="str">
        <f>IFERROR(__xludf.DUMMYFUNCTION("""COMPUTED_VALUE"""),"BHA-2752")</f>
        <v>BHA-2752</v>
      </c>
      <c r="Z1175" s="215" t="str">
        <f>IFERROR(__xludf.DUMMYFUNCTION("""COMPUTED_VALUE"""),"https://www.cavimex.com/products/cuchara-de-servicio-perforada-11in-27-9-cm-de-acero-inox-bha-2752")</f>
        <v>https://www.cavimex.com/products/cuchara-de-servicio-perforada-11in-27-9-cm-de-acero-inox-bha-2752</v>
      </c>
      <c r="AA1175" s="213" t="str">
        <f>IFERROR(__xludf.DUMMYFUNCTION("""COMPUTED_VALUE"""),"MAT-141 CUCHARA PERFORADA - CET")</f>
        <v>MAT-141 CUCHARA PERFORADA - CET</v>
      </c>
      <c r="AB1175" s="213"/>
      <c r="AC1175" s="213"/>
      <c r="AD1175" s="213"/>
      <c r="AE1175" s="213"/>
      <c r="AF1175" s="213"/>
      <c r="AG1175" s="213"/>
      <c r="AH1175" s="213"/>
      <c r="AI1175" s="213"/>
      <c r="AJ1175" s="213"/>
      <c r="AK1175" s="213"/>
      <c r="AL1175" s="213"/>
      <c r="AM1175" s="213"/>
      <c r="AN1175" s="213"/>
      <c r="AO1175" s="213"/>
      <c r="AP1175" s="213" t="str">
        <f>IFERROR(__xludf.DUMMYFUNCTION("""COMPUTED_VALUE"""),"LUIS")</f>
        <v>LUIS</v>
      </c>
      <c r="AQ1175" s="213"/>
      <c r="AR1175" s="213"/>
      <c r="AS1175" s="213"/>
      <c r="AT1175" s="213"/>
      <c r="AU1175" s="213"/>
      <c r="AV1175" s="213"/>
      <c r="AW1175" s="213"/>
      <c r="AX1175" s="213"/>
      <c r="AY1175" s="213"/>
      <c r="AZ1175" s="213"/>
      <c r="BA1175" s="213"/>
      <c r="BB1175" s="213"/>
      <c r="BC1175" s="213"/>
      <c r="BD1175" s="213"/>
    </row>
    <row r="1176">
      <c r="A1176" s="213">
        <f>IFERROR(__xludf.DUMMYFUNCTION("""COMPUTED_VALUE"""),39.0)</f>
        <v>39</v>
      </c>
      <c r="B1176" s="213" t="str">
        <f>IFERROR(__xludf.DUMMYFUNCTION("""COMPUTED_VALUE"""),"16449 ELOY SOBERON  FLORES")</f>
        <v>16449 ELOY SOBERON  FLORES</v>
      </c>
      <c r="C1176" s="213" t="str">
        <f>IFERROR(__xludf.DUMMYFUNCTION("""COMPUTED_VALUE"""),"TALLER SFT DE COCINA Y REPOSTERÍA")</f>
        <v>TALLER SFT DE COCINA Y REPOSTERÍA</v>
      </c>
      <c r="D1176" s="213" t="str">
        <f>IFERROR(__xludf.DUMMYFUNCTION("""COMPUTED_VALUE"""),"HERRAMIENTAS")</f>
        <v>HERRAMIENTAS</v>
      </c>
      <c r="E1176" s="213" t="str">
        <f>IFERROR(__xludf.DUMMYFUNCTION("""COMPUTED_VALUE"""),"MAT-142")</f>
        <v>MAT-142</v>
      </c>
      <c r="F1176" s="213" t="str">
        <f>IFERROR(__xludf.DUMMYFUNCTION("""COMPUTED_VALUE"""),"MAT-142-X")</f>
        <v>MAT-142-X</v>
      </c>
      <c r="G1176" s="213"/>
      <c r="H1176" s="213" t="str">
        <f>IFERROR(__xludf.DUMMYFUNCTION("""COMPUTED_VALUE"""),"JUEGO DE CUCHARAS MEDIDORAS")</f>
        <v>JUEGO DE CUCHARAS MEDIDORAS</v>
      </c>
      <c r="I1176" s="213" t="str">
        <f>IFERROR(__xludf.DUMMYFUNCTION("""COMPUTED_VALUE"""),".  Acero inoxidable.
.  Altamente resistente a la corrosión.
.  Incluye:
- 01 1/4 de cucharadita (1,25 ml)
- 01 1/2 cucharadita (2,5 ml)
- 01 cuchadarita (5 ml)
- 01 cucharada (15 ml) Apto para lavavajillas.")</f>
        <v>.  Acero inoxidable.
.  Altamente resistente a la corrosión.
.  Incluye:
- 01 1/4 de cucharadita (1,25 ml)
- 01 1/2 cucharadita (2,5 ml)
- 01 cuchadarita (5 ml)
- 01 cucharada (15 ml) Apto para lavavajillas.</v>
      </c>
      <c r="J1176" s="213">
        <f>IFERROR(__xludf.DUMMYFUNCTION("""COMPUTED_VALUE"""),3.0)</f>
        <v>3</v>
      </c>
      <c r="K1176" s="213" t="str">
        <f>IFERROR(__xludf.DUMMYFUNCTION("""COMPUTED_VALUE"""),"90 DÍAS CALENDARIO")</f>
        <v>90 DÍAS CALENDARIO</v>
      </c>
      <c r="L1176" s="213" t="str">
        <f>IFERROR(__xludf.DUMMYFUNCTION("""COMPUTED_VALUE"""),"")</f>
        <v/>
      </c>
      <c r="M1176" s="213">
        <f>IFERROR(__xludf.DUMMYFUNCTION("""COMPUTED_VALUE"""),1.0)</f>
        <v>1</v>
      </c>
      <c r="N1176" s="213">
        <f>IFERROR(__xludf.DUMMYFUNCTION("""COMPUTED_VALUE"""),4.0)</f>
        <v>4</v>
      </c>
      <c r="O1176" s="213">
        <f>IFERROR(__xludf.DUMMYFUNCTION("""COMPUTED_VALUE"""),4.0)</f>
        <v>4</v>
      </c>
      <c r="P1176" s="213"/>
      <c r="Q1176" s="213"/>
      <c r="R1176" s="213" t="str">
        <f>IFERROR(__xludf.DUMMYFUNCTION("""COMPUTED_VALUE"""),"SI")</f>
        <v>SI</v>
      </c>
      <c r="S1176" s="213"/>
      <c r="T1176" s="213" t="str">
        <f>IFERROR(__xludf.DUMMYFUNCTION("""COMPUTED_VALUE"""),"SI")</f>
        <v>SI</v>
      </c>
      <c r="U1176" s="213" t="str">
        <f>IFERROR(__xludf.DUMMYFUNCTION("""COMPUTED_VALUE"""),"SI")</f>
        <v>SI</v>
      </c>
      <c r="V1176" s="213" t="str">
        <f>IFERROR(__xludf.DUMMYFUNCTION("""COMPUTED_VALUE"""),"-")</f>
        <v>-</v>
      </c>
      <c r="W1176" s="213" t="str">
        <f>IFERROR(__xludf.DUMMYFUNCTION("""COMPUTED_VALUE"""),"-")</f>
        <v>-</v>
      </c>
      <c r="X1176" s="213" t="str">
        <f>IFERROR(__xludf.DUMMYFUNCTION("""COMPUTED_VALUE"""),"Cuisinart")</f>
        <v>Cuisinart</v>
      </c>
      <c r="Y1176" s="213" t="str">
        <f>IFERROR(__xludf.DUMMYFUNCTION("""COMPUTED_VALUE"""),"CTG-00-SMP")</f>
        <v>CTG-00-SMP</v>
      </c>
      <c r="Z1176" s="215" t="str">
        <f>IFERROR(__xludf.DUMMYFUNCTION("""COMPUTED_VALUE"""),"https://www.falabella.com.pe/falabella-pe/product/18023850/Juego-x4-Cucharas-Medidoras-Acero-Inoxidable/18023850")</f>
        <v>https://www.falabella.com.pe/falabella-pe/product/18023850/Juego-x4-Cucharas-Medidoras-Acero-Inoxidable/18023850</v>
      </c>
      <c r="AA1176" s="213" t="str">
        <f>IFERROR(__xludf.DUMMYFUNCTION("""COMPUTED_VALUE"""),"MAT-142-X JUEGO DE CUCHARAS MEDIDORAS - CET")</f>
        <v>MAT-142-X JUEGO DE CUCHARAS MEDIDORAS - CET</v>
      </c>
      <c r="AB1176" s="213"/>
      <c r="AC1176" s="213"/>
      <c r="AD1176" s="213"/>
      <c r="AE1176" s="213"/>
      <c r="AF1176" s="213"/>
      <c r="AG1176" s="213"/>
      <c r="AH1176" s="213"/>
      <c r="AI1176" s="213"/>
      <c r="AJ1176" s="213"/>
      <c r="AK1176" s="213"/>
      <c r="AL1176" s="213"/>
      <c r="AM1176" s="213"/>
      <c r="AN1176" s="213"/>
      <c r="AO1176" s="213"/>
      <c r="AP1176" s="213" t="str">
        <f>IFERROR(__xludf.DUMMYFUNCTION("""COMPUTED_VALUE"""),"SEBASTIAN")</f>
        <v>SEBASTIAN</v>
      </c>
      <c r="AQ1176" s="213"/>
      <c r="AR1176" s="213"/>
      <c r="AS1176" s="213"/>
      <c r="AT1176" s="213"/>
      <c r="AU1176" s="213"/>
      <c r="AV1176" s="213"/>
      <c r="AW1176" s="213"/>
      <c r="AX1176" s="213"/>
      <c r="AY1176" s="213"/>
      <c r="AZ1176" s="213"/>
      <c r="BA1176" s="213"/>
      <c r="BB1176" s="213"/>
      <c r="BC1176" s="213"/>
      <c r="BD1176" s="213"/>
    </row>
    <row r="1177">
      <c r="A1177" s="213">
        <f>IFERROR(__xludf.DUMMYFUNCTION("""COMPUTED_VALUE"""),515.0)</f>
        <v>515</v>
      </c>
      <c r="B1177" s="213" t="str">
        <f>IFERROR(__xludf.DUMMYFUNCTION("""COMPUTED_VALUE"""),"2026 SIMON BOLIVAR")</f>
        <v>2026 SIMON BOLIVAR</v>
      </c>
      <c r="C1177" s="213" t="str">
        <f>IFERROR(__xludf.DUMMYFUNCTION("""COMPUTED_VALUE"""),"TALLER SFT DE INDUSTRIA ALIMENTARIA")</f>
        <v>TALLER SFT DE INDUSTRIA ALIMENTARIA</v>
      </c>
      <c r="D1177" s="213" t="str">
        <f>IFERROR(__xludf.DUMMYFUNCTION("""COMPUTED_VALUE"""),"HERRAMIENTAS")</f>
        <v>HERRAMIENTAS</v>
      </c>
      <c r="E1177" s="213" t="str">
        <f>IFERROR(__xludf.DUMMYFUNCTION("""COMPUTED_VALUE"""),"MAT-142")</f>
        <v>MAT-142</v>
      </c>
      <c r="F1177" s="213" t="str">
        <f>IFERROR(__xludf.DUMMYFUNCTION("""COMPUTED_VALUE"""),"MAT-142-Y")</f>
        <v>MAT-142-Y</v>
      </c>
      <c r="G1177" s="213"/>
      <c r="H1177" s="213" t="str">
        <f>IFERROR(__xludf.DUMMYFUNCTION("""COMPUTED_VALUE"""),"JUEGO DE CUCHARAS MEDIDORAS")</f>
        <v>JUEGO DE CUCHARAS MEDIDORAS</v>
      </c>
      <c r="I1177" s="213" t="str">
        <f>IFERROR(__xludf.DUMMYFUNCTION("""COMPUTED_VALUE"""),".  Acero inoxidable.
.  Altamente resistente a la corrosión.
.  Incluye: 1/4 de cucharadita (1,25 ml), 1/2 cucharadita (2,5 ml), 1 cucharadita (5 ml), 1 cucharada (15 ml).")</f>
        <v>.  Acero inoxidable.
.  Altamente resistente a la corrosión.
.  Incluye: 1/4 de cucharadita (1,25 ml), 1/2 cucharadita (2,5 ml), 1 cucharadita (5 ml), 1 cucharada (15 ml).</v>
      </c>
      <c r="J1177" s="213">
        <f>IFERROR(__xludf.DUMMYFUNCTION("""COMPUTED_VALUE"""),3.0)</f>
        <v>3</v>
      </c>
      <c r="K1177" s="213" t="str">
        <f>IFERROR(__xludf.DUMMYFUNCTION("""COMPUTED_VALUE"""),"90 DÍAS CALENDARIO")</f>
        <v>90 DÍAS CALENDARIO</v>
      </c>
      <c r="L1177" s="213" t="str">
        <f>IFERROR(__xludf.DUMMYFUNCTION("""COMPUTED_VALUE"""),"")</f>
        <v/>
      </c>
      <c r="M1177" s="213">
        <f>IFERROR(__xludf.DUMMYFUNCTION("""COMPUTED_VALUE"""),1.0)</f>
        <v>1</v>
      </c>
      <c r="N1177" s="213">
        <f>IFERROR(__xludf.DUMMYFUNCTION("""COMPUTED_VALUE"""),4.0)</f>
        <v>4</v>
      </c>
      <c r="O1177" s="213">
        <f>IFERROR(__xludf.DUMMYFUNCTION("""COMPUTED_VALUE"""),4.0)</f>
        <v>4</v>
      </c>
      <c r="P1177" s="213"/>
      <c r="Q1177" s="213"/>
      <c r="R1177" s="213" t="str">
        <f>IFERROR(__xludf.DUMMYFUNCTION("""COMPUTED_VALUE"""),"SI")</f>
        <v>SI</v>
      </c>
      <c r="S1177" s="213"/>
      <c r="T1177" s="213" t="str">
        <f>IFERROR(__xludf.DUMMYFUNCTION("""COMPUTED_VALUE"""),"SI")</f>
        <v>SI</v>
      </c>
      <c r="U1177" s="213" t="str">
        <f>IFERROR(__xludf.DUMMYFUNCTION("""COMPUTED_VALUE"""),"SI")</f>
        <v>SI</v>
      </c>
      <c r="V1177" s="213" t="str">
        <f>IFERROR(__xludf.DUMMYFUNCTION("""COMPUTED_VALUE"""),"-")</f>
        <v>-</v>
      </c>
      <c r="W1177" s="213" t="str">
        <f>IFERROR(__xludf.DUMMYFUNCTION("""COMPUTED_VALUE"""),"-")</f>
        <v>-</v>
      </c>
      <c r="X1177" s="213" t="str">
        <f>IFERROR(__xludf.DUMMYFUNCTION("""COMPUTED_VALUE"""),"Cuisinart")</f>
        <v>Cuisinart</v>
      </c>
      <c r="Y1177" s="213" t="str">
        <f>IFERROR(__xludf.DUMMYFUNCTION("""COMPUTED_VALUE"""),"CTG-00-SMP")</f>
        <v>CTG-00-SMP</v>
      </c>
      <c r="Z1177" s="215" t="str">
        <f>IFERROR(__xludf.DUMMYFUNCTION("""COMPUTED_VALUE"""),"https://www.falabella.com.pe/falabella-pe/product/18023850/Juego-x4-Cucharas-Medidoras-Acero-Inoxidable/18023850")</f>
        <v>https://www.falabella.com.pe/falabella-pe/product/18023850/Juego-x4-Cucharas-Medidoras-Acero-Inoxidable/18023850</v>
      </c>
      <c r="AA1177" s="213" t="str">
        <f>IFERROR(__xludf.DUMMYFUNCTION("""COMPUTED_VALUE"""),"MAT-142-Y JUEGO DE CUCHARAS MEDIDORAS - CET")</f>
        <v>MAT-142-Y JUEGO DE CUCHARAS MEDIDORAS - CET</v>
      </c>
      <c r="AB1177" s="213"/>
      <c r="AC1177" s="213"/>
      <c r="AD1177" s="213"/>
      <c r="AE1177" s="213"/>
      <c r="AF1177" s="213"/>
      <c r="AG1177" s="213"/>
      <c r="AH1177" s="213"/>
      <c r="AI1177" s="213"/>
      <c r="AJ1177" s="213"/>
      <c r="AK1177" s="213"/>
      <c r="AL1177" s="213"/>
      <c r="AM1177" s="213"/>
      <c r="AN1177" s="213"/>
      <c r="AO1177" s="213"/>
      <c r="AP1177" s="213" t="str">
        <f>IFERROR(__xludf.DUMMYFUNCTION("""COMPUTED_VALUE"""),"LUIS")</f>
        <v>LUIS</v>
      </c>
      <c r="AQ1177" s="213"/>
      <c r="AR1177" s="213"/>
      <c r="AS1177" s="213"/>
      <c r="AT1177" s="213"/>
      <c r="AU1177" s="213"/>
      <c r="AV1177" s="213"/>
      <c r="AW1177" s="213"/>
      <c r="AX1177" s="213"/>
      <c r="AY1177" s="213"/>
      <c r="AZ1177" s="213"/>
      <c r="BA1177" s="213"/>
      <c r="BB1177" s="213"/>
      <c r="BC1177" s="213"/>
      <c r="BD1177" s="213"/>
    </row>
    <row r="1178">
      <c r="A1178" s="213">
        <f>IFERROR(__xludf.DUMMYFUNCTION("""COMPUTED_VALUE"""),1145.0)</f>
        <v>1145</v>
      </c>
      <c r="B1178" s="213" t="str">
        <f>IFERROR(__xludf.DUMMYFUNCTION("""COMPUTED_VALUE"""),"FRANCISCO IRAZOLA")</f>
        <v>FRANCISCO IRAZOLA</v>
      </c>
      <c r="C1178" s="213" t="str">
        <f>IFERROR(__xludf.DUMMYFUNCTION("""COMPUTED_VALUE"""),"TALLER SFT DE INDUSTRIA ALIMENTARIA")</f>
        <v>TALLER SFT DE INDUSTRIA ALIMENTARIA</v>
      </c>
      <c r="D1178" s="213" t="str">
        <f>IFERROR(__xludf.DUMMYFUNCTION("""COMPUTED_VALUE"""),"HERRAMIENTAS")</f>
        <v>HERRAMIENTAS</v>
      </c>
      <c r="E1178" s="213" t="str">
        <f>IFERROR(__xludf.DUMMYFUNCTION("""COMPUTED_VALUE"""),"MAT-142")</f>
        <v>MAT-142</v>
      </c>
      <c r="F1178" s="213" t="str">
        <f>IFERROR(__xludf.DUMMYFUNCTION("""COMPUTED_VALUE"""),"MAT-142-Y")</f>
        <v>MAT-142-Y</v>
      </c>
      <c r="G1178" s="213"/>
      <c r="H1178" s="213" t="str">
        <f>IFERROR(__xludf.DUMMYFUNCTION("""COMPUTED_VALUE"""),"JUEGO DE CUCHARAS MEDIDORAS")</f>
        <v>JUEGO DE CUCHARAS MEDIDORAS</v>
      </c>
      <c r="I1178" s="213" t="str">
        <f>IFERROR(__xludf.DUMMYFUNCTION("""COMPUTED_VALUE"""),".  Acero inoxidable.
.  Altamente resistente a la corrosión.
.  Incluye: 1/4 de cucharadita (1,25 ml), 1/2 cucharadita (2,5 ml), 1 cucharadita (5 ml), 1 cucharada (15 ml).")</f>
        <v>.  Acero inoxidable.
.  Altamente resistente a la corrosión.
.  Incluye: 1/4 de cucharadita (1,25 ml), 1/2 cucharadita (2,5 ml), 1 cucharadita (5 ml), 1 cucharada (15 ml).</v>
      </c>
      <c r="J1178" s="213">
        <f>IFERROR(__xludf.DUMMYFUNCTION("""COMPUTED_VALUE"""),3.0)</f>
        <v>3</v>
      </c>
      <c r="K1178" s="213" t="str">
        <f>IFERROR(__xludf.DUMMYFUNCTION("""COMPUTED_VALUE"""),"90 DÍAS CALENDARIO")</f>
        <v>90 DÍAS CALENDARIO</v>
      </c>
      <c r="L1178" s="213" t="str">
        <f>IFERROR(__xludf.DUMMYFUNCTION("""COMPUTED_VALUE"""),"")</f>
        <v/>
      </c>
      <c r="M1178" s="213">
        <f>IFERROR(__xludf.DUMMYFUNCTION("""COMPUTED_VALUE"""),1.0)</f>
        <v>1</v>
      </c>
      <c r="N1178" s="213">
        <f>IFERROR(__xludf.DUMMYFUNCTION("""COMPUTED_VALUE"""),4.0)</f>
        <v>4</v>
      </c>
      <c r="O1178" s="213">
        <f>IFERROR(__xludf.DUMMYFUNCTION("""COMPUTED_VALUE"""),4.0)</f>
        <v>4</v>
      </c>
      <c r="P1178" s="213"/>
      <c r="Q1178" s="213"/>
      <c r="R1178" s="213" t="str">
        <f>IFERROR(__xludf.DUMMYFUNCTION("""COMPUTED_VALUE"""),"SI")</f>
        <v>SI</v>
      </c>
      <c r="S1178" s="213"/>
      <c r="T1178" s="213" t="str">
        <f>IFERROR(__xludf.DUMMYFUNCTION("""COMPUTED_VALUE"""),"SI")</f>
        <v>SI</v>
      </c>
      <c r="U1178" s="213" t="str">
        <f>IFERROR(__xludf.DUMMYFUNCTION("""COMPUTED_VALUE"""),"SI")</f>
        <v>SI</v>
      </c>
      <c r="V1178" s="213" t="str">
        <f>IFERROR(__xludf.DUMMYFUNCTION("""COMPUTED_VALUE"""),"-")</f>
        <v>-</v>
      </c>
      <c r="W1178" s="213" t="str">
        <f>IFERROR(__xludf.DUMMYFUNCTION("""COMPUTED_VALUE"""),"-")</f>
        <v>-</v>
      </c>
      <c r="X1178" s="213" t="str">
        <f>IFERROR(__xludf.DUMMYFUNCTION("""COMPUTED_VALUE"""),"Cuisinart")</f>
        <v>Cuisinart</v>
      </c>
      <c r="Y1178" s="213" t="str">
        <f>IFERROR(__xludf.DUMMYFUNCTION("""COMPUTED_VALUE"""),"CTG-00-SMP")</f>
        <v>CTG-00-SMP</v>
      </c>
      <c r="Z1178" s="215" t="str">
        <f>IFERROR(__xludf.DUMMYFUNCTION("""COMPUTED_VALUE"""),"https://www.falabella.com.pe/falabella-pe/product/18023850/Juego-x4-Cucharas-Medidoras-Acero-Inoxidable/18023850")</f>
        <v>https://www.falabella.com.pe/falabella-pe/product/18023850/Juego-x4-Cucharas-Medidoras-Acero-Inoxidable/18023850</v>
      </c>
      <c r="AA1178" s="213" t="str">
        <f>IFERROR(__xludf.DUMMYFUNCTION("""COMPUTED_VALUE"""),"MAT-142-Y JUEGO DE CUCHARAS MEDIDORAS - CET")</f>
        <v>MAT-142-Y JUEGO DE CUCHARAS MEDIDORAS - CET</v>
      </c>
      <c r="AB1178" s="213"/>
      <c r="AC1178" s="213"/>
      <c r="AD1178" s="213"/>
      <c r="AE1178" s="213"/>
      <c r="AF1178" s="213"/>
      <c r="AG1178" s="213"/>
      <c r="AH1178" s="213"/>
      <c r="AI1178" s="213"/>
      <c r="AJ1178" s="213"/>
      <c r="AK1178" s="213"/>
      <c r="AL1178" s="213"/>
      <c r="AM1178" s="213"/>
      <c r="AN1178" s="213"/>
      <c r="AO1178" s="213"/>
      <c r="AP1178" s="213" t="str">
        <f>IFERROR(__xludf.DUMMYFUNCTION("""COMPUTED_VALUE"""),"LUIS")</f>
        <v>LUIS</v>
      </c>
      <c r="AQ1178" s="213"/>
      <c r="AR1178" s="213"/>
      <c r="AS1178" s="213"/>
      <c r="AT1178" s="213"/>
      <c r="AU1178" s="213"/>
      <c r="AV1178" s="213"/>
      <c r="AW1178" s="213"/>
      <c r="AX1178" s="213"/>
      <c r="AY1178" s="213"/>
      <c r="AZ1178" s="213"/>
      <c r="BA1178" s="213"/>
      <c r="BB1178" s="213"/>
      <c r="BC1178" s="213"/>
      <c r="BD1178" s="213"/>
    </row>
    <row r="1179">
      <c r="A1179" s="213">
        <f>IFERROR(__xludf.DUMMYFUNCTION("""COMPUTED_VALUE"""),1417.0)</f>
        <v>1417</v>
      </c>
      <c r="B1179" s="213" t="str">
        <f>IFERROR(__xludf.DUMMYFUNCTION("""COMPUTED_VALUE"""),"GUILLERMO E. BILLINGHURST ")</f>
        <v>GUILLERMO E. BILLINGHURST </v>
      </c>
      <c r="C1179" s="213" t="str">
        <f>IFERROR(__xludf.DUMMYFUNCTION("""COMPUTED_VALUE"""),"TALLER SFT DE INDUSTRIA ALIMENTARIA")</f>
        <v>TALLER SFT DE INDUSTRIA ALIMENTARIA</v>
      </c>
      <c r="D1179" s="213" t="str">
        <f>IFERROR(__xludf.DUMMYFUNCTION("""COMPUTED_VALUE"""),"HERRAMIENTAS")</f>
        <v>HERRAMIENTAS</v>
      </c>
      <c r="E1179" s="213" t="str">
        <f>IFERROR(__xludf.DUMMYFUNCTION("""COMPUTED_VALUE"""),"MAT-142")</f>
        <v>MAT-142</v>
      </c>
      <c r="F1179" s="213" t="str">
        <f>IFERROR(__xludf.DUMMYFUNCTION("""COMPUTED_VALUE"""),"MAT-142-Y")</f>
        <v>MAT-142-Y</v>
      </c>
      <c r="G1179" s="213"/>
      <c r="H1179" s="213" t="str">
        <f>IFERROR(__xludf.DUMMYFUNCTION("""COMPUTED_VALUE"""),"JUEGO DE CUCHARAS MEDIDORAS")</f>
        <v>JUEGO DE CUCHARAS MEDIDORAS</v>
      </c>
      <c r="I1179" s="213" t="str">
        <f>IFERROR(__xludf.DUMMYFUNCTION("""COMPUTED_VALUE"""),".  Acero inoxidable.
.  Altamente resistente a la corrosión.
.  Incluye: 1/4 de cucharadita (1,25 ml), 1/2 cucharadita (2,5 ml), 1 cucharadita (5 ml), 1 cucharada (15 ml).")</f>
        <v>.  Acero inoxidable.
.  Altamente resistente a la corrosión.
.  Incluye: 1/4 de cucharadita (1,25 ml), 1/2 cucharadita (2,5 ml), 1 cucharadita (5 ml), 1 cucharada (15 ml).</v>
      </c>
      <c r="J1179" s="213">
        <f>IFERROR(__xludf.DUMMYFUNCTION("""COMPUTED_VALUE"""),3.0)</f>
        <v>3</v>
      </c>
      <c r="K1179" s="213" t="str">
        <f>IFERROR(__xludf.DUMMYFUNCTION("""COMPUTED_VALUE"""),"90 DÍAS CALENDARIO")</f>
        <v>90 DÍAS CALENDARIO</v>
      </c>
      <c r="L1179" s="213" t="str">
        <f>IFERROR(__xludf.DUMMYFUNCTION("""COMPUTED_VALUE"""),"")</f>
        <v/>
      </c>
      <c r="M1179" s="213">
        <f>IFERROR(__xludf.DUMMYFUNCTION("""COMPUTED_VALUE"""),1.0)</f>
        <v>1</v>
      </c>
      <c r="N1179" s="213">
        <f>IFERROR(__xludf.DUMMYFUNCTION("""COMPUTED_VALUE"""),4.0)</f>
        <v>4</v>
      </c>
      <c r="O1179" s="213">
        <f>IFERROR(__xludf.DUMMYFUNCTION("""COMPUTED_VALUE"""),4.0)</f>
        <v>4</v>
      </c>
      <c r="P1179" s="213"/>
      <c r="Q1179" s="213"/>
      <c r="R1179" s="213" t="str">
        <f>IFERROR(__xludf.DUMMYFUNCTION("""COMPUTED_VALUE"""),"SI")</f>
        <v>SI</v>
      </c>
      <c r="S1179" s="213"/>
      <c r="T1179" s="213" t="str">
        <f>IFERROR(__xludf.DUMMYFUNCTION("""COMPUTED_VALUE"""),"SI")</f>
        <v>SI</v>
      </c>
      <c r="U1179" s="213" t="str">
        <f>IFERROR(__xludf.DUMMYFUNCTION("""COMPUTED_VALUE"""),"SI")</f>
        <v>SI</v>
      </c>
      <c r="V1179" s="213" t="str">
        <f>IFERROR(__xludf.DUMMYFUNCTION("""COMPUTED_VALUE"""),"-")</f>
        <v>-</v>
      </c>
      <c r="W1179" s="213" t="str">
        <f>IFERROR(__xludf.DUMMYFUNCTION("""COMPUTED_VALUE"""),"-")</f>
        <v>-</v>
      </c>
      <c r="X1179" s="213" t="str">
        <f>IFERROR(__xludf.DUMMYFUNCTION("""COMPUTED_VALUE"""),"Cuisinart")</f>
        <v>Cuisinart</v>
      </c>
      <c r="Y1179" s="213" t="str">
        <f>IFERROR(__xludf.DUMMYFUNCTION("""COMPUTED_VALUE"""),"CTG-00-SMP")</f>
        <v>CTG-00-SMP</v>
      </c>
      <c r="Z1179" s="215" t="str">
        <f>IFERROR(__xludf.DUMMYFUNCTION("""COMPUTED_VALUE"""),"https://www.falabella.com.pe/falabella-pe/product/18023850/Juego-x4-Cucharas-Medidoras-Acero-Inoxidable/18023850")</f>
        <v>https://www.falabella.com.pe/falabella-pe/product/18023850/Juego-x4-Cucharas-Medidoras-Acero-Inoxidable/18023850</v>
      </c>
      <c r="AA1179" s="213" t="str">
        <f>IFERROR(__xludf.DUMMYFUNCTION("""COMPUTED_VALUE"""),"MAT-142-Y JUEGO DE CUCHARAS MEDIDORAS - CET")</f>
        <v>MAT-142-Y JUEGO DE CUCHARAS MEDIDORAS - CET</v>
      </c>
      <c r="AB1179" s="213"/>
      <c r="AC1179" s="213"/>
      <c r="AD1179" s="213"/>
      <c r="AE1179" s="213"/>
      <c r="AF1179" s="213"/>
      <c r="AG1179" s="213"/>
      <c r="AH1179" s="213"/>
      <c r="AI1179" s="213"/>
      <c r="AJ1179" s="213"/>
      <c r="AK1179" s="213"/>
      <c r="AL1179" s="213"/>
      <c r="AM1179" s="213"/>
      <c r="AN1179" s="213"/>
      <c r="AO1179" s="213"/>
      <c r="AP1179" s="213" t="str">
        <f>IFERROR(__xludf.DUMMYFUNCTION("""COMPUTED_VALUE"""),"LUIS")</f>
        <v>LUIS</v>
      </c>
      <c r="AQ1179" s="213"/>
      <c r="AR1179" s="213"/>
      <c r="AS1179" s="213"/>
      <c r="AT1179" s="213"/>
      <c r="AU1179" s="213"/>
      <c r="AV1179" s="213"/>
      <c r="AW1179" s="213"/>
      <c r="AX1179" s="213"/>
      <c r="AY1179" s="213"/>
      <c r="AZ1179" s="213"/>
      <c r="BA1179" s="213"/>
      <c r="BB1179" s="213"/>
      <c r="BC1179" s="213"/>
      <c r="BD1179" s="213"/>
    </row>
    <row r="1180">
      <c r="A1180" s="213">
        <f>IFERROR(__xludf.DUMMYFUNCTION("""COMPUTED_VALUE"""),2104.0)</f>
        <v>2104</v>
      </c>
      <c r="B1180" s="213" t="str">
        <f>IFERROR(__xludf.DUMMYFUNCTION("""COMPUTED_VALUE"""),"JOSE GRANDA")</f>
        <v>JOSE GRANDA</v>
      </c>
      <c r="C1180" s="213" t="str">
        <f>IFERROR(__xludf.DUMMYFUNCTION("""COMPUTED_VALUE"""),"TALLER SFT DE INDUSTRIA ALIMENTARIA")</f>
        <v>TALLER SFT DE INDUSTRIA ALIMENTARIA</v>
      </c>
      <c r="D1180" s="213" t="str">
        <f>IFERROR(__xludf.DUMMYFUNCTION("""COMPUTED_VALUE"""),"HERRAMIENTAS")</f>
        <v>HERRAMIENTAS</v>
      </c>
      <c r="E1180" s="213" t="str">
        <f>IFERROR(__xludf.DUMMYFUNCTION("""COMPUTED_VALUE"""),"MAT-142")</f>
        <v>MAT-142</v>
      </c>
      <c r="F1180" s="213" t="str">
        <f>IFERROR(__xludf.DUMMYFUNCTION("""COMPUTED_VALUE"""),"MAT-142-Y")</f>
        <v>MAT-142-Y</v>
      </c>
      <c r="G1180" s="213"/>
      <c r="H1180" s="213" t="str">
        <f>IFERROR(__xludf.DUMMYFUNCTION("""COMPUTED_VALUE"""),"JUEGO DE CUCHARAS MEDIDORAS")</f>
        <v>JUEGO DE CUCHARAS MEDIDORAS</v>
      </c>
      <c r="I1180" s="213" t="str">
        <f>IFERROR(__xludf.DUMMYFUNCTION("""COMPUTED_VALUE"""),".  Acero inoxidable.
.  Altamente resistente a la corrosión.
.  Incluye: 1/4 de cucharadita (1,25 ml), 1/2 cucharadita (2,5 ml), 1 cucharadita (5 ml), 1 cucharada (15 ml).")</f>
        <v>.  Acero inoxidable.
.  Altamente resistente a la corrosión.
.  Incluye: 1/4 de cucharadita (1,25 ml), 1/2 cucharadita (2,5 ml), 1 cucharadita (5 ml), 1 cucharada (15 ml).</v>
      </c>
      <c r="J1180" s="213">
        <f>IFERROR(__xludf.DUMMYFUNCTION("""COMPUTED_VALUE"""),3.0)</f>
        <v>3</v>
      </c>
      <c r="K1180" s="213" t="str">
        <f>IFERROR(__xludf.DUMMYFUNCTION("""COMPUTED_VALUE"""),"90 DÍAS CALENDARIO")</f>
        <v>90 DÍAS CALENDARIO</v>
      </c>
      <c r="L1180" s="213" t="str">
        <f>IFERROR(__xludf.DUMMYFUNCTION("""COMPUTED_VALUE"""),"")</f>
        <v/>
      </c>
      <c r="M1180" s="213">
        <f>IFERROR(__xludf.DUMMYFUNCTION("""COMPUTED_VALUE"""),1.0)</f>
        <v>1</v>
      </c>
      <c r="N1180" s="213">
        <f>IFERROR(__xludf.DUMMYFUNCTION("""COMPUTED_VALUE"""),4.0)</f>
        <v>4</v>
      </c>
      <c r="O1180" s="213">
        <f>IFERROR(__xludf.DUMMYFUNCTION("""COMPUTED_VALUE"""),4.0)</f>
        <v>4</v>
      </c>
      <c r="P1180" s="213"/>
      <c r="Q1180" s="213"/>
      <c r="R1180" s="213" t="str">
        <f>IFERROR(__xludf.DUMMYFUNCTION("""COMPUTED_VALUE"""),"SI")</f>
        <v>SI</v>
      </c>
      <c r="S1180" s="213"/>
      <c r="T1180" s="213" t="str">
        <f>IFERROR(__xludf.DUMMYFUNCTION("""COMPUTED_VALUE"""),"SI")</f>
        <v>SI</v>
      </c>
      <c r="U1180" s="213" t="str">
        <f>IFERROR(__xludf.DUMMYFUNCTION("""COMPUTED_VALUE"""),"SI")</f>
        <v>SI</v>
      </c>
      <c r="V1180" s="213" t="str">
        <f>IFERROR(__xludf.DUMMYFUNCTION("""COMPUTED_VALUE"""),"-")</f>
        <v>-</v>
      </c>
      <c r="W1180" s="213" t="str">
        <f>IFERROR(__xludf.DUMMYFUNCTION("""COMPUTED_VALUE"""),"-")</f>
        <v>-</v>
      </c>
      <c r="X1180" s="213" t="str">
        <f>IFERROR(__xludf.DUMMYFUNCTION("""COMPUTED_VALUE"""),"Cuisinart")</f>
        <v>Cuisinart</v>
      </c>
      <c r="Y1180" s="213" t="str">
        <f>IFERROR(__xludf.DUMMYFUNCTION("""COMPUTED_VALUE"""),"CTG-00-SMP")</f>
        <v>CTG-00-SMP</v>
      </c>
      <c r="Z1180" s="215" t="str">
        <f>IFERROR(__xludf.DUMMYFUNCTION("""COMPUTED_VALUE"""),"https://www.falabella.com.pe/falabella-pe/product/18023850/Juego-x4-Cucharas-Medidoras-Acero-Inoxidable/18023850")</f>
        <v>https://www.falabella.com.pe/falabella-pe/product/18023850/Juego-x4-Cucharas-Medidoras-Acero-Inoxidable/18023850</v>
      </c>
      <c r="AA1180" s="213" t="str">
        <f>IFERROR(__xludf.DUMMYFUNCTION("""COMPUTED_VALUE"""),"MAT-142-Y JUEGO DE CUCHARAS MEDIDORAS - CET")</f>
        <v>MAT-142-Y JUEGO DE CUCHARAS MEDIDORAS - CET</v>
      </c>
      <c r="AB1180" s="213"/>
      <c r="AC1180" s="213"/>
      <c r="AD1180" s="213"/>
      <c r="AE1180" s="213"/>
      <c r="AF1180" s="213"/>
      <c r="AG1180" s="213"/>
      <c r="AH1180" s="213"/>
      <c r="AI1180" s="213"/>
      <c r="AJ1180" s="213"/>
      <c r="AK1180" s="213"/>
      <c r="AL1180" s="213"/>
      <c r="AM1180" s="213"/>
      <c r="AN1180" s="213"/>
      <c r="AO1180" s="213"/>
      <c r="AP1180" s="213" t="str">
        <f>IFERROR(__xludf.DUMMYFUNCTION("""COMPUTED_VALUE"""),"LUIS")</f>
        <v>LUIS</v>
      </c>
      <c r="AQ1180" s="213"/>
      <c r="AR1180" s="213"/>
      <c r="AS1180" s="213"/>
      <c r="AT1180" s="213"/>
      <c r="AU1180" s="213"/>
      <c r="AV1180" s="213"/>
      <c r="AW1180" s="213"/>
      <c r="AX1180" s="213"/>
      <c r="AY1180" s="213"/>
      <c r="AZ1180" s="213"/>
      <c r="BA1180" s="213"/>
      <c r="BB1180" s="213"/>
      <c r="BC1180" s="213"/>
      <c r="BD1180" s="213"/>
    </row>
    <row r="1181">
      <c r="A1181" s="213">
        <f>IFERROR(__xludf.DUMMYFUNCTION("""COMPUTED_VALUE"""),486.0)</f>
        <v>486</v>
      </c>
      <c r="B1181" s="213" t="str">
        <f>IFERROR(__xludf.DUMMYFUNCTION("""COMPUTED_VALUE"""),"2026 SIMON BOLIVAR")</f>
        <v>2026 SIMON BOLIVAR</v>
      </c>
      <c r="C1181" s="213" t="str">
        <f>IFERROR(__xludf.DUMMYFUNCTION("""COMPUTED_VALUE"""),"TALLER SFT DE INDUSTRIA ALIMENTARIA")</f>
        <v>TALLER SFT DE INDUSTRIA ALIMENTARIA</v>
      </c>
      <c r="D1181" s="213" t="str">
        <f>IFERROR(__xludf.DUMMYFUNCTION("""COMPUTED_VALUE"""),"HERRAMIENTAS")</f>
        <v>HERRAMIENTAS</v>
      </c>
      <c r="E1181" s="213" t="str">
        <f>IFERROR(__xludf.DUMMYFUNCTION("""COMPUTED_VALUE"""),"MAT-143")</f>
        <v>MAT-143</v>
      </c>
      <c r="F1181" s="213" t="str">
        <f>IFERROR(__xludf.DUMMYFUNCTION("""COMPUTED_VALUE"""),"MAT-143")</f>
        <v>MAT-143</v>
      </c>
      <c r="G1181" s="213"/>
      <c r="H1181" s="213" t="str">
        <f>IFERROR(__xludf.DUMMYFUNCTION("""COMPUTED_VALUE"""),"KIT DE CUCHARAS N° 3 Y N°4")</f>
        <v>KIT DE CUCHARAS N° 3 Y N°4</v>
      </c>
      <c r="I1181" s="213" t="str">
        <f>IFERROR(__xludf.DUMMYFUNCTION("""COMPUTED_VALUE"""),"· Material: Acero Inoxidable
· Medidas mínimas:  4mm x 10mm x 80 mm / 2.7mm x 10mm x 4mm")</f>
        <v>· Material: Acero Inoxidable
· Medidas mínimas:  4mm x 10mm x 80 mm / 2.7mm x 10mm x 4mm</v>
      </c>
      <c r="J1181" s="213">
        <f>IFERROR(__xludf.DUMMYFUNCTION("""COMPUTED_VALUE"""),3.0)</f>
        <v>3</v>
      </c>
      <c r="K1181" s="213" t="str">
        <f>IFERROR(__xludf.DUMMYFUNCTION("""COMPUTED_VALUE"""),"90 DÍAS CALENDARIO")</f>
        <v>90 DÍAS CALENDARIO</v>
      </c>
      <c r="L1181" s="213" t="str">
        <f>IFERROR(__xludf.DUMMYFUNCTION("""COMPUTED_VALUE"""),"")</f>
        <v/>
      </c>
      <c r="M1181" s="213">
        <f>IFERROR(__xludf.DUMMYFUNCTION("""COMPUTED_VALUE"""),1.0)</f>
        <v>1</v>
      </c>
      <c r="N1181" s="213">
        <f>IFERROR(__xludf.DUMMYFUNCTION("""COMPUTED_VALUE"""),5.0)</f>
        <v>5</v>
      </c>
      <c r="O1181" s="213">
        <f>IFERROR(__xludf.DUMMYFUNCTION("""COMPUTED_VALUE"""),5.0)</f>
        <v>5</v>
      </c>
      <c r="P1181" s="213"/>
      <c r="Q1181" s="213"/>
      <c r="R1181" s="213"/>
      <c r="S1181" s="213"/>
      <c r="T1181" s="213" t="str">
        <f>IFERROR(__xludf.DUMMYFUNCTION("""COMPUTED_VALUE"""),"CONSULTA FINAL")</f>
        <v>CONSULTA FINAL</v>
      </c>
      <c r="U1181" s="213" t="str">
        <f>IFERROR(__xludf.DUMMYFUNCTION("""COMPUTED_VALUE"""),"NO")</f>
        <v>NO</v>
      </c>
      <c r="V1181" s="213" t="str">
        <f>IFERROR(__xludf.DUMMYFUNCTION("""COMPUTED_VALUE"""),"SUSTENTO")</f>
        <v>SUSTENTO</v>
      </c>
      <c r="W1181" s="213" t="str">
        <f>IFERROR(__xludf.DUMMYFUNCTION("""COMPUTED_VALUE"""),"DIMENSIONAL")</f>
        <v>DIMENSIONAL</v>
      </c>
      <c r="X1181" s="213" t="str">
        <f>IFERROR(__xludf.DUMMYFUNCTION("""COMPUTED_VALUE"""),"VARPOTLE")</f>
        <v>VARPOTLE</v>
      </c>
      <c r="Y1181" s="213" t="str">
        <f>IFERROR(__xludf.DUMMYFUNCTION("""COMPUTED_VALUE"""),"VARPOTLE")</f>
        <v>VARPOTLE</v>
      </c>
      <c r="Z1181" s="215" t="str">
        <f>IFERROR(__xludf.DUMMYFUNCTION("""COMPUTED_VALUE"""),"https://www.amazon.com.mx/cucharas-peque%C3%B1as-pulgadas-unidades-inoxidable/dp/B0DP8PB9PW?th=1")</f>
        <v>https://www.amazon.com.mx/cucharas-peque%C3%B1as-pulgadas-unidades-inoxidable/dp/B0DP8PB9PW?th=1</v>
      </c>
      <c r="AA1181" s="213" t="str">
        <f>IFERROR(__xludf.DUMMYFUNCTION("""COMPUTED_VALUE"""),"MAT-143 KIT DE CUCHARAS N° 3 Y N°4 - CET")</f>
        <v>MAT-143 KIT DE CUCHARAS N° 3 Y N°4 - CET</v>
      </c>
      <c r="AB1181" s="213"/>
      <c r="AC1181" s="213" t="str">
        <f>IFERROR(__xludf.DUMMYFUNCTION("""COMPUTED_VALUE"""),"CUANTAS CUCHARAS VIENEN EN 1 KIT?")</f>
        <v>CUANTAS CUCHARAS VIENEN EN 1 KIT?</v>
      </c>
      <c r="AD1181" s="213"/>
      <c r="AE1181" s="213"/>
      <c r="AF1181" s="213"/>
      <c r="AG1181" s="213"/>
      <c r="AH1181" s="213"/>
      <c r="AI1181" s="213"/>
      <c r="AJ1181" s="213"/>
      <c r="AK1181" s="213"/>
      <c r="AL1181" s="213"/>
      <c r="AM1181" s="213"/>
      <c r="AN1181" s="213"/>
      <c r="AO1181" s="213"/>
      <c r="AP1181" s="213" t="str">
        <f>IFERROR(__xludf.DUMMYFUNCTION("""COMPUTED_VALUE"""),"LUIS")</f>
        <v>LUIS</v>
      </c>
      <c r="AQ1181" s="213"/>
      <c r="AR1181" s="213"/>
      <c r="AS1181" s="213"/>
      <c r="AT1181" s="213"/>
      <c r="AU1181" s="213"/>
      <c r="AV1181" s="213"/>
      <c r="AW1181" s="213"/>
      <c r="AX1181" s="213"/>
      <c r="AY1181" s="213"/>
      <c r="AZ1181" s="213"/>
      <c r="BA1181" s="213"/>
      <c r="BB1181" s="213"/>
      <c r="BC1181" s="213"/>
      <c r="BD1181" s="213"/>
    </row>
    <row r="1182">
      <c r="A1182" s="213">
        <f>IFERROR(__xludf.DUMMYFUNCTION("""COMPUTED_VALUE"""),494.0)</f>
        <v>494</v>
      </c>
      <c r="B1182" s="213" t="str">
        <f>IFERROR(__xludf.DUMMYFUNCTION("""COMPUTED_VALUE"""),"2026 SIMON BOLIVAR")</f>
        <v>2026 SIMON BOLIVAR</v>
      </c>
      <c r="C1182" s="213" t="str">
        <f>IFERROR(__xludf.DUMMYFUNCTION("""COMPUTED_VALUE"""),"TALLER SFT DE INDUSTRIA ALIMENTARIA")</f>
        <v>TALLER SFT DE INDUSTRIA ALIMENTARIA</v>
      </c>
      <c r="D1182" s="213" t="str">
        <f>IFERROR(__xludf.DUMMYFUNCTION("""COMPUTED_VALUE"""),"HERRAMIENTAS")</f>
        <v>HERRAMIENTAS</v>
      </c>
      <c r="E1182" s="213" t="str">
        <f>IFERROR(__xludf.DUMMYFUNCTION("""COMPUTED_VALUE"""),"MAT-143")</f>
        <v>MAT-143</v>
      </c>
      <c r="F1182" s="213" t="str">
        <f>IFERROR(__xludf.DUMMYFUNCTION("""COMPUTED_VALUE"""),"MAT-143")</f>
        <v>MAT-143</v>
      </c>
      <c r="G1182" s="213"/>
      <c r="H1182" s="213" t="str">
        <f>IFERROR(__xludf.DUMMYFUNCTION("""COMPUTED_VALUE"""),"KIT DE CUCHARAS N° 3 Y N°4")</f>
        <v>KIT DE CUCHARAS N° 3 Y N°4</v>
      </c>
      <c r="I1182" s="213" t="str">
        <f>IFERROR(__xludf.DUMMYFUNCTION("""COMPUTED_VALUE"""),"· Material: Acero Inoxidable
· Medidas mínimas:  4mm x 10mm x 80 mm / 2.7mm x 10mm x 4mm")</f>
        <v>· Material: Acero Inoxidable
· Medidas mínimas:  4mm x 10mm x 80 mm / 2.7mm x 10mm x 4mm</v>
      </c>
      <c r="J1182" s="213">
        <f>IFERROR(__xludf.DUMMYFUNCTION("""COMPUTED_VALUE"""),3.0)</f>
        <v>3</v>
      </c>
      <c r="K1182" s="213" t="str">
        <f>IFERROR(__xludf.DUMMYFUNCTION("""COMPUTED_VALUE"""),"90 DÍAS CALENDARIO")</f>
        <v>90 DÍAS CALENDARIO</v>
      </c>
      <c r="L1182" s="213" t="str">
        <f>IFERROR(__xludf.DUMMYFUNCTION("""COMPUTED_VALUE"""),"")</f>
        <v/>
      </c>
      <c r="M1182" s="213">
        <f>IFERROR(__xludf.DUMMYFUNCTION("""COMPUTED_VALUE"""),1.0)</f>
        <v>1</v>
      </c>
      <c r="N1182" s="213">
        <f>IFERROR(__xludf.DUMMYFUNCTION("""COMPUTED_VALUE"""),5.0)</f>
        <v>5</v>
      </c>
      <c r="O1182" s="213">
        <f>IFERROR(__xludf.DUMMYFUNCTION("""COMPUTED_VALUE"""),5.0)</f>
        <v>5</v>
      </c>
      <c r="P1182" s="213"/>
      <c r="Q1182" s="213"/>
      <c r="R1182" s="213"/>
      <c r="S1182" s="213"/>
      <c r="T1182" s="213" t="str">
        <f>IFERROR(__xludf.DUMMYFUNCTION("""COMPUTED_VALUE"""),"CONSULTA FINAL")</f>
        <v>CONSULTA FINAL</v>
      </c>
      <c r="U1182" s="213" t="str">
        <f>IFERROR(__xludf.DUMMYFUNCTION("""COMPUTED_VALUE"""),"NO")</f>
        <v>NO</v>
      </c>
      <c r="V1182" s="213" t="str">
        <f>IFERROR(__xludf.DUMMYFUNCTION("""COMPUTED_VALUE"""),"SUSTENTO")</f>
        <v>SUSTENTO</v>
      </c>
      <c r="W1182" s="213" t="str">
        <f>IFERROR(__xludf.DUMMYFUNCTION("""COMPUTED_VALUE"""),"DIMENSIONAL")</f>
        <v>DIMENSIONAL</v>
      </c>
      <c r="X1182" s="213" t="str">
        <f>IFERROR(__xludf.DUMMYFUNCTION("""COMPUTED_VALUE"""),"VARPOTLE")</f>
        <v>VARPOTLE</v>
      </c>
      <c r="Y1182" s="213" t="str">
        <f>IFERROR(__xludf.DUMMYFUNCTION("""COMPUTED_VALUE"""),"VARPOTLE")</f>
        <v>VARPOTLE</v>
      </c>
      <c r="Z1182" s="215" t="str">
        <f>IFERROR(__xludf.DUMMYFUNCTION("""COMPUTED_VALUE"""),"https://www.amazon.com.mx/cucharas-peque%C3%B1as-pulgadas-unidades-inoxidable/dp/B0DP8PB9PW?th=1")</f>
        <v>https://www.amazon.com.mx/cucharas-peque%C3%B1as-pulgadas-unidades-inoxidable/dp/B0DP8PB9PW?th=1</v>
      </c>
      <c r="AA1182" s="213" t="str">
        <f>IFERROR(__xludf.DUMMYFUNCTION("""COMPUTED_VALUE"""),"MAT-143 KIT DE CUCHARAS N° 3 Y N°4 - CET")</f>
        <v>MAT-143 KIT DE CUCHARAS N° 3 Y N°4 - CET</v>
      </c>
      <c r="AB1182" s="213"/>
      <c r="AC1182" s="213" t="str">
        <f>IFERROR(__xludf.DUMMYFUNCTION("""COMPUTED_VALUE"""),"CUANTAS CUCHARAS VIENEN EN 1 KIT?")</f>
        <v>CUANTAS CUCHARAS VIENEN EN 1 KIT?</v>
      </c>
      <c r="AD1182" s="213"/>
      <c r="AE1182" s="213"/>
      <c r="AF1182" s="213"/>
      <c r="AG1182" s="213"/>
      <c r="AH1182" s="213"/>
      <c r="AI1182" s="213"/>
      <c r="AJ1182" s="213"/>
      <c r="AK1182" s="213"/>
      <c r="AL1182" s="213"/>
      <c r="AM1182" s="213"/>
      <c r="AN1182" s="213"/>
      <c r="AO1182" s="213"/>
      <c r="AP1182" s="213" t="str">
        <f>IFERROR(__xludf.DUMMYFUNCTION("""COMPUTED_VALUE"""),"LUIS")</f>
        <v>LUIS</v>
      </c>
      <c r="AQ1182" s="213"/>
      <c r="AR1182" s="213"/>
      <c r="AS1182" s="213"/>
      <c r="AT1182" s="213"/>
      <c r="AU1182" s="213"/>
      <c r="AV1182" s="213"/>
      <c r="AW1182" s="213"/>
      <c r="AX1182" s="213"/>
      <c r="AY1182" s="213"/>
      <c r="AZ1182" s="213"/>
      <c r="BA1182" s="213"/>
      <c r="BB1182" s="213"/>
      <c r="BC1182" s="213"/>
      <c r="BD1182" s="213"/>
    </row>
    <row r="1183">
      <c r="A1183" s="213">
        <f>IFERROR(__xludf.DUMMYFUNCTION("""COMPUTED_VALUE"""),1116.0)</f>
        <v>1116</v>
      </c>
      <c r="B1183" s="213" t="str">
        <f>IFERROR(__xludf.DUMMYFUNCTION("""COMPUTED_VALUE"""),"FRANCISCO IRAZOLA")</f>
        <v>FRANCISCO IRAZOLA</v>
      </c>
      <c r="C1183" s="213" t="str">
        <f>IFERROR(__xludf.DUMMYFUNCTION("""COMPUTED_VALUE"""),"TALLER SFT DE INDUSTRIA ALIMENTARIA")</f>
        <v>TALLER SFT DE INDUSTRIA ALIMENTARIA</v>
      </c>
      <c r="D1183" s="213" t="str">
        <f>IFERROR(__xludf.DUMMYFUNCTION("""COMPUTED_VALUE"""),"HERRAMIENTAS")</f>
        <v>HERRAMIENTAS</v>
      </c>
      <c r="E1183" s="213" t="str">
        <f>IFERROR(__xludf.DUMMYFUNCTION("""COMPUTED_VALUE"""),"MAT-143")</f>
        <v>MAT-143</v>
      </c>
      <c r="F1183" s="213" t="str">
        <f>IFERROR(__xludf.DUMMYFUNCTION("""COMPUTED_VALUE"""),"MAT-143")</f>
        <v>MAT-143</v>
      </c>
      <c r="G1183" s="213"/>
      <c r="H1183" s="213" t="str">
        <f>IFERROR(__xludf.DUMMYFUNCTION("""COMPUTED_VALUE"""),"KIT DE CUCHARAS N° 3 Y N°4")</f>
        <v>KIT DE CUCHARAS N° 3 Y N°4</v>
      </c>
      <c r="I1183" s="213" t="str">
        <f>IFERROR(__xludf.DUMMYFUNCTION("""COMPUTED_VALUE"""),"· Material: Acero Inoxidable
· Medidas mínimas:  4mm x 10mm x 80 mm / 2.7mm x 10mm x 4mm")</f>
        <v>· Material: Acero Inoxidable
· Medidas mínimas:  4mm x 10mm x 80 mm / 2.7mm x 10mm x 4mm</v>
      </c>
      <c r="J1183" s="213">
        <f>IFERROR(__xludf.DUMMYFUNCTION("""COMPUTED_VALUE"""),3.0)</f>
        <v>3</v>
      </c>
      <c r="K1183" s="213" t="str">
        <f>IFERROR(__xludf.DUMMYFUNCTION("""COMPUTED_VALUE"""),"90 DÍAS CALENDARIO")</f>
        <v>90 DÍAS CALENDARIO</v>
      </c>
      <c r="L1183" s="213" t="str">
        <f>IFERROR(__xludf.DUMMYFUNCTION("""COMPUTED_VALUE"""),"")</f>
        <v/>
      </c>
      <c r="M1183" s="213">
        <f>IFERROR(__xludf.DUMMYFUNCTION("""COMPUTED_VALUE"""),1.0)</f>
        <v>1</v>
      </c>
      <c r="N1183" s="213">
        <f>IFERROR(__xludf.DUMMYFUNCTION("""COMPUTED_VALUE"""),5.0)</f>
        <v>5</v>
      </c>
      <c r="O1183" s="213">
        <f>IFERROR(__xludf.DUMMYFUNCTION("""COMPUTED_VALUE"""),5.0)</f>
        <v>5</v>
      </c>
      <c r="P1183" s="213"/>
      <c r="Q1183" s="213"/>
      <c r="R1183" s="213"/>
      <c r="S1183" s="213"/>
      <c r="T1183" s="213" t="str">
        <f>IFERROR(__xludf.DUMMYFUNCTION("""COMPUTED_VALUE"""),"CONSULTA FINAL")</f>
        <v>CONSULTA FINAL</v>
      </c>
      <c r="U1183" s="213" t="str">
        <f>IFERROR(__xludf.DUMMYFUNCTION("""COMPUTED_VALUE"""),"NO")</f>
        <v>NO</v>
      </c>
      <c r="V1183" s="213" t="str">
        <f>IFERROR(__xludf.DUMMYFUNCTION("""COMPUTED_VALUE"""),"SUSTENTO")</f>
        <v>SUSTENTO</v>
      </c>
      <c r="W1183" s="213" t="str">
        <f>IFERROR(__xludf.DUMMYFUNCTION("""COMPUTED_VALUE"""),"DIMENSIONAL")</f>
        <v>DIMENSIONAL</v>
      </c>
      <c r="X1183" s="213" t="str">
        <f>IFERROR(__xludf.DUMMYFUNCTION("""COMPUTED_VALUE"""),"VARPOTLE")</f>
        <v>VARPOTLE</v>
      </c>
      <c r="Y1183" s="213" t="str">
        <f>IFERROR(__xludf.DUMMYFUNCTION("""COMPUTED_VALUE"""),"VARPOTLE")</f>
        <v>VARPOTLE</v>
      </c>
      <c r="Z1183" s="215" t="str">
        <f>IFERROR(__xludf.DUMMYFUNCTION("""COMPUTED_VALUE"""),"https://www.amazon.com.mx/cucharas-peque%C3%B1as-pulgadas-unidades-inoxidable/dp/B0DP8PB9PW?th=1")</f>
        <v>https://www.amazon.com.mx/cucharas-peque%C3%B1as-pulgadas-unidades-inoxidable/dp/B0DP8PB9PW?th=1</v>
      </c>
      <c r="AA1183" s="213" t="str">
        <f>IFERROR(__xludf.DUMMYFUNCTION("""COMPUTED_VALUE"""),"MAT-143 KIT DE CUCHARAS N° 3 Y N°4 - CET")</f>
        <v>MAT-143 KIT DE CUCHARAS N° 3 Y N°4 - CET</v>
      </c>
      <c r="AB1183" s="213"/>
      <c r="AC1183" s="213" t="str">
        <f>IFERROR(__xludf.DUMMYFUNCTION("""COMPUTED_VALUE"""),"CUANTAS CUCHARAS VIENEN EN 1 KIT?")</f>
        <v>CUANTAS CUCHARAS VIENEN EN 1 KIT?</v>
      </c>
      <c r="AD1183" s="213"/>
      <c r="AE1183" s="213"/>
      <c r="AF1183" s="213"/>
      <c r="AG1183" s="213"/>
      <c r="AH1183" s="213"/>
      <c r="AI1183" s="213"/>
      <c r="AJ1183" s="213"/>
      <c r="AK1183" s="213"/>
      <c r="AL1183" s="213"/>
      <c r="AM1183" s="213"/>
      <c r="AN1183" s="213"/>
      <c r="AO1183" s="213"/>
      <c r="AP1183" s="213" t="str">
        <f>IFERROR(__xludf.DUMMYFUNCTION("""COMPUTED_VALUE"""),"LUIS")</f>
        <v>LUIS</v>
      </c>
      <c r="AQ1183" s="213"/>
      <c r="AR1183" s="213"/>
      <c r="AS1183" s="213"/>
      <c r="AT1183" s="213"/>
      <c r="AU1183" s="213"/>
      <c r="AV1183" s="213"/>
      <c r="AW1183" s="213"/>
      <c r="AX1183" s="213"/>
      <c r="AY1183" s="213"/>
      <c r="AZ1183" s="213"/>
      <c r="BA1183" s="213"/>
      <c r="BB1183" s="213"/>
      <c r="BC1183" s="213"/>
      <c r="BD1183" s="213"/>
    </row>
    <row r="1184">
      <c r="A1184" s="213">
        <f>IFERROR(__xludf.DUMMYFUNCTION("""COMPUTED_VALUE"""),1124.0)</f>
        <v>1124</v>
      </c>
      <c r="B1184" s="213" t="str">
        <f>IFERROR(__xludf.DUMMYFUNCTION("""COMPUTED_VALUE"""),"FRANCISCO IRAZOLA")</f>
        <v>FRANCISCO IRAZOLA</v>
      </c>
      <c r="C1184" s="213" t="str">
        <f>IFERROR(__xludf.DUMMYFUNCTION("""COMPUTED_VALUE"""),"TALLER SFT DE INDUSTRIA ALIMENTARIA")</f>
        <v>TALLER SFT DE INDUSTRIA ALIMENTARIA</v>
      </c>
      <c r="D1184" s="213" t="str">
        <f>IFERROR(__xludf.DUMMYFUNCTION("""COMPUTED_VALUE"""),"HERRAMIENTAS")</f>
        <v>HERRAMIENTAS</v>
      </c>
      <c r="E1184" s="213" t="str">
        <f>IFERROR(__xludf.DUMMYFUNCTION("""COMPUTED_VALUE"""),"MAT-143")</f>
        <v>MAT-143</v>
      </c>
      <c r="F1184" s="213" t="str">
        <f>IFERROR(__xludf.DUMMYFUNCTION("""COMPUTED_VALUE"""),"MAT-143")</f>
        <v>MAT-143</v>
      </c>
      <c r="G1184" s="213"/>
      <c r="H1184" s="213" t="str">
        <f>IFERROR(__xludf.DUMMYFUNCTION("""COMPUTED_VALUE"""),"KIT DE CUCHARAS N° 3 Y N°4")</f>
        <v>KIT DE CUCHARAS N° 3 Y N°4</v>
      </c>
      <c r="I1184" s="213" t="str">
        <f>IFERROR(__xludf.DUMMYFUNCTION("""COMPUTED_VALUE"""),"· Material: Acero Inoxidable
· Medidas mínimas:  4mm x 10mm x 80 mm / 2.7mm x 10mm x 4mm")</f>
        <v>· Material: Acero Inoxidable
· Medidas mínimas:  4mm x 10mm x 80 mm / 2.7mm x 10mm x 4mm</v>
      </c>
      <c r="J1184" s="213">
        <f>IFERROR(__xludf.DUMMYFUNCTION("""COMPUTED_VALUE"""),3.0)</f>
        <v>3</v>
      </c>
      <c r="K1184" s="213" t="str">
        <f>IFERROR(__xludf.DUMMYFUNCTION("""COMPUTED_VALUE"""),"90 DÍAS CALENDARIO")</f>
        <v>90 DÍAS CALENDARIO</v>
      </c>
      <c r="L1184" s="213" t="str">
        <f>IFERROR(__xludf.DUMMYFUNCTION("""COMPUTED_VALUE"""),"")</f>
        <v/>
      </c>
      <c r="M1184" s="213">
        <f>IFERROR(__xludf.DUMMYFUNCTION("""COMPUTED_VALUE"""),1.0)</f>
        <v>1</v>
      </c>
      <c r="N1184" s="213">
        <f>IFERROR(__xludf.DUMMYFUNCTION("""COMPUTED_VALUE"""),5.0)</f>
        <v>5</v>
      </c>
      <c r="O1184" s="213">
        <f>IFERROR(__xludf.DUMMYFUNCTION("""COMPUTED_VALUE"""),5.0)</f>
        <v>5</v>
      </c>
      <c r="P1184" s="213"/>
      <c r="Q1184" s="213"/>
      <c r="R1184" s="213"/>
      <c r="S1184" s="213"/>
      <c r="T1184" s="213" t="str">
        <f>IFERROR(__xludf.DUMMYFUNCTION("""COMPUTED_VALUE"""),"CONSULTA FINAL")</f>
        <v>CONSULTA FINAL</v>
      </c>
      <c r="U1184" s="213" t="str">
        <f>IFERROR(__xludf.DUMMYFUNCTION("""COMPUTED_VALUE"""),"NO")</f>
        <v>NO</v>
      </c>
      <c r="V1184" s="213" t="str">
        <f>IFERROR(__xludf.DUMMYFUNCTION("""COMPUTED_VALUE"""),"SUSTENTO")</f>
        <v>SUSTENTO</v>
      </c>
      <c r="W1184" s="213" t="str">
        <f>IFERROR(__xludf.DUMMYFUNCTION("""COMPUTED_VALUE"""),"DIMENSIONAL")</f>
        <v>DIMENSIONAL</v>
      </c>
      <c r="X1184" s="213" t="str">
        <f>IFERROR(__xludf.DUMMYFUNCTION("""COMPUTED_VALUE"""),"VARPOTLE")</f>
        <v>VARPOTLE</v>
      </c>
      <c r="Y1184" s="213" t="str">
        <f>IFERROR(__xludf.DUMMYFUNCTION("""COMPUTED_VALUE"""),"VARPOTLE")</f>
        <v>VARPOTLE</v>
      </c>
      <c r="Z1184" s="215" t="str">
        <f>IFERROR(__xludf.DUMMYFUNCTION("""COMPUTED_VALUE"""),"https://www.amazon.com.mx/cucharas-peque%C3%B1as-pulgadas-unidades-inoxidable/dp/B0DP8PB9PW?th=1")</f>
        <v>https://www.amazon.com.mx/cucharas-peque%C3%B1as-pulgadas-unidades-inoxidable/dp/B0DP8PB9PW?th=1</v>
      </c>
      <c r="AA1184" s="213" t="str">
        <f>IFERROR(__xludf.DUMMYFUNCTION("""COMPUTED_VALUE"""),"MAT-143 KIT DE CUCHARAS N° 3 Y N°4 - CET")</f>
        <v>MAT-143 KIT DE CUCHARAS N° 3 Y N°4 - CET</v>
      </c>
      <c r="AB1184" s="213"/>
      <c r="AC1184" s="213" t="str">
        <f>IFERROR(__xludf.DUMMYFUNCTION("""COMPUTED_VALUE"""),"CUANTAS CUCHARAS VIENEN EN 1 KIT?")</f>
        <v>CUANTAS CUCHARAS VIENEN EN 1 KIT?</v>
      </c>
      <c r="AD1184" s="213"/>
      <c r="AE1184" s="213"/>
      <c r="AF1184" s="213"/>
      <c r="AG1184" s="213"/>
      <c r="AH1184" s="213"/>
      <c r="AI1184" s="213"/>
      <c r="AJ1184" s="213"/>
      <c r="AK1184" s="213"/>
      <c r="AL1184" s="213"/>
      <c r="AM1184" s="213"/>
      <c r="AN1184" s="213"/>
      <c r="AO1184" s="213"/>
      <c r="AP1184" s="213" t="str">
        <f>IFERROR(__xludf.DUMMYFUNCTION("""COMPUTED_VALUE"""),"LUIS")</f>
        <v>LUIS</v>
      </c>
      <c r="AQ1184" s="213"/>
      <c r="AR1184" s="213"/>
      <c r="AS1184" s="213"/>
      <c r="AT1184" s="213"/>
      <c r="AU1184" s="213"/>
      <c r="AV1184" s="213"/>
      <c r="AW1184" s="213"/>
      <c r="AX1184" s="213"/>
      <c r="AY1184" s="213"/>
      <c r="AZ1184" s="213"/>
      <c r="BA1184" s="213"/>
      <c r="BB1184" s="213"/>
      <c r="BC1184" s="213"/>
      <c r="BD1184" s="213"/>
    </row>
    <row r="1185">
      <c r="A1185" s="213">
        <f>IFERROR(__xludf.DUMMYFUNCTION("""COMPUTED_VALUE"""),1388.0)</f>
        <v>1388</v>
      </c>
      <c r="B1185" s="213" t="str">
        <f>IFERROR(__xludf.DUMMYFUNCTION("""COMPUTED_VALUE"""),"GUILLERMO E. BILLINGHURST ")</f>
        <v>GUILLERMO E. BILLINGHURST </v>
      </c>
      <c r="C1185" s="213" t="str">
        <f>IFERROR(__xludf.DUMMYFUNCTION("""COMPUTED_VALUE"""),"TALLER SFT DE INDUSTRIA ALIMENTARIA")</f>
        <v>TALLER SFT DE INDUSTRIA ALIMENTARIA</v>
      </c>
      <c r="D1185" s="213" t="str">
        <f>IFERROR(__xludf.DUMMYFUNCTION("""COMPUTED_VALUE"""),"HERRAMIENTAS")</f>
        <v>HERRAMIENTAS</v>
      </c>
      <c r="E1185" s="213" t="str">
        <f>IFERROR(__xludf.DUMMYFUNCTION("""COMPUTED_VALUE"""),"MAT-143")</f>
        <v>MAT-143</v>
      </c>
      <c r="F1185" s="213" t="str">
        <f>IFERROR(__xludf.DUMMYFUNCTION("""COMPUTED_VALUE"""),"MAT-143")</f>
        <v>MAT-143</v>
      </c>
      <c r="G1185" s="213"/>
      <c r="H1185" s="213" t="str">
        <f>IFERROR(__xludf.DUMMYFUNCTION("""COMPUTED_VALUE"""),"KIT DE CUCHARAS N° 3 Y N°4")</f>
        <v>KIT DE CUCHARAS N° 3 Y N°4</v>
      </c>
      <c r="I1185" s="213" t="str">
        <f>IFERROR(__xludf.DUMMYFUNCTION("""COMPUTED_VALUE"""),"· Material: Acero Inoxidable
· Medidas mínimas:  4mm x 10mm x 80 mm / 2.7mm x 10mm x 4mm")</f>
        <v>· Material: Acero Inoxidable
· Medidas mínimas:  4mm x 10mm x 80 mm / 2.7mm x 10mm x 4mm</v>
      </c>
      <c r="J1185" s="213">
        <f>IFERROR(__xludf.DUMMYFUNCTION("""COMPUTED_VALUE"""),3.0)</f>
        <v>3</v>
      </c>
      <c r="K1185" s="213" t="str">
        <f>IFERROR(__xludf.DUMMYFUNCTION("""COMPUTED_VALUE"""),"90 DÍAS CALENDARIO")</f>
        <v>90 DÍAS CALENDARIO</v>
      </c>
      <c r="L1185" s="213" t="str">
        <f>IFERROR(__xludf.DUMMYFUNCTION("""COMPUTED_VALUE"""),"")</f>
        <v/>
      </c>
      <c r="M1185" s="213">
        <f>IFERROR(__xludf.DUMMYFUNCTION("""COMPUTED_VALUE"""),1.0)</f>
        <v>1</v>
      </c>
      <c r="N1185" s="213">
        <f>IFERROR(__xludf.DUMMYFUNCTION("""COMPUTED_VALUE"""),5.0)</f>
        <v>5</v>
      </c>
      <c r="O1185" s="213">
        <f>IFERROR(__xludf.DUMMYFUNCTION("""COMPUTED_VALUE"""),5.0)</f>
        <v>5</v>
      </c>
      <c r="P1185" s="213"/>
      <c r="Q1185" s="213"/>
      <c r="R1185" s="213"/>
      <c r="S1185" s="213"/>
      <c r="T1185" s="213" t="str">
        <f>IFERROR(__xludf.DUMMYFUNCTION("""COMPUTED_VALUE"""),"CONSULTA FINAL")</f>
        <v>CONSULTA FINAL</v>
      </c>
      <c r="U1185" s="213" t="str">
        <f>IFERROR(__xludf.DUMMYFUNCTION("""COMPUTED_VALUE"""),"NO")</f>
        <v>NO</v>
      </c>
      <c r="V1185" s="213" t="str">
        <f>IFERROR(__xludf.DUMMYFUNCTION("""COMPUTED_VALUE"""),"SUSTENTO")</f>
        <v>SUSTENTO</v>
      </c>
      <c r="W1185" s="213" t="str">
        <f>IFERROR(__xludf.DUMMYFUNCTION("""COMPUTED_VALUE"""),"DIMENSIONAL")</f>
        <v>DIMENSIONAL</v>
      </c>
      <c r="X1185" s="213" t="str">
        <f>IFERROR(__xludf.DUMMYFUNCTION("""COMPUTED_VALUE"""),"VARPOTLE")</f>
        <v>VARPOTLE</v>
      </c>
      <c r="Y1185" s="213" t="str">
        <f>IFERROR(__xludf.DUMMYFUNCTION("""COMPUTED_VALUE"""),"VARPOTLE")</f>
        <v>VARPOTLE</v>
      </c>
      <c r="Z1185" s="215" t="str">
        <f>IFERROR(__xludf.DUMMYFUNCTION("""COMPUTED_VALUE"""),"https://www.amazon.com.mx/cucharas-peque%C3%B1as-pulgadas-unidades-inoxidable/dp/B0DP8PB9PW?th=1")</f>
        <v>https://www.amazon.com.mx/cucharas-peque%C3%B1as-pulgadas-unidades-inoxidable/dp/B0DP8PB9PW?th=1</v>
      </c>
      <c r="AA1185" s="213" t="str">
        <f>IFERROR(__xludf.DUMMYFUNCTION("""COMPUTED_VALUE"""),"MAT-143 KIT DE CUCHARAS N° 3 Y N°4 - CET")</f>
        <v>MAT-143 KIT DE CUCHARAS N° 3 Y N°4 - CET</v>
      </c>
      <c r="AB1185" s="213"/>
      <c r="AC1185" s="213" t="str">
        <f>IFERROR(__xludf.DUMMYFUNCTION("""COMPUTED_VALUE"""),"CUANTAS CUCHARAS VIENEN EN 1 KIT?")</f>
        <v>CUANTAS CUCHARAS VIENEN EN 1 KIT?</v>
      </c>
      <c r="AD1185" s="213"/>
      <c r="AE1185" s="213"/>
      <c r="AF1185" s="213"/>
      <c r="AG1185" s="213"/>
      <c r="AH1185" s="213"/>
      <c r="AI1185" s="213"/>
      <c r="AJ1185" s="213"/>
      <c r="AK1185" s="213"/>
      <c r="AL1185" s="213"/>
      <c r="AM1185" s="213"/>
      <c r="AN1185" s="213"/>
      <c r="AO1185" s="213"/>
      <c r="AP1185" s="213" t="str">
        <f>IFERROR(__xludf.DUMMYFUNCTION("""COMPUTED_VALUE"""),"LUIS")</f>
        <v>LUIS</v>
      </c>
      <c r="AQ1185" s="213"/>
      <c r="AR1185" s="213"/>
      <c r="AS1185" s="213"/>
      <c r="AT1185" s="213"/>
      <c r="AU1185" s="213"/>
      <c r="AV1185" s="213"/>
      <c r="AW1185" s="213"/>
      <c r="AX1185" s="213"/>
      <c r="AY1185" s="213"/>
      <c r="AZ1185" s="213"/>
      <c r="BA1185" s="213"/>
      <c r="BB1185" s="213"/>
      <c r="BC1185" s="213"/>
      <c r="BD1185" s="213"/>
    </row>
    <row r="1186">
      <c r="A1186" s="213">
        <f>IFERROR(__xludf.DUMMYFUNCTION("""COMPUTED_VALUE"""),92.0)</f>
        <v>92</v>
      </c>
      <c r="B1186" s="213" t="str">
        <f>IFERROR(__xludf.DUMMYFUNCTION("""COMPUTED_VALUE"""),"16449 ELOY SOBERON  FLORES")</f>
        <v>16449 ELOY SOBERON  FLORES</v>
      </c>
      <c r="C1186" s="213" t="str">
        <f>IFERROR(__xludf.DUMMYFUNCTION("""COMPUTED_VALUE"""),"TALLER SFT DE COCINA Y REPOSTERÍA")</f>
        <v>TALLER SFT DE COCINA Y REPOSTERÍA</v>
      </c>
      <c r="D1186" s="213" t="str">
        <f>IFERROR(__xludf.DUMMYFUNCTION("""COMPUTED_VALUE"""),"EQUIPOS")</f>
        <v>EQUIPOS</v>
      </c>
      <c r="E1186" s="213" t="str">
        <f>IFERROR(__xludf.DUMMYFUNCTION("""COMPUTED_VALUE"""),"ESP-217")</f>
        <v>ESP-217</v>
      </c>
      <c r="F1186" s="213" t="str">
        <f>IFERROR(__xludf.DUMMYFUNCTION("""COMPUTED_VALUE"""),"ESP-217-X")</f>
        <v>ESP-217-X</v>
      </c>
      <c r="G1186" s="213"/>
      <c r="H1186" s="213" t="str">
        <f>IFERROR(__xludf.DUMMYFUNCTION("""COMPUTED_VALUE"""),"LICUADORA INDUSTRIAL")</f>
        <v>LICUADORA INDUSTRIAL</v>
      </c>
      <c r="I1186" s="213" t="str">
        <f>IFERROR(__xludf.DUMMYFUNCTION("""COMPUTED_VALUE"""),".  Potencia mínima: 0.5 CV
.  Frecuencia: 60Hz/60 HZ
.  Voltaje: 220V
.  Capacidad del Vaso: 4 Lt
.  Rotación mínima: 3000 rpm
.  De acero inoxidable.
.  Diseño cónico del vaso.
* Incluye funda protectora impermeable para su almacenamiento.")</f>
        <v>.  Potencia mínima: 0.5 CV
.  Frecuencia: 60Hz/60 HZ
.  Voltaje: 220V
.  Capacidad del Vaso: 4 Lt
.  Rotación mínima: 3000 rpm
.  De acero inoxidable.
.  Diseño cónico del vaso.
* Incluye funda protectora impermeable para su almacenamiento.</v>
      </c>
      <c r="J1186" s="213">
        <f>IFERROR(__xludf.DUMMYFUNCTION("""COMPUTED_VALUE"""),3.0)</f>
        <v>3</v>
      </c>
      <c r="K1186" s="213" t="str">
        <f>IFERROR(__xludf.DUMMYFUNCTION("""COMPUTED_VALUE"""),"170 DÍAS CALENDARIO")</f>
        <v>170 DÍAS CALENDARIO</v>
      </c>
      <c r="L1186" s="213" t="str">
        <f>IFERROR(__xludf.DUMMYFUNCTION("""COMPUTED_VALUE"""),"")</f>
        <v/>
      </c>
      <c r="M1186" s="213">
        <f>IFERROR(__xludf.DUMMYFUNCTION("""COMPUTED_VALUE"""),1.0)</f>
        <v>1</v>
      </c>
      <c r="N1186" s="213">
        <f>IFERROR(__xludf.DUMMYFUNCTION("""COMPUTED_VALUE"""),1.0)</f>
        <v>1</v>
      </c>
      <c r="O1186" s="213">
        <f>IFERROR(__xludf.DUMMYFUNCTION("""COMPUTED_VALUE"""),1.0)</f>
        <v>1</v>
      </c>
      <c r="P1186" s="213"/>
      <c r="Q1186" s="213"/>
      <c r="R1186" s="213"/>
      <c r="S1186" s="213" t="str">
        <f>IFERROR(__xludf.DUMMYFUNCTION("""COMPUTED_VALUE"""),"SI")</f>
        <v>SI</v>
      </c>
      <c r="T1186" s="213" t="str">
        <f>IFERROR(__xludf.DUMMYFUNCTION("""COMPUTED_VALUE"""),"SI")</f>
        <v>SI</v>
      </c>
      <c r="U1186" s="213" t="str">
        <f>IFERROR(__xludf.DUMMYFUNCTION("""COMPUTED_VALUE"""),"SI")</f>
        <v>SI</v>
      </c>
      <c r="V1186" s="213" t="str">
        <f>IFERROR(__xludf.DUMMYFUNCTION("""COMPUTED_VALUE"""),"-")</f>
        <v>-</v>
      </c>
      <c r="W1186" s="213" t="str">
        <f>IFERROR(__xludf.DUMMYFUNCTION("""COMPUTED_VALUE"""),"-")</f>
        <v>-</v>
      </c>
      <c r="X1186" s="213" t="str">
        <f>IFERROR(__xludf.DUMMYFUNCTION("""COMPUTED_VALUE"""),"SKYMSEM")</f>
        <v>SKYMSEM</v>
      </c>
      <c r="Y1186" s="213" t="str">
        <f>IFERROR(__xludf.DUMMYFUNCTION("""COMPUTED_VALUE"""),"L4")</f>
        <v>L4</v>
      </c>
      <c r="Z1186" s="215" t="str">
        <f>IFERROR(__xludf.DUMMYFUNCTION("""COMPUTED_VALUE"""),"https://www.skymsen.com/es/index.php/produtos/detalhe/709913")</f>
        <v>https://www.skymsen.com/es/index.php/produtos/detalhe/709913</v>
      </c>
      <c r="AA1186" s="213" t="str">
        <f>IFERROR(__xludf.DUMMYFUNCTION("""COMPUTED_VALUE"""),"ESP-217-A LICUADORA INDUSTRIAL (CR)- CET")</f>
        <v>ESP-217-A LICUADORA INDUSTRIAL (CR)- CET</v>
      </c>
      <c r="AB1186" s="215" t="str">
        <f>IFERROR(__xludf.DUMMYFUNCTION("""COMPUTED_VALUE"""),"https://www.skymsen.com/uploads/produtos/folders/709913_esp.pdf")</f>
        <v>https://www.skymsen.com/uploads/produtos/folders/709913_esp.pdf</v>
      </c>
      <c r="AC1186" s="213"/>
      <c r="AD1186" s="213"/>
      <c r="AE1186" s="213"/>
      <c r="AF1186" s="213"/>
      <c r="AG1186" s="213"/>
      <c r="AH1186" s="213" t="str">
        <f>IFERROR(__xludf.DUMMYFUNCTION("""COMPUTED_VALUE"""),"IMPORTADO")</f>
        <v>IMPORTADO</v>
      </c>
      <c r="AI1186" s="213"/>
      <c r="AJ1186" s="213"/>
      <c r="AK1186" s="213"/>
      <c r="AL1186" s="213"/>
      <c r="AM1186" s="213"/>
      <c r="AN1186" s="213"/>
      <c r="AO1186" s="213"/>
      <c r="AP1186" s="213" t="str">
        <f>IFERROR(__xludf.DUMMYFUNCTION("""COMPUTED_VALUE"""),"JASON")</f>
        <v>JASON</v>
      </c>
      <c r="AQ1186" s="213"/>
      <c r="AR1186" s="213"/>
      <c r="AS1186" s="213" t="str">
        <f>IFERROR(__xludf.DUMMYFUNCTION("""COMPUTED_VALUE"""),"Funda protectora impermeable")</f>
        <v>Funda protectora impermeable</v>
      </c>
      <c r="AT1186" s="213"/>
      <c r="AU1186" s="213"/>
      <c r="AV1186" s="213"/>
      <c r="AW1186" s="213"/>
      <c r="AX1186" s="213"/>
      <c r="AY1186" s="213"/>
      <c r="AZ1186" s="213"/>
      <c r="BA1186" s="213"/>
      <c r="BB1186" s="213"/>
      <c r="BC1186" s="213"/>
      <c r="BD1186" s="213"/>
    </row>
    <row r="1187">
      <c r="A1187" s="213">
        <f>IFERROR(__xludf.DUMMYFUNCTION("""COMPUTED_VALUE"""),541.0)</f>
        <v>541</v>
      </c>
      <c r="B1187" s="213" t="str">
        <f>IFERROR(__xludf.DUMMYFUNCTION("""COMPUTED_VALUE"""),"2026 SIMON BOLIVAR")</f>
        <v>2026 SIMON BOLIVAR</v>
      </c>
      <c r="C1187" s="213" t="str">
        <f>IFERROR(__xludf.DUMMYFUNCTION("""COMPUTED_VALUE"""),"TALLER SFT DE INDUSTRIA ALIMENTARIA")</f>
        <v>TALLER SFT DE INDUSTRIA ALIMENTARIA</v>
      </c>
      <c r="D1187" s="213" t="str">
        <f>IFERROR(__xludf.DUMMYFUNCTION("""COMPUTED_VALUE"""),"EQUIPOS")</f>
        <v>EQUIPOS</v>
      </c>
      <c r="E1187" s="213" t="str">
        <f>IFERROR(__xludf.DUMMYFUNCTION("""COMPUTED_VALUE"""),"ESP-217")</f>
        <v>ESP-217</v>
      </c>
      <c r="F1187" s="213" t="str">
        <f>IFERROR(__xludf.DUMMYFUNCTION("""COMPUTED_VALUE"""),"ESP-217-Y")</f>
        <v>ESP-217-Y</v>
      </c>
      <c r="G1187" s="213"/>
      <c r="H1187" s="213" t="str">
        <f>IFERROR(__xludf.DUMMYFUNCTION("""COMPUTED_VALUE"""),"LICUADORA INDUSTRIAL")</f>
        <v>LICUADORA INDUSTRIAL</v>
      </c>
      <c r="I1187" s="213" t="str">
        <f>IFERROR(__xludf.DUMMYFUNCTION("""COMPUTED_VALUE"""),"· Potencia mínima: 0.5 CV
· Frecuencia: 60Hz
· Voltaje: 220V
· Consumom aproximado: 1.20 Kw/h
· Capacidad del Vaso mínimo: 4 Lt
· Rotación mínima: 3000 rpm
· De acero inoxidable.
· Diseño cónico del vaso.
· Altura aproximada : 550.00 mm
· Ancho aproximado"&amp;": 230.00 mm
· Profundidad aproximada: 200.00 mm
· Peso Neto aproximado: 3.60 kg
· Peso Bruto aproximado: 8.20 kg
* Incluye funda protectora impermeable para su almacenamiento.")</f>
        <v>· Potencia mínima: 0.5 CV
· Frecuencia: 60Hz
· Voltaje: 220V
· Consumom aproximado: 1.20 Kw/h
· Capacidad del Vaso mínimo: 4 Lt
· Rotación mínima: 3000 rpm
· De acero inoxidable.
· Diseño cónico del vaso.
· Altura aproximada : 550.00 mm
· Ancho aproximado: 230.00 mm
· Profundidad aproximada: 200.00 mm
· Peso Neto aproximado: 3.60 kg
· Peso Bruto aproximado: 8.20 kg
* Incluye funda protectora impermeable para su almacenamiento.</v>
      </c>
      <c r="J1187" s="213">
        <f>IFERROR(__xludf.DUMMYFUNCTION("""COMPUTED_VALUE"""),3.0)</f>
        <v>3</v>
      </c>
      <c r="K1187" s="213" t="str">
        <f>IFERROR(__xludf.DUMMYFUNCTION("""COMPUTED_VALUE"""),"170 DÍAS CALENDARIO")</f>
        <v>170 DÍAS CALENDARIO</v>
      </c>
      <c r="L1187" s="213" t="str">
        <f>IFERROR(__xludf.DUMMYFUNCTION("""COMPUTED_VALUE"""),"")</f>
        <v/>
      </c>
      <c r="M1187" s="213">
        <f>IFERROR(__xludf.DUMMYFUNCTION("""COMPUTED_VALUE"""),1.0)</f>
        <v>1</v>
      </c>
      <c r="N1187" s="213">
        <f>IFERROR(__xludf.DUMMYFUNCTION("""COMPUTED_VALUE"""),1.0)</f>
        <v>1</v>
      </c>
      <c r="O1187" s="213">
        <f>IFERROR(__xludf.DUMMYFUNCTION("""COMPUTED_VALUE"""),1.0)</f>
        <v>1</v>
      </c>
      <c r="P1187" s="213"/>
      <c r="Q1187" s="213"/>
      <c r="R1187" s="213"/>
      <c r="S1187" s="213" t="str">
        <f>IFERROR(__xludf.DUMMYFUNCTION("""COMPUTED_VALUE"""),"SI")</f>
        <v>SI</v>
      </c>
      <c r="T1187" s="213" t="str">
        <f>IFERROR(__xludf.DUMMYFUNCTION("""COMPUTED_VALUE"""),"SI")</f>
        <v>SI</v>
      </c>
      <c r="U1187" s="213" t="str">
        <f>IFERROR(__xludf.DUMMYFUNCTION("""COMPUTED_VALUE"""),"NO")</f>
        <v>NO</v>
      </c>
      <c r="V1187" s="213" t="str">
        <f>IFERROR(__xludf.DUMMYFUNCTION("""COMPUTED_VALUE"""),"SUSTENTO")</f>
        <v>SUSTENTO</v>
      </c>
      <c r="W1187" s="213" t="str">
        <f>IFERROR(__xludf.DUMMYFUNCTION("""COMPUTED_VALUE"""),"ELÉCTRICO, DIMENSIONAL")</f>
        <v>ELÉCTRICO, DIMENSIONAL</v>
      </c>
      <c r="X1187" s="213" t="str">
        <f>IFERROR(__xludf.DUMMYFUNCTION("""COMPUTED_VALUE"""),"SKYMSEM")</f>
        <v>SKYMSEM</v>
      </c>
      <c r="Y1187" s="213" t="str">
        <f>IFERROR(__xludf.DUMMYFUNCTION("""COMPUTED_VALUE"""),"L4")</f>
        <v>L4</v>
      </c>
      <c r="Z1187" s="215" t="str">
        <f>IFERROR(__xludf.DUMMYFUNCTION("""COMPUTED_VALUE"""),"https://www.skymsen.com/es/index.php/produtos/detalhe/709913")</f>
        <v>https://www.skymsen.com/es/index.php/produtos/detalhe/709913</v>
      </c>
      <c r="AA1187" s="213" t="str">
        <f>IFERROR(__xludf.DUMMYFUNCTION("""COMPUTED_VALUE"""),"ESP-217-B LICUADORA INDUSTRIAL (IA) - CET")</f>
        <v>ESP-217-B LICUADORA INDUSTRIAL (IA) - CET</v>
      </c>
      <c r="AB1187" s="215" t="str">
        <f>IFERROR(__xludf.DUMMYFUNCTION("""COMPUTED_VALUE"""),"https://www.skymsen.com/uploads/produtos/folders/709913_esp.pdf")</f>
        <v>https://www.skymsen.com/uploads/produtos/folders/709913_esp.pdf</v>
      </c>
      <c r="AC1187" s="213"/>
      <c r="AD1187" s="213"/>
      <c r="AE1187" s="213"/>
      <c r="AF1187" s="213"/>
      <c r="AG1187" s="213"/>
      <c r="AH1187" s="213" t="str">
        <f>IFERROR(__xludf.DUMMYFUNCTION("""COMPUTED_VALUE"""),"IMPORTADO")</f>
        <v>IMPORTADO</v>
      </c>
      <c r="AI1187" s="213"/>
      <c r="AJ1187" s="213"/>
      <c r="AK1187" s="213"/>
      <c r="AL1187" s="213"/>
      <c r="AM1187" s="213"/>
      <c r="AN1187" s="213"/>
      <c r="AO1187" s="213"/>
      <c r="AP1187" s="213" t="str">
        <f>IFERROR(__xludf.DUMMYFUNCTION("""COMPUTED_VALUE"""),"ANTONELLA")</f>
        <v>ANTONELLA</v>
      </c>
      <c r="AQ1187" s="213"/>
      <c r="AR1187" s="213"/>
      <c r="AS1187" s="213" t="str">
        <f>IFERROR(__xludf.DUMMYFUNCTION("""COMPUTED_VALUE"""),"Funda protectora impermeable")</f>
        <v>Funda protectora impermeable</v>
      </c>
      <c r="AT1187" s="213"/>
      <c r="AU1187" s="213"/>
      <c r="AV1187" s="213"/>
      <c r="AW1187" s="213"/>
      <c r="AX1187" s="213"/>
      <c r="AY1187" s="213"/>
      <c r="AZ1187" s="213"/>
      <c r="BA1187" s="213"/>
      <c r="BB1187" s="213"/>
      <c r="BC1187" s="213"/>
      <c r="BD1187" s="213"/>
    </row>
    <row r="1188">
      <c r="A1188" s="213">
        <f>IFERROR(__xludf.DUMMYFUNCTION("""COMPUTED_VALUE"""),1168.0)</f>
        <v>1168</v>
      </c>
      <c r="B1188" s="213" t="str">
        <f>IFERROR(__xludf.DUMMYFUNCTION("""COMPUTED_VALUE"""),"FRANCISCO IRAZOLA")</f>
        <v>FRANCISCO IRAZOLA</v>
      </c>
      <c r="C1188" s="213" t="str">
        <f>IFERROR(__xludf.DUMMYFUNCTION("""COMPUTED_VALUE"""),"TALLER SFT DE INDUSTRIA ALIMENTARIA")</f>
        <v>TALLER SFT DE INDUSTRIA ALIMENTARIA</v>
      </c>
      <c r="D1188" s="213" t="str">
        <f>IFERROR(__xludf.DUMMYFUNCTION("""COMPUTED_VALUE"""),"EQUIPOS")</f>
        <v>EQUIPOS</v>
      </c>
      <c r="E1188" s="213" t="str">
        <f>IFERROR(__xludf.DUMMYFUNCTION("""COMPUTED_VALUE"""),"ESP-217")</f>
        <v>ESP-217</v>
      </c>
      <c r="F1188" s="213" t="str">
        <f>IFERROR(__xludf.DUMMYFUNCTION("""COMPUTED_VALUE"""),"ESP-217-Y")</f>
        <v>ESP-217-Y</v>
      </c>
      <c r="G1188" s="213"/>
      <c r="H1188" s="213" t="str">
        <f>IFERROR(__xludf.DUMMYFUNCTION("""COMPUTED_VALUE"""),"LICUADORA INDUSTRIAL")</f>
        <v>LICUADORA INDUSTRIAL</v>
      </c>
      <c r="I1188" s="213" t="str">
        <f>IFERROR(__xludf.DUMMYFUNCTION("""COMPUTED_VALUE"""),"· Potencia mínima: 0.5 CV
· Frecuencia: 60Hz
· Voltaje: 220V
· Consumom aproximado: 1.20 Kw/h
· Capacidad del Vaso mínimo: 4 Lt
· Rotación mínima: 3000 rpm
· De acero inoxidable.
· Diseño cónico del vaso.
· Altura aproximada : 550.00 mm
· Ancho aproximado"&amp;": 230.00 mm
· Profundidad aproximada: 200.00 mm
· Peso Neto aproximado: 3.60 kg
· Peso Bruto aproximado: 8.20 kg
* Incluye funda protectora impermeable para su almacenamiento.")</f>
        <v>· Potencia mínima: 0.5 CV
· Frecuencia: 60Hz
· Voltaje: 220V
· Consumom aproximado: 1.20 Kw/h
· Capacidad del Vaso mínimo: 4 Lt
· Rotación mínima: 3000 rpm
· De acero inoxidable.
· Diseño cónico del vaso.
· Altura aproximada : 550.00 mm
· Ancho aproximado: 230.00 mm
· Profundidad aproximada: 200.00 mm
· Peso Neto aproximado: 3.60 kg
· Peso Bruto aproximado: 8.20 kg
* Incluye funda protectora impermeable para su almacenamiento.</v>
      </c>
      <c r="J1188" s="213">
        <f>IFERROR(__xludf.DUMMYFUNCTION("""COMPUTED_VALUE"""),3.0)</f>
        <v>3</v>
      </c>
      <c r="K1188" s="213" t="str">
        <f>IFERROR(__xludf.DUMMYFUNCTION("""COMPUTED_VALUE"""),"170 DÍAS CALENDARIO")</f>
        <v>170 DÍAS CALENDARIO</v>
      </c>
      <c r="L1188" s="213" t="str">
        <f>IFERROR(__xludf.DUMMYFUNCTION("""COMPUTED_VALUE"""),"")</f>
        <v/>
      </c>
      <c r="M1188" s="213">
        <f>IFERROR(__xludf.DUMMYFUNCTION("""COMPUTED_VALUE"""),1.0)</f>
        <v>1</v>
      </c>
      <c r="N1188" s="213">
        <f>IFERROR(__xludf.DUMMYFUNCTION("""COMPUTED_VALUE"""),1.0)</f>
        <v>1</v>
      </c>
      <c r="O1188" s="213">
        <f>IFERROR(__xludf.DUMMYFUNCTION("""COMPUTED_VALUE"""),1.0)</f>
        <v>1</v>
      </c>
      <c r="P1188" s="213"/>
      <c r="Q1188" s="213"/>
      <c r="R1188" s="213"/>
      <c r="S1188" s="213" t="str">
        <f>IFERROR(__xludf.DUMMYFUNCTION("""COMPUTED_VALUE"""),"SI")</f>
        <v>SI</v>
      </c>
      <c r="T1188" s="213" t="str">
        <f>IFERROR(__xludf.DUMMYFUNCTION("""COMPUTED_VALUE"""),"SI")</f>
        <v>SI</v>
      </c>
      <c r="U1188" s="213" t="str">
        <f>IFERROR(__xludf.DUMMYFUNCTION("""COMPUTED_VALUE"""),"NO")</f>
        <v>NO</v>
      </c>
      <c r="V1188" s="213" t="str">
        <f>IFERROR(__xludf.DUMMYFUNCTION("""COMPUTED_VALUE"""),"SUSTENTO")</f>
        <v>SUSTENTO</v>
      </c>
      <c r="W1188" s="213" t="str">
        <f>IFERROR(__xludf.DUMMYFUNCTION("""COMPUTED_VALUE"""),"ELÉCTRICO, DIMENSIONAL")</f>
        <v>ELÉCTRICO, DIMENSIONAL</v>
      </c>
      <c r="X1188" s="213" t="str">
        <f>IFERROR(__xludf.DUMMYFUNCTION("""COMPUTED_VALUE"""),"SKYMSEM")</f>
        <v>SKYMSEM</v>
      </c>
      <c r="Y1188" s="213" t="str">
        <f>IFERROR(__xludf.DUMMYFUNCTION("""COMPUTED_VALUE"""),"L4")</f>
        <v>L4</v>
      </c>
      <c r="Z1188" s="215" t="str">
        <f>IFERROR(__xludf.DUMMYFUNCTION("""COMPUTED_VALUE"""),"https://www.skymsen.com/es/index.php/produtos/detalhe/709913")</f>
        <v>https://www.skymsen.com/es/index.php/produtos/detalhe/709913</v>
      </c>
      <c r="AA1188" s="213" t="str">
        <f>IFERROR(__xludf.DUMMYFUNCTION("""COMPUTED_VALUE"""),"ESP-217-B LICUADORA INDUSTRIAL (IA) - CET")</f>
        <v>ESP-217-B LICUADORA INDUSTRIAL (IA) - CET</v>
      </c>
      <c r="AB1188" s="215" t="str">
        <f>IFERROR(__xludf.DUMMYFUNCTION("""COMPUTED_VALUE"""),"https://www.skymsen.com/uploads/produtos/folders/709913_esp.pdf")</f>
        <v>https://www.skymsen.com/uploads/produtos/folders/709913_esp.pdf</v>
      </c>
      <c r="AC1188" s="213"/>
      <c r="AD1188" s="213"/>
      <c r="AE1188" s="213"/>
      <c r="AF1188" s="213"/>
      <c r="AG1188" s="213"/>
      <c r="AH1188" s="213" t="str">
        <f>IFERROR(__xludf.DUMMYFUNCTION("""COMPUTED_VALUE"""),"IMPORTADO")</f>
        <v>IMPORTADO</v>
      </c>
      <c r="AI1188" s="213"/>
      <c r="AJ1188" s="213"/>
      <c r="AK1188" s="213"/>
      <c r="AL1188" s="213"/>
      <c r="AM1188" s="213"/>
      <c r="AN1188" s="213"/>
      <c r="AO1188" s="213"/>
      <c r="AP1188" s="213" t="str">
        <f>IFERROR(__xludf.DUMMYFUNCTION("""COMPUTED_VALUE"""),"ANTONELLA")</f>
        <v>ANTONELLA</v>
      </c>
      <c r="AQ1188" s="213"/>
      <c r="AR1188" s="213"/>
      <c r="AS1188" s="213" t="str">
        <f>IFERROR(__xludf.DUMMYFUNCTION("""COMPUTED_VALUE"""),"Funda protectora impermeable")</f>
        <v>Funda protectora impermeable</v>
      </c>
      <c r="AT1188" s="213"/>
      <c r="AU1188" s="213"/>
      <c r="AV1188" s="213"/>
      <c r="AW1188" s="213"/>
      <c r="AX1188" s="213"/>
      <c r="AY1188" s="213"/>
      <c r="AZ1188" s="213"/>
      <c r="BA1188" s="213"/>
      <c r="BB1188" s="213"/>
      <c r="BC1188" s="213"/>
      <c r="BD1188" s="213"/>
    </row>
    <row r="1189">
      <c r="A1189" s="213">
        <f>IFERROR(__xludf.DUMMYFUNCTION("""COMPUTED_VALUE"""),1443.0)</f>
        <v>1443</v>
      </c>
      <c r="B1189" s="213" t="str">
        <f>IFERROR(__xludf.DUMMYFUNCTION("""COMPUTED_VALUE"""),"GUILLERMO E. BILLINGHURST ")</f>
        <v>GUILLERMO E. BILLINGHURST </v>
      </c>
      <c r="C1189" s="213" t="str">
        <f>IFERROR(__xludf.DUMMYFUNCTION("""COMPUTED_VALUE"""),"TALLER SFT DE INDUSTRIA ALIMENTARIA")</f>
        <v>TALLER SFT DE INDUSTRIA ALIMENTARIA</v>
      </c>
      <c r="D1189" s="213" t="str">
        <f>IFERROR(__xludf.DUMMYFUNCTION("""COMPUTED_VALUE"""),"EQUIPOS")</f>
        <v>EQUIPOS</v>
      </c>
      <c r="E1189" s="213" t="str">
        <f>IFERROR(__xludf.DUMMYFUNCTION("""COMPUTED_VALUE"""),"ESP-217")</f>
        <v>ESP-217</v>
      </c>
      <c r="F1189" s="213" t="str">
        <f>IFERROR(__xludf.DUMMYFUNCTION("""COMPUTED_VALUE"""),"ESP-217-Y")</f>
        <v>ESP-217-Y</v>
      </c>
      <c r="G1189" s="213"/>
      <c r="H1189" s="213" t="str">
        <f>IFERROR(__xludf.DUMMYFUNCTION("""COMPUTED_VALUE"""),"LICUADORA INDUSTRIAL")</f>
        <v>LICUADORA INDUSTRIAL</v>
      </c>
      <c r="I1189" s="213" t="str">
        <f>IFERROR(__xludf.DUMMYFUNCTION("""COMPUTED_VALUE"""),"· Potencia mínima: 0.5 CV
· Frecuencia: 60Hz
· Voltaje: 220V
· Consumom aproximado: 1.20 Kw/h
· Capacidad del Vaso mínimo: 4 Lt
· Rotación mínima: 3000 rpm
· De acero inoxidable.
· Diseño cónico del vaso.
· Altura aproximada : 550.00 mm
· Ancho aproximado"&amp;": 230.00 mm
· Profundidad aproximada: 200.00 mm
· Peso Neto aproximado: 3.60 kg
· Peso Bruto aproximado: 8.20 kg
* Incluye funda protectora impermeable para su almacenamiento.")</f>
        <v>· Potencia mínima: 0.5 CV
· Frecuencia: 60Hz
· Voltaje: 220V
· Consumom aproximado: 1.20 Kw/h
· Capacidad del Vaso mínimo: 4 Lt
· Rotación mínima: 3000 rpm
· De acero inoxidable.
· Diseño cónico del vaso.
· Altura aproximada : 550.00 mm
· Ancho aproximado: 230.00 mm
· Profundidad aproximada: 200.00 mm
· Peso Neto aproximado: 3.60 kg
· Peso Bruto aproximado: 8.20 kg
* Incluye funda protectora impermeable para su almacenamiento.</v>
      </c>
      <c r="J1189" s="213">
        <f>IFERROR(__xludf.DUMMYFUNCTION("""COMPUTED_VALUE"""),3.0)</f>
        <v>3</v>
      </c>
      <c r="K1189" s="213" t="str">
        <f>IFERROR(__xludf.DUMMYFUNCTION("""COMPUTED_VALUE"""),"170 DÍAS CALENDARIO")</f>
        <v>170 DÍAS CALENDARIO</v>
      </c>
      <c r="L1189" s="213" t="str">
        <f>IFERROR(__xludf.DUMMYFUNCTION("""COMPUTED_VALUE"""),"")</f>
        <v/>
      </c>
      <c r="M1189" s="213">
        <f>IFERROR(__xludf.DUMMYFUNCTION("""COMPUTED_VALUE"""),1.0)</f>
        <v>1</v>
      </c>
      <c r="N1189" s="213">
        <f>IFERROR(__xludf.DUMMYFUNCTION("""COMPUTED_VALUE"""),1.0)</f>
        <v>1</v>
      </c>
      <c r="O1189" s="213">
        <f>IFERROR(__xludf.DUMMYFUNCTION("""COMPUTED_VALUE"""),1.0)</f>
        <v>1</v>
      </c>
      <c r="P1189" s="213"/>
      <c r="Q1189" s="213"/>
      <c r="R1189" s="213"/>
      <c r="S1189" s="213" t="str">
        <f>IFERROR(__xludf.DUMMYFUNCTION("""COMPUTED_VALUE"""),"SI")</f>
        <v>SI</v>
      </c>
      <c r="T1189" s="213" t="str">
        <f>IFERROR(__xludf.DUMMYFUNCTION("""COMPUTED_VALUE"""),"SI")</f>
        <v>SI</v>
      </c>
      <c r="U1189" s="213" t="str">
        <f>IFERROR(__xludf.DUMMYFUNCTION("""COMPUTED_VALUE"""),"NO")</f>
        <v>NO</v>
      </c>
      <c r="V1189" s="213" t="str">
        <f>IFERROR(__xludf.DUMMYFUNCTION("""COMPUTED_VALUE"""),"SUSTENTO")</f>
        <v>SUSTENTO</v>
      </c>
      <c r="W1189" s="213" t="str">
        <f>IFERROR(__xludf.DUMMYFUNCTION("""COMPUTED_VALUE"""),"ELÉCTRICO, DIMENSIONAL")</f>
        <v>ELÉCTRICO, DIMENSIONAL</v>
      </c>
      <c r="X1189" s="213" t="str">
        <f>IFERROR(__xludf.DUMMYFUNCTION("""COMPUTED_VALUE"""),"SKYMSEM")</f>
        <v>SKYMSEM</v>
      </c>
      <c r="Y1189" s="213" t="str">
        <f>IFERROR(__xludf.DUMMYFUNCTION("""COMPUTED_VALUE"""),"L4")</f>
        <v>L4</v>
      </c>
      <c r="Z1189" s="215" t="str">
        <f>IFERROR(__xludf.DUMMYFUNCTION("""COMPUTED_VALUE"""),"https://www.skymsen.com/es/index.php/produtos/detalhe/709913")</f>
        <v>https://www.skymsen.com/es/index.php/produtos/detalhe/709913</v>
      </c>
      <c r="AA1189" s="213" t="str">
        <f>IFERROR(__xludf.DUMMYFUNCTION("""COMPUTED_VALUE"""),"ESP-217-B LICUADORA INDUSTRIAL (IA) - CET")</f>
        <v>ESP-217-B LICUADORA INDUSTRIAL (IA) - CET</v>
      </c>
      <c r="AB1189" s="215" t="str">
        <f>IFERROR(__xludf.DUMMYFUNCTION("""COMPUTED_VALUE"""),"https://www.skymsen.com/uploads/produtos/folders/709913_esp.pdf")</f>
        <v>https://www.skymsen.com/uploads/produtos/folders/709913_esp.pdf</v>
      </c>
      <c r="AC1189" s="213"/>
      <c r="AD1189" s="213"/>
      <c r="AE1189" s="213"/>
      <c r="AF1189" s="213"/>
      <c r="AG1189" s="213"/>
      <c r="AH1189" s="213" t="str">
        <f>IFERROR(__xludf.DUMMYFUNCTION("""COMPUTED_VALUE"""),"IMPORTADO")</f>
        <v>IMPORTADO</v>
      </c>
      <c r="AI1189" s="213"/>
      <c r="AJ1189" s="213"/>
      <c r="AK1189" s="213"/>
      <c r="AL1189" s="213"/>
      <c r="AM1189" s="213"/>
      <c r="AN1189" s="213"/>
      <c r="AO1189" s="213"/>
      <c r="AP1189" s="213" t="str">
        <f>IFERROR(__xludf.DUMMYFUNCTION("""COMPUTED_VALUE"""),"ANTONELLA")</f>
        <v>ANTONELLA</v>
      </c>
      <c r="AQ1189" s="213"/>
      <c r="AR1189" s="213"/>
      <c r="AS1189" s="213" t="str">
        <f>IFERROR(__xludf.DUMMYFUNCTION("""COMPUTED_VALUE"""),"Funda protectora impermeable")</f>
        <v>Funda protectora impermeable</v>
      </c>
      <c r="AT1189" s="213"/>
      <c r="AU1189" s="213"/>
      <c r="AV1189" s="213"/>
      <c r="AW1189" s="213"/>
      <c r="AX1189" s="213"/>
      <c r="AY1189" s="213"/>
      <c r="AZ1189" s="213"/>
      <c r="BA1189" s="213"/>
      <c r="BB1189" s="213"/>
      <c r="BC1189" s="213"/>
      <c r="BD1189" s="213"/>
    </row>
    <row r="1190">
      <c r="A1190" s="213">
        <f>IFERROR(__xludf.DUMMYFUNCTION("""COMPUTED_VALUE"""),2130.0)</f>
        <v>2130</v>
      </c>
      <c r="B1190" s="213" t="str">
        <f>IFERROR(__xludf.DUMMYFUNCTION("""COMPUTED_VALUE"""),"JOSE GRANDA")</f>
        <v>JOSE GRANDA</v>
      </c>
      <c r="C1190" s="213" t="str">
        <f>IFERROR(__xludf.DUMMYFUNCTION("""COMPUTED_VALUE"""),"TALLER SFT DE INDUSTRIA ALIMENTARIA")</f>
        <v>TALLER SFT DE INDUSTRIA ALIMENTARIA</v>
      </c>
      <c r="D1190" s="213" t="str">
        <f>IFERROR(__xludf.DUMMYFUNCTION("""COMPUTED_VALUE"""),"EQUIPOS")</f>
        <v>EQUIPOS</v>
      </c>
      <c r="E1190" s="213" t="str">
        <f>IFERROR(__xludf.DUMMYFUNCTION("""COMPUTED_VALUE"""),"ESP-217")</f>
        <v>ESP-217</v>
      </c>
      <c r="F1190" s="213" t="str">
        <f>IFERROR(__xludf.DUMMYFUNCTION("""COMPUTED_VALUE"""),"ESP-217-Y")</f>
        <v>ESP-217-Y</v>
      </c>
      <c r="G1190" s="213"/>
      <c r="H1190" s="213" t="str">
        <f>IFERROR(__xludf.DUMMYFUNCTION("""COMPUTED_VALUE"""),"LICUADORA INDUSTRIAL")</f>
        <v>LICUADORA INDUSTRIAL</v>
      </c>
      <c r="I1190" s="213" t="str">
        <f>IFERROR(__xludf.DUMMYFUNCTION("""COMPUTED_VALUE"""),"· Potencia mínima: 0.5 CV
· Frecuencia: 60Hz
· Voltaje: 220V
· Consumom aproximado: 1.20 Kw/h
· Capacidad del Vaso mínimo: 4 Lt
· Rotación mínima: 3000 rpm
· De acero inoxidable.
· Diseño cónico del vaso.
· Altura aproximada : 550.00 mm
· Ancho aproximado"&amp;": 230.00 mm
· Profundidad aproximada: 200.00 mm
· Peso Neto aproximado: 3.60 kg
· Peso Bruto aproximado: 8.20 kg
* Incluye funda protectora impermeable para su almacenamiento.")</f>
        <v>· Potencia mínima: 0.5 CV
· Frecuencia: 60Hz
· Voltaje: 220V
· Consumom aproximado: 1.20 Kw/h
· Capacidad del Vaso mínimo: 4 Lt
· Rotación mínima: 3000 rpm
· De acero inoxidable.
· Diseño cónico del vaso.
· Altura aproximada : 550.00 mm
· Ancho aproximado: 230.00 mm
· Profundidad aproximada: 200.00 mm
· Peso Neto aproximado: 3.60 kg
· Peso Bruto aproximado: 8.20 kg
* Incluye funda protectora impermeable para su almacenamiento.</v>
      </c>
      <c r="J1190" s="213">
        <f>IFERROR(__xludf.DUMMYFUNCTION("""COMPUTED_VALUE"""),3.0)</f>
        <v>3</v>
      </c>
      <c r="K1190" s="213" t="str">
        <f>IFERROR(__xludf.DUMMYFUNCTION("""COMPUTED_VALUE"""),"170 DÍAS CALENDARIO")</f>
        <v>170 DÍAS CALENDARIO</v>
      </c>
      <c r="L1190" s="213" t="str">
        <f>IFERROR(__xludf.DUMMYFUNCTION("""COMPUTED_VALUE"""),"")</f>
        <v/>
      </c>
      <c r="M1190" s="213">
        <f>IFERROR(__xludf.DUMMYFUNCTION("""COMPUTED_VALUE"""),1.0)</f>
        <v>1</v>
      </c>
      <c r="N1190" s="213">
        <f>IFERROR(__xludf.DUMMYFUNCTION("""COMPUTED_VALUE"""),1.0)</f>
        <v>1</v>
      </c>
      <c r="O1190" s="213">
        <f>IFERROR(__xludf.DUMMYFUNCTION("""COMPUTED_VALUE"""),1.0)</f>
        <v>1</v>
      </c>
      <c r="P1190" s="213"/>
      <c r="Q1190" s="213"/>
      <c r="R1190" s="213"/>
      <c r="S1190" s="213" t="str">
        <f>IFERROR(__xludf.DUMMYFUNCTION("""COMPUTED_VALUE"""),"SI")</f>
        <v>SI</v>
      </c>
      <c r="T1190" s="213" t="str">
        <f>IFERROR(__xludf.DUMMYFUNCTION("""COMPUTED_VALUE"""),"SI")</f>
        <v>SI</v>
      </c>
      <c r="U1190" s="213" t="str">
        <f>IFERROR(__xludf.DUMMYFUNCTION("""COMPUTED_VALUE"""),"NO")</f>
        <v>NO</v>
      </c>
      <c r="V1190" s="213" t="str">
        <f>IFERROR(__xludf.DUMMYFUNCTION("""COMPUTED_VALUE"""),"SUSTENTO")</f>
        <v>SUSTENTO</v>
      </c>
      <c r="W1190" s="213" t="str">
        <f>IFERROR(__xludf.DUMMYFUNCTION("""COMPUTED_VALUE"""),"ELÉCTRICO, DIMENSIONAL")</f>
        <v>ELÉCTRICO, DIMENSIONAL</v>
      </c>
      <c r="X1190" s="213" t="str">
        <f>IFERROR(__xludf.DUMMYFUNCTION("""COMPUTED_VALUE"""),"SKYMSEM")</f>
        <v>SKYMSEM</v>
      </c>
      <c r="Y1190" s="213" t="str">
        <f>IFERROR(__xludf.DUMMYFUNCTION("""COMPUTED_VALUE"""),"L4")</f>
        <v>L4</v>
      </c>
      <c r="Z1190" s="215" t="str">
        <f>IFERROR(__xludf.DUMMYFUNCTION("""COMPUTED_VALUE"""),"https://www.skymsen.com/es/index.php/produtos/detalhe/709913")</f>
        <v>https://www.skymsen.com/es/index.php/produtos/detalhe/709913</v>
      </c>
      <c r="AA1190" s="213" t="str">
        <f>IFERROR(__xludf.DUMMYFUNCTION("""COMPUTED_VALUE"""),"ESP-217-B LICUADORA INDUSTRIAL (IA) - CET")</f>
        <v>ESP-217-B LICUADORA INDUSTRIAL (IA) - CET</v>
      </c>
      <c r="AB1190" s="215" t="str">
        <f>IFERROR(__xludf.DUMMYFUNCTION("""COMPUTED_VALUE"""),"https://www.skymsen.com/uploads/produtos/folders/709913_esp.pdf")</f>
        <v>https://www.skymsen.com/uploads/produtos/folders/709913_esp.pdf</v>
      </c>
      <c r="AC1190" s="213"/>
      <c r="AD1190" s="213"/>
      <c r="AE1190" s="213"/>
      <c r="AF1190" s="213"/>
      <c r="AG1190" s="213"/>
      <c r="AH1190" s="213" t="str">
        <f>IFERROR(__xludf.DUMMYFUNCTION("""COMPUTED_VALUE"""),"IMPORTADO")</f>
        <v>IMPORTADO</v>
      </c>
      <c r="AI1190" s="213"/>
      <c r="AJ1190" s="213"/>
      <c r="AK1190" s="213"/>
      <c r="AL1190" s="213"/>
      <c r="AM1190" s="213"/>
      <c r="AN1190" s="213"/>
      <c r="AO1190" s="213"/>
      <c r="AP1190" s="213" t="str">
        <f>IFERROR(__xludf.DUMMYFUNCTION("""COMPUTED_VALUE"""),"ANTONELLA")</f>
        <v>ANTONELLA</v>
      </c>
      <c r="AQ1190" s="213"/>
      <c r="AR1190" s="213"/>
      <c r="AS1190" s="213" t="str">
        <f>IFERROR(__xludf.DUMMYFUNCTION("""COMPUTED_VALUE"""),"Funda protectora impermeable")</f>
        <v>Funda protectora impermeable</v>
      </c>
      <c r="AT1190" s="213"/>
      <c r="AU1190" s="213"/>
      <c r="AV1190" s="213"/>
      <c r="AW1190" s="213"/>
      <c r="AX1190" s="213"/>
      <c r="AY1190" s="213"/>
      <c r="AZ1190" s="213"/>
      <c r="BA1190" s="213"/>
      <c r="BB1190" s="213"/>
      <c r="BC1190" s="213"/>
      <c r="BD1190" s="213"/>
    </row>
    <row r="1191">
      <c r="A1191" s="213">
        <f>IFERROR(__xludf.DUMMYFUNCTION("""COMPUTED_VALUE"""),80.0)</f>
        <v>80</v>
      </c>
      <c r="B1191" s="213" t="str">
        <f>IFERROR(__xludf.DUMMYFUNCTION("""COMPUTED_VALUE"""),"16449 ELOY SOBERON  FLORES")</f>
        <v>16449 ELOY SOBERON  FLORES</v>
      </c>
      <c r="C1191" s="213" t="str">
        <f>IFERROR(__xludf.DUMMYFUNCTION("""COMPUTED_VALUE"""),"TALLER SFT DE COCINA Y REPOSTERÍA")</f>
        <v>TALLER SFT DE COCINA Y REPOSTERÍA</v>
      </c>
      <c r="D1191" s="213" t="str">
        <f>IFERROR(__xludf.DUMMYFUNCTION("""COMPUTED_VALUE"""),"PEDAGOGICO")</f>
        <v>PEDAGOGICO</v>
      </c>
      <c r="E1191" s="213" t="str">
        <f>IFERROR(__xludf.DUMMYFUNCTION("""COMPUTED_VALUE"""),"COM-204")</f>
        <v>COM-204</v>
      </c>
      <c r="F1191" s="213" t="str">
        <f>IFERROR(__xludf.DUMMYFUNCTION("""COMPUTED_VALUE"""),"COM-204")</f>
        <v>COM-204</v>
      </c>
      <c r="G1191" s="213"/>
      <c r="H1191" s="213" t="str">
        <f>IFERROR(__xludf.DUMMYFUNCTION("""COMPUTED_VALUE"""),"LIENZO MAGNÉTICO PARA APLICAR METODOLOGÍAS DE DISEÑO")</f>
        <v>LIENZO MAGNÉTICO PARA APLICAR METODOLOGÍAS DE DISEÑO</v>
      </c>
      <c r="I1191" s="213" t="str">
        <f>IFERROR(__xludf.DUMMYFUNCTION("""COMPUTED_VALUE"""),"Calidad Física
-        01 lienzo (tablero o panel) plegable receptivo al magnetismo por ambos lados, de 120 cm x 80 cm como mínimo. Es impreso a colores, con protección ultravioleta, por uno de sus lados permite el trabajo magnético y por el otro lado se"&amp;" puede escribir y borrar con plumones.
-        5 juegos de tarjetas magnéticas de 100 mm x 100 mm x 5 mm, cada juego tiene un color diferente y corresponde a una técnica de diseño. Se puede escribir y borrar sobre ellas y está compuesto como mínimo de 10"&amp;" tarjetas magnéticas.
-        5 juegos de tarjetas magnéticas de 200 mm x 15 mm x 5mm, cada juego tiene un color diferente y corresponde a una técnica de diseño. Se puede escribir y borrar sobre ellas y está compuesto como mínimo de 10 tarjetas magnética"&amp;"s.  /  10 Fichas tamaño A4 (210 mm x 297 mm) impresas a todo color en papel couche de 350 gr/m2, enmicados por ambos lados y con bordes boleados que contiene información sobre las técnicas de diseño y su proceso de aplicación
-        Plumones de 4 colore"&amp;"s (rojo, azul, verde y negro)
-        El material se presenta en una caja de cartón, con la imagen y descripción del material interactivo.
Calidad pedagógica.
Las tarjetas están organizadas en 10 técnicas de la metodología Design Thinking
-        Cada j"&amp;"uego de tarjetas desarrolla una técnica de la metodología Design Thinking  /  Entre las posibles técnicas del Design Thinking: brainwritting, ¿Qué, cómo y por qué?, mapa de la empatía, lienzo de propuesta de valor, SCAMPER, PIN, 5 por qué,  diagrama de ca"&amp;"usa efecto, diagrama de prioridades, diagrama de Porter, entre otros.
-        Las fichas presentan la descripción de la técnica, protocolo para la aplicación de las 10 técnicas seleccionadas.")</f>
        <v>Calidad Física
-        01 lienzo (tablero o panel) plegable receptivo al magnetismo por ambos lados, de 120 cm x 80 cm como mínimo. Es impreso a colores, con protección ultravioleta, por uno de sus lados permite el trabajo magnético y por el otro lado se puede escribir y borrar con plumones.
-        5 juegos de tarjetas magnéticas de 100 mm x 100 mm x 5 mm, cada juego tiene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91" s="213">
        <f>IFERROR(__xludf.DUMMYFUNCTION("""COMPUTED_VALUE"""),3.0)</f>
        <v>3</v>
      </c>
      <c r="K1191" s="213" t="str">
        <f>IFERROR(__xludf.DUMMYFUNCTION("""COMPUTED_VALUE"""),"90 DÍAS CALENDARIO")</f>
        <v>90 DÍAS CALENDARIO</v>
      </c>
      <c r="L1191" s="213" t="str">
        <f>IFERROR(__xludf.DUMMYFUNCTION("""COMPUTED_VALUE"""),"")</f>
        <v/>
      </c>
      <c r="M1191" s="213">
        <f>IFERROR(__xludf.DUMMYFUNCTION("""COMPUTED_VALUE"""),1.0)</f>
        <v>1</v>
      </c>
      <c r="N1191" s="213">
        <f>IFERROR(__xludf.DUMMYFUNCTION("""COMPUTED_VALUE"""),4.0)</f>
        <v>4</v>
      </c>
      <c r="O1191" s="213">
        <f>IFERROR(__xludf.DUMMYFUNCTION("""COMPUTED_VALUE"""),4.0)</f>
        <v>4</v>
      </c>
      <c r="P1191" s="213"/>
      <c r="Q1191" s="213"/>
      <c r="R1191" s="213"/>
      <c r="S1191" s="213"/>
      <c r="T1191" s="213"/>
      <c r="U1191" s="213"/>
      <c r="V1191" s="213"/>
      <c r="W1191" s="213"/>
      <c r="X1191" s="213"/>
      <c r="Y1191" s="213"/>
      <c r="Z1191" s="213"/>
      <c r="AA1191" s="213"/>
      <c r="AB1191" s="213"/>
      <c r="AC1191" s="213"/>
      <c r="AD1191" s="213"/>
      <c r="AE1191" s="213"/>
      <c r="AF1191" s="213"/>
      <c r="AG1191" s="213"/>
      <c r="AH1191" s="213"/>
      <c r="AI1191" s="213"/>
      <c r="AJ1191" s="213"/>
      <c r="AK1191" s="213"/>
      <c r="AL1191" s="213"/>
      <c r="AM1191" s="213"/>
      <c r="AN1191" s="213"/>
      <c r="AO1191" s="213"/>
      <c r="AP1191" s="213"/>
      <c r="AQ1191" s="213"/>
      <c r="AR1191" s="213"/>
      <c r="AS1191" s="213"/>
      <c r="AT1191" s="213"/>
      <c r="AU1191" s="213"/>
      <c r="AV1191" s="213"/>
      <c r="AW1191" s="213"/>
      <c r="AX1191" s="213"/>
      <c r="AY1191" s="213"/>
      <c r="AZ1191" s="213"/>
      <c r="BA1191" s="213"/>
      <c r="BB1191" s="213"/>
      <c r="BC1191" s="213"/>
      <c r="BD1191" s="213"/>
    </row>
    <row r="1192">
      <c r="A1192" s="213">
        <f>IFERROR(__xludf.DUMMYFUNCTION("""COMPUTED_VALUE"""),421.0)</f>
        <v>421</v>
      </c>
      <c r="B1192" s="213" t="str">
        <f>IFERROR(__xludf.DUMMYFUNCTION("""COMPUTED_VALUE"""),"2026 SIMON BOLIVAR")</f>
        <v>2026 SIMON BOLIVAR</v>
      </c>
      <c r="C1192" s="213" t="str">
        <f>IFERROR(__xludf.DUMMYFUNCTION("""COMPUTED_VALUE"""),"TALLER SFT DE INDUSTRIA ALIMENTARIA")</f>
        <v>TALLER SFT DE INDUSTRIA ALIMENTARIA</v>
      </c>
      <c r="D1192" s="213" t="str">
        <f>IFERROR(__xludf.DUMMYFUNCTION("""COMPUTED_VALUE"""),"PEDAGOGICO")</f>
        <v>PEDAGOGICO</v>
      </c>
      <c r="E1192" s="213" t="str">
        <f>IFERROR(__xludf.DUMMYFUNCTION("""COMPUTED_VALUE"""),"COM-204")</f>
        <v>COM-204</v>
      </c>
      <c r="F1192" s="213" t="str">
        <f>IFERROR(__xludf.DUMMYFUNCTION("""COMPUTED_VALUE"""),"COM-204")</f>
        <v>COM-204</v>
      </c>
      <c r="G1192" s="213"/>
      <c r="H1192" s="213" t="str">
        <f>IFERROR(__xludf.DUMMYFUNCTION("""COMPUTED_VALUE"""),"LIENZO MAGNÉTICO PARA APLICAR METODOLOGÍAS DE DISEÑO")</f>
        <v>LIENZO MAGNÉTICO PARA APLICAR METODOLOGÍAS DE DISEÑO</v>
      </c>
      <c r="I1192" s="213" t="str">
        <f>IFERROR(__xludf.DUMMYFUNCTION("""COMPUTED_VALUE"""),"Calidad Física
-         01 lienzo (tablero o panel) plegable receptivo al magnetismo por ambos lados, de 120 cm x 80 cm como mínimo. Es impreso a colores, con protección ultravioleta, por uno de sus lados permite el trabajo magnético y por el otro lado s"&amp;"e puede escribir y borrar con plumones.
-         5 juegos de tarjetas magnéticas de 100 mm x 100 mm x 5 mm, cada juego tiene un color diferente y corresponde a una técnica de diseño. Se puede escribir y borrar sobre ellas y está compuesto como mínimo de "&amp;"10 tarjetas magnéticas.
-         5 juegos de tarjetas magnéticas de 200 mm x 15 mm x 5mm, cada juego tiene un color diferente y corresponde a una técnica de diseño. Se puede escribir y borrar sobre ellas y está compuesto como mínimo de 10 tarjetas magnét"&amp;"icas.
/  10 Fichas tamaño A4 (210 mm x 297 mm) impresas a todo color en papel couche de 350 gr/m2, enmicados por ambos lados y con bordes boleados que contiene información sobre las técnicas de diseño y su proceso de aplicación
-         Plumones de 4 col"&amp;"ores (rojo, azul, verde y negro)
-         El material se presenta en una caja de cartón, con la imagen y descripción del material interactivo.
Calidad pedagógica.
Las tarjetas están organizadas en 10 técnicas de la metodología Design Thinking
-         C"&amp;"ada juego de tarjetas desarrolla una técnica de la metodología Design Thinking  /  Entre las posibles técnicas del Design Thinking: brainwritting, ¿Qué, cómo y por qué?, mapa de la empatía, lienzo de propuesta de valor, SCAMPER, PIN, 5 por qué,  diagrama "&amp;"de causa efecto, diagrama de prioridades, diagrama de Porter, entre otros.
-         Las fichas presentan la descripción de la técnica, protocolo para la aplicación de las 10 técnicas seleccionadas.")</f>
        <v>Calidad Física
-         01 lienzo (tablero o panel) plegable receptivo al magnetismo por ambos lados, de 120 cm x 80 cm como mínimo. Es impreso a colores, con protección ultravioleta, por uno de sus lados permite el trabajo magnético y por el otro lado se puede escribir y borrar con plumones.
-         5 juegos de tarjetas magnéticas de 100 mm x 100 mm x 5 mm, cada juego tiene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92" s="213">
        <f>IFERROR(__xludf.DUMMYFUNCTION("""COMPUTED_VALUE"""),3.0)</f>
        <v>3</v>
      </c>
      <c r="K1192" s="213" t="str">
        <f>IFERROR(__xludf.DUMMYFUNCTION("""COMPUTED_VALUE"""),"90 DÍAS CALENDARIO")</f>
        <v>90 DÍAS CALENDARIO</v>
      </c>
      <c r="L1192" s="213" t="str">
        <f>IFERROR(__xludf.DUMMYFUNCTION("""COMPUTED_VALUE"""),"")</f>
        <v/>
      </c>
      <c r="M1192" s="213">
        <f>IFERROR(__xludf.DUMMYFUNCTION("""COMPUTED_VALUE"""),1.0)</f>
        <v>1</v>
      </c>
      <c r="N1192" s="213">
        <f>IFERROR(__xludf.DUMMYFUNCTION("""COMPUTED_VALUE"""),4.0)</f>
        <v>4</v>
      </c>
      <c r="O1192" s="213">
        <f>IFERROR(__xludf.DUMMYFUNCTION("""COMPUTED_VALUE"""),4.0)</f>
        <v>4</v>
      </c>
      <c r="P1192" s="213"/>
      <c r="Q1192" s="213"/>
      <c r="R1192" s="213"/>
      <c r="S1192" s="213"/>
      <c r="T1192" s="213"/>
      <c r="U1192" s="213"/>
      <c r="V1192" s="213"/>
      <c r="W1192" s="213"/>
      <c r="X1192" s="213"/>
      <c r="Y1192" s="213"/>
      <c r="Z1192" s="213"/>
      <c r="AA1192" s="213"/>
      <c r="AB1192" s="213"/>
      <c r="AC1192" s="213"/>
      <c r="AD1192" s="213"/>
      <c r="AE1192" s="213"/>
      <c r="AF1192" s="213"/>
      <c r="AG1192" s="213"/>
      <c r="AH1192" s="213"/>
      <c r="AI1192" s="213"/>
      <c r="AJ1192" s="213"/>
      <c r="AK1192" s="213"/>
      <c r="AL1192" s="213"/>
      <c r="AM1192" s="213"/>
      <c r="AN1192" s="213"/>
      <c r="AO1192" s="213"/>
      <c r="AP1192" s="213"/>
      <c r="AQ1192" s="213"/>
      <c r="AR1192" s="213"/>
      <c r="AS1192" s="213"/>
      <c r="AT1192" s="213"/>
      <c r="AU1192" s="213"/>
      <c r="AV1192" s="213"/>
      <c r="AW1192" s="213"/>
      <c r="AX1192" s="213"/>
      <c r="AY1192" s="213"/>
      <c r="AZ1192" s="213"/>
      <c r="BA1192" s="213"/>
      <c r="BB1192" s="213"/>
      <c r="BC1192" s="213"/>
      <c r="BD1192" s="213"/>
    </row>
    <row r="1193">
      <c r="A1193" s="213">
        <f>IFERROR(__xludf.DUMMYFUNCTION("""COMPUTED_VALUE"""),614.0)</f>
        <v>614</v>
      </c>
      <c r="B1193" s="213" t="str">
        <f>IFERROR(__xludf.DUMMYFUNCTION("""COMPUTED_VALUE"""),"6049 RICARDO PALMA")</f>
        <v>6049 RICARDO PALMA</v>
      </c>
      <c r="C1193" s="213" t="str">
        <f>IFERROR(__xludf.DUMMYFUNCTION("""COMPUTED_VALUE"""),"TALLER SFT DE ELECTRÓNICA")</f>
        <v>TALLER SFT DE ELECTRÓNICA</v>
      </c>
      <c r="D1193" s="213" t="str">
        <f>IFERROR(__xludf.DUMMYFUNCTION("""COMPUTED_VALUE"""),"PEDAGOGICO")</f>
        <v>PEDAGOGICO</v>
      </c>
      <c r="E1193" s="213" t="str">
        <f>IFERROR(__xludf.DUMMYFUNCTION("""COMPUTED_VALUE"""),"COM-204")</f>
        <v>COM-204</v>
      </c>
      <c r="F1193" s="213" t="str">
        <f>IFERROR(__xludf.DUMMYFUNCTION("""COMPUTED_VALUE"""),"COM-204")</f>
        <v>COM-204</v>
      </c>
      <c r="G1193" s="213"/>
      <c r="H1193" s="213" t="str">
        <f>IFERROR(__xludf.DUMMYFUNCTION("""COMPUTED_VALUE"""),"LIENZO MAGNÉTICO PARA APLICAR METODOLOGÍAS DE DISEÑO")</f>
        <v>LIENZO MAGNÉTICO PARA APLICAR METODOLOGÍAS DE DISEÑO</v>
      </c>
      <c r="I1193" s="213" t="str">
        <f>IFERROR(__xludf.DUMMYFUNCTION("""COMPUTED_VALUE"""),"Calidad Física
-          01 lienzo (tablero o panel) plegable receptivo al magnetismo por ambos lados, de 120 cm x 80 cm como mínimo. Es impreso a colores, con protección ultravioleta, por uno de sus lados permite el trabajo magnético y por el otro lado "&amp;"se puede escribir y borrar con plumones.
-          5 juegos de tarjetas magnéticas de 100 mm x 100 mm x 5 mm, cada juego tiene un color diferente y corresponde a una técnica de diseño. Se puede escribir y borrar sobre ellas y está compuesto como mínimo d"&amp;"e 10 tarjetas magnéticas.
-          5 juegos de tarjetas magnéticas de 200 mm x 15 mm x 5mm, cada juego tiene un color diferente y corresponde a una técnica de diseño. Se puede escribir y borrar sobre ellas y está compuesto como mínimo de 10 tarjetas mag"&amp;"néticas.  /  10 Fichas tamaño A4 (210 mm x 297 mm) impresas a todo color en papel couche de 350 gr/m2, enmicados por ambos lados y con bordes boleados que contiene información sobre las técnicas de diseño y su proceso de aplicación
-          Plumones de "&amp;"4 colores (rojo, azul, verde y negro)
-          El material se presenta en una caja de cartón, con la imagen y descripción del material interactivo.
Calidad pedagógica.
Las tarjetas están organizadas en 10 técnicas de la metodología Design Thinking
-    "&amp;"      Cada juego de tarjetas desarrolla una técnica de la metodología Design Thinking  /  Entre las posibles técnicas del Design Thinking: brainwritting, ¿Qué, cómo y por qué?, mapa de la empatía, lienzo de propuesta de valor, SCAMPER, PIN, 5 por qué,  di"&amp;"agrama de causa efecto, diagrama de prioridades, diagrama de Porter, entre otros.
-          Las fichas presentan la descripción de la técnica, protocolo para la aplicación de las 10 técnicas seleccionadas.")</f>
        <v>Calidad Física
-          01 lienzo (tablero o panel) plegable receptivo al magnetismo por ambos lados, de 120 cm x 80 cm como mínimo. Es impreso a colores, con protección ultravioleta, por uno de sus lados permite el trabajo magnético y por el otro lado se puede escribir y borrar con plumones.
-          5 juegos de tarjetas magnéticas de 100 mm x 100 mm x 5 mm, cada juego tiene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93" s="213">
        <f>IFERROR(__xludf.DUMMYFUNCTION("""COMPUTED_VALUE"""),3.0)</f>
        <v>3</v>
      </c>
      <c r="K1193" s="213" t="str">
        <f>IFERROR(__xludf.DUMMYFUNCTION("""COMPUTED_VALUE"""),"90 DÍAS CALENDARIO")</f>
        <v>90 DÍAS CALENDARIO</v>
      </c>
      <c r="L1193" s="213" t="str">
        <f>IFERROR(__xludf.DUMMYFUNCTION("""COMPUTED_VALUE"""),"")</f>
        <v/>
      </c>
      <c r="M1193" s="213">
        <f>IFERROR(__xludf.DUMMYFUNCTION("""COMPUTED_VALUE"""),1.0)</f>
        <v>1</v>
      </c>
      <c r="N1193" s="213">
        <f>IFERROR(__xludf.DUMMYFUNCTION("""COMPUTED_VALUE"""),4.0)</f>
        <v>4</v>
      </c>
      <c r="O1193" s="213">
        <f>IFERROR(__xludf.DUMMYFUNCTION("""COMPUTED_VALUE"""),4.0)</f>
        <v>4</v>
      </c>
      <c r="P1193" s="213"/>
      <c r="Q1193" s="213"/>
      <c r="R1193" s="213"/>
      <c r="S1193" s="213"/>
      <c r="T1193" s="213"/>
      <c r="U1193" s="213"/>
      <c r="V1193" s="213"/>
      <c r="W1193" s="213"/>
      <c r="X1193" s="213"/>
      <c r="Y1193" s="213"/>
      <c r="Z1193" s="213"/>
      <c r="AA1193" s="213"/>
      <c r="AB1193" s="213"/>
      <c r="AC1193" s="213"/>
      <c r="AD1193" s="213"/>
      <c r="AE1193" s="213"/>
      <c r="AF1193" s="213"/>
      <c r="AG1193" s="213"/>
      <c r="AH1193" s="213"/>
      <c r="AI1193" s="213"/>
      <c r="AJ1193" s="213"/>
      <c r="AK1193" s="213"/>
      <c r="AL1193" s="213"/>
      <c r="AM1193" s="213"/>
      <c r="AN1193" s="213"/>
      <c r="AO1193" s="213"/>
      <c r="AP1193" s="213"/>
      <c r="AQ1193" s="213"/>
      <c r="AR1193" s="213"/>
      <c r="AS1193" s="213"/>
      <c r="AT1193" s="213"/>
      <c r="AU1193" s="213"/>
      <c r="AV1193" s="213"/>
      <c r="AW1193" s="213"/>
      <c r="AX1193" s="213"/>
      <c r="AY1193" s="213"/>
      <c r="AZ1193" s="213"/>
      <c r="BA1193" s="213"/>
      <c r="BB1193" s="213"/>
      <c r="BC1193" s="213"/>
      <c r="BD1193" s="213"/>
    </row>
    <row r="1194">
      <c r="A1194" s="213">
        <f>IFERROR(__xludf.DUMMYFUNCTION("""COMPUTED_VALUE"""),732.0)</f>
        <v>732</v>
      </c>
      <c r="B1194" s="213" t="str">
        <f>IFERROR(__xludf.DUMMYFUNCTION("""COMPUTED_VALUE"""),"6049 RICARDO PALMA")</f>
        <v>6049 RICARDO PALMA</v>
      </c>
      <c r="C1194" s="213" t="str">
        <f>IFERROR(__xludf.DUMMYFUNCTION("""COMPUTED_VALUE"""),"TALLER SFT DE COMPUTACIÓN E INFORMÁTICA")</f>
        <v>TALLER SFT DE COMPUTACIÓN E INFORMÁTICA</v>
      </c>
      <c r="D1194" s="213" t="str">
        <f>IFERROR(__xludf.DUMMYFUNCTION("""COMPUTED_VALUE"""),"PEDAGOGICO")</f>
        <v>PEDAGOGICO</v>
      </c>
      <c r="E1194" s="213" t="str">
        <f>IFERROR(__xludf.DUMMYFUNCTION("""COMPUTED_VALUE"""),"COM-204")</f>
        <v>COM-204</v>
      </c>
      <c r="F1194" s="213" t="str">
        <f>IFERROR(__xludf.DUMMYFUNCTION("""COMPUTED_VALUE"""),"COM-204")</f>
        <v>COM-204</v>
      </c>
      <c r="G1194" s="213"/>
      <c r="H1194" s="213" t="str">
        <f>IFERROR(__xludf.DUMMYFUNCTION("""COMPUTED_VALUE"""),"LIENZO MAGNÉTICO PARA APLICAR METODOLOGÍAS DE DISEÑO")</f>
        <v>LIENZO MAGNÉTICO PARA APLICAR METODOLOGÍAS DE DISEÑO</v>
      </c>
      <c r="I1194" s="213" t="str">
        <f>IFERROR(__xludf.DUMMYFUNCTION("""COMPUTED_VALUE"""),"Calidad Física
· 01 lienzo (tablero o panel) plegable receptivo al magnetismo por ambos lados, de 120 x 80 cm como mínimo. Es impreso a colores, con protección ultravioleta, por uno de sus lados permite el trabajo magnético y por el otro lado se puede esc"&amp;"ribir y borrar con plumones.
· 5 juegos de tarjetas magnéticas de 100 mm x 100 mm x 5 mm, cada juego tienen un color diferente y corresponde a una técnica de diseño. Se puede escribir y borrar sobre ellas y está compuesto como mínimo de 10 tarjetas magnét"&amp;"icas.
· 5 juegos de tarjetas magnéticas de 200 mm x 15 mm x 5mm, cada juego tiene un color diferente y corresponde a una técnica de diseño. Se puede escribir y borrar sobre ellas y está compuesto como mínimo de 10 tarjetas magnéticas.
· 10 Fichas tamaño A"&amp;"4 (210 mm x 297 mm) impresas a todo color en papel couche de 350 gr/m2, enmicados por ambos lados y con bordes boleados que contiene información sobre las técnicas de diseño y su proceso de aplicación.
· Plumones de 4 colores (rojo, azul, verde y negro)
·"&amp;" El material se presenta en una caja de cartón, con la imagen y descripción del material interactivo.
Calidad pedagógica
· Las tarjetas están organizadas en 10 técnicas de la metodología Design Thinking
· Cada juego de tarjetas desarrolla una técnica de l"&amp;"a metodología Design Thinking
· Entre las posibles técnicas del Design Thinking: brainwritting, ¿Qué, cómo y por qué?, mapa de la empatía, lienzo de propuesta de valor, SCAMPER, PIN, 5 por qué, diagrama de causa efecto, diagrama de prioridades, diagrama d"&amp;"e Porter, entre otros.
· Las fichas presentan la descripción de la técnica, protocolo para la aplicación de las 10 técnicas seleccionadas.")</f>
        <v>Calidad Física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mm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94" s="213">
        <f>IFERROR(__xludf.DUMMYFUNCTION("""COMPUTED_VALUE"""),3.0)</f>
        <v>3</v>
      </c>
      <c r="K1194" s="213" t="str">
        <f>IFERROR(__xludf.DUMMYFUNCTION("""COMPUTED_VALUE"""),"90 DÍAS CALENDARIO")</f>
        <v>90 DÍAS CALENDARIO</v>
      </c>
      <c r="L1194" s="213" t="str">
        <f>IFERROR(__xludf.DUMMYFUNCTION("""COMPUTED_VALUE"""),"")</f>
        <v/>
      </c>
      <c r="M1194" s="213">
        <f>IFERROR(__xludf.DUMMYFUNCTION("""COMPUTED_VALUE"""),1.0)</f>
        <v>1</v>
      </c>
      <c r="N1194" s="213">
        <f>IFERROR(__xludf.DUMMYFUNCTION("""COMPUTED_VALUE"""),3.0)</f>
        <v>3</v>
      </c>
      <c r="O1194" s="213">
        <f>IFERROR(__xludf.DUMMYFUNCTION("""COMPUTED_VALUE"""),3.0)</f>
        <v>3</v>
      </c>
      <c r="P1194" s="213"/>
      <c r="Q1194" s="213"/>
      <c r="R1194" s="213"/>
      <c r="S1194" s="213"/>
      <c r="T1194" s="213"/>
      <c r="U1194" s="213"/>
      <c r="V1194" s="213"/>
      <c r="W1194" s="213"/>
      <c r="X1194" s="213"/>
      <c r="Y1194" s="213"/>
      <c r="Z1194" s="213"/>
      <c r="AA1194" s="213"/>
      <c r="AB1194" s="213"/>
      <c r="AC1194" s="213"/>
      <c r="AD1194" s="213"/>
      <c r="AE1194" s="213"/>
      <c r="AF1194" s="213"/>
      <c r="AG1194" s="213"/>
      <c r="AH1194" s="213"/>
      <c r="AI1194" s="213"/>
      <c r="AJ1194" s="213"/>
      <c r="AK1194" s="213"/>
      <c r="AL1194" s="213"/>
      <c r="AM1194" s="213"/>
      <c r="AN1194" s="213"/>
      <c r="AO1194" s="213"/>
      <c r="AP1194" s="213"/>
      <c r="AQ1194" s="213"/>
      <c r="AR1194" s="213"/>
      <c r="AS1194" s="213"/>
      <c r="AT1194" s="213"/>
      <c r="AU1194" s="213"/>
      <c r="AV1194" s="213"/>
      <c r="AW1194" s="213"/>
      <c r="AX1194" s="213"/>
      <c r="AY1194" s="213"/>
      <c r="AZ1194" s="213"/>
      <c r="BA1194" s="213"/>
      <c r="BB1194" s="213"/>
      <c r="BC1194" s="213"/>
      <c r="BD1194" s="213"/>
    </row>
    <row r="1195">
      <c r="A1195" s="213">
        <f>IFERROR(__xludf.DUMMYFUNCTION("""COMPUTED_VALUE"""),1096.0)</f>
        <v>1096</v>
      </c>
      <c r="B1195" s="213" t="str">
        <f>IFERROR(__xludf.DUMMYFUNCTION("""COMPUTED_VALUE"""),"FRANCISCO IRAZOLA")</f>
        <v>FRANCISCO IRAZOLA</v>
      </c>
      <c r="C1195" s="213" t="str">
        <f>IFERROR(__xludf.DUMMYFUNCTION("""COMPUTED_VALUE"""),"TALLER SFT DE INDUSTRIA ALIMENTARIA")</f>
        <v>TALLER SFT DE INDUSTRIA ALIMENTARIA</v>
      </c>
      <c r="D1195" s="213" t="str">
        <f>IFERROR(__xludf.DUMMYFUNCTION("""COMPUTED_VALUE"""),"PEDAGOGICO")</f>
        <v>PEDAGOGICO</v>
      </c>
      <c r="E1195" s="213" t="str">
        <f>IFERROR(__xludf.DUMMYFUNCTION("""COMPUTED_VALUE"""),"COM-204")</f>
        <v>COM-204</v>
      </c>
      <c r="F1195" s="213" t="str">
        <f>IFERROR(__xludf.DUMMYFUNCTION("""COMPUTED_VALUE"""),"COM-204")</f>
        <v>COM-204</v>
      </c>
      <c r="G1195" s="213"/>
      <c r="H1195" s="213" t="str">
        <f>IFERROR(__xludf.DUMMYFUNCTION("""COMPUTED_VALUE"""),"LIENZO MAGNÉTICO PARA APLICAR METODOLOGÍAS DE DISEÑO")</f>
        <v>LIENZO MAGNÉTICO PARA APLICAR METODOLOGÍAS DE DISEÑO</v>
      </c>
      <c r="I1195" s="213" t="str">
        <f>IFERROR(__xludf.DUMMYFUNCTION("""COMPUTED_VALUE"""),"Calidad Física
-         01 lienzo (tablero o panel) plegable receptivo al magnetismo por ambos lados, de 120 cm x 80 cm como mínimo. Es impreso a colores, con protección ultravioleta, por uno de sus lados permite el trabajo magnético y por el otro lado s"&amp;"e puede escribir y borrar con plumones.
-         5 juegos de tarjetas magnéticas de 100 mm x 100 mm x 5 mm, cada juego tiene un color diferente y corresponde a una técnica de diseño. Se puede escribir y borrar sobre ellas y está compuesto como mínimo de "&amp;"10 tarjetas magnéticas.
-         5 juegos de tarjetas magnéticas de 200 mm x 15 mm x 5mm, cada juego tiene un color diferente y corresponde a una técnica de diseño. Se puede escribir y borrar sobre ellas y está compuesto como mínimo de 10 tarjetas magnét"&amp;"icas.
/  10 Fichas tamaño A4 (210 mm x 297 mm) impresas a todo color en papel couche de 350 gr/m2, enmicados por ambos lados y con bordes boleados que contiene información sobre las técnicas de diseño y su proceso de aplicación
-         Plumones de 4 col"&amp;"ores (rojo, azul, verde y negro)
-         El material se presenta en una caja de cartón, con la imagen y descripción del material interactivo.
Calidad pedagógica.
Las tarjetas están organizadas en 10 técnicas de la metodología Design Thinking
-         C"&amp;"ada juego de tarjetas desarrolla una técnica de la metodología Design Thinking  /  Entre las posibles técnicas del Design Thinking: brainwritting, ¿Qué, cómo y por qué?, mapa de la empatía, lienzo de propuesta de valor, SCAMPER, PIN, 5 por qué,  diagrama "&amp;"de causa efecto, diagrama de prioridades, diagrama de Porter, entre otros.
-         Las fichas presentan la descripción de la técnica, protocolo para la aplicación de las 10 técnicas seleccionadas.")</f>
        <v>Calidad Física
-         01 lienzo (tablero o panel) plegable receptivo al magnetismo por ambos lados, de 120 cm x 80 cm como mínimo. Es impreso a colores, con protección ultravioleta, por uno de sus lados permite el trabajo magnético y por el otro lado se puede escribir y borrar con plumones.
-         5 juegos de tarjetas magnéticas de 100 mm x 100 mm x 5 mm, cada juego tiene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95" s="213">
        <f>IFERROR(__xludf.DUMMYFUNCTION("""COMPUTED_VALUE"""),3.0)</f>
        <v>3</v>
      </c>
      <c r="K1195" s="213" t="str">
        <f>IFERROR(__xludf.DUMMYFUNCTION("""COMPUTED_VALUE"""),"90 DÍAS CALENDARIO")</f>
        <v>90 DÍAS CALENDARIO</v>
      </c>
      <c r="L1195" s="213" t="str">
        <f>IFERROR(__xludf.DUMMYFUNCTION("""COMPUTED_VALUE"""),"")</f>
        <v/>
      </c>
      <c r="M1195" s="213">
        <f>IFERROR(__xludf.DUMMYFUNCTION("""COMPUTED_VALUE"""),1.0)</f>
        <v>1</v>
      </c>
      <c r="N1195" s="213">
        <f>IFERROR(__xludf.DUMMYFUNCTION("""COMPUTED_VALUE"""),4.0)</f>
        <v>4</v>
      </c>
      <c r="O1195" s="213">
        <f>IFERROR(__xludf.DUMMYFUNCTION("""COMPUTED_VALUE"""),4.0)</f>
        <v>4</v>
      </c>
      <c r="P1195" s="213"/>
      <c r="Q1195" s="213"/>
      <c r="R1195" s="213"/>
      <c r="S1195" s="213"/>
      <c r="T1195" s="213"/>
      <c r="U1195" s="213"/>
      <c r="V1195" s="213"/>
      <c r="W1195" s="213"/>
      <c r="X1195" s="213"/>
      <c r="Y1195" s="213"/>
      <c r="Z1195" s="213"/>
      <c r="AA1195" s="213"/>
      <c r="AB1195" s="213"/>
      <c r="AC1195" s="213"/>
      <c r="AD1195" s="213"/>
      <c r="AE1195" s="213"/>
      <c r="AF1195" s="213"/>
      <c r="AG1195" s="213"/>
      <c r="AH1195" s="213"/>
      <c r="AI1195" s="213"/>
      <c r="AJ1195" s="213"/>
      <c r="AK1195" s="213"/>
      <c r="AL1195" s="213"/>
      <c r="AM1195" s="213"/>
      <c r="AN1195" s="213"/>
      <c r="AO1195" s="213"/>
      <c r="AP1195" s="213"/>
      <c r="AQ1195" s="213"/>
      <c r="AR1195" s="213"/>
      <c r="AS1195" s="213"/>
      <c r="AT1195" s="213"/>
      <c r="AU1195" s="213"/>
      <c r="AV1195" s="213"/>
      <c r="AW1195" s="213"/>
      <c r="AX1195" s="213"/>
      <c r="AY1195" s="213"/>
      <c r="AZ1195" s="213"/>
      <c r="BA1195" s="213"/>
      <c r="BB1195" s="213"/>
      <c r="BC1195" s="213"/>
      <c r="BD1195" s="213"/>
    </row>
    <row r="1196">
      <c r="A1196" s="213">
        <f>IFERROR(__xludf.DUMMYFUNCTION("""COMPUTED_VALUE"""),1247.0)</f>
        <v>1247</v>
      </c>
      <c r="B1196" s="213" t="str">
        <f>IFERROR(__xludf.DUMMYFUNCTION("""COMPUTED_VALUE"""),"GUILLERMO E. BILLINGHURST ")</f>
        <v>GUILLERMO E. BILLINGHURST </v>
      </c>
      <c r="C1196" s="213" t="str">
        <f>IFERROR(__xludf.DUMMYFUNCTION("""COMPUTED_VALUE"""),"TALLER SFT DE ELECTRICIDAD")</f>
        <v>TALLER SFT DE ELECTRICIDAD</v>
      </c>
      <c r="D1196" s="213" t="str">
        <f>IFERROR(__xludf.DUMMYFUNCTION("""COMPUTED_VALUE"""),"PEDAGOGICO")</f>
        <v>PEDAGOGICO</v>
      </c>
      <c r="E1196" s="213" t="str">
        <f>IFERROR(__xludf.DUMMYFUNCTION("""COMPUTED_VALUE"""),"COM-204")</f>
        <v>COM-204</v>
      </c>
      <c r="F1196" s="213" t="str">
        <f>IFERROR(__xludf.DUMMYFUNCTION("""COMPUTED_VALUE"""),"COM-204")</f>
        <v>COM-204</v>
      </c>
      <c r="G1196" s="213"/>
      <c r="H1196" s="213" t="str">
        <f>IFERROR(__xludf.DUMMYFUNCTION("""COMPUTED_VALUE"""),"LIENZO MAGNÉTICO PARA APLICAR METODOLOGÍAS DE DISEÑO")</f>
        <v>LIENZO MAGNÉTICO PARA APLICAR METODOLOGÍAS DE DISEÑO</v>
      </c>
      <c r="I1196" s="213" t="str">
        <f>IFERROR(__xludf.DUMMYFUNCTION("""COMPUTED_VALUE"""),"Calidad Física
· 01 lienzo (tablero o panel) plegable receptivo al magnetismo por ambos lados, de 120 x 80 cm como mínimo. Es impreso a colores, con protección ultravioleta, por uno de sus lados permite el trabajo magnético y por el otro lado se puede esc"&amp;"ribir y borrar con plumones.
· 5 juegos de tarjetas magnéticas de 100 mm x 100 x 5 mm, cada juego tienen un color diferente y corresponde a una técnica de diseño. Se puede escribir y borrar sobre ellas y está compuesto como mínimo de 10 tarjetas magnética"&amp;"s.
· 5 juegos de tarjetas magnéticas de 200 mm x 15 mm x 5mm, cada juego tiene un color diferente y corresponde a una técnica de diseño. Se puede escribir y borrar sobre ellas y está compuesto como mínimo de 10 tarjetas magnéticas.
· 10 Fichas tamaño A4 ("&amp;"210 mm x 297 mm) impresas a todo color en papel couche de 350 gr/m2, enmicados por ambos lados y con bordes boleados que contiene información sobre las técnicas de diseño y su proceso de aplicación.
· Plumones de 4 colores (rojo, azul, verde y negro)
· El"&amp;" material se presenta en una caja de cartón, con la imagen y descripción del material interactivo.
Calidad pedagógica
· Las tarjetas están organizadas en 10 técnicas de ala metodología Design Thinking
· Cada juego de tarjetas desarrolla una técnica de la "&amp;"metodología Design Thinking
· Entre las posibles técnicas del Design Thinking: brainwritting, ¿Qué, cómo y por qué?, mapa de la empatía, lienzo de propuesta de valor, SCAMPER, PIN, 5 por qué, diagrama de causa efecto, diagrama de prioridades, diagrama de "&amp;"Porter, entre otros.
· Las fichas presentan la descripción de la técnica, protocolo para la aplicación de las 10 técnicas seleccionadas.")</f>
        <v>Calidad Física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ala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96" s="213">
        <f>IFERROR(__xludf.DUMMYFUNCTION("""COMPUTED_VALUE"""),3.0)</f>
        <v>3</v>
      </c>
      <c r="K1196" s="213" t="str">
        <f>IFERROR(__xludf.DUMMYFUNCTION("""COMPUTED_VALUE"""),"90 DÍAS CALENDARIO")</f>
        <v>90 DÍAS CALENDARIO</v>
      </c>
      <c r="L1196" s="213" t="str">
        <f>IFERROR(__xludf.DUMMYFUNCTION("""COMPUTED_VALUE"""),"")</f>
        <v/>
      </c>
      <c r="M1196" s="213">
        <f>IFERROR(__xludf.DUMMYFUNCTION("""COMPUTED_VALUE"""),1.0)</f>
        <v>1</v>
      </c>
      <c r="N1196" s="213">
        <f>IFERROR(__xludf.DUMMYFUNCTION("""COMPUTED_VALUE"""),4.0)</f>
        <v>4</v>
      </c>
      <c r="O1196" s="213">
        <f>IFERROR(__xludf.DUMMYFUNCTION("""COMPUTED_VALUE"""),4.0)</f>
        <v>4</v>
      </c>
      <c r="P1196" s="213"/>
      <c r="Q1196" s="213"/>
      <c r="R1196" s="213"/>
      <c r="S1196" s="213"/>
      <c r="T1196" s="213"/>
      <c r="U1196" s="213"/>
      <c r="V1196" s="213"/>
      <c r="W1196" s="213"/>
      <c r="X1196" s="213"/>
      <c r="Y1196" s="213"/>
      <c r="Z1196" s="213"/>
      <c r="AA1196" s="213"/>
      <c r="AB1196" s="213"/>
      <c r="AC1196" s="213"/>
      <c r="AD1196" s="213"/>
      <c r="AE1196" s="213"/>
      <c r="AF1196" s="213"/>
      <c r="AG1196" s="213"/>
      <c r="AH1196" s="213"/>
      <c r="AI1196" s="213"/>
      <c r="AJ1196" s="213"/>
      <c r="AK1196" s="213"/>
      <c r="AL1196" s="213"/>
      <c r="AM1196" s="213"/>
      <c r="AN1196" s="213"/>
      <c r="AO1196" s="213"/>
      <c r="AP1196" s="213"/>
      <c r="AQ1196" s="213"/>
      <c r="AR1196" s="213"/>
      <c r="AS1196" s="213"/>
      <c r="AT1196" s="213"/>
      <c r="AU1196" s="213"/>
      <c r="AV1196" s="213"/>
      <c r="AW1196" s="213"/>
      <c r="AX1196" s="213"/>
      <c r="AY1196" s="213"/>
      <c r="AZ1196" s="213"/>
      <c r="BA1196" s="213"/>
      <c r="BB1196" s="213"/>
      <c r="BC1196" s="213"/>
      <c r="BD1196" s="213"/>
    </row>
    <row r="1197">
      <c r="A1197" s="213">
        <f>IFERROR(__xludf.DUMMYFUNCTION("""COMPUTED_VALUE"""),1329.0)</f>
        <v>1329</v>
      </c>
      <c r="B1197" s="213" t="str">
        <f>IFERROR(__xludf.DUMMYFUNCTION("""COMPUTED_VALUE"""),"GUILLERMO E. BILLINGHURST ")</f>
        <v>GUILLERMO E. BILLINGHURST </v>
      </c>
      <c r="C1197" s="213" t="str">
        <f>IFERROR(__xludf.DUMMYFUNCTION("""COMPUTED_VALUE"""),"TALLER SFT DE INDUSTRIA ALIMENTARIA")</f>
        <v>TALLER SFT DE INDUSTRIA ALIMENTARIA</v>
      </c>
      <c r="D1197" s="213" t="str">
        <f>IFERROR(__xludf.DUMMYFUNCTION("""COMPUTED_VALUE"""),"PEDAGOGICO")</f>
        <v>PEDAGOGICO</v>
      </c>
      <c r="E1197" s="213" t="str">
        <f>IFERROR(__xludf.DUMMYFUNCTION("""COMPUTED_VALUE"""),"COM-204")</f>
        <v>COM-204</v>
      </c>
      <c r="F1197" s="213" t="str">
        <f>IFERROR(__xludf.DUMMYFUNCTION("""COMPUTED_VALUE"""),"COM-204")</f>
        <v>COM-204</v>
      </c>
      <c r="G1197" s="213"/>
      <c r="H1197" s="213" t="str">
        <f>IFERROR(__xludf.DUMMYFUNCTION("""COMPUTED_VALUE"""),"LIENZO MAGNÉTICO PARA APLICAR METODOLOGÍAS DE DISEÑO")</f>
        <v>LIENZO MAGNÉTICO PARA APLICAR METODOLOGÍAS DE DISEÑO</v>
      </c>
      <c r="I1197" s="213" t="str">
        <f>IFERROR(__xludf.DUMMYFUNCTION("""COMPUTED_VALUE"""),"Calidad Física
-         01 lienzo (tablero o panel) plegable receptivo al magnetismo por ambos lados, de 120 cm x 80 cm como mínimo. Es impreso a colores, con protección ultravioleta, por uno de sus lados permite el trabajo magnético y por el otro lado s"&amp;"e puede escribir y borrar con plumones.
-         5 juegos de tarjetas magnéticas de 100 mm x 100 mm x 5 mm, cada juego tiene un color diferente y corresponde a una técnica de diseño. Se puede escribir y borrar sobre ellas y está compuesto como mínimo de "&amp;"10 tarjetas magnéticas.
-         5 juegos de tarjetas magnéticas de 200 mm x 15 mm x 5mm, cada juego tiene un color diferente y corresponde a una técnica de diseño. Se puede escribir y borrar sobre ellas y está compuesto como mínimo de 10 tarjetas magnét"&amp;"icas.
/  10 Fichas tamaño A4 (210 mm x 297 mm) impresas a todo color en papel couche de 350 gr/m2, enmicados por ambos lados y con bordes boleados que contiene información sobre las técnicas de diseño y su proceso de aplicación
-         Plumones de 4 col"&amp;"ores (rojo, azul, verde y negro)
-         El material se presenta en una caja de cartón, con la imagen y descripción del material interactivo.
Calidad pedagógica.
Las tarjetas están organizadas en 10 técnicas de la metodología Design Thinking
-         C"&amp;"ada juego de tarjetas desarrolla una técnica de la metodología Design Thinking  /  Entre las posibles técnicas del Design Thinking: brainwritting, ¿Qué, cómo y por qué?, mapa de la empatía, lienzo de propuesta de valor, SCAMPER, PIN, 5 por qué,  diagrama "&amp;"de causa efecto, diagrama de prioridades, diagrama de Porter, entre otros.
-         Las fichas presentan la descripción de la técnica, protocolo para la aplicación de las 10 técnicas seleccionadas.")</f>
        <v>Calidad Física
-         01 lienzo (tablero o panel) plegable receptivo al magnetismo por ambos lados, de 120 cm x 80 cm como mínimo. Es impreso a colores, con protección ultravioleta, por uno de sus lados permite el trabajo magnético y por el otro lado se puede escribir y borrar con plumones.
-         5 juegos de tarjetas magnéticas de 100 mm x 100 mm x 5 mm, cada juego tiene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97" s="213">
        <f>IFERROR(__xludf.DUMMYFUNCTION("""COMPUTED_VALUE"""),3.0)</f>
        <v>3</v>
      </c>
      <c r="K1197" s="213" t="str">
        <f>IFERROR(__xludf.DUMMYFUNCTION("""COMPUTED_VALUE"""),"90 DÍAS CALENDARIO")</f>
        <v>90 DÍAS CALENDARIO</v>
      </c>
      <c r="L1197" s="213" t="str">
        <f>IFERROR(__xludf.DUMMYFUNCTION("""COMPUTED_VALUE"""),"")</f>
        <v/>
      </c>
      <c r="M1197" s="213">
        <f>IFERROR(__xludf.DUMMYFUNCTION("""COMPUTED_VALUE"""),1.0)</f>
        <v>1</v>
      </c>
      <c r="N1197" s="213">
        <f>IFERROR(__xludf.DUMMYFUNCTION("""COMPUTED_VALUE"""),0.0)</f>
        <v>0</v>
      </c>
      <c r="O1197" s="213">
        <f>IFERROR(__xludf.DUMMYFUNCTION("""COMPUTED_VALUE"""),0.0)</f>
        <v>0</v>
      </c>
      <c r="P1197" s="213"/>
      <c r="Q1197" s="213"/>
      <c r="R1197" s="213"/>
      <c r="S1197" s="213"/>
      <c r="T1197" s="213"/>
      <c r="U1197" s="213"/>
      <c r="V1197" s="213"/>
      <c r="W1197" s="213"/>
      <c r="X1197" s="213"/>
      <c r="Y1197" s="213"/>
      <c r="Z1197" s="213"/>
      <c r="AA1197" s="213"/>
      <c r="AB1197" s="213"/>
      <c r="AC1197" s="213"/>
      <c r="AD1197" s="213"/>
      <c r="AE1197" s="213"/>
      <c r="AF1197" s="213"/>
      <c r="AG1197" s="213"/>
      <c r="AH1197" s="213"/>
      <c r="AI1197" s="213"/>
      <c r="AJ1197" s="213"/>
      <c r="AK1197" s="213"/>
      <c r="AL1197" s="213"/>
      <c r="AM1197" s="213"/>
      <c r="AN1197" s="213"/>
      <c r="AO1197" s="213"/>
      <c r="AP1197" s="213"/>
      <c r="AQ1197" s="213"/>
      <c r="AR1197" s="213"/>
      <c r="AS1197" s="213"/>
      <c r="AT1197" s="213"/>
      <c r="AU1197" s="213"/>
      <c r="AV1197" s="213"/>
      <c r="AW1197" s="213"/>
      <c r="AX1197" s="213"/>
      <c r="AY1197" s="213"/>
      <c r="AZ1197" s="213"/>
      <c r="BA1197" s="213"/>
      <c r="BB1197" s="213"/>
      <c r="BC1197" s="213"/>
      <c r="BD1197" s="213"/>
    </row>
    <row r="1198">
      <c r="A1198" s="213">
        <f>IFERROR(__xludf.DUMMYFUNCTION("""COMPUTED_VALUE"""),1667.0)</f>
        <v>1667</v>
      </c>
      <c r="B1198" s="213" t="str">
        <f>IFERROR(__xludf.DUMMYFUNCTION("""COMPUTED_VALUE"""),"GUILLERMO E. BILLINGHURST ")</f>
        <v>GUILLERMO E. BILLINGHURST </v>
      </c>
      <c r="C1198" s="213" t="str">
        <f>IFERROR(__xludf.DUMMYFUNCTION("""COMPUTED_VALUE"""),"TALLER SFT DE COMPUTACIÓN E INFORMÁTICA")</f>
        <v>TALLER SFT DE COMPUTACIÓN E INFORMÁTICA</v>
      </c>
      <c r="D1198" s="213" t="str">
        <f>IFERROR(__xludf.DUMMYFUNCTION("""COMPUTED_VALUE"""),"PEDAGOGICO")</f>
        <v>PEDAGOGICO</v>
      </c>
      <c r="E1198" s="213" t="str">
        <f>IFERROR(__xludf.DUMMYFUNCTION("""COMPUTED_VALUE"""),"COM-204")</f>
        <v>COM-204</v>
      </c>
      <c r="F1198" s="213" t="str">
        <f>IFERROR(__xludf.DUMMYFUNCTION("""COMPUTED_VALUE"""),"COM-204")</f>
        <v>COM-204</v>
      </c>
      <c r="G1198" s="213"/>
      <c r="H1198" s="213" t="str">
        <f>IFERROR(__xludf.DUMMYFUNCTION("""COMPUTED_VALUE"""),"LIENZO MAGNÉTICO PARA APLICAR METODOLOGÍAS DE DISEÑO")</f>
        <v>LIENZO MAGNÉTICO PARA APLICAR METODOLOGÍAS DE DISEÑO</v>
      </c>
      <c r="I1198" s="213" t="str">
        <f>IFERROR(__xludf.DUMMYFUNCTION("""COMPUTED_VALUE"""),"Calidad Física
· 01 lienzo (tablero o panel) plegable receptivo al magnetismo por ambos lados, de 120 x 80 cm como mínimo. Es impreso a colores, con protección ultravioleta, por uno de sus lados permite el trabajo magnético y por el otro lado se puede esc"&amp;"ribir y borrar con plumones.
· 5 juegos de tarjetas magnéticas de 100 mm x 100 mm x 5 mm, cada juego tienen un color diferente y corresponde a una técnica de diseño. Se puede escribir y borrar sobre ellas y está compuesto como mínimo de 10 tarjetas magnét"&amp;"icas.
· 5 juegos de tarjetas magnéticas de 200 mm x 15 mm x 5mm, cada juego tiene un color diferente y corresponde a una técnica de diseño. Se puede escribir y borrar sobre ellas y está compuesto como mínimo de 10 tarjetas magnéticas.
· 10 Fichas tamaño A"&amp;"4 (210 mm x 297 mm) impresas a todo color en papel couche de 350 gr/m2, enmicados por ambos lados y con bordes boleados que contiene información sobre las técnicas de diseño y su proceso de aplicación.
· Plumones de 4 colores (rojo, azul, verde y negro)
·"&amp;" El material se presenta en una caja de cartón, con la imagen y descripción del material interactivo.
Calidad pedagógica
· Las tarjetas están organizadas en 10 técnicas de la metodología Design Thinking
· Cada juego de tarjetas desarrolla una técnica de l"&amp;"a metodología Design Thinking
· Entre las posibles técnicas del Design Thinking: brainwritting, ¿Qué, cómo y por qué?, mapa de la empatía, lienzo de propuesta de valor, SCAMPER, PIN, 5 por qué, diagrama de causa efecto, diagrama de prioridades, diagrama d"&amp;"e Porter, entre otros.
· Las fichas presentan la descripción de la técnica, protocolo para la aplicación de las 10 técnicas seleccionadas.")</f>
        <v>Calidad Física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mm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98" s="213">
        <f>IFERROR(__xludf.DUMMYFUNCTION("""COMPUTED_VALUE"""),3.0)</f>
        <v>3</v>
      </c>
      <c r="K1198" s="213" t="str">
        <f>IFERROR(__xludf.DUMMYFUNCTION("""COMPUTED_VALUE"""),"90 DÍAS CALENDARIO")</f>
        <v>90 DÍAS CALENDARIO</v>
      </c>
      <c r="L1198" s="213" t="str">
        <f>IFERROR(__xludf.DUMMYFUNCTION("""COMPUTED_VALUE"""),"")</f>
        <v/>
      </c>
      <c r="M1198" s="213">
        <f>IFERROR(__xludf.DUMMYFUNCTION("""COMPUTED_VALUE"""),1.0)</f>
        <v>1</v>
      </c>
      <c r="N1198" s="213">
        <f>IFERROR(__xludf.DUMMYFUNCTION("""COMPUTED_VALUE"""),4.0)</f>
        <v>4</v>
      </c>
      <c r="O1198" s="213">
        <f>IFERROR(__xludf.DUMMYFUNCTION("""COMPUTED_VALUE"""),4.0)</f>
        <v>4</v>
      </c>
      <c r="P1198" s="213"/>
      <c r="Q1198" s="213"/>
      <c r="R1198" s="213"/>
      <c r="S1198" s="213"/>
      <c r="T1198" s="213"/>
      <c r="U1198" s="213"/>
      <c r="V1198" s="213"/>
      <c r="W1198" s="213"/>
      <c r="X1198" s="213"/>
      <c r="Y1198" s="213"/>
      <c r="Z1198" s="213"/>
      <c r="AA1198" s="213"/>
      <c r="AB1198" s="213"/>
      <c r="AC1198" s="213"/>
      <c r="AD1198" s="213"/>
      <c r="AE1198" s="213"/>
      <c r="AF1198" s="213"/>
      <c r="AG1198" s="213"/>
      <c r="AH1198" s="213"/>
      <c r="AI1198" s="213"/>
      <c r="AJ1198" s="213"/>
      <c r="AK1198" s="213"/>
      <c r="AL1198" s="213"/>
      <c r="AM1198" s="213"/>
      <c r="AN1198" s="213"/>
      <c r="AO1198" s="213"/>
      <c r="AP1198" s="213"/>
      <c r="AQ1198" s="213"/>
      <c r="AR1198" s="213"/>
      <c r="AS1198" s="213"/>
      <c r="AT1198" s="213"/>
      <c r="AU1198" s="213"/>
      <c r="AV1198" s="213"/>
      <c r="AW1198" s="213"/>
      <c r="AX1198" s="213"/>
      <c r="AY1198" s="213"/>
      <c r="AZ1198" s="213"/>
      <c r="BA1198" s="213"/>
      <c r="BB1198" s="213"/>
      <c r="BC1198" s="213"/>
      <c r="BD1198" s="213"/>
    </row>
    <row r="1199">
      <c r="A1199" s="213">
        <f>IFERROR(__xludf.DUMMYFUNCTION("""COMPUTED_VALUE"""),1762.0)</f>
        <v>1762</v>
      </c>
      <c r="B1199" s="213" t="str">
        <f>IFERROR(__xludf.DUMMYFUNCTION("""COMPUTED_VALUE"""),"GUILLERMO E. BILLINGHURST ")</f>
        <v>GUILLERMO E. BILLINGHURST </v>
      </c>
      <c r="C1199" s="213" t="str">
        <f>IFERROR(__xludf.DUMMYFUNCTION("""COMPUTED_VALUE"""),"TALLER SFT DE EBANISTERÍA")</f>
        <v>TALLER SFT DE EBANISTERÍA</v>
      </c>
      <c r="D1199" s="213" t="str">
        <f>IFERROR(__xludf.DUMMYFUNCTION("""COMPUTED_VALUE"""),"PEDAGOGICO")</f>
        <v>PEDAGOGICO</v>
      </c>
      <c r="E1199" s="213" t="str">
        <f>IFERROR(__xludf.DUMMYFUNCTION("""COMPUTED_VALUE"""),"COM-204")</f>
        <v>COM-204</v>
      </c>
      <c r="F1199" s="213" t="str">
        <f>IFERROR(__xludf.DUMMYFUNCTION("""COMPUTED_VALUE"""),"COM-204")</f>
        <v>COM-204</v>
      </c>
      <c r="G1199" s="213"/>
      <c r="H1199" s="213" t="str">
        <f>IFERROR(__xludf.DUMMYFUNCTION("""COMPUTED_VALUE"""),"LIENZO MAGNÉTICO PARA APLICAR METODOLOGÍAS DE DISEÑO")</f>
        <v>LIENZO MAGNÉTICO PARA APLICAR METODOLOGÍAS DE DISEÑO</v>
      </c>
      <c r="I1199" s="213" t="str">
        <f>IFERROR(__xludf.DUMMYFUNCTION("""COMPUTED_VALUE"""),"Calidad Física
· 01 lienzo (tablero o panel) plegable receptivo al magnetismo por ambos lados, de 120 x 80 cm como mínimo. Es impreso a colores, con protección ultravioleta, por uno de sus lados permite el trabajo magnético y por el otro lado se puede esc"&amp;"ribir y borrar con plumones.
· 5 juegos de tarjetas magnéticas de 100 mm x 100 x 5 mm, cada juego tienen un color diferente y corresponde a una técnica de diseño. Se puede escribir y borrar sobre ellas y está compuesto como mínimo de 10 tarjetas magnética"&amp;"s.
· 5 juegos de tarjetas magnéticas de 200 mm x 15 mm x 5mm, cada juego tiene un color diferente y corresponde a una técnica de diseño. Se puede escribir y borrar sobre ellas y está compuesto como mínimo de 10 tarjetas magnéticas.
· 10 Fichas tamaño A4 ("&amp;"210 mm x 297 mm) impresas a todo color en papel couche de 350 gr/m2, enmicados por ambos lados y con bordes boleados que contiene información sobre las técnicas de diseño y su proceso de aplicación.
· Plumones de 4 colores (rojo, azul, verde y negro)
· El"&amp;" material se presenta en una caja de cartón, con la imagen y descripción del material interactivo. Calidad pedagógica
· Las tarjetas están organizadas en 10 técnicas de ala metodología Design Thinking
· Cada juego de tarjetas desarrolla una técnica de la "&amp;"metodología Design Thinking
· Entre las posibles técnicas del Design Thinking: brainwritting, ¿Qué, cómo y por qué?, mapa de la empatía, lienzo de propuesta de valor, SCAMPER, PIN, 5 por qué, diagrama de causa efecto, diagrama de prioridades, diagrama de "&amp;"Porter, entre otros.
· Las fichas presentan la descripción de la técnica, protocolo para la aplicación de las 10 técnicas seleccionadas.")</f>
        <v>Calidad Física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ala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199" s="213">
        <f>IFERROR(__xludf.DUMMYFUNCTION("""COMPUTED_VALUE"""),3.0)</f>
        <v>3</v>
      </c>
      <c r="K1199" s="213" t="str">
        <f>IFERROR(__xludf.DUMMYFUNCTION("""COMPUTED_VALUE"""),"90 DÍAS CALENDARIO")</f>
        <v>90 DÍAS CALENDARIO</v>
      </c>
      <c r="L1199" s="213" t="str">
        <f>IFERROR(__xludf.DUMMYFUNCTION("""COMPUTED_VALUE"""),"")</f>
        <v/>
      </c>
      <c r="M1199" s="213">
        <f>IFERROR(__xludf.DUMMYFUNCTION("""COMPUTED_VALUE"""),1.0)</f>
        <v>1</v>
      </c>
      <c r="N1199" s="213">
        <f>IFERROR(__xludf.DUMMYFUNCTION("""COMPUTED_VALUE"""),4.0)</f>
        <v>4</v>
      </c>
      <c r="O1199" s="213">
        <f>IFERROR(__xludf.DUMMYFUNCTION("""COMPUTED_VALUE"""),4.0)</f>
        <v>4</v>
      </c>
      <c r="P1199" s="213"/>
      <c r="Q1199" s="213"/>
      <c r="R1199" s="213"/>
      <c r="S1199" s="213"/>
      <c r="T1199" s="213"/>
      <c r="U1199" s="213"/>
      <c r="V1199" s="213"/>
      <c r="W1199" s="213"/>
      <c r="X1199" s="213"/>
      <c r="Y1199" s="213"/>
      <c r="Z1199" s="213"/>
      <c r="AA1199" s="213"/>
      <c r="AB1199" s="213"/>
      <c r="AC1199" s="213"/>
      <c r="AD1199" s="213"/>
      <c r="AE1199" s="213"/>
      <c r="AF1199" s="213"/>
      <c r="AG1199" s="213"/>
      <c r="AH1199" s="213"/>
      <c r="AI1199" s="213"/>
      <c r="AJ1199" s="213"/>
      <c r="AK1199" s="213"/>
      <c r="AL1199" s="213"/>
      <c r="AM1199" s="213"/>
      <c r="AN1199" s="213"/>
      <c r="AO1199" s="213"/>
      <c r="AP1199" s="213"/>
      <c r="AQ1199" s="213"/>
      <c r="AR1199" s="213"/>
      <c r="AS1199" s="213"/>
      <c r="AT1199" s="213"/>
      <c r="AU1199" s="213"/>
      <c r="AV1199" s="213"/>
      <c r="AW1199" s="213"/>
      <c r="AX1199" s="213"/>
      <c r="AY1199" s="213"/>
      <c r="AZ1199" s="213"/>
      <c r="BA1199" s="213"/>
      <c r="BB1199" s="213"/>
      <c r="BC1199" s="213"/>
      <c r="BD1199" s="213"/>
    </row>
    <row r="1200">
      <c r="A1200" s="213">
        <f>IFERROR(__xludf.DUMMYFUNCTION("""COMPUTED_VALUE"""),1917.0)</f>
        <v>1917</v>
      </c>
      <c r="B1200" s="213" t="str">
        <f>IFERROR(__xludf.DUMMYFUNCTION("""COMPUTED_VALUE"""),"JOSE GRANDA")</f>
        <v>JOSE GRANDA</v>
      </c>
      <c r="C1200" s="213" t="str">
        <f>IFERROR(__xludf.DUMMYFUNCTION("""COMPUTED_VALUE"""),"TALLER SFT DE COMPUTACIÓN E INFORMÁTICA")</f>
        <v>TALLER SFT DE COMPUTACIÓN E INFORMÁTICA</v>
      </c>
      <c r="D1200" s="213" t="str">
        <f>IFERROR(__xludf.DUMMYFUNCTION("""COMPUTED_VALUE"""),"PEDAGOGICO")</f>
        <v>PEDAGOGICO</v>
      </c>
      <c r="E1200" s="213" t="str">
        <f>IFERROR(__xludf.DUMMYFUNCTION("""COMPUTED_VALUE"""),"COM-204")</f>
        <v>COM-204</v>
      </c>
      <c r="F1200" s="213" t="str">
        <f>IFERROR(__xludf.DUMMYFUNCTION("""COMPUTED_VALUE"""),"COM-204")</f>
        <v>COM-204</v>
      </c>
      <c r="G1200" s="213"/>
      <c r="H1200" s="213" t="str">
        <f>IFERROR(__xludf.DUMMYFUNCTION("""COMPUTED_VALUE"""),"LIENZO MAGNÉTICO PARA APLICAR METODOLOGÍAS DE DISEÑO")</f>
        <v>LIENZO MAGNÉTICO PARA APLICAR METODOLOGÍAS DE DISEÑO</v>
      </c>
      <c r="I1200" s="213" t="str">
        <f>IFERROR(__xludf.DUMMYFUNCTION("""COMPUTED_VALUE"""),"Calidad Física
· 01 lienzo (tablero o panel) plegable receptivo al magnetismo por ambos lados, de 120 x 80 cm como mínimo. Es impreso a colores, con protección ultravioleta, por uno de sus lados permite el trabajo magnético y por el otro lado se puede esc"&amp;"ribir y borrar con plumones.
· 5 juegos de tarjetas magnéticas de 100 mm x 100 mm x 5 mm, cada juego tienen un color diferente y corresponde a una técnica de diseño. Se puede escribir y borrar sobre ellas y está compuesto como mínimo de 10 tarjetas magnét"&amp;"icas.
· 5 juegos de tarjetas magnéticas de 200 mm x 15 mm x 5mm, cada juego tiene un color diferente y corresponde a una técnica de diseño. Se puede escribir y borrar sobre ellas y está compuesto como mínimo de 10 tarjetas magnéticas.
· 10 Fichas tamaño A"&amp;"4 (210 mm x 297 mm) impresas a todo color en papel couche de 350 gr/m2, enmicados por ambos lados y con bordes boleados que contiene información sobre las técnicas de diseño y su proceso de aplicación.
· Plumones de 4 colores (rojo, azul, verde y negro)
·"&amp;" El material se presenta en una caja de cartón, con la imagen y descripción del material interactivo.
Calidad pedagógica
· Las tarjetas están organizadas en 10 técnicas de la metodología Design Thinking
· Cada juego de tarjetas desarrolla una técnica de l"&amp;"a metodología Design Thinking
· Entre las posibles técnicas del Design Thinking: brainwritting, ¿Qué, cómo y por qué?, mapa de la empatía, lienzo de propuesta de valor, SCAMPER, PIN, 5 por qué, diagrama de causa efecto, diagrama de prioridades, diagrama d"&amp;"e Porter, entre otros.
· Las fichas presentan la descripción de la técnica, protocolo para la aplicación de las 10 técnicas seleccionadas.")</f>
        <v>Calidad Física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mm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200" s="213">
        <f>IFERROR(__xludf.DUMMYFUNCTION("""COMPUTED_VALUE"""),3.0)</f>
        <v>3</v>
      </c>
      <c r="K1200" s="213" t="str">
        <f>IFERROR(__xludf.DUMMYFUNCTION("""COMPUTED_VALUE"""),"90 DÍAS CALENDARIO")</f>
        <v>90 DÍAS CALENDARIO</v>
      </c>
      <c r="L1200" s="213" t="str">
        <f>IFERROR(__xludf.DUMMYFUNCTION("""COMPUTED_VALUE"""),"")</f>
        <v/>
      </c>
      <c r="M1200" s="213">
        <f>IFERROR(__xludf.DUMMYFUNCTION("""COMPUTED_VALUE"""),1.0)</f>
        <v>1</v>
      </c>
      <c r="N1200" s="213">
        <f>IFERROR(__xludf.DUMMYFUNCTION("""COMPUTED_VALUE"""),4.0)</f>
        <v>4</v>
      </c>
      <c r="O1200" s="213">
        <f>IFERROR(__xludf.DUMMYFUNCTION("""COMPUTED_VALUE"""),4.0)</f>
        <v>4</v>
      </c>
      <c r="P1200" s="213"/>
      <c r="Q1200" s="213"/>
      <c r="R1200" s="213"/>
      <c r="S1200" s="213"/>
      <c r="T1200" s="213"/>
      <c r="U1200" s="213"/>
      <c r="V1200" s="213"/>
      <c r="W1200" s="213"/>
      <c r="X1200" s="213"/>
      <c r="Y1200" s="213"/>
      <c r="Z1200" s="213"/>
      <c r="AA1200" s="213"/>
      <c r="AB1200" s="213"/>
      <c r="AC1200" s="213"/>
      <c r="AD1200" s="213"/>
      <c r="AE1200" s="213"/>
      <c r="AF1200" s="213"/>
      <c r="AG1200" s="213"/>
      <c r="AH1200" s="213"/>
      <c r="AI1200" s="213"/>
      <c r="AJ1200" s="213"/>
      <c r="AK1200" s="213"/>
      <c r="AL1200" s="213"/>
      <c r="AM1200" s="213"/>
      <c r="AN1200" s="213"/>
      <c r="AO1200" s="213"/>
      <c r="AP1200" s="213"/>
      <c r="AQ1200" s="213"/>
      <c r="AR1200" s="213"/>
      <c r="AS1200" s="213"/>
      <c r="AT1200" s="213"/>
      <c r="AU1200" s="213"/>
      <c r="AV1200" s="213"/>
      <c r="AW1200" s="213"/>
      <c r="AX1200" s="213"/>
      <c r="AY1200" s="213"/>
      <c r="AZ1200" s="213"/>
      <c r="BA1200" s="213"/>
      <c r="BB1200" s="213"/>
      <c r="BC1200" s="213"/>
      <c r="BD1200" s="213"/>
    </row>
    <row r="1201">
      <c r="A1201" s="213">
        <f>IFERROR(__xludf.DUMMYFUNCTION("""COMPUTED_VALUE"""),2010.0)</f>
        <v>2010</v>
      </c>
      <c r="B1201" s="213" t="str">
        <f>IFERROR(__xludf.DUMMYFUNCTION("""COMPUTED_VALUE"""),"JOSE GRANDA")</f>
        <v>JOSE GRANDA</v>
      </c>
      <c r="C1201" s="213" t="str">
        <f>IFERROR(__xludf.DUMMYFUNCTION("""COMPUTED_VALUE"""),"TALLER SFT DE INDUSTRIA ALIMENTARIA")</f>
        <v>TALLER SFT DE INDUSTRIA ALIMENTARIA</v>
      </c>
      <c r="D1201" s="213" t="str">
        <f>IFERROR(__xludf.DUMMYFUNCTION("""COMPUTED_VALUE"""),"PEDAGOGICO")</f>
        <v>PEDAGOGICO</v>
      </c>
      <c r="E1201" s="213" t="str">
        <f>IFERROR(__xludf.DUMMYFUNCTION("""COMPUTED_VALUE"""),"COM-204")</f>
        <v>COM-204</v>
      </c>
      <c r="F1201" s="213" t="str">
        <f>IFERROR(__xludf.DUMMYFUNCTION("""COMPUTED_VALUE"""),"COM-204")</f>
        <v>COM-204</v>
      </c>
      <c r="G1201" s="213"/>
      <c r="H1201" s="213" t="str">
        <f>IFERROR(__xludf.DUMMYFUNCTION("""COMPUTED_VALUE"""),"LIENZO MAGNÉTICO PARA APLICAR METODOLOGÍAS DE DISEÑO")</f>
        <v>LIENZO MAGNÉTICO PARA APLICAR METODOLOGÍAS DE DISEÑO</v>
      </c>
      <c r="I1201" s="213" t="str">
        <f>IFERROR(__xludf.DUMMYFUNCTION("""COMPUTED_VALUE"""),"Calidad Física
-         01 lienzo (tablero o panel) plegable receptivo al magnetismo por ambos lados, de 120 cm x 80 cm como mínimo. Es impreso a colores, con protección ultravioleta, por uno de sus lados permite el trabajo magnético y por el otro lado s"&amp;"e puede escribir y borrar con plumones.
-         5 juegos de tarjetas magnéticas de 100 mm x 100 mm x 5 mm, cada juego tiene un color diferente y corresponde a una técnica de diseño. Se puede escribir y borrar sobre ellas y está compuesto como mínimo de "&amp;"10 tarjetas magnéticas.
-         5 juegos de tarjetas magnéticas de 200 mm x 15 mm x 5mm, cada juego tiene un color diferente y corresponde a una técnica de diseño. Se puede escribir y borrar sobre ellas y está compuesto como mínimo de 10 tarjetas magnét"&amp;"icas.
/  10 Fichas tamaño A4 (210 mm x 297 mm) impresas a todo color en papel couche de 350 gr/m2, enmicados por ambos lados y con bordes boleados que contiene información sobre las técnicas de diseño y su proceso de aplicación
-         Plumones de 4 col"&amp;"ores (rojo, azul, verde y negro)
-         El material se presenta en una caja de cartón, con la imagen y descripción del material interactivo.
Calidad pedagógica.
Las tarjetas están organizadas en 10 técnicas de la metodología Design Thinking
-         C"&amp;"ada juego de tarjetas desarrolla una técnica de la metodología Design Thinking  /  Entre las posibles técnicas del Design Thinking: brainwritting, ¿Qué, cómo y por qué?, mapa de la empatía, lienzo de propuesta de valor, SCAMPER, PIN, 5 por qué,  diagrama "&amp;"de causa efecto, diagrama de prioridades, diagrama de Porter, entre otros.
-         Las fichas presentan la descripción de la técnica, protocolo para la aplicación de las 10 técnicas seleccionadas.")</f>
        <v>Calidad Física
-         01 lienzo (tablero o panel) plegable receptivo al magnetismo por ambos lados, de 120 cm x 80 cm como mínimo. Es impreso a colores, con protección ultravioleta, por uno de sus lados permite el trabajo magnético y por el otro lado se puede escribir y borrar con plumones.
-         5 juegos de tarjetas magnéticas de 100 mm x 100 mm x 5 mm, cada juego tiene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201" s="213">
        <f>IFERROR(__xludf.DUMMYFUNCTION("""COMPUTED_VALUE"""),3.0)</f>
        <v>3</v>
      </c>
      <c r="K1201" s="213" t="str">
        <f>IFERROR(__xludf.DUMMYFUNCTION("""COMPUTED_VALUE"""),"90 DÍAS CALENDARIO")</f>
        <v>90 DÍAS CALENDARIO</v>
      </c>
      <c r="L1201" s="213" t="str">
        <f>IFERROR(__xludf.DUMMYFUNCTION("""COMPUTED_VALUE"""),"")</f>
        <v/>
      </c>
      <c r="M1201" s="213">
        <f>IFERROR(__xludf.DUMMYFUNCTION("""COMPUTED_VALUE"""),1.0)</f>
        <v>1</v>
      </c>
      <c r="N1201" s="213">
        <f>IFERROR(__xludf.DUMMYFUNCTION("""COMPUTED_VALUE"""),4.0)</f>
        <v>4</v>
      </c>
      <c r="O1201" s="213">
        <f>IFERROR(__xludf.DUMMYFUNCTION("""COMPUTED_VALUE"""),4.0)</f>
        <v>4</v>
      </c>
      <c r="P1201" s="213"/>
      <c r="Q1201" s="213"/>
      <c r="R1201" s="213"/>
      <c r="S1201" s="213"/>
      <c r="T1201" s="213"/>
      <c r="U1201" s="213"/>
      <c r="V1201" s="213"/>
      <c r="W1201" s="213"/>
      <c r="X1201" s="213"/>
      <c r="Y1201" s="213"/>
      <c r="Z1201" s="213"/>
      <c r="AA1201" s="213"/>
      <c r="AB1201" s="213"/>
      <c r="AC1201" s="213"/>
      <c r="AD1201" s="213"/>
      <c r="AE1201" s="213"/>
      <c r="AF1201" s="213"/>
      <c r="AG1201" s="213"/>
      <c r="AH1201" s="213"/>
      <c r="AI1201" s="213"/>
      <c r="AJ1201" s="213"/>
      <c r="AK1201" s="213"/>
      <c r="AL1201" s="213"/>
      <c r="AM1201" s="213"/>
      <c r="AN1201" s="213"/>
      <c r="AO1201" s="213"/>
      <c r="AP1201" s="213"/>
      <c r="AQ1201" s="213"/>
      <c r="AR1201" s="213"/>
      <c r="AS1201" s="213"/>
      <c r="AT1201" s="213"/>
      <c r="AU1201" s="213"/>
      <c r="AV1201" s="213"/>
      <c r="AW1201" s="213"/>
      <c r="AX1201" s="213"/>
      <c r="AY1201" s="213"/>
      <c r="AZ1201" s="213"/>
      <c r="BA1201" s="213"/>
      <c r="BB1201" s="213"/>
      <c r="BC1201" s="213"/>
      <c r="BD1201" s="213"/>
    </row>
    <row r="1202">
      <c r="A1202" s="213">
        <f>IFERROR(__xludf.DUMMYFUNCTION("""COMPUTED_VALUE"""),2214.0)</f>
        <v>2214</v>
      </c>
      <c r="B1202" s="213" t="str">
        <f>IFERROR(__xludf.DUMMYFUNCTION("""COMPUTED_VALUE"""),"JOSE GRANDA")</f>
        <v>JOSE GRANDA</v>
      </c>
      <c r="C1202" s="213" t="str">
        <f>IFERROR(__xludf.DUMMYFUNCTION("""COMPUTED_VALUE"""),"TALLER SFT DE MECÁNICA AUTOMOTRIZ")</f>
        <v>TALLER SFT DE MECÁNICA AUTOMOTRIZ</v>
      </c>
      <c r="D1202" s="213" t="str">
        <f>IFERROR(__xludf.DUMMYFUNCTION("""COMPUTED_VALUE"""),"PEDAGOGICO")</f>
        <v>PEDAGOGICO</v>
      </c>
      <c r="E1202" s="213" t="str">
        <f>IFERROR(__xludf.DUMMYFUNCTION("""COMPUTED_VALUE"""),"COM-204")</f>
        <v>COM-204</v>
      </c>
      <c r="F1202" s="213" t="str">
        <f>IFERROR(__xludf.DUMMYFUNCTION("""COMPUTED_VALUE"""),"COM-204")</f>
        <v>COM-204</v>
      </c>
      <c r="G1202" s="213"/>
      <c r="H1202" s="213" t="str">
        <f>IFERROR(__xludf.DUMMYFUNCTION("""COMPUTED_VALUE"""),"LIENZO MAGNÉTICO PARA APLICAR METODOLOGÍAS DE DISEÑO")</f>
        <v>LIENZO MAGNÉTICO PARA APLICAR METODOLOGÍAS DE DISEÑO</v>
      </c>
      <c r="I1202" s="213" t="str">
        <f>IFERROR(__xludf.DUMMYFUNCTION("""COMPUTED_VALUE"""),"El Kit contine:
· 01 lienzo (tablero o panel) plegable receptivo al magnetismo por ambos lados, de 120 x 80 cm como mínimo. Es impreso a colores, con protección ultravioleta, por uno de sus lados permite el trabajo magnético y por el otro lado se puede es"&amp;"cribir y borrar con plumones.
· 5 juegos de tarjetas magnéticas de 100 mm x 100 x 5 mm, cada juego tienen un color diferente y corresponde a una técnica de diseño. Se puede escribir y borrar sobre ellas y está compuesto como mínimo de 10 tarjetas magnétic"&amp;"as.
· 5 juegos de tarjetas magnéticas de 200 mm x 15 mm x 5mm, cada juego tiene un color diferente y corresponde a una técnica de diseño. Se puede escribir y borrar sobre ellas y está compuesto como mínimo de 10 tarjetas magnéticas.
· 10 Fichas tamaño A4 "&amp;"(210 mm x 297 mm) impresas a todo color en papel couche de 350 gr/m2, enmicados por ambos lados y con bordes boleados que contiene información sobre las técnicas de diseño y su proceso de aplicación.
· Plumones de 4 colores (rojo, azul, verde y negro)
· E"&amp;"l material se presenta en una caja de cartón, con la imagen y descripción del material interactivo.
Calidad pedagógica
· Las tarjetas están organizadas en 10 técnicas de ala metodología Design Thinking
· Cada juego de tarjetas desarrolla una técnica de la"&amp;" metodología Design Thinking
· Entre las posibles técnicas del Design Thinking: brainwritting, ¿Qué, cómo y por qué?, mapa de la empatía, lienzo de propuesta de valor, SCAMPER, PIN, 5 por qué, diagrama de causa efecto, diagrama de prioridades, diagrama de"&amp;" Porter, entre otros.
· Las fichas presentan la descripción de la técnica, protocolo para la aplicación de las 10 técnicas seleccionadas.")</f>
        <v>El Kit contine: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ala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202" s="213">
        <f>IFERROR(__xludf.DUMMYFUNCTION("""COMPUTED_VALUE"""),3.0)</f>
        <v>3</v>
      </c>
      <c r="K1202" s="213" t="str">
        <f>IFERROR(__xludf.DUMMYFUNCTION("""COMPUTED_VALUE"""),"90 DÍAS CALENDARIO")</f>
        <v>90 DÍAS CALENDARIO</v>
      </c>
      <c r="L1202" s="213" t="str">
        <f>IFERROR(__xludf.DUMMYFUNCTION("""COMPUTED_VALUE"""),"")</f>
        <v/>
      </c>
      <c r="M1202" s="213">
        <f>IFERROR(__xludf.DUMMYFUNCTION("""COMPUTED_VALUE"""),1.0)</f>
        <v>1</v>
      </c>
      <c r="N1202" s="213">
        <f>IFERROR(__xludf.DUMMYFUNCTION("""COMPUTED_VALUE"""),4.0)</f>
        <v>4</v>
      </c>
      <c r="O1202" s="213">
        <f>IFERROR(__xludf.DUMMYFUNCTION("""COMPUTED_VALUE"""),4.0)</f>
        <v>4</v>
      </c>
      <c r="P1202" s="213"/>
      <c r="Q1202" s="213"/>
      <c r="R1202" s="213"/>
      <c r="S1202" s="213"/>
      <c r="T1202" s="213"/>
      <c r="U1202" s="213"/>
      <c r="V1202" s="213"/>
      <c r="W1202" s="213"/>
      <c r="X1202" s="213"/>
      <c r="Y1202" s="213"/>
      <c r="Z1202" s="213"/>
      <c r="AA1202" s="213"/>
      <c r="AB1202" s="213"/>
      <c r="AC1202" s="213"/>
      <c r="AD1202" s="213"/>
      <c r="AE1202" s="213"/>
      <c r="AF1202" s="213"/>
      <c r="AG1202" s="213"/>
      <c r="AH1202" s="213"/>
      <c r="AI1202" s="213"/>
      <c r="AJ1202" s="213"/>
      <c r="AK1202" s="213"/>
      <c r="AL1202" s="213"/>
      <c r="AM1202" s="213"/>
      <c r="AN1202" s="213"/>
      <c r="AO1202" s="213"/>
      <c r="AP1202" s="213"/>
      <c r="AQ1202" s="213"/>
      <c r="AR1202" s="213"/>
      <c r="AS1202" s="213"/>
      <c r="AT1202" s="213"/>
      <c r="AU1202" s="213"/>
      <c r="AV1202" s="213"/>
      <c r="AW1202" s="213"/>
      <c r="AX1202" s="213"/>
      <c r="AY1202" s="213"/>
      <c r="AZ1202" s="213"/>
      <c r="BA1202" s="213"/>
      <c r="BB1202" s="213"/>
      <c r="BC1202" s="213"/>
      <c r="BD1202" s="213"/>
    </row>
    <row r="1203">
      <c r="A1203" s="213">
        <f>IFERROR(__xludf.DUMMYFUNCTION("""COMPUTED_VALUE"""),2358.0)</f>
        <v>2358</v>
      </c>
      <c r="B1203" s="213" t="str">
        <f>IFERROR(__xludf.DUMMYFUNCTION("""COMPUTED_VALUE"""),"MANUEL ANTONIO MESONES MURO")</f>
        <v>MANUEL ANTONIO MESONES MURO</v>
      </c>
      <c r="C1203" s="213" t="str">
        <f>IFERROR(__xludf.DUMMYFUNCTION("""COMPUTED_VALUE"""),"TALLER SFT DE INDUSTRIA DEL VESTIDO")</f>
        <v>TALLER SFT DE INDUSTRIA DEL VESTIDO</v>
      </c>
      <c r="D1203" s="213" t="str">
        <f>IFERROR(__xludf.DUMMYFUNCTION("""COMPUTED_VALUE"""),"PEDAGOGICO")</f>
        <v>PEDAGOGICO</v>
      </c>
      <c r="E1203" s="213" t="str">
        <f>IFERROR(__xludf.DUMMYFUNCTION("""COMPUTED_VALUE"""),"COM-204")</f>
        <v>COM-204</v>
      </c>
      <c r="F1203" s="213" t="str">
        <f>IFERROR(__xludf.DUMMYFUNCTION("""COMPUTED_VALUE"""),"COM-204")</f>
        <v>COM-204</v>
      </c>
      <c r="G1203" s="213"/>
      <c r="H1203" s="213" t="str">
        <f>IFERROR(__xludf.DUMMYFUNCTION("""COMPUTED_VALUE"""),"LIENZO MAGNÉTICO PARA APLICAR METODOLOGÍAS DE DISEÑO")</f>
        <v>LIENZO MAGNÉTICO PARA APLICAR METODOLOGÍAS DE DISEÑO</v>
      </c>
      <c r="I1203" s="213" t="str">
        <f>IFERROR(__xludf.DUMMYFUNCTION("""COMPUTED_VALUE"""),"Calidad Física
· 01 lienzo (tablero o panel) plegable receptivo al magnetismo por ambos lados, de 120 x 80 cm como mínimo. Es impreso a colores, con protección ultravioleta, por uno de sus lados permite el trabajo magnético y por el otro lado se puede esc"&amp;"ribir y borrar con plumones.
· 5 juegos de tarjetas magnéticas de 100 mm x 100 mm x 5 mm, cada juego tienen un color diferente y corresponde a una técnica de diseño. Se puede escribir y borrar sobre ellas y está compuesto como mínimo de 10 tarjetas magnét"&amp;"icas.
· 5 juegos de tarjetas magnéticas de 200 mm x 15 mm x 5mm, cada juego tiene un color diferente y corresponde a una técnica de diseño. Se puede escribir y borrar sobre ellas y está compuesto como mínimo de 10 tarjetas magnéticas.
· 10 Fichas tamaño A"&amp;"4 (210 mm x 297 mm) impresas a todo color en papel couche de 350 gr/m2, enmicados por ambos lados y con bordes boleados que contiene información sobre las técnicas de diseño y su proceso de aplicación.
· Plumones de 4 colores (rojo, azul, verde y negro)
·"&amp;" El material se presenta en una caja de cartón, con la imagen y descripción del material interactivo.
Calidad pedagógica
· Las tarjetas están organizadas en 10 técnicas de la metodología Design Thinking
· Cada juego de tarjetas desarrolla una técnica de l"&amp;"a metodología Design Thinking
· Entre las posibles técnicas del Design Thinking: brainwritting, ¿Qué, cómo y por qué?, mapa de la empatía, lienzo de propuesta de valor, SCAMPER, PIN, 5 por qué, diagrama de causa efecto, diagrama de prioridades, diagrama d"&amp;"e Porter, entre otros.
· Las fichas presentan la descripción de la técnica, protocolo para la aplicación de las 10 técnicas seleccionadas.")</f>
        <v>Calidad Física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mm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203" s="213">
        <f>IFERROR(__xludf.DUMMYFUNCTION("""COMPUTED_VALUE"""),3.0)</f>
        <v>3</v>
      </c>
      <c r="K1203" s="213" t="str">
        <f>IFERROR(__xludf.DUMMYFUNCTION("""COMPUTED_VALUE"""),"90 DÍAS CALENDARIO")</f>
        <v>90 DÍAS CALENDARIO</v>
      </c>
      <c r="L1203" s="213" t="str">
        <f>IFERROR(__xludf.DUMMYFUNCTION("""COMPUTED_VALUE"""),"")</f>
        <v/>
      </c>
      <c r="M1203" s="213">
        <f>IFERROR(__xludf.DUMMYFUNCTION("""COMPUTED_VALUE"""),1.0)</f>
        <v>1</v>
      </c>
      <c r="N1203" s="213">
        <f>IFERROR(__xludf.DUMMYFUNCTION("""COMPUTED_VALUE"""),4.0)</f>
        <v>4</v>
      </c>
      <c r="O1203" s="213">
        <f>IFERROR(__xludf.DUMMYFUNCTION("""COMPUTED_VALUE"""),4.0)</f>
        <v>4</v>
      </c>
      <c r="P1203" s="213"/>
      <c r="Q1203" s="213"/>
      <c r="R1203" s="213"/>
      <c r="S1203" s="213"/>
      <c r="T1203" s="213"/>
      <c r="U1203" s="213"/>
      <c r="V1203" s="213"/>
      <c r="W1203" s="213"/>
      <c r="X1203" s="213"/>
      <c r="Y1203" s="213"/>
      <c r="Z1203" s="213"/>
      <c r="AA1203" s="213"/>
      <c r="AB1203" s="213"/>
      <c r="AC1203" s="213"/>
      <c r="AD1203" s="213"/>
      <c r="AE1203" s="213"/>
      <c r="AF1203" s="213"/>
      <c r="AG1203" s="213"/>
      <c r="AH1203" s="213"/>
      <c r="AI1203" s="213"/>
      <c r="AJ1203" s="213"/>
      <c r="AK1203" s="213"/>
      <c r="AL1203" s="213"/>
      <c r="AM1203" s="213"/>
      <c r="AN1203" s="213"/>
      <c r="AO1203" s="213"/>
      <c r="AP1203" s="213"/>
      <c r="AQ1203" s="213"/>
      <c r="AR1203" s="213"/>
      <c r="AS1203" s="213"/>
      <c r="AT1203" s="213"/>
      <c r="AU1203" s="213"/>
      <c r="AV1203" s="213"/>
      <c r="AW1203" s="213"/>
      <c r="AX1203" s="213"/>
      <c r="AY1203" s="213"/>
      <c r="AZ1203" s="213"/>
      <c r="BA1203" s="213"/>
      <c r="BB1203" s="213"/>
      <c r="BC1203" s="213"/>
      <c r="BD1203" s="213"/>
    </row>
    <row r="1204">
      <c r="A1204" s="213">
        <f>IFERROR(__xludf.DUMMYFUNCTION("""COMPUTED_VALUE"""),2461.0)</f>
        <v>2461</v>
      </c>
      <c r="B1204" s="213" t="str">
        <f>IFERROR(__xludf.DUMMYFUNCTION("""COMPUTED_VALUE"""),"MANUEL ANTONIO MESONES MURO")</f>
        <v>MANUEL ANTONIO MESONES MURO</v>
      </c>
      <c r="C1204" s="213" t="str">
        <f>IFERROR(__xludf.DUMMYFUNCTION("""COMPUTED_VALUE"""),"TALLER SFT DE CONSTRUCCIONES METÁLICAS")</f>
        <v>TALLER SFT DE CONSTRUCCIONES METÁLICAS</v>
      </c>
      <c r="D1204" s="213" t="str">
        <f>IFERROR(__xludf.DUMMYFUNCTION("""COMPUTED_VALUE"""),"MOBILIARIO")</f>
        <v>MOBILIARIO</v>
      </c>
      <c r="E1204" s="213" t="str">
        <f>IFERROR(__xludf.DUMMYFUNCTION("""COMPUTED_VALUE"""),"MOB-140")</f>
        <v>MOB-140</v>
      </c>
      <c r="F1204" s="213" t="str">
        <f>IFERROR(__xludf.DUMMYFUNCTION("""COMPUTED_VALUE"""),"MOB-140")</f>
        <v>MOB-140</v>
      </c>
      <c r="G1204" s="213"/>
      <c r="H1204" s="213" t="str">
        <f>IFERROR(__xludf.DUMMYFUNCTION("""COMPUTED_VALUE"""),"MESA DISCAPACITADO")</f>
        <v>MESA DISCAPACITADO</v>
      </c>
      <c r="I1204"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204" s="213">
        <f>IFERROR(__xludf.DUMMYFUNCTION("""COMPUTED_VALUE"""),3.0)</f>
        <v>3</v>
      </c>
      <c r="K1204" s="213" t="str">
        <f>IFERROR(__xludf.DUMMYFUNCTION("""COMPUTED_VALUE"""),"90 DÍAS CALENDARIO")</f>
        <v>90 DÍAS CALENDARIO</v>
      </c>
      <c r="L1204" s="213" t="str">
        <f>IFERROR(__xludf.DUMMYFUNCTION("""COMPUTED_VALUE"""),"")</f>
        <v/>
      </c>
      <c r="M1204" s="213">
        <f>IFERROR(__xludf.DUMMYFUNCTION("""COMPUTED_VALUE"""),1.0)</f>
        <v>1</v>
      </c>
      <c r="N1204" s="213">
        <f>IFERROR(__xludf.DUMMYFUNCTION("""COMPUTED_VALUE"""),1.0)</f>
        <v>1</v>
      </c>
      <c r="O1204" s="213">
        <f>IFERROR(__xludf.DUMMYFUNCTION("""COMPUTED_VALUE"""),1.0)</f>
        <v>1</v>
      </c>
      <c r="P1204" s="213"/>
      <c r="Q1204" s="213"/>
      <c r="R1204" s="213"/>
      <c r="S1204" s="213"/>
      <c r="T1204" s="213"/>
      <c r="U1204" s="213"/>
      <c r="V1204" s="213"/>
      <c r="W1204" s="213"/>
      <c r="X1204" s="213"/>
      <c r="Y1204" s="213"/>
      <c r="Z1204" s="213"/>
      <c r="AA1204" s="213"/>
      <c r="AB1204" s="213"/>
      <c r="AC1204" s="213"/>
      <c r="AD1204" s="213"/>
      <c r="AE1204" s="213"/>
      <c r="AF1204" s="213"/>
      <c r="AG1204" s="213"/>
      <c r="AH1204" s="213"/>
      <c r="AI1204" s="213"/>
      <c r="AJ1204" s="213"/>
      <c r="AK1204" s="213"/>
      <c r="AL1204" s="213"/>
      <c r="AM1204" s="213"/>
      <c r="AN1204" s="213"/>
      <c r="AO1204" s="213"/>
      <c r="AP1204" s="213"/>
      <c r="AQ1204" s="213"/>
      <c r="AR1204" s="213"/>
      <c r="AS1204" s="213"/>
      <c r="AT1204" s="213"/>
      <c r="AU1204" s="213"/>
      <c r="AV1204" s="213"/>
      <c r="AW1204" s="213"/>
      <c r="AX1204" s="213"/>
      <c r="AY1204" s="213"/>
      <c r="AZ1204" s="213"/>
      <c r="BA1204" s="213"/>
      <c r="BB1204" s="213"/>
      <c r="BC1204" s="213"/>
      <c r="BD1204" s="213"/>
    </row>
    <row r="1205">
      <c r="A1205" s="213">
        <f>IFERROR(__xludf.DUMMYFUNCTION("""COMPUTED_VALUE"""),2547.0)</f>
        <v>2547</v>
      </c>
      <c r="B1205" s="213" t="str">
        <f>IFERROR(__xludf.DUMMYFUNCTION("""COMPUTED_VALUE"""),"MANUEL ANTONIO MESONES MURO")</f>
        <v>MANUEL ANTONIO MESONES MURO</v>
      </c>
      <c r="C1205" s="213" t="str">
        <f>IFERROR(__xludf.DUMMYFUNCTION("""COMPUTED_VALUE"""),"TALLER SFT DE EBANISTERÍA")</f>
        <v>TALLER SFT DE EBANISTERÍA</v>
      </c>
      <c r="D1205" s="213" t="str">
        <f>IFERROR(__xludf.DUMMYFUNCTION("""COMPUTED_VALUE"""),"PEDAGOGICO")</f>
        <v>PEDAGOGICO</v>
      </c>
      <c r="E1205" s="213" t="str">
        <f>IFERROR(__xludf.DUMMYFUNCTION("""COMPUTED_VALUE"""),"COM-204")</f>
        <v>COM-204</v>
      </c>
      <c r="F1205" s="213" t="str">
        <f>IFERROR(__xludf.DUMMYFUNCTION("""COMPUTED_VALUE"""),"COM-204")</f>
        <v>COM-204</v>
      </c>
      <c r="G1205" s="213"/>
      <c r="H1205" s="213" t="str">
        <f>IFERROR(__xludf.DUMMYFUNCTION("""COMPUTED_VALUE"""),"LIENZO MAGNÉTICO PARA APLICAR METODOLOGÍAS DE DISEÑO")</f>
        <v>LIENZO MAGNÉTICO PARA APLICAR METODOLOGÍAS DE DISEÑO</v>
      </c>
      <c r="I1205" s="213" t="str">
        <f>IFERROR(__xludf.DUMMYFUNCTION("""COMPUTED_VALUE"""),"Calidad Física
· 01 lienzo (tablero o panel) plegable receptivo al magnetismo por ambos lados, de 120 x 80 cm como mínimo. Es impreso a colores, con protección ultravioleta, por uno de sus lados permite el trabajo magnético y por el otro lado se puede esc"&amp;"ribir y borrar con plumones.
· 5 juegos de tarjetas magnéticas de 100 mm x 100 x 5 mm, cada juego tienen un color diferente y corresponde a una técnica de diseño. Se puede escribir y borrar sobre ellas y está compuesto como mínimo de 10 tarjetas magnética"&amp;"s.
· 5 juegos de tarjetas magnéticas de 200 mm x 15 mm x 5mm, cada juego tiene un color diferente y corresponde a una técnica de diseño. Se puede escribir y borrar sobre ellas y está compuesto como mínimo de 10 tarjetas magnéticas.
· 10 Fichas tamaño A4 ("&amp;"210 mm x 297 mm) impresas a todo color en papel couche de 350 gr/m2, enmicados por ambos lados y con bordes boleados que contiene información sobre las técnicas de diseño y su proceso de aplicación.
· Plumones de 4 colores (rojo, azul, verde y negro)
· El"&amp;" material se presenta en una caja de cartón, con la imagen y descripción del material interactivo. Calidad pedagógica
· Las tarjetas están organizadas en 10 técnicas de ala metodología Design Thinking
· Cada juego de tarjetas desarrolla una técnica de la "&amp;"metodología Design Thinking
· Entre las posibles técnicas del Design Thinking: brainwritting, ¿Qué, cómo y por qué?, mapa de la empatía, lienzo de propuesta de valor, SCAMPER, PIN, 5 por qué, diagrama de causa efecto, diagrama de prioridades, diagrama de "&amp;"Porter, entre otros.
· Las fichas presentan la descripción de la técnica, protocolo para la aplicación de las 10 técnicas seleccionadas.")</f>
        <v>Calidad Física
· 01 lienzo (tablero o panel) plegable receptivo al magnetismo por ambos lados, de 120 x 80 cm como mínimo. Es impreso a colores, con protección ultravioleta, por uno de sus lados permite el trabajo magnético y por el otro lado se puede escribir y borrar con plumones.
· 5 juegos de tarjetas magnéticas de 100 mm x 100 x 5 mm, cada juego tienen un color diferente y corresponde a una técnica de diseño. Se puede escribir y borrar sobre ellas y está compuesto como mínimo de 10 tarjetas magnéticas.
· 5 juegos de tarjetas magnéticas de 200 mm x 15 mm x 5mm, cada juego tiene un color diferente y corresponde a una técnica de diseño. Se puede escribir y borrar sobre ellas y está compuesto como mínimo de 10 tarjetas magnéticas.
· 10 Fichas tamaño A4 (210 mm x 297 mm) impresas a todo color en papel couche de 350 gr/m2, enmicados por ambos lados y con bordes boleados que contiene información sobre las técnicas de diseño y su proceso de aplicación.
· Plumones de 4 colores (rojo, azul, verde y negro)
· El material se presenta en una caja de cartón, con la imagen y descripción del material interactivo. Calidad pedagógica
· Las tarjetas están organizadas en 10 técnicas de ala metodología Design Thinking
· Cada juego de tarjetas desarrolla una técnica de la metodología Design Thinking
· Entre las posibles técnicas del Design Thinking: brainwritting, ¿Qué, cómo y por qué?, mapa de la empatía, lienzo de propuesta de valor, SCAMPER, PIN, 5 por qué, diagrama de causa efecto, diagrama de prioridades, diagrama de Porter, entre otros.
· Las fichas presentan la descripción de la técnica, protocolo para la aplicación de las 10 técnicas seleccionadas.</v>
      </c>
      <c r="J1205" s="213">
        <f>IFERROR(__xludf.DUMMYFUNCTION("""COMPUTED_VALUE"""),3.0)</f>
        <v>3</v>
      </c>
      <c r="K1205" s="213" t="str">
        <f>IFERROR(__xludf.DUMMYFUNCTION("""COMPUTED_VALUE"""),"90 DÍAS CALENDARIO")</f>
        <v>90 DÍAS CALENDARIO</v>
      </c>
      <c r="L1205" s="213" t="str">
        <f>IFERROR(__xludf.DUMMYFUNCTION("""COMPUTED_VALUE"""),"")</f>
        <v/>
      </c>
      <c r="M1205" s="213">
        <f>IFERROR(__xludf.DUMMYFUNCTION("""COMPUTED_VALUE"""),1.0)</f>
        <v>1</v>
      </c>
      <c r="N1205" s="213">
        <f>IFERROR(__xludf.DUMMYFUNCTION("""COMPUTED_VALUE"""),4.0)</f>
        <v>4</v>
      </c>
      <c r="O1205" s="213">
        <f>IFERROR(__xludf.DUMMYFUNCTION("""COMPUTED_VALUE"""),4.0)</f>
        <v>4</v>
      </c>
      <c r="P1205" s="213"/>
      <c r="Q1205" s="213"/>
      <c r="R1205" s="213"/>
      <c r="S1205" s="213"/>
      <c r="T1205" s="213"/>
      <c r="U1205" s="213"/>
      <c r="V1205" s="213"/>
      <c r="W1205" s="213"/>
      <c r="X1205" s="213"/>
      <c r="Y1205" s="213"/>
      <c r="Z1205" s="213"/>
      <c r="AA1205" s="213"/>
      <c r="AB1205" s="213"/>
      <c r="AC1205" s="213"/>
      <c r="AD1205" s="213"/>
      <c r="AE1205" s="213"/>
      <c r="AF1205" s="213"/>
      <c r="AG1205" s="213"/>
      <c r="AH1205" s="213"/>
      <c r="AI1205" s="213"/>
      <c r="AJ1205" s="213"/>
      <c r="AK1205" s="213"/>
      <c r="AL1205" s="213"/>
      <c r="AM1205" s="213"/>
      <c r="AN1205" s="213"/>
      <c r="AO1205" s="213"/>
      <c r="AP1205" s="213"/>
      <c r="AQ1205" s="213"/>
      <c r="AR1205" s="213"/>
      <c r="AS1205" s="213"/>
      <c r="AT1205" s="213"/>
      <c r="AU1205" s="213"/>
      <c r="AV1205" s="213"/>
      <c r="AW1205" s="213"/>
      <c r="AX1205" s="213"/>
      <c r="AY1205" s="213"/>
      <c r="AZ1205" s="213"/>
      <c r="BA1205" s="213"/>
      <c r="BB1205" s="213"/>
      <c r="BC1205" s="213"/>
      <c r="BD1205" s="213"/>
    </row>
    <row r="1206">
      <c r="A1206" s="213">
        <f>IFERROR(__xludf.DUMMYFUNCTION("""COMPUTED_VALUE"""),466.0)</f>
        <v>466</v>
      </c>
      <c r="B1206" s="213" t="str">
        <f>IFERROR(__xludf.DUMMYFUNCTION("""COMPUTED_VALUE"""),"2026 SIMON BOLIVAR")</f>
        <v>2026 SIMON BOLIVAR</v>
      </c>
      <c r="C1206" s="213" t="str">
        <f>IFERROR(__xludf.DUMMYFUNCTION("""COMPUTED_VALUE"""),"TALLER SFT DE INDUSTRIA ALIMENTARIA")</f>
        <v>TALLER SFT DE INDUSTRIA ALIMENTARIA</v>
      </c>
      <c r="D1206" s="213" t="str">
        <f>IFERROR(__xludf.DUMMYFUNCTION("""COMPUTED_VALUE"""),"PEDAGOGICO")</f>
        <v>PEDAGOGICO</v>
      </c>
      <c r="E1206" s="213" t="str">
        <f>IFERROR(__xludf.DUMMYFUNCTION("""COMPUTED_VALUE"""),"COM-205")</f>
        <v>COM-205</v>
      </c>
      <c r="F1206" s="213" t="str">
        <f>IFERROR(__xludf.DUMMYFUNCTION("""COMPUTED_VALUE"""),"COM-205")</f>
        <v>COM-205</v>
      </c>
      <c r="G1206" s="213"/>
      <c r="H1206" s="213" t="str">
        <f>IFERROR(__xludf.DUMMYFUNCTION("""COMPUTED_VALUE"""),"LIENZO MAGNÉTICO PARA DISEÑAR FLUJOGRAMAS DE LA PRODUCCIÓN (DOP Y DAP)")</f>
        <v>LIENZO MAGNÉTICO PARA DISEÑAR FLUJOGRAMAS DE LA PRODUCCIÓN (DOP Y DAP)</v>
      </c>
      <c r="I1206" s="213" t="str">
        <f>IFERROR(__xludf.DUMMYFUNCTION("""COMPUTED_VALUE"""),"· Base magnética Tamaño A2 (420 mm x 594 mm), tablero laminado, la base es de color banco, por uno de sus lados permite el trabajo magnético y por el otro lado se puede escribir y borrar con plumones
· Contiene piezas magnéticas que tienen la forma de los"&amp;" símbolos de los diagramas de flujo del sistema ISO, 15 unidades de cada símbolo
· Contiene piezas magnéticas que tienen la forma de los símbolos de los diagramas de flujo del sistema ASME, 15 unidades de cada símbolo
· Contiene piezas magnéticas que tien"&amp;"en la forma de los símbolos de los diagramas de flujo del sistema ANSI, 15 unidades de cada símbolo
· Plumones de 4 colores (rojo, azul, verde y negro)
· Fichas tamaño A4 (210 mm x 297 mm) impresas a todo color en papel couche de 350 gr/m2, enmicados por "&amp;"ambos lados y con bordes boleados que contiene:
- Ficha 1. Descripción del sistema ISO, de sus símbolos y un ejemplo de aplicación.
- Ficha 2. Descripción del sistema ASME, de sus símbolos y un ejemplo de aplicación.
- Ficha 3. Descripción del sistema ANS"&amp;"I, de sus símbolos y un ejemplo de aplicación.
- Ficha 4. Diagrama de operaciones y procesos: Pautas para la elaboración del DOP y un ejemplo.
- Ficha 5. Diagrama de análisis de procesos: Pautas para la elaboración del DAP y un ejemplo
· El material se pr"&amp;"esenta en una caja de cartón, con la imagen y descripción del material interactivo.")</f>
        <v>· Base magnética Tamaño A2 (420 mm x 594 mm), tablero laminado, la base es de color banco, por uno de sus lados permite el trabajo magnético y por el otro lado se puede escribir y borrar con plumones
· Contiene piezas magnéticas que tienen la forma de los símbolos de los diagramas de flujo del sistema ISO, 15 unidades de cada símbolo
· Contiene piezas magnéticas que tienen la forma de los símbolos de los diagramas de flujo del sistema ASME, 15 unidades de cada símbolo
· Contiene piezas magnéticas que tienen la forma de los símbolos de los diagramas de flujo del sistema ANSI, 15 unidades de cada símbolo
· Plumones de 4 colores (rojo, azul, verde y negro)
· Fichas tamaño A4 (210 mm x 297 mm) impresas a todo color en papel couche de 350 gr/m2, enmicados por ambos lados y con bordes boleados que contiene:
- Ficha 1. Descripción del sistema ISO, de sus símbolos y un ejemplo de aplicación.
- Ficha 2. Descripción del sistema ASME, de sus símbolos y un ejemplo de aplicación.
- Ficha 3. Descripción del sistema ANSI, de sus símbolos y un ejemplo de aplicación.
- Ficha 4. Diagrama de operaciones y procesos: Pautas para la elaboración del DOP y un ejemplo.
- Ficha 5. Diagrama de análisis de procesos: Pautas para la elaboración del DAP y un ejemplo
· El material se presenta en una caja de cartón, con la imagen y descripción del material interactivo.</v>
      </c>
      <c r="J1206" s="213">
        <f>IFERROR(__xludf.DUMMYFUNCTION("""COMPUTED_VALUE"""),3.0)</f>
        <v>3</v>
      </c>
      <c r="K1206" s="213" t="str">
        <f>IFERROR(__xludf.DUMMYFUNCTION("""COMPUTED_VALUE"""),"90 DÍAS CALENDARIO")</f>
        <v>90 DÍAS CALENDARIO</v>
      </c>
      <c r="L1206" s="213" t="str">
        <f>IFERROR(__xludf.DUMMYFUNCTION("""COMPUTED_VALUE"""),"")</f>
        <v/>
      </c>
      <c r="M1206" s="213">
        <f>IFERROR(__xludf.DUMMYFUNCTION("""COMPUTED_VALUE"""),1.0)</f>
        <v>1</v>
      </c>
      <c r="N1206" s="213">
        <f>IFERROR(__xludf.DUMMYFUNCTION("""COMPUTED_VALUE"""),4.0)</f>
        <v>4</v>
      </c>
      <c r="O1206" s="213">
        <f>IFERROR(__xludf.DUMMYFUNCTION("""COMPUTED_VALUE"""),4.0)</f>
        <v>4</v>
      </c>
      <c r="P1206" s="213"/>
      <c r="Q1206" s="213"/>
      <c r="R1206" s="213"/>
      <c r="S1206" s="213"/>
      <c r="T1206" s="213"/>
      <c r="U1206" s="213"/>
      <c r="V1206" s="213"/>
      <c r="W1206" s="213"/>
      <c r="X1206" s="213"/>
      <c r="Y1206" s="213"/>
      <c r="Z1206" s="213"/>
      <c r="AA1206" s="213"/>
      <c r="AB1206" s="213"/>
      <c r="AC1206" s="213"/>
      <c r="AD1206" s="213"/>
      <c r="AE1206" s="213"/>
      <c r="AF1206" s="213"/>
      <c r="AG1206" s="213"/>
      <c r="AH1206" s="213"/>
      <c r="AI1206" s="213"/>
      <c r="AJ1206" s="213"/>
      <c r="AK1206" s="213"/>
      <c r="AL1206" s="213"/>
      <c r="AM1206" s="213"/>
      <c r="AN1206" s="213"/>
      <c r="AO1206" s="213"/>
      <c r="AP1206" s="213"/>
      <c r="AQ1206" s="213"/>
      <c r="AR1206" s="213"/>
      <c r="AS1206" s="213"/>
      <c r="AT1206" s="213"/>
      <c r="AU1206" s="213"/>
      <c r="AV1206" s="213"/>
      <c r="AW1206" s="213"/>
      <c r="AX1206" s="213"/>
      <c r="AY1206" s="213"/>
      <c r="AZ1206" s="213"/>
      <c r="BA1206" s="213"/>
      <c r="BB1206" s="213"/>
      <c r="BC1206" s="213"/>
      <c r="BD1206" s="213"/>
    </row>
    <row r="1207">
      <c r="A1207" s="213">
        <f>IFERROR(__xludf.DUMMYFUNCTION("""COMPUTED_VALUE"""),629.0)</f>
        <v>629</v>
      </c>
      <c r="B1207" s="213" t="str">
        <f>IFERROR(__xludf.DUMMYFUNCTION("""COMPUTED_VALUE"""),"6049 RICARDO PALMA")</f>
        <v>6049 RICARDO PALMA</v>
      </c>
      <c r="C1207" s="213" t="str">
        <f>IFERROR(__xludf.DUMMYFUNCTION("""COMPUTED_VALUE"""),"TALLER SFT DE ELECTRÓNICA")</f>
        <v>TALLER SFT DE ELECTRÓNICA</v>
      </c>
      <c r="D1207" s="213" t="str">
        <f>IFERROR(__xludf.DUMMYFUNCTION("""COMPUTED_VALUE"""),"PEDAGOGICO")</f>
        <v>PEDAGOGICO</v>
      </c>
      <c r="E1207" s="213" t="str">
        <f>IFERROR(__xludf.DUMMYFUNCTION("""COMPUTED_VALUE"""),"COM-205")</f>
        <v>COM-205</v>
      </c>
      <c r="F1207" s="213" t="str">
        <f>IFERROR(__xludf.DUMMYFUNCTION("""COMPUTED_VALUE"""),"COM-205")</f>
        <v>COM-205</v>
      </c>
      <c r="G1207" s="213"/>
      <c r="H1207" s="213" t="str">
        <f>IFERROR(__xludf.DUMMYFUNCTION("""COMPUTED_VALUE"""),"LIENZO MAGNÉTICO PARA DISEÑAR FLUJOGRAMAS DE LA PRODUCCIÓN (DOP Y DAP)")</f>
        <v>LIENZO MAGNÉTICO PARA DISEÑAR FLUJOGRAMAS DE LA PRODUCCIÓN (DOP Y DAP)</v>
      </c>
      <c r="I1207" s="213" t="str">
        <f>IFERROR(__xludf.DUMMYFUNCTION("""COMPUTED_VALUE"""),"· Base magnética Tamaño A2 (420 mm x 594 mm), tablero laminado, la base es de color banco, por uno de sus lados permite el trabajo magnético y por el otro lado se puede escribir y borrar con plumones.
· Contiene piezas magnéticas que tienen la forma de lo"&amp;"s símbolos de los diagramas de flujo del sistema ISO, 15 unidades de cada símbolo
· Contiene piezas magnéticas que tienen la forma de los símbolos de los diagramas de flujo del sistema ASME, 15 unidades de cada símbolo
· Contiene piezas magnéticas que tie"&amp;"nen la forma de los símbolos de los diagramas de flujo del sistema ANSI, 15 unidades de cada símbolo
· Plumones de 4 colores (rojo, azul, verde y negro)
· Fichas tamaño A4 (210 mm x 297 mm) impresas a todo color en papel couche de 350 gr/m2, enmicados por"&amp;" ambos lados y con bordes boleados que contiene:
- Ficha 1. Descripción del sistema ISO, de sus símbolos y un ejemplo de aplicación.
- Ficha 2. Descripción del sistema ASME, de sus símbolos y un ejemplo de aplicación.
- Ficha 3. Descripción del sistema AN"&amp;"SI, de sus símbolos y un ejemplo de aplicación.
- Ficha 4. Diagrama de operaciones y procesos: Pautas para la elaboración del DOP y un ejemplo.
- Ficha 5. Diagrama de análisis de procesos: Pautas para la elaboración del DAP y un ejemplo
· El material se p"&amp;"resenta en una caja de cartón, con la imagen y descripción del material interactivo.")</f>
        <v>· Base magnética Tamaño A2 (420 mm x 594 mm), tablero laminado, la base es de color banco, por uno de sus lados permite el trabajo magnético y por el otro lado se puede escribir y borrar con plumones.
· Contiene piezas magnéticas que tienen la forma de los símbolos de los diagramas de flujo del sistema ISO, 15 unidades de cada símbolo
· Contiene piezas magnéticas que tienen la forma de los símbolos de los diagramas de flujo del sistema ASME, 15 unidades de cada símbolo
· Contiene piezas magnéticas que tienen la forma de los símbolos de los diagramas de flujo del sistema ANSI, 15 unidades de cada símbolo
· Plumones de 4 colores (rojo, azul, verde y negro)
· Fichas tamaño A4 (210 mm x 297 mm) impresas a todo color en papel couche de 350 gr/m2, enmicados por ambos lados y con bordes boleados que contiene:
- Ficha 1. Descripción del sistema ISO, de sus símbolos y un ejemplo de aplicación.
- Ficha 2. Descripción del sistema ASME, de sus símbolos y un ejemplo de aplicación.
- Ficha 3. Descripción del sistema ANSI, de sus símbolos y un ejemplo de aplicación.
- Ficha 4. Diagrama de operaciones y procesos: Pautas para la elaboración del DOP y un ejemplo.
- Ficha 5. Diagrama de análisis de procesos: Pautas para la elaboración del DAP y un ejemplo
· El material se presenta en una caja de cartón, con la imagen y descripción del material interactivo.</v>
      </c>
      <c r="J1207" s="213">
        <f>IFERROR(__xludf.DUMMYFUNCTION("""COMPUTED_VALUE"""),3.0)</f>
        <v>3</v>
      </c>
      <c r="K1207" s="213" t="str">
        <f>IFERROR(__xludf.DUMMYFUNCTION("""COMPUTED_VALUE"""),"90 DÍAS CALENDARIO")</f>
        <v>90 DÍAS CALENDARIO</v>
      </c>
      <c r="L1207" s="213" t="str">
        <f>IFERROR(__xludf.DUMMYFUNCTION("""COMPUTED_VALUE"""),"")</f>
        <v/>
      </c>
      <c r="M1207" s="213">
        <f>IFERROR(__xludf.DUMMYFUNCTION("""COMPUTED_VALUE"""),1.0)</f>
        <v>1</v>
      </c>
      <c r="N1207" s="213">
        <f>IFERROR(__xludf.DUMMYFUNCTION("""COMPUTED_VALUE"""),4.0)</f>
        <v>4</v>
      </c>
      <c r="O1207" s="213">
        <f>IFERROR(__xludf.DUMMYFUNCTION("""COMPUTED_VALUE"""),4.0)</f>
        <v>4</v>
      </c>
      <c r="P1207" s="213"/>
      <c r="Q1207" s="213"/>
      <c r="R1207" s="213"/>
      <c r="S1207" s="213"/>
      <c r="T1207" s="213"/>
      <c r="U1207" s="213"/>
      <c r="V1207" s="213"/>
      <c r="W1207" s="213"/>
      <c r="X1207" s="213"/>
      <c r="Y1207" s="213"/>
      <c r="Z1207" s="213"/>
      <c r="AA1207" s="213"/>
      <c r="AB1207" s="213"/>
      <c r="AC1207" s="213"/>
      <c r="AD1207" s="213"/>
      <c r="AE1207" s="213"/>
      <c r="AF1207" s="213"/>
      <c r="AG1207" s="213"/>
      <c r="AH1207" s="213"/>
      <c r="AI1207" s="213"/>
      <c r="AJ1207" s="213"/>
      <c r="AK1207" s="213"/>
      <c r="AL1207" s="213"/>
      <c r="AM1207" s="213"/>
      <c r="AN1207" s="213"/>
      <c r="AO1207" s="213"/>
      <c r="AP1207" s="213"/>
      <c r="AQ1207" s="213"/>
      <c r="AR1207" s="213"/>
      <c r="AS1207" s="213"/>
      <c r="AT1207" s="213"/>
      <c r="AU1207" s="213"/>
      <c r="AV1207" s="213"/>
      <c r="AW1207" s="213"/>
      <c r="AX1207" s="213"/>
      <c r="AY1207" s="213"/>
      <c r="AZ1207" s="213"/>
      <c r="BA1207" s="213"/>
      <c r="BB1207" s="213"/>
      <c r="BC1207" s="213"/>
      <c r="BD1207" s="213"/>
    </row>
    <row r="1208">
      <c r="A1208" s="213">
        <f>IFERROR(__xludf.DUMMYFUNCTION("""COMPUTED_VALUE"""),1256.0)</f>
        <v>1256</v>
      </c>
      <c r="B1208" s="213" t="str">
        <f>IFERROR(__xludf.DUMMYFUNCTION("""COMPUTED_VALUE"""),"GUILLERMO E. BILLINGHURST ")</f>
        <v>GUILLERMO E. BILLINGHURST </v>
      </c>
      <c r="C1208" s="213" t="str">
        <f>IFERROR(__xludf.DUMMYFUNCTION("""COMPUTED_VALUE"""),"TALLER SFT DE ELECTRICIDAD")</f>
        <v>TALLER SFT DE ELECTRICIDAD</v>
      </c>
      <c r="D1208" s="213" t="str">
        <f>IFERROR(__xludf.DUMMYFUNCTION("""COMPUTED_VALUE"""),"PEDAGOGICO")</f>
        <v>PEDAGOGICO</v>
      </c>
      <c r="E1208" s="213" t="str">
        <f>IFERROR(__xludf.DUMMYFUNCTION("""COMPUTED_VALUE"""),"COM-205")</f>
        <v>COM-205</v>
      </c>
      <c r="F1208" s="213" t="str">
        <f>IFERROR(__xludf.DUMMYFUNCTION("""COMPUTED_VALUE"""),"COM-205")</f>
        <v>COM-205</v>
      </c>
      <c r="G1208" s="213"/>
      <c r="H1208" s="213" t="str">
        <f>IFERROR(__xludf.DUMMYFUNCTION("""COMPUTED_VALUE"""),"LIENZO MAGNÉTICO PARA DISEÑAR FLUJOGRAMAS DE LA PRODUCCIÓN (DOP Y DAP)")</f>
        <v>LIENZO MAGNÉTICO PARA DISEÑAR FLUJOGRAMAS DE LA PRODUCCIÓN (DOP Y DAP)</v>
      </c>
      <c r="I1208" s="213" t="str">
        <f>IFERROR(__xludf.DUMMYFUNCTION("""COMPUTED_VALUE"""),"· Base magnética Tamaño A2 (420 mm x 594 mm), tablero laminado, la base es de color banco, por uno de sus lados permite el trabajo magnético y por el otro lado se puede escribir y borrar con plumones
· Contiene piezas magnéticas que tienen la forma de los"&amp;" símbolos de los diagramas de flujo del sistema ISO, 15 unidades de cada símbolo
· Contiene piezas magnéticas que tienen la forma de los símbolos de los diagramas de flujo del sistema ASME, 15 unidades de cada símbolo
· Contiene piezas magnéticas que tien"&amp;"en la forma de los símbolos de los diagramas de flujo del sistema ANSI, 15 unidades de cada símbolo
· Plumones de 4 colores (rojo, azul, verde y negro)
· Fichas tamaño A4 (210 mm x 297 mm) impresas a todo color en papel couche de 350 gr/m2, enmicados por "&amp;"ambos lados y con bordes boleados que contiene:
- Ficha 1. Descripción del sistema ISO, de sus símbolos y un ejemplo de aplicación.
- Ficha 2. Descripción del sistema ASME, de sus símbolos y un ejemplo de aplicación.
- Ficha 3. Descripción del sistema ANS"&amp;"I, de sus símbolos y un ejemplo de aplicación.
- Ficha 4. Diagrama de operaciones y procesos: Pautas para la elaboración del DOP y un ejemplo.
- Ficha 5. Diagrama de análisis de procesos: Pautas para la elaboración del DAP y un ejemplo
· El material se pr"&amp;"esenta en una caja de cartón, con la imagen y descripción del material interactivo.")</f>
        <v>· Base magnética Tamaño A2 (420 mm x 594 mm), tablero laminado, la base es de color banco, por uno de sus lados permite el trabajo magnético y por el otro lado se puede escribir y borrar con plumones
· Contiene piezas magnéticas que tienen la forma de los símbolos de los diagramas de flujo del sistema ISO, 15 unidades de cada símbolo
· Contiene piezas magnéticas que tienen la forma de los símbolos de los diagramas de flujo del sistema ASME, 15 unidades de cada símbolo
· Contiene piezas magnéticas que tienen la forma de los símbolos de los diagramas de flujo del sistema ANSI, 15 unidades de cada símbolo
· Plumones de 4 colores (rojo, azul, verde y negro)
· Fichas tamaño A4 (210 mm x 297 mm) impresas a todo color en papel couche de 350 gr/m2, enmicados por ambos lados y con bordes boleados que contiene:
- Ficha 1. Descripción del sistema ISO, de sus símbolos y un ejemplo de aplicación.
- Ficha 2. Descripción del sistema ASME, de sus símbolos y un ejemplo de aplicación.
- Ficha 3. Descripción del sistema ANSI, de sus símbolos y un ejemplo de aplicación.
- Ficha 4. Diagrama de operaciones y procesos: Pautas para la elaboración del DOP y un ejemplo.
- Ficha 5. Diagrama de análisis de procesos: Pautas para la elaboración del DAP y un ejemplo
· El material se presenta en una caja de cartón, con la imagen y descripción del material interactivo.</v>
      </c>
      <c r="J1208" s="213">
        <f>IFERROR(__xludf.DUMMYFUNCTION("""COMPUTED_VALUE"""),3.0)</f>
        <v>3</v>
      </c>
      <c r="K1208" s="213" t="str">
        <f>IFERROR(__xludf.DUMMYFUNCTION("""COMPUTED_VALUE"""),"90 DÍAS CALENDARIO")</f>
        <v>90 DÍAS CALENDARIO</v>
      </c>
      <c r="L1208" s="213" t="str">
        <f>IFERROR(__xludf.DUMMYFUNCTION("""COMPUTED_VALUE"""),"")</f>
        <v/>
      </c>
      <c r="M1208" s="213">
        <f>IFERROR(__xludf.DUMMYFUNCTION("""COMPUTED_VALUE"""),1.0)</f>
        <v>1</v>
      </c>
      <c r="N1208" s="213">
        <f>IFERROR(__xludf.DUMMYFUNCTION("""COMPUTED_VALUE"""),4.0)</f>
        <v>4</v>
      </c>
      <c r="O1208" s="213">
        <f>IFERROR(__xludf.DUMMYFUNCTION("""COMPUTED_VALUE"""),4.0)</f>
        <v>4</v>
      </c>
      <c r="P1208" s="213"/>
      <c r="Q1208" s="213"/>
      <c r="R1208" s="213"/>
      <c r="S1208" s="213"/>
      <c r="T1208" s="213"/>
      <c r="U1208" s="213"/>
      <c r="V1208" s="213"/>
      <c r="W1208" s="213"/>
      <c r="X1208" s="213"/>
      <c r="Y1208" s="213"/>
      <c r="Z1208" s="213"/>
      <c r="AA1208" s="213"/>
      <c r="AB1208" s="213"/>
      <c r="AC1208" s="213"/>
      <c r="AD1208" s="213"/>
      <c r="AE1208" s="213"/>
      <c r="AF1208" s="213"/>
      <c r="AG1208" s="213"/>
      <c r="AH1208" s="213"/>
      <c r="AI1208" s="213"/>
      <c r="AJ1208" s="213"/>
      <c r="AK1208" s="213"/>
      <c r="AL1208" s="213"/>
      <c r="AM1208" s="213"/>
      <c r="AN1208" s="213"/>
      <c r="AO1208" s="213"/>
      <c r="AP1208" s="213"/>
      <c r="AQ1208" s="213"/>
      <c r="AR1208" s="213"/>
      <c r="AS1208" s="213"/>
      <c r="AT1208" s="213"/>
      <c r="AU1208" s="213"/>
      <c r="AV1208" s="213"/>
      <c r="AW1208" s="213"/>
      <c r="AX1208" s="213"/>
      <c r="AY1208" s="213"/>
      <c r="AZ1208" s="213"/>
      <c r="BA1208" s="213"/>
      <c r="BB1208" s="213"/>
      <c r="BC1208" s="213"/>
      <c r="BD1208" s="213"/>
    </row>
    <row r="1209">
      <c r="A1209" s="213">
        <f>IFERROR(__xludf.DUMMYFUNCTION("""COMPUTED_VALUE"""),1688.0)</f>
        <v>1688</v>
      </c>
      <c r="B1209" s="213" t="str">
        <f>IFERROR(__xludf.DUMMYFUNCTION("""COMPUTED_VALUE"""),"GUILLERMO E. BILLINGHURST ")</f>
        <v>GUILLERMO E. BILLINGHURST </v>
      </c>
      <c r="C1209" s="213" t="str">
        <f>IFERROR(__xludf.DUMMYFUNCTION("""COMPUTED_VALUE"""),"TALLER SFT DE COMPUTACIÓN E INFORMÁTICA")</f>
        <v>TALLER SFT DE COMPUTACIÓN E INFORMÁTICA</v>
      </c>
      <c r="D1209" s="213" t="str">
        <f>IFERROR(__xludf.DUMMYFUNCTION("""COMPUTED_VALUE"""),"PEDAGOGICO")</f>
        <v>PEDAGOGICO</v>
      </c>
      <c r="E1209" s="213" t="str">
        <f>IFERROR(__xludf.DUMMYFUNCTION("""COMPUTED_VALUE"""),"COM-205")</f>
        <v>COM-205</v>
      </c>
      <c r="F1209" s="213" t="str">
        <f>IFERROR(__xludf.DUMMYFUNCTION("""COMPUTED_VALUE"""),"COM-205")</f>
        <v>COM-205</v>
      </c>
      <c r="G1209" s="213"/>
      <c r="H1209" s="213" t="str">
        <f>IFERROR(__xludf.DUMMYFUNCTION("""COMPUTED_VALUE"""),"LIENZO MAGNÉTICO PARA DISEÑAR FLUJOGRAMAS DE LA PRODUCCIÓN (DOP Y DAP)")</f>
        <v>LIENZO MAGNÉTICO PARA DISEÑAR FLUJOGRAMAS DE LA PRODUCCIÓN (DOP Y DAP)</v>
      </c>
      <c r="I1209" s="213"/>
      <c r="J1209" s="213">
        <f>IFERROR(__xludf.DUMMYFUNCTION("""COMPUTED_VALUE"""),3.0)</f>
        <v>3</v>
      </c>
      <c r="K1209" s="213" t="str">
        <f>IFERROR(__xludf.DUMMYFUNCTION("""COMPUTED_VALUE"""),"90 DÍAS CALENDARIO")</f>
        <v>90 DÍAS CALENDARIO</v>
      </c>
      <c r="L1209" s="213" t="str">
        <f>IFERROR(__xludf.DUMMYFUNCTION("""COMPUTED_VALUE"""),"")</f>
        <v/>
      </c>
      <c r="M1209" s="213">
        <f>IFERROR(__xludf.DUMMYFUNCTION("""COMPUTED_VALUE"""),1.0)</f>
        <v>1</v>
      </c>
      <c r="N1209" s="213">
        <f>IFERROR(__xludf.DUMMYFUNCTION("""COMPUTED_VALUE"""),4.0)</f>
        <v>4</v>
      </c>
      <c r="O1209" s="213">
        <f>IFERROR(__xludf.DUMMYFUNCTION("""COMPUTED_VALUE"""),4.0)</f>
        <v>4</v>
      </c>
      <c r="P1209" s="213"/>
      <c r="Q1209" s="213"/>
      <c r="R1209" s="213"/>
      <c r="S1209" s="213"/>
      <c r="T1209" s="213"/>
      <c r="U1209" s="213"/>
      <c r="V1209" s="213"/>
      <c r="W1209" s="213"/>
      <c r="X1209" s="213"/>
      <c r="Y1209" s="213"/>
      <c r="Z1209" s="213"/>
      <c r="AA1209" s="213"/>
      <c r="AB1209" s="213"/>
      <c r="AC1209" s="213"/>
      <c r="AD1209" s="213"/>
      <c r="AE1209" s="213"/>
      <c r="AF1209" s="213"/>
      <c r="AG1209" s="213"/>
      <c r="AH1209" s="213"/>
      <c r="AI1209" s="213"/>
      <c r="AJ1209" s="213"/>
      <c r="AK1209" s="213"/>
      <c r="AL1209" s="213"/>
      <c r="AM1209" s="213"/>
      <c r="AN1209" s="213"/>
      <c r="AO1209" s="213"/>
      <c r="AP1209" s="213"/>
      <c r="AQ1209" s="213"/>
      <c r="AR1209" s="213"/>
      <c r="AS1209" s="213"/>
      <c r="AT1209" s="213"/>
      <c r="AU1209" s="213"/>
      <c r="AV1209" s="213"/>
      <c r="AW1209" s="213"/>
      <c r="AX1209" s="213"/>
      <c r="AY1209" s="213"/>
      <c r="AZ1209" s="213"/>
      <c r="BA1209" s="213"/>
      <c r="BB1209" s="213"/>
      <c r="BC1209" s="213"/>
      <c r="BD1209" s="213"/>
    </row>
    <row r="1210">
      <c r="A1210" s="213">
        <f>IFERROR(__xludf.DUMMYFUNCTION("""COMPUTED_VALUE"""),1782.0)</f>
        <v>1782</v>
      </c>
      <c r="B1210" s="213" t="str">
        <f>IFERROR(__xludf.DUMMYFUNCTION("""COMPUTED_VALUE"""),"GUILLERMO E. BILLINGHURST ")</f>
        <v>GUILLERMO E. BILLINGHURST </v>
      </c>
      <c r="C1210" s="213" t="str">
        <f>IFERROR(__xludf.DUMMYFUNCTION("""COMPUTED_VALUE"""),"TALLER SFT DE EBANISTERÍA")</f>
        <v>TALLER SFT DE EBANISTERÍA</v>
      </c>
      <c r="D1210" s="213" t="str">
        <f>IFERROR(__xludf.DUMMYFUNCTION("""COMPUTED_VALUE"""),"PEDAGOGICO")</f>
        <v>PEDAGOGICO</v>
      </c>
      <c r="E1210" s="213" t="str">
        <f>IFERROR(__xludf.DUMMYFUNCTION("""COMPUTED_VALUE"""),"COM-205")</f>
        <v>COM-205</v>
      </c>
      <c r="F1210" s="213" t="str">
        <f>IFERROR(__xludf.DUMMYFUNCTION("""COMPUTED_VALUE"""),"COM-205")</f>
        <v>COM-205</v>
      </c>
      <c r="G1210" s="213"/>
      <c r="H1210" s="213" t="str">
        <f>IFERROR(__xludf.DUMMYFUNCTION("""COMPUTED_VALUE"""),"LIENZO MAGNÉTICO PARA DISEÑAR FLUJOGRAMAS DE LA PRODUCCIÓN (DOP Y DAP)")</f>
        <v>LIENZO MAGNÉTICO PARA DISEÑAR FLUJOGRAMAS DE LA PRODUCCIÓN (DOP Y DAP)</v>
      </c>
      <c r="I1210" s="213" t="str">
        <f>IFERROR(__xludf.DUMMYFUNCTION("""COMPUTED_VALUE"""),"· Base magnética Tamaño A2 (420 mm x 594 mm), tablero laminado, la base es de color banco, por uno de sus lados permite el trabajo magnético y por el otro lado se puede escribir y borrar con plumones
· Contiene piezas magnéticas que tienen la forma de los"&amp;" símbolos de los diagramas de flujo del sistema ISO, 15 unidades de cada símbolo
· Contiene piezas magnéticas que tienen la forma de los símbolos de los diagramas de flujo del sistema ASME, 15 unidades de cada símbolo
· Contiene piezas magnéticas que tien"&amp;"en la forma de los símbolos de los diagramas de flujo del sistema ANSI, 15 unidades de cada símbolo
· Plumones de 4 colores (rojo, azul, verde y negro)
· Fichas tamaño A4 (210 mm x 297 mm) impresas a todo color en papel couche de 350 gr/m2, enmicados por "&amp;"ambos lados y con bordes boleados que contiene:
- Ficha 1. Descripción del sistema ISO, de sus símbolos y un ejemplo de aplicación.
- Ficha 2. Descripción del sistema ASME, de sus símbolos y un ejemplo de aplicación.
- Ficha 3. Descripción del sistema ANS"&amp;"I, de sus símbolos y un ejemplo de aplicación.
- Ficha 4. Diagrama de operaciones y procesos: Pautas para la elaboración del DOP y un ejemplo.
- Ficha 5. Diagrama de análisis de procesos: Pautas para la elaboración del DAP y un ejemplo
· El material se pr"&amp;"esenta en una caja de cartón, con la imagen y descripción del material interactivo.")</f>
        <v>· Base magnética Tamaño A2 (420 mm x 594 mm), tablero laminado, la base es de color banco, por uno de sus lados permite el trabajo magnético y por el otro lado se puede escribir y borrar con plumones
· Contiene piezas magnéticas que tienen la forma de los símbolos de los diagramas de flujo del sistema ISO, 15 unidades de cada símbolo
· Contiene piezas magnéticas que tienen la forma de los símbolos de los diagramas de flujo del sistema ASME, 15 unidades de cada símbolo
· Contiene piezas magnéticas que tienen la forma de los símbolos de los diagramas de flujo del sistema ANSI, 15 unidades de cada símbolo
· Plumones de 4 colores (rojo, azul, verde y negro)
· Fichas tamaño A4 (210 mm x 297 mm) impresas a todo color en papel couche de 350 gr/m2, enmicados por ambos lados y con bordes boleados que contiene:
- Ficha 1. Descripción del sistema ISO, de sus símbolos y un ejemplo de aplicación.
- Ficha 2. Descripción del sistema ASME, de sus símbolos y un ejemplo de aplicación.
- Ficha 3. Descripción del sistema ANSI, de sus símbolos y un ejemplo de aplicación.
- Ficha 4. Diagrama de operaciones y procesos: Pautas para la elaboración del DOP y un ejemplo.
- Ficha 5. Diagrama de análisis de procesos: Pautas para la elaboración del DAP y un ejemplo
· El material se presenta en una caja de cartón, con la imagen y descripción del material interactivo.</v>
      </c>
      <c r="J1210" s="213">
        <f>IFERROR(__xludf.DUMMYFUNCTION("""COMPUTED_VALUE"""),3.0)</f>
        <v>3</v>
      </c>
      <c r="K1210" s="213" t="str">
        <f>IFERROR(__xludf.DUMMYFUNCTION("""COMPUTED_VALUE"""),"90 DÍAS CALENDARIO")</f>
        <v>90 DÍAS CALENDARIO</v>
      </c>
      <c r="L1210" s="213" t="str">
        <f>IFERROR(__xludf.DUMMYFUNCTION("""COMPUTED_VALUE"""),"")</f>
        <v/>
      </c>
      <c r="M1210" s="213">
        <f>IFERROR(__xludf.DUMMYFUNCTION("""COMPUTED_VALUE"""),1.0)</f>
        <v>1</v>
      </c>
      <c r="N1210" s="213">
        <f>IFERROR(__xludf.DUMMYFUNCTION("""COMPUTED_VALUE"""),4.0)</f>
        <v>4</v>
      </c>
      <c r="O1210" s="213">
        <f>IFERROR(__xludf.DUMMYFUNCTION("""COMPUTED_VALUE"""),4.0)</f>
        <v>4</v>
      </c>
      <c r="P1210" s="213"/>
      <c r="Q1210" s="213"/>
      <c r="R1210" s="213"/>
      <c r="S1210" s="213"/>
      <c r="T1210" s="213"/>
      <c r="U1210" s="213"/>
      <c r="V1210" s="213"/>
      <c r="W1210" s="213"/>
      <c r="X1210" s="213"/>
      <c r="Y1210" s="213"/>
      <c r="Z1210" s="213"/>
      <c r="AA1210" s="213"/>
      <c r="AB1210" s="213"/>
      <c r="AC1210" s="213"/>
      <c r="AD1210" s="213"/>
      <c r="AE1210" s="213"/>
      <c r="AF1210" s="213"/>
      <c r="AG1210" s="213"/>
      <c r="AH1210" s="213"/>
      <c r="AI1210" s="213"/>
      <c r="AJ1210" s="213"/>
      <c r="AK1210" s="213"/>
      <c r="AL1210" s="213"/>
      <c r="AM1210" s="213"/>
      <c r="AN1210" s="213"/>
      <c r="AO1210" s="213"/>
      <c r="AP1210" s="213"/>
      <c r="AQ1210" s="213"/>
      <c r="AR1210" s="213"/>
      <c r="AS1210" s="213"/>
      <c r="AT1210" s="213"/>
      <c r="AU1210" s="213"/>
      <c r="AV1210" s="213"/>
      <c r="AW1210" s="213"/>
      <c r="AX1210" s="213"/>
      <c r="AY1210" s="213"/>
      <c r="AZ1210" s="213"/>
      <c r="BA1210" s="213"/>
      <c r="BB1210" s="213"/>
      <c r="BC1210" s="213"/>
      <c r="BD1210" s="213"/>
    </row>
    <row r="1211">
      <c r="A1211" s="213">
        <f>IFERROR(__xludf.DUMMYFUNCTION("""COMPUTED_VALUE"""),1940.0)</f>
        <v>1940</v>
      </c>
      <c r="B1211" s="213" t="str">
        <f>IFERROR(__xludf.DUMMYFUNCTION("""COMPUTED_VALUE"""),"JOSE GRANDA")</f>
        <v>JOSE GRANDA</v>
      </c>
      <c r="C1211" s="213" t="str">
        <f>IFERROR(__xludf.DUMMYFUNCTION("""COMPUTED_VALUE"""),"TALLER SFT DE COMPUTACIÓN E INFORMÁTICA")</f>
        <v>TALLER SFT DE COMPUTACIÓN E INFORMÁTICA</v>
      </c>
      <c r="D1211" s="213" t="str">
        <f>IFERROR(__xludf.DUMMYFUNCTION("""COMPUTED_VALUE"""),"PEDAGOGICO")</f>
        <v>PEDAGOGICO</v>
      </c>
      <c r="E1211" s="213" t="str">
        <f>IFERROR(__xludf.DUMMYFUNCTION("""COMPUTED_VALUE"""),"COM-205")</f>
        <v>COM-205</v>
      </c>
      <c r="F1211" s="213" t="str">
        <f>IFERROR(__xludf.DUMMYFUNCTION("""COMPUTED_VALUE"""),"COM-205")</f>
        <v>COM-205</v>
      </c>
      <c r="G1211" s="213"/>
      <c r="H1211" s="213" t="str">
        <f>IFERROR(__xludf.DUMMYFUNCTION("""COMPUTED_VALUE"""),"LIENZO MAGNÉTICO PARA DISEÑAR FLUJOGRAMAS DE LA PRODUCCIÓN (DOP Y DAP)")</f>
        <v>LIENZO MAGNÉTICO PARA DISEÑAR FLUJOGRAMAS DE LA PRODUCCIÓN (DOP Y DAP)</v>
      </c>
      <c r="I1211" s="213"/>
      <c r="J1211" s="213">
        <f>IFERROR(__xludf.DUMMYFUNCTION("""COMPUTED_VALUE"""),3.0)</f>
        <v>3</v>
      </c>
      <c r="K1211" s="213" t="str">
        <f>IFERROR(__xludf.DUMMYFUNCTION("""COMPUTED_VALUE"""),"90 DÍAS CALENDARIO")</f>
        <v>90 DÍAS CALENDARIO</v>
      </c>
      <c r="L1211" s="213" t="str">
        <f>IFERROR(__xludf.DUMMYFUNCTION("""COMPUTED_VALUE"""),"")</f>
        <v/>
      </c>
      <c r="M1211" s="213">
        <f>IFERROR(__xludf.DUMMYFUNCTION("""COMPUTED_VALUE"""),1.0)</f>
        <v>1</v>
      </c>
      <c r="N1211" s="213">
        <f>IFERROR(__xludf.DUMMYFUNCTION("""COMPUTED_VALUE"""),4.0)</f>
        <v>4</v>
      </c>
      <c r="O1211" s="213">
        <f>IFERROR(__xludf.DUMMYFUNCTION("""COMPUTED_VALUE"""),4.0)</f>
        <v>4</v>
      </c>
      <c r="P1211" s="213"/>
      <c r="Q1211" s="213"/>
      <c r="R1211" s="213"/>
      <c r="S1211" s="213"/>
      <c r="T1211" s="213"/>
      <c r="U1211" s="213"/>
      <c r="V1211" s="213"/>
      <c r="W1211" s="213"/>
      <c r="X1211" s="213"/>
      <c r="Y1211" s="213"/>
      <c r="Z1211" s="213"/>
      <c r="AA1211" s="213"/>
      <c r="AB1211" s="213"/>
      <c r="AC1211" s="213"/>
      <c r="AD1211" s="213"/>
      <c r="AE1211" s="213"/>
      <c r="AF1211" s="213"/>
      <c r="AG1211" s="213"/>
      <c r="AH1211" s="213"/>
      <c r="AI1211" s="213"/>
      <c r="AJ1211" s="213"/>
      <c r="AK1211" s="213"/>
      <c r="AL1211" s="213"/>
      <c r="AM1211" s="213"/>
      <c r="AN1211" s="213"/>
      <c r="AO1211" s="213"/>
      <c r="AP1211" s="213"/>
      <c r="AQ1211" s="213"/>
      <c r="AR1211" s="213"/>
      <c r="AS1211" s="213"/>
      <c r="AT1211" s="213"/>
      <c r="AU1211" s="213"/>
      <c r="AV1211" s="213"/>
      <c r="AW1211" s="213"/>
      <c r="AX1211" s="213"/>
      <c r="AY1211" s="213"/>
      <c r="AZ1211" s="213"/>
      <c r="BA1211" s="213"/>
      <c r="BB1211" s="213"/>
      <c r="BC1211" s="213"/>
      <c r="BD1211" s="213"/>
    </row>
    <row r="1212">
      <c r="A1212" s="213">
        <f>IFERROR(__xludf.DUMMYFUNCTION("""COMPUTED_VALUE"""),2055.0)</f>
        <v>2055</v>
      </c>
      <c r="B1212" s="213" t="str">
        <f>IFERROR(__xludf.DUMMYFUNCTION("""COMPUTED_VALUE"""),"JOSE GRANDA")</f>
        <v>JOSE GRANDA</v>
      </c>
      <c r="C1212" s="213" t="str">
        <f>IFERROR(__xludf.DUMMYFUNCTION("""COMPUTED_VALUE"""),"TALLER SFT DE INDUSTRIA ALIMENTARIA")</f>
        <v>TALLER SFT DE INDUSTRIA ALIMENTARIA</v>
      </c>
      <c r="D1212" s="213" t="str">
        <f>IFERROR(__xludf.DUMMYFUNCTION("""COMPUTED_VALUE"""),"PEDAGOGICO")</f>
        <v>PEDAGOGICO</v>
      </c>
      <c r="E1212" s="213" t="str">
        <f>IFERROR(__xludf.DUMMYFUNCTION("""COMPUTED_VALUE"""),"COM-205")</f>
        <v>COM-205</v>
      </c>
      <c r="F1212" s="213" t="str">
        <f>IFERROR(__xludf.DUMMYFUNCTION("""COMPUTED_VALUE"""),"COM-205")</f>
        <v>COM-205</v>
      </c>
      <c r="G1212" s="213"/>
      <c r="H1212" s="213" t="str">
        <f>IFERROR(__xludf.DUMMYFUNCTION("""COMPUTED_VALUE"""),"LIENZO MAGNÉTICO PARA DISEÑAR FLUJOGRAMAS DE LA PRODUCCIÓN (DOP Y DAP)")</f>
        <v>LIENZO MAGNÉTICO PARA DISEÑAR FLUJOGRAMAS DE LA PRODUCCIÓN (DOP Y DAP)</v>
      </c>
      <c r="I1212" s="213" t="str">
        <f>IFERROR(__xludf.DUMMYFUNCTION("""COMPUTED_VALUE"""),"· Base magnética Tamaño A2 (420 mm x 594 mm), tablero laminado, la base es de color banco, por uno de sus lados permite el trabajo magnético y por el otro lado se puede escribir y borrar con plumones
· Contiene piezas magnéticas que tienen la forma de los"&amp;" símbolos de los diagramas de flujo del sistema ISO, 15 unidades de cada símbolo
· Contiene piezas magnéticas que tienen la forma de los símbolos de los diagramas de flujo del sistema ASME, 15 unidades de cada símbolo
· Contiene piezas magnéticas que tien"&amp;"en la forma de los símbolos de los diagramas de flujo del sistema ANSI, 15 unidades de cada símbolo
· Plumones de 4 colores (rojo, azul, verde y negro)
· Fichas tamaño A4 (210 mm x 297 mm) impresas a todo color en papel couche de 350 gr/m2, enmicados por "&amp;"ambos lados y con bordes boleados que contiene:
- Ficha 1. Descripción del sistema ISO, de sus símbolos y un ejemplo de aplicación.
- Ficha 2. Descripción del sistema ASME, de sus símbolos y un ejemplo de aplicación.
- Ficha 3. Descripción del sistema ANS"&amp;"I, de sus símbolos y un ejemplo de aplicación.
- Ficha 4. Diagrama de operaciones y procesos: Pautas para la elaboración del DOP y un ejemplo.
- Ficha 5. Diagrama de análisis de procesos: Pautas para la elaboración del DAP y un ejemplo
· El material se pr"&amp;"esenta en una caja de cartón, con la imagen y descripción del material interactivo.")</f>
        <v>· Base magnética Tamaño A2 (420 mm x 594 mm), tablero laminado, la base es de color banco, por uno de sus lados permite el trabajo magnético y por el otro lado se puede escribir y borrar con plumones
· Contiene piezas magnéticas que tienen la forma de los símbolos de los diagramas de flujo del sistema ISO, 15 unidades de cada símbolo
· Contiene piezas magnéticas que tienen la forma de los símbolos de los diagramas de flujo del sistema ASME, 15 unidades de cada símbolo
· Contiene piezas magnéticas que tienen la forma de los símbolos de los diagramas de flujo del sistema ANSI, 15 unidades de cada símbolo
· Plumones de 4 colores (rojo, azul, verde y negro)
· Fichas tamaño A4 (210 mm x 297 mm) impresas a todo color en papel couche de 350 gr/m2, enmicados por ambos lados y con bordes boleados que contiene:
- Ficha 1. Descripción del sistema ISO, de sus símbolos y un ejemplo de aplicación.
- Ficha 2. Descripción del sistema ASME, de sus símbolos y un ejemplo de aplicación.
- Ficha 3. Descripción del sistema ANSI, de sus símbolos y un ejemplo de aplicación.
- Ficha 4. Diagrama de operaciones y procesos: Pautas para la elaboración del DOP y un ejemplo.
- Ficha 5. Diagrama de análisis de procesos: Pautas para la elaboración del DAP y un ejemplo
· El material se presenta en una caja de cartón, con la imagen y descripción del material interactivo.</v>
      </c>
      <c r="J1212" s="213">
        <f>IFERROR(__xludf.DUMMYFUNCTION("""COMPUTED_VALUE"""),3.0)</f>
        <v>3</v>
      </c>
      <c r="K1212" s="213" t="str">
        <f>IFERROR(__xludf.DUMMYFUNCTION("""COMPUTED_VALUE"""),"90 DÍAS CALENDARIO")</f>
        <v>90 DÍAS CALENDARIO</v>
      </c>
      <c r="L1212" s="213" t="str">
        <f>IFERROR(__xludf.DUMMYFUNCTION("""COMPUTED_VALUE"""),"")</f>
        <v/>
      </c>
      <c r="M1212" s="213">
        <f>IFERROR(__xludf.DUMMYFUNCTION("""COMPUTED_VALUE"""),1.0)</f>
        <v>1</v>
      </c>
      <c r="N1212" s="213">
        <f>IFERROR(__xludf.DUMMYFUNCTION("""COMPUTED_VALUE"""),4.0)</f>
        <v>4</v>
      </c>
      <c r="O1212" s="213">
        <f>IFERROR(__xludf.DUMMYFUNCTION("""COMPUTED_VALUE"""),4.0)</f>
        <v>4</v>
      </c>
      <c r="P1212" s="213"/>
      <c r="Q1212" s="213"/>
      <c r="R1212" s="213"/>
      <c r="S1212" s="213"/>
      <c r="T1212" s="213"/>
      <c r="U1212" s="213"/>
      <c r="V1212" s="213"/>
      <c r="W1212" s="213"/>
      <c r="X1212" s="213"/>
      <c r="Y1212" s="213"/>
      <c r="Z1212" s="213"/>
      <c r="AA1212" s="213"/>
      <c r="AB1212" s="213"/>
      <c r="AC1212" s="213"/>
      <c r="AD1212" s="213"/>
      <c r="AE1212" s="213"/>
      <c r="AF1212" s="213"/>
      <c r="AG1212" s="213"/>
      <c r="AH1212" s="213"/>
      <c r="AI1212" s="213"/>
      <c r="AJ1212" s="213"/>
      <c r="AK1212" s="213"/>
      <c r="AL1212" s="213"/>
      <c r="AM1212" s="213"/>
      <c r="AN1212" s="213"/>
      <c r="AO1212" s="213"/>
      <c r="AP1212" s="213"/>
      <c r="AQ1212" s="213"/>
      <c r="AR1212" s="213"/>
      <c r="AS1212" s="213"/>
      <c r="AT1212" s="213"/>
      <c r="AU1212" s="213"/>
      <c r="AV1212" s="213"/>
      <c r="AW1212" s="213"/>
      <c r="AX1212" s="213"/>
      <c r="AY1212" s="213"/>
      <c r="AZ1212" s="213"/>
      <c r="BA1212" s="213"/>
      <c r="BB1212" s="213"/>
      <c r="BC1212" s="213"/>
      <c r="BD1212" s="213"/>
    </row>
    <row r="1213">
      <c r="A1213" s="213">
        <f>IFERROR(__xludf.DUMMYFUNCTION("""COMPUTED_VALUE"""),2386.0)</f>
        <v>2386</v>
      </c>
      <c r="B1213" s="213" t="str">
        <f>IFERROR(__xludf.DUMMYFUNCTION("""COMPUTED_VALUE"""),"MANUEL ANTONIO MESONES MURO")</f>
        <v>MANUEL ANTONIO MESONES MURO</v>
      </c>
      <c r="C1213" s="213" t="str">
        <f>IFERROR(__xludf.DUMMYFUNCTION("""COMPUTED_VALUE"""),"TALLER SFT DE INDUSTRIA DEL VESTIDO")</f>
        <v>TALLER SFT DE INDUSTRIA DEL VESTIDO</v>
      </c>
      <c r="D1213" s="213" t="str">
        <f>IFERROR(__xludf.DUMMYFUNCTION("""COMPUTED_VALUE"""),"PEDAGOGICO")</f>
        <v>PEDAGOGICO</v>
      </c>
      <c r="E1213" s="213" t="str">
        <f>IFERROR(__xludf.DUMMYFUNCTION("""COMPUTED_VALUE"""),"COM-205")</f>
        <v>COM-205</v>
      </c>
      <c r="F1213" s="213" t="str">
        <f>IFERROR(__xludf.DUMMYFUNCTION("""COMPUTED_VALUE"""),"COM-205")</f>
        <v>COM-205</v>
      </c>
      <c r="G1213" s="213"/>
      <c r="H1213" s="213" t="str">
        <f>IFERROR(__xludf.DUMMYFUNCTION("""COMPUTED_VALUE"""),"LIENZO MAGNÉTICO PARA DISEÑAR FLUJOGRAMAS DE LA PRODUCCIÓN (DOP Y DAP)")</f>
        <v>LIENZO MAGNÉTICO PARA DISEÑAR FLUJOGRAMAS DE LA PRODUCCIÓN (DOP Y DAP)</v>
      </c>
      <c r="I1213" s="213" t="str">
        <f>IFERROR(__xludf.DUMMYFUNCTION("""COMPUTED_VALUE"""),"· Base magnética Tamaño A2 (420 mm x 594 mm), tablero laminado, la base es de color banco, por uno de sus lados permite el trabajo magnético y por el otro lado se puede escribir y borrar con plumones
· Contiene piezas magnéticas que tienen la forma de los"&amp;" símbolos de los diagramas de flujo del sistema ISO, 15 unidades de cada símbolo
· Contiene piezas magnéticas que tienen la forma de los símbolos de los diagramas de flujo del sistema ASME, 15 unidades de cada símbolo
· Contiene piezas magnéticas que tien"&amp;"en la forma de los símbolos de los diagramas de flujo del sistema ANSI, 15 unidades de cada símbolo
· Plumones de 4 colores (rojo, azul, verde y negro)
· Fichas tamaño A4 (210 mm x 297 mm) impresas a todo color en papel couche de 350 gr/m2, enmicados por "&amp;"ambos lados y con bordes boleados que contiene:
- Ficha 1. Descripción del sistema ISO, de sus símbolos y un ejemplo de aplicación.
- Ficha 2. Descripción del sistema ASME, de sus símbolos y un ejemplo de aplicación.
- Ficha 3. Descripción del sistema ANS"&amp;"I, de sus símbolos y un ejemplo de aplicación.
- Ficha 4. Diagrama de operaciones y procesos: Pautas para la elaboración del DOP y un ejemplo.   /   - Ficha 5. Diagrama de análisis de procesos: Pautas para la elaboración del DAP y un ejemplo   /   · El ma"&amp;"terial se presenta en una caja de cartón, con la imagen y descripción del material interactivo.")</f>
        <v>· Base magnética Tamaño A2 (420 mm x 594 mm), tablero laminado, la base es de color banco, por uno de sus lados permite el trabajo magnético y por el otro lado se puede escribir y borrar con plumones
· Contiene piezas magnéticas que tienen la forma de los símbolos de los diagramas de flujo del sistema ISO, 15 unidades de cada símbolo
· Contiene piezas magnéticas que tienen la forma de los símbolos de los diagramas de flujo del sistema ASME, 15 unidades de cada símbolo
· Contiene piezas magnéticas que tienen la forma de los símbolos de los diagramas de flujo del sistema ANSI, 15 unidades de cada símbolo
· Plumones de 4 colores (rojo, azul, verde y negro)
· Fichas tamaño A4 (210 mm x 297 mm) impresas a todo color en papel couche de 350 gr/m2, enmicados por ambos lados y con bordes boleados que contiene:
- Ficha 1. Descripción del sistema ISO, de sus símbolos y un ejemplo de aplicación.
- Ficha 2. Descripción del sistema ASME, de sus símbolos y un ejemplo de aplicación.
- Ficha 3. Descripción del sistema ANSI, de sus símbolos y un ejemplo de aplicación.
- Ficha 4. Diagrama de operaciones y procesos: Pautas para la elaboración del DOP y un ejemplo.   /   - Ficha 5. Diagrama de análisis de procesos: Pautas para la elaboración del DAP y un ejemplo   /   · El material se presenta en una caja de cartón, con la imagen y descripción del material interactivo.</v>
      </c>
      <c r="J1213" s="213">
        <f>IFERROR(__xludf.DUMMYFUNCTION("""COMPUTED_VALUE"""),3.0)</f>
        <v>3</v>
      </c>
      <c r="K1213" s="213" t="str">
        <f>IFERROR(__xludf.DUMMYFUNCTION("""COMPUTED_VALUE"""),"90 DÍAS CALENDARIO")</f>
        <v>90 DÍAS CALENDARIO</v>
      </c>
      <c r="L1213" s="213" t="str">
        <f>IFERROR(__xludf.DUMMYFUNCTION("""COMPUTED_VALUE"""),"")</f>
        <v/>
      </c>
      <c r="M1213" s="213">
        <f>IFERROR(__xludf.DUMMYFUNCTION("""COMPUTED_VALUE"""),1.0)</f>
        <v>1</v>
      </c>
      <c r="N1213" s="213">
        <f>IFERROR(__xludf.DUMMYFUNCTION("""COMPUTED_VALUE"""),4.0)</f>
        <v>4</v>
      </c>
      <c r="O1213" s="213">
        <f>IFERROR(__xludf.DUMMYFUNCTION("""COMPUTED_VALUE"""),4.0)</f>
        <v>4</v>
      </c>
      <c r="P1213" s="213"/>
      <c r="Q1213" s="213"/>
      <c r="R1213" s="213"/>
      <c r="S1213" s="213"/>
      <c r="T1213" s="213"/>
      <c r="U1213" s="213"/>
      <c r="V1213" s="213"/>
      <c r="W1213" s="213"/>
      <c r="X1213" s="213"/>
      <c r="Y1213" s="213"/>
      <c r="Z1213" s="213"/>
      <c r="AA1213" s="213"/>
      <c r="AB1213" s="213"/>
      <c r="AC1213" s="213"/>
      <c r="AD1213" s="213"/>
      <c r="AE1213" s="213"/>
      <c r="AF1213" s="213"/>
      <c r="AG1213" s="213"/>
      <c r="AH1213" s="213"/>
      <c r="AI1213" s="213"/>
      <c r="AJ1213" s="213"/>
      <c r="AK1213" s="213"/>
      <c r="AL1213" s="213"/>
      <c r="AM1213" s="213"/>
      <c r="AN1213" s="213"/>
      <c r="AO1213" s="213"/>
      <c r="AP1213" s="213"/>
      <c r="AQ1213" s="213"/>
      <c r="AR1213" s="213"/>
      <c r="AS1213" s="213"/>
      <c r="AT1213" s="213"/>
      <c r="AU1213" s="213"/>
      <c r="AV1213" s="213"/>
      <c r="AW1213" s="213"/>
      <c r="AX1213" s="213"/>
      <c r="AY1213" s="213"/>
      <c r="AZ1213" s="213"/>
      <c r="BA1213" s="213"/>
      <c r="BB1213" s="213"/>
      <c r="BC1213" s="213"/>
      <c r="BD1213" s="213"/>
    </row>
    <row r="1214">
      <c r="A1214" s="213">
        <f>IFERROR(__xludf.DUMMYFUNCTION("""COMPUTED_VALUE"""),2564.0)</f>
        <v>2564</v>
      </c>
      <c r="B1214" s="213" t="str">
        <f>IFERROR(__xludf.DUMMYFUNCTION("""COMPUTED_VALUE"""),"MANUEL ANTONIO MESONES MURO")</f>
        <v>MANUEL ANTONIO MESONES MURO</v>
      </c>
      <c r="C1214" s="213" t="str">
        <f>IFERROR(__xludf.DUMMYFUNCTION("""COMPUTED_VALUE"""),"TALLER SFT DE EBANISTERÍA")</f>
        <v>TALLER SFT DE EBANISTERÍA</v>
      </c>
      <c r="D1214" s="213" t="str">
        <f>IFERROR(__xludf.DUMMYFUNCTION("""COMPUTED_VALUE"""),"PEDAGOGICO")</f>
        <v>PEDAGOGICO</v>
      </c>
      <c r="E1214" s="213" t="str">
        <f>IFERROR(__xludf.DUMMYFUNCTION("""COMPUTED_VALUE"""),"COM-205")</f>
        <v>COM-205</v>
      </c>
      <c r="F1214" s="213" t="str">
        <f>IFERROR(__xludf.DUMMYFUNCTION("""COMPUTED_VALUE"""),"COM-205")</f>
        <v>COM-205</v>
      </c>
      <c r="G1214" s="213"/>
      <c r="H1214" s="213" t="str">
        <f>IFERROR(__xludf.DUMMYFUNCTION("""COMPUTED_VALUE"""),"LIENZO MAGNÉTICO PARA DISEÑAR FLUJOGRAMAS DE LA PRODUCCIÓN (DOP Y DAP)")</f>
        <v>LIENZO MAGNÉTICO PARA DISEÑAR FLUJOGRAMAS DE LA PRODUCCIÓN (DOP Y DAP)</v>
      </c>
      <c r="I1214" s="213" t="str">
        <f>IFERROR(__xludf.DUMMYFUNCTION("""COMPUTED_VALUE"""),"· Base magnética Tamaño A2 (420 mm x 594 mm), tablero laminado, la base es de color banco, por uno de sus lados permite el trabajo magnético y por el otro lado se puede escribir y borrar con plumones
· Contiene piezas magnéticas que tienen la forma de los"&amp;" símbolos de los diagramas de flujo del sistema ISO, 15 unidades de cada símbolo
· Contiene piezas magnéticas que tienen la forma de los símbolos de los diagramas de flujo del sistema ASME, 15 unidades de cada símbolo
· Contiene piezas magnéticas que tien"&amp;"en la forma de los símbolos de los diagramas de flujo del sistema ANSI, 15 unidades de cada símbolo
· Plumones de 4 colores (rojo, azul, verde y negro)
· Fichas tamaño A4 (210 mm x 297 mm) impresas a todo color en papel couche de 350 gr/m2, enmicados por "&amp;"ambos lados y con bordes boleados que contiene:
- Ficha 1. Descripción del sistema ISO, de sus símbolos y un ejemplo de aplicación.
- Ficha 2. Descripción del sistema ASME, de sus símbolos y un ejemplo de aplicación.
- Ficha 3. Descripción del sistema ANS"&amp;"I, de sus símbolos y un ejemplo de aplicación.
- Ficha 4. Diagrama de operaciones y procesos: Pautas para la elaboración del DOP y un ejemplo.
- Ficha 5. Diagrama de análisis de procesos: Pautas para la elaboración del DAP y un ejemplo
· El material se pr"&amp;"esenta en una caja de cartón, con la imagen y descripción del material interactivo.")</f>
        <v>· Base magnética Tamaño A2 (420 mm x 594 mm), tablero laminado, la base es de color banco, por uno de sus lados permite el trabajo magnético y por el otro lado se puede escribir y borrar con plumones
· Contiene piezas magnéticas que tienen la forma de los símbolos de los diagramas de flujo del sistema ISO, 15 unidades de cada símbolo
· Contiene piezas magnéticas que tienen la forma de los símbolos de los diagramas de flujo del sistema ASME, 15 unidades de cada símbolo
· Contiene piezas magnéticas que tienen la forma de los símbolos de los diagramas de flujo del sistema ANSI, 15 unidades de cada símbolo
· Plumones de 4 colores (rojo, azul, verde y negro)
· Fichas tamaño A4 (210 mm x 297 mm) impresas a todo color en papel couche de 350 gr/m2, enmicados por ambos lados y con bordes boleados que contiene:
- Ficha 1. Descripción del sistema ISO, de sus símbolos y un ejemplo de aplicación.
- Ficha 2. Descripción del sistema ASME, de sus símbolos y un ejemplo de aplicación.
- Ficha 3. Descripción del sistema ANSI, de sus símbolos y un ejemplo de aplicación.
- Ficha 4. Diagrama de operaciones y procesos: Pautas para la elaboración del DOP y un ejemplo.
- Ficha 5. Diagrama de análisis de procesos: Pautas para la elaboración del DAP y un ejemplo
· El material se presenta en una caja de cartón, con la imagen y descripción del material interactivo.</v>
      </c>
      <c r="J1214" s="213">
        <f>IFERROR(__xludf.DUMMYFUNCTION("""COMPUTED_VALUE"""),3.0)</f>
        <v>3</v>
      </c>
      <c r="K1214" s="213" t="str">
        <f>IFERROR(__xludf.DUMMYFUNCTION("""COMPUTED_VALUE"""),"90 DÍAS CALENDARIO")</f>
        <v>90 DÍAS CALENDARIO</v>
      </c>
      <c r="L1214" s="213" t="str">
        <f>IFERROR(__xludf.DUMMYFUNCTION("""COMPUTED_VALUE"""),"")</f>
        <v/>
      </c>
      <c r="M1214" s="213">
        <f>IFERROR(__xludf.DUMMYFUNCTION("""COMPUTED_VALUE"""),1.0)</f>
        <v>1</v>
      </c>
      <c r="N1214" s="213">
        <f>IFERROR(__xludf.DUMMYFUNCTION("""COMPUTED_VALUE"""),4.0)</f>
        <v>4</v>
      </c>
      <c r="O1214" s="213">
        <f>IFERROR(__xludf.DUMMYFUNCTION("""COMPUTED_VALUE"""),4.0)</f>
        <v>4</v>
      </c>
      <c r="P1214" s="213"/>
      <c r="Q1214" s="213"/>
      <c r="R1214" s="213"/>
      <c r="S1214" s="213"/>
      <c r="T1214" s="213"/>
      <c r="U1214" s="213"/>
      <c r="V1214" s="213"/>
      <c r="W1214" s="213"/>
      <c r="X1214" s="213"/>
      <c r="Y1214" s="213"/>
      <c r="Z1214" s="213"/>
      <c r="AA1214" s="213"/>
      <c r="AB1214" s="213"/>
      <c r="AC1214" s="213"/>
      <c r="AD1214" s="213"/>
      <c r="AE1214" s="213"/>
      <c r="AF1214" s="213"/>
      <c r="AG1214" s="213"/>
      <c r="AH1214" s="213"/>
      <c r="AI1214" s="213"/>
      <c r="AJ1214" s="213"/>
      <c r="AK1214" s="213"/>
      <c r="AL1214" s="213"/>
      <c r="AM1214" s="213"/>
      <c r="AN1214" s="213"/>
      <c r="AO1214" s="213"/>
      <c r="AP1214" s="213"/>
      <c r="AQ1214" s="213"/>
      <c r="AR1214" s="213"/>
      <c r="AS1214" s="213"/>
      <c r="AT1214" s="213"/>
      <c r="AU1214" s="213"/>
      <c r="AV1214" s="213"/>
      <c r="AW1214" s="213"/>
      <c r="AX1214" s="213"/>
      <c r="AY1214" s="213"/>
      <c r="AZ1214" s="213"/>
      <c r="BA1214" s="213"/>
      <c r="BB1214" s="213"/>
      <c r="BC1214" s="213"/>
      <c r="BD1214" s="213"/>
    </row>
    <row r="1215">
      <c r="A1215" s="213">
        <f>IFERROR(__xludf.DUMMYFUNCTION("""COMPUTED_VALUE"""),465.0)</f>
        <v>465</v>
      </c>
      <c r="B1215" s="213" t="str">
        <f>IFERROR(__xludf.DUMMYFUNCTION("""COMPUTED_VALUE"""),"2026 SIMON BOLIVAR")</f>
        <v>2026 SIMON BOLIVAR</v>
      </c>
      <c r="C1215" s="213" t="str">
        <f>IFERROR(__xludf.DUMMYFUNCTION("""COMPUTED_VALUE"""),"TALLER SFT DE INDUSTRIA ALIMENTARIA")</f>
        <v>TALLER SFT DE INDUSTRIA ALIMENTARIA</v>
      </c>
      <c r="D1215" s="213" t="str">
        <f>IFERROR(__xludf.DUMMYFUNCTION("""COMPUTED_VALUE"""),"PEDAGOGICO")</f>
        <v>PEDAGOGICO</v>
      </c>
      <c r="E1215" s="213" t="str">
        <f>IFERROR(__xludf.DUMMYFUNCTION("""COMPUTED_VALUE"""),"COM-206")</f>
        <v>COM-206</v>
      </c>
      <c r="F1215" s="213" t="str">
        <f>IFERROR(__xludf.DUMMYFUNCTION("""COMPUTED_VALUE"""),"COM-206")</f>
        <v>COM-206</v>
      </c>
      <c r="G1215" s="213"/>
      <c r="H1215" s="213" t="str">
        <f>IFERROR(__xludf.DUMMYFUNCTION("""COMPUTED_VALUE"""),"LIENZO MAGNÉTICO PARA DISEÑAR MODELOS DE NEGOCIOS")</f>
        <v>LIENZO MAGNÉTICO PARA DISEÑAR MODELOS DE NEGOCIOS</v>
      </c>
      <c r="I1215"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10"&amp;" cm, sobre la tarjeta se puede escribir y borrar con plumón de pizarra.
· Contiene 6 Fichas tamaño A4, impresas a todo color en papel couche de 350 gr/m2, enmicados por ambos lados y con bordes boleados.
· Contiene 4 plumones de pizarra (azul, rojo, verde"&amp;" y negro), tinta de los plumones no debe ser tóxica / 1 Mota pequeña para borrar las escrituras de plumón en las tarjetas / Guía de metodología para el desarrollo de la metodología “Modelo de negocio LEAN CANVAS / El material se presenta en una caja de ca"&amp;"rtón, con la imagen y descripción del material interactivo.
Calidad Pedagógica
· Las tarjetas están organizadas en nueve (9) juegos, en la parte superior de la tarjeta esta rotulado el nombre del bloque de la metodología LEAN CANVAS:
- 10 tarjetas con el "&amp;"rotulado segmento de clientes / 10 tarjetas con la rotulada propuesta de valor / 10 tarjetas con el rotulado ventaja competitiva / 10 tarjetas con el rotulado canales / 10 tarjetas con el rotulado problema / 10 tarjetas con el rotulado solución / 10 tarje"&amp;"tas con el rotulado métrica / 10 tarjetas con el rotulado flujo de ingreso / 10 tarjetas con la rotulada estructura de costos.
· Las fichas tienen desarrollado la descripción, orientaciones para su aplicación y ejemplo de cada módulo / bloque del modelo L"&amp;"EAN CANVAS y mediante código QR están relacionados a información digital.
- Ficha1; descripción sintética de cada elemento de la metodología LEAN CANVAS.   /     - Ficha 2. Descripción, protocolo para su aplicación y un ejemplo del segmento de clientes.  "&amp;"  /   - Ficha 3. Descripción, protocolo para su aplicación y un ejemplo de propuesta de valor.   /   - Ficha 4. Descripción, protocolo para su aplicación y un ejemplo de ventaja competitiva.   /   - Ficha 5. Descripción, protocolo para su aplicación y un "&amp;"ejemplo canales. /  - Ficha 6. Descripción, protocolo para su aplicación y un ejemplo de Problema.
- Ficha 7. Descripción, protocolo para su aplicación y un ejemplo de solución.  /  - Ficha 8. Descripción, protocolo para su aplicación y un ejemplo de Métr"&amp;"ica.     /   - Ficha 9. Descripción, protocolo para su aplicación y un ejemplo flujo de ingreso.   /   - Ficha 10.
Descripción, protocolo para su aplicación y un ejemplo de estructura de costos.   /  · Manual presenta información pedagógica y actividades "&amp;"de aprendizaje para el desarrollo de la competencia y 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del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 Ficha 2. Descripción, protocolo para su aplicación y un ejemplo del segmento de clientes.    /   - Ficha 3. Descripción, protocolo para su aplicación y un ejemplo de propuesta de valor.   /   - Ficha 4. Descripción, protocolo para su aplicación y un ejemplo de ventaja competitiva.   /   - Ficha 5. Descripción, protocolo para su aplicación y un ejemplo canales. /  - Ficha 6. Descripción, protocolo para su aplicación y un ejemplo de Problema.
- Ficha 7. Descripción, protocolo para su aplicación y un ejemplo de solución.  /  - Ficha 8. Descripción, protocolo para su aplicación y un ejemplo de Métrica.     /   - Ficha 9. Descripción, protocolo para su aplicación y un ejemplo flujo de ingreso.   /   - Ficha 10.
Descripción, protocolo para su aplicación y un ejemplo de estructura de costos.   /  · Manual presenta información pedagógica y actividades de aprendizaje para el desarrollo de la competencia y las capacidades del área educación para el trabajo utilizando el lienzo magnético para diseñar modelos de negocios.</v>
      </c>
      <c r="J1215" s="213">
        <f>IFERROR(__xludf.DUMMYFUNCTION("""COMPUTED_VALUE"""),3.0)</f>
        <v>3</v>
      </c>
      <c r="K1215" s="213" t="str">
        <f>IFERROR(__xludf.DUMMYFUNCTION("""COMPUTED_VALUE"""),"90 DÍAS CALENDARIO")</f>
        <v>90 DÍAS CALENDARIO</v>
      </c>
      <c r="L1215" s="213" t="str">
        <f>IFERROR(__xludf.DUMMYFUNCTION("""COMPUTED_VALUE"""),"")</f>
        <v/>
      </c>
      <c r="M1215" s="213">
        <f>IFERROR(__xludf.DUMMYFUNCTION("""COMPUTED_VALUE"""),1.0)</f>
        <v>1</v>
      </c>
      <c r="N1215" s="213">
        <f>IFERROR(__xludf.DUMMYFUNCTION("""COMPUTED_VALUE"""),4.0)</f>
        <v>4</v>
      </c>
      <c r="O1215" s="213">
        <f>IFERROR(__xludf.DUMMYFUNCTION("""COMPUTED_VALUE"""),4.0)</f>
        <v>4</v>
      </c>
      <c r="P1215" s="213"/>
      <c r="Q1215" s="213"/>
      <c r="R1215" s="213"/>
      <c r="S1215" s="213"/>
      <c r="T1215" s="213"/>
      <c r="U1215" s="213"/>
      <c r="V1215" s="213"/>
      <c r="W1215" s="213"/>
      <c r="X1215" s="213"/>
      <c r="Y1215" s="213"/>
      <c r="Z1215" s="213"/>
      <c r="AA1215" s="213"/>
      <c r="AB1215" s="213"/>
      <c r="AC1215" s="213"/>
      <c r="AD1215" s="213"/>
      <c r="AE1215" s="213"/>
      <c r="AF1215" s="213"/>
      <c r="AG1215" s="213"/>
      <c r="AH1215" s="213"/>
      <c r="AI1215" s="213"/>
      <c r="AJ1215" s="213"/>
      <c r="AK1215" s="213"/>
      <c r="AL1215" s="213"/>
      <c r="AM1215" s="213"/>
      <c r="AN1215" s="213"/>
      <c r="AO1215" s="213"/>
      <c r="AP1215" s="213"/>
      <c r="AQ1215" s="213"/>
      <c r="AR1215" s="213"/>
      <c r="AS1215" s="213"/>
      <c r="AT1215" s="213"/>
      <c r="AU1215" s="213"/>
      <c r="AV1215" s="213"/>
      <c r="AW1215" s="213"/>
      <c r="AX1215" s="213"/>
      <c r="AY1215" s="213"/>
      <c r="AZ1215" s="213"/>
      <c r="BA1215" s="213"/>
      <c r="BB1215" s="213"/>
      <c r="BC1215" s="213"/>
      <c r="BD1215" s="213"/>
    </row>
    <row r="1216">
      <c r="A1216" s="213">
        <f>IFERROR(__xludf.DUMMYFUNCTION("""COMPUTED_VALUE"""),628.0)</f>
        <v>628</v>
      </c>
      <c r="B1216" s="213" t="str">
        <f>IFERROR(__xludf.DUMMYFUNCTION("""COMPUTED_VALUE"""),"6049 RICARDO PALMA")</f>
        <v>6049 RICARDO PALMA</v>
      </c>
      <c r="C1216" s="213" t="str">
        <f>IFERROR(__xludf.DUMMYFUNCTION("""COMPUTED_VALUE"""),"TALLER SFT DE ELECTRÓNICA")</f>
        <v>TALLER SFT DE ELECTRÓNICA</v>
      </c>
      <c r="D1216" s="213" t="str">
        <f>IFERROR(__xludf.DUMMYFUNCTION("""COMPUTED_VALUE"""),"PEDAGOGICO")</f>
        <v>PEDAGOGICO</v>
      </c>
      <c r="E1216" s="213" t="str">
        <f>IFERROR(__xludf.DUMMYFUNCTION("""COMPUTED_VALUE"""),"COM-206")</f>
        <v>COM-206</v>
      </c>
      <c r="F1216" s="213" t="str">
        <f>IFERROR(__xludf.DUMMYFUNCTION("""COMPUTED_VALUE"""),"COM-206")</f>
        <v>COM-206</v>
      </c>
      <c r="G1216" s="213"/>
      <c r="H1216" s="213" t="str">
        <f>IFERROR(__xludf.DUMMYFUNCTION("""COMPUTED_VALUE"""),"LIENZO MAGNÉTICO PARA DISEÑAR MODELOS DE NEGOCIOS")</f>
        <v>LIENZO MAGNÉTICO PARA DISEÑAR MODELOS DE NEGOCIOS</v>
      </c>
      <c r="I1216"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10"&amp;" cm, sobre la tarjeta se puede escribir y borrar con plumón de pizarra.
· Contiene 6 Fichas tamaño A4, impresas a todo color en papel couche de 350 gr/m2, enmicados por ambos lados y con bordes boleados.
· Contiene 4 plumones de pizarra (azul, rojo, verde"&amp;" y negro), tinta de los plumones no debe ser tóxica / 1 Mota pequeña para borrar las escrituras de plumón en las tarjetas / Guía de metodología para el desarrollo de la metodología “Modelo de negocio LEAN CANVAS / El material se presenta en una caja de ca"&amp;"rtón, con la imagen y descripción del material interactivo.
Calidad Pedagógica
· Las tarjetas están organizadas en nueve (9) juegos, en la parte superior de la tarjeta esta rotulado el nombre del bloque de la metodología LEAN CANVAS:
- 10 tarjetas con el "&amp;"rotulado segmento de clientes
- 10 tarjetas con la rotulada propuesta de valor
- 10 tarjetas con el rotulado ventaja competitiva
- 10 tarjetas con el rotulado canales
- 10 tarjetas con el rotulado problema
- 10 tarjetas con el rotulado solución
- 10 tarje"&amp;"tas con el rotulado métrica
- 10 tarjetas con el rotulado flujo de ingreso
- 10 tarjetas con la rotulada estructura de costos.
· Las fichas tienen desarrollado la descripción, orientaciones para su aplicación y ejemplo de cada módulo / bloque del modelo L"&amp;"EAN CANVAS y mediante código QR están relacionados a información digital.
- Ficha1; descripción sintética de cada elemento de la metodología LEAN CANVAS.
- Ficha 2. Descripción, protocolo para su aplicación y un ejemplo del segmento de clientes.
- Ficha 3"&amp;". Descripción, protocolo para su aplicación y un ejemplo de propuesta de valor.
- Ficha 4. Descripción, protocolo para su aplicación y un ejemplo de ventaja competitiva.
- Ficha 5. Descripción, protocolo para su aplicación y un ejemplo canales.
- Ficha 6."&amp;" Descripción, protocolo para su aplicación y un ejemplo de Problema.
- Ficha 7. Descripción, protocolo para su aplicación y un ejemplo de solución.
- Ficha 8. Descripción, protocolo para su aplicación y un ejemplo de Métrica.
- Ficha 9. Descripción, proto"&amp;"colo para su aplicación y un ejemplo flujo de ingreso.
- Ficha 10. Descripción, protocolo para su aplicación y un ejemplo de estructura de costos.
· Manual presenta información pedagógica y actividades de aprendizaje para el desarrollo de la competencia y"&amp;" 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del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Ficha 2. Descripción, protocolo para su aplicación y un ejemplo del segmento de clientes.
- Ficha 3. Descripción, protocolo para su aplicación y un ejemplo de propuesta de valor.
- Ficha 4. Descripción, protocolo para su aplicación y un ejemplo de ventaja competitiva.
- Ficha 5. Descripción, protocolo para su aplicación y un ejemplo canales.
- Ficha 6. Descripción, protocolo para su aplicación y un ejemplo de Problema.
- Ficha 7. Descripción, protocolo para su aplicación y un ejemplo de solución.
- Ficha 8. Descripción, protocolo para su aplicación y un ejemplo de Métrica.
- Ficha 9. Descripción, protocolo para su aplicación y un ejemplo flujo de ingreso.
- Ficha 10. Descripción, protocolo para su aplicación y un ejemplo de estructura de costos.
· Manual presenta información pedagógica y actividades de aprendizaje para el desarrollo de la competencia y las capacidades del área educación para el trabajo utilizando el lienzo magnético para diseñar modelos de negocios.</v>
      </c>
      <c r="J1216" s="213">
        <f>IFERROR(__xludf.DUMMYFUNCTION("""COMPUTED_VALUE"""),3.0)</f>
        <v>3</v>
      </c>
      <c r="K1216" s="213" t="str">
        <f>IFERROR(__xludf.DUMMYFUNCTION("""COMPUTED_VALUE"""),"90 DÍAS CALENDARIO")</f>
        <v>90 DÍAS CALENDARIO</v>
      </c>
      <c r="L1216" s="213" t="str">
        <f>IFERROR(__xludf.DUMMYFUNCTION("""COMPUTED_VALUE"""),"")</f>
        <v/>
      </c>
      <c r="M1216" s="213">
        <f>IFERROR(__xludf.DUMMYFUNCTION("""COMPUTED_VALUE"""),1.0)</f>
        <v>1</v>
      </c>
      <c r="N1216" s="213">
        <f>IFERROR(__xludf.DUMMYFUNCTION("""COMPUTED_VALUE"""),4.0)</f>
        <v>4</v>
      </c>
      <c r="O1216" s="213">
        <f>IFERROR(__xludf.DUMMYFUNCTION("""COMPUTED_VALUE"""),4.0)</f>
        <v>4</v>
      </c>
      <c r="P1216" s="213"/>
      <c r="Q1216" s="213"/>
      <c r="R1216" s="213"/>
      <c r="S1216" s="213"/>
      <c r="T1216" s="213"/>
      <c r="U1216" s="213"/>
      <c r="V1216" s="213"/>
      <c r="W1216" s="213"/>
      <c r="X1216" s="213"/>
      <c r="Y1216" s="213"/>
      <c r="Z1216" s="213"/>
      <c r="AA1216" s="213"/>
      <c r="AB1216" s="213"/>
      <c r="AC1216" s="213"/>
      <c r="AD1216" s="213"/>
      <c r="AE1216" s="213"/>
      <c r="AF1216" s="213"/>
      <c r="AG1216" s="213"/>
      <c r="AH1216" s="213"/>
      <c r="AI1216" s="213"/>
      <c r="AJ1216" s="213"/>
      <c r="AK1216" s="213"/>
      <c r="AL1216" s="213"/>
      <c r="AM1216" s="213"/>
      <c r="AN1216" s="213"/>
      <c r="AO1216" s="213"/>
      <c r="AP1216" s="213"/>
      <c r="AQ1216" s="213"/>
      <c r="AR1216" s="213"/>
      <c r="AS1216" s="213"/>
      <c r="AT1216" s="213"/>
      <c r="AU1216" s="213"/>
      <c r="AV1216" s="213"/>
      <c r="AW1216" s="213"/>
      <c r="AX1216" s="213"/>
      <c r="AY1216" s="213"/>
      <c r="AZ1216" s="213"/>
      <c r="BA1216" s="213"/>
      <c r="BB1216" s="213"/>
      <c r="BC1216" s="213"/>
      <c r="BD1216" s="213"/>
    </row>
    <row r="1217">
      <c r="A1217" s="213">
        <f>IFERROR(__xludf.DUMMYFUNCTION("""COMPUTED_VALUE"""),1255.0)</f>
        <v>1255</v>
      </c>
      <c r="B1217" s="213" t="str">
        <f>IFERROR(__xludf.DUMMYFUNCTION("""COMPUTED_VALUE"""),"GUILLERMO E. BILLINGHURST ")</f>
        <v>GUILLERMO E. BILLINGHURST </v>
      </c>
      <c r="C1217" s="213" t="str">
        <f>IFERROR(__xludf.DUMMYFUNCTION("""COMPUTED_VALUE"""),"TALLER SFT DE ELECTRICIDAD")</f>
        <v>TALLER SFT DE ELECTRICIDAD</v>
      </c>
      <c r="D1217" s="213" t="str">
        <f>IFERROR(__xludf.DUMMYFUNCTION("""COMPUTED_VALUE"""),"PEDAGOGICO")</f>
        <v>PEDAGOGICO</v>
      </c>
      <c r="E1217" s="213" t="str">
        <f>IFERROR(__xludf.DUMMYFUNCTION("""COMPUTED_VALUE"""),"COM-206")</f>
        <v>COM-206</v>
      </c>
      <c r="F1217" s="213" t="str">
        <f>IFERROR(__xludf.DUMMYFUNCTION("""COMPUTED_VALUE"""),"COM-206")</f>
        <v>COM-206</v>
      </c>
      <c r="G1217" s="213"/>
      <c r="H1217" s="213" t="str">
        <f>IFERROR(__xludf.DUMMYFUNCTION("""COMPUTED_VALUE"""),"LIENZO MAGNÉTICO PARA DISEÑAR MODELOS DE NEGOCIOS")</f>
        <v>LIENZO MAGNÉTICO PARA DISEÑAR MODELOS DE NEGOCIOS</v>
      </c>
      <c r="I1217"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1"&amp;"0 cm, sobre la tarjeta se puede escribir y borrar con plumón de pizarra.
· Contiene 6 Fichas tamaño A4, impresas a todo color en papel couche de 350 gr/m2, enmicados por ambos lados y con bordes boleados.
· Contiene 4 plumones de pizarra (azul, rojo, verd"&amp;"e y negro), tinta de los plumones no debe ser tóxica / 1 Mota pequeña para borrar las escrituras de plumón en las tarjetas / Guía de metodología para el desarrollo de la metodología “Modelo de negocio LEAN CANVAS / El material se presenta en una caja de c"&amp;"artón, con la imagen y descripción del material interactivo.
Calidad Pedagógica
· Las tarjetas están organizadas en nueve (9) juegos, en la parte superior de la tarjeta esta rotulado el nombre del bloque de la metodología LEAN CANVAS:
- 10 tarjetas con el"&amp;" rotulado segmento de clientes / 10 tarjetas con la rotulada propuesta de valor / 10 tarjetas con el rotulado ventaja competitiva / 10 tarjetas con el rotulado canales / 10 tarjetas con el rotulado problema / 10 tarjetas con el rotulado solución / 10 tarj"&amp;"etas con el rotulado métrica / 10 tarjetas con el rotulado flujo de ingreso / 10 tarjetas con la rotulada estructura de costos.
· Las fichas tienen desarrollado la descripción, orientaciones para su aplicación y ejemplo de cada módulo / bloque del modelo "&amp;"LEAN CANVAS y mediante código QR están relacionados a información digital.
- Ficha1; descripción sintética de cada elemento de la metodología LEAN CANVAS.   /    - Ficha 2. Descripción, protocolo para su aplicación y un ejemplo del segmento de clientes.  "&amp;"  /   - Ficha 3. Descripción, protocolo para su aplicación y un ejemplo de propuesta de valor.   /   - Ficha 4. Descripción, protocolo para su aplicación y un ejemplo de ventaja competitiva.   /   - Ficha 5. Descripción, protocolo para su aplicación y un "&amp;"ejemplo canales. /  - Ficha 6. Descripción, protocolo para su aplicación y un ejemplo de Problema.
- Ficha 7. Descripción, protocolo para su aplicación y un ejemplo de solución.  /  - Ficha 8. Descripción, protocolo para su aplicación y un ejemplo de Métr"&amp;"ica.    /   - Ficha 9. Descripción, protocolo para su aplicación y un ejemplo flujo de ingreso.   /   - Ficha 10. Descripción, protocolo para su aplicación y un ejemplo de estructura de costos.   /  · Manual presenta información pedagógica y actividades d"&amp;"e aprendizaje para el desarrollo de la competencia y 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del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 Ficha 2. Descripción, protocolo para su aplicación y un ejemplo del segmento de clientes.    /   - Ficha 3. Descripción, protocolo para su aplicación y un ejemplo de propuesta de valor.   /   - Ficha 4. Descripción, protocolo para su aplicación y un ejemplo de ventaja competitiva.   /   - Ficha 5. Descripción, protocolo para su aplicación y un ejemplo canales. /  - Ficha 6. Descripción, protocolo para su aplicación y un ejemplo de Problema.
- Ficha 7. Descripción, protocolo para su aplicación y un ejemplo de solución.  /  - Ficha 8. Descripción, protocolo para su aplicación y un ejemplo de Métrica.    /   - Ficha 9. Descripción, protocolo para su aplicación y un ejemplo flujo de ingreso.   /   - Ficha 10. Descripción, protocolo para su aplicación y un ejemplo de estructura de costos.   /  · Manual presenta información pedagógica y actividades de aprendizaje para el desarrollo de la competencia y las capacidades del área educación para el trabajo utilizando el lienzo magnético para diseñar modelos de negocios.</v>
      </c>
      <c r="J1217" s="213">
        <f>IFERROR(__xludf.DUMMYFUNCTION("""COMPUTED_VALUE"""),3.0)</f>
        <v>3</v>
      </c>
      <c r="K1217" s="213" t="str">
        <f>IFERROR(__xludf.DUMMYFUNCTION("""COMPUTED_VALUE"""),"90 DÍAS CALENDARIO")</f>
        <v>90 DÍAS CALENDARIO</v>
      </c>
      <c r="L1217" s="213" t="str">
        <f>IFERROR(__xludf.DUMMYFUNCTION("""COMPUTED_VALUE"""),"")</f>
        <v/>
      </c>
      <c r="M1217" s="213">
        <f>IFERROR(__xludf.DUMMYFUNCTION("""COMPUTED_VALUE"""),1.0)</f>
        <v>1</v>
      </c>
      <c r="N1217" s="213">
        <f>IFERROR(__xludf.DUMMYFUNCTION("""COMPUTED_VALUE"""),4.0)</f>
        <v>4</v>
      </c>
      <c r="O1217" s="213">
        <f>IFERROR(__xludf.DUMMYFUNCTION("""COMPUTED_VALUE"""),4.0)</f>
        <v>4</v>
      </c>
      <c r="P1217" s="213"/>
      <c r="Q1217" s="213"/>
      <c r="R1217" s="213"/>
      <c r="S1217" s="213"/>
      <c r="T1217" s="213"/>
      <c r="U1217" s="213"/>
      <c r="V1217" s="213"/>
      <c r="W1217" s="213"/>
      <c r="X1217" s="213"/>
      <c r="Y1217" s="213"/>
      <c r="Z1217" s="213"/>
      <c r="AA1217" s="213"/>
      <c r="AB1217" s="213"/>
      <c r="AC1217" s="213"/>
      <c r="AD1217" s="213"/>
      <c r="AE1217" s="213"/>
      <c r="AF1217" s="213"/>
      <c r="AG1217" s="213"/>
      <c r="AH1217" s="213"/>
      <c r="AI1217" s="213"/>
      <c r="AJ1217" s="213"/>
      <c r="AK1217" s="213"/>
      <c r="AL1217" s="213"/>
      <c r="AM1217" s="213"/>
      <c r="AN1217" s="213"/>
      <c r="AO1217" s="213"/>
      <c r="AP1217" s="213"/>
      <c r="AQ1217" s="213"/>
      <c r="AR1217" s="213"/>
      <c r="AS1217" s="213"/>
      <c r="AT1217" s="213"/>
      <c r="AU1217" s="213"/>
      <c r="AV1217" s="213"/>
      <c r="AW1217" s="213"/>
      <c r="AX1217" s="213"/>
      <c r="AY1217" s="213"/>
      <c r="AZ1217" s="213"/>
      <c r="BA1217" s="213"/>
      <c r="BB1217" s="213"/>
      <c r="BC1217" s="213"/>
      <c r="BD1217" s="213"/>
    </row>
    <row r="1218">
      <c r="A1218" s="213">
        <f>IFERROR(__xludf.DUMMYFUNCTION("""COMPUTED_VALUE"""),1687.0)</f>
        <v>1687</v>
      </c>
      <c r="B1218" s="213" t="str">
        <f>IFERROR(__xludf.DUMMYFUNCTION("""COMPUTED_VALUE"""),"GUILLERMO E. BILLINGHURST ")</f>
        <v>GUILLERMO E. BILLINGHURST </v>
      </c>
      <c r="C1218" s="213" t="str">
        <f>IFERROR(__xludf.DUMMYFUNCTION("""COMPUTED_VALUE"""),"TALLER SFT DE COMPUTACIÓN E INFORMÁTICA")</f>
        <v>TALLER SFT DE COMPUTACIÓN E INFORMÁTICA</v>
      </c>
      <c r="D1218" s="213" t="str">
        <f>IFERROR(__xludf.DUMMYFUNCTION("""COMPUTED_VALUE"""),"PEDAGOGICO")</f>
        <v>PEDAGOGICO</v>
      </c>
      <c r="E1218" s="213" t="str">
        <f>IFERROR(__xludf.DUMMYFUNCTION("""COMPUTED_VALUE"""),"COM-206")</f>
        <v>COM-206</v>
      </c>
      <c r="F1218" s="213" t="str">
        <f>IFERROR(__xludf.DUMMYFUNCTION("""COMPUTED_VALUE"""),"COM-206")</f>
        <v>COM-206</v>
      </c>
      <c r="G1218" s="213"/>
      <c r="H1218" s="213" t="str">
        <f>IFERROR(__xludf.DUMMYFUNCTION("""COMPUTED_VALUE"""),"LIENZO MAGNÉTICO PARA DISEÑAR MODELOS DE NEGOCIOS")</f>
        <v>LIENZO MAGNÉTICO PARA DISEÑAR MODELOS DE NEGOCIOS</v>
      </c>
      <c r="I1218"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10"&amp;" cm, sobre la tarjeta se puede escribir y borrar con plumón de pizarra.
· Contiene 6 Fichas tamaño A4, impresas a todo color en papel couche de 350 gr/m2, enmicados por ambos lados y con bordes boleados.
· Contiene 4 plumones de pizarra (azul, rojo, verde"&amp;" y negro), tinta de los plumones no debe ser tóxica / 1 Mota pequeña para borrar las escrituras de plumón en las tarjetas / Guía de metodología para el desarrollo de la metodología “Modelo de negocio LEAN CANVAS / El material se presenta en una caja de ca"&amp;"rtón, con la imagen y descripción del material interactivo.
Calidad Pedagógica
· Las tarjetas están organizadas en nueve (9) juegos, en la parte superior de la tarjeta esta rotulado el nombre de bloque de la metodología LEAN CANVAS:
- 10 tarjetas con el r"&amp;"otulado segmento de clientes
- 10 tarjetas con la rotulada propuesta de valor
- 10 tarjetas con el rotulado ventaja competitiva
- 10 tarjetas con el rotulado canales
- 10 tarjetas con el rotulado problema
- 10 tarjetas con el rotulado solución
- 10 tarjet"&amp;"as con el rotulado métrica
- 10 tarjetas con el rotulado flujo de ingreso
- 10 tarjetas con la rotulada estructura de costos.
· Las fichas tienen desarrollado la descripción, orientaciones para su aplicación y ejemplo de cada módulo / bloque del modelo LE"&amp;"AN CANVAS y mediante código QR están relacionados a información digital.
- Ficha1; descripción sintética de cada elemento de la metodología LEAN CANVAS.
- Ficha 2. Descripción, protocolo para su aplicación y un ejemplo del segmento de clientes.
- Ficha 3."&amp;" Descripción, protocolo para su aplicación y un ejemplo de propuesta de valor.
- Ficha 4. Descripción, protocolo para su aplicación y un ejemplo de ventaja competitiva.
- Ficha 5. Descripción, protocolo para su aplicación y un ejemplo canales.
- Ficha 6. "&amp;"Descripción, protocolo para su aplicación y un ejemplo de Problema.
- Ficha 7. Descripción, protocolo para su aplicación y un ejemplo de solución.
- Ficha 8. Descripción, protocolo para su aplicación y un ejemplo de Métrica.
- Ficha 9. Descripción, protoc"&amp;"olo para su aplicación y un ejemplo flujo de ingreso.
- Ficha 10. Descripción, protocolo para su aplicación y un ejemplo de estructura de costos.
· Manual presenta información pedagógica y actividades de aprendizaje para el desarrollo de la competencia y "&amp;"las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Ficha 2. Descripción, protocolo para su aplicación y un ejemplo del segmento de clientes.
- Ficha 3. Descripción, protocolo para su aplicación y un ejemplo de propuesta de valor.
- Ficha 4. Descripción, protocolo para su aplicación y un ejemplo de ventaja competitiva.
- Ficha 5. Descripción, protocolo para su aplicación y un ejemplo canales.
- Ficha 6. Descripción, protocolo para su aplicación y un ejemplo de Problema.
- Ficha 7. Descripción, protocolo para su aplicación y un ejemplo de solución.
- Ficha 8. Descripción, protocolo para su aplicación y un ejemplo de Métrica.
- Ficha 9. Descripción, protocolo para su aplicación y un ejemplo flujo de ingreso.
- Ficha 10. Descripción, protocolo para su aplicación y un ejemplo de estructura de costos.
· Manual presenta información pedagógica y actividades de aprendizaje para el desarrollo de la competencia y las capacidades del área educación para el trabajo utilizando el lienzo magnético para diseñar modelos de negocios.</v>
      </c>
      <c r="J1218" s="213">
        <f>IFERROR(__xludf.DUMMYFUNCTION("""COMPUTED_VALUE"""),3.0)</f>
        <v>3</v>
      </c>
      <c r="K1218" s="213" t="str">
        <f>IFERROR(__xludf.DUMMYFUNCTION("""COMPUTED_VALUE"""),"90 DÍAS CALENDARIO")</f>
        <v>90 DÍAS CALENDARIO</v>
      </c>
      <c r="L1218" s="213" t="str">
        <f>IFERROR(__xludf.DUMMYFUNCTION("""COMPUTED_VALUE"""),"")</f>
        <v/>
      </c>
      <c r="M1218" s="213">
        <f>IFERROR(__xludf.DUMMYFUNCTION("""COMPUTED_VALUE"""),1.0)</f>
        <v>1</v>
      </c>
      <c r="N1218" s="213">
        <f>IFERROR(__xludf.DUMMYFUNCTION("""COMPUTED_VALUE"""),4.0)</f>
        <v>4</v>
      </c>
      <c r="O1218" s="213">
        <f>IFERROR(__xludf.DUMMYFUNCTION("""COMPUTED_VALUE"""),4.0)</f>
        <v>4</v>
      </c>
      <c r="P1218" s="213"/>
      <c r="Q1218" s="213"/>
      <c r="R1218" s="213"/>
      <c r="S1218" s="213"/>
      <c r="T1218" s="213"/>
      <c r="U1218" s="213"/>
      <c r="V1218" s="213"/>
      <c r="W1218" s="213"/>
      <c r="X1218" s="213"/>
      <c r="Y1218" s="213"/>
      <c r="Z1218" s="213"/>
      <c r="AA1218" s="213"/>
      <c r="AB1218" s="213"/>
      <c r="AC1218" s="213"/>
      <c r="AD1218" s="213"/>
      <c r="AE1218" s="213"/>
      <c r="AF1218" s="213"/>
      <c r="AG1218" s="213"/>
      <c r="AH1218" s="213"/>
      <c r="AI1218" s="213"/>
      <c r="AJ1218" s="213"/>
      <c r="AK1218" s="213"/>
      <c r="AL1218" s="213"/>
      <c r="AM1218" s="213"/>
      <c r="AN1218" s="213"/>
      <c r="AO1218" s="213"/>
      <c r="AP1218" s="213"/>
      <c r="AQ1218" s="213"/>
      <c r="AR1218" s="213"/>
      <c r="AS1218" s="213"/>
      <c r="AT1218" s="213"/>
      <c r="AU1218" s="213"/>
      <c r="AV1218" s="213"/>
      <c r="AW1218" s="213"/>
      <c r="AX1218" s="213"/>
      <c r="AY1218" s="213"/>
      <c r="AZ1218" s="213"/>
      <c r="BA1218" s="213"/>
      <c r="BB1218" s="213"/>
      <c r="BC1218" s="213"/>
      <c r="BD1218" s="213"/>
    </row>
    <row r="1219">
      <c r="A1219" s="213">
        <f>IFERROR(__xludf.DUMMYFUNCTION("""COMPUTED_VALUE"""),1781.0)</f>
        <v>1781</v>
      </c>
      <c r="B1219" s="213" t="str">
        <f>IFERROR(__xludf.DUMMYFUNCTION("""COMPUTED_VALUE"""),"GUILLERMO E. BILLINGHURST ")</f>
        <v>GUILLERMO E. BILLINGHURST </v>
      </c>
      <c r="C1219" s="213" t="str">
        <f>IFERROR(__xludf.DUMMYFUNCTION("""COMPUTED_VALUE"""),"TALLER SFT DE EBANISTERÍA")</f>
        <v>TALLER SFT DE EBANISTERÍA</v>
      </c>
      <c r="D1219" s="213" t="str">
        <f>IFERROR(__xludf.DUMMYFUNCTION("""COMPUTED_VALUE"""),"PEDAGOGICO")</f>
        <v>PEDAGOGICO</v>
      </c>
      <c r="E1219" s="213" t="str">
        <f>IFERROR(__xludf.DUMMYFUNCTION("""COMPUTED_VALUE"""),"COM-206")</f>
        <v>COM-206</v>
      </c>
      <c r="F1219" s="213" t="str">
        <f>IFERROR(__xludf.DUMMYFUNCTION("""COMPUTED_VALUE"""),"COM-206")</f>
        <v>COM-206</v>
      </c>
      <c r="G1219" s="213"/>
      <c r="H1219" s="213" t="str">
        <f>IFERROR(__xludf.DUMMYFUNCTION("""COMPUTED_VALUE"""),"LIENZO MAGNÉTICO PARA DISEÑAR MODELOS DE NEGOCIOS")</f>
        <v>LIENZO MAGNÉTICO PARA DISEÑAR MODELOS DE NEGOCIOS</v>
      </c>
      <c r="I1219"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1"&amp;"0 cm, sobre la tarjeta se puede escribir y borrar con plumón de pizarra.
· Contiene 6 Fichas tamaño A4, impresas a todo color en papel couche de 350 gr/m2, enmicados por ambos lados y con bordes boleados.
· Contiene 4 plumones de pizarra (azul, rojo, verd"&amp;"e y negro), tinta de los plumones no debe ser tóxica / 1 Mota pequeña para borrar las escrituras de plumón en las tarjetas / Guía de metodología para el desarrollo de la metodología “Modelo de  negocio LEAN CANVAS / El material se presenta en una caja de "&amp;"cartón, con la imagen y descripción del material interactivo. Calidad Pedagógica
· Las tarjetas están organizadas en nueve (9) juegos, en la parte superior de la tarjeta esta rotulado el nombre del bloque de la metodología LEAN CANVAS:
- 10 tarjetas con e"&amp;"l rotulado segmento de clientes / 10 tarjetas con la rotulada propuesta de valor / 10 tarjetas con el rotulado ventaja competitiva / 10 tarjetas con el rotulado canales / 10 tarjetas con el rotulado problema / 10 tarjetas con el rotulado solución / 10 tar"&amp;"jetas con el rotulado métrica / 10 tarjetas con el rotulado flujo de ingreso / 10 tarjetas con la rotulada estructura de costos.
· Las fichas tienen desarrollado la descripción, orientaciones para su aplicación y ejemplo de cada módulo / bloque del modelo"&amp;" LEAN CANVAS y mediante código QR están relacionados a información digital.
- Ficha1; descripción sintética de cada elemento de la metodología LEAN CANVAS.   /    - Ficha 2. Descripción, protocolo para su aplicación y un ejemplo del segmento de clientes. "&amp;"   /   - Ficha 3. Descripción, protocolo para su aplicación y un ejemplo de propuesta de valor.   /   - Ficha 4. Descripción, protocolo para su aplicación y un ejemplo de ventaja competitiva.
/   - Ficha 5. Descripción, protocolo para su aplicación y un e"&amp;"jemplo canales. /  - Ficha 6. Descripción, protocolo para su aplicación y un ejemplo de Problema.
- Ficha 7. Descripción, protocolo para su aplicación y un ejemplo de solución.  /  - Ficha 8. Descripción, protocolo para su aplicación y un ejemplo de Métri"&amp;"ca.    /   - Ficha 9. Descripción, protocolo para su aplicación y un ejemplo flujo de ingreso.   /
- Ficha 10. Descripción, protocolo para su aplicación y un ejemplo de estructura de costos.   /  · Manual presenta información pedagógica y actividades de a"&amp;"prendizaje para el desarrollo de la competencia y 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del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 Ficha 2. Descripción, protocolo para su aplicación y un ejemplo del segmento de clientes.    /   - Ficha 3. Descripción, protocolo para su aplicación y un ejemplo de propuesta de valor.   /   - Ficha 4. Descripción, protocolo para su aplicación y un ejemplo de ventaja competitiva.
/   - Ficha 5. Descripción, protocolo para su aplicación y un ejemplo canales. /  - Ficha 6. Descripción, protocolo para su aplicación y un ejemplo de Problema.
- Ficha 7. Descripción, protocolo para su aplicación y un ejemplo de solución.  /  - Ficha 8. Descripción, protocolo para su aplicación y un ejemplo de Métrica.    /   - Ficha 9. Descripción, protocolo para su aplicación y un ejemplo flujo de ingreso.   /
- Ficha 10. Descripción, protocolo para su aplicación y un ejemplo de estructura de costos.   /  · Manual presenta información pedagógica y actividades de aprendizaje para el desarrollo de la competencia y las capacidades del área educación para el trabajo utilizando el lienzo magnético para diseñar modelos de negocios.</v>
      </c>
      <c r="J1219" s="213">
        <f>IFERROR(__xludf.DUMMYFUNCTION("""COMPUTED_VALUE"""),3.0)</f>
        <v>3</v>
      </c>
      <c r="K1219" s="213" t="str">
        <f>IFERROR(__xludf.DUMMYFUNCTION("""COMPUTED_VALUE"""),"90 DÍAS CALENDARIO")</f>
        <v>90 DÍAS CALENDARIO</v>
      </c>
      <c r="L1219" s="213" t="str">
        <f>IFERROR(__xludf.DUMMYFUNCTION("""COMPUTED_VALUE"""),"")</f>
        <v/>
      </c>
      <c r="M1219" s="213">
        <f>IFERROR(__xludf.DUMMYFUNCTION("""COMPUTED_VALUE"""),1.0)</f>
        <v>1</v>
      </c>
      <c r="N1219" s="213">
        <f>IFERROR(__xludf.DUMMYFUNCTION("""COMPUTED_VALUE"""),4.0)</f>
        <v>4</v>
      </c>
      <c r="O1219" s="213">
        <f>IFERROR(__xludf.DUMMYFUNCTION("""COMPUTED_VALUE"""),4.0)</f>
        <v>4</v>
      </c>
      <c r="P1219" s="213"/>
      <c r="Q1219" s="213"/>
      <c r="R1219" s="213"/>
      <c r="S1219" s="213"/>
      <c r="T1219" s="213"/>
      <c r="U1219" s="213"/>
      <c r="V1219" s="213"/>
      <c r="W1219" s="213"/>
      <c r="X1219" s="213"/>
      <c r="Y1219" s="213"/>
      <c r="Z1219" s="213"/>
      <c r="AA1219" s="213"/>
      <c r="AB1219" s="213"/>
      <c r="AC1219" s="213"/>
      <c r="AD1219" s="213"/>
      <c r="AE1219" s="213"/>
      <c r="AF1219" s="213"/>
      <c r="AG1219" s="213"/>
      <c r="AH1219" s="213"/>
      <c r="AI1219" s="213"/>
      <c r="AJ1219" s="213"/>
      <c r="AK1219" s="213"/>
      <c r="AL1219" s="213"/>
      <c r="AM1219" s="213"/>
      <c r="AN1219" s="213"/>
      <c r="AO1219" s="213"/>
      <c r="AP1219" s="213"/>
      <c r="AQ1219" s="213"/>
      <c r="AR1219" s="213"/>
      <c r="AS1219" s="213"/>
      <c r="AT1219" s="213"/>
      <c r="AU1219" s="213"/>
      <c r="AV1219" s="213"/>
      <c r="AW1219" s="213"/>
      <c r="AX1219" s="213"/>
      <c r="AY1219" s="213"/>
      <c r="AZ1219" s="213"/>
      <c r="BA1219" s="213"/>
      <c r="BB1219" s="213"/>
      <c r="BC1219" s="213"/>
      <c r="BD1219" s="213"/>
    </row>
    <row r="1220">
      <c r="A1220" s="213">
        <f>IFERROR(__xludf.DUMMYFUNCTION("""COMPUTED_VALUE"""),1939.0)</f>
        <v>1939</v>
      </c>
      <c r="B1220" s="213" t="str">
        <f>IFERROR(__xludf.DUMMYFUNCTION("""COMPUTED_VALUE"""),"JOSE GRANDA")</f>
        <v>JOSE GRANDA</v>
      </c>
      <c r="C1220" s="213" t="str">
        <f>IFERROR(__xludf.DUMMYFUNCTION("""COMPUTED_VALUE"""),"TALLER SFT DE COMPUTACIÓN E INFORMÁTICA")</f>
        <v>TALLER SFT DE COMPUTACIÓN E INFORMÁTICA</v>
      </c>
      <c r="D1220" s="213" t="str">
        <f>IFERROR(__xludf.DUMMYFUNCTION("""COMPUTED_VALUE"""),"PEDAGOGICO")</f>
        <v>PEDAGOGICO</v>
      </c>
      <c r="E1220" s="213" t="str">
        <f>IFERROR(__xludf.DUMMYFUNCTION("""COMPUTED_VALUE"""),"COM-206")</f>
        <v>COM-206</v>
      </c>
      <c r="F1220" s="213" t="str">
        <f>IFERROR(__xludf.DUMMYFUNCTION("""COMPUTED_VALUE"""),"COM-206")</f>
        <v>COM-206</v>
      </c>
      <c r="G1220" s="213"/>
      <c r="H1220" s="213" t="str">
        <f>IFERROR(__xludf.DUMMYFUNCTION("""COMPUTED_VALUE"""),"LIENZO MAGNÉTICO PARA DISEÑAR MODELOS DE NEGOCIOS")</f>
        <v>LIENZO MAGNÉTICO PARA DISEÑAR MODELOS DE NEGOCIOS</v>
      </c>
      <c r="I1220"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10"&amp;" cm, sobre la tarjeta se puede escribir y borrar con plumón de pizarra.
· Contiene 6 Fichas tamaño A4, impresas a todo color en papel couche de 350 gr/m2, enmicados por ambos lados y con bordes boleados.
· Contiene 4 plumones de pizarra (azul, rojo, verde"&amp;" y negro), tinta de los plumones no debe ser tóxica / 1 Mota pequeña para borrar las escrituras de plumón en las tarjetas / Guía de metodología para el desarrollo de la metodología “Modelo de negocio LEAN CANVAS / El material se presenta en una caja de ca"&amp;"rtón, con la imagen y descripción del material interactivo.
Calidad Pedagógica
· Las tarjetas están organizadas en nueve (9) juegos, en la parte superior de la tarjeta esta rotulado el nombre de bloque de la metodología LEAN CANVAS:
- 10 tarjetas con el r"&amp;"otulado segmento de clientes
- 10 tarjetas con la rotulada propuesta de valor
- 10 tarjetas con el rotulado ventaja competitiva
- 10 tarjetas con el rotulado canales
- 10 tarjetas con el rotulado problema
- 10 tarjetas con el rotulado solución
- 10 tarjet"&amp;"as con el rotulado métrica
- 10 tarjetas con el rotulado flujo de ingreso
- 10 tarjetas con la rotulada estructura de costos.
· Las fichas tienen desarrollado la descripción, orientaciones para su aplicación y ejemplo de cada módulo / bloque del modelo LE"&amp;"AN CANVAS y mediante código QR están relacionados a información digital.
- Ficha1; descripción sintética de cada elemento de la metodología LEAN CANVAS.
- Ficha 2. Descripción, protocolo para su aplicación y un ejemplo del segmento de clientes.
- Ficha 3."&amp;" Descripción, protocolo para su aplicación y un ejemplo de propuesta de valor.
- Ficha 4. Descripción, protocolo para su aplicación y un ejemplo de ventaja competitiva.
- Ficha 5. Descripción, protocolo para su aplicación y un ejemplo canales.
- Ficha 6. "&amp;"Descripción, protocolo para su aplicación y un ejemplo de Problema.
- Ficha 7. Descripción, protocolo para su aplicación y un ejemplo de solución.
- Ficha 8. Descripción, protocolo para su aplicación y un ejemplo de Métrica.
- Ficha 9. Descripción, protoc"&amp;"olo para su aplicación y un ejemplo flujo de ingreso.
- Ficha 10. Descripción, protocolo para su aplicación y un ejemplo de estructura de costos.
· Manual presenta información pedagógica y actividades de aprendizaje para el desarrollo de la competencia y "&amp;"las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Ficha 2. Descripción, protocolo para su aplicación y un ejemplo del segmento de clientes.
- Ficha 3. Descripción, protocolo para su aplicación y un ejemplo de propuesta de valor.
- Ficha 4. Descripción, protocolo para su aplicación y un ejemplo de ventaja competitiva.
- Ficha 5. Descripción, protocolo para su aplicación y un ejemplo canales.
- Ficha 6. Descripción, protocolo para su aplicación y un ejemplo de Problema.
- Ficha 7. Descripción, protocolo para su aplicación y un ejemplo de solución.
- Ficha 8. Descripción, protocolo para su aplicación y un ejemplo de Métrica.
- Ficha 9. Descripción, protocolo para su aplicación y un ejemplo flujo de ingreso.
- Ficha 10. Descripción, protocolo para su aplicación y un ejemplo de estructura de costos.
· Manual presenta información pedagógica y actividades de aprendizaje para el desarrollo de la competencia y las capacidades del área educación para el trabajo utilizando el lienzo magnético para diseñar modelos de negocios.</v>
      </c>
      <c r="J1220" s="213">
        <f>IFERROR(__xludf.DUMMYFUNCTION("""COMPUTED_VALUE"""),3.0)</f>
        <v>3</v>
      </c>
      <c r="K1220" s="213" t="str">
        <f>IFERROR(__xludf.DUMMYFUNCTION("""COMPUTED_VALUE"""),"90 DÍAS CALENDARIO")</f>
        <v>90 DÍAS CALENDARIO</v>
      </c>
      <c r="L1220" s="213" t="str">
        <f>IFERROR(__xludf.DUMMYFUNCTION("""COMPUTED_VALUE"""),"")</f>
        <v/>
      </c>
      <c r="M1220" s="213">
        <f>IFERROR(__xludf.DUMMYFUNCTION("""COMPUTED_VALUE"""),1.0)</f>
        <v>1</v>
      </c>
      <c r="N1220" s="213">
        <f>IFERROR(__xludf.DUMMYFUNCTION("""COMPUTED_VALUE"""),4.0)</f>
        <v>4</v>
      </c>
      <c r="O1220" s="213">
        <f>IFERROR(__xludf.DUMMYFUNCTION("""COMPUTED_VALUE"""),4.0)</f>
        <v>4</v>
      </c>
      <c r="P1220" s="213"/>
      <c r="Q1220" s="213"/>
      <c r="R1220" s="213"/>
      <c r="S1220" s="213"/>
      <c r="T1220" s="213"/>
      <c r="U1220" s="213"/>
      <c r="V1220" s="213"/>
      <c r="W1220" s="213"/>
      <c r="X1220" s="213"/>
      <c r="Y1220" s="213"/>
      <c r="Z1220" s="213"/>
      <c r="AA1220" s="213"/>
      <c r="AB1220" s="213"/>
      <c r="AC1220" s="213"/>
      <c r="AD1220" s="213"/>
      <c r="AE1220" s="213"/>
      <c r="AF1220" s="213"/>
      <c r="AG1220" s="213"/>
      <c r="AH1220" s="213"/>
      <c r="AI1220" s="213"/>
      <c r="AJ1220" s="213"/>
      <c r="AK1220" s="213"/>
      <c r="AL1220" s="213"/>
      <c r="AM1220" s="213"/>
      <c r="AN1220" s="213"/>
      <c r="AO1220" s="213"/>
      <c r="AP1220" s="213"/>
      <c r="AQ1220" s="213"/>
      <c r="AR1220" s="213"/>
      <c r="AS1220" s="213"/>
      <c r="AT1220" s="213"/>
      <c r="AU1220" s="213"/>
      <c r="AV1220" s="213"/>
      <c r="AW1220" s="213"/>
      <c r="AX1220" s="213"/>
      <c r="AY1220" s="213"/>
      <c r="AZ1220" s="213"/>
      <c r="BA1220" s="213"/>
      <c r="BB1220" s="213"/>
      <c r="BC1220" s="213"/>
      <c r="BD1220" s="213"/>
    </row>
    <row r="1221">
      <c r="A1221" s="213">
        <f>IFERROR(__xludf.DUMMYFUNCTION("""COMPUTED_VALUE"""),2054.0)</f>
        <v>2054</v>
      </c>
      <c r="B1221" s="213" t="str">
        <f>IFERROR(__xludf.DUMMYFUNCTION("""COMPUTED_VALUE"""),"JOSE GRANDA")</f>
        <v>JOSE GRANDA</v>
      </c>
      <c r="C1221" s="213" t="str">
        <f>IFERROR(__xludf.DUMMYFUNCTION("""COMPUTED_VALUE"""),"TALLER SFT DE INDUSTRIA ALIMENTARIA")</f>
        <v>TALLER SFT DE INDUSTRIA ALIMENTARIA</v>
      </c>
      <c r="D1221" s="213" t="str">
        <f>IFERROR(__xludf.DUMMYFUNCTION("""COMPUTED_VALUE"""),"PEDAGOGICO")</f>
        <v>PEDAGOGICO</v>
      </c>
      <c r="E1221" s="213" t="str">
        <f>IFERROR(__xludf.DUMMYFUNCTION("""COMPUTED_VALUE"""),"COM-206")</f>
        <v>COM-206</v>
      </c>
      <c r="F1221" s="213" t="str">
        <f>IFERROR(__xludf.DUMMYFUNCTION("""COMPUTED_VALUE"""),"COM-206")</f>
        <v>COM-206</v>
      </c>
      <c r="G1221" s="213"/>
      <c r="H1221" s="213" t="str">
        <f>IFERROR(__xludf.DUMMYFUNCTION("""COMPUTED_VALUE"""),"LIENZO MAGNÉTICO PARA DISEÑAR MODELOS DE NEGOCIOS")</f>
        <v>LIENZO MAGNÉTICO PARA DISEÑAR MODELOS DE NEGOCIOS</v>
      </c>
      <c r="I1221"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10"&amp;" cm, sobre la tarjeta se puede escribir y borrar con plumón de pizarra.
· Contiene 6 Fichas tamaño A4, impresas a todo color en papel couche de 350 gr/m2, enmicados por ambos lados y con bordes boleados.
· Contiene 4 plumones de pizarra (azul, rojo, verde"&amp;" y negro), tinta de los plumones no debe ser tóxica / 1 Mota pequeña para borrar las escrituras de plumón en las tarjetas / Guía de metodología para el desarrollo de la metodología “Modelo de negocio LEAN CANVAS / El material se presenta en una caja de ca"&amp;"rtón, con la imagen y descripción del material interactivo.
Calidad Pedagógica
· Las tarjetas están organizadas en nueve (9) juegos, en la parte superior de la tarjeta esta rotulado el nombre del bloque de la metodología LEAN CANVAS:
- 10 tarjetas con el "&amp;"rotulado segmento de clientes / 10 tarjetas con la rotulada propuesta de valor / 10 tarjetas con el rotulado ventaja competitiva / 10 tarjetas con el rotulado canales / 10 tarjetas con el rotulado problema / 10 tarjetas con el rotulado solución / 10 tarje"&amp;"tas con el rotulado métrica / 10 tarjetas con el rotulado flujo de ingreso / 10 tarjetas con la rotulada estructura de costos.
· Las fichas tienen desarrollado la descripción, orientaciones para su aplicación y ejemplo de cada módulo / bloque del modelo L"&amp;"EAN CANVAS y mediante código QR están relacionados a información digital.
- Ficha1; descripción sintética de cada elemento de la metodología LEAN CANVAS.   /     - Ficha 2. Descripción, protocolo para su aplicación y un ejemplo del segmento de clientes.  "&amp;"  /   - Ficha 3. Descripción, protocolo para su aplicación y un ejemplo de propuesta de valor.   /   - Ficha 4. Descripción, protocolo para su aplicación y un ejemplo de ventaja competitiva.   /   - Ficha 5. Descripción, protocolo para su aplicación y un "&amp;"ejemplo canales. /  - Ficha 6. Descripción, protocolo para su aplicación y un ejemplo de Problema.
- Ficha 7. Descripción, protocolo para su aplicación y un ejemplo de solución.  /  - Ficha 8. Descripción, protocolo para su aplicación y un ejemplo de Métr"&amp;"ica.     /   - Ficha 9. Descripción, protocolo para su aplicación y un ejemplo flujo de ingreso.   /   - Ficha 10.
Descripción, protocolo para su aplicación y un ejemplo de estructura de costos.   /  · Manual presenta información pedagógica y actividades "&amp;"de aprendizaje para el desarrollo de la competencia y 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del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 Ficha 2. Descripción, protocolo para su aplicación y un ejemplo del segmento de clientes.    /   - Ficha 3. Descripción, protocolo para su aplicación y un ejemplo de propuesta de valor.   /   - Ficha 4. Descripción, protocolo para su aplicación y un ejemplo de ventaja competitiva.   /   - Ficha 5. Descripción, protocolo para su aplicación y un ejemplo canales. /  - Ficha 6. Descripción, protocolo para su aplicación y un ejemplo de Problema.
- Ficha 7. Descripción, protocolo para su aplicación y un ejemplo de solución.  /  - Ficha 8. Descripción, protocolo para su aplicación y un ejemplo de Métrica.     /   - Ficha 9. Descripción, protocolo para su aplicación y un ejemplo flujo de ingreso.   /   - Ficha 10.
Descripción, protocolo para su aplicación y un ejemplo de estructura de costos.   /  · Manual presenta información pedagógica y actividades de aprendizaje para el desarrollo de la competencia y las capacidades del área educación para el trabajo utilizando el lienzo magnético para diseñar modelos de negocios.</v>
      </c>
      <c r="J1221" s="213">
        <f>IFERROR(__xludf.DUMMYFUNCTION("""COMPUTED_VALUE"""),3.0)</f>
        <v>3</v>
      </c>
      <c r="K1221" s="213" t="str">
        <f>IFERROR(__xludf.DUMMYFUNCTION("""COMPUTED_VALUE"""),"90 DÍAS CALENDARIO")</f>
        <v>90 DÍAS CALENDARIO</v>
      </c>
      <c r="L1221" s="213" t="str">
        <f>IFERROR(__xludf.DUMMYFUNCTION("""COMPUTED_VALUE"""),"")</f>
        <v/>
      </c>
      <c r="M1221" s="213">
        <f>IFERROR(__xludf.DUMMYFUNCTION("""COMPUTED_VALUE"""),1.0)</f>
        <v>1</v>
      </c>
      <c r="N1221" s="213">
        <f>IFERROR(__xludf.DUMMYFUNCTION("""COMPUTED_VALUE"""),4.0)</f>
        <v>4</v>
      </c>
      <c r="O1221" s="213">
        <f>IFERROR(__xludf.DUMMYFUNCTION("""COMPUTED_VALUE"""),4.0)</f>
        <v>4</v>
      </c>
      <c r="P1221" s="213"/>
      <c r="Q1221" s="213"/>
      <c r="R1221" s="213"/>
      <c r="S1221" s="213"/>
      <c r="T1221" s="213"/>
      <c r="U1221" s="213"/>
      <c r="V1221" s="213"/>
      <c r="W1221" s="213"/>
      <c r="X1221" s="213"/>
      <c r="Y1221" s="213"/>
      <c r="Z1221" s="213"/>
      <c r="AA1221" s="213"/>
      <c r="AB1221" s="213"/>
      <c r="AC1221" s="213"/>
      <c r="AD1221" s="213"/>
      <c r="AE1221" s="213"/>
      <c r="AF1221" s="213"/>
      <c r="AG1221" s="213"/>
      <c r="AH1221" s="213"/>
      <c r="AI1221" s="213"/>
      <c r="AJ1221" s="213"/>
      <c r="AK1221" s="213"/>
      <c r="AL1221" s="213"/>
      <c r="AM1221" s="213"/>
      <c r="AN1221" s="213"/>
      <c r="AO1221" s="213"/>
      <c r="AP1221" s="213"/>
      <c r="AQ1221" s="213"/>
      <c r="AR1221" s="213"/>
      <c r="AS1221" s="213"/>
      <c r="AT1221" s="213"/>
      <c r="AU1221" s="213"/>
      <c r="AV1221" s="213"/>
      <c r="AW1221" s="213"/>
      <c r="AX1221" s="213"/>
      <c r="AY1221" s="213"/>
      <c r="AZ1221" s="213"/>
      <c r="BA1221" s="213"/>
      <c r="BB1221" s="213"/>
      <c r="BC1221" s="213"/>
      <c r="BD1221" s="213"/>
    </row>
    <row r="1222">
      <c r="A1222" s="213">
        <f>IFERROR(__xludf.DUMMYFUNCTION("""COMPUTED_VALUE"""),2385.0)</f>
        <v>2385</v>
      </c>
      <c r="B1222" s="213" t="str">
        <f>IFERROR(__xludf.DUMMYFUNCTION("""COMPUTED_VALUE"""),"MANUEL ANTONIO MESONES MURO")</f>
        <v>MANUEL ANTONIO MESONES MURO</v>
      </c>
      <c r="C1222" s="213" t="str">
        <f>IFERROR(__xludf.DUMMYFUNCTION("""COMPUTED_VALUE"""),"TALLER SFT DE INDUSTRIA DEL VESTIDO")</f>
        <v>TALLER SFT DE INDUSTRIA DEL VESTIDO</v>
      </c>
      <c r="D1222" s="213" t="str">
        <f>IFERROR(__xludf.DUMMYFUNCTION("""COMPUTED_VALUE"""),"PEDAGOGICO")</f>
        <v>PEDAGOGICO</v>
      </c>
      <c r="E1222" s="213" t="str">
        <f>IFERROR(__xludf.DUMMYFUNCTION("""COMPUTED_VALUE"""),"COM-206")</f>
        <v>COM-206</v>
      </c>
      <c r="F1222" s="213" t="str">
        <f>IFERROR(__xludf.DUMMYFUNCTION("""COMPUTED_VALUE"""),"COM-206")</f>
        <v>COM-206</v>
      </c>
      <c r="G1222" s="213"/>
      <c r="H1222" s="213" t="str">
        <f>IFERROR(__xludf.DUMMYFUNCTION("""COMPUTED_VALUE"""),"LIENZO MAGNÉTICO PARA DISEÑAR MODELOS DE NEGOCIOS")</f>
        <v>LIENZO MAGNÉTICO PARA DISEÑAR MODELOS DE NEGOCIOS</v>
      </c>
      <c r="I1222"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1"&amp;"0 cm, sobre la tarjeta se puede escribir y borrar con plumón de pizarra.
· Contiene 6 Fichas tamaño A4, impresas a todo color en papel couche de 350 gr/m2, enmicados por ambos lados y con bordes boleados.
· Contiene 4 plumones de pizarra (azul, rojo, verd"&amp;"e y negro), tinta de los plumones no debe ser tóxica / 1 Mota pequeña para borrar las escrituras de plumón en las tarjetas / Guía de metodología para el desarrollo de la metodología “Modelo de negocio LEAN CANVAS / El material se presenta en una caja de c"&amp;"artón, con la imagen y descripción del material interactivo.
Calidad Pedagógica
· Las tarjetas están organizadas en nueve (9) juegos, en la parte superior de la tarjeta esta rotulado el nombre del  bloque de la metodología LEAN CANVAS:
- 10 tarjetas con e"&amp;"l rotulado segmento de clientes
- 10 tarjetas con la rotulada propuesta de valor
- 10 tarjetas con el rotulado ventaja competitiva
- 10 tarjetas con el rotulado canales
- 10 tarjetas con el rotulado problema
- 10 tarjetas con el rotulado solución
- 10 tar"&amp;"jetas con el rotulado métrica
- 10 tarjetas con el rotulado flujo de ingreso
- 10 tarjetas con la rotulada estructura de costos.
· Las fichas tienen desarrollado la descripción, orientaciones para su aplicación y ejemplo de cada módulo / bloque del modelo"&amp;" LEAN CANVAS y mediante código QR están relacionados a información digital.
- Ficha1; descripción sintética de cada elemento de la metodología LEAN CANVAS.
- Ficha 2. Descripción, protocolo para su aplicación y un ejemplo del segmento de clientes.
- Ficha"&amp;" 3. Descripción, protocolo para su aplicación y un ejemplo de propuesta de valor.
- Ficha 4. Descripción, protocolo para su aplicación y un ejemplo de ventaja competitiva.
- Ficha 5. Descripción, protocolo para su aplicación y un ejemplo canales.
- Ficha "&amp;"6. Descripción, protocolo para su aplicación y un ejemplo de Problema.
- Ficha 7. Descripción, protocolo para su aplicación y un ejemplo de solución.
- Ficha 8. Descripción, protocolo para su aplicación y un ejemplo de Métrica.
- Ficha 9. Descripción, pro"&amp;"tocolo para su aplicación y un ejemplo flujo de ingreso.
- Ficha 10. Descripción, protocolo para su aplicación y un ejemplo de estructura de costos.
· Manual presenta información pedagógica y actividades de aprendizaje para el desarrollo de la competencia"&amp;" y 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del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Ficha 2. Descripción, protocolo para su aplicación y un ejemplo del segmento de clientes.
- Ficha 3. Descripción, protocolo para su aplicación y un ejemplo de propuesta de valor.
- Ficha 4. Descripción, protocolo para su aplicación y un ejemplo de ventaja competitiva.
- Ficha 5. Descripción, protocolo para su aplicación y un ejemplo canales.
- Ficha 6. Descripción, protocolo para su aplicación y un ejemplo de Problema.
- Ficha 7. Descripción, protocolo para su aplicación y un ejemplo de solución.
- Ficha 8. Descripción, protocolo para su aplicación y un ejemplo de Métrica.
- Ficha 9. Descripción, protocolo para su aplicación y un ejemplo flujo de ingreso.
- Ficha 10. Descripción, protocolo para su aplicación y un ejemplo de estructura de costos.
· Manual presenta información pedagógica y actividades de aprendizaje para el desarrollo de la competencia y las capacidades del área educación para el trabajo utilizando el lienzo magnético para diseñar modelos de negocios.</v>
      </c>
      <c r="J1222" s="213">
        <f>IFERROR(__xludf.DUMMYFUNCTION("""COMPUTED_VALUE"""),3.0)</f>
        <v>3</v>
      </c>
      <c r="K1222" s="213" t="str">
        <f>IFERROR(__xludf.DUMMYFUNCTION("""COMPUTED_VALUE"""),"90 DÍAS CALENDARIO")</f>
        <v>90 DÍAS CALENDARIO</v>
      </c>
      <c r="L1222" s="213" t="str">
        <f>IFERROR(__xludf.DUMMYFUNCTION("""COMPUTED_VALUE"""),"")</f>
        <v/>
      </c>
      <c r="M1222" s="213">
        <f>IFERROR(__xludf.DUMMYFUNCTION("""COMPUTED_VALUE"""),1.0)</f>
        <v>1</v>
      </c>
      <c r="N1222" s="213">
        <f>IFERROR(__xludf.DUMMYFUNCTION("""COMPUTED_VALUE"""),4.0)</f>
        <v>4</v>
      </c>
      <c r="O1222" s="213">
        <f>IFERROR(__xludf.DUMMYFUNCTION("""COMPUTED_VALUE"""),4.0)</f>
        <v>4</v>
      </c>
      <c r="P1222" s="213"/>
      <c r="Q1222" s="213"/>
      <c r="R1222" s="213"/>
      <c r="S1222" s="213"/>
      <c r="T1222" s="213"/>
      <c r="U1222" s="213"/>
      <c r="V1222" s="213"/>
      <c r="W1222" s="213"/>
      <c r="X1222" s="213"/>
      <c r="Y1222" s="213"/>
      <c r="Z1222" s="213"/>
      <c r="AA1222" s="213"/>
      <c r="AB1222" s="213"/>
      <c r="AC1222" s="213"/>
      <c r="AD1222" s="213"/>
      <c r="AE1222" s="213"/>
      <c r="AF1222" s="213"/>
      <c r="AG1222" s="213"/>
      <c r="AH1222" s="213"/>
      <c r="AI1222" s="213"/>
      <c r="AJ1222" s="213"/>
      <c r="AK1222" s="213"/>
      <c r="AL1222" s="213"/>
      <c r="AM1222" s="213"/>
      <c r="AN1222" s="213"/>
      <c r="AO1222" s="213"/>
      <c r="AP1222" s="213"/>
      <c r="AQ1222" s="213"/>
      <c r="AR1222" s="213"/>
      <c r="AS1222" s="213"/>
      <c r="AT1222" s="213"/>
      <c r="AU1222" s="213"/>
      <c r="AV1222" s="213"/>
      <c r="AW1222" s="213"/>
      <c r="AX1222" s="213"/>
      <c r="AY1222" s="213"/>
      <c r="AZ1222" s="213"/>
      <c r="BA1222" s="213"/>
      <c r="BB1222" s="213"/>
      <c r="BC1222" s="213"/>
      <c r="BD1222" s="213"/>
    </row>
    <row r="1223">
      <c r="A1223" s="213">
        <f>IFERROR(__xludf.DUMMYFUNCTION("""COMPUTED_VALUE"""),2563.0)</f>
        <v>2563</v>
      </c>
      <c r="B1223" s="213" t="str">
        <f>IFERROR(__xludf.DUMMYFUNCTION("""COMPUTED_VALUE"""),"MANUEL ANTONIO MESONES MURO")</f>
        <v>MANUEL ANTONIO MESONES MURO</v>
      </c>
      <c r="C1223" s="213" t="str">
        <f>IFERROR(__xludf.DUMMYFUNCTION("""COMPUTED_VALUE"""),"TALLER SFT DE EBANISTERÍA")</f>
        <v>TALLER SFT DE EBANISTERÍA</v>
      </c>
      <c r="D1223" s="213" t="str">
        <f>IFERROR(__xludf.DUMMYFUNCTION("""COMPUTED_VALUE"""),"PEDAGOGICO")</f>
        <v>PEDAGOGICO</v>
      </c>
      <c r="E1223" s="213" t="str">
        <f>IFERROR(__xludf.DUMMYFUNCTION("""COMPUTED_VALUE"""),"COM-206")</f>
        <v>COM-206</v>
      </c>
      <c r="F1223" s="213" t="str">
        <f>IFERROR(__xludf.DUMMYFUNCTION("""COMPUTED_VALUE"""),"COM-206")</f>
        <v>COM-206</v>
      </c>
      <c r="G1223" s="213"/>
      <c r="H1223" s="213" t="str">
        <f>IFERROR(__xludf.DUMMYFUNCTION("""COMPUTED_VALUE"""),"LIENZO MAGNÉTICO PARA DISEÑAR MODELOS DE NEGOCIOS")</f>
        <v>LIENZO MAGNÉTICO PARA DISEÑAR MODELOS DE NEGOCIOS</v>
      </c>
      <c r="I1223" s="213" t="str">
        <f>IFERROR(__xludf.DUMMYFUNCTION("""COMPUTED_VALUE"""),"Calidad Física
· Base magnética Tamaño A1 (594 mm x 841 mm), el fondo es de color blanco, por uno de sus lados permite el trabajo magnético y por el otro lado se puede escribir y borrar con plumones.
· El lienzo que es tipo panel tiene impreso a todo colo"&amp;"r el esquema del modelo de negocio LEAN CANVAS
· Contiene 9 grupos de tarjetas magnéticas, cada grupo es de color diferente (cada color representa un módulo / bloque del modelo  LEAN CANVAS), cada grupo de tarjetas está compuesto por 10 tarjetas de 10 x 1"&amp;"0 cm, sobre la tarjeta se puede escribir y borrar con plumón de pizarra.
· Contiene 6 Fichas tamaño A4, impresas a todo color en papel couche de 350 gr/m2, enmicados por ambos lados y con bordes boleados.
· Contiene 4 plumones de pizarra (azul, rojo, verd"&amp;"e y negro), tinta de los plumones no debe ser tóxica / 1 Mota pequeña para borrar las escrituras de plumón en las tarjetas / Guía de metodología para el desarrollo de la metodología “Modelo de  negocio LEAN CANVAS / El material se presenta en una caja de "&amp;"cartón, con la imagen y descripción del material interactivo. Calidad Pedagógica
· Las tarjetas están organizadas en nueve (9) juegos, en la parte superior de la tarjeta esta rotulado el nombre del bloque de la metodología LEAN CANVAS:
- 10 tarjetas con e"&amp;"l rotulado segmento de clientes / 10 tarjetas con la rotulada propuesta de valor / 10 tarjetas con el rotulado ventaja competitiva / 10 tarjetas con el rotulado canales / 10 tarjetas con el rotulado problema / 10 tarjetas con el rotulado solución / 10 tar"&amp;"jetas con el rotulado métrica / 10 tarjetas con el rotulado flujo de ingreso / 10 tarjetas con la rotulada estructura de costos.
· Las fichas tienen desarrollado la descripción, orientaciones para su aplicación y ejemplo de cada módulo / bloque del modelo"&amp;" LEAN CANVAS y mediante código QR están relacionados a información digital.
- Ficha1; descripción sintética de cada elemento de la metodología LEAN CANVAS.   /    - Ficha 2. Descripción, protocolo para su aplicación y un ejemplo del segmento de clientes. "&amp;"   /   - Ficha 3. Descripción, protocolo para su aplicación y un ejemplo de propuesta de valor.   /   - Ficha 4. Descripción, protocolo para su aplicación y un ejemplo de ventaja competitiva.
/   - Ficha 5. Descripción, protocolo para su aplicación y un e"&amp;"jemplo canales. /  - Ficha 6. Descripción, protocolo para su aplicación y un ejemplo de Problema.
- Ficha 7. Descripción, protocolo para su aplicación y un ejemplo de solución.  /  - Ficha 8. Descripción, protocolo para su aplicación y un ejemplo de Métri"&amp;"ca.    /   - Ficha 9. Descripción, protocolo para su aplicación y un ejemplo flujo de ingreso.   /
- Ficha 10. Descripción, protocolo para su aplicación y un ejemplo de estructura de costos.   /  · Manual presenta información pedagógica y actividades de a"&amp;"prendizaje para el desarrollo de la competencia y las capacidades del área educación para el trabajo utilizando el lienzo magnético para diseñar modelos de negocios.")</f>
        <v>Calidad Física
· Base magnética Tamaño A1 (594 mm x 841 mm), el fondo es de color blanco, por uno de sus lados permite el trabajo magnético y por el otro lado se puede escribir y borrar con plumones.
· El lienzo que es tipo panel tiene impreso a todo color el esquema del modelo de negocio LEAN CANVAS
· Contiene 9 grupos de tarjetas magnéticas, cada grupo es de color diferente (cada color representa un módulo / bloque del modelo  LEAN CANVAS), cada grupo de tarjetas está compuesto por 10 tarjetas de 10 x 10 cm, sobre la tarjeta se puede escribir y borrar con plumón de pizarra.
· Contiene 6 Fichas tamaño A4, impresas a todo color en papel couche de 350 gr/m2, enmicados por ambos lados y con bordes boleados.
· Contiene 4 plumones de pizarra (azul, rojo, verde y negro), tinta de los plumones no debe ser tóxica / 1 Mota pequeña para borrar las escrituras de plumón en las tarjetas / Guía de metodología para el desarrollo de la metodología “Modelo de  negocio LEAN CANVAS / El material se presenta en una caja de cartón, con la imagen y descripción del material interactivo. Calidad Pedagógica
· Las tarjetas están organizadas en nueve (9) juegos, en la parte superior de la tarjeta esta rotulado el nombre del bloque de la metodología LEAN CANVAS:
- 10 tarjetas con el rotulado segmento de clientes / 10 tarjetas con la rotulada propuesta de valor / 10 tarjetas con el rotulado ventaja competitiva / 10 tarjetas con el rotulado canales / 10 tarjetas con el rotulado problema / 10 tarjetas con el rotulado solución / 10 tarjetas con el rotulado métrica / 10 tarjetas con el rotulado flujo de ingreso / 10 tarjetas con la rotulada estructura de costos.
· Las fichas tienen desarrollado la descripción, orientaciones para su aplicación y ejemplo de cada módulo / bloque del modelo LEAN CANVAS y mediante código QR están relacionados a información digital.
- Ficha1; descripción sintética de cada elemento de la metodología LEAN CANVAS.   /    - Ficha 2. Descripción, protocolo para su aplicación y un ejemplo del segmento de clientes.    /   - Ficha 3. Descripción, protocolo para su aplicación y un ejemplo de propuesta de valor.   /   - Ficha 4. Descripción, protocolo para su aplicación y un ejemplo de ventaja competitiva.
/   - Ficha 5. Descripción, protocolo para su aplicación y un ejemplo canales. /  - Ficha 6. Descripción, protocolo para su aplicación y un ejemplo de Problema.
- Ficha 7. Descripción, protocolo para su aplicación y un ejemplo de solución.  /  - Ficha 8. Descripción, protocolo para su aplicación y un ejemplo de Métrica.    /   - Ficha 9. Descripción, protocolo para su aplicación y un ejemplo flujo de ingreso.   /
- Ficha 10. Descripción, protocolo para su aplicación y un ejemplo de estructura de costos.   /  · Manual presenta información pedagógica y actividades de aprendizaje para el desarrollo de la competencia y las capacidades del área educación para el trabajo utilizando el lienzo magnético para diseñar modelos de negocios.</v>
      </c>
      <c r="J1223" s="213">
        <f>IFERROR(__xludf.DUMMYFUNCTION("""COMPUTED_VALUE"""),3.0)</f>
        <v>3</v>
      </c>
      <c r="K1223" s="213" t="str">
        <f>IFERROR(__xludf.DUMMYFUNCTION("""COMPUTED_VALUE"""),"90 DÍAS CALENDARIO")</f>
        <v>90 DÍAS CALENDARIO</v>
      </c>
      <c r="L1223" s="213" t="str">
        <f>IFERROR(__xludf.DUMMYFUNCTION("""COMPUTED_VALUE"""),"")</f>
        <v/>
      </c>
      <c r="M1223" s="213">
        <f>IFERROR(__xludf.DUMMYFUNCTION("""COMPUTED_VALUE"""),1.0)</f>
        <v>1</v>
      </c>
      <c r="N1223" s="213">
        <f>IFERROR(__xludf.DUMMYFUNCTION("""COMPUTED_VALUE"""),4.0)</f>
        <v>4</v>
      </c>
      <c r="O1223" s="213">
        <f>IFERROR(__xludf.DUMMYFUNCTION("""COMPUTED_VALUE"""),4.0)</f>
        <v>4</v>
      </c>
      <c r="P1223" s="213"/>
      <c r="Q1223" s="213"/>
      <c r="R1223" s="213"/>
      <c r="S1223" s="213"/>
      <c r="T1223" s="213"/>
      <c r="U1223" s="213"/>
      <c r="V1223" s="213"/>
      <c r="W1223" s="213"/>
      <c r="X1223" s="213"/>
      <c r="Y1223" s="213"/>
      <c r="Z1223" s="213"/>
      <c r="AA1223" s="213"/>
      <c r="AB1223" s="213"/>
      <c r="AC1223" s="213"/>
      <c r="AD1223" s="213"/>
      <c r="AE1223" s="213"/>
      <c r="AF1223" s="213"/>
      <c r="AG1223" s="213"/>
      <c r="AH1223" s="213"/>
      <c r="AI1223" s="213"/>
      <c r="AJ1223" s="213"/>
      <c r="AK1223" s="213"/>
      <c r="AL1223" s="213"/>
      <c r="AM1223" s="213"/>
      <c r="AN1223" s="213"/>
      <c r="AO1223" s="213"/>
      <c r="AP1223" s="213"/>
      <c r="AQ1223" s="213"/>
      <c r="AR1223" s="213"/>
      <c r="AS1223" s="213"/>
      <c r="AT1223" s="213"/>
      <c r="AU1223" s="213"/>
      <c r="AV1223" s="213"/>
      <c r="AW1223" s="213"/>
      <c r="AX1223" s="213"/>
      <c r="AY1223" s="213"/>
      <c r="AZ1223" s="213"/>
      <c r="BA1223" s="213"/>
      <c r="BB1223" s="213"/>
      <c r="BC1223" s="213"/>
      <c r="BD1223" s="213"/>
    </row>
    <row r="1224">
      <c r="A1224" s="213">
        <f>IFERROR(__xludf.DUMMYFUNCTION("""COMPUTED_VALUE"""),1866.0)</f>
        <v>1866</v>
      </c>
      <c r="B1224" s="213" t="str">
        <f>IFERROR(__xludf.DUMMYFUNCTION("""COMPUTED_VALUE"""),"GUILLERMO E. BILLINGHURST ")</f>
        <v>GUILLERMO E. BILLINGHURST </v>
      </c>
      <c r="C1224" s="213" t="str">
        <f>IFERROR(__xludf.DUMMYFUNCTION("""COMPUTED_VALUE"""),"TALLER SFT DE EBANISTERÍA")</f>
        <v>TALLER SFT DE EBANISTERÍA</v>
      </c>
      <c r="D1224" s="213" t="str">
        <f>IFERROR(__xludf.DUMMYFUNCTION("""COMPUTED_VALUE"""),"EQUIPOS")</f>
        <v>EQUIPOS</v>
      </c>
      <c r="E1224" s="213" t="str">
        <f>IFERROR(__xludf.DUMMYFUNCTION("""COMPUTED_VALUE"""),"ESP-219")</f>
        <v>ESP-219</v>
      </c>
      <c r="F1224" s="213" t="str">
        <f>IFERROR(__xludf.DUMMYFUNCTION("""COMPUTED_VALUE"""),"ESP-219")</f>
        <v>ESP-219</v>
      </c>
      <c r="G1224" s="213"/>
      <c r="H1224" s="213" t="str">
        <f>IFERROR(__xludf.DUMMYFUNCTION("""COMPUTED_VALUE"""),"LIJADORA DE BANDA Y DISCO DE MESA")</f>
        <v>LIJADORA DE BANDA Y DISCO DE MESA</v>
      </c>
      <c r="I1224" s="213" t="str">
        <f>IFERROR(__xludf.DUMMYFUNCTION("""COMPUTED_VALUE"""),"· De uso universal, con grupo lijador inclinable y banco.
· Brazo de lijado inclinable 0 - 90º.
· Potencia del motor 1,5 CV / 1,1 Kw
· Dimensiones de la banda 152 mm x 1.219 mm
· Ø del plato de lijado 305 mm
· Dimensiones de la mesa hierro fundido 315 mm "&amp;"x 155 mm
· Dimensiones de la mesa aluminio 400 mm x 225 mm
· Inclinación de la mesa de trabajo -15° - 0° - +45°
· Velocidad de la banda 12 m/s
· Ø conector aspiración 2"" x 63 mm
· Dimensiones (l x an x al) 85 cm x 60 cm x 135 cm
· Peso neto 53 kg
· Volta"&amp;"je, frecuencia: 220 V, 60 Hz.")</f>
        <v>· De uso universal, con grupo lijador inclinable y banco.
· Brazo de lijado inclinable 0 - 90º.
· Potencia del motor 1,5 CV / 1,1 Kw
· Dimensiones de la banda 152 mm x 1.219 mm
· Ø del plato de lijado 305 mm
· Dimensiones de la mesa hierro fundido 315 mm x 155 mm
· Dimensiones de la mesa aluminio 400 mm x 225 mm
· Inclinación de la mesa de trabajo -15° - 0° - +45°
· Velocidad de la banda 12 m/s
· Ø conector aspiración 2" x 63 mm
· Dimensiones (l x an x al) 85 cm x 60 cm x 135 cm
· Peso neto 53 kg
· Voltaje, frecuencia: 220 V, 60 Hz.</v>
      </c>
      <c r="J1224" s="213">
        <f>IFERROR(__xludf.DUMMYFUNCTION("""COMPUTED_VALUE"""),3.0)</f>
        <v>3</v>
      </c>
      <c r="K1224" s="213" t="str">
        <f>IFERROR(__xludf.DUMMYFUNCTION("""COMPUTED_VALUE"""),"170 DÍAS CALENDARIO")</f>
        <v>170 DÍAS CALENDARIO</v>
      </c>
      <c r="L1224" s="213" t="str">
        <f>IFERROR(__xludf.DUMMYFUNCTION("""COMPUTED_VALUE"""),"")</f>
        <v/>
      </c>
      <c r="M1224" s="213">
        <f>IFERROR(__xludf.DUMMYFUNCTION("""COMPUTED_VALUE"""),1.0)</f>
        <v>1</v>
      </c>
      <c r="N1224" s="213">
        <f>IFERROR(__xludf.DUMMYFUNCTION("""COMPUTED_VALUE"""),1.0)</f>
        <v>1</v>
      </c>
      <c r="O1224" s="213">
        <f>IFERROR(__xludf.DUMMYFUNCTION("""COMPUTED_VALUE"""),1.0)</f>
        <v>1</v>
      </c>
      <c r="P1224" s="213"/>
      <c r="Q1224" s="213"/>
      <c r="R1224" s="213"/>
      <c r="S1224" s="213" t="str">
        <f>IFERROR(__xludf.DUMMYFUNCTION("""COMPUTED_VALUE"""),"SI")</f>
        <v>SI</v>
      </c>
      <c r="T1224" s="213" t="str">
        <f>IFERROR(__xludf.DUMMYFUNCTION("""COMPUTED_VALUE"""),"SI")</f>
        <v>SI</v>
      </c>
      <c r="U1224" s="213" t="str">
        <f>IFERROR(__xludf.DUMMYFUNCTION("""COMPUTED_VALUE"""),"NO")</f>
        <v>NO</v>
      </c>
      <c r="V1224" s="213" t="str">
        <f>IFERROR(__xludf.DUMMYFUNCTION("""COMPUTED_VALUE"""),"SUSTENTO")</f>
        <v>SUSTENTO</v>
      </c>
      <c r="W1224" s="213" t="str">
        <f>IFERROR(__xludf.DUMMYFUNCTION("""COMPUTED_VALUE"""),"ELÉCTRICO")</f>
        <v>ELÉCTRICO</v>
      </c>
      <c r="X1224" s="213" t="str">
        <f>IFERROR(__xludf.DUMMYFUNCTION("""COMPUTED_VALUE"""),"HOLZSTAR")</f>
        <v>HOLZSTAR</v>
      </c>
      <c r="Y1224" s="213" t="str">
        <f>IFERROR(__xludf.DUMMYFUNCTION("""COMPUTED_VALUE"""),"BTS 200")</f>
        <v>BTS 200</v>
      </c>
      <c r="Z1224" s="215" t="str">
        <f>IFERROR(__xludf.DUMMYFUNCTION("""COMPUTED_VALUE"""),"https://www.aslak.es/madera/5902200-lijadora-con-brazo-inclinable-bts-200.html")</f>
        <v>https://www.aslak.es/madera/5902200-lijadora-con-brazo-inclinable-bts-200.html</v>
      </c>
      <c r="AA1224" s="213" t="str">
        <f>IFERROR(__xludf.DUMMYFUNCTION("""COMPUTED_VALUE"""),"ESP-219 LIJADORA DE BANDA Y DISCO DE MESA - CET")</f>
        <v>ESP-219 LIJADORA DE BANDA Y DISCO DE MESA - CET</v>
      </c>
      <c r="AB1224" s="215" t="str">
        <f>IFERROR(__xludf.DUMMYFUNCTION("""COMPUTED_VALUE"""),"https://drive.google.com/file/d/17_cEFpcx6B3FZL4DsTFAE5-B-YNdaq_g/view?usp=sharing")</f>
        <v>https://drive.google.com/file/d/17_cEFpcx6B3FZL4DsTFAE5-B-YNdaq_g/view?usp=sharing</v>
      </c>
      <c r="AC1224" s="213"/>
      <c r="AD1224" s="213"/>
      <c r="AE1224" s="213"/>
      <c r="AF1224" s="213"/>
      <c r="AG1224" s="213"/>
      <c r="AH1224" s="213" t="str">
        <f>IFERROR(__xludf.DUMMYFUNCTION("""COMPUTED_VALUE"""),"IMPORTADO")</f>
        <v>IMPORTADO</v>
      </c>
      <c r="AI1224" s="213"/>
      <c r="AJ1224" s="213"/>
      <c r="AK1224" s="213"/>
      <c r="AL1224" s="213"/>
      <c r="AM1224" s="213"/>
      <c r="AN1224" s="213"/>
      <c r="AO1224" s="213"/>
      <c r="AP1224" s="213" t="str">
        <f>IFERROR(__xludf.DUMMYFUNCTION("""COMPUTED_VALUE"""),"MICHEL")</f>
        <v>MICHEL</v>
      </c>
      <c r="AQ1224" s="213"/>
      <c r="AR1224" s="213"/>
      <c r="AS1224" s="213"/>
      <c r="AT1224" s="213"/>
      <c r="AU1224" s="213"/>
      <c r="AV1224" s="213"/>
      <c r="AW1224" s="213"/>
      <c r="AX1224" s="213"/>
      <c r="AY1224" s="213"/>
      <c r="AZ1224" s="213"/>
      <c r="BA1224" s="213"/>
      <c r="BB1224" s="213"/>
      <c r="BC1224" s="213"/>
      <c r="BD1224" s="213"/>
    </row>
    <row r="1225">
      <c r="A1225" s="213">
        <f>IFERROR(__xludf.DUMMYFUNCTION("""COMPUTED_VALUE"""),2647.0)</f>
        <v>2647</v>
      </c>
      <c r="B1225" s="213" t="str">
        <f>IFERROR(__xludf.DUMMYFUNCTION("""COMPUTED_VALUE"""),"MANUEL ANTONIO MESONES MURO")</f>
        <v>MANUEL ANTONIO MESONES MURO</v>
      </c>
      <c r="C1225" s="213" t="str">
        <f>IFERROR(__xludf.DUMMYFUNCTION("""COMPUTED_VALUE"""),"TALLER SFT DE EBANISTERÍA")</f>
        <v>TALLER SFT DE EBANISTERÍA</v>
      </c>
      <c r="D1225" s="213" t="str">
        <f>IFERROR(__xludf.DUMMYFUNCTION("""COMPUTED_VALUE"""),"EQUIPOS")</f>
        <v>EQUIPOS</v>
      </c>
      <c r="E1225" s="213" t="str">
        <f>IFERROR(__xludf.DUMMYFUNCTION("""COMPUTED_VALUE"""),"ESP-219")</f>
        <v>ESP-219</v>
      </c>
      <c r="F1225" s="213" t="str">
        <f>IFERROR(__xludf.DUMMYFUNCTION("""COMPUTED_VALUE"""),"ESP-219")</f>
        <v>ESP-219</v>
      </c>
      <c r="G1225" s="213"/>
      <c r="H1225" s="213" t="str">
        <f>IFERROR(__xludf.DUMMYFUNCTION("""COMPUTED_VALUE"""),"LIJADORA DE BANDA Y DISCO DE MESA")</f>
        <v>LIJADORA DE BANDA Y DISCO DE MESA</v>
      </c>
      <c r="I1225" s="213" t="str">
        <f>IFERROR(__xludf.DUMMYFUNCTION("""COMPUTED_VALUE"""),"· De uso universal, con grupo lijador inclinable y banco.
· Brazo de lijado inclinable 0 - 90º.
· Potencia del motor 1,5 CV / 1,1 Kw
· Dimensiones de la banda 152 mm x 1.219 mm
· Ø del plato de lijado 305 mm
· Dimensiones de la mesa hierro fundido 315 mm "&amp;"x 155 mm
· Dimensiones de la mesa aluminio 400 mm x 225 mm
· Inclinación de la mesa de trabajo -15° - 0° - +45°
· Velocidad de la banda 12 m/s
· Ø conector aspiración 2"" x 63 mm
· Dimensiones (l x an x al) 85 cm x 60 cm x 135 cm
· Peso neto 53 kg
· Volta"&amp;"je, frecuencia: 220 V, 60 Hz.")</f>
        <v>· De uso universal, con grupo lijador inclinable y banco.
· Brazo de lijado inclinable 0 - 90º.
· Potencia del motor 1,5 CV / 1,1 Kw
· Dimensiones de la banda 152 mm x 1.219 mm
· Ø del plato de lijado 305 mm
· Dimensiones de la mesa hierro fundido 315 mm x 155 mm
· Dimensiones de la mesa aluminio 400 mm x 225 mm
· Inclinación de la mesa de trabajo -15° - 0° - +45°
· Velocidad de la banda 12 m/s
· Ø conector aspiración 2" x 63 mm
· Dimensiones (l x an x al) 85 cm x 60 cm x 135 cm
· Peso neto 53 kg
· Voltaje, frecuencia: 220 V, 60 Hz.</v>
      </c>
      <c r="J1225" s="213">
        <f>IFERROR(__xludf.DUMMYFUNCTION("""COMPUTED_VALUE"""),3.0)</f>
        <v>3</v>
      </c>
      <c r="K1225" s="213" t="str">
        <f>IFERROR(__xludf.DUMMYFUNCTION("""COMPUTED_VALUE"""),"170 DÍAS CALENDARIO")</f>
        <v>170 DÍAS CALENDARIO</v>
      </c>
      <c r="L1225" s="213" t="str">
        <f>IFERROR(__xludf.DUMMYFUNCTION("""COMPUTED_VALUE"""),"")</f>
        <v/>
      </c>
      <c r="M1225" s="213">
        <f>IFERROR(__xludf.DUMMYFUNCTION("""COMPUTED_VALUE"""),1.0)</f>
        <v>1</v>
      </c>
      <c r="N1225" s="213">
        <f>IFERROR(__xludf.DUMMYFUNCTION("""COMPUTED_VALUE"""),1.0)</f>
        <v>1</v>
      </c>
      <c r="O1225" s="213">
        <f>IFERROR(__xludf.DUMMYFUNCTION("""COMPUTED_VALUE"""),1.0)</f>
        <v>1</v>
      </c>
      <c r="P1225" s="213"/>
      <c r="Q1225" s="213"/>
      <c r="R1225" s="213"/>
      <c r="S1225" s="213" t="str">
        <f>IFERROR(__xludf.DUMMYFUNCTION("""COMPUTED_VALUE"""),"SI")</f>
        <v>SI</v>
      </c>
      <c r="T1225" s="213" t="str">
        <f>IFERROR(__xludf.DUMMYFUNCTION("""COMPUTED_VALUE"""),"SI")</f>
        <v>SI</v>
      </c>
      <c r="U1225" s="213" t="str">
        <f>IFERROR(__xludf.DUMMYFUNCTION("""COMPUTED_VALUE"""),"NO")</f>
        <v>NO</v>
      </c>
      <c r="V1225" s="213" t="str">
        <f>IFERROR(__xludf.DUMMYFUNCTION("""COMPUTED_VALUE"""),"SUSTENTO")</f>
        <v>SUSTENTO</v>
      </c>
      <c r="W1225" s="213" t="str">
        <f>IFERROR(__xludf.DUMMYFUNCTION("""COMPUTED_VALUE"""),"ELÉCTRICO")</f>
        <v>ELÉCTRICO</v>
      </c>
      <c r="X1225" s="213" t="str">
        <f>IFERROR(__xludf.DUMMYFUNCTION("""COMPUTED_VALUE"""),"HOLZSTAR")</f>
        <v>HOLZSTAR</v>
      </c>
      <c r="Y1225" s="213" t="str">
        <f>IFERROR(__xludf.DUMMYFUNCTION("""COMPUTED_VALUE"""),"BTS 200")</f>
        <v>BTS 200</v>
      </c>
      <c r="Z1225" s="215" t="str">
        <f>IFERROR(__xludf.DUMMYFUNCTION("""COMPUTED_VALUE"""),"https://www.aslak.es/madera/5902200-lijadora-con-brazo-inclinable-bts-200.html")</f>
        <v>https://www.aslak.es/madera/5902200-lijadora-con-brazo-inclinable-bts-200.html</v>
      </c>
      <c r="AA1225" s="213" t="str">
        <f>IFERROR(__xludf.DUMMYFUNCTION("""COMPUTED_VALUE"""),"ESP-219 LIJADORA DE BANDA Y DISCO DE MESA - CET")</f>
        <v>ESP-219 LIJADORA DE BANDA Y DISCO DE MESA - CET</v>
      </c>
      <c r="AB1225" s="215" t="str">
        <f>IFERROR(__xludf.DUMMYFUNCTION("""COMPUTED_VALUE"""),"https://drive.google.com/file/d/17_cEFpcx6B3FZL4DsTFAE5-B-YNdaq_g/view?usp=sharing")</f>
        <v>https://drive.google.com/file/d/17_cEFpcx6B3FZL4DsTFAE5-B-YNdaq_g/view?usp=sharing</v>
      </c>
      <c r="AC1225" s="213"/>
      <c r="AD1225" s="213"/>
      <c r="AE1225" s="213"/>
      <c r="AF1225" s="213"/>
      <c r="AG1225" s="213"/>
      <c r="AH1225" s="213" t="str">
        <f>IFERROR(__xludf.DUMMYFUNCTION("""COMPUTED_VALUE"""),"IMPORTADO")</f>
        <v>IMPORTADO</v>
      </c>
      <c r="AI1225" s="213"/>
      <c r="AJ1225" s="213"/>
      <c r="AK1225" s="213"/>
      <c r="AL1225" s="213"/>
      <c r="AM1225" s="213"/>
      <c r="AN1225" s="213"/>
      <c r="AO1225" s="213"/>
      <c r="AP1225" s="213" t="str">
        <f>IFERROR(__xludf.DUMMYFUNCTION("""COMPUTED_VALUE"""),"MICHEL")</f>
        <v>MICHEL</v>
      </c>
      <c r="AQ1225" s="213"/>
      <c r="AR1225" s="213"/>
      <c r="AS1225" s="213"/>
      <c r="AT1225" s="213"/>
      <c r="AU1225" s="213"/>
      <c r="AV1225" s="213"/>
      <c r="AW1225" s="213"/>
      <c r="AX1225" s="213"/>
      <c r="AY1225" s="213"/>
      <c r="AZ1225" s="213"/>
      <c r="BA1225" s="213"/>
      <c r="BB1225" s="213"/>
      <c r="BC1225" s="213"/>
      <c r="BD1225" s="213"/>
    </row>
    <row r="1226">
      <c r="A1226" s="213">
        <f>IFERROR(__xludf.DUMMYFUNCTION("""COMPUTED_VALUE"""),1902.0)</f>
        <v>1902</v>
      </c>
      <c r="B1226" s="213" t="str">
        <f>IFERROR(__xludf.DUMMYFUNCTION("""COMPUTED_VALUE"""),"GUILLERMO E. BILLINGHURST ")</f>
        <v>GUILLERMO E. BILLINGHURST </v>
      </c>
      <c r="C1226" s="213" t="str">
        <f>IFERROR(__xludf.DUMMYFUNCTION("""COMPUTED_VALUE"""),"TALLER SFT DE EBANISTERÍA")</f>
        <v>TALLER SFT DE EBANISTERÍA</v>
      </c>
      <c r="D1226" s="213" t="str">
        <f>IFERROR(__xludf.DUMMYFUNCTION("""COMPUTED_VALUE"""),"EQUIPOS")</f>
        <v>EQUIPOS</v>
      </c>
      <c r="E1226" s="213" t="str">
        <f>IFERROR(__xludf.DUMMYFUNCTION("""COMPUTED_VALUE"""),"ESP-221")</f>
        <v>ESP-221</v>
      </c>
      <c r="F1226" s="213" t="str">
        <f>IFERROR(__xludf.DUMMYFUNCTION("""COMPUTED_VALUE"""),"ESP-221")</f>
        <v>ESP-221</v>
      </c>
      <c r="G1226" s="213"/>
      <c r="H1226" s="213" t="str">
        <f>IFERROR(__xludf.DUMMYFUNCTION("""COMPUTED_VALUE"""),"LIJADORA ORBITAL PORTÁTIL")</f>
        <v>LIJADORA ORBITAL PORTÁTIL</v>
      </c>
      <c r="I1226" s="213" t="str">
        <f>IFERROR(__xludf.DUMMYFUNCTION("""COMPUTED_VALUE"""),"Características:  Manejable y ligera, de bajas vibraciones y bajo nivel de ruido ideal para trabajos en superficies amplias. /
Empuñaduras delantera y trasera con elastómero antideslizante, más confort y seguridad Material: Carcasa de poliamida
Potencia m"&amp;"ínima: 180 W Velocidad: Variable mediante dial Alimentación:  220 V / 60 Hz
Ámbito de uso: Carpintería Tamaño de respaldo: 92 x 185 mm cómo mínimo Tamaño del papel abrasivo: 93 x 228 mm
Velocidad mínima: 11000 RPM Dimensiones mínimas: 253 x 92 x 153 mm Pe"&amp;"so aproximado (+-100gr): 1.6 kg
Incluye: 1 papel abrasivo + 1 papel abrasivo tipo velcro + 1 placa perforadora + 2 almohadillas de respaldo + 1 bolsa colectora de polvo + 1 caja de polvo + 1 filtro + 1 manguera")</f>
        <v>Características:  Manejable y ligera, de bajas vibraciones y bajo nivel de ruido ideal para trabajos en superficies amplias. /
Empuñaduras delantera y trasera con elastómero antideslizante, más confort y seguridad Material: Carcasa de poliamida
Potencia mínima: 180 W Velocidad: Variable mediante dial Alimentación:  220 V / 60 Hz
Ámbito de uso: Carpintería Tamaño de respaldo: 92 x 185 mm cómo mínimo Tamaño del papel abrasivo: 93 x 228 mm
Velocidad mínima: 11000 RPM Dimensiones mínimas: 253 x 92 x 153 mm Peso aproximado (+-100gr): 1.6 kg
Incluye: 1 papel abrasivo + 1 papel abrasivo tipo velcro + 1 placa perforadora + 2 almohadillas de respaldo + 1 bolsa colectora de polvo + 1 caja de polvo + 1 filtro + 1 manguera</v>
      </c>
      <c r="J1226" s="213">
        <f>IFERROR(__xludf.DUMMYFUNCTION("""COMPUTED_VALUE"""),3.0)</f>
        <v>3</v>
      </c>
      <c r="K1226" s="213" t="str">
        <f>IFERROR(__xludf.DUMMYFUNCTION("""COMPUTED_VALUE"""),"170 DÍAS CALENDARIO")</f>
        <v>170 DÍAS CALENDARIO</v>
      </c>
      <c r="L1226" s="213" t="str">
        <f>IFERROR(__xludf.DUMMYFUNCTION("""COMPUTED_VALUE"""),"")</f>
        <v/>
      </c>
      <c r="M1226" s="213">
        <f>IFERROR(__xludf.DUMMYFUNCTION("""COMPUTED_VALUE"""),1.0)</f>
        <v>1</v>
      </c>
      <c r="N1226" s="213">
        <f>IFERROR(__xludf.DUMMYFUNCTION("""COMPUTED_VALUE"""),4.0)</f>
        <v>4</v>
      </c>
      <c r="O1226" s="213">
        <f>IFERROR(__xludf.DUMMYFUNCTION("""COMPUTED_VALUE"""),4.0)</f>
        <v>4</v>
      </c>
      <c r="P1226" s="213"/>
      <c r="Q1226" s="213"/>
      <c r="R1226" s="213"/>
      <c r="S1226" s="213" t="str">
        <f>IFERROR(__xludf.DUMMYFUNCTION("""COMPUTED_VALUE"""),"SI")</f>
        <v>SI</v>
      </c>
      <c r="T1226" s="213" t="str">
        <f>IFERROR(__xludf.DUMMYFUNCTION("""COMPUTED_VALUE"""),"SI")</f>
        <v>SI</v>
      </c>
      <c r="U1226" s="213" t="str">
        <f>IFERROR(__xludf.DUMMYFUNCTION("""COMPUTED_VALUE"""),"NO")</f>
        <v>NO</v>
      </c>
      <c r="V1226" s="213" t="str">
        <f>IFERROR(__xludf.DUMMYFUNCTION("""COMPUTED_VALUE"""),"SUSTENTO")</f>
        <v>SUSTENTO</v>
      </c>
      <c r="W1226" s="213" t="str">
        <f>IFERROR(__xludf.DUMMYFUNCTION("""COMPUTED_VALUE"""),"ELÉCTRICO")</f>
        <v>ELÉCTRICO</v>
      </c>
      <c r="X1226" s="213" t="str">
        <f>IFERROR(__xludf.DUMMYFUNCTION("""COMPUTED_VALUE"""),"MAKITA")</f>
        <v>MAKITA</v>
      </c>
      <c r="Y1226" s="213" t="str">
        <f>IFERROR(__xludf.DUMMYFUNCTION("""COMPUTED_VALUE"""),"BO3711")</f>
        <v>BO3711</v>
      </c>
      <c r="Z1226" s="215" t="str">
        <f>IFERROR(__xludf.DUMMYFUNCTION("""COMPUTED_VALUE"""),"https://www.makita.es/data/sr/productinfo/generated/bo3711_3.pdf")</f>
        <v>https://www.makita.es/data/sr/productinfo/generated/bo3711_3.pdf</v>
      </c>
      <c r="AA1226" s="213" t="str">
        <f>IFERROR(__xludf.DUMMYFUNCTION("""COMPUTED_VALUE"""),"ESP-221 LIJADORA ORBITAL PORTÁTIL - CET")</f>
        <v>ESP-221 LIJADORA ORBITAL PORTÁTIL - CET</v>
      </c>
      <c r="AB1226" s="215" t="str">
        <f>IFERROR(__xludf.DUMMYFUNCTION("""COMPUTED_VALUE"""),"https://drive.google.com/file/d/19DSp4K825wXi8CfDBRuWwdL5kwQz8rFL/view?usp=sharing")</f>
        <v>https://drive.google.com/file/d/19DSp4K825wXi8CfDBRuWwdL5kwQz8rFL/view?usp=sharing</v>
      </c>
      <c r="AC1226" s="213"/>
      <c r="AD1226" s="213"/>
      <c r="AE1226" s="213"/>
      <c r="AF1226" s="213"/>
      <c r="AG1226" s="213"/>
      <c r="AH1226" s="213" t="str">
        <f>IFERROR(__xludf.DUMMYFUNCTION("""COMPUTED_VALUE"""),"IMPORTADO")</f>
        <v>IMPORTADO</v>
      </c>
      <c r="AI1226" s="213"/>
      <c r="AJ1226" s="213"/>
      <c r="AK1226" s="213"/>
      <c r="AL1226" s="213"/>
      <c r="AM1226" s="213"/>
      <c r="AN1226" s="213"/>
      <c r="AO1226" s="213"/>
      <c r="AP1226" s="213" t="str">
        <f>IFERROR(__xludf.DUMMYFUNCTION("""COMPUTED_VALUE"""),"MICHEL")</f>
        <v>MICHEL</v>
      </c>
      <c r="AQ1226" s="213" t="str">
        <f>IFERROR(__xludf.DUMMYFUNCTION("""COMPUTED_VALUE"""),"Se deben comprar los accesorios solicitados.")</f>
        <v>Se deben comprar los accesorios solicitados.</v>
      </c>
      <c r="AR1226" s="213"/>
      <c r="AS1226" s="213" t="str">
        <f>IFERROR(__xludf.DUMMYFUNCTION("""COMPUTED_VALUE"""),"1 papel abrasivo + 1 papel abrasivo tipo velcro + 1 placa perforadora + 2 almohadillas de respaldo + 1 bolsa colectora de polvo + 1 caja de polvo + 1 filtro + 1 manguera")</f>
        <v>1 papel abrasivo + 1 papel abrasivo tipo velcro + 1 placa perforadora + 2 almohadillas de respaldo + 1 bolsa colectora de polvo + 1 caja de polvo + 1 filtro + 1 manguera</v>
      </c>
      <c r="AT1226" s="217" t="str">
        <f>IFERROR(__xludf.DUMMYFUNCTION("""COMPUTED_VALUE"""),"ADICIONALES FUERON COMPRADOS EN DVC (EPT-EB-08)")</f>
        <v>ADICIONALES FUERON COMPRADOS EN DVC (EPT-EB-08)</v>
      </c>
      <c r="AU1226" s="213"/>
      <c r="AV1226" s="213"/>
      <c r="AW1226" s="213"/>
      <c r="AX1226" s="213"/>
      <c r="AY1226" s="213"/>
      <c r="AZ1226" s="213"/>
      <c r="BA1226" s="213"/>
      <c r="BB1226" s="213"/>
      <c r="BC1226" s="213"/>
      <c r="BD1226" s="213"/>
    </row>
    <row r="1227">
      <c r="A1227" s="213">
        <f>IFERROR(__xludf.DUMMYFUNCTION("""COMPUTED_VALUE"""),2683.0)</f>
        <v>2683</v>
      </c>
      <c r="B1227" s="213" t="str">
        <f>IFERROR(__xludf.DUMMYFUNCTION("""COMPUTED_VALUE"""),"MANUEL ANTONIO MESONES MURO")</f>
        <v>MANUEL ANTONIO MESONES MURO</v>
      </c>
      <c r="C1227" s="213" t="str">
        <f>IFERROR(__xludf.DUMMYFUNCTION("""COMPUTED_VALUE"""),"TALLER SFT DE EBANISTERÍA")</f>
        <v>TALLER SFT DE EBANISTERÍA</v>
      </c>
      <c r="D1227" s="213" t="str">
        <f>IFERROR(__xludf.DUMMYFUNCTION("""COMPUTED_VALUE"""),"EQUIPOS")</f>
        <v>EQUIPOS</v>
      </c>
      <c r="E1227" s="213" t="str">
        <f>IFERROR(__xludf.DUMMYFUNCTION("""COMPUTED_VALUE"""),"ESP-221")</f>
        <v>ESP-221</v>
      </c>
      <c r="F1227" s="213" t="str">
        <f>IFERROR(__xludf.DUMMYFUNCTION("""COMPUTED_VALUE"""),"ESP-221")</f>
        <v>ESP-221</v>
      </c>
      <c r="G1227" s="213"/>
      <c r="H1227" s="213" t="str">
        <f>IFERROR(__xludf.DUMMYFUNCTION("""COMPUTED_VALUE"""),"LIJADORA ORBITAL PORTÁTIL")</f>
        <v>LIJADORA ORBITAL PORTÁTIL</v>
      </c>
      <c r="I1227" s="213" t="str">
        <f>IFERROR(__xludf.DUMMYFUNCTION("""COMPUTED_VALUE"""),"Características:  Manejable y ligera, de bajas vibraciones y bajo nivel de ruido ideal para trabajos en superficies amplias. /
Empuñaduras delantera y trasera con elastómero antideslizante, más confort y seguridad Material: Carcasa de poliamida
Potencia m"&amp;"ínima: 180 W Velocidad: Variable mediante dial Alimentación:  220 V / 60 Hz
Ámbito de uso: Carpintería Tamaño de respaldo: 92 x 185 mm cómo mínimo Tamaño del papel abrasivo: 93 x 228 mm
Velocidad mínima: 11000 RPM Dimensiones mínimas: 253 x 92 x 153 mm Pe"&amp;"so aproximado (+-100gr): 1.6 kg
Incluye: 1 papel abrasivo + 1 papel abrasivo tipo velcro + 1 placa perforadora + 2 almohadillas de respaldo + 1 bolsa colectora de polvo + 1 caja de polvo + 1 filtro + 1 manguera")</f>
        <v>Características:  Manejable y ligera, de bajas vibraciones y bajo nivel de ruido ideal para trabajos en superficies amplias. /
Empuñaduras delantera y trasera con elastómero antideslizante, más confort y seguridad Material: Carcasa de poliamida
Potencia mínima: 180 W Velocidad: Variable mediante dial Alimentación:  220 V / 60 Hz
Ámbito de uso: Carpintería Tamaño de respaldo: 92 x 185 mm cómo mínimo Tamaño del papel abrasivo: 93 x 228 mm
Velocidad mínima: 11000 RPM Dimensiones mínimas: 253 x 92 x 153 mm Peso aproximado (+-100gr): 1.6 kg
Incluye: 1 papel abrasivo + 1 papel abrasivo tipo velcro + 1 placa perforadora + 2 almohadillas de respaldo + 1 bolsa colectora de polvo + 1 caja de polvo + 1 filtro + 1 manguera</v>
      </c>
      <c r="J1227" s="213">
        <f>IFERROR(__xludf.DUMMYFUNCTION("""COMPUTED_VALUE"""),3.0)</f>
        <v>3</v>
      </c>
      <c r="K1227" s="213" t="str">
        <f>IFERROR(__xludf.DUMMYFUNCTION("""COMPUTED_VALUE"""),"170 DÍAS CALENDARIO")</f>
        <v>170 DÍAS CALENDARIO</v>
      </c>
      <c r="L1227" s="213" t="str">
        <f>IFERROR(__xludf.DUMMYFUNCTION("""COMPUTED_VALUE"""),"")</f>
        <v/>
      </c>
      <c r="M1227" s="213">
        <f>IFERROR(__xludf.DUMMYFUNCTION("""COMPUTED_VALUE"""),1.0)</f>
        <v>1</v>
      </c>
      <c r="N1227" s="213">
        <f>IFERROR(__xludf.DUMMYFUNCTION("""COMPUTED_VALUE"""),4.0)</f>
        <v>4</v>
      </c>
      <c r="O1227" s="213">
        <f>IFERROR(__xludf.DUMMYFUNCTION("""COMPUTED_VALUE"""),4.0)</f>
        <v>4</v>
      </c>
      <c r="P1227" s="213"/>
      <c r="Q1227" s="213"/>
      <c r="R1227" s="213"/>
      <c r="S1227" s="213" t="str">
        <f>IFERROR(__xludf.DUMMYFUNCTION("""COMPUTED_VALUE"""),"SI")</f>
        <v>SI</v>
      </c>
      <c r="T1227" s="213" t="str">
        <f>IFERROR(__xludf.DUMMYFUNCTION("""COMPUTED_VALUE"""),"SI")</f>
        <v>SI</v>
      </c>
      <c r="U1227" s="213" t="str">
        <f>IFERROR(__xludf.DUMMYFUNCTION("""COMPUTED_VALUE"""),"NO")</f>
        <v>NO</v>
      </c>
      <c r="V1227" s="213" t="str">
        <f>IFERROR(__xludf.DUMMYFUNCTION("""COMPUTED_VALUE"""),"SUSTENTO")</f>
        <v>SUSTENTO</v>
      </c>
      <c r="W1227" s="213" t="str">
        <f>IFERROR(__xludf.DUMMYFUNCTION("""COMPUTED_VALUE"""),"ELÉCTRICO")</f>
        <v>ELÉCTRICO</v>
      </c>
      <c r="X1227" s="213" t="str">
        <f>IFERROR(__xludf.DUMMYFUNCTION("""COMPUTED_VALUE"""),"MAKITA")</f>
        <v>MAKITA</v>
      </c>
      <c r="Y1227" s="213" t="str">
        <f>IFERROR(__xludf.DUMMYFUNCTION("""COMPUTED_VALUE"""),"BO3711")</f>
        <v>BO3711</v>
      </c>
      <c r="Z1227" s="215" t="str">
        <f>IFERROR(__xludf.DUMMYFUNCTION("""COMPUTED_VALUE"""),"https://www.makita.es/data/sr/productinfo/generated/bo3711_3.pdf")</f>
        <v>https://www.makita.es/data/sr/productinfo/generated/bo3711_3.pdf</v>
      </c>
      <c r="AA1227" s="213" t="str">
        <f>IFERROR(__xludf.DUMMYFUNCTION("""COMPUTED_VALUE"""),"ESP-221 LIJADORA ORBITAL PORTÁTIL - CET")</f>
        <v>ESP-221 LIJADORA ORBITAL PORTÁTIL - CET</v>
      </c>
      <c r="AB1227" s="215" t="str">
        <f>IFERROR(__xludf.DUMMYFUNCTION("""COMPUTED_VALUE"""),"https://drive.google.com/file/d/19DSp4K825wXi8CfDBRuWwdL5kwQz8rFL/view?usp=sharing")</f>
        <v>https://drive.google.com/file/d/19DSp4K825wXi8CfDBRuWwdL5kwQz8rFL/view?usp=sharing</v>
      </c>
      <c r="AC1227" s="213"/>
      <c r="AD1227" s="213"/>
      <c r="AE1227" s="213"/>
      <c r="AF1227" s="213"/>
      <c r="AG1227" s="213"/>
      <c r="AH1227" s="213" t="str">
        <f>IFERROR(__xludf.DUMMYFUNCTION("""COMPUTED_VALUE"""),"IMPORTADO")</f>
        <v>IMPORTADO</v>
      </c>
      <c r="AI1227" s="213"/>
      <c r="AJ1227" s="213"/>
      <c r="AK1227" s="213"/>
      <c r="AL1227" s="213"/>
      <c r="AM1227" s="213"/>
      <c r="AN1227" s="213"/>
      <c r="AO1227" s="213"/>
      <c r="AP1227" s="213" t="str">
        <f>IFERROR(__xludf.DUMMYFUNCTION("""COMPUTED_VALUE"""),"MICHEL")</f>
        <v>MICHEL</v>
      </c>
      <c r="AQ1227" s="213" t="str">
        <f>IFERROR(__xludf.DUMMYFUNCTION("""COMPUTED_VALUE"""),"Se deben comprar los accesorios solicitados.")</f>
        <v>Se deben comprar los accesorios solicitados.</v>
      </c>
      <c r="AR1227" s="213"/>
      <c r="AS1227" s="213" t="str">
        <f>IFERROR(__xludf.DUMMYFUNCTION("""COMPUTED_VALUE"""),"1 papel abrasivo + 1 papel abrasivo tipo velcro + 1 placa perforadora + 2 almohadillas de respaldo + 1 bolsa colectora de polvo + 1 caja de polvo + 1 filtro + 1 manguera")</f>
        <v>1 papel abrasivo + 1 papel abrasivo tipo velcro + 1 placa perforadora + 2 almohadillas de respaldo + 1 bolsa colectora de polvo + 1 caja de polvo + 1 filtro + 1 manguera</v>
      </c>
      <c r="AT1227" s="217" t="str">
        <f>IFERROR(__xludf.DUMMYFUNCTION("""COMPUTED_VALUE"""),"ADICIONALES FUERON COMPRADOS EN DVC (EPT-EB-08)")</f>
        <v>ADICIONALES FUERON COMPRADOS EN DVC (EPT-EB-08)</v>
      </c>
      <c r="AU1227" s="213"/>
      <c r="AV1227" s="213"/>
      <c r="AW1227" s="213"/>
      <c r="AX1227" s="213"/>
      <c r="AY1227" s="213"/>
      <c r="AZ1227" s="213"/>
      <c r="BA1227" s="213"/>
      <c r="BB1227" s="213"/>
      <c r="BC1227" s="213"/>
      <c r="BD1227" s="213"/>
    </row>
    <row r="1228">
      <c r="A1228" s="213">
        <f>IFERROR(__xludf.DUMMYFUNCTION("""COMPUTED_VALUE"""),1396.0)</f>
        <v>1396</v>
      </c>
      <c r="B1228" s="213" t="str">
        <f>IFERROR(__xludf.DUMMYFUNCTION("""COMPUTED_VALUE"""),"GUILLERMO E. BILLINGHURST ")</f>
        <v>GUILLERMO E. BILLINGHURST </v>
      </c>
      <c r="C1228" s="213" t="str">
        <f>IFERROR(__xludf.DUMMYFUNCTION("""COMPUTED_VALUE"""),"TALLER SFT DE INDUSTRIA ALIMENTARIA")</f>
        <v>TALLER SFT DE INDUSTRIA ALIMENTARIA</v>
      </c>
      <c r="D1228" s="213" t="str">
        <f>IFERROR(__xludf.DUMMYFUNCTION("""COMPUTED_VALUE"""),"HERRAMIENTAS")</f>
        <v>HERRAMIENTAS</v>
      </c>
      <c r="E1228" s="213" t="str">
        <f>IFERROR(__xludf.DUMMYFUNCTION("""COMPUTED_VALUE"""),"MAT-143")</f>
        <v>MAT-143</v>
      </c>
      <c r="F1228" s="213" t="str">
        <f>IFERROR(__xludf.DUMMYFUNCTION("""COMPUTED_VALUE"""),"MAT-143")</f>
        <v>MAT-143</v>
      </c>
      <c r="G1228" s="213"/>
      <c r="H1228" s="213" t="str">
        <f>IFERROR(__xludf.DUMMYFUNCTION("""COMPUTED_VALUE"""),"KIT DE CUCHARAS N° 3 Y N°4")</f>
        <v>KIT DE CUCHARAS N° 3 Y N°4</v>
      </c>
      <c r="I1228" s="213" t="str">
        <f>IFERROR(__xludf.DUMMYFUNCTION("""COMPUTED_VALUE"""),"· Material: Acero Inoxidable
· Medidas mínimas:  4mm x 10mm x 80 mm / 2.7mm x 10mm x 4mm")</f>
        <v>· Material: Acero Inoxidable
· Medidas mínimas:  4mm x 10mm x 80 mm / 2.7mm x 10mm x 4mm</v>
      </c>
      <c r="J1228" s="213">
        <f>IFERROR(__xludf.DUMMYFUNCTION("""COMPUTED_VALUE"""),3.0)</f>
        <v>3</v>
      </c>
      <c r="K1228" s="213" t="str">
        <f>IFERROR(__xludf.DUMMYFUNCTION("""COMPUTED_VALUE"""),"90 DÍAS CALENDARIO")</f>
        <v>90 DÍAS CALENDARIO</v>
      </c>
      <c r="L1228" s="213" t="str">
        <f>IFERROR(__xludf.DUMMYFUNCTION("""COMPUTED_VALUE"""),"")</f>
        <v/>
      </c>
      <c r="M1228" s="213">
        <f>IFERROR(__xludf.DUMMYFUNCTION("""COMPUTED_VALUE"""),1.0)</f>
        <v>1</v>
      </c>
      <c r="N1228" s="213">
        <f>IFERROR(__xludf.DUMMYFUNCTION("""COMPUTED_VALUE"""),5.0)</f>
        <v>5</v>
      </c>
      <c r="O1228" s="213">
        <f>IFERROR(__xludf.DUMMYFUNCTION("""COMPUTED_VALUE"""),5.0)</f>
        <v>5</v>
      </c>
      <c r="P1228" s="213"/>
      <c r="Q1228" s="213"/>
      <c r="R1228" s="213"/>
      <c r="S1228" s="213"/>
      <c r="T1228" s="213" t="str">
        <f>IFERROR(__xludf.DUMMYFUNCTION("""COMPUTED_VALUE"""),"CONSULTA FINAL")</f>
        <v>CONSULTA FINAL</v>
      </c>
      <c r="U1228" s="213" t="str">
        <f>IFERROR(__xludf.DUMMYFUNCTION("""COMPUTED_VALUE"""),"NO")</f>
        <v>NO</v>
      </c>
      <c r="V1228" s="213" t="str">
        <f>IFERROR(__xludf.DUMMYFUNCTION("""COMPUTED_VALUE"""),"SUSTENTO")</f>
        <v>SUSTENTO</v>
      </c>
      <c r="W1228" s="213" t="str">
        <f>IFERROR(__xludf.DUMMYFUNCTION("""COMPUTED_VALUE"""),"DIMENSIONAL")</f>
        <v>DIMENSIONAL</v>
      </c>
      <c r="X1228" s="213" t="str">
        <f>IFERROR(__xludf.DUMMYFUNCTION("""COMPUTED_VALUE"""),"VARPOTLE")</f>
        <v>VARPOTLE</v>
      </c>
      <c r="Y1228" s="213" t="str">
        <f>IFERROR(__xludf.DUMMYFUNCTION("""COMPUTED_VALUE"""),"VARPOTLE")</f>
        <v>VARPOTLE</v>
      </c>
      <c r="Z1228" s="215" t="str">
        <f>IFERROR(__xludf.DUMMYFUNCTION("""COMPUTED_VALUE"""),"https://www.amazon.com.mx/cucharas-peque%C3%B1as-pulgadas-unidades-inoxidable/dp/B0DP8PB9PW?th=1")</f>
        <v>https://www.amazon.com.mx/cucharas-peque%C3%B1as-pulgadas-unidades-inoxidable/dp/B0DP8PB9PW?th=1</v>
      </c>
      <c r="AA1228" s="213" t="str">
        <f>IFERROR(__xludf.DUMMYFUNCTION("""COMPUTED_VALUE"""),"MAT-143 KIT DE CUCHARAS N° 3 Y N°4 - CET")</f>
        <v>MAT-143 KIT DE CUCHARAS N° 3 Y N°4 - CET</v>
      </c>
      <c r="AB1228" s="213"/>
      <c r="AC1228" s="213" t="str">
        <f>IFERROR(__xludf.DUMMYFUNCTION("""COMPUTED_VALUE"""),"CUANTAS CUCHARAS VIENEN EN 1 KIT?")</f>
        <v>CUANTAS CUCHARAS VIENEN EN 1 KIT?</v>
      </c>
      <c r="AD1228" s="213"/>
      <c r="AE1228" s="213"/>
      <c r="AF1228" s="213"/>
      <c r="AG1228" s="213"/>
      <c r="AH1228" s="213"/>
      <c r="AI1228" s="213"/>
      <c r="AJ1228" s="213"/>
      <c r="AK1228" s="213"/>
      <c r="AL1228" s="213"/>
      <c r="AM1228" s="213"/>
      <c r="AN1228" s="213"/>
      <c r="AO1228" s="213"/>
      <c r="AP1228" s="213" t="str">
        <f>IFERROR(__xludf.DUMMYFUNCTION("""COMPUTED_VALUE"""),"LUIS")</f>
        <v>LUIS</v>
      </c>
      <c r="AQ1228" s="213"/>
      <c r="AR1228" s="213"/>
      <c r="AS1228" s="213"/>
      <c r="AT1228" s="213"/>
      <c r="AU1228" s="213"/>
      <c r="AV1228" s="213"/>
      <c r="AW1228" s="213"/>
      <c r="AX1228" s="213"/>
      <c r="AY1228" s="213"/>
      <c r="AZ1228" s="213"/>
      <c r="BA1228" s="213"/>
      <c r="BB1228" s="213"/>
      <c r="BC1228" s="213"/>
      <c r="BD1228" s="213"/>
    </row>
    <row r="1229">
      <c r="A1229" s="213">
        <f>IFERROR(__xludf.DUMMYFUNCTION("""COMPUTED_VALUE"""),2075.0)</f>
        <v>2075</v>
      </c>
      <c r="B1229" s="213" t="str">
        <f>IFERROR(__xludf.DUMMYFUNCTION("""COMPUTED_VALUE"""),"JOSE GRANDA")</f>
        <v>JOSE GRANDA</v>
      </c>
      <c r="C1229" s="213" t="str">
        <f>IFERROR(__xludf.DUMMYFUNCTION("""COMPUTED_VALUE"""),"TALLER SFT DE INDUSTRIA ALIMENTARIA")</f>
        <v>TALLER SFT DE INDUSTRIA ALIMENTARIA</v>
      </c>
      <c r="D1229" s="213" t="str">
        <f>IFERROR(__xludf.DUMMYFUNCTION("""COMPUTED_VALUE"""),"HERRAMIENTAS")</f>
        <v>HERRAMIENTAS</v>
      </c>
      <c r="E1229" s="213" t="str">
        <f>IFERROR(__xludf.DUMMYFUNCTION("""COMPUTED_VALUE"""),"MAT-143")</f>
        <v>MAT-143</v>
      </c>
      <c r="F1229" s="213" t="str">
        <f>IFERROR(__xludf.DUMMYFUNCTION("""COMPUTED_VALUE"""),"MAT-143")</f>
        <v>MAT-143</v>
      </c>
      <c r="G1229" s="213"/>
      <c r="H1229" s="213" t="str">
        <f>IFERROR(__xludf.DUMMYFUNCTION("""COMPUTED_VALUE"""),"KIT DE CUCHARAS N° 3 Y N°4")</f>
        <v>KIT DE CUCHARAS N° 3 Y N°4</v>
      </c>
      <c r="I1229" s="213" t="str">
        <f>IFERROR(__xludf.DUMMYFUNCTION("""COMPUTED_VALUE"""),"· Material: Acero Inoxidable
· Medidas mínimas:  4mm x 10mm x 80 mm / 2.7mm x 10mm x 4mm")</f>
        <v>· Material: Acero Inoxidable
· Medidas mínimas:  4mm x 10mm x 80 mm / 2.7mm x 10mm x 4mm</v>
      </c>
      <c r="J1229" s="213">
        <f>IFERROR(__xludf.DUMMYFUNCTION("""COMPUTED_VALUE"""),3.0)</f>
        <v>3</v>
      </c>
      <c r="K1229" s="213" t="str">
        <f>IFERROR(__xludf.DUMMYFUNCTION("""COMPUTED_VALUE"""),"90 DÍAS CALENDARIO")</f>
        <v>90 DÍAS CALENDARIO</v>
      </c>
      <c r="L1229" s="213" t="str">
        <f>IFERROR(__xludf.DUMMYFUNCTION("""COMPUTED_VALUE"""),"")</f>
        <v/>
      </c>
      <c r="M1229" s="213">
        <f>IFERROR(__xludf.DUMMYFUNCTION("""COMPUTED_VALUE"""),1.0)</f>
        <v>1</v>
      </c>
      <c r="N1229" s="213">
        <f>IFERROR(__xludf.DUMMYFUNCTION("""COMPUTED_VALUE"""),5.0)</f>
        <v>5</v>
      </c>
      <c r="O1229" s="213">
        <f>IFERROR(__xludf.DUMMYFUNCTION("""COMPUTED_VALUE"""),5.0)</f>
        <v>5</v>
      </c>
      <c r="P1229" s="213"/>
      <c r="Q1229" s="213"/>
      <c r="R1229" s="213"/>
      <c r="S1229" s="213"/>
      <c r="T1229" s="213" t="str">
        <f>IFERROR(__xludf.DUMMYFUNCTION("""COMPUTED_VALUE"""),"CONSULTA FINAL")</f>
        <v>CONSULTA FINAL</v>
      </c>
      <c r="U1229" s="213" t="str">
        <f>IFERROR(__xludf.DUMMYFUNCTION("""COMPUTED_VALUE"""),"NO")</f>
        <v>NO</v>
      </c>
      <c r="V1229" s="213" t="str">
        <f>IFERROR(__xludf.DUMMYFUNCTION("""COMPUTED_VALUE"""),"SUSTENTO")</f>
        <v>SUSTENTO</v>
      </c>
      <c r="W1229" s="213" t="str">
        <f>IFERROR(__xludf.DUMMYFUNCTION("""COMPUTED_VALUE"""),"DIMENSIONAL")</f>
        <v>DIMENSIONAL</v>
      </c>
      <c r="X1229" s="213" t="str">
        <f>IFERROR(__xludf.DUMMYFUNCTION("""COMPUTED_VALUE"""),"VARPOTLE")</f>
        <v>VARPOTLE</v>
      </c>
      <c r="Y1229" s="213" t="str">
        <f>IFERROR(__xludf.DUMMYFUNCTION("""COMPUTED_VALUE"""),"VARPOTLE")</f>
        <v>VARPOTLE</v>
      </c>
      <c r="Z1229" s="215" t="str">
        <f>IFERROR(__xludf.DUMMYFUNCTION("""COMPUTED_VALUE"""),"https://www.amazon.com.mx/cucharas-peque%C3%B1as-pulgadas-unidades-inoxidable/dp/B0DP8PB9PW?th=1")</f>
        <v>https://www.amazon.com.mx/cucharas-peque%C3%B1as-pulgadas-unidades-inoxidable/dp/B0DP8PB9PW?th=1</v>
      </c>
      <c r="AA1229" s="213" t="str">
        <f>IFERROR(__xludf.DUMMYFUNCTION("""COMPUTED_VALUE"""),"MAT-143 KIT DE CUCHARAS N° 3 Y N°4 - CET")</f>
        <v>MAT-143 KIT DE CUCHARAS N° 3 Y N°4 - CET</v>
      </c>
      <c r="AB1229" s="213"/>
      <c r="AC1229" s="213" t="str">
        <f>IFERROR(__xludf.DUMMYFUNCTION("""COMPUTED_VALUE"""),"CUANTAS CUCHARAS VIENEN EN 1 KIT?")</f>
        <v>CUANTAS CUCHARAS VIENEN EN 1 KIT?</v>
      </c>
      <c r="AD1229" s="213"/>
      <c r="AE1229" s="213"/>
      <c r="AF1229" s="213"/>
      <c r="AG1229" s="213"/>
      <c r="AH1229" s="213"/>
      <c r="AI1229" s="213"/>
      <c r="AJ1229" s="213"/>
      <c r="AK1229" s="213"/>
      <c r="AL1229" s="213"/>
      <c r="AM1229" s="213"/>
      <c r="AN1229" s="213"/>
      <c r="AO1229" s="213"/>
      <c r="AP1229" s="213" t="str">
        <f>IFERROR(__xludf.DUMMYFUNCTION("""COMPUTED_VALUE"""),"LUIS")</f>
        <v>LUIS</v>
      </c>
      <c r="AQ1229" s="213"/>
      <c r="AR1229" s="213"/>
      <c r="AS1229" s="213"/>
      <c r="AT1229" s="213"/>
      <c r="AU1229" s="213"/>
      <c r="AV1229" s="213"/>
      <c r="AW1229" s="213"/>
      <c r="AX1229" s="213"/>
      <c r="AY1229" s="213"/>
      <c r="AZ1229" s="213"/>
      <c r="BA1229" s="213"/>
      <c r="BB1229" s="213"/>
      <c r="BC1229" s="213"/>
      <c r="BD1229" s="213"/>
    </row>
    <row r="1230">
      <c r="A1230" s="213">
        <f>IFERROR(__xludf.DUMMYFUNCTION("""COMPUTED_VALUE"""),2083.0)</f>
        <v>2083</v>
      </c>
      <c r="B1230" s="213" t="str">
        <f>IFERROR(__xludf.DUMMYFUNCTION("""COMPUTED_VALUE"""),"JOSE GRANDA")</f>
        <v>JOSE GRANDA</v>
      </c>
      <c r="C1230" s="213" t="str">
        <f>IFERROR(__xludf.DUMMYFUNCTION("""COMPUTED_VALUE"""),"TALLER SFT DE INDUSTRIA ALIMENTARIA")</f>
        <v>TALLER SFT DE INDUSTRIA ALIMENTARIA</v>
      </c>
      <c r="D1230" s="213" t="str">
        <f>IFERROR(__xludf.DUMMYFUNCTION("""COMPUTED_VALUE"""),"HERRAMIENTAS")</f>
        <v>HERRAMIENTAS</v>
      </c>
      <c r="E1230" s="213" t="str">
        <f>IFERROR(__xludf.DUMMYFUNCTION("""COMPUTED_VALUE"""),"MAT-143")</f>
        <v>MAT-143</v>
      </c>
      <c r="F1230" s="213" t="str">
        <f>IFERROR(__xludf.DUMMYFUNCTION("""COMPUTED_VALUE"""),"MAT-143")</f>
        <v>MAT-143</v>
      </c>
      <c r="G1230" s="213"/>
      <c r="H1230" s="213" t="str">
        <f>IFERROR(__xludf.DUMMYFUNCTION("""COMPUTED_VALUE"""),"KIT DE CUCHARAS N° 3 Y N°4")</f>
        <v>KIT DE CUCHARAS N° 3 Y N°4</v>
      </c>
      <c r="I1230" s="213" t="str">
        <f>IFERROR(__xludf.DUMMYFUNCTION("""COMPUTED_VALUE"""),"· Material: Acero Inoxidable
· Medidas mínimas:  4mm x 10mm x 80 mm / 2.7mm x 10mm x 4mm")</f>
        <v>· Material: Acero Inoxidable
· Medidas mínimas:  4mm x 10mm x 80 mm / 2.7mm x 10mm x 4mm</v>
      </c>
      <c r="J1230" s="213">
        <f>IFERROR(__xludf.DUMMYFUNCTION("""COMPUTED_VALUE"""),3.0)</f>
        <v>3</v>
      </c>
      <c r="K1230" s="213" t="str">
        <f>IFERROR(__xludf.DUMMYFUNCTION("""COMPUTED_VALUE"""),"90 DÍAS CALENDARIO")</f>
        <v>90 DÍAS CALENDARIO</v>
      </c>
      <c r="L1230" s="213" t="str">
        <f>IFERROR(__xludf.DUMMYFUNCTION("""COMPUTED_VALUE"""),"")</f>
        <v/>
      </c>
      <c r="M1230" s="213">
        <f>IFERROR(__xludf.DUMMYFUNCTION("""COMPUTED_VALUE"""),1.0)</f>
        <v>1</v>
      </c>
      <c r="N1230" s="213">
        <f>IFERROR(__xludf.DUMMYFUNCTION("""COMPUTED_VALUE"""),5.0)</f>
        <v>5</v>
      </c>
      <c r="O1230" s="213">
        <f>IFERROR(__xludf.DUMMYFUNCTION("""COMPUTED_VALUE"""),5.0)</f>
        <v>5</v>
      </c>
      <c r="P1230" s="213"/>
      <c r="Q1230" s="213"/>
      <c r="R1230" s="213"/>
      <c r="S1230" s="213"/>
      <c r="T1230" s="213" t="str">
        <f>IFERROR(__xludf.DUMMYFUNCTION("""COMPUTED_VALUE"""),"CONSULTA FINAL")</f>
        <v>CONSULTA FINAL</v>
      </c>
      <c r="U1230" s="213" t="str">
        <f>IFERROR(__xludf.DUMMYFUNCTION("""COMPUTED_VALUE"""),"NO")</f>
        <v>NO</v>
      </c>
      <c r="V1230" s="213" t="str">
        <f>IFERROR(__xludf.DUMMYFUNCTION("""COMPUTED_VALUE"""),"SUSTENTO")</f>
        <v>SUSTENTO</v>
      </c>
      <c r="W1230" s="213" t="str">
        <f>IFERROR(__xludf.DUMMYFUNCTION("""COMPUTED_VALUE"""),"DIMENSIONAL")</f>
        <v>DIMENSIONAL</v>
      </c>
      <c r="X1230" s="213" t="str">
        <f>IFERROR(__xludf.DUMMYFUNCTION("""COMPUTED_VALUE"""),"VARPOTLE")</f>
        <v>VARPOTLE</v>
      </c>
      <c r="Y1230" s="213" t="str">
        <f>IFERROR(__xludf.DUMMYFUNCTION("""COMPUTED_VALUE"""),"VARPOTLE")</f>
        <v>VARPOTLE</v>
      </c>
      <c r="Z1230" s="215" t="str">
        <f>IFERROR(__xludf.DUMMYFUNCTION("""COMPUTED_VALUE"""),"https://www.amazon.com.mx/cucharas-peque%C3%B1as-pulgadas-unidades-inoxidable/dp/B0DP8PB9PW?th=1")</f>
        <v>https://www.amazon.com.mx/cucharas-peque%C3%B1as-pulgadas-unidades-inoxidable/dp/B0DP8PB9PW?th=1</v>
      </c>
      <c r="AA1230" s="213" t="str">
        <f>IFERROR(__xludf.DUMMYFUNCTION("""COMPUTED_VALUE"""),"MAT-143 KIT DE CUCHARAS N° 3 Y N°4 - CET")</f>
        <v>MAT-143 KIT DE CUCHARAS N° 3 Y N°4 - CET</v>
      </c>
      <c r="AB1230" s="213"/>
      <c r="AC1230" s="213" t="str">
        <f>IFERROR(__xludf.DUMMYFUNCTION("""COMPUTED_VALUE"""),"CUANTAS CUCHARAS VIENEN EN 1 KIT?")</f>
        <v>CUANTAS CUCHARAS VIENEN EN 1 KIT?</v>
      </c>
      <c r="AD1230" s="213"/>
      <c r="AE1230" s="213"/>
      <c r="AF1230" s="213"/>
      <c r="AG1230" s="213"/>
      <c r="AH1230" s="213"/>
      <c r="AI1230" s="213"/>
      <c r="AJ1230" s="213"/>
      <c r="AK1230" s="213"/>
      <c r="AL1230" s="213"/>
      <c r="AM1230" s="213"/>
      <c r="AN1230" s="213"/>
      <c r="AO1230" s="213"/>
      <c r="AP1230" s="213" t="str">
        <f>IFERROR(__xludf.DUMMYFUNCTION("""COMPUTED_VALUE"""),"LUIS")</f>
        <v>LUIS</v>
      </c>
      <c r="AQ1230" s="213"/>
      <c r="AR1230" s="213"/>
      <c r="AS1230" s="213"/>
      <c r="AT1230" s="213"/>
      <c r="AU1230" s="213"/>
      <c r="AV1230" s="213"/>
      <c r="AW1230" s="213"/>
      <c r="AX1230" s="213"/>
      <c r="AY1230" s="213"/>
      <c r="AZ1230" s="213"/>
      <c r="BA1230" s="213"/>
      <c r="BB1230" s="213"/>
      <c r="BC1230" s="213"/>
      <c r="BD1230" s="213"/>
    </row>
    <row r="1231">
      <c r="A1231" s="213">
        <f>IFERROR(__xludf.DUMMYFUNCTION("""COMPUTED_VALUE"""),46.0)</f>
        <v>46</v>
      </c>
      <c r="B1231" s="213" t="str">
        <f>IFERROR(__xludf.DUMMYFUNCTION("""COMPUTED_VALUE"""),"16449 ELOY SOBERON  FLORES")</f>
        <v>16449 ELOY SOBERON  FLORES</v>
      </c>
      <c r="C1231" s="213" t="str">
        <f>IFERROR(__xludf.DUMMYFUNCTION("""COMPUTED_VALUE"""),"TALLER SFT DE COCINA Y REPOSTERÍA")</f>
        <v>TALLER SFT DE COCINA Y REPOSTERÍA</v>
      </c>
      <c r="D1231" s="213" t="str">
        <f>IFERROR(__xludf.DUMMYFUNCTION("""COMPUTED_VALUE"""),"HERRAMIENTAS")</f>
        <v>HERRAMIENTAS</v>
      </c>
      <c r="E1231" s="213" t="str">
        <f>IFERROR(__xludf.DUMMYFUNCTION("""COMPUTED_VALUE"""),"MAT-144")</f>
        <v>MAT-144</v>
      </c>
      <c r="F1231" s="213" t="str">
        <f>IFERROR(__xludf.DUMMYFUNCTION("""COMPUTED_VALUE"""),"MAT-144")</f>
        <v>MAT-144</v>
      </c>
      <c r="G1231" s="213"/>
      <c r="H1231" s="213" t="str">
        <f>IFERROR(__xludf.DUMMYFUNCTION("""COMPUTED_VALUE"""),"CUCHILLO CARNICERO")</f>
        <v>CUCHILLO CARNICERO</v>
      </c>
      <c r="I1231" s="213" t="str">
        <f>IFERROR(__xludf.DUMMYFUNCTION("""COMPUTED_VALUE"""),"· Material: acero de carbono
· Cuchillas: 73 capas de forjado
· Grosor de la cuchilla mínima: 5mm.
· Tamaño aproximado: 25x9x6
· Mango de acero revestido.")</f>
        <v>· Material: acero de carbono
· Cuchillas: 73 capas de forjado
· Grosor de la cuchilla mínima: 5mm.
· Tamaño aproximado: 25x9x6
· Mango de acero revestido.</v>
      </c>
      <c r="J1231" s="213">
        <f>IFERROR(__xludf.DUMMYFUNCTION("""COMPUTED_VALUE"""),3.0)</f>
        <v>3</v>
      </c>
      <c r="K1231" s="213" t="str">
        <f>IFERROR(__xludf.DUMMYFUNCTION("""COMPUTED_VALUE"""),"90 DÍAS CALENDARIO")</f>
        <v>90 DÍAS CALENDARIO</v>
      </c>
      <c r="L1231" s="213" t="str">
        <f>IFERROR(__xludf.DUMMYFUNCTION("""COMPUTED_VALUE"""),"")</f>
        <v/>
      </c>
      <c r="M1231" s="213">
        <f>IFERROR(__xludf.DUMMYFUNCTION("""COMPUTED_VALUE"""),1.0)</f>
        <v>1</v>
      </c>
      <c r="N1231" s="213">
        <f>IFERROR(__xludf.DUMMYFUNCTION("""COMPUTED_VALUE"""),4.0)</f>
        <v>4</v>
      </c>
      <c r="O1231" s="213">
        <f>IFERROR(__xludf.DUMMYFUNCTION("""COMPUTED_VALUE"""),4.0)</f>
        <v>4</v>
      </c>
      <c r="P1231" s="213"/>
      <c r="Q1231" s="213"/>
      <c r="R1231" s="213"/>
      <c r="S1231" s="213"/>
      <c r="T1231" s="213" t="str">
        <f>IFERROR(__xludf.DUMMYFUNCTION("""COMPUTED_VALUE"""),"CONSULTA FINAL")</f>
        <v>CONSULTA FINAL</v>
      </c>
      <c r="U1231" s="213" t="str">
        <f>IFERROR(__xludf.DUMMYFUNCTION("""COMPUTED_VALUE"""),"NO")</f>
        <v>NO</v>
      </c>
      <c r="V1231" s="213" t="str">
        <f>IFERROR(__xludf.DUMMYFUNCTION("""COMPUTED_VALUE"""),"SUSTENTO")</f>
        <v>SUSTENTO</v>
      </c>
      <c r="W1231" s="213" t="str">
        <f>IFERROR(__xludf.DUMMYFUNCTION("""COMPUTED_VALUE"""),"DIMENSIONAL")</f>
        <v>DIMENSIONAL</v>
      </c>
      <c r="X1231" s="213" t="str">
        <f>IFERROR(__xludf.DUMMYFUNCTION("""COMPUTED_VALUE"""),"HEZHEN")</f>
        <v>HEZHEN</v>
      </c>
      <c r="Y1231" s="213" t="str">
        <f>IFERROR(__xludf.DUMMYFUNCTION("""COMPUTED_VALUE"""),"HEZHEN")</f>
        <v>HEZHEN</v>
      </c>
      <c r="Z1231" s="215" t="str">
        <f>IFERROR(__xludf.DUMMYFUNCTION("""COMPUTED_VALUE"""),"https://www.knifestock.es/hezhen-b30r-cuchillo-de-carnicero-de-7-pulgadas-madera-de-rosa-natural-acero-de-damasco-de-73-capa-p123457")</f>
        <v>https://www.knifestock.es/hezhen-b30r-cuchillo-de-carnicero-de-7-pulgadas-madera-de-rosa-natural-acero-de-damasco-de-73-capa-p123457</v>
      </c>
      <c r="AA1231" s="213" t="str">
        <f>IFERROR(__xludf.DUMMYFUNCTION("""COMPUTED_VALUE"""),"MAT-144 CUCHILLO CARNICERO - CET")</f>
        <v>MAT-144 CUCHILLO CARNICERO - CET</v>
      </c>
      <c r="AB1231" s="213"/>
      <c r="AC1231" s="213"/>
      <c r="AD1231" s="213"/>
      <c r="AE1231" s="213"/>
      <c r="AF1231" s="213"/>
      <c r="AG1231" s="213"/>
      <c r="AH1231" s="213"/>
      <c r="AI1231" s="213"/>
      <c r="AJ1231" s="213"/>
      <c r="AK1231" s="213"/>
      <c r="AL1231" s="213"/>
      <c r="AM1231" s="213"/>
      <c r="AN1231" s="213"/>
      <c r="AO1231" s="213"/>
      <c r="AP1231" s="213" t="str">
        <f>IFERROR(__xludf.DUMMYFUNCTION("""COMPUTED_VALUE"""),"LUIS")</f>
        <v>LUIS</v>
      </c>
      <c r="AQ1231" s="213"/>
      <c r="AR1231" s="213"/>
      <c r="AS1231" s="213"/>
      <c r="AT1231" s="213"/>
      <c r="AU1231" s="213"/>
      <c r="AV1231" s="213"/>
      <c r="AW1231" s="213"/>
      <c r="AX1231" s="213"/>
      <c r="AY1231" s="213"/>
      <c r="AZ1231" s="213"/>
      <c r="BA1231" s="213"/>
      <c r="BB1231" s="213"/>
      <c r="BC1231" s="213"/>
      <c r="BD1231" s="213"/>
    </row>
    <row r="1232">
      <c r="A1232" s="213">
        <f>IFERROR(__xludf.DUMMYFUNCTION("""COMPUTED_VALUE"""),47.0)</f>
        <v>47</v>
      </c>
      <c r="B1232" s="213" t="str">
        <f>IFERROR(__xludf.DUMMYFUNCTION("""COMPUTED_VALUE"""),"16449 ELOY SOBERON  FLORES")</f>
        <v>16449 ELOY SOBERON  FLORES</v>
      </c>
      <c r="C1232" s="213" t="str">
        <f>IFERROR(__xludf.DUMMYFUNCTION("""COMPUTED_VALUE"""),"TALLER SFT DE COCINA Y REPOSTERÍA")</f>
        <v>TALLER SFT DE COCINA Y REPOSTERÍA</v>
      </c>
      <c r="D1232" s="213" t="str">
        <f>IFERROR(__xludf.DUMMYFUNCTION("""COMPUTED_VALUE"""),"HERRAMIENTAS")</f>
        <v>HERRAMIENTAS</v>
      </c>
      <c r="E1232" s="213" t="str">
        <f>IFERROR(__xludf.DUMMYFUNCTION("""COMPUTED_VALUE"""),"MAT-145")</f>
        <v>MAT-145</v>
      </c>
      <c r="F1232" s="213" t="str">
        <f>IFERROR(__xludf.DUMMYFUNCTION("""COMPUTED_VALUE"""),"MAT-145")</f>
        <v>MAT-145</v>
      </c>
      <c r="G1232" s="213"/>
      <c r="H1232" s="213" t="str">
        <f>IFERROR(__xludf.DUMMYFUNCTION("""COMPUTED_VALUE"""),"CUCHILLO CORTE DE HUESOS Y VERDURAS")</f>
        <v>CUCHILLO CORTE DE HUESOS Y VERDURAS</v>
      </c>
      <c r="I1232" s="213" t="str">
        <f>IFERROR(__xludf.DUMMYFUNCTION("""COMPUTED_VALUE"""),"· Material: acero inoxidable
· Cuchillas: 75 capas de forjado
· Grosor minimo  de la cuchilla: 3mm.
· Tamaño aproximado: 25x9x6
· Mango de madera.")</f>
        <v>· Material: acero inoxidable
· Cuchillas: 75 capas de forjado
· Grosor minimo  de la cuchilla: 3mm.
· Tamaño aproximado: 25x9x6
· Mango de madera.</v>
      </c>
      <c r="J1232" s="213">
        <f>IFERROR(__xludf.DUMMYFUNCTION("""COMPUTED_VALUE"""),3.0)</f>
        <v>3</v>
      </c>
      <c r="K1232" s="213" t="str">
        <f>IFERROR(__xludf.DUMMYFUNCTION("""COMPUTED_VALUE"""),"90 DÍAS CALENDARIO")</f>
        <v>90 DÍAS CALENDARIO</v>
      </c>
      <c r="L1232" s="213" t="str">
        <f>IFERROR(__xludf.DUMMYFUNCTION("""COMPUTED_VALUE"""),"")</f>
        <v/>
      </c>
      <c r="M1232" s="213">
        <f>IFERROR(__xludf.DUMMYFUNCTION("""COMPUTED_VALUE"""),1.0)</f>
        <v>1</v>
      </c>
      <c r="N1232" s="213">
        <f>IFERROR(__xludf.DUMMYFUNCTION("""COMPUTED_VALUE"""),4.0)</f>
        <v>4</v>
      </c>
      <c r="O1232" s="213">
        <f>IFERROR(__xludf.DUMMYFUNCTION("""COMPUTED_VALUE"""),4.0)</f>
        <v>4</v>
      </c>
      <c r="P1232" s="213"/>
      <c r="Q1232" s="213"/>
      <c r="R1232" s="213"/>
      <c r="S1232" s="213"/>
      <c r="T1232" s="213" t="str">
        <f>IFERROR(__xludf.DUMMYFUNCTION("""COMPUTED_VALUE"""),"CONSULTA FINAL")</f>
        <v>CONSULTA FINAL</v>
      </c>
      <c r="U1232" s="213" t="str">
        <f>IFERROR(__xludf.DUMMYFUNCTION("""COMPUTED_VALUE"""),"NO")</f>
        <v>NO</v>
      </c>
      <c r="V1232" s="213" t="str">
        <f>IFERROR(__xludf.DUMMYFUNCTION("""COMPUTED_VALUE"""),"SUSTENTO")</f>
        <v>SUSTENTO</v>
      </c>
      <c r="W1232" s="213" t="str">
        <f>IFERROR(__xludf.DUMMYFUNCTION("""COMPUTED_VALUE"""),"EQU TEC")</f>
        <v>EQU TEC</v>
      </c>
      <c r="X1232" s="213" t="str">
        <f>IFERROR(__xludf.DUMMYFUNCTION("""COMPUTED_VALUE"""),"GENERICO")</f>
        <v>GENERICO</v>
      </c>
      <c r="Y1232" s="213" t="str">
        <f>IFERROR(__xludf.DUMMYFUNCTION("""COMPUTED_VALUE"""),"GENERICO")</f>
        <v>GENERICO</v>
      </c>
      <c r="Z1232" s="215" t="str">
        <f>IFERROR(__xludf.DUMMYFUNCTION("""COMPUTED_VALUE"""),"https://templodelfilo.com/products/b30-kg-hacha-para-huesos-17cm-10cr-damasco-sicomoro?srsltid=AfmBOorXqu50IoGTCZ7F5Ztk2UkGa5qCVebBZPXIdzKRayeHD8-gXMCa")</f>
        <v>https://templodelfilo.com/products/b30-kg-hacha-para-huesos-17cm-10cr-damasco-sicomoro?srsltid=AfmBOorXqu50IoGTCZ7F5Ztk2UkGa5qCVebBZPXIdzKRayeHD8-gXMCa</v>
      </c>
      <c r="AA1232" s="213" t="str">
        <f>IFERROR(__xludf.DUMMYFUNCTION("""COMPUTED_VALUE"""),"MAT-145 CUCHILLO CORTE DE HUESOS Y VERDURAS - CET")</f>
        <v>MAT-145 CUCHILLO CORTE DE HUESOS Y VERDURAS - CET</v>
      </c>
      <c r="AB1232" s="213"/>
      <c r="AC1232" s="213"/>
      <c r="AD1232" s="213"/>
      <c r="AE1232" s="213"/>
      <c r="AF1232" s="213"/>
      <c r="AG1232" s="213"/>
      <c r="AH1232" s="213"/>
      <c r="AI1232" s="213"/>
      <c r="AJ1232" s="213"/>
      <c r="AK1232" s="213"/>
      <c r="AL1232" s="213"/>
      <c r="AM1232" s="213"/>
      <c r="AN1232" s="213"/>
      <c r="AO1232" s="213"/>
      <c r="AP1232" s="213" t="str">
        <f>IFERROR(__xludf.DUMMYFUNCTION("""COMPUTED_VALUE"""),"LUIS")</f>
        <v>LUIS</v>
      </c>
      <c r="AQ1232" s="213"/>
      <c r="AR1232" s="213"/>
      <c r="AS1232" s="213"/>
      <c r="AT1232" s="213"/>
      <c r="AU1232" s="213"/>
      <c r="AV1232" s="213"/>
      <c r="AW1232" s="213"/>
      <c r="AX1232" s="213"/>
      <c r="AY1232" s="213"/>
      <c r="AZ1232" s="213"/>
      <c r="BA1232" s="213"/>
      <c r="BB1232" s="213"/>
      <c r="BC1232" s="213"/>
      <c r="BD1232" s="213"/>
    </row>
    <row r="1233">
      <c r="A1233" s="213">
        <f>IFERROR(__xludf.DUMMYFUNCTION("""COMPUTED_VALUE"""),478.0)</f>
        <v>478</v>
      </c>
      <c r="B1233" s="213" t="str">
        <f>IFERROR(__xludf.DUMMYFUNCTION("""COMPUTED_VALUE"""),"2026 SIMON BOLIVAR")</f>
        <v>2026 SIMON BOLIVAR</v>
      </c>
      <c r="C1233" s="213" t="str">
        <f>IFERROR(__xludf.DUMMYFUNCTION("""COMPUTED_VALUE"""),"TALLER SFT DE INDUSTRIA ALIMENTARIA")</f>
        <v>TALLER SFT DE INDUSTRIA ALIMENTARIA</v>
      </c>
      <c r="D1233" s="213" t="str">
        <f>IFERROR(__xludf.DUMMYFUNCTION("""COMPUTED_VALUE"""),"HERRAMIENTAS")</f>
        <v>HERRAMIENTAS</v>
      </c>
      <c r="E1233" s="213" t="str">
        <f>IFERROR(__xludf.DUMMYFUNCTION("""COMPUTED_VALUE"""),"MAT-146")</f>
        <v>MAT-146</v>
      </c>
      <c r="F1233" s="213" t="str">
        <f>IFERROR(__xludf.DUMMYFUNCTION("""COMPUTED_VALUE"""),"MAT-146")</f>
        <v>MAT-146</v>
      </c>
      <c r="G1233" s="213"/>
      <c r="H1233" s="213" t="str">
        <f>IFERROR(__xludf.DUMMYFUNCTION("""COMPUTED_VALUE"""),"CUCHILLO DE ACERO INOXIDABLE")</f>
        <v>CUCHILLO DE ACERO INOXIDABLE</v>
      </c>
      <c r="I1233" s="213" t="str">
        <f>IFERROR(__xludf.DUMMYFUNCTION("""COMPUTED_VALUE"""),"· Material Acero Inoxidable.
· Medidas mínimas: 2.5 cm X 4 cm X 33cm, incluido el mango.
· Cuchillo anatómico y resistente a la corrosión.")</f>
        <v>· Material Acero Inoxidable.
· Medidas mínimas: 2.5 cm X 4 cm X 33cm, incluido el mango.
· Cuchillo anatómico y resistente a la corrosión.</v>
      </c>
      <c r="J1233" s="213">
        <f>IFERROR(__xludf.DUMMYFUNCTION("""COMPUTED_VALUE"""),3.0)</f>
        <v>3</v>
      </c>
      <c r="K1233" s="213" t="str">
        <f>IFERROR(__xludf.DUMMYFUNCTION("""COMPUTED_VALUE"""),"90 DÍAS CALENDARIO")</f>
        <v>90 DÍAS CALENDARIO</v>
      </c>
      <c r="L1233" s="213" t="str">
        <f>IFERROR(__xludf.DUMMYFUNCTION("""COMPUTED_VALUE"""),"")</f>
        <v/>
      </c>
      <c r="M1233" s="213">
        <f>IFERROR(__xludf.DUMMYFUNCTION("""COMPUTED_VALUE"""),1.0)</f>
        <v>1</v>
      </c>
      <c r="N1233" s="213">
        <f>IFERROR(__xludf.DUMMYFUNCTION("""COMPUTED_VALUE"""),4.0)</f>
        <v>4</v>
      </c>
      <c r="O1233" s="213">
        <f>IFERROR(__xludf.DUMMYFUNCTION("""COMPUTED_VALUE"""),4.0)</f>
        <v>4</v>
      </c>
      <c r="P1233" s="213"/>
      <c r="Q1233" s="213"/>
      <c r="R1233" s="213"/>
      <c r="S1233" s="213"/>
      <c r="T1233" s="213" t="str">
        <f>IFERROR(__xludf.DUMMYFUNCTION("""COMPUTED_VALUE"""),"SI")</f>
        <v>SI</v>
      </c>
      <c r="U1233" s="213" t="str">
        <f>IFERROR(__xludf.DUMMYFUNCTION("""COMPUTED_VALUE"""),"SI")</f>
        <v>SI</v>
      </c>
      <c r="V1233" s="213" t="str">
        <f>IFERROR(__xludf.DUMMYFUNCTION("""COMPUTED_VALUE"""),"-")</f>
        <v>-</v>
      </c>
      <c r="W1233" s="213" t="str">
        <f>IFERROR(__xludf.DUMMYFUNCTION("""COMPUTED_VALUE"""),"-")</f>
        <v>-</v>
      </c>
      <c r="X1233" s="213" t="str">
        <f>IFERROR(__xludf.DUMMYFUNCTION("""COMPUTED_VALUE"""),"Orange")</f>
        <v>Orange</v>
      </c>
      <c r="Y1233" s="213" t="str">
        <f>IFERROR(__xludf.DUMMYFUNCTION("""COMPUTED_VALUE"""),"Para Pam 33cm x 2.5mm")</f>
        <v>Para Pam 33cm x 2.5mm</v>
      </c>
      <c r="Z1233" s="215" t="str">
        <f>IFERROR(__xludf.DUMMYFUNCTION("""COMPUTED_VALUE"""),"https://www.promart.pe/cuchillo-para-cortar-pan-34-cm/p")</f>
        <v>https://www.promart.pe/cuchillo-para-cortar-pan-34-cm/p</v>
      </c>
      <c r="AA1233" s="213" t="str">
        <f>IFERROR(__xludf.DUMMYFUNCTION("""COMPUTED_VALUE"""),"MAT-146 CUCHILLO DE ACERO INOXIDABLE - CET")</f>
        <v>MAT-146 CUCHILLO DE ACERO INOXIDABLE - CET</v>
      </c>
      <c r="AB1233" s="213"/>
      <c r="AC1233" s="213"/>
      <c r="AD1233" s="213"/>
      <c r="AE1233" s="213"/>
      <c r="AF1233" s="213"/>
      <c r="AG1233" s="213"/>
      <c r="AH1233" s="213"/>
      <c r="AI1233" s="213"/>
      <c r="AJ1233" s="213"/>
      <c r="AK1233" s="213"/>
      <c r="AL1233" s="213"/>
      <c r="AM1233" s="213"/>
      <c r="AN1233" s="213"/>
      <c r="AO1233" s="213"/>
      <c r="AP1233" s="213" t="str">
        <f>IFERROR(__xludf.DUMMYFUNCTION("""COMPUTED_VALUE"""),"BRUNO")</f>
        <v>BRUNO</v>
      </c>
      <c r="AQ1233" s="213"/>
      <c r="AR1233" s="213"/>
      <c r="AS1233" s="213" t="str">
        <f>IFERROR(__xludf.DUMMYFUNCTION("""COMPUTED_VALUE"""),"No se cumple en el ancho del cuchillo, lo cual es irrelevante.")</f>
        <v>No se cumple en el ancho del cuchillo, lo cual es irrelevante.</v>
      </c>
      <c r="AT1233" s="213"/>
      <c r="AU1233" s="213"/>
      <c r="AV1233" s="213"/>
      <c r="AW1233" s="213"/>
      <c r="AX1233" s="213"/>
      <c r="AY1233" s="213"/>
      <c r="AZ1233" s="213"/>
      <c r="BA1233" s="213"/>
      <c r="BB1233" s="213"/>
      <c r="BC1233" s="213"/>
      <c r="BD1233" s="213"/>
    </row>
    <row r="1234">
      <c r="A1234" s="213">
        <f>IFERROR(__xludf.DUMMYFUNCTION("""COMPUTED_VALUE"""),1108.0)</f>
        <v>1108</v>
      </c>
      <c r="B1234" s="213" t="str">
        <f>IFERROR(__xludf.DUMMYFUNCTION("""COMPUTED_VALUE"""),"FRANCISCO IRAZOLA")</f>
        <v>FRANCISCO IRAZOLA</v>
      </c>
      <c r="C1234" s="213" t="str">
        <f>IFERROR(__xludf.DUMMYFUNCTION("""COMPUTED_VALUE"""),"TALLER SFT DE INDUSTRIA ALIMENTARIA")</f>
        <v>TALLER SFT DE INDUSTRIA ALIMENTARIA</v>
      </c>
      <c r="D1234" s="213" t="str">
        <f>IFERROR(__xludf.DUMMYFUNCTION("""COMPUTED_VALUE"""),"HERRAMIENTAS")</f>
        <v>HERRAMIENTAS</v>
      </c>
      <c r="E1234" s="213" t="str">
        <f>IFERROR(__xludf.DUMMYFUNCTION("""COMPUTED_VALUE"""),"MAT-146")</f>
        <v>MAT-146</v>
      </c>
      <c r="F1234" s="213" t="str">
        <f>IFERROR(__xludf.DUMMYFUNCTION("""COMPUTED_VALUE"""),"MAT-146")</f>
        <v>MAT-146</v>
      </c>
      <c r="G1234" s="213"/>
      <c r="H1234" s="213" t="str">
        <f>IFERROR(__xludf.DUMMYFUNCTION("""COMPUTED_VALUE"""),"CUCHILLO DE ACERO INOXIDABLE")</f>
        <v>CUCHILLO DE ACERO INOXIDABLE</v>
      </c>
      <c r="I1234" s="213" t="str">
        <f>IFERROR(__xludf.DUMMYFUNCTION("""COMPUTED_VALUE"""),"· Material Acero Inoxidable.
· Medidas mínimas: 2.5 cm X 4 cm X 33cm, incluido el mango.
· Cuchillo anatómico y resistente a la corrosión.")</f>
        <v>· Material Acero Inoxidable.
· Medidas mínimas: 2.5 cm X 4 cm X 33cm, incluido el mango.
· Cuchillo anatómico y resistente a la corrosión.</v>
      </c>
      <c r="J1234" s="213">
        <f>IFERROR(__xludf.DUMMYFUNCTION("""COMPUTED_VALUE"""),3.0)</f>
        <v>3</v>
      </c>
      <c r="K1234" s="213" t="str">
        <f>IFERROR(__xludf.DUMMYFUNCTION("""COMPUTED_VALUE"""),"90 DÍAS CALENDARIO")</f>
        <v>90 DÍAS CALENDARIO</v>
      </c>
      <c r="L1234" s="213" t="str">
        <f>IFERROR(__xludf.DUMMYFUNCTION("""COMPUTED_VALUE"""),"")</f>
        <v/>
      </c>
      <c r="M1234" s="213">
        <f>IFERROR(__xludf.DUMMYFUNCTION("""COMPUTED_VALUE"""),1.0)</f>
        <v>1</v>
      </c>
      <c r="N1234" s="213">
        <f>IFERROR(__xludf.DUMMYFUNCTION("""COMPUTED_VALUE"""),4.0)</f>
        <v>4</v>
      </c>
      <c r="O1234" s="213">
        <f>IFERROR(__xludf.DUMMYFUNCTION("""COMPUTED_VALUE"""),4.0)</f>
        <v>4</v>
      </c>
      <c r="P1234" s="213"/>
      <c r="Q1234" s="213"/>
      <c r="R1234" s="213"/>
      <c r="S1234" s="213"/>
      <c r="T1234" s="213" t="str">
        <f>IFERROR(__xludf.DUMMYFUNCTION("""COMPUTED_VALUE"""),"SI")</f>
        <v>SI</v>
      </c>
      <c r="U1234" s="213" t="str">
        <f>IFERROR(__xludf.DUMMYFUNCTION("""COMPUTED_VALUE"""),"SI")</f>
        <v>SI</v>
      </c>
      <c r="V1234" s="213" t="str">
        <f>IFERROR(__xludf.DUMMYFUNCTION("""COMPUTED_VALUE"""),"-")</f>
        <v>-</v>
      </c>
      <c r="W1234" s="213" t="str">
        <f>IFERROR(__xludf.DUMMYFUNCTION("""COMPUTED_VALUE"""),"-")</f>
        <v>-</v>
      </c>
      <c r="X1234" s="213" t="str">
        <f>IFERROR(__xludf.DUMMYFUNCTION("""COMPUTED_VALUE"""),"Orange")</f>
        <v>Orange</v>
      </c>
      <c r="Y1234" s="213" t="str">
        <f>IFERROR(__xludf.DUMMYFUNCTION("""COMPUTED_VALUE"""),"Para Pam 33cm x 2.5mm")</f>
        <v>Para Pam 33cm x 2.5mm</v>
      </c>
      <c r="Z1234" s="215" t="str">
        <f>IFERROR(__xludf.DUMMYFUNCTION("""COMPUTED_VALUE"""),"https://www.promart.pe/cuchillo-para-cortar-pan-34-cm/p")</f>
        <v>https://www.promart.pe/cuchillo-para-cortar-pan-34-cm/p</v>
      </c>
      <c r="AA1234" s="213" t="str">
        <f>IFERROR(__xludf.DUMMYFUNCTION("""COMPUTED_VALUE"""),"MAT-146 CUCHILLO DE ACERO INOXIDABLE - CET")</f>
        <v>MAT-146 CUCHILLO DE ACERO INOXIDABLE - CET</v>
      </c>
      <c r="AB1234" s="213"/>
      <c r="AC1234" s="213"/>
      <c r="AD1234" s="213"/>
      <c r="AE1234" s="213"/>
      <c r="AF1234" s="213"/>
      <c r="AG1234" s="213"/>
      <c r="AH1234" s="213"/>
      <c r="AI1234" s="213"/>
      <c r="AJ1234" s="213"/>
      <c r="AK1234" s="213"/>
      <c r="AL1234" s="213"/>
      <c r="AM1234" s="213"/>
      <c r="AN1234" s="213"/>
      <c r="AO1234" s="213"/>
      <c r="AP1234" s="213" t="str">
        <f>IFERROR(__xludf.DUMMYFUNCTION("""COMPUTED_VALUE"""),"BRUNO")</f>
        <v>BRUNO</v>
      </c>
      <c r="AQ1234" s="213"/>
      <c r="AR1234" s="213"/>
      <c r="AS1234" s="213" t="str">
        <f>IFERROR(__xludf.DUMMYFUNCTION("""COMPUTED_VALUE"""),"No se cumple en el ancho del cuchillo, lo cual es irrelevante.")</f>
        <v>No se cumple en el ancho del cuchillo, lo cual es irrelevante.</v>
      </c>
      <c r="AT1234" s="213"/>
      <c r="AU1234" s="213"/>
      <c r="AV1234" s="213"/>
      <c r="AW1234" s="213"/>
      <c r="AX1234" s="213"/>
      <c r="AY1234" s="213"/>
      <c r="AZ1234" s="213"/>
      <c r="BA1234" s="213"/>
      <c r="BB1234" s="213"/>
      <c r="BC1234" s="213"/>
      <c r="BD1234" s="213"/>
    </row>
    <row r="1235">
      <c r="A1235" s="213">
        <f>IFERROR(__xludf.DUMMYFUNCTION("""COMPUTED_VALUE"""),1380.0)</f>
        <v>1380</v>
      </c>
      <c r="B1235" s="213" t="str">
        <f>IFERROR(__xludf.DUMMYFUNCTION("""COMPUTED_VALUE"""),"GUILLERMO E. BILLINGHURST ")</f>
        <v>GUILLERMO E. BILLINGHURST </v>
      </c>
      <c r="C1235" s="213" t="str">
        <f>IFERROR(__xludf.DUMMYFUNCTION("""COMPUTED_VALUE"""),"TALLER SFT DE INDUSTRIA ALIMENTARIA")</f>
        <v>TALLER SFT DE INDUSTRIA ALIMENTARIA</v>
      </c>
      <c r="D1235" s="213" t="str">
        <f>IFERROR(__xludf.DUMMYFUNCTION("""COMPUTED_VALUE"""),"HERRAMIENTAS")</f>
        <v>HERRAMIENTAS</v>
      </c>
      <c r="E1235" s="213" t="str">
        <f>IFERROR(__xludf.DUMMYFUNCTION("""COMPUTED_VALUE"""),"MAT-146")</f>
        <v>MAT-146</v>
      </c>
      <c r="F1235" s="213" t="str">
        <f>IFERROR(__xludf.DUMMYFUNCTION("""COMPUTED_VALUE"""),"MAT-146")</f>
        <v>MAT-146</v>
      </c>
      <c r="G1235" s="213"/>
      <c r="H1235" s="213" t="str">
        <f>IFERROR(__xludf.DUMMYFUNCTION("""COMPUTED_VALUE"""),"CUCHILLO DE ACERO INOXIDABLE")</f>
        <v>CUCHILLO DE ACERO INOXIDABLE</v>
      </c>
      <c r="I1235" s="213" t="str">
        <f>IFERROR(__xludf.DUMMYFUNCTION("""COMPUTED_VALUE"""),"· Material Acero Inoxidable.
· Medidas mínimas: 2.5 cm X 4 cm X 33cm, incluido el mango.
· Cuchillo anatómico y resistente a la corrosión.")</f>
        <v>· Material Acero Inoxidable.
· Medidas mínimas: 2.5 cm X 4 cm X 33cm, incluido el mango.
· Cuchillo anatómico y resistente a la corrosión.</v>
      </c>
      <c r="J1235" s="213">
        <f>IFERROR(__xludf.DUMMYFUNCTION("""COMPUTED_VALUE"""),3.0)</f>
        <v>3</v>
      </c>
      <c r="K1235" s="213" t="str">
        <f>IFERROR(__xludf.DUMMYFUNCTION("""COMPUTED_VALUE"""),"90 DÍAS CALENDARIO")</f>
        <v>90 DÍAS CALENDARIO</v>
      </c>
      <c r="L1235" s="213" t="str">
        <f>IFERROR(__xludf.DUMMYFUNCTION("""COMPUTED_VALUE"""),"")</f>
        <v/>
      </c>
      <c r="M1235" s="213">
        <f>IFERROR(__xludf.DUMMYFUNCTION("""COMPUTED_VALUE"""),1.0)</f>
        <v>1</v>
      </c>
      <c r="N1235" s="213">
        <f>IFERROR(__xludf.DUMMYFUNCTION("""COMPUTED_VALUE"""),4.0)</f>
        <v>4</v>
      </c>
      <c r="O1235" s="213">
        <f>IFERROR(__xludf.DUMMYFUNCTION("""COMPUTED_VALUE"""),4.0)</f>
        <v>4</v>
      </c>
      <c r="P1235" s="213"/>
      <c r="Q1235" s="213"/>
      <c r="R1235" s="213"/>
      <c r="S1235" s="213"/>
      <c r="T1235" s="213" t="str">
        <f>IFERROR(__xludf.DUMMYFUNCTION("""COMPUTED_VALUE"""),"SI")</f>
        <v>SI</v>
      </c>
      <c r="U1235" s="213" t="str">
        <f>IFERROR(__xludf.DUMMYFUNCTION("""COMPUTED_VALUE"""),"SI")</f>
        <v>SI</v>
      </c>
      <c r="V1235" s="213" t="str">
        <f>IFERROR(__xludf.DUMMYFUNCTION("""COMPUTED_VALUE"""),"-")</f>
        <v>-</v>
      </c>
      <c r="W1235" s="213" t="str">
        <f>IFERROR(__xludf.DUMMYFUNCTION("""COMPUTED_VALUE"""),"-")</f>
        <v>-</v>
      </c>
      <c r="X1235" s="213" t="str">
        <f>IFERROR(__xludf.DUMMYFUNCTION("""COMPUTED_VALUE"""),"Orange")</f>
        <v>Orange</v>
      </c>
      <c r="Y1235" s="213" t="str">
        <f>IFERROR(__xludf.DUMMYFUNCTION("""COMPUTED_VALUE"""),"Para Pam 33cm x 2.5mm")</f>
        <v>Para Pam 33cm x 2.5mm</v>
      </c>
      <c r="Z1235" s="215" t="str">
        <f>IFERROR(__xludf.DUMMYFUNCTION("""COMPUTED_VALUE"""),"https://www.promart.pe/cuchillo-para-cortar-pan-34-cm/p")</f>
        <v>https://www.promart.pe/cuchillo-para-cortar-pan-34-cm/p</v>
      </c>
      <c r="AA1235" s="213" t="str">
        <f>IFERROR(__xludf.DUMMYFUNCTION("""COMPUTED_VALUE"""),"MAT-146 CUCHILLO DE ACERO INOXIDABLE - CET")</f>
        <v>MAT-146 CUCHILLO DE ACERO INOXIDABLE - CET</v>
      </c>
      <c r="AB1235" s="213"/>
      <c r="AC1235" s="213"/>
      <c r="AD1235" s="213"/>
      <c r="AE1235" s="213"/>
      <c r="AF1235" s="213"/>
      <c r="AG1235" s="213"/>
      <c r="AH1235" s="213"/>
      <c r="AI1235" s="213"/>
      <c r="AJ1235" s="213"/>
      <c r="AK1235" s="213"/>
      <c r="AL1235" s="213"/>
      <c r="AM1235" s="213"/>
      <c r="AN1235" s="213"/>
      <c r="AO1235" s="213"/>
      <c r="AP1235" s="213" t="str">
        <f>IFERROR(__xludf.DUMMYFUNCTION("""COMPUTED_VALUE"""),"BRUNO")</f>
        <v>BRUNO</v>
      </c>
      <c r="AQ1235" s="213"/>
      <c r="AR1235" s="213"/>
      <c r="AS1235" s="213" t="str">
        <f>IFERROR(__xludf.DUMMYFUNCTION("""COMPUTED_VALUE"""),"No se cumple en el ancho del cuchillo, lo cual es irrelevante.")</f>
        <v>No se cumple en el ancho del cuchillo, lo cual es irrelevante.</v>
      </c>
      <c r="AT1235" s="213"/>
      <c r="AU1235" s="213"/>
      <c r="AV1235" s="213"/>
      <c r="AW1235" s="213"/>
      <c r="AX1235" s="213"/>
      <c r="AY1235" s="213"/>
      <c r="AZ1235" s="213"/>
      <c r="BA1235" s="213"/>
      <c r="BB1235" s="213"/>
      <c r="BC1235" s="213"/>
      <c r="BD1235" s="213"/>
    </row>
    <row r="1236">
      <c r="A1236" s="213">
        <f>IFERROR(__xludf.DUMMYFUNCTION("""COMPUTED_VALUE"""),2067.0)</f>
        <v>2067</v>
      </c>
      <c r="B1236" s="213" t="str">
        <f>IFERROR(__xludf.DUMMYFUNCTION("""COMPUTED_VALUE"""),"JOSE GRANDA")</f>
        <v>JOSE GRANDA</v>
      </c>
      <c r="C1236" s="213" t="str">
        <f>IFERROR(__xludf.DUMMYFUNCTION("""COMPUTED_VALUE"""),"TALLER SFT DE INDUSTRIA ALIMENTARIA")</f>
        <v>TALLER SFT DE INDUSTRIA ALIMENTARIA</v>
      </c>
      <c r="D1236" s="213" t="str">
        <f>IFERROR(__xludf.DUMMYFUNCTION("""COMPUTED_VALUE"""),"HERRAMIENTAS")</f>
        <v>HERRAMIENTAS</v>
      </c>
      <c r="E1236" s="213" t="str">
        <f>IFERROR(__xludf.DUMMYFUNCTION("""COMPUTED_VALUE"""),"MAT-146")</f>
        <v>MAT-146</v>
      </c>
      <c r="F1236" s="213" t="str">
        <f>IFERROR(__xludf.DUMMYFUNCTION("""COMPUTED_VALUE"""),"MAT-146")</f>
        <v>MAT-146</v>
      </c>
      <c r="G1236" s="213"/>
      <c r="H1236" s="213" t="str">
        <f>IFERROR(__xludf.DUMMYFUNCTION("""COMPUTED_VALUE"""),"CUCHILLO DE ACERO INOXIDABLE")</f>
        <v>CUCHILLO DE ACERO INOXIDABLE</v>
      </c>
      <c r="I1236" s="213" t="str">
        <f>IFERROR(__xludf.DUMMYFUNCTION("""COMPUTED_VALUE"""),"· Material Acero Inoxidable.
· Medidas mínimas: 2.5 cm X 4 cm X 33cm, incluido el mango.
· Cuchillo anatómico y resistente a la corrosión.")</f>
        <v>· Material Acero Inoxidable.
· Medidas mínimas: 2.5 cm X 4 cm X 33cm, incluido el mango.
· Cuchillo anatómico y resistente a la corrosión.</v>
      </c>
      <c r="J1236" s="213">
        <f>IFERROR(__xludf.DUMMYFUNCTION("""COMPUTED_VALUE"""),3.0)</f>
        <v>3</v>
      </c>
      <c r="K1236" s="213" t="str">
        <f>IFERROR(__xludf.DUMMYFUNCTION("""COMPUTED_VALUE"""),"90 DÍAS CALENDARIO")</f>
        <v>90 DÍAS CALENDARIO</v>
      </c>
      <c r="L1236" s="213" t="str">
        <f>IFERROR(__xludf.DUMMYFUNCTION("""COMPUTED_VALUE"""),"")</f>
        <v/>
      </c>
      <c r="M1236" s="213">
        <f>IFERROR(__xludf.DUMMYFUNCTION("""COMPUTED_VALUE"""),1.0)</f>
        <v>1</v>
      </c>
      <c r="N1236" s="213">
        <f>IFERROR(__xludf.DUMMYFUNCTION("""COMPUTED_VALUE"""),4.0)</f>
        <v>4</v>
      </c>
      <c r="O1236" s="213">
        <f>IFERROR(__xludf.DUMMYFUNCTION("""COMPUTED_VALUE"""),4.0)</f>
        <v>4</v>
      </c>
      <c r="P1236" s="213"/>
      <c r="Q1236" s="213"/>
      <c r="R1236" s="213"/>
      <c r="S1236" s="213"/>
      <c r="T1236" s="213" t="str">
        <f>IFERROR(__xludf.DUMMYFUNCTION("""COMPUTED_VALUE"""),"SI")</f>
        <v>SI</v>
      </c>
      <c r="U1236" s="213" t="str">
        <f>IFERROR(__xludf.DUMMYFUNCTION("""COMPUTED_VALUE"""),"SI")</f>
        <v>SI</v>
      </c>
      <c r="V1236" s="213" t="str">
        <f>IFERROR(__xludf.DUMMYFUNCTION("""COMPUTED_VALUE"""),"-")</f>
        <v>-</v>
      </c>
      <c r="W1236" s="213" t="str">
        <f>IFERROR(__xludf.DUMMYFUNCTION("""COMPUTED_VALUE"""),"-")</f>
        <v>-</v>
      </c>
      <c r="X1236" s="213" t="str">
        <f>IFERROR(__xludf.DUMMYFUNCTION("""COMPUTED_VALUE"""),"Orange")</f>
        <v>Orange</v>
      </c>
      <c r="Y1236" s="213" t="str">
        <f>IFERROR(__xludf.DUMMYFUNCTION("""COMPUTED_VALUE"""),"Para Pam 33cm x 2.5mm")</f>
        <v>Para Pam 33cm x 2.5mm</v>
      </c>
      <c r="Z1236" s="215" t="str">
        <f>IFERROR(__xludf.DUMMYFUNCTION("""COMPUTED_VALUE"""),"https://www.promart.pe/cuchillo-para-cortar-pan-34-cm/p")</f>
        <v>https://www.promart.pe/cuchillo-para-cortar-pan-34-cm/p</v>
      </c>
      <c r="AA1236" s="213" t="str">
        <f>IFERROR(__xludf.DUMMYFUNCTION("""COMPUTED_VALUE"""),"MAT-146 CUCHILLO DE ACERO INOXIDABLE - CET")</f>
        <v>MAT-146 CUCHILLO DE ACERO INOXIDABLE - CET</v>
      </c>
      <c r="AB1236" s="213"/>
      <c r="AC1236" s="213"/>
      <c r="AD1236" s="213"/>
      <c r="AE1236" s="213"/>
      <c r="AF1236" s="213"/>
      <c r="AG1236" s="213"/>
      <c r="AH1236" s="213"/>
      <c r="AI1236" s="213"/>
      <c r="AJ1236" s="213"/>
      <c r="AK1236" s="213"/>
      <c r="AL1236" s="213"/>
      <c r="AM1236" s="213"/>
      <c r="AN1236" s="213"/>
      <c r="AO1236" s="213"/>
      <c r="AP1236" s="213" t="str">
        <f>IFERROR(__xludf.DUMMYFUNCTION("""COMPUTED_VALUE"""),"BRUNO")</f>
        <v>BRUNO</v>
      </c>
      <c r="AQ1236" s="213"/>
      <c r="AR1236" s="213"/>
      <c r="AS1236" s="213" t="str">
        <f>IFERROR(__xludf.DUMMYFUNCTION("""COMPUTED_VALUE"""),"No se cumple en el ancho del cuchillo, lo cual es irrelevante.")</f>
        <v>No se cumple en el ancho del cuchillo, lo cual es irrelevante.</v>
      </c>
      <c r="AT1236" s="213"/>
      <c r="AU1236" s="213"/>
      <c r="AV1236" s="213"/>
      <c r="AW1236" s="213"/>
      <c r="AX1236" s="213"/>
      <c r="AY1236" s="213"/>
      <c r="AZ1236" s="213"/>
      <c r="BA1236" s="213"/>
      <c r="BB1236" s="213"/>
      <c r="BC1236" s="213"/>
      <c r="BD1236" s="213"/>
    </row>
    <row r="1237">
      <c r="A1237" s="213">
        <f>IFERROR(__xludf.DUMMYFUNCTION("""COMPUTED_VALUE"""),1826.0)</f>
        <v>1826</v>
      </c>
      <c r="B1237" s="213" t="str">
        <f>IFERROR(__xludf.DUMMYFUNCTION("""COMPUTED_VALUE"""),"GUILLERMO E. BILLINGHURST ")</f>
        <v>GUILLERMO E. BILLINGHURST </v>
      </c>
      <c r="C1237" s="213" t="str">
        <f>IFERROR(__xludf.DUMMYFUNCTION("""COMPUTED_VALUE"""),"TALLER SFT DE EBANISTERÍA")</f>
        <v>TALLER SFT DE EBANISTERÍA</v>
      </c>
      <c r="D1237" s="213" t="str">
        <f>IFERROR(__xludf.DUMMYFUNCTION("""COMPUTED_VALUE"""),"HERRAMIENTAS")</f>
        <v>HERRAMIENTAS</v>
      </c>
      <c r="E1237" s="213" t="str">
        <f>IFERROR(__xludf.DUMMYFUNCTION("""COMPUTED_VALUE"""),"MAT-147")</f>
        <v>MAT-147</v>
      </c>
      <c r="F1237" s="213" t="str">
        <f>IFERROR(__xludf.DUMMYFUNCTION("""COMPUTED_VALUE"""),"MAT-147-X")</f>
        <v>MAT-147-X</v>
      </c>
      <c r="G1237" s="213"/>
      <c r="H1237" s="213" t="str">
        <f>IFERROR(__xludf.DUMMYFUNCTION("""COMPUTED_VALUE"""),"CÚTER")</f>
        <v>CÚTER</v>
      </c>
      <c r="I1237" s="213" t="str">
        <f>IFERROR(__xludf.DUMMYFUNCTION("""COMPUTED_VALUE"""),"Cuchilla de recarga automática. Ancho de la cuchilla: 18 mm.
Aproximadamente 2,5 cm de ancho y de 7,5 a 10 cm de largo Capacidad de porta cuchilla para 5 repuestos
Material de las navajas: de acero SK5.
Mango portacuchilla: de material ABS + elastómero.")</f>
        <v>Cuchilla de recarga automática. Ancho de la cuchilla: 18 mm.
Aproximadamente 2,5 cm de ancho y de 7,5 a 10 cm de largo Capacidad de porta cuchilla para 5 repuestos
Material de las navajas: de acero SK5.
Mango portacuchilla: de material ABS + elastómero.</v>
      </c>
      <c r="J1237" s="213">
        <f>IFERROR(__xludf.DUMMYFUNCTION("""COMPUTED_VALUE"""),3.0)</f>
        <v>3</v>
      </c>
      <c r="K1237" s="213" t="str">
        <f>IFERROR(__xludf.DUMMYFUNCTION("""COMPUTED_VALUE"""),"90 DÍAS CALENDARIO")</f>
        <v>90 DÍAS CALENDARIO</v>
      </c>
      <c r="L1237" s="213" t="str">
        <f>IFERROR(__xludf.DUMMYFUNCTION("""COMPUTED_VALUE"""),"")</f>
        <v/>
      </c>
      <c r="M1237" s="213">
        <f>IFERROR(__xludf.DUMMYFUNCTION("""COMPUTED_VALUE"""),1.0)</f>
        <v>1</v>
      </c>
      <c r="N1237" s="213">
        <f>IFERROR(__xludf.DUMMYFUNCTION("""COMPUTED_VALUE"""),4.0)</f>
        <v>4</v>
      </c>
      <c r="O1237" s="213">
        <f>IFERROR(__xludf.DUMMYFUNCTION("""COMPUTED_VALUE"""),4.0)</f>
        <v>4</v>
      </c>
      <c r="P1237" s="213"/>
      <c r="Q1237" s="213"/>
      <c r="R1237" s="213"/>
      <c r="S1237" s="213"/>
      <c r="T1237" s="213" t="str">
        <f>IFERROR(__xludf.DUMMYFUNCTION("""COMPUTED_VALUE"""),"SI")</f>
        <v>SI</v>
      </c>
      <c r="U1237" s="213" t="str">
        <f>IFERROR(__xludf.DUMMYFUNCTION("""COMPUTED_VALUE"""),"SI")</f>
        <v>SI</v>
      </c>
      <c r="V1237" s="213" t="str">
        <f>IFERROR(__xludf.DUMMYFUNCTION("""COMPUTED_VALUE"""),"-")</f>
        <v>-</v>
      </c>
      <c r="W1237" s="213" t="str">
        <f>IFERROR(__xludf.DUMMYFUNCTION("""COMPUTED_VALUE"""),"-")</f>
        <v>-</v>
      </c>
      <c r="X1237" s="213" t="str">
        <f>IFERROR(__xludf.DUMMYFUNCTION("""COMPUTED_VALUE"""),"Medid")</f>
        <v>Medid</v>
      </c>
      <c r="Y1237" s="213" t="str">
        <f>IFERROR(__xludf.DUMMYFUNCTION("""COMPUTED_VALUE"""),"Cutter MEDID recarga automática 18 mm 5 cuchillas")</f>
        <v>Cutter MEDID recarga automática 18 mm 5 cuchillas</v>
      </c>
      <c r="Z1237" s="215" t="str">
        <f>IFERROR(__xludf.DUMMYFUNCTION("""COMPUTED_VALUE"""),"https://medid.datoproducto.com/producto/1080622/1015362/cutter-medid-recarga-automatica-18-mm-5-cuchillas")</f>
        <v>https://medid.datoproducto.com/producto/1080622/1015362/cutter-medid-recarga-automatica-18-mm-5-cuchillas</v>
      </c>
      <c r="AA1237" s="213" t="str">
        <f>IFERROR(__xludf.DUMMYFUNCTION("""COMPUTED_VALUE"""),"MAT-147-X CÚTER - CET")</f>
        <v>MAT-147-X CÚTER - CET</v>
      </c>
      <c r="AB1237" s="213"/>
      <c r="AC1237" s="213"/>
      <c r="AD1237" s="213"/>
      <c r="AE1237" s="213"/>
      <c r="AF1237" s="213"/>
      <c r="AG1237" s="213"/>
      <c r="AH1237" s="213"/>
      <c r="AI1237" s="213"/>
      <c r="AJ1237" s="213"/>
      <c r="AK1237" s="213"/>
      <c r="AL1237" s="213"/>
      <c r="AM1237" s="213"/>
      <c r="AN1237" s="213"/>
      <c r="AO1237" s="213"/>
      <c r="AP1237" s="213" t="str">
        <f>IFERROR(__xludf.DUMMYFUNCTION("""COMPUTED_VALUE"""),"BRUNO")</f>
        <v>BRUNO</v>
      </c>
      <c r="AQ1237" s="213"/>
      <c r="AR1237" s="213"/>
      <c r="AS1237" s="213"/>
      <c r="AT1237" s="213"/>
      <c r="AU1237" s="213"/>
      <c r="AV1237" s="213"/>
      <c r="AW1237" s="213"/>
      <c r="AX1237" s="213"/>
      <c r="AY1237" s="213"/>
      <c r="AZ1237" s="213"/>
      <c r="BA1237" s="213"/>
      <c r="BB1237" s="213"/>
      <c r="BC1237" s="213"/>
      <c r="BD1237" s="213"/>
    </row>
    <row r="1238">
      <c r="A1238" s="213">
        <f>IFERROR(__xludf.DUMMYFUNCTION("""COMPUTED_VALUE"""),2608.0)</f>
        <v>2608</v>
      </c>
      <c r="B1238" s="213" t="str">
        <f>IFERROR(__xludf.DUMMYFUNCTION("""COMPUTED_VALUE"""),"MANUEL ANTONIO MESONES MURO")</f>
        <v>MANUEL ANTONIO MESONES MURO</v>
      </c>
      <c r="C1238" s="213" t="str">
        <f>IFERROR(__xludf.DUMMYFUNCTION("""COMPUTED_VALUE"""),"TALLER SFT DE EBANISTERÍA")</f>
        <v>TALLER SFT DE EBANISTERÍA</v>
      </c>
      <c r="D1238" s="213" t="str">
        <f>IFERROR(__xludf.DUMMYFUNCTION("""COMPUTED_VALUE"""),"HERRAMIENTAS")</f>
        <v>HERRAMIENTAS</v>
      </c>
      <c r="E1238" s="213" t="str">
        <f>IFERROR(__xludf.DUMMYFUNCTION("""COMPUTED_VALUE"""),"MAT-147")</f>
        <v>MAT-147</v>
      </c>
      <c r="F1238" s="213" t="str">
        <f>IFERROR(__xludf.DUMMYFUNCTION("""COMPUTED_VALUE"""),"MAT-147-X")</f>
        <v>MAT-147-X</v>
      </c>
      <c r="G1238" s="213"/>
      <c r="H1238" s="213" t="str">
        <f>IFERROR(__xludf.DUMMYFUNCTION("""COMPUTED_VALUE"""),"CÚTER")</f>
        <v>CÚTER</v>
      </c>
      <c r="I1238" s="213" t="str">
        <f>IFERROR(__xludf.DUMMYFUNCTION("""COMPUTED_VALUE"""),"Cuchilla de recarga automática. Ancho de la cuchilla: 18 mm.
Aproximadamente 2,5 cm de ancho y de 7,5 a 10 cm de largo Capacidad de porta cuchilla para 5 repuestos
Material de las navajas: de acero SK5.
Mango portacuchilla: de material ABS + elastómero.")</f>
        <v>Cuchilla de recarga automática. Ancho de la cuchilla: 18 mm.
Aproximadamente 2,5 cm de ancho y de 7,5 a 10 cm de largo Capacidad de porta cuchilla para 5 repuestos
Material de las navajas: de acero SK5.
Mango portacuchilla: de material ABS + elastómero.</v>
      </c>
      <c r="J1238" s="213">
        <f>IFERROR(__xludf.DUMMYFUNCTION("""COMPUTED_VALUE"""),3.0)</f>
        <v>3</v>
      </c>
      <c r="K1238" s="213" t="str">
        <f>IFERROR(__xludf.DUMMYFUNCTION("""COMPUTED_VALUE"""),"90 DÍAS CALENDARIO")</f>
        <v>90 DÍAS CALENDARIO</v>
      </c>
      <c r="L1238" s="213" t="str">
        <f>IFERROR(__xludf.DUMMYFUNCTION("""COMPUTED_VALUE"""),"")</f>
        <v/>
      </c>
      <c r="M1238" s="213">
        <f>IFERROR(__xludf.DUMMYFUNCTION("""COMPUTED_VALUE"""),1.0)</f>
        <v>1</v>
      </c>
      <c r="N1238" s="213">
        <f>IFERROR(__xludf.DUMMYFUNCTION("""COMPUTED_VALUE"""),4.0)</f>
        <v>4</v>
      </c>
      <c r="O1238" s="213">
        <f>IFERROR(__xludf.DUMMYFUNCTION("""COMPUTED_VALUE"""),4.0)</f>
        <v>4</v>
      </c>
      <c r="P1238" s="213"/>
      <c r="Q1238" s="213"/>
      <c r="R1238" s="213"/>
      <c r="S1238" s="213"/>
      <c r="T1238" s="213" t="str">
        <f>IFERROR(__xludf.DUMMYFUNCTION("""COMPUTED_VALUE"""),"SI")</f>
        <v>SI</v>
      </c>
      <c r="U1238" s="213" t="str">
        <f>IFERROR(__xludf.DUMMYFUNCTION("""COMPUTED_VALUE"""),"SI")</f>
        <v>SI</v>
      </c>
      <c r="V1238" s="213" t="str">
        <f>IFERROR(__xludf.DUMMYFUNCTION("""COMPUTED_VALUE"""),"-")</f>
        <v>-</v>
      </c>
      <c r="W1238" s="213" t="str">
        <f>IFERROR(__xludf.DUMMYFUNCTION("""COMPUTED_VALUE"""),"-")</f>
        <v>-</v>
      </c>
      <c r="X1238" s="213" t="str">
        <f>IFERROR(__xludf.DUMMYFUNCTION("""COMPUTED_VALUE"""),"Medid")</f>
        <v>Medid</v>
      </c>
      <c r="Y1238" s="213" t="str">
        <f>IFERROR(__xludf.DUMMYFUNCTION("""COMPUTED_VALUE"""),"Cutter MEDID recarga automática 18 mm 5 cuchillas")</f>
        <v>Cutter MEDID recarga automática 18 mm 5 cuchillas</v>
      </c>
      <c r="Z1238" s="215" t="str">
        <f>IFERROR(__xludf.DUMMYFUNCTION("""COMPUTED_VALUE"""),"https://medid.datoproducto.com/producto/1080622/1015362/cutter-medid-recarga-automatica-18-mm-5-cuchillas")</f>
        <v>https://medid.datoproducto.com/producto/1080622/1015362/cutter-medid-recarga-automatica-18-mm-5-cuchillas</v>
      </c>
      <c r="AA1238" s="213" t="str">
        <f>IFERROR(__xludf.DUMMYFUNCTION("""COMPUTED_VALUE"""),"MAT-147-X CÚTER - CET")</f>
        <v>MAT-147-X CÚTER - CET</v>
      </c>
      <c r="AB1238" s="213"/>
      <c r="AC1238" s="213"/>
      <c r="AD1238" s="213"/>
      <c r="AE1238" s="213"/>
      <c r="AF1238" s="213"/>
      <c r="AG1238" s="213"/>
      <c r="AH1238" s="213"/>
      <c r="AI1238" s="213"/>
      <c r="AJ1238" s="213"/>
      <c r="AK1238" s="213"/>
      <c r="AL1238" s="213"/>
      <c r="AM1238" s="213"/>
      <c r="AN1238" s="213"/>
      <c r="AO1238" s="213"/>
      <c r="AP1238" s="213" t="str">
        <f>IFERROR(__xludf.DUMMYFUNCTION("""COMPUTED_VALUE"""),"BRUNO")</f>
        <v>BRUNO</v>
      </c>
      <c r="AQ1238" s="213"/>
      <c r="AR1238" s="213"/>
      <c r="AS1238" s="213"/>
      <c r="AT1238" s="213"/>
      <c r="AU1238" s="213"/>
      <c r="AV1238" s="213"/>
      <c r="AW1238" s="213"/>
      <c r="AX1238" s="213"/>
      <c r="AY1238" s="213"/>
      <c r="AZ1238" s="213"/>
      <c r="BA1238" s="213"/>
      <c r="BB1238" s="213"/>
      <c r="BC1238" s="213"/>
      <c r="BD1238" s="213"/>
    </row>
    <row r="1239">
      <c r="A1239" s="213">
        <f>IFERROR(__xludf.DUMMYFUNCTION("""COMPUTED_VALUE"""),640.0)</f>
        <v>640</v>
      </c>
      <c r="B1239" s="213" t="str">
        <f>IFERROR(__xludf.DUMMYFUNCTION("""COMPUTED_VALUE"""),"6049 RICARDO PALMA")</f>
        <v>6049 RICARDO PALMA</v>
      </c>
      <c r="C1239" s="213" t="str">
        <f>IFERROR(__xludf.DUMMYFUNCTION("""COMPUTED_VALUE"""),"TALLER SFT DE ELECTRÓNICA")</f>
        <v>TALLER SFT DE ELECTRÓNICA</v>
      </c>
      <c r="D1239" s="213" t="str">
        <f>IFERROR(__xludf.DUMMYFUNCTION("""COMPUTED_VALUE"""),"HERRAMIENTAS")</f>
        <v>HERRAMIENTAS</v>
      </c>
      <c r="E1239" s="213" t="str">
        <f>IFERROR(__xludf.DUMMYFUNCTION("""COMPUTED_VALUE"""),"MAT-147")</f>
        <v>MAT-147</v>
      </c>
      <c r="F1239" s="213" t="str">
        <f>IFERROR(__xludf.DUMMYFUNCTION("""COMPUTED_VALUE"""),"MAT-147-Y")</f>
        <v>MAT-147-Y</v>
      </c>
      <c r="G1239" s="213"/>
      <c r="H1239" s="213" t="str">
        <f>IFERROR(__xludf.DUMMYFUNCTION("""COMPUTED_VALUE"""),"CÚTER")</f>
        <v>CÚTER</v>
      </c>
      <c r="I1239" s="213" t="str">
        <f>IFERROR(__xludf.DUMMYFUNCTION("""COMPUTED_VALUE"""),"· Cuchilla de recarga automática.
· Ancho de la cuchilla aprox. 18 mm.
· Capacidad de porta cuchilla para 5 repuestos
· Material de las navajas de acero SK5.
· Mango porta cuchilla de material ABS + Elastómero.")</f>
        <v>· Cuchilla de recarga automática.
· Ancho de la cuchilla aprox. 18 mm.
· Capacidad de porta cuchilla para 5 repuestos
· Material de las navajas de acero SK5.
· Mango porta cuchilla de material ABS + Elastómero.</v>
      </c>
      <c r="J1239" s="213">
        <f>IFERROR(__xludf.DUMMYFUNCTION("""COMPUTED_VALUE"""),3.0)</f>
        <v>3</v>
      </c>
      <c r="K1239" s="213" t="str">
        <f>IFERROR(__xludf.DUMMYFUNCTION("""COMPUTED_VALUE"""),"90 DÍAS CALENDARIO")</f>
        <v>90 DÍAS CALENDARIO</v>
      </c>
      <c r="L1239" s="213" t="str">
        <f>IFERROR(__xludf.DUMMYFUNCTION("""COMPUTED_VALUE"""),"ELECTRÓNICA, MECÁNICA AUTOMOTRÍZ")</f>
        <v>ELECTRÓNICA, MECÁNICA AUTOMOTRÍZ</v>
      </c>
      <c r="M1239" s="213">
        <f>IFERROR(__xludf.DUMMYFUNCTION("""COMPUTED_VALUE"""),1.0)</f>
        <v>1</v>
      </c>
      <c r="N1239" s="213">
        <f>IFERROR(__xludf.DUMMYFUNCTION("""COMPUTED_VALUE"""),4.0)</f>
        <v>4</v>
      </c>
      <c r="O1239" s="213">
        <f>IFERROR(__xludf.DUMMYFUNCTION("""COMPUTED_VALUE"""),4.0)</f>
        <v>4</v>
      </c>
      <c r="P1239" s="213"/>
      <c r="Q1239" s="213"/>
      <c r="R1239" s="213"/>
      <c r="S1239" s="213"/>
      <c r="T1239" s="213" t="str">
        <f>IFERROR(__xludf.DUMMYFUNCTION("""COMPUTED_VALUE"""),"SI")</f>
        <v>SI</v>
      </c>
      <c r="U1239" s="213" t="str">
        <f>IFERROR(__xludf.DUMMYFUNCTION("""COMPUTED_VALUE"""),"SI")</f>
        <v>SI</v>
      </c>
      <c r="V1239" s="213" t="str">
        <f>IFERROR(__xludf.DUMMYFUNCTION("""COMPUTED_VALUE"""),"-")</f>
        <v>-</v>
      </c>
      <c r="W1239" s="213" t="str">
        <f>IFERROR(__xludf.DUMMYFUNCTION("""COMPUTED_VALUE"""),"-")</f>
        <v>-</v>
      </c>
      <c r="X1239" s="213" t="str">
        <f>IFERROR(__xludf.DUMMYFUNCTION("""COMPUTED_VALUE"""),"Medid")</f>
        <v>Medid</v>
      </c>
      <c r="Y1239" s="213" t="str">
        <f>IFERROR(__xludf.DUMMYFUNCTION("""COMPUTED_VALUE"""),"Cutter MEDID recarga automática 18 mm 5 cuchillas")</f>
        <v>Cutter MEDID recarga automática 18 mm 5 cuchillas</v>
      </c>
      <c r="Z1239" s="215" t="str">
        <f>IFERROR(__xludf.DUMMYFUNCTION("""COMPUTED_VALUE"""),"https://medid.datoproducto.com/producto/1080622/1015362/cutter-medid-recarga-automatica-18-mm-5-cuchillas")</f>
        <v>https://medid.datoproducto.com/producto/1080622/1015362/cutter-medid-recarga-automatica-18-mm-5-cuchillas</v>
      </c>
      <c r="AA1239" s="213" t="str">
        <f>IFERROR(__xludf.DUMMYFUNCTION("""COMPUTED_VALUE"""),"MAT-147-Y CÚTER - CET")</f>
        <v>MAT-147-Y CÚTER - CET</v>
      </c>
      <c r="AB1239" s="213"/>
      <c r="AC1239" s="213"/>
      <c r="AD1239" s="213"/>
      <c r="AE1239" s="213"/>
      <c r="AF1239" s="213"/>
      <c r="AG1239" s="213"/>
      <c r="AH1239" s="213"/>
      <c r="AI1239" s="213"/>
      <c r="AJ1239" s="213"/>
      <c r="AK1239" s="213"/>
      <c r="AL1239" s="213"/>
      <c r="AM1239" s="213"/>
      <c r="AN1239" s="213"/>
      <c r="AO1239" s="213"/>
      <c r="AP1239" s="213" t="str">
        <f>IFERROR(__xludf.DUMMYFUNCTION("""COMPUTED_VALUE"""),"BRUNO")</f>
        <v>BRUNO</v>
      </c>
      <c r="AQ1239" s="213"/>
      <c r="AR1239" s="213"/>
      <c r="AS1239" s="213"/>
      <c r="AT1239" s="213"/>
      <c r="AU1239" s="213"/>
      <c r="AV1239" s="213"/>
      <c r="AW1239" s="213"/>
      <c r="AX1239" s="213"/>
      <c r="AY1239" s="213"/>
      <c r="AZ1239" s="213"/>
      <c r="BA1239" s="213"/>
      <c r="BB1239" s="213"/>
      <c r="BC1239" s="213"/>
      <c r="BD1239" s="213"/>
    </row>
    <row r="1240">
      <c r="A1240" s="213">
        <f>IFERROR(__xludf.DUMMYFUNCTION("""COMPUTED_VALUE"""),961.0)</f>
        <v>961</v>
      </c>
      <c r="B1240" s="213" t="str">
        <f>IFERROR(__xludf.DUMMYFUNCTION("""COMPUTED_VALUE"""),"FRANCISCO IRAZOLA")</f>
        <v>FRANCISCO IRAZOLA</v>
      </c>
      <c r="C1240" s="213" t="str">
        <f>IFERROR(__xludf.DUMMYFUNCTION("""COMPUTED_VALUE"""),"TALLER SFT DE MECÁNICA AUTOMOTRIZ")</f>
        <v>TALLER SFT DE MECÁNICA AUTOMOTRIZ</v>
      </c>
      <c r="D1240" s="213" t="str">
        <f>IFERROR(__xludf.DUMMYFUNCTION("""COMPUTED_VALUE"""),"HERRAMIENTAS")</f>
        <v>HERRAMIENTAS</v>
      </c>
      <c r="E1240" s="213" t="str">
        <f>IFERROR(__xludf.DUMMYFUNCTION("""COMPUTED_VALUE"""),"MAT-147")</f>
        <v>MAT-147</v>
      </c>
      <c r="F1240" s="213" t="str">
        <f>IFERROR(__xludf.DUMMYFUNCTION("""COMPUTED_VALUE"""),"MAT-147-Y")</f>
        <v>MAT-147-Y</v>
      </c>
      <c r="G1240" s="213"/>
      <c r="H1240" s="213" t="str">
        <f>IFERROR(__xludf.DUMMYFUNCTION("""COMPUTED_VALUE"""),"CÚTER")</f>
        <v>CÚTER</v>
      </c>
      <c r="I1240" s="213" t="str">
        <f>IFERROR(__xludf.DUMMYFUNCTION("""COMPUTED_VALUE"""),"Cuchilla de recarga automática. Ancho de la cuchilla: 18 mm.
Capacidad de porta cuchilla para 5 repuestos Material de las navajas: de acero SK5.
Mango portacuchilla: de material ABS + elastómero.")</f>
        <v>Cuchilla de recarga automática. Ancho de la cuchilla: 18 mm.
Capacidad de porta cuchilla para 5 repuestos Material de las navajas: de acero SK5.
Mango portacuchilla: de material ABS + elastómero.</v>
      </c>
      <c r="J1240" s="213">
        <f>IFERROR(__xludf.DUMMYFUNCTION("""COMPUTED_VALUE"""),3.0)</f>
        <v>3</v>
      </c>
      <c r="K1240" s="213" t="str">
        <f>IFERROR(__xludf.DUMMYFUNCTION("""COMPUTED_VALUE"""),"90 DÍAS CALENDARIO")</f>
        <v>90 DÍAS CALENDARIO</v>
      </c>
      <c r="L1240" s="213" t="str">
        <f>IFERROR(__xludf.DUMMYFUNCTION("""COMPUTED_VALUE"""),"ELECTRÓNICA, MECÁNICA AUTOMOTRÍZ")</f>
        <v>ELECTRÓNICA, MECÁNICA AUTOMOTRÍZ</v>
      </c>
      <c r="M1240" s="213">
        <f>IFERROR(__xludf.DUMMYFUNCTION("""COMPUTED_VALUE"""),1.0)</f>
        <v>1</v>
      </c>
      <c r="N1240" s="213">
        <f>IFERROR(__xludf.DUMMYFUNCTION("""COMPUTED_VALUE"""),4.0)</f>
        <v>4</v>
      </c>
      <c r="O1240" s="213">
        <f>IFERROR(__xludf.DUMMYFUNCTION("""COMPUTED_VALUE"""),4.0)</f>
        <v>4</v>
      </c>
      <c r="P1240" s="213"/>
      <c r="Q1240" s="213"/>
      <c r="R1240" s="213"/>
      <c r="S1240" s="213"/>
      <c r="T1240" s="213" t="str">
        <f>IFERROR(__xludf.DUMMYFUNCTION("""COMPUTED_VALUE"""),"SI")</f>
        <v>SI</v>
      </c>
      <c r="U1240" s="213" t="str">
        <f>IFERROR(__xludf.DUMMYFUNCTION("""COMPUTED_VALUE"""),"SI")</f>
        <v>SI</v>
      </c>
      <c r="V1240" s="213" t="str">
        <f>IFERROR(__xludf.DUMMYFUNCTION("""COMPUTED_VALUE"""),"-")</f>
        <v>-</v>
      </c>
      <c r="W1240" s="213" t="str">
        <f>IFERROR(__xludf.DUMMYFUNCTION("""COMPUTED_VALUE"""),"-")</f>
        <v>-</v>
      </c>
      <c r="X1240" s="213" t="str">
        <f>IFERROR(__xludf.DUMMYFUNCTION("""COMPUTED_VALUE"""),"Medid")</f>
        <v>Medid</v>
      </c>
      <c r="Y1240" s="213" t="str">
        <f>IFERROR(__xludf.DUMMYFUNCTION("""COMPUTED_VALUE"""),"Cutter MEDID recarga automática 18 mm 5 cuchillas")</f>
        <v>Cutter MEDID recarga automática 18 mm 5 cuchillas</v>
      </c>
      <c r="Z1240" s="215" t="str">
        <f>IFERROR(__xludf.DUMMYFUNCTION("""COMPUTED_VALUE"""),"https://medid.datoproducto.com/producto/1080622/1015362/cutter-medid-recarga-automatica-18-mm-5-cuchillas")</f>
        <v>https://medid.datoproducto.com/producto/1080622/1015362/cutter-medid-recarga-automatica-18-mm-5-cuchillas</v>
      </c>
      <c r="AA1240" s="213" t="str">
        <f>IFERROR(__xludf.DUMMYFUNCTION("""COMPUTED_VALUE"""),"MAT-147-Y CÚTER - CET")</f>
        <v>MAT-147-Y CÚTER - CET</v>
      </c>
      <c r="AB1240" s="213"/>
      <c r="AC1240" s="213"/>
      <c r="AD1240" s="213"/>
      <c r="AE1240" s="213"/>
      <c r="AF1240" s="213"/>
      <c r="AG1240" s="213"/>
      <c r="AH1240" s="213"/>
      <c r="AI1240" s="213"/>
      <c r="AJ1240" s="213"/>
      <c r="AK1240" s="213"/>
      <c r="AL1240" s="213"/>
      <c r="AM1240" s="213"/>
      <c r="AN1240" s="213"/>
      <c r="AO1240" s="213"/>
      <c r="AP1240" s="213" t="str">
        <f>IFERROR(__xludf.DUMMYFUNCTION("""COMPUTED_VALUE"""),"BRUNO")</f>
        <v>BRUNO</v>
      </c>
      <c r="AQ1240" s="213"/>
      <c r="AR1240" s="213"/>
      <c r="AS1240" s="213"/>
      <c r="AT1240" s="213"/>
      <c r="AU1240" s="213"/>
      <c r="AV1240" s="213"/>
      <c r="AW1240" s="213"/>
      <c r="AX1240" s="213"/>
      <c r="AY1240" s="213"/>
      <c r="AZ1240" s="213"/>
      <c r="BA1240" s="213"/>
      <c r="BB1240" s="213"/>
      <c r="BC1240" s="213"/>
      <c r="BD1240" s="213"/>
    </row>
    <row r="1241">
      <c r="A1241" s="213">
        <f>IFERROR(__xludf.DUMMYFUNCTION("""COMPUTED_VALUE"""),1562.0)</f>
        <v>1562</v>
      </c>
      <c r="B1241" s="213" t="str">
        <f>IFERROR(__xludf.DUMMYFUNCTION("""COMPUTED_VALUE"""),"GUILLERMO E. BILLINGHURST ")</f>
        <v>GUILLERMO E. BILLINGHURST </v>
      </c>
      <c r="C1241" s="213" t="str">
        <f>IFERROR(__xludf.DUMMYFUNCTION("""COMPUTED_VALUE"""),"TALLER SFT DE MECÁNICA AUTOMOTRIZ")</f>
        <v>TALLER SFT DE MECÁNICA AUTOMOTRIZ</v>
      </c>
      <c r="D1241" s="213" t="str">
        <f>IFERROR(__xludf.DUMMYFUNCTION("""COMPUTED_VALUE"""),"HERRAMIENTAS")</f>
        <v>HERRAMIENTAS</v>
      </c>
      <c r="E1241" s="213" t="str">
        <f>IFERROR(__xludf.DUMMYFUNCTION("""COMPUTED_VALUE"""),"MAT-147")</f>
        <v>MAT-147</v>
      </c>
      <c r="F1241" s="213" t="str">
        <f>IFERROR(__xludf.DUMMYFUNCTION("""COMPUTED_VALUE"""),"MAT-147-Y")</f>
        <v>MAT-147-Y</v>
      </c>
      <c r="G1241" s="213"/>
      <c r="H1241" s="213" t="str">
        <f>IFERROR(__xludf.DUMMYFUNCTION("""COMPUTED_VALUE"""),"CÚTER")</f>
        <v>CÚTER</v>
      </c>
      <c r="I1241" s="213" t="str">
        <f>IFERROR(__xludf.DUMMYFUNCTION("""COMPUTED_VALUE"""),"Cuchilla de recarga automática. Ancho de la cuchilla: 18 mm.
Capacidad de porta cuchilla para 5 repuestos Material de las navajas: de acero SK5.
Mango portacuchilla: de material ABS + elastómero.")</f>
        <v>Cuchilla de recarga automática. Ancho de la cuchilla: 18 mm.
Capacidad de porta cuchilla para 5 repuestos Material de las navajas: de acero SK5.
Mango portacuchilla: de material ABS + elastómero.</v>
      </c>
      <c r="J1241" s="213">
        <f>IFERROR(__xludf.DUMMYFUNCTION("""COMPUTED_VALUE"""),3.0)</f>
        <v>3</v>
      </c>
      <c r="K1241" s="213" t="str">
        <f>IFERROR(__xludf.DUMMYFUNCTION("""COMPUTED_VALUE"""),"90 DÍAS CALENDARIO")</f>
        <v>90 DÍAS CALENDARIO</v>
      </c>
      <c r="L1241" s="213" t="str">
        <f>IFERROR(__xludf.DUMMYFUNCTION("""COMPUTED_VALUE"""),"ELECTRÓNICA, MECÁNICA AUTOMOTRÍZ")</f>
        <v>ELECTRÓNICA, MECÁNICA AUTOMOTRÍZ</v>
      </c>
      <c r="M1241" s="213">
        <f>IFERROR(__xludf.DUMMYFUNCTION("""COMPUTED_VALUE"""),1.0)</f>
        <v>1</v>
      </c>
      <c r="N1241" s="213">
        <f>IFERROR(__xludf.DUMMYFUNCTION("""COMPUTED_VALUE"""),4.0)</f>
        <v>4</v>
      </c>
      <c r="O1241" s="213">
        <f>IFERROR(__xludf.DUMMYFUNCTION("""COMPUTED_VALUE"""),4.0)</f>
        <v>4</v>
      </c>
      <c r="P1241" s="213"/>
      <c r="Q1241" s="213"/>
      <c r="R1241" s="213"/>
      <c r="S1241" s="213"/>
      <c r="T1241" s="213" t="str">
        <f>IFERROR(__xludf.DUMMYFUNCTION("""COMPUTED_VALUE"""),"SI")</f>
        <v>SI</v>
      </c>
      <c r="U1241" s="213" t="str">
        <f>IFERROR(__xludf.DUMMYFUNCTION("""COMPUTED_VALUE"""),"SI")</f>
        <v>SI</v>
      </c>
      <c r="V1241" s="213" t="str">
        <f>IFERROR(__xludf.DUMMYFUNCTION("""COMPUTED_VALUE"""),"-")</f>
        <v>-</v>
      </c>
      <c r="W1241" s="213" t="str">
        <f>IFERROR(__xludf.DUMMYFUNCTION("""COMPUTED_VALUE"""),"-")</f>
        <v>-</v>
      </c>
      <c r="X1241" s="213" t="str">
        <f>IFERROR(__xludf.DUMMYFUNCTION("""COMPUTED_VALUE"""),"Medid")</f>
        <v>Medid</v>
      </c>
      <c r="Y1241" s="213" t="str">
        <f>IFERROR(__xludf.DUMMYFUNCTION("""COMPUTED_VALUE"""),"Cutter MEDID recarga automática 18 mm 5 cuchillas")</f>
        <v>Cutter MEDID recarga automática 18 mm 5 cuchillas</v>
      </c>
      <c r="Z1241" s="215" t="str">
        <f>IFERROR(__xludf.DUMMYFUNCTION("""COMPUTED_VALUE"""),"https://medid.datoproducto.com/producto/1080622/1015362/cutter-medid-recarga-automatica-18-mm-5-cuchillas")</f>
        <v>https://medid.datoproducto.com/producto/1080622/1015362/cutter-medid-recarga-automatica-18-mm-5-cuchillas</v>
      </c>
      <c r="AA1241" s="213" t="str">
        <f>IFERROR(__xludf.DUMMYFUNCTION("""COMPUTED_VALUE"""),"MAT-147-Y CÚTER - CET")</f>
        <v>MAT-147-Y CÚTER - CET</v>
      </c>
      <c r="AB1241" s="213"/>
      <c r="AC1241" s="213"/>
      <c r="AD1241" s="213"/>
      <c r="AE1241" s="213"/>
      <c r="AF1241" s="213"/>
      <c r="AG1241" s="213"/>
      <c r="AH1241" s="213"/>
      <c r="AI1241" s="213"/>
      <c r="AJ1241" s="213"/>
      <c r="AK1241" s="213"/>
      <c r="AL1241" s="213"/>
      <c r="AM1241" s="213"/>
      <c r="AN1241" s="213"/>
      <c r="AO1241" s="213"/>
      <c r="AP1241" s="213" t="str">
        <f>IFERROR(__xludf.DUMMYFUNCTION("""COMPUTED_VALUE"""),"BRUNO")</f>
        <v>BRUNO</v>
      </c>
      <c r="AQ1241" s="213"/>
      <c r="AR1241" s="213"/>
      <c r="AS1241" s="213"/>
      <c r="AT1241" s="213"/>
      <c r="AU1241" s="213"/>
      <c r="AV1241" s="213"/>
      <c r="AW1241" s="213"/>
      <c r="AX1241" s="213"/>
      <c r="AY1241" s="213"/>
      <c r="AZ1241" s="213"/>
      <c r="BA1241" s="213"/>
      <c r="BB1241" s="213"/>
      <c r="BC1241" s="213"/>
      <c r="BD1241" s="213"/>
    </row>
    <row r="1242">
      <c r="A1242" s="213">
        <f>IFERROR(__xludf.DUMMYFUNCTION("""COMPUTED_VALUE"""),2254.0)</f>
        <v>2254</v>
      </c>
      <c r="B1242" s="213" t="str">
        <f>IFERROR(__xludf.DUMMYFUNCTION("""COMPUTED_VALUE"""),"JOSE GRANDA")</f>
        <v>JOSE GRANDA</v>
      </c>
      <c r="C1242" s="213" t="str">
        <f>IFERROR(__xludf.DUMMYFUNCTION("""COMPUTED_VALUE"""),"TALLER SFT DE MECÁNICA AUTOMOTRIZ")</f>
        <v>TALLER SFT DE MECÁNICA AUTOMOTRIZ</v>
      </c>
      <c r="D1242" s="213" t="str">
        <f>IFERROR(__xludf.DUMMYFUNCTION("""COMPUTED_VALUE"""),"HERRAMIENTAS")</f>
        <v>HERRAMIENTAS</v>
      </c>
      <c r="E1242" s="213" t="str">
        <f>IFERROR(__xludf.DUMMYFUNCTION("""COMPUTED_VALUE"""),"MAT-147")</f>
        <v>MAT-147</v>
      </c>
      <c r="F1242" s="213" t="str">
        <f>IFERROR(__xludf.DUMMYFUNCTION("""COMPUTED_VALUE"""),"MAT-147-Y")</f>
        <v>MAT-147-Y</v>
      </c>
      <c r="G1242" s="213"/>
      <c r="H1242" s="213" t="str">
        <f>IFERROR(__xludf.DUMMYFUNCTION("""COMPUTED_VALUE"""),"CÚTER")</f>
        <v>CÚTER</v>
      </c>
      <c r="I1242" s="213" t="str">
        <f>IFERROR(__xludf.DUMMYFUNCTION("""COMPUTED_VALUE"""),"Cuchilla de recarga automática. Ancho de la cuchilla: 18 mm.
Capacidad de porta cuchilla para 5 repuestos Material de las navajas: de acero SK5.
Mango portacuchilla: de material ABS + elastómero.")</f>
        <v>Cuchilla de recarga automática. Ancho de la cuchilla: 18 mm.
Capacidad de porta cuchilla para 5 repuestos Material de las navajas: de acero SK5.
Mango portacuchilla: de material ABS + elastómero.</v>
      </c>
      <c r="J1242" s="213">
        <f>IFERROR(__xludf.DUMMYFUNCTION("""COMPUTED_VALUE"""),3.0)</f>
        <v>3</v>
      </c>
      <c r="K1242" s="213" t="str">
        <f>IFERROR(__xludf.DUMMYFUNCTION("""COMPUTED_VALUE"""),"90 DÍAS CALENDARIO")</f>
        <v>90 DÍAS CALENDARIO</v>
      </c>
      <c r="L1242" s="213" t="str">
        <f>IFERROR(__xludf.DUMMYFUNCTION("""COMPUTED_VALUE"""),"ELECTRÓNICA, MECÁNICA AUTOMOTRÍZ")</f>
        <v>ELECTRÓNICA, MECÁNICA AUTOMOTRÍZ</v>
      </c>
      <c r="M1242" s="213">
        <f>IFERROR(__xludf.DUMMYFUNCTION("""COMPUTED_VALUE"""),1.0)</f>
        <v>1</v>
      </c>
      <c r="N1242" s="213">
        <f>IFERROR(__xludf.DUMMYFUNCTION("""COMPUTED_VALUE"""),4.0)</f>
        <v>4</v>
      </c>
      <c r="O1242" s="213">
        <f>IFERROR(__xludf.DUMMYFUNCTION("""COMPUTED_VALUE"""),4.0)</f>
        <v>4</v>
      </c>
      <c r="P1242" s="213"/>
      <c r="Q1242" s="213"/>
      <c r="R1242" s="213"/>
      <c r="S1242" s="213"/>
      <c r="T1242" s="213" t="str">
        <f>IFERROR(__xludf.DUMMYFUNCTION("""COMPUTED_VALUE"""),"SI")</f>
        <v>SI</v>
      </c>
      <c r="U1242" s="213" t="str">
        <f>IFERROR(__xludf.DUMMYFUNCTION("""COMPUTED_VALUE"""),"SI")</f>
        <v>SI</v>
      </c>
      <c r="V1242" s="213" t="str">
        <f>IFERROR(__xludf.DUMMYFUNCTION("""COMPUTED_VALUE"""),"-")</f>
        <v>-</v>
      </c>
      <c r="W1242" s="213" t="str">
        <f>IFERROR(__xludf.DUMMYFUNCTION("""COMPUTED_VALUE"""),"-")</f>
        <v>-</v>
      </c>
      <c r="X1242" s="213" t="str">
        <f>IFERROR(__xludf.DUMMYFUNCTION("""COMPUTED_VALUE"""),"Medid")</f>
        <v>Medid</v>
      </c>
      <c r="Y1242" s="213" t="str">
        <f>IFERROR(__xludf.DUMMYFUNCTION("""COMPUTED_VALUE"""),"Cutter MEDID recarga automática 18 mm 5 cuchillas")</f>
        <v>Cutter MEDID recarga automática 18 mm 5 cuchillas</v>
      </c>
      <c r="Z1242" s="215" t="str">
        <f>IFERROR(__xludf.DUMMYFUNCTION("""COMPUTED_VALUE"""),"https://medid.datoproducto.com/producto/1080622/1015362/cutter-medid-recarga-automatica-18-mm-5-cuchillas")</f>
        <v>https://medid.datoproducto.com/producto/1080622/1015362/cutter-medid-recarga-automatica-18-mm-5-cuchillas</v>
      </c>
      <c r="AA1242" s="213" t="str">
        <f>IFERROR(__xludf.DUMMYFUNCTION("""COMPUTED_VALUE"""),"MAT-147-Y CÚTER - CET")</f>
        <v>MAT-147-Y CÚTER - CET</v>
      </c>
      <c r="AB1242" s="213"/>
      <c r="AC1242" s="213"/>
      <c r="AD1242" s="213"/>
      <c r="AE1242" s="213"/>
      <c r="AF1242" s="213"/>
      <c r="AG1242" s="213"/>
      <c r="AH1242" s="213"/>
      <c r="AI1242" s="213"/>
      <c r="AJ1242" s="213"/>
      <c r="AK1242" s="213"/>
      <c r="AL1242" s="213"/>
      <c r="AM1242" s="213"/>
      <c r="AN1242" s="213"/>
      <c r="AO1242" s="213"/>
      <c r="AP1242" s="213" t="str">
        <f>IFERROR(__xludf.DUMMYFUNCTION("""COMPUTED_VALUE"""),"BRUNO")</f>
        <v>BRUNO</v>
      </c>
      <c r="AQ1242" s="213"/>
      <c r="AR1242" s="213"/>
      <c r="AS1242" s="213"/>
      <c r="AT1242" s="213"/>
      <c r="AU1242" s="213"/>
      <c r="AV1242" s="213"/>
      <c r="AW1242" s="213"/>
      <c r="AX1242" s="213"/>
      <c r="AY1242" s="213"/>
      <c r="AZ1242" s="213"/>
      <c r="BA1242" s="213"/>
      <c r="BB1242" s="213"/>
      <c r="BC1242" s="213"/>
      <c r="BD1242" s="213"/>
    </row>
    <row r="1243">
      <c r="A1243" s="213">
        <f>IFERROR(__xludf.DUMMYFUNCTION("""COMPUTED_VALUE"""),69.0)</f>
        <v>69</v>
      </c>
      <c r="B1243" s="213" t="str">
        <f>IFERROR(__xludf.DUMMYFUNCTION("""COMPUTED_VALUE"""),"16449 ELOY SOBERON  FLORES")</f>
        <v>16449 ELOY SOBERON  FLORES</v>
      </c>
      <c r="C1243" s="213" t="str">
        <f>IFERROR(__xludf.DUMMYFUNCTION("""COMPUTED_VALUE"""),"TALLER SFT DE COCINA Y REPOSTERÍA")</f>
        <v>TALLER SFT DE COCINA Y REPOSTERÍA</v>
      </c>
      <c r="D1243" s="213" t="str">
        <f>IFERROR(__xludf.DUMMYFUNCTION("""COMPUTED_VALUE"""),"HERRAMIENTAS")</f>
        <v>HERRAMIENTAS</v>
      </c>
      <c r="E1243" s="213" t="str">
        <f>IFERROR(__xludf.DUMMYFUNCTION("""COMPUTED_VALUE"""),"MAT-150")</f>
        <v>MAT-150</v>
      </c>
      <c r="F1243" s="213" t="str">
        <f>IFERROR(__xludf.DUMMYFUNCTION("""COMPUTED_VALUE"""),"MAT-150-X")</f>
        <v>MAT-150-X</v>
      </c>
      <c r="G1243" s="213"/>
      <c r="H1243" s="213" t="str">
        <f>IFERROR(__xludf.DUMMYFUNCTION("""COMPUTED_VALUE"""),"DISPENSADOR DE ALCOHOL EN GEL")</f>
        <v>DISPENSADOR DE ALCOHOL EN GEL</v>
      </c>
      <c r="I1243" s="213" t="str">
        <f>IFERROR(__xludf.DUMMYFUNCTION("""COMPUTED_VALUE"""),".Ancho aproximado ( +- 4cm) : 12 cm
.Alto aproximado ( +-4cm): 20 cm
.Material: Plástico
.Capacidad minima : 1 litro")</f>
        <v>.Ancho aproximado ( +- 4cm) : 12 cm
.Alto aproximado ( +-4cm): 20 cm
.Material: Plástico
.Capacidad minima : 1 litro</v>
      </c>
      <c r="J1243" s="213">
        <f>IFERROR(__xludf.DUMMYFUNCTION("""COMPUTED_VALUE"""),3.0)</f>
        <v>3</v>
      </c>
      <c r="K1243" s="213" t="str">
        <f>IFERROR(__xludf.DUMMYFUNCTION("""COMPUTED_VALUE"""),"90 DÍAS CALENDARIO")</f>
        <v>90 DÍAS CALENDARIO</v>
      </c>
      <c r="L1243" s="213" t="str">
        <f>IFERROR(__xludf.DUMMYFUNCTION("""COMPUTED_VALUE"""),"")</f>
        <v/>
      </c>
      <c r="M1243" s="213">
        <f>IFERROR(__xludf.DUMMYFUNCTION("""COMPUTED_VALUE"""),1.0)</f>
        <v>1</v>
      </c>
      <c r="N1243" s="213">
        <f>IFERROR(__xludf.DUMMYFUNCTION("""COMPUTED_VALUE"""),1.0)</f>
        <v>1</v>
      </c>
      <c r="O1243" s="213">
        <f>IFERROR(__xludf.DUMMYFUNCTION("""COMPUTED_VALUE"""),1.0)</f>
        <v>1</v>
      </c>
      <c r="P1243" s="213"/>
      <c r="Q1243" s="213"/>
      <c r="R1243" s="213"/>
      <c r="S1243" s="213"/>
      <c r="T1243" s="213" t="str">
        <f>IFERROR(__xludf.DUMMYFUNCTION("""COMPUTED_VALUE"""),"SI")</f>
        <v>SI</v>
      </c>
      <c r="U1243" s="213" t="str">
        <f>IFERROR(__xludf.DUMMYFUNCTION("""COMPUTED_VALUE"""),"SI")</f>
        <v>SI</v>
      </c>
      <c r="V1243" s="213" t="str">
        <f>IFERROR(__xludf.DUMMYFUNCTION("""COMPUTED_VALUE"""),"-")</f>
        <v>-</v>
      </c>
      <c r="W1243" s="213" t="str">
        <f>IFERROR(__xludf.DUMMYFUNCTION("""COMPUTED_VALUE"""),"-")</f>
        <v>-</v>
      </c>
      <c r="X1243" s="213" t="str">
        <f>IFERROR(__xludf.DUMMYFUNCTION("""COMPUTED_VALUE"""),"STONE HOME")</f>
        <v>STONE HOME</v>
      </c>
      <c r="Y1243" s="213">
        <f>IFERROR(__xludf.DUMMYFUNCTION("""COMPUTED_VALUE"""),1.000489368E9)</f>
        <v>1000489368</v>
      </c>
      <c r="Z1243" s="215" t="str">
        <f>IFERROR(__xludf.DUMMYFUNCTION("""COMPUTED_VALUE"""),"https://www.promart.pe/dispensador-de-jabon-liquido-gel-1l-blanco-linea-clerk-stone-1000464839/p?srsltid=AfmBOooFp0-GZYWJcMcCfSDgOzlhutKL8UaeATIG03u2z16DgKfDWend")</f>
        <v>https://www.promart.pe/dispensador-de-jabon-liquido-gel-1l-blanco-linea-clerk-stone-1000464839/p?srsltid=AfmBOooFp0-GZYWJcMcCfSDgOzlhutKL8UaeATIG03u2z16DgKfDWend</v>
      </c>
      <c r="AA1243" s="213" t="str">
        <f>IFERROR(__xludf.DUMMYFUNCTION("""COMPUTED_VALUE"""),"MAT-150-X DISPENSADOR DE ALCOHOL EN GEL - CET")</f>
        <v>MAT-150-X DISPENSADOR DE ALCOHOL EN GEL - CET</v>
      </c>
      <c r="AB1243" s="213"/>
      <c r="AC1243" s="213"/>
      <c r="AD1243" s="213"/>
      <c r="AE1243" s="213"/>
      <c r="AF1243" s="213"/>
      <c r="AG1243" s="213"/>
      <c r="AH1243" s="213"/>
      <c r="AI1243" s="213"/>
      <c r="AJ1243" s="213"/>
      <c r="AK1243" s="213"/>
      <c r="AL1243" s="213"/>
      <c r="AM1243" s="213"/>
      <c r="AN1243" s="213"/>
      <c r="AO1243" s="213"/>
      <c r="AP1243" s="213" t="str">
        <f>IFERROR(__xludf.DUMMYFUNCTION("""COMPUTED_VALUE"""),"LUIS")</f>
        <v>LUIS</v>
      </c>
      <c r="AQ1243" s="213"/>
      <c r="AR1243" s="213"/>
      <c r="AS1243" s="213"/>
      <c r="AT1243" s="213"/>
      <c r="AU1243" s="213"/>
      <c r="AV1243" s="213"/>
      <c r="AW1243" s="213"/>
      <c r="AX1243" s="213"/>
      <c r="AY1243" s="213"/>
      <c r="AZ1243" s="213"/>
      <c r="BA1243" s="213"/>
      <c r="BB1243" s="213"/>
      <c r="BC1243" s="213"/>
      <c r="BD1243" s="213"/>
    </row>
    <row r="1244">
      <c r="A1244" s="213">
        <f>IFERROR(__xludf.DUMMYFUNCTION("""COMPUTED_VALUE"""),452.0)</f>
        <v>452</v>
      </c>
      <c r="B1244" s="213" t="str">
        <f>IFERROR(__xludf.DUMMYFUNCTION("""COMPUTED_VALUE"""),"2026 SIMON BOLIVAR")</f>
        <v>2026 SIMON BOLIVAR</v>
      </c>
      <c r="C1244" s="213" t="str">
        <f>IFERROR(__xludf.DUMMYFUNCTION("""COMPUTED_VALUE"""),"TALLER SFT DE INDUSTRIA ALIMENTARIA")</f>
        <v>TALLER SFT DE INDUSTRIA ALIMENTARIA</v>
      </c>
      <c r="D1244" s="213" t="str">
        <f>IFERROR(__xludf.DUMMYFUNCTION("""COMPUTED_VALUE"""),"HERRAMIENTAS")</f>
        <v>HERRAMIENTAS</v>
      </c>
      <c r="E1244" s="213" t="str">
        <f>IFERROR(__xludf.DUMMYFUNCTION("""COMPUTED_VALUE"""),"MAT-150")</f>
        <v>MAT-150</v>
      </c>
      <c r="F1244" s="213" t="str">
        <f>IFERROR(__xludf.DUMMYFUNCTION("""COMPUTED_VALUE"""),"MAT-150-Y")</f>
        <v>MAT-150-Y</v>
      </c>
      <c r="G1244" s="213"/>
      <c r="H1244" s="213" t="str">
        <f>IFERROR(__xludf.DUMMYFUNCTION("""COMPUTED_VALUE"""),"DISPENSADOR DE ALCOHOL EN GEL")</f>
        <v>DISPENSADOR DE ALCOHOL EN GEL</v>
      </c>
      <c r="I1244" s="213" t="str">
        <f>IFERROR(__xludf.DUMMYFUNCTION("""COMPUTED_VALUE"""),"· Desinfectante de manos en base alcohol mínimo 500ml, especialmente indicado para la industria alimentaria.
. Con dispensador, adosable a pared.
. Sin perfumes, ni colorantes.")</f>
        <v>· Desinfectante de manos en base alcohol mínimo 500ml, especialmente indicado para la industria alimentaria.
. Con dispensador, adosable a pared.
. Sin perfumes, ni colorantes.</v>
      </c>
      <c r="J1244" s="213">
        <f>IFERROR(__xludf.DUMMYFUNCTION("""COMPUTED_VALUE"""),3.0)</f>
        <v>3</v>
      </c>
      <c r="K1244" s="213" t="str">
        <f>IFERROR(__xludf.DUMMYFUNCTION("""COMPUTED_VALUE"""),"90 DÍAS CALENDARIO")</f>
        <v>90 DÍAS CALENDARIO</v>
      </c>
      <c r="L1244" s="213" t="str">
        <f>IFERROR(__xludf.DUMMYFUNCTION("""COMPUTED_VALUE"""),"")</f>
        <v/>
      </c>
      <c r="M1244" s="213">
        <f>IFERROR(__xludf.DUMMYFUNCTION("""COMPUTED_VALUE"""),1.0)</f>
        <v>1</v>
      </c>
      <c r="N1244" s="213">
        <f>IFERROR(__xludf.DUMMYFUNCTION("""COMPUTED_VALUE"""),1.0)</f>
        <v>1</v>
      </c>
      <c r="O1244" s="213">
        <f>IFERROR(__xludf.DUMMYFUNCTION("""COMPUTED_VALUE"""),1.0)</f>
        <v>1</v>
      </c>
      <c r="P1244" s="213"/>
      <c r="Q1244" s="213"/>
      <c r="R1244" s="213" t="str">
        <f>IFERROR(__xludf.DUMMYFUNCTION("""COMPUTED_VALUE"""),"SI")</f>
        <v>SI</v>
      </c>
      <c r="S1244" s="213"/>
      <c r="T1244" s="213" t="str">
        <f>IFERROR(__xludf.DUMMYFUNCTION("""COMPUTED_VALUE"""),"SI")</f>
        <v>SI</v>
      </c>
      <c r="U1244" s="213" t="str">
        <f>IFERROR(__xludf.DUMMYFUNCTION("""COMPUTED_VALUE"""),"SI")</f>
        <v>SI</v>
      </c>
      <c r="V1244" s="213" t="str">
        <f>IFERROR(__xludf.DUMMYFUNCTION("""COMPUTED_VALUE"""),"-")</f>
        <v>-</v>
      </c>
      <c r="W1244" s="213" t="str">
        <f>IFERROR(__xludf.DUMMYFUNCTION("""COMPUTED_VALUE"""),"-")</f>
        <v>-</v>
      </c>
      <c r="X1244" s="213" t="str">
        <f>IFERROR(__xludf.DUMMYFUNCTION("""COMPUTED_VALUE"""),"GENERICO")</f>
        <v>GENERICO</v>
      </c>
      <c r="Y1244" s="213" t="str">
        <f>IFERROR(__xludf.DUMMYFUNCTION("""COMPUTED_VALUE"""),"GENERICO")</f>
        <v>GENERICO</v>
      </c>
      <c r="Z1244" s="215" t="str">
        <f>IFERROR(__xludf.DUMMYFUNCTION("""COMPUTED_VALUE"""),"https://www.falabella.com.pe/falabella-pe/product/115805692/Dispensador-de-Jabon-Liquido-Alcohol-en-Gel/115805693")</f>
        <v>https://www.falabella.com.pe/falabella-pe/product/115805692/Dispensador-de-Jabon-Liquido-Alcohol-en-Gel/115805693</v>
      </c>
      <c r="AA1244" s="213" t="str">
        <f>IFERROR(__xludf.DUMMYFUNCTION("""COMPUTED_VALUE"""),"MAT-150-Y DISPENSADOR DE ALCOHOL EN GEL - CET")</f>
        <v>MAT-150-Y DISPENSADOR DE ALCOHOL EN GEL - CET</v>
      </c>
      <c r="AB1244" s="215" t="str">
        <f>IFERROR(__xludf.DUMMYFUNCTION("""COMPUTED_VALUE"""),"https://drive.google.com/file/d/10Y3NHuMJP5MFGtKiE4s-QC_2iAQv65P5/view?usp=sharing")</f>
        <v>https://drive.google.com/file/d/10Y3NHuMJP5MFGtKiE4s-QC_2iAQv65P5/view?usp=sharing</v>
      </c>
      <c r="AC1244" s="215" t="str">
        <f>IFERROR(__xludf.DUMMYFUNCTION("""COMPUTED_VALUE"""),"https://transquim.com/products/alessi-alcohol-70-gel-500-ml-c-dispensador?pr_prod_strat=e5_desc&amp;pr_rec_id=e1e8a9ff1&amp;pr_rec_pid=6044840099993&amp;pr_ref_pid=6044835676313&amp;pr_seq=uniform")</f>
        <v>https://transquim.com/products/alessi-alcohol-70-gel-500-ml-c-dispensador?pr_prod_strat=e5_desc&amp;pr_rec_id=e1e8a9ff1&amp;pr_rec_pid=6044840099993&amp;pr_ref_pid=6044835676313&amp;pr_seq=uniform</v>
      </c>
      <c r="AD1244" s="213"/>
      <c r="AE1244" s="213"/>
      <c r="AF1244" s="213"/>
      <c r="AG1244" s="213"/>
      <c r="AH1244" s="213" t="str">
        <f>IFERROR(__xludf.DUMMYFUNCTION("""COMPUTED_VALUE"""),"NACIONAL")</f>
        <v>NACIONAL</v>
      </c>
      <c r="AI1244" s="213"/>
      <c r="AJ1244" s="213"/>
      <c r="AK1244" s="213"/>
      <c r="AL1244" s="213"/>
      <c r="AM1244" s="213"/>
      <c r="AN1244" s="213"/>
      <c r="AO1244" s="213"/>
      <c r="AP1244" s="213" t="str">
        <f>IFERROR(__xludf.DUMMYFUNCTION("""COMPUTED_VALUE"""),"LUIS")</f>
        <v>LUIS</v>
      </c>
      <c r="AQ1244" s="213"/>
      <c r="AR1244" s="213"/>
      <c r="AS1244" s="213"/>
      <c r="AT1244" s="213"/>
      <c r="AU1244" s="213"/>
      <c r="AV1244" s="213"/>
      <c r="AW1244" s="213"/>
      <c r="AX1244" s="213"/>
      <c r="AY1244" s="213"/>
      <c r="AZ1244" s="213"/>
      <c r="BA1244" s="213"/>
      <c r="BB1244" s="213"/>
      <c r="BC1244" s="213"/>
      <c r="BD1244" s="213"/>
    </row>
    <row r="1245">
      <c r="A1245" s="213">
        <f>IFERROR(__xludf.DUMMYFUNCTION("""COMPUTED_VALUE"""),1079.0)</f>
        <v>1079</v>
      </c>
      <c r="B1245" s="213" t="str">
        <f>IFERROR(__xludf.DUMMYFUNCTION("""COMPUTED_VALUE"""),"FRANCISCO IRAZOLA")</f>
        <v>FRANCISCO IRAZOLA</v>
      </c>
      <c r="C1245" s="213" t="str">
        <f>IFERROR(__xludf.DUMMYFUNCTION("""COMPUTED_VALUE"""),"TALLER SFT DE INDUSTRIA ALIMENTARIA")</f>
        <v>TALLER SFT DE INDUSTRIA ALIMENTARIA</v>
      </c>
      <c r="D1245" s="213" t="str">
        <f>IFERROR(__xludf.DUMMYFUNCTION("""COMPUTED_VALUE"""),"HERRAMIENTAS")</f>
        <v>HERRAMIENTAS</v>
      </c>
      <c r="E1245" s="213" t="str">
        <f>IFERROR(__xludf.DUMMYFUNCTION("""COMPUTED_VALUE"""),"MAT-150")</f>
        <v>MAT-150</v>
      </c>
      <c r="F1245" s="213" t="str">
        <f>IFERROR(__xludf.DUMMYFUNCTION("""COMPUTED_VALUE"""),"MAT-150-Y")</f>
        <v>MAT-150-Y</v>
      </c>
      <c r="G1245" s="213"/>
      <c r="H1245" s="213" t="str">
        <f>IFERROR(__xludf.DUMMYFUNCTION("""COMPUTED_VALUE"""),"DISPENSADOR DE ALCOHOL EN GEL")</f>
        <v>DISPENSADOR DE ALCOHOL EN GEL</v>
      </c>
      <c r="I1245" s="213" t="str">
        <f>IFERROR(__xludf.DUMMYFUNCTION("""COMPUTED_VALUE"""),"· Desinfectante de manos en base alcohol mínimo 500ml, especialmente indicado para la industria alimentaria.
. Con dispensador, adosable a pared.
. Sin perfumes, ni colorantes.")</f>
        <v>· Desinfectante de manos en base alcohol mínimo 500ml, especialmente indicado para la industria alimentaria.
. Con dispensador, adosable a pared.
. Sin perfumes, ni colorantes.</v>
      </c>
      <c r="J1245" s="213">
        <f>IFERROR(__xludf.DUMMYFUNCTION("""COMPUTED_VALUE"""),3.0)</f>
        <v>3</v>
      </c>
      <c r="K1245" s="213" t="str">
        <f>IFERROR(__xludf.DUMMYFUNCTION("""COMPUTED_VALUE"""),"90 DÍAS CALENDARIO")</f>
        <v>90 DÍAS CALENDARIO</v>
      </c>
      <c r="L1245" s="213" t="str">
        <f>IFERROR(__xludf.DUMMYFUNCTION("""COMPUTED_VALUE"""),"")</f>
        <v/>
      </c>
      <c r="M1245" s="213">
        <f>IFERROR(__xludf.DUMMYFUNCTION("""COMPUTED_VALUE"""),1.0)</f>
        <v>1</v>
      </c>
      <c r="N1245" s="213">
        <f>IFERROR(__xludf.DUMMYFUNCTION("""COMPUTED_VALUE"""),1.0)</f>
        <v>1</v>
      </c>
      <c r="O1245" s="213">
        <f>IFERROR(__xludf.DUMMYFUNCTION("""COMPUTED_VALUE"""),1.0)</f>
        <v>1</v>
      </c>
      <c r="P1245" s="213"/>
      <c r="Q1245" s="213"/>
      <c r="R1245" s="213" t="str">
        <f>IFERROR(__xludf.DUMMYFUNCTION("""COMPUTED_VALUE"""),"SI")</f>
        <v>SI</v>
      </c>
      <c r="S1245" s="213"/>
      <c r="T1245" s="213" t="str">
        <f>IFERROR(__xludf.DUMMYFUNCTION("""COMPUTED_VALUE"""),"SI")</f>
        <v>SI</v>
      </c>
      <c r="U1245" s="213" t="str">
        <f>IFERROR(__xludf.DUMMYFUNCTION("""COMPUTED_VALUE"""),"SI")</f>
        <v>SI</v>
      </c>
      <c r="V1245" s="213" t="str">
        <f>IFERROR(__xludf.DUMMYFUNCTION("""COMPUTED_VALUE"""),"-")</f>
        <v>-</v>
      </c>
      <c r="W1245" s="213" t="str">
        <f>IFERROR(__xludf.DUMMYFUNCTION("""COMPUTED_VALUE"""),"-")</f>
        <v>-</v>
      </c>
      <c r="X1245" s="213" t="str">
        <f>IFERROR(__xludf.DUMMYFUNCTION("""COMPUTED_VALUE"""),"GENERICO")</f>
        <v>GENERICO</v>
      </c>
      <c r="Y1245" s="213" t="str">
        <f>IFERROR(__xludf.DUMMYFUNCTION("""COMPUTED_VALUE"""),"GENERICO")</f>
        <v>GENERICO</v>
      </c>
      <c r="Z1245" s="215" t="str">
        <f>IFERROR(__xludf.DUMMYFUNCTION("""COMPUTED_VALUE"""),"https://www.falabella.com.pe/falabella-pe/product/115805692/Dispensador-de-Jabon-Liquido-Alcohol-en-Gel/115805693")</f>
        <v>https://www.falabella.com.pe/falabella-pe/product/115805692/Dispensador-de-Jabon-Liquido-Alcohol-en-Gel/115805693</v>
      </c>
      <c r="AA1245" s="213" t="str">
        <f>IFERROR(__xludf.DUMMYFUNCTION("""COMPUTED_VALUE"""),"MAT-150-Y DISPENSADOR DE ALCOHOL EN GEL - CET")</f>
        <v>MAT-150-Y DISPENSADOR DE ALCOHOL EN GEL - CET</v>
      </c>
      <c r="AB1245" s="215" t="str">
        <f>IFERROR(__xludf.DUMMYFUNCTION("""COMPUTED_VALUE"""),"https://drive.google.com/file/d/10Y3NHuMJP5MFGtKiE4s-QC_2iAQv65P5/view?usp=sharing")</f>
        <v>https://drive.google.com/file/d/10Y3NHuMJP5MFGtKiE4s-QC_2iAQv65P5/view?usp=sharing</v>
      </c>
      <c r="AC1245" s="215" t="str">
        <f>IFERROR(__xludf.DUMMYFUNCTION("""COMPUTED_VALUE"""),"https://transquim.com/products/alessi-alcohol-70-gel-500-ml-c-dispensador?pr_prod_strat=e5_desc&amp;pr_rec_id=e1e8a9ff1&amp;pr_rec_pid=6044840099993&amp;pr_ref_pid=6044835676313&amp;pr_seq=uniform")</f>
        <v>https://transquim.com/products/alessi-alcohol-70-gel-500-ml-c-dispensador?pr_prod_strat=e5_desc&amp;pr_rec_id=e1e8a9ff1&amp;pr_rec_pid=6044840099993&amp;pr_ref_pid=6044835676313&amp;pr_seq=uniform</v>
      </c>
      <c r="AD1245" s="213"/>
      <c r="AE1245" s="213"/>
      <c r="AF1245" s="213"/>
      <c r="AG1245" s="213"/>
      <c r="AH1245" s="213" t="str">
        <f>IFERROR(__xludf.DUMMYFUNCTION("""COMPUTED_VALUE"""),"NACIONAL")</f>
        <v>NACIONAL</v>
      </c>
      <c r="AI1245" s="213"/>
      <c r="AJ1245" s="213"/>
      <c r="AK1245" s="213"/>
      <c r="AL1245" s="213"/>
      <c r="AM1245" s="213"/>
      <c r="AN1245" s="213"/>
      <c r="AO1245" s="213"/>
      <c r="AP1245" s="213" t="str">
        <f>IFERROR(__xludf.DUMMYFUNCTION("""COMPUTED_VALUE"""),"LUIS")</f>
        <v>LUIS</v>
      </c>
      <c r="AQ1245" s="213"/>
      <c r="AR1245" s="213"/>
      <c r="AS1245" s="213"/>
      <c r="AT1245" s="213"/>
      <c r="AU1245" s="213"/>
      <c r="AV1245" s="213"/>
      <c r="AW1245" s="213"/>
      <c r="AX1245" s="213"/>
      <c r="AY1245" s="213"/>
      <c r="AZ1245" s="213"/>
      <c r="BA1245" s="213"/>
      <c r="BB1245" s="213"/>
      <c r="BC1245" s="213"/>
      <c r="BD1245" s="213"/>
    </row>
    <row r="1246">
      <c r="A1246" s="213">
        <f>IFERROR(__xludf.DUMMYFUNCTION("""COMPUTED_VALUE"""),1355.0)</f>
        <v>1355</v>
      </c>
      <c r="B1246" s="213" t="str">
        <f>IFERROR(__xludf.DUMMYFUNCTION("""COMPUTED_VALUE"""),"GUILLERMO E. BILLINGHURST ")</f>
        <v>GUILLERMO E. BILLINGHURST </v>
      </c>
      <c r="C1246" s="213" t="str">
        <f>IFERROR(__xludf.DUMMYFUNCTION("""COMPUTED_VALUE"""),"TALLER SFT DE INDUSTRIA ALIMENTARIA")</f>
        <v>TALLER SFT DE INDUSTRIA ALIMENTARIA</v>
      </c>
      <c r="D1246" s="213" t="str">
        <f>IFERROR(__xludf.DUMMYFUNCTION("""COMPUTED_VALUE"""),"HERRAMIENTAS")</f>
        <v>HERRAMIENTAS</v>
      </c>
      <c r="E1246" s="213" t="str">
        <f>IFERROR(__xludf.DUMMYFUNCTION("""COMPUTED_VALUE"""),"MAT-150")</f>
        <v>MAT-150</v>
      </c>
      <c r="F1246" s="213" t="str">
        <f>IFERROR(__xludf.DUMMYFUNCTION("""COMPUTED_VALUE"""),"MAT-150-Y")</f>
        <v>MAT-150-Y</v>
      </c>
      <c r="G1246" s="213"/>
      <c r="H1246" s="213" t="str">
        <f>IFERROR(__xludf.DUMMYFUNCTION("""COMPUTED_VALUE"""),"DISPENSADOR DE ALCOHOL EN GEL")</f>
        <v>DISPENSADOR DE ALCOHOL EN GEL</v>
      </c>
      <c r="I1246" s="213" t="str">
        <f>IFERROR(__xludf.DUMMYFUNCTION("""COMPUTED_VALUE"""),"· Desinfectante de manos en base alcohol mínimo 500ml, especialmente indicado para la industria alimentaria.
. Con dispensador, adosable a pared.
. Sin perfumes, ni colorantes.")</f>
        <v>· Desinfectante de manos en base alcohol mínimo 500ml, especialmente indicado para la industria alimentaria.
. Con dispensador, adosable a pared.
. Sin perfumes, ni colorantes.</v>
      </c>
      <c r="J1246" s="213">
        <f>IFERROR(__xludf.DUMMYFUNCTION("""COMPUTED_VALUE"""),3.0)</f>
        <v>3</v>
      </c>
      <c r="K1246" s="213" t="str">
        <f>IFERROR(__xludf.DUMMYFUNCTION("""COMPUTED_VALUE"""),"90 DÍAS CALENDARIO")</f>
        <v>90 DÍAS CALENDARIO</v>
      </c>
      <c r="L1246" s="213" t="str">
        <f>IFERROR(__xludf.DUMMYFUNCTION("""COMPUTED_VALUE"""),"")</f>
        <v/>
      </c>
      <c r="M1246" s="213">
        <f>IFERROR(__xludf.DUMMYFUNCTION("""COMPUTED_VALUE"""),1.0)</f>
        <v>1</v>
      </c>
      <c r="N1246" s="213">
        <f>IFERROR(__xludf.DUMMYFUNCTION("""COMPUTED_VALUE"""),1.0)</f>
        <v>1</v>
      </c>
      <c r="O1246" s="213">
        <f>IFERROR(__xludf.DUMMYFUNCTION("""COMPUTED_VALUE"""),1.0)</f>
        <v>1</v>
      </c>
      <c r="P1246" s="213"/>
      <c r="Q1246" s="213"/>
      <c r="R1246" s="213" t="str">
        <f>IFERROR(__xludf.DUMMYFUNCTION("""COMPUTED_VALUE"""),"SI")</f>
        <v>SI</v>
      </c>
      <c r="S1246" s="213"/>
      <c r="T1246" s="213" t="str">
        <f>IFERROR(__xludf.DUMMYFUNCTION("""COMPUTED_VALUE"""),"SI")</f>
        <v>SI</v>
      </c>
      <c r="U1246" s="213" t="str">
        <f>IFERROR(__xludf.DUMMYFUNCTION("""COMPUTED_VALUE"""),"SI")</f>
        <v>SI</v>
      </c>
      <c r="V1246" s="213" t="str">
        <f>IFERROR(__xludf.DUMMYFUNCTION("""COMPUTED_VALUE"""),"-")</f>
        <v>-</v>
      </c>
      <c r="W1246" s="213" t="str">
        <f>IFERROR(__xludf.DUMMYFUNCTION("""COMPUTED_VALUE"""),"-")</f>
        <v>-</v>
      </c>
      <c r="X1246" s="213" t="str">
        <f>IFERROR(__xludf.DUMMYFUNCTION("""COMPUTED_VALUE"""),"GENERICO")</f>
        <v>GENERICO</v>
      </c>
      <c r="Y1246" s="213" t="str">
        <f>IFERROR(__xludf.DUMMYFUNCTION("""COMPUTED_VALUE"""),"GENERICO")</f>
        <v>GENERICO</v>
      </c>
      <c r="Z1246" s="215" t="str">
        <f>IFERROR(__xludf.DUMMYFUNCTION("""COMPUTED_VALUE"""),"https://www.falabella.com.pe/falabella-pe/product/115805692/Dispensador-de-Jabon-Liquido-Alcohol-en-Gel/115805693")</f>
        <v>https://www.falabella.com.pe/falabella-pe/product/115805692/Dispensador-de-Jabon-Liquido-Alcohol-en-Gel/115805693</v>
      </c>
      <c r="AA1246" s="213" t="str">
        <f>IFERROR(__xludf.DUMMYFUNCTION("""COMPUTED_VALUE"""),"MAT-150-Y DISPENSADOR DE ALCOHOL EN GEL - CET")</f>
        <v>MAT-150-Y DISPENSADOR DE ALCOHOL EN GEL - CET</v>
      </c>
      <c r="AB1246" s="215" t="str">
        <f>IFERROR(__xludf.DUMMYFUNCTION("""COMPUTED_VALUE"""),"https://drive.google.com/file/d/10Y3NHuMJP5MFGtKiE4s-QC_2iAQv65P5/view?usp=sharing")</f>
        <v>https://drive.google.com/file/d/10Y3NHuMJP5MFGtKiE4s-QC_2iAQv65P5/view?usp=sharing</v>
      </c>
      <c r="AC1246" s="215" t="str">
        <f>IFERROR(__xludf.DUMMYFUNCTION("""COMPUTED_VALUE"""),"https://transquim.com/products/alessi-alcohol-70-gel-500-ml-c-dispensador?pr_prod_strat=e5_desc&amp;pr_rec_id=e1e8a9ff1&amp;pr_rec_pid=6044840099993&amp;pr_ref_pid=6044835676313&amp;pr_seq=uniform")</f>
        <v>https://transquim.com/products/alessi-alcohol-70-gel-500-ml-c-dispensador?pr_prod_strat=e5_desc&amp;pr_rec_id=e1e8a9ff1&amp;pr_rec_pid=6044840099993&amp;pr_ref_pid=6044835676313&amp;pr_seq=uniform</v>
      </c>
      <c r="AD1246" s="213"/>
      <c r="AE1246" s="213"/>
      <c r="AF1246" s="213"/>
      <c r="AG1246" s="213"/>
      <c r="AH1246" s="213" t="str">
        <f>IFERROR(__xludf.DUMMYFUNCTION("""COMPUTED_VALUE"""),"NACIONAL")</f>
        <v>NACIONAL</v>
      </c>
      <c r="AI1246" s="213"/>
      <c r="AJ1246" s="213"/>
      <c r="AK1246" s="213"/>
      <c r="AL1246" s="213"/>
      <c r="AM1246" s="213"/>
      <c r="AN1246" s="213"/>
      <c r="AO1246" s="213"/>
      <c r="AP1246" s="213" t="str">
        <f>IFERROR(__xludf.DUMMYFUNCTION("""COMPUTED_VALUE"""),"LUIS")</f>
        <v>LUIS</v>
      </c>
      <c r="AQ1246" s="213"/>
      <c r="AR1246" s="213"/>
      <c r="AS1246" s="213"/>
      <c r="AT1246" s="213"/>
      <c r="AU1246" s="213"/>
      <c r="AV1246" s="213"/>
      <c r="AW1246" s="213"/>
      <c r="AX1246" s="213"/>
      <c r="AY1246" s="213"/>
      <c r="AZ1246" s="213"/>
      <c r="BA1246" s="213"/>
      <c r="BB1246" s="213"/>
      <c r="BC1246" s="213"/>
      <c r="BD1246" s="213"/>
    </row>
    <row r="1247">
      <c r="A1247" s="213">
        <f>IFERROR(__xludf.DUMMYFUNCTION("""COMPUTED_VALUE"""),2039.0)</f>
        <v>2039</v>
      </c>
      <c r="B1247" s="213" t="str">
        <f>IFERROR(__xludf.DUMMYFUNCTION("""COMPUTED_VALUE"""),"JOSE GRANDA")</f>
        <v>JOSE GRANDA</v>
      </c>
      <c r="C1247" s="213" t="str">
        <f>IFERROR(__xludf.DUMMYFUNCTION("""COMPUTED_VALUE"""),"TALLER SFT DE INDUSTRIA ALIMENTARIA")</f>
        <v>TALLER SFT DE INDUSTRIA ALIMENTARIA</v>
      </c>
      <c r="D1247" s="213" t="str">
        <f>IFERROR(__xludf.DUMMYFUNCTION("""COMPUTED_VALUE"""),"HERRAMIENTAS")</f>
        <v>HERRAMIENTAS</v>
      </c>
      <c r="E1247" s="213" t="str">
        <f>IFERROR(__xludf.DUMMYFUNCTION("""COMPUTED_VALUE"""),"MAT-150")</f>
        <v>MAT-150</v>
      </c>
      <c r="F1247" s="213" t="str">
        <f>IFERROR(__xludf.DUMMYFUNCTION("""COMPUTED_VALUE"""),"MAT-150-Y")</f>
        <v>MAT-150-Y</v>
      </c>
      <c r="G1247" s="213"/>
      <c r="H1247" s="213" t="str">
        <f>IFERROR(__xludf.DUMMYFUNCTION("""COMPUTED_VALUE"""),"DISPENSADOR DE ALCOHOL EN GEL")</f>
        <v>DISPENSADOR DE ALCOHOL EN GEL</v>
      </c>
      <c r="I1247" s="213" t="str">
        <f>IFERROR(__xludf.DUMMYFUNCTION("""COMPUTED_VALUE"""),"· Desinfectante de manos en base alcohol mínimo 500ml, especialmente indicado para la industria alimentaria.
. Con dispensador, adosable a pared.
. Sin perfumes, ni colorantes.")</f>
        <v>· Desinfectante de manos en base alcohol mínimo 500ml, especialmente indicado para la industria alimentaria.
. Con dispensador, adosable a pared.
. Sin perfumes, ni colorantes.</v>
      </c>
      <c r="J1247" s="213">
        <f>IFERROR(__xludf.DUMMYFUNCTION("""COMPUTED_VALUE"""),3.0)</f>
        <v>3</v>
      </c>
      <c r="K1247" s="213" t="str">
        <f>IFERROR(__xludf.DUMMYFUNCTION("""COMPUTED_VALUE"""),"90 DÍAS CALENDARIO")</f>
        <v>90 DÍAS CALENDARIO</v>
      </c>
      <c r="L1247" s="213" t="str">
        <f>IFERROR(__xludf.DUMMYFUNCTION("""COMPUTED_VALUE"""),"")</f>
        <v/>
      </c>
      <c r="M1247" s="213">
        <f>IFERROR(__xludf.DUMMYFUNCTION("""COMPUTED_VALUE"""),1.0)</f>
        <v>1</v>
      </c>
      <c r="N1247" s="213">
        <f>IFERROR(__xludf.DUMMYFUNCTION("""COMPUTED_VALUE"""),1.0)</f>
        <v>1</v>
      </c>
      <c r="O1247" s="213">
        <f>IFERROR(__xludf.DUMMYFUNCTION("""COMPUTED_VALUE"""),1.0)</f>
        <v>1</v>
      </c>
      <c r="P1247" s="213"/>
      <c r="Q1247" s="213"/>
      <c r="R1247" s="213" t="str">
        <f>IFERROR(__xludf.DUMMYFUNCTION("""COMPUTED_VALUE"""),"SI")</f>
        <v>SI</v>
      </c>
      <c r="S1247" s="213"/>
      <c r="T1247" s="213" t="str">
        <f>IFERROR(__xludf.DUMMYFUNCTION("""COMPUTED_VALUE"""),"SI")</f>
        <v>SI</v>
      </c>
      <c r="U1247" s="213" t="str">
        <f>IFERROR(__xludf.DUMMYFUNCTION("""COMPUTED_VALUE"""),"SI")</f>
        <v>SI</v>
      </c>
      <c r="V1247" s="213" t="str">
        <f>IFERROR(__xludf.DUMMYFUNCTION("""COMPUTED_VALUE"""),"-")</f>
        <v>-</v>
      </c>
      <c r="W1247" s="213" t="str">
        <f>IFERROR(__xludf.DUMMYFUNCTION("""COMPUTED_VALUE"""),"-")</f>
        <v>-</v>
      </c>
      <c r="X1247" s="213" t="str">
        <f>IFERROR(__xludf.DUMMYFUNCTION("""COMPUTED_VALUE"""),"GENERICO")</f>
        <v>GENERICO</v>
      </c>
      <c r="Y1247" s="213" t="str">
        <f>IFERROR(__xludf.DUMMYFUNCTION("""COMPUTED_VALUE"""),"GENERICO")</f>
        <v>GENERICO</v>
      </c>
      <c r="Z1247" s="215" t="str">
        <f>IFERROR(__xludf.DUMMYFUNCTION("""COMPUTED_VALUE"""),"https://www.falabella.com.pe/falabella-pe/product/115805692/Dispensador-de-Jabon-Liquido-Alcohol-en-Gel/115805693")</f>
        <v>https://www.falabella.com.pe/falabella-pe/product/115805692/Dispensador-de-Jabon-Liquido-Alcohol-en-Gel/115805693</v>
      </c>
      <c r="AA1247" s="213" t="str">
        <f>IFERROR(__xludf.DUMMYFUNCTION("""COMPUTED_VALUE"""),"MAT-150-Y DISPENSADOR DE ALCOHOL EN GEL - CET")</f>
        <v>MAT-150-Y DISPENSADOR DE ALCOHOL EN GEL - CET</v>
      </c>
      <c r="AB1247" s="215" t="str">
        <f>IFERROR(__xludf.DUMMYFUNCTION("""COMPUTED_VALUE"""),"https://drive.google.com/file/d/10Y3NHuMJP5MFGtKiE4s-QC_2iAQv65P5/view?usp=sharing")</f>
        <v>https://drive.google.com/file/d/10Y3NHuMJP5MFGtKiE4s-QC_2iAQv65P5/view?usp=sharing</v>
      </c>
      <c r="AC1247" s="215" t="str">
        <f>IFERROR(__xludf.DUMMYFUNCTION("""COMPUTED_VALUE"""),"https://transquim.com/products/alessi-alcohol-70-gel-500-ml-c-dispensador?pr_prod_strat=e5_desc&amp;pr_rec_id=e1e8a9ff1&amp;pr_rec_pid=6044840099993&amp;pr_ref_pid=6044835676313&amp;pr_seq=uniform")</f>
        <v>https://transquim.com/products/alessi-alcohol-70-gel-500-ml-c-dispensador?pr_prod_strat=e5_desc&amp;pr_rec_id=e1e8a9ff1&amp;pr_rec_pid=6044840099993&amp;pr_ref_pid=6044835676313&amp;pr_seq=uniform</v>
      </c>
      <c r="AD1247" s="213"/>
      <c r="AE1247" s="213"/>
      <c r="AF1247" s="213"/>
      <c r="AG1247" s="213"/>
      <c r="AH1247" s="213" t="str">
        <f>IFERROR(__xludf.DUMMYFUNCTION("""COMPUTED_VALUE"""),"NACIONAL")</f>
        <v>NACIONAL</v>
      </c>
      <c r="AI1247" s="213"/>
      <c r="AJ1247" s="213"/>
      <c r="AK1247" s="213"/>
      <c r="AL1247" s="213"/>
      <c r="AM1247" s="213"/>
      <c r="AN1247" s="213"/>
      <c r="AO1247" s="213"/>
      <c r="AP1247" s="213" t="str">
        <f>IFERROR(__xludf.DUMMYFUNCTION("""COMPUTED_VALUE"""),"LUIS")</f>
        <v>LUIS</v>
      </c>
      <c r="AQ1247" s="213"/>
      <c r="AR1247" s="213"/>
      <c r="AS1247" s="213"/>
      <c r="AT1247" s="213"/>
      <c r="AU1247" s="213"/>
      <c r="AV1247" s="213"/>
      <c r="AW1247" s="213"/>
      <c r="AX1247" s="213"/>
      <c r="AY1247" s="213"/>
      <c r="AZ1247" s="213"/>
      <c r="BA1247" s="213"/>
      <c r="BB1247" s="213"/>
      <c r="BC1247" s="213"/>
      <c r="BD1247" s="213"/>
    </row>
    <row r="1248">
      <c r="A1248" s="213">
        <f>IFERROR(__xludf.DUMMYFUNCTION("""COMPUTED_VALUE"""),485.0)</f>
        <v>485</v>
      </c>
      <c r="B1248" s="213" t="str">
        <f>IFERROR(__xludf.DUMMYFUNCTION("""COMPUTED_VALUE"""),"2026 SIMON BOLIVAR")</f>
        <v>2026 SIMON BOLIVAR</v>
      </c>
      <c r="C1248" s="213" t="str">
        <f>IFERROR(__xludf.DUMMYFUNCTION("""COMPUTED_VALUE"""),"TALLER SFT DE INDUSTRIA ALIMENTARIA")</f>
        <v>TALLER SFT DE INDUSTRIA ALIMENTARIA</v>
      </c>
      <c r="D1248" s="213" t="str">
        <f>IFERROR(__xludf.DUMMYFUNCTION("""COMPUTED_VALUE"""),"HERRAMIENTAS")</f>
        <v>HERRAMIENTAS</v>
      </c>
      <c r="E1248" s="213" t="str">
        <f>IFERROR(__xludf.DUMMYFUNCTION("""COMPUTED_VALUE"""),"MAT-151")</f>
        <v>MAT-151</v>
      </c>
      <c r="F1248" s="213" t="str">
        <f>IFERROR(__xludf.DUMMYFUNCTION("""COMPUTED_VALUE"""),"MAT-151")</f>
        <v>MAT-151</v>
      </c>
      <c r="G1248" s="213"/>
      <c r="H1248" s="213" t="str">
        <f>IFERROR(__xludf.DUMMYFUNCTION("""COMPUTED_VALUE"""),"EMBUDO")</f>
        <v>EMBUDO</v>
      </c>
      <c r="I1248" s="213" t="str">
        <f>IFERROR(__xludf.DUMMYFUNCTION("""COMPUTED_VALUE"""),"· Material HDPE
· Medidas mínimas D31 mm X  H39mm")</f>
        <v>· Material HDPE
· Medidas mínimas D31 mm X  H39mm</v>
      </c>
      <c r="J1248" s="213">
        <f>IFERROR(__xludf.DUMMYFUNCTION("""COMPUTED_VALUE"""),3.0)</f>
        <v>3</v>
      </c>
      <c r="K1248" s="213" t="str">
        <f>IFERROR(__xludf.DUMMYFUNCTION("""COMPUTED_VALUE"""),"90 DÍAS CALENDARIO")</f>
        <v>90 DÍAS CALENDARIO</v>
      </c>
      <c r="L1248" s="213" t="str">
        <f>IFERROR(__xludf.DUMMYFUNCTION("""COMPUTED_VALUE"""),"")</f>
        <v/>
      </c>
      <c r="M1248" s="213">
        <f>IFERROR(__xludf.DUMMYFUNCTION("""COMPUTED_VALUE"""),1.0)</f>
        <v>1</v>
      </c>
      <c r="N1248" s="213">
        <f>IFERROR(__xludf.DUMMYFUNCTION("""COMPUTED_VALUE"""),5.0)</f>
        <v>5</v>
      </c>
      <c r="O1248" s="213">
        <f>IFERROR(__xludf.DUMMYFUNCTION("""COMPUTED_VALUE"""),5.0)</f>
        <v>5</v>
      </c>
      <c r="P1248" s="213"/>
      <c r="Q1248" s="213"/>
      <c r="R1248" s="213"/>
      <c r="S1248" s="213"/>
      <c r="T1248" s="213" t="str">
        <f>IFERROR(__xludf.DUMMYFUNCTION("""COMPUTED_VALUE"""),"NO")</f>
        <v>NO</v>
      </c>
      <c r="U1248" s="213" t="str">
        <f>IFERROR(__xludf.DUMMYFUNCTION("""COMPUTED_VALUE"""),"NO")</f>
        <v>NO</v>
      </c>
      <c r="V1248" s="213" t="str">
        <f>IFERROR(__xludf.DUMMYFUNCTION("""COMPUTED_VALUE"""),"-")</f>
        <v>-</v>
      </c>
      <c r="W1248" s="213" t="str">
        <f>IFERROR(__xludf.DUMMYFUNCTION("""COMPUTED_VALUE"""),"ERROR EETT")</f>
        <v>ERROR EETT</v>
      </c>
      <c r="X1248" s="213" t="str">
        <f>IFERROR(__xludf.DUMMYFUNCTION("""COMPUTED_VALUE"""),"DENIOS SL")</f>
        <v>DENIOS SL</v>
      </c>
      <c r="Y1248" s="213" t="str">
        <f>IFERROR(__xludf.DUMMYFUNCTION("""COMPUTED_VALUE"""),"145545W")</f>
        <v>145545W</v>
      </c>
      <c r="Z1248" s="215" t="str">
        <f>IFERROR(__xludf.DUMMYFUNCTION("""COMPUTED_VALUE"""),"https://drive.google.com/file/d/1HUhOmFIpgrCiXpq7Hkz-CdkKG7BMFfX8/view?ts=68eecd8d")</f>
        <v>https://drive.google.com/file/d/1HUhOmFIpgrCiXpq7Hkz-CdkKG7BMFfX8/view?ts=68eecd8d</v>
      </c>
      <c r="AA1248" s="213" t="str">
        <f>IFERROR(__xludf.DUMMYFUNCTION("""COMPUTED_VALUE"""),"MAT-151 EMBUDO - CET")</f>
        <v>MAT-151 EMBUDO - CET</v>
      </c>
      <c r="AB1248" s="213"/>
      <c r="AC1248" s="213"/>
      <c r="AD1248" s="213"/>
      <c r="AE1248" s="213"/>
      <c r="AF1248" s="213"/>
      <c r="AG1248" s="213"/>
      <c r="AH1248" s="213"/>
      <c r="AI1248" s="213"/>
      <c r="AJ1248" s="213"/>
      <c r="AK1248" s="213"/>
      <c r="AL1248" s="213"/>
      <c r="AM1248" s="213"/>
      <c r="AN1248" s="213"/>
      <c r="AO1248" s="213"/>
      <c r="AP1248" s="213" t="str">
        <f>IFERROR(__xludf.DUMMYFUNCTION("""COMPUTED_VALUE"""),"BRUNO")</f>
        <v>BRUNO</v>
      </c>
      <c r="AQ1248" s="213" t="str">
        <f>IFERROR(__xludf.DUMMYFUNCTION("""COMPUTED_VALUE"""),"piden 3,9 cm de altura total del embudo? verificar medida")</f>
        <v>piden 3,9 cm de altura total del embudo? verificar medida</v>
      </c>
      <c r="AR1248" s="213"/>
      <c r="AS1248" s="213"/>
      <c r="AT1248" s="213"/>
      <c r="AU1248" s="213"/>
      <c r="AV1248" s="213"/>
      <c r="AW1248" s="213"/>
      <c r="AX1248" s="213"/>
      <c r="AY1248" s="213"/>
      <c r="AZ1248" s="213"/>
      <c r="BA1248" s="213"/>
      <c r="BB1248" s="213"/>
      <c r="BC1248" s="213"/>
      <c r="BD1248" s="213"/>
    </row>
    <row r="1249">
      <c r="A1249" s="213">
        <f>IFERROR(__xludf.DUMMYFUNCTION("""COMPUTED_VALUE"""),125.0)</f>
        <v>125</v>
      </c>
      <c r="B1249" s="213" t="str">
        <f>IFERROR(__xludf.DUMMYFUNCTION("""COMPUTED_VALUE"""),"16449 ELOY SOBERON  FLORES")</f>
        <v>16449 ELOY SOBERON  FLORES</v>
      </c>
      <c r="C1249" s="213" t="str">
        <f>IFERROR(__xludf.DUMMYFUNCTION("""COMPUTED_VALUE"""),"TALLER SFT DE COCINA Y REPOSTERÍA")</f>
        <v>TALLER SFT DE COCINA Y REPOSTERÍA</v>
      </c>
      <c r="D1249" s="213" t="str">
        <f>IFERROR(__xludf.DUMMYFUNCTION("""COMPUTED_VALUE"""),"EQUIPOS")</f>
        <v>EQUIPOS</v>
      </c>
      <c r="E1249" s="213" t="str">
        <f>IFERROR(__xludf.DUMMYFUNCTION("""COMPUTED_VALUE"""),"ESP-222")</f>
        <v>ESP-222</v>
      </c>
      <c r="F1249" s="213" t="str">
        <f>IFERROR(__xludf.DUMMYFUNCTION("""COMPUTED_VALUE"""),"ESP-222")</f>
        <v>ESP-222</v>
      </c>
      <c r="G1249" s="213"/>
      <c r="H1249" s="213" t="str">
        <f>IFERROR(__xludf.DUMMYFUNCTION("""COMPUTED_VALUE"""),"MANDOLINA ELÉCTRICA PARA COCINA")</f>
        <v>MANDOLINA ELÉCTRICA PARA COCINA</v>
      </c>
      <c r="I1249" s="213" t="str">
        <f>IFERROR(__xludf.DUMMYFUNCTION("""COMPUTED_VALUE"""),".  Mandolina eléctrica versátil, puede cortar y rallar gran cantidad de verduras y frutas a gran velocidad.
. Voltaje 220V / 60 HZ
. Capacidas minima 2lts.
.  Segura, No permite el contacto directo con las cuchillas; con interruptores de seguridad.
. Band"&amp;"ejas y cuchillas extraíbles, para su limpieza.
.  Función de proceso automático
.  Cuenta como minimo con 6 cuchillas intercambiables para poder cortar y rallar los alimentos.
.  Tipos de corte minimo : en dados, juliana fina, juliana gruesa, rebanada fin"&amp;"a, rebanada gruesa, rallador.
.  Contenedor proporcionado y cómodo para usar y guardar las cuchillas.
.  Incluye un empujador para evitar el contacto entre las manos y las cuchillas.")</f>
        <v>.  Mandolina eléctrica versátil, puede cortar y rallar gran cantidad de verduras y frutas a gran velocidad.
. Voltaje 220V / 60 HZ
. Capacidas minima 2lts.
.  Segura, No permite el contacto directo con las cuchillas; con interruptores de seguridad.
. Bandejas y cuchillas extraíbles, para su limpieza.
.  Función de proceso automático
.  Cuenta como minimo con 6 cuchillas intercambiables para poder cortar y rallar los alimentos.
.  Tipos de corte minimo : en dados, juliana fina, juliana gruesa, rebanada fina, rebanada gruesa, rallador.
.  Contenedor proporcionado y cómodo para usar y guardar las cuchillas.
.  Incluye un empujador para evitar el contacto entre las manos y las cuchillas.</v>
      </c>
      <c r="J1249" s="213">
        <f>IFERROR(__xludf.DUMMYFUNCTION("""COMPUTED_VALUE"""),3.0)</f>
        <v>3</v>
      </c>
      <c r="K1249" s="213" t="str">
        <f>IFERROR(__xludf.DUMMYFUNCTION("""COMPUTED_VALUE"""),"170 DÍAS CALENDARIO")</f>
        <v>170 DÍAS CALENDARIO</v>
      </c>
      <c r="L1249" s="213" t="str">
        <f>IFERROR(__xludf.DUMMYFUNCTION("""COMPUTED_VALUE"""),"")</f>
        <v/>
      </c>
      <c r="M1249" s="213">
        <f>IFERROR(__xludf.DUMMYFUNCTION("""COMPUTED_VALUE"""),1.0)</f>
        <v>1</v>
      </c>
      <c r="N1249" s="213">
        <f>IFERROR(__xludf.DUMMYFUNCTION("""COMPUTED_VALUE"""),1.0)</f>
        <v>1</v>
      </c>
      <c r="O1249" s="213">
        <f>IFERROR(__xludf.DUMMYFUNCTION("""COMPUTED_VALUE"""),1.0)</f>
        <v>1</v>
      </c>
      <c r="P1249" s="213"/>
      <c r="Q1249" s="213"/>
      <c r="R1249" s="213"/>
      <c r="S1249" s="213" t="str">
        <f>IFERROR(__xludf.DUMMYFUNCTION("""COMPUTED_VALUE"""),"SI")</f>
        <v>SI</v>
      </c>
      <c r="T1249" s="213" t="str">
        <f>IFERROR(__xludf.DUMMYFUNCTION("""COMPUTED_VALUE"""),"SI")</f>
        <v>SI</v>
      </c>
      <c r="U1249" s="213" t="str">
        <f>IFERROR(__xludf.DUMMYFUNCTION("""COMPUTED_VALUE"""),"NO")</f>
        <v>NO</v>
      </c>
      <c r="V1249" s="213" t="str">
        <f>IFERROR(__xludf.DUMMYFUNCTION("""COMPUTED_VALUE"""),"SUSTENTO")</f>
        <v>SUSTENTO</v>
      </c>
      <c r="W1249" s="213" t="str">
        <f>IFERROR(__xludf.DUMMYFUNCTION("""COMPUTED_VALUE"""),"ELÉCTRICO")</f>
        <v>ELÉCTRICO</v>
      </c>
      <c r="X1249" s="213" t="str">
        <f>IFERROR(__xludf.DUMMYFUNCTION("""COMPUTED_VALUE"""),"TWOTHOUSAND MACHINERY")</f>
        <v>TWOTHOUSAND MACHINERY</v>
      </c>
      <c r="Y1249" s="213" t="str">
        <f>IFERROR(__xludf.DUMMYFUNCTION("""COMPUTED_VALUE"""),"TT-F60 (VC60MS)")</f>
        <v>TT-F60 (VC60MS)</v>
      </c>
      <c r="Z1249" s="215" t="str">
        <f>IFERROR(__xludf.DUMMYFUNCTION("""COMPUTED_VALUE"""),"https://www.twothousand.com/550w-stainless-steel-base-ce-commercial-vegetable-slicer-chopper-tt-f60-vc60ms/")</f>
        <v>https://www.twothousand.com/550w-stainless-steel-base-ce-commercial-vegetable-slicer-chopper-tt-f60-vc60ms/</v>
      </c>
      <c r="AA1249" s="213" t="str">
        <f>IFERROR(__xludf.DUMMYFUNCTION("""COMPUTED_VALUE"""),"ESP-222 MANDOLINA ELÉCTRICA PARA COCINA - CET")</f>
        <v>ESP-222 MANDOLINA ELÉCTRICA PARA COCINA - CET</v>
      </c>
      <c r="AB1249" s="213"/>
      <c r="AC1249" s="213"/>
      <c r="AD1249" s="213"/>
      <c r="AE1249" s="213"/>
      <c r="AF1249" s="213"/>
      <c r="AG1249" s="213"/>
      <c r="AH1249" s="213" t="str">
        <f>IFERROR(__xludf.DUMMYFUNCTION("""COMPUTED_VALUE"""),"IMPORTADO")</f>
        <v>IMPORTADO</v>
      </c>
      <c r="AI1249" s="213"/>
      <c r="AJ1249" s="213"/>
      <c r="AK1249" s="213"/>
      <c r="AL1249" s="213"/>
      <c r="AM1249" s="213"/>
      <c r="AN1249" s="213"/>
      <c r="AO1249" s="213"/>
      <c r="AP1249" s="213" t="str">
        <f>IFERROR(__xludf.DUMMYFUNCTION("""COMPUTED_VALUE"""),"JASON")</f>
        <v>JASON</v>
      </c>
      <c r="AQ1249" s="213"/>
      <c r="AR1249" s="213"/>
      <c r="AS1249" s="213" t="str">
        <f>IFERROR(__xludf.DUMMYFUNCTION("""COMPUTED_VALUE"""),"CUCHILLOS INTERCAMBIABLES (6 UND)
CONTENEDOR DE CUCHILLAS")</f>
        <v>CUCHILLOS INTERCAMBIABLES (6 UND)
CONTENEDOR DE CUCHILLAS</v>
      </c>
      <c r="AT1249" s="213"/>
      <c r="AU1249" s="213"/>
      <c r="AV1249" s="213"/>
      <c r="AW1249" s="213"/>
      <c r="AX1249" s="213"/>
      <c r="AY1249" s="213"/>
      <c r="AZ1249" s="213"/>
      <c r="BA1249" s="213"/>
      <c r="BB1249" s="213"/>
      <c r="BC1249" s="213"/>
      <c r="BD1249" s="213"/>
    </row>
    <row r="1250">
      <c r="A1250" s="213">
        <f>IFERROR(__xludf.DUMMYFUNCTION("""COMPUTED_VALUE"""),1115.0)</f>
        <v>1115</v>
      </c>
      <c r="B1250" s="213" t="str">
        <f>IFERROR(__xludf.DUMMYFUNCTION("""COMPUTED_VALUE"""),"FRANCISCO IRAZOLA")</f>
        <v>FRANCISCO IRAZOLA</v>
      </c>
      <c r="C1250" s="213" t="str">
        <f>IFERROR(__xludf.DUMMYFUNCTION("""COMPUTED_VALUE"""),"TALLER SFT DE INDUSTRIA ALIMENTARIA")</f>
        <v>TALLER SFT DE INDUSTRIA ALIMENTARIA</v>
      </c>
      <c r="D1250" s="213" t="str">
        <f>IFERROR(__xludf.DUMMYFUNCTION("""COMPUTED_VALUE"""),"HERRAMIENTAS")</f>
        <v>HERRAMIENTAS</v>
      </c>
      <c r="E1250" s="213" t="str">
        <f>IFERROR(__xludf.DUMMYFUNCTION("""COMPUTED_VALUE"""),"MAT-151")</f>
        <v>MAT-151</v>
      </c>
      <c r="F1250" s="213" t="str">
        <f>IFERROR(__xludf.DUMMYFUNCTION("""COMPUTED_VALUE"""),"MAT-151")</f>
        <v>MAT-151</v>
      </c>
      <c r="G1250" s="213"/>
      <c r="H1250" s="213" t="str">
        <f>IFERROR(__xludf.DUMMYFUNCTION("""COMPUTED_VALUE"""),"EMBUDO")</f>
        <v>EMBUDO</v>
      </c>
      <c r="I1250" s="213" t="str">
        <f>IFERROR(__xludf.DUMMYFUNCTION("""COMPUTED_VALUE"""),"· Material HDPE
· Medidas mínimas D31 mm X  H39mm")</f>
        <v>· Material HDPE
· Medidas mínimas D31 mm X  H39mm</v>
      </c>
      <c r="J1250" s="213">
        <f>IFERROR(__xludf.DUMMYFUNCTION("""COMPUTED_VALUE"""),3.0)</f>
        <v>3</v>
      </c>
      <c r="K1250" s="213" t="str">
        <f>IFERROR(__xludf.DUMMYFUNCTION("""COMPUTED_VALUE"""),"90 DÍAS CALENDARIO")</f>
        <v>90 DÍAS CALENDARIO</v>
      </c>
      <c r="L1250" s="213" t="str">
        <f>IFERROR(__xludf.DUMMYFUNCTION("""COMPUTED_VALUE"""),"")</f>
        <v/>
      </c>
      <c r="M1250" s="213">
        <f>IFERROR(__xludf.DUMMYFUNCTION("""COMPUTED_VALUE"""),1.0)</f>
        <v>1</v>
      </c>
      <c r="N1250" s="213">
        <f>IFERROR(__xludf.DUMMYFUNCTION("""COMPUTED_VALUE"""),5.0)</f>
        <v>5</v>
      </c>
      <c r="O1250" s="213">
        <f>IFERROR(__xludf.DUMMYFUNCTION("""COMPUTED_VALUE"""),5.0)</f>
        <v>5</v>
      </c>
      <c r="P1250" s="213"/>
      <c r="Q1250" s="213"/>
      <c r="R1250" s="213"/>
      <c r="S1250" s="213"/>
      <c r="T1250" s="213" t="str">
        <f>IFERROR(__xludf.DUMMYFUNCTION("""COMPUTED_VALUE"""),"NO")</f>
        <v>NO</v>
      </c>
      <c r="U1250" s="213" t="str">
        <f>IFERROR(__xludf.DUMMYFUNCTION("""COMPUTED_VALUE"""),"NO")</f>
        <v>NO</v>
      </c>
      <c r="V1250" s="213" t="str">
        <f>IFERROR(__xludf.DUMMYFUNCTION("""COMPUTED_VALUE"""),"-")</f>
        <v>-</v>
      </c>
      <c r="W1250" s="213" t="str">
        <f>IFERROR(__xludf.DUMMYFUNCTION("""COMPUTED_VALUE"""),"ERROR EETT")</f>
        <v>ERROR EETT</v>
      </c>
      <c r="X1250" s="213" t="str">
        <f>IFERROR(__xludf.DUMMYFUNCTION("""COMPUTED_VALUE"""),"DENIOS SL")</f>
        <v>DENIOS SL</v>
      </c>
      <c r="Y1250" s="213" t="str">
        <f>IFERROR(__xludf.DUMMYFUNCTION("""COMPUTED_VALUE"""),"145545W")</f>
        <v>145545W</v>
      </c>
      <c r="Z1250" s="215" t="str">
        <f>IFERROR(__xludf.DUMMYFUNCTION("""COMPUTED_VALUE"""),"https://drive.google.com/file/d/1HUhOmFIpgrCiXpq7Hkz-CdkKG7BMFfX8/view?ts=68eecd8d")</f>
        <v>https://drive.google.com/file/d/1HUhOmFIpgrCiXpq7Hkz-CdkKG7BMFfX8/view?ts=68eecd8d</v>
      </c>
      <c r="AA1250" s="213" t="str">
        <f>IFERROR(__xludf.DUMMYFUNCTION("""COMPUTED_VALUE"""),"MAT-151 EMBUDO - CET")</f>
        <v>MAT-151 EMBUDO - CET</v>
      </c>
      <c r="AB1250" s="213"/>
      <c r="AC1250" s="213"/>
      <c r="AD1250" s="213"/>
      <c r="AE1250" s="213"/>
      <c r="AF1250" s="213"/>
      <c r="AG1250" s="213"/>
      <c r="AH1250" s="213"/>
      <c r="AI1250" s="213"/>
      <c r="AJ1250" s="213"/>
      <c r="AK1250" s="213"/>
      <c r="AL1250" s="213"/>
      <c r="AM1250" s="213"/>
      <c r="AN1250" s="213"/>
      <c r="AO1250" s="213"/>
      <c r="AP1250" s="213" t="str">
        <f>IFERROR(__xludf.DUMMYFUNCTION("""COMPUTED_VALUE"""),"BRUNO")</f>
        <v>BRUNO</v>
      </c>
      <c r="AQ1250" s="213" t="str">
        <f>IFERROR(__xludf.DUMMYFUNCTION("""COMPUTED_VALUE"""),"piden 3,9 cm de altura total del embudo? verificar medida")</f>
        <v>piden 3,9 cm de altura total del embudo? verificar medida</v>
      </c>
      <c r="AR1250" s="213"/>
      <c r="AS1250" s="213"/>
      <c r="AT1250" s="213"/>
      <c r="AU1250" s="213"/>
      <c r="AV1250" s="213"/>
      <c r="AW1250" s="213"/>
      <c r="AX1250" s="213"/>
      <c r="AY1250" s="213"/>
      <c r="AZ1250" s="213"/>
      <c r="BA1250" s="213"/>
      <c r="BB1250" s="213"/>
      <c r="BC1250" s="213"/>
      <c r="BD1250" s="213"/>
    </row>
    <row r="1251">
      <c r="A1251" s="213">
        <f>IFERROR(__xludf.DUMMYFUNCTION("""COMPUTED_VALUE"""),1387.0)</f>
        <v>1387</v>
      </c>
      <c r="B1251" s="213" t="str">
        <f>IFERROR(__xludf.DUMMYFUNCTION("""COMPUTED_VALUE"""),"GUILLERMO E. BILLINGHURST ")</f>
        <v>GUILLERMO E. BILLINGHURST </v>
      </c>
      <c r="C1251" s="213" t="str">
        <f>IFERROR(__xludf.DUMMYFUNCTION("""COMPUTED_VALUE"""),"TALLER SFT DE INDUSTRIA ALIMENTARIA")</f>
        <v>TALLER SFT DE INDUSTRIA ALIMENTARIA</v>
      </c>
      <c r="D1251" s="213" t="str">
        <f>IFERROR(__xludf.DUMMYFUNCTION("""COMPUTED_VALUE"""),"HERRAMIENTAS")</f>
        <v>HERRAMIENTAS</v>
      </c>
      <c r="E1251" s="213" t="str">
        <f>IFERROR(__xludf.DUMMYFUNCTION("""COMPUTED_VALUE"""),"MAT-151")</f>
        <v>MAT-151</v>
      </c>
      <c r="F1251" s="213" t="str">
        <f>IFERROR(__xludf.DUMMYFUNCTION("""COMPUTED_VALUE"""),"MAT-151")</f>
        <v>MAT-151</v>
      </c>
      <c r="G1251" s="213"/>
      <c r="H1251" s="213" t="str">
        <f>IFERROR(__xludf.DUMMYFUNCTION("""COMPUTED_VALUE"""),"EMBUDO")</f>
        <v>EMBUDO</v>
      </c>
      <c r="I1251" s="213" t="str">
        <f>IFERROR(__xludf.DUMMYFUNCTION("""COMPUTED_VALUE"""),"· Material HDPE
· Medidas mínimas D31 mm X  H39mm")</f>
        <v>· Material HDPE
· Medidas mínimas D31 mm X  H39mm</v>
      </c>
      <c r="J1251" s="213">
        <f>IFERROR(__xludf.DUMMYFUNCTION("""COMPUTED_VALUE"""),3.0)</f>
        <v>3</v>
      </c>
      <c r="K1251" s="213" t="str">
        <f>IFERROR(__xludf.DUMMYFUNCTION("""COMPUTED_VALUE"""),"90 DÍAS CALENDARIO")</f>
        <v>90 DÍAS CALENDARIO</v>
      </c>
      <c r="L1251" s="213" t="str">
        <f>IFERROR(__xludf.DUMMYFUNCTION("""COMPUTED_VALUE"""),"")</f>
        <v/>
      </c>
      <c r="M1251" s="213">
        <f>IFERROR(__xludf.DUMMYFUNCTION("""COMPUTED_VALUE"""),1.0)</f>
        <v>1</v>
      </c>
      <c r="N1251" s="213">
        <f>IFERROR(__xludf.DUMMYFUNCTION("""COMPUTED_VALUE"""),5.0)</f>
        <v>5</v>
      </c>
      <c r="O1251" s="213">
        <f>IFERROR(__xludf.DUMMYFUNCTION("""COMPUTED_VALUE"""),5.0)</f>
        <v>5</v>
      </c>
      <c r="P1251" s="213"/>
      <c r="Q1251" s="213"/>
      <c r="R1251" s="213"/>
      <c r="S1251" s="213"/>
      <c r="T1251" s="213" t="str">
        <f>IFERROR(__xludf.DUMMYFUNCTION("""COMPUTED_VALUE"""),"NO")</f>
        <v>NO</v>
      </c>
      <c r="U1251" s="213" t="str">
        <f>IFERROR(__xludf.DUMMYFUNCTION("""COMPUTED_VALUE"""),"NO")</f>
        <v>NO</v>
      </c>
      <c r="V1251" s="213" t="str">
        <f>IFERROR(__xludf.DUMMYFUNCTION("""COMPUTED_VALUE"""),"-")</f>
        <v>-</v>
      </c>
      <c r="W1251" s="213" t="str">
        <f>IFERROR(__xludf.DUMMYFUNCTION("""COMPUTED_VALUE"""),"ERROR EETT")</f>
        <v>ERROR EETT</v>
      </c>
      <c r="X1251" s="213" t="str">
        <f>IFERROR(__xludf.DUMMYFUNCTION("""COMPUTED_VALUE"""),"DENIOS SL")</f>
        <v>DENIOS SL</v>
      </c>
      <c r="Y1251" s="213" t="str">
        <f>IFERROR(__xludf.DUMMYFUNCTION("""COMPUTED_VALUE"""),"145545W")</f>
        <v>145545W</v>
      </c>
      <c r="Z1251" s="215" t="str">
        <f>IFERROR(__xludf.DUMMYFUNCTION("""COMPUTED_VALUE"""),"https://drive.google.com/file/d/1HUhOmFIpgrCiXpq7Hkz-CdkKG7BMFfX8/view?ts=68eecd8d")</f>
        <v>https://drive.google.com/file/d/1HUhOmFIpgrCiXpq7Hkz-CdkKG7BMFfX8/view?ts=68eecd8d</v>
      </c>
      <c r="AA1251" s="213" t="str">
        <f>IFERROR(__xludf.DUMMYFUNCTION("""COMPUTED_VALUE"""),"MAT-151 EMBUDO - CET")</f>
        <v>MAT-151 EMBUDO - CET</v>
      </c>
      <c r="AB1251" s="213"/>
      <c r="AC1251" s="213"/>
      <c r="AD1251" s="213"/>
      <c r="AE1251" s="213"/>
      <c r="AF1251" s="213"/>
      <c r="AG1251" s="213"/>
      <c r="AH1251" s="213"/>
      <c r="AI1251" s="213"/>
      <c r="AJ1251" s="213"/>
      <c r="AK1251" s="213"/>
      <c r="AL1251" s="213"/>
      <c r="AM1251" s="213"/>
      <c r="AN1251" s="213"/>
      <c r="AO1251" s="213"/>
      <c r="AP1251" s="213" t="str">
        <f>IFERROR(__xludf.DUMMYFUNCTION("""COMPUTED_VALUE"""),"BRUNO")</f>
        <v>BRUNO</v>
      </c>
      <c r="AQ1251" s="213" t="str">
        <f>IFERROR(__xludf.DUMMYFUNCTION("""COMPUTED_VALUE"""),"piden 3,9 cm de altura total del embudo? verificar medida")</f>
        <v>piden 3,9 cm de altura total del embudo? verificar medida</v>
      </c>
      <c r="AR1251" s="213"/>
      <c r="AS1251" s="213"/>
      <c r="AT1251" s="213"/>
      <c r="AU1251" s="213"/>
      <c r="AV1251" s="213"/>
      <c r="AW1251" s="213"/>
      <c r="AX1251" s="213"/>
      <c r="AY1251" s="213"/>
      <c r="AZ1251" s="213"/>
      <c r="BA1251" s="213"/>
      <c r="BB1251" s="213"/>
      <c r="BC1251" s="213"/>
      <c r="BD1251" s="213"/>
    </row>
    <row r="1252">
      <c r="A1252" s="213">
        <f>IFERROR(__xludf.DUMMYFUNCTION("""COMPUTED_VALUE"""),2074.0)</f>
        <v>2074</v>
      </c>
      <c r="B1252" s="213" t="str">
        <f>IFERROR(__xludf.DUMMYFUNCTION("""COMPUTED_VALUE"""),"JOSE GRANDA")</f>
        <v>JOSE GRANDA</v>
      </c>
      <c r="C1252" s="213" t="str">
        <f>IFERROR(__xludf.DUMMYFUNCTION("""COMPUTED_VALUE"""),"TALLER SFT DE INDUSTRIA ALIMENTARIA")</f>
        <v>TALLER SFT DE INDUSTRIA ALIMENTARIA</v>
      </c>
      <c r="D1252" s="213" t="str">
        <f>IFERROR(__xludf.DUMMYFUNCTION("""COMPUTED_VALUE"""),"HERRAMIENTAS")</f>
        <v>HERRAMIENTAS</v>
      </c>
      <c r="E1252" s="213" t="str">
        <f>IFERROR(__xludf.DUMMYFUNCTION("""COMPUTED_VALUE"""),"MAT-151")</f>
        <v>MAT-151</v>
      </c>
      <c r="F1252" s="213" t="str">
        <f>IFERROR(__xludf.DUMMYFUNCTION("""COMPUTED_VALUE"""),"MAT-151")</f>
        <v>MAT-151</v>
      </c>
      <c r="G1252" s="213"/>
      <c r="H1252" s="213" t="str">
        <f>IFERROR(__xludf.DUMMYFUNCTION("""COMPUTED_VALUE"""),"EMBUDO")</f>
        <v>EMBUDO</v>
      </c>
      <c r="I1252" s="213" t="str">
        <f>IFERROR(__xludf.DUMMYFUNCTION("""COMPUTED_VALUE"""),"· Material HDPE
· Medidas mínimas D31 mm X  H39mm")</f>
        <v>· Material HDPE
· Medidas mínimas D31 mm X  H39mm</v>
      </c>
      <c r="J1252" s="213">
        <f>IFERROR(__xludf.DUMMYFUNCTION("""COMPUTED_VALUE"""),3.0)</f>
        <v>3</v>
      </c>
      <c r="K1252" s="213" t="str">
        <f>IFERROR(__xludf.DUMMYFUNCTION("""COMPUTED_VALUE"""),"90 DÍAS CALENDARIO")</f>
        <v>90 DÍAS CALENDARIO</v>
      </c>
      <c r="L1252" s="213" t="str">
        <f>IFERROR(__xludf.DUMMYFUNCTION("""COMPUTED_VALUE"""),"")</f>
        <v/>
      </c>
      <c r="M1252" s="213">
        <f>IFERROR(__xludf.DUMMYFUNCTION("""COMPUTED_VALUE"""),1.0)</f>
        <v>1</v>
      </c>
      <c r="N1252" s="213">
        <f>IFERROR(__xludf.DUMMYFUNCTION("""COMPUTED_VALUE"""),5.0)</f>
        <v>5</v>
      </c>
      <c r="O1252" s="213">
        <f>IFERROR(__xludf.DUMMYFUNCTION("""COMPUTED_VALUE"""),5.0)</f>
        <v>5</v>
      </c>
      <c r="P1252" s="213"/>
      <c r="Q1252" s="213"/>
      <c r="R1252" s="213"/>
      <c r="S1252" s="213"/>
      <c r="T1252" s="213" t="str">
        <f>IFERROR(__xludf.DUMMYFUNCTION("""COMPUTED_VALUE"""),"NO")</f>
        <v>NO</v>
      </c>
      <c r="U1252" s="213" t="str">
        <f>IFERROR(__xludf.DUMMYFUNCTION("""COMPUTED_VALUE"""),"NO")</f>
        <v>NO</v>
      </c>
      <c r="V1252" s="213" t="str">
        <f>IFERROR(__xludf.DUMMYFUNCTION("""COMPUTED_VALUE"""),"-")</f>
        <v>-</v>
      </c>
      <c r="W1252" s="213" t="str">
        <f>IFERROR(__xludf.DUMMYFUNCTION("""COMPUTED_VALUE"""),"ERROR EETT")</f>
        <v>ERROR EETT</v>
      </c>
      <c r="X1252" s="213" t="str">
        <f>IFERROR(__xludf.DUMMYFUNCTION("""COMPUTED_VALUE"""),"DENIOS SL")</f>
        <v>DENIOS SL</v>
      </c>
      <c r="Y1252" s="213" t="str">
        <f>IFERROR(__xludf.DUMMYFUNCTION("""COMPUTED_VALUE"""),"145545W")</f>
        <v>145545W</v>
      </c>
      <c r="Z1252" s="215" t="str">
        <f>IFERROR(__xludf.DUMMYFUNCTION("""COMPUTED_VALUE"""),"https://drive.google.com/file/d/1HUhOmFIpgrCiXpq7Hkz-CdkKG7BMFfX8/view?ts=68eecd8d")</f>
        <v>https://drive.google.com/file/d/1HUhOmFIpgrCiXpq7Hkz-CdkKG7BMFfX8/view?ts=68eecd8d</v>
      </c>
      <c r="AA1252" s="213" t="str">
        <f>IFERROR(__xludf.DUMMYFUNCTION("""COMPUTED_VALUE"""),"MAT-151 EMBUDO - CET")</f>
        <v>MAT-151 EMBUDO - CET</v>
      </c>
      <c r="AB1252" s="213"/>
      <c r="AC1252" s="213"/>
      <c r="AD1252" s="213"/>
      <c r="AE1252" s="213"/>
      <c r="AF1252" s="213"/>
      <c r="AG1252" s="213"/>
      <c r="AH1252" s="213"/>
      <c r="AI1252" s="213"/>
      <c r="AJ1252" s="213"/>
      <c r="AK1252" s="213"/>
      <c r="AL1252" s="213"/>
      <c r="AM1252" s="213"/>
      <c r="AN1252" s="213"/>
      <c r="AO1252" s="213"/>
      <c r="AP1252" s="213" t="str">
        <f>IFERROR(__xludf.DUMMYFUNCTION("""COMPUTED_VALUE"""),"BRUNO")</f>
        <v>BRUNO</v>
      </c>
      <c r="AQ1252" s="213" t="str">
        <f>IFERROR(__xludf.DUMMYFUNCTION("""COMPUTED_VALUE"""),"piden 3,9 cm de altura total del embudo? verificar medida")</f>
        <v>piden 3,9 cm de altura total del embudo? verificar medida</v>
      </c>
      <c r="AR1252" s="213"/>
      <c r="AS1252" s="213"/>
      <c r="AT1252" s="213"/>
      <c r="AU1252" s="213"/>
      <c r="AV1252" s="213"/>
      <c r="AW1252" s="213"/>
      <c r="AX1252" s="213"/>
      <c r="AY1252" s="213"/>
      <c r="AZ1252" s="213"/>
      <c r="BA1252" s="213"/>
      <c r="BB1252" s="213"/>
      <c r="BC1252" s="213"/>
      <c r="BD1252" s="213"/>
    </row>
    <row r="1253">
      <c r="A1253" s="213">
        <f>IFERROR(__xludf.DUMMYFUNCTION("""COMPUTED_VALUE"""),931.0)</f>
        <v>931</v>
      </c>
      <c r="B1253" s="213" t="str">
        <f>IFERROR(__xludf.DUMMYFUNCTION("""COMPUTED_VALUE"""),"FRANCISCO IRAZOLA")</f>
        <v>FRANCISCO IRAZOLA</v>
      </c>
      <c r="C1253" s="213" t="str">
        <f>IFERROR(__xludf.DUMMYFUNCTION("""COMPUTED_VALUE"""),"TALLER SFT DE MECÁNICA AUTOMOTRIZ")</f>
        <v>TALLER SFT DE MECÁNICA AUTOMOTRIZ</v>
      </c>
      <c r="D1253" s="213" t="str">
        <f>IFERROR(__xludf.DUMMYFUNCTION("""COMPUTED_VALUE"""),"HERRAMIENTAS")</f>
        <v>HERRAMIENTAS</v>
      </c>
      <c r="E1253" s="213" t="str">
        <f>IFERROR(__xludf.DUMMYFUNCTION("""COMPUTED_VALUE"""),"MAT-152")</f>
        <v>MAT-152</v>
      </c>
      <c r="F1253" s="213" t="str">
        <f>IFERROR(__xludf.DUMMYFUNCTION("""COMPUTED_VALUE"""),"MAT-152")</f>
        <v>MAT-152</v>
      </c>
      <c r="G1253" s="213"/>
      <c r="H1253" s="213" t="str">
        <f>IFERROR(__xludf.DUMMYFUNCTION("""COMPUTED_VALUE"""),"ESCARPINES")</f>
        <v>ESCARPINES</v>
      </c>
      <c r="I1253" s="213" t="str">
        <f>IFERROR(__xludf.DUMMYFUNCTION("""COMPUTED_VALUE"""),"Brinda efectiva protección a los zapatos y esta a los pies durante los proceso de soldadura y tareas relacionados.
Cumplen la normativa EN 11611 Fabricado de carnaza de cuero al cromo.
Costuras dobles con hilo resistente al calor.
Correa de cuero laqueado"&amp;" fijadas con doble remache Espesor minimo de 1.4 mm
Hebilla de ajuste de acero en la planta del pie, taco y pierna. Talla: Unitalla")</f>
        <v>Brinda efectiva protección a los zapatos y esta a los pies durante los proceso de soldadura y tareas relacionados.
Cumplen la normativa EN 11611 Fabricado de carnaza de cuero al cromo.
Costuras dobles con hilo resistente al calor.
Correa de cuero laqueado fijadas con doble remache Espesor minimo de 1.4 mm
Hebilla de ajuste de acero en la planta del pie, taco y pierna. Talla: Unitalla</v>
      </c>
      <c r="J1253" s="213">
        <f>IFERROR(__xludf.DUMMYFUNCTION("""COMPUTED_VALUE"""),3.0)</f>
        <v>3</v>
      </c>
      <c r="K1253" s="213" t="str">
        <f>IFERROR(__xludf.DUMMYFUNCTION("""COMPUTED_VALUE"""),"90 DÍAS CALENDARIO")</f>
        <v>90 DÍAS CALENDARIO</v>
      </c>
      <c r="L1253" s="213" t="str">
        <f>IFERROR(__xludf.DUMMYFUNCTION("""COMPUTED_VALUE"""),"")</f>
        <v/>
      </c>
      <c r="M1253" s="213">
        <f>IFERROR(__xludf.DUMMYFUNCTION("""COMPUTED_VALUE"""),1.0)</f>
        <v>1</v>
      </c>
      <c r="N1253" s="213">
        <f>IFERROR(__xludf.DUMMYFUNCTION("""COMPUTED_VALUE"""),21.0)</f>
        <v>21</v>
      </c>
      <c r="O1253" s="213">
        <f>IFERROR(__xludf.DUMMYFUNCTION("""COMPUTED_VALUE"""),21.0)</f>
        <v>21</v>
      </c>
      <c r="P1253" s="213"/>
      <c r="Q1253" s="213"/>
      <c r="R1253" s="213"/>
      <c r="S1253" s="213"/>
      <c r="T1253" s="213" t="str">
        <f>IFERROR(__xludf.DUMMYFUNCTION("""COMPUTED_VALUE"""),"CONSULTA FINAL")</f>
        <v>CONSULTA FINAL</v>
      </c>
      <c r="U1253" s="213" t="str">
        <f>IFERROR(__xludf.DUMMYFUNCTION("""COMPUTED_VALUE"""),"NO")</f>
        <v>NO</v>
      </c>
      <c r="V1253" s="213" t="str">
        <f>IFERROR(__xludf.DUMMYFUNCTION("""COMPUTED_VALUE"""),"SUSTENTO")</f>
        <v>SUSTENTO</v>
      </c>
      <c r="W1253" s="213" t="str">
        <f>IFERROR(__xludf.DUMMYFUNCTION("""COMPUTED_VALUE"""),"EQU TEC")</f>
        <v>EQU TEC</v>
      </c>
      <c r="X1253" s="213" t="str">
        <f>IFERROR(__xludf.DUMMYFUNCTION("""COMPUTED_VALUE"""),"Niko Industrial")</f>
        <v>Niko Industrial</v>
      </c>
      <c r="Y1253" s="213">
        <f>IFERROR(__xludf.DUMMYFUNCTION("""COMPUTED_VALUE"""),8193.0)</f>
        <v>8193</v>
      </c>
      <c r="Z1253" s="215" t="str">
        <f>IFERROR(__xludf.DUMMYFUNCTION("""COMPUTED_VALUE"""),"https://niko.pe/producto/escarpines-de-cuero-cromo/?srsltid=AfmBOor6SnYFvO4h3RmCC_HDwDSs-jj1-BZ04vIT7SEqNGb2MT72UODv")</f>
        <v>https://niko.pe/producto/escarpines-de-cuero-cromo/?srsltid=AfmBOor6SnYFvO4h3RmCC_HDwDSs-jj1-BZ04vIT7SEqNGb2MT72UODv</v>
      </c>
      <c r="AA1253" s="213" t="str">
        <f>IFERROR(__xludf.DUMMYFUNCTION("""COMPUTED_VALUE"""),"MAT-152 ESCARPINES - CET")</f>
        <v>MAT-152 ESCARPINES - CET</v>
      </c>
      <c r="AB1253" s="213"/>
      <c r="AC1253" s="213"/>
      <c r="AD1253" s="213"/>
      <c r="AE1253" s="213"/>
      <c r="AF1253" s="213"/>
      <c r="AG1253" s="213"/>
      <c r="AH1253" s="213"/>
      <c r="AI1253" s="213"/>
      <c r="AJ1253" s="213"/>
      <c r="AK1253" s="213"/>
      <c r="AL1253" s="213"/>
      <c r="AM1253" s="213"/>
      <c r="AN1253" s="213"/>
      <c r="AO1253" s="213"/>
      <c r="AP1253" s="213" t="str">
        <f>IFERROR(__xludf.DUMMYFUNCTION("""COMPUTED_VALUE"""),"SEBASTIAN")</f>
        <v>SEBASTIAN</v>
      </c>
      <c r="AQ1253" s="213"/>
      <c r="AR1253" s="213"/>
      <c r="AS1253" s="213" t="str">
        <f>IFERROR(__xludf.DUMMYFUNCTION("""COMPUTED_VALUE"""),"No necesariamente cumple con todo lo solcitado. Se puede conseguir en fabricación nacional en https://grupocasalima.com/producto/escarpin-cuero-cromo-nacional/ . FT en https://www.indusegur.com.pe/producto/escarpin-de-cuero-cromo/")</f>
        <v>No necesariamente cumple con todo lo solcitado. Se puede conseguir en fabricación nacional en https://grupocasalima.com/producto/escarpin-cuero-cromo-nacional/ . FT en https://www.indusegur.com.pe/producto/escarpin-de-cuero-cromo/</v>
      </c>
      <c r="AT1253" s="213"/>
      <c r="AU1253" s="213"/>
      <c r="AV1253" s="213"/>
      <c r="AW1253" s="213"/>
      <c r="AX1253" s="213"/>
      <c r="AY1253" s="213"/>
      <c r="AZ1253" s="213"/>
      <c r="BA1253" s="213"/>
      <c r="BB1253" s="213"/>
      <c r="BC1253" s="213"/>
      <c r="BD1253" s="213"/>
    </row>
    <row r="1254">
      <c r="A1254" s="213">
        <f>IFERROR(__xludf.DUMMYFUNCTION("""COMPUTED_VALUE"""),1532.0)</f>
        <v>1532</v>
      </c>
      <c r="B1254" s="213" t="str">
        <f>IFERROR(__xludf.DUMMYFUNCTION("""COMPUTED_VALUE"""),"GUILLERMO E. BILLINGHURST ")</f>
        <v>GUILLERMO E. BILLINGHURST </v>
      </c>
      <c r="C1254" s="213" t="str">
        <f>IFERROR(__xludf.DUMMYFUNCTION("""COMPUTED_VALUE"""),"TALLER SFT DE MECÁNICA AUTOMOTRIZ")</f>
        <v>TALLER SFT DE MECÁNICA AUTOMOTRIZ</v>
      </c>
      <c r="D1254" s="213" t="str">
        <f>IFERROR(__xludf.DUMMYFUNCTION("""COMPUTED_VALUE"""),"HERRAMIENTAS")</f>
        <v>HERRAMIENTAS</v>
      </c>
      <c r="E1254" s="213" t="str">
        <f>IFERROR(__xludf.DUMMYFUNCTION("""COMPUTED_VALUE"""),"MAT-152")</f>
        <v>MAT-152</v>
      </c>
      <c r="F1254" s="213" t="str">
        <f>IFERROR(__xludf.DUMMYFUNCTION("""COMPUTED_VALUE"""),"MAT-152")</f>
        <v>MAT-152</v>
      </c>
      <c r="G1254" s="213"/>
      <c r="H1254" s="213" t="str">
        <f>IFERROR(__xludf.DUMMYFUNCTION("""COMPUTED_VALUE"""),"ESCARPINES")</f>
        <v>ESCARPINES</v>
      </c>
      <c r="I1254" s="213" t="str">
        <f>IFERROR(__xludf.DUMMYFUNCTION("""COMPUTED_VALUE"""),"Brinda efectiva protección a los zapatos y esta a los pies durante los proceso de soldadura y tareas relacionados.
Cumplen la normativa EN 11611 Fabricado de carnaza de cuero al cromo.
Costuras dobles con hilo resistente al calor.
Correa de cuero laqueado"&amp;" fijadas con doble remache Espesor minimo de 1.4 mm
Hebilla de ajuste de acero en la planta del pie, taco y pierna. Talla: Unitalla")</f>
        <v>Brinda efectiva protección a los zapatos y esta a los pies durante los proceso de soldadura y tareas relacionados.
Cumplen la normativa EN 11611 Fabricado de carnaza de cuero al cromo.
Costuras dobles con hilo resistente al calor.
Correa de cuero laqueado fijadas con doble remache Espesor minimo de 1.4 mm
Hebilla de ajuste de acero en la planta del pie, taco y pierna. Talla: Unitalla</v>
      </c>
      <c r="J1254" s="213">
        <f>IFERROR(__xludf.DUMMYFUNCTION("""COMPUTED_VALUE"""),3.0)</f>
        <v>3</v>
      </c>
      <c r="K1254" s="213" t="str">
        <f>IFERROR(__xludf.DUMMYFUNCTION("""COMPUTED_VALUE"""),"90 DÍAS CALENDARIO")</f>
        <v>90 DÍAS CALENDARIO</v>
      </c>
      <c r="L1254" s="213" t="str">
        <f>IFERROR(__xludf.DUMMYFUNCTION("""COMPUTED_VALUE"""),"")</f>
        <v/>
      </c>
      <c r="M1254" s="213">
        <f>IFERROR(__xludf.DUMMYFUNCTION("""COMPUTED_VALUE"""),1.0)</f>
        <v>1</v>
      </c>
      <c r="N1254" s="213">
        <f>IFERROR(__xludf.DUMMYFUNCTION("""COMPUTED_VALUE"""),21.0)</f>
        <v>21</v>
      </c>
      <c r="O1254" s="213">
        <f>IFERROR(__xludf.DUMMYFUNCTION("""COMPUTED_VALUE"""),21.0)</f>
        <v>21</v>
      </c>
      <c r="P1254" s="213"/>
      <c r="Q1254" s="213"/>
      <c r="R1254" s="213"/>
      <c r="S1254" s="213"/>
      <c r="T1254" s="213" t="str">
        <f>IFERROR(__xludf.DUMMYFUNCTION("""COMPUTED_VALUE"""),"CONSULTA FINAL")</f>
        <v>CONSULTA FINAL</v>
      </c>
      <c r="U1254" s="213" t="str">
        <f>IFERROR(__xludf.DUMMYFUNCTION("""COMPUTED_VALUE"""),"NO")</f>
        <v>NO</v>
      </c>
      <c r="V1254" s="213" t="str">
        <f>IFERROR(__xludf.DUMMYFUNCTION("""COMPUTED_VALUE"""),"SUSTENTO")</f>
        <v>SUSTENTO</v>
      </c>
      <c r="W1254" s="213" t="str">
        <f>IFERROR(__xludf.DUMMYFUNCTION("""COMPUTED_VALUE"""),"EQU TEC")</f>
        <v>EQU TEC</v>
      </c>
      <c r="X1254" s="213" t="str">
        <f>IFERROR(__xludf.DUMMYFUNCTION("""COMPUTED_VALUE"""),"Niko Industrial")</f>
        <v>Niko Industrial</v>
      </c>
      <c r="Y1254" s="213">
        <f>IFERROR(__xludf.DUMMYFUNCTION("""COMPUTED_VALUE"""),8193.0)</f>
        <v>8193</v>
      </c>
      <c r="Z1254" s="215" t="str">
        <f>IFERROR(__xludf.DUMMYFUNCTION("""COMPUTED_VALUE"""),"https://niko.pe/producto/escarpines-de-cuero-cromo/?srsltid=AfmBOor6SnYFvO4h3RmCC_HDwDSs-jj1-BZ04vIT7SEqNGb2MT72UODv")</f>
        <v>https://niko.pe/producto/escarpines-de-cuero-cromo/?srsltid=AfmBOor6SnYFvO4h3RmCC_HDwDSs-jj1-BZ04vIT7SEqNGb2MT72UODv</v>
      </c>
      <c r="AA1254" s="215" t="str">
        <f>IFERROR(__xludf.DUMMYFUNCTION("""COMPUTED_VALUE"""),"https://docs.google.com/spreadsheets/d/1gBECIU4fEOXz0PLULtMRNokcx6tnWYchzkFxJYEi4oo/edit?gid=0#gid=1")</f>
        <v>https://docs.google.com/spreadsheets/d/1gBECIU4fEOXz0PLULtMRNokcx6tnWYchzkFxJYEi4oo/edit?gid=0#gid=1</v>
      </c>
      <c r="AB1254" s="213"/>
      <c r="AC1254" s="213"/>
      <c r="AD1254" s="213"/>
      <c r="AE1254" s="213"/>
      <c r="AF1254" s="213"/>
      <c r="AG1254" s="213"/>
      <c r="AH1254" s="213"/>
      <c r="AI1254" s="213"/>
      <c r="AJ1254" s="213"/>
      <c r="AK1254" s="213"/>
      <c r="AL1254" s="213"/>
      <c r="AM1254" s="213"/>
      <c r="AN1254" s="213"/>
      <c r="AO1254" s="213"/>
      <c r="AP1254" s="213" t="str">
        <f>IFERROR(__xludf.DUMMYFUNCTION("""COMPUTED_VALUE"""),"SEBASTIAN")</f>
        <v>SEBASTIAN</v>
      </c>
      <c r="AQ1254" s="213"/>
      <c r="AR1254" s="213"/>
      <c r="AS1254" s="213" t="str">
        <f>IFERROR(__xludf.DUMMYFUNCTION("""COMPUTED_VALUE"""),"No necesariamente cumple con todo lo solcitado. Se puede conseguir en fabricación nacional en https://grupocasalima.com/producto/escarpin-cuero-cromo-nacional/ . FT en https://www.indusegur.com.pe/producto/escarpin-de-cuero-cromo/")</f>
        <v>No necesariamente cumple con todo lo solcitado. Se puede conseguir en fabricación nacional en https://grupocasalima.com/producto/escarpin-cuero-cromo-nacional/ . FT en https://www.indusegur.com.pe/producto/escarpin-de-cuero-cromo/</v>
      </c>
      <c r="AT1254" s="213"/>
      <c r="AU1254" s="213"/>
      <c r="AV1254" s="213"/>
      <c r="AW1254" s="213"/>
      <c r="AX1254" s="213"/>
      <c r="AY1254" s="213"/>
      <c r="AZ1254" s="213"/>
      <c r="BA1254" s="213"/>
      <c r="BB1254" s="213"/>
      <c r="BC1254" s="213"/>
      <c r="BD1254" s="213"/>
    </row>
    <row r="1255">
      <c r="A1255" s="213">
        <f>IFERROR(__xludf.DUMMYFUNCTION("""COMPUTED_VALUE"""),2224.0)</f>
        <v>2224</v>
      </c>
      <c r="B1255" s="213" t="str">
        <f>IFERROR(__xludf.DUMMYFUNCTION("""COMPUTED_VALUE"""),"JOSE GRANDA")</f>
        <v>JOSE GRANDA</v>
      </c>
      <c r="C1255" s="213" t="str">
        <f>IFERROR(__xludf.DUMMYFUNCTION("""COMPUTED_VALUE"""),"TALLER SFT DE MECÁNICA AUTOMOTRIZ")</f>
        <v>TALLER SFT DE MECÁNICA AUTOMOTRIZ</v>
      </c>
      <c r="D1255" s="213" t="str">
        <f>IFERROR(__xludf.DUMMYFUNCTION("""COMPUTED_VALUE"""),"HERRAMIENTAS")</f>
        <v>HERRAMIENTAS</v>
      </c>
      <c r="E1255" s="213" t="str">
        <f>IFERROR(__xludf.DUMMYFUNCTION("""COMPUTED_VALUE"""),"MAT-152")</f>
        <v>MAT-152</v>
      </c>
      <c r="F1255" s="213" t="str">
        <f>IFERROR(__xludf.DUMMYFUNCTION("""COMPUTED_VALUE"""),"MAT-152")</f>
        <v>MAT-152</v>
      </c>
      <c r="G1255" s="213"/>
      <c r="H1255" s="213" t="str">
        <f>IFERROR(__xludf.DUMMYFUNCTION("""COMPUTED_VALUE"""),"ESCARPINES")</f>
        <v>ESCARPINES</v>
      </c>
      <c r="I1255" s="213" t="str">
        <f>IFERROR(__xludf.DUMMYFUNCTION("""COMPUTED_VALUE"""),"Brinda efectiva protección a los zapatos y esta a los pies durante los proceso de soldadura y tareas relacionados.
Cumplen la normativa EN 11611 Fabricado de carnaza de cuero al cromo.
Costuras dobles con hilo resistente al calor.
Correa de cuero laqueado"&amp;" fijadas con doble remache Espesor minimo de 1.4 mm
Hebilla de ajuste de acero en la planta del pie, taco y pierna. Talla: Unitalla")</f>
        <v>Brinda efectiva protección a los zapatos y esta a los pies durante los proceso de soldadura y tareas relacionados.
Cumplen la normativa EN 11611 Fabricado de carnaza de cuero al cromo.
Costuras dobles con hilo resistente al calor.
Correa de cuero laqueado fijadas con doble remache Espesor minimo de 1.4 mm
Hebilla de ajuste de acero en la planta del pie, taco y pierna. Talla: Unitalla</v>
      </c>
      <c r="J1255" s="213">
        <f>IFERROR(__xludf.DUMMYFUNCTION("""COMPUTED_VALUE"""),3.0)</f>
        <v>3</v>
      </c>
      <c r="K1255" s="213" t="str">
        <f>IFERROR(__xludf.DUMMYFUNCTION("""COMPUTED_VALUE"""),"90 DÍAS CALENDARIO")</f>
        <v>90 DÍAS CALENDARIO</v>
      </c>
      <c r="L1255" s="213" t="str">
        <f>IFERROR(__xludf.DUMMYFUNCTION("""COMPUTED_VALUE"""),"")</f>
        <v/>
      </c>
      <c r="M1255" s="213">
        <f>IFERROR(__xludf.DUMMYFUNCTION("""COMPUTED_VALUE"""),1.0)</f>
        <v>1</v>
      </c>
      <c r="N1255" s="213">
        <f>IFERROR(__xludf.DUMMYFUNCTION("""COMPUTED_VALUE"""),21.0)</f>
        <v>21</v>
      </c>
      <c r="O1255" s="213">
        <f>IFERROR(__xludf.DUMMYFUNCTION("""COMPUTED_VALUE"""),21.0)</f>
        <v>21</v>
      </c>
      <c r="P1255" s="213"/>
      <c r="Q1255" s="213"/>
      <c r="R1255" s="213"/>
      <c r="S1255" s="213"/>
      <c r="T1255" s="213" t="str">
        <f>IFERROR(__xludf.DUMMYFUNCTION("""COMPUTED_VALUE"""),"CONSULTA FINAL")</f>
        <v>CONSULTA FINAL</v>
      </c>
      <c r="U1255" s="213" t="str">
        <f>IFERROR(__xludf.DUMMYFUNCTION("""COMPUTED_VALUE"""),"NO")</f>
        <v>NO</v>
      </c>
      <c r="V1255" s="213" t="str">
        <f>IFERROR(__xludf.DUMMYFUNCTION("""COMPUTED_VALUE"""),"SUSTENTO")</f>
        <v>SUSTENTO</v>
      </c>
      <c r="W1255" s="213" t="str">
        <f>IFERROR(__xludf.DUMMYFUNCTION("""COMPUTED_VALUE"""),"EQU TEC")</f>
        <v>EQU TEC</v>
      </c>
      <c r="X1255" s="213" t="str">
        <f>IFERROR(__xludf.DUMMYFUNCTION("""COMPUTED_VALUE"""),"Niko Industrial")</f>
        <v>Niko Industrial</v>
      </c>
      <c r="Y1255" s="213">
        <f>IFERROR(__xludf.DUMMYFUNCTION("""COMPUTED_VALUE"""),8193.0)</f>
        <v>8193</v>
      </c>
      <c r="Z1255" s="215" t="str">
        <f>IFERROR(__xludf.DUMMYFUNCTION("""COMPUTED_VALUE"""),"https://niko.pe/producto/escarpines-de-cuero-cromo/?srsltid=AfmBOor6SnYFvO4h3RmCC_HDwDSs-jj1-BZ04vIT7SEqNGb2MT72UODv")</f>
        <v>https://niko.pe/producto/escarpines-de-cuero-cromo/?srsltid=AfmBOor6SnYFvO4h3RmCC_HDwDSs-jj1-BZ04vIT7SEqNGb2MT72UODv</v>
      </c>
      <c r="AA1255" s="215" t="str">
        <f>IFERROR(__xludf.DUMMYFUNCTION("""COMPUTED_VALUE"""),"https://docs.google.com/spreadsheets/d/1gBECIU4fEOXz0PLULtMRNokcx6tnWYchzkFxJYEi4oo/edit?gid=0#gid=2")</f>
        <v>https://docs.google.com/spreadsheets/d/1gBECIU4fEOXz0PLULtMRNokcx6tnWYchzkFxJYEi4oo/edit?gid=0#gid=2</v>
      </c>
      <c r="AB1255" s="213"/>
      <c r="AC1255" s="213"/>
      <c r="AD1255" s="213"/>
      <c r="AE1255" s="213"/>
      <c r="AF1255" s="213"/>
      <c r="AG1255" s="213"/>
      <c r="AH1255" s="213"/>
      <c r="AI1255" s="213"/>
      <c r="AJ1255" s="213"/>
      <c r="AK1255" s="213"/>
      <c r="AL1255" s="213"/>
      <c r="AM1255" s="213"/>
      <c r="AN1255" s="213"/>
      <c r="AO1255" s="213"/>
      <c r="AP1255" s="213" t="str">
        <f>IFERROR(__xludf.DUMMYFUNCTION("""COMPUTED_VALUE"""),"SEBASTIAN")</f>
        <v>SEBASTIAN</v>
      </c>
      <c r="AQ1255" s="213"/>
      <c r="AR1255" s="213"/>
      <c r="AS1255" s="213" t="str">
        <f>IFERROR(__xludf.DUMMYFUNCTION("""COMPUTED_VALUE"""),"No necesariamente cumple con todo lo solcitado. Se puede conseguir en fabricación nacional en https://grupocasalima.com/producto/escarpin-cuero-cromo-nacional/ . FT en https://www.indusegur.com.pe/producto/escarpin-de-cuero-cromo/")</f>
        <v>No necesariamente cumple con todo lo solcitado. Se puede conseguir en fabricación nacional en https://grupocasalima.com/producto/escarpin-cuero-cromo-nacional/ . FT en https://www.indusegur.com.pe/producto/escarpin-de-cuero-cromo/</v>
      </c>
      <c r="AT1255" s="213"/>
      <c r="AU1255" s="213"/>
      <c r="AV1255" s="213"/>
      <c r="AW1255" s="213"/>
      <c r="AX1255" s="213"/>
      <c r="AY1255" s="213"/>
      <c r="AZ1255" s="213"/>
      <c r="BA1255" s="213"/>
      <c r="BB1255" s="213"/>
      <c r="BC1255" s="213"/>
      <c r="BD1255" s="213"/>
    </row>
    <row r="1256">
      <c r="A1256" s="213">
        <f>IFERROR(__xludf.DUMMYFUNCTION("""COMPUTED_VALUE"""),395.0)</f>
        <v>395</v>
      </c>
      <c r="B1256" s="213" t="str">
        <f>IFERROR(__xludf.DUMMYFUNCTION("""COMPUTED_VALUE"""),"2026 SIMON BOLIVAR")</f>
        <v>2026 SIMON BOLIVAR</v>
      </c>
      <c r="C1256" s="213" t="str">
        <f>IFERROR(__xludf.DUMMYFUNCTION("""COMPUTED_VALUE"""),"TALLER SFT DE ELECTRICIDAD")</f>
        <v>TALLER SFT DE ELECTRICIDAD</v>
      </c>
      <c r="D1256" s="213" t="str">
        <f>IFERROR(__xludf.DUMMYFUNCTION("""COMPUTED_VALUE"""),"PEDAGOGICO")</f>
        <v>PEDAGOGICO</v>
      </c>
      <c r="E1256" s="213" t="str">
        <f>IFERROR(__xludf.DUMMYFUNCTION("""COMPUTED_VALUE"""),"MAT-338")</f>
        <v>MAT-338</v>
      </c>
      <c r="F1256" s="213" t="str">
        <f>IFERROR(__xludf.DUMMYFUNCTION("""COMPUTED_VALUE"""),"KEFF-43")</f>
        <v>KEFF-43</v>
      </c>
      <c r="G1256" s="213"/>
      <c r="H1256" s="213" t="str">
        <f>IFERROR(__xludf.DUMMYFUNCTION("""COMPUTED_VALUE"""),"MANUAL DE EQUIPOS DE AUTOMATIZACIÓN INDUSTRIAL")</f>
        <v>MANUAL DE EQUIPOS DE AUTOMATIZACIÓN INDUSTRIAL</v>
      </c>
      <c r="I1256" s="213" t="str">
        <f>IFERROR(__xludf.DUMMYFUNCTION("""COMPUTED_VALUE"""),"· Características del manual:
· Acabado de la carátula: La carátula en papel cuché de 150 gramos plastificado en la tira.
· Impresión de carátula: Offset a todo color en tira y retira.
· Impresión de texto interior: A todo color tira y retira, en papel cu"&amp;"ché de 115 gramos o papel bond de 75 gramos de 80% de blancura como mínimo.
· Tamaño: como mínimo 21 x 29,7 cm
· Tipo de Encuadernación: caballete con 2 grapas cuando sea menos de 80 páginas y encolado cuando sea más de 80 páginas.
· Contenido que present"&amp;"a:
- Conceptos básicos del uso del Kit de Automatización Industrial de una manera práctica.
- Descripción y caracterización de todos los componentes del Kit de Automatización como:
- Instrucciones básicas para el aprendizaje de la programación haciendo us"&amp;"o del software de Relé Programable
- Ejemplos que permitan la construcción de proyectos de control industrial mediante programación desde el software al Relé Programable y la conexión a diferentes tipos de cargas.
- Descripción de las normas de seguridad "&amp;"que se tienen que se deben tener en cuenta durante el uso los componentes del Arduino.")</f>
        <v>· Características del manual:
·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Conceptos básicos del uso del Kit de Automatización Industrial de una manera práctica.
- Descripción y caracterización de todos los componentes del Kit de Automatización como:
- Instrucciones básicas para el aprendizaje de la programación haciendo uso del software de Relé Programable
- Ejemplos que permitan la construcción de proyectos de control industrial mediante programación desde el software al Relé Programable y la conexión a diferentes tipos de cargas.
- Descripción de las normas de seguridad que se tienen que se deben tener en cuenta durante el uso los componentes del Arduino.</v>
      </c>
      <c r="J1256" s="213">
        <f>IFERROR(__xludf.DUMMYFUNCTION("""COMPUTED_VALUE"""),3.0)</f>
        <v>3</v>
      </c>
      <c r="K1256" s="213" t="str">
        <f>IFERROR(__xludf.DUMMYFUNCTION("""COMPUTED_VALUE"""),"170 DÍAS CALENDARIO")</f>
        <v>170 DÍAS CALENDARIO</v>
      </c>
      <c r="L1256" s="213" t="str">
        <f>IFERROR(__xludf.DUMMYFUNCTION("""COMPUTED_VALUE"""),"")</f>
        <v/>
      </c>
      <c r="M1256" s="213">
        <f>IFERROR(__xludf.DUMMYFUNCTION("""COMPUTED_VALUE"""),1.0)</f>
        <v>1</v>
      </c>
      <c r="N1256" s="213">
        <f>IFERROR(__xludf.DUMMYFUNCTION("""COMPUTED_VALUE"""),4.0)</f>
        <v>4</v>
      </c>
      <c r="O1256" s="213">
        <f>IFERROR(__xludf.DUMMYFUNCTION("""COMPUTED_VALUE"""),4.0)</f>
        <v>4</v>
      </c>
      <c r="P1256" s="213"/>
      <c r="Q1256" s="213"/>
      <c r="R1256" s="213"/>
      <c r="S1256" s="213"/>
      <c r="T1256" s="213"/>
      <c r="U1256" s="213"/>
      <c r="V1256" s="213"/>
      <c r="W1256" s="213"/>
      <c r="X1256" s="213"/>
      <c r="Y1256" s="213"/>
      <c r="Z1256" s="213"/>
      <c r="AA1256" s="213"/>
      <c r="AB1256" s="213"/>
      <c r="AC1256" s="213"/>
      <c r="AD1256" s="213"/>
      <c r="AE1256" s="213"/>
      <c r="AF1256" s="213"/>
      <c r="AG1256" s="213"/>
      <c r="AH1256" s="213"/>
      <c r="AI1256" s="213"/>
      <c r="AJ1256" s="213"/>
      <c r="AK1256" s="213"/>
      <c r="AL1256" s="213"/>
      <c r="AM1256" s="213"/>
      <c r="AN1256" s="213"/>
      <c r="AO1256" s="213"/>
      <c r="AP1256" s="213"/>
      <c r="AQ1256" s="213"/>
      <c r="AR1256" s="213"/>
      <c r="AS1256" s="213"/>
      <c r="AT1256" s="213"/>
      <c r="AU1256" s="213"/>
      <c r="AV1256" s="213"/>
      <c r="AW1256" s="213"/>
      <c r="AX1256" s="213"/>
      <c r="AY1256" s="213"/>
      <c r="AZ1256" s="213"/>
      <c r="BA1256" s="213"/>
      <c r="BB1256" s="213"/>
      <c r="BC1256" s="213"/>
      <c r="BD1256" s="213"/>
    </row>
    <row r="1257">
      <c r="A1257" s="213">
        <f>IFERROR(__xludf.DUMMYFUNCTION("""COMPUTED_VALUE"""),881.0)</f>
        <v>881</v>
      </c>
      <c r="B1257" s="213" t="str">
        <f>IFERROR(__xludf.DUMMYFUNCTION("""COMPUTED_VALUE"""),"6049 RICARDO PALMA")</f>
        <v>6049 RICARDO PALMA</v>
      </c>
      <c r="C1257" s="213" t="str">
        <f>IFERROR(__xludf.DUMMYFUNCTION("""COMPUTED_VALUE"""),"TALLER SFT DE ELECTRICIDAD")</f>
        <v>TALLER SFT DE ELECTRICIDAD</v>
      </c>
      <c r="D1257" s="213" t="str">
        <f>IFERROR(__xludf.DUMMYFUNCTION("""COMPUTED_VALUE"""),"PEDAGOGICO")</f>
        <v>PEDAGOGICO</v>
      </c>
      <c r="E1257" s="213" t="str">
        <f>IFERROR(__xludf.DUMMYFUNCTION("""COMPUTED_VALUE"""),"MAT-338")</f>
        <v>MAT-338</v>
      </c>
      <c r="F1257" s="213" t="str">
        <f>IFERROR(__xludf.DUMMYFUNCTION("""COMPUTED_VALUE"""),"KEFF-43")</f>
        <v>KEFF-43</v>
      </c>
      <c r="G1257" s="213"/>
      <c r="H1257" s="213" t="str">
        <f>IFERROR(__xludf.DUMMYFUNCTION("""COMPUTED_VALUE"""),"MANUAL DE EQUIPOS DE AUTOMATIZACIÓN INDUSTRIAL")</f>
        <v>MANUAL DE EQUIPOS DE AUTOMATIZACIÓN INDUSTRIAL</v>
      </c>
      <c r="I1257" s="213" t="str">
        <f>IFERROR(__xludf.DUMMYFUNCTION("""COMPUTED_VALUE"""),"· Características del manual:
· Acabado de la carátula: La carátula en papel cuché de 150 gramos plastificado en la tira.
· Impresión de carátula: Offset a todo color en tira y retira.
· Impresión de texto interior: A todo color tira y retira, en papel cu"&amp;"ché de 115 gramos o papel bond de 75 gramos de 80% de blancura como mínimo.
· Tamaño: como mínimo 21 x 29,7 cm
· Tipo de Encuadernación: caballete con 2 grapas cuando sea menos de 80 páginas y encolado cuando sea más de 80 páginas.
· Contenido que present"&amp;"a:
- Conceptos básicos del uso del Kit de Automatización Industrial de una manera práctica.
- Descripción y caracterización de todos los componentes del Kit de Automatización como:
- Instrucciones básicas para el aprendizaje de la programación haciendo us"&amp;"o del software de Relé Programable
- Ejemplos que permitan la construcción de proyectos de control industrial mediante programación desde el software al Relé Programable y la conexión a diferentes tipos de cargas.
- Descripción de las normas de seguridad "&amp;"que se tienen que se deben tener en cuenta durante el uso los componentes del Arduino.")</f>
        <v>· Características del manual:
·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Conceptos básicos del uso del Kit de Automatización Industrial de una manera práctica.
- Descripción y caracterización de todos los componentes del Kit de Automatización como:
- Instrucciones básicas para el aprendizaje de la programación haciendo uso del software de Relé Programable
- Ejemplos que permitan la construcción de proyectos de control industrial mediante programación desde el software al Relé Programable y la conexión a diferentes tipos de cargas.
- Descripción de las normas de seguridad que se tienen que se deben tener en cuenta durante el uso los componentes del Arduino.</v>
      </c>
      <c r="J1257" s="213">
        <f>IFERROR(__xludf.DUMMYFUNCTION("""COMPUTED_VALUE"""),3.0)</f>
        <v>3</v>
      </c>
      <c r="K1257" s="213" t="str">
        <f>IFERROR(__xludf.DUMMYFUNCTION("""COMPUTED_VALUE"""),"170 DÍAS CALENDARIO")</f>
        <v>170 DÍAS CALENDARIO</v>
      </c>
      <c r="L1257" s="213" t="str">
        <f>IFERROR(__xludf.DUMMYFUNCTION("""COMPUTED_VALUE"""),"")</f>
        <v/>
      </c>
      <c r="M1257" s="213">
        <f>IFERROR(__xludf.DUMMYFUNCTION("""COMPUTED_VALUE"""),1.0)</f>
        <v>1</v>
      </c>
      <c r="N1257" s="213">
        <f>IFERROR(__xludf.DUMMYFUNCTION("""COMPUTED_VALUE"""),4.0)</f>
        <v>4</v>
      </c>
      <c r="O1257" s="213">
        <f>IFERROR(__xludf.DUMMYFUNCTION("""COMPUTED_VALUE"""),4.0)</f>
        <v>4</v>
      </c>
      <c r="P1257" s="213"/>
      <c r="Q1257" s="213"/>
      <c r="R1257" s="213"/>
      <c r="S1257" s="213"/>
      <c r="T1257" s="213"/>
      <c r="U1257" s="213"/>
      <c r="V1257" s="213"/>
      <c r="W1257" s="213"/>
      <c r="X1257" s="213"/>
      <c r="Y1257" s="213"/>
      <c r="Z1257" s="213"/>
      <c r="AA1257" s="213"/>
      <c r="AB1257" s="213"/>
      <c r="AC1257" s="213"/>
      <c r="AD1257" s="213"/>
      <c r="AE1257" s="213"/>
      <c r="AF1257" s="213"/>
      <c r="AG1257" s="213"/>
      <c r="AH1257" s="213"/>
      <c r="AI1257" s="213"/>
      <c r="AJ1257" s="213"/>
      <c r="AK1257" s="213"/>
      <c r="AL1257" s="213"/>
      <c r="AM1257" s="213"/>
      <c r="AN1257" s="213"/>
      <c r="AO1257" s="213"/>
      <c r="AP1257" s="213"/>
      <c r="AQ1257" s="213"/>
      <c r="AR1257" s="213"/>
      <c r="AS1257" s="213"/>
      <c r="AT1257" s="213"/>
      <c r="AU1257" s="213"/>
      <c r="AV1257" s="213"/>
      <c r="AW1257" s="213"/>
      <c r="AX1257" s="213"/>
      <c r="AY1257" s="213"/>
      <c r="AZ1257" s="213"/>
      <c r="BA1257" s="213"/>
      <c r="BB1257" s="213"/>
      <c r="BC1257" s="213"/>
      <c r="BD1257" s="213"/>
    </row>
    <row r="1258">
      <c r="A1258" s="213">
        <f>IFERROR(__xludf.DUMMYFUNCTION("""COMPUTED_VALUE"""),1303.0)</f>
        <v>1303</v>
      </c>
      <c r="B1258" s="213" t="str">
        <f>IFERROR(__xludf.DUMMYFUNCTION("""COMPUTED_VALUE"""),"GUILLERMO E. BILLINGHURST ")</f>
        <v>GUILLERMO E. BILLINGHURST </v>
      </c>
      <c r="C1258" s="213" t="str">
        <f>IFERROR(__xludf.DUMMYFUNCTION("""COMPUTED_VALUE"""),"TALLER SFT DE ELECTRICIDAD")</f>
        <v>TALLER SFT DE ELECTRICIDAD</v>
      </c>
      <c r="D1258" s="213" t="str">
        <f>IFERROR(__xludf.DUMMYFUNCTION("""COMPUTED_VALUE"""),"PEDAGOGICO")</f>
        <v>PEDAGOGICO</v>
      </c>
      <c r="E1258" s="213" t="str">
        <f>IFERROR(__xludf.DUMMYFUNCTION("""COMPUTED_VALUE"""),"MAT-338")</f>
        <v>MAT-338</v>
      </c>
      <c r="F1258" s="213" t="str">
        <f>IFERROR(__xludf.DUMMYFUNCTION("""COMPUTED_VALUE"""),"KEFF-43")</f>
        <v>KEFF-43</v>
      </c>
      <c r="G1258" s="213"/>
      <c r="H1258" s="213" t="str">
        <f>IFERROR(__xludf.DUMMYFUNCTION("""COMPUTED_VALUE"""),"MANUAL DE EQUIPOS DE AUTOMATIZACIÓN INDUSTRIAL")</f>
        <v>MANUAL DE EQUIPOS DE AUTOMATIZACIÓN INDUSTRIAL</v>
      </c>
      <c r="I1258" s="213" t="str">
        <f>IFERROR(__xludf.DUMMYFUNCTION("""COMPUTED_VALUE"""),"· Características del manual:
· Acabado de la carátula: La carátula en papel cuché de 150 gramos plastificado en la tira.
· Impresión de carátula: Offset a todo color en tira y retira.
· Impresión de texto interior: A todo color tira y retira, en papel cu"&amp;"ché de 115 gramos o papel bond de 75 gramos de 80% de blancura como mínimo.
· Tamaño: como mínimo 21 x 29,7 cm
· Tipo de Encuadernación: caballete con 2 grapas cuando sea menos de 80 páginas y encolado cuando sea más de 80 páginas.
· Contenido que present"&amp;"a:
- Conceptos básicos del uso del Kit de Automatización Industrial de una manera práctica.
- Descripción y caracterización de todos los componentes del Kit de Automatización como:
- Instrucciones básicas para el aprendizaje de la programación haciendo us"&amp;"o del software de Relé Programable
- Ejemplos que permitan la construcción de proyectos de control industrial mediante programación desde el software al Relé Programable y la conexión a diferentes tipos de cargas.
- Descripción de las normas de seguridad "&amp;"que se tienen que se deben tener en cuenta durante el uso los componentes del Arduino.")</f>
        <v>· Características del manual:
·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Conceptos básicos del uso del Kit de Automatización Industrial de una manera práctica.
- Descripción y caracterización de todos los componentes del Kit de Automatización como:
- Instrucciones básicas para el aprendizaje de la programación haciendo uso del software de Relé Programable
- Ejemplos que permitan la construcción de proyectos de control industrial mediante programación desde el software al Relé Programable y la conexión a diferentes tipos de cargas.
- Descripción de las normas de seguridad que se tienen que se deben tener en cuenta durante el uso los componentes del Arduino.</v>
      </c>
      <c r="J1258" s="213">
        <f>IFERROR(__xludf.DUMMYFUNCTION("""COMPUTED_VALUE"""),3.0)</f>
        <v>3</v>
      </c>
      <c r="K1258" s="213" t="str">
        <f>IFERROR(__xludf.DUMMYFUNCTION("""COMPUTED_VALUE"""),"170 DÍAS CALENDARIO")</f>
        <v>170 DÍAS CALENDARIO</v>
      </c>
      <c r="L1258" s="213" t="str">
        <f>IFERROR(__xludf.DUMMYFUNCTION("""COMPUTED_VALUE"""),"")</f>
        <v/>
      </c>
      <c r="M1258" s="213">
        <f>IFERROR(__xludf.DUMMYFUNCTION("""COMPUTED_VALUE"""),1.0)</f>
        <v>1</v>
      </c>
      <c r="N1258" s="213">
        <f>IFERROR(__xludf.DUMMYFUNCTION("""COMPUTED_VALUE"""),4.0)</f>
        <v>4</v>
      </c>
      <c r="O1258" s="213">
        <f>IFERROR(__xludf.DUMMYFUNCTION("""COMPUTED_VALUE"""),4.0)</f>
        <v>4</v>
      </c>
      <c r="P1258" s="213"/>
      <c r="Q1258" s="213"/>
      <c r="R1258" s="213"/>
      <c r="S1258" s="213"/>
      <c r="T1258" s="213"/>
      <c r="U1258" s="213"/>
      <c r="V1258" s="213"/>
      <c r="W1258" s="213"/>
      <c r="X1258" s="213"/>
      <c r="Y1258" s="213"/>
      <c r="Z1258" s="213"/>
      <c r="AA1258" s="213"/>
      <c r="AB1258" s="213"/>
      <c r="AC1258" s="213"/>
      <c r="AD1258" s="213"/>
      <c r="AE1258" s="213"/>
      <c r="AF1258" s="213"/>
      <c r="AG1258" s="213"/>
      <c r="AH1258" s="213"/>
      <c r="AI1258" s="213"/>
      <c r="AJ1258" s="213"/>
      <c r="AK1258" s="213"/>
      <c r="AL1258" s="213"/>
      <c r="AM1258" s="213"/>
      <c r="AN1258" s="213"/>
      <c r="AO1258" s="213"/>
      <c r="AP1258" s="213"/>
      <c r="AQ1258" s="213"/>
      <c r="AR1258" s="213"/>
      <c r="AS1258" s="213"/>
      <c r="AT1258" s="213"/>
      <c r="AU1258" s="213"/>
      <c r="AV1258" s="213"/>
      <c r="AW1258" s="213"/>
      <c r="AX1258" s="213"/>
      <c r="AY1258" s="213"/>
      <c r="AZ1258" s="213"/>
      <c r="BA1258" s="213"/>
      <c r="BB1258" s="213"/>
      <c r="BC1258" s="213"/>
      <c r="BD1258" s="213"/>
    </row>
    <row r="1259">
      <c r="A1259" s="213">
        <f>IFERROR(__xludf.DUMMYFUNCTION("""COMPUTED_VALUE"""),682.0)</f>
        <v>682</v>
      </c>
      <c r="B1259" s="213" t="str">
        <f>IFERROR(__xludf.DUMMYFUNCTION("""COMPUTED_VALUE"""),"6049 RICARDO PALMA")</f>
        <v>6049 RICARDO PALMA</v>
      </c>
      <c r="C1259" s="213" t="str">
        <f>IFERROR(__xludf.DUMMYFUNCTION("""COMPUTED_VALUE"""),"TALLER SFT DE ELECTRÓNICA")</f>
        <v>TALLER SFT DE ELECTRÓNICA</v>
      </c>
      <c r="D1259" s="213" t="str">
        <f>IFERROR(__xludf.DUMMYFUNCTION("""COMPUTED_VALUE"""),"PEDAGOGICO")</f>
        <v>PEDAGOGICO</v>
      </c>
      <c r="E1259" s="213" t="str">
        <f>IFERROR(__xludf.DUMMYFUNCTION("""COMPUTED_VALUE"""),"MAT-238")</f>
        <v>MAT-238</v>
      </c>
      <c r="F1259" s="213" t="str">
        <f>IFERROR(__xludf.DUMMYFUNCTION("""COMPUTED_VALUE"""),"KEFF-63")</f>
        <v>KEFF-63</v>
      </c>
      <c r="G1259" s="213"/>
      <c r="H1259" s="213" t="str">
        <f>IFERROR(__xludf.DUMMYFUNCTION("""COMPUTED_VALUE"""),"MANUAL DE MANTENIMIENTO DEL KIT CON PLATAFORMA ELECTRÓNICA DE CÓDIGO ABIERTO")</f>
        <v>MANUAL DE MANTENIMIENTO DEL KIT CON PLATAFORMA ELECTRÓNICA DE CÓDIGO ABIERTO</v>
      </c>
      <c r="I1259" s="213"/>
      <c r="J1259" s="213">
        <f>IFERROR(__xludf.DUMMYFUNCTION("""COMPUTED_VALUE"""),3.0)</f>
        <v>3</v>
      </c>
      <c r="K1259" s="213" t="str">
        <f>IFERROR(__xludf.DUMMYFUNCTION("""COMPUTED_VALUE"""),"170 DÍAS CALENDARIO")</f>
        <v>170 DÍAS CALENDARIO</v>
      </c>
      <c r="L1259" s="213" t="str">
        <f>IFERROR(__xludf.DUMMYFUNCTION("""COMPUTED_VALUE"""),"")</f>
        <v/>
      </c>
      <c r="M1259" s="213">
        <f>IFERROR(__xludf.DUMMYFUNCTION("""COMPUTED_VALUE"""),1.0)</f>
        <v>1</v>
      </c>
      <c r="N1259" s="213">
        <f>IFERROR(__xludf.DUMMYFUNCTION("""COMPUTED_VALUE"""),6.0)</f>
        <v>6</v>
      </c>
      <c r="O1259" s="213">
        <f>IFERROR(__xludf.DUMMYFUNCTION("""COMPUTED_VALUE"""),6.0)</f>
        <v>6</v>
      </c>
      <c r="P1259" s="213"/>
      <c r="Q1259" s="213"/>
      <c r="R1259" s="213"/>
      <c r="S1259" s="213"/>
      <c r="T1259" s="213"/>
      <c r="U1259" s="213"/>
      <c r="V1259" s="213"/>
      <c r="W1259" s="213"/>
      <c r="X1259" s="213"/>
      <c r="Y1259" s="213"/>
      <c r="Z1259" s="213"/>
      <c r="AA1259" s="213"/>
      <c r="AB1259" s="213"/>
      <c r="AC1259" s="213"/>
      <c r="AD1259" s="213"/>
      <c r="AE1259" s="213"/>
      <c r="AF1259" s="213"/>
      <c r="AG1259" s="213"/>
      <c r="AH1259" s="213"/>
      <c r="AI1259" s="213"/>
      <c r="AJ1259" s="213"/>
      <c r="AK1259" s="213"/>
      <c r="AL1259" s="213"/>
      <c r="AM1259" s="213"/>
      <c r="AN1259" s="213"/>
      <c r="AO1259" s="213"/>
      <c r="AP1259" s="213"/>
      <c r="AQ1259" s="213"/>
      <c r="AR1259" s="213"/>
      <c r="AS1259" s="213">
        <f>IFERROR(__xludf.DUMMYFUNCTION("""COMPUTED_VALUE"""),0.0)</f>
        <v>0</v>
      </c>
      <c r="AT1259" s="213"/>
      <c r="AU1259" s="213"/>
      <c r="AV1259" s="213"/>
      <c r="AW1259" s="213"/>
      <c r="AX1259" s="213"/>
      <c r="AY1259" s="213"/>
      <c r="AZ1259" s="213"/>
      <c r="BA1259" s="213"/>
      <c r="BB1259" s="213"/>
      <c r="BC1259" s="213"/>
      <c r="BD1259" s="213"/>
    </row>
    <row r="1260">
      <c r="A1260" s="213">
        <f>IFERROR(__xludf.DUMMYFUNCTION("""COMPUTED_VALUE"""),208.0)</f>
        <v>208</v>
      </c>
      <c r="B1260" s="213" t="str">
        <f>IFERROR(__xludf.DUMMYFUNCTION("""COMPUTED_VALUE"""),"2026 SIMON BOLIVAR")</f>
        <v>2026 SIMON BOLIVAR</v>
      </c>
      <c r="C1260" s="213" t="str">
        <f>IFERROR(__xludf.DUMMYFUNCTION("""COMPUTED_VALUE"""),"TALLER SFT DE INDUSTRIA DEL VESTIDO")</f>
        <v>TALLER SFT DE INDUSTRIA DEL VESTIDO</v>
      </c>
      <c r="D1260" s="213" t="str">
        <f>IFERROR(__xludf.DUMMYFUNCTION("""COMPUTED_VALUE"""),"PEDAGOGICO")</f>
        <v>PEDAGOGICO</v>
      </c>
      <c r="E1260" s="213" t="str">
        <f>IFERROR(__xludf.DUMMYFUNCTION("""COMPUTED_VALUE"""),"MAT-245")</f>
        <v>MAT-245</v>
      </c>
      <c r="F1260" s="213" t="str">
        <f>IFERROR(__xludf.DUMMYFUNCTION("""COMPUTED_VALUE"""),"KEFF-02")</f>
        <v>KEFF-02</v>
      </c>
      <c r="G1260" s="213"/>
      <c r="H1260" s="213" t="str">
        <f>IFERROR(__xludf.DUMMYFUNCTION("""COMPUTED_VALUE"""),"MANUAL DE MANTENIMIENTO POR CADA EQUIPO DE IDENTIFICACIÓN DE NECESIDADES Y PROBLEMAS")</f>
        <v>MANUAL DE MANTENIMIENTO POR CADA EQUIPO DE IDENTIFICACIÓN DE NECESIDADES Y PROBLEMAS</v>
      </c>
      <c r="I126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Contenido que presenta:
- Descripción de los tipos de"&amp;"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260" s="213">
        <f>IFERROR(__xludf.DUMMYFUNCTION("""COMPUTED_VALUE"""),3.0)</f>
        <v>3</v>
      </c>
      <c r="K1260" s="213" t="str">
        <f>IFERROR(__xludf.DUMMYFUNCTION("""COMPUTED_VALUE"""),"170 DÍAS CALENDARIO")</f>
        <v>170 DÍAS CALENDARIO</v>
      </c>
      <c r="L1260" s="213" t="str">
        <f>IFERROR(__xludf.DUMMYFUNCTION("""COMPUTED_VALUE"""),"")</f>
        <v/>
      </c>
      <c r="M1260" s="213">
        <f>IFERROR(__xludf.DUMMYFUNCTION("""COMPUTED_VALUE"""),1.0)</f>
        <v>1</v>
      </c>
      <c r="N1260" s="213">
        <f>IFERROR(__xludf.DUMMYFUNCTION("""COMPUTED_VALUE"""),6.0)</f>
        <v>6</v>
      </c>
      <c r="O1260" s="213">
        <f>IFERROR(__xludf.DUMMYFUNCTION("""COMPUTED_VALUE"""),6.0)</f>
        <v>6</v>
      </c>
      <c r="P1260" s="213"/>
      <c r="Q1260" s="213"/>
      <c r="R1260" s="213"/>
      <c r="S1260" s="213"/>
      <c r="T1260" s="213"/>
      <c r="U1260" s="213"/>
      <c r="V1260" s="213"/>
      <c r="W1260" s="213"/>
      <c r="X1260" s="213"/>
      <c r="Y1260" s="213"/>
      <c r="Z1260" s="213"/>
      <c r="AA1260" s="213"/>
      <c r="AB1260" s="213"/>
      <c r="AC1260" s="213"/>
      <c r="AD1260" s="213"/>
      <c r="AE1260" s="213"/>
      <c r="AF1260" s="213"/>
      <c r="AG1260" s="213"/>
      <c r="AH1260" s="213"/>
      <c r="AI1260" s="213"/>
      <c r="AJ1260" s="213"/>
      <c r="AK1260" s="213"/>
      <c r="AL1260" s="213"/>
      <c r="AM1260" s="213"/>
      <c r="AN1260" s="213"/>
      <c r="AO1260" s="213"/>
      <c r="AP1260" s="213"/>
      <c r="AQ1260" s="213"/>
      <c r="AR1260" s="213"/>
      <c r="AS1260" s="213"/>
      <c r="AT1260" s="213"/>
      <c r="AU1260" s="213"/>
      <c r="AV1260" s="213"/>
      <c r="AW1260" s="213"/>
      <c r="AX1260" s="213"/>
      <c r="AY1260" s="213"/>
      <c r="AZ1260" s="213"/>
      <c r="BA1260" s="213"/>
      <c r="BB1260" s="213"/>
      <c r="BC1260" s="213"/>
      <c r="BD1260" s="213"/>
    </row>
    <row r="1261">
      <c r="A1261" s="213">
        <f>IFERROR(__xludf.DUMMYFUNCTION("""COMPUTED_VALUE"""),295.0)</f>
        <v>295</v>
      </c>
      <c r="B1261" s="213" t="str">
        <f>IFERROR(__xludf.DUMMYFUNCTION("""COMPUTED_VALUE"""),"2026 SIMON BOLIVAR")</f>
        <v>2026 SIMON BOLIVAR</v>
      </c>
      <c r="C1261" s="213" t="str">
        <f>IFERROR(__xludf.DUMMYFUNCTION("""COMPUTED_VALUE"""),"TALLER SFT DE COMPUTACIÓN E INFORMÁTICA")</f>
        <v>TALLER SFT DE COMPUTACIÓN E INFORMÁTICA</v>
      </c>
      <c r="D1261" s="213" t="str">
        <f>IFERROR(__xludf.DUMMYFUNCTION("""COMPUTED_VALUE"""),"PEDAGOGICO")</f>
        <v>PEDAGOGICO</v>
      </c>
      <c r="E1261" s="213" t="str">
        <f>IFERROR(__xludf.DUMMYFUNCTION("""COMPUTED_VALUE"""),"MAT-245")</f>
        <v>MAT-245</v>
      </c>
      <c r="F1261" s="213" t="str">
        <f>IFERROR(__xludf.DUMMYFUNCTION("""COMPUTED_VALUE"""),"KEFF-02")</f>
        <v>KEFF-02</v>
      </c>
      <c r="G1261" s="213"/>
      <c r="H1261" s="213" t="str">
        <f>IFERROR(__xludf.DUMMYFUNCTION("""COMPUTED_VALUE"""),"MANUAL DE MANTENIMIENTO POR CADA EQUIPO DE IDENTIFICACIÓN DE NECESIDADES Y PROBLEMAS")</f>
        <v>MANUAL DE MANTENIMIENTO POR CADA EQUIPO DE IDENTIFICACIÓN DE NECESIDADES Y PROBLEMAS</v>
      </c>
      <c r="I126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261" s="213">
        <f>IFERROR(__xludf.DUMMYFUNCTION("""COMPUTED_VALUE"""),3.0)</f>
        <v>3</v>
      </c>
      <c r="K1261" s="213" t="str">
        <f>IFERROR(__xludf.DUMMYFUNCTION("""COMPUTED_VALUE"""),"170 DÍAS CALENDARIO")</f>
        <v>170 DÍAS CALENDARIO</v>
      </c>
      <c r="L1261" s="213" t="str">
        <f>IFERROR(__xludf.DUMMYFUNCTION("""COMPUTED_VALUE"""),"")</f>
        <v/>
      </c>
      <c r="M1261" s="213">
        <f>IFERROR(__xludf.DUMMYFUNCTION("""COMPUTED_VALUE"""),1.0)</f>
        <v>1</v>
      </c>
      <c r="N1261" s="213">
        <f>IFERROR(__xludf.DUMMYFUNCTION("""COMPUTED_VALUE"""),6.0)</f>
        <v>6</v>
      </c>
      <c r="O1261" s="213">
        <f>IFERROR(__xludf.DUMMYFUNCTION("""COMPUTED_VALUE"""),6.0)</f>
        <v>6</v>
      </c>
      <c r="P1261" s="213"/>
      <c r="Q1261" s="213"/>
      <c r="R1261" s="213"/>
      <c r="S1261" s="213"/>
      <c r="T1261" s="213"/>
      <c r="U1261" s="213"/>
      <c r="V1261" s="213"/>
      <c r="W1261" s="213"/>
      <c r="X1261" s="213"/>
      <c r="Y1261" s="213"/>
      <c r="Z1261" s="213"/>
      <c r="AA1261" s="213"/>
      <c r="AB1261" s="213"/>
      <c r="AC1261" s="213"/>
      <c r="AD1261" s="213"/>
      <c r="AE1261" s="213"/>
      <c r="AF1261" s="213"/>
      <c r="AG1261" s="213"/>
      <c r="AH1261" s="213"/>
      <c r="AI1261" s="213"/>
      <c r="AJ1261" s="213"/>
      <c r="AK1261" s="213"/>
      <c r="AL1261" s="213"/>
      <c r="AM1261" s="213"/>
      <c r="AN1261" s="213"/>
      <c r="AO1261" s="213"/>
      <c r="AP1261" s="213"/>
      <c r="AQ1261" s="213"/>
      <c r="AR1261" s="213"/>
      <c r="AS1261" s="213"/>
      <c r="AT1261" s="213"/>
      <c r="AU1261" s="213"/>
      <c r="AV1261" s="213"/>
      <c r="AW1261" s="213"/>
      <c r="AX1261" s="213"/>
      <c r="AY1261" s="213"/>
      <c r="AZ1261" s="213"/>
      <c r="BA1261" s="213"/>
      <c r="BB1261" s="213"/>
      <c r="BC1261" s="213"/>
      <c r="BD1261" s="213"/>
    </row>
    <row r="1262">
      <c r="A1262" s="213">
        <f>IFERROR(__xludf.DUMMYFUNCTION("""COMPUTED_VALUE"""),375.0)</f>
        <v>375</v>
      </c>
      <c r="B1262" s="213" t="str">
        <f>IFERROR(__xludf.DUMMYFUNCTION("""COMPUTED_VALUE"""),"2026 SIMON BOLIVAR")</f>
        <v>2026 SIMON BOLIVAR</v>
      </c>
      <c r="C1262" s="213" t="str">
        <f>IFERROR(__xludf.DUMMYFUNCTION("""COMPUTED_VALUE"""),"TALLER SFT DE ELECTRICIDAD")</f>
        <v>TALLER SFT DE ELECTRICIDAD</v>
      </c>
      <c r="D1262" s="213" t="str">
        <f>IFERROR(__xludf.DUMMYFUNCTION("""COMPUTED_VALUE"""),"PEDAGOGICO")</f>
        <v>PEDAGOGICO</v>
      </c>
      <c r="E1262" s="213" t="str">
        <f>IFERROR(__xludf.DUMMYFUNCTION("""COMPUTED_VALUE"""),"MAT-245")</f>
        <v>MAT-245</v>
      </c>
      <c r="F1262" s="213" t="str">
        <f>IFERROR(__xludf.DUMMYFUNCTION("""COMPUTED_VALUE"""),"KEFF-02")</f>
        <v>KEFF-02</v>
      </c>
      <c r="G1262" s="213"/>
      <c r="H1262" s="213" t="str">
        <f>IFERROR(__xludf.DUMMYFUNCTION("""COMPUTED_VALUE"""),"MANUAL DE MANTENIMIENTO POR CADA EQUIPO DE IDENTIFICACIÓN DE NECESIDADES Y PROBLEMAS")</f>
        <v>MANUAL DE MANTENIMIENTO POR CADA EQUIPO DE IDENTIFICACIÓN DE NECESIDADES Y PROBLEMAS</v>
      </c>
      <c r="I126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262" s="213">
        <f>IFERROR(__xludf.DUMMYFUNCTION("""COMPUTED_VALUE"""),3.0)</f>
        <v>3</v>
      </c>
      <c r="K1262" s="213" t="str">
        <f>IFERROR(__xludf.DUMMYFUNCTION("""COMPUTED_VALUE"""),"170 DÍAS CALENDARIO")</f>
        <v>170 DÍAS CALENDARIO</v>
      </c>
      <c r="L1262" s="213" t="str">
        <f>IFERROR(__xludf.DUMMYFUNCTION("""COMPUTED_VALUE"""),"")</f>
        <v/>
      </c>
      <c r="M1262" s="213">
        <f>IFERROR(__xludf.DUMMYFUNCTION("""COMPUTED_VALUE"""),1.0)</f>
        <v>1</v>
      </c>
      <c r="N1262" s="213">
        <f>IFERROR(__xludf.DUMMYFUNCTION("""COMPUTED_VALUE"""),6.0)</f>
        <v>6</v>
      </c>
      <c r="O1262" s="213">
        <f>IFERROR(__xludf.DUMMYFUNCTION("""COMPUTED_VALUE"""),6.0)</f>
        <v>6</v>
      </c>
      <c r="P1262" s="213"/>
      <c r="Q1262" s="213"/>
      <c r="R1262" s="213"/>
      <c r="S1262" s="213"/>
      <c r="T1262" s="213"/>
      <c r="U1262" s="213"/>
      <c r="V1262" s="213"/>
      <c r="W1262" s="213"/>
      <c r="X1262" s="213"/>
      <c r="Y1262" s="213"/>
      <c r="Z1262" s="213"/>
      <c r="AA1262" s="213"/>
      <c r="AB1262" s="213"/>
      <c r="AC1262" s="213"/>
      <c r="AD1262" s="213"/>
      <c r="AE1262" s="213"/>
      <c r="AF1262" s="213"/>
      <c r="AG1262" s="213"/>
      <c r="AH1262" s="213"/>
      <c r="AI1262" s="213"/>
      <c r="AJ1262" s="213"/>
      <c r="AK1262" s="213"/>
      <c r="AL1262" s="213"/>
      <c r="AM1262" s="213"/>
      <c r="AN1262" s="213"/>
      <c r="AO1262" s="213"/>
      <c r="AP1262" s="213"/>
      <c r="AQ1262" s="213"/>
      <c r="AR1262" s="213"/>
      <c r="AS1262" s="213"/>
      <c r="AT1262" s="213"/>
      <c r="AU1262" s="213"/>
      <c r="AV1262" s="213"/>
      <c r="AW1262" s="213"/>
      <c r="AX1262" s="213"/>
      <c r="AY1262" s="213"/>
      <c r="AZ1262" s="213"/>
      <c r="BA1262" s="213"/>
      <c r="BB1262" s="213"/>
      <c r="BC1262" s="213"/>
      <c r="BD1262" s="213"/>
    </row>
    <row r="1263">
      <c r="A1263" s="213">
        <f>IFERROR(__xludf.DUMMYFUNCTION("""COMPUTED_VALUE"""),660.0)</f>
        <v>660</v>
      </c>
      <c r="B1263" s="213" t="str">
        <f>IFERROR(__xludf.DUMMYFUNCTION("""COMPUTED_VALUE"""),"6049 RICARDO PALMA")</f>
        <v>6049 RICARDO PALMA</v>
      </c>
      <c r="C1263" s="213" t="str">
        <f>IFERROR(__xludf.DUMMYFUNCTION("""COMPUTED_VALUE"""),"TALLER SFT DE ELECTRÓNICA")</f>
        <v>TALLER SFT DE ELECTRÓNICA</v>
      </c>
      <c r="D1263" s="213" t="str">
        <f>IFERROR(__xludf.DUMMYFUNCTION("""COMPUTED_VALUE"""),"PEDAGOGICO")</f>
        <v>PEDAGOGICO</v>
      </c>
      <c r="E1263" s="213" t="str">
        <f>IFERROR(__xludf.DUMMYFUNCTION("""COMPUTED_VALUE"""),"MAT-245")</f>
        <v>MAT-245</v>
      </c>
      <c r="F1263" s="213" t="str">
        <f>IFERROR(__xludf.DUMMYFUNCTION("""COMPUTED_VALUE"""),"KEFF-02")</f>
        <v>KEFF-02</v>
      </c>
      <c r="G1263" s="213"/>
      <c r="H1263" s="213" t="str">
        <f>IFERROR(__xludf.DUMMYFUNCTION("""COMPUTED_VALUE"""),"MANUAL DE MANTENIMIENTO POR CADA EQUIPO DE IDENTIFICACIÓN DE NECESIDADES Y PROBLEMAS")</f>
        <v>MANUAL DE MANTENIMIENTO POR CADA EQUIPO DE IDENTIFICACIÓN DE NECESIDADES Y PROBLEMAS</v>
      </c>
      <c r="I126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263" s="213">
        <f>IFERROR(__xludf.DUMMYFUNCTION("""COMPUTED_VALUE"""),3.0)</f>
        <v>3</v>
      </c>
      <c r="K1263" s="213" t="str">
        <f>IFERROR(__xludf.DUMMYFUNCTION("""COMPUTED_VALUE"""),"170 DÍAS CALENDARIO")</f>
        <v>170 DÍAS CALENDARIO</v>
      </c>
      <c r="L1263" s="213" t="str">
        <f>IFERROR(__xludf.DUMMYFUNCTION("""COMPUTED_VALUE"""),"")</f>
        <v/>
      </c>
      <c r="M1263" s="213">
        <f>IFERROR(__xludf.DUMMYFUNCTION("""COMPUTED_VALUE"""),1.0)</f>
        <v>1</v>
      </c>
      <c r="N1263" s="213">
        <f>IFERROR(__xludf.DUMMYFUNCTION("""COMPUTED_VALUE"""),6.0)</f>
        <v>6</v>
      </c>
      <c r="O1263" s="213">
        <f>IFERROR(__xludf.DUMMYFUNCTION("""COMPUTED_VALUE"""),6.0)</f>
        <v>6</v>
      </c>
      <c r="P1263" s="213"/>
      <c r="Q1263" s="213"/>
      <c r="R1263" s="213"/>
      <c r="S1263" s="213"/>
      <c r="T1263" s="213"/>
      <c r="U1263" s="213"/>
      <c r="V1263" s="213"/>
      <c r="W1263" s="213"/>
      <c r="X1263" s="213"/>
      <c r="Y1263" s="213"/>
      <c r="Z1263" s="213"/>
      <c r="AA1263" s="213"/>
      <c r="AB1263" s="213"/>
      <c r="AC1263" s="213"/>
      <c r="AD1263" s="213"/>
      <c r="AE1263" s="213"/>
      <c r="AF1263" s="213"/>
      <c r="AG1263" s="213"/>
      <c r="AH1263" s="213"/>
      <c r="AI1263" s="213"/>
      <c r="AJ1263" s="213"/>
      <c r="AK1263" s="213"/>
      <c r="AL1263" s="213"/>
      <c r="AM1263" s="213"/>
      <c r="AN1263" s="213"/>
      <c r="AO1263" s="213"/>
      <c r="AP1263" s="213"/>
      <c r="AQ1263" s="213"/>
      <c r="AR1263" s="213"/>
      <c r="AS1263" s="213"/>
      <c r="AT1263" s="213"/>
      <c r="AU1263" s="213"/>
      <c r="AV1263" s="213"/>
      <c r="AW1263" s="213"/>
      <c r="AX1263" s="213"/>
      <c r="AY1263" s="213"/>
      <c r="AZ1263" s="213"/>
      <c r="BA1263" s="213"/>
      <c r="BB1263" s="213"/>
      <c r="BC1263" s="213"/>
      <c r="BD1263" s="213"/>
    </row>
    <row r="1264">
      <c r="A1264" s="213">
        <f>IFERROR(__xludf.DUMMYFUNCTION("""COMPUTED_VALUE"""),676.0)</f>
        <v>676</v>
      </c>
      <c r="B1264" s="213" t="str">
        <f>IFERROR(__xludf.DUMMYFUNCTION("""COMPUTED_VALUE"""),"6049 RICARDO PALMA")</f>
        <v>6049 RICARDO PALMA</v>
      </c>
      <c r="C1264" s="213" t="str">
        <f>IFERROR(__xludf.DUMMYFUNCTION("""COMPUTED_VALUE"""),"TALLER SFT DE ELECTRÓNICA")</f>
        <v>TALLER SFT DE ELECTRÓNICA</v>
      </c>
      <c r="D1264" s="213" t="str">
        <f>IFERROR(__xludf.DUMMYFUNCTION("""COMPUTED_VALUE"""),"PEDAGOGICO")</f>
        <v>PEDAGOGICO</v>
      </c>
      <c r="E1264" s="213" t="str">
        <f>IFERROR(__xludf.DUMMYFUNCTION("""COMPUTED_VALUE"""),"MAT-246")</f>
        <v>MAT-246</v>
      </c>
      <c r="F1264" s="213" t="str">
        <f>IFERROR(__xludf.DUMMYFUNCTION("""COMPUTED_VALUE"""),"KEFF-60")</f>
        <v>KEFF-60</v>
      </c>
      <c r="G1264" s="213"/>
      <c r="H1264" s="213" t="str">
        <f>IFERROR(__xludf.DUMMYFUNCTION("""COMPUTED_VALUE"""),"MANUAL DE MANTENIMIENTO POR CADA EQUIPO")</f>
        <v>MANUAL DE MANTENIMIENTO POR CADA EQUIPO</v>
      </c>
      <c r="I126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264" s="213">
        <f>IFERROR(__xludf.DUMMYFUNCTION("""COMPUTED_VALUE"""),3.0)</f>
        <v>3</v>
      </c>
      <c r="K1264" s="213" t="str">
        <f>IFERROR(__xludf.DUMMYFUNCTION("""COMPUTED_VALUE"""),"170 DÍAS CALENDARIO")</f>
        <v>170 DÍAS CALENDARIO</v>
      </c>
      <c r="L1264" s="213" t="str">
        <f>IFERROR(__xludf.DUMMYFUNCTION("""COMPUTED_VALUE"""),"")</f>
        <v/>
      </c>
      <c r="M1264" s="213">
        <f>IFERROR(__xludf.DUMMYFUNCTION("""COMPUTED_VALUE"""),1.0)</f>
        <v>1</v>
      </c>
      <c r="N1264" s="213">
        <f>IFERROR(__xludf.DUMMYFUNCTION("""COMPUTED_VALUE"""),6.0)</f>
        <v>6</v>
      </c>
      <c r="O1264" s="213">
        <f>IFERROR(__xludf.DUMMYFUNCTION("""COMPUTED_VALUE"""),6.0)</f>
        <v>6</v>
      </c>
      <c r="P1264" s="213"/>
      <c r="Q1264" s="213"/>
      <c r="R1264" s="213"/>
      <c r="S1264" s="213"/>
      <c r="T1264" s="213"/>
      <c r="U1264" s="213"/>
      <c r="V1264" s="213"/>
      <c r="W1264" s="213"/>
      <c r="X1264" s="213"/>
      <c r="Y1264" s="213"/>
      <c r="Z1264" s="213"/>
      <c r="AA1264" s="213"/>
      <c r="AB1264" s="213"/>
      <c r="AC1264" s="213"/>
      <c r="AD1264" s="213"/>
      <c r="AE1264" s="213"/>
      <c r="AF1264" s="213"/>
      <c r="AG1264" s="213"/>
      <c r="AH1264" s="213"/>
      <c r="AI1264" s="213"/>
      <c r="AJ1264" s="213"/>
      <c r="AK1264" s="213"/>
      <c r="AL1264" s="213"/>
      <c r="AM1264" s="213"/>
      <c r="AN1264" s="213"/>
      <c r="AO1264" s="213"/>
      <c r="AP1264" s="213"/>
      <c r="AQ1264" s="213"/>
      <c r="AR1264" s="213"/>
      <c r="AS1264" s="213">
        <f>IFERROR(__xludf.DUMMYFUNCTION("""COMPUTED_VALUE"""),0.0)</f>
        <v>0</v>
      </c>
      <c r="AT1264" s="213"/>
      <c r="AU1264" s="213"/>
      <c r="AV1264" s="213"/>
      <c r="AW1264" s="213"/>
      <c r="AX1264" s="213"/>
      <c r="AY1264" s="213"/>
      <c r="AZ1264" s="213"/>
      <c r="BA1264" s="213"/>
      <c r="BB1264" s="213"/>
      <c r="BC1264" s="213"/>
      <c r="BD1264" s="213"/>
    </row>
    <row r="1265">
      <c r="A1265" s="213">
        <f>IFERROR(__xludf.DUMMYFUNCTION("""COMPUTED_VALUE"""),688.0)</f>
        <v>688</v>
      </c>
      <c r="B1265" s="213" t="str">
        <f>IFERROR(__xludf.DUMMYFUNCTION("""COMPUTED_VALUE"""),"6049 RICARDO PALMA")</f>
        <v>6049 RICARDO PALMA</v>
      </c>
      <c r="C1265" s="213" t="str">
        <f>IFERROR(__xludf.DUMMYFUNCTION("""COMPUTED_VALUE"""),"TALLER SFT DE ELECTRÓNICA")</f>
        <v>TALLER SFT DE ELECTRÓNICA</v>
      </c>
      <c r="D1265" s="213" t="str">
        <f>IFERROR(__xludf.DUMMYFUNCTION("""COMPUTED_VALUE"""),"PEDAGOGICO")</f>
        <v>PEDAGOGICO</v>
      </c>
      <c r="E1265" s="213" t="str">
        <f>IFERROR(__xludf.DUMMYFUNCTION("""COMPUTED_VALUE"""),"MAT-246")</f>
        <v>MAT-246</v>
      </c>
      <c r="F1265" s="213" t="str">
        <f>IFERROR(__xludf.DUMMYFUNCTION("""COMPUTED_VALUE"""),"KEFF-66")</f>
        <v>KEFF-66</v>
      </c>
      <c r="G1265" s="213"/>
      <c r="H1265" s="213" t="str">
        <f>IFERROR(__xludf.DUMMYFUNCTION("""COMPUTED_VALUE"""),"MANUAL DE MANTENIMIENTO POR CADA EQUIPO")</f>
        <v>MANUAL DE MANTENIMIENTO POR CADA EQUIPO</v>
      </c>
      <c r="I126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265" s="213">
        <f>IFERROR(__xludf.DUMMYFUNCTION("""COMPUTED_VALUE"""),3.0)</f>
        <v>3</v>
      </c>
      <c r="K1265" s="213" t="str">
        <f>IFERROR(__xludf.DUMMYFUNCTION("""COMPUTED_VALUE"""),"170 DÍAS CALENDARIO")</f>
        <v>170 DÍAS CALENDARIO</v>
      </c>
      <c r="L1265" s="213" t="str">
        <f>IFERROR(__xludf.DUMMYFUNCTION("""COMPUTED_VALUE"""),"")</f>
        <v/>
      </c>
      <c r="M1265" s="213">
        <f>IFERROR(__xludf.DUMMYFUNCTION("""COMPUTED_VALUE"""),1.0)</f>
        <v>1</v>
      </c>
      <c r="N1265" s="213">
        <f>IFERROR(__xludf.DUMMYFUNCTION("""COMPUTED_VALUE"""),6.0)</f>
        <v>6</v>
      </c>
      <c r="O1265" s="213">
        <f>IFERROR(__xludf.DUMMYFUNCTION("""COMPUTED_VALUE"""),6.0)</f>
        <v>6</v>
      </c>
      <c r="P1265" s="213"/>
      <c r="Q1265" s="213"/>
      <c r="R1265" s="213"/>
      <c r="S1265" s="213"/>
      <c r="T1265" s="213"/>
      <c r="U1265" s="213"/>
      <c r="V1265" s="213"/>
      <c r="W1265" s="213"/>
      <c r="X1265" s="213"/>
      <c r="Y1265" s="213"/>
      <c r="Z1265" s="213"/>
      <c r="AA1265" s="213"/>
      <c r="AB1265" s="213"/>
      <c r="AC1265" s="213"/>
      <c r="AD1265" s="213"/>
      <c r="AE1265" s="213"/>
      <c r="AF1265" s="213"/>
      <c r="AG1265" s="213"/>
      <c r="AH1265" s="213"/>
      <c r="AI1265" s="213"/>
      <c r="AJ1265" s="213"/>
      <c r="AK1265" s="213"/>
      <c r="AL1265" s="213"/>
      <c r="AM1265" s="213"/>
      <c r="AN1265" s="213"/>
      <c r="AO1265" s="213"/>
      <c r="AP1265" s="213"/>
      <c r="AQ1265" s="213"/>
      <c r="AR1265" s="213"/>
      <c r="AS1265" s="213">
        <f>IFERROR(__xludf.DUMMYFUNCTION("""COMPUTED_VALUE"""),0.0)</f>
        <v>0</v>
      </c>
      <c r="AT1265" s="213"/>
      <c r="AU1265" s="213"/>
      <c r="AV1265" s="213"/>
      <c r="AW1265" s="213"/>
      <c r="AX1265" s="213"/>
      <c r="AY1265" s="213"/>
      <c r="AZ1265" s="213"/>
      <c r="BA1265" s="213"/>
      <c r="BB1265" s="213"/>
      <c r="BC1265" s="213"/>
      <c r="BD1265" s="213"/>
    </row>
    <row r="1266">
      <c r="A1266" s="213">
        <f>IFERROR(__xludf.DUMMYFUNCTION("""COMPUTED_VALUE"""),714.0)</f>
        <v>714</v>
      </c>
      <c r="B1266" s="213" t="str">
        <f>IFERROR(__xludf.DUMMYFUNCTION("""COMPUTED_VALUE"""),"6049 RICARDO PALMA")</f>
        <v>6049 RICARDO PALMA</v>
      </c>
      <c r="C1266" s="213" t="str">
        <f>IFERROR(__xludf.DUMMYFUNCTION("""COMPUTED_VALUE"""),"TALLER SFT DE ELECTRÓNICA")</f>
        <v>TALLER SFT DE ELECTRÓNICA</v>
      </c>
      <c r="D1266" s="213" t="str">
        <f>IFERROR(__xludf.DUMMYFUNCTION("""COMPUTED_VALUE"""),"PEDAGOGICO")</f>
        <v>PEDAGOGICO</v>
      </c>
      <c r="E1266" s="213" t="str">
        <f>IFERROR(__xludf.DUMMYFUNCTION("""COMPUTED_VALUE"""),"MAT-246")</f>
        <v>MAT-246</v>
      </c>
      <c r="F1266" s="213" t="str">
        <f>IFERROR(__xludf.DUMMYFUNCTION("""COMPUTED_VALUE"""),"KEFF-69")</f>
        <v>KEFF-69</v>
      </c>
      <c r="G1266" s="213"/>
      <c r="H1266" s="213" t="str">
        <f>IFERROR(__xludf.DUMMYFUNCTION("""COMPUTED_VALUE"""),"MANUAL DE MANTENIMIENTO POR CADA EQUIPO")</f>
        <v>MANUAL DE MANTENIMIENTO POR CADA EQUIPO</v>
      </c>
      <c r="I126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266" s="213">
        <f>IFERROR(__xludf.DUMMYFUNCTION("""COMPUTED_VALUE"""),3.0)</f>
        <v>3</v>
      </c>
      <c r="K1266" s="213" t="str">
        <f>IFERROR(__xludf.DUMMYFUNCTION("""COMPUTED_VALUE"""),"170 DÍAS CALENDARIO")</f>
        <v>170 DÍAS CALENDARIO</v>
      </c>
      <c r="L1266" s="213" t="str">
        <f>IFERROR(__xludf.DUMMYFUNCTION("""COMPUTED_VALUE"""),"")</f>
        <v/>
      </c>
      <c r="M1266" s="213">
        <f>IFERROR(__xludf.DUMMYFUNCTION("""COMPUTED_VALUE"""),1.0)</f>
        <v>1</v>
      </c>
      <c r="N1266" s="213">
        <f>IFERROR(__xludf.DUMMYFUNCTION("""COMPUTED_VALUE"""),6.0)</f>
        <v>6</v>
      </c>
      <c r="O1266" s="213">
        <f>IFERROR(__xludf.DUMMYFUNCTION("""COMPUTED_VALUE"""),6.0)</f>
        <v>6</v>
      </c>
      <c r="P1266" s="213"/>
      <c r="Q1266" s="213"/>
      <c r="R1266" s="213"/>
      <c r="S1266" s="213"/>
      <c r="T1266" s="213"/>
      <c r="U1266" s="213"/>
      <c r="V1266" s="213"/>
      <c r="W1266" s="213"/>
      <c r="X1266" s="213"/>
      <c r="Y1266" s="213"/>
      <c r="Z1266" s="213"/>
      <c r="AA1266" s="213"/>
      <c r="AB1266" s="213"/>
      <c r="AC1266" s="213"/>
      <c r="AD1266" s="213"/>
      <c r="AE1266" s="213"/>
      <c r="AF1266" s="213"/>
      <c r="AG1266" s="213"/>
      <c r="AH1266" s="213"/>
      <c r="AI1266" s="213"/>
      <c r="AJ1266" s="213"/>
      <c r="AK1266" s="213"/>
      <c r="AL1266" s="213"/>
      <c r="AM1266" s="213"/>
      <c r="AN1266" s="213"/>
      <c r="AO1266" s="213"/>
      <c r="AP1266" s="213"/>
      <c r="AQ1266" s="213"/>
      <c r="AR1266" s="213"/>
      <c r="AS1266" s="213">
        <f>IFERROR(__xludf.DUMMYFUNCTION("""COMPUTED_VALUE"""),0.0)</f>
        <v>0</v>
      </c>
      <c r="AT1266" s="213"/>
      <c r="AU1266" s="213"/>
      <c r="AV1266" s="213"/>
      <c r="AW1266" s="213"/>
      <c r="AX1266" s="213"/>
      <c r="AY1266" s="213"/>
      <c r="AZ1266" s="213"/>
      <c r="BA1266" s="213"/>
      <c r="BB1266" s="213"/>
      <c r="BC1266" s="213"/>
      <c r="BD1266" s="213"/>
    </row>
    <row r="1267">
      <c r="A1267" s="213">
        <f>IFERROR(__xludf.DUMMYFUNCTION("""COMPUTED_VALUE"""),721.0)</f>
        <v>721</v>
      </c>
      <c r="B1267" s="213" t="str">
        <f>IFERROR(__xludf.DUMMYFUNCTION("""COMPUTED_VALUE"""),"6049 RICARDO PALMA")</f>
        <v>6049 RICARDO PALMA</v>
      </c>
      <c r="C1267" s="213" t="str">
        <f>IFERROR(__xludf.DUMMYFUNCTION("""COMPUTED_VALUE"""),"TALLER SFT DE ELECTRÓNICA")</f>
        <v>TALLER SFT DE ELECTRÓNICA</v>
      </c>
      <c r="D1267" s="213" t="str">
        <f>IFERROR(__xludf.DUMMYFUNCTION("""COMPUTED_VALUE"""),"PEDAGOGICO")</f>
        <v>PEDAGOGICO</v>
      </c>
      <c r="E1267" s="213" t="str">
        <f>IFERROR(__xludf.DUMMYFUNCTION("""COMPUTED_VALUE"""),"MAT-246")</f>
        <v>MAT-246</v>
      </c>
      <c r="F1267" s="213" t="str">
        <f>IFERROR(__xludf.DUMMYFUNCTION("""COMPUTED_VALUE"""),"KEFF-72")</f>
        <v>KEFF-72</v>
      </c>
      <c r="G1267" s="213"/>
      <c r="H1267" s="213" t="str">
        <f>IFERROR(__xludf.DUMMYFUNCTION("""COMPUTED_VALUE"""),"MANUAL DE MANTENIMIENTO POR CADA EQUIPO")</f>
        <v>MANUAL DE MANTENIMIENTO POR CADA EQUIPO</v>
      </c>
      <c r="I126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267" s="213">
        <f>IFERROR(__xludf.DUMMYFUNCTION("""COMPUTED_VALUE"""),3.0)</f>
        <v>3</v>
      </c>
      <c r="K1267" s="213" t="str">
        <f>IFERROR(__xludf.DUMMYFUNCTION("""COMPUTED_VALUE"""),"170 DÍAS CALENDARIO")</f>
        <v>170 DÍAS CALENDARIO</v>
      </c>
      <c r="L1267" s="213" t="str">
        <f>IFERROR(__xludf.DUMMYFUNCTION("""COMPUTED_VALUE"""),"")</f>
        <v/>
      </c>
      <c r="M1267" s="213">
        <f>IFERROR(__xludf.DUMMYFUNCTION("""COMPUTED_VALUE"""),1.0)</f>
        <v>1</v>
      </c>
      <c r="N1267" s="213">
        <f>IFERROR(__xludf.DUMMYFUNCTION("""COMPUTED_VALUE"""),6.0)</f>
        <v>6</v>
      </c>
      <c r="O1267" s="213">
        <f>IFERROR(__xludf.DUMMYFUNCTION("""COMPUTED_VALUE"""),6.0)</f>
        <v>6</v>
      </c>
      <c r="P1267" s="213"/>
      <c r="Q1267" s="213"/>
      <c r="R1267" s="213"/>
      <c r="S1267" s="213"/>
      <c r="T1267" s="213"/>
      <c r="U1267" s="213"/>
      <c r="V1267" s="213"/>
      <c r="W1267" s="213"/>
      <c r="X1267" s="213"/>
      <c r="Y1267" s="213"/>
      <c r="Z1267" s="213"/>
      <c r="AA1267" s="213"/>
      <c r="AB1267" s="213"/>
      <c r="AC1267" s="213"/>
      <c r="AD1267" s="213"/>
      <c r="AE1267" s="213"/>
      <c r="AF1267" s="213"/>
      <c r="AG1267" s="213"/>
      <c r="AH1267" s="213"/>
      <c r="AI1267" s="213"/>
      <c r="AJ1267" s="213"/>
      <c r="AK1267" s="213"/>
      <c r="AL1267" s="213"/>
      <c r="AM1267" s="213"/>
      <c r="AN1267" s="213"/>
      <c r="AO1267" s="213"/>
      <c r="AP1267" s="213"/>
      <c r="AQ1267" s="213"/>
      <c r="AR1267" s="213"/>
      <c r="AS1267" s="213">
        <f>IFERROR(__xludf.DUMMYFUNCTION("""COMPUTED_VALUE"""),0.0)</f>
        <v>0</v>
      </c>
      <c r="AT1267" s="213"/>
      <c r="AU1267" s="213"/>
      <c r="AV1267" s="213"/>
      <c r="AW1267" s="213"/>
      <c r="AX1267" s="213"/>
      <c r="AY1267" s="213"/>
      <c r="AZ1267" s="213"/>
      <c r="BA1267" s="213"/>
      <c r="BB1267" s="213"/>
      <c r="BC1267" s="213"/>
      <c r="BD1267" s="213"/>
    </row>
    <row r="1268">
      <c r="A1268" s="213">
        <f>IFERROR(__xludf.DUMMYFUNCTION("""COMPUTED_VALUE"""),781.0)</f>
        <v>781</v>
      </c>
      <c r="B1268" s="213" t="str">
        <f>IFERROR(__xludf.DUMMYFUNCTION("""COMPUTED_VALUE"""),"6049 RICARDO PALMA")</f>
        <v>6049 RICARDO PALMA</v>
      </c>
      <c r="C1268" s="213" t="str">
        <f>IFERROR(__xludf.DUMMYFUNCTION("""COMPUTED_VALUE"""),"TALLER SFT DE COMPUTACIÓN E INFORMÁTICA")</f>
        <v>TALLER SFT DE COMPUTACIÓN E INFORMÁTICA</v>
      </c>
      <c r="D1268" s="213" t="str">
        <f>IFERROR(__xludf.DUMMYFUNCTION("""COMPUTED_VALUE"""),"PEDAGOGICO")</f>
        <v>PEDAGOGICO</v>
      </c>
      <c r="E1268" s="213" t="str">
        <f>IFERROR(__xludf.DUMMYFUNCTION("""COMPUTED_VALUE"""),"MAT-245")</f>
        <v>MAT-245</v>
      </c>
      <c r="F1268" s="213" t="str">
        <f>IFERROR(__xludf.DUMMYFUNCTION("""COMPUTED_VALUE"""),"KEFF-02")</f>
        <v>KEFF-02</v>
      </c>
      <c r="G1268" s="213"/>
      <c r="H1268" s="213" t="str">
        <f>IFERROR(__xludf.DUMMYFUNCTION("""COMPUTED_VALUE"""),"MANUAL DE MANTENIMIENTO POR CADA EQUIPO DE IDENTIFICACIÓN DE NECESIDADES Y PROBLEMAS")</f>
        <v>MANUAL DE MANTENIMIENTO POR CADA EQUIPO DE IDENTIFICACIÓN DE NECESIDADES Y PROBLEMAS</v>
      </c>
      <c r="I126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268" s="213">
        <f>IFERROR(__xludf.DUMMYFUNCTION("""COMPUTED_VALUE"""),3.0)</f>
        <v>3</v>
      </c>
      <c r="K1268" s="213" t="str">
        <f>IFERROR(__xludf.DUMMYFUNCTION("""COMPUTED_VALUE"""),"170 DÍAS CALENDARIO")</f>
        <v>170 DÍAS CALENDARIO</v>
      </c>
      <c r="L1268" s="213" t="str">
        <f>IFERROR(__xludf.DUMMYFUNCTION("""COMPUTED_VALUE"""),"")</f>
        <v/>
      </c>
      <c r="M1268" s="213">
        <f>IFERROR(__xludf.DUMMYFUNCTION("""COMPUTED_VALUE"""),1.0)</f>
        <v>1</v>
      </c>
      <c r="N1268" s="213">
        <f>IFERROR(__xludf.DUMMYFUNCTION("""COMPUTED_VALUE"""),6.0)</f>
        <v>6</v>
      </c>
      <c r="O1268" s="213">
        <f>IFERROR(__xludf.DUMMYFUNCTION("""COMPUTED_VALUE"""),6.0)</f>
        <v>6</v>
      </c>
      <c r="P1268" s="213"/>
      <c r="Q1268" s="213"/>
      <c r="R1268" s="213"/>
      <c r="S1268" s="213"/>
      <c r="T1268" s="213"/>
      <c r="U1268" s="213"/>
      <c r="V1268" s="213"/>
      <c r="W1268" s="213"/>
      <c r="X1268" s="213"/>
      <c r="Y1268" s="213"/>
      <c r="Z1268" s="213"/>
      <c r="AA1268" s="213"/>
      <c r="AB1268" s="213"/>
      <c r="AC1268" s="213"/>
      <c r="AD1268" s="213"/>
      <c r="AE1268" s="213"/>
      <c r="AF1268" s="213"/>
      <c r="AG1268" s="213"/>
      <c r="AH1268" s="213"/>
      <c r="AI1268" s="213"/>
      <c r="AJ1268" s="213"/>
      <c r="AK1268" s="213"/>
      <c r="AL1268" s="213"/>
      <c r="AM1268" s="213"/>
      <c r="AN1268" s="213"/>
      <c r="AO1268" s="213"/>
      <c r="AP1268" s="213"/>
      <c r="AQ1268" s="213"/>
      <c r="AR1268" s="213"/>
      <c r="AS1268" s="213"/>
      <c r="AT1268" s="213"/>
      <c r="AU1268" s="213"/>
      <c r="AV1268" s="213"/>
      <c r="AW1268" s="213"/>
      <c r="AX1268" s="213"/>
      <c r="AY1268" s="213"/>
      <c r="AZ1268" s="213"/>
      <c r="BA1268" s="213"/>
      <c r="BB1268" s="213"/>
      <c r="BC1268" s="213"/>
      <c r="BD1268" s="213"/>
    </row>
    <row r="1269">
      <c r="A1269" s="213">
        <f>IFERROR(__xludf.DUMMYFUNCTION("""COMPUTED_VALUE"""),861.0)</f>
        <v>861</v>
      </c>
      <c r="B1269" s="213" t="str">
        <f>IFERROR(__xludf.DUMMYFUNCTION("""COMPUTED_VALUE"""),"6049 RICARDO PALMA")</f>
        <v>6049 RICARDO PALMA</v>
      </c>
      <c r="C1269" s="213" t="str">
        <f>IFERROR(__xludf.DUMMYFUNCTION("""COMPUTED_VALUE"""),"TALLER SFT DE ELECTRICIDAD")</f>
        <v>TALLER SFT DE ELECTRICIDAD</v>
      </c>
      <c r="D1269" s="213" t="str">
        <f>IFERROR(__xludf.DUMMYFUNCTION("""COMPUTED_VALUE"""),"PEDAGOGICO")</f>
        <v>PEDAGOGICO</v>
      </c>
      <c r="E1269" s="213" t="str">
        <f>IFERROR(__xludf.DUMMYFUNCTION("""COMPUTED_VALUE"""),"MAT-245")</f>
        <v>MAT-245</v>
      </c>
      <c r="F1269" s="213" t="str">
        <f>IFERROR(__xludf.DUMMYFUNCTION("""COMPUTED_VALUE"""),"KEFF-02")</f>
        <v>KEFF-02</v>
      </c>
      <c r="G1269" s="213"/>
      <c r="H1269" s="213" t="str">
        <f>IFERROR(__xludf.DUMMYFUNCTION("""COMPUTED_VALUE"""),"MANUAL DE MANTENIMIENTO POR CADA EQUIPO DE IDENTIFICACIÓN DE NECESIDADES Y PROBLEMAS")</f>
        <v>MANUAL DE MANTENIMIENTO POR CADA EQUIPO DE IDENTIFICACIÓN DE NECESIDADES Y PROBLEMAS</v>
      </c>
      <c r="I126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269" s="213">
        <f>IFERROR(__xludf.DUMMYFUNCTION("""COMPUTED_VALUE"""),3.0)</f>
        <v>3</v>
      </c>
      <c r="K1269" s="213" t="str">
        <f>IFERROR(__xludf.DUMMYFUNCTION("""COMPUTED_VALUE"""),"170 DÍAS CALENDARIO")</f>
        <v>170 DÍAS CALENDARIO</v>
      </c>
      <c r="L1269" s="213" t="str">
        <f>IFERROR(__xludf.DUMMYFUNCTION("""COMPUTED_VALUE"""),"")</f>
        <v/>
      </c>
      <c r="M1269" s="213">
        <f>IFERROR(__xludf.DUMMYFUNCTION("""COMPUTED_VALUE"""),1.0)</f>
        <v>1</v>
      </c>
      <c r="N1269" s="213">
        <f>IFERROR(__xludf.DUMMYFUNCTION("""COMPUTED_VALUE"""),6.0)</f>
        <v>6</v>
      </c>
      <c r="O1269" s="213">
        <f>IFERROR(__xludf.DUMMYFUNCTION("""COMPUTED_VALUE"""),6.0)</f>
        <v>6</v>
      </c>
      <c r="P1269" s="213"/>
      <c r="Q1269" s="213"/>
      <c r="R1269" s="213"/>
      <c r="S1269" s="213"/>
      <c r="T1269" s="213"/>
      <c r="U1269" s="213"/>
      <c r="V1269" s="213"/>
      <c r="W1269" s="213"/>
      <c r="X1269" s="213"/>
      <c r="Y1269" s="213"/>
      <c r="Z1269" s="213"/>
      <c r="AA1269" s="213"/>
      <c r="AB1269" s="213"/>
      <c r="AC1269" s="213"/>
      <c r="AD1269" s="213"/>
      <c r="AE1269" s="213"/>
      <c r="AF1269" s="213"/>
      <c r="AG1269" s="213"/>
      <c r="AH1269" s="213"/>
      <c r="AI1269" s="213"/>
      <c r="AJ1269" s="213"/>
      <c r="AK1269" s="213"/>
      <c r="AL1269" s="213"/>
      <c r="AM1269" s="213"/>
      <c r="AN1269" s="213"/>
      <c r="AO1269" s="213"/>
      <c r="AP1269" s="213"/>
      <c r="AQ1269" s="213"/>
      <c r="AR1269" s="213"/>
      <c r="AS1269" s="213"/>
      <c r="AT1269" s="213"/>
      <c r="AU1269" s="213"/>
      <c r="AV1269" s="213"/>
      <c r="AW1269" s="213"/>
      <c r="AX1269" s="213"/>
      <c r="AY1269" s="213"/>
      <c r="AZ1269" s="213"/>
      <c r="BA1269" s="213"/>
      <c r="BB1269" s="213"/>
      <c r="BC1269" s="213"/>
      <c r="BD1269" s="213"/>
    </row>
    <row r="1270">
      <c r="A1270" s="213">
        <f>IFERROR(__xludf.DUMMYFUNCTION("""COMPUTED_VALUE"""),1006.0)</f>
        <v>1006</v>
      </c>
      <c r="B1270" s="213" t="str">
        <f>IFERROR(__xludf.DUMMYFUNCTION("""COMPUTED_VALUE"""),"FRANCISCO IRAZOLA")</f>
        <v>FRANCISCO IRAZOLA</v>
      </c>
      <c r="C1270" s="213" t="str">
        <f>IFERROR(__xludf.DUMMYFUNCTION("""COMPUTED_VALUE"""),"TALLER SFT DE MECÁNICA AUTOMOTRIZ")</f>
        <v>TALLER SFT DE MECÁNICA AUTOMOTRIZ</v>
      </c>
      <c r="D1270" s="213" t="str">
        <f>IFERROR(__xludf.DUMMYFUNCTION("""COMPUTED_VALUE"""),"PEDAGOGICO")</f>
        <v>PEDAGOGICO</v>
      </c>
      <c r="E1270" s="213" t="str">
        <f>IFERROR(__xludf.DUMMYFUNCTION("""COMPUTED_VALUE"""),"MAT-245")</f>
        <v>MAT-245</v>
      </c>
      <c r="F1270" s="213" t="str">
        <f>IFERROR(__xludf.DUMMYFUNCTION("""COMPUTED_VALUE"""),"KEFF-02")</f>
        <v>KEFF-02</v>
      </c>
      <c r="G1270" s="213"/>
      <c r="H1270" s="213" t="str">
        <f>IFERROR(__xludf.DUMMYFUNCTION("""COMPUTED_VALUE"""),"MANUAL DE MANTENIMIENTO POR CADA EQUIPO DE IDENTIFICACIÓN DE NECESIDADES Y PROBLEMAS")</f>
        <v>MANUAL DE MANTENIMIENTO POR CADA EQUIPO DE IDENTIFICACIÓN DE NECESIDADES Y PROBLEMAS</v>
      </c>
      <c r="I127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270" s="213">
        <f>IFERROR(__xludf.DUMMYFUNCTION("""COMPUTED_VALUE"""),3.0)</f>
        <v>3</v>
      </c>
      <c r="K1270" s="213" t="str">
        <f>IFERROR(__xludf.DUMMYFUNCTION("""COMPUTED_VALUE"""),"170 DÍAS CALENDARIO")</f>
        <v>170 DÍAS CALENDARIO</v>
      </c>
      <c r="L1270" s="213" t="str">
        <f>IFERROR(__xludf.DUMMYFUNCTION("""COMPUTED_VALUE"""),"")</f>
        <v/>
      </c>
      <c r="M1270" s="213">
        <f>IFERROR(__xludf.DUMMYFUNCTION("""COMPUTED_VALUE"""),1.0)</f>
        <v>1</v>
      </c>
      <c r="N1270" s="213">
        <f>IFERROR(__xludf.DUMMYFUNCTION("""COMPUTED_VALUE"""),6.0)</f>
        <v>6</v>
      </c>
      <c r="O1270" s="213">
        <f>IFERROR(__xludf.DUMMYFUNCTION("""COMPUTED_VALUE"""),6.0)</f>
        <v>6</v>
      </c>
      <c r="P1270" s="213"/>
      <c r="Q1270" s="213"/>
      <c r="R1270" s="213"/>
      <c r="S1270" s="213"/>
      <c r="T1270" s="213"/>
      <c r="U1270" s="213"/>
      <c r="V1270" s="213"/>
      <c r="W1270" s="213"/>
      <c r="X1270" s="213"/>
      <c r="Y1270" s="213"/>
      <c r="Z1270" s="213"/>
      <c r="AA1270" s="213"/>
      <c r="AB1270" s="213"/>
      <c r="AC1270" s="213"/>
      <c r="AD1270" s="213"/>
      <c r="AE1270" s="213"/>
      <c r="AF1270" s="213"/>
      <c r="AG1270" s="213"/>
      <c r="AH1270" s="213"/>
      <c r="AI1270" s="213"/>
      <c r="AJ1270" s="213"/>
      <c r="AK1270" s="213"/>
      <c r="AL1270" s="213"/>
      <c r="AM1270" s="213"/>
      <c r="AN1270" s="213"/>
      <c r="AO1270" s="213"/>
      <c r="AP1270" s="213"/>
      <c r="AQ1270" s="213"/>
      <c r="AR1270" s="213"/>
      <c r="AS1270" s="213"/>
      <c r="AT1270" s="213"/>
      <c r="AU1270" s="213"/>
      <c r="AV1270" s="213"/>
      <c r="AW1270" s="213"/>
      <c r="AX1270" s="213"/>
      <c r="AY1270" s="213"/>
      <c r="AZ1270" s="213"/>
      <c r="BA1270" s="213"/>
      <c r="BB1270" s="213"/>
      <c r="BC1270" s="213"/>
      <c r="BD1270" s="213"/>
    </row>
    <row r="1271">
      <c r="A1271" s="213">
        <f>IFERROR(__xludf.DUMMYFUNCTION("""COMPUTED_VALUE"""),1283.0)</f>
        <v>1283</v>
      </c>
      <c r="B1271" s="213" t="str">
        <f>IFERROR(__xludf.DUMMYFUNCTION("""COMPUTED_VALUE"""),"GUILLERMO E. BILLINGHURST ")</f>
        <v>GUILLERMO E. BILLINGHURST </v>
      </c>
      <c r="C1271" s="213" t="str">
        <f>IFERROR(__xludf.DUMMYFUNCTION("""COMPUTED_VALUE"""),"TALLER SFT DE ELECTRICIDAD")</f>
        <v>TALLER SFT DE ELECTRICIDAD</v>
      </c>
      <c r="D1271" s="213" t="str">
        <f>IFERROR(__xludf.DUMMYFUNCTION("""COMPUTED_VALUE"""),"PEDAGOGICO")</f>
        <v>PEDAGOGICO</v>
      </c>
      <c r="E1271" s="213" t="str">
        <f>IFERROR(__xludf.DUMMYFUNCTION("""COMPUTED_VALUE"""),"MAT-245")</f>
        <v>MAT-245</v>
      </c>
      <c r="F1271" s="213" t="str">
        <f>IFERROR(__xludf.DUMMYFUNCTION("""COMPUTED_VALUE"""),"KEFF-02")</f>
        <v>KEFF-02</v>
      </c>
      <c r="G1271" s="213"/>
      <c r="H1271" s="213" t="str">
        <f>IFERROR(__xludf.DUMMYFUNCTION("""COMPUTED_VALUE"""),"MANUAL DE MANTENIMIENTO POR CADA EQUIPO DE IDENTIFICACIÓN DE NECESIDADES Y PROBLEMAS")</f>
        <v>MANUAL DE MANTENIMIENTO POR CADA EQUIPO DE IDENTIFICACIÓN DE NECESIDADES Y PROBLEMAS</v>
      </c>
      <c r="I127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271" s="213">
        <f>IFERROR(__xludf.DUMMYFUNCTION("""COMPUTED_VALUE"""),3.0)</f>
        <v>3</v>
      </c>
      <c r="K1271" s="213" t="str">
        <f>IFERROR(__xludf.DUMMYFUNCTION("""COMPUTED_VALUE"""),"170 DÍAS CALENDARIO")</f>
        <v>170 DÍAS CALENDARIO</v>
      </c>
      <c r="L1271" s="213" t="str">
        <f>IFERROR(__xludf.DUMMYFUNCTION("""COMPUTED_VALUE"""),"")</f>
        <v/>
      </c>
      <c r="M1271" s="213">
        <f>IFERROR(__xludf.DUMMYFUNCTION("""COMPUTED_VALUE"""),1.0)</f>
        <v>1</v>
      </c>
      <c r="N1271" s="213">
        <f>IFERROR(__xludf.DUMMYFUNCTION("""COMPUTED_VALUE"""),6.0)</f>
        <v>6</v>
      </c>
      <c r="O1271" s="213">
        <f>IFERROR(__xludf.DUMMYFUNCTION("""COMPUTED_VALUE"""),6.0)</f>
        <v>6</v>
      </c>
      <c r="P1271" s="213"/>
      <c r="Q1271" s="213"/>
      <c r="R1271" s="213"/>
      <c r="S1271" s="213"/>
      <c r="T1271" s="213"/>
      <c r="U1271" s="213"/>
      <c r="V1271" s="213"/>
      <c r="W1271" s="213"/>
      <c r="X1271" s="213"/>
      <c r="Y1271" s="213"/>
      <c r="Z1271" s="213"/>
      <c r="AA1271" s="213"/>
      <c r="AB1271" s="213"/>
      <c r="AC1271" s="213"/>
      <c r="AD1271" s="213"/>
      <c r="AE1271" s="213"/>
      <c r="AF1271" s="213"/>
      <c r="AG1271" s="213"/>
      <c r="AH1271" s="213"/>
      <c r="AI1271" s="213"/>
      <c r="AJ1271" s="213"/>
      <c r="AK1271" s="213"/>
      <c r="AL1271" s="213"/>
      <c r="AM1271" s="213"/>
      <c r="AN1271" s="213"/>
      <c r="AO1271" s="213"/>
      <c r="AP1271" s="213"/>
      <c r="AQ1271" s="213"/>
      <c r="AR1271" s="213"/>
      <c r="AS1271" s="213"/>
      <c r="AT1271" s="213"/>
      <c r="AU1271" s="213"/>
      <c r="AV1271" s="213"/>
      <c r="AW1271" s="213"/>
      <c r="AX1271" s="213"/>
      <c r="AY1271" s="213"/>
      <c r="AZ1271" s="213"/>
      <c r="BA1271" s="213"/>
      <c r="BB1271" s="213"/>
      <c r="BC1271" s="213"/>
      <c r="BD1271" s="213"/>
    </row>
    <row r="1272">
      <c r="A1272" s="213">
        <f>IFERROR(__xludf.DUMMYFUNCTION("""COMPUTED_VALUE"""),1611.0)</f>
        <v>1611</v>
      </c>
      <c r="B1272" s="213" t="str">
        <f>IFERROR(__xludf.DUMMYFUNCTION("""COMPUTED_VALUE"""),"GUILLERMO E. BILLINGHURST ")</f>
        <v>GUILLERMO E. BILLINGHURST </v>
      </c>
      <c r="C1272" s="213" t="str">
        <f>IFERROR(__xludf.DUMMYFUNCTION("""COMPUTED_VALUE"""),"TALLER SFT DE MECÁNICA AUTOMOTRIZ")</f>
        <v>TALLER SFT DE MECÁNICA AUTOMOTRIZ</v>
      </c>
      <c r="D1272" s="213" t="str">
        <f>IFERROR(__xludf.DUMMYFUNCTION("""COMPUTED_VALUE"""),"PEDAGOGICO")</f>
        <v>PEDAGOGICO</v>
      </c>
      <c r="E1272" s="213" t="str">
        <f>IFERROR(__xludf.DUMMYFUNCTION("""COMPUTED_VALUE"""),"MAT-245")</f>
        <v>MAT-245</v>
      </c>
      <c r="F1272" s="213" t="str">
        <f>IFERROR(__xludf.DUMMYFUNCTION("""COMPUTED_VALUE"""),"KEFF-02")</f>
        <v>KEFF-02</v>
      </c>
      <c r="G1272" s="213"/>
      <c r="H1272" s="213" t="str">
        <f>IFERROR(__xludf.DUMMYFUNCTION("""COMPUTED_VALUE"""),"MANUAL DE MANTENIMIENTO POR CADA EQUIPO DE IDENTIFICACIÓN DE NECESIDADES Y PROBLEMAS")</f>
        <v>MANUAL DE MANTENIMIENTO POR CADA EQUIPO DE IDENTIFICACIÓN DE NECESIDADES Y PROBLEMAS</v>
      </c>
      <c r="I127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272" s="213">
        <f>IFERROR(__xludf.DUMMYFUNCTION("""COMPUTED_VALUE"""),3.0)</f>
        <v>3</v>
      </c>
      <c r="K1272" s="213" t="str">
        <f>IFERROR(__xludf.DUMMYFUNCTION("""COMPUTED_VALUE"""),"170 DÍAS CALENDARIO")</f>
        <v>170 DÍAS CALENDARIO</v>
      </c>
      <c r="L1272" s="213" t="str">
        <f>IFERROR(__xludf.DUMMYFUNCTION("""COMPUTED_VALUE"""),"")</f>
        <v/>
      </c>
      <c r="M1272" s="213">
        <f>IFERROR(__xludf.DUMMYFUNCTION("""COMPUTED_VALUE"""),1.0)</f>
        <v>1</v>
      </c>
      <c r="N1272" s="213">
        <f>IFERROR(__xludf.DUMMYFUNCTION("""COMPUTED_VALUE"""),6.0)</f>
        <v>6</v>
      </c>
      <c r="O1272" s="213">
        <f>IFERROR(__xludf.DUMMYFUNCTION("""COMPUTED_VALUE"""),6.0)</f>
        <v>6</v>
      </c>
      <c r="P1272" s="213"/>
      <c r="Q1272" s="213"/>
      <c r="R1272" s="213"/>
      <c r="S1272" s="213"/>
      <c r="T1272" s="213"/>
      <c r="U1272" s="213"/>
      <c r="V1272" s="213"/>
      <c r="W1272" s="213"/>
      <c r="X1272" s="213"/>
      <c r="Y1272" s="213"/>
      <c r="Z1272" s="213"/>
      <c r="AA1272" s="213"/>
      <c r="AB1272" s="213"/>
      <c r="AC1272" s="213"/>
      <c r="AD1272" s="213"/>
      <c r="AE1272" s="213"/>
      <c r="AF1272" s="213"/>
      <c r="AG1272" s="213"/>
      <c r="AH1272" s="213"/>
      <c r="AI1272" s="213"/>
      <c r="AJ1272" s="213"/>
      <c r="AK1272" s="213"/>
      <c r="AL1272" s="213"/>
      <c r="AM1272" s="213"/>
      <c r="AN1272" s="213"/>
      <c r="AO1272" s="213"/>
      <c r="AP1272" s="213"/>
      <c r="AQ1272" s="213"/>
      <c r="AR1272" s="213"/>
      <c r="AS1272" s="213"/>
      <c r="AT1272" s="213"/>
      <c r="AU1272" s="213"/>
      <c r="AV1272" s="213"/>
      <c r="AW1272" s="213"/>
      <c r="AX1272" s="213"/>
      <c r="AY1272" s="213"/>
      <c r="AZ1272" s="213"/>
      <c r="BA1272" s="213"/>
      <c r="BB1272" s="213"/>
      <c r="BC1272" s="213"/>
      <c r="BD1272" s="213"/>
    </row>
    <row r="1273">
      <c r="A1273" s="213">
        <f>IFERROR(__xludf.DUMMYFUNCTION("""COMPUTED_VALUE"""),1719.0)</f>
        <v>1719</v>
      </c>
      <c r="B1273" s="213" t="str">
        <f>IFERROR(__xludf.DUMMYFUNCTION("""COMPUTED_VALUE"""),"GUILLERMO E. BILLINGHURST ")</f>
        <v>GUILLERMO E. BILLINGHURST </v>
      </c>
      <c r="C1273" s="213" t="str">
        <f>IFERROR(__xludf.DUMMYFUNCTION("""COMPUTED_VALUE"""),"TALLER SFT DE COMPUTACIÓN E INFORMÁTICA")</f>
        <v>TALLER SFT DE COMPUTACIÓN E INFORMÁTICA</v>
      </c>
      <c r="D1273" s="213" t="str">
        <f>IFERROR(__xludf.DUMMYFUNCTION("""COMPUTED_VALUE"""),"PEDAGOGICO")</f>
        <v>PEDAGOGICO</v>
      </c>
      <c r="E1273" s="213" t="str">
        <f>IFERROR(__xludf.DUMMYFUNCTION("""COMPUTED_VALUE"""),"MAT-245")</f>
        <v>MAT-245</v>
      </c>
      <c r="F1273" s="213" t="str">
        <f>IFERROR(__xludf.DUMMYFUNCTION("""COMPUTED_VALUE"""),"KEFF-02")</f>
        <v>KEFF-02</v>
      </c>
      <c r="G1273" s="213"/>
      <c r="H1273" s="213" t="str">
        <f>IFERROR(__xludf.DUMMYFUNCTION("""COMPUTED_VALUE"""),"MANUAL DE MANTENIMIENTO POR CADA EQUIPO DE IDENTIFICACIÓN DE NECESIDADES Y PROBLEMAS")</f>
        <v>MANUAL DE MANTENIMIENTO POR CADA EQUIPO DE IDENTIFICACIÓN DE NECESIDADES Y PROBLEMAS</v>
      </c>
      <c r="I127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273" s="213">
        <f>IFERROR(__xludf.DUMMYFUNCTION("""COMPUTED_VALUE"""),3.0)</f>
        <v>3</v>
      </c>
      <c r="K1273" s="213" t="str">
        <f>IFERROR(__xludf.DUMMYFUNCTION("""COMPUTED_VALUE"""),"170 DÍAS CALENDARIO")</f>
        <v>170 DÍAS CALENDARIO</v>
      </c>
      <c r="L1273" s="213" t="str">
        <f>IFERROR(__xludf.DUMMYFUNCTION("""COMPUTED_VALUE"""),"")</f>
        <v/>
      </c>
      <c r="M1273" s="213">
        <f>IFERROR(__xludf.DUMMYFUNCTION("""COMPUTED_VALUE"""),1.0)</f>
        <v>1</v>
      </c>
      <c r="N1273" s="213">
        <f>IFERROR(__xludf.DUMMYFUNCTION("""COMPUTED_VALUE"""),6.0)</f>
        <v>6</v>
      </c>
      <c r="O1273" s="213">
        <f>IFERROR(__xludf.DUMMYFUNCTION("""COMPUTED_VALUE"""),6.0)</f>
        <v>6</v>
      </c>
      <c r="P1273" s="213"/>
      <c r="Q1273" s="213"/>
      <c r="R1273" s="213"/>
      <c r="S1273" s="213"/>
      <c r="T1273" s="213"/>
      <c r="U1273" s="213"/>
      <c r="V1273" s="213"/>
      <c r="W1273" s="213"/>
      <c r="X1273" s="213"/>
      <c r="Y1273" s="213"/>
      <c r="Z1273" s="213"/>
      <c r="AA1273" s="213"/>
      <c r="AB1273" s="213"/>
      <c r="AC1273" s="213"/>
      <c r="AD1273" s="213"/>
      <c r="AE1273" s="213"/>
      <c r="AF1273" s="213"/>
      <c r="AG1273" s="213"/>
      <c r="AH1273" s="213"/>
      <c r="AI1273" s="213"/>
      <c r="AJ1273" s="213"/>
      <c r="AK1273" s="213"/>
      <c r="AL1273" s="213"/>
      <c r="AM1273" s="213"/>
      <c r="AN1273" s="213"/>
      <c r="AO1273" s="213"/>
      <c r="AP1273" s="213"/>
      <c r="AQ1273" s="213"/>
      <c r="AR1273" s="213"/>
      <c r="AS1273" s="213"/>
      <c r="AT1273" s="213"/>
      <c r="AU1273" s="213"/>
      <c r="AV1273" s="213"/>
      <c r="AW1273" s="213"/>
      <c r="AX1273" s="213"/>
      <c r="AY1273" s="213"/>
      <c r="AZ1273" s="213"/>
      <c r="BA1273" s="213"/>
      <c r="BB1273" s="213"/>
      <c r="BC1273" s="213"/>
      <c r="BD1273" s="213"/>
    </row>
    <row r="1274">
      <c r="A1274" s="213">
        <f>IFERROR(__xludf.DUMMYFUNCTION("""COMPUTED_VALUE"""),1969.0)</f>
        <v>1969</v>
      </c>
      <c r="B1274" s="213" t="str">
        <f>IFERROR(__xludf.DUMMYFUNCTION("""COMPUTED_VALUE"""),"JOSE GRANDA")</f>
        <v>JOSE GRANDA</v>
      </c>
      <c r="C1274" s="213" t="str">
        <f>IFERROR(__xludf.DUMMYFUNCTION("""COMPUTED_VALUE"""),"TALLER SFT DE COMPUTACIÓN E INFORMÁTICA")</f>
        <v>TALLER SFT DE COMPUTACIÓN E INFORMÁTICA</v>
      </c>
      <c r="D1274" s="213" t="str">
        <f>IFERROR(__xludf.DUMMYFUNCTION("""COMPUTED_VALUE"""),"PEDAGOGICO")</f>
        <v>PEDAGOGICO</v>
      </c>
      <c r="E1274" s="213" t="str">
        <f>IFERROR(__xludf.DUMMYFUNCTION("""COMPUTED_VALUE"""),"MAT-245")</f>
        <v>MAT-245</v>
      </c>
      <c r="F1274" s="213" t="str">
        <f>IFERROR(__xludf.DUMMYFUNCTION("""COMPUTED_VALUE"""),"KEFF-02")</f>
        <v>KEFF-02</v>
      </c>
      <c r="G1274" s="213"/>
      <c r="H1274" s="213" t="str">
        <f>IFERROR(__xludf.DUMMYFUNCTION("""COMPUTED_VALUE"""),"MANUAL DE MANTENIMIENTO POR CADA EQUIPO DE IDENTIFICACIÓN DE NECESIDADES Y PROBLEMAS")</f>
        <v>MANUAL DE MANTENIMIENTO POR CADA EQUIPO DE IDENTIFICACIÓN DE NECESIDADES Y PROBLEMAS</v>
      </c>
      <c r="I127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274" s="213">
        <f>IFERROR(__xludf.DUMMYFUNCTION("""COMPUTED_VALUE"""),3.0)</f>
        <v>3</v>
      </c>
      <c r="K1274" s="213" t="str">
        <f>IFERROR(__xludf.DUMMYFUNCTION("""COMPUTED_VALUE"""),"170 DÍAS CALENDARIO")</f>
        <v>170 DÍAS CALENDARIO</v>
      </c>
      <c r="L1274" s="213" t="str">
        <f>IFERROR(__xludf.DUMMYFUNCTION("""COMPUTED_VALUE"""),"")</f>
        <v/>
      </c>
      <c r="M1274" s="213">
        <f>IFERROR(__xludf.DUMMYFUNCTION("""COMPUTED_VALUE"""),1.0)</f>
        <v>1</v>
      </c>
      <c r="N1274" s="213">
        <f>IFERROR(__xludf.DUMMYFUNCTION("""COMPUTED_VALUE"""),6.0)</f>
        <v>6</v>
      </c>
      <c r="O1274" s="213">
        <f>IFERROR(__xludf.DUMMYFUNCTION("""COMPUTED_VALUE"""),6.0)</f>
        <v>6</v>
      </c>
      <c r="P1274" s="213"/>
      <c r="Q1274" s="213"/>
      <c r="R1274" s="213"/>
      <c r="S1274" s="213"/>
      <c r="T1274" s="213"/>
      <c r="U1274" s="213"/>
      <c r="V1274" s="213"/>
      <c r="W1274" s="213"/>
      <c r="X1274" s="213"/>
      <c r="Y1274" s="213"/>
      <c r="Z1274" s="213"/>
      <c r="AA1274" s="213"/>
      <c r="AB1274" s="213"/>
      <c r="AC1274" s="213"/>
      <c r="AD1274" s="213"/>
      <c r="AE1274" s="213"/>
      <c r="AF1274" s="213"/>
      <c r="AG1274" s="213"/>
      <c r="AH1274" s="213"/>
      <c r="AI1274" s="213"/>
      <c r="AJ1274" s="213"/>
      <c r="AK1274" s="213"/>
      <c r="AL1274" s="213"/>
      <c r="AM1274" s="213"/>
      <c r="AN1274" s="213"/>
      <c r="AO1274" s="213"/>
      <c r="AP1274" s="213"/>
      <c r="AQ1274" s="213"/>
      <c r="AR1274" s="213"/>
      <c r="AS1274" s="213"/>
      <c r="AT1274" s="213"/>
      <c r="AU1274" s="213"/>
      <c r="AV1274" s="213"/>
      <c r="AW1274" s="213"/>
      <c r="AX1274" s="213"/>
      <c r="AY1274" s="213"/>
      <c r="AZ1274" s="213"/>
      <c r="BA1274" s="213"/>
      <c r="BB1274" s="213"/>
      <c r="BC1274" s="213"/>
      <c r="BD1274" s="213"/>
    </row>
    <row r="1275">
      <c r="A1275" s="213">
        <f>IFERROR(__xludf.DUMMYFUNCTION("""COMPUTED_VALUE"""),2303.0)</f>
        <v>2303</v>
      </c>
      <c r="B1275" s="213" t="str">
        <f>IFERROR(__xludf.DUMMYFUNCTION("""COMPUTED_VALUE"""),"JOSE GRANDA")</f>
        <v>JOSE GRANDA</v>
      </c>
      <c r="C1275" s="213" t="str">
        <f>IFERROR(__xludf.DUMMYFUNCTION("""COMPUTED_VALUE"""),"TALLER SFT DE MECÁNICA AUTOMOTRIZ")</f>
        <v>TALLER SFT DE MECÁNICA AUTOMOTRIZ</v>
      </c>
      <c r="D1275" s="213" t="str">
        <f>IFERROR(__xludf.DUMMYFUNCTION("""COMPUTED_VALUE"""),"PEDAGOGICO")</f>
        <v>PEDAGOGICO</v>
      </c>
      <c r="E1275" s="213" t="str">
        <f>IFERROR(__xludf.DUMMYFUNCTION("""COMPUTED_VALUE"""),"MAT-245")</f>
        <v>MAT-245</v>
      </c>
      <c r="F1275" s="213" t="str">
        <f>IFERROR(__xludf.DUMMYFUNCTION("""COMPUTED_VALUE"""),"KEFF-02")</f>
        <v>KEFF-02</v>
      </c>
      <c r="G1275" s="213"/>
      <c r="H1275" s="213" t="str">
        <f>IFERROR(__xludf.DUMMYFUNCTION("""COMPUTED_VALUE"""),"MANUAL DE MANTENIMIENTO POR CADA EQUIPO DE IDENTIFICACIÓN DE NECESIDADES Y PROBLEMAS")</f>
        <v>MANUAL DE MANTENIMIENTO POR CADA EQUIPO DE IDENTIFICACIÓN DE NECESIDADES Y PROBLEMAS</v>
      </c>
      <c r="I127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275" s="213">
        <f>IFERROR(__xludf.DUMMYFUNCTION("""COMPUTED_VALUE"""),3.0)</f>
        <v>3</v>
      </c>
      <c r="K1275" s="213" t="str">
        <f>IFERROR(__xludf.DUMMYFUNCTION("""COMPUTED_VALUE"""),"170 DÍAS CALENDARIO")</f>
        <v>170 DÍAS CALENDARIO</v>
      </c>
      <c r="L1275" s="213" t="str">
        <f>IFERROR(__xludf.DUMMYFUNCTION("""COMPUTED_VALUE"""),"")</f>
        <v/>
      </c>
      <c r="M1275" s="213">
        <f>IFERROR(__xludf.DUMMYFUNCTION("""COMPUTED_VALUE"""),1.0)</f>
        <v>1</v>
      </c>
      <c r="N1275" s="213">
        <f>IFERROR(__xludf.DUMMYFUNCTION("""COMPUTED_VALUE"""),6.0)</f>
        <v>6</v>
      </c>
      <c r="O1275" s="213">
        <f>IFERROR(__xludf.DUMMYFUNCTION("""COMPUTED_VALUE"""),6.0)</f>
        <v>6</v>
      </c>
      <c r="P1275" s="213"/>
      <c r="Q1275" s="213"/>
      <c r="R1275" s="213"/>
      <c r="S1275" s="213"/>
      <c r="T1275" s="213"/>
      <c r="U1275" s="213"/>
      <c r="V1275" s="213"/>
      <c r="W1275" s="213"/>
      <c r="X1275" s="213"/>
      <c r="Y1275" s="213"/>
      <c r="Z1275" s="213"/>
      <c r="AA1275" s="213"/>
      <c r="AB1275" s="213"/>
      <c r="AC1275" s="213"/>
      <c r="AD1275" s="213"/>
      <c r="AE1275" s="213"/>
      <c r="AF1275" s="213"/>
      <c r="AG1275" s="213"/>
      <c r="AH1275" s="213"/>
      <c r="AI1275" s="213"/>
      <c r="AJ1275" s="213"/>
      <c r="AK1275" s="213"/>
      <c r="AL1275" s="213"/>
      <c r="AM1275" s="213"/>
      <c r="AN1275" s="213"/>
      <c r="AO1275" s="213"/>
      <c r="AP1275" s="213"/>
      <c r="AQ1275" s="213"/>
      <c r="AR1275" s="213"/>
      <c r="AS1275" s="213"/>
      <c r="AT1275" s="213"/>
      <c r="AU1275" s="213"/>
      <c r="AV1275" s="213"/>
      <c r="AW1275" s="213"/>
      <c r="AX1275" s="213"/>
      <c r="AY1275" s="213"/>
      <c r="AZ1275" s="213"/>
      <c r="BA1275" s="213"/>
      <c r="BB1275" s="213"/>
      <c r="BC1275" s="213"/>
      <c r="BD1275" s="213"/>
    </row>
    <row r="1276">
      <c r="A1276" s="213">
        <f>IFERROR(__xludf.DUMMYFUNCTION("""COMPUTED_VALUE"""),2430.0)</f>
        <v>2430</v>
      </c>
      <c r="B1276" s="213" t="str">
        <f>IFERROR(__xludf.DUMMYFUNCTION("""COMPUTED_VALUE"""),"MANUEL ANTONIO MESONES MURO")</f>
        <v>MANUEL ANTONIO MESONES MURO</v>
      </c>
      <c r="C1276" s="213" t="str">
        <f>IFERROR(__xludf.DUMMYFUNCTION("""COMPUTED_VALUE"""),"TALLER SFT DE INDUSTRIA DEL VESTIDO")</f>
        <v>TALLER SFT DE INDUSTRIA DEL VESTIDO</v>
      </c>
      <c r="D1276" s="213" t="str">
        <f>IFERROR(__xludf.DUMMYFUNCTION("""COMPUTED_VALUE"""),"PEDAGOGICO")</f>
        <v>PEDAGOGICO</v>
      </c>
      <c r="E1276" s="213" t="str">
        <f>IFERROR(__xludf.DUMMYFUNCTION("""COMPUTED_VALUE"""),"MAT-245")</f>
        <v>MAT-245</v>
      </c>
      <c r="F1276" s="213" t="str">
        <f>IFERROR(__xludf.DUMMYFUNCTION("""COMPUTED_VALUE"""),"KEFF-02")</f>
        <v>KEFF-02</v>
      </c>
      <c r="G1276" s="213"/>
      <c r="H1276" s="213" t="str">
        <f>IFERROR(__xludf.DUMMYFUNCTION("""COMPUTED_VALUE"""),"MANUAL DE MANTENIMIENTO POR CADA EQUIPO DE IDENTIFICACIÓN DE NECESIDADES Y PROBLEMAS")</f>
        <v>MANUAL DE MANTENIMIENTO POR CADA EQUIPO DE IDENTIFICACIÓN DE NECESIDADES Y PROBLEMAS</v>
      </c>
      <c r="I127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Contenido que presenta:
- Descripción de los tipos de"&amp;"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276" s="213">
        <f>IFERROR(__xludf.DUMMYFUNCTION("""COMPUTED_VALUE"""),3.0)</f>
        <v>3</v>
      </c>
      <c r="K1276" s="213" t="str">
        <f>IFERROR(__xludf.DUMMYFUNCTION("""COMPUTED_VALUE"""),"170 DÍAS CALENDARIO")</f>
        <v>170 DÍAS CALENDARIO</v>
      </c>
      <c r="L1276" s="213" t="str">
        <f>IFERROR(__xludf.DUMMYFUNCTION("""COMPUTED_VALUE"""),"")</f>
        <v/>
      </c>
      <c r="M1276" s="213">
        <f>IFERROR(__xludf.DUMMYFUNCTION("""COMPUTED_VALUE"""),1.0)</f>
        <v>1</v>
      </c>
      <c r="N1276" s="213">
        <f>IFERROR(__xludf.DUMMYFUNCTION("""COMPUTED_VALUE"""),6.0)</f>
        <v>6</v>
      </c>
      <c r="O1276" s="213">
        <f>IFERROR(__xludf.DUMMYFUNCTION("""COMPUTED_VALUE"""),6.0)</f>
        <v>6</v>
      </c>
      <c r="P1276" s="213"/>
      <c r="Q1276" s="213"/>
      <c r="R1276" s="213"/>
      <c r="S1276" s="213"/>
      <c r="T1276" s="213"/>
      <c r="U1276" s="213"/>
      <c r="V1276" s="213"/>
      <c r="W1276" s="213"/>
      <c r="X1276" s="213"/>
      <c r="Y1276" s="213"/>
      <c r="Z1276" s="213"/>
      <c r="AA1276" s="213"/>
      <c r="AB1276" s="213"/>
      <c r="AC1276" s="213"/>
      <c r="AD1276" s="213"/>
      <c r="AE1276" s="213"/>
      <c r="AF1276" s="213"/>
      <c r="AG1276" s="213"/>
      <c r="AH1276" s="213"/>
      <c r="AI1276" s="213"/>
      <c r="AJ1276" s="213"/>
      <c r="AK1276" s="213"/>
      <c r="AL1276" s="213"/>
      <c r="AM1276" s="213"/>
      <c r="AN1276" s="213"/>
      <c r="AO1276" s="213"/>
      <c r="AP1276" s="213"/>
      <c r="AQ1276" s="213"/>
      <c r="AR1276" s="213"/>
      <c r="AS1276" s="213"/>
      <c r="AT1276" s="213"/>
      <c r="AU1276" s="213"/>
      <c r="AV1276" s="213"/>
      <c r="AW1276" s="213"/>
      <c r="AX1276" s="213"/>
      <c r="AY1276" s="213"/>
      <c r="AZ1276" s="213"/>
      <c r="BA1276" s="213"/>
      <c r="BB1276" s="213"/>
      <c r="BC1276" s="213"/>
      <c r="BD1276" s="213"/>
    </row>
    <row r="1277">
      <c r="A1277" s="213">
        <f>IFERROR(__xludf.DUMMYFUNCTION("""COMPUTED_VALUE"""),1892.0)</f>
        <v>1892</v>
      </c>
      <c r="B1277" s="213" t="str">
        <f>IFERROR(__xludf.DUMMYFUNCTION("""COMPUTED_VALUE"""),"GUILLERMO E. BILLINGHURST ")</f>
        <v>GUILLERMO E. BILLINGHURST </v>
      </c>
      <c r="C1277" s="213" t="str">
        <f>IFERROR(__xludf.DUMMYFUNCTION("""COMPUTED_VALUE"""),"TALLER SFT DE EBANISTERÍA")</f>
        <v>TALLER SFT DE EBANISTERÍA</v>
      </c>
      <c r="D1277" s="213" t="str">
        <f>IFERROR(__xludf.DUMMYFUNCTION("""COMPUTED_VALUE"""),"PEDAGOGICO")</f>
        <v>PEDAGOGICO</v>
      </c>
      <c r="E1277" s="213" t="str">
        <f>IFERROR(__xludf.DUMMYFUNCTION("""COMPUTED_VALUE"""),"MAT-253")</f>
        <v>MAT-253</v>
      </c>
      <c r="F1277" s="213" t="str">
        <f>IFERROR(__xludf.DUMMYFUNCTION("""COMPUTED_VALUE"""),"KEFF-37")</f>
        <v>KEFF-37</v>
      </c>
      <c r="G1277" s="213"/>
      <c r="H1277" s="213" t="str">
        <f>IFERROR(__xludf.DUMMYFUNCTION("""COMPUTED_VALUE"""),"MANUAL DE MANTENIMIENTO POR CADA EQUIPO  DE ACABADOS DE SUPERFICIES")</f>
        <v>MANUAL DE MANTENIMIENTO POR CADA EQUIPO  DE ACABADOS DE SUPERFICIES</v>
      </c>
      <c r="I127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los tipos de mantenimiento que requiere cada equipo de acabados de superficies.
-          Descripción de los materiales que se requiere para su mantenimiento.
Descripción de los procedimientos para realizar el mantenimiento pr"&amp;"eventivo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acabados de superficies.
-          Descripción de los materiales que se requiere para su mantenimiento.
Descripción de los procedimientos para realizar el mantenimiento preventivo de cada equipo</v>
      </c>
      <c r="J1277" s="213">
        <f>IFERROR(__xludf.DUMMYFUNCTION("""COMPUTED_VALUE"""),3.0)</f>
        <v>3</v>
      </c>
      <c r="K1277" s="213" t="str">
        <f>IFERROR(__xludf.DUMMYFUNCTION("""COMPUTED_VALUE"""),"170 DÍAS CALENDARIO")</f>
        <v>170 DÍAS CALENDARIO</v>
      </c>
      <c r="L1277" s="213" t="str">
        <f>IFERROR(__xludf.DUMMYFUNCTION("""COMPUTED_VALUE"""),"")</f>
        <v/>
      </c>
      <c r="M1277" s="213">
        <f>IFERROR(__xludf.DUMMYFUNCTION("""COMPUTED_VALUE"""),1.0)</f>
        <v>1</v>
      </c>
      <c r="N1277" s="213">
        <f>IFERROR(__xludf.DUMMYFUNCTION("""COMPUTED_VALUE"""),6.0)</f>
        <v>6</v>
      </c>
      <c r="O1277" s="213">
        <f>IFERROR(__xludf.DUMMYFUNCTION("""COMPUTED_VALUE"""),6.0)</f>
        <v>6</v>
      </c>
      <c r="P1277" s="213"/>
      <c r="Q1277" s="213"/>
      <c r="R1277" s="213"/>
      <c r="S1277" s="213"/>
      <c r="T1277" s="213"/>
      <c r="U1277" s="213"/>
      <c r="V1277" s="213"/>
      <c r="W1277" s="213"/>
      <c r="X1277" s="213"/>
      <c r="Y1277" s="213"/>
      <c r="Z1277" s="213"/>
      <c r="AA1277" s="213"/>
      <c r="AB1277" s="213"/>
      <c r="AC1277" s="213"/>
      <c r="AD1277" s="213"/>
      <c r="AE1277" s="213"/>
      <c r="AF1277" s="213"/>
      <c r="AG1277" s="213"/>
      <c r="AH1277" s="213"/>
      <c r="AI1277" s="213"/>
      <c r="AJ1277" s="213"/>
      <c r="AK1277" s="213"/>
      <c r="AL1277" s="213"/>
      <c r="AM1277" s="213"/>
      <c r="AN1277" s="213"/>
      <c r="AO1277" s="213"/>
      <c r="AP1277" s="213"/>
      <c r="AQ1277" s="213"/>
      <c r="AR1277" s="213"/>
      <c r="AS1277" s="213"/>
      <c r="AT1277" s="213"/>
      <c r="AU1277" s="213"/>
      <c r="AV1277" s="213"/>
      <c r="AW1277" s="213"/>
      <c r="AX1277" s="213"/>
      <c r="AY1277" s="213"/>
      <c r="AZ1277" s="213"/>
      <c r="BA1277" s="213"/>
      <c r="BB1277" s="213"/>
      <c r="BC1277" s="213"/>
      <c r="BD1277" s="213"/>
    </row>
    <row r="1278">
      <c r="A1278" s="213">
        <f>IFERROR(__xludf.DUMMYFUNCTION("""COMPUTED_VALUE"""),2673.0)</f>
        <v>2673</v>
      </c>
      <c r="B1278" s="213" t="str">
        <f>IFERROR(__xludf.DUMMYFUNCTION("""COMPUTED_VALUE"""),"MANUEL ANTONIO MESONES MURO")</f>
        <v>MANUEL ANTONIO MESONES MURO</v>
      </c>
      <c r="C1278" s="213" t="str">
        <f>IFERROR(__xludf.DUMMYFUNCTION("""COMPUTED_VALUE"""),"TALLER SFT DE EBANISTERÍA")</f>
        <v>TALLER SFT DE EBANISTERÍA</v>
      </c>
      <c r="D1278" s="213" t="str">
        <f>IFERROR(__xludf.DUMMYFUNCTION("""COMPUTED_VALUE"""),"PEDAGOGICO")</f>
        <v>PEDAGOGICO</v>
      </c>
      <c r="E1278" s="213" t="str">
        <f>IFERROR(__xludf.DUMMYFUNCTION("""COMPUTED_VALUE"""),"MAT-253")</f>
        <v>MAT-253</v>
      </c>
      <c r="F1278" s="213" t="str">
        <f>IFERROR(__xludf.DUMMYFUNCTION("""COMPUTED_VALUE"""),"KEFF-37")</f>
        <v>KEFF-37</v>
      </c>
      <c r="G1278" s="213"/>
      <c r="H1278" s="213" t="str">
        <f>IFERROR(__xludf.DUMMYFUNCTION("""COMPUTED_VALUE"""),"MANUAL DE MANTENIMIENTO POR CADA EQUIPO  DE ACABADOS DE SUPERFICIES")</f>
        <v>MANUAL DE MANTENIMIENTO POR CADA EQUIPO  DE ACABADOS DE SUPERFICIES</v>
      </c>
      <c r="I127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los tipos de mantenimiento que requiere cada equipo de acabados de superficies.
-          Descripción de los materiales que se requiere para su mantenimiento.
Descripción de los procedimientos para realizar el mantenimiento pr"&amp;"eventivo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acabados de superficies.
-          Descripción de los materiales que se requiere para su mantenimiento.
Descripción de los procedimientos para realizar el mantenimiento preventivo de cada equipo</v>
      </c>
      <c r="J1278" s="213">
        <f>IFERROR(__xludf.DUMMYFUNCTION("""COMPUTED_VALUE"""),3.0)</f>
        <v>3</v>
      </c>
      <c r="K1278" s="213" t="str">
        <f>IFERROR(__xludf.DUMMYFUNCTION("""COMPUTED_VALUE"""),"170 DÍAS CALENDARIO")</f>
        <v>170 DÍAS CALENDARIO</v>
      </c>
      <c r="L1278" s="213" t="str">
        <f>IFERROR(__xludf.DUMMYFUNCTION("""COMPUTED_VALUE"""),"")</f>
        <v/>
      </c>
      <c r="M1278" s="213">
        <f>IFERROR(__xludf.DUMMYFUNCTION("""COMPUTED_VALUE"""),1.0)</f>
        <v>1</v>
      </c>
      <c r="N1278" s="213">
        <f>IFERROR(__xludf.DUMMYFUNCTION("""COMPUTED_VALUE"""),6.0)</f>
        <v>6</v>
      </c>
      <c r="O1278" s="213">
        <f>IFERROR(__xludf.DUMMYFUNCTION("""COMPUTED_VALUE"""),6.0)</f>
        <v>6</v>
      </c>
      <c r="P1278" s="213"/>
      <c r="Q1278" s="213"/>
      <c r="R1278" s="213"/>
      <c r="S1278" s="213"/>
      <c r="T1278" s="213"/>
      <c r="U1278" s="213"/>
      <c r="V1278" s="213"/>
      <c r="W1278" s="213"/>
      <c r="X1278" s="213"/>
      <c r="Y1278" s="213"/>
      <c r="Z1278" s="213"/>
      <c r="AA1278" s="213"/>
      <c r="AB1278" s="213"/>
      <c r="AC1278" s="213"/>
      <c r="AD1278" s="213"/>
      <c r="AE1278" s="213"/>
      <c r="AF1278" s="213"/>
      <c r="AG1278" s="213"/>
      <c r="AH1278" s="213"/>
      <c r="AI1278" s="213"/>
      <c r="AJ1278" s="213"/>
      <c r="AK1278" s="213"/>
      <c r="AL1278" s="213"/>
      <c r="AM1278" s="213"/>
      <c r="AN1278" s="213"/>
      <c r="AO1278" s="213"/>
      <c r="AP1278" s="213"/>
      <c r="AQ1278" s="213"/>
      <c r="AR1278" s="213"/>
      <c r="AS1278" s="213"/>
      <c r="AT1278" s="213"/>
      <c r="AU1278" s="213"/>
      <c r="AV1278" s="213"/>
      <c r="AW1278" s="213"/>
      <c r="AX1278" s="213"/>
      <c r="AY1278" s="213"/>
      <c r="AZ1278" s="213"/>
      <c r="BA1278" s="213"/>
      <c r="BB1278" s="213"/>
      <c r="BC1278" s="213"/>
      <c r="BD1278" s="213"/>
    </row>
    <row r="1279">
      <c r="A1279" s="213">
        <f>IFERROR(__xludf.DUMMYFUNCTION("""COMPUTED_VALUE"""),103.0)</f>
        <v>103</v>
      </c>
      <c r="B1279" s="213" t="str">
        <f>IFERROR(__xludf.DUMMYFUNCTION("""COMPUTED_VALUE"""),"16449 ELOY SOBERON  FLORES")</f>
        <v>16449 ELOY SOBERON  FLORES</v>
      </c>
      <c r="C1279" s="213" t="str">
        <f>IFERROR(__xludf.DUMMYFUNCTION("""COMPUTED_VALUE"""),"TALLER SFT DE COCINA Y REPOSTERÍA")</f>
        <v>TALLER SFT DE COCINA Y REPOSTERÍA</v>
      </c>
      <c r="D1279" s="213" t="str">
        <f>IFERROR(__xludf.DUMMYFUNCTION("""COMPUTED_VALUE"""),"PEDAGOGICO")</f>
        <v>PEDAGOGICO</v>
      </c>
      <c r="E1279" s="213" t="str">
        <f>IFERROR(__xludf.DUMMYFUNCTION("""COMPUTED_VALUE"""),"MAT-255")</f>
        <v>MAT-255</v>
      </c>
      <c r="F1279" s="213" t="str">
        <f>IFERROR(__xludf.DUMMYFUNCTION("""COMPUTED_VALUE"""),"KEFF-05")</f>
        <v>KEFF-05</v>
      </c>
      <c r="G1279" s="213"/>
      <c r="H1279" s="213" t="str">
        <f>IFERROR(__xludf.DUMMYFUNCTION("""COMPUTED_VALUE"""),"MANUAL DE MANTENIMIENTO POR CADA EQUIPO DE ANÁLISIS Y DISEÑO DE LA PROPUESTA DE VALOR")</f>
        <v>MANUAL DE MANTENIMIENTO POR CADA EQUIPO DE ANÁLISIS Y DISEÑO DE LA PROPUESTA DE VALOR</v>
      </c>
      <c r="I127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           Descripción de los tipos de mantenimiento que requiere cada equipo de análisis y diseño de la propuesta de valor.
-           Descripción de las herramientas, materiales e insumos que se requiere para su mantenimiento.
-           "&amp;"Descripción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análisis y diseño de la propuesta de valor.
-           Descripción de las herramientas, materiales e insumos que se requiere para su mantenimiento.
-           Descripción de los procedimientos para realizar el mantenimiento preventivo de cada equipo.</v>
      </c>
      <c r="J1279" s="213">
        <f>IFERROR(__xludf.DUMMYFUNCTION("""COMPUTED_VALUE"""),3.0)</f>
        <v>3</v>
      </c>
      <c r="K1279" s="213" t="str">
        <f>IFERROR(__xludf.DUMMYFUNCTION("""COMPUTED_VALUE"""),"170 DÍAS CALENDARIO")</f>
        <v>170 DÍAS CALENDARIO</v>
      </c>
      <c r="L1279" s="213" t="str">
        <f>IFERROR(__xludf.DUMMYFUNCTION("""COMPUTED_VALUE"""),"")</f>
        <v/>
      </c>
      <c r="M1279" s="213">
        <f>IFERROR(__xludf.DUMMYFUNCTION("""COMPUTED_VALUE"""),1.0)</f>
        <v>1</v>
      </c>
      <c r="N1279" s="213">
        <f>IFERROR(__xludf.DUMMYFUNCTION("""COMPUTED_VALUE"""),6.0)</f>
        <v>6</v>
      </c>
      <c r="O1279" s="213">
        <f>IFERROR(__xludf.DUMMYFUNCTION("""COMPUTED_VALUE"""),6.0)</f>
        <v>6</v>
      </c>
      <c r="P1279" s="213"/>
      <c r="Q1279" s="213"/>
      <c r="R1279" s="213"/>
      <c r="S1279" s="213"/>
      <c r="T1279" s="213"/>
      <c r="U1279" s="213"/>
      <c r="V1279" s="213"/>
      <c r="W1279" s="213"/>
      <c r="X1279" s="213"/>
      <c r="Y1279" s="213"/>
      <c r="Z1279" s="213"/>
      <c r="AA1279" s="213"/>
      <c r="AB1279" s="213"/>
      <c r="AC1279" s="213"/>
      <c r="AD1279" s="213"/>
      <c r="AE1279" s="213"/>
      <c r="AF1279" s="213"/>
      <c r="AG1279" s="213"/>
      <c r="AH1279" s="213"/>
      <c r="AI1279" s="213"/>
      <c r="AJ1279" s="213"/>
      <c r="AK1279" s="213"/>
      <c r="AL1279" s="213"/>
      <c r="AM1279" s="213"/>
      <c r="AN1279" s="213"/>
      <c r="AO1279" s="213"/>
      <c r="AP1279" s="213"/>
      <c r="AQ1279" s="213"/>
      <c r="AR1279" s="213"/>
      <c r="AS1279" s="213"/>
      <c r="AT1279" s="213"/>
      <c r="AU1279" s="213"/>
      <c r="AV1279" s="213"/>
      <c r="AW1279" s="213"/>
      <c r="AX1279" s="213"/>
      <c r="AY1279" s="213"/>
      <c r="AZ1279" s="213"/>
      <c r="BA1279" s="213"/>
      <c r="BB1279" s="213"/>
      <c r="BC1279" s="213"/>
      <c r="BD1279" s="213"/>
    </row>
    <row r="1280">
      <c r="A1280" s="213">
        <f>IFERROR(__xludf.DUMMYFUNCTION("""COMPUTED_VALUE"""),214.0)</f>
        <v>214</v>
      </c>
      <c r="B1280" s="213" t="str">
        <f>IFERROR(__xludf.DUMMYFUNCTION("""COMPUTED_VALUE"""),"2026 SIMON BOLIVAR")</f>
        <v>2026 SIMON BOLIVAR</v>
      </c>
      <c r="C1280" s="213" t="str">
        <f>IFERROR(__xludf.DUMMYFUNCTION("""COMPUTED_VALUE"""),"TALLER SFT DE INDUSTRIA DEL VESTIDO")</f>
        <v>TALLER SFT DE INDUSTRIA DEL VESTIDO</v>
      </c>
      <c r="D1280" s="213" t="str">
        <f>IFERROR(__xludf.DUMMYFUNCTION("""COMPUTED_VALUE"""),"PEDAGOGICO")</f>
        <v>PEDAGOGICO</v>
      </c>
      <c r="E1280" s="213" t="str">
        <f>IFERROR(__xludf.DUMMYFUNCTION("""COMPUTED_VALUE"""),"MAT-255")</f>
        <v>MAT-255</v>
      </c>
      <c r="F1280" s="213" t="str">
        <f>IFERROR(__xludf.DUMMYFUNCTION("""COMPUTED_VALUE"""),"KEFF-05")</f>
        <v>KEFF-05</v>
      </c>
      <c r="G1280" s="213"/>
      <c r="H1280" s="213" t="str">
        <f>IFERROR(__xludf.DUMMYFUNCTION("""COMPUTED_VALUE"""),"MANUAL DE MANTENIMIENTO POR CADA EQUIPO DE ANÁLISIS Y DISEÑO DE LA PROPUESTA DE VALOR")</f>
        <v>MANUAL DE MANTENIMIENTO POR CADA EQUIPO DE ANÁLISIS Y DISEÑO DE LA PROPUESTA DE VALOR</v>
      </c>
      <c r="I128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80" s="213">
        <f>IFERROR(__xludf.DUMMYFUNCTION("""COMPUTED_VALUE"""),3.0)</f>
        <v>3</v>
      </c>
      <c r="K1280" s="213" t="str">
        <f>IFERROR(__xludf.DUMMYFUNCTION("""COMPUTED_VALUE"""),"170 DÍAS CALENDARIO")</f>
        <v>170 DÍAS CALENDARIO</v>
      </c>
      <c r="L1280" s="213" t="str">
        <f>IFERROR(__xludf.DUMMYFUNCTION("""COMPUTED_VALUE"""),"")</f>
        <v/>
      </c>
      <c r="M1280" s="213">
        <f>IFERROR(__xludf.DUMMYFUNCTION("""COMPUTED_VALUE"""),1.0)</f>
        <v>1</v>
      </c>
      <c r="N1280" s="213">
        <f>IFERROR(__xludf.DUMMYFUNCTION("""COMPUTED_VALUE"""),6.0)</f>
        <v>6</v>
      </c>
      <c r="O1280" s="213">
        <f>IFERROR(__xludf.DUMMYFUNCTION("""COMPUTED_VALUE"""),6.0)</f>
        <v>6</v>
      </c>
      <c r="P1280" s="213"/>
      <c r="Q1280" s="213"/>
      <c r="R1280" s="213"/>
      <c r="S1280" s="213"/>
      <c r="T1280" s="213"/>
      <c r="U1280" s="213"/>
      <c r="V1280" s="213"/>
      <c r="W1280" s="213"/>
      <c r="X1280" s="213"/>
      <c r="Y1280" s="213"/>
      <c r="Z1280" s="213"/>
      <c r="AA1280" s="213"/>
      <c r="AB1280" s="213"/>
      <c r="AC1280" s="213"/>
      <c r="AD1280" s="213"/>
      <c r="AE1280" s="213"/>
      <c r="AF1280" s="213"/>
      <c r="AG1280" s="213"/>
      <c r="AH1280" s="213"/>
      <c r="AI1280" s="213"/>
      <c r="AJ1280" s="213"/>
      <c r="AK1280" s="213"/>
      <c r="AL1280" s="213"/>
      <c r="AM1280" s="213"/>
      <c r="AN1280" s="213"/>
      <c r="AO1280" s="213"/>
      <c r="AP1280" s="213"/>
      <c r="AQ1280" s="213"/>
      <c r="AR1280" s="213"/>
      <c r="AS1280" s="213"/>
      <c r="AT1280" s="213"/>
      <c r="AU1280" s="213"/>
      <c r="AV1280" s="213"/>
      <c r="AW1280" s="213"/>
      <c r="AX1280" s="213"/>
      <c r="AY1280" s="213"/>
      <c r="AZ1280" s="213"/>
      <c r="BA1280" s="213"/>
      <c r="BB1280" s="213"/>
      <c r="BC1280" s="213"/>
      <c r="BD1280" s="213"/>
    </row>
    <row r="1281">
      <c r="A1281" s="213">
        <f>IFERROR(__xludf.DUMMYFUNCTION("""COMPUTED_VALUE"""),301.0)</f>
        <v>301</v>
      </c>
      <c r="B1281" s="213" t="str">
        <f>IFERROR(__xludf.DUMMYFUNCTION("""COMPUTED_VALUE"""),"2026 SIMON BOLIVAR")</f>
        <v>2026 SIMON BOLIVAR</v>
      </c>
      <c r="C1281" s="213" t="str">
        <f>IFERROR(__xludf.DUMMYFUNCTION("""COMPUTED_VALUE"""),"TALLER SFT DE COMPUTACIÓN E INFORMÁTICA")</f>
        <v>TALLER SFT DE COMPUTACIÓN E INFORMÁTICA</v>
      </c>
      <c r="D1281" s="213" t="str">
        <f>IFERROR(__xludf.DUMMYFUNCTION("""COMPUTED_VALUE"""),"PEDAGOGICO")</f>
        <v>PEDAGOGICO</v>
      </c>
      <c r="E1281" s="213" t="str">
        <f>IFERROR(__xludf.DUMMYFUNCTION("""COMPUTED_VALUE"""),"MAT-255")</f>
        <v>MAT-255</v>
      </c>
      <c r="F1281" s="213" t="str">
        <f>IFERROR(__xludf.DUMMYFUNCTION("""COMPUTED_VALUE"""),"KEFF-05")</f>
        <v>KEFF-05</v>
      </c>
      <c r="G1281" s="213"/>
      <c r="H1281" s="213" t="str">
        <f>IFERROR(__xludf.DUMMYFUNCTION("""COMPUTED_VALUE"""),"MANUAL DE MANTENIMIENTO POR CADA EQUIPO DE ANÁLISIS Y DISEÑO DE LA PROPUESTA DE VALOR")</f>
        <v>MANUAL DE MANTENIMIENTO POR CADA EQUIPO DE ANÁLISIS Y DISEÑO DE LA PROPUESTA DE VALOR</v>
      </c>
      <c r="I128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81" s="213">
        <f>IFERROR(__xludf.DUMMYFUNCTION("""COMPUTED_VALUE"""),3.0)</f>
        <v>3</v>
      </c>
      <c r="K1281" s="213" t="str">
        <f>IFERROR(__xludf.DUMMYFUNCTION("""COMPUTED_VALUE"""),"170 DÍAS CALENDARIO")</f>
        <v>170 DÍAS CALENDARIO</v>
      </c>
      <c r="L1281" s="213" t="str">
        <f>IFERROR(__xludf.DUMMYFUNCTION("""COMPUTED_VALUE"""),"")</f>
        <v/>
      </c>
      <c r="M1281" s="213">
        <f>IFERROR(__xludf.DUMMYFUNCTION("""COMPUTED_VALUE"""),1.0)</f>
        <v>1</v>
      </c>
      <c r="N1281" s="213">
        <f>IFERROR(__xludf.DUMMYFUNCTION("""COMPUTED_VALUE"""),6.0)</f>
        <v>6</v>
      </c>
      <c r="O1281" s="213">
        <f>IFERROR(__xludf.DUMMYFUNCTION("""COMPUTED_VALUE"""),6.0)</f>
        <v>6</v>
      </c>
      <c r="P1281" s="213"/>
      <c r="Q1281" s="213"/>
      <c r="R1281" s="213"/>
      <c r="S1281" s="213"/>
      <c r="T1281" s="213"/>
      <c r="U1281" s="213"/>
      <c r="V1281" s="213"/>
      <c r="W1281" s="213"/>
      <c r="X1281" s="213"/>
      <c r="Y1281" s="213"/>
      <c r="Z1281" s="213"/>
      <c r="AA1281" s="213"/>
      <c r="AB1281" s="213"/>
      <c r="AC1281" s="213"/>
      <c r="AD1281" s="213"/>
      <c r="AE1281" s="213"/>
      <c r="AF1281" s="213"/>
      <c r="AG1281" s="213"/>
      <c r="AH1281" s="213"/>
      <c r="AI1281" s="213"/>
      <c r="AJ1281" s="213"/>
      <c r="AK1281" s="213"/>
      <c r="AL1281" s="213"/>
      <c r="AM1281" s="213"/>
      <c r="AN1281" s="213"/>
      <c r="AO1281" s="213"/>
      <c r="AP1281" s="213"/>
      <c r="AQ1281" s="213"/>
      <c r="AR1281" s="213"/>
      <c r="AS1281" s="213"/>
      <c r="AT1281" s="213"/>
      <c r="AU1281" s="213"/>
      <c r="AV1281" s="213"/>
      <c r="AW1281" s="213"/>
      <c r="AX1281" s="213"/>
      <c r="AY1281" s="213"/>
      <c r="AZ1281" s="213"/>
      <c r="BA1281" s="213"/>
      <c r="BB1281" s="213"/>
      <c r="BC1281" s="213"/>
      <c r="BD1281" s="213"/>
    </row>
    <row r="1282">
      <c r="A1282" s="213">
        <f>IFERROR(__xludf.DUMMYFUNCTION("""COMPUTED_VALUE"""),381.0)</f>
        <v>381</v>
      </c>
      <c r="B1282" s="213" t="str">
        <f>IFERROR(__xludf.DUMMYFUNCTION("""COMPUTED_VALUE"""),"2026 SIMON BOLIVAR")</f>
        <v>2026 SIMON BOLIVAR</v>
      </c>
      <c r="C1282" s="213" t="str">
        <f>IFERROR(__xludf.DUMMYFUNCTION("""COMPUTED_VALUE"""),"TALLER SFT DE ELECTRICIDAD")</f>
        <v>TALLER SFT DE ELECTRICIDAD</v>
      </c>
      <c r="D1282" s="213" t="str">
        <f>IFERROR(__xludf.DUMMYFUNCTION("""COMPUTED_VALUE"""),"PEDAGOGICO")</f>
        <v>PEDAGOGICO</v>
      </c>
      <c r="E1282" s="213" t="str">
        <f>IFERROR(__xludf.DUMMYFUNCTION("""COMPUTED_VALUE"""),"MAT-255")</f>
        <v>MAT-255</v>
      </c>
      <c r="F1282" s="213" t="str">
        <f>IFERROR(__xludf.DUMMYFUNCTION("""COMPUTED_VALUE"""),"KEFF-05")</f>
        <v>KEFF-05</v>
      </c>
      <c r="G1282" s="213"/>
      <c r="H1282" s="213" t="str">
        <f>IFERROR(__xludf.DUMMYFUNCTION("""COMPUTED_VALUE"""),"MANUAL DE MANTENIMIENTO POR CADA EQUIPO DE ANÁLISIS Y DISEÑO DE LA PROPUESTA DE VALOR")</f>
        <v>MANUAL DE MANTENIMIENTO POR CADA EQUIPO DE ANÁLISIS Y DISEÑO DE LA PROPUESTA DE VALOR</v>
      </c>
      <c r="I128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82" s="213">
        <f>IFERROR(__xludf.DUMMYFUNCTION("""COMPUTED_VALUE"""),3.0)</f>
        <v>3</v>
      </c>
      <c r="K1282" s="213" t="str">
        <f>IFERROR(__xludf.DUMMYFUNCTION("""COMPUTED_VALUE"""),"170 DÍAS CALENDARIO")</f>
        <v>170 DÍAS CALENDARIO</v>
      </c>
      <c r="L1282" s="213" t="str">
        <f>IFERROR(__xludf.DUMMYFUNCTION("""COMPUTED_VALUE"""),"")</f>
        <v/>
      </c>
      <c r="M1282" s="213">
        <f>IFERROR(__xludf.DUMMYFUNCTION("""COMPUTED_VALUE"""),1.0)</f>
        <v>1</v>
      </c>
      <c r="N1282" s="213">
        <f>IFERROR(__xludf.DUMMYFUNCTION("""COMPUTED_VALUE"""),6.0)</f>
        <v>6</v>
      </c>
      <c r="O1282" s="213">
        <f>IFERROR(__xludf.DUMMYFUNCTION("""COMPUTED_VALUE"""),6.0)</f>
        <v>6</v>
      </c>
      <c r="P1282" s="213"/>
      <c r="Q1282" s="213"/>
      <c r="R1282" s="213"/>
      <c r="S1282" s="213"/>
      <c r="T1282" s="213"/>
      <c r="U1282" s="213"/>
      <c r="V1282" s="213"/>
      <c r="W1282" s="213"/>
      <c r="X1282" s="213"/>
      <c r="Y1282" s="213"/>
      <c r="Z1282" s="213"/>
      <c r="AA1282" s="213"/>
      <c r="AB1282" s="213"/>
      <c r="AC1282" s="213"/>
      <c r="AD1282" s="213"/>
      <c r="AE1282" s="213"/>
      <c r="AF1282" s="213"/>
      <c r="AG1282" s="213"/>
      <c r="AH1282" s="213"/>
      <c r="AI1282" s="213"/>
      <c r="AJ1282" s="213"/>
      <c r="AK1282" s="213"/>
      <c r="AL1282" s="213"/>
      <c r="AM1282" s="213"/>
      <c r="AN1282" s="213"/>
      <c r="AO1282" s="213"/>
      <c r="AP1282" s="213"/>
      <c r="AQ1282" s="213"/>
      <c r="AR1282" s="213"/>
      <c r="AS1282" s="213"/>
      <c r="AT1282" s="213"/>
      <c r="AU1282" s="213"/>
      <c r="AV1282" s="213"/>
      <c r="AW1282" s="213"/>
      <c r="AX1282" s="213"/>
      <c r="AY1282" s="213"/>
      <c r="AZ1282" s="213"/>
      <c r="BA1282" s="213"/>
      <c r="BB1282" s="213"/>
      <c r="BC1282" s="213"/>
      <c r="BD1282" s="213"/>
    </row>
    <row r="1283">
      <c r="A1283" s="213">
        <f>IFERROR(__xludf.DUMMYFUNCTION("""COMPUTED_VALUE"""),578.0)</f>
        <v>578</v>
      </c>
      <c r="B1283" s="213" t="str">
        <f>IFERROR(__xludf.DUMMYFUNCTION("""COMPUTED_VALUE"""),"2026 SIMON BOLIVAR")</f>
        <v>2026 SIMON BOLIVAR</v>
      </c>
      <c r="C1283" s="213" t="str">
        <f>IFERROR(__xludf.DUMMYFUNCTION("""COMPUTED_VALUE"""),"TALLER SFT DE INDUSTRIA ALIMENTARIA")</f>
        <v>TALLER SFT DE INDUSTRIA ALIMENTARIA</v>
      </c>
      <c r="D1283" s="213" t="str">
        <f>IFERROR(__xludf.DUMMYFUNCTION("""COMPUTED_VALUE"""),"PEDAGOGICO")</f>
        <v>PEDAGOGICO</v>
      </c>
      <c r="E1283" s="213" t="str">
        <f>IFERROR(__xludf.DUMMYFUNCTION("""COMPUTED_VALUE"""),"MAT-255")</f>
        <v>MAT-255</v>
      </c>
      <c r="F1283" s="213" t="str">
        <f>IFERROR(__xludf.DUMMYFUNCTION("""COMPUTED_VALUE"""),"KEFF-05")</f>
        <v>KEFF-05</v>
      </c>
      <c r="G1283" s="213"/>
      <c r="H1283" s="213" t="str">
        <f>IFERROR(__xludf.DUMMYFUNCTION("""COMPUTED_VALUE"""),"MANUAL DE MANTENIMIENTO POR CADA EQUIPO DE ANÁLISIS Y DISEÑO DE LA PROPUESTA DE VALOR")</f>
        <v>MANUAL DE MANTENIMIENTO POR CADA EQUIPO DE ANÁLISIS Y DISEÑO DE LA PROPUESTA DE VALOR</v>
      </c>
      <c r="I1283" s="213"/>
      <c r="J1283" s="213">
        <f>IFERROR(__xludf.DUMMYFUNCTION("""COMPUTED_VALUE"""),3.0)</f>
        <v>3</v>
      </c>
      <c r="K1283" s="213" t="str">
        <f>IFERROR(__xludf.DUMMYFUNCTION("""COMPUTED_VALUE"""),"170 DÍAS CALENDARIO")</f>
        <v>170 DÍAS CALENDARIO</v>
      </c>
      <c r="L1283" s="213" t="str">
        <f>IFERROR(__xludf.DUMMYFUNCTION("""COMPUTED_VALUE"""),"")</f>
        <v/>
      </c>
      <c r="M1283" s="213">
        <f>IFERROR(__xludf.DUMMYFUNCTION("""COMPUTED_VALUE"""),1.0)</f>
        <v>1</v>
      </c>
      <c r="N1283" s="213">
        <f>IFERROR(__xludf.DUMMYFUNCTION("""COMPUTED_VALUE"""),6.0)</f>
        <v>6</v>
      </c>
      <c r="O1283" s="213">
        <f>IFERROR(__xludf.DUMMYFUNCTION("""COMPUTED_VALUE"""),6.0)</f>
        <v>6</v>
      </c>
      <c r="P1283" s="213"/>
      <c r="Q1283" s="213"/>
      <c r="R1283" s="213"/>
      <c r="S1283" s="213"/>
      <c r="T1283" s="213"/>
      <c r="U1283" s="213"/>
      <c r="V1283" s="213"/>
      <c r="W1283" s="213"/>
      <c r="X1283" s="213"/>
      <c r="Y1283" s="213"/>
      <c r="Z1283" s="213"/>
      <c r="AA1283" s="213"/>
      <c r="AB1283" s="213"/>
      <c r="AC1283" s="213"/>
      <c r="AD1283" s="213"/>
      <c r="AE1283" s="213"/>
      <c r="AF1283" s="213"/>
      <c r="AG1283" s="213"/>
      <c r="AH1283" s="213"/>
      <c r="AI1283" s="213"/>
      <c r="AJ1283" s="213"/>
      <c r="AK1283" s="213"/>
      <c r="AL1283" s="213"/>
      <c r="AM1283" s="213"/>
      <c r="AN1283" s="213"/>
      <c r="AO1283" s="213"/>
      <c r="AP1283" s="213"/>
      <c r="AQ1283" s="213"/>
      <c r="AR1283" s="213"/>
      <c r="AS1283" s="213"/>
      <c r="AT1283" s="213"/>
      <c r="AU1283" s="213"/>
      <c r="AV1283" s="213"/>
      <c r="AW1283" s="213"/>
      <c r="AX1283" s="213"/>
      <c r="AY1283" s="213"/>
      <c r="AZ1283" s="213"/>
      <c r="BA1283" s="213"/>
      <c r="BB1283" s="213"/>
      <c r="BC1283" s="213"/>
      <c r="BD1283" s="213"/>
    </row>
    <row r="1284">
      <c r="A1284" s="213">
        <f>IFERROR(__xludf.DUMMYFUNCTION("""COMPUTED_VALUE"""),666.0)</f>
        <v>666</v>
      </c>
      <c r="B1284" s="213" t="str">
        <f>IFERROR(__xludf.DUMMYFUNCTION("""COMPUTED_VALUE"""),"6049 RICARDO PALMA")</f>
        <v>6049 RICARDO PALMA</v>
      </c>
      <c r="C1284" s="213" t="str">
        <f>IFERROR(__xludf.DUMMYFUNCTION("""COMPUTED_VALUE"""),"TALLER SFT DE ELECTRÓNICA")</f>
        <v>TALLER SFT DE ELECTRÓNICA</v>
      </c>
      <c r="D1284" s="213" t="str">
        <f>IFERROR(__xludf.DUMMYFUNCTION("""COMPUTED_VALUE"""),"PEDAGOGICO")</f>
        <v>PEDAGOGICO</v>
      </c>
      <c r="E1284" s="213" t="str">
        <f>IFERROR(__xludf.DUMMYFUNCTION("""COMPUTED_VALUE"""),"MAT-255")</f>
        <v>MAT-255</v>
      </c>
      <c r="F1284" s="213" t="str">
        <f>IFERROR(__xludf.DUMMYFUNCTION("""COMPUTED_VALUE"""),"KEFF-05")</f>
        <v>KEFF-05</v>
      </c>
      <c r="G1284" s="213"/>
      <c r="H1284" s="213" t="str">
        <f>IFERROR(__xludf.DUMMYFUNCTION("""COMPUTED_VALUE"""),"MANUAL DE MANTENIMIENTO POR CADA EQUIPO DE ANÁLISIS Y DISEÑO DE LA PROPUESTA DE VALOR")</f>
        <v>MANUAL DE MANTENIMIENTO POR CADA EQUIPO DE ANÁLISIS Y DISEÑO DE LA PROPUESTA DE VALOR</v>
      </c>
      <c r="I128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84" s="213">
        <f>IFERROR(__xludf.DUMMYFUNCTION("""COMPUTED_VALUE"""),3.0)</f>
        <v>3</v>
      </c>
      <c r="K1284" s="213" t="str">
        <f>IFERROR(__xludf.DUMMYFUNCTION("""COMPUTED_VALUE"""),"170 DÍAS CALENDARIO")</f>
        <v>170 DÍAS CALENDARIO</v>
      </c>
      <c r="L1284" s="213" t="str">
        <f>IFERROR(__xludf.DUMMYFUNCTION("""COMPUTED_VALUE"""),"")</f>
        <v/>
      </c>
      <c r="M1284" s="213">
        <f>IFERROR(__xludf.DUMMYFUNCTION("""COMPUTED_VALUE"""),1.0)</f>
        <v>1</v>
      </c>
      <c r="N1284" s="213">
        <f>IFERROR(__xludf.DUMMYFUNCTION("""COMPUTED_VALUE"""),6.0)</f>
        <v>6</v>
      </c>
      <c r="O1284" s="213">
        <f>IFERROR(__xludf.DUMMYFUNCTION("""COMPUTED_VALUE"""),6.0)</f>
        <v>6</v>
      </c>
      <c r="P1284" s="213"/>
      <c r="Q1284" s="213"/>
      <c r="R1284" s="213"/>
      <c r="S1284" s="213"/>
      <c r="T1284" s="213"/>
      <c r="U1284" s="213"/>
      <c r="V1284" s="213"/>
      <c r="W1284" s="213"/>
      <c r="X1284" s="213"/>
      <c r="Y1284" s="213"/>
      <c r="Z1284" s="213"/>
      <c r="AA1284" s="213"/>
      <c r="AB1284" s="213"/>
      <c r="AC1284" s="213"/>
      <c r="AD1284" s="213"/>
      <c r="AE1284" s="213"/>
      <c r="AF1284" s="213"/>
      <c r="AG1284" s="213"/>
      <c r="AH1284" s="213"/>
      <c r="AI1284" s="213"/>
      <c r="AJ1284" s="213"/>
      <c r="AK1284" s="213"/>
      <c r="AL1284" s="213"/>
      <c r="AM1284" s="213"/>
      <c r="AN1284" s="213"/>
      <c r="AO1284" s="213"/>
      <c r="AP1284" s="213"/>
      <c r="AQ1284" s="213"/>
      <c r="AR1284" s="213"/>
      <c r="AS1284" s="213"/>
      <c r="AT1284" s="213"/>
      <c r="AU1284" s="213"/>
      <c r="AV1284" s="213"/>
      <c r="AW1284" s="213"/>
      <c r="AX1284" s="213"/>
      <c r="AY1284" s="213"/>
      <c r="AZ1284" s="213"/>
      <c r="BA1284" s="213"/>
      <c r="BB1284" s="213"/>
      <c r="BC1284" s="213"/>
      <c r="BD1284" s="213"/>
    </row>
    <row r="1285">
      <c r="A1285" s="213">
        <f>IFERROR(__xludf.DUMMYFUNCTION("""COMPUTED_VALUE"""),787.0)</f>
        <v>787</v>
      </c>
      <c r="B1285" s="213" t="str">
        <f>IFERROR(__xludf.DUMMYFUNCTION("""COMPUTED_VALUE"""),"6049 RICARDO PALMA")</f>
        <v>6049 RICARDO PALMA</v>
      </c>
      <c r="C1285" s="213" t="str">
        <f>IFERROR(__xludf.DUMMYFUNCTION("""COMPUTED_VALUE"""),"TALLER SFT DE COMPUTACIÓN E INFORMÁTICA")</f>
        <v>TALLER SFT DE COMPUTACIÓN E INFORMÁTICA</v>
      </c>
      <c r="D1285" s="213" t="str">
        <f>IFERROR(__xludf.DUMMYFUNCTION("""COMPUTED_VALUE"""),"PEDAGOGICO")</f>
        <v>PEDAGOGICO</v>
      </c>
      <c r="E1285" s="213" t="str">
        <f>IFERROR(__xludf.DUMMYFUNCTION("""COMPUTED_VALUE"""),"MAT-255")</f>
        <v>MAT-255</v>
      </c>
      <c r="F1285" s="213" t="str">
        <f>IFERROR(__xludf.DUMMYFUNCTION("""COMPUTED_VALUE"""),"KEFF-05")</f>
        <v>KEFF-05</v>
      </c>
      <c r="G1285" s="213"/>
      <c r="H1285" s="213" t="str">
        <f>IFERROR(__xludf.DUMMYFUNCTION("""COMPUTED_VALUE"""),"MANUAL DE MANTENIMIENTO POR CADA EQUIPO DE ANÁLISIS Y DISEÑO DE LA PROPUESTA DE VALOR")</f>
        <v>MANUAL DE MANTENIMIENTO POR CADA EQUIPO DE ANÁLISIS Y DISEÑO DE LA PROPUESTA DE VALOR</v>
      </c>
      <c r="I128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85" s="213">
        <f>IFERROR(__xludf.DUMMYFUNCTION("""COMPUTED_VALUE"""),3.0)</f>
        <v>3</v>
      </c>
      <c r="K1285" s="213" t="str">
        <f>IFERROR(__xludf.DUMMYFUNCTION("""COMPUTED_VALUE"""),"170 DÍAS CALENDARIO")</f>
        <v>170 DÍAS CALENDARIO</v>
      </c>
      <c r="L1285" s="213" t="str">
        <f>IFERROR(__xludf.DUMMYFUNCTION("""COMPUTED_VALUE"""),"")</f>
        <v/>
      </c>
      <c r="M1285" s="213">
        <f>IFERROR(__xludf.DUMMYFUNCTION("""COMPUTED_VALUE"""),1.0)</f>
        <v>1</v>
      </c>
      <c r="N1285" s="213">
        <f>IFERROR(__xludf.DUMMYFUNCTION("""COMPUTED_VALUE"""),6.0)</f>
        <v>6</v>
      </c>
      <c r="O1285" s="213">
        <f>IFERROR(__xludf.DUMMYFUNCTION("""COMPUTED_VALUE"""),6.0)</f>
        <v>6</v>
      </c>
      <c r="P1285" s="213"/>
      <c r="Q1285" s="213"/>
      <c r="R1285" s="213"/>
      <c r="S1285" s="213"/>
      <c r="T1285" s="213"/>
      <c r="U1285" s="213"/>
      <c r="V1285" s="213"/>
      <c r="W1285" s="213"/>
      <c r="X1285" s="213"/>
      <c r="Y1285" s="213"/>
      <c r="Z1285" s="213"/>
      <c r="AA1285" s="213"/>
      <c r="AB1285" s="213"/>
      <c r="AC1285" s="213"/>
      <c r="AD1285" s="213"/>
      <c r="AE1285" s="213"/>
      <c r="AF1285" s="213"/>
      <c r="AG1285" s="213"/>
      <c r="AH1285" s="213"/>
      <c r="AI1285" s="213"/>
      <c r="AJ1285" s="213"/>
      <c r="AK1285" s="213"/>
      <c r="AL1285" s="213"/>
      <c r="AM1285" s="213"/>
      <c r="AN1285" s="213"/>
      <c r="AO1285" s="213"/>
      <c r="AP1285" s="213"/>
      <c r="AQ1285" s="213"/>
      <c r="AR1285" s="213"/>
      <c r="AS1285" s="213"/>
      <c r="AT1285" s="213"/>
      <c r="AU1285" s="213"/>
      <c r="AV1285" s="213"/>
      <c r="AW1285" s="213"/>
      <c r="AX1285" s="213"/>
      <c r="AY1285" s="213"/>
      <c r="AZ1285" s="213"/>
      <c r="BA1285" s="213"/>
      <c r="BB1285" s="213"/>
      <c r="BC1285" s="213"/>
      <c r="BD1285" s="213"/>
    </row>
    <row r="1286">
      <c r="A1286" s="213">
        <f>IFERROR(__xludf.DUMMYFUNCTION("""COMPUTED_VALUE"""),867.0)</f>
        <v>867</v>
      </c>
      <c r="B1286" s="213" t="str">
        <f>IFERROR(__xludf.DUMMYFUNCTION("""COMPUTED_VALUE"""),"6049 RICARDO PALMA")</f>
        <v>6049 RICARDO PALMA</v>
      </c>
      <c r="C1286" s="213" t="str">
        <f>IFERROR(__xludf.DUMMYFUNCTION("""COMPUTED_VALUE"""),"TALLER SFT DE ELECTRICIDAD")</f>
        <v>TALLER SFT DE ELECTRICIDAD</v>
      </c>
      <c r="D1286" s="213" t="str">
        <f>IFERROR(__xludf.DUMMYFUNCTION("""COMPUTED_VALUE"""),"PEDAGOGICO")</f>
        <v>PEDAGOGICO</v>
      </c>
      <c r="E1286" s="213" t="str">
        <f>IFERROR(__xludf.DUMMYFUNCTION("""COMPUTED_VALUE"""),"MAT-255")</f>
        <v>MAT-255</v>
      </c>
      <c r="F1286" s="213" t="str">
        <f>IFERROR(__xludf.DUMMYFUNCTION("""COMPUTED_VALUE"""),"KEFF-05")</f>
        <v>KEFF-05</v>
      </c>
      <c r="G1286" s="213"/>
      <c r="H1286" s="213" t="str">
        <f>IFERROR(__xludf.DUMMYFUNCTION("""COMPUTED_VALUE"""),"MANUAL DE MANTENIMIENTO POR CADA EQUIPO DE ANÁLISIS Y DISEÑO DE LA PROPUESTA DE VALOR")</f>
        <v>MANUAL DE MANTENIMIENTO POR CADA EQUIPO DE ANÁLISIS Y DISEÑO DE LA PROPUESTA DE VALOR</v>
      </c>
      <c r="I128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86" s="213">
        <f>IFERROR(__xludf.DUMMYFUNCTION("""COMPUTED_VALUE"""),3.0)</f>
        <v>3</v>
      </c>
      <c r="K1286" s="213" t="str">
        <f>IFERROR(__xludf.DUMMYFUNCTION("""COMPUTED_VALUE"""),"170 DÍAS CALENDARIO")</f>
        <v>170 DÍAS CALENDARIO</v>
      </c>
      <c r="L1286" s="213" t="str">
        <f>IFERROR(__xludf.DUMMYFUNCTION("""COMPUTED_VALUE"""),"")</f>
        <v/>
      </c>
      <c r="M1286" s="213">
        <f>IFERROR(__xludf.DUMMYFUNCTION("""COMPUTED_VALUE"""),1.0)</f>
        <v>1</v>
      </c>
      <c r="N1286" s="213">
        <f>IFERROR(__xludf.DUMMYFUNCTION("""COMPUTED_VALUE"""),6.0)</f>
        <v>6</v>
      </c>
      <c r="O1286" s="213">
        <f>IFERROR(__xludf.DUMMYFUNCTION("""COMPUTED_VALUE"""),6.0)</f>
        <v>6</v>
      </c>
      <c r="P1286" s="213"/>
      <c r="Q1286" s="213"/>
      <c r="R1286" s="213"/>
      <c r="S1286" s="213"/>
      <c r="T1286" s="213"/>
      <c r="U1286" s="213"/>
      <c r="V1286" s="213"/>
      <c r="W1286" s="213"/>
      <c r="X1286" s="213"/>
      <c r="Y1286" s="213"/>
      <c r="Z1286" s="213"/>
      <c r="AA1286" s="213"/>
      <c r="AB1286" s="213"/>
      <c r="AC1286" s="213"/>
      <c r="AD1286" s="213"/>
      <c r="AE1286" s="213"/>
      <c r="AF1286" s="213"/>
      <c r="AG1286" s="213"/>
      <c r="AH1286" s="213"/>
      <c r="AI1286" s="213"/>
      <c r="AJ1286" s="213"/>
      <c r="AK1286" s="213"/>
      <c r="AL1286" s="213"/>
      <c r="AM1286" s="213"/>
      <c r="AN1286" s="213"/>
      <c r="AO1286" s="213"/>
      <c r="AP1286" s="213"/>
      <c r="AQ1286" s="213"/>
      <c r="AR1286" s="213"/>
      <c r="AS1286" s="213"/>
      <c r="AT1286" s="213"/>
      <c r="AU1286" s="213"/>
      <c r="AV1286" s="213"/>
      <c r="AW1286" s="213"/>
      <c r="AX1286" s="213"/>
      <c r="AY1286" s="213"/>
      <c r="AZ1286" s="213"/>
      <c r="BA1286" s="213"/>
      <c r="BB1286" s="213"/>
      <c r="BC1286" s="213"/>
      <c r="BD1286" s="213"/>
    </row>
    <row r="1287">
      <c r="A1287" s="213">
        <f>IFERROR(__xludf.DUMMYFUNCTION("""COMPUTED_VALUE"""),1012.0)</f>
        <v>1012</v>
      </c>
      <c r="B1287" s="213" t="str">
        <f>IFERROR(__xludf.DUMMYFUNCTION("""COMPUTED_VALUE"""),"FRANCISCO IRAZOLA")</f>
        <v>FRANCISCO IRAZOLA</v>
      </c>
      <c r="C1287" s="213" t="str">
        <f>IFERROR(__xludf.DUMMYFUNCTION("""COMPUTED_VALUE"""),"TALLER SFT DE MECÁNICA AUTOMOTRIZ")</f>
        <v>TALLER SFT DE MECÁNICA AUTOMOTRIZ</v>
      </c>
      <c r="D1287" s="213" t="str">
        <f>IFERROR(__xludf.DUMMYFUNCTION("""COMPUTED_VALUE"""),"PEDAGOGICO")</f>
        <v>PEDAGOGICO</v>
      </c>
      <c r="E1287" s="213" t="str">
        <f>IFERROR(__xludf.DUMMYFUNCTION("""COMPUTED_VALUE"""),"MAT-255")</f>
        <v>MAT-255</v>
      </c>
      <c r="F1287" s="213" t="str">
        <f>IFERROR(__xludf.DUMMYFUNCTION("""COMPUTED_VALUE"""),"KEFF-05")</f>
        <v>KEFF-05</v>
      </c>
      <c r="G1287" s="213"/>
      <c r="H1287" s="213" t="str">
        <f>IFERROR(__xludf.DUMMYFUNCTION("""COMPUTED_VALUE"""),"MANUAL DE MANTENIMIENTO POR CADA EQUIPO DE ANÁLISIS Y DISEÑO DE LA PROPUESTA DE VALOR")</f>
        <v>MANUAL DE MANTENIMIENTO POR CADA EQUIPO DE ANÁLISIS Y DISEÑO DE LA PROPUESTA DE VALOR</v>
      </c>
      <c r="I128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87" s="213">
        <f>IFERROR(__xludf.DUMMYFUNCTION("""COMPUTED_VALUE"""),3.0)</f>
        <v>3</v>
      </c>
      <c r="K1287" s="213" t="str">
        <f>IFERROR(__xludf.DUMMYFUNCTION("""COMPUTED_VALUE"""),"170 DÍAS CALENDARIO")</f>
        <v>170 DÍAS CALENDARIO</v>
      </c>
      <c r="L1287" s="213" t="str">
        <f>IFERROR(__xludf.DUMMYFUNCTION("""COMPUTED_VALUE"""),"")</f>
        <v/>
      </c>
      <c r="M1287" s="213">
        <f>IFERROR(__xludf.DUMMYFUNCTION("""COMPUTED_VALUE"""),1.0)</f>
        <v>1</v>
      </c>
      <c r="N1287" s="213">
        <f>IFERROR(__xludf.DUMMYFUNCTION("""COMPUTED_VALUE"""),6.0)</f>
        <v>6</v>
      </c>
      <c r="O1287" s="213">
        <f>IFERROR(__xludf.DUMMYFUNCTION("""COMPUTED_VALUE"""),6.0)</f>
        <v>6</v>
      </c>
      <c r="P1287" s="213"/>
      <c r="Q1287" s="213"/>
      <c r="R1287" s="213"/>
      <c r="S1287" s="213"/>
      <c r="T1287" s="213"/>
      <c r="U1287" s="213"/>
      <c r="V1287" s="213"/>
      <c r="W1287" s="213"/>
      <c r="X1287" s="213"/>
      <c r="Y1287" s="213"/>
      <c r="Z1287" s="213"/>
      <c r="AA1287" s="213"/>
      <c r="AB1287" s="213"/>
      <c r="AC1287" s="213"/>
      <c r="AD1287" s="213"/>
      <c r="AE1287" s="213"/>
      <c r="AF1287" s="213"/>
      <c r="AG1287" s="213"/>
      <c r="AH1287" s="213"/>
      <c r="AI1287" s="213"/>
      <c r="AJ1287" s="213"/>
      <c r="AK1287" s="213"/>
      <c r="AL1287" s="213"/>
      <c r="AM1287" s="213"/>
      <c r="AN1287" s="213"/>
      <c r="AO1287" s="213"/>
      <c r="AP1287" s="213"/>
      <c r="AQ1287" s="213"/>
      <c r="AR1287" s="213"/>
      <c r="AS1287" s="213"/>
      <c r="AT1287" s="213"/>
      <c r="AU1287" s="213"/>
      <c r="AV1287" s="213"/>
      <c r="AW1287" s="213"/>
      <c r="AX1287" s="213"/>
      <c r="AY1287" s="213"/>
      <c r="AZ1287" s="213"/>
      <c r="BA1287" s="213"/>
      <c r="BB1287" s="213"/>
      <c r="BC1287" s="213"/>
      <c r="BD1287" s="213"/>
    </row>
    <row r="1288">
      <c r="A1288" s="213">
        <f>IFERROR(__xludf.DUMMYFUNCTION("""COMPUTED_VALUE"""),1204.0)</f>
        <v>1204</v>
      </c>
      <c r="B1288" s="213" t="str">
        <f>IFERROR(__xludf.DUMMYFUNCTION("""COMPUTED_VALUE"""),"FRANCISCO IRAZOLA")</f>
        <v>FRANCISCO IRAZOLA</v>
      </c>
      <c r="C1288" s="213" t="str">
        <f>IFERROR(__xludf.DUMMYFUNCTION("""COMPUTED_VALUE"""),"TALLER SFT DE INDUSTRIA ALIMENTARIA")</f>
        <v>TALLER SFT DE INDUSTRIA ALIMENTARIA</v>
      </c>
      <c r="D1288" s="213" t="str">
        <f>IFERROR(__xludf.DUMMYFUNCTION("""COMPUTED_VALUE"""),"PEDAGOGICO")</f>
        <v>PEDAGOGICO</v>
      </c>
      <c r="E1288" s="213" t="str">
        <f>IFERROR(__xludf.DUMMYFUNCTION("""COMPUTED_VALUE"""),"MAT-255")</f>
        <v>MAT-255</v>
      </c>
      <c r="F1288" s="213" t="str">
        <f>IFERROR(__xludf.DUMMYFUNCTION("""COMPUTED_VALUE"""),"KEFF-05")</f>
        <v>KEFF-05</v>
      </c>
      <c r="G1288" s="213"/>
      <c r="H1288" s="213" t="str">
        <f>IFERROR(__xludf.DUMMYFUNCTION("""COMPUTED_VALUE"""),"MANUAL DE MANTENIMIENTO POR CADA EQUIPO DE ANÁLISIS Y DISEÑO DE LA PROPUESTA DE VALOR")</f>
        <v>MANUAL DE MANTENIMIENTO POR CADA EQUIPO DE ANÁLISIS Y DISEÑO DE LA PROPUESTA DE VALOR</v>
      </c>
      <c r="I1288" s="213"/>
      <c r="J1288" s="213">
        <f>IFERROR(__xludf.DUMMYFUNCTION("""COMPUTED_VALUE"""),3.0)</f>
        <v>3</v>
      </c>
      <c r="K1288" s="213" t="str">
        <f>IFERROR(__xludf.DUMMYFUNCTION("""COMPUTED_VALUE"""),"170 DÍAS CALENDARIO")</f>
        <v>170 DÍAS CALENDARIO</v>
      </c>
      <c r="L1288" s="213" t="str">
        <f>IFERROR(__xludf.DUMMYFUNCTION("""COMPUTED_VALUE"""),"")</f>
        <v/>
      </c>
      <c r="M1288" s="213">
        <f>IFERROR(__xludf.DUMMYFUNCTION("""COMPUTED_VALUE"""),1.0)</f>
        <v>1</v>
      </c>
      <c r="N1288" s="213">
        <f>IFERROR(__xludf.DUMMYFUNCTION("""COMPUTED_VALUE"""),6.0)</f>
        <v>6</v>
      </c>
      <c r="O1288" s="213">
        <f>IFERROR(__xludf.DUMMYFUNCTION("""COMPUTED_VALUE"""),6.0)</f>
        <v>6</v>
      </c>
      <c r="P1288" s="213"/>
      <c r="Q1288" s="213"/>
      <c r="R1288" s="213"/>
      <c r="S1288" s="213"/>
      <c r="T1288" s="213"/>
      <c r="U1288" s="213"/>
      <c r="V1288" s="213"/>
      <c r="W1288" s="213"/>
      <c r="X1288" s="213"/>
      <c r="Y1288" s="213"/>
      <c r="Z1288" s="213"/>
      <c r="AA1288" s="213"/>
      <c r="AB1288" s="213"/>
      <c r="AC1288" s="213"/>
      <c r="AD1288" s="213"/>
      <c r="AE1288" s="213"/>
      <c r="AF1288" s="213"/>
      <c r="AG1288" s="213"/>
      <c r="AH1288" s="213"/>
      <c r="AI1288" s="213"/>
      <c r="AJ1288" s="213"/>
      <c r="AK1288" s="213"/>
      <c r="AL1288" s="213"/>
      <c r="AM1288" s="213"/>
      <c r="AN1288" s="213"/>
      <c r="AO1288" s="213"/>
      <c r="AP1288" s="213"/>
      <c r="AQ1288" s="213"/>
      <c r="AR1288" s="213"/>
      <c r="AS1288" s="213"/>
      <c r="AT1288" s="213"/>
      <c r="AU1288" s="213"/>
      <c r="AV1288" s="213"/>
      <c r="AW1288" s="213"/>
      <c r="AX1288" s="213"/>
      <c r="AY1288" s="213"/>
      <c r="AZ1288" s="213"/>
      <c r="BA1288" s="213"/>
      <c r="BB1288" s="213"/>
      <c r="BC1288" s="213"/>
      <c r="BD1288" s="213"/>
    </row>
    <row r="1289">
      <c r="A1289" s="213">
        <f>IFERROR(__xludf.DUMMYFUNCTION("""COMPUTED_VALUE"""),1289.0)</f>
        <v>1289</v>
      </c>
      <c r="B1289" s="213" t="str">
        <f>IFERROR(__xludf.DUMMYFUNCTION("""COMPUTED_VALUE"""),"GUILLERMO E. BILLINGHURST ")</f>
        <v>GUILLERMO E. BILLINGHURST </v>
      </c>
      <c r="C1289" s="213" t="str">
        <f>IFERROR(__xludf.DUMMYFUNCTION("""COMPUTED_VALUE"""),"TALLER SFT DE ELECTRICIDAD")</f>
        <v>TALLER SFT DE ELECTRICIDAD</v>
      </c>
      <c r="D1289" s="213" t="str">
        <f>IFERROR(__xludf.DUMMYFUNCTION("""COMPUTED_VALUE"""),"PEDAGOGICO")</f>
        <v>PEDAGOGICO</v>
      </c>
      <c r="E1289" s="213" t="str">
        <f>IFERROR(__xludf.DUMMYFUNCTION("""COMPUTED_VALUE"""),"MAT-255")</f>
        <v>MAT-255</v>
      </c>
      <c r="F1289" s="213" t="str">
        <f>IFERROR(__xludf.DUMMYFUNCTION("""COMPUTED_VALUE"""),"KEFF-05")</f>
        <v>KEFF-05</v>
      </c>
      <c r="G1289" s="213"/>
      <c r="H1289" s="213" t="str">
        <f>IFERROR(__xludf.DUMMYFUNCTION("""COMPUTED_VALUE"""),"MANUAL DE MANTENIMIENTO POR CADA EQUIPO DE ANÁLISIS Y DISEÑO DE LA PROPUESTA DE VALOR")</f>
        <v>MANUAL DE MANTENIMIENTO POR CADA EQUIPO DE ANÁLISIS Y DISEÑO DE LA PROPUESTA DE VALOR</v>
      </c>
      <c r="I128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89" s="213">
        <f>IFERROR(__xludf.DUMMYFUNCTION("""COMPUTED_VALUE"""),3.0)</f>
        <v>3</v>
      </c>
      <c r="K1289" s="213" t="str">
        <f>IFERROR(__xludf.DUMMYFUNCTION("""COMPUTED_VALUE"""),"170 DÍAS CALENDARIO")</f>
        <v>170 DÍAS CALENDARIO</v>
      </c>
      <c r="L1289" s="213" t="str">
        <f>IFERROR(__xludf.DUMMYFUNCTION("""COMPUTED_VALUE"""),"")</f>
        <v/>
      </c>
      <c r="M1289" s="213">
        <f>IFERROR(__xludf.DUMMYFUNCTION("""COMPUTED_VALUE"""),1.0)</f>
        <v>1</v>
      </c>
      <c r="N1289" s="213">
        <f>IFERROR(__xludf.DUMMYFUNCTION("""COMPUTED_VALUE"""),6.0)</f>
        <v>6</v>
      </c>
      <c r="O1289" s="213">
        <f>IFERROR(__xludf.DUMMYFUNCTION("""COMPUTED_VALUE"""),6.0)</f>
        <v>6</v>
      </c>
      <c r="P1289" s="213"/>
      <c r="Q1289" s="213"/>
      <c r="R1289" s="213"/>
      <c r="S1289" s="213"/>
      <c r="T1289" s="213"/>
      <c r="U1289" s="213"/>
      <c r="V1289" s="213"/>
      <c r="W1289" s="213"/>
      <c r="X1289" s="213"/>
      <c r="Y1289" s="213"/>
      <c r="Z1289" s="213"/>
      <c r="AA1289" s="213"/>
      <c r="AB1289" s="213"/>
      <c r="AC1289" s="213"/>
      <c r="AD1289" s="213"/>
      <c r="AE1289" s="213"/>
      <c r="AF1289" s="213"/>
      <c r="AG1289" s="213"/>
      <c r="AH1289" s="213"/>
      <c r="AI1289" s="213"/>
      <c r="AJ1289" s="213"/>
      <c r="AK1289" s="213"/>
      <c r="AL1289" s="213"/>
      <c r="AM1289" s="213"/>
      <c r="AN1289" s="213"/>
      <c r="AO1289" s="213"/>
      <c r="AP1289" s="213"/>
      <c r="AQ1289" s="213"/>
      <c r="AR1289" s="213"/>
      <c r="AS1289" s="213"/>
      <c r="AT1289" s="213"/>
      <c r="AU1289" s="213"/>
      <c r="AV1289" s="213"/>
      <c r="AW1289" s="213"/>
      <c r="AX1289" s="213"/>
      <c r="AY1289" s="213"/>
      <c r="AZ1289" s="213"/>
      <c r="BA1289" s="213"/>
      <c r="BB1289" s="213"/>
      <c r="BC1289" s="213"/>
      <c r="BD1289" s="213"/>
    </row>
    <row r="1290">
      <c r="A1290" s="213">
        <f>IFERROR(__xludf.DUMMYFUNCTION("""COMPUTED_VALUE"""),1475.0)</f>
        <v>1475</v>
      </c>
      <c r="B1290" s="213" t="str">
        <f>IFERROR(__xludf.DUMMYFUNCTION("""COMPUTED_VALUE"""),"GUILLERMO E. BILLINGHURST ")</f>
        <v>GUILLERMO E. BILLINGHURST </v>
      </c>
      <c r="C1290" s="213" t="str">
        <f>IFERROR(__xludf.DUMMYFUNCTION("""COMPUTED_VALUE"""),"TALLER SFT DE INDUSTRIA ALIMENTARIA")</f>
        <v>TALLER SFT DE INDUSTRIA ALIMENTARIA</v>
      </c>
      <c r="D1290" s="213" t="str">
        <f>IFERROR(__xludf.DUMMYFUNCTION("""COMPUTED_VALUE"""),"PEDAGOGICO")</f>
        <v>PEDAGOGICO</v>
      </c>
      <c r="E1290" s="213" t="str">
        <f>IFERROR(__xludf.DUMMYFUNCTION("""COMPUTED_VALUE"""),"MAT-255")</f>
        <v>MAT-255</v>
      </c>
      <c r="F1290" s="213" t="str">
        <f>IFERROR(__xludf.DUMMYFUNCTION("""COMPUTED_VALUE"""),"KEFF-05")</f>
        <v>KEFF-05</v>
      </c>
      <c r="G1290" s="213"/>
      <c r="H1290" s="213" t="str">
        <f>IFERROR(__xludf.DUMMYFUNCTION("""COMPUTED_VALUE"""),"MANUAL DE MANTENIMIENTO POR CADA EQUIPO DE ANÁLISIS Y DISEÑO DE LA PROPUESTA DE VALOR")</f>
        <v>MANUAL DE MANTENIMIENTO POR CADA EQUIPO DE ANÁLISIS Y DISEÑO DE LA PROPUESTA DE VALOR</v>
      </c>
      <c r="I1290" s="213"/>
      <c r="J1290" s="213">
        <f>IFERROR(__xludf.DUMMYFUNCTION("""COMPUTED_VALUE"""),3.0)</f>
        <v>3</v>
      </c>
      <c r="K1290" s="213" t="str">
        <f>IFERROR(__xludf.DUMMYFUNCTION("""COMPUTED_VALUE"""),"170 DÍAS CALENDARIO")</f>
        <v>170 DÍAS CALENDARIO</v>
      </c>
      <c r="L1290" s="213" t="str">
        <f>IFERROR(__xludf.DUMMYFUNCTION("""COMPUTED_VALUE"""),"")</f>
        <v/>
      </c>
      <c r="M1290" s="213">
        <f>IFERROR(__xludf.DUMMYFUNCTION("""COMPUTED_VALUE"""),1.0)</f>
        <v>1</v>
      </c>
      <c r="N1290" s="213">
        <f>IFERROR(__xludf.DUMMYFUNCTION("""COMPUTED_VALUE"""),6.0)</f>
        <v>6</v>
      </c>
      <c r="O1290" s="213">
        <f>IFERROR(__xludf.DUMMYFUNCTION("""COMPUTED_VALUE"""),6.0)</f>
        <v>6</v>
      </c>
      <c r="P1290" s="213"/>
      <c r="Q1290" s="213"/>
      <c r="R1290" s="213"/>
      <c r="S1290" s="213"/>
      <c r="T1290" s="213"/>
      <c r="U1290" s="213"/>
      <c r="V1290" s="213"/>
      <c r="W1290" s="213"/>
      <c r="X1290" s="213"/>
      <c r="Y1290" s="213"/>
      <c r="Z1290" s="213"/>
      <c r="AA1290" s="213"/>
      <c r="AB1290" s="213"/>
      <c r="AC1290" s="213"/>
      <c r="AD1290" s="213"/>
      <c r="AE1290" s="213"/>
      <c r="AF1290" s="213"/>
      <c r="AG1290" s="213"/>
      <c r="AH1290" s="213"/>
      <c r="AI1290" s="213"/>
      <c r="AJ1290" s="213"/>
      <c r="AK1290" s="213"/>
      <c r="AL1290" s="213"/>
      <c r="AM1290" s="213"/>
      <c r="AN1290" s="213"/>
      <c r="AO1290" s="213"/>
      <c r="AP1290" s="213"/>
      <c r="AQ1290" s="213"/>
      <c r="AR1290" s="213"/>
      <c r="AS1290" s="213"/>
      <c r="AT1290" s="213"/>
      <c r="AU1290" s="213"/>
      <c r="AV1290" s="213"/>
      <c r="AW1290" s="213"/>
      <c r="AX1290" s="213"/>
      <c r="AY1290" s="213"/>
      <c r="AZ1290" s="213"/>
      <c r="BA1290" s="213"/>
      <c r="BB1290" s="213"/>
      <c r="BC1290" s="213"/>
      <c r="BD1290" s="213"/>
    </row>
    <row r="1291">
      <c r="A1291" s="213">
        <f>IFERROR(__xludf.DUMMYFUNCTION("""COMPUTED_VALUE"""),1617.0)</f>
        <v>1617</v>
      </c>
      <c r="B1291" s="213" t="str">
        <f>IFERROR(__xludf.DUMMYFUNCTION("""COMPUTED_VALUE"""),"GUILLERMO E. BILLINGHURST ")</f>
        <v>GUILLERMO E. BILLINGHURST </v>
      </c>
      <c r="C1291" s="213" t="str">
        <f>IFERROR(__xludf.DUMMYFUNCTION("""COMPUTED_VALUE"""),"TALLER SFT DE MECÁNICA AUTOMOTRIZ")</f>
        <v>TALLER SFT DE MECÁNICA AUTOMOTRIZ</v>
      </c>
      <c r="D1291" s="213" t="str">
        <f>IFERROR(__xludf.DUMMYFUNCTION("""COMPUTED_VALUE"""),"PEDAGOGICO")</f>
        <v>PEDAGOGICO</v>
      </c>
      <c r="E1291" s="213" t="str">
        <f>IFERROR(__xludf.DUMMYFUNCTION("""COMPUTED_VALUE"""),"MAT-255")</f>
        <v>MAT-255</v>
      </c>
      <c r="F1291" s="213" t="str">
        <f>IFERROR(__xludf.DUMMYFUNCTION("""COMPUTED_VALUE"""),"KEFF-05")</f>
        <v>KEFF-05</v>
      </c>
      <c r="G1291" s="213"/>
      <c r="H1291" s="213" t="str">
        <f>IFERROR(__xludf.DUMMYFUNCTION("""COMPUTED_VALUE"""),"MANUAL DE MANTENIMIENTO POR CADA EQUIPO DE ANÁLISIS Y DISEÑO DE LA PROPUESTA DE VALOR")</f>
        <v>MANUAL DE MANTENIMIENTO POR CADA EQUIPO DE ANÁLISIS Y DISEÑO DE LA PROPUESTA DE VALOR</v>
      </c>
      <c r="I129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91" s="213">
        <f>IFERROR(__xludf.DUMMYFUNCTION("""COMPUTED_VALUE"""),3.0)</f>
        <v>3</v>
      </c>
      <c r="K1291" s="213" t="str">
        <f>IFERROR(__xludf.DUMMYFUNCTION("""COMPUTED_VALUE"""),"170 DÍAS CALENDARIO")</f>
        <v>170 DÍAS CALENDARIO</v>
      </c>
      <c r="L1291" s="213" t="str">
        <f>IFERROR(__xludf.DUMMYFUNCTION("""COMPUTED_VALUE"""),"")</f>
        <v/>
      </c>
      <c r="M1291" s="213">
        <f>IFERROR(__xludf.DUMMYFUNCTION("""COMPUTED_VALUE"""),1.0)</f>
        <v>1</v>
      </c>
      <c r="N1291" s="213">
        <f>IFERROR(__xludf.DUMMYFUNCTION("""COMPUTED_VALUE"""),6.0)</f>
        <v>6</v>
      </c>
      <c r="O1291" s="213">
        <f>IFERROR(__xludf.DUMMYFUNCTION("""COMPUTED_VALUE"""),6.0)</f>
        <v>6</v>
      </c>
      <c r="P1291" s="213"/>
      <c r="Q1291" s="213"/>
      <c r="R1291" s="213"/>
      <c r="S1291" s="213"/>
      <c r="T1291" s="213"/>
      <c r="U1291" s="213"/>
      <c r="V1291" s="213"/>
      <c r="W1291" s="213"/>
      <c r="X1291" s="213"/>
      <c r="Y1291" s="213"/>
      <c r="Z1291" s="213"/>
      <c r="AA1291" s="213"/>
      <c r="AB1291" s="213"/>
      <c r="AC1291" s="213"/>
      <c r="AD1291" s="213"/>
      <c r="AE1291" s="213"/>
      <c r="AF1291" s="213"/>
      <c r="AG1291" s="213"/>
      <c r="AH1291" s="213"/>
      <c r="AI1291" s="213"/>
      <c r="AJ1291" s="213"/>
      <c r="AK1291" s="213"/>
      <c r="AL1291" s="213"/>
      <c r="AM1291" s="213"/>
      <c r="AN1291" s="213"/>
      <c r="AO1291" s="213"/>
      <c r="AP1291" s="213"/>
      <c r="AQ1291" s="213"/>
      <c r="AR1291" s="213"/>
      <c r="AS1291" s="213"/>
      <c r="AT1291" s="213"/>
      <c r="AU1291" s="213"/>
      <c r="AV1291" s="213"/>
      <c r="AW1291" s="213"/>
      <c r="AX1291" s="213"/>
      <c r="AY1291" s="213"/>
      <c r="AZ1291" s="213"/>
      <c r="BA1291" s="213"/>
      <c r="BB1291" s="213"/>
      <c r="BC1291" s="213"/>
      <c r="BD1291" s="213"/>
    </row>
    <row r="1292">
      <c r="A1292" s="213">
        <f>IFERROR(__xludf.DUMMYFUNCTION("""COMPUTED_VALUE"""),1725.0)</f>
        <v>1725</v>
      </c>
      <c r="B1292" s="213" t="str">
        <f>IFERROR(__xludf.DUMMYFUNCTION("""COMPUTED_VALUE"""),"GUILLERMO E. BILLINGHURST ")</f>
        <v>GUILLERMO E. BILLINGHURST </v>
      </c>
      <c r="C1292" s="213" t="str">
        <f>IFERROR(__xludf.DUMMYFUNCTION("""COMPUTED_VALUE"""),"TALLER SFT DE COMPUTACIÓN E INFORMÁTICA")</f>
        <v>TALLER SFT DE COMPUTACIÓN E INFORMÁTICA</v>
      </c>
      <c r="D1292" s="213" t="str">
        <f>IFERROR(__xludf.DUMMYFUNCTION("""COMPUTED_VALUE"""),"PEDAGOGICO")</f>
        <v>PEDAGOGICO</v>
      </c>
      <c r="E1292" s="213" t="str">
        <f>IFERROR(__xludf.DUMMYFUNCTION("""COMPUTED_VALUE"""),"MAT-255")</f>
        <v>MAT-255</v>
      </c>
      <c r="F1292" s="213" t="str">
        <f>IFERROR(__xludf.DUMMYFUNCTION("""COMPUTED_VALUE"""),"KEFF-05")</f>
        <v>KEFF-05</v>
      </c>
      <c r="G1292" s="213"/>
      <c r="H1292" s="213" t="str">
        <f>IFERROR(__xludf.DUMMYFUNCTION("""COMPUTED_VALUE"""),"MANUAL DE MANTENIMIENTO POR CADA EQUIPO DE ANÁLISIS Y DISEÑO DE LA PROPUESTA DE VALOR")</f>
        <v>MANUAL DE MANTENIMIENTO POR CADA EQUIPO DE ANÁLISIS Y DISEÑO DE LA PROPUESTA DE VALOR</v>
      </c>
      <c r="I129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92" s="213">
        <f>IFERROR(__xludf.DUMMYFUNCTION("""COMPUTED_VALUE"""),3.0)</f>
        <v>3</v>
      </c>
      <c r="K1292" s="213" t="str">
        <f>IFERROR(__xludf.DUMMYFUNCTION("""COMPUTED_VALUE"""),"170 DÍAS CALENDARIO")</f>
        <v>170 DÍAS CALENDARIO</v>
      </c>
      <c r="L1292" s="213" t="str">
        <f>IFERROR(__xludf.DUMMYFUNCTION("""COMPUTED_VALUE"""),"")</f>
        <v/>
      </c>
      <c r="M1292" s="213">
        <f>IFERROR(__xludf.DUMMYFUNCTION("""COMPUTED_VALUE"""),1.0)</f>
        <v>1</v>
      </c>
      <c r="N1292" s="213">
        <f>IFERROR(__xludf.DUMMYFUNCTION("""COMPUTED_VALUE"""),6.0)</f>
        <v>6</v>
      </c>
      <c r="O1292" s="213">
        <f>IFERROR(__xludf.DUMMYFUNCTION("""COMPUTED_VALUE"""),6.0)</f>
        <v>6</v>
      </c>
      <c r="P1292" s="213"/>
      <c r="Q1292" s="213"/>
      <c r="R1292" s="213"/>
      <c r="S1292" s="213"/>
      <c r="T1292" s="213"/>
      <c r="U1292" s="213"/>
      <c r="V1292" s="213"/>
      <c r="W1292" s="213"/>
      <c r="X1292" s="213"/>
      <c r="Y1292" s="213"/>
      <c r="Z1292" s="213"/>
      <c r="AA1292" s="213"/>
      <c r="AB1292" s="213"/>
      <c r="AC1292" s="213"/>
      <c r="AD1292" s="213"/>
      <c r="AE1292" s="213"/>
      <c r="AF1292" s="213"/>
      <c r="AG1292" s="213"/>
      <c r="AH1292" s="213"/>
      <c r="AI1292" s="213"/>
      <c r="AJ1292" s="213"/>
      <c r="AK1292" s="213"/>
      <c r="AL1292" s="213"/>
      <c r="AM1292" s="213"/>
      <c r="AN1292" s="213"/>
      <c r="AO1292" s="213"/>
      <c r="AP1292" s="213"/>
      <c r="AQ1292" s="213"/>
      <c r="AR1292" s="213"/>
      <c r="AS1292" s="213"/>
      <c r="AT1292" s="213"/>
      <c r="AU1292" s="213"/>
      <c r="AV1292" s="213"/>
      <c r="AW1292" s="213"/>
      <c r="AX1292" s="213"/>
      <c r="AY1292" s="213"/>
      <c r="AZ1292" s="213"/>
      <c r="BA1292" s="213"/>
      <c r="BB1292" s="213"/>
      <c r="BC1292" s="213"/>
      <c r="BD1292" s="213"/>
    </row>
    <row r="1293">
      <c r="A1293" s="213">
        <f>IFERROR(__xludf.DUMMYFUNCTION("""COMPUTED_VALUE"""),1880.0)</f>
        <v>1880</v>
      </c>
      <c r="B1293" s="213" t="str">
        <f>IFERROR(__xludf.DUMMYFUNCTION("""COMPUTED_VALUE"""),"GUILLERMO E. BILLINGHURST ")</f>
        <v>GUILLERMO E. BILLINGHURST </v>
      </c>
      <c r="C1293" s="213" t="str">
        <f>IFERROR(__xludf.DUMMYFUNCTION("""COMPUTED_VALUE"""),"TALLER SFT DE EBANISTERÍA")</f>
        <v>TALLER SFT DE EBANISTERÍA</v>
      </c>
      <c r="D1293" s="213" t="str">
        <f>IFERROR(__xludf.DUMMYFUNCTION("""COMPUTED_VALUE"""),"PEDAGOGICO")</f>
        <v>PEDAGOGICO</v>
      </c>
      <c r="E1293" s="213" t="str">
        <f>IFERROR(__xludf.DUMMYFUNCTION("""COMPUTED_VALUE"""),"MAT-255")</f>
        <v>MAT-255</v>
      </c>
      <c r="F1293" s="213" t="str">
        <f>IFERROR(__xludf.DUMMYFUNCTION("""COMPUTED_VALUE"""),"KEFF-05")</f>
        <v>KEFF-05</v>
      </c>
      <c r="G1293" s="213"/>
      <c r="H1293" s="213" t="str">
        <f>IFERROR(__xludf.DUMMYFUNCTION("""COMPUTED_VALUE"""),"MANUAL DE MANTENIMIENTO POR CADA EQUIPO DE ANÁLISIS Y DISEÑO DE LA PROPUESTA DE VALOR")</f>
        <v>MANUAL DE MANTENIMIENTO POR CADA EQUIPO DE ANÁLISIS Y DISEÑO DE LA PROPUESTA DE VALOR</v>
      </c>
      <c r="I129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paaginas.
Contenido que prese"&amp;"nta:
-          Descripción de los tipos de mantenimiento que requiere cada equipo de análisis y diseño de la propuesta de valor
-          Descripción de los materiales que se requiere para su mantenimiento.
Descripción de los procedimientos para realiza"&amp;"r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paaginas.
Contenido que presenta:
-          Descripción de los tipos de mantenimiento que requiere cada equipo de análisis y diseño de la propuesta de valor
-          Descripción de los materiales que se requiere para su mantenimiento.
Descripción de los procedimientos para realizar el mantenimiento preventivo de cada equipo</v>
      </c>
      <c r="J1293" s="213">
        <f>IFERROR(__xludf.DUMMYFUNCTION("""COMPUTED_VALUE"""),3.0)</f>
        <v>3</v>
      </c>
      <c r="K1293" s="213" t="str">
        <f>IFERROR(__xludf.DUMMYFUNCTION("""COMPUTED_VALUE"""),"170 DÍAS CALENDARIO")</f>
        <v>170 DÍAS CALENDARIO</v>
      </c>
      <c r="L1293" s="213" t="str">
        <f>IFERROR(__xludf.DUMMYFUNCTION("""COMPUTED_VALUE"""),"")</f>
        <v/>
      </c>
      <c r="M1293" s="213">
        <f>IFERROR(__xludf.DUMMYFUNCTION("""COMPUTED_VALUE"""),1.0)</f>
        <v>1</v>
      </c>
      <c r="N1293" s="213">
        <f>IFERROR(__xludf.DUMMYFUNCTION("""COMPUTED_VALUE"""),6.0)</f>
        <v>6</v>
      </c>
      <c r="O1293" s="213">
        <f>IFERROR(__xludf.DUMMYFUNCTION("""COMPUTED_VALUE"""),6.0)</f>
        <v>6</v>
      </c>
      <c r="P1293" s="213"/>
      <c r="Q1293" s="213"/>
      <c r="R1293" s="213"/>
      <c r="S1293" s="213"/>
      <c r="T1293" s="213"/>
      <c r="U1293" s="213"/>
      <c r="V1293" s="213"/>
      <c r="W1293" s="213"/>
      <c r="X1293" s="213"/>
      <c r="Y1293" s="213"/>
      <c r="Z1293" s="213"/>
      <c r="AA1293" s="213"/>
      <c r="AB1293" s="213"/>
      <c r="AC1293" s="213"/>
      <c r="AD1293" s="213"/>
      <c r="AE1293" s="213"/>
      <c r="AF1293" s="213"/>
      <c r="AG1293" s="213"/>
      <c r="AH1293" s="213"/>
      <c r="AI1293" s="213"/>
      <c r="AJ1293" s="213"/>
      <c r="AK1293" s="213"/>
      <c r="AL1293" s="213"/>
      <c r="AM1293" s="213"/>
      <c r="AN1293" s="213"/>
      <c r="AO1293" s="213"/>
      <c r="AP1293" s="213"/>
      <c r="AQ1293" s="213"/>
      <c r="AR1293" s="213"/>
      <c r="AS1293" s="213"/>
      <c r="AT1293" s="213"/>
      <c r="AU1293" s="213"/>
      <c r="AV1293" s="213"/>
      <c r="AW1293" s="213"/>
      <c r="AX1293" s="213"/>
      <c r="AY1293" s="213"/>
      <c r="AZ1293" s="213"/>
      <c r="BA1293" s="213"/>
      <c r="BB1293" s="213"/>
      <c r="BC1293" s="213"/>
      <c r="BD1293" s="213"/>
    </row>
    <row r="1294">
      <c r="A1294" s="213">
        <f>IFERROR(__xludf.DUMMYFUNCTION("""COMPUTED_VALUE"""),1975.0)</f>
        <v>1975</v>
      </c>
      <c r="B1294" s="213" t="str">
        <f>IFERROR(__xludf.DUMMYFUNCTION("""COMPUTED_VALUE"""),"JOSE GRANDA")</f>
        <v>JOSE GRANDA</v>
      </c>
      <c r="C1294" s="213" t="str">
        <f>IFERROR(__xludf.DUMMYFUNCTION("""COMPUTED_VALUE"""),"TALLER SFT DE COMPUTACIÓN E INFORMÁTICA")</f>
        <v>TALLER SFT DE COMPUTACIÓN E INFORMÁTICA</v>
      </c>
      <c r="D1294" s="213" t="str">
        <f>IFERROR(__xludf.DUMMYFUNCTION("""COMPUTED_VALUE"""),"PEDAGOGICO")</f>
        <v>PEDAGOGICO</v>
      </c>
      <c r="E1294" s="213" t="str">
        <f>IFERROR(__xludf.DUMMYFUNCTION("""COMPUTED_VALUE"""),"MAT-255")</f>
        <v>MAT-255</v>
      </c>
      <c r="F1294" s="213" t="str">
        <f>IFERROR(__xludf.DUMMYFUNCTION("""COMPUTED_VALUE"""),"KEFF-05")</f>
        <v>KEFF-05</v>
      </c>
      <c r="G1294" s="213"/>
      <c r="H1294" s="213" t="str">
        <f>IFERROR(__xludf.DUMMYFUNCTION("""COMPUTED_VALUE"""),"MANUAL DE MANTENIMIENTO POR CADA EQUIPO DE ANÁLISIS Y DISEÑO DE LA PROPUESTA DE VALOR")</f>
        <v>MANUAL DE MANTENIMIENTO POR CADA EQUIPO DE ANÁLISIS Y DISEÑO DE LA PROPUESTA DE VALOR</v>
      </c>
      <c r="I129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94" s="213">
        <f>IFERROR(__xludf.DUMMYFUNCTION("""COMPUTED_VALUE"""),3.0)</f>
        <v>3</v>
      </c>
      <c r="K1294" s="213" t="str">
        <f>IFERROR(__xludf.DUMMYFUNCTION("""COMPUTED_VALUE"""),"170 DÍAS CALENDARIO")</f>
        <v>170 DÍAS CALENDARIO</v>
      </c>
      <c r="L1294" s="213" t="str">
        <f>IFERROR(__xludf.DUMMYFUNCTION("""COMPUTED_VALUE"""),"")</f>
        <v/>
      </c>
      <c r="M1294" s="213">
        <f>IFERROR(__xludf.DUMMYFUNCTION("""COMPUTED_VALUE"""),1.0)</f>
        <v>1</v>
      </c>
      <c r="N1294" s="213">
        <f>IFERROR(__xludf.DUMMYFUNCTION("""COMPUTED_VALUE"""),6.0)</f>
        <v>6</v>
      </c>
      <c r="O1294" s="213">
        <f>IFERROR(__xludf.DUMMYFUNCTION("""COMPUTED_VALUE"""),6.0)</f>
        <v>6</v>
      </c>
      <c r="P1294" s="213"/>
      <c r="Q1294" s="213"/>
      <c r="R1294" s="213"/>
      <c r="S1294" s="213"/>
      <c r="T1294" s="213"/>
      <c r="U1294" s="213"/>
      <c r="V1294" s="213"/>
      <c r="W1294" s="213"/>
      <c r="X1294" s="213"/>
      <c r="Y1294" s="213"/>
      <c r="Z1294" s="213"/>
      <c r="AA1294" s="213"/>
      <c r="AB1294" s="213"/>
      <c r="AC1294" s="213"/>
      <c r="AD1294" s="213"/>
      <c r="AE1294" s="213"/>
      <c r="AF1294" s="213"/>
      <c r="AG1294" s="213"/>
      <c r="AH1294" s="213"/>
      <c r="AI1294" s="213"/>
      <c r="AJ1294" s="213"/>
      <c r="AK1294" s="213"/>
      <c r="AL1294" s="213"/>
      <c r="AM1294" s="213"/>
      <c r="AN1294" s="213"/>
      <c r="AO1294" s="213"/>
      <c r="AP1294" s="213"/>
      <c r="AQ1294" s="213"/>
      <c r="AR1294" s="213"/>
      <c r="AS1294" s="213"/>
      <c r="AT1294" s="213"/>
      <c r="AU1294" s="213"/>
      <c r="AV1294" s="213"/>
      <c r="AW1294" s="213"/>
      <c r="AX1294" s="213"/>
      <c r="AY1294" s="213"/>
      <c r="AZ1294" s="213"/>
      <c r="BA1294" s="213"/>
      <c r="BB1294" s="213"/>
      <c r="BC1294" s="213"/>
      <c r="BD1294" s="213"/>
    </row>
    <row r="1295">
      <c r="A1295" s="213">
        <f>IFERROR(__xludf.DUMMYFUNCTION("""COMPUTED_VALUE"""),2167.0)</f>
        <v>2167</v>
      </c>
      <c r="B1295" s="213" t="str">
        <f>IFERROR(__xludf.DUMMYFUNCTION("""COMPUTED_VALUE"""),"JOSE GRANDA")</f>
        <v>JOSE GRANDA</v>
      </c>
      <c r="C1295" s="213" t="str">
        <f>IFERROR(__xludf.DUMMYFUNCTION("""COMPUTED_VALUE"""),"TALLER SFT DE INDUSTRIA ALIMENTARIA")</f>
        <v>TALLER SFT DE INDUSTRIA ALIMENTARIA</v>
      </c>
      <c r="D1295" s="213" t="str">
        <f>IFERROR(__xludf.DUMMYFUNCTION("""COMPUTED_VALUE"""),"PEDAGOGICO")</f>
        <v>PEDAGOGICO</v>
      </c>
      <c r="E1295" s="213" t="str">
        <f>IFERROR(__xludf.DUMMYFUNCTION("""COMPUTED_VALUE"""),"MAT-255")</f>
        <v>MAT-255</v>
      </c>
      <c r="F1295" s="213" t="str">
        <f>IFERROR(__xludf.DUMMYFUNCTION("""COMPUTED_VALUE"""),"KEFF-05")</f>
        <v>KEFF-05</v>
      </c>
      <c r="G1295" s="213"/>
      <c r="H1295" s="213" t="str">
        <f>IFERROR(__xludf.DUMMYFUNCTION("""COMPUTED_VALUE"""),"MANUAL DE MANTENIMIENTO POR CADA EQUIPO DE ANÁLISIS Y DISEÑO DE LA PROPUESTA DE VALOR")</f>
        <v>MANUAL DE MANTENIMIENTO POR CADA EQUIPO DE ANÁLISIS Y DISEÑO DE LA PROPUESTA DE VALOR</v>
      </c>
      <c r="I1295" s="213"/>
      <c r="J1295" s="213">
        <f>IFERROR(__xludf.DUMMYFUNCTION("""COMPUTED_VALUE"""),3.0)</f>
        <v>3</v>
      </c>
      <c r="K1295" s="213" t="str">
        <f>IFERROR(__xludf.DUMMYFUNCTION("""COMPUTED_VALUE"""),"170 DÍAS CALENDARIO")</f>
        <v>170 DÍAS CALENDARIO</v>
      </c>
      <c r="L1295" s="213" t="str">
        <f>IFERROR(__xludf.DUMMYFUNCTION("""COMPUTED_VALUE"""),"")</f>
        <v/>
      </c>
      <c r="M1295" s="213">
        <f>IFERROR(__xludf.DUMMYFUNCTION("""COMPUTED_VALUE"""),1.0)</f>
        <v>1</v>
      </c>
      <c r="N1295" s="213">
        <f>IFERROR(__xludf.DUMMYFUNCTION("""COMPUTED_VALUE"""),6.0)</f>
        <v>6</v>
      </c>
      <c r="O1295" s="213">
        <f>IFERROR(__xludf.DUMMYFUNCTION("""COMPUTED_VALUE"""),6.0)</f>
        <v>6</v>
      </c>
      <c r="P1295" s="213"/>
      <c r="Q1295" s="213"/>
      <c r="R1295" s="213"/>
      <c r="S1295" s="213"/>
      <c r="T1295" s="213"/>
      <c r="U1295" s="213"/>
      <c r="V1295" s="213"/>
      <c r="W1295" s="213"/>
      <c r="X1295" s="213"/>
      <c r="Y1295" s="213"/>
      <c r="Z1295" s="213"/>
      <c r="AA1295" s="213"/>
      <c r="AB1295" s="213"/>
      <c r="AC1295" s="213"/>
      <c r="AD1295" s="213"/>
      <c r="AE1295" s="213"/>
      <c r="AF1295" s="213"/>
      <c r="AG1295" s="213"/>
      <c r="AH1295" s="213"/>
      <c r="AI1295" s="213"/>
      <c r="AJ1295" s="213"/>
      <c r="AK1295" s="213"/>
      <c r="AL1295" s="213"/>
      <c r="AM1295" s="213"/>
      <c r="AN1295" s="213"/>
      <c r="AO1295" s="213"/>
      <c r="AP1295" s="213"/>
      <c r="AQ1295" s="213"/>
      <c r="AR1295" s="213"/>
      <c r="AS1295" s="213"/>
      <c r="AT1295" s="213"/>
      <c r="AU1295" s="213"/>
      <c r="AV1295" s="213"/>
      <c r="AW1295" s="213"/>
      <c r="AX1295" s="213"/>
      <c r="AY1295" s="213"/>
      <c r="AZ1295" s="213"/>
      <c r="BA1295" s="213"/>
      <c r="BB1295" s="213"/>
      <c r="BC1295" s="213"/>
      <c r="BD1295" s="213"/>
    </row>
    <row r="1296">
      <c r="A1296" s="213">
        <f>IFERROR(__xludf.DUMMYFUNCTION("""COMPUTED_VALUE"""),2308.0)</f>
        <v>2308</v>
      </c>
      <c r="B1296" s="213" t="str">
        <f>IFERROR(__xludf.DUMMYFUNCTION("""COMPUTED_VALUE"""),"JOSE GRANDA")</f>
        <v>JOSE GRANDA</v>
      </c>
      <c r="C1296" s="213" t="str">
        <f>IFERROR(__xludf.DUMMYFUNCTION("""COMPUTED_VALUE"""),"TALLER SFT DE MECÁNICA AUTOMOTRIZ")</f>
        <v>TALLER SFT DE MECÁNICA AUTOMOTRIZ</v>
      </c>
      <c r="D1296" s="213" t="str">
        <f>IFERROR(__xludf.DUMMYFUNCTION("""COMPUTED_VALUE"""),"PEDAGOGICO")</f>
        <v>PEDAGOGICO</v>
      </c>
      <c r="E1296" s="213" t="str">
        <f>IFERROR(__xludf.DUMMYFUNCTION("""COMPUTED_VALUE"""),"MAT-255")</f>
        <v>MAT-255</v>
      </c>
      <c r="F1296" s="213" t="str">
        <f>IFERROR(__xludf.DUMMYFUNCTION("""COMPUTED_VALUE"""),"KEFF-05")</f>
        <v>KEFF-05</v>
      </c>
      <c r="G1296" s="213"/>
      <c r="H1296" s="213" t="str">
        <f>IFERROR(__xludf.DUMMYFUNCTION("""COMPUTED_VALUE"""),"MANUAL DE MANTENIMIENTO POR CADA EQUIPO DE ANÁLISIS Y DISEÑO DE LA PROPUESTA DE VALOR")</f>
        <v>MANUAL DE MANTENIMIENTO POR CADA EQUIPO DE ANÁLISIS Y DISEÑO DE LA PROPUESTA DE VALOR</v>
      </c>
      <c r="I129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96" s="213">
        <f>IFERROR(__xludf.DUMMYFUNCTION("""COMPUTED_VALUE"""),3.0)</f>
        <v>3</v>
      </c>
      <c r="K1296" s="213" t="str">
        <f>IFERROR(__xludf.DUMMYFUNCTION("""COMPUTED_VALUE"""),"170 DÍAS CALENDARIO")</f>
        <v>170 DÍAS CALENDARIO</v>
      </c>
      <c r="L1296" s="213" t="str">
        <f>IFERROR(__xludf.DUMMYFUNCTION("""COMPUTED_VALUE"""),"")</f>
        <v/>
      </c>
      <c r="M1296" s="213">
        <f>IFERROR(__xludf.DUMMYFUNCTION("""COMPUTED_VALUE"""),1.0)</f>
        <v>1</v>
      </c>
      <c r="N1296" s="213">
        <f>IFERROR(__xludf.DUMMYFUNCTION("""COMPUTED_VALUE"""),6.0)</f>
        <v>6</v>
      </c>
      <c r="O1296" s="213">
        <f>IFERROR(__xludf.DUMMYFUNCTION("""COMPUTED_VALUE"""),6.0)</f>
        <v>6</v>
      </c>
      <c r="P1296" s="213"/>
      <c r="Q1296" s="213"/>
      <c r="R1296" s="213"/>
      <c r="S1296" s="213"/>
      <c r="T1296" s="213"/>
      <c r="U1296" s="213"/>
      <c r="V1296" s="213"/>
      <c r="W1296" s="213"/>
      <c r="X1296" s="213"/>
      <c r="Y1296" s="213"/>
      <c r="Z1296" s="213"/>
      <c r="AA1296" s="213"/>
      <c r="AB1296" s="213"/>
      <c r="AC1296" s="213"/>
      <c r="AD1296" s="213"/>
      <c r="AE1296" s="213"/>
      <c r="AF1296" s="213"/>
      <c r="AG1296" s="213"/>
      <c r="AH1296" s="213"/>
      <c r="AI1296" s="213"/>
      <c r="AJ1296" s="213"/>
      <c r="AK1296" s="213"/>
      <c r="AL1296" s="213"/>
      <c r="AM1296" s="213"/>
      <c r="AN1296" s="213"/>
      <c r="AO1296" s="213"/>
      <c r="AP1296" s="213"/>
      <c r="AQ1296" s="213"/>
      <c r="AR1296" s="213"/>
      <c r="AS1296" s="213"/>
      <c r="AT1296" s="213"/>
      <c r="AU1296" s="213"/>
      <c r="AV1296" s="213"/>
      <c r="AW1296" s="213"/>
      <c r="AX1296" s="213"/>
      <c r="AY1296" s="213"/>
      <c r="AZ1296" s="213"/>
      <c r="BA1296" s="213"/>
      <c r="BB1296" s="213"/>
      <c r="BC1296" s="213"/>
      <c r="BD1296" s="213"/>
    </row>
    <row r="1297">
      <c r="A1297" s="213">
        <f>IFERROR(__xludf.DUMMYFUNCTION("""COMPUTED_VALUE"""),2436.0)</f>
        <v>2436</v>
      </c>
      <c r="B1297" s="213" t="str">
        <f>IFERROR(__xludf.DUMMYFUNCTION("""COMPUTED_VALUE"""),"MANUEL ANTONIO MESONES MURO")</f>
        <v>MANUEL ANTONIO MESONES MURO</v>
      </c>
      <c r="C1297" s="213" t="str">
        <f>IFERROR(__xludf.DUMMYFUNCTION("""COMPUTED_VALUE"""),"TALLER SFT DE INDUSTRIA DEL VESTIDO")</f>
        <v>TALLER SFT DE INDUSTRIA DEL VESTIDO</v>
      </c>
      <c r="D1297" s="213" t="str">
        <f>IFERROR(__xludf.DUMMYFUNCTION("""COMPUTED_VALUE"""),"PEDAGOGICO")</f>
        <v>PEDAGOGICO</v>
      </c>
      <c r="E1297" s="213" t="str">
        <f>IFERROR(__xludf.DUMMYFUNCTION("""COMPUTED_VALUE"""),"MAT-255")</f>
        <v>MAT-255</v>
      </c>
      <c r="F1297" s="213" t="str">
        <f>IFERROR(__xludf.DUMMYFUNCTION("""COMPUTED_VALUE"""),"KEFF-05")</f>
        <v>KEFF-05</v>
      </c>
      <c r="G1297" s="213"/>
      <c r="H1297" s="213" t="str">
        <f>IFERROR(__xludf.DUMMYFUNCTION("""COMPUTED_VALUE"""),"MANUAL DE MANTENIMIENTO POR CADA EQUIPO DE ANÁLISIS Y DISEÑO DE LA PROPUESTA DE VALOR")</f>
        <v>MANUAL DE MANTENIMIENTO POR CADA EQUIPO DE ANÁLISIS Y DISEÑO DE LA PROPUESTA DE VALOR</v>
      </c>
      <c r="I129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cada equipo de análisis y diseño de la propuesta de valor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análisis y diseño de la propuesta de valor
- Descripción de los materiales que se requiere para su mantenimiento.
- Descripción de los procedimientos para realizar el mantenimiento preventivo de cada equipo.</v>
      </c>
      <c r="J1297" s="213">
        <f>IFERROR(__xludf.DUMMYFUNCTION("""COMPUTED_VALUE"""),3.0)</f>
        <v>3</v>
      </c>
      <c r="K1297" s="213" t="str">
        <f>IFERROR(__xludf.DUMMYFUNCTION("""COMPUTED_VALUE"""),"170 DÍAS CALENDARIO")</f>
        <v>170 DÍAS CALENDARIO</v>
      </c>
      <c r="L1297" s="213" t="str">
        <f>IFERROR(__xludf.DUMMYFUNCTION("""COMPUTED_VALUE"""),"")</f>
        <v/>
      </c>
      <c r="M1297" s="213">
        <f>IFERROR(__xludf.DUMMYFUNCTION("""COMPUTED_VALUE"""),1.0)</f>
        <v>1</v>
      </c>
      <c r="N1297" s="213">
        <f>IFERROR(__xludf.DUMMYFUNCTION("""COMPUTED_VALUE"""),6.0)</f>
        <v>6</v>
      </c>
      <c r="O1297" s="213">
        <f>IFERROR(__xludf.DUMMYFUNCTION("""COMPUTED_VALUE"""),6.0)</f>
        <v>6</v>
      </c>
      <c r="P1297" s="213"/>
      <c r="Q1297" s="213"/>
      <c r="R1297" s="213"/>
      <c r="S1297" s="213"/>
      <c r="T1297" s="213"/>
      <c r="U1297" s="213"/>
      <c r="V1297" s="213"/>
      <c r="W1297" s="213"/>
      <c r="X1297" s="213"/>
      <c r="Y1297" s="213"/>
      <c r="Z1297" s="213"/>
      <c r="AA1297" s="213"/>
      <c r="AB1297" s="213"/>
      <c r="AC1297" s="213"/>
      <c r="AD1297" s="213"/>
      <c r="AE1297" s="213"/>
      <c r="AF1297" s="213"/>
      <c r="AG1297" s="213"/>
      <c r="AH1297" s="213"/>
      <c r="AI1297" s="213"/>
      <c r="AJ1297" s="213"/>
      <c r="AK1297" s="213"/>
      <c r="AL1297" s="213"/>
      <c r="AM1297" s="213"/>
      <c r="AN1297" s="213"/>
      <c r="AO1297" s="213"/>
      <c r="AP1297" s="213"/>
      <c r="AQ1297" s="213"/>
      <c r="AR1297" s="213"/>
      <c r="AS1297" s="213"/>
      <c r="AT1297" s="213"/>
      <c r="AU1297" s="213"/>
      <c r="AV1297" s="213"/>
      <c r="AW1297" s="213"/>
      <c r="AX1297" s="213"/>
      <c r="AY1297" s="213"/>
      <c r="AZ1297" s="213"/>
      <c r="BA1297" s="213"/>
      <c r="BB1297" s="213"/>
      <c r="BC1297" s="213"/>
      <c r="BD1297" s="213"/>
    </row>
    <row r="1298">
      <c r="A1298" s="213">
        <f>IFERROR(__xludf.DUMMYFUNCTION("""COMPUTED_VALUE"""),2661.0)</f>
        <v>2661</v>
      </c>
      <c r="B1298" s="213" t="str">
        <f>IFERROR(__xludf.DUMMYFUNCTION("""COMPUTED_VALUE"""),"MANUEL ANTONIO MESONES MURO")</f>
        <v>MANUEL ANTONIO MESONES MURO</v>
      </c>
      <c r="C1298" s="213" t="str">
        <f>IFERROR(__xludf.DUMMYFUNCTION("""COMPUTED_VALUE"""),"TALLER SFT DE EBANISTERÍA")</f>
        <v>TALLER SFT DE EBANISTERÍA</v>
      </c>
      <c r="D1298" s="213" t="str">
        <f>IFERROR(__xludf.DUMMYFUNCTION("""COMPUTED_VALUE"""),"PEDAGOGICO")</f>
        <v>PEDAGOGICO</v>
      </c>
      <c r="E1298" s="213" t="str">
        <f>IFERROR(__xludf.DUMMYFUNCTION("""COMPUTED_VALUE"""),"MAT-255")</f>
        <v>MAT-255</v>
      </c>
      <c r="F1298" s="213" t="str">
        <f>IFERROR(__xludf.DUMMYFUNCTION("""COMPUTED_VALUE"""),"KEFF-05")</f>
        <v>KEFF-05</v>
      </c>
      <c r="G1298" s="213"/>
      <c r="H1298" s="213" t="str">
        <f>IFERROR(__xludf.DUMMYFUNCTION("""COMPUTED_VALUE"""),"MANUAL DE MANTENIMIENTO POR CADA EQUIPO DE ANÁLISIS Y DISEÑO DE LA PROPUESTA DE VALOR")</f>
        <v>MANUAL DE MANTENIMIENTO POR CADA EQUIPO DE ANÁLISIS Y DISEÑO DE LA PROPUESTA DE VALOR</v>
      </c>
      <c r="I129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paaginas.
Contenido que prese"&amp;"nta:
-          Descripción de los tipos de mantenimiento que requiere cada equipo de análisis y diseño de la propuesta de valor
-          Descripción de los materiales que se requiere para su mantenimiento.
Descripción de los procedimientos para realiza"&amp;"r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paaginas.
Contenido que presenta:
-          Descripción de los tipos de mantenimiento que requiere cada equipo de análisis y diseño de la propuesta de valor
-          Descripción de los materiales que se requiere para su mantenimiento.
Descripción de los procedimientos para realizar el mantenimiento preventivo de cada equipo</v>
      </c>
      <c r="J1298" s="213">
        <f>IFERROR(__xludf.DUMMYFUNCTION("""COMPUTED_VALUE"""),3.0)</f>
        <v>3</v>
      </c>
      <c r="K1298" s="213" t="str">
        <f>IFERROR(__xludf.DUMMYFUNCTION("""COMPUTED_VALUE"""),"170 DÍAS CALENDARIO")</f>
        <v>170 DÍAS CALENDARIO</v>
      </c>
      <c r="L1298" s="213" t="str">
        <f>IFERROR(__xludf.DUMMYFUNCTION("""COMPUTED_VALUE"""),"")</f>
        <v/>
      </c>
      <c r="M1298" s="213">
        <f>IFERROR(__xludf.DUMMYFUNCTION("""COMPUTED_VALUE"""),1.0)</f>
        <v>1</v>
      </c>
      <c r="N1298" s="213">
        <f>IFERROR(__xludf.DUMMYFUNCTION("""COMPUTED_VALUE"""),6.0)</f>
        <v>6</v>
      </c>
      <c r="O1298" s="213">
        <f>IFERROR(__xludf.DUMMYFUNCTION("""COMPUTED_VALUE"""),6.0)</f>
        <v>6</v>
      </c>
      <c r="P1298" s="213"/>
      <c r="Q1298" s="213"/>
      <c r="R1298" s="213"/>
      <c r="S1298" s="213"/>
      <c r="T1298" s="213"/>
      <c r="U1298" s="213"/>
      <c r="V1298" s="213"/>
      <c r="W1298" s="213"/>
      <c r="X1298" s="213"/>
      <c r="Y1298" s="213"/>
      <c r="Z1298" s="213"/>
      <c r="AA1298" s="213"/>
      <c r="AB1298" s="213"/>
      <c r="AC1298" s="213"/>
      <c r="AD1298" s="213"/>
      <c r="AE1298" s="213"/>
      <c r="AF1298" s="213"/>
      <c r="AG1298" s="213"/>
      <c r="AH1298" s="213"/>
      <c r="AI1298" s="213"/>
      <c r="AJ1298" s="213"/>
      <c r="AK1298" s="213"/>
      <c r="AL1298" s="213"/>
      <c r="AM1298" s="213"/>
      <c r="AN1298" s="213"/>
      <c r="AO1298" s="213"/>
      <c r="AP1298" s="213"/>
      <c r="AQ1298" s="213"/>
      <c r="AR1298" s="213"/>
      <c r="AS1298" s="213"/>
      <c r="AT1298" s="213"/>
      <c r="AU1298" s="213"/>
      <c r="AV1298" s="213"/>
      <c r="AW1298" s="213"/>
      <c r="AX1298" s="213"/>
      <c r="AY1298" s="213"/>
      <c r="AZ1298" s="213"/>
      <c r="BA1298" s="213"/>
      <c r="BB1298" s="213"/>
      <c r="BC1298" s="213"/>
      <c r="BD1298" s="213"/>
    </row>
    <row r="1299">
      <c r="A1299" s="213">
        <f>IFERROR(__xludf.DUMMYFUNCTION("""COMPUTED_VALUE"""),232.0)</f>
        <v>232</v>
      </c>
      <c r="B1299" s="213" t="str">
        <f>IFERROR(__xludf.DUMMYFUNCTION("""COMPUTED_VALUE"""),"2026 SIMON BOLIVAR")</f>
        <v>2026 SIMON BOLIVAR</v>
      </c>
      <c r="C1299" s="213" t="str">
        <f>IFERROR(__xludf.DUMMYFUNCTION("""COMPUTED_VALUE"""),"TALLER SFT DE INDUSTRIA DEL VESTIDO")</f>
        <v>TALLER SFT DE INDUSTRIA DEL VESTIDO</v>
      </c>
      <c r="D1299" s="213" t="str">
        <f>IFERROR(__xludf.DUMMYFUNCTION("""COMPUTED_VALUE"""),"PEDAGOGICO")</f>
        <v>PEDAGOGICO</v>
      </c>
      <c r="E1299" s="213" t="str">
        <f>IFERROR(__xludf.DUMMYFUNCTION("""COMPUTED_VALUE"""),"MAT-248")</f>
        <v>MAT-248</v>
      </c>
      <c r="F1299" s="213" t="str">
        <f>IFERROR(__xludf.DUMMYFUNCTION("""COMPUTED_VALUE"""),"KEFF-78")</f>
        <v>KEFF-78</v>
      </c>
      <c r="G1299" s="213"/>
      <c r="H1299" s="213" t="str">
        <f>IFERROR(__xludf.DUMMYFUNCTION("""COMPUTED_VALUE"""),"MANUAL DE MANTENIMIENTO POR CADA EQUIPO DE BORDAR")</f>
        <v>MANUAL DE MANTENIMIENTO POR CADA EQUIPO DE BORDAR</v>
      </c>
      <c r="I129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gram"&amp;"os o papel bond de 75 gramos de 80% de blancura como mínimo.
·      Tamaño: como mínimo 21 cm x 29,7 cm
·      Tipo de Encuadernación: caballete con 2 grapas cuando sea menos de 80 páginas y encolado cuando sea más de 80 páginas.
Contenido que presenta:
-"&amp;"           Descripción de los tipos de mantenimiento que requiere cada equipo en función del taller  para realizar bordados
-           Descripción de los materiales e instrumentos que se requiere para su mantenimiento.
·       Descripción de los procedim"&amp;"ientos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en función del taller  para realizar bordados
-           Descripción de los materiales e instrumentos que se requiere para su mantenimiento.
·       Descripción de los procedimientos para realizar el mantenimiento preventivo de cada equipo</v>
      </c>
      <c r="J1299" s="213">
        <f>IFERROR(__xludf.DUMMYFUNCTION("""COMPUTED_VALUE"""),3.0)</f>
        <v>3</v>
      </c>
      <c r="K1299" s="213" t="str">
        <f>IFERROR(__xludf.DUMMYFUNCTION("""COMPUTED_VALUE"""),"170 DÍAS CALENDARIO")</f>
        <v>170 DÍAS CALENDARIO</v>
      </c>
      <c r="L1299" s="213" t="str">
        <f>IFERROR(__xludf.DUMMYFUNCTION("""COMPUTED_VALUE"""),"")</f>
        <v/>
      </c>
      <c r="M1299" s="213">
        <f>IFERROR(__xludf.DUMMYFUNCTION("""COMPUTED_VALUE"""),1.0)</f>
        <v>1</v>
      </c>
      <c r="N1299" s="213">
        <f>IFERROR(__xludf.DUMMYFUNCTION("""COMPUTED_VALUE"""),6.0)</f>
        <v>6</v>
      </c>
      <c r="O1299" s="213">
        <f>IFERROR(__xludf.DUMMYFUNCTION("""COMPUTED_VALUE"""),6.0)</f>
        <v>6</v>
      </c>
      <c r="P1299" s="213"/>
      <c r="Q1299" s="213"/>
      <c r="R1299" s="213"/>
      <c r="S1299" s="213"/>
      <c r="T1299" s="213"/>
      <c r="U1299" s="213"/>
      <c r="V1299" s="213"/>
      <c r="W1299" s="213"/>
      <c r="X1299" s="213"/>
      <c r="Y1299" s="213"/>
      <c r="Z1299" s="213"/>
      <c r="AA1299" s="213"/>
      <c r="AB1299" s="213"/>
      <c r="AC1299" s="213"/>
      <c r="AD1299" s="213"/>
      <c r="AE1299" s="213"/>
      <c r="AF1299" s="213"/>
      <c r="AG1299" s="213"/>
      <c r="AH1299" s="213"/>
      <c r="AI1299" s="213"/>
      <c r="AJ1299" s="213"/>
      <c r="AK1299" s="213"/>
      <c r="AL1299" s="213"/>
      <c r="AM1299" s="213"/>
      <c r="AN1299" s="213"/>
      <c r="AO1299" s="213"/>
      <c r="AP1299" s="213"/>
      <c r="AQ1299" s="213"/>
      <c r="AR1299" s="213"/>
      <c r="AS1299" s="213"/>
      <c r="AT1299" s="213"/>
      <c r="AU1299" s="213"/>
      <c r="AV1299" s="213"/>
      <c r="AW1299" s="213"/>
      <c r="AX1299" s="213"/>
      <c r="AY1299" s="213"/>
      <c r="AZ1299" s="213"/>
      <c r="BA1299" s="213"/>
      <c r="BB1299" s="213"/>
      <c r="BC1299" s="213"/>
      <c r="BD1299" s="213"/>
    </row>
    <row r="1300">
      <c r="A1300" s="213">
        <f>IFERROR(__xludf.DUMMYFUNCTION("""COMPUTED_VALUE"""),2446.0)</f>
        <v>2446</v>
      </c>
      <c r="B1300" s="213" t="str">
        <f>IFERROR(__xludf.DUMMYFUNCTION("""COMPUTED_VALUE"""),"MANUEL ANTONIO MESONES MURO")</f>
        <v>MANUEL ANTONIO MESONES MURO</v>
      </c>
      <c r="C1300" s="213" t="str">
        <f>IFERROR(__xludf.DUMMYFUNCTION("""COMPUTED_VALUE"""),"TALLER SFT DE INDUSTRIA DEL VESTIDO")</f>
        <v>TALLER SFT DE INDUSTRIA DEL VESTIDO</v>
      </c>
      <c r="D1300" s="213" t="str">
        <f>IFERROR(__xludf.DUMMYFUNCTION("""COMPUTED_VALUE"""),"PEDAGOGICO")</f>
        <v>PEDAGOGICO</v>
      </c>
      <c r="E1300" s="213" t="str">
        <f>IFERROR(__xludf.DUMMYFUNCTION("""COMPUTED_VALUE"""),"MAT-248")</f>
        <v>MAT-248</v>
      </c>
      <c r="F1300" s="213" t="str">
        <f>IFERROR(__xludf.DUMMYFUNCTION("""COMPUTED_VALUE"""),"KEFF-78")</f>
        <v>KEFF-78</v>
      </c>
      <c r="G1300" s="213"/>
      <c r="H1300" s="213" t="str">
        <f>IFERROR(__xludf.DUMMYFUNCTION("""COMPUTED_VALUE"""),"MANUAL DE MANTENIMIENTO POR CADA EQUIPO DE BORDAR")</f>
        <v>MANUAL DE MANTENIMIENTO POR CADA EQUIPO DE BORDAR</v>
      </c>
      <c r="I130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gram"&amp;"os o papel bond de 75 gramos de 80% de blancura como mínimo.
·      Tamaño: como mínimo 21 cm x 29,7 cm
·      Tipo de Encuadernación: caballete con 2 grapas cuando sea menos de 80 páginas y encolado cuando sea más de 80 páginas.
Contenido que presenta:
-"&amp;"           Descripción de los tipos de mantenimiento que requiere cada equipo en función del taller  para realizar bordados
-           Descripción de los materiales e instrumentos que se requiere para su mantenimiento.
·       Descripción de los procedim"&amp;"ientos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en función del taller  para realizar bordados
-           Descripción de los materiales e instrumentos que se requiere para su mantenimiento.
·       Descripción de los procedimientos para realizar el mantenimiento preventivo de cada equipo</v>
      </c>
      <c r="J1300" s="213">
        <f>IFERROR(__xludf.DUMMYFUNCTION("""COMPUTED_VALUE"""),3.0)</f>
        <v>3</v>
      </c>
      <c r="K1300" s="213" t="str">
        <f>IFERROR(__xludf.DUMMYFUNCTION("""COMPUTED_VALUE"""),"170 DÍAS CALENDARIO")</f>
        <v>170 DÍAS CALENDARIO</v>
      </c>
      <c r="L1300" s="213" t="str">
        <f>IFERROR(__xludf.DUMMYFUNCTION("""COMPUTED_VALUE"""),"")</f>
        <v/>
      </c>
      <c r="M1300" s="213">
        <f>IFERROR(__xludf.DUMMYFUNCTION("""COMPUTED_VALUE"""),1.0)</f>
        <v>1</v>
      </c>
      <c r="N1300" s="213">
        <f>IFERROR(__xludf.DUMMYFUNCTION("""COMPUTED_VALUE"""),6.0)</f>
        <v>6</v>
      </c>
      <c r="O1300" s="213">
        <f>IFERROR(__xludf.DUMMYFUNCTION("""COMPUTED_VALUE"""),6.0)</f>
        <v>6</v>
      </c>
      <c r="P1300" s="213"/>
      <c r="Q1300" s="213"/>
      <c r="R1300" s="213"/>
      <c r="S1300" s="213"/>
      <c r="T1300" s="213"/>
      <c r="U1300" s="213"/>
      <c r="V1300" s="213"/>
      <c r="W1300" s="213"/>
      <c r="X1300" s="213"/>
      <c r="Y1300" s="213"/>
      <c r="Z1300" s="213"/>
      <c r="AA1300" s="213"/>
      <c r="AB1300" s="213"/>
      <c r="AC1300" s="213"/>
      <c r="AD1300" s="213"/>
      <c r="AE1300" s="213"/>
      <c r="AF1300" s="213"/>
      <c r="AG1300" s="213"/>
      <c r="AH1300" s="213"/>
      <c r="AI1300" s="213"/>
      <c r="AJ1300" s="213"/>
      <c r="AK1300" s="213"/>
      <c r="AL1300" s="213"/>
      <c r="AM1300" s="213"/>
      <c r="AN1300" s="213"/>
      <c r="AO1300" s="213"/>
      <c r="AP1300" s="213"/>
      <c r="AQ1300" s="213"/>
      <c r="AR1300" s="213"/>
      <c r="AS1300" s="213"/>
      <c r="AT1300" s="213"/>
      <c r="AU1300" s="213"/>
      <c r="AV1300" s="213"/>
      <c r="AW1300" s="213"/>
      <c r="AX1300" s="213"/>
      <c r="AY1300" s="213"/>
      <c r="AZ1300" s="213"/>
      <c r="BA1300" s="213"/>
      <c r="BB1300" s="213"/>
      <c r="BC1300" s="213"/>
      <c r="BD1300" s="213"/>
    </row>
    <row r="1301">
      <c r="A1301" s="213">
        <f>IFERROR(__xludf.DUMMYFUNCTION("""COMPUTED_VALUE"""),107.0)</f>
        <v>107</v>
      </c>
      <c r="B1301" s="213" t="str">
        <f>IFERROR(__xludf.DUMMYFUNCTION("""COMPUTED_VALUE"""),"16449 ELOY SOBERON  FLORES")</f>
        <v>16449 ELOY SOBERON  FLORES</v>
      </c>
      <c r="C1301" s="213" t="str">
        <f>IFERROR(__xludf.DUMMYFUNCTION("""COMPUTED_VALUE"""),"TALLER SFT DE COCINA Y REPOSTERÍA")</f>
        <v>TALLER SFT DE COCINA Y REPOSTERÍA</v>
      </c>
      <c r="D1301" s="213" t="str">
        <f>IFERROR(__xludf.DUMMYFUNCTION("""COMPUTED_VALUE"""),"PEDAGOGICO")</f>
        <v>PEDAGOGICO</v>
      </c>
      <c r="E1301" s="213" t="str">
        <f>IFERROR(__xludf.DUMMYFUNCTION("""COMPUTED_VALUE"""),"MAT-256")</f>
        <v>MAT-256</v>
      </c>
      <c r="F1301" s="213" t="str">
        <f>IFERROR(__xludf.DUMMYFUNCTION("""COMPUTED_VALUE"""),"KEFF-11")</f>
        <v>KEFF-11</v>
      </c>
      <c r="G1301" s="213"/>
      <c r="H1301" s="213" t="str">
        <f>IFERROR(__xludf.DUMMYFUNCTION("""COMPUTED_VALUE"""),"MANUAL DE MANTENIMIENTO POR CADA EQUIPO DE COCCION")</f>
        <v>MANUAL DE MANTENIMIENTO POR CADA EQUIPO DE COCCION</v>
      </c>
      <c r="I130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   Descripción de los tipos de mantenimiento que requiere cada equipo de cocción
-   Descripción de las herramientas, materiales e insumos que se requiere para su mantenimiento.
-    Descripción de los procedimientos para realizar el mantenim"&amp;"iento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cocción
-   Descripción de las herramientas, materiales e insumos que se requiere para su mantenimiento.
-    Descripción de los procedimientos para realizar el mantenimiento preventivo de cada equipo.</v>
      </c>
      <c r="J1301" s="213">
        <f>IFERROR(__xludf.DUMMYFUNCTION("""COMPUTED_VALUE"""),3.0)</f>
        <v>3</v>
      </c>
      <c r="K1301" s="213" t="str">
        <f>IFERROR(__xludf.DUMMYFUNCTION("""COMPUTED_VALUE"""),"170 DÍAS CALENDARIO")</f>
        <v>170 DÍAS CALENDARIO</v>
      </c>
      <c r="L1301" s="213" t="str">
        <f>IFERROR(__xludf.DUMMYFUNCTION("""COMPUTED_VALUE"""),"")</f>
        <v/>
      </c>
      <c r="M1301" s="213">
        <f>IFERROR(__xludf.DUMMYFUNCTION("""COMPUTED_VALUE"""),1.0)</f>
        <v>1</v>
      </c>
      <c r="N1301" s="213">
        <f>IFERROR(__xludf.DUMMYFUNCTION("""COMPUTED_VALUE"""),6.0)</f>
        <v>6</v>
      </c>
      <c r="O1301" s="213">
        <f>IFERROR(__xludf.DUMMYFUNCTION("""COMPUTED_VALUE"""),6.0)</f>
        <v>6</v>
      </c>
      <c r="P1301" s="213"/>
      <c r="Q1301" s="213"/>
      <c r="R1301" s="213"/>
      <c r="S1301" s="213"/>
      <c r="T1301" s="213"/>
      <c r="U1301" s="213"/>
      <c r="V1301" s="213"/>
      <c r="W1301" s="213"/>
      <c r="X1301" s="213"/>
      <c r="Y1301" s="213"/>
      <c r="Z1301" s="213"/>
      <c r="AA1301" s="213"/>
      <c r="AB1301" s="213"/>
      <c r="AC1301" s="213"/>
      <c r="AD1301" s="213"/>
      <c r="AE1301" s="213"/>
      <c r="AF1301" s="213"/>
      <c r="AG1301" s="213"/>
      <c r="AH1301" s="213"/>
      <c r="AI1301" s="213"/>
      <c r="AJ1301" s="213"/>
      <c r="AK1301" s="213"/>
      <c r="AL1301" s="213"/>
      <c r="AM1301" s="213"/>
      <c r="AN1301" s="213"/>
      <c r="AO1301" s="213"/>
      <c r="AP1301" s="213"/>
      <c r="AQ1301" s="213"/>
      <c r="AR1301" s="213"/>
      <c r="AS1301" s="213"/>
      <c r="AT1301" s="213"/>
      <c r="AU1301" s="213"/>
      <c r="AV1301" s="213"/>
      <c r="AW1301" s="213"/>
      <c r="AX1301" s="213"/>
      <c r="AY1301" s="213"/>
      <c r="AZ1301" s="213"/>
      <c r="BA1301" s="213"/>
      <c r="BB1301" s="213"/>
      <c r="BC1301" s="213"/>
      <c r="BD1301" s="213"/>
    </row>
    <row r="1302">
      <c r="A1302" s="213">
        <f>IFERROR(__xludf.DUMMYFUNCTION("""COMPUTED_VALUE"""),119.0)</f>
        <v>119</v>
      </c>
      <c r="B1302" s="213" t="str">
        <f>IFERROR(__xludf.DUMMYFUNCTION("""COMPUTED_VALUE"""),"16449 ELOY SOBERON  FLORES")</f>
        <v>16449 ELOY SOBERON  FLORES</v>
      </c>
      <c r="C1302" s="213" t="str">
        <f>IFERROR(__xludf.DUMMYFUNCTION("""COMPUTED_VALUE"""),"TALLER SFT DE COCINA Y REPOSTERÍA")</f>
        <v>TALLER SFT DE COCINA Y REPOSTERÍA</v>
      </c>
      <c r="D1302" s="213" t="str">
        <f>IFERROR(__xludf.DUMMYFUNCTION("""COMPUTED_VALUE"""),"PEDAGOGICO")</f>
        <v>PEDAGOGICO</v>
      </c>
      <c r="E1302" s="213" t="str">
        <f>IFERROR(__xludf.DUMMYFUNCTION("""COMPUTED_VALUE"""),"MAT-257")</f>
        <v>MAT-257</v>
      </c>
      <c r="F1302" s="213" t="str">
        <f>IFERROR(__xludf.DUMMYFUNCTION("""COMPUTED_VALUE"""),"KEFF-17")</f>
        <v>KEFF-17</v>
      </c>
      <c r="G1302" s="213"/>
      <c r="H1302" s="213" t="str">
        <f>IFERROR(__xludf.DUMMYFUNCTION("""COMPUTED_VALUE"""),"MANUAL DE MANTENIMIENTO POR CADA EQUIPO DE COLOCACIÓN DE ACCESORIOS")</f>
        <v>MANUAL DE MANTENIMIENTO POR CADA EQUIPO DE COLOCACIÓN DE ACCESORIOS</v>
      </c>
      <c r="I130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   Descripción de los tipos de mantenimiento que requiere cada equipo de colocación de accesorios.
-   Descripción de las herramientas, materiales e insumos que se requiere para su mantenimiento.
-    Descripción de los procedimientos para re"&amp;"alizar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colocación de accesorios.
-   Descripción de las herramientas, materiales e insumos que se requiere para su mantenimiento.
-    Descripción de los procedimientos para realizar el mantenimiento preventivo de cada equipo.</v>
      </c>
      <c r="J1302" s="213">
        <f>IFERROR(__xludf.DUMMYFUNCTION("""COMPUTED_VALUE"""),3.0)</f>
        <v>3</v>
      </c>
      <c r="K1302" s="213" t="str">
        <f>IFERROR(__xludf.DUMMYFUNCTION("""COMPUTED_VALUE"""),"170 DÍAS CALENDARIO")</f>
        <v>170 DÍAS CALENDARIO</v>
      </c>
      <c r="L1302" s="213" t="str">
        <f>IFERROR(__xludf.DUMMYFUNCTION("""COMPUTED_VALUE"""),"")</f>
        <v/>
      </c>
      <c r="M1302" s="213">
        <f>IFERROR(__xludf.DUMMYFUNCTION("""COMPUTED_VALUE"""),1.0)</f>
        <v>1</v>
      </c>
      <c r="N1302" s="213">
        <f>IFERROR(__xludf.DUMMYFUNCTION("""COMPUTED_VALUE"""),6.0)</f>
        <v>6</v>
      </c>
      <c r="O1302" s="213">
        <f>IFERROR(__xludf.DUMMYFUNCTION("""COMPUTED_VALUE"""),6.0)</f>
        <v>6</v>
      </c>
      <c r="P1302" s="213"/>
      <c r="Q1302" s="213"/>
      <c r="R1302" s="213"/>
      <c r="S1302" s="213"/>
      <c r="T1302" s="213"/>
      <c r="U1302" s="213"/>
      <c r="V1302" s="213"/>
      <c r="W1302" s="213"/>
      <c r="X1302" s="213"/>
      <c r="Y1302" s="213"/>
      <c r="Z1302" s="213"/>
      <c r="AA1302" s="213"/>
      <c r="AB1302" s="213"/>
      <c r="AC1302" s="213"/>
      <c r="AD1302" s="213"/>
      <c r="AE1302" s="213"/>
      <c r="AF1302" s="213"/>
      <c r="AG1302" s="213"/>
      <c r="AH1302" s="213"/>
      <c r="AI1302" s="213"/>
      <c r="AJ1302" s="213"/>
      <c r="AK1302" s="213"/>
      <c r="AL1302" s="213"/>
      <c r="AM1302" s="213"/>
      <c r="AN1302" s="213"/>
      <c r="AO1302" s="213"/>
      <c r="AP1302" s="213"/>
      <c r="AQ1302" s="213"/>
      <c r="AR1302" s="213"/>
      <c r="AS1302" s="213"/>
      <c r="AT1302" s="213"/>
      <c r="AU1302" s="213"/>
      <c r="AV1302" s="213"/>
      <c r="AW1302" s="213"/>
      <c r="AX1302" s="213"/>
      <c r="AY1302" s="213"/>
      <c r="AZ1302" s="213"/>
      <c r="BA1302" s="213"/>
      <c r="BB1302" s="213"/>
      <c r="BC1302" s="213"/>
      <c r="BD1302" s="213"/>
    </row>
    <row r="1303">
      <c r="A1303" s="213">
        <f>IFERROR(__xludf.DUMMYFUNCTION("""COMPUTED_VALUE"""),1896.0)</f>
        <v>1896</v>
      </c>
      <c r="B1303" s="213" t="str">
        <f>IFERROR(__xludf.DUMMYFUNCTION("""COMPUTED_VALUE"""),"GUILLERMO E. BILLINGHURST ")</f>
        <v>GUILLERMO E. BILLINGHURST </v>
      </c>
      <c r="C1303" s="213" t="str">
        <f>IFERROR(__xludf.DUMMYFUNCTION("""COMPUTED_VALUE"""),"TALLER SFT DE EBANISTERÍA")</f>
        <v>TALLER SFT DE EBANISTERÍA</v>
      </c>
      <c r="D1303" s="213" t="str">
        <f>IFERROR(__xludf.DUMMYFUNCTION("""COMPUTED_VALUE"""),"PEDAGOGICO")</f>
        <v>PEDAGOGICO</v>
      </c>
      <c r="E1303" s="213" t="str">
        <f>IFERROR(__xludf.DUMMYFUNCTION("""COMPUTED_VALUE"""),"MAT-257")</f>
        <v>MAT-257</v>
      </c>
      <c r="F1303" s="213" t="str">
        <f>IFERROR(__xludf.DUMMYFUNCTION("""COMPUTED_VALUE"""),"KEFF-40")</f>
        <v>KEFF-40</v>
      </c>
      <c r="G1303" s="213"/>
      <c r="H1303" s="213" t="str">
        <f>IFERROR(__xludf.DUMMYFUNCTION("""COMPUTED_VALUE"""),"MANUAL DE MANTENIMIENTO POR CADA EQUIPO DE COLOCACIÓN DE ACCESORIOS")</f>
        <v>MANUAL DE MANTENIMIENTO POR CADA EQUIPO DE COLOCACIÓN DE ACCESORIOS</v>
      </c>
      <c r="I130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los tipos de mantenimiento que requiere cada equipo de colocación de accesorios.
-          Descripción de los materiales que se requiere para su mantenimiento.
Descripción de los procedimientos para realizar el mantenimiento p"&amp;"reventivo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colocación de accesorios.
-          Descripción de los materiales que se requiere para su mantenimiento.
Descripción de los procedimientos para realizar el mantenimiento preventivo de cada equipo</v>
      </c>
      <c r="J1303" s="213">
        <f>IFERROR(__xludf.DUMMYFUNCTION("""COMPUTED_VALUE"""),3.0)</f>
        <v>3</v>
      </c>
      <c r="K1303" s="213" t="str">
        <f>IFERROR(__xludf.DUMMYFUNCTION("""COMPUTED_VALUE"""),"170 DÍAS CALENDARIO")</f>
        <v>170 DÍAS CALENDARIO</v>
      </c>
      <c r="L1303" s="213" t="str">
        <f>IFERROR(__xludf.DUMMYFUNCTION("""COMPUTED_VALUE"""),"")</f>
        <v/>
      </c>
      <c r="M1303" s="213">
        <f>IFERROR(__xludf.DUMMYFUNCTION("""COMPUTED_VALUE"""),1.0)</f>
        <v>1</v>
      </c>
      <c r="N1303" s="213">
        <f>IFERROR(__xludf.DUMMYFUNCTION("""COMPUTED_VALUE"""),6.0)</f>
        <v>6</v>
      </c>
      <c r="O1303" s="213">
        <f>IFERROR(__xludf.DUMMYFUNCTION("""COMPUTED_VALUE"""),6.0)</f>
        <v>6</v>
      </c>
      <c r="P1303" s="213"/>
      <c r="Q1303" s="213"/>
      <c r="R1303" s="213"/>
      <c r="S1303" s="213"/>
      <c r="T1303" s="213"/>
      <c r="U1303" s="213"/>
      <c r="V1303" s="213"/>
      <c r="W1303" s="213"/>
      <c r="X1303" s="213"/>
      <c r="Y1303" s="213"/>
      <c r="Z1303" s="213"/>
      <c r="AA1303" s="213"/>
      <c r="AB1303" s="213"/>
      <c r="AC1303" s="213"/>
      <c r="AD1303" s="213"/>
      <c r="AE1303" s="213"/>
      <c r="AF1303" s="213"/>
      <c r="AG1303" s="213"/>
      <c r="AH1303" s="213"/>
      <c r="AI1303" s="213"/>
      <c r="AJ1303" s="213"/>
      <c r="AK1303" s="213"/>
      <c r="AL1303" s="213"/>
      <c r="AM1303" s="213"/>
      <c r="AN1303" s="213"/>
      <c r="AO1303" s="213"/>
      <c r="AP1303" s="213"/>
      <c r="AQ1303" s="213"/>
      <c r="AR1303" s="213"/>
      <c r="AS1303" s="213"/>
      <c r="AT1303" s="213"/>
      <c r="AU1303" s="213"/>
      <c r="AV1303" s="213"/>
      <c r="AW1303" s="213"/>
      <c r="AX1303" s="213"/>
      <c r="AY1303" s="213"/>
      <c r="AZ1303" s="213"/>
      <c r="BA1303" s="213"/>
      <c r="BB1303" s="213"/>
      <c r="BC1303" s="213"/>
      <c r="BD1303" s="213"/>
    </row>
    <row r="1304">
      <c r="A1304" s="213">
        <f>IFERROR(__xludf.DUMMYFUNCTION("""COMPUTED_VALUE"""),2677.0)</f>
        <v>2677</v>
      </c>
      <c r="B1304" s="213" t="str">
        <f>IFERROR(__xludf.DUMMYFUNCTION("""COMPUTED_VALUE"""),"MANUEL ANTONIO MESONES MURO")</f>
        <v>MANUEL ANTONIO MESONES MURO</v>
      </c>
      <c r="C1304" s="213" t="str">
        <f>IFERROR(__xludf.DUMMYFUNCTION("""COMPUTED_VALUE"""),"TALLER SFT DE EBANISTERÍA")</f>
        <v>TALLER SFT DE EBANISTERÍA</v>
      </c>
      <c r="D1304" s="213" t="str">
        <f>IFERROR(__xludf.DUMMYFUNCTION("""COMPUTED_VALUE"""),"PEDAGOGICO")</f>
        <v>PEDAGOGICO</v>
      </c>
      <c r="E1304" s="213" t="str">
        <f>IFERROR(__xludf.DUMMYFUNCTION("""COMPUTED_VALUE"""),"MAT-257")</f>
        <v>MAT-257</v>
      </c>
      <c r="F1304" s="213" t="str">
        <f>IFERROR(__xludf.DUMMYFUNCTION("""COMPUTED_VALUE"""),"KEFF-40")</f>
        <v>KEFF-40</v>
      </c>
      <c r="G1304" s="213"/>
      <c r="H1304" s="213" t="str">
        <f>IFERROR(__xludf.DUMMYFUNCTION("""COMPUTED_VALUE"""),"MANUAL DE MANTENIMIENTO POR CADA EQUIPO DE COLOCACIÓN DE ACCESORIOS")</f>
        <v>MANUAL DE MANTENIMIENTO POR CADA EQUIPO DE COLOCACIÓN DE ACCESORIOS</v>
      </c>
      <c r="I130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los tipos de mantenimiento que requiere cada equipo de colocación de accesorios.
-          Descripción de los materiales que se requiere para su mantenimiento.
Descripción de los procedimientos para realizar el mantenimiento p"&amp;"reventivo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colocación de accesorios.
-          Descripción de los materiales que se requiere para su mantenimiento.
Descripción de los procedimientos para realizar el mantenimiento preventivo de cada equipo</v>
      </c>
      <c r="J1304" s="213">
        <f>IFERROR(__xludf.DUMMYFUNCTION("""COMPUTED_VALUE"""),3.0)</f>
        <v>3</v>
      </c>
      <c r="K1304" s="213" t="str">
        <f>IFERROR(__xludf.DUMMYFUNCTION("""COMPUTED_VALUE"""),"170 DÍAS CALENDARIO")</f>
        <v>170 DÍAS CALENDARIO</v>
      </c>
      <c r="L1304" s="213" t="str">
        <f>IFERROR(__xludf.DUMMYFUNCTION("""COMPUTED_VALUE"""),"")</f>
        <v/>
      </c>
      <c r="M1304" s="213">
        <f>IFERROR(__xludf.DUMMYFUNCTION("""COMPUTED_VALUE"""),1.0)</f>
        <v>1</v>
      </c>
      <c r="N1304" s="213">
        <f>IFERROR(__xludf.DUMMYFUNCTION("""COMPUTED_VALUE"""),6.0)</f>
        <v>6</v>
      </c>
      <c r="O1304" s="213">
        <f>IFERROR(__xludf.DUMMYFUNCTION("""COMPUTED_VALUE"""),6.0)</f>
        <v>6</v>
      </c>
      <c r="P1304" s="213"/>
      <c r="Q1304" s="213"/>
      <c r="R1304" s="213"/>
      <c r="S1304" s="213"/>
      <c r="T1304" s="213"/>
      <c r="U1304" s="213"/>
      <c r="V1304" s="213"/>
      <c r="W1304" s="213"/>
      <c r="X1304" s="213"/>
      <c r="Y1304" s="213"/>
      <c r="Z1304" s="213"/>
      <c r="AA1304" s="213"/>
      <c r="AB1304" s="213"/>
      <c r="AC1304" s="213"/>
      <c r="AD1304" s="213"/>
      <c r="AE1304" s="213"/>
      <c r="AF1304" s="213"/>
      <c r="AG1304" s="213"/>
      <c r="AH1304" s="213"/>
      <c r="AI1304" s="213"/>
      <c r="AJ1304" s="213"/>
      <c r="AK1304" s="213"/>
      <c r="AL1304" s="213"/>
      <c r="AM1304" s="213"/>
      <c r="AN1304" s="213"/>
      <c r="AO1304" s="213"/>
      <c r="AP1304" s="213"/>
      <c r="AQ1304" s="213"/>
      <c r="AR1304" s="213"/>
      <c r="AS1304" s="213"/>
      <c r="AT1304" s="213"/>
      <c r="AU1304" s="213"/>
      <c r="AV1304" s="213"/>
      <c r="AW1304" s="213"/>
      <c r="AX1304" s="213"/>
      <c r="AY1304" s="213"/>
      <c r="AZ1304" s="213"/>
      <c r="BA1304" s="213"/>
      <c r="BB1304" s="213"/>
      <c r="BC1304" s="213"/>
      <c r="BD1304" s="213"/>
    </row>
    <row r="1305">
      <c r="A1305" s="213">
        <f>IFERROR(__xludf.DUMMYFUNCTION("""COMPUTED_VALUE"""),2669.0)</f>
        <v>2669</v>
      </c>
      <c r="B1305" s="213" t="str">
        <f>IFERROR(__xludf.DUMMYFUNCTION("""COMPUTED_VALUE"""),"MANUEL ANTONIO MESONES MURO")</f>
        <v>MANUEL ANTONIO MESONES MURO</v>
      </c>
      <c r="C1305" s="213" t="str">
        <f>IFERROR(__xludf.DUMMYFUNCTION("""COMPUTED_VALUE"""),"TALLER SFT DE EBANISTERÍA")</f>
        <v>TALLER SFT DE EBANISTERÍA</v>
      </c>
      <c r="D1305" s="213" t="str">
        <f>IFERROR(__xludf.DUMMYFUNCTION("""COMPUTED_VALUE"""),"PEDAGOGICO")</f>
        <v>PEDAGOGICO</v>
      </c>
      <c r="E1305" s="213" t="str">
        <f>IFERROR(__xludf.DUMMYFUNCTION("""COMPUTED_VALUE"""),"MAT-258")</f>
        <v>MAT-258</v>
      </c>
      <c r="F1305" s="213" t="str">
        <f>IFERROR(__xludf.DUMMYFUNCTION("""COMPUTED_VALUE"""),"KEFF-34")</f>
        <v>KEFF-34</v>
      </c>
      <c r="G1305" s="213"/>
      <c r="H1305" s="213" t="str">
        <f>IFERROR(__xludf.DUMMYFUNCTION("""COMPUTED_VALUE"""),"MANUAL DE MANTENIMIENTO POR CADA EQUIPO DE CONSTRUCCIÓN CON TABLEROS PREFABRICADO")</f>
        <v>MANUAL DE MANTENIMIENTO POR CADA EQUIPO DE CONSTRUCCIÓN CON TABLEROS PREFABRICADO</v>
      </c>
      <c r="I130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los tipos de mantenimiento que requiere cada equipo de construcción con tableros prefabricados.
-          Descripción de los materiales que se requiere para su mantenimiento.
Descripción de los procedimientos para realizar el "&amp;"mantenimiento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construcción con tableros prefabricados.
-          Descripción de los materiales que se requiere para su mantenimiento.
Descripción de los procedimientos para realizar el mantenimiento preventivo de cada equipo.</v>
      </c>
      <c r="J1305" s="213">
        <f>IFERROR(__xludf.DUMMYFUNCTION("""COMPUTED_VALUE"""),3.0)</f>
        <v>3</v>
      </c>
      <c r="K1305" s="213" t="str">
        <f>IFERROR(__xludf.DUMMYFUNCTION("""COMPUTED_VALUE"""),"170 DÍAS CALENDARIO")</f>
        <v>170 DÍAS CALENDARIO</v>
      </c>
      <c r="L1305" s="213" t="str">
        <f>IFERROR(__xludf.DUMMYFUNCTION("""COMPUTED_VALUE"""),"")</f>
        <v/>
      </c>
      <c r="M1305" s="213">
        <f>IFERROR(__xludf.DUMMYFUNCTION("""COMPUTED_VALUE"""),1.0)</f>
        <v>1</v>
      </c>
      <c r="N1305" s="213">
        <f>IFERROR(__xludf.DUMMYFUNCTION("""COMPUTED_VALUE"""),6.0)</f>
        <v>6</v>
      </c>
      <c r="O1305" s="213">
        <f>IFERROR(__xludf.DUMMYFUNCTION("""COMPUTED_VALUE"""),6.0)</f>
        <v>6</v>
      </c>
      <c r="P1305" s="213"/>
      <c r="Q1305" s="213"/>
      <c r="R1305" s="213"/>
      <c r="S1305" s="213"/>
      <c r="T1305" s="213"/>
      <c r="U1305" s="213"/>
      <c r="V1305" s="213"/>
      <c r="W1305" s="213"/>
      <c r="X1305" s="213"/>
      <c r="Y1305" s="213"/>
      <c r="Z1305" s="213"/>
      <c r="AA1305" s="213"/>
      <c r="AB1305" s="213"/>
      <c r="AC1305" s="213"/>
      <c r="AD1305" s="213"/>
      <c r="AE1305" s="213"/>
      <c r="AF1305" s="213"/>
      <c r="AG1305" s="213"/>
      <c r="AH1305" s="213"/>
      <c r="AI1305" s="213"/>
      <c r="AJ1305" s="213"/>
      <c r="AK1305" s="213"/>
      <c r="AL1305" s="213"/>
      <c r="AM1305" s="213"/>
      <c r="AN1305" s="213"/>
      <c r="AO1305" s="213"/>
      <c r="AP1305" s="213"/>
      <c r="AQ1305" s="213"/>
      <c r="AR1305" s="213"/>
      <c r="AS1305" s="213"/>
      <c r="AT1305" s="213"/>
      <c r="AU1305" s="213"/>
      <c r="AV1305" s="213"/>
      <c r="AW1305" s="213"/>
      <c r="AX1305" s="213"/>
      <c r="AY1305" s="213"/>
      <c r="AZ1305" s="213"/>
      <c r="BA1305" s="213"/>
      <c r="BB1305" s="213"/>
      <c r="BC1305" s="213"/>
      <c r="BD1305" s="213"/>
    </row>
    <row r="1306">
      <c r="A1306" s="213">
        <f>IFERROR(__xludf.DUMMYFUNCTION("""COMPUTED_VALUE"""),1888.0)</f>
        <v>1888</v>
      </c>
      <c r="B1306" s="213" t="str">
        <f>IFERROR(__xludf.DUMMYFUNCTION("""COMPUTED_VALUE"""),"GUILLERMO E. BILLINGHURST ")</f>
        <v>GUILLERMO E. BILLINGHURST </v>
      </c>
      <c r="C1306" s="213" t="str">
        <f>IFERROR(__xludf.DUMMYFUNCTION("""COMPUTED_VALUE"""),"TALLER SFT DE EBANISTERÍA")</f>
        <v>TALLER SFT DE EBANISTERÍA</v>
      </c>
      <c r="D1306" s="213" t="str">
        <f>IFERROR(__xludf.DUMMYFUNCTION("""COMPUTED_VALUE"""),"PEDAGOGICO")</f>
        <v>PEDAGOGICO</v>
      </c>
      <c r="E1306" s="213" t="str">
        <f>IFERROR(__xludf.DUMMYFUNCTION("""COMPUTED_VALUE"""),"MAT-258")</f>
        <v>MAT-258</v>
      </c>
      <c r="F1306" s="213" t="str">
        <f>IFERROR(__xludf.DUMMYFUNCTION("""COMPUTED_VALUE"""),"KEFF-34")</f>
        <v>KEFF-34</v>
      </c>
      <c r="G1306" s="213"/>
      <c r="H1306" s="213" t="str">
        <f>IFERROR(__xludf.DUMMYFUNCTION("""COMPUTED_VALUE"""),"MANUAL DE MANTENIMIENTO POR CADA EQUIPO DE CONSTRUCCIÓN CON TABLEROS PREFABRICADO")</f>
        <v>MANUAL DE MANTENIMIENTO POR CADA EQUIPO DE CONSTRUCCIÓN CON TABLEROS PREFABRICADO</v>
      </c>
      <c r="I130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los tipos de mantenimiento que requiere cada equipo de construcción con tableros prefabricados.
-          Descripción de los materiales que se requiere para su mantenimiento.
Descripción de los procedimientos para realizar el "&amp;"mantenimiento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construcción con tableros prefabricados.
-          Descripción de los materiales que se requiere para su mantenimiento.
Descripción de los procedimientos para realizar el mantenimiento preventivo de cada equipo.</v>
      </c>
      <c r="J1306" s="213">
        <f>IFERROR(__xludf.DUMMYFUNCTION("""COMPUTED_VALUE"""),3.0)</f>
        <v>3</v>
      </c>
      <c r="K1306" s="213" t="str">
        <f>IFERROR(__xludf.DUMMYFUNCTION("""COMPUTED_VALUE"""),"170 DÍAS CALENDARIO")</f>
        <v>170 DÍAS CALENDARIO</v>
      </c>
      <c r="L1306" s="213" t="str">
        <f>IFERROR(__xludf.DUMMYFUNCTION("""COMPUTED_VALUE"""),"")</f>
        <v/>
      </c>
      <c r="M1306" s="213">
        <f>IFERROR(__xludf.DUMMYFUNCTION("""COMPUTED_VALUE"""),1.0)</f>
        <v>1</v>
      </c>
      <c r="N1306" s="213">
        <f>IFERROR(__xludf.DUMMYFUNCTION("""COMPUTED_VALUE"""),6.0)</f>
        <v>6</v>
      </c>
      <c r="O1306" s="213">
        <f>IFERROR(__xludf.DUMMYFUNCTION("""COMPUTED_VALUE"""),6.0)</f>
        <v>6</v>
      </c>
      <c r="P1306" s="213"/>
      <c r="Q1306" s="213"/>
      <c r="R1306" s="213"/>
      <c r="S1306" s="213"/>
      <c r="T1306" s="213"/>
      <c r="U1306" s="213"/>
      <c r="V1306" s="213"/>
      <c r="W1306" s="213"/>
      <c r="X1306" s="213"/>
      <c r="Y1306" s="213"/>
      <c r="Z1306" s="213"/>
      <c r="AA1306" s="213"/>
      <c r="AB1306" s="213"/>
      <c r="AC1306" s="213"/>
      <c r="AD1306" s="213"/>
      <c r="AE1306" s="213"/>
      <c r="AF1306" s="213"/>
      <c r="AG1306" s="213"/>
      <c r="AH1306" s="213"/>
      <c r="AI1306" s="213"/>
      <c r="AJ1306" s="213"/>
      <c r="AK1306" s="213"/>
      <c r="AL1306" s="213"/>
      <c r="AM1306" s="213"/>
      <c r="AN1306" s="213"/>
      <c r="AO1306" s="213"/>
      <c r="AP1306" s="213"/>
      <c r="AQ1306" s="213"/>
      <c r="AR1306" s="213"/>
      <c r="AS1306" s="213"/>
      <c r="AT1306" s="213"/>
      <c r="AU1306" s="213"/>
      <c r="AV1306" s="213"/>
      <c r="AW1306" s="213"/>
      <c r="AX1306" s="213"/>
      <c r="AY1306" s="213"/>
      <c r="AZ1306" s="213"/>
      <c r="BA1306" s="213"/>
      <c r="BB1306" s="213"/>
      <c r="BC1306" s="213"/>
      <c r="BD1306" s="213"/>
    </row>
    <row r="1307">
      <c r="A1307" s="213">
        <f>IFERROR(__xludf.DUMMYFUNCTION("""COMPUTED_VALUE"""),2665.0)</f>
        <v>2665</v>
      </c>
      <c r="B1307" s="213" t="str">
        <f>IFERROR(__xludf.DUMMYFUNCTION("""COMPUTED_VALUE"""),"MANUEL ANTONIO MESONES MURO")</f>
        <v>MANUEL ANTONIO MESONES MURO</v>
      </c>
      <c r="C1307" s="213" t="str">
        <f>IFERROR(__xludf.DUMMYFUNCTION("""COMPUTED_VALUE"""),"TALLER SFT DE EBANISTERÍA")</f>
        <v>TALLER SFT DE EBANISTERÍA</v>
      </c>
      <c r="D1307" s="213" t="str">
        <f>IFERROR(__xludf.DUMMYFUNCTION("""COMPUTED_VALUE"""),"PEDAGOGICO")</f>
        <v>PEDAGOGICO</v>
      </c>
      <c r="E1307" s="213" t="str">
        <f>IFERROR(__xludf.DUMMYFUNCTION("""COMPUTED_VALUE"""),"MAT-259")</f>
        <v>MAT-259</v>
      </c>
      <c r="F1307" s="213" t="str">
        <f>IFERROR(__xludf.DUMMYFUNCTION("""COMPUTED_VALUE"""),"KEFF-31")</f>
        <v>KEFF-31</v>
      </c>
      <c r="G1307" s="213"/>
      <c r="H1307" s="213" t="str">
        <f>IFERROR(__xludf.DUMMYFUNCTION("""COMPUTED_VALUE"""),"MANUAL DE MANTENIMIENTO POR CADA EQUIPO DE CONSTRUCCIÓN DE ESTRUCTURAS DE MADERA ")</f>
        <v>MANUAL DE MANTENIMIENTO POR CADA EQUIPO DE CONSTRUCCIÓN DE ESTRUCTURAS DE MADERA </v>
      </c>
      <c r="I130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los tipos de mantenimiento que requiere cada equipo de construcción de estructuras de madera
-          Descripción de los materiales que se requiere para su mantenimiento.
Descripción de los procedimientos para realizar el man"&amp;"tenimiento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construcción de estructuras de madera
-          Descripción de los materiales que se requiere para su mantenimiento.
Descripción de los procedimientos para realizar el mantenimiento preventivo de cada equipo</v>
      </c>
      <c r="J1307" s="213">
        <f>IFERROR(__xludf.DUMMYFUNCTION("""COMPUTED_VALUE"""),3.0)</f>
        <v>3</v>
      </c>
      <c r="K1307" s="213" t="str">
        <f>IFERROR(__xludf.DUMMYFUNCTION("""COMPUTED_VALUE"""),"170 DÍAS CALENDARIO")</f>
        <v>170 DÍAS CALENDARIO</v>
      </c>
      <c r="L1307" s="213" t="str">
        <f>IFERROR(__xludf.DUMMYFUNCTION("""COMPUTED_VALUE"""),"")</f>
        <v/>
      </c>
      <c r="M1307" s="213">
        <f>IFERROR(__xludf.DUMMYFUNCTION("""COMPUTED_VALUE"""),1.0)</f>
        <v>1</v>
      </c>
      <c r="N1307" s="213">
        <f>IFERROR(__xludf.DUMMYFUNCTION("""COMPUTED_VALUE"""),6.0)</f>
        <v>6</v>
      </c>
      <c r="O1307" s="213">
        <f>IFERROR(__xludf.DUMMYFUNCTION("""COMPUTED_VALUE"""),6.0)</f>
        <v>6</v>
      </c>
      <c r="P1307" s="213"/>
      <c r="Q1307" s="213"/>
      <c r="R1307" s="213"/>
      <c r="S1307" s="213"/>
      <c r="T1307" s="213"/>
      <c r="U1307" s="213"/>
      <c r="V1307" s="213"/>
      <c r="W1307" s="213"/>
      <c r="X1307" s="213"/>
      <c r="Y1307" s="213"/>
      <c r="Z1307" s="213"/>
      <c r="AA1307" s="213"/>
      <c r="AB1307" s="213"/>
      <c r="AC1307" s="213"/>
      <c r="AD1307" s="213"/>
      <c r="AE1307" s="213"/>
      <c r="AF1307" s="213"/>
      <c r="AG1307" s="213"/>
      <c r="AH1307" s="213"/>
      <c r="AI1307" s="213"/>
      <c r="AJ1307" s="213"/>
      <c r="AK1307" s="213"/>
      <c r="AL1307" s="213"/>
      <c r="AM1307" s="213"/>
      <c r="AN1307" s="213"/>
      <c r="AO1307" s="213"/>
      <c r="AP1307" s="213"/>
      <c r="AQ1307" s="213"/>
      <c r="AR1307" s="213"/>
      <c r="AS1307" s="213"/>
      <c r="AT1307" s="213"/>
      <c r="AU1307" s="213"/>
      <c r="AV1307" s="213"/>
      <c r="AW1307" s="213"/>
      <c r="AX1307" s="213"/>
      <c r="AY1307" s="213"/>
      <c r="AZ1307" s="213"/>
      <c r="BA1307" s="213"/>
      <c r="BB1307" s="213"/>
      <c r="BC1307" s="213"/>
      <c r="BD1307" s="213"/>
    </row>
    <row r="1308">
      <c r="A1308" s="213">
        <f>IFERROR(__xludf.DUMMYFUNCTION("""COMPUTED_VALUE"""),1884.0)</f>
        <v>1884</v>
      </c>
      <c r="B1308" s="213" t="str">
        <f>IFERROR(__xludf.DUMMYFUNCTION("""COMPUTED_VALUE"""),"GUILLERMO E. BILLINGHURST ")</f>
        <v>GUILLERMO E. BILLINGHURST </v>
      </c>
      <c r="C1308" s="213" t="str">
        <f>IFERROR(__xludf.DUMMYFUNCTION("""COMPUTED_VALUE"""),"TALLER SFT DE EBANISTERÍA")</f>
        <v>TALLER SFT DE EBANISTERÍA</v>
      </c>
      <c r="D1308" s="213" t="str">
        <f>IFERROR(__xludf.DUMMYFUNCTION("""COMPUTED_VALUE"""),"PEDAGOGICO")</f>
        <v>PEDAGOGICO</v>
      </c>
      <c r="E1308" s="213" t="str">
        <f>IFERROR(__xludf.DUMMYFUNCTION("""COMPUTED_VALUE"""),"MAT-259")</f>
        <v>MAT-259</v>
      </c>
      <c r="F1308" s="213" t="str">
        <f>IFERROR(__xludf.DUMMYFUNCTION("""COMPUTED_VALUE"""),"KEFF-31")</f>
        <v>KEFF-31</v>
      </c>
      <c r="G1308" s="213"/>
      <c r="H1308" s="213" t="str">
        <f>IFERROR(__xludf.DUMMYFUNCTION("""COMPUTED_VALUE"""),"MANUAL DE MANTENIMIENTO POR CADA EQUIPO DE CONSTRUCCIÓN DE ESTRUCTURAS DE MADERA ")</f>
        <v>MANUAL DE MANTENIMIENTO POR CADA EQUIPO DE CONSTRUCCIÓN DE ESTRUCTURAS DE MADERA </v>
      </c>
      <c r="I130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los tipos de mantenimiento que requiere cada equipo de construcción de estructuras de madera
-          Descripción de los materiales que se requiere para su mantenimiento.
Descripción de los procedimientos para realizar el man"&amp;"tenimiento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construcción de estructuras de madera
-          Descripción de los materiales que se requiere para su mantenimiento.
Descripción de los procedimientos para realizar el mantenimiento preventivo de cada equipo</v>
      </c>
      <c r="J1308" s="213">
        <f>IFERROR(__xludf.DUMMYFUNCTION("""COMPUTED_VALUE"""),3.0)</f>
        <v>3</v>
      </c>
      <c r="K1308" s="213" t="str">
        <f>IFERROR(__xludf.DUMMYFUNCTION("""COMPUTED_VALUE"""),"170 DÍAS CALENDARIO")</f>
        <v>170 DÍAS CALENDARIO</v>
      </c>
      <c r="L1308" s="213" t="str">
        <f>IFERROR(__xludf.DUMMYFUNCTION("""COMPUTED_VALUE"""),"")</f>
        <v/>
      </c>
      <c r="M1308" s="213">
        <f>IFERROR(__xludf.DUMMYFUNCTION("""COMPUTED_VALUE"""),1.0)</f>
        <v>1</v>
      </c>
      <c r="N1308" s="213">
        <f>IFERROR(__xludf.DUMMYFUNCTION("""COMPUTED_VALUE"""),6.0)</f>
        <v>6</v>
      </c>
      <c r="O1308" s="213">
        <f>IFERROR(__xludf.DUMMYFUNCTION("""COMPUTED_VALUE"""),6.0)</f>
        <v>6</v>
      </c>
      <c r="P1308" s="213"/>
      <c r="Q1308" s="213"/>
      <c r="R1308" s="213"/>
      <c r="S1308" s="213"/>
      <c r="T1308" s="213"/>
      <c r="U1308" s="213"/>
      <c r="V1308" s="213"/>
      <c r="W1308" s="213"/>
      <c r="X1308" s="213"/>
      <c r="Y1308" s="213"/>
      <c r="Z1308" s="213"/>
      <c r="AA1308" s="213"/>
      <c r="AB1308" s="213"/>
      <c r="AC1308" s="213"/>
      <c r="AD1308" s="213"/>
      <c r="AE1308" s="213"/>
      <c r="AF1308" s="213"/>
      <c r="AG1308" s="213"/>
      <c r="AH1308" s="213"/>
      <c r="AI1308" s="213"/>
      <c r="AJ1308" s="213"/>
      <c r="AK1308" s="213"/>
      <c r="AL1308" s="213"/>
      <c r="AM1308" s="213"/>
      <c r="AN1308" s="213"/>
      <c r="AO1308" s="213"/>
      <c r="AP1308" s="213"/>
      <c r="AQ1308" s="213"/>
      <c r="AR1308" s="213"/>
      <c r="AS1308" s="213"/>
      <c r="AT1308" s="213"/>
      <c r="AU1308" s="213"/>
      <c r="AV1308" s="213"/>
      <c r="AW1308" s="213"/>
      <c r="AX1308" s="213"/>
      <c r="AY1308" s="213"/>
      <c r="AZ1308" s="213"/>
      <c r="BA1308" s="213"/>
      <c r="BB1308" s="213"/>
      <c r="BC1308" s="213"/>
      <c r="BD1308" s="213"/>
    </row>
    <row r="1309">
      <c r="A1309" s="213">
        <f>IFERROR(__xludf.DUMMYFUNCTION("""COMPUTED_VALUE"""),671.0)</f>
        <v>671</v>
      </c>
      <c r="B1309" s="213" t="str">
        <f>IFERROR(__xludf.DUMMYFUNCTION("""COMPUTED_VALUE"""),"6049 RICARDO PALMA")</f>
        <v>6049 RICARDO PALMA</v>
      </c>
      <c r="C1309" s="213" t="str">
        <f>IFERROR(__xludf.DUMMYFUNCTION("""COMPUTED_VALUE"""),"TALLER SFT DE ELECTRÓNICA")</f>
        <v>TALLER SFT DE ELECTRÓNICA</v>
      </c>
      <c r="D1309" s="213" t="str">
        <f>IFERROR(__xludf.DUMMYFUNCTION("""COMPUTED_VALUE"""),"PEDAGOGICO")</f>
        <v>PEDAGOGICO</v>
      </c>
      <c r="E1309" s="213" t="str">
        <f>IFERROR(__xludf.DUMMYFUNCTION("""COMPUTED_VALUE"""),"MAT-246")</f>
        <v>MAT-246</v>
      </c>
      <c r="F1309" s="213" t="str">
        <f>IFERROR(__xludf.DUMMYFUNCTION("""COMPUTED_VALUE"""),"KEFF-57")</f>
        <v>KEFF-57</v>
      </c>
      <c r="G1309" s="213"/>
      <c r="H1309" s="213" t="str">
        <f>IFERROR(__xludf.DUMMYFUNCTION("""COMPUTED_VALUE"""),"MANUAL DE MANTENIMIENTO POR CADA EQUIPO DE ELECTRICIDAD (OSCILOSCOPIO, FRECUENCÍMETRO, ETC.)")</f>
        <v>MANUAL DE MANTENIMIENTO POR CADA EQUIPO DE ELECTRICIDAD (OSCILOSCOPIO, FRECUENCÍMETRO, ETC.)</v>
      </c>
      <c r="I130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309" s="213">
        <f>IFERROR(__xludf.DUMMYFUNCTION("""COMPUTED_VALUE"""),3.0)</f>
        <v>3</v>
      </c>
      <c r="K1309" s="213" t="str">
        <f>IFERROR(__xludf.DUMMYFUNCTION("""COMPUTED_VALUE"""),"170 DÍAS CALENDARIO")</f>
        <v>170 DÍAS CALENDARIO</v>
      </c>
      <c r="L1309" s="213" t="str">
        <f>IFERROR(__xludf.DUMMYFUNCTION("""COMPUTED_VALUE"""),"")</f>
        <v/>
      </c>
      <c r="M1309" s="213">
        <f>IFERROR(__xludf.DUMMYFUNCTION("""COMPUTED_VALUE"""),1.0)</f>
        <v>1</v>
      </c>
      <c r="N1309" s="213">
        <f>IFERROR(__xludf.DUMMYFUNCTION("""COMPUTED_VALUE"""),6.0)</f>
        <v>6</v>
      </c>
      <c r="O1309" s="213">
        <f>IFERROR(__xludf.DUMMYFUNCTION("""COMPUTED_VALUE"""),6.0)</f>
        <v>6</v>
      </c>
      <c r="P1309" s="213"/>
      <c r="Q1309" s="213"/>
      <c r="R1309" s="213"/>
      <c r="S1309" s="213"/>
      <c r="T1309" s="213"/>
      <c r="U1309" s="213"/>
      <c r="V1309" s="213"/>
      <c r="W1309" s="213"/>
      <c r="X1309" s="213"/>
      <c r="Y1309" s="213"/>
      <c r="Z1309" s="213"/>
      <c r="AA1309" s="213"/>
      <c r="AB1309" s="213"/>
      <c r="AC1309" s="213"/>
      <c r="AD1309" s="213"/>
      <c r="AE1309" s="213"/>
      <c r="AF1309" s="213"/>
      <c r="AG1309" s="213"/>
      <c r="AH1309" s="213"/>
      <c r="AI1309" s="213"/>
      <c r="AJ1309" s="213"/>
      <c r="AK1309" s="213"/>
      <c r="AL1309" s="213"/>
      <c r="AM1309" s="213"/>
      <c r="AN1309" s="213"/>
      <c r="AO1309" s="213"/>
      <c r="AP1309" s="213"/>
      <c r="AQ1309" s="213"/>
      <c r="AR1309" s="213"/>
      <c r="AS1309" s="213">
        <f>IFERROR(__xludf.DUMMYFUNCTION("""COMPUTED_VALUE"""),0.0)</f>
        <v>0</v>
      </c>
      <c r="AT1309" s="213"/>
      <c r="AU1309" s="213"/>
      <c r="AV1309" s="213"/>
      <c r="AW1309" s="213"/>
      <c r="AX1309" s="213"/>
      <c r="AY1309" s="213"/>
      <c r="AZ1309" s="213"/>
      <c r="BA1309" s="213"/>
      <c r="BB1309" s="213"/>
      <c r="BC1309" s="213"/>
      <c r="BD1309" s="213"/>
    </row>
    <row r="1310">
      <c r="A1310" s="213">
        <f>IFERROR(__xludf.DUMMYFUNCTION("""COMPUTED_VALUE"""),236.0)</f>
        <v>236</v>
      </c>
      <c r="B1310" s="213" t="str">
        <f>IFERROR(__xludf.DUMMYFUNCTION("""COMPUTED_VALUE"""),"2026 SIMON BOLIVAR")</f>
        <v>2026 SIMON BOLIVAR</v>
      </c>
      <c r="C1310" s="213" t="str">
        <f>IFERROR(__xludf.DUMMYFUNCTION("""COMPUTED_VALUE"""),"TALLER SFT DE INDUSTRIA DEL VESTIDO")</f>
        <v>TALLER SFT DE INDUSTRIA DEL VESTIDO</v>
      </c>
      <c r="D1310" s="213" t="str">
        <f>IFERROR(__xludf.DUMMYFUNCTION("""COMPUTED_VALUE"""),"PEDAGOGICO")</f>
        <v>PEDAGOGICO</v>
      </c>
      <c r="E1310" s="213" t="str">
        <f>IFERROR(__xludf.DUMMYFUNCTION("""COMPUTED_VALUE"""),"MAT-249")</f>
        <v>MAT-249</v>
      </c>
      <c r="F1310" s="213" t="str">
        <f>IFERROR(__xludf.DUMMYFUNCTION("""COMPUTED_VALUE"""),"KEFF-81")</f>
        <v>KEFF-81</v>
      </c>
      <c r="G1310" s="213"/>
      <c r="H1310" s="213" t="str">
        <f>IFERROR(__xludf.DUMMYFUNCTION("""COMPUTED_VALUE"""),"MANUAL DE MANTENIMIENTO POR CADA EQUIPO DE ESTAMPAR")</f>
        <v>MANUAL DE MANTENIMIENTO POR CADA EQUIPO DE ESTAMPAR</v>
      </c>
      <c r="I131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bo"&amp;"nd de 75 gramos de 80% de blancura como mínimo.
- Tamaño: como mínimo 21 cm x 29,7 cm
- Tipo de Encuadernación: caballete con 2 grapas cuando sea menos de 80 páginas y encolado cuando sea más de 80 páginas.
·      Contenido que presenta.
-  Descripción de"&amp;" los tipos de mantenimiento que requiere cada equipo en función del taller  para realizar estampados.
-  Descripción de los materiales e instrumentos que se requiere para su mantenimiento.
- Descripción de los procedimientos para realizar el mantenimiento"&amp;"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en función del taller  para realizar estampados.
-  Descripción de los materiales e instrumentos que se requiere para su mantenimiento.
- Descripción de los procedimientos para realizar el mantenimiento preventivo de cada equipo</v>
      </c>
      <c r="J1310" s="213">
        <f>IFERROR(__xludf.DUMMYFUNCTION("""COMPUTED_VALUE"""),3.0)</f>
        <v>3</v>
      </c>
      <c r="K1310" s="213" t="str">
        <f>IFERROR(__xludf.DUMMYFUNCTION("""COMPUTED_VALUE"""),"170 DÍAS CALENDARIO")</f>
        <v>170 DÍAS CALENDARIO</v>
      </c>
      <c r="L1310" s="213" t="str">
        <f>IFERROR(__xludf.DUMMYFUNCTION("""COMPUTED_VALUE"""),"")</f>
        <v/>
      </c>
      <c r="M1310" s="213">
        <f>IFERROR(__xludf.DUMMYFUNCTION("""COMPUTED_VALUE"""),1.0)</f>
        <v>1</v>
      </c>
      <c r="N1310" s="213">
        <f>IFERROR(__xludf.DUMMYFUNCTION("""COMPUTED_VALUE"""),6.0)</f>
        <v>6</v>
      </c>
      <c r="O1310" s="213">
        <f>IFERROR(__xludf.DUMMYFUNCTION("""COMPUTED_VALUE"""),6.0)</f>
        <v>6</v>
      </c>
      <c r="P1310" s="213"/>
      <c r="Q1310" s="213"/>
      <c r="R1310" s="213"/>
      <c r="S1310" s="213"/>
      <c r="T1310" s="213"/>
      <c r="U1310" s="213"/>
      <c r="V1310" s="213"/>
      <c r="W1310" s="213"/>
      <c r="X1310" s="213"/>
      <c r="Y1310" s="213"/>
      <c r="Z1310" s="213"/>
      <c r="AA1310" s="213"/>
      <c r="AB1310" s="213"/>
      <c r="AC1310" s="213"/>
      <c r="AD1310" s="213"/>
      <c r="AE1310" s="213"/>
      <c r="AF1310" s="213"/>
      <c r="AG1310" s="213"/>
      <c r="AH1310" s="213"/>
      <c r="AI1310" s="213"/>
      <c r="AJ1310" s="213"/>
      <c r="AK1310" s="213"/>
      <c r="AL1310" s="213"/>
      <c r="AM1310" s="213"/>
      <c r="AN1310" s="213"/>
      <c r="AO1310" s="213"/>
      <c r="AP1310" s="213"/>
      <c r="AQ1310" s="213"/>
      <c r="AR1310" s="213"/>
      <c r="AS1310" s="213"/>
      <c r="AT1310" s="213"/>
      <c r="AU1310" s="213"/>
      <c r="AV1310" s="213"/>
      <c r="AW1310" s="213"/>
      <c r="AX1310" s="213"/>
      <c r="AY1310" s="213"/>
      <c r="AZ1310" s="213"/>
      <c r="BA1310" s="213"/>
      <c r="BB1310" s="213"/>
      <c r="BC1310" s="213"/>
      <c r="BD1310" s="213"/>
    </row>
    <row r="1311">
      <c r="A1311" s="213">
        <f>IFERROR(__xludf.DUMMYFUNCTION("""COMPUTED_VALUE"""),2450.0)</f>
        <v>2450</v>
      </c>
      <c r="B1311" s="213" t="str">
        <f>IFERROR(__xludf.DUMMYFUNCTION("""COMPUTED_VALUE"""),"MANUEL ANTONIO MESONES MURO")</f>
        <v>MANUEL ANTONIO MESONES MURO</v>
      </c>
      <c r="C1311" s="213" t="str">
        <f>IFERROR(__xludf.DUMMYFUNCTION("""COMPUTED_VALUE"""),"TALLER SFT DE INDUSTRIA DEL VESTIDO")</f>
        <v>TALLER SFT DE INDUSTRIA DEL VESTIDO</v>
      </c>
      <c r="D1311" s="213" t="str">
        <f>IFERROR(__xludf.DUMMYFUNCTION("""COMPUTED_VALUE"""),"PEDAGOGICO")</f>
        <v>PEDAGOGICO</v>
      </c>
      <c r="E1311" s="213" t="str">
        <f>IFERROR(__xludf.DUMMYFUNCTION("""COMPUTED_VALUE"""),"MAT-249")</f>
        <v>MAT-249</v>
      </c>
      <c r="F1311" s="213" t="str">
        <f>IFERROR(__xludf.DUMMYFUNCTION("""COMPUTED_VALUE"""),"KEFF-81")</f>
        <v>KEFF-81</v>
      </c>
      <c r="G1311" s="213"/>
      <c r="H1311" s="213" t="str">
        <f>IFERROR(__xludf.DUMMYFUNCTION("""COMPUTED_VALUE"""),"MANUAL DE MANTENIMIENTO POR CADA EQUIPO DE ESTAMPAR")</f>
        <v>MANUAL DE MANTENIMIENTO POR CADA EQUIPO DE ESTAMPAR</v>
      </c>
      <c r="I131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bo"&amp;"nd de 75 gramos de 80% de blancura como mínimo.
- Tamaño: como mínimo 21 cm x 29,7 cm
- Tipo de Encuadernación: caballete con 2 grapas cuando sea menos de 80 páginas y encolado cuando sea más de 80 páginas.
·      Contenido que presenta.
-  Descripción de"&amp;" los tipos de mantenimiento que requiere cada equipo en función del taller  para realizar estampados.
-  Descripción de los materiales e instrumentos que se requiere para su mantenimiento.
- Descripción de los procedimientos para realizar el mantenimiento"&amp;"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en función del taller  para realizar estampados.
-  Descripción de los materiales e instrumentos que se requiere para su mantenimiento.
- Descripción de los procedimientos para realizar el mantenimiento preventivo de cada equipo</v>
      </c>
      <c r="J1311" s="213">
        <f>IFERROR(__xludf.DUMMYFUNCTION("""COMPUTED_VALUE"""),3.0)</f>
        <v>3</v>
      </c>
      <c r="K1311" s="213" t="str">
        <f>IFERROR(__xludf.DUMMYFUNCTION("""COMPUTED_VALUE"""),"170 DÍAS CALENDARIO")</f>
        <v>170 DÍAS CALENDARIO</v>
      </c>
      <c r="L1311" s="213" t="str">
        <f>IFERROR(__xludf.DUMMYFUNCTION("""COMPUTED_VALUE"""),"")</f>
        <v/>
      </c>
      <c r="M1311" s="213">
        <f>IFERROR(__xludf.DUMMYFUNCTION("""COMPUTED_VALUE"""),1.0)</f>
        <v>1</v>
      </c>
      <c r="N1311" s="213">
        <f>IFERROR(__xludf.DUMMYFUNCTION("""COMPUTED_VALUE"""),6.0)</f>
        <v>6</v>
      </c>
      <c r="O1311" s="213">
        <f>IFERROR(__xludf.DUMMYFUNCTION("""COMPUTED_VALUE"""),6.0)</f>
        <v>6</v>
      </c>
      <c r="P1311" s="213"/>
      <c r="Q1311" s="213"/>
      <c r="R1311" s="213"/>
      <c r="S1311" s="213"/>
      <c r="T1311" s="213"/>
      <c r="U1311" s="213"/>
      <c r="V1311" s="213"/>
      <c r="W1311" s="213"/>
      <c r="X1311" s="213"/>
      <c r="Y1311" s="213"/>
      <c r="Z1311" s="213"/>
      <c r="AA1311" s="213"/>
      <c r="AB1311" s="213"/>
      <c r="AC1311" s="213"/>
      <c r="AD1311" s="213"/>
      <c r="AE1311" s="213"/>
      <c r="AF1311" s="213"/>
      <c r="AG1311" s="213"/>
      <c r="AH1311" s="213"/>
      <c r="AI1311" s="213"/>
      <c r="AJ1311" s="213"/>
      <c r="AK1311" s="213"/>
      <c r="AL1311" s="213"/>
      <c r="AM1311" s="213"/>
      <c r="AN1311" s="213"/>
      <c r="AO1311" s="213"/>
      <c r="AP1311" s="213"/>
      <c r="AQ1311" s="213"/>
      <c r="AR1311" s="213"/>
      <c r="AS1311" s="213"/>
      <c r="AT1311" s="213"/>
      <c r="AU1311" s="213"/>
      <c r="AV1311" s="213"/>
      <c r="AW1311" s="213"/>
      <c r="AX1311" s="213"/>
      <c r="AY1311" s="213"/>
      <c r="AZ1311" s="213"/>
      <c r="BA1311" s="213"/>
      <c r="BB1311" s="213"/>
      <c r="BC1311" s="213"/>
      <c r="BD1311" s="213"/>
    </row>
    <row r="1312">
      <c r="A1312" s="213">
        <f>IFERROR(__xludf.DUMMYFUNCTION("""COMPUTED_VALUE"""),98.0)</f>
        <v>98</v>
      </c>
      <c r="B1312" s="213" t="str">
        <f>IFERROR(__xludf.DUMMYFUNCTION("""COMPUTED_VALUE"""),"16449 ELOY SOBERON  FLORES")</f>
        <v>16449 ELOY SOBERON  FLORES</v>
      </c>
      <c r="C1312" s="213" t="str">
        <f>IFERROR(__xludf.DUMMYFUNCTION("""COMPUTED_VALUE"""),"TALLER SFT DE COCINA Y REPOSTERÍA")</f>
        <v>TALLER SFT DE COCINA Y REPOSTERÍA</v>
      </c>
      <c r="D1312" s="213" t="str">
        <f>IFERROR(__xludf.DUMMYFUNCTION("""COMPUTED_VALUE"""),"PEDAGOGICO")</f>
        <v>PEDAGOGICO</v>
      </c>
      <c r="E1312" s="213" t="str">
        <f>IFERROR(__xludf.DUMMYFUNCTION("""COMPUTED_VALUE"""),"MAT-261")</f>
        <v>MAT-261</v>
      </c>
      <c r="F1312" s="213" t="str">
        <f>IFERROR(__xludf.DUMMYFUNCTION("""COMPUTED_VALUE"""),"KEFF-02")</f>
        <v>KEFF-02</v>
      </c>
      <c r="G1312" s="213"/>
      <c r="H1312" s="213" t="str">
        <f>IFERROR(__xludf.DUMMYFUNCTION("""COMPUTED_VALUE"""),"MANUAL DE MANTENIMIENTO POR CADA EQUIPO DE IDENTIFICACIÓN DE NECESIDADES Y PROBLEMAS")</f>
        <v>MANUAL DE MANTENIMIENTO POR CADA EQUIPO DE IDENTIFICACIÓN DE NECESIDADES Y PROBLEMAS</v>
      </c>
      <c r="I131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 Descripción de las herramientas, materiales e insumos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 Descripción de las herramientas, materiales e insumos que se requiere para su mantenimiento.
- Descripción de los procedimientos para realizar el mantenimiento preventivo de cada equipo.</v>
      </c>
      <c r="J1312" s="213">
        <f>IFERROR(__xludf.DUMMYFUNCTION("""COMPUTED_VALUE"""),3.0)</f>
        <v>3</v>
      </c>
      <c r="K1312" s="213" t="str">
        <f>IFERROR(__xludf.DUMMYFUNCTION("""COMPUTED_VALUE"""),"170 DÍAS CALENDARIO")</f>
        <v>170 DÍAS CALENDARIO</v>
      </c>
      <c r="L1312" s="213" t="str">
        <f>IFERROR(__xludf.DUMMYFUNCTION("""COMPUTED_VALUE"""),"")</f>
        <v/>
      </c>
      <c r="M1312" s="213">
        <f>IFERROR(__xludf.DUMMYFUNCTION("""COMPUTED_VALUE"""),1.0)</f>
        <v>1</v>
      </c>
      <c r="N1312" s="213">
        <f>IFERROR(__xludf.DUMMYFUNCTION("""COMPUTED_VALUE"""),6.0)</f>
        <v>6</v>
      </c>
      <c r="O1312" s="213">
        <f>IFERROR(__xludf.DUMMYFUNCTION("""COMPUTED_VALUE"""),6.0)</f>
        <v>6</v>
      </c>
      <c r="P1312" s="213"/>
      <c r="Q1312" s="213"/>
      <c r="R1312" s="213"/>
      <c r="S1312" s="213"/>
      <c r="T1312" s="213"/>
      <c r="U1312" s="213"/>
      <c r="V1312" s="213"/>
      <c r="W1312" s="213"/>
      <c r="X1312" s="213"/>
      <c r="Y1312" s="213"/>
      <c r="Z1312" s="213"/>
      <c r="AA1312" s="213"/>
      <c r="AB1312" s="213"/>
      <c r="AC1312" s="213"/>
      <c r="AD1312" s="213"/>
      <c r="AE1312" s="213"/>
      <c r="AF1312" s="213"/>
      <c r="AG1312" s="213"/>
      <c r="AH1312" s="213"/>
      <c r="AI1312" s="213"/>
      <c r="AJ1312" s="213"/>
      <c r="AK1312" s="213"/>
      <c r="AL1312" s="213"/>
      <c r="AM1312" s="213"/>
      <c r="AN1312" s="213"/>
      <c r="AO1312" s="213"/>
      <c r="AP1312" s="213"/>
      <c r="AQ1312" s="213"/>
      <c r="AR1312" s="213"/>
      <c r="AS1312" s="213"/>
      <c r="AT1312" s="213"/>
      <c r="AU1312" s="213"/>
      <c r="AV1312" s="213"/>
      <c r="AW1312" s="213"/>
      <c r="AX1312" s="213"/>
      <c r="AY1312" s="213"/>
      <c r="AZ1312" s="213"/>
      <c r="BA1312" s="213"/>
      <c r="BB1312" s="213"/>
      <c r="BC1312" s="213"/>
      <c r="BD1312" s="213"/>
    </row>
    <row r="1313">
      <c r="A1313" s="213">
        <f>IFERROR(__xludf.DUMMYFUNCTION("""COMPUTED_VALUE"""),572.0)</f>
        <v>572</v>
      </c>
      <c r="B1313" s="213" t="str">
        <f>IFERROR(__xludf.DUMMYFUNCTION("""COMPUTED_VALUE"""),"2026 SIMON BOLIVAR")</f>
        <v>2026 SIMON BOLIVAR</v>
      </c>
      <c r="C1313" s="213" t="str">
        <f>IFERROR(__xludf.DUMMYFUNCTION("""COMPUTED_VALUE"""),"TALLER SFT DE INDUSTRIA ALIMENTARIA")</f>
        <v>TALLER SFT DE INDUSTRIA ALIMENTARIA</v>
      </c>
      <c r="D1313" s="213" t="str">
        <f>IFERROR(__xludf.DUMMYFUNCTION("""COMPUTED_VALUE"""),"PEDAGOGICO")</f>
        <v>PEDAGOGICO</v>
      </c>
      <c r="E1313" s="213" t="str">
        <f>IFERROR(__xludf.DUMMYFUNCTION("""COMPUTED_VALUE"""),"MAT-261")</f>
        <v>MAT-261</v>
      </c>
      <c r="F1313" s="213" t="str">
        <f>IFERROR(__xludf.DUMMYFUNCTION("""COMPUTED_VALUE"""),"KEFF-02")</f>
        <v>KEFF-02</v>
      </c>
      <c r="G1313" s="213"/>
      <c r="H1313" s="213" t="str">
        <f>IFERROR(__xludf.DUMMYFUNCTION("""COMPUTED_VALUE"""),"MANUAL DE MANTENIMIENTO POR CADA EQUIPO DE IDENTIFICACIÓN DE NECESIDADES Y PROBLEMAS")</f>
        <v>MANUAL DE MANTENIMIENTO POR CADA EQUIPO DE IDENTIFICACIÓN DE NECESIDADES Y PROBLEMAS</v>
      </c>
      <c r="I131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313" s="213">
        <f>IFERROR(__xludf.DUMMYFUNCTION("""COMPUTED_VALUE"""),3.0)</f>
        <v>3</v>
      </c>
      <c r="K1313" s="213" t="str">
        <f>IFERROR(__xludf.DUMMYFUNCTION("""COMPUTED_VALUE"""),"170 DÍAS CALENDARIO")</f>
        <v>170 DÍAS CALENDARIO</v>
      </c>
      <c r="L1313" s="213" t="str">
        <f>IFERROR(__xludf.DUMMYFUNCTION("""COMPUTED_VALUE"""),"")</f>
        <v/>
      </c>
      <c r="M1313" s="213">
        <f>IFERROR(__xludf.DUMMYFUNCTION("""COMPUTED_VALUE"""),1.0)</f>
        <v>1</v>
      </c>
      <c r="N1313" s="213">
        <f>IFERROR(__xludf.DUMMYFUNCTION("""COMPUTED_VALUE"""),6.0)</f>
        <v>6</v>
      </c>
      <c r="O1313" s="213">
        <f>IFERROR(__xludf.DUMMYFUNCTION("""COMPUTED_VALUE"""),6.0)</f>
        <v>6</v>
      </c>
      <c r="P1313" s="213"/>
      <c r="Q1313" s="213"/>
      <c r="R1313" s="213"/>
      <c r="S1313" s="213"/>
      <c r="T1313" s="213"/>
      <c r="U1313" s="213"/>
      <c r="V1313" s="213"/>
      <c r="W1313" s="213"/>
      <c r="X1313" s="213"/>
      <c r="Y1313" s="213"/>
      <c r="Z1313" s="213"/>
      <c r="AA1313" s="213"/>
      <c r="AB1313" s="213"/>
      <c r="AC1313" s="213"/>
      <c r="AD1313" s="213"/>
      <c r="AE1313" s="213"/>
      <c r="AF1313" s="213"/>
      <c r="AG1313" s="213"/>
      <c r="AH1313" s="213"/>
      <c r="AI1313" s="213"/>
      <c r="AJ1313" s="213"/>
      <c r="AK1313" s="213"/>
      <c r="AL1313" s="213"/>
      <c r="AM1313" s="213"/>
      <c r="AN1313" s="213"/>
      <c r="AO1313" s="213"/>
      <c r="AP1313" s="213"/>
      <c r="AQ1313" s="213"/>
      <c r="AR1313" s="213"/>
      <c r="AS1313" s="213"/>
      <c r="AT1313" s="213"/>
      <c r="AU1313" s="213"/>
      <c r="AV1313" s="213"/>
      <c r="AW1313" s="213"/>
      <c r="AX1313" s="213"/>
      <c r="AY1313" s="213"/>
      <c r="AZ1313" s="213"/>
      <c r="BA1313" s="213"/>
      <c r="BB1313" s="213"/>
      <c r="BC1313" s="213"/>
      <c r="BD1313" s="213"/>
    </row>
    <row r="1314">
      <c r="A1314" s="213">
        <f>IFERROR(__xludf.DUMMYFUNCTION("""COMPUTED_VALUE"""),1199.0)</f>
        <v>1199</v>
      </c>
      <c r="B1314" s="213" t="str">
        <f>IFERROR(__xludf.DUMMYFUNCTION("""COMPUTED_VALUE"""),"FRANCISCO IRAZOLA")</f>
        <v>FRANCISCO IRAZOLA</v>
      </c>
      <c r="C1314" s="213" t="str">
        <f>IFERROR(__xludf.DUMMYFUNCTION("""COMPUTED_VALUE"""),"TALLER SFT DE INDUSTRIA ALIMENTARIA")</f>
        <v>TALLER SFT DE INDUSTRIA ALIMENTARIA</v>
      </c>
      <c r="D1314" s="213" t="str">
        <f>IFERROR(__xludf.DUMMYFUNCTION("""COMPUTED_VALUE"""),"PEDAGOGICO")</f>
        <v>PEDAGOGICO</v>
      </c>
      <c r="E1314" s="213" t="str">
        <f>IFERROR(__xludf.DUMMYFUNCTION("""COMPUTED_VALUE"""),"MAT-261")</f>
        <v>MAT-261</v>
      </c>
      <c r="F1314" s="213" t="str">
        <f>IFERROR(__xludf.DUMMYFUNCTION("""COMPUTED_VALUE"""),"KEFF-02")</f>
        <v>KEFF-02</v>
      </c>
      <c r="G1314" s="213"/>
      <c r="H1314" s="213" t="str">
        <f>IFERROR(__xludf.DUMMYFUNCTION("""COMPUTED_VALUE"""),"MANUAL DE MANTENIMIENTO POR CADA EQUIPO DE IDENTIFICACIÓN DE NECESIDADES Y PROBLEMAS")</f>
        <v>MANUAL DE MANTENIMIENTO POR CADA EQUIPO DE IDENTIFICACIÓN DE NECESIDADES Y PROBLEMAS</v>
      </c>
      <c r="I131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314" s="213">
        <f>IFERROR(__xludf.DUMMYFUNCTION("""COMPUTED_VALUE"""),3.0)</f>
        <v>3</v>
      </c>
      <c r="K1314" s="213" t="str">
        <f>IFERROR(__xludf.DUMMYFUNCTION("""COMPUTED_VALUE"""),"170 DÍAS CALENDARIO")</f>
        <v>170 DÍAS CALENDARIO</v>
      </c>
      <c r="L1314" s="213" t="str">
        <f>IFERROR(__xludf.DUMMYFUNCTION("""COMPUTED_VALUE"""),"")</f>
        <v/>
      </c>
      <c r="M1314" s="213">
        <f>IFERROR(__xludf.DUMMYFUNCTION("""COMPUTED_VALUE"""),1.0)</f>
        <v>1</v>
      </c>
      <c r="N1314" s="213">
        <f>IFERROR(__xludf.DUMMYFUNCTION("""COMPUTED_VALUE"""),6.0)</f>
        <v>6</v>
      </c>
      <c r="O1314" s="213">
        <f>IFERROR(__xludf.DUMMYFUNCTION("""COMPUTED_VALUE"""),6.0)</f>
        <v>6</v>
      </c>
      <c r="P1314" s="213"/>
      <c r="Q1314" s="213"/>
      <c r="R1314" s="213"/>
      <c r="S1314" s="213"/>
      <c r="T1314" s="213"/>
      <c r="U1314" s="213"/>
      <c r="V1314" s="213"/>
      <c r="W1314" s="213"/>
      <c r="X1314" s="213"/>
      <c r="Y1314" s="213"/>
      <c r="Z1314" s="213"/>
      <c r="AA1314" s="213"/>
      <c r="AB1314" s="213"/>
      <c r="AC1314" s="213"/>
      <c r="AD1314" s="213"/>
      <c r="AE1314" s="213"/>
      <c r="AF1314" s="213"/>
      <c r="AG1314" s="213"/>
      <c r="AH1314" s="213"/>
      <c r="AI1314" s="213"/>
      <c r="AJ1314" s="213"/>
      <c r="AK1314" s="213"/>
      <c r="AL1314" s="213"/>
      <c r="AM1314" s="213"/>
      <c r="AN1314" s="213"/>
      <c r="AO1314" s="213"/>
      <c r="AP1314" s="213"/>
      <c r="AQ1314" s="213"/>
      <c r="AR1314" s="213"/>
      <c r="AS1314" s="213"/>
      <c r="AT1314" s="213"/>
      <c r="AU1314" s="213"/>
      <c r="AV1314" s="213"/>
      <c r="AW1314" s="213"/>
      <c r="AX1314" s="213"/>
      <c r="AY1314" s="213"/>
      <c r="AZ1314" s="213"/>
      <c r="BA1314" s="213"/>
      <c r="BB1314" s="213"/>
      <c r="BC1314" s="213"/>
      <c r="BD1314" s="213"/>
    </row>
    <row r="1315">
      <c r="A1315" s="213">
        <f>IFERROR(__xludf.DUMMYFUNCTION("""COMPUTED_VALUE"""),1470.0)</f>
        <v>1470</v>
      </c>
      <c r="B1315" s="213" t="str">
        <f>IFERROR(__xludf.DUMMYFUNCTION("""COMPUTED_VALUE"""),"GUILLERMO E. BILLINGHURST ")</f>
        <v>GUILLERMO E. BILLINGHURST </v>
      </c>
      <c r="C1315" s="213" t="str">
        <f>IFERROR(__xludf.DUMMYFUNCTION("""COMPUTED_VALUE"""),"TALLER SFT DE INDUSTRIA ALIMENTARIA")</f>
        <v>TALLER SFT DE INDUSTRIA ALIMENTARIA</v>
      </c>
      <c r="D1315" s="213" t="str">
        <f>IFERROR(__xludf.DUMMYFUNCTION("""COMPUTED_VALUE"""),"PEDAGOGICO")</f>
        <v>PEDAGOGICO</v>
      </c>
      <c r="E1315" s="213" t="str">
        <f>IFERROR(__xludf.DUMMYFUNCTION("""COMPUTED_VALUE"""),"MAT-261")</f>
        <v>MAT-261</v>
      </c>
      <c r="F1315" s="213" t="str">
        <f>IFERROR(__xludf.DUMMYFUNCTION("""COMPUTED_VALUE"""),"KEFF-02")</f>
        <v>KEFF-02</v>
      </c>
      <c r="G1315" s="213"/>
      <c r="H1315" s="213" t="str">
        <f>IFERROR(__xludf.DUMMYFUNCTION("""COMPUTED_VALUE"""),"MANUAL DE MANTENIMIENTO POR CADA EQUIPO DE IDENTIFICACIÓN DE NECESIDADES Y PROBLEMAS")</f>
        <v>MANUAL DE MANTENIMIENTO POR CADA EQUIPO DE IDENTIFICACIÓN DE NECESIDADES Y PROBLEMAS</v>
      </c>
      <c r="I131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315" s="213">
        <f>IFERROR(__xludf.DUMMYFUNCTION("""COMPUTED_VALUE"""),3.0)</f>
        <v>3</v>
      </c>
      <c r="K1315" s="213" t="str">
        <f>IFERROR(__xludf.DUMMYFUNCTION("""COMPUTED_VALUE"""),"170 DÍAS CALENDARIO")</f>
        <v>170 DÍAS CALENDARIO</v>
      </c>
      <c r="L1315" s="213" t="str">
        <f>IFERROR(__xludf.DUMMYFUNCTION("""COMPUTED_VALUE"""),"")</f>
        <v/>
      </c>
      <c r="M1315" s="213">
        <f>IFERROR(__xludf.DUMMYFUNCTION("""COMPUTED_VALUE"""),1.0)</f>
        <v>1</v>
      </c>
      <c r="N1315" s="213">
        <f>IFERROR(__xludf.DUMMYFUNCTION("""COMPUTED_VALUE"""),6.0)</f>
        <v>6</v>
      </c>
      <c r="O1315" s="213">
        <f>IFERROR(__xludf.DUMMYFUNCTION("""COMPUTED_VALUE"""),6.0)</f>
        <v>6</v>
      </c>
      <c r="P1315" s="213"/>
      <c r="Q1315" s="213"/>
      <c r="R1315" s="213"/>
      <c r="S1315" s="213"/>
      <c r="T1315" s="213"/>
      <c r="U1315" s="213"/>
      <c r="V1315" s="213"/>
      <c r="W1315" s="213"/>
      <c r="X1315" s="213"/>
      <c r="Y1315" s="213"/>
      <c r="Z1315" s="213"/>
      <c r="AA1315" s="213"/>
      <c r="AB1315" s="213"/>
      <c r="AC1315" s="213"/>
      <c r="AD1315" s="213"/>
      <c r="AE1315" s="213"/>
      <c r="AF1315" s="213"/>
      <c r="AG1315" s="213"/>
      <c r="AH1315" s="213"/>
      <c r="AI1315" s="213"/>
      <c r="AJ1315" s="213"/>
      <c r="AK1315" s="213"/>
      <c r="AL1315" s="213"/>
      <c r="AM1315" s="213"/>
      <c r="AN1315" s="213"/>
      <c r="AO1315" s="213"/>
      <c r="AP1315" s="213"/>
      <c r="AQ1315" s="213"/>
      <c r="AR1315" s="213"/>
      <c r="AS1315" s="213"/>
      <c r="AT1315" s="213"/>
      <c r="AU1315" s="213"/>
      <c r="AV1315" s="213"/>
      <c r="AW1315" s="213"/>
      <c r="AX1315" s="213"/>
      <c r="AY1315" s="213"/>
      <c r="AZ1315" s="213"/>
      <c r="BA1315" s="213"/>
      <c r="BB1315" s="213"/>
      <c r="BC1315" s="213"/>
      <c r="BD1315" s="213"/>
    </row>
    <row r="1316">
      <c r="A1316" s="213">
        <f>IFERROR(__xludf.DUMMYFUNCTION("""COMPUTED_VALUE"""),1874.0)</f>
        <v>1874</v>
      </c>
      <c r="B1316" s="213" t="str">
        <f>IFERROR(__xludf.DUMMYFUNCTION("""COMPUTED_VALUE"""),"GUILLERMO E. BILLINGHURST ")</f>
        <v>GUILLERMO E. BILLINGHURST </v>
      </c>
      <c r="C1316" s="213" t="str">
        <f>IFERROR(__xludf.DUMMYFUNCTION("""COMPUTED_VALUE"""),"TALLER SFT DE EBANISTERÍA")</f>
        <v>TALLER SFT DE EBANISTERÍA</v>
      </c>
      <c r="D1316" s="213" t="str">
        <f>IFERROR(__xludf.DUMMYFUNCTION("""COMPUTED_VALUE"""),"PEDAGOGICO")</f>
        <v>PEDAGOGICO</v>
      </c>
      <c r="E1316" s="213" t="str">
        <f>IFERROR(__xludf.DUMMYFUNCTION("""COMPUTED_VALUE"""),"MAT-261")</f>
        <v>MAT-261</v>
      </c>
      <c r="F1316" s="213" t="str">
        <f>IFERROR(__xludf.DUMMYFUNCTION("""COMPUTED_VALUE"""),"KEFF-02")</f>
        <v>KEFF-02</v>
      </c>
      <c r="G1316" s="213"/>
      <c r="H1316" s="213" t="str">
        <f>IFERROR(__xludf.DUMMYFUNCTION("""COMPUTED_VALUE"""),"MANUAL DE MANTENIMIENTO POR CADA EQUIPO DE IDENTIFICACIÓN DE NECESIDADES Y PROBLEMAS")</f>
        <v>MANUAL DE MANTENIMIENTO POR CADA EQUIPO DE IDENTIFICACIÓN DE NECESIDADES Y PROBLEMAS</v>
      </c>
      <c r="I131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316" s="213">
        <f>IFERROR(__xludf.DUMMYFUNCTION("""COMPUTED_VALUE"""),3.0)</f>
        <v>3</v>
      </c>
      <c r="K1316" s="213" t="str">
        <f>IFERROR(__xludf.DUMMYFUNCTION("""COMPUTED_VALUE"""),"170 DÍAS CALENDARIO")</f>
        <v>170 DÍAS CALENDARIO</v>
      </c>
      <c r="L1316" s="213" t="str">
        <f>IFERROR(__xludf.DUMMYFUNCTION("""COMPUTED_VALUE"""),"")</f>
        <v/>
      </c>
      <c r="M1316" s="213">
        <f>IFERROR(__xludf.DUMMYFUNCTION("""COMPUTED_VALUE"""),1.0)</f>
        <v>1</v>
      </c>
      <c r="N1316" s="213">
        <f>IFERROR(__xludf.DUMMYFUNCTION("""COMPUTED_VALUE"""),6.0)</f>
        <v>6</v>
      </c>
      <c r="O1316" s="213">
        <f>IFERROR(__xludf.DUMMYFUNCTION("""COMPUTED_VALUE"""),6.0)</f>
        <v>6</v>
      </c>
      <c r="P1316" s="213"/>
      <c r="Q1316" s="213"/>
      <c r="R1316" s="213"/>
      <c r="S1316" s="213"/>
      <c r="T1316" s="213"/>
      <c r="U1316" s="213"/>
      <c r="V1316" s="213"/>
      <c r="W1316" s="213"/>
      <c r="X1316" s="213"/>
      <c r="Y1316" s="213"/>
      <c r="Z1316" s="213"/>
      <c r="AA1316" s="213"/>
      <c r="AB1316" s="213"/>
      <c r="AC1316" s="213"/>
      <c r="AD1316" s="213"/>
      <c r="AE1316" s="213"/>
      <c r="AF1316" s="213"/>
      <c r="AG1316" s="213"/>
      <c r="AH1316" s="213"/>
      <c r="AI1316" s="213"/>
      <c r="AJ1316" s="213"/>
      <c r="AK1316" s="213"/>
      <c r="AL1316" s="213"/>
      <c r="AM1316" s="213"/>
      <c r="AN1316" s="213"/>
      <c r="AO1316" s="213"/>
      <c r="AP1316" s="213"/>
      <c r="AQ1316" s="213"/>
      <c r="AR1316" s="213"/>
      <c r="AS1316" s="213"/>
      <c r="AT1316" s="213"/>
      <c r="AU1316" s="213"/>
      <c r="AV1316" s="213"/>
      <c r="AW1316" s="213"/>
      <c r="AX1316" s="213"/>
      <c r="AY1316" s="213"/>
      <c r="AZ1316" s="213"/>
      <c r="BA1316" s="213"/>
      <c r="BB1316" s="213"/>
      <c r="BC1316" s="213"/>
      <c r="BD1316" s="213"/>
    </row>
    <row r="1317">
      <c r="A1317" s="213">
        <f>IFERROR(__xludf.DUMMYFUNCTION("""COMPUTED_VALUE"""),2161.0)</f>
        <v>2161</v>
      </c>
      <c r="B1317" s="213" t="str">
        <f>IFERROR(__xludf.DUMMYFUNCTION("""COMPUTED_VALUE"""),"JOSE GRANDA")</f>
        <v>JOSE GRANDA</v>
      </c>
      <c r="C1317" s="213" t="str">
        <f>IFERROR(__xludf.DUMMYFUNCTION("""COMPUTED_VALUE"""),"TALLER SFT DE INDUSTRIA ALIMENTARIA")</f>
        <v>TALLER SFT DE INDUSTRIA ALIMENTARIA</v>
      </c>
      <c r="D1317" s="213" t="str">
        <f>IFERROR(__xludf.DUMMYFUNCTION("""COMPUTED_VALUE"""),"PEDAGOGICO")</f>
        <v>PEDAGOGICO</v>
      </c>
      <c r="E1317" s="213" t="str">
        <f>IFERROR(__xludf.DUMMYFUNCTION("""COMPUTED_VALUE"""),"MAT-261")</f>
        <v>MAT-261</v>
      </c>
      <c r="F1317" s="213" t="str">
        <f>IFERROR(__xludf.DUMMYFUNCTION("""COMPUTED_VALUE"""),"KEFF-02")</f>
        <v>KEFF-02</v>
      </c>
      <c r="G1317" s="213"/>
      <c r="H1317" s="213" t="str">
        <f>IFERROR(__xludf.DUMMYFUNCTION("""COMPUTED_VALUE"""),"MANUAL DE MANTENIMIENTO POR CADA EQUIPO DE IDENTIFICACIÓN DE NECESIDADES Y PROBLEMAS")</f>
        <v>MANUAL DE MANTENIMIENTO POR CADA EQUIPO DE IDENTIFICACIÓN DE NECESIDADES Y PROBLEMAS</v>
      </c>
      <c r="I131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los tipos "&amp;"de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317" s="213">
        <f>IFERROR(__xludf.DUMMYFUNCTION("""COMPUTED_VALUE"""),3.0)</f>
        <v>3</v>
      </c>
      <c r="K1317" s="213" t="str">
        <f>IFERROR(__xludf.DUMMYFUNCTION("""COMPUTED_VALUE"""),"170 DÍAS CALENDARIO")</f>
        <v>170 DÍAS CALENDARIO</v>
      </c>
      <c r="L1317" s="213" t="str">
        <f>IFERROR(__xludf.DUMMYFUNCTION("""COMPUTED_VALUE"""),"")</f>
        <v/>
      </c>
      <c r="M1317" s="213">
        <f>IFERROR(__xludf.DUMMYFUNCTION("""COMPUTED_VALUE"""),1.0)</f>
        <v>1</v>
      </c>
      <c r="N1317" s="213">
        <f>IFERROR(__xludf.DUMMYFUNCTION("""COMPUTED_VALUE"""),6.0)</f>
        <v>6</v>
      </c>
      <c r="O1317" s="213">
        <f>IFERROR(__xludf.DUMMYFUNCTION("""COMPUTED_VALUE"""),6.0)</f>
        <v>6</v>
      </c>
      <c r="P1317" s="213"/>
      <c r="Q1317" s="213"/>
      <c r="R1317" s="213"/>
      <c r="S1317" s="213"/>
      <c r="T1317" s="213"/>
      <c r="U1317" s="213"/>
      <c r="V1317" s="213"/>
      <c r="W1317" s="213"/>
      <c r="X1317" s="213"/>
      <c r="Y1317" s="213"/>
      <c r="Z1317" s="213"/>
      <c r="AA1317" s="213"/>
      <c r="AB1317" s="213"/>
      <c r="AC1317" s="213"/>
      <c r="AD1317" s="213"/>
      <c r="AE1317" s="213"/>
      <c r="AF1317" s="213"/>
      <c r="AG1317" s="213"/>
      <c r="AH1317" s="213"/>
      <c r="AI1317" s="213"/>
      <c r="AJ1317" s="213"/>
      <c r="AK1317" s="213"/>
      <c r="AL1317" s="213"/>
      <c r="AM1317" s="213"/>
      <c r="AN1317" s="213"/>
      <c r="AO1317" s="213"/>
      <c r="AP1317" s="213"/>
      <c r="AQ1317" s="213"/>
      <c r="AR1317" s="213"/>
      <c r="AS1317" s="213"/>
      <c r="AT1317" s="213"/>
      <c r="AU1317" s="213"/>
      <c r="AV1317" s="213"/>
      <c r="AW1317" s="213"/>
      <c r="AX1317" s="213"/>
      <c r="AY1317" s="213"/>
      <c r="AZ1317" s="213"/>
      <c r="BA1317" s="213"/>
      <c r="BB1317" s="213"/>
      <c r="BC1317" s="213"/>
      <c r="BD1317" s="213"/>
    </row>
    <row r="1318">
      <c r="A1318" s="213">
        <f>IFERROR(__xludf.DUMMYFUNCTION("""COMPUTED_VALUE"""),2655.0)</f>
        <v>2655</v>
      </c>
      <c r="B1318" s="213" t="str">
        <f>IFERROR(__xludf.DUMMYFUNCTION("""COMPUTED_VALUE"""),"MANUEL ANTONIO MESONES MURO")</f>
        <v>MANUEL ANTONIO MESONES MURO</v>
      </c>
      <c r="C1318" s="213" t="str">
        <f>IFERROR(__xludf.DUMMYFUNCTION("""COMPUTED_VALUE"""),"TALLER SFT DE EBANISTERÍA")</f>
        <v>TALLER SFT DE EBANISTERÍA</v>
      </c>
      <c r="D1318" s="213" t="str">
        <f>IFERROR(__xludf.DUMMYFUNCTION("""COMPUTED_VALUE"""),"PEDAGOGICO")</f>
        <v>PEDAGOGICO</v>
      </c>
      <c r="E1318" s="213" t="str">
        <f>IFERROR(__xludf.DUMMYFUNCTION("""COMPUTED_VALUE"""),"MAT-261")</f>
        <v>MAT-261</v>
      </c>
      <c r="F1318" s="213" t="str">
        <f>IFERROR(__xludf.DUMMYFUNCTION("""COMPUTED_VALUE"""),"KEFF-02")</f>
        <v>KEFF-02</v>
      </c>
      <c r="G1318" s="213"/>
      <c r="H1318" s="213" t="str">
        <f>IFERROR(__xludf.DUMMYFUNCTION("""COMPUTED_VALUE"""),"MANUAL DE MANTENIMIENTO POR CADA EQUIPO DE IDENTIFICACIÓN DE NECESIDADES Y PROBLEMAS")</f>
        <v>MANUAL DE MANTENIMIENTO POR CADA EQUIPO DE IDENTIFICACIÓN DE NECESIDADES Y PROBLEMAS</v>
      </c>
      <c r="I131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 Descripción de los materiales que se requiere para su mantenimiento.
· Descripción de los procedimientos para realizar el mantenimiento preventivo de cada equipo.</v>
      </c>
      <c r="J1318" s="213">
        <f>IFERROR(__xludf.DUMMYFUNCTION("""COMPUTED_VALUE"""),3.0)</f>
        <v>3</v>
      </c>
      <c r="K1318" s="213" t="str">
        <f>IFERROR(__xludf.DUMMYFUNCTION("""COMPUTED_VALUE"""),"170 DÍAS CALENDARIO")</f>
        <v>170 DÍAS CALENDARIO</v>
      </c>
      <c r="L1318" s="213" t="str">
        <f>IFERROR(__xludf.DUMMYFUNCTION("""COMPUTED_VALUE"""),"")</f>
        <v/>
      </c>
      <c r="M1318" s="213">
        <f>IFERROR(__xludf.DUMMYFUNCTION("""COMPUTED_VALUE"""),1.0)</f>
        <v>1</v>
      </c>
      <c r="N1318" s="213">
        <f>IFERROR(__xludf.DUMMYFUNCTION("""COMPUTED_VALUE"""),6.0)</f>
        <v>6</v>
      </c>
      <c r="O1318" s="213">
        <f>IFERROR(__xludf.DUMMYFUNCTION("""COMPUTED_VALUE"""),6.0)</f>
        <v>6</v>
      </c>
      <c r="P1318" s="213"/>
      <c r="Q1318" s="213"/>
      <c r="R1318" s="213"/>
      <c r="S1318" s="213"/>
      <c r="T1318" s="213"/>
      <c r="U1318" s="213"/>
      <c r="V1318" s="213"/>
      <c r="W1318" s="213"/>
      <c r="X1318" s="213"/>
      <c r="Y1318" s="213"/>
      <c r="Z1318" s="213"/>
      <c r="AA1318" s="213"/>
      <c r="AB1318" s="213"/>
      <c r="AC1318" s="213"/>
      <c r="AD1318" s="213"/>
      <c r="AE1318" s="213"/>
      <c r="AF1318" s="213"/>
      <c r="AG1318" s="213"/>
      <c r="AH1318" s="213"/>
      <c r="AI1318" s="213"/>
      <c r="AJ1318" s="213"/>
      <c r="AK1318" s="213"/>
      <c r="AL1318" s="213"/>
      <c r="AM1318" s="213"/>
      <c r="AN1318" s="213"/>
      <c r="AO1318" s="213"/>
      <c r="AP1318" s="213"/>
      <c r="AQ1318" s="213"/>
      <c r="AR1318" s="213"/>
      <c r="AS1318" s="213"/>
      <c r="AT1318" s="213"/>
      <c r="AU1318" s="213"/>
      <c r="AV1318" s="213"/>
      <c r="AW1318" s="213"/>
      <c r="AX1318" s="213"/>
      <c r="AY1318" s="213"/>
      <c r="AZ1318" s="213"/>
      <c r="BA1318" s="213"/>
      <c r="BB1318" s="213"/>
      <c r="BC1318" s="213"/>
      <c r="BD1318" s="213"/>
    </row>
    <row r="1319">
      <c r="A1319" s="213">
        <f>IFERROR(__xludf.DUMMYFUNCTION("""COMPUTED_VALUE"""),598.0)</f>
        <v>598</v>
      </c>
      <c r="B1319" s="213" t="str">
        <f>IFERROR(__xludf.DUMMYFUNCTION("""COMPUTED_VALUE"""),"2026 SIMON BOLIVAR")</f>
        <v>2026 SIMON BOLIVAR</v>
      </c>
      <c r="C1319" s="213" t="str">
        <f>IFERROR(__xludf.DUMMYFUNCTION("""COMPUTED_VALUE"""),"TALLER SFT DE INDUSTRIA ALIMENTARIA")</f>
        <v>TALLER SFT DE INDUSTRIA ALIMENTARIA</v>
      </c>
      <c r="D1319" s="213" t="str">
        <f>IFERROR(__xludf.DUMMYFUNCTION("""COMPUTED_VALUE"""),"PEDAGOGICO")</f>
        <v>PEDAGOGICO</v>
      </c>
      <c r="E1319" s="213" t="str">
        <f>IFERROR(__xludf.DUMMYFUNCTION("""COMPUTED_VALUE"""),"MAT-264")</f>
        <v>MAT-264</v>
      </c>
      <c r="F1319" s="213" t="str">
        <f>IFERROR(__xludf.DUMMYFUNCTION("""COMPUTED_VALUE"""),"KEFF-51")</f>
        <v>KEFF-51</v>
      </c>
      <c r="G1319" s="213"/>
      <c r="H1319" s="213" t="str">
        <f>IFERROR(__xludf.DUMMYFUNCTION("""COMPUTED_VALUE"""),"MANUAL DE MANTENIMIENTO POR CADA EQUIPO DE PROCESAMIENTO DE CACAO, CAFÉ, QUINUA Y OTROS")</f>
        <v>MANUAL DE MANTENIMIENTO POR CADA EQUIPO DE PROCESAMIENTO DE CACAO, CAFÉ, QUINUA Y OTROS</v>
      </c>
      <c r="I131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cacao,café, quinua y otros.
- Descripción de los materiales que se requiere para su mantenimiento.
- Descripción de los procedimientos para realizar el mantenimiento preventivo de cada equip"&amp;"o.")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cacao,café, quinua y otros.
- Descripción de los materiales que se requiere para su mantenimiento.
- Descripción de los procedimientos para realizar el mantenimiento preventivo de cada equipo.</v>
      </c>
      <c r="J1319" s="213">
        <f>IFERROR(__xludf.DUMMYFUNCTION("""COMPUTED_VALUE"""),3.0)</f>
        <v>3</v>
      </c>
      <c r="K1319" s="213" t="str">
        <f>IFERROR(__xludf.DUMMYFUNCTION("""COMPUTED_VALUE"""),"170 DÍAS CALENDARIO")</f>
        <v>170 DÍAS CALENDARIO</v>
      </c>
      <c r="L1319" s="213" t="str">
        <f>IFERROR(__xludf.DUMMYFUNCTION("""COMPUTED_VALUE"""),"")</f>
        <v/>
      </c>
      <c r="M1319" s="213">
        <f>IFERROR(__xludf.DUMMYFUNCTION("""COMPUTED_VALUE"""),1.0)</f>
        <v>1</v>
      </c>
      <c r="N1319" s="213">
        <f>IFERROR(__xludf.DUMMYFUNCTION("""COMPUTED_VALUE"""),6.0)</f>
        <v>6</v>
      </c>
      <c r="O1319" s="213">
        <f>IFERROR(__xludf.DUMMYFUNCTION("""COMPUTED_VALUE"""),6.0)</f>
        <v>6</v>
      </c>
      <c r="P1319" s="213"/>
      <c r="Q1319" s="213"/>
      <c r="R1319" s="213"/>
      <c r="S1319" s="213"/>
      <c r="T1319" s="213"/>
      <c r="U1319" s="213"/>
      <c r="V1319" s="213"/>
      <c r="W1319" s="213"/>
      <c r="X1319" s="213"/>
      <c r="Y1319" s="213"/>
      <c r="Z1319" s="213"/>
      <c r="AA1319" s="213"/>
      <c r="AB1319" s="213"/>
      <c r="AC1319" s="213"/>
      <c r="AD1319" s="213"/>
      <c r="AE1319" s="213"/>
      <c r="AF1319" s="213"/>
      <c r="AG1319" s="213"/>
      <c r="AH1319" s="213"/>
      <c r="AI1319" s="213"/>
      <c r="AJ1319" s="213"/>
      <c r="AK1319" s="213"/>
      <c r="AL1319" s="213"/>
      <c r="AM1319" s="213"/>
      <c r="AN1319" s="213"/>
      <c r="AO1319" s="213"/>
      <c r="AP1319" s="213"/>
      <c r="AQ1319" s="213"/>
      <c r="AR1319" s="213"/>
      <c r="AS1319" s="213"/>
      <c r="AT1319" s="213"/>
      <c r="AU1319" s="213"/>
      <c r="AV1319" s="213"/>
      <c r="AW1319" s="213"/>
      <c r="AX1319" s="213"/>
      <c r="AY1319" s="213"/>
      <c r="AZ1319" s="213"/>
      <c r="BA1319" s="213"/>
      <c r="BB1319" s="213"/>
      <c r="BC1319" s="213"/>
      <c r="BD1319" s="213"/>
    </row>
    <row r="1320">
      <c r="A1320" s="213">
        <f>IFERROR(__xludf.DUMMYFUNCTION("""COMPUTED_VALUE"""),1224.0)</f>
        <v>1224</v>
      </c>
      <c r="B1320" s="213" t="str">
        <f>IFERROR(__xludf.DUMMYFUNCTION("""COMPUTED_VALUE"""),"FRANCISCO IRAZOLA")</f>
        <v>FRANCISCO IRAZOLA</v>
      </c>
      <c r="C1320" s="213" t="str">
        <f>IFERROR(__xludf.DUMMYFUNCTION("""COMPUTED_VALUE"""),"TALLER SFT DE INDUSTRIA ALIMENTARIA")</f>
        <v>TALLER SFT DE INDUSTRIA ALIMENTARIA</v>
      </c>
      <c r="D1320" s="213" t="str">
        <f>IFERROR(__xludf.DUMMYFUNCTION("""COMPUTED_VALUE"""),"PEDAGOGICO")</f>
        <v>PEDAGOGICO</v>
      </c>
      <c r="E1320" s="213" t="str">
        <f>IFERROR(__xludf.DUMMYFUNCTION("""COMPUTED_VALUE"""),"MAT-264")</f>
        <v>MAT-264</v>
      </c>
      <c r="F1320" s="213" t="str">
        <f>IFERROR(__xludf.DUMMYFUNCTION("""COMPUTED_VALUE"""),"KEFF-51")</f>
        <v>KEFF-51</v>
      </c>
      <c r="G1320" s="213"/>
      <c r="H1320" s="213" t="str">
        <f>IFERROR(__xludf.DUMMYFUNCTION("""COMPUTED_VALUE"""),"MANUAL DE MANTENIMIENTO POR CADA EQUIPO DE PROCESAMIENTO DE CACAO, CAFÉ, QUINUA Y OTROS")</f>
        <v>MANUAL DE MANTENIMIENTO POR CADA EQUIPO DE PROCESAMIENTO DE CACAO, CAFÉ, QUINUA Y OTROS</v>
      </c>
      <c r="I132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cacao,café, quinua y otros.
- Descripción de los materiales que se requiere para su mantenimiento.
- Descripción de los procedimientos para realizar el mantenimiento preventivo de cada equip"&amp;"o.")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cacao,café, quinua y otros.
- Descripción de los materiales que se requiere para su mantenimiento.
- Descripción de los procedimientos para realizar el mantenimiento preventivo de cada equipo.</v>
      </c>
      <c r="J1320" s="213">
        <f>IFERROR(__xludf.DUMMYFUNCTION("""COMPUTED_VALUE"""),3.0)</f>
        <v>3</v>
      </c>
      <c r="K1320" s="213" t="str">
        <f>IFERROR(__xludf.DUMMYFUNCTION("""COMPUTED_VALUE"""),"170 DÍAS CALENDARIO")</f>
        <v>170 DÍAS CALENDARIO</v>
      </c>
      <c r="L1320" s="213" t="str">
        <f>IFERROR(__xludf.DUMMYFUNCTION("""COMPUTED_VALUE"""),"")</f>
        <v/>
      </c>
      <c r="M1320" s="213">
        <f>IFERROR(__xludf.DUMMYFUNCTION("""COMPUTED_VALUE"""),1.0)</f>
        <v>1</v>
      </c>
      <c r="N1320" s="213">
        <f>IFERROR(__xludf.DUMMYFUNCTION("""COMPUTED_VALUE"""),6.0)</f>
        <v>6</v>
      </c>
      <c r="O1320" s="213">
        <f>IFERROR(__xludf.DUMMYFUNCTION("""COMPUTED_VALUE"""),6.0)</f>
        <v>6</v>
      </c>
      <c r="P1320" s="213"/>
      <c r="Q1320" s="213"/>
      <c r="R1320" s="213"/>
      <c r="S1320" s="213"/>
      <c r="T1320" s="213"/>
      <c r="U1320" s="213"/>
      <c r="V1320" s="213"/>
      <c r="W1320" s="213"/>
      <c r="X1320" s="213"/>
      <c r="Y1320" s="213"/>
      <c r="Z1320" s="213"/>
      <c r="AA1320" s="213"/>
      <c r="AB1320" s="213"/>
      <c r="AC1320" s="213"/>
      <c r="AD1320" s="213"/>
      <c r="AE1320" s="213"/>
      <c r="AF1320" s="213"/>
      <c r="AG1320" s="213"/>
      <c r="AH1320" s="213"/>
      <c r="AI1320" s="213"/>
      <c r="AJ1320" s="213"/>
      <c r="AK1320" s="213"/>
      <c r="AL1320" s="213"/>
      <c r="AM1320" s="213"/>
      <c r="AN1320" s="213"/>
      <c r="AO1320" s="213"/>
      <c r="AP1320" s="213"/>
      <c r="AQ1320" s="213"/>
      <c r="AR1320" s="213"/>
      <c r="AS1320" s="213"/>
      <c r="AT1320" s="213"/>
      <c r="AU1320" s="213"/>
      <c r="AV1320" s="213"/>
      <c r="AW1320" s="213"/>
      <c r="AX1320" s="213"/>
      <c r="AY1320" s="213"/>
      <c r="AZ1320" s="213"/>
      <c r="BA1320" s="213"/>
      <c r="BB1320" s="213"/>
      <c r="BC1320" s="213"/>
      <c r="BD1320" s="213"/>
    </row>
    <row r="1321">
      <c r="A1321" s="213">
        <f>IFERROR(__xludf.DUMMYFUNCTION("""COMPUTED_VALUE"""),1495.0)</f>
        <v>1495</v>
      </c>
      <c r="B1321" s="213" t="str">
        <f>IFERROR(__xludf.DUMMYFUNCTION("""COMPUTED_VALUE"""),"GUILLERMO E. BILLINGHURST ")</f>
        <v>GUILLERMO E. BILLINGHURST </v>
      </c>
      <c r="C1321" s="213" t="str">
        <f>IFERROR(__xludf.DUMMYFUNCTION("""COMPUTED_VALUE"""),"TALLER SFT DE INDUSTRIA ALIMENTARIA")</f>
        <v>TALLER SFT DE INDUSTRIA ALIMENTARIA</v>
      </c>
      <c r="D1321" s="213" t="str">
        <f>IFERROR(__xludf.DUMMYFUNCTION("""COMPUTED_VALUE"""),"PEDAGOGICO")</f>
        <v>PEDAGOGICO</v>
      </c>
      <c r="E1321" s="213" t="str">
        <f>IFERROR(__xludf.DUMMYFUNCTION("""COMPUTED_VALUE"""),"MAT-264")</f>
        <v>MAT-264</v>
      </c>
      <c r="F1321" s="213" t="str">
        <f>IFERROR(__xludf.DUMMYFUNCTION("""COMPUTED_VALUE"""),"KEFF-51")</f>
        <v>KEFF-51</v>
      </c>
      <c r="G1321" s="213"/>
      <c r="H1321" s="213" t="str">
        <f>IFERROR(__xludf.DUMMYFUNCTION("""COMPUTED_VALUE"""),"MANUAL DE MANTENIMIENTO POR CADA EQUIPO DE PROCESAMIENTO DE CACAO, CAFÉ, QUINUA Y OTROS")</f>
        <v>MANUAL DE MANTENIMIENTO POR CADA EQUIPO DE PROCESAMIENTO DE CACAO, CAFÉ, QUINUA Y OTROS</v>
      </c>
      <c r="I132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cacao,café, quinua y otros.
- Descripción de los materiales que se requiere para su mantenimiento.
- Descripción de los procedimientos para realizar el mantenimiento preventivo de cada equip"&amp;"o.")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cacao,café, quinua y otros.
- Descripción de los materiales que se requiere para su mantenimiento.
- Descripción de los procedimientos para realizar el mantenimiento preventivo de cada equipo.</v>
      </c>
      <c r="J1321" s="213">
        <f>IFERROR(__xludf.DUMMYFUNCTION("""COMPUTED_VALUE"""),3.0)</f>
        <v>3</v>
      </c>
      <c r="K1321" s="213" t="str">
        <f>IFERROR(__xludf.DUMMYFUNCTION("""COMPUTED_VALUE"""),"170 DÍAS CALENDARIO")</f>
        <v>170 DÍAS CALENDARIO</v>
      </c>
      <c r="L1321" s="213" t="str">
        <f>IFERROR(__xludf.DUMMYFUNCTION("""COMPUTED_VALUE"""),"")</f>
        <v/>
      </c>
      <c r="M1321" s="213">
        <f>IFERROR(__xludf.DUMMYFUNCTION("""COMPUTED_VALUE"""),1.0)</f>
        <v>1</v>
      </c>
      <c r="N1321" s="213">
        <f>IFERROR(__xludf.DUMMYFUNCTION("""COMPUTED_VALUE"""),6.0)</f>
        <v>6</v>
      </c>
      <c r="O1321" s="213">
        <f>IFERROR(__xludf.DUMMYFUNCTION("""COMPUTED_VALUE"""),6.0)</f>
        <v>6</v>
      </c>
      <c r="P1321" s="213"/>
      <c r="Q1321" s="213"/>
      <c r="R1321" s="213"/>
      <c r="S1321" s="213"/>
      <c r="T1321" s="213"/>
      <c r="U1321" s="213"/>
      <c r="V1321" s="213"/>
      <c r="W1321" s="213"/>
      <c r="X1321" s="213"/>
      <c r="Y1321" s="213"/>
      <c r="Z1321" s="213"/>
      <c r="AA1321" s="213"/>
      <c r="AB1321" s="213"/>
      <c r="AC1321" s="213"/>
      <c r="AD1321" s="213"/>
      <c r="AE1321" s="213"/>
      <c r="AF1321" s="213"/>
      <c r="AG1321" s="213"/>
      <c r="AH1321" s="213"/>
      <c r="AI1321" s="213"/>
      <c r="AJ1321" s="213"/>
      <c r="AK1321" s="213"/>
      <c r="AL1321" s="213"/>
      <c r="AM1321" s="213"/>
      <c r="AN1321" s="213"/>
      <c r="AO1321" s="213"/>
      <c r="AP1321" s="213"/>
      <c r="AQ1321" s="213"/>
      <c r="AR1321" s="213"/>
      <c r="AS1321" s="213"/>
      <c r="AT1321" s="213"/>
      <c r="AU1321" s="213"/>
      <c r="AV1321" s="213"/>
      <c r="AW1321" s="213"/>
      <c r="AX1321" s="213"/>
      <c r="AY1321" s="213"/>
      <c r="AZ1321" s="213"/>
      <c r="BA1321" s="213"/>
      <c r="BB1321" s="213"/>
      <c r="BC1321" s="213"/>
      <c r="BD1321" s="213"/>
    </row>
    <row r="1322">
      <c r="A1322" s="213">
        <f>IFERROR(__xludf.DUMMYFUNCTION("""COMPUTED_VALUE"""),2187.0)</f>
        <v>2187</v>
      </c>
      <c r="B1322" s="213" t="str">
        <f>IFERROR(__xludf.DUMMYFUNCTION("""COMPUTED_VALUE"""),"JOSE GRANDA")</f>
        <v>JOSE GRANDA</v>
      </c>
      <c r="C1322" s="213" t="str">
        <f>IFERROR(__xludf.DUMMYFUNCTION("""COMPUTED_VALUE"""),"TALLER SFT DE INDUSTRIA ALIMENTARIA")</f>
        <v>TALLER SFT DE INDUSTRIA ALIMENTARIA</v>
      </c>
      <c r="D1322" s="213" t="str">
        <f>IFERROR(__xludf.DUMMYFUNCTION("""COMPUTED_VALUE"""),"PEDAGOGICO")</f>
        <v>PEDAGOGICO</v>
      </c>
      <c r="E1322" s="213" t="str">
        <f>IFERROR(__xludf.DUMMYFUNCTION("""COMPUTED_VALUE"""),"MAT-264")</f>
        <v>MAT-264</v>
      </c>
      <c r="F1322" s="213" t="str">
        <f>IFERROR(__xludf.DUMMYFUNCTION("""COMPUTED_VALUE"""),"KEFF-51")</f>
        <v>KEFF-51</v>
      </c>
      <c r="G1322" s="213"/>
      <c r="H1322" s="213" t="str">
        <f>IFERROR(__xludf.DUMMYFUNCTION("""COMPUTED_VALUE"""),"MANUAL DE MANTENIMIENTO POR CADA EQUIPO DE PROCESAMIENTO DE CACAO, CAFÉ, QUINUA Y OTROS")</f>
        <v>MANUAL DE MANTENIMIENTO POR CADA EQUIPO DE PROCESAMIENTO DE CACAO, CAFÉ, QUINUA Y OTROS</v>
      </c>
      <c r="I132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cacao,café, quinua y otros.
- Descripción de los materiales que se requiere para su mantenimiento.
- Descripción de los procedimientos para realizar el mantenimiento preventivo de cada equip"&amp;"o.")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cacao,café, quinua y otros.
- Descripción de los materiales que se requiere para su mantenimiento.
- Descripción de los procedimientos para realizar el mantenimiento preventivo de cada equipo.</v>
      </c>
      <c r="J1322" s="213">
        <f>IFERROR(__xludf.DUMMYFUNCTION("""COMPUTED_VALUE"""),3.0)</f>
        <v>3</v>
      </c>
      <c r="K1322" s="213" t="str">
        <f>IFERROR(__xludf.DUMMYFUNCTION("""COMPUTED_VALUE"""),"170 DÍAS CALENDARIO")</f>
        <v>170 DÍAS CALENDARIO</v>
      </c>
      <c r="L1322" s="213" t="str">
        <f>IFERROR(__xludf.DUMMYFUNCTION("""COMPUTED_VALUE"""),"")</f>
        <v/>
      </c>
      <c r="M1322" s="213">
        <f>IFERROR(__xludf.DUMMYFUNCTION("""COMPUTED_VALUE"""),1.0)</f>
        <v>1</v>
      </c>
      <c r="N1322" s="213">
        <f>IFERROR(__xludf.DUMMYFUNCTION("""COMPUTED_VALUE"""),6.0)</f>
        <v>6</v>
      </c>
      <c r="O1322" s="213">
        <f>IFERROR(__xludf.DUMMYFUNCTION("""COMPUTED_VALUE"""),6.0)</f>
        <v>6</v>
      </c>
      <c r="P1322" s="213"/>
      <c r="Q1322" s="213"/>
      <c r="R1322" s="213"/>
      <c r="S1322" s="213"/>
      <c r="T1322" s="213"/>
      <c r="U1322" s="213"/>
      <c r="V1322" s="213"/>
      <c r="W1322" s="213"/>
      <c r="X1322" s="213"/>
      <c r="Y1322" s="213"/>
      <c r="Z1322" s="213"/>
      <c r="AA1322" s="213"/>
      <c r="AB1322" s="213"/>
      <c r="AC1322" s="213"/>
      <c r="AD1322" s="213"/>
      <c r="AE1322" s="213"/>
      <c r="AF1322" s="213"/>
      <c r="AG1322" s="213"/>
      <c r="AH1322" s="213"/>
      <c r="AI1322" s="213"/>
      <c r="AJ1322" s="213"/>
      <c r="AK1322" s="213"/>
      <c r="AL1322" s="213"/>
      <c r="AM1322" s="213"/>
      <c r="AN1322" s="213"/>
      <c r="AO1322" s="213"/>
      <c r="AP1322" s="213"/>
      <c r="AQ1322" s="213"/>
      <c r="AR1322" s="213"/>
      <c r="AS1322" s="213"/>
      <c r="AT1322" s="213"/>
      <c r="AU1322" s="213"/>
      <c r="AV1322" s="213"/>
      <c r="AW1322" s="213"/>
      <c r="AX1322" s="213"/>
      <c r="AY1322" s="213"/>
      <c r="AZ1322" s="213"/>
      <c r="BA1322" s="213"/>
      <c r="BB1322" s="213"/>
      <c r="BC1322" s="213"/>
      <c r="BD1322" s="213"/>
    </row>
    <row r="1323">
      <c r="A1323" s="213">
        <f>IFERROR(__xludf.DUMMYFUNCTION("""COMPUTED_VALUE"""),588.0)</f>
        <v>588</v>
      </c>
      <c r="B1323" s="213" t="str">
        <f>IFERROR(__xludf.DUMMYFUNCTION("""COMPUTED_VALUE"""),"2026 SIMON BOLIVAR")</f>
        <v>2026 SIMON BOLIVAR</v>
      </c>
      <c r="C1323" s="213" t="str">
        <f>IFERROR(__xludf.DUMMYFUNCTION("""COMPUTED_VALUE"""),"TALLER SFT DE INDUSTRIA ALIMENTARIA")</f>
        <v>TALLER SFT DE INDUSTRIA ALIMENTARIA</v>
      </c>
      <c r="D1323" s="213" t="str">
        <f>IFERROR(__xludf.DUMMYFUNCTION("""COMPUTED_VALUE"""),"PEDAGOGICO")</f>
        <v>PEDAGOGICO</v>
      </c>
      <c r="E1323" s="213" t="str">
        <f>IFERROR(__xludf.DUMMYFUNCTION("""COMPUTED_VALUE"""),"MAT-265")</f>
        <v>MAT-265</v>
      </c>
      <c r="F1323" s="213" t="str">
        <f>IFERROR(__xludf.DUMMYFUNCTION("""COMPUTED_VALUE"""),"KEFF-48")</f>
        <v>KEFF-48</v>
      </c>
      <c r="G1323" s="213"/>
      <c r="H1323" s="213" t="str">
        <f>IFERROR(__xludf.DUMMYFUNCTION("""COMPUTED_VALUE"""),"MANUAL DE MANTENIMIENTO POR CADA EQUIPO DE PROCESAMIENTO DE LACTEOS Y SUS DERIVADOS")</f>
        <v>MANUAL DE MANTENIMIENTO POR CADA EQUIPO DE PROCESAMIENTO DE LACTEOS Y SUS DERIVADOS</v>
      </c>
      <c r="I132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los ti"&amp;"pos de mantenimiento que requiere cada equipo de procesamiento de lácteos y sus derivados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los tipos de mantenimiento que requiere cada equipo de procesamiento de lácteos y sus derivados
- Descripción de los materiales que se requiere para su mantenimiento.
- Descripción de los procedimientos para realizar el mantenimiento preventivo de cada equipo.</v>
      </c>
      <c r="J1323" s="213">
        <f>IFERROR(__xludf.DUMMYFUNCTION("""COMPUTED_VALUE"""),3.0)</f>
        <v>3</v>
      </c>
      <c r="K1323" s="213" t="str">
        <f>IFERROR(__xludf.DUMMYFUNCTION("""COMPUTED_VALUE"""),"170 DÍAS CALENDARIO")</f>
        <v>170 DÍAS CALENDARIO</v>
      </c>
      <c r="L1323" s="213" t="str">
        <f>IFERROR(__xludf.DUMMYFUNCTION("""COMPUTED_VALUE"""),"")</f>
        <v/>
      </c>
      <c r="M1323" s="213">
        <f>IFERROR(__xludf.DUMMYFUNCTION("""COMPUTED_VALUE"""),1.0)</f>
        <v>1</v>
      </c>
      <c r="N1323" s="213">
        <f>IFERROR(__xludf.DUMMYFUNCTION("""COMPUTED_VALUE"""),6.0)</f>
        <v>6</v>
      </c>
      <c r="O1323" s="213">
        <f>IFERROR(__xludf.DUMMYFUNCTION("""COMPUTED_VALUE"""),6.0)</f>
        <v>6</v>
      </c>
      <c r="P1323" s="213"/>
      <c r="Q1323" s="213"/>
      <c r="R1323" s="213"/>
      <c r="S1323" s="213"/>
      <c r="T1323" s="213"/>
      <c r="U1323" s="213"/>
      <c r="V1323" s="213"/>
      <c r="W1323" s="213"/>
      <c r="X1323" s="213"/>
      <c r="Y1323" s="213"/>
      <c r="Z1323" s="213"/>
      <c r="AA1323" s="213"/>
      <c r="AB1323" s="213"/>
      <c r="AC1323" s="213"/>
      <c r="AD1323" s="213"/>
      <c r="AE1323" s="213"/>
      <c r="AF1323" s="213"/>
      <c r="AG1323" s="213"/>
      <c r="AH1323" s="213"/>
      <c r="AI1323" s="213"/>
      <c r="AJ1323" s="213"/>
      <c r="AK1323" s="213"/>
      <c r="AL1323" s="213"/>
      <c r="AM1323" s="213"/>
      <c r="AN1323" s="213"/>
      <c r="AO1323" s="213"/>
      <c r="AP1323" s="213"/>
      <c r="AQ1323" s="213"/>
      <c r="AR1323" s="213"/>
      <c r="AS1323" s="213"/>
      <c r="AT1323" s="213"/>
      <c r="AU1323" s="213"/>
      <c r="AV1323" s="213"/>
      <c r="AW1323" s="213"/>
      <c r="AX1323" s="213"/>
      <c r="AY1323" s="213"/>
      <c r="AZ1323" s="213"/>
      <c r="BA1323" s="213"/>
      <c r="BB1323" s="213"/>
      <c r="BC1323" s="213"/>
      <c r="BD1323" s="213"/>
    </row>
    <row r="1324">
      <c r="A1324" s="213">
        <f>IFERROR(__xludf.DUMMYFUNCTION("""COMPUTED_VALUE"""),1214.0)</f>
        <v>1214</v>
      </c>
      <c r="B1324" s="213" t="str">
        <f>IFERROR(__xludf.DUMMYFUNCTION("""COMPUTED_VALUE"""),"FRANCISCO IRAZOLA")</f>
        <v>FRANCISCO IRAZOLA</v>
      </c>
      <c r="C1324" s="213" t="str">
        <f>IFERROR(__xludf.DUMMYFUNCTION("""COMPUTED_VALUE"""),"TALLER SFT DE INDUSTRIA ALIMENTARIA")</f>
        <v>TALLER SFT DE INDUSTRIA ALIMENTARIA</v>
      </c>
      <c r="D1324" s="213" t="str">
        <f>IFERROR(__xludf.DUMMYFUNCTION("""COMPUTED_VALUE"""),"PEDAGOGICO")</f>
        <v>PEDAGOGICO</v>
      </c>
      <c r="E1324" s="213" t="str">
        <f>IFERROR(__xludf.DUMMYFUNCTION("""COMPUTED_VALUE"""),"MAT-265")</f>
        <v>MAT-265</v>
      </c>
      <c r="F1324" s="213" t="str">
        <f>IFERROR(__xludf.DUMMYFUNCTION("""COMPUTED_VALUE"""),"KEFF-48")</f>
        <v>KEFF-48</v>
      </c>
      <c r="G1324" s="213"/>
      <c r="H1324" s="213" t="str">
        <f>IFERROR(__xludf.DUMMYFUNCTION("""COMPUTED_VALUE"""),"MANUAL DE MANTENIMIENTO POR CADA EQUIPO DE PROCESAMIENTO DE LACTEOS Y SUS DERIVADOS")</f>
        <v>MANUAL DE MANTENIMIENTO POR CADA EQUIPO DE PROCESAMIENTO DE LACTEOS Y SUS DERIVADOS</v>
      </c>
      <c r="I132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los ti"&amp;"pos de mantenimiento que requiere cada equipo de procesamiento de lácteos y sus derivados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los tipos de mantenimiento que requiere cada equipo de procesamiento de lácteos y sus derivados
- Descripción de los materiales que se requiere para su mantenimiento.
- Descripción de los procedimientos para realizar el mantenimiento preventivo de cada equipo.</v>
      </c>
      <c r="J1324" s="213">
        <f>IFERROR(__xludf.DUMMYFUNCTION("""COMPUTED_VALUE"""),3.0)</f>
        <v>3</v>
      </c>
      <c r="K1324" s="213" t="str">
        <f>IFERROR(__xludf.DUMMYFUNCTION("""COMPUTED_VALUE"""),"170 DÍAS CALENDARIO")</f>
        <v>170 DÍAS CALENDARIO</v>
      </c>
      <c r="L1324" s="213" t="str">
        <f>IFERROR(__xludf.DUMMYFUNCTION("""COMPUTED_VALUE"""),"")</f>
        <v/>
      </c>
      <c r="M1324" s="213">
        <f>IFERROR(__xludf.DUMMYFUNCTION("""COMPUTED_VALUE"""),1.0)</f>
        <v>1</v>
      </c>
      <c r="N1324" s="213">
        <f>IFERROR(__xludf.DUMMYFUNCTION("""COMPUTED_VALUE"""),6.0)</f>
        <v>6</v>
      </c>
      <c r="O1324" s="213">
        <f>IFERROR(__xludf.DUMMYFUNCTION("""COMPUTED_VALUE"""),6.0)</f>
        <v>6</v>
      </c>
      <c r="P1324" s="213"/>
      <c r="Q1324" s="213"/>
      <c r="R1324" s="213"/>
      <c r="S1324" s="213"/>
      <c r="T1324" s="213"/>
      <c r="U1324" s="213"/>
      <c r="V1324" s="213"/>
      <c r="W1324" s="213"/>
      <c r="X1324" s="213"/>
      <c r="Y1324" s="213"/>
      <c r="Z1324" s="213"/>
      <c r="AA1324" s="213"/>
      <c r="AB1324" s="213"/>
      <c r="AC1324" s="213"/>
      <c r="AD1324" s="213"/>
      <c r="AE1324" s="213"/>
      <c r="AF1324" s="213"/>
      <c r="AG1324" s="213"/>
      <c r="AH1324" s="213"/>
      <c r="AI1324" s="213"/>
      <c r="AJ1324" s="213"/>
      <c r="AK1324" s="213"/>
      <c r="AL1324" s="213"/>
      <c r="AM1324" s="213"/>
      <c r="AN1324" s="213"/>
      <c r="AO1324" s="213"/>
      <c r="AP1324" s="213"/>
      <c r="AQ1324" s="213"/>
      <c r="AR1324" s="213"/>
      <c r="AS1324" s="213"/>
      <c r="AT1324" s="213"/>
      <c r="AU1324" s="213"/>
      <c r="AV1324" s="213"/>
      <c r="AW1324" s="213"/>
      <c r="AX1324" s="213"/>
      <c r="AY1324" s="213"/>
      <c r="AZ1324" s="213"/>
      <c r="BA1324" s="213"/>
      <c r="BB1324" s="213"/>
      <c r="BC1324" s="213"/>
      <c r="BD1324" s="213"/>
    </row>
    <row r="1325">
      <c r="A1325" s="213">
        <f>IFERROR(__xludf.DUMMYFUNCTION("""COMPUTED_VALUE"""),1485.0)</f>
        <v>1485</v>
      </c>
      <c r="B1325" s="213" t="str">
        <f>IFERROR(__xludf.DUMMYFUNCTION("""COMPUTED_VALUE"""),"GUILLERMO E. BILLINGHURST ")</f>
        <v>GUILLERMO E. BILLINGHURST </v>
      </c>
      <c r="C1325" s="213" t="str">
        <f>IFERROR(__xludf.DUMMYFUNCTION("""COMPUTED_VALUE"""),"TALLER SFT DE INDUSTRIA ALIMENTARIA")</f>
        <v>TALLER SFT DE INDUSTRIA ALIMENTARIA</v>
      </c>
      <c r="D1325" s="213" t="str">
        <f>IFERROR(__xludf.DUMMYFUNCTION("""COMPUTED_VALUE"""),"PEDAGOGICO")</f>
        <v>PEDAGOGICO</v>
      </c>
      <c r="E1325" s="213" t="str">
        <f>IFERROR(__xludf.DUMMYFUNCTION("""COMPUTED_VALUE"""),"MAT-265")</f>
        <v>MAT-265</v>
      </c>
      <c r="F1325" s="213" t="str">
        <f>IFERROR(__xludf.DUMMYFUNCTION("""COMPUTED_VALUE"""),"KEFF-48")</f>
        <v>KEFF-48</v>
      </c>
      <c r="G1325" s="213"/>
      <c r="H1325" s="213" t="str">
        <f>IFERROR(__xludf.DUMMYFUNCTION("""COMPUTED_VALUE"""),"MANUAL DE MANTENIMIENTO POR CADA EQUIPO DE PROCESAMIENTO DE LACTEOS Y SUS DERIVADOS")</f>
        <v>MANUAL DE MANTENIMIENTO POR CADA EQUIPO DE PROCESAMIENTO DE LACTEOS Y SUS DERIVADOS</v>
      </c>
      <c r="I132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los ti"&amp;"pos de mantenimiento que requiere cada equipo de procesamiento de lácteos y sus derivados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los tipos de mantenimiento que requiere cada equipo de procesamiento de lácteos y sus derivados
- Descripción de los materiales que se requiere para su mantenimiento.
- Descripción de los procedimientos para realizar el mantenimiento preventivo de cada equipo.</v>
      </c>
      <c r="J1325" s="213">
        <f>IFERROR(__xludf.DUMMYFUNCTION("""COMPUTED_VALUE"""),3.0)</f>
        <v>3</v>
      </c>
      <c r="K1325" s="213" t="str">
        <f>IFERROR(__xludf.DUMMYFUNCTION("""COMPUTED_VALUE"""),"170 DÍAS CALENDARIO")</f>
        <v>170 DÍAS CALENDARIO</v>
      </c>
      <c r="L1325" s="213" t="str">
        <f>IFERROR(__xludf.DUMMYFUNCTION("""COMPUTED_VALUE"""),"")</f>
        <v/>
      </c>
      <c r="M1325" s="213">
        <f>IFERROR(__xludf.DUMMYFUNCTION("""COMPUTED_VALUE"""),1.0)</f>
        <v>1</v>
      </c>
      <c r="N1325" s="213">
        <f>IFERROR(__xludf.DUMMYFUNCTION("""COMPUTED_VALUE"""),6.0)</f>
        <v>6</v>
      </c>
      <c r="O1325" s="213">
        <f>IFERROR(__xludf.DUMMYFUNCTION("""COMPUTED_VALUE"""),6.0)</f>
        <v>6</v>
      </c>
      <c r="P1325" s="213"/>
      <c r="Q1325" s="213"/>
      <c r="R1325" s="213"/>
      <c r="S1325" s="213"/>
      <c r="T1325" s="213"/>
      <c r="U1325" s="213"/>
      <c r="V1325" s="213"/>
      <c r="W1325" s="213"/>
      <c r="X1325" s="213"/>
      <c r="Y1325" s="213"/>
      <c r="Z1325" s="213"/>
      <c r="AA1325" s="213"/>
      <c r="AB1325" s="213"/>
      <c r="AC1325" s="213"/>
      <c r="AD1325" s="213"/>
      <c r="AE1325" s="213"/>
      <c r="AF1325" s="213"/>
      <c r="AG1325" s="213"/>
      <c r="AH1325" s="213"/>
      <c r="AI1325" s="213"/>
      <c r="AJ1325" s="213"/>
      <c r="AK1325" s="213"/>
      <c r="AL1325" s="213"/>
      <c r="AM1325" s="213"/>
      <c r="AN1325" s="213"/>
      <c r="AO1325" s="213"/>
      <c r="AP1325" s="213"/>
      <c r="AQ1325" s="213"/>
      <c r="AR1325" s="213"/>
      <c r="AS1325" s="213"/>
      <c r="AT1325" s="213"/>
      <c r="AU1325" s="213"/>
      <c r="AV1325" s="213"/>
      <c r="AW1325" s="213"/>
      <c r="AX1325" s="213"/>
      <c r="AY1325" s="213"/>
      <c r="AZ1325" s="213"/>
      <c r="BA1325" s="213"/>
      <c r="BB1325" s="213"/>
      <c r="BC1325" s="213"/>
      <c r="BD1325" s="213"/>
    </row>
    <row r="1326">
      <c r="A1326" s="213">
        <f>IFERROR(__xludf.DUMMYFUNCTION("""COMPUTED_VALUE"""),2177.0)</f>
        <v>2177</v>
      </c>
      <c r="B1326" s="213" t="str">
        <f>IFERROR(__xludf.DUMMYFUNCTION("""COMPUTED_VALUE"""),"JOSE GRANDA")</f>
        <v>JOSE GRANDA</v>
      </c>
      <c r="C1326" s="213" t="str">
        <f>IFERROR(__xludf.DUMMYFUNCTION("""COMPUTED_VALUE"""),"TALLER SFT DE INDUSTRIA ALIMENTARIA")</f>
        <v>TALLER SFT DE INDUSTRIA ALIMENTARIA</v>
      </c>
      <c r="D1326" s="213" t="str">
        <f>IFERROR(__xludf.DUMMYFUNCTION("""COMPUTED_VALUE"""),"PEDAGOGICO")</f>
        <v>PEDAGOGICO</v>
      </c>
      <c r="E1326" s="213" t="str">
        <f>IFERROR(__xludf.DUMMYFUNCTION("""COMPUTED_VALUE"""),"MAT-265")</f>
        <v>MAT-265</v>
      </c>
      <c r="F1326" s="213" t="str">
        <f>IFERROR(__xludf.DUMMYFUNCTION("""COMPUTED_VALUE"""),"KEFF-48")</f>
        <v>KEFF-48</v>
      </c>
      <c r="G1326" s="213"/>
      <c r="H1326" s="213" t="str">
        <f>IFERROR(__xludf.DUMMYFUNCTION("""COMPUTED_VALUE"""),"MANUAL DE MANTENIMIENTO POR CADA EQUIPO DE PROCESAMIENTO DE LACTEOS Y SUS DERIVADOS")</f>
        <v>MANUAL DE MANTENIMIENTO POR CADA EQUIPO DE PROCESAMIENTO DE LACTEOS Y SUS DERIVADOS</v>
      </c>
      <c r="I132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los ti"&amp;"pos de mantenimiento que requiere cada equipo de procesamiento de lácteos y sus derivados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los tipos de mantenimiento que requiere cada equipo de procesamiento de lácteos y sus derivados
- Descripción de los materiales que se requiere para su mantenimiento.
- Descripción de los procedimientos para realizar el mantenimiento preventivo de cada equipo.</v>
      </c>
      <c r="J1326" s="213">
        <f>IFERROR(__xludf.DUMMYFUNCTION("""COMPUTED_VALUE"""),3.0)</f>
        <v>3</v>
      </c>
      <c r="K1326" s="213" t="str">
        <f>IFERROR(__xludf.DUMMYFUNCTION("""COMPUTED_VALUE"""),"170 DÍAS CALENDARIO")</f>
        <v>170 DÍAS CALENDARIO</v>
      </c>
      <c r="L1326" s="213" t="str">
        <f>IFERROR(__xludf.DUMMYFUNCTION("""COMPUTED_VALUE"""),"")</f>
        <v/>
      </c>
      <c r="M1326" s="213">
        <f>IFERROR(__xludf.DUMMYFUNCTION("""COMPUTED_VALUE"""),1.0)</f>
        <v>1</v>
      </c>
      <c r="N1326" s="213">
        <f>IFERROR(__xludf.DUMMYFUNCTION("""COMPUTED_VALUE"""),6.0)</f>
        <v>6</v>
      </c>
      <c r="O1326" s="213">
        <f>IFERROR(__xludf.DUMMYFUNCTION("""COMPUTED_VALUE"""),6.0)</f>
        <v>6</v>
      </c>
      <c r="P1326" s="213"/>
      <c r="Q1326" s="213"/>
      <c r="R1326" s="213"/>
      <c r="S1326" s="213"/>
      <c r="T1326" s="213"/>
      <c r="U1326" s="213"/>
      <c r="V1326" s="213"/>
      <c r="W1326" s="213"/>
      <c r="X1326" s="213"/>
      <c r="Y1326" s="213"/>
      <c r="Z1326" s="213"/>
      <c r="AA1326" s="213"/>
      <c r="AB1326" s="213"/>
      <c r="AC1326" s="213"/>
      <c r="AD1326" s="213"/>
      <c r="AE1326" s="213"/>
      <c r="AF1326" s="213"/>
      <c r="AG1326" s="213"/>
      <c r="AH1326" s="213"/>
      <c r="AI1326" s="213"/>
      <c r="AJ1326" s="213"/>
      <c r="AK1326" s="213"/>
      <c r="AL1326" s="213"/>
      <c r="AM1326" s="213"/>
      <c r="AN1326" s="213"/>
      <c r="AO1326" s="213"/>
      <c r="AP1326" s="213"/>
      <c r="AQ1326" s="213"/>
      <c r="AR1326" s="213"/>
      <c r="AS1326" s="213"/>
      <c r="AT1326" s="213"/>
      <c r="AU1326" s="213"/>
      <c r="AV1326" s="213"/>
      <c r="AW1326" s="213"/>
      <c r="AX1326" s="213"/>
      <c r="AY1326" s="213"/>
      <c r="AZ1326" s="213"/>
      <c r="BA1326" s="213"/>
      <c r="BB1326" s="213"/>
      <c r="BC1326" s="213"/>
      <c r="BD1326" s="213"/>
    </row>
    <row r="1327">
      <c r="A1327" s="213">
        <f>IFERROR(__xludf.DUMMYFUNCTION("""COMPUTED_VALUE"""),593.0)</f>
        <v>593</v>
      </c>
      <c r="B1327" s="213" t="str">
        <f>IFERROR(__xludf.DUMMYFUNCTION("""COMPUTED_VALUE"""),"2026 SIMON BOLIVAR")</f>
        <v>2026 SIMON BOLIVAR</v>
      </c>
      <c r="C1327" s="213" t="str">
        <f>IFERROR(__xludf.DUMMYFUNCTION("""COMPUTED_VALUE"""),"TALLER SFT DE INDUSTRIA ALIMENTARIA")</f>
        <v>TALLER SFT DE INDUSTRIA ALIMENTARIA</v>
      </c>
      <c r="D1327" s="213" t="str">
        <f>IFERROR(__xludf.DUMMYFUNCTION("""COMPUTED_VALUE"""),"PEDAGOGICO")</f>
        <v>PEDAGOGICO</v>
      </c>
      <c r="E1327" s="213" t="str">
        <f>IFERROR(__xludf.DUMMYFUNCTION("""COMPUTED_VALUE"""),"MAT-267")</f>
        <v>MAT-267</v>
      </c>
      <c r="F1327" s="213" t="str">
        <f>IFERROR(__xludf.DUMMYFUNCTION("""COMPUTED_VALUE"""),"KEFF-54")</f>
        <v>KEFF-54</v>
      </c>
      <c r="G1327" s="213"/>
      <c r="H1327" s="213" t="str">
        <f>IFERROR(__xludf.DUMMYFUNCTION("""COMPUTED_VALUE"""),"MANUAL DE MANTENIMIENTO POR CADA EQUIPO DE PROCESAMIENTO DE PANADERIA Y PASTELERIA")</f>
        <v>MANUAL DE MANTENIMIENTO POR CADA EQUIPO DE PROCESAMIENTO DE PANADERIA Y PASTELERIA</v>
      </c>
      <c r="I132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panadería y pastelería.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panadería y pastelería.
- Descripción de los materiales que se requiere para su mantenimiento.
- Descripción de los procedimientos para realizar el mantenimiento preventivo de cada equipo.</v>
      </c>
      <c r="J1327" s="213">
        <f>IFERROR(__xludf.DUMMYFUNCTION("""COMPUTED_VALUE"""),3.0)</f>
        <v>3</v>
      </c>
      <c r="K1327" s="213" t="str">
        <f>IFERROR(__xludf.DUMMYFUNCTION("""COMPUTED_VALUE"""),"170 DÍAS CALENDARIO")</f>
        <v>170 DÍAS CALENDARIO</v>
      </c>
      <c r="L1327" s="213" t="str">
        <f>IFERROR(__xludf.DUMMYFUNCTION("""COMPUTED_VALUE"""),"")</f>
        <v/>
      </c>
      <c r="M1327" s="213">
        <f>IFERROR(__xludf.DUMMYFUNCTION("""COMPUTED_VALUE"""),1.0)</f>
        <v>1</v>
      </c>
      <c r="N1327" s="213">
        <f>IFERROR(__xludf.DUMMYFUNCTION("""COMPUTED_VALUE"""),6.0)</f>
        <v>6</v>
      </c>
      <c r="O1327" s="213">
        <f>IFERROR(__xludf.DUMMYFUNCTION("""COMPUTED_VALUE"""),6.0)</f>
        <v>6</v>
      </c>
      <c r="P1327" s="213"/>
      <c r="Q1327" s="213"/>
      <c r="R1327" s="213"/>
      <c r="S1327" s="213"/>
      <c r="T1327" s="213"/>
      <c r="U1327" s="213"/>
      <c r="V1327" s="213"/>
      <c r="W1327" s="213"/>
      <c r="X1327" s="213"/>
      <c r="Y1327" s="213"/>
      <c r="Z1327" s="213"/>
      <c r="AA1327" s="213"/>
      <c r="AB1327" s="213"/>
      <c r="AC1327" s="213"/>
      <c r="AD1327" s="213"/>
      <c r="AE1327" s="213"/>
      <c r="AF1327" s="213"/>
      <c r="AG1327" s="213"/>
      <c r="AH1327" s="213"/>
      <c r="AI1327" s="213"/>
      <c r="AJ1327" s="213"/>
      <c r="AK1327" s="213"/>
      <c r="AL1327" s="213"/>
      <c r="AM1327" s="213"/>
      <c r="AN1327" s="213"/>
      <c r="AO1327" s="213"/>
      <c r="AP1327" s="213"/>
      <c r="AQ1327" s="213"/>
      <c r="AR1327" s="213"/>
      <c r="AS1327" s="213"/>
      <c r="AT1327" s="213"/>
      <c r="AU1327" s="213"/>
      <c r="AV1327" s="213"/>
      <c r="AW1327" s="213"/>
      <c r="AX1327" s="213"/>
      <c r="AY1327" s="213"/>
      <c r="AZ1327" s="213"/>
      <c r="BA1327" s="213"/>
      <c r="BB1327" s="213"/>
      <c r="BC1327" s="213"/>
      <c r="BD1327" s="213"/>
    </row>
    <row r="1328">
      <c r="A1328" s="213">
        <f>IFERROR(__xludf.DUMMYFUNCTION("""COMPUTED_VALUE"""),1219.0)</f>
        <v>1219</v>
      </c>
      <c r="B1328" s="213" t="str">
        <f>IFERROR(__xludf.DUMMYFUNCTION("""COMPUTED_VALUE"""),"FRANCISCO IRAZOLA")</f>
        <v>FRANCISCO IRAZOLA</v>
      </c>
      <c r="C1328" s="213" t="str">
        <f>IFERROR(__xludf.DUMMYFUNCTION("""COMPUTED_VALUE"""),"TALLER SFT DE INDUSTRIA ALIMENTARIA")</f>
        <v>TALLER SFT DE INDUSTRIA ALIMENTARIA</v>
      </c>
      <c r="D1328" s="213" t="str">
        <f>IFERROR(__xludf.DUMMYFUNCTION("""COMPUTED_VALUE"""),"PEDAGOGICO")</f>
        <v>PEDAGOGICO</v>
      </c>
      <c r="E1328" s="213" t="str">
        <f>IFERROR(__xludf.DUMMYFUNCTION("""COMPUTED_VALUE"""),"MAT-267")</f>
        <v>MAT-267</v>
      </c>
      <c r="F1328" s="213" t="str">
        <f>IFERROR(__xludf.DUMMYFUNCTION("""COMPUTED_VALUE"""),"KEFF-54")</f>
        <v>KEFF-54</v>
      </c>
      <c r="G1328" s="213"/>
      <c r="H1328" s="213" t="str">
        <f>IFERROR(__xludf.DUMMYFUNCTION("""COMPUTED_VALUE"""),"MANUAL DE MANTENIMIENTO POR CADA EQUIPO DE PROCESAMIENTO DE PANADERIA Y PASTELERIA")</f>
        <v>MANUAL DE MANTENIMIENTO POR CADA EQUIPO DE PROCESAMIENTO DE PANADERIA Y PASTELERIA</v>
      </c>
      <c r="I132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panadería y pastelería.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panadería y pastelería.
- Descripción de los materiales que se requiere para su mantenimiento.
- Descripción de los procedimientos para realizar el mantenimiento preventivo de cada equipo.</v>
      </c>
      <c r="J1328" s="213">
        <f>IFERROR(__xludf.DUMMYFUNCTION("""COMPUTED_VALUE"""),3.0)</f>
        <v>3</v>
      </c>
      <c r="K1328" s="213" t="str">
        <f>IFERROR(__xludf.DUMMYFUNCTION("""COMPUTED_VALUE"""),"170 DÍAS CALENDARIO")</f>
        <v>170 DÍAS CALENDARIO</v>
      </c>
      <c r="L1328" s="213" t="str">
        <f>IFERROR(__xludf.DUMMYFUNCTION("""COMPUTED_VALUE"""),"")</f>
        <v/>
      </c>
      <c r="M1328" s="213">
        <f>IFERROR(__xludf.DUMMYFUNCTION("""COMPUTED_VALUE"""),1.0)</f>
        <v>1</v>
      </c>
      <c r="N1328" s="213">
        <f>IFERROR(__xludf.DUMMYFUNCTION("""COMPUTED_VALUE"""),6.0)</f>
        <v>6</v>
      </c>
      <c r="O1328" s="213">
        <f>IFERROR(__xludf.DUMMYFUNCTION("""COMPUTED_VALUE"""),6.0)</f>
        <v>6</v>
      </c>
      <c r="P1328" s="213"/>
      <c r="Q1328" s="213"/>
      <c r="R1328" s="213"/>
      <c r="S1328" s="213"/>
      <c r="T1328" s="213"/>
      <c r="U1328" s="213"/>
      <c r="V1328" s="213"/>
      <c r="W1328" s="213"/>
      <c r="X1328" s="213"/>
      <c r="Y1328" s="213"/>
      <c r="Z1328" s="213"/>
      <c r="AA1328" s="213"/>
      <c r="AB1328" s="213"/>
      <c r="AC1328" s="213"/>
      <c r="AD1328" s="213"/>
      <c r="AE1328" s="213"/>
      <c r="AF1328" s="213"/>
      <c r="AG1328" s="213"/>
      <c r="AH1328" s="213"/>
      <c r="AI1328" s="213"/>
      <c r="AJ1328" s="213"/>
      <c r="AK1328" s="213"/>
      <c r="AL1328" s="213"/>
      <c r="AM1328" s="213"/>
      <c r="AN1328" s="213"/>
      <c r="AO1328" s="213"/>
      <c r="AP1328" s="213"/>
      <c r="AQ1328" s="213"/>
      <c r="AR1328" s="213"/>
      <c r="AS1328" s="213"/>
      <c r="AT1328" s="213"/>
      <c r="AU1328" s="213"/>
      <c r="AV1328" s="213"/>
      <c r="AW1328" s="213"/>
      <c r="AX1328" s="213"/>
      <c r="AY1328" s="213"/>
      <c r="AZ1328" s="213"/>
      <c r="BA1328" s="213"/>
      <c r="BB1328" s="213"/>
      <c r="BC1328" s="213"/>
      <c r="BD1328" s="213"/>
    </row>
    <row r="1329">
      <c r="A1329" s="213">
        <f>IFERROR(__xludf.DUMMYFUNCTION("""COMPUTED_VALUE"""),1490.0)</f>
        <v>1490</v>
      </c>
      <c r="B1329" s="213" t="str">
        <f>IFERROR(__xludf.DUMMYFUNCTION("""COMPUTED_VALUE"""),"GUILLERMO E. BILLINGHURST ")</f>
        <v>GUILLERMO E. BILLINGHURST </v>
      </c>
      <c r="C1329" s="213" t="str">
        <f>IFERROR(__xludf.DUMMYFUNCTION("""COMPUTED_VALUE"""),"TALLER SFT DE INDUSTRIA ALIMENTARIA")</f>
        <v>TALLER SFT DE INDUSTRIA ALIMENTARIA</v>
      </c>
      <c r="D1329" s="213" t="str">
        <f>IFERROR(__xludf.DUMMYFUNCTION("""COMPUTED_VALUE"""),"PEDAGOGICO")</f>
        <v>PEDAGOGICO</v>
      </c>
      <c r="E1329" s="213" t="str">
        <f>IFERROR(__xludf.DUMMYFUNCTION("""COMPUTED_VALUE"""),"MAT-267")</f>
        <v>MAT-267</v>
      </c>
      <c r="F1329" s="213" t="str">
        <f>IFERROR(__xludf.DUMMYFUNCTION("""COMPUTED_VALUE"""),"KEFF-54")</f>
        <v>KEFF-54</v>
      </c>
      <c r="G1329" s="213"/>
      <c r="H1329" s="213" t="str">
        <f>IFERROR(__xludf.DUMMYFUNCTION("""COMPUTED_VALUE"""),"MANUAL DE MANTENIMIENTO POR CADA EQUIPO DE PROCESAMIENTO DE PANADERIA Y PASTELERIA")</f>
        <v>MANUAL DE MANTENIMIENTO POR CADA EQUIPO DE PROCESAMIENTO DE PANADERIA Y PASTELERIA</v>
      </c>
      <c r="I132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panadería y pastelería.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panadería y pastelería.
- Descripción de los materiales que se requiere para su mantenimiento.
- Descripción de los procedimientos para realizar el mantenimiento preventivo de cada equipo.</v>
      </c>
      <c r="J1329" s="213">
        <f>IFERROR(__xludf.DUMMYFUNCTION("""COMPUTED_VALUE"""),3.0)</f>
        <v>3</v>
      </c>
      <c r="K1329" s="213" t="str">
        <f>IFERROR(__xludf.DUMMYFUNCTION("""COMPUTED_VALUE"""),"170 DÍAS CALENDARIO")</f>
        <v>170 DÍAS CALENDARIO</v>
      </c>
      <c r="L1329" s="213" t="str">
        <f>IFERROR(__xludf.DUMMYFUNCTION("""COMPUTED_VALUE"""),"")</f>
        <v/>
      </c>
      <c r="M1329" s="213">
        <f>IFERROR(__xludf.DUMMYFUNCTION("""COMPUTED_VALUE"""),1.0)</f>
        <v>1</v>
      </c>
      <c r="N1329" s="213">
        <f>IFERROR(__xludf.DUMMYFUNCTION("""COMPUTED_VALUE"""),6.0)</f>
        <v>6</v>
      </c>
      <c r="O1329" s="213">
        <f>IFERROR(__xludf.DUMMYFUNCTION("""COMPUTED_VALUE"""),6.0)</f>
        <v>6</v>
      </c>
      <c r="P1329" s="213"/>
      <c r="Q1329" s="213"/>
      <c r="R1329" s="213"/>
      <c r="S1329" s="213"/>
      <c r="T1329" s="213"/>
      <c r="U1329" s="213"/>
      <c r="V1329" s="213"/>
      <c r="W1329" s="213"/>
      <c r="X1329" s="213"/>
      <c r="Y1329" s="213"/>
      <c r="Z1329" s="213"/>
      <c r="AA1329" s="213"/>
      <c r="AB1329" s="213"/>
      <c r="AC1329" s="213"/>
      <c r="AD1329" s="213"/>
      <c r="AE1329" s="213"/>
      <c r="AF1329" s="213"/>
      <c r="AG1329" s="213"/>
      <c r="AH1329" s="213"/>
      <c r="AI1329" s="213"/>
      <c r="AJ1329" s="213"/>
      <c r="AK1329" s="213"/>
      <c r="AL1329" s="213"/>
      <c r="AM1329" s="213"/>
      <c r="AN1329" s="213"/>
      <c r="AO1329" s="213"/>
      <c r="AP1329" s="213"/>
      <c r="AQ1329" s="213"/>
      <c r="AR1329" s="213"/>
      <c r="AS1329" s="213"/>
      <c r="AT1329" s="213"/>
      <c r="AU1329" s="213"/>
      <c r="AV1329" s="213"/>
      <c r="AW1329" s="213"/>
      <c r="AX1329" s="213"/>
      <c r="AY1329" s="213"/>
      <c r="AZ1329" s="213"/>
      <c r="BA1329" s="213"/>
      <c r="BB1329" s="213"/>
      <c r="BC1329" s="213"/>
      <c r="BD1329" s="213"/>
    </row>
    <row r="1330">
      <c r="A1330" s="213">
        <f>IFERROR(__xludf.DUMMYFUNCTION("""COMPUTED_VALUE"""),2182.0)</f>
        <v>2182</v>
      </c>
      <c r="B1330" s="213" t="str">
        <f>IFERROR(__xludf.DUMMYFUNCTION("""COMPUTED_VALUE"""),"JOSE GRANDA")</f>
        <v>JOSE GRANDA</v>
      </c>
      <c r="C1330" s="213" t="str">
        <f>IFERROR(__xludf.DUMMYFUNCTION("""COMPUTED_VALUE"""),"TALLER SFT DE INDUSTRIA ALIMENTARIA")</f>
        <v>TALLER SFT DE INDUSTRIA ALIMENTARIA</v>
      </c>
      <c r="D1330" s="213" t="str">
        <f>IFERROR(__xludf.DUMMYFUNCTION("""COMPUTED_VALUE"""),"PEDAGOGICO")</f>
        <v>PEDAGOGICO</v>
      </c>
      <c r="E1330" s="213" t="str">
        <f>IFERROR(__xludf.DUMMYFUNCTION("""COMPUTED_VALUE"""),"MAT-267")</f>
        <v>MAT-267</v>
      </c>
      <c r="F1330" s="213" t="str">
        <f>IFERROR(__xludf.DUMMYFUNCTION("""COMPUTED_VALUE"""),"KEFF-54")</f>
        <v>KEFF-54</v>
      </c>
      <c r="G1330" s="213"/>
      <c r="H1330" s="213" t="str">
        <f>IFERROR(__xludf.DUMMYFUNCTION("""COMPUTED_VALUE"""),"MANUAL DE MANTENIMIENTO POR CADA EQUIPO DE PROCESAMIENTO DE PANADERIA Y PASTELERIA")</f>
        <v>MANUAL DE MANTENIMIENTO POR CADA EQUIPO DE PROCESAMIENTO DE PANADERIA Y PASTELERIA</v>
      </c>
      <c r="I133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panadería y pastelería.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panadería y pastelería.
- Descripción de los materiales que se requiere para su mantenimiento.
- Descripción de los procedimientos para realizar el mantenimiento preventivo de cada equipo.</v>
      </c>
      <c r="J1330" s="213">
        <f>IFERROR(__xludf.DUMMYFUNCTION("""COMPUTED_VALUE"""),3.0)</f>
        <v>3</v>
      </c>
      <c r="K1330" s="213" t="str">
        <f>IFERROR(__xludf.DUMMYFUNCTION("""COMPUTED_VALUE"""),"170 DÍAS CALENDARIO")</f>
        <v>170 DÍAS CALENDARIO</v>
      </c>
      <c r="L1330" s="213" t="str">
        <f>IFERROR(__xludf.DUMMYFUNCTION("""COMPUTED_VALUE"""),"")</f>
        <v/>
      </c>
      <c r="M1330" s="213">
        <f>IFERROR(__xludf.DUMMYFUNCTION("""COMPUTED_VALUE"""),1.0)</f>
        <v>1</v>
      </c>
      <c r="N1330" s="213">
        <f>IFERROR(__xludf.DUMMYFUNCTION("""COMPUTED_VALUE"""),6.0)</f>
        <v>6</v>
      </c>
      <c r="O1330" s="213">
        <f>IFERROR(__xludf.DUMMYFUNCTION("""COMPUTED_VALUE"""),6.0)</f>
        <v>6</v>
      </c>
      <c r="P1330" s="213"/>
      <c r="Q1330" s="213"/>
      <c r="R1330" s="213"/>
      <c r="S1330" s="213"/>
      <c r="T1330" s="213"/>
      <c r="U1330" s="213"/>
      <c r="V1330" s="213"/>
      <c r="W1330" s="213"/>
      <c r="X1330" s="213"/>
      <c r="Y1330" s="213"/>
      <c r="Z1330" s="213"/>
      <c r="AA1330" s="213"/>
      <c r="AB1330" s="213"/>
      <c r="AC1330" s="213"/>
      <c r="AD1330" s="213"/>
      <c r="AE1330" s="213"/>
      <c r="AF1330" s="213"/>
      <c r="AG1330" s="213"/>
      <c r="AH1330" s="213"/>
      <c r="AI1330" s="213"/>
      <c r="AJ1330" s="213"/>
      <c r="AK1330" s="213"/>
      <c r="AL1330" s="213"/>
      <c r="AM1330" s="213"/>
      <c r="AN1330" s="213"/>
      <c r="AO1330" s="213"/>
      <c r="AP1330" s="213"/>
      <c r="AQ1330" s="213"/>
      <c r="AR1330" s="213"/>
      <c r="AS1330" s="213"/>
      <c r="AT1330" s="213"/>
      <c r="AU1330" s="213"/>
      <c r="AV1330" s="213"/>
      <c r="AW1330" s="213"/>
      <c r="AX1330" s="213"/>
      <c r="AY1330" s="213"/>
      <c r="AZ1330" s="213"/>
      <c r="BA1330" s="213"/>
      <c r="BB1330" s="213"/>
      <c r="BC1330" s="213"/>
      <c r="BD1330" s="213"/>
    </row>
    <row r="1331">
      <c r="A1331" s="213">
        <f>IFERROR(__xludf.DUMMYFUNCTION("""COMPUTED_VALUE"""),111.0)</f>
        <v>111</v>
      </c>
      <c r="B1331" s="213" t="str">
        <f>IFERROR(__xludf.DUMMYFUNCTION("""COMPUTED_VALUE"""),"16449 ELOY SOBERON  FLORES")</f>
        <v>16449 ELOY SOBERON  FLORES</v>
      </c>
      <c r="C1331" s="213" t="str">
        <f>IFERROR(__xludf.DUMMYFUNCTION("""COMPUTED_VALUE"""),"TALLER SFT DE COCINA Y REPOSTERÍA")</f>
        <v>TALLER SFT DE COCINA Y REPOSTERÍA</v>
      </c>
      <c r="D1331" s="213" t="str">
        <f>IFERROR(__xludf.DUMMYFUNCTION("""COMPUTED_VALUE"""),"PEDAGOGICO")</f>
        <v>PEDAGOGICO</v>
      </c>
      <c r="E1331" s="213" t="str">
        <f>IFERROR(__xludf.DUMMYFUNCTION("""COMPUTED_VALUE"""),"MAT-245")</f>
        <v>MAT-245</v>
      </c>
      <c r="F1331" s="213" t="str">
        <f>IFERROR(__xludf.DUMMYFUNCTION("""COMPUTED_VALUE"""),"KEFF-08")</f>
        <v>KEFF-08</v>
      </c>
      <c r="G1331" s="213"/>
      <c r="H1331" s="213" t="str">
        <f>IFERROR(__xludf.DUMMYFUNCTION("""COMPUTED_VALUE"""),"MANUAL DE MANTENIMIENTO POR CADA EQUIPO DE REFRIGERACIÓN Y PREPARACIÓN")</f>
        <v>MANUAL DE MANTENIMIENTO POR CADA EQUIPO DE REFRIGERACIÓN Y PREPARACIÓN</v>
      </c>
      <c r="I133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   Descripción de los tipos de mantenimiento que requiere cada equipo de refrigeración y preparación
-   Descripción de las herramientas, materiales e insumos que se requiere para su mantenimiento.
-    Descripción de los procedimientos para "&amp;"realizar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refrigeración y preparación
-   Descripción de las herramientas, materiales e insumos que se requiere para su mantenimiento.
-    Descripción de los procedimientos para realizar el mantenimiento preventivo de cada equipo.</v>
      </c>
      <c r="J1331" s="213">
        <f>IFERROR(__xludf.DUMMYFUNCTION("""COMPUTED_VALUE"""),3.0)</f>
        <v>3</v>
      </c>
      <c r="K1331" s="213" t="str">
        <f>IFERROR(__xludf.DUMMYFUNCTION("""COMPUTED_VALUE"""),"170 DÍAS CALENDARIO")</f>
        <v>170 DÍAS CALENDARIO</v>
      </c>
      <c r="L1331" s="213" t="str">
        <f>IFERROR(__xludf.DUMMYFUNCTION("""COMPUTED_VALUE"""),"")</f>
        <v/>
      </c>
      <c r="M1331" s="213">
        <f>IFERROR(__xludf.DUMMYFUNCTION("""COMPUTED_VALUE"""),1.0)</f>
        <v>1</v>
      </c>
      <c r="N1331" s="213">
        <f>IFERROR(__xludf.DUMMYFUNCTION("""COMPUTED_VALUE"""),6.0)</f>
        <v>6</v>
      </c>
      <c r="O1331" s="213">
        <f>IFERROR(__xludf.DUMMYFUNCTION("""COMPUTED_VALUE"""),6.0)</f>
        <v>6</v>
      </c>
      <c r="P1331" s="213"/>
      <c r="Q1331" s="213"/>
      <c r="R1331" s="213"/>
      <c r="S1331" s="213"/>
      <c r="T1331" s="213"/>
      <c r="U1331" s="213"/>
      <c r="V1331" s="213"/>
      <c r="W1331" s="213"/>
      <c r="X1331" s="213"/>
      <c r="Y1331" s="213"/>
      <c r="Z1331" s="213"/>
      <c r="AA1331" s="213"/>
      <c r="AB1331" s="213"/>
      <c r="AC1331" s="213"/>
      <c r="AD1331" s="213"/>
      <c r="AE1331" s="213"/>
      <c r="AF1331" s="213"/>
      <c r="AG1331" s="213"/>
      <c r="AH1331" s="213"/>
      <c r="AI1331" s="213"/>
      <c r="AJ1331" s="213"/>
      <c r="AK1331" s="213"/>
      <c r="AL1331" s="213"/>
      <c r="AM1331" s="213"/>
      <c r="AN1331" s="213"/>
      <c r="AO1331" s="213"/>
      <c r="AP1331" s="213"/>
      <c r="AQ1331" s="213"/>
      <c r="AR1331" s="213"/>
      <c r="AS1331" s="213"/>
      <c r="AT1331" s="213"/>
      <c r="AU1331" s="213"/>
      <c r="AV1331" s="213"/>
      <c r="AW1331" s="213"/>
      <c r="AX1331" s="213"/>
      <c r="AY1331" s="213"/>
      <c r="AZ1331" s="213"/>
      <c r="BA1331" s="213"/>
      <c r="BB1331" s="213"/>
      <c r="BC1331" s="213"/>
      <c r="BD1331" s="213"/>
    </row>
    <row r="1332">
      <c r="A1332" s="213">
        <f>IFERROR(__xludf.DUMMYFUNCTION("""COMPUTED_VALUE"""),1024.0)</f>
        <v>1024</v>
      </c>
      <c r="B1332" s="213" t="str">
        <f>IFERROR(__xludf.DUMMYFUNCTION("""COMPUTED_VALUE"""),"FRANCISCO IRAZOLA")</f>
        <v>FRANCISCO IRAZOLA</v>
      </c>
      <c r="C1332" s="213" t="str">
        <f>IFERROR(__xludf.DUMMYFUNCTION("""COMPUTED_VALUE"""),"TALLER SFT DE MECÁNICA AUTOMOTRIZ")</f>
        <v>TALLER SFT DE MECÁNICA AUTOMOTRIZ</v>
      </c>
      <c r="D1332" s="213" t="str">
        <f>IFERROR(__xludf.DUMMYFUNCTION("""COMPUTED_VALUE"""),"PEDAGOGICO")</f>
        <v>PEDAGOGICO</v>
      </c>
      <c r="E1332" s="213" t="str">
        <f>IFERROR(__xludf.DUMMYFUNCTION("""COMPUTED_VALUE"""),"MAT-272")</f>
        <v>MAT-272</v>
      </c>
      <c r="F1332" s="213" t="str">
        <f>IFERROR(__xludf.DUMMYFUNCTION("""COMPUTED_VALUE"""),"KEFF-87")</f>
        <v>KEFF-87</v>
      </c>
      <c r="G1332" s="213"/>
      <c r="H1332" s="213" t="str">
        <f>IFERROR(__xludf.DUMMYFUNCTION("""COMPUTED_VALUE"""),"MANUAL DE MANTENIMIENTO POR CADA EQUIPO DEL SISTEMA DE TRANSMISIÓN DE POTENCIA")</f>
        <v>MANUAL DE MANTENIMIENTO POR CADA EQUIPO DEL SISTEMA DE TRANSMISIÓN DE POTENCIA</v>
      </c>
      <c r="I133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del sistema de transmisión de potencia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del sistema de transmisión de potencia
-   Descripción de los materiales que se requiere para su mantenimiento.
-   Descripción de los procedimientos para realizar el mantenimiento preventivo de cada equipo.</v>
      </c>
      <c r="J1332" s="213">
        <f>IFERROR(__xludf.DUMMYFUNCTION("""COMPUTED_VALUE"""),3.0)</f>
        <v>3</v>
      </c>
      <c r="K1332" s="213" t="str">
        <f>IFERROR(__xludf.DUMMYFUNCTION("""COMPUTED_VALUE"""),"170 DÍAS CALENDARIO")</f>
        <v>170 DÍAS CALENDARIO</v>
      </c>
      <c r="L1332" s="213" t="str">
        <f>IFERROR(__xludf.DUMMYFUNCTION("""COMPUTED_VALUE"""),"")</f>
        <v/>
      </c>
      <c r="M1332" s="213">
        <f>IFERROR(__xludf.DUMMYFUNCTION("""COMPUTED_VALUE"""),1.0)</f>
        <v>1</v>
      </c>
      <c r="N1332" s="213">
        <f>IFERROR(__xludf.DUMMYFUNCTION("""COMPUTED_VALUE"""),2.0)</f>
        <v>2</v>
      </c>
      <c r="O1332" s="213">
        <f>IFERROR(__xludf.DUMMYFUNCTION("""COMPUTED_VALUE"""),2.0)</f>
        <v>2</v>
      </c>
      <c r="P1332" s="213"/>
      <c r="Q1332" s="213"/>
      <c r="R1332" s="213"/>
      <c r="S1332" s="213"/>
      <c r="T1332" s="213"/>
      <c r="U1332" s="213"/>
      <c r="V1332" s="213"/>
      <c r="W1332" s="213"/>
      <c r="X1332" s="213"/>
      <c r="Y1332" s="213"/>
      <c r="Z1332" s="213"/>
      <c r="AA1332" s="213"/>
      <c r="AB1332" s="213"/>
      <c r="AC1332" s="213"/>
      <c r="AD1332" s="213"/>
      <c r="AE1332" s="213"/>
      <c r="AF1332" s="213"/>
      <c r="AG1332" s="213"/>
      <c r="AH1332" s="213"/>
      <c r="AI1332" s="213"/>
      <c r="AJ1332" s="213"/>
      <c r="AK1332" s="213"/>
      <c r="AL1332" s="213"/>
      <c r="AM1332" s="213"/>
      <c r="AN1332" s="213"/>
      <c r="AO1332" s="213"/>
      <c r="AP1332" s="213"/>
      <c r="AQ1332" s="213"/>
      <c r="AR1332" s="213"/>
      <c r="AS1332" s="213"/>
      <c r="AT1332" s="213"/>
      <c r="AU1332" s="213"/>
      <c r="AV1332" s="213"/>
      <c r="AW1332" s="213"/>
      <c r="AX1332" s="213"/>
      <c r="AY1332" s="213"/>
      <c r="AZ1332" s="213"/>
      <c r="BA1332" s="213"/>
      <c r="BB1332" s="213"/>
      <c r="BC1332" s="213"/>
      <c r="BD1332" s="213"/>
    </row>
    <row r="1333">
      <c r="A1333" s="213">
        <f>IFERROR(__xludf.DUMMYFUNCTION("""COMPUTED_VALUE"""),1629.0)</f>
        <v>1629</v>
      </c>
      <c r="B1333" s="213" t="str">
        <f>IFERROR(__xludf.DUMMYFUNCTION("""COMPUTED_VALUE"""),"GUILLERMO E. BILLINGHURST ")</f>
        <v>GUILLERMO E. BILLINGHURST </v>
      </c>
      <c r="C1333" s="213" t="str">
        <f>IFERROR(__xludf.DUMMYFUNCTION("""COMPUTED_VALUE"""),"TALLER SFT DE MECÁNICA AUTOMOTRIZ")</f>
        <v>TALLER SFT DE MECÁNICA AUTOMOTRIZ</v>
      </c>
      <c r="D1333" s="213" t="str">
        <f>IFERROR(__xludf.DUMMYFUNCTION("""COMPUTED_VALUE"""),"PEDAGOGICO")</f>
        <v>PEDAGOGICO</v>
      </c>
      <c r="E1333" s="213" t="str">
        <f>IFERROR(__xludf.DUMMYFUNCTION("""COMPUTED_VALUE"""),"MAT-272")</f>
        <v>MAT-272</v>
      </c>
      <c r="F1333" s="213" t="str">
        <f>IFERROR(__xludf.DUMMYFUNCTION("""COMPUTED_VALUE"""),"KEFF-87")</f>
        <v>KEFF-87</v>
      </c>
      <c r="G1333" s="213"/>
      <c r="H1333" s="213" t="str">
        <f>IFERROR(__xludf.DUMMYFUNCTION("""COMPUTED_VALUE"""),"MANUAL DE MANTENIMIENTO POR CADA EQUIPO DEL SISTEMA DE TRANSMISIÓN DE POTENCIA")</f>
        <v>MANUAL DE MANTENIMIENTO POR CADA EQUIPO DEL SISTEMA DE TRANSMISIÓN DE POTENCIA</v>
      </c>
      <c r="I133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del sistema de transmisión de potencia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del sistema de transmisión de potencia
-   Descripción de los materiales que se requiere para su mantenimiento.
-   Descripción de los procedimientos para realizar el mantenimiento preventivo de cada equipo.</v>
      </c>
      <c r="J1333" s="213">
        <f>IFERROR(__xludf.DUMMYFUNCTION("""COMPUTED_VALUE"""),3.0)</f>
        <v>3</v>
      </c>
      <c r="K1333" s="213" t="str">
        <f>IFERROR(__xludf.DUMMYFUNCTION("""COMPUTED_VALUE"""),"170 DÍAS CALENDARIO")</f>
        <v>170 DÍAS CALENDARIO</v>
      </c>
      <c r="L1333" s="213" t="str">
        <f>IFERROR(__xludf.DUMMYFUNCTION("""COMPUTED_VALUE"""),"")</f>
        <v/>
      </c>
      <c r="M1333" s="213">
        <f>IFERROR(__xludf.DUMMYFUNCTION("""COMPUTED_VALUE"""),1.0)</f>
        <v>1</v>
      </c>
      <c r="N1333" s="213">
        <f>IFERROR(__xludf.DUMMYFUNCTION("""COMPUTED_VALUE"""),2.0)</f>
        <v>2</v>
      </c>
      <c r="O1333" s="213">
        <f>IFERROR(__xludf.DUMMYFUNCTION("""COMPUTED_VALUE"""),2.0)</f>
        <v>2</v>
      </c>
      <c r="P1333" s="213"/>
      <c r="Q1333" s="213"/>
      <c r="R1333" s="213"/>
      <c r="S1333" s="213"/>
      <c r="T1333" s="213"/>
      <c r="U1333" s="213"/>
      <c r="V1333" s="213"/>
      <c r="W1333" s="213"/>
      <c r="X1333" s="213"/>
      <c r="Y1333" s="213"/>
      <c r="Z1333" s="213"/>
      <c r="AA1333" s="213"/>
      <c r="AB1333" s="213"/>
      <c r="AC1333" s="213"/>
      <c r="AD1333" s="213"/>
      <c r="AE1333" s="213"/>
      <c r="AF1333" s="213"/>
      <c r="AG1333" s="213"/>
      <c r="AH1333" s="213"/>
      <c r="AI1333" s="213"/>
      <c r="AJ1333" s="213"/>
      <c r="AK1333" s="213"/>
      <c r="AL1333" s="213"/>
      <c r="AM1333" s="213"/>
      <c r="AN1333" s="213"/>
      <c r="AO1333" s="213"/>
      <c r="AP1333" s="213"/>
      <c r="AQ1333" s="213"/>
      <c r="AR1333" s="213"/>
      <c r="AS1333" s="213"/>
      <c r="AT1333" s="213"/>
      <c r="AU1333" s="213"/>
      <c r="AV1333" s="213"/>
      <c r="AW1333" s="213"/>
      <c r="AX1333" s="213"/>
      <c r="AY1333" s="213"/>
      <c r="AZ1333" s="213"/>
      <c r="BA1333" s="213"/>
      <c r="BB1333" s="213"/>
      <c r="BC1333" s="213"/>
      <c r="BD1333" s="213"/>
    </row>
    <row r="1334">
      <c r="A1334" s="213">
        <f>IFERROR(__xludf.DUMMYFUNCTION("""COMPUTED_VALUE"""),2320.0)</f>
        <v>2320</v>
      </c>
      <c r="B1334" s="213" t="str">
        <f>IFERROR(__xludf.DUMMYFUNCTION("""COMPUTED_VALUE"""),"JOSE GRANDA")</f>
        <v>JOSE GRANDA</v>
      </c>
      <c r="C1334" s="213" t="str">
        <f>IFERROR(__xludf.DUMMYFUNCTION("""COMPUTED_VALUE"""),"TALLER SFT DE MECÁNICA AUTOMOTRIZ")</f>
        <v>TALLER SFT DE MECÁNICA AUTOMOTRIZ</v>
      </c>
      <c r="D1334" s="213" t="str">
        <f>IFERROR(__xludf.DUMMYFUNCTION("""COMPUTED_VALUE"""),"PEDAGOGICO")</f>
        <v>PEDAGOGICO</v>
      </c>
      <c r="E1334" s="213" t="str">
        <f>IFERROR(__xludf.DUMMYFUNCTION("""COMPUTED_VALUE"""),"MAT-272")</f>
        <v>MAT-272</v>
      </c>
      <c r="F1334" s="213" t="str">
        <f>IFERROR(__xludf.DUMMYFUNCTION("""COMPUTED_VALUE"""),"KEFF-87")</f>
        <v>KEFF-87</v>
      </c>
      <c r="G1334" s="213"/>
      <c r="H1334" s="213" t="str">
        <f>IFERROR(__xludf.DUMMYFUNCTION("""COMPUTED_VALUE"""),"MANUAL DE MANTENIMIENTO POR CADA EQUIPO DEL SISTEMA DE TRANSMISIÓN DE POTENCIA")</f>
        <v>MANUAL DE MANTENIMIENTO POR CADA EQUIPO DEL SISTEMA DE TRANSMISIÓN DE POTENCIA</v>
      </c>
      <c r="I133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del sistema de transmisión de potencia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del sistema de transmisión de potencia
-   Descripción de los materiales que se requiere para su mantenimiento.
-   Descripción de los procedimientos para realizar el mantenimiento preventivo de cada equipo.</v>
      </c>
      <c r="J1334" s="213">
        <f>IFERROR(__xludf.DUMMYFUNCTION("""COMPUTED_VALUE"""),3.0)</f>
        <v>3</v>
      </c>
      <c r="K1334" s="213" t="str">
        <f>IFERROR(__xludf.DUMMYFUNCTION("""COMPUTED_VALUE"""),"170 DÍAS CALENDARIO")</f>
        <v>170 DÍAS CALENDARIO</v>
      </c>
      <c r="L1334" s="213" t="str">
        <f>IFERROR(__xludf.DUMMYFUNCTION("""COMPUTED_VALUE"""),"")</f>
        <v/>
      </c>
      <c r="M1334" s="213">
        <f>IFERROR(__xludf.DUMMYFUNCTION("""COMPUTED_VALUE"""),1.0)</f>
        <v>1</v>
      </c>
      <c r="N1334" s="213">
        <f>IFERROR(__xludf.DUMMYFUNCTION("""COMPUTED_VALUE"""),2.0)</f>
        <v>2</v>
      </c>
      <c r="O1334" s="213">
        <f>IFERROR(__xludf.DUMMYFUNCTION("""COMPUTED_VALUE"""),2.0)</f>
        <v>2</v>
      </c>
      <c r="P1334" s="213"/>
      <c r="Q1334" s="213"/>
      <c r="R1334" s="213"/>
      <c r="S1334" s="213"/>
      <c r="T1334" s="213"/>
      <c r="U1334" s="213"/>
      <c r="V1334" s="213"/>
      <c r="W1334" s="213"/>
      <c r="X1334" s="213"/>
      <c r="Y1334" s="213"/>
      <c r="Z1334" s="213"/>
      <c r="AA1334" s="213"/>
      <c r="AB1334" s="213"/>
      <c r="AC1334" s="213"/>
      <c r="AD1334" s="213"/>
      <c r="AE1334" s="213"/>
      <c r="AF1334" s="213"/>
      <c r="AG1334" s="213"/>
      <c r="AH1334" s="213"/>
      <c r="AI1334" s="213"/>
      <c r="AJ1334" s="213"/>
      <c r="AK1334" s="213"/>
      <c r="AL1334" s="213"/>
      <c r="AM1334" s="213"/>
      <c r="AN1334" s="213"/>
      <c r="AO1334" s="213"/>
      <c r="AP1334" s="213"/>
      <c r="AQ1334" s="213"/>
      <c r="AR1334" s="213"/>
      <c r="AS1334" s="213"/>
      <c r="AT1334" s="213"/>
      <c r="AU1334" s="213"/>
      <c r="AV1334" s="213"/>
      <c r="AW1334" s="213"/>
      <c r="AX1334" s="213"/>
      <c r="AY1334" s="213"/>
      <c r="AZ1334" s="213"/>
      <c r="BA1334" s="213"/>
      <c r="BB1334" s="213"/>
      <c r="BC1334" s="213"/>
      <c r="BD1334" s="213"/>
    </row>
    <row r="1335">
      <c r="A1335" s="213">
        <f>IFERROR(__xludf.DUMMYFUNCTION("""COMPUTED_VALUE"""),1019.0)</f>
        <v>1019</v>
      </c>
      <c r="B1335" s="213" t="str">
        <f>IFERROR(__xludf.DUMMYFUNCTION("""COMPUTED_VALUE"""),"FRANCISCO IRAZOLA")</f>
        <v>FRANCISCO IRAZOLA</v>
      </c>
      <c r="C1335" s="213" t="str">
        <f>IFERROR(__xludf.DUMMYFUNCTION("""COMPUTED_VALUE"""),"TALLER SFT DE MECÁNICA AUTOMOTRIZ")</f>
        <v>TALLER SFT DE MECÁNICA AUTOMOTRIZ</v>
      </c>
      <c r="D1335" s="213" t="str">
        <f>IFERROR(__xludf.DUMMYFUNCTION("""COMPUTED_VALUE"""),"PEDAGOGICO")</f>
        <v>PEDAGOGICO</v>
      </c>
      <c r="E1335" s="213" t="str">
        <f>IFERROR(__xludf.DUMMYFUNCTION("""COMPUTED_VALUE"""),"MAT-273")</f>
        <v>MAT-273</v>
      </c>
      <c r="F1335" s="213" t="str">
        <f>IFERROR(__xludf.DUMMYFUNCTION("""COMPUTED_VALUE"""),"KEFF-84")</f>
        <v>KEFF-84</v>
      </c>
      <c r="G1335" s="213"/>
      <c r="H1335" s="213" t="str">
        <f>IFERROR(__xludf.DUMMYFUNCTION("""COMPUTED_VALUE"""),"MANUAL DE MANTENIMIENTO POR CADA EQUIPO DEL SISTEMA SUSPENSIÓN DIRECCIÓN Y FRENOS")</f>
        <v>MANUAL DE MANTENIMIENTO POR CADA EQUIPO DEL SISTEMA SUSPENSIÓN DIRECCIÓN Y FRENOS</v>
      </c>
      <c r="I133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del sistema de suspensión, dirección y frenos
-  Descripción de los materiales que se requiere para su mantenimiento.
-   Descripción de los procedimientos para realizar el mantenimiento preventivo de cada eq"&amp;"uipo.")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del sistema de suspensión, dirección y frenos
-  Descripción de los materiales que se requiere para su mantenimiento.
-   Descripción de los procedimientos para realizar el mantenimiento preventivo de cada equipo.</v>
      </c>
      <c r="J1335" s="213">
        <f>IFERROR(__xludf.DUMMYFUNCTION("""COMPUTED_VALUE"""),3.0)</f>
        <v>3</v>
      </c>
      <c r="K1335" s="213" t="str">
        <f>IFERROR(__xludf.DUMMYFUNCTION("""COMPUTED_VALUE"""),"170 DÍAS CALENDARIO")</f>
        <v>170 DÍAS CALENDARIO</v>
      </c>
      <c r="L1335" s="213" t="str">
        <f>IFERROR(__xludf.DUMMYFUNCTION("""COMPUTED_VALUE"""),"")</f>
        <v/>
      </c>
      <c r="M1335" s="213">
        <f>IFERROR(__xludf.DUMMYFUNCTION("""COMPUTED_VALUE"""),1.0)</f>
        <v>1</v>
      </c>
      <c r="N1335" s="213">
        <f>IFERROR(__xludf.DUMMYFUNCTION("""COMPUTED_VALUE"""),2.0)</f>
        <v>2</v>
      </c>
      <c r="O1335" s="213">
        <f>IFERROR(__xludf.DUMMYFUNCTION("""COMPUTED_VALUE"""),2.0)</f>
        <v>2</v>
      </c>
      <c r="P1335" s="213"/>
      <c r="Q1335" s="213"/>
      <c r="R1335" s="213"/>
      <c r="S1335" s="213"/>
      <c r="T1335" s="213"/>
      <c r="U1335" s="213"/>
      <c r="V1335" s="213"/>
      <c r="W1335" s="213"/>
      <c r="X1335" s="213"/>
      <c r="Y1335" s="213"/>
      <c r="Z1335" s="213"/>
      <c r="AA1335" s="213"/>
      <c r="AB1335" s="213"/>
      <c r="AC1335" s="213"/>
      <c r="AD1335" s="213"/>
      <c r="AE1335" s="213"/>
      <c r="AF1335" s="213"/>
      <c r="AG1335" s="213"/>
      <c r="AH1335" s="213"/>
      <c r="AI1335" s="213"/>
      <c r="AJ1335" s="213"/>
      <c r="AK1335" s="213"/>
      <c r="AL1335" s="213"/>
      <c r="AM1335" s="213"/>
      <c r="AN1335" s="213"/>
      <c r="AO1335" s="213"/>
      <c r="AP1335" s="213"/>
      <c r="AQ1335" s="213"/>
      <c r="AR1335" s="213"/>
      <c r="AS1335" s="213"/>
      <c r="AT1335" s="213"/>
      <c r="AU1335" s="213"/>
      <c r="AV1335" s="213"/>
      <c r="AW1335" s="213"/>
      <c r="AX1335" s="213"/>
      <c r="AY1335" s="213"/>
      <c r="AZ1335" s="213"/>
      <c r="BA1335" s="213"/>
      <c r="BB1335" s="213"/>
      <c r="BC1335" s="213"/>
      <c r="BD1335" s="213"/>
    </row>
    <row r="1336">
      <c r="A1336" s="213">
        <f>IFERROR(__xludf.DUMMYFUNCTION("""COMPUTED_VALUE"""),1624.0)</f>
        <v>1624</v>
      </c>
      <c r="B1336" s="213" t="str">
        <f>IFERROR(__xludf.DUMMYFUNCTION("""COMPUTED_VALUE"""),"GUILLERMO E. BILLINGHURST ")</f>
        <v>GUILLERMO E. BILLINGHURST </v>
      </c>
      <c r="C1336" s="213" t="str">
        <f>IFERROR(__xludf.DUMMYFUNCTION("""COMPUTED_VALUE"""),"TALLER SFT DE MECÁNICA AUTOMOTRIZ")</f>
        <v>TALLER SFT DE MECÁNICA AUTOMOTRIZ</v>
      </c>
      <c r="D1336" s="213" t="str">
        <f>IFERROR(__xludf.DUMMYFUNCTION("""COMPUTED_VALUE"""),"PEDAGOGICO")</f>
        <v>PEDAGOGICO</v>
      </c>
      <c r="E1336" s="213" t="str">
        <f>IFERROR(__xludf.DUMMYFUNCTION("""COMPUTED_VALUE"""),"MAT-273")</f>
        <v>MAT-273</v>
      </c>
      <c r="F1336" s="213" t="str">
        <f>IFERROR(__xludf.DUMMYFUNCTION("""COMPUTED_VALUE"""),"KEFF-84")</f>
        <v>KEFF-84</v>
      </c>
      <c r="G1336" s="213"/>
      <c r="H1336" s="213" t="str">
        <f>IFERROR(__xludf.DUMMYFUNCTION("""COMPUTED_VALUE"""),"MANUAL DE MANTENIMIENTO POR CADA EQUIPO DEL SISTEMA SUSPENSIÓN DIRECCIÓN Y FRENOS")</f>
        <v>MANUAL DE MANTENIMIENTO POR CADA EQUIPO DEL SISTEMA SUSPENSIÓN DIRECCIÓN Y FRENOS</v>
      </c>
      <c r="I133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del sistema de suspensión, dirección y frenos
-  Descripción de los materiales que se requiere para su mantenimiento.
-   Descripción de los procedimientos para realizar el mantenimiento preventivo de cada eq"&amp;"uipo.")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del sistema de suspensión, dirección y frenos
-  Descripción de los materiales que se requiere para su mantenimiento.
-   Descripción de los procedimientos para realizar el mantenimiento preventivo de cada equipo.</v>
      </c>
      <c r="J1336" s="213">
        <f>IFERROR(__xludf.DUMMYFUNCTION("""COMPUTED_VALUE"""),3.0)</f>
        <v>3</v>
      </c>
      <c r="K1336" s="213" t="str">
        <f>IFERROR(__xludf.DUMMYFUNCTION("""COMPUTED_VALUE"""),"170 DÍAS CALENDARIO")</f>
        <v>170 DÍAS CALENDARIO</v>
      </c>
      <c r="L1336" s="213" t="str">
        <f>IFERROR(__xludf.DUMMYFUNCTION("""COMPUTED_VALUE"""),"")</f>
        <v/>
      </c>
      <c r="M1336" s="213">
        <f>IFERROR(__xludf.DUMMYFUNCTION("""COMPUTED_VALUE"""),1.0)</f>
        <v>1</v>
      </c>
      <c r="N1336" s="213">
        <f>IFERROR(__xludf.DUMMYFUNCTION("""COMPUTED_VALUE"""),2.0)</f>
        <v>2</v>
      </c>
      <c r="O1336" s="213">
        <f>IFERROR(__xludf.DUMMYFUNCTION("""COMPUTED_VALUE"""),2.0)</f>
        <v>2</v>
      </c>
      <c r="P1336" s="213"/>
      <c r="Q1336" s="213"/>
      <c r="R1336" s="213"/>
      <c r="S1336" s="213"/>
      <c r="T1336" s="213"/>
      <c r="U1336" s="213"/>
      <c r="V1336" s="213"/>
      <c r="W1336" s="213"/>
      <c r="X1336" s="213"/>
      <c r="Y1336" s="213"/>
      <c r="Z1336" s="213"/>
      <c r="AA1336" s="213"/>
      <c r="AB1336" s="213"/>
      <c r="AC1336" s="213"/>
      <c r="AD1336" s="213"/>
      <c r="AE1336" s="213"/>
      <c r="AF1336" s="213"/>
      <c r="AG1336" s="213"/>
      <c r="AH1336" s="213"/>
      <c r="AI1336" s="213"/>
      <c r="AJ1336" s="213"/>
      <c r="AK1336" s="213"/>
      <c r="AL1336" s="213"/>
      <c r="AM1336" s="213"/>
      <c r="AN1336" s="213"/>
      <c r="AO1336" s="213"/>
      <c r="AP1336" s="213"/>
      <c r="AQ1336" s="213"/>
      <c r="AR1336" s="213"/>
      <c r="AS1336" s="213"/>
      <c r="AT1336" s="213"/>
      <c r="AU1336" s="213"/>
      <c r="AV1336" s="213"/>
      <c r="AW1336" s="213"/>
      <c r="AX1336" s="213"/>
      <c r="AY1336" s="213"/>
      <c r="AZ1336" s="213"/>
      <c r="BA1336" s="213"/>
      <c r="BB1336" s="213"/>
      <c r="BC1336" s="213"/>
      <c r="BD1336" s="213"/>
    </row>
    <row r="1337">
      <c r="A1337" s="213">
        <f>IFERROR(__xludf.DUMMYFUNCTION("""COMPUTED_VALUE"""),2315.0)</f>
        <v>2315</v>
      </c>
      <c r="B1337" s="213" t="str">
        <f>IFERROR(__xludf.DUMMYFUNCTION("""COMPUTED_VALUE"""),"JOSE GRANDA")</f>
        <v>JOSE GRANDA</v>
      </c>
      <c r="C1337" s="213" t="str">
        <f>IFERROR(__xludf.DUMMYFUNCTION("""COMPUTED_VALUE"""),"TALLER SFT DE MECÁNICA AUTOMOTRIZ")</f>
        <v>TALLER SFT DE MECÁNICA AUTOMOTRIZ</v>
      </c>
      <c r="D1337" s="213" t="str">
        <f>IFERROR(__xludf.DUMMYFUNCTION("""COMPUTED_VALUE"""),"PEDAGOGICO")</f>
        <v>PEDAGOGICO</v>
      </c>
      <c r="E1337" s="213" t="str">
        <f>IFERROR(__xludf.DUMMYFUNCTION("""COMPUTED_VALUE"""),"MAT-273")</f>
        <v>MAT-273</v>
      </c>
      <c r="F1337" s="213" t="str">
        <f>IFERROR(__xludf.DUMMYFUNCTION("""COMPUTED_VALUE"""),"KEFF-84")</f>
        <v>KEFF-84</v>
      </c>
      <c r="G1337" s="213"/>
      <c r="H1337" s="213" t="str">
        <f>IFERROR(__xludf.DUMMYFUNCTION("""COMPUTED_VALUE"""),"MANUAL DE MANTENIMIENTO POR CADA EQUIPO DEL SISTEMA SUSPENSIÓN DIRECCIÓN Y FRENOS")</f>
        <v>MANUAL DE MANTENIMIENTO POR CADA EQUIPO DEL SISTEMA SUSPENSIÓN DIRECCIÓN Y FRENOS</v>
      </c>
      <c r="I133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del sistema de suspensión, dirección y frenos
-  Descripción de los materiales que se requiere para su mantenimiento.
-   Descripción de los procedimientos para realizar el mantenimiento preventivo de cada eq"&amp;"uipo.")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del sistema de suspensión, dirección y frenos
-  Descripción de los materiales que se requiere para su mantenimiento.
-   Descripción de los procedimientos para realizar el mantenimiento preventivo de cada equipo.</v>
      </c>
      <c r="J1337" s="213">
        <f>IFERROR(__xludf.DUMMYFUNCTION("""COMPUTED_VALUE"""),3.0)</f>
        <v>3</v>
      </c>
      <c r="K1337" s="213" t="str">
        <f>IFERROR(__xludf.DUMMYFUNCTION("""COMPUTED_VALUE"""),"170 DÍAS CALENDARIO")</f>
        <v>170 DÍAS CALENDARIO</v>
      </c>
      <c r="L1337" s="213" t="str">
        <f>IFERROR(__xludf.DUMMYFUNCTION("""COMPUTED_VALUE"""),"")</f>
        <v/>
      </c>
      <c r="M1337" s="213">
        <f>IFERROR(__xludf.DUMMYFUNCTION("""COMPUTED_VALUE"""),1.0)</f>
        <v>1</v>
      </c>
      <c r="N1337" s="213">
        <f>IFERROR(__xludf.DUMMYFUNCTION("""COMPUTED_VALUE"""),2.0)</f>
        <v>2</v>
      </c>
      <c r="O1337" s="213">
        <f>IFERROR(__xludf.DUMMYFUNCTION("""COMPUTED_VALUE"""),2.0)</f>
        <v>2</v>
      </c>
      <c r="P1337" s="213"/>
      <c r="Q1337" s="213"/>
      <c r="R1337" s="213"/>
      <c r="S1337" s="213"/>
      <c r="T1337" s="213"/>
      <c r="U1337" s="213"/>
      <c r="V1337" s="213"/>
      <c r="W1337" s="213"/>
      <c r="X1337" s="213"/>
      <c r="Y1337" s="213"/>
      <c r="Z1337" s="213"/>
      <c r="AA1337" s="213"/>
      <c r="AB1337" s="213"/>
      <c r="AC1337" s="213"/>
      <c r="AD1337" s="213"/>
      <c r="AE1337" s="213"/>
      <c r="AF1337" s="213"/>
      <c r="AG1337" s="213"/>
      <c r="AH1337" s="213"/>
      <c r="AI1337" s="213"/>
      <c r="AJ1337" s="213"/>
      <c r="AK1337" s="213"/>
      <c r="AL1337" s="213"/>
      <c r="AM1337" s="213"/>
      <c r="AN1337" s="213"/>
      <c r="AO1337" s="213"/>
      <c r="AP1337" s="213"/>
      <c r="AQ1337" s="213"/>
      <c r="AR1337" s="213"/>
      <c r="AS1337" s="213"/>
      <c r="AT1337" s="213"/>
      <c r="AU1337" s="213"/>
      <c r="AV1337" s="213"/>
      <c r="AW1337" s="213"/>
      <c r="AX1337" s="213"/>
      <c r="AY1337" s="213"/>
      <c r="AZ1337" s="213"/>
      <c r="BA1337" s="213"/>
      <c r="BB1337" s="213"/>
      <c r="BC1337" s="213"/>
      <c r="BD1337" s="213"/>
    </row>
    <row r="1338">
      <c r="A1338" s="213">
        <f>IFERROR(__xludf.DUMMYFUNCTION("""COMPUTED_VALUE"""),310.0)</f>
        <v>310</v>
      </c>
      <c r="B1338" s="213" t="str">
        <f>IFERROR(__xludf.DUMMYFUNCTION("""COMPUTED_VALUE"""),"2026 SIMON BOLIVAR")</f>
        <v>2026 SIMON BOLIVAR</v>
      </c>
      <c r="C1338" s="213" t="str">
        <f>IFERROR(__xludf.DUMMYFUNCTION("""COMPUTED_VALUE"""),"TALLER SFT DE COMPUTACIÓN E INFORMÁTICA")</f>
        <v>TALLER SFT DE COMPUTACIÓN E INFORMÁTICA</v>
      </c>
      <c r="D1338" s="213" t="str">
        <f>IFERROR(__xludf.DUMMYFUNCTION("""COMPUTED_VALUE"""),"PEDAGOGICO")</f>
        <v>PEDAGOGICO</v>
      </c>
      <c r="E1338" s="213" t="str">
        <f>IFERROR(__xludf.DUMMYFUNCTION("""COMPUTED_VALUE"""),"MAT-274")</f>
        <v>MAT-274</v>
      </c>
      <c r="F1338" s="213" t="str">
        <f>IFERROR(__xludf.DUMMYFUNCTION("""COMPUTED_VALUE"""),"KEFF-22")</f>
        <v>KEFF-22</v>
      </c>
      <c r="G1338" s="213"/>
      <c r="H1338" s="213" t="str">
        <f>IFERROR(__xludf.DUMMYFUNCTION("""COMPUTED_VALUE"""),"MANUAL DE MANTENIMIENTO POR CADA EQUIPO DEL TALLER DE DISEÑO GRAFICO")</f>
        <v>MANUAL DE MANTENIMIENTO POR CADA EQUIPO DEL TALLER DE DISEÑO GRAFICO</v>
      </c>
      <c r="I133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de diseño.
-   Descripción de materiales que requiere para mantenimiento
-   Descripción de procedimientos: Mantenimiento preventivo")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diseño.
-   Descripción de materiales que requiere para mantenimiento
-   Descripción de procedimientos: Mantenimiento preventivo</v>
      </c>
      <c r="J1338" s="213">
        <f>IFERROR(__xludf.DUMMYFUNCTION("""COMPUTED_VALUE"""),3.0)</f>
        <v>3</v>
      </c>
      <c r="K1338" s="213" t="str">
        <f>IFERROR(__xludf.DUMMYFUNCTION("""COMPUTED_VALUE"""),"170 DÍAS CALENDARIO")</f>
        <v>170 DÍAS CALENDARIO</v>
      </c>
      <c r="L1338" s="213" t="str">
        <f>IFERROR(__xludf.DUMMYFUNCTION("""COMPUTED_VALUE"""),"")</f>
        <v/>
      </c>
      <c r="M1338" s="213">
        <f>IFERROR(__xludf.DUMMYFUNCTION("""COMPUTED_VALUE"""),1.0)</f>
        <v>1</v>
      </c>
      <c r="N1338" s="213">
        <f>IFERROR(__xludf.DUMMYFUNCTION("""COMPUTED_VALUE"""),6.0)</f>
        <v>6</v>
      </c>
      <c r="O1338" s="213">
        <f>IFERROR(__xludf.DUMMYFUNCTION("""COMPUTED_VALUE"""),6.0)</f>
        <v>6</v>
      </c>
      <c r="P1338" s="213"/>
      <c r="Q1338" s="213"/>
      <c r="R1338" s="213"/>
      <c r="S1338" s="213"/>
      <c r="T1338" s="213"/>
      <c r="U1338" s="213"/>
      <c r="V1338" s="213"/>
      <c r="W1338" s="213"/>
      <c r="X1338" s="213"/>
      <c r="Y1338" s="213"/>
      <c r="Z1338" s="213"/>
      <c r="AA1338" s="213"/>
      <c r="AB1338" s="213"/>
      <c r="AC1338" s="213"/>
      <c r="AD1338" s="213"/>
      <c r="AE1338" s="213"/>
      <c r="AF1338" s="213"/>
      <c r="AG1338" s="213"/>
      <c r="AH1338" s="213"/>
      <c r="AI1338" s="213"/>
      <c r="AJ1338" s="213"/>
      <c r="AK1338" s="213"/>
      <c r="AL1338" s="213"/>
      <c r="AM1338" s="213"/>
      <c r="AN1338" s="213"/>
      <c r="AO1338" s="213"/>
      <c r="AP1338" s="213"/>
      <c r="AQ1338" s="213"/>
      <c r="AR1338" s="213"/>
      <c r="AS1338" s="213"/>
      <c r="AT1338" s="213"/>
      <c r="AU1338" s="213"/>
      <c r="AV1338" s="213"/>
      <c r="AW1338" s="213"/>
      <c r="AX1338" s="213"/>
      <c r="AY1338" s="213"/>
      <c r="AZ1338" s="213"/>
      <c r="BA1338" s="213"/>
      <c r="BB1338" s="213"/>
      <c r="BC1338" s="213"/>
      <c r="BD1338" s="213"/>
    </row>
    <row r="1339">
      <c r="A1339" s="213">
        <f>IFERROR(__xludf.DUMMYFUNCTION("""COMPUTED_VALUE"""),796.0)</f>
        <v>796</v>
      </c>
      <c r="B1339" s="213" t="str">
        <f>IFERROR(__xludf.DUMMYFUNCTION("""COMPUTED_VALUE"""),"6049 RICARDO PALMA")</f>
        <v>6049 RICARDO PALMA</v>
      </c>
      <c r="C1339" s="213" t="str">
        <f>IFERROR(__xludf.DUMMYFUNCTION("""COMPUTED_VALUE"""),"TALLER SFT DE COMPUTACIÓN E INFORMÁTICA")</f>
        <v>TALLER SFT DE COMPUTACIÓN E INFORMÁTICA</v>
      </c>
      <c r="D1339" s="213" t="str">
        <f>IFERROR(__xludf.DUMMYFUNCTION("""COMPUTED_VALUE"""),"PEDAGOGICO")</f>
        <v>PEDAGOGICO</v>
      </c>
      <c r="E1339" s="213" t="str">
        <f>IFERROR(__xludf.DUMMYFUNCTION("""COMPUTED_VALUE"""),"MAT-274")</f>
        <v>MAT-274</v>
      </c>
      <c r="F1339" s="213" t="str">
        <f>IFERROR(__xludf.DUMMYFUNCTION("""COMPUTED_VALUE"""),"KEFF-22")</f>
        <v>KEFF-22</v>
      </c>
      <c r="G1339" s="213"/>
      <c r="H1339" s="213" t="str">
        <f>IFERROR(__xludf.DUMMYFUNCTION("""COMPUTED_VALUE"""),"MANUAL DE MANTENIMIENTO POR CADA EQUIPO DEL TALLER DE DISEÑO GRAFICO")</f>
        <v>MANUAL DE MANTENIMIENTO POR CADA EQUIPO DEL TALLER DE DISEÑO GRAFICO</v>
      </c>
      <c r="I133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de diseño.
-   Descripción de materiales que requiere para mantenimiento
-   Descripción de procedimientos: Mantenimiento preventivo")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diseño.
-   Descripción de materiales que requiere para mantenimiento
-   Descripción de procedimientos: Mantenimiento preventivo</v>
      </c>
      <c r="J1339" s="213">
        <f>IFERROR(__xludf.DUMMYFUNCTION("""COMPUTED_VALUE"""),3.0)</f>
        <v>3</v>
      </c>
      <c r="K1339" s="213" t="str">
        <f>IFERROR(__xludf.DUMMYFUNCTION("""COMPUTED_VALUE"""),"170 DÍAS CALENDARIO")</f>
        <v>170 DÍAS CALENDARIO</v>
      </c>
      <c r="L1339" s="213" t="str">
        <f>IFERROR(__xludf.DUMMYFUNCTION("""COMPUTED_VALUE"""),"")</f>
        <v/>
      </c>
      <c r="M1339" s="213">
        <f>IFERROR(__xludf.DUMMYFUNCTION("""COMPUTED_VALUE"""),1.0)</f>
        <v>1</v>
      </c>
      <c r="N1339" s="213">
        <f>IFERROR(__xludf.DUMMYFUNCTION("""COMPUTED_VALUE"""),6.0)</f>
        <v>6</v>
      </c>
      <c r="O1339" s="213">
        <f>IFERROR(__xludf.DUMMYFUNCTION("""COMPUTED_VALUE"""),6.0)</f>
        <v>6</v>
      </c>
      <c r="P1339" s="213"/>
      <c r="Q1339" s="213"/>
      <c r="R1339" s="213"/>
      <c r="S1339" s="213"/>
      <c r="T1339" s="213"/>
      <c r="U1339" s="213"/>
      <c r="V1339" s="213"/>
      <c r="W1339" s="213"/>
      <c r="X1339" s="213"/>
      <c r="Y1339" s="213"/>
      <c r="Z1339" s="213"/>
      <c r="AA1339" s="213"/>
      <c r="AB1339" s="213"/>
      <c r="AC1339" s="213"/>
      <c r="AD1339" s="213"/>
      <c r="AE1339" s="213"/>
      <c r="AF1339" s="213"/>
      <c r="AG1339" s="213"/>
      <c r="AH1339" s="213"/>
      <c r="AI1339" s="213"/>
      <c r="AJ1339" s="213"/>
      <c r="AK1339" s="213"/>
      <c r="AL1339" s="213"/>
      <c r="AM1339" s="213"/>
      <c r="AN1339" s="213"/>
      <c r="AO1339" s="213"/>
      <c r="AP1339" s="213"/>
      <c r="AQ1339" s="213"/>
      <c r="AR1339" s="213"/>
      <c r="AS1339" s="213"/>
      <c r="AT1339" s="213"/>
      <c r="AU1339" s="213"/>
      <c r="AV1339" s="213"/>
      <c r="AW1339" s="213"/>
      <c r="AX1339" s="213"/>
      <c r="AY1339" s="213"/>
      <c r="AZ1339" s="213"/>
      <c r="BA1339" s="213"/>
      <c r="BB1339" s="213"/>
      <c r="BC1339" s="213"/>
      <c r="BD1339" s="213"/>
    </row>
    <row r="1340">
      <c r="A1340" s="213">
        <f>IFERROR(__xludf.DUMMYFUNCTION("""COMPUTED_VALUE"""),1734.0)</f>
        <v>1734</v>
      </c>
      <c r="B1340" s="213" t="str">
        <f>IFERROR(__xludf.DUMMYFUNCTION("""COMPUTED_VALUE"""),"GUILLERMO E. BILLINGHURST ")</f>
        <v>GUILLERMO E. BILLINGHURST </v>
      </c>
      <c r="C1340" s="213" t="str">
        <f>IFERROR(__xludf.DUMMYFUNCTION("""COMPUTED_VALUE"""),"TALLER SFT DE COMPUTACIÓN E INFORMÁTICA")</f>
        <v>TALLER SFT DE COMPUTACIÓN E INFORMÁTICA</v>
      </c>
      <c r="D1340" s="213" t="str">
        <f>IFERROR(__xludf.DUMMYFUNCTION("""COMPUTED_VALUE"""),"PEDAGOGICO")</f>
        <v>PEDAGOGICO</v>
      </c>
      <c r="E1340" s="213" t="str">
        <f>IFERROR(__xludf.DUMMYFUNCTION("""COMPUTED_VALUE"""),"MAT-274")</f>
        <v>MAT-274</v>
      </c>
      <c r="F1340" s="213" t="str">
        <f>IFERROR(__xludf.DUMMYFUNCTION("""COMPUTED_VALUE"""),"KEFF-22")</f>
        <v>KEFF-22</v>
      </c>
      <c r="G1340" s="213"/>
      <c r="H1340" s="213" t="str">
        <f>IFERROR(__xludf.DUMMYFUNCTION("""COMPUTED_VALUE"""),"MANUAL DE MANTENIMIENTO POR CADA EQUIPO DEL TALLER DE DISEÑO GRAFICO")</f>
        <v>MANUAL DE MANTENIMIENTO POR CADA EQUIPO DEL TALLER DE DISEÑO GRAFICO</v>
      </c>
      <c r="I134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de diseño.
-   Descripción de materiales que requiere para mantenimiento
-   Descripción de procedimientos: Mantenimiento preventivo")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diseño.
-   Descripción de materiales que requiere para mantenimiento
-   Descripción de procedimientos: Mantenimiento preventivo</v>
      </c>
      <c r="J1340" s="213">
        <f>IFERROR(__xludf.DUMMYFUNCTION("""COMPUTED_VALUE"""),3.0)</f>
        <v>3</v>
      </c>
      <c r="K1340" s="213" t="str">
        <f>IFERROR(__xludf.DUMMYFUNCTION("""COMPUTED_VALUE"""),"170 DÍAS CALENDARIO")</f>
        <v>170 DÍAS CALENDARIO</v>
      </c>
      <c r="L1340" s="213" t="str">
        <f>IFERROR(__xludf.DUMMYFUNCTION("""COMPUTED_VALUE"""),"")</f>
        <v/>
      </c>
      <c r="M1340" s="213">
        <f>IFERROR(__xludf.DUMMYFUNCTION("""COMPUTED_VALUE"""),1.0)</f>
        <v>1</v>
      </c>
      <c r="N1340" s="213">
        <f>IFERROR(__xludf.DUMMYFUNCTION("""COMPUTED_VALUE"""),6.0)</f>
        <v>6</v>
      </c>
      <c r="O1340" s="213">
        <f>IFERROR(__xludf.DUMMYFUNCTION("""COMPUTED_VALUE"""),6.0)</f>
        <v>6</v>
      </c>
      <c r="P1340" s="213"/>
      <c r="Q1340" s="213"/>
      <c r="R1340" s="213"/>
      <c r="S1340" s="213"/>
      <c r="T1340" s="213"/>
      <c r="U1340" s="213"/>
      <c r="V1340" s="213"/>
      <c r="W1340" s="213"/>
      <c r="X1340" s="213"/>
      <c r="Y1340" s="213"/>
      <c r="Z1340" s="213"/>
      <c r="AA1340" s="213"/>
      <c r="AB1340" s="213"/>
      <c r="AC1340" s="213"/>
      <c r="AD1340" s="213"/>
      <c r="AE1340" s="213"/>
      <c r="AF1340" s="213"/>
      <c r="AG1340" s="213"/>
      <c r="AH1340" s="213"/>
      <c r="AI1340" s="213"/>
      <c r="AJ1340" s="213"/>
      <c r="AK1340" s="213"/>
      <c r="AL1340" s="213"/>
      <c r="AM1340" s="213"/>
      <c r="AN1340" s="213"/>
      <c r="AO1340" s="213"/>
      <c r="AP1340" s="213"/>
      <c r="AQ1340" s="213"/>
      <c r="AR1340" s="213"/>
      <c r="AS1340" s="213"/>
      <c r="AT1340" s="213"/>
      <c r="AU1340" s="213"/>
      <c r="AV1340" s="213"/>
      <c r="AW1340" s="213"/>
      <c r="AX1340" s="213"/>
      <c r="AY1340" s="213"/>
      <c r="AZ1340" s="213"/>
      <c r="BA1340" s="213"/>
      <c r="BB1340" s="213"/>
      <c r="BC1340" s="213"/>
      <c r="BD1340" s="213"/>
    </row>
    <row r="1341">
      <c r="A1341" s="213">
        <f>IFERROR(__xludf.DUMMYFUNCTION("""COMPUTED_VALUE"""),1984.0)</f>
        <v>1984</v>
      </c>
      <c r="B1341" s="213" t="str">
        <f>IFERROR(__xludf.DUMMYFUNCTION("""COMPUTED_VALUE"""),"JOSE GRANDA")</f>
        <v>JOSE GRANDA</v>
      </c>
      <c r="C1341" s="213" t="str">
        <f>IFERROR(__xludf.DUMMYFUNCTION("""COMPUTED_VALUE"""),"TALLER SFT DE COMPUTACIÓN E INFORMÁTICA")</f>
        <v>TALLER SFT DE COMPUTACIÓN E INFORMÁTICA</v>
      </c>
      <c r="D1341" s="213" t="str">
        <f>IFERROR(__xludf.DUMMYFUNCTION("""COMPUTED_VALUE"""),"PEDAGOGICO")</f>
        <v>PEDAGOGICO</v>
      </c>
      <c r="E1341" s="213" t="str">
        <f>IFERROR(__xludf.DUMMYFUNCTION("""COMPUTED_VALUE"""),"MAT-274")</f>
        <v>MAT-274</v>
      </c>
      <c r="F1341" s="213" t="str">
        <f>IFERROR(__xludf.DUMMYFUNCTION("""COMPUTED_VALUE"""),"KEFF-22")</f>
        <v>KEFF-22</v>
      </c>
      <c r="G1341" s="213"/>
      <c r="H1341" s="213" t="str">
        <f>IFERROR(__xludf.DUMMYFUNCTION("""COMPUTED_VALUE"""),"MANUAL DE MANTENIMIENTO POR CADA EQUIPO DEL TALLER DE DISEÑO GRAFICO")</f>
        <v>MANUAL DE MANTENIMIENTO POR CADA EQUIPO DEL TALLER DE DISEÑO GRAFICO</v>
      </c>
      <c r="I134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de diseño.
-   Descripción de materiales que requiere para mantenimiento
-   Descripción de procedimientos: Mantenimiento preventivo")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diseño.
-   Descripción de materiales que requiere para mantenimiento
-   Descripción de procedimientos: Mantenimiento preventivo</v>
      </c>
      <c r="J1341" s="213">
        <f>IFERROR(__xludf.DUMMYFUNCTION("""COMPUTED_VALUE"""),3.0)</f>
        <v>3</v>
      </c>
      <c r="K1341" s="213" t="str">
        <f>IFERROR(__xludf.DUMMYFUNCTION("""COMPUTED_VALUE"""),"170 DÍAS CALENDARIO")</f>
        <v>170 DÍAS CALENDARIO</v>
      </c>
      <c r="L1341" s="213" t="str">
        <f>IFERROR(__xludf.DUMMYFUNCTION("""COMPUTED_VALUE"""),"")</f>
        <v/>
      </c>
      <c r="M1341" s="213">
        <f>IFERROR(__xludf.DUMMYFUNCTION("""COMPUTED_VALUE"""),1.0)</f>
        <v>1</v>
      </c>
      <c r="N1341" s="213">
        <f>IFERROR(__xludf.DUMMYFUNCTION("""COMPUTED_VALUE"""),6.0)</f>
        <v>6</v>
      </c>
      <c r="O1341" s="213">
        <f>IFERROR(__xludf.DUMMYFUNCTION("""COMPUTED_VALUE"""),6.0)</f>
        <v>6</v>
      </c>
      <c r="P1341" s="213"/>
      <c r="Q1341" s="213"/>
      <c r="R1341" s="213"/>
      <c r="S1341" s="213"/>
      <c r="T1341" s="213"/>
      <c r="U1341" s="213"/>
      <c r="V1341" s="213"/>
      <c r="W1341" s="213"/>
      <c r="X1341" s="213"/>
      <c r="Y1341" s="213"/>
      <c r="Z1341" s="213"/>
      <c r="AA1341" s="213"/>
      <c r="AB1341" s="213"/>
      <c r="AC1341" s="213"/>
      <c r="AD1341" s="213"/>
      <c r="AE1341" s="213"/>
      <c r="AF1341" s="213"/>
      <c r="AG1341" s="213"/>
      <c r="AH1341" s="213"/>
      <c r="AI1341" s="213"/>
      <c r="AJ1341" s="213"/>
      <c r="AK1341" s="213"/>
      <c r="AL1341" s="213"/>
      <c r="AM1341" s="213"/>
      <c r="AN1341" s="213"/>
      <c r="AO1341" s="213"/>
      <c r="AP1341" s="213"/>
      <c r="AQ1341" s="213"/>
      <c r="AR1341" s="213"/>
      <c r="AS1341" s="213"/>
      <c r="AT1341" s="213"/>
      <c r="AU1341" s="213"/>
      <c r="AV1341" s="213"/>
      <c r="AW1341" s="213"/>
      <c r="AX1341" s="213"/>
      <c r="AY1341" s="213"/>
      <c r="AZ1341" s="213"/>
      <c r="BA1341" s="213"/>
      <c r="BB1341" s="213"/>
      <c r="BC1341" s="213"/>
      <c r="BD1341" s="213"/>
    </row>
    <row r="1342">
      <c r="A1342" s="213">
        <f>IFERROR(__xludf.DUMMYFUNCTION("""COMPUTED_VALUE"""),318.0)</f>
        <v>318</v>
      </c>
      <c r="B1342" s="213" t="str">
        <f>IFERROR(__xludf.DUMMYFUNCTION("""COMPUTED_VALUE"""),"2026 SIMON BOLIVAR")</f>
        <v>2026 SIMON BOLIVAR</v>
      </c>
      <c r="C1342" s="213" t="str">
        <f>IFERROR(__xludf.DUMMYFUNCTION("""COMPUTED_VALUE"""),"TALLER SFT DE COMPUTACIÓN E INFORMÁTICA")</f>
        <v>TALLER SFT DE COMPUTACIÓN E INFORMÁTICA</v>
      </c>
      <c r="D1342" s="213" t="str">
        <f>IFERROR(__xludf.DUMMYFUNCTION("""COMPUTED_VALUE"""),"PEDAGOGICO")</f>
        <v>PEDAGOGICO</v>
      </c>
      <c r="E1342" s="213" t="str">
        <f>IFERROR(__xludf.DUMMYFUNCTION("""COMPUTED_VALUE"""),"MAT-276")</f>
        <v>MAT-276</v>
      </c>
      <c r="F1342" s="213" t="str">
        <f>IFERROR(__xludf.DUMMYFUNCTION("""COMPUTED_VALUE"""),"KEFF-25")</f>
        <v>KEFF-25</v>
      </c>
      <c r="G1342" s="213"/>
      <c r="H1342" s="213" t="str">
        <f>IFERROR(__xludf.DUMMYFUNCTION("""COMPUTED_VALUE"""),"MANUAL DE MANTENIMIENTO POR CADA EQUIPO DEL TALLER DE PRODUCCIÓN AUDIO VISUAL")</f>
        <v>MANUAL DE MANTENIMIENTO POR CADA EQUIPO DEL TALLER DE PRODUCCIÓN AUDIO VISUAL</v>
      </c>
      <c r="I134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del tipo d"&amp;"e mantenimiento que requiere cada equipo de diseño y producción audiovisual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del tipo de mantenimiento que requiere cada equipo de diseño y producción audiovisual
-   Descripción de los materiales que se requiere para su mantenimiento.
-   Descripción de los procedimientos para realizar el mantenimiento preventivo de cada equipo.</v>
      </c>
      <c r="J1342" s="213">
        <f>IFERROR(__xludf.DUMMYFUNCTION("""COMPUTED_VALUE"""),3.0)</f>
        <v>3</v>
      </c>
      <c r="K1342" s="213" t="str">
        <f>IFERROR(__xludf.DUMMYFUNCTION("""COMPUTED_VALUE"""),"170 DÍAS CALENDARIO")</f>
        <v>170 DÍAS CALENDARIO</v>
      </c>
      <c r="L1342" s="213" t="str">
        <f>IFERROR(__xludf.DUMMYFUNCTION("""COMPUTED_VALUE"""),"")</f>
        <v/>
      </c>
      <c r="M1342" s="213">
        <f>IFERROR(__xludf.DUMMYFUNCTION("""COMPUTED_VALUE"""),1.0)</f>
        <v>1</v>
      </c>
      <c r="N1342" s="213">
        <f>IFERROR(__xludf.DUMMYFUNCTION("""COMPUTED_VALUE"""),6.0)</f>
        <v>6</v>
      </c>
      <c r="O1342" s="213">
        <f>IFERROR(__xludf.DUMMYFUNCTION("""COMPUTED_VALUE"""),6.0)</f>
        <v>6</v>
      </c>
      <c r="P1342" s="213"/>
      <c r="Q1342" s="213"/>
      <c r="R1342" s="213"/>
      <c r="S1342" s="213"/>
      <c r="T1342" s="213"/>
      <c r="U1342" s="213"/>
      <c r="V1342" s="213"/>
      <c r="W1342" s="213"/>
      <c r="X1342" s="213"/>
      <c r="Y1342" s="213"/>
      <c r="Z1342" s="213"/>
      <c r="AA1342" s="213"/>
      <c r="AB1342" s="213"/>
      <c r="AC1342" s="213"/>
      <c r="AD1342" s="213"/>
      <c r="AE1342" s="213"/>
      <c r="AF1342" s="213"/>
      <c r="AG1342" s="213"/>
      <c r="AH1342" s="213"/>
      <c r="AI1342" s="213"/>
      <c r="AJ1342" s="213"/>
      <c r="AK1342" s="213"/>
      <c r="AL1342" s="213"/>
      <c r="AM1342" s="213"/>
      <c r="AN1342" s="213"/>
      <c r="AO1342" s="213"/>
      <c r="AP1342" s="213"/>
      <c r="AQ1342" s="213"/>
      <c r="AR1342" s="213"/>
      <c r="AS1342" s="213"/>
      <c r="AT1342" s="213"/>
      <c r="AU1342" s="213"/>
      <c r="AV1342" s="213"/>
      <c r="AW1342" s="213"/>
      <c r="AX1342" s="213"/>
      <c r="AY1342" s="213"/>
      <c r="AZ1342" s="213"/>
      <c r="BA1342" s="213"/>
      <c r="BB1342" s="213"/>
      <c r="BC1342" s="213"/>
      <c r="BD1342" s="213"/>
    </row>
    <row r="1343">
      <c r="A1343" s="213">
        <f>IFERROR(__xludf.DUMMYFUNCTION("""COMPUTED_VALUE"""),804.0)</f>
        <v>804</v>
      </c>
      <c r="B1343" s="213" t="str">
        <f>IFERROR(__xludf.DUMMYFUNCTION("""COMPUTED_VALUE"""),"6049 RICARDO PALMA")</f>
        <v>6049 RICARDO PALMA</v>
      </c>
      <c r="C1343" s="213" t="str">
        <f>IFERROR(__xludf.DUMMYFUNCTION("""COMPUTED_VALUE"""),"TALLER SFT DE COMPUTACIÓN E INFORMÁTICA")</f>
        <v>TALLER SFT DE COMPUTACIÓN E INFORMÁTICA</v>
      </c>
      <c r="D1343" s="213" t="str">
        <f>IFERROR(__xludf.DUMMYFUNCTION("""COMPUTED_VALUE"""),"PEDAGOGICO")</f>
        <v>PEDAGOGICO</v>
      </c>
      <c r="E1343" s="213" t="str">
        <f>IFERROR(__xludf.DUMMYFUNCTION("""COMPUTED_VALUE"""),"MAT-276")</f>
        <v>MAT-276</v>
      </c>
      <c r="F1343" s="213" t="str">
        <f>IFERROR(__xludf.DUMMYFUNCTION("""COMPUTED_VALUE"""),"KEFF-25")</f>
        <v>KEFF-25</v>
      </c>
      <c r="G1343" s="213"/>
      <c r="H1343" s="213" t="str">
        <f>IFERROR(__xludf.DUMMYFUNCTION("""COMPUTED_VALUE"""),"MANUAL DE MANTENIMIENTO POR CADA EQUIPO DEL TALLER DE PRODUCCIÓN AUDIO VISUAL")</f>
        <v>MANUAL DE MANTENIMIENTO POR CADA EQUIPO DEL TALLER DE PRODUCCIÓN AUDIO VISUAL</v>
      </c>
      <c r="I134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del tipo d"&amp;"e mantenimiento que requiere cada equipo de diseño y producción audiovisual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del tipo de mantenimiento que requiere cada equipo de diseño y producción audiovisual
-   Descripción de los materiales que se requiere para su mantenimiento.
-   Descripción de los procedimientos para realizar el mantenimiento preventivo de cada equipo.</v>
      </c>
      <c r="J1343" s="213">
        <f>IFERROR(__xludf.DUMMYFUNCTION("""COMPUTED_VALUE"""),3.0)</f>
        <v>3</v>
      </c>
      <c r="K1343" s="213" t="str">
        <f>IFERROR(__xludf.DUMMYFUNCTION("""COMPUTED_VALUE"""),"170 DÍAS CALENDARIO")</f>
        <v>170 DÍAS CALENDARIO</v>
      </c>
      <c r="L1343" s="213" t="str">
        <f>IFERROR(__xludf.DUMMYFUNCTION("""COMPUTED_VALUE"""),"")</f>
        <v/>
      </c>
      <c r="M1343" s="213">
        <f>IFERROR(__xludf.DUMMYFUNCTION("""COMPUTED_VALUE"""),1.0)</f>
        <v>1</v>
      </c>
      <c r="N1343" s="213">
        <f>IFERROR(__xludf.DUMMYFUNCTION("""COMPUTED_VALUE"""),6.0)</f>
        <v>6</v>
      </c>
      <c r="O1343" s="213">
        <f>IFERROR(__xludf.DUMMYFUNCTION("""COMPUTED_VALUE"""),6.0)</f>
        <v>6</v>
      </c>
      <c r="P1343" s="213"/>
      <c r="Q1343" s="213"/>
      <c r="R1343" s="213"/>
      <c r="S1343" s="213"/>
      <c r="T1343" s="213"/>
      <c r="U1343" s="213"/>
      <c r="V1343" s="213"/>
      <c r="W1343" s="213"/>
      <c r="X1343" s="213"/>
      <c r="Y1343" s="213"/>
      <c r="Z1343" s="213"/>
      <c r="AA1343" s="213"/>
      <c r="AB1343" s="213"/>
      <c r="AC1343" s="213"/>
      <c r="AD1343" s="213"/>
      <c r="AE1343" s="213"/>
      <c r="AF1343" s="213"/>
      <c r="AG1343" s="213"/>
      <c r="AH1343" s="213"/>
      <c r="AI1343" s="213"/>
      <c r="AJ1343" s="213"/>
      <c r="AK1343" s="213"/>
      <c r="AL1343" s="213"/>
      <c r="AM1343" s="213"/>
      <c r="AN1343" s="213"/>
      <c r="AO1343" s="213"/>
      <c r="AP1343" s="213"/>
      <c r="AQ1343" s="213"/>
      <c r="AR1343" s="213"/>
      <c r="AS1343" s="213"/>
      <c r="AT1343" s="213"/>
      <c r="AU1343" s="213"/>
      <c r="AV1343" s="213"/>
      <c r="AW1343" s="213"/>
      <c r="AX1343" s="213"/>
      <c r="AY1343" s="213"/>
      <c r="AZ1343" s="213"/>
      <c r="BA1343" s="213"/>
      <c r="BB1343" s="213"/>
      <c r="BC1343" s="213"/>
      <c r="BD1343" s="213"/>
    </row>
    <row r="1344">
      <c r="A1344" s="213">
        <f>IFERROR(__xludf.DUMMYFUNCTION("""COMPUTED_VALUE"""),1741.0)</f>
        <v>1741</v>
      </c>
      <c r="B1344" s="213" t="str">
        <f>IFERROR(__xludf.DUMMYFUNCTION("""COMPUTED_VALUE"""),"GUILLERMO E. BILLINGHURST ")</f>
        <v>GUILLERMO E. BILLINGHURST </v>
      </c>
      <c r="C1344" s="213" t="str">
        <f>IFERROR(__xludf.DUMMYFUNCTION("""COMPUTED_VALUE"""),"TALLER SFT DE COMPUTACIÓN E INFORMÁTICA")</f>
        <v>TALLER SFT DE COMPUTACIÓN E INFORMÁTICA</v>
      </c>
      <c r="D1344" s="213" t="str">
        <f>IFERROR(__xludf.DUMMYFUNCTION("""COMPUTED_VALUE"""),"PEDAGOGICO")</f>
        <v>PEDAGOGICO</v>
      </c>
      <c r="E1344" s="213" t="str">
        <f>IFERROR(__xludf.DUMMYFUNCTION("""COMPUTED_VALUE"""),"MAT-276")</f>
        <v>MAT-276</v>
      </c>
      <c r="F1344" s="213" t="str">
        <f>IFERROR(__xludf.DUMMYFUNCTION("""COMPUTED_VALUE"""),"KEFF-25")</f>
        <v>KEFF-25</v>
      </c>
      <c r="G1344" s="213"/>
      <c r="H1344" s="213" t="str">
        <f>IFERROR(__xludf.DUMMYFUNCTION("""COMPUTED_VALUE"""),"MANUAL DE MANTENIMIENTO POR CADA EQUIPO DEL TALLER DE PRODUCCIÓN AUDIO VISUAL")</f>
        <v>MANUAL DE MANTENIMIENTO POR CADA EQUIPO DEL TALLER DE PRODUCCIÓN AUDIO VISUAL</v>
      </c>
      <c r="I134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del tipo d"&amp;"e mantenimiento que requiere cada equipo de diseño y producción audiovisual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del tipo de mantenimiento que requiere cada equipo de diseño y producción audiovisual
-   Descripción de los materiales que se requiere para su mantenimiento.
-   Descripción de los procedimientos para realizar el mantenimiento preventivo de cada equipo.</v>
      </c>
      <c r="J1344" s="213">
        <f>IFERROR(__xludf.DUMMYFUNCTION("""COMPUTED_VALUE"""),3.0)</f>
        <v>3</v>
      </c>
      <c r="K1344" s="213" t="str">
        <f>IFERROR(__xludf.DUMMYFUNCTION("""COMPUTED_VALUE"""),"170 DÍAS CALENDARIO")</f>
        <v>170 DÍAS CALENDARIO</v>
      </c>
      <c r="L1344" s="213" t="str">
        <f>IFERROR(__xludf.DUMMYFUNCTION("""COMPUTED_VALUE"""),"")</f>
        <v/>
      </c>
      <c r="M1344" s="213">
        <f>IFERROR(__xludf.DUMMYFUNCTION("""COMPUTED_VALUE"""),1.0)</f>
        <v>1</v>
      </c>
      <c r="N1344" s="213">
        <f>IFERROR(__xludf.DUMMYFUNCTION("""COMPUTED_VALUE"""),6.0)</f>
        <v>6</v>
      </c>
      <c r="O1344" s="213">
        <f>IFERROR(__xludf.DUMMYFUNCTION("""COMPUTED_VALUE"""),6.0)</f>
        <v>6</v>
      </c>
      <c r="P1344" s="213"/>
      <c r="Q1344" s="213"/>
      <c r="R1344" s="213"/>
      <c r="S1344" s="213"/>
      <c r="T1344" s="213"/>
      <c r="U1344" s="213"/>
      <c r="V1344" s="213"/>
      <c r="W1344" s="213"/>
      <c r="X1344" s="213"/>
      <c r="Y1344" s="213"/>
      <c r="Z1344" s="213"/>
      <c r="AA1344" s="213"/>
      <c r="AB1344" s="213"/>
      <c r="AC1344" s="213"/>
      <c r="AD1344" s="213"/>
      <c r="AE1344" s="213"/>
      <c r="AF1344" s="213"/>
      <c r="AG1344" s="213"/>
      <c r="AH1344" s="213"/>
      <c r="AI1344" s="213"/>
      <c r="AJ1344" s="213"/>
      <c r="AK1344" s="213"/>
      <c r="AL1344" s="213"/>
      <c r="AM1344" s="213"/>
      <c r="AN1344" s="213"/>
      <c r="AO1344" s="213"/>
      <c r="AP1344" s="213"/>
      <c r="AQ1344" s="213"/>
      <c r="AR1344" s="213"/>
      <c r="AS1344" s="213"/>
      <c r="AT1344" s="213"/>
      <c r="AU1344" s="213"/>
      <c r="AV1344" s="213"/>
      <c r="AW1344" s="213"/>
      <c r="AX1344" s="213"/>
      <c r="AY1344" s="213"/>
      <c r="AZ1344" s="213"/>
      <c r="BA1344" s="213"/>
      <c r="BB1344" s="213"/>
      <c r="BC1344" s="213"/>
      <c r="BD1344" s="213"/>
    </row>
    <row r="1345">
      <c r="A1345" s="213">
        <f>IFERROR(__xludf.DUMMYFUNCTION("""COMPUTED_VALUE"""),1992.0)</f>
        <v>1992</v>
      </c>
      <c r="B1345" s="213" t="str">
        <f>IFERROR(__xludf.DUMMYFUNCTION("""COMPUTED_VALUE"""),"JOSE GRANDA")</f>
        <v>JOSE GRANDA</v>
      </c>
      <c r="C1345" s="213" t="str">
        <f>IFERROR(__xludf.DUMMYFUNCTION("""COMPUTED_VALUE"""),"TALLER SFT DE COMPUTACIÓN E INFORMÁTICA")</f>
        <v>TALLER SFT DE COMPUTACIÓN E INFORMÁTICA</v>
      </c>
      <c r="D1345" s="213" t="str">
        <f>IFERROR(__xludf.DUMMYFUNCTION("""COMPUTED_VALUE"""),"PEDAGOGICO")</f>
        <v>PEDAGOGICO</v>
      </c>
      <c r="E1345" s="213" t="str">
        <f>IFERROR(__xludf.DUMMYFUNCTION("""COMPUTED_VALUE"""),"MAT-276")</f>
        <v>MAT-276</v>
      </c>
      <c r="F1345" s="213" t="str">
        <f>IFERROR(__xludf.DUMMYFUNCTION("""COMPUTED_VALUE"""),"KEFF-25")</f>
        <v>KEFF-25</v>
      </c>
      <c r="G1345" s="213"/>
      <c r="H1345" s="213" t="str">
        <f>IFERROR(__xludf.DUMMYFUNCTION("""COMPUTED_VALUE"""),"MANUAL DE MANTENIMIENTO POR CADA EQUIPO DEL TALLER DE PRODUCCIÓN AUDIO VISUAL")</f>
        <v>MANUAL DE MANTENIMIENTO POR CADA EQUIPO DEL TALLER DE PRODUCCIÓN AUDIO VISUAL</v>
      </c>
      <c r="I134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del tipo d"&amp;"e mantenimiento que requiere cada equipo de diseño y producción audiovisual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del tipo de mantenimiento que requiere cada equipo de diseño y producción audiovisual
-   Descripción de los materiales que se requiere para su mantenimiento.
-   Descripción de los procedimientos para realizar el mantenimiento preventivo de cada equipo.</v>
      </c>
      <c r="J1345" s="213">
        <f>IFERROR(__xludf.DUMMYFUNCTION("""COMPUTED_VALUE"""),3.0)</f>
        <v>3</v>
      </c>
      <c r="K1345" s="213" t="str">
        <f>IFERROR(__xludf.DUMMYFUNCTION("""COMPUTED_VALUE"""),"170 DÍAS CALENDARIO")</f>
        <v>170 DÍAS CALENDARIO</v>
      </c>
      <c r="L1345" s="213" t="str">
        <f>IFERROR(__xludf.DUMMYFUNCTION("""COMPUTED_VALUE"""),"")</f>
        <v/>
      </c>
      <c r="M1345" s="213">
        <f>IFERROR(__xludf.DUMMYFUNCTION("""COMPUTED_VALUE"""),1.0)</f>
        <v>1</v>
      </c>
      <c r="N1345" s="213">
        <f>IFERROR(__xludf.DUMMYFUNCTION("""COMPUTED_VALUE"""),6.0)</f>
        <v>6</v>
      </c>
      <c r="O1345" s="213">
        <f>IFERROR(__xludf.DUMMYFUNCTION("""COMPUTED_VALUE"""),6.0)</f>
        <v>6</v>
      </c>
      <c r="P1345" s="213"/>
      <c r="Q1345" s="213"/>
      <c r="R1345" s="213"/>
      <c r="S1345" s="213"/>
      <c r="T1345" s="213"/>
      <c r="U1345" s="213"/>
      <c r="V1345" s="213"/>
      <c r="W1345" s="213"/>
      <c r="X1345" s="213"/>
      <c r="Y1345" s="213"/>
      <c r="Z1345" s="213"/>
      <c r="AA1345" s="213"/>
      <c r="AB1345" s="213"/>
      <c r="AC1345" s="213"/>
      <c r="AD1345" s="213"/>
      <c r="AE1345" s="213"/>
      <c r="AF1345" s="213"/>
      <c r="AG1345" s="213"/>
      <c r="AH1345" s="213"/>
      <c r="AI1345" s="213"/>
      <c r="AJ1345" s="213"/>
      <c r="AK1345" s="213"/>
      <c r="AL1345" s="213"/>
      <c r="AM1345" s="213"/>
      <c r="AN1345" s="213"/>
      <c r="AO1345" s="213"/>
      <c r="AP1345" s="213"/>
      <c r="AQ1345" s="213"/>
      <c r="AR1345" s="213"/>
      <c r="AS1345" s="213"/>
      <c r="AT1345" s="213"/>
      <c r="AU1345" s="213"/>
      <c r="AV1345" s="213"/>
      <c r="AW1345" s="213"/>
      <c r="AX1345" s="213"/>
      <c r="AY1345" s="213"/>
      <c r="AZ1345" s="213"/>
      <c r="BA1345" s="213"/>
      <c r="BB1345" s="213"/>
      <c r="BC1345" s="213"/>
      <c r="BD1345" s="213"/>
    </row>
    <row r="1346">
      <c r="A1346" s="213">
        <f>IFERROR(__xludf.DUMMYFUNCTION("""COMPUTED_VALUE"""),305.0)</f>
        <v>305</v>
      </c>
      <c r="B1346" s="213" t="str">
        <f>IFERROR(__xludf.DUMMYFUNCTION("""COMPUTED_VALUE"""),"2026 SIMON BOLIVAR")</f>
        <v>2026 SIMON BOLIVAR</v>
      </c>
      <c r="C1346" s="213" t="str">
        <f>IFERROR(__xludf.DUMMYFUNCTION("""COMPUTED_VALUE"""),"TALLER SFT DE COMPUTACIÓN E INFORMÁTICA")</f>
        <v>TALLER SFT DE COMPUTACIÓN E INFORMÁTICA</v>
      </c>
      <c r="D1346" s="213" t="str">
        <f>IFERROR(__xludf.DUMMYFUNCTION("""COMPUTED_VALUE"""),"PEDAGOGICO")</f>
        <v>PEDAGOGICO</v>
      </c>
      <c r="E1346" s="213" t="str">
        <f>IFERROR(__xludf.DUMMYFUNCTION("""COMPUTED_VALUE"""),"MAT-277")</f>
        <v>MAT-277</v>
      </c>
      <c r="F1346" s="213" t="str">
        <f>IFERROR(__xludf.DUMMYFUNCTION("""COMPUTED_VALUE"""),"KEFF-20")</f>
        <v>KEFF-20</v>
      </c>
      <c r="G1346" s="213"/>
      <c r="H1346" s="213" t="str">
        <f>IFERROR(__xludf.DUMMYFUNCTION("""COMPUTED_VALUE"""),"MANUAL DE MANTENIMIENTO POR CADA EQUIPO DEL TALLER DE PROGRAMACIÓN")</f>
        <v>MANUAL DE MANTENIMIENTO POR CADA EQUIPO DEL TALLER DE PROGRAMACIÓN</v>
      </c>
      <c r="I134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tipo"&amp;"s de mantenimiento que requiere cada equipo de programación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programación
-   Descripción de los materiales que se requiere para su mantenimiento.
-   Descripción de los procedimientos para realizar el mantenimiento preventivo de cada equipo</v>
      </c>
      <c r="J1346" s="213">
        <f>IFERROR(__xludf.DUMMYFUNCTION("""COMPUTED_VALUE"""),3.0)</f>
        <v>3</v>
      </c>
      <c r="K1346" s="213" t="str">
        <f>IFERROR(__xludf.DUMMYFUNCTION("""COMPUTED_VALUE"""),"170 DÍAS CALENDARIO")</f>
        <v>170 DÍAS CALENDARIO</v>
      </c>
      <c r="L1346" s="213" t="str">
        <f>IFERROR(__xludf.DUMMYFUNCTION("""COMPUTED_VALUE"""),"")</f>
        <v/>
      </c>
      <c r="M1346" s="213">
        <f>IFERROR(__xludf.DUMMYFUNCTION("""COMPUTED_VALUE"""),1.0)</f>
        <v>1</v>
      </c>
      <c r="N1346" s="213">
        <f>IFERROR(__xludf.DUMMYFUNCTION("""COMPUTED_VALUE"""),6.0)</f>
        <v>6</v>
      </c>
      <c r="O1346" s="213">
        <f>IFERROR(__xludf.DUMMYFUNCTION("""COMPUTED_VALUE"""),6.0)</f>
        <v>6</v>
      </c>
      <c r="P1346" s="213"/>
      <c r="Q1346" s="213"/>
      <c r="R1346" s="213"/>
      <c r="S1346" s="213"/>
      <c r="T1346" s="213"/>
      <c r="U1346" s="213"/>
      <c r="V1346" s="213"/>
      <c r="W1346" s="213"/>
      <c r="X1346" s="213"/>
      <c r="Y1346" s="213"/>
      <c r="Z1346" s="213"/>
      <c r="AA1346" s="213"/>
      <c r="AB1346" s="213"/>
      <c r="AC1346" s="213"/>
      <c r="AD1346" s="213"/>
      <c r="AE1346" s="213"/>
      <c r="AF1346" s="213"/>
      <c r="AG1346" s="213"/>
      <c r="AH1346" s="213"/>
      <c r="AI1346" s="213"/>
      <c r="AJ1346" s="213"/>
      <c r="AK1346" s="213"/>
      <c r="AL1346" s="213"/>
      <c r="AM1346" s="213"/>
      <c r="AN1346" s="213"/>
      <c r="AO1346" s="213"/>
      <c r="AP1346" s="213"/>
      <c r="AQ1346" s="213"/>
      <c r="AR1346" s="213"/>
      <c r="AS1346" s="213"/>
      <c r="AT1346" s="213"/>
      <c r="AU1346" s="213"/>
      <c r="AV1346" s="213"/>
      <c r="AW1346" s="213"/>
      <c r="AX1346" s="213"/>
      <c r="AY1346" s="213"/>
      <c r="AZ1346" s="213"/>
      <c r="BA1346" s="213"/>
      <c r="BB1346" s="213"/>
      <c r="BC1346" s="213"/>
      <c r="BD1346" s="213"/>
    </row>
    <row r="1347">
      <c r="A1347" s="213">
        <f>IFERROR(__xludf.DUMMYFUNCTION("""COMPUTED_VALUE"""),791.0)</f>
        <v>791</v>
      </c>
      <c r="B1347" s="213" t="str">
        <f>IFERROR(__xludf.DUMMYFUNCTION("""COMPUTED_VALUE"""),"6049 RICARDO PALMA")</f>
        <v>6049 RICARDO PALMA</v>
      </c>
      <c r="C1347" s="213" t="str">
        <f>IFERROR(__xludf.DUMMYFUNCTION("""COMPUTED_VALUE"""),"TALLER SFT DE COMPUTACIÓN E INFORMÁTICA")</f>
        <v>TALLER SFT DE COMPUTACIÓN E INFORMÁTICA</v>
      </c>
      <c r="D1347" s="213" t="str">
        <f>IFERROR(__xludf.DUMMYFUNCTION("""COMPUTED_VALUE"""),"PEDAGOGICO")</f>
        <v>PEDAGOGICO</v>
      </c>
      <c r="E1347" s="213" t="str">
        <f>IFERROR(__xludf.DUMMYFUNCTION("""COMPUTED_VALUE"""),"MAT-277")</f>
        <v>MAT-277</v>
      </c>
      <c r="F1347" s="213" t="str">
        <f>IFERROR(__xludf.DUMMYFUNCTION("""COMPUTED_VALUE"""),"KEFF-20")</f>
        <v>KEFF-20</v>
      </c>
      <c r="G1347" s="213"/>
      <c r="H1347" s="213" t="str">
        <f>IFERROR(__xludf.DUMMYFUNCTION("""COMPUTED_VALUE"""),"MANUAL DE MANTENIMIENTO POR CADA EQUIPO DEL TALLER DE PROGRAMACIÓN")</f>
        <v>MANUAL DE MANTENIMIENTO POR CADA EQUIPO DEL TALLER DE PROGRAMACIÓN</v>
      </c>
      <c r="I134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tipo"&amp;"s de mantenimiento que requiere cada equipo de programación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programación
-   Descripción de los materiales que se requiere para su mantenimiento.
-   Descripción de los procedimientos para realizar el mantenimiento preventivo de cada equipo</v>
      </c>
      <c r="J1347" s="213">
        <f>IFERROR(__xludf.DUMMYFUNCTION("""COMPUTED_VALUE"""),3.0)</f>
        <v>3</v>
      </c>
      <c r="K1347" s="213" t="str">
        <f>IFERROR(__xludf.DUMMYFUNCTION("""COMPUTED_VALUE"""),"170 DÍAS CALENDARIO")</f>
        <v>170 DÍAS CALENDARIO</v>
      </c>
      <c r="L1347" s="213" t="str">
        <f>IFERROR(__xludf.DUMMYFUNCTION("""COMPUTED_VALUE"""),"")</f>
        <v/>
      </c>
      <c r="M1347" s="213">
        <f>IFERROR(__xludf.DUMMYFUNCTION("""COMPUTED_VALUE"""),1.0)</f>
        <v>1</v>
      </c>
      <c r="N1347" s="213">
        <f>IFERROR(__xludf.DUMMYFUNCTION("""COMPUTED_VALUE"""),6.0)</f>
        <v>6</v>
      </c>
      <c r="O1347" s="213">
        <f>IFERROR(__xludf.DUMMYFUNCTION("""COMPUTED_VALUE"""),6.0)</f>
        <v>6</v>
      </c>
      <c r="P1347" s="213"/>
      <c r="Q1347" s="213"/>
      <c r="R1347" s="213"/>
      <c r="S1347" s="213"/>
      <c r="T1347" s="213"/>
      <c r="U1347" s="213"/>
      <c r="V1347" s="213"/>
      <c r="W1347" s="213"/>
      <c r="X1347" s="213"/>
      <c r="Y1347" s="213"/>
      <c r="Z1347" s="213"/>
      <c r="AA1347" s="213"/>
      <c r="AB1347" s="213"/>
      <c r="AC1347" s="213"/>
      <c r="AD1347" s="213"/>
      <c r="AE1347" s="213"/>
      <c r="AF1347" s="213"/>
      <c r="AG1347" s="213"/>
      <c r="AH1347" s="213"/>
      <c r="AI1347" s="213"/>
      <c r="AJ1347" s="213"/>
      <c r="AK1347" s="213"/>
      <c r="AL1347" s="213"/>
      <c r="AM1347" s="213"/>
      <c r="AN1347" s="213"/>
      <c r="AO1347" s="213"/>
      <c r="AP1347" s="213"/>
      <c r="AQ1347" s="213"/>
      <c r="AR1347" s="213"/>
      <c r="AS1347" s="213"/>
      <c r="AT1347" s="213"/>
      <c r="AU1347" s="213"/>
      <c r="AV1347" s="213"/>
      <c r="AW1347" s="213"/>
      <c r="AX1347" s="213"/>
      <c r="AY1347" s="213"/>
      <c r="AZ1347" s="213"/>
      <c r="BA1347" s="213"/>
      <c r="BB1347" s="213"/>
      <c r="BC1347" s="213"/>
      <c r="BD1347" s="213"/>
    </row>
    <row r="1348">
      <c r="A1348" s="213">
        <f>IFERROR(__xludf.DUMMYFUNCTION("""COMPUTED_VALUE"""),1729.0)</f>
        <v>1729</v>
      </c>
      <c r="B1348" s="213" t="str">
        <f>IFERROR(__xludf.DUMMYFUNCTION("""COMPUTED_VALUE"""),"GUILLERMO E. BILLINGHURST ")</f>
        <v>GUILLERMO E. BILLINGHURST </v>
      </c>
      <c r="C1348" s="213" t="str">
        <f>IFERROR(__xludf.DUMMYFUNCTION("""COMPUTED_VALUE"""),"TALLER SFT DE COMPUTACIÓN E INFORMÁTICA")</f>
        <v>TALLER SFT DE COMPUTACIÓN E INFORMÁTICA</v>
      </c>
      <c r="D1348" s="213" t="str">
        <f>IFERROR(__xludf.DUMMYFUNCTION("""COMPUTED_VALUE"""),"PEDAGOGICO")</f>
        <v>PEDAGOGICO</v>
      </c>
      <c r="E1348" s="213" t="str">
        <f>IFERROR(__xludf.DUMMYFUNCTION("""COMPUTED_VALUE"""),"MAT-277")</f>
        <v>MAT-277</v>
      </c>
      <c r="F1348" s="213" t="str">
        <f>IFERROR(__xludf.DUMMYFUNCTION("""COMPUTED_VALUE"""),"KEFF-20")</f>
        <v>KEFF-20</v>
      </c>
      <c r="G1348" s="213"/>
      <c r="H1348" s="213" t="str">
        <f>IFERROR(__xludf.DUMMYFUNCTION("""COMPUTED_VALUE"""),"MANUAL DE MANTENIMIENTO POR CADA EQUIPO DEL TALLER DE PROGRAMACIÓN")</f>
        <v>MANUAL DE MANTENIMIENTO POR CADA EQUIPO DEL TALLER DE PROGRAMACIÓN</v>
      </c>
      <c r="I134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tipo"&amp;"s de mantenimiento que requiere cada equipo de programación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programación
-   Descripción de los materiales que se requiere para su mantenimiento.
-   Descripción de los procedimientos para realizar el mantenimiento preventivo de cada equipo</v>
      </c>
      <c r="J1348" s="213">
        <f>IFERROR(__xludf.DUMMYFUNCTION("""COMPUTED_VALUE"""),3.0)</f>
        <v>3</v>
      </c>
      <c r="K1348" s="213" t="str">
        <f>IFERROR(__xludf.DUMMYFUNCTION("""COMPUTED_VALUE"""),"170 DÍAS CALENDARIO")</f>
        <v>170 DÍAS CALENDARIO</v>
      </c>
      <c r="L1348" s="213" t="str">
        <f>IFERROR(__xludf.DUMMYFUNCTION("""COMPUTED_VALUE"""),"")</f>
        <v/>
      </c>
      <c r="M1348" s="213">
        <f>IFERROR(__xludf.DUMMYFUNCTION("""COMPUTED_VALUE"""),1.0)</f>
        <v>1</v>
      </c>
      <c r="N1348" s="213">
        <f>IFERROR(__xludf.DUMMYFUNCTION("""COMPUTED_VALUE"""),6.0)</f>
        <v>6</v>
      </c>
      <c r="O1348" s="213">
        <f>IFERROR(__xludf.DUMMYFUNCTION("""COMPUTED_VALUE"""),6.0)</f>
        <v>6</v>
      </c>
      <c r="P1348" s="213"/>
      <c r="Q1348" s="213"/>
      <c r="R1348" s="213"/>
      <c r="S1348" s="213"/>
      <c r="T1348" s="213"/>
      <c r="U1348" s="213"/>
      <c r="V1348" s="213"/>
      <c r="W1348" s="213"/>
      <c r="X1348" s="213"/>
      <c r="Y1348" s="213"/>
      <c r="Z1348" s="213"/>
      <c r="AA1348" s="213"/>
      <c r="AB1348" s="213"/>
      <c r="AC1348" s="213"/>
      <c r="AD1348" s="213"/>
      <c r="AE1348" s="213"/>
      <c r="AF1348" s="213"/>
      <c r="AG1348" s="213"/>
      <c r="AH1348" s="213"/>
      <c r="AI1348" s="213"/>
      <c r="AJ1348" s="213"/>
      <c r="AK1348" s="213"/>
      <c r="AL1348" s="213"/>
      <c r="AM1348" s="213"/>
      <c r="AN1348" s="213"/>
      <c r="AO1348" s="213"/>
      <c r="AP1348" s="213"/>
      <c r="AQ1348" s="213"/>
      <c r="AR1348" s="213"/>
      <c r="AS1348" s="213"/>
      <c r="AT1348" s="213"/>
      <c r="AU1348" s="213"/>
      <c r="AV1348" s="213"/>
      <c r="AW1348" s="213"/>
      <c r="AX1348" s="213"/>
      <c r="AY1348" s="213"/>
      <c r="AZ1348" s="213"/>
      <c r="BA1348" s="213"/>
      <c r="BB1348" s="213"/>
      <c r="BC1348" s="213"/>
      <c r="BD1348" s="213"/>
    </row>
    <row r="1349">
      <c r="A1349" s="213">
        <f>IFERROR(__xludf.DUMMYFUNCTION("""COMPUTED_VALUE"""),1979.0)</f>
        <v>1979</v>
      </c>
      <c r="B1349" s="213" t="str">
        <f>IFERROR(__xludf.DUMMYFUNCTION("""COMPUTED_VALUE"""),"JOSE GRANDA")</f>
        <v>JOSE GRANDA</v>
      </c>
      <c r="C1349" s="213" t="str">
        <f>IFERROR(__xludf.DUMMYFUNCTION("""COMPUTED_VALUE"""),"TALLER SFT DE COMPUTACIÓN E INFORMÁTICA")</f>
        <v>TALLER SFT DE COMPUTACIÓN E INFORMÁTICA</v>
      </c>
      <c r="D1349" s="213" t="str">
        <f>IFERROR(__xludf.DUMMYFUNCTION("""COMPUTED_VALUE"""),"PEDAGOGICO")</f>
        <v>PEDAGOGICO</v>
      </c>
      <c r="E1349" s="213" t="str">
        <f>IFERROR(__xludf.DUMMYFUNCTION("""COMPUTED_VALUE"""),"MAT-277")</f>
        <v>MAT-277</v>
      </c>
      <c r="F1349" s="213" t="str">
        <f>IFERROR(__xludf.DUMMYFUNCTION("""COMPUTED_VALUE"""),"KEFF-20")</f>
        <v>KEFF-20</v>
      </c>
      <c r="G1349" s="213"/>
      <c r="H1349" s="213" t="str">
        <f>IFERROR(__xludf.DUMMYFUNCTION("""COMPUTED_VALUE"""),"MANUAL DE MANTENIMIENTO POR CADA EQUIPO DEL TALLER DE PROGRAMACIÓN")</f>
        <v>MANUAL DE MANTENIMIENTO POR CADA EQUIPO DEL TALLER DE PROGRAMACIÓN</v>
      </c>
      <c r="I134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tipo"&amp;"s de mantenimiento que requiere cada equipo de programación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de programación
-   Descripción de los materiales que se requiere para su mantenimiento.
-   Descripción de los procedimientos para realizar el mantenimiento preventivo de cada equipo</v>
      </c>
      <c r="J1349" s="213">
        <f>IFERROR(__xludf.DUMMYFUNCTION("""COMPUTED_VALUE"""),3.0)</f>
        <v>3</v>
      </c>
      <c r="K1349" s="213" t="str">
        <f>IFERROR(__xludf.DUMMYFUNCTION("""COMPUTED_VALUE"""),"170 DÍAS CALENDARIO")</f>
        <v>170 DÍAS CALENDARIO</v>
      </c>
      <c r="L1349" s="213" t="str">
        <f>IFERROR(__xludf.DUMMYFUNCTION("""COMPUTED_VALUE"""),"")</f>
        <v/>
      </c>
      <c r="M1349" s="213">
        <f>IFERROR(__xludf.DUMMYFUNCTION("""COMPUTED_VALUE"""),1.0)</f>
        <v>1</v>
      </c>
      <c r="N1349" s="213">
        <f>IFERROR(__xludf.DUMMYFUNCTION("""COMPUTED_VALUE"""),6.0)</f>
        <v>6</v>
      </c>
      <c r="O1349" s="213">
        <f>IFERROR(__xludf.DUMMYFUNCTION("""COMPUTED_VALUE"""),6.0)</f>
        <v>6</v>
      </c>
      <c r="P1349" s="213"/>
      <c r="Q1349" s="213"/>
      <c r="R1349" s="213"/>
      <c r="S1349" s="213"/>
      <c r="T1349" s="213"/>
      <c r="U1349" s="213"/>
      <c r="V1349" s="213"/>
      <c r="W1349" s="213"/>
      <c r="X1349" s="213"/>
      <c r="Y1349" s="213"/>
      <c r="Z1349" s="213"/>
      <c r="AA1349" s="213"/>
      <c r="AB1349" s="213"/>
      <c r="AC1349" s="213"/>
      <c r="AD1349" s="213"/>
      <c r="AE1349" s="213"/>
      <c r="AF1349" s="213"/>
      <c r="AG1349" s="213"/>
      <c r="AH1349" s="213"/>
      <c r="AI1349" s="213"/>
      <c r="AJ1349" s="213"/>
      <c r="AK1349" s="213"/>
      <c r="AL1349" s="213"/>
      <c r="AM1349" s="213"/>
      <c r="AN1349" s="213"/>
      <c r="AO1349" s="213"/>
      <c r="AP1349" s="213"/>
      <c r="AQ1349" s="213"/>
      <c r="AR1349" s="213"/>
      <c r="AS1349" s="213"/>
      <c r="AT1349" s="213"/>
      <c r="AU1349" s="213"/>
      <c r="AV1349" s="213"/>
      <c r="AW1349" s="213"/>
      <c r="AX1349" s="213"/>
      <c r="AY1349" s="213"/>
      <c r="AZ1349" s="213"/>
      <c r="BA1349" s="213"/>
      <c r="BB1349" s="213"/>
      <c r="BC1349" s="213"/>
      <c r="BD1349" s="213"/>
    </row>
    <row r="1350">
      <c r="A1350" s="213">
        <f>IFERROR(__xludf.DUMMYFUNCTION("""COMPUTED_VALUE"""),328.0)</f>
        <v>328</v>
      </c>
      <c r="B1350" s="213" t="str">
        <f>IFERROR(__xludf.DUMMYFUNCTION("""COMPUTED_VALUE"""),"2026 SIMON BOLIVAR")</f>
        <v>2026 SIMON BOLIVAR</v>
      </c>
      <c r="C1350" s="213" t="str">
        <f>IFERROR(__xludf.DUMMYFUNCTION("""COMPUTED_VALUE"""),"TALLER SFT DE COMPUTACIÓN E INFORMÁTICA")</f>
        <v>TALLER SFT DE COMPUTACIÓN E INFORMÁTICA</v>
      </c>
      <c r="D1350" s="213" t="str">
        <f>IFERROR(__xludf.DUMMYFUNCTION("""COMPUTED_VALUE"""),"PEDAGOGICO")</f>
        <v>PEDAGOGICO</v>
      </c>
      <c r="E1350" s="213" t="str">
        <f>IFERROR(__xludf.DUMMYFUNCTION("""COMPUTED_VALUE"""),"MAT-278")</f>
        <v>MAT-278</v>
      </c>
      <c r="F1350" s="213" t="str">
        <f>IFERROR(__xludf.DUMMYFUNCTION("""COMPUTED_VALUE"""),"KEFF-28")</f>
        <v>KEFF-28</v>
      </c>
      <c r="G1350" s="213"/>
      <c r="H1350" s="213" t="str">
        <f>IFERROR(__xludf.DUMMYFUNCTION("""COMPUTED_VALUE"""),"MANUAL DE MANTENIMIENTO POR CADA EQUIPO DEL TALLER DE REDES Y ROBÓTICA")</f>
        <v>MANUAL DE MANTENIMIENTO POR CADA EQUIPO DEL TALLER DE REDES Y ROBÓTICA</v>
      </c>
      <c r="I135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350" s="213">
        <f>IFERROR(__xludf.DUMMYFUNCTION("""COMPUTED_VALUE"""),3.0)</f>
        <v>3</v>
      </c>
      <c r="K1350" s="213" t="str">
        <f>IFERROR(__xludf.DUMMYFUNCTION("""COMPUTED_VALUE"""),"170 DÍAS CALENDARIO")</f>
        <v>170 DÍAS CALENDARIO</v>
      </c>
      <c r="L1350" s="213" t="str">
        <f>IFERROR(__xludf.DUMMYFUNCTION("""COMPUTED_VALUE"""),"")</f>
        <v/>
      </c>
      <c r="M1350" s="213">
        <f>IFERROR(__xludf.DUMMYFUNCTION("""COMPUTED_VALUE"""),1.0)</f>
        <v>1</v>
      </c>
      <c r="N1350" s="213">
        <f>IFERROR(__xludf.DUMMYFUNCTION("""COMPUTED_VALUE"""),6.0)</f>
        <v>6</v>
      </c>
      <c r="O1350" s="213">
        <f>IFERROR(__xludf.DUMMYFUNCTION("""COMPUTED_VALUE"""),6.0)</f>
        <v>6</v>
      </c>
      <c r="P1350" s="213"/>
      <c r="Q1350" s="213"/>
      <c r="R1350" s="213"/>
      <c r="S1350" s="213"/>
      <c r="T1350" s="213"/>
      <c r="U1350" s="213"/>
      <c r="V1350" s="213"/>
      <c r="W1350" s="213"/>
      <c r="X1350" s="213"/>
      <c r="Y1350" s="213"/>
      <c r="Z1350" s="213"/>
      <c r="AA1350" s="213"/>
      <c r="AB1350" s="213"/>
      <c r="AC1350" s="213"/>
      <c r="AD1350" s="213"/>
      <c r="AE1350" s="213"/>
      <c r="AF1350" s="213"/>
      <c r="AG1350" s="213"/>
      <c r="AH1350" s="213"/>
      <c r="AI1350" s="213"/>
      <c r="AJ1350" s="213"/>
      <c r="AK1350" s="213"/>
      <c r="AL1350" s="213"/>
      <c r="AM1350" s="213"/>
      <c r="AN1350" s="213"/>
      <c r="AO1350" s="213"/>
      <c r="AP1350" s="213"/>
      <c r="AQ1350" s="213"/>
      <c r="AR1350" s="213"/>
      <c r="AS1350" s="213"/>
      <c r="AT1350" s="213"/>
      <c r="AU1350" s="213"/>
      <c r="AV1350" s="213"/>
      <c r="AW1350" s="213"/>
      <c r="AX1350" s="213"/>
      <c r="AY1350" s="213"/>
      <c r="AZ1350" s="213"/>
      <c r="BA1350" s="213"/>
      <c r="BB1350" s="213"/>
      <c r="BC1350" s="213"/>
      <c r="BD1350" s="213"/>
    </row>
    <row r="1351">
      <c r="A1351" s="213">
        <f>IFERROR(__xludf.DUMMYFUNCTION("""COMPUTED_VALUE"""),814.0)</f>
        <v>814</v>
      </c>
      <c r="B1351" s="213" t="str">
        <f>IFERROR(__xludf.DUMMYFUNCTION("""COMPUTED_VALUE"""),"6049 RICARDO PALMA")</f>
        <v>6049 RICARDO PALMA</v>
      </c>
      <c r="C1351" s="213" t="str">
        <f>IFERROR(__xludf.DUMMYFUNCTION("""COMPUTED_VALUE"""),"TALLER SFT DE COMPUTACIÓN E INFORMÁTICA")</f>
        <v>TALLER SFT DE COMPUTACIÓN E INFORMÁTICA</v>
      </c>
      <c r="D1351" s="213" t="str">
        <f>IFERROR(__xludf.DUMMYFUNCTION("""COMPUTED_VALUE"""),"PEDAGOGICO")</f>
        <v>PEDAGOGICO</v>
      </c>
      <c r="E1351" s="213" t="str">
        <f>IFERROR(__xludf.DUMMYFUNCTION("""COMPUTED_VALUE"""),"MAT-278")</f>
        <v>MAT-278</v>
      </c>
      <c r="F1351" s="213" t="str">
        <f>IFERROR(__xludf.DUMMYFUNCTION("""COMPUTED_VALUE"""),"KEFF-28")</f>
        <v>KEFF-28</v>
      </c>
      <c r="G1351" s="213"/>
      <c r="H1351" s="213" t="str">
        <f>IFERROR(__xludf.DUMMYFUNCTION("""COMPUTED_VALUE"""),"MANUAL DE MANTENIMIENTO POR CADA EQUIPO DEL TALLER DE REDES Y ROBÓTICA")</f>
        <v>MANUAL DE MANTENIMIENTO POR CADA EQUIPO DEL TALLER DE REDES Y ROBÓTICA</v>
      </c>
      <c r="I135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351" s="213">
        <f>IFERROR(__xludf.DUMMYFUNCTION("""COMPUTED_VALUE"""),3.0)</f>
        <v>3</v>
      </c>
      <c r="K1351" s="213" t="str">
        <f>IFERROR(__xludf.DUMMYFUNCTION("""COMPUTED_VALUE"""),"170 DÍAS CALENDARIO")</f>
        <v>170 DÍAS CALENDARIO</v>
      </c>
      <c r="L1351" s="213" t="str">
        <f>IFERROR(__xludf.DUMMYFUNCTION("""COMPUTED_VALUE"""),"")</f>
        <v/>
      </c>
      <c r="M1351" s="213">
        <f>IFERROR(__xludf.DUMMYFUNCTION("""COMPUTED_VALUE"""),1.0)</f>
        <v>1</v>
      </c>
      <c r="N1351" s="213">
        <f>IFERROR(__xludf.DUMMYFUNCTION("""COMPUTED_VALUE"""),6.0)</f>
        <v>6</v>
      </c>
      <c r="O1351" s="213">
        <f>IFERROR(__xludf.DUMMYFUNCTION("""COMPUTED_VALUE"""),6.0)</f>
        <v>6</v>
      </c>
      <c r="P1351" s="213"/>
      <c r="Q1351" s="213"/>
      <c r="R1351" s="213"/>
      <c r="S1351" s="213"/>
      <c r="T1351" s="213"/>
      <c r="U1351" s="213"/>
      <c r="V1351" s="213"/>
      <c r="W1351" s="213"/>
      <c r="X1351" s="213"/>
      <c r="Y1351" s="213"/>
      <c r="Z1351" s="213"/>
      <c r="AA1351" s="213"/>
      <c r="AB1351" s="213"/>
      <c r="AC1351" s="213"/>
      <c r="AD1351" s="213"/>
      <c r="AE1351" s="213"/>
      <c r="AF1351" s="213"/>
      <c r="AG1351" s="213"/>
      <c r="AH1351" s="213"/>
      <c r="AI1351" s="213"/>
      <c r="AJ1351" s="213"/>
      <c r="AK1351" s="213"/>
      <c r="AL1351" s="213"/>
      <c r="AM1351" s="213"/>
      <c r="AN1351" s="213"/>
      <c r="AO1351" s="213"/>
      <c r="AP1351" s="213"/>
      <c r="AQ1351" s="213"/>
      <c r="AR1351" s="213"/>
      <c r="AS1351" s="213"/>
      <c r="AT1351" s="213"/>
      <c r="AU1351" s="213"/>
      <c r="AV1351" s="213"/>
      <c r="AW1351" s="213"/>
      <c r="AX1351" s="213"/>
      <c r="AY1351" s="213"/>
      <c r="AZ1351" s="213"/>
      <c r="BA1351" s="213"/>
      <c r="BB1351" s="213"/>
      <c r="BC1351" s="213"/>
      <c r="BD1351" s="213"/>
    </row>
    <row r="1352">
      <c r="A1352" s="213">
        <f>IFERROR(__xludf.DUMMYFUNCTION("""COMPUTED_VALUE"""),1751.0)</f>
        <v>1751</v>
      </c>
      <c r="B1352" s="213" t="str">
        <f>IFERROR(__xludf.DUMMYFUNCTION("""COMPUTED_VALUE"""),"GUILLERMO E. BILLINGHURST ")</f>
        <v>GUILLERMO E. BILLINGHURST </v>
      </c>
      <c r="C1352" s="213" t="str">
        <f>IFERROR(__xludf.DUMMYFUNCTION("""COMPUTED_VALUE"""),"TALLER SFT DE COMPUTACIÓN E INFORMÁTICA")</f>
        <v>TALLER SFT DE COMPUTACIÓN E INFORMÁTICA</v>
      </c>
      <c r="D1352" s="213" t="str">
        <f>IFERROR(__xludf.DUMMYFUNCTION("""COMPUTED_VALUE"""),"PEDAGOGICO")</f>
        <v>PEDAGOGICO</v>
      </c>
      <c r="E1352" s="213" t="str">
        <f>IFERROR(__xludf.DUMMYFUNCTION("""COMPUTED_VALUE"""),"MAT-278")</f>
        <v>MAT-278</v>
      </c>
      <c r="F1352" s="213" t="str">
        <f>IFERROR(__xludf.DUMMYFUNCTION("""COMPUTED_VALUE"""),"KEFF-28")</f>
        <v>KEFF-28</v>
      </c>
      <c r="G1352" s="213"/>
      <c r="H1352" s="213" t="str">
        <f>IFERROR(__xludf.DUMMYFUNCTION("""COMPUTED_VALUE"""),"MANUAL DE MANTENIMIENTO POR CADA EQUIPO DEL TALLER DE REDES Y ROBÓTICA")</f>
        <v>MANUAL DE MANTENIMIENTO POR CADA EQUIPO DEL TALLER DE REDES Y ROBÓTICA</v>
      </c>
      <c r="I135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352" s="213">
        <f>IFERROR(__xludf.DUMMYFUNCTION("""COMPUTED_VALUE"""),3.0)</f>
        <v>3</v>
      </c>
      <c r="K1352" s="213" t="str">
        <f>IFERROR(__xludf.DUMMYFUNCTION("""COMPUTED_VALUE"""),"170 DÍAS CALENDARIO")</f>
        <v>170 DÍAS CALENDARIO</v>
      </c>
      <c r="L1352" s="213" t="str">
        <f>IFERROR(__xludf.DUMMYFUNCTION("""COMPUTED_VALUE"""),"")</f>
        <v/>
      </c>
      <c r="M1352" s="213">
        <f>IFERROR(__xludf.DUMMYFUNCTION("""COMPUTED_VALUE"""),1.0)</f>
        <v>1</v>
      </c>
      <c r="N1352" s="213">
        <f>IFERROR(__xludf.DUMMYFUNCTION("""COMPUTED_VALUE"""),6.0)</f>
        <v>6</v>
      </c>
      <c r="O1352" s="213">
        <f>IFERROR(__xludf.DUMMYFUNCTION("""COMPUTED_VALUE"""),6.0)</f>
        <v>6</v>
      </c>
      <c r="P1352" s="213"/>
      <c r="Q1352" s="213"/>
      <c r="R1352" s="213"/>
      <c r="S1352" s="213"/>
      <c r="T1352" s="213"/>
      <c r="U1352" s="213"/>
      <c r="V1352" s="213"/>
      <c r="W1352" s="213"/>
      <c r="X1352" s="213"/>
      <c r="Y1352" s="213"/>
      <c r="Z1352" s="213"/>
      <c r="AA1352" s="213"/>
      <c r="AB1352" s="213"/>
      <c r="AC1352" s="213"/>
      <c r="AD1352" s="213"/>
      <c r="AE1352" s="213"/>
      <c r="AF1352" s="213"/>
      <c r="AG1352" s="213"/>
      <c r="AH1352" s="213"/>
      <c r="AI1352" s="213"/>
      <c r="AJ1352" s="213"/>
      <c r="AK1352" s="213"/>
      <c r="AL1352" s="213"/>
      <c r="AM1352" s="213"/>
      <c r="AN1352" s="213"/>
      <c r="AO1352" s="213"/>
      <c r="AP1352" s="213"/>
      <c r="AQ1352" s="213"/>
      <c r="AR1352" s="213"/>
      <c r="AS1352" s="213"/>
      <c r="AT1352" s="213"/>
      <c r="AU1352" s="213"/>
      <c r="AV1352" s="213"/>
      <c r="AW1352" s="213"/>
      <c r="AX1352" s="213"/>
      <c r="AY1352" s="213"/>
      <c r="AZ1352" s="213"/>
      <c r="BA1352" s="213"/>
      <c r="BB1352" s="213"/>
      <c r="BC1352" s="213"/>
      <c r="BD1352" s="213"/>
    </row>
    <row r="1353">
      <c r="A1353" s="213">
        <f>IFERROR(__xludf.DUMMYFUNCTION("""COMPUTED_VALUE"""),2002.0)</f>
        <v>2002</v>
      </c>
      <c r="B1353" s="213" t="str">
        <f>IFERROR(__xludf.DUMMYFUNCTION("""COMPUTED_VALUE"""),"JOSE GRANDA")</f>
        <v>JOSE GRANDA</v>
      </c>
      <c r="C1353" s="213" t="str">
        <f>IFERROR(__xludf.DUMMYFUNCTION("""COMPUTED_VALUE"""),"TALLER SFT DE COMPUTACIÓN E INFORMÁTICA")</f>
        <v>TALLER SFT DE COMPUTACIÓN E INFORMÁTICA</v>
      </c>
      <c r="D1353" s="213" t="str">
        <f>IFERROR(__xludf.DUMMYFUNCTION("""COMPUTED_VALUE"""),"PEDAGOGICO")</f>
        <v>PEDAGOGICO</v>
      </c>
      <c r="E1353" s="213" t="str">
        <f>IFERROR(__xludf.DUMMYFUNCTION("""COMPUTED_VALUE"""),"MAT-278")</f>
        <v>MAT-278</v>
      </c>
      <c r="F1353" s="213" t="str">
        <f>IFERROR(__xludf.DUMMYFUNCTION("""COMPUTED_VALUE"""),"KEFF-28")</f>
        <v>KEFF-28</v>
      </c>
      <c r="G1353" s="213"/>
      <c r="H1353" s="213" t="str">
        <f>IFERROR(__xludf.DUMMYFUNCTION("""COMPUTED_VALUE"""),"MANUAL DE MANTENIMIENTO POR CADA EQUIPO DEL TALLER DE REDES Y ROBÓTICA")</f>
        <v>MANUAL DE MANTENIMIENTO POR CADA EQUIPO DEL TALLER DE REDES Y ROBÓTICA</v>
      </c>
      <c r="I135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   Descripción de los materiales que se requiere para su mantenimiento.
-   Descripción de los procedimientos para realizar el mantenimiento preventivo de cada equipo</v>
      </c>
      <c r="J1353" s="213">
        <f>IFERROR(__xludf.DUMMYFUNCTION("""COMPUTED_VALUE"""),3.0)</f>
        <v>3</v>
      </c>
      <c r="K1353" s="213" t="str">
        <f>IFERROR(__xludf.DUMMYFUNCTION("""COMPUTED_VALUE"""),"170 DÍAS CALENDARIO")</f>
        <v>170 DÍAS CALENDARIO</v>
      </c>
      <c r="L1353" s="213" t="str">
        <f>IFERROR(__xludf.DUMMYFUNCTION("""COMPUTED_VALUE"""),"")</f>
        <v/>
      </c>
      <c r="M1353" s="213">
        <f>IFERROR(__xludf.DUMMYFUNCTION("""COMPUTED_VALUE"""),1.0)</f>
        <v>1</v>
      </c>
      <c r="N1353" s="213">
        <f>IFERROR(__xludf.DUMMYFUNCTION("""COMPUTED_VALUE"""),6.0)</f>
        <v>6</v>
      </c>
      <c r="O1353" s="213">
        <f>IFERROR(__xludf.DUMMYFUNCTION("""COMPUTED_VALUE"""),6.0)</f>
        <v>6</v>
      </c>
      <c r="P1353" s="213"/>
      <c r="Q1353" s="213"/>
      <c r="R1353" s="213"/>
      <c r="S1353" s="213"/>
      <c r="T1353" s="213"/>
      <c r="U1353" s="213"/>
      <c r="V1353" s="213"/>
      <c r="W1353" s="213"/>
      <c r="X1353" s="213"/>
      <c r="Y1353" s="213"/>
      <c r="Z1353" s="213"/>
      <c r="AA1353" s="213"/>
      <c r="AB1353" s="213"/>
      <c r="AC1353" s="213"/>
      <c r="AD1353" s="213"/>
      <c r="AE1353" s="213"/>
      <c r="AF1353" s="213"/>
      <c r="AG1353" s="213"/>
      <c r="AH1353" s="213"/>
      <c r="AI1353" s="213"/>
      <c r="AJ1353" s="213"/>
      <c r="AK1353" s="213"/>
      <c r="AL1353" s="213"/>
      <c r="AM1353" s="213"/>
      <c r="AN1353" s="213"/>
      <c r="AO1353" s="213"/>
      <c r="AP1353" s="213"/>
      <c r="AQ1353" s="213"/>
      <c r="AR1353" s="213"/>
      <c r="AS1353" s="213"/>
      <c r="AT1353" s="213"/>
      <c r="AU1353" s="213"/>
      <c r="AV1353" s="213"/>
      <c r="AW1353" s="213"/>
      <c r="AX1353" s="213"/>
      <c r="AY1353" s="213"/>
      <c r="AZ1353" s="213"/>
      <c r="BA1353" s="213"/>
      <c r="BB1353" s="213"/>
      <c r="BC1353" s="213"/>
      <c r="BD1353" s="213"/>
    </row>
    <row r="1354">
      <c r="A1354" s="213">
        <f>IFERROR(__xludf.DUMMYFUNCTION("""COMPUTED_VALUE"""),583.0)</f>
        <v>583</v>
      </c>
      <c r="B1354" s="213" t="str">
        <f>IFERROR(__xludf.DUMMYFUNCTION("""COMPUTED_VALUE"""),"2026 SIMON BOLIVAR")</f>
        <v>2026 SIMON BOLIVAR</v>
      </c>
      <c r="C1354" s="213" t="str">
        <f>IFERROR(__xludf.DUMMYFUNCTION("""COMPUTED_VALUE"""),"TALLER SFT DE INDUSTRIA ALIMENTARIA")</f>
        <v>TALLER SFT DE INDUSTRIA ALIMENTARIA</v>
      </c>
      <c r="D1354" s="213" t="str">
        <f>IFERROR(__xludf.DUMMYFUNCTION("""COMPUTED_VALUE"""),"PEDAGOGICO")</f>
        <v>PEDAGOGICO</v>
      </c>
      <c r="E1354" s="213" t="str">
        <f>IFERROR(__xludf.DUMMYFUNCTION("""COMPUTED_VALUE"""),"MAT-270")</f>
        <v>MAT-270</v>
      </c>
      <c r="F1354" s="213" t="str">
        <f>IFERROR(__xludf.DUMMYFUNCTION("""COMPUTED_VALUE"""),"KEFF-45")</f>
        <v>KEFF-45</v>
      </c>
      <c r="G1354" s="213"/>
      <c r="H1354" s="213" t="str">
        <f>IFERROR(__xludf.DUMMYFUNCTION("""COMPUTED_VALUE"""),"MANUAL DE MANTENIMIENTO POR CADA EQUIPO E PROCESAMIENTO DE FRUTAS Y HORTALIZAS")</f>
        <v>MANUAL DE MANTENIMIENTO POR CADA EQUIPO E PROCESAMIENTO DE FRUTAS Y HORTALIZAS</v>
      </c>
      <c r="I135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frutas y Hortalizas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frutas y Hortalizas
- Descripción de los materiales que se requiere para su mantenimiento.
- Descripción de los procedimientos para realizar el mantenimiento preventivo de cada equipo.</v>
      </c>
      <c r="J1354" s="213">
        <f>IFERROR(__xludf.DUMMYFUNCTION("""COMPUTED_VALUE"""),3.0)</f>
        <v>3</v>
      </c>
      <c r="K1354" s="213" t="str">
        <f>IFERROR(__xludf.DUMMYFUNCTION("""COMPUTED_VALUE"""),"170 DÍAS CALENDARIO")</f>
        <v>170 DÍAS CALENDARIO</v>
      </c>
      <c r="L1354" s="213" t="str">
        <f>IFERROR(__xludf.DUMMYFUNCTION("""COMPUTED_VALUE"""),"")</f>
        <v/>
      </c>
      <c r="M1354" s="213">
        <f>IFERROR(__xludf.DUMMYFUNCTION("""COMPUTED_VALUE"""),1.0)</f>
        <v>1</v>
      </c>
      <c r="N1354" s="213">
        <f>IFERROR(__xludf.DUMMYFUNCTION("""COMPUTED_VALUE"""),6.0)</f>
        <v>6</v>
      </c>
      <c r="O1354" s="213">
        <f>IFERROR(__xludf.DUMMYFUNCTION("""COMPUTED_VALUE"""),6.0)</f>
        <v>6</v>
      </c>
      <c r="P1354" s="213"/>
      <c r="Q1354" s="213"/>
      <c r="R1354" s="213"/>
      <c r="S1354" s="213"/>
      <c r="T1354" s="213"/>
      <c r="U1354" s="213"/>
      <c r="V1354" s="213"/>
      <c r="W1354" s="213"/>
      <c r="X1354" s="213"/>
      <c r="Y1354" s="213"/>
      <c r="Z1354" s="213"/>
      <c r="AA1354" s="213"/>
      <c r="AB1354" s="213"/>
      <c r="AC1354" s="213"/>
      <c r="AD1354" s="213"/>
      <c r="AE1354" s="213"/>
      <c r="AF1354" s="213"/>
      <c r="AG1354" s="213"/>
      <c r="AH1354" s="213"/>
      <c r="AI1354" s="213"/>
      <c r="AJ1354" s="213"/>
      <c r="AK1354" s="213"/>
      <c r="AL1354" s="213"/>
      <c r="AM1354" s="213"/>
      <c r="AN1354" s="213"/>
      <c r="AO1354" s="213"/>
      <c r="AP1354" s="213"/>
      <c r="AQ1354" s="213"/>
      <c r="AR1354" s="213"/>
      <c r="AS1354" s="213"/>
      <c r="AT1354" s="213"/>
      <c r="AU1354" s="213"/>
      <c r="AV1354" s="213"/>
      <c r="AW1354" s="213"/>
      <c r="AX1354" s="213"/>
      <c r="AY1354" s="213"/>
      <c r="AZ1354" s="213"/>
      <c r="BA1354" s="213"/>
      <c r="BB1354" s="213"/>
      <c r="BC1354" s="213"/>
      <c r="BD1354" s="213"/>
    </row>
    <row r="1355">
      <c r="A1355" s="213">
        <f>IFERROR(__xludf.DUMMYFUNCTION("""COMPUTED_VALUE"""),1209.0)</f>
        <v>1209</v>
      </c>
      <c r="B1355" s="213" t="str">
        <f>IFERROR(__xludf.DUMMYFUNCTION("""COMPUTED_VALUE"""),"FRANCISCO IRAZOLA")</f>
        <v>FRANCISCO IRAZOLA</v>
      </c>
      <c r="C1355" s="213" t="str">
        <f>IFERROR(__xludf.DUMMYFUNCTION("""COMPUTED_VALUE"""),"TALLER SFT DE INDUSTRIA ALIMENTARIA")</f>
        <v>TALLER SFT DE INDUSTRIA ALIMENTARIA</v>
      </c>
      <c r="D1355" s="213" t="str">
        <f>IFERROR(__xludf.DUMMYFUNCTION("""COMPUTED_VALUE"""),"PEDAGOGICO")</f>
        <v>PEDAGOGICO</v>
      </c>
      <c r="E1355" s="213" t="str">
        <f>IFERROR(__xludf.DUMMYFUNCTION("""COMPUTED_VALUE"""),"MAT-270")</f>
        <v>MAT-270</v>
      </c>
      <c r="F1355" s="213" t="str">
        <f>IFERROR(__xludf.DUMMYFUNCTION("""COMPUTED_VALUE"""),"KEFF-45")</f>
        <v>KEFF-45</v>
      </c>
      <c r="G1355" s="213"/>
      <c r="H1355" s="213" t="str">
        <f>IFERROR(__xludf.DUMMYFUNCTION("""COMPUTED_VALUE"""),"MANUAL DE MANTENIMIENTO POR CADA EQUIPO E PROCESAMIENTO DE FRUTAS Y HORTALIZAS")</f>
        <v>MANUAL DE MANTENIMIENTO POR CADA EQUIPO E PROCESAMIENTO DE FRUTAS Y HORTALIZAS</v>
      </c>
      <c r="I135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frutas y Hortalizas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frutas y Hortalizas
- Descripción de los materiales que se requiere para su mantenimiento.
- Descripción de los procedimientos para realizar el mantenimiento preventivo de cada equipo.</v>
      </c>
      <c r="J1355" s="213">
        <f>IFERROR(__xludf.DUMMYFUNCTION("""COMPUTED_VALUE"""),3.0)</f>
        <v>3</v>
      </c>
      <c r="K1355" s="213" t="str">
        <f>IFERROR(__xludf.DUMMYFUNCTION("""COMPUTED_VALUE"""),"170 DÍAS CALENDARIO")</f>
        <v>170 DÍAS CALENDARIO</v>
      </c>
      <c r="L1355" s="213" t="str">
        <f>IFERROR(__xludf.DUMMYFUNCTION("""COMPUTED_VALUE"""),"")</f>
        <v/>
      </c>
      <c r="M1355" s="213">
        <f>IFERROR(__xludf.DUMMYFUNCTION("""COMPUTED_VALUE"""),1.0)</f>
        <v>1</v>
      </c>
      <c r="N1355" s="213">
        <f>IFERROR(__xludf.DUMMYFUNCTION("""COMPUTED_VALUE"""),6.0)</f>
        <v>6</v>
      </c>
      <c r="O1355" s="213">
        <f>IFERROR(__xludf.DUMMYFUNCTION("""COMPUTED_VALUE"""),6.0)</f>
        <v>6</v>
      </c>
      <c r="P1355" s="213"/>
      <c r="Q1355" s="213"/>
      <c r="R1355" s="213"/>
      <c r="S1355" s="213"/>
      <c r="T1355" s="213"/>
      <c r="U1355" s="213"/>
      <c r="V1355" s="213"/>
      <c r="W1355" s="213"/>
      <c r="X1355" s="213"/>
      <c r="Y1355" s="213"/>
      <c r="Z1355" s="213"/>
      <c r="AA1355" s="213"/>
      <c r="AB1355" s="213"/>
      <c r="AC1355" s="213"/>
      <c r="AD1355" s="213"/>
      <c r="AE1355" s="213"/>
      <c r="AF1355" s="213"/>
      <c r="AG1355" s="213"/>
      <c r="AH1355" s="213"/>
      <c r="AI1355" s="213"/>
      <c r="AJ1355" s="213"/>
      <c r="AK1355" s="213"/>
      <c r="AL1355" s="213"/>
      <c r="AM1355" s="213"/>
      <c r="AN1355" s="213"/>
      <c r="AO1355" s="213"/>
      <c r="AP1355" s="213"/>
      <c r="AQ1355" s="213"/>
      <c r="AR1355" s="213"/>
      <c r="AS1355" s="213"/>
      <c r="AT1355" s="213"/>
      <c r="AU1355" s="213"/>
      <c r="AV1355" s="213"/>
      <c r="AW1355" s="213"/>
      <c r="AX1355" s="213"/>
      <c r="AY1355" s="213"/>
      <c r="AZ1355" s="213"/>
      <c r="BA1355" s="213"/>
      <c r="BB1355" s="213"/>
      <c r="BC1355" s="213"/>
      <c r="BD1355" s="213"/>
    </row>
    <row r="1356">
      <c r="A1356" s="213">
        <f>IFERROR(__xludf.DUMMYFUNCTION("""COMPUTED_VALUE"""),1480.0)</f>
        <v>1480</v>
      </c>
      <c r="B1356" s="213" t="str">
        <f>IFERROR(__xludf.DUMMYFUNCTION("""COMPUTED_VALUE"""),"GUILLERMO E. BILLINGHURST ")</f>
        <v>GUILLERMO E. BILLINGHURST </v>
      </c>
      <c r="C1356" s="213" t="str">
        <f>IFERROR(__xludf.DUMMYFUNCTION("""COMPUTED_VALUE"""),"TALLER SFT DE INDUSTRIA ALIMENTARIA")</f>
        <v>TALLER SFT DE INDUSTRIA ALIMENTARIA</v>
      </c>
      <c r="D1356" s="213" t="str">
        <f>IFERROR(__xludf.DUMMYFUNCTION("""COMPUTED_VALUE"""),"PEDAGOGICO")</f>
        <v>PEDAGOGICO</v>
      </c>
      <c r="E1356" s="213" t="str">
        <f>IFERROR(__xludf.DUMMYFUNCTION("""COMPUTED_VALUE"""),"MAT-270")</f>
        <v>MAT-270</v>
      </c>
      <c r="F1356" s="213" t="str">
        <f>IFERROR(__xludf.DUMMYFUNCTION("""COMPUTED_VALUE"""),"KEFF-45")</f>
        <v>KEFF-45</v>
      </c>
      <c r="G1356" s="213"/>
      <c r="H1356" s="213" t="str">
        <f>IFERROR(__xludf.DUMMYFUNCTION("""COMPUTED_VALUE"""),"MANUAL DE MANTENIMIENTO POR CADA EQUIPO E PROCESAMIENTO DE FRUTAS Y HORTALIZAS")</f>
        <v>MANUAL DE MANTENIMIENTO POR CADA EQUIPO E PROCESAMIENTO DE FRUTAS Y HORTALIZAS</v>
      </c>
      <c r="I135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frutas y Hortalizas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frutas y Hortalizas
- Descripción de los materiales que se requiere para su mantenimiento.
- Descripción de los procedimientos para realizar el mantenimiento preventivo de cada equipo.</v>
      </c>
      <c r="J1356" s="213">
        <f>IFERROR(__xludf.DUMMYFUNCTION("""COMPUTED_VALUE"""),3.0)</f>
        <v>3</v>
      </c>
      <c r="K1356" s="213" t="str">
        <f>IFERROR(__xludf.DUMMYFUNCTION("""COMPUTED_VALUE"""),"170 DÍAS CALENDARIO")</f>
        <v>170 DÍAS CALENDARIO</v>
      </c>
      <c r="L1356" s="213" t="str">
        <f>IFERROR(__xludf.DUMMYFUNCTION("""COMPUTED_VALUE"""),"")</f>
        <v/>
      </c>
      <c r="M1356" s="213">
        <f>IFERROR(__xludf.DUMMYFUNCTION("""COMPUTED_VALUE"""),1.0)</f>
        <v>1</v>
      </c>
      <c r="N1356" s="213">
        <f>IFERROR(__xludf.DUMMYFUNCTION("""COMPUTED_VALUE"""),6.0)</f>
        <v>6</v>
      </c>
      <c r="O1356" s="213">
        <f>IFERROR(__xludf.DUMMYFUNCTION("""COMPUTED_VALUE"""),6.0)</f>
        <v>6</v>
      </c>
      <c r="P1356" s="213"/>
      <c r="Q1356" s="213"/>
      <c r="R1356" s="213"/>
      <c r="S1356" s="213"/>
      <c r="T1356" s="213"/>
      <c r="U1356" s="213"/>
      <c r="V1356" s="213"/>
      <c r="W1356" s="213"/>
      <c r="X1356" s="213"/>
      <c r="Y1356" s="213"/>
      <c r="Z1356" s="213"/>
      <c r="AA1356" s="213"/>
      <c r="AB1356" s="213"/>
      <c r="AC1356" s="213"/>
      <c r="AD1356" s="213"/>
      <c r="AE1356" s="213"/>
      <c r="AF1356" s="213"/>
      <c r="AG1356" s="213"/>
      <c r="AH1356" s="213"/>
      <c r="AI1356" s="213"/>
      <c r="AJ1356" s="213"/>
      <c r="AK1356" s="213"/>
      <c r="AL1356" s="213"/>
      <c r="AM1356" s="213"/>
      <c r="AN1356" s="213"/>
      <c r="AO1356" s="213"/>
      <c r="AP1356" s="213"/>
      <c r="AQ1356" s="213"/>
      <c r="AR1356" s="213"/>
      <c r="AS1356" s="213"/>
      <c r="AT1356" s="213"/>
      <c r="AU1356" s="213"/>
      <c r="AV1356" s="213"/>
      <c r="AW1356" s="213"/>
      <c r="AX1356" s="213"/>
      <c r="AY1356" s="213"/>
      <c r="AZ1356" s="213"/>
      <c r="BA1356" s="213"/>
      <c r="BB1356" s="213"/>
      <c r="BC1356" s="213"/>
      <c r="BD1356" s="213"/>
    </row>
    <row r="1357">
      <c r="A1357" s="213">
        <f>IFERROR(__xludf.DUMMYFUNCTION("""COMPUTED_VALUE"""),2172.0)</f>
        <v>2172</v>
      </c>
      <c r="B1357" s="213" t="str">
        <f>IFERROR(__xludf.DUMMYFUNCTION("""COMPUTED_VALUE"""),"JOSE GRANDA")</f>
        <v>JOSE GRANDA</v>
      </c>
      <c r="C1357" s="213" t="str">
        <f>IFERROR(__xludf.DUMMYFUNCTION("""COMPUTED_VALUE"""),"TALLER SFT DE INDUSTRIA ALIMENTARIA")</f>
        <v>TALLER SFT DE INDUSTRIA ALIMENTARIA</v>
      </c>
      <c r="D1357" s="213" t="str">
        <f>IFERROR(__xludf.DUMMYFUNCTION("""COMPUTED_VALUE"""),"PEDAGOGICO")</f>
        <v>PEDAGOGICO</v>
      </c>
      <c r="E1357" s="213" t="str">
        <f>IFERROR(__xludf.DUMMYFUNCTION("""COMPUTED_VALUE"""),"MAT-270")</f>
        <v>MAT-270</v>
      </c>
      <c r="F1357" s="213" t="str">
        <f>IFERROR(__xludf.DUMMYFUNCTION("""COMPUTED_VALUE"""),"KEFF-45")</f>
        <v>KEFF-45</v>
      </c>
      <c r="G1357" s="213"/>
      <c r="H1357" s="213" t="str">
        <f>IFERROR(__xludf.DUMMYFUNCTION("""COMPUTED_VALUE"""),"MANUAL DE MANTENIMIENTO POR CADA EQUIPO E PROCESAMIENTO DE FRUTAS Y HORTALIZAS")</f>
        <v>MANUAL DE MANTENIMIENTO POR CADA EQUIPO E PROCESAMIENTO DE FRUTAS Y HORTALIZAS</v>
      </c>
      <c r="I135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los tip"&amp;"os de mantenimiento que requiere cada equipo de procesamiento de frutas y Hortalizas
- Descripción de los materiales que se requiere para su mantenimiento.
- Descripción de los procedimientos para realizar el mantenimiento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equipo de procesamiento de frutas y Hortalizas
- Descripción de los materiales que se requiere para su mantenimiento.
- Descripción de los procedimientos para realizar el mantenimiento preventivo de cada equipo.</v>
      </c>
      <c r="J1357" s="213">
        <f>IFERROR(__xludf.DUMMYFUNCTION("""COMPUTED_VALUE"""),3.0)</f>
        <v>3</v>
      </c>
      <c r="K1357" s="213" t="str">
        <f>IFERROR(__xludf.DUMMYFUNCTION("""COMPUTED_VALUE"""),"170 DÍAS CALENDARIO")</f>
        <v>170 DÍAS CALENDARIO</v>
      </c>
      <c r="L1357" s="213" t="str">
        <f>IFERROR(__xludf.DUMMYFUNCTION("""COMPUTED_VALUE"""),"")</f>
        <v/>
      </c>
      <c r="M1357" s="213">
        <f>IFERROR(__xludf.DUMMYFUNCTION("""COMPUTED_VALUE"""),1.0)</f>
        <v>1</v>
      </c>
      <c r="N1357" s="213">
        <f>IFERROR(__xludf.DUMMYFUNCTION("""COMPUTED_VALUE"""),6.0)</f>
        <v>6</v>
      </c>
      <c r="O1357" s="213">
        <f>IFERROR(__xludf.DUMMYFUNCTION("""COMPUTED_VALUE"""),6.0)</f>
        <v>6</v>
      </c>
      <c r="P1357" s="213"/>
      <c r="Q1357" s="213"/>
      <c r="R1357" s="213"/>
      <c r="S1357" s="213"/>
      <c r="T1357" s="213"/>
      <c r="U1357" s="213"/>
      <c r="V1357" s="213"/>
      <c r="W1357" s="213"/>
      <c r="X1357" s="213"/>
      <c r="Y1357" s="213"/>
      <c r="Z1357" s="213"/>
      <c r="AA1357" s="213"/>
      <c r="AB1357" s="213"/>
      <c r="AC1357" s="213"/>
      <c r="AD1357" s="213"/>
      <c r="AE1357" s="213"/>
      <c r="AF1357" s="213"/>
      <c r="AG1357" s="213"/>
      <c r="AH1357" s="213"/>
      <c r="AI1357" s="213"/>
      <c r="AJ1357" s="213"/>
      <c r="AK1357" s="213"/>
      <c r="AL1357" s="213"/>
      <c r="AM1357" s="213"/>
      <c r="AN1357" s="213"/>
      <c r="AO1357" s="213"/>
      <c r="AP1357" s="213"/>
      <c r="AQ1357" s="213"/>
      <c r="AR1357" s="213"/>
      <c r="AS1357" s="213"/>
      <c r="AT1357" s="213"/>
      <c r="AU1357" s="213"/>
      <c r="AV1357" s="213"/>
      <c r="AW1357" s="213"/>
      <c r="AX1357" s="213"/>
      <c r="AY1357" s="213"/>
      <c r="AZ1357" s="213"/>
      <c r="BA1357" s="213"/>
      <c r="BB1357" s="213"/>
      <c r="BC1357" s="213"/>
      <c r="BD1357" s="213"/>
    </row>
    <row r="1358">
      <c r="A1358" s="213">
        <f>IFERROR(__xludf.DUMMYFUNCTION("""COMPUTED_VALUE"""),228.0)</f>
        <v>228</v>
      </c>
      <c r="B1358" s="213" t="str">
        <f>IFERROR(__xludf.DUMMYFUNCTION("""COMPUTED_VALUE"""),"2026 SIMON BOLIVAR")</f>
        <v>2026 SIMON BOLIVAR</v>
      </c>
      <c r="C1358" s="213" t="str">
        <f>IFERROR(__xludf.DUMMYFUNCTION("""COMPUTED_VALUE"""),"TALLER SFT DE INDUSTRIA DEL VESTIDO")</f>
        <v>TALLER SFT DE INDUSTRIA DEL VESTIDO</v>
      </c>
      <c r="D1358" s="213" t="str">
        <f>IFERROR(__xludf.DUMMYFUNCTION("""COMPUTED_VALUE"""),"PEDAGOGICO")</f>
        <v>PEDAGOGICO</v>
      </c>
      <c r="E1358" s="213" t="str">
        <f>IFERROR(__xludf.DUMMYFUNCTION("""COMPUTED_VALUE"""),"MAT-271")</f>
        <v>MAT-271</v>
      </c>
      <c r="F1358" s="213" t="str">
        <f>IFERROR(__xludf.DUMMYFUNCTION("""COMPUTED_VALUE"""),"KEFF-75")</f>
        <v>KEFF-75</v>
      </c>
      <c r="G1358" s="213"/>
      <c r="H1358" s="213" t="str">
        <f>IFERROR(__xludf.DUMMYFUNCTION("""COMPUTED_VALUE"""),"MANUAL DE MANTENIMIENTO POR CADA EQUIPO EN FUNCIÓN DEL TALLER (CONFECCIONES)")</f>
        <v>MANUAL DE MANTENIMIENTO POR CADA EQUIPO EN FUNCIÓN DEL TALLER (CONFECCIONES)</v>
      </c>
      <c r="I135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en función del taller de confecciones
-  Descripción de los materiales e instrumentos que se requiere para su mantenimiento
-  Descripción de los procedimientos para realizar el mantenimiento preventivo de cada"&amp;" equipo del taller de confecciones")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en función del taller de confecciones
-  Descripción de los materiales e instrumentos que se requiere para su mantenimiento
-  Descripción de los procedimientos para realizar el mantenimiento preventivo de cada equipo del taller de confecciones</v>
      </c>
      <c r="J1358" s="213">
        <f>IFERROR(__xludf.DUMMYFUNCTION("""COMPUTED_VALUE"""),3.0)</f>
        <v>3</v>
      </c>
      <c r="K1358" s="213" t="str">
        <f>IFERROR(__xludf.DUMMYFUNCTION("""COMPUTED_VALUE"""),"170 DÍAS CALENDARIO")</f>
        <v>170 DÍAS CALENDARIO</v>
      </c>
      <c r="L1358" s="213" t="str">
        <f>IFERROR(__xludf.DUMMYFUNCTION("""COMPUTED_VALUE"""),"")</f>
        <v/>
      </c>
      <c r="M1358" s="213">
        <f>IFERROR(__xludf.DUMMYFUNCTION("""COMPUTED_VALUE"""),1.0)</f>
        <v>1</v>
      </c>
      <c r="N1358" s="213">
        <f>IFERROR(__xludf.DUMMYFUNCTION("""COMPUTED_VALUE"""),6.0)</f>
        <v>6</v>
      </c>
      <c r="O1358" s="213">
        <f>IFERROR(__xludf.DUMMYFUNCTION("""COMPUTED_VALUE"""),6.0)</f>
        <v>6</v>
      </c>
      <c r="P1358" s="213"/>
      <c r="Q1358" s="213"/>
      <c r="R1358" s="213"/>
      <c r="S1358" s="213"/>
      <c r="T1358" s="213"/>
      <c r="U1358" s="213"/>
      <c r="V1358" s="213"/>
      <c r="W1358" s="213"/>
      <c r="X1358" s="213"/>
      <c r="Y1358" s="213"/>
      <c r="Z1358" s="213"/>
      <c r="AA1358" s="213"/>
      <c r="AB1358" s="213"/>
      <c r="AC1358" s="213"/>
      <c r="AD1358" s="213"/>
      <c r="AE1358" s="213"/>
      <c r="AF1358" s="213"/>
      <c r="AG1358" s="213"/>
      <c r="AH1358" s="213"/>
      <c r="AI1358" s="213"/>
      <c r="AJ1358" s="213"/>
      <c r="AK1358" s="213"/>
      <c r="AL1358" s="213"/>
      <c r="AM1358" s="213"/>
      <c r="AN1358" s="213"/>
      <c r="AO1358" s="213"/>
      <c r="AP1358" s="213"/>
      <c r="AQ1358" s="213"/>
      <c r="AR1358" s="213"/>
      <c r="AS1358" s="213"/>
      <c r="AT1358" s="213"/>
      <c r="AU1358" s="213"/>
      <c r="AV1358" s="213"/>
      <c r="AW1358" s="213"/>
      <c r="AX1358" s="213"/>
      <c r="AY1358" s="213"/>
      <c r="AZ1358" s="213"/>
      <c r="BA1358" s="213"/>
      <c r="BB1358" s="213"/>
      <c r="BC1358" s="213"/>
      <c r="BD1358" s="213"/>
    </row>
    <row r="1359">
      <c r="A1359" s="213">
        <f>IFERROR(__xludf.DUMMYFUNCTION("""COMPUTED_VALUE"""),2442.0)</f>
        <v>2442</v>
      </c>
      <c r="B1359" s="213" t="str">
        <f>IFERROR(__xludf.DUMMYFUNCTION("""COMPUTED_VALUE"""),"MANUEL ANTONIO MESONES MURO")</f>
        <v>MANUEL ANTONIO MESONES MURO</v>
      </c>
      <c r="C1359" s="213" t="str">
        <f>IFERROR(__xludf.DUMMYFUNCTION("""COMPUTED_VALUE"""),"TALLER SFT DE INDUSTRIA DEL VESTIDO")</f>
        <v>TALLER SFT DE INDUSTRIA DEL VESTIDO</v>
      </c>
      <c r="D1359" s="213" t="str">
        <f>IFERROR(__xludf.DUMMYFUNCTION("""COMPUTED_VALUE"""),"PEDAGOGICO")</f>
        <v>PEDAGOGICO</v>
      </c>
      <c r="E1359" s="213" t="str">
        <f>IFERROR(__xludf.DUMMYFUNCTION("""COMPUTED_VALUE"""),"MAT-271")</f>
        <v>MAT-271</v>
      </c>
      <c r="F1359" s="213" t="str">
        <f>IFERROR(__xludf.DUMMYFUNCTION("""COMPUTED_VALUE"""),"KEFF-75")</f>
        <v>KEFF-75</v>
      </c>
      <c r="G1359" s="213"/>
      <c r="H1359" s="213" t="str">
        <f>IFERROR(__xludf.DUMMYFUNCTION("""COMPUTED_VALUE"""),"MANUAL DE MANTENIMIENTO POR CADA EQUIPO EN FUNCIÓN DEL TALLER (CONFECCIONES)")</f>
        <v>MANUAL DE MANTENIMIENTO POR CADA EQUIPO EN FUNCIÓN DEL TALLER (CONFECCIONES)</v>
      </c>
      <c r="I135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tip"&amp;"os de mantenimiento que requiere cada equipo en función del taller de confecciones
-  Descripción de los materiales e instrumentos que se requiere para su mantenimiento
-  Descripción de los procedimientos para realizar el mantenimiento preventivo de cada"&amp;" equipo del taller de confecciones")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cada equipo en función del taller de confecciones
-  Descripción de los materiales e instrumentos que se requiere para su mantenimiento
-  Descripción de los procedimientos para realizar el mantenimiento preventivo de cada equipo del taller de confecciones</v>
      </c>
      <c r="J1359" s="213">
        <f>IFERROR(__xludf.DUMMYFUNCTION("""COMPUTED_VALUE"""),3.0)</f>
        <v>3</v>
      </c>
      <c r="K1359" s="213" t="str">
        <f>IFERROR(__xludf.DUMMYFUNCTION("""COMPUTED_VALUE"""),"170 DÍAS CALENDARIO")</f>
        <v>170 DÍAS CALENDARIO</v>
      </c>
      <c r="L1359" s="213" t="str">
        <f>IFERROR(__xludf.DUMMYFUNCTION("""COMPUTED_VALUE"""),"")</f>
        <v/>
      </c>
      <c r="M1359" s="213">
        <f>IFERROR(__xludf.DUMMYFUNCTION("""COMPUTED_VALUE"""),1.0)</f>
        <v>1</v>
      </c>
      <c r="N1359" s="213">
        <f>IFERROR(__xludf.DUMMYFUNCTION("""COMPUTED_VALUE"""),6.0)</f>
        <v>6</v>
      </c>
      <c r="O1359" s="213">
        <f>IFERROR(__xludf.DUMMYFUNCTION("""COMPUTED_VALUE"""),6.0)</f>
        <v>6</v>
      </c>
      <c r="P1359" s="213"/>
      <c r="Q1359" s="213"/>
      <c r="R1359" s="213"/>
      <c r="S1359" s="213"/>
      <c r="T1359" s="213"/>
      <c r="U1359" s="213"/>
      <c r="V1359" s="213"/>
      <c r="W1359" s="213"/>
      <c r="X1359" s="213"/>
      <c r="Y1359" s="213"/>
      <c r="Z1359" s="213"/>
      <c r="AA1359" s="213"/>
      <c r="AB1359" s="213"/>
      <c r="AC1359" s="213"/>
      <c r="AD1359" s="213"/>
      <c r="AE1359" s="213"/>
      <c r="AF1359" s="213"/>
      <c r="AG1359" s="213"/>
      <c r="AH1359" s="213"/>
      <c r="AI1359" s="213"/>
      <c r="AJ1359" s="213"/>
      <c r="AK1359" s="213"/>
      <c r="AL1359" s="213"/>
      <c r="AM1359" s="213"/>
      <c r="AN1359" s="213"/>
      <c r="AO1359" s="213"/>
      <c r="AP1359" s="213"/>
      <c r="AQ1359" s="213"/>
      <c r="AR1359" s="213"/>
      <c r="AS1359" s="213"/>
      <c r="AT1359" s="213"/>
      <c r="AU1359" s="213"/>
      <c r="AV1359" s="213"/>
      <c r="AW1359" s="213"/>
      <c r="AX1359" s="213"/>
      <c r="AY1359" s="213"/>
      <c r="AZ1359" s="213"/>
      <c r="BA1359" s="213"/>
      <c r="BB1359" s="213"/>
      <c r="BC1359" s="213"/>
      <c r="BD1359" s="213"/>
    </row>
    <row r="1360">
      <c r="A1360" s="213">
        <f>IFERROR(__xludf.DUMMYFUNCTION("""COMPUTED_VALUE"""),1035.0)</f>
        <v>1035</v>
      </c>
      <c r="B1360" s="213" t="str">
        <f>IFERROR(__xludf.DUMMYFUNCTION("""COMPUTED_VALUE"""),"FRANCISCO IRAZOLA")</f>
        <v>FRANCISCO IRAZOLA</v>
      </c>
      <c r="C1360" s="213" t="str">
        <f>IFERROR(__xludf.DUMMYFUNCTION("""COMPUTED_VALUE"""),"TALLER SFT DE MECÁNICA AUTOMOTRIZ")</f>
        <v>TALLER SFT DE MECÁNICA AUTOMOTRIZ</v>
      </c>
      <c r="D1360" s="213" t="str">
        <f>IFERROR(__xludf.DUMMYFUNCTION("""COMPUTED_VALUE"""),"PEDAGOGICO")</f>
        <v>PEDAGOGICO</v>
      </c>
      <c r="E1360" s="213" t="str">
        <f>IFERROR(__xludf.DUMMYFUNCTION("""COMPUTED_VALUE"""),"MAT-279")</f>
        <v>MAT-279</v>
      </c>
      <c r="F1360" s="213" t="str">
        <f>IFERROR(__xludf.DUMMYFUNCTION("""COMPUTED_VALUE"""),"KEFF-93")</f>
        <v>KEFF-93</v>
      </c>
      <c r="G1360" s="213"/>
      <c r="H1360" s="213" t="str">
        <f>IFERROR(__xludf.DUMMYFUNCTION("""COMPUTED_VALUE"""),"MANUAL DE MANTENIMIENTO POR CADA EQUIPO PARA EL MANTENIMIENTO DE MOTORES OTTO Y DIÉSEL")</f>
        <v>MANUAL DE MANTENIMIENTO POR CADA EQUIPO PARA EL MANTENIMIENTO DE MOTORES OTTO Y DIÉSEL</v>
      </c>
      <c r="I136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para el mantenimiento de motores Otto y diesel.
-   Descripción de los materiales que se requiere para su mantenimiento.
-   Descripción de los procedimientos para realizar el mantenimiento preventivo de cada"&amp;"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para el mantenimiento de motores Otto y diesel.
-   Descripción de los materiales que se requiere para su mantenimiento.
-   Descripción de los procedimientos para realizar el mantenimiento preventivo de cada equipo.</v>
      </c>
      <c r="J1360" s="213">
        <f>IFERROR(__xludf.DUMMYFUNCTION("""COMPUTED_VALUE"""),3.0)</f>
        <v>3</v>
      </c>
      <c r="K1360" s="213" t="str">
        <f>IFERROR(__xludf.DUMMYFUNCTION("""COMPUTED_VALUE"""),"170 DÍAS CALENDARIO")</f>
        <v>170 DÍAS CALENDARIO</v>
      </c>
      <c r="L1360" s="213" t="str">
        <f>IFERROR(__xludf.DUMMYFUNCTION("""COMPUTED_VALUE"""),"")</f>
        <v/>
      </c>
      <c r="M1360" s="213">
        <f>IFERROR(__xludf.DUMMYFUNCTION("""COMPUTED_VALUE"""),1.0)</f>
        <v>1</v>
      </c>
      <c r="N1360" s="213">
        <f>IFERROR(__xludf.DUMMYFUNCTION("""COMPUTED_VALUE"""),2.0)</f>
        <v>2</v>
      </c>
      <c r="O1360" s="213">
        <f>IFERROR(__xludf.DUMMYFUNCTION("""COMPUTED_VALUE"""),2.0)</f>
        <v>2</v>
      </c>
      <c r="P1360" s="213"/>
      <c r="Q1360" s="213"/>
      <c r="R1360" s="213"/>
      <c r="S1360" s="213"/>
      <c r="T1360" s="213"/>
      <c r="U1360" s="213"/>
      <c r="V1360" s="213"/>
      <c r="W1360" s="213"/>
      <c r="X1360" s="213"/>
      <c r="Y1360" s="213"/>
      <c r="Z1360" s="213"/>
      <c r="AA1360" s="213"/>
      <c r="AB1360" s="213"/>
      <c r="AC1360" s="213"/>
      <c r="AD1360" s="213"/>
      <c r="AE1360" s="213"/>
      <c r="AF1360" s="213"/>
      <c r="AG1360" s="213"/>
      <c r="AH1360" s="213"/>
      <c r="AI1360" s="213"/>
      <c r="AJ1360" s="213"/>
      <c r="AK1360" s="213"/>
      <c r="AL1360" s="213"/>
      <c r="AM1360" s="213"/>
      <c r="AN1360" s="213"/>
      <c r="AO1360" s="213"/>
      <c r="AP1360" s="213"/>
      <c r="AQ1360" s="213"/>
      <c r="AR1360" s="213"/>
      <c r="AS1360" s="213"/>
      <c r="AT1360" s="213"/>
      <c r="AU1360" s="213"/>
      <c r="AV1360" s="213"/>
      <c r="AW1360" s="213"/>
      <c r="AX1360" s="213"/>
      <c r="AY1360" s="213"/>
      <c r="AZ1360" s="213"/>
      <c r="BA1360" s="213"/>
      <c r="BB1360" s="213"/>
      <c r="BC1360" s="213"/>
      <c r="BD1360" s="213"/>
    </row>
    <row r="1361">
      <c r="A1361" s="213">
        <f>IFERROR(__xludf.DUMMYFUNCTION("""COMPUTED_VALUE"""),1640.0)</f>
        <v>1640</v>
      </c>
      <c r="B1361" s="213" t="str">
        <f>IFERROR(__xludf.DUMMYFUNCTION("""COMPUTED_VALUE"""),"GUILLERMO E. BILLINGHURST ")</f>
        <v>GUILLERMO E. BILLINGHURST </v>
      </c>
      <c r="C1361" s="213" t="str">
        <f>IFERROR(__xludf.DUMMYFUNCTION("""COMPUTED_VALUE"""),"TALLER SFT DE MECÁNICA AUTOMOTRIZ")</f>
        <v>TALLER SFT DE MECÁNICA AUTOMOTRIZ</v>
      </c>
      <c r="D1361" s="213" t="str">
        <f>IFERROR(__xludf.DUMMYFUNCTION("""COMPUTED_VALUE"""),"PEDAGOGICO")</f>
        <v>PEDAGOGICO</v>
      </c>
      <c r="E1361" s="213" t="str">
        <f>IFERROR(__xludf.DUMMYFUNCTION("""COMPUTED_VALUE"""),"MAT-279")</f>
        <v>MAT-279</v>
      </c>
      <c r="F1361" s="213" t="str">
        <f>IFERROR(__xludf.DUMMYFUNCTION("""COMPUTED_VALUE"""),"KEFF-93")</f>
        <v>KEFF-93</v>
      </c>
      <c r="G1361" s="213"/>
      <c r="H1361" s="213" t="str">
        <f>IFERROR(__xludf.DUMMYFUNCTION("""COMPUTED_VALUE"""),"MANUAL DE MANTENIMIENTO POR CADA EQUIPO PARA EL MANTENIMIENTO DE MOTORES OTTO Y DIÉSEL")</f>
        <v>MANUAL DE MANTENIMIENTO POR CADA EQUIPO PARA EL MANTENIMIENTO DE MOTORES OTTO Y DIÉSEL</v>
      </c>
      <c r="I136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para el mantenimiento de motores Otto y diesel.
-   Descripción de los materiales que se requiere para su mantenimiento.
-   Descripción de los procedimientos para realizar el mantenimiento preventivo de cada"&amp;"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para el mantenimiento de motores Otto y diesel.
-   Descripción de los materiales que se requiere para su mantenimiento.
-   Descripción de los procedimientos para realizar el mantenimiento preventivo de cada equipo.</v>
      </c>
      <c r="J1361" s="213">
        <f>IFERROR(__xludf.DUMMYFUNCTION("""COMPUTED_VALUE"""),3.0)</f>
        <v>3</v>
      </c>
      <c r="K1361" s="213" t="str">
        <f>IFERROR(__xludf.DUMMYFUNCTION("""COMPUTED_VALUE"""),"170 DÍAS CALENDARIO")</f>
        <v>170 DÍAS CALENDARIO</v>
      </c>
      <c r="L1361" s="213" t="str">
        <f>IFERROR(__xludf.DUMMYFUNCTION("""COMPUTED_VALUE"""),"")</f>
        <v/>
      </c>
      <c r="M1361" s="213">
        <f>IFERROR(__xludf.DUMMYFUNCTION("""COMPUTED_VALUE"""),1.0)</f>
        <v>1</v>
      </c>
      <c r="N1361" s="213">
        <f>IFERROR(__xludf.DUMMYFUNCTION("""COMPUTED_VALUE"""),2.0)</f>
        <v>2</v>
      </c>
      <c r="O1361" s="213">
        <f>IFERROR(__xludf.DUMMYFUNCTION("""COMPUTED_VALUE"""),2.0)</f>
        <v>2</v>
      </c>
      <c r="P1361" s="213"/>
      <c r="Q1361" s="213"/>
      <c r="R1361" s="213"/>
      <c r="S1361" s="213"/>
      <c r="T1361" s="213"/>
      <c r="U1361" s="213"/>
      <c r="V1361" s="213"/>
      <c r="W1361" s="213"/>
      <c r="X1361" s="213"/>
      <c r="Y1361" s="213"/>
      <c r="Z1361" s="213"/>
      <c r="AA1361" s="213"/>
      <c r="AB1361" s="213"/>
      <c r="AC1361" s="213"/>
      <c r="AD1361" s="213"/>
      <c r="AE1361" s="213"/>
      <c r="AF1361" s="213"/>
      <c r="AG1361" s="213"/>
      <c r="AH1361" s="213"/>
      <c r="AI1361" s="213"/>
      <c r="AJ1361" s="213"/>
      <c r="AK1361" s="213"/>
      <c r="AL1361" s="213"/>
      <c r="AM1361" s="213"/>
      <c r="AN1361" s="213"/>
      <c r="AO1361" s="213"/>
      <c r="AP1361" s="213"/>
      <c r="AQ1361" s="213"/>
      <c r="AR1361" s="213"/>
      <c r="AS1361" s="213"/>
      <c r="AT1361" s="213"/>
      <c r="AU1361" s="213"/>
      <c r="AV1361" s="213"/>
      <c r="AW1361" s="213"/>
      <c r="AX1361" s="213"/>
      <c r="AY1361" s="213"/>
      <c r="AZ1361" s="213"/>
      <c r="BA1361" s="213"/>
      <c r="BB1361" s="213"/>
      <c r="BC1361" s="213"/>
      <c r="BD1361" s="213"/>
    </row>
    <row r="1362">
      <c r="A1362" s="213">
        <f>IFERROR(__xludf.DUMMYFUNCTION("""COMPUTED_VALUE"""),2331.0)</f>
        <v>2331</v>
      </c>
      <c r="B1362" s="213" t="str">
        <f>IFERROR(__xludf.DUMMYFUNCTION("""COMPUTED_VALUE"""),"JOSE GRANDA")</f>
        <v>JOSE GRANDA</v>
      </c>
      <c r="C1362" s="213" t="str">
        <f>IFERROR(__xludf.DUMMYFUNCTION("""COMPUTED_VALUE"""),"TALLER SFT DE MECÁNICA AUTOMOTRIZ")</f>
        <v>TALLER SFT DE MECÁNICA AUTOMOTRIZ</v>
      </c>
      <c r="D1362" s="213" t="str">
        <f>IFERROR(__xludf.DUMMYFUNCTION("""COMPUTED_VALUE"""),"PEDAGOGICO")</f>
        <v>PEDAGOGICO</v>
      </c>
      <c r="E1362" s="213" t="str">
        <f>IFERROR(__xludf.DUMMYFUNCTION("""COMPUTED_VALUE"""),"MAT-279")</f>
        <v>MAT-279</v>
      </c>
      <c r="F1362" s="213" t="str">
        <f>IFERROR(__xludf.DUMMYFUNCTION("""COMPUTED_VALUE"""),"KEFF-93")</f>
        <v>KEFF-93</v>
      </c>
      <c r="G1362" s="213"/>
      <c r="H1362" s="213" t="str">
        <f>IFERROR(__xludf.DUMMYFUNCTION("""COMPUTED_VALUE"""),"MANUAL DE MANTENIMIENTO POR CADA EQUIPO PARA EL MANTENIMIENTO DE MOTORES OTTO Y DIÉSEL")</f>
        <v>MANUAL DE MANTENIMIENTO POR CADA EQUIPO PARA EL MANTENIMIENTO DE MOTORES OTTO Y DIÉSEL</v>
      </c>
      <c r="I136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para el mantenimiento de motores Otto y diesel.
-   Descripción de los materiales que se requiere para su mantenimiento.
-   Descripción de los procedimientos para realizar el mantenimiento preventivo de cada"&amp;"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para el mantenimiento de motores Otto y diesel.
-   Descripción de los materiales que se requiere para su mantenimiento.
-   Descripción de los procedimientos para realizar el mantenimiento preventivo de cada equipo.</v>
      </c>
      <c r="J1362" s="213">
        <f>IFERROR(__xludf.DUMMYFUNCTION("""COMPUTED_VALUE"""),3.0)</f>
        <v>3</v>
      </c>
      <c r="K1362" s="213" t="str">
        <f>IFERROR(__xludf.DUMMYFUNCTION("""COMPUTED_VALUE"""),"170 DÍAS CALENDARIO")</f>
        <v>170 DÍAS CALENDARIO</v>
      </c>
      <c r="L1362" s="213" t="str">
        <f>IFERROR(__xludf.DUMMYFUNCTION("""COMPUTED_VALUE"""),"")</f>
        <v/>
      </c>
      <c r="M1362" s="213">
        <f>IFERROR(__xludf.DUMMYFUNCTION("""COMPUTED_VALUE"""),1.0)</f>
        <v>1</v>
      </c>
      <c r="N1362" s="213">
        <f>IFERROR(__xludf.DUMMYFUNCTION("""COMPUTED_VALUE"""),2.0)</f>
        <v>2</v>
      </c>
      <c r="O1362" s="213">
        <f>IFERROR(__xludf.DUMMYFUNCTION("""COMPUTED_VALUE"""),2.0)</f>
        <v>2</v>
      </c>
      <c r="P1362" s="213"/>
      <c r="Q1362" s="213"/>
      <c r="R1362" s="213"/>
      <c r="S1362" s="213"/>
      <c r="T1362" s="213"/>
      <c r="U1362" s="213"/>
      <c r="V1362" s="213"/>
      <c r="W1362" s="213"/>
      <c r="X1362" s="213"/>
      <c r="Y1362" s="213"/>
      <c r="Z1362" s="213"/>
      <c r="AA1362" s="213"/>
      <c r="AB1362" s="213"/>
      <c r="AC1362" s="213"/>
      <c r="AD1362" s="213"/>
      <c r="AE1362" s="213"/>
      <c r="AF1362" s="213"/>
      <c r="AG1362" s="213"/>
      <c r="AH1362" s="213"/>
      <c r="AI1362" s="213"/>
      <c r="AJ1362" s="213"/>
      <c r="AK1362" s="213"/>
      <c r="AL1362" s="213"/>
      <c r="AM1362" s="213"/>
      <c r="AN1362" s="213"/>
      <c r="AO1362" s="213"/>
      <c r="AP1362" s="213"/>
      <c r="AQ1362" s="213"/>
      <c r="AR1362" s="213"/>
      <c r="AS1362" s="213"/>
      <c r="AT1362" s="213"/>
      <c r="AU1362" s="213"/>
      <c r="AV1362" s="213"/>
      <c r="AW1362" s="213"/>
      <c r="AX1362" s="213"/>
      <c r="AY1362" s="213"/>
      <c r="AZ1362" s="213"/>
      <c r="BA1362" s="213"/>
      <c r="BB1362" s="213"/>
      <c r="BC1362" s="213"/>
      <c r="BD1362" s="213"/>
    </row>
    <row r="1363">
      <c r="A1363" s="213">
        <f>IFERROR(__xludf.DUMMYFUNCTION("""COMPUTED_VALUE"""),1029.0)</f>
        <v>1029</v>
      </c>
      <c r="B1363" s="213" t="str">
        <f>IFERROR(__xludf.DUMMYFUNCTION("""COMPUTED_VALUE"""),"FRANCISCO IRAZOLA")</f>
        <v>FRANCISCO IRAZOLA</v>
      </c>
      <c r="C1363" s="213" t="str">
        <f>IFERROR(__xludf.DUMMYFUNCTION("""COMPUTED_VALUE"""),"TALLER SFT DE MECÁNICA AUTOMOTRIZ")</f>
        <v>TALLER SFT DE MECÁNICA AUTOMOTRIZ</v>
      </c>
      <c r="D1363" s="213" t="str">
        <f>IFERROR(__xludf.DUMMYFUNCTION("""COMPUTED_VALUE"""),"PEDAGOGICO")</f>
        <v>PEDAGOGICO</v>
      </c>
      <c r="E1363" s="213" t="str">
        <f>IFERROR(__xludf.DUMMYFUNCTION("""COMPUTED_VALUE"""),"MAT-280")</f>
        <v>MAT-280</v>
      </c>
      <c r="F1363" s="213" t="str">
        <f>IFERROR(__xludf.DUMMYFUNCTION("""COMPUTED_VALUE"""),"KEFF-90")</f>
        <v>KEFF-90</v>
      </c>
      <c r="G1363" s="213"/>
      <c r="H1363" s="213" t="str">
        <f>IFERROR(__xludf.DUMMYFUNCTION("""COMPUTED_VALUE"""),"MANUAL DE MANTENIMIENTO POR CADA EQUIPO PARA EL MANTENIMIENTO DEL SISTEMA ELÉCTRICO – ELECTRÓNICO")</f>
        <v>MANUAL DE MANTENIMIENTO POR CADA EQUIPO PARA EL MANTENIMIENTO DEL SISTEMA ELÉCTRICO – ELECTRÓNICO</v>
      </c>
      <c r="I136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para el mantenimiento del sistema eléctrico - electrónico
-  Descripción de los materiales que se requiere para su mantenimiento.
-  Descripción de los procedimientos para realizar el mantenimiento preventivo"&amp;"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para el mantenimiento del sistema eléctrico - electrónico
-  Descripción de los materiales que se requiere para su mantenimiento.
-  Descripción de los procedimientos para realizar el mantenimiento preventivo de cada equipo.</v>
      </c>
      <c r="J1363" s="213">
        <f>IFERROR(__xludf.DUMMYFUNCTION("""COMPUTED_VALUE"""),3.0)</f>
        <v>3</v>
      </c>
      <c r="K1363" s="213" t="str">
        <f>IFERROR(__xludf.DUMMYFUNCTION("""COMPUTED_VALUE"""),"170 DÍAS CALENDARIO")</f>
        <v>170 DÍAS CALENDARIO</v>
      </c>
      <c r="L1363" s="213" t="str">
        <f>IFERROR(__xludf.DUMMYFUNCTION("""COMPUTED_VALUE"""),"")</f>
        <v/>
      </c>
      <c r="M1363" s="213">
        <f>IFERROR(__xludf.DUMMYFUNCTION("""COMPUTED_VALUE"""),1.0)</f>
        <v>1</v>
      </c>
      <c r="N1363" s="213">
        <f>IFERROR(__xludf.DUMMYFUNCTION("""COMPUTED_VALUE"""),2.0)</f>
        <v>2</v>
      </c>
      <c r="O1363" s="213">
        <f>IFERROR(__xludf.DUMMYFUNCTION("""COMPUTED_VALUE"""),2.0)</f>
        <v>2</v>
      </c>
      <c r="P1363" s="213"/>
      <c r="Q1363" s="213"/>
      <c r="R1363" s="213"/>
      <c r="S1363" s="213"/>
      <c r="T1363" s="213"/>
      <c r="U1363" s="213"/>
      <c r="V1363" s="213"/>
      <c r="W1363" s="213"/>
      <c r="X1363" s="213"/>
      <c r="Y1363" s="213"/>
      <c r="Z1363" s="213"/>
      <c r="AA1363" s="213"/>
      <c r="AB1363" s="213"/>
      <c r="AC1363" s="213"/>
      <c r="AD1363" s="213"/>
      <c r="AE1363" s="213"/>
      <c r="AF1363" s="213"/>
      <c r="AG1363" s="213"/>
      <c r="AH1363" s="213"/>
      <c r="AI1363" s="213"/>
      <c r="AJ1363" s="213"/>
      <c r="AK1363" s="213"/>
      <c r="AL1363" s="213"/>
      <c r="AM1363" s="213"/>
      <c r="AN1363" s="213"/>
      <c r="AO1363" s="213"/>
      <c r="AP1363" s="213"/>
      <c r="AQ1363" s="213"/>
      <c r="AR1363" s="213"/>
      <c r="AS1363" s="213"/>
      <c r="AT1363" s="213"/>
      <c r="AU1363" s="213"/>
      <c r="AV1363" s="213"/>
      <c r="AW1363" s="213"/>
      <c r="AX1363" s="213"/>
      <c r="AY1363" s="213"/>
      <c r="AZ1363" s="213"/>
      <c r="BA1363" s="213"/>
      <c r="BB1363" s="213"/>
      <c r="BC1363" s="213"/>
      <c r="BD1363" s="213"/>
    </row>
    <row r="1364">
      <c r="A1364" s="213">
        <f>IFERROR(__xludf.DUMMYFUNCTION("""COMPUTED_VALUE"""),1634.0)</f>
        <v>1634</v>
      </c>
      <c r="B1364" s="213" t="str">
        <f>IFERROR(__xludf.DUMMYFUNCTION("""COMPUTED_VALUE"""),"GUILLERMO E. BILLINGHURST ")</f>
        <v>GUILLERMO E. BILLINGHURST </v>
      </c>
      <c r="C1364" s="213" t="str">
        <f>IFERROR(__xludf.DUMMYFUNCTION("""COMPUTED_VALUE"""),"TALLER SFT DE MECÁNICA AUTOMOTRIZ")</f>
        <v>TALLER SFT DE MECÁNICA AUTOMOTRIZ</v>
      </c>
      <c r="D1364" s="213" t="str">
        <f>IFERROR(__xludf.DUMMYFUNCTION("""COMPUTED_VALUE"""),"PEDAGOGICO")</f>
        <v>PEDAGOGICO</v>
      </c>
      <c r="E1364" s="213" t="str">
        <f>IFERROR(__xludf.DUMMYFUNCTION("""COMPUTED_VALUE"""),"MAT-280")</f>
        <v>MAT-280</v>
      </c>
      <c r="F1364" s="213" t="str">
        <f>IFERROR(__xludf.DUMMYFUNCTION("""COMPUTED_VALUE"""),"KEFF-90")</f>
        <v>KEFF-90</v>
      </c>
      <c r="G1364" s="213"/>
      <c r="H1364" s="213" t="str">
        <f>IFERROR(__xludf.DUMMYFUNCTION("""COMPUTED_VALUE"""),"MANUAL DE MANTENIMIENTO POR CADA EQUIPO PARA EL MANTENIMIENTO DEL SISTEMA ELÉCTRICO – ELECTRÓNICO")</f>
        <v>MANUAL DE MANTENIMIENTO POR CADA EQUIPO PARA EL MANTENIMIENTO DEL SISTEMA ELÉCTRICO – ELECTRÓNICO</v>
      </c>
      <c r="I136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para el mantenimiento del sistema eléctrico - electrónico
-  Descripción de los materiales que se requiere para su mantenimiento.
-  Descripción de los procedimientos para realizar el mantenimiento preventivo"&amp;"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para el mantenimiento del sistema eléctrico - electrónico
-  Descripción de los materiales que se requiere para su mantenimiento.
-  Descripción de los procedimientos para realizar el mantenimiento preventivo de cada equipo.</v>
      </c>
      <c r="J1364" s="213">
        <f>IFERROR(__xludf.DUMMYFUNCTION("""COMPUTED_VALUE"""),3.0)</f>
        <v>3</v>
      </c>
      <c r="K1364" s="213" t="str">
        <f>IFERROR(__xludf.DUMMYFUNCTION("""COMPUTED_VALUE"""),"170 DÍAS CALENDARIO")</f>
        <v>170 DÍAS CALENDARIO</v>
      </c>
      <c r="L1364" s="213" t="str">
        <f>IFERROR(__xludf.DUMMYFUNCTION("""COMPUTED_VALUE"""),"")</f>
        <v/>
      </c>
      <c r="M1364" s="213">
        <f>IFERROR(__xludf.DUMMYFUNCTION("""COMPUTED_VALUE"""),1.0)</f>
        <v>1</v>
      </c>
      <c r="N1364" s="213">
        <f>IFERROR(__xludf.DUMMYFUNCTION("""COMPUTED_VALUE"""),2.0)</f>
        <v>2</v>
      </c>
      <c r="O1364" s="213">
        <f>IFERROR(__xludf.DUMMYFUNCTION("""COMPUTED_VALUE"""),2.0)</f>
        <v>2</v>
      </c>
      <c r="P1364" s="213"/>
      <c r="Q1364" s="213"/>
      <c r="R1364" s="213"/>
      <c r="S1364" s="213"/>
      <c r="T1364" s="213"/>
      <c r="U1364" s="213"/>
      <c r="V1364" s="213"/>
      <c r="W1364" s="213"/>
      <c r="X1364" s="213"/>
      <c r="Y1364" s="213"/>
      <c r="Z1364" s="213"/>
      <c r="AA1364" s="213"/>
      <c r="AB1364" s="213"/>
      <c r="AC1364" s="213"/>
      <c r="AD1364" s="213"/>
      <c r="AE1364" s="213"/>
      <c r="AF1364" s="213"/>
      <c r="AG1364" s="213"/>
      <c r="AH1364" s="213"/>
      <c r="AI1364" s="213"/>
      <c r="AJ1364" s="213"/>
      <c r="AK1364" s="213"/>
      <c r="AL1364" s="213"/>
      <c r="AM1364" s="213"/>
      <c r="AN1364" s="213"/>
      <c r="AO1364" s="213"/>
      <c r="AP1364" s="213"/>
      <c r="AQ1364" s="213"/>
      <c r="AR1364" s="213"/>
      <c r="AS1364" s="213"/>
      <c r="AT1364" s="213"/>
      <c r="AU1364" s="213"/>
      <c r="AV1364" s="213"/>
      <c r="AW1364" s="213"/>
      <c r="AX1364" s="213"/>
      <c r="AY1364" s="213"/>
      <c r="AZ1364" s="213"/>
      <c r="BA1364" s="213"/>
      <c r="BB1364" s="213"/>
      <c r="BC1364" s="213"/>
      <c r="BD1364" s="213"/>
    </row>
    <row r="1365">
      <c r="A1365" s="213">
        <f>IFERROR(__xludf.DUMMYFUNCTION("""COMPUTED_VALUE"""),2325.0)</f>
        <v>2325</v>
      </c>
      <c r="B1365" s="213" t="str">
        <f>IFERROR(__xludf.DUMMYFUNCTION("""COMPUTED_VALUE"""),"JOSE GRANDA")</f>
        <v>JOSE GRANDA</v>
      </c>
      <c r="C1365" s="213" t="str">
        <f>IFERROR(__xludf.DUMMYFUNCTION("""COMPUTED_VALUE"""),"TALLER SFT DE MECÁNICA AUTOMOTRIZ")</f>
        <v>TALLER SFT DE MECÁNICA AUTOMOTRIZ</v>
      </c>
      <c r="D1365" s="213" t="str">
        <f>IFERROR(__xludf.DUMMYFUNCTION("""COMPUTED_VALUE"""),"PEDAGOGICO")</f>
        <v>PEDAGOGICO</v>
      </c>
      <c r="E1365" s="213" t="str">
        <f>IFERROR(__xludf.DUMMYFUNCTION("""COMPUTED_VALUE"""),"MAT-280")</f>
        <v>MAT-280</v>
      </c>
      <c r="F1365" s="213" t="str">
        <f>IFERROR(__xludf.DUMMYFUNCTION("""COMPUTED_VALUE"""),"KEFF-90")</f>
        <v>KEFF-90</v>
      </c>
      <c r="G1365" s="213"/>
      <c r="H1365" s="213" t="str">
        <f>IFERROR(__xludf.DUMMYFUNCTION("""COMPUTED_VALUE"""),"MANUAL DE MANTENIMIENTO POR CADA EQUIPO PARA EL MANTENIMIENTO DEL SISTEMA ELÉCTRICO – ELECTRÓNICO")</f>
        <v>MANUAL DE MANTENIMIENTO POR CADA EQUIPO PARA EL MANTENIMIENTO DEL SISTEMA ELÉCTRICO – ELECTRÓNICO</v>
      </c>
      <c r="I136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los tipos"&amp;" de mantenimiento que requiere el equipamiento para el mantenimiento del sistema eléctrico - electrónico
-  Descripción de los materiales que se requiere para su mantenimiento.
-  Descripción de los procedimientos para realizar el mantenimiento preventivo"&amp;"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los tipos de mantenimiento que requiere el equipamiento para el mantenimiento del sistema eléctrico - electrónico
-  Descripción de los materiales que se requiere para su mantenimiento.
-  Descripción de los procedimientos para realizar el mantenimiento preventivo de cada equipo.</v>
      </c>
      <c r="J1365" s="213">
        <f>IFERROR(__xludf.DUMMYFUNCTION("""COMPUTED_VALUE"""),3.0)</f>
        <v>3</v>
      </c>
      <c r="K1365" s="213" t="str">
        <f>IFERROR(__xludf.DUMMYFUNCTION("""COMPUTED_VALUE"""),"170 DÍAS CALENDARIO")</f>
        <v>170 DÍAS CALENDARIO</v>
      </c>
      <c r="L1365" s="213" t="str">
        <f>IFERROR(__xludf.DUMMYFUNCTION("""COMPUTED_VALUE"""),"")</f>
        <v/>
      </c>
      <c r="M1365" s="213">
        <f>IFERROR(__xludf.DUMMYFUNCTION("""COMPUTED_VALUE"""),1.0)</f>
        <v>1</v>
      </c>
      <c r="N1365" s="213">
        <f>IFERROR(__xludf.DUMMYFUNCTION("""COMPUTED_VALUE"""),2.0)</f>
        <v>2</v>
      </c>
      <c r="O1365" s="213">
        <f>IFERROR(__xludf.DUMMYFUNCTION("""COMPUTED_VALUE"""),2.0)</f>
        <v>2</v>
      </c>
      <c r="P1365" s="213"/>
      <c r="Q1365" s="213"/>
      <c r="R1365" s="213"/>
      <c r="S1365" s="213"/>
      <c r="T1365" s="213"/>
      <c r="U1365" s="213"/>
      <c r="V1365" s="213"/>
      <c r="W1365" s="213"/>
      <c r="X1365" s="213"/>
      <c r="Y1365" s="213"/>
      <c r="Z1365" s="213"/>
      <c r="AA1365" s="213"/>
      <c r="AB1365" s="213"/>
      <c r="AC1365" s="213"/>
      <c r="AD1365" s="213"/>
      <c r="AE1365" s="213"/>
      <c r="AF1365" s="213"/>
      <c r="AG1365" s="213"/>
      <c r="AH1365" s="213"/>
      <c r="AI1365" s="213"/>
      <c r="AJ1365" s="213"/>
      <c r="AK1365" s="213"/>
      <c r="AL1365" s="213"/>
      <c r="AM1365" s="213"/>
      <c r="AN1365" s="213"/>
      <c r="AO1365" s="213"/>
      <c r="AP1365" s="213"/>
      <c r="AQ1365" s="213"/>
      <c r="AR1365" s="213"/>
      <c r="AS1365" s="213"/>
      <c r="AT1365" s="213"/>
      <c r="AU1365" s="213"/>
      <c r="AV1365" s="213"/>
      <c r="AW1365" s="213"/>
      <c r="AX1365" s="213"/>
      <c r="AY1365" s="213"/>
      <c r="AZ1365" s="213"/>
      <c r="BA1365" s="213"/>
      <c r="BB1365" s="213"/>
      <c r="BC1365" s="213"/>
      <c r="BD1365" s="213"/>
    </row>
    <row r="1366">
      <c r="A1366" s="213">
        <f>IFERROR(__xludf.DUMMYFUNCTION("""COMPUTED_VALUE"""),115.0)</f>
        <v>115</v>
      </c>
      <c r="B1366" s="213" t="str">
        <f>IFERROR(__xludf.DUMMYFUNCTION("""COMPUTED_VALUE"""),"16449 ELOY SOBERON  FLORES")</f>
        <v>16449 ELOY SOBERON  FLORES</v>
      </c>
      <c r="C1366" s="213" t="str">
        <f>IFERROR(__xludf.DUMMYFUNCTION("""COMPUTED_VALUE"""),"TALLER SFT DE COCINA Y REPOSTERÍA")</f>
        <v>TALLER SFT DE COCINA Y REPOSTERÍA</v>
      </c>
      <c r="D1366" s="213" t="str">
        <f>IFERROR(__xludf.DUMMYFUNCTION("""COMPUTED_VALUE"""),"PEDAGOGICO")</f>
        <v>PEDAGOGICO</v>
      </c>
      <c r="E1366" s="213" t="str">
        <f>IFERROR(__xludf.DUMMYFUNCTION("""COMPUTED_VALUE"""),"MAT-244")</f>
        <v>MAT-244</v>
      </c>
      <c r="F1366" s="213" t="str">
        <f>IFERROR(__xludf.DUMMYFUNCTION("""COMPUTED_VALUE"""),"KEFF-14")</f>
        <v>KEFF-14</v>
      </c>
      <c r="G1366" s="213"/>
      <c r="H1366" s="213" t="str">
        <f>IFERROR(__xludf.DUMMYFUNCTION("""COMPUTED_VALUE"""),"MANUAL DE MANTENIMIENTO POR CADA MUEBLE DE COCINA")</f>
        <v>MANUAL DE MANTENIMIENTO POR CADA MUEBLE DE COCINA</v>
      </c>
      <c r="I136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   Descripción de los tipos de mantenimiento que requiere cada mueble de cocina.
-   Descripción de las herramientas, materiales e insumos que se requiere para su mantenimiento.
-    Descripción de los procedimientos para realizar el mantenim"&amp;"iento preventivo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los tipos de mantenimiento que requiere cada mueble de cocina.
-   Descripción de las herramientas, materiales e insumos que se requiere para su mantenimiento.
-    Descripción de los procedimientos para realizar el mantenimiento preventivo de cada equipo.</v>
      </c>
      <c r="J1366" s="213">
        <f>IFERROR(__xludf.DUMMYFUNCTION("""COMPUTED_VALUE"""),3.0)</f>
        <v>3</v>
      </c>
      <c r="K1366" s="213" t="str">
        <f>IFERROR(__xludf.DUMMYFUNCTION("""COMPUTED_VALUE"""),"170 DÍAS CALENDARIO")</f>
        <v>170 DÍAS CALENDARIO</v>
      </c>
      <c r="L1366" s="213" t="str">
        <f>IFERROR(__xludf.DUMMYFUNCTION("""COMPUTED_VALUE"""),"")</f>
        <v/>
      </c>
      <c r="M1366" s="213">
        <f>IFERROR(__xludf.DUMMYFUNCTION("""COMPUTED_VALUE"""),1.0)</f>
        <v>1</v>
      </c>
      <c r="N1366" s="213">
        <f>IFERROR(__xludf.DUMMYFUNCTION("""COMPUTED_VALUE"""),6.0)</f>
        <v>6</v>
      </c>
      <c r="O1366" s="213">
        <f>IFERROR(__xludf.DUMMYFUNCTION("""COMPUTED_VALUE"""),6.0)</f>
        <v>6</v>
      </c>
      <c r="P1366" s="213"/>
      <c r="Q1366" s="213"/>
      <c r="R1366" s="213"/>
      <c r="S1366" s="213"/>
      <c r="T1366" s="213"/>
      <c r="U1366" s="213"/>
      <c r="V1366" s="213"/>
      <c r="W1366" s="213"/>
      <c r="X1366" s="213"/>
      <c r="Y1366" s="213"/>
      <c r="Z1366" s="213"/>
      <c r="AA1366" s="213"/>
      <c r="AB1366" s="213"/>
      <c r="AC1366" s="213"/>
      <c r="AD1366" s="213"/>
      <c r="AE1366" s="213"/>
      <c r="AF1366" s="213"/>
      <c r="AG1366" s="213"/>
      <c r="AH1366" s="213"/>
      <c r="AI1366" s="213"/>
      <c r="AJ1366" s="213"/>
      <c r="AK1366" s="213"/>
      <c r="AL1366" s="213"/>
      <c r="AM1366" s="213"/>
      <c r="AN1366" s="213"/>
      <c r="AO1366" s="213"/>
      <c r="AP1366" s="213"/>
      <c r="AQ1366" s="213"/>
      <c r="AR1366" s="213"/>
      <c r="AS1366" s="213"/>
      <c r="AT1366" s="213"/>
      <c r="AU1366" s="213"/>
      <c r="AV1366" s="213"/>
      <c r="AW1366" s="213"/>
      <c r="AX1366" s="213"/>
      <c r="AY1366" s="213"/>
      <c r="AZ1366" s="213"/>
      <c r="BA1366" s="213"/>
      <c r="BB1366" s="213"/>
      <c r="BC1366" s="213"/>
      <c r="BD1366" s="213"/>
    </row>
    <row r="1367">
      <c r="A1367" s="213">
        <f>IFERROR(__xludf.DUMMYFUNCTION("""COMPUTED_VALUE"""),681.0)</f>
        <v>681</v>
      </c>
      <c r="B1367" s="213" t="str">
        <f>IFERROR(__xludf.DUMMYFUNCTION("""COMPUTED_VALUE"""),"6049 RICARDO PALMA")</f>
        <v>6049 RICARDO PALMA</v>
      </c>
      <c r="C1367" s="213" t="str">
        <f>IFERROR(__xludf.DUMMYFUNCTION("""COMPUTED_VALUE"""),"TALLER SFT DE ELECTRÓNICA")</f>
        <v>TALLER SFT DE ELECTRÓNICA</v>
      </c>
      <c r="D1367" s="213" t="str">
        <f>IFERROR(__xludf.DUMMYFUNCTION("""COMPUTED_VALUE"""),"PEDAGOGICO")</f>
        <v>PEDAGOGICO</v>
      </c>
      <c r="E1367" s="213" t="str">
        <f>IFERROR(__xludf.DUMMYFUNCTION("""COMPUTED_VALUE"""),"MAT-284")</f>
        <v>MAT-284</v>
      </c>
      <c r="F1367" s="213" t="str">
        <f>IFERROR(__xludf.DUMMYFUNCTION("""COMPUTED_VALUE"""),"KEFF-62")</f>
        <v>KEFF-62</v>
      </c>
      <c r="G1367" s="213"/>
      <c r="H1367" s="213" t="str">
        <f>IFERROR(__xludf.DUMMYFUNCTION("""COMPUTED_VALUE"""),"MANUAL DE USO DE EQUIPOS DE ELECTRÓNICA CON PLATAFORMA ELECTRÓNICA DE CÓDIGO ABIERTO")</f>
        <v>MANUAL DE USO DE EQUIPOS DE ELECTRÓNICA CON PLATAFORMA ELECTRÓNICA DE CÓDIGO ABIERTO</v>
      </c>
      <c r="I136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electrónica
- Descripción de las principales tareas que se pueden realizar con cada equipo de electrónica
- Descripción grafica de la instalación, uso y conservación de cada equipo de electrónica.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electrónica
- Descripción de las principales tareas que se pueden realizar con cada equipo de electrónica
- Descripción grafica de la instalación, uso y conservación de cada equipo de electrónica.
- Descripción de los errores comunes que se presentan en el uso y la forma de solucionarlos.
· Descripción de las normas de seguridad que se tienen que se deben tener en cuenta durante el uso de cada equipo.</v>
      </c>
      <c r="J1367" s="213">
        <f>IFERROR(__xludf.DUMMYFUNCTION("""COMPUTED_VALUE"""),3.0)</f>
        <v>3</v>
      </c>
      <c r="K1367" s="213" t="str">
        <f>IFERROR(__xludf.DUMMYFUNCTION("""COMPUTED_VALUE"""),"170 DÍAS CALENDARIO")</f>
        <v>170 DÍAS CALENDARIO</v>
      </c>
      <c r="L1367" s="213" t="str">
        <f>IFERROR(__xludf.DUMMYFUNCTION("""COMPUTED_VALUE"""),"")</f>
        <v/>
      </c>
      <c r="M1367" s="213">
        <f>IFERROR(__xludf.DUMMYFUNCTION("""COMPUTED_VALUE"""),1.0)</f>
        <v>1</v>
      </c>
      <c r="N1367" s="213">
        <f>IFERROR(__xludf.DUMMYFUNCTION("""COMPUTED_VALUE"""),6.0)</f>
        <v>6</v>
      </c>
      <c r="O1367" s="213">
        <f>IFERROR(__xludf.DUMMYFUNCTION("""COMPUTED_VALUE"""),6.0)</f>
        <v>6</v>
      </c>
      <c r="P1367" s="213"/>
      <c r="Q1367" s="213"/>
      <c r="R1367" s="213"/>
      <c r="S1367" s="213"/>
      <c r="T1367" s="213"/>
      <c r="U1367" s="213"/>
      <c r="V1367" s="213"/>
      <c r="W1367" s="213"/>
      <c r="X1367" s="213"/>
      <c r="Y1367" s="213"/>
      <c r="Z1367" s="213"/>
      <c r="AA1367" s="213"/>
      <c r="AB1367" s="213"/>
      <c r="AC1367" s="213"/>
      <c r="AD1367" s="213"/>
      <c r="AE1367" s="213"/>
      <c r="AF1367" s="213"/>
      <c r="AG1367" s="213"/>
      <c r="AH1367" s="213"/>
      <c r="AI1367" s="213"/>
      <c r="AJ1367" s="213"/>
      <c r="AK1367" s="213"/>
      <c r="AL1367" s="213"/>
      <c r="AM1367" s="213"/>
      <c r="AN1367" s="213"/>
      <c r="AO1367" s="213"/>
      <c r="AP1367" s="213"/>
      <c r="AQ1367" s="213"/>
      <c r="AR1367" s="213"/>
      <c r="AS1367" s="213">
        <f>IFERROR(__xludf.DUMMYFUNCTION("""COMPUTED_VALUE"""),0.0)</f>
        <v>0</v>
      </c>
      <c r="AT1367" s="213"/>
      <c r="AU1367" s="213"/>
      <c r="AV1367" s="213"/>
      <c r="AW1367" s="213"/>
      <c r="AX1367" s="213"/>
      <c r="AY1367" s="213"/>
      <c r="AZ1367" s="213"/>
      <c r="BA1367" s="213"/>
      <c r="BB1367" s="213"/>
      <c r="BC1367" s="213"/>
      <c r="BD1367" s="213"/>
    </row>
    <row r="1368">
      <c r="A1368" s="213">
        <f>IFERROR(__xludf.DUMMYFUNCTION("""COMPUTED_VALUE"""),207.0)</f>
        <v>207</v>
      </c>
      <c r="B1368" s="213" t="str">
        <f>IFERROR(__xludf.DUMMYFUNCTION("""COMPUTED_VALUE"""),"2026 SIMON BOLIVAR")</f>
        <v>2026 SIMON BOLIVAR</v>
      </c>
      <c r="C1368" s="213" t="str">
        <f>IFERROR(__xludf.DUMMYFUNCTION("""COMPUTED_VALUE"""),"TALLER SFT DE INDUSTRIA DEL VESTIDO")</f>
        <v>TALLER SFT DE INDUSTRIA DEL VESTIDO</v>
      </c>
      <c r="D1368" s="213" t="str">
        <f>IFERROR(__xludf.DUMMYFUNCTION("""COMPUTED_VALUE"""),"PEDAGOGICO")</f>
        <v>PEDAGOGICO</v>
      </c>
      <c r="E1368" s="213" t="str">
        <f>IFERROR(__xludf.DUMMYFUNCTION("""COMPUTED_VALUE"""),"MAT-303")</f>
        <v>MAT-303</v>
      </c>
      <c r="F1368" s="213" t="str">
        <f>IFERROR(__xludf.DUMMYFUNCTION("""COMPUTED_VALUE"""),"KEFF-01")</f>
        <v>KEFF-01</v>
      </c>
      <c r="G1368" s="213"/>
      <c r="H1368" s="213" t="str">
        <f>IFERROR(__xludf.DUMMYFUNCTION("""COMPUTED_VALUE"""),"MANUAL DE USO POR CADA EQUIPO DE IDENTIFICACIÓN DE NECESIDADES Y PROBLEMAS")</f>
        <v>MANUAL DE USO POR CADA EQUIPO DE IDENTIFICACIÓN DE NECESIDADES Y PROBLEMAS</v>
      </c>
      <c r="I136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filmar, tomar fotografías, etc.)
- Descripción gráfica de la instalación, uso y conservación de cada equipo.
- Descripción de los e"&amp;"rrores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filmar, tomar fotografías, etc.)
- Descripción gráfica de la instalación, uso y conservación de cada equipo.
- Descripción de los errores comunes que se presentan en el uso y la forma de solucionarlos.
- Descripción de las normas de seguridad que se deben tener en cuenta durante el uso de cada equipo.</v>
      </c>
      <c r="J1368" s="213">
        <f>IFERROR(__xludf.DUMMYFUNCTION("""COMPUTED_VALUE"""),3.0)</f>
        <v>3</v>
      </c>
      <c r="K1368" s="213" t="str">
        <f>IFERROR(__xludf.DUMMYFUNCTION("""COMPUTED_VALUE"""),"170 DÍAS CALENDARIO")</f>
        <v>170 DÍAS CALENDARIO</v>
      </c>
      <c r="L1368" s="213" t="str">
        <f>IFERROR(__xludf.DUMMYFUNCTION("""COMPUTED_VALUE"""),"")</f>
        <v/>
      </c>
      <c r="M1368" s="213">
        <f>IFERROR(__xludf.DUMMYFUNCTION("""COMPUTED_VALUE"""),1.0)</f>
        <v>1</v>
      </c>
      <c r="N1368" s="213">
        <f>IFERROR(__xludf.DUMMYFUNCTION("""COMPUTED_VALUE"""),6.0)</f>
        <v>6</v>
      </c>
      <c r="O1368" s="213">
        <f>IFERROR(__xludf.DUMMYFUNCTION("""COMPUTED_VALUE"""),6.0)</f>
        <v>6</v>
      </c>
      <c r="P1368" s="213"/>
      <c r="Q1368" s="213"/>
      <c r="R1368" s="213"/>
      <c r="S1368" s="213"/>
      <c r="T1368" s="213"/>
      <c r="U1368" s="213"/>
      <c r="V1368" s="213"/>
      <c r="W1368" s="213"/>
      <c r="X1368" s="213"/>
      <c r="Y1368" s="213"/>
      <c r="Z1368" s="213"/>
      <c r="AA1368" s="213"/>
      <c r="AB1368" s="213"/>
      <c r="AC1368" s="213"/>
      <c r="AD1368" s="213"/>
      <c r="AE1368" s="213"/>
      <c r="AF1368" s="213"/>
      <c r="AG1368" s="213"/>
      <c r="AH1368" s="213"/>
      <c r="AI1368" s="213"/>
      <c r="AJ1368" s="213"/>
      <c r="AK1368" s="213"/>
      <c r="AL1368" s="213"/>
      <c r="AM1368" s="213"/>
      <c r="AN1368" s="213"/>
      <c r="AO1368" s="213"/>
      <c r="AP1368" s="213"/>
      <c r="AQ1368" s="213"/>
      <c r="AR1368" s="213"/>
      <c r="AS1368" s="213"/>
      <c r="AT1368" s="213"/>
      <c r="AU1368" s="213"/>
      <c r="AV1368" s="213"/>
      <c r="AW1368" s="213"/>
      <c r="AX1368" s="213"/>
      <c r="AY1368" s="213"/>
      <c r="AZ1368" s="213"/>
      <c r="BA1368" s="213"/>
      <c r="BB1368" s="213"/>
      <c r="BC1368" s="213"/>
      <c r="BD1368" s="213"/>
    </row>
    <row r="1369">
      <c r="A1369" s="213">
        <f>IFERROR(__xludf.DUMMYFUNCTION("""COMPUTED_VALUE"""),374.0)</f>
        <v>374</v>
      </c>
      <c r="B1369" s="213" t="str">
        <f>IFERROR(__xludf.DUMMYFUNCTION("""COMPUTED_VALUE"""),"2026 SIMON BOLIVAR")</f>
        <v>2026 SIMON BOLIVAR</v>
      </c>
      <c r="C1369" s="213" t="str">
        <f>IFERROR(__xludf.DUMMYFUNCTION("""COMPUTED_VALUE"""),"TALLER SFT DE ELECTRICIDAD")</f>
        <v>TALLER SFT DE ELECTRICIDAD</v>
      </c>
      <c r="D1369" s="213" t="str">
        <f>IFERROR(__xludf.DUMMYFUNCTION("""COMPUTED_VALUE"""),"PEDAGOGICO")</f>
        <v>PEDAGOGICO</v>
      </c>
      <c r="E1369" s="213" t="str">
        <f>IFERROR(__xludf.DUMMYFUNCTION("""COMPUTED_VALUE"""),"MAT-303")</f>
        <v>MAT-303</v>
      </c>
      <c r="F1369" s="213" t="str">
        <f>IFERROR(__xludf.DUMMYFUNCTION("""COMPUTED_VALUE"""),"KEFF-01")</f>
        <v>KEFF-01</v>
      </c>
      <c r="G1369" s="213"/>
      <c r="H1369" s="213" t="str">
        <f>IFERROR(__xludf.DUMMYFUNCTION("""COMPUTED_VALUE"""),"MANUAL DE USO POR CADA EQUIPO DE IDENTIFICACIÓN DE NECESIDADES Y PROBLEMAS")</f>
        <v>MANUAL DE USO POR CADA EQUIPO DE IDENTIFICACIÓN DE NECESIDADES Y PROBLEMAS</v>
      </c>
      <c r="I136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 Descripción de las principales tareas que se pueden realizar con cada equipo (por ejemplo, filmar, tomar fotografías, etc.)
- Descripción gráfica de la instalación, uso y conservación de cada equipo.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gráfica de la instalación, uso y conservación de cada equipo.
- Descripción de los errores comunes que se presentan en el uso y la forma de solucionarlos.
- Descripción de las normas de seguridad que se tienen que se deben tener en cuenta durante el uso de cada equipo.</v>
      </c>
      <c r="J1369" s="213">
        <f>IFERROR(__xludf.DUMMYFUNCTION("""COMPUTED_VALUE"""),3.0)</f>
        <v>3</v>
      </c>
      <c r="K1369" s="213" t="str">
        <f>IFERROR(__xludf.DUMMYFUNCTION("""COMPUTED_VALUE"""),"170 DÍAS CALENDARIO")</f>
        <v>170 DÍAS CALENDARIO</v>
      </c>
      <c r="L1369" s="213" t="str">
        <f>IFERROR(__xludf.DUMMYFUNCTION("""COMPUTED_VALUE"""),"")</f>
        <v/>
      </c>
      <c r="M1369" s="213">
        <f>IFERROR(__xludf.DUMMYFUNCTION("""COMPUTED_VALUE"""),1.0)</f>
        <v>1</v>
      </c>
      <c r="N1369" s="213">
        <f>IFERROR(__xludf.DUMMYFUNCTION("""COMPUTED_VALUE"""),6.0)</f>
        <v>6</v>
      </c>
      <c r="O1369" s="213">
        <f>IFERROR(__xludf.DUMMYFUNCTION("""COMPUTED_VALUE"""),6.0)</f>
        <v>6</v>
      </c>
      <c r="P1369" s="213"/>
      <c r="Q1369" s="213"/>
      <c r="R1369" s="213"/>
      <c r="S1369" s="213"/>
      <c r="T1369" s="213"/>
      <c r="U1369" s="213"/>
      <c r="V1369" s="213"/>
      <c r="W1369" s="213"/>
      <c r="X1369" s="213"/>
      <c r="Y1369" s="213"/>
      <c r="Z1369" s="213"/>
      <c r="AA1369" s="213"/>
      <c r="AB1369" s="213"/>
      <c r="AC1369" s="213"/>
      <c r="AD1369" s="213"/>
      <c r="AE1369" s="213"/>
      <c r="AF1369" s="213"/>
      <c r="AG1369" s="213"/>
      <c r="AH1369" s="213"/>
      <c r="AI1369" s="213"/>
      <c r="AJ1369" s="213"/>
      <c r="AK1369" s="213"/>
      <c r="AL1369" s="213"/>
      <c r="AM1369" s="213"/>
      <c r="AN1369" s="213"/>
      <c r="AO1369" s="213"/>
      <c r="AP1369" s="213"/>
      <c r="AQ1369" s="213"/>
      <c r="AR1369" s="213"/>
      <c r="AS1369" s="213"/>
      <c r="AT1369" s="213"/>
      <c r="AU1369" s="213"/>
      <c r="AV1369" s="213"/>
      <c r="AW1369" s="213"/>
      <c r="AX1369" s="213"/>
      <c r="AY1369" s="213"/>
      <c r="AZ1369" s="213"/>
      <c r="BA1369" s="213"/>
      <c r="BB1369" s="213"/>
      <c r="BC1369" s="213"/>
      <c r="BD1369" s="213"/>
    </row>
    <row r="1370">
      <c r="A1370" s="213">
        <f>IFERROR(__xludf.DUMMYFUNCTION("""COMPUTED_VALUE"""),659.0)</f>
        <v>659</v>
      </c>
      <c r="B1370" s="213" t="str">
        <f>IFERROR(__xludf.DUMMYFUNCTION("""COMPUTED_VALUE"""),"6049 RICARDO PALMA")</f>
        <v>6049 RICARDO PALMA</v>
      </c>
      <c r="C1370" s="213" t="str">
        <f>IFERROR(__xludf.DUMMYFUNCTION("""COMPUTED_VALUE"""),"TALLER SFT DE ELECTRÓNICA")</f>
        <v>TALLER SFT DE ELECTRÓNICA</v>
      </c>
      <c r="D1370" s="213" t="str">
        <f>IFERROR(__xludf.DUMMYFUNCTION("""COMPUTED_VALUE"""),"PEDAGOGICO")</f>
        <v>PEDAGOGICO</v>
      </c>
      <c r="E1370" s="213" t="str">
        <f>IFERROR(__xludf.DUMMYFUNCTION("""COMPUTED_VALUE"""),"MAT-303")</f>
        <v>MAT-303</v>
      </c>
      <c r="F1370" s="213" t="str">
        <f>IFERROR(__xludf.DUMMYFUNCTION("""COMPUTED_VALUE"""),"KEFF-01")</f>
        <v>KEFF-01</v>
      </c>
      <c r="G1370" s="213"/>
      <c r="H1370" s="213" t="str">
        <f>IFERROR(__xludf.DUMMYFUNCTION("""COMPUTED_VALUE"""),"MANUAL DE USO POR CADA EQUIPO DE IDENTIFICACIÓN DE NECESIDADES Y PROBLEMAS")</f>
        <v>MANUAL DE USO POR CADA EQUIPO DE IDENTIFICACIÓN DE NECESIDADES Y PROBLEMAS</v>
      </c>
      <c r="I137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11"&amp;"5 gramos o papel bond de 75 gramos de 80% de blancura como mínimo.
·        Tamaño: como mínimo 21 cm x 29,7 cm
·        Tipo de Encuadernación: caballete con 2 grapas cuando sea menos de 80 páginas y encolado cuando sea más de 80 páginas.
·        Conten"&amp;"ido que presenta.
-             Descripción de las partes y accesorios de cada equipo.
-             Descripción de las principales tareas que se pueden realizar con cada equipo (por ejemplo, filmas, tomar fotografías, etc.)
-             Descripción graf"&amp;"ica de la instalación, uso y conservación de cada equipo.
-             Descripción de los errores comunes que se presentan en el uso y la forma de solucionarlos.
-             Descripción de las normas de seguridad que se deben tener en cuenta durante el"&amp;"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filmas, tomar fotografías, etc.)
-             Descripción grafica de la instalación, uso y conservación de cada equipo.
-             Descripción de los errores comunes que se presentan en el uso y la forma de solucionarlos.
-             Descripción de las normas de seguridad que se deben tener en cuenta durante el uso de cada equipo.</v>
      </c>
      <c r="J1370" s="213">
        <f>IFERROR(__xludf.DUMMYFUNCTION("""COMPUTED_VALUE"""),3.0)</f>
        <v>3</v>
      </c>
      <c r="K1370" s="213" t="str">
        <f>IFERROR(__xludf.DUMMYFUNCTION("""COMPUTED_VALUE"""),"170 DÍAS CALENDARIO")</f>
        <v>170 DÍAS CALENDARIO</v>
      </c>
      <c r="L1370" s="213" t="str">
        <f>IFERROR(__xludf.DUMMYFUNCTION("""COMPUTED_VALUE"""),"")</f>
        <v/>
      </c>
      <c r="M1370" s="213">
        <f>IFERROR(__xludf.DUMMYFUNCTION("""COMPUTED_VALUE"""),1.0)</f>
        <v>1</v>
      </c>
      <c r="N1370" s="213">
        <f>IFERROR(__xludf.DUMMYFUNCTION("""COMPUTED_VALUE"""),6.0)</f>
        <v>6</v>
      </c>
      <c r="O1370" s="213">
        <f>IFERROR(__xludf.DUMMYFUNCTION("""COMPUTED_VALUE"""),6.0)</f>
        <v>6</v>
      </c>
      <c r="P1370" s="213"/>
      <c r="Q1370" s="213"/>
      <c r="R1370" s="213"/>
      <c r="S1370" s="213"/>
      <c r="T1370" s="213"/>
      <c r="U1370" s="213"/>
      <c r="V1370" s="213"/>
      <c r="W1370" s="213"/>
      <c r="X1370" s="213"/>
      <c r="Y1370" s="213"/>
      <c r="Z1370" s="213"/>
      <c r="AA1370" s="213"/>
      <c r="AB1370" s="213"/>
      <c r="AC1370" s="213"/>
      <c r="AD1370" s="213"/>
      <c r="AE1370" s="213"/>
      <c r="AF1370" s="213"/>
      <c r="AG1370" s="213"/>
      <c r="AH1370" s="213"/>
      <c r="AI1370" s="213"/>
      <c r="AJ1370" s="213"/>
      <c r="AK1370" s="213"/>
      <c r="AL1370" s="213"/>
      <c r="AM1370" s="213"/>
      <c r="AN1370" s="213"/>
      <c r="AO1370" s="213"/>
      <c r="AP1370" s="213"/>
      <c r="AQ1370" s="213"/>
      <c r="AR1370" s="213"/>
      <c r="AS1370" s="213"/>
      <c r="AT1370" s="213"/>
      <c r="AU1370" s="213"/>
      <c r="AV1370" s="213"/>
      <c r="AW1370" s="213"/>
      <c r="AX1370" s="213"/>
      <c r="AY1370" s="213"/>
      <c r="AZ1370" s="213"/>
      <c r="BA1370" s="213"/>
      <c r="BB1370" s="213"/>
      <c r="BC1370" s="213"/>
      <c r="BD1370" s="213"/>
    </row>
    <row r="1371">
      <c r="A1371" s="213">
        <f>IFERROR(__xludf.DUMMYFUNCTION("""COMPUTED_VALUE"""),860.0)</f>
        <v>860</v>
      </c>
      <c r="B1371" s="213" t="str">
        <f>IFERROR(__xludf.DUMMYFUNCTION("""COMPUTED_VALUE"""),"6049 RICARDO PALMA")</f>
        <v>6049 RICARDO PALMA</v>
      </c>
      <c r="C1371" s="213" t="str">
        <f>IFERROR(__xludf.DUMMYFUNCTION("""COMPUTED_VALUE"""),"TALLER SFT DE ELECTRICIDAD")</f>
        <v>TALLER SFT DE ELECTRICIDAD</v>
      </c>
      <c r="D1371" s="213" t="str">
        <f>IFERROR(__xludf.DUMMYFUNCTION("""COMPUTED_VALUE"""),"PEDAGOGICO")</f>
        <v>PEDAGOGICO</v>
      </c>
      <c r="E1371" s="213" t="str">
        <f>IFERROR(__xludf.DUMMYFUNCTION("""COMPUTED_VALUE"""),"MAT-303")</f>
        <v>MAT-303</v>
      </c>
      <c r="F1371" s="213" t="str">
        <f>IFERROR(__xludf.DUMMYFUNCTION("""COMPUTED_VALUE"""),"KEFF-01")</f>
        <v>KEFF-01</v>
      </c>
      <c r="G1371" s="213"/>
      <c r="H1371" s="213" t="str">
        <f>IFERROR(__xludf.DUMMYFUNCTION("""COMPUTED_VALUE"""),"MANUAL DE USO POR CADA EQUIPO DE IDENTIFICACIÓN DE NECESIDADES Y PROBLEMAS")</f>
        <v>MANUAL DE USO POR CADA EQUIPO DE IDENTIFICACIÓN DE NECESIDADES Y PROBLEMAS</v>
      </c>
      <c r="I137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 Descripción de las principales tareas que se pueden realizar con cada equipo (por ejemplo, filmar, tomar fotografías, etc.)
- Descripción gráfica de la instalación, uso y conservación de cada equipo.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gráfica de la instalación, uso y conservación de cada equipo.
- Descripción de los errores comunes que se presentan en el uso y la forma de solucionarlos.
- Descripción de las normas de seguridad que se tienen que se deben tener en cuenta durante el uso de cada equipo.</v>
      </c>
      <c r="J1371" s="213">
        <f>IFERROR(__xludf.DUMMYFUNCTION("""COMPUTED_VALUE"""),3.0)</f>
        <v>3</v>
      </c>
      <c r="K1371" s="213" t="str">
        <f>IFERROR(__xludf.DUMMYFUNCTION("""COMPUTED_VALUE"""),"170 DÍAS CALENDARIO")</f>
        <v>170 DÍAS CALENDARIO</v>
      </c>
      <c r="L1371" s="213" t="str">
        <f>IFERROR(__xludf.DUMMYFUNCTION("""COMPUTED_VALUE"""),"")</f>
        <v/>
      </c>
      <c r="M1371" s="213">
        <f>IFERROR(__xludf.DUMMYFUNCTION("""COMPUTED_VALUE"""),1.0)</f>
        <v>1</v>
      </c>
      <c r="N1371" s="213">
        <f>IFERROR(__xludf.DUMMYFUNCTION("""COMPUTED_VALUE"""),6.0)</f>
        <v>6</v>
      </c>
      <c r="O1371" s="213">
        <f>IFERROR(__xludf.DUMMYFUNCTION("""COMPUTED_VALUE"""),6.0)</f>
        <v>6</v>
      </c>
      <c r="P1371" s="213"/>
      <c r="Q1371" s="213"/>
      <c r="R1371" s="213"/>
      <c r="S1371" s="213"/>
      <c r="T1371" s="213"/>
      <c r="U1371" s="213"/>
      <c r="V1371" s="213"/>
      <c r="W1371" s="213"/>
      <c r="X1371" s="213"/>
      <c r="Y1371" s="213"/>
      <c r="Z1371" s="213"/>
      <c r="AA1371" s="213"/>
      <c r="AB1371" s="213"/>
      <c r="AC1371" s="213"/>
      <c r="AD1371" s="213"/>
      <c r="AE1371" s="213"/>
      <c r="AF1371" s="213"/>
      <c r="AG1371" s="213"/>
      <c r="AH1371" s="213"/>
      <c r="AI1371" s="213"/>
      <c r="AJ1371" s="213"/>
      <c r="AK1371" s="213"/>
      <c r="AL1371" s="213"/>
      <c r="AM1371" s="213"/>
      <c r="AN1371" s="213"/>
      <c r="AO1371" s="213"/>
      <c r="AP1371" s="213"/>
      <c r="AQ1371" s="213"/>
      <c r="AR1371" s="213"/>
      <c r="AS1371" s="213"/>
      <c r="AT1371" s="213"/>
      <c r="AU1371" s="213"/>
      <c r="AV1371" s="213"/>
      <c r="AW1371" s="213"/>
      <c r="AX1371" s="213"/>
      <c r="AY1371" s="213"/>
      <c r="AZ1371" s="213"/>
      <c r="BA1371" s="213"/>
      <c r="BB1371" s="213"/>
      <c r="BC1371" s="213"/>
      <c r="BD1371" s="213"/>
    </row>
    <row r="1372">
      <c r="A1372" s="213">
        <f>IFERROR(__xludf.DUMMYFUNCTION("""COMPUTED_VALUE"""),1005.0)</f>
        <v>1005</v>
      </c>
      <c r="B1372" s="213" t="str">
        <f>IFERROR(__xludf.DUMMYFUNCTION("""COMPUTED_VALUE"""),"FRANCISCO IRAZOLA")</f>
        <v>FRANCISCO IRAZOLA</v>
      </c>
      <c r="C1372" s="213" t="str">
        <f>IFERROR(__xludf.DUMMYFUNCTION("""COMPUTED_VALUE"""),"TALLER SFT DE MECÁNICA AUTOMOTRIZ")</f>
        <v>TALLER SFT DE MECÁNICA AUTOMOTRIZ</v>
      </c>
      <c r="D1372" s="213" t="str">
        <f>IFERROR(__xludf.DUMMYFUNCTION("""COMPUTED_VALUE"""),"PEDAGOGICO")</f>
        <v>PEDAGOGICO</v>
      </c>
      <c r="E1372" s="213" t="str">
        <f>IFERROR(__xludf.DUMMYFUNCTION("""COMPUTED_VALUE"""),"MAT-303")</f>
        <v>MAT-303</v>
      </c>
      <c r="F1372" s="213" t="str">
        <f>IFERROR(__xludf.DUMMYFUNCTION("""COMPUTED_VALUE"""),"KEFF-01")</f>
        <v>KEFF-01</v>
      </c>
      <c r="G1372" s="213"/>
      <c r="H1372" s="213" t="str">
        <f>IFERROR(__xludf.DUMMYFUNCTION("""COMPUTED_VALUE"""),"MANUAL DE USO POR CADA EQUIPO DE IDENTIFICACIÓN DE NECESIDADES Y PROBLEMAS")</f>
        <v>MANUAL DE USO POR CADA EQUIPO DE IDENTIFICACIÓN DE NECESIDADES Y PROBLEMAS</v>
      </c>
      <c r="I137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filmar, tomar fotografías, etc.)
- Descripción grafica de la instalación, uso y conservación de cada equipo.
- Descripción de los e"&amp;"rrores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372" s="213">
        <f>IFERROR(__xludf.DUMMYFUNCTION("""COMPUTED_VALUE"""),3.0)</f>
        <v>3</v>
      </c>
      <c r="K1372" s="213" t="str">
        <f>IFERROR(__xludf.DUMMYFUNCTION("""COMPUTED_VALUE"""),"170 DÍAS CALENDARIO")</f>
        <v>170 DÍAS CALENDARIO</v>
      </c>
      <c r="L1372" s="213" t="str">
        <f>IFERROR(__xludf.DUMMYFUNCTION("""COMPUTED_VALUE"""),"")</f>
        <v/>
      </c>
      <c r="M1372" s="213">
        <f>IFERROR(__xludf.DUMMYFUNCTION("""COMPUTED_VALUE"""),1.0)</f>
        <v>1</v>
      </c>
      <c r="N1372" s="213">
        <f>IFERROR(__xludf.DUMMYFUNCTION("""COMPUTED_VALUE"""),6.0)</f>
        <v>6</v>
      </c>
      <c r="O1372" s="213">
        <f>IFERROR(__xludf.DUMMYFUNCTION("""COMPUTED_VALUE"""),6.0)</f>
        <v>6</v>
      </c>
      <c r="P1372" s="213"/>
      <c r="Q1372" s="213"/>
      <c r="R1372" s="213"/>
      <c r="S1372" s="213"/>
      <c r="T1372" s="213"/>
      <c r="U1372" s="213"/>
      <c r="V1372" s="213"/>
      <c r="W1372" s="213"/>
      <c r="X1372" s="213"/>
      <c r="Y1372" s="213"/>
      <c r="Z1372" s="213"/>
      <c r="AA1372" s="213"/>
      <c r="AB1372" s="213"/>
      <c r="AC1372" s="213"/>
      <c r="AD1372" s="213"/>
      <c r="AE1372" s="213"/>
      <c r="AF1372" s="213"/>
      <c r="AG1372" s="213"/>
      <c r="AH1372" s="213"/>
      <c r="AI1372" s="213"/>
      <c r="AJ1372" s="213"/>
      <c r="AK1372" s="213"/>
      <c r="AL1372" s="213"/>
      <c r="AM1372" s="213"/>
      <c r="AN1372" s="213"/>
      <c r="AO1372" s="213"/>
      <c r="AP1372" s="213"/>
      <c r="AQ1372" s="213"/>
      <c r="AR1372" s="213"/>
      <c r="AS1372" s="213"/>
      <c r="AT1372" s="213"/>
      <c r="AU1372" s="213"/>
      <c r="AV1372" s="213"/>
      <c r="AW1372" s="213"/>
      <c r="AX1372" s="213"/>
      <c r="AY1372" s="213"/>
      <c r="AZ1372" s="213"/>
      <c r="BA1372" s="213"/>
      <c r="BB1372" s="213"/>
      <c r="BC1372" s="213"/>
      <c r="BD1372" s="213"/>
    </row>
    <row r="1373">
      <c r="A1373" s="213">
        <f>IFERROR(__xludf.DUMMYFUNCTION("""COMPUTED_VALUE"""),1282.0)</f>
        <v>1282</v>
      </c>
      <c r="B1373" s="213" t="str">
        <f>IFERROR(__xludf.DUMMYFUNCTION("""COMPUTED_VALUE"""),"GUILLERMO E. BILLINGHURST ")</f>
        <v>GUILLERMO E. BILLINGHURST </v>
      </c>
      <c r="C1373" s="213" t="str">
        <f>IFERROR(__xludf.DUMMYFUNCTION("""COMPUTED_VALUE"""),"TALLER SFT DE ELECTRICIDAD")</f>
        <v>TALLER SFT DE ELECTRICIDAD</v>
      </c>
      <c r="D1373" s="213" t="str">
        <f>IFERROR(__xludf.DUMMYFUNCTION("""COMPUTED_VALUE"""),"PEDAGOGICO")</f>
        <v>PEDAGOGICO</v>
      </c>
      <c r="E1373" s="213" t="str">
        <f>IFERROR(__xludf.DUMMYFUNCTION("""COMPUTED_VALUE"""),"MAT-303")</f>
        <v>MAT-303</v>
      </c>
      <c r="F1373" s="213" t="str">
        <f>IFERROR(__xludf.DUMMYFUNCTION("""COMPUTED_VALUE"""),"KEFF-01")</f>
        <v>KEFF-01</v>
      </c>
      <c r="G1373" s="213"/>
      <c r="H1373" s="213" t="str">
        <f>IFERROR(__xludf.DUMMYFUNCTION("""COMPUTED_VALUE"""),"MANUAL DE USO POR CADA EQUIPO DE IDENTIFICACIÓN DE NECESIDADES Y PROBLEMAS")</f>
        <v>MANUAL DE USO POR CADA EQUIPO DE IDENTIFICACIÓN DE NECESIDADES Y PROBLEMAS</v>
      </c>
      <c r="I137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 Descripción de las principales tareas que se pueden realizar con cada equipo (por ejemplo, filmar, tomar fotografías, etc.)
- Descripción gráfica de la instalación, uso y conservación de cada equipo.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gráfica de la instalación, uso y conservación de cada equipo.
- Descripción de los errores comunes que se presentan en el uso y la forma de solucionarlos.
- Descripción de las normas de seguridad que se tienen que se deben tener en cuenta durante el uso de cada equipo.</v>
      </c>
      <c r="J1373" s="213">
        <f>IFERROR(__xludf.DUMMYFUNCTION("""COMPUTED_VALUE"""),3.0)</f>
        <v>3</v>
      </c>
      <c r="K1373" s="213" t="str">
        <f>IFERROR(__xludf.DUMMYFUNCTION("""COMPUTED_VALUE"""),"170 DÍAS CALENDARIO")</f>
        <v>170 DÍAS CALENDARIO</v>
      </c>
      <c r="L1373" s="213" t="str">
        <f>IFERROR(__xludf.DUMMYFUNCTION("""COMPUTED_VALUE"""),"")</f>
        <v/>
      </c>
      <c r="M1373" s="213">
        <f>IFERROR(__xludf.DUMMYFUNCTION("""COMPUTED_VALUE"""),1.0)</f>
        <v>1</v>
      </c>
      <c r="N1373" s="213">
        <f>IFERROR(__xludf.DUMMYFUNCTION("""COMPUTED_VALUE"""),6.0)</f>
        <v>6</v>
      </c>
      <c r="O1373" s="213">
        <f>IFERROR(__xludf.DUMMYFUNCTION("""COMPUTED_VALUE"""),6.0)</f>
        <v>6</v>
      </c>
      <c r="P1373" s="213"/>
      <c r="Q1373" s="213"/>
      <c r="R1373" s="213"/>
      <c r="S1373" s="213"/>
      <c r="T1373" s="213"/>
      <c r="U1373" s="213"/>
      <c r="V1373" s="213"/>
      <c r="W1373" s="213"/>
      <c r="X1373" s="213"/>
      <c r="Y1373" s="213"/>
      <c r="Z1373" s="213"/>
      <c r="AA1373" s="213"/>
      <c r="AB1373" s="213"/>
      <c r="AC1373" s="213"/>
      <c r="AD1373" s="213"/>
      <c r="AE1373" s="213"/>
      <c r="AF1373" s="213"/>
      <c r="AG1373" s="213"/>
      <c r="AH1373" s="213"/>
      <c r="AI1373" s="213"/>
      <c r="AJ1373" s="213"/>
      <c r="AK1373" s="213"/>
      <c r="AL1373" s="213"/>
      <c r="AM1373" s="213"/>
      <c r="AN1373" s="213"/>
      <c r="AO1373" s="213"/>
      <c r="AP1373" s="213"/>
      <c r="AQ1373" s="213"/>
      <c r="AR1373" s="213"/>
      <c r="AS1373" s="213"/>
      <c r="AT1373" s="213"/>
      <c r="AU1373" s="213"/>
      <c r="AV1373" s="213"/>
      <c r="AW1373" s="213"/>
      <c r="AX1373" s="213"/>
      <c r="AY1373" s="213"/>
      <c r="AZ1373" s="213"/>
      <c r="BA1373" s="213"/>
      <c r="BB1373" s="213"/>
      <c r="BC1373" s="213"/>
      <c r="BD1373" s="213"/>
    </row>
    <row r="1374">
      <c r="A1374" s="213">
        <f>IFERROR(__xludf.DUMMYFUNCTION("""COMPUTED_VALUE"""),1610.0)</f>
        <v>1610</v>
      </c>
      <c r="B1374" s="213" t="str">
        <f>IFERROR(__xludf.DUMMYFUNCTION("""COMPUTED_VALUE"""),"GUILLERMO E. BILLINGHURST ")</f>
        <v>GUILLERMO E. BILLINGHURST </v>
      </c>
      <c r="C1374" s="213" t="str">
        <f>IFERROR(__xludf.DUMMYFUNCTION("""COMPUTED_VALUE"""),"TALLER SFT DE MECÁNICA AUTOMOTRIZ")</f>
        <v>TALLER SFT DE MECÁNICA AUTOMOTRIZ</v>
      </c>
      <c r="D1374" s="213" t="str">
        <f>IFERROR(__xludf.DUMMYFUNCTION("""COMPUTED_VALUE"""),"PEDAGOGICO")</f>
        <v>PEDAGOGICO</v>
      </c>
      <c r="E1374" s="213" t="str">
        <f>IFERROR(__xludf.DUMMYFUNCTION("""COMPUTED_VALUE"""),"MAT-303")</f>
        <v>MAT-303</v>
      </c>
      <c r="F1374" s="213" t="str">
        <f>IFERROR(__xludf.DUMMYFUNCTION("""COMPUTED_VALUE"""),"KEFF-01")</f>
        <v>KEFF-01</v>
      </c>
      <c r="G1374" s="213"/>
      <c r="H1374" s="213" t="str">
        <f>IFERROR(__xludf.DUMMYFUNCTION("""COMPUTED_VALUE"""),"MANUAL DE USO POR CADA EQUIPO DE IDENTIFICACIÓN DE NECESIDADES Y PROBLEMAS")</f>
        <v>MANUAL DE USO POR CADA EQUIPO DE IDENTIFICACIÓN DE NECESIDADES Y PROBLEMAS</v>
      </c>
      <c r="I137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filmar, tomar fotografías, etc.)
- Descripción grafica de la instalación, uso y conservación de cada equipo.
- Descripción de los e"&amp;"rrores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374" s="213">
        <f>IFERROR(__xludf.DUMMYFUNCTION("""COMPUTED_VALUE"""),3.0)</f>
        <v>3</v>
      </c>
      <c r="K1374" s="213" t="str">
        <f>IFERROR(__xludf.DUMMYFUNCTION("""COMPUTED_VALUE"""),"170 DÍAS CALENDARIO")</f>
        <v>170 DÍAS CALENDARIO</v>
      </c>
      <c r="L1374" s="213" t="str">
        <f>IFERROR(__xludf.DUMMYFUNCTION("""COMPUTED_VALUE"""),"")</f>
        <v/>
      </c>
      <c r="M1374" s="213">
        <f>IFERROR(__xludf.DUMMYFUNCTION("""COMPUTED_VALUE"""),1.0)</f>
        <v>1</v>
      </c>
      <c r="N1374" s="213">
        <f>IFERROR(__xludf.DUMMYFUNCTION("""COMPUTED_VALUE"""),6.0)</f>
        <v>6</v>
      </c>
      <c r="O1374" s="213">
        <f>IFERROR(__xludf.DUMMYFUNCTION("""COMPUTED_VALUE"""),6.0)</f>
        <v>6</v>
      </c>
      <c r="P1374" s="213"/>
      <c r="Q1374" s="213"/>
      <c r="R1374" s="213"/>
      <c r="S1374" s="213"/>
      <c r="T1374" s="213"/>
      <c r="U1374" s="213"/>
      <c r="V1374" s="213"/>
      <c r="W1374" s="213"/>
      <c r="X1374" s="213"/>
      <c r="Y1374" s="213"/>
      <c r="Z1374" s="213"/>
      <c r="AA1374" s="213"/>
      <c r="AB1374" s="213"/>
      <c r="AC1374" s="213"/>
      <c r="AD1374" s="213"/>
      <c r="AE1374" s="213"/>
      <c r="AF1374" s="213"/>
      <c r="AG1374" s="213"/>
      <c r="AH1374" s="213"/>
      <c r="AI1374" s="213"/>
      <c r="AJ1374" s="213"/>
      <c r="AK1374" s="213"/>
      <c r="AL1374" s="213"/>
      <c r="AM1374" s="213"/>
      <c r="AN1374" s="213"/>
      <c r="AO1374" s="213"/>
      <c r="AP1374" s="213"/>
      <c r="AQ1374" s="213"/>
      <c r="AR1374" s="213"/>
      <c r="AS1374" s="213"/>
      <c r="AT1374" s="213"/>
      <c r="AU1374" s="213"/>
      <c r="AV1374" s="213"/>
      <c r="AW1374" s="213"/>
      <c r="AX1374" s="213"/>
      <c r="AY1374" s="213"/>
      <c r="AZ1374" s="213"/>
      <c r="BA1374" s="213"/>
      <c r="BB1374" s="213"/>
      <c r="BC1374" s="213"/>
      <c r="BD1374" s="213"/>
    </row>
    <row r="1375">
      <c r="A1375" s="213">
        <f>IFERROR(__xludf.DUMMYFUNCTION("""COMPUTED_VALUE"""),2302.0)</f>
        <v>2302</v>
      </c>
      <c r="B1375" s="213" t="str">
        <f>IFERROR(__xludf.DUMMYFUNCTION("""COMPUTED_VALUE"""),"JOSE GRANDA")</f>
        <v>JOSE GRANDA</v>
      </c>
      <c r="C1375" s="213" t="str">
        <f>IFERROR(__xludf.DUMMYFUNCTION("""COMPUTED_VALUE"""),"TALLER SFT DE MECÁNICA AUTOMOTRIZ")</f>
        <v>TALLER SFT DE MECÁNICA AUTOMOTRIZ</v>
      </c>
      <c r="D1375" s="213" t="str">
        <f>IFERROR(__xludf.DUMMYFUNCTION("""COMPUTED_VALUE"""),"PEDAGOGICO")</f>
        <v>PEDAGOGICO</v>
      </c>
      <c r="E1375" s="213" t="str">
        <f>IFERROR(__xludf.DUMMYFUNCTION("""COMPUTED_VALUE"""),"MAT-303")</f>
        <v>MAT-303</v>
      </c>
      <c r="F1375" s="213" t="str">
        <f>IFERROR(__xludf.DUMMYFUNCTION("""COMPUTED_VALUE"""),"KEFF-01")</f>
        <v>KEFF-01</v>
      </c>
      <c r="G1375" s="213"/>
      <c r="H1375" s="213" t="str">
        <f>IFERROR(__xludf.DUMMYFUNCTION("""COMPUTED_VALUE"""),"MANUAL DE USO POR CADA EQUIPO DE IDENTIFICACIÓN DE NECESIDADES Y PROBLEMAS")</f>
        <v>MANUAL DE USO POR CADA EQUIPO DE IDENTIFICACIÓN DE NECESIDADES Y PROBLEMAS</v>
      </c>
      <c r="I137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filmar, tomar fotografías, etc.)
- Descripción grafica de la instalación, uso y conservación de cada equipo.
- Descripción de los e"&amp;"rrores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375" s="213">
        <f>IFERROR(__xludf.DUMMYFUNCTION("""COMPUTED_VALUE"""),3.0)</f>
        <v>3</v>
      </c>
      <c r="K1375" s="213" t="str">
        <f>IFERROR(__xludf.DUMMYFUNCTION("""COMPUTED_VALUE"""),"170 DÍAS CALENDARIO")</f>
        <v>170 DÍAS CALENDARIO</v>
      </c>
      <c r="L1375" s="213" t="str">
        <f>IFERROR(__xludf.DUMMYFUNCTION("""COMPUTED_VALUE"""),"")</f>
        <v/>
      </c>
      <c r="M1375" s="213">
        <f>IFERROR(__xludf.DUMMYFUNCTION("""COMPUTED_VALUE"""),1.0)</f>
        <v>1</v>
      </c>
      <c r="N1375" s="213">
        <f>IFERROR(__xludf.DUMMYFUNCTION("""COMPUTED_VALUE"""),6.0)</f>
        <v>6</v>
      </c>
      <c r="O1375" s="213">
        <f>IFERROR(__xludf.DUMMYFUNCTION("""COMPUTED_VALUE"""),6.0)</f>
        <v>6</v>
      </c>
      <c r="P1375" s="213"/>
      <c r="Q1375" s="213"/>
      <c r="R1375" s="213"/>
      <c r="S1375" s="213"/>
      <c r="T1375" s="213"/>
      <c r="U1375" s="213"/>
      <c r="V1375" s="213"/>
      <c r="W1375" s="213"/>
      <c r="X1375" s="213"/>
      <c r="Y1375" s="213"/>
      <c r="Z1375" s="213"/>
      <c r="AA1375" s="213"/>
      <c r="AB1375" s="213"/>
      <c r="AC1375" s="213"/>
      <c r="AD1375" s="213"/>
      <c r="AE1375" s="213"/>
      <c r="AF1375" s="213"/>
      <c r="AG1375" s="213"/>
      <c r="AH1375" s="213"/>
      <c r="AI1375" s="213"/>
      <c r="AJ1375" s="213"/>
      <c r="AK1375" s="213"/>
      <c r="AL1375" s="213"/>
      <c r="AM1375" s="213"/>
      <c r="AN1375" s="213"/>
      <c r="AO1375" s="213"/>
      <c r="AP1375" s="213"/>
      <c r="AQ1375" s="213"/>
      <c r="AR1375" s="213"/>
      <c r="AS1375" s="213"/>
      <c r="AT1375" s="213"/>
      <c r="AU1375" s="213"/>
      <c r="AV1375" s="213"/>
      <c r="AW1375" s="213"/>
      <c r="AX1375" s="213"/>
      <c r="AY1375" s="213"/>
      <c r="AZ1375" s="213"/>
      <c r="BA1375" s="213"/>
      <c r="BB1375" s="213"/>
      <c r="BC1375" s="213"/>
      <c r="BD1375" s="213"/>
    </row>
    <row r="1376">
      <c r="A1376" s="213">
        <f>IFERROR(__xludf.DUMMYFUNCTION("""COMPUTED_VALUE"""),2429.0)</f>
        <v>2429</v>
      </c>
      <c r="B1376" s="213" t="str">
        <f>IFERROR(__xludf.DUMMYFUNCTION("""COMPUTED_VALUE"""),"MANUEL ANTONIO MESONES MURO")</f>
        <v>MANUEL ANTONIO MESONES MURO</v>
      </c>
      <c r="C1376" s="213" t="str">
        <f>IFERROR(__xludf.DUMMYFUNCTION("""COMPUTED_VALUE"""),"TALLER SFT DE INDUSTRIA DEL VESTIDO")</f>
        <v>TALLER SFT DE INDUSTRIA DEL VESTIDO</v>
      </c>
      <c r="D1376" s="213" t="str">
        <f>IFERROR(__xludf.DUMMYFUNCTION("""COMPUTED_VALUE"""),"PEDAGOGICO")</f>
        <v>PEDAGOGICO</v>
      </c>
      <c r="E1376" s="213" t="str">
        <f>IFERROR(__xludf.DUMMYFUNCTION("""COMPUTED_VALUE"""),"MAT-303")</f>
        <v>MAT-303</v>
      </c>
      <c r="F1376" s="213" t="str">
        <f>IFERROR(__xludf.DUMMYFUNCTION("""COMPUTED_VALUE"""),"KEFF-01")</f>
        <v>KEFF-01</v>
      </c>
      <c r="G1376" s="213"/>
      <c r="H1376" s="213" t="str">
        <f>IFERROR(__xludf.DUMMYFUNCTION("""COMPUTED_VALUE"""),"MANUAL DE USO POR CADA EQUIPO DE IDENTIFICACIÓN DE NECESIDADES Y PROBLEMAS")</f>
        <v>MANUAL DE USO POR CADA EQUIPO DE IDENTIFICACIÓN DE NECESIDADES Y PROBLEMAS</v>
      </c>
      <c r="I137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filmar, tomar fotografías, etc.)
- Descripción gráfica de la instalación, uso y conservación de cada equipo.
- Descripción de los e"&amp;"rrores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filmar, tomar fotografías, etc.)
- Descripción gráfica de la instalación, uso y conservación de cada equipo.
- Descripción de los errores comunes que se presentan en el uso y la forma de solucionarlos.
- Descripción de las normas de seguridad que se deben tener en cuenta durante el uso de cada equipo.</v>
      </c>
      <c r="J1376" s="213">
        <f>IFERROR(__xludf.DUMMYFUNCTION("""COMPUTED_VALUE"""),3.0)</f>
        <v>3</v>
      </c>
      <c r="K1376" s="213" t="str">
        <f>IFERROR(__xludf.DUMMYFUNCTION("""COMPUTED_VALUE"""),"170 DÍAS CALENDARIO")</f>
        <v>170 DÍAS CALENDARIO</v>
      </c>
      <c r="L1376" s="213" t="str">
        <f>IFERROR(__xludf.DUMMYFUNCTION("""COMPUTED_VALUE"""),"")</f>
        <v/>
      </c>
      <c r="M1376" s="213">
        <f>IFERROR(__xludf.DUMMYFUNCTION("""COMPUTED_VALUE"""),1.0)</f>
        <v>1</v>
      </c>
      <c r="N1376" s="213">
        <f>IFERROR(__xludf.DUMMYFUNCTION("""COMPUTED_VALUE"""),6.0)</f>
        <v>6</v>
      </c>
      <c r="O1376" s="213">
        <f>IFERROR(__xludf.DUMMYFUNCTION("""COMPUTED_VALUE"""),6.0)</f>
        <v>6</v>
      </c>
      <c r="P1376" s="213"/>
      <c r="Q1376" s="213"/>
      <c r="R1376" s="213"/>
      <c r="S1376" s="213"/>
      <c r="T1376" s="213"/>
      <c r="U1376" s="213"/>
      <c r="V1376" s="213"/>
      <c r="W1376" s="213"/>
      <c r="X1376" s="213"/>
      <c r="Y1376" s="213"/>
      <c r="Z1376" s="213"/>
      <c r="AA1376" s="213"/>
      <c r="AB1376" s="213"/>
      <c r="AC1376" s="213"/>
      <c r="AD1376" s="213"/>
      <c r="AE1376" s="213"/>
      <c r="AF1376" s="213"/>
      <c r="AG1376" s="213"/>
      <c r="AH1376" s="213"/>
      <c r="AI1376" s="213"/>
      <c r="AJ1376" s="213"/>
      <c r="AK1376" s="213"/>
      <c r="AL1376" s="213"/>
      <c r="AM1376" s="213"/>
      <c r="AN1376" s="213"/>
      <c r="AO1376" s="213"/>
      <c r="AP1376" s="213"/>
      <c r="AQ1376" s="213"/>
      <c r="AR1376" s="213"/>
      <c r="AS1376" s="213"/>
      <c r="AT1376" s="213"/>
      <c r="AU1376" s="213"/>
      <c r="AV1376" s="213"/>
      <c r="AW1376" s="213"/>
      <c r="AX1376" s="213"/>
      <c r="AY1376" s="213"/>
      <c r="AZ1376" s="213"/>
      <c r="BA1376" s="213"/>
      <c r="BB1376" s="213"/>
      <c r="BC1376" s="213"/>
      <c r="BD1376" s="213"/>
    </row>
    <row r="1377">
      <c r="A1377" s="213">
        <f>IFERROR(__xludf.DUMMYFUNCTION("""COMPUTED_VALUE"""),2481.0)</f>
        <v>2481</v>
      </c>
      <c r="B1377" s="213" t="str">
        <f>IFERROR(__xludf.DUMMYFUNCTION("""COMPUTED_VALUE"""),"MANUEL ANTONIO MESONES MURO")</f>
        <v>MANUEL ANTONIO MESONES MURO</v>
      </c>
      <c r="C1377" s="213" t="str">
        <f>IFERROR(__xludf.DUMMYFUNCTION("""COMPUTED_VALUE"""),"TALLER SFT DE CONSTRUCCIONES METÁLICAS")</f>
        <v>TALLER SFT DE CONSTRUCCIONES METÁLICAS</v>
      </c>
      <c r="D1377" s="213" t="str">
        <f>IFERROR(__xludf.DUMMYFUNCTION("""COMPUTED_VALUE"""),"HERRAMIENTAS")</f>
        <v>HERRAMIENTAS</v>
      </c>
      <c r="E1377" s="213" t="str">
        <f>IFERROR(__xludf.DUMMYFUNCTION("""COMPUTED_VALUE"""),"COM-231")</f>
        <v>COM-231</v>
      </c>
      <c r="F1377" s="213" t="str">
        <f>IFERROR(__xludf.DUMMYFUNCTION("""COMPUTED_VALUE"""),"COM-231-X")</f>
        <v>COM-231-X</v>
      </c>
      <c r="G1377" s="213"/>
      <c r="H1377" s="213" t="str">
        <f>IFERROR(__xludf.DUMMYFUNCTION("""COMPUTED_VALUE"""),"MICRÓMETRO DIGITAL")</f>
        <v>MICRÓMETRO DIGITAL</v>
      </c>
      <c r="I1377" s="213" t="str">
        <f>IFERROR(__xludf.DUMMYFUNCTION("""COMPUTED_VALUE"""),"Resolución 0.001 mm / 0.00005 mm
-        Rango: 0.25 mm
-        Tamaño: 50/50
-        Tipo: micrómetro pantalla digital       LCD
-        Material: acero inoxidable
-        Precisión: 0.003 mm
-        Batería: 3 V
-        Botón de encendido y apaga"&amp;"do automáticamente")</f>
        <v>Resolución 0.001 mm / 0.00005 mm
-        Rango: 0.25 mm
-        Tamaño: 50/50
-        Tipo: micrómetro pantalla digital       LCD
-        Material: acero inoxidable
-        Precisión: 0.003 mm
-        Batería: 3 V
-        Botón de encendido y apagado automáticamente</v>
      </c>
      <c r="J1377" s="213">
        <f>IFERROR(__xludf.DUMMYFUNCTION("""COMPUTED_VALUE"""),3.0)</f>
        <v>3</v>
      </c>
      <c r="K1377" s="213" t="str">
        <f>IFERROR(__xludf.DUMMYFUNCTION("""COMPUTED_VALUE"""),"90 DÍAS CALENDARIO")</f>
        <v>90 DÍAS CALENDARIO</v>
      </c>
      <c r="L1377" s="213" t="str">
        <f>IFERROR(__xludf.DUMMYFUNCTION("""COMPUTED_VALUE"""),"")</f>
        <v/>
      </c>
      <c r="M1377" s="213">
        <f>IFERROR(__xludf.DUMMYFUNCTION("""COMPUTED_VALUE"""),1.0)</f>
        <v>1</v>
      </c>
      <c r="N1377" s="213">
        <f>IFERROR(__xludf.DUMMYFUNCTION("""COMPUTED_VALUE"""),2.0)</f>
        <v>2</v>
      </c>
      <c r="O1377" s="213">
        <f>IFERROR(__xludf.DUMMYFUNCTION("""COMPUTED_VALUE"""),2.0)</f>
        <v>2</v>
      </c>
      <c r="P1377" s="213"/>
      <c r="Q1377" s="213"/>
      <c r="R1377" s="213" t="str">
        <f>IFERROR(__xludf.DUMMYFUNCTION("""COMPUTED_VALUE"""),"SI")</f>
        <v>SI</v>
      </c>
      <c r="S1377" s="213"/>
      <c r="T1377" s="213" t="str">
        <f>IFERROR(__xludf.DUMMYFUNCTION("""COMPUTED_VALUE"""),"CONSULTA FINAL")</f>
        <v>CONSULTA FINAL</v>
      </c>
      <c r="U1377" s="213" t="str">
        <f>IFERROR(__xludf.DUMMYFUNCTION("""COMPUTED_VALUE"""),"NO")</f>
        <v>NO</v>
      </c>
      <c r="V1377" s="213" t="str">
        <f>IFERROR(__xludf.DUMMYFUNCTION("""COMPUTED_VALUE"""),"SUSTENTO")</f>
        <v>SUSTENTO</v>
      </c>
      <c r="W1377" s="213" t="str">
        <f>IFERROR(__xludf.DUMMYFUNCTION("""COMPUTED_VALUE"""),"ELÉCTRICO")</f>
        <v>ELÉCTRICO</v>
      </c>
      <c r="X1377" s="213" t="str">
        <f>IFERROR(__xludf.DUMMYFUNCTION("""COMPUTED_VALUE"""),"MITUTOYO")</f>
        <v>MITUTOYO</v>
      </c>
      <c r="Y1377" s="213" t="str">
        <f>IFERROR(__xludf.DUMMYFUNCTION("""COMPUTED_VALUE"""),"293-240-30")</f>
        <v>293-240-30</v>
      </c>
      <c r="Z1377" s="215" t="str">
        <f>IFERROR(__xludf.DUMMYFUNCTION("""COMPUTED_VALUE"""),"https://www.alibaba.com/product-detail/Original-Mitutoyo-Made-in-Japan-293_1601109926966.html?spm=a2700.galleryofferlist.normal_offer.d_image.1b3c13a0XUKVC0&amp;priceId=a68b0a977d72496eab70d27dc1ca2551")</f>
        <v>https://www.alibaba.com/product-detail/Original-Mitutoyo-Made-in-Japan-293_1601109926966.html?spm=a2700.galleryofferlist.normal_offer.d_image.1b3c13a0XUKVC0&amp;priceId=a68b0a977d72496eab70d27dc1ca2551</v>
      </c>
      <c r="AA1377" s="213" t="str">
        <f>IFERROR(__xludf.DUMMYFUNCTION("""COMPUTED_VALUE"""),"COM-231-X MICROMETRO DIGITAL - CET")</f>
        <v>COM-231-X MICROMETRO DIGITAL - CET</v>
      </c>
      <c r="AB1377" s="213"/>
      <c r="AC1377" s="213"/>
      <c r="AD1377" s="213"/>
      <c r="AE1377" s="213"/>
      <c r="AF1377" s="213"/>
      <c r="AG1377" s="213"/>
      <c r="AH1377" s="213"/>
      <c r="AI1377" s="213"/>
      <c r="AJ1377" s="213"/>
      <c r="AK1377" s="213"/>
      <c r="AL1377" s="213"/>
      <c r="AM1377" s="213"/>
      <c r="AN1377" s="213"/>
      <c r="AO1377" s="213"/>
      <c r="AP1377" s="213" t="str">
        <f>IFERROR(__xludf.DUMMYFUNCTION("""COMPUTED_VALUE"""),"LUIS")</f>
        <v>LUIS</v>
      </c>
      <c r="AQ1377" s="213"/>
      <c r="AR1377" s="213"/>
      <c r="AS1377" s="213"/>
      <c r="AT1377" s="213"/>
      <c r="AU1377" s="213"/>
      <c r="AV1377" s="213"/>
      <c r="AW1377" s="213"/>
      <c r="AX1377" s="213"/>
      <c r="AY1377" s="213"/>
      <c r="AZ1377" s="213"/>
      <c r="BA1377" s="213"/>
      <c r="BB1377" s="213"/>
      <c r="BC1377" s="213"/>
      <c r="BD1377" s="213"/>
    </row>
    <row r="1378">
      <c r="A1378" s="213">
        <f>IFERROR(__xludf.DUMMYFUNCTION("""COMPUTED_VALUE"""),1891.0)</f>
        <v>1891</v>
      </c>
      <c r="B1378" s="213" t="str">
        <f>IFERROR(__xludf.DUMMYFUNCTION("""COMPUTED_VALUE"""),"GUILLERMO E. BILLINGHURST ")</f>
        <v>GUILLERMO E. BILLINGHURST </v>
      </c>
      <c r="C1378" s="213" t="str">
        <f>IFERROR(__xludf.DUMMYFUNCTION("""COMPUTED_VALUE"""),"TALLER SFT DE EBANISTERÍA")</f>
        <v>TALLER SFT DE EBANISTERÍA</v>
      </c>
      <c r="D1378" s="213" t="str">
        <f>IFERROR(__xludf.DUMMYFUNCTION("""COMPUTED_VALUE"""),"PEDAGOGICO")</f>
        <v>PEDAGOGICO</v>
      </c>
      <c r="E1378" s="213" t="str">
        <f>IFERROR(__xludf.DUMMYFUNCTION("""COMPUTED_VALUE"""),"MAT-307")</f>
        <v>MAT-307</v>
      </c>
      <c r="F1378" s="213" t="str">
        <f>IFERROR(__xludf.DUMMYFUNCTION("""COMPUTED_VALUE"""),"KEFF-36")</f>
        <v>KEFF-36</v>
      </c>
      <c r="G1378" s="213"/>
      <c r="H1378" s="213" t="str">
        <f>IFERROR(__xludf.DUMMYFUNCTION("""COMPUTED_VALUE"""),"MANUAL DE USO POR CADA EQUIPO DE ACABADOS DE SUPERFICIES")</f>
        <v>MANUAL DE USO POR CADA EQUIPO DE ACABADOS DE SUPERFICIES</v>
      </c>
      <c r="I137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las partes y accesorios de cada equipo de acabados de superficies.
.  Descripción de las principales tareas que se pueden realizar con cada equipo de acabados de superficies.
-          Descripción grafica de la instalación, uso y co"&amp;"nservación de cada equipo.
-          Descripción de los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acabados de superficies.
.  Descripción de las principales tareas que se pueden realizar con cada equipo de acabados de superficies.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378" s="213">
        <f>IFERROR(__xludf.DUMMYFUNCTION("""COMPUTED_VALUE"""),3.0)</f>
        <v>3</v>
      </c>
      <c r="K1378" s="213" t="str">
        <f>IFERROR(__xludf.DUMMYFUNCTION("""COMPUTED_VALUE"""),"170 DÍAS CALENDARIO")</f>
        <v>170 DÍAS CALENDARIO</v>
      </c>
      <c r="L1378" s="213" t="str">
        <f>IFERROR(__xludf.DUMMYFUNCTION("""COMPUTED_VALUE"""),"")</f>
        <v/>
      </c>
      <c r="M1378" s="213">
        <f>IFERROR(__xludf.DUMMYFUNCTION("""COMPUTED_VALUE"""),1.0)</f>
        <v>1</v>
      </c>
      <c r="N1378" s="213">
        <f>IFERROR(__xludf.DUMMYFUNCTION("""COMPUTED_VALUE"""),6.0)</f>
        <v>6</v>
      </c>
      <c r="O1378" s="213">
        <f>IFERROR(__xludf.DUMMYFUNCTION("""COMPUTED_VALUE"""),6.0)</f>
        <v>6</v>
      </c>
      <c r="P1378" s="213"/>
      <c r="Q1378" s="213"/>
      <c r="R1378" s="213"/>
      <c r="S1378" s="213"/>
      <c r="T1378" s="213"/>
      <c r="U1378" s="213"/>
      <c r="V1378" s="213"/>
      <c r="W1378" s="213"/>
      <c r="X1378" s="213"/>
      <c r="Y1378" s="213"/>
      <c r="Z1378" s="213"/>
      <c r="AA1378" s="213"/>
      <c r="AB1378" s="213"/>
      <c r="AC1378" s="213"/>
      <c r="AD1378" s="213"/>
      <c r="AE1378" s="213"/>
      <c r="AF1378" s="213"/>
      <c r="AG1378" s="213"/>
      <c r="AH1378" s="213"/>
      <c r="AI1378" s="213"/>
      <c r="AJ1378" s="213"/>
      <c r="AK1378" s="213"/>
      <c r="AL1378" s="213"/>
      <c r="AM1378" s="213"/>
      <c r="AN1378" s="213"/>
      <c r="AO1378" s="213"/>
      <c r="AP1378" s="213"/>
      <c r="AQ1378" s="213"/>
      <c r="AR1378" s="213"/>
      <c r="AS1378" s="213"/>
      <c r="AT1378" s="213"/>
      <c r="AU1378" s="213"/>
      <c r="AV1378" s="213"/>
      <c r="AW1378" s="213"/>
      <c r="AX1378" s="213"/>
      <c r="AY1378" s="213"/>
      <c r="AZ1378" s="213"/>
      <c r="BA1378" s="213"/>
      <c r="BB1378" s="213"/>
      <c r="BC1378" s="213"/>
      <c r="BD1378" s="213"/>
    </row>
    <row r="1379">
      <c r="A1379" s="213">
        <f>IFERROR(__xludf.DUMMYFUNCTION("""COMPUTED_VALUE"""),2672.0)</f>
        <v>2672</v>
      </c>
      <c r="B1379" s="213" t="str">
        <f>IFERROR(__xludf.DUMMYFUNCTION("""COMPUTED_VALUE"""),"MANUEL ANTONIO MESONES MURO")</f>
        <v>MANUEL ANTONIO MESONES MURO</v>
      </c>
      <c r="C1379" s="213" t="str">
        <f>IFERROR(__xludf.DUMMYFUNCTION("""COMPUTED_VALUE"""),"TALLER SFT DE EBANISTERÍA")</f>
        <v>TALLER SFT DE EBANISTERÍA</v>
      </c>
      <c r="D1379" s="213" t="str">
        <f>IFERROR(__xludf.DUMMYFUNCTION("""COMPUTED_VALUE"""),"PEDAGOGICO")</f>
        <v>PEDAGOGICO</v>
      </c>
      <c r="E1379" s="213" t="str">
        <f>IFERROR(__xludf.DUMMYFUNCTION("""COMPUTED_VALUE"""),"MAT-307")</f>
        <v>MAT-307</v>
      </c>
      <c r="F1379" s="213" t="str">
        <f>IFERROR(__xludf.DUMMYFUNCTION("""COMPUTED_VALUE"""),"KEFF-36")</f>
        <v>KEFF-36</v>
      </c>
      <c r="G1379" s="213"/>
      <c r="H1379" s="213" t="str">
        <f>IFERROR(__xludf.DUMMYFUNCTION("""COMPUTED_VALUE"""),"MANUAL DE USO POR CADA EQUIPO DE ACABADOS DE SUPERFICIES")</f>
        <v>MANUAL DE USO POR CADA EQUIPO DE ACABADOS DE SUPERFICIES</v>
      </c>
      <c r="I137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las partes y accesorios de cada equipo de acabados de superficies.
.  Descripción de las principales tareas que se pueden realizar con cada equipo de acabados de superficies.
-          Descripción grafica de la instalación, uso y co"&amp;"nservación de cada equipo.
-          Descripción de los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acabados de superficies.
.  Descripción de las principales tareas que se pueden realizar con cada equipo de acabados de superficies.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379" s="213">
        <f>IFERROR(__xludf.DUMMYFUNCTION("""COMPUTED_VALUE"""),3.0)</f>
        <v>3</v>
      </c>
      <c r="K1379" s="213" t="str">
        <f>IFERROR(__xludf.DUMMYFUNCTION("""COMPUTED_VALUE"""),"170 DÍAS CALENDARIO")</f>
        <v>170 DÍAS CALENDARIO</v>
      </c>
      <c r="L1379" s="213" t="str">
        <f>IFERROR(__xludf.DUMMYFUNCTION("""COMPUTED_VALUE"""),"")</f>
        <v/>
      </c>
      <c r="M1379" s="213">
        <f>IFERROR(__xludf.DUMMYFUNCTION("""COMPUTED_VALUE"""),1.0)</f>
        <v>1</v>
      </c>
      <c r="N1379" s="213">
        <f>IFERROR(__xludf.DUMMYFUNCTION("""COMPUTED_VALUE"""),6.0)</f>
        <v>6</v>
      </c>
      <c r="O1379" s="213">
        <f>IFERROR(__xludf.DUMMYFUNCTION("""COMPUTED_VALUE"""),6.0)</f>
        <v>6</v>
      </c>
      <c r="P1379" s="213"/>
      <c r="Q1379" s="213"/>
      <c r="R1379" s="213"/>
      <c r="S1379" s="213"/>
      <c r="T1379" s="213"/>
      <c r="U1379" s="213"/>
      <c r="V1379" s="213"/>
      <c r="W1379" s="213"/>
      <c r="X1379" s="213"/>
      <c r="Y1379" s="213"/>
      <c r="Z1379" s="213"/>
      <c r="AA1379" s="213"/>
      <c r="AB1379" s="213"/>
      <c r="AC1379" s="213"/>
      <c r="AD1379" s="213"/>
      <c r="AE1379" s="213"/>
      <c r="AF1379" s="213"/>
      <c r="AG1379" s="213"/>
      <c r="AH1379" s="213"/>
      <c r="AI1379" s="213"/>
      <c r="AJ1379" s="213"/>
      <c r="AK1379" s="213"/>
      <c r="AL1379" s="213"/>
      <c r="AM1379" s="213"/>
      <c r="AN1379" s="213"/>
      <c r="AO1379" s="213"/>
      <c r="AP1379" s="213"/>
      <c r="AQ1379" s="213"/>
      <c r="AR1379" s="213"/>
      <c r="AS1379" s="213"/>
      <c r="AT1379" s="213"/>
      <c r="AU1379" s="213"/>
      <c r="AV1379" s="213"/>
      <c r="AW1379" s="213"/>
      <c r="AX1379" s="213"/>
      <c r="AY1379" s="213"/>
      <c r="AZ1379" s="213"/>
      <c r="BA1379" s="213"/>
      <c r="BB1379" s="213"/>
      <c r="BC1379" s="213"/>
      <c r="BD1379" s="213"/>
    </row>
    <row r="1380">
      <c r="A1380" s="213">
        <f>IFERROR(__xludf.DUMMYFUNCTION("""COMPUTED_VALUE"""),102.0)</f>
        <v>102</v>
      </c>
      <c r="B1380" s="213" t="str">
        <f>IFERROR(__xludf.DUMMYFUNCTION("""COMPUTED_VALUE"""),"16449 ELOY SOBERON  FLORES")</f>
        <v>16449 ELOY SOBERON  FLORES</v>
      </c>
      <c r="C1380" s="213" t="str">
        <f>IFERROR(__xludf.DUMMYFUNCTION("""COMPUTED_VALUE"""),"TALLER SFT DE COCINA Y REPOSTERÍA")</f>
        <v>TALLER SFT DE COCINA Y REPOSTERÍA</v>
      </c>
      <c r="D1380" s="213" t="str">
        <f>IFERROR(__xludf.DUMMYFUNCTION("""COMPUTED_VALUE"""),"PEDAGOGICO")</f>
        <v>PEDAGOGICO</v>
      </c>
      <c r="E1380" s="213" t="str">
        <f>IFERROR(__xludf.DUMMYFUNCTION("""COMPUTED_VALUE"""),"MAT-309")</f>
        <v>MAT-309</v>
      </c>
      <c r="F1380" s="213" t="str">
        <f>IFERROR(__xludf.DUMMYFUNCTION("""COMPUTED_VALUE"""),"KEFF-04")</f>
        <v>KEFF-04</v>
      </c>
      <c r="G1380" s="213"/>
      <c r="H1380" s="213" t="str">
        <f>IFERROR(__xludf.DUMMYFUNCTION("""COMPUTED_VALUE"""),"MANUAL DE USO POR CADA EQUIPO DE ANÁLISIS Y DISEÑO DE LA PROPUESTA DE VALOR")</f>
        <v>MANUAL DE USO POR CADA EQUIPO DE ANÁLISIS Y DISEÑO DE LA PROPUESTA DE VALOR</v>
      </c>
      <c r="I138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          Descripción de las partes y accesorios de cada equipo de análisis y diseño de la propuesta de valor.
-          Descripción de las principales tareas que se pueden realizar con cada equipo de análisis y diseño de la propuesta de val"&amp;"or
-           Descripción grafica de la instalación, uso y conservación de cada equipo.
-           Descripción de los errores comunes que se presentan en el uso y la forma de solucionarlos.
-           Descripción de las normas de seguridad que se deben"&amp;"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80" s="213">
        <f>IFERROR(__xludf.DUMMYFUNCTION("""COMPUTED_VALUE"""),3.0)</f>
        <v>3</v>
      </c>
      <c r="K1380" s="213" t="str">
        <f>IFERROR(__xludf.DUMMYFUNCTION("""COMPUTED_VALUE"""),"170 DÍAS CALENDARIO")</f>
        <v>170 DÍAS CALENDARIO</v>
      </c>
      <c r="L1380" s="213" t="str">
        <f>IFERROR(__xludf.DUMMYFUNCTION("""COMPUTED_VALUE"""),"")</f>
        <v/>
      </c>
      <c r="M1380" s="213">
        <f>IFERROR(__xludf.DUMMYFUNCTION("""COMPUTED_VALUE"""),1.0)</f>
        <v>1</v>
      </c>
      <c r="N1380" s="213">
        <f>IFERROR(__xludf.DUMMYFUNCTION("""COMPUTED_VALUE"""),6.0)</f>
        <v>6</v>
      </c>
      <c r="O1380" s="213">
        <f>IFERROR(__xludf.DUMMYFUNCTION("""COMPUTED_VALUE"""),6.0)</f>
        <v>6</v>
      </c>
      <c r="P1380" s="213"/>
      <c r="Q1380" s="213"/>
      <c r="R1380" s="213"/>
      <c r="S1380" s="213"/>
      <c r="T1380" s="213"/>
      <c r="U1380" s="213"/>
      <c r="V1380" s="213"/>
      <c r="W1380" s="213"/>
      <c r="X1380" s="213"/>
      <c r="Y1380" s="213"/>
      <c r="Z1380" s="213"/>
      <c r="AA1380" s="213"/>
      <c r="AB1380" s="213"/>
      <c r="AC1380" s="213"/>
      <c r="AD1380" s="213"/>
      <c r="AE1380" s="213"/>
      <c r="AF1380" s="213"/>
      <c r="AG1380" s="213"/>
      <c r="AH1380" s="213"/>
      <c r="AI1380" s="213"/>
      <c r="AJ1380" s="213"/>
      <c r="AK1380" s="213"/>
      <c r="AL1380" s="213"/>
      <c r="AM1380" s="213"/>
      <c r="AN1380" s="213"/>
      <c r="AO1380" s="213"/>
      <c r="AP1380" s="213"/>
      <c r="AQ1380" s="213"/>
      <c r="AR1380" s="213"/>
      <c r="AS1380" s="213"/>
      <c r="AT1380" s="213"/>
      <c r="AU1380" s="213"/>
      <c r="AV1380" s="213"/>
      <c r="AW1380" s="213"/>
      <c r="AX1380" s="213"/>
      <c r="AY1380" s="213"/>
      <c r="AZ1380" s="213"/>
      <c r="BA1380" s="213"/>
      <c r="BB1380" s="213"/>
      <c r="BC1380" s="213"/>
      <c r="BD1380" s="213"/>
    </row>
    <row r="1381">
      <c r="A1381" s="213">
        <f>IFERROR(__xludf.DUMMYFUNCTION("""COMPUTED_VALUE"""),213.0)</f>
        <v>213</v>
      </c>
      <c r="B1381" s="213" t="str">
        <f>IFERROR(__xludf.DUMMYFUNCTION("""COMPUTED_VALUE"""),"2026 SIMON BOLIVAR")</f>
        <v>2026 SIMON BOLIVAR</v>
      </c>
      <c r="C1381" s="213" t="str">
        <f>IFERROR(__xludf.DUMMYFUNCTION("""COMPUTED_VALUE"""),"TALLER SFT DE INDUSTRIA DEL VESTIDO")</f>
        <v>TALLER SFT DE INDUSTRIA DEL VESTIDO</v>
      </c>
      <c r="D1381" s="213" t="str">
        <f>IFERROR(__xludf.DUMMYFUNCTION("""COMPUTED_VALUE"""),"PEDAGOGICO")</f>
        <v>PEDAGOGICO</v>
      </c>
      <c r="E1381" s="213" t="str">
        <f>IFERROR(__xludf.DUMMYFUNCTION("""COMPUTED_VALUE"""),"MAT-309")</f>
        <v>MAT-309</v>
      </c>
      <c r="F1381" s="213" t="str">
        <f>IFERROR(__xludf.DUMMYFUNCTION("""COMPUTED_VALUE"""),"KEFF-04")</f>
        <v>KEFF-04</v>
      </c>
      <c r="G1381" s="213"/>
      <c r="H1381" s="213" t="str">
        <f>IFERROR(__xludf.DUMMYFUNCTION("""COMPUTED_VALUE"""),"MANUAL DE USO POR CADA EQUIPO DE ANÁLISIS Y DISEÑO DE LA PROPUESTA DE VALOR")</f>
        <v>MANUAL DE USO POR CADA EQUIPO DE ANÁLISIS Y DISEÑO DE LA PROPUESTA DE VALOR</v>
      </c>
      <c r="I138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análisis y diseño de la propuesta de valor.
- Descripción de las principales tareas que se pueden realizar con cada equipo de análisis y diseño de la propuesta de valor
- Descripción gráfica de la instalación, uso y cons"&amp;"ervación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gráfica de la instalación, uso y conservación de cada equipo.
- Descripción de los errores comunes que se presentan en el uso y la forma de solucionarlos.
- Descripción de las normas de seguridad que se deben tener en cuenta durante el uso de cada equipo.</v>
      </c>
      <c r="J1381" s="213">
        <f>IFERROR(__xludf.DUMMYFUNCTION("""COMPUTED_VALUE"""),3.0)</f>
        <v>3</v>
      </c>
      <c r="K1381" s="213" t="str">
        <f>IFERROR(__xludf.DUMMYFUNCTION("""COMPUTED_VALUE"""),"170 DÍAS CALENDARIO")</f>
        <v>170 DÍAS CALENDARIO</v>
      </c>
      <c r="L1381" s="213" t="str">
        <f>IFERROR(__xludf.DUMMYFUNCTION("""COMPUTED_VALUE"""),"")</f>
        <v/>
      </c>
      <c r="M1381" s="213">
        <f>IFERROR(__xludf.DUMMYFUNCTION("""COMPUTED_VALUE"""),1.0)</f>
        <v>1</v>
      </c>
      <c r="N1381" s="213">
        <f>IFERROR(__xludf.DUMMYFUNCTION("""COMPUTED_VALUE"""),6.0)</f>
        <v>6</v>
      </c>
      <c r="O1381" s="213">
        <f>IFERROR(__xludf.DUMMYFUNCTION("""COMPUTED_VALUE"""),6.0)</f>
        <v>6</v>
      </c>
      <c r="P1381" s="213"/>
      <c r="Q1381" s="213"/>
      <c r="R1381" s="213"/>
      <c r="S1381" s="213"/>
      <c r="T1381" s="213"/>
      <c r="U1381" s="213"/>
      <c r="V1381" s="213"/>
      <c r="W1381" s="213"/>
      <c r="X1381" s="213"/>
      <c r="Y1381" s="213"/>
      <c r="Z1381" s="213"/>
      <c r="AA1381" s="213"/>
      <c r="AB1381" s="213"/>
      <c r="AC1381" s="213"/>
      <c r="AD1381" s="213"/>
      <c r="AE1381" s="213"/>
      <c r="AF1381" s="213"/>
      <c r="AG1381" s="213"/>
      <c r="AH1381" s="213"/>
      <c r="AI1381" s="213"/>
      <c r="AJ1381" s="213"/>
      <c r="AK1381" s="213"/>
      <c r="AL1381" s="213"/>
      <c r="AM1381" s="213"/>
      <c r="AN1381" s="213"/>
      <c r="AO1381" s="213"/>
      <c r="AP1381" s="213"/>
      <c r="AQ1381" s="213"/>
      <c r="AR1381" s="213"/>
      <c r="AS1381" s="213"/>
      <c r="AT1381" s="213"/>
      <c r="AU1381" s="213"/>
      <c r="AV1381" s="213"/>
      <c r="AW1381" s="213"/>
      <c r="AX1381" s="213"/>
      <c r="AY1381" s="213"/>
      <c r="AZ1381" s="213"/>
      <c r="BA1381" s="213"/>
      <c r="BB1381" s="213"/>
      <c r="BC1381" s="213"/>
      <c r="BD1381" s="213"/>
    </row>
    <row r="1382">
      <c r="A1382" s="213">
        <f>IFERROR(__xludf.DUMMYFUNCTION("""COMPUTED_VALUE"""),300.0)</f>
        <v>300</v>
      </c>
      <c r="B1382" s="213" t="str">
        <f>IFERROR(__xludf.DUMMYFUNCTION("""COMPUTED_VALUE"""),"2026 SIMON BOLIVAR")</f>
        <v>2026 SIMON BOLIVAR</v>
      </c>
      <c r="C1382" s="213" t="str">
        <f>IFERROR(__xludf.DUMMYFUNCTION("""COMPUTED_VALUE"""),"TALLER SFT DE COMPUTACIÓN E INFORMÁTICA")</f>
        <v>TALLER SFT DE COMPUTACIÓN E INFORMÁTICA</v>
      </c>
      <c r="D1382" s="213" t="str">
        <f>IFERROR(__xludf.DUMMYFUNCTION("""COMPUTED_VALUE"""),"PEDAGOGICO")</f>
        <v>PEDAGOGICO</v>
      </c>
      <c r="E1382" s="213" t="str">
        <f>IFERROR(__xludf.DUMMYFUNCTION("""COMPUTED_VALUE"""),"MAT-309")</f>
        <v>MAT-309</v>
      </c>
      <c r="F1382" s="213" t="str">
        <f>IFERROR(__xludf.DUMMYFUNCTION("""COMPUTED_VALUE"""),"KEFF-04")</f>
        <v>KEFF-04</v>
      </c>
      <c r="G1382" s="213"/>
      <c r="H1382" s="213" t="str">
        <f>IFERROR(__xludf.DUMMYFUNCTION("""COMPUTED_VALUE"""),"MANUAL DE USO POR CADA EQUIPO DE ANÁLISIS Y DISEÑO DE LA PROPUESTA DE VALOR")</f>
        <v>MANUAL DE USO POR CADA EQUIPO DE ANÁLISIS Y DISEÑO DE LA PROPUESTA DE VALOR</v>
      </c>
      <c r="I138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análisis y diseño de la propuesta de valor.
- Descripción de las principales tareas que se pueden realizar con cada equipo de análisis y diseño de la propuesta de valor
- Descripción gráfica de la instalación, uso y cons"&amp;"ervación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gráfica de la instalación, uso y conservación de cada equipo.
- Descripción de los errores comunes que se presentan en el uso y la forma de solucionarlos.
- Descripción de las normas de seguridad que se deben tener en cuenta durante el uso de cada equipo.</v>
      </c>
      <c r="J1382" s="213">
        <f>IFERROR(__xludf.DUMMYFUNCTION("""COMPUTED_VALUE"""),3.0)</f>
        <v>3</v>
      </c>
      <c r="K1382" s="213" t="str">
        <f>IFERROR(__xludf.DUMMYFUNCTION("""COMPUTED_VALUE"""),"170 DÍAS CALENDARIO")</f>
        <v>170 DÍAS CALENDARIO</v>
      </c>
      <c r="L1382" s="213" t="str">
        <f>IFERROR(__xludf.DUMMYFUNCTION("""COMPUTED_VALUE"""),"")</f>
        <v/>
      </c>
      <c r="M1382" s="213">
        <f>IFERROR(__xludf.DUMMYFUNCTION("""COMPUTED_VALUE"""),1.0)</f>
        <v>1</v>
      </c>
      <c r="N1382" s="213">
        <f>IFERROR(__xludf.DUMMYFUNCTION("""COMPUTED_VALUE"""),6.0)</f>
        <v>6</v>
      </c>
      <c r="O1382" s="213">
        <f>IFERROR(__xludf.DUMMYFUNCTION("""COMPUTED_VALUE"""),6.0)</f>
        <v>6</v>
      </c>
      <c r="P1382" s="213"/>
      <c r="Q1382" s="213"/>
      <c r="R1382" s="213"/>
      <c r="S1382" s="213"/>
      <c r="T1382" s="213"/>
      <c r="U1382" s="213"/>
      <c r="V1382" s="213"/>
      <c r="W1382" s="213"/>
      <c r="X1382" s="213"/>
      <c r="Y1382" s="213"/>
      <c r="Z1382" s="213"/>
      <c r="AA1382" s="213"/>
      <c r="AB1382" s="213"/>
      <c r="AC1382" s="213"/>
      <c r="AD1382" s="213"/>
      <c r="AE1382" s="213"/>
      <c r="AF1382" s="213"/>
      <c r="AG1382" s="213"/>
      <c r="AH1382" s="213"/>
      <c r="AI1382" s="213"/>
      <c r="AJ1382" s="213"/>
      <c r="AK1382" s="213"/>
      <c r="AL1382" s="213"/>
      <c r="AM1382" s="213"/>
      <c r="AN1382" s="213"/>
      <c r="AO1382" s="213"/>
      <c r="AP1382" s="213"/>
      <c r="AQ1382" s="213"/>
      <c r="AR1382" s="213"/>
      <c r="AS1382" s="213"/>
      <c r="AT1382" s="213"/>
      <c r="AU1382" s="213"/>
      <c r="AV1382" s="213"/>
      <c r="AW1382" s="213"/>
      <c r="AX1382" s="213"/>
      <c r="AY1382" s="213"/>
      <c r="AZ1382" s="213"/>
      <c r="BA1382" s="213"/>
      <c r="BB1382" s="213"/>
      <c r="BC1382" s="213"/>
      <c r="BD1382" s="213"/>
    </row>
    <row r="1383">
      <c r="A1383" s="213">
        <f>IFERROR(__xludf.DUMMYFUNCTION("""COMPUTED_VALUE"""),380.0)</f>
        <v>380</v>
      </c>
      <c r="B1383" s="213" t="str">
        <f>IFERROR(__xludf.DUMMYFUNCTION("""COMPUTED_VALUE"""),"2026 SIMON BOLIVAR")</f>
        <v>2026 SIMON BOLIVAR</v>
      </c>
      <c r="C1383" s="213" t="str">
        <f>IFERROR(__xludf.DUMMYFUNCTION("""COMPUTED_VALUE"""),"TALLER SFT DE ELECTRICIDAD")</f>
        <v>TALLER SFT DE ELECTRICIDAD</v>
      </c>
      <c r="D1383" s="213" t="str">
        <f>IFERROR(__xludf.DUMMYFUNCTION("""COMPUTED_VALUE"""),"PEDAGOGICO")</f>
        <v>PEDAGOGICO</v>
      </c>
      <c r="E1383" s="213" t="str">
        <f>IFERROR(__xludf.DUMMYFUNCTION("""COMPUTED_VALUE"""),"MAT-309")</f>
        <v>MAT-309</v>
      </c>
      <c r="F1383" s="213" t="str">
        <f>IFERROR(__xludf.DUMMYFUNCTION("""COMPUTED_VALUE"""),"KEFF-04")</f>
        <v>KEFF-04</v>
      </c>
      <c r="G1383" s="213"/>
      <c r="H1383" s="213" t="str">
        <f>IFERROR(__xludf.DUMMYFUNCTION("""COMPUTED_VALUE"""),"MANUAL DE USO POR CADA EQUIPO DE ANÁLISIS Y DISEÑO DE LA PROPUESTA DE VALOR")</f>
        <v>MANUAL DE USO POR CADA EQUIPO DE ANÁLISIS Y DISEÑO DE LA PROPUESTA DE VALOR</v>
      </c>
      <c r="I138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de análisis y diseño de la propuesta de valor.
- Descripción de las principales tareas que se pueden realizar con cada equipo de análisis y diseño de la propuesta de valor
- Descripción grafica de la instalación, uso y conserv"&amp;"ación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83" s="213">
        <f>IFERROR(__xludf.DUMMYFUNCTION("""COMPUTED_VALUE"""),3.0)</f>
        <v>3</v>
      </c>
      <c r="K1383" s="213" t="str">
        <f>IFERROR(__xludf.DUMMYFUNCTION("""COMPUTED_VALUE"""),"170 DÍAS CALENDARIO")</f>
        <v>170 DÍAS CALENDARIO</v>
      </c>
      <c r="L1383" s="213" t="str">
        <f>IFERROR(__xludf.DUMMYFUNCTION("""COMPUTED_VALUE"""),"")</f>
        <v/>
      </c>
      <c r="M1383" s="213">
        <f>IFERROR(__xludf.DUMMYFUNCTION("""COMPUTED_VALUE"""),1.0)</f>
        <v>1</v>
      </c>
      <c r="N1383" s="213">
        <f>IFERROR(__xludf.DUMMYFUNCTION("""COMPUTED_VALUE"""),6.0)</f>
        <v>6</v>
      </c>
      <c r="O1383" s="213">
        <f>IFERROR(__xludf.DUMMYFUNCTION("""COMPUTED_VALUE"""),6.0)</f>
        <v>6</v>
      </c>
      <c r="P1383" s="213"/>
      <c r="Q1383" s="213"/>
      <c r="R1383" s="213"/>
      <c r="S1383" s="213"/>
      <c r="T1383" s="213"/>
      <c r="U1383" s="213"/>
      <c r="V1383" s="213"/>
      <c r="W1383" s="213"/>
      <c r="X1383" s="213"/>
      <c r="Y1383" s="213"/>
      <c r="Z1383" s="213"/>
      <c r="AA1383" s="213"/>
      <c r="AB1383" s="213"/>
      <c r="AC1383" s="213"/>
      <c r="AD1383" s="213"/>
      <c r="AE1383" s="213"/>
      <c r="AF1383" s="213"/>
      <c r="AG1383" s="213"/>
      <c r="AH1383" s="213"/>
      <c r="AI1383" s="213"/>
      <c r="AJ1383" s="213"/>
      <c r="AK1383" s="213"/>
      <c r="AL1383" s="213"/>
      <c r="AM1383" s="213"/>
      <c r="AN1383" s="213"/>
      <c r="AO1383" s="213"/>
      <c r="AP1383" s="213"/>
      <c r="AQ1383" s="213"/>
      <c r="AR1383" s="213"/>
      <c r="AS1383" s="213"/>
      <c r="AT1383" s="213"/>
      <c r="AU1383" s="213"/>
      <c r="AV1383" s="213"/>
      <c r="AW1383" s="213"/>
      <c r="AX1383" s="213"/>
      <c r="AY1383" s="213"/>
      <c r="AZ1383" s="213"/>
      <c r="BA1383" s="213"/>
      <c r="BB1383" s="213"/>
      <c r="BC1383" s="213"/>
      <c r="BD1383" s="213"/>
    </row>
    <row r="1384">
      <c r="A1384" s="213">
        <f>IFERROR(__xludf.DUMMYFUNCTION("""COMPUTED_VALUE"""),577.0)</f>
        <v>577</v>
      </c>
      <c r="B1384" s="213" t="str">
        <f>IFERROR(__xludf.DUMMYFUNCTION("""COMPUTED_VALUE"""),"2026 SIMON BOLIVAR")</f>
        <v>2026 SIMON BOLIVAR</v>
      </c>
      <c r="C1384" s="213" t="str">
        <f>IFERROR(__xludf.DUMMYFUNCTION("""COMPUTED_VALUE"""),"TALLER SFT DE INDUSTRIA ALIMENTARIA")</f>
        <v>TALLER SFT DE INDUSTRIA ALIMENTARIA</v>
      </c>
      <c r="D1384" s="213" t="str">
        <f>IFERROR(__xludf.DUMMYFUNCTION("""COMPUTED_VALUE"""),"PEDAGOGICO")</f>
        <v>PEDAGOGICO</v>
      </c>
      <c r="E1384" s="213" t="str">
        <f>IFERROR(__xludf.DUMMYFUNCTION("""COMPUTED_VALUE"""),"MAT-309")</f>
        <v>MAT-309</v>
      </c>
      <c r="F1384" s="213" t="str">
        <f>IFERROR(__xludf.DUMMYFUNCTION("""COMPUTED_VALUE"""),"KEFF-04")</f>
        <v>KEFF-04</v>
      </c>
      <c r="G1384" s="213"/>
      <c r="H1384" s="213" t="str">
        <f>IFERROR(__xludf.DUMMYFUNCTION("""COMPUTED_VALUE"""),"MANUAL DE USO POR CADA EQUIPO DE ANÁLISIS Y DISEÑO DE LA PROPUESTA DE VALOR")</f>
        <v>MANUAL DE USO POR CADA EQUIPO DE ANÁLISIS Y DISEÑO DE LA PROPUESTA DE VALOR</v>
      </c>
      <c r="I138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de análisis y diseño de la propuesta de valor.
- Descripción de las principales tareas que se pueden realizar con cada equipo de análisis y diseño de la propuesta de valor
- Descripción grafica de la instalación, uso y conserv"&amp;"ación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84" s="213">
        <f>IFERROR(__xludf.DUMMYFUNCTION("""COMPUTED_VALUE"""),3.0)</f>
        <v>3</v>
      </c>
      <c r="K1384" s="213" t="str">
        <f>IFERROR(__xludf.DUMMYFUNCTION("""COMPUTED_VALUE"""),"170 DÍAS CALENDARIO")</f>
        <v>170 DÍAS CALENDARIO</v>
      </c>
      <c r="L1384" s="213" t="str">
        <f>IFERROR(__xludf.DUMMYFUNCTION("""COMPUTED_VALUE"""),"")</f>
        <v/>
      </c>
      <c r="M1384" s="213">
        <f>IFERROR(__xludf.DUMMYFUNCTION("""COMPUTED_VALUE"""),1.0)</f>
        <v>1</v>
      </c>
      <c r="N1384" s="213">
        <f>IFERROR(__xludf.DUMMYFUNCTION("""COMPUTED_VALUE"""),6.0)</f>
        <v>6</v>
      </c>
      <c r="O1384" s="213">
        <f>IFERROR(__xludf.DUMMYFUNCTION("""COMPUTED_VALUE"""),6.0)</f>
        <v>6</v>
      </c>
      <c r="P1384" s="213"/>
      <c r="Q1384" s="213"/>
      <c r="R1384" s="213"/>
      <c r="S1384" s="213"/>
      <c r="T1384" s="213"/>
      <c r="U1384" s="213"/>
      <c r="V1384" s="213"/>
      <c r="W1384" s="213"/>
      <c r="X1384" s="213"/>
      <c r="Y1384" s="213"/>
      <c r="Z1384" s="213"/>
      <c r="AA1384" s="213"/>
      <c r="AB1384" s="213"/>
      <c r="AC1384" s="213"/>
      <c r="AD1384" s="213"/>
      <c r="AE1384" s="213"/>
      <c r="AF1384" s="213"/>
      <c r="AG1384" s="213"/>
      <c r="AH1384" s="213"/>
      <c r="AI1384" s="213"/>
      <c r="AJ1384" s="213"/>
      <c r="AK1384" s="213"/>
      <c r="AL1384" s="213"/>
      <c r="AM1384" s="213"/>
      <c r="AN1384" s="213"/>
      <c r="AO1384" s="213"/>
      <c r="AP1384" s="213"/>
      <c r="AQ1384" s="213"/>
      <c r="AR1384" s="213"/>
      <c r="AS1384" s="213"/>
      <c r="AT1384" s="213"/>
      <c r="AU1384" s="213"/>
      <c r="AV1384" s="213"/>
      <c r="AW1384" s="213"/>
      <c r="AX1384" s="213"/>
      <c r="AY1384" s="213"/>
      <c r="AZ1384" s="213"/>
      <c r="BA1384" s="213"/>
      <c r="BB1384" s="213"/>
      <c r="BC1384" s="213"/>
      <c r="BD1384" s="213"/>
    </row>
    <row r="1385">
      <c r="A1385" s="213">
        <f>IFERROR(__xludf.DUMMYFUNCTION("""COMPUTED_VALUE"""),665.0)</f>
        <v>665</v>
      </c>
      <c r="B1385" s="213" t="str">
        <f>IFERROR(__xludf.DUMMYFUNCTION("""COMPUTED_VALUE"""),"6049 RICARDO PALMA")</f>
        <v>6049 RICARDO PALMA</v>
      </c>
      <c r="C1385" s="213" t="str">
        <f>IFERROR(__xludf.DUMMYFUNCTION("""COMPUTED_VALUE"""),"TALLER SFT DE ELECTRÓNICA")</f>
        <v>TALLER SFT DE ELECTRÓNICA</v>
      </c>
      <c r="D1385" s="213" t="str">
        <f>IFERROR(__xludf.DUMMYFUNCTION("""COMPUTED_VALUE"""),"PEDAGOGICO")</f>
        <v>PEDAGOGICO</v>
      </c>
      <c r="E1385" s="213" t="str">
        <f>IFERROR(__xludf.DUMMYFUNCTION("""COMPUTED_VALUE"""),"MAT-309")</f>
        <v>MAT-309</v>
      </c>
      <c r="F1385" s="213" t="str">
        <f>IFERROR(__xludf.DUMMYFUNCTION("""COMPUTED_VALUE"""),"KEFF-04")</f>
        <v>KEFF-04</v>
      </c>
      <c r="G1385" s="213"/>
      <c r="H1385" s="213" t="str">
        <f>IFERROR(__xludf.DUMMYFUNCTION("""COMPUTED_VALUE"""),"MANUAL DE USO POR CADA EQUIPO DE ANÁLISIS Y DISEÑO DE LA PROPUESTA DE VALOR")</f>
        <v>MANUAL DE USO POR CADA EQUIPO DE ANÁLISIS Y DISEÑO DE LA PROPUESTA DE VALOR</v>
      </c>
      <c r="I138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11"&amp;"5 gramos o papel bond de 75 gramos de 80% de blancura como mínimo.
·        Tamaño: como mínimo 21 cm x 29,7 cm
·        Tipo de Encuadernación: caballete con 2 grapas cuando sea menos de 80 páginas y encolado cuando sea más de 80 páginas.
·        Conten"&amp;"ido que presenta.
-       Descripción de las partes y accesorios de cada equipo de análisis y diseño de la propuesta de valor.
-       Descripción de las principales tareas que se pueden realizar con cada equipo de análisis y diseño de la propuesta de val"&amp;"or
-       Descripción grafica de la instalación, uso y conservación de cada equipo.
-       Descripción de los errores comunes que se presentan en el uso y la forma de solucionarlos.
-       Descripción de las normas de seguridad que se tienen que se deb"&amp;"en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385" s="213">
        <f>IFERROR(__xludf.DUMMYFUNCTION("""COMPUTED_VALUE"""),3.0)</f>
        <v>3</v>
      </c>
      <c r="K1385" s="213" t="str">
        <f>IFERROR(__xludf.DUMMYFUNCTION("""COMPUTED_VALUE"""),"170 DÍAS CALENDARIO")</f>
        <v>170 DÍAS CALENDARIO</v>
      </c>
      <c r="L1385" s="213" t="str">
        <f>IFERROR(__xludf.DUMMYFUNCTION("""COMPUTED_VALUE"""),"")</f>
        <v/>
      </c>
      <c r="M1385" s="213">
        <f>IFERROR(__xludf.DUMMYFUNCTION("""COMPUTED_VALUE"""),1.0)</f>
        <v>1</v>
      </c>
      <c r="N1385" s="213">
        <f>IFERROR(__xludf.DUMMYFUNCTION("""COMPUTED_VALUE"""),6.0)</f>
        <v>6</v>
      </c>
      <c r="O1385" s="213">
        <f>IFERROR(__xludf.DUMMYFUNCTION("""COMPUTED_VALUE"""),6.0)</f>
        <v>6</v>
      </c>
      <c r="P1385" s="213"/>
      <c r="Q1385" s="213"/>
      <c r="R1385" s="213"/>
      <c r="S1385" s="213"/>
      <c r="T1385" s="213"/>
      <c r="U1385" s="213"/>
      <c r="V1385" s="213"/>
      <c r="W1385" s="213"/>
      <c r="X1385" s="213"/>
      <c r="Y1385" s="213"/>
      <c r="Z1385" s="213"/>
      <c r="AA1385" s="213"/>
      <c r="AB1385" s="213"/>
      <c r="AC1385" s="213"/>
      <c r="AD1385" s="213"/>
      <c r="AE1385" s="213"/>
      <c r="AF1385" s="213"/>
      <c r="AG1385" s="213"/>
      <c r="AH1385" s="213"/>
      <c r="AI1385" s="213"/>
      <c r="AJ1385" s="213"/>
      <c r="AK1385" s="213"/>
      <c r="AL1385" s="213"/>
      <c r="AM1385" s="213"/>
      <c r="AN1385" s="213"/>
      <c r="AO1385" s="213"/>
      <c r="AP1385" s="213"/>
      <c r="AQ1385" s="213"/>
      <c r="AR1385" s="213"/>
      <c r="AS1385" s="213"/>
      <c r="AT1385" s="213"/>
      <c r="AU1385" s="213"/>
      <c r="AV1385" s="213"/>
      <c r="AW1385" s="213"/>
      <c r="AX1385" s="213"/>
      <c r="AY1385" s="213"/>
      <c r="AZ1385" s="213"/>
      <c r="BA1385" s="213"/>
      <c r="BB1385" s="213"/>
      <c r="BC1385" s="213"/>
      <c r="BD1385" s="213"/>
    </row>
    <row r="1386">
      <c r="A1386" s="213">
        <f>IFERROR(__xludf.DUMMYFUNCTION("""COMPUTED_VALUE"""),786.0)</f>
        <v>786</v>
      </c>
      <c r="B1386" s="213" t="str">
        <f>IFERROR(__xludf.DUMMYFUNCTION("""COMPUTED_VALUE"""),"6049 RICARDO PALMA")</f>
        <v>6049 RICARDO PALMA</v>
      </c>
      <c r="C1386" s="213" t="str">
        <f>IFERROR(__xludf.DUMMYFUNCTION("""COMPUTED_VALUE"""),"TALLER SFT DE COMPUTACIÓN E INFORMÁTICA")</f>
        <v>TALLER SFT DE COMPUTACIÓN E INFORMÁTICA</v>
      </c>
      <c r="D1386" s="213" t="str">
        <f>IFERROR(__xludf.DUMMYFUNCTION("""COMPUTED_VALUE"""),"PEDAGOGICO")</f>
        <v>PEDAGOGICO</v>
      </c>
      <c r="E1386" s="213" t="str">
        <f>IFERROR(__xludf.DUMMYFUNCTION("""COMPUTED_VALUE"""),"MAT-309")</f>
        <v>MAT-309</v>
      </c>
      <c r="F1386" s="213" t="str">
        <f>IFERROR(__xludf.DUMMYFUNCTION("""COMPUTED_VALUE"""),"KEFF-04")</f>
        <v>KEFF-04</v>
      </c>
      <c r="G1386" s="213"/>
      <c r="H1386" s="213" t="str">
        <f>IFERROR(__xludf.DUMMYFUNCTION("""COMPUTED_VALUE"""),"MANUAL DE USO POR CADA EQUIPO DE ANÁLISIS Y DISEÑO DE LA PROPUESTA DE VALOR")</f>
        <v>MANUAL DE USO POR CADA EQUIPO DE ANÁLISIS Y DISEÑO DE LA PROPUESTA DE VALOR</v>
      </c>
      <c r="I138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análisis y diseño de la propuesta de valor.
- Descripción de las principales tareas que se pueden realizar con cada equipo de análisis y diseño de la propuesta de valor
- Descripción gráfica de la instalación, uso y cons"&amp;"ervación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gráfica de la instalación, uso y conservación de cada equipo.
- Descripción de los errores comunes que se presentan en el uso y la forma de solucionarlos.
- Descripción de las normas de seguridad que se deben tener en cuenta durante el uso de cada equipo.</v>
      </c>
      <c r="J1386" s="213">
        <f>IFERROR(__xludf.DUMMYFUNCTION("""COMPUTED_VALUE"""),3.0)</f>
        <v>3</v>
      </c>
      <c r="K1386" s="213" t="str">
        <f>IFERROR(__xludf.DUMMYFUNCTION("""COMPUTED_VALUE"""),"170 DÍAS CALENDARIO")</f>
        <v>170 DÍAS CALENDARIO</v>
      </c>
      <c r="L1386" s="213" t="str">
        <f>IFERROR(__xludf.DUMMYFUNCTION("""COMPUTED_VALUE"""),"")</f>
        <v/>
      </c>
      <c r="M1386" s="213">
        <f>IFERROR(__xludf.DUMMYFUNCTION("""COMPUTED_VALUE"""),1.0)</f>
        <v>1</v>
      </c>
      <c r="N1386" s="213">
        <f>IFERROR(__xludf.DUMMYFUNCTION("""COMPUTED_VALUE"""),6.0)</f>
        <v>6</v>
      </c>
      <c r="O1386" s="213">
        <f>IFERROR(__xludf.DUMMYFUNCTION("""COMPUTED_VALUE"""),6.0)</f>
        <v>6</v>
      </c>
      <c r="P1386" s="213"/>
      <c r="Q1386" s="213"/>
      <c r="R1386" s="213"/>
      <c r="S1386" s="213"/>
      <c r="T1386" s="213"/>
      <c r="U1386" s="213"/>
      <c r="V1386" s="213"/>
      <c r="W1386" s="213"/>
      <c r="X1386" s="213"/>
      <c r="Y1386" s="213"/>
      <c r="Z1386" s="213"/>
      <c r="AA1386" s="213"/>
      <c r="AB1386" s="213"/>
      <c r="AC1386" s="213"/>
      <c r="AD1386" s="213"/>
      <c r="AE1386" s="213"/>
      <c r="AF1386" s="213"/>
      <c r="AG1386" s="213"/>
      <c r="AH1386" s="213"/>
      <c r="AI1386" s="213"/>
      <c r="AJ1386" s="213"/>
      <c r="AK1386" s="213"/>
      <c r="AL1386" s="213"/>
      <c r="AM1386" s="213"/>
      <c r="AN1386" s="213"/>
      <c r="AO1386" s="213"/>
      <c r="AP1386" s="213"/>
      <c r="AQ1386" s="213"/>
      <c r="AR1386" s="213"/>
      <c r="AS1386" s="213"/>
      <c r="AT1386" s="213"/>
      <c r="AU1386" s="213"/>
      <c r="AV1386" s="213"/>
      <c r="AW1386" s="213"/>
      <c r="AX1386" s="213"/>
      <c r="AY1386" s="213"/>
      <c r="AZ1386" s="213"/>
      <c r="BA1386" s="213"/>
      <c r="BB1386" s="213"/>
      <c r="BC1386" s="213"/>
      <c r="BD1386" s="213"/>
    </row>
    <row r="1387">
      <c r="A1387" s="213">
        <f>IFERROR(__xludf.DUMMYFUNCTION("""COMPUTED_VALUE"""),866.0)</f>
        <v>866</v>
      </c>
      <c r="B1387" s="213" t="str">
        <f>IFERROR(__xludf.DUMMYFUNCTION("""COMPUTED_VALUE"""),"6049 RICARDO PALMA")</f>
        <v>6049 RICARDO PALMA</v>
      </c>
      <c r="C1387" s="213" t="str">
        <f>IFERROR(__xludf.DUMMYFUNCTION("""COMPUTED_VALUE"""),"TALLER SFT DE ELECTRICIDAD")</f>
        <v>TALLER SFT DE ELECTRICIDAD</v>
      </c>
      <c r="D1387" s="213" t="str">
        <f>IFERROR(__xludf.DUMMYFUNCTION("""COMPUTED_VALUE"""),"PEDAGOGICO")</f>
        <v>PEDAGOGICO</v>
      </c>
      <c r="E1387" s="213" t="str">
        <f>IFERROR(__xludf.DUMMYFUNCTION("""COMPUTED_VALUE"""),"MAT-309")</f>
        <v>MAT-309</v>
      </c>
      <c r="F1387" s="213" t="str">
        <f>IFERROR(__xludf.DUMMYFUNCTION("""COMPUTED_VALUE"""),"KEFF-04")</f>
        <v>KEFF-04</v>
      </c>
      <c r="G1387" s="213"/>
      <c r="H1387" s="213" t="str">
        <f>IFERROR(__xludf.DUMMYFUNCTION("""COMPUTED_VALUE"""),"MANUAL DE USO POR CADA EQUIPO DE ANÁLISIS Y DISEÑO DE LA PROPUESTA DE VALOR")</f>
        <v>MANUAL DE USO POR CADA EQUIPO DE ANÁLISIS Y DISEÑO DE LA PROPUESTA DE VALOR</v>
      </c>
      <c r="I138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de análisis y diseño de la propuesta de valor.
- Descripción de las principales tareas que se pueden realizar con cada equipo de análisis y diseño de la propuesta de valor
- Descripción grafica de la instalación, uso y conserv"&amp;"ación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87" s="213">
        <f>IFERROR(__xludf.DUMMYFUNCTION("""COMPUTED_VALUE"""),3.0)</f>
        <v>3</v>
      </c>
      <c r="K1387" s="213" t="str">
        <f>IFERROR(__xludf.DUMMYFUNCTION("""COMPUTED_VALUE"""),"170 DÍAS CALENDARIO")</f>
        <v>170 DÍAS CALENDARIO</v>
      </c>
      <c r="L1387" s="213" t="str">
        <f>IFERROR(__xludf.DUMMYFUNCTION("""COMPUTED_VALUE"""),"")</f>
        <v/>
      </c>
      <c r="M1387" s="213">
        <f>IFERROR(__xludf.DUMMYFUNCTION("""COMPUTED_VALUE"""),1.0)</f>
        <v>1</v>
      </c>
      <c r="N1387" s="213">
        <f>IFERROR(__xludf.DUMMYFUNCTION("""COMPUTED_VALUE"""),6.0)</f>
        <v>6</v>
      </c>
      <c r="O1387" s="213">
        <f>IFERROR(__xludf.DUMMYFUNCTION("""COMPUTED_VALUE"""),6.0)</f>
        <v>6</v>
      </c>
      <c r="P1387" s="213"/>
      <c r="Q1387" s="213"/>
      <c r="R1387" s="213"/>
      <c r="S1387" s="213"/>
      <c r="T1387" s="213"/>
      <c r="U1387" s="213"/>
      <c r="V1387" s="213"/>
      <c r="W1387" s="213"/>
      <c r="X1387" s="213"/>
      <c r="Y1387" s="213"/>
      <c r="Z1387" s="213"/>
      <c r="AA1387" s="213"/>
      <c r="AB1387" s="213"/>
      <c r="AC1387" s="213"/>
      <c r="AD1387" s="213"/>
      <c r="AE1387" s="213"/>
      <c r="AF1387" s="213"/>
      <c r="AG1387" s="213"/>
      <c r="AH1387" s="213"/>
      <c r="AI1387" s="213"/>
      <c r="AJ1387" s="213"/>
      <c r="AK1387" s="213"/>
      <c r="AL1387" s="213"/>
      <c r="AM1387" s="213"/>
      <c r="AN1387" s="213"/>
      <c r="AO1387" s="213"/>
      <c r="AP1387" s="213"/>
      <c r="AQ1387" s="213"/>
      <c r="AR1387" s="213"/>
      <c r="AS1387" s="213"/>
      <c r="AT1387" s="213"/>
      <c r="AU1387" s="213"/>
      <c r="AV1387" s="213"/>
      <c r="AW1387" s="213"/>
      <c r="AX1387" s="213"/>
      <c r="AY1387" s="213"/>
      <c r="AZ1387" s="213"/>
      <c r="BA1387" s="213"/>
      <c r="BB1387" s="213"/>
      <c r="BC1387" s="213"/>
      <c r="BD1387" s="213"/>
    </row>
    <row r="1388">
      <c r="A1388" s="213">
        <f>IFERROR(__xludf.DUMMYFUNCTION("""COMPUTED_VALUE"""),1011.0)</f>
        <v>1011</v>
      </c>
      <c r="B1388" s="213" t="str">
        <f>IFERROR(__xludf.DUMMYFUNCTION("""COMPUTED_VALUE"""),"FRANCISCO IRAZOLA")</f>
        <v>FRANCISCO IRAZOLA</v>
      </c>
      <c r="C1388" s="213" t="str">
        <f>IFERROR(__xludf.DUMMYFUNCTION("""COMPUTED_VALUE"""),"TALLER SFT DE MECÁNICA AUTOMOTRIZ")</f>
        <v>TALLER SFT DE MECÁNICA AUTOMOTRIZ</v>
      </c>
      <c r="D1388" s="213" t="str">
        <f>IFERROR(__xludf.DUMMYFUNCTION("""COMPUTED_VALUE"""),"PEDAGOGICO")</f>
        <v>PEDAGOGICO</v>
      </c>
      <c r="E1388" s="213" t="str">
        <f>IFERROR(__xludf.DUMMYFUNCTION("""COMPUTED_VALUE"""),"MAT-309")</f>
        <v>MAT-309</v>
      </c>
      <c r="F1388" s="213" t="str">
        <f>IFERROR(__xludf.DUMMYFUNCTION("""COMPUTED_VALUE"""),"KEFF-04")</f>
        <v>KEFF-04</v>
      </c>
      <c r="G1388" s="213"/>
      <c r="H1388" s="213" t="str">
        <f>IFERROR(__xludf.DUMMYFUNCTION("""COMPUTED_VALUE"""),"MANUAL DE USO POR CADA EQUIPO DE ANÁLISIS Y DISEÑO DE LA PROPUESTA DE VALOR")</f>
        <v>MANUAL DE USO POR CADA EQUIPO DE ANÁLISIS Y DISEÑO DE LA PROPUESTA DE VALOR</v>
      </c>
      <c r="I138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análisis y diseño de la propuesta de valor.
- Descripción de las principales tareas que se pueden realizar con cada equipo de análisis y diseño de la propuesta de valor
- Descripción grafica de la instalación, uso y cons"&amp;"ervación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88" s="213">
        <f>IFERROR(__xludf.DUMMYFUNCTION("""COMPUTED_VALUE"""),3.0)</f>
        <v>3</v>
      </c>
      <c r="K1388" s="213" t="str">
        <f>IFERROR(__xludf.DUMMYFUNCTION("""COMPUTED_VALUE"""),"170 DÍAS CALENDARIO")</f>
        <v>170 DÍAS CALENDARIO</v>
      </c>
      <c r="L1388" s="213" t="str">
        <f>IFERROR(__xludf.DUMMYFUNCTION("""COMPUTED_VALUE"""),"")</f>
        <v/>
      </c>
      <c r="M1388" s="213">
        <f>IFERROR(__xludf.DUMMYFUNCTION("""COMPUTED_VALUE"""),1.0)</f>
        <v>1</v>
      </c>
      <c r="N1388" s="213">
        <f>IFERROR(__xludf.DUMMYFUNCTION("""COMPUTED_VALUE"""),6.0)</f>
        <v>6</v>
      </c>
      <c r="O1388" s="213">
        <f>IFERROR(__xludf.DUMMYFUNCTION("""COMPUTED_VALUE"""),6.0)</f>
        <v>6</v>
      </c>
      <c r="P1388" s="213"/>
      <c r="Q1388" s="213"/>
      <c r="R1388" s="213"/>
      <c r="S1388" s="213"/>
      <c r="T1388" s="213"/>
      <c r="U1388" s="213"/>
      <c r="V1388" s="213"/>
      <c r="W1388" s="213"/>
      <c r="X1388" s="213"/>
      <c r="Y1388" s="213"/>
      <c r="Z1388" s="213"/>
      <c r="AA1388" s="213"/>
      <c r="AB1388" s="213"/>
      <c r="AC1388" s="213"/>
      <c r="AD1388" s="213"/>
      <c r="AE1388" s="213"/>
      <c r="AF1388" s="213"/>
      <c r="AG1388" s="213"/>
      <c r="AH1388" s="213"/>
      <c r="AI1388" s="213"/>
      <c r="AJ1388" s="213"/>
      <c r="AK1388" s="213"/>
      <c r="AL1388" s="213"/>
      <c r="AM1388" s="213"/>
      <c r="AN1388" s="213"/>
      <c r="AO1388" s="213"/>
      <c r="AP1388" s="213"/>
      <c r="AQ1388" s="213"/>
      <c r="AR1388" s="213"/>
      <c r="AS1388" s="213"/>
      <c r="AT1388" s="213"/>
      <c r="AU1388" s="213"/>
      <c r="AV1388" s="213"/>
      <c r="AW1388" s="213"/>
      <c r="AX1388" s="213"/>
      <c r="AY1388" s="213"/>
      <c r="AZ1388" s="213"/>
      <c r="BA1388" s="213"/>
      <c r="BB1388" s="213"/>
      <c r="BC1388" s="213"/>
      <c r="BD1388" s="213"/>
    </row>
    <row r="1389">
      <c r="A1389" s="213">
        <f>IFERROR(__xludf.DUMMYFUNCTION("""COMPUTED_VALUE"""),1203.0)</f>
        <v>1203</v>
      </c>
      <c r="B1389" s="213" t="str">
        <f>IFERROR(__xludf.DUMMYFUNCTION("""COMPUTED_VALUE"""),"FRANCISCO IRAZOLA")</f>
        <v>FRANCISCO IRAZOLA</v>
      </c>
      <c r="C1389" s="213" t="str">
        <f>IFERROR(__xludf.DUMMYFUNCTION("""COMPUTED_VALUE"""),"TALLER SFT DE INDUSTRIA ALIMENTARIA")</f>
        <v>TALLER SFT DE INDUSTRIA ALIMENTARIA</v>
      </c>
      <c r="D1389" s="213" t="str">
        <f>IFERROR(__xludf.DUMMYFUNCTION("""COMPUTED_VALUE"""),"PEDAGOGICO")</f>
        <v>PEDAGOGICO</v>
      </c>
      <c r="E1389" s="213" t="str">
        <f>IFERROR(__xludf.DUMMYFUNCTION("""COMPUTED_VALUE"""),"MAT-309")</f>
        <v>MAT-309</v>
      </c>
      <c r="F1389" s="213" t="str">
        <f>IFERROR(__xludf.DUMMYFUNCTION("""COMPUTED_VALUE"""),"KEFF-04")</f>
        <v>KEFF-04</v>
      </c>
      <c r="G1389" s="213"/>
      <c r="H1389" s="213" t="str">
        <f>IFERROR(__xludf.DUMMYFUNCTION("""COMPUTED_VALUE"""),"MANUAL DE USO POR CADA EQUIPO DE ANÁLISIS Y DISEÑO DE LA PROPUESTA DE VALOR")</f>
        <v>MANUAL DE USO POR CADA EQUIPO DE ANÁLISIS Y DISEÑO DE LA PROPUESTA DE VALOR</v>
      </c>
      <c r="I138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de análisis y diseño de la propuesta de valor.
- Descripción de las principales tareas que se pueden realizar con cada equipo de análisis y diseño de la propuesta de valor
- Descripción grafica de la instalación, uso y conserv"&amp;"ación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89" s="213">
        <f>IFERROR(__xludf.DUMMYFUNCTION("""COMPUTED_VALUE"""),3.0)</f>
        <v>3</v>
      </c>
      <c r="K1389" s="213" t="str">
        <f>IFERROR(__xludf.DUMMYFUNCTION("""COMPUTED_VALUE"""),"170 DÍAS CALENDARIO")</f>
        <v>170 DÍAS CALENDARIO</v>
      </c>
      <c r="L1389" s="213" t="str">
        <f>IFERROR(__xludf.DUMMYFUNCTION("""COMPUTED_VALUE"""),"")</f>
        <v/>
      </c>
      <c r="M1389" s="213">
        <f>IFERROR(__xludf.DUMMYFUNCTION("""COMPUTED_VALUE"""),1.0)</f>
        <v>1</v>
      </c>
      <c r="N1389" s="213">
        <f>IFERROR(__xludf.DUMMYFUNCTION("""COMPUTED_VALUE"""),6.0)</f>
        <v>6</v>
      </c>
      <c r="O1389" s="213">
        <f>IFERROR(__xludf.DUMMYFUNCTION("""COMPUTED_VALUE"""),6.0)</f>
        <v>6</v>
      </c>
      <c r="P1389" s="213"/>
      <c r="Q1389" s="213"/>
      <c r="R1389" s="213"/>
      <c r="S1389" s="213"/>
      <c r="T1389" s="213"/>
      <c r="U1389" s="213"/>
      <c r="V1389" s="213"/>
      <c r="W1389" s="213"/>
      <c r="X1389" s="213"/>
      <c r="Y1389" s="213"/>
      <c r="Z1389" s="213"/>
      <c r="AA1389" s="213"/>
      <c r="AB1389" s="213"/>
      <c r="AC1389" s="213"/>
      <c r="AD1389" s="213"/>
      <c r="AE1389" s="213"/>
      <c r="AF1389" s="213"/>
      <c r="AG1389" s="213"/>
      <c r="AH1389" s="213"/>
      <c r="AI1389" s="213"/>
      <c r="AJ1389" s="213"/>
      <c r="AK1389" s="213"/>
      <c r="AL1389" s="213"/>
      <c r="AM1389" s="213"/>
      <c r="AN1389" s="213"/>
      <c r="AO1389" s="213"/>
      <c r="AP1389" s="213"/>
      <c r="AQ1389" s="213"/>
      <c r="AR1389" s="213"/>
      <c r="AS1389" s="213"/>
      <c r="AT1389" s="213"/>
      <c r="AU1389" s="213"/>
      <c r="AV1389" s="213"/>
      <c r="AW1389" s="213"/>
      <c r="AX1389" s="213"/>
      <c r="AY1389" s="213"/>
      <c r="AZ1389" s="213"/>
      <c r="BA1389" s="213"/>
      <c r="BB1389" s="213"/>
      <c r="BC1389" s="213"/>
      <c r="BD1389" s="213"/>
    </row>
    <row r="1390">
      <c r="A1390" s="213">
        <f>IFERROR(__xludf.DUMMYFUNCTION("""COMPUTED_VALUE"""),1288.0)</f>
        <v>1288</v>
      </c>
      <c r="B1390" s="213" t="str">
        <f>IFERROR(__xludf.DUMMYFUNCTION("""COMPUTED_VALUE"""),"GUILLERMO E. BILLINGHURST ")</f>
        <v>GUILLERMO E. BILLINGHURST </v>
      </c>
      <c r="C1390" s="213" t="str">
        <f>IFERROR(__xludf.DUMMYFUNCTION("""COMPUTED_VALUE"""),"TALLER SFT DE ELECTRICIDAD")</f>
        <v>TALLER SFT DE ELECTRICIDAD</v>
      </c>
      <c r="D1390" s="213" t="str">
        <f>IFERROR(__xludf.DUMMYFUNCTION("""COMPUTED_VALUE"""),"PEDAGOGICO")</f>
        <v>PEDAGOGICO</v>
      </c>
      <c r="E1390" s="213" t="str">
        <f>IFERROR(__xludf.DUMMYFUNCTION("""COMPUTED_VALUE"""),"MAT-309")</f>
        <v>MAT-309</v>
      </c>
      <c r="F1390" s="213" t="str">
        <f>IFERROR(__xludf.DUMMYFUNCTION("""COMPUTED_VALUE"""),"KEFF-04")</f>
        <v>KEFF-04</v>
      </c>
      <c r="G1390" s="213"/>
      <c r="H1390" s="213" t="str">
        <f>IFERROR(__xludf.DUMMYFUNCTION("""COMPUTED_VALUE"""),"MANUAL DE USO POR CADA EQUIPO DE ANÁLISIS Y DISEÑO DE LA PROPUESTA DE VALOR")</f>
        <v>MANUAL DE USO POR CADA EQUIPO DE ANÁLISIS Y DISEÑO DE LA PROPUESTA DE VALOR</v>
      </c>
      <c r="I139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de análisis y diseño de la propuesta de valor.
- Descripción de las principales tareas que se pueden realizar con cada equipo de análisis y diseño de la propuesta de valor
- Descripción grafica de la instalación, uso y conserv"&amp;"ación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90" s="213">
        <f>IFERROR(__xludf.DUMMYFUNCTION("""COMPUTED_VALUE"""),3.0)</f>
        <v>3</v>
      </c>
      <c r="K1390" s="213" t="str">
        <f>IFERROR(__xludf.DUMMYFUNCTION("""COMPUTED_VALUE"""),"170 DÍAS CALENDARIO")</f>
        <v>170 DÍAS CALENDARIO</v>
      </c>
      <c r="L1390" s="213" t="str">
        <f>IFERROR(__xludf.DUMMYFUNCTION("""COMPUTED_VALUE"""),"")</f>
        <v/>
      </c>
      <c r="M1390" s="213">
        <f>IFERROR(__xludf.DUMMYFUNCTION("""COMPUTED_VALUE"""),1.0)</f>
        <v>1</v>
      </c>
      <c r="N1390" s="213">
        <f>IFERROR(__xludf.DUMMYFUNCTION("""COMPUTED_VALUE"""),6.0)</f>
        <v>6</v>
      </c>
      <c r="O1390" s="213">
        <f>IFERROR(__xludf.DUMMYFUNCTION("""COMPUTED_VALUE"""),6.0)</f>
        <v>6</v>
      </c>
      <c r="P1390" s="213"/>
      <c r="Q1390" s="213"/>
      <c r="R1390" s="213"/>
      <c r="S1390" s="213"/>
      <c r="T1390" s="213"/>
      <c r="U1390" s="213"/>
      <c r="V1390" s="213"/>
      <c r="W1390" s="213"/>
      <c r="X1390" s="213"/>
      <c r="Y1390" s="213"/>
      <c r="Z1390" s="213"/>
      <c r="AA1390" s="213"/>
      <c r="AB1390" s="213"/>
      <c r="AC1390" s="213"/>
      <c r="AD1390" s="213"/>
      <c r="AE1390" s="213"/>
      <c r="AF1390" s="213"/>
      <c r="AG1390" s="213"/>
      <c r="AH1390" s="213"/>
      <c r="AI1390" s="213"/>
      <c r="AJ1390" s="213"/>
      <c r="AK1390" s="213"/>
      <c r="AL1390" s="213"/>
      <c r="AM1390" s="213"/>
      <c r="AN1390" s="213"/>
      <c r="AO1390" s="213"/>
      <c r="AP1390" s="213"/>
      <c r="AQ1390" s="213"/>
      <c r="AR1390" s="213"/>
      <c r="AS1390" s="213"/>
      <c r="AT1390" s="213"/>
      <c r="AU1390" s="213"/>
      <c r="AV1390" s="213"/>
      <c r="AW1390" s="213"/>
      <c r="AX1390" s="213"/>
      <c r="AY1390" s="213"/>
      <c r="AZ1390" s="213"/>
      <c r="BA1390" s="213"/>
      <c r="BB1390" s="213"/>
      <c r="BC1390" s="213"/>
      <c r="BD1390" s="213"/>
    </row>
    <row r="1391">
      <c r="A1391" s="213">
        <f>IFERROR(__xludf.DUMMYFUNCTION("""COMPUTED_VALUE"""),1474.0)</f>
        <v>1474</v>
      </c>
      <c r="B1391" s="213" t="str">
        <f>IFERROR(__xludf.DUMMYFUNCTION("""COMPUTED_VALUE"""),"GUILLERMO E. BILLINGHURST ")</f>
        <v>GUILLERMO E. BILLINGHURST </v>
      </c>
      <c r="C1391" s="213" t="str">
        <f>IFERROR(__xludf.DUMMYFUNCTION("""COMPUTED_VALUE"""),"TALLER SFT DE INDUSTRIA ALIMENTARIA")</f>
        <v>TALLER SFT DE INDUSTRIA ALIMENTARIA</v>
      </c>
      <c r="D1391" s="213" t="str">
        <f>IFERROR(__xludf.DUMMYFUNCTION("""COMPUTED_VALUE"""),"PEDAGOGICO")</f>
        <v>PEDAGOGICO</v>
      </c>
      <c r="E1391" s="213" t="str">
        <f>IFERROR(__xludf.DUMMYFUNCTION("""COMPUTED_VALUE"""),"MAT-309")</f>
        <v>MAT-309</v>
      </c>
      <c r="F1391" s="213" t="str">
        <f>IFERROR(__xludf.DUMMYFUNCTION("""COMPUTED_VALUE"""),"KEFF-04")</f>
        <v>KEFF-04</v>
      </c>
      <c r="G1391" s="213"/>
      <c r="H1391" s="213" t="str">
        <f>IFERROR(__xludf.DUMMYFUNCTION("""COMPUTED_VALUE"""),"MANUAL DE USO POR CADA EQUIPO DE ANÁLISIS Y DISEÑO DE LA PROPUESTA DE VALOR")</f>
        <v>MANUAL DE USO POR CADA EQUIPO DE ANÁLISIS Y DISEÑO DE LA PROPUESTA DE VALOR</v>
      </c>
      <c r="I139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de análisis y diseño de la propuesta de valor.
- Descripción de las principales tareas que se pueden realizar con cada equipo de análisis y diseño de la propuesta de valor
- Descripción grafica de la instalación, uso y conserv"&amp;"ación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91" s="213">
        <f>IFERROR(__xludf.DUMMYFUNCTION("""COMPUTED_VALUE"""),3.0)</f>
        <v>3</v>
      </c>
      <c r="K1391" s="213" t="str">
        <f>IFERROR(__xludf.DUMMYFUNCTION("""COMPUTED_VALUE"""),"170 DÍAS CALENDARIO")</f>
        <v>170 DÍAS CALENDARIO</v>
      </c>
      <c r="L1391" s="213" t="str">
        <f>IFERROR(__xludf.DUMMYFUNCTION("""COMPUTED_VALUE"""),"")</f>
        <v/>
      </c>
      <c r="M1391" s="213">
        <f>IFERROR(__xludf.DUMMYFUNCTION("""COMPUTED_VALUE"""),1.0)</f>
        <v>1</v>
      </c>
      <c r="N1391" s="213">
        <f>IFERROR(__xludf.DUMMYFUNCTION("""COMPUTED_VALUE"""),6.0)</f>
        <v>6</v>
      </c>
      <c r="O1391" s="213">
        <f>IFERROR(__xludf.DUMMYFUNCTION("""COMPUTED_VALUE"""),6.0)</f>
        <v>6</v>
      </c>
      <c r="P1391" s="213"/>
      <c r="Q1391" s="213"/>
      <c r="R1391" s="213"/>
      <c r="S1391" s="213"/>
      <c r="T1391" s="213"/>
      <c r="U1391" s="213"/>
      <c r="V1391" s="213"/>
      <c r="W1391" s="213"/>
      <c r="X1391" s="213"/>
      <c r="Y1391" s="213"/>
      <c r="Z1391" s="213"/>
      <c r="AA1391" s="213"/>
      <c r="AB1391" s="213"/>
      <c r="AC1391" s="213"/>
      <c r="AD1391" s="213"/>
      <c r="AE1391" s="213"/>
      <c r="AF1391" s="213"/>
      <c r="AG1391" s="213"/>
      <c r="AH1391" s="213"/>
      <c r="AI1391" s="213"/>
      <c r="AJ1391" s="213"/>
      <c r="AK1391" s="213"/>
      <c r="AL1391" s="213"/>
      <c r="AM1391" s="213"/>
      <c r="AN1391" s="213"/>
      <c r="AO1391" s="213"/>
      <c r="AP1391" s="213"/>
      <c r="AQ1391" s="213"/>
      <c r="AR1391" s="213"/>
      <c r="AS1391" s="213"/>
      <c r="AT1391" s="213"/>
      <c r="AU1391" s="213"/>
      <c r="AV1391" s="213"/>
      <c r="AW1391" s="213"/>
      <c r="AX1391" s="213"/>
      <c r="AY1391" s="213"/>
      <c r="AZ1391" s="213"/>
      <c r="BA1391" s="213"/>
      <c r="BB1391" s="213"/>
      <c r="BC1391" s="213"/>
      <c r="BD1391" s="213"/>
    </row>
    <row r="1392">
      <c r="A1392" s="213">
        <f>IFERROR(__xludf.DUMMYFUNCTION("""COMPUTED_VALUE"""),1616.0)</f>
        <v>1616</v>
      </c>
      <c r="B1392" s="213" t="str">
        <f>IFERROR(__xludf.DUMMYFUNCTION("""COMPUTED_VALUE"""),"GUILLERMO E. BILLINGHURST ")</f>
        <v>GUILLERMO E. BILLINGHURST </v>
      </c>
      <c r="C1392" s="213" t="str">
        <f>IFERROR(__xludf.DUMMYFUNCTION("""COMPUTED_VALUE"""),"TALLER SFT DE MECÁNICA AUTOMOTRIZ")</f>
        <v>TALLER SFT DE MECÁNICA AUTOMOTRIZ</v>
      </c>
      <c r="D1392" s="213" t="str">
        <f>IFERROR(__xludf.DUMMYFUNCTION("""COMPUTED_VALUE"""),"PEDAGOGICO")</f>
        <v>PEDAGOGICO</v>
      </c>
      <c r="E1392" s="213" t="str">
        <f>IFERROR(__xludf.DUMMYFUNCTION("""COMPUTED_VALUE"""),"MAT-309")</f>
        <v>MAT-309</v>
      </c>
      <c r="F1392" s="213" t="str">
        <f>IFERROR(__xludf.DUMMYFUNCTION("""COMPUTED_VALUE"""),"KEFF-04")</f>
        <v>KEFF-04</v>
      </c>
      <c r="G1392" s="213"/>
      <c r="H1392" s="213" t="str">
        <f>IFERROR(__xludf.DUMMYFUNCTION("""COMPUTED_VALUE"""),"MANUAL DE USO POR CADA EQUIPO DE ANÁLISIS Y DISEÑO DE LA PROPUESTA DE VALOR")</f>
        <v>MANUAL DE USO POR CADA EQUIPO DE ANÁLISIS Y DISEÑO DE LA PROPUESTA DE VALOR</v>
      </c>
      <c r="I139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análisis y diseño de la propuesta de valor.
- Descripción de las principales tareas que se pueden realizar con cada equipo de análisis y diseño de la propuesta de valor
- Descripción grafica de la instalación, uso y cons"&amp;"ervación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92" s="213">
        <f>IFERROR(__xludf.DUMMYFUNCTION("""COMPUTED_VALUE"""),3.0)</f>
        <v>3</v>
      </c>
      <c r="K1392" s="213" t="str">
        <f>IFERROR(__xludf.DUMMYFUNCTION("""COMPUTED_VALUE"""),"170 DÍAS CALENDARIO")</f>
        <v>170 DÍAS CALENDARIO</v>
      </c>
      <c r="L1392" s="213" t="str">
        <f>IFERROR(__xludf.DUMMYFUNCTION("""COMPUTED_VALUE"""),"")</f>
        <v/>
      </c>
      <c r="M1392" s="213">
        <f>IFERROR(__xludf.DUMMYFUNCTION("""COMPUTED_VALUE"""),1.0)</f>
        <v>1</v>
      </c>
      <c r="N1392" s="213">
        <f>IFERROR(__xludf.DUMMYFUNCTION("""COMPUTED_VALUE"""),6.0)</f>
        <v>6</v>
      </c>
      <c r="O1392" s="213">
        <f>IFERROR(__xludf.DUMMYFUNCTION("""COMPUTED_VALUE"""),6.0)</f>
        <v>6</v>
      </c>
      <c r="P1392" s="213"/>
      <c r="Q1392" s="213"/>
      <c r="R1392" s="213"/>
      <c r="S1392" s="213"/>
      <c r="T1392" s="213"/>
      <c r="U1392" s="213"/>
      <c r="V1392" s="213"/>
      <c r="W1392" s="213"/>
      <c r="X1392" s="213"/>
      <c r="Y1392" s="213"/>
      <c r="Z1392" s="213"/>
      <c r="AA1392" s="213"/>
      <c r="AB1392" s="213"/>
      <c r="AC1392" s="213"/>
      <c r="AD1392" s="213"/>
      <c r="AE1392" s="213"/>
      <c r="AF1392" s="213"/>
      <c r="AG1392" s="213"/>
      <c r="AH1392" s="213"/>
      <c r="AI1392" s="213"/>
      <c r="AJ1392" s="213"/>
      <c r="AK1392" s="213"/>
      <c r="AL1392" s="213"/>
      <c r="AM1392" s="213"/>
      <c r="AN1392" s="213"/>
      <c r="AO1392" s="213"/>
      <c r="AP1392" s="213"/>
      <c r="AQ1392" s="213"/>
      <c r="AR1392" s="213"/>
      <c r="AS1392" s="213"/>
      <c r="AT1392" s="213"/>
      <c r="AU1392" s="213"/>
      <c r="AV1392" s="213"/>
      <c r="AW1392" s="213"/>
      <c r="AX1392" s="213"/>
      <c r="AY1392" s="213"/>
      <c r="AZ1392" s="213"/>
      <c r="BA1392" s="213"/>
      <c r="BB1392" s="213"/>
      <c r="BC1392" s="213"/>
      <c r="BD1392" s="213"/>
    </row>
    <row r="1393">
      <c r="A1393" s="213">
        <f>IFERROR(__xludf.DUMMYFUNCTION("""COMPUTED_VALUE"""),1724.0)</f>
        <v>1724</v>
      </c>
      <c r="B1393" s="213" t="str">
        <f>IFERROR(__xludf.DUMMYFUNCTION("""COMPUTED_VALUE"""),"GUILLERMO E. BILLINGHURST ")</f>
        <v>GUILLERMO E. BILLINGHURST </v>
      </c>
      <c r="C1393" s="213" t="str">
        <f>IFERROR(__xludf.DUMMYFUNCTION("""COMPUTED_VALUE"""),"TALLER SFT DE COMPUTACIÓN E INFORMÁTICA")</f>
        <v>TALLER SFT DE COMPUTACIÓN E INFORMÁTICA</v>
      </c>
      <c r="D1393" s="213" t="str">
        <f>IFERROR(__xludf.DUMMYFUNCTION("""COMPUTED_VALUE"""),"PEDAGOGICO")</f>
        <v>PEDAGOGICO</v>
      </c>
      <c r="E1393" s="213" t="str">
        <f>IFERROR(__xludf.DUMMYFUNCTION("""COMPUTED_VALUE"""),"MAT-309")</f>
        <v>MAT-309</v>
      </c>
      <c r="F1393" s="213" t="str">
        <f>IFERROR(__xludf.DUMMYFUNCTION("""COMPUTED_VALUE"""),"KEFF-04")</f>
        <v>KEFF-04</v>
      </c>
      <c r="G1393" s="213"/>
      <c r="H1393" s="213" t="str">
        <f>IFERROR(__xludf.DUMMYFUNCTION("""COMPUTED_VALUE"""),"MANUAL DE USO POR CADA EQUIPO DE ANÁLISIS Y DISEÑO DE LA PROPUESTA DE VALOR")</f>
        <v>MANUAL DE USO POR CADA EQUIPO DE ANÁLISIS Y DISEÑO DE LA PROPUESTA DE VALOR</v>
      </c>
      <c r="I139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análisis y diseño de la propuesta de valor.
- Descripción de las principales tareas que se pueden realizar con cada equipo de análisis y diseño de la propuesta de valor
- Descripción gráfica de la instalación, uso y cons"&amp;"ervación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gráfica de la instalación, uso y conservación de cada equipo.
- Descripción de los errores comunes que se presentan en el uso y la forma de solucionarlos.
- Descripción de las normas de seguridad que se deben tener en cuenta durante el uso de cada equipo.</v>
      </c>
      <c r="J1393" s="213">
        <f>IFERROR(__xludf.DUMMYFUNCTION("""COMPUTED_VALUE"""),3.0)</f>
        <v>3</v>
      </c>
      <c r="K1393" s="213" t="str">
        <f>IFERROR(__xludf.DUMMYFUNCTION("""COMPUTED_VALUE"""),"170 DÍAS CALENDARIO")</f>
        <v>170 DÍAS CALENDARIO</v>
      </c>
      <c r="L1393" s="213" t="str">
        <f>IFERROR(__xludf.DUMMYFUNCTION("""COMPUTED_VALUE"""),"")</f>
        <v/>
      </c>
      <c r="M1393" s="213">
        <f>IFERROR(__xludf.DUMMYFUNCTION("""COMPUTED_VALUE"""),1.0)</f>
        <v>1</v>
      </c>
      <c r="N1393" s="213">
        <f>IFERROR(__xludf.DUMMYFUNCTION("""COMPUTED_VALUE"""),6.0)</f>
        <v>6</v>
      </c>
      <c r="O1393" s="213">
        <f>IFERROR(__xludf.DUMMYFUNCTION("""COMPUTED_VALUE"""),6.0)</f>
        <v>6</v>
      </c>
      <c r="P1393" s="213"/>
      <c r="Q1393" s="213"/>
      <c r="R1393" s="213"/>
      <c r="S1393" s="213"/>
      <c r="T1393" s="213"/>
      <c r="U1393" s="213"/>
      <c r="V1393" s="213"/>
      <c r="W1393" s="213"/>
      <c r="X1393" s="213"/>
      <c r="Y1393" s="213"/>
      <c r="Z1393" s="213"/>
      <c r="AA1393" s="213"/>
      <c r="AB1393" s="213"/>
      <c r="AC1393" s="213"/>
      <c r="AD1393" s="213"/>
      <c r="AE1393" s="213"/>
      <c r="AF1393" s="213"/>
      <c r="AG1393" s="213"/>
      <c r="AH1393" s="213"/>
      <c r="AI1393" s="213"/>
      <c r="AJ1393" s="213"/>
      <c r="AK1393" s="213"/>
      <c r="AL1393" s="213"/>
      <c r="AM1393" s="213"/>
      <c r="AN1393" s="213"/>
      <c r="AO1393" s="213"/>
      <c r="AP1393" s="213"/>
      <c r="AQ1393" s="213"/>
      <c r="AR1393" s="213"/>
      <c r="AS1393" s="213"/>
      <c r="AT1393" s="213"/>
      <c r="AU1393" s="213"/>
      <c r="AV1393" s="213"/>
      <c r="AW1393" s="213"/>
      <c r="AX1393" s="213"/>
      <c r="AY1393" s="213"/>
      <c r="AZ1393" s="213"/>
      <c r="BA1393" s="213"/>
      <c r="BB1393" s="213"/>
      <c r="BC1393" s="213"/>
      <c r="BD1393" s="213"/>
    </row>
    <row r="1394">
      <c r="A1394" s="213">
        <f>IFERROR(__xludf.DUMMYFUNCTION("""COMPUTED_VALUE"""),1879.0)</f>
        <v>1879</v>
      </c>
      <c r="B1394" s="213" t="str">
        <f>IFERROR(__xludf.DUMMYFUNCTION("""COMPUTED_VALUE"""),"GUILLERMO E. BILLINGHURST ")</f>
        <v>GUILLERMO E. BILLINGHURST </v>
      </c>
      <c r="C1394" s="213" t="str">
        <f>IFERROR(__xludf.DUMMYFUNCTION("""COMPUTED_VALUE"""),"TALLER SFT DE EBANISTERÍA")</f>
        <v>TALLER SFT DE EBANISTERÍA</v>
      </c>
      <c r="D1394" s="213" t="str">
        <f>IFERROR(__xludf.DUMMYFUNCTION("""COMPUTED_VALUE"""),"PEDAGOGICO")</f>
        <v>PEDAGOGICO</v>
      </c>
      <c r="E1394" s="213" t="str">
        <f>IFERROR(__xludf.DUMMYFUNCTION("""COMPUTED_VALUE"""),"MAT-309")</f>
        <v>MAT-309</v>
      </c>
      <c r="F1394" s="213" t="str">
        <f>IFERROR(__xludf.DUMMYFUNCTION("""COMPUTED_VALUE"""),"KEFF-04")</f>
        <v>KEFF-04</v>
      </c>
      <c r="G1394" s="213"/>
      <c r="H1394" s="213" t="str">
        <f>IFERROR(__xludf.DUMMYFUNCTION("""COMPUTED_VALUE"""),"MANUAL DE USO POR CADA EQUIPO DE ANÁLISIS Y DISEÑO DE LA PROPUESTA DE VALOR")</f>
        <v>MANUAL DE USO POR CADA EQUIPO DE ANÁLISIS Y DISEÑO DE LA PROPUESTA DE VALOR</v>
      </c>
      <c r="I139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las partes y accesorios de cada equipo de análisis y diseño de la propuesta de valor.
-          Descripción de las principales tareas que se pueden realizar con cada equipo de análisis y diseño de la propuesta de valor
-    "&amp;"      Descripción grafica de la instalación, uso y conservación de cada equipo.
-          Descripción de los errores comunes que se presentan en el uso y la forma de solucionarlos.
L- VERADeHscilrdipación de las normas de seguridad que se tienen que se d"&amp;"eben tener en cuenta durante el uso
0d9e9c8adsaoefqtuipo
A")</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L- VERADeHscilrdipación de las normas de seguridad que se tienen que se deben tener en cuenta durante el uso
0d9e9c8adsaoefqtuipo
A</v>
      </c>
      <c r="J1394" s="213">
        <f>IFERROR(__xludf.DUMMYFUNCTION("""COMPUTED_VALUE"""),3.0)</f>
        <v>3</v>
      </c>
      <c r="K1394" s="213" t="str">
        <f>IFERROR(__xludf.DUMMYFUNCTION("""COMPUTED_VALUE"""),"170 DÍAS CALENDARIO")</f>
        <v>170 DÍAS CALENDARIO</v>
      </c>
      <c r="L1394" s="213" t="str">
        <f>IFERROR(__xludf.DUMMYFUNCTION("""COMPUTED_VALUE"""),"")</f>
        <v/>
      </c>
      <c r="M1394" s="213">
        <f>IFERROR(__xludf.DUMMYFUNCTION("""COMPUTED_VALUE"""),1.0)</f>
        <v>1</v>
      </c>
      <c r="N1394" s="213">
        <f>IFERROR(__xludf.DUMMYFUNCTION("""COMPUTED_VALUE"""),6.0)</f>
        <v>6</v>
      </c>
      <c r="O1394" s="213">
        <f>IFERROR(__xludf.DUMMYFUNCTION("""COMPUTED_VALUE"""),6.0)</f>
        <v>6</v>
      </c>
      <c r="P1394" s="213"/>
      <c r="Q1394" s="213"/>
      <c r="R1394" s="213"/>
      <c r="S1394" s="213"/>
      <c r="T1394" s="213"/>
      <c r="U1394" s="213"/>
      <c r="V1394" s="213"/>
      <c r="W1394" s="213"/>
      <c r="X1394" s="213"/>
      <c r="Y1394" s="213"/>
      <c r="Z1394" s="213"/>
      <c r="AA1394" s="213"/>
      <c r="AB1394" s="213"/>
      <c r="AC1394" s="213"/>
      <c r="AD1394" s="213"/>
      <c r="AE1394" s="213"/>
      <c r="AF1394" s="213"/>
      <c r="AG1394" s="213"/>
      <c r="AH1394" s="213"/>
      <c r="AI1394" s="213"/>
      <c r="AJ1394" s="213"/>
      <c r="AK1394" s="213"/>
      <c r="AL1394" s="213"/>
      <c r="AM1394" s="213"/>
      <c r="AN1394" s="213"/>
      <c r="AO1394" s="213"/>
      <c r="AP1394" s="213"/>
      <c r="AQ1394" s="213"/>
      <c r="AR1394" s="213"/>
      <c r="AS1394" s="213"/>
      <c r="AT1394" s="213"/>
      <c r="AU1394" s="213"/>
      <c r="AV1394" s="213"/>
      <c r="AW1394" s="213"/>
      <c r="AX1394" s="213"/>
      <c r="AY1394" s="213"/>
      <c r="AZ1394" s="213"/>
      <c r="BA1394" s="213"/>
      <c r="BB1394" s="213"/>
      <c r="BC1394" s="213"/>
      <c r="BD1394" s="213"/>
    </row>
    <row r="1395">
      <c r="A1395" s="213">
        <f>IFERROR(__xludf.DUMMYFUNCTION("""COMPUTED_VALUE"""),1974.0)</f>
        <v>1974</v>
      </c>
      <c r="B1395" s="213" t="str">
        <f>IFERROR(__xludf.DUMMYFUNCTION("""COMPUTED_VALUE"""),"JOSE GRANDA")</f>
        <v>JOSE GRANDA</v>
      </c>
      <c r="C1395" s="213" t="str">
        <f>IFERROR(__xludf.DUMMYFUNCTION("""COMPUTED_VALUE"""),"TALLER SFT DE COMPUTACIÓN E INFORMÁTICA")</f>
        <v>TALLER SFT DE COMPUTACIÓN E INFORMÁTICA</v>
      </c>
      <c r="D1395" s="213" t="str">
        <f>IFERROR(__xludf.DUMMYFUNCTION("""COMPUTED_VALUE"""),"PEDAGOGICO")</f>
        <v>PEDAGOGICO</v>
      </c>
      <c r="E1395" s="213" t="str">
        <f>IFERROR(__xludf.DUMMYFUNCTION("""COMPUTED_VALUE"""),"MAT-309")</f>
        <v>MAT-309</v>
      </c>
      <c r="F1395" s="213" t="str">
        <f>IFERROR(__xludf.DUMMYFUNCTION("""COMPUTED_VALUE"""),"KEFF-04")</f>
        <v>KEFF-04</v>
      </c>
      <c r="G1395" s="213"/>
      <c r="H1395" s="213" t="str">
        <f>IFERROR(__xludf.DUMMYFUNCTION("""COMPUTED_VALUE"""),"MANUAL DE USO POR CADA EQUIPO DE ANÁLISIS Y DISEÑO DE LA PROPUESTA DE VALOR")</f>
        <v>MANUAL DE USO POR CADA EQUIPO DE ANÁLISIS Y DISEÑO DE LA PROPUESTA DE VALOR</v>
      </c>
      <c r="I139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análisis y diseño de la propuesta de valor.
- Descripción de las principales tareas que se pueden realizar con cada equipo de análisis y diseño de la propuesta de valor
- Descripción gráfica de la instalación, uso y cons"&amp;"ervación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gráfica de la instalación, uso y conservación de cada equipo.
- Descripción de los errores comunes que se presentan en el uso y la forma de solucionarlos.
- Descripción de las normas de seguridad que se deben tener en cuenta durante el uso de cada equipo.</v>
      </c>
      <c r="J1395" s="213">
        <f>IFERROR(__xludf.DUMMYFUNCTION("""COMPUTED_VALUE"""),3.0)</f>
        <v>3</v>
      </c>
      <c r="K1395" s="213" t="str">
        <f>IFERROR(__xludf.DUMMYFUNCTION("""COMPUTED_VALUE"""),"170 DÍAS CALENDARIO")</f>
        <v>170 DÍAS CALENDARIO</v>
      </c>
      <c r="L1395" s="213" t="str">
        <f>IFERROR(__xludf.DUMMYFUNCTION("""COMPUTED_VALUE"""),"")</f>
        <v/>
      </c>
      <c r="M1395" s="213">
        <f>IFERROR(__xludf.DUMMYFUNCTION("""COMPUTED_VALUE"""),1.0)</f>
        <v>1</v>
      </c>
      <c r="N1395" s="213">
        <f>IFERROR(__xludf.DUMMYFUNCTION("""COMPUTED_VALUE"""),6.0)</f>
        <v>6</v>
      </c>
      <c r="O1395" s="213">
        <f>IFERROR(__xludf.DUMMYFUNCTION("""COMPUTED_VALUE"""),6.0)</f>
        <v>6</v>
      </c>
      <c r="P1395" s="213"/>
      <c r="Q1395" s="213"/>
      <c r="R1395" s="213"/>
      <c r="S1395" s="213"/>
      <c r="T1395" s="213"/>
      <c r="U1395" s="213"/>
      <c r="V1395" s="213"/>
      <c r="W1395" s="213"/>
      <c r="X1395" s="213"/>
      <c r="Y1395" s="213"/>
      <c r="Z1395" s="213"/>
      <c r="AA1395" s="213"/>
      <c r="AB1395" s="213"/>
      <c r="AC1395" s="213"/>
      <c r="AD1395" s="213"/>
      <c r="AE1395" s="213"/>
      <c r="AF1395" s="213"/>
      <c r="AG1395" s="213"/>
      <c r="AH1395" s="213"/>
      <c r="AI1395" s="213"/>
      <c r="AJ1395" s="213"/>
      <c r="AK1395" s="213"/>
      <c r="AL1395" s="213"/>
      <c r="AM1395" s="213"/>
      <c r="AN1395" s="213"/>
      <c r="AO1395" s="213"/>
      <c r="AP1395" s="213"/>
      <c r="AQ1395" s="213"/>
      <c r="AR1395" s="213"/>
      <c r="AS1395" s="213"/>
      <c r="AT1395" s="213"/>
      <c r="AU1395" s="213"/>
      <c r="AV1395" s="213"/>
      <c r="AW1395" s="213"/>
      <c r="AX1395" s="213"/>
      <c r="AY1395" s="213"/>
      <c r="AZ1395" s="213"/>
      <c r="BA1395" s="213"/>
      <c r="BB1395" s="213"/>
      <c r="BC1395" s="213"/>
      <c r="BD1395" s="213"/>
    </row>
    <row r="1396">
      <c r="A1396" s="213">
        <f>IFERROR(__xludf.DUMMYFUNCTION("""COMPUTED_VALUE"""),2166.0)</f>
        <v>2166</v>
      </c>
      <c r="B1396" s="213" t="str">
        <f>IFERROR(__xludf.DUMMYFUNCTION("""COMPUTED_VALUE"""),"JOSE GRANDA")</f>
        <v>JOSE GRANDA</v>
      </c>
      <c r="C1396" s="213" t="str">
        <f>IFERROR(__xludf.DUMMYFUNCTION("""COMPUTED_VALUE"""),"TALLER SFT DE INDUSTRIA ALIMENTARIA")</f>
        <v>TALLER SFT DE INDUSTRIA ALIMENTARIA</v>
      </c>
      <c r="D1396" s="213" t="str">
        <f>IFERROR(__xludf.DUMMYFUNCTION("""COMPUTED_VALUE"""),"PEDAGOGICO")</f>
        <v>PEDAGOGICO</v>
      </c>
      <c r="E1396" s="213" t="str">
        <f>IFERROR(__xludf.DUMMYFUNCTION("""COMPUTED_VALUE"""),"MAT-309")</f>
        <v>MAT-309</v>
      </c>
      <c r="F1396" s="213" t="str">
        <f>IFERROR(__xludf.DUMMYFUNCTION("""COMPUTED_VALUE"""),"KEFF-04")</f>
        <v>KEFF-04</v>
      </c>
      <c r="G1396" s="213"/>
      <c r="H1396" s="213" t="str">
        <f>IFERROR(__xludf.DUMMYFUNCTION("""COMPUTED_VALUE"""),"MANUAL DE USO POR CADA EQUIPO DE ANÁLISIS Y DISEÑO DE LA PROPUESTA DE VALOR")</f>
        <v>MANUAL DE USO POR CADA EQUIPO DE ANÁLISIS Y DISEÑO DE LA PROPUESTA DE VALOR</v>
      </c>
      <c r="I139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de análisis y diseño de la propuesta de valor.
- Descripción de las principales tareas que se pueden realizar con cada equipo de análisis y diseño de la propuesta de valor
- Descripción grafica de la instalación, uso y conserv"&amp;"ación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96" s="213">
        <f>IFERROR(__xludf.DUMMYFUNCTION("""COMPUTED_VALUE"""),3.0)</f>
        <v>3</v>
      </c>
      <c r="K1396" s="213" t="str">
        <f>IFERROR(__xludf.DUMMYFUNCTION("""COMPUTED_VALUE"""),"170 DÍAS CALENDARIO")</f>
        <v>170 DÍAS CALENDARIO</v>
      </c>
      <c r="L1396" s="213" t="str">
        <f>IFERROR(__xludf.DUMMYFUNCTION("""COMPUTED_VALUE"""),"")</f>
        <v/>
      </c>
      <c r="M1396" s="213">
        <f>IFERROR(__xludf.DUMMYFUNCTION("""COMPUTED_VALUE"""),1.0)</f>
        <v>1</v>
      </c>
      <c r="N1396" s="213">
        <f>IFERROR(__xludf.DUMMYFUNCTION("""COMPUTED_VALUE"""),6.0)</f>
        <v>6</v>
      </c>
      <c r="O1396" s="213">
        <f>IFERROR(__xludf.DUMMYFUNCTION("""COMPUTED_VALUE"""),6.0)</f>
        <v>6</v>
      </c>
      <c r="P1396" s="213"/>
      <c r="Q1396" s="213"/>
      <c r="R1396" s="213"/>
      <c r="S1396" s="213"/>
      <c r="T1396" s="213"/>
      <c r="U1396" s="213"/>
      <c r="V1396" s="213"/>
      <c r="W1396" s="213"/>
      <c r="X1396" s="213"/>
      <c r="Y1396" s="213"/>
      <c r="Z1396" s="213"/>
      <c r="AA1396" s="213"/>
      <c r="AB1396" s="213"/>
      <c r="AC1396" s="213"/>
      <c r="AD1396" s="213"/>
      <c r="AE1396" s="213"/>
      <c r="AF1396" s="213"/>
      <c r="AG1396" s="213"/>
      <c r="AH1396" s="213"/>
      <c r="AI1396" s="213"/>
      <c r="AJ1396" s="213"/>
      <c r="AK1396" s="213"/>
      <c r="AL1396" s="213"/>
      <c r="AM1396" s="213"/>
      <c r="AN1396" s="213"/>
      <c r="AO1396" s="213"/>
      <c r="AP1396" s="213"/>
      <c r="AQ1396" s="213"/>
      <c r="AR1396" s="213"/>
      <c r="AS1396" s="213"/>
      <c r="AT1396" s="213"/>
      <c r="AU1396" s="213"/>
      <c r="AV1396" s="213"/>
      <c r="AW1396" s="213"/>
      <c r="AX1396" s="213"/>
      <c r="AY1396" s="213"/>
      <c r="AZ1396" s="213"/>
      <c r="BA1396" s="213"/>
      <c r="BB1396" s="213"/>
      <c r="BC1396" s="213"/>
      <c r="BD1396" s="213"/>
    </row>
    <row r="1397">
      <c r="A1397" s="213">
        <f>IFERROR(__xludf.DUMMYFUNCTION("""COMPUTED_VALUE"""),2307.0)</f>
        <v>2307</v>
      </c>
      <c r="B1397" s="213" t="str">
        <f>IFERROR(__xludf.DUMMYFUNCTION("""COMPUTED_VALUE"""),"JOSE GRANDA")</f>
        <v>JOSE GRANDA</v>
      </c>
      <c r="C1397" s="213" t="str">
        <f>IFERROR(__xludf.DUMMYFUNCTION("""COMPUTED_VALUE"""),"TALLER SFT DE MECÁNICA AUTOMOTRIZ")</f>
        <v>TALLER SFT DE MECÁNICA AUTOMOTRIZ</v>
      </c>
      <c r="D1397" s="213" t="str">
        <f>IFERROR(__xludf.DUMMYFUNCTION("""COMPUTED_VALUE"""),"PEDAGOGICO")</f>
        <v>PEDAGOGICO</v>
      </c>
      <c r="E1397" s="213" t="str">
        <f>IFERROR(__xludf.DUMMYFUNCTION("""COMPUTED_VALUE"""),"MAT-309")</f>
        <v>MAT-309</v>
      </c>
      <c r="F1397" s="213" t="str">
        <f>IFERROR(__xludf.DUMMYFUNCTION("""COMPUTED_VALUE"""),"KEFF-04")</f>
        <v>KEFF-04</v>
      </c>
      <c r="G1397" s="213"/>
      <c r="H1397" s="213" t="str">
        <f>IFERROR(__xludf.DUMMYFUNCTION("""COMPUTED_VALUE"""),"MANUAL DE USO POR CADA EQUIPO DE ANÁLISIS Y DISEÑO DE LA PROPUESTA DE VALOR")</f>
        <v>MANUAL DE USO POR CADA EQUIPO DE ANÁLISIS Y DISEÑO DE LA PROPUESTA DE VALOR</v>
      </c>
      <c r="I139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análisis y diseño de la propuesta de valor.
- Descripción de las principales tareas que se pueden realizar con cada equipo de análisis y diseño de la propuesta de valor
- Descripción grafica de la instalación, uso y cons"&amp;"ervación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 Descripción de las normas de seguridad que se deben tener en cuenta durante el uso de cada equipo.</v>
      </c>
      <c r="J1397" s="213">
        <f>IFERROR(__xludf.DUMMYFUNCTION("""COMPUTED_VALUE"""),3.0)</f>
        <v>3</v>
      </c>
      <c r="K1397" s="213" t="str">
        <f>IFERROR(__xludf.DUMMYFUNCTION("""COMPUTED_VALUE"""),"170 DÍAS CALENDARIO")</f>
        <v>170 DÍAS CALENDARIO</v>
      </c>
      <c r="L1397" s="213" t="str">
        <f>IFERROR(__xludf.DUMMYFUNCTION("""COMPUTED_VALUE"""),"")</f>
        <v/>
      </c>
      <c r="M1397" s="213">
        <f>IFERROR(__xludf.DUMMYFUNCTION("""COMPUTED_VALUE"""),1.0)</f>
        <v>1</v>
      </c>
      <c r="N1397" s="213">
        <f>IFERROR(__xludf.DUMMYFUNCTION("""COMPUTED_VALUE"""),6.0)</f>
        <v>6</v>
      </c>
      <c r="O1397" s="213">
        <f>IFERROR(__xludf.DUMMYFUNCTION("""COMPUTED_VALUE"""),6.0)</f>
        <v>6</v>
      </c>
      <c r="P1397" s="213"/>
      <c r="Q1397" s="213"/>
      <c r="R1397" s="213"/>
      <c r="S1397" s="213"/>
      <c r="T1397" s="213"/>
      <c r="U1397" s="213"/>
      <c r="V1397" s="213"/>
      <c r="W1397" s="213"/>
      <c r="X1397" s="213"/>
      <c r="Y1397" s="213"/>
      <c r="Z1397" s="213"/>
      <c r="AA1397" s="213"/>
      <c r="AB1397" s="213"/>
      <c r="AC1397" s="213"/>
      <c r="AD1397" s="213"/>
      <c r="AE1397" s="213"/>
      <c r="AF1397" s="213"/>
      <c r="AG1397" s="213"/>
      <c r="AH1397" s="213"/>
      <c r="AI1397" s="213"/>
      <c r="AJ1397" s="213"/>
      <c r="AK1397" s="213"/>
      <c r="AL1397" s="213"/>
      <c r="AM1397" s="213"/>
      <c r="AN1397" s="213"/>
      <c r="AO1397" s="213"/>
      <c r="AP1397" s="213"/>
      <c r="AQ1397" s="213"/>
      <c r="AR1397" s="213"/>
      <c r="AS1397" s="213"/>
      <c r="AT1397" s="213"/>
      <c r="AU1397" s="213"/>
      <c r="AV1397" s="213"/>
      <c r="AW1397" s="213"/>
      <c r="AX1397" s="213"/>
      <c r="AY1397" s="213"/>
      <c r="AZ1397" s="213"/>
      <c r="BA1397" s="213"/>
      <c r="BB1397" s="213"/>
      <c r="BC1397" s="213"/>
      <c r="BD1397" s="213"/>
    </row>
    <row r="1398">
      <c r="A1398" s="213">
        <f>IFERROR(__xludf.DUMMYFUNCTION("""COMPUTED_VALUE"""),2435.0)</f>
        <v>2435</v>
      </c>
      <c r="B1398" s="213" t="str">
        <f>IFERROR(__xludf.DUMMYFUNCTION("""COMPUTED_VALUE"""),"MANUEL ANTONIO MESONES MURO")</f>
        <v>MANUEL ANTONIO MESONES MURO</v>
      </c>
      <c r="C1398" s="213" t="str">
        <f>IFERROR(__xludf.DUMMYFUNCTION("""COMPUTED_VALUE"""),"TALLER SFT DE INDUSTRIA DEL VESTIDO")</f>
        <v>TALLER SFT DE INDUSTRIA DEL VESTIDO</v>
      </c>
      <c r="D1398" s="213" t="str">
        <f>IFERROR(__xludf.DUMMYFUNCTION("""COMPUTED_VALUE"""),"PEDAGOGICO")</f>
        <v>PEDAGOGICO</v>
      </c>
      <c r="E1398" s="213" t="str">
        <f>IFERROR(__xludf.DUMMYFUNCTION("""COMPUTED_VALUE"""),"MAT-309")</f>
        <v>MAT-309</v>
      </c>
      <c r="F1398" s="213" t="str">
        <f>IFERROR(__xludf.DUMMYFUNCTION("""COMPUTED_VALUE"""),"KEFF-04")</f>
        <v>KEFF-04</v>
      </c>
      <c r="G1398" s="213"/>
      <c r="H1398" s="213" t="str">
        <f>IFERROR(__xludf.DUMMYFUNCTION("""COMPUTED_VALUE"""),"MANUAL DE USO POR CADA EQUIPO DE ANÁLISIS Y DISEÑO DE LA PROPUESTA DE VALOR")</f>
        <v>MANUAL DE USO POR CADA EQUIPO DE ANÁLISIS Y DISEÑO DE LA PROPUESTA DE VALOR</v>
      </c>
      <c r="I139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análisis y diseño de la propuesta de valor.
- Descripción de las principales tareas que se pueden realizar con cada equipo de análisis y diseño de la propuesta de valor
- Descripción gráfica de la instalación, uso y cons"&amp;"ervación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análisis y diseño de la propuesta de valor.
- Descripción de las principales tareas que se pueden realizar con cada equipo de análisis y diseño de la propuesta de valor
- Descripción gráfica de la instalación, uso y conservación de cada equipo.
- Descripción de los errores comunes que se presentan en el uso y la forma de solucionarlos.
- Descripción de las normas de seguridad que se deben tener en cuenta durante el uso de cada equipo.</v>
      </c>
      <c r="J1398" s="213">
        <f>IFERROR(__xludf.DUMMYFUNCTION("""COMPUTED_VALUE"""),3.0)</f>
        <v>3</v>
      </c>
      <c r="K1398" s="213" t="str">
        <f>IFERROR(__xludf.DUMMYFUNCTION("""COMPUTED_VALUE"""),"170 DÍAS CALENDARIO")</f>
        <v>170 DÍAS CALENDARIO</v>
      </c>
      <c r="L1398" s="213" t="str">
        <f>IFERROR(__xludf.DUMMYFUNCTION("""COMPUTED_VALUE"""),"")</f>
        <v/>
      </c>
      <c r="M1398" s="213">
        <f>IFERROR(__xludf.DUMMYFUNCTION("""COMPUTED_VALUE"""),1.0)</f>
        <v>1</v>
      </c>
      <c r="N1398" s="213">
        <f>IFERROR(__xludf.DUMMYFUNCTION("""COMPUTED_VALUE"""),6.0)</f>
        <v>6</v>
      </c>
      <c r="O1398" s="213">
        <f>IFERROR(__xludf.DUMMYFUNCTION("""COMPUTED_VALUE"""),6.0)</f>
        <v>6</v>
      </c>
      <c r="P1398" s="213"/>
      <c r="Q1398" s="213"/>
      <c r="R1398" s="213"/>
      <c r="S1398" s="213"/>
      <c r="T1398" s="213"/>
      <c r="U1398" s="213"/>
      <c r="V1398" s="213"/>
      <c r="W1398" s="213"/>
      <c r="X1398" s="213"/>
      <c r="Y1398" s="213"/>
      <c r="Z1398" s="213"/>
      <c r="AA1398" s="213"/>
      <c r="AB1398" s="213"/>
      <c r="AC1398" s="213"/>
      <c r="AD1398" s="213"/>
      <c r="AE1398" s="213"/>
      <c r="AF1398" s="213"/>
      <c r="AG1398" s="213"/>
      <c r="AH1398" s="213"/>
      <c r="AI1398" s="213"/>
      <c r="AJ1398" s="213"/>
      <c r="AK1398" s="213"/>
      <c r="AL1398" s="213"/>
      <c r="AM1398" s="213"/>
      <c r="AN1398" s="213"/>
      <c r="AO1398" s="213"/>
      <c r="AP1398" s="213"/>
      <c r="AQ1398" s="213"/>
      <c r="AR1398" s="213"/>
      <c r="AS1398" s="213"/>
      <c r="AT1398" s="213"/>
      <c r="AU1398" s="213"/>
      <c r="AV1398" s="213"/>
      <c r="AW1398" s="213"/>
      <c r="AX1398" s="213"/>
      <c r="AY1398" s="213"/>
      <c r="AZ1398" s="213"/>
      <c r="BA1398" s="213"/>
      <c r="BB1398" s="213"/>
      <c r="BC1398" s="213"/>
      <c r="BD1398" s="213"/>
    </row>
    <row r="1399">
      <c r="A1399" s="213">
        <f>IFERROR(__xludf.DUMMYFUNCTION("""COMPUTED_VALUE"""),2660.0)</f>
        <v>2660</v>
      </c>
      <c r="B1399" s="213" t="str">
        <f>IFERROR(__xludf.DUMMYFUNCTION("""COMPUTED_VALUE"""),"MANUEL ANTONIO MESONES MURO")</f>
        <v>MANUEL ANTONIO MESONES MURO</v>
      </c>
      <c r="C1399" s="213" t="str">
        <f>IFERROR(__xludf.DUMMYFUNCTION("""COMPUTED_VALUE"""),"TALLER SFT DE EBANISTERÍA")</f>
        <v>TALLER SFT DE EBANISTERÍA</v>
      </c>
      <c r="D1399" s="213" t="str">
        <f>IFERROR(__xludf.DUMMYFUNCTION("""COMPUTED_VALUE"""),"PEDAGOGICO")</f>
        <v>PEDAGOGICO</v>
      </c>
      <c r="E1399" s="213" t="str">
        <f>IFERROR(__xludf.DUMMYFUNCTION("""COMPUTED_VALUE"""),"MAT-309")</f>
        <v>MAT-309</v>
      </c>
      <c r="F1399" s="213" t="str">
        <f>IFERROR(__xludf.DUMMYFUNCTION("""COMPUTED_VALUE"""),"KEFF-04")</f>
        <v>KEFF-04</v>
      </c>
      <c r="G1399" s="213"/>
      <c r="H1399" s="213" t="str">
        <f>IFERROR(__xludf.DUMMYFUNCTION("""COMPUTED_VALUE"""),"MANUAL DE USO POR CADA EQUIPO DE ANÁLISIS Y DISEÑO DE LA PROPUESTA DE VALOR")</f>
        <v>MANUAL DE USO POR CADA EQUIPO DE ANÁLISIS Y DISEÑO DE LA PROPUESTA DE VALOR</v>
      </c>
      <c r="I139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las partes y accesorios de cada equipo de análisis y diseño de la propuesta de valor.
-          Descripción de las principales tareas que se pueden realizar con cada equipo de análisis y diseño de la propuesta de valor
-    "&amp;"      Descripción grafica de la instalación, uso y conservación de cada equipo.
-          Descripción de los errores comunes que se presentan en el uso y la forma de solucionarlos.
L- VERADeHscilrdipación de las normas de seguridad que se tienen que se d"&amp;"eben tener en cuenta durante el uso
0d9e9c8adsaoefqtuipo
A")</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análisis y diseño de la propuesta de valor.
-          Descripción de las principales tareas que se pueden realizar con cada equipo de análisis y diseño de la propuesta de valor
-          Descripción grafica de la instalación, uso y conservación de cada equipo.
-          Descripción de los errores comunes que se presentan en el uso y la forma de solucionarlos.
L- VERADeHscilrdipación de las normas de seguridad que se tienen que se deben tener en cuenta durante el uso
0d9e9c8adsaoefqtuipo
A</v>
      </c>
      <c r="J1399" s="213">
        <f>IFERROR(__xludf.DUMMYFUNCTION("""COMPUTED_VALUE"""),3.0)</f>
        <v>3</v>
      </c>
      <c r="K1399" s="213" t="str">
        <f>IFERROR(__xludf.DUMMYFUNCTION("""COMPUTED_VALUE"""),"170 DÍAS CALENDARIO")</f>
        <v>170 DÍAS CALENDARIO</v>
      </c>
      <c r="L1399" s="213" t="str">
        <f>IFERROR(__xludf.DUMMYFUNCTION("""COMPUTED_VALUE"""),"")</f>
        <v/>
      </c>
      <c r="M1399" s="213">
        <f>IFERROR(__xludf.DUMMYFUNCTION("""COMPUTED_VALUE"""),1.0)</f>
        <v>1</v>
      </c>
      <c r="N1399" s="213">
        <f>IFERROR(__xludf.DUMMYFUNCTION("""COMPUTED_VALUE"""),6.0)</f>
        <v>6</v>
      </c>
      <c r="O1399" s="213">
        <f>IFERROR(__xludf.DUMMYFUNCTION("""COMPUTED_VALUE"""),6.0)</f>
        <v>6</v>
      </c>
      <c r="P1399" s="213"/>
      <c r="Q1399" s="213"/>
      <c r="R1399" s="213"/>
      <c r="S1399" s="213"/>
      <c r="T1399" s="213"/>
      <c r="U1399" s="213"/>
      <c r="V1399" s="213"/>
      <c r="W1399" s="213"/>
      <c r="X1399" s="213"/>
      <c r="Y1399" s="213"/>
      <c r="Z1399" s="213"/>
      <c r="AA1399" s="213"/>
      <c r="AB1399" s="213"/>
      <c r="AC1399" s="213"/>
      <c r="AD1399" s="213"/>
      <c r="AE1399" s="213"/>
      <c r="AF1399" s="213"/>
      <c r="AG1399" s="213"/>
      <c r="AH1399" s="213"/>
      <c r="AI1399" s="213"/>
      <c r="AJ1399" s="213"/>
      <c r="AK1399" s="213"/>
      <c r="AL1399" s="213"/>
      <c r="AM1399" s="213"/>
      <c r="AN1399" s="213"/>
      <c r="AO1399" s="213"/>
      <c r="AP1399" s="213"/>
      <c r="AQ1399" s="213"/>
      <c r="AR1399" s="213"/>
      <c r="AS1399" s="213"/>
      <c r="AT1399" s="213"/>
      <c r="AU1399" s="213"/>
      <c r="AV1399" s="213"/>
      <c r="AW1399" s="213"/>
      <c r="AX1399" s="213"/>
      <c r="AY1399" s="213"/>
      <c r="AZ1399" s="213"/>
      <c r="BA1399" s="213"/>
      <c r="BB1399" s="213"/>
      <c r="BC1399" s="213"/>
      <c r="BD1399" s="213"/>
    </row>
    <row r="1400">
      <c r="A1400" s="213">
        <f>IFERROR(__xludf.DUMMYFUNCTION("""COMPUTED_VALUE"""),231.0)</f>
        <v>231</v>
      </c>
      <c r="B1400" s="213" t="str">
        <f>IFERROR(__xludf.DUMMYFUNCTION("""COMPUTED_VALUE"""),"2026 SIMON BOLIVAR")</f>
        <v>2026 SIMON BOLIVAR</v>
      </c>
      <c r="C1400" s="213" t="str">
        <f>IFERROR(__xludf.DUMMYFUNCTION("""COMPUTED_VALUE"""),"TALLER SFT DE INDUSTRIA DEL VESTIDO")</f>
        <v>TALLER SFT DE INDUSTRIA DEL VESTIDO</v>
      </c>
      <c r="D1400" s="213" t="str">
        <f>IFERROR(__xludf.DUMMYFUNCTION("""COMPUTED_VALUE"""),"PEDAGOGICO")</f>
        <v>PEDAGOGICO</v>
      </c>
      <c r="E1400" s="213" t="str">
        <f>IFERROR(__xludf.DUMMYFUNCTION("""COMPUTED_VALUE"""),"MAT-291")</f>
        <v>MAT-291</v>
      </c>
      <c r="F1400" s="213" t="str">
        <f>IFERROR(__xludf.DUMMYFUNCTION("""COMPUTED_VALUE"""),"KEFF-77")</f>
        <v>KEFF-77</v>
      </c>
      <c r="G1400" s="213"/>
      <c r="H1400" s="213" t="str">
        <f>IFERROR(__xludf.DUMMYFUNCTION("""COMPUTED_VALUE"""),"MANUAL DE USO POR CADA EQUIPO DE BORDAR")</f>
        <v>MANUAL DE USO POR CADA EQUIPO DE BORDAR</v>
      </c>
      <c r="I140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gram"&amp;"os o papel bond de 75 gramos de 80% de blancura como mínimo.
·      Tamaño: como mínimo 21 cm x 29,7 cm
·      Tipo de Encuadernación: caballete con 2 grapas cuando sea menos de 80 páginas y encolado cuando sea más de 80 páginas.
Contenido que presenta:
-"&amp;"           Descripción de las partes y accesorios de cada equipo en función del taller para  realizar bordados.
-            Descripción de las principales tareas que se pueden realizar con cada equipo  en función del  taller para realizar  bordados
-    "&amp;"       Descripción gráfica de la instalación, uso y conservación de cada equipo.
-           Descripción de los errores comunes que se presentan en el uso y la forma de solucionarlos.
·       Descripción de las normas de seguridad que se deben tener en cu"&amp;"enta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en función del taller para  realizar bordados.
-            Descripción de las principales tareas que se pueden realizar con cada equipo  en función del  taller para realizar  bordados
-           Descripción gráfica de la instalación, uso y conservación de cada equipo.
-           Descripción de los errores comunes que se presentan en el uso y la forma de solucionarlos.
·       Descripción de las normas de seguridad que se deben tener en cuenta durante el uso de cada equipo</v>
      </c>
      <c r="J1400" s="213">
        <f>IFERROR(__xludf.DUMMYFUNCTION("""COMPUTED_VALUE"""),3.0)</f>
        <v>3</v>
      </c>
      <c r="K1400" s="213" t="str">
        <f>IFERROR(__xludf.DUMMYFUNCTION("""COMPUTED_VALUE"""),"170 DÍAS CALENDARIO")</f>
        <v>170 DÍAS CALENDARIO</v>
      </c>
      <c r="L1400" s="213" t="str">
        <f>IFERROR(__xludf.DUMMYFUNCTION("""COMPUTED_VALUE"""),"")</f>
        <v/>
      </c>
      <c r="M1400" s="213">
        <f>IFERROR(__xludf.DUMMYFUNCTION("""COMPUTED_VALUE"""),1.0)</f>
        <v>1</v>
      </c>
      <c r="N1400" s="213">
        <f>IFERROR(__xludf.DUMMYFUNCTION("""COMPUTED_VALUE"""),6.0)</f>
        <v>6</v>
      </c>
      <c r="O1400" s="213">
        <f>IFERROR(__xludf.DUMMYFUNCTION("""COMPUTED_VALUE"""),6.0)</f>
        <v>6</v>
      </c>
      <c r="P1400" s="213"/>
      <c r="Q1400" s="213"/>
      <c r="R1400" s="213"/>
      <c r="S1400" s="213"/>
      <c r="T1400" s="213"/>
      <c r="U1400" s="213"/>
      <c r="V1400" s="213"/>
      <c r="W1400" s="213"/>
      <c r="X1400" s="213"/>
      <c r="Y1400" s="213"/>
      <c r="Z1400" s="213"/>
      <c r="AA1400" s="213"/>
      <c r="AB1400" s="213"/>
      <c r="AC1400" s="213"/>
      <c r="AD1400" s="213"/>
      <c r="AE1400" s="213"/>
      <c r="AF1400" s="213"/>
      <c r="AG1400" s="213"/>
      <c r="AH1400" s="213"/>
      <c r="AI1400" s="213"/>
      <c r="AJ1400" s="213"/>
      <c r="AK1400" s="213"/>
      <c r="AL1400" s="213"/>
      <c r="AM1400" s="213"/>
      <c r="AN1400" s="213"/>
      <c r="AO1400" s="213"/>
      <c r="AP1400" s="213"/>
      <c r="AQ1400" s="213"/>
      <c r="AR1400" s="213"/>
      <c r="AS1400" s="213">
        <f>IFERROR(__xludf.DUMMYFUNCTION("""COMPUTED_VALUE"""),0.0)</f>
        <v>0</v>
      </c>
      <c r="AT1400" s="213"/>
      <c r="AU1400" s="213"/>
      <c r="AV1400" s="213"/>
      <c r="AW1400" s="213"/>
      <c r="AX1400" s="213"/>
      <c r="AY1400" s="213"/>
      <c r="AZ1400" s="213"/>
      <c r="BA1400" s="213"/>
      <c r="BB1400" s="213"/>
      <c r="BC1400" s="213"/>
      <c r="BD1400" s="213"/>
    </row>
    <row r="1401">
      <c r="A1401" s="213">
        <f>IFERROR(__xludf.DUMMYFUNCTION("""COMPUTED_VALUE"""),2445.0)</f>
        <v>2445</v>
      </c>
      <c r="B1401" s="213" t="str">
        <f>IFERROR(__xludf.DUMMYFUNCTION("""COMPUTED_VALUE"""),"MANUEL ANTONIO MESONES MURO")</f>
        <v>MANUEL ANTONIO MESONES MURO</v>
      </c>
      <c r="C1401" s="213" t="str">
        <f>IFERROR(__xludf.DUMMYFUNCTION("""COMPUTED_VALUE"""),"TALLER SFT DE INDUSTRIA DEL VESTIDO")</f>
        <v>TALLER SFT DE INDUSTRIA DEL VESTIDO</v>
      </c>
      <c r="D1401" s="213" t="str">
        <f>IFERROR(__xludf.DUMMYFUNCTION("""COMPUTED_VALUE"""),"PEDAGOGICO")</f>
        <v>PEDAGOGICO</v>
      </c>
      <c r="E1401" s="213" t="str">
        <f>IFERROR(__xludf.DUMMYFUNCTION("""COMPUTED_VALUE"""),"MAT-291")</f>
        <v>MAT-291</v>
      </c>
      <c r="F1401" s="213" t="str">
        <f>IFERROR(__xludf.DUMMYFUNCTION("""COMPUTED_VALUE"""),"KEFF-77")</f>
        <v>KEFF-77</v>
      </c>
      <c r="G1401" s="213"/>
      <c r="H1401" s="213" t="str">
        <f>IFERROR(__xludf.DUMMYFUNCTION("""COMPUTED_VALUE"""),"MANUAL DE USO POR CADA EQUIPO DE BORDAR")</f>
        <v>MANUAL DE USO POR CADA EQUIPO DE BORDAR</v>
      </c>
      <c r="I140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gram"&amp;"os o papel bond de 75 gramos de 80% de blancura como mínimo.
·      Tamaño: como mínimo 21 cm x 29,7 cm
·      Tipo de Encuadernación: caballete con 2 grapas cuando sea menos de 80 páginas y encolado cuando sea más de 80 páginas.
Contenido que presenta:
-"&amp;"           Descripción de las partes y accesorios de cada equipo en función del taller para  realizar bordados.
-            Descripción de las principales tareas que se pueden realizar con cada equipo  en función del  taller para realizar  bordados
-    "&amp;"       Descripción gráfica de la instalación, uso y conservación de cada equipo.
-           Descripción de los errores comunes que se presentan en el uso y la forma de solucionarlos.
·       Descripción de las normas de seguridad que se deben tener en cu"&amp;"enta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en función del taller para  realizar bordados.
-            Descripción de las principales tareas que se pueden realizar con cada equipo  en función del  taller para realizar  bordados
-           Descripción gráfica de la instalación, uso y conservación de cada equipo.
-           Descripción de los errores comunes que se presentan en el uso y la forma de solucionarlos.
·       Descripción de las normas de seguridad que se deben tener en cuenta durante el uso de cada equipo</v>
      </c>
      <c r="J1401" s="213">
        <f>IFERROR(__xludf.DUMMYFUNCTION("""COMPUTED_VALUE"""),3.0)</f>
        <v>3</v>
      </c>
      <c r="K1401" s="213" t="str">
        <f>IFERROR(__xludf.DUMMYFUNCTION("""COMPUTED_VALUE"""),"170 DÍAS CALENDARIO")</f>
        <v>170 DÍAS CALENDARIO</v>
      </c>
      <c r="L1401" s="213" t="str">
        <f>IFERROR(__xludf.DUMMYFUNCTION("""COMPUTED_VALUE"""),"")</f>
        <v/>
      </c>
      <c r="M1401" s="213">
        <f>IFERROR(__xludf.DUMMYFUNCTION("""COMPUTED_VALUE"""),1.0)</f>
        <v>1</v>
      </c>
      <c r="N1401" s="213">
        <f>IFERROR(__xludf.DUMMYFUNCTION("""COMPUTED_VALUE"""),6.0)</f>
        <v>6</v>
      </c>
      <c r="O1401" s="213">
        <f>IFERROR(__xludf.DUMMYFUNCTION("""COMPUTED_VALUE"""),6.0)</f>
        <v>6</v>
      </c>
      <c r="P1401" s="213"/>
      <c r="Q1401" s="213"/>
      <c r="R1401" s="213"/>
      <c r="S1401" s="213"/>
      <c r="T1401" s="213"/>
      <c r="U1401" s="213"/>
      <c r="V1401" s="213"/>
      <c r="W1401" s="213"/>
      <c r="X1401" s="213"/>
      <c r="Y1401" s="213"/>
      <c r="Z1401" s="213"/>
      <c r="AA1401" s="213"/>
      <c r="AB1401" s="213"/>
      <c r="AC1401" s="213"/>
      <c r="AD1401" s="213"/>
      <c r="AE1401" s="213"/>
      <c r="AF1401" s="213"/>
      <c r="AG1401" s="213"/>
      <c r="AH1401" s="213"/>
      <c r="AI1401" s="213"/>
      <c r="AJ1401" s="213"/>
      <c r="AK1401" s="213"/>
      <c r="AL1401" s="213"/>
      <c r="AM1401" s="213"/>
      <c r="AN1401" s="213"/>
      <c r="AO1401" s="213"/>
      <c r="AP1401" s="213"/>
      <c r="AQ1401" s="213"/>
      <c r="AR1401" s="213"/>
      <c r="AS1401" s="213">
        <f>IFERROR(__xludf.DUMMYFUNCTION("""COMPUTED_VALUE"""),0.0)</f>
        <v>0</v>
      </c>
      <c r="AT1401" s="213"/>
      <c r="AU1401" s="213"/>
      <c r="AV1401" s="213"/>
      <c r="AW1401" s="213"/>
      <c r="AX1401" s="213"/>
      <c r="AY1401" s="213"/>
      <c r="AZ1401" s="213"/>
      <c r="BA1401" s="213"/>
      <c r="BB1401" s="213"/>
      <c r="BC1401" s="213"/>
      <c r="BD1401" s="213"/>
    </row>
    <row r="1402">
      <c r="A1402" s="213">
        <f>IFERROR(__xludf.DUMMYFUNCTION("""COMPUTED_VALUE"""),106.0)</f>
        <v>106</v>
      </c>
      <c r="B1402" s="213" t="str">
        <f>IFERROR(__xludf.DUMMYFUNCTION("""COMPUTED_VALUE"""),"16449 ELOY SOBERON  FLORES")</f>
        <v>16449 ELOY SOBERON  FLORES</v>
      </c>
      <c r="C1402" s="213" t="str">
        <f>IFERROR(__xludf.DUMMYFUNCTION("""COMPUTED_VALUE"""),"TALLER SFT DE COCINA Y REPOSTERÍA")</f>
        <v>TALLER SFT DE COCINA Y REPOSTERÍA</v>
      </c>
      <c r="D1402" s="213" t="str">
        <f>IFERROR(__xludf.DUMMYFUNCTION("""COMPUTED_VALUE"""),"PEDAGOGICO")</f>
        <v>PEDAGOGICO</v>
      </c>
      <c r="E1402" s="213" t="str">
        <f>IFERROR(__xludf.DUMMYFUNCTION("""COMPUTED_VALUE"""),"MAT-310")</f>
        <v>MAT-310</v>
      </c>
      <c r="F1402" s="213" t="str">
        <f>IFERROR(__xludf.DUMMYFUNCTION("""COMPUTED_VALUE"""),"KEFF-10")</f>
        <v>KEFF-10</v>
      </c>
      <c r="G1402" s="213"/>
      <c r="H1402" s="213" t="str">
        <f>IFERROR(__xludf.DUMMYFUNCTION("""COMPUTED_VALUE"""),"MANUAL DE USO POR CADA EQUIPO DE COCCION")</f>
        <v>MANUAL DE USO POR CADA EQUIPO DE COCCION</v>
      </c>
      <c r="I140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-Descripción de las partes y accesorios de cada equipo de cocción
-Descripción de las principales tareas que se pueden realizar con cada equipo de cocción.
- Descripción grafica de la instalación, uso y conservación de cada equipo.
- Descripci"&amp;"ón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-Descripción de las partes y accesorios de cada equipo de cocción
-Descripción de las principales tareas que se pueden realizar con cada equipo de cocción.
- Descripción grafica de la instalación, uso y conservación de cada equipo.
- Descripción de los errores comunes que se presentan en el uso y la forma de solucionarlos.
- Descripción de las normas de seguridad que se deben tener en cuenta durante el uso de cada equipo.</v>
      </c>
      <c r="J1402" s="213">
        <f>IFERROR(__xludf.DUMMYFUNCTION("""COMPUTED_VALUE"""),3.0)</f>
        <v>3</v>
      </c>
      <c r="K1402" s="213" t="str">
        <f>IFERROR(__xludf.DUMMYFUNCTION("""COMPUTED_VALUE"""),"170 DÍAS CALENDARIO")</f>
        <v>170 DÍAS CALENDARIO</v>
      </c>
      <c r="L1402" s="213" t="str">
        <f>IFERROR(__xludf.DUMMYFUNCTION("""COMPUTED_VALUE"""),"")</f>
        <v/>
      </c>
      <c r="M1402" s="213">
        <f>IFERROR(__xludf.DUMMYFUNCTION("""COMPUTED_VALUE"""),1.0)</f>
        <v>1</v>
      </c>
      <c r="N1402" s="213">
        <f>IFERROR(__xludf.DUMMYFUNCTION("""COMPUTED_VALUE"""),6.0)</f>
        <v>6</v>
      </c>
      <c r="O1402" s="213">
        <f>IFERROR(__xludf.DUMMYFUNCTION("""COMPUTED_VALUE"""),6.0)</f>
        <v>6</v>
      </c>
      <c r="P1402" s="213"/>
      <c r="Q1402" s="213"/>
      <c r="R1402" s="213"/>
      <c r="S1402" s="213"/>
      <c r="T1402" s="213"/>
      <c r="U1402" s="213"/>
      <c r="V1402" s="213"/>
      <c r="W1402" s="213"/>
      <c r="X1402" s="213"/>
      <c r="Y1402" s="213"/>
      <c r="Z1402" s="213"/>
      <c r="AA1402" s="213"/>
      <c r="AB1402" s="213"/>
      <c r="AC1402" s="213"/>
      <c r="AD1402" s="213"/>
      <c r="AE1402" s="213"/>
      <c r="AF1402" s="213"/>
      <c r="AG1402" s="213"/>
      <c r="AH1402" s="213"/>
      <c r="AI1402" s="213"/>
      <c r="AJ1402" s="213"/>
      <c r="AK1402" s="213"/>
      <c r="AL1402" s="213"/>
      <c r="AM1402" s="213"/>
      <c r="AN1402" s="213"/>
      <c r="AO1402" s="213"/>
      <c r="AP1402" s="213"/>
      <c r="AQ1402" s="213"/>
      <c r="AR1402" s="213"/>
      <c r="AS1402" s="213"/>
      <c r="AT1402" s="213"/>
      <c r="AU1402" s="213"/>
      <c r="AV1402" s="213"/>
      <c r="AW1402" s="213"/>
      <c r="AX1402" s="213"/>
      <c r="AY1402" s="213"/>
      <c r="AZ1402" s="213"/>
      <c r="BA1402" s="213"/>
      <c r="BB1402" s="213"/>
      <c r="BC1402" s="213"/>
      <c r="BD1402" s="213"/>
    </row>
    <row r="1403">
      <c r="A1403" s="213">
        <f>IFERROR(__xludf.DUMMYFUNCTION("""COMPUTED_VALUE"""),118.0)</f>
        <v>118</v>
      </c>
      <c r="B1403" s="213" t="str">
        <f>IFERROR(__xludf.DUMMYFUNCTION("""COMPUTED_VALUE"""),"16449 ELOY SOBERON  FLORES")</f>
        <v>16449 ELOY SOBERON  FLORES</v>
      </c>
      <c r="C1403" s="213" t="str">
        <f>IFERROR(__xludf.DUMMYFUNCTION("""COMPUTED_VALUE"""),"TALLER SFT DE COCINA Y REPOSTERÍA")</f>
        <v>TALLER SFT DE COCINA Y REPOSTERÍA</v>
      </c>
      <c r="D1403" s="213" t="str">
        <f>IFERROR(__xludf.DUMMYFUNCTION("""COMPUTED_VALUE"""),"PEDAGOGICO")</f>
        <v>PEDAGOGICO</v>
      </c>
      <c r="E1403" s="213" t="str">
        <f>IFERROR(__xludf.DUMMYFUNCTION("""COMPUTED_VALUE"""),"MAT-311")</f>
        <v>MAT-311</v>
      </c>
      <c r="F1403" s="213" t="str">
        <f>IFERROR(__xludf.DUMMYFUNCTION("""COMPUTED_VALUE"""),"KEFF-15")</f>
        <v>KEFF-15</v>
      </c>
      <c r="G1403" s="213"/>
      <c r="H1403" s="213" t="str">
        <f>IFERROR(__xludf.DUMMYFUNCTION("""COMPUTED_VALUE"""),"MANUAL DE USO POR CADA EQUIPO DE COLOCACIÓN DE ACCESORIOS")</f>
        <v>MANUAL DE USO POR CADA EQUIPO DE COLOCACIÓN DE ACCESORIOS</v>
      </c>
      <c r="I140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 Descripción de las partes y accesorios de cada equipo de colocación de accesorios.
-  Descripción de las principales tareas que se pueden realizar con cada equipo de colocación de accesorios.
- Descripción grafica de la instalación, uso y co"&amp;"nservación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colocación de accesorios.
-  Descripción de las principales tareas que se pueden realizar con cada equipo de colocación de accesorios.
- Descripción grafica de la instalación, uso y conservación de cada equipo.
- Descripción de los errores comunes que se presentan en el uso y la forma de solucionarlos.
- Descripción de las normas de seguridad que se deben tener en cuenta durante el uso de cada equipo.</v>
      </c>
      <c r="J1403" s="213">
        <f>IFERROR(__xludf.DUMMYFUNCTION("""COMPUTED_VALUE"""),3.0)</f>
        <v>3</v>
      </c>
      <c r="K1403" s="213" t="str">
        <f>IFERROR(__xludf.DUMMYFUNCTION("""COMPUTED_VALUE"""),"170 DÍAS CALENDARIO")</f>
        <v>170 DÍAS CALENDARIO</v>
      </c>
      <c r="L1403" s="213" t="str">
        <f>IFERROR(__xludf.DUMMYFUNCTION("""COMPUTED_VALUE"""),"")</f>
        <v/>
      </c>
      <c r="M1403" s="213">
        <f>IFERROR(__xludf.DUMMYFUNCTION("""COMPUTED_VALUE"""),1.0)</f>
        <v>1</v>
      </c>
      <c r="N1403" s="213">
        <f>IFERROR(__xludf.DUMMYFUNCTION("""COMPUTED_VALUE"""),6.0)</f>
        <v>6</v>
      </c>
      <c r="O1403" s="213">
        <f>IFERROR(__xludf.DUMMYFUNCTION("""COMPUTED_VALUE"""),6.0)</f>
        <v>6</v>
      </c>
      <c r="P1403" s="213"/>
      <c r="Q1403" s="213"/>
      <c r="R1403" s="213"/>
      <c r="S1403" s="213"/>
      <c r="T1403" s="213"/>
      <c r="U1403" s="213"/>
      <c r="V1403" s="213"/>
      <c r="W1403" s="213"/>
      <c r="X1403" s="213"/>
      <c r="Y1403" s="213"/>
      <c r="Z1403" s="213"/>
      <c r="AA1403" s="213"/>
      <c r="AB1403" s="213"/>
      <c r="AC1403" s="213"/>
      <c r="AD1403" s="213"/>
      <c r="AE1403" s="213"/>
      <c r="AF1403" s="213"/>
      <c r="AG1403" s="213"/>
      <c r="AH1403" s="213"/>
      <c r="AI1403" s="213"/>
      <c r="AJ1403" s="213"/>
      <c r="AK1403" s="213"/>
      <c r="AL1403" s="213"/>
      <c r="AM1403" s="213"/>
      <c r="AN1403" s="213"/>
      <c r="AO1403" s="213"/>
      <c r="AP1403" s="213"/>
      <c r="AQ1403" s="213"/>
      <c r="AR1403" s="213"/>
      <c r="AS1403" s="213"/>
      <c r="AT1403" s="213"/>
      <c r="AU1403" s="213"/>
      <c r="AV1403" s="213"/>
      <c r="AW1403" s="213"/>
      <c r="AX1403" s="213"/>
      <c r="AY1403" s="213"/>
      <c r="AZ1403" s="213"/>
      <c r="BA1403" s="213"/>
      <c r="BB1403" s="213"/>
      <c r="BC1403" s="213"/>
      <c r="BD1403" s="213"/>
    </row>
    <row r="1404">
      <c r="A1404" s="213">
        <f>IFERROR(__xludf.DUMMYFUNCTION("""COMPUTED_VALUE"""),1895.0)</f>
        <v>1895</v>
      </c>
      <c r="B1404" s="213" t="str">
        <f>IFERROR(__xludf.DUMMYFUNCTION("""COMPUTED_VALUE"""),"GUILLERMO E. BILLINGHURST ")</f>
        <v>GUILLERMO E. BILLINGHURST </v>
      </c>
      <c r="C1404" s="213" t="str">
        <f>IFERROR(__xludf.DUMMYFUNCTION("""COMPUTED_VALUE"""),"TALLER SFT DE EBANISTERÍA")</f>
        <v>TALLER SFT DE EBANISTERÍA</v>
      </c>
      <c r="D1404" s="213" t="str">
        <f>IFERROR(__xludf.DUMMYFUNCTION("""COMPUTED_VALUE"""),"PEDAGOGICO")</f>
        <v>PEDAGOGICO</v>
      </c>
      <c r="E1404" s="213" t="str">
        <f>IFERROR(__xludf.DUMMYFUNCTION("""COMPUTED_VALUE"""),"MAT-311")</f>
        <v>MAT-311</v>
      </c>
      <c r="F1404" s="213" t="str">
        <f>IFERROR(__xludf.DUMMYFUNCTION("""COMPUTED_VALUE"""),"KEFF-39")</f>
        <v>KEFF-39</v>
      </c>
      <c r="G1404" s="213"/>
      <c r="H1404" s="213" t="str">
        <f>IFERROR(__xludf.DUMMYFUNCTION("""COMPUTED_VALUE"""),"MANUAL DE USO POR CADA EQUIPO DE COLOCACIÓN DE ACCESORIOS")</f>
        <v>MANUAL DE USO POR CADA EQUIPO DE COLOCACIÓN DE ACCESORIOS</v>
      </c>
      <c r="I140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las partes y accesorios de cada equipo de colocación de accesorios.
.  Descripción de las principales tareas que se pueden realizar con cada equipo de colocación de accesorios.
-          Descripción grafica de la instalación, uso y "&amp;"conservación de cada equipo.
-          Descripción de los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colocación de accesorios.
.  Descripción de las principales tareas que se pueden realizar con cada equipo de colocación de accesorios.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04" s="213">
        <f>IFERROR(__xludf.DUMMYFUNCTION("""COMPUTED_VALUE"""),3.0)</f>
        <v>3</v>
      </c>
      <c r="K1404" s="213" t="str">
        <f>IFERROR(__xludf.DUMMYFUNCTION("""COMPUTED_VALUE"""),"170 DÍAS CALENDARIO")</f>
        <v>170 DÍAS CALENDARIO</v>
      </c>
      <c r="L1404" s="213" t="str">
        <f>IFERROR(__xludf.DUMMYFUNCTION("""COMPUTED_VALUE"""),"")</f>
        <v/>
      </c>
      <c r="M1404" s="213">
        <f>IFERROR(__xludf.DUMMYFUNCTION("""COMPUTED_VALUE"""),1.0)</f>
        <v>1</v>
      </c>
      <c r="N1404" s="213">
        <f>IFERROR(__xludf.DUMMYFUNCTION("""COMPUTED_VALUE"""),6.0)</f>
        <v>6</v>
      </c>
      <c r="O1404" s="213">
        <f>IFERROR(__xludf.DUMMYFUNCTION("""COMPUTED_VALUE"""),6.0)</f>
        <v>6</v>
      </c>
      <c r="P1404" s="213"/>
      <c r="Q1404" s="213"/>
      <c r="R1404" s="213"/>
      <c r="S1404" s="213"/>
      <c r="T1404" s="213"/>
      <c r="U1404" s="213"/>
      <c r="V1404" s="213"/>
      <c r="W1404" s="213"/>
      <c r="X1404" s="213"/>
      <c r="Y1404" s="213"/>
      <c r="Z1404" s="213"/>
      <c r="AA1404" s="213"/>
      <c r="AB1404" s="213"/>
      <c r="AC1404" s="213"/>
      <c r="AD1404" s="213"/>
      <c r="AE1404" s="213"/>
      <c r="AF1404" s="213"/>
      <c r="AG1404" s="213"/>
      <c r="AH1404" s="213"/>
      <c r="AI1404" s="213"/>
      <c r="AJ1404" s="213"/>
      <c r="AK1404" s="213"/>
      <c r="AL1404" s="213"/>
      <c r="AM1404" s="213"/>
      <c r="AN1404" s="213"/>
      <c r="AO1404" s="213"/>
      <c r="AP1404" s="213"/>
      <c r="AQ1404" s="213"/>
      <c r="AR1404" s="213"/>
      <c r="AS1404" s="213"/>
      <c r="AT1404" s="213"/>
      <c r="AU1404" s="213"/>
      <c r="AV1404" s="213"/>
      <c r="AW1404" s="213"/>
      <c r="AX1404" s="213"/>
      <c r="AY1404" s="213"/>
      <c r="AZ1404" s="213"/>
      <c r="BA1404" s="213"/>
      <c r="BB1404" s="213"/>
      <c r="BC1404" s="213"/>
      <c r="BD1404" s="213"/>
    </row>
    <row r="1405">
      <c r="A1405" s="213">
        <f>IFERROR(__xludf.DUMMYFUNCTION("""COMPUTED_VALUE"""),2676.0)</f>
        <v>2676</v>
      </c>
      <c r="B1405" s="213" t="str">
        <f>IFERROR(__xludf.DUMMYFUNCTION("""COMPUTED_VALUE"""),"MANUEL ANTONIO MESONES MURO")</f>
        <v>MANUEL ANTONIO MESONES MURO</v>
      </c>
      <c r="C1405" s="213" t="str">
        <f>IFERROR(__xludf.DUMMYFUNCTION("""COMPUTED_VALUE"""),"TALLER SFT DE EBANISTERÍA")</f>
        <v>TALLER SFT DE EBANISTERÍA</v>
      </c>
      <c r="D1405" s="213" t="str">
        <f>IFERROR(__xludf.DUMMYFUNCTION("""COMPUTED_VALUE"""),"PEDAGOGICO")</f>
        <v>PEDAGOGICO</v>
      </c>
      <c r="E1405" s="213" t="str">
        <f>IFERROR(__xludf.DUMMYFUNCTION("""COMPUTED_VALUE"""),"MAT-311")</f>
        <v>MAT-311</v>
      </c>
      <c r="F1405" s="213" t="str">
        <f>IFERROR(__xludf.DUMMYFUNCTION("""COMPUTED_VALUE"""),"KEFF-39")</f>
        <v>KEFF-39</v>
      </c>
      <c r="G1405" s="213"/>
      <c r="H1405" s="213" t="str">
        <f>IFERROR(__xludf.DUMMYFUNCTION("""COMPUTED_VALUE"""),"MANUAL DE USO POR CADA EQUIPO DE COLOCACIÓN DE ACCESORIOS")</f>
        <v>MANUAL DE USO POR CADA EQUIPO DE COLOCACIÓN DE ACCESORIOS</v>
      </c>
      <c r="I140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las partes y accesorios de cada equipo de colocación de accesorios.
.  Descripción de las principales tareas que se pueden realizar con cada equipo de colocación de accesorios.
-          Descripción grafica de la instalación, uso y "&amp;"conservación de cada equipo.
-          Descripción de los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colocación de accesorios.
.  Descripción de las principales tareas que se pueden realizar con cada equipo de colocación de accesorios.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05" s="213">
        <f>IFERROR(__xludf.DUMMYFUNCTION("""COMPUTED_VALUE"""),3.0)</f>
        <v>3</v>
      </c>
      <c r="K1405" s="213" t="str">
        <f>IFERROR(__xludf.DUMMYFUNCTION("""COMPUTED_VALUE"""),"170 DÍAS CALENDARIO")</f>
        <v>170 DÍAS CALENDARIO</v>
      </c>
      <c r="L1405" s="213" t="str">
        <f>IFERROR(__xludf.DUMMYFUNCTION("""COMPUTED_VALUE"""),"")</f>
        <v/>
      </c>
      <c r="M1405" s="213">
        <f>IFERROR(__xludf.DUMMYFUNCTION("""COMPUTED_VALUE"""),1.0)</f>
        <v>1</v>
      </c>
      <c r="N1405" s="213">
        <f>IFERROR(__xludf.DUMMYFUNCTION("""COMPUTED_VALUE"""),6.0)</f>
        <v>6</v>
      </c>
      <c r="O1405" s="213">
        <f>IFERROR(__xludf.DUMMYFUNCTION("""COMPUTED_VALUE"""),6.0)</f>
        <v>6</v>
      </c>
      <c r="P1405" s="213"/>
      <c r="Q1405" s="213"/>
      <c r="R1405" s="213"/>
      <c r="S1405" s="213"/>
      <c r="T1405" s="213"/>
      <c r="U1405" s="213"/>
      <c r="V1405" s="213"/>
      <c r="W1405" s="213"/>
      <c r="X1405" s="213"/>
      <c r="Y1405" s="213"/>
      <c r="Z1405" s="213"/>
      <c r="AA1405" s="213"/>
      <c r="AB1405" s="213"/>
      <c r="AC1405" s="213"/>
      <c r="AD1405" s="213"/>
      <c r="AE1405" s="213"/>
      <c r="AF1405" s="213"/>
      <c r="AG1405" s="213"/>
      <c r="AH1405" s="213"/>
      <c r="AI1405" s="213"/>
      <c r="AJ1405" s="213"/>
      <c r="AK1405" s="213"/>
      <c r="AL1405" s="213"/>
      <c r="AM1405" s="213"/>
      <c r="AN1405" s="213"/>
      <c r="AO1405" s="213"/>
      <c r="AP1405" s="213"/>
      <c r="AQ1405" s="213"/>
      <c r="AR1405" s="213"/>
      <c r="AS1405" s="213"/>
      <c r="AT1405" s="213"/>
      <c r="AU1405" s="213"/>
      <c r="AV1405" s="213"/>
      <c r="AW1405" s="213"/>
      <c r="AX1405" s="213"/>
      <c r="AY1405" s="213"/>
      <c r="AZ1405" s="213"/>
      <c r="BA1405" s="213"/>
      <c r="BB1405" s="213"/>
      <c r="BC1405" s="213"/>
      <c r="BD1405" s="213"/>
    </row>
    <row r="1406">
      <c r="A1406" s="213">
        <f>IFERROR(__xludf.DUMMYFUNCTION("""COMPUTED_VALUE"""),1887.0)</f>
        <v>1887</v>
      </c>
      <c r="B1406" s="213" t="str">
        <f>IFERROR(__xludf.DUMMYFUNCTION("""COMPUTED_VALUE"""),"GUILLERMO E. BILLINGHURST ")</f>
        <v>GUILLERMO E. BILLINGHURST </v>
      </c>
      <c r="C1406" s="213" t="str">
        <f>IFERROR(__xludf.DUMMYFUNCTION("""COMPUTED_VALUE"""),"TALLER SFT DE EBANISTERÍA")</f>
        <v>TALLER SFT DE EBANISTERÍA</v>
      </c>
      <c r="D1406" s="213" t="str">
        <f>IFERROR(__xludf.DUMMYFUNCTION("""COMPUTED_VALUE"""),"PEDAGOGICO")</f>
        <v>PEDAGOGICO</v>
      </c>
      <c r="E1406" s="213" t="str">
        <f>IFERROR(__xludf.DUMMYFUNCTION("""COMPUTED_VALUE"""),"MAT-312")</f>
        <v>MAT-312</v>
      </c>
      <c r="F1406" s="213" t="str">
        <f>IFERROR(__xludf.DUMMYFUNCTION("""COMPUTED_VALUE"""),"KEFF-33")</f>
        <v>KEFF-33</v>
      </c>
      <c r="G1406" s="213"/>
      <c r="H1406" s="213" t="str">
        <f>IFERROR(__xludf.DUMMYFUNCTION("""COMPUTED_VALUE"""),"MANUAL DE USO POR CADA EQUIPO DE CONSTRUCCIÓN CON TABLEROS PREFABRICADOS")</f>
        <v>MANUAL DE USO POR CADA EQUIPO DE CONSTRUCCIÓN CON TABLEROS PREFABRICADOS</v>
      </c>
      <c r="I140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las partes y accesorios de cada equipo de construcción con tableros prefabricados.
.  Descripción de las principales tareas que se pueden realizar con cada equipo de construcción con tableros prefabricados.
-          Descripción gra"&amp;"fica de la instalación, uso y conservación de cada equipo.
-          Descripción de los errores comunes que se presentan en el uso y la forma de solucionarlos.
-          Descripción de las normas de seguridad que se tienen que se deben tener en cuenta d"&amp;"urante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construcción con tableros prefabricados.
.  Descripción de las principales tareas que se pueden realizar con cada equipo de construcción con tableros prefabricados.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06" s="213">
        <f>IFERROR(__xludf.DUMMYFUNCTION("""COMPUTED_VALUE"""),3.0)</f>
        <v>3</v>
      </c>
      <c r="K1406" s="213" t="str">
        <f>IFERROR(__xludf.DUMMYFUNCTION("""COMPUTED_VALUE"""),"170 DÍAS CALENDARIO")</f>
        <v>170 DÍAS CALENDARIO</v>
      </c>
      <c r="L1406" s="213" t="str">
        <f>IFERROR(__xludf.DUMMYFUNCTION("""COMPUTED_VALUE"""),"")</f>
        <v/>
      </c>
      <c r="M1406" s="213">
        <f>IFERROR(__xludf.DUMMYFUNCTION("""COMPUTED_VALUE"""),1.0)</f>
        <v>1</v>
      </c>
      <c r="N1406" s="213">
        <f>IFERROR(__xludf.DUMMYFUNCTION("""COMPUTED_VALUE"""),6.0)</f>
        <v>6</v>
      </c>
      <c r="O1406" s="213">
        <f>IFERROR(__xludf.DUMMYFUNCTION("""COMPUTED_VALUE"""),6.0)</f>
        <v>6</v>
      </c>
      <c r="P1406" s="213"/>
      <c r="Q1406" s="213"/>
      <c r="R1406" s="213"/>
      <c r="S1406" s="213"/>
      <c r="T1406" s="213"/>
      <c r="U1406" s="213"/>
      <c r="V1406" s="213"/>
      <c r="W1406" s="213"/>
      <c r="X1406" s="213"/>
      <c r="Y1406" s="213"/>
      <c r="Z1406" s="213"/>
      <c r="AA1406" s="213"/>
      <c r="AB1406" s="213"/>
      <c r="AC1406" s="213"/>
      <c r="AD1406" s="213"/>
      <c r="AE1406" s="213"/>
      <c r="AF1406" s="213"/>
      <c r="AG1406" s="213"/>
      <c r="AH1406" s="213"/>
      <c r="AI1406" s="213"/>
      <c r="AJ1406" s="213"/>
      <c r="AK1406" s="213"/>
      <c r="AL1406" s="213"/>
      <c r="AM1406" s="213"/>
      <c r="AN1406" s="213"/>
      <c r="AO1406" s="213"/>
      <c r="AP1406" s="213"/>
      <c r="AQ1406" s="213"/>
      <c r="AR1406" s="213"/>
      <c r="AS1406" s="213"/>
      <c r="AT1406" s="213"/>
      <c r="AU1406" s="213"/>
      <c r="AV1406" s="213"/>
      <c r="AW1406" s="213"/>
      <c r="AX1406" s="213"/>
      <c r="AY1406" s="213"/>
      <c r="AZ1406" s="213"/>
      <c r="BA1406" s="213"/>
      <c r="BB1406" s="213"/>
      <c r="BC1406" s="213"/>
      <c r="BD1406" s="213"/>
    </row>
    <row r="1407">
      <c r="A1407" s="213">
        <f>IFERROR(__xludf.DUMMYFUNCTION("""COMPUTED_VALUE"""),2668.0)</f>
        <v>2668</v>
      </c>
      <c r="B1407" s="213" t="str">
        <f>IFERROR(__xludf.DUMMYFUNCTION("""COMPUTED_VALUE"""),"MANUEL ANTONIO MESONES MURO")</f>
        <v>MANUEL ANTONIO MESONES MURO</v>
      </c>
      <c r="C1407" s="213" t="str">
        <f>IFERROR(__xludf.DUMMYFUNCTION("""COMPUTED_VALUE"""),"TALLER SFT DE EBANISTERÍA")</f>
        <v>TALLER SFT DE EBANISTERÍA</v>
      </c>
      <c r="D1407" s="213" t="str">
        <f>IFERROR(__xludf.DUMMYFUNCTION("""COMPUTED_VALUE"""),"PEDAGOGICO")</f>
        <v>PEDAGOGICO</v>
      </c>
      <c r="E1407" s="213" t="str">
        <f>IFERROR(__xludf.DUMMYFUNCTION("""COMPUTED_VALUE"""),"MAT-312")</f>
        <v>MAT-312</v>
      </c>
      <c r="F1407" s="213" t="str">
        <f>IFERROR(__xludf.DUMMYFUNCTION("""COMPUTED_VALUE"""),"KEFF-33")</f>
        <v>KEFF-33</v>
      </c>
      <c r="G1407" s="213"/>
      <c r="H1407" s="213" t="str">
        <f>IFERROR(__xludf.DUMMYFUNCTION("""COMPUTED_VALUE"""),"MANUAL DE USO POR CADA EQUIPO DE CONSTRUCCIÓN CON TABLEROS PREFABRICADOS")</f>
        <v>MANUAL DE USO POR CADA EQUIPO DE CONSTRUCCIÓN CON TABLEROS PREFABRICADOS</v>
      </c>
      <c r="I140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Descripción de las partes y accesorios de cada equipo de construcción con tableros prefabricados.
.  Descripción de las principales tareas que se pueden realizar con cada equipo de construcción con tableros prefabricados.
-          Descripción gra"&amp;"fica de la instalación, uso y conservación de cada equipo.
-          Descripción de los errores comunes que se presentan en el uso y la forma de solucionarlos.
-          Descripción de las normas de seguridad que se tienen que se deben tener en cuenta d"&amp;"urante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construcción con tableros prefabricados.
.  Descripción de las principales tareas que se pueden realizar con cada equipo de construcción con tableros prefabricados.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07" s="213">
        <f>IFERROR(__xludf.DUMMYFUNCTION("""COMPUTED_VALUE"""),3.0)</f>
        <v>3</v>
      </c>
      <c r="K1407" s="213" t="str">
        <f>IFERROR(__xludf.DUMMYFUNCTION("""COMPUTED_VALUE"""),"170 DÍAS CALENDARIO")</f>
        <v>170 DÍAS CALENDARIO</v>
      </c>
      <c r="L1407" s="213" t="str">
        <f>IFERROR(__xludf.DUMMYFUNCTION("""COMPUTED_VALUE"""),"")</f>
        <v/>
      </c>
      <c r="M1407" s="213">
        <f>IFERROR(__xludf.DUMMYFUNCTION("""COMPUTED_VALUE"""),1.0)</f>
        <v>1</v>
      </c>
      <c r="N1407" s="213">
        <f>IFERROR(__xludf.DUMMYFUNCTION("""COMPUTED_VALUE"""),6.0)</f>
        <v>6</v>
      </c>
      <c r="O1407" s="213">
        <f>IFERROR(__xludf.DUMMYFUNCTION("""COMPUTED_VALUE"""),6.0)</f>
        <v>6</v>
      </c>
      <c r="P1407" s="213"/>
      <c r="Q1407" s="213"/>
      <c r="R1407" s="213"/>
      <c r="S1407" s="213"/>
      <c r="T1407" s="213"/>
      <c r="U1407" s="213"/>
      <c r="V1407" s="213"/>
      <c r="W1407" s="213"/>
      <c r="X1407" s="213"/>
      <c r="Y1407" s="213"/>
      <c r="Z1407" s="213"/>
      <c r="AA1407" s="213"/>
      <c r="AB1407" s="213"/>
      <c r="AC1407" s="213"/>
      <c r="AD1407" s="213"/>
      <c r="AE1407" s="213"/>
      <c r="AF1407" s="213"/>
      <c r="AG1407" s="213"/>
      <c r="AH1407" s="213"/>
      <c r="AI1407" s="213"/>
      <c r="AJ1407" s="213"/>
      <c r="AK1407" s="213"/>
      <c r="AL1407" s="213"/>
      <c r="AM1407" s="213"/>
      <c r="AN1407" s="213"/>
      <c r="AO1407" s="213"/>
      <c r="AP1407" s="213"/>
      <c r="AQ1407" s="213"/>
      <c r="AR1407" s="213"/>
      <c r="AS1407" s="213"/>
      <c r="AT1407" s="213"/>
      <c r="AU1407" s="213"/>
      <c r="AV1407" s="213"/>
      <c r="AW1407" s="213"/>
      <c r="AX1407" s="213"/>
      <c r="AY1407" s="213"/>
      <c r="AZ1407" s="213"/>
      <c r="BA1407" s="213"/>
      <c r="BB1407" s="213"/>
      <c r="BC1407" s="213"/>
      <c r="BD1407" s="213"/>
    </row>
    <row r="1408">
      <c r="A1408" s="213">
        <f>IFERROR(__xludf.DUMMYFUNCTION("""COMPUTED_VALUE"""),1883.0)</f>
        <v>1883</v>
      </c>
      <c r="B1408" s="213" t="str">
        <f>IFERROR(__xludf.DUMMYFUNCTION("""COMPUTED_VALUE"""),"GUILLERMO E. BILLINGHURST ")</f>
        <v>GUILLERMO E. BILLINGHURST </v>
      </c>
      <c r="C1408" s="213" t="str">
        <f>IFERROR(__xludf.DUMMYFUNCTION("""COMPUTED_VALUE"""),"TALLER SFT DE EBANISTERÍA")</f>
        <v>TALLER SFT DE EBANISTERÍA</v>
      </c>
      <c r="D1408" s="213" t="str">
        <f>IFERROR(__xludf.DUMMYFUNCTION("""COMPUTED_VALUE"""),"PEDAGOGICO")</f>
        <v>PEDAGOGICO</v>
      </c>
      <c r="E1408" s="213" t="str">
        <f>IFERROR(__xludf.DUMMYFUNCTION("""COMPUTED_VALUE"""),"MAT-313")</f>
        <v>MAT-313</v>
      </c>
      <c r="F1408" s="213" t="str">
        <f>IFERROR(__xludf.DUMMYFUNCTION("""COMPUTED_VALUE"""),"KEFF-30")</f>
        <v>KEFF-30</v>
      </c>
      <c r="G1408" s="213"/>
      <c r="H1408" s="213" t="str">
        <f>IFERROR(__xludf.DUMMYFUNCTION("""COMPUTED_VALUE"""),"MANUAL DE USO POR CADA EQUIPO DE CONSTRUCCIÓN DE ESTRUCTURAS DE MADERA")</f>
        <v>MANUAL DE USO POR CADA EQUIPO DE CONSTRUCCIÓN DE ESTRUCTURAS DE MADERA</v>
      </c>
      <c r="I140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21cm x 29,7 cm
·       Tipo de Encuadernación: caballete con 2 grapas cuando sea menos de 80 páginas y encolado cuando sea más de 80 páginas.
Contenido que present"&amp;"a:
.  Descripción de las partes y accesorios de cada equipo de construcción de estructuras de madera.
.  Descripción de las principales tareas que se pueden realizar con cada equipo de construcción de estructuras de madera
-          Descripción grafica d"&amp;"e la instalación, uso y conservación de cada equipo.
-          Descripción de los errores comunes que se presentan en el uso y la forma de solucionarlos.
-          Descripción de las normas de seguridad que se tienen que se deben tener en cuenta durante"&amp;"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21cm x 29,7 cm
·       Tipo de Encuadernación: caballete con 2 grapas cuando sea menos de 80 páginas y encolado cuando sea más de 80 páginas.
Contenido que presenta:
.  Descripción de las partes y accesorios de cada equipo de construcción de estructuras de madera.
.  Descripción de las principales tareas que se pueden realizar con cada equipo de construcción de estructuras de madera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08" s="213">
        <f>IFERROR(__xludf.DUMMYFUNCTION("""COMPUTED_VALUE"""),3.0)</f>
        <v>3</v>
      </c>
      <c r="K1408" s="213" t="str">
        <f>IFERROR(__xludf.DUMMYFUNCTION("""COMPUTED_VALUE"""),"170 DÍAS CALENDARIO")</f>
        <v>170 DÍAS CALENDARIO</v>
      </c>
      <c r="L1408" s="213" t="str">
        <f>IFERROR(__xludf.DUMMYFUNCTION("""COMPUTED_VALUE"""),"")</f>
        <v/>
      </c>
      <c r="M1408" s="213">
        <f>IFERROR(__xludf.DUMMYFUNCTION("""COMPUTED_VALUE"""),1.0)</f>
        <v>1</v>
      </c>
      <c r="N1408" s="213">
        <f>IFERROR(__xludf.DUMMYFUNCTION("""COMPUTED_VALUE"""),6.0)</f>
        <v>6</v>
      </c>
      <c r="O1408" s="213">
        <f>IFERROR(__xludf.DUMMYFUNCTION("""COMPUTED_VALUE"""),6.0)</f>
        <v>6</v>
      </c>
      <c r="P1408" s="213"/>
      <c r="Q1408" s="213"/>
      <c r="R1408" s="213"/>
      <c r="S1408" s="213"/>
      <c r="T1408" s="213"/>
      <c r="U1408" s="213"/>
      <c r="V1408" s="213"/>
      <c r="W1408" s="213"/>
      <c r="X1408" s="213"/>
      <c r="Y1408" s="213"/>
      <c r="Z1408" s="213"/>
      <c r="AA1408" s="213"/>
      <c r="AB1408" s="213"/>
      <c r="AC1408" s="213"/>
      <c r="AD1408" s="213"/>
      <c r="AE1408" s="213"/>
      <c r="AF1408" s="213"/>
      <c r="AG1408" s="213"/>
      <c r="AH1408" s="213"/>
      <c r="AI1408" s="213"/>
      <c r="AJ1408" s="213"/>
      <c r="AK1408" s="213"/>
      <c r="AL1408" s="213"/>
      <c r="AM1408" s="213"/>
      <c r="AN1408" s="213"/>
      <c r="AO1408" s="213"/>
      <c r="AP1408" s="213"/>
      <c r="AQ1408" s="213"/>
      <c r="AR1408" s="213"/>
      <c r="AS1408" s="213"/>
      <c r="AT1408" s="213"/>
      <c r="AU1408" s="213"/>
      <c r="AV1408" s="213"/>
      <c r="AW1408" s="213"/>
      <c r="AX1408" s="213"/>
      <c r="AY1408" s="213"/>
      <c r="AZ1408" s="213"/>
      <c r="BA1408" s="213"/>
      <c r="BB1408" s="213"/>
      <c r="BC1408" s="213"/>
      <c r="BD1408" s="213"/>
    </row>
    <row r="1409">
      <c r="A1409" s="213">
        <f>IFERROR(__xludf.DUMMYFUNCTION("""COMPUTED_VALUE"""),2664.0)</f>
        <v>2664</v>
      </c>
      <c r="B1409" s="213" t="str">
        <f>IFERROR(__xludf.DUMMYFUNCTION("""COMPUTED_VALUE"""),"MANUEL ANTONIO MESONES MURO")</f>
        <v>MANUEL ANTONIO MESONES MURO</v>
      </c>
      <c r="C1409" s="213" t="str">
        <f>IFERROR(__xludf.DUMMYFUNCTION("""COMPUTED_VALUE"""),"TALLER SFT DE EBANISTERÍA")</f>
        <v>TALLER SFT DE EBANISTERÍA</v>
      </c>
      <c r="D1409" s="213" t="str">
        <f>IFERROR(__xludf.DUMMYFUNCTION("""COMPUTED_VALUE"""),"PEDAGOGICO")</f>
        <v>PEDAGOGICO</v>
      </c>
      <c r="E1409" s="213" t="str">
        <f>IFERROR(__xludf.DUMMYFUNCTION("""COMPUTED_VALUE"""),"MAT-313")</f>
        <v>MAT-313</v>
      </c>
      <c r="F1409" s="213" t="str">
        <f>IFERROR(__xludf.DUMMYFUNCTION("""COMPUTED_VALUE"""),"KEFF-30")</f>
        <v>KEFF-30</v>
      </c>
      <c r="G1409" s="213"/>
      <c r="H1409" s="213" t="str">
        <f>IFERROR(__xludf.DUMMYFUNCTION("""COMPUTED_VALUE"""),"MANUAL DE USO POR CADA EQUIPO DE CONSTRUCCIÓN DE ESTRUCTURAS DE MADERA")</f>
        <v>MANUAL DE USO POR CADA EQUIPO DE CONSTRUCCIÓN DE ESTRUCTURAS DE MADERA</v>
      </c>
      <c r="I140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21cm x 29,7 cm
·       Tipo de Encuadernación: caballete con 2 grapas cuando sea menos de 80 páginas y encolado cuando sea más de 80 páginas.
Contenido que present"&amp;"a:
.  Descripción de las partes y accesorios de cada equipo de construcción de estructuras de madera.
.  Descripción de las principales tareas que se pueden realizar con cada equipo de construcción de estructuras de madera
-          Descripción grafica d"&amp;"e la instalación, uso y conservación de cada equipo.
-          Descripción de los errores comunes que se presentan en el uso y la forma de solucionarlos.
-          Descripción de las normas de seguridad que se tienen que se deben tener en cuenta durante"&amp;"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21cm x 29,7 cm
·       Tipo de Encuadernación: caballete con 2 grapas cuando sea menos de 80 páginas y encolado cuando sea más de 80 páginas.
Contenido que presenta:
.  Descripción de las partes y accesorios de cada equipo de construcción de estructuras de madera.
.  Descripción de las principales tareas que se pueden realizar con cada equipo de construcción de estructuras de madera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09" s="213">
        <f>IFERROR(__xludf.DUMMYFUNCTION("""COMPUTED_VALUE"""),3.0)</f>
        <v>3</v>
      </c>
      <c r="K1409" s="213" t="str">
        <f>IFERROR(__xludf.DUMMYFUNCTION("""COMPUTED_VALUE"""),"170 DÍAS CALENDARIO")</f>
        <v>170 DÍAS CALENDARIO</v>
      </c>
      <c r="L1409" s="213" t="str">
        <f>IFERROR(__xludf.DUMMYFUNCTION("""COMPUTED_VALUE"""),"")</f>
        <v/>
      </c>
      <c r="M1409" s="213">
        <f>IFERROR(__xludf.DUMMYFUNCTION("""COMPUTED_VALUE"""),1.0)</f>
        <v>1</v>
      </c>
      <c r="N1409" s="213">
        <f>IFERROR(__xludf.DUMMYFUNCTION("""COMPUTED_VALUE"""),6.0)</f>
        <v>6</v>
      </c>
      <c r="O1409" s="213">
        <f>IFERROR(__xludf.DUMMYFUNCTION("""COMPUTED_VALUE"""),6.0)</f>
        <v>6</v>
      </c>
      <c r="P1409" s="213"/>
      <c r="Q1409" s="213"/>
      <c r="R1409" s="213"/>
      <c r="S1409" s="213"/>
      <c r="T1409" s="213"/>
      <c r="U1409" s="213"/>
      <c r="V1409" s="213"/>
      <c r="W1409" s="213"/>
      <c r="X1409" s="213"/>
      <c r="Y1409" s="213"/>
      <c r="Z1409" s="213"/>
      <c r="AA1409" s="213"/>
      <c r="AB1409" s="213"/>
      <c r="AC1409" s="213"/>
      <c r="AD1409" s="213"/>
      <c r="AE1409" s="213"/>
      <c r="AF1409" s="213"/>
      <c r="AG1409" s="213"/>
      <c r="AH1409" s="213"/>
      <c r="AI1409" s="213"/>
      <c r="AJ1409" s="213"/>
      <c r="AK1409" s="213"/>
      <c r="AL1409" s="213"/>
      <c r="AM1409" s="213"/>
      <c r="AN1409" s="213"/>
      <c r="AO1409" s="213"/>
      <c r="AP1409" s="213"/>
      <c r="AQ1409" s="213"/>
      <c r="AR1409" s="213"/>
      <c r="AS1409" s="213"/>
      <c r="AT1409" s="213"/>
      <c r="AU1409" s="213"/>
      <c r="AV1409" s="213"/>
      <c r="AW1409" s="213"/>
      <c r="AX1409" s="213"/>
      <c r="AY1409" s="213"/>
      <c r="AZ1409" s="213"/>
      <c r="BA1409" s="213"/>
      <c r="BB1409" s="213"/>
      <c r="BC1409" s="213"/>
      <c r="BD1409" s="213"/>
    </row>
    <row r="1410">
      <c r="A1410" s="213">
        <f>IFERROR(__xludf.DUMMYFUNCTION("""COMPUTED_VALUE"""),670.0)</f>
        <v>670</v>
      </c>
      <c r="B1410" s="213" t="str">
        <f>IFERROR(__xludf.DUMMYFUNCTION("""COMPUTED_VALUE"""),"6049 RICARDO PALMA")</f>
        <v>6049 RICARDO PALMA</v>
      </c>
      <c r="C1410" s="213" t="str">
        <f>IFERROR(__xludf.DUMMYFUNCTION("""COMPUTED_VALUE"""),"TALLER SFT DE ELECTRÓNICA")</f>
        <v>TALLER SFT DE ELECTRÓNICA</v>
      </c>
      <c r="D1410" s="213" t="str">
        <f>IFERROR(__xludf.DUMMYFUNCTION("""COMPUTED_VALUE"""),"PEDAGOGICO")</f>
        <v>PEDAGOGICO</v>
      </c>
      <c r="E1410" s="213" t="str">
        <f>IFERROR(__xludf.DUMMYFUNCTION("""COMPUTED_VALUE"""),"MAT-331")</f>
        <v>MAT-331</v>
      </c>
      <c r="F1410" s="213" t="str">
        <f>IFERROR(__xludf.DUMMYFUNCTION("""COMPUTED_VALUE"""),"KEFF-56")</f>
        <v>KEFF-56</v>
      </c>
      <c r="G1410" s="213"/>
      <c r="H1410" s="213" t="str">
        <f>IFERROR(__xludf.DUMMYFUNCTION("""COMPUTED_VALUE"""),"MANUAL DE USO POR CADA EQUIPO DE ELECTRICIDAD (OSCILOSCOPIO, FRECUENCÍMETRO, ETC.)")</f>
        <v>MANUAL DE USO POR CADA EQUIPO DE ELECTRICIDAD (OSCILOSCOPIO, FRECUENCÍMETRO, ETC.)</v>
      </c>
      <c r="I141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 Descripción de las principales tareas que se pueden realizar con cada equipo
- Descripción grafica de la instalación, uso y conservación de cada equipo.
- Descripción de los errores comunes que se presentan en el uso y la"&amp;"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10" s="213">
        <f>IFERROR(__xludf.DUMMYFUNCTION("""COMPUTED_VALUE"""),3.0)</f>
        <v>3</v>
      </c>
      <c r="K1410" s="213" t="str">
        <f>IFERROR(__xludf.DUMMYFUNCTION("""COMPUTED_VALUE"""),"170 DÍAS CALENDARIO")</f>
        <v>170 DÍAS CALENDARIO</v>
      </c>
      <c r="L1410" s="213" t="str">
        <f>IFERROR(__xludf.DUMMYFUNCTION("""COMPUTED_VALUE"""),"")</f>
        <v/>
      </c>
      <c r="M1410" s="213">
        <f>IFERROR(__xludf.DUMMYFUNCTION("""COMPUTED_VALUE"""),1.0)</f>
        <v>1</v>
      </c>
      <c r="N1410" s="213">
        <f>IFERROR(__xludf.DUMMYFUNCTION("""COMPUTED_VALUE"""),6.0)</f>
        <v>6</v>
      </c>
      <c r="O1410" s="213">
        <f>IFERROR(__xludf.DUMMYFUNCTION("""COMPUTED_VALUE"""),6.0)</f>
        <v>6</v>
      </c>
      <c r="P1410" s="213"/>
      <c r="Q1410" s="213"/>
      <c r="R1410" s="213"/>
      <c r="S1410" s="213"/>
      <c r="T1410" s="213"/>
      <c r="U1410" s="213"/>
      <c r="V1410" s="213"/>
      <c r="W1410" s="213"/>
      <c r="X1410" s="213"/>
      <c r="Y1410" s="213"/>
      <c r="Z1410" s="213"/>
      <c r="AA1410" s="213"/>
      <c r="AB1410" s="213"/>
      <c r="AC1410" s="213"/>
      <c r="AD1410" s="213"/>
      <c r="AE1410" s="213"/>
      <c r="AF1410" s="213"/>
      <c r="AG1410" s="213"/>
      <c r="AH1410" s="213"/>
      <c r="AI1410" s="213"/>
      <c r="AJ1410" s="213"/>
      <c r="AK1410" s="213"/>
      <c r="AL1410" s="213"/>
      <c r="AM1410" s="213"/>
      <c r="AN1410" s="213"/>
      <c r="AO1410" s="213"/>
      <c r="AP1410" s="213"/>
      <c r="AQ1410" s="213"/>
      <c r="AR1410" s="213"/>
      <c r="AS1410" s="213">
        <f>IFERROR(__xludf.DUMMYFUNCTION("""COMPUTED_VALUE"""),0.0)</f>
        <v>0</v>
      </c>
      <c r="AT1410" s="213"/>
      <c r="AU1410" s="213"/>
      <c r="AV1410" s="213"/>
      <c r="AW1410" s="213"/>
      <c r="AX1410" s="213"/>
      <c r="AY1410" s="213"/>
      <c r="AZ1410" s="213"/>
      <c r="BA1410" s="213"/>
      <c r="BB1410" s="213"/>
      <c r="BC1410" s="213"/>
      <c r="BD1410" s="213"/>
    </row>
    <row r="1411">
      <c r="A1411" s="213">
        <f>IFERROR(__xludf.DUMMYFUNCTION("""COMPUTED_VALUE"""),720.0)</f>
        <v>720</v>
      </c>
      <c r="B1411" s="213" t="str">
        <f>IFERROR(__xludf.DUMMYFUNCTION("""COMPUTED_VALUE"""),"6049 RICARDO PALMA")</f>
        <v>6049 RICARDO PALMA</v>
      </c>
      <c r="C1411" s="213" t="str">
        <f>IFERROR(__xludf.DUMMYFUNCTION("""COMPUTED_VALUE"""),"TALLER SFT DE ELECTRÓNICA")</f>
        <v>TALLER SFT DE ELECTRÓNICA</v>
      </c>
      <c r="D1411" s="213" t="str">
        <f>IFERROR(__xludf.DUMMYFUNCTION("""COMPUTED_VALUE"""),"PEDAGOGICO")</f>
        <v>PEDAGOGICO</v>
      </c>
      <c r="E1411" s="213" t="str">
        <f>IFERROR(__xludf.DUMMYFUNCTION("""COMPUTED_VALUE"""),"MAT-335")</f>
        <v>MAT-335</v>
      </c>
      <c r="F1411" s="213" t="str">
        <f>IFERROR(__xludf.DUMMYFUNCTION("""COMPUTED_VALUE"""),"KEFF-71")</f>
        <v>KEFF-71</v>
      </c>
      <c r="G1411" s="213"/>
      <c r="H1411" s="213" t="str">
        <f>IFERROR(__xludf.DUMMYFUNCTION("""COMPUTED_VALUE"""),"MANUAL DE USO POR CADA EQUIPO DE ELECTRÓNICA")</f>
        <v>MANUAL DE USO POR CADA EQUIPO DE ELECTRÓNICA</v>
      </c>
      <c r="I141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de electrónica
- Descripción de las principales tareas que se pueden realizar con cada equipo de electrónica
- Descripción grafica de la instalación, uso y conservación de cada equipo de electrónica.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 electrónica
- Descripción de las principales tareas que se pueden realizar con cada equipo de electrónica
- Descripción grafica de la instalación, uso y conservación de cada equipo de electrónica.
- Descripción de los errores comunes que se presentan en el uso y la forma de solucionarlos.
· Descripción de las normas de seguridad que se tienen que se deben tener en cuenta durante el uso de cada equipo.</v>
      </c>
      <c r="J1411" s="213">
        <f>IFERROR(__xludf.DUMMYFUNCTION("""COMPUTED_VALUE"""),3.0)</f>
        <v>3</v>
      </c>
      <c r="K1411" s="213" t="str">
        <f>IFERROR(__xludf.DUMMYFUNCTION("""COMPUTED_VALUE"""),"170 DÍAS CALENDARIO")</f>
        <v>170 DÍAS CALENDARIO</v>
      </c>
      <c r="L1411" s="213" t="str">
        <f>IFERROR(__xludf.DUMMYFUNCTION("""COMPUTED_VALUE"""),"")</f>
        <v/>
      </c>
      <c r="M1411" s="213">
        <f>IFERROR(__xludf.DUMMYFUNCTION("""COMPUTED_VALUE"""),1.0)</f>
        <v>1</v>
      </c>
      <c r="N1411" s="213">
        <f>IFERROR(__xludf.DUMMYFUNCTION("""COMPUTED_VALUE"""),6.0)</f>
        <v>6</v>
      </c>
      <c r="O1411" s="213">
        <f>IFERROR(__xludf.DUMMYFUNCTION("""COMPUTED_VALUE"""),6.0)</f>
        <v>6</v>
      </c>
      <c r="P1411" s="213"/>
      <c r="Q1411" s="213"/>
      <c r="R1411" s="213"/>
      <c r="S1411" s="213"/>
      <c r="T1411" s="213"/>
      <c r="U1411" s="213"/>
      <c r="V1411" s="213"/>
      <c r="W1411" s="213"/>
      <c r="X1411" s="213"/>
      <c r="Y1411" s="213"/>
      <c r="Z1411" s="213"/>
      <c r="AA1411" s="213"/>
      <c r="AB1411" s="213"/>
      <c r="AC1411" s="213"/>
      <c r="AD1411" s="213"/>
      <c r="AE1411" s="213"/>
      <c r="AF1411" s="213"/>
      <c r="AG1411" s="213"/>
      <c r="AH1411" s="213"/>
      <c r="AI1411" s="213"/>
      <c r="AJ1411" s="213"/>
      <c r="AK1411" s="213"/>
      <c r="AL1411" s="213"/>
      <c r="AM1411" s="213"/>
      <c r="AN1411" s="213"/>
      <c r="AO1411" s="213"/>
      <c r="AP1411" s="213"/>
      <c r="AQ1411" s="213"/>
      <c r="AR1411" s="213"/>
      <c r="AS1411" s="213"/>
      <c r="AT1411" s="213"/>
      <c r="AU1411" s="213"/>
      <c r="AV1411" s="213"/>
      <c r="AW1411" s="213"/>
      <c r="AX1411" s="213"/>
      <c r="AY1411" s="213"/>
      <c r="AZ1411" s="213"/>
      <c r="BA1411" s="213"/>
      <c r="BB1411" s="213"/>
      <c r="BC1411" s="213"/>
      <c r="BD1411" s="213"/>
    </row>
    <row r="1412">
      <c r="A1412" s="213">
        <f>IFERROR(__xludf.DUMMYFUNCTION("""COMPUTED_VALUE"""),97.0)</f>
        <v>97</v>
      </c>
      <c r="B1412" s="213" t="str">
        <f>IFERROR(__xludf.DUMMYFUNCTION("""COMPUTED_VALUE"""),"16449 ELOY SOBERON  FLORES")</f>
        <v>16449 ELOY SOBERON  FLORES</v>
      </c>
      <c r="C1412" s="213" t="str">
        <f>IFERROR(__xludf.DUMMYFUNCTION("""COMPUTED_VALUE"""),"TALLER SFT DE COCINA Y REPOSTERÍA")</f>
        <v>TALLER SFT DE COCINA Y REPOSTERÍA</v>
      </c>
      <c r="D1412" s="213" t="str">
        <f>IFERROR(__xludf.DUMMYFUNCTION("""COMPUTED_VALUE"""),"PEDAGOGICO")</f>
        <v>PEDAGOGICO</v>
      </c>
      <c r="E1412" s="213" t="str">
        <f>IFERROR(__xludf.DUMMYFUNCTION("""COMPUTED_VALUE"""),"MAT-315")</f>
        <v>MAT-315</v>
      </c>
      <c r="F1412" s="213" t="str">
        <f>IFERROR(__xludf.DUMMYFUNCTION("""COMPUTED_VALUE"""),"KEFF-01")</f>
        <v>KEFF-01</v>
      </c>
      <c r="G1412" s="213"/>
      <c r="H1412" s="213" t="str">
        <f>IFERROR(__xludf.DUMMYFUNCTION("""COMPUTED_VALUE"""),"MANUAL DE USO POR CADA EQUIPO DE IDENTIFICACIÓN DE NECESIDADES Y PROBLEMAS")</f>
        <v>MANUAL DE USO POR CADA EQUIPO DE IDENTIFICACIÓN DE NECESIDADES Y PROBLEMAS</v>
      </c>
      <c r="I141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filmas, tomar fotografías, etc.)
-  Descripción grafica de la instalación, uso y conservación de cada equipo.
-  Descripción de los"&amp;"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filmas, tomar fotografías, etc.)
-  Descripción grafica de la instalación, uso y conservación de cada equipo.
-  Descripción de los errores comunes que se presentan en el uso y la forma de solucionarlos.
-  Descripción de las normas de seguridad que se deben tener en cuenta durante el uso de cada equipo.</v>
      </c>
      <c r="J1412" s="213">
        <f>IFERROR(__xludf.DUMMYFUNCTION("""COMPUTED_VALUE"""),3.0)</f>
        <v>3</v>
      </c>
      <c r="K1412" s="213" t="str">
        <f>IFERROR(__xludf.DUMMYFUNCTION("""COMPUTED_VALUE"""),"170 DÍAS CALENDARIO")</f>
        <v>170 DÍAS CALENDARIO</v>
      </c>
      <c r="L1412" s="213" t="str">
        <f>IFERROR(__xludf.DUMMYFUNCTION("""COMPUTED_VALUE"""),"")</f>
        <v/>
      </c>
      <c r="M1412" s="213">
        <f>IFERROR(__xludf.DUMMYFUNCTION("""COMPUTED_VALUE"""),1.0)</f>
        <v>1</v>
      </c>
      <c r="N1412" s="213">
        <f>IFERROR(__xludf.DUMMYFUNCTION("""COMPUTED_VALUE"""),6.0)</f>
        <v>6</v>
      </c>
      <c r="O1412" s="213">
        <f>IFERROR(__xludf.DUMMYFUNCTION("""COMPUTED_VALUE"""),6.0)</f>
        <v>6</v>
      </c>
      <c r="P1412" s="213"/>
      <c r="Q1412" s="213"/>
      <c r="R1412" s="213"/>
      <c r="S1412" s="213"/>
      <c r="T1412" s="213"/>
      <c r="U1412" s="213"/>
      <c r="V1412" s="213"/>
      <c r="W1412" s="213"/>
      <c r="X1412" s="213"/>
      <c r="Y1412" s="213"/>
      <c r="Z1412" s="213"/>
      <c r="AA1412" s="213"/>
      <c r="AB1412" s="213"/>
      <c r="AC1412" s="213"/>
      <c r="AD1412" s="213"/>
      <c r="AE1412" s="213"/>
      <c r="AF1412" s="213"/>
      <c r="AG1412" s="213"/>
      <c r="AH1412" s="213"/>
      <c r="AI1412" s="213"/>
      <c r="AJ1412" s="213"/>
      <c r="AK1412" s="213"/>
      <c r="AL1412" s="213"/>
      <c r="AM1412" s="213"/>
      <c r="AN1412" s="213"/>
      <c r="AO1412" s="213"/>
      <c r="AP1412" s="213"/>
      <c r="AQ1412" s="213"/>
      <c r="AR1412" s="213"/>
      <c r="AS1412" s="213"/>
      <c r="AT1412" s="213"/>
      <c r="AU1412" s="213"/>
      <c r="AV1412" s="213"/>
      <c r="AW1412" s="213"/>
      <c r="AX1412" s="213"/>
      <c r="AY1412" s="213"/>
      <c r="AZ1412" s="213"/>
      <c r="BA1412" s="213"/>
      <c r="BB1412" s="213"/>
      <c r="BC1412" s="213"/>
      <c r="BD1412" s="213"/>
    </row>
    <row r="1413">
      <c r="A1413" s="213">
        <f>IFERROR(__xludf.DUMMYFUNCTION("""COMPUTED_VALUE"""),571.0)</f>
        <v>571</v>
      </c>
      <c r="B1413" s="213" t="str">
        <f>IFERROR(__xludf.DUMMYFUNCTION("""COMPUTED_VALUE"""),"2026 SIMON BOLIVAR")</f>
        <v>2026 SIMON BOLIVAR</v>
      </c>
      <c r="C1413" s="213" t="str">
        <f>IFERROR(__xludf.DUMMYFUNCTION("""COMPUTED_VALUE"""),"TALLER SFT DE INDUSTRIA ALIMENTARIA")</f>
        <v>TALLER SFT DE INDUSTRIA ALIMENTARIA</v>
      </c>
      <c r="D1413" s="213" t="str">
        <f>IFERROR(__xludf.DUMMYFUNCTION("""COMPUTED_VALUE"""),"PEDAGOGICO")</f>
        <v>PEDAGOGICO</v>
      </c>
      <c r="E1413" s="213" t="str">
        <f>IFERROR(__xludf.DUMMYFUNCTION("""COMPUTED_VALUE"""),"MAT-315")</f>
        <v>MAT-315</v>
      </c>
      <c r="F1413" s="213" t="str">
        <f>IFERROR(__xludf.DUMMYFUNCTION("""COMPUTED_VALUE"""),"KEFF-01")</f>
        <v>KEFF-01</v>
      </c>
      <c r="G1413" s="213"/>
      <c r="H1413" s="213" t="str">
        <f>IFERROR(__xludf.DUMMYFUNCTION("""COMPUTED_VALUE"""),"MANUAL DE USO POR CADA EQUIPO DE IDENTIFICACIÓN DE NECESIDADES Y PROBLEMAS")</f>
        <v>MANUAL DE USO POR CADA EQUIPO DE IDENTIFICACIÓN DE NECESIDADES Y PROBLEMAS</v>
      </c>
      <c r="I141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 Descripción de las principales tareas que se pueden realizar con cada equipo (por ejemplo, filmar, tomar fotografías, etc.)
- Descripción grafica de la instalación, uso y conservación de cada equipo.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13" s="213">
        <f>IFERROR(__xludf.DUMMYFUNCTION("""COMPUTED_VALUE"""),3.0)</f>
        <v>3</v>
      </c>
      <c r="K1413" s="213" t="str">
        <f>IFERROR(__xludf.DUMMYFUNCTION("""COMPUTED_VALUE"""),"170 DÍAS CALENDARIO")</f>
        <v>170 DÍAS CALENDARIO</v>
      </c>
      <c r="L1413" s="213" t="str">
        <f>IFERROR(__xludf.DUMMYFUNCTION("""COMPUTED_VALUE"""),"")</f>
        <v/>
      </c>
      <c r="M1413" s="213">
        <f>IFERROR(__xludf.DUMMYFUNCTION("""COMPUTED_VALUE"""),1.0)</f>
        <v>1</v>
      </c>
      <c r="N1413" s="213">
        <f>IFERROR(__xludf.DUMMYFUNCTION("""COMPUTED_VALUE"""),6.0)</f>
        <v>6</v>
      </c>
      <c r="O1413" s="213">
        <f>IFERROR(__xludf.DUMMYFUNCTION("""COMPUTED_VALUE"""),6.0)</f>
        <v>6</v>
      </c>
      <c r="P1413" s="213"/>
      <c r="Q1413" s="213"/>
      <c r="R1413" s="213"/>
      <c r="S1413" s="213"/>
      <c r="T1413" s="213"/>
      <c r="U1413" s="213"/>
      <c r="V1413" s="213"/>
      <c r="W1413" s="213"/>
      <c r="X1413" s="213"/>
      <c r="Y1413" s="213"/>
      <c r="Z1413" s="213"/>
      <c r="AA1413" s="213"/>
      <c r="AB1413" s="213"/>
      <c r="AC1413" s="213"/>
      <c r="AD1413" s="213"/>
      <c r="AE1413" s="213"/>
      <c r="AF1413" s="213"/>
      <c r="AG1413" s="213"/>
      <c r="AH1413" s="213"/>
      <c r="AI1413" s="213"/>
      <c r="AJ1413" s="213"/>
      <c r="AK1413" s="213"/>
      <c r="AL1413" s="213"/>
      <c r="AM1413" s="213"/>
      <c r="AN1413" s="213"/>
      <c r="AO1413" s="213"/>
      <c r="AP1413" s="213"/>
      <c r="AQ1413" s="213"/>
      <c r="AR1413" s="213"/>
      <c r="AS1413" s="213"/>
      <c r="AT1413" s="213"/>
      <c r="AU1413" s="213"/>
      <c r="AV1413" s="213"/>
      <c r="AW1413" s="213"/>
      <c r="AX1413" s="213"/>
      <c r="AY1413" s="213"/>
      <c r="AZ1413" s="213"/>
      <c r="BA1413" s="213"/>
      <c r="BB1413" s="213"/>
      <c r="BC1413" s="213"/>
      <c r="BD1413" s="213"/>
    </row>
    <row r="1414">
      <c r="A1414" s="213">
        <f>IFERROR(__xludf.DUMMYFUNCTION("""COMPUTED_VALUE"""),1198.0)</f>
        <v>1198</v>
      </c>
      <c r="B1414" s="213" t="str">
        <f>IFERROR(__xludf.DUMMYFUNCTION("""COMPUTED_VALUE"""),"FRANCISCO IRAZOLA")</f>
        <v>FRANCISCO IRAZOLA</v>
      </c>
      <c r="C1414" s="213" t="str">
        <f>IFERROR(__xludf.DUMMYFUNCTION("""COMPUTED_VALUE"""),"TALLER SFT DE INDUSTRIA ALIMENTARIA")</f>
        <v>TALLER SFT DE INDUSTRIA ALIMENTARIA</v>
      </c>
      <c r="D1414" s="213" t="str">
        <f>IFERROR(__xludf.DUMMYFUNCTION("""COMPUTED_VALUE"""),"PEDAGOGICO")</f>
        <v>PEDAGOGICO</v>
      </c>
      <c r="E1414" s="213" t="str">
        <f>IFERROR(__xludf.DUMMYFUNCTION("""COMPUTED_VALUE"""),"MAT-315")</f>
        <v>MAT-315</v>
      </c>
      <c r="F1414" s="213" t="str">
        <f>IFERROR(__xludf.DUMMYFUNCTION("""COMPUTED_VALUE"""),"KEFF-01")</f>
        <v>KEFF-01</v>
      </c>
      <c r="G1414" s="213"/>
      <c r="H1414" s="213" t="str">
        <f>IFERROR(__xludf.DUMMYFUNCTION("""COMPUTED_VALUE"""),"MANUAL DE USO POR CADA EQUIPO DE IDENTIFICACIÓN DE NECESIDADES Y PROBLEMAS")</f>
        <v>MANUAL DE USO POR CADA EQUIPO DE IDENTIFICACIÓN DE NECESIDADES Y PROBLEMAS</v>
      </c>
      <c r="I141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 Descripción de las principales tareas que se pueden realizar con cada equipo (por ejemplo, filmar, tomar fotografías, etc.)
- Descripción grafica de la instalación, uso y conservación de cada equipo.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14" s="213">
        <f>IFERROR(__xludf.DUMMYFUNCTION("""COMPUTED_VALUE"""),3.0)</f>
        <v>3</v>
      </c>
      <c r="K1414" s="213" t="str">
        <f>IFERROR(__xludf.DUMMYFUNCTION("""COMPUTED_VALUE"""),"170 DÍAS CALENDARIO")</f>
        <v>170 DÍAS CALENDARIO</v>
      </c>
      <c r="L1414" s="213" t="str">
        <f>IFERROR(__xludf.DUMMYFUNCTION("""COMPUTED_VALUE"""),"")</f>
        <v/>
      </c>
      <c r="M1414" s="213">
        <f>IFERROR(__xludf.DUMMYFUNCTION("""COMPUTED_VALUE"""),1.0)</f>
        <v>1</v>
      </c>
      <c r="N1414" s="213">
        <f>IFERROR(__xludf.DUMMYFUNCTION("""COMPUTED_VALUE"""),6.0)</f>
        <v>6</v>
      </c>
      <c r="O1414" s="213">
        <f>IFERROR(__xludf.DUMMYFUNCTION("""COMPUTED_VALUE"""),6.0)</f>
        <v>6</v>
      </c>
      <c r="P1414" s="213"/>
      <c r="Q1414" s="213"/>
      <c r="R1414" s="213"/>
      <c r="S1414" s="213"/>
      <c r="T1414" s="213"/>
      <c r="U1414" s="213"/>
      <c r="V1414" s="213"/>
      <c r="W1414" s="213"/>
      <c r="X1414" s="213"/>
      <c r="Y1414" s="213"/>
      <c r="Z1414" s="213"/>
      <c r="AA1414" s="213"/>
      <c r="AB1414" s="213"/>
      <c r="AC1414" s="213"/>
      <c r="AD1414" s="213"/>
      <c r="AE1414" s="213"/>
      <c r="AF1414" s="213"/>
      <c r="AG1414" s="213"/>
      <c r="AH1414" s="213"/>
      <c r="AI1414" s="213"/>
      <c r="AJ1414" s="213"/>
      <c r="AK1414" s="213"/>
      <c r="AL1414" s="213"/>
      <c r="AM1414" s="213"/>
      <c r="AN1414" s="213"/>
      <c r="AO1414" s="213"/>
      <c r="AP1414" s="213"/>
      <c r="AQ1414" s="213"/>
      <c r="AR1414" s="213"/>
      <c r="AS1414" s="213"/>
      <c r="AT1414" s="213"/>
      <c r="AU1414" s="213"/>
      <c r="AV1414" s="213"/>
      <c r="AW1414" s="213"/>
      <c r="AX1414" s="213"/>
      <c r="AY1414" s="213"/>
      <c r="AZ1414" s="213"/>
      <c r="BA1414" s="213"/>
      <c r="BB1414" s="213"/>
      <c r="BC1414" s="213"/>
      <c r="BD1414" s="213"/>
    </row>
    <row r="1415">
      <c r="A1415" s="213">
        <f>IFERROR(__xludf.DUMMYFUNCTION("""COMPUTED_VALUE"""),1469.0)</f>
        <v>1469</v>
      </c>
      <c r="B1415" s="213" t="str">
        <f>IFERROR(__xludf.DUMMYFUNCTION("""COMPUTED_VALUE"""),"GUILLERMO E. BILLINGHURST ")</f>
        <v>GUILLERMO E. BILLINGHURST </v>
      </c>
      <c r="C1415" s="213" t="str">
        <f>IFERROR(__xludf.DUMMYFUNCTION("""COMPUTED_VALUE"""),"TALLER SFT DE INDUSTRIA ALIMENTARIA")</f>
        <v>TALLER SFT DE INDUSTRIA ALIMENTARIA</v>
      </c>
      <c r="D1415" s="213" t="str">
        <f>IFERROR(__xludf.DUMMYFUNCTION("""COMPUTED_VALUE"""),"PEDAGOGICO")</f>
        <v>PEDAGOGICO</v>
      </c>
      <c r="E1415" s="213" t="str">
        <f>IFERROR(__xludf.DUMMYFUNCTION("""COMPUTED_VALUE"""),"MAT-315")</f>
        <v>MAT-315</v>
      </c>
      <c r="F1415" s="213" t="str">
        <f>IFERROR(__xludf.DUMMYFUNCTION("""COMPUTED_VALUE"""),"KEFF-01")</f>
        <v>KEFF-01</v>
      </c>
      <c r="G1415" s="213"/>
      <c r="H1415" s="213" t="str">
        <f>IFERROR(__xludf.DUMMYFUNCTION("""COMPUTED_VALUE"""),"MANUAL DE USO POR CADA EQUIPO DE IDENTIFICACIÓN DE NECESIDADES Y PROBLEMAS")</f>
        <v>MANUAL DE USO POR CADA EQUIPO DE IDENTIFICACIÓN DE NECESIDADES Y PROBLEMAS</v>
      </c>
      <c r="I141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 Descripción de las principales tareas que se pueden realizar con cada equipo (por ejemplo, filmar, tomar fotografías, etc.)
- Descripción grafica de la instalación, uso y conservación de cada equipo.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15" s="213">
        <f>IFERROR(__xludf.DUMMYFUNCTION("""COMPUTED_VALUE"""),3.0)</f>
        <v>3</v>
      </c>
      <c r="K1415" s="213" t="str">
        <f>IFERROR(__xludf.DUMMYFUNCTION("""COMPUTED_VALUE"""),"170 DÍAS CALENDARIO")</f>
        <v>170 DÍAS CALENDARIO</v>
      </c>
      <c r="L1415" s="213" t="str">
        <f>IFERROR(__xludf.DUMMYFUNCTION("""COMPUTED_VALUE"""),"")</f>
        <v/>
      </c>
      <c r="M1415" s="213">
        <f>IFERROR(__xludf.DUMMYFUNCTION("""COMPUTED_VALUE"""),1.0)</f>
        <v>1</v>
      </c>
      <c r="N1415" s="213">
        <f>IFERROR(__xludf.DUMMYFUNCTION("""COMPUTED_VALUE"""),6.0)</f>
        <v>6</v>
      </c>
      <c r="O1415" s="213">
        <f>IFERROR(__xludf.DUMMYFUNCTION("""COMPUTED_VALUE"""),6.0)</f>
        <v>6</v>
      </c>
      <c r="P1415" s="213"/>
      <c r="Q1415" s="213"/>
      <c r="R1415" s="213"/>
      <c r="S1415" s="213"/>
      <c r="T1415" s="213"/>
      <c r="U1415" s="213"/>
      <c r="V1415" s="213"/>
      <c r="W1415" s="213"/>
      <c r="X1415" s="213"/>
      <c r="Y1415" s="213"/>
      <c r="Z1415" s="213"/>
      <c r="AA1415" s="213"/>
      <c r="AB1415" s="213"/>
      <c r="AC1415" s="213"/>
      <c r="AD1415" s="213"/>
      <c r="AE1415" s="213"/>
      <c r="AF1415" s="213"/>
      <c r="AG1415" s="213"/>
      <c r="AH1415" s="213"/>
      <c r="AI1415" s="213"/>
      <c r="AJ1415" s="213"/>
      <c r="AK1415" s="213"/>
      <c r="AL1415" s="213"/>
      <c r="AM1415" s="213"/>
      <c r="AN1415" s="213"/>
      <c r="AO1415" s="213"/>
      <c r="AP1415" s="213"/>
      <c r="AQ1415" s="213"/>
      <c r="AR1415" s="213"/>
      <c r="AS1415" s="213"/>
      <c r="AT1415" s="213"/>
      <c r="AU1415" s="213"/>
      <c r="AV1415" s="213"/>
      <c r="AW1415" s="213"/>
      <c r="AX1415" s="213"/>
      <c r="AY1415" s="213"/>
      <c r="AZ1415" s="213"/>
      <c r="BA1415" s="213"/>
      <c r="BB1415" s="213"/>
      <c r="BC1415" s="213"/>
      <c r="BD1415" s="213"/>
    </row>
    <row r="1416">
      <c r="A1416" s="213">
        <f>IFERROR(__xludf.DUMMYFUNCTION("""COMPUTED_VALUE"""),1873.0)</f>
        <v>1873</v>
      </c>
      <c r="B1416" s="213" t="str">
        <f>IFERROR(__xludf.DUMMYFUNCTION("""COMPUTED_VALUE"""),"GUILLERMO E. BILLINGHURST ")</f>
        <v>GUILLERMO E. BILLINGHURST </v>
      </c>
      <c r="C1416" s="213" t="str">
        <f>IFERROR(__xludf.DUMMYFUNCTION("""COMPUTED_VALUE"""),"TALLER SFT DE EBANISTERÍA")</f>
        <v>TALLER SFT DE EBANISTERÍA</v>
      </c>
      <c r="D1416" s="213" t="str">
        <f>IFERROR(__xludf.DUMMYFUNCTION("""COMPUTED_VALUE"""),"PEDAGOGICO")</f>
        <v>PEDAGOGICO</v>
      </c>
      <c r="E1416" s="213" t="str">
        <f>IFERROR(__xludf.DUMMYFUNCTION("""COMPUTED_VALUE"""),"MAT-315")</f>
        <v>MAT-315</v>
      </c>
      <c r="F1416" s="213" t="str">
        <f>IFERROR(__xludf.DUMMYFUNCTION("""COMPUTED_VALUE"""),"KEFF-01")</f>
        <v>KEFF-01</v>
      </c>
      <c r="G1416" s="213"/>
      <c r="H1416" s="213" t="str">
        <f>IFERROR(__xludf.DUMMYFUNCTION("""COMPUTED_VALUE"""),"MANUAL DE USO POR CADA EQUIPO DE IDENTIFICACIÓN DE NECESIDADES Y PROBLEMAS")</f>
        <v>MANUAL DE USO POR CADA EQUIPO DE IDENTIFICACIÓN DE NECESIDADES Y PROBLEMAS</v>
      </c>
      <c r="I141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 Descripción de las principales tareas que se pueden realizar con cada equipo (por ejemplo, filmar, tomar fotografías, etc.)
- Descripción grafica de la instalación, uso y conservación de cada equipo.
- Descripción de los"&amp;"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16" s="213">
        <f>IFERROR(__xludf.DUMMYFUNCTION("""COMPUTED_VALUE"""),3.0)</f>
        <v>3</v>
      </c>
      <c r="K1416" s="213" t="str">
        <f>IFERROR(__xludf.DUMMYFUNCTION("""COMPUTED_VALUE"""),"170 DÍAS CALENDARIO")</f>
        <v>170 DÍAS CALENDARIO</v>
      </c>
      <c r="L1416" s="213" t="str">
        <f>IFERROR(__xludf.DUMMYFUNCTION("""COMPUTED_VALUE"""),"")</f>
        <v/>
      </c>
      <c r="M1416" s="213">
        <f>IFERROR(__xludf.DUMMYFUNCTION("""COMPUTED_VALUE"""),1.0)</f>
        <v>1</v>
      </c>
      <c r="N1416" s="213">
        <f>IFERROR(__xludf.DUMMYFUNCTION("""COMPUTED_VALUE"""),6.0)</f>
        <v>6</v>
      </c>
      <c r="O1416" s="213">
        <f>IFERROR(__xludf.DUMMYFUNCTION("""COMPUTED_VALUE"""),6.0)</f>
        <v>6</v>
      </c>
      <c r="P1416" s="213"/>
      <c r="Q1416" s="213"/>
      <c r="R1416" s="213"/>
      <c r="S1416" s="213"/>
      <c r="T1416" s="213"/>
      <c r="U1416" s="213"/>
      <c r="V1416" s="213"/>
      <c r="W1416" s="213"/>
      <c r="X1416" s="213"/>
      <c r="Y1416" s="213"/>
      <c r="Z1416" s="213"/>
      <c r="AA1416" s="213"/>
      <c r="AB1416" s="213"/>
      <c r="AC1416" s="213"/>
      <c r="AD1416" s="213"/>
      <c r="AE1416" s="213"/>
      <c r="AF1416" s="213"/>
      <c r="AG1416" s="213"/>
      <c r="AH1416" s="213"/>
      <c r="AI1416" s="213"/>
      <c r="AJ1416" s="213"/>
      <c r="AK1416" s="213"/>
      <c r="AL1416" s="213"/>
      <c r="AM1416" s="213"/>
      <c r="AN1416" s="213"/>
      <c r="AO1416" s="213"/>
      <c r="AP1416" s="213"/>
      <c r="AQ1416" s="213"/>
      <c r="AR1416" s="213"/>
      <c r="AS1416" s="213"/>
      <c r="AT1416" s="213"/>
      <c r="AU1416" s="213"/>
      <c r="AV1416" s="213"/>
      <c r="AW1416" s="213"/>
      <c r="AX1416" s="213"/>
      <c r="AY1416" s="213"/>
      <c r="AZ1416" s="213"/>
      <c r="BA1416" s="213"/>
      <c r="BB1416" s="213"/>
      <c r="BC1416" s="213"/>
      <c r="BD1416" s="213"/>
    </row>
    <row r="1417">
      <c r="A1417" s="213">
        <f>IFERROR(__xludf.DUMMYFUNCTION("""COMPUTED_VALUE"""),2160.0)</f>
        <v>2160</v>
      </c>
      <c r="B1417" s="213" t="str">
        <f>IFERROR(__xludf.DUMMYFUNCTION("""COMPUTED_VALUE"""),"JOSE GRANDA")</f>
        <v>JOSE GRANDA</v>
      </c>
      <c r="C1417" s="213" t="str">
        <f>IFERROR(__xludf.DUMMYFUNCTION("""COMPUTED_VALUE"""),"TALLER SFT DE INDUSTRIA ALIMENTARIA")</f>
        <v>TALLER SFT DE INDUSTRIA ALIMENTARIA</v>
      </c>
      <c r="D1417" s="213" t="str">
        <f>IFERROR(__xludf.DUMMYFUNCTION("""COMPUTED_VALUE"""),"PEDAGOGICO")</f>
        <v>PEDAGOGICO</v>
      </c>
      <c r="E1417" s="213" t="str">
        <f>IFERROR(__xludf.DUMMYFUNCTION("""COMPUTED_VALUE"""),"MAT-315")</f>
        <v>MAT-315</v>
      </c>
      <c r="F1417" s="213" t="str">
        <f>IFERROR(__xludf.DUMMYFUNCTION("""COMPUTED_VALUE"""),"KEFF-01")</f>
        <v>KEFF-01</v>
      </c>
      <c r="G1417" s="213"/>
      <c r="H1417" s="213" t="str">
        <f>IFERROR(__xludf.DUMMYFUNCTION("""COMPUTED_VALUE"""),"MANUAL DE USO POR CADA EQUIPO DE IDENTIFICACIÓN DE NECESIDADES Y PROBLEMAS")</f>
        <v>MANUAL DE USO POR CADA EQUIPO DE IDENTIFICACIÓN DE NECESIDADES Y PROBLEMAS</v>
      </c>
      <c r="I141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Descripción de las partes"&amp;" y accesorios de cada equipo.
- Descripción de las principales tareas que se pueden realizar con cada equipo (por ejemplo, filmar, tomar fotografías, etc.)
- Descripción grafica de la instalación, uso y conservación de cada equipo.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17" s="213">
        <f>IFERROR(__xludf.DUMMYFUNCTION("""COMPUTED_VALUE"""),3.0)</f>
        <v>3</v>
      </c>
      <c r="K1417" s="213" t="str">
        <f>IFERROR(__xludf.DUMMYFUNCTION("""COMPUTED_VALUE"""),"170 DÍAS CALENDARIO")</f>
        <v>170 DÍAS CALENDARIO</v>
      </c>
      <c r="L1417" s="213" t="str">
        <f>IFERROR(__xludf.DUMMYFUNCTION("""COMPUTED_VALUE"""),"")</f>
        <v/>
      </c>
      <c r="M1417" s="213">
        <f>IFERROR(__xludf.DUMMYFUNCTION("""COMPUTED_VALUE"""),1.0)</f>
        <v>1</v>
      </c>
      <c r="N1417" s="213">
        <f>IFERROR(__xludf.DUMMYFUNCTION("""COMPUTED_VALUE"""),6.0)</f>
        <v>6</v>
      </c>
      <c r="O1417" s="213">
        <f>IFERROR(__xludf.DUMMYFUNCTION("""COMPUTED_VALUE"""),6.0)</f>
        <v>6</v>
      </c>
      <c r="P1417" s="213"/>
      <c r="Q1417" s="213"/>
      <c r="R1417" s="213"/>
      <c r="S1417" s="213"/>
      <c r="T1417" s="213"/>
      <c r="U1417" s="213"/>
      <c r="V1417" s="213"/>
      <c r="W1417" s="213"/>
      <c r="X1417" s="213"/>
      <c r="Y1417" s="213"/>
      <c r="Z1417" s="213"/>
      <c r="AA1417" s="213"/>
      <c r="AB1417" s="213"/>
      <c r="AC1417" s="213"/>
      <c r="AD1417" s="213"/>
      <c r="AE1417" s="213"/>
      <c r="AF1417" s="213"/>
      <c r="AG1417" s="213"/>
      <c r="AH1417" s="213"/>
      <c r="AI1417" s="213"/>
      <c r="AJ1417" s="213"/>
      <c r="AK1417" s="213"/>
      <c r="AL1417" s="213"/>
      <c r="AM1417" s="213"/>
      <c r="AN1417" s="213"/>
      <c r="AO1417" s="213"/>
      <c r="AP1417" s="213"/>
      <c r="AQ1417" s="213"/>
      <c r="AR1417" s="213"/>
      <c r="AS1417" s="213"/>
      <c r="AT1417" s="213"/>
      <c r="AU1417" s="213"/>
      <c r="AV1417" s="213"/>
      <c r="AW1417" s="213"/>
      <c r="AX1417" s="213"/>
      <c r="AY1417" s="213"/>
      <c r="AZ1417" s="213"/>
      <c r="BA1417" s="213"/>
      <c r="BB1417" s="213"/>
      <c r="BC1417" s="213"/>
      <c r="BD1417" s="213"/>
    </row>
    <row r="1418">
      <c r="A1418" s="213">
        <f>IFERROR(__xludf.DUMMYFUNCTION("""COMPUTED_VALUE"""),2654.0)</f>
        <v>2654</v>
      </c>
      <c r="B1418" s="213" t="str">
        <f>IFERROR(__xludf.DUMMYFUNCTION("""COMPUTED_VALUE"""),"MANUEL ANTONIO MESONES MURO")</f>
        <v>MANUEL ANTONIO MESONES MURO</v>
      </c>
      <c r="C1418" s="213" t="str">
        <f>IFERROR(__xludf.DUMMYFUNCTION("""COMPUTED_VALUE"""),"TALLER SFT DE EBANISTERÍA")</f>
        <v>TALLER SFT DE EBANISTERÍA</v>
      </c>
      <c r="D1418" s="213" t="str">
        <f>IFERROR(__xludf.DUMMYFUNCTION("""COMPUTED_VALUE"""),"PEDAGOGICO")</f>
        <v>PEDAGOGICO</v>
      </c>
      <c r="E1418" s="213" t="str">
        <f>IFERROR(__xludf.DUMMYFUNCTION("""COMPUTED_VALUE"""),"MAT-315")</f>
        <v>MAT-315</v>
      </c>
      <c r="F1418" s="213" t="str">
        <f>IFERROR(__xludf.DUMMYFUNCTION("""COMPUTED_VALUE"""),"KEFF-01")</f>
        <v>KEFF-01</v>
      </c>
      <c r="G1418" s="213"/>
      <c r="H1418" s="213" t="str">
        <f>IFERROR(__xludf.DUMMYFUNCTION("""COMPUTED_VALUE"""),"MANUAL DE USO POR CADA EQUIPO DE IDENTIFICACIÓN DE NECESIDADES Y PROBLEMAS")</f>
        <v>MANUAL DE USO POR CADA EQUIPO DE IDENTIFICACIÓN DE NECESIDADES Y PROBLEMAS</v>
      </c>
      <c r="I141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equipo.
- Descripción de las principales tareas que se pueden realizar con cada equipo (por ejemplo, filmar, tomar fotografías, etc.)
- Descripción grafica de la instalación, uso y conservación de cada equipo.
- Descripción de los"&amp;"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 Descripción de las principales tareas que se pueden realizar con cada equipo (por ejemplo, filmar, tomar fotografías, etc.)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18" s="213">
        <f>IFERROR(__xludf.DUMMYFUNCTION("""COMPUTED_VALUE"""),3.0)</f>
        <v>3</v>
      </c>
      <c r="K1418" s="213" t="str">
        <f>IFERROR(__xludf.DUMMYFUNCTION("""COMPUTED_VALUE"""),"170 DÍAS CALENDARIO")</f>
        <v>170 DÍAS CALENDARIO</v>
      </c>
      <c r="L1418" s="213" t="str">
        <f>IFERROR(__xludf.DUMMYFUNCTION("""COMPUTED_VALUE"""),"")</f>
        <v/>
      </c>
      <c r="M1418" s="213">
        <f>IFERROR(__xludf.DUMMYFUNCTION("""COMPUTED_VALUE"""),1.0)</f>
        <v>1</v>
      </c>
      <c r="N1418" s="213">
        <f>IFERROR(__xludf.DUMMYFUNCTION("""COMPUTED_VALUE"""),6.0)</f>
        <v>6</v>
      </c>
      <c r="O1418" s="213">
        <f>IFERROR(__xludf.DUMMYFUNCTION("""COMPUTED_VALUE"""),6.0)</f>
        <v>6</v>
      </c>
      <c r="P1418" s="213"/>
      <c r="Q1418" s="213"/>
      <c r="R1418" s="213"/>
      <c r="S1418" s="213"/>
      <c r="T1418" s="213"/>
      <c r="U1418" s="213"/>
      <c r="V1418" s="213"/>
      <c r="W1418" s="213"/>
      <c r="X1418" s="213"/>
      <c r="Y1418" s="213"/>
      <c r="Z1418" s="213"/>
      <c r="AA1418" s="213"/>
      <c r="AB1418" s="213"/>
      <c r="AC1418" s="213"/>
      <c r="AD1418" s="213"/>
      <c r="AE1418" s="213"/>
      <c r="AF1418" s="213"/>
      <c r="AG1418" s="213"/>
      <c r="AH1418" s="213"/>
      <c r="AI1418" s="213"/>
      <c r="AJ1418" s="213"/>
      <c r="AK1418" s="213"/>
      <c r="AL1418" s="213"/>
      <c r="AM1418" s="213"/>
      <c r="AN1418" s="213"/>
      <c r="AO1418" s="213"/>
      <c r="AP1418" s="213"/>
      <c r="AQ1418" s="213"/>
      <c r="AR1418" s="213"/>
      <c r="AS1418" s="213"/>
      <c r="AT1418" s="213"/>
      <c r="AU1418" s="213"/>
      <c r="AV1418" s="213"/>
      <c r="AW1418" s="213"/>
      <c r="AX1418" s="213"/>
      <c r="AY1418" s="213"/>
      <c r="AZ1418" s="213"/>
      <c r="BA1418" s="213"/>
      <c r="BB1418" s="213"/>
      <c r="BC1418" s="213"/>
      <c r="BD1418" s="213"/>
    </row>
    <row r="1419">
      <c r="A1419" s="213">
        <f>IFERROR(__xludf.DUMMYFUNCTION("""COMPUTED_VALUE"""),1018.0)</f>
        <v>1018</v>
      </c>
      <c r="B1419" s="213" t="str">
        <f>IFERROR(__xludf.DUMMYFUNCTION("""COMPUTED_VALUE"""),"FRANCISCO IRAZOLA")</f>
        <v>FRANCISCO IRAZOLA</v>
      </c>
      <c r="C1419" s="213" t="str">
        <f>IFERROR(__xludf.DUMMYFUNCTION("""COMPUTED_VALUE"""),"TALLER SFT DE MECÁNICA AUTOMOTRIZ")</f>
        <v>TALLER SFT DE MECÁNICA AUTOMOTRIZ</v>
      </c>
      <c r="D1419" s="213" t="str">
        <f>IFERROR(__xludf.DUMMYFUNCTION("""COMPUTED_VALUE"""),"PEDAGOGICO")</f>
        <v>PEDAGOGICO</v>
      </c>
      <c r="E1419" s="213" t="str">
        <f>IFERROR(__xludf.DUMMYFUNCTION("""COMPUTED_VALUE"""),"MAT-293")</f>
        <v>MAT-293</v>
      </c>
      <c r="F1419" s="213" t="str">
        <f>IFERROR(__xludf.DUMMYFUNCTION("""COMPUTED_VALUE"""),"KEFF-83")</f>
        <v>KEFF-83</v>
      </c>
      <c r="G1419" s="213"/>
      <c r="H1419" s="213" t="str">
        <f>IFERROR(__xludf.DUMMYFUNCTION("""COMPUTED_VALUE"""),"MANUAL DE USO POR CADA EQUIPO DE MANTENIMIENTO DEL SISTEMA DE SUSPENSIÓN DIRECCIÓN Y FRENOS")</f>
        <v>MANUAL DE USO POR CADA EQUIPO DE MANTENIMIENTO DEL SISTEMA DE SUSPENSIÓN DIRECCIÓN Y FRENOS</v>
      </c>
      <c r="I141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19" s="213">
        <f>IFERROR(__xludf.DUMMYFUNCTION("""COMPUTED_VALUE"""),3.0)</f>
        <v>3</v>
      </c>
      <c r="K1419" s="213" t="str">
        <f>IFERROR(__xludf.DUMMYFUNCTION("""COMPUTED_VALUE"""),"170 DÍAS CALENDARIO")</f>
        <v>170 DÍAS CALENDARIO</v>
      </c>
      <c r="L1419" s="213" t="str">
        <f>IFERROR(__xludf.DUMMYFUNCTION("""COMPUTED_VALUE"""),"")</f>
        <v/>
      </c>
      <c r="M1419" s="213">
        <f>IFERROR(__xludf.DUMMYFUNCTION("""COMPUTED_VALUE"""),1.0)</f>
        <v>1</v>
      </c>
      <c r="N1419" s="213">
        <f>IFERROR(__xludf.DUMMYFUNCTION("""COMPUTED_VALUE"""),6.0)</f>
        <v>6</v>
      </c>
      <c r="O1419" s="213">
        <f>IFERROR(__xludf.DUMMYFUNCTION("""COMPUTED_VALUE"""),6.0)</f>
        <v>6</v>
      </c>
      <c r="P1419" s="213"/>
      <c r="Q1419" s="213"/>
      <c r="R1419" s="213"/>
      <c r="S1419" s="213"/>
      <c r="T1419" s="213"/>
      <c r="U1419" s="213"/>
      <c r="V1419" s="213"/>
      <c r="W1419" s="213"/>
      <c r="X1419" s="213"/>
      <c r="Y1419" s="213"/>
      <c r="Z1419" s="213"/>
      <c r="AA1419" s="213"/>
      <c r="AB1419" s="213"/>
      <c r="AC1419" s="213"/>
      <c r="AD1419" s="213"/>
      <c r="AE1419" s="213"/>
      <c r="AF1419" s="213"/>
      <c r="AG1419" s="213"/>
      <c r="AH1419" s="213"/>
      <c r="AI1419" s="213"/>
      <c r="AJ1419" s="213"/>
      <c r="AK1419" s="213"/>
      <c r="AL1419" s="213"/>
      <c r="AM1419" s="213"/>
      <c r="AN1419" s="213"/>
      <c r="AO1419" s="213"/>
      <c r="AP1419" s="213"/>
      <c r="AQ1419" s="213"/>
      <c r="AR1419" s="213"/>
      <c r="AS1419" s="213"/>
      <c r="AT1419" s="213"/>
      <c r="AU1419" s="213"/>
      <c r="AV1419" s="213"/>
      <c r="AW1419" s="213"/>
      <c r="AX1419" s="213"/>
      <c r="AY1419" s="213"/>
      <c r="AZ1419" s="213"/>
      <c r="BA1419" s="213"/>
      <c r="BB1419" s="213"/>
      <c r="BC1419" s="213"/>
      <c r="BD1419" s="213"/>
    </row>
    <row r="1420">
      <c r="A1420" s="213">
        <f>IFERROR(__xludf.DUMMYFUNCTION("""COMPUTED_VALUE"""),1623.0)</f>
        <v>1623</v>
      </c>
      <c r="B1420" s="213" t="str">
        <f>IFERROR(__xludf.DUMMYFUNCTION("""COMPUTED_VALUE"""),"GUILLERMO E. BILLINGHURST ")</f>
        <v>GUILLERMO E. BILLINGHURST </v>
      </c>
      <c r="C1420" s="213" t="str">
        <f>IFERROR(__xludf.DUMMYFUNCTION("""COMPUTED_VALUE"""),"TALLER SFT DE MECÁNICA AUTOMOTRIZ")</f>
        <v>TALLER SFT DE MECÁNICA AUTOMOTRIZ</v>
      </c>
      <c r="D1420" s="213" t="str">
        <f>IFERROR(__xludf.DUMMYFUNCTION("""COMPUTED_VALUE"""),"PEDAGOGICO")</f>
        <v>PEDAGOGICO</v>
      </c>
      <c r="E1420" s="213" t="str">
        <f>IFERROR(__xludf.DUMMYFUNCTION("""COMPUTED_VALUE"""),"MAT-293")</f>
        <v>MAT-293</v>
      </c>
      <c r="F1420" s="213" t="str">
        <f>IFERROR(__xludf.DUMMYFUNCTION("""COMPUTED_VALUE"""),"KEFF-83")</f>
        <v>KEFF-83</v>
      </c>
      <c r="G1420" s="213"/>
      <c r="H1420" s="213" t="str">
        <f>IFERROR(__xludf.DUMMYFUNCTION("""COMPUTED_VALUE"""),"MANUAL DE USO POR CADA EQUIPO DE MANTENIMIENTO DEL SISTEMA DE SUSPENSIÓN DIRECCIÓN Y FRENOS")</f>
        <v>MANUAL DE USO POR CADA EQUIPO DE MANTENIMIENTO DEL SISTEMA DE SUSPENSIÓN DIRECCIÓN Y FRENOS</v>
      </c>
      <c r="I142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20" s="213">
        <f>IFERROR(__xludf.DUMMYFUNCTION("""COMPUTED_VALUE"""),3.0)</f>
        <v>3</v>
      </c>
      <c r="K1420" s="213" t="str">
        <f>IFERROR(__xludf.DUMMYFUNCTION("""COMPUTED_VALUE"""),"170 DÍAS CALENDARIO")</f>
        <v>170 DÍAS CALENDARIO</v>
      </c>
      <c r="L1420" s="213" t="str">
        <f>IFERROR(__xludf.DUMMYFUNCTION("""COMPUTED_VALUE"""),"")</f>
        <v/>
      </c>
      <c r="M1420" s="213">
        <f>IFERROR(__xludf.DUMMYFUNCTION("""COMPUTED_VALUE"""),1.0)</f>
        <v>1</v>
      </c>
      <c r="N1420" s="213">
        <f>IFERROR(__xludf.DUMMYFUNCTION("""COMPUTED_VALUE"""),6.0)</f>
        <v>6</v>
      </c>
      <c r="O1420" s="213">
        <f>IFERROR(__xludf.DUMMYFUNCTION("""COMPUTED_VALUE"""),6.0)</f>
        <v>6</v>
      </c>
      <c r="P1420" s="213"/>
      <c r="Q1420" s="213"/>
      <c r="R1420" s="213"/>
      <c r="S1420" s="213"/>
      <c r="T1420" s="213"/>
      <c r="U1420" s="213"/>
      <c r="V1420" s="213"/>
      <c r="W1420" s="213"/>
      <c r="X1420" s="213"/>
      <c r="Y1420" s="213"/>
      <c r="Z1420" s="213"/>
      <c r="AA1420" s="213"/>
      <c r="AB1420" s="213"/>
      <c r="AC1420" s="213"/>
      <c r="AD1420" s="213"/>
      <c r="AE1420" s="213"/>
      <c r="AF1420" s="213"/>
      <c r="AG1420" s="213"/>
      <c r="AH1420" s="213"/>
      <c r="AI1420" s="213"/>
      <c r="AJ1420" s="213"/>
      <c r="AK1420" s="213"/>
      <c r="AL1420" s="213"/>
      <c r="AM1420" s="213"/>
      <c r="AN1420" s="213"/>
      <c r="AO1420" s="213"/>
      <c r="AP1420" s="213"/>
      <c r="AQ1420" s="213"/>
      <c r="AR1420" s="213"/>
      <c r="AS1420" s="213"/>
      <c r="AT1420" s="213"/>
      <c r="AU1420" s="213"/>
      <c r="AV1420" s="213"/>
      <c r="AW1420" s="213"/>
      <c r="AX1420" s="213"/>
      <c r="AY1420" s="213"/>
      <c r="AZ1420" s="213"/>
      <c r="BA1420" s="213"/>
      <c r="BB1420" s="213"/>
      <c r="BC1420" s="213"/>
      <c r="BD1420" s="213"/>
    </row>
    <row r="1421">
      <c r="A1421" s="213">
        <f>IFERROR(__xludf.DUMMYFUNCTION("""COMPUTED_VALUE"""),2314.0)</f>
        <v>2314</v>
      </c>
      <c r="B1421" s="213" t="str">
        <f>IFERROR(__xludf.DUMMYFUNCTION("""COMPUTED_VALUE"""),"JOSE GRANDA")</f>
        <v>JOSE GRANDA</v>
      </c>
      <c r="C1421" s="213" t="str">
        <f>IFERROR(__xludf.DUMMYFUNCTION("""COMPUTED_VALUE"""),"TALLER SFT DE MECÁNICA AUTOMOTRIZ")</f>
        <v>TALLER SFT DE MECÁNICA AUTOMOTRIZ</v>
      </c>
      <c r="D1421" s="213" t="str">
        <f>IFERROR(__xludf.DUMMYFUNCTION("""COMPUTED_VALUE"""),"PEDAGOGICO")</f>
        <v>PEDAGOGICO</v>
      </c>
      <c r="E1421" s="213" t="str">
        <f>IFERROR(__xludf.DUMMYFUNCTION("""COMPUTED_VALUE"""),"MAT-293")</f>
        <v>MAT-293</v>
      </c>
      <c r="F1421" s="213" t="str">
        <f>IFERROR(__xludf.DUMMYFUNCTION("""COMPUTED_VALUE"""),"KEFF-83")</f>
        <v>KEFF-83</v>
      </c>
      <c r="G1421" s="213"/>
      <c r="H1421" s="213" t="str">
        <f>IFERROR(__xludf.DUMMYFUNCTION("""COMPUTED_VALUE"""),"MANUAL DE USO POR CADA EQUIPO DE MANTENIMIENTO DEL SISTEMA DE SUSPENSIÓN DIRECCIÓN Y FRENOS")</f>
        <v>MANUAL DE USO POR CADA EQUIPO DE MANTENIMIENTO DEL SISTEMA DE SUSPENSIÓN DIRECCIÓN Y FRENOS</v>
      </c>
      <c r="I142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21" s="213">
        <f>IFERROR(__xludf.DUMMYFUNCTION("""COMPUTED_VALUE"""),3.0)</f>
        <v>3</v>
      </c>
      <c r="K1421" s="213" t="str">
        <f>IFERROR(__xludf.DUMMYFUNCTION("""COMPUTED_VALUE"""),"170 DÍAS CALENDARIO")</f>
        <v>170 DÍAS CALENDARIO</v>
      </c>
      <c r="L1421" s="213" t="str">
        <f>IFERROR(__xludf.DUMMYFUNCTION("""COMPUTED_VALUE"""),"")</f>
        <v/>
      </c>
      <c r="M1421" s="213">
        <f>IFERROR(__xludf.DUMMYFUNCTION("""COMPUTED_VALUE"""),1.0)</f>
        <v>1</v>
      </c>
      <c r="N1421" s="213">
        <f>IFERROR(__xludf.DUMMYFUNCTION("""COMPUTED_VALUE"""),6.0)</f>
        <v>6</v>
      </c>
      <c r="O1421" s="213">
        <f>IFERROR(__xludf.DUMMYFUNCTION("""COMPUTED_VALUE"""),6.0)</f>
        <v>6</v>
      </c>
      <c r="P1421" s="213"/>
      <c r="Q1421" s="213"/>
      <c r="R1421" s="213"/>
      <c r="S1421" s="213"/>
      <c r="T1421" s="213"/>
      <c r="U1421" s="213"/>
      <c r="V1421" s="213"/>
      <c r="W1421" s="213"/>
      <c r="X1421" s="213"/>
      <c r="Y1421" s="213"/>
      <c r="Z1421" s="213"/>
      <c r="AA1421" s="213"/>
      <c r="AB1421" s="213"/>
      <c r="AC1421" s="213"/>
      <c r="AD1421" s="213"/>
      <c r="AE1421" s="213"/>
      <c r="AF1421" s="213"/>
      <c r="AG1421" s="213"/>
      <c r="AH1421" s="213"/>
      <c r="AI1421" s="213"/>
      <c r="AJ1421" s="213"/>
      <c r="AK1421" s="213"/>
      <c r="AL1421" s="213"/>
      <c r="AM1421" s="213"/>
      <c r="AN1421" s="213"/>
      <c r="AO1421" s="213"/>
      <c r="AP1421" s="213"/>
      <c r="AQ1421" s="213"/>
      <c r="AR1421" s="213"/>
      <c r="AS1421" s="213"/>
      <c r="AT1421" s="213"/>
      <c r="AU1421" s="213"/>
      <c r="AV1421" s="213"/>
      <c r="AW1421" s="213"/>
      <c r="AX1421" s="213"/>
      <c r="AY1421" s="213"/>
      <c r="AZ1421" s="213"/>
      <c r="BA1421" s="213"/>
      <c r="BB1421" s="213"/>
      <c r="BC1421" s="213"/>
      <c r="BD1421" s="213"/>
    </row>
    <row r="1422">
      <c r="A1422" s="213">
        <f>IFERROR(__xludf.DUMMYFUNCTION("""COMPUTED_VALUE"""),597.0)</f>
        <v>597</v>
      </c>
      <c r="B1422" s="213" t="str">
        <f>IFERROR(__xludf.DUMMYFUNCTION("""COMPUTED_VALUE"""),"2026 SIMON BOLIVAR")</f>
        <v>2026 SIMON BOLIVAR</v>
      </c>
      <c r="C1422" s="213" t="str">
        <f>IFERROR(__xludf.DUMMYFUNCTION("""COMPUTED_VALUE"""),"TALLER SFT DE INDUSTRIA ALIMENTARIA")</f>
        <v>TALLER SFT DE INDUSTRIA ALIMENTARIA</v>
      </c>
      <c r="D1422" s="213" t="str">
        <f>IFERROR(__xludf.DUMMYFUNCTION("""COMPUTED_VALUE"""),"PEDAGOGICO")</f>
        <v>PEDAGOGICO</v>
      </c>
      <c r="E1422" s="213" t="str">
        <f>IFERROR(__xludf.DUMMYFUNCTION("""COMPUTED_VALUE"""),"MAT-318")</f>
        <v>MAT-318</v>
      </c>
      <c r="F1422" s="213" t="str">
        <f>IFERROR(__xludf.DUMMYFUNCTION("""COMPUTED_VALUE"""),"KEFF-50")</f>
        <v>KEFF-50</v>
      </c>
      <c r="G1422" s="213"/>
      <c r="H1422" s="213" t="str">
        <f>IFERROR(__xludf.DUMMYFUNCTION("""COMPUTED_VALUE"""),"MANUAL DE USO POR CADA EQUIPO DE PROCESAMIENTO DE CACAO, CAFÉ, QUINUA Y OTROS")</f>
        <v>MANUAL DE USO POR CADA EQUIPO DE PROCESAMIENTO DE CACAO, CAFÉ, QUINUA Y OTROS</v>
      </c>
      <c r="I142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cacao, café, quinua y otros.
- Descripción de las principales tareas que se pueden realizar con cada equipo de procesamiento de cacao, café, quinua y otros.
- Descripción grafica de la instalación, uso "&amp;"y conservación de cada equipo.
- Descripción de los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cacao, café, quinua y otros.
- Descripción de las principales tareas que se pueden realizar con cada equipo de procesamiento de cacao, café, quinua y otros.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22" s="213">
        <f>IFERROR(__xludf.DUMMYFUNCTION("""COMPUTED_VALUE"""),3.0)</f>
        <v>3</v>
      </c>
      <c r="K1422" s="213" t="str">
        <f>IFERROR(__xludf.DUMMYFUNCTION("""COMPUTED_VALUE"""),"170 DÍAS CALENDARIO")</f>
        <v>170 DÍAS CALENDARIO</v>
      </c>
      <c r="L1422" s="213" t="str">
        <f>IFERROR(__xludf.DUMMYFUNCTION("""COMPUTED_VALUE"""),"")</f>
        <v/>
      </c>
      <c r="M1422" s="213">
        <f>IFERROR(__xludf.DUMMYFUNCTION("""COMPUTED_VALUE"""),1.0)</f>
        <v>1</v>
      </c>
      <c r="N1422" s="213">
        <f>IFERROR(__xludf.DUMMYFUNCTION("""COMPUTED_VALUE"""),6.0)</f>
        <v>6</v>
      </c>
      <c r="O1422" s="213">
        <f>IFERROR(__xludf.DUMMYFUNCTION("""COMPUTED_VALUE"""),6.0)</f>
        <v>6</v>
      </c>
      <c r="P1422" s="213"/>
      <c r="Q1422" s="213"/>
      <c r="R1422" s="213"/>
      <c r="S1422" s="213"/>
      <c r="T1422" s="213"/>
      <c r="U1422" s="213"/>
      <c r="V1422" s="213"/>
      <c r="W1422" s="213"/>
      <c r="X1422" s="213"/>
      <c r="Y1422" s="213"/>
      <c r="Z1422" s="213"/>
      <c r="AA1422" s="213"/>
      <c r="AB1422" s="213"/>
      <c r="AC1422" s="213"/>
      <c r="AD1422" s="213"/>
      <c r="AE1422" s="213"/>
      <c r="AF1422" s="213"/>
      <c r="AG1422" s="213"/>
      <c r="AH1422" s="213"/>
      <c r="AI1422" s="213"/>
      <c r="AJ1422" s="213"/>
      <c r="AK1422" s="213"/>
      <c r="AL1422" s="213"/>
      <c r="AM1422" s="213"/>
      <c r="AN1422" s="213"/>
      <c r="AO1422" s="213"/>
      <c r="AP1422" s="213"/>
      <c r="AQ1422" s="213"/>
      <c r="AR1422" s="213"/>
      <c r="AS1422" s="213"/>
      <c r="AT1422" s="213"/>
      <c r="AU1422" s="213"/>
      <c r="AV1422" s="213"/>
      <c r="AW1422" s="213"/>
      <c r="AX1422" s="213"/>
      <c r="AY1422" s="213"/>
      <c r="AZ1422" s="213"/>
      <c r="BA1422" s="213"/>
      <c r="BB1422" s="213"/>
      <c r="BC1422" s="213"/>
      <c r="BD1422" s="213"/>
    </row>
    <row r="1423">
      <c r="A1423" s="213">
        <f>IFERROR(__xludf.DUMMYFUNCTION("""COMPUTED_VALUE"""),1223.0)</f>
        <v>1223</v>
      </c>
      <c r="B1423" s="213" t="str">
        <f>IFERROR(__xludf.DUMMYFUNCTION("""COMPUTED_VALUE"""),"FRANCISCO IRAZOLA")</f>
        <v>FRANCISCO IRAZOLA</v>
      </c>
      <c r="C1423" s="213" t="str">
        <f>IFERROR(__xludf.DUMMYFUNCTION("""COMPUTED_VALUE"""),"TALLER SFT DE INDUSTRIA ALIMENTARIA")</f>
        <v>TALLER SFT DE INDUSTRIA ALIMENTARIA</v>
      </c>
      <c r="D1423" s="213" t="str">
        <f>IFERROR(__xludf.DUMMYFUNCTION("""COMPUTED_VALUE"""),"PEDAGOGICO")</f>
        <v>PEDAGOGICO</v>
      </c>
      <c r="E1423" s="213" t="str">
        <f>IFERROR(__xludf.DUMMYFUNCTION("""COMPUTED_VALUE"""),"MAT-318")</f>
        <v>MAT-318</v>
      </c>
      <c r="F1423" s="213" t="str">
        <f>IFERROR(__xludf.DUMMYFUNCTION("""COMPUTED_VALUE"""),"KEFF-50")</f>
        <v>KEFF-50</v>
      </c>
      <c r="G1423" s="213"/>
      <c r="H1423" s="213" t="str">
        <f>IFERROR(__xludf.DUMMYFUNCTION("""COMPUTED_VALUE"""),"MANUAL DE USO POR CADA EQUIPO DE PROCESAMIENTO DE CACAO, CAFÉ, QUINUA Y OTROS")</f>
        <v>MANUAL DE USO POR CADA EQUIPO DE PROCESAMIENTO DE CACAO, CAFÉ, QUINUA Y OTROS</v>
      </c>
      <c r="I142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cacao, café, quinua y otros.
- Descripción de las principales tareas que se pueden realizar con cada equipo de procesamiento de cacao, café, quinua y otros.
- Descripción grafica de la instalación, uso "&amp;"y conservación de cada equipo.
- Descripción de los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cacao, café, quinua y otros.
- Descripción de las principales tareas que se pueden realizar con cada equipo de procesamiento de cacao, café, quinua y otros.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23" s="213">
        <f>IFERROR(__xludf.DUMMYFUNCTION("""COMPUTED_VALUE"""),3.0)</f>
        <v>3</v>
      </c>
      <c r="K1423" s="213" t="str">
        <f>IFERROR(__xludf.DUMMYFUNCTION("""COMPUTED_VALUE"""),"170 DÍAS CALENDARIO")</f>
        <v>170 DÍAS CALENDARIO</v>
      </c>
      <c r="L1423" s="213" t="str">
        <f>IFERROR(__xludf.DUMMYFUNCTION("""COMPUTED_VALUE"""),"")</f>
        <v/>
      </c>
      <c r="M1423" s="213">
        <f>IFERROR(__xludf.DUMMYFUNCTION("""COMPUTED_VALUE"""),1.0)</f>
        <v>1</v>
      </c>
      <c r="N1423" s="213">
        <f>IFERROR(__xludf.DUMMYFUNCTION("""COMPUTED_VALUE"""),6.0)</f>
        <v>6</v>
      </c>
      <c r="O1423" s="213">
        <f>IFERROR(__xludf.DUMMYFUNCTION("""COMPUTED_VALUE"""),6.0)</f>
        <v>6</v>
      </c>
      <c r="P1423" s="213"/>
      <c r="Q1423" s="213"/>
      <c r="R1423" s="213"/>
      <c r="S1423" s="213"/>
      <c r="T1423" s="213"/>
      <c r="U1423" s="213"/>
      <c r="V1423" s="213"/>
      <c r="W1423" s="213"/>
      <c r="X1423" s="213"/>
      <c r="Y1423" s="213"/>
      <c r="Z1423" s="213"/>
      <c r="AA1423" s="213"/>
      <c r="AB1423" s="213"/>
      <c r="AC1423" s="213"/>
      <c r="AD1423" s="213"/>
      <c r="AE1423" s="213"/>
      <c r="AF1423" s="213"/>
      <c r="AG1423" s="213"/>
      <c r="AH1423" s="213"/>
      <c r="AI1423" s="213"/>
      <c r="AJ1423" s="213"/>
      <c r="AK1423" s="213"/>
      <c r="AL1423" s="213"/>
      <c r="AM1423" s="213"/>
      <c r="AN1423" s="213"/>
      <c r="AO1423" s="213"/>
      <c r="AP1423" s="213"/>
      <c r="AQ1423" s="213"/>
      <c r="AR1423" s="213"/>
      <c r="AS1423" s="213"/>
      <c r="AT1423" s="213"/>
      <c r="AU1423" s="213"/>
      <c r="AV1423" s="213"/>
      <c r="AW1423" s="213"/>
      <c r="AX1423" s="213"/>
      <c r="AY1423" s="213"/>
      <c r="AZ1423" s="213"/>
      <c r="BA1423" s="213"/>
      <c r="BB1423" s="213"/>
      <c r="BC1423" s="213"/>
      <c r="BD1423" s="213"/>
    </row>
    <row r="1424">
      <c r="A1424" s="213">
        <f>IFERROR(__xludf.DUMMYFUNCTION("""COMPUTED_VALUE"""),1494.0)</f>
        <v>1494</v>
      </c>
      <c r="B1424" s="213" t="str">
        <f>IFERROR(__xludf.DUMMYFUNCTION("""COMPUTED_VALUE"""),"GUILLERMO E. BILLINGHURST ")</f>
        <v>GUILLERMO E. BILLINGHURST </v>
      </c>
      <c r="C1424" s="213" t="str">
        <f>IFERROR(__xludf.DUMMYFUNCTION("""COMPUTED_VALUE"""),"TALLER SFT DE INDUSTRIA ALIMENTARIA")</f>
        <v>TALLER SFT DE INDUSTRIA ALIMENTARIA</v>
      </c>
      <c r="D1424" s="213" t="str">
        <f>IFERROR(__xludf.DUMMYFUNCTION("""COMPUTED_VALUE"""),"PEDAGOGICO")</f>
        <v>PEDAGOGICO</v>
      </c>
      <c r="E1424" s="213" t="str">
        <f>IFERROR(__xludf.DUMMYFUNCTION("""COMPUTED_VALUE"""),"MAT-318")</f>
        <v>MAT-318</v>
      </c>
      <c r="F1424" s="213" t="str">
        <f>IFERROR(__xludf.DUMMYFUNCTION("""COMPUTED_VALUE"""),"KEFF-50")</f>
        <v>KEFF-50</v>
      </c>
      <c r="G1424" s="213"/>
      <c r="H1424" s="213" t="str">
        <f>IFERROR(__xludf.DUMMYFUNCTION("""COMPUTED_VALUE"""),"MANUAL DE USO POR CADA EQUIPO DE PROCESAMIENTO DE CACAO, CAFÉ, QUINUA Y OTROS")</f>
        <v>MANUAL DE USO POR CADA EQUIPO DE PROCESAMIENTO DE CACAO, CAFÉ, QUINUA Y OTROS</v>
      </c>
      <c r="I142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cacao, café, quinua y otros.
- Descripción de las principales tareas que se pueden realizar con cada equipo de procesamiento de cacao, café, quinua y otros.
- Descripción grafica de la instalación, uso "&amp;"y conservación de cada equipo.
- Descripción de los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cacao, café, quinua y otros.
- Descripción de las principales tareas que se pueden realizar con cada equipo de procesamiento de cacao, café, quinua y otros.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24" s="213">
        <f>IFERROR(__xludf.DUMMYFUNCTION("""COMPUTED_VALUE"""),3.0)</f>
        <v>3</v>
      </c>
      <c r="K1424" s="213" t="str">
        <f>IFERROR(__xludf.DUMMYFUNCTION("""COMPUTED_VALUE"""),"170 DÍAS CALENDARIO")</f>
        <v>170 DÍAS CALENDARIO</v>
      </c>
      <c r="L1424" s="213" t="str">
        <f>IFERROR(__xludf.DUMMYFUNCTION("""COMPUTED_VALUE"""),"")</f>
        <v/>
      </c>
      <c r="M1424" s="213">
        <f>IFERROR(__xludf.DUMMYFUNCTION("""COMPUTED_VALUE"""),1.0)</f>
        <v>1</v>
      </c>
      <c r="N1424" s="213">
        <f>IFERROR(__xludf.DUMMYFUNCTION("""COMPUTED_VALUE"""),6.0)</f>
        <v>6</v>
      </c>
      <c r="O1424" s="213">
        <f>IFERROR(__xludf.DUMMYFUNCTION("""COMPUTED_VALUE"""),6.0)</f>
        <v>6</v>
      </c>
      <c r="P1424" s="213"/>
      <c r="Q1424" s="213"/>
      <c r="R1424" s="213"/>
      <c r="S1424" s="213"/>
      <c r="T1424" s="213"/>
      <c r="U1424" s="213"/>
      <c r="V1424" s="213"/>
      <c r="W1424" s="213"/>
      <c r="X1424" s="213"/>
      <c r="Y1424" s="213"/>
      <c r="Z1424" s="213"/>
      <c r="AA1424" s="213"/>
      <c r="AB1424" s="213"/>
      <c r="AC1424" s="213"/>
      <c r="AD1424" s="213"/>
      <c r="AE1424" s="213"/>
      <c r="AF1424" s="213"/>
      <c r="AG1424" s="213"/>
      <c r="AH1424" s="213"/>
      <c r="AI1424" s="213"/>
      <c r="AJ1424" s="213"/>
      <c r="AK1424" s="213"/>
      <c r="AL1424" s="213"/>
      <c r="AM1424" s="213"/>
      <c r="AN1424" s="213"/>
      <c r="AO1424" s="213"/>
      <c r="AP1424" s="213"/>
      <c r="AQ1424" s="213"/>
      <c r="AR1424" s="213"/>
      <c r="AS1424" s="213"/>
      <c r="AT1424" s="213"/>
      <c r="AU1424" s="213"/>
      <c r="AV1424" s="213"/>
      <c r="AW1424" s="213"/>
      <c r="AX1424" s="213"/>
      <c r="AY1424" s="213"/>
      <c r="AZ1424" s="213"/>
      <c r="BA1424" s="213"/>
      <c r="BB1424" s="213"/>
      <c r="BC1424" s="213"/>
      <c r="BD1424" s="213"/>
    </row>
    <row r="1425">
      <c r="A1425" s="213">
        <f>IFERROR(__xludf.DUMMYFUNCTION("""COMPUTED_VALUE"""),2186.0)</f>
        <v>2186</v>
      </c>
      <c r="B1425" s="213" t="str">
        <f>IFERROR(__xludf.DUMMYFUNCTION("""COMPUTED_VALUE"""),"JOSE GRANDA")</f>
        <v>JOSE GRANDA</v>
      </c>
      <c r="C1425" s="213" t="str">
        <f>IFERROR(__xludf.DUMMYFUNCTION("""COMPUTED_VALUE"""),"TALLER SFT DE INDUSTRIA ALIMENTARIA")</f>
        <v>TALLER SFT DE INDUSTRIA ALIMENTARIA</v>
      </c>
      <c r="D1425" s="213" t="str">
        <f>IFERROR(__xludf.DUMMYFUNCTION("""COMPUTED_VALUE"""),"PEDAGOGICO")</f>
        <v>PEDAGOGICO</v>
      </c>
      <c r="E1425" s="213" t="str">
        <f>IFERROR(__xludf.DUMMYFUNCTION("""COMPUTED_VALUE"""),"MAT-318")</f>
        <v>MAT-318</v>
      </c>
      <c r="F1425" s="213" t="str">
        <f>IFERROR(__xludf.DUMMYFUNCTION("""COMPUTED_VALUE"""),"KEFF-50")</f>
        <v>KEFF-50</v>
      </c>
      <c r="G1425" s="213"/>
      <c r="H1425" s="213" t="str">
        <f>IFERROR(__xludf.DUMMYFUNCTION("""COMPUTED_VALUE"""),"MANUAL DE USO POR CADA EQUIPO DE PROCESAMIENTO DE CACAO, CAFÉ, QUINUA Y OTROS")</f>
        <v>MANUAL DE USO POR CADA EQUIPO DE PROCESAMIENTO DE CACAO, CAFÉ, QUINUA Y OTROS</v>
      </c>
      <c r="I142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cacao, café, quinua y otros.
- Descripción de las principales tareas que se pueden realizar con cada equipo de procesamiento de cacao, café, quinua y otros.
- Descripción grafica de la instalación, uso "&amp;"y conservación de cada equipo.
- Descripción de los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cacao, café, quinua y otros.
- Descripción de las principales tareas que se pueden realizar con cada equipo de procesamiento de cacao, café, quinua y otros.
- Descripción grafica de la instalación, uso y conservación de cada equipo.
- Descripción de los errores comunes que se presentan en el uso y la forma de solucionarlos.
- Descripción de las normas de seguridad que se tienen que se deben tener en cuenta durante el uso de cada equipo.</v>
      </c>
      <c r="J1425" s="213">
        <f>IFERROR(__xludf.DUMMYFUNCTION("""COMPUTED_VALUE"""),3.0)</f>
        <v>3</v>
      </c>
      <c r="K1425" s="213" t="str">
        <f>IFERROR(__xludf.DUMMYFUNCTION("""COMPUTED_VALUE"""),"170 DÍAS CALENDARIO")</f>
        <v>170 DÍAS CALENDARIO</v>
      </c>
      <c r="L1425" s="213" t="str">
        <f>IFERROR(__xludf.DUMMYFUNCTION("""COMPUTED_VALUE"""),"")</f>
        <v/>
      </c>
      <c r="M1425" s="213">
        <f>IFERROR(__xludf.DUMMYFUNCTION("""COMPUTED_VALUE"""),1.0)</f>
        <v>1</v>
      </c>
      <c r="N1425" s="213">
        <f>IFERROR(__xludf.DUMMYFUNCTION("""COMPUTED_VALUE"""),6.0)</f>
        <v>6</v>
      </c>
      <c r="O1425" s="213">
        <f>IFERROR(__xludf.DUMMYFUNCTION("""COMPUTED_VALUE"""),6.0)</f>
        <v>6</v>
      </c>
      <c r="P1425" s="213"/>
      <c r="Q1425" s="213"/>
      <c r="R1425" s="213"/>
      <c r="S1425" s="213"/>
      <c r="T1425" s="213"/>
      <c r="U1425" s="213"/>
      <c r="V1425" s="213"/>
      <c r="W1425" s="213"/>
      <c r="X1425" s="213"/>
      <c r="Y1425" s="213"/>
      <c r="Z1425" s="213"/>
      <c r="AA1425" s="213"/>
      <c r="AB1425" s="213"/>
      <c r="AC1425" s="213"/>
      <c r="AD1425" s="213"/>
      <c r="AE1425" s="213"/>
      <c r="AF1425" s="213"/>
      <c r="AG1425" s="213"/>
      <c r="AH1425" s="213"/>
      <c r="AI1425" s="213"/>
      <c r="AJ1425" s="213"/>
      <c r="AK1425" s="213"/>
      <c r="AL1425" s="213"/>
      <c r="AM1425" s="213"/>
      <c r="AN1425" s="213"/>
      <c r="AO1425" s="213"/>
      <c r="AP1425" s="213"/>
      <c r="AQ1425" s="213"/>
      <c r="AR1425" s="213"/>
      <c r="AS1425" s="213"/>
      <c r="AT1425" s="213"/>
      <c r="AU1425" s="213"/>
      <c r="AV1425" s="213"/>
      <c r="AW1425" s="213"/>
      <c r="AX1425" s="213"/>
      <c r="AY1425" s="213"/>
      <c r="AZ1425" s="213"/>
      <c r="BA1425" s="213"/>
      <c r="BB1425" s="213"/>
      <c r="BC1425" s="213"/>
      <c r="BD1425" s="213"/>
    </row>
    <row r="1426">
      <c r="A1426" s="213">
        <f>IFERROR(__xludf.DUMMYFUNCTION("""COMPUTED_VALUE"""),582.0)</f>
        <v>582</v>
      </c>
      <c r="B1426" s="213" t="str">
        <f>IFERROR(__xludf.DUMMYFUNCTION("""COMPUTED_VALUE"""),"2026 SIMON BOLIVAR")</f>
        <v>2026 SIMON BOLIVAR</v>
      </c>
      <c r="C1426" s="213" t="str">
        <f>IFERROR(__xludf.DUMMYFUNCTION("""COMPUTED_VALUE"""),"TALLER SFT DE INDUSTRIA ALIMENTARIA")</f>
        <v>TALLER SFT DE INDUSTRIA ALIMENTARIA</v>
      </c>
      <c r="D1426" s="213" t="str">
        <f>IFERROR(__xludf.DUMMYFUNCTION("""COMPUTED_VALUE"""),"PEDAGOGICO")</f>
        <v>PEDAGOGICO</v>
      </c>
      <c r="E1426" s="213" t="str">
        <f>IFERROR(__xludf.DUMMYFUNCTION("""COMPUTED_VALUE"""),"MAT-319")</f>
        <v>MAT-319</v>
      </c>
      <c r="F1426" s="213" t="str">
        <f>IFERROR(__xludf.DUMMYFUNCTION("""COMPUTED_VALUE"""),"KEFF-44")</f>
        <v>KEFF-44</v>
      </c>
      <c r="G1426" s="213"/>
      <c r="H1426" s="213" t="str">
        <f>IFERROR(__xludf.DUMMYFUNCTION("""COMPUTED_VALUE"""),"MANUAL DE USO POR CADA EQUIPO DE PROCESAMIENTO DE FRUTAS Y HORTALIZAS")</f>
        <v>MANUAL DE USO POR CADA EQUIPO DE PROCESAMIENTO DE FRUTAS Y HORTALIZAS</v>
      </c>
      <c r="I142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frutas y Hortalizas
- Descripción de las principales tareas que se pueden realizar con cada equipo  de procesamiento de frutas y Hortalizas
- Descripción grafica de la instalación, uso y conservación de"&amp;"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frutas y Hortalizas
- Descripción de las principales tareas que se pueden realizar con cada equipo  de procesamiento de frutas y Hortalizas
- Descripción grafica de la instalación, uso y conservación de cada equipo.
- Descripción de los errores comunes que se presentan en el uso y la forma de solucionarlos.
- Descripción de las normas de seguridad que se deben tener en cuenta durante el uso de cada equipo.</v>
      </c>
      <c r="J1426" s="213">
        <f>IFERROR(__xludf.DUMMYFUNCTION("""COMPUTED_VALUE"""),3.0)</f>
        <v>3</v>
      </c>
      <c r="K1426" s="213" t="str">
        <f>IFERROR(__xludf.DUMMYFUNCTION("""COMPUTED_VALUE"""),"170 DÍAS CALENDARIO")</f>
        <v>170 DÍAS CALENDARIO</v>
      </c>
      <c r="L1426" s="213" t="str">
        <f>IFERROR(__xludf.DUMMYFUNCTION("""COMPUTED_VALUE"""),"")</f>
        <v/>
      </c>
      <c r="M1426" s="213">
        <f>IFERROR(__xludf.DUMMYFUNCTION("""COMPUTED_VALUE"""),1.0)</f>
        <v>1</v>
      </c>
      <c r="N1426" s="213">
        <f>IFERROR(__xludf.DUMMYFUNCTION("""COMPUTED_VALUE"""),6.0)</f>
        <v>6</v>
      </c>
      <c r="O1426" s="213">
        <f>IFERROR(__xludf.DUMMYFUNCTION("""COMPUTED_VALUE"""),6.0)</f>
        <v>6</v>
      </c>
      <c r="P1426" s="213"/>
      <c r="Q1426" s="213"/>
      <c r="R1426" s="213"/>
      <c r="S1426" s="213"/>
      <c r="T1426" s="213"/>
      <c r="U1426" s="213"/>
      <c r="V1426" s="213"/>
      <c r="W1426" s="213"/>
      <c r="X1426" s="213"/>
      <c r="Y1426" s="213"/>
      <c r="Z1426" s="213"/>
      <c r="AA1426" s="213"/>
      <c r="AB1426" s="213"/>
      <c r="AC1426" s="213"/>
      <c r="AD1426" s="213"/>
      <c r="AE1426" s="213"/>
      <c r="AF1426" s="213"/>
      <c r="AG1426" s="213"/>
      <c r="AH1426" s="213"/>
      <c r="AI1426" s="213"/>
      <c r="AJ1426" s="213"/>
      <c r="AK1426" s="213"/>
      <c r="AL1426" s="213"/>
      <c r="AM1426" s="213"/>
      <c r="AN1426" s="213"/>
      <c r="AO1426" s="213"/>
      <c r="AP1426" s="213"/>
      <c r="AQ1426" s="213"/>
      <c r="AR1426" s="213"/>
      <c r="AS1426" s="213"/>
      <c r="AT1426" s="213"/>
      <c r="AU1426" s="213"/>
      <c r="AV1426" s="213"/>
      <c r="AW1426" s="213"/>
      <c r="AX1426" s="213"/>
      <c r="AY1426" s="213"/>
      <c r="AZ1426" s="213"/>
      <c r="BA1426" s="213"/>
      <c r="BB1426" s="213"/>
      <c r="BC1426" s="213"/>
      <c r="BD1426" s="213"/>
    </row>
    <row r="1427">
      <c r="A1427" s="213">
        <f>IFERROR(__xludf.DUMMYFUNCTION("""COMPUTED_VALUE"""),1208.0)</f>
        <v>1208</v>
      </c>
      <c r="B1427" s="213" t="str">
        <f>IFERROR(__xludf.DUMMYFUNCTION("""COMPUTED_VALUE"""),"FRANCISCO IRAZOLA")</f>
        <v>FRANCISCO IRAZOLA</v>
      </c>
      <c r="C1427" s="213" t="str">
        <f>IFERROR(__xludf.DUMMYFUNCTION("""COMPUTED_VALUE"""),"TALLER SFT DE INDUSTRIA ALIMENTARIA")</f>
        <v>TALLER SFT DE INDUSTRIA ALIMENTARIA</v>
      </c>
      <c r="D1427" s="213" t="str">
        <f>IFERROR(__xludf.DUMMYFUNCTION("""COMPUTED_VALUE"""),"PEDAGOGICO")</f>
        <v>PEDAGOGICO</v>
      </c>
      <c r="E1427" s="213" t="str">
        <f>IFERROR(__xludf.DUMMYFUNCTION("""COMPUTED_VALUE"""),"MAT-319")</f>
        <v>MAT-319</v>
      </c>
      <c r="F1427" s="213" t="str">
        <f>IFERROR(__xludf.DUMMYFUNCTION("""COMPUTED_VALUE"""),"KEFF-44")</f>
        <v>KEFF-44</v>
      </c>
      <c r="G1427" s="213"/>
      <c r="H1427" s="213" t="str">
        <f>IFERROR(__xludf.DUMMYFUNCTION("""COMPUTED_VALUE"""),"MANUAL DE USO POR CADA EQUIPO DE PROCESAMIENTO DE FRUTAS Y HORTALIZAS")</f>
        <v>MANUAL DE USO POR CADA EQUIPO DE PROCESAMIENTO DE FRUTAS Y HORTALIZAS</v>
      </c>
      <c r="I142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frutas y Hortalizas
- Descripción de las principales tareas que se pueden realizar con cada equipo  de procesamiento de frutas y Hortalizas
- Descripción grafica de la instalación, uso y conservación de"&amp;"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frutas y Hortalizas
- Descripción de las principales tareas que se pueden realizar con cada equipo  de procesamiento de frutas y Hortalizas
- Descripción grafica de la instalación, uso y conservación de cada equipo.
- Descripción de los errores comunes que se presentan en el uso y la forma de solucionarlos.
- Descripción de las normas de seguridad que se deben tener en cuenta durante el uso de cada equipo.</v>
      </c>
      <c r="J1427" s="213">
        <f>IFERROR(__xludf.DUMMYFUNCTION("""COMPUTED_VALUE"""),3.0)</f>
        <v>3</v>
      </c>
      <c r="K1427" s="213" t="str">
        <f>IFERROR(__xludf.DUMMYFUNCTION("""COMPUTED_VALUE"""),"170 DÍAS CALENDARIO")</f>
        <v>170 DÍAS CALENDARIO</v>
      </c>
      <c r="L1427" s="213" t="str">
        <f>IFERROR(__xludf.DUMMYFUNCTION("""COMPUTED_VALUE"""),"")</f>
        <v/>
      </c>
      <c r="M1427" s="213">
        <f>IFERROR(__xludf.DUMMYFUNCTION("""COMPUTED_VALUE"""),1.0)</f>
        <v>1</v>
      </c>
      <c r="N1427" s="213">
        <f>IFERROR(__xludf.DUMMYFUNCTION("""COMPUTED_VALUE"""),6.0)</f>
        <v>6</v>
      </c>
      <c r="O1427" s="213">
        <f>IFERROR(__xludf.DUMMYFUNCTION("""COMPUTED_VALUE"""),6.0)</f>
        <v>6</v>
      </c>
      <c r="P1427" s="213"/>
      <c r="Q1427" s="213"/>
      <c r="R1427" s="213"/>
      <c r="S1427" s="213"/>
      <c r="T1427" s="213"/>
      <c r="U1427" s="213"/>
      <c r="V1427" s="213"/>
      <c r="W1427" s="213"/>
      <c r="X1427" s="213"/>
      <c r="Y1427" s="213"/>
      <c r="Z1427" s="213"/>
      <c r="AA1427" s="213"/>
      <c r="AB1427" s="213"/>
      <c r="AC1427" s="213"/>
      <c r="AD1427" s="213"/>
      <c r="AE1427" s="213"/>
      <c r="AF1427" s="213"/>
      <c r="AG1427" s="213"/>
      <c r="AH1427" s="213"/>
      <c r="AI1427" s="213"/>
      <c r="AJ1427" s="213"/>
      <c r="AK1427" s="213"/>
      <c r="AL1427" s="213"/>
      <c r="AM1427" s="213"/>
      <c r="AN1427" s="213"/>
      <c r="AO1427" s="213"/>
      <c r="AP1427" s="213"/>
      <c r="AQ1427" s="213"/>
      <c r="AR1427" s="213"/>
      <c r="AS1427" s="213"/>
      <c r="AT1427" s="213"/>
      <c r="AU1427" s="213"/>
      <c r="AV1427" s="213"/>
      <c r="AW1427" s="213"/>
      <c r="AX1427" s="213"/>
      <c r="AY1427" s="213"/>
      <c r="AZ1427" s="213"/>
      <c r="BA1427" s="213"/>
      <c r="BB1427" s="213"/>
      <c r="BC1427" s="213"/>
      <c r="BD1427" s="213"/>
    </row>
    <row r="1428">
      <c r="A1428" s="213">
        <f>IFERROR(__xludf.DUMMYFUNCTION("""COMPUTED_VALUE"""),1479.0)</f>
        <v>1479</v>
      </c>
      <c r="B1428" s="213" t="str">
        <f>IFERROR(__xludf.DUMMYFUNCTION("""COMPUTED_VALUE"""),"GUILLERMO E. BILLINGHURST ")</f>
        <v>GUILLERMO E. BILLINGHURST </v>
      </c>
      <c r="C1428" s="213" t="str">
        <f>IFERROR(__xludf.DUMMYFUNCTION("""COMPUTED_VALUE"""),"TALLER SFT DE INDUSTRIA ALIMENTARIA")</f>
        <v>TALLER SFT DE INDUSTRIA ALIMENTARIA</v>
      </c>
      <c r="D1428" s="213" t="str">
        <f>IFERROR(__xludf.DUMMYFUNCTION("""COMPUTED_VALUE"""),"PEDAGOGICO")</f>
        <v>PEDAGOGICO</v>
      </c>
      <c r="E1428" s="213" t="str">
        <f>IFERROR(__xludf.DUMMYFUNCTION("""COMPUTED_VALUE"""),"MAT-319")</f>
        <v>MAT-319</v>
      </c>
      <c r="F1428" s="213" t="str">
        <f>IFERROR(__xludf.DUMMYFUNCTION("""COMPUTED_VALUE"""),"KEFF-44")</f>
        <v>KEFF-44</v>
      </c>
      <c r="G1428" s="213"/>
      <c r="H1428" s="213" t="str">
        <f>IFERROR(__xludf.DUMMYFUNCTION("""COMPUTED_VALUE"""),"MANUAL DE USO POR CADA EQUIPO DE PROCESAMIENTO DE FRUTAS Y HORTALIZAS")</f>
        <v>MANUAL DE USO POR CADA EQUIPO DE PROCESAMIENTO DE FRUTAS Y HORTALIZAS</v>
      </c>
      <c r="I142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frutas y Hortalizas
- Descripción de las principales tareas que se pueden realizar con cada equipo  de procesamiento de frutas y Hortalizas
- Descripción grafica de la instalación, uso y conservación de"&amp;"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frutas y Hortalizas
- Descripción de las principales tareas que se pueden realizar con cada equipo  de procesamiento de frutas y Hortalizas
- Descripción grafica de la instalación, uso y conservación de cada equipo.
- Descripción de los errores comunes que se presentan en el uso y la forma de solucionarlos.
- Descripción de las normas de seguridad que se deben tener en cuenta durante el uso de cada equipo.</v>
      </c>
      <c r="J1428" s="213">
        <f>IFERROR(__xludf.DUMMYFUNCTION("""COMPUTED_VALUE"""),3.0)</f>
        <v>3</v>
      </c>
      <c r="K1428" s="213" t="str">
        <f>IFERROR(__xludf.DUMMYFUNCTION("""COMPUTED_VALUE"""),"170 DÍAS CALENDARIO")</f>
        <v>170 DÍAS CALENDARIO</v>
      </c>
      <c r="L1428" s="213" t="str">
        <f>IFERROR(__xludf.DUMMYFUNCTION("""COMPUTED_VALUE"""),"")</f>
        <v/>
      </c>
      <c r="M1428" s="213">
        <f>IFERROR(__xludf.DUMMYFUNCTION("""COMPUTED_VALUE"""),1.0)</f>
        <v>1</v>
      </c>
      <c r="N1428" s="213">
        <f>IFERROR(__xludf.DUMMYFUNCTION("""COMPUTED_VALUE"""),6.0)</f>
        <v>6</v>
      </c>
      <c r="O1428" s="213">
        <f>IFERROR(__xludf.DUMMYFUNCTION("""COMPUTED_VALUE"""),6.0)</f>
        <v>6</v>
      </c>
      <c r="P1428" s="213"/>
      <c r="Q1428" s="213"/>
      <c r="R1428" s="213"/>
      <c r="S1428" s="213"/>
      <c r="T1428" s="213"/>
      <c r="U1428" s="213"/>
      <c r="V1428" s="213"/>
      <c r="W1428" s="213"/>
      <c r="X1428" s="213"/>
      <c r="Y1428" s="213"/>
      <c r="Z1428" s="213"/>
      <c r="AA1428" s="213"/>
      <c r="AB1428" s="213"/>
      <c r="AC1428" s="213"/>
      <c r="AD1428" s="213"/>
      <c r="AE1428" s="213"/>
      <c r="AF1428" s="213"/>
      <c r="AG1428" s="213"/>
      <c r="AH1428" s="213"/>
      <c r="AI1428" s="213"/>
      <c r="AJ1428" s="213"/>
      <c r="AK1428" s="213"/>
      <c r="AL1428" s="213"/>
      <c r="AM1428" s="213"/>
      <c r="AN1428" s="213"/>
      <c r="AO1428" s="213"/>
      <c r="AP1428" s="213"/>
      <c r="AQ1428" s="213"/>
      <c r="AR1428" s="213"/>
      <c r="AS1428" s="213"/>
      <c r="AT1428" s="213"/>
      <c r="AU1428" s="213"/>
      <c r="AV1428" s="213"/>
      <c r="AW1428" s="213"/>
      <c r="AX1428" s="213"/>
      <c r="AY1428" s="213"/>
      <c r="AZ1428" s="213"/>
      <c r="BA1428" s="213"/>
      <c r="BB1428" s="213"/>
      <c r="BC1428" s="213"/>
      <c r="BD1428" s="213"/>
    </row>
    <row r="1429">
      <c r="A1429" s="213">
        <f>IFERROR(__xludf.DUMMYFUNCTION("""COMPUTED_VALUE"""),2171.0)</f>
        <v>2171</v>
      </c>
      <c r="B1429" s="213" t="str">
        <f>IFERROR(__xludf.DUMMYFUNCTION("""COMPUTED_VALUE"""),"JOSE GRANDA")</f>
        <v>JOSE GRANDA</v>
      </c>
      <c r="C1429" s="213" t="str">
        <f>IFERROR(__xludf.DUMMYFUNCTION("""COMPUTED_VALUE"""),"TALLER SFT DE INDUSTRIA ALIMENTARIA")</f>
        <v>TALLER SFT DE INDUSTRIA ALIMENTARIA</v>
      </c>
      <c r="D1429" s="213" t="str">
        <f>IFERROR(__xludf.DUMMYFUNCTION("""COMPUTED_VALUE"""),"PEDAGOGICO")</f>
        <v>PEDAGOGICO</v>
      </c>
      <c r="E1429" s="213" t="str">
        <f>IFERROR(__xludf.DUMMYFUNCTION("""COMPUTED_VALUE"""),"MAT-319")</f>
        <v>MAT-319</v>
      </c>
      <c r="F1429" s="213" t="str">
        <f>IFERROR(__xludf.DUMMYFUNCTION("""COMPUTED_VALUE"""),"KEFF-44")</f>
        <v>KEFF-44</v>
      </c>
      <c r="G1429" s="213"/>
      <c r="H1429" s="213" t="str">
        <f>IFERROR(__xludf.DUMMYFUNCTION("""COMPUTED_VALUE"""),"MANUAL DE USO POR CADA EQUIPO DE PROCESAMIENTO DE FRUTAS Y HORTALIZAS")</f>
        <v>MANUAL DE USO POR CADA EQUIPO DE PROCESAMIENTO DE FRUTAS Y HORTALIZAS</v>
      </c>
      <c r="I142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frutas y Hortalizas
- Descripción de las principales tareas que se pueden realizar con cada equipo  de procesamiento de frutas y Hortalizas
- Descripción grafica de la instalación, uso y conservación de"&amp;"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frutas y Hortalizas
- Descripción de las principales tareas que se pueden realizar con cada equipo  de procesamiento de frutas y Hortalizas
- Descripción grafica de la instalación, uso y conservación de cada equipo.
- Descripción de los errores comunes que se presentan en el uso y la forma de solucionarlos.
- Descripción de las normas de seguridad que se deben tener en cuenta durante el uso de cada equipo.</v>
      </c>
      <c r="J1429" s="213">
        <f>IFERROR(__xludf.DUMMYFUNCTION("""COMPUTED_VALUE"""),3.0)</f>
        <v>3</v>
      </c>
      <c r="K1429" s="213" t="str">
        <f>IFERROR(__xludf.DUMMYFUNCTION("""COMPUTED_VALUE"""),"170 DÍAS CALENDARIO")</f>
        <v>170 DÍAS CALENDARIO</v>
      </c>
      <c r="L1429" s="213" t="str">
        <f>IFERROR(__xludf.DUMMYFUNCTION("""COMPUTED_VALUE"""),"")</f>
        <v/>
      </c>
      <c r="M1429" s="213">
        <f>IFERROR(__xludf.DUMMYFUNCTION("""COMPUTED_VALUE"""),1.0)</f>
        <v>1</v>
      </c>
      <c r="N1429" s="213">
        <f>IFERROR(__xludf.DUMMYFUNCTION("""COMPUTED_VALUE"""),6.0)</f>
        <v>6</v>
      </c>
      <c r="O1429" s="213">
        <f>IFERROR(__xludf.DUMMYFUNCTION("""COMPUTED_VALUE"""),6.0)</f>
        <v>6</v>
      </c>
      <c r="P1429" s="213"/>
      <c r="Q1429" s="213"/>
      <c r="R1429" s="213"/>
      <c r="S1429" s="213"/>
      <c r="T1429" s="213"/>
      <c r="U1429" s="213"/>
      <c r="V1429" s="213"/>
      <c r="W1429" s="213"/>
      <c r="X1429" s="213"/>
      <c r="Y1429" s="213"/>
      <c r="Z1429" s="213"/>
      <c r="AA1429" s="213"/>
      <c r="AB1429" s="213"/>
      <c r="AC1429" s="213"/>
      <c r="AD1429" s="213"/>
      <c r="AE1429" s="213"/>
      <c r="AF1429" s="213"/>
      <c r="AG1429" s="213"/>
      <c r="AH1429" s="213"/>
      <c r="AI1429" s="213"/>
      <c r="AJ1429" s="213"/>
      <c r="AK1429" s="213"/>
      <c r="AL1429" s="213"/>
      <c r="AM1429" s="213"/>
      <c r="AN1429" s="213"/>
      <c r="AO1429" s="213"/>
      <c r="AP1429" s="213"/>
      <c r="AQ1429" s="213"/>
      <c r="AR1429" s="213"/>
      <c r="AS1429" s="213"/>
      <c r="AT1429" s="213"/>
      <c r="AU1429" s="213"/>
      <c r="AV1429" s="213"/>
      <c r="AW1429" s="213"/>
      <c r="AX1429" s="213"/>
      <c r="AY1429" s="213"/>
      <c r="AZ1429" s="213"/>
      <c r="BA1429" s="213"/>
      <c r="BB1429" s="213"/>
      <c r="BC1429" s="213"/>
      <c r="BD1429" s="213"/>
    </row>
    <row r="1430">
      <c r="A1430" s="213">
        <f>IFERROR(__xludf.DUMMYFUNCTION("""COMPUTED_VALUE"""),587.0)</f>
        <v>587</v>
      </c>
      <c r="B1430" s="213" t="str">
        <f>IFERROR(__xludf.DUMMYFUNCTION("""COMPUTED_VALUE"""),"2026 SIMON BOLIVAR")</f>
        <v>2026 SIMON BOLIVAR</v>
      </c>
      <c r="C1430" s="213" t="str">
        <f>IFERROR(__xludf.DUMMYFUNCTION("""COMPUTED_VALUE"""),"TALLER SFT DE INDUSTRIA ALIMENTARIA")</f>
        <v>TALLER SFT DE INDUSTRIA ALIMENTARIA</v>
      </c>
      <c r="D1430" s="213" t="str">
        <f>IFERROR(__xludf.DUMMYFUNCTION("""COMPUTED_VALUE"""),"PEDAGOGICO")</f>
        <v>PEDAGOGICO</v>
      </c>
      <c r="E1430" s="213" t="str">
        <f>IFERROR(__xludf.DUMMYFUNCTION("""COMPUTED_VALUE"""),"MAT-320")</f>
        <v>MAT-320</v>
      </c>
      <c r="F1430" s="213" t="str">
        <f>IFERROR(__xludf.DUMMYFUNCTION("""COMPUTED_VALUE"""),"KEFF-47")</f>
        <v>KEFF-47</v>
      </c>
      <c r="G1430" s="213"/>
      <c r="H1430" s="213" t="str">
        <f>IFERROR(__xludf.DUMMYFUNCTION("""COMPUTED_VALUE"""),"MANUAL DE USO POR CADA EQUIPO DE PROCESAMIENTO DE LACTEOS Y SUS DERIVADOS")</f>
        <v>MANUAL DE USO POR CADA EQUIPO DE PROCESAMIENTO DE LACTEOS Y SUS DERIVADOS</v>
      </c>
      <c r="I143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lácteos y sus derivados.
- Descripción de las principales tareas que se pueden realizar con cada equipo de Manual de uso por cada equipo del Kit de procesamiento de lácteos y sus derivados.
- Descripció"&amp;"n grafica de la instalación, uso y conservación de cada equipo.
- Descripción de los errores comunes que se presentan en el uso y la forma de solucionarlos.
- Descripción de las normas de seguridad que se deben tener en cuenta durante el uso de cada equip"&amp;"o.")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lácteos y sus derivados.
- Descripción de las principales tareas que se pueden realizar con cada equipo de Manual de uso por cada equipo del Kit de procesamiento de lácteos y sus derivados.
- Descripción grafica de la instalación, uso y conservación de cada equipo.
- Descripción de los errores comunes que se presentan en el uso y la forma de solucionarlos.
- Descripción de las normas de seguridad que se deben tener en cuenta durante el uso de cada equipo.</v>
      </c>
      <c r="J1430" s="213">
        <f>IFERROR(__xludf.DUMMYFUNCTION("""COMPUTED_VALUE"""),3.0)</f>
        <v>3</v>
      </c>
      <c r="K1430" s="213" t="str">
        <f>IFERROR(__xludf.DUMMYFUNCTION("""COMPUTED_VALUE"""),"170 DÍAS CALENDARIO")</f>
        <v>170 DÍAS CALENDARIO</v>
      </c>
      <c r="L1430" s="213" t="str">
        <f>IFERROR(__xludf.DUMMYFUNCTION("""COMPUTED_VALUE"""),"")</f>
        <v/>
      </c>
      <c r="M1430" s="213">
        <f>IFERROR(__xludf.DUMMYFUNCTION("""COMPUTED_VALUE"""),1.0)</f>
        <v>1</v>
      </c>
      <c r="N1430" s="213">
        <f>IFERROR(__xludf.DUMMYFUNCTION("""COMPUTED_VALUE"""),6.0)</f>
        <v>6</v>
      </c>
      <c r="O1430" s="213">
        <f>IFERROR(__xludf.DUMMYFUNCTION("""COMPUTED_VALUE"""),6.0)</f>
        <v>6</v>
      </c>
      <c r="P1430" s="213"/>
      <c r="Q1430" s="213"/>
      <c r="R1430" s="213"/>
      <c r="S1430" s="213"/>
      <c r="T1430" s="213"/>
      <c r="U1430" s="213"/>
      <c r="V1430" s="213"/>
      <c r="W1430" s="213"/>
      <c r="X1430" s="213"/>
      <c r="Y1430" s="213"/>
      <c r="Z1430" s="213"/>
      <c r="AA1430" s="213"/>
      <c r="AB1430" s="213"/>
      <c r="AC1430" s="213"/>
      <c r="AD1430" s="213"/>
      <c r="AE1430" s="213"/>
      <c r="AF1430" s="213"/>
      <c r="AG1430" s="213"/>
      <c r="AH1430" s="213"/>
      <c r="AI1430" s="213"/>
      <c r="AJ1430" s="213"/>
      <c r="AK1430" s="213"/>
      <c r="AL1430" s="213"/>
      <c r="AM1430" s="213"/>
      <c r="AN1430" s="213"/>
      <c r="AO1430" s="213"/>
      <c r="AP1430" s="213"/>
      <c r="AQ1430" s="213"/>
      <c r="AR1430" s="213"/>
      <c r="AS1430" s="213"/>
      <c r="AT1430" s="213"/>
      <c r="AU1430" s="213"/>
      <c r="AV1430" s="213"/>
      <c r="AW1430" s="213"/>
      <c r="AX1430" s="213"/>
      <c r="AY1430" s="213"/>
      <c r="AZ1430" s="213"/>
      <c r="BA1430" s="213"/>
      <c r="BB1430" s="213"/>
      <c r="BC1430" s="213"/>
      <c r="BD1430" s="213"/>
    </row>
    <row r="1431">
      <c r="A1431" s="213">
        <f>IFERROR(__xludf.DUMMYFUNCTION("""COMPUTED_VALUE"""),1213.0)</f>
        <v>1213</v>
      </c>
      <c r="B1431" s="213" t="str">
        <f>IFERROR(__xludf.DUMMYFUNCTION("""COMPUTED_VALUE"""),"FRANCISCO IRAZOLA")</f>
        <v>FRANCISCO IRAZOLA</v>
      </c>
      <c r="C1431" s="213" t="str">
        <f>IFERROR(__xludf.DUMMYFUNCTION("""COMPUTED_VALUE"""),"TALLER SFT DE INDUSTRIA ALIMENTARIA")</f>
        <v>TALLER SFT DE INDUSTRIA ALIMENTARIA</v>
      </c>
      <c r="D1431" s="213" t="str">
        <f>IFERROR(__xludf.DUMMYFUNCTION("""COMPUTED_VALUE"""),"PEDAGOGICO")</f>
        <v>PEDAGOGICO</v>
      </c>
      <c r="E1431" s="213" t="str">
        <f>IFERROR(__xludf.DUMMYFUNCTION("""COMPUTED_VALUE"""),"MAT-320")</f>
        <v>MAT-320</v>
      </c>
      <c r="F1431" s="213" t="str">
        <f>IFERROR(__xludf.DUMMYFUNCTION("""COMPUTED_VALUE"""),"KEFF-47")</f>
        <v>KEFF-47</v>
      </c>
      <c r="G1431" s="213"/>
      <c r="H1431" s="213" t="str">
        <f>IFERROR(__xludf.DUMMYFUNCTION("""COMPUTED_VALUE"""),"MANUAL DE USO POR CADA EQUIPO DE PROCESAMIENTO DE LACTEOS Y SUS DERIVADOS")</f>
        <v>MANUAL DE USO POR CADA EQUIPO DE PROCESAMIENTO DE LACTEOS Y SUS DERIVADOS</v>
      </c>
      <c r="I143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lácteos y sus derivados.
- Descripción de las principales tareas que se pueden realizar con cada equipo de Manual de uso por cada equipo del Kit de procesamiento de lácteos y sus derivados.
- Descripció"&amp;"n grafica de la instalación, uso y conservación de cada equipo.
- Descripción de los errores comunes que se presentan en el uso y la forma de solucionarlos.
- Descripción de las normas de seguridad que se deben tener en cuenta durante el uso de cada equip"&amp;"o.")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lácteos y sus derivados.
- Descripción de las principales tareas que se pueden realizar con cada equipo de Manual de uso por cada equipo del Kit de procesamiento de lácteos y sus derivados.
- Descripción grafica de la instalación, uso y conservación de cada equipo.
- Descripción de los errores comunes que se presentan en el uso y la forma de solucionarlos.
- Descripción de las normas de seguridad que se deben tener en cuenta durante el uso de cada equipo.</v>
      </c>
      <c r="J1431" s="213">
        <f>IFERROR(__xludf.DUMMYFUNCTION("""COMPUTED_VALUE"""),3.0)</f>
        <v>3</v>
      </c>
      <c r="K1431" s="213" t="str">
        <f>IFERROR(__xludf.DUMMYFUNCTION("""COMPUTED_VALUE"""),"170 DÍAS CALENDARIO")</f>
        <v>170 DÍAS CALENDARIO</v>
      </c>
      <c r="L1431" s="213" t="str">
        <f>IFERROR(__xludf.DUMMYFUNCTION("""COMPUTED_VALUE"""),"")</f>
        <v/>
      </c>
      <c r="M1431" s="213">
        <f>IFERROR(__xludf.DUMMYFUNCTION("""COMPUTED_VALUE"""),1.0)</f>
        <v>1</v>
      </c>
      <c r="N1431" s="213">
        <f>IFERROR(__xludf.DUMMYFUNCTION("""COMPUTED_VALUE"""),6.0)</f>
        <v>6</v>
      </c>
      <c r="O1431" s="213">
        <f>IFERROR(__xludf.DUMMYFUNCTION("""COMPUTED_VALUE"""),6.0)</f>
        <v>6</v>
      </c>
      <c r="P1431" s="213"/>
      <c r="Q1431" s="213"/>
      <c r="R1431" s="213"/>
      <c r="S1431" s="213"/>
      <c r="T1431" s="213"/>
      <c r="U1431" s="213"/>
      <c r="V1431" s="213"/>
      <c r="W1431" s="213"/>
      <c r="X1431" s="213"/>
      <c r="Y1431" s="213"/>
      <c r="Z1431" s="213"/>
      <c r="AA1431" s="213"/>
      <c r="AB1431" s="213"/>
      <c r="AC1431" s="213"/>
      <c r="AD1431" s="213"/>
      <c r="AE1431" s="213"/>
      <c r="AF1431" s="213"/>
      <c r="AG1431" s="213"/>
      <c r="AH1431" s="213"/>
      <c r="AI1431" s="213"/>
      <c r="AJ1431" s="213"/>
      <c r="AK1431" s="213"/>
      <c r="AL1431" s="213"/>
      <c r="AM1431" s="213"/>
      <c r="AN1431" s="213"/>
      <c r="AO1431" s="213"/>
      <c r="AP1431" s="213"/>
      <c r="AQ1431" s="213"/>
      <c r="AR1431" s="213"/>
      <c r="AS1431" s="213"/>
      <c r="AT1431" s="213"/>
      <c r="AU1431" s="213"/>
      <c r="AV1431" s="213"/>
      <c r="AW1431" s="213"/>
      <c r="AX1431" s="213"/>
      <c r="AY1431" s="213"/>
      <c r="AZ1431" s="213"/>
      <c r="BA1431" s="213"/>
      <c r="BB1431" s="213"/>
      <c r="BC1431" s="213"/>
      <c r="BD1431" s="213"/>
    </row>
    <row r="1432">
      <c r="A1432" s="213">
        <f>IFERROR(__xludf.DUMMYFUNCTION("""COMPUTED_VALUE"""),1484.0)</f>
        <v>1484</v>
      </c>
      <c r="B1432" s="213" t="str">
        <f>IFERROR(__xludf.DUMMYFUNCTION("""COMPUTED_VALUE"""),"GUILLERMO E. BILLINGHURST ")</f>
        <v>GUILLERMO E. BILLINGHURST </v>
      </c>
      <c r="C1432" s="213" t="str">
        <f>IFERROR(__xludf.DUMMYFUNCTION("""COMPUTED_VALUE"""),"TALLER SFT DE INDUSTRIA ALIMENTARIA")</f>
        <v>TALLER SFT DE INDUSTRIA ALIMENTARIA</v>
      </c>
      <c r="D1432" s="213" t="str">
        <f>IFERROR(__xludf.DUMMYFUNCTION("""COMPUTED_VALUE"""),"PEDAGOGICO")</f>
        <v>PEDAGOGICO</v>
      </c>
      <c r="E1432" s="213" t="str">
        <f>IFERROR(__xludf.DUMMYFUNCTION("""COMPUTED_VALUE"""),"MAT-320")</f>
        <v>MAT-320</v>
      </c>
      <c r="F1432" s="213" t="str">
        <f>IFERROR(__xludf.DUMMYFUNCTION("""COMPUTED_VALUE"""),"KEFF-47")</f>
        <v>KEFF-47</v>
      </c>
      <c r="G1432" s="213"/>
      <c r="H1432" s="213" t="str">
        <f>IFERROR(__xludf.DUMMYFUNCTION("""COMPUTED_VALUE"""),"MANUAL DE USO POR CADA EQUIPO DE PROCESAMIENTO DE LACTEOS Y SUS DERIVADOS")</f>
        <v>MANUAL DE USO POR CADA EQUIPO DE PROCESAMIENTO DE LACTEOS Y SUS DERIVADOS</v>
      </c>
      <c r="I143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lácteos y sus derivados.
- Descripción de las principales tareas que se pueden realizar con cada equipo de Manual de uso por cada equipo del Kit de procesamiento de lácteos y sus derivados.
- Descripció"&amp;"n grafica de la instalación, uso y conservación de cada equipo.
- Descripción de los errores comunes que se presentan en el uso y la forma de solucionarlos.
- Descripción de las normas de seguridad que se deben tener en cuenta durante el uso de cada equip"&amp;"o.")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lácteos y sus derivados.
- Descripción de las principales tareas que se pueden realizar con cada equipo de Manual de uso por cada equipo del Kit de procesamiento de lácteos y sus derivados.
- Descripción grafica de la instalación, uso y conservación de cada equipo.
- Descripción de los errores comunes que se presentan en el uso y la forma de solucionarlos.
- Descripción de las normas de seguridad que se deben tener en cuenta durante el uso de cada equipo.</v>
      </c>
      <c r="J1432" s="213">
        <f>IFERROR(__xludf.DUMMYFUNCTION("""COMPUTED_VALUE"""),3.0)</f>
        <v>3</v>
      </c>
      <c r="K1432" s="213" t="str">
        <f>IFERROR(__xludf.DUMMYFUNCTION("""COMPUTED_VALUE"""),"170 DÍAS CALENDARIO")</f>
        <v>170 DÍAS CALENDARIO</v>
      </c>
      <c r="L1432" s="213" t="str">
        <f>IFERROR(__xludf.DUMMYFUNCTION("""COMPUTED_VALUE"""),"")</f>
        <v/>
      </c>
      <c r="M1432" s="213">
        <f>IFERROR(__xludf.DUMMYFUNCTION("""COMPUTED_VALUE"""),1.0)</f>
        <v>1</v>
      </c>
      <c r="N1432" s="213">
        <f>IFERROR(__xludf.DUMMYFUNCTION("""COMPUTED_VALUE"""),6.0)</f>
        <v>6</v>
      </c>
      <c r="O1432" s="213">
        <f>IFERROR(__xludf.DUMMYFUNCTION("""COMPUTED_VALUE"""),6.0)</f>
        <v>6</v>
      </c>
      <c r="P1432" s="213"/>
      <c r="Q1432" s="213"/>
      <c r="R1432" s="213"/>
      <c r="S1432" s="213"/>
      <c r="T1432" s="213"/>
      <c r="U1432" s="213"/>
      <c r="V1432" s="213"/>
      <c r="W1432" s="213"/>
      <c r="X1432" s="213"/>
      <c r="Y1432" s="213"/>
      <c r="Z1432" s="213"/>
      <c r="AA1432" s="213"/>
      <c r="AB1432" s="213"/>
      <c r="AC1432" s="213"/>
      <c r="AD1432" s="213"/>
      <c r="AE1432" s="213"/>
      <c r="AF1432" s="213"/>
      <c r="AG1432" s="213"/>
      <c r="AH1432" s="213"/>
      <c r="AI1432" s="213"/>
      <c r="AJ1432" s="213"/>
      <c r="AK1432" s="213"/>
      <c r="AL1432" s="213"/>
      <c r="AM1432" s="213"/>
      <c r="AN1432" s="213"/>
      <c r="AO1432" s="213"/>
      <c r="AP1432" s="213"/>
      <c r="AQ1432" s="213"/>
      <c r="AR1432" s="213"/>
      <c r="AS1432" s="213"/>
      <c r="AT1432" s="213"/>
      <c r="AU1432" s="213"/>
      <c r="AV1432" s="213"/>
      <c r="AW1432" s="213"/>
      <c r="AX1432" s="213"/>
      <c r="AY1432" s="213"/>
      <c r="AZ1432" s="213"/>
      <c r="BA1432" s="213"/>
      <c r="BB1432" s="213"/>
      <c r="BC1432" s="213"/>
      <c r="BD1432" s="213"/>
    </row>
    <row r="1433">
      <c r="A1433" s="213">
        <f>IFERROR(__xludf.DUMMYFUNCTION("""COMPUTED_VALUE"""),2176.0)</f>
        <v>2176</v>
      </c>
      <c r="B1433" s="213" t="str">
        <f>IFERROR(__xludf.DUMMYFUNCTION("""COMPUTED_VALUE"""),"JOSE GRANDA")</f>
        <v>JOSE GRANDA</v>
      </c>
      <c r="C1433" s="213" t="str">
        <f>IFERROR(__xludf.DUMMYFUNCTION("""COMPUTED_VALUE"""),"TALLER SFT DE INDUSTRIA ALIMENTARIA")</f>
        <v>TALLER SFT DE INDUSTRIA ALIMENTARIA</v>
      </c>
      <c r="D1433" s="213" t="str">
        <f>IFERROR(__xludf.DUMMYFUNCTION("""COMPUTED_VALUE"""),"PEDAGOGICO")</f>
        <v>PEDAGOGICO</v>
      </c>
      <c r="E1433" s="213" t="str">
        <f>IFERROR(__xludf.DUMMYFUNCTION("""COMPUTED_VALUE"""),"MAT-320")</f>
        <v>MAT-320</v>
      </c>
      <c r="F1433" s="213" t="str">
        <f>IFERROR(__xludf.DUMMYFUNCTION("""COMPUTED_VALUE"""),"KEFF-47")</f>
        <v>KEFF-47</v>
      </c>
      <c r="G1433" s="213"/>
      <c r="H1433" s="213" t="str">
        <f>IFERROR(__xludf.DUMMYFUNCTION("""COMPUTED_VALUE"""),"MANUAL DE USO POR CADA EQUIPO DE PROCESAMIENTO DE LACTEOS Y SUS DERIVADOS")</f>
        <v>MANUAL DE USO POR CADA EQUIPO DE PROCESAMIENTO DE LACTEOS Y SUS DERIVADOS</v>
      </c>
      <c r="I143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lácteos y sus derivados.
- Descripción de las principales tareas que se pueden realizar con cada equipo de Manual de uso por cada equipo del Kit de procesamiento de lácteos y sus derivados.
- Descripció"&amp;"n grafica de la instalación, uso y conservación de cada equipo.
- Descripción de los errores comunes que se presentan en el uso y la forma de solucionarlos.
- Descripción de las normas de seguridad que se deben tener en cuenta durante el uso de cada equip"&amp;"o.")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lácteos y sus derivados.
- Descripción de las principales tareas que se pueden realizar con cada equipo de Manual de uso por cada equipo del Kit de procesamiento de lácteos y sus derivados.
- Descripción grafica de la instalación, uso y conservación de cada equipo.
- Descripción de los errores comunes que se presentan en el uso y la forma de solucionarlos.
- Descripción de las normas de seguridad que se deben tener en cuenta durante el uso de cada equipo.</v>
      </c>
      <c r="J1433" s="213">
        <f>IFERROR(__xludf.DUMMYFUNCTION("""COMPUTED_VALUE"""),3.0)</f>
        <v>3</v>
      </c>
      <c r="K1433" s="213" t="str">
        <f>IFERROR(__xludf.DUMMYFUNCTION("""COMPUTED_VALUE"""),"170 DÍAS CALENDARIO")</f>
        <v>170 DÍAS CALENDARIO</v>
      </c>
      <c r="L1433" s="213" t="str">
        <f>IFERROR(__xludf.DUMMYFUNCTION("""COMPUTED_VALUE"""),"")</f>
        <v/>
      </c>
      <c r="M1433" s="213">
        <f>IFERROR(__xludf.DUMMYFUNCTION("""COMPUTED_VALUE"""),1.0)</f>
        <v>1</v>
      </c>
      <c r="N1433" s="213">
        <f>IFERROR(__xludf.DUMMYFUNCTION("""COMPUTED_VALUE"""),6.0)</f>
        <v>6</v>
      </c>
      <c r="O1433" s="213">
        <f>IFERROR(__xludf.DUMMYFUNCTION("""COMPUTED_VALUE"""),6.0)</f>
        <v>6</v>
      </c>
      <c r="P1433" s="213"/>
      <c r="Q1433" s="213"/>
      <c r="R1433" s="213"/>
      <c r="S1433" s="213"/>
      <c r="T1433" s="213"/>
      <c r="U1433" s="213"/>
      <c r="V1433" s="213"/>
      <c r="W1433" s="213"/>
      <c r="X1433" s="213"/>
      <c r="Y1433" s="213"/>
      <c r="Z1433" s="213"/>
      <c r="AA1433" s="213"/>
      <c r="AB1433" s="213"/>
      <c r="AC1433" s="213"/>
      <c r="AD1433" s="213"/>
      <c r="AE1433" s="213"/>
      <c r="AF1433" s="213"/>
      <c r="AG1433" s="213"/>
      <c r="AH1433" s="213"/>
      <c r="AI1433" s="213"/>
      <c r="AJ1433" s="213"/>
      <c r="AK1433" s="213"/>
      <c r="AL1433" s="213"/>
      <c r="AM1433" s="213"/>
      <c r="AN1433" s="213"/>
      <c r="AO1433" s="213"/>
      <c r="AP1433" s="213"/>
      <c r="AQ1433" s="213"/>
      <c r="AR1433" s="213"/>
      <c r="AS1433" s="213"/>
      <c r="AT1433" s="213"/>
      <c r="AU1433" s="213"/>
      <c r="AV1433" s="213"/>
      <c r="AW1433" s="213"/>
      <c r="AX1433" s="213"/>
      <c r="AY1433" s="213"/>
      <c r="AZ1433" s="213"/>
      <c r="BA1433" s="213"/>
      <c r="BB1433" s="213"/>
      <c r="BC1433" s="213"/>
      <c r="BD1433" s="213"/>
    </row>
    <row r="1434">
      <c r="A1434" s="213">
        <f>IFERROR(__xludf.DUMMYFUNCTION("""COMPUTED_VALUE"""),592.0)</f>
        <v>592</v>
      </c>
      <c r="B1434" s="213" t="str">
        <f>IFERROR(__xludf.DUMMYFUNCTION("""COMPUTED_VALUE"""),"2026 SIMON BOLIVAR")</f>
        <v>2026 SIMON BOLIVAR</v>
      </c>
      <c r="C1434" s="213" t="str">
        <f>IFERROR(__xludf.DUMMYFUNCTION("""COMPUTED_VALUE"""),"TALLER SFT DE INDUSTRIA ALIMENTARIA")</f>
        <v>TALLER SFT DE INDUSTRIA ALIMENTARIA</v>
      </c>
      <c r="D1434" s="213" t="str">
        <f>IFERROR(__xludf.DUMMYFUNCTION("""COMPUTED_VALUE"""),"PEDAGOGICO")</f>
        <v>PEDAGOGICO</v>
      </c>
      <c r="E1434" s="213" t="str">
        <f>IFERROR(__xludf.DUMMYFUNCTION("""COMPUTED_VALUE"""),"MAT-322")</f>
        <v>MAT-322</v>
      </c>
      <c r="F1434" s="213" t="str">
        <f>IFERROR(__xludf.DUMMYFUNCTION("""COMPUTED_VALUE"""),"KEFF-53")</f>
        <v>KEFF-53</v>
      </c>
      <c r="G1434" s="213"/>
      <c r="H1434" s="213" t="str">
        <f>IFERROR(__xludf.DUMMYFUNCTION("""COMPUTED_VALUE"""),"MANUAL DE USO POR CADA EQUIPO DE PROCESAMIENTO DE PANADERIA Y PASTELERIA")</f>
        <v>MANUAL DE USO POR CADA EQUIPO DE PROCESAMIENTO DE PANADERIA Y PASTELERIA</v>
      </c>
      <c r="I143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panadería y pastelería.
- Descripción de las principales tareas que se pueden realizar con cada equipo de procesamiento de panadería y pastelería.
- Descripción grafica de la instalación, uso y conserva"&amp;"ción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panadería y pastelería.
- Descripción de las principales tareas que se pueden realizar con cada equipo de procesamiento de panadería y pastelería.
- Descripción grafica de la instalación, uso y conservación de cada equipo.
- Descripción de los errores comunes que se presentan en el uso y la forma de solucionarlos.
- Descripción de las normas de seguridad que se deben tener en cuenta durante el uso de cada equipo.</v>
      </c>
      <c r="J1434" s="213">
        <f>IFERROR(__xludf.DUMMYFUNCTION("""COMPUTED_VALUE"""),3.0)</f>
        <v>3</v>
      </c>
      <c r="K1434" s="213" t="str">
        <f>IFERROR(__xludf.DUMMYFUNCTION("""COMPUTED_VALUE"""),"170 DÍAS CALENDARIO")</f>
        <v>170 DÍAS CALENDARIO</v>
      </c>
      <c r="L1434" s="213" t="str">
        <f>IFERROR(__xludf.DUMMYFUNCTION("""COMPUTED_VALUE"""),"")</f>
        <v/>
      </c>
      <c r="M1434" s="213">
        <f>IFERROR(__xludf.DUMMYFUNCTION("""COMPUTED_VALUE"""),1.0)</f>
        <v>1</v>
      </c>
      <c r="N1434" s="213">
        <f>IFERROR(__xludf.DUMMYFUNCTION("""COMPUTED_VALUE"""),6.0)</f>
        <v>6</v>
      </c>
      <c r="O1434" s="213">
        <f>IFERROR(__xludf.DUMMYFUNCTION("""COMPUTED_VALUE"""),6.0)</f>
        <v>6</v>
      </c>
      <c r="P1434" s="213"/>
      <c r="Q1434" s="213"/>
      <c r="R1434" s="213"/>
      <c r="S1434" s="213"/>
      <c r="T1434" s="213"/>
      <c r="U1434" s="213"/>
      <c r="V1434" s="213"/>
      <c r="W1434" s="213"/>
      <c r="X1434" s="213"/>
      <c r="Y1434" s="213"/>
      <c r="Z1434" s="213"/>
      <c r="AA1434" s="213"/>
      <c r="AB1434" s="213"/>
      <c r="AC1434" s="213"/>
      <c r="AD1434" s="213"/>
      <c r="AE1434" s="213"/>
      <c r="AF1434" s="213"/>
      <c r="AG1434" s="213"/>
      <c r="AH1434" s="213"/>
      <c r="AI1434" s="213"/>
      <c r="AJ1434" s="213"/>
      <c r="AK1434" s="213"/>
      <c r="AL1434" s="213"/>
      <c r="AM1434" s="213"/>
      <c r="AN1434" s="213"/>
      <c r="AO1434" s="213"/>
      <c r="AP1434" s="213"/>
      <c r="AQ1434" s="213"/>
      <c r="AR1434" s="213"/>
      <c r="AS1434" s="213"/>
      <c r="AT1434" s="213"/>
      <c r="AU1434" s="213"/>
      <c r="AV1434" s="213"/>
      <c r="AW1434" s="213"/>
      <c r="AX1434" s="213"/>
      <c r="AY1434" s="213"/>
      <c r="AZ1434" s="213"/>
      <c r="BA1434" s="213"/>
      <c r="BB1434" s="213"/>
      <c r="BC1434" s="213"/>
      <c r="BD1434" s="213"/>
    </row>
    <row r="1435">
      <c r="A1435" s="213">
        <f>IFERROR(__xludf.DUMMYFUNCTION("""COMPUTED_VALUE"""),1218.0)</f>
        <v>1218</v>
      </c>
      <c r="B1435" s="213" t="str">
        <f>IFERROR(__xludf.DUMMYFUNCTION("""COMPUTED_VALUE"""),"FRANCISCO IRAZOLA")</f>
        <v>FRANCISCO IRAZOLA</v>
      </c>
      <c r="C1435" s="213" t="str">
        <f>IFERROR(__xludf.DUMMYFUNCTION("""COMPUTED_VALUE"""),"TALLER SFT DE INDUSTRIA ALIMENTARIA")</f>
        <v>TALLER SFT DE INDUSTRIA ALIMENTARIA</v>
      </c>
      <c r="D1435" s="213" t="str">
        <f>IFERROR(__xludf.DUMMYFUNCTION("""COMPUTED_VALUE"""),"PEDAGOGICO")</f>
        <v>PEDAGOGICO</v>
      </c>
      <c r="E1435" s="213" t="str">
        <f>IFERROR(__xludf.DUMMYFUNCTION("""COMPUTED_VALUE"""),"MAT-322")</f>
        <v>MAT-322</v>
      </c>
      <c r="F1435" s="213" t="str">
        <f>IFERROR(__xludf.DUMMYFUNCTION("""COMPUTED_VALUE"""),"KEFF-53")</f>
        <v>KEFF-53</v>
      </c>
      <c r="G1435" s="213"/>
      <c r="H1435" s="213" t="str">
        <f>IFERROR(__xludf.DUMMYFUNCTION("""COMPUTED_VALUE"""),"MANUAL DE USO POR CADA EQUIPO DE PROCESAMIENTO DE PANADERIA Y PASTELERIA")</f>
        <v>MANUAL DE USO POR CADA EQUIPO DE PROCESAMIENTO DE PANADERIA Y PASTELERIA</v>
      </c>
      <c r="I143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panadería y pastelería.
- Descripción de las principales tareas que se pueden realizar con cada equipo de procesamiento de panadería y pastelería.
- Descripción grafica de la instalación, uso y conserva"&amp;"ción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panadería y pastelería.
- Descripción de las principales tareas que se pueden realizar con cada equipo de procesamiento de panadería y pastelería.
- Descripción grafica de la instalación, uso y conservación de cada equipo.
- Descripción de los errores comunes que se presentan en el uso y la forma de solucionarlos.
- Descripción de las normas de seguridad que se deben tener en cuenta durante el uso de cada equipo.</v>
      </c>
      <c r="J1435" s="213">
        <f>IFERROR(__xludf.DUMMYFUNCTION("""COMPUTED_VALUE"""),3.0)</f>
        <v>3</v>
      </c>
      <c r="K1435" s="213" t="str">
        <f>IFERROR(__xludf.DUMMYFUNCTION("""COMPUTED_VALUE"""),"170 DÍAS CALENDARIO")</f>
        <v>170 DÍAS CALENDARIO</v>
      </c>
      <c r="L1435" s="213" t="str">
        <f>IFERROR(__xludf.DUMMYFUNCTION("""COMPUTED_VALUE"""),"")</f>
        <v/>
      </c>
      <c r="M1435" s="213">
        <f>IFERROR(__xludf.DUMMYFUNCTION("""COMPUTED_VALUE"""),1.0)</f>
        <v>1</v>
      </c>
      <c r="N1435" s="213">
        <f>IFERROR(__xludf.DUMMYFUNCTION("""COMPUTED_VALUE"""),6.0)</f>
        <v>6</v>
      </c>
      <c r="O1435" s="213">
        <f>IFERROR(__xludf.DUMMYFUNCTION("""COMPUTED_VALUE"""),6.0)</f>
        <v>6</v>
      </c>
      <c r="P1435" s="213"/>
      <c r="Q1435" s="213"/>
      <c r="R1435" s="213"/>
      <c r="S1435" s="213"/>
      <c r="T1435" s="213"/>
      <c r="U1435" s="213"/>
      <c r="V1435" s="213"/>
      <c r="W1435" s="213"/>
      <c r="X1435" s="213"/>
      <c r="Y1435" s="213"/>
      <c r="Z1435" s="213"/>
      <c r="AA1435" s="213"/>
      <c r="AB1435" s="213"/>
      <c r="AC1435" s="213"/>
      <c r="AD1435" s="213"/>
      <c r="AE1435" s="213"/>
      <c r="AF1435" s="213"/>
      <c r="AG1435" s="213"/>
      <c r="AH1435" s="213"/>
      <c r="AI1435" s="213"/>
      <c r="AJ1435" s="213"/>
      <c r="AK1435" s="213"/>
      <c r="AL1435" s="213"/>
      <c r="AM1435" s="213"/>
      <c r="AN1435" s="213"/>
      <c r="AO1435" s="213"/>
      <c r="AP1435" s="213"/>
      <c r="AQ1435" s="213"/>
      <c r="AR1435" s="213"/>
      <c r="AS1435" s="213"/>
      <c r="AT1435" s="213"/>
      <c r="AU1435" s="213"/>
      <c r="AV1435" s="213"/>
      <c r="AW1435" s="213"/>
      <c r="AX1435" s="213"/>
      <c r="AY1435" s="213"/>
      <c r="AZ1435" s="213"/>
      <c r="BA1435" s="213"/>
      <c r="BB1435" s="213"/>
      <c r="BC1435" s="213"/>
      <c r="BD1435" s="213"/>
    </row>
    <row r="1436">
      <c r="A1436" s="213">
        <f>IFERROR(__xludf.DUMMYFUNCTION("""COMPUTED_VALUE"""),1489.0)</f>
        <v>1489</v>
      </c>
      <c r="B1436" s="213" t="str">
        <f>IFERROR(__xludf.DUMMYFUNCTION("""COMPUTED_VALUE"""),"GUILLERMO E. BILLINGHURST ")</f>
        <v>GUILLERMO E. BILLINGHURST </v>
      </c>
      <c r="C1436" s="213" t="str">
        <f>IFERROR(__xludf.DUMMYFUNCTION("""COMPUTED_VALUE"""),"TALLER SFT DE INDUSTRIA ALIMENTARIA")</f>
        <v>TALLER SFT DE INDUSTRIA ALIMENTARIA</v>
      </c>
      <c r="D1436" s="213" t="str">
        <f>IFERROR(__xludf.DUMMYFUNCTION("""COMPUTED_VALUE"""),"PEDAGOGICO")</f>
        <v>PEDAGOGICO</v>
      </c>
      <c r="E1436" s="213" t="str">
        <f>IFERROR(__xludf.DUMMYFUNCTION("""COMPUTED_VALUE"""),"MAT-322")</f>
        <v>MAT-322</v>
      </c>
      <c r="F1436" s="213" t="str">
        <f>IFERROR(__xludf.DUMMYFUNCTION("""COMPUTED_VALUE"""),"KEFF-53")</f>
        <v>KEFF-53</v>
      </c>
      <c r="G1436" s="213"/>
      <c r="H1436" s="213" t="str">
        <f>IFERROR(__xludf.DUMMYFUNCTION("""COMPUTED_VALUE"""),"MANUAL DE USO POR CADA EQUIPO DE PROCESAMIENTO DE PANADERIA Y PASTELERIA")</f>
        <v>MANUAL DE USO POR CADA EQUIPO DE PROCESAMIENTO DE PANADERIA Y PASTELERIA</v>
      </c>
      <c r="I143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panadería y pastelería.
- Descripción de las principales tareas que se pueden realizar con cada equipo de procesamiento de panadería y pastelería.
- Descripción grafica de la instalación, uso y conserva"&amp;"ción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panadería y pastelería.
- Descripción de las principales tareas que se pueden realizar con cada equipo de procesamiento de panadería y pastelería.
- Descripción grafica de la instalación, uso y conservación de cada equipo.
- Descripción de los errores comunes que se presentan en el uso y la forma de solucionarlos.
- Descripción de las normas de seguridad que se deben tener en cuenta durante el uso de cada equipo.</v>
      </c>
      <c r="J1436" s="213">
        <f>IFERROR(__xludf.DUMMYFUNCTION("""COMPUTED_VALUE"""),3.0)</f>
        <v>3</v>
      </c>
      <c r="K1436" s="213" t="str">
        <f>IFERROR(__xludf.DUMMYFUNCTION("""COMPUTED_VALUE"""),"170 DÍAS CALENDARIO")</f>
        <v>170 DÍAS CALENDARIO</v>
      </c>
      <c r="L1436" s="213" t="str">
        <f>IFERROR(__xludf.DUMMYFUNCTION("""COMPUTED_VALUE"""),"")</f>
        <v/>
      </c>
      <c r="M1436" s="213">
        <f>IFERROR(__xludf.DUMMYFUNCTION("""COMPUTED_VALUE"""),1.0)</f>
        <v>1</v>
      </c>
      <c r="N1436" s="213">
        <f>IFERROR(__xludf.DUMMYFUNCTION("""COMPUTED_VALUE"""),6.0)</f>
        <v>6</v>
      </c>
      <c r="O1436" s="213">
        <f>IFERROR(__xludf.DUMMYFUNCTION("""COMPUTED_VALUE"""),6.0)</f>
        <v>6</v>
      </c>
      <c r="P1436" s="213"/>
      <c r="Q1436" s="213"/>
      <c r="R1436" s="213"/>
      <c r="S1436" s="213"/>
      <c r="T1436" s="213"/>
      <c r="U1436" s="213"/>
      <c r="V1436" s="213"/>
      <c r="W1436" s="213"/>
      <c r="X1436" s="213"/>
      <c r="Y1436" s="213"/>
      <c r="Z1436" s="213"/>
      <c r="AA1436" s="213"/>
      <c r="AB1436" s="213"/>
      <c r="AC1436" s="213"/>
      <c r="AD1436" s="213"/>
      <c r="AE1436" s="213"/>
      <c r="AF1436" s="213"/>
      <c r="AG1436" s="213"/>
      <c r="AH1436" s="213"/>
      <c r="AI1436" s="213"/>
      <c r="AJ1436" s="213"/>
      <c r="AK1436" s="213"/>
      <c r="AL1436" s="213"/>
      <c r="AM1436" s="213"/>
      <c r="AN1436" s="213"/>
      <c r="AO1436" s="213"/>
      <c r="AP1436" s="213"/>
      <c r="AQ1436" s="213"/>
      <c r="AR1436" s="213"/>
      <c r="AS1436" s="213"/>
      <c r="AT1436" s="213"/>
      <c r="AU1436" s="213"/>
      <c r="AV1436" s="213"/>
      <c r="AW1436" s="213"/>
      <c r="AX1436" s="213"/>
      <c r="AY1436" s="213"/>
      <c r="AZ1436" s="213"/>
      <c r="BA1436" s="213"/>
      <c r="BB1436" s="213"/>
      <c r="BC1436" s="213"/>
      <c r="BD1436" s="213"/>
    </row>
    <row r="1437">
      <c r="A1437" s="213">
        <f>IFERROR(__xludf.DUMMYFUNCTION("""COMPUTED_VALUE"""),2181.0)</f>
        <v>2181</v>
      </c>
      <c r="B1437" s="213" t="str">
        <f>IFERROR(__xludf.DUMMYFUNCTION("""COMPUTED_VALUE"""),"JOSE GRANDA")</f>
        <v>JOSE GRANDA</v>
      </c>
      <c r="C1437" s="213" t="str">
        <f>IFERROR(__xludf.DUMMYFUNCTION("""COMPUTED_VALUE"""),"TALLER SFT DE INDUSTRIA ALIMENTARIA")</f>
        <v>TALLER SFT DE INDUSTRIA ALIMENTARIA</v>
      </c>
      <c r="D1437" s="213" t="str">
        <f>IFERROR(__xludf.DUMMYFUNCTION("""COMPUTED_VALUE"""),"PEDAGOGICO")</f>
        <v>PEDAGOGICO</v>
      </c>
      <c r="E1437" s="213" t="str">
        <f>IFERROR(__xludf.DUMMYFUNCTION("""COMPUTED_VALUE"""),"MAT-322")</f>
        <v>MAT-322</v>
      </c>
      <c r="F1437" s="213" t="str">
        <f>IFERROR(__xludf.DUMMYFUNCTION("""COMPUTED_VALUE"""),"KEFF-53")</f>
        <v>KEFF-53</v>
      </c>
      <c r="G1437" s="213"/>
      <c r="H1437" s="213" t="str">
        <f>IFERROR(__xludf.DUMMYFUNCTION("""COMPUTED_VALUE"""),"MANUAL DE USO POR CADA EQUIPO DE PROCESAMIENTO DE PANADERIA Y PASTELERIA")</f>
        <v>MANUAL DE USO POR CADA EQUIPO DE PROCESAMIENTO DE PANADERIA Y PASTELERIA</v>
      </c>
      <c r="I143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Descripción de las pa"&amp;"rtes y accesorios de cada equipo de procesamiento de panadería y pastelería.
- Descripción de las principales tareas que se pueden realizar con cada equipo de procesamiento de panadería y pastelería.
- Descripción grafica de la instalación, uso y conserva"&amp;"ción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Descripción de las partes y accesorios de cada equipo de procesamiento de panadería y pastelería.
- Descripción de las principales tareas que se pueden realizar con cada equipo de procesamiento de panadería y pastelería.
- Descripción grafica de la instalación, uso y conservación de cada equipo.
- Descripción de los errores comunes que se presentan en el uso y la forma de solucionarlos.
- Descripción de las normas de seguridad que se deben tener en cuenta durante el uso de cada equipo.</v>
      </c>
      <c r="J1437" s="213">
        <f>IFERROR(__xludf.DUMMYFUNCTION("""COMPUTED_VALUE"""),3.0)</f>
        <v>3</v>
      </c>
      <c r="K1437" s="213" t="str">
        <f>IFERROR(__xludf.DUMMYFUNCTION("""COMPUTED_VALUE"""),"170 DÍAS CALENDARIO")</f>
        <v>170 DÍAS CALENDARIO</v>
      </c>
      <c r="L1437" s="213" t="str">
        <f>IFERROR(__xludf.DUMMYFUNCTION("""COMPUTED_VALUE"""),"")</f>
        <v/>
      </c>
      <c r="M1437" s="213">
        <f>IFERROR(__xludf.DUMMYFUNCTION("""COMPUTED_VALUE"""),1.0)</f>
        <v>1</v>
      </c>
      <c r="N1437" s="213">
        <f>IFERROR(__xludf.DUMMYFUNCTION("""COMPUTED_VALUE"""),6.0)</f>
        <v>6</v>
      </c>
      <c r="O1437" s="213">
        <f>IFERROR(__xludf.DUMMYFUNCTION("""COMPUTED_VALUE"""),6.0)</f>
        <v>6</v>
      </c>
      <c r="P1437" s="213"/>
      <c r="Q1437" s="213"/>
      <c r="R1437" s="213"/>
      <c r="S1437" s="213"/>
      <c r="T1437" s="213"/>
      <c r="U1437" s="213"/>
      <c r="V1437" s="213"/>
      <c r="W1437" s="213"/>
      <c r="X1437" s="213"/>
      <c r="Y1437" s="213"/>
      <c r="Z1437" s="213"/>
      <c r="AA1437" s="213"/>
      <c r="AB1437" s="213"/>
      <c r="AC1437" s="213"/>
      <c r="AD1437" s="213"/>
      <c r="AE1437" s="213"/>
      <c r="AF1437" s="213"/>
      <c r="AG1437" s="213"/>
      <c r="AH1437" s="213"/>
      <c r="AI1437" s="213"/>
      <c r="AJ1437" s="213"/>
      <c r="AK1437" s="213"/>
      <c r="AL1437" s="213"/>
      <c r="AM1437" s="213"/>
      <c r="AN1437" s="213"/>
      <c r="AO1437" s="213"/>
      <c r="AP1437" s="213"/>
      <c r="AQ1437" s="213"/>
      <c r="AR1437" s="213"/>
      <c r="AS1437" s="213"/>
      <c r="AT1437" s="213"/>
      <c r="AU1437" s="213"/>
      <c r="AV1437" s="213"/>
      <c r="AW1437" s="213"/>
      <c r="AX1437" s="213"/>
      <c r="AY1437" s="213"/>
      <c r="AZ1437" s="213"/>
      <c r="BA1437" s="213"/>
      <c r="BB1437" s="213"/>
      <c r="BC1437" s="213"/>
      <c r="BD1437" s="213"/>
    </row>
    <row r="1438">
      <c r="A1438" s="213">
        <f>IFERROR(__xludf.DUMMYFUNCTION("""COMPUTED_VALUE"""),110.0)</f>
        <v>110</v>
      </c>
      <c r="B1438" s="213" t="str">
        <f>IFERROR(__xludf.DUMMYFUNCTION("""COMPUTED_VALUE"""),"16449 ELOY SOBERON  FLORES")</f>
        <v>16449 ELOY SOBERON  FLORES</v>
      </c>
      <c r="C1438" s="213" t="str">
        <f>IFERROR(__xludf.DUMMYFUNCTION("""COMPUTED_VALUE"""),"TALLER SFT DE COCINA Y REPOSTERÍA")</f>
        <v>TALLER SFT DE COCINA Y REPOSTERÍA</v>
      </c>
      <c r="D1438" s="213" t="str">
        <f>IFERROR(__xludf.DUMMYFUNCTION("""COMPUTED_VALUE"""),"PEDAGOGICO")</f>
        <v>PEDAGOGICO</v>
      </c>
      <c r="E1438" s="213" t="str">
        <f>IFERROR(__xludf.DUMMYFUNCTION("""COMPUTED_VALUE"""),"MAT-304")</f>
        <v>MAT-304</v>
      </c>
      <c r="F1438" s="213" t="str">
        <f>IFERROR(__xludf.DUMMYFUNCTION("""COMPUTED_VALUE"""),"KEFF-07")</f>
        <v>KEFF-07</v>
      </c>
      <c r="G1438" s="213"/>
      <c r="H1438" s="213" t="str">
        <f>IFERROR(__xludf.DUMMYFUNCTION("""COMPUTED_VALUE"""),"MANUAL DE USO POR CADA EQUIPO DE REFRIGERACION Y PREPARACION")</f>
        <v>MANUAL DE USO POR CADA EQUIPO DE REFRIGERACION Y PREPARACION</v>
      </c>
      <c r="I143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 Descripción de las partes y accesorios de cada equipo del equipamiento de refrigeración y preparación.
- Descripción de las principales tareas que se pueden realizar con cada equipo de refrigeración y preparación.
- Descripción grafica de la"&amp;" instalación, uso y conservación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del equipamiento de refrigeración y preparación.
- Descripción de las principales tareas que se pueden realizar con cada equipo de refrigeración y preparación.
- Descripción grafica de la instalación, uso y conservación de cada equipo.
- Descripción de los errores comunes que se presentan en el uso y la forma de solucionarlos.
- Descripción de las normas de seguridad que se deben tener en cuenta durante el uso de cada equipo.</v>
      </c>
      <c r="J1438" s="213">
        <f>IFERROR(__xludf.DUMMYFUNCTION("""COMPUTED_VALUE"""),3.0)</f>
        <v>3</v>
      </c>
      <c r="K1438" s="213" t="str">
        <f>IFERROR(__xludf.DUMMYFUNCTION("""COMPUTED_VALUE"""),"170 DÍAS CALENDARIO")</f>
        <v>170 DÍAS CALENDARIO</v>
      </c>
      <c r="L1438" s="213" t="str">
        <f>IFERROR(__xludf.DUMMYFUNCTION("""COMPUTED_VALUE"""),"")</f>
        <v/>
      </c>
      <c r="M1438" s="213">
        <f>IFERROR(__xludf.DUMMYFUNCTION("""COMPUTED_VALUE"""),1.0)</f>
        <v>1</v>
      </c>
      <c r="N1438" s="213">
        <f>IFERROR(__xludf.DUMMYFUNCTION("""COMPUTED_VALUE"""),6.0)</f>
        <v>6</v>
      </c>
      <c r="O1438" s="213">
        <f>IFERROR(__xludf.DUMMYFUNCTION("""COMPUTED_VALUE"""),6.0)</f>
        <v>6</v>
      </c>
      <c r="P1438" s="213"/>
      <c r="Q1438" s="213"/>
      <c r="R1438" s="213"/>
      <c r="S1438" s="213"/>
      <c r="T1438" s="213"/>
      <c r="U1438" s="213"/>
      <c r="V1438" s="213"/>
      <c r="W1438" s="213"/>
      <c r="X1438" s="213"/>
      <c r="Y1438" s="213"/>
      <c r="Z1438" s="213"/>
      <c r="AA1438" s="213"/>
      <c r="AB1438" s="213"/>
      <c r="AC1438" s="213"/>
      <c r="AD1438" s="213"/>
      <c r="AE1438" s="213"/>
      <c r="AF1438" s="213"/>
      <c r="AG1438" s="213"/>
      <c r="AH1438" s="213"/>
      <c r="AI1438" s="213"/>
      <c r="AJ1438" s="213"/>
      <c r="AK1438" s="213"/>
      <c r="AL1438" s="213"/>
      <c r="AM1438" s="213"/>
      <c r="AN1438" s="213"/>
      <c r="AO1438" s="213"/>
      <c r="AP1438" s="213"/>
      <c r="AQ1438" s="213"/>
      <c r="AR1438" s="213"/>
      <c r="AS1438" s="213"/>
      <c r="AT1438" s="213"/>
      <c r="AU1438" s="213"/>
      <c r="AV1438" s="213"/>
      <c r="AW1438" s="213"/>
      <c r="AX1438" s="213"/>
      <c r="AY1438" s="213"/>
      <c r="AZ1438" s="213"/>
      <c r="BA1438" s="213"/>
      <c r="BB1438" s="213"/>
      <c r="BC1438" s="213"/>
      <c r="BD1438" s="213"/>
    </row>
    <row r="1439">
      <c r="A1439" s="213">
        <f>IFERROR(__xludf.DUMMYFUNCTION("""COMPUTED_VALUE"""),235.0)</f>
        <v>235</v>
      </c>
      <c r="B1439" s="213" t="str">
        <f>IFERROR(__xludf.DUMMYFUNCTION("""COMPUTED_VALUE"""),"2026 SIMON BOLIVAR")</f>
        <v>2026 SIMON BOLIVAR</v>
      </c>
      <c r="C1439" s="213" t="str">
        <f>IFERROR(__xludf.DUMMYFUNCTION("""COMPUTED_VALUE"""),"TALLER SFT DE INDUSTRIA DEL VESTIDO")</f>
        <v>TALLER SFT DE INDUSTRIA DEL VESTIDO</v>
      </c>
      <c r="D1439" s="213" t="str">
        <f>IFERROR(__xludf.DUMMYFUNCTION("""COMPUTED_VALUE"""),"PEDAGOGICO")</f>
        <v>PEDAGOGICO</v>
      </c>
      <c r="E1439" s="213" t="str">
        <f>IFERROR(__xludf.DUMMYFUNCTION("""COMPUTED_VALUE"""),"MAT-292")</f>
        <v>MAT-292</v>
      </c>
      <c r="F1439" s="213" t="str">
        <f>IFERROR(__xludf.DUMMYFUNCTION("""COMPUTED_VALUE"""),"KEFF-80")</f>
        <v>KEFF-80</v>
      </c>
      <c r="G1439" s="213"/>
      <c r="H1439" s="213" t="str">
        <f>IFERROR(__xludf.DUMMYFUNCTION("""COMPUTED_VALUE"""),"MANUAL DE USO POR CADA EQUIPO DEL ESTAMPAR")</f>
        <v>MANUAL DE USO POR CADA EQUIPO DEL ESTAMPAR</v>
      </c>
      <c r="I143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en función del taller para  realizar   estampados.
-  Descripción de las principales tareas que se pueden realizar con cada equipo   en función del  taller para dar  estampados a  los productos.
-  Descripción gráfica de la "&amp;"instalación, uso y conservación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en función del taller para  realizar   estampados.
-  Descripción de las principales tareas que se pueden realizar con cada equipo   en función del  taller para dar  estampados a  los productos.
-  Descripción gráfica de la instalación, uso y conservación de cada equipo.
-  Descripción de los errores comunes que se presentan en el uso y la forma de solucionarlos.
-  Descripción de las normas de seguridad que se deben tener en cuenta durante el uso de cada equipo</v>
      </c>
      <c r="J1439" s="213">
        <f>IFERROR(__xludf.DUMMYFUNCTION("""COMPUTED_VALUE"""),3.0)</f>
        <v>3</v>
      </c>
      <c r="K1439" s="213" t="str">
        <f>IFERROR(__xludf.DUMMYFUNCTION("""COMPUTED_VALUE"""),"170 DÍAS CALENDARIO")</f>
        <v>170 DÍAS CALENDARIO</v>
      </c>
      <c r="L1439" s="213" t="str">
        <f>IFERROR(__xludf.DUMMYFUNCTION("""COMPUTED_VALUE"""),"")</f>
        <v/>
      </c>
      <c r="M1439" s="213">
        <f>IFERROR(__xludf.DUMMYFUNCTION("""COMPUTED_VALUE"""),1.0)</f>
        <v>1</v>
      </c>
      <c r="N1439" s="213">
        <f>IFERROR(__xludf.DUMMYFUNCTION("""COMPUTED_VALUE"""),6.0)</f>
        <v>6</v>
      </c>
      <c r="O1439" s="213">
        <f>IFERROR(__xludf.DUMMYFUNCTION("""COMPUTED_VALUE"""),6.0)</f>
        <v>6</v>
      </c>
      <c r="P1439" s="213"/>
      <c r="Q1439" s="213"/>
      <c r="R1439" s="213"/>
      <c r="S1439" s="213"/>
      <c r="T1439" s="213"/>
      <c r="U1439" s="213"/>
      <c r="V1439" s="213"/>
      <c r="W1439" s="213"/>
      <c r="X1439" s="213"/>
      <c r="Y1439" s="213"/>
      <c r="Z1439" s="213"/>
      <c r="AA1439" s="213"/>
      <c r="AB1439" s="213"/>
      <c r="AC1439" s="213"/>
      <c r="AD1439" s="213"/>
      <c r="AE1439" s="213"/>
      <c r="AF1439" s="213"/>
      <c r="AG1439" s="213"/>
      <c r="AH1439" s="213"/>
      <c r="AI1439" s="213"/>
      <c r="AJ1439" s="213"/>
      <c r="AK1439" s="213"/>
      <c r="AL1439" s="213"/>
      <c r="AM1439" s="213"/>
      <c r="AN1439" s="213"/>
      <c r="AO1439" s="213"/>
      <c r="AP1439" s="213"/>
      <c r="AQ1439" s="213"/>
      <c r="AR1439" s="213"/>
      <c r="AS1439" s="213">
        <f>IFERROR(__xludf.DUMMYFUNCTION("""COMPUTED_VALUE"""),0.0)</f>
        <v>0</v>
      </c>
      <c r="AT1439" s="213"/>
      <c r="AU1439" s="213"/>
      <c r="AV1439" s="213"/>
      <c r="AW1439" s="213"/>
      <c r="AX1439" s="213"/>
      <c r="AY1439" s="213"/>
      <c r="AZ1439" s="213"/>
      <c r="BA1439" s="213"/>
      <c r="BB1439" s="213"/>
      <c r="BC1439" s="213"/>
      <c r="BD1439" s="213"/>
    </row>
    <row r="1440">
      <c r="A1440" s="213">
        <f>IFERROR(__xludf.DUMMYFUNCTION("""COMPUTED_VALUE"""),2449.0)</f>
        <v>2449</v>
      </c>
      <c r="B1440" s="213" t="str">
        <f>IFERROR(__xludf.DUMMYFUNCTION("""COMPUTED_VALUE"""),"MANUEL ANTONIO MESONES MURO")</f>
        <v>MANUEL ANTONIO MESONES MURO</v>
      </c>
      <c r="C1440" s="213" t="str">
        <f>IFERROR(__xludf.DUMMYFUNCTION("""COMPUTED_VALUE"""),"TALLER SFT DE INDUSTRIA DEL VESTIDO")</f>
        <v>TALLER SFT DE INDUSTRIA DEL VESTIDO</v>
      </c>
      <c r="D1440" s="213" t="str">
        <f>IFERROR(__xludf.DUMMYFUNCTION("""COMPUTED_VALUE"""),"PEDAGOGICO")</f>
        <v>PEDAGOGICO</v>
      </c>
      <c r="E1440" s="213" t="str">
        <f>IFERROR(__xludf.DUMMYFUNCTION("""COMPUTED_VALUE"""),"MAT-292")</f>
        <v>MAT-292</v>
      </c>
      <c r="F1440" s="213" t="str">
        <f>IFERROR(__xludf.DUMMYFUNCTION("""COMPUTED_VALUE"""),"KEFF-80")</f>
        <v>KEFF-80</v>
      </c>
      <c r="G1440" s="213"/>
      <c r="H1440" s="213" t="str">
        <f>IFERROR(__xludf.DUMMYFUNCTION("""COMPUTED_VALUE"""),"MANUAL DE USO POR CADA EQUIPO DEL ESTAMPAR")</f>
        <v>MANUAL DE USO POR CADA EQUIPO DEL ESTAMPAR</v>
      </c>
      <c r="I144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en función del taller para  realizar   estampados.
-  Descripción de las principales tareas que se pueden realizar con cada equipo   en función del  taller para dar  estampados a  los productos.
-  Descripción gráfica de la "&amp;"instalación, uso y conservación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en función del taller para  realizar   estampados.
-  Descripción de las principales tareas que se pueden realizar con cada equipo   en función del  taller para dar  estampados a  los productos.
-  Descripción gráfica de la instalación, uso y conservación de cada equipo.
-  Descripción de los errores comunes que se presentan en el uso y la forma de solucionarlos.
-  Descripción de las normas de seguridad que se deben tener en cuenta durante el uso de cada equipo</v>
      </c>
      <c r="J1440" s="213">
        <f>IFERROR(__xludf.DUMMYFUNCTION("""COMPUTED_VALUE"""),3.0)</f>
        <v>3</v>
      </c>
      <c r="K1440" s="213" t="str">
        <f>IFERROR(__xludf.DUMMYFUNCTION("""COMPUTED_VALUE"""),"170 DÍAS CALENDARIO")</f>
        <v>170 DÍAS CALENDARIO</v>
      </c>
      <c r="L1440" s="213" t="str">
        <f>IFERROR(__xludf.DUMMYFUNCTION("""COMPUTED_VALUE"""),"")</f>
        <v/>
      </c>
      <c r="M1440" s="213">
        <f>IFERROR(__xludf.DUMMYFUNCTION("""COMPUTED_VALUE"""),1.0)</f>
        <v>1</v>
      </c>
      <c r="N1440" s="213">
        <f>IFERROR(__xludf.DUMMYFUNCTION("""COMPUTED_VALUE"""),6.0)</f>
        <v>6</v>
      </c>
      <c r="O1440" s="213">
        <f>IFERROR(__xludf.DUMMYFUNCTION("""COMPUTED_VALUE"""),6.0)</f>
        <v>6</v>
      </c>
      <c r="P1440" s="213"/>
      <c r="Q1440" s="213"/>
      <c r="R1440" s="213"/>
      <c r="S1440" s="213"/>
      <c r="T1440" s="213"/>
      <c r="U1440" s="213"/>
      <c r="V1440" s="213"/>
      <c r="W1440" s="213"/>
      <c r="X1440" s="213"/>
      <c r="Y1440" s="213"/>
      <c r="Z1440" s="213"/>
      <c r="AA1440" s="213"/>
      <c r="AB1440" s="213"/>
      <c r="AC1440" s="213"/>
      <c r="AD1440" s="213"/>
      <c r="AE1440" s="213"/>
      <c r="AF1440" s="213"/>
      <c r="AG1440" s="213"/>
      <c r="AH1440" s="213"/>
      <c r="AI1440" s="213"/>
      <c r="AJ1440" s="213"/>
      <c r="AK1440" s="213"/>
      <c r="AL1440" s="213"/>
      <c r="AM1440" s="213"/>
      <c r="AN1440" s="213"/>
      <c r="AO1440" s="213"/>
      <c r="AP1440" s="213"/>
      <c r="AQ1440" s="213"/>
      <c r="AR1440" s="213"/>
      <c r="AS1440" s="213">
        <f>IFERROR(__xludf.DUMMYFUNCTION("""COMPUTED_VALUE"""),0.0)</f>
        <v>0</v>
      </c>
      <c r="AT1440" s="213"/>
      <c r="AU1440" s="213"/>
      <c r="AV1440" s="213"/>
      <c r="AW1440" s="213"/>
      <c r="AX1440" s="213"/>
      <c r="AY1440" s="213"/>
      <c r="AZ1440" s="213"/>
      <c r="BA1440" s="213"/>
      <c r="BB1440" s="213"/>
      <c r="BC1440" s="213"/>
      <c r="BD1440" s="213"/>
    </row>
    <row r="1441">
      <c r="A1441" s="213">
        <f>IFERROR(__xludf.DUMMYFUNCTION("""COMPUTED_VALUE"""),1023.0)</f>
        <v>1023</v>
      </c>
      <c r="B1441" s="213" t="str">
        <f>IFERROR(__xludf.DUMMYFUNCTION("""COMPUTED_VALUE"""),"FRANCISCO IRAZOLA")</f>
        <v>FRANCISCO IRAZOLA</v>
      </c>
      <c r="C1441" s="213" t="str">
        <f>IFERROR(__xludf.DUMMYFUNCTION("""COMPUTED_VALUE"""),"TALLER SFT DE MECÁNICA AUTOMOTRIZ")</f>
        <v>TALLER SFT DE MECÁNICA AUTOMOTRIZ</v>
      </c>
      <c r="D1441" s="213" t="str">
        <f>IFERROR(__xludf.DUMMYFUNCTION("""COMPUTED_VALUE"""),"PEDAGOGICO")</f>
        <v>PEDAGOGICO</v>
      </c>
      <c r="E1441" s="213" t="str">
        <f>IFERROR(__xludf.DUMMYFUNCTION("""COMPUTED_VALUE"""),"MAT-295")</f>
        <v>MAT-295</v>
      </c>
      <c r="F1441" s="213" t="str">
        <f>IFERROR(__xludf.DUMMYFUNCTION("""COMPUTED_VALUE"""),"KEFF-86")</f>
        <v>KEFF-86</v>
      </c>
      <c r="G1441" s="213"/>
      <c r="H1441" s="213" t="str">
        <f>IFERROR(__xludf.DUMMYFUNCTION("""COMPUTED_VALUE"""),"MANUAL DE USO POR CADA EQUIPO DEL SISTEMA DE TRANSMISIÓN DE POTENCIA")</f>
        <v>MANUAL DE USO POR CADA EQUIPO DEL SISTEMA DE TRANSMISIÓN DE POTENCIA</v>
      </c>
      <c r="I144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41" s="213">
        <f>IFERROR(__xludf.DUMMYFUNCTION("""COMPUTED_VALUE"""),3.0)</f>
        <v>3</v>
      </c>
      <c r="K1441" s="213" t="str">
        <f>IFERROR(__xludf.DUMMYFUNCTION("""COMPUTED_VALUE"""),"170 DÍAS CALENDARIO")</f>
        <v>170 DÍAS CALENDARIO</v>
      </c>
      <c r="L1441" s="213" t="str">
        <f>IFERROR(__xludf.DUMMYFUNCTION("""COMPUTED_VALUE"""),"")</f>
        <v/>
      </c>
      <c r="M1441" s="213">
        <f>IFERROR(__xludf.DUMMYFUNCTION("""COMPUTED_VALUE"""),1.0)</f>
        <v>1</v>
      </c>
      <c r="N1441" s="213">
        <f>IFERROR(__xludf.DUMMYFUNCTION("""COMPUTED_VALUE"""),6.0)</f>
        <v>6</v>
      </c>
      <c r="O1441" s="213">
        <f>IFERROR(__xludf.DUMMYFUNCTION("""COMPUTED_VALUE"""),6.0)</f>
        <v>6</v>
      </c>
      <c r="P1441" s="213"/>
      <c r="Q1441" s="213"/>
      <c r="R1441" s="213"/>
      <c r="S1441" s="213"/>
      <c r="T1441" s="213"/>
      <c r="U1441" s="213"/>
      <c r="V1441" s="213"/>
      <c r="W1441" s="213"/>
      <c r="X1441" s="213"/>
      <c r="Y1441" s="213"/>
      <c r="Z1441" s="213"/>
      <c r="AA1441" s="213"/>
      <c r="AB1441" s="213"/>
      <c r="AC1441" s="213"/>
      <c r="AD1441" s="213"/>
      <c r="AE1441" s="213"/>
      <c r="AF1441" s="213"/>
      <c r="AG1441" s="213"/>
      <c r="AH1441" s="213"/>
      <c r="AI1441" s="213"/>
      <c r="AJ1441" s="213"/>
      <c r="AK1441" s="213"/>
      <c r="AL1441" s="213"/>
      <c r="AM1441" s="213"/>
      <c r="AN1441" s="213"/>
      <c r="AO1441" s="213"/>
      <c r="AP1441" s="213"/>
      <c r="AQ1441" s="213"/>
      <c r="AR1441" s="213"/>
      <c r="AS1441" s="213"/>
      <c r="AT1441" s="213"/>
      <c r="AU1441" s="213"/>
      <c r="AV1441" s="213"/>
      <c r="AW1441" s="213"/>
      <c r="AX1441" s="213"/>
      <c r="AY1441" s="213"/>
      <c r="AZ1441" s="213"/>
      <c r="BA1441" s="213"/>
      <c r="BB1441" s="213"/>
      <c r="BC1441" s="213"/>
      <c r="BD1441" s="213"/>
    </row>
    <row r="1442">
      <c r="A1442" s="213">
        <f>IFERROR(__xludf.DUMMYFUNCTION("""COMPUTED_VALUE"""),1628.0)</f>
        <v>1628</v>
      </c>
      <c r="B1442" s="213" t="str">
        <f>IFERROR(__xludf.DUMMYFUNCTION("""COMPUTED_VALUE"""),"GUILLERMO E. BILLINGHURST ")</f>
        <v>GUILLERMO E. BILLINGHURST </v>
      </c>
      <c r="C1442" s="213" t="str">
        <f>IFERROR(__xludf.DUMMYFUNCTION("""COMPUTED_VALUE"""),"TALLER SFT DE MECÁNICA AUTOMOTRIZ")</f>
        <v>TALLER SFT DE MECÁNICA AUTOMOTRIZ</v>
      </c>
      <c r="D1442" s="213" t="str">
        <f>IFERROR(__xludf.DUMMYFUNCTION("""COMPUTED_VALUE"""),"PEDAGOGICO")</f>
        <v>PEDAGOGICO</v>
      </c>
      <c r="E1442" s="213" t="str">
        <f>IFERROR(__xludf.DUMMYFUNCTION("""COMPUTED_VALUE"""),"MAT-295")</f>
        <v>MAT-295</v>
      </c>
      <c r="F1442" s="213" t="str">
        <f>IFERROR(__xludf.DUMMYFUNCTION("""COMPUTED_VALUE"""),"KEFF-86")</f>
        <v>KEFF-86</v>
      </c>
      <c r="G1442" s="213"/>
      <c r="H1442" s="213" t="str">
        <f>IFERROR(__xludf.DUMMYFUNCTION("""COMPUTED_VALUE"""),"MANUAL DE USO POR CADA EQUIPO DEL SISTEMA DE TRANSMISIÓN DE POTENCIA")</f>
        <v>MANUAL DE USO POR CADA EQUIPO DEL SISTEMA DE TRANSMISIÓN DE POTENCIA</v>
      </c>
      <c r="I144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42" s="213">
        <f>IFERROR(__xludf.DUMMYFUNCTION("""COMPUTED_VALUE"""),3.0)</f>
        <v>3</v>
      </c>
      <c r="K1442" s="213" t="str">
        <f>IFERROR(__xludf.DUMMYFUNCTION("""COMPUTED_VALUE"""),"170 DÍAS CALENDARIO")</f>
        <v>170 DÍAS CALENDARIO</v>
      </c>
      <c r="L1442" s="213" t="str">
        <f>IFERROR(__xludf.DUMMYFUNCTION("""COMPUTED_VALUE"""),"")</f>
        <v/>
      </c>
      <c r="M1442" s="213">
        <f>IFERROR(__xludf.DUMMYFUNCTION("""COMPUTED_VALUE"""),1.0)</f>
        <v>1</v>
      </c>
      <c r="N1442" s="213">
        <f>IFERROR(__xludf.DUMMYFUNCTION("""COMPUTED_VALUE"""),6.0)</f>
        <v>6</v>
      </c>
      <c r="O1442" s="213">
        <f>IFERROR(__xludf.DUMMYFUNCTION("""COMPUTED_VALUE"""),6.0)</f>
        <v>6</v>
      </c>
      <c r="P1442" s="213"/>
      <c r="Q1442" s="213"/>
      <c r="R1442" s="213"/>
      <c r="S1442" s="213"/>
      <c r="T1442" s="213"/>
      <c r="U1442" s="213"/>
      <c r="V1442" s="213"/>
      <c r="W1442" s="213"/>
      <c r="X1442" s="213"/>
      <c r="Y1442" s="213"/>
      <c r="Z1442" s="213"/>
      <c r="AA1442" s="213"/>
      <c r="AB1442" s="213"/>
      <c r="AC1442" s="213"/>
      <c r="AD1442" s="213"/>
      <c r="AE1442" s="213"/>
      <c r="AF1442" s="213"/>
      <c r="AG1442" s="213"/>
      <c r="AH1442" s="213"/>
      <c r="AI1442" s="213"/>
      <c r="AJ1442" s="213"/>
      <c r="AK1442" s="213"/>
      <c r="AL1442" s="213"/>
      <c r="AM1442" s="213"/>
      <c r="AN1442" s="213"/>
      <c r="AO1442" s="213"/>
      <c r="AP1442" s="213"/>
      <c r="AQ1442" s="213"/>
      <c r="AR1442" s="213"/>
      <c r="AS1442" s="213"/>
      <c r="AT1442" s="213"/>
      <c r="AU1442" s="213"/>
      <c r="AV1442" s="213"/>
      <c r="AW1442" s="213"/>
      <c r="AX1442" s="213"/>
      <c r="AY1442" s="213"/>
      <c r="AZ1442" s="213"/>
      <c r="BA1442" s="213"/>
      <c r="BB1442" s="213"/>
      <c r="BC1442" s="213"/>
      <c r="BD1442" s="213"/>
    </row>
    <row r="1443">
      <c r="A1443" s="213">
        <f>IFERROR(__xludf.DUMMYFUNCTION("""COMPUTED_VALUE"""),2319.0)</f>
        <v>2319</v>
      </c>
      <c r="B1443" s="213" t="str">
        <f>IFERROR(__xludf.DUMMYFUNCTION("""COMPUTED_VALUE"""),"JOSE GRANDA")</f>
        <v>JOSE GRANDA</v>
      </c>
      <c r="C1443" s="213" t="str">
        <f>IFERROR(__xludf.DUMMYFUNCTION("""COMPUTED_VALUE"""),"TALLER SFT DE MECÁNICA AUTOMOTRIZ")</f>
        <v>TALLER SFT DE MECÁNICA AUTOMOTRIZ</v>
      </c>
      <c r="D1443" s="213" t="str">
        <f>IFERROR(__xludf.DUMMYFUNCTION("""COMPUTED_VALUE"""),"PEDAGOGICO")</f>
        <v>PEDAGOGICO</v>
      </c>
      <c r="E1443" s="213" t="str">
        <f>IFERROR(__xludf.DUMMYFUNCTION("""COMPUTED_VALUE"""),"MAT-295")</f>
        <v>MAT-295</v>
      </c>
      <c r="F1443" s="213" t="str">
        <f>IFERROR(__xludf.DUMMYFUNCTION("""COMPUTED_VALUE"""),"KEFF-86")</f>
        <v>KEFF-86</v>
      </c>
      <c r="G1443" s="213"/>
      <c r="H1443" s="213" t="str">
        <f>IFERROR(__xludf.DUMMYFUNCTION("""COMPUTED_VALUE"""),"MANUAL DE USO POR CADA EQUIPO DEL SISTEMA DE TRANSMISIÓN DE POTENCIA")</f>
        <v>MANUAL DE USO POR CADA EQUIPO DEL SISTEMA DE TRANSMISIÓN DE POTENCIA</v>
      </c>
      <c r="I144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43" s="213">
        <f>IFERROR(__xludf.DUMMYFUNCTION("""COMPUTED_VALUE"""),3.0)</f>
        <v>3</v>
      </c>
      <c r="K1443" s="213" t="str">
        <f>IFERROR(__xludf.DUMMYFUNCTION("""COMPUTED_VALUE"""),"170 DÍAS CALENDARIO")</f>
        <v>170 DÍAS CALENDARIO</v>
      </c>
      <c r="L1443" s="213" t="str">
        <f>IFERROR(__xludf.DUMMYFUNCTION("""COMPUTED_VALUE"""),"")</f>
        <v/>
      </c>
      <c r="M1443" s="213">
        <f>IFERROR(__xludf.DUMMYFUNCTION("""COMPUTED_VALUE"""),1.0)</f>
        <v>1</v>
      </c>
      <c r="N1443" s="213">
        <f>IFERROR(__xludf.DUMMYFUNCTION("""COMPUTED_VALUE"""),6.0)</f>
        <v>6</v>
      </c>
      <c r="O1443" s="213">
        <f>IFERROR(__xludf.DUMMYFUNCTION("""COMPUTED_VALUE"""),6.0)</f>
        <v>6</v>
      </c>
      <c r="P1443" s="213"/>
      <c r="Q1443" s="213"/>
      <c r="R1443" s="213"/>
      <c r="S1443" s="213"/>
      <c r="T1443" s="213"/>
      <c r="U1443" s="213"/>
      <c r="V1443" s="213"/>
      <c r="W1443" s="213"/>
      <c r="X1443" s="213"/>
      <c r="Y1443" s="213"/>
      <c r="Z1443" s="213"/>
      <c r="AA1443" s="213"/>
      <c r="AB1443" s="213"/>
      <c r="AC1443" s="213"/>
      <c r="AD1443" s="213"/>
      <c r="AE1443" s="213"/>
      <c r="AF1443" s="213"/>
      <c r="AG1443" s="213"/>
      <c r="AH1443" s="213"/>
      <c r="AI1443" s="213"/>
      <c r="AJ1443" s="213"/>
      <c r="AK1443" s="213"/>
      <c r="AL1443" s="213"/>
      <c r="AM1443" s="213"/>
      <c r="AN1443" s="213"/>
      <c r="AO1443" s="213"/>
      <c r="AP1443" s="213"/>
      <c r="AQ1443" s="213"/>
      <c r="AR1443" s="213"/>
      <c r="AS1443" s="213"/>
      <c r="AT1443" s="213"/>
      <c r="AU1443" s="213"/>
      <c r="AV1443" s="213"/>
      <c r="AW1443" s="213"/>
      <c r="AX1443" s="213"/>
      <c r="AY1443" s="213"/>
      <c r="AZ1443" s="213"/>
      <c r="BA1443" s="213"/>
      <c r="BB1443" s="213"/>
      <c r="BC1443" s="213"/>
      <c r="BD1443" s="213"/>
    </row>
    <row r="1444">
      <c r="A1444" s="213">
        <f>IFERROR(__xludf.DUMMYFUNCTION("""COMPUTED_VALUE"""),309.0)</f>
        <v>309</v>
      </c>
      <c r="B1444" s="213" t="str">
        <f>IFERROR(__xludf.DUMMYFUNCTION("""COMPUTED_VALUE"""),"2026 SIMON BOLIVAR")</f>
        <v>2026 SIMON BOLIVAR</v>
      </c>
      <c r="C1444" s="213" t="str">
        <f>IFERROR(__xludf.DUMMYFUNCTION("""COMPUTED_VALUE"""),"TALLER SFT DE COMPUTACIÓN E INFORMÁTICA")</f>
        <v>TALLER SFT DE COMPUTACIÓN E INFORMÁTICA</v>
      </c>
      <c r="D1444" s="213" t="str">
        <f>IFERROR(__xludf.DUMMYFUNCTION("""COMPUTED_VALUE"""),"PEDAGOGICO")</f>
        <v>PEDAGOGICO</v>
      </c>
      <c r="E1444" s="213" t="str">
        <f>IFERROR(__xludf.DUMMYFUNCTION("""COMPUTED_VALUE"""),"MAT-325")</f>
        <v>MAT-325</v>
      </c>
      <c r="F1444" s="213" t="str">
        <f>IFERROR(__xludf.DUMMYFUNCTION("""COMPUTED_VALUE"""),"KEFF-21")</f>
        <v>KEFF-21</v>
      </c>
      <c r="G1444" s="213"/>
      <c r="H1444" s="213" t="str">
        <f>IFERROR(__xludf.DUMMYFUNCTION("""COMPUTED_VALUE"""),"MANUAL DE USO POR CADA EQUIPO DEL TALLER DE DISEÑO GRAFICO")</f>
        <v>MANUAL DE USO POR CADA EQUIPO DEL TALLER DE DISEÑO GRAFICO</v>
      </c>
      <c r="I144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partes y"&amp;" accesorios de cada equipo.
-   Descripción de las principales tareas que se pueden realizar con cada equipo de diseño
-   Descripción grafica de instalación, uso y conservación de cada equipo.
-   Descripción de los errores comunes que se presentan en el"&amp;"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partes y accesorios de cada equipo.
-   Descripción de las principales tareas que se pueden realizar con cada equipo de diseño
-   Descripción grafica de instalación, uso y conservación de cada equipo.
-   Descripción de los errores comunes que se presentan en el uso y la forma de solucionarlos.
-   Descripción de las normas de seguridad que se deben tener en cuenta durante el uso de cada equipo.</v>
      </c>
      <c r="J1444" s="213">
        <f>IFERROR(__xludf.DUMMYFUNCTION("""COMPUTED_VALUE"""),3.0)</f>
        <v>3</v>
      </c>
      <c r="K1444" s="213" t="str">
        <f>IFERROR(__xludf.DUMMYFUNCTION("""COMPUTED_VALUE"""),"170 DÍAS CALENDARIO")</f>
        <v>170 DÍAS CALENDARIO</v>
      </c>
      <c r="L1444" s="213" t="str">
        <f>IFERROR(__xludf.DUMMYFUNCTION("""COMPUTED_VALUE"""),"")</f>
        <v/>
      </c>
      <c r="M1444" s="213">
        <f>IFERROR(__xludf.DUMMYFUNCTION("""COMPUTED_VALUE"""),1.0)</f>
        <v>1</v>
      </c>
      <c r="N1444" s="213">
        <f>IFERROR(__xludf.DUMMYFUNCTION("""COMPUTED_VALUE"""),6.0)</f>
        <v>6</v>
      </c>
      <c r="O1444" s="213">
        <f>IFERROR(__xludf.DUMMYFUNCTION("""COMPUTED_VALUE"""),6.0)</f>
        <v>6</v>
      </c>
      <c r="P1444" s="213"/>
      <c r="Q1444" s="213"/>
      <c r="R1444" s="213"/>
      <c r="S1444" s="213"/>
      <c r="T1444" s="213"/>
      <c r="U1444" s="213"/>
      <c r="V1444" s="213"/>
      <c r="W1444" s="213"/>
      <c r="X1444" s="213"/>
      <c r="Y1444" s="213"/>
      <c r="Z1444" s="213"/>
      <c r="AA1444" s="213"/>
      <c r="AB1444" s="213"/>
      <c r="AC1444" s="213"/>
      <c r="AD1444" s="213"/>
      <c r="AE1444" s="213"/>
      <c r="AF1444" s="213"/>
      <c r="AG1444" s="213"/>
      <c r="AH1444" s="213"/>
      <c r="AI1444" s="213"/>
      <c r="AJ1444" s="213"/>
      <c r="AK1444" s="213"/>
      <c r="AL1444" s="213"/>
      <c r="AM1444" s="213"/>
      <c r="AN1444" s="213"/>
      <c r="AO1444" s="213"/>
      <c r="AP1444" s="213"/>
      <c r="AQ1444" s="213"/>
      <c r="AR1444" s="213"/>
      <c r="AS1444" s="213"/>
      <c r="AT1444" s="213"/>
      <c r="AU1444" s="213"/>
      <c r="AV1444" s="213"/>
      <c r="AW1444" s="213"/>
      <c r="AX1444" s="213"/>
      <c r="AY1444" s="213"/>
      <c r="AZ1444" s="213"/>
      <c r="BA1444" s="213"/>
      <c r="BB1444" s="213"/>
      <c r="BC1444" s="213"/>
      <c r="BD1444" s="213"/>
    </row>
    <row r="1445">
      <c r="A1445" s="213">
        <f>IFERROR(__xludf.DUMMYFUNCTION("""COMPUTED_VALUE"""),795.0)</f>
        <v>795</v>
      </c>
      <c r="B1445" s="213" t="str">
        <f>IFERROR(__xludf.DUMMYFUNCTION("""COMPUTED_VALUE"""),"6049 RICARDO PALMA")</f>
        <v>6049 RICARDO PALMA</v>
      </c>
      <c r="C1445" s="213" t="str">
        <f>IFERROR(__xludf.DUMMYFUNCTION("""COMPUTED_VALUE"""),"TALLER SFT DE COMPUTACIÓN E INFORMÁTICA")</f>
        <v>TALLER SFT DE COMPUTACIÓN E INFORMÁTICA</v>
      </c>
      <c r="D1445" s="213" t="str">
        <f>IFERROR(__xludf.DUMMYFUNCTION("""COMPUTED_VALUE"""),"PEDAGOGICO")</f>
        <v>PEDAGOGICO</v>
      </c>
      <c r="E1445" s="213" t="str">
        <f>IFERROR(__xludf.DUMMYFUNCTION("""COMPUTED_VALUE"""),"MAT-325")</f>
        <v>MAT-325</v>
      </c>
      <c r="F1445" s="213" t="str">
        <f>IFERROR(__xludf.DUMMYFUNCTION("""COMPUTED_VALUE"""),"KEFF-21")</f>
        <v>KEFF-21</v>
      </c>
      <c r="G1445" s="213"/>
      <c r="H1445" s="213" t="str">
        <f>IFERROR(__xludf.DUMMYFUNCTION("""COMPUTED_VALUE"""),"MANUAL DE USO POR CADA EQUIPO DEL TALLER DE DISEÑO GRAFICO")</f>
        <v>MANUAL DE USO POR CADA EQUIPO DEL TALLER DE DISEÑO GRAFICO</v>
      </c>
      <c r="I144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partes y"&amp;" accesorios de cada equipo.
-   Descripción de las principales tareas que se pueden realizar con cada equipo de diseño
-   Descripción grafica de instalación, uso y conservación de cada equipo.
-   Descripción de los errores comunes que se presentan en el"&amp;"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partes y accesorios de cada equipo.
-   Descripción de las principales tareas que se pueden realizar con cada equipo de diseño
-   Descripción grafica de instalación, uso y conservación de cada equipo.
-   Descripción de los errores comunes que se presentan en el uso y la forma de solucionarlos.
-   Descripción de las normas de seguridad que se deben tener en cuenta durante el uso de cada equipo.</v>
      </c>
      <c r="J1445" s="213">
        <f>IFERROR(__xludf.DUMMYFUNCTION("""COMPUTED_VALUE"""),3.0)</f>
        <v>3</v>
      </c>
      <c r="K1445" s="213" t="str">
        <f>IFERROR(__xludf.DUMMYFUNCTION("""COMPUTED_VALUE"""),"170 DÍAS CALENDARIO")</f>
        <v>170 DÍAS CALENDARIO</v>
      </c>
      <c r="L1445" s="213" t="str">
        <f>IFERROR(__xludf.DUMMYFUNCTION("""COMPUTED_VALUE"""),"")</f>
        <v/>
      </c>
      <c r="M1445" s="213">
        <f>IFERROR(__xludf.DUMMYFUNCTION("""COMPUTED_VALUE"""),1.0)</f>
        <v>1</v>
      </c>
      <c r="N1445" s="213">
        <f>IFERROR(__xludf.DUMMYFUNCTION("""COMPUTED_VALUE"""),6.0)</f>
        <v>6</v>
      </c>
      <c r="O1445" s="213">
        <f>IFERROR(__xludf.DUMMYFUNCTION("""COMPUTED_VALUE"""),6.0)</f>
        <v>6</v>
      </c>
      <c r="P1445" s="213"/>
      <c r="Q1445" s="213"/>
      <c r="R1445" s="213"/>
      <c r="S1445" s="213"/>
      <c r="T1445" s="213"/>
      <c r="U1445" s="213"/>
      <c r="V1445" s="213"/>
      <c r="W1445" s="213"/>
      <c r="X1445" s="213"/>
      <c r="Y1445" s="213"/>
      <c r="Z1445" s="213"/>
      <c r="AA1445" s="213"/>
      <c r="AB1445" s="213"/>
      <c r="AC1445" s="213"/>
      <c r="AD1445" s="213"/>
      <c r="AE1445" s="213"/>
      <c r="AF1445" s="213"/>
      <c r="AG1445" s="213"/>
      <c r="AH1445" s="213"/>
      <c r="AI1445" s="213"/>
      <c r="AJ1445" s="213"/>
      <c r="AK1445" s="213"/>
      <c r="AL1445" s="213"/>
      <c r="AM1445" s="213"/>
      <c r="AN1445" s="213"/>
      <c r="AO1445" s="213"/>
      <c r="AP1445" s="213"/>
      <c r="AQ1445" s="213"/>
      <c r="AR1445" s="213"/>
      <c r="AS1445" s="213"/>
      <c r="AT1445" s="213"/>
      <c r="AU1445" s="213"/>
      <c r="AV1445" s="213"/>
      <c r="AW1445" s="213"/>
      <c r="AX1445" s="213"/>
      <c r="AY1445" s="213"/>
      <c r="AZ1445" s="213"/>
      <c r="BA1445" s="213"/>
      <c r="BB1445" s="213"/>
      <c r="BC1445" s="213"/>
      <c r="BD1445" s="213"/>
    </row>
    <row r="1446">
      <c r="A1446" s="213">
        <f>IFERROR(__xludf.DUMMYFUNCTION("""COMPUTED_VALUE"""),1733.0)</f>
        <v>1733</v>
      </c>
      <c r="B1446" s="213" t="str">
        <f>IFERROR(__xludf.DUMMYFUNCTION("""COMPUTED_VALUE"""),"GUILLERMO E. BILLINGHURST ")</f>
        <v>GUILLERMO E. BILLINGHURST </v>
      </c>
      <c r="C1446" s="213" t="str">
        <f>IFERROR(__xludf.DUMMYFUNCTION("""COMPUTED_VALUE"""),"TALLER SFT DE COMPUTACIÓN E INFORMÁTICA")</f>
        <v>TALLER SFT DE COMPUTACIÓN E INFORMÁTICA</v>
      </c>
      <c r="D1446" s="213" t="str">
        <f>IFERROR(__xludf.DUMMYFUNCTION("""COMPUTED_VALUE"""),"PEDAGOGICO")</f>
        <v>PEDAGOGICO</v>
      </c>
      <c r="E1446" s="213" t="str">
        <f>IFERROR(__xludf.DUMMYFUNCTION("""COMPUTED_VALUE"""),"MAT-325")</f>
        <v>MAT-325</v>
      </c>
      <c r="F1446" s="213" t="str">
        <f>IFERROR(__xludf.DUMMYFUNCTION("""COMPUTED_VALUE"""),"KEFF-21")</f>
        <v>KEFF-21</v>
      </c>
      <c r="G1446" s="213"/>
      <c r="H1446" s="213" t="str">
        <f>IFERROR(__xludf.DUMMYFUNCTION("""COMPUTED_VALUE"""),"MANUAL DE USO POR CADA EQUIPO DEL TALLER DE DISEÑO GRAFICO")</f>
        <v>MANUAL DE USO POR CADA EQUIPO DEL TALLER DE DISEÑO GRAFICO</v>
      </c>
      <c r="I144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partes y"&amp;" accesorios de cada equipo.
-   Descripción de las principales tareas que se pueden realizar con cada equipo de diseño
-   Descripción grafica de instalación, uso y conservación de cada equipo.
-   Descripción de los errores comunes que se presentan en el"&amp;"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partes y accesorios de cada equipo.
-   Descripción de las principales tareas que se pueden realizar con cada equipo de diseño
-   Descripción grafica de instalación, uso y conservación de cada equipo.
-   Descripción de los errores comunes que se presentan en el uso y la forma de solucionarlos.
-   Descripción de las normas de seguridad que se deben tener en cuenta durante el uso de cada equipo.</v>
      </c>
      <c r="J1446" s="213">
        <f>IFERROR(__xludf.DUMMYFUNCTION("""COMPUTED_VALUE"""),3.0)</f>
        <v>3</v>
      </c>
      <c r="K1446" s="213" t="str">
        <f>IFERROR(__xludf.DUMMYFUNCTION("""COMPUTED_VALUE"""),"170 DÍAS CALENDARIO")</f>
        <v>170 DÍAS CALENDARIO</v>
      </c>
      <c r="L1446" s="213" t="str">
        <f>IFERROR(__xludf.DUMMYFUNCTION("""COMPUTED_VALUE"""),"")</f>
        <v/>
      </c>
      <c r="M1446" s="213">
        <f>IFERROR(__xludf.DUMMYFUNCTION("""COMPUTED_VALUE"""),1.0)</f>
        <v>1</v>
      </c>
      <c r="N1446" s="213">
        <f>IFERROR(__xludf.DUMMYFUNCTION("""COMPUTED_VALUE"""),6.0)</f>
        <v>6</v>
      </c>
      <c r="O1446" s="213">
        <f>IFERROR(__xludf.DUMMYFUNCTION("""COMPUTED_VALUE"""),6.0)</f>
        <v>6</v>
      </c>
      <c r="P1446" s="213"/>
      <c r="Q1446" s="213"/>
      <c r="R1446" s="213"/>
      <c r="S1446" s="213"/>
      <c r="T1446" s="213"/>
      <c r="U1446" s="213"/>
      <c r="V1446" s="213"/>
      <c r="W1446" s="213"/>
      <c r="X1446" s="213"/>
      <c r="Y1446" s="213"/>
      <c r="Z1446" s="213"/>
      <c r="AA1446" s="213"/>
      <c r="AB1446" s="213"/>
      <c r="AC1446" s="213"/>
      <c r="AD1446" s="213"/>
      <c r="AE1446" s="213"/>
      <c r="AF1446" s="213"/>
      <c r="AG1446" s="213"/>
      <c r="AH1446" s="213"/>
      <c r="AI1446" s="213"/>
      <c r="AJ1446" s="213"/>
      <c r="AK1446" s="213"/>
      <c r="AL1446" s="213"/>
      <c r="AM1446" s="213"/>
      <c r="AN1446" s="213"/>
      <c r="AO1446" s="213"/>
      <c r="AP1446" s="213"/>
      <c r="AQ1446" s="213"/>
      <c r="AR1446" s="213"/>
      <c r="AS1446" s="213"/>
      <c r="AT1446" s="213"/>
      <c r="AU1446" s="213"/>
      <c r="AV1446" s="213"/>
      <c r="AW1446" s="213"/>
      <c r="AX1446" s="213"/>
      <c r="AY1446" s="213"/>
      <c r="AZ1446" s="213"/>
      <c r="BA1446" s="213"/>
      <c r="BB1446" s="213"/>
      <c r="BC1446" s="213"/>
      <c r="BD1446" s="213"/>
    </row>
    <row r="1447">
      <c r="A1447" s="213">
        <f>IFERROR(__xludf.DUMMYFUNCTION("""COMPUTED_VALUE"""),1983.0)</f>
        <v>1983</v>
      </c>
      <c r="B1447" s="213" t="str">
        <f>IFERROR(__xludf.DUMMYFUNCTION("""COMPUTED_VALUE"""),"JOSE GRANDA")</f>
        <v>JOSE GRANDA</v>
      </c>
      <c r="C1447" s="213" t="str">
        <f>IFERROR(__xludf.DUMMYFUNCTION("""COMPUTED_VALUE"""),"TALLER SFT DE COMPUTACIÓN E INFORMÁTICA")</f>
        <v>TALLER SFT DE COMPUTACIÓN E INFORMÁTICA</v>
      </c>
      <c r="D1447" s="213" t="str">
        <f>IFERROR(__xludf.DUMMYFUNCTION("""COMPUTED_VALUE"""),"PEDAGOGICO")</f>
        <v>PEDAGOGICO</v>
      </c>
      <c r="E1447" s="213" t="str">
        <f>IFERROR(__xludf.DUMMYFUNCTION("""COMPUTED_VALUE"""),"MAT-325")</f>
        <v>MAT-325</v>
      </c>
      <c r="F1447" s="213" t="str">
        <f>IFERROR(__xludf.DUMMYFUNCTION("""COMPUTED_VALUE"""),"KEFF-21")</f>
        <v>KEFF-21</v>
      </c>
      <c r="G1447" s="213"/>
      <c r="H1447" s="213" t="str">
        <f>IFERROR(__xludf.DUMMYFUNCTION("""COMPUTED_VALUE"""),"MANUAL DE USO POR CADA EQUIPO DEL TALLER DE DISEÑO GRAFICO")</f>
        <v>MANUAL DE USO POR CADA EQUIPO DEL TALLER DE DISEÑO GRAFICO</v>
      </c>
      <c r="I144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partes y"&amp;" accesorios de cada equipo.
-   Descripción de las principales tareas que se pueden realizar con cada equipo de diseño
-   Descripción grafica de instalación, uso y conservación de cada equipo.
-   Descripción de los errores comunes que se presentan en el"&amp;"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partes y accesorios de cada equipo.
-   Descripción de las principales tareas que se pueden realizar con cada equipo de diseño
-   Descripción grafica de instalación, uso y conservación de cada equipo.
-   Descripción de los errores comunes que se presentan en el uso y la forma de solucionarlos.
-   Descripción de las normas de seguridad que se deben tener en cuenta durante el uso de cada equipo.</v>
      </c>
      <c r="J1447" s="213">
        <f>IFERROR(__xludf.DUMMYFUNCTION("""COMPUTED_VALUE"""),3.0)</f>
        <v>3</v>
      </c>
      <c r="K1447" s="213" t="str">
        <f>IFERROR(__xludf.DUMMYFUNCTION("""COMPUTED_VALUE"""),"170 DÍAS CALENDARIO")</f>
        <v>170 DÍAS CALENDARIO</v>
      </c>
      <c r="L1447" s="213" t="str">
        <f>IFERROR(__xludf.DUMMYFUNCTION("""COMPUTED_VALUE"""),"")</f>
        <v/>
      </c>
      <c r="M1447" s="213">
        <f>IFERROR(__xludf.DUMMYFUNCTION("""COMPUTED_VALUE"""),1.0)</f>
        <v>1</v>
      </c>
      <c r="N1447" s="213">
        <f>IFERROR(__xludf.DUMMYFUNCTION("""COMPUTED_VALUE"""),6.0)</f>
        <v>6</v>
      </c>
      <c r="O1447" s="213">
        <f>IFERROR(__xludf.DUMMYFUNCTION("""COMPUTED_VALUE"""),6.0)</f>
        <v>6</v>
      </c>
      <c r="P1447" s="213"/>
      <c r="Q1447" s="213"/>
      <c r="R1447" s="213"/>
      <c r="S1447" s="213"/>
      <c r="T1447" s="213"/>
      <c r="U1447" s="213"/>
      <c r="V1447" s="213"/>
      <c r="W1447" s="213"/>
      <c r="X1447" s="213"/>
      <c r="Y1447" s="213"/>
      <c r="Z1447" s="213"/>
      <c r="AA1447" s="213"/>
      <c r="AB1447" s="213"/>
      <c r="AC1447" s="213"/>
      <c r="AD1447" s="213"/>
      <c r="AE1447" s="213"/>
      <c r="AF1447" s="213"/>
      <c r="AG1447" s="213"/>
      <c r="AH1447" s="213"/>
      <c r="AI1447" s="213"/>
      <c r="AJ1447" s="213"/>
      <c r="AK1447" s="213"/>
      <c r="AL1447" s="213"/>
      <c r="AM1447" s="213"/>
      <c r="AN1447" s="213"/>
      <c r="AO1447" s="213"/>
      <c r="AP1447" s="213"/>
      <c r="AQ1447" s="213"/>
      <c r="AR1447" s="213"/>
      <c r="AS1447" s="213"/>
      <c r="AT1447" s="213"/>
      <c r="AU1447" s="213"/>
      <c r="AV1447" s="213"/>
      <c r="AW1447" s="213"/>
      <c r="AX1447" s="213"/>
      <c r="AY1447" s="213"/>
      <c r="AZ1447" s="213"/>
      <c r="BA1447" s="213"/>
      <c r="BB1447" s="213"/>
      <c r="BC1447" s="213"/>
      <c r="BD1447" s="213"/>
    </row>
    <row r="1448">
      <c r="A1448" s="213">
        <f>IFERROR(__xludf.DUMMYFUNCTION("""COMPUTED_VALUE"""),317.0)</f>
        <v>317</v>
      </c>
      <c r="B1448" s="213" t="str">
        <f>IFERROR(__xludf.DUMMYFUNCTION("""COMPUTED_VALUE"""),"2026 SIMON BOLIVAR")</f>
        <v>2026 SIMON BOLIVAR</v>
      </c>
      <c r="C1448" s="213" t="str">
        <f>IFERROR(__xludf.DUMMYFUNCTION("""COMPUTED_VALUE"""),"TALLER SFT DE COMPUTACIÓN E INFORMÁTICA")</f>
        <v>TALLER SFT DE COMPUTACIÓN E INFORMÁTICA</v>
      </c>
      <c r="D1448" s="213" t="str">
        <f>IFERROR(__xludf.DUMMYFUNCTION("""COMPUTED_VALUE"""),"PEDAGOGICO")</f>
        <v>PEDAGOGICO</v>
      </c>
      <c r="E1448" s="213" t="str">
        <f>IFERROR(__xludf.DUMMYFUNCTION("""COMPUTED_VALUE"""),"MAT-327")</f>
        <v>MAT-327</v>
      </c>
      <c r="F1448" s="213" t="str">
        <f>IFERROR(__xludf.DUMMYFUNCTION("""COMPUTED_VALUE"""),"KEFF-24")</f>
        <v>KEFF-24</v>
      </c>
      <c r="G1448" s="213"/>
      <c r="H1448" s="213" t="str">
        <f>IFERROR(__xludf.DUMMYFUNCTION("""COMPUTED_VALUE"""),"MANUAL DE USO POR CADA EQUIPO DEL TALLER DE PRODUCCIÓN AUDIOVISUAL")</f>
        <v>MANUAL DE USO POR CADA EQUIPO DEL TALLER DE PRODUCCIÓN AUDIOVISUAL</v>
      </c>
      <c r="I144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de diseño y producción audiovisual
-   Descripción de las principales tareas que se pueden realizar con cada equipo de diseño y producción audiovisual
-   Descripción grafica de la instalación, uso y conservación de cada equ"&amp;"ipo.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diseño y producción audiovisual
-   Descripción de las principales tareas que se pueden realizar con cada equipo de diseño y producción audiovisual
-   Descripción grafica de la instalación, uso y conservación de cada equipo.
-   Descripción de los errores comunes que se presentan en el uso y la forma de solucionarlos.
-   Descripción de las normas de seguridad que se deben tener en cuenta durante el uso de cada equipo.</v>
      </c>
      <c r="J1448" s="213">
        <f>IFERROR(__xludf.DUMMYFUNCTION("""COMPUTED_VALUE"""),3.0)</f>
        <v>3</v>
      </c>
      <c r="K1448" s="213" t="str">
        <f>IFERROR(__xludf.DUMMYFUNCTION("""COMPUTED_VALUE"""),"170 DÍAS CALENDARIO")</f>
        <v>170 DÍAS CALENDARIO</v>
      </c>
      <c r="L1448" s="213" t="str">
        <f>IFERROR(__xludf.DUMMYFUNCTION("""COMPUTED_VALUE"""),"")</f>
        <v/>
      </c>
      <c r="M1448" s="213">
        <f>IFERROR(__xludf.DUMMYFUNCTION("""COMPUTED_VALUE"""),1.0)</f>
        <v>1</v>
      </c>
      <c r="N1448" s="213">
        <f>IFERROR(__xludf.DUMMYFUNCTION("""COMPUTED_VALUE"""),6.0)</f>
        <v>6</v>
      </c>
      <c r="O1448" s="213">
        <f>IFERROR(__xludf.DUMMYFUNCTION("""COMPUTED_VALUE"""),6.0)</f>
        <v>6</v>
      </c>
      <c r="P1448" s="213"/>
      <c r="Q1448" s="213"/>
      <c r="R1448" s="213"/>
      <c r="S1448" s="213"/>
      <c r="T1448" s="213"/>
      <c r="U1448" s="213"/>
      <c r="V1448" s="213"/>
      <c r="W1448" s="213"/>
      <c r="X1448" s="213"/>
      <c r="Y1448" s="213"/>
      <c r="Z1448" s="213"/>
      <c r="AA1448" s="213"/>
      <c r="AB1448" s="213"/>
      <c r="AC1448" s="213"/>
      <c r="AD1448" s="213"/>
      <c r="AE1448" s="213"/>
      <c r="AF1448" s="213"/>
      <c r="AG1448" s="213"/>
      <c r="AH1448" s="213"/>
      <c r="AI1448" s="213"/>
      <c r="AJ1448" s="213"/>
      <c r="AK1448" s="213"/>
      <c r="AL1448" s="213"/>
      <c r="AM1448" s="213"/>
      <c r="AN1448" s="213"/>
      <c r="AO1448" s="213"/>
      <c r="AP1448" s="213"/>
      <c r="AQ1448" s="213"/>
      <c r="AR1448" s="213"/>
      <c r="AS1448" s="213"/>
      <c r="AT1448" s="213"/>
      <c r="AU1448" s="213"/>
      <c r="AV1448" s="213"/>
      <c r="AW1448" s="213"/>
      <c r="AX1448" s="213"/>
      <c r="AY1448" s="213"/>
      <c r="AZ1448" s="213"/>
      <c r="BA1448" s="213"/>
      <c r="BB1448" s="213"/>
      <c r="BC1448" s="213"/>
      <c r="BD1448" s="213"/>
    </row>
    <row r="1449">
      <c r="A1449" s="213">
        <f>IFERROR(__xludf.DUMMYFUNCTION("""COMPUTED_VALUE"""),803.0)</f>
        <v>803</v>
      </c>
      <c r="B1449" s="213" t="str">
        <f>IFERROR(__xludf.DUMMYFUNCTION("""COMPUTED_VALUE"""),"6049 RICARDO PALMA")</f>
        <v>6049 RICARDO PALMA</v>
      </c>
      <c r="C1449" s="213" t="str">
        <f>IFERROR(__xludf.DUMMYFUNCTION("""COMPUTED_VALUE"""),"TALLER SFT DE COMPUTACIÓN E INFORMÁTICA")</f>
        <v>TALLER SFT DE COMPUTACIÓN E INFORMÁTICA</v>
      </c>
      <c r="D1449" s="213" t="str">
        <f>IFERROR(__xludf.DUMMYFUNCTION("""COMPUTED_VALUE"""),"PEDAGOGICO")</f>
        <v>PEDAGOGICO</v>
      </c>
      <c r="E1449" s="213" t="str">
        <f>IFERROR(__xludf.DUMMYFUNCTION("""COMPUTED_VALUE"""),"MAT-327")</f>
        <v>MAT-327</v>
      </c>
      <c r="F1449" s="213" t="str">
        <f>IFERROR(__xludf.DUMMYFUNCTION("""COMPUTED_VALUE"""),"KEFF-24")</f>
        <v>KEFF-24</v>
      </c>
      <c r="G1449" s="213"/>
      <c r="H1449" s="213" t="str">
        <f>IFERROR(__xludf.DUMMYFUNCTION("""COMPUTED_VALUE"""),"MANUAL DE USO POR CADA EQUIPO DEL TALLER DE PRODUCCIÓN AUDIOVISUAL")</f>
        <v>MANUAL DE USO POR CADA EQUIPO DEL TALLER DE PRODUCCIÓN AUDIOVISUAL</v>
      </c>
      <c r="I144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de diseño y producción audiovisual
-   Descripción de las principales tareas que se pueden realizar con cada equipo de diseño y producción audiovisual
-   Descripción grafica de la instalación, uso y conservación de cada equ"&amp;"ipo.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diseño y producción audiovisual
-   Descripción de las principales tareas que se pueden realizar con cada equipo de diseño y producción audiovisual
-   Descripción grafica de la instalación, uso y conservación de cada equipo.
-   Descripción de los errores comunes que se presentan en el uso y la forma de solucionarlos.
-   Descripción de las normas de seguridad que se deben tener en cuenta durante el uso de cada equipo.</v>
      </c>
      <c r="J1449" s="213">
        <f>IFERROR(__xludf.DUMMYFUNCTION("""COMPUTED_VALUE"""),3.0)</f>
        <v>3</v>
      </c>
      <c r="K1449" s="213" t="str">
        <f>IFERROR(__xludf.DUMMYFUNCTION("""COMPUTED_VALUE"""),"170 DÍAS CALENDARIO")</f>
        <v>170 DÍAS CALENDARIO</v>
      </c>
      <c r="L1449" s="213" t="str">
        <f>IFERROR(__xludf.DUMMYFUNCTION("""COMPUTED_VALUE"""),"")</f>
        <v/>
      </c>
      <c r="M1449" s="213">
        <f>IFERROR(__xludf.DUMMYFUNCTION("""COMPUTED_VALUE"""),1.0)</f>
        <v>1</v>
      </c>
      <c r="N1449" s="213">
        <f>IFERROR(__xludf.DUMMYFUNCTION("""COMPUTED_VALUE"""),6.0)</f>
        <v>6</v>
      </c>
      <c r="O1449" s="213">
        <f>IFERROR(__xludf.DUMMYFUNCTION("""COMPUTED_VALUE"""),6.0)</f>
        <v>6</v>
      </c>
      <c r="P1449" s="213"/>
      <c r="Q1449" s="213"/>
      <c r="R1449" s="213"/>
      <c r="S1449" s="213"/>
      <c r="T1449" s="213"/>
      <c r="U1449" s="213"/>
      <c r="V1449" s="213"/>
      <c r="W1449" s="213"/>
      <c r="X1449" s="213"/>
      <c r="Y1449" s="213"/>
      <c r="Z1449" s="213"/>
      <c r="AA1449" s="213"/>
      <c r="AB1449" s="213"/>
      <c r="AC1449" s="213"/>
      <c r="AD1449" s="213"/>
      <c r="AE1449" s="213"/>
      <c r="AF1449" s="213"/>
      <c r="AG1449" s="213"/>
      <c r="AH1449" s="213"/>
      <c r="AI1449" s="213"/>
      <c r="AJ1449" s="213"/>
      <c r="AK1449" s="213"/>
      <c r="AL1449" s="213"/>
      <c r="AM1449" s="213"/>
      <c r="AN1449" s="213"/>
      <c r="AO1449" s="213"/>
      <c r="AP1449" s="213"/>
      <c r="AQ1449" s="213"/>
      <c r="AR1449" s="213"/>
      <c r="AS1449" s="213"/>
      <c r="AT1449" s="213"/>
      <c r="AU1449" s="213"/>
      <c r="AV1449" s="213"/>
      <c r="AW1449" s="213"/>
      <c r="AX1449" s="213"/>
      <c r="AY1449" s="213"/>
      <c r="AZ1449" s="213"/>
      <c r="BA1449" s="213"/>
      <c r="BB1449" s="213"/>
      <c r="BC1449" s="213"/>
      <c r="BD1449" s="213"/>
    </row>
    <row r="1450">
      <c r="A1450" s="213">
        <f>IFERROR(__xludf.DUMMYFUNCTION("""COMPUTED_VALUE"""),1740.0)</f>
        <v>1740</v>
      </c>
      <c r="B1450" s="213" t="str">
        <f>IFERROR(__xludf.DUMMYFUNCTION("""COMPUTED_VALUE"""),"GUILLERMO E. BILLINGHURST ")</f>
        <v>GUILLERMO E. BILLINGHURST </v>
      </c>
      <c r="C1450" s="213" t="str">
        <f>IFERROR(__xludf.DUMMYFUNCTION("""COMPUTED_VALUE"""),"TALLER SFT DE COMPUTACIÓN E INFORMÁTICA")</f>
        <v>TALLER SFT DE COMPUTACIÓN E INFORMÁTICA</v>
      </c>
      <c r="D1450" s="213" t="str">
        <f>IFERROR(__xludf.DUMMYFUNCTION("""COMPUTED_VALUE"""),"PEDAGOGICO")</f>
        <v>PEDAGOGICO</v>
      </c>
      <c r="E1450" s="213" t="str">
        <f>IFERROR(__xludf.DUMMYFUNCTION("""COMPUTED_VALUE"""),"MAT-327")</f>
        <v>MAT-327</v>
      </c>
      <c r="F1450" s="213" t="str">
        <f>IFERROR(__xludf.DUMMYFUNCTION("""COMPUTED_VALUE"""),"KEFF-24")</f>
        <v>KEFF-24</v>
      </c>
      <c r="G1450" s="213"/>
      <c r="H1450" s="213" t="str">
        <f>IFERROR(__xludf.DUMMYFUNCTION("""COMPUTED_VALUE"""),"MANUAL DE USO POR CADA EQUIPO DEL TALLER DE PRODUCCIÓN AUDIOVISUAL")</f>
        <v>MANUAL DE USO POR CADA EQUIPO DEL TALLER DE PRODUCCIÓN AUDIOVISUAL</v>
      </c>
      <c r="I145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de diseño y producción audiovisual
-   Descripción de las principales tareas que se pueden realizar con cada equipo de diseño y producción audiovisual
-   Descripción grafica de la instalación, uso y conservación de cada equ"&amp;"ipo.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diseño y producción audiovisual
-   Descripción de las principales tareas que se pueden realizar con cada equipo de diseño y producción audiovisual
-   Descripción grafica de la instalación, uso y conservación de cada equipo.
-   Descripción de los errores comunes que se presentan en el uso y la forma de solucionarlos.
-   Descripción de las normas de seguridad que se deben tener en cuenta durante el uso de cada equipo.</v>
      </c>
      <c r="J1450" s="213">
        <f>IFERROR(__xludf.DUMMYFUNCTION("""COMPUTED_VALUE"""),3.0)</f>
        <v>3</v>
      </c>
      <c r="K1450" s="213" t="str">
        <f>IFERROR(__xludf.DUMMYFUNCTION("""COMPUTED_VALUE"""),"170 DÍAS CALENDARIO")</f>
        <v>170 DÍAS CALENDARIO</v>
      </c>
      <c r="L1450" s="213" t="str">
        <f>IFERROR(__xludf.DUMMYFUNCTION("""COMPUTED_VALUE"""),"")</f>
        <v/>
      </c>
      <c r="M1450" s="213">
        <f>IFERROR(__xludf.DUMMYFUNCTION("""COMPUTED_VALUE"""),1.0)</f>
        <v>1</v>
      </c>
      <c r="N1450" s="213">
        <f>IFERROR(__xludf.DUMMYFUNCTION("""COMPUTED_VALUE"""),6.0)</f>
        <v>6</v>
      </c>
      <c r="O1450" s="213">
        <f>IFERROR(__xludf.DUMMYFUNCTION("""COMPUTED_VALUE"""),6.0)</f>
        <v>6</v>
      </c>
      <c r="P1450" s="213"/>
      <c r="Q1450" s="213"/>
      <c r="R1450" s="213"/>
      <c r="S1450" s="213"/>
      <c r="T1450" s="213"/>
      <c r="U1450" s="213"/>
      <c r="V1450" s="213"/>
      <c r="W1450" s="213"/>
      <c r="X1450" s="213"/>
      <c r="Y1450" s="213"/>
      <c r="Z1450" s="213"/>
      <c r="AA1450" s="213"/>
      <c r="AB1450" s="213"/>
      <c r="AC1450" s="213"/>
      <c r="AD1450" s="213"/>
      <c r="AE1450" s="213"/>
      <c r="AF1450" s="213"/>
      <c r="AG1450" s="213"/>
      <c r="AH1450" s="213"/>
      <c r="AI1450" s="213"/>
      <c r="AJ1450" s="213"/>
      <c r="AK1450" s="213"/>
      <c r="AL1450" s="213"/>
      <c r="AM1450" s="213"/>
      <c r="AN1450" s="213"/>
      <c r="AO1450" s="213"/>
      <c r="AP1450" s="213"/>
      <c r="AQ1450" s="213"/>
      <c r="AR1450" s="213"/>
      <c r="AS1450" s="213"/>
      <c r="AT1450" s="213"/>
      <c r="AU1450" s="213"/>
      <c r="AV1450" s="213"/>
      <c r="AW1450" s="213"/>
      <c r="AX1450" s="213"/>
      <c r="AY1450" s="213"/>
      <c r="AZ1450" s="213"/>
      <c r="BA1450" s="213"/>
      <c r="BB1450" s="213"/>
      <c r="BC1450" s="213"/>
      <c r="BD1450" s="213"/>
    </row>
    <row r="1451">
      <c r="A1451" s="213">
        <f>IFERROR(__xludf.DUMMYFUNCTION("""COMPUTED_VALUE"""),1991.0)</f>
        <v>1991</v>
      </c>
      <c r="B1451" s="213" t="str">
        <f>IFERROR(__xludf.DUMMYFUNCTION("""COMPUTED_VALUE"""),"JOSE GRANDA")</f>
        <v>JOSE GRANDA</v>
      </c>
      <c r="C1451" s="213" t="str">
        <f>IFERROR(__xludf.DUMMYFUNCTION("""COMPUTED_VALUE"""),"TALLER SFT DE COMPUTACIÓN E INFORMÁTICA")</f>
        <v>TALLER SFT DE COMPUTACIÓN E INFORMÁTICA</v>
      </c>
      <c r="D1451" s="213" t="str">
        <f>IFERROR(__xludf.DUMMYFUNCTION("""COMPUTED_VALUE"""),"PEDAGOGICO")</f>
        <v>PEDAGOGICO</v>
      </c>
      <c r="E1451" s="213" t="str">
        <f>IFERROR(__xludf.DUMMYFUNCTION("""COMPUTED_VALUE"""),"MAT-327")</f>
        <v>MAT-327</v>
      </c>
      <c r="F1451" s="213" t="str">
        <f>IFERROR(__xludf.DUMMYFUNCTION("""COMPUTED_VALUE"""),"KEFF-24")</f>
        <v>KEFF-24</v>
      </c>
      <c r="G1451" s="213"/>
      <c r="H1451" s="213" t="str">
        <f>IFERROR(__xludf.DUMMYFUNCTION("""COMPUTED_VALUE"""),"MANUAL DE USO POR CADA EQUIPO DEL TALLER DE PRODUCCIÓN AUDIOVISUAL")</f>
        <v>MANUAL DE USO POR CADA EQUIPO DEL TALLER DE PRODUCCIÓN AUDIOVISUAL</v>
      </c>
      <c r="I145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de diseño y producción audiovisual
-   Descripción de las principales tareas que se pueden realizar con cada equipo de diseño y producción audiovisual
-   Descripción grafica de la instalación, uso y conservación de cada equ"&amp;"ipo.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diseño y producción audiovisual
-   Descripción de las principales tareas que se pueden realizar con cada equipo de diseño y producción audiovisual
-   Descripción grafica de la instalación, uso y conservación de cada equipo.
-   Descripción de los errores comunes que se presentan en el uso y la forma de solucionarlos.
-   Descripción de las normas de seguridad que se deben tener en cuenta durante el uso de cada equipo.</v>
      </c>
      <c r="J1451" s="213">
        <f>IFERROR(__xludf.DUMMYFUNCTION("""COMPUTED_VALUE"""),3.0)</f>
        <v>3</v>
      </c>
      <c r="K1451" s="213" t="str">
        <f>IFERROR(__xludf.DUMMYFUNCTION("""COMPUTED_VALUE"""),"170 DÍAS CALENDARIO")</f>
        <v>170 DÍAS CALENDARIO</v>
      </c>
      <c r="L1451" s="213" t="str">
        <f>IFERROR(__xludf.DUMMYFUNCTION("""COMPUTED_VALUE"""),"")</f>
        <v/>
      </c>
      <c r="M1451" s="213">
        <f>IFERROR(__xludf.DUMMYFUNCTION("""COMPUTED_VALUE"""),1.0)</f>
        <v>1</v>
      </c>
      <c r="N1451" s="213">
        <f>IFERROR(__xludf.DUMMYFUNCTION("""COMPUTED_VALUE"""),6.0)</f>
        <v>6</v>
      </c>
      <c r="O1451" s="213">
        <f>IFERROR(__xludf.DUMMYFUNCTION("""COMPUTED_VALUE"""),6.0)</f>
        <v>6</v>
      </c>
      <c r="P1451" s="213"/>
      <c r="Q1451" s="213"/>
      <c r="R1451" s="213"/>
      <c r="S1451" s="213"/>
      <c r="T1451" s="213"/>
      <c r="U1451" s="213"/>
      <c r="V1451" s="213"/>
      <c r="W1451" s="213"/>
      <c r="X1451" s="213"/>
      <c r="Y1451" s="213"/>
      <c r="Z1451" s="213"/>
      <c r="AA1451" s="213"/>
      <c r="AB1451" s="213"/>
      <c r="AC1451" s="213"/>
      <c r="AD1451" s="213"/>
      <c r="AE1451" s="213"/>
      <c r="AF1451" s="213"/>
      <c r="AG1451" s="213"/>
      <c r="AH1451" s="213"/>
      <c r="AI1451" s="213"/>
      <c r="AJ1451" s="213"/>
      <c r="AK1451" s="213"/>
      <c r="AL1451" s="213"/>
      <c r="AM1451" s="213"/>
      <c r="AN1451" s="213"/>
      <c r="AO1451" s="213"/>
      <c r="AP1451" s="213"/>
      <c r="AQ1451" s="213"/>
      <c r="AR1451" s="213"/>
      <c r="AS1451" s="213"/>
      <c r="AT1451" s="213"/>
      <c r="AU1451" s="213"/>
      <c r="AV1451" s="213"/>
      <c r="AW1451" s="213"/>
      <c r="AX1451" s="213"/>
      <c r="AY1451" s="213"/>
      <c r="AZ1451" s="213"/>
      <c r="BA1451" s="213"/>
      <c r="BB1451" s="213"/>
      <c r="BC1451" s="213"/>
      <c r="BD1451" s="213"/>
    </row>
    <row r="1452">
      <c r="A1452" s="213">
        <f>IFERROR(__xludf.DUMMYFUNCTION("""COMPUTED_VALUE"""),304.0)</f>
        <v>304</v>
      </c>
      <c r="B1452" s="213" t="str">
        <f>IFERROR(__xludf.DUMMYFUNCTION("""COMPUTED_VALUE"""),"2026 SIMON BOLIVAR")</f>
        <v>2026 SIMON BOLIVAR</v>
      </c>
      <c r="C1452" s="213" t="str">
        <f>IFERROR(__xludf.DUMMYFUNCTION("""COMPUTED_VALUE"""),"TALLER SFT DE COMPUTACIÓN E INFORMÁTICA")</f>
        <v>TALLER SFT DE COMPUTACIÓN E INFORMÁTICA</v>
      </c>
      <c r="D1452" s="213" t="str">
        <f>IFERROR(__xludf.DUMMYFUNCTION("""COMPUTED_VALUE"""),"PEDAGOGICO")</f>
        <v>PEDAGOGICO</v>
      </c>
      <c r="E1452" s="213" t="str">
        <f>IFERROR(__xludf.DUMMYFUNCTION("""COMPUTED_VALUE"""),"MAT-328")</f>
        <v>MAT-328</v>
      </c>
      <c r="F1452" s="213" t="str">
        <f>IFERROR(__xludf.DUMMYFUNCTION("""COMPUTED_VALUE"""),"KEFF-19")</f>
        <v>KEFF-19</v>
      </c>
      <c r="G1452" s="213"/>
      <c r="H1452" s="213" t="str">
        <f>IFERROR(__xludf.DUMMYFUNCTION("""COMPUTED_VALUE"""),"MANUAL DE USO POR CADA EQUIPO DEL TALLER DE PROGRAMACIÓN")</f>
        <v>MANUAL DE USO POR CADA EQUIPO DEL TALLER DE PROGRAMACIÓN</v>
      </c>
      <c r="I145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de programación.
-   Descripción de las principales tareas que se pueden realizar con cada equipo programación
-   Descripción grafica de la instalación, uso y conservación de cada equipo.
-   Descripción de los errores comu"&amp;"nes que se presentan en el uso y la forma de solucionarlos.
-   Descripción de las normas de seguridad que se deben tener en cuenta en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programación.
-   Descripción de las principales tareas que se pueden realizar con cada equipo programación
-   Descripción grafica de la instalación, uso y conservación de cada equipo.
-   Descripción de los errores comunes que se presentan en el uso y la forma de solucionarlos.
-   Descripción de las normas de seguridad que se deben tener en cuenta en el uso de cada equipo.</v>
      </c>
      <c r="J1452" s="213">
        <f>IFERROR(__xludf.DUMMYFUNCTION("""COMPUTED_VALUE"""),3.0)</f>
        <v>3</v>
      </c>
      <c r="K1452" s="213" t="str">
        <f>IFERROR(__xludf.DUMMYFUNCTION("""COMPUTED_VALUE"""),"170 DÍAS CALENDARIO")</f>
        <v>170 DÍAS CALENDARIO</v>
      </c>
      <c r="L1452" s="213" t="str">
        <f>IFERROR(__xludf.DUMMYFUNCTION("""COMPUTED_VALUE"""),"")</f>
        <v/>
      </c>
      <c r="M1452" s="213">
        <f>IFERROR(__xludf.DUMMYFUNCTION("""COMPUTED_VALUE"""),1.0)</f>
        <v>1</v>
      </c>
      <c r="N1452" s="213">
        <f>IFERROR(__xludf.DUMMYFUNCTION("""COMPUTED_VALUE"""),6.0)</f>
        <v>6</v>
      </c>
      <c r="O1452" s="213">
        <f>IFERROR(__xludf.DUMMYFUNCTION("""COMPUTED_VALUE"""),6.0)</f>
        <v>6</v>
      </c>
      <c r="P1452" s="213"/>
      <c r="Q1452" s="213"/>
      <c r="R1452" s="213"/>
      <c r="S1452" s="213"/>
      <c r="T1452" s="213"/>
      <c r="U1452" s="213"/>
      <c r="V1452" s="213"/>
      <c r="W1452" s="213"/>
      <c r="X1452" s="213"/>
      <c r="Y1452" s="213"/>
      <c r="Z1452" s="213"/>
      <c r="AA1452" s="213"/>
      <c r="AB1452" s="213"/>
      <c r="AC1452" s="213"/>
      <c r="AD1452" s="213"/>
      <c r="AE1452" s="213"/>
      <c r="AF1452" s="213"/>
      <c r="AG1452" s="213"/>
      <c r="AH1452" s="213"/>
      <c r="AI1452" s="213"/>
      <c r="AJ1452" s="213"/>
      <c r="AK1452" s="213"/>
      <c r="AL1452" s="213"/>
      <c r="AM1452" s="213"/>
      <c r="AN1452" s="213"/>
      <c r="AO1452" s="213"/>
      <c r="AP1452" s="213"/>
      <c r="AQ1452" s="213"/>
      <c r="AR1452" s="213"/>
      <c r="AS1452" s="213"/>
      <c r="AT1452" s="213"/>
      <c r="AU1452" s="213"/>
      <c r="AV1452" s="213"/>
      <c r="AW1452" s="213"/>
      <c r="AX1452" s="213"/>
      <c r="AY1452" s="213"/>
      <c r="AZ1452" s="213"/>
      <c r="BA1452" s="213"/>
      <c r="BB1452" s="213"/>
      <c r="BC1452" s="213"/>
      <c r="BD1452" s="213"/>
    </row>
    <row r="1453">
      <c r="A1453" s="213">
        <f>IFERROR(__xludf.DUMMYFUNCTION("""COMPUTED_VALUE"""),790.0)</f>
        <v>790</v>
      </c>
      <c r="B1453" s="213" t="str">
        <f>IFERROR(__xludf.DUMMYFUNCTION("""COMPUTED_VALUE"""),"6049 RICARDO PALMA")</f>
        <v>6049 RICARDO PALMA</v>
      </c>
      <c r="C1453" s="213" t="str">
        <f>IFERROR(__xludf.DUMMYFUNCTION("""COMPUTED_VALUE"""),"TALLER SFT DE COMPUTACIÓN E INFORMÁTICA")</f>
        <v>TALLER SFT DE COMPUTACIÓN E INFORMÁTICA</v>
      </c>
      <c r="D1453" s="213" t="str">
        <f>IFERROR(__xludf.DUMMYFUNCTION("""COMPUTED_VALUE"""),"PEDAGOGICO")</f>
        <v>PEDAGOGICO</v>
      </c>
      <c r="E1453" s="213" t="str">
        <f>IFERROR(__xludf.DUMMYFUNCTION("""COMPUTED_VALUE"""),"MAT-328")</f>
        <v>MAT-328</v>
      </c>
      <c r="F1453" s="213" t="str">
        <f>IFERROR(__xludf.DUMMYFUNCTION("""COMPUTED_VALUE"""),"KEFF-19")</f>
        <v>KEFF-19</v>
      </c>
      <c r="G1453" s="213"/>
      <c r="H1453" s="213" t="str">
        <f>IFERROR(__xludf.DUMMYFUNCTION("""COMPUTED_VALUE"""),"MANUAL DE USO POR CADA EQUIPO DEL TALLER DE PROGRAMACIÓN")</f>
        <v>MANUAL DE USO POR CADA EQUIPO DEL TALLER DE PROGRAMACIÓN</v>
      </c>
      <c r="I145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de programación.
-   Descripción de las principales tareas que se pueden realizar con cada equipo programación
-   Descripción grafica de la instalación, uso y conservación de cada equipo.
-   Descripción de los errores comu"&amp;"nes que se presentan en el uso y la forma de solucionarlos.
-   Descripción de las normas de seguridad que se deben tener en cuenta en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programación.
-   Descripción de las principales tareas que se pueden realizar con cada equipo programación
-   Descripción grafica de la instalación, uso y conservación de cada equipo.
-   Descripción de los errores comunes que se presentan en el uso y la forma de solucionarlos.
-   Descripción de las normas de seguridad que se deben tener en cuenta en el uso de cada equipo.</v>
      </c>
      <c r="J1453" s="213">
        <f>IFERROR(__xludf.DUMMYFUNCTION("""COMPUTED_VALUE"""),3.0)</f>
        <v>3</v>
      </c>
      <c r="K1453" s="213" t="str">
        <f>IFERROR(__xludf.DUMMYFUNCTION("""COMPUTED_VALUE"""),"170 DÍAS CALENDARIO")</f>
        <v>170 DÍAS CALENDARIO</v>
      </c>
      <c r="L1453" s="213" t="str">
        <f>IFERROR(__xludf.DUMMYFUNCTION("""COMPUTED_VALUE"""),"")</f>
        <v/>
      </c>
      <c r="M1453" s="213">
        <f>IFERROR(__xludf.DUMMYFUNCTION("""COMPUTED_VALUE"""),1.0)</f>
        <v>1</v>
      </c>
      <c r="N1453" s="213">
        <f>IFERROR(__xludf.DUMMYFUNCTION("""COMPUTED_VALUE"""),6.0)</f>
        <v>6</v>
      </c>
      <c r="O1453" s="213">
        <f>IFERROR(__xludf.DUMMYFUNCTION("""COMPUTED_VALUE"""),6.0)</f>
        <v>6</v>
      </c>
      <c r="P1453" s="213"/>
      <c r="Q1453" s="213"/>
      <c r="R1453" s="213"/>
      <c r="S1453" s="213"/>
      <c r="T1453" s="213"/>
      <c r="U1453" s="213"/>
      <c r="V1453" s="213"/>
      <c r="W1453" s="213"/>
      <c r="X1453" s="213"/>
      <c r="Y1453" s="213"/>
      <c r="Z1453" s="213"/>
      <c r="AA1453" s="213"/>
      <c r="AB1453" s="213"/>
      <c r="AC1453" s="213"/>
      <c r="AD1453" s="213"/>
      <c r="AE1453" s="213"/>
      <c r="AF1453" s="213"/>
      <c r="AG1453" s="213"/>
      <c r="AH1453" s="213"/>
      <c r="AI1453" s="213"/>
      <c r="AJ1453" s="213"/>
      <c r="AK1453" s="213"/>
      <c r="AL1453" s="213"/>
      <c r="AM1453" s="213"/>
      <c r="AN1453" s="213"/>
      <c r="AO1453" s="213"/>
      <c r="AP1453" s="213"/>
      <c r="AQ1453" s="213"/>
      <c r="AR1453" s="213"/>
      <c r="AS1453" s="213"/>
      <c r="AT1453" s="213"/>
      <c r="AU1453" s="213"/>
      <c r="AV1453" s="213"/>
      <c r="AW1453" s="213"/>
      <c r="AX1453" s="213"/>
      <c r="AY1453" s="213"/>
      <c r="AZ1453" s="213"/>
      <c r="BA1453" s="213"/>
      <c r="BB1453" s="213"/>
      <c r="BC1453" s="213"/>
      <c r="BD1453" s="213"/>
    </row>
    <row r="1454">
      <c r="A1454" s="213">
        <f>IFERROR(__xludf.DUMMYFUNCTION("""COMPUTED_VALUE"""),1728.0)</f>
        <v>1728</v>
      </c>
      <c r="B1454" s="213" t="str">
        <f>IFERROR(__xludf.DUMMYFUNCTION("""COMPUTED_VALUE"""),"GUILLERMO E. BILLINGHURST ")</f>
        <v>GUILLERMO E. BILLINGHURST </v>
      </c>
      <c r="C1454" s="213" t="str">
        <f>IFERROR(__xludf.DUMMYFUNCTION("""COMPUTED_VALUE"""),"TALLER SFT DE COMPUTACIÓN E INFORMÁTICA")</f>
        <v>TALLER SFT DE COMPUTACIÓN E INFORMÁTICA</v>
      </c>
      <c r="D1454" s="213" t="str">
        <f>IFERROR(__xludf.DUMMYFUNCTION("""COMPUTED_VALUE"""),"PEDAGOGICO")</f>
        <v>PEDAGOGICO</v>
      </c>
      <c r="E1454" s="213" t="str">
        <f>IFERROR(__xludf.DUMMYFUNCTION("""COMPUTED_VALUE"""),"MAT-328")</f>
        <v>MAT-328</v>
      </c>
      <c r="F1454" s="213" t="str">
        <f>IFERROR(__xludf.DUMMYFUNCTION("""COMPUTED_VALUE"""),"KEFF-19")</f>
        <v>KEFF-19</v>
      </c>
      <c r="G1454" s="213"/>
      <c r="H1454" s="213" t="str">
        <f>IFERROR(__xludf.DUMMYFUNCTION("""COMPUTED_VALUE"""),"MANUAL DE USO POR CADA EQUIPO DEL TALLER DE PROGRAMACIÓN")</f>
        <v>MANUAL DE USO POR CADA EQUIPO DEL TALLER DE PROGRAMACIÓN</v>
      </c>
      <c r="I145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de programación.
-   Descripción de las principales tareas que se pueden realizar con cada equipo programación
-   Descripción grafica de la instalación, uso y conservación de cada equipo.
-   Descripción de los errores comu"&amp;"nes que se presentan en el uso y la forma de solucionarlos.
-   Descripción de las normas de seguridad que se deben tener en cuenta en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programación.
-   Descripción de las principales tareas que se pueden realizar con cada equipo programación
-   Descripción grafica de la instalación, uso y conservación de cada equipo.
-   Descripción de los errores comunes que se presentan en el uso y la forma de solucionarlos.
-   Descripción de las normas de seguridad que se deben tener en cuenta en el uso de cada equipo.</v>
      </c>
      <c r="J1454" s="213">
        <f>IFERROR(__xludf.DUMMYFUNCTION("""COMPUTED_VALUE"""),3.0)</f>
        <v>3</v>
      </c>
      <c r="K1454" s="213" t="str">
        <f>IFERROR(__xludf.DUMMYFUNCTION("""COMPUTED_VALUE"""),"170 DÍAS CALENDARIO")</f>
        <v>170 DÍAS CALENDARIO</v>
      </c>
      <c r="L1454" s="213" t="str">
        <f>IFERROR(__xludf.DUMMYFUNCTION("""COMPUTED_VALUE"""),"")</f>
        <v/>
      </c>
      <c r="M1454" s="213">
        <f>IFERROR(__xludf.DUMMYFUNCTION("""COMPUTED_VALUE"""),1.0)</f>
        <v>1</v>
      </c>
      <c r="N1454" s="213">
        <f>IFERROR(__xludf.DUMMYFUNCTION("""COMPUTED_VALUE"""),6.0)</f>
        <v>6</v>
      </c>
      <c r="O1454" s="213">
        <f>IFERROR(__xludf.DUMMYFUNCTION("""COMPUTED_VALUE"""),6.0)</f>
        <v>6</v>
      </c>
      <c r="P1454" s="213"/>
      <c r="Q1454" s="213"/>
      <c r="R1454" s="213"/>
      <c r="S1454" s="213"/>
      <c r="T1454" s="213"/>
      <c r="U1454" s="213"/>
      <c r="V1454" s="213"/>
      <c r="W1454" s="213"/>
      <c r="X1454" s="213"/>
      <c r="Y1454" s="213"/>
      <c r="Z1454" s="213"/>
      <c r="AA1454" s="213"/>
      <c r="AB1454" s="213"/>
      <c r="AC1454" s="213"/>
      <c r="AD1454" s="213"/>
      <c r="AE1454" s="213"/>
      <c r="AF1454" s="213"/>
      <c r="AG1454" s="213"/>
      <c r="AH1454" s="213"/>
      <c r="AI1454" s="213"/>
      <c r="AJ1454" s="213"/>
      <c r="AK1454" s="213"/>
      <c r="AL1454" s="213"/>
      <c r="AM1454" s="213"/>
      <c r="AN1454" s="213"/>
      <c r="AO1454" s="213"/>
      <c r="AP1454" s="213"/>
      <c r="AQ1454" s="213"/>
      <c r="AR1454" s="213"/>
      <c r="AS1454" s="213"/>
      <c r="AT1454" s="213"/>
      <c r="AU1454" s="213"/>
      <c r="AV1454" s="213"/>
      <c r="AW1454" s="213"/>
      <c r="AX1454" s="213"/>
      <c r="AY1454" s="213"/>
      <c r="AZ1454" s="213"/>
      <c r="BA1454" s="213"/>
      <c r="BB1454" s="213"/>
      <c r="BC1454" s="213"/>
      <c r="BD1454" s="213"/>
    </row>
    <row r="1455">
      <c r="A1455" s="213">
        <f>IFERROR(__xludf.DUMMYFUNCTION("""COMPUTED_VALUE"""),1978.0)</f>
        <v>1978</v>
      </c>
      <c r="B1455" s="213" t="str">
        <f>IFERROR(__xludf.DUMMYFUNCTION("""COMPUTED_VALUE"""),"JOSE GRANDA")</f>
        <v>JOSE GRANDA</v>
      </c>
      <c r="C1455" s="213" t="str">
        <f>IFERROR(__xludf.DUMMYFUNCTION("""COMPUTED_VALUE"""),"TALLER SFT DE COMPUTACIÓN E INFORMÁTICA")</f>
        <v>TALLER SFT DE COMPUTACIÓN E INFORMÁTICA</v>
      </c>
      <c r="D1455" s="213" t="str">
        <f>IFERROR(__xludf.DUMMYFUNCTION("""COMPUTED_VALUE"""),"PEDAGOGICO")</f>
        <v>PEDAGOGICO</v>
      </c>
      <c r="E1455" s="213" t="str">
        <f>IFERROR(__xludf.DUMMYFUNCTION("""COMPUTED_VALUE"""),"MAT-328")</f>
        <v>MAT-328</v>
      </c>
      <c r="F1455" s="213" t="str">
        <f>IFERROR(__xludf.DUMMYFUNCTION("""COMPUTED_VALUE"""),"KEFF-19")</f>
        <v>KEFF-19</v>
      </c>
      <c r="G1455" s="213"/>
      <c r="H1455" s="213" t="str">
        <f>IFERROR(__xludf.DUMMYFUNCTION("""COMPUTED_VALUE"""),"MANUAL DE USO POR CADA EQUIPO DEL TALLER DE PROGRAMACIÓN")</f>
        <v>MANUAL DE USO POR CADA EQUIPO DEL TALLER DE PROGRAMACIÓN</v>
      </c>
      <c r="I145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de programación.
-   Descripción de las principales tareas que se pueden realizar con cada equipo programación
-   Descripción grafica de la instalación, uso y conservación de cada equipo.
-   Descripción de los errores comu"&amp;"nes que se presentan en el uso y la forma de solucionarlos.
-   Descripción de las normas de seguridad que se deben tener en cuenta en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de programación.
-   Descripción de las principales tareas que se pueden realizar con cada equipo programación
-   Descripción grafica de la instalación, uso y conservación de cada equipo.
-   Descripción de los errores comunes que se presentan en el uso y la forma de solucionarlos.
-   Descripción de las normas de seguridad que se deben tener en cuenta en el uso de cada equipo.</v>
      </c>
      <c r="J1455" s="213">
        <f>IFERROR(__xludf.DUMMYFUNCTION("""COMPUTED_VALUE"""),3.0)</f>
        <v>3</v>
      </c>
      <c r="K1455" s="213" t="str">
        <f>IFERROR(__xludf.DUMMYFUNCTION("""COMPUTED_VALUE"""),"170 DÍAS CALENDARIO")</f>
        <v>170 DÍAS CALENDARIO</v>
      </c>
      <c r="L1455" s="213" t="str">
        <f>IFERROR(__xludf.DUMMYFUNCTION("""COMPUTED_VALUE"""),"")</f>
        <v/>
      </c>
      <c r="M1455" s="213">
        <f>IFERROR(__xludf.DUMMYFUNCTION("""COMPUTED_VALUE"""),1.0)</f>
        <v>1</v>
      </c>
      <c r="N1455" s="213">
        <f>IFERROR(__xludf.DUMMYFUNCTION("""COMPUTED_VALUE"""),6.0)</f>
        <v>6</v>
      </c>
      <c r="O1455" s="213">
        <f>IFERROR(__xludf.DUMMYFUNCTION("""COMPUTED_VALUE"""),6.0)</f>
        <v>6</v>
      </c>
      <c r="P1455" s="213"/>
      <c r="Q1455" s="213"/>
      <c r="R1455" s="213"/>
      <c r="S1455" s="213"/>
      <c r="T1455" s="213"/>
      <c r="U1455" s="213"/>
      <c r="V1455" s="213"/>
      <c r="W1455" s="213"/>
      <c r="X1455" s="213"/>
      <c r="Y1455" s="213"/>
      <c r="Z1455" s="213"/>
      <c r="AA1455" s="213"/>
      <c r="AB1455" s="213"/>
      <c r="AC1455" s="213"/>
      <c r="AD1455" s="213"/>
      <c r="AE1455" s="213"/>
      <c r="AF1455" s="213"/>
      <c r="AG1455" s="213"/>
      <c r="AH1455" s="213"/>
      <c r="AI1455" s="213"/>
      <c r="AJ1455" s="213"/>
      <c r="AK1455" s="213"/>
      <c r="AL1455" s="213"/>
      <c r="AM1455" s="213"/>
      <c r="AN1455" s="213"/>
      <c r="AO1455" s="213"/>
      <c r="AP1455" s="213"/>
      <c r="AQ1455" s="213"/>
      <c r="AR1455" s="213"/>
      <c r="AS1455" s="213"/>
      <c r="AT1455" s="213"/>
      <c r="AU1455" s="213"/>
      <c r="AV1455" s="213"/>
      <c r="AW1455" s="213"/>
      <c r="AX1455" s="213"/>
      <c r="AY1455" s="213"/>
      <c r="AZ1455" s="213"/>
      <c r="BA1455" s="213"/>
      <c r="BB1455" s="213"/>
      <c r="BC1455" s="213"/>
      <c r="BD1455" s="213"/>
    </row>
    <row r="1456">
      <c r="A1456" s="213">
        <f>IFERROR(__xludf.DUMMYFUNCTION("""COMPUTED_VALUE"""),327.0)</f>
        <v>327</v>
      </c>
      <c r="B1456" s="213" t="str">
        <f>IFERROR(__xludf.DUMMYFUNCTION("""COMPUTED_VALUE"""),"2026 SIMON BOLIVAR")</f>
        <v>2026 SIMON BOLIVAR</v>
      </c>
      <c r="C1456" s="213" t="str">
        <f>IFERROR(__xludf.DUMMYFUNCTION("""COMPUTED_VALUE"""),"TALLER SFT DE COMPUTACIÓN E INFORMÁTICA")</f>
        <v>TALLER SFT DE COMPUTACIÓN E INFORMÁTICA</v>
      </c>
      <c r="D1456" s="213" t="str">
        <f>IFERROR(__xludf.DUMMYFUNCTION("""COMPUTED_VALUE"""),"PEDAGOGICO")</f>
        <v>PEDAGOGICO</v>
      </c>
      <c r="E1456" s="213" t="str">
        <f>IFERROR(__xludf.DUMMYFUNCTION("""COMPUTED_VALUE"""),"MAT-329")</f>
        <v>MAT-329</v>
      </c>
      <c r="F1456" s="213" t="str">
        <f>IFERROR(__xludf.DUMMYFUNCTION("""COMPUTED_VALUE"""),"KEFF-27")</f>
        <v>KEFF-27</v>
      </c>
      <c r="G1456" s="213"/>
      <c r="H1456" s="213" t="str">
        <f>IFERROR(__xludf.DUMMYFUNCTION("""COMPUTED_VALUE"""),"MANUAL DE USO POR CADA EQUIPO DEL TALLER DE REDES Y ROBÓTICA")</f>
        <v>MANUAL DE USO POR CADA EQUIPO DEL TALLER DE REDES Y ROBÓTICA</v>
      </c>
      <c r="I145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   Descripción de las principales tareas que se pueden realizar con cada equipo.
-   Descripción grafica de la instalación, uso y conservación de cada equipo.
-   Descripción de los errores comunes que se presentan en el u"&amp;"so y la forma de solucionarlos.
-   Descripción de las normas de seguridad que se deben tener en cuenta en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en el uso de cada equipo.</v>
      </c>
      <c r="J1456" s="213">
        <f>IFERROR(__xludf.DUMMYFUNCTION("""COMPUTED_VALUE"""),3.0)</f>
        <v>3</v>
      </c>
      <c r="K1456" s="213" t="str">
        <f>IFERROR(__xludf.DUMMYFUNCTION("""COMPUTED_VALUE"""),"170 DÍAS CALENDARIO")</f>
        <v>170 DÍAS CALENDARIO</v>
      </c>
      <c r="L1456" s="213" t="str">
        <f>IFERROR(__xludf.DUMMYFUNCTION("""COMPUTED_VALUE"""),"")</f>
        <v/>
      </c>
      <c r="M1456" s="213">
        <f>IFERROR(__xludf.DUMMYFUNCTION("""COMPUTED_VALUE"""),1.0)</f>
        <v>1</v>
      </c>
      <c r="N1456" s="213">
        <f>IFERROR(__xludf.DUMMYFUNCTION("""COMPUTED_VALUE"""),6.0)</f>
        <v>6</v>
      </c>
      <c r="O1456" s="213">
        <f>IFERROR(__xludf.DUMMYFUNCTION("""COMPUTED_VALUE"""),6.0)</f>
        <v>6</v>
      </c>
      <c r="P1456" s="213"/>
      <c r="Q1456" s="213"/>
      <c r="R1456" s="213"/>
      <c r="S1456" s="213"/>
      <c r="T1456" s="213"/>
      <c r="U1456" s="213"/>
      <c r="V1456" s="213"/>
      <c r="W1456" s="213"/>
      <c r="X1456" s="213"/>
      <c r="Y1456" s="213"/>
      <c r="Z1456" s="213"/>
      <c r="AA1456" s="213"/>
      <c r="AB1456" s="213"/>
      <c r="AC1456" s="213"/>
      <c r="AD1456" s="213"/>
      <c r="AE1456" s="213"/>
      <c r="AF1456" s="213"/>
      <c r="AG1456" s="213"/>
      <c r="AH1456" s="213"/>
      <c r="AI1456" s="213"/>
      <c r="AJ1456" s="213"/>
      <c r="AK1456" s="213"/>
      <c r="AL1456" s="213"/>
      <c r="AM1456" s="213"/>
      <c r="AN1456" s="213"/>
      <c r="AO1456" s="213"/>
      <c r="AP1456" s="213"/>
      <c r="AQ1456" s="213"/>
      <c r="AR1456" s="213"/>
      <c r="AS1456" s="213"/>
      <c r="AT1456" s="213"/>
      <c r="AU1456" s="213"/>
      <c r="AV1456" s="213"/>
      <c r="AW1456" s="213"/>
      <c r="AX1456" s="213"/>
      <c r="AY1456" s="213"/>
      <c r="AZ1456" s="213"/>
      <c r="BA1456" s="213"/>
      <c r="BB1456" s="213"/>
      <c r="BC1456" s="213"/>
      <c r="BD1456" s="213"/>
    </row>
    <row r="1457">
      <c r="A1457" s="213">
        <f>IFERROR(__xludf.DUMMYFUNCTION("""COMPUTED_VALUE"""),813.0)</f>
        <v>813</v>
      </c>
      <c r="B1457" s="213" t="str">
        <f>IFERROR(__xludf.DUMMYFUNCTION("""COMPUTED_VALUE"""),"6049 RICARDO PALMA")</f>
        <v>6049 RICARDO PALMA</v>
      </c>
      <c r="C1457" s="213" t="str">
        <f>IFERROR(__xludf.DUMMYFUNCTION("""COMPUTED_VALUE"""),"TALLER SFT DE COMPUTACIÓN E INFORMÁTICA")</f>
        <v>TALLER SFT DE COMPUTACIÓN E INFORMÁTICA</v>
      </c>
      <c r="D1457" s="213" t="str">
        <f>IFERROR(__xludf.DUMMYFUNCTION("""COMPUTED_VALUE"""),"PEDAGOGICO")</f>
        <v>PEDAGOGICO</v>
      </c>
      <c r="E1457" s="213" t="str">
        <f>IFERROR(__xludf.DUMMYFUNCTION("""COMPUTED_VALUE"""),"MAT-329")</f>
        <v>MAT-329</v>
      </c>
      <c r="F1457" s="213" t="str">
        <f>IFERROR(__xludf.DUMMYFUNCTION("""COMPUTED_VALUE"""),"KEFF-27")</f>
        <v>KEFF-27</v>
      </c>
      <c r="G1457" s="213"/>
      <c r="H1457" s="213" t="str">
        <f>IFERROR(__xludf.DUMMYFUNCTION("""COMPUTED_VALUE"""),"MANUAL DE USO POR CADA EQUIPO DEL TALLER DE REDES Y ROBÓTICA")</f>
        <v>MANUAL DE USO POR CADA EQUIPO DEL TALLER DE REDES Y ROBÓTICA</v>
      </c>
      <c r="I145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   Descripción de las principales tareas que se pueden realizar con cada equipo.
-   Descripción grafica de la instalación, uso y conservación de cada equipo.
-   Descripción de los errores comunes que se presentan en el u"&amp;"so y la forma de solucionarlos.
-   Descripción de las normas de seguridad que se deben tener en cuenta en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en el uso de cada equipo.</v>
      </c>
      <c r="J1457" s="213">
        <f>IFERROR(__xludf.DUMMYFUNCTION("""COMPUTED_VALUE"""),3.0)</f>
        <v>3</v>
      </c>
      <c r="K1457" s="213" t="str">
        <f>IFERROR(__xludf.DUMMYFUNCTION("""COMPUTED_VALUE"""),"170 DÍAS CALENDARIO")</f>
        <v>170 DÍAS CALENDARIO</v>
      </c>
      <c r="L1457" s="213" t="str">
        <f>IFERROR(__xludf.DUMMYFUNCTION("""COMPUTED_VALUE"""),"")</f>
        <v/>
      </c>
      <c r="M1457" s="213">
        <f>IFERROR(__xludf.DUMMYFUNCTION("""COMPUTED_VALUE"""),1.0)</f>
        <v>1</v>
      </c>
      <c r="N1457" s="213">
        <f>IFERROR(__xludf.DUMMYFUNCTION("""COMPUTED_VALUE"""),6.0)</f>
        <v>6</v>
      </c>
      <c r="O1457" s="213">
        <f>IFERROR(__xludf.DUMMYFUNCTION("""COMPUTED_VALUE"""),6.0)</f>
        <v>6</v>
      </c>
      <c r="P1457" s="213"/>
      <c r="Q1457" s="213"/>
      <c r="R1457" s="213"/>
      <c r="S1457" s="213"/>
      <c r="T1457" s="213"/>
      <c r="U1457" s="213"/>
      <c r="V1457" s="213"/>
      <c r="W1457" s="213"/>
      <c r="X1457" s="213"/>
      <c r="Y1457" s="213"/>
      <c r="Z1457" s="213"/>
      <c r="AA1457" s="213"/>
      <c r="AB1457" s="213"/>
      <c r="AC1457" s="213"/>
      <c r="AD1457" s="213"/>
      <c r="AE1457" s="213"/>
      <c r="AF1457" s="213"/>
      <c r="AG1457" s="213"/>
      <c r="AH1457" s="213"/>
      <c r="AI1457" s="213"/>
      <c r="AJ1457" s="213"/>
      <c r="AK1457" s="213"/>
      <c r="AL1457" s="213"/>
      <c r="AM1457" s="213"/>
      <c r="AN1457" s="213"/>
      <c r="AO1457" s="213"/>
      <c r="AP1457" s="213"/>
      <c r="AQ1457" s="213"/>
      <c r="AR1457" s="213"/>
      <c r="AS1457" s="213"/>
      <c r="AT1457" s="213"/>
      <c r="AU1457" s="213"/>
      <c r="AV1457" s="213"/>
      <c r="AW1457" s="213"/>
      <c r="AX1457" s="213"/>
      <c r="AY1457" s="213"/>
      <c r="AZ1457" s="213"/>
      <c r="BA1457" s="213"/>
      <c r="BB1457" s="213"/>
      <c r="BC1457" s="213"/>
      <c r="BD1457" s="213"/>
    </row>
    <row r="1458">
      <c r="A1458" s="213">
        <f>IFERROR(__xludf.DUMMYFUNCTION("""COMPUTED_VALUE"""),1750.0)</f>
        <v>1750</v>
      </c>
      <c r="B1458" s="213" t="str">
        <f>IFERROR(__xludf.DUMMYFUNCTION("""COMPUTED_VALUE"""),"GUILLERMO E. BILLINGHURST ")</f>
        <v>GUILLERMO E. BILLINGHURST </v>
      </c>
      <c r="C1458" s="213" t="str">
        <f>IFERROR(__xludf.DUMMYFUNCTION("""COMPUTED_VALUE"""),"TALLER SFT DE COMPUTACIÓN E INFORMÁTICA")</f>
        <v>TALLER SFT DE COMPUTACIÓN E INFORMÁTICA</v>
      </c>
      <c r="D1458" s="213" t="str">
        <f>IFERROR(__xludf.DUMMYFUNCTION("""COMPUTED_VALUE"""),"PEDAGOGICO")</f>
        <v>PEDAGOGICO</v>
      </c>
      <c r="E1458" s="213" t="str">
        <f>IFERROR(__xludf.DUMMYFUNCTION("""COMPUTED_VALUE"""),"MAT-329")</f>
        <v>MAT-329</v>
      </c>
      <c r="F1458" s="213" t="str">
        <f>IFERROR(__xludf.DUMMYFUNCTION("""COMPUTED_VALUE"""),"KEFF-27")</f>
        <v>KEFF-27</v>
      </c>
      <c r="G1458" s="213"/>
      <c r="H1458" s="213" t="str">
        <f>IFERROR(__xludf.DUMMYFUNCTION("""COMPUTED_VALUE"""),"MANUAL DE USO POR CADA EQUIPO DEL TALLER DE REDES Y ROBÓTICA")</f>
        <v>MANUAL DE USO POR CADA EQUIPO DEL TALLER DE REDES Y ROBÓTICA</v>
      </c>
      <c r="I145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   Descripción de las principales tareas que se pueden realizar con cada equipo.
-   Descripción grafica de la instalación, uso y conservación de cada equipo.
-   Descripción de los errores comunes que se presentan en el u"&amp;"so y la forma de solucionarlos.
-   Descripción de las normas de seguridad que se deben tener en cuenta en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en el uso de cada equipo.</v>
      </c>
      <c r="J1458" s="213">
        <f>IFERROR(__xludf.DUMMYFUNCTION("""COMPUTED_VALUE"""),3.0)</f>
        <v>3</v>
      </c>
      <c r="K1458" s="213" t="str">
        <f>IFERROR(__xludf.DUMMYFUNCTION("""COMPUTED_VALUE"""),"170 DÍAS CALENDARIO")</f>
        <v>170 DÍAS CALENDARIO</v>
      </c>
      <c r="L1458" s="213" t="str">
        <f>IFERROR(__xludf.DUMMYFUNCTION("""COMPUTED_VALUE"""),"")</f>
        <v/>
      </c>
      <c r="M1458" s="213">
        <f>IFERROR(__xludf.DUMMYFUNCTION("""COMPUTED_VALUE"""),1.0)</f>
        <v>1</v>
      </c>
      <c r="N1458" s="213">
        <f>IFERROR(__xludf.DUMMYFUNCTION("""COMPUTED_VALUE"""),6.0)</f>
        <v>6</v>
      </c>
      <c r="O1458" s="213">
        <f>IFERROR(__xludf.DUMMYFUNCTION("""COMPUTED_VALUE"""),6.0)</f>
        <v>6</v>
      </c>
      <c r="P1458" s="213"/>
      <c r="Q1458" s="213"/>
      <c r="R1458" s="213"/>
      <c r="S1458" s="213"/>
      <c r="T1458" s="213"/>
      <c r="U1458" s="213"/>
      <c r="V1458" s="213"/>
      <c r="W1458" s="213"/>
      <c r="X1458" s="213"/>
      <c r="Y1458" s="213"/>
      <c r="Z1458" s="213"/>
      <c r="AA1458" s="213"/>
      <c r="AB1458" s="213"/>
      <c r="AC1458" s="213"/>
      <c r="AD1458" s="213"/>
      <c r="AE1458" s="213"/>
      <c r="AF1458" s="213"/>
      <c r="AG1458" s="213"/>
      <c r="AH1458" s="213"/>
      <c r="AI1458" s="213"/>
      <c r="AJ1458" s="213"/>
      <c r="AK1458" s="213"/>
      <c r="AL1458" s="213"/>
      <c r="AM1458" s="213"/>
      <c r="AN1458" s="213"/>
      <c r="AO1458" s="213"/>
      <c r="AP1458" s="213"/>
      <c r="AQ1458" s="213"/>
      <c r="AR1458" s="213"/>
      <c r="AS1458" s="213"/>
      <c r="AT1458" s="213"/>
      <c r="AU1458" s="213"/>
      <c r="AV1458" s="213"/>
      <c r="AW1458" s="213"/>
      <c r="AX1458" s="213"/>
      <c r="AY1458" s="213"/>
      <c r="AZ1458" s="213"/>
      <c r="BA1458" s="213"/>
      <c r="BB1458" s="213"/>
      <c r="BC1458" s="213"/>
      <c r="BD1458" s="213"/>
    </row>
    <row r="1459">
      <c r="A1459" s="213">
        <f>IFERROR(__xludf.DUMMYFUNCTION("""COMPUTED_VALUE"""),2001.0)</f>
        <v>2001</v>
      </c>
      <c r="B1459" s="213" t="str">
        <f>IFERROR(__xludf.DUMMYFUNCTION("""COMPUTED_VALUE"""),"JOSE GRANDA")</f>
        <v>JOSE GRANDA</v>
      </c>
      <c r="C1459" s="213" t="str">
        <f>IFERROR(__xludf.DUMMYFUNCTION("""COMPUTED_VALUE"""),"TALLER SFT DE COMPUTACIÓN E INFORMÁTICA")</f>
        <v>TALLER SFT DE COMPUTACIÓN E INFORMÁTICA</v>
      </c>
      <c r="D1459" s="213" t="str">
        <f>IFERROR(__xludf.DUMMYFUNCTION("""COMPUTED_VALUE"""),"PEDAGOGICO")</f>
        <v>PEDAGOGICO</v>
      </c>
      <c r="E1459" s="213" t="str">
        <f>IFERROR(__xludf.DUMMYFUNCTION("""COMPUTED_VALUE"""),"MAT-329")</f>
        <v>MAT-329</v>
      </c>
      <c r="F1459" s="213" t="str">
        <f>IFERROR(__xludf.DUMMYFUNCTION("""COMPUTED_VALUE"""),"KEFF-27")</f>
        <v>KEFF-27</v>
      </c>
      <c r="G1459" s="213"/>
      <c r="H1459" s="213" t="str">
        <f>IFERROR(__xludf.DUMMYFUNCTION("""COMPUTED_VALUE"""),"MANUAL DE USO POR CADA EQUIPO DEL TALLER DE REDES Y ROBÓTICA")</f>
        <v>MANUAL DE USO POR CADA EQUIPO DEL TALLER DE REDES Y ROBÓTICA</v>
      </c>
      <c r="I145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part"&amp;"es y accesorios de cada equipo.
-   Descripción de las principales tareas que se pueden realizar con cada equipo.
-   Descripción grafica de la instalación, uso y conservación de cada equipo.
-   Descripción de los errores comunes que se presentan en el u"&amp;"so y la forma de solucionarlos.
-   Descripción de las normas de seguridad que se deben tener en cuenta en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en el uso de cada equipo.</v>
      </c>
      <c r="J1459" s="213">
        <f>IFERROR(__xludf.DUMMYFUNCTION("""COMPUTED_VALUE"""),3.0)</f>
        <v>3</v>
      </c>
      <c r="K1459" s="213" t="str">
        <f>IFERROR(__xludf.DUMMYFUNCTION("""COMPUTED_VALUE"""),"170 DÍAS CALENDARIO")</f>
        <v>170 DÍAS CALENDARIO</v>
      </c>
      <c r="L1459" s="213" t="str">
        <f>IFERROR(__xludf.DUMMYFUNCTION("""COMPUTED_VALUE"""),"")</f>
        <v/>
      </c>
      <c r="M1459" s="213">
        <f>IFERROR(__xludf.DUMMYFUNCTION("""COMPUTED_VALUE"""),1.0)</f>
        <v>1</v>
      </c>
      <c r="N1459" s="213">
        <f>IFERROR(__xludf.DUMMYFUNCTION("""COMPUTED_VALUE"""),6.0)</f>
        <v>6</v>
      </c>
      <c r="O1459" s="213">
        <f>IFERROR(__xludf.DUMMYFUNCTION("""COMPUTED_VALUE"""),6.0)</f>
        <v>6</v>
      </c>
      <c r="P1459" s="213"/>
      <c r="Q1459" s="213"/>
      <c r="R1459" s="213"/>
      <c r="S1459" s="213"/>
      <c r="T1459" s="213"/>
      <c r="U1459" s="213"/>
      <c r="V1459" s="213"/>
      <c r="W1459" s="213"/>
      <c r="X1459" s="213"/>
      <c r="Y1459" s="213"/>
      <c r="Z1459" s="213"/>
      <c r="AA1459" s="213"/>
      <c r="AB1459" s="213"/>
      <c r="AC1459" s="213"/>
      <c r="AD1459" s="213"/>
      <c r="AE1459" s="213"/>
      <c r="AF1459" s="213"/>
      <c r="AG1459" s="213"/>
      <c r="AH1459" s="213"/>
      <c r="AI1459" s="213"/>
      <c r="AJ1459" s="213"/>
      <c r="AK1459" s="213"/>
      <c r="AL1459" s="213"/>
      <c r="AM1459" s="213"/>
      <c r="AN1459" s="213"/>
      <c r="AO1459" s="213"/>
      <c r="AP1459" s="213"/>
      <c r="AQ1459" s="213"/>
      <c r="AR1459" s="213"/>
      <c r="AS1459" s="213"/>
      <c r="AT1459" s="213"/>
      <c r="AU1459" s="213"/>
      <c r="AV1459" s="213"/>
      <c r="AW1459" s="213"/>
      <c r="AX1459" s="213"/>
      <c r="AY1459" s="213"/>
      <c r="AZ1459" s="213"/>
      <c r="BA1459" s="213"/>
      <c r="BB1459" s="213"/>
      <c r="BC1459" s="213"/>
      <c r="BD1459" s="213"/>
    </row>
    <row r="1460">
      <c r="A1460" s="213">
        <f>IFERROR(__xludf.DUMMYFUNCTION("""COMPUTED_VALUE"""),294.0)</f>
        <v>294</v>
      </c>
      <c r="B1460" s="213" t="str">
        <f>IFERROR(__xludf.DUMMYFUNCTION("""COMPUTED_VALUE"""),"2026 SIMON BOLIVAR")</f>
        <v>2026 SIMON BOLIVAR</v>
      </c>
      <c r="C1460" s="213" t="str">
        <f>IFERROR(__xludf.DUMMYFUNCTION("""COMPUTED_VALUE"""),"TALLER SFT DE COMPUTACIÓN E INFORMÁTICA")</f>
        <v>TALLER SFT DE COMPUTACIÓN E INFORMÁTICA</v>
      </c>
      <c r="D1460" s="213" t="str">
        <f>IFERROR(__xludf.DUMMYFUNCTION("""COMPUTED_VALUE"""),"PEDAGOGICO")</f>
        <v>PEDAGOGICO</v>
      </c>
      <c r="E1460" s="213" t="str">
        <f>IFERROR(__xludf.DUMMYFUNCTION("""COMPUTED_VALUE"""),"MAT-330")</f>
        <v>MAT-330</v>
      </c>
      <c r="F1460" s="213" t="str">
        <f>IFERROR(__xludf.DUMMYFUNCTION("""COMPUTED_VALUE"""),"KEFF-01")</f>
        <v>KEFF-01</v>
      </c>
      <c r="G1460" s="213"/>
      <c r="H1460" s="213" t="str">
        <f>IFERROR(__xludf.DUMMYFUNCTION("""COMPUTED_VALUE"""),"MANUAL DE USO POR CADA EQUIPO DE IDENTIFICACIÓN DE NECESIDADES Y PROBLEMAS")</f>
        <v>MANUAL DE USO POR CADA EQUIPO DE IDENTIFICACIÓN DE NECESIDADES Y PROBLEMAS</v>
      </c>
      <c r="I146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filmar, tomar fotografías, etc.)
- Descripción gráfica de la instalación, uso y conservación de cada equipo.
- Descripción de los e"&amp;"rrores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filmar, tomar fotografías, etc.)
- Descripción gráfica de la instalación, uso y conservación de cada equipo.
- Descripción de los errores comunes que se presentan en el uso y la forma de solucionarlos.
- Descripción de las normas de seguridad que se deben tener en cuenta durante el uso de cada equipo.</v>
      </c>
      <c r="J1460" s="213">
        <f>IFERROR(__xludf.DUMMYFUNCTION("""COMPUTED_VALUE"""),3.0)</f>
        <v>3</v>
      </c>
      <c r="K1460" s="213" t="str">
        <f>IFERROR(__xludf.DUMMYFUNCTION("""COMPUTED_VALUE"""),"170 DÍAS CALENDARIO")</f>
        <v>170 DÍAS CALENDARIO</v>
      </c>
      <c r="L1460" s="213" t="str">
        <f>IFERROR(__xludf.DUMMYFUNCTION("""COMPUTED_VALUE"""),"")</f>
        <v/>
      </c>
      <c r="M1460" s="213">
        <f>IFERROR(__xludf.DUMMYFUNCTION("""COMPUTED_VALUE"""),1.0)</f>
        <v>1</v>
      </c>
      <c r="N1460" s="213">
        <f>IFERROR(__xludf.DUMMYFUNCTION("""COMPUTED_VALUE"""),6.0)</f>
        <v>6</v>
      </c>
      <c r="O1460" s="213">
        <f>IFERROR(__xludf.DUMMYFUNCTION("""COMPUTED_VALUE"""),6.0)</f>
        <v>6</v>
      </c>
      <c r="P1460" s="213"/>
      <c r="Q1460" s="213"/>
      <c r="R1460" s="213"/>
      <c r="S1460" s="213"/>
      <c r="T1460" s="213"/>
      <c r="U1460" s="213"/>
      <c r="V1460" s="213"/>
      <c r="W1460" s="213"/>
      <c r="X1460" s="213"/>
      <c r="Y1460" s="213"/>
      <c r="Z1460" s="213"/>
      <c r="AA1460" s="213"/>
      <c r="AB1460" s="213"/>
      <c r="AC1460" s="213"/>
      <c r="AD1460" s="213"/>
      <c r="AE1460" s="213"/>
      <c r="AF1460" s="213"/>
      <c r="AG1460" s="213"/>
      <c r="AH1460" s="213"/>
      <c r="AI1460" s="213"/>
      <c r="AJ1460" s="213"/>
      <c r="AK1460" s="213"/>
      <c r="AL1460" s="213"/>
      <c r="AM1460" s="213"/>
      <c r="AN1460" s="213"/>
      <c r="AO1460" s="213"/>
      <c r="AP1460" s="213"/>
      <c r="AQ1460" s="213"/>
      <c r="AR1460" s="213"/>
      <c r="AS1460" s="213"/>
      <c r="AT1460" s="213"/>
      <c r="AU1460" s="213"/>
      <c r="AV1460" s="213"/>
      <c r="AW1460" s="213"/>
      <c r="AX1460" s="213"/>
      <c r="AY1460" s="213"/>
      <c r="AZ1460" s="213"/>
      <c r="BA1460" s="213"/>
      <c r="BB1460" s="213"/>
      <c r="BC1460" s="213"/>
      <c r="BD1460" s="213"/>
    </row>
    <row r="1461">
      <c r="A1461" s="213">
        <f>IFERROR(__xludf.DUMMYFUNCTION("""COMPUTED_VALUE"""),780.0)</f>
        <v>780</v>
      </c>
      <c r="B1461" s="213" t="str">
        <f>IFERROR(__xludf.DUMMYFUNCTION("""COMPUTED_VALUE"""),"6049 RICARDO PALMA")</f>
        <v>6049 RICARDO PALMA</v>
      </c>
      <c r="C1461" s="213" t="str">
        <f>IFERROR(__xludf.DUMMYFUNCTION("""COMPUTED_VALUE"""),"TALLER SFT DE COMPUTACIÓN E INFORMÁTICA")</f>
        <v>TALLER SFT DE COMPUTACIÓN E INFORMÁTICA</v>
      </c>
      <c r="D1461" s="213" t="str">
        <f>IFERROR(__xludf.DUMMYFUNCTION("""COMPUTED_VALUE"""),"PEDAGOGICO")</f>
        <v>PEDAGOGICO</v>
      </c>
      <c r="E1461" s="213" t="str">
        <f>IFERROR(__xludf.DUMMYFUNCTION("""COMPUTED_VALUE"""),"MAT-330")</f>
        <v>MAT-330</v>
      </c>
      <c r="F1461" s="213" t="str">
        <f>IFERROR(__xludf.DUMMYFUNCTION("""COMPUTED_VALUE"""),"KEFF-01")</f>
        <v>KEFF-01</v>
      </c>
      <c r="G1461" s="213"/>
      <c r="H1461" s="213" t="str">
        <f>IFERROR(__xludf.DUMMYFUNCTION("""COMPUTED_VALUE"""),"MANUAL DE USO POR CADA EQUIPO DE IDENTIFICACIÓN DE NECESIDADES Y PROBLEMAS")</f>
        <v>MANUAL DE USO POR CADA EQUIPO DE IDENTIFICACIÓN DE NECESIDADES Y PROBLEMAS</v>
      </c>
      <c r="I146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filmar, tomar fotografías, etc.)
- Descripción gráfica de la instalación, uso y conservación de cada equipo.
- Descripción de los e"&amp;"rrores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filmar, tomar fotografías, etc.)
- Descripción gráfica de la instalación, uso y conservación de cada equipo.
- Descripción de los errores comunes que se presentan en el uso y la forma de solucionarlos.
- Descripción de las normas de seguridad que se deben tener en cuenta durante el uso de cada equipo.</v>
      </c>
      <c r="J1461" s="213">
        <f>IFERROR(__xludf.DUMMYFUNCTION("""COMPUTED_VALUE"""),3.0)</f>
        <v>3</v>
      </c>
      <c r="K1461" s="213" t="str">
        <f>IFERROR(__xludf.DUMMYFUNCTION("""COMPUTED_VALUE"""),"170 DÍAS CALENDARIO")</f>
        <v>170 DÍAS CALENDARIO</v>
      </c>
      <c r="L1461" s="213" t="str">
        <f>IFERROR(__xludf.DUMMYFUNCTION("""COMPUTED_VALUE"""),"")</f>
        <v/>
      </c>
      <c r="M1461" s="213">
        <f>IFERROR(__xludf.DUMMYFUNCTION("""COMPUTED_VALUE"""),1.0)</f>
        <v>1</v>
      </c>
      <c r="N1461" s="213">
        <f>IFERROR(__xludf.DUMMYFUNCTION("""COMPUTED_VALUE"""),6.0)</f>
        <v>6</v>
      </c>
      <c r="O1461" s="213">
        <f>IFERROR(__xludf.DUMMYFUNCTION("""COMPUTED_VALUE"""),6.0)</f>
        <v>6</v>
      </c>
      <c r="P1461" s="213"/>
      <c r="Q1461" s="213"/>
      <c r="R1461" s="213"/>
      <c r="S1461" s="213"/>
      <c r="T1461" s="213"/>
      <c r="U1461" s="213"/>
      <c r="V1461" s="213"/>
      <c r="W1461" s="213"/>
      <c r="X1461" s="213"/>
      <c r="Y1461" s="213"/>
      <c r="Z1461" s="213"/>
      <c r="AA1461" s="213"/>
      <c r="AB1461" s="213"/>
      <c r="AC1461" s="213"/>
      <c r="AD1461" s="213"/>
      <c r="AE1461" s="213"/>
      <c r="AF1461" s="213"/>
      <c r="AG1461" s="213"/>
      <c r="AH1461" s="213"/>
      <c r="AI1461" s="213"/>
      <c r="AJ1461" s="213"/>
      <c r="AK1461" s="213"/>
      <c r="AL1461" s="213"/>
      <c r="AM1461" s="213"/>
      <c r="AN1461" s="213"/>
      <c r="AO1461" s="213"/>
      <c r="AP1461" s="213"/>
      <c r="AQ1461" s="213"/>
      <c r="AR1461" s="213"/>
      <c r="AS1461" s="213"/>
      <c r="AT1461" s="213"/>
      <c r="AU1461" s="213"/>
      <c r="AV1461" s="213"/>
      <c r="AW1461" s="213"/>
      <c r="AX1461" s="213"/>
      <c r="AY1461" s="213"/>
      <c r="AZ1461" s="213"/>
      <c r="BA1461" s="213"/>
      <c r="BB1461" s="213"/>
      <c r="BC1461" s="213"/>
      <c r="BD1461" s="213"/>
    </row>
    <row r="1462">
      <c r="A1462" s="213">
        <f>IFERROR(__xludf.DUMMYFUNCTION("""COMPUTED_VALUE"""),1718.0)</f>
        <v>1718</v>
      </c>
      <c r="B1462" s="213" t="str">
        <f>IFERROR(__xludf.DUMMYFUNCTION("""COMPUTED_VALUE"""),"GUILLERMO E. BILLINGHURST ")</f>
        <v>GUILLERMO E. BILLINGHURST </v>
      </c>
      <c r="C1462" s="213" t="str">
        <f>IFERROR(__xludf.DUMMYFUNCTION("""COMPUTED_VALUE"""),"TALLER SFT DE COMPUTACIÓN E INFORMÁTICA")</f>
        <v>TALLER SFT DE COMPUTACIÓN E INFORMÁTICA</v>
      </c>
      <c r="D1462" s="213" t="str">
        <f>IFERROR(__xludf.DUMMYFUNCTION("""COMPUTED_VALUE"""),"PEDAGOGICO")</f>
        <v>PEDAGOGICO</v>
      </c>
      <c r="E1462" s="213" t="str">
        <f>IFERROR(__xludf.DUMMYFUNCTION("""COMPUTED_VALUE"""),"MAT-330")</f>
        <v>MAT-330</v>
      </c>
      <c r="F1462" s="213" t="str">
        <f>IFERROR(__xludf.DUMMYFUNCTION("""COMPUTED_VALUE"""),"KEFF-01")</f>
        <v>KEFF-01</v>
      </c>
      <c r="G1462" s="213"/>
      <c r="H1462" s="213" t="str">
        <f>IFERROR(__xludf.DUMMYFUNCTION("""COMPUTED_VALUE"""),"MANUAL DE USO POR CADA EQUIPO DE IDENTIFICACIÓN DE NECESIDADES Y PROBLEMAS")</f>
        <v>MANUAL DE USO POR CADA EQUIPO DE IDENTIFICACIÓN DE NECESIDADES Y PROBLEMAS</v>
      </c>
      <c r="I146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filmar, tomar fotografías, etc.)
- Descripción gráfica de la instalación, uso y conservación de cada equipo.
- Descripción de los e"&amp;"rrores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filmar, tomar fotografías, etc.)
- Descripción gráfica de la instalación, uso y conservación de cada equipo.
- Descripción de los errores comunes que se presentan en el uso y la forma de solucionarlos.
- Descripción de las normas de seguridad que se deben tener en cuenta durante el uso de cada equipo.</v>
      </c>
      <c r="J1462" s="213">
        <f>IFERROR(__xludf.DUMMYFUNCTION("""COMPUTED_VALUE"""),3.0)</f>
        <v>3</v>
      </c>
      <c r="K1462" s="213" t="str">
        <f>IFERROR(__xludf.DUMMYFUNCTION("""COMPUTED_VALUE"""),"170 DÍAS CALENDARIO")</f>
        <v>170 DÍAS CALENDARIO</v>
      </c>
      <c r="L1462" s="213" t="str">
        <f>IFERROR(__xludf.DUMMYFUNCTION("""COMPUTED_VALUE"""),"")</f>
        <v/>
      </c>
      <c r="M1462" s="213">
        <f>IFERROR(__xludf.DUMMYFUNCTION("""COMPUTED_VALUE"""),1.0)</f>
        <v>1</v>
      </c>
      <c r="N1462" s="213">
        <f>IFERROR(__xludf.DUMMYFUNCTION("""COMPUTED_VALUE"""),6.0)</f>
        <v>6</v>
      </c>
      <c r="O1462" s="213">
        <f>IFERROR(__xludf.DUMMYFUNCTION("""COMPUTED_VALUE"""),6.0)</f>
        <v>6</v>
      </c>
      <c r="P1462" s="213"/>
      <c r="Q1462" s="213"/>
      <c r="R1462" s="213"/>
      <c r="S1462" s="213"/>
      <c r="T1462" s="213"/>
      <c r="U1462" s="213"/>
      <c r="V1462" s="213"/>
      <c r="W1462" s="213"/>
      <c r="X1462" s="213"/>
      <c r="Y1462" s="213"/>
      <c r="Z1462" s="213"/>
      <c r="AA1462" s="213"/>
      <c r="AB1462" s="213"/>
      <c r="AC1462" s="213"/>
      <c r="AD1462" s="213"/>
      <c r="AE1462" s="213"/>
      <c r="AF1462" s="213"/>
      <c r="AG1462" s="213"/>
      <c r="AH1462" s="213"/>
      <c r="AI1462" s="213"/>
      <c r="AJ1462" s="213"/>
      <c r="AK1462" s="213"/>
      <c r="AL1462" s="213"/>
      <c r="AM1462" s="213"/>
      <c r="AN1462" s="213"/>
      <c r="AO1462" s="213"/>
      <c r="AP1462" s="213"/>
      <c r="AQ1462" s="213"/>
      <c r="AR1462" s="213"/>
      <c r="AS1462" s="213"/>
      <c r="AT1462" s="213"/>
      <c r="AU1462" s="213"/>
      <c r="AV1462" s="213"/>
      <c r="AW1462" s="213"/>
      <c r="AX1462" s="213"/>
      <c r="AY1462" s="213"/>
      <c r="AZ1462" s="213"/>
      <c r="BA1462" s="213"/>
      <c r="BB1462" s="213"/>
      <c r="BC1462" s="213"/>
      <c r="BD1462" s="213"/>
    </row>
    <row r="1463">
      <c r="A1463" s="213">
        <f>IFERROR(__xludf.DUMMYFUNCTION("""COMPUTED_VALUE"""),1968.0)</f>
        <v>1968</v>
      </c>
      <c r="B1463" s="213" t="str">
        <f>IFERROR(__xludf.DUMMYFUNCTION("""COMPUTED_VALUE"""),"JOSE GRANDA")</f>
        <v>JOSE GRANDA</v>
      </c>
      <c r="C1463" s="213" t="str">
        <f>IFERROR(__xludf.DUMMYFUNCTION("""COMPUTED_VALUE"""),"TALLER SFT DE COMPUTACIÓN E INFORMÁTICA")</f>
        <v>TALLER SFT DE COMPUTACIÓN E INFORMÁTICA</v>
      </c>
      <c r="D1463" s="213" t="str">
        <f>IFERROR(__xludf.DUMMYFUNCTION("""COMPUTED_VALUE"""),"PEDAGOGICO")</f>
        <v>PEDAGOGICO</v>
      </c>
      <c r="E1463" s="213" t="str">
        <f>IFERROR(__xludf.DUMMYFUNCTION("""COMPUTED_VALUE"""),"MAT-330")</f>
        <v>MAT-330</v>
      </c>
      <c r="F1463" s="213" t="str">
        <f>IFERROR(__xludf.DUMMYFUNCTION("""COMPUTED_VALUE"""),"KEFF-01")</f>
        <v>KEFF-01</v>
      </c>
      <c r="G1463" s="213"/>
      <c r="H1463" s="213" t="str">
        <f>IFERROR(__xludf.DUMMYFUNCTION("""COMPUTED_VALUE"""),"MANUAL DE USO POR CADA EQUIPO DE IDENTIFICACIÓN DE NECESIDADES Y PROBLEMAS")</f>
        <v>MANUAL DE USO POR CADA EQUIPO DE IDENTIFICACIÓN DE NECESIDADES Y PROBLEMAS</v>
      </c>
      <c r="I146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 Descripción de las principales tareas que se pueden realizar con cada equipo (por ejemplo, filmar, tomar fotografías, etc.)
- Descripción gráfica de la instalación, uso y conservación de cada equipo.
- Descripción de los e"&amp;"rrores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 Descripción de las principales tareas que se pueden realizar con cada equipo (por ejemplo, filmar, tomar fotografías, etc.)
- Descripción gráfica de la instalación, uso y conservación de cada equipo.
- Descripción de los errores comunes que se presentan en el uso y la forma de solucionarlos.
- Descripción de las normas de seguridad que se deben tener en cuenta durante el uso de cada equipo.</v>
      </c>
      <c r="J1463" s="213">
        <f>IFERROR(__xludf.DUMMYFUNCTION("""COMPUTED_VALUE"""),3.0)</f>
        <v>3</v>
      </c>
      <c r="K1463" s="213" t="str">
        <f>IFERROR(__xludf.DUMMYFUNCTION("""COMPUTED_VALUE"""),"170 DÍAS CALENDARIO")</f>
        <v>170 DÍAS CALENDARIO</v>
      </c>
      <c r="L1463" s="213" t="str">
        <f>IFERROR(__xludf.DUMMYFUNCTION("""COMPUTED_VALUE"""),"")</f>
        <v/>
      </c>
      <c r="M1463" s="213">
        <f>IFERROR(__xludf.DUMMYFUNCTION("""COMPUTED_VALUE"""),1.0)</f>
        <v>1</v>
      </c>
      <c r="N1463" s="213">
        <f>IFERROR(__xludf.DUMMYFUNCTION("""COMPUTED_VALUE"""),6.0)</f>
        <v>6</v>
      </c>
      <c r="O1463" s="213">
        <f>IFERROR(__xludf.DUMMYFUNCTION("""COMPUTED_VALUE"""),6.0)</f>
        <v>6</v>
      </c>
      <c r="P1463" s="213"/>
      <c r="Q1463" s="213"/>
      <c r="R1463" s="213"/>
      <c r="S1463" s="213"/>
      <c r="T1463" s="213"/>
      <c r="U1463" s="213"/>
      <c r="V1463" s="213"/>
      <c r="W1463" s="213"/>
      <c r="X1463" s="213"/>
      <c r="Y1463" s="213"/>
      <c r="Z1463" s="213"/>
      <c r="AA1463" s="213"/>
      <c r="AB1463" s="213"/>
      <c r="AC1463" s="213"/>
      <c r="AD1463" s="213"/>
      <c r="AE1463" s="213"/>
      <c r="AF1463" s="213"/>
      <c r="AG1463" s="213"/>
      <c r="AH1463" s="213"/>
      <c r="AI1463" s="213"/>
      <c r="AJ1463" s="213"/>
      <c r="AK1463" s="213"/>
      <c r="AL1463" s="213"/>
      <c r="AM1463" s="213"/>
      <c r="AN1463" s="213"/>
      <c r="AO1463" s="213"/>
      <c r="AP1463" s="213"/>
      <c r="AQ1463" s="213"/>
      <c r="AR1463" s="213"/>
      <c r="AS1463" s="213"/>
      <c r="AT1463" s="213"/>
      <c r="AU1463" s="213"/>
      <c r="AV1463" s="213"/>
      <c r="AW1463" s="213"/>
      <c r="AX1463" s="213"/>
      <c r="AY1463" s="213"/>
      <c r="AZ1463" s="213"/>
      <c r="BA1463" s="213"/>
      <c r="BB1463" s="213"/>
      <c r="BC1463" s="213"/>
      <c r="BD1463" s="213"/>
    </row>
    <row r="1464">
      <c r="A1464" s="213">
        <f>IFERROR(__xludf.DUMMYFUNCTION("""COMPUTED_VALUE"""),227.0)</f>
        <v>227</v>
      </c>
      <c r="B1464" s="213" t="str">
        <f>IFERROR(__xludf.DUMMYFUNCTION("""COMPUTED_VALUE"""),"2026 SIMON BOLIVAR")</f>
        <v>2026 SIMON BOLIVAR</v>
      </c>
      <c r="C1464" s="213" t="str">
        <f>IFERROR(__xludf.DUMMYFUNCTION("""COMPUTED_VALUE"""),"TALLER SFT DE INDUSTRIA DEL VESTIDO")</f>
        <v>TALLER SFT DE INDUSTRIA DEL VESTIDO</v>
      </c>
      <c r="D1464" s="213" t="str">
        <f>IFERROR(__xludf.DUMMYFUNCTION("""COMPUTED_VALUE"""),"PEDAGOGICO")</f>
        <v>PEDAGOGICO</v>
      </c>
      <c r="E1464" s="213" t="str">
        <f>IFERROR(__xludf.DUMMYFUNCTION("""COMPUTED_VALUE"""),"MAT-294")</f>
        <v>MAT-294</v>
      </c>
      <c r="F1464" s="213" t="str">
        <f>IFERROR(__xludf.DUMMYFUNCTION("""COMPUTED_VALUE"""),"KEFF-74")</f>
        <v>KEFF-74</v>
      </c>
      <c r="G1464" s="213"/>
      <c r="H1464" s="213" t="str">
        <f>IFERROR(__xludf.DUMMYFUNCTION("""COMPUTED_VALUE"""),"MANUAL DE USO POR CADA EQUIPO EN FUNCIÓN DEL TALLER (CONFECCIONES)")</f>
        <v>MANUAL DE USO POR CADA EQUIPO EN FUNCIÓN DEL TALLER (CONFECCIONES)</v>
      </c>
      <c r="I146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en función del taller (confecciones).
- Descripción de las principales tareas que se pueden realizar con cada equipo en función del  taller (confecciones).
- Descripción gráfica de la instalación, uso y conservación de cada e"&amp;"quipo.
-  Descripción de los errores comunes que se presentan en el uso y la forma de solucionarlos.
- Descripción de las normas de seguridad que se deben tener en cuenta durante el uso de cada equipo
VERA Hilda 998 soft
A")</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en función del taller (confecciones).
- Descripción de las principales tareas que se pueden realizar con cada equipo en función del  taller (confecciones).
- Descripción gráfica de la instalación, uso y conservación de cada equipo.
-  Descripción de los errores comunes que se presentan en el uso y la forma de solucionarlos.
- Descripción de las normas de seguridad que se deben tener en cuenta durante el uso de cada equipo
VERA Hilda 998 soft
A</v>
      </c>
      <c r="J1464" s="213">
        <f>IFERROR(__xludf.DUMMYFUNCTION("""COMPUTED_VALUE"""),3.0)</f>
        <v>3</v>
      </c>
      <c r="K1464" s="213" t="str">
        <f>IFERROR(__xludf.DUMMYFUNCTION("""COMPUTED_VALUE"""),"170 DÍAS CALENDARIO")</f>
        <v>170 DÍAS CALENDARIO</v>
      </c>
      <c r="L1464" s="213" t="str">
        <f>IFERROR(__xludf.DUMMYFUNCTION("""COMPUTED_VALUE"""),"")</f>
        <v/>
      </c>
      <c r="M1464" s="213">
        <f>IFERROR(__xludf.DUMMYFUNCTION("""COMPUTED_VALUE"""),1.0)</f>
        <v>1</v>
      </c>
      <c r="N1464" s="213">
        <f>IFERROR(__xludf.DUMMYFUNCTION("""COMPUTED_VALUE"""),6.0)</f>
        <v>6</v>
      </c>
      <c r="O1464" s="213">
        <f>IFERROR(__xludf.DUMMYFUNCTION("""COMPUTED_VALUE"""),6.0)</f>
        <v>6</v>
      </c>
      <c r="P1464" s="213"/>
      <c r="Q1464" s="213"/>
      <c r="R1464" s="213"/>
      <c r="S1464" s="213"/>
      <c r="T1464" s="213"/>
      <c r="U1464" s="213"/>
      <c r="V1464" s="213"/>
      <c r="W1464" s="213"/>
      <c r="X1464" s="213"/>
      <c r="Y1464" s="213"/>
      <c r="Z1464" s="213"/>
      <c r="AA1464" s="213"/>
      <c r="AB1464" s="213"/>
      <c r="AC1464" s="213"/>
      <c r="AD1464" s="213"/>
      <c r="AE1464" s="213"/>
      <c r="AF1464" s="213"/>
      <c r="AG1464" s="213"/>
      <c r="AH1464" s="213"/>
      <c r="AI1464" s="213"/>
      <c r="AJ1464" s="213"/>
      <c r="AK1464" s="213"/>
      <c r="AL1464" s="213"/>
      <c r="AM1464" s="213"/>
      <c r="AN1464" s="213"/>
      <c r="AO1464" s="213"/>
      <c r="AP1464" s="213"/>
      <c r="AQ1464" s="213"/>
      <c r="AR1464" s="213"/>
      <c r="AS1464" s="213">
        <f>IFERROR(__xludf.DUMMYFUNCTION("""COMPUTED_VALUE"""),0.0)</f>
        <v>0</v>
      </c>
      <c r="AT1464" s="213"/>
      <c r="AU1464" s="213"/>
      <c r="AV1464" s="213"/>
      <c r="AW1464" s="213"/>
      <c r="AX1464" s="213"/>
      <c r="AY1464" s="213"/>
      <c r="AZ1464" s="213"/>
      <c r="BA1464" s="213"/>
      <c r="BB1464" s="213"/>
      <c r="BC1464" s="213"/>
      <c r="BD1464" s="213"/>
    </row>
    <row r="1465">
      <c r="A1465" s="213">
        <f>IFERROR(__xludf.DUMMYFUNCTION("""COMPUTED_VALUE"""),2441.0)</f>
        <v>2441</v>
      </c>
      <c r="B1465" s="213" t="str">
        <f>IFERROR(__xludf.DUMMYFUNCTION("""COMPUTED_VALUE"""),"MANUEL ANTONIO MESONES MURO")</f>
        <v>MANUEL ANTONIO MESONES MURO</v>
      </c>
      <c r="C1465" s="213" t="str">
        <f>IFERROR(__xludf.DUMMYFUNCTION("""COMPUTED_VALUE"""),"TALLER SFT DE INDUSTRIA DEL VESTIDO")</f>
        <v>TALLER SFT DE INDUSTRIA DEL VESTIDO</v>
      </c>
      <c r="D1465" s="213" t="str">
        <f>IFERROR(__xludf.DUMMYFUNCTION("""COMPUTED_VALUE"""),"PEDAGOGICO")</f>
        <v>PEDAGOGICO</v>
      </c>
      <c r="E1465" s="213" t="str">
        <f>IFERROR(__xludf.DUMMYFUNCTION("""COMPUTED_VALUE"""),"MAT-294")</f>
        <v>MAT-294</v>
      </c>
      <c r="F1465" s="213" t="str">
        <f>IFERROR(__xludf.DUMMYFUNCTION("""COMPUTED_VALUE"""),"KEFF-74")</f>
        <v>KEFF-74</v>
      </c>
      <c r="G1465" s="213"/>
      <c r="H1465" s="213" t="str">
        <f>IFERROR(__xludf.DUMMYFUNCTION("""COMPUTED_VALUE"""),"MANUAL DE USO POR CADA EQUIPO EN FUNCIÓN DEL TALLER (CONFECCIONES)")</f>
        <v>MANUAL DE USO POR CADA EQUIPO EN FUNCIÓN DEL TALLER (CONFECCIONES)</v>
      </c>
      <c r="I146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Descripción de las parte"&amp;"s y accesorios de cada equipo en función del taller (confecciones).
- Descripción de las principales tareas que se pueden realizar con cada equipo en función del  taller (confecciones).
- Descripción gráfica de la instalación, uso y conservación de cada e"&amp;"quipo.
-  Descripción de los errores comunes que se presentan en el uso y la forma de solucionarlos.
- Descripción de las normas de seguridad que se deben tener en cuenta durante el uso de cada equipo
VERA Hilda 998 soft
A")</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Descripción de las partes y accesorios de cada equipo en función del taller (confecciones).
- Descripción de las principales tareas que se pueden realizar con cada equipo en función del  taller (confecciones).
- Descripción gráfica de la instalación, uso y conservación de cada equipo.
-  Descripción de los errores comunes que se presentan en el uso y la forma de solucionarlos.
- Descripción de las normas de seguridad que se deben tener en cuenta durante el uso de cada equipo
VERA Hilda 998 soft
A</v>
      </c>
      <c r="J1465" s="213">
        <f>IFERROR(__xludf.DUMMYFUNCTION("""COMPUTED_VALUE"""),3.0)</f>
        <v>3</v>
      </c>
      <c r="K1465" s="213" t="str">
        <f>IFERROR(__xludf.DUMMYFUNCTION("""COMPUTED_VALUE"""),"170 DÍAS CALENDARIO")</f>
        <v>170 DÍAS CALENDARIO</v>
      </c>
      <c r="L1465" s="213" t="str">
        <f>IFERROR(__xludf.DUMMYFUNCTION("""COMPUTED_VALUE"""),"")</f>
        <v/>
      </c>
      <c r="M1465" s="213">
        <f>IFERROR(__xludf.DUMMYFUNCTION("""COMPUTED_VALUE"""),1.0)</f>
        <v>1</v>
      </c>
      <c r="N1465" s="213">
        <f>IFERROR(__xludf.DUMMYFUNCTION("""COMPUTED_VALUE"""),6.0)</f>
        <v>6</v>
      </c>
      <c r="O1465" s="213">
        <f>IFERROR(__xludf.DUMMYFUNCTION("""COMPUTED_VALUE"""),6.0)</f>
        <v>6</v>
      </c>
      <c r="P1465" s="213"/>
      <c r="Q1465" s="213"/>
      <c r="R1465" s="213"/>
      <c r="S1465" s="213"/>
      <c r="T1465" s="213"/>
      <c r="U1465" s="213"/>
      <c r="V1465" s="213"/>
      <c r="W1465" s="213"/>
      <c r="X1465" s="213"/>
      <c r="Y1465" s="213"/>
      <c r="Z1465" s="213"/>
      <c r="AA1465" s="213"/>
      <c r="AB1465" s="213"/>
      <c r="AC1465" s="213"/>
      <c r="AD1465" s="213"/>
      <c r="AE1465" s="213"/>
      <c r="AF1465" s="213"/>
      <c r="AG1465" s="213"/>
      <c r="AH1465" s="213"/>
      <c r="AI1465" s="213"/>
      <c r="AJ1465" s="213"/>
      <c r="AK1465" s="213"/>
      <c r="AL1465" s="213"/>
      <c r="AM1465" s="213"/>
      <c r="AN1465" s="213"/>
      <c r="AO1465" s="213"/>
      <c r="AP1465" s="213"/>
      <c r="AQ1465" s="213"/>
      <c r="AR1465" s="213"/>
      <c r="AS1465" s="213">
        <f>IFERROR(__xludf.DUMMYFUNCTION("""COMPUTED_VALUE"""),0.0)</f>
        <v>0</v>
      </c>
      <c r="AT1465" s="213"/>
      <c r="AU1465" s="213"/>
      <c r="AV1465" s="213"/>
      <c r="AW1465" s="213"/>
      <c r="AX1465" s="213"/>
      <c r="AY1465" s="213"/>
      <c r="AZ1465" s="213"/>
      <c r="BA1465" s="213"/>
      <c r="BB1465" s="213"/>
      <c r="BC1465" s="213"/>
      <c r="BD1465" s="213"/>
    </row>
    <row r="1466">
      <c r="A1466" s="213">
        <f>IFERROR(__xludf.DUMMYFUNCTION("""COMPUTED_VALUE"""),1034.0)</f>
        <v>1034</v>
      </c>
      <c r="B1466" s="213" t="str">
        <f>IFERROR(__xludf.DUMMYFUNCTION("""COMPUTED_VALUE"""),"FRANCISCO IRAZOLA")</f>
        <v>FRANCISCO IRAZOLA</v>
      </c>
      <c r="C1466" s="213" t="str">
        <f>IFERROR(__xludf.DUMMYFUNCTION("""COMPUTED_VALUE"""),"TALLER SFT DE MECÁNICA AUTOMOTRIZ")</f>
        <v>TALLER SFT DE MECÁNICA AUTOMOTRIZ</v>
      </c>
      <c r="D1466" s="213" t="str">
        <f>IFERROR(__xludf.DUMMYFUNCTION("""COMPUTED_VALUE"""),"PEDAGOGICO")</f>
        <v>PEDAGOGICO</v>
      </c>
      <c r="E1466" s="213" t="str">
        <f>IFERROR(__xludf.DUMMYFUNCTION("""COMPUTED_VALUE"""),"MAT-296")</f>
        <v>MAT-296</v>
      </c>
      <c r="F1466" s="213" t="str">
        <f>IFERROR(__xludf.DUMMYFUNCTION("""COMPUTED_VALUE"""),"KEFF-92")</f>
        <v>KEFF-92</v>
      </c>
      <c r="G1466" s="213"/>
      <c r="H1466" s="213" t="str">
        <f>IFERROR(__xludf.DUMMYFUNCTION("""COMPUTED_VALUE"""),"MANUAL DE USO POR CADA EQUIPO PARA EL MANTENIMIENTO DE MOTORES OTTO Y DIÉSEL")</f>
        <v>MANUAL DE USO POR CADA EQUIPO PARA EL MANTENIMIENTO DE MOTORES OTTO Y DIÉSEL</v>
      </c>
      <c r="I146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66" s="213">
        <f>IFERROR(__xludf.DUMMYFUNCTION("""COMPUTED_VALUE"""),3.0)</f>
        <v>3</v>
      </c>
      <c r="K1466" s="213" t="str">
        <f>IFERROR(__xludf.DUMMYFUNCTION("""COMPUTED_VALUE"""),"170 DÍAS CALENDARIO")</f>
        <v>170 DÍAS CALENDARIO</v>
      </c>
      <c r="L1466" s="213" t="str">
        <f>IFERROR(__xludf.DUMMYFUNCTION("""COMPUTED_VALUE"""),"")</f>
        <v/>
      </c>
      <c r="M1466" s="213">
        <f>IFERROR(__xludf.DUMMYFUNCTION("""COMPUTED_VALUE"""),1.0)</f>
        <v>1</v>
      </c>
      <c r="N1466" s="213">
        <f>IFERROR(__xludf.DUMMYFUNCTION("""COMPUTED_VALUE"""),6.0)</f>
        <v>6</v>
      </c>
      <c r="O1466" s="213">
        <f>IFERROR(__xludf.DUMMYFUNCTION("""COMPUTED_VALUE"""),6.0)</f>
        <v>6</v>
      </c>
      <c r="P1466" s="213"/>
      <c r="Q1466" s="213"/>
      <c r="R1466" s="213"/>
      <c r="S1466" s="213"/>
      <c r="T1466" s="213"/>
      <c r="U1466" s="213"/>
      <c r="V1466" s="213"/>
      <c r="W1466" s="213"/>
      <c r="X1466" s="213"/>
      <c r="Y1466" s="213"/>
      <c r="Z1466" s="213"/>
      <c r="AA1466" s="213"/>
      <c r="AB1466" s="213"/>
      <c r="AC1466" s="213"/>
      <c r="AD1466" s="213"/>
      <c r="AE1466" s="213"/>
      <c r="AF1466" s="213"/>
      <c r="AG1466" s="213"/>
      <c r="AH1466" s="213"/>
      <c r="AI1466" s="213"/>
      <c r="AJ1466" s="213"/>
      <c r="AK1466" s="213"/>
      <c r="AL1466" s="213"/>
      <c r="AM1466" s="213"/>
      <c r="AN1466" s="213"/>
      <c r="AO1466" s="213"/>
      <c r="AP1466" s="213"/>
      <c r="AQ1466" s="213"/>
      <c r="AR1466" s="213"/>
      <c r="AS1466" s="213"/>
      <c r="AT1466" s="213"/>
      <c r="AU1466" s="213"/>
      <c r="AV1466" s="213"/>
      <c r="AW1466" s="213"/>
      <c r="AX1466" s="213"/>
      <c r="AY1466" s="213"/>
      <c r="AZ1466" s="213"/>
      <c r="BA1466" s="213"/>
      <c r="BB1466" s="213"/>
      <c r="BC1466" s="213"/>
      <c r="BD1466" s="213"/>
    </row>
    <row r="1467">
      <c r="A1467" s="213">
        <f>IFERROR(__xludf.DUMMYFUNCTION("""COMPUTED_VALUE"""),1639.0)</f>
        <v>1639</v>
      </c>
      <c r="B1467" s="213" t="str">
        <f>IFERROR(__xludf.DUMMYFUNCTION("""COMPUTED_VALUE"""),"GUILLERMO E. BILLINGHURST ")</f>
        <v>GUILLERMO E. BILLINGHURST </v>
      </c>
      <c r="C1467" s="213" t="str">
        <f>IFERROR(__xludf.DUMMYFUNCTION("""COMPUTED_VALUE"""),"TALLER SFT DE MECÁNICA AUTOMOTRIZ")</f>
        <v>TALLER SFT DE MECÁNICA AUTOMOTRIZ</v>
      </c>
      <c r="D1467" s="213" t="str">
        <f>IFERROR(__xludf.DUMMYFUNCTION("""COMPUTED_VALUE"""),"PEDAGOGICO")</f>
        <v>PEDAGOGICO</v>
      </c>
      <c r="E1467" s="213" t="str">
        <f>IFERROR(__xludf.DUMMYFUNCTION("""COMPUTED_VALUE"""),"MAT-296")</f>
        <v>MAT-296</v>
      </c>
      <c r="F1467" s="213" t="str">
        <f>IFERROR(__xludf.DUMMYFUNCTION("""COMPUTED_VALUE"""),"KEFF-92")</f>
        <v>KEFF-92</v>
      </c>
      <c r="G1467" s="213"/>
      <c r="H1467" s="213" t="str">
        <f>IFERROR(__xludf.DUMMYFUNCTION("""COMPUTED_VALUE"""),"MANUAL DE USO POR CADA EQUIPO PARA EL MANTENIMIENTO DE MOTORES OTTO Y DIÉSEL")</f>
        <v>MANUAL DE USO POR CADA EQUIPO PARA EL MANTENIMIENTO DE MOTORES OTTO Y DIÉSEL</v>
      </c>
      <c r="I146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67" s="213">
        <f>IFERROR(__xludf.DUMMYFUNCTION("""COMPUTED_VALUE"""),3.0)</f>
        <v>3</v>
      </c>
      <c r="K1467" s="213" t="str">
        <f>IFERROR(__xludf.DUMMYFUNCTION("""COMPUTED_VALUE"""),"170 DÍAS CALENDARIO")</f>
        <v>170 DÍAS CALENDARIO</v>
      </c>
      <c r="L1467" s="213" t="str">
        <f>IFERROR(__xludf.DUMMYFUNCTION("""COMPUTED_VALUE"""),"")</f>
        <v/>
      </c>
      <c r="M1467" s="213">
        <f>IFERROR(__xludf.DUMMYFUNCTION("""COMPUTED_VALUE"""),1.0)</f>
        <v>1</v>
      </c>
      <c r="N1467" s="213">
        <f>IFERROR(__xludf.DUMMYFUNCTION("""COMPUTED_VALUE"""),6.0)</f>
        <v>6</v>
      </c>
      <c r="O1467" s="213">
        <f>IFERROR(__xludf.DUMMYFUNCTION("""COMPUTED_VALUE"""),6.0)</f>
        <v>6</v>
      </c>
      <c r="P1467" s="213"/>
      <c r="Q1467" s="213"/>
      <c r="R1467" s="213"/>
      <c r="S1467" s="213"/>
      <c r="T1467" s="213"/>
      <c r="U1467" s="213"/>
      <c r="V1467" s="213"/>
      <c r="W1467" s="213"/>
      <c r="X1467" s="213"/>
      <c r="Y1467" s="213"/>
      <c r="Z1467" s="213"/>
      <c r="AA1467" s="213"/>
      <c r="AB1467" s="213"/>
      <c r="AC1467" s="213"/>
      <c r="AD1467" s="213"/>
      <c r="AE1467" s="213"/>
      <c r="AF1467" s="213"/>
      <c r="AG1467" s="213"/>
      <c r="AH1467" s="213"/>
      <c r="AI1467" s="213"/>
      <c r="AJ1467" s="213"/>
      <c r="AK1467" s="213"/>
      <c r="AL1467" s="213"/>
      <c r="AM1467" s="213"/>
      <c r="AN1467" s="213"/>
      <c r="AO1467" s="213"/>
      <c r="AP1467" s="213"/>
      <c r="AQ1467" s="213"/>
      <c r="AR1467" s="213"/>
      <c r="AS1467" s="213"/>
      <c r="AT1467" s="213"/>
      <c r="AU1467" s="213"/>
      <c r="AV1467" s="213"/>
      <c r="AW1467" s="213"/>
      <c r="AX1467" s="213"/>
      <c r="AY1467" s="213"/>
      <c r="AZ1467" s="213"/>
      <c r="BA1467" s="213"/>
      <c r="BB1467" s="213"/>
      <c r="BC1467" s="213"/>
      <c r="BD1467" s="213"/>
    </row>
    <row r="1468">
      <c r="A1468" s="213">
        <f>IFERROR(__xludf.DUMMYFUNCTION("""COMPUTED_VALUE"""),2330.0)</f>
        <v>2330</v>
      </c>
      <c r="B1468" s="213" t="str">
        <f>IFERROR(__xludf.DUMMYFUNCTION("""COMPUTED_VALUE"""),"JOSE GRANDA")</f>
        <v>JOSE GRANDA</v>
      </c>
      <c r="C1468" s="213" t="str">
        <f>IFERROR(__xludf.DUMMYFUNCTION("""COMPUTED_VALUE"""),"TALLER SFT DE MECÁNICA AUTOMOTRIZ")</f>
        <v>TALLER SFT DE MECÁNICA AUTOMOTRIZ</v>
      </c>
      <c r="D1468" s="213" t="str">
        <f>IFERROR(__xludf.DUMMYFUNCTION("""COMPUTED_VALUE"""),"PEDAGOGICO")</f>
        <v>PEDAGOGICO</v>
      </c>
      <c r="E1468" s="213" t="str">
        <f>IFERROR(__xludf.DUMMYFUNCTION("""COMPUTED_VALUE"""),"MAT-296")</f>
        <v>MAT-296</v>
      </c>
      <c r="F1468" s="213" t="str">
        <f>IFERROR(__xludf.DUMMYFUNCTION("""COMPUTED_VALUE"""),"KEFF-92")</f>
        <v>KEFF-92</v>
      </c>
      <c r="G1468" s="213"/>
      <c r="H1468" s="213" t="str">
        <f>IFERROR(__xludf.DUMMYFUNCTION("""COMPUTED_VALUE"""),"MANUAL DE USO POR CADA EQUIPO PARA EL MANTENIMIENTO DE MOTORES OTTO Y DIÉSEL")</f>
        <v>MANUAL DE USO POR CADA EQUIPO PARA EL MANTENIMIENTO DE MOTORES OTTO Y DIÉSEL</v>
      </c>
      <c r="I146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68" s="213">
        <f>IFERROR(__xludf.DUMMYFUNCTION("""COMPUTED_VALUE"""),3.0)</f>
        <v>3</v>
      </c>
      <c r="K1468" s="213" t="str">
        <f>IFERROR(__xludf.DUMMYFUNCTION("""COMPUTED_VALUE"""),"170 DÍAS CALENDARIO")</f>
        <v>170 DÍAS CALENDARIO</v>
      </c>
      <c r="L1468" s="213" t="str">
        <f>IFERROR(__xludf.DUMMYFUNCTION("""COMPUTED_VALUE"""),"")</f>
        <v/>
      </c>
      <c r="M1468" s="213">
        <f>IFERROR(__xludf.DUMMYFUNCTION("""COMPUTED_VALUE"""),1.0)</f>
        <v>1</v>
      </c>
      <c r="N1468" s="213">
        <f>IFERROR(__xludf.DUMMYFUNCTION("""COMPUTED_VALUE"""),6.0)</f>
        <v>6</v>
      </c>
      <c r="O1468" s="213">
        <f>IFERROR(__xludf.DUMMYFUNCTION("""COMPUTED_VALUE"""),6.0)</f>
        <v>6</v>
      </c>
      <c r="P1468" s="213"/>
      <c r="Q1468" s="213"/>
      <c r="R1468" s="213"/>
      <c r="S1468" s="213"/>
      <c r="T1468" s="213"/>
      <c r="U1468" s="213"/>
      <c r="V1468" s="213"/>
      <c r="W1468" s="213"/>
      <c r="X1468" s="213"/>
      <c r="Y1468" s="213"/>
      <c r="Z1468" s="213"/>
      <c r="AA1468" s="213"/>
      <c r="AB1468" s="213"/>
      <c r="AC1468" s="213"/>
      <c r="AD1468" s="213"/>
      <c r="AE1468" s="213"/>
      <c r="AF1468" s="213"/>
      <c r="AG1468" s="213"/>
      <c r="AH1468" s="213"/>
      <c r="AI1468" s="213"/>
      <c r="AJ1468" s="213"/>
      <c r="AK1468" s="213"/>
      <c r="AL1468" s="213"/>
      <c r="AM1468" s="213"/>
      <c r="AN1468" s="213"/>
      <c r="AO1468" s="213"/>
      <c r="AP1468" s="213"/>
      <c r="AQ1468" s="213"/>
      <c r="AR1468" s="213"/>
      <c r="AS1468" s="213"/>
      <c r="AT1468" s="213"/>
      <c r="AU1468" s="213"/>
      <c r="AV1468" s="213"/>
      <c r="AW1468" s="213"/>
      <c r="AX1468" s="213"/>
      <c r="AY1468" s="213"/>
      <c r="AZ1468" s="213"/>
      <c r="BA1468" s="213"/>
      <c r="BB1468" s="213"/>
      <c r="BC1468" s="213"/>
      <c r="BD1468" s="213"/>
    </row>
    <row r="1469">
      <c r="A1469" s="213">
        <f>IFERROR(__xludf.DUMMYFUNCTION("""COMPUTED_VALUE"""),1028.0)</f>
        <v>1028</v>
      </c>
      <c r="B1469" s="213" t="str">
        <f>IFERROR(__xludf.DUMMYFUNCTION("""COMPUTED_VALUE"""),"FRANCISCO IRAZOLA")</f>
        <v>FRANCISCO IRAZOLA</v>
      </c>
      <c r="C1469" s="213" t="str">
        <f>IFERROR(__xludf.DUMMYFUNCTION("""COMPUTED_VALUE"""),"TALLER SFT DE MECÁNICA AUTOMOTRIZ")</f>
        <v>TALLER SFT DE MECÁNICA AUTOMOTRIZ</v>
      </c>
      <c r="D1469" s="213" t="str">
        <f>IFERROR(__xludf.DUMMYFUNCTION("""COMPUTED_VALUE"""),"PEDAGOGICO")</f>
        <v>PEDAGOGICO</v>
      </c>
      <c r="E1469" s="213" t="str">
        <f>IFERROR(__xludf.DUMMYFUNCTION("""COMPUTED_VALUE"""),"MAT-297")</f>
        <v>MAT-297</v>
      </c>
      <c r="F1469" s="213" t="str">
        <f>IFERROR(__xludf.DUMMYFUNCTION("""COMPUTED_VALUE"""),"KEFF-89")</f>
        <v>KEFF-89</v>
      </c>
      <c r="G1469" s="213"/>
      <c r="H1469" s="213" t="str">
        <f>IFERROR(__xludf.DUMMYFUNCTION("""COMPUTED_VALUE"""),"MANUAL DE USO POR CADA EQUIPO PARA EL MANTENIMIENTO DEL SISTEMA ELÉCTRICO – ELECTRÓNICO")</f>
        <v>MANUAL DE USO POR CADA EQUIPO PARA EL MANTENIMIENTO DEL SISTEMA ELÉCTRICO – ELECTRÓNICO</v>
      </c>
      <c r="I146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69" s="213">
        <f>IFERROR(__xludf.DUMMYFUNCTION("""COMPUTED_VALUE"""),3.0)</f>
        <v>3</v>
      </c>
      <c r="K1469" s="213" t="str">
        <f>IFERROR(__xludf.DUMMYFUNCTION("""COMPUTED_VALUE"""),"170 DÍAS CALENDARIO")</f>
        <v>170 DÍAS CALENDARIO</v>
      </c>
      <c r="L1469" s="213" t="str">
        <f>IFERROR(__xludf.DUMMYFUNCTION("""COMPUTED_VALUE"""),"")</f>
        <v/>
      </c>
      <c r="M1469" s="213">
        <f>IFERROR(__xludf.DUMMYFUNCTION("""COMPUTED_VALUE"""),1.0)</f>
        <v>1</v>
      </c>
      <c r="N1469" s="213">
        <f>IFERROR(__xludf.DUMMYFUNCTION("""COMPUTED_VALUE"""),6.0)</f>
        <v>6</v>
      </c>
      <c r="O1469" s="213">
        <f>IFERROR(__xludf.DUMMYFUNCTION("""COMPUTED_VALUE"""),6.0)</f>
        <v>6</v>
      </c>
      <c r="P1469" s="213"/>
      <c r="Q1469" s="213"/>
      <c r="R1469" s="213"/>
      <c r="S1469" s="213"/>
      <c r="T1469" s="213"/>
      <c r="U1469" s="213"/>
      <c r="V1469" s="213"/>
      <c r="W1469" s="213"/>
      <c r="X1469" s="213"/>
      <c r="Y1469" s="213"/>
      <c r="Z1469" s="213"/>
      <c r="AA1469" s="213"/>
      <c r="AB1469" s="213"/>
      <c r="AC1469" s="213"/>
      <c r="AD1469" s="213"/>
      <c r="AE1469" s="213"/>
      <c r="AF1469" s="213"/>
      <c r="AG1469" s="213"/>
      <c r="AH1469" s="213"/>
      <c r="AI1469" s="213"/>
      <c r="AJ1469" s="213"/>
      <c r="AK1469" s="213"/>
      <c r="AL1469" s="213"/>
      <c r="AM1469" s="213"/>
      <c r="AN1469" s="213"/>
      <c r="AO1469" s="213"/>
      <c r="AP1469" s="213"/>
      <c r="AQ1469" s="213"/>
      <c r="AR1469" s="213"/>
      <c r="AS1469" s="213"/>
      <c r="AT1469" s="213"/>
      <c r="AU1469" s="213"/>
      <c r="AV1469" s="213"/>
      <c r="AW1469" s="213"/>
      <c r="AX1469" s="213"/>
      <c r="AY1469" s="213"/>
      <c r="AZ1469" s="213"/>
      <c r="BA1469" s="213"/>
      <c r="BB1469" s="213"/>
      <c r="BC1469" s="213"/>
      <c r="BD1469" s="213"/>
    </row>
    <row r="1470">
      <c r="A1470" s="213">
        <f>IFERROR(__xludf.DUMMYFUNCTION("""COMPUTED_VALUE"""),1633.0)</f>
        <v>1633</v>
      </c>
      <c r="B1470" s="213" t="str">
        <f>IFERROR(__xludf.DUMMYFUNCTION("""COMPUTED_VALUE"""),"GUILLERMO E. BILLINGHURST ")</f>
        <v>GUILLERMO E. BILLINGHURST </v>
      </c>
      <c r="C1470" s="213" t="str">
        <f>IFERROR(__xludf.DUMMYFUNCTION("""COMPUTED_VALUE"""),"TALLER SFT DE MECÁNICA AUTOMOTRIZ")</f>
        <v>TALLER SFT DE MECÁNICA AUTOMOTRIZ</v>
      </c>
      <c r="D1470" s="213" t="str">
        <f>IFERROR(__xludf.DUMMYFUNCTION("""COMPUTED_VALUE"""),"PEDAGOGICO")</f>
        <v>PEDAGOGICO</v>
      </c>
      <c r="E1470" s="213" t="str">
        <f>IFERROR(__xludf.DUMMYFUNCTION("""COMPUTED_VALUE"""),"MAT-297")</f>
        <v>MAT-297</v>
      </c>
      <c r="F1470" s="213" t="str">
        <f>IFERROR(__xludf.DUMMYFUNCTION("""COMPUTED_VALUE"""),"KEFF-89")</f>
        <v>KEFF-89</v>
      </c>
      <c r="G1470" s="213"/>
      <c r="H1470" s="213" t="str">
        <f>IFERROR(__xludf.DUMMYFUNCTION("""COMPUTED_VALUE"""),"MANUAL DE USO POR CADA EQUIPO PARA EL MANTENIMIENTO DEL SISTEMA ELÉCTRICO – ELECTRÓNICO")</f>
        <v>MANUAL DE USO POR CADA EQUIPO PARA EL MANTENIMIENTO DEL SISTEMA ELÉCTRICO – ELECTRÓNICO</v>
      </c>
      <c r="I147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70" s="213">
        <f>IFERROR(__xludf.DUMMYFUNCTION("""COMPUTED_VALUE"""),3.0)</f>
        <v>3</v>
      </c>
      <c r="K1470" s="213" t="str">
        <f>IFERROR(__xludf.DUMMYFUNCTION("""COMPUTED_VALUE"""),"170 DÍAS CALENDARIO")</f>
        <v>170 DÍAS CALENDARIO</v>
      </c>
      <c r="L1470" s="213" t="str">
        <f>IFERROR(__xludf.DUMMYFUNCTION("""COMPUTED_VALUE"""),"")</f>
        <v/>
      </c>
      <c r="M1470" s="213">
        <f>IFERROR(__xludf.DUMMYFUNCTION("""COMPUTED_VALUE"""),1.0)</f>
        <v>1</v>
      </c>
      <c r="N1470" s="213">
        <f>IFERROR(__xludf.DUMMYFUNCTION("""COMPUTED_VALUE"""),6.0)</f>
        <v>6</v>
      </c>
      <c r="O1470" s="213">
        <f>IFERROR(__xludf.DUMMYFUNCTION("""COMPUTED_VALUE"""),6.0)</f>
        <v>6</v>
      </c>
      <c r="P1470" s="213"/>
      <c r="Q1470" s="213"/>
      <c r="R1470" s="213"/>
      <c r="S1470" s="213"/>
      <c r="T1470" s="213"/>
      <c r="U1470" s="213"/>
      <c r="V1470" s="213"/>
      <c r="W1470" s="213"/>
      <c r="X1470" s="213"/>
      <c r="Y1470" s="213"/>
      <c r="Z1470" s="213"/>
      <c r="AA1470" s="213"/>
      <c r="AB1470" s="213"/>
      <c r="AC1470" s="213"/>
      <c r="AD1470" s="213"/>
      <c r="AE1470" s="213"/>
      <c r="AF1470" s="213"/>
      <c r="AG1470" s="213"/>
      <c r="AH1470" s="213"/>
      <c r="AI1470" s="213"/>
      <c r="AJ1470" s="213"/>
      <c r="AK1470" s="213"/>
      <c r="AL1470" s="213"/>
      <c r="AM1470" s="213"/>
      <c r="AN1470" s="213"/>
      <c r="AO1470" s="213"/>
      <c r="AP1470" s="213"/>
      <c r="AQ1470" s="213"/>
      <c r="AR1470" s="213"/>
      <c r="AS1470" s="213"/>
      <c r="AT1470" s="213"/>
      <c r="AU1470" s="213"/>
      <c r="AV1470" s="213"/>
      <c r="AW1470" s="213"/>
      <c r="AX1470" s="213"/>
      <c r="AY1470" s="213"/>
      <c r="AZ1470" s="213"/>
      <c r="BA1470" s="213"/>
      <c r="BB1470" s="213"/>
      <c r="BC1470" s="213"/>
      <c r="BD1470" s="213"/>
    </row>
    <row r="1471">
      <c r="A1471" s="213">
        <f>IFERROR(__xludf.DUMMYFUNCTION("""COMPUTED_VALUE"""),2324.0)</f>
        <v>2324</v>
      </c>
      <c r="B1471" s="213" t="str">
        <f>IFERROR(__xludf.DUMMYFUNCTION("""COMPUTED_VALUE"""),"JOSE GRANDA")</f>
        <v>JOSE GRANDA</v>
      </c>
      <c r="C1471" s="213" t="str">
        <f>IFERROR(__xludf.DUMMYFUNCTION("""COMPUTED_VALUE"""),"TALLER SFT DE MECÁNICA AUTOMOTRIZ")</f>
        <v>TALLER SFT DE MECÁNICA AUTOMOTRIZ</v>
      </c>
      <c r="D1471" s="213" t="str">
        <f>IFERROR(__xludf.DUMMYFUNCTION("""COMPUTED_VALUE"""),"PEDAGOGICO")</f>
        <v>PEDAGOGICO</v>
      </c>
      <c r="E1471" s="213" t="str">
        <f>IFERROR(__xludf.DUMMYFUNCTION("""COMPUTED_VALUE"""),"MAT-297")</f>
        <v>MAT-297</v>
      </c>
      <c r="F1471" s="213" t="str">
        <f>IFERROR(__xludf.DUMMYFUNCTION("""COMPUTED_VALUE"""),"KEFF-89")</f>
        <v>KEFF-89</v>
      </c>
      <c r="G1471" s="213"/>
      <c r="H1471" s="213" t="str">
        <f>IFERROR(__xludf.DUMMYFUNCTION("""COMPUTED_VALUE"""),"MANUAL DE USO POR CADA EQUIPO PARA EL MANTENIMIENTO DEL SISTEMA ELÉCTRICO – ELECTRÓNICO")</f>
        <v>MANUAL DE USO POR CADA EQUIPO PARA EL MANTENIMIENTO DEL SISTEMA ELÉCTRICO – ELECTRÓNICO</v>
      </c>
      <c r="I147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del equipamiento.
- Descripción de las principales tareas que se pueden realizar con cada equipo.
- Descripción grafica de la instalación, uso y conservación de cada equipo.
- Descripción de los errores comunes que se presentan en el uso "&amp;"y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del equipamiento.
- Descripción de las principales tareas que se pueden realizar con cada equipo.
- Descripción grafica de la instalación, uso y conservación de cada equipo.
- Descripción de los errores comunes que se presentan en el uso y la forma de solucionarlos.
- Descripción de las normas de seguridad que se deben tener en cuenta durante el uso de cada equipo.</v>
      </c>
      <c r="J1471" s="213">
        <f>IFERROR(__xludf.DUMMYFUNCTION("""COMPUTED_VALUE"""),3.0)</f>
        <v>3</v>
      </c>
      <c r="K1471" s="213" t="str">
        <f>IFERROR(__xludf.DUMMYFUNCTION("""COMPUTED_VALUE"""),"170 DÍAS CALENDARIO")</f>
        <v>170 DÍAS CALENDARIO</v>
      </c>
      <c r="L1471" s="213" t="str">
        <f>IFERROR(__xludf.DUMMYFUNCTION("""COMPUTED_VALUE"""),"")</f>
        <v/>
      </c>
      <c r="M1471" s="213">
        <f>IFERROR(__xludf.DUMMYFUNCTION("""COMPUTED_VALUE"""),1.0)</f>
        <v>1</v>
      </c>
      <c r="N1471" s="213">
        <f>IFERROR(__xludf.DUMMYFUNCTION("""COMPUTED_VALUE"""),6.0)</f>
        <v>6</v>
      </c>
      <c r="O1471" s="213">
        <f>IFERROR(__xludf.DUMMYFUNCTION("""COMPUTED_VALUE"""),6.0)</f>
        <v>6</v>
      </c>
      <c r="P1471" s="213"/>
      <c r="Q1471" s="213"/>
      <c r="R1471" s="213"/>
      <c r="S1471" s="213"/>
      <c r="T1471" s="213"/>
      <c r="U1471" s="213"/>
      <c r="V1471" s="213"/>
      <c r="W1471" s="213"/>
      <c r="X1471" s="213"/>
      <c r="Y1471" s="213"/>
      <c r="Z1471" s="213"/>
      <c r="AA1471" s="213"/>
      <c r="AB1471" s="213"/>
      <c r="AC1471" s="213"/>
      <c r="AD1471" s="213"/>
      <c r="AE1471" s="213"/>
      <c r="AF1471" s="213"/>
      <c r="AG1471" s="213"/>
      <c r="AH1471" s="213"/>
      <c r="AI1471" s="213"/>
      <c r="AJ1471" s="213"/>
      <c r="AK1471" s="213"/>
      <c r="AL1471" s="213"/>
      <c r="AM1471" s="213"/>
      <c r="AN1471" s="213"/>
      <c r="AO1471" s="213"/>
      <c r="AP1471" s="213"/>
      <c r="AQ1471" s="213"/>
      <c r="AR1471" s="213"/>
      <c r="AS1471" s="213"/>
      <c r="AT1471" s="213"/>
      <c r="AU1471" s="213"/>
      <c r="AV1471" s="213"/>
      <c r="AW1471" s="213"/>
      <c r="AX1471" s="213"/>
      <c r="AY1471" s="213"/>
      <c r="AZ1471" s="213"/>
      <c r="BA1471" s="213"/>
      <c r="BB1471" s="213"/>
      <c r="BC1471" s="213"/>
      <c r="BD1471" s="213"/>
    </row>
    <row r="1472">
      <c r="A1472" s="213">
        <f>IFERROR(__xludf.DUMMYFUNCTION("""COMPUTED_VALUE"""),675.0)</f>
        <v>675</v>
      </c>
      <c r="B1472" s="213" t="str">
        <f>IFERROR(__xludf.DUMMYFUNCTION("""COMPUTED_VALUE"""),"6049 RICARDO PALMA")</f>
        <v>6049 RICARDO PALMA</v>
      </c>
      <c r="C1472" s="213" t="str">
        <f>IFERROR(__xludf.DUMMYFUNCTION("""COMPUTED_VALUE"""),"TALLER SFT DE ELECTRÓNICA")</f>
        <v>TALLER SFT DE ELECTRÓNICA</v>
      </c>
      <c r="D1472" s="213" t="str">
        <f>IFERROR(__xludf.DUMMYFUNCTION("""COMPUTED_VALUE"""),"PEDAGOGICO")</f>
        <v>PEDAGOGICO</v>
      </c>
      <c r="E1472" s="213" t="str">
        <f>IFERROR(__xludf.DUMMYFUNCTION("""COMPUTED_VALUE"""),"MAT-332")</f>
        <v>MAT-332</v>
      </c>
      <c r="F1472" s="213" t="str">
        <f>IFERROR(__xludf.DUMMYFUNCTION("""COMPUTED_VALUE"""),"KEFF-59")</f>
        <v>KEFF-59</v>
      </c>
      <c r="G1472" s="213"/>
      <c r="H1472" s="213" t="str">
        <f>IFERROR(__xludf.DUMMYFUNCTION("""COMPUTED_VALUE"""),"MANUAL DE USO POR CADA HERRAMIENTA")</f>
        <v>MANUAL DE USO POR CADA HERRAMIENTA</v>
      </c>
      <c r="I147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herramienta
- Descripción de las principales tareas que se pueden realizar con cada herramienta.
- Descripción grafica de la instalación, uso y conservación de cada herramienta.
- Descripción de los errores comunes que se presenta"&amp;"n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herramienta
- Descripción de las principales tareas que se pueden realizar con cada herramienta.
- Descripción grafica de la instalación, uso y conservación de cada herramienta.
- Descripción de los errores comunes que se presentan en el uso y la forma de solucionarlos.
· Descripción de las normas de seguridad que se tienen que se deben tener en cuenta durante el uso de cada equipo.</v>
      </c>
      <c r="J1472" s="213">
        <f>IFERROR(__xludf.DUMMYFUNCTION("""COMPUTED_VALUE"""),3.0)</f>
        <v>3</v>
      </c>
      <c r="K1472" s="213" t="str">
        <f>IFERROR(__xludf.DUMMYFUNCTION("""COMPUTED_VALUE"""),"170 DÍAS CALENDARIO")</f>
        <v>170 DÍAS CALENDARIO</v>
      </c>
      <c r="L1472" s="213" t="str">
        <f>IFERROR(__xludf.DUMMYFUNCTION("""COMPUTED_VALUE"""),"")</f>
        <v/>
      </c>
      <c r="M1472" s="213">
        <f>IFERROR(__xludf.DUMMYFUNCTION("""COMPUTED_VALUE"""),1.0)</f>
        <v>1</v>
      </c>
      <c r="N1472" s="213">
        <f>IFERROR(__xludf.DUMMYFUNCTION("""COMPUTED_VALUE"""),6.0)</f>
        <v>6</v>
      </c>
      <c r="O1472" s="213">
        <f>IFERROR(__xludf.DUMMYFUNCTION("""COMPUTED_VALUE"""),6.0)</f>
        <v>6</v>
      </c>
      <c r="P1472" s="213"/>
      <c r="Q1472" s="213"/>
      <c r="R1472" s="213"/>
      <c r="S1472" s="213"/>
      <c r="T1472" s="213"/>
      <c r="U1472" s="213"/>
      <c r="V1472" s="213"/>
      <c r="W1472" s="213"/>
      <c r="X1472" s="213"/>
      <c r="Y1472" s="213"/>
      <c r="Z1472" s="213"/>
      <c r="AA1472" s="213"/>
      <c r="AB1472" s="213"/>
      <c r="AC1472" s="213"/>
      <c r="AD1472" s="213"/>
      <c r="AE1472" s="213"/>
      <c r="AF1472" s="213"/>
      <c r="AG1472" s="213"/>
      <c r="AH1472" s="213"/>
      <c r="AI1472" s="213"/>
      <c r="AJ1472" s="213"/>
      <c r="AK1472" s="213"/>
      <c r="AL1472" s="213"/>
      <c r="AM1472" s="213"/>
      <c r="AN1472" s="213"/>
      <c r="AO1472" s="213"/>
      <c r="AP1472" s="213"/>
      <c r="AQ1472" s="213"/>
      <c r="AR1472" s="213"/>
      <c r="AS1472" s="213"/>
      <c r="AT1472" s="213"/>
      <c r="AU1472" s="213"/>
      <c r="AV1472" s="213"/>
      <c r="AW1472" s="213"/>
      <c r="AX1472" s="213"/>
      <c r="AY1472" s="213"/>
      <c r="AZ1472" s="213"/>
      <c r="BA1472" s="213"/>
      <c r="BB1472" s="213"/>
      <c r="BC1472" s="213"/>
      <c r="BD1472" s="213"/>
    </row>
    <row r="1473">
      <c r="A1473" s="213">
        <f>IFERROR(__xludf.DUMMYFUNCTION("""COMPUTED_VALUE"""),687.0)</f>
        <v>687</v>
      </c>
      <c r="B1473" s="213" t="str">
        <f>IFERROR(__xludf.DUMMYFUNCTION("""COMPUTED_VALUE"""),"6049 RICARDO PALMA")</f>
        <v>6049 RICARDO PALMA</v>
      </c>
      <c r="C1473" s="213" t="str">
        <f>IFERROR(__xludf.DUMMYFUNCTION("""COMPUTED_VALUE"""),"TALLER SFT DE ELECTRÓNICA")</f>
        <v>TALLER SFT DE ELECTRÓNICA</v>
      </c>
      <c r="D1473" s="213" t="str">
        <f>IFERROR(__xludf.DUMMYFUNCTION("""COMPUTED_VALUE"""),"PEDAGOGICO")</f>
        <v>PEDAGOGICO</v>
      </c>
      <c r="E1473" s="213" t="str">
        <f>IFERROR(__xludf.DUMMYFUNCTION("""COMPUTED_VALUE"""),"MAT-334")</f>
        <v>MAT-334</v>
      </c>
      <c r="F1473" s="213" t="str">
        <f>IFERROR(__xludf.DUMMYFUNCTION("""COMPUTED_VALUE"""),"KEFF-65")</f>
        <v>KEFF-65</v>
      </c>
      <c r="G1473" s="213"/>
      <c r="H1473" s="213" t="str">
        <f>IFERROR(__xludf.DUMMYFUNCTION("""COMPUTED_VALUE"""),"MANUAL DE USO POR CADA KIT DE ROBÓTICA")</f>
        <v>MANUAL DE USO POR CADA KIT DE ROBÓTICA</v>
      </c>
      <c r="I147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kit de Arduino y Robótica
- Descripción de las principales tareas que se pueden realizar con cada kit de Arduino y Robótica
- Descripción grafica de la instalación, uso y conservación de cada kit de Arduino y Robótica.
- Descripci"&amp;"ón de los errores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kit de Arduino y Robótica
- Descripción de las principales tareas que se pueden realizar con cada kit de Arduino y Robótica
- Descripción grafica de la instalación, uso y conservación de cada kit de Arduino y Robótica.
- Descripción de los errores comunes que se presentan en el uso y la forma de solucionarlos.
· Descripción de las normas de seguridad que se tienen que se deben tener en cuenta durante el uso de cada equipo.</v>
      </c>
      <c r="J1473" s="213">
        <f>IFERROR(__xludf.DUMMYFUNCTION("""COMPUTED_VALUE"""),3.0)</f>
        <v>3</v>
      </c>
      <c r="K1473" s="213" t="str">
        <f>IFERROR(__xludf.DUMMYFUNCTION("""COMPUTED_VALUE"""),"170 DÍAS CALENDARIO")</f>
        <v>170 DÍAS CALENDARIO</v>
      </c>
      <c r="L1473" s="213" t="str">
        <f>IFERROR(__xludf.DUMMYFUNCTION("""COMPUTED_VALUE"""),"")</f>
        <v/>
      </c>
      <c r="M1473" s="213">
        <f>IFERROR(__xludf.DUMMYFUNCTION("""COMPUTED_VALUE"""),1.0)</f>
        <v>1</v>
      </c>
      <c r="N1473" s="213">
        <f>IFERROR(__xludf.DUMMYFUNCTION("""COMPUTED_VALUE"""),6.0)</f>
        <v>6</v>
      </c>
      <c r="O1473" s="213">
        <f>IFERROR(__xludf.DUMMYFUNCTION("""COMPUTED_VALUE"""),6.0)</f>
        <v>6</v>
      </c>
      <c r="P1473" s="213"/>
      <c r="Q1473" s="213"/>
      <c r="R1473" s="213"/>
      <c r="S1473" s="213"/>
      <c r="T1473" s="213"/>
      <c r="U1473" s="213"/>
      <c r="V1473" s="213"/>
      <c r="W1473" s="213"/>
      <c r="X1473" s="213"/>
      <c r="Y1473" s="213"/>
      <c r="Z1473" s="213"/>
      <c r="AA1473" s="213"/>
      <c r="AB1473" s="213"/>
      <c r="AC1473" s="213"/>
      <c r="AD1473" s="213"/>
      <c r="AE1473" s="213"/>
      <c r="AF1473" s="213"/>
      <c r="AG1473" s="213"/>
      <c r="AH1473" s="213"/>
      <c r="AI1473" s="213"/>
      <c r="AJ1473" s="213"/>
      <c r="AK1473" s="213"/>
      <c r="AL1473" s="213"/>
      <c r="AM1473" s="213"/>
      <c r="AN1473" s="213"/>
      <c r="AO1473" s="213"/>
      <c r="AP1473" s="213"/>
      <c r="AQ1473" s="213"/>
      <c r="AR1473" s="213"/>
      <c r="AS1473" s="213"/>
      <c r="AT1473" s="213"/>
      <c r="AU1473" s="213"/>
      <c r="AV1473" s="213"/>
      <c r="AW1473" s="213"/>
      <c r="AX1473" s="213"/>
      <c r="AY1473" s="213"/>
      <c r="AZ1473" s="213"/>
      <c r="BA1473" s="213"/>
      <c r="BB1473" s="213"/>
      <c r="BC1473" s="213"/>
      <c r="BD1473" s="213"/>
    </row>
    <row r="1474">
      <c r="A1474" s="213">
        <f>IFERROR(__xludf.DUMMYFUNCTION("""COMPUTED_VALUE"""),713.0)</f>
        <v>713</v>
      </c>
      <c r="B1474" s="213" t="str">
        <f>IFERROR(__xludf.DUMMYFUNCTION("""COMPUTED_VALUE"""),"6049 RICARDO PALMA")</f>
        <v>6049 RICARDO PALMA</v>
      </c>
      <c r="C1474" s="213" t="str">
        <f>IFERROR(__xludf.DUMMYFUNCTION("""COMPUTED_VALUE"""),"TALLER SFT DE ELECTRÓNICA")</f>
        <v>TALLER SFT DE ELECTRÓNICA</v>
      </c>
      <c r="D1474" s="213" t="str">
        <f>IFERROR(__xludf.DUMMYFUNCTION("""COMPUTED_VALUE"""),"PEDAGOGICO")</f>
        <v>PEDAGOGICO</v>
      </c>
      <c r="E1474" s="213" t="str">
        <f>IFERROR(__xludf.DUMMYFUNCTION("""COMPUTED_VALUE"""),"MAT-336")</f>
        <v>MAT-336</v>
      </c>
      <c r="F1474" s="213" t="str">
        <f>IFERROR(__xludf.DUMMYFUNCTION("""COMPUTED_VALUE"""),"KEFF-68")</f>
        <v>KEFF-68</v>
      </c>
      <c r="G1474" s="213"/>
      <c r="H1474" s="213" t="str">
        <f>IFERROR(__xludf.DUMMYFUNCTION("""COMPUTED_VALUE"""),"MANUAL DE USO POR CADA MÓDULO DE ELECTRÓNICA")</f>
        <v>MANUAL DE USO POR CADA MÓDULO DE ELECTRÓNICA</v>
      </c>
      <c r="I147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Descripción de las par"&amp;"tes y accesorios de cada módulo de electrónica
- Descripción de las principales tareas que se pueden realizar con cada módulo de electrónica
- Descripción grafica de la instalación, uso y conservación de cada módulo de electrónica.
- Descripción de los er"&amp;"rores comunes que se presentan en el uso y la forma de solucionarlos.
· Descripción de las normas de seguridad que se tienen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módulo de electrónica
- Descripción de las principales tareas que se pueden realizar con cada módulo de electrónica
- Descripción grafica de la instalación, uso y conservación de cada módulo de electrónica.
- Descripción de los errores comunes que se presentan en el uso y la forma de solucionarlos.
· Descripción de las normas de seguridad que se tienen que se deben tener en cuenta durante el uso de cada equipo.</v>
      </c>
      <c r="J1474" s="213">
        <f>IFERROR(__xludf.DUMMYFUNCTION("""COMPUTED_VALUE"""),3.0)</f>
        <v>3</v>
      </c>
      <c r="K1474" s="213" t="str">
        <f>IFERROR(__xludf.DUMMYFUNCTION("""COMPUTED_VALUE"""),"170 DÍAS CALENDARIO")</f>
        <v>170 DÍAS CALENDARIO</v>
      </c>
      <c r="L1474" s="213" t="str">
        <f>IFERROR(__xludf.DUMMYFUNCTION("""COMPUTED_VALUE"""),"")</f>
        <v/>
      </c>
      <c r="M1474" s="213">
        <f>IFERROR(__xludf.DUMMYFUNCTION("""COMPUTED_VALUE"""),1.0)</f>
        <v>1</v>
      </c>
      <c r="N1474" s="213">
        <f>IFERROR(__xludf.DUMMYFUNCTION("""COMPUTED_VALUE"""),6.0)</f>
        <v>6</v>
      </c>
      <c r="O1474" s="213">
        <f>IFERROR(__xludf.DUMMYFUNCTION("""COMPUTED_VALUE"""),6.0)</f>
        <v>6</v>
      </c>
      <c r="P1474" s="213"/>
      <c r="Q1474" s="213"/>
      <c r="R1474" s="213"/>
      <c r="S1474" s="213"/>
      <c r="T1474" s="213"/>
      <c r="U1474" s="213"/>
      <c r="V1474" s="213"/>
      <c r="W1474" s="213"/>
      <c r="X1474" s="213"/>
      <c r="Y1474" s="213"/>
      <c r="Z1474" s="213"/>
      <c r="AA1474" s="213"/>
      <c r="AB1474" s="213"/>
      <c r="AC1474" s="213"/>
      <c r="AD1474" s="213"/>
      <c r="AE1474" s="213"/>
      <c r="AF1474" s="213"/>
      <c r="AG1474" s="213"/>
      <c r="AH1474" s="213"/>
      <c r="AI1474" s="213"/>
      <c r="AJ1474" s="213"/>
      <c r="AK1474" s="213"/>
      <c r="AL1474" s="213"/>
      <c r="AM1474" s="213"/>
      <c r="AN1474" s="213"/>
      <c r="AO1474" s="213"/>
      <c r="AP1474" s="213"/>
      <c r="AQ1474" s="213"/>
      <c r="AR1474" s="213"/>
      <c r="AS1474" s="213">
        <f>IFERROR(__xludf.DUMMYFUNCTION("""COMPUTED_VALUE"""),0.0)</f>
        <v>0</v>
      </c>
      <c r="AT1474" s="213"/>
      <c r="AU1474" s="213"/>
      <c r="AV1474" s="213"/>
      <c r="AW1474" s="213"/>
      <c r="AX1474" s="213"/>
      <c r="AY1474" s="213"/>
      <c r="AZ1474" s="213"/>
      <c r="BA1474" s="213"/>
      <c r="BB1474" s="213"/>
      <c r="BC1474" s="213"/>
      <c r="BD1474" s="213"/>
    </row>
    <row r="1475">
      <c r="A1475" s="213">
        <f>IFERROR(__xludf.DUMMYFUNCTION("""COMPUTED_VALUE"""),114.0)</f>
        <v>114</v>
      </c>
      <c r="B1475" s="213" t="str">
        <f>IFERROR(__xludf.DUMMYFUNCTION("""COMPUTED_VALUE"""),"16449 ELOY SOBERON  FLORES")</f>
        <v>16449 ELOY SOBERON  FLORES</v>
      </c>
      <c r="C1475" s="213" t="str">
        <f>IFERROR(__xludf.DUMMYFUNCTION("""COMPUTED_VALUE"""),"TALLER SFT DE COCINA Y REPOSTERÍA")</f>
        <v>TALLER SFT DE COCINA Y REPOSTERÍA</v>
      </c>
      <c r="D1475" s="213" t="str">
        <f>IFERROR(__xludf.DUMMYFUNCTION("""COMPUTED_VALUE"""),"PEDAGOGICO")</f>
        <v>PEDAGOGICO</v>
      </c>
      <c r="E1475" s="213" t="str">
        <f>IFERROR(__xludf.DUMMYFUNCTION("""COMPUTED_VALUE"""),"MAT-302")</f>
        <v>MAT-302</v>
      </c>
      <c r="F1475" s="213" t="str">
        <f>IFERROR(__xludf.DUMMYFUNCTION("""COMPUTED_VALUE"""),"KEFF-13")</f>
        <v>KEFF-13</v>
      </c>
      <c r="G1475" s="213"/>
      <c r="H1475" s="213" t="str">
        <f>IFERROR(__xludf.DUMMYFUNCTION("""COMPUTED_VALUE"""),"MANUAL DE USO POR CADA MUEBLE DE COCINA")</f>
        <v>MANUAL DE USO POR CADA MUEBLE DE COCINA</v>
      </c>
      <c r="I147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       Contenido qu"&amp;"e presenta.
- Descripción de las partes y accesorios de cada equipo del equipamiento de muebles de cocina
- Descripción de las principales tareas que se pueden realizar con cada equipo de muebles de cocina.
- Descripción grafica de la instalación, uso y c"&amp;"onservación de cada equipo.
- Descripción de los errores comunes que se presentan en el uso y la forma de solucionarlos.
- Descripción de las normas de seguridad que se deben tener en cuenta durante el uso de cada equipo.")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Descripción de las partes y accesorios de cada equipo del equipamiento de muebles de cocina
- Descripción de las principales tareas que se pueden realizar con cada equipo de muebles de cocina.
- Descripción grafica de la instalación, uso y conservación de cada equipo.
- Descripción de los errores comunes que se presentan en el uso y la forma de solucionarlos.
- Descripción de las normas de seguridad que se deben tener en cuenta durante el uso de cada equipo.</v>
      </c>
      <c r="J1475" s="213">
        <f>IFERROR(__xludf.DUMMYFUNCTION("""COMPUTED_VALUE"""),3.0)</f>
        <v>3</v>
      </c>
      <c r="K1475" s="213" t="str">
        <f>IFERROR(__xludf.DUMMYFUNCTION("""COMPUTED_VALUE"""),"170 DÍAS CALENDARIO")</f>
        <v>170 DÍAS CALENDARIO</v>
      </c>
      <c r="L1475" s="213" t="str">
        <f>IFERROR(__xludf.DUMMYFUNCTION("""COMPUTED_VALUE"""),"")</f>
        <v/>
      </c>
      <c r="M1475" s="213">
        <f>IFERROR(__xludf.DUMMYFUNCTION("""COMPUTED_VALUE"""),1.0)</f>
        <v>1</v>
      </c>
      <c r="N1475" s="213">
        <f>IFERROR(__xludf.DUMMYFUNCTION("""COMPUTED_VALUE"""),6.0)</f>
        <v>6</v>
      </c>
      <c r="O1475" s="213">
        <f>IFERROR(__xludf.DUMMYFUNCTION("""COMPUTED_VALUE"""),6.0)</f>
        <v>6</v>
      </c>
      <c r="P1475" s="213"/>
      <c r="Q1475" s="213"/>
      <c r="R1475" s="213"/>
      <c r="S1475" s="213"/>
      <c r="T1475" s="213"/>
      <c r="U1475" s="213"/>
      <c r="V1475" s="213"/>
      <c r="W1475" s="213"/>
      <c r="X1475" s="213"/>
      <c r="Y1475" s="213"/>
      <c r="Z1475" s="213"/>
      <c r="AA1475" s="213"/>
      <c r="AB1475" s="213"/>
      <c r="AC1475" s="213"/>
      <c r="AD1475" s="213"/>
      <c r="AE1475" s="213"/>
      <c r="AF1475" s="213"/>
      <c r="AG1475" s="213"/>
      <c r="AH1475" s="213"/>
      <c r="AI1475" s="213"/>
      <c r="AJ1475" s="213"/>
      <c r="AK1475" s="213"/>
      <c r="AL1475" s="213"/>
      <c r="AM1475" s="213"/>
      <c r="AN1475" s="213"/>
      <c r="AO1475" s="213"/>
      <c r="AP1475" s="213"/>
      <c r="AQ1475" s="213"/>
      <c r="AR1475" s="213"/>
      <c r="AS1475" s="213"/>
      <c r="AT1475" s="213"/>
      <c r="AU1475" s="213"/>
      <c r="AV1475" s="213"/>
      <c r="AW1475" s="213"/>
      <c r="AX1475" s="213"/>
      <c r="AY1475" s="213"/>
      <c r="AZ1475" s="213"/>
      <c r="BA1475" s="213"/>
      <c r="BB1475" s="213"/>
      <c r="BC1475" s="213"/>
      <c r="BD1475" s="213"/>
    </row>
    <row r="1476">
      <c r="A1476" s="213">
        <f>IFERROR(__xludf.DUMMYFUNCTION("""COMPUTED_VALUE"""),393.0)</f>
        <v>393</v>
      </c>
      <c r="B1476" s="213" t="str">
        <f>IFERROR(__xludf.DUMMYFUNCTION("""COMPUTED_VALUE"""),"2026 SIMON BOLIVAR")</f>
        <v>2026 SIMON BOLIVAR</v>
      </c>
      <c r="C1476" s="213" t="str">
        <f>IFERROR(__xludf.DUMMYFUNCTION("""COMPUTED_VALUE"""),"TALLER SFT DE ELECTRICIDAD")</f>
        <v>TALLER SFT DE ELECTRICIDAD</v>
      </c>
      <c r="D1476" s="213" t="str">
        <f>IFERROR(__xludf.DUMMYFUNCTION("""COMPUTED_VALUE"""),"PEDAGOGICO")</f>
        <v>PEDAGOGICO</v>
      </c>
      <c r="E1476" s="213" t="str">
        <f>IFERROR(__xludf.DUMMYFUNCTION("""COMPUTED_VALUE"""),"MAT-337")</f>
        <v>MAT-337</v>
      </c>
      <c r="F1476" s="213" t="str">
        <f>IFERROR(__xludf.DUMMYFUNCTION("""COMPUTED_VALUE"""),"KEFF-42")</f>
        <v>KEFF-42</v>
      </c>
      <c r="G1476" s="213"/>
      <c r="H1476" s="213" t="str">
        <f>IFERROR(__xludf.DUMMYFUNCTION("""COMPUTED_VALUE"""),"MANUAL DEL KIT PLATAFORMA ELECTRÓNICA DE CÓDIGO ABIERTO")</f>
        <v>MANUAL DEL KIT PLATAFORMA ELECTRÓNICA DE CÓDIGO ABIERTO</v>
      </c>
      <c r="I1476" s="213"/>
      <c r="J1476" s="213">
        <f>IFERROR(__xludf.DUMMYFUNCTION("""COMPUTED_VALUE"""),3.0)</f>
        <v>3</v>
      </c>
      <c r="K1476" s="213" t="str">
        <f>IFERROR(__xludf.DUMMYFUNCTION("""COMPUTED_VALUE"""),"170 DÍAS CALENDARIO")</f>
        <v>170 DÍAS CALENDARIO</v>
      </c>
      <c r="L1476" s="213" t="str">
        <f>IFERROR(__xludf.DUMMYFUNCTION("""COMPUTED_VALUE"""),"")</f>
        <v/>
      </c>
      <c r="M1476" s="213">
        <f>IFERROR(__xludf.DUMMYFUNCTION("""COMPUTED_VALUE"""),1.0)</f>
        <v>1</v>
      </c>
      <c r="N1476" s="213">
        <f>IFERROR(__xludf.DUMMYFUNCTION("""COMPUTED_VALUE"""),4.0)</f>
        <v>4</v>
      </c>
      <c r="O1476" s="213">
        <f>IFERROR(__xludf.DUMMYFUNCTION("""COMPUTED_VALUE"""),4.0)</f>
        <v>4</v>
      </c>
      <c r="P1476" s="213"/>
      <c r="Q1476" s="213"/>
      <c r="R1476" s="213"/>
      <c r="S1476" s="213"/>
      <c r="T1476" s="213"/>
      <c r="U1476" s="213"/>
      <c r="V1476" s="213"/>
      <c r="W1476" s="213"/>
      <c r="X1476" s="213"/>
      <c r="Y1476" s="213"/>
      <c r="Z1476" s="213"/>
      <c r="AA1476" s="213"/>
      <c r="AB1476" s="213"/>
      <c r="AC1476" s="213"/>
      <c r="AD1476" s="213"/>
      <c r="AE1476" s="213"/>
      <c r="AF1476" s="213"/>
      <c r="AG1476" s="213"/>
      <c r="AH1476" s="213"/>
      <c r="AI1476" s="213"/>
      <c r="AJ1476" s="213"/>
      <c r="AK1476" s="213"/>
      <c r="AL1476" s="213"/>
      <c r="AM1476" s="213"/>
      <c r="AN1476" s="213"/>
      <c r="AO1476" s="213"/>
      <c r="AP1476" s="213"/>
      <c r="AQ1476" s="213"/>
      <c r="AR1476" s="213"/>
      <c r="AS1476" s="213"/>
      <c r="AT1476" s="213"/>
      <c r="AU1476" s="213"/>
      <c r="AV1476" s="213"/>
      <c r="AW1476" s="213"/>
      <c r="AX1476" s="213"/>
      <c r="AY1476" s="213"/>
      <c r="AZ1476" s="213"/>
      <c r="BA1476" s="213"/>
      <c r="BB1476" s="213"/>
      <c r="BC1476" s="213"/>
      <c r="BD1476" s="213"/>
    </row>
    <row r="1477">
      <c r="A1477" s="213">
        <f>IFERROR(__xludf.DUMMYFUNCTION("""COMPUTED_VALUE"""),879.0)</f>
        <v>879</v>
      </c>
      <c r="B1477" s="213" t="str">
        <f>IFERROR(__xludf.DUMMYFUNCTION("""COMPUTED_VALUE"""),"6049 RICARDO PALMA")</f>
        <v>6049 RICARDO PALMA</v>
      </c>
      <c r="C1477" s="213" t="str">
        <f>IFERROR(__xludf.DUMMYFUNCTION("""COMPUTED_VALUE"""),"TALLER SFT DE ELECTRICIDAD")</f>
        <v>TALLER SFT DE ELECTRICIDAD</v>
      </c>
      <c r="D1477" s="213" t="str">
        <f>IFERROR(__xludf.DUMMYFUNCTION("""COMPUTED_VALUE"""),"PEDAGOGICO")</f>
        <v>PEDAGOGICO</v>
      </c>
      <c r="E1477" s="213" t="str">
        <f>IFERROR(__xludf.DUMMYFUNCTION("""COMPUTED_VALUE"""),"MAT-337")</f>
        <v>MAT-337</v>
      </c>
      <c r="F1477" s="213" t="str">
        <f>IFERROR(__xludf.DUMMYFUNCTION("""COMPUTED_VALUE"""),"KEFF-42")</f>
        <v>KEFF-42</v>
      </c>
      <c r="G1477" s="213"/>
      <c r="H1477" s="213" t="str">
        <f>IFERROR(__xludf.DUMMYFUNCTION("""COMPUTED_VALUE"""),"MANUAL DEL KIT PLATAFORMA ELECTRÓNICA DE CÓDIGO ABIERTO")</f>
        <v>MANUAL DEL KIT PLATAFORMA ELECTRÓNICA DE CÓDIGO ABIERTO</v>
      </c>
      <c r="I1477" s="213"/>
      <c r="J1477" s="213">
        <f>IFERROR(__xludf.DUMMYFUNCTION("""COMPUTED_VALUE"""),3.0)</f>
        <v>3</v>
      </c>
      <c r="K1477" s="213" t="str">
        <f>IFERROR(__xludf.DUMMYFUNCTION("""COMPUTED_VALUE"""),"170 DÍAS CALENDARIO")</f>
        <v>170 DÍAS CALENDARIO</v>
      </c>
      <c r="L1477" s="213" t="str">
        <f>IFERROR(__xludf.DUMMYFUNCTION("""COMPUTED_VALUE"""),"")</f>
        <v/>
      </c>
      <c r="M1477" s="213">
        <f>IFERROR(__xludf.DUMMYFUNCTION("""COMPUTED_VALUE"""),1.0)</f>
        <v>1</v>
      </c>
      <c r="N1477" s="213">
        <f>IFERROR(__xludf.DUMMYFUNCTION("""COMPUTED_VALUE"""),4.0)</f>
        <v>4</v>
      </c>
      <c r="O1477" s="213">
        <f>IFERROR(__xludf.DUMMYFUNCTION("""COMPUTED_VALUE"""),4.0)</f>
        <v>4</v>
      </c>
      <c r="P1477" s="213"/>
      <c r="Q1477" s="213"/>
      <c r="R1477" s="213"/>
      <c r="S1477" s="213"/>
      <c r="T1477" s="213"/>
      <c r="U1477" s="213"/>
      <c r="V1477" s="213"/>
      <c r="W1477" s="213"/>
      <c r="X1477" s="213"/>
      <c r="Y1477" s="213"/>
      <c r="Z1477" s="213"/>
      <c r="AA1477" s="213"/>
      <c r="AB1477" s="213"/>
      <c r="AC1477" s="213"/>
      <c r="AD1477" s="213"/>
      <c r="AE1477" s="213"/>
      <c r="AF1477" s="213"/>
      <c r="AG1477" s="213"/>
      <c r="AH1477" s="213"/>
      <c r="AI1477" s="213"/>
      <c r="AJ1477" s="213"/>
      <c r="AK1477" s="213"/>
      <c r="AL1477" s="213"/>
      <c r="AM1477" s="213"/>
      <c r="AN1477" s="213"/>
      <c r="AO1477" s="213"/>
      <c r="AP1477" s="213"/>
      <c r="AQ1477" s="213"/>
      <c r="AR1477" s="213"/>
      <c r="AS1477" s="213"/>
      <c r="AT1477" s="213"/>
      <c r="AU1477" s="213"/>
      <c r="AV1477" s="213"/>
      <c r="AW1477" s="213"/>
      <c r="AX1477" s="213"/>
      <c r="AY1477" s="213"/>
      <c r="AZ1477" s="213"/>
      <c r="BA1477" s="213"/>
      <c r="BB1477" s="213"/>
      <c r="BC1477" s="213"/>
      <c r="BD1477" s="213"/>
    </row>
    <row r="1478">
      <c r="A1478" s="213">
        <f>IFERROR(__xludf.DUMMYFUNCTION("""COMPUTED_VALUE"""),1301.0)</f>
        <v>1301</v>
      </c>
      <c r="B1478" s="213" t="str">
        <f>IFERROR(__xludf.DUMMYFUNCTION("""COMPUTED_VALUE"""),"GUILLERMO E. BILLINGHURST ")</f>
        <v>GUILLERMO E. BILLINGHURST </v>
      </c>
      <c r="C1478" s="213" t="str">
        <f>IFERROR(__xludf.DUMMYFUNCTION("""COMPUTED_VALUE"""),"TALLER SFT DE ELECTRICIDAD")</f>
        <v>TALLER SFT DE ELECTRICIDAD</v>
      </c>
      <c r="D1478" s="213" t="str">
        <f>IFERROR(__xludf.DUMMYFUNCTION("""COMPUTED_VALUE"""),"PEDAGOGICO")</f>
        <v>PEDAGOGICO</v>
      </c>
      <c r="E1478" s="213" t="str">
        <f>IFERROR(__xludf.DUMMYFUNCTION("""COMPUTED_VALUE"""),"MAT-337")</f>
        <v>MAT-337</v>
      </c>
      <c r="F1478" s="213" t="str">
        <f>IFERROR(__xludf.DUMMYFUNCTION("""COMPUTED_VALUE"""),"KEFF-42")</f>
        <v>KEFF-42</v>
      </c>
      <c r="G1478" s="213"/>
      <c r="H1478" s="213" t="str">
        <f>IFERROR(__xludf.DUMMYFUNCTION("""COMPUTED_VALUE"""),"MANUAL DEL KIT PLATAFORMA ELECTRÓNICA DE CÓDIGO ABIERTO")</f>
        <v>MANUAL DEL KIT PLATAFORMA ELECTRÓNICA DE CÓDIGO ABIERTO</v>
      </c>
      <c r="I1478" s="213"/>
      <c r="J1478" s="213">
        <f>IFERROR(__xludf.DUMMYFUNCTION("""COMPUTED_VALUE"""),3.0)</f>
        <v>3</v>
      </c>
      <c r="K1478" s="213" t="str">
        <f>IFERROR(__xludf.DUMMYFUNCTION("""COMPUTED_VALUE"""),"170 DÍAS CALENDARIO")</f>
        <v>170 DÍAS CALENDARIO</v>
      </c>
      <c r="L1478" s="213" t="str">
        <f>IFERROR(__xludf.DUMMYFUNCTION("""COMPUTED_VALUE"""),"")</f>
        <v/>
      </c>
      <c r="M1478" s="213">
        <f>IFERROR(__xludf.DUMMYFUNCTION("""COMPUTED_VALUE"""),1.0)</f>
        <v>1</v>
      </c>
      <c r="N1478" s="213">
        <f>IFERROR(__xludf.DUMMYFUNCTION("""COMPUTED_VALUE"""),4.0)</f>
        <v>4</v>
      </c>
      <c r="O1478" s="213">
        <f>IFERROR(__xludf.DUMMYFUNCTION("""COMPUTED_VALUE"""),4.0)</f>
        <v>4</v>
      </c>
      <c r="P1478" s="213"/>
      <c r="Q1478" s="213"/>
      <c r="R1478" s="213"/>
      <c r="S1478" s="213"/>
      <c r="T1478" s="213"/>
      <c r="U1478" s="213"/>
      <c r="V1478" s="213"/>
      <c r="W1478" s="213"/>
      <c r="X1478" s="213"/>
      <c r="Y1478" s="213"/>
      <c r="Z1478" s="213"/>
      <c r="AA1478" s="213"/>
      <c r="AB1478" s="213"/>
      <c r="AC1478" s="213"/>
      <c r="AD1478" s="213"/>
      <c r="AE1478" s="213"/>
      <c r="AF1478" s="213"/>
      <c r="AG1478" s="213"/>
      <c r="AH1478" s="213"/>
      <c r="AI1478" s="213"/>
      <c r="AJ1478" s="213"/>
      <c r="AK1478" s="213"/>
      <c r="AL1478" s="213"/>
      <c r="AM1478" s="213"/>
      <c r="AN1478" s="213"/>
      <c r="AO1478" s="213"/>
      <c r="AP1478" s="213"/>
      <c r="AQ1478" s="213"/>
      <c r="AR1478" s="213"/>
      <c r="AS1478" s="213"/>
      <c r="AT1478" s="213"/>
      <c r="AU1478" s="213"/>
      <c r="AV1478" s="213"/>
      <c r="AW1478" s="213"/>
      <c r="AX1478" s="213"/>
      <c r="AY1478" s="213"/>
      <c r="AZ1478" s="213"/>
      <c r="BA1478" s="213"/>
      <c r="BB1478" s="213"/>
      <c r="BC1478" s="213"/>
      <c r="BD1478" s="213"/>
    </row>
    <row r="1479">
      <c r="A1479" s="213">
        <f>IFERROR(__xludf.DUMMYFUNCTION("""COMPUTED_VALUE"""),1025.0)</f>
        <v>1025</v>
      </c>
      <c r="B1479" s="213" t="str">
        <f>IFERROR(__xludf.DUMMYFUNCTION("""COMPUTED_VALUE"""),"FRANCISCO IRAZOLA")</f>
        <v>FRANCISCO IRAZOLA</v>
      </c>
      <c r="C1479" s="213" t="str">
        <f>IFERROR(__xludf.DUMMYFUNCTION("""COMPUTED_VALUE"""),"TALLER SFT DE MECÁNICA AUTOMOTRIZ")</f>
        <v>TALLER SFT DE MECÁNICA AUTOMOTRIZ</v>
      </c>
      <c r="D1479" s="213" t="str">
        <f>IFERROR(__xludf.DUMMYFUNCTION("""COMPUTED_VALUE"""),"PEDAGOGICO")</f>
        <v>PEDAGOGICO</v>
      </c>
      <c r="E1479" s="213" t="str">
        <f>IFERROR(__xludf.DUMMYFUNCTION("""COMPUTED_VALUE"""),"MAT-346")</f>
        <v>MAT-346</v>
      </c>
      <c r="F1479" s="213" t="str">
        <f>IFERROR(__xludf.DUMMYFUNCTION("""COMPUTED_VALUE"""),"KEFF-88")</f>
        <v>KEFF-88</v>
      </c>
      <c r="G1479" s="213"/>
      <c r="H1479" s="213" t="str">
        <f>IFERROR(__xludf.DUMMYFUNCTION("""COMPUTED_VALUE"""),"MANUAL PEDAGÓGICO PARA DESARROLLAR HABILIDADES PARA REALIZAR MANTENIMIENTO DE SISTEMA DE TRANSMISIÓN UTILIZANDO EL EQUIPO")</f>
        <v>MANUAL PEDAGÓGICO PARA DESARROLLAR HABILIDADES PARA REALIZAR MANTENIMIENTO DE SISTEMA DE TRANSMISIÓN UTILIZANDO EL EQUIPO</v>
      </c>
      <c r="I147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del sistema de transmisión de potencia
- Orientaciones pedagógicas desarrollar habilidades técnicas para el mantenimiento del sistema transmisión de potencia
-  Desarrollo de proyectos de emprendimiento utilizando el equipamiento"&amp;" para realizar mantenimiento del sistema de transmisión de potencia")</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del sistema de transmisión de potencia
- Orientaciones pedagógicas desarrollar habilidades técnicas para el mantenimiento del sistema transmisión de potencia
-  Desarrollo de proyectos de emprendimiento utilizando el equipamiento para realizar mantenimiento del sistema de transmisión de potencia</v>
      </c>
      <c r="J1479" s="213">
        <f>IFERROR(__xludf.DUMMYFUNCTION("""COMPUTED_VALUE"""),3.0)</f>
        <v>3</v>
      </c>
      <c r="K1479" s="213" t="str">
        <f>IFERROR(__xludf.DUMMYFUNCTION("""COMPUTED_VALUE"""),"170 DÍAS CALENDARIO")</f>
        <v>170 DÍAS CALENDARIO</v>
      </c>
      <c r="L1479" s="213" t="str">
        <f>IFERROR(__xludf.DUMMYFUNCTION("""COMPUTED_VALUE"""),"")</f>
        <v/>
      </c>
      <c r="M1479" s="213">
        <f>IFERROR(__xludf.DUMMYFUNCTION("""COMPUTED_VALUE"""),1.0)</f>
        <v>1</v>
      </c>
      <c r="N1479" s="213">
        <f>IFERROR(__xludf.DUMMYFUNCTION("""COMPUTED_VALUE"""),2.0)</f>
        <v>2</v>
      </c>
      <c r="O1479" s="213">
        <f>IFERROR(__xludf.DUMMYFUNCTION("""COMPUTED_VALUE"""),2.0)</f>
        <v>2</v>
      </c>
      <c r="P1479" s="213"/>
      <c r="Q1479" s="213"/>
      <c r="R1479" s="213"/>
      <c r="S1479" s="213"/>
      <c r="T1479" s="213"/>
      <c r="U1479" s="213"/>
      <c r="V1479" s="213"/>
      <c r="W1479" s="213"/>
      <c r="X1479" s="213"/>
      <c r="Y1479" s="213"/>
      <c r="Z1479" s="213"/>
      <c r="AA1479" s="213"/>
      <c r="AB1479" s="213"/>
      <c r="AC1479" s="213"/>
      <c r="AD1479" s="213"/>
      <c r="AE1479" s="213"/>
      <c r="AF1479" s="213"/>
      <c r="AG1479" s="213"/>
      <c r="AH1479" s="213"/>
      <c r="AI1479" s="213"/>
      <c r="AJ1479" s="213"/>
      <c r="AK1479" s="213"/>
      <c r="AL1479" s="213"/>
      <c r="AM1479" s="213"/>
      <c r="AN1479" s="213"/>
      <c r="AO1479" s="213"/>
      <c r="AP1479" s="213"/>
      <c r="AQ1479" s="213"/>
      <c r="AR1479" s="213"/>
      <c r="AS1479" s="213"/>
      <c r="AT1479" s="213"/>
      <c r="AU1479" s="213"/>
      <c r="AV1479" s="213"/>
      <c r="AW1479" s="213"/>
      <c r="AX1479" s="213"/>
      <c r="AY1479" s="213"/>
      <c r="AZ1479" s="213"/>
      <c r="BA1479" s="213"/>
      <c r="BB1479" s="213"/>
      <c r="BC1479" s="213"/>
      <c r="BD1479" s="213"/>
    </row>
    <row r="1480">
      <c r="A1480" s="213">
        <f>IFERROR(__xludf.DUMMYFUNCTION("""COMPUTED_VALUE"""),1630.0)</f>
        <v>1630</v>
      </c>
      <c r="B1480" s="213" t="str">
        <f>IFERROR(__xludf.DUMMYFUNCTION("""COMPUTED_VALUE"""),"GUILLERMO E. BILLINGHURST ")</f>
        <v>GUILLERMO E. BILLINGHURST </v>
      </c>
      <c r="C1480" s="213" t="str">
        <f>IFERROR(__xludf.DUMMYFUNCTION("""COMPUTED_VALUE"""),"TALLER SFT DE MECÁNICA AUTOMOTRIZ")</f>
        <v>TALLER SFT DE MECÁNICA AUTOMOTRIZ</v>
      </c>
      <c r="D1480" s="213" t="str">
        <f>IFERROR(__xludf.DUMMYFUNCTION("""COMPUTED_VALUE"""),"PEDAGOGICO")</f>
        <v>PEDAGOGICO</v>
      </c>
      <c r="E1480" s="213" t="str">
        <f>IFERROR(__xludf.DUMMYFUNCTION("""COMPUTED_VALUE"""),"MAT-346")</f>
        <v>MAT-346</v>
      </c>
      <c r="F1480" s="213" t="str">
        <f>IFERROR(__xludf.DUMMYFUNCTION("""COMPUTED_VALUE"""),"KEFF-88")</f>
        <v>KEFF-88</v>
      </c>
      <c r="G1480" s="213"/>
      <c r="H1480" s="213" t="str">
        <f>IFERROR(__xludf.DUMMYFUNCTION("""COMPUTED_VALUE"""),"MANUAL PEDAGÓGICO PARA DESARROLLAR HABILIDADES PARA REALIZAR MANTENIMIENTO DE SISTEMA DE TRANSMISIÓN UTILIZANDO EL EQUIPO")</f>
        <v>MANUAL PEDAGÓGICO PARA DESARROLLAR HABILIDADES PARA REALIZAR MANTENIMIENTO DE SISTEMA DE TRANSMISIÓN UTILIZANDO EL EQUIPO</v>
      </c>
      <c r="I148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del sistema de transmisión de potencia
- Orientaciones pedagógicas desarrollar habilidades técnicas para el mantenimiento del sistema transmisión de potencia
-  Desarrollo de proyectos de emprendimiento utilizando el equipamiento"&amp;" para realizar mantenimiento del sistema de transmisión de potencia")</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del sistema de transmisión de potencia
- Orientaciones pedagógicas desarrollar habilidades técnicas para el mantenimiento del sistema transmisión de potencia
-  Desarrollo de proyectos de emprendimiento utilizando el equipamiento para realizar mantenimiento del sistema de transmisión de potencia</v>
      </c>
      <c r="J1480" s="213">
        <f>IFERROR(__xludf.DUMMYFUNCTION("""COMPUTED_VALUE"""),3.0)</f>
        <v>3</v>
      </c>
      <c r="K1480" s="213" t="str">
        <f>IFERROR(__xludf.DUMMYFUNCTION("""COMPUTED_VALUE"""),"170 DÍAS CALENDARIO")</f>
        <v>170 DÍAS CALENDARIO</v>
      </c>
      <c r="L1480" s="213" t="str">
        <f>IFERROR(__xludf.DUMMYFUNCTION("""COMPUTED_VALUE"""),"")</f>
        <v/>
      </c>
      <c r="M1480" s="213">
        <f>IFERROR(__xludf.DUMMYFUNCTION("""COMPUTED_VALUE"""),1.0)</f>
        <v>1</v>
      </c>
      <c r="N1480" s="213">
        <f>IFERROR(__xludf.DUMMYFUNCTION("""COMPUTED_VALUE"""),2.0)</f>
        <v>2</v>
      </c>
      <c r="O1480" s="213">
        <f>IFERROR(__xludf.DUMMYFUNCTION("""COMPUTED_VALUE"""),2.0)</f>
        <v>2</v>
      </c>
      <c r="P1480" s="213"/>
      <c r="Q1480" s="213"/>
      <c r="R1480" s="213"/>
      <c r="S1480" s="213"/>
      <c r="T1480" s="213"/>
      <c r="U1480" s="213"/>
      <c r="V1480" s="213"/>
      <c r="W1480" s="213"/>
      <c r="X1480" s="213"/>
      <c r="Y1480" s="213"/>
      <c r="Z1480" s="213"/>
      <c r="AA1480" s="213"/>
      <c r="AB1480" s="213"/>
      <c r="AC1480" s="213"/>
      <c r="AD1480" s="213"/>
      <c r="AE1480" s="213"/>
      <c r="AF1480" s="213"/>
      <c r="AG1480" s="213"/>
      <c r="AH1480" s="213"/>
      <c r="AI1480" s="213"/>
      <c r="AJ1480" s="213"/>
      <c r="AK1480" s="213"/>
      <c r="AL1480" s="213"/>
      <c r="AM1480" s="213"/>
      <c r="AN1480" s="213"/>
      <c r="AO1480" s="213"/>
      <c r="AP1480" s="213"/>
      <c r="AQ1480" s="213"/>
      <c r="AR1480" s="213"/>
      <c r="AS1480" s="213"/>
      <c r="AT1480" s="213"/>
      <c r="AU1480" s="213"/>
      <c r="AV1480" s="213"/>
      <c r="AW1480" s="213"/>
      <c r="AX1480" s="213"/>
      <c r="AY1480" s="213"/>
      <c r="AZ1480" s="213"/>
      <c r="BA1480" s="213"/>
      <c r="BB1480" s="213"/>
      <c r="BC1480" s="213"/>
      <c r="BD1480" s="213"/>
    </row>
    <row r="1481">
      <c r="A1481" s="213">
        <f>IFERROR(__xludf.DUMMYFUNCTION("""COMPUTED_VALUE"""),2321.0)</f>
        <v>2321</v>
      </c>
      <c r="B1481" s="213" t="str">
        <f>IFERROR(__xludf.DUMMYFUNCTION("""COMPUTED_VALUE"""),"JOSE GRANDA")</f>
        <v>JOSE GRANDA</v>
      </c>
      <c r="C1481" s="213" t="str">
        <f>IFERROR(__xludf.DUMMYFUNCTION("""COMPUTED_VALUE"""),"TALLER SFT DE MECÁNICA AUTOMOTRIZ")</f>
        <v>TALLER SFT DE MECÁNICA AUTOMOTRIZ</v>
      </c>
      <c r="D1481" s="213" t="str">
        <f>IFERROR(__xludf.DUMMYFUNCTION("""COMPUTED_VALUE"""),"PEDAGOGICO")</f>
        <v>PEDAGOGICO</v>
      </c>
      <c r="E1481" s="213" t="str">
        <f>IFERROR(__xludf.DUMMYFUNCTION("""COMPUTED_VALUE"""),"MAT-346")</f>
        <v>MAT-346</v>
      </c>
      <c r="F1481" s="213" t="str">
        <f>IFERROR(__xludf.DUMMYFUNCTION("""COMPUTED_VALUE"""),"KEFF-88")</f>
        <v>KEFF-88</v>
      </c>
      <c r="G1481" s="213"/>
      <c r="H1481" s="213" t="str">
        <f>IFERROR(__xludf.DUMMYFUNCTION("""COMPUTED_VALUE"""),"MANUAL PEDAGÓGICO PARA DESARROLLAR HABILIDADES PARA REALIZAR MANTENIMIENTO DE SISTEMA DE TRANSMISIÓN UTILIZANDO EL EQUIPO")</f>
        <v>MANUAL PEDAGÓGICO PARA DESARROLLAR HABILIDADES PARA REALIZAR MANTENIMIENTO DE SISTEMA DE TRANSMISIÓN UTILIZANDO EL EQUIPO</v>
      </c>
      <c r="I148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del sistema de transmisión de potencia
- Orientaciones pedagógicas desarrollar habilidades técnicas para el mantenimiento del sistema transmisión de potencia
-  Desarrollo de proyectos de emprendimiento utilizando el equipamiento"&amp;" para realizar mantenimiento del sistema de transmisión de potencia")</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del sistema de transmisión de potencia
- Orientaciones pedagógicas desarrollar habilidades técnicas para el mantenimiento del sistema transmisión de potencia
-  Desarrollo de proyectos de emprendimiento utilizando el equipamiento para realizar mantenimiento del sistema de transmisión de potencia</v>
      </c>
      <c r="J1481" s="213">
        <f>IFERROR(__xludf.DUMMYFUNCTION("""COMPUTED_VALUE"""),3.0)</f>
        <v>3</v>
      </c>
      <c r="K1481" s="213" t="str">
        <f>IFERROR(__xludf.DUMMYFUNCTION("""COMPUTED_VALUE"""),"170 DÍAS CALENDARIO")</f>
        <v>170 DÍAS CALENDARIO</v>
      </c>
      <c r="L1481" s="213" t="str">
        <f>IFERROR(__xludf.DUMMYFUNCTION("""COMPUTED_VALUE"""),"")</f>
        <v/>
      </c>
      <c r="M1481" s="213">
        <f>IFERROR(__xludf.DUMMYFUNCTION("""COMPUTED_VALUE"""),1.0)</f>
        <v>1</v>
      </c>
      <c r="N1481" s="213">
        <f>IFERROR(__xludf.DUMMYFUNCTION("""COMPUTED_VALUE"""),2.0)</f>
        <v>2</v>
      </c>
      <c r="O1481" s="213">
        <f>IFERROR(__xludf.DUMMYFUNCTION("""COMPUTED_VALUE"""),2.0)</f>
        <v>2</v>
      </c>
      <c r="P1481" s="213"/>
      <c r="Q1481" s="213"/>
      <c r="R1481" s="213"/>
      <c r="S1481" s="213"/>
      <c r="T1481" s="213"/>
      <c r="U1481" s="213"/>
      <c r="V1481" s="213"/>
      <c r="W1481" s="213"/>
      <c r="X1481" s="213"/>
      <c r="Y1481" s="213"/>
      <c r="Z1481" s="213"/>
      <c r="AA1481" s="213"/>
      <c r="AB1481" s="213"/>
      <c r="AC1481" s="213"/>
      <c r="AD1481" s="213"/>
      <c r="AE1481" s="213"/>
      <c r="AF1481" s="213"/>
      <c r="AG1481" s="213"/>
      <c r="AH1481" s="213"/>
      <c r="AI1481" s="213"/>
      <c r="AJ1481" s="213"/>
      <c r="AK1481" s="213"/>
      <c r="AL1481" s="213"/>
      <c r="AM1481" s="213"/>
      <c r="AN1481" s="213"/>
      <c r="AO1481" s="213"/>
      <c r="AP1481" s="213"/>
      <c r="AQ1481" s="213"/>
      <c r="AR1481" s="213"/>
      <c r="AS1481" s="213"/>
      <c r="AT1481" s="213"/>
      <c r="AU1481" s="213"/>
      <c r="AV1481" s="213"/>
      <c r="AW1481" s="213"/>
      <c r="AX1481" s="213"/>
      <c r="AY1481" s="213"/>
      <c r="AZ1481" s="213"/>
      <c r="BA1481" s="213"/>
      <c r="BB1481" s="213"/>
      <c r="BC1481" s="213"/>
      <c r="BD1481" s="213"/>
    </row>
    <row r="1482">
      <c r="A1482" s="213">
        <f>IFERROR(__xludf.DUMMYFUNCTION("""COMPUTED_VALUE"""),1030.0)</f>
        <v>1030</v>
      </c>
      <c r="B1482" s="213" t="str">
        <f>IFERROR(__xludf.DUMMYFUNCTION("""COMPUTED_VALUE"""),"FRANCISCO IRAZOLA")</f>
        <v>FRANCISCO IRAZOLA</v>
      </c>
      <c r="C1482" s="213" t="str">
        <f>IFERROR(__xludf.DUMMYFUNCTION("""COMPUTED_VALUE"""),"TALLER SFT DE MECÁNICA AUTOMOTRIZ")</f>
        <v>TALLER SFT DE MECÁNICA AUTOMOTRIZ</v>
      </c>
      <c r="D1482" s="213" t="str">
        <f>IFERROR(__xludf.DUMMYFUNCTION("""COMPUTED_VALUE"""),"PEDAGOGICO")</f>
        <v>PEDAGOGICO</v>
      </c>
      <c r="E1482" s="213" t="str">
        <f>IFERROR(__xludf.DUMMYFUNCTION("""COMPUTED_VALUE"""),"MAT-347")</f>
        <v>MAT-347</v>
      </c>
      <c r="F1482" s="213" t="str">
        <f>IFERROR(__xludf.DUMMYFUNCTION("""COMPUTED_VALUE"""),"KEFF-91")</f>
        <v>KEFF-91</v>
      </c>
      <c r="G1482" s="213"/>
      <c r="H1482" s="213" t="str">
        <f>IFERROR(__xludf.DUMMYFUNCTION("""COMPUTED_VALUE"""),"MANUAL PEDAGÓGICO PARA DESARROLLAR HABILIDADES PARA REALIZAR MANTENIMIENTO DE SISTEMA ELÉCTRICO ELECTRÓNICO UTILIZANDO EL EQUIPO")</f>
        <v>MANUAL PEDAGÓGICO PARA DESARROLLAR HABILIDADES PARA REALIZAR MANTENIMIENTO DE SISTEMA ELÉCTRICO ELECTRÓNICO UTILIZANDO EL EQUIPO</v>
      </c>
      <c r="I148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del sistema eléctrico – electrónico.
- Orientaciones pedagógicas desarrollar habilidades técnicas para el mantenimiento del sistema eléctrico – electrónico.
-  Desarrollo de proyectos de emprendimiento utilizando el equipamiento "&amp;"para realizar mantenimiento del sistema eléctrico – electrónico.")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del sistema eléctrico – electrónico.
- Orientaciones pedagógicas desarrollar habilidades técnicas para el mantenimiento del sistema eléctrico – electrónico.
-  Desarrollo de proyectos de emprendimiento utilizando el equipamiento para realizar mantenimiento del sistema eléctrico – electrónico.</v>
      </c>
      <c r="J1482" s="213">
        <f>IFERROR(__xludf.DUMMYFUNCTION("""COMPUTED_VALUE"""),3.0)</f>
        <v>3</v>
      </c>
      <c r="K1482" s="213" t="str">
        <f>IFERROR(__xludf.DUMMYFUNCTION("""COMPUTED_VALUE"""),"170 DÍAS CALENDARIO")</f>
        <v>170 DÍAS CALENDARIO</v>
      </c>
      <c r="L1482" s="213" t="str">
        <f>IFERROR(__xludf.DUMMYFUNCTION("""COMPUTED_VALUE"""),"")</f>
        <v/>
      </c>
      <c r="M1482" s="213">
        <f>IFERROR(__xludf.DUMMYFUNCTION("""COMPUTED_VALUE"""),1.0)</f>
        <v>1</v>
      </c>
      <c r="N1482" s="213">
        <f>IFERROR(__xludf.DUMMYFUNCTION("""COMPUTED_VALUE"""),2.0)</f>
        <v>2</v>
      </c>
      <c r="O1482" s="213">
        <f>IFERROR(__xludf.DUMMYFUNCTION("""COMPUTED_VALUE"""),2.0)</f>
        <v>2</v>
      </c>
      <c r="P1482" s="213"/>
      <c r="Q1482" s="213"/>
      <c r="R1482" s="213"/>
      <c r="S1482" s="213"/>
      <c r="T1482" s="213"/>
      <c r="U1482" s="213"/>
      <c r="V1482" s="213"/>
      <c r="W1482" s="213"/>
      <c r="X1482" s="213"/>
      <c r="Y1482" s="213"/>
      <c r="Z1482" s="213"/>
      <c r="AA1482" s="213"/>
      <c r="AB1482" s="213"/>
      <c r="AC1482" s="213"/>
      <c r="AD1482" s="213"/>
      <c r="AE1482" s="213"/>
      <c r="AF1482" s="213"/>
      <c r="AG1482" s="213"/>
      <c r="AH1482" s="213"/>
      <c r="AI1482" s="213"/>
      <c r="AJ1482" s="213"/>
      <c r="AK1482" s="213"/>
      <c r="AL1482" s="213"/>
      <c r="AM1482" s="213"/>
      <c r="AN1482" s="213"/>
      <c r="AO1482" s="213"/>
      <c r="AP1482" s="213"/>
      <c r="AQ1482" s="213"/>
      <c r="AR1482" s="213"/>
      <c r="AS1482" s="213"/>
      <c r="AT1482" s="213"/>
      <c r="AU1482" s="213"/>
      <c r="AV1482" s="213"/>
      <c r="AW1482" s="213"/>
      <c r="AX1482" s="213"/>
      <c r="AY1482" s="213"/>
      <c r="AZ1482" s="213"/>
      <c r="BA1482" s="213"/>
      <c r="BB1482" s="213"/>
      <c r="BC1482" s="213"/>
      <c r="BD1482" s="213"/>
    </row>
    <row r="1483">
      <c r="A1483" s="213">
        <f>IFERROR(__xludf.DUMMYFUNCTION("""COMPUTED_VALUE"""),1635.0)</f>
        <v>1635</v>
      </c>
      <c r="B1483" s="213" t="str">
        <f>IFERROR(__xludf.DUMMYFUNCTION("""COMPUTED_VALUE"""),"GUILLERMO E. BILLINGHURST ")</f>
        <v>GUILLERMO E. BILLINGHURST </v>
      </c>
      <c r="C1483" s="213" t="str">
        <f>IFERROR(__xludf.DUMMYFUNCTION("""COMPUTED_VALUE"""),"TALLER SFT DE MECÁNICA AUTOMOTRIZ")</f>
        <v>TALLER SFT DE MECÁNICA AUTOMOTRIZ</v>
      </c>
      <c r="D1483" s="213" t="str">
        <f>IFERROR(__xludf.DUMMYFUNCTION("""COMPUTED_VALUE"""),"PEDAGOGICO")</f>
        <v>PEDAGOGICO</v>
      </c>
      <c r="E1483" s="213" t="str">
        <f>IFERROR(__xludf.DUMMYFUNCTION("""COMPUTED_VALUE"""),"MAT-347")</f>
        <v>MAT-347</v>
      </c>
      <c r="F1483" s="213" t="str">
        <f>IFERROR(__xludf.DUMMYFUNCTION("""COMPUTED_VALUE"""),"KEFF-91")</f>
        <v>KEFF-91</v>
      </c>
      <c r="G1483" s="213"/>
      <c r="H1483" s="213" t="str">
        <f>IFERROR(__xludf.DUMMYFUNCTION("""COMPUTED_VALUE"""),"MANUAL PEDAGÓGICO PARA DESARROLLAR HABILIDADES PARA REALIZAR MANTENIMIENTO DE SISTEMA ELÉCTRICO ELECTRÓNICO UTILIZANDO EL EQUIPO")</f>
        <v>MANUAL PEDAGÓGICO PARA DESARROLLAR HABILIDADES PARA REALIZAR MANTENIMIENTO DE SISTEMA ELÉCTRICO ELECTRÓNICO UTILIZANDO EL EQUIPO</v>
      </c>
      <c r="I148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del sistema eléctrico – electrónico.
- Orientaciones pedagógicas desarrollar habilidades técnicas para el mantenimiento del sistema eléctrico – electrónico.
-  Desarrollo de proyectos de emprendimiento utilizando el equipamiento "&amp;"para realizar mantenimiento del sistema eléctrico – electrónico.")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del sistema eléctrico – electrónico.
- Orientaciones pedagógicas desarrollar habilidades técnicas para el mantenimiento del sistema eléctrico – electrónico.
-  Desarrollo de proyectos de emprendimiento utilizando el equipamiento para realizar mantenimiento del sistema eléctrico – electrónico.</v>
      </c>
      <c r="J1483" s="213">
        <f>IFERROR(__xludf.DUMMYFUNCTION("""COMPUTED_VALUE"""),3.0)</f>
        <v>3</v>
      </c>
      <c r="K1483" s="213" t="str">
        <f>IFERROR(__xludf.DUMMYFUNCTION("""COMPUTED_VALUE"""),"170 DÍAS CALENDARIO")</f>
        <v>170 DÍAS CALENDARIO</v>
      </c>
      <c r="L1483" s="213" t="str">
        <f>IFERROR(__xludf.DUMMYFUNCTION("""COMPUTED_VALUE"""),"")</f>
        <v/>
      </c>
      <c r="M1483" s="213">
        <f>IFERROR(__xludf.DUMMYFUNCTION("""COMPUTED_VALUE"""),1.0)</f>
        <v>1</v>
      </c>
      <c r="N1483" s="213">
        <f>IFERROR(__xludf.DUMMYFUNCTION("""COMPUTED_VALUE"""),2.0)</f>
        <v>2</v>
      </c>
      <c r="O1483" s="213">
        <f>IFERROR(__xludf.DUMMYFUNCTION("""COMPUTED_VALUE"""),2.0)</f>
        <v>2</v>
      </c>
      <c r="P1483" s="213"/>
      <c r="Q1483" s="213"/>
      <c r="R1483" s="213"/>
      <c r="S1483" s="213"/>
      <c r="T1483" s="213"/>
      <c r="U1483" s="213"/>
      <c r="V1483" s="213"/>
      <c r="W1483" s="213"/>
      <c r="X1483" s="213"/>
      <c r="Y1483" s="213"/>
      <c r="Z1483" s="213"/>
      <c r="AA1483" s="213"/>
      <c r="AB1483" s="213"/>
      <c r="AC1483" s="213"/>
      <c r="AD1483" s="213"/>
      <c r="AE1483" s="213"/>
      <c r="AF1483" s="213"/>
      <c r="AG1483" s="213"/>
      <c r="AH1483" s="213"/>
      <c r="AI1483" s="213"/>
      <c r="AJ1483" s="213"/>
      <c r="AK1483" s="213"/>
      <c r="AL1483" s="213"/>
      <c r="AM1483" s="213"/>
      <c r="AN1483" s="213"/>
      <c r="AO1483" s="213"/>
      <c r="AP1483" s="213"/>
      <c r="AQ1483" s="213"/>
      <c r="AR1483" s="213"/>
      <c r="AS1483" s="213"/>
      <c r="AT1483" s="213"/>
      <c r="AU1483" s="213"/>
      <c r="AV1483" s="213"/>
      <c r="AW1483" s="213"/>
      <c r="AX1483" s="213"/>
      <c r="AY1483" s="213"/>
      <c r="AZ1483" s="213"/>
      <c r="BA1483" s="213"/>
      <c r="BB1483" s="213"/>
      <c r="BC1483" s="213"/>
      <c r="BD1483" s="213"/>
    </row>
    <row r="1484">
      <c r="A1484" s="213">
        <f>IFERROR(__xludf.DUMMYFUNCTION("""COMPUTED_VALUE"""),2326.0)</f>
        <v>2326</v>
      </c>
      <c r="B1484" s="213" t="str">
        <f>IFERROR(__xludf.DUMMYFUNCTION("""COMPUTED_VALUE"""),"JOSE GRANDA")</f>
        <v>JOSE GRANDA</v>
      </c>
      <c r="C1484" s="213" t="str">
        <f>IFERROR(__xludf.DUMMYFUNCTION("""COMPUTED_VALUE"""),"TALLER SFT DE MECÁNICA AUTOMOTRIZ")</f>
        <v>TALLER SFT DE MECÁNICA AUTOMOTRIZ</v>
      </c>
      <c r="D1484" s="213" t="str">
        <f>IFERROR(__xludf.DUMMYFUNCTION("""COMPUTED_VALUE"""),"PEDAGOGICO")</f>
        <v>PEDAGOGICO</v>
      </c>
      <c r="E1484" s="213" t="str">
        <f>IFERROR(__xludf.DUMMYFUNCTION("""COMPUTED_VALUE"""),"MAT-347")</f>
        <v>MAT-347</v>
      </c>
      <c r="F1484" s="213" t="str">
        <f>IFERROR(__xludf.DUMMYFUNCTION("""COMPUTED_VALUE"""),"KEFF-91")</f>
        <v>KEFF-91</v>
      </c>
      <c r="G1484" s="213"/>
      <c r="H1484" s="213" t="str">
        <f>IFERROR(__xludf.DUMMYFUNCTION("""COMPUTED_VALUE"""),"MANUAL PEDAGÓGICO PARA DESARROLLAR HABILIDADES PARA REALIZAR MANTENIMIENTO DE SISTEMA ELÉCTRICO ELECTRÓNICO UTILIZANDO EL EQUIPO")</f>
        <v>MANUAL PEDAGÓGICO PARA DESARROLLAR HABILIDADES PARA REALIZAR MANTENIMIENTO DE SISTEMA ELÉCTRICO ELECTRÓNICO UTILIZANDO EL EQUIPO</v>
      </c>
      <c r="I148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del sistema eléctrico – electrónico.
- Orientaciones pedagógicas desarrollar habilidades técnicas para el mantenimiento del sistema eléctrico – electrónico.
-  Desarrollo de proyectos de emprendimiento utilizando el equipamiento "&amp;"para realizar mantenimiento del sistema eléctrico – electrónico.")</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del sistema eléctrico – electrónico.
- Orientaciones pedagógicas desarrollar habilidades técnicas para el mantenimiento del sistema eléctrico – electrónico.
-  Desarrollo de proyectos de emprendimiento utilizando el equipamiento para realizar mantenimiento del sistema eléctrico – electrónico.</v>
      </c>
      <c r="J1484" s="213">
        <f>IFERROR(__xludf.DUMMYFUNCTION("""COMPUTED_VALUE"""),3.0)</f>
        <v>3</v>
      </c>
      <c r="K1484" s="213" t="str">
        <f>IFERROR(__xludf.DUMMYFUNCTION("""COMPUTED_VALUE"""),"170 DÍAS CALENDARIO")</f>
        <v>170 DÍAS CALENDARIO</v>
      </c>
      <c r="L1484" s="213" t="str">
        <f>IFERROR(__xludf.DUMMYFUNCTION("""COMPUTED_VALUE"""),"")</f>
        <v/>
      </c>
      <c r="M1484" s="213">
        <f>IFERROR(__xludf.DUMMYFUNCTION("""COMPUTED_VALUE"""),1.0)</f>
        <v>1</v>
      </c>
      <c r="N1484" s="213">
        <f>IFERROR(__xludf.DUMMYFUNCTION("""COMPUTED_VALUE"""),2.0)</f>
        <v>2</v>
      </c>
      <c r="O1484" s="213">
        <f>IFERROR(__xludf.DUMMYFUNCTION("""COMPUTED_VALUE"""),2.0)</f>
        <v>2</v>
      </c>
      <c r="P1484" s="213"/>
      <c r="Q1484" s="213"/>
      <c r="R1484" s="213"/>
      <c r="S1484" s="213"/>
      <c r="T1484" s="213"/>
      <c r="U1484" s="213"/>
      <c r="V1484" s="213"/>
      <c r="W1484" s="213"/>
      <c r="X1484" s="213"/>
      <c r="Y1484" s="213"/>
      <c r="Z1484" s="213"/>
      <c r="AA1484" s="213"/>
      <c r="AB1484" s="213"/>
      <c r="AC1484" s="213"/>
      <c r="AD1484" s="213"/>
      <c r="AE1484" s="213"/>
      <c r="AF1484" s="213"/>
      <c r="AG1484" s="213"/>
      <c r="AH1484" s="213"/>
      <c r="AI1484" s="213"/>
      <c r="AJ1484" s="213"/>
      <c r="AK1484" s="213"/>
      <c r="AL1484" s="213"/>
      <c r="AM1484" s="213"/>
      <c r="AN1484" s="213"/>
      <c r="AO1484" s="213"/>
      <c r="AP1484" s="213"/>
      <c r="AQ1484" s="213"/>
      <c r="AR1484" s="213"/>
      <c r="AS1484" s="213"/>
      <c r="AT1484" s="213"/>
      <c r="AU1484" s="213"/>
      <c r="AV1484" s="213"/>
      <c r="AW1484" s="213"/>
      <c r="AX1484" s="213"/>
      <c r="AY1484" s="213"/>
      <c r="AZ1484" s="213"/>
      <c r="BA1484" s="213"/>
      <c r="BB1484" s="213"/>
      <c r="BC1484" s="213"/>
      <c r="BD1484" s="213"/>
    </row>
    <row r="1485">
      <c r="A1485" s="213">
        <f>IFERROR(__xludf.DUMMYFUNCTION("""COMPUTED_VALUE"""),2674.0)</f>
        <v>2674</v>
      </c>
      <c r="B1485" s="213" t="str">
        <f>IFERROR(__xludf.DUMMYFUNCTION("""COMPUTED_VALUE"""),"MANUEL ANTONIO MESONES MURO")</f>
        <v>MANUEL ANTONIO MESONES MURO</v>
      </c>
      <c r="C1485" s="213" t="str">
        <f>IFERROR(__xludf.DUMMYFUNCTION("""COMPUTED_VALUE"""),"TALLER SFT DE EBANISTERÍA")</f>
        <v>TALLER SFT DE EBANISTERÍA</v>
      </c>
      <c r="D1485" s="213" t="str">
        <f>IFERROR(__xludf.DUMMYFUNCTION("""COMPUTED_VALUE"""),"PEDAGOGICO")</f>
        <v>PEDAGOGICO</v>
      </c>
      <c r="E1485" s="213" t="str">
        <f>IFERROR(__xludf.DUMMYFUNCTION("""COMPUTED_VALUE"""),"MAT-365")</f>
        <v>MAT-365</v>
      </c>
      <c r="F1485" s="213" t="str">
        <f>IFERROR(__xludf.DUMMYFUNCTION("""COMPUTED_VALUE"""),"KEFF-38")</f>
        <v>KEFF-38</v>
      </c>
      <c r="G1485" s="213"/>
      <c r="H1485" s="213" t="str">
        <f>IFERROR(__xludf.DUMMYFUNCTION("""COMPUTED_VALUE"""),"MANUAL PEDAGÓGICO PARA DESARROLLAR HABILIDADES TECNICA PARA REALIZAR ACABADOS DE SUPERFICIES UTILIZANDO EQUIPOS.")</f>
        <v>MANUAL PEDAGÓGICO PARA DESARROLLAR HABILIDADES TECNICA PARA REALIZAR ACABADOS DE SUPERFICIES UTILIZANDO EQUIPOS.</v>
      </c>
      <c r="I148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Información sobre acabados de superficies.
.        Metodologías y técnicas para desarrollar habilidades tecnica para realizar acabados de superficies utilizando el equipo
.   Procedimientos ejemplificados  para desarrollar habilidades tecn"&amp;"ica para realizar acabados de superficies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acabados de superficies.
.        Metodologías y técnicas para desarrollar habilidades tecnica para realizar acabados de superficies utilizando el equipo
.   Procedimientos ejemplificados  para desarrollar habilidades tecnica para realizar acabados de superficies utilizando los equipos.</v>
      </c>
      <c r="J1485" s="213">
        <f>IFERROR(__xludf.DUMMYFUNCTION("""COMPUTED_VALUE"""),3.0)</f>
        <v>3</v>
      </c>
      <c r="K1485" s="213" t="str">
        <f>IFERROR(__xludf.DUMMYFUNCTION("""COMPUTED_VALUE"""),"170 DÍAS CALENDARIO")</f>
        <v>170 DÍAS CALENDARIO</v>
      </c>
      <c r="L1485" s="213" t="str">
        <f>IFERROR(__xludf.DUMMYFUNCTION("""COMPUTED_VALUE"""),"")</f>
        <v/>
      </c>
      <c r="M1485" s="213">
        <f>IFERROR(__xludf.DUMMYFUNCTION("""COMPUTED_VALUE"""),1.0)</f>
        <v>1</v>
      </c>
      <c r="N1485" s="213">
        <f>IFERROR(__xludf.DUMMYFUNCTION("""COMPUTED_VALUE"""),2.0)</f>
        <v>2</v>
      </c>
      <c r="O1485" s="213">
        <f>IFERROR(__xludf.DUMMYFUNCTION("""COMPUTED_VALUE"""),2.0)</f>
        <v>2</v>
      </c>
      <c r="P1485" s="213"/>
      <c r="Q1485" s="213"/>
      <c r="R1485" s="213"/>
      <c r="S1485" s="213"/>
      <c r="T1485" s="213"/>
      <c r="U1485" s="213"/>
      <c r="V1485" s="213"/>
      <c r="W1485" s="213"/>
      <c r="X1485" s="213"/>
      <c r="Y1485" s="213"/>
      <c r="Z1485" s="213"/>
      <c r="AA1485" s="213"/>
      <c r="AB1485" s="213"/>
      <c r="AC1485" s="213"/>
      <c r="AD1485" s="213"/>
      <c r="AE1485" s="213"/>
      <c r="AF1485" s="213"/>
      <c r="AG1485" s="213"/>
      <c r="AH1485" s="213"/>
      <c r="AI1485" s="213"/>
      <c r="AJ1485" s="213"/>
      <c r="AK1485" s="213"/>
      <c r="AL1485" s="213"/>
      <c r="AM1485" s="213"/>
      <c r="AN1485" s="213"/>
      <c r="AO1485" s="213"/>
      <c r="AP1485" s="213"/>
      <c r="AQ1485" s="213"/>
      <c r="AR1485" s="213"/>
      <c r="AS1485" s="213">
        <f>IFERROR(__xludf.DUMMYFUNCTION("""COMPUTED_VALUE"""),0.0)</f>
        <v>0</v>
      </c>
      <c r="AT1485" s="213"/>
      <c r="AU1485" s="213"/>
      <c r="AV1485" s="213"/>
      <c r="AW1485" s="213"/>
      <c r="AX1485" s="213"/>
      <c r="AY1485" s="213"/>
      <c r="AZ1485" s="213"/>
      <c r="BA1485" s="213"/>
      <c r="BB1485" s="213"/>
      <c r="BC1485" s="213"/>
      <c r="BD1485" s="213"/>
    </row>
    <row r="1486">
      <c r="A1486" s="213">
        <f>IFERROR(__xludf.DUMMYFUNCTION("""COMPUTED_VALUE"""),1893.0)</f>
        <v>1893</v>
      </c>
      <c r="B1486" s="213" t="str">
        <f>IFERROR(__xludf.DUMMYFUNCTION("""COMPUTED_VALUE"""),"GUILLERMO E. BILLINGHURST ")</f>
        <v>GUILLERMO E. BILLINGHURST </v>
      </c>
      <c r="C1486" s="213" t="str">
        <f>IFERROR(__xludf.DUMMYFUNCTION("""COMPUTED_VALUE"""),"TALLER SFT DE EBANISTERÍA")</f>
        <v>TALLER SFT DE EBANISTERÍA</v>
      </c>
      <c r="D1486" s="213" t="str">
        <f>IFERROR(__xludf.DUMMYFUNCTION("""COMPUTED_VALUE"""),"PEDAGOGICO")</f>
        <v>PEDAGOGICO</v>
      </c>
      <c r="E1486" s="213" t="str">
        <f>IFERROR(__xludf.DUMMYFUNCTION("""COMPUTED_VALUE"""),"MAT-365")</f>
        <v>MAT-365</v>
      </c>
      <c r="F1486" s="213" t="str">
        <f>IFERROR(__xludf.DUMMYFUNCTION("""COMPUTED_VALUE"""),"KEFF-38")</f>
        <v>KEFF-38</v>
      </c>
      <c r="G1486" s="213"/>
      <c r="H1486" s="213" t="str">
        <f>IFERROR(__xludf.DUMMYFUNCTION("""COMPUTED_VALUE"""),"MANUAL PEDAGÓGICO PARA DESARROLLAR HABILIDADES TECNICA PARA REALIZAR ACABADOS DE SUPERFICIES UTILIZANDO EQUIPOS.")</f>
        <v>MANUAL PEDAGÓGICO PARA DESARROLLAR HABILIDADES TECNICA PARA REALIZAR ACABADOS DE SUPERFICIES UTILIZANDO EQUIPOS.</v>
      </c>
      <c r="I148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Información sobre acabados de superficies.
.        Metodologías y técnicas para desarrollar habilidades tecnica para realizar acabados de superficies utilizando el equipo
.   Procedimientos ejemplificados  para desarrollar habilidades tecn"&amp;"ica para realizar acabados de superficies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acabados de superficies.
.        Metodologías y técnicas para desarrollar habilidades tecnica para realizar acabados de superficies utilizando el equipo
.   Procedimientos ejemplificados  para desarrollar habilidades tecnica para realizar acabados de superficies utilizando los equipos.</v>
      </c>
      <c r="J1486" s="213">
        <f>IFERROR(__xludf.DUMMYFUNCTION("""COMPUTED_VALUE"""),3.0)</f>
        <v>3</v>
      </c>
      <c r="K1486" s="213" t="str">
        <f>IFERROR(__xludf.DUMMYFUNCTION("""COMPUTED_VALUE"""),"170 DÍAS CALENDARIO")</f>
        <v>170 DÍAS CALENDARIO</v>
      </c>
      <c r="L1486" s="213" t="str">
        <f>IFERROR(__xludf.DUMMYFUNCTION("""COMPUTED_VALUE"""),"")</f>
        <v/>
      </c>
      <c r="M1486" s="213">
        <f>IFERROR(__xludf.DUMMYFUNCTION("""COMPUTED_VALUE"""),1.0)</f>
        <v>1</v>
      </c>
      <c r="N1486" s="213">
        <f>IFERROR(__xludf.DUMMYFUNCTION("""COMPUTED_VALUE"""),2.0)</f>
        <v>2</v>
      </c>
      <c r="O1486" s="213">
        <f>IFERROR(__xludf.DUMMYFUNCTION("""COMPUTED_VALUE"""),2.0)</f>
        <v>2</v>
      </c>
      <c r="P1486" s="213"/>
      <c r="Q1486" s="213"/>
      <c r="R1486" s="213"/>
      <c r="S1486" s="213"/>
      <c r="T1486" s="213"/>
      <c r="U1486" s="213"/>
      <c r="V1486" s="213"/>
      <c r="W1486" s="213"/>
      <c r="X1486" s="213"/>
      <c r="Y1486" s="213"/>
      <c r="Z1486" s="213"/>
      <c r="AA1486" s="213"/>
      <c r="AB1486" s="213"/>
      <c r="AC1486" s="213"/>
      <c r="AD1486" s="213"/>
      <c r="AE1486" s="213"/>
      <c r="AF1486" s="213"/>
      <c r="AG1486" s="213"/>
      <c r="AH1486" s="213"/>
      <c r="AI1486" s="213"/>
      <c r="AJ1486" s="213"/>
      <c r="AK1486" s="213"/>
      <c r="AL1486" s="213"/>
      <c r="AM1486" s="213"/>
      <c r="AN1486" s="213"/>
      <c r="AO1486" s="213"/>
      <c r="AP1486" s="213"/>
      <c r="AQ1486" s="213"/>
      <c r="AR1486" s="213"/>
      <c r="AS1486" s="213">
        <f>IFERROR(__xludf.DUMMYFUNCTION("""COMPUTED_VALUE"""),0.0)</f>
        <v>0</v>
      </c>
      <c r="AT1486" s="213"/>
      <c r="AU1486" s="213"/>
      <c r="AV1486" s="213"/>
      <c r="AW1486" s="213"/>
      <c r="AX1486" s="213"/>
      <c r="AY1486" s="213"/>
      <c r="AZ1486" s="213"/>
      <c r="BA1486" s="213"/>
      <c r="BB1486" s="213"/>
      <c r="BC1486" s="213"/>
      <c r="BD1486" s="213"/>
    </row>
    <row r="1487">
      <c r="A1487" s="213">
        <f>IFERROR(__xludf.DUMMYFUNCTION("""COMPUTED_VALUE"""),108.0)</f>
        <v>108</v>
      </c>
      <c r="B1487" s="213" t="str">
        <f>IFERROR(__xludf.DUMMYFUNCTION("""COMPUTED_VALUE"""),"16449 ELOY SOBERON  FLORES")</f>
        <v>16449 ELOY SOBERON  FLORES</v>
      </c>
      <c r="C1487" s="213" t="str">
        <f>IFERROR(__xludf.DUMMYFUNCTION("""COMPUTED_VALUE"""),"TALLER SFT DE COCINA Y REPOSTERÍA")</f>
        <v>TALLER SFT DE COCINA Y REPOSTERÍA</v>
      </c>
      <c r="D1487" s="213" t="str">
        <f>IFERROR(__xludf.DUMMYFUNCTION("""COMPUTED_VALUE"""),"PEDAGOGICO")</f>
        <v>PEDAGOGICO</v>
      </c>
      <c r="E1487" s="213" t="str">
        <f>IFERROR(__xludf.DUMMYFUNCTION("""COMPUTED_VALUE"""),"MAT-349")</f>
        <v>MAT-349</v>
      </c>
      <c r="F1487" s="213" t="str">
        <f>IFERROR(__xludf.DUMMYFUNCTION("""COMPUTED_VALUE"""),"KEFF-12")</f>
        <v>KEFF-12</v>
      </c>
      <c r="G1487" s="213"/>
      <c r="H1487" s="213" t="str">
        <f>IFERROR(__xludf.DUMMYFUNCTION("""COMPUTED_VALUE"""),"MANUAL PEDAGÓGICO PARA DESARROLLAR HABILIDADES TECNICA PARA REALIZAR LA COCCION")</f>
        <v>MANUAL PEDAGÓGICO PARA DESARROLLAR HABILIDADES TECNICA PARA REALIZAR LA COCCION</v>
      </c>
      <c r="I148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cocc"&amp;"ión
- Metodologías y técnicas para desarrollar habilidades técnicas para realizar cocción utilizando el equipo.
- Procedimientos ejemplificados para desarrollar habilidades de cocción utilizando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cocción
- Metodologías y técnicas para desarrollar habilidades técnicas para realizar cocción utilizando el equipo.
- Procedimientos ejemplificados para desarrollar habilidades de cocción utilizando equipos.</v>
      </c>
      <c r="J1487" s="213">
        <f>IFERROR(__xludf.DUMMYFUNCTION("""COMPUTED_VALUE"""),3.0)</f>
        <v>3</v>
      </c>
      <c r="K1487" s="213" t="str">
        <f>IFERROR(__xludf.DUMMYFUNCTION("""COMPUTED_VALUE"""),"170 DÍAS CALENDARIO")</f>
        <v>170 DÍAS CALENDARIO</v>
      </c>
      <c r="L1487" s="213" t="str">
        <f>IFERROR(__xludf.DUMMYFUNCTION("""COMPUTED_VALUE"""),"")</f>
        <v/>
      </c>
      <c r="M1487" s="213">
        <f>IFERROR(__xludf.DUMMYFUNCTION("""COMPUTED_VALUE"""),1.0)</f>
        <v>1</v>
      </c>
      <c r="N1487" s="213">
        <f>IFERROR(__xludf.DUMMYFUNCTION("""COMPUTED_VALUE"""),2.0)</f>
        <v>2</v>
      </c>
      <c r="O1487" s="213">
        <f>IFERROR(__xludf.DUMMYFUNCTION("""COMPUTED_VALUE"""),2.0)</f>
        <v>2</v>
      </c>
      <c r="P1487" s="213"/>
      <c r="Q1487" s="213"/>
      <c r="R1487" s="213"/>
      <c r="S1487" s="213"/>
      <c r="T1487" s="213"/>
      <c r="U1487" s="213"/>
      <c r="V1487" s="213"/>
      <c r="W1487" s="213"/>
      <c r="X1487" s="213"/>
      <c r="Y1487" s="213"/>
      <c r="Z1487" s="213"/>
      <c r="AA1487" s="213"/>
      <c r="AB1487" s="213"/>
      <c r="AC1487" s="213"/>
      <c r="AD1487" s="213"/>
      <c r="AE1487" s="213"/>
      <c r="AF1487" s="213"/>
      <c r="AG1487" s="213"/>
      <c r="AH1487" s="213"/>
      <c r="AI1487" s="213"/>
      <c r="AJ1487" s="213"/>
      <c r="AK1487" s="213"/>
      <c r="AL1487" s="213"/>
      <c r="AM1487" s="213"/>
      <c r="AN1487" s="213"/>
      <c r="AO1487" s="213"/>
      <c r="AP1487" s="213"/>
      <c r="AQ1487" s="213"/>
      <c r="AR1487" s="213"/>
      <c r="AS1487" s="213"/>
      <c r="AT1487" s="213"/>
      <c r="AU1487" s="213"/>
      <c r="AV1487" s="213"/>
      <c r="AW1487" s="213"/>
      <c r="AX1487" s="213"/>
      <c r="AY1487" s="213"/>
      <c r="AZ1487" s="213"/>
      <c r="BA1487" s="213"/>
      <c r="BB1487" s="213"/>
      <c r="BC1487" s="213"/>
      <c r="BD1487" s="213"/>
    </row>
    <row r="1488">
      <c r="A1488" s="213">
        <f>IFERROR(__xludf.DUMMYFUNCTION("""COMPUTED_VALUE"""),2678.0)</f>
        <v>2678</v>
      </c>
      <c r="B1488" s="213" t="str">
        <f>IFERROR(__xludf.DUMMYFUNCTION("""COMPUTED_VALUE"""),"MANUEL ANTONIO MESONES MURO")</f>
        <v>MANUEL ANTONIO MESONES MURO</v>
      </c>
      <c r="C1488" s="213" t="str">
        <f>IFERROR(__xludf.DUMMYFUNCTION("""COMPUTED_VALUE"""),"TALLER SFT DE EBANISTERÍA")</f>
        <v>TALLER SFT DE EBANISTERÍA</v>
      </c>
      <c r="D1488" s="213" t="str">
        <f>IFERROR(__xludf.DUMMYFUNCTION("""COMPUTED_VALUE"""),"PEDAGOGICO")</f>
        <v>PEDAGOGICO</v>
      </c>
      <c r="E1488" s="213" t="str">
        <f>IFERROR(__xludf.DUMMYFUNCTION("""COMPUTED_VALUE"""),"MAT-368")</f>
        <v>MAT-368</v>
      </c>
      <c r="F1488" s="213" t="str">
        <f>IFERROR(__xludf.DUMMYFUNCTION("""COMPUTED_VALUE"""),"KEFF-41")</f>
        <v>KEFF-41</v>
      </c>
      <c r="G1488" s="213"/>
      <c r="H1488" s="213" t="str">
        <f>IFERROR(__xludf.DUMMYFUNCTION("""COMPUTED_VALUE"""),"MANUAL PEDAGÓGICO PARA DESARROLLAR HABILIDADES TECNICA PARA REALIZAR LA COLOCACIÓN DE ACCESORIOS UTILIZANDO EL EQUIPO")</f>
        <v>MANUAL PEDAGÓGICO PARA DESARROLLAR HABILIDADES TECNICA PARA REALIZAR LA COLOCACIÓN DE ACCESORIOS UTILIZANDO EL EQUIPO</v>
      </c>
      <c r="I148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Información sobre la colocación de accesorios
.        Metodologías y técnicas para desarrollar habilidades tecnica para la colocación de accesorios utilizando los equipos.
.   Procedimientos ejemplificados  para desarrollar habilidades tec"&amp;"nica para realizar la colocación de accesorios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la colocación de accesorios
.        Metodologías y técnicas para desarrollar habilidades tecnica para la colocación de accesorios utilizando los equipos.
.   Procedimientos ejemplificados  para desarrollar habilidades tecnica para realizar la colocación de accesorios utilizando los equipos.</v>
      </c>
      <c r="J1488" s="213">
        <f>IFERROR(__xludf.DUMMYFUNCTION("""COMPUTED_VALUE"""),3.0)</f>
        <v>3</v>
      </c>
      <c r="K1488" s="213" t="str">
        <f>IFERROR(__xludf.DUMMYFUNCTION("""COMPUTED_VALUE"""),"170 DÍAS CALENDARIO")</f>
        <v>170 DÍAS CALENDARIO</v>
      </c>
      <c r="L1488" s="213" t="str">
        <f>IFERROR(__xludf.DUMMYFUNCTION("""COMPUTED_VALUE"""),"")</f>
        <v/>
      </c>
      <c r="M1488" s="213">
        <f>IFERROR(__xludf.DUMMYFUNCTION("""COMPUTED_VALUE"""),1.0)</f>
        <v>1</v>
      </c>
      <c r="N1488" s="213">
        <f>IFERROR(__xludf.DUMMYFUNCTION("""COMPUTED_VALUE"""),2.0)</f>
        <v>2</v>
      </c>
      <c r="O1488" s="213">
        <f>IFERROR(__xludf.DUMMYFUNCTION("""COMPUTED_VALUE"""),2.0)</f>
        <v>2</v>
      </c>
      <c r="P1488" s="213"/>
      <c r="Q1488" s="213"/>
      <c r="R1488" s="213"/>
      <c r="S1488" s="213"/>
      <c r="T1488" s="213"/>
      <c r="U1488" s="213"/>
      <c r="V1488" s="213"/>
      <c r="W1488" s="213"/>
      <c r="X1488" s="213"/>
      <c r="Y1488" s="213"/>
      <c r="Z1488" s="213"/>
      <c r="AA1488" s="213"/>
      <c r="AB1488" s="213"/>
      <c r="AC1488" s="213"/>
      <c r="AD1488" s="213"/>
      <c r="AE1488" s="213"/>
      <c r="AF1488" s="213"/>
      <c r="AG1488" s="213"/>
      <c r="AH1488" s="213"/>
      <c r="AI1488" s="213"/>
      <c r="AJ1488" s="213"/>
      <c r="AK1488" s="213"/>
      <c r="AL1488" s="213"/>
      <c r="AM1488" s="213"/>
      <c r="AN1488" s="213"/>
      <c r="AO1488" s="213"/>
      <c r="AP1488" s="213"/>
      <c r="AQ1488" s="213"/>
      <c r="AR1488" s="213"/>
      <c r="AS1488" s="213">
        <f>IFERROR(__xludf.DUMMYFUNCTION("""COMPUTED_VALUE"""),0.0)</f>
        <v>0</v>
      </c>
      <c r="AT1488" s="213"/>
      <c r="AU1488" s="213"/>
      <c r="AV1488" s="213"/>
      <c r="AW1488" s="213"/>
      <c r="AX1488" s="213"/>
      <c r="AY1488" s="213"/>
      <c r="AZ1488" s="213"/>
      <c r="BA1488" s="213"/>
      <c r="BB1488" s="213"/>
      <c r="BC1488" s="213"/>
      <c r="BD1488" s="213"/>
    </row>
    <row r="1489">
      <c r="A1489" s="213">
        <f>IFERROR(__xludf.DUMMYFUNCTION("""COMPUTED_VALUE"""),1897.0)</f>
        <v>1897</v>
      </c>
      <c r="B1489" s="213" t="str">
        <f>IFERROR(__xludf.DUMMYFUNCTION("""COMPUTED_VALUE"""),"GUILLERMO E. BILLINGHURST ")</f>
        <v>GUILLERMO E. BILLINGHURST </v>
      </c>
      <c r="C1489" s="213" t="str">
        <f>IFERROR(__xludf.DUMMYFUNCTION("""COMPUTED_VALUE"""),"TALLER SFT DE EBANISTERÍA")</f>
        <v>TALLER SFT DE EBANISTERÍA</v>
      </c>
      <c r="D1489" s="213" t="str">
        <f>IFERROR(__xludf.DUMMYFUNCTION("""COMPUTED_VALUE"""),"PEDAGOGICO")</f>
        <v>PEDAGOGICO</v>
      </c>
      <c r="E1489" s="213" t="str">
        <f>IFERROR(__xludf.DUMMYFUNCTION("""COMPUTED_VALUE"""),"MAT-368")</f>
        <v>MAT-368</v>
      </c>
      <c r="F1489" s="213" t="str">
        <f>IFERROR(__xludf.DUMMYFUNCTION("""COMPUTED_VALUE"""),"KEFF-41")</f>
        <v>KEFF-41</v>
      </c>
      <c r="G1489" s="213"/>
      <c r="H1489" s="213" t="str">
        <f>IFERROR(__xludf.DUMMYFUNCTION("""COMPUTED_VALUE"""),"MANUAL PEDAGÓGICO PARA DESARROLLAR HABILIDADES TECNICA PARA REALIZAR LA COLOCACIÓN DE ACCESORIOS UTILIZANDO EL EQUIPO")</f>
        <v>MANUAL PEDAGÓGICO PARA DESARROLLAR HABILIDADES TECNICA PARA REALIZAR LA COLOCACIÓN DE ACCESORIOS UTILIZANDO EL EQUIPO</v>
      </c>
      <c r="I148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Información sobre la colocación de accesorios
.        Metodologías y técnicas para desarrollar habilidades tecnica para la colocación de accesorios utilizando los equipos.
.   Procedimientos ejemplificados  para desarrollar habilidades tec"&amp;"nica para realizar la colocación de accesorios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la colocación de accesorios
.        Metodologías y técnicas para desarrollar habilidades tecnica para la colocación de accesorios utilizando los equipos.
.   Procedimientos ejemplificados  para desarrollar habilidades tecnica para realizar la colocación de accesorios utilizando los equipos.</v>
      </c>
      <c r="J1489" s="213">
        <f>IFERROR(__xludf.DUMMYFUNCTION("""COMPUTED_VALUE"""),3.0)</f>
        <v>3</v>
      </c>
      <c r="K1489" s="213" t="str">
        <f>IFERROR(__xludf.DUMMYFUNCTION("""COMPUTED_VALUE"""),"170 DÍAS CALENDARIO")</f>
        <v>170 DÍAS CALENDARIO</v>
      </c>
      <c r="L1489" s="213" t="str">
        <f>IFERROR(__xludf.DUMMYFUNCTION("""COMPUTED_VALUE"""),"")</f>
        <v/>
      </c>
      <c r="M1489" s="213">
        <f>IFERROR(__xludf.DUMMYFUNCTION("""COMPUTED_VALUE"""),1.0)</f>
        <v>1</v>
      </c>
      <c r="N1489" s="213">
        <f>IFERROR(__xludf.DUMMYFUNCTION("""COMPUTED_VALUE"""),2.0)</f>
        <v>2</v>
      </c>
      <c r="O1489" s="213">
        <f>IFERROR(__xludf.DUMMYFUNCTION("""COMPUTED_VALUE"""),2.0)</f>
        <v>2</v>
      </c>
      <c r="P1489" s="213"/>
      <c r="Q1489" s="213"/>
      <c r="R1489" s="213"/>
      <c r="S1489" s="213"/>
      <c r="T1489" s="213"/>
      <c r="U1489" s="213"/>
      <c r="V1489" s="213"/>
      <c r="W1489" s="213"/>
      <c r="X1489" s="213"/>
      <c r="Y1489" s="213"/>
      <c r="Z1489" s="213"/>
      <c r="AA1489" s="213"/>
      <c r="AB1489" s="213"/>
      <c r="AC1489" s="213"/>
      <c r="AD1489" s="213"/>
      <c r="AE1489" s="213"/>
      <c r="AF1489" s="213"/>
      <c r="AG1489" s="213"/>
      <c r="AH1489" s="213"/>
      <c r="AI1489" s="213"/>
      <c r="AJ1489" s="213"/>
      <c r="AK1489" s="213"/>
      <c r="AL1489" s="213"/>
      <c r="AM1489" s="213"/>
      <c r="AN1489" s="213"/>
      <c r="AO1489" s="213"/>
      <c r="AP1489" s="213"/>
      <c r="AQ1489" s="213"/>
      <c r="AR1489" s="213"/>
      <c r="AS1489" s="213">
        <f>IFERROR(__xludf.DUMMYFUNCTION("""COMPUTED_VALUE"""),0.0)</f>
        <v>0</v>
      </c>
      <c r="AT1489" s="213"/>
      <c r="AU1489" s="213"/>
      <c r="AV1489" s="213"/>
      <c r="AW1489" s="213"/>
      <c r="AX1489" s="213"/>
      <c r="AY1489" s="213"/>
      <c r="AZ1489" s="213"/>
      <c r="BA1489" s="213"/>
      <c r="BB1489" s="213"/>
      <c r="BC1489" s="213"/>
      <c r="BD1489" s="213"/>
    </row>
    <row r="1490">
      <c r="A1490" s="213">
        <f>IFERROR(__xludf.DUMMYFUNCTION("""COMPUTED_VALUE"""),120.0)</f>
        <v>120</v>
      </c>
      <c r="B1490" s="213" t="str">
        <f>IFERROR(__xludf.DUMMYFUNCTION("""COMPUTED_VALUE"""),"16449 ELOY SOBERON  FLORES")</f>
        <v>16449 ELOY SOBERON  FLORES</v>
      </c>
      <c r="C1490" s="213" t="str">
        <f>IFERROR(__xludf.DUMMYFUNCTION("""COMPUTED_VALUE"""),"TALLER SFT DE COCINA Y REPOSTERÍA")</f>
        <v>TALLER SFT DE COCINA Y REPOSTERÍA</v>
      </c>
      <c r="D1490" s="213" t="str">
        <f>IFERROR(__xludf.DUMMYFUNCTION("""COMPUTED_VALUE"""),"PEDAGOGICO")</f>
        <v>PEDAGOGICO</v>
      </c>
      <c r="E1490" s="213" t="str">
        <f>IFERROR(__xludf.DUMMYFUNCTION("""COMPUTED_VALUE"""),"MAT-350")</f>
        <v>MAT-350</v>
      </c>
      <c r="F1490" s="213" t="str">
        <f>IFERROR(__xludf.DUMMYFUNCTION("""COMPUTED_VALUE"""),"KEFF-18")</f>
        <v>KEFF-18</v>
      </c>
      <c r="G1490" s="213"/>
      <c r="H1490" s="213" t="str">
        <f>IFERROR(__xludf.DUMMYFUNCTION("""COMPUTED_VALUE"""),"MANUAL PEDAGÓGICO PARA DESARROLLAR HABILIDADES TECNICA PARA REALIZAR LA COLOCACIÓN DE ACCESORIOS UTILIZANDO EL EQUIPO")</f>
        <v>MANUAL PEDAGÓGICO PARA DESARROLLAR HABILIDADES TECNICA PARA REALIZAR LA COLOCACIÓN DE ACCESORIOS UTILIZANDO EL EQUIPO</v>
      </c>
      <c r="I149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tipo"&amp;"s de accesorios de cocina
-  Metodologías y técnicas para desarrollar habilidades en la colocación de accesorios utilizando equipos.
- Procedimientos ejemplificados para desarrollar habilidades de colocación de accesorios utilizando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tipos de accesorios de cocina
-  Metodologías y técnicas para desarrollar habilidades en la colocación de accesorios utilizando equipos.
- Procedimientos ejemplificados para desarrollar habilidades de colocación de accesorios utilizando equipos.</v>
      </c>
      <c r="J1490" s="213">
        <f>IFERROR(__xludf.DUMMYFUNCTION("""COMPUTED_VALUE"""),3.0)</f>
        <v>3</v>
      </c>
      <c r="K1490" s="213" t="str">
        <f>IFERROR(__xludf.DUMMYFUNCTION("""COMPUTED_VALUE"""),"170 DÍAS CALENDARIO")</f>
        <v>170 DÍAS CALENDARIO</v>
      </c>
      <c r="L1490" s="213" t="str">
        <f>IFERROR(__xludf.DUMMYFUNCTION("""COMPUTED_VALUE"""),"")</f>
        <v/>
      </c>
      <c r="M1490" s="213">
        <f>IFERROR(__xludf.DUMMYFUNCTION("""COMPUTED_VALUE"""),1.0)</f>
        <v>1</v>
      </c>
      <c r="N1490" s="213">
        <f>IFERROR(__xludf.DUMMYFUNCTION("""COMPUTED_VALUE"""),2.0)</f>
        <v>2</v>
      </c>
      <c r="O1490" s="213">
        <f>IFERROR(__xludf.DUMMYFUNCTION("""COMPUTED_VALUE"""),2.0)</f>
        <v>2</v>
      </c>
      <c r="P1490" s="213"/>
      <c r="Q1490" s="213"/>
      <c r="R1490" s="213"/>
      <c r="S1490" s="213"/>
      <c r="T1490" s="213"/>
      <c r="U1490" s="213"/>
      <c r="V1490" s="213"/>
      <c r="W1490" s="213"/>
      <c r="X1490" s="213"/>
      <c r="Y1490" s="213"/>
      <c r="Z1490" s="213"/>
      <c r="AA1490" s="213"/>
      <c r="AB1490" s="213"/>
      <c r="AC1490" s="213"/>
      <c r="AD1490" s="213"/>
      <c r="AE1490" s="213"/>
      <c r="AF1490" s="213"/>
      <c r="AG1490" s="213"/>
      <c r="AH1490" s="213"/>
      <c r="AI1490" s="213"/>
      <c r="AJ1490" s="213"/>
      <c r="AK1490" s="213"/>
      <c r="AL1490" s="213"/>
      <c r="AM1490" s="213"/>
      <c r="AN1490" s="213"/>
      <c r="AO1490" s="213"/>
      <c r="AP1490" s="213"/>
      <c r="AQ1490" s="213"/>
      <c r="AR1490" s="213"/>
      <c r="AS1490" s="213"/>
      <c r="AT1490" s="213"/>
      <c r="AU1490" s="213"/>
      <c r="AV1490" s="213"/>
      <c r="AW1490" s="213"/>
      <c r="AX1490" s="213"/>
      <c r="AY1490" s="213"/>
      <c r="AZ1490" s="213"/>
      <c r="BA1490" s="213"/>
      <c r="BB1490" s="213"/>
      <c r="BC1490" s="213"/>
      <c r="BD1490" s="213"/>
    </row>
    <row r="1491">
      <c r="A1491" s="213">
        <f>IFERROR(__xludf.DUMMYFUNCTION("""COMPUTED_VALUE"""),1020.0)</f>
        <v>1020</v>
      </c>
      <c r="B1491" s="213" t="str">
        <f>IFERROR(__xludf.DUMMYFUNCTION("""COMPUTED_VALUE"""),"FRANCISCO IRAZOLA")</f>
        <v>FRANCISCO IRAZOLA</v>
      </c>
      <c r="C1491" s="213" t="str">
        <f>IFERROR(__xludf.DUMMYFUNCTION("""COMPUTED_VALUE"""),"TALLER SFT DE MECÁNICA AUTOMOTRIZ")</f>
        <v>TALLER SFT DE MECÁNICA AUTOMOTRIZ</v>
      </c>
      <c r="D1491" s="213" t="str">
        <f>IFERROR(__xludf.DUMMYFUNCTION("""COMPUTED_VALUE"""),"PEDAGOGICO")</f>
        <v>PEDAGOGICO</v>
      </c>
      <c r="E1491" s="213" t="str">
        <f>IFERROR(__xludf.DUMMYFUNCTION("""COMPUTED_VALUE"""),"MAT-351")</f>
        <v>MAT-351</v>
      </c>
      <c r="F1491" s="213" t="str">
        <f>IFERROR(__xludf.DUMMYFUNCTION("""COMPUTED_VALUE"""),"KEFF-85")</f>
        <v>KEFF-85</v>
      </c>
      <c r="G1491" s="213"/>
      <c r="H1491" s="213" t="str">
        <f>IFERROR(__xludf.DUMMYFUNCTION("""COMPUTED_VALUE"""),"MANUAL PEDAGÓGICO PARA DESARROLLAR HABILIDADES TÉCNICA PARA REALIZAR MANTENIMIENTO DE SISTEMA DE SUSPECIÓN DIRECCIÓN Y FRENOS DE AUTOMÓVIL  UTILIZANDO EL EQUIPO")</f>
        <v>MANUAL PEDAGÓGICO PARA DESARROLLAR HABILIDADES TÉCNICA PARA REALIZAR MANTENIMIENTO DE SISTEMA DE SUSPECIÓN DIRECCIÓN Y FRENOS DE AUTOMÓVIL  UTILIZANDO EL EQUIPO</v>
      </c>
      <c r="I149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del sistema de suspensión dirección y frenos
- Orientaciones pedagógicas desarrollar habilidades técnicas para el mantenimiento del sistema de suspensión dirección y frenos
- Desarrollo de proyectos de emprendimiento utilizando e"&amp;"l equipamiento para realizar mantenimiento del sistema de suspensión dirección y frenos.")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del sistema de suspensión dirección y frenos
- Orientaciones pedagógicas desarrollar habilidades técnicas para el mantenimiento del sistema de suspensión dirección y frenos
- Desarrollo de proyectos de emprendimiento utilizando el equipamiento para realizar mantenimiento del sistema de suspensión dirección y frenos.</v>
      </c>
      <c r="J1491" s="213">
        <f>IFERROR(__xludf.DUMMYFUNCTION("""COMPUTED_VALUE"""),3.0)</f>
        <v>3</v>
      </c>
      <c r="K1491" s="213" t="str">
        <f>IFERROR(__xludf.DUMMYFUNCTION("""COMPUTED_VALUE"""),"170 DÍAS CALENDARIO")</f>
        <v>170 DÍAS CALENDARIO</v>
      </c>
      <c r="L1491" s="213" t="str">
        <f>IFERROR(__xludf.DUMMYFUNCTION("""COMPUTED_VALUE"""),"")</f>
        <v/>
      </c>
      <c r="M1491" s="213">
        <f>IFERROR(__xludf.DUMMYFUNCTION("""COMPUTED_VALUE"""),1.0)</f>
        <v>1</v>
      </c>
      <c r="N1491" s="213">
        <f>IFERROR(__xludf.DUMMYFUNCTION("""COMPUTED_VALUE"""),2.0)</f>
        <v>2</v>
      </c>
      <c r="O1491" s="213">
        <f>IFERROR(__xludf.DUMMYFUNCTION("""COMPUTED_VALUE"""),2.0)</f>
        <v>2</v>
      </c>
      <c r="P1491" s="213"/>
      <c r="Q1491" s="213"/>
      <c r="R1491" s="213"/>
      <c r="S1491" s="213"/>
      <c r="T1491" s="213"/>
      <c r="U1491" s="213"/>
      <c r="V1491" s="213"/>
      <c r="W1491" s="213"/>
      <c r="X1491" s="213"/>
      <c r="Y1491" s="213"/>
      <c r="Z1491" s="213"/>
      <c r="AA1491" s="213"/>
      <c r="AB1491" s="213"/>
      <c r="AC1491" s="213"/>
      <c r="AD1491" s="213"/>
      <c r="AE1491" s="213"/>
      <c r="AF1491" s="213"/>
      <c r="AG1491" s="213"/>
      <c r="AH1491" s="213"/>
      <c r="AI1491" s="213"/>
      <c r="AJ1491" s="213"/>
      <c r="AK1491" s="213"/>
      <c r="AL1491" s="213"/>
      <c r="AM1491" s="213"/>
      <c r="AN1491" s="213"/>
      <c r="AO1491" s="213"/>
      <c r="AP1491" s="213"/>
      <c r="AQ1491" s="213"/>
      <c r="AR1491" s="213"/>
      <c r="AS1491" s="213"/>
      <c r="AT1491" s="213"/>
      <c r="AU1491" s="213"/>
      <c r="AV1491" s="213"/>
      <c r="AW1491" s="213"/>
      <c r="AX1491" s="213"/>
      <c r="AY1491" s="213"/>
      <c r="AZ1491" s="213"/>
      <c r="BA1491" s="213"/>
      <c r="BB1491" s="213"/>
      <c r="BC1491" s="213"/>
      <c r="BD1491" s="213"/>
    </row>
    <row r="1492">
      <c r="A1492" s="213">
        <f>IFERROR(__xludf.DUMMYFUNCTION("""COMPUTED_VALUE"""),1625.0)</f>
        <v>1625</v>
      </c>
      <c r="B1492" s="213" t="str">
        <f>IFERROR(__xludf.DUMMYFUNCTION("""COMPUTED_VALUE"""),"GUILLERMO E. BILLINGHURST ")</f>
        <v>GUILLERMO E. BILLINGHURST </v>
      </c>
      <c r="C1492" s="213" t="str">
        <f>IFERROR(__xludf.DUMMYFUNCTION("""COMPUTED_VALUE"""),"TALLER SFT DE MECÁNICA AUTOMOTRIZ")</f>
        <v>TALLER SFT DE MECÁNICA AUTOMOTRIZ</v>
      </c>
      <c r="D1492" s="213" t="str">
        <f>IFERROR(__xludf.DUMMYFUNCTION("""COMPUTED_VALUE"""),"PEDAGOGICO")</f>
        <v>PEDAGOGICO</v>
      </c>
      <c r="E1492" s="213" t="str">
        <f>IFERROR(__xludf.DUMMYFUNCTION("""COMPUTED_VALUE"""),"MAT-351")</f>
        <v>MAT-351</v>
      </c>
      <c r="F1492" s="213" t="str">
        <f>IFERROR(__xludf.DUMMYFUNCTION("""COMPUTED_VALUE"""),"KEFF-85")</f>
        <v>KEFF-85</v>
      </c>
      <c r="G1492" s="213"/>
      <c r="H1492" s="213" t="str">
        <f>IFERROR(__xludf.DUMMYFUNCTION("""COMPUTED_VALUE"""),"MANUAL PEDAGÓGICO PARA DESARROLLAR HABILIDADES TÉCNICA PARA REALIZAR MANTENIMIENTO DE SISTEMA DE SUSPECIÓN DIRECCIÓN Y FRENOS DE AUTOMÓVIL  UTILIZANDO EL EQUIPO")</f>
        <v>MANUAL PEDAGÓGICO PARA DESARROLLAR HABILIDADES TÉCNICA PARA REALIZAR MANTENIMIENTO DE SISTEMA DE SUSPECIÓN DIRECCIÓN Y FRENOS DE AUTOMÓVIL  UTILIZANDO EL EQUIPO</v>
      </c>
      <c r="I149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del sistema de suspensión dirección y frenos
- Orientaciones pedagógicas desarrollar habilidades técnicas para el mantenimiento del sistema de suspensión dirección y frenos
- Desarrollo de proyectos de emprendimiento utilizando e"&amp;"l equipamiento para realizar mantenimiento del sistema de suspensión dirección y frenos.")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del sistema de suspensión dirección y frenos
- Orientaciones pedagógicas desarrollar habilidades técnicas para el mantenimiento del sistema de suspensión dirección y frenos
- Desarrollo de proyectos de emprendimiento utilizando el equipamiento para realizar mantenimiento del sistema de suspensión dirección y frenos.</v>
      </c>
      <c r="J1492" s="213">
        <f>IFERROR(__xludf.DUMMYFUNCTION("""COMPUTED_VALUE"""),3.0)</f>
        <v>3</v>
      </c>
      <c r="K1492" s="213" t="str">
        <f>IFERROR(__xludf.DUMMYFUNCTION("""COMPUTED_VALUE"""),"170 DÍAS CALENDARIO")</f>
        <v>170 DÍAS CALENDARIO</v>
      </c>
      <c r="L1492" s="213" t="str">
        <f>IFERROR(__xludf.DUMMYFUNCTION("""COMPUTED_VALUE"""),"")</f>
        <v/>
      </c>
      <c r="M1492" s="213">
        <f>IFERROR(__xludf.DUMMYFUNCTION("""COMPUTED_VALUE"""),1.0)</f>
        <v>1</v>
      </c>
      <c r="N1492" s="213">
        <f>IFERROR(__xludf.DUMMYFUNCTION("""COMPUTED_VALUE"""),2.0)</f>
        <v>2</v>
      </c>
      <c r="O1492" s="213">
        <f>IFERROR(__xludf.DUMMYFUNCTION("""COMPUTED_VALUE"""),2.0)</f>
        <v>2</v>
      </c>
      <c r="P1492" s="213"/>
      <c r="Q1492" s="213"/>
      <c r="R1492" s="213"/>
      <c r="S1492" s="213"/>
      <c r="T1492" s="213"/>
      <c r="U1492" s="213"/>
      <c r="V1492" s="213"/>
      <c r="W1492" s="213"/>
      <c r="X1492" s="213"/>
      <c r="Y1492" s="213"/>
      <c r="Z1492" s="213"/>
      <c r="AA1492" s="213"/>
      <c r="AB1492" s="213"/>
      <c r="AC1492" s="213"/>
      <c r="AD1492" s="213"/>
      <c r="AE1492" s="213"/>
      <c r="AF1492" s="213"/>
      <c r="AG1492" s="213"/>
      <c r="AH1492" s="213"/>
      <c r="AI1492" s="213"/>
      <c r="AJ1492" s="213"/>
      <c r="AK1492" s="213"/>
      <c r="AL1492" s="213"/>
      <c r="AM1492" s="213"/>
      <c r="AN1492" s="213"/>
      <c r="AO1492" s="213"/>
      <c r="AP1492" s="213"/>
      <c r="AQ1492" s="213"/>
      <c r="AR1492" s="213"/>
      <c r="AS1492" s="213"/>
      <c r="AT1492" s="213"/>
      <c r="AU1492" s="213"/>
      <c r="AV1492" s="213"/>
      <c r="AW1492" s="213"/>
      <c r="AX1492" s="213"/>
      <c r="AY1492" s="213"/>
      <c r="AZ1492" s="213"/>
      <c r="BA1492" s="213"/>
      <c r="BB1492" s="213"/>
      <c r="BC1492" s="213"/>
      <c r="BD1492" s="213"/>
    </row>
    <row r="1493">
      <c r="A1493" s="213">
        <f>IFERROR(__xludf.DUMMYFUNCTION("""COMPUTED_VALUE"""),2316.0)</f>
        <v>2316</v>
      </c>
      <c r="B1493" s="213" t="str">
        <f>IFERROR(__xludf.DUMMYFUNCTION("""COMPUTED_VALUE"""),"JOSE GRANDA")</f>
        <v>JOSE GRANDA</v>
      </c>
      <c r="C1493" s="213" t="str">
        <f>IFERROR(__xludf.DUMMYFUNCTION("""COMPUTED_VALUE"""),"TALLER SFT DE MECÁNICA AUTOMOTRIZ")</f>
        <v>TALLER SFT DE MECÁNICA AUTOMOTRIZ</v>
      </c>
      <c r="D1493" s="213" t="str">
        <f>IFERROR(__xludf.DUMMYFUNCTION("""COMPUTED_VALUE"""),"PEDAGOGICO")</f>
        <v>PEDAGOGICO</v>
      </c>
      <c r="E1493" s="213" t="str">
        <f>IFERROR(__xludf.DUMMYFUNCTION("""COMPUTED_VALUE"""),"MAT-351")</f>
        <v>MAT-351</v>
      </c>
      <c r="F1493" s="213" t="str">
        <f>IFERROR(__xludf.DUMMYFUNCTION("""COMPUTED_VALUE"""),"KEFF-85")</f>
        <v>KEFF-85</v>
      </c>
      <c r="G1493" s="213"/>
      <c r="H1493" s="213" t="str">
        <f>IFERROR(__xludf.DUMMYFUNCTION("""COMPUTED_VALUE"""),"MANUAL PEDAGÓGICO PARA DESARROLLAR HABILIDADES TÉCNICA PARA REALIZAR MANTENIMIENTO DE SISTEMA DE SUSPECIÓN DIRECCIÓN Y FRENOS DE AUTOMÓVIL  UTILIZANDO EL EQUIPO")</f>
        <v>MANUAL PEDAGÓGICO PARA DESARROLLAR HABILIDADES TÉCNICA PARA REALIZAR MANTENIMIENTO DE SISTEMA DE SUSPECIÓN DIRECCIÓN Y FRENOS DE AUTOMÓVIL  UTILIZANDO EL EQUIPO</v>
      </c>
      <c r="I149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del sistema de suspensión dirección y frenos
- Orientaciones pedagógicas desarrollar habilidades técnicas para el mantenimiento del sistema de suspensión dirección y frenos
- Desarrollo de proyectos de emprendimiento utilizando e"&amp;"l equipamiento para realizar mantenimiento del sistema de suspensión dirección y frenos.")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del sistema de suspensión dirección y frenos
- Orientaciones pedagógicas desarrollar habilidades técnicas para el mantenimiento del sistema de suspensión dirección y frenos
- Desarrollo de proyectos de emprendimiento utilizando el equipamiento para realizar mantenimiento del sistema de suspensión dirección y frenos.</v>
      </c>
      <c r="J1493" s="213">
        <f>IFERROR(__xludf.DUMMYFUNCTION("""COMPUTED_VALUE"""),3.0)</f>
        <v>3</v>
      </c>
      <c r="K1493" s="213" t="str">
        <f>IFERROR(__xludf.DUMMYFUNCTION("""COMPUTED_VALUE"""),"170 DÍAS CALENDARIO")</f>
        <v>170 DÍAS CALENDARIO</v>
      </c>
      <c r="L1493" s="213" t="str">
        <f>IFERROR(__xludf.DUMMYFUNCTION("""COMPUTED_VALUE"""),"")</f>
        <v/>
      </c>
      <c r="M1493" s="213">
        <f>IFERROR(__xludf.DUMMYFUNCTION("""COMPUTED_VALUE"""),1.0)</f>
        <v>1</v>
      </c>
      <c r="N1493" s="213">
        <f>IFERROR(__xludf.DUMMYFUNCTION("""COMPUTED_VALUE"""),2.0)</f>
        <v>2</v>
      </c>
      <c r="O1493" s="213">
        <f>IFERROR(__xludf.DUMMYFUNCTION("""COMPUTED_VALUE"""),2.0)</f>
        <v>2</v>
      </c>
      <c r="P1493" s="213"/>
      <c r="Q1493" s="213"/>
      <c r="R1493" s="213"/>
      <c r="S1493" s="213"/>
      <c r="T1493" s="213"/>
      <c r="U1493" s="213"/>
      <c r="V1493" s="213"/>
      <c r="W1493" s="213"/>
      <c r="X1493" s="213"/>
      <c r="Y1493" s="213"/>
      <c r="Z1493" s="213"/>
      <c r="AA1493" s="213"/>
      <c r="AB1493" s="213"/>
      <c r="AC1493" s="213"/>
      <c r="AD1493" s="213"/>
      <c r="AE1493" s="213"/>
      <c r="AF1493" s="213"/>
      <c r="AG1493" s="213"/>
      <c r="AH1493" s="213"/>
      <c r="AI1493" s="213"/>
      <c r="AJ1493" s="213"/>
      <c r="AK1493" s="213"/>
      <c r="AL1493" s="213"/>
      <c r="AM1493" s="213"/>
      <c r="AN1493" s="213"/>
      <c r="AO1493" s="213"/>
      <c r="AP1493" s="213"/>
      <c r="AQ1493" s="213"/>
      <c r="AR1493" s="213"/>
      <c r="AS1493" s="213"/>
      <c r="AT1493" s="213"/>
      <c r="AU1493" s="213"/>
      <c r="AV1493" s="213"/>
      <c r="AW1493" s="213"/>
      <c r="AX1493" s="213"/>
      <c r="AY1493" s="213"/>
      <c r="AZ1493" s="213"/>
      <c r="BA1493" s="213"/>
      <c r="BB1493" s="213"/>
      <c r="BC1493" s="213"/>
      <c r="BD1493" s="213"/>
    </row>
    <row r="1494">
      <c r="A1494" s="213">
        <f>IFERROR(__xludf.DUMMYFUNCTION("""COMPUTED_VALUE"""),599.0)</f>
        <v>599</v>
      </c>
      <c r="B1494" s="213" t="str">
        <f>IFERROR(__xludf.DUMMYFUNCTION("""COMPUTED_VALUE"""),"2026 SIMON BOLIVAR")</f>
        <v>2026 SIMON BOLIVAR</v>
      </c>
      <c r="C1494" s="213" t="str">
        <f>IFERROR(__xludf.DUMMYFUNCTION("""COMPUTED_VALUE"""),"TALLER SFT DE INDUSTRIA ALIMENTARIA")</f>
        <v>TALLER SFT DE INDUSTRIA ALIMENTARIA</v>
      </c>
      <c r="D1494" s="213" t="str">
        <f>IFERROR(__xludf.DUMMYFUNCTION("""COMPUTED_VALUE"""),"PEDAGOGICO")</f>
        <v>PEDAGOGICO</v>
      </c>
      <c r="E1494" s="213" t="str">
        <f>IFERROR(__xludf.DUMMYFUNCTION("""COMPUTED_VALUE"""),"MAT-355")</f>
        <v>MAT-355</v>
      </c>
      <c r="F1494" s="213" t="str">
        <f>IFERROR(__xludf.DUMMYFUNCTION("""COMPUTED_VALUE"""),"KEFF-52")</f>
        <v>KEFF-52</v>
      </c>
      <c r="G1494" s="213"/>
      <c r="H1494" s="213" t="str">
        <f>IFERROR(__xludf.DUMMYFUNCTION("""COMPUTED_VALUE"""),"MANUAL PEDAGÓGICO PARA DESARROLLAR HABILIDADES TECNICA PARA REALIZAR PROCESAMIENTO DE CACAO, CAFÉ, QUINUA Y OTROS")</f>
        <v>MANUAL PEDAGÓGICO PARA DESARROLLAR HABILIDADES TECNICA PARA REALIZAR PROCESAMIENTO DE CACAO, CAFÉ, QUINUA Y OTROS</v>
      </c>
      <c r="I149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cacao,café, quinua y otros.
- Procedimientos ejemplificados  para desarrollar habilidades técnicas para realizar procesam"&amp;"iento de cacao, café, quinua y otros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cacao,café, quinua y otros.
- Procedimientos ejemplificados  para desarrollar habilidades técnicas para realizar procesamiento de cacao, café, quinua y otros utilizando los equipos.</v>
      </c>
      <c r="J1494" s="213">
        <f>IFERROR(__xludf.DUMMYFUNCTION("""COMPUTED_VALUE"""),3.0)</f>
        <v>3</v>
      </c>
      <c r="K1494" s="213" t="str">
        <f>IFERROR(__xludf.DUMMYFUNCTION("""COMPUTED_VALUE"""),"170 DÍAS CALENDARIO")</f>
        <v>170 DÍAS CALENDARIO</v>
      </c>
      <c r="L1494" s="213" t="str">
        <f>IFERROR(__xludf.DUMMYFUNCTION("""COMPUTED_VALUE"""),"")</f>
        <v/>
      </c>
      <c r="M1494" s="213">
        <f>IFERROR(__xludf.DUMMYFUNCTION("""COMPUTED_VALUE"""),1.0)</f>
        <v>1</v>
      </c>
      <c r="N1494" s="213">
        <f>IFERROR(__xludf.DUMMYFUNCTION("""COMPUTED_VALUE"""),2.0)</f>
        <v>2</v>
      </c>
      <c r="O1494" s="213">
        <f>IFERROR(__xludf.DUMMYFUNCTION("""COMPUTED_VALUE"""),2.0)</f>
        <v>2</v>
      </c>
      <c r="P1494" s="213"/>
      <c r="Q1494" s="213"/>
      <c r="R1494" s="213"/>
      <c r="S1494" s="213"/>
      <c r="T1494" s="213"/>
      <c r="U1494" s="213"/>
      <c r="V1494" s="213"/>
      <c r="W1494" s="213"/>
      <c r="X1494" s="213"/>
      <c r="Y1494" s="213"/>
      <c r="Z1494" s="213"/>
      <c r="AA1494" s="213"/>
      <c r="AB1494" s="213"/>
      <c r="AC1494" s="213"/>
      <c r="AD1494" s="213"/>
      <c r="AE1494" s="213"/>
      <c r="AF1494" s="213"/>
      <c r="AG1494" s="213"/>
      <c r="AH1494" s="213"/>
      <c r="AI1494" s="213"/>
      <c r="AJ1494" s="213"/>
      <c r="AK1494" s="213"/>
      <c r="AL1494" s="213"/>
      <c r="AM1494" s="213"/>
      <c r="AN1494" s="213"/>
      <c r="AO1494" s="213"/>
      <c r="AP1494" s="213"/>
      <c r="AQ1494" s="213"/>
      <c r="AR1494" s="213"/>
      <c r="AS1494" s="213"/>
      <c r="AT1494" s="213"/>
      <c r="AU1494" s="213"/>
      <c r="AV1494" s="213"/>
      <c r="AW1494" s="213"/>
      <c r="AX1494" s="213"/>
      <c r="AY1494" s="213"/>
      <c r="AZ1494" s="213"/>
      <c r="BA1494" s="213"/>
      <c r="BB1494" s="213"/>
      <c r="BC1494" s="213"/>
      <c r="BD1494" s="213"/>
    </row>
    <row r="1495">
      <c r="A1495" s="213">
        <f>IFERROR(__xludf.DUMMYFUNCTION("""COMPUTED_VALUE"""),1225.0)</f>
        <v>1225</v>
      </c>
      <c r="B1495" s="213" t="str">
        <f>IFERROR(__xludf.DUMMYFUNCTION("""COMPUTED_VALUE"""),"FRANCISCO IRAZOLA")</f>
        <v>FRANCISCO IRAZOLA</v>
      </c>
      <c r="C1495" s="213" t="str">
        <f>IFERROR(__xludf.DUMMYFUNCTION("""COMPUTED_VALUE"""),"TALLER SFT DE INDUSTRIA ALIMENTARIA")</f>
        <v>TALLER SFT DE INDUSTRIA ALIMENTARIA</v>
      </c>
      <c r="D1495" s="213" t="str">
        <f>IFERROR(__xludf.DUMMYFUNCTION("""COMPUTED_VALUE"""),"PEDAGOGICO")</f>
        <v>PEDAGOGICO</v>
      </c>
      <c r="E1495" s="213" t="str">
        <f>IFERROR(__xludf.DUMMYFUNCTION("""COMPUTED_VALUE"""),"MAT-355")</f>
        <v>MAT-355</v>
      </c>
      <c r="F1495" s="213" t="str">
        <f>IFERROR(__xludf.DUMMYFUNCTION("""COMPUTED_VALUE"""),"KEFF-52")</f>
        <v>KEFF-52</v>
      </c>
      <c r="G1495" s="213"/>
      <c r="H1495" s="213" t="str">
        <f>IFERROR(__xludf.DUMMYFUNCTION("""COMPUTED_VALUE"""),"MANUAL PEDAGÓGICO PARA DESARROLLAR HABILIDADES TECNICA PARA REALIZAR PROCESAMIENTO DE CACAO, CAFÉ, QUINUA Y OTROS")</f>
        <v>MANUAL PEDAGÓGICO PARA DESARROLLAR HABILIDADES TECNICA PARA REALIZAR PROCESAMIENTO DE CACAO, CAFÉ, QUINUA Y OTROS</v>
      </c>
      <c r="I149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cacao,café, quinua y otros.
- Procedimientos ejemplificados  para desarrollar habilidades técnicas para realizar procesam"&amp;"iento de cacao, café, quinua y otros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cacao,café, quinua y otros.
- Procedimientos ejemplificados  para desarrollar habilidades técnicas para realizar procesamiento de cacao, café, quinua y otros utilizando los equipos.</v>
      </c>
      <c r="J1495" s="213">
        <f>IFERROR(__xludf.DUMMYFUNCTION("""COMPUTED_VALUE"""),3.0)</f>
        <v>3</v>
      </c>
      <c r="K1495" s="213" t="str">
        <f>IFERROR(__xludf.DUMMYFUNCTION("""COMPUTED_VALUE"""),"170 DÍAS CALENDARIO")</f>
        <v>170 DÍAS CALENDARIO</v>
      </c>
      <c r="L1495" s="213" t="str">
        <f>IFERROR(__xludf.DUMMYFUNCTION("""COMPUTED_VALUE"""),"")</f>
        <v/>
      </c>
      <c r="M1495" s="213">
        <f>IFERROR(__xludf.DUMMYFUNCTION("""COMPUTED_VALUE"""),1.0)</f>
        <v>1</v>
      </c>
      <c r="N1495" s="213">
        <f>IFERROR(__xludf.DUMMYFUNCTION("""COMPUTED_VALUE"""),2.0)</f>
        <v>2</v>
      </c>
      <c r="O1495" s="213">
        <f>IFERROR(__xludf.DUMMYFUNCTION("""COMPUTED_VALUE"""),2.0)</f>
        <v>2</v>
      </c>
      <c r="P1495" s="213"/>
      <c r="Q1495" s="213"/>
      <c r="R1495" s="213"/>
      <c r="S1495" s="213"/>
      <c r="T1495" s="213"/>
      <c r="U1495" s="213"/>
      <c r="V1495" s="213"/>
      <c r="W1495" s="213"/>
      <c r="X1495" s="213"/>
      <c r="Y1495" s="213"/>
      <c r="Z1495" s="213"/>
      <c r="AA1495" s="213"/>
      <c r="AB1495" s="213"/>
      <c r="AC1495" s="213"/>
      <c r="AD1495" s="213"/>
      <c r="AE1495" s="213"/>
      <c r="AF1495" s="213"/>
      <c r="AG1495" s="213"/>
      <c r="AH1495" s="213"/>
      <c r="AI1495" s="213"/>
      <c r="AJ1495" s="213"/>
      <c r="AK1495" s="213"/>
      <c r="AL1495" s="213"/>
      <c r="AM1495" s="213"/>
      <c r="AN1495" s="213"/>
      <c r="AO1495" s="213"/>
      <c r="AP1495" s="213"/>
      <c r="AQ1495" s="213"/>
      <c r="AR1495" s="213"/>
      <c r="AS1495" s="213"/>
      <c r="AT1495" s="213"/>
      <c r="AU1495" s="213"/>
      <c r="AV1495" s="213"/>
      <c r="AW1495" s="213"/>
      <c r="AX1495" s="213"/>
      <c r="AY1495" s="213"/>
      <c r="AZ1495" s="213"/>
      <c r="BA1495" s="213"/>
      <c r="BB1495" s="213"/>
      <c r="BC1495" s="213"/>
      <c r="BD1495" s="213"/>
    </row>
    <row r="1496">
      <c r="A1496" s="213">
        <f>IFERROR(__xludf.DUMMYFUNCTION("""COMPUTED_VALUE"""),1496.0)</f>
        <v>1496</v>
      </c>
      <c r="B1496" s="213" t="str">
        <f>IFERROR(__xludf.DUMMYFUNCTION("""COMPUTED_VALUE"""),"GUILLERMO E. BILLINGHURST ")</f>
        <v>GUILLERMO E. BILLINGHURST </v>
      </c>
      <c r="C1496" s="213" t="str">
        <f>IFERROR(__xludf.DUMMYFUNCTION("""COMPUTED_VALUE"""),"TALLER SFT DE INDUSTRIA ALIMENTARIA")</f>
        <v>TALLER SFT DE INDUSTRIA ALIMENTARIA</v>
      </c>
      <c r="D1496" s="213" t="str">
        <f>IFERROR(__xludf.DUMMYFUNCTION("""COMPUTED_VALUE"""),"PEDAGOGICO")</f>
        <v>PEDAGOGICO</v>
      </c>
      <c r="E1496" s="213" t="str">
        <f>IFERROR(__xludf.DUMMYFUNCTION("""COMPUTED_VALUE"""),"MAT-355")</f>
        <v>MAT-355</v>
      </c>
      <c r="F1496" s="213" t="str">
        <f>IFERROR(__xludf.DUMMYFUNCTION("""COMPUTED_VALUE"""),"KEFF-52")</f>
        <v>KEFF-52</v>
      </c>
      <c r="G1496" s="213"/>
      <c r="H1496" s="213" t="str">
        <f>IFERROR(__xludf.DUMMYFUNCTION("""COMPUTED_VALUE"""),"MANUAL PEDAGÓGICO PARA DESARROLLAR HABILIDADES TECNICA PARA REALIZAR PROCESAMIENTO DE CACAO, CAFÉ, QUINUA Y OTROS")</f>
        <v>MANUAL PEDAGÓGICO PARA DESARROLLAR HABILIDADES TECNICA PARA REALIZAR PROCESAMIENTO DE CACAO, CAFÉ, QUINUA Y OTROS</v>
      </c>
      <c r="I149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cacao,café, quinua y otros.
- Procedimientos ejemplificados  para desarrollar habilidades técnicas para realizar procesam"&amp;"iento de cacao, café, quinua y otros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cacao,café, quinua y otros.
- Procedimientos ejemplificados  para desarrollar habilidades técnicas para realizar procesamiento de cacao, café, quinua y otros utilizando los equipos.</v>
      </c>
      <c r="J1496" s="213">
        <f>IFERROR(__xludf.DUMMYFUNCTION("""COMPUTED_VALUE"""),3.0)</f>
        <v>3</v>
      </c>
      <c r="K1496" s="213" t="str">
        <f>IFERROR(__xludf.DUMMYFUNCTION("""COMPUTED_VALUE"""),"170 DÍAS CALENDARIO")</f>
        <v>170 DÍAS CALENDARIO</v>
      </c>
      <c r="L1496" s="213" t="str">
        <f>IFERROR(__xludf.DUMMYFUNCTION("""COMPUTED_VALUE"""),"")</f>
        <v/>
      </c>
      <c r="M1496" s="213">
        <f>IFERROR(__xludf.DUMMYFUNCTION("""COMPUTED_VALUE"""),1.0)</f>
        <v>1</v>
      </c>
      <c r="N1496" s="213">
        <f>IFERROR(__xludf.DUMMYFUNCTION("""COMPUTED_VALUE"""),2.0)</f>
        <v>2</v>
      </c>
      <c r="O1496" s="213">
        <f>IFERROR(__xludf.DUMMYFUNCTION("""COMPUTED_VALUE"""),2.0)</f>
        <v>2</v>
      </c>
      <c r="P1496" s="213"/>
      <c r="Q1496" s="213"/>
      <c r="R1496" s="213"/>
      <c r="S1496" s="213"/>
      <c r="T1496" s="213"/>
      <c r="U1496" s="213"/>
      <c r="V1496" s="213"/>
      <c r="W1496" s="213"/>
      <c r="X1496" s="213"/>
      <c r="Y1496" s="213"/>
      <c r="Z1496" s="213"/>
      <c r="AA1496" s="213"/>
      <c r="AB1496" s="213"/>
      <c r="AC1496" s="213"/>
      <c r="AD1496" s="213"/>
      <c r="AE1496" s="213"/>
      <c r="AF1496" s="213"/>
      <c r="AG1496" s="213"/>
      <c r="AH1496" s="213"/>
      <c r="AI1496" s="213"/>
      <c r="AJ1496" s="213"/>
      <c r="AK1496" s="213"/>
      <c r="AL1496" s="213"/>
      <c r="AM1496" s="213"/>
      <c r="AN1496" s="213"/>
      <c r="AO1496" s="213"/>
      <c r="AP1496" s="213"/>
      <c r="AQ1496" s="213"/>
      <c r="AR1496" s="213"/>
      <c r="AS1496" s="213"/>
      <c r="AT1496" s="213"/>
      <c r="AU1496" s="213"/>
      <c r="AV1496" s="213"/>
      <c r="AW1496" s="213"/>
      <c r="AX1496" s="213"/>
      <c r="AY1496" s="213"/>
      <c r="AZ1496" s="213"/>
      <c r="BA1496" s="213"/>
      <c r="BB1496" s="213"/>
      <c r="BC1496" s="213"/>
      <c r="BD1496" s="213"/>
    </row>
    <row r="1497">
      <c r="A1497" s="213">
        <f>IFERROR(__xludf.DUMMYFUNCTION("""COMPUTED_VALUE"""),2188.0)</f>
        <v>2188</v>
      </c>
      <c r="B1497" s="213" t="str">
        <f>IFERROR(__xludf.DUMMYFUNCTION("""COMPUTED_VALUE"""),"JOSE GRANDA")</f>
        <v>JOSE GRANDA</v>
      </c>
      <c r="C1497" s="213" t="str">
        <f>IFERROR(__xludf.DUMMYFUNCTION("""COMPUTED_VALUE"""),"TALLER SFT DE INDUSTRIA ALIMENTARIA")</f>
        <v>TALLER SFT DE INDUSTRIA ALIMENTARIA</v>
      </c>
      <c r="D1497" s="213" t="str">
        <f>IFERROR(__xludf.DUMMYFUNCTION("""COMPUTED_VALUE"""),"PEDAGOGICO")</f>
        <v>PEDAGOGICO</v>
      </c>
      <c r="E1497" s="213" t="str">
        <f>IFERROR(__xludf.DUMMYFUNCTION("""COMPUTED_VALUE"""),"MAT-355")</f>
        <v>MAT-355</v>
      </c>
      <c r="F1497" s="213" t="str">
        <f>IFERROR(__xludf.DUMMYFUNCTION("""COMPUTED_VALUE"""),"KEFF-52")</f>
        <v>KEFF-52</v>
      </c>
      <c r="G1497" s="213"/>
      <c r="H1497" s="213" t="str">
        <f>IFERROR(__xludf.DUMMYFUNCTION("""COMPUTED_VALUE"""),"MANUAL PEDAGÓGICO PARA DESARROLLAR HABILIDADES TECNICA PARA REALIZAR PROCESAMIENTO DE CACAO, CAFÉ, QUINUA Y OTROS")</f>
        <v>MANUAL PEDAGÓGICO PARA DESARROLLAR HABILIDADES TECNICA PARA REALIZAR PROCESAMIENTO DE CACAO, CAFÉ, QUINUA Y OTROS</v>
      </c>
      <c r="I149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cacao,café, quinua y otros.
- Procedimientos ejemplificados  para desarrollar habilidades técnicas para realizar procesam"&amp;"iento de cacao, café, quinua y otros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cacao,café, quinua y otros.
- Procedimientos ejemplificados  para desarrollar habilidades técnicas para realizar procesamiento de cacao, café, quinua y otros utilizando los equipos.</v>
      </c>
      <c r="J1497" s="213">
        <f>IFERROR(__xludf.DUMMYFUNCTION("""COMPUTED_VALUE"""),3.0)</f>
        <v>3</v>
      </c>
      <c r="K1497" s="213" t="str">
        <f>IFERROR(__xludf.DUMMYFUNCTION("""COMPUTED_VALUE"""),"170 DÍAS CALENDARIO")</f>
        <v>170 DÍAS CALENDARIO</v>
      </c>
      <c r="L1497" s="213" t="str">
        <f>IFERROR(__xludf.DUMMYFUNCTION("""COMPUTED_VALUE"""),"")</f>
        <v/>
      </c>
      <c r="M1497" s="213">
        <f>IFERROR(__xludf.DUMMYFUNCTION("""COMPUTED_VALUE"""),1.0)</f>
        <v>1</v>
      </c>
      <c r="N1497" s="213">
        <f>IFERROR(__xludf.DUMMYFUNCTION("""COMPUTED_VALUE"""),2.0)</f>
        <v>2</v>
      </c>
      <c r="O1497" s="213">
        <f>IFERROR(__xludf.DUMMYFUNCTION("""COMPUTED_VALUE"""),2.0)</f>
        <v>2</v>
      </c>
      <c r="P1497" s="213"/>
      <c r="Q1497" s="213"/>
      <c r="R1497" s="213"/>
      <c r="S1497" s="213"/>
      <c r="T1497" s="213"/>
      <c r="U1497" s="213"/>
      <c r="V1497" s="213"/>
      <c r="W1497" s="213"/>
      <c r="X1497" s="213"/>
      <c r="Y1497" s="213"/>
      <c r="Z1497" s="213"/>
      <c r="AA1497" s="213"/>
      <c r="AB1497" s="213"/>
      <c r="AC1497" s="213"/>
      <c r="AD1497" s="213"/>
      <c r="AE1497" s="213"/>
      <c r="AF1497" s="213"/>
      <c r="AG1497" s="213"/>
      <c r="AH1497" s="213"/>
      <c r="AI1497" s="213"/>
      <c r="AJ1497" s="213"/>
      <c r="AK1497" s="213"/>
      <c r="AL1497" s="213"/>
      <c r="AM1497" s="213"/>
      <c r="AN1497" s="213"/>
      <c r="AO1497" s="213"/>
      <c r="AP1497" s="213"/>
      <c r="AQ1497" s="213"/>
      <c r="AR1497" s="213"/>
      <c r="AS1497" s="213"/>
      <c r="AT1497" s="213"/>
      <c r="AU1497" s="213"/>
      <c r="AV1497" s="213"/>
      <c r="AW1497" s="213"/>
      <c r="AX1497" s="213"/>
      <c r="AY1497" s="213"/>
      <c r="AZ1497" s="213"/>
      <c r="BA1497" s="213"/>
      <c r="BB1497" s="213"/>
      <c r="BC1497" s="213"/>
      <c r="BD1497" s="213"/>
    </row>
    <row r="1498">
      <c r="A1498" s="213">
        <f>IFERROR(__xludf.DUMMYFUNCTION("""COMPUTED_VALUE"""),584.0)</f>
        <v>584</v>
      </c>
      <c r="B1498" s="213" t="str">
        <f>IFERROR(__xludf.DUMMYFUNCTION("""COMPUTED_VALUE"""),"2026 SIMON BOLIVAR")</f>
        <v>2026 SIMON BOLIVAR</v>
      </c>
      <c r="C1498" s="213" t="str">
        <f>IFERROR(__xludf.DUMMYFUNCTION("""COMPUTED_VALUE"""),"TALLER SFT DE INDUSTRIA ALIMENTARIA")</f>
        <v>TALLER SFT DE INDUSTRIA ALIMENTARIA</v>
      </c>
      <c r="D1498" s="213" t="str">
        <f>IFERROR(__xludf.DUMMYFUNCTION("""COMPUTED_VALUE"""),"PEDAGOGICO")</f>
        <v>PEDAGOGICO</v>
      </c>
      <c r="E1498" s="213" t="str">
        <f>IFERROR(__xludf.DUMMYFUNCTION("""COMPUTED_VALUE"""),"MAT-352")</f>
        <v>MAT-352</v>
      </c>
      <c r="F1498" s="213" t="str">
        <f>IFERROR(__xludf.DUMMYFUNCTION("""COMPUTED_VALUE"""),"KEFF-46")</f>
        <v>KEFF-46</v>
      </c>
      <c r="G1498" s="213"/>
      <c r="H1498" s="213" t="str">
        <f>IFERROR(__xludf.DUMMYFUNCTION("""COMPUTED_VALUE"""),"MANUAL PEDAGÓGICO PARA DESARROLLAR HABILIDADES TECNICA PARA REALIZAR PROCESAMIENTO DE FRUTAS Y HORTALIZAS")</f>
        <v>MANUAL PEDAGÓGICO PARA DESARROLLAR HABILIDADES TECNICA PARA REALIZAR PROCESAMIENTO DE FRUTAS Y HORTALIZAS</v>
      </c>
      <c r="I149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cmx 29,7 cm
· Tipo de Encuadernación: caballete con 2 grapas cuando sea menos de 80 páginas y encolado cuando sea más de 80 páginas.
· Contenido que presenta:
- Información sobre análi"&amp;"sis y diseño de propuestas de valor.
- Metodologías y técnicas para desarrollar habilidades técnicas para realiza el procesamiento de frutas y Hortalizas.
- Procedimientos ejemplificados  para desarrollar habilidades técnicas para realizar el procesamient"&amp;"o de frutas y hortalizas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cmx 29,7 cm
· Tipo de Encuadernación: caballete con 2 grapas cuando sea menos de 80 páginas y encolado cuando sea más de 80 páginas.
· Contenido que presenta:
- Información sobre análisis y diseño de propuestas de valor.
- Metodologías y técnicas para desarrollar habilidades técnicas para realiza el procesamiento de frutas y Hortalizas.
- Procedimientos ejemplificados  para desarrollar habilidades técnicas para realizar el procesamiento de frutas y hortalizas utilizando los equipos.</v>
      </c>
      <c r="J1498" s="213">
        <f>IFERROR(__xludf.DUMMYFUNCTION("""COMPUTED_VALUE"""),3.0)</f>
        <v>3</v>
      </c>
      <c r="K1498" s="213" t="str">
        <f>IFERROR(__xludf.DUMMYFUNCTION("""COMPUTED_VALUE"""),"170 DÍAS CALENDARIO")</f>
        <v>170 DÍAS CALENDARIO</v>
      </c>
      <c r="L1498" s="213" t="str">
        <f>IFERROR(__xludf.DUMMYFUNCTION("""COMPUTED_VALUE"""),"")</f>
        <v/>
      </c>
      <c r="M1498" s="213">
        <f>IFERROR(__xludf.DUMMYFUNCTION("""COMPUTED_VALUE"""),1.0)</f>
        <v>1</v>
      </c>
      <c r="N1498" s="213">
        <f>IFERROR(__xludf.DUMMYFUNCTION("""COMPUTED_VALUE"""),2.0)</f>
        <v>2</v>
      </c>
      <c r="O1498" s="213">
        <f>IFERROR(__xludf.DUMMYFUNCTION("""COMPUTED_VALUE"""),2.0)</f>
        <v>2</v>
      </c>
      <c r="P1498" s="213"/>
      <c r="Q1498" s="213"/>
      <c r="R1498" s="213"/>
      <c r="S1498" s="213"/>
      <c r="T1498" s="213"/>
      <c r="U1498" s="213"/>
      <c r="V1498" s="213"/>
      <c r="W1498" s="213"/>
      <c r="X1498" s="213"/>
      <c r="Y1498" s="213"/>
      <c r="Z1498" s="213"/>
      <c r="AA1498" s="213"/>
      <c r="AB1498" s="213"/>
      <c r="AC1498" s="213"/>
      <c r="AD1498" s="213"/>
      <c r="AE1498" s="213"/>
      <c r="AF1498" s="213"/>
      <c r="AG1498" s="213"/>
      <c r="AH1498" s="213"/>
      <c r="AI1498" s="213"/>
      <c r="AJ1498" s="213"/>
      <c r="AK1498" s="213"/>
      <c r="AL1498" s="213"/>
      <c r="AM1498" s="213"/>
      <c r="AN1498" s="213"/>
      <c r="AO1498" s="213"/>
      <c r="AP1498" s="213"/>
      <c r="AQ1498" s="213"/>
      <c r="AR1498" s="213"/>
      <c r="AS1498" s="213"/>
      <c r="AT1498" s="213"/>
      <c r="AU1498" s="213"/>
      <c r="AV1498" s="213"/>
      <c r="AW1498" s="213"/>
      <c r="AX1498" s="213"/>
      <c r="AY1498" s="213"/>
      <c r="AZ1498" s="213"/>
      <c r="BA1498" s="213"/>
      <c r="BB1498" s="213"/>
      <c r="BC1498" s="213"/>
      <c r="BD1498" s="213"/>
    </row>
    <row r="1499">
      <c r="A1499" s="213">
        <f>IFERROR(__xludf.DUMMYFUNCTION("""COMPUTED_VALUE"""),1210.0)</f>
        <v>1210</v>
      </c>
      <c r="B1499" s="213" t="str">
        <f>IFERROR(__xludf.DUMMYFUNCTION("""COMPUTED_VALUE"""),"FRANCISCO IRAZOLA")</f>
        <v>FRANCISCO IRAZOLA</v>
      </c>
      <c r="C1499" s="213" t="str">
        <f>IFERROR(__xludf.DUMMYFUNCTION("""COMPUTED_VALUE"""),"TALLER SFT DE INDUSTRIA ALIMENTARIA")</f>
        <v>TALLER SFT DE INDUSTRIA ALIMENTARIA</v>
      </c>
      <c r="D1499" s="213" t="str">
        <f>IFERROR(__xludf.DUMMYFUNCTION("""COMPUTED_VALUE"""),"PEDAGOGICO")</f>
        <v>PEDAGOGICO</v>
      </c>
      <c r="E1499" s="213" t="str">
        <f>IFERROR(__xludf.DUMMYFUNCTION("""COMPUTED_VALUE"""),"MAT-352")</f>
        <v>MAT-352</v>
      </c>
      <c r="F1499" s="213" t="str">
        <f>IFERROR(__xludf.DUMMYFUNCTION("""COMPUTED_VALUE"""),"KEFF-46")</f>
        <v>KEFF-46</v>
      </c>
      <c r="G1499" s="213"/>
      <c r="H1499" s="213" t="str">
        <f>IFERROR(__xludf.DUMMYFUNCTION("""COMPUTED_VALUE"""),"MANUAL PEDAGÓGICO PARA DESARROLLAR HABILIDADES TECNICA PARA REALIZAR PROCESAMIENTO DE FRUTAS Y HORTALIZAS")</f>
        <v>MANUAL PEDAGÓGICO PARA DESARROLLAR HABILIDADES TECNICA PARA REALIZAR PROCESAMIENTO DE FRUTAS Y HORTALIZAS</v>
      </c>
      <c r="I149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cmx 29,7 cm
· Tipo de Encuadernación: caballete con 2 grapas cuando sea menos de 80 páginas y encolado cuando sea más de 80 páginas.
· Contenido que presenta:
- Información sobre análi"&amp;"sis y diseño de propuestas de valor.
- Metodologías y técnicas para desarrollar habilidades técnicas para realiza el procesamiento de frutas y Hortalizas.
- Procedimientos ejemplificados  para desarrollar habilidades técnicas para realizar el procesamient"&amp;"o de frutas y hortalizas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cmx 29,7 cm
· Tipo de Encuadernación: caballete con 2 grapas cuando sea menos de 80 páginas y encolado cuando sea más de 80 páginas.
· Contenido que presenta:
- Información sobre análisis y diseño de propuestas de valor.
- Metodologías y técnicas para desarrollar habilidades técnicas para realiza el procesamiento de frutas y Hortalizas.
- Procedimientos ejemplificados  para desarrollar habilidades técnicas para realizar el procesamiento de frutas y hortalizas utilizando los equipos.</v>
      </c>
      <c r="J1499" s="213">
        <f>IFERROR(__xludf.DUMMYFUNCTION("""COMPUTED_VALUE"""),3.0)</f>
        <v>3</v>
      </c>
      <c r="K1499" s="213" t="str">
        <f>IFERROR(__xludf.DUMMYFUNCTION("""COMPUTED_VALUE"""),"170 DÍAS CALENDARIO")</f>
        <v>170 DÍAS CALENDARIO</v>
      </c>
      <c r="L1499" s="213" t="str">
        <f>IFERROR(__xludf.DUMMYFUNCTION("""COMPUTED_VALUE"""),"")</f>
        <v/>
      </c>
      <c r="M1499" s="213">
        <f>IFERROR(__xludf.DUMMYFUNCTION("""COMPUTED_VALUE"""),1.0)</f>
        <v>1</v>
      </c>
      <c r="N1499" s="213">
        <f>IFERROR(__xludf.DUMMYFUNCTION("""COMPUTED_VALUE"""),2.0)</f>
        <v>2</v>
      </c>
      <c r="O1499" s="213">
        <f>IFERROR(__xludf.DUMMYFUNCTION("""COMPUTED_VALUE"""),2.0)</f>
        <v>2</v>
      </c>
      <c r="P1499" s="213"/>
      <c r="Q1499" s="213"/>
      <c r="R1499" s="213"/>
      <c r="S1499" s="213"/>
      <c r="T1499" s="213"/>
      <c r="U1499" s="213"/>
      <c r="V1499" s="213"/>
      <c r="W1499" s="213"/>
      <c r="X1499" s="213"/>
      <c r="Y1499" s="213"/>
      <c r="Z1499" s="213"/>
      <c r="AA1499" s="213"/>
      <c r="AB1499" s="213"/>
      <c r="AC1499" s="213"/>
      <c r="AD1499" s="213"/>
      <c r="AE1499" s="213"/>
      <c r="AF1499" s="213"/>
      <c r="AG1499" s="213"/>
      <c r="AH1499" s="213"/>
      <c r="AI1499" s="213"/>
      <c r="AJ1499" s="213"/>
      <c r="AK1499" s="213"/>
      <c r="AL1499" s="213"/>
      <c r="AM1499" s="213"/>
      <c r="AN1499" s="213"/>
      <c r="AO1499" s="213"/>
      <c r="AP1499" s="213"/>
      <c r="AQ1499" s="213"/>
      <c r="AR1499" s="213"/>
      <c r="AS1499" s="213"/>
      <c r="AT1499" s="213"/>
      <c r="AU1499" s="213"/>
      <c r="AV1499" s="213"/>
      <c r="AW1499" s="213"/>
      <c r="AX1499" s="213"/>
      <c r="AY1499" s="213"/>
      <c r="AZ1499" s="213"/>
      <c r="BA1499" s="213"/>
      <c r="BB1499" s="213"/>
      <c r="BC1499" s="213"/>
      <c r="BD1499" s="213"/>
    </row>
    <row r="1500">
      <c r="A1500" s="213">
        <f>IFERROR(__xludf.DUMMYFUNCTION("""COMPUTED_VALUE"""),1481.0)</f>
        <v>1481</v>
      </c>
      <c r="B1500" s="213" t="str">
        <f>IFERROR(__xludf.DUMMYFUNCTION("""COMPUTED_VALUE"""),"GUILLERMO E. BILLINGHURST ")</f>
        <v>GUILLERMO E. BILLINGHURST </v>
      </c>
      <c r="C1500" s="213" t="str">
        <f>IFERROR(__xludf.DUMMYFUNCTION("""COMPUTED_VALUE"""),"TALLER SFT DE INDUSTRIA ALIMENTARIA")</f>
        <v>TALLER SFT DE INDUSTRIA ALIMENTARIA</v>
      </c>
      <c r="D1500" s="213" t="str">
        <f>IFERROR(__xludf.DUMMYFUNCTION("""COMPUTED_VALUE"""),"PEDAGOGICO")</f>
        <v>PEDAGOGICO</v>
      </c>
      <c r="E1500" s="213" t="str">
        <f>IFERROR(__xludf.DUMMYFUNCTION("""COMPUTED_VALUE"""),"MAT-352")</f>
        <v>MAT-352</v>
      </c>
      <c r="F1500" s="213" t="str">
        <f>IFERROR(__xludf.DUMMYFUNCTION("""COMPUTED_VALUE"""),"KEFF-46")</f>
        <v>KEFF-46</v>
      </c>
      <c r="G1500" s="213"/>
      <c r="H1500" s="213" t="str">
        <f>IFERROR(__xludf.DUMMYFUNCTION("""COMPUTED_VALUE"""),"MANUAL PEDAGÓGICO PARA DESARROLLAR HABILIDADES TECNICA PARA REALIZAR PROCESAMIENTO DE FRUTAS Y HORTALIZAS")</f>
        <v>MANUAL PEDAGÓGICO PARA DESARROLLAR HABILIDADES TECNICA PARA REALIZAR PROCESAMIENTO DE FRUTAS Y HORTALIZAS</v>
      </c>
      <c r="I150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cmx 29,7 cm
· Tipo de Encuadernación: caballete con 2 grapas cuando sea menos de 80 páginas y encolado cuando sea más de 80 páginas.
· Contenido que presenta:
- Información sobre análi"&amp;"sis y diseño de propuestas de valor.
- Metodologías y técnicas para desarrollar habilidades técnicas para realiza el procesamiento de frutas y Hortalizas.
- Procedimientos ejemplificados  para desarrollar habilidades técnicas para realizar el procesamient"&amp;"o de frutas y hortalizas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cmx 29,7 cm
· Tipo de Encuadernación: caballete con 2 grapas cuando sea menos de 80 páginas y encolado cuando sea más de 80 páginas.
· Contenido que presenta:
- Información sobre análisis y diseño de propuestas de valor.
- Metodologías y técnicas para desarrollar habilidades técnicas para realiza el procesamiento de frutas y Hortalizas.
- Procedimientos ejemplificados  para desarrollar habilidades técnicas para realizar el procesamiento de frutas y hortalizas utilizando los equipos.</v>
      </c>
      <c r="J1500" s="213">
        <f>IFERROR(__xludf.DUMMYFUNCTION("""COMPUTED_VALUE"""),3.0)</f>
        <v>3</v>
      </c>
      <c r="K1500" s="213" t="str">
        <f>IFERROR(__xludf.DUMMYFUNCTION("""COMPUTED_VALUE"""),"170 DÍAS CALENDARIO")</f>
        <v>170 DÍAS CALENDARIO</v>
      </c>
      <c r="L1500" s="213" t="str">
        <f>IFERROR(__xludf.DUMMYFUNCTION("""COMPUTED_VALUE"""),"")</f>
        <v/>
      </c>
      <c r="M1500" s="213">
        <f>IFERROR(__xludf.DUMMYFUNCTION("""COMPUTED_VALUE"""),1.0)</f>
        <v>1</v>
      </c>
      <c r="N1500" s="213">
        <f>IFERROR(__xludf.DUMMYFUNCTION("""COMPUTED_VALUE"""),2.0)</f>
        <v>2</v>
      </c>
      <c r="O1500" s="213">
        <f>IFERROR(__xludf.DUMMYFUNCTION("""COMPUTED_VALUE"""),2.0)</f>
        <v>2</v>
      </c>
      <c r="P1500" s="213"/>
      <c r="Q1500" s="213"/>
      <c r="R1500" s="213"/>
      <c r="S1500" s="213"/>
      <c r="T1500" s="213"/>
      <c r="U1500" s="213"/>
      <c r="V1500" s="213"/>
      <c r="W1500" s="213"/>
      <c r="X1500" s="213"/>
      <c r="Y1500" s="213"/>
      <c r="Z1500" s="213"/>
      <c r="AA1500" s="213"/>
      <c r="AB1500" s="213"/>
      <c r="AC1500" s="213"/>
      <c r="AD1500" s="213"/>
      <c r="AE1500" s="213"/>
      <c r="AF1500" s="213"/>
      <c r="AG1500" s="213"/>
      <c r="AH1500" s="213"/>
      <c r="AI1500" s="213"/>
      <c r="AJ1500" s="213"/>
      <c r="AK1500" s="213"/>
      <c r="AL1500" s="213"/>
      <c r="AM1500" s="213"/>
      <c r="AN1500" s="213"/>
      <c r="AO1500" s="213"/>
      <c r="AP1500" s="213"/>
      <c r="AQ1500" s="213"/>
      <c r="AR1500" s="213"/>
      <c r="AS1500" s="213"/>
      <c r="AT1500" s="213"/>
      <c r="AU1500" s="213"/>
      <c r="AV1500" s="213"/>
      <c r="AW1500" s="213"/>
      <c r="AX1500" s="213"/>
      <c r="AY1500" s="213"/>
      <c r="AZ1500" s="213"/>
      <c r="BA1500" s="213"/>
      <c r="BB1500" s="213"/>
      <c r="BC1500" s="213"/>
      <c r="BD1500" s="213"/>
    </row>
    <row r="1501">
      <c r="A1501" s="213">
        <f>IFERROR(__xludf.DUMMYFUNCTION("""COMPUTED_VALUE"""),2173.0)</f>
        <v>2173</v>
      </c>
      <c r="B1501" s="213" t="str">
        <f>IFERROR(__xludf.DUMMYFUNCTION("""COMPUTED_VALUE"""),"JOSE GRANDA")</f>
        <v>JOSE GRANDA</v>
      </c>
      <c r="C1501" s="213" t="str">
        <f>IFERROR(__xludf.DUMMYFUNCTION("""COMPUTED_VALUE"""),"TALLER SFT DE INDUSTRIA ALIMENTARIA")</f>
        <v>TALLER SFT DE INDUSTRIA ALIMENTARIA</v>
      </c>
      <c r="D1501" s="213" t="str">
        <f>IFERROR(__xludf.DUMMYFUNCTION("""COMPUTED_VALUE"""),"PEDAGOGICO")</f>
        <v>PEDAGOGICO</v>
      </c>
      <c r="E1501" s="213" t="str">
        <f>IFERROR(__xludf.DUMMYFUNCTION("""COMPUTED_VALUE"""),"MAT-352")</f>
        <v>MAT-352</v>
      </c>
      <c r="F1501" s="213" t="str">
        <f>IFERROR(__xludf.DUMMYFUNCTION("""COMPUTED_VALUE"""),"KEFF-46")</f>
        <v>KEFF-46</v>
      </c>
      <c r="G1501" s="213"/>
      <c r="H1501" s="213" t="str">
        <f>IFERROR(__xludf.DUMMYFUNCTION("""COMPUTED_VALUE"""),"MANUAL PEDAGÓGICO PARA DESARROLLAR HABILIDADES TECNICA PARA REALIZAR PROCESAMIENTO DE FRUTAS Y HORTALIZAS")</f>
        <v>MANUAL PEDAGÓGICO PARA DESARROLLAR HABILIDADES TECNICA PARA REALIZAR PROCESAMIENTO DE FRUTAS Y HORTALIZAS</v>
      </c>
      <c r="I150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cmx 29,7 cm
· Tipo de Encuadernación: caballete con 2 grapas cuando sea menos de 80 páginas y encolado cuando sea más de 80 páginas.
· Contenido que presenta:
- Información sobre análi"&amp;"sis y diseño de propuestas de valor.
- Metodologías y técnicas para desarrollar habilidades técnicas para realiza el procesamiento de frutas y Hortalizas.
- Procedimientos ejemplificados  para desarrollar habilidades técnicas para realizar el procesamient"&amp;"o de frutas y hortalizas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cmx 29,7 cm
· Tipo de Encuadernación: caballete con 2 grapas cuando sea menos de 80 páginas y encolado cuando sea más de 80 páginas.
· Contenido que presenta:
- Información sobre análisis y diseño de propuestas de valor.
- Metodologías y técnicas para desarrollar habilidades técnicas para realiza el procesamiento de frutas y Hortalizas.
- Procedimientos ejemplificados  para desarrollar habilidades técnicas para realizar el procesamiento de frutas y hortalizas utilizando los equipos.</v>
      </c>
      <c r="J1501" s="213">
        <f>IFERROR(__xludf.DUMMYFUNCTION("""COMPUTED_VALUE"""),3.0)</f>
        <v>3</v>
      </c>
      <c r="K1501" s="213" t="str">
        <f>IFERROR(__xludf.DUMMYFUNCTION("""COMPUTED_VALUE"""),"170 DÍAS CALENDARIO")</f>
        <v>170 DÍAS CALENDARIO</v>
      </c>
      <c r="L1501" s="213" t="str">
        <f>IFERROR(__xludf.DUMMYFUNCTION("""COMPUTED_VALUE"""),"")</f>
        <v/>
      </c>
      <c r="M1501" s="213">
        <f>IFERROR(__xludf.DUMMYFUNCTION("""COMPUTED_VALUE"""),1.0)</f>
        <v>1</v>
      </c>
      <c r="N1501" s="213">
        <f>IFERROR(__xludf.DUMMYFUNCTION("""COMPUTED_VALUE"""),2.0)</f>
        <v>2</v>
      </c>
      <c r="O1501" s="213">
        <f>IFERROR(__xludf.DUMMYFUNCTION("""COMPUTED_VALUE"""),2.0)</f>
        <v>2</v>
      </c>
      <c r="P1501" s="213"/>
      <c r="Q1501" s="213"/>
      <c r="R1501" s="213"/>
      <c r="S1501" s="213"/>
      <c r="T1501" s="213"/>
      <c r="U1501" s="213"/>
      <c r="V1501" s="213"/>
      <c r="W1501" s="213"/>
      <c r="X1501" s="213"/>
      <c r="Y1501" s="213"/>
      <c r="Z1501" s="213"/>
      <c r="AA1501" s="213"/>
      <c r="AB1501" s="213"/>
      <c r="AC1501" s="213"/>
      <c r="AD1501" s="213"/>
      <c r="AE1501" s="213"/>
      <c r="AF1501" s="213"/>
      <c r="AG1501" s="213"/>
      <c r="AH1501" s="213"/>
      <c r="AI1501" s="213"/>
      <c r="AJ1501" s="213"/>
      <c r="AK1501" s="213"/>
      <c r="AL1501" s="213"/>
      <c r="AM1501" s="213"/>
      <c r="AN1501" s="213"/>
      <c r="AO1501" s="213"/>
      <c r="AP1501" s="213"/>
      <c r="AQ1501" s="213"/>
      <c r="AR1501" s="213"/>
      <c r="AS1501" s="213"/>
      <c r="AT1501" s="213"/>
      <c r="AU1501" s="213"/>
      <c r="AV1501" s="213"/>
      <c r="AW1501" s="213"/>
      <c r="AX1501" s="213"/>
      <c r="AY1501" s="213"/>
      <c r="AZ1501" s="213"/>
      <c r="BA1501" s="213"/>
      <c r="BB1501" s="213"/>
      <c r="BC1501" s="213"/>
      <c r="BD1501" s="213"/>
    </row>
    <row r="1502">
      <c r="A1502" s="213">
        <f>IFERROR(__xludf.DUMMYFUNCTION("""COMPUTED_VALUE"""),589.0)</f>
        <v>589</v>
      </c>
      <c r="B1502" s="213" t="str">
        <f>IFERROR(__xludf.DUMMYFUNCTION("""COMPUTED_VALUE"""),"2026 SIMON BOLIVAR")</f>
        <v>2026 SIMON BOLIVAR</v>
      </c>
      <c r="C1502" s="213" t="str">
        <f>IFERROR(__xludf.DUMMYFUNCTION("""COMPUTED_VALUE"""),"TALLER SFT DE INDUSTRIA ALIMENTARIA")</f>
        <v>TALLER SFT DE INDUSTRIA ALIMENTARIA</v>
      </c>
      <c r="D1502" s="213" t="str">
        <f>IFERROR(__xludf.DUMMYFUNCTION("""COMPUTED_VALUE"""),"PEDAGOGICO")</f>
        <v>PEDAGOGICO</v>
      </c>
      <c r="E1502" s="213" t="str">
        <f>IFERROR(__xludf.DUMMYFUNCTION("""COMPUTED_VALUE"""),"MAT-353")</f>
        <v>MAT-353</v>
      </c>
      <c r="F1502" s="213" t="str">
        <f>IFERROR(__xludf.DUMMYFUNCTION("""COMPUTED_VALUE"""),"KEFF-49")</f>
        <v>KEFF-49</v>
      </c>
      <c r="G1502" s="213"/>
      <c r="H1502" s="213" t="str">
        <f>IFERROR(__xludf.DUMMYFUNCTION("""COMPUTED_VALUE"""),"MANUAL PEDAGÓGICO PARA DESARROLLAR HABILIDADES TECNICA PARA REALIZAR PROCESAMIENTO DE LACTEOS Y SUS DERIVADOS")</f>
        <v>MANUAL PEDAGÓGICO PARA DESARROLLAR HABILIDADES TECNICA PARA REALIZAR PROCESAMIENTO DE LACTEOS Y SUS DERIVADOS</v>
      </c>
      <c r="I150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lácteos y sus derivados
- Procedimientos ejemplificados  para desarrollar habilidades técnicas para realizar procesamient"&amp;"o de la leche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lácteos y sus derivados
- Procedimientos ejemplificados  para desarrollar habilidades técnicas para realizar procesamiento de la leche utilizando los equipos.</v>
      </c>
      <c r="J1502" s="213">
        <f>IFERROR(__xludf.DUMMYFUNCTION("""COMPUTED_VALUE"""),3.0)</f>
        <v>3</v>
      </c>
      <c r="K1502" s="213" t="str">
        <f>IFERROR(__xludf.DUMMYFUNCTION("""COMPUTED_VALUE"""),"170 DÍAS CALENDARIO")</f>
        <v>170 DÍAS CALENDARIO</v>
      </c>
      <c r="L1502" s="213" t="str">
        <f>IFERROR(__xludf.DUMMYFUNCTION("""COMPUTED_VALUE"""),"")</f>
        <v/>
      </c>
      <c r="M1502" s="213">
        <f>IFERROR(__xludf.DUMMYFUNCTION("""COMPUTED_VALUE"""),1.0)</f>
        <v>1</v>
      </c>
      <c r="N1502" s="213">
        <f>IFERROR(__xludf.DUMMYFUNCTION("""COMPUTED_VALUE"""),2.0)</f>
        <v>2</v>
      </c>
      <c r="O1502" s="213">
        <f>IFERROR(__xludf.DUMMYFUNCTION("""COMPUTED_VALUE"""),2.0)</f>
        <v>2</v>
      </c>
      <c r="P1502" s="213"/>
      <c r="Q1502" s="213"/>
      <c r="R1502" s="213"/>
      <c r="S1502" s="213"/>
      <c r="T1502" s="213"/>
      <c r="U1502" s="213"/>
      <c r="V1502" s="213"/>
      <c r="W1502" s="213"/>
      <c r="X1502" s="213"/>
      <c r="Y1502" s="213"/>
      <c r="Z1502" s="213"/>
      <c r="AA1502" s="213"/>
      <c r="AB1502" s="213"/>
      <c r="AC1502" s="213"/>
      <c r="AD1502" s="213"/>
      <c r="AE1502" s="213"/>
      <c r="AF1502" s="213"/>
      <c r="AG1502" s="213"/>
      <c r="AH1502" s="213"/>
      <c r="AI1502" s="213"/>
      <c r="AJ1502" s="213"/>
      <c r="AK1502" s="213"/>
      <c r="AL1502" s="213"/>
      <c r="AM1502" s="213"/>
      <c r="AN1502" s="213"/>
      <c r="AO1502" s="213"/>
      <c r="AP1502" s="213"/>
      <c r="AQ1502" s="213"/>
      <c r="AR1502" s="213"/>
      <c r="AS1502" s="213"/>
      <c r="AT1502" s="213"/>
      <c r="AU1502" s="213"/>
      <c r="AV1502" s="213"/>
      <c r="AW1502" s="213"/>
      <c r="AX1502" s="213"/>
      <c r="AY1502" s="213"/>
      <c r="AZ1502" s="213"/>
      <c r="BA1502" s="213"/>
      <c r="BB1502" s="213"/>
      <c r="BC1502" s="213"/>
      <c r="BD1502" s="213"/>
    </row>
    <row r="1503">
      <c r="A1503" s="213">
        <f>IFERROR(__xludf.DUMMYFUNCTION("""COMPUTED_VALUE"""),1215.0)</f>
        <v>1215</v>
      </c>
      <c r="B1503" s="213" t="str">
        <f>IFERROR(__xludf.DUMMYFUNCTION("""COMPUTED_VALUE"""),"FRANCISCO IRAZOLA")</f>
        <v>FRANCISCO IRAZOLA</v>
      </c>
      <c r="C1503" s="213" t="str">
        <f>IFERROR(__xludf.DUMMYFUNCTION("""COMPUTED_VALUE"""),"TALLER SFT DE INDUSTRIA ALIMENTARIA")</f>
        <v>TALLER SFT DE INDUSTRIA ALIMENTARIA</v>
      </c>
      <c r="D1503" s="213" t="str">
        <f>IFERROR(__xludf.DUMMYFUNCTION("""COMPUTED_VALUE"""),"PEDAGOGICO")</f>
        <v>PEDAGOGICO</v>
      </c>
      <c r="E1503" s="213" t="str">
        <f>IFERROR(__xludf.DUMMYFUNCTION("""COMPUTED_VALUE"""),"MAT-353")</f>
        <v>MAT-353</v>
      </c>
      <c r="F1503" s="213" t="str">
        <f>IFERROR(__xludf.DUMMYFUNCTION("""COMPUTED_VALUE"""),"KEFF-49")</f>
        <v>KEFF-49</v>
      </c>
      <c r="G1503" s="213"/>
      <c r="H1503" s="213" t="str">
        <f>IFERROR(__xludf.DUMMYFUNCTION("""COMPUTED_VALUE"""),"MANUAL PEDAGÓGICO PARA DESARROLLAR HABILIDADES TECNICA PARA REALIZAR PROCESAMIENTO DE LACTEOS Y SUS DERIVADOS")</f>
        <v>MANUAL PEDAGÓGICO PARA DESARROLLAR HABILIDADES TECNICA PARA REALIZAR PROCESAMIENTO DE LACTEOS Y SUS DERIVADOS</v>
      </c>
      <c r="I150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lácteos y sus derivados
- Procedimientos ejemplificados  para desarrollar habilidades técnicas para realizar procesamient"&amp;"o de la leche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lácteos y sus derivados
- Procedimientos ejemplificados  para desarrollar habilidades técnicas para realizar procesamiento de la leche utilizando los equipos.</v>
      </c>
      <c r="J1503" s="213">
        <f>IFERROR(__xludf.DUMMYFUNCTION("""COMPUTED_VALUE"""),3.0)</f>
        <v>3</v>
      </c>
      <c r="K1503" s="213" t="str">
        <f>IFERROR(__xludf.DUMMYFUNCTION("""COMPUTED_VALUE"""),"170 DÍAS CALENDARIO")</f>
        <v>170 DÍAS CALENDARIO</v>
      </c>
      <c r="L1503" s="213" t="str">
        <f>IFERROR(__xludf.DUMMYFUNCTION("""COMPUTED_VALUE"""),"")</f>
        <v/>
      </c>
      <c r="M1503" s="213">
        <f>IFERROR(__xludf.DUMMYFUNCTION("""COMPUTED_VALUE"""),1.0)</f>
        <v>1</v>
      </c>
      <c r="N1503" s="213">
        <f>IFERROR(__xludf.DUMMYFUNCTION("""COMPUTED_VALUE"""),2.0)</f>
        <v>2</v>
      </c>
      <c r="O1503" s="213">
        <f>IFERROR(__xludf.DUMMYFUNCTION("""COMPUTED_VALUE"""),2.0)</f>
        <v>2</v>
      </c>
      <c r="P1503" s="213"/>
      <c r="Q1503" s="213"/>
      <c r="R1503" s="213"/>
      <c r="S1503" s="213"/>
      <c r="T1503" s="213"/>
      <c r="U1503" s="213"/>
      <c r="V1503" s="213"/>
      <c r="W1503" s="213"/>
      <c r="X1503" s="213"/>
      <c r="Y1503" s="213"/>
      <c r="Z1503" s="213"/>
      <c r="AA1503" s="213"/>
      <c r="AB1503" s="213"/>
      <c r="AC1503" s="213"/>
      <c r="AD1503" s="213"/>
      <c r="AE1503" s="213"/>
      <c r="AF1503" s="213"/>
      <c r="AG1503" s="213"/>
      <c r="AH1503" s="213"/>
      <c r="AI1503" s="213"/>
      <c r="AJ1503" s="213"/>
      <c r="AK1503" s="213"/>
      <c r="AL1503" s="213"/>
      <c r="AM1503" s="213"/>
      <c r="AN1503" s="213"/>
      <c r="AO1503" s="213"/>
      <c r="AP1503" s="213"/>
      <c r="AQ1503" s="213"/>
      <c r="AR1503" s="213"/>
      <c r="AS1503" s="213"/>
      <c r="AT1503" s="213"/>
      <c r="AU1503" s="213"/>
      <c r="AV1503" s="213"/>
      <c r="AW1503" s="213"/>
      <c r="AX1503" s="213"/>
      <c r="AY1503" s="213"/>
      <c r="AZ1503" s="213"/>
      <c r="BA1503" s="213"/>
      <c r="BB1503" s="213"/>
      <c r="BC1503" s="213"/>
      <c r="BD1503" s="213"/>
    </row>
    <row r="1504">
      <c r="A1504" s="213">
        <f>IFERROR(__xludf.DUMMYFUNCTION("""COMPUTED_VALUE"""),1486.0)</f>
        <v>1486</v>
      </c>
      <c r="B1504" s="213" t="str">
        <f>IFERROR(__xludf.DUMMYFUNCTION("""COMPUTED_VALUE"""),"GUILLERMO E. BILLINGHURST ")</f>
        <v>GUILLERMO E. BILLINGHURST </v>
      </c>
      <c r="C1504" s="213" t="str">
        <f>IFERROR(__xludf.DUMMYFUNCTION("""COMPUTED_VALUE"""),"TALLER SFT DE INDUSTRIA ALIMENTARIA")</f>
        <v>TALLER SFT DE INDUSTRIA ALIMENTARIA</v>
      </c>
      <c r="D1504" s="213" t="str">
        <f>IFERROR(__xludf.DUMMYFUNCTION("""COMPUTED_VALUE"""),"PEDAGOGICO")</f>
        <v>PEDAGOGICO</v>
      </c>
      <c r="E1504" s="213" t="str">
        <f>IFERROR(__xludf.DUMMYFUNCTION("""COMPUTED_VALUE"""),"MAT-353")</f>
        <v>MAT-353</v>
      </c>
      <c r="F1504" s="213" t="str">
        <f>IFERROR(__xludf.DUMMYFUNCTION("""COMPUTED_VALUE"""),"KEFF-49")</f>
        <v>KEFF-49</v>
      </c>
      <c r="G1504" s="213"/>
      <c r="H1504" s="213" t="str">
        <f>IFERROR(__xludf.DUMMYFUNCTION("""COMPUTED_VALUE"""),"MANUAL PEDAGÓGICO PARA DESARROLLAR HABILIDADES TECNICA PARA REALIZAR PROCESAMIENTO DE LACTEOS Y SUS DERIVADOS")</f>
        <v>MANUAL PEDAGÓGICO PARA DESARROLLAR HABILIDADES TECNICA PARA REALIZAR PROCESAMIENTO DE LACTEOS Y SUS DERIVADOS</v>
      </c>
      <c r="I150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lácteos y sus derivados
- Procedimientos ejemplificados  para desarrollar habilidades técnicas para realizar procesamient"&amp;"o de la leche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lácteos y sus derivados
- Procedimientos ejemplificados  para desarrollar habilidades técnicas para realizar procesamiento de la leche utilizando los equipos.</v>
      </c>
      <c r="J1504" s="213">
        <f>IFERROR(__xludf.DUMMYFUNCTION("""COMPUTED_VALUE"""),3.0)</f>
        <v>3</v>
      </c>
      <c r="K1504" s="213" t="str">
        <f>IFERROR(__xludf.DUMMYFUNCTION("""COMPUTED_VALUE"""),"170 DÍAS CALENDARIO")</f>
        <v>170 DÍAS CALENDARIO</v>
      </c>
      <c r="L1504" s="213" t="str">
        <f>IFERROR(__xludf.DUMMYFUNCTION("""COMPUTED_VALUE"""),"")</f>
        <v/>
      </c>
      <c r="M1504" s="213">
        <f>IFERROR(__xludf.DUMMYFUNCTION("""COMPUTED_VALUE"""),1.0)</f>
        <v>1</v>
      </c>
      <c r="N1504" s="213">
        <f>IFERROR(__xludf.DUMMYFUNCTION("""COMPUTED_VALUE"""),2.0)</f>
        <v>2</v>
      </c>
      <c r="O1504" s="213">
        <f>IFERROR(__xludf.DUMMYFUNCTION("""COMPUTED_VALUE"""),2.0)</f>
        <v>2</v>
      </c>
      <c r="P1504" s="213"/>
      <c r="Q1504" s="213"/>
      <c r="R1504" s="213"/>
      <c r="S1504" s="213"/>
      <c r="T1504" s="213"/>
      <c r="U1504" s="213"/>
      <c r="V1504" s="213"/>
      <c r="W1504" s="213"/>
      <c r="X1504" s="213"/>
      <c r="Y1504" s="213"/>
      <c r="Z1504" s="213"/>
      <c r="AA1504" s="213"/>
      <c r="AB1504" s="213"/>
      <c r="AC1504" s="213"/>
      <c r="AD1504" s="213"/>
      <c r="AE1504" s="213"/>
      <c r="AF1504" s="213"/>
      <c r="AG1504" s="213"/>
      <c r="AH1504" s="213"/>
      <c r="AI1504" s="213"/>
      <c r="AJ1504" s="213"/>
      <c r="AK1504" s="213"/>
      <c r="AL1504" s="213"/>
      <c r="AM1504" s="213"/>
      <c r="AN1504" s="213"/>
      <c r="AO1504" s="213"/>
      <c r="AP1504" s="213"/>
      <c r="AQ1504" s="213"/>
      <c r="AR1504" s="213"/>
      <c r="AS1504" s="213"/>
      <c r="AT1504" s="213"/>
      <c r="AU1504" s="213"/>
      <c r="AV1504" s="213"/>
      <c r="AW1504" s="213"/>
      <c r="AX1504" s="213"/>
      <c r="AY1504" s="213"/>
      <c r="AZ1504" s="213"/>
      <c r="BA1504" s="213"/>
      <c r="BB1504" s="213"/>
      <c r="BC1504" s="213"/>
      <c r="BD1504" s="213"/>
    </row>
    <row r="1505">
      <c r="A1505" s="213">
        <f>IFERROR(__xludf.DUMMYFUNCTION("""COMPUTED_VALUE"""),2178.0)</f>
        <v>2178</v>
      </c>
      <c r="B1505" s="213" t="str">
        <f>IFERROR(__xludf.DUMMYFUNCTION("""COMPUTED_VALUE"""),"JOSE GRANDA")</f>
        <v>JOSE GRANDA</v>
      </c>
      <c r="C1505" s="213" t="str">
        <f>IFERROR(__xludf.DUMMYFUNCTION("""COMPUTED_VALUE"""),"TALLER SFT DE INDUSTRIA ALIMENTARIA")</f>
        <v>TALLER SFT DE INDUSTRIA ALIMENTARIA</v>
      </c>
      <c r="D1505" s="213" t="str">
        <f>IFERROR(__xludf.DUMMYFUNCTION("""COMPUTED_VALUE"""),"PEDAGOGICO")</f>
        <v>PEDAGOGICO</v>
      </c>
      <c r="E1505" s="213" t="str">
        <f>IFERROR(__xludf.DUMMYFUNCTION("""COMPUTED_VALUE"""),"MAT-353")</f>
        <v>MAT-353</v>
      </c>
      <c r="F1505" s="213" t="str">
        <f>IFERROR(__xludf.DUMMYFUNCTION("""COMPUTED_VALUE"""),"KEFF-49")</f>
        <v>KEFF-49</v>
      </c>
      <c r="G1505" s="213"/>
      <c r="H1505" s="213" t="str">
        <f>IFERROR(__xludf.DUMMYFUNCTION("""COMPUTED_VALUE"""),"MANUAL PEDAGÓGICO PARA DESARROLLAR HABILIDADES TECNICA PARA REALIZAR PROCESAMIENTO DE LACTEOS Y SUS DERIVADOS")</f>
        <v>MANUAL PEDAGÓGICO PARA DESARROLLAR HABILIDADES TECNICA PARA REALIZAR PROCESAMIENTO DE LACTEOS Y SUS DERIVADOS</v>
      </c>
      <c r="I150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lácteos y sus derivados
- Procedimientos ejemplificados  para desarrollar habilidades técnicas para realizar procesamient"&amp;"o de la leche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lácteos y sus derivados
- Procedimientos ejemplificados  para desarrollar habilidades técnicas para realizar procesamiento de la leche utilizando los equipos.</v>
      </c>
      <c r="J1505" s="213">
        <f>IFERROR(__xludf.DUMMYFUNCTION("""COMPUTED_VALUE"""),3.0)</f>
        <v>3</v>
      </c>
      <c r="K1505" s="213" t="str">
        <f>IFERROR(__xludf.DUMMYFUNCTION("""COMPUTED_VALUE"""),"170 DÍAS CALENDARIO")</f>
        <v>170 DÍAS CALENDARIO</v>
      </c>
      <c r="L1505" s="213" t="str">
        <f>IFERROR(__xludf.DUMMYFUNCTION("""COMPUTED_VALUE"""),"")</f>
        <v/>
      </c>
      <c r="M1505" s="213">
        <f>IFERROR(__xludf.DUMMYFUNCTION("""COMPUTED_VALUE"""),1.0)</f>
        <v>1</v>
      </c>
      <c r="N1505" s="213">
        <f>IFERROR(__xludf.DUMMYFUNCTION("""COMPUTED_VALUE"""),2.0)</f>
        <v>2</v>
      </c>
      <c r="O1505" s="213">
        <f>IFERROR(__xludf.DUMMYFUNCTION("""COMPUTED_VALUE"""),2.0)</f>
        <v>2</v>
      </c>
      <c r="P1505" s="213"/>
      <c r="Q1505" s="213"/>
      <c r="R1505" s="213"/>
      <c r="S1505" s="213"/>
      <c r="T1505" s="213"/>
      <c r="U1505" s="213"/>
      <c r="V1505" s="213"/>
      <c r="W1505" s="213"/>
      <c r="X1505" s="213"/>
      <c r="Y1505" s="213"/>
      <c r="Z1505" s="213"/>
      <c r="AA1505" s="213"/>
      <c r="AB1505" s="213"/>
      <c r="AC1505" s="213"/>
      <c r="AD1505" s="213"/>
      <c r="AE1505" s="213"/>
      <c r="AF1505" s="213"/>
      <c r="AG1505" s="213"/>
      <c r="AH1505" s="213"/>
      <c r="AI1505" s="213"/>
      <c r="AJ1505" s="213"/>
      <c r="AK1505" s="213"/>
      <c r="AL1505" s="213"/>
      <c r="AM1505" s="213"/>
      <c r="AN1505" s="213"/>
      <c r="AO1505" s="213"/>
      <c r="AP1505" s="213"/>
      <c r="AQ1505" s="213"/>
      <c r="AR1505" s="213"/>
      <c r="AS1505" s="213"/>
      <c r="AT1505" s="213"/>
      <c r="AU1505" s="213"/>
      <c r="AV1505" s="213"/>
      <c r="AW1505" s="213"/>
      <c r="AX1505" s="213"/>
      <c r="AY1505" s="213"/>
      <c r="AZ1505" s="213"/>
      <c r="BA1505" s="213"/>
      <c r="BB1505" s="213"/>
      <c r="BC1505" s="213"/>
      <c r="BD1505" s="213"/>
    </row>
    <row r="1506">
      <c r="A1506" s="213">
        <f>IFERROR(__xludf.DUMMYFUNCTION("""COMPUTED_VALUE"""),594.0)</f>
        <v>594</v>
      </c>
      <c r="B1506" s="213" t="str">
        <f>IFERROR(__xludf.DUMMYFUNCTION("""COMPUTED_VALUE"""),"2026 SIMON BOLIVAR")</f>
        <v>2026 SIMON BOLIVAR</v>
      </c>
      <c r="C1506" s="213" t="str">
        <f>IFERROR(__xludf.DUMMYFUNCTION("""COMPUTED_VALUE"""),"TALLER SFT DE INDUSTRIA ALIMENTARIA")</f>
        <v>TALLER SFT DE INDUSTRIA ALIMENTARIA</v>
      </c>
      <c r="D1506" s="213" t="str">
        <f>IFERROR(__xludf.DUMMYFUNCTION("""COMPUTED_VALUE"""),"PEDAGOGICO")</f>
        <v>PEDAGOGICO</v>
      </c>
      <c r="E1506" s="213" t="str">
        <f>IFERROR(__xludf.DUMMYFUNCTION("""COMPUTED_VALUE"""),"MAT-354")</f>
        <v>MAT-354</v>
      </c>
      <c r="F1506" s="213" t="str">
        <f>IFERROR(__xludf.DUMMYFUNCTION("""COMPUTED_VALUE"""),"KEFF-55")</f>
        <v>KEFF-55</v>
      </c>
      <c r="G1506" s="213"/>
      <c r="H1506" s="213" t="str">
        <f>IFERROR(__xludf.DUMMYFUNCTION("""COMPUTED_VALUE"""),"MANUAL PEDAGÓGICO PARA DESARROLLAR HABILIDADES TECNICA PARA REALIZAR PROCESAMIENTO DE PANADERIA Y PASTELERIA")</f>
        <v>MANUAL PEDAGÓGICO PARA DESARROLLAR HABILIDADES TECNICA PARA REALIZAR PROCESAMIENTO DE PANADERIA Y PASTELERIA</v>
      </c>
      <c r="I150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panaderia y pasteleria.
- Procedimientos ejemplificados  para desarrollar habilidades técnicas para realizar procesamient"&amp;"o en panadería y pastelería en todos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panaderia y pasteleria.
- Procedimientos ejemplificados  para desarrollar habilidades técnicas para realizar procesamiento en panadería y pastelería en todos los equipos.</v>
      </c>
      <c r="J1506" s="213">
        <f>IFERROR(__xludf.DUMMYFUNCTION("""COMPUTED_VALUE"""),3.0)</f>
        <v>3</v>
      </c>
      <c r="K1506" s="213" t="str">
        <f>IFERROR(__xludf.DUMMYFUNCTION("""COMPUTED_VALUE"""),"170 DÍAS CALENDARIO")</f>
        <v>170 DÍAS CALENDARIO</v>
      </c>
      <c r="L1506" s="213" t="str">
        <f>IFERROR(__xludf.DUMMYFUNCTION("""COMPUTED_VALUE"""),"")</f>
        <v/>
      </c>
      <c r="M1506" s="213">
        <f>IFERROR(__xludf.DUMMYFUNCTION("""COMPUTED_VALUE"""),1.0)</f>
        <v>1</v>
      </c>
      <c r="N1506" s="213">
        <f>IFERROR(__xludf.DUMMYFUNCTION("""COMPUTED_VALUE"""),2.0)</f>
        <v>2</v>
      </c>
      <c r="O1506" s="213">
        <f>IFERROR(__xludf.DUMMYFUNCTION("""COMPUTED_VALUE"""),2.0)</f>
        <v>2</v>
      </c>
      <c r="P1506" s="213"/>
      <c r="Q1506" s="213"/>
      <c r="R1506" s="213"/>
      <c r="S1506" s="213"/>
      <c r="T1506" s="213"/>
      <c r="U1506" s="213"/>
      <c r="V1506" s="213"/>
      <c r="W1506" s="213"/>
      <c r="X1506" s="213"/>
      <c r="Y1506" s="213"/>
      <c r="Z1506" s="213"/>
      <c r="AA1506" s="213"/>
      <c r="AB1506" s="213"/>
      <c r="AC1506" s="213"/>
      <c r="AD1506" s="213"/>
      <c r="AE1506" s="213"/>
      <c r="AF1506" s="213"/>
      <c r="AG1506" s="213"/>
      <c r="AH1506" s="213"/>
      <c r="AI1506" s="213"/>
      <c r="AJ1506" s="213"/>
      <c r="AK1506" s="213"/>
      <c r="AL1506" s="213"/>
      <c r="AM1506" s="213"/>
      <c r="AN1506" s="213"/>
      <c r="AO1506" s="213"/>
      <c r="AP1506" s="213"/>
      <c r="AQ1506" s="213"/>
      <c r="AR1506" s="213"/>
      <c r="AS1506" s="213"/>
      <c r="AT1506" s="213"/>
      <c r="AU1506" s="213"/>
      <c r="AV1506" s="213"/>
      <c r="AW1506" s="213"/>
      <c r="AX1506" s="213"/>
      <c r="AY1506" s="213"/>
      <c r="AZ1506" s="213"/>
      <c r="BA1506" s="213"/>
      <c r="BB1506" s="213"/>
      <c r="BC1506" s="213"/>
      <c r="BD1506" s="213"/>
    </row>
    <row r="1507">
      <c r="A1507" s="213">
        <f>IFERROR(__xludf.DUMMYFUNCTION("""COMPUTED_VALUE"""),1220.0)</f>
        <v>1220</v>
      </c>
      <c r="B1507" s="213" t="str">
        <f>IFERROR(__xludf.DUMMYFUNCTION("""COMPUTED_VALUE"""),"FRANCISCO IRAZOLA")</f>
        <v>FRANCISCO IRAZOLA</v>
      </c>
      <c r="C1507" s="213" t="str">
        <f>IFERROR(__xludf.DUMMYFUNCTION("""COMPUTED_VALUE"""),"TALLER SFT DE INDUSTRIA ALIMENTARIA")</f>
        <v>TALLER SFT DE INDUSTRIA ALIMENTARIA</v>
      </c>
      <c r="D1507" s="213" t="str">
        <f>IFERROR(__xludf.DUMMYFUNCTION("""COMPUTED_VALUE"""),"PEDAGOGICO")</f>
        <v>PEDAGOGICO</v>
      </c>
      <c r="E1507" s="213" t="str">
        <f>IFERROR(__xludf.DUMMYFUNCTION("""COMPUTED_VALUE"""),"MAT-354")</f>
        <v>MAT-354</v>
      </c>
      <c r="F1507" s="213" t="str">
        <f>IFERROR(__xludf.DUMMYFUNCTION("""COMPUTED_VALUE"""),"KEFF-55")</f>
        <v>KEFF-55</v>
      </c>
      <c r="G1507" s="213"/>
      <c r="H1507" s="213" t="str">
        <f>IFERROR(__xludf.DUMMYFUNCTION("""COMPUTED_VALUE"""),"MANUAL PEDAGÓGICO PARA DESARROLLAR HABILIDADES TECNICA PARA REALIZAR PROCESAMIENTO DE PANADERIA Y PASTELERIA")</f>
        <v>MANUAL PEDAGÓGICO PARA DESARROLLAR HABILIDADES TECNICA PARA REALIZAR PROCESAMIENTO DE PANADERIA Y PASTELERIA</v>
      </c>
      <c r="I150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panaderia y pasteleria.
- Procedimientos ejemplificados  para desarrollar habilidades técnicas para realizar procesamient"&amp;"o en panadería y pastelería en todos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panaderia y pasteleria.
- Procedimientos ejemplificados  para desarrollar habilidades técnicas para realizar procesamiento en panadería y pastelería en todos los equipos.</v>
      </c>
      <c r="J1507" s="213">
        <f>IFERROR(__xludf.DUMMYFUNCTION("""COMPUTED_VALUE"""),3.0)</f>
        <v>3</v>
      </c>
      <c r="K1507" s="213" t="str">
        <f>IFERROR(__xludf.DUMMYFUNCTION("""COMPUTED_VALUE"""),"170 DÍAS CALENDARIO")</f>
        <v>170 DÍAS CALENDARIO</v>
      </c>
      <c r="L1507" s="213" t="str">
        <f>IFERROR(__xludf.DUMMYFUNCTION("""COMPUTED_VALUE"""),"")</f>
        <v/>
      </c>
      <c r="M1507" s="213">
        <f>IFERROR(__xludf.DUMMYFUNCTION("""COMPUTED_VALUE"""),1.0)</f>
        <v>1</v>
      </c>
      <c r="N1507" s="213">
        <f>IFERROR(__xludf.DUMMYFUNCTION("""COMPUTED_VALUE"""),2.0)</f>
        <v>2</v>
      </c>
      <c r="O1507" s="213">
        <f>IFERROR(__xludf.DUMMYFUNCTION("""COMPUTED_VALUE"""),2.0)</f>
        <v>2</v>
      </c>
      <c r="P1507" s="213"/>
      <c r="Q1507" s="213"/>
      <c r="R1507" s="213"/>
      <c r="S1507" s="213"/>
      <c r="T1507" s="213"/>
      <c r="U1507" s="213"/>
      <c r="V1507" s="213"/>
      <c r="W1507" s="213"/>
      <c r="X1507" s="213"/>
      <c r="Y1507" s="213"/>
      <c r="Z1507" s="213"/>
      <c r="AA1507" s="213"/>
      <c r="AB1507" s="213"/>
      <c r="AC1507" s="213"/>
      <c r="AD1507" s="213"/>
      <c r="AE1507" s="213"/>
      <c r="AF1507" s="213"/>
      <c r="AG1507" s="213"/>
      <c r="AH1507" s="213"/>
      <c r="AI1507" s="213"/>
      <c r="AJ1507" s="213"/>
      <c r="AK1507" s="213"/>
      <c r="AL1507" s="213"/>
      <c r="AM1507" s="213"/>
      <c r="AN1507" s="213"/>
      <c r="AO1507" s="213"/>
      <c r="AP1507" s="213"/>
      <c r="AQ1507" s="213"/>
      <c r="AR1507" s="213"/>
      <c r="AS1507" s="213"/>
      <c r="AT1507" s="213"/>
      <c r="AU1507" s="213"/>
      <c r="AV1507" s="213"/>
      <c r="AW1507" s="213"/>
      <c r="AX1507" s="213"/>
      <c r="AY1507" s="213"/>
      <c r="AZ1507" s="213"/>
      <c r="BA1507" s="213"/>
      <c r="BB1507" s="213"/>
      <c r="BC1507" s="213"/>
      <c r="BD1507" s="213"/>
    </row>
    <row r="1508">
      <c r="A1508" s="213">
        <f>IFERROR(__xludf.DUMMYFUNCTION("""COMPUTED_VALUE"""),1491.0)</f>
        <v>1491</v>
      </c>
      <c r="B1508" s="213" t="str">
        <f>IFERROR(__xludf.DUMMYFUNCTION("""COMPUTED_VALUE"""),"GUILLERMO E. BILLINGHURST ")</f>
        <v>GUILLERMO E. BILLINGHURST </v>
      </c>
      <c r="C1508" s="213" t="str">
        <f>IFERROR(__xludf.DUMMYFUNCTION("""COMPUTED_VALUE"""),"TALLER SFT DE INDUSTRIA ALIMENTARIA")</f>
        <v>TALLER SFT DE INDUSTRIA ALIMENTARIA</v>
      </c>
      <c r="D1508" s="213" t="str">
        <f>IFERROR(__xludf.DUMMYFUNCTION("""COMPUTED_VALUE"""),"PEDAGOGICO")</f>
        <v>PEDAGOGICO</v>
      </c>
      <c r="E1508" s="213" t="str">
        <f>IFERROR(__xludf.DUMMYFUNCTION("""COMPUTED_VALUE"""),"MAT-354")</f>
        <v>MAT-354</v>
      </c>
      <c r="F1508" s="213" t="str">
        <f>IFERROR(__xludf.DUMMYFUNCTION("""COMPUTED_VALUE"""),"KEFF-55")</f>
        <v>KEFF-55</v>
      </c>
      <c r="G1508" s="213"/>
      <c r="H1508" s="213" t="str">
        <f>IFERROR(__xludf.DUMMYFUNCTION("""COMPUTED_VALUE"""),"MANUAL PEDAGÓGICO PARA DESARROLLAR HABILIDADES TECNICA PARA REALIZAR PROCESAMIENTO DE PANADERIA Y PASTELERIA")</f>
        <v>MANUAL PEDAGÓGICO PARA DESARROLLAR HABILIDADES TECNICA PARA REALIZAR PROCESAMIENTO DE PANADERIA Y PASTELERIA</v>
      </c>
      <c r="I150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panaderia y pasteleria.
- Procedimientos ejemplificados  para desarrollar habilidades técnicas para realizar procesamient"&amp;"o en panadería y pastelería en todos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panaderia y pasteleria.
- Procedimientos ejemplificados  para desarrollar habilidades técnicas para realizar procesamiento en panadería y pastelería en todos los equipos.</v>
      </c>
      <c r="J1508" s="213">
        <f>IFERROR(__xludf.DUMMYFUNCTION("""COMPUTED_VALUE"""),3.0)</f>
        <v>3</v>
      </c>
      <c r="K1508" s="213" t="str">
        <f>IFERROR(__xludf.DUMMYFUNCTION("""COMPUTED_VALUE"""),"170 DÍAS CALENDARIO")</f>
        <v>170 DÍAS CALENDARIO</v>
      </c>
      <c r="L1508" s="213" t="str">
        <f>IFERROR(__xludf.DUMMYFUNCTION("""COMPUTED_VALUE"""),"")</f>
        <v/>
      </c>
      <c r="M1508" s="213">
        <f>IFERROR(__xludf.DUMMYFUNCTION("""COMPUTED_VALUE"""),1.0)</f>
        <v>1</v>
      </c>
      <c r="N1508" s="213">
        <f>IFERROR(__xludf.DUMMYFUNCTION("""COMPUTED_VALUE"""),2.0)</f>
        <v>2</v>
      </c>
      <c r="O1508" s="213">
        <f>IFERROR(__xludf.DUMMYFUNCTION("""COMPUTED_VALUE"""),2.0)</f>
        <v>2</v>
      </c>
      <c r="P1508" s="213"/>
      <c r="Q1508" s="213"/>
      <c r="R1508" s="213"/>
      <c r="S1508" s="213"/>
      <c r="T1508" s="213"/>
      <c r="U1508" s="213"/>
      <c r="V1508" s="213"/>
      <c r="W1508" s="213"/>
      <c r="X1508" s="213"/>
      <c r="Y1508" s="213"/>
      <c r="Z1508" s="213"/>
      <c r="AA1508" s="213"/>
      <c r="AB1508" s="213"/>
      <c r="AC1508" s="213"/>
      <c r="AD1508" s="213"/>
      <c r="AE1508" s="213"/>
      <c r="AF1508" s="213"/>
      <c r="AG1508" s="213"/>
      <c r="AH1508" s="213"/>
      <c r="AI1508" s="213"/>
      <c r="AJ1508" s="213"/>
      <c r="AK1508" s="213"/>
      <c r="AL1508" s="213"/>
      <c r="AM1508" s="213"/>
      <c r="AN1508" s="213"/>
      <c r="AO1508" s="213"/>
      <c r="AP1508" s="213"/>
      <c r="AQ1508" s="213"/>
      <c r="AR1508" s="213"/>
      <c r="AS1508" s="213"/>
      <c r="AT1508" s="213"/>
      <c r="AU1508" s="213"/>
      <c r="AV1508" s="213"/>
      <c r="AW1508" s="213"/>
      <c r="AX1508" s="213"/>
      <c r="AY1508" s="213"/>
      <c r="AZ1508" s="213"/>
      <c r="BA1508" s="213"/>
      <c r="BB1508" s="213"/>
      <c r="BC1508" s="213"/>
      <c r="BD1508" s="213"/>
    </row>
    <row r="1509">
      <c r="A1509" s="213">
        <f>IFERROR(__xludf.DUMMYFUNCTION("""COMPUTED_VALUE"""),2183.0)</f>
        <v>2183</v>
      </c>
      <c r="B1509" s="213" t="str">
        <f>IFERROR(__xludf.DUMMYFUNCTION("""COMPUTED_VALUE"""),"JOSE GRANDA")</f>
        <v>JOSE GRANDA</v>
      </c>
      <c r="C1509" s="213" t="str">
        <f>IFERROR(__xludf.DUMMYFUNCTION("""COMPUTED_VALUE"""),"TALLER SFT DE INDUSTRIA ALIMENTARIA")</f>
        <v>TALLER SFT DE INDUSTRIA ALIMENTARIA</v>
      </c>
      <c r="D1509" s="213" t="str">
        <f>IFERROR(__xludf.DUMMYFUNCTION("""COMPUTED_VALUE"""),"PEDAGOGICO")</f>
        <v>PEDAGOGICO</v>
      </c>
      <c r="E1509" s="213" t="str">
        <f>IFERROR(__xludf.DUMMYFUNCTION("""COMPUTED_VALUE"""),"MAT-354")</f>
        <v>MAT-354</v>
      </c>
      <c r="F1509" s="213" t="str">
        <f>IFERROR(__xludf.DUMMYFUNCTION("""COMPUTED_VALUE"""),"KEFF-55")</f>
        <v>KEFF-55</v>
      </c>
      <c r="G1509" s="213"/>
      <c r="H1509" s="213" t="str">
        <f>IFERROR(__xludf.DUMMYFUNCTION("""COMPUTED_VALUE"""),"MANUAL PEDAGÓGICO PARA DESARROLLAR HABILIDADES TECNICA PARA REALIZAR PROCESAMIENTO DE PANADERIA Y PASTELERIA")</f>
        <v>MANUAL PEDAGÓGICO PARA DESARROLLAR HABILIDADES TECNICA PARA REALIZAR PROCESAMIENTO DE PANADERIA Y PASTELERIA</v>
      </c>
      <c r="I150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págiinas.
· Contenido que presenta.
-  Información sobre an"&amp;"álisis y diseño de propuestas de valor
- Metodologías y técnicas para desarrollar habilidades técnicas para realizar procesamiento de panaderia y pasteleria.
- Procedimientos ejemplificados  para desarrollar habilidades técnicas para realizar procesamient"&amp;"o en panadería y pastelería en todos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págiinas.
· Contenido que presenta.
-  Información sobre análisis y diseño de propuestas de valor
- Metodologías y técnicas para desarrollar habilidades técnicas para realizar procesamiento de panaderia y pasteleria.
- Procedimientos ejemplificados  para desarrollar habilidades técnicas para realizar procesamiento en panadería y pastelería en todos los equipos.</v>
      </c>
      <c r="J1509" s="213">
        <f>IFERROR(__xludf.DUMMYFUNCTION("""COMPUTED_VALUE"""),3.0)</f>
        <v>3</v>
      </c>
      <c r="K1509" s="213" t="str">
        <f>IFERROR(__xludf.DUMMYFUNCTION("""COMPUTED_VALUE"""),"170 DÍAS CALENDARIO")</f>
        <v>170 DÍAS CALENDARIO</v>
      </c>
      <c r="L1509" s="213" t="str">
        <f>IFERROR(__xludf.DUMMYFUNCTION("""COMPUTED_VALUE"""),"")</f>
        <v/>
      </c>
      <c r="M1509" s="213">
        <f>IFERROR(__xludf.DUMMYFUNCTION("""COMPUTED_VALUE"""),1.0)</f>
        <v>1</v>
      </c>
      <c r="N1509" s="213">
        <f>IFERROR(__xludf.DUMMYFUNCTION("""COMPUTED_VALUE"""),2.0)</f>
        <v>2</v>
      </c>
      <c r="O1509" s="213">
        <f>IFERROR(__xludf.DUMMYFUNCTION("""COMPUTED_VALUE"""),2.0)</f>
        <v>2</v>
      </c>
      <c r="P1509" s="213"/>
      <c r="Q1509" s="213"/>
      <c r="R1509" s="213"/>
      <c r="S1509" s="213"/>
      <c r="T1509" s="213"/>
      <c r="U1509" s="213"/>
      <c r="V1509" s="213"/>
      <c r="W1509" s="213"/>
      <c r="X1509" s="213"/>
      <c r="Y1509" s="213"/>
      <c r="Z1509" s="213"/>
      <c r="AA1509" s="213"/>
      <c r="AB1509" s="213"/>
      <c r="AC1509" s="213"/>
      <c r="AD1509" s="213"/>
      <c r="AE1509" s="213"/>
      <c r="AF1509" s="213"/>
      <c r="AG1509" s="213"/>
      <c r="AH1509" s="213"/>
      <c r="AI1509" s="213"/>
      <c r="AJ1509" s="213"/>
      <c r="AK1509" s="213"/>
      <c r="AL1509" s="213"/>
      <c r="AM1509" s="213"/>
      <c r="AN1509" s="213"/>
      <c r="AO1509" s="213"/>
      <c r="AP1509" s="213"/>
      <c r="AQ1509" s="213"/>
      <c r="AR1509" s="213"/>
      <c r="AS1509" s="213"/>
      <c r="AT1509" s="213"/>
      <c r="AU1509" s="213"/>
      <c r="AV1509" s="213"/>
      <c r="AW1509" s="213"/>
      <c r="AX1509" s="213"/>
      <c r="AY1509" s="213"/>
      <c r="AZ1509" s="213"/>
      <c r="BA1509" s="213"/>
      <c r="BB1509" s="213"/>
      <c r="BC1509" s="213"/>
      <c r="BD1509" s="213"/>
    </row>
    <row r="1510">
      <c r="A1510" s="213">
        <f>IFERROR(__xludf.DUMMYFUNCTION("""COMPUTED_VALUE"""),112.0)</f>
        <v>112</v>
      </c>
      <c r="B1510" s="213" t="str">
        <f>IFERROR(__xludf.DUMMYFUNCTION("""COMPUTED_VALUE"""),"16449 ELOY SOBERON  FLORES")</f>
        <v>16449 ELOY SOBERON  FLORES</v>
      </c>
      <c r="C1510" s="213" t="str">
        <f>IFERROR(__xludf.DUMMYFUNCTION("""COMPUTED_VALUE"""),"TALLER SFT DE COCINA Y REPOSTERÍA")</f>
        <v>TALLER SFT DE COCINA Y REPOSTERÍA</v>
      </c>
      <c r="D1510" s="213" t="str">
        <f>IFERROR(__xludf.DUMMYFUNCTION("""COMPUTED_VALUE"""),"PEDAGOGICO")</f>
        <v>PEDAGOGICO</v>
      </c>
      <c r="E1510" s="213" t="str">
        <f>IFERROR(__xludf.DUMMYFUNCTION("""COMPUTED_VALUE"""),"MAT-348")</f>
        <v>MAT-348</v>
      </c>
      <c r="F1510" s="213" t="str">
        <f>IFERROR(__xludf.DUMMYFUNCTION("""COMPUTED_VALUE"""),"KEFF-09")</f>
        <v>KEFF-09</v>
      </c>
      <c r="G1510" s="213"/>
      <c r="H1510" s="213" t="str">
        <f>IFERROR(__xludf.DUMMYFUNCTION("""COMPUTED_VALUE"""),"MANUAL PEDAGÓGICO PARA DESARROLLAR HABILIDADES TECNICA PARA REALIZAR REFRIGERACIÓN Y PREPARACIÓN UTILIZANDO LOS EQUIPOS")</f>
        <v>MANUAL PEDAGÓGICO PARA DESARROLLAR HABILIDADES TECNICA PARA REALIZAR REFRIGERACIÓN Y PREPARACIÓN UTILIZANDO LOS EQUIPOS</v>
      </c>
      <c r="I151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comi"&amp;"das
-  Metodologías y técnicas para desarrollar habilidades técnicas para realizar refrigeración y preparación utilizando el equipo
- Procedimientos ejemplificados para desarrollar habilidades de refrigeración y preparación utilizando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comidas
-  Metodologías y técnicas para desarrollar habilidades técnicas para realizar refrigeración y preparación utilizando el equipo
- Procedimientos ejemplificados para desarrollar habilidades de refrigeración y preparación utilizando equipos.</v>
      </c>
      <c r="J1510" s="213">
        <f>IFERROR(__xludf.DUMMYFUNCTION("""COMPUTED_VALUE"""),3.0)</f>
        <v>3</v>
      </c>
      <c r="K1510" s="213" t="str">
        <f>IFERROR(__xludf.DUMMYFUNCTION("""COMPUTED_VALUE"""),"170 DÍAS CALENDARIO")</f>
        <v>170 DÍAS CALENDARIO</v>
      </c>
      <c r="L1510" s="213" t="str">
        <f>IFERROR(__xludf.DUMMYFUNCTION("""COMPUTED_VALUE"""),"")</f>
        <v/>
      </c>
      <c r="M1510" s="213">
        <f>IFERROR(__xludf.DUMMYFUNCTION("""COMPUTED_VALUE"""),1.0)</f>
        <v>1</v>
      </c>
      <c r="N1510" s="213">
        <f>IFERROR(__xludf.DUMMYFUNCTION("""COMPUTED_VALUE"""),2.0)</f>
        <v>2</v>
      </c>
      <c r="O1510" s="213">
        <f>IFERROR(__xludf.DUMMYFUNCTION("""COMPUTED_VALUE"""),2.0)</f>
        <v>2</v>
      </c>
      <c r="P1510" s="213"/>
      <c r="Q1510" s="213"/>
      <c r="R1510" s="213"/>
      <c r="S1510" s="213"/>
      <c r="T1510" s="213"/>
      <c r="U1510" s="213"/>
      <c r="V1510" s="213"/>
      <c r="W1510" s="213"/>
      <c r="X1510" s="213"/>
      <c r="Y1510" s="213"/>
      <c r="Z1510" s="213"/>
      <c r="AA1510" s="213"/>
      <c r="AB1510" s="213"/>
      <c r="AC1510" s="213"/>
      <c r="AD1510" s="213"/>
      <c r="AE1510" s="213"/>
      <c r="AF1510" s="213"/>
      <c r="AG1510" s="213"/>
      <c r="AH1510" s="213"/>
      <c r="AI1510" s="213"/>
      <c r="AJ1510" s="213"/>
      <c r="AK1510" s="213"/>
      <c r="AL1510" s="213"/>
      <c r="AM1510" s="213"/>
      <c r="AN1510" s="213"/>
      <c r="AO1510" s="213"/>
      <c r="AP1510" s="213"/>
      <c r="AQ1510" s="213"/>
      <c r="AR1510" s="213"/>
      <c r="AS1510" s="213"/>
      <c r="AT1510" s="213"/>
      <c r="AU1510" s="213"/>
      <c r="AV1510" s="213"/>
      <c r="AW1510" s="213"/>
      <c r="AX1510" s="213"/>
      <c r="AY1510" s="213"/>
      <c r="AZ1510" s="213"/>
      <c r="BA1510" s="213"/>
      <c r="BB1510" s="213"/>
      <c r="BC1510" s="213"/>
      <c r="BD1510" s="213"/>
    </row>
    <row r="1511">
      <c r="A1511" s="213">
        <f>IFERROR(__xludf.DUMMYFUNCTION("""COMPUTED_VALUE"""),311.0)</f>
        <v>311</v>
      </c>
      <c r="B1511" s="213" t="str">
        <f>IFERROR(__xludf.DUMMYFUNCTION("""COMPUTED_VALUE"""),"2026 SIMON BOLIVAR")</f>
        <v>2026 SIMON BOLIVAR</v>
      </c>
      <c r="C1511" s="213" t="str">
        <f>IFERROR(__xludf.DUMMYFUNCTION("""COMPUTED_VALUE"""),"TALLER SFT DE COMPUTACIÓN E INFORMÁTICA")</f>
        <v>TALLER SFT DE COMPUTACIÓN E INFORMÁTICA</v>
      </c>
      <c r="D1511" s="213" t="str">
        <f>IFERROR(__xludf.DUMMYFUNCTION("""COMPUTED_VALUE"""),"PEDAGOGICO")</f>
        <v>PEDAGOGICO</v>
      </c>
      <c r="E1511" s="213" t="str">
        <f>IFERROR(__xludf.DUMMYFUNCTION("""COMPUTED_VALUE"""),"MAT-356")</f>
        <v>MAT-356</v>
      </c>
      <c r="F1511" s="213" t="str">
        <f>IFERROR(__xludf.DUMMYFUNCTION("""COMPUTED_VALUE"""),"KEFF-23")</f>
        <v>KEFF-23</v>
      </c>
      <c r="G1511" s="213"/>
      <c r="H1511" s="213" t="str">
        <f>IFERROR(__xludf.DUMMYFUNCTION("""COMPUTED_VALUE"""),"MANUAL PEDAGÓGICO PARA DESARROLLAR HABILIDADES TÉCNICAS EN EL TALLER DE DISEÑO GRÁFICO UTILIZANDO EL EQUIPO")</f>
        <v>MANUAL PEDAGÓGICO PARA DESARROLLAR HABILIDADES TÉCNICAS EN EL TALLER DE DISEÑO GRÁFICO UTILIZANDO EL EQUIPO</v>
      </c>
      <c r="I151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dis"&amp;"eño gráfico
-   Metodologías y técnicas para desarrollar competencias en el campo del diseño gráfico.
-   Procedimientos ejemplificados de productos elaborados a partir del diseño gráfico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diseño gráfico
-   Metodologías y técnicas para desarrollar competencias en el campo del diseño gráfico.
-   Procedimientos ejemplificados de productos elaborados a partir del diseño gráfico
-   Fichas de trabajo para el estudiante.</v>
      </c>
      <c r="J1511" s="213">
        <f>IFERROR(__xludf.DUMMYFUNCTION("""COMPUTED_VALUE"""),3.0)</f>
        <v>3</v>
      </c>
      <c r="K1511" s="213" t="str">
        <f>IFERROR(__xludf.DUMMYFUNCTION("""COMPUTED_VALUE"""),"170 DÍAS CALENDARIO")</f>
        <v>170 DÍAS CALENDARIO</v>
      </c>
      <c r="L1511" s="213" t="str">
        <f>IFERROR(__xludf.DUMMYFUNCTION("""COMPUTED_VALUE"""),"")</f>
        <v/>
      </c>
      <c r="M1511" s="213">
        <f>IFERROR(__xludf.DUMMYFUNCTION("""COMPUTED_VALUE"""),1.0)</f>
        <v>1</v>
      </c>
      <c r="N1511" s="213">
        <f>IFERROR(__xludf.DUMMYFUNCTION("""COMPUTED_VALUE"""),2.0)</f>
        <v>2</v>
      </c>
      <c r="O1511" s="213">
        <f>IFERROR(__xludf.DUMMYFUNCTION("""COMPUTED_VALUE"""),2.0)</f>
        <v>2</v>
      </c>
      <c r="P1511" s="213"/>
      <c r="Q1511" s="213"/>
      <c r="R1511" s="213"/>
      <c r="S1511" s="213"/>
      <c r="T1511" s="213"/>
      <c r="U1511" s="213"/>
      <c r="V1511" s="213"/>
      <c r="W1511" s="213"/>
      <c r="X1511" s="213"/>
      <c r="Y1511" s="213"/>
      <c r="Z1511" s="213"/>
      <c r="AA1511" s="213"/>
      <c r="AB1511" s="213"/>
      <c r="AC1511" s="213"/>
      <c r="AD1511" s="213"/>
      <c r="AE1511" s="213"/>
      <c r="AF1511" s="213"/>
      <c r="AG1511" s="213"/>
      <c r="AH1511" s="213"/>
      <c r="AI1511" s="213"/>
      <c r="AJ1511" s="213"/>
      <c r="AK1511" s="213"/>
      <c r="AL1511" s="213"/>
      <c r="AM1511" s="213"/>
      <c r="AN1511" s="213"/>
      <c r="AO1511" s="213"/>
      <c r="AP1511" s="213"/>
      <c r="AQ1511" s="213"/>
      <c r="AR1511" s="213"/>
      <c r="AS1511" s="213"/>
      <c r="AT1511" s="213"/>
      <c r="AU1511" s="213"/>
      <c r="AV1511" s="213"/>
      <c r="AW1511" s="213"/>
      <c r="AX1511" s="213"/>
      <c r="AY1511" s="213"/>
      <c r="AZ1511" s="213"/>
      <c r="BA1511" s="213"/>
      <c r="BB1511" s="213"/>
      <c r="BC1511" s="213"/>
      <c r="BD1511" s="213"/>
    </row>
    <row r="1512">
      <c r="A1512" s="213">
        <f>IFERROR(__xludf.DUMMYFUNCTION("""COMPUTED_VALUE"""),797.0)</f>
        <v>797</v>
      </c>
      <c r="B1512" s="213" t="str">
        <f>IFERROR(__xludf.DUMMYFUNCTION("""COMPUTED_VALUE"""),"6049 RICARDO PALMA")</f>
        <v>6049 RICARDO PALMA</v>
      </c>
      <c r="C1512" s="213" t="str">
        <f>IFERROR(__xludf.DUMMYFUNCTION("""COMPUTED_VALUE"""),"TALLER SFT DE COMPUTACIÓN E INFORMÁTICA")</f>
        <v>TALLER SFT DE COMPUTACIÓN E INFORMÁTICA</v>
      </c>
      <c r="D1512" s="213" t="str">
        <f>IFERROR(__xludf.DUMMYFUNCTION("""COMPUTED_VALUE"""),"PEDAGOGICO")</f>
        <v>PEDAGOGICO</v>
      </c>
      <c r="E1512" s="213" t="str">
        <f>IFERROR(__xludf.DUMMYFUNCTION("""COMPUTED_VALUE"""),"MAT-356")</f>
        <v>MAT-356</v>
      </c>
      <c r="F1512" s="213" t="str">
        <f>IFERROR(__xludf.DUMMYFUNCTION("""COMPUTED_VALUE"""),"KEFF-23")</f>
        <v>KEFF-23</v>
      </c>
      <c r="G1512" s="213"/>
      <c r="H1512" s="213" t="str">
        <f>IFERROR(__xludf.DUMMYFUNCTION("""COMPUTED_VALUE"""),"MANUAL PEDAGÓGICO PARA DESARROLLAR HABILIDADES TÉCNICAS EN EL TALLER DE DISEÑO GRÁFICO UTILIZANDO EL EQUIPO")</f>
        <v>MANUAL PEDAGÓGICO PARA DESARROLLAR HABILIDADES TÉCNICAS EN EL TALLER DE DISEÑO GRÁFICO UTILIZANDO EL EQUIPO</v>
      </c>
      <c r="I151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dis"&amp;"eño gráfico
-   Metodologías y técnicas para desarrollar competencias en el campo del diseño gráfico.
-   Procedimientos ejemplificados de productos elaborados a partir del diseño gráfico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diseño gráfico
-   Metodologías y técnicas para desarrollar competencias en el campo del diseño gráfico.
-   Procedimientos ejemplificados de productos elaborados a partir del diseño gráfico
-   Fichas de trabajo para el estudiante.</v>
      </c>
      <c r="J1512" s="213">
        <f>IFERROR(__xludf.DUMMYFUNCTION("""COMPUTED_VALUE"""),3.0)</f>
        <v>3</v>
      </c>
      <c r="K1512" s="213" t="str">
        <f>IFERROR(__xludf.DUMMYFUNCTION("""COMPUTED_VALUE"""),"170 DÍAS CALENDARIO")</f>
        <v>170 DÍAS CALENDARIO</v>
      </c>
      <c r="L1512" s="213" t="str">
        <f>IFERROR(__xludf.DUMMYFUNCTION("""COMPUTED_VALUE"""),"")</f>
        <v/>
      </c>
      <c r="M1512" s="213">
        <f>IFERROR(__xludf.DUMMYFUNCTION("""COMPUTED_VALUE"""),1.0)</f>
        <v>1</v>
      </c>
      <c r="N1512" s="213">
        <f>IFERROR(__xludf.DUMMYFUNCTION("""COMPUTED_VALUE"""),2.0)</f>
        <v>2</v>
      </c>
      <c r="O1512" s="213">
        <f>IFERROR(__xludf.DUMMYFUNCTION("""COMPUTED_VALUE"""),2.0)</f>
        <v>2</v>
      </c>
      <c r="P1512" s="213"/>
      <c r="Q1512" s="213"/>
      <c r="R1512" s="213"/>
      <c r="S1512" s="213"/>
      <c r="T1512" s="213"/>
      <c r="U1512" s="213"/>
      <c r="V1512" s="213"/>
      <c r="W1512" s="213"/>
      <c r="X1512" s="213"/>
      <c r="Y1512" s="213"/>
      <c r="Z1512" s="213"/>
      <c r="AA1512" s="213"/>
      <c r="AB1512" s="213"/>
      <c r="AC1512" s="213"/>
      <c r="AD1512" s="213"/>
      <c r="AE1512" s="213"/>
      <c r="AF1512" s="213"/>
      <c r="AG1512" s="213"/>
      <c r="AH1512" s="213"/>
      <c r="AI1512" s="213"/>
      <c r="AJ1512" s="213"/>
      <c r="AK1512" s="213"/>
      <c r="AL1512" s="213"/>
      <c r="AM1512" s="213"/>
      <c r="AN1512" s="213"/>
      <c r="AO1512" s="213"/>
      <c r="AP1512" s="213"/>
      <c r="AQ1512" s="213"/>
      <c r="AR1512" s="213"/>
      <c r="AS1512" s="213"/>
      <c r="AT1512" s="213"/>
      <c r="AU1512" s="213"/>
      <c r="AV1512" s="213"/>
      <c r="AW1512" s="213"/>
      <c r="AX1512" s="213"/>
      <c r="AY1512" s="213"/>
      <c r="AZ1512" s="213"/>
      <c r="BA1512" s="213"/>
      <c r="BB1512" s="213"/>
      <c r="BC1512" s="213"/>
      <c r="BD1512" s="213"/>
    </row>
    <row r="1513">
      <c r="A1513" s="213">
        <f>IFERROR(__xludf.DUMMYFUNCTION("""COMPUTED_VALUE"""),1735.0)</f>
        <v>1735</v>
      </c>
      <c r="B1513" s="213" t="str">
        <f>IFERROR(__xludf.DUMMYFUNCTION("""COMPUTED_VALUE"""),"GUILLERMO E. BILLINGHURST ")</f>
        <v>GUILLERMO E. BILLINGHURST </v>
      </c>
      <c r="C1513" s="213" t="str">
        <f>IFERROR(__xludf.DUMMYFUNCTION("""COMPUTED_VALUE"""),"TALLER SFT DE COMPUTACIÓN E INFORMÁTICA")</f>
        <v>TALLER SFT DE COMPUTACIÓN E INFORMÁTICA</v>
      </c>
      <c r="D1513" s="213" t="str">
        <f>IFERROR(__xludf.DUMMYFUNCTION("""COMPUTED_VALUE"""),"PEDAGOGICO")</f>
        <v>PEDAGOGICO</v>
      </c>
      <c r="E1513" s="213" t="str">
        <f>IFERROR(__xludf.DUMMYFUNCTION("""COMPUTED_VALUE"""),"MAT-356")</f>
        <v>MAT-356</v>
      </c>
      <c r="F1513" s="213" t="str">
        <f>IFERROR(__xludf.DUMMYFUNCTION("""COMPUTED_VALUE"""),"KEFF-23")</f>
        <v>KEFF-23</v>
      </c>
      <c r="G1513" s="213"/>
      <c r="H1513" s="213" t="str">
        <f>IFERROR(__xludf.DUMMYFUNCTION("""COMPUTED_VALUE"""),"MANUAL PEDAGÓGICO PARA DESARROLLAR HABILIDADES TÉCNICAS EN EL TALLER DE DISEÑO GRÁFICO UTILIZANDO EL EQUIPO")</f>
        <v>MANUAL PEDAGÓGICO PARA DESARROLLAR HABILIDADES TÉCNICAS EN EL TALLER DE DISEÑO GRÁFICO UTILIZANDO EL EQUIPO</v>
      </c>
      <c r="I151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dis"&amp;"eño gráfico
-   Metodologías y técnicas para desarrollar competencias en el campo del diseño gráfico.
-   Procedimientos ejemplificados de productos elaborados a partir del diseño gráfico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diseño gráfico
-   Metodologías y técnicas para desarrollar competencias en el campo del diseño gráfico.
-   Procedimientos ejemplificados de productos elaborados a partir del diseño gráfico
-   Fichas de trabajo para el estudiante.</v>
      </c>
      <c r="J1513" s="213">
        <f>IFERROR(__xludf.DUMMYFUNCTION("""COMPUTED_VALUE"""),3.0)</f>
        <v>3</v>
      </c>
      <c r="K1513" s="213" t="str">
        <f>IFERROR(__xludf.DUMMYFUNCTION("""COMPUTED_VALUE"""),"170 DÍAS CALENDARIO")</f>
        <v>170 DÍAS CALENDARIO</v>
      </c>
      <c r="L1513" s="213" t="str">
        <f>IFERROR(__xludf.DUMMYFUNCTION("""COMPUTED_VALUE"""),"")</f>
        <v/>
      </c>
      <c r="M1513" s="213">
        <f>IFERROR(__xludf.DUMMYFUNCTION("""COMPUTED_VALUE"""),1.0)</f>
        <v>1</v>
      </c>
      <c r="N1513" s="213">
        <f>IFERROR(__xludf.DUMMYFUNCTION("""COMPUTED_VALUE"""),2.0)</f>
        <v>2</v>
      </c>
      <c r="O1513" s="213">
        <f>IFERROR(__xludf.DUMMYFUNCTION("""COMPUTED_VALUE"""),2.0)</f>
        <v>2</v>
      </c>
      <c r="P1513" s="213"/>
      <c r="Q1513" s="213"/>
      <c r="R1513" s="213"/>
      <c r="S1513" s="213"/>
      <c r="T1513" s="213"/>
      <c r="U1513" s="213"/>
      <c r="V1513" s="213"/>
      <c r="W1513" s="213"/>
      <c r="X1513" s="213"/>
      <c r="Y1513" s="213"/>
      <c r="Z1513" s="213"/>
      <c r="AA1513" s="213"/>
      <c r="AB1513" s="213"/>
      <c r="AC1513" s="213"/>
      <c r="AD1513" s="213"/>
      <c r="AE1513" s="213"/>
      <c r="AF1513" s="213"/>
      <c r="AG1513" s="213"/>
      <c r="AH1513" s="213"/>
      <c r="AI1513" s="213"/>
      <c r="AJ1513" s="213"/>
      <c r="AK1513" s="213"/>
      <c r="AL1513" s="213"/>
      <c r="AM1513" s="213"/>
      <c r="AN1513" s="213"/>
      <c r="AO1513" s="213"/>
      <c r="AP1513" s="213"/>
      <c r="AQ1513" s="213"/>
      <c r="AR1513" s="213"/>
      <c r="AS1513" s="213"/>
      <c r="AT1513" s="213"/>
      <c r="AU1513" s="213"/>
      <c r="AV1513" s="213"/>
      <c r="AW1513" s="213"/>
      <c r="AX1513" s="213"/>
      <c r="AY1513" s="213"/>
      <c r="AZ1513" s="213"/>
      <c r="BA1513" s="213"/>
      <c r="BB1513" s="213"/>
      <c r="BC1513" s="213"/>
      <c r="BD1513" s="213"/>
    </row>
    <row r="1514">
      <c r="A1514" s="213">
        <f>IFERROR(__xludf.DUMMYFUNCTION("""COMPUTED_VALUE"""),1985.0)</f>
        <v>1985</v>
      </c>
      <c r="B1514" s="213" t="str">
        <f>IFERROR(__xludf.DUMMYFUNCTION("""COMPUTED_VALUE"""),"JOSE GRANDA")</f>
        <v>JOSE GRANDA</v>
      </c>
      <c r="C1514" s="213" t="str">
        <f>IFERROR(__xludf.DUMMYFUNCTION("""COMPUTED_VALUE"""),"TALLER SFT DE COMPUTACIÓN E INFORMÁTICA")</f>
        <v>TALLER SFT DE COMPUTACIÓN E INFORMÁTICA</v>
      </c>
      <c r="D1514" s="213" t="str">
        <f>IFERROR(__xludf.DUMMYFUNCTION("""COMPUTED_VALUE"""),"PEDAGOGICO")</f>
        <v>PEDAGOGICO</v>
      </c>
      <c r="E1514" s="213" t="str">
        <f>IFERROR(__xludf.DUMMYFUNCTION("""COMPUTED_VALUE"""),"MAT-356")</f>
        <v>MAT-356</v>
      </c>
      <c r="F1514" s="213" t="str">
        <f>IFERROR(__xludf.DUMMYFUNCTION("""COMPUTED_VALUE"""),"KEFF-23")</f>
        <v>KEFF-23</v>
      </c>
      <c r="G1514" s="213"/>
      <c r="H1514" s="213" t="str">
        <f>IFERROR(__xludf.DUMMYFUNCTION("""COMPUTED_VALUE"""),"MANUAL PEDAGÓGICO PARA DESARROLLAR HABILIDADES TÉCNICAS EN EL TALLER DE DISEÑO GRÁFICO UTILIZANDO EL EQUIPO")</f>
        <v>MANUAL PEDAGÓGICO PARA DESARROLLAR HABILIDADES TÉCNICAS EN EL TALLER DE DISEÑO GRÁFICO UTILIZANDO EL EQUIPO</v>
      </c>
      <c r="I151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dis"&amp;"eño gráfico
-   Metodologías y técnicas para desarrollar competencias en el campo del diseño gráfico.
-   Procedimientos ejemplificados de productos elaborados a partir del diseño gráfico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diseño gráfico
-   Metodologías y técnicas para desarrollar competencias en el campo del diseño gráfico.
-   Procedimientos ejemplificados de productos elaborados a partir del diseño gráfico
-   Fichas de trabajo para el estudiante.</v>
      </c>
      <c r="J1514" s="213">
        <f>IFERROR(__xludf.DUMMYFUNCTION("""COMPUTED_VALUE"""),3.0)</f>
        <v>3</v>
      </c>
      <c r="K1514" s="213" t="str">
        <f>IFERROR(__xludf.DUMMYFUNCTION("""COMPUTED_VALUE"""),"170 DÍAS CALENDARIO")</f>
        <v>170 DÍAS CALENDARIO</v>
      </c>
      <c r="L1514" s="213" t="str">
        <f>IFERROR(__xludf.DUMMYFUNCTION("""COMPUTED_VALUE"""),"")</f>
        <v/>
      </c>
      <c r="M1514" s="213">
        <f>IFERROR(__xludf.DUMMYFUNCTION("""COMPUTED_VALUE"""),1.0)</f>
        <v>1</v>
      </c>
      <c r="N1514" s="213">
        <f>IFERROR(__xludf.DUMMYFUNCTION("""COMPUTED_VALUE"""),2.0)</f>
        <v>2</v>
      </c>
      <c r="O1514" s="213">
        <f>IFERROR(__xludf.DUMMYFUNCTION("""COMPUTED_VALUE"""),2.0)</f>
        <v>2</v>
      </c>
      <c r="P1514" s="213"/>
      <c r="Q1514" s="213"/>
      <c r="R1514" s="213"/>
      <c r="S1514" s="213"/>
      <c r="T1514" s="213"/>
      <c r="U1514" s="213"/>
      <c r="V1514" s="213"/>
      <c r="W1514" s="213"/>
      <c r="X1514" s="213"/>
      <c r="Y1514" s="213"/>
      <c r="Z1514" s="213"/>
      <c r="AA1514" s="213"/>
      <c r="AB1514" s="213"/>
      <c r="AC1514" s="213"/>
      <c r="AD1514" s="213"/>
      <c r="AE1514" s="213"/>
      <c r="AF1514" s="213"/>
      <c r="AG1514" s="213"/>
      <c r="AH1514" s="213"/>
      <c r="AI1514" s="213"/>
      <c r="AJ1514" s="213"/>
      <c r="AK1514" s="213"/>
      <c r="AL1514" s="213"/>
      <c r="AM1514" s="213"/>
      <c r="AN1514" s="213"/>
      <c r="AO1514" s="213"/>
      <c r="AP1514" s="213"/>
      <c r="AQ1514" s="213"/>
      <c r="AR1514" s="213"/>
      <c r="AS1514" s="213"/>
      <c r="AT1514" s="213"/>
      <c r="AU1514" s="213"/>
      <c r="AV1514" s="213"/>
      <c r="AW1514" s="213"/>
      <c r="AX1514" s="213"/>
      <c r="AY1514" s="213"/>
      <c r="AZ1514" s="213"/>
      <c r="BA1514" s="213"/>
      <c r="BB1514" s="213"/>
      <c r="BC1514" s="213"/>
      <c r="BD1514" s="213"/>
    </row>
    <row r="1515">
      <c r="A1515" s="213">
        <f>IFERROR(__xludf.DUMMYFUNCTION("""COMPUTED_VALUE"""),319.0)</f>
        <v>319</v>
      </c>
      <c r="B1515" s="213" t="str">
        <f>IFERROR(__xludf.DUMMYFUNCTION("""COMPUTED_VALUE"""),"2026 SIMON BOLIVAR")</f>
        <v>2026 SIMON BOLIVAR</v>
      </c>
      <c r="C1515" s="213" t="str">
        <f>IFERROR(__xludf.DUMMYFUNCTION("""COMPUTED_VALUE"""),"TALLER SFT DE COMPUTACIÓN E INFORMÁTICA")</f>
        <v>TALLER SFT DE COMPUTACIÓN E INFORMÁTICA</v>
      </c>
      <c r="D1515" s="213" t="str">
        <f>IFERROR(__xludf.DUMMYFUNCTION("""COMPUTED_VALUE"""),"PEDAGOGICO")</f>
        <v>PEDAGOGICO</v>
      </c>
      <c r="E1515" s="213" t="str">
        <f>IFERROR(__xludf.DUMMYFUNCTION("""COMPUTED_VALUE"""),"MAT-358")</f>
        <v>MAT-358</v>
      </c>
      <c r="F1515" s="213" t="str">
        <f>IFERROR(__xludf.DUMMYFUNCTION("""COMPUTED_VALUE"""),"KEFF-26")</f>
        <v>KEFF-26</v>
      </c>
      <c r="G1515" s="213"/>
      <c r="H1515" s="213" t="str">
        <f>IFERROR(__xludf.DUMMYFUNCTION("""COMPUTED_VALUE"""),"MANUAL PEDAGÓGICO PARA DESARROLLAR HABILIDADES TÉCNICAS EN EL TALLER DE PRODUCCIÓN AUDIO VISUAL UTILIZANDO EL EQUIPO")</f>
        <v>MANUAL PEDAGÓGICO PARA DESARROLLAR HABILIDADES TÉCNICAS EN EL TALLER DE PRODUCCIÓN AUDIO VISUAL UTILIZANDO EL EQUIPO</v>
      </c>
      <c r="I151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dis"&amp;"eño y producción audiovisual
-   Metodologías y técnicas para desarrollar competencias: Diseño y producción audiovisual.
-   Procedimientos ejemplificados de análisis y diseño de la propuesta de valor utilizando los equipos.
-   Fichas de trabajo para el "&amp;"estudiante")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diseño y producción audiovisual
-   Metodologías y técnicas para desarrollar competencias: Diseño y producción audiovisual.
-   Procedimientos ejemplificados de análisis y diseño de la propuesta de valor utilizando los equipos.
-   Fichas de trabajo para el estudiante</v>
      </c>
      <c r="J1515" s="213">
        <f>IFERROR(__xludf.DUMMYFUNCTION("""COMPUTED_VALUE"""),3.0)</f>
        <v>3</v>
      </c>
      <c r="K1515" s="213" t="str">
        <f>IFERROR(__xludf.DUMMYFUNCTION("""COMPUTED_VALUE"""),"170 DÍAS CALENDARIO")</f>
        <v>170 DÍAS CALENDARIO</v>
      </c>
      <c r="L1515" s="213" t="str">
        <f>IFERROR(__xludf.DUMMYFUNCTION("""COMPUTED_VALUE"""),"")</f>
        <v/>
      </c>
      <c r="M1515" s="213">
        <f>IFERROR(__xludf.DUMMYFUNCTION("""COMPUTED_VALUE"""),1.0)</f>
        <v>1</v>
      </c>
      <c r="N1515" s="213">
        <f>IFERROR(__xludf.DUMMYFUNCTION("""COMPUTED_VALUE"""),2.0)</f>
        <v>2</v>
      </c>
      <c r="O1515" s="213">
        <f>IFERROR(__xludf.DUMMYFUNCTION("""COMPUTED_VALUE"""),2.0)</f>
        <v>2</v>
      </c>
      <c r="P1515" s="213"/>
      <c r="Q1515" s="213"/>
      <c r="R1515" s="213"/>
      <c r="S1515" s="213"/>
      <c r="T1515" s="213"/>
      <c r="U1515" s="213"/>
      <c r="V1515" s="213"/>
      <c r="W1515" s="213"/>
      <c r="X1515" s="213"/>
      <c r="Y1515" s="213"/>
      <c r="Z1515" s="213"/>
      <c r="AA1515" s="213"/>
      <c r="AB1515" s="213"/>
      <c r="AC1515" s="213"/>
      <c r="AD1515" s="213"/>
      <c r="AE1515" s="213"/>
      <c r="AF1515" s="213"/>
      <c r="AG1515" s="213"/>
      <c r="AH1515" s="213"/>
      <c r="AI1515" s="213"/>
      <c r="AJ1515" s="213"/>
      <c r="AK1515" s="213"/>
      <c r="AL1515" s="213"/>
      <c r="AM1515" s="213"/>
      <c r="AN1515" s="213"/>
      <c r="AO1515" s="213"/>
      <c r="AP1515" s="213"/>
      <c r="AQ1515" s="213"/>
      <c r="AR1515" s="213"/>
      <c r="AS1515" s="213"/>
      <c r="AT1515" s="213"/>
      <c r="AU1515" s="213"/>
      <c r="AV1515" s="213"/>
      <c r="AW1515" s="213"/>
      <c r="AX1515" s="213"/>
      <c r="AY1515" s="213"/>
      <c r="AZ1515" s="213"/>
      <c r="BA1515" s="213"/>
      <c r="BB1515" s="213"/>
      <c r="BC1515" s="213"/>
      <c r="BD1515" s="213"/>
    </row>
    <row r="1516">
      <c r="A1516" s="213">
        <f>IFERROR(__xludf.DUMMYFUNCTION("""COMPUTED_VALUE"""),805.0)</f>
        <v>805</v>
      </c>
      <c r="B1516" s="213" t="str">
        <f>IFERROR(__xludf.DUMMYFUNCTION("""COMPUTED_VALUE"""),"6049 RICARDO PALMA")</f>
        <v>6049 RICARDO PALMA</v>
      </c>
      <c r="C1516" s="213" t="str">
        <f>IFERROR(__xludf.DUMMYFUNCTION("""COMPUTED_VALUE"""),"TALLER SFT DE COMPUTACIÓN E INFORMÁTICA")</f>
        <v>TALLER SFT DE COMPUTACIÓN E INFORMÁTICA</v>
      </c>
      <c r="D1516" s="213" t="str">
        <f>IFERROR(__xludf.DUMMYFUNCTION("""COMPUTED_VALUE"""),"PEDAGOGICO")</f>
        <v>PEDAGOGICO</v>
      </c>
      <c r="E1516" s="213" t="str">
        <f>IFERROR(__xludf.DUMMYFUNCTION("""COMPUTED_VALUE"""),"MAT-358")</f>
        <v>MAT-358</v>
      </c>
      <c r="F1516" s="213" t="str">
        <f>IFERROR(__xludf.DUMMYFUNCTION("""COMPUTED_VALUE"""),"KEFF-26")</f>
        <v>KEFF-26</v>
      </c>
      <c r="G1516" s="213"/>
      <c r="H1516" s="213" t="str">
        <f>IFERROR(__xludf.DUMMYFUNCTION("""COMPUTED_VALUE"""),"MANUAL PEDAGÓGICO PARA DESARROLLAR HABILIDADES TÉCNICAS EN EL TALLER DE PRODUCCIÓN AUDIO VISUAL UTILIZANDO EL EQUIPO")</f>
        <v>MANUAL PEDAGÓGICO PARA DESARROLLAR HABILIDADES TÉCNICAS EN EL TALLER DE PRODUCCIÓN AUDIO VISUAL UTILIZANDO EL EQUIPO</v>
      </c>
      <c r="I151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dis"&amp;"eño y producción audiovisual
-   Metodologías y técnicas para desarrollar competencias: Diseño y producción audiovisual.
-   Procedimientos ejemplificados de análisis y diseño de la propuesta de valor utilizando los equipos.
-   Fichas de trabajo para el "&amp;"estudiante")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diseño y producción audiovisual
-   Metodologías y técnicas para desarrollar competencias: Diseño y producción audiovisual.
-   Procedimientos ejemplificados de análisis y diseño de la propuesta de valor utilizando los equipos.
-   Fichas de trabajo para el estudiante</v>
      </c>
      <c r="J1516" s="213">
        <f>IFERROR(__xludf.DUMMYFUNCTION("""COMPUTED_VALUE"""),3.0)</f>
        <v>3</v>
      </c>
      <c r="K1516" s="213" t="str">
        <f>IFERROR(__xludf.DUMMYFUNCTION("""COMPUTED_VALUE"""),"170 DÍAS CALENDARIO")</f>
        <v>170 DÍAS CALENDARIO</v>
      </c>
      <c r="L1516" s="213" t="str">
        <f>IFERROR(__xludf.DUMMYFUNCTION("""COMPUTED_VALUE"""),"")</f>
        <v/>
      </c>
      <c r="M1516" s="213">
        <f>IFERROR(__xludf.DUMMYFUNCTION("""COMPUTED_VALUE"""),1.0)</f>
        <v>1</v>
      </c>
      <c r="N1516" s="213">
        <f>IFERROR(__xludf.DUMMYFUNCTION("""COMPUTED_VALUE"""),2.0)</f>
        <v>2</v>
      </c>
      <c r="O1516" s="213">
        <f>IFERROR(__xludf.DUMMYFUNCTION("""COMPUTED_VALUE"""),2.0)</f>
        <v>2</v>
      </c>
      <c r="P1516" s="213"/>
      <c r="Q1516" s="213"/>
      <c r="R1516" s="213"/>
      <c r="S1516" s="213"/>
      <c r="T1516" s="213"/>
      <c r="U1516" s="213"/>
      <c r="V1516" s="213"/>
      <c r="W1516" s="213"/>
      <c r="X1516" s="213"/>
      <c r="Y1516" s="213"/>
      <c r="Z1516" s="213"/>
      <c r="AA1516" s="213"/>
      <c r="AB1516" s="213"/>
      <c r="AC1516" s="213"/>
      <c r="AD1516" s="213"/>
      <c r="AE1516" s="213"/>
      <c r="AF1516" s="213"/>
      <c r="AG1516" s="213"/>
      <c r="AH1516" s="213"/>
      <c r="AI1516" s="213"/>
      <c r="AJ1516" s="213"/>
      <c r="AK1516" s="213"/>
      <c r="AL1516" s="213"/>
      <c r="AM1516" s="213"/>
      <c r="AN1516" s="213"/>
      <c r="AO1516" s="213"/>
      <c r="AP1516" s="213"/>
      <c r="AQ1516" s="213"/>
      <c r="AR1516" s="213"/>
      <c r="AS1516" s="213"/>
      <c r="AT1516" s="213"/>
      <c r="AU1516" s="213"/>
      <c r="AV1516" s="213"/>
      <c r="AW1516" s="213"/>
      <c r="AX1516" s="213"/>
      <c r="AY1516" s="213"/>
      <c r="AZ1516" s="213"/>
      <c r="BA1516" s="213"/>
      <c r="BB1516" s="213"/>
      <c r="BC1516" s="213"/>
      <c r="BD1516" s="213"/>
    </row>
    <row r="1517">
      <c r="A1517" s="213">
        <f>IFERROR(__xludf.DUMMYFUNCTION("""COMPUTED_VALUE"""),1742.0)</f>
        <v>1742</v>
      </c>
      <c r="B1517" s="213" t="str">
        <f>IFERROR(__xludf.DUMMYFUNCTION("""COMPUTED_VALUE"""),"GUILLERMO E. BILLINGHURST ")</f>
        <v>GUILLERMO E. BILLINGHURST </v>
      </c>
      <c r="C1517" s="213" t="str">
        <f>IFERROR(__xludf.DUMMYFUNCTION("""COMPUTED_VALUE"""),"TALLER SFT DE COMPUTACIÓN E INFORMÁTICA")</f>
        <v>TALLER SFT DE COMPUTACIÓN E INFORMÁTICA</v>
      </c>
      <c r="D1517" s="213" t="str">
        <f>IFERROR(__xludf.DUMMYFUNCTION("""COMPUTED_VALUE"""),"PEDAGOGICO")</f>
        <v>PEDAGOGICO</v>
      </c>
      <c r="E1517" s="213" t="str">
        <f>IFERROR(__xludf.DUMMYFUNCTION("""COMPUTED_VALUE"""),"MAT-358")</f>
        <v>MAT-358</v>
      </c>
      <c r="F1517" s="213" t="str">
        <f>IFERROR(__xludf.DUMMYFUNCTION("""COMPUTED_VALUE"""),"KEFF-26")</f>
        <v>KEFF-26</v>
      </c>
      <c r="G1517" s="213"/>
      <c r="H1517" s="213" t="str">
        <f>IFERROR(__xludf.DUMMYFUNCTION("""COMPUTED_VALUE"""),"MANUAL PEDAGÓGICO PARA DESARROLLAR HABILIDADES TÉCNICAS EN EL TALLER DE PRODUCCIÓN AUDIO VISUAL UTILIZANDO EL EQUIPO")</f>
        <v>MANUAL PEDAGÓGICO PARA DESARROLLAR HABILIDADES TÉCNICAS EN EL TALLER DE PRODUCCIÓN AUDIO VISUAL UTILIZANDO EL EQUIPO</v>
      </c>
      <c r="I151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dis"&amp;"eño y producción audiovisual
-   Metodologías y técnicas para desarrollar competencias: Diseño y producción audiovisual.
-   Procedimientos ejemplificados de análisis y diseño de la propuesta de valor utilizando los equipos.
-   Fichas de trabajo para el "&amp;"estudiante")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diseño y producción audiovisual
-   Metodologías y técnicas para desarrollar competencias: Diseño y producción audiovisual.
-   Procedimientos ejemplificados de análisis y diseño de la propuesta de valor utilizando los equipos.
-   Fichas de trabajo para el estudiante</v>
      </c>
      <c r="J1517" s="213">
        <f>IFERROR(__xludf.DUMMYFUNCTION("""COMPUTED_VALUE"""),3.0)</f>
        <v>3</v>
      </c>
      <c r="K1517" s="213" t="str">
        <f>IFERROR(__xludf.DUMMYFUNCTION("""COMPUTED_VALUE"""),"170 DÍAS CALENDARIO")</f>
        <v>170 DÍAS CALENDARIO</v>
      </c>
      <c r="L1517" s="213" t="str">
        <f>IFERROR(__xludf.DUMMYFUNCTION("""COMPUTED_VALUE"""),"")</f>
        <v/>
      </c>
      <c r="M1517" s="213">
        <f>IFERROR(__xludf.DUMMYFUNCTION("""COMPUTED_VALUE"""),1.0)</f>
        <v>1</v>
      </c>
      <c r="N1517" s="213">
        <f>IFERROR(__xludf.DUMMYFUNCTION("""COMPUTED_VALUE"""),2.0)</f>
        <v>2</v>
      </c>
      <c r="O1517" s="213">
        <f>IFERROR(__xludf.DUMMYFUNCTION("""COMPUTED_VALUE"""),2.0)</f>
        <v>2</v>
      </c>
      <c r="P1517" s="213"/>
      <c r="Q1517" s="213"/>
      <c r="R1517" s="213"/>
      <c r="S1517" s="213"/>
      <c r="T1517" s="213"/>
      <c r="U1517" s="213"/>
      <c r="V1517" s="213"/>
      <c r="W1517" s="213"/>
      <c r="X1517" s="213"/>
      <c r="Y1517" s="213"/>
      <c r="Z1517" s="213"/>
      <c r="AA1517" s="213"/>
      <c r="AB1517" s="213"/>
      <c r="AC1517" s="213"/>
      <c r="AD1517" s="213"/>
      <c r="AE1517" s="213"/>
      <c r="AF1517" s="213"/>
      <c r="AG1517" s="213"/>
      <c r="AH1517" s="213"/>
      <c r="AI1517" s="213"/>
      <c r="AJ1517" s="213"/>
      <c r="AK1517" s="213"/>
      <c r="AL1517" s="213"/>
      <c r="AM1517" s="213"/>
      <c r="AN1517" s="213"/>
      <c r="AO1517" s="213"/>
      <c r="AP1517" s="213"/>
      <c r="AQ1517" s="213"/>
      <c r="AR1517" s="213"/>
      <c r="AS1517" s="213"/>
      <c r="AT1517" s="213"/>
      <c r="AU1517" s="213"/>
      <c r="AV1517" s="213"/>
      <c r="AW1517" s="213"/>
      <c r="AX1517" s="213"/>
      <c r="AY1517" s="213"/>
      <c r="AZ1517" s="213"/>
      <c r="BA1517" s="213"/>
      <c r="BB1517" s="213"/>
      <c r="BC1517" s="213"/>
      <c r="BD1517" s="213"/>
    </row>
    <row r="1518">
      <c r="A1518" s="213">
        <f>IFERROR(__xludf.DUMMYFUNCTION("""COMPUTED_VALUE"""),1993.0)</f>
        <v>1993</v>
      </c>
      <c r="B1518" s="213" t="str">
        <f>IFERROR(__xludf.DUMMYFUNCTION("""COMPUTED_VALUE"""),"JOSE GRANDA")</f>
        <v>JOSE GRANDA</v>
      </c>
      <c r="C1518" s="213" t="str">
        <f>IFERROR(__xludf.DUMMYFUNCTION("""COMPUTED_VALUE"""),"TALLER SFT DE COMPUTACIÓN E INFORMÁTICA")</f>
        <v>TALLER SFT DE COMPUTACIÓN E INFORMÁTICA</v>
      </c>
      <c r="D1518" s="213" t="str">
        <f>IFERROR(__xludf.DUMMYFUNCTION("""COMPUTED_VALUE"""),"PEDAGOGICO")</f>
        <v>PEDAGOGICO</v>
      </c>
      <c r="E1518" s="213" t="str">
        <f>IFERROR(__xludf.DUMMYFUNCTION("""COMPUTED_VALUE"""),"MAT-358")</f>
        <v>MAT-358</v>
      </c>
      <c r="F1518" s="213" t="str">
        <f>IFERROR(__xludf.DUMMYFUNCTION("""COMPUTED_VALUE"""),"KEFF-26")</f>
        <v>KEFF-26</v>
      </c>
      <c r="G1518" s="213"/>
      <c r="H1518" s="213" t="str">
        <f>IFERROR(__xludf.DUMMYFUNCTION("""COMPUTED_VALUE"""),"MANUAL PEDAGÓGICO PARA DESARROLLAR HABILIDADES TÉCNICAS EN EL TALLER DE PRODUCCIÓN AUDIO VISUAL UTILIZANDO EL EQUIPO")</f>
        <v>MANUAL PEDAGÓGICO PARA DESARROLLAR HABILIDADES TÉCNICAS EN EL TALLER DE PRODUCCIÓN AUDIO VISUAL UTILIZANDO EL EQUIPO</v>
      </c>
      <c r="I151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dis"&amp;"eño y producción audiovisual
-   Metodologías y técnicas para desarrollar competencias: Diseño y producción audiovisual.
-   Procedimientos ejemplificados de análisis y diseño de la propuesta de valor utilizando los equipos.
-   Fichas de trabajo para el "&amp;"estudiante")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diseño y producción audiovisual
-   Metodologías y técnicas para desarrollar competencias: Diseño y producción audiovisual.
-   Procedimientos ejemplificados de análisis y diseño de la propuesta de valor utilizando los equipos.
-   Fichas de trabajo para el estudiante</v>
      </c>
      <c r="J1518" s="213">
        <f>IFERROR(__xludf.DUMMYFUNCTION("""COMPUTED_VALUE"""),3.0)</f>
        <v>3</v>
      </c>
      <c r="K1518" s="213" t="str">
        <f>IFERROR(__xludf.DUMMYFUNCTION("""COMPUTED_VALUE"""),"170 DÍAS CALENDARIO")</f>
        <v>170 DÍAS CALENDARIO</v>
      </c>
      <c r="L1518" s="213" t="str">
        <f>IFERROR(__xludf.DUMMYFUNCTION("""COMPUTED_VALUE"""),"")</f>
        <v/>
      </c>
      <c r="M1518" s="213">
        <f>IFERROR(__xludf.DUMMYFUNCTION("""COMPUTED_VALUE"""),1.0)</f>
        <v>1</v>
      </c>
      <c r="N1518" s="213">
        <f>IFERROR(__xludf.DUMMYFUNCTION("""COMPUTED_VALUE"""),2.0)</f>
        <v>2</v>
      </c>
      <c r="O1518" s="213">
        <f>IFERROR(__xludf.DUMMYFUNCTION("""COMPUTED_VALUE"""),2.0)</f>
        <v>2</v>
      </c>
      <c r="P1518" s="213"/>
      <c r="Q1518" s="213"/>
      <c r="R1518" s="213"/>
      <c r="S1518" s="213"/>
      <c r="T1518" s="213"/>
      <c r="U1518" s="213"/>
      <c r="V1518" s="213"/>
      <c r="W1518" s="213"/>
      <c r="X1518" s="213"/>
      <c r="Y1518" s="213"/>
      <c r="Z1518" s="213"/>
      <c r="AA1518" s="213"/>
      <c r="AB1518" s="213"/>
      <c r="AC1518" s="213"/>
      <c r="AD1518" s="213"/>
      <c r="AE1518" s="213"/>
      <c r="AF1518" s="213"/>
      <c r="AG1518" s="213"/>
      <c r="AH1518" s="213"/>
      <c r="AI1518" s="213"/>
      <c r="AJ1518" s="213"/>
      <c r="AK1518" s="213"/>
      <c r="AL1518" s="213"/>
      <c r="AM1518" s="213"/>
      <c r="AN1518" s="213"/>
      <c r="AO1518" s="213"/>
      <c r="AP1518" s="213"/>
      <c r="AQ1518" s="213"/>
      <c r="AR1518" s="213"/>
      <c r="AS1518" s="213"/>
      <c r="AT1518" s="213"/>
      <c r="AU1518" s="213"/>
      <c r="AV1518" s="213"/>
      <c r="AW1518" s="213"/>
      <c r="AX1518" s="213"/>
      <c r="AY1518" s="213"/>
      <c r="AZ1518" s="213"/>
      <c r="BA1518" s="213"/>
      <c r="BB1518" s="213"/>
      <c r="BC1518" s="213"/>
      <c r="BD1518" s="213"/>
    </row>
    <row r="1519">
      <c r="A1519" s="213">
        <f>IFERROR(__xludf.DUMMYFUNCTION("""COMPUTED_VALUE"""),306.0)</f>
        <v>306</v>
      </c>
      <c r="B1519" s="213" t="str">
        <f>IFERROR(__xludf.DUMMYFUNCTION("""COMPUTED_VALUE"""),"2026 SIMON BOLIVAR")</f>
        <v>2026 SIMON BOLIVAR</v>
      </c>
      <c r="C1519" s="213" t="str">
        <f>IFERROR(__xludf.DUMMYFUNCTION("""COMPUTED_VALUE"""),"TALLER SFT DE COMPUTACIÓN E INFORMÁTICA")</f>
        <v>TALLER SFT DE COMPUTACIÓN E INFORMÁTICA</v>
      </c>
      <c r="D1519" s="213" t="str">
        <f>IFERROR(__xludf.DUMMYFUNCTION("""COMPUTED_VALUE"""),"PEDAGOGICO")</f>
        <v>PEDAGOGICO</v>
      </c>
      <c r="E1519" s="213" t="str">
        <f>IFERROR(__xludf.DUMMYFUNCTION("""COMPUTED_VALUE"""),"MAT-359")</f>
        <v>MAT-359</v>
      </c>
      <c r="F1519" s="213" t="str">
        <f>IFERROR(__xludf.DUMMYFUNCTION("""COMPUTED_VALUE"""),"KEFF-16")</f>
        <v>KEFF-16</v>
      </c>
      <c r="G1519" s="213"/>
      <c r="H1519" s="213" t="str">
        <f>IFERROR(__xludf.DUMMYFUNCTION("""COMPUTED_VALUE"""),"MANUAL PEDAGÓGICO PARA DESARROLLAR HABILIDADES TÉCNICAS EN EL TALLER DE PROGRAMACIÓN UTILIZANDO EL EQUIPO")</f>
        <v>MANUAL PEDAGÓGICO PARA DESARROLLAR HABILIDADES TÉCNICAS EN EL TALLER DE PROGRAMACIÓN UTILIZANDO EL EQUIPO</v>
      </c>
      <c r="I151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fun"&amp;"damentos de programación
-   Metodologías y técnicas desarrollar pensamiento computacional y lenguaje de programación.
-   Procedimientos ejemplificados de uso y aplicación de lenguajes de programación en la solución de problemas utilizando los equipos.
-"&amp;"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fundamentos de programación
-   Metodologías y técnicas desarrollar pensamiento computacional y lenguaje de programación.
-   Procedimientos ejemplificados de uso y aplicación de lenguajes de programación en la solución de problemas utilizando los equipos.
-   Fichas de trabajo para el estudiante</v>
      </c>
      <c r="J1519" s="213">
        <f>IFERROR(__xludf.DUMMYFUNCTION("""COMPUTED_VALUE"""),3.0)</f>
        <v>3</v>
      </c>
      <c r="K1519" s="213" t="str">
        <f>IFERROR(__xludf.DUMMYFUNCTION("""COMPUTED_VALUE"""),"170 DÍAS CALENDARIO")</f>
        <v>170 DÍAS CALENDARIO</v>
      </c>
      <c r="L1519" s="213" t="str">
        <f>IFERROR(__xludf.DUMMYFUNCTION("""COMPUTED_VALUE"""),"")</f>
        <v/>
      </c>
      <c r="M1519" s="213">
        <f>IFERROR(__xludf.DUMMYFUNCTION("""COMPUTED_VALUE"""),1.0)</f>
        <v>1</v>
      </c>
      <c r="N1519" s="213">
        <f>IFERROR(__xludf.DUMMYFUNCTION("""COMPUTED_VALUE"""),2.0)</f>
        <v>2</v>
      </c>
      <c r="O1519" s="213">
        <f>IFERROR(__xludf.DUMMYFUNCTION("""COMPUTED_VALUE"""),2.0)</f>
        <v>2</v>
      </c>
      <c r="P1519" s="213"/>
      <c r="Q1519" s="213"/>
      <c r="R1519" s="213"/>
      <c r="S1519" s="213"/>
      <c r="T1519" s="213"/>
      <c r="U1519" s="213"/>
      <c r="V1519" s="213"/>
      <c r="W1519" s="213"/>
      <c r="X1519" s="213"/>
      <c r="Y1519" s="213"/>
      <c r="Z1519" s="213"/>
      <c r="AA1519" s="213"/>
      <c r="AB1519" s="213"/>
      <c r="AC1519" s="213"/>
      <c r="AD1519" s="213"/>
      <c r="AE1519" s="213"/>
      <c r="AF1519" s="213"/>
      <c r="AG1519" s="213"/>
      <c r="AH1519" s="213"/>
      <c r="AI1519" s="213"/>
      <c r="AJ1519" s="213"/>
      <c r="AK1519" s="213"/>
      <c r="AL1519" s="213"/>
      <c r="AM1519" s="213"/>
      <c r="AN1519" s="213"/>
      <c r="AO1519" s="213"/>
      <c r="AP1519" s="213"/>
      <c r="AQ1519" s="213"/>
      <c r="AR1519" s="213"/>
      <c r="AS1519" s="213"/>
      <c r="AT1519" s="213"/>
      <c r="AU1519" s="213"/>
      <c r="AV1519" s="213"/>
      <c r="AW1519" s="213"/>
      <c r="AX1519" s="213"/>
      <c r="AY1519" s="213"/>
      <c r="AZ1519" s="213"/>
      <c r="BA1519" s="213"/>
      <c r="BB1519" s="213"/>
      <c r="BC1519" s="213"/>
      <c r="BD1519" s="213"/>
    </row>
    <row r="1520">
      <c r="A1520" s="213">
        <f>IFERROR(__xludf.DUMMYFUNCTION("""COMPUTED_VALUE"""),792.0)</f>
        <v>792</v>
      </c>
      <c r="B1520" s="213" t="str">
        <f>IFERROR(__xludf.DUMMYFUNCTION("""COMPUTED_VALUE"""),"6049 RICARDO PALMA")</f>
        <v>6049 RICARDO PALMA</v>
      </c>
      <c r="C1520" s="213" t="str">
        <f>IFERROR(__xludf.DUMMYFUNCTION("""COMPUTED_VALUE"""),"TALLER SFT DE COMPUTACIÓN E INFORMÁTICA")</f>
        <v>TALLER SFT DE COMPUTACIÓN E INFORMÁTICA</v>
      </c>
      <c r="D1520" s="213" t="str">
        <f>IFERROR(__xludf.DUMMYFUNCTION("""COMPUTED_VALUE"""),"PEDAGOGICO")</f>
        <v>PEDAGOGICO</v>
      </c>
      <c r="E1520" s="213" t="str">
        <f>IFERROR(__xludf.DUMMYFUNCTION("""COMPUTED_VALUE"""),"MAT-359")</f>
        <v>MAT-359</v>
      </c>
      <c r="F1520" s="213" t="str">
        <f>IFERROR(__xludf.DUMMYFUNCTION("""COMPUTED_VALUE"""),"KEFF-16")</f>
        <v>KEFF-16</v>
      </c>
      <c r="G1520" s="213"/>
      <c r="H1520" s="213" t="str">
        <f>IFERROR(__xludf.DUMMYFUNCTION("""COMPUTED_VALUE"""),"MANUAL PEDAGÓGICO PARA DESARROLLAR HABILIDADES TÉCNICAS EN EL TALLER DE PROGRAMACIÓN UTILIZANDO EL EQUIPO")</f>
        <v>MANUAL PEDAGÓGICO PARA DESARROLLAR HABILIDADES TÉCNICAS EN EL TALLER DE PROGRAMACIÓN UTILIZANDO EL EQUIPO</v>
      </c>
      <c r="I152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fun"&amp;"damentos de programación
-   Metodologías y técnicas desarrollar pensamiento computacional y lenguaje de programación.
-   Procedimientos ejemplificados de uso y aplicación de lenguajes de programación en la solución de problemas utilizando los equipos.
-"&amp;"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fundamentos de programación
-   Metodologías y técnicas desarrollar pensamiento computacional y lenguaje de programación.
-   Procedimientos ejemplificados de uso y aplicación de lenguajes de programación en la solución de problemas utilizando los equipos.
-   Fichas de trabajo para el estudiante</v>
      </c>
      <c r="J1520" s="213">
        <f>IFERROR(__xludf.DUMMYFUNCTION("""COMPUTED_VALUE"""),3.0)</f>
        <v>3</v>
      </c>
      <c r="K1520" s="213" t="str">
        <f>IFERROR(__xludf.DUMMYFUNCTION("""COMPUTED_VALUE"""),"170 DÍAS CALENDARIO")</f>
        <v>170 DÍAS CALENDARIO</v>
      </c>
      <c r="L1520" s="213" t="str">
        <f>IFERROR(__xludf.DUMMYFUNCTION("""COMPUTED_VALUE"""),"")</f>
        <v/>
      </c>
      <c r="M1520" s="213">
        <f>IFERROR(__xludf.DUMMYFUNCTION("""COMPUTED_VALUE"""),1.0)</f>
        <v>1</v>
      </c>
      <c r="N1520" s="213">
        <f>IFERROR(__xludf.DUMMYFUNCTION("""COMPUTED_VALUE"""),2.0)</f>
        <v>2</v>
      </c>
      <c r="O1520" s="213">
        <f>IFERROR(__xludf.DUMMYFUNCTION("""COMPUTED_VALUE"""),2.0)</f>
        <v>2</v>
      </c>
      <c r="P1520" s="213"/>
      <c r="Q1520" s="213"/>
      <c r="R1520" s="213"/>
      <c r="S1520" s="213"/>
      <c r="T1520" s="213"/>
      <c r="U1520" s="213"/>
      <c r="V1520" s="213"/>
      <c r="W1520" s="213"/>
      <c r="X1520" s="213"/>
      <c r="Y1520" s="213"/>
      <c r="Z1520" s="213"/>
      <c r="AA1520" s="213"/>
      <c r="AB1520" s="213"/>
      <c r="AC1520" s="213"/>
      <c r="AD1520" s="213"/>
      <c r="AE1520" s="213"/>
      <c r="AF1520" s="213"/>
      <c r="AG1520" s="213"/>
      <c r="AH1520" s="213"/>
      <c r="AI1520" s="213"/>
      <c r="AJ1520" s="213"/>
      <c r="AK1520" s="213"/>
      <c r="AL1520" s="213"/>
      <c r="AM1520" s="213"/>
      <c r="AN1520" s="213"/>
      <c r="AO1520" s="213"/>
      <c r="AP1520" s="213"/>
      <c r="AQ1520" s="213"/>
      <c r="AR1520" s="213"/>
      <c r="AS1520" s="213"/>
      <c r="AT1520" s="213"/>
      <c r="AU1520" s="213"/>
      <c r="AV1520" s="213"/>
      <c r="AW1520" s="213"/>
      <c r="AX1520" s="213"/>
      <c r="AY1520" s="213"/>
      <c r="AZ1520" s="213"/>
      <c r="BA1520" s="213"/>
      <c r="BB1520" s="213"/>
      <c r="BC1520" s="213"/>
      <c r="BD1520" s="213"/>
    </row>
    <row r="1521">
      <c r="A1521" s="213">
        <f>IFERROR(__xludf.DUMMYFUNCTION("""COMPUTED_VALUE"""),1730.0)</f>
        <v>1730</v>
      </c>
      <c r="B1521" s="213" t="str">
        <f>IFERROR(__xludf.DUMMYFUNCTION("""COMPUTED_VALUE"""),"GUILLERMO E. BILLINGHURST ")</f>
        <v>GUILLERMO E. BILLINGHURST </v>
      </c>
      <c r="C1521" s="213" t="str">
        <f>IFERROR(__xludf.DUMMYFUNCTION("""COMPUTED_VALUE"""),"TALLER SFT DE COMPUTACIÓN E INFORMÁTICA")</f>
        <v>TALLER SFT DE COMPUTACIÓN E INFORMÁTICA</v>
      </c>
      <c r="D1521" s="213" t="str">
        <f>IFERROR(__xludf.DUMMYFUNCTION("""COMPUTED_VALUE"""),"PEDAGOGICO")</f>
        <v>PEDAGOGICO</v>
      </c>
      <c r="E1521" s="213" t="str">
        <f>IFERROR(__xludf.DUMMYFUNCTION("""COMPUTED_VALUE"""),"MAT-359")</f>
        <v>MAT-359</v>
      </c>
      <c r="F1521" s="213" t="str">
        <f>IFERROR(__xludf.DUMMYFUNCTION("""COMPUTED_VALUE"""),"KEFF-16")</f>
        <v>KEFF-16</v>
      </c>
      <c r="G1521" s="213"/>
      <c r="H1521" s="213" t="str">
        <f>IFERROR(__xludf.DUMMYFUNCTION("""COMPUTED_VALUE"""),"MANUAL PEDAGÓGICO PARA DESARROLLAR HABILIDADES TÉCNICAS EN EL TALLER DE PROGRAMACIÓN UTILIZANDO EL EQUIPO")</f>
        <v>MANUAL PEDAGÓGICO PARA DESARROLLAR HABILIDADES TÉCNICAS EN EL TALLER DE PROGRAMACIÓN UTILIZANDO EL EQUIPO</v>
      </c>
      <c r="I152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fun"&amp;"damentos de programación
-   Metodologías y técnicas desarrollar pensamiento computacional y lenguaje de programación.
-   Procedimientos ejemplificados de uso y aplicación de lenguajes de programación en la solución de problemas utilizando los equipos.
-"&amp;"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fundamentos de programación
-   Metodologías y técnicas desarrollar pensamiento computacional y lenguaje de programación.
-   Procedimientos ejemplificados de uso y aplicación de lenguajes de programación en la solución de problemas utilizando los equipos.
-   Fichas de trabajo para el estudiante</v>
      </c>
      <c r="J1521" s="213">
        <f>IFERROR(__xludf.DUMMYFUNCTION("""COMPUTED_VALUE"""),3.0)</f>
        <v>3</v>
      </c>
      <c r="K1521" s="213" t="str">
        <f>IFERROR(__xludf.DUMMYFUNCTION("""COMPUTED_VALUE"""),"170 DÍAS CALENDARIO")</f>
        <v>170 DÍAS CALENDARIO</v>
      </c>
      <c r="L1521" s="213" t="str">
        <f>IFERROR(__xludf.DUMMYFUNCTION("""COMPUTED_VALUE"""),"")</f>
        <v/>
      </c>
      <c r="M1521" s="213">
        <f>IFERROR(__xludf.DUMMYFUNCTION("""COMPUTED_VALUE"""),1.0)</f>
        <v>1</v>
      </c>
      <c r="N1521" s="213">
        <f>IFERROR(__xludf.DUMMYFUNCTION("""COMPUTED_VALUE"""),2.0)</f>
        <v>2</v>
      </c>
      <c r="O1521" s="213">
        <f>IFERROR(__xludf.DUMMYFUNCTION("""COMPUTED_VALUE"""),2.0)</f>
        <v>2</v>
      </c>
      <c r="P1521" s="213"/>
      <c r="Q1521" s="213"/>
      <c r="R1521" s="213"/>
      <c r="S1521" s="213"/>
      <c r="T1521" s="213"/>
      <c r="U1521" s="213"/>
      <c r="V1521" s="213"/>
      <c r="W1521" s="213"/>
      <c r="X1521" s="213"/>
      <c r="Y1521" s="213"/>
      <c r="Z1521" s="213"/>
      <c r="AA1521" s="213"/>
      <c r="AB1521" s="213"/>
      <c r="AC1521" s="213"/>
      <c r="AD1521" s="213"/>
      <c r="AE1521" s="213"/>
      <c r="AF1521" s="213"/>
      <c r="AG1521" s="213"/>
      <c r="AH1521" s="213"/>
      <c r="AI1521" s="213"/>
      <c r="AJ1521" s="213"/>
      <c r="AK1521" s="213"/>
      <c r="AL1521" s="213"/>
      <c r="AM1521" s="213"/>
      <c r="AN1521" s="213"/>
      <c r="AO1521" s="213"/>
      <c r="AP1521" s="213"/>
      <c r="AQ1521" s="213"/>
      <c r="AR1521" s="213"/>
      <c r="AS1521" s="213"/>
      <c r="AT1521" s="213"/>
      <c r="AU1521" s="213"/>
      <c r="AV1521" s="213"/>
      <c r="AW1521" s="213"/>
      <c r="AX1521" s="213"/>
      <c r="AY1521" s="213"/>
      <c r="AZ1521" s="213"/>
      <c r="BA1521" s="213"/>
      <c r="BB1521" s="213"/>
      <c r="BC1521" s="213"/>
      <c r="BD1521" s="213"/>
    </row>
    <row r="1522">
      <c r="A1522" s="213">
        <f>IFERROR(__xludf.DUMMYFUNCTION("""COMPUTED_VALUE"""),1980.0)</f>
        <v>1980</v>
      </c>
      <c r="B1522" s="213" t="str">
        <f>IFERROR(__xludf.DUMMYFUNCTION("""COMPUTED_VALUE"""),"JOSE GRANDA")</f>
        <v>JOSE GRANDA</v>
      </c>
      <c r="C1522" s="213" t="str">
        <f>IFERROR(__xludf.DUMMYFUNCTION("""COMPUTED_VALUE"""),"TALLER SFT DE COMPUTACIÓN E INFORMÁTICA")</f>
        <v>TALLER SFT DE COMPUTACIÓN E INFORMÁTICA</v>
      </c>
      <c r="D1522" s="213" t="str">
        <f>IFERROR(__xludf.DUMMYFUNCTION("""COMPUTED_VALUE"""),"PEDAGOGICO")</f>
        <v>PEDAGOGICO</v>
      </c>
      <c r="E1522" s="213" t="str">
        <f>IFERROR(__xludf.DUMMYFUNCTION("""COMPUTED_VALUE"""),"MAT-359")</f>
        <v>MAT-359</v>
      </c>
      <c r="F1522" s="213" t="str">
        <f>IFERROR(__xludf.DUMMYFUNCTION("""COMPUTED_VALUE"""),"KEFF-16")</f>
        <v>KEFF-16</v>
      </c>
      <c r="G1522" s="213"/>
      <c r="H1522" s="213" t="str">
        <f>IFERROR(__xludf.DUMMYFUNCTION("""COMPUTED_VALUE"""),"MANUAL PEDAGÓGICO PARA DESARROLLAR HABILIDADES TÉCNICAS EN EL TALLER DE PROGRAMACIÓN UTILIZANDO EL EQUIPO")</f>
        <v>MANUAL PEDAGÓGICO PARA DESARROLLAR HABILIDADES TÉCNICAS EN EL TALLER DE PROGRAMACIÓN UTILIZANDO EL EQUIPO</v>
      </c>
      <c r="I152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fun"&amp;"damentos de programación
-   Metodologías y técnicas desarrollar pensamiento computacional y lenguaje de programación.
-   Procedimientos ejemplificados de uso y aplicación de lenguajes de programación en la solución de problemas utilizando los equipos.
-"&amp;"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fundamentos de programación
-   Metodologías y técnicas desarrollar pensamiento computacional y lenguaje de programación.
-   Procedimientos ejemplificados de uso y aplicación de lenguajes de programación en la solución de problemas utilizando los equipos.
-   Fichas de trabajo para el estudiante</v>
      </c>
      <c r="J1522" s="213">
        <f>IFERROR(__xludf.DUMMYFUNCTION("""COMPUTED_VALUE"""),3.0)</f>
        <v>3</v>
      </c>
      <c r="K1522" s="213" t="str">
        <f>IFERROR(__xludf.DUMMYFUNCTION("""COMPUTED_VALUE"""),"170 DÍAS CALENDARIO")</f>
        <v>170 DÍAS CALENDARIO</v>
      </c>
      <c r="L1522" s="213" t="str">
        <f>IFERROR(__xludf.DUMMYFUNCTION("""COMPUTED_VALUE"""),"")</f>
        <v/>
      </c>
      <c r="M1522" s="213">
        <f>IFERROR(__xludf.DUMMYFUNCTION("""COMPUTED_VALUE"""),1.0)</f>
        <v>1</v>
      </c>
      <c r="N1522" s="213">
        <f>IFERROR(__xludf.DUMMYFUNCTION("""COMPUTED_VALUE"""),2.0)</f>
        <v>2</v>
      </c>
      <c r="O1522" s="213">
        <f>IFERROR(__xludf.DUMMYFUNCTION("""COMPUTED_VALUE"""),2.0)</f>
        <v>2</v>
      </c>
      <c r="P1522" s="213"/>
      <c r="Q1522" s="213"/>
      <c r="R1522" s="213"/>
      <c r="S1522" s="213"/>
      <c r="T1522" s="213"/>
      <c r="U1522" s="213"/>
      <c r="V1522" s="213"/>
      <c r="W1522" s="213"/>
      <c r="X1522" s="213"/>
      <c r="Y1522" s="213"/>
      <c r="Z1522" s="213"/>
      <c r="AA1522" s="213"/>
      <c r="AB1522" s="213"/>
      <c r="AC1522" s="213"/>
      <c r="AD1522" s="213"/>
      <c r="AE1522" s="213"/>
      <c r="AF1522" s="213"/>
      <c r="AG1522" s="213"/>
      <c r="AH1522" s="213"/>
      <c r="AI1522" s="213"/>
      <c r="AJ1522" s="213"/>
      <c r="AK1522" s="213"/>
      <c r="AL1522" s="213"/>
      <c r="AM1522" s="213"/>
      <c r="AN1522" s="213"/>
      <c r="AO1522" s="213"/>
      <c r="AP1522" s="213"/>
      <c r="AQ1522" s="213"/>
      <c r="AR1522" s="213"/>
      <c r="AS1522" s="213"/>
      <c r="AT1522" s="213"/>
      <c r="AU1522" s="213"/>
      <c r="AV1522" s="213"/>
      <c r="AW1522" s="213"/>
      <c r="AX1522" s="213"/>
      <c r="AY1522" s="213"/>
      <c r="AZ1522" s="213"/>
      <c r="BA1522" s="213"/>
      <c r="BB1522" s="213"/>
      <c r="BC1522" s="213"/>
      <c r="BD1522" s="213"/>
    </row>
    <row r="1523">
      <c r="A1523" s="213">
        <f>IFERROR(__xludf.DUMMYFUNCTION("""COMPUTED_VALUE"""),329.0)</f>
        <v>329</v>
      </c>
      <c r="B1523" s="213" t="str">
        <f>IFERROR(__xludf.DUMMYFUNCTION("""COMPUTED_VALUE"""),"2026 SIMON BOLIVAR")</f>
        <v>2026 SIMON BOLIVAR</v>
      </c>
      <c r="C1523" s="213" t="str">
        <f>IFERROR(__xludf.DUMMYFUNCTION("""COMPUTED_VALUE"""),"TALLER SFT DE COMPUTACIÓN E INFORMÁTICA")</f>
        <v>TALLER SFT DE COMPUTACIÓN E INFORMÁTICA</v>
      </c>
      <c r="D1523" s="213" t="str">
        <f>IFERROR(__xludf.DUMMYFUNCTION("""COMPUTED_VALUE"""),"PEDAGOGICO")</f>
        <v>PEDAGOGICO</v>
      </c>
      <c r="E1523" s="213" t="str">
        <f>IFERROR(__xludf.DUMMYFUNCTION("""COMPUTED_VALUE"""),"MAT-360")</f>
        <v>MAT-360</v>
      </c>
      <c r="F1523" s="213" t="str">
        <f>IFERROR(__xludf.DUMMYFUNCTION("""COMPUTED_VALUE"""),"KEFF-29")</f>
        <v>KEFF-29</v>
      </c>
      <c r="G1523" s="213"/>
      <c r="H1523" s="213" t="str">
        <f>IFERROR(__xludf.DUMMYFUNCTION("""COMPUTED_VALUE"""),"MANUAL PEDAGÓGICO PARA DESARROLLAR HABILIDADES TÉCNICAS EN EL TALLER DE REDES Y ROBÓTICA UTILIZANDO EL EQUIPO")</f>
        <v>MANUAL PEDAGÓGICO PARA DESARROLLAR HABILIDADES TÉCNICAS EN EL TALLER DE REDES Y ROBÓTICA UTILIZANDO EL EQUIPO</v>
      </c>
      <c r="I152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ins"&amp;"talación, gestión y mantenimiento de redes.
-   Información sobre fundamentos y aplicaciones de sistemas embebidos y robóticos en la solución de problemas.
-   Metodologías y técnicas para desarrollar competencias con temas de redes y robótica.
-   Proced"&amp;"imientos ejemplificados de aplicación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instalación, gestión y mantenimiento de redes.
-   Información sobre fundamentos y aplicaciones de sistemas embebidos y robóticos en la solución de problemas.
-   Metodologías y técnicas para desarrollar competencias con temas de redes y robótica.
-   Procedimientos ejemplificados de aplicación utilizando los equipos.
-   Fichas de trabajo para el estudiante.</v>
      </c>
      <c r="J1523" s="213">
        <f>IFERROR(__xludf.DUMMYFUNCTION("""COMPUTED_VALUE"""),3.0)</f>
        <v>3</v>
      </c>
      <c r="K1523" s="213" t="str">
        <f>IFERROR(__xludf.DUMMYFUNCTION("""COMPUTED_VALUE"""),"170 DÍAS CALENDARIO")</f>
        <v>170 DÍAS CALENDARIO</v>
      </c>
      <c r="L1523" s="213" t="str">
        <f>IFERROR(__xludf.DUMMYFUNCTION("""COMPUTED_VALUE"""),"")</f>
        <v/>
      </c>
      <c r="M1523" s="213">
        <f>IFERROR(__xludf.DUMMYFUNCTION("""COMPUTED_VALUE"""),1.0)</f>
        <v>1</v>
      </c>
      <c r="N1523" s="213">
        <f>IFERROR(__xludf.DUMMYFUNCTION("""COMPUTED_VALUE"""),2.0)</f>
        <v>2</v>
      </c>
      <c r="O1523" s="213">
        <f>IFERROR(__xludf.DUMMYFUNCTION("""COMPUTED_VALUE"""),2.0)</f>
        <v>2</v>
      </c>
      <c r="P1523" s="213"/>
      <c r="Q1523" s="213"/>
      <c r="R1523" s="213"/>
      <c r="S1523" s="213"/>
      <c r="T1523" s="213"/>
      <c r="U1523" s="213"/>
      <c r="V1523" s="213"/>
      <c r="W1523" s="213"/>
      <c r="X1523" s="213"/>
      <c r="Y1523" s="213"/>
      <c r="Z1523" s="213"/>
      <c r="AA1523" s="213"/>
      <c r="AB1523" s="213"/>
      <c r="AC1523" s="213"/>
      <c r="AD1523" s="213"/>
      <c r="AE1523" s="213"/>
      <c r="AF1523" s="213"/>
      <c r="AG1523" s="213"/>
      <c r="AH1523" s="213"/>
      <c r="AI1523" s="213"/>
      <c r="AJ1523" s="213"/>
      <c r="AK1523" s="213"/>
      <c r="AL1523" s="213"/>
      <c r="AM1523" s="213"/>
      <c r="AN1523" s="213"/>
      <c r="AO1523" s="213"/>
      <c r="AP1523" s="213"/>
      <c r="AQ1523" s="213"/>
      <c r="AR1523" s="213"/>
      <c r="AS1523" s="213"/>
      <c r="AT1523" s="213"/>
      <c r="AU1523" s="213"/>
      <c r="AV1523" s="213"/>
      <c r="AW1523" s="213"/>
      <c r="AX1523" s="213"/>
      <c r="AY1523" s="213"/>
      <c r="AZ1523" s="213"/>
      <c r="BA1523" s="213"/>
      <c r="BB1523" s="213"/>
      <c r="BC1523" s="213"/>
      <c r="BD1523" s="213"/>
    </row>
    <row r="1524">
      <c r="A1524" s="213">
        <f>IFERROR(__xludf.DUMMYFUNCTION("""COMPUTED_VALUE"""),815.0)</f>
        <v>815</v>
      </c>
      <c r="B1524" s="213" t="str">
        <f>IFERROR(__xludf.DUMMYFUNCTION("""COMPUTED_VALUE"""),"6049 RICARDO PALMA")</f>
        <v>6049 RICARDO PALMA</v>
      </c>
      <c r="C1524" s="213" t="str">
        <f>IFERROR(__xludf.DUMMYFUNCTION("""COMPUTED_VALUE"""),"TALLER SFT DE COMPUTACIÓN E INFORMÁTICA")</f>
        <v>TALLER SFT DE COMPUTACIÓN E INFORMÁTICA</v>
      </c>
      <c r="D1524" s="213" t="str">
        <f>IFERROR(__xludf.DUMMYFUNCTION("""COMPUTED_VALUE"""),"PEDAGOGICO")</f>
        <v>PEDAGOGICO</v>
      </c>
      <c r="E1524" s="213" t="str">
        <f>IFERROR(__xludf.DUMMYFUNCTION("""COMPUTED_VALUE"""),"MAT-360")</f>
        <v>MAT-360</v>
      </c>
      <c r="F1524" s="213" t="str">
        <f>IFERROR(__xludf.DUMMYFUNCTION("""COMPUTED_VALUE"""),"KEFF-29")</f>
        <v>KEFF-29</v>
      </c>
      <c r="G1524" s="213"/>
      <c r="H1524" s="213" t="str">
        <f>IFERROR(__xludf.DUMMYFUNCTION("""COMPUTED_VALUE"""),"MANUAL PEDAGÓGICO PARA DESARROLLAR HABILIDADES TÉCNICAS EN EL TALLER DE REDES Y ROBÓTICA UTILIZANDO EL EQUIPO")</f>
        <v>MANUAL PEDAGÓGICO PARA DESARROLLAR HABILIDADES TÉCNICAS EN EL TALLER DE REDES Y ROBÓTICA UTILIZANDO EL EQUIPO</v>
      </c>
      <c r="I152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ins"&amp;"talación, gestión y mantenimiento de redes.
-   Información sobre fundamentos y aplicaciones de sistemas embebidos y robóticos en la solución de problemas.
-   Metodologías y técnicas para desarrollar competencias con temas de redes y robótica.
-   Proced"&amp;"imientos ejemplificados de aplicación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instalación, gestión y mantenimiento de redes.
-   Información sobre fundamentos y aplicaciones de sistemas embebidos y robóticos en la solución de problemas.
-   Metodologías y técnicas para desarrollar competencias con temas de redes y robótica.
-   Procedimientos ejemplificados de aplicación utilizando los equipos.
-   Fichas de trabajo para el estudiante.</v>
      </c>
      <c r="J1524" s="213">
        <f>IFERROR(__xludf.DUMMYFUNCTION("""COMPUTED_VALUE"""),3.0)</f>
        <v>3</v>
      </c>
      <c r="K1524" s="213" t="str">
        <f>IFERROR(__xludf.DUMMYFUNCTION("""COMPUTED_VALUE"""),"170 DÍAS CALENDARIO")</f>
        <v>170 DÍAS CALENDARIO</v>
      </c>
      <c r="L1524" s="213" t="str">
        <f>IFERROR(__xludf.DUMMYFUNCTION("""COMPUTED_VALUE"""),"")</f>
        <v/>
      </c>
      <c r="M1524" s="213">
        <f>IFERROR(__xludf.DUMMYFUNCTION("""COMPUTED_VALUE"""),1.0)</f>
        <v>1</v>
      </c>
      <c r="N1524" s="213">
        <f>IFERROR(__xludf.DUMMYFUNCTION("""COMPUTED_VALUE"""),2.0)</f>
        <v>2</v>
      </c>
      <c r="O1524" s="213">
        <f>IFERROR(__xludf.DUMMYFUNCTION("""COMPUTED_VALUE"""),2.0)</f>
        <v>2</v>
      </c>
      <c r="P1524" s="213"/>
      <c r="Q1524" s="213"/>
      <c r="R1524" s="213"/>
      <c r="S1524" s="213"/>
      <c r="T1524" s="213"/>
      <c r="U1524" s="213"/>
      <c r="V1524" s="213"/>
      <c r="W1524" s="213"/>
      <c r="X1524" s="213"/>
      <c r="Y1524" s="213"/>
      <c r="Z1524" s="213"/>
      <c r="AA1524" s="213"/>
      <c r="AB1524" s="213"/>
      <c r="AC1524" s="213"/>
      <c r="AD1524" s="213"/>
      <c r="AE1524" s="213"/>
      <c r="AF1524" s="213"/>
      <c r="AG1524" s="213"/>
      <c r="AH1524" s="213"/>
      <c r="AI1524" s="213"/>
      <c r="AJ1524" s="213"/>
      <c r="AK1524" s="213"/>
      <c r="AL1524" s="213"/>
      <c r="AM1524" s="213"/>
      <c r="AN1524" s="213"/>
      <c r="AO1524" s="213"/>
      <c r="AP1524" s="213"/>
      <c r="AQ1524" s="213"/>
      <c r="AR1524" s="213"/>
      <c r="AS1524" s="213"/>
      <c r="AT1524" s="213"/>
      <c r="AU1524" s="213"/>
      <c r="AV1524" s="213"/>
      <c r="AW1524" s="213"/>
      <c r="AX1524" s="213"/>
      <c r="AY1524" s="213"/>
      <c r="AZ1524" s="213"/>
      <c r="BA1524" s="213"/>
      <c r="BB1524" s="213"/>
      <c r="BC1524" s="213"/>
      <c r="BD1524" s="213"/>
    </row>
    <row r="1525">
      <c r="A1525" s="213">
        <f>IFERROR(__xludf.DUMMYFUNCTION("""COMPUTED_VALUE"""),1752.0)</f>
        <v>1752</v>
      </c>
      <c r="B1525" s="213" t="str">
        <f>IFERROR(__xludf.DUMMYFUNCTION("""COMPUTED_VALUE"""),"GUILLERMO E. BILLINGHURST ")</f>
        <v>GUILLERMO E. BILLINGHURST </v>
      </c>
      <c r="C1525" s="213" t="str">
        <f>IFERROR(__xludf.DUMMYFUNCTION("""COMPUTED_VALUE"""),"TALLER SFT DE COMPUTACIÓN E INFORMÁTICA")</f>
        <v>TALLER SFT DE COMPUTACIÓN E INFORMÁTICA</v>
      </c>
      <c r="D1525" s="213" t="str">
        <f>IFERROR(__xludf.DUMMYFUNCTION("""COMPUTED_VALUE"""),"PEDAGOGICO")</f>
        <v>PEDAGOGICO</v>
      </c>
      <c r="E1525" s="213" t="str">
        <f>IFERROR(__xludf.DUMMYFUNCTION("""COMPUTED_VALUE"""),"MAT-360")</f>
        <v>MAT-360</v>
      </c>
      <c r="F1525" s="213" t="str">
        <f>IFERROR(__xludf.DUMMYFUNCTION("""COMPUTED_VALUE"""),"KEFF-29")</f>
        <v>KEFF-29</v>
      </c>
      <c r="G1525" s="213"/>
      <c r="H1525" s="213" t="str">
        <f>IFERROR(__xludf.DUMMYFUNCTION("""COMPUTED_VALUE"""),"MANUAL PEDAGÓGICO PARA DESARROLLAR HABILIDADES TÉCNICAS EN EL TALLER DE REDES Y ROBÓTICA UTILIZANDO EL EQUIPO")</f>
        <v>MANUAL PEDAGÓGICO PARA DESARROLLAR HABILIDADES TÉCNICAS EN EL TALLER DE REDES Y ROBÓTICA UTILIZANDO EL EQUIPO</v>
      </c>
      <c r="I152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ins"&amp;"talación, gestión y mantenimiento de redes.
-   Información sobre fundamentos y aplicaciones de sistemas embebidos y robóticos en la solución de problemas.
-   Metodologías y técnicas para desarrollar competencias con temas de redes y robótica.
-   Proced"&amp;"imientos ejemplificados de aplicación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instalación, gestión y mantenimiento de redes.
-   Información sobre fundamentos y aplicaciones de sistemas embebidos y robóticos en la solución de problemas.
-   Metodologías y técnicas para desarrollar competencias con temas de redes y robótica.
-   Procedimientos ejemplificados de aplicación utilizando los equipos.
-   Fichas de trabajo para el estudiante.</v>
      </c>
      <c r="J1525" s="213">
        <f>IFERROR(__xludf.DUMMYFUNCTION("""COMPUTED_VALUE"""),3.0)</f>
        <v>3</v>
      </c>
      <c r="K1525" s="213" t="str">
        <f>IFERROR(__xludf.DUMMYFUNCTION("""COMPUTED_VALUE"""),"170 DÍAS CALENDARIO")</f>
        <v>170 DÍAS CALENDARIO</v>
      </c>
      <c r="L1525" s="213" t="str">
        <f>IFERROR(__xludf.DUMMYFUNCTION("""COMPUTED_VALUE"""),"")</f>
        <v/>
      </c>
      <c r="M1525" s="213">
        <f>IFERROR(__xludf.DUMMYFUNCTION("""COMPUTED_VALUE"""),1.0)</f>
        <v>1</v>
      </c>
      <c r="N1525" s="213">
        <f>IFERROR(__xludf.DUMMYFUNCTION("""COMPUTED_VALUE"""),2.0)</f>
        <v>2</v>
      </c>
      <c r="O1525" s="213">
        <f>IFERROR(__xludf.DUMMYFUNCTION("""COMPUTED_VALUE"""),2.0)</f>
        <v>2</v>
      </c>
      <c r="P1525" s="213"/>
      <c r="Q1525" s="213"/>
      <c r="R1525" s="213"/>
      <c r="S1525" s="213"/>
      <c r="T1525" s="213"/>
      <c r="U1525" s="213"/>
      <c r="V1525" s="213"/>
      <c r="W1525" s="213"/>
      <c r="X1525" s="213"/>
      <c r="Y1525" s="213"/>
      <c r="Z1525" s="213"/>
      <c r="AA1525" s="213"/>
      <c r="AB1525" s="213"/>
      <c r="AC1525" s="213"/>
      <c r="AD1525" s="213"/>
      <c r="AE1525" s="213"/>
      <c r="AF1525" s="213"/>
      <c r="AG1525" s="213"/>
      <c r="AH1525" s="213"/>
      <c r="AI1525" s="213"/>
      <c r="AJ1525" s="213"/>
      <c r="AK1525" s="213"/>
      <c r="AL1525" s="213"/>
      <c r="AM1525" s="213"/>
      <c r="AN1525" s="213"/>
      <c r="AO1525" s="213"/>
      <c r="AP1525" s="213"/>
      <c r="AQ1525" s="213"/>
      <c r="AR1525" s="213"/>
      <c r="AS1525" s="213"/>
      <c r="AT1525" s="213"/>
      <c r="AU1525" s="213"/>
      <c r="AV1525" s="213"/>
      <c r="AW1525" s="213"/>
      <c r="AX1525" s="213"/>
      <c r="AY1525" s="213"/>
      <c r="AZ1525" s="213"/>
      <c r="BA1525" s="213"/>
      <c r="BB1525" s="213"/>
      <c r="BC1525" s="213"/>
      <c r="BD1525" s="213"/>
    </row>
    <row r="1526">
      <c r="A1526" s="213">
        <f>IFERROR(__xludf.DUMMYFUNCTION("""COMPUTED_VALUE"""),2003.0)</f>
        <v>2003</v>
      </c>
      <c r="B1526" s="213" t="str">
        <f>IFERROR(__xludf.DUMMYFUNCTION("""COMPUTED_VALUE"""),"JOSE GRANDA")</f>
        <v>JOSE GRANDA</v>
      </c>
      <c r="C1526" s="213" t="str">
        <f>IFERROR(__xludf.DUMMYFUNCTION("""COMPUTED_VALUE"""),"TALLER SFT DE COMPUTACIÓN E INFORMÁTICA")</f>
        <v>TALLER SFT DE COMPUTACIÓN E INFORMÁTICA</v>
      </c>
      <c r="D1526" s="213" t="str">
        <f>IFERROR(__xludf.DUMMYFUNCTION("""COMPUTED_VALUE"""),"PEDAGOGICO")</f>
        <v>PEDAGOGICO</v>
      </c>
      <c r="E1526" s="213" t="str">
        <f>IFERROR(__xludf.DUMMYFUNCTION("""COMPUTED_VALUE"""),"MAT-360")</f>
        <v>MAT-360</v>
      </c>
      <c r="F1526" s="213" t="str">
        <f>IFERROR(__xludf.DUMMYFUNCTION("""COMPUTED_VALUE"""),"KEFF-29")</f>
        <v>KEFF-29</v>
      </c>
      <c r="G1526" s="213"/>
      <c r="H1526" s="213" t="str">
        <f>IFERROR(__xludf.DUMMYFUNCTION("""COMPUTED_VALUE"""),"MANUAL PEDAGÓGICO PARA DESARROLLAR HABILIDADES TÉCNICAS EN EL TALLER DE REDES Y ROBÓTICA UTILIZANDO EL EQUIPO")</f>
        <v>MANUAL PEDAGÓGICO PARA DESARROLLAR HABILIDADES TÉCNICAS EN EL TALLER DE REDES Y ROBÓTICA UTILIZANDO EL EQUIPO</v>
      </c>
      <c r="I152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ins"&amp;"talación, gestión y mantenimiento de redes.
-   Información sobre fundamentos y aplicaciones de sistemas embebidos y robóticos en la solución de problemas.
-   Metodologías y técnicas para desarrollar competencias con temas de redes y robótica.
-   Proced"&amp;"imientos ejemplificados de aplicación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instalación, gestión y mantenimiento de redes.
-   Información sobre fundamentos y aplicaciones de sistemas embebidos y robóticos en la solución de problemas.
-   Metodologías y técnicas para desarrollar competencias con temas de redes y robótica.
-   Procedimientos ejemplificados de aplicación utilizando los equipos.
-   Fichas de trabajo para el estudiante.</v>
      </c>
      <c r="J1526" s="213">
        <f>IFERROR(__xludf.DUMMYFUNCTION("""COMPUTED_VALUE"""),3.0)</f>
        <v>3</v>
      </c>
      <c r="K1526" s="213" t="str">
        <f>IFERROR(__xludf.DUMMYFUNCTION("""COMPUTED_VALUE"""),"170 DÍAS CALENDARIO")</f>
        <v>170 DÍAS CALENDARIO</v>
      </c>
      <c r="L1526" s="213" t="str">
        <f>IFERROR(__xludf.DUMMYFUNCTION("""COMPUTED_VALUE"""),"")</f>
        <v/>
      </c>
      <c r="M1526" s="213">
        <f>IFERROR(__xludf.DUMMYFUNCTION("""COMPUTED_VALUE"""),1.0)</f>
        <v>1</v>
      </c>
      <c r="N1526" s="213">
        <f>IFERROR(__xludf.DUMMYFUNCTION("""COMPUTED_VALUE"""),2.0)</f>
        <v>2</v>
      </c>
      <c r="O1526" s="213">
        <f>IFERROR(__xludf.DUMMYFUNCTION("""COMPUTED_VALUE"""),2.0)</f>
        <v>2</v>
      </c>
      <c r="P1526" s="213"/>
      <c r="Q1526" s="213"/>
      <c r="R1526" s="213"/>
      <c r="S1526" s="213"/>
      <c r="T1526" s="213"/>
      <c r="U1526" s="213"/>
      <c r="V1526" s="213"/>
      <c r="W1526" s="213"/>
      <c r="X1526" s="213"/>
      <c r="Y1526" s="213"/>
      <c r="Z1526" s="213"/>
      <c r="AA1526" s="213"/>
      <c r="AB1526" s="213"/>
      <c r="AC1526" s="213"/>
      <c r="AD1526" s="213"/>
      <c r="AE1526" s="213"/>
      <c r="AF1526" s="213"/>
      <c r="AG1526" s="213"/>
      <c r="AH1526" s="213"/>
      <c r="AI1526" s="213"/>
      <c r="AJ1526" s="213"/>
      <c r="AK1526" s="213"/>
      <c r="AL1526" s="213"/>
      <c r="AM1526" s="213"/>
      <c r="AN1526" s="213"/>
      <c r="AO1526" s="213"/>
      <c r="AP1526" s="213"/>
      <c r="AQ1526" s="213"/>
      <c r="AR1526" s="213"/>
      <c r="AS1526" s="213"/>
      <c r="AT1526" s="213"/>
      <c r="AU1526" s="213"/>
      <c r="AV1526" s="213"/>
      <c r="AW1526" s="213"/>
      <c r="AX1526" s="213"/>
      <c r="AY1526" s="213"/>
      <c r="AZ1526" s="213"/>
      <c r="BA1526" s="213"/>
      <c r="BB1526" s="213"/>
      <c r="BC1526" s="213"/>
      <c r="BD1526" s="213"/>
    </row>
    <row r="1527">
      <c r="A1527" s="213">
        <f>IFERROR(__xludf.DUMMYFUNCTION("""COMPUTED_VALUE"""),233.0)</f>
        <v>233</v>
      </c>
      <c r="B1527" s="213" t="str">
        <f>IFERROR(__xludf.DUMMYFUNCTION("""COMPUTED_VALUE"""),"2026 SIMON BOLIVAR")</f>
        <v>2026 SIMON BOLIVAR</v>
      </c>
      <c r="C1527" s="213" t="str">
        <f>IFERROR(__xludf.DUMMYFUNCTION("""COMPUTED_VALUE"""),"TALLER SFT DE INDUSTRIA DEL VESTIDO")</f>
        <v>TALLER SFT DE INDUSTRIA DEL VESTIDO</v>
      </c>
      <c r="D1527" s="213" t="str">
        <f>IFERROR(__xludf.DUMMYFUNCTION("""COMPUTED_VALUE"""),"PEDAGOGICO")</f>
        <v>PEDAGOGICO</v>
      </c>
      <c r="E1527" s="213" t="str">
        <f>IFERROR(__xludf.DUMMYFUNCTION("""COMPUTED_VALUE"""),"MAT-361")</f>
        <v>MAT-361</v>
      </c>
      <c r="F1527" s="213" t="str">
        <f>IFERROR(__xludf.DUMMYFUNCTION("""COMPUTED_VALUE"""),"KEFF-79")</f>
        <v>KEFF-79</v>
      </c>
      <c r="G1527" s="213"/>
      <c r="H1527" s="213" t="str">
        <f>IFERROR(__xludf.DUMMYFUNCTION("""COMPUTED_VALUE"""),"MANUAL PEDAGÓGICO PARA DESARROLLAR HABILIDADES TECNICAS PARA BORDAR UTILIZANDO EL EQUIPO")</f>
        <v>MANUAL PEDAGÓGICO PARA DESARROLLAR HABILIDADES TECNICAS PARA BORDAR UTILIZANDO EL EQUIPO</v>
      </c>
      <c r="I152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gram"&amp;"os o papel bond de 75 gramos de 80% de blancura como mínimo.
·      Tamaño: como mínimo 21  cmx 29,7 cm
·      Tipo de Encuadernación: caballete con 2 grapas cuando sea menos de 80 páginas y encolado cuando sea más de 80 páginas.
Contenido que presenta:
-"&amp;"           Información sobre formas de realizar bordados
-           Metodologías y técnicas realizar  bordados
·       Procedimientos ejemplificados utilizando los equipos para elaborar  bordados")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cmx 29,7 cm
·      Tipo de Encuadernación: caballete con 2 grapas cuando sea menos de 80 páginas y encolado cuando sea más de 80 páginas.
Contenido que presenta:
-           Información sobre formas de realizar bordados
-           Metodologías y técnicas realizar  bordados
·       Procedimientos ejemplificados utilizando los equipos para elaborar  bordados</v>
      </c>
      <c r="J1527" s="213">
        <f>IFERROR(__xludf.DUMMYFUNCTION("""COMPUTED_VALUE"""),3.0)</f>
        <v>3</v>
      </c>
      <c r="K1527" s="213" t="str">
        <f>IFERROR(__xludf.DUMMYFUNCTION("""COMPUTED_VALUE"""),"170 DÍAS CALENDARIO")</f>
        <v>170 DÍAS CALENDARIO</v>
      </c>
      <c r="L1527" s="213" t="str">
        <f>IFERROR(__xludf.DUMMYFUNCTION("""COMPUTED_VALUE"""),"")</f>
        <v/>
      </c>
      <c r="M1527" s="213">
        <f>IFERROR(__xludf.DUMMYFUNCTION("""COMPUTED_VALUE"""),1.0)</f>
        <v>1</v>
      </c>
      <c r="N1527" s="213">
        <f>IFERROR(__xludf.DUMMYFUNCTION("""COMPUTED_VALUE"""),2.0)</f>
        <v>2</v>
      </c>
      <c r="O1527" s="213">
        <f>IFERROR(__xludf.DUMMYFUNCTION("""COMPUTED_VALUE"""),2.0)</f>
        <v>2</v>
      </c>
      <c r="P1527" s="213"/>
      <c r="Q1527" s="213"/>
      <c r="R1527" s="213"/>
      <c r="S1527" s="213"/>
      <c r="T1527" s="213"/>
      <c r="U1527" s="213"/>
      <c r="V1527" s="213"/>
      <c r="W1527" s="213"/>
      <c r="X1527" s="213"/>
      <c r="Y1527" s="213"/>
      <c r="Z1527" s="213"/>
      <c r="AA1527" s="213"/>
      <c r="AB1527" s="213"/>
      <c r="AC1527" s="213"/>
      <c r="AD1527" s="213"/>
      <c r="AE1527" s="213"/>
      <c r="AF1527" s="213"/>
      <c r="AG1527" s="213"/>
      <c r="AH1527" s="213"/>
      <c r="AI1527" s="213"/>
      <c r="AJ1527" s="213"/>
      <c r="AK1527" s="213"/>
      <c r="AL1527" s="213"/>
      <c r="AM1527" s="213"/>
      <c r="AN1527" s="213"/>
      <c r="AO1527" s="213"/>
      <c r="AP1527" s="213"/>
      <c r="AQ1527" s="213"/>
      <c r="AR1527" s="213"/>
      <c r="AS1527" s="213"/>
      <c r="AT1527" s="213"/>
      <c r="AU1527" s="213"/>
      <c r="AV1527" s="213"/>
      <c r="AW1527" s="213"/>
      <c r="AX1527" s="213"/>
      <c r="AY1527" s="213"/>
      <c r="AZ1527" s="213"/>
      <c r="BA1527" s="213"/>
      <c r="BB1527" s="213"/>
      <c r="BC1527" s="213"/>
      <c r="BD1527" s="213"/>
    </row>
    <row r="1528">
      <c r="A1528" s="213">
        <f>IFERROR(__xludf.DUMMYFUNCTION("""COMPUTED_VALUE"""),2447.0)</f>
        <v>2447</v>
      </c>
      <c r="B1528" s="213" t="str">
        <f>IFERROR(__xludf.DUMMYFUNCTION("""COMPUTED_VALUE"""),"MANUEL ANTONIO MESONES MURO")</f>
        <v>MANUEL ANTONIO MESONES MURO</v>
      </c>
      <c r="C1528" s="213" t="str">
        <f>IFERROR(__xludf.DUMMYFUNCTION("""COMPUTED_VALUE"""),"TALLER SFT DE INDUSTRIA DEL VESTIDO")</f>
        <v>TALLER SFT DE INDUSTRIA DEL VESTIDO</v>
      </c>
      <c r="D1528" s="213" t="str">
        <f>IFERROR(__xludf.DUMMYFUNCTION("""COMPUTED_VALUE"""),"PEDAGOGICO")</f>
        <v>PEDAGOGICO</v>
      </c>
      <c r="E1528" s="213" t="str">
        <f>IFERROR(__xludf.DUMMYFUNCTION("""COMPUTED_VALUE"""),"MAT-361")</f>
        <v>MAT-361</v>
      </c>
      <c r="F1528" s="213" t="str">
        <f>IFERROR(__xludf.DUMMYFUNCTION("""COMPUTED_VALUE"""),"KEFF-79")</f>
        <v>KEFF-79</v>
      </c>
      <c r="G1528" s="213"/>
      <c r="H1528" s="213" t="str">
        <f>IFERROR(__xludf.DUMMYFUNCTION("""COMPUTED_VALUE"""),"MANUAL PEDAGÓGICO PARA DESARROLLAR HABILIDADES TECNICAS PARA BORDAR UTILIZANDO EL EQUIPO")</f>
        <v>MANUAL PEDAGÓGICO PARA DESARROLLAR HABILIDADES TECNICAS PARA BORDAR UTILIZANDO EL EQUIPO</v>
      </c>
      <c r="I152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gram"&amp;"os o papel bond de 75 gramos de 80% de blancura como mínimo.
·      Tamaño: como mínimo 21  cmx 29,7 cm
·      Tipo de Encuadernación: caballete con 2 grapas cuando sea menos de 80 páginas y encolado cuando sea más de 80 páginas.
Contenido que presenta:
-"&amp;"           Información sobre formas de realizar bordados
-           Metodologías y técnicas realizar  bordados
·       Procedimientos ejemplificados utilizando los equipos para elaborar  bordados")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cmx 29,7 cm
·      Tipo de Encuadernación: caballete con 2 grapas cuando sea menos de 80 páginas y encolado cuando sea más de 80 páginas.
Contenido que presenta:
-           Información sobre formas de realizar bordados
-           Metodologías y técnicas realizar  bordados
·       Procedimientos ejemplificados utilizando los equipos para elaborar  bordados</v>
      </c>
      <c r="J1528" s="213">
        <f>IFERROR(__xludf.DUMMYFUNCTION("""COMPUTED_VALUE"""),3.0)</f>
        <v>3</v>
      </c>
      <c r="K1528" s="213" t="str">
        <f>IFERROR(__xludf.DUMMYFUNCTION("""COMPUTED_VALUE"""),"170 DÍAS CALENDARIO")</f>
        <v>170 DÍAS CALENDARIO</v>
      </c>
      <c r="L1528" s="213" t="str">
        <f>IFERROR(__xludf.DUMMYFUNCTION("""COMPUTED_VALUE"""),"")</f>
        <v/>
      </c>
      <c r="M1528" s="213">
        <f>IFERROR(__xludf.DUMMYFUNCTION("""COMPUTED_VALUE"""),1.0)</f>
        <v>1</v>
      </c>
      <c r="N1528" s="213">
        <f>IFERROR(__xludf.DUMMYFUNCTION("""COMPUTED_VALUE"""),2.0)</f>
        <v>2</v>
      </c>
      <c r="O1528" s="213">
        <f>IFERROR(__xludf.DUMMYFUNCTION("""COMPUTED_VALUE"""),2.0)</f>
        <v>2</v>
      </c>
      <c r="P1528" s="213"/>
      <c r="Q1528" s="213"/>
      <c r="R1528" s="213"/>
      <c r="S1528" s="213"/>
      <c r="T1528" s="213"/>
      <c r="U1528" s="213"/>
      <c r="V1528" s="213"/>
      <c r="W1528" s="213"/>
      <c r="X1528" s="213"/>
      <c r="Y1528" s="213"/>
      <c r="Z1528" s="213"/>
      <c r="AA1528" s="213"/>
      <c r="AB1528" s="213"/>
      <c r="AC1528" s="213"/>
      <c r="AD1528" s="213"/>
      <c r="AE1528" s="213"/>
      <c r="AF1528" s="213"/>
      <c r="AG1528" s="213"/>
      <c r="AH1528" s="213"/>
      <c r="AI1528" s="213"/>
      <c r="AJ1528" s="213"/>
      <c r="AK1528" s="213"/>
      <c r="AL1528" s="213"/>
      <c r="AM1528" s="213"/>
      <c r="AN1528" s="213"/>
      <c r="AO1528" s="213"/>
      <c r="AP1528" s="213"/>
      <c r="AQ1528" s="213"/>
      <c r="AR1528" s="213"/>
      <c r="AS1528" s="213"/>
      <c r="AT1528" s="213"/>
      <c r="AU1528" s="213"/>
      <c r="AV1528" s="213"/>
      <c r="AW1528" s="213"/>
      <c r="AX1528" s="213"/>
      <c r="AY1528" s="213"/>
      <c r="AZ1528" s="213"/>
      <c r="BA1528" s="213"/>
      <c r="BB1528" s="213"/>
      <c r="BC1528" s="213"/>
      <c r="BD1528" s="213"/>
    </row>
    <row r="1529">
      <c r="A1529" s="213">
        <f>IFERROR(__xludf.DUMMYFUNCTION("""COMPUTED_VALUE"""),237.0)</f>
        <v>237</v>
      </c>
      <c r="B1529" s="213" t="str">
        <f>IFERROR(__xludf.DUMMYFUNCTION("""COMPUTED_VALUE"""),"2026 SIMON BOLIVAR")</f>
        <v>2026 SIMON BOLIVAR</v>
      </c>
      <c r="C1529" s="213" t="str">
        <f>IFERROR(__xludf.DUMMYFUNCTION("""COMPUTED_VALUE"""),"TALLER SFT DE INDUSTRIA DEL VESTIDO")</f>
        <v>TALLER SFT DE INDUSTRIA DEL VESTIDO</v>
      </c>
      <c r="D1529" s="213" t="str">
        <f>IFERROR(__xludf.DUMMYFUNCTION("""COMPUTED_VALUE"""),"PEDAGOGICO")</f>
        <v>PEDAGOGICO</v>
      </c>
      <c r="E1529" s="213" t="str">
        <f>IFERROR(__xludf.DUMMYFUNCTION("""COMPUTED_VALUE"""),"MAT-362")</f>
        <v>MAT-362</v>
      </c>
      <c r="F1529" s="213" t="str">
        <f>IFERROR(__xludf.DUMMYFUNCTION("""COMPUTED_VALUE"""),"KEFF-82")</f>
        <v>KEFF-82</v>
      </c>
      <c r="G1529" s="213"/>
      <c r="H1529" s="213" t="str">
        <f>IFERROR(__xludf.DUMMYFUNCTION("""COMPUTED_VALUE"""),"MANUAL PEDAGÓGICO PARA DESARROLLAR HABILIDADES TECNICAS PARA ESTAMPAR UTILIZANDO EL EQUIPO")</f>
        <v>MANUAL PEDAGÓGICO PARA DESARROLLAR HABILIDADES TECNICAS PARA ESTAMPAR UTILIZANDO EL EQUIPO</v>
      </c>
      <c r="I152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Información sobre forma"&amp;"s de realizar el  estampado  al elaborar los productos.
- Metodologías y técnicas para realizar   estampados  al elaborar los productos.
- Procedimientos ejemplificados utilizando los equipos para  estampado  al elaborar los productos.")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formas de realizar el  estampado  al elaborar los productos.
- Metodologías y técnicas para realizar   estampados  al elaborar los productos.
- Procedimientos ejemplificados utilizando los equipos para  estampado  al elaborar los productos.</v>
      </c>
      <c r="J1529" s="213">
        <f>IFERROR(__xludf.DUMMYFUNCTION("""COMPUTED_VALUE"""),3.0)</f>
        <v>3</v>
      </c>
      <c r="K1529" s="213" t="str">
        <f>IFERROR(__xludf.DUMMYFUNCTION("""COMPUTED_VALUE"""),"170 DÍAS CALENDARIO")</f>
        <v>170 DÍAS CALENDARIO</v>
      </c>
      <c r="L1529" s="213" t="str">
        <f>IFERROR(__xludf.DUMMYFUNCTION("""COMPUTED_VALUE"""),"")</f>
        <v/>
      </c>
      <c r="M1529" s="213">
        <f>IFERROR(__xludf.DUMMYFUNCTION("""COMPUTED_VALUE"""),1.0)</f>
        <v>1</v>
      </c>
      <c r="N1529" s="213">
        <f>IFERROR(__xludf.DUMMYFUNCTION("""COMPUTED_VALUE"""),2.0)</f>
        <v>2</v>
      </c>
      <c r="O1529" s="213">
        <f>IFERROR(__xludf.DUMMYFUNCTION("""COMPUTED_VALUE"""),2.0)</f>
        <v>2</v>
      </c>
      <c r="P1529" s="213"/>
      <c r="Q1529" s="213"/>
      <c r="R1529" s="213"/>
      <c r="S1529" s="213"/>
      <c r="T1529" s="213"/>
      <c r="U1529" s="213"/>
      <c r="V1529" s="213"/>
      <c r="W1529" s="213"/>
      <c r="X1529" s="213"/>
      <c r="Y1529" s="213"/>
      <c r="Z1529" s="213"/>
      <c r="AA1529" s="213"/>
      <c r="AB1529" s="213"/>
      <c r="AC1529" s="213"/>
      <c r="AD1529" s="213"/>
      <c r="AE1529" s="213"/>
      <c r="AF1529" s="213"/>
      <c r="AG1529" s="213"/>
      <c r="AH1529" s="213"/>
      <c r="AI1529" s="213"/>
      <c r="AJ1529" s="213"/>
      <c r="AK1529" s="213"/>
      <c r="AL1529" s="213"/>
      <c r="AM1529" s="213"/>
      <c r="AN1529" s="213"/>
      <c r="AO1529" s="213"/>
      <c r="AP1529" s="213"/>
      <c r="AQ1529" s="213"/>
      <c r="AR1529" s="213"/>
      <c r="AS1529" s="213"/>
      <c r="AT1529" s="213"/>
      <c r="AU1529" s="213"/>
      <c r="AV1529" s="213"/>
      <c r="AW1529" s="213"/>
      <c r="AX1529" s="213"/>
      <c r="AY1529" s="213"/>
      <c r="AZ1529" s="213"/>
      <c r="BA1529" s="213"/>
      <c r="BB1529" s="213"/>
      <c r="BC1529" s="213"/>
      <c r="BD1529" s="213"/>
    </row>
    <row r="1530">
      <c r="A1530" s="213">
        <f>IFERROR(__xludf.DUMMYFUNCTION("""COMPUTED_VALUE"""),2451.0)</f>
        <v>2451</v>
      </c>
      <c r="B1530" s="213" t="str">
        <f>IFERROR(__xludf.DUMMYFUNCTION("""COMPUTED_VALUE"""),"MANUEL ANTONIO MESONES MURO")</f>
        <v>MANUEL ANTONIO MESONES MURO</v>
      </c>
      <c r="C1530" s="213" t="str">
        <f>IFERROR(__xludf.DUMMYFUNCTION("""COMPUTED_VALUE"""),"TALLER SFT DE INDUSTRIA DEL VESTIDO")</f>
        <v>TALLER SFT DE INDUSTRIA DEL VESTIDO</v>
      </c>
      <c r="D1530" s="213" t="str">
        <f>IFERROR(__xludf.DUMMYFUNCTION("""COMPUTED_VALUE"""),"PEDAGOGICO")</f>
        <v>PEDAGOGICO</v>
      </c>
      <c r="E1530" s="213" t="str">
        <f>IFERROR(__xludf.DUMMYFUNCTION("""COMPUTED_VALUE"""),"MAT-362")</f>
        <v>MAT-362</v>
      </c>
      <c r="F1530" s="213" t="str">
        <f>IFERROR(__xludf.DUMMYFUNCTION("""COMPUTED_VALUE"""),"KEFF-82")</f>
        <v>KEFF-82</v>
      </c>
      <c r="G1530" s="213"/>
      <c r="H1530" s="213" t="str">
        <f>IFERROR(__xludf.DUMMYFUNCTION("""COMPUTED_VALUE"""),"MANUAL PEDAGÓGICO PARA DESARROLLAR HABILIDADES TECNICAS PARA ESTAMPAR UTILIZANDO EL EQUIPO")</f>
        <v>MANUAL PEDAGÓGICO PARA DESARROLLAR HABILIDADES TECNICAS PARA ESTAMPAR UTILIZANDO EL EQUIPO</v>
      </c>
      <c r="I153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Información sobre forma"&amp;"s de realizar el  estampado  al elaborar los productos.
- Metodologías y técnicas para realizar   estampados  al elaborar los productos.
- Procedimientos ejemplificados utilizando los equipos para  estampado  al elaborar los productos.")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formas de realizar el  estampado  al elaborar los productos.
- Metodologías y técnicas para realizar   estampados  al elaborar los productos.
- Procedimientos ejemplificados utilizando los equipos para  estampado  al elaborar los productos.</v>
      </c>
      <c r="J1530" s="213">
        <f>IFERROR(__xludf.DUMMYFUNCTION("""COMPUTED_VALUE"""),3.0)</f>
        <v>3</v>
      </c>
      <c r="K1530" s="213" t="str">
        <f>IFERROR(__xludf.DUMMYFUNCTION("""COMPUTED_VALUE"""),"170 DÍAS CALENDARIO")</f>
        <v>170 DÍAS CALENDARIO</v>
      </c>
      <c r="L1530" s="213" t="str">
        <f>IFERROR(__xludf.DUMMYFUNCTION("""COMPUTED_VALUE"""),"")</f>
        <v/>
      </c>
      <c r="M1530" s="213">
        <f>IFERROR(__xludf.DUMMYFUNCTION("""COMPUTED_VALUE"""),1.0)</f>
        <v>1</v>
      </c>
      <c r="N1530" s="213">
        <f>IFERROR(__xludf.DUMMYFUNCTION("""COMPUTED_VALUE"""),2.0)</f>
        <v>2</v>
      </c>
      <c r="O1530" s="213">
        <f>IFERROR(__xludf.DUMMYFUNCTION("""COMPUTED_VALUE"""),2.0)</f>
        <v>2</v>
      </c>
      <c r="P1530" s="213"/>
      <c r="Q1530" s="213"/>
      <c r="R1530" s="213"/>
      <c r="S1530" s="213"/>
      <c r="T1530" s="213"/>
      <c r="U1530" s="213"/>
      <c r="V1530" s="213"/>
      <c r="W1530" s="213"/>
      <c r="X1530" s="213"/>
      <c r="Y1530" s="213"/>
      <c r="Z1530" s="213"/>
      <c r="AA1530" s="213"/>
      <c r="AB1530" s="213"/>
      <c r="AC1530" s="213"/>
      <c r="AD1530" s="213"/>
      <c r="AE1530" s="213"/>
      <c r="AF1530" s="213"/>
      <c r="AG1530" s="213"/>
      <c r="AH1530" s="213"/>
      <c r="AI1530" s="213"/>
      <c r="AJ1530" s="213"/>
      <c r="AK1530" s="213"/>
      <c r="AL1530" s="213"/>
      <c r="AM1530" s="213"/>
      <c r="AN1530" s="213"/>
      <c r="AO1530" s="213"/>
      <c r="AP1530" s="213"/>
      <c r="AQ1530" s="213"/>
      <c r="AR1530" s="213"/>
      <c r="AS1530" s="213"/>
      <c r="AT1530" s="213"/>
      <c r="AU1530" s="213"/>
      <c r="AV1530" s="213"/>
      <c r="AW1530" s="213"/>
      <c r="AX1530" s="213"/>
      <c r="AY1530" s="213"/>
      <c r="AZ1530" s="213"/>
      <c r="BA1530" s="213"/>
      <c r="BB1530" s="213"/>
      <c r="BC1530" s="213"/>
      <c r="BD1530" s="213"/>
    </row>
    <row r="1531">
      <c r="A1531" s="213">
        <f>IFERROR(__xludf.DUMMYFUNCTION("""COMPUTED_VALUE"""),2670.0)</f>
        <v>2670</v>
      </c>
      <c r="B1531" s="213" t="str">
        <f>IFERROR(__xludf.DUMMYFUNCTION("""COMPUTED_VALUE"""),"MANUEL ANTONIO MESONES MURO")</f>
        <v>MANUEL ANTONIO MESONES MURO</v>
      </c>
      <c r="C1531" s="213" t="str">
        <f>IFERROR(__xludf.DUMMYFUNCTION("""COMPUTED_VALUE"""),"TALLER SFT DE EBANISTERÍA")</f>
        <v>TALLER SFT DE EBANISTERÍA</v>
      </c>
      <c r="D1531" s="213" t="str">
        <f>IFERROR(__xludf.DUMMYFUNCTION("""COMPUTED_VALUE"""),"PEDAGOGICO")</f>
        <v>PEDAGOGICO</v>
      </c>
      <c r="E1531" s="213" t="str">
        <f>IFERROR(__xludf.DUMMYFUNCTION("""COMPUTED_VALUE"""),"MAT-366")</f>
        <v>MAT-366</v>
      </c>
      <c r="F1531" s="213" t="str">
        <f>IFERROR(__xludf.DUMMYFUNCTION("""COMPUTED_VALUE"""),"KEFF-35")</f>
        <v>KEFF-35</v>
      </c>
      <c r="G1531" s="213"/>
      <c r="H1531" s="213" t="str">
        <f>IFERROR(__xludf.DUMMYFUNCTION("""COMPUTED_VALUE"""),"MANUAL PEDAGÓGICO PARA DESARROLLAR HABILIDADES TECNICAS PARA REALIZAR CONSTRUCCIÓN CON TABLEROS PREFABRICADOS UTILIZANDO EQUIPO")</f>
        <v>MANUAL PEDAGÓGICO PARA DESARROLLAR HABILIDADES TECNICAS PARA REALIZAR CONSTRUCCIÓN CON TABLEROS PREFABRICADOS UTILIZANDO EQUIPO</v>
      </c>
      <c r="I153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Información sobre análisis y diseño de propuestas de valor
.        Metodologías y técnicas para desarrollar habilidades tecnica para realizar construcción con tableros prefabricados utilizando el equipo.
.   Procedimientos ejemplificados  "&amp;"para desarrollar habilidades tecnica para realizar construcción con tableros prefabricados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desarrollar habilidades tecnica para realizar construcción con tableros prefabricados utilizando el equipo.
.   Procedimientos ejemplificados  para desarrollar habilidades tecnica para realizar construcción con tableros prefabricados utilizando los equipos.</v>
      </c>
      <c r="J1531" s="213">
        <f>IFERROR(__xludf.DUMMYFUNCTION("""COMPUTED_VALUE"""),3.0)</f>
        <v>3</v>
      </c>
      <c r="K1531" s="213" t="str">
        <f>IFERROR(__xludf.DUMMYFUNCTION("""COMPUTED_VALUE"""),"170 DÍAS CALENDARIO")</f>
        <v>170 DÍAS CALENDARIO</v>
      </c>
      <c r="L1531" s="213" t="str">
        <f>IFERROR(__xludf.DUMMYFUNCTION("""COMPUTED_VALUE"""),"")</f>
        <v/>
      </c>
      <c r="M1531" s="213">
        <f>IFERROR(__xludf.DUMMYFUNCTION("""COMPUTED_VALUE"""),1.0)</f>
        <v>1</v>
      </c>
      <c r="N1531" s="213">
        <f>IFERROR(__xludf.DUMMYFUNCTION("""COMPUTED_VALUE"""),2.0)</f>
        <v>2</v>
      </c>
      <c r="O1531" s="213">
        <f>IFERROR(__xludf.DUMMYFUNCTION("""COMPUTED_VALUE"""),2.0)</f>
        <v>2</v>
      </c>
      <c r="P1531" s="213"/>
      <c r="Q1531" s="213"/>
      <c r="R1531" s="213"/>
      <c r="S1531" s="213"/>
      <c r="T1531" s="213"/>
      <c r="U1531" s="213"/>
      <c r="V1531" s="213"/>
      <c r="W1531" s="213"/>
      <c r="X1531" s="213"/>
      <c r="Y1531" s="213"/>
      <c r="Z1531" s="213"/>
      <c r="AA1531" s="213"/>
      <c r="AB1531" s="213"/>
      <c r="AC1531" s="213"/>
      <c r="AD1531" s="213"/>
      <c r="AE1531" s="213"/>
      <c r="AF1531" s="213"/>
      <c r="AG1531" s="213"/>
      <c r="AH1531" s="213"/>
      <c r="AI1531" s="213"/>
      <c r="AJ1531" s="213"/>
      <c r="AK1531" s="213"/>
      <c r="AL1531" s="213"/>
      <c r="AM1531" s="213"/>
      <c r="AN1531" s="213"/>
      <c r="AO1531" s="213"/>
      <c r="AP1531" s="213"/>
      <c r="AQ1531" s="213"/>
      <c r="AR1531" s="213"/>
      <c r="AS1531" s="213">
        <f>IFERROR(__xludf.DUMMYFUNCTION("""COMPUTED_VALUE"""),0.0)</f>
        <v>0</v>
      </c>
      <c r="AT1531" s="213"/>
      <c r="AU1531" s="213"/>
      <c r="AV1531" s="213"/>
      <c r="AW1531" s="213"/>
      <c r="AX1531" s="213"/>
      <c r="AY1531" s="213"/>
      <c r="AZ1531" s="213"/>
      <c r="BA1531" s="213"/>
      <c r="BB1531" s="213"/>
      <c r="BC1531" s="213"/>
      <c r="BD1531" s="213"/>
    </row>
    <row r="1532">
      <c r="A1532" s="213">
        <f>IFERROR(__xludf.DUMMYFUNCTION("""COMPUTED_VALUE"""),1889.0)</f>
        <v>1889</v>
      </c>
      <c r="B1532" s="213" t="str">
        <f>IFERROR(__xludf.DUMMYFUNCTION("""COMPUTED_VALUE"""),"GUILLERMO E. BILLINGHURST ")</f>
        <v>GUILLERMO E. BILLINGHURST </v>
      </c>
      <c r="C1532" s="213" t="str">
        <f>IFERROR(__xludf.DUMMYFUNCTION("""COMPUTED_VALUE"""),"TALLER SFT DE EBANISTERÍA")</f>
        <v>TALLER SFT DE EBANISTERÍA</v>
      </c>
      <c r="D1532" s="213" t="str">
        <f>IFERROR(__xludf.DUMMYFUNCTION("""COMPUTED_VALUE"""),"PEDAGOGICO")</f>
        <v>PEDAGOGICO</v>
      </c>
      <c r="E1532" s="213" t="str">
        <f>IFERROR(__xludf.DUMMYFUNCTION("""COMPUTED_VALUE"""),"MAT-366")</f>
        <v>MAT-366</v>
      </c>
      <c r="F1532" s="213" t="str">
        <f>IFERROR(__xludf.DUMMYFUNCTION("""COMPUTED_VALUE"""),"KEFF-35")</f>
        <v>KEFF-35</v>
      </c>
      <c r="G1532" s="213"/>
      <c r="H1532" s="213" t="str">
        <f>IFERROR(__xludf.DUMMYFUNCTION("""COMPUTED_VALUE"""),"MANUAL PEDAGÓGICO PARA DESARROLLAR HABILIDADES TECNICAS PARA REALIZAR CONSTRUCCIÓN CON TABLEROS PREFABRICADOS UTILIZANDO EQUIPO")</f>
        <v>MANUAL PEDAGÓGICO PARA DESARROLLAR HABILIDADES TECNICAS PARA REALIZAR CONSTRUCCIÓN CON TABLEROS PREFABRICADOS UTILIZANDO EQUIPO</v>
      </c>
      <c r="I153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Información sobre análisis y diseño de propuestas de valor
.        Metodologías y técnicas para desarrollar habilidades tecnica para realizar construcción con tableros prefabricados utilizando el equipo.
.   Procedimientos ejemplificados  "&amp;"para desarrollar habilidades tecnica para realizar construcción con tableros prefabricados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desarrollar habilidades tecnica para realizar construcción con tableros prefabricados utilizando el equipo.
.   Procedimientos ejemplificados  para desarrollar habilidades tecnica para realizar construcción con tableros prefabricados utilizando los equipos.</v>
      </c>
      <c r="J1532" s="213">
        <f>IFERROR(__xludf.DUMMYFUNCTION("""COMPUTED_VALUE"""),3.0)</f>
        <v>3</v>
      </c>
      <c r="K1532" s="213" t="str">
        <f>IFERROR(__xludf.DUMMYFUNCTION("""COMPUTED_VALUE"""),"170 DÍAS CALENDARIO")</f>
        <v>170 DÍAS CALENDARIO</v>
      </c>
      <c r="L1532" s="213" t="str">
        <f>IFERROR(__xludf.DUMMYFUNCTION("""COMPUTED_VALUE"""),"")</f>
        <v/>
      </c>
      <c r="M1532" s="213">
        <f>IFERROR(__xludf.DUMMYFUNCTION("""COMPUTED_VALUE"""),1.0)</f>
        <v>1</v>
      </c>
      <c r="N1532" s="213">
        <f>IFERROR(__xludf.DUMMYFUNCTION("""COMPUTED_VALUE"""),2.0)</f>
        <v>2</v>
      </c>
      <c r="O1532" s="213">
        <f>IFERROR(__xludf.DUMMYFUNCTION("""COMPUTED_VALUE"""),2.0)</f>
        <v>2</v>
      </c>
      <c r="P1532" s="213"/>
      <c r="Q1532" s="213"/>
      <c r="R1532" s="213"/>
      <c r="S1532" s="213"/>
      <c r="T1532" s="213"/>
      <c r="U1532" s="213"/>
      <c r="V1532" s="213"/>
      <c r="W1532" s="213"/>
      <c r="X1532" s="213"/>
      <c r="Y1532" s="213"/>
      <c r="Z1532" s="213"/>
      <c r="AA1532" s="213"/>
      <c r="AB1532" s="213"/>
      <c r="AC1532" s="213"/>
      <c r="AD1532" s="213"/>
      <c r="AE1532" s="213"/>
      <c r="AF1532" s="213"/>
      <c r="AG1532" s="213"/>
      <c r="AH1532" s="213"/>
      <c r="AI1532" s="213"/>
      <c r="AJ1532" s="213"/>
      <c r="AK1532" s="213"/>
      <c r="AL1532" s="213"/>
      <c r="AM1532" s="213"/>
      <c r="AN1532" s="213"/>
      <c r="AO1532" s="213"/>
      <c r="AP1532" s="213"/>
      <c r="AQ1532" s="213"/>
      <c r="AR1532" s="213"/>
      <c r="AS1532" s="213">
        <f>IFERROR(__xludf.DUMMYFUNCTION("""COMPUTED_VALUE"""),0.0)</f>
        <v>0</v>
      </c>
      <c r="AT1532" s="213"/>
      <c r="AU1532" s="213"/>
      <c r="AV1532" s="213"/>
      <c r="AW1532" s="213"/>
      <c r="AX1532" s="213"/>
      <c r="AY1532" s="213"/>
      <c r="AZ1532" s="213"/>
      <c r="BA1532" s="213"/>
      <c r="BB1532" s="213"/>
      <c r="BC1532" s="213"/>
      <c r="BD1532" s="213"/>
    </row>
    <row r="1533">
      <c r="A1533" s="213">
        <f>IFERROR(__xludf.DUMMYFUNCTION("""COMPUTED_VALUE"""),1036.0)</f>
        <v>1036</v>
      </c>
      <c r="B1533" s="213" t="str">
        <f>IFERROR(__xludf.DUMMYFUNCTION("""COMPUTED_VALUE"""),"FRANCISCO IRAZOLA")</f>
        <v>FRANCISCO IRAZOLA</v>
      </c>
      <c r="C1533" s="213" t="str">
        <f>IFERROR(__xludf.DUMMYFUNCTION("""COMPUTED_VALUE"""),"TALLER SFT DE MECÁNICA AUTOMOTRIZ")</f>
        <v>TALLER SFT DE MECÁNICA AUTOMOTRIZ</v>
      </c>
      <c r="D1533" s="213" t="str">
        <f>IFERROR(__xludf.DUMMYFUNCTION("""COMPUTED_VALUE"""),"PEDAGOGICO")</f>
        <v>PEDAGOGICO</v>
      </c>
      <c r="E1533" s="213" t="str">
        <f>IFERROR(__xludf.DUMMYFUNCTION("""COMPUTED_VALUE"""),"MAT-342")</f>
        <v>MAT-342</v>
      </c>
      <c r="F1533" s="213" t="str">
        <f>IFERROR(__xludf.DUMMYFUNCTION("""COMPUTED_VALUE"""),"KEFF-94")</f>
        <v>KEFF-94</v>
      </c>
      <c r="G1533" s="213"/>
      <c r="H1533" s="213" t="str">
        <f>IFERROR(__xludf.DUMMYFUNCTION("""COMPUTED_VALUE"""),"MANUAL PEDAGÓGICO PARA DESARROLLAR HABILIDADES TÉCNICAS PARA REALIZAR MANTENIMIENTO DE MOTORES A GASOLINA Y DIESEL, UTILIZANDO EL EQUIPO")</f>
        <v>MANUAL PEDAGÓGICO PARA DESARROLLAR HABILIDADES TÉCNICAS PARA REALIZAR MANTENIMIENTO DE MOTORES A GASOLINA Y DIESEL, UTILIZANDO EL EQUIPO</v>
      </c>
      <c r="I153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 motores Otto y diesel.
-   Orientaciones pedagógicas desarrollar habilidades técnicas para el mantenimiento de motores Otto y Diesel
-   Desarrollo de proyectos de emprendimiento utilizando el equipamiento para realizar manten"&amp;"imiento de motores Otto y diesel.")</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 motores Otto y diesel.
-   Orientaciones pedagógicas desarrollar habilidades técnicas para el mantenimiento de motores Otto y Diesel
-   Desarrollo de proyectos de emprendimiento utilizando el equipamiento para realizar mantenimiento de motores Otto y diesel.</v>
      </c>
      <c r="J1533" s="213">
        <f>IFERROR(__xludf.DUMMYFUNCTION("""COMPUTED_VALUE"""),3.0)</f>
        <v>3</v>
      </c>
      <c r="K1533" s="213" t="str">
        <f>IFERROR(__xludf.DUMMYFUNCTION("""COMPUTED_VALUE"""),"170 DÍAS CALENDARIO")</f>
        <v>170 DÍAS CALENDARIO</v>
      </c>
      <c r="L1533" s="213" t="str">
        <f>IFERROR(__xludf.DUMMYFUNCTION("""COMPUTED_VALUE"""),"")</f>
        <v/>
      </c>
      <c r="M1533" s="213">
        <f>IFERROR(__xludf.DUMMYFUNCTION("""COMPUTED_VALUE"""),1.0)</f>
        <v>1</v>
      </c>
      <c r="N1533" s="213">
        <f>IFERROR(__xludf.DUMMYFUNCTION("""COMPUTED_VALUE"""),2.0)</f>
        <v>2</v>
      </c>
      <c r="O1533" s="213">
        <f>IFERROR(__xludf.DUMMYFUNCTION("""COMPUTED_VALUE"""),2.0)</f>
        <v>2</v>
      </c>
      <c r="P1533" s="213"/>
      <c r="Q1533" s="213"/>
      <c r="R1533" s="213"/>
      <c r="S1533" s="213"/>
      <c r="T1533" s="213"/>
      <c r="U1533" s="213"/>
      <c r="V1533" s="213"/>
      <c r="W1533" s="213"/>
      <c r="X1533" s="213"/>
      <c r="Y1533" s="213"/>
      <c r="Z1533" s="213"/>
      <c r="AA1533" s="213"/>
      <c r="AB1533" s="213"/>
      <c r="AC1533" s="213"/>
      <c r="AD1533" s="213"/>
      <c r="AE1533" s="213"/>
      <c r="AF1533" s="213"/>
      <c r="AG1533" s="213"/>
      <c r="AH1533" s="213"/>
      <c r="AI1533" s="213"/>
      <c r="AJ1533" s="213"/>
      <c r="AK1533" s="213"/>
      <c r="AL1533" s="213"/>
      <c r="AM1533" s="213"/>
      <c r="AN1533" s="213"/>
      <c r="AO1533" s="213"/>
      <c r="AP1533" s="213"/>
      <c r="AQ1533" s="213"/>
      <c r="AR1533" s="213"/>
      <c r="AS1533" s="213"/>
      <c r="AT1533" s="213"/>
      <c r="AU1533" s="213"/>
      <c r="AV1533" s="213"/>
      <c r="AW1533" s="213"/>
      <c r="AX1533" s="213"/>
      <c r="AY1533" s="213"/>
      <c r="AZ1533" s="213"/>
      <c r="BA1533" s="213"/>
      <c r="BB1533" s="213"/>
      <c r="BC1533" s="213"/>
      <c r="BD1533" s="213"/>
    </row>
    <row r="1534">
      <c r="A1534" s="213">
        <f>IFERROR(__xludf.DUMMYFUNCTION("""COMPUTED_VALUE"""),1641.0)</f>
        <v>1641</v>
      </c>
      <c r="B1534" s="213" t="str">
        <f>IFERROR(__xludf.DUMMYFUNCTION("""COMPUTED_VALUE"""),"GUILLERMO E. BILLINGHURST ")</f>
        <v>GUILLERMO E. BILLINGHURST </v>
      </c>
      <c r="C1534" s="213" t="str">
        <f>IFERROR(__xludf.DUMMYFUNCTION("""COMPUTED_VALUE"""),"TALLER SFT DE MECÁNICA AUTOMOTRIZ")</f>
        <v>TALLER SFT DE MECÁNICA AUTOMOTRIZ</v>
      </c>
      <c r="D1534" s="213" t="str">
        <f>IFERROR(__xludf.DUMMYFUNCTION("""COMPUTED_VALUE"""),"PEDAGOGICO")</f>
        <v>PEDAGOGICO</v>
      </c>
      <c r="E1534" s="213" t="str">
        <f>IFERROR(__xludf.DUMMYFUNCTION("""COMPUTED_VALUE"""),"MAT-342")</f>
        <v>MAT-342</v>
      </c>
      <c r="F1534" s="213" t="str">
        <f>IFERROR(__xludf.DUMMYFUNCTION("""COMPUTED_VALUE"""),"KEFF-94")</f>
        <v>KEFF-94</v>
      </c>
      <c r="G1534" s="213"/>
      <c r="H1534" s="213" t="str">
        <f>IFERROR(__xludf.DUMMYFUNCTION("""COMPUTED_VALUE"""),"MANUAL PEDAGÓGICO PARA DESARROLLAR HABILIDADES TÉCNICAS PARA REALIZAR MANTENIMIENTO DE MOTORES A GASOLINA Y DIESEL, UTILIZANDO EL EQUIPO")</f>
        <v>MANUAL PEDAGÓGICO PARA DESARROLLAR HABILIDADES TÉCNICAS PARA REALIZAR MANTENIMIENTO DE MOTORES A GASOLINA Y DIESEL, UTILIZANDO EL EQUIPO</v>
      </c>
      <c r="I153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 motores Otto y diesel.
-   Orientaciones pedagógicas desarrollar habilidades técnicas para el mantenimiento de motores Otto y Diesel
-   Desarrollo de proyectos de emprendimiento utilizando el equipamiento para realizar manten"&amp;"imiento de motores Otto y diesel.")</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 motores Otto y diesel.
-   Orientaciones pedagógicas desarrollar habilidades técnicas para el mantenimiento de motores Otto y Diesel
-   Desarrollo de proyectos de emprendimiento utilizando el equipamiento para realizar mantenimiento de motores Otto y diesel.</v>
      </c>
      <c r="J1534" s="213">
        <f>IFERROR(__xludf.DUMMYFUNCTION("""COMPUTED_VALUE"""),3.0)</f>
        <v>3</v>
      </c>
      <c r="K1534" s="213" t="str">
        <f>IFERROR(__xludf.DUMMYFUNCTION("""COMPUTED_VALUE"""),"170 DÍAS CALENDARIO")</f>
        <v>170 DÍAS CALENDARIO</v>
      </c>
      <c r="L1534" s="213" t="str">
        <f>IFERROR(__xludf.DUMMYFUNCTION("""COMPUTED_VALUE"""),"")</f>
        <v/>
      </c>
      <c r="M1534" s="213">
        <f>IFERROR(__xludf.DUMMYFUNCTION("""COMPUTED_VALUE"""),1.0)</f>
        <v>1</v>
      </c>
      <c r="N1534" s="213">
        <f>IFERROR(__xludf.DUMMYFUNCTION("""COMPUTED_VALUE"""),2.0)</f>
        <v>2</v>
      </c>
      <c r="O1534" s="213">
        <f>IFERROR(__xludf.DUMMYFUNCTION("""COMPUTED_VALUE"""),2.0)</f>
        <v>2</v>
      </c>
      <c r="P1534" s="213"/>
      <c r="Q1534" s="213"/>
      <c r="R1534" s="213"/>
      <c r="S1534" s="213"/>
      <c r="T1534" s="213"/>
      <c r="U1534" s="213"/>
      <c r="V1534" s="213"/>
      <c r="W1534" s="213"/>
      <c r="X1534" s="213"/>
      <c r="Y1534" s="213"/>
      <c r="Z1534" s="213"/>
      <c r="AA1534" s="213"/>
      <c r="AB1534" s="213"/>
      <c r="AC1534" s="213"/>
      <c r="AD1534" s="213"/>
      <c r="AE1534" s="213"/>
      <c r="AF1534" s="213"/>
      <c r="AG1534" s="213"/>
      <c r="AH1534" s="213"/>
      <c r="AI1534" s="213"/>
      <c r="AJ1534" s="213"/>
      <c r="AK1534" s="213"/>
      <c r="AL1534" s="213"/>
      <c r="AM1534" s="213"/>
      <c r="AN1534" s="213"/>
      <c r="AO1534" s="213"/>
      <c r="AP1534" s="213"/>
      <c r="AQ1534" s="213"/>
      <c r="AR1534" s="213"/>
      <c r="AS1534" s="213"/>
      <c r="AT1534" s="213"/>
      <c r="AU1534" s="213"/>
      <c r="AV1534" s="213"/>
      <c r="AW1534" s="213"/>
      <c r="AX1534" s="213"/>
      <c r="AY1534" s="213"/>
      <c r="AZ1534" s="213"/>
      <c r="BA1534" s="213"/>
      <c r="BB1534" s="213"/>
      <c r="BC1534" s="213"/>
      <c r="BD1534" s="213"/>
    </row>
    <row r="1535">
      <c r="A1535" s="213">
        <f>IFERROR(__xludf.DUMMYFUNCTION("""COMPUTED_VALUE"""),2332.0)</f>
        <v>2332</v>
      </c>
      <c r="B1535" s="213" t="str">
        <f>IFERROR(__xludf.DUMMYFUNCTION("""COMPUTED_VALUE"""),"JOSE GRANDA")</f>
        <v>JOSE GRANDA</v>
      </c>
      <c r="C1535" s="213" t="str">
        <f>IFERROR(__xludf.DUMMYFUNCTION("""COMPUTED_VALUE"""),"TALLER SFT DE MECÁNICA AUTOMOTRIZ")</f>
        <v>TALLER SFT DE MECÁNICA AUTOMOTRIZ</v>
      </c>
      <c r="D1535" s="213" t="str">
        <f>IFERROR(__xludf.DUMMYFUNCTION("""COMPUTED_VALUE"""),"PEDAGOGICO")</f>
        <v>PEDAGOGICO</v>
      </c>
      <c r="E1535" s="213" t="str">
        <f>IFERROR(__xludf.DUMMYFUNCTION("""COMPUTED_VALUE"""),"MAT-342")</f>
        <v>MAT-342</v>
      </c>
      <c r="F1535" s="213" t="str">
        <f>IFERROR(__xludf.DUMMYFUNCTION("""COMPUTED_VALUE"""),"KEFF-94")</f>
        <v>KEFF-94</v>
      </c>
      <c r="G1535" s="213"/>
      <c r="H1535" s="213" t="str">
        <f>IFERROR(__xludf.DUMMYFUNCTION("""COMPUTED_VALUE"""),"MANUAL PEDAGÓGICO PARA DESARROLLAR HABILIDADES TÉCNICAS PARA REALIZAR MANTENIMIENTO DE MOTORES A GASOLINA Y DIESEL, UTILIZANDO EL EQUIPO")</f>
        <v>MANUAL PEDAGÓGICO PARA DESARROLLAR HABILIDADES TÉCNICAS PARA REALIZAR MANTENIMIENTO DE MOTORES A GASOLINA Y DIESEL, UTILIZANDO EL EQUIPO</v>
      </c>
      <c r="I153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Procesos y procedimien"&amp;"tos para el mantenimiento de motores Otto y diesel.
-   Orientaciones pedagógicas desarrollar habilidades técnicas para el mantenimiento de motores Otto y Diesel
-   Desarrollo de proyectos de emprendimiento utilizando el equipamiento para realizar manten"&amp;"imiento de motores Otto y diesel.")</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Procesos y procedimientos para el mantenimiento de motores Otto y diesel.
-   Orientaciones pedagógicas desarrollar habilidades técnicas para el mantenimiento de motores Otto y Diesel
-   Desarrollo de proyectos de emprendimiento utilizando el equipamiento para realizar mantenimiento de motores Otto y diesel.</v>
      </c>
      <c r="J1535" s="213">
        <f>IFERROR(__xludf.DUMMYFUNCTION("""COMPUTED_VALUE"""),3.0)</f>
        <v>3</v>
      </c>
      <c r="K1535" s="213" t="str">
        <f>IFERROR(__xludf.DUMMYFUNCTION("""COMPUTED_VALUE"""),"170 DÍAS CALENDARIO")</f>
        <v>170 DÍAS CALENDARIO</v>
      </c>
      <c r="L1535" s="213" t="str">
        <f>IFERROR(__xludf.DUMMYFUNCTION("""COMPUTED_VALUE"""),"")</f>
        <v/>
      </c>
      <c r="M1535" s="213">
        <f>IFERROR(__xludf.DUMMYFUNCTION("""COMPUTED_VALUE"""),1.0)</f>
        <v>1</v>
      </c>
      <c r="N1535" s="213">
        <f>IFERROR(__xludf.DUMMYFUNCTION("""COMPUTED_VALUE"""),2.0)</f>
        <v>2</v>
      </c>
      <c r="O1535" s="213">
        <f>IFERROR(__xludf.DUMMYFUNCTION("""COMPUTED_VALUE"""),2.0)</f>
        <v>2</v>
      </c>
      <c r="P1535" s="213"/>
      <c r="Q1535" s="213"/>
      <c r="R1535" s="213"/>
      <c r="S1535" s="213"/>
      <c r="T1535" s="213"/>
      <c r="U1535" s="213"/>
      <c r="V1535" s="213"/>
      <c r="W1535" s="213"/>
      <c r="X1535" s="213"/>
      <c r="Y1535" s="213"/>
      <c r="Z1535" s="213"/>
      <c r="AA1535" s="213"/>
      <c r="AB1535" s="213"/>
      <c r="AC1535" s="213"/>
      <c r="AD1535" s="213"/>
      <c r="AE1535" s="213"/>
      <c r="AF1535" s="213"/>
      <c r="AG1535" s="213"/>
      <c r="AH1535" s="213"/>
      <c r="AI1535" s="213"/>
      <c r="AJ1535" s="213"/>
      <c r="AK1535" s="213"/>
      <c r="AL1535" s="213"/>
      <c r="AM1535" s="213"/>
      <c r="AN1535" s="213"/>
      <c r="AO1535" s="213"/>
      <c r="AP1535" s="213"/>
      <c r="AQ1535" s="213"/>
      <c r="AR1535" s="213"/>
      <c r="AS1535" s="213"/>
      <c r="AT1535" s="213"/>
      <c r="AU1535" s="213"/>
      <c r="AV1535" s="213"/>
      <c r="AW1535" s="213"/>
      <c r="AX1535" s="213"/>
      <c r="AY1535" s="213"/>
      <c r="AZ1535" s="213"/>
      <c r="BA1535" s="213"/>
      <c r="BB1535" s="213"/>
      <c r="BC1535" s="213"/>
      <c r="BD1535" s="213"/>
    </row>
    <row r="1536">
      <c r="A1536" s="213">
        <f>IFERROR(__xludf.DUMMYFUNCTION("""COMPUTED_VALUE"""),2666.0)</f>
        <v>2666</v>
      </c>
      <c r="B1536" s="213" t="str">
        <f>IFERROR(__xludf.DUMMYFUNCTION("""COMPUTED_VALUE"""),"MANUEL ANTONIO MESONES MURO")</f>
        <v>MANUEL ANTONIO MESONES MURO</v>
      </c>
      <c r="C1536" s="213" t="str">
        <f>IFERROR(__xludf.DUMMYFUNCTION("""COMPUTED_VALUE"""),"TALLER SFT DE EBANISTERÍA")</f>
        <v>TALLER SFT DE EBANISTERÍA</v>
      </c>
      <c r="D1536" s="213" t="str">
        <f>IFERROR(__xludf.DUMMYFUNCTION("""COMPUTED_VALUE"""),"PEDAGOGICO")</f>
        <v>PEDAGOGICO</v>
      </c>
      <c r="E1536" s="213" t="str">
        <f>IFERROR(__xludf.DUMMYFUNCTION("""COMPUTED_VALUE"""),"MAT-367")</f>
        <v>MAT-367</v>
      </c>
      <c r="F1536" s="213" t="str">
        <f>IFERROR(__xludf.DUMMYFUNCTION("""COMPUTED_VALUE"""),"KEFF-32")</f>
        <v>KEFF-32</v>
      </c>
      <c r="G1536" s="213"/>
      <c r="H1536" s="213" t="str">
        <f>IFERROR(__xludf.DUMMYFUNCTION("""COMPUTED_VALUE"""),"MANUAL PEDAGÓGICO PARA DESARROLLAR HHABILIDADES TECNICA PARA REALIZAR CONSTRUCCIONES DE ESTRUCTURAS DE MADERA UTILIZANDO EQUIPO")</f>
        <v>MANUAL PEDAGÓGICO PARA DESARROLLAR HHABILIDADES TECNICA PARA REALIZAR CONSTRUCCIONES DE ESTRUCTURAS DE MADERA UTILIZANDO EQUIPO</v>
      </c>
      <c r="I153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Información sobre análisis y diseño de propuestas de valor
.        Metodologías y técnicas para desarrollar hhabilidades tecnica para realizar construccion de estructuras de madera utilizando equipos.
.   Procedimientos ejemplificados  par"&amp;"a desarrollar habilidades tecnica para realizar construccion de estructuras de madera utilizando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desarrollar hhabilidades tecnica para realizar construccion de estructuras de madera utilizando equipos.
.   Procedimientos ejemplificados  para desarrollar habilidades tecnica para realizar construccion de estructuras de madera utilizando equipos.</v>
      </c>
      <c r="J1536" s="213">
        <f>IFERROR(__xludf.DUMMYFUNCTION("""COMPUTED_VALUE"""),3.0)</f>
        <v>3</v>
      </c>
      <c r="K1536" s="213" t="str">
        <f>IFERROR(__xludf.DUMMYFUNCTION("""COMPUTED_VALUE"""),"170 DÍAS CALENDARIO")</f>
        <v>170 DÍAS CALENDARIO</v>
      </c>
      <c r="L1536" s="213" t="str">
        <f>IFERROR(__xludf.DUMMYFUNCTION("""COMPUTED_VALUE"""),"")</f>
        <v/>
      </c>
      <c r="M1536" s="213">
        <f>IFERROR(__xludf.DUMMYFUNCTION("""COMPUTED_VALUE"""),1.0)</f>
        <v>1</v>
      </c>
      <c r="N1536" s="213">
        <f>IFERROR(__xludf.DUMMYFUNCTION("""COMPUTED_VALUE"""),2.0)</f>
        <v>2</v>
      </c>
      <c r="O1536" s="213">
        <f>IFERROR(__xludf.DUMMYFUNCTION("""COMPUTED_VALUE"""),2.0)</f>
        <v>2</v>
      </c>
      <c r="P1536" s="213"/>
      <c r="Q1536" s="213"/>
      <c r="R1536" s="213"/>
      <c r="S1536" s="213"/>
      <c r="T1536" s="213"/>
      <c r="U1536" s="213"/>
      <c r="V1536" s="213"/>
      <c r="W1536" s="213"/>
      <c r="X1536" s="213"/>
      <c r="Y1536" s="213"/>
      <c r="Z1536" s="213"/>
      <c r="AA1536" s="213"/>
      <c r="AB1536" s="213"/>
      <c r="AC1536" s="213"/>
      <c r="AD1536" s="213"/>
      <c r="AE1536" s="213"/>
      <c r="AF1536" s="213"/>
      <c r="AG1536" s="213"/>
      <c r="AH1536" s="213"/>
      <c r="AI1536" s="213"/>
      <c r="AJ1536" s="213"/>
      <c r="AK1536" s="213"/>
      <c r="AL1536" s="213"/>
      <c r="AM1536" s="213"/>
      <c r="AN1536" s="213"/>
      <c r="AO1536" s="213"/>
      <c r="AP1536" s="213"/>
      <c r="AQ1536" s="213"/>
      <c r="AR1536" s="213"/>
      <c r="AS1536" s="213"/>
      <c r="AT1536" s="213"/>
      <c r="AU1536" s="213"/>
      <c r="AV1536" s="213"/>
      <c r="AW1536" s="213"/>
      <c r="AX1536" s="213"/>
      <c r="AY1536" s="213"/>
      <c r="AZ1536" s="213"/>
      <c r="BA1536" s="213"/>
      <c r="BB1536" s="213"/>
      <c r="BC1536" s="213"/>
      <c r="BD1536" s="213"/>
    </row>
    <row r="1537">
      <c r="A1537" s="213">
        <f>IFERROR(__xludf.DUMMYFUNCTION("""COMPUTED_VALUE"""),1885.0)</f>
        <v>1885</v>
      </c>
      <c r="B1537" s="213" t="str">
        <f>IFERROR(__xludf.DUMMYFUNCTION("""COMPUTED_VALUE"""),"GUILLERMO E. BILLINGHURST ")</f>
        <v>GUILLERMO E. BILLINGHURST </v>
      </c>
      <c r="C1537" s="213" t="str">
        <f>IFERROR(__xludf.DUMMYFUNCTION("""COMPUTED_VALUE"""),"TALLER SFT DE EBANISTERÍA")</f>
        <v>TALLER SFT DE EBANISTERÍA</v>
      </c>
      <c r="D1537" s="213" t="str">
        <f>IFERROR(__xludf.DUMMYFUNCTION("""COMPUTED_VALUE"""),"PEDAGOGICO")</f>
        <v>PEDAGOGICO</v>
      </c>
      <c r="E1537" s="213" t="str">
        <f>IFERROR(__xludf.DUMMYFUNCTION("""COMPUTED_VALUE"""),"MAT-367")</f>
        <v>MAT-367</v>
      </c>
      <c r="F1537" s="213" t="str">
        <f>IFERROR(__xludf.DUMMYFUNCTION("""COMPUTED_VALUE"""),"KEFF-32")</f>
        <v>KEFF-32</v>
      </c>
      <c r="G1537" s="213"/>
      <c r="H1537" s="213" t="str">
        <f>IFERROR(__xludf.DUMMYFUNCTION("""COMPUTED_VALUE"""),"MANUAL PEDAGÓGICO PARA DESARROLLAR HHABILIDADES TECNICA PARA REALIZAR CONSTRUCCIONES DE ESTRUCTURAS DE MADERA UTILIZANDO EQUIPO")</f>
        <v>MANUAL PEDAGÓGICO PARA DESARROLLAR HHABILIDADES TECNICA PARA REALIZAR CONSTRUCCIONES DE ESTRUCTURAS DE MADERA UTILIZANDO EQUIPO</v>
      </c>
      <c r="I153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páginas.
Contenido que presen"&amp;"ta:
-          Información sobre análisis y diseño de propuestas de valor
.        Metodologías y técnicas para desarrollar hhabilidades tecnica para realizar construccion de estructuras de madera utilizando equipos.
.   Procedimientos ejemplificados  par"&amp;"a desarrollar habilidades tecnica para realizar construccion de estructuras de madera utilizando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desarrollar hhabilidades tecnica para realizar construccion de estructuras de madera utilizando equipos.
.   Procedimientos ejemplificados  para desarrollar habilidades tecnica para realizar construccion de estructuras de madera utilizando equipos.</v>
      </c>
      <c r="J1537" s="213">
        <f>IFERROR(__xludf.DUMMYFUNCTION("""COMPUTED_VALUE"""),3.0)</f>
        <v>3</v>
      </c>
      <c r="K1537" s="213" t="str">
        <f>IFERROR(__xludf.DUMMYFUNCTION("""COMPUTED_VALUE"""),"170 DÍAS CALENDARIO")</f>
        <v>170 DÍAS CALENDARIO</v>
      </c>
      <c r="L1537" s="213" t="str">
        <f>IFERROR(__xludf.DUMMYFUNCTION("""COMPUTED_VALUE"""),"")</f>
        <v/>
      </c>
      <c r="M1537" s="213">
        <f>IFERROR(__xludf.DUMMYFUNCTION("""COMPUTED_VALUE"""),1.0)</f>
        <v>1</v>
      </c>
      <c r="N1537" s="213">
        <f>IFERROR(__xludf.DUMMYFUNCTION("""COMPUTED_VALUE"""),2.0)</f>
        <v>2</v>
      </c>
      <c r="O1537" s="213">
        <f>IFERROR(__xludf.DUMMYFUNCTION("""COMPUTED_VALUE"""),2.0)</f>
        <v>2</v>
      </c>
      <c r="P1537" s="213"/>
      <c r="Q1537" s="213"/>
      <c r="R1537" s="213"/>
      <c r="S1537" s="213"/>
      <c r="T1537" s="213"/>
      <c r="U1537" s="213"/>
      <c r="V1537" s="213"/>
      <c r="W1537" s="213"/>
      <c r="X1537" s="213"/>
      <c r="Y1537" s="213"/>
      <c r="Z1537" s="213"/>
      <c r="AA1537" s="213"/>
      <c r="AB1537" s="213"/>
      <c r="AC1537" s="213"/>
      <c r="AD1537" s="213"/>
      <c r="AE1537" s="213"/>
      <c r="AF1537" s="213"/>
      <c r="AG1537" s="213"/>
      <c r="AH1537" s="213"/>
      <c r="AI1537" s="213"/>
      <c r="AJ1537" s="213"/>
      <c r="AK1537" s="213"/>
      <c r="AL1537" s="213"/>
      <c r="AM1537" s="213"/>
      <c r="AN1537" s="213"/>
      <c r="AO1537" s="213"/>
      <c r="AP1537" s="213"/>
      <c r="AQ1537" s="213"/>
      <c r="AR1537" s="213"/>
      <c r="AS1537" s="213"/>
      <c r="AT1537" s="213"/>
      <c r="AU1537" s="213"/>
      <c r="AV1537" s="213"/>
      <c r="AW1537" s="213"/>
      <c r="AX1537" s="213"/>
      <c r="AY1537" s="213"/>
      <c r="AZ1537" s="213"/>
      <c r="BA1537" s="213"/>
      <c r="BB1537" s="213"/>
      <c r="BC1537" s="213"/>
      <c r="BD1537" s="213"/>
    </row>
    <row r="1538">
      <c r="A1538" s="213">
        <f>IFERROR(__xludf.DUMMYFUNCTION("""COMPUTED_VALUE"""),104.0)</f>
        <v>104</v>
      </c>
      <c r="B1538" s="213" t="str">
        <f>IFERROR(__xludf.DUMMYFUNCTION("""COMPUTED_VALUE"""),"16449 ELOY SOBERON  FLORES")</f>
        <v>16449 ELOY SOBERON  FLORES</v>
      </c>
      <c r="C1538" s="213" t="str">
        <f>IFERROR(__xludf.DUMMYFUNCTION("""COMPUTED_VALUE"""),"TALLER SFT DE COCINA Y REPOSTERÍA")</f>
        <v>TALLER SFT DE COCINA Y REPOSTERÍA</v>
      </c>
      <c r="D1538" s="213" t="str">
        <f>IFERROR(__xludf.DUMMYFUNCTION("""COMPUTED_VALUE"""),"PEDAGOGICO")</f>
        <v>PEDAGOGICO</v>
      </c>
      <c r="E1538" s="213" t="str">
        <f>IFERROR(__xludf.DUMMYFUNCTION("""COMPUTED_VALUE"""),"MAT-370")</f>
        <v>MAT-370</v>
      </c>
      <c r="F1538" s="213" t="str">
        <f>IFERROR(__xludf.DUMMYFUNCTION("""COMPUTED_VALUE"""),"KEFF-06")</f>
        <v>KEFF-06</v>
      </c>
      <c r="G1538" s="213"/>
      <c r="H1538" s="213" t="str">
        <f>IFERROR(__xludf.DUMMYFUNCTION("""COMPUTED_VALUE"""),"MANUAL PEDAGÓGICO PARA DISEÑAR LA PROPUESTA DE VALOR UTILIZANDO LOS EQUIPOS")</f>
        <v>MANUAL PEDAGÓGICO PARA DISEÑAR LA PROPUESTA DE VALOR UTILIZANDO LOS EQUIPOS</v>
      </c>
      <c r="I153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anál"&amp;"isis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38" s="213">
        <f>IFERROR(__xludf.DUMMYFUNCTION("""COMPUTED_VALUE"""),3.0)</f>
        <v>3</v>
      </c>
      <c r="K1538" s="213" t="str">
        <f>IFERROR(__xludf.DUMMYFUNCTION("""COMPUTED_VALUE"""),"170 DÍAS CALENDARIO")</f>
        <v>170 DÍAS CALENDARIO</v>
      </c>
      <c r="L1538" s="213" t="str">
        <f>IFERROR(__xludf.DUMMYFUNCTION("""COMPUTED_VALUE"""),"")</f>
        <v/>
      </c>
      <c r="M1538" s="213">
        <f>IFERROR(__xludf.DUMMYFUNCTION("""COMPUTED_VALUE"""),1.0)</f>
        <v>1</v>
      </c>
      <c r="N1538" s="213">
        <f>IFERROR(__xludf.DUMMYFUNCTION("""COMPUTED_VALUE"""),2.0)</f>
        <v>2</v>
      </c>
      <c r="O1538" s="213">
        <f>IFERROR(__xludf.DUMMYFUNCTION("""COMPUTED_VALUE"""),2.0)</f>
        <v>2</v>
      </c>
      <c r="P1538" s="213"/>
      <c r="Q1538" s="213"/>
      <c r="R1538" s="213"/>
      <c r="S1538" s="213"/>
      <c r="T1538" s="213"/>
      <c r="U1538" s="213"/>
      <c r="V1538" s="213"/>
      <c r="W1538" s="213"/>
      <c r="X1538" s="213"/>
      <c r="Y1538" s="213"/>
      <c r="Z1538" s="213"/>
      <c r="AA1538" s="213"/>
      <c r="AB1538" s="213"/>
      <c r="AC1538" s="213"/>
      <c r="AD1538" s="213"/>
      <c r="AE1538" s="213"/>
      <c r="AF1538" s="213"/>
      <c r="AG1538" s="213"/>
      <c r="AH1538" s="213"/>
      <c r="AI1538" s="213"/>
      <c r="AJ1538" s="213"/>
      <c r="AK1538" s="213"/>
      <c r="AL1538" s="213"/>
      <c r="AM1538" s="213"/>
      <c r="AN1538" s="213"/>
      <c r="AO1538" s="213"/>
      <c r="AP1538" s="213"/>
      <c r="AQ1538" s="213"/>
      <c r="AR1538" s="213"/>
      <c r="AS1538" s="213"/>
      <c r="AT1538" s="213"/>
      <c r="AU1538" s="213"/>
      <c r="AV1538" s="213"/>
      <c r="AW1538" s="213"/>
      <c r="AX1538" s="213"/>
      <c r="AY1538" s="213"/>
      <c r="AZ1538" s="213"/>
      <c r="BA1538" s="213"/>
      <c r="BB1538" s="213"/>
      <c r="BC1538" s="213"/>
      <c r="BD1538" s="213"/>
    </row>
    <row r="1539">
      <c r="A1539" s="213">
        <f>IFERROR(__xludf.DUMMYFUNCTION("""COMPUTED_VALUE"""),215.0)</f>
        <v>215</v>
      </c>
      <c r="B1539" s="213" t="str">
        <f>IFERROR(__xludf.DUMMYFUNCTION("""COMPUTED_VALUE"""),"2026 SIMON BOLIVAR")</f>
        <v>2026 SIMON BOLIVAR</v>
      </c>
      <c r="C1539" s="213" t="str">
        <f>IFERROR(__xludf.DUMMYFUNCTION("""COMPUTED_VALUE"""),"TALLER SFT DE INDUSTRIA DEL VESTIDO")</f>
        <v>TALLER SFT DE INDUSTRIA DEL VESTIDO</v>
      </c>
      <c r="D1539" s="213" t="str">
        <f>IFERROR(__xludf.DUMMYFUNCTION("""COMPUTED_VALUE"""),"PEDAGOGICO")</f>
        <v>PEDAGOGICO</v>
      </c>
      <c r="E1539" s="213" t="str">
        <f>IFERROR(__xludf.DUMMYFUNCTION("""COMPUTED_VALUE"""),"MAT-370")</f>
        <v>MAT-370</v>
      </c>
      <c r="F1539" s="213" t="str">
        <f>IFERROR(__xludf.DUMMYFUNCTION("""COMPUTED_VALUE"""),"KEFF-06")</f>
        <v>KEFF-06</v>
      </c>
      <c r="G1539" s="213"/>
      <c r="H1539" s="213" t="str">
        <f>IFERROR(__xludf.DUMMYFUNCTION("""COMPUTED_VALUE"""),"MANUAL PEDAGÓGICO PARA DISEÑAR LA PROPUESTA DE VALOR UTILIZANDO LOS EQUIPOS")</f>
        <v>MANUAL PEDAGÓGICO PARA DISEÑAR LA PROPUESTA DE VALOR UTILIZANDO LOS EQUIPOS</v>
      </c>
      <c r="I153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Información sobre anális"&amp;"is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39" s="213">
        <f>IFERROR(__xludf.DUMMYFUNCTION("""COMPUTED_VALUE"""),3.0)</f>
        <v>3</v>
      </c>
      <c r="K1539" s="213" t="str">
        <f>IFERROR(__xludf.DUMMYFUNCTION("""COMPUTED_VALUE"""),"170 DÍAS CALENDARIO")</f>
        <v>170 DÍAS CALENDARIO</v>
      </c>
      <c r="L1539" s="213" t="str">
        <f>IFERROR(__xludf.DUMMYFUNCTION("""COMPUTED_VALUE"""),"")</f>
        <v/>
      </c>
      <c r="M1539" s="213">
        <f>IFERROR(__xludf.DUMMYFUNCTION("""COMPUTED_VALUE"""),1.0)</f>
        <v>1</v>
      </c>
      <c r="N1539" s="213">
        <f>IFERROR(__xludf.DUMMYFUNCTION("""COMPUTED_VALUE"""),2.0)</f>
        <v>2</v>
      </c>
      <c r="O1539" s="213">
        <f>IFERROR(__xludf.DUMMYFUNCTION("""COMPUTED_VALUE"""),2.0)</f>
        <v>2</v>
      </c>
      <c r="P1539" s="213"/>
      <c r="Q1539" s="213"/>
      <c r="R1539" s="213"/>
      <c r="S1539" s="213"/>
      <c r="T1539" s="213"/>
      <c r="U1539" s="213"/>
      <c r="V1539" s="213"/>
      <c r="W1539" s="213"/>
      <c r="X1539" s="213"/>
      <c r="Y1539" s="213"/>
      <c r="Z1539" s="213"/>
      <c r="AA1539" s="213"/>
      <c r="AB1539" s="213"/>
      <c r="AC1539" s="213"/>
      <c r="AD1539" s="213"/>
      <c r="AE1539" s="213"/>
      <c r="AF1539" s="213"/>
      <c r="AG1539" s="213"/>
      <c r="AH1539" s="213"/>
      <c r="AI1539" s="213"/>
      <c r="AJ1539" s="213"/>
      <c r="AK1539" s="213"/>
      <c r="AL1539" s="213"/>
      <c r="AM1539" s="213"/>
      <c r="AN1539" s="213"/>
      <c r="AO1539" s="213"/>
      <c r="AP1539" s="213"/>
      <c r="AQ1539" s="213"/>
      <c r="AR1539" s="213"/>
      <c r="AS1539" s="213"/>
      <c r="AT1539" s="213"/>
      <c r="AU1539" s="213"/>
      <c r="AV1539" s="213"/>
      <c r="AW1539" s="213"/>
      <c r="AX1539" s="213"/>
      <c r="AY1539" s="213"/>
      <c r="AZ1539" s="213"/>
      <c r="BA1539" s="213"/>
      <c r="BB1539" s="213"/>
      <c r="BC1539" s="213"/>
      <c r="BD1539" s="213"/>
    </row>
    <row r="1540">
      <c r="A1540" s="213">
        <f>IFERROR(__xludf.DUMMYFUNCTION("""COMPUTED_VALUE"""),302.0)</f>
        <v>302</v>
      </c>
      <c r="B1540" s="213" t="str">
        <f>IFERROR(__xludf.DUMMYFUNCTION("""COMPUTED_VALUE"""),"2026 SIMON BOLIVAR")</f>
        <v>2026 SIMON BOLIVAR</v>
      </c>
      <c r="C1540" s="213" t="str">
        <f>IFERROR(__xludf.DUMMYFUNCTION("""COMPUTED_VALUE"""),"TALLER SFT DE COMPUTACIÓN E INFORMÁTICA")</f>
        <v>TALLER SFT DE COMPUTACIÓN E INFORMÁTICA</v>
      </c>
      <c r="D1540" s="213" t="str">
        <f>IFERROR(__xludf.DUMMYFUNCTION("""COMPUTED_VALUE"""),"PEDAGOGICO")</f>
        <v>PEDAGOGICO</v>
      </c>
      <c r="E1540" s="213" t="str">
        <f>IFERROR(__xludf.DUMMYFUNCTION("""COMPUTED_VALUE"""),"MAT-370")</f>
        <v>MAT-370</v>
      </c>
      <c r="F1540" s="213" t="str">
        <f>IFERROR(__xludf.DUMMYFUNCTION("""COMPUTED_VALUE"""),"KEFF-06")</f>
        <v>KEFF-06</v>
      </c>
      <c r="G1540" s="213"/>
      <c r="H1540" s="213" t="str">
        <f>IFERROR(__xludf.DUMMYFUNCTION("""COMPUTED_VALUE"""),"MANUAL PEDAGÓGICO PARA DISEÑAR LA PROPUESTA DE VALOR UTILIZANDO LOS EQUIPOS")</f>
        <v>MANUAL PEDAGÓGICO PARA DISEÑAR LA PROPUESTA DE VALOR UTILIZANDO LOS EQUIPOS</v>
      </c>
      <c r="I154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Información sobre anális"&amp;"is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0" s="213">
        <f>IFERROR(__xludf.DUMMYFUNCTION("""COMPUTED_VALUE"""),3.0)</f>
        <v>3</v>
      </c>
      <c r="K1540" s="213" t="str">
        <f>IFERROR(__xludf.DUMMYFUNCTION("""COMPUTED_VALUE"""),"170 DÍAS CALENDARIO")</f>
        <v>170 DÍAS CALENDARIO</v>
      </c>
      <c r="L1540" s="213" t="str">
        <f>IFERROR(__xludf.DUMMYFUNCTION("""COMPUTED_VALUE"""),"")</f>
        <v/>
      </c>
      <c r="M1540" s="213">
        <f>IFERROR(__xludf.DUMMYFUNCTION("""COMPUTED_VALUE"""),1.0)</f>
        <v>1</v>
      </c>
      <c r="N1540" s="213">
        <f>IFERROR(__xludf.DUMMYFUNCTION("""COMPUTED_VALUE"""),2.0)</f>
        <v>2</v>
      </c>
      <c r="O1540" s="213">
        <f>IFERROR(__xludf.DUMMYFUNCTION("""COMPUTED_VALUE"""),2.0)</f>
        <v>2</v>
      </c>
      <c r="P1540" s="213"/>
      <c r="Q1540" s="213"/>
      <c r="R1540" s="213"/>
      <c r="S1540" s="213"/>
      <c r="T1540" s="213"/>
      <c r="U1540" s="213"/>
      <c r="V1540" s="213"/>
      <c r="W1540" s="213"/>
      <c r="X1540" s="213"/>
      <c r="Y1540" s="213"/>
      <c r="Z1540" s="213"/>
      <c r="AA1540" s="213"/>
      <c r="AB1540" s="213"/>
      <c r="AC1540" s="213"/>
      <c r="AD1540" s="213"/>
      <c r="AE1540" s="213"/>
      <c r="AF1540" s="213"/>
      <c r="AG1540" s="213"/>
      <c r="AH1540" s="213"/>
      <c r="AI1540" s="213"/>
      <c r="AJ1540" s="213"/>
      <c r="AK1540" s="213"/>
      <c r="AL1540" s="213"/>
      <c r="AM1540" s="213"/>
      <c r="AN1540" s="213"/>
      <c r="AO1540" s="213"/>
      <c r="AP1540" s="213"/>
      <c r="AQ1540" s="213"/>
      <c r="AR1540" s="213"/>
      <c r="AS1540" s="213"/>
      <c r="AT1540" s="213"/>
      <c r="AU1540" s="213"/>
      <c r="AV1540" s="213"/>
      <c r="AW1540" s="213"/>
      <c r="AX1540" s="213"/>
      <c r="AY1540" s="213"/>
      <c r="AZ1540" s="213"/>
      <c r="BA1540" s="213"/>
      <c r="BB1540" s="213"/>
      <c r="BC1540" s="213"/>
      <c r="BD1540" s="213"/>
    </row>
    <row r="1541">
      <c r="A1541" s="213">
        <f>IFERROR(__xludf.DUMMYFUNCTION("""COMPUTED_VALUE"""),382.0)</f>
        <v>382</v>
      </c>
      <c r="B1541" s="213" t="str">
        <f>IFERROR(__xludf.DUMMYFUNCTION("""COMPUTED_VALUE"""),"2026 SIMON BOLIVAR")</f>
        <v>2026 SIMON BOLIVAR</v>
      </c>
      <c r="C1541" s="213" t="str">
        <f>IFERROR(__xludf.DUMMYFUNCTION("""COMPUTED_VALUE"""),"TALLER SFT DE ELECTRICIDAD")</f>
        <v>TALLER SFT DE ELECTRICIDAD</v>
      </c>
      <c r="D1541" s="213" t="str">
        <f>IFERROR(__xludf.DUMMYFUNCTION("""COMPUTED_VALUE"""),"PEDAGOGICO")</f>
        <v>PEDAGOGICO</v>
      </c>
      <c r="E1541" s="213" t="str">
        <f>IFERROR(__xludf.DUMMYFUNCTION("""COMPUTED_VALUE"""),"MAT-370")</f>
        <v>MAT-370</v>
      </c>
      <c r="F1541" s="213" t="str">
        <f>IFERROR(__xludf.DUMMYFUNCTION("""COMPUTED_VALUE"""),"KEFF-06")</f>
        <v>KEFF-06</v>
      </c>
      <c r="G1541" s="213"/>
      <c r="H1541" s="213" t="str">
        <f>IFERROR(__xludf.DUMMYFUNCTION("""COMPUTED_VALUE"""),"MANUAL PEDAGÓGICO PARA DISEÑAR LA PROPUESTA DE VALOR UTILIZANDO LOS EQUIPOS")</f>
        <v>MANUAL PEDAGÓGICO PARA DISEÑAR LA PROPUESTA DE VALOR UTILIZANDO LOS EQUIPOS</v>
      </c>
      <c r="I154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Información sobre análisi"&amp;"s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1" s="213">
        <f>IFERROR(__xludf.DUMMYFUNCTION("""COMPUTED_VALUE"""),3.0)</f>
        <v>3</v>
      </c>
      <c r="K1541" s="213" t="str">
        <f>IFERROR(__xludf.DUMMYFUNCTION("""COMPUTED_VALUE"""),"170 DÍAS CALENDARIO")</f>
        <v>170 DÍAS CALENDARIO</v>
      </c>
      <c r="L1541" s="213" t="str">
        <f>IFERROR(__xludf.DUMMYFUNCTION("""COMPUTED_VALUE"""),"")</f>
        <v/>
      </c>
      <c r="M1541" s="213">
        <f>IFERROR(__xludf.DUMMYFUNCTION("""COMPUTED_VALUE"""),1.0)</f>
        <v>1</v>
      </c>
      <c r="N1541" s="213">
        <f>IFERROR(__xludf.DUMMYFUNCTION("""COMPUTED_VALUE"""),2.0)</f>
        <v>2</v>
      </c>
      <c r="O1541" s="213">
        <f>IFERROR(__xludf.DUMMYFUNCTION("""COMPUTED_VALUE"""),2.0)</f>
        <v>2</v>
      </c>
      <c r="P1541" s="213"/>
      <c r="Q1541" s="213"/>
      <c r="R1541" s="213"/>
      <c r="S1541" s="213"/>
      <c r="T1541" s="213"/>
      <c r="U1541" s="213"/>
      <c r="V1541" s="213"/>
      <c r="W1541" s="213"/>
      <c r="X1541" s="213"/>
      <c r="Y1541" s="213"/>
      <c r="Z1541" s="213"/>
      <c r="AA1541" s="213"/>
      <c r="AB1541" s="213"/>
      <c r="AC1541" s="213"/>
      <c r="AD1541" s="213"/>
      <c r="AE1541" s="213"/>
      <c r="AF1541" s="213"/>
      <c r="AG1541" s="213"/>
      <c r="AH1541" s="213"/>
      <c r="AI1541" s="213"/>
      <c r="AJ1541" s="213"/>
      <c r="AK1541" s="213"/>
      <c r="AL1541" s="213"/>
      <c r="AM1541" s="213"/>
      <c r="AN1541" s="213"/>
      <c r="AO1541" s="213"/>
      <c r="AP1541" s="213"/>
      <c r="AQ1541" s="213"/>
      <c r="AR1541" s="213"/>
      <c r="AS1541" s="213"/>
      <c r="AT1541" s="213"/>
      <c r="AU1541" s="213"/>
      <c r="AV1541" s="213"/>
      <c r="AW1541" s="213"/>
      <c r="AX1541" s="213"/>
      <c r="AY1541" s="213"/>
      <c r="AZ1541" s="213"/>
      <c r="BA1541" s="213"/>
      <c r="BB1541" s="213"/>
      <c r="BC1541" s="213"/>
      <c r="BD1541" s="213"/>
    </row>
    <row r="1542">
      <c r="A1542" s="213">
        <f>IFERROR(__xludf.DUMMYFUNCTION("""COMPUTED_VALUE"""),579.0)</f>
        <v>579</v>
      </c>
      <c r="B1542" s="213" t="str">
        <f>IFERROR(__xludf.DUMMYFUNCTION("""COMPUTED_VALUE"""),"2026 SIMON BOLIVAR")</f>
        <v>2026 SIMON BOLIVAR</v>
      </c>
      <c r="C1542" s="213" t="str">
        <f>IFERROR(__xludf.DUMMYFUNCTION("""COMPUTED_VALUE"""),"TALLER SFT DE INDUSTRIA ALIMENTARIA")</f>
        <v>TALLER SFT DE INDUSTRIA ALIMENTARIA</v>
      </c>
      <c r="D1542" s="213" t="str">
        <f>IFERROR(__xludf.DUMMYFUNCTION("""COMPUTED_VALUE"""),"PEDAGOGICO")</f>
        <v>PEDAGOGICO</v>
      </c>
      <c r="E1542" s="213" t="str">
        <f>IFERROR(__xludf.DUMMYFUNCTION("""COMPUTED_VALUE"""),"MAT-370")</f>
        <v>MAT-370</v>
      </c>
      <c r="F1542" s="213" t="str">
        <f>IFERROR(__xludf.DUMMYFUNCTION("""COMPUTED_VALUE"""),"KEFF-06")</f>
        <v>KEFF-06</v>
      </c>
      <c r="G1542" s="213"/>
      <c r="H1542" s="213" t="str">
        <f>IFERROR(__xludf.DUMMYFUNCTION("""COMPUTED_VALUE"""),"MANUAL PEDAGÓGICO PARA DISEÑAR LA PROPUESTA DE VALOR UTILIZANDO LOS EQUIPOS")</f>
        <v>MANUAL PEDAGÓGICO PARA DISEÑAR LA PROPUESTA DE VALOR UTILIZANDO LOS EQUIPOS</v>
      </c>
      <c r="I154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Información sobre análisi"&amp;"s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2" s="213">
        <f>IFERROR(__xludf.DUMMYFUNCTION("""COMPUTED_VALUE"""),3.0)</f>
        <v>3</v>
      </c>
      <c r="K1542" s="213" t="str">
        <f>IFERROR(__xludf.DUMMYFUNCTION("""COMPUTED_VALUE"""),"170 DÍAS CALENDARIO")</f>
        <v>170 DÍAS CALENDARIO</v>
      </c>
      <c r="L1542" s="213" t="str">
        <f>IFERROR(__xludf.DUMMYFUNCTION("""COMPUTED_VALUE"""),"")</f>
        <v/>
      </c>
      <c r="M1542" s="213">
        <f>IFERROR(__xludf.DUMMYFUNCTION("""COMPUTED_VALUE"""),1.0)</f>
        <v>1</v>
      </c>
      <c r="N1542" s="213">
        <f>IFERROR(__xludf.DUMMYFUNCTION("""COMPUTED_VALUE"""),2.0)</f>
        <v>2</v>
      </c>
      <c r="O1542" s="213">
        <f>IFERROR(__xludf.DUMMYFUNCTION("""COMPUTED_VALUE"""),2.0)</f>
        <v>2</v>
      </c>
      <c r="P1542" s="213"/>
      <c r="Q1542" s="213"/>
      <c r="R1542" s="213"/>
      <c r="S1542" s="213"/>
      <c r="T1542" s="213"/>
      <c r="U1542" s="213"/>
      <c r="V1542" s="213"/>
      <c r="W1542" s="213"/>
      <c r="X1542" s="213"/>
      <c r="Y1542" s="213"/>
      <c r="Z1542" s="213"/>
      <c r="AA1542" s="213"/>
      <c r="AB1542" s="213"/>
      <c r="AC1542" s="213"/>
      <c r="AD1542" s="213"/>
      <c r="AE1542" s="213"/>
      <c r="AF1542" s="213"/>
      <c r="AG1542" s="213"/>
      <c r="AH1542" s="213"/>
      <c r="AI1542" s="213"/>
      <c r="AJ1542" s="213"/>
      <c r="AK1542" s="213"/>
      <c r="AL1542" s="213"/>
      <c r="AM1542" s="213"/>
      <c r="AN1542" s="213"/>
      <c r="AO1542" s="213"/>
      <c r="AP1542" s="213"/>
      <c r="AQ1542" s="213"/>
      <c r="AR1542" s="213"/>
      <c r="AS1542" s="213"/>
      <c r="AT1542" s="213"/>
      <c r="AU1542" s="213"/>
      <c r="AV1542" s="213"/>
      <c r="AW1542" s="213"/>
      <c r="AX1542" s="213"/>
      <c r="AY1542" s="213"/>
      <c r="AZ1542" s="213"/>
      <c r="BA1542" s="213"/>
      <c r="BB1542" s="213"/>
      <c r="BC1542" s="213"/>
      <c r="BD1542" s="213"/>
    </row>
    <row r="1543">
      <c r="A1543" s="213">
        <f>IFERROR(__xludf.DUMMYFUNCTION("""COMPUTED_VALUE"""),667.0)</f>
        <v>667</v>
      </c>
      <c r="B1543" s="213" t="str">
        <f>IFERROR(__xludf.DUMMYFUNCTION("""COMPUTED_VALUE"""),"6049 RICARDO PALMA")</f>
        <v>6049 RICARDO PALMA</v>
      </c>
      <c r="C1543" s="213" t="str">
        <f>IFERROR(__xludf.DUMMYFUNCTION("""COMPUTED_VALUE"""),"TALLER SFT DE ELECTRÓNICA")</f>
        <v>TALLER SFT DE ELECTRÓNICA</v>
      </c>
      <c r="D1543" s="213" t="str">
        <f>IFERROR(__xludf.DUMMYFUNCTION("""COMPUTED_VALUE"""),"PEDAGOGICO")</f>
        <v>PEDAGOGICO</v>
      </c>
      <c r="E1543" s="213" t="str">
        <f>IFERROR(__xludf.DUMMYFUNCTION("""COMPUTED_VALUE"""),"MAT-370")</f>
        <v>MAT-370</v>
      </c>
      <c r="F1543" s="213" t="str">
        <f>IFERROR(__xludf.DUMMYFUNCTION("""COMPUTED_VALUE"""),"KEFF-06")</f>
        <v>KEFF-06</v>
      </c>
      <c r="G1543" s="213"/>
      <c r="H1543" s="213" t="str">
        <f>IFERROR(__xludf.DUMMYFUNCTION("""COMPUTED_VALUE"""),"MANUAL PEDAGÓGICO PARA DISEÑAR LA PROPUESTA DE VALOR UTILIZANDO LOS EQUIPOS")</f>
        <v>MANUAL PEDAGÓGICO PARA DISEÑAR LA PROPUESTA DE VALOR UTILIZANDO LOS EQUIPOS</v>
      </c>
      <c r="I154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anál"&amp;"isis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3" s="213">
        <f>IFERROR(__xludf.DUMMYFUNCTION("""COMPUTED_VALUE"""),3.0)</f>
        <v>3</v>
      </c>
      <c r="K1543" s="213" t="str">
        <f>IFERROR(__xludf.DUMMYFUNCTION("""COMPUTED_VALUE"""),"170 DÍAS CALENDARIO")</f>
        <v>170 DÍAS CALENDARIO</v>
      </c>
      <c r="L1543" s="213" t="str">
        <f>IFERROR(__xludf.DUMMYFUNCTION("""COMPUTED_VALUE"""),"")</f>
        <v/>
      </c>
      <c r="M1543" s="213">
        <f>IFERROR(__xludf.DUMMYFUNCTION("""COMPUTED_VALUE"""),1.0)</f>
        <v>1</v>
      </c>
      <c r="N1543" s="213">
        <f>IFERROR(__xludf.DUMMYFUNCTION("""COMPUTED_VALUE"""),2.0)</f>
        <v>2</v>
      </c>
      <c r="O1543" s="213">
        <f>IFERROR(__xludf.DUMMYFUNCTION("""COMPUTED_VALUE"""),2.0)</f>
        <v>2</v>
      </c>
      <c r="P1543" s="213"/>
      <c r="Q1543" s="213"/>
      <c r="R1543" s="213"/>
      <c r="S1543" s="213"/>
      <c r="T1543" s="213"/>
      <c r="U1543" s="213"/>
      <c r="V1543" s="213"/>
      <c r="W1543" s="213"/>
      <c r="X1543" s="213"/>
      <c r="Y1543" s="213"/>
      <c r="Z1543" s="213"/>
      <c r="AA1543" s="213"/>
      <c r="AB1543" s="213"/>
      <c r="AC1543" s="213"/>
      <c r="AD1543" s="213"/>
      <c r="AE1543" s="213"/>
      <c r="AF1543" s="213"/>
      <c r="AG1543" s="213"/>
      <c r="AH1543" s="213"/>
      <c r="AI1543" s="213"/>
      <c r="AJ1543" s="213"/>
      <c r="AK1543" s="213"/>
      <c r="AL1543" s="213"/>
      <c r="AM1543" s="213"/>
      <c r="AN1543" s="213"/>
      <c r="AO1543" s="213"/>
      <c r="AP1543" s="213"/>
      <c r="AQ1543" s="213"/>
      <c r="AR1543" s="213"/>
      <c r="AS1543" s="213"/>
      <c r="AT1543" s="213"/>
      <c r="AU1543" s="213"/>
      <c r="AV1543" s="213"/>
      <c r="AW1543" s="213"/>
      <c r="AX1543" s="213"/>
      <c r="AY1543" s="213"/>
      <c r="AZ1543" s="213"/>
      <c r="BA1543" s="213"/>
      <c r="BB1543" s="213"/>
      <c r="BC1543" s="213"/>
      <c r="BD1543" s="213"/>
    </row>
    <row r="1544">
      <c r="A1544" s="213">
        <f>IFERROR(__xludf.DUMMYFUNCTION("""COMPUTED_VALUE"""),788.0)</f>
        <v>788</v>
      </c>
      <c r="B1544" s="213" t="str">
        <f>IFERROR(__xludf.DUMMYFUNCTION("""COMPUTED_VALUE"""),"6049 RICARDO PALMA")</f>
        <v>6049 RICARDO PALMA</v>
      </c>
      <c r="C1544" s="213" t="str">
        <f>IFERROR(__xludf.DUMMYFUNCTION("""COMPUTED_VALUE"""),"TALLER SFT DE COMPUTACIÓN E INFORMÁTICA")</f>
        <v>TALLER SFT DE COMPUTACIÓN E INFORMÁTICA</v>
      </c>
      <c r="D1544" s="213" t="str">
        <f>IFERROR(__xludf.DUMMYFUNCTION("""COMPUTED_VALUE"""),"PEDAGOGICO")</f>
        <v>PEDAGOGICO</v>
      </c>
      <c r="E1544" s="213" t="str">
        <f>IFERROR(__xludf.DUMMYFUNCTION("""COMPUTED_VALUE"""),"MAT-370")</f>
        <v>MAT-370</v>
      </c>
      <c r="F1544" s="213" t="str">
        <f>IFERROR(__xludf.DUMMYFUNCTION("""COMPUTED_VALUE"""),"KEFF-06")</f>
        <v>KEFF-06</v>
      </c>
      <c r="G1544" s="213"/>
      <c r="H1544" s="213" t="str">
        <f>IFERROR(__xludf.DUMMYFUNCTION("""COMPUTED_VALUE"""),"MANUAL PEDAGÓGICO PARA DISEÑAR LA PROPUESTA DE VALOR UTILIZANDO LOS EQUIPOS")</f>
        <v>MANUAL PEDAGÓGICO PARA DISEÑAR LA PROPUESTA DE VALOR UTILIZANDO LOS EQUIPOS</v>
      </c>
      <c r="I154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Información sobre anális"&amp;"is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4" s="213">
        <f>IFERROR(__xludf.DUMMYFUNCTION("""COMPUTED_VALUE"""),3.0)</f>
        <v>3</v>
      </c>
      <c r="K1544" s="213" t="str">
        <f>IFERROR(__xludf.DUMMYFUNCTION("""COMPUTED_VALUE"""),"170 DÍAS CALENDARIO")</f>
        <v>170 DÍAS CALENDARIO</v>
      </c>
      <c r="L1544" s="213" t="str">
        <f>IFERROR(__xludf.DUMMYFUNCTION("""COMPUTED_VALUE"""),"")</f>
        <v/>
      </c>
      <c r="M1544" s="213">
        <f>IFERROR(__xludf.DUMMYFUNCTION("""COMPUTED_VALUE"""),1.0)</f>
        <v>1</v>
      </c>
      <c r="N1544" s="213">
        <f>IFERROR(__xludf.DUMMYFUNCTION("""COMPUTED_VALUE"""),2.0)</f>
        <v>2</v>
      </c>
      <c r="O1544" s="213">
        <f>IFERROR(__xludf.DUMMYFUNCTION("""COMPUTED_VALUE"""),2.0)</f>
        <v>2</v>
      </c>
      <c r="P1544" s="213"/>
      <c r="Q1544" s="213"/>
      <c r="R1544" s="213"/>
      <c r="S1544" s="213"/>
      <c r="T1544" s="213"/>
      <c r="U1544" s="213"/>
      <c r="V1544" s="213"/>
      <c r="W1544" s="213"/>
      <c r="X1544" s="213"/>
      <c r="Y1544" s="213"/>
      <c r="Z1544" s="213"/>
      <c r="AA1544" s="213"/>
      <c r="AB1544" s="213"/>
      <c r="AC1544" s="213"/>
      <c r="AD1544" s="213"/>
      <c r="AE1544" s="213"/>
      <c r="AF1544" s="213"/>
      <c r="AG1544" s="213"/>
      <c r="AH1544" s="213"/>
      <c r="AI1544" s="213"/>
      <c r="AJ1544" s="213"/>
      <c r="AK1544" s="213"/>
      <c r="AL1544" s="213"/>
      <c r="AM1544" s="213"/>
      <c r="AN1544" s="213"/>
      <c r="AO1544" s="213"/>
      <c r="AP1544" s="213"/>
      <c r="AQ1544" s="213"/>
      <c r="AR1544" s="213"/>
      <c r="AS1544" s="213"/>
      <c r="AT1544" s="213"/>
      <c r="AU1544" s="213"/>
      <c r="AV1544" s="213"/>
      <c r="AW1544" s="213"/>
      <c r="AX1544" s="213"/>
      <c r="AY1544" s="213"/>
      <c r="AZ1544" s="213"/>
      <c r="BA1544" s="213"/>
      <c r="BB1544" s="213"/>
      <c r="BC1544" s="213"/>
      <c r="BD1544" s="213"/>
    </row>
    <row r="1545">
      <c r="A1545" s="213">
        <f>IFERROR(__xludf.DUMMYFUNCTION("""COMPUTED_VALUE"""),868.0)</f>
        <v>868</v>
      </c>
      <c r="B1545" s="213" t="str">
        <f>IFERROR(__xludf.DUMMYFUNCTION("""COMPUTED_VALUE"""),"6049 RICARDO PALMA")</f>
        <v>6049 RICARDO PALMA</v>
      </c>
      <c r="C1545" s="213" t="str">
        <f>IFERROR(__xludf.DUMMYFUNCTION("""COMPUTED_VALUE"""),"TALLER SFT DE ELECTRICIDAD")</f>
        <v>TALLER SFT DE ELECTRICIDAD</v>
      </c>
      <c r="D1545" s="213" t="str">
        <f>IFERROR(__xludf.DUMMYFUNCTION("""COMPUTED_VALUE"""),"PEDAGOGICO")</f>
        <v>PEDAGOGICO</v>
      </c>
      <c r="E1545" s="213" t="str">
        <f>IFERROR(__xludf.DUMMYFUNCTION("""COMPUTED_VALUE"""),"MAT-370")</f>
        <v>MAT-370</v>
      </c>
      <c r="F1545" s="213" t="str">
        <f>IFERROR(__xludf.DUMMYFUNCTION("""COMPUTED_VALUE"""),"KEFF-06")</f>
        <v>KEFF-06</v>
      </c>
      <c r="G1545" s="213"/>
      <c r="H1545" s="213" t="str">
        <f>IFERROR(__xludf.DUMMYFUNCTION("""COMPUTED_VALUE"""),"MANUAL PEDAGÓGICO PARA DISEÑAR LA PROPUESTA DE VALOR UTILIZANDO LOS EQUIPOS")</f>
        <v>MANUAL PEDAGÓGICO PARA DISEÑAR LA PROPUESTA DE VALOR UTILIZANDO LOS EQUIPOS</v>
      </c>
      <c r="I154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Información sobre análisi"&amp;"s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5" s="213">
        <f>IFERROR(__xludf.DUMMYFUNCTION("""COMPUTED_VALUE"""),3.0)</f>
        <v>3</v>
      </c>
      <c r="K1545" s="213" t="str">
        <f>IFERROR(__xludf.DUMMYFUNCTION("""COMPUTED_VALUE"""),"170 DÍAS CALENDARIO")</f>
        <v>170 DÍAS CALENDARIO</v>
      </c>
      <c r="L1545" s="213" t="str">
        <f>IFERROR(__xludf.DUMMYFUNCTION("""COMPUTED_VALUE"""),"")</f>
        <v/>
      </c>
      <c r="M1545" s="213">
        <f>IFERROR(__xludf.DUMMYFUNCTION("""COMPUTED_VALUE"""),1.0)</f>
        <v>1</v>
      </c>
      <c r="N1545" s="213">
        <f>IFERROR(__xludf.DUMMYFUNCTION("""COMPUTED_VALUE"""),2.0)</f>
        <v>2</v>
      </c>
      <c r="O1545" s="213">
        <f>IFERROR(__xludf.DUMMYFUNCTION("""COMPUTED_VALUE"""),2.0)</f>
        <v>2</v>
      </c>
      <c r="P1545" s="213"/>
      <c r="Q1545" s="213"/>
      <c r="R1545" s="213"/>
      <c r="S1545" s="213"/>
      <c r="T1545" s="213"/>
      <c r="U1545" s="213"/>
      <c r="V1545" s="213"/>
      <c r="W1545" s="213"/>
      <c r="X1545" s="213"/>
      <c r="Y1545" s="213"/>
      <c r="Z1545" s="213"/>
      <c r="AA1545" s="213"/>
      <c r="AB1545" s="213"/>
      <c r="AC1545" s="213"/>
      <c r="AD1545" s="213"/>
      <c r="AE1545" s="213"/>
      <c r="AF1545" s="213"/>
      <c r="AG1545" s="213"/>
      <c r="AH1545" s="213"/>
      <c r="AI1545" s="213"/>
      <c r="AJ1545" s="213"/>
      <c r="AK1545" s="213"/>
      <c r="AL1545" s="213"/>
      <c r="AM1545" s="213"/>
      <c r="AN1545" s="213"/>
      <c r="AO1545" s="213"/>
      <c r="AP1545" s="213"/>
      <c r="AQ1545" s="213"/>
      <c r="AR1545" s="213"/>
      <c r="AS1545" s="213"/>
      <c r="AT1545" s="213"/>
      <c r="AU1545" s="213"/>
      <c r="AV1545" s="213"/>
      <c r="AW1545" s="213"/>
      <c r="AX1545" s="213"/>
      <c r="AY1545" s="213"/>
      <c r="AZ1545" s="213"/>
      <c r="BA1545" s="213"/>
      <c r="BB1545" s="213"/>
      <c r="BC1545" s="213"/>
      <c r="BD1545" s="213"/>
    </row>
    <row r="1546">
      <c r="A1546" s="213">
        <f>IFERROR(__xludf.DUMMYFUNCTION("""COMPUTED_VALUE"""),1013.0)</f>
        <v>1013</v>
      </c>
      <c r="B1546" s="213" t="str">
        <f>IFERROR(__xludf.DUMMYFUNCTION("""COMPUTED_VALUE"""),"FRANCISCO IRAZOLA")</f>
        <v>FRANCISCO IRAZOLA</v>
      </c>
      <c r="C1546" s="213" t="str">
        <f>IFERROR(__xludf.DUMMYFUNCTION("""COMPUTED_VALUE"""),"TALLER SFT DE MECÁNICA AUTOMOTRIZ")</f>
        <v>TALLER SFT DE MECÁNICA AUTOMOTRIZ</v>
      </c>
      <c r="D1546" s="213" t="str">
        <f>IFERROR(__xludf.DUMMYFUNCTION("""COMPUTED_VALUE"""),"PEDAGOGICO")</f>
        <v>PEDAGOGICO</v>
      </c>
      <c r="E1546" s="213" t="str">
        <f>IFERROR(__xludf.DUMMYFUNCTION("""COMPUTED_VALUE"""),"MAT-370")</f>
        <v>MAT-370</v>
      </c>
      <c r="F1546" s="213" t="str">
        <f>IFERROR(__xludf.DUMMYFUNCTION("""COMPUTED_VALUE"""),"KEFF-06")</f>
        <v>KEFF-06</v>
      </c>
      <c r="G1546" s="213"/>
      <c r="H1546" s="213" t="str">
        <f>IFERROR(__xludf.DUMMYFUNCTION("""COMPUTED_VALUE"""),"MANUAL PEDAGÓGICO PARA DISEÑAR LA PROPUESTA DE VALOR UTILIZANDO LOS EQUIPOS")</f>
        <v>MANUAL PEDAGÓGICO PARA DISEÑAR LA PROPUESTA DE VALOR UTILIZANDO LOS EQUIPOS</v>
      </c>
      <c r="I154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anál"&amp;"isis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6" s="213">
        <f>IFERROR(__xludf.DUMMYFUNCTION("""COMPUTED_VALUE"""),3.0)</f>
        <v>3</v>
      </c>
      <c r="K1546" s="213" t="str">
        <f>IFERROR(__xludf.DUMMYFUNCTION("""COMPUTED_VALUE"""),"170 DÍAS CALENDARIO")</f>
        <v>170 DÍAS CALENDARIO</v>
      </c>
      <c r="L1546" s="213" t="str">
        <f>IFERROR(__xludf.DUMMYFUNCTION("""COMPUTED_VALUE"""),"")</f>
        <v/>
      </c>
      <c r="M1546" s="213">
        <f>IFERROR(__xludf.DUMMYFUNCTION("""COMPUTED_VALUE"""),1.0)</f>
        <v>1</v>
      </c>
      <c r="N1546" s="213">
        <f>IFERROR(__xludf.DUMMYFUNCTION("""COMPUTED_VALUE"""),2.0)</f>
        <v>2</v>
      </c>
      <c r="O1546" s="213">
        <f>IFERROR(__xludf.DUMMYFUNCTION("""COMPUTED_VALUE"""),2.0)</f>
        <v>2</v>
      </c>
      <c r="P1546" s="213"/>
      <c r="Q1546" s="213"/>
      <c r="R1546" s="213"/>
      <c r="S1546" s="213"/>
      <c r="T1546" s="213"/>
      <c r="U1546" s="213"/>
      <c r="V1546" s="213"/>
      <c r="W1546" s="213"/>
      <c r="X1546" s="213"/>
      <c r="Y1546" s="213"/>
      <c r="Z1546" s="213"/>
      <c r="AA1546" s="213"/>
      <c r="AB1546" s="213"/>
      <c r="AC1546" s="213"/>
      <c r="AD1546" s="213"/>
      <c r="AE1546" s="213"/>
      <c r="AF1546" s="213"/>
      <c r="AG1546" s="213"/>
      <c r="AH1546" s="213"/>
      <c r="AI1546" s="213"/>
      <c r="AJ1546" s="213"/>
      <c r="AK1546" s="213"/>
      <c r="AL1546" s="213"/>
      <c r="AM1546" s="213"/>
      <c r="AN1546" s="213"/>
      <c r="AO1546" s="213"/>
      <c r="AP1546" s="213"/>
      <c r="AQ1546" s="213"/>
      <c r="AR1546" s="213"/>
      <c r="AS1546" s="213"/>
      <c r="AT1546" s="213"/>
      <c r="AU1546" s="213"/>
      <c r="AV1546" s="213"/>
      <c r="AW1546" s="213"/>
      <c r="AX1546" s="213"/>
      <c r="AY1546" s="213"/>
      <c r="AZ1546" s="213"/>
      <c r="BA1546" s="213"/>
      <c r="BB1546" s="213"/>
      <c r="BC1546" s="213"/>
      <c r="BD1546" s="213"/>
    </row>
    <row r="1547">
      <c r="A1547" s="213">
        <f>IFERROR(__xludf.DUMMYFUNCTION("""COMPUTED_VALUE"""),1205.0)</f>
        <v>1205</v>
      </c>
      <c r="B1547" s="213" t="str">
        <f>IFERROR(__xludf.DUMMYFUNCTION("""COMPUTED_VALUE"""),"FRANCISCO IRAZOLA")</f>
        <v>FRANCISCO IRAZOLA</v>
      </c>
      <c r="C1547" s="213" t="str">
        <f>IFERROR(__xludf.DUMMYFUNCTION("""COMPUTED_VALUE"""),"TALLER SFT DE INDUSTRIA ALIMENTARIA")</f>
        <v>TALLER SFT DE INDUSTRIA ALIMENTARIA</v>
      </c>
      <c r="D1547" s="213" t="str">
        <f>IFERROR(__xludf.DUMMYFUNCTION("""COMPUTED_VALUE"""),"PEDAGOGICO")</f>
        <v>PEDAGOGICO</v>
      </c>
      <c r="E1547" s="213" t="str">
        <f>IFERROR(__xludf.DUMMYFUNCTION("""COMPUTED_VALUE"""),"MAT-370")</f>
        <v>MAT-370</v>
      </c>
      <c r="F1547" s="213" t="str">
        <f>IFERROR(__xludf.DUMMYFUNCTION("""COMPUTED_VALUE"""),"KEFF-06")</f>
        <v>KEFF-06</v>
      </c>
      <c r="G1547" s="213"/>
      <c r="H1547" s="213" t="str">
        <f>IFERROR(__xludf.DUMMYFUNCTION("""COMPUTED_VALUE"""),"MANUAL PEDAGÓGICO PARA DISEÑAR LA PROPUESTA DE VALOR UTILIZANDO LOS EQUIPOS")</f>
        <v>MANUAL PEDAGÓGICO PARA DISEÑAR LA PROPUESTA DE VALOR UTILIZANDO LOS EQUIPOS</v>
      </c>
      <c r="I154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Información sobre análisi"&amp;"s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7" s="213">
        <f>IFERROR(__xludf.DUMMYFUNCTION("""COMPUTED_VALUE"""),3.0)</f>
        <v>3</v>
      </c>
      <c r="K1547" s="213" t="str">
        <f>IFERROR(__xludf.DUMMYFUNCTION("""COMPUTED_VALUE"""),"170 DÍAS CALENDARIO")</f>
        <v>170 DÍAS CALENDARIO</v>
      </c>
      <c r="L1547" s="213" t="str">
        <f>IFERROR(__xludf.DUMMYFUNCTION("""COMPUTED_VALUE"""),"")</f>
        <v/>
      </c>
      <c r="M1547" s="213">
        <f>IFERROR(__xludf.DUMMYFUNCTION("""COMPUTED_VALUE"""),1.0)</f>
        <v>1</v>
      </c>
      <c r="N1547" s="213">
        <f>IFERROR(__xludf.DUMMYFUNCTION("""COMPUTED_VALUE"""),2.0)</f>
        <v>2</v>
      </c>
      <c r="O1547" s="213">
        <f>IFERROR(__xludf.DUMMYFUNCTION("""COMPUTED_VALUE"""),2.0)</f>
        <v>2</v>
      </c>
      <c r="P1547" s="213"/>
      <c r="Q1547" s="213"/>
      <c r="R1547" s="213"/>
      <c r="S1547" s="213"/>
      <c r="T1547" s="213"/>
      <c r="U1547" s="213"/>
      <c r="V1547" s="213"/>
      <c r="W1547" s="213"/>
      <c r="X1547" s="213"/>
      <c r="Y1547" s="213"/>
      <c r="Z1547" s="213"/>
      <c r="AA1547" s="213"/>
      <c r="AB1547" s="213"/>
      <c r="AC1547" s="213"/>
      <c r="AD1547" s="213"/>
      <c r="AE1547" s="213"/>
      <c r="AF1547" s="213"/>
      <c r="AG1547" s="213"/>
      <c r="AH1547" s="213"/>
      <c r="AI1547" s="213"/>
      <c r="AJ1547" s="213"/>
      <c r="AK1547" s="213"/>
      <c r="AL1547" s="213"/>
      <c r="AM1547" s="213"/>
      <c r="AN1547" s="213"/>
      <c r="AO1547" s="213"/>
      <c r="AP1547" s="213"/>
      <c r="AQ1547" s="213"/>
      <c r="AR1547" s="213"/>
      <c r="AS1547" s="213"/>
      <c r="AT1547" s="213"/>
      <c r="AU1547" s="213"/>
      <c r="AV1547" s="213"/>
      <c r="AW1547" s="213"/>
      <c r="AX1547" s="213"/>
      <c r="AY1547" s="213"/>
      <c r="AZ1547" s="213"/>
      <c r="BA1547" s="213"/>
      <c r="BB1547" s="213"/>
      <c r="BC1547" s="213"/>
      <c r="BD1547" s="213"/>
    </row>
    <row r="1548">
      <c r="A1548" s="213">
        <f>IFERROR(__xludf.DUMMYFUNCTION("""COMPUTED_VALUE"""),1290.0)</f>
        <v>1290</v>
      </c>
      <c r="B1548" s="213" t="str">
        <f>IFERROR(__xludf.DUMMYFUNCTION("""COMPUTED_VALUE"""),"GUILLERMO E. BILLINGHURST ")</f>
        <v>GUILLERMO E. BILLINGHURST </v>
      </c>
      <c r="C1548" s="213" t="str">
        <f>IFERROR(__xludf.DUMMYFUNCTION("""COMPUTED_VALUE"""),"TALLER SFT DE ELECTRICIDAD")</f>
        <v>TALLER SFT DE ELECTRICIDAD</v>
      </c>
      <c r="D1548" s="213" t="str">
        <f>IFERROR(__xludf.DUMMYFUNCTION("""COMPUTED_VALUE"""),"PEDAGOGICO")</f>
        <v>PEDAGOGICO</v>
      </c>
      <c r="E1548" s="213" t="str">
        <f>IFERROR(__xludf.DUMMYFUNCTION("""COMPUTED_VALUE"""),"MAT-370")</f>
        <v>MAT-370</v>
      </c>
      <c r="F1548" s="213" t="str">
        <f>IFERROR(__xludf.DUMMYFUNCTION("""COMPUTED_VALUE"""),"KEFF-06")</f>
        <v>KEFF-06</v>
      </c>
      <c r="G1548" s="213"/>
      <c r="H1548" s="213" t="str">
        <f>IFERROR(__xludf.DUMMYFUNCTION("""COMPUTED_VALUE"""),"MANUAL PEDAGÓGICO PARA DISEÑAR LA PROPUESTA DE VALOR UTILIZANDO LOS EQUIPOS")</f>
        <v>MANUAL PEDAGÓGICO PARA DISEÑAR LA PROPUESTA DE VALOR UTILIZANDO LOS EQUIPOS</v>
      </c>
      <c r="I154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Información sobre análisi"&amp;"s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8" s="213">
        <f>IFERROR(__xludf.DUMMYFUNCTION("""COMPUTED_VALUE"""),3.0)</f>
        <v>3</v>
      </c>
      <c r="K1548" s="213" t="str">
        <f>IFERROR(__xludf.DUMMYFUNCTION("""COMPUTED_VALUE"""),"170 DÍAS CALENDARIO")</f>
        <v>170 DÍAS CALENDARIO</v>
      </c>
      <c r="L1548" s="213" t="str">
        <f>IFERROR(__xludf.DUMMYFUNCTION("""COMPUTED_VALUE"""),"")</f>
        <v/>
      </c>
      <c r="M1548" s="213">
        <f>IFERROR(__xludf.DUMMYFUNCTION("""COMPUTED_VALUE"""),1.0)</f>
        <v>1</v>
      </c>
      <c r="N1548" s="213">
        <f>IFERROR(__xludf.DUMMYFUNCTION("""COMPUTED_VALUE"""),2.0)</f>
        <v>2</v>
      </c>
      <c r="O1548" s="213">
        <f>IFERROR(__xludf.DUMMYFUNCTION("""COMPUTED_VALUE"""),2.0)</f>
        <v>2</v>
      </c>
      <c r="P1548" s="213"/>
      <c r="Q1548" s="213"/>
      <c r="R1548" s="213"/>
      <c r="S1548" s="213"/>
      <c r="T1548" s="213"/>
      <c r="U1548" s="213"/>
      <c r="V1548" s="213"/>
      <c r="W1548" s="213"/>
      <c r="X1548" s="213"/>
      <c r="Y1548" s="213"/>
      <c r="Z1548" s="213"/>
      <c r="AA1548" s="213"/>
      <c r="AB1548" s="213"/>
      <c r="AC1548" s="213"/>
      <c r="AD1548" s="213"/>
      <c r="AE1548" s="213"/>
      <c r="AF1548" s="213"/>
      <c r="AG1548" s="213"/>
      <c r="AH1548" s="213"/>
      <c r="AI1548" s="213"/>
      <c r="AJ1548" s="213"/>
      <c r="AK1548" s="213"/>
      <c r="AL1548" s="213"/>
      <c r="AM1548" s="213"/>
      <c r="AN1548" s="213"/>
      <c r="AO1548" s="213"/>
      <c r="AP1548" s="213"/>
      <c r="AQ1548" s="213"/>
      <c r="AR1548" s="213"/>
      <c r="AS1548" s="213"/>
      <c r="AT1548" s="213"/>
      <c r="AU1548" s="213"/>
      <c r="AV1548" s="213"/>
      <c r="AW1548" s="213"/>
      <c r="AX1548" s="213"/>
      <c r="AY1548" s="213"/>
      <c r="AZ1548" s="213"/>
      <c r="BA1548" s="213"/>
      <c r="BB1548" s="213"/>
      <c r="BC1548" s="213"/>
      <c r="BD1548" s="213"/>
    </row>
    <row r="1549">
      <c r="A1549" s="213">
        <f>IFERROR(__xludf.DUMMYFUNCTION("""COMPUTED_VALUE"""),1476.0)</f>
        <v>1476</v>
      </c>
      <c r="B1549" s="213" t="str">
        <f>IFERROR(__xludf.DUMMYFUNCTION("""COMPUTED_VALUE"""),"GUILLERMO E. BILLINGHURST ")</f>
        <v>GUILLERMO E. BILLINGHURST </v>
      </c>
      <c r="C1549" s="213" t="str">
        <f>IFERROR(__xludf.DUMMYFUNCTION("""COMPUTED_VALUE"""),"TALLER SFT DE INDUSTRIA ALIMENTARIA")</f>
        <v>TALLER SFT DE INDUSTRIA ALIMENTARIA</v>
      </c>
      <c r="D1549" s="213" t="str">
        <f>IFERROR(__xludf.DUMMYFUNCTION("""COMPUTED_VALUE"""),"PEDAGOGICO")</f>
        <v>PEDAGOGICO</v>
      </c>
      <c r="E1549" s="213" t="str">
        <f>IFERROR(__xludf.DUMMYFUNCTION("""COMPUTED_VALUE"""),"MAT-370")</f>
        <v>MAT-370</v>
      </c>
      <c r="F1549" s="213" t="str">
        <f>IFERROR(__xludf.DUMMYFUNCTION("""COMPUTED_VALUE"""),"KEFF-06")</f>
        <v>KEFF-06</v>
      </c>
      <c r="G1549" s="213"/>
      <c r="H1549" s="213" t="str">
        <f>IFERROR(__xludf.DUMMYFUNCTION("""COMPUTED_VALUE"""),"MANUAL PEDAGÓGICO PARA DISEÑAR LA PROPUESTA DE VALOR UTILIZANDO LOS EQUIPOS")</f>
        <v>MANUAL PEDAGÓGICO PARA DISEÑAR LA PROPUESTA DE VALOR UTILIZANDO LOS EQUIPOS</v>
      </c>
      <c r="I154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Información sobre análisi"&amp;"s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49" s="213">
        <f>IFERROR(__xludf.DUMMYFUNCTION("""COMPUTED_VALUE"""),3.0)</f>
        <v>3</v>
      </c>
      <c r="K1549" s="213" t="str">
        <f>IFERROR(__xludf.DUMMYFUNCTION("""COMPUTED_VALUE"""),"170 DÍAS CALENDARIO")</f>
        <v>170 DÍAS CALENDARIO</v>
      </c>
      <c r="L1549" s="213" t="str">
        <f>IFERROR(__xludf.DUMMYFUNCTION("""COMPUTED_VALUE"""),"")</f>
        <v/>
      </c>
      <c r="M1549" s="213">
        <f>IFERROR(__xludf.DUMMYFUNCTION("""COMPUTED_VALUE"""),1.0)</f>
        <v>1</v>
      </c>
      <c r="N1549" s="213">
        <f>IFERROR(__xludf.DUMMYFUNCTION("""COMPUTED_VALUE"""),2.0)</f>
        <v>2</v>
      </c>
      <c r="O1549" s="213">
        <f>IFERROR(__xludf.DUMMYFUNCTION("""COMPUTED_VALUE"""),2.0)</f>
        <v>2</v>
      </c>
      <c r="P1549" s="213"/>
      <c r="Q1549" s="213"/>
      <c r="R1549" s="213"/>
      <c r="S1549" s="213"/>
      <c r="T1549" s="213"/>
      <c r="U1549" s="213"/>
      <c r="V1549" s="213"/>
      <c r="W1549" s="213"/>
      <c r="X1549" s="213"/>
      <c r="Y1549" s="213"/>
      <c r="Z1549" s="213"/>
      <c r="AA1549" s="213"/>
      <c r="AB1549" s="213"/>
      <c r="AC1549" s="213"/>
      <c r="AD1549" s="213"/>
      <c r="AE1549" s="213"/>
      <c r="AF1549" s="213"/>
      <c r="AG1549" s="213"/>
      <c r="AH1549" s="213"/>
      <c r="AI1549" s="213"/>
      <c r="AJ1549" s="213"/>
      <c r="AK1549" s="213"/>
      <c r="AL1549" s="213"/>
      <c r="AM1549" s="213"/>
      <c r="AN1549" s="213"/>
      <c r="AO1549" s="213"/>
      <c r="AP1549" s="213"/>
      <c r="AQ1549" s="213"/>
      <c r="AR1549" s="213"/>
      <c r="AS1549" s="213"/>
      <c r="AT1549" s="213"/>
      <c r="AU1549" s="213"/>
      <c r="AV1549" s="213"/>
      <c r="AW1549" s="213"/>
      <c r="AX1549" s="213"/>
      <c r="AY1549" s="213"/>
      <c r="AZ1549" s="213"/>
      <c r="BA1549" s="213"/>
      <c r="BB1549" s="213"/>
      <c r="BC1549" s="213"/>
      <c r="BD1549" s="213"/>
    </row>
    <row r="1550">
      <c r="A1550" s="213">
        <f>IFERROR(__xludf.DUMMYFUNCTION("""COMPUTED_VALUE"""),1618.0)</f>
        <v>1618</v>
      </c>
      <c r="B1550" s="213" t="str">
        <f>IFERROR(__xludf.DUMMYFUNCTION("""COMPUTED_VALUE"""),"GUILLERMO E. BILLINGHURST ")</f>
        <v>GUILLERMO E. BILLINGHURST </v>
      </c>
      <c r="C1550" s="213" t="str">
        <f>IFERROR(__xludf.DUMMYFUNCTION("""COMPUTED_VALUE"""),"TALLER SFT DE MECÁNICA AUTOMOTRIZ")</f>
        <v>TALLER SFT DE MECÁNICA AUTOMOTRIZ</v>
      </c>
      <c r="D1550" s="213" t="str">
        <f>IFERROR(__xludf.DUMMYFUNCTION("""COMPUTED_VALUE"""),"PEDAGOGICO")</f>
        <v>PEDAGOGICO</v>
      </c>
      <c r="E1550" s="213" t="str">
        <f>IFERROR(__xludf.DUMMYFUNCTION("""COMPUTED_VALUE"""),"MAT-370")</f>
        <v>MAT-370</v>
      </c>
      <c r="F1550" s="213" t="str">
        <f>IFERROR(__xludf.DUMMYFUNCTION("""COMPUTED_VALUE"""),"KEFF-06")</f>
        <v>KEFF-06</v>
      </c>
      <c r="G1550" s="213"/>
      <c r="H1550" s="213" t="str">
        <f>IFERROR(__xludf.DUMMYFUNCTION("""COMPUTED_VALUE"""),"MANUAL PEDAGÓGICO PARA DISEÑAR LA PROPUESTA DE VALOR UTILIZANDO LOS EQUIPOS")</f>
        <v>MANUAL PEDAGÓGICO PARA DISEÑAR LA PROPUESTA DE VALOR UTILIZANDO LOS EQUIPOS</v>
      </c>
      <c r="I155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anál"&amp;"isis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50" s="213">
        <f>IFERROR(__xludf.DUMMYFUNCTION("""COMPUTED_VALUE"""),3.0)</f>
        <v>3</v>
      </c>
      <c r="K1550" s="213" t="str">
        <f>IFERROR(__xludf.DUMMYFUNCTION("""COMPUTED_VALUE"""),"170 DÍAS CALENDARIO")</f>
        <v>170 DÍAS CALENDARIO</v>
      </c>
      <c r="L1550" s="213" t="str">
        <f>IFERROR(__xludf.DUMMYFUNCTION("""COMPUTED_VALUE"""),"")</f>
        <v/>
      </c>
      <c r="M1550" s="213">
        <f>IFERROR(__xludf.DUMMYFUNCTION("""COMPUTED_VALUE"""),1.0)</f>
        <v>1</v>
      </c>
      <c r="N1550" s="213">
        <f>IFERROR(__xludf.DUMMYFUNCTION("""COMPUTED_VALUE"""),2.0)</f>
        <v>2</v>
      </c>
      <c r="O1550" s="213">
        <f>IFERROR(__xludf.DUMMYFUNCTION("""COMPUTED_VALUE"""),2.0)</f>
        <v>2</v>
      </c>
      <c r="P1550" s="213"/>
      <c r="Q1550" s="213"/>
      <c r="R1550" s="213"/>
      <c r="S1550" s="213"/>
      <c r="T1550" s="213"/>
      <c r="U1550" s="213"/>
      <c r="V1550" s="213"/>
      <c r="W1550" s="213"/>
      <c r="X1550" s="213"/>
      <c r="Y1550" s="213"/>
      <c r="Z1550" s="213"/>
      <c r="AA1550" s="213"/>
      <c r="AB1550" s="213"/>
      <c r="AC1550" s="213"/>
      <c r="AD1550" s="213"/>
      <c r="AE1550" s="213"/>
      <c r="AF1550" s="213"/>
      <c r="AG1550" s="213"/>
      <c r="AH1550" s="213"/>
      <c r="AI1550" s="213"/>
      <c r="AJ1550" s="213"/>
      <c r="AK1550" s="213"/>
      <c r="AL1550" s="213"/>
      <c r="AM1550" s="213"/>
      <c r="AN1550" s="213"/>
      <c r="AO1550" s="213"/>
      <c r="AP1550" s="213"/>
      <c r="AQ1550" s="213"/>
      <c r="AR1550" s="213"/>
      <c r="AS1550" s="213"/>
      <c r="AT1550" s="213"/>
      <c r="AU1550" s="213"/>
      <c r="AV1550" s="213"/>
      <c r="AW1550" s="213"/>
      <c r="AX1550" s="213"/>
      <c r="AY1550" s="213"/>
      <c r="AZ1550" s="213"/>
      <c r="BA1550" s="213"/>
      <c r="BB1550" s="213"/>
      <c r="BC1550" s="213"/>
      <c r="BD1550" s="213"/>
    </row>
    <row r="1551">
      <c r="A1551" s="213">
        <f>IFERROR(__xludf.DUMMYFUNCTION("""COMPUTED_VALUE"""),1726.0)</f>
        <v>1726</v>
      </c>
      <c r="B1551" s="213" t="str">
        <f>IFERROR(__xludf.DUMMYFUNCTION("""COMPUTED_VALUE"""),"GUILLERMO E. BILLINGHURST ")</f>
        <v>GUILLERMO E. BILLINGHURST </v>
      </c>
      <c r="C1551" s="213" t="str">
        <f>IFERROR(__xludf.DUMMYFUNCTION("""COMPUTED_VALUE"""),"TALLER SFT DE COMPUTACIÓN E INFORMÁTICA")</f>
        <v>TALLER SFT DE COMPUTACIÓN E INFORMÁTICA</v>
      </c>
      <c r="D1551" s="213" t="str">
        <f>IFERROR(__xludf.DUMMYFUNCTION("""COMPUTED_VALUE"""),"PEDAGOGICO")</f>
        <v>PEDAGOGICO</v>
      </c>
      <c r="E1551" s="213" t="str">
        <f>IFERROR(__xludf.DUMMYFUNCTION("""COMPUTED_VALUE"""),"MAT-370")</f>
        <v>MAT-370</v>
      </c>
      <c r="F1551" s="213" t="str">
        <f>IFERROR(__xludf.DUMMYFUNCTION("""COMPUTED_VALUE"""),"KEFF-06")</f>
        <v>KEFF-06</v>
      </c>
      <c r="G1551" s="213"/>
      <c r="H1551" s="213" t="str">
        <f>IFERROR(__xludf.DUMMYFUNCTION("""COMPUTED_VALUE"""),"MANUAL PEDAGÓGICO PARA DISEÑAR LA PROPUESTA DE VALOR UTILIZANDO LOS EQUIPOS")</f>
        <v>MANUAL PEDAGÓGICO PARA DISEÑAR LA PROPUESTA DE VALOR UTILIZANDO LOS EQUIPOS</v>
      </c>
      <c r="I155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Información sobre anális"&amp;"is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51" s="213">
        <f>IFERROR(__xludf.DUMMYFUNCTION("""COMPUTED_VALUE"""),3.0)</f>
        <v>3</v>
      </c>
      <c r="K1551" s="213" t="str">
        <f>IFERROR(__xludf.DUMMYFUNCTION("""COMPUTED_VALUE"""),"170 DÍAS CALENDARIO")</f>
        <v>170 DÍAS CALENDARIO</v>
      </c>
      <c r="L1551" s="213" t="str">
        <f>IFERROR(__xludf.DUMMYFUNCTION("""COMPUTED_VALUE"""),"")</f>
        <v/>
      </c>
      <c r="M1551" s="213">
        <f>IFERROR(__xludf.DUMMYFUNCTION("""COMPUTED_VALUE"""),1.0)</f>
        <v>1</v>
      </c>
      <c r="N1551" s="213">
        <f>IFERROR(__xludf.DUMMYFUNCTION("""COMPUTED_VALUE"""),2.0)</f>
        <v>2</v>
      </c>
      <c r="O1551" s="213">
        <f>IFERROR(__xludf.DUMMYFUNCTION("""COMPUTED_VALUE"""),2.0)</f>
        <v>2</v>
      </c>
      <c r="P1551" s="213"/>
      <c r="Q1551" s="213"/>
      <c r="R1551" s="213"/>
      <c r="S1551" s="213"/>
      <c r="T1551" s="213"/>
      <c r="U1551" s="213"/>
      <c r="V1551" s="213"/>
      <c r="W1551" s="213"/>
      <c r="X1551" s="213"/>
      <c r="Y1551" s="213"/>
      <c r="Z1551" s="213"/>
      <c r="AA1551" s="213"/>
      <c r="AB1551" s="213"/>
      <c r="AC1551" s="213"/>
      <c r="AD1551" s="213"/>
      <c r="AE1551" s="213"/>
      <c r="AF1551" s="213"/>
      <c r="AG1551" s="213"/>
      <c r="AH1551" s="213"/>
      <c r="AI1551" s="213"/>
      <c r="AJ1551" s="213"/>
      <c r="AK1551" s="213"/>
      <c r="AL1551" s="213"/>
      <c r="AM1551" s="213"/>
      <c r="AN1551" s="213"/>
      <c r="AO1551" s="213"/>
      <c r="AP1551" s="213"/>
      <c r="AQ1551" s="213"/>
      <c r="AR1551" s="213"/>
      <c r="AS1551" s="213"/>
      <c r="AT1551" s="213"/>
      <c r="AU1551" s="213"/>
      <c r="AV1551" s="213"/>
      <c r="AW1551" s="213"/>
      <c r="AX1551" s="213"/>
      <c r="AY1551" s="213"/>
      <c r="AZ1551" s="213"/>
      <c r="BA1551" s="213"/>
      <c r="BB1551" s="213"/>
      <c r="BC1551" s="213"/>
      <c r="BD1551" s="213"/>
    </row>
    <row r="1552">
      <c r="A1552" s="213">
        <f>IFERROR(__xludf.DUMMYFUNCTION("""COMPUTED_VALUE"""),1881.0)</f>
        <v>1881</v>
      </c>
      <c r="B1552" s="213" t="str">
        <f>IFERROR(__xludf.DUMMYFUNCTION("""COMPUTED_VALUE"""),"GUILLERMO E. BILLINGHURST ")</f>
        <v>GUILLERMO E. BILLINGHURST </v>
      </c>
      <c r="C1552" s="213" t="str">
        <f>IFERROR(__xludf.DUMMYFUNCTION("""COMPUTED_VALUE"""),"TALLER SFT DE EBANISTERÍA")</f>
        <v>TALLER SFT DE EBANISTERÍA</v>
      </c>
      <c r="D1552" s="213" t="str">
        <f>IFERROR(__xludf.DUMMYFUNCTION("""COMPUTED_VALUE"""),"PEDAGOGICO")</f>
        <v>PEDAGOGICO</v>
      </c>
      <c r="E1552" s="213" t="str">
        <f>IFERROR(__xludf.DUMMYFUNCTION("""COMPUTED_VALUE"""),"MAT-370")</f>
        <v>MAT-370</v>
      </c>
      <c r="F1552" s="213" t="str">
        <f>IFERROR(__xludf.DUMMYFUNCTION("""COMPUTED_VALUE"""),"KEFF-06")</f>
        <v>KEFF-06</v>
      </c>
      <c r="G1552" s="213"/>
      <c r="H1552" s="213" t="str">
        <f>IFERROR(__xludf.DUMMYFUNCTION("""COMPUTED_VALUE"""),"MANUAL PEDAGÓGICO PARA DISEÑAR LA PROPUESTA DE VALOR UTILIZANDO LOS EQUIPOS")</f>
        <v>MANUAL PEDAGÓGICO PARA DISEÑAR LA PROPUESTA DE VALOR UTILIZANDO LOS EQUIPOS</v>
      </c>
      <c r="I155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paaginas.
Contenido que prese"&amp;"nta:
-          Información sobre análisis y diseño de propuestas de valor
-          Metodologías y técnicas para analizar y diseñar propuesta de valor.
-          Procedimientos ejemplificados de análisis y diseño de la propuesta de valor utilizando los"&amp;"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paaginas.
Contenido que presenta:
-          Información sobre análisis y diseño de propuestas de valor
-          Metodologías y técnicas para analizar y diseñar propuesta de valor.
-          Procedimientos ejemplificados de análisis y diseño de la propuesta de valor utilizando los equipos.</v>
      </c>
      <c r="J1552" s="213">
        <f>IFERROR(__xludf.DUMMYFUNCTION("""COMPUTED_VALUE"""),3.0)</f>
        <v>3</v>
      </c>
      <c r="K1552" s="213" t="str">
        <f>IFERROR(__xludf.DUMMYFUNCTION("""COMPUTED_VALUE"""),"170 DÍAS CALENDARIO")</f>
        <v>170 DÍAS CALENDARIO</v>
      </c>
      <c r="L1552" s="213" t="str">
        <f>IFERROR(__xludf.DUMMYFUNCTION("""COMPUTED_VALUE"""),"")</f>
        <v/>
      </c>
      <c r="M1552" s="213">
        <f>IFERROR(__xludf.DUMMYFUNCTION("""COMPUTED_VALUE"""),1.0)</f>
        <v>1</v>
      </c>
      <c r="N1552" s="213">
        <f>IFERROR(__xludf.DUMMYFUNCTION("""COMPUTED_VALUE"""),2.0)</f>
        <v>2</v>
      </c>
      <c r="O1552" s="213">
        <f>IFERROR(__xludf.DUMMYFUNCTION("""COMPUTED_VALUE"""),2.0)</f>
        <v>2</v>
      </c>
      <c r="P1552" s="213"/>
      <c r="Q1552" s="213"/>
      <c r="R1552" s="213"/>
      <c r="S1552" s="213"/>
      <c r="T1552" s="213"/>
      <c r="U1552" s="213"/>
      <c r="V1552" s="213"/>
      <c r="W1552" s="213"/>
      <c r="X1552" s="213"/>
      <c r="Y1552" s="213"/>
      <c r="Z1552" s="213"/>
      <c r="AA1552" s="213"/>
      <c r="AB1552" s="213"/>
      <c r="AC1552" s="213"/>
      <c r="AD1552" s="213"/>
      <c r="AE1552" s="213"/>
      <c r="AF1552" s="213"/>
      <c r="AG1552" s="213"/>
      <c r="AH1552" s="213"/>
      <c r="AI1552" s="213"/>
      <c r="AJ1552" s="213"/>
      <c r="AK1552" s="213"/>
      <c r="AL1552" s="213"/>
      <c r="AM1552" s="213"/>
      <c r="AN1552" s="213"/>
      <c r="AO1552" s="213"/>
      <c r="AP1552" s="213"/>
      <c r="AQ1552" s="213"/>
      <c r="AR1552" s="213"/>
      <c r="AS1552" s="213"/>
      <c r="AT1552" s="213"/>
      <c r="AU1552" s="213"/>
      <c r="AV1552" s="213"/>
      <c r="AW1552" s="213"/>
      <c r="AX1552" s="213"/>
      <c r="AY1552" s="213"/>
      <c r="AZ1552" s="213"/>
      <c r="BA1552" s="213"/>
      <c r="BB1552" s="213"/>
      <c r="BC1552" s="213"/>
      <c r="BD1552" s="213"/>
    </row>
    <row r="1553">
      <c r="A1553" s="213">
        <f>IFERROR(__xludf.DUMMYFUNCTION("""COMPUTED_VALUE"""),1976.0)</f>
        <v>1976</v>
      </c>
      <c r="B1553" s="213" t="str">
        <f>IFERROR(__xludf.DUMMYFUNCTION("""COMPUTED_VALUE"""),"JOSE GRANDA")</f>
        <v>JOSE GRANDA</v>
      </c>
      <c r="C1553" s="213" t="str">
        <f>IFERROR(__xludf.DUMMYFUNCTION("""COMPUTED_VALUE"""),"TALLER SFT DE COMPUTACIÓN E INFORMÁTICA")</f>
        <v>TALLER SFT DE COMPUTACIÓN E INFORMÁTICA</v>
      </c>
      <c r="D1553" s="213" t="str">
        <f>IFERROR(__xludf.DUMMYFUNCTION("""COMPUTED_VALUE"""),"PEDAGOGICO")</f>
        <v>PEDAGOGICO</v>
      </c>
      <c r="E1553" s="213" t="str">
        <f>IFERROR(__xludf.DUMMYFUNCTION("""COMPUTED_VALUE"""),"MAT-370")</f>
        <v>MAT-370</v>
      </c>
      <c r="F1553" s="213" t="str">
        <f>IFERROR(__xludf.DUMMYFUNCTION("""COMPUTED_VALUE"""),"KEFF-06")</f>
        <v>KEFF-06</v>
      </c>
      <c r="G1553" s="213"/>
      <c r="H1553" s="213" t="str">
        <f>IFERROR(__xludf.DUMMYFUNCTION("""COMPUTED_VALUE"""),"MANUAL PEDAGÓGICO PARA DISEÑAR LA PROPUESTA DE VALOR UTILIZANDO LOS EQUIPOS")</f>
        <v>MANUAL PEDAGÓGICO PARA DISEÑAR LA PROPUESTA DE VALOR UTILIZANDO LOS EQUIPOS</v>
      </c>
      <c r="I155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Información sobre anális"&amp;"is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53" s="213">
        <f>IFERROR(__xludf.DUMMYFUNCTION("""COMPUTED_VALUE"""),3.0)</f>
        <v>3</v>
      </c>
      <c r="K1553" s="213" t="str">
        <f>IFERROR(__xludf.DUMMYFUNCTION("""COMPUTED_VALUE"""),"170 DÍAS CALENDARIO")</f>
        <v>170 DÍAS CALENDARIO</v>
      </c>
      <c r="L1553" s="213" t="str">
        <f>IFERROR(__xludf.DUMMYFUNCTION("""COMPUTED_VALUE"""),"")</f>
        <v/>
      </c>
      <c r="M1553" s="213">
        <f>IFERROR(__xludf.DUMMYFUNCTION("""COMPUTED_VALUE"""),1.0)</f>
        <v>1</v>
      </c>
      <c r="N1553" s="213">
        <f>IFERROR(__xludf.DUMMYFUNCTION("""COMPUTED_VALUE"""),2.0)</f>
        <v>2</v>
      </c>
      <c r="O1553" s="213">
        <f>IFERROR(__xludf.DUMMYFUNCTION("""COMPUTED_VALUE"""),2.0)</f>
        <v>2</v>
      </c>
      <c r="P1553" s="213"/>
      <c r="Q1553" s="213"/>
      <c r="R1553" s="213"/>
      <c r="S1553" s="213"/>
      <c r="T1553" s="213"/>
      <c r="U1553" s="213"/>
      <c r="V1553" s="213"/>
      <c r="W1553" s="213"/>
      <c r="X1553" s="213"/>
      <c r="Y1553" s="213"/>
      <c r="Z1553" s="213"/>
      <c r="AA1553" s="213"/>
      <c r="AB1553" s="213"/>
      <c r="AC1553" s="213"/>
      <c r="AD1553" s="213"/>
      <c r="AE1553" s="213"/>
      <c r="AF1553" s="213"/>
      <c r="AG1553" s="213"/>
      <c r="AH1553" s="213"/>
      <c r="AI1553" s="213"/>
      <c r="AJ1553" s="213"/>
      <c r="AK1553" s="213"/>
      <c r="AL1553" s="213"/>
      <c r="AM1553" s="213"/>
      <c r="AN1553" s="213"/>
      <c r="AO1553" s="213"/>
      <c r="AP1553" s="213"/>
      <c r="AQ1553" s="213"/>
      <c r="AR1553" s="213"/>
      <c r="AS1553" s="213"/>
      <c r="AT1553" s="213"/>
      <c r="AU1553" s="213"/>
      <c r="AV1553" s="213"/>
      <c r="AW1553" s="213"/>
      <c r="AX1553" s="213"/>
      <c r="AY1553" s="213"/>
      <c r="AZ1553" s="213"/>
      <c r="BA1553" s="213"/>
      <c r="BB1553" s="213"/>
      <c r="BC1553" s="213"/>
      <c r="BD1553" s="213"/>
    </row>
    <row r="1554">
      <c r="A1554" s="213">
        <f>IFERROR(__xludf.DUMMYFUNCTION("""COMPUTED_VALUE"""),2168.0)</f>
        <v>2168</v>
      </c>
      <c r="B1554" s="213" t="str">
        <f>IFERROR(__xludf.DUMMYFUNCTION("""COMPUTED_VALUE"""),"JOSE GRANDA")</f>
        <v>JOSE GRANDA</v>
      </c>
      <c r="C1554" s="213" t="str">
        <f>IFERROR(__xludf.DUMMYFUNCTION("""COMPUTED_VALUE"""),"TALLER SFT DE INDUSTRIA ALIMENTARIA")</f>
        <v>TALLER SFT DE INDUSTRIA ALIMENTARIA</v>
      </c>
      <c r="D1554" s="213" t="str">
        <f>IFERROR(__xludf.DUMMYFUNCTION("""COMPUTED_VALUE"""),"PEDAGOGICO")</f>
        <v>PEDAGOGICO</v>
      </c>
      <c r="E1554" s="213" t="str">
        <f>IFERROR(__xludf.DUMMYFUNCTION("""COMPUTED_VALUE"""),"MAT-370")</f>
        <v>MAT-370</v>
      </c>
      <c r="F1554" s="213" t="str">
        <f>IFERROR(__xludf.DUMMYFUNCTION("""COMPUTED_VALUE"""),"KEFF-06")</f>
        <v>KEFF-06</v>
      </c>
      <c r="G1554" s="213"/>
      <c r="H1554" s="213" t="str">
        <f>IFERROR(__xludf.DUMMYFUNCTION("""COMPUTED_VALUE"""),"MANUAL PEDAGÓGICO PARA DISEÑAR LA PROPUESTA DE VALOR UTILIZANDO LOS EQUIPOS")</f>
        <v>MANUAL PEDAGÓGICO PARA DISEÑAR LA PROPUESTA DE VALOR UTILIZANDO LOS EQUIPOS</v>
      </c>
      <c r="I155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Información sobre análisi"&amp;"s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54" s="213">
        <f>IFERROR(__xludf.DUMMYFUNCTION("""COMPUTED_VALUE"""),3.0)</f>
        <v>3</v>
      </c>
      <c r="K1554" s="213" t="str">
        <f>IFERROR(__xludf.DUMMYFUNCTION("""COMPUTED_VALUE"""),"170 DÍAS CALENDARIO")</f>
        <v>170 DÍAS CALENDARIO</v>
      </c>
      <c r="L1554" s="213" t="str">
        <f>IFERROR(__xludf.DUMMYFUNCTION("""COMPUTED_VALUE"""),"")</f>
        <v/>
      </c>
      <c r="M1554" s="213">
        <f>IFERROR(__xludf.DUMMYFUNCTION("""COMPUTED_VALUE"""),1.0)</f>
        <v>1</v>
      </c>
      <c r="N1554" s="213">
        <f>IFERROR(__xludf.DUMMYFUNCTION("""COMPUTED_VALUE"""),2.0)</f>
        <v>2</v>
      </c>
      <c r="O1554" s="213">
        <f>IFERROR(__xludf.DUMMYFUNCTION("""COMPUTED_VALUE"""),2.0)</f>
        <v>2</v>
      </c>
      <c r="P1554" s="213"/>
      <c r="Q1554" s="213"/>
      <c r="R1554" s="213"/>
      <c r="S1554" s="213"/>
      <c r="T1554" s="213"/>
      <c r="U1554" s="213"/>
      <c r="V1554" s="213"/>
      <c r="W1554" s="213"/>
      <c r="X1554" s="213"/>
      <c r="Y1554" s="213"/>
      <c r="Z1554" s="213"/>
      <c r="AA1554" s="213"/>
      <c r="AB1554" s="213"/>
      <c r="AC1554" s="213"/>
      <c r="AD1554" s="213"/>
      <c r="AE1554" s="213"/>
      <c r="AF1554" s="213"/>
      <c r="AG1554" s="213"/>
      <c r="AH1554" s="213"/>
      <c r="AI1554" s="213"/>
      <c r="AJ1554" s="213"/>
      <c r="AK1554" s="213"/>
      <c r="AL1554" s="213"/>
      <c r="AM1554" s="213"/>
      <c r="AN1554" s="213"/>
      <c r="AO1554" s="213"/>
      <c r="AP1554" s="213"/>
      <c r="AQ1554" s="213"/>
      <c r="AR1554" s="213"/>
      <c r="AS1554" s="213"/>
      <c r="AT1554" s="213"/>
      <c r="AU1554" s="213"/>
      <c r="AV1554" s="213"/>
      <c r="AW1554" s="213"/>
      <c r="AX1554" s="213"/>
      <c r="AY1554" s="213"/>
      <c r="AZ1554" s="213"/>
      <c r="BA1554" s="213"/>
      <c r="BB1554" s="213"/>
      <c r="BC1554" s="213"/>
      <c r="BD1554" s="213"/>
    </row>
    <row r="1555">
      <c r="A1555" s="213">
        <f>IFERROR(__xludf.DUMMYFUNCTION("""COMPUTED_VALUE"""),2309.0)</f>
        <v>2309</v>
      </c>
      <c r="B1555" s="213" t="str">
        <f>IFERROR(__xludf.DUMMYFUNCTION("""COMPUTED_VALUE"""),"JOSE GRANDA")</f>
        <v>JOSE GRANDA</v>
      </c>
      <c r="C1555" s="213" t="str">
        <f>IFERROR(__xludf.DUMMYFUNCTION("""COMPUTED_VALUE"""),"TALLER SFT DE MECÁNICA AUTOMOTRIZ")</f>
        <v>TALLER SFT DE MECÁNICA AUTOMOTRIZ</v>
      </c>
      <c r="D1555" s="213" t="str">
        <f>IFERROR(__xludf.DUMMYFUNCTION("""COMPUTED_VALUE"""),"PEDAGOGICO")</f>
        <v>PEDAGOGICO</v>
      </c>
      <c r="E1555" s="213" t="str">
        <f>IFERROR(__xludf.DUMMYFUNCTION("""COMPUTED_VALUE"""),"MAT-370")</f>
        <v>MAT-370</v>
      </c>
      <c r="F1555" s="213" t="str">
        <f>IFERROR(__xludf.DUMMYFUNCTION("""COMPUTED_VALUE"""),"KEFF-06")</f>
        <v>KEFF-06</v>
      </c>
      <c r="G1555" s="213"/>
      <c r="H1555" s="213" t="str">
        <f>IFERROR(__xludf.DUMMYFUNCTION("""COMPUTED_VALUE"""),"MANUAL PEDAGÓGICO PARA DISEÑAR LA PROPUESTA DE VALOR UTILIZANDO LOS EQUIPOS")</f>
        <v>MANUAL PEDAGÓGICO PARA DISEÑAR LA PROPUESTA DE VALOR UTILIZANDO LOS EQUIPOS</v>
      </c>
      <c r="I155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anál"&amp;"isis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55" s="213">
        <f>IFERROR(__xludf.DUMMYFUNCTION("""COMPUTED_VALUE"""),3.0)</f>
        <v>3</v>
      </c>
      <c r="K1555" s="213" t="str">
        <f>IFERROR(__xludf.DUMMYFUNCTION("""COMPUTED_VALUE"""),"170 DÍAS CALENDARIO")</f>
        <v>170 DÍAS CALENDARIO</v>
      </c>
      <c r="L1555" s="213" t="str">
        <f>IFERROR(__xludf.DUMMYFUNCTION("""COMPUTED_VALUE"""),"")</f>
        <v/>
      </c>
      <c r="M1555" s="213">
        <f>IFERROR(__xludf.DUMMYFUNCTION("""COMPUTED_VALUE"""),1.0)</f>
        <v>1</v>
      </c>
      <c r="N1555" s="213">
        <f>IFERROR(__xludf.DUMMYFUNCTION("""COMPUTED_VALUE"""),2.0)</f>
        <v>2</v>
      </c>
      <c r="O1555" s="213">
        <f>IFERROR(__xludf.DUMMYFUNCTION("""COMPUTED_VALUE"""),2.0)</f>
        <v>2</v>
      </c>
      <c r="P1555" s="213"/>
      <c r="Q1555" s="213"/>
      <c r="R1555" s="213"/>
      <c r="S1555" s="213"/>
      <c r="T1555" s="213"/>
      <c r="U1555" s="213"/>
      <c r="V1555" s="213"/>
      <c r="W1555" s="213"/>
      <c r="X1555" s="213"/>
      <c r="Y1555" s="213"/>
      <c r="Z1555" s="213"/>
      <c r="AA1555" s="213"/>
      <c r="AB1555" s="213"/>
      <c r="AC1555" s="213"/>
      <c r="AD1555" s="213"/>
      <c r="AE1555" s="213"/>
      <c r="AF1555" s="213"/>
      <c r="AG1555" s="213"/>
      <c r="AH1555" s="213"/>
      <c r="AI1555" s="213"/>
      <c r="AJ1555" s="213"/>
      <c r="AK1555" s="213"/>
      <c r="AL1555" s="213"/>
      <c r="AM1555" s="213"/>
      <c r="AN1555" s="213"/>
      <c r="AO1555" s="213"/>
      <c r="AP1555" s="213"/>
      <c r="AQ1555" s="213"/>
      <c r="AR1555" s="213"/>
      <c r="AS1555" s="213"/>
      <c r="AT1555" s="213"/>
      <c r="AU1555" s="213"/>
      <c r="AV1555" s="213"/>
      <c r="AW1555" s="213"/>
      <c r="AX1555" s="213"/>
      <c r="AY1555" s="213"/>
      <c r="AZ1555" s="213"/>
      <c r="BA1555" s="213"/>
      <c r="BB1555" s="213"/>
      <c r="BC1555" s="213"/>
      <c r="BD1555" s="213"/>
    </row>
    <row r="1556">
      <c r="A1556" s="213">
        <f>IFERROR(__xludf.DUMMYFUNCTION("""COMPUTED_VALUE"""),2437.0)</f>
        <v>2437</v>
      </c>
      <c r="B1556" s="213" t="str">
        <f>IFERROR(__xludf.DUMMYFUNCTION("""COMPUTED_VALUE"""),"MANUEL ANTONIO MESONES MURO")</f>
        <v>MANUEL ANTONIO MESONES MURO</v>
      </c>
      <c r="C1556" s="213" t="str">
        <f>IFERROR(__xludf.DUMMYFUNCTION("""COMPUTED_VALUE"""),"TALLER SFT DE INDUSTRIA DEL VESTIDO")</f>
        <v>TALLER SFT DE INDUSTRIA DEL VESTIDO</v>
      </c>
      <c r="D1556" s="213" t="str">
        <f>IFERROR(__xludf.DUMMYFUNCTION("""COMPUTED_VALUE"""),"PEDAGOGICO")</f>
        <v>PEDAGOGICO</v>
      </c>
      <c r="E1556" s="213" t="str">
        <f>IFERROR(__xludf.DUMMYFUNCTION("""COMPUTED_VALUE"""),"MAT-370")</f>
        <v>MAT-370</v>
      </c>
      <c r="F1556" s="213" t="str">
        <f>IFERROR(__xludf.DUMMYFUNCTION("""COMPUTED_VALUE"""),"KEFF-06")</f>
        <v>KEFF-06</v>
      </c>
      <c r="G1556" s="213"/>
      <c r="H1556" s="213" t="str">
        <f>IFERROR(__xludf.DUMMYFUNCTION("""COMPUTED_VALUE"""),"MANUAL PEDAGÓGICO PARA DISEÑAR LA PROPUESTA DE VALOR UTILIZANDO LOS EQUIPOS")</f>
        <v>MANUAL PEDAGÓGICO PARA DISEÑAR LA PROPUESTA DE VALOR UTILIZANDO LOS EQUIPOS</v>
      </c>
      <c r="I155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Información sobre anális"&amp;"is y diseño de propuestas de valor
- Metodologías y técnicas para analizar y diseñar propuesta de valor.
- Procedimientos ejemplificados de análisis y diseño de la propuesta de valor utilizando los equipos.
- Fichas de trabajo para el estudiante.")</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análisis y diseño de propuestas de valor
- Metodologías y técnicas para analizar y diseñar propuesta de valor.
- Procedimientos ejemplificados de análisis y diseño de la propuesta de valor utilizando los equipos.
- Fichas de trabajo para el estudiante.</v>
      </c>
      <c r="J1556" s="213">
        <f>IFERROR(__xludf.DUMMYFUNCTION("""COMPUTED_VALUE"""),3.0)</f>
        <v>3</v>
      </c>
      <c r="K1556" s="213" t="str">
        <f>IFERROR(__xludf.DUMMYFUNCTION("""COMPUTED_VALUE"""),"170 DÍAS CALENDARIO")</f>
        <v>170 DÍAS CALENDARIO</v>
      </c>
      <c r="L1556" s="213" t="str">
        <f>IFERROR(__xludf.DUMMYFUNCTION("""COMPUTED_VALUE"""),"")</f>
        <v/>
      </c>
      <c r="M1556" s="213">
        <f>IFERROR(__xludf.DUMMYFUNCTION("""COMPUTED_VALUE"""),1.0)</f>
        <v>1</v>
      </c>
      <c r="N1556" s="213">
        <f>IFERROR(__xludf.DUMMYFUNCTION("""COMPUTED_VALUE"""),2.0)</f>
        <v>2</v>
      </c>
      <c r="O1556" s="213">
        <f>IFERROR(__xludf.DUMMYFUNCTION("""COMPUTED_VALUE"""),2.0)</f>
        <v>2</v>
      </c>
      <c r="P1556" s="213"/>
      <c r="Q1556" s="213"/>
      <c r="R1556" s="213"/>
      <c r="S1556" s="213"/>
      <c r="T1556" s="213"/>
      <c r="U1556" s="213"/>
      <c r="V1556" s="213"/>
      <c r="W1556" s="213"/>
      <c r="X1556" s="213"/>
      <c r="Y1556" s="213"/>
      <c r="Z1556" s="213"/>
      <c r="AA1556" s="213"/>
      <c r="AB1556" s="213"/>
      <c r="AC1556" s="213"/>
      <c r="AD1556" s="213"/>
      <c r="AE1556" s="213"/>
      <c r="AF1556" s="213"/>
      <c r="AG1556" s="213"/>
      <c r="AH1556" s="213"/>
      <c r="AI1556" s="213"/>
      <c r="AJ1556" s="213"/>
      <c r="AK1556" s="213"/>
      <c r="AL1556" s="213"/>
      <c r="AM1556" s="213"/>
      <c r="AN1556" s="213"/>
      <c r="AO1556" s="213"/>
      <c r="AP1556" s="213"/>
      <c r="AQ1556" s="213"/>
      <c r="AR1556" s="213"/>
      <c r="AS1556" s="213"/>
      <c r="AT1556" s="213"/>
      <c r="AU1556" s="213"/>
      <c r="AV1556" s="213"/>
      <c r="AW1556" s="213"/>
      <c r="AX1556" s="213"/>
      <c r="AY1556" s="213"/>
      <c r="AZ1556" s="213"/>
      <c r="BA1556" s="213"/>
      <c r="BB1556" s="213"/>
      <c r="BC1556" s="213"/>
      <c r="BD1556" s="213"/>
    </row>
    <row r="1557">
      <c r="A1557" s="213">
        <f>IFERROR(__xludf.DUMMYFUNCTION("""COMPUTED_VALUE"""),2662.0)</f>
        <v>2662</v>
      </c>
      <c r="B1557" s="213" t="str">
        <f>IFERROR(__xludf.DUMMYFUNCTION("""COMPUTED_VALUE"""),"MANUEL ANTONIO MESONES MURO")</f>
        <v>MANUEL ANTONIO MESONES MURO</v>
      </c>
      <c r="C1557" s="213" t="str">
        <f>IFERROR(__xludf.DUMMYFUNCTION("""COMPUTED_VALUE"""),"TALLER SFT DE EBANISTERÍA")</f>
        <v>TALLER SFT DE EBANISTERÍA</v>
      </c>
      <c r="D1557" s="213" t="str">
        <f>IFERROR(__xludf.DUMMYFUNCTION("""COMPUTED_VALUE"""),"PEDAGOGICO")</f>
        <v>PEDAGOGICO</v>
      </c>
      <c r="E1557" s="213" t="str">
        <f>IFERROR(__xludf.DUMMYFUNCTION("""COMPUTED_VALUE"""),"MAT-370")</f>
        <v>MAT-370</v>
      </c>
      <c r="F1557" s="213" t="str">
        <f>IFERROR(__xludf.DUMMYFUNCTION("""COMPUTED_VALUE"""),"KEFF-06")</f>
        <v>KEFF-06</v>
      </c>
      <c r="G1557" s="213"/>
      <c r="H1557" s="213" t="str">
        <f>IFERROR(__xludf.DUMMYFUNCTION("""COMPUTED_VALUE"""),"MANUAL PEDAGÓGICO PARA DISEÑAR LA PROPUESTA DE VALOR UTILIZANDO LOS EQUIPOS")</f>
        <v>MANUAL PEDAGÓGICO PARA DISEÑAR LA PROPUESTA DE VALOR UTILIZANDO LOS EQUIPOS</v>
      </c>
      <c r="I155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g"&amp;"ramos o papel bond de 75 gramos de 80% de blancura como mínimo.
·       Tamaño: como mínimo 21 cm x 29,7 cm
·       Tipo de Encuadernación: caballete con 2 grapas cuando sea menos de 80 páginas y encolado cuando sea más de 80 paaginas.
Contenido que prese"&amp;"nta:
-          Información sobre análisis y diseño de propuestas de valor
-          Metodologías y técnicas para analizar y diseñar propuesta de valor.
-          Procedimientos ejemplificados de análisis y diseño de la propuesta de valor utilizando los"&amp;"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paaginas.
Contenido que presenta:
-          Información sobre análisis y diseño de propuestas de valor
-          Metodologías y técnicas para analizar y diseñar propuesta de valor.
-          Procedimientos ejemplificados de análisis y diseño de la propuesta de valor utilizando los equipos.</v>
      </c>
      <c r="J1557" s="213">
        <f>IFERROR(__xludf.DUMMYFUNCTION("""COMPUTED_VALUE"""),3.0)</f>
        <v>3</v>
      </c>
      <c r="K1557" s="213" t="str">
        <f>IFERROR(__xludf.DUMMYFUNCTION("""COMPUTED_VALUE"""),"170 DÍAS CALENDARIO")</f>
        <v>170 DÍAS CALENDARIO</v>
      </c>
      <c r="L1557" s="213" t="str">
        <f>IFERROR(__xludf.DUMMYFUNCTION("""COMPUTED_VALUE"""),"")</f>
        <v/>
      </c>
      <c r="M1557" s="213">
        <f>IFERROR(__xludf.DUMMYFUNCTION("""COMPUTED_VALUE"""),1.0)</f>
        <v>1</v>
      </c>
      <c r="N1557" s="213">
        <f>IFERROR(__xludf.DUMMYFUNCTION("""COMPUTED_VALUE"""),2.0)</f>
        <v>2</v>
      </c>
      <c r="O1557" s="213">
        <f>IFERROR(__xludf.DUMMYFUNCTION("""COMPUTED_VALUE"""),2.0)</f>
        <v>2</v>
      </c>
      <c r="P1557" s="213"/>
      <c r="Q1557" s="213"/>
      <c r="R1557" s="213"/>
      <c r="S1557" s="213"/>
      <c r="T1557" s="213"/>
      <c r="U1557" s="213"/>
      <c r="V1557" s="213"/>
      <c r="W1557" s="213"/>
      <c r="X1557" s="213"/>
      <c r="Y1557" s="213"/>
      <c r="Z1557" s="213"/>
      <c r="AA1557" s="213"/>
      <c r="AB1557" s="213"/>
      <c r="AC1557" s="213"/>
      <c r="AD1557" s="213"/>
      <c r="AE1557" s="213"/>
      <c r="AF1557" s="213"/>
      <c r="AG1557" s="213"/>
      <c r="AH1557" s="213"/>
      <c r="AI1557" s="213"/>
      <c r="AJ1557" s="213"/>
      <c r="AK1557" s="213"/>
      <c r="AL1557" s="213"/>
      <c r="AM1557" s="213"/>
      <c r="AN1557" s="213"/>
      <c r="AO1557" s="213"/>
      <c r="AP1557" s="213"/>
      <c r="AQ1557" s="213"/>
      <c r="AR1557" s="213"/>
      <c r="AS1557" s="213"/>
      <c r="AT1557" s="213"/>
      <c r="AU1557" s="213"/>
      <c r="AV1557" s="213"/>
      <c r="AW1557" s="213"/>
      <c r="AX1557" s="213"/>
      <c r="AY1557" s="213"/>
      <c r="AZ1557" s="213"/>
      <c r="BA1557" s="213"/>
      <c r="BB1557" s="213"/>
      <c r="BC1557" s="213"/>
      <c r="BD1557" s="213"/>
    </row>
    <row r="1558">
      <c r="A1558" s="213">
        <f>IFERROR(__xludf.DUMMYFUNCTION("""COMPUTED_VALUE"""),683.0)</f>
        <v>683</v>
      </c>
      <c r="B1558" s="213" t="str">
        <f>IFERROR(__xludf.DUMMYFUNCTION("""COMPUTED_VALUE"""),"6049 RICARDO PALMA")</f>
        <v>6049 RICARDO PALMA</v>
      </c>
      <c r="C1558" s="213" t="str">
        <f>IFERROR(__xludf.DUMMYFUNCTION("""COMPUTED_VALUE"""),"TALLER SFT DE ELECTRÓNICA")</f>
        <v>TALLER SFT DE ELECTRÓNICA</v>
      </c>
      <c r="D1558" s="213" t="str">
        <f>IFERROR(__xludf.DUMMYFUNCTION("""COMPUTED_VALUE"""),"PEDAGOGICO")</f>
        <v>PEDAGOGICO</v>
      </c>
      <c r="E1558" s="213" t="str">
        <f>IFERROR(__xludf.DUMMYFUNCTION("""COMPUTED_VALUE"""),"MAT-371")</f>
        <v>MAT-371</v>
      </c>
      <c r="F1558" s="213" t="str">
        <f>IFERROR(__xludf.DUMMYFUNCTION("""COMPUTED_VALUE"""),"KEFF-64")</f>
        <v>KEFF-64</v>
      </c>
      <c r="G1558" s="213"/>
      <c r="H1558" s="213" t="str">
        <f>IFERROR(__xludf.DUMMYFUNCTION("""COMPUTED_VALUE"""),"MANUAL PEDAGÓGICO PARA EL DESARROLLO DE PROYECTOS CON PLATAFORMA ELECTRÓNICA DE CÓDIGO ABIERTO")</f>
        <v>MANUAL PEDAGÓGICO PARA EL DESARROLLO DE PROYECTOS CON PLATAFORMA ELECTRÓNICA DE CÓDIGO ABIERTO</v>
      </c>
      <c r="I155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Información sobre los kit"&amp;" de electrónica.
· Metodologías y técnicas para desarrollar pedagógicamente el uso de kit y módulo de
· electrónica.")</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Información sobre los kit de electrónica.
· Metodologías y técnicas para desarrollar pedagógicamente el uso de kit y módulo de
· electrónica.</v>
      </c>
      <c r="J1558" s="213">
        <f>IFERROR(__xludf.DUMMYFUNCTION("""COMPUTED_VALUE"""),3.0)</f>
        <v>3</v>
      </c>
      <c r="K1558" s="213" t="str">
        <f>IFERROR(__xludf.DUMMYFUNCTION("""COMPUTED_VALUE"""),"170 DÍAS CALENDARIO")</f>
        <v>170 DÍAS CALENDARIO</v>
      </c>
      <c r="L1558" s="213" t="str">
        <f>IFERROR(__xludf.DUMMYFUNCTION("""COMPUTED_VALUE"""),"")</f>
        <v/>
      </c>
      <c r="M1558" s="213">
        <f>IFERROR(__xludf.DUMMYFUNCTION("""COMPUTED_VALUE"""),1.0)</f>
        <v>1</v>
      </c>
      <c r="N1558" s="213">
        <f>IFERROR(__xludf.DUMMYFUNCTION("""COMPUTED_VALUE"""),2.0)</f>
        <v>2</v>
      </c>
      <c r="O1558" s="213">
        <f>IFERROR(__xludf.DUMMYFUNCTION("""COMPUTED_VALUE"""),2.0)</f>
        <v>2</v>
      </c>
      <c r="P1558" s="213"/>
      <c r="Q1558" s="213"/>
      <c r="R1558" s="213"/>
      <c r="S1558" s="213"/>
      <c r="T1558" s="213"/>
      <c r="U1558" s="213"/>
      <c r="V1558" s="213"/>
      <c r="W1558" s="213"/>
      <c r="X1558" s="213"/>
      <c r="Y1558" s="213"/>
      <c r="Z1558" s="213"/>
      <c r="AA1558" s="213"/>
      <c r="AB1558" s="213"/>
      <c r="AC1558" s="213"/>
      <c r="AD1558" s="213"/>
      <c r="AE1558" s="213"/>
      <c r="AF1558" s="213"/>
      <c r="AG1558" s="213"/>
      <c r="AH1558" s="213"/>
      <c r="AI1558" s="213"/>
      <c r="AJ1558" s="213"/>
      <c r="AK1558" s="213"/>
      <c r="AL1558" s="213"/>
      <c r="AM1558" s="213"/>
      <c r="AN1558" s="213"/>
      <c r="AO1558" s="213"/>
      <c r="AP1558" s="213"/>
      <c r="AQ1558" s="213"/>
      <c r="AR1558" s="213"/>
      <c r="AS1558" s="213">
        <f>IFERROR(__xludf.DUMMYFUNCTION("""COMPUTED_VALUE"""),0.0)</f>
        <v>0</v>
      </c>
      <c r="AT1558" s="213"/>
      <c r="AU1558" s="213"/>
      <c r="AV1558" s="213"/>
      <c r="AW1558" s="213"/>
      <c r="AX1558" s="213"/>
      <c r="AY1558" s="213"/>
      <c r="AZ1558" s="213"/>
      <c r="BA1558" s="213"/>
      <c r="BB1558" s="213"/>
      <c r="BC1558" s="213"/>
      <c r="BD1558" s="213"/>
    </row>
    <row r="1559">
      <c r="A1559" s="213">
        <f>IFERROR(__xludf.DUMMYFUNCTION("""COMPUTED_VALUE"""),672.0)</f>
        <v>672</v>
      </c>
      <c r="B1559" s="213" t="str">
        <f>IFERROR(__xludf.DUMMYFUNCTION("""COMPUTED_VALUE"""),"6049 RICARDO PALMA")</f>
        <v>6049 RICARDO PALMA</v>
      </c>
      <c r="C1559" s="213" t="str">
        <f>IFERROR(__xludf.DUMMYFUNCTION("""COMPUTED_VALUE"""),"TALLER SFT DE ELECTRÓNICA")</f>
        <v>TALLER SFT DE ELECTRÓNICA</v>
      </c>
      <c r="D1559" s="213" t="str">
        <f>IFERROR(__xludf.DUMMYFUNCTION("""COMPUTED_VALUE"""),"PEDAGOGICO")</f>
        <v>PEDAGOGICO</v>
      </c>
      <c r="E1559" s="213" t="str">
        <f>IFERROR(__xludf.DUMMYFUNCTION("""COMPUTED_VALUE"""),"MAT-373")</f>
        <v>MAT-373</v>
      </c>
      <c r="F1559" s="213" t="str">
        <f>IFERROR(__xludf.DUMMYFUNCTION("""COMPUTED_VALUE"""),"KEFF-58")</f>
        <v>KEFF-58</v>
      </c>
      <c r="G1559" s="213"/>
      <c r="H1559" s="213" t="str">
        <f>IFERROR(__xludf.DUMMYFUNCTION("""COMPUTED_VALUE"""),"MANUAL PEDAGÓGICO PARA EL USO DE LOS EQUIPOS DE ELECTRICIDAD (OSCILOSCOPIO, FRECUENCÍMETRO, ETC")</f>
        <v>MANUAL PEDAGÓGICO PARA EL USO DE LOS EQUIPOS DE ELECTRICIDAD (OSCILOSCOPIO, FRECUENCÍMETRO, ETC</v>
      </c>
      <c r="I155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los "&amp;"equipos electrónicos
- Metodologías y técnicas para desarrollar pedagógicamente el uso de los equipos electrónicos")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los equipos electrónicos
- Metodologías y técnicas para desarrollar pedagógicamente el uso de los equipos electrónicos</v>
      </c>
      <c r="J1559" s="213">
        <f>IFERROR(__xludf.DUMMYFUNCTION("""COMPUTED_VALUE"""),3.0)</f>
        <v>3</v>
      </c>
      <c r="K1559" s="213" t="str">
        <f>IFERROR(__xludf.DUMMYFUNCTION("""COMPUTED_VALUE"""),"170 DÍAS CALENDARIO")</f>
        <v>170 DÍAS CALENDARIO</v>
      </c>
      <c r="L1559" s="213" t="str">
        <f>IFERROR(__xludf.DUMMYFUNCTION("""COMPUTED_VALUE"""),"")</f>
        <v/>
      </c>
      <c r="M1559" s="213">
        <f>IFERROR(__xludf.DUMMYFUNCTION("""COMPUTED_VALUE"""),1.0)</f>
        <v>1</v>
      </c>
      <c r="N1559" s="213">
        <f>IFERROR(__xludf.DUMMYFUNCTION("""COMPUTED_VALUE"""),2.0)</f>
        <v>2</v>
      </c>
      <c r="O1559" s="213">
        <f>IFERROR(__xludf.DUMMYFUNCTION("""COMPUTED_VALUE"""),2.0)</f>
        <v>2</v>
      </c>
      <c r="P1559" s="213"/>
      <c r="Q1559" s="213"/>
      <c r="R1559" s="213"/>
      <c r="S1559" s="213"/>
      <c r="T1559" s="213"/>
      <c r="U1559" s="213"/>
      <c r="V1559" s="213"/>
      <c r="W1559" s="213"/>
      <c r="X1559" s="213"/>
      <c r="Y1559" s="213"/>
      <c r="Z1559" s="213"/>
      <c r="AA1559" s="213"/>
      <c r="AB1559" s="213"/>
      <c r="AC1559" s="213"/>
      <c r="AD1559" s="213"/>
      <c r="AE1559" s="213"/>
      <c r="AF1559" s="213"/>
      <c r="AG1559" s="213"/>
      <c r="AH1559" s="213"/>
      <c r="AI1559" s="213"/>
      <c r="AJ1559" s="213"/>
      <c r="AK1559" s="213"/>
      <c r="AL1559" s="213"/>
      <c r="AM1559" s="213"/>
      <c r="AN1559" s="213"/>
      <c r="AO1559" s="213"/>
      <c r="AP1559" s="213"/>
      <c r="AQ1559" s="213"/>
      <c r="AR1559" s="213"/>
      <c r="AS1559" s="213">
        <f>IFERROR(__xludf.DUMMYFUNCTION("""COMPUTED_VALUE"""),0.0)</f>
        <v>0</v>
      </c>
      <c r="AT1559" s="213"/>
      <c r="AU1559" s="213"/>
      <c r="AV1559" s="213"/>
      <c r="AW1559" s="213"/>
      <c r="AX1559" s="213"/>
      <c r="AY1559" s="213"/>
      <c r="AZ1559" s="213"/>
      <c r="BA1559" s="213"/>
      <c r="BB1559" s="213"/>
      <c r="BC1559" s="213"/>
      <c r="BD1559" s="213"/>
    </row>
    <row r="1560">
      <c r="A1560" s="213">
        <f>IFERROR(__xludf.DUMMYFUNCTION("""COMPUTED_VALUE"""),677.0)</f>
        <v>677</v>
      </c>
      <c r="B1560" s="213" t="str">
        <f>IFERROR(__xludf.DUMMYFUNCTION("""COMPUTED_VALUE"""),"6049 RICARDO PALMA")</f>
        <v>6049 RICARDO PALMA</v>
      </c>
      <c r="C1560" s="213" t="str">
        <f>IFERROR(__xludf.DUMMYFUNCTION("""COMPUTED_VALUE"""),"TALLER SFT DE ELECTRÓNICA")</f>
        <v>TALLER SFT DE ELECTRÓNICA</v>
      </c>
      <c r="D1560" s="213" t="str">
        <f>IFERROR(__xludf.DUMMYFUNCTION("""COMPUTED_VALUE"""),"PEDAGOGICO")</f>
        <v>PEDAGOGICO</v>
      </c>
      <c r="E1560" s="213" t="str">
        <f>IFERROR(__xludf.DUMMYFUNCTION("""COMPUTED_VALUE"""),"MAT-373")</f>
        <v>MAT-373</v>
      </c>
      <c r="F1560" s="213" t="str">
        <f>IFERROR(__xludf.DUMMYFUNCTION("""COMPUTED_VALUE"""),"KEFF-61")</f>
        <v>KEFF-61</v>
      </c>
      <c r="G1560" s="213"/>
      <c r="H1560" s="213" t="str">
        <f>IFERROR(__xludf.DUMMYFUNCTION("""COMPUTED_VALUE"""),"MANUAL PEDAGÓGICO PARA EL USO DE LOS EQUIPOS")</f>
        <v>MANUAL PEDAGÓGICO PARA EL USO DE LOS EQUIPOS</v>
      </c>
      <c r="I156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los "&amp;"equipos electrónicos
- Metodologías y técnicas para desarrollar pedagógicamente el uso de los equipos electrónicos")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los equipos electrónicos
- Metodologías y técnicas para desarrollar pedagógicamente el uso de los equipos electrónicos</v>
      </c>
      <c r="J1560" s="213">
        <f>IFERROR(__xludf.DUMMYFUNCTION("""COMPUTED_VALUE"""),3.0)</f>
        <v>3</v>
      </c>
      <c r="K1560" s="213" t="str">
        <f>IFERROR(__xludf.DUMMYFUNCTION("""COMPUTED_VALUE"""),"170 DÍAS CALENDARIO")</f>
        <v>170 DÍAS CALENDARIO</v>
      </c>
      <c r="L1560" s="213" t="str">
        <f>IFERROR(__xludf.DUMMYFUNCTION("""COMPUTED_VALUE"""),"")</f>
        <v/>
      </c>
      <c r="M1560" s="213">
        <f>IFERROR(__xludf.DUMMYFUNCTION("""COMPUTED_VALUE"""),1.0)</f>
        <v>1</v>
      </c>
      <c r="N1560" s="213">
        <f>IFERROR(__xludf.DUMMYFUNCTION("""COMPUTED_VALUE"""),2.0)</f>
        <v>2</v>
      </c>
      <c r="O1560" s="213">
        <f>IFERROR(__xludf.DUMMYFUNCTION("""COMPUTED_VALUE"""),2.0)</f>
        <v>2</v>
      </c>
      <c r="P1560" s="213"/>
      <c r="Q1560" s="213"/>
      <c r="R1560" s="213"/>
      <c r="S1560" s="213"/>
      <c r="T1560" s="213"/>
      <c r="U1560" s="213"/>
      <c r="V1560" s="213"/>
      <c r="W1560" s="213"/>
      <c r="X1560" s="213"/>
      <c r="Y1560" s="213"/>
      <c r="Z1560" s="213"/>
      <c r="AA1560" s="213"/>
      <c r="AB1560" s="213"/>
      <c r="AC1560" s="213"/>
      <c r="AD1560" s="213"/>
      <c r="AE1560" s="213"/>
      <c r="AF1560" s="213"/>
      <c r="AG1560" s="213"/>
      <c r="AH1560" s="213"/>
      <c r="AI1560" s="213"/>
      <c r="AJ1560" s="213"/>
      <c r="AK1560" s="213"/>
      <c r="AL1560" s="213"/>
      <c r="AM1560" s="213"/>
      <c r="AN1560" s="213"/>
      <c r="AO1560" s="213"/>
      <c r="AP1560" s="213"/>
      <c r="AQ1560" s="213"/>
      <c r="AR1560" s="213"/>
      <c r="AS1560" s="213">
        <f>IFERROR(__xludf.DUMMYFUNCTION("""COMPUTED_VALUE"""),0.0)</f>
        <v>0</v>
      </c>
      <c r="AT1560" s="213"/>
      <c r="AU1560" s="213"/>
      <c r="AV1560" s="213"/>
      <c r="AW1560" s="213"/>
      <c r="AX1560" s="213"/>
      <c r="AY1560" s="213"/>
      <c r="AZ1560" s="213"/>
      <c r="BA1560" s="213"/>
      <c r="BB1560" s="213"/>
      <c r="BC1560" s="213"/>
      <c r="BD1560" s="213"/>
    </row>
    <row r="1561">
      <c r="A1561" s="213">
        <f>IFERROR(__xludf.DUMMYFUNCTION("""COMPUTED_VALUE"""),689.0)</f>
        <v>689</v>
      </c>
      <c r="B1561" s="213" t="str">
        <f>IFERROR(__xludf.DUMMYFUNCTION("""COMPUTED_VALUE"""),"6049 RICARDO PALMA")</f>
        <v>6049 RICARDO PALMA</v>
      </c>
      <c r="C1561" s="213" t="str">
        <f>IFERROR(__xludf.DUMMYFUNCTION("""COMPUTED_VALUE"""),"TALLER SFT DE ELECTRÓNICA")</f>
        <v>TALLER SFT DE ELECTRÓNICA</v>
      </c>
      <c r="D1561" s="213" t="str">
        <f>IFERROR(__xludf.DUMMYFUNCTION("""COMPUTED_VALUE"""),"PEDAGOGICO")</f>
        <v>PEDAGOGICO</v>
      </c>
      <c r="E1561" s="213" t="str">
        <f>IFERROR(__xludf.DUMMYFUNCTION("""COMPUTED_VALUE"""),"MAT-373")</f>
        <v>MAT-373</v>
      </c>
      <c r="F1561" s="213" t="str">
        <f>IFERROR(__xludf.DUMMYFUNCTION("""COMPUTED_VALUE"""),"KEFF-67")</f>
        <v>KEFF-67</v>
      </c>
      <c r="G1561" s="213"/>
      <c r="H1561" s="213" t="str">
        <f>IFERROR(__xludf.DUMMYFUNCTION("""COMPUTED_VALUE"""),"MANUAL PEDAGÓGICO PARA EL USO DE LOS EQUIPOS")</f>
        <v>MANUAL PEDAGÓGICO PARA EL USO DE LOS EQUIPOS</v>
      </c>
      <c r="I156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los "&amp;"equipos electrónicos
- Metodologías y técnicas para desarrollar pedagógicamente el uso de los equipos electrónicos")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los equipos electrónicos
- Metodologías y técnicas para desarrollar pedagógicamente el uso de los equipos electrónicos</v>
      </c>
      <c r="J1561" s="213">
        <f>IFERROR(__xludf.DUMMYFUNCTION("""COMPUTED_VALUE"""),3.0)</f>
        <v>3</v>
      </c>
      <c r="K1561" s="213" t="str">
        <f>IFERROR(__xludf.DUMMYFUNCTION("""COMPUTED_VALUE"""),"170 DÍAS CALENDARIO")</f>
        <v>170 DÍAS CALENDARIO</v>
      </c>
      <c r="L1561" s="213" t="str">
        <f>IFERROR(__xludf.DUMMYFUNCTION("""COMPUTED_VALUE"""),"")</f>
        <v/>
      </c>
      <c r="M1561" s="213">
        <f>IFERROR(__xludf.DUMMYFUNCTION("""COMPUTED_VALUE"""),1.0)</f>
        <v>1</v>
      </c>
      <c r="N1561" s="213">
        <f>IFERROR(__xludf.DUMMYFUNCTION("""COMPUTED_VALUE"""),2.0)</f>
        <v>2</v>
      </c>
      <c r="O1561" s="213">
        <f>IFERROR(__xludf.DUMMYFUNCTION("""COMPUTED_VALUE"""),2.0)</f>
        <v>2</v>
      </c>
      <c r="P1561" s="213"/>
      <c r="Q1561" s="213"/>
      <c r="R1561" s="213"/>
      <c r="S1561" s="213"/>
      <c r="T1561" s="213"/>
      <c r="U1561" s="213"/>
      <c r="V1561" s="213"/>
      <c r="W1561" s="213"/>
      <c r="X1561" s="213"/>
      <c r="Y1561" s="213"/>
      <c r="Z1561" s="213"/>
      <c r="AA1561" s="213"/>
      <c r="AB1561" s="213"/>
      <c r="AC1561" s="213"/>
      <c r="AD1561" s="213"/>
      <c r="AE1561" s="213"/>
      <c r="AF1561" s="213"/>
      <c r="AG1561" s="213"/>
      <c r="AH1561" s="213"/>
      <c r="AI1561" s="213"/>
      <c r="AJ1561" s="213"/>
      <c r="AK1561" s="213"/>
      <c r="AL1561" s="213"/>
      <c r="AM1561" s="213"/>
      <c r="AN1561" s="213"/>
      <c r="AO1561" s="213"/>
      <c r="AP1561" s="213"/>
      <c r="AQ1561" s="213"/>
      <c r="AR1561" s="213"/>
      <c r="AS1561" s="213">
        <f>IFERROR(__xludf.DUMMYFUNCTION("""COMPUTED_VALUE"""),0.0)</f>
        <v>0</v>
      </c>
      <c r="AT1561" s="213"/>
      <c r="AU1561" s="213"/>
      <c r="AV1561" s="213"/>
      <c r="AW1561" s="213"/>
      <c r="AX1561" s="213"/>
      <c r="AY1561" s="213"/>
      <c r="AZ1561" s="213"/>
      <c r="BA1561" s="213"/>
      <c r="BB1561" s="213"/>
      <c r="BC1561" s="213"/>
      <c r="BD1561" s="213"/>
    </row>
    <row r="1562">
      <c r="A1562" s="213">
        <f>IFERROR(__xludf.DUMMYFUNCTION("""COMPUTED_VALUE"""),715.0)</f>
        <v>715</v>
      </c>
      <c r="B1562" s="213" t="str">
        <f>IFERROR(__xludf.DUMMYFUNCTION("""COMPUTED_VALUE"""),"6049 RICARDO PALMA")</f>
        <v>6049 RICARDO PALMA</v>
      </c>
      <c r="C1562" s="213" t="str">
        <f>IFERROR(__xludf.DUMMYFUNCTION("""COMPUTED_VALUE"""),"TALLER SFT DE ELECTRÓNICA")</f>
        <v>TALLER SFT DE ELECTRÓNICA</v>
      </c>
      <c r="D1562" s="213" t="str">
        <f>IFERROR(__xludf.DUMMYFUNCTION("""COMPUTED_VALUE"""),"PEDAGOGICO")</f>
        <v>PEDAGOGICO</v>
      </c>
      <c r="E1562" s="213" t="str">
        <f>IFERROR(__xludf.DUMMYFUNCTION("""COMPUTED_VALUE"""),"MAT-373")</f>
        <v>MAT-373</v>
      </c>
      <c r="F1562" s="213" t="str">
        <f>IFERROR(__xludf.DUMMYFUNCTION("""COMPUTED_VALUE"""),"KEFF-70")</f>
        <v>KEFF-70</v>
      </c>
      <c r="G1562" s="213"/>
      <c r="H1562" s="213" t="str">
        <f>IFERROR(__xludf.DUMMYFUNCTION("""COMPUTED_VALUE"""),"MANUAL PEDAGÓGICO PARA EL USO DE LOS EQUIPOS")</f>
        <v>MANUAL PEDAGÓGICO PARA EL USO DE LOS EQUIPOS</v>
      </c>
      <c r="I156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los "&amp;"equipos electrónicos
- Metodologías y técnicas para desarrollar pedagógicamente el uso de los equipos electrónicos")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los equipos electrónicos
- Metodologías y técnicas para desarrollar pedagógicamente el uso de los equipos electrónicos</v>
      </c>
      <c r="J1562" s="213">
        <f>IFERROR(__xludf.DUMMYFUNCTION("""COMPUTED_VALUE"""),3.0)</f>
        <v>3</v>
      </c>
      <c r="K1562" s="213" t="str">
        <f>IFERROR(__xludf.DUMMYFUNCTION("""COMPUTED_VALUE"""),"170 DÍAS CALENDARIO")</f>
        <v>170 DÍAS CALENDARIO</v>
      </c>
      <c r="L1562" s="213" t="str">
        <f>IFERROR(__xludf.DUMMYFUNCTION("""COMPUTED_VALUE"""),"")</f>
        <v/>
      </c>
      <c r="M1562" s="213">
        <f>IFERROR(__xludf.DUMMYFUNCTION("""COMPUTED_VALUE"""),1.0)</f>
        <v>1</v>
      </c>
      <c r="N1562" s="213">
        <f>IFERROR(__xludf.DUMMYFUNCTION("""COMPUTED_VALUE"""),2.0)</f>
        <v>2</v>
      </c>
      <c r="O1562" s="213">
        <f>IFERROR(__xludf.DUMMYFUNCTION("""COMPUTED_VALUE"""),2.0)</f>
        <v>2</v>
      </c>
      <c r="P1562" s="213"/>
      <c r="Q1562" s="213"/>
      <c r="R1562" s="213"/>
      <c r="S1562" s="213"/>
      <c r="T1562" s="213"/>
      <c r="U1562" s="213"/>
      <c r="V1562" s="213"/>
      <c r="W1562" s="213"/>
      <c r="X1562" s="213"/>
      <c r="Y1562" s="213"/>
      <c r="Z1562" s="213"/>
      <c r="AA1562" s="213"/>
      <c r="AB1562" s="213"/>
      <c r="AC1562" s="213"/>
      <c r="AD1562" s="213"/>
      <c r="AE1562" s="213"/>
      <c r="AF1562" s="213"/>
      <c r="AG1562" s="213"/>
      <c r="AH1562" s="213"/>
      <c r="AI1562" s="213"/>
      <c r="AJ1562" s="213"/>
      <c r="AK1562" s="213"/>
      <c r="AL1562" s="213"/>
      <c r="AM1562" s="213"/>
      <c r="AN1562" s="213"/>
      <c r="AO1562" s="213"/>
      <c r="AP1562" s="213"/>
      <c r="AQ1562" s="213"/>
      <c r="AR1562" s="213"/>
      <c r="AS1562" s="213">
        <f>IFERROR(__xludf.DUMMYFUNCTION("""COMPUTED_VALUE"""),0.0)</f>
        <v>0</v>
      </c>
      <c r="AT1562" s="213"/>
      <c r="AU1562" s="213"/>
      <c r="AV1562" s="213"/>
      <c r="AW1562" s="213"/>
      <c r="AX1562" s="213"/>
      <c r="AY1562" s="213"/>
      <c r="AZ1562" s="213"/>
      <c r="BA1562" s="213"/>
      <c r="BB1562" s="213"/>
      <c r="BC1562" s="213"/>
      <c r="BD1562" s="213"/>
    </row>
    <row r="1563">
      <c r="A1563" s="213">
        <f>IFERROR(__xludf.DUMMYFUNCTION("""COMPUTED_VALUE"""),722.0)</f>
        <v>722</v>
      </c>
      <c r="B1563" s="213" t="str">
        <f>IFERROR(__xludf.DUMMYFUNCTION("""COMPUTED_VALUE"""),"6049 RICARDO PALMA")</f>
        <v>6049 RICARDO PALMA</v>
      </c>
      <c r="C1563" s="213" t="str">
        <f>IFERROR(__xludf.DUMMYFUNCTION("""COMPUTED_VALUE"""),"TALLER SFT DE ELECTRÓNICA")</f>
        <v>TALLER SFT DE ELECTRÓNICA</v>
      </c>
      <c r="D1563" s="213" t="str">
        <f>IFERROR(__xludf.DUMMYFUNCTION("""COMPUTED_VALUE"""),"PEDAGOGICO")</f>
        <v>PEDAGOGICO</v>
      </c>
      <c r="E1563" s="213" t="str">
        <f>IFERROR(__xludf.DUMMYFUNCTION("""COMPUTED_VALUE"""),"MAT-373")</f>
        <v>MAT-373</v>
      </c>
      <c r="F1563" s="213" t="str">
        <f>IFERROR(__xludf.DUMMYFUNCTION("""COMPUTED_VALUE"""),"KEFF-73")</f>
        <v>KEFF-73</v>
      </c>
      <c r="G1563" s="213"/>
      <c r="H1563" s="213" t="str">
        <f>IFERROR(__xludf.DUMMYFUNCTION("""COMPUTED_VALUE"""),"MANUAL PEDAGÓGICO PARA EL USO DE LOS EQUIPOS")</f>
        <v>MANUAL PEDAGÓGICO PARA EL USO DE LOS EQUIPOS</v>
      </c>
      <c r="I156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Información sobre los "&amp;"equipos electrónicos
- Metodologías y técnicas para desarrollar pedagógicamente el uso de los equipos electrónicos")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Información sobre los equipos electrónicos
- Metodologías y técnicas para desarrollar pedagógicamente el uso de los equipos electrónicos</v>
      </c>
      <c r="J1563" s="213">
        <f>IFERROR(__xludf.DUMMYFUNCTION("""COMPUTED_VALUE"""),3.0)</f>
        <v>3</v>
      </c>
      <c r="K1563" s="213" t="str">
        <f>IFERROR(__xludf.DUMMYFUNCTION("""COMPUTED_VALUE"""),"170 DÍAS CALENDARIO")</f>
        <v>170 DÍAS CALENDARIO</v>
      </c>
      <c r="L1563" s="213" t="str">
        <f>IFERROR(__xludf.DUMMYFUNCTION("""COMPUTED_VALUE"""),"")</f>
        <v/>
      </c>
      <c r="M1563" s="213">
        <f>IFERROR(__xludf.DUMMYFUNCTION("""COMPUTED_VALUE"""),1.0)</f>
        <v>1</v>
      </c>
      <c r="N1563" s="213">
        <f>IFERROR(__xludf.DUMMYFUNCTION("""COMPUTED_VALUE"""),2.0)</f>
        <v>2</v>
      </c>
      <c r="O1563" s="213">
        <f>IFERROR(__xludf.DUMMYFUNCTION("""COMPUTED_VALUE"""),2.0)</f>
        <v>2</v>
      </c>
      <c r="P1563" s="213"/>
      <c r="Q1563" s="213"/>
      <c r="R1563" s="213"/>
      <c r="S1563" s="213"/>
      <c r="T1563" s="213"/>
      <c r="U1563" s="213"/>
      <c r="V1563" s="213"/>
      <c r="W1563" s="213"/>
      <c r="X1563" s="213"/>
      <c r="Y1563" s="213"/>
      <c r="Z1563" s="213"/>
      <c r="AA1563" s="213"/>
      <c r="AB1563" s="213"/>
      <c r="AC1563" s="213"/>
      <c r="AD1563" s="213"/>
      <c r="AE1563" s="213"/>
      <c r="AF1563" s="213"/>
      <c r="AG1563" s="213"/>
      <c r="AH1563" s="213"/>
      <c r="AI1563" s="213"/>
      <c r="AJ1563" s="213"/>
      <c r="AK1563" s="213"/>
      <c r="AL1563" s="213"/>
      <c r="AM1563" s="213"/>
      <c r="AN1563" s="213"/>
      <c r="AO1563" s="213"/>
      <c r="AP1563" s="213"/>
      <c r="AQ1563" s="213"/>
      <c r="AR1563" s="213"/>
      <c r="AS1563" s="213">
        <f>IFERROR(__xludf.DUMMYFUNCTION("""COMPUTED_VALUE"""),0.0)</f>
        <v>0</v>
      </c>
      <c r="AT1563" s="213"/>
      <c r="AU1563" s="213"/>
      <c r="AV1563" s="213"/>
      <c r="AW1563" s="213"/>
      <c r="AX1563" s="213"/>
      <c r="AY1563" s="213"/>
      <c r="AZ1563" s="213"/>
      <c r="BA1563" s="213"/>
      <c r="BB1563" s="213"/>
      <c r="BC1563" s="213"/>
      <c r="BD1563" s="213"/>
    </row>
    <row r="1564">
      <c r="A1564" s="213">
        <f>IFERROR(__xludf.DUMMYFUNCTION("""COMPUTED_VALUE"""),229.0)</f>
        <v>229</v>
      </c>
      <c r="B1564" s="213" t="str">
        <f>IFERROR(__xludf.DUMMYFUNCTION("""COMPUTED_VALUE"""),"2026 SIMON BOLIVAR")</f>
        <v>2026 SIMON BOLIVAR</v>
      </c>
      <c r="C1564" s="213" t="str">
        <f>IFERROR(__xludf.DUMMYFUNCTION("""COMPUTED_VALUE"""),"TALLER SFT DE INDUSTRIA DEL VESTIDO")</f>
        <v>TALLER SFT DE INDUSTRIA DEL VESTIDO</v>
      </c>
      <c r="D1564" s="213" t="str">
        <f>IFERROR(__xludf.DUMMYFUNCTION("""COMPUTED_VALUE"""),"PEDAGOGICO")</f>
        <v>PEDAGOGICO</v>
      </c>
      <c r="E1564" s="213" t="str">
        <f>IFERROR(__xludf.DUMMYFUNCTION("""COMPUTED_VALUE"""),"MAT-343")</f>
        <v>MAT-343</v>
      </c>
      <c r="F1564" s="213" t="str">
        <f>IFERROR(__xludf.DUMMYFUNCTION("""COMPUTED_VALUE"""),"KEFF-76")</f>
        <v>KEFF-76</v>
      </c>
      <c r="G1564" s="213"/>
      <c r="H1564" s="213" t="str">
        <f>IFERROR(__xludf.DUMMYFUNCTION("""COMPUTED_VALUE"""),"MANUAL PEDAGÓGICO PARA ELABORAR PROCESOS DE CONFECCIÓN UTILIZANDO EL EQUIPO (CONFECCIONES)")</f>
        <v>MANUAL PEDAGÓGICO PARA ELABORAR PROCESOS DE CONFECCIÓN UTILIZANDO EL EQUIPO (CONFECCIONES)</v>
      </c>
      <c r="I156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los"&amp;" procesos de confección
-   Metodologías y técnicas para elaborar los procesos de confección.
-  Procedimientos ejemplificados de la confección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los procesos de confección
-   Metodologías y técnicas para elaborar los procesos de confección.
-  Procedimientos ejemplificados de la confección  utilizando los equipos.</v>
      </c>
      <c r="J1564" s="213">
        <f>IFERROR(__xludf.DUMMYFUNCTION("""COMPUTED_VALUE"""),3.0)</f>
        <v>3</v>
      </c>
      <c r="K1564" s="213" t="str">
        <f>IFERROR(__xludf.DUMMYFUNCTION("""COMPUTED_VALUE"""),"170 DÍAS CALENDARIO")</f>
        <v>170 DÍAS CALENDARIO</v>
      </c>
      <c r="L1564" s="213" t="str">
        <f>IFERROR(__xludf.DUMMYFUNCTION("""COMPUTED_VALUE"""),"")</f>
        <v/>
      </c>
      <c r="M1564" s="213">
        <f>IFERROR(__xludf.DUMMYFUNCTION("""COMPUTED_VALUE"""),1.0)</f>
        <v>1</v>
      </c>
      <c r="N1564" s="213">
        <f>IFERROR(__xludf.DUMMYFUNCTION("""COMPUTED_VALUE"""),2.0)</f>
        <v>2</v>
      </c>
      <c r="O1564" s="213">
        <f>IFERROR(__xludf.DUMMYFUNCTION("""COMPUTED_VALUE"""),2.0)</f>
        <v>2</v>
      </c>
      <c r="P1564" s="213"/>
      <c r="Q1564" s="213"/>
      <c r="R1564" s="213"/>
      <c r="S1564" s="213"/>
      <c r="T1564" s="213"/>
      <c r="U1564" s="213"/>
      <c r="V1564" s="213"/>
      <c r="W1564" s="213"/>
      <c r="X1564" s="213"/>
      <c r="Y1564" s="213"/>
      <c r="Z1564" s="213"/>
      <c r="AA1564" s="213"/>
      <c r="AB1564" s="213"/>
      <c r="AC1564" s="213"/>
      <c r="AD1564" s="213"/>
      <c r="AE1564" s="213"/>
      <c r="AF1564" s="213"/>
      <c r="AG1564" s="213"/>
      <c r="AH1564" s="213"/>
      <c r="AI1564" s="213"/>
      <c r="AJ1564" s="213"/>
      <c r="AK1564" s="213"/>
      <c r="AL1564" s="213"/>
      <c r="AM1564" s="213"/>
      <c r="AN1564" s="213"/>
      <c r="AO1564" s="213"/>
      <c r="AP1564" s="213"/>
      <c r="AQ1564" s="213"/>
      <c r="AR1564" s="213"/>
      <c r="AS1564" s="213">
        <f>IFERROR(__xludf.DUMMYFUNCTION("""COMPUTED_VALUE"""),0.0)</f>
        <v>0</v>
      </c>
      <c r="AT1564" s="213"/>
      <c r="AU1564" s="213"/>
      <c r="AV1564" s="213"/>
      <c r="AW1564" s="213"/>
      <c r="AX1564" s="213"/>
      <c r="AY1564" s="213"/>
      <c r="AZ1564" s="213"/>
      <c r="BA1564" s="213"/>
      <c r="BB1564" s="213"/>
      <c r="BC1564" s="213"/>
      <c r="BD1564" s="213"/>
    </row>
    <row r="1565">
      <c r="A1565" s="213">
        <f>IFERROR(__xludf.DUMMYFUNCTION("""COMPUTED_VALUE"""),2443.0)</f>
        <v>2443</v>
      </c>
      <c r="B1565" s="213" t="str">
        <f>IFERROR(__xludf.DUMMYFUNCTION("""COMPUTED_VALUE"""),"MANUEL ANTONIO MESONES MURO")</f>
        <v>MANUEL ANTONIO MESONES MURO</v>
      </c>
      <c r="C1565" s="213" t="str">
        <f>IFERROR(__xludf.DUMMYFUNCTION("""COMPUTED_VALUE"""),"TALLER SFT DE INDUSTRIA DEL VESTIDO")</f>
        <v>TALLER SFT DE INDUSTRIA DEL VESTIDO</v>
      </c>
      <c r="D1565" s="213" t="str">
        <f>IFERROR(__xludf.DUMMYFUNCTION("""COMPUTED_VALUE"""),"PEDAGOGICO")</f>
        <v>PEDAGOGICO</v>
      </c>
      <c r="E1565" s="213" t="str">
        <f>IFERROR(__xludf.DUMMYFUNCTION("""COMPUTED_VALUE"""),"MAT-343")</f>
        <v>MAT-343</v>
      </c>
      <c r="F1565" s="213" t="str">
        <f>IFERROR(__xludf.DUMMYFUNCTION("""COMPUTED_VALUE"""),"KEFF-76")</f>
        <v>KEFF-76</v>
      </c>
      <c r="G1565" s="213"/>
      <c r="H1565" s="213" t="str">
        <f>IFERROR(__xludf.DUMMYFUNCTION("""COMPUTED_VALUE"""),"MANUAL PEDAGÓGICO PARA ELABORAR PROCESOS DE CONFECCIÓN UTILIZANDO EL EQUIPO (CONFECCIONES)")</f>
        <v>MANUAL PEDAGÓGICO PARA ELABORAR PROCESOS DE CONFECCIÓN UTILIZANDO EL EQUIPO (CONFECCIONES)</v>
      </c>
      <c r="I156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bon"&amp;"d de 75 gramos de 80% de blancura como mínimo.
- Tamaño: como mínimo 21 cm x 29,7 cm
- Tipo de Encuadernación: caballete con 2 grapas cuando sea menos de 80 páginas y encolado cuando sea más de 80 páginas.
Contenido que presenta:
-  Información sobre  los"&amp;" procesos de confección
-   Metodologías y técnicas para elaborar los procesos de confección.
-  Procedimientos ejemplificados de la confección  utilizando los equipos.")</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Información sobre  los procesos de confección
-   Metodologías y técnicas para elaborar los procesos de confección.
-  Procedimientos ejemplificados de la confección  utilizando los equipos.</v>
      </c>
      <c r="J1565" s="213">
        <f>IFERROR(__xludf.DUMMYFUNCTION("""COMPUTED_VALUE"""),3.0)</f>
        <v>3</v>
      </c>
      <c r="K1565" s="213" t="str">
        <f>IFERROR(__xludf.DUMMYFUNCTION("""COMPUTED_VALUE"""),"170 DÍAS CALENDARIO")</f>
        <v>170 DÍAS CALENDARIO</v>
      </c>
      <c r="L1565" s="213" t="str">
        <f>IFERROR(__xludf.DUMMYFUNCTION("""COMPUTED_VALUE"""),"")</f>
        <v/>
      </c>
      <c r="M1565" s="213">
        <f>IFERROR(__xludf.DUMMYFUNCTION("""COMPUTED_VALUE"""),1.0)</f>
        <v>1</v>
      </c>
      <c r="N1565" s="213">
        <f>IFERROR(__xludf.DUMMYFUNCTION("""COMPUTED_VALUE"""),2.0)</f>
        <v>2</v>
      </c>
      <c r="O1565" s="213">
        <f>IFERROR(__xludf.DUMMYFUNCTION("""COMPUTED_VALUE"""),2.0)</f>
        <v>2</v>
      </c>
      <c r="P1565" s="213"/>
      <c r="Q1565" s="213"/>
      <c r="R1565" s="213"/>
      <c r="S1565" s="213"/>
      <c r="T1565" s="213"/>
      <c r="U1565" s="213"/>
      <c r="V1565" s="213"/>
      <c r="W1565" s="213"/>
      <c r="X1565" s="213"/>
      <c r="Y1565" s="213"/>
      <c r="Z1565" s="213"/>
      <c r="AA1565" s="213"/>
      <c r="AB1565" s="213"/>
      <c r="AC1565" s="213"/>
      <c r="AD1565" s="213"/>
      <c r="AE1565" s="213"/>
      <c r="AF1565" s="213"/>
      <c r="AG1565" s="213"/>
      <c r="AH1565" s="213"/>
      <c r="AI1565" s="213"/>
      <c r="AJ1565" s="213"/>
      <c r="AK1565" s="213"/>
      <c r="AL1565" s="213"/>
      <c r="AM1565" s="213"/>
      <c r="AN1565" s="213"/>
      <c r="AO1565" s="213"/>
      <c r="AP1565" s="213"/>
      <c r="AQ1565" s="213"/>
      <c r="AR1565" s="213"/>
      <c r="AS1565" s="213">
        <f>IFERROR(__xludf.DUMMYFUNCTION("""COMPUTED_VALUE"""),0.0)</f>
        <v>0</v>
      </c>
      <c r="AT1565" s="213"/>
      <c r="AU1565" s="213"/>
      <c r="AV1565" s="213"/>
      <c r="AW1565" s="213"/>
      <c r="AX1565" s="213"/>
      <c r="AY1565" s="213"/>
      <c r="AZ1565" s="213"/>
      <c r="BA1565" s="213"/>
      <c r="BB1565" s="213"/>
      <c r="BC1565" s="213"/>
      <c r="BD1565" s="213"/>
    </row>
    <row r="1566">
      <c r="A1566" s="213">
        <f>IFERROR(__xludf.DUMMYFUNCTION("""COMPUTED_VALUE"""),99.0)</f>
        <v>99</v>
      </c>
      <c r="B1566" s="213" t="str">
        <f>IFERROR(__xludf.DUMMYFUNCTION("""COMPUTED_VALUE"""),"16449 ELOY SOBERON  FLORES")</f>
        <v>16449 ELOY SOBERON  FLORES</v>
      </c>
      <c r="C1566" s="213" t="str">
        <f>IFERROR(__xludf.DUMMYFUNCTION("""COMPUTED_VALUE"""),"TALLER SFT DE COCINA Y REPOSTERÍA")</f>
        <v>TALLER SFT DE COCINA Y REPOSTERÍA</v>
      </c>
      <c r="D1566" s="213" t="str">
        <f>IFERROR(__xludf.DUMMYFUNCTION("""COMPUTED_VALUE"""),"PEDAGOGICO")</f>
        <v>PEDAGOGICO</v>
      </c>
      <c r="E1566" s="213" t="str">
        <f>IFERROR(__xludf.DUMMYFUNCTION("""COMPUTED_VALUE"""),"MAT-376")</f>
        <v>MAT-376</v>
      </c>
      <c r="F1566" s="213" t="str">
        <f>IFERROR(__xludf.DUMMYFUNCTION("""COMPUTED_VALUE"""),"KEFF-03")</f>
        <v>KEFF-03</v>
      </c>
      <c r="G1566" s="213"/>
      <c r="H1566" s="213" t="str">
        <f>IFERROR(__xludf.DUMMYFUNCTION("""COMPUTED_VALUE"""),"MANUAL PEDAGÓGICO PARA IDENTIFICAR NECESIDADES Y PROBLEMAS UTILIZANDO LOS EQUIPOS")</f>
        <v>MANUAL PEDAGÓGICO PARA IDENTIFICAR NECESIDADES Y PROBLEMAS UTILIZANDO LOS EQUIPOS</v>
      </c>
      <c r="I156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Teoría del estudio de "&amp;"necesidades y problemas del cliente.
- Técnicas e instrumentos para identificar necesidades y problemas.
- Procedimientos ejemplificados de diseño, aplicación, procesamiento de información de entrevistas y encuestas utilizando los equipos.
· Procedimiento"&amp;"s de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66" s="213">
        <f>IFERROR(__xludf.DUMMYFUNCTION("""COMPUTED_VALUE"""),3.0)</f>
        <v>3</v>
      </c>
      <c r="K1566" s="213" t="str">
        <f>IFERROR(__xludf.DUMMYFUNCTION("""COMPUTED_VALUE"""),"170 DÍAS CALENDARIO")</f>
        <v>170 DÍAS CALENDARIO</v>
      </c>
      <c r="L1566" s="213" t="str">
        <f>IFERROR(__xludf.DUMMYFUNCTION("""COMPUTED_VALUE"""),"")</f>
        <v/>
      </c>
      <c r="M1566" s="213">
        <f>IFERROR(__xludf.DUMMYFUNCTION("""COMPUTED_VALUE"""),1.0)</f>
        <v>1</v>
      </c>
      <c r="N1566" s="213">
        <f>IFERROR(__xludf.DUMMYFUNCTION("""COMPUTED_VALUE"""),2.0)</f>
        <v>2</v>
      </c>
      <c r="O1566" s="213">
        <f>IFERROR(__xludf.DUMMYFUNCTION("""COMPUTED_VALUE"""),2.0)</f>
        <v>2</v>
      </c>
      <c r="P1566" s="213"/>
      <c r="Q1566" s="213"/>
      <c r="R1566" s="213"/>
      <c r="S1566" s="213"/>
      <c r="T1566" s="213"/>
      <c r="U1566" s="213"/>
      <c r="V1566" s="213"/>
      <c r="W1566" s="213"/>
      <c r="X1566" s="213"/>
      <c r="Y1566" s="213"/>
      <c r="Z1566" s="213"/>
      <c r="AA1566" s="213"/>
      <c r="AB1566" s="213"/>
      <c r="AC1566" s="213"/>
      <c r="AD1566" s="213"/>
      <c r="AE1566" s="213"/>
      <c r="AF1566" s="213"/>
      <c r="AG1566" s="213"/>
      <c r="AH1566" s="213"/>
      <c r="AI1566" s="213"/>
      <c r="AJ1566" s="213"/>
      <c r="AK1566" s="213"/>
      <c r="AL1566" s="213"/>
      <c r="AM1566" s="213"/>
      <c r="AN1566" s="213"/>
      <c r="AO1566" s="213"/>
      <c r="AP1566" s="213"/>
      <c r="AQ1566" s="213"/>
      <c r="AR1566" s="213"/>
      <c r="AS1566" s="213"/>
      <c r="AT1566" s="213"/>
      <c r="AU1566" s="213"/>
      <c r="AV1566" s="213"/>
      <c r="AW1566" s="213"/>
      <c r="AX1566" s="213"/>
      <c r="AY1566" s="213"/>
      <c r="AZ1566" s="213"/>
      <c r="BA1566" s="213"/>
      <c r="BB1566" s="213"/>
      <c r="BC1566" s="213"/>
      <c r="BD1566" s="213"/>
    </row>
    <row r="1567">
      <c r="A1567" s="213">
        <f>IFERROR(__xludf.DUMMYFUNCTION("""COMPUTED_VALUE"""),209.0)</f>
        <v>209</v>
      </c>
      <c r="B1567" s="213" t="str">
        <f>IFERROR(__xludf.DUMMYFUNCTION("""COMPUTED_VALUE"""),"2026 SIMON BOLIVAR")</f>
        <v>2026 SIMON BOLIVAR</v>
      </c>
      <c r="C1567" s="213" t="str">
        <f>IFERROR(__xludf.DUMMYFUNCTION("""COMPUTED_VALUE"""),"TALLER SFT DE INDUSTRIA DEL VESTIDO")</f>
        <v>TALLER SFT DE INDUSTRIA DEL VESTIDO</v>
      </c>
      <c r="D1567" s="213" t="str">
        <f>IFERROR(__xludf.DUMMYFUNCTION("""COMPUTED_VALUE"""),"PEDAGOGICO")</f>
        <v>PEDAGOGICO</v>
      </c>
      <c r="E1567" s="213" t="str">
        <f>IFERROR(__xludf.DUMMYFUNCTION("""COMPUTED_VALUE"""),"MAT-375")</f>
        <v>MAT-375</v>
      </c>
      <c r="F1567" s="213" t="str">
        <f>IFERROR(__xludf.DUMMYFUNCTION("""COMPUTED_VALUE"""),"KEFF-03")</f>
        <v>KEFF-03</v>
      </c>
      <c r="G1567" s="213"/>
      <c r="H1567" s="213" t="str">
        <f>IFERROR(__xludf.DUMMYFUNCTION("""COMPUTED_VALUE"""),"MANUAL PEDAGÓGICO PARA IDENTIFICAR NECESIDADES Y PROBLEMAS UTILIZANDO LOS EQUIPOS")</f>
        <v>MANUAL PEDAGÓGICO PARA IDENTIFICAR NECESIDADES Y PROBLEMAS UTILIZANDO LOS EQUIPOS</v>
      </c>
      <c r="I156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Teoría del estudio de ne"&amp;"cesidades y problemas del cliente.
- Técnicas e instrumentos para identificar necesidades y problemas.
- Procedimientos ejemplificados de diseño, aplicación, procesamiento de información de entrevistas y encuestas utilizando los equipos.
· Procedimientos "&amp;"de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67" s="213">
        <f>IFERROR(__xludf.DUMMYFUNCTION("""COMPUTED_VALUE"""),3.0)</f>
        <v>3</v>
      </c>
      <c r="K1567" s="213" t="str">
        <f>IFERROR(__xludf.DUMMYFUNCTION("""COMPUTED_VALUE"""),"170 DÍAS CALENDARIO")</f>
        <v>170 DÍAS CALENDARIO</v>
      </c>
      <c r="L1567" s="213" t="str">
        <f>IFERROR(__xludf.DUMMYFUNCTION("""COMPUTED_VALUE"""),"")</f>
        <v/>
      </c>
      <c r="M1567" s="213">
        <f>IFERROR(__xludf.DUMMYFUNCTION("""COMPUTED_VALUE"""),1.0)</f>
        <v>1</v>
      </c>
      <c r="N1567" s="213">
        <f>IFERROR(__xludf.DUMMYFUNCTION("""COMPUTED_VALUE"""),2.0)</f>
        <v>2</v>
      </c>
      <c r="O1567" s="213">
        <f>IFERROR(__xludf.DUMMYFUNCTION("""COMPUTED_VALUE"""),2.0)</f>
        <v>2</v>
      </c>
      <c r="P1567" s="213"/>
      <c r="Q1567" s="213"/>
      <c r="R1567" s="213"/>
      <c r="S1567" s="213"/>
      <c r="T1567" s="213"/>
      <c r="U1567" s="213"/>
      <c r="V1567" s="213"/>
      <c r="W1567" s="213"/>
      <c r="X1567" s="213"/>
      <c r="Y1567" s="213"/>
      <c r="Z1567" s="213"/>
      <c r="AA1567" s="213"/>
      <c r="AB1567" s="213"/>
      <c r="AC1567" s="213"/>
      <c r="AD1567" s="213"/>
      <c r="AE1567" s="213"/>
      <c r="AF1567" s="213"/>
      <c r="AG1567" s="213"/>
      <c r="AH1567" s="213"/>
      <c r="AI1567" s="213"/>
      <c r="AJ1567" s="213"/>
      <c r="AK1567" s="213"/>
      <c r="AL1567" s="213"/>
      <c r="AM1567" s="213"/>
      <c r="AN1567" s="213"/>
      <c r="AO1567" s="213"/>
      <c r="AP1567" s="213"/>
      <c r="AQ1567" s="213"/>
      <c r="AR1567" s="213"/>
      <c r="AS1567" s="213"/>
      <c r="AT1567" s="213"/>
      <c r="AU1567" s="213"/>
      <c r="AV1567" s="213"/>
      <c r="AW1567" s="213"/>
      <c r="AX1567" s="213"/>
      <c r="AY1567" s="213"/>
      <c r="AZ1567" s="213"/>
      <c r="BA1567" s="213"/>
      <c r="BB1567" s="213"/>
      <c r="BC1567" s="213"/>
      <c r="BD1567" s="213"/>
    </row>
    <row r="1568">
      <c r="A1568" s="213">
        <f>IFERROR(__xludf.DUMMYFUNCTION("""COMPUTED_VALUE"""),296.0)</f>
        <v>296</v>
      </c>
      <c r="B1568" s="213" t="str">
        <f>IFERROR(__xludf.DUMMYFUNCTION("""COMPUTED_VALUE"""),"2026 SIMON BOLIVAR")</f>
        <v>2026 SIMON BOLIVAR</v>
      </c>
      <c r="C1568" s="213" t="str">
        <f>IFERROR(__xludf.DUMMYFUNCTION("""COMPUTED_VALUE"""),"TALLER SFT DE COMPUTACIÓN E INFORMÁTICA")</f>
        <v>TALLER SFT DE COMPUTACIÓN E INFORMÁTICA</v>
      </c>
      <c r="D1568" s="213" t="str">
        <f>IFERROR(__xludf.DUMMYFUNCTION("""COMPUTED_VALUE"""),"PEDAGOGICO")</f>
        <v>PEDAGOGICO</v>
      </c>
      <c r="E1568" s="213" t="str">
        <f>IFERROR(__xludf.DUMMYFUNCTION("""COMPUTED_VALUE"""),"MAT-375")</f>
        <v>MAT-375</v>
      </c>
      <c r="F1568" s="213" t="str">
        <f>IFERROR(__xludf.DUMMYFUNCTION("""COMPUTED_VALUE"""),"KEFF-03")</f>
        <v>KEFF-03</v>
      </c>
      <c r="G1568" s="213"/>
      <c r="H1568" s="213" t="str">
        <f>IFERROR(__xludf.DUMMYFUNCTION("""COMPUTED_VALUE"""),"MANUAL PEDAGÓGICO PARA IDENTIFICAR NECESIDADES Y PROBLEMAS UTILIZANDO LOS EQUIPOS")</f>
        <v>MANUAL PEDAGÓGICO PARA IDENTIFICAR NECESIDADES Y PROBLEMAS UTILIZANDO LOS EQUIPOS</v>
      </c>
      <c r="I156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Contenido que presenta:
- Teoría del estudio de neces"&amp;"idades y problemas del cliente.
- Técnicas e instrumentos para identificar necesidades y problemas.
- Procedimientos ejemplificados de diseño, aplicación, procesamiento de información de entrevistas y encuestas utilizando los equipos  (fichas de trabajo)."&amp;"
· Procedimientos de diseño,  procesamiento de información,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(fichas de trabajo).
· Procedimientos de diseño,  procesamiento de información, estudios de necesidades y problemas utilizando la filmadora y cámara fotográfica.
- Instrumentos de evaluación.
- Enlaces de interés para ampliar información (Cod. QR)</v>
      </c>
      <c r="J1568" s="213">
        <f>IFERROR(__xludf.DUMMYFUNCTION("""COMPUTED_VALUE"""),3.0)</f>
        <v>3</v>
      </c>
      <c r="K1568" s="213" t="str">
        <f>IFERROR(__xludf.DUMMYFUNCTION("""COMPUTED_VALUE"""),"170 DÍAS CALENDARIO")</f>
        <v>170 DÍAS CALENDARIO</v>
      </c>
      <c r="L1568" s="213" t="str">
        <f>IFERROR(__xludf.DUMMYFUNCTION("""COMPUTED_VALUE"""),"")</f>
        <v/>
      </c>
      <c r="M1568" s="213">
        <f>IFERROR(__xludf.DUMMYFUNCTION("""COMPUTED_VALUE"""),1.0)</f>
        <v>1</v>
      </c>
      <c r="N1568" s="213">
        <f>IFERROR(__xludf.DUMMYFUNCTION("""COMPUTED_VALUE"""),2.0)</f>
        <v>2</v>
      </c>
      <c r="O1568" s="213">
        <f>IFERROR(__xludf.DUMMYFUNCTION("""COMPUTED_VALUE"""),2.0)</f>
        <v>2</v>
      </c>
      <c r="P1568" s="213"/>
      <c r="Q1568" s="213"/>
      <c r="R1568" s="213"/>
      <c r="S1568" s="213"/>
      <c r="T1568" s="213"/>
      <c r="U1568" s="213"/>
      <c r="V1568" s="213"/>
      <c r="W1568" s="213"/>
      <c r="X1568" s="213"/>
      <c r="Y1568" s="213"/>
      <c r="Z1568" s="213"/>
      <c r="AA1568" s="213"/>
      <c r="AB1568" s="213"/>
      <c r="AC1568" s="213"/>
      <c r="AD1568" s="213"/>
      <c r="AE1568" s="213"/>
      <c r="AF1568" s="213"/>
      <c r="AG1568" s="213"/>
      <c r="AH1568" s="213"/>
      <c r="AI1568" s="213"/>
      <c r="AJ1568" s="213"/>
      <c r="AK1568" s="213"/>
      <c r="AL1568" s="213"/>
      <c r="AM1568" s="213"/>
      <c r="AN1568" s="213"/>
      <c r="AO1568" s="213"/>
      <c r="AP1568" s="213"/>
      <c r="AQ1568" s="213"/>
      <c r="AR1568" s="213"/>
      <c r="AS1568" s="213"/>
      <c r="AT1568" s="213"/>
      <c r="AU1568" s="213"/>
      <c r="AV1568" s="213"/>
      <c r="AW1568" s="213"/>
      <c r="AX1568" s="213"/>
      <c r="AY1568" s="213"/>
      <c r="AZ1568" s="213"/>
      <c r="BA1568" s="213"/>
      <c r="BB1568" s="213"/>
      <c r="BC1568" s="213"/>
      <c r="BD1568" s="213"/>
    </row>
    <row r="1569">
      <c r="A1569" s="213">
        <f>IFERROR(__xludf.DUMMYFUNCTION("""COMPUTED_VALUE"""),376.0)</f>
        <v>376</v>
      </c>
      <c r="B1569" s="213" t="str">
        <f>IFERROR(__xludf.DUMMYFUNCTION("""COMPUTED_VALUE"""),"2026 SIMON BOLIVAR")</f>
        <v>2026 SIMON BOLIVAR</v>
      </c>
      <c r="C1569" s="213" t="str">
        <f>IFERROR(__xludf.DUMMYFUNCTION("""COMPUTED_VALUE"""),"TALLER SFT DE ELECTRICIDAD")</f>
        <v>TALLER SFT DE ELECTRICIDAD</v>
      </c>
      <c r="D1569" s="213" t="str">
        <f>IFERROR(__xludf.DUMMYFUNCTION("""COMPUTED_VALUE"""),"PEDAGOGICO")</f>
        <v>PEDAGOGICO</v>
      </c>
      <c r="E1569" s="213" t="str">
        <f>IFERROR(__xludf.DUMMYFUNCTION("""COMPUTED_VALUE"""),"MAT-375")</f>
        <v>MAT-375</v>
      </c>
      <c r="F1569" s="213" t="str">
        <f>IFERROR(__xludf.DUMMYFUNCTION("""COMPUTED_VALUE"""),"KEFF-03")</f>
        <v>KEFF-03</v>
      </c>
      <c r="G1569" s="213"/>
      <c r="H1569" s="213" t="str">
        <f>IFERROR(__xludf.DUMMYFUNCTION("""COMPUTED_VALUE"""),"MANUAL PEDAGÓGICO PARA IDENTIFICAR NECESIDADES Y PROBLEMAS UTILIZANDO LOS EQUIPOS")</f>
        <v>MANUAL PEDAGÓGICO PARA IDENTIFICAR NECESIDADES Y PROBLEMAS UTILIZANDO LOS EQUIPOS</v>
      </c>
      <c r="I156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pa"&amp;"pel bond de 75				
gramos de 80% de blancura como mínimo.				
· Tamaño: como mínimo 21 x 29,7 cm				
· Tipo de Encuadernación: caballete con 2 grapas cuando sea menos de 80 páginas y encolado cuando				
sea más de 80 páginas.				
· Contenido que presenta:"&amp;"				
- Teoría del estudio de necesidades y problemas del cliente.				
- Técnicas e instrumentos para identificar necesidades y problemas.				
- Procedimientos ejemplificados de diseño, aplicación, procesamiento de información de entrevistas y				
encuesta"&amp;"s utilizando los equipos.				
· Procedimientos de diseño, aplicación y procesamiento de información de estudios de necesidades y				
problemas utilizando la filmadora y cámara fotográfica.				
- Instrumentos de evaluación.				
- Enlaces de interés para am"&amp;"pliar información (Cod. QR)				")</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				</v>
      </c>
      <c r="J1569" s="213">
        <f>IFERROR(__xludf.DUMMYFUNCTION("""COMPUTED_VALUE"""),3.0)</f>
        <v>3</v>
      </c>
      <c r="K1569" s="213" t="str">
        <f>IFERROR(__xludf.DUMMYFUNCTION("""COMPUTED_VALUE"""),"170 DÍAS CALENDARIO")</f>
        <v>170 DÍAS CALENDARIO</v>
      </c>
      <c r="L1569" s="213" t="str">
        <f>IFERROR(__xludf.DUMMYFUNCTION("""COMPUTED_VALUE"""),"")</f>
        <v/>
      </c>
      <c r="M1569" s="213">
        <f>IFERROR(__xludf.DUMMYFUNCTION("""COMPUTED_VALUE"""),1.0)</f>
        <v>1</v>
      </c>
      <c r="N1569" s="213">
        <f>IFERROR(__xludf.DUMMYFUNCTION("""COMPUTED_VALUE"""),2.0)</f>
        <v>2</v>
      </c>
      <c r="O1569" s="213">
        <f>IFERROR(__xludf.DUMMYFUNCTION("""COMPUTED_VALUE"""),2.0)</f>
        <v>2</v>
      </c>
      <c r="P1569" s="213"/>
      <c r="Q1569" s="213"/>
      <c r="R1569" s="213"/>
      <c r="S1569" s="213"/>
      <c r="T1569" s="213"/>
      <c r="U1569" s="213"/>
      <c r="V1569" s="213"/>
      <c r="W1569" s="213"/>
      <c r="X1569" s="213"/>
      <c r="Y1569" s="213"/>
      <c r="Z1569" s="213"/>
      <c r="AA1569" s="213"/>
      <c r="AB1569" s="213"/>
      <c r="AC1569" s="213"/>
      <c r="AD1569" s="213"/>
      <c r="AE1569" s="213"/>
      <c r="AF1569" s="213"/>
      <c r="AG1569" s="213"/>
      <c r="AH1569" s="213"/>
      <c r="AI1569" s="213"/>
      <c r="AJ1569" s="213"/>
      <c r="AK1569" s="213"/>
      <c r="AL1569" s="213"/>
      <c r="AM1569" s="213"/>
      <c r="AN1569" s="213"/>
      <c r="AO1569" s="213"/>
      <c r="AP1569" s="213"/>
      <c r="AQ1569" s="213"/>
      <c r="AR1569" s="213"/>
      <c r="AS1569" s="213"/>
      <c r="AT1569" s="213"/>
      <c r="AU1569" s="213"/>
      <c r="AV1569" s="213"/>
      <c r="AW1569" s="213"/>
      <c r="AX1569" s="213"/>
      <c r="AY1569" s="213"/>
      <c r="AZ1569" s="213"/>
      <c r="BA1569" s="213"/>
      <c r="BB1569" s="213"/>
      <c r="BC1569" s="213"/>
      <c r="BD1569" s="213"/>
    </row>
    <row r="1570">
      <c r="A1570" s="213">
        <f>IFERROR(__xludf.DUMMYFUNCTION("""COMPUTED_VALUE"""),573.0)</f>
        <v>573</v>
      </c>
      <c r="B1570" s="213" t="str">
        <f>IFERROR(__xludf.DUMMYFUNCTION("""COMPUTED_VALUE"""),"2026 SIMON BOLIVAR")</f>
        <v>2026 SIMON BOLIVAR</v>
      </c>
      <c r="C1570" s="213" t="str">
        <f>IFERROR(__xludf.DUMMYFUNCTION("""COMPUTED_VALUE"""),"TALLER SFT DE INDUSTRIA ALIMENTARIA")</f>
        <v>TALLER SFT DE INDUSTRIA ALIMENTARIA</v>
      </c>
      <c r="D1570" s="213" t="str">
        <f>IFERROR(__xludf.DUMMYFUNCTION("""COMPUTED_VALUE"""),"PEDAGOGICO")</f>
        <v>PEDAGOGICO</v>
      </c>
      <c r="E1570" s="213" t="str">
        <f>IFERROR(__xludf.DUMMYFUNCTION("""COMPUTED_VALUE"""),"MAT-376")</f>
        <v>MAT-376</v>
      </c>
      <c r="F1570" s="213" t="str">
        <f>IFERROR(__xludf.DUMMYFUNCTION("""COMPUTED_VALUE"""),"KEFF-03")</f>
        <v>KEFF-03</v>
      </c>
      <c r="G1570" s="213"/>
      <c r="H1570" s="213" t="str">
        <f>IFERROR(__xludf.DUMMYFUNCTION("""COMPUTED_VALUE"""),"MANUAL PEDAGÓGICO PARA IDENTIFICAR NECESIDADES Y PROBLEMAS UTILIZANDO LOS EQUIPOS")</f>
        <v>MANUAL PEDAGÓGICO PARA IDENTIFICAR NECESIDADES Y PROBLEMAS UTILIZANDO LOS EQUIPOS</v>
      </c>
      <c r="I157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Teoría del estudio de nec"&amp;"esidades y problemas del cliente.
- Técnicas e instrumentos para identificar necesidades y problemas.
- Procedimientos ejemplificados de diseño, aplicación, procesamiento de información de entrevistas y encuestas utilizando los equipos.
· Procedimientos d"&amp;"e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70" s="213">
        <f>IFERROR(__xludf.DUMMYFUNCTION("""COMPUTED_VALUE"""),3.0)</f>
        <v>3</v>
      </c>
      <c r="K1570" s="213" t="str">
        <f>IFERROR(__xludf.DUMMYFUNCTION("""COMPUTED_VALUE"""),"170 DÍAS CALENDARIO")</f>
        <v>170 DÍAS CALENDARIO</v>
      </c>
      <c r="L1570" s="213" t="str">
        <f>IFERROR(__xludf.DUMMYFUNCTION("""COMPUTED_VALUE"""),"")</f>
        <v/>
      </c>
      <c r="M1570" s="213">
        <f>IFERROR(__xludf.DUMMYFUNCTION("""COMPUTED_VALUE"""),1.0)</f>
        <v>1</v>
      </c>
      <c r="N1570" s="213">
        <f>IFERROR(__xludf.DUMMYFUNCTION("""COMPUTED_VALUE"""),2.0)</f>
        <v>2</v>
      </c>
      <c r="O1570" s="213">
        <f>IFERROR(__xludf.DUMMYFUNCTION("""COMPUTED_VALUE"""),2.0)</f>
        <v>2</v>
      </c>
      <c r="P1570" s="213"/>
      <c r="Q1570" s="213"/>
      <c r="R1570" s="213"/>
      <c r="S1570" s="213"/>
      <c r="T1570" s="213"/>
      <c r="U1570" s="213"/>
      <c r="V1570" s="213"/>
      <c r="W1570" s="213"/>
      <c r="X1570" s="213"/>
      <c r="Y1570" s="213"/>
      <c r="Z1570" s="213"/>
      <c r="AA1570" s="213"/>
      <c r="AB1570" s="213"/>
      <c r="AC1570" s="213"/>
      <c r="AD1570" s="213"/>
      <c r="AE1570" s="213"/>
      <c r="AF1570" s="213"/>
      <c r="AG1570" s="213"/>
      <c r="AH1570" s="213"/>
      <c r="AI1570" s="213"/>
      <c r="AJ1570" s="213"/>
      <c r="AK1570" s="213"/>
      <c r="AL1570" s="213"/>
      <c r="AM1570" s="213"/>
      <c r="AN1570" s="213"/>
      <c r="AO1570" s="213"/>
      <c r="AP1570" s="213"/>
      <c r="AQ1570" s="213"/>
      <c r="AR1570" s="213"/>
      <c r="AS1570" s="213"/>
      <c r="AT1570" s="213"/>
      <c r="AU1570" s="213"/>
      <c r="AV1570" s="213"/>
      <c r="AW1570" s="213"/>
      <c r="AX1570" s="213"/>
      <c r="AY1570" s="213"/>
      <c r="AZ1570" s="213"/>
      <c r="BA1570" s="213"/>
      <c r="BB1570" s="213"/>
      <c r="BC1570" s="213"/>
      <c r="BD1570" s="213"/>
    </row>
    <row r="1571">
      <c r="A1571" s="213">
        <f>IFERROR(__xludf.DUMMYFUNCTION("""COMPUTED_VALUE"""),661.0)</f>
        <v>661</v>
      </c>
      <c r="B1571" s="213" t="str">
        <f>IFERROR(__xludf.DUMMYFUNCTION("""COMPUTED_VALUE"""),"6049 RICARDO PALMA")</f>
        <v>6049 RICARDO PALMA</v>
      </c>
      <c r="C1571" s="213" t="str">
        <f>IFERROR(__xludf.DUMMYFUNCTION("""COMPUTED_VALUE"""),"TALLER SFT DE ELECTRÓNICA")</f>
        <v>TALLER SFT DE ELECTRÓNICA</v>
      </c>
      <c r="D1571" s="213" t="str">
        <f>IFERROR(__xludf.DUMMYFUNCTION("""COMPUTED_VALUE"""),"PEDAGOGICO")</f>
        <v>PEDAGOGICO</v>
      </c>
      <c r="E1571" s="213" t="str">
        <f>IFERROR(__xludf.DUMMYFUNCTION("""COMPUTED_VALUE"""),"MAT-375")</f>
        <v>MAT-375</v>
      </c>
      <c r="F1571" s="213" t="str">
        <f>IFERROR(__xludf.DUMMYFUNCTION("""COMPUTED_VALUE"""),"KEFF-03")</f>
        <v>KEFF-03</v>
      </c>
      <c r="G1571" s="213"/>
      <c r="H1571" s="213" t="str">
        <f>IFERROR(__xludf.DUMMYFUNCTION("""COMPUTED_VALUE"""),"MANUAL PEDAGÓGICO PARA IDENTIFICAR NECESIDADES Y PROBLEMAS UTILIZANDO LOS EQUIPOS")</f>
        <v>MANUAL PEDAGÓGICO PARA IDENTIFICAR NECESIDADES Y PROBLEMAS UTILIZANDO LOS EQUIPOS</v>
      </c>
      <c r="I157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Teoría del estudio de "&amp;"necesidades y problemas del cliente.
- Técnicas e instrumentos para identificar necesidades y problemas.
- Procedimientos ejemplificados de diseño, aplicación, procesamiento de información de entrevistas y encuestas utilizando los equipos.
· Procedimiento"&amp;"s de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71" s="213">
        <f>IFERROR(__xludf.DUMMYFUNCTION("""COMPUTED_VALUE"""),3.0)</f>
        <v>3</v>
      </c>
      <c r="K1571" s="213" t="str">
        <f>IFERROR(__xludf.DUMMYFUNCTION("""COMPUTED_VALUE"""),"170 DÍAS CALENDARIO")</f>
        <v>170 DÍAS CALENDARIO</v>
      </c>
      <c r="L1571" s="213" t="str">
        <f>IFERROR(__xludf.DUMMYFUNCTION("""COMPUTED_VALUE"""),"")</f>
        <v/>
      </c>
      <c r="M1571" s="213">
        <f>IFERROR(__xludf.DUMMYFUNCTION("""COMPUTED_VALUE"""),1.0)</f>
        <v>1</v>
      </c>
      <c r="N1571" s="213">
        <f>IFERROR(__xludf.DUMMYFUNCTION("""COMPUTED_VALUE"""),2.0)</f>
        <v>2</v>
      </c>
      <c r="O1571" s="213">
        <f>IFERROR(__xludf.DUMMYFUNCTION("""COMPUTED_VALUE"""),2.0)</f>
        <v>2</v>
      </c>
      <c r="P1571" s="213"/>
      <c r="Q1571" s="213"/>
      <c r="R1571" s="213"/>
      <c r="S1571" s="213"/>
      <c r="T1571" s="213"/>
      <c r="U1571" s="213"/>
      <c r="V1571" s="213"/>
      <c r="W1571" s="213"/>
      <c r="X1571" s="213"/>
      <c r="Y1571" s="213"/>
      <c r="Z1571" s="213"/>
      <c r="AA1571" s="213"/>
      <c r="AB1571" s="213"/>
      <c r="AC1571" s="213"/>
      <c r="AD1571" s="213"/>
      <c r="AE1571" s="213"/>
      <c r="AF1571" s="213"/>
      <c r="AG1571" s="213"/>
      <c r="AH1571" s="213"/>
      <c r="AI1571" s="213"/>
      <c r="AJ1571" s="213"/>
      <c r="AK1571" s="213"/>
      <c r="AL1571" s="213"/>
      <c r="AM1571" s="213"/>
      <c r="AN1571" s="213"/>
      <c r="AO1571" s="213"/>
      <c r="AP1571" s="213"/>
      <c r="AQ1571" s="213"/>
      <c r="AR1571" s="213"/>
      <c r="AS1571" s="213"/>
      <c r="AT1571" s="213"/>
      <c r="AU1571" s="213"/>
      <c r="AV1571" s="213"/>
      <c r="AW1571" s="213"/>
      <c r="AX1571" s="213"/>
      <c r="AY1571" s="213"/>
      <c r="AZ1571" s="213"/>
      <c r="BA1571" s="213"/>
      <c r="BB1571" s="213"/>
      <c r="BC1571" s="213"/>
      <c r="BD1571" s="213"/>
    </row>
    <row r="1572">
      <c r="A1572" s="213">
        <f>IFERROR(__xludf.DUMMYFUNCTION("""COMPUTED_VALUE"""),782.0)</f>
        <v>782</v>
      </c>
      <c r="B1572" s="213" t="str">
        <f>IFERROR(__xludf.DUMMYFUNCTION("""COMPUTED_VALUE"""),"6049 RICARDO PALMA")</f>
        <v>6049 RICARDO PALMA</v>
      </c>
      <c r="C1572" s="213" t="str">
        <f>IFERROR(__xludf.DUMMYFUNCTION("""COMPUTED_VALUE"""),"TALLER SFT DE COMPUTACIÓN E INFORMÁTICA")</f>
        <v>TALLER SFT DE COMPUTACIÓN E INFORMÁTICA</v>
      </c>
      <c r="D1572" s="213" t="str">
        <f>IFERROR(__xludf.DUMMYFUNCTION("""COMPUTED_VALUE"""),"PEDAGOGICO")</f>
        <v>PEDAGOGICO</v>
      </c>
      <c r="E1572" s="213" t="str">
        <f>IFERROR(__xludf.DUMMYFUNCTION("""COMPUTED_VALUE"""),"MAT-375")</f>
        <v>MAT-375</v>
      </c>
      <c r="F1572" s="213" t="str">
        <f>IFERROR(__xludf.DUMMYFUNCTION("""COMPUTED_VALUE"""),"KEFF-03")</f>
        <v>KEFF-03</v>
      </c>
      <c r="G1572" s="213"/>
      <c r="H1572" s="213" t="str">
        <f>IFERROR(__xludf.DUMMYFUNCTION("""COMPUTED_VALUE"""),"MANUAL PEDAGÓGICO PARA IDENTIFICAR NECESIDADES Y PROBLEMAS UTILIZANDO LOS EQUIPOS")</f>
        <v>MANUAL PEDAGÓGICO PARA IDENTIFICAR NECESIDADES Y PROBLEMAS UTILIZANDO LOS EQUIPOS</v>
      </c>
      <c r="I157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Contenido que presenta:
- Teoría del estudio de neces"&amp;"idades y problemas del cliente.
- Técnicas e instrumentos para identificar necesidades y problemas.
- Procedimientos ejemplificados de diseño, aplicación, procesamiento de información de entrevistas y encuestas utilizando los equipos  (fichas de trabajo)."&amp;"
· Procedimientos de diseño,  procesamiento de información,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(fichas de trabajo).
· Procedimientos de diseño,  procesamiento de información, estudios de necesidades y problemas utilizando la filmadora y cámara fotográfica.
- Instrumentos de evaluación.
- Enlaces de interés para ampliar información (Cod. QR)</v>
      </c>
      <c r="J1572" s="213">
        <f>IFERROR(__xludf.DUMMYFUNCTION("""COMPUTED_VALUE"""),3.0)</f>
        <v>3</v>
      </c>
      <c r="K1572" s="213" t="str">
        <f>IFERROR(__xludf.DUMMYFUNCTION("""COMPUTED_VALUE"""),"170 DÍAS CALENDARIO")</f>
        <v>170 DÍAS CALENDARIO</v>
      </c>
      <c r="L1572" s="213" t="str">
        <f>IFERROR(__xludf.DUMMYFUNCTION("""COMPUTED_VALUE"""),"")</f>
        <v/>
      </c>
      <c r="M1572" s="213">
        <f>IFERROR(__xludf.DUMMYFUNCTION("""COMPUTED_VALUE"""),1.0)</f>
        <v>1</v>
      </c>
      <c r="N1572" s="213">
        <f>IFERROR(__xludf.DUMMYFUNCTION("""COMPUTED_VALUE"""),2.0)</f>
        <v>2</v>
      </c>
      <c r="O1572" s="213">
        <f>IFERROR(__xludf.DUMMYFUNCTION("""COMPUTED_VALUE"""),2.0)</f>
        <v>2</v>
      </c>
      <c r="P1572" s="213"/>
      <c r="Q1572" s="213"/>
      <c r="R1572" s="213"/>
      <c r="S1572" s="213"/>
      <c r="T1572" s="213"/>
      <c r="U1572" s="213"/>
      <c r="V1572" s="213"/>
      <c r="W1572" s="213"/>
      <c r="X1572" s="213"/>
      <c r="Y1572" s="213"/>
      <c r="Z1572" s="213"/>
      <c r="AA1572" s="213"/>
      <c r="AB1572" s="213"/>
      <c r="AC1572" s="213"/>
      <c r="AD1572" s="213"/>
      <c r="AE1572" s="213"/>
      <c r="AF1572" s="213"/>
      <c r="AG1572" s="213"/>
      <c r="AH1572" s="213"/>
      <c r="AI1572" s="213"/>
      <c r="AJ1572" s="213"/>
      <c r="AK1572" s="213"/>
      <c r="AL1572" s="213"/>
      <c r="AM1572" s="213"/>
      <c r="AN1572" s="213"/>
      <c r="AO1572" s="213"/>
      <c r="AP1572" s="213"/>
      <c r="AQ1572" s="213"/>
      <c r="AR1572" s="213"/>
      <c r="AS1572" s="213"/>
      <c r="AT1572" s="213"/>
      <c r="AU1572" s="213"/>
      <c r="AV1572" s="213"/>
      <c r="AW1572" s="213"/>
      <c r="AX1572" s="213"/>
      <c r="AY1572" s="213"/>
      <c r="AZ1572" s="213"/>
      <c r="BA1572" s="213"/>
      <c r="BB1572" s="213"/>
      <c r="BC1572" s="213"/>
      <c r="BD1572" s="213"/>
    </row>
    <row r="1573">
      <c r="A1573" s="213">
        <f>IFERROR(__xludf.DUMMYFUNCTION("""COMPUTED_VALUE"""),862.0)</f>
        <v>862</v>
      </c>
      <c r="B1573" s="213" t="str">
        <f>IFERROR(__xludf.DUMMYFUNCTION("""COMPUTED_VALUE"""),"6049 RICARDO PALMA")</f>
        <v>6049 RICARDO PALMA</v>
      </c>
      <c r="C1573" s="213" t="str">
        <f>IFERROR(__xludf.DUMMYFUNCTION("""COMPUTED_VALUE"""),"TALLER SFT DE ELECTRICIDAD")</f>
        <v>TALLER SFT DE ELECTRICIDAD</v>
      </c>
      <c r="D1573" s="213" t="str">
        <f>IFERROR(__xludf.DUMMYFUNCTION("""COMPUTED_VALUE"""),"PEDAGOGICO")</f>
        <v>PEDAGOGICO</v>
      </c>
      <c r="E1573" s="213" t="str">
        <f>IFERROR(__xludf.DUMMYFUNCTION("""COMPUTED_VALUE"""),"MAT-375")</f>
        <v>MAT-375</v>
      </c>
      <c r="F1573" s="213" t="str">
        <f>IFERROR(__xludf.DUMMYFUNCTION("""COMPUTED_VALUE"""),"KEFF-03")</f>
        <v>KEFF-03</v>
      </c>
      <c r="G1573" s="213"/>
      <c r="H1573" s="213" t="str">
        <f>IFERROR(__xludf.DUMMYFUNCTION("""COMPUTED_VALUE"""),"MANUAL PEDAGÓGICO PARA IDENTIFICAR NECESIDADES Y PROBLEMAS UTILIZANDO LOS EQUIPOS")</f>
        <v>MANUAL PEDAGÓGICO PARA IDENTIFICAR NECESIDADES Y PROBLEMAS UTILIZANDO LOS EQUIPOS</v>
      </c>
      <c r="I157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pa"&amp;"pel bond de 75				
gramos de 80% de blancura como mínimo.				
· Tamaño: como mínimo 21 x 29,7 cm				
· Tipo de Encuadernación: caballete con 2 grapas cuando sea menos de 80 páginas y encolado cuando				
sea más de 80 páginas.				
· Contenido que presenta:"&amp;"				
- Teoría del estudio de necesidades y problemas del cliente.				
- Técnicas e instrumentos para identificar necesidades y problemas.				
- Procedimientos ejemplificados de diseño, aplicación, procesamiento de información de entrevistas y				
encuesta"&amp;"s utilizando los equipos.				
· Procedimientos de diseño, aplicación y procesamiento de información de estudios de necesidades y				
problemas utilizando la filmadora y cámara fotográfica.				
- Instrumentos de evaluación.				
- Enlaces de interés para am"&amp;"pliar información (Cod. QR)				")</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				</v>
      </c>
      <c r="J1573" s="213">
        <f>IFERROR(__xludf.DUMMYFUNCTION("""COMPUTED_VALUE"""),3.0)</f>
        <v>3</v>
      </c>
      <c r="K1573" s="213" t="str">
        <f>IFERROR(__xludf.DUMMYFUNCTION("""COMPUTED_VALUE"""),"170 DÍAS CALENDARIO")</f>
        <v>170 DÍAS CALENDARIO</v>
      </c>
      <c r="L1573" s="213" t="str">
        <f>IFERROR(__xludf.DUMMYFUNCTION("""COMPUTED_VALUE"""),"")</f>
        <v/>
      </c>
      <c r="M1573" s="213">
        <f>IFERROR(__xludf.DUMMYFUNCTION("""COMPUTED_VALUE"""),1.0)</f>
        <v>1</v>
      </c>
      <c r="N1573" s="213">
        <f>IFERROR(__xludf.DUMMYFUNCTION("""COMPUTED_VALUE"""),2.0)</f>
        <v>2</v>
      </c>
      <c r="O1573" s="213">
        <f>IFERROR(__xludf.DUMMYFUNCTION("""COMPUTED_VALUE"""),2.0)</f>
        <v>2</v>
      </c>
      <c r="P1573" s="213"/>
      <c r="Q1573" s="213"/>
      <c r="R1573" s="213"/>
      <c r="S1573" s="213"/>
      <c r="T1573" s="213"/>
      <c r="U1573" s="213"/>
      <c r="V1573" s="213"/>
      <c r="W1573" s="213"/>
      <c r="X1573" s="213"/>
      <c r="Y1573" s="213"/>
      <c r="Z1573" s="213"/>
      <c r="AA1573" s="213"/>
      <c r="AB1573" s="213"/>
      <c r="AC1573" s="213"/>
      <c r="AD1573" s="213"/>
      <c r="AE1573" s="213"/>
      <c r="AF1573" s="213"/>
      <c r="AG1573" s="213"/>
      <c r="AH1573" s="213"/>
      <c r="AI1573" s="213"/>
      <c r="AJ1573" s="213"/>
      <c r="AK1573" s="213"/>
      <c r="AL1573" s="213"/>
      <c r="AM1573" s="213"/>
      <c r="AN1573" s="213"/>
      <c r="AO1573" s="213"/>
      <c r="AP1573" s="213"/>
      <c r="AQ1573" s="213"/>
      <c r="AR1573" s="213"/>
      <c r="AS1573" s="213"/>
      <c r="AT1573" s="213"/>
      <c r="AU1573" s="213"/>
      <c r="AV1573" s="213"/>
      <c r="AW1573" s="213"/>
      <c r="AX1573" s="213"/>
      <c r="AY1573" s="213"/>
      <c r="AZ1573" s="213"/>
      <c r="BA1573" s="213"/>
      <c r="BB1573" s="213"/>
      <c r="BC1573" s="213"/>
      <c r="BD1573" s="213"/>
    </row>
    <row r="1574">
      <c r="A1574" s="213">
        <f>IFERROR(__xludf.DUMMYFUNCTION("""COMPUTED_VALUE"""),1007.0)</f>
        <v>1007</v>
      </c>
      <c r="B1574" s="213" t="str">
        <f>IFERROR(__xludf.DUMMYFUNCTION("""COMPUTED_VALUE"""),"FRANCISCO IRAZOLA")</f>
        <v>FRANCISCO IRAZOLA</v>
      </c>
      <c r="C1574" s="213" t="str">
        <f>IFERROR(__xludf.DUMMYFUNCTION("""COMPUTED_VALUE"""),"TALLER SFT DE MECÁNICA AUTOMOTRIZ")</f>
        <v>TALLER SFT DE MECÁNICA AUTOMOTRIZ</v>
      </c>
      <c r="D1574" s="213" t="str">
        <f>IFERROR(__xludf.DUMMYFUNCTION("""COMPUTED_VALUE"""),"PEDAGOGICO")</f>
        <v>PEDAGOGICO</v>
      </c>
      <c r="E1574" s="213" t="str">
        <f>IFERROR(__xludf.DUMMYFUNCTION("""COMPUTED_VALUE"""),"MAT-375")</f>
        <v>MAT-375</v>
      </c>
      <c r="F1574" s="213" t="str">
        <f>IFERROR(__xludf.DUMMYFUNCTION("""COMPUTED_VALUE"""),"KEFF-03")</f>
        <v>KEFF-03</v>
      </c>
      <c r="G1574" s="213"/>
      <c r="H1574" s="213" t="str">
        <f>IFERROR(__xludf.DUMMYFUNCTION("""COMPUTED_VALUE"""),"MANUAL PEDAGÓGICO PARA IDENTIFICAR NECESIDADES Y PROBLEMAS UTILIZANDO LOS EQUIPOS")</f>
        <v>MANUAL PEDAGÓGICO PARA IDENTIFICAR NECESIDADES Y PROBLEMAS UTILIZANDO LOS EQUIPOS</v>
      </c>
      <c r="I157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Teoría del estudio de "&amp;"necesidades y problemas del cliente.
- Técnicas e instrumentos para identificar necesidades y problemas.
- Procedimientos ejemplificados de diseño, aplicación, procesamiento de información de entrevistas y encuestas utilizando los equipos.
· Procedimiento"&amp;"s de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74" s="213">
        <f>IFERROR(__xludf.DUMMYFUNCTION("""COMPUTED_VALUE"""),3.0)</f>
        <v>3</v>
      </c>
      <c r="K1574" s="213" t="str">
        <f>IFERROR(__xludf.DUMMYFUNCTION("""COMPUTED_VALUE"""),"170 DÍAS CALENDARIO")</f>
        <v>170 DÍAS CALENDARIO</v>
      </c>
      <c r="L1574" s="213" t="str">
        <f>IFERROR(__xludf.DUMMYFUNCTION("""COMPUTED_VALUE"""),"")</f>
        <v/>
      </c>
      <c r="M1574" s="213">
        <f>IFERROR(__xludf.DUMMYFUNCTION("""COMPUTED_VALUE"""),1.0)</f>
        <v>1</v>
      </c>
      <c r="N1574" s="213">
        <f>IFERROR(__xludf.DUMMYFUNCTION("""COMPUTED_VALUE"""),2.0)</f>
        <v>2</v>
      </c>
      <c r="O1574" s="213">
        <f>IFERROR(__xludf.DUMMYFUNCTION("""COMPUTED_VALUE"""),2.0)</f>
        <v>2</v>
      </c>
      <c r="P1574" s="213"/>
      <c r="Q1574" s="213"/>
      <c r="R1574" s="213"/>
      <c r="S1574" s="213"/>
      <c r="T1574" s="213"/>
      <c r="U1574" s="213"/>
      <c r="V1574" s="213"/>
      <c r="W1574" s="213"/>
      <c r="X1574" s="213"/>
      <c r="Y1574" s="213"/>
      <c r="Z1574" s="213"/>
      <c r="AA1574" s="213"/>
      <c r="AB1574" s="213"/>
      <c r="AC1574" s="213"/>
      <c r="AD1574" s="213"/>
      <c r="AE1574" s="213"/>
      <c r="AF1574" s="213"/>
      <c r="AG1574" s="213"/>
      <c r="AH1574" s="213"/>
      <c r="AI1574" s="213"/>
      <c r="AJ1574" s="213"/>
      <c r="AK1574" s="213"/>
      <c r="AL1574" s="213"/>
      <c r="AM1574" s="213"/>
      <c r="AN1574" s="213"/>
      <c r="AO1574" s="213"/>
      <c r="AP1574" s="213"/>
      <c r="AQ1574" s="213"/>
      <c r="AR1574" s="213"/>
      <c r="AS1574" s="213"/>
      <c r="AT1574" s="213"/>
      <c r="AU1574" s="213"/>
      <c r="AV1574" s="213"/>
      <c r="AW1574" s="213"/>
      <c r="AX1574" s="213"/>
      <c r="AY1574" s="213"/>
      <c r="AZ1574" s="213"/>
      <c r="BA1574" s="213"/>
      <c r="BB1574" s="213"/>
      <c r="BC1574" s="213"/>
      <c r="BD1574" s="213"/>
    </row>
    <row r="1575">
      <c r="A1575" s="213">
        <f>IFERROR(__xludf.DUMMYFUNCTION("""COMPUTED_VALUE"""),1200.0)</f>
        <v>1200</v>
      </c>
      <c r="B1575" s="213" t="str">
        <f>IFERROR(__xludf.DUMMYFUNCTION("""COMPUTED_VALUE"""),"FRANCISCO IRAZOLA")</f>
        <v>FRANCISCO IRAZOLA</v>
      </c>
      <c r="C1575" s="213" t="str">
        <f>IFERROR(__xludf.DUMMYFUNCTION("""COMPUTED_VALUE"""),"TALLER SFT DE INDUSTRIA ALIMENTARIA")</f>
        <v>TALLER SFT DE INDUSTRIA ALIMENTARIA</v>
      </c>
      <c r="D1575" s="213" t="str">
        <f>IFERROR(__xludf.DUMMYFUNCTION("""COMPUTED_VALUE"""),"PEDAGOGICO")</f>
        <v>PEDAGOGICO</v>
      </c>
      <c r="E1575" s="213" t="str">
        <f>IFERROR(__xludf.DUMMYFUNCTION("""COMPUTED_VALUE"""),"MAT-376")</f>
        <v>MAT-376</v>
      </c>
      <c r="F1575" s="213" t="str">
        <f>IFERROR(__xludf.DUMMYFUNCTION("""COMPUTED_VALUE"""),"KEFF-03")</f>
        <v>KEFF-03</v>
      </c>
      <c r="G1575" s="213"/>
      <c r="H1575" s="213" t="str">
        <f>IFERROR(__xludf.DUMMYFUNCTION("""COMPUTED_VALUE"""),"MANUAL PEDAGÓGICO PARA IDENTIFICAR NECESIDADES Y PROBLEMAS UTILIZANDO LOS EQUIPOS")</f>
        <v>MANUAL PEDAGÓGICO PARA IDENTIFICAR NECESIDADES Y PROBLEMAS UTILIZANDO LOS EQUIPOS</v>
      </c>
      <c r="I1575"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Teoría del estudio de nec"&amp;"esidades y problemas del cliente.
- Técnicas e instrumentos para identificar necesidades y problemas.
- Procedimientos ejemplificados de diseño, aplicación, procesamiento de información de entrevistas y encuestas utilizando los equipos.
· Procedimientos d"&amp;"e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75" s="213">
        <f>IFERROR(__xludf.DUMMYFUNCTION("""COMPUTED_VALUE"""),3.0)</f>
        <v>3</v>
      </c>
      <c r="K1575" s="213" t="str">
        <f>IFERROR(__xludf.DUMMYFUNCTION("""COMPUTED_VALUE"""),"170 DÍAS CALENDARIO")</f>
        <v>170 DÍAS CALENDARIO</v>
      </c>
      <c r="L1575" s="213" t="str">
        <f>IFERROR(__xludf.DUMMYFUNCTION("""COMPUTED_VALUE"""),"")</f>
        <v/>
      </c>
      <c r="M1575" s="213">
        <f>IFERROR(__xludf.DUMMYFUNCTION("""COMPUTED_VALUE"""),1.0)</f>
        <v>1</v>
      </c>
      <c r="N1575" s="213">
        <f>IFERROR(__xludf.DUMMYFUNCTION("""COMPUTED_VALUE"""),2.0)</f>
        <v>2</v>
      </c>
      <c r="O1575" s="213">
        <f>IFERROR(__xludf.DUMMYFUNCTION("""COMPUTED_VALUE"""),2.0)</f>
        <v>2</v>
      </c>
      <c r="P1575" s="213"/>
      <c r="Q1575" s="213"/>
      <c r="R1575" s="213"/>
      <c r="S1575" s="213"/>
      <c r="T1575" s="213"/>
      <c r="U1575" s="213"/>
      <c r="V1575" s="213"/>
      <c r="W1575" s="213"/>
      <c r="X1575" s="213"/>
      <c r="Y1575" s="213"/>
      <c r="Z1575" s="213"/>
      <c r="AA1575" s="213"/>
      <c r="AB1575" s="213"/>
      <c r="AC1575" s="213"/>
      <c r="AD1575" s="213"/>
      <c r="AE1575" s="213"/>
      <c r="AF1575" s="213"/>
      <c r="AG1575" s="213"/>
      <c r="AH1575" s="213"/>
      <c r="AI1575" s="213"/>
      <c r="AJ1575" s="213"/>
      <c r="AK1575" s="213"/>
      <c r="AL1575" s="213"/>
      <c r="AM1575" s="213"/>
      <c r="AN1575" s="213"/>
      <c r="AO1575" s="213"/>
      <c r="AP1575" s="213"/>
      <c r="AQ1575" s="213"/>
      <c r="AR1575" s="213"/>
      <c r="AS1575" s="213"/>
      <c r="AT1575" s="213"/>
      <c r="AU1575" s="213"/>
      <c r="AV1575" s="213"/>
      <c r="AW1575" s="213"/>
      <c r="AX1575" s="213"/>
      <c r="AY1575" s="213"/>
      <c r="AZ1575" s="213"/>
      <c r="BA1575" s="213"/>
      <c r="BB1575" s="213"/>
      <c r="BC1575" s="213"/>
      <c r="BD1575" s="213"/>
    </row>
    <row r="1576">
      <c r="A1576" s="213">
        <f>IFERROR(__xludf.DUMMYFUNCTION("""COMPUTED_VALUE"""),1284.0)</f>
        <v>1284</v>
      </c>
      <c r="B1576" s="213" t="str">
        <f>IFERROR(__xludf.DUMMYFUNCTION("""COMPUTED_VALUE"""),"GUILLERMO E. BILLINGHURST ")</f>
        <v>GUILLERMO E. BILLINGHURST </v>
      </c>
      <c r="C1576" s="213" t="str">
        <f>IFERROR(__xludf.DUMMYFUNCTION("""COMPUTED_VALUE"""),"TALLER SFT DE ELECTRICIDAD")</f>
        <v>TALLER SFT DE ELECTRICIDAD</v>
      </c>
      <c r="D1576" s="213" t="str">
        <f>IFERROR(__xludf.DUMMYFUNCTION("""COMPUTED_VALUE"""),"PEDAGOGICO")</f>
        <v>PEDAGOGICO</v>
      </c>
      <c r="E1576" s="213" t="str">
        <f>IFERROR(__xludf.DUMMYFUNCTION("""COMPUTED_VALUE"""),"MAT-375")</f>
        <v>MAT-375</v>
      </c>
      <c r="F1576" s="213" t="str">
        <f>IFERROR(__xludf.DUMMYFUNCTION("""COMPUTED_VALUE"""),"KEFF-03")</f>
        <v>KEFF-03</v>
      </c>
      <c r="G1576" s="213"/>
      <c r="H1576" s="213" t="str">
        <f>IFERROR(__xludf.DUMMYFUNCTION("""COMPUTED_VALUE"""),"MANUAL PEDAGÓGICO PARA IDENTIFICAR NECESIDADES Y PROBLEMAS UTILIZANDO LOS EQUIPOS")</f>
        <v>MANUAL PEDAGÓGICO PARA IDENTIFICAR NECESIDADES Y PROBLEMAS UTILIZANDO LOS EQUIPOS</v>
      </c>
      <c r="I157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pa"&amp;"pel bond de 75				
gramos de 80% de blancura como mínimo.				
· Tamaño: como mínimo 21 x 29,7 cm				
· Tipo de Encuadernación: caballete con 2 grapas cuando sea menos de 80 páginas y encolado cuando				
sea más de 80 páginas.				
· Contenido que presenta:"&amp;"				
- Teoría del estudio de necesidades y problemas del cliente.				
- Técnicas e instrumentos para identificar necesidades y problemas.				
- Procedimientos ejemplificados de diseño, aplicación, procesamiento de información de entrevistas y				
encuesta"&amp;"s utilizando los equipos.				
· Procedimientos de diseño, aplicación y procesamiento de información de estudios de necesidades y				
problemas utilizando la filmadora y cámara fotográfica.				
- Instrumentos de evaluación.				
- Enlaces de interés para am"&amp;"pliar información (Cod. QR)				")</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				</v>
      </c>
      <c r="J1576" s="213">
        <f>IFERROR(__xludf.DUMMYFUNCTION("""COMPUTED_VALUE"""),3.0)</f>
        <v>3</v>
      </c>
      <c r="K1576" s="213" t="str">
        <f>IFERROR(__xludf.DUMMYFUNCTION("""COMPUTED_VALUE"""),"170 DÍAS CALENDARIO")</f>
        <v>170 DÍAS CALENDARIO</v>
      </c>
      <c r="L1576" s="213" t="str">
        <f>IFERROR(__xludf.DUMMYFUNCTION("""COMPUTED_VALUE"""),"")</f>
        <v/>
      </c>
      <c r="M1576" s="213">
        <f>IFERROR(__xludf.DUMMYFUNCTION("""COMPUTED_VALUE"""),1.0)</f>
        <v>1</v>
      </c>
      <c r="N1576" s="213">
        <f>IFERROR(__xludf.DUMMYFUNCTION("""COMPUTED_VALUE"""),2.0)</f>
        <v>2</v>
      </c>
      <c r="O1576" s="213">
        <f>IFERROR(__xludf.DUMMYFUNCTION("""COMPUTED_VALUE"""),2.0)</f>
        <v>2</v>
      </c>
      <c r="P1576" s="213"/>
      <c r="Q1576" s="213"/>
      <c r="R1576" s="213"/>
      <c r="S1576" s="213"/>
      <c r="T1576" s="213"/>
      <c r="U1576" s="213"/>
      <c r="V1576" s="213"/>
      <c r="W1576" s="213"/>
      <c r="X1576" s="213"/>
      <c r="Y1576" s="213"/>
      <c r="Z1576" s="213"/>
      <c r="AA1576" s="213"/>
      <c r="AB1576" s="213"/>
      <c r="AC1576" s="213"/>
      <c r="AD1576" s="213"/>
      <c r="AE1576" s="213"/>
      <c r="AF1576" s="213"/>
      <c r="AG1576" s="213"/>
      <c r="AH1576" s="213"/>
      <c r="AI1576" s="213"/>
      <c r="AJ1576" s="213"/>
      <c r="AK1576" s="213"/>
      <c r="AL1576" s="213"/>
      <c r="AM1576" s="213"/>
      <c r="AN1576" s="213"/>
      <c r="AO1576" s="213"/>
      <c r="AP1576" s="213"/>
      <c r="AQ1576" s="213"/>
      <c r="AR1576" s="213"/>
      <c r="AS1576" s="213"/>
      <c r="AT1576" s="213"/>
      <c r="AU1576" s="213"/>
      <c r="AV1576" s="213"/>
      <c r="AW1576" s="213"/>
      <c r="AX1576" s="213"/>
      <c r="AY1576" s="213"/>
      <c r="AZ1576" s="213"/>
      <c r="BA1576" s="213"/>
      <c r="BB1576" s="213"/>
      <c r="BC1576" s="213"/>
      <c r="BD1576" s="213"/>
    </row>
    <row r="1577">
      <c r="A1577" s="213">
        <f>IFERROR(__xludf.DUMMYFUNCTION("""COMPUTED_VALUE"""),1471.0)</f>
        <v>1471</v>
      </c>
      <c r="B1577" s="213" t="str">
        <f>IFERROR(__xludf.DUMMYFUNCTION("""COMPUTED_VALUE"""),"GUILLERMO E. BILLINGHURST ")</f>
        <v>GUILLERMO E. BILLINGHURST </v>
      </c>
      <c r="C1577" s="213" t="str">
        <f>IFERROR(__xludf.DUMMYFUNCTION("""COMPUTED_VALUE"""),"TALLER SFT DE INDUSTRIA ALIMENTARIA")</f>
        <v>TALLER SFT DE INDUSTRIA ALIMENTARIA</v>
      </c>
      <c r="D1577" s="213" t="str">
        <f>IFERROR(__xludf.DUMMYFUNCTION("""COMPUTED_VALUE"""),"PEDAGOGICO")</f>
        <v>PEDAGOGICO</v>
      </c>
      <c r="E1577" s="213" t="str">
        <f>IFERROR(__xludf.DUMMYFUNCTION("""COMPUTED_VALUE"""),"MAT-376")</f>
        <v>MAT-376</v>
      </c>
      <c r="F1577" s="213" t="str">
        <f>IFERROR(__xludf.DUMMYFUNCTION("""COMPUTED_VALUE"""),"KEFF-03")</f>
        <v>KEFF-03</v>
      </c>
      <c r="G1577" s="213"/>
      <c r="H1577" s="213" t="str">
        <f>IFERROR(__xludf.DUMMYFUNCTION("""COMPUTED_VALUE"""),"MANUAL PEDAGÓGICO PARA IDENTIFICAR NECESIDADES Y PROBLEMAS UTILIZANDO LOS EQUIPOS")</f>
        <v>MANUAL PEDAGÓGICO PARA IDENTIFICAR NECESIDADES Y PROBLEMAS UTILIZANDO LOS EQUIPOS</v>
      </c>
      <c r="I1577"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Teoría del estudio de nec"&amp;"esidades y problemas del cliente.
- Técnicas e instrumentos para identificar necesidades y problemas.
- Procedimientos ejemplificados de diseño, aplicación, procesamiento de información de entrevistas y encuestas utilizando los equipos.
· Procedimientos d"&amp;"e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77" s="213">
        <f>IFERROR(__xludf.DUMMYFUNCTION("""COMPUTED_VALUE"""),3.0)</f>
        <v>3</v>
      </c>
      <c r="K1577" s="213" t="str">
        <f>IFERROR(__xludf.DUMMYFUNCTION("""COMPUTED_VALUE"""),"170 DÍAS CALENDARIO")</f>
        <v>170 DÍAS CALENDARIO</v>
      </c>
      <c r="L1577" s="213" t="str">
        <f>IFERROR(__xludf.DUMMYFUNCTION("""COMPUTED_VALUE"""),"")</f>
        <v/>
      </c>
      <c r="M1577" s="213">
        <f>IFERROR(__xludf.DUMMYFUNCTION("""COMPUTED_VALUE"""),1.0)</f>
        <v>1</v>
      </c>
      <c r="N1577" s="213">
        <f>IFERROR(__xludf.DUMMYFUNCTION("""COMPUTED_VALUE"""),2.0)</f>
        <v>2</v>
      </c>
      <c r="O1577" s="213">
        <f>IFERROR(__xludf.DUMMYFUNCTION("""COMPUTED_VALUE"""),2.0)</f>
        <v>2</v>
      </c>
      <c r="P1577" s="213"/>
      <c r="Q1577" s="213"/>
      <c r="R1577" s="213"/>
      <c r="S1577" s="213"/>
      <c r="T1577" s="213"/>
      <c r="U1577" s="213"/>
      <c r="V1577" s="213"/>
      <c r="W1577" s="213"/>
      <c r="X1577" s="213"/>
      <c r="Y1577" s="213"/>
      <c r="Z1577" s="213"/>
      <c r="AA1577" s="213"/>
      <c r="AB1577" s="213"/>
      <c r="AC1577" s="213"/>
      <c r="AD1577" s="213"/>
      <c r="AE1577" s="213"/>
      <c r="AF1577" s="213"/>
      <c r="AG1577" s="213"/>
      <c r="AH1577" s="213"/>
      <c r="AI1577" s="213"/>
      <c r="AJ1577" s="213"/>
      <c r="AK1577" s="213"/>
      <c r="AL1577" s="213"/>
      <c r="AM1577" s="213"/>
      <c r="AN1577" s="213"/>
      <c r="AO1577" s="213"/>
      <c r="AP1577" s="213"/>
      <c r="AQ1577" s="213"/>
      <c r="AR1577" s="213"/>
      <c r="AS1577" s="213"/>
      <c r="AT1577" s="213"/>
      <c r="AU1577" s="213"/>
      <c r="AV1577" s="213"/>
      <c r="AW1577" s="213"/>
      <c r="AX1577" s="213"/>
      <c r="AY1577" s="213"/>
      <c r="AZ1577" s="213"/>
      <c r="BA1577" s="213"/>
      <c r="BB1577" s="213"/>
      <c r="BC1577" s="213"/>
      <c r="BD1577" s="213"/>
    </row>
    <row r="1578">
      <c r="A1578" s="213">
        <f>IFERROR(__xludf.DUMMYFUNCTION("""COMPUTED_VALUE"""),1612.0)</f>
        <v>1612</v>
      </c>
      <c r="B1578" s="213" t="str">
        <f>IFERROR(__xludf.DUMMYFUNCTION("""COMPUTED_VALUE"""),"GUILLERMO E. BILLINGHURST ")</f>
        <v>GUILLERMO E. BILLINGHURST </v>
      </c>
      <c r="C1578" s="213" t="str">
        <f>IFERROR(__xludf.DUMMYFUNCTION("""COMPUTED_VALUE"""),"TALLER SFT DE MECÁNICA AUTOMOTRIZ")</f>
        <v>TALLER SFT DE MECÁNICA AUTOMOTRIZ</v>
      </c>
      <c r="D1578" s="213" t="str">
        <f>IFERROR(__xludf.DUMMYFUNCTION("""COMPUTED_VALUE"""),"PEDAGOGICO")</f>
        <v>PEDAGOGICO</v>
      </c>
      <c r="E1578" s="213" t="str">
        <f>IFERROR(__xludf.DUMMYFUNCTION("""COMPUTED_VALUE"""),"MAT-375")</f>
        <v>MAT-375</v>
      </c>
      <c r="F1578" s="213" t="str">
        <f>IFERROR(__xludf.DUMMYFUNCTION("""COMPUTED_VALUE"""),"KEFF-03")</f>
        <v>KEFF-03</v>
      </c>
      <c r="G1578" s="213"/>
      <c r="H1578" s="213" t="str">
        <f>IFERROR(__xludf.DUMMYFUNCTION("""COMPUTED_VALUE"""),"MANUAL PEDAGÓGICO PARA IDENTIFICAR NECESIDADES Y PROBLEMAS UTILIZANDO LOS EQUIPOS")</f>
        <v>MANUAL PEDAGÓGICO PARA IDENTIFICAR NECESIDADES Y PROBLEMAS UTILIZANDO LOS EQUIPOS</v>
      </c>
      <c r="I1578"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Teoría del estudio de "&amp;"necesidades y problemas del cliente.
- Técnicas e instrumentos para identificar necesidades y problemas.
- Procedimientos ejemplificados de diseño, aplicación, procesamiento de información de entrevistas y encuestas utilizando los equipos.
· Procedimiento"&amp;"s de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78" s="213">
        <f>IFERROR(__xludf.DUMMYFUNCTION("""COMPUTED_VALUE"""),3.0)</f>
        <v>3</v>
      </c>
      <c r="K1578" s="213" t="str">
        <f>IFERROR(__xludf.DUMMYFUNCTION("""COMPUTED_VALUE"""),"170 DÍAS CALENDARIO")</f>
        <v>170 DÍAS CALENDARIO</v>
      </c>
      <c r="L1578" s="213" t="str">
        <f>IFERROR(__xludf.DUMMYFUNCTION("""COMPUTED_VALUE"""),"")</f>
        <v/>
      </c>
      <c r="M1578" s="213">
        <f>IFERROR(__xludf.DUMMYFUNCTION("""COMPUTED_VALUE"""),1.0)</f>
        <v>1</v>
      </c>
      <c r="N1578" s="213">
        <f>IFERROR(__xludf.DUMMYFUNCTION("""COMPUTED_VALUE"""),2.0)</f>
        <v>2</v>
      </c>
      <c r="O1578" s="213">
        <f>IFERROR(__xludf.DUMMYFUNCTION("""COMPUTED_VALUE"""),2.0)</f>
        <v>2</v>
      </c>
      <c r="P1578" s="213"/>
      <c r="Q1578" s="213"/>
      <c r="R1578" s="213"/>
      <c r="S1578" s="213"/>
      <c r="T1578" s="213"/>
      <c r="U1578" s="213"/>
      <c r="V1578" s="213"/>
      <c r="W1578" s="213"/>
      <c r="X1578" s="213"/>
      <c r="Y1578" s="213"/>
      <c r="Z1578" s="213"/>
      <c r="AA1578" s="213"/>
      <c r="AB1578" s="213"/>
      <c r="AC1578" s="213"/>
      <c r="AD1578" s="213"/>
      <c r="AE1578" s="213"/>
      <c r="AF1578" s="213"/>
      <c r="AG1578" s="213"/>
      <c r="AH1578" s="213"/>
      <c r="AI1578" s="213"/>
      <c r="AJ1578" s="213"/>
      <c r="AK1578" s="213"/>
      <c r="AL1578" s="213"/>
      <c r="AM1578" s="213"/>
      <c r="AN1578" s="213"/>
      <c r="AO1578" s="213"/>
      <c r="AP1578" s="213"/>
      <c r="AQ1578" s="213"/>
      <c r="AR1578" s="213"/>
      <c r="AS1578" s="213"/>
      <c r="AT1578" s="213"/>
      <c r="AU1578" s="213"/>
      <c r="AV1578" s="213"/>
      <c r="AW1578" s="213"/>
      <c r="AX1578" s="213"/>
      <c r="AY1578" s="213"/>
      <c r="AZ1578" s="213"/>
      <c r="BA1578" s="213"/>
      <c r="BB1578" s="213"/>
      <c r="BC1578" s="213"/>
      <c r="BD1578" s="213"/>
    </row>
    <row r="1579">
      <c r="A1579" s="213">
        <f>IFERROR(__xludf.DUMMYFUNCTION("""COMPUTED_VALUE"""),1720.0)</f>
        <v>1720</v>
      </c>
      <c r="B1579" s="213" t="str">
        <f>IFERROR(__xludf.DUMMYFUNCTION("""COMPUTED_VALUE"""),"GUILLERMO E. BILLINGHURST ")</f>
        <v>GUILLERMO E. BILLINGHURST </v>
      </c>
      <c r="C1579" s="213" t="str">
        <f>IFERROR(__xludf.DUMMYFUNCTION("""COMPUTED_VALUE"""),"TALLER SFT DE COMPUTACIÓN E INFORMÁTICA")</f>
        <v>TALLER SFT DE COMPUTACIÓN E INFORMÁTICA</v>
      </c>
      <c r="D1579" s="213" t="str">
        <f>IFERROR(__xludf.DUMMYFUNCTION("""COMPUTED_VALUE"""),"PEDAGOGICO")</f>
        <v>PEDAGOGICO</v>
      </c>
      <c r="E1579" s="213" t="str">
        <f>IFERROR(__xludf.DUMMYFUNCTION("""COMPUTED_VALUE"""),"MAT-375")</f>
        <v>MAT-375</v>
      </c>
      <c r="F1579" s="213" t="str">
        <f>IFERROR(__xludf.DUMMYFUNCTION("""COMPUTED_VALUE"""),"KEFF-03")</f>
        <v>KEFF-03</v>
      </c>
      <c r="G1579" s="213"/>
      <c r="H1579" s="213" t="str">
        <f>IFERROR(__xludf.DUMMYFUNCTION("""COMPUTED_VALUE"""),"MANUAL PEDAGÓGICO PARA IDENTIFICAR NECESIDADES Y PROBLEMAS UTILIZANDO LOS EQUIPOS")</f>
        <v>MANUAL PEDAGÓGICO PARA IDENTIFICAR NECESIDADES Y PROBLEMAS UTILIZANDO LOS EQUIPOS</v>
      </c>
      <c r="I1579"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Contenido que presenta:
- Teoría del estudio de neces"&amp;"idades y problemas del cliente.
- Técnicas e instrumentos para identificar necesidades y problemas.
- Procedimientos ejemplificados de diseño, aplicación, procesamiento de información de entrevistas y encuestas utilizando los equipos  (fichas de trabajo)."&amp;"
· Procedimientos de diseño,  procesamiento de información,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(fichas de trabajo).
· Procedimientos de diseño,  procesamiento de información, estudios de necesidades y problemas utilizando la filmadora y cámara fotográfica.
- Instrumentos de evaluación.
- Enlaces de interés para ampliar información (Cod. QR)</v>
      </c>
      <c r="J1579" s="213">
        <f>IFERROR(__xludf.DUMMYFUNCTION("""COMPUTED_VALUE"""),3.0)</f>
        <v>3</v>
      </c>
      <c r="K1579" s="213" t="str">
        <f>IFERROR(__xludf.DUMMYFUNCTION("""COMPUTED_VALUE"""),"170 DÍAS CALENDARIO")</f>
        <v>170 DÍAS CALENDARIO</v>
      </c>
      <c r="L1579" s="213" t="str">
        <f>IFERROR(__xludf.DUMMYFUNCTION("""COMPUTED_VALUE"""),"")</f>
        <v/>
      </c>
      <c r="M1579" s="213">
        <f>IFERROR(__xludf.DUMMYFUNCTION("""COMPUTED_VALUE"""),1.0)</f>
        <v>1</v>
      </c>
      <c r="N1579" s="213">
        <f>IFERROR(__xludf.DUMMYFUNCTION("""COMPUTED_VALUE"""),2.0)</f>
        <v>2</v>
      </c>
      <c r="O1579" s="213">
        <f>IFERROR(__xludf.DUMMYFUNCTION("""COMPUTED_VALUE"""),2.0)</f>
        <v>2</v>
      </c>
      <c r="P1579" s="213"/>
      <c r="Q1579" s="213"/>
      <c r="R1579" s="213"/>
      <c r="S1579" s="213"/>
      <c r="T1579" s="213"/>
      <c r="U1579" s="213"/>
      <c r="V1579" s="213"/>
      <c r="W1579" s="213"/>
      <c r="X1579" s="213"/>
      <c r="Y1579" s="213"/>
      <c r="Z1579" s="213"/>
      <c r="AA1579" s="213"/>
      <c r="AB1579" s="213"/>
      <c r="AC1579" s="213"/>
      <c r="AD1579" s="213"/>
      <c r="AE1579" s="213"/>
      <c r="AF1579" s="213"/>
      <c r="AG1579" s="213"/>
      <c r="AH1579" s="213"/>
      <c r="AI1579" s="213"/>
      <c r="AJ1579" s="213"/>
      <c r="AK1579" s="213"/>
      <c r="AL1579" s="213"/>
      <c r="AM1579" s="213"/>
      <c r="AN1579" s="213"/>
      <c r="AO1579" s="213"/>
      <c r="AP1579" s="213"/>
      <c r="AQ1579" s="213"/>
      <c r="AR1579" s="213"/>
      <c r="AS1579" s="213"/>
      <c r="AT1579" s="213"/>
      <c r="AU1579" s="213"/>
      <c r="AV1579" s="213"/>
      <c r="AW1579" s="213"/>
      <c r="AX1579" s="213"/>
      <c r="AY1579" s="213"/>
      <c r="AZ1579" s="213"/>
      <c r="BA1579" s="213"/>
      <c r="BB1579" s="213"/>
      <c r="BC1579" s="213"/>
      <c r="BD1579" s="213"/>
    </row>
    <row r="1580">
      <c r="A1580" s="213">
        <f>IFERROR(__xludf.DUMMYFUNCTION("""COMPUTED_VALUE"""),1875.0)</f>
        <v>1875</v>
      </c>
      <c r="B1580" s="213" t="str">
        <f>IFERROR(__xludf.DUMMYFUNCTION("""COMPUTED_VALUE"""),"GUILLERMO E. BILLINGHURST ")</f>
        <v>GUILLERMO E. BILLINGHURST </v>
      </c>
      <c r="C1580" s="213" t="str">
        <f>IFERROR(__xludf.DUMMYFUNCTION("""COMPUTED_VALUE"""),"TALLER SFT DE EBANISTERÍA")</f>
        <v>TALLER SFT DE EBANISTERÍA</v>
      </c>
      <c r="D1580" s="213" t="str">
        <f>IFERROR(__xludf.DUMMYFUNCTION("""COMPUTED_VALUE"""),"PEDAGOGICO")</f>
        <v>PEDAGOGICO</v>
      </c>
      <c r="E1580" s="213" t="str">
        <f>IFERROR(__xludf.DUMMYFUNCTION("""COMPUTED_VALUE"""),"MAT-376")</f>
        <v>MAT-376</v>
      </c>
      <c r="F1580" s="213" t="str">
        <f>IFERROR(__xludf.DUMMYFUNCTION("""COMPUTED_VALUE"""),"KEFF-03")</f>
        <v>KEFF-03</v>
      </c>
      <c r="G1580" s="213"/>
      <c r="H1580" s="213" t="str">
        <f>IFERROR(__xludf.DUMMYFUNCTION("""COMPUTED_VALUE"""),"MANUAL PEDAGÓGICO PARA IDENTIFICAR NECESIDADES Y PROBLEMAS UTILIZANDO LOS EQUIPOS")</f>
        <v>MANUAL PEDAGÓGICO PARA IDENTIFICAR NECESIDADES Y PROBLEMAS UTILIZANDO LOS EQUIPOS</v>
      </c>
      <c r="I1580"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Teoría del estudio de "&amp;"necesidades y problemas del cliente.
- Técnicas e instrumentos para identificar necesidades y problemas.
- Procedimientos ejemplificados de diseño, aplicación, procesamiento de información de entrevistas y encuestas utilizando los equipos.
· Procedimiento"&amp;"s de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80" s="213">
        <f>IFERROR(__xludf.DUMMYFUNCTION("""COMPUTED_VALUE"""),3.0)</f>
        <v>3</v>
      </c>
      <c r="K1580" s="213" t="str">
        <f>IFERROR(__xludf.DUMMYFUNCTION("""COMPUTED_VALUE"""),"170 DÍAS CALENDARIO")</f>
        <v>170 DÍAS CALENDARIO</v>
      </c>
      <c r="L1580" s="213" t="str">
        <f>IFERROR(__xludf.DUMMYFUNCTION("""COMPUTED_VALUE"""),"")</f>
        <v/>
      </c>
      <c r="M1580" s="213">
        <f>IFERROR(__xludf.DUMMYFUNCTION("""COMPUTED_VALUE"""),1.0)</f>
        <v>1</v>
      </c>
      <c r="N1580" s="213">
        <f>IFERROR(__xludf.DUMMYFUNCTION("""COMPUTED_VALUE"""),2.0)</f>
        <v>2</v>
      </c>
      <c r="O1580" s="213">
        <f>IFERROR(__xludf.DUMMYFUNCTION("""COMPUTED_VALUE"""),2.0)</f>
        <v>2</v>
      </c>
      <c r="P1580" s="213"/>
      <c r="Q1580" s="213"/>
      <c r="R1580" s="213"/>
      <c r="S1580" s="213"/>
      <c r="T1580" s="213"/>
      <c r="U1580" s="213"/>
      <c r="V1580" s="213"/>
      <c r="W1580" s="213"/>
      <c r="X1580" s="213"/>
      <c r="Y1580" s="213"/>
      <c r="Z1580" s="213"/>
      <c r="AA1580" s="213"/>
      <c r="AB1580" s="213"/>
      <c r="AC1580" s="213"/>
      <c r="AD1580" s="213"/>
      <c r="AE1580" s="213"/>
      <c r="AF1580" s="213"/>
      <c r="AG1580" s="213"/>
      <c r="AH1580" s="213"/>
      <c r="AI1580" s="213"/>
      <c r="AJ1580" s="213"/>
      <c r="AK1580" s="213"/>
      <c r="AL1580" s="213"/>
      <c r="AM1580" s="213"/>
      <c r="AN1580" s="213"/>
      <c r="AO1580" s="213"/>
      <c r="AP1580" s="213"/>
      <c r="AQ1580" s="213"/>
      <c r="AR1580" s="213"/>
      <c r="AS1580" s="213"/>
      <c r="AT1580" s="213"/>
      <c r="AU1580" s="213"/>
      <c r="AV1580" s="213"/>
      <c r="AW1580" s="213"/>
      <c r="AX1580" s="213"/>
      <c r="AY1580" s="213"/>
      <c r="AZ1580" s="213"/>
      <c r="BA1580" s="213"/>
      <c r="BB1580" s="213"/>
      <c r="BC1580" s="213"/>
      <c r="BD1580" s="213"/>
    </row>
    <row r="1581">
      <c r="A1581" s="213">
        <f>IFERROR(__xludf.DUMMYFUNCTION("""COMPUTED_VALUE"""),1970.0)</f>
        <v>1970</v>
      </c>
      <c r="B1581" s="213" t="str">
        <f>IFERROR(__xludf.DUMMYFUNCTION("""COMPUTED_VALUE"""),"JOSE GRANDA")</f>
        <v>JOSE GRANDA</v>
      </c>
      <c r="C1581" s="213" t="str">
        <f>IFERROR(__xludf.DUMMYFUNCTION("""COMPUTED_VALUE"""),"TALLER SFT DE COMPUTACIÓN E INFORMÁTICA")</f>
        <v>TALLER SFT DE COMPUTACIÓN E INFORMÁTICA</v>
      </c>
      <c r="D1581" s="213" t="str">
        <f>IFERROR(__xludf.DUMMYFUNCTION("""COMPUTED_VALUE"""),"PEDAGOGICO")</f>
        <v>PEDAGOGICO</v>
      </c>
      <c r="E1581" s="213" t="str">
        <f>IFERROR(__xludf.DUMMYFUNCTION("""COMPUTED_VALUE"""),"MAT-375")</f>
        <v>MAT-375</v>
      </c>
      <c r="F1581" s="213" t="str">
        <f>IFERROR(__xludf.DUMMYFUNCTION("""COMPUTED_VALUE"""),"KEFF-03")</f>
        <v>KEFF-03</v>
      </c>
      <c r="G1581" s="213"/>
      <c r="H1581" s="213" t="str">
        <f>IFERROR(__xludf.DUMMYFUNCTION("""COMPUTED_VALUE"""),"MANUAL PEDAGÓGICO PARA IDENTIFICAR NECESIDADES Y PROBLEMAS UTILIZANDO LOS EQUIPOS")</f>
        <v>MANUAL PEDAGÓGICO PARA IDENTIFICAR NECESIDADES Y PROBLEMAS UTILIZANDO LOS EQUIPOS</v>
      </c>
      <c r="I1581"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Contenido que presenta:
- Teoría del estudio de neces"&amp;"idades y problemas del cliente.
- Técnicas e instrumentos para identificar necesidades y problemas.
- Procedimientos ejemplificados de diseño, aplicación, procesamiento de información de entrevistas y encuestas utilizando los equipos  (fichas de trabajo)."&amp;"
· Procedimientos de diseño,  procesamiento de información,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(fichas de trabajo).
· Procedimientos de diseño,  procesamiento de información, estudios de necesidades y problemas utilizando la filmadora y cámara fotográfica.
- Instrumentos de evaluación.
- Enlaces de interés para ampliar información (Cod. QR)</v>
      </c>
      <c r="J1581" s="213">
        <f>IFERROR(__xludf.DUMMYFUNCTION("""COMPUTED_VALUE"""),3.0)</f>
        <v>3</v>
      </c>
      <c r="K1581" s="213" t="str">
        <f>IFERROR(__xludf.DUMMYFUNCTION("""COMPUTED_VALUE"""),"170 DÍAS CALENDARIO")</f>
        <v>170 DÍAS CALENDARIO</v>
      </c>
      <c r="L1581" s="213" t="str">
        <f>IFERROR(__xludf.DUMMYFUNCTION("""COMPUTED_VALUE"""),"")</f>
        <v/>
      </c>
      <c r="M1581" s="213">
        <f>IFERROR(__xludf.DUMMYFUNCTION("""COMPUTED_VALUE"""),1.0)</f>
        <v>1</v>
      </c>
      <c r="N1581" s="213">
        <f>IFERROR(__xludf.DUMMYFUNCTION("""COMPUTED_VALUE"""),2.0)</f>
        <v>2</v>
      </c>
      <c r="O1581" s="213">
        <f>IFERROR(__xludf.DUMMYFUNCTION("""COMPUTED_VALUE"""),2.0)</f>
        <v>2</v>
      </c>
      <c r="P1581" s="213"/>
      <c r="Q1581" s="213"/>
      <c r="R1581" s="213"/>
      <c r="S1581" s="213"/>
      <c r="T1581" s="213"/>
      <c r="U1581" s="213"/>
      <c r="V1581" s="213"/>
      <c r="W1581" s="213"/>
      <c r="X1581" s="213"/>
      <c r="Y1581" s="213"/>
      <c r="Z1581" s="213"/>
      <c r="AA1581" s="213"/>
      <c r="AB1581" s="213"/>
      <c r="AC1581" s="213"/>
      <c r="AD1581" s="213"/>
      <c r="AE1581" s="213"/>
      <c r="AF1581" s="213"/>
      <c r="AG1581" s="213"/>
      <c r="AH1581" s="213"/>
      <c r="AI1581" s="213"/>
      <c r="AJ1581" s="213"/>
      <c r="AK1581" s="213"/>
      <c r="AL1581" s="213"/>
      <c r="AM1581" s="213"/>
      <c r="AN1581" s="213"/>
      <c r="AO1581" s="213"/>
      <c r="AP1581" s="213"/>
      <c r="AQ1581" s="213"/>
      <c r="AR1581" s="213"/>
      <c r="AS1581" s="213"/>
      <c r="AT1581" s="213"/>
      <c r="AU1581" s="213"/>
      <c r="AV1581" s="213"/>
      <c r="AW1581" s="213"/>
      <c r="AX1581" s="213"/>
      <c r="AY1581" s="213"/>
      <c r="AZ1581" s="213"/>
      <c r="BA1581" s="213"/>
      <c r="BB1581" s="213"/>
      <c r="BC1581" s="213"/>
      <c r="BD1581" s="213"/>
    </row>
    <row r="1582">
      <c r="A1582" s="213">
        <f>IFERROR(__xludf.DUMMYFUNCTION("""COMPUTED_VALUE"""),2162.0)</f>
        <v>2162</v>
      </c>
      <c r="B1582" s="213" t="str">
        <f>IFERROR(__xludf.DUMMYFUNCTION("""COMPUTED_VALUE"""),"JOSE GRANDA")</f>
        <v>JOSE GRANDA</v>
      </c>
      <c r="C1582" s="213" t="str">
        <f>IFERROR(__xludf.DUMMYFUNCTION("""COMPUTED_VALUE"""),"TALLER SFT DE INDUSTRIA ALIMENTARIA")</f>
        <v>TALLER SFT DE INDUSTRIA ALIMENTARIA</v>
      </c>
      <c r="D1582" s="213" t="str">
        <f>IFERROR(__xludf.DUMMYFUNCTION("""COMPUTED_VALUE"""),"PEDAGOGICO")</f>
        <v>PEDAGOGICO</v>
      </c>
      <c r="E1582" s="213" t="str">
        <f>IFERROR(__xludf.DUMMYFUNCTION("""COMPUTED_VALUE"""),"MAT-376")</f>
        <v>MAT-376</v>
      </c>
      <c r="F1582" s="213" t="str">
        <f>IFERROR(__xludf.DUMMYFUNCTION("""COMPUTED_VALUE"""),"KEFF-03")</f>
        <v>KEFF-03</v>
      </c>
      <c r="G1582" s="213"/>
      <c r="H1582" s="213" t="str">
        <f>IFERROR(__xludf.DUMMYFUNCTION("""COMPUTED_VALUE"""),"MANUAL PEDAGÓGICO PARA IDENTIFICAR NECESIDADES Y PROBLEMAS UTILIZANDO LOS EQUIPOS")</f>
        <v>MANUAL PEDAGÓGICO PARA IDENTIFICAR NECESIDADES Y PROBLEMAS UTILIZANDO LOS EQUIPOS</v>
      </c>
      <c r="I1582"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x 29,7 cm
· Tipo de Encuadernación: caballete con 2 grapas cuando sea menos de 80 páginas y encolado cuando sea más de 80 páginas.
· Contenido que presenta:
- Teoría del estudio de nec"&amp;"esidades y problemas del cliente.
- Técnicas e instrumentos para identificar necesidades y problemas.
- Procedimientos ejemplificados de diseño, aplicación, procesamiento de información de entrevistas y encuestas utilizando los equipos.
· Procedimientos d"&amp;"e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82" s="213">
        <f>IFERROR(__xludf.DUMMYFUNCTION("""COMPUTED_VALUE"""),3.0)</f>
        <v>3</v>
      </c>
      <c r="K1582" s="213" t="str">
        <f>IFERROR(__xludf.DUMMYFUNCTION("""COMPUTED_VALUE"""),"170 DÍAS CALENDARIO")</f>
        <v>170 DÍAS CALENDARIO</v>
      </c>
      <c r="L1582" s="213" t="str">
        <f>IFERROR(__xludf.DUMMYFUNCTION("""COMPUTED_VALUE"""),"")</f>
        <v/>
      </c>
      <c r="M1582" s="213">
        <f>IFERROR(__xludf.DUMMYFUNCTION("""COMPUTED_VALUE"""),1.0)</f>
        <v>1</v>
      </c>
      <c r="N1582" s="213">
        <f>IFERROR(__xludf.DUMMYFUNCTION("""COMPUTED_VALUE"""),2.0)</f>
        <v>2</v>
      </c>
      <c r="O1582" s="213">
        <f>IFERROR(__xludf.DUMMYFUNCTION("""COMPUTED_VALUE"""),2.0)</f>
        <v>2</v>
      </c>
      <c r="P1582" s="213"/>
      <c r="Q1582" s="213"/>
      <c r="R1582" s="213"/>
      <c r="S1582" s="213"/>
      <c r="T1582" s="213"/>
      <c r="U1582" s="213"/>
      <c r="V1582" s="213"/>
      <c r="W1582" s="213"/>
      <c r="X1582" s="213"/>
      <c r="Y1582" s="213"/>
      <c r="Z1582" s="213"/>
      <c r="AA1582" s="213"/>
      <c r="AB1582" s="213"/>
      <c r="AC1582" s="213"/>
      <c r="AD1582" s="213"/>
      <c r="AE1582" s="213"/>
      <c r="AF1582" s="213"/>
      <c r="AG1582" s="213"/>
      <c r="AH1582" s="213"/>
      <c r="AI1582" s="213"/>
      <c r="AJ1582" s="213"/>
      <c r="AK1582" s="213"/>
      <c r="AL1582" s="213"/>
      <c r="AM1582" s="213"/>
      <c r="AN1582" s="213"/>
      <c r="AO1582" s="213"/>
      <c r="AP1582" s="213"/>
      <c r="AQ1582" s="213"/>
      <c r="AR1582" s="213"/>
      <c r="AS1582" s="213"/>
      <c r="AT1582" s="213"/>
      <c r="AU1582" s="213"/>
      <c r="AV1582" s="213"/>
      <c r="AW1582" s="213"/>
      <c r="AX1582" s="213"/>
      <c r="AY1582" s="213"/>
      <c r="AZ1582" s="213"/>
      <c r="BA1582" s="213"/>
      <c r="BB1582" s="213"/>
      <c r="BC1582" s="213"/>
      <c r="BD1582" s="213"/>
    </row>
    <row r="1583">
      <c r="A1583" s="213">
        <f>IFERROR(__xludf.DUMMYFUNCTION("""COMPUTED_VALUE"""),2304.0)</f>
        <v>2304</v>
      </c>
      <c r="B1583" s="213" t="str">
        <f>IFERROR(__xludf.DUMMYFUNCTION("""COMPUTED_VALUE"""),"JOSE GRANDA")</f>
        <v>JOSE GRANDA</v>
      </c>
      <c r="C1583" s="213" t="str">
        <f>IFERROR(__xludf.DUMMYFUNCTION("""COMPUTED_VALUE"""),"TALLER SFT DE MECÁNICA AUTOMOTRIZ")</f>
        <v>TALLER SFT DE MECÁNICA AUTOMOTRIZ</v>
      </c>
      <c r="D1583" s="213" t="str">
        <f>IFERROR(__xludf.DUMMYFUNCTION("""COMPUTED_VALUE"""),"PEDAGOGICO")</f>
        <v>PEDAGOGICO</v>
      </c>
      <c r="E1583" s="213" t="str">
        <f>IFERROR(__xludf.DUMMYFUNCTION("""COMPUTED_VALUE"""),"MAT-375")</f>
        <v>MAT-375</v>
      </c>
      <c r="F1583" s="213" t="str">
        <f>IFERROR(__xludf.DUMMYFUNCTION("""COMPUTED_VALUE"""),"KEFF-03")</f>
        <v>KEFF-03</v>
      </c>
      <c r="G1583" s="213"/>
      <c r="H1583" s="213" t="str">
        <f>IFERROR(__xludf.DUMMYFUNCTION("""COMPUTED_VALUE"""),"MANUAL PEDAGÓGICO PARA IDENTIFICAR NECESIDADES Y PROBLEMAS UTILIZANDO LOS EQUIPOS")</f>
        <v>MANUAL PEDAGÓGICO PARA IDENTIFICAR NECESIDADES Y PROBLEMAS UTILIZANDO LOS EQUIPOS</v>
      </c>
      <c r="I1583"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Teoría del estudio de "&amp;"necesidades y problemas del cliente.
- Técnicas e instrumentos para identificar necesidades y problemas.
- Procedimientos ejemplificados de diseño, aplicación, procesamiento de información de entrevistas y encuestas utilizando los equipos.
· Procedimiento"&amp;"s de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83" s="213">
        <f>IFERROR(__xludf.DUMMYFUNCTION("""COMPUTED_VALUE"""),3.0)</f>
        <v>3</v>
      </c>
      <c r="K1583" s="213" t="str">
        <f>IFERROR(__xludf.DUMMYFUNCTION("""COMPUTED_VALUE"""),"170 DÍAS CALENDARIO")</f>
        <v>170 DÍAS CALENDARIO</v>
      </c>
      <c r="L1583" s="213" t="str">
        <f>IFERROR(__xludf.DUMMYFUNCTION("""COMPUTED_VALUE"""),"")</f>
        <v/>
      </c>
      <c r="M1583" s="213">
        <f>IFERROR(__xludf.DUMMYFUNCTION("""COMPUTED_VALUE"""),1.0)</f>
        <v>1</v>
      </c>
      <c r="N1583" s="213">
        <f>IFERROR(__xludf.DUMMYFUNCTION("""COMPUTED_VALUE"""),2.0)</f>
        <v>2</v>
      </c>
      <c r="O1583" s="213">
        <f>IFERROR(__xludf.DUMMYFUNCTION("""COMPUTED_VALUE"""),2.0)</f>
        <v>2</v>
      </c>
      <c r="P1583" s="213"/>
      <c r="Q1583" s="213"/>
      <c r="R1583" s="213"/>
      <c r="S1583" s="213"/>
      <c r="T1583" s="213"/>
      <c r="U1583" s="213"/>
      <c r="V1583" s="213"/>
      <c r="W1583" s="213"/>
      <c r="X1583" s="213"/>
      <c r="Y1583" s="213"/>
      <c r="Z1583" s="213"/>
      <c r="AA1583" s="213"/>
      <c r="AB1583" s="213"/>
      <c r="AC1583" s="213"/>
      <c r="AD1583" s="213"/>
      <c r="AE1583" s="213"/>
      <c r="AF1583" s="213"/>
      <c r="AG1583" s="213"/>
      <c r="AH1583" s="213"/>
      <c r="AI1583" s="213"/>
      <c r="AJ1583" s="213"/>
      <c r="AK1583" s="213"/>
      <c r="AL1583" s="213"/>
      <c r="AM1583" s="213"/>
      <c r="AN1583" s="213"/>
      <c r="AO1583" s="213"/>
      <c r="AP1583" s="213"/>
      <c r="AQ1583" s="213"/>
      <c r="AR1583" s="213"/>
      <c r="AS1583" s="213"/>
      <c r="AT1583" s="213"/>
      <c r="AU1583" s="213"/>
      <c r="AV1583" s="213"/>
      <c r="AW1583" s="213"/>
      <c r="AX1583" s="213"/>
      <c r="AY1583" s="213"/>
      <c r="AZ1583" s="213"/>
      <c r="BA1583" s="213"/>
      <c r="BB1583" s="213"/>
      <c r="BC1583" s="213"/>
      <c r="BD1583" s="213"/>
    </row>
    <row r="1584">
      <c r="A1584" s="213">
        <f>IFERROR(__xludf.DUMMYFUNCTION("""COMPUTED_VALUE"""),2431.0)</f>
        <v>2431</v>
      </c>
      <c r="B1584" s="213" t="str">
        <f>IFERROR(__xludf.DUMMYFUNCTION("""COMPUTED_VALUE"""),"MANUEL ANTONIO MESONES MURO")</f>
        <v>MANUEL ANTONIO MESONES MURO</v>
      </c>
      <c r="C1584" s="213" t="str">
        <f>IFERROR(__xludf.DUMMYFUNCTION("""COMPUTED_VALUE"""),"TALLER SFT DE INDUSTRIA DEL VESTIDO")</f>
        <v>TALLER SFT DE INDUSTRIA DEL VESTIDO</v>
      </c>
      <c r="D1584" s="213" t="str">
        <f>IFERROR(__xludf.DUMMYFUNCTION("""COMPUTED_VALUE"""),"PEDAGOGICO")</f>
        <v>PEDAGOGICO</v>
      </c>
      <c r="E1584" s="213" t="str">
        <f>IFERROR(__xludf.DUMMYFUNCTION("""COMPUTED_VALUE"""),"MAT-375")</f>
        <v>MAT-375</v>
      </c>
      <c r="F1584" s="213" t="str">
        <f>IFERROR(__xludf.DUMMYFUNCTION("""COMPUTED_VALUE"""),"KEFF-03")</f>
        <v>KEFF-03</v>
      </c>
      <c r="G1584" s="213"/>
      <c r="H1584" s="213" t="str">
        <f>IFERROR(__xludf.DUMMYFUNCTION("""COMPUTED_VALUE"""),"MANUAL PEDAGÓGICO PARA IDENTIFICAR NECESIDADES Y PROBLEMAS UTILIZANDO LOS EQUIPOS")</f>
        <v>MANUAL PEDAGÓGICO PARA IDENTIFICAR NECESIDADES Y PROBLEMAS UTILIZANDO LOS EQUIPOS</v>
      </c>
      <c r="I1584"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Contenido que presenta:
- Teoría del estudio de ne"&amp;"cesidades y problemas del cliente.
- Técnicas e instrumentos para identificar necesidades y problemas.
- Procedimientos ejemplificados de diseño, aplicación, procesamiento de información de entrevistas y encuestas utilizando los equipos.
· Procedimientos "&amp;"de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84" s="213">
        <f>IFERROR(__xludf.DUMMYFUNCTION("""COMPUTED_VALUE"""),3.0)</f>
        <v>3</v>
      </c>
      <c r="K1584" s="213" t="str">
        <f>IFERROR(__xludf.DUMMYFUNCTION("""COMPUTED_VALUE"""),"170 DÍAS CALENDARIO")</f>
        <v>170 DÍAS CALENDARIO</v>
      </c>
      <c r="L1584" s="213" t="str">
        <f>IFERROR(__xludf.DUMMYFUNCTION("""COMPUTED_VALUE"""),"")</f>
        <v/>
      </c>
      <c r="M1584" s="213">
        <f>IFERROR(__xludf.DUMMYFUNCTION("""COMPUTED_VALUE"""),1.0)</f>
        <v>1</v>
      </c>
      <c r="N1584" s="213">
        <f>IFERROR(__xludf.DUMMYFUNCTION("""COMPUTED_VALUE"""),2.0)</f>
        <v>2</v>
      </c>
      <c r="O1584" s="213">
        <f>IFERROR(__xludf.DUMMYFUNCTION("""COMPUTED_VALUE"""),2.0)</f>
        <v>2</v>
      </c>
      <c r="P1584" s="213"/>
      <c r="Q1584" s="213"/>
      <c r="R1584" s="213"/>
      <c r="S1584" s="213"/>
      <c r="T1584" s="213"/>
      <c r="U1584" s="213"/>
      <c r="V1584" s="213"/>
      <c r="W1584" s="213"/>
      <c r="X1584" s="213"/>
      <c r="Y1584" s="213"/>
      <c r="Z1584" s="213"/>
      <c r="AA1584" s="213"/>
      <c r="AB1584" s="213"/>
      <c r="AC1584" s="213"/>
      <c r="AD1584" s="213"/>
      <c r="AE1584" s="213"/>
      <c r="AF1584" s="213"/>
      <c r="AG1584" s="213"/>
      <c r="AH1584" s="213"/>
      <c r="AI1584" s="213"/>
      <c r="AJ1584" s="213"/>
      <c r="AK1584" s="213"/>
      <c r="AL1584" s="213"/>
      <c r="AM1584" s="213"/>
      <c r="AN1584" s="213"/>
      <c r="AO1584" s="213"/>
      <c r="AP1584" s="213"/>
      <c r="AQ1584" s="213"/>
      <c r="AR1584" s="213"/>
      <c r="AS1584" s="213"/>
      <c r="AT1584" s="213"/>
      <c r="AU1584" s="213"/>
      <c r="AV1584" s="213"/>
      <c r="AW1584" s="213"/>
      <c r="AX1584" s="213"/>
      <c r="AY1584" s="213"/>
      <c r="AZ1584" s="213"/>
      <c r="BA1584" s="213"/>
      <c r="BB1584" s="213"/>
      <c r="BC1584" s="213"/>
      <c r="BD1584" s="213"/>
    </row>
    <row r="1585">
      <c r="A1585" s="213">
        <f>IFERROR(__xludf.DUMMYFUNCTION("""COMPUTED_VALUE"""),2462.0)</f>
        <v>2462</v>
      </c>
      <c r="B1585" s="213" t="str">
        <f>IFERROR(__xludf.DUMMYFUNCTION("""COMPUTED_VALUE"""),"MANUEL ANTONIO MESONES MURO")</f>
        <v>MANUEL ANTONIO MESONES MURO</v>
      </c>
      <c r="C1585" s="213" t="str">
        <f>IFERROR(__xludf.DUMMYFUNCTION("""COMPUTED_VALUE"""),"TALLER SFT DE CONSTRUCCIONES METÁLICAS")</f>
        <v>TALLER SFT DE CONSTRUCCIONES METÁLICAS</v>
      </c>
      <c r="D1585" s="213" t="str">
        <f>IFERROR(__xludf.DUMMYFUNCTION("""COMPUTED_VALUE"""),"MOBILIARIO")</f>
        <v>MOBILIARIO</v>
      </c>
      <c r="E1585" s="213" t="str">
        <f>IFERROR(__xludf.DUMMYFUNCTION("""COMPUTED_VALUE"""),"MOB-152")</f>
        <v>MOB-152</v>
      </c>
      <c r="F1585" s="213" t="str">
        <f>IFERROR(__xludf.DUMMYFUNCTION("""COMPUTED_VALUE"""),"MOB-152")</f>
        <v>MOB-152</v>
      </c>
      <c r="G1585" s="213"/>
      <c r="H1585" s="213" t="str">
        <f>IFERROR(__xludf.DUMMYFUNCTION("""COMPUTED_VALUE"""),"MUEBLE BAJO (1000 X 600 X 900 MM.)")</f>
        <v>MUEBLE BAJO (1000 X 600 X 900 MM.)</v>
      </c>
      <c r="I1585"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585" s="213">
        <f>IFERROR(__xludf.DUMMYFUNCTION("""COMPUTED_VALUE"""),3.0)</f>
        <v>3</v>
      </c>
      <c r="K1585" s="213" t="str">
        <f>IFERROR(__xludf.DUMMYFUNCTION("""COMPUTED_VALUE"""),"90 DÍAS CALENDARIO")</f>
        <v>90 DÍAS CALENDARIO</v>
      </c>
      <c r="L1585" s="213" t="str">
        <f>IFERROR(__xludf.DUMMYFUNCTION("""COMPUTED_VALUE"""),"")</f>
        <v/>
      </c>
      <c r="M1585" s="213">
        <f>IFERROR(__xludf.DUMMYFUNCTION("""COMPUTED_VALUE"""),1.0)</f>
        <v>1</v>
      </c>
      <c r="N1585" s="213">
        <f>IFERROR(__xludf.DUMMYFUNCTION("""COMPUTED_VALUE"""),5.0)</f>
        <v>5</v>
      </c>
      <c r="O1585" s="213">
        <f>IFERROR(__xludf.DUMMYFUNCTION("""COMPUTED_VALUE"""),5.0)</f>
        <v>5</v>
      </c>
      <c r="P1585" s="213"/>
      <c r="Q1585" s="213"/>
      <c r="R1585" s="213"/>
      <c r="S1585" s="213"/>
      <c r="T1585" s="213"/>
      <c r="U1585" s="213"/>
      <c r="V1585" s="213"/>
      <c r="W1585" s="213"/>
      <c r="X1585" s="213"/>
      <c r="Y1585" s="213"/>
      <c r="Z1585" s="213"/>
      <c r="AA1585" s="213"/>
      <c r="AB1585" s="213"/>
      <c r="AC1585" s="213"/>
      <c r="AD1585" s="213"/>
      <c r="AE1585" s="213"/>
      <c r="AF1585" s="213"/>
      <c r="AG1585" s="213"/>
      <c r="AH1585" s="213"/>
      <c r="AI1585" s="213"/>
      <c r="AJ1585" s="213"/>
      <c r="AK1585" s="213"/>
      <c r="AL1585" s="213"/>
      <c r="AM1585" s="213"/>
      <c r="AN1585" s="213"/>
      <c r="AO1585" s="213"/>
      <c r="AP1585" s="213"/>
      <c r="AQ1585" s="213"/>
      <c r="AR1585" s="213"/>
      <c r="AS1585" s="213"/>
      <c r="AT1585" s="213"/>
      <c r="AU1585" s="213"/>
      <c r="AV1585" s="213"/>
      <c r="AW1585" s="213"/>
      <c r="AX1585" s="213"/>
      <c r="AY1585" s="213"/>
      <c r="AZ1585" s="213"/>
      <c r="BA1585" s="213"/>
      <c r="BB1585" s="213"/>
      <c r="BC1585" s="213"/>
      <c r="BD1585" s="213"/>
    </row>
    <row r="1586">
      <c r="A1586" s="213">
        <f>IFERROR(__xludf.DUMMYFUNCTION("""COMPUTED_VALUE"""),2656.0)</f>
        <v>2656</v>
      </c>
      <c r="B1586" s="213" t="str">
        <f>IFERROR(__xludf.DUMMYFUNCTION("""COMPUTED_VALUE"""),"MANUEL ANTONIO MESONES MURO")</f>
        <v>MANUEL ANTONIO MESONES MURO</v>
      </c>
      <c r="C1586" s="213" t="str">
        <f>IFERROR(__xludf.DUMMYFUNCTION("""COMPUTED_VALUE"""),"TALLER SFT DE EBANISTERÍA")</f>
        <v>TALLER SFT DE EBANISTERÍA</v>
      </c>
      <c r="D1586" s="213" t="str">
        <f>IFERROR(__xludf.DUMMYFUNCTION("""COMPUTED_VALUE"""),"PEDAGOGICO")</f>
        <v>PEDAGOGICO</v>
      </c>
      <c r="E1586" s="213" t="str">
        <f>IFERROR(__xludf.DUMMYFUNCTION("""COMPUTED_VALUE"""),"MAT-376")</f>
        <v>MAT-376</v>
      </c>
      <c r="F1586" s="213" t="str">
        <f>IFERROR(__xludf.DUMMYFUNCTION("""COMPUTED_VALUE"""),"KEFF-03")</f>
        <v>KEFF-03</v>
      </c>
      <c r="G1586" s="213"/>
      <c r="H1586" s="213" t="str">
        <f>IFERROR(__xludf.DUMMYFUNCTION("""COMPUTED_VALUE"""),"MANUAL PEDAGÓGICO PARA IDENTIFICAR NECESIDADES Y PROBLEMAS UTILIZANDO LOS EQUIPOS")</f>
        <v>MANUAL PEDAGÓGICO PARA IDENTIFICAR NECESIDADES Y PROBLEMAS UTILIZANDO LOS EQUIPOS</v>
      </c>
      <c r="I1586" s="213" t="str">
        <f>IFERROR(__xludf.DUMMYFUNCTION("""COMPUTED_VALUE"""),"· Acabado de la carátula: La carátula en papel cuché de 150 gramos plastificado en la tira.
· Impresión de carátula: Offset a todo color en tira y retira.
· Impresión de texto interior: A todo color tira y retira, en papel cuché de 115 gramos o papel bond"&amp;" de 75 gramos de 80% de blancura como mínimo.
· Tamaño: como mínimo 21 cm x 29,7 cm
· Tipo de Encuadernación: caballete con 2 grapas cuando sea menos de 80 páginas y encolado cuando sea más de 80 páginas.
· Contenido que presenta:
- Teoría del estudio de "&amp;"necesidades y problemas del cliente.
- Técnicas e instrumentos para identificar necesidades y problemas.
- Procedimientos ejemplificados de diseño, aplicación, procesamiento de información de entrevistas y encuestas utilizando los equipos.
· Procedimiento"&amp;"s de diseño, aplicación y procesamiento de información de estudios de necesidades y problemas utilizando la filmadora y cámara fotográfica.
- Instrumentos de evaluación.
- Enlaces de interés para ampliar información (Cod. QR)")</f>
        <v>· Acabado de la carátula: La carátula en papel cuché de 150 gramos plastificado en la tira.
· Impresión de carátula: Offset a todo color en tira y retira.
· Impresión de texto interior: A todo color tira y retira, en papel cuché de 115 gramos o papel bond de 75 gramos de 80% de blancura como mínimo.
· Tamaño: como mínimo 21 cm x 29,7 cm
· Tipo de Encuadernación: caballete con 2 grapas cuando sea menos de 80 páginas y encolado cuando sea más de 80 páginas.
· Contenido que presenta:
- Teoría del estudio de necesidades y problemas del cliente.
- Técnicas e instrumentos para identificar necesidades y problemas.
- Procedimientos ejemplificados de diseño, aplicación, procesamiento de información de entrevistas y encuestas utilizando los equipos.
· Procedimientos de diseño, aplicación y procesamiento de información de estudios de necesidades y problemas utilizando la filmadora y cámara fotográfica.
- Instrumentos de evaluación.
- Enlaces de interés para ampliar información (Cod. QR)</v>
      </c>
      <c r="J1586" s="213">
        <f>IFERROR(__xludf.DUMMYFUNCTION("""COMPUTED_VALUE"""),3.0)</f>
        <v>3</v>
      </c>
      <c r="K1586" s="213" t="str">
        <f>IFERROR(__xludf.DUMMYFUNCTION("""COMPUTED_VALUE"""),"170 DÍAS CALENDARIO")</f>
        <v>170 DÍAS CALENDARIO</v>
      </c>
      <c r="L1586" s="213" t="str">
        <f>IFERROR(__xludf.DUMMYFUNCTION("""COMPUTED_VALUE"""),"")</f>
        <v/>
      </c>
      <c r="M1586" s="213">
        <f>IFERROR(__xludf.DUMMYFUNCTION("""COMPUTED_VALUE"""),1.0)</f>
        <v>1</v>
      </c>
      <c r="N1586" s="213">
        <f>IFERROR(__xludf.DUMMYFUNCTION("""COMPUTED_VALUE"""),2.0)</f>
        <v>2</v>
      </c>
      <c r="O1586" s="213">
        <f>IFERROR(__xludf.DUMMYFUNCTION("""COMPUTED_VALUE"""),2.0)</f>
        <v>2</v>
      </c>
      <c r="P1586" s="213"/>
      <c r="Q1586" s="213"/>
      <c r="R1586" s="213"/>
      <c r="S1586" s="213"/>
      <c r="T1586" s="213"/>
      <c r="U1586" s="213"/>
      <c r="V1586" s="213"/>
      <c r="W1586" s="213"/>
      <c r="X1586" s="213"/>
      <c r="Y1586" s="213"/>
      <c r="Z1586" s="213"/>
      <c r="AA1586" s="213"/>
      <c r="AB1586" s="213"/>
      <c r="AC1586" s="213"/>
      <c r="AD1586" s="213"/>
      <c r="AE1586" s="213"/>
      <c r="AF1586" s="213"/>
      <c r="AG1586" s="213"/>
      <c r="AH1586" s="213"/>
      <c r="AI1586" s="213"/>
      <c r="AJ1586" s="213"/>
      <c r="AK1586" s="213"/>
      <c r="AL1586" s="213"/>
      <c r="AM1586" s="213"/>
      <c r="AN1586" s="213"/>
      <c r="AO1586" s="213"/>
      <c r="AP1586" s="213"/>
      <c r="AQ1586" s="213"/>
      <c r="AR1586" s="213"/>
      <c r="AS1586" s="213"/>
      <c r="AT1586" s="213"/>
      <c r="AU1586" s="213"/>
      <c r="AV1586" s="213"/>
      <c r="AW1586" s="213"/>
      <c r="AX1586" s="213"/>
      <c r="AY1586" s="213"/>
      <c r="AZ1586" s="213"/>
      <c r="BA1586" s="213"/>
      <c r="BB1586" s="213"/>
      <c r="BC1586" s="213"/>
      <c r="BD1586" s="213"/>
    </row>
    <row r="1587">
      <c r="A1587" s="213">
        <f>IFERROR(__xludf.DUMMYFUNCTION("""COMPUTED_VALUE"""),71.0)</f>
        <v>71</v>
      </c>
      <c r="B1587" s="213" t="str">
        <f>IFERROR(__xludf.DUMMYFUNCTION("""COMPUTED_VALUE"""),"16449 ELOY SOBERON  FLORES")</f>
        <v>16449 ELOY SOBERON  FLORES</v>
      </c>
      <c r="C1587" s="213" t="str">
        <f>IFERROR(__xludf.DUMMYFUNCTION("""COMPUTED_VALUE"""),"TALLER SFT DE COCINA Y REPOSTERÍA")</f>
        <v>TALLER SFT DE COCINA Y REPOSTERÍA</v>
      </c>
      <c r="D1587" s="213" t="str">
        <f>IFERROR(__xludf.DUMMYFUNCTION("""COMPUTED_VALUE"""),"HERRAMIENTAS")</f>
        <v>HERRAMIENTAS</v>
      </c>
      <c r="E1587" s="213" t="str">
        <f>IFERROR(__xludf.DUMMYFUNCTION("""COMPUTED_VALUE"""),"MAT-153")</f>
        <v>MAT-153</v>
      </c>
      <c r="F1587" s="213" t="str">
        <f>IFERROR(__xludf.DUMMYFUNCTION("""COMPUTED_VALUE"""),"MAT-153")</f>
        <v>MAT-153</v>
      </c>
      <c r="G1587" s="213"/>
      <c r="H1587" s="213" t="str">
        <f>IFERROR(__xludf.DUMMYFUNCTION("""COMPUTED_VALUE"""),"ESCOBILLA")</f>
        <v>ESCOBILLA</v>
      </c>
      <c r="I1587" s="213" t="str">
        <f>IFERROR(__xludf.DUMMYFUNCTION("""COMPUTED_VALUE"""),"· Mango y base de plástico sólido.
· Fibras suaves y firmes.")</f>
        <v>· Mango y base de plástico sólido.
· Fibras suaves y firmes.</v>
      </c>
      <c r="J1587" s="213">
        <f>IFERROR(__xludf.DUMMYFUNCTION("""COMPUTED_VALUE"""),3.0)</f>
        <v>3</v>
      </c>
      <c r="K1587" s="213" t="str">
        <f>IFERROR(__xludf.DUMMYFUNCTION("""COMPUTED_VALUE"""),"90 DÍAS CALENDARIO")</f>
        <v>90 DÍAS CALENDARIO</v>
      </c>
      <c r="L1587" s="213" t="str">
        <f>IFERROR(__xludf.DUMMYFUNCTION("""COMPUTED_VALUE"""),"COCINA Y REPOSTERÍA, INDUSTRIA ALIMENTARIA")</f>
        <v>COCINA Y REPOSTERÍA, INDUSTRIA ALIMENTARIA</v>
      </c>
      <c r="M1587" s="213">
        <f>IFERROR(__xludf.DUMMYFUNCTION("""COMPUTED_VALUE"""),1.0)</f>
        <v>1</v>
      </c>
      <c r="N1587" s="213">
        <f>IFERROR(__xludf.DUMMYFUNCTION("""COMPUTED_VALUE"""),4.0)</f>
        <v>4</v>
      </c>
      <c r="O1587" s="213">
        <f>IFERROR(__xludf.DUMMYFUNCTION("""COMPUTED_VALUE"""),4.0)</f>
        <v>4</v>
      </c>
      <c r="P1587" s="213"/>
      <c r="Q1587" s="213"/>
      <c r="R1587" s="213"/>
      <c r="S1587" s="213"/>
      <c r="T1587" s="213" t="str">
        <f>IFERROR(__xludf.DUMMYFUNCTION("""COMPUTED_VALUE"""),"SI")</f>
        <v>SI</v>
      </c>
      <c r="U1587" s="213" t="str">
        <f>IFERROR(__xludf.DUMMYFUNCTION("""COMPUTED_VALUE"""),"SI")</f>
        <v>SI</v>
      </c>
      <c r="V1587" s="213" t="str">
        <f>IFERROR(__xludf.DUMMYFUNCTION("""COMPUTED_VALUE"""),"-")</f>
        <v>-</v>
      </c>
      <c r="W1587" s="213" t="str">
        <f>IFERROR(__xludf.DUMMYFUNCTION("""COMPUTED_VALUE"""),"-")</f>
        <v>-</v>
      </c>
      <c r="X1587" s="213" t="str">
        <f>IFERROR(__xludf.DUMMYFUNCTION("""COMPUTED_VALUE"""),"Eterna")</f>
        <v>Eterna</v>
      </c>
      <c r="Y1587" s="213" t="str">
        <f>IFERROR(__xludf.DUMMYFUNCTION("""COMPUTED_VALUE"""),"Escobilla de lavandería ")</f>
        <v>Escobilla de lavandería </v>
      </c>
      <c r="Z1587" s="215" t="str">
        <f>IFERROR(__xludf.DUMMYFUNCTION("""COMPUTED_VALUE"""),"https://www.promart.pe/escobilla-de-lavanderia/p")</f>
        <v>https://www.promart.pe/escobilla-de-lavanderia/p</v>
      </c>
      <c r="AA1587" s="213" t="str">
        <f>IFERROR(__xludf.DUMMYFUNCTION("""COMPUTED_VALUE"""),"MAT-153  ESCOBILLA - CET")</f>
        <v>MAT-153  ESCOBILLA - CET</v>
      </c>
      <c r="AB1587" s="213"/>
      <c r="AC1587" s="213"/>
      <c r="AD1587" s="213"/>
      <c r="AE1587" s="213"/>
      <c r="AF1587" s="213"/>
      <c r="AG1587" s="213"/>
      <c r="AH1587" s="213"/>
      <c r="AI1587" s="213"/>
      <c r="AJ1587" s="213"/>
      <c r="AK1587" s="213"/>
      <c r="AL1587" s="213"/>
      <c r="AM1587" s="213"/>
      <c r="AN1587" s="213"/>
      <c r="AO1587" s="213"/>
      <c r="AP1587" s="213" t="str">
        <f>IFERROR(__xludf.DUMMYFUNCTION("""COMPUTED_VALUE"""),"LUIS")</f>
        <v>LUIS</v>
      </c>
      <c r="AQ1587" s="213"/>
      <c r="AR1587" s="213"/>
      <c r="AS1587" s="213"/>
      <c r="AT1587" s="213"/>
      <c r="AU1587" s="213"/>
      <c r="AV1587" s="213"/>
      <c r="AW1587" s="213"/>
      <c r="AX1587" s="213"/>
      <c r="AY1587" s="213"/>
      <c r="AZ1587" s="213"/>
      <c r="BA1587" s="213"/>
      <c r="BB1587" s="213"/>
      <c r="BC1587" s="213"/>
      <c r="BD1587" s="213"/>
    </row>
    <row r="1588">
      <c r="A1588" s="213">
        <f>IFERROR(__xludf.DUMMYFUNCTION("""COMPUTED_VALUE"""),535.0)</f>
        <v>535</v>
      </c>
      <c r="B1588" s="213" t="str">
        <f>IFERROR(__xludf.DUMMYFUNCTION("""COMPUTED_VALUE"""),"2026 SIMON BOLIVAR")</f>
        <v>2026 SIMON BOLIVAR</v>
      </c>
      <c r="C1588" s="213" t="str">
        <f>IFERROR(__xludf.DUMMYFUNCTION("""COMPUTED_VALUE"""),"TALLER SFT DE INDUSTRIA ALIMENTARIA")</f>
        <v>TALLER SFT DE INDUSTRIA ALIMENTARIA</v>
      </c>
      <c r="D1588" s="213" t="str">
        <f>IFERROR(__xludf.DUMMYFUNCTION("""COMPUTED_VALUE"""),"HERRAMIENTAS")</f>
        <v>HERRAMIENTAS</v>
      </c>
      <c r="E1588" s="213" t="str">
        <f>IFERROR(__xludf.DUMMYFUNCTION("""COMPUTED_VALUE"""),"MAT-153")</f>
        <v>MAT-153</v>
      </c>
      <c r="F1588" s="213" t="str">
        <f>IFERROR(__xludf.DUMMYFUNCTION("""COMPUTED_VALUE"""),"MAT-153")</f>
        <v>MAT-153</v>
      </c>
      <c r="G1588" s="213"/>
      <c r="H1588" s="213" t="str">
        <f>IFERROR(__xludf.DUMMYFUNCTION("""COMPUTED_VALUE"""),"ESCOBILLA")</f>
        <v>ESCOBILLA</v>
      </c>
      <c r="I1588" s="213" t="str">
        <f>IFERROR(__xludf.DUMMYFUNCTION("""COMPUTED_VALUE"""),"· Mango y base de plástico sólido.
· Fibras suaves y firmes.")</f>
        <v>· Mango y base de plástico sólido.
· Fibras suaves y firmes.</v>
      </c>
      <c r="J1588" s="213">
        <f>IFERROR(__xludf.DUMMYFUNCTION("""COMPUTED_VALUE"""),3.0)</f>
        <v>3</v>
      </c>
      <c r="K1588" s="213" t="str">
        <f>IFERROR(__xludf.DUMMYFUNCTION("""COMPUTED_VALUE"""),"90 DÍAS CALENDARIO")</f>
        <v>90 DÍAS CALENDARIO</v>
      </c>
      <c r="L1588" s="213" t="str">
        <f>IFERROR(__xludf.DUMMYFUNCTION("""COMPUTED_VALUE"""),"COCINA Y REPOSTERÍA, INDUSTRIA ALIMENTARIA")</f>
        <v>COCINA Y REPOSTERÍA, INDUSTRIA ALIMENTARIA</v>
      </c>
      <c r="M1588" s="213">
        <f>IFERROR(__xludf.DUMMYFUNCTION("""COMPUTED_VALUE"""),1.0)</f>
        <v>1</v>
      </c>
      <c r="N1588" s="213">
        <f>IFERROR(__xludf.DUMMYFUNCTION("""COMPUTED_VALUE"""),4.0)</f>
        <v>4</v>
      </c>
      <c r="O1588" s="213">
        <f>IFERROR(__xludf.DUMMYFUNCTION("""COMPUTED_VALUE"""),4.0)</f>
        <v>4</v>
      </c>
      <c r="P1588" s="213"/>
      <c r="Q1588" s="213"/>
      <c r="R1588" s="213"/>
      <c r="S1588" s="213"/>
      <c r="T1588" s="213" t="str">
        <f>IFERROR(__xludf.DUMMYFUNCTION("""COMPUTED_VALUE"""),"SI")</f>
        <v>SI</v>
      </c>
      <c r="U1588" s="213" t="str">
        <f>IFERROR(__xludf.DUMMYFUNCTION("""COMPUTED_VALUE"""),"SI")</f>
        <v>SI</v>
      </c>
      <c r="V1588" s="213" t="str">
        <f>IFERROR(__xludf.DUMMYFUNCTION("""COMPUTED_VALUE"""),"-")</f>
        <v>-</v>
      </c>
      <c r="W1588" s="213" t="str">
        <f>IFERROR(__xludf.DUMMYFUNCTION("""COMPUTED_VALUE"""),"-")</f>
        <v>-</v>
      </c>
      <c r="X1588" s="213" t="str">
        <f>IFERROR(__xludf.DUMMYFUNCTION("""COMPUTED_VALUE"""),"Eterna")</f>
        <v>Eterna</v>
      </c>
      <c r="Y1588" s="213" t="str">
        <f>IFERROR(__xludf.DUMMYFUNCTION("""COMPUTED_VALUE"""),"Escobilla de lavandería ")</f>
        <v>Escobilla de lavandería </v>
      </c>
      <c r="Z1588" s="215" t="str">
        <f>IFERROR(__xludf.DUMMYFUNCTION("""COMPUTED_VALUE"""),"https://www.promart.pe/escobilla-de-lavanderia/p")</f>
        <v>https://www.promart.pe/escobilla-de-lavanderia/p</v>
      </c>
      <c r="AA1588" s="213" t="str">
        <f>IFERROR(__xludf.DUMMYFUNCTION("""COMPUTED_VALUE"""),"MAT-153  ESCOBILLA - CET")</f>
        <v>MAT-153  ESCOBILLA - CET</v>
      </c>
      <c r="AB1588" s="213"/>
      <c r="AC1588" s="213"/>
      <c r="AD1588" s="213"/>
      <c r="AE1588" s="213"/>
      <c r="AF1588" s="213"/>
      <c r="AG1588" s="213"/>
      <c r="AH1588" s="213"/>
      <c r="AI1588" s="213"/>
      <c r="AJ1588" s="213"/>
      <c r="AK1588" s="213"/>
      <c r="AL1588" s="213"/>
      <c r="AM1588" s="213"/>
      <c r="AN1588" s="213"/>
      <c r="AO1588" s="213"/>
      <c r="AP1588" s="213" t="str">
        <f>IFERROR(__xludf.DUMMYFUNCTION("""COMPUTED_VALUE"""),"BRUNO")</f>
        <v>BRUNO</v>
      </c>
      <c r="AQ1588" s="213"/>
      <c r="AR1588" s="213"/>
      <c r="AS1588" s="213"/>
      <c r="AT1588" s="213"/>
      <c r="AU1588" s="213"/>
      <c r="AV1588" s="213"/>
      <c r="AW1588" s="213"/>
      <c r="AX1588" s="213"/>
      <c r="AY1588" s="213"/>
      <c r="AZ1588" s="213"/>
      <c r="BA1588" s="213"/>
      <c r="BB1588" s="213"/>
      <c r="BC1588" s="213"/>
      <c r="BD1588" s="213"/>
    </row>
    <row r="1589">
      <c r="A1589" s="213">
        <f>IFERROR(__xludf.DUMMYFUNCTION("""COMPUTED_VALUE"""),196.0)</f>
        <v>196</v>
      </c>
      <c r="B1589" s="213" t="str">
        <f>IFERROR(__xludf.DUMMYFUNCTION("""COMPUTED_VALUE"""),"2026 SIMON BOLIVAR")</f>
        <v>2026 SIMON BOLIVAR</v>
      </c>
      <c r="C1589" s="213" t="str">
        <f>IFERROR(__xludf.DUMMYFUNCTION("""COMPUTED_VALUE"""),"TALLER SFT DE INDUSTRIA DEL VESTIDO")</f>
        <v>TALLER SFT DE INDUSTRIA DEL VESTIDO</v>
      </c>
      <c r="D1589" s="213" t="str">
        <f>IFERROR(__xludf.DUMMYFUNCTION("""COMPUTED_VALUE"""),"EQUIPOS")</f>
        <v>EQUIPOS</v>
      </c>
      <c r="E1589" s="213" t="str">
        <f>IFERROR(__xludf.DUMMYFUNCTION("""COMPUTED_VALUE"""),"ESP-223")</f>
        <v>ESP-223</v>
      </c>
      <c r="F1589" s="213" t="str">
        <f>IFERROR(__xludf.DUMMYFUNCTION("""COMPUTED_VALUE"""),"ESP-223")</f>
        <v>ESP-223</v>
      </c>
      <c r="G1589" s="213"/>
      <c r="H1589" s="213" t="str">
        <f>IFERROR(__xludf.DUMMYFUNCTION("""COMPUTED_VALUE"""),"MÁQUINA BORDADORA SEMI INDUSTRIAL")</f>
        <v>MÁQUINA BORDADORA SEMI INDUSTRIAL</v>
      </c>
      <c r="I1589" s="213" t="str">
        <f>IFERROR(__xludf.DUMMYFUNCTION("""COMPUTED_VALUE"""),"- Con pantalla LCD de fácil visualización, una cabeza con 15 agujas.
- Con sistema de corta-hilos automático
- Cambio de color automático
-  Velocidad máxima 1,000 ppm
- Bastidores de gorros
- Bastidores estándar 5 medidas
- Detectores de rotura de hilos "&amp;"superior e inferior
- Panel de control: Monitor color con bordado en pantalla, touchscreen
- Memoria con capacidad de almacenamiento: 1,000,000 de puntadas·
- Longitud de puntada: 0.1 - 12.7 mm
- Puerto de entrada USB.
- Área de bordado: 360 mm x 500 mm
-"&amp;" Función de restauración ante falla eléctrica
- Alimentación eléctrica : 220V/60Hz
- Motor principal Servo
- Incluye software licenciado en español, compatible con windows y siftwear libre
- Incluye porta conos y accesorios (bobinas, lámparas y carreteles"&amp;"), un ciento de agujas para coser, grosor N° 18.
- Con mueble completo, estructura de metal y tablero.
- Dimensiones Alto: 160 cm, Largo: 80 cm, Ancho: 80 cm
VERA Hilda 998 soft")</f>
        <v>- Con pantalla LCD de fácil visualización, una cabeza con 15 agujas.
- Con sistema de corta-hilos automático
- Cambio de color automático
-  Velocidad máxima 1,000 ppm
- Bastidores de gorros
- Bastidores estándar 5 medidas
- Detectores de rotura de hilos superior e inferior
- Panel de control: Monitor color con bordado en pantalla, touchscreen
- Memoria con capacidad de almacenamiento: 1,000,000 de puntadas·
- Longitud de puntada: 0.1 - 12.7 mm
- Puerto de entrada USB.
- Área de bordado: 360 mm x 500 mm
- Función de restauración ante falla eléctrica
- Alimentación eléctrica : 220V/60Hz
- Motor principal Servo
- Incluye software licenciado en español, compatible con windows y siftwear libre
- Incluye porta conos y accesorios (bobinas, lámparas y carreteles), un ciento de agujas para coser, grosor N° 18.
- Con mueble completo, estructura de metal y tablero.
- Dimensiones Alto: 160 cm, Largo: 80 cm, Ancho: 80 cm
VERA Hilda 998 soft</v>
      </c>
      <c r="J1589" s="213">
        <f>IFERROR(__xludf.DUMMYFUNCTION("""COMPUTED_VALUE"""),3.0)</f>
        <v>3</v>
      </c>
      <c r="K1589" s="213" t="str">
        <f>IFERROR(__xludf.DUMMYFUNCTION("""COMPUTED_VALUE"""),"170 DÍAS CALENDARIO")</f>
        <v>170 DÍAS CALENDARIO</v>
      </c>
      <c r="L1589" s="213" t="str">
        <f>IFERROR(__xludf.DUMMYFUNCTION("""COMPUTED_VALUE"""),"")</f>
        <v/>
      </c>
      <c r="M1589" s="213">
        <f>IFERROR(__xludf.DUMMYFUNCTION("""COMPUTED_VALUE"""),1.0)</f>
        <v>1</v>
      </c>
      <c r="N1589" s="213">
        <f>IFERROR(__xludf.DUMMYFUNCTION("""COMPUTED_VALUE"""),1.0)</f>
        <v>1</v>
      </c>
      <c r="O1589" s="213">
        <f>IFERROR(__xludf.DUMMYFUNCTION("""COMPUTED_VALUE"""),1.0)</f>
        <v>1</v>
      </c>
      <c r="P1589" s="213"/>
      <c r="Q1589" s="213"/>
      <c r="R1589" s="213"/>
      <c r="S1589" s="213" t="str">
        <f>IFERROR(__xludf.DUMMYFUNCTION("""COMPUTED_VALUE"""),"SI")</f>
        <v>SI</v>
      </c>
      <c r="T1589" s="213" t="str">
        <f>IFERROR(__xludf.DUMMYFUNCTION("""COMPUTED_VALUE"""),"SI")</f>
        <v>SI</v>
      </c>
      <c r="U1589" s="213" t="str">
        <f>IFERROR(__xludf.DUMMYFUNCTION("""COMPUTED_VALUE"""),"NO")</f>
        <v>NO</v>
      </c>
      <c r="V1589" s="213" t="str">
        <f>IFERROR(__xludf.DUMMYFUNCTION("""COMPUTED_VALUE"""),"SUSTENTO")</f>
        <v>SUSTENTO</v>
      </c>
      <c r="W1589" s="213"/>
      <c r="X1589" s="213" t="str">
        <f>IFERROR(__xludf.DUMMYFUNCTION("""COMPUTED_VALUE"""),"SIERRA TECH")</f>
        <v>SIERRA TECH</v>
      </c>
      <c r="Y1589" s="213" t="str">
        <f>IFERROR(__xludf.DUMMYFUNCTION("""COMPUTED_VALUE"""),"ZMG JC-1501")</f>
        <v>ZMG JC-1501</v>
      </c>
      <c r="Z1589" s="215" t="str">
        <f>IFERROR(__xludf.DUMMYFUNCTION("""COMPUTED_VALUE"""),"https://drive.google.com/file/d/1BZ2N5EASu7KqA43xkUocI7QoYhjba-W1/view")</f>
        <v>https://drive.google.com/file/d/1BZ2N5EASu7KqA43xkUocI7QoYhjba-W1/view</v>
      </c>
      <c r="AA1589" s="213" t="str">
        <f>IFERROR(__xludf.DUMMYFUNCTION("""COMPUTED_VALUE"""),"ESP-223 MÁQUINA BORDADORA SEMI INDUSTRIAL - CET")</f>
        <v>ESP-223 MÁQUINA BORDADORA SEMI INDUSTRIAL - CET</v>
      </c>
      <c r="AB1589" s="215" t="str">
        <f>IFERROR(__xludf.DUMMYFUNCTION("""COMPUTED_VALUE"""),"https://drive.google.com/file/d/1Fqlrnerg5z0ZZDjz0DYTLjtJtuk9rroT/view?usp=sharing")</f>
        <v>https://drive.google.com/file/d/1Fqlrnerg5z0ZZDjz0DYTLjtJtuk9rroT/view?usp=sharing</v>
      </c>
      <c r="AC1589" s="213"/>
      <c r="AD1589" s="213"/>
      <c r="AE1589" s="213"/>
      <c r="AF1589" s="213"/>
      <c r="AG1589" s="213"/>
      <c r="AH1589" s="213" t="str">
        <f>IFERROR(__xludf.DUMMYFUNCTION("""COMPUTED_VALUE"""),"IMPORTADO")</f>
        <v>IMPORTADO</v>
      </c>
      <c r="AI1589" s="213"/>
      <c r="AJ1589" s="213"/>
      <c r="AK1589" s="213"/>
      <c r="AL1589" s="213"/>
      <c r="AM1589" s="213"/>
      <c r="AN1589" s="213"/>
      <c r="AO1589" s="213"/>
      <c r="AP1589" s="213" t="str">
        <f>IFERROR(__xludf.DUMMYFUNCTION("""COMPUTED_VALUE"""),"ANTONELLA")</f>
        <v>ANTONELLA</v>
      </c>
      <c r="AQ1589" s="213" t="str">
        <f>IFERROR(__xludf.DUMMYFUNCTION("""COMPUTED_VALUE"""),"Se solicita software de diseño libre, pero no existe ese tipo de software de diseño. Se sustenta que se proveerá la licencia permanente.")</f>
        <v>Se solicita software de diseño libre, pero no existe ese tipo de software de diseño. Se sustenta que se proveerá la licencia permanente.</v>
      </c>
      <c r="AR1589" s="213"/>
      <c r="AS1589" s="213" t="str">
        <f>IFERROR(__xludf.DUMMYFUNCTION("""COMPUTED_VALUE"""),"SOFTWARE DE DISEÑO CON LICENCIA PERMANENTE. Es de mayor dimensión a la solicitada, pero es la máquina adecuada.
BASTIDORES ESTÁNDAR 5 MEDIDAS
PORTA CONOS
BOBINAS
LÁMPARAS
CARRETELES
100 AGUJAS PARA COSER")</f>
        <v>SOFTWARE DE DISEÑO CON LICENCIA PERMANENTE. Es de mayor dimensión a la solicitada, pero es la máquina adecuada.
BASTIDORES ESTÁNDAR 5 MEDIDAS
PORTA CONOS
BOBINAS
LÁMPARAS
CARRETELES
100 AGUJAS PARA COSER</v>
      </c>
      <c r="AT1589" s="213"/>
      <c r="AU1589" s="213"/>
      <c r="AV1589" s="213"/>
      <c r="AW1589" s="213"/>
      <c r="AX1589" s="213"/>
      <c r="AY1589" s="213"/>
      <c r="AZ1589" s="213"/>
      <c r="BA1589" s="213"/>
      <c r="BB1589" s="213"/>
      <c r="BC1589" s="213"/>
      <c r="BD1589" s="213"/>
    </row>
    <row r="1590">
      <c r="A1590" s="213">
        <f>IFERROR(__xludf.DUMMYFUNCTION("""COMPUTED_VALUE"""),2419.0)</f>
        <v>2419</v>
      </c>
      <c r="B1590" s="213" t="str">
        <f>IFERROR(__xludf.DUMMYFUNCTION("""COMPUTED_VALUE"""),"MANUEL ANTONIO MESONES MURO")</f>
        <v>MANUEL ANTONIO MESONES MURO</v>
      </c>
      <c r="C1590" s="213" t="str">
        <f>IFERROR(__xludf.DUMMYFUNCTION("""COMPUTED_VALUE"""),"TALLER SFT DE INDUSTRIA DEL VESTIDO")</f>
        <v>TALLER SFT DE INDUSTRIA DEL VESTIDO</v>
      </c>
      <c r="D1590" s="213" t="str">
        <f>IFERROR(__xludf.DUMMYFUNCTION("""COMPUTED_VALUE"""),"EQUIPOS")</f>
        <v>EQUIPOS</v>
      </c>
      <c r="E1590" s="213" t="str">
        <f>IFERROR(__xludf.DUMMYFUNCTION("""COMPUTED_VALUE"""),"ESP-223")</f>
        <v>ESP-223</v>
      </c>
      <c r="F1590" s="213" t="str">
        <f>IFERROR(__xludf.DUMMYFUNCTION("""COMPUTED_VALUE"""),"ESP-223")</f>
        <v>ESP-223</v>
      </c>
      <c r="G1590" s="213"/>
      <c r="H1590" s="213" t="str">
        <f>IFERROR(__xludf.DUMMYFUNCTION("""COMPUTED_VALUE"""),"MÁQUINA BORDADORA SEMI INDUSTRIAL")</f>
        <v>MÁQUINA BORDADORA SEMI INDUSTRIAL</v>
      </c>
      <c r="I1590" s="213" t="str">
        <f>IFERROR(__xludf.DUMMYFUNCTION("""COMPUTED_VALUE"""),"- Con pantalla LCD de fácil visualización, una cabeza con 15 agujas.
- Con sistema de corta-hilos automático
- Cambio de color automático
-  Velocidad máxima 1,000 ppm
- Bastidores de gorros
- Bastidores estándar 5 medidas
- Detectores de rotura de hilos "&amp;"superior e inferior
- Panel de control: Monitor color con bordado en pantalla, touchscreen
- Memoria con capacidad de almacenamiento: 1,000,000 de puntadas·
- Longitud de puntada: 0.1 - 12.7 mm
- Puerto de entrada USB.
- Área de bordado: 360 mm x 500 mm
-"&amp;" Función de restauración ante falla eléctrica
- Alimentación eléctrica : 220V/60Hz
- Motor principal Servo
- Incluye software licenciado en español, compatible con windows y siftwear libre
- Incluye porta conos y accesorios (bobinas, lámparas y carreteles"&amp;"), un ciento de agujas para coser, grosor N° 18.
- Con mueble completo, estructura de metal y tablero.
- Dimensiones Alto: 160 cm, Largo: 80 cm, Ancho: 80 cm
VERA Hilda 998 soft")</f>
        <v>- Con pantalla LCD de fácil visualización, una cabeza con 15 agujas.
- Con sistema de corta-hilos automático
- Cambio de color automático
-  Velocidad máxima 1,000 ppm
- Bastidores de gorros
- Bastidores estándar 5 medidas
- Detectores de rotura de hilos superior e inferior
- Panel de control: Monitor color con bordado en pantalla, touchscreen
- Memoria con capacidad de almacenamiento: 1,000,000 de puntadas·
- Longitud de puntada: 0.1 - 12.7 mm
- Puerto de entrada USB.
- Área de bordado: 360 mm x 500 mm
- Función de restauración ante falla eléctrica
- Alimentación eléctrica : 220V/60Hz
- Motor principal Servo
- Incluye software licenciado en español, compatible con windows y siftwear libre
- Incluye porta conos y accesorios (bobinas, lámparas y carreteles), un ciento de agujas para coser, grosor N° 18.
- Con mueble completo, estructura de metal y tablero.
- Dimensiones Alto: 160 cm, Largo: 80 cm, Ancho: 80 cm
VERA Hilda 998 soft</v>
      </c>
      <c r="J1590" s="213">
        <f>IFERROR(__xludf.DUMMYFUNCTION("""COMPUTED_VALUE"""),3.0)</f>
        <v>3</v>
      </c>
      <c r="K1590" s="213" t="str">
        <f>IFERROR(__xludf.DUMMYFUNCTION("""COMPUTED_VALUE"""),"170 DÍAS CALENDARIO")</f>
        <v>170 DÍAS CALENDARIO</v>
      </c>
      <c r="L1590" s="213" t="str">
        <f>IFERROR(__xludf.DUMMYFUNCTION("""COMPUTED_VALUE"""),"")</f>
        <v/>
      </c>
      <c r="M1590" s="213">
        <f>IFERROR(__xludf.DUMMYFUNCTION("""COMPUTED_VALUE"""),1.0)</f>
        <v>1</v>
      </c>
      <c r="N1590" s="213">
        <f>IFERROR(__xludf.DUMMYFUNCTION("""COMPUTED_VALUE"""),1.0)</f>
        <v>1</v>
      </c>
      <c r="O1590" s="213">
        <f>IFERROR(__xludf.DUMMYFUNCTION("""COMPUTED_VALUE"""),1.0)</f>
        <v>1</v>
      </c>
      <c r="P1590" s="213"/>
      <c r="Q1590" s="213"/>
      <c r="R1590" s="213"/>
      <c r="S1590" s="213" t="str">
        <f>IFERROR(__xludf.DUMMYFUNCTION("""COMPUTED_VALUE"""),"SI")</f>
        <v>SI</v>
      </c>
      <c r="T1590" s="213" t="str">
        <f>IFERROR(__xludf.DUMMYFUNCTION("""COMPUTED_VALUE"""),"SI")</f>
        <v>SI</v>
      </c>
      <c r="U1590" s="213" t="str">
        <f>IFERROR(__xludf.DUMMYFUNCTION("""COMPUTED_VALUE"""),"NO")</f>
        <v>NO</v>
      </c>
      <c r="V1590" s="213" t="str">
        <f>IFERROR(__xludf.DUMMYFUNCTION("""COMPUTED_VALUE"""),"SUSTENTO")</f>
        <v>SUSTENTO</v>
      </c>
      <c r="W1590" s="213"/>
      <c r="X1590" s="213" t="str">
        <f>IFERROR(__xludf.DUMMYFUNCTION("""COMPUTED_VALUE"""),"SIERRA TECH")</f>
        <v>SIERRA TECH</v>
      </c>
      <c r="Y1590" s="213" t="str">
        <f>IFERROR(__xludf.DUMMYFUNCTION("""COMPUTED_VALUE"""),"ZMG JC-1501")</f>
        <v>ZMG JC-1501</v>
      </c>
      <c r="Z1590" s="215" t="str">
        <f>IFERROR(__xludf.DUMMYFUNCTION("""COMPUTED_VALUE"""),"https://drive.google.com/file/d/1BZ2N5EASu7KqA43xkUocI7QoYhjba-W1/view")</f>
        <v>https://drive.google.com/file/d/1BZ2N5EASu7KqA43xkUocI7QoYhjba-W1/view</v>
      </c>
      <c r="AA1590" s="213" t="str">
        <f>IFERROR(__xludf.DUMMYFUNCTION("""COMPUTED_VALUE"""),"ESP-223 MÁQUINA BORDADORA SEMI INDUSTRIAL - CET")</f>
        <v>ESP-223 MÁQUINA BORDADORA SEMI INDUSTRIAL - CET</v>
      </c>
      <c r="AB1590" s="215" t="str">
        <f>IFERROR(__xludf.DUMMYFUNCTION("""COMPUTED_VALUE"""),"https://drive.google.com/file/d/1Fqlrnerg5z0ZZDjz0DYTLjtJtuk9rroT/view?usp=sharing")</f>
        <v>https://drive.google.com/file/d/1Fqlrnerg5z0ZZDjz0DYTLjtJtuk9rroT/view?usp=sharing</v>
      </c>
      <c r="AC1590" s="213"/>
      <c r="AD1590" s="213"/>
      <c r="AE1590" s="213"/>
      <c r="AF1590" s="213"/>
      <c r="AG1590" s="213"/>
      <c r="AH1590" s="213" t="str">
        <f>IFERROR(__xludf.DUMMYFUNCTION("""COMPUTED_VALUE"""),"IMPORTADO")</f>
        <v>IMPORTADO</v>
      </c>
      <c r="AI1590" s="213"/>
      <c r="AJ1590" s="213"/>
      <c r="AK1590" s="213"/>
      <c r="AL1590" s="213"/>
      <c r="AM1590" s="213"/>
      <c r="AN1590" s="213"/>
      <c r="AO1590" s="213"/>
      <c r="AP1590" s="213" t="str">
        <f>IFERROR(__xludf.DUMMYFUNCTION("""COMPUTED_VALUE"""),"ANTONELLA")</f>
        <v>ANTONELLA</v>
      </c>
      <c r="AQ1590" s="213" t="str">
        <f>IFERROR(__xludf.DUMMYFUNCTION("""COMPUTED_VALUE"""),"Se solicita software de diseño libre, pero no existe ese tipo de software de diseño. Se sustenta que se proveerá la licencia permanente.")</f>
        <v>Se solicita software de diseño libre, pero no existe ese tipo de software de diseño. Se sustenta que se proveerá la licencia permanente.</v>
      </c>
      <c r="AR1590" s="213"/>
      <c r="AS1590" s="213" t="str">
        <f>IFERROR(__xludf.DUMMYFUNCTION("""COMPUTED_VALUE"""),"SOFTWARE DE DISEÑO CON LICENCIA PERMANENTE
BASTIDORES ESTÁNDAR 5 MEDIDAS
PORTA CONOS
BOBINAS
LÁMPARAS
CARRETELES
100 AGUJAS PARA COSER")</f>
        <v>SOFTWARE DE DISEÑO CON LICENCIA PERMANENTE
BASTIDORES ESTÁNDAR 5 MEDIDAS
PORTA CONOS
BOBINAS
LÁMPARAS
CARRETELES
100 AGUJAS PARA COSER</v>
      </c>
      <c r="AT1590" s="213"/>
      <c r="AU1590" s="213"/>
      <c r="AV1590" s="213"/>
      <c r="AW1590" s="213"/>
      <c r="AX1590" s="213"/>
      <c r="AY1590" s="213"/>
      <c r="AZ1590" s="213"/>
      <c r="BA1590" s="213"/>
      <c r="BB1590" s="213"/>
      <c r="BC1590" s="213"/>
      <c r="BD1590" s="213"/>
    </row>
    <row r="1591">
      <c r="A1591" s="213">
        <f>IFERROR(__xludf.DUMMYFUNCTION("""COMPUTED_VALUE"""),222.0)</f>
        <v>222</v>
      </c>
      <c r="B1591" s="213" t="str">
        <f>IFERROR(__xludf.DUMMYFUNCTION("""COMPUTED_VALUE"""),"2026 SIMON BOLIVAR")</f>
        <v>2026 SIMON BOLIVAR</v>
      </c>
      <c r="C1591" s="213" t="str">
        <f>IFERROR(__xludf.DUMMYFUNCTION("""COMPUTED_VALUE"""),"TALLER SFT DE INDUSTRIA DEL VESTIDO")</f>
        <v>TALLER SFT DE INDUSTRIA DEL VESTIDO</v>
      </c>
      <c r="D1591" s="213" t="str">
        <f>IFERROR(__xludf.DUMMYFUNCTION("""COMPUTED_VALUE"""),"EQUIPOS")</f>
        <v>EQUIPOS</v>
      </c>
      <c r="E1591" s="213" t="str">
        <f>IFERROR(__xludf.DUMMYFUNCTION("""COMPUTED_VALUE"""),"ESP-224")</f>
        <v>ESP-224</v>
      </c>
      <c r="F1591" s="213" t="str">
        <f>IFERROR(__xludf.DUMMYFUNCTION("""COMPUTED_VALUE"""),"ESP-224")</f>
        <v>ESP-224</v>
      </c>
      <c r="G1591" s="213"/>
      <c r="H1591" s="213" t="str">
        <f>IFERROR(__xludf.DUMMYFUNCTION("""COMPUTED_VALUE"""),"MÁQUINA CORTADORA MANUAL DE DISCO")</f>
        <v>MÁQUINA CORTADORA MANUAL DE DISCO</v>
      </c>
      <c r="I1591" s="213" t="str">
        <f>IFERROR(__xludf.DUMMYFUNCTION("""COMPUTED_VALUE"""),"·      Es ideal para cortar algodón, lana, lino, seda y cualquier otro tipo de tela sintética
·      Bajo nivel de ruido
·      Fácil de operar y alta eficiencia
·      Afilador de cuchilla  automático incorporado
·      Revoluciones máximas: 660 rpm
·   "&amp;"   Altura máxima de corte: 25 mm
·      Alimentación eléctrica : 220V/60Hz")</f>
        <v>·      Es ideal para cortar algodón, lana, lino, seda y cualquier otro tipo de tela sintética
·      Bajo nivel de ruido
·      Fácil de operar y alta eficiencia
·      Afilador de cuchilla  automático incorporado
·      Revoluciones máximas: 660 rpm
·      Altura máxima de corte: 25 mm
·      Alimentación eléctrica : 220V/60Hz</v>
      </c>
      <c r="J1591" s="213">
        <f>IFERROR(__xludf.DUMMYFUNCTION("""COMPUTED_VALUE"""),3.0)</f>
        <v>3</v>
      </c>
      <c r="K1591" s="213" t="str">
        <f>IFERROR(__xludf.DUMMYFUNCTION("""COMPUTED_VALUE"""),"170 DÍAS CALENDARIO")</f>
        <v>170 DÍAS CALENDARIO</v>
      </c>
      <c r="L1591" s="213" t="str">
        <f>IFERROR(__xludf.DUMMYFUNCTION("""COMPUTED_VALUE"""),"")</f>
        <v/>
      </c>
      <c r="M1591" s="213">
        <f>IFERROR(__xludf.DUMMYFUNCTION("""COMPUTED_VALUE"""),1.0)</f>
        <v>1</v>
      </c>
      <c r="N1591" s="213">
        <f>IFERROR(__xludf.DUMMYFUNCTION("""COMPUTED_VALUE"""),2.0)</f>
        <v>2</v>
      </c>
      <c r="O1591" s="213">
        <f>IFERROR(__xludf.DUMMYFUNCTION("""COMPUTED_VALUE"""),2.0)</f>
        <v>2</v>
      </c>
      <c r="P1591" s="213"/>
      <c r="Q1591" s="213"/>
      <c r="R1591" s="213"/>
      <c r="S1591" s="213" t="str">
        <f>IFERROR(__xludf.DUMMYFUNCTION("""COMPUTED_VALUE"""),"SI")</f>
        <v>SI</v>
      </c>
      <c r="T1591" s="213" t="str">
        <f>IFERROR(__xludf.DUMMYFUNCTION("""COMPUTED_VALUE"""),"CONSULTA FINAL")</f>
        <v>CONSULTA FINAL</v>
      </c>
      <c r="U1591" s="213" t="str">
        <f>IFERROR(__xludf.DUMMYFUNCTION("""COMPUTED_VALUE"""),"SI")</f>
        <v>SI</v>
      </c>
      <c r="V1591" s="213" t="str">
        <f>IFERROR(__xludf.DUMMYFUNCTION("""COMPUTED_VALUE"""),"-")</f>
        <v>-</v>
      </c>
      <c r="W1591" s="213" t="str">
        <f>IFERROR(__xludf.DUMMYFUNCTION("""COMPUTED_VALUE"""),"-")</f>
        <v>-</v>
      </c>
      <c r="X1591" s="213" t="str">
        <f>IFERROR(__xludf.DUMMYFUNCTION("""COMPUTED_VALUE"""),"RELIABLE")</f>
        <v>RELIABLE</v>
      </c>
      <c r="Y1591" s="213" t="str">
        <f>IFERROR(__xludf.DUMMYFUNCTION("""COMPUTED_VALUE"""),"1500FR")</f>
        <v>1500FR</v>
      </c>
      <c r="Z1591" s="215" t="str">
        <f>IFERROR(__xludf.DUMMYFUNCTION("""COMPUTED_VALUE"""),"https://reliablecorporation.com/en-eu/products/1500fr-octogonal-cutting-machine")</f>
        <v>https://reliablecorporation.com/en-eu/products/1500fr-octogonal-cutting-machine</v>
      </c>
      <c r="AA1591" s="213" t="str">
        <f>IFERROR(__xludf.DUMMYFUNCTION("""COMPUTED_VALUE"""),"ESP-224 MÁQUINA CORTADORA MANUAL DE DISCO - CET")</f>
        <v>ESP-224 MÁQUINA CORTADORA MANUAL DE DISCO - CET</v>
      </c>
      <c r="AB1591" s="213"/>
      <c r="AC1591" s="213"/>
      <c r="AD1591" s="213"/>
      <c r="AE1591" s="213"/>
      <c r="AF1591" s="213"/>
      <c r="AG1591" s="213"/>
      <c r="AH1591" s="213" t="str">
        <f>IFERROR(__xludf.DUMMYFUNCTION("""COMPUTED_VALUE"""),"IMPORTADO")</f>
        <v>IMPORTADO</v>
      </c>
      <c r="AI1591" s="213"/>
      <c r="AJ1591" s="213"/>
      <c r="AK1591" s="213"/>
      <c r="AL1591" s="213"/>
      <c r="AM1591" s="213"/>
      <c r="AN1591" s="213"/>
      <c r="AO1591" s="213"/>
      <c r="AP1591" s="213" t="str">
        <f>IFERROR(__xludf.DUMMYFUNCTION("""COMPUTED_VALUE"""),"ANTONELLA")</f>
        <v>ANTONELLA</v>
      </c>
      <c r="AQ1591" s="213"/>
      <c r="AR1591" s="213"/>
      <c r="AS1591" s="213" t="str">
        <f>IFERROR(__xludf.DUMMYFUNCTION("""COMPUTED_VALUE"""),"-")</f>
        <v>-</v>
      </c>
      <c r="AT1591" s="213"/>
      <c r="AU1591" s="213"/>
      <c r="AV1591" s="213"/>
      <c r="AW1591" s="213"/>
      <c r="AX1591" s="213"/>
      <c r="AY1591" s="213"/>
      <c r="AZ1591" s="213"/>
      <c r="BA1591" s="213"/>
      <c r="BB1591" s="213"/>
      <c r="BC1591" s="213"/>
      <c r="BD1591" s="213"/>
    </row>
    <row r="1592">
      <c r="A1592" s="213">
        <f>IFERROR(__xludf.DUMMYFUNCTION("""COMPUTED_VALUE"""),2439.0)</f>
        <v>2439</v>
      </c>
      <c r="B1592" s="213" t="str">
        <f>IFERROR(__xludf.DUMMYFUNCTION("""COMPUTED_VALUE"""),"MANUEL ANTONIO MESONES MURO")</f>
        <v>MANUEL ANTONIO MESONES MURO</v>
      </c>
      <c r="C1592" s="213" t="str">
        <f>IFERROR(__xludf.DUMMYFUNCTION("""COMPUTED_VALUE"""),"TALLER SFT DE INDUSTRIA DEL VESTIDO")</f>
        <v>TALLER SFT DE INDUSTRIA DEL VESTIDO</v>
      </c>
      <c r="D1592" s="213" t="str">
        <f>IFERROR(__xludf.DUMMYFUNCTION("""COMPUTED_VALUE"""),"EQUIPOS")</f>
        <v>EQUIPOS</v>
      </c>
      <c r="E1592" s="213" t="str">
        <f>IFERROR(__xludf.DUMMYFUNCTION("""COMPUTED_VALUE"""),"ESP-224")</f>
        <v>ESP-224</v>
      </c>
      <c r="F1592" s="213" t="str">
        <f>IFERROR(__xludf.DUMMYFUNCTION("""COMPUTED_VALUE"""),"ESP-224")</f>
        <v>ESP-224</v>
      </c>
      <c r="G1592" s="213"/>
      <c r="H1592" s="213" t="str">
        <f>IFERROR(__xludf.DUMMYFUNCTION("""COMPUTED_VALUE"""),"MÁQUINA CORTADORA MANUAL DE DISCO")</f>
        <v>MÁQUINA CORTADORA MANUAL DE DISCO</v>
      </c>
      <c r="I1592" s="213" t="str">
        <f>IFERROR(__xludf.DUMMYFUNCTION("""COMPUTED_VALUE"""),"·      Es ideal para cortar algodón, lana, lino, seda y cualquier otro tipo de tela sintética
·      Bajo nivel de ruido
·      Fácil de operar y alta eficiencia
·      Afilador de cuchilla  automático incorporado
·      Revoluciones máximas: 660 rpm
·   "&amp;"   Altura máxima de corte: 25 mm
·      Alimentación eléctrica : 220V/60Hz")</f>
        <v>·      Es ideal para cortar algodón, lana, lino, seda y cualquier otro tipo de tela sintética
·      Bajo nivel de ruido
·      Fácil de operar y alta eficiencia
·      Afilador de cuchilla  automático incorporado
·      Revoluciones máximas: 660 rpm
·      Altura máxima de corte: 25 mm
·      Alimentación eléctrica : 220V/60Hz</v>
      </c>
      <c r="J1592" s="213">
        <f>IFERROR(__xludf.DUMMYFUNCTION("""COMPUTED_VALUE"""),3.0)</f>
        <v>3</v>
      </c>
      <c r="K1592" s="213" t="str">
        <f>IFERROR(__xludf.DUMMYFUNCTION("""COMPUTED_VALUE"""),"170 DÍAS CALENDARIO")</f>
        <v>170 DÍAS CALENDARIO</v>
      </c>
      <c r="L1592" s="213" t="str">
        <f>IFERROR(__xludf.DUMMYFUNCTION("""COMPUTED_VALUE"""),"")</f>
        <v/>
      </c>
      <c r="M1592" s="213">
        <f>IFERROR(__xludf.DUMMYFUNCTION("""COMPUTED_VALUE"""),1.0)</f>
        <v>1</v>
      </c>
      <c r="N1592" s="213">
        <f>IFERROR(__xludf.DUMMYFUNCTION("""COMPUTED_VALUE"""),2.0)</f>
        <v>2</v>
      </c>
      <c r="O1592" s="213">
        <f>IFERROR(__xludf.DUMMYFUNCTION("""COMPUTED_VALUE"""),2.0)</f>
        <v>2</v>
      </c>
      <c r="P1592" s="213"/>
      <c r="Q1592" s="213"/>
      <c r="R1592" s="213"/>
      <c r="S1592" s="213" t="str">
        <f>IFERROR(__xludf.DUMMYFUNCTION("""COMPUTED_VALUE"""),"SI")</f>
        <v>SI</v>
      </c>
      <c r="T1592" s="213" t="str">
        <f>IFERROR(__xludf.DUMMYFUNCTION("""COMPUTED_VALUE"""),"CONSULTA FINAL")</f>
        <v>CONSULTA FINAL</v>
      </c>
      <c r="U1592" s="213" t="str">
        <f>IFERROR(__xludf.DUMMYFUNCTION("""COMPUTED_VALUE"""),"SI")</f>
        <v>SI</v>
      </c>
      <c r="V1592" s="213" t="str">
        <f>IFERROR(__xludf.DUMMYFUNCTION("""COMPUTED_VALUE"""),"-")</f>
        <v>-</v>
      </c>
      <c r="W1592" s="213" t="str">
        <f>IFERROR(__xludf.DUMMYFUNCTION("""COMPUTED_VALUE"""),"-")</f>
        <v>-</v>
      </c>
      <c r="X1592" s="213" t="str">
        <f>IFERROR(__xludf.DUMMYFUNCTION("""COMPUTED_VALUE"""),"RELIABLE")</f>
        <v>RELIABLE</v>
      </c>
      <c r="Y1592" s="213" t="str">
        <f>IFERROR(__xludf.DUMMYFUNCTION("""COMPUTED_VALUE"""),"1500FR")</f>
        <v>1500FR</v>
      </c>
      <c r="Z1592" s="215" t="str">
        <f>IFERROR(__xludf.DUMMYFUNCTION("""COMPUTED_VALUE"""),"https://reliablecorporation.com/en-eu/products/1500fr-octogonal-cutting-machine")</f>
        <v>https://reliablecorporation.com/en-eu/products/1500fr-octogonal-cutting-machine</v>
      </c>
      <c r="AA1592" s="213" t="str">
        <f>IFERROR(__xludf.DUMMYFUNCTION("""COMPUTED_VALUE"""),"ESP-224 MÁQUINA CORTADORA MANUAL DE DISCO - CET")</f>
        <v>ESP-224 MÁQUINA CORTADORA MANUAL DE DISCO - CET</v>
      </c>
      <c r="AB1592" s="213"/>
      <c r="AC1592" s="213"/>
      <c r="AD1592" s="213"/>
      <c r="AE1592" s="213"/>
      <c r="AF1592" s="213"/>
      <c r="AG1592" s="213"/>
      <c r="AH1592" s="213" t="str">
        <f>IFERROR(__xludf.DUMMYFUNCTION("""COMPUTED_VALUE"""),"IMPORTADO")</f>
        <v>IMPORTADO</v>
      </c>
      <c r="AI1592" s="213"/>
      <c r="AJ1592" s="213"/>
      <c r="AK1592" s="213"/>
      <c r="AL1592" s="213"/>
      <c r="AM1592" s="213"/>
      <c r="AN1592" s="213"/>
      <c r="AO1592" s="213"/>
      <c r="AP1592" s="213" t="str">
        <f>IFERROR(__xludf.DUMMYFUNCTION("""COMPUTED_VALUE"""),"ANTONELLA")</f>
        <v>ANTONELLA</v>
      </c>
      <c r="AQ1592" s="213"/>
      <c r="AR1592" s="213"/>
      <c r="AS1592" s="213" t="str">
        <f>IFERROR(__xludf.DUMMYFUNCTION("""COMPUTED_VALUE"""),"-")</f>
        <v>-</v>
      </c>
      <c r="AT1592" s="213"/>
      <c r="AU1592" s="213"/>
      <c r="AV1592" s="213"/>
      <c r="AW1592" s="213"/>
      <c r="AX1592" s="213"/>
      <c r="AY1592" s="213"/>
      <c r="AZ1592" s="213"/>
      <c r="BA1592" s="213"/>
      <c r="BB1592" s="213"/>
      <c r="BC1592" s="213"/>
      <c r="BD1592" s="213"/>
    </row>
    <row r="1593">
      <c r="A1593" s="213">
        <f>IFERROR(__xludf.DUMMYFUNCTION("""COMPUTED_VALUE"""),191.0)</f>
        <v>191</v>
      </c>
      <c r="B1593" s="213" t="str">
        <f>IFERROR(__xludf.DUMMYFUNCTION("""COMPUTED_VALUE"""),"2026 SIMON BOLIVAR")</f>
        <v>2026 SIMON BOLIVAR</v>
      </c>
      <c r="C1593" s="213" t="str">
        <f>IFERROR(__xludf.DUMMYFUNCTION("""COMPUTED_VALUE"""),"TALLER SFT DE INDUSTRIA DEL VESTIDO")</f>
        <v>TALLER SFT DE INDUSTRIA DEL VESTIDO</v>
      </c>
      <c r="D1593" s="213" t="str">
        <f>IFERROR(__xludf.DUMMYFUNCTION("""COMPUTED_VALUE"""),"EQUIPOS")</f>
        <v>EQUIPOS</v>
      </c>
      <c r="E1593" s="213" t="str">
        <f>IFERROR(__xludf.DUMMYFUNCTION("""COMPUTED_VALUE"""),"ESP-227")</f>
        <v>ESP-227</v>
      </c>
      <c r="F1593" s="213" t="str">
        <f>IFERROR(__xludf.DUMMYFUNCTION("""COMPUTED_VALUE"""),"ESP-227")</f>
        <v>ESP-227</v>
      </c>
      <c r="G1593" s="213"/>
      <c r="H1593" s="213" t="str">
        <f>IFERROR(__xludf.DUMMYFUNCTION("""COMPUTED_VALUE"""),"MÁQUINA DE COSER DOMÉSTICA ELECTRÓNICA DIGITAL 1200 PUNTADAS POR MINUTO")</f>
        <v>MÁQUINA DE COSER DOMÉSTICA ELECTRÓNICA DIGITAL 1200 PUNTADAS POR MINUTO</v>
      </c>
      <c r="I1593" s="213" t="str">
        <f>IFERROR(__xludf.DUMMYFUNCTION("""COMPUTED_VALUE"""),"·      200 tipos de puntadas
·      Sistema de alimentación varias capas de tela.
·      Pantalla: LCD
·      Iluminación LED
·      Velocidad: 1200 ppm
·      Control de velocidad regulable
·      Ancho de puntada: hasta 9 mm.
·      Longitud de puntada:"&amp;" hasta 5 mm
·      Remate automático
·      Cama plana de 10”
·      Mesa de extensión
·      Sistema START/STOP coser con o sin pedal
·      Enhebrador  de aguja automático
·      Cortador de hilo automático
·      Ajuste de presión de prensatela
·      "&amp;"Levantador de prensatela
·      Dimensiones de la máquina 516x300x200 (mm) aproximadamente
·      Voltaje: 220  / 60 Hz
·      Peso: 10 Kg aproximado")</f>
        <v>·      200 tipos de puntadas
·      Sistema de alimentación varias capas de tela.
·      Pantalla: LCD
·      Iluminación LED
·      Velocidad: 1200 ppm
·      Control de velocidad regulable
·      Ancho de puntada: hasta 9 mm.
·      Longitud de puntada: hasta 5 mm
·      Remate automático
·      Cama plana de 10”
·      Mesa de extensión
·      Sistema START/STOP coser con o sin pedal
·      Enhebrador  de aguja automático
·      Cortador de hilo automático
·      Ajuste de presión de prensatela
·      Levantador de prensatela
·      Dimensiones de la máquina 516x300x200 (mm) aproximadamente
·      Voltaje: 220  / 60 Hz
·      Peso: 10 Kg aproximado</v>
      </c>
      <c r="J1593" s="213">
        <f>IFERROR(__xludf.DUMMYFUNCTION("""COMPUTED_VALUE"""),3.0)</f>
        <v>3</v>
      </c>
      <c r="K1593" s="213" t="str">
        <f>IFERROR(__xludf.DUMMYFUNCTION("""COMPUTED_VALUE"""),"170 DÍAS CALENDARIO")</f>
        <v>170 DÍAS CALENDARIO</v>
      </c>
      <c r="L1593" s="213" t="str">
        <f>IFERROR(__xludf.DUMMYFUNCTION("""COMPUTED_VALUE"""),"")</f>
        <v/>
      </c>
      <c r="M1593" s="213">
        <f>IFERROR(__xludf.DUMMYFUNCTION("""COMPUTED_VALUE"""),1.0)</f>
        <v>1</v>
      </c>
      <c r="N1593" s="213">
        <f>IFERROR(__xludf.DUMMYFUNCTION("""COMPUTED_VALUE"""),7.0)</f>
        <v>7</v>
      </c>
      <c r="O1593" s="213">
        <f>IFERROR(__xludf.DUMMYFUNCTION("""COMPUTED_VALUE"""),7.0)</f>
        <v>7</v>
      </c>
      <c r="P1593" s="213"/>
      <c r="Q1593" s="213"/>
      <c r="R1593" s="213"/>
      <c r="S1593" s="213" t="str">
        <f>IFERROR(__xludf.DUMMYFUNCTION("""COMPUTED_VALUE"""),"SI")</f>
        <v>SI</v>
      </c>
      <c r="T1593" s="213" t="str">
        <f>IFERROR(__xludf.DUMMYFUNCTION("""COMPUTED_VALUE"""),"SI")</f>
        <v>SI</v>
      </c>
      <c r="U1593" s="213" t="str">
        <f>IFERROR(__xludf.DUMMYFUNCTION("""COMPUTED_VALUE"""),"SI")</f>
        <v>SI</v>
      </c>
      <c r="V1593" s="213" t="str">
        <f>IFERROR(__xludf.DUMMYFUNCTION("""COMPUTED_VALUE"""),"-")</f>
        <v>-</v>
      </c>
      <c r="W1593" s="213" t="str">
        <f>IFERROR(__xludf.DUMMYFUNCTION("""COMPUTED_VALUE"""),"-")</f>
        <v>-</v>
      </c>
      <c r="X1593" s="213" t="str">
        <f>IFERROR(__xludf.DUMMYFUNCTION("""COMPUTED_VALUE"""),"JANOME")</f>
        <v>JANOME</v>
      </c>
      <c r="Y1593" s="213" t="str">
        <f>IFERROR(__xludf.DUMMYFUNCTION("""COMPUTED_VALUE"""),"MC6700P")</f>
        <v>MC6700P</v>
      </c>
      <c r="Z1593" s="215" t="str">
        <f>IFERROR(__xludf.DUMMYFUNCTION("""COMPUTED_VALUE"""),"https://drive.google.com/file/d/1pr-p_4UQyf3qQt43Dds_N142IuFfCXDk/view")</f>
        <v>https://drive.google.com/file/d/1pr-p_4UQyf3qQt43Dds_N142IuFfCXDk/view</v>
      </c>
      <c r="AA1593" s="213" t="str">
        <f>IFERROR(__xludf.DUMMYFUNCTION("""COMPUTED_VALUE"""),"ESP-227 MÁQUINA DE COSER DOMÉSTICA ELECTRÓNICA DIGITAL 1200 PUNTADAS POR MINUTO - CET")</f>
        <v>ESP-227 MÁQUINA DE COSER DOMÉSTICA ELECTRÓNICA DIGITAL 1200 PUNTADAS POR MINUTO - CET</v>
      </c>
      <c r="AB1593" s="215" t="str">
        <f>IFERROR(__xludf.DUMMYFUNCTION("""COMPUTED_VALUE"""),"https://drive.google.com/file/d/1pr-p_4UQyf3qQt43Dds_N142IuFfCXDk/view")</f>
        <v>https://drive.google.com/file/d/1pr-p_4UQyf3qQt43Dds_N142IuFfCXDk/view</v>
      </c>
      <c r="AC1593" s="213"/>
      <c r="AD1593" s="213"/>
      <c r="AE1593" s="213"/>
      <c r="AF1593" s="213"/>
      <c r="AG1593" s="213"/>
      <c r="AH1593" s="213" t="str">
        <f>IFERROR(__xludf.DUMMYFUNCTION("""COMPUTED_VALUE"""),"IMPORTADO")</f>
        <v>IMPORTADO</v>
      </c>
      <c r="AI1593" s="213"/>
      <c r="AJ1593" s="213"/>
      <c r="AK1593" s="213"/>
      <c r="AL1593" s="213"/>
      <c r="AM1593" s="213"/>
      <c r="AN1593" s="213"/>
      <c r="AO1593" s="213"/>
      <c r="AP1593" s="213" t="str">
        <f>IFERROR(__xludf.DUMMYFUNCTION("""COMPUTED_VALUE"""),"ANTONELLA")</f>
        <v>ANTONELLA</v>
      </c>
      <c r="AQ1593" s="213"/>
      <c r="AR1593" s="213"/>
      <c r="AS1593" s="213" t="str">
        <f>IFERROR(__xludf.DUMMYFUNCTION("""COMPUTED_VALUE"""),"-")</f>
        <v>-</v>
      </c>
      <c r="AT1593" s="213"/>
      <c r="AU1593" s="213"/>
      <c r="AV1593" s="213"/>
      <c r="AW1593" s="213"/>
      <c r="AX1593" s="213"/>
      <c r="AY1593" s="213"/>
      <c r="AZ1593" s="213"/>
      <c r="BA1593" s="213"/>
      <c r="BB1593" s="213"/>
      <c r="BC1593" s="213"/>
      <c r="BD1593" s="213"/>
    </row>
    <row r="1594">
      <c r="A1594" s="213">
        <f>IFERROR(__xludf.DUMMYFUNCTION("""COMPUTED_VALUE"""),2414.0)</f>
        <v>2414</v>
      </c>
      <c r="B1594" s="213" t="str">
        <f>IFERROR(__xludf.DUMMYFUNCTION("""COMPUTED_VALUE"""),"MANUEL ANTONIO MESONES MURO")</f>
        <v>MANUEL ANTONIO MESONES MURO</v>
      </c>
      <c r="C1594" s="213" t="str">
        <f>IFERROR(__xludf.DUMMYFUNCTION("""COMPUTED_VALUE"""),"TALLER SFT DE INDUSTRIA DEL VESTIDO")</f>
        <v>TALLER SFT DE INDUSTRIA DEL VESTIDO</v>
      </c>
      <c r="D1594" s="213" t="str">
        <f>IFERROR(__xludf.DUMMYFUNCTION("""COMPUTED_VALUE"""),"EQUIPOS")</f>
        <v>EQUIPOS</v>
      </c>
      <c r="E1594" s="213" t="str">
        <f>IFERROR(__xludf.DUMMYFUNCTION("""COMPUTED_VALUE"""),"ESP-227")</f>
        <v>ESP-227</v>
      </c>
      <c r="F1594" s="213" t="str">
        <f>IFERROR(__xludf.DUMMYFUNCTION("""COMPUTED_VALUE"""),"ESP-227")</f>
        <v>ESP-227</v>
      </c>
      <c r="G1594" s="213"/>
      <c r="H1594" s="213" t="str">
        <f>IFERROR(__xludf.DUMMYFUNCTION("""COMPUTED_VALUE"""),"MÁQUINA DE COSER DOMÉSTICA ELECTRÓNICA DIGITAL 1200 PUNTADAS POR MINUTO")</f>
        <v>MÁQUINA DE COSER DOMÉSTICA ELECTRÓNICA DIGITAL 1200 PUNTADAS POR MINUTO</v>
      </c>
      <c r="I1594" s="213" t="str">
        <f>IFERROR(__xludf.DUMMYFUNCTION("""COMPUTED_VALUE"""),"·      200 tipos de puntadas
·      Sistema de alimentación varias capas de tela.
·      Pantalla: LCD
·      Iluminación LED
·      Velocidad: 1200 ppm
·      Control de velocidad regulable
·      Ancho de puntada: hasta 9 mm.
·      Longitud de puntada:"&amp;" hasta 5 mm
·      Remate automático
·      Cama plana de 10”
·      Mesa de extensión
·      Sistema START/STOP coser con o sin pedal
·      Enhebrador  de aguja automático
·      Cortador de hilo automático
·      Ajuste de presión de prensatela
·      "&amp;"Levantador de prensatela
·      Dimensiones de la máquina 516x300x200 (mm) aproximadamente
·      Voltaje: 220  / 60 Hz
·      Peso: 10 Kg aproximado")</f>
        <v>·      200 tipos de puntadas
·      Sistema de alimentación varias capas de tela.
·      Pantalla: LCD
·      Iluminación LED
·      Velocidad: 1200 ppm
·      Control de velocidad regulable
·      Ancho de puntada: hasta 9 mm.
·      Longitud de puntada: hasta 5 mm
·      Remate automático
·      Cama plana de 10”
·      Mesa de extensión
·      Sistema START/STOP coser con o sin pedal
·      Enhebrador  de aguja automático
·      Cortador de hilo automático
·      Ajuste de presión de prensatela
·      Levantador de prensatela
·      Dimensiones de la máquina 516x300x200 (mm) aproximadamente
·      Voltaje: 220  / 60 Hz
·      Peso: 10 Kg aproximado</v>
      </c>
      <c r="J1594" s="213">
        <f>IFERROR(__xludf.DUMMYFUNCTION("""COMPUTED_VALUE"""),3.0)</f>
        <v>3</v>
      </c>
      <c r="K1594" s="213" t="str">
        <f>IFERROR(__xludf.DUMMYFUNCTION("""COMPUTED_VALUE"""),"170 DÍAS CALENDARIO")</f>
        <v>170 DÍAS CALENDARIO</v>
      </c>
      <c r="L1594" s="213" t="str">
        <f>IFERROR(__xludf.DUMMYFUNCTION("""COMPUTED_VALUE"""),"")</f>
        <v/>
      </c>
      <c r="M1594" s="213">
        <f>IFERROR(__xludf.DUMMYFUNCTION("""COMPUTED_VALUE"""),1.0)</f>
        <v>1</v>
      </c>
      <c r="N1594" s="213">
        <f>IFERROR(__xludf.DUMMYFUNCTION("""COMPUTED_VALUE"""),6.0)</f>
        <v>6</v>
      </c>
      <c r="O1594" s="213">
        <f>IFERROR(__xludf.DUMMYFUNCTION("""COMPUTED_VALUE"""),6.0)</f>
        <v>6</v>
      </c>
      <c r="P1594" s="213"/>
      <c r="Q1594" s="213"/>
      <c r="R1594" s="213"/>
      <c r="S1594" s="213" t="str">
        <f>IFERROR(__xludf.DUMMYFUNCTION("""COMPUTED_VALUE"""),"SI")</f>
        <v>SI</v>
      </c>
      <c r="T1594" s="213" t="str">
        <f>IFERROR(__xludf.DUMMYFUNCTION("""COMPUTED_VALUE"""),"SI")</f>
        <v>SI</v>
      </c>
      <c r="U1594" s="213" t="str">
        <f>IFERROR(__xludf.DUMMYFUNCTION("""COMPUTED_VALUE"""),"SI")</f>
        <v>SI</v>
      </c>
      <c r="V1594" s="213" t="str">
        <f>IFERROR(__xludf.DUMMYFUNCTION("""COMPUTED_VALUE"""),"-")</f>
        <v>-</v>
      </c>
      <c r="W1594" s="213" t="str">
        <f>IFERROR(__xludf.DUMMYFUNCTION("""COMPUTED_VALUE"""),"-")</f>
        <v>-</v>
      </c>
      <c r="X1594" s="213" t="str">
        <f>IFERROR(__xludf.DUMMYFUNCTION("""COMPUTED_VALUE"""),"JANOME")</f>
        <v>JANOME</v>
      </c>
      <c r="Y1594" s="213" t="str">
        <f>IFERROR(__xludf.DUMMYFUNCTION("""COMPUTED_VALUE"""),"MC6700P")</f>
        <v>MC6700P</v>
      </c>
      <c r="Z1594" s="215" t="str">
        <f>IFERROR(__xludf.DUMMYFUNCTION("""COMPUTED_VALUE"""),"https://drive.google.com/file/d/1pr-p_4UQyf3qQt43Dds_N142IuFfCXDk/view")</f>
        <v>https://drive.google.com/file/d/1pr-p_4UQyf3qQt43Dds_N142IuFfCXDk/view</v>
      </c>
      <c r="AA1594" s="213" t="str">
        <f>IFERROR(__xludf.DUMMYFUNCTION("""COMPUTED_VALUE"""),"ESP-227 MÁQUINA DE COSER DOMÉSTICA ELECTRÓNICA DIGITAL 1200 PUNTADAS POR MINUTO - CET")</f>
        <v>ESP-227 MÁQUINA DE COSER DOMÉSTICA ELECTRÓNICA DIGITAL 1200 PUNTADAS POR MINUTO - CET</v>
      </c>
      <c r="AB1594" s="215" t="str">
        <f>IFERROR(__xludf.DUMMYFUNCTION("""COMPUTED_VALUE"""),"https://drive.google.com/file/d/1pr-p_4UQyf3qQt43Dds_N142IuFfCXDk/view")</f>
        <v>https://drive.google.com/file/d/1pr-p_4UQyf3qQt43Dds_N142IuFfCXDk/view</v>
      </c>
      <c r="AC1594" s="213"/>
      <c r="AD1594" s="213"/>
      <c r="AE1594" s="213"/>
      <c r="AF1594" s="213"/>
      <c r="AG1594" s="213"/>
      <c r="AH1594" s="213" t="str">
        <f>IFERROR(__xludf.DUMMYFUNCTION("""COMPUTED_VALUE"""),"IMPORTADO")</f>
        <v>IMPORTADO</v>
      </c>
      <c r="AI1594" s="213"/>
      <c r="AJ1594" s="213"/>
      <c r="AK1594" s="213"/>
      <c r="AL1594" s="213"/>
      <c r="AM1594" s="213"/>
      <c r="AN1594" s="213"/>
      <c r="AO1594" s="213"/>
      <c r="AP1594" s="213" t="str">
        <f>IFERROR(__xludf.DUMMYFUNCTION("""COMPUTED_VALUE"""),"ANTONELLA")</f>
        <v>ANTONELLA</v>
      </c>
      <c r="AQ1594" s="213"/>
      <c r="AR1594" s="213"/>
      <c r="AS1594" s="213" t="str">
        <f>IFERROR(__xludf.DUMMYFUNCTION("""COMPUTED_VALUE"""),"-")</f>
        <v>-</v>
      </c>
      <c r="AT1594" s="213"/>
      <c r="AU1594" s="213"/>
      <c r="AV1594" s="213"/>
      <c r="AW1594" s="213"/>
      <c r="AX1594" s="213"/>
      <c r="AY1594" s="213"/>
      <c r="AZ1594" s="213"/>
      <c r="BA1594" s="213"/>
      <c r="BB1594" s="213"/>
      <c r="BC1594" s="213"/>
      <c r="BD1594" s="213"/>
    </row>
    <row r="1595">
      <c r="A1595" s="213">
        <f>IFERROR(__xludf.DUMMYFUNCTION("""COMPUTED_VALUE"""),192.0)</f>
        <v>192</v>
      </c>
      <c r="B1595" s="213" t="str">
        <f>IFERROR(__xludf.DUMMYFUNCTION("""COMPUTED_VALUE"""),"2026 SIMON BOLIVAR")</f>
        <v>2026 SIMON BOLIVAR</v>
      </c>
      <c r="C1595" s="213" t="str">
        <f>IFERROR(__xludf.DUMMYFUNCTION("""COMPUTED_VALUE"""),"TALLER SFT DE INDUSTRIA DEL VESTIDO")</f>
        <v>TALLER SFT DE INDUSTRIA DEL VESTIDO</v>
      </c>
      <c r="D1595" s="213" t="str">
        <f>IFERROR(__xludf.DUMMYFUNCTION("""COMPUTED_VALUE"""),"EQUIPOS")</f>
        <v>EQUIPOS</v>
      </c>
      <c r="E1595" s="213" t="str">
        <f>IFERROR(__xludf.DUMMYFUNCTION("""COMPUTED_VALUE"""),"ESP-228")</f>
        <v>ESP-228</v>
      </c>
      <c r="F1595" s="213" t="str">
        <f>IFERROR(__xludf.DUMMYFUNCTION("""COMPUTED_VALUE"""),"ESP-228")</f>
        <v>ESP-228</v>
      </c>
      <c r="G1595" s="213"/>
      <c r="H1595" s="213" t="str">
        <f>IFERROR(__xludf.DUMMYFUNCTION("""COMPUTED_VALUE"""),"MÁQUINA DE COSER SEMI INDUSTRIAL MECÁNICA")</f>
        <v>MÁQUINA DE COSER SEMI INDUSTRIAL MECÁNICA</v>
      </c>
      <c r="I1595" s="213" t="str">
        <f>IFERROR(__xludf.DUMMYFUNCTION("""COMPUTED_VALUE"""),"· Pantalla mínimo LCD de 3"" a color, de control tactil.
· Puerto USB. Selector de velocidades.
· Doble altura de prénsatela
·Enhebrador automático.
· Corte de hilo automático.
· Mínimo 70 tipos de puntadas y capacidad de realizar remates de costura. Sele"&amp;"ctor de puntada: largo y ancho· Aguja simple y doble
· Luz incorporada
· Velocidad máxima de ecostrura: 700 ppm
· Voltaje: 220V/60HZ.
VDiEmRenAsiHoniledsade la maquina aproximadas(+-10mm) : 407 x305x175 mm
998 soft")</f>
        <v>· Pantalla mínimo LCD de 3" a color, de control tactil.
· Puerto USB. Selector de velocidades.
· Doble altura de prénsatela
·Enhebrador automático.
· Corte de hilo automático.
· Mínimo 70 tipos de puntadas y capacidad de realizar remates de costura. Selector de puntada: largo y ancho· Aguja simple y doble
· Luz incorporada
· Velocidad máxima de ecostrura: 700 ppm
· Voltaje: 220V/60HZ.
VDiEmRenAsiHoniledsade la maquina aproximadas(+-10mm) : 407 x305x175 mm
998 soft</v>
      </c>
      <c r="J1595" s="213">
        <f>IFERROR(__xludf.DUMMYFUNCTION("""COMPUTED_VALUE"""),3.0)</f>
        <v>3</v>
      </c>
      <c r="K1595" s="213" t="str">
        <f>IFERROR(__xludf.DUMMYFUNCTION("""COMPUTED_VALUE"""),"170 DÍAS CALENDARIO")</f>
        <v>170 DÍAS CALENDARIO</v>
      </c>
      <c r="L1595" s="213" t="str">
        <f>IFERROR(__xludf.DUMMYFUNCTION("""COMPUTED_VALUE"""),"")</f>
        <v/>
      </c>
      <c r="M1595" s="213">
        <f>IFERROR(__xludf.DUMMYFUNCTION("""COMPUTED_VALUE"""),1.0)</f>
        <v>1</v>
      </c>
      <c r="N1595" s="213">
        <f>IFERROR(__xludf.DUMMYFUNCTION("""COMPUTED_VALUE"""),7.0)</f>
        <v>7</v>
      </c>
      <c r="O1595" s="213">
        <f>IFERROR(__xludf.DUMMYFUNCTION("""COMPUTED_VALUE"""),7.0)</f>
        <v>7</v>
      </c>
      <c r="P1595" s="213"/>
      <c r="Q1595" s="213"/>
      <c r="R1595" s="213"/>
      <c r="S1595" s="213" t="str">
        <f>IFERROR(__xludf.DUMMYFUNCTION("""COMPUTED_VALUE"""),"SI")</f>
        <v>SI</v>
      </c>
      <c r="T1595" s="213" t="str">
        <f>IFERROR(__xludf.DUMMYFUNCTION("""COMPUTED_VALUE"""),"SI")</f>
        <v>SI</v>
      </c>
      <c r="U1595" s="213" t="str">
        <f>IFERROR(__xludf.DUMMYFUNCTION("""COMPUTED_VALUE"""),"NO")</f>
        <v>NO</v>
      </c>
      <c r="V1595" s="213" t="str">
        <f>IFERROR(__xludf.DUMMYFUNCTION("""COMPUTED_VALUE"""),"SUSTENTO")</f>
        <v>SUSTENTO</v>
      </c>
      <c r="W1595" s="213"/>
      <c r="X1595" s="213" t="str">
        <f>IFERROR(__xludf.DUMMYFUNCTION("""COMPUTED_VALUE"""),"JANOME")</f>
        <v>JANOME</v>
      </c>
      <c r="Y1595" s="213" t="str">
        <f>IFERROR(__xludf.DUMMYFUNCTION("""COMPUTED_VALUE"""),"MC 9850")</f>
        <v>MC 9850</v>
      </c>
      <c r="Z1595" s="215" t="str">
        <f>IFERROR(__xludf.DUMMYFUNCTION("""COMPUTED_VALUE"""),"https://www.janome.com/product/memory-craft-9850/")</f>
        <v>https://www.janome.com/product/memory-craft-9850/</v>
      </c>
      <c r="AA1595" s="213" t="str">
        <f>IFERROR(__xludf.DUMMYFUNCTION("""COMPUTED_VALUE"""),"ESP-228 MÁQUINA DE COSER SEMI INDUSTRIAL MECÁNICA - CET")</f>
        <v>ESP-228 MÁQUINA DE COSER SEMI INDUSTRIAL MECÁNICA - CET</v>
      </c>
      <c r="AB1595" s="215" t="str">
        <f>IFERROR(__xludf.DUMMYFUNCTION("""COMPUTED_VALUE"""),"https://drive.google.com/file/d/10VjmSdV8yuPQkuDC8a-wJHXuPXDa4mqa/view")</f>
        <v>https://drive.google.com/file/d/10VjmSdV8yuPQkuDC8a-wJHXuPXDa4mqa/view</v>
      </c>
      <c r="AC1595" s="213"/>
      <c r="AD1595" s="213"/>
      <c r="AE1595" s="213"/>
      <c r="AF1595" s="213"/>
      <c r="AG1595" s="213"/>
      <c r="AH1595" s="213" t="str">
        <f>IFERROR(__xludf.DUMMYFUNCTION("""COMPUTED_VALUE"""),"IMPORTADO")</f>
        <v>IMPORTADO</v>
      </c>
      <c r="AI1595" s="213"/>
      <c r="AJ1595" s="213"/>
      <c r="AK1595" s="213"/>
      <c r="AL1595" s="213"/>
      <c r="AM1595" s="213"/>
      <c r="AN1595" s="213"/>
      <c r="AO1595" s="213"/>
      <c r="AP1595" s="213" t="str">
        <f>IFERROR(__xludf.DUMMYFUNCTION("""COMPUTED_VALUE"""),"ANTONELLA")</f>
        <v>ANTONELLA</v>
      </c>
      <c r="AQ1595" s="213" t="str">
        <f>IFERROR(__xludf.DUMMYFUNCTION("""COMPUTED_VALUE"""),"Dimensiones son ligeramente mayores pero es sustentable.")</f>
        <v>Dimensiones son ligeramente mayores pero es sustentable.</v>
      </c>
      <c r="AR1595" s="213"/>
      <c r="AS1595" s="213"/>
      <c r="AT1595" s="213"/>
      <c r="AU1595" s="213"/>
      <c r="AV1595" s="213"/>
      <c r="AW1595" s="213"/>
      <c r="AX1595" s="213"/>
      <c r="AY1595" s="213"/>
      <c r="AZ1595" s="213"/>
      <c r="BA1595" s="213"/>
      <c r="BB1595" s="213"/>
      <c r="BC1595" s="213"/>
      <c r="BD1595" s="213"/>
    </row>
    <row r="1596">
      <c r="A1596" s="213">
        <f>IFERROR(__xludf.DUMMYFUNCTION("""COMPUTED_VALUE"""),2415.0)</f>
        <v>2415</v>
      </c>
      <c r="B1596" s="213" t="str">
        <f>IFERROR(__xludf.DUMMYFUNCTION("""COMPUTED_VALUE"""),"MANUEL ANTONIO MESONES MURO")</f>
        <v>MANUEL ANTONIO MESONES MURO</v>
      </c>
      <c r="C1596" s="213" t="str">
        <f>IFERROR(__xludf.DUMMYFUNCTION("""COMPUTED_VALUE"""),"TALLER SFT DE INDUSTRIA DEL VESTIDO")</f>
        <v>TALLER SFT DE INDUSTRIA DEL VESTIDO</v>
      </c>
      <c r="D1596" s="213" t="str">
        <f>IFERROR(__xludf.DUMMYFUNCTION("""COMPUTED_VALUE"""),"EQUIPOS")</f>
        <v>EQUIPOS</v>
      </c>
      <c r="E1596" s="213" t="str">
        <f>IFERROR(__xludf.DUMMYFUNCTION("""COMPUTED_VALUE"""),"ESP-228")</f>
        <v>ESP-228</v>
      </c>
      <c r="F1596" s="213" t="str">
        <f>IFERROR(__xludf.DUMMYFUNCTION("""COMPUTED_VALUE"""),"ESP-228")</f>
        <v>ESP-228</v>
      </c>
      <c r="G1596" s="213"/>
      <c r="H1596" s="213" t="str">
        <f>IFERROR(__xludf.DUMMYFUNCTION("""COMPUTED_VALUE"""),"MÁQUINA DE COSER SEMI INDUSTRIAL MECÁNICA")</f>
        <v>MÁQUINA DE COSER SEMI INDUSTRIAL MECÁNICA</v>
      </c>
      <c r="I1596" s="213" t="str">
        <f>IFERROR(__xludf.DUMMYFUNCTION("""COMPUTED_VALUE"""),"· Pantalla mínimo LCD de 3"" a color, de control tactil.
· Puerto USB. Selector de velocidades.
· Doble altura de prénsatela
·Enhebrador automático.
· Corte de hilo automático.
· Mínimo 70 tipos de puntadas y capacidad de realizar remates de costura. Sele"&amp;"ctor de puntada: largo y ancho· Aguja simple y doble
· Luz incorporada
· Velocidad máxima de ecostrura: 700 ppm
· Voltaje: 220V/60HZ.
VDiEmRenAsiHoniledsade la maquina aproximadas(+-10mm) : 407 x305x175 mm
998 soft")</f>
        <v>· Pantalla mínimo LCD de 3" a color, de control tactil.
· Puerto USB. Selector de velocidades.
· Doble altura de prénsatela
·Enhebrador automático.
· Corte de hilo automático.
· Mínimo 70 tipos de puntadas y capacidad de realizar remates de costura. Selector de puntada: largo y ancho· Aguja simple y doble
· Luz incorporada
· Velocidad máxima de ecostrura: 700 ppm
· Voltaje: 220V/60HZ.
VDiEmRenAsiHoniledsade la maquina aproximadas(+-10mm) : 407 x305x175 mm
998 soft</v>
      </c>
      <c r="J1596" s="213">
        <f>IFERROR(__xludf.DUMMYFUNCTION("""COMPUTED_VALUE"""),3.0)</f>
        <v>3</v>
      </c>
      <c r="K1596" s="213" t="str">
        <f>IFERROR(__xludf.DUMMYFUNCTION("""COMPUTED_VALUE"""),"170 DÍAS CALENDARIO")</f>
        <v>170 DÍAS CALENDARIO</v>
      </c>
      <c r="L1596" s="213" t="str">
        <f>IFERROR(__xludf.DUMMYFUNCTION("""COMPUTED_VALUE"""),"")</f>
        <v/>
      </c>
      <c r="M1596" s="213">
        <f>IFERROR(__xludf.DUMMYFUNCTION("""COMPUTED_VALUE"""),1.0)</f>
        <v>1</v>
      </c>
      <c r="N1596" s="213">
        <f>IFERROR(__xludf.DUMMYFUNCTION("""COMPUTED_VALUE"""),6.0)</f>
        <v>6</v>
      </c>
      <c r="O1596" s="213">
        <f>IFERROR(__xludf.DUMMYFUNCTION("""COMPUTED_VALUE"""),6.0)</f>
        <v>6</v>
      </c>
      <c r="P1596" s="213"/>
      <c r="Q1596" s="213"/>
      <c r="R1596" s="213"/>
      <c r="S1596" s="213" t="str">
        <f>IFERROR(__xludf.DUMMYFUNCTION("""COMPUTED_VALUE"""),"SI")</f>
        <v>SI</v>
      </c>
      <c r="T1596" s="213" t="str">
        <f>IFERROR(__xludf.DUMMYFUNCTION("""COMPUTED_VALUE"""),"SI")</f>
        <v>SI</v>
      </c>
      <c r="U1596" s="213" t="str">
        <f>IFERROR(__xludf.DUMMYFUNCTION("""COMPUTED_VALUE"""),"NO")</f>
        <v>NO</v>
      </c>
      <c r="V1596" s="213" t="str">
        <f>IFERROR(__xludf.DUMMYFUNCTION("""COMPUTED_VALUE"""),"SUSTENTO")</f>
        <v>SUSTENTO</v>
      </c>
      <c r="W1596" s="213"/>
      <c r="X1596" s="213" t="str">
        <f>IFERROR(__xludf.DUMMYFUNCTION("""COMPUTED_VALUE"""),"JANOME")</f>
        <v>JANOME</v>
      </c>
      <c r="Y1596" s="213" t="str">
        <f>IFERROR(__xludf.DUMMYFUNCTION("""COMPUTED_VALUE"""),"MC 9850")</f>
        <v>MC 9850</v>
      </c>
      <c r="Z1596" s="215" t="str">
        <f>IFERROR(__xludf.DUMMYFUNCTION("""COMPUTED_VALUE"""),"https://www.janome.com/product/memory-craft-9850/")</f>
        <v>https://www.janome.com/product/memory-craft-9850/</v>
      </c>
      <c r="AA1596" s="213" t="str">
        <f>IFERROR(__xludf.DUMMYFUNCTION("""COMPUTED_VALUE"""),"ESP-228 MÁQUINA DE COSER SEMI INDUSTRIAL MECÁNICA - CET")</f>
        <v>ESP-228 MÁQUINA DE COSER SEMI INDUSTRIAL MECÁNICA - CET</v>
      </c>
      <c r="AB1596" s="215" t="str">
        <f>IFERROR(__xludf.DUMMYFUNCTION("""COMPUTED_VALUE"""),"https://drive.google.com/file/d/10VjmSdV8yuPQkuDC8a-wJHXuPXDa4mqa/view")</f>
        <v>https://drive.google.com/file/d/10VjmSdV8yuPQkuDC8a-wJHXuPXDa4mqa/view</v>
      </c>
      <c r="AC1596" s="213"/>
      <c r="AD1596" s="213"/>
      <c r="AE1596" s="213"/>
      <c r="AF1596" s="213"/>
      <c r="AG1596" s="213"/>
      <c r="AH1596" s="213" t="str">
        <f>IFERROR(__xludf.DUMMYFUNCTION("""COMPUTED_VALUE"""),"IMPORTADO")</f>
        <v>IMPORTADO</v>
      </c>
      <c r="AI1596" s="213"/>
      <c r="AJ1596" s="213"/>
      <c r="AK1596" s="213"/>
      <c r="AL1596" s="213"/>
      <c r="AM1596" s="213"/>
      <c r="AN1596" s="213"/>
      <c r="AO1596" s="213"/>
      <c r="AP1596" s="213" t="str">
        <f>IFERROR(__xludf.DUMMYFUNCTION("""COMPUTED_VALUE"""),"ANTONELLA")</f>
        <v>ANTONELLA</v>
      </c>
      <c r="AQ1596" s="213" t="str">
        <f>IFERROR(__xludf.DUMMYFUNCTION("""COMPUTED_VALUE"""),"Dimensiones son ligeramente mayores pero es sustentable.")</f>
        <v>Dimensiones son ligeramente mayores pero es sustentable.</v>
      </c>
      <c r="AR1596" s="213"/>
      <c r="AS1596" s="213"/>
      <c r="AT1596" s="213"/>
      <c r="AU1596" s="213"/>
      <c r="AV1596" s="213"/>
      <c r="AW1596" s="213"/>
      <c r="AX1596" s="213"/>
      <c r="AY1596" s="213"/>
      <c r="AZ1596" s="213"/>
      <c r="BA1596" s="213"/>
      <c r="BB1596" s="213"/>
      <c r="BC1596" s="213"/>
      <c r="BD1596" s="213"/>
    </row>
    <row r="1597">
      <c r="A1597" s="213">
        <f>IFERROR(__xludf.DUMMYFUNCTION("""COMPUTED_VALUE"""),201.0)</f>
        <v>201</v>
      </c>
      <c r="B1597" s="213" t="str">
        <f>IFERROR(__xludf.DUMMYFUNCTION("""COMPUTED_VALUE"""),"2026 SIMON BOLIVAR")</f>
        <v>2026 SIMON BOLIVAR</v>
      </c>
      <c r="C1597" s="213" t="str">
        <f>IFERROR(__xludf.DUMMYFUNCTION("""COMPUTED_VALUE"""),"TALLER SFT DE INDUSTRIA DEL VESTIDO")</f>
        <v>TALLER SFT DE INDUSTRIA DEL VESTIDO</v>
      </c>
      <c r="D1597" s="213" t="str">
        <f>IFERROR(__xludf.DUMMYFUNCTION("""COMPUTED_VALUE"""),"EQUIPOS")</f>
        <v>EQUIPOS</v>
      </c>
      <c r="E1597" s="213" t="str">
        <f>IFERROR(__xludf.DUMMYFUNCTION("""COMPUTED_VALUE"""),"ESP-229")</f>
        <v>ESP-229</v>
      </c>
      <c r="F1597" s="213" t="str">
        <f>IFERROR(__xludf.DUMMYFUNCTION("""COMPUTED_VALUE"""),"ESP-229")</f>
        <v>ESP-229</v>
      </c>
      <c r="G1597" s="213"/>
      <c r="H1597" s="213" t="str">
        <f>IFERROR(__xludf.DUMMYFUNCTION("""COMPUTED_VALUE"""),"MÁQUINA DE COSTURA RECTA INDUSTRIAL")</f>
        <v>MÁQUINA DE COSTURA RECTA INDUSTRIAL</v>
      </c>
      <c r="I1597" s="213" t="str">
        <f>IFERROR(__xludf.DUMMYFUNCTION("""COMPUTED_VALUE"""),"·       Apropiada para costura recta en prendas livianas, medianos y pesados.
·       Motor Monofásico de 3/4 HP, velocidad 3,450 rpm
·       Velocidad de costura: 4500 ppm
·       Elevación de prensatelas: Manual 5.5 mm. Rodilla 13 mm
·       Recorrido d"&amp;"e la barra de aguja: 30.7 mm
·       Longitud de puntada: 0 – 5 mm
·       Tipo de aguja: DBx1
·       Número de agujas: 1
·       Mecanismo de lubricación automática
·       Alimentación eléctrica : 220V/60Hz
·       Incluye mueble completo, porta conos "&amp;"y accesorios (bobinas, lámpara, carreteles y depósitos de aceite), un ciento de agujas para coser, grosores N° 12, 14.
·      Dimensiones de la máquina: 41cm x 31cm x 18cm aprox.")</f>
        <v>·       Apropiada para costura recta en prendas livianas, medianos y pesados.
·       Motor Monofásico de 3/4 HP, velocidad 3,450 rpm
·       Velocidad de costura: 4500 ppm
·       Elevación de prensatelas: Manual 5.5 mm. Rodilla 13 mm
·       Recorrido de la barra de aguja: 30.7 mm
·       Longitud de puntada: 0 – 5 mm
·       Tipo de aguja: DBx1
·       Número de agujas: 1
·       Mecanismo de lubricación automática
·       Alimentación eléctrica : 220V/60Hz
·       Incluye mueble completo, porta conos y accesorios (bobinas, lámpara, carreteles y depósitos de aceite), un ciento de agujas para coser, grosores N° 12, 14.
·      Dimensiones de la máquina: 41cm x 31cm x 18cm aprox.</v>
      </c>
      <c r="J1597" s="213">
        <f>IFERROR(__xludf.DUMMYFUNCTION("""COMPUTED_VALUE"""),3.0)</f>
        <v>3</v>
      </c>
      <c r="K1597" s="213" t="str">
        <f>IFERROR(__xludf.DUMMYFUNCTION("""COMPUTED_VALUE"""),"170 DÍAS CALENDARIO")</f>
        <v>170 DÍAS CALENDARIO</v>
      </c>
      <c r="L1597" s="213" t="str">
        <f>IFERROR(__xludf.DUMMYFUNCTION("""COMPUTED_VALUE"""),"")</f>
        <v/>
      </c>
      <c r="M1597" s="213">
        <f>IFERROR(__xludf.DUMMYFUNCTION("""COMPUTED_VALUE"""),1.0)</f>
        <v>1</v>
      </c>
      <c r="N1597" s="213">
        <f>IFERROR(__xludf.DUMMYFUNCTION("""COMPUTED_VALUE"""),7.0)</f>
        <v>7</v>
      </c>
      <c r="O1597" s="213">
        <f>IFERROR(__xludf.DUMMYFUNCTION("""COMPUTED_VALUE"""),7.0)</f>
        <v>7</v>
      </c>
      <c r="P1597" s="213"/>
      <c r="Q1597" s="213"/>
      <c r="R1597" s="213"/>
      <c r="S1597" s="213" t="str">
        <f>IFERROR(__xludf.DUMMYFUNCTION("""COMPUTED_VALUE"""),"SI")</f>
        <v>SI</v>
      </c>
      <c r="T1597" s="213" t="str">
        <f>IFERROR(__xludf.DUMMYFUNCTION("""COMPUTED_VALUE"""),"CONSULTA FINAL")</f>
        <v>CONSULTA FINAL</v>
      </c>
      <c r="U1597" s="213" t="str">
        <f>IFERROR(__xludf.DUMMYFUNCTION("""COMPUTED_VALUE"""),"NO")</f>
        <v>NO</v>
      </c>
      <c r="V1597" s="213" t="str">
        <f>IFERROR(__xludf.DUMMYFUNCTION("""COMPUTED_VALUE"""),"SUSTENTO")</f>
        <v>SUSTENTO</v>
      </c>
      <c r="W1597" s="213"/>
      <c r="X1597" s="213" t="str">
        <f>IFERROR(__xludf.DUMMYFUNCTION("""COMPUTED_VALUE"""),"JUKI")</f>
        <v>JUKI</v>
      </c>
      <c r="Y1597" s="213" t="str">
        <f>IFERROR(__xludf.DUMMYFUNCTION("""COMPUTED_VALUE"""),"DDL-8700H")</f>
        <v>DDL-8700H</v>
      </c>
      <c r="Z1597" s="215" t="str">
        <f>IFERROR(__xludf.DUMMYFUNCTION("""COMPUTED_VALUE"""),"https://famatex.pe/recta-juki-ddl-8700.php")</f>
        <v>https://famatex.pe/recta-juki-ddl-8700.php</v>
      </c>
      <c r="AA1597" s="213" t="str">
        <f>IFERROR(__xludf.DUMMYFUNCTION("""COMPUTED_VALUE"""),"ESP-229 MÁQUINA DE COSTURA RECTA INDUSTRIAL - CET")</f>
        <v>ESP-229 MÁQUINA DE COSTURA RECTA INDUSTRIAL - CET</v>
      </c>
      <c r="AB1597" s="213"/>
      <c r="AC1597" s="213"/>
      <c r="AD1597" s="213"/>
      <c r="AE1597" s="213"/>
      <c r="AF1597" s="213"/>
      <c r="AG1597" s="213"/>
      <c r="AH1597" s="213" t="str">
        <f>IFERROR(__xludf.DUMMYFUNCTION("""COMPUTED_VALUE"""),"IMPORTADO")</f>
        <v>IMPORTADO</v>
      </c>
      <c r="AI1597" s="213"/>
      <c r="AJ1597" s="213"/>
      <c r="AK1597" s="213"/>
      <c r="AL1597" s="213"/>
      <c r="AM1597" s="213"/>
      <c r="AN1597" s="213"/>
      <c r="AO1597" s="213"/>
      <c r="AP1597" s="213" t="str">
        <f>IFERROR(__xludf.DUMMYFUNCTION("""COMPUTED_VALUE"""),"ANTONELLA")</f>
        <v>ANTONELLA</v>
      </c>
      <c r="AQ1597" s="213" t="str">
        <f>IFERROR(__xludf.DUMMYFUNCTION("""COMPUTED_VALUE"""),"Se ha justificado que sí opera telas livianas, medianas y gruesas pero falta confirmar que sea el motor sea 3/4 HP monofásico, las dimensiones y accesorios.
En PAQ-02 se ofreció la ZOJE A6000P, pero no se indica recorrido de la aguja, también se está cons"&amp;"ultando al proveedor..          
                ")</f>
        <v>Se ha justificado que sí opera telas livianas, medianas y gruesas pero falta confirmar que sea el motor sea 3/4 HP monofásico, las dimensiones y accesorios.
En PAQ-02 se ofreció la ZOJE A6000P, pero no se indica recorrido de la aguja, también se está consultando al proveedor..          
                </v>
      </c>
      <c r="AR1597" s="213"/>
      <c r="AS1597" s="213" t="str">
        <f>IFERROR(__xludf.DUMMYFUNCTION("""COMPUTED_VALUE"""),"MUEBLE
PORTA CONOS
BOBINAS
LÁMPARA
CARRETELES
DEPÓSITOS DE ACEITE
100 AGUJAS DE COSER N° 12, 14")</f>
        <v>MUEBLE
PORTA CONOS
BOBINAS
LÁMPARA
CARRETELES
DEPÓSITOS DE ACEITE
100 AGUJAS DE COSER N° 12, 14</v>
      </c>
      <c r="AT1597" s="213"/>
      <c r="AU1597" s="213"/>
      <c r="AV1597" s="213"/>
      <c r="AW1597" s="213"/>
      <c r="AX1597" s="213"/>
      <c r="AY1597" s="213"/>
      <c r="AZ1597" s="213"/>
      <c r="BA1597" s="213"/>
      <c r="BB1597" s="213"/>
      <c r="BC1597" s="213"/>
      <c r="BD1597" s="213"/>
    </row>
    <row r="1598">
      <c r="A1598" s="213">
        <f>IFERROR(__xludf.DUMMYFUNCTION("""COMPUTED_VALUE"""),2423.0)</f>
        <v>2423</v>
      </c>
      <c r="B1598" s="213" t="str">
        <f>IFERROR(__xludf.DUMMYFUNCTION("""COMPUTED_VALUE"""),"MANUEL ANTONIO MESONES MURO")</f>
        <v>MANUEL ANTONIO MESONES MURO</v>
      </c>
      <c r="C1598" s="213" t="str">
        <f>IFERROR(__xludf.DUMMYFUNCTION("""COMPUTED_VALUE"""),"TALLER SFT DE INDUSTRIA DEL VESTIDO")</f>
        <v>TALLER SFT DE INDUSTRIA DEL VESTIDO</v>
      </c>
      <c r="D1598" s="213" t="str">
        <f>IFERROR(__xludf.DUMMYFUNCTION("""COMPUTED_VALUE"""),"EQUIPOS")</f>
        <v>EQUIPOS</v>
      </c>
      <c r="E1598" s="213" t="str">
        <f>IFERROR(__xludf.DUMMYFUNCTION("""COMPUTED_VALUE"""),"ESP-229")</f>
        <v>ESP-229</v>
      </c>
      <c r="F1598" s="213" t="str">
        <f>IFERROR(__xludf.DUMMYFUNCTION("""COMPUTED_VALUE"""),"ESP-229")</f>
        <v>ESP-229</v>
      </c>
      <c r="G1598" s="213"/>
      <c r="H1598" s="213" t="str">
        <f>IFERROR(__xludf.DUMMYFUNCTION("""COMPUTED_VALUE"""),"MÁQUINA DE COSTURA RECTA INDUSTRIAL")</f>
        <v>MÁQUINA DE COSTURA RECTA INDUSTRIAL</v>
      </c>
      <c r="I1598" s="213" t="str">
        <f>IFERROR(__xludf.DUMMYFUNCTION("""COMPUTED_VALUE"""),"·       Apropiada para costura recta en prendas livianas, medianos y pesados.
·       Motor Monofásico de 3/4 HP, velocidad 3,450 rpm
·       Velocidad de costura: 4500 ppm
·       Elevación de prensatelas: Manual 5.5 mm. Rodilla 13 mm
·       Recorrido d"&amp;"e la barra de aguja: 30.7 mm
·       Longitud de puntada: 0 – 5 mm
·       Tipo de aguja: DBx1
·       Número de agujas: 1
·       Mecanismo de lubricación automática
·       Alimentación eléctrica : 220V/60Hz
·       Incluye mueble completo, porta conos "&amp;"y accesorios (bobinas, lámpara, carreteles y depósitos de aceite), un ciento de agujas para coser, grosores N° 12, 14.
·      Dimensiones de la máquina: 41cm x 31cm x 18cm aprox.")</f>
        <v>·       Apropiada para costura recta en prendas livianas, medianos y pesados.
·       Motor Monofásico de 3/4 HP, velocidad 3,450 rpm
·       Velocidad de costura: 4500 ppm
·       Elevación de prensatelas: Manual 5.5 mm. Rodilla 13 mm
·       Recorrido de la barra de aguja: 30.7 mm
·       Longitud de puntada: 0 – 5 mm
·       Tipo de aguja: DBx1
·       Número de agujas: 1
·       Mecanismo de lubricación automática
·       Alimentación eléctrica : 220V/60Hz
·       Incluye mueble completo, porta conos y accesorios (bobinas, lámpara, carreteles y depósitos de aceite), un ciento de agujas para coser, grosores N° 12, 14.
·      Dimensiones de la máquina: 41cm x 31cm x 18cm aprox.</v>
      </c>
      <c r="J1598" s="213">
        <f>IFERROR(__xludf.DUMMYFUNCTION("""COMPUTED_VALUE"""),3.0)</f>
        <v>3</v>
      </c>
      <c r="K1598" s="213" t="str">
        <f>IFERROR(__xludf.DUMMYFUNCTION("""COMPUTED_VALUE"""),"170 DÍAS CALENDARIO")</f>
        <v>170 DÍAS CALENDARIO</v>
      </c>
      <c r="L1598" s="213" t="str">
        <f>IFERROR(__xludf.DUMMYFUNCTION("""COMPUTED_VALUE"""),"")</f>
        <v/>
      </c>
      <c r="M1598" s="213">
        <f>IFERROR(__xludf.DUMMYFUNCTION("""COMPUTED_VALUE"""),1.0)</f>
        <v>1</v>
      </c>
      <c r="N1598" s="213">
        <f>IFERROR(__xludf.DUMMYFUNCTION("""COMPUTED_VALUE"""),6.0)</f>
        <v>6</v>
      </c>
      <c r="O1598" s="213">
        <f>IFERROR(__xludf.DUMMYFUNCTION("""COMPUTED_VALUE"""),6.0)</f>
        <v>6</v>
      </c>
      <c r="P1598" s="213"/>
      <c r="Q1598" s="213"/>
      <c r="R1598" s="213"/>
      <c r="S1598" s="213" t="str">
        <f>IFERROR(__xludf.DUMMYFUNCTION("""COMPUTED_VALUE"""),"SI")</f>
        <v>SI</v>
      </c>
      <c r="T1598" s="213" t="str">
        <f>IFERROR(__xludf.DUMMYFUNCTION("""COMPUTED_VALUE"""),"CONSULTA FINAL")</f>
        <v>CONSULTA FINAL</v>
      </c>
      <c r="U1598" s="213" t="str">
        <f>IFERROR(__xludf.DUMMYFUNCTION("""COMPUTED_VALUE"""),"NO")</f>
        <v>NO</v>
      </c>
      <c r="V1598" s="213" t="str">
        <f>IFERROR(__xludf.DUMMYFUNCTION("""COMPUTED_VALUE"""),"SUSTENTO")</f>
        <v>SUSTENTO</v>
      </c>
      <c r="W1598" s="213"/>
      <c r="X1598" s="213" t="str">
        <f>IFERROR(__xludf.DUMMYFUNCTION("""COMPUTED_VALUE"""),"JUKI")</f>
        <v>JUKI</v>
      </c>
      <c r="Y1598" s="213" t="str">
        <f>IFERROR(__xludf.DUMMYFUNCTION("""COMPUTED_VALUE"""),"DDL-8700H")</f>
        <v>DDL-8700H</v>
      </c>
      <c r="Z1598" s="215" t="str">
        <f>IFERROR(__xludf.DUMMYFUNCTION("""COMPUTED_VALUE"""),"https://famatex.pe/recta-juki-ddl-8700.php")</f>
        <v>https://famatex.pe/recta-juki-ddl-8700.php</v>
      </c>
      <c r="AA1598" s="213" t="str">
        <f>IFERROR(__xludf.DUMMYFUNCTION("""COMPUTED_VALUE"""),"ESP-229 MÁQUINA DE COSTURA RECTA INDUSTRIAL - CET")</f>
        <v>ESP-229 MÁQUINA DE COSTURA RECTA INDUSTRIAL - CET</v>
      </c>
      <c r="AB1598" s="213"/>
      <c r="AC1598" s="213"/>
      <c r="AD1598" s="213"/>
      <c r="AE1598" s="213"/>
      <c r="AF1598" s="213"/>
      <c r="AG1598" s="213"/>
      <c r="AH1598" s="213" t="str">
        <f>IFERROR(__xludf.DUMMYFUNCTION("""COMPUTED_VALUE"""),"IMPORTADO")</f>
        <v>IMPORTADO</v>
      </c>
      <c r="AI1598" s="213"/>
      <c r="AJ1598" s="213"/>
      <c r="AK1598" s="213"/>
      <c r="AL1598" s="213"/>
      <c r="AM1598" s="213"/>
      <c r="AN1598" s="213"/>
      <c r="AO1598" s="213"/>
      <c r="AP1598" s="213" t="str">
        <f>IFERROR(__xludf.DUMMYFUNCTION("""COMPUTED_VALUE"""),"ANTONELLA")</f>
        <v>ANTONELLA</v>
      </c>
      <c r="AQ1598" s="213" t="str">
        <f>IFERROR(__xludf.DUMMYFUNCTION("""COMPUTED_VALUE"""),"Se ha justificado que sí opera telas livianas, medianas y gruesas pero falta confirmar que sea el motor sea 3/4 HP monofásico, las dimensiones y accesorios.
En PAQ-02 se ofreció la ZOJE A6000P, pero no se indica recorrido de la aguja, también se está cons"&amp;"ultando al proveedor..          
                ")</f>
        <v>Se ha justificado que sí opera telas livianas, medianas y gruesas pero falta confirmar que sea el motor sea 3/4 HP monofásico, las dimensiones y accesorios.
En PAQ-02 se ofreció la ZOJE A6000P, pero no se indica recorrido de la aguja, también se está consultando al proveedor..          
                </v>
      </c>
      <c r="AR1598" s="213"/>
      <c r="AS1598" s="213" t="str">
        <f>IFERROR(__xludf.DUMMYFUNCTION("""COMPUTED_VALUE"""),"MUEBLE
PORTA CONOS
BOBINAS
LÁMPARA
CARRETELES
DEPÓSITOS DE ACEITE
100 AGUJAS DE COSER N° 12, 14")</f>
        <v>MUEBLE
PORTA CONOS
BOBINAS
LÁMPARA
CARRETELES
DEPÓSITOS DE ACEITE
100 AGUJAS DE COSER N° 12, 14</v>
      </c>
      <c r="AT1598" s="213"/>
      <c r="AU1598" s="213"/>
      <c r="AV1598" s="213"/>
      <c r="AW1598" s="213"/>
      <c r="AX1598" s="213"/>
      <c r="AY1598" s="213"/>
      <c r="AZ1598" s="213"/>
      <c r="BA1598" s="213"/>
      <c r="BB1598" s="213"/>
      <c r="BC1598" s="213"/>
      <c r="BD1598" s="213"/>
    </row>
    <row r="1599">
      <c r="A1599" s="213">
        <f>IFERROR(__xludf.DUMMYFUNCTION("""COMPUTED_VALUE"""),554.0)</f>
        <v>554</v>
      </c>
      <c r="B1599" s="213" t="str">
        <f>IFERROR(__xludf.DUMMYFUNCTION("""COMPUTED_VALUE"""),"2026 SIMON BOLIVAR")</f>
        <v>2026 SIMON BOLIVAR</v>
      </c>
      <c r="C1599" s="213" t="str">
        <f>IFERROR(__xludf.DUMMYFUNCTION("""COMPUTED_VALUE"""),"TALLER SFT DE INDUSTRIA ALIMENTARIA")</f>
        <v>TALLER SFT DE INDUSTRIA ALIMENTARIA</v>
      </c>
      <c r="D1599" s="213" t="str">
        <f>IFERROR(__xludf.DUMMYFUNCTION("""COMPUTED_VALUE"""),"EQUIPOS")</f>
        <v>EQUIPOS</v>
      </c>
      <c r="E1599" s="213" t="str">
        <f>IFERROR(__xludf.DUMMYFUNCTION("""COMPUTED_VALUE"""),"ESP-230")</f>
        <v>ESP-230</v>
      </c>
      <c r="F1599" s="213" t="str">
        <f>IFERROR(__xludf.DUMMYFUNCTION("""COMPUTED_VALUE"""),"ESP-230")</f>
        <v>ESP-230</v>
      </c>
      <c r="G1599" s="213"/>
      <c r="H1599" s="213" t="str">
        <f>IFERROR(__xludf.DUMMYFUNCTION("""COMPUTED_VALUE"""),"MÁQUINA DE HELADOS CON TEMPORIZADOR")</f>
        <v>MÁQUINA DE HELADOS CON TEMPORIZADOR</v>
      </c>
      <c r="I1599" s="213" t="str">
        <f>IFERROR(__xludf.DUMMYFUNCTION("""COMPUTED_VALUE"""),". Capacidad: 1.5 Litros
.  Potencia  10.90vatios
. Volataje 220V/60HZ.
.  Libre de BPA
.  Duración de Bach 15 a 20 minutos
.  Peso aproximado del producto 1,45 Kg
.  Dimensiones aproximadas  del producto 17,5 cmx 16 cm x 24,5 cm
.  Capacidad 1.50 litros"""&amp;"
. Incluye funda protectora impermeable para su almacenamiento.")</f>
        <v>. Capacidad: 1.5 Litros
.  Potencia  10.90vatios
. Volataje 220V/60HZ.
.  Libre de BPA
.  Duración de Bach 15 a 20 minutos
.  Peso aproximado del producto 1,45 Kg
.  Dimensiones aproximadas  del producto 17,5 cmx 16 cm x 24,5 cm
.  Capacidad 1.50 litros"
. Incluye funda protectora impermeable para su almacenamiento.</v>
      </c>
      <c r="J1599" s="213">
        <f>IFERROR(__xludf.DUMMYFUNCTION("""COMPUTED_VALUE"""),3.0)</f>
        <v>3</v>
      </c>
      <c r="K1599" s="213" t="str">
        <f>IFERROR(__xludf.DUMMYFUNCTION("""COMPUTED_VALUE"""),"170 DÍAS CALENDARIO")</f>
        <v>170 DÍAS CALENDARIO</v>
      </c>
      <c r="L1599" s="213" t="str">
        <f>IFERROR(__xludf.DUMMYFUNCTION("""COMPUTED_VALUE"""),"")</f>
        <v/>
      </c>
      <c r="M1599" s="213">
        <f>IFERROR(__xludf.DUMMYFUNCTION("""COMPUTED_VALUE"""),1.0)</f>
        <v>1</v>
      </c>
      <c r="N1599" s="213">
        <f>IFERROR(__xludf.DUMMYFUNCTION("""COMPUTED_VALUE"""),1.0)</f>
        <v>1</v>
      </c>
      <c r="O1599" s="213">
        <f>IFERROR(__xludf.DUMMYFUNCTION("""COMPUTED_VALUE"""),1.0)</f>
        <v>1</v>
      </c>
      <c r="P1599" s="213"/>
      <c r="Q1599" s="213"/>
      <c r="R1599" s="213"/>
      <c r="S1599" s="213" t="str">
        <f>IFERROR(__xludf.DUMMYFUNCTION("""COMPUTED_VALUE"""),"SI")</f>
        <v>SI</v>
      </c>
      <c r="T1599" s="213" t="str">
        <f>IFERROR(__xludf.DUMMYFUNCTION("""COMPUTED_VALUE"""),"SI")</f>
        <v>SI</v>
      </c>
      <c r="U1599" s="213" t="str">
        <f>IFERROR(__xludf.DUMMYFUNCTION("""COMPUTED_VALUE"""),"SI")</f>
        <v>SI</v>
      </c>
      <c r="V1599" s="213" t="str">
        <f>IFERROR(__xludf.DUMMYFUNCTION("""COMPUTED_VALUE"""),"-")</f>
        <v>-</v>
      </c>
      <c r="W1599" s="213" t="str">
        <f>IFERROR(__xludf.DUMMYFUNCTION("""COMPUTED_VALUE"""),"-")</f>
        <v>-</v>
      </c>
      <c r="X1599" s="213" t="str">
        <f>IFERROR(__xludf.DUMMYFUNCTION("""COMPUTED_VALUE"""),"PRINCESS")</f>
        <v>PRINCESS</v>
      </c>
      <c r="Y1599" s="213">
        <f>IFERROR(__xludf.DUMMYFUNCTION("""COMPUTED_VALUE"""),282605.0)</f>
        <v>282605</v>
      </c>
      <c r="Z1599" s="215" t="str">
        <f>IFERROR(__xludf.DUMMYFUNCTION("""COMPUTED_VALUE"""),"https://www.princesshome.eu/es-es/productos-princess/heladeras/princess-282605-heladera-01.282605.01.001")</f>
        <v>https://www.princesshome.eu/es-es/productos-princess/heladeras/princess-282605-heladera-01.282605.01.001</v>
      </c>
      <c r="AA1599" s="213" t="str">
        <f>IFERROR(__xludf.DUMMYFUNCTION("""COMPUTED_VALUE"""),"ESP-230 MÁQUINA DE HELADOS CON TEMPORIZADOR - CET")</f>
        <v>ESP-230 MÁQUINA DE HELADOS CON TEMPORIZADOR - CET</v>
      </c>
      <c r="AB1599" s="215" t="str">
        <f>IFERROR(__xludf.DUMMYFUNCTION("""COMPUTED_VALUE"""),"https://drive.google.com/file/d/11o8NuJf-uWDOajz-SxKF0rHq5R6_sbbb/view")</f>
        <v>https://drive.google.com/file/d/11o8NuJf-uWDOajz-SxKF0rHq5R6_sbbb/view</v>
      </c>
      <c r="AC1599" s="213"/>
      <c r="AD1599" s="213"/>
      <c r="AE1599" s="213"/>
      <c r="AF1599" s="213"/>
      <c r="AG1599" s="213"/>
      <c r="AH1599" s="213"/>
      <c r="AI1599" s="213"/>
      <c r="AJ1599" s="213"/>
      <c r="AK1599" s="213"/>
      <c r="AL1599" s="213"/>
      <c r="AM1599" s="213"/>
      <c r="AN1599" s="213"/>
      <c r="AO1599" s="213"/>
      <c r="AP1599" s="213" t="str">
        <f>IFERROR(__xludf.DUMMYFUNCTION("""COMPUTED_VALUE"""),"ANTONELLA")</f>
        <v>ANTONELLA</v>
      </c>
      <c r="AQ1599" s="213"/>
      <c r="AR1599" s="213"/>
      <c r="AS1599" s="217" t="str">
        <f>IFERROR(__xludf.DUMMYFUNCTION("""COMPUTED_VALUE"""),"FUNDA IMPERMEABLE")</f>
        <v>FUNDA IMPERMEABLE</v>
      </c>
      <c r="AT1599" s="213"/>
      <c r="AU1599" s="213"/>
      <c r="AV1599" s="213"/>
      <c r="AW1599" s="213"/>
      <c r="AX1599" s="213"/>
      <c r="AY1599" s="213"/>
      <c r="AZ1599" s="213"/>
      <c r="BA1599" s="213"/>
      <c r="BB1599" s="213"/>
      <c r="BC1599" s="213"/>
      <c r="BD1599" s="213"/>
    </row>
    <row r="1600">
      <c r="A1600" s="213">
        <f>IFERROR(__xludf.DUMMYFUNCTION("""COMPUTED_VALUE"""),1181.0)</f>
        <v>1181</v>
      </c>
      <c r="B1600" s="213" t="str">
        <f>IFERROR(__xludf.DUMMYFUNCTION("""COMPUTED_VALUE"""),"FRANCISCO IRAZOLA")</f>
        <v>FRANCISCO IRAZOLA</v>
      </c>
      <c r="C1600" s="213" t="str">
        <f>IFERROR(__xludf.DUMMYFUNCTION("""COMPUTED_VALUE"""),"TALLER SFT DE INDUSTRIA ALIMENTARIA")</f>
        <v>TALLER SFT DE INDUSTRIA ALIMENTARIA</v>
      </c>
      <c r="D1600" s="213" t="str">
        <f>IFERROR(__xludf.DUMMYFUNCTION("""COMPUTED_VALUE"""),"EQUIPOS")</f>
        <v>EQUIPOS</v>
      </c>
      <c r="E1600" s="213" t="str">
        <f>IFERROR(__xludf.DUMMYFUNCTION("""COMPUTED_VALUE"""),"ESP-230")</f>
        <v>ESP-230</v>
      </c>
      <c r="F1600" s="213" t="str">
        <f>IFERROR(__xludf.DUMMYFUNCTION("""COMPUTED_VALUE"""),"ESP-230")</f>
        <v>ESP-230</v>
      </c>
      <c r="G1600" s="213"/>
      <c r="H1600" s="213" t="str">
        <f>IFERROR(__xludf.DUMMYFUNCTION("""COMPUTED_VALUE"""),"MÁQUINA DE HELADOS CON TEMPORIZADOR")</f>
        <v>MÁQUINA DE HELADOS CON TEMPORIZADOR</v>
      </c>
      <c r="I1600" s="213" t="str">
        <f>IFERROR(__xludf.DUMMYFUNCTION("""COMPUTED_VALUE"""),". Capacidad: 1.5 Litros
.  Potencia  10.90vatios
. Volataje 220V/60HZ.
.  Libre de BPA
.  Duración de Bach 15 a 20 minutos
.  Peso aproximado del producto 1,45 Kg
.  Dimensiones aproximadas  del producto 17,5 cmx 16 cm x 24,5 cm
.  Capacidad 1.50 litros"""&amp;"
. Incluye funda protectora impermeable para su almacenamiento.")</f>
        <v>. Capacidad: 1.5 Litros
.  Potencia  10.90vatios
. Volataje 220V/60HZ.
.  Libre de BPA
.  Duración de Bach 15 a 20 minutos
.  Peso aproximado del producto 1,45 Kg
.  Dimensiones aproximadas  del producto 17,5 cmx 16 cm x 24,5 cm
.  Capacidad 1.50 litros"
. Incluye funda protectora impermeable para su almacenamiento.</v>
      </c>
      <c r="J1600" s="213">
        <f>IFERROR(__xludf.DUMMYFUNCTION("""COMPUTED_VALUE"""),3.0)</f>
        <v>3</v>
      </c>
      <c r="K1600" s="213" t="str">
        <f>IFERROR(__xludf.DUMMYFUNCTION("""COMPUTED_VALUE"""),"170 DÍAS CALENDARIO")</f>
        <v>170 DÍAS CALENDARIO</v>
      </c>
      <c r="L1600" s="213" t="str">
        <f>IFERROR(__xludf.DUMMYFUNCTION("""COMPUTED_VALUE"""),"")</f>
        <v/>
      </c>
      <c r="M1600" s="213">
        <f>IFERROR(__xludf.DUMMYFUNCTION("""COMPUTED_VALUE"""),1.0)</f>
        <v>1</v>
      </c>
      <c r="N1600" s="213">
        <f>IFERROR(__xludf.DUMMYFUNCTION("""COMPUTED_VALUE"""),1.0)</f>
        <v>1</v>
      </c>
      <c r="O1600" s="213">
        <f>IFERROR(__xludf.DUMMYFUNCTION("""COMPUTED_VALUE"""),1.0)</f>
        <v>1</v>
      </c>
      <c r="P1600" s="213"/>
      <c r="Q1600" s="213"/>
      <c r="R1600" s="213"/>
      <c r="S1600" s="213" t="str">
        <f>IFERROR(__xludf.DUMMYFUNCTION("""COMPUTED_VALUE"""),"SI")</f>
        <v>SI</v>
      </c>
      <c r="T1600" s="213" t="str">
        <f>IFERROR(__xludf.DUMMYFUNCTION("""COMPUTED_VALUE"""),"SI")</f>
        <v>SI</v>
      </c>
      <c r="U1600" s="213" t="str">
        <f>IFERROR(__xludf.DUMMYFUNCTION("""COMPUTED_VALUE"""),"SI")</f>
        <v>SI</v>
      </c>
      <c r="V1600" s="213" t="str">
        <f>IFERROR(__xludf.DUMMYFUNCTION("""COMPUTED_VALUE"""),"-")</f>
        <v>-</v>
      </c>
      <c r="W1600" s="213" t="str">
        <f>IFERROR(__xludf.DUMMYFUNCTION("""COMPUTED_VALUE"""),"-")</f>
        <v>-</v>
      </c>
      <c r="X1600" s="213" t="str">
        <f>IFERROR(__xludf.DUMMYFUNCTION("""COMPUTED_VALUE"""),"PRINCESS")</f>
        <v>PRINCESS</v>
      </c>
      <c r="Y1600" s="213">
        <f>IFERROR(__xludf.DUMMYFUNCTION("""COMPUTED_VALUE"""),282605.0)</f>
        <v>282605</v>
      </c>
      <c r="Z1600" s="215" t="str">
        <f>IFERROR(__xludf.DUMMYFUNCTION("""COMPUTED_VALUE"""),"https://www.princesshome.eu/es-es/productos-princess/heladeras/princess-282605-heladera-01.282605.01.001")</f>
        <v>https://www.princesshome.eu/es-es/productos-princess/heladeras/princess-282605-heladera-01.282605.01.001</v>
      </c>
      <c r="AA1600" s="213" t="str">
        <f>IFERROR(__xludf.DUMMYFUNCTION("""COMPUTED_VALUE"""),"ESP-230 MÁQUINA DE HELADOS CON TEMPORIZADOR - CET")</f>
        <v>ESP-230 MÁQUINA DE HELADOS CON TEMPORIZADOR - CET</v>
      </c>
      <c r="AB1600" s="215" t="str">
        <f>IFERROR(__xludf.DUMMYFUNCTION("""COMPUTED_VALUE"""),"https://drive.google.com/file/d/11o8NuJf-uWDOajz-SxKF0rHq5R6_sbbb/view")</f>
        <v>https://drive.google.com/file/d/11o8NuJf-uWDOajz-SxKF0rHq5R6_sbbb/view</v>
      </c>
      <c r="AC1600" s="213"/>
      <c r="AD1600" s="213"/>
      <c r="AE1600" s="213"/>
      <c r="AF1600" s="213"/>
      <c r="AG1600" s="213"/>
      <c r="AH1600" s="213"/>
      <c r="AI1600" s="213"/>
      <c r="AJ1600" s="213"/>
      <c r="AK1600" s="213"/>
      <c r="AL1600" s="213"/>
      <c r="AM1600" s="213"/>
      <c r="AN1600" s="213"/>
      <c r="AO1600" s="213"/>
      <c r="AP1600" s="213" t="str">
        <f>IFERROR(__xludf.DUMMYFUNCTION("""COMPUTED_VALUE"""),"ANTONELLA")</f>
        <v>ANTONELLA</v>
      </c>
      <c r="AQ1600" s="213"/>
      <c r="AR1600" s="213"/>
      <c r="AS1600" s="217" t="str">
        <f>IFERROR(__xludf.DUMMYFUNCTION("""COMPUTED_VALUE"""),"FUNDA IMPERMEABLE")</f>
        <v>FUNDA IMPERMEABLE</v>
      </c>
      <c r="AT1600" s="213"/>
      <c r="AU1600" s="213"/>
      <c r="AV1600" s="213"/>
      <c r="AW1600" s="213"/>
      <c r="AX1600" s="213"/>
      <c r="AY1600" s="213"/>
      <c r="AZ1600" s="213"/>
      <c r="BA1600" s="213"/>
      <c r="BB1600" s="213"/>
      <c r="BC1600" s="213"/>
      <c r="BD1600" s="213"/>
    </row>
    <row r="1601">
      <c r="A1601" s="213">
        <f>IFERROR(__xludf.DUMMYFUNCTION("""COMPUTED_VALUE"""),1456.0)</f>
        <v>1456</v>
      </c>
      <c r="B1601" s="213" t="str">
        <f>IFERROR(__xludf.DUMMYFUNCTION("""COMPUTED_VALUE"""),"GUILLERMO E. BILLINGHURST ")</f>
        <v>GUILLERMO E. BILLINGHURST </v>
      </c>
      <c r="C1601" s="213" t="str">
        <f>IFERROR(__xludf.DUMMYFUNCTION("""COMPUTED_VALUE"""),"TALLER SFT DE INDUSTRIA ALIMENTARIA")</f>
        <v>TALLER SFT DE INDUSTRIA ALIMENTARIA</v>
      </c>
      <c r="D1601" s="213" t="str">
        <f>IFERROR(__xludf.DUMMYFUNCTION("""COMPUTED_VALUE"""),"EQUIPOS")</f>
        <v>EQUIPOS</v>
      </c>
      <c r="E1601" s="213" t="str">
        <f>IFERROR(__xludf.DUMMYFUNCTION("""COMPUTED_VALUE"""),"ESP-230")</f>
        <v>ESP-230</v>
      </c>
      <c r="F1601" s="213" t="str">
        <f>IFERROR(__xludf.DUMMYFUNCTION("""COMPUTED_VALUE"""),"ESP-230")</f>
        <v>ESP-230</v>
      </c>
      <c r="G1601" s="213"/>
      <c r="H1601" s="213" t="str">
        <f>IFERROR(__xludf.DUMMYFUNCTION("""COMPUTED_VALUE"""),"MÁQUINA DE HELADOS CON TEMPORIZADOR")</f>
        <v>MÁQUINA DE HELADOS CON TEMPORIZADOR</v>
      </c>
      <c r="I1601" s="213" t="str">
        <f>IFERROR(__xludf.DUMMYFUNCTION("""COMPUTED_VALUE"""),". Capacidad: 1.5 Litros
.  Potencia  10.90vatios
. Volataje 220V/60HZ.
.  Libre de BPA
.  Duración de Bach 15 a 20 minutos
.  Peso aproximado del producto 1,45 Kg
.  Dimensiones aproximadas  del producto 17,5 cmx 16 cm x 24,5 cm
.  Capacidad 1.50 litros"""&amp;"
. Incluye funda protectora impermeable para su almacenamiento.")</f>
        <v>. Capacidad: 1.5 Litros
.  Potencia  10.90vatios
. Volataje 220V/60HZ.
.  Libre de BPA
.  Duración de Bach 15 a 20 minutos
.  Peso aproximado del producto 1,45 Kg
.  Dimensiones aproximadas  del producto 17,5 cmx 16 cm x 24,5 cm
.  Capacidad 1.50 litros"
. Incluye funda protectora impermeable para su almacenamiento.</v>
      </c>
      <c r="J1601" s="213">
        <f>IFERROR(__xludf.DUMMYFUNCTION("""COMPUTED_VALUE"""),3.0)</f>
        <v>3</v>
      </c>
      <c r="K1601" s="213" t="str">
        <f>IFERROR(__xludf.DUMMYFUNCTION("""COMPUTED_VALUE"""),"170 DÍAS CALENDARIO")</f>
        <v>170 DÍAS CALENDARIO</v>
      </c>
      <c r="L1601" s="213" t="str">
        <f>IFERROR(__xludf.DUMMYFUNCTION("""COMPUTED_VALUE"""),"")</f>
        <v/>
      </c>
      <c r="M1601" s="213">
        <f>IFERROR(__xludf.DUMMYFUNCTION("""COMPUTED_VALUE"""),1.0)</f>
        <v>1</v>
      </c>
      <c r="N1601" s="213">
        <f>IFERROR(__xludf.DUMMYFUNCTION("""COMPUTED_VALUE"""),1.0)</f>
        <v>1</v>
      </c>
      <c r="O1601" s="213">
        <f>IFERROR(__xludf.DUMMYFUNCTION("""COMPUTED_VALUE"""),1.0)</f>
        <v>1</v>
      </c>
      <c r="P1601" s="213"/>
      <c r="Q1601" s="213"/>
      <c r="R1601" s="213"/>
      <c r="S1601" s="213" t="str">
        <f>IFERROR(__xludf.DUMMYFUNCTION("""COMPUTED_VALUE"""),"SI")</f>
        <v>SI</v>
      </c>
      <c r="T1601" s="213" t="str">
        <f>IFERROR(__xludf.DUMMYFUNCTION("""COMPUTED_VALUE"""),"SI")</f>
        <v>SI</v>
      </c>
      <c r="U1601" s="213" t="str">
        <f>IFERROR(__xludf.DUMMYFUNCTION("""COMPUTED_VALUE"""),"SI")</f>
        <v>SI</v>
      </c>
      <c r="V1601" s="213" t="str">
        <f>IFERROR(__xludf.DUMMYFUNCTION("""COMPUTED_VALUE"""),"-")</f>
        <v>-</v>
      </c>
      <c r="W1601" s="213" t="str">
        <f>IFERROR(__xludf.DUMMYFUNCTION("""COMPUTED_VALUE"""),"-")</f>
        <v>-</v>
      </c>
      <c r="X1601" s="213" t="str">
        <f>IFERROR(__xludf.DUMMYFUNCTION("""COMPUTED_VALUE"""),"PRINCESS")</f>
        <v>PRINCESS</v>
      </c>
      <c r="Y1601" s="213">
        <f>IFERROR(__xludf.DUMMYFUNCTION("""COMPUTED_VALUE"""),282605.0)</f>
        <v>282605</v>
      </c>
      <c r="Z1601" s="215" t="str">
        <f>IFERROR(__xludf.DUMMYFUNCTION("""COMPUTED_VALUE"""),"https://www.princesshome.eu/es-es/productos-princess/heladeras/princess-282605-heladera-01.282605.01.001")</f>
        <v>https://www.princesshome.eu/es-es/productos-princess/heladeras/princess-282605-heladera-01.282605.01.001</v>
      </c>
      <c r="AA1601" s="213" t="str">
        <f>IFERROR(__xludf.DUMMYFUNCTION("""COMPUTED_VALUE"""),"ESP-230 MÁQUINA DE HELADOS CON TEMPORIZADOR - CET")</f>
        <v>ESP-230 MÁQUINA DE HELADOS CON TEMPORIZADOR - CET</v>
      </c>
      <c r="AB1601" s="215" t="str">
        <f>IFERROR(__xludf.DUMMYFUNCTION("""COMPUTED_VALUE"""),"https://drive.google.com/file/d/11o8NuJf-uWDOajz-SxKF0rHq5R6_sbbb/view")</f>
        <v>https://drive.google.com/file/d/11o8NuJf-uWDOajz-SxKF0rHq5R6_sbbb/view</v>
      </c>
      <c r="AC1601" s="213"/>
      <c r="AD1601" s="213"/>
      <c r="AE1601" s="213"/>
      <c r="AF1601" s="213"/>
      <c r="AG1601" s="213"/>
      <c r="AH1601" s="213"/>
      <c r="AI1601" s="213"/>
      <c r="AJ1601" s="213"/>
      <c r="AK1601" s="213"/>
      <c r="AL1601" s="213"/>
      <c r="AM1601" s="213"/>
      <c r="AN1601" s="213"/>
      <c r="AO1601" s="213"/>
      <c r="AP1601" s="213" t="str">
        <f>IFERROR(__xludf.DUMMYFUNCTION("""COMPUTED_VALUE"""),"ANTONELLA")</f>
        <v>ANTONELLA</v>
      </c>
      <c r="AQ1601" s="213"/>
      <c r="AR1601" s="213"/>
      <c r="AS1601" s="217" t="str">
        <f>IFERROR(__xludf.DUMMYFUNCTION("""COMPUTED_VALUE"""),"FUNDA IMPERMEABLE")</f>
        <v>FUNDA IMPERMEABLE</v>
      </c>
      <c r="AT1601" s="213"/>
      <c r="AU1601" s="213"/>
      <c r="AV1601" s="213"/>
      <c r="AW1601" s="213"/>
      <c r="AX1601" s="213"/>
      <c r="AY1601" s="213"/>
      <c r="AZ1601" s="213"/>
      <c r="BA1601" s="213"/>
      <c r="BB1601" s="213"/>
      <c r="BC1601" s="213"/>
      <c r="BD1601" s="213"/>
    </row>
    <row r="1602">
      <c r="A1602" s="213">
        <f>IFERROR(__xludf.DUMMYFUNCTION("""COMPUTED_VALUE"""),2143.0)</f>
        <v>2143</v>
      </c>
      <c r="B1602" s="213" t="str">
        <f>IFERROR(__xludf.DUMMYFUNCTION("""COMPUTED_VALUE"""),"JOSE GRANDA")</f>
        <v>JOSE GRANDA</v>
      </c>
      <c r="C1602" s="213" t="str">
        <f>IFERROR(__xludf.DUMMYFUNCTION("""COMPUTED_VALUE"""),"TALLER SFT DE INDUSTRIA ALIMENTARIA")</f>
        <v>TALLER SFT DE INDUSTRIA ALIMENTARIA</v>
      </c>
      <c r="D1602" s="213" t="str">
        <f>IFERROR(__xludf.DUMMYFUNCTION("""COMPUTED_VALUE"""),"EQUIPOS")</f>
        <v>EQUIPOS</v>
      </c>
      <c r="E1602" s="213" t="str">
        <f>IFERROR(__xludf.DUMMYFUNCTION("""COMPUTED_VALUE"""),"ESP-230")</f>
        <v>ESP-230</v>
      </c>
      <c r="F1602" s="213" t="str">
        <f>IFERROR(__xludf.DUMMYFUNCTION("""COMPUTED_VALUE"""),"ESP-230")</f>
        <v>ESP-230</v>
      </c>
      <c r="G1602" s="213"/>
      <c r="H1602" s="213" t="str">
        <f>IFERROR(__xludf.DUMMYFUNCTION("""COMPUTED_VALUE"""),"MÁQUINA DE HELADOS CON TEMPORIZADOR")</f>
        <v>MÁQUINA DE HELADOS CON TEMPORIZADOR</v>
      </c>
      <c r="I1602" s="213" t="str">
        <f>IFERROR(__xludf.DUMMYFUNCTION("""COMPUTED_VALUE"""),". Capacidad: 1.5 Litros
.  Potencia  10.90vatios
. Volataje 220V/60HZ.
.  Libre de BPA
.  Duración de Bach 15 a 20 minutos
.  Peso aproximado del producto 1,45 Kg
.  Dimensiones aproximadas  del producto 17,5 cmx 16 cm x 24,5 cm
.  Capacidad 1.50 litros"""&amp;"
. Incluye funda protectora impermeable para su almacenamiento.")</f>
        <v>. Capacidad: 1.5 Litros
.  Potencia  10.90vatios
. Volataje 220V/60HZ.
.  Libre de BPA
.  Duración de Bach 15 a 20 minutos
.  Peso aproximado del producto 1,45 Kg
.  Dimensiones aproximadas  del producto 17,5 cmx 16 cm x 24,5 cm
.  Capacidad 1.50 litros"
. Incluye funda protectora impermeable para su almacenamiento.</v>
      </c>
      <c r="J1602" s="213">
        <f>IFERROR(__xludf.DUMMYFUNCTION("""COMPUTED_VALUE"""),3.0)</f>
        <v>3</v>
      </c>
      <c r="K1602" s="213" t="str">
        <f>IFERROR(__xludf.DUMMYFUNCTION("""COMPUTED_VALUE"""),"170 DÍAS CALENDARIO")</f>
        <v>170 DÍAS CALENDARIO</v>
      </c>
      <c r="L1602" s="213" t="str">
        <f>IFERROR(__xludf.DUMMYFUNCTION("""COMPUTED_VALUE"""),"")</f>
        <v/>
      </c>
      <c r="M1602" s="213">
        <f>IFERROR(__xludf.DUMMYFUNCTION("""COMPUTED_VALUE"""),1.0)</f>
        <v>1</v>
      </c>
      <c r="N1602" s="213">
        <f>IFERROR(__xludf.DUMMYFUNCTION("""COMPUTED_VALUE"""),1.0)</f>
        <v>1</v>
      </c>
      <c r="O1602" s="213">
        <f>IFERROR(__xludf.DUMMYFUNCTION("""COMPUTED_VALUE"""),1.0)</f>
        <v>1</v>
      </c>
      <c r="P1602" s="213"/>
      <c r="Q1602" s="213"/>
      <c r="R1602" s="213"/>
      <c r="S1602" s="213" t="str">
        <f>IFERROR(__xludf.DUMMYFUNCTION("""COMPUTED_VALUE"""),"SI")</f>
        <v>SI</v>
      </c>
      <c r="T1602" s="213" t="str">
        <f>IFERROR(__xludf.DUMMYFUNCTION("""COMPUTED_VALUE"""),"SI")</f>
        <v>SI</v>
      </c>
      <c r="U1602" s="213" t="str">
        <f>IFERROR(__xludf.DUMMYFUNCTION("""COMPUTED_VALUE"""),"SI")</f>
        <v>SI</v>
      </c>
      <c r="V1602" s="213" t="str">
        <f>IFERROR(__xludf.DUMMYFUNCTION("""COMPUTED_VALUE"""),"-")</f>
        <v>-</v>
      </c>
      <c r="W1602" s="213" t="str">
        <f>IFERROR(__xludf.DUMMYFUNCTION("""COMPUTED_VALUE"""),"-")</f>
        <v>-</v>
      </c>
      <c r="X1602" s="213" t="str">
        <f>IFERROR(__xludf.DUMMYFUNCTION("""COMPUTED_VALUE"""),"PRINCESS")</f>
        <v>PRINCESS</v>
      </c>
      <c r="Y1602" s="213">
        <f>IFERROR(__xludf.DUMMYFUNCTION("""COMPUTED_VALUE"""),282605.0)</f>
        <v>282605</v>
      </c>
      <c r="Z1602" s="215" t="str">
        <f>IFERROR(__xludf.DUMMYFUNCTION("""COMPUTED_VALUE"""),"https://www.princesshome.eu/es-es/productos-princess/heladeras/princess-282605-heladera-01.282605.01.001")</f>
        <v>https://www.princesshome.eu/es-es/productos-princess/heladeras/princess-282605-heladera-01.282605.01.001</v>
      </c>
      <c r="AA1602" s="213" t="str">
        <f>IFERROR(__xludf.DUMMYFUNCTION("""COMPUTED_VALUE"""),"ESP-230 MÁQUINA DE HELADOS CON TEMPORIZADOR - CET")</f>
        <v>ESP-230 MÁQUINA DE HELADOS CON TEMPORIZADOR - CET</v>
      </c>
      <c r="AB1602" s="215" t="str">
        <f>IFERROR(__xludf.DUMMYFUNCTION("""COMPUTED_VALUE"""),"https://drive.google.com/file/d/11o8NuJf-uWDOajz-SxKF0rHq5R6_sbbb/view")</f>
        <v>https://drive.google.com/file/d/11o8NuJf-uWDOajz-SxKF0rHq5R6_sbbb/view</v>
      </c>
      <c r="AC1602" s="213"/>
      <c r="AD1602" s="213"/>
      <c r="AE1602" s="213"/>
      <c r="AF1602" s="213"/>
      <c r="AG1602" s="213"/>
      <c r="AH1602" s="213"/>
      <c r="AI1602" s="213"/>
      <c r="AJ1602" s="213"/>
      <c r="AK1602" s="213"/>
      <c r="AL1602" s="213"/>
      <c r="AM1602" s="213"/>
      <c r="AN1602" s="213"/>
      <c r="AO1602" s="213"/>
      <c r="AP1602" s="213" t="str">
        <f>IFERROR(__xludf.DUMMYFUNCTION("""COMPUTED_VALUE"""),"ANTONELLA")</f>
        <v>ANTONELLA</v>
      </c>
      <c r="AQ1602" s="213"/>
      <c r="AR1602" s="213"/>
      <c r="AS1602" s="217" t="str">
        <f>IFERROR(__xludf.DUMMYFUNCTION("""COMPUTED_VALUE"""),"FUNDA IMPERMEABLE")</f>
        <v>FUNDA IMPERMEABLE</v>
      </c>
      <c r="AT1602" s="213"/>
      <c r="AU1602" s="213"/>
      <c r="AV1602" s="213"/>
      <c r="AW1602" s="213"/>
      <c r="AX1602" s="213"/>
      <c r="AY1602" s="213"/>
      <c r="AZ1602" s="213"/>
      <c r="BA1602" s="213"/>
      <c r="BB1602" s="213"/>
      <c r="BC1602" s="213"/>
      <c r="BD1602" s="213"/>
    </row>
    <row r="1603">
      <c r="A1603" s="213">
        <f>IFERROR(__xludf.DUMMYFUNCTION("""COMPUTED_VALUE"""),2471.0)</f>
        <v>2471</v>
      </c>
      <c r="B1603" s="213" t="str">
        <f>IFERROR(__xludf.DUMMYFUNCTION("""COMPUTED_VALUE"""),"MANUEL ANTONIO MESONES MURO")</f>
        <v>MANUEL ANTONIO MESONES MURO</v>
      </c>
      <c r="C1603" s="213" t="str">
        <f>IFERROR(__xludf.DUMMYFUNCTION("""COMPUTED_VALUE"""),"TALLER SFT DE CONSTRUCCIONES METÁLICAS")</f>
        <v>TALLER SFT DE CONSTRUCCIONES METÁLICAS</v>
      </c>
      <c r="D1603" s="213" t="str">
        <f>IFERROR(__xludf.DUMMYFUNCTION("""COMPUTED_VALUE"""),"MOBILIARIO")</f>
        <v>MOBILIARIO</v>
      </c>
      <c r="E1603" s="213" t="str">
        <f>IFERROR(__xludf.DUMMYFUNCTION("""COMPUTED_VALUE"""),"MOB-152")</f>
        <v>MOB-152</v>
      </c>
      <c r="F1603" s="213" t="str">
        <f>IFERROR(__xludf.DUMMYFUNCTION("""COMPUTED_VALUE"""),"MOB-152")</f>
        <v>MOB-152</v>
      </c>
      <c r="G1603" s="213"/>
      <c r="H1603" s="213" t="str">
        <f>IFERROR(__xludf.DUMMYFUNCTION("""COMPUTED_VALUE"""),"MUEBLE BAJO (1000 X 600 X 900 MM.)")</f>
        <v>MUEBLE BAJO (1000 X 600 X 900 MM.)</v>
      </c>
      <c r="I1603"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603" s="213">
        <f>IFERROR(__xludf.DUMMYFUNCTION("""COMPUTED_VALUE"""),3.0)</f>
        <v>3</v>
      </c>
      <c r="K1603" s="213" t="str">
        <f>IFERROR(__xludf.DUMMYFUNCTION("""COMPUTED_VALUE"""),"90 DÍAS CALENDARIO")</f>
        <v>90 DÍAS CALENDARIO</v>
      </c>
      <c r="L1603" s="213" t="str">
        <f>IFERROR(__xludf.DUMMYFUNCTION("""COMPUTED_VALUE"""),"")</f>
        <v/>
      </c>
      <c r="M1603" s="213">
        <f>IFERROR(__xludf.DUMMYFUNCTION("""COMPUTED_VALUE"""),1.0)</f>
        <v>1</v>
      </c>
      <c r="N1603" s="213">
        <f>IFERROR(__xludf.DUMMYFUNCTION("""COMPUTED_VALUE"""),4.0)</f>
        <v>4</v>
      </c>
      <c r="O1603" s="213">
        <f>IFERROR(__xludf.DUMMYFUNCTION("""COMPUTED_VALUE"""),4.0)</f>
        <v>4</v>
      </c>
      <c r="P1603" s="213"/>
      <c r="Q1603" s="213"/>
      <c r="R1603" s="213"/>
      <c r="S1603" s="213"/>
      <c r="T1603" s="213"/>
      <c r="U1603" s="213"/>
      <c r="V1603" s="213"/>
      <c r="W1603" s="213"/>
      <c r="X1603" s="213"/>
      <c r="Y1603" s="213"/>
      <c r="Z1603" s="213"/>
      <c r="AA1603" s="213"/>
      <c r="AB1603" s="213"/>
      <c r="AC1603" s="213"/>
      <c r="AD1603" s="213"/>
      <c r="AE1603" s="213"/>
      <c r="AF1603" s="213"/>
      <c r="AG1603" s="213"/>
      <c r="AH1603" s="213"/>
      <c r="AI1603" s="213"/>
      <c r="AJ1603" s="213"/>
      <c r="AK1603" s="213"/>
      <c r="AL1603" s="213"/>
      <c r="AM1603" s="213"/>
      <c r="AN1603" s="213"/>
      <c r="AO1603" s="213"/>
      <c r="AP1603" s="213"/>
      <c r="AQ1603" s="213"/>
      <c r="AR1603" s="213"/>
      <c r="AS1603" s="213"/>
      <c r="AT1603" s="213"/>
      <c r="AU1603" s="213"/>
      <c r="AV1603" s="213"/>
      <c r="AW1603" s="213"/>
      <c r="AX1603" s="213"/>
      <c r="AY1603" s="213"/>
      <c r="AZ1603" s="213"/>
      <c r="BA1603" s="213"/>
      <c r="BB1603" s="213"/>
      <c r="BC1603" s="213"/>
      <c r="BD1603" s="213"/>
    </row>
    <row r="1604">
      <c r="A1604" s="213">
        <f>IFERROR(__xludf.DUMMYFUNCTION("""COMPUTED_VALUE"""),998.0)</f>
        <v>998</v>
      </c>
      <c r="B1604" s="213" t="str">
        <f>IFERROR(__xludf.DUMMYFUNCTION("""COMPUTED_VALUE"""),"FRANCISCO IRAZOLA")</f>
        <v>FRANCISCO IRAZOLA</v>
      </c>
      <c r="C1604" s="213" t="str">
        <f>IFERROR(__xludf.DUMMYFUNCTION("""COMPUTED_VALUE"""),"TALLER SFT DE MECÁNICA AUTOMOTRIZ")</f>
        <v>TALLER SFT DE MECÁNICA AUTOMOTRIZ</v>
      </c>
      <c r="D1604" s="213" t="str">
        <f>IFERROR(__xludf.DUMMYFUNCTION("""COMPUTED_VALUE"""),"EQUIPOS")</f>
        <v>EQUIPOS</v>
      </c>
      <c r="E1604" s="213" t="str">
        <f>IFERROR(__xludf.DUMMYFUNCTION("""COMPUTED_VALUE"""),"ESP-233")</f>
        <v>ESP-233</v>
      </c>
      <c r="F1604" s="213" t="str">
        <f>IFERROR(__xludf.DUMMYFUNCTION("""COMPUTED_VALUE"""),"ESP-233")</f>
        <v>ESP-233</v>
      </c>
      <c r="G1604" s="213"/>
      <c r="H1604" s="213" t="str">
        <f>IFERROR(__xludf.DUMMYFUNCTION("""COMPUTED_VALUE"""),"MÁQUINA DE SOLDAR MULTIPROCESO CON CARRO DE TRANSPORTE")</f>
        <v>MÁQUINA DE SOLDAR MULTIPROCESO CON CARRO DE TRANSPORTE</v>
      </c>
      <c r="I1604" s="213" t="str">
        <f>IFERROR(__xludf.DUMMYFUNCTION("""COMPUTED_VALUE"""),"Equipo de soldar multiproceso, para aplicaciones en capacitación, entrenamiento, construcción, y fabricación.
Fuente de poder diseñada para en múltiples procesos de soldeo: mínimo con electrodo revestido SMAW, arco con alambre y protección gaseosa MIG/MAG"&amp;", soldadura por arco con electrodo de tungsteno y protección gaseosa TIG; opcionalmente, arco con alambre tubular relleno de fundente (FCAW).
Diseñado mínimo para procesos de soldadura: de electrodo revestido SMAW, arco con alambre y protección gaseosa MI"&amp;"G/MAG, soldadura por arco con electrodo de tungsteno y protección gaseosa TIG, y arco con alambre tubular relleno de fundente (FCAW).
Rango de salida de corriente: entre: 5 a 300 A. Voltaje de operación del circuito: entre 10V a 34V. Salida nominal mínima"&amp;": 200 A con ciclo de trabajo al 35%.
En soldeo con electrodo revestido (SMAW), la máquina podrá soldar mínimo 4,0 mm.
Soldeo de MIG/MAG: con el diámetro del alambre solido (electrodo), la máquina podrá soldar mínimo 1,0 mm; con diámetro del alambre tubula"&amp;"r (FCAW), la máquina podrá soldar mínimo: 1,2 mm.
En soldeo con electrodo de tungsteno TIG (GTAW), la máquina podrá soldar con diámetro de electrodo, mínimo: 2.4 mm.
Voltaje, frecuencia: 220 V, 60 Hz.
Incluye carro de transporte de acero de medidas aproxi"&amp;"madas (L70 x A35 x H75 cm), herramientas y accesorios para el soldeo.")</f>
        <v>Equipo de soldar multiproceso, para aplicaciones en capacitación, entrenamiento, construcción, y fabricación.
Fuente de poder diseñada para en múltiples procesos de soldeo: mínimo con electrodo revestido SMAW, arco con alambre y protección gaseosa MIG/MAG, soldadura por arco con electrodo de tungsteno y protección gaseosa TIG; opcionalmente, arco con alambre tubular relleno de fundente (FCAW).
Diseñado mínimo para procesos de soldadura: de electrodo revestido SMAW, arco con alambre y protección gaseosa MIG/MAG, soldadura por arco con electrodo de tungsteno y protección gaseosa TIG, y arco con alambre tubular relleno de fundente (FCAW).
Rango de salida de corriente: entre: 5 a 300 A. Voltaje de operación del circuito: entre 10V a 34V. Salida nominal mínima: 200 A con ciclo de trabajo al 35%.
En soldeo con electrodo revestido (SMAW), la máquina podrá soldar mínimo 4,0 mm.
Soldeo de MIG/MAG: con el diámetro del alambre solido (electrodo), la máquina podrá soldar mínimo 1,0 mm; con diámetro del alambre tubular (FCAW), la máquina podrá soldar mínimo: 1,2 mm.
En soldeo con electrodo de tungsteno TIG (GTAW), la máquina podrá soldar con diámetro de electrodo, mínimo: 2.4 mm.
Voltaje, frecuencia: 220 V, 60 Hz.
Incluye carro de transporte de acero de medidas aproximadas (L70 x A35 x H75 cm), herramientas y accesorios para el soldeo.</v>
      </c>
      <c r="J1604" s="213">
        <f>IFERROR(__xludf.DUMMYFUNCTION("""COMPUTED_VALUE"""),3.0)</f>
        <v>3</v>
      </c>
      <c r="K1604" s="213" t="str">
        <f>IFERROR(__xludf.DUMMYFUNCTION("""COMPUTED_VALUE"""),"170 DÍAS CALENDARIO")</f>
        <v>170 DÍAS CALENDARIO</v>
      </c>
      <c r="L1604" s="213" t="str">
        <f>IFERROR(__xludf.DUMMYFUNCTION("""COMPUTED_VALUE"""),"")</f>
        <v/>
      </c>
      <c r="M1604" s="213">
        <f>IFERROR(__xludf.DUMMYFUNCTION("""COMPUTED_VALUE"""),1.0)</f>
        <v>1</v>
      </c>
      <c r="N1604" s="213">
        <f>IFERROR(__xludf.DUMMYFUNCTION("""COMPUTED_VALUE"""),1.0)</f>
        <v>1</v>
      </c>
      <c r="O1604" s="213">
        <f>IFERROR(__xludf.DUMMYFUNCTION("""COMPUTED_VALUE"""),1.0)</f>
        <v>1</v>
      </c>
      <c r="P1604" s="213"/>
      <c r="Q1604" s="213"/>
      <c r="R1604" s="213"/>
      <c r="S1604" s="213" t="str">
        <f>IFERROR(__xludf.DUMMYFUNCTION("""COMPUTED_VALUE"""),"SI")</f>
        <v>SI</v>
      </c>
      <c r="T1604" s="213" t="str">
        <f>IFERROR(__xludf.DUMMYFUNCTION("""COMPUTED_VALUE"""),"CONSULTA FINAL")</f>
        <v>CONSULTA FINAL</v>
      </c>
      <c r="U1604" s="213" t="str">
        <f>IFERROR(__xludf.DUMMYFUNCTION("""COMPUTED_VALUE"""),"NO")</f>
        <v>NO</v>
      </c>
      <c r="V1604" s="213" t="str">
        <f>IFERROR(__xludf.DUMMYFUNCTION("""COMPUTED_VALUE"""),"SUSTENTO")</f>
        <v>SUSTENTO</v>
      </c>
      <c r="W1604" s="213" t="str">
        <f>IFERROR(__xludf.DUMMYFUNCTION("""COMPUTED_VALUE"""),"DIMENSIONAL, ELÉCTRICO")</f>
        <v>DIMENSIONAL, ELÉCTRICO</v>
      </c>
      <c r="X1604" s="213" t="str">
        <f>IFERROR(__xludf.DUMMYFUNCTION("""COMPUTED_VALUE"""),"ESAB")</f>
        <v>ESAB</v>
      </c>
      <c r="Y1604" s="213" t="str">
        <f>IFERROR(__xludf.DUMMYFUNCTION("""COMPUTED_VALUE"""),"WarriorTM 350MV CC/CV")</f>
        <v>WarriorTM 350MV CC/CV</v>
      </c>
      <c r="Z1604" s="215" t="str">
        <f>IFERROR(__xludf.DUMMYFUNCTION("""COMPUTED_VALUE"""),"https://drive.google.com/file/d/11NnGPL-rHW4IGl_acabYYZZVq8qNYqqK/view")</f>
        <v>https://drive.google.com/file/d/11NnGPL-rHW4IGl_acabYYZZVq8qNYqqK/view</v>
      </c>
      <c r="AA1604" s="213" t="str">
        <f>IFERROR(__xludf.DUMMYFUNCTION("""COMPUTED_VALUE"""),"ESP-233 MÁQUINA DE SOLDAR MULTIPROCESO CON CARRO DE TRANSPORTE - CET")</f>
        <v>ESP-233 MÁQUINA DE SOLDAR MULTIPROCESO CON CARRO DE TRANSPORTE - CET</v>
      </c>
      <c r="AB1604" s="213"/>
      <c r="AC1604" s="213"/>
      <c r="AD1604" s="213"/>
      <c r="AE1604" s="213"/>
      <c r="AF1604" s="213"/>
      <c r="AG1604" s="213"/>
      <c r="AH1604" s="213" t="str">
        <f>IFERROR(__xludf.DUMMYFUNCTION("""COMPUTED_VALUE"""),"NACIONAL")</f>
        <v>NACIONAL</v>
      </c>
      <c r="AI1604" s="213"/>
      <c r="AJ1604" s="213"/>
      <c r="AK1604" s="213"/>
      <c r="AL1604" s="213"/>
      <c r="AM1604" s="213"/>
      <c r="AN1604" s="213"/>
      <c r="AO1604" s="213"/>
      <c r="AP1604" s="213" t="str">
        <f>IFERROR(__xludf.DUMMYFUNCTION("""COMPUTED_VALUE"""),"NALDI")</f>
        <v>NALDI</v>
      </c>
      <c r="AQ1604" s="213"/>
      <c r="AR1604" s="213"/>
      <c r="AS1604" s="217" t="str">
        <f>IFERROR(__xludf.DUMMYFUNCTION("""COMPUTED_VALUE"""),"Trolley 0465 510 880 y accesorios para el soldeo.?")</f>
        <v>Trolley 0465 510 880 y accesorios para el soldeo.?</v>
      </c>
      <c r="AT1604" s="213"/>
      <c r="AU1604" s="213"/>
      <c r="AV1604" s="213"/>
      <c r="AW1604" s="213"/>
      <c r="AX1604" s="213"/>
      <c r="AY1604" s="213"/>
      <c r="AZ1604" s="213"/>
      <c r="BA1604" s="213"/>
      <c r="BB1604" s="213"/>
      <c r="BC1604" s="213"/>
      <c r="BD1604" s="213"/>
    </row>
    <row r="1605">
      <c r="A1605" s="213">
        <f>IFERROR(__xludf.DUMMYFUNCTION("""COMPUTED_VALUE"""),1603.0)</f>
        <v>1603</v>
      </c>
      <c r="B1605" s="213" t="str">
        <f>IFERROR(__xludf.DUMMYFUNCTION("""COMPUTED_VALUE"""),"GUILLERMO E. BILLINGHURST ")</f>
        <v>GUILLERMO E. BILLINGHURST </v>
      </c>
      <c r="C1605" s="213" t="str">
        <f>IFERROR(__xludf.DUMMYFUNCTION("""COMPUTED_VALUE"""),"TALLER SFT DE MECÁNICA AUTOMOTRIZ")</f>
        <v>TALLER SFT DE MECÁNICA AUTOMOTRIZ</v>
      </c>
      <c r="D1605" s="213" t="str">
        <f>IFERROR(__xludf.DUMMYFUNCTION("""COMPUTED_VALUE"""),"EQUIPOS")</f>
        <v>EQUIPOS</v>
      </c>
      <c r="E1605" s="213" t="str">
        <f>IFERROR(__xludf.DUMMYFUNCTION("""COMPUTED_VALUE"""),"ESP-233")</f>
        <v>ESP-233</v>
      </c>
      <c r="F1605" s="213" t="str">
        <f>IFERROR(__xludf.DUMMYFUNCTION("""COMPUTED_VALUE"""),"ESP-233")</f>
        <v>ESP-233</v>
      </c>
      <c r="G1605" s="213"/>
      <c r="H1605" s="213" t="str">
        <f>IFERROR(__xludf.DUMMYFUNCTION("""COMPUTED_VALUE"""),"MÁQUINA DE SOLDAR MULTIPROCESO CON CARRO DE TRANSPORTE")</f>
        <v>MÁQUINA DE SOLDAR MULTIPROCESO CON CARRO DE TRANSPORTE</v>
      </c>
      <c r="I1605" s="213" t="str">
        <f>IFERROR(__xludf.DUMMYFUNCTION("""COMPUTED_VALUE"""),"Equipo de soldar multiproceso, para aplicaciones en capacitación, entrenamiento, construcción, y fabricación.
Fuente de poder diseñada para en múltiples procesos de soldeo: mínimo con electrodo revestido SMAW, arco con alambre y protección gaseosa MIG/MAG"&amp;", soldadura por arco con electrodo de tungsteno y protección gaseosa TIG; opcionalmente, arco con alambre tubular relleno de fundente (FCAW).
Diseñado mínimo para procesos de soldadura: de electrodo revestido SMAW, arco con alambre y protección gaseosa MI"&amp;"G/MAG, soldadura por arco con electrodo de tungsteno y protección gaseosa TIG, y arco con alambre tubular relleno de fundente (FCAW).
Rango de salida de corriente: entre: 5 a 300 A. Voltaje de operación del circuito: entre 10V a 34V. Salida nominal mínima"&amp;": 200 A con ciclo de trabajo al 35%.
En soldeo con electrodo revestido (SMAW), la máquina podrá soldar mínimo 4,0 mm.
Soldeo de MIG/MAG: con el diámetro del alambre solido (electrodo), la máquina podrá soldar mínimo 1,0 mm; con diámetro del alambre tubula"&amp;"r (FCAW), la máquina podrá soldar mínimo: 1,2 mm.
En soldeo con electrodo de tungsteno TIG (GTAW), la máquina podrá soldar con diámetro de electrodo, mínimo: 2.4 mm.
Voltaje, frecuencia: 220 V, 60 Hz.
Incluye carro de transporte de acero de medidas aproxi"&amp;"madas (L70 x A35 x H75 cm), herramientas y accesorios para el soldeo.")</f>
        <v>Equipo de soldar multiproceso, para aplicaciones en capacitación, entrenamiento, construcción, y fabricación.
Fuente de poder diseñada para en múltiples procesos de soldeo: mínimo con electrodo revestido SMAW, arco con alambre y protección gaseosa MIG/MAG, soldadura por arco con electrodo de tungsteno y protección gaseosa TIG; opcionalmente, arco con alambre tubular relleno de fundente (FCAW).
Diseñado mínimo para procesos de soldadura: de electrodo revestido SMAW, arco con alambre y protección gaseosa MIG/MAG, soldadura por arco con electrodo de tungsteno y protección gaseosa TIG, y arco con alambre tubular relleno de fundente (FCAW).
Rango de salida de corriente: entre: 5 a 300 A. Voltaje de operación del circuito: entre 10V a 34V. Salida nominal mínima: 200 A con ciclo de trabajo al 35%.
En soldeo con electrodo revestido (SMAW), la máquina podrá soldar mínimo 4,0 mm.
Soldeo de MIG/MAG: con el diámetro del alambre solido (electrodo), la máquina podrá soldar mínimo 1,0 mm; con diámetro del alambre tubular (FCAW), la máquina podrá soldar mínimo: 1,2 mm.
En soldeo con electrodo de tungsteno TIG (GTAW), la máquina podrá soldar con diámetro de electrodo, mínimo: 2.4 mm.
Voltaje, frecuencia: 220 V, 60 Hz.
Incluye carro de transporte de acero de medidas aproximadas (L70 x A35 x H75 cm), herramientas y accesorios para el soldeo.</v>
      </c>
      <c r="J1605" s="213">
        <f>IFERROR(__xludf.DUMMYFUNCTION("""COMPUTED_VALUE"""),3.0)</f>
        <v>3</v>
      </c>
      <c r="K1605" s="213" t="str">
        <f>IFERROR(__xludf.DUMMYFUNCTION("""COMPUTED_VALUE"""),"170 DÍAS CALENDARIO")</f>
        <v>170 DÍAS CALENDARIO</v>
      </c>
      <c r="L1605" s="213" t="str">
        <f>IFERROR(__xludf.DUMMYFUNCTION("""COMPUTED_VALUE"""),"")</f>
        <v/>
      </c>
      <c r="M1605" s="213">
        <f>IFERROR(__xludf.DUMMYFUNCTION("""COMPUTED_VALUE"""),1.0)</f>
        <v>1</v>
      </c>
      <c r="N1605" s="213">
        <f>IFERROR(__xludf.DUMMYFUNCTION("""COMPUTED_VALUE"""),1.0)</f>
        <v>1</v>
      </c>
      <c r="O1605" s="213">
        <f>IFERROR(__xludf.DUMMYFUNCTION("""COMPUTED_VALUE"""),1.0)</f>
        <v>1</v>
      </c>
      <c r="P1605" s="213"/>
      <c r="Q1605" s="213"/>
      <c r="R1605" s="213"/>
      <c r="S1605" s="213" t="str">
        <f>IFERROR(__xludf.DUMMYFUNCTION("""COMPUTED_VALUE"""),"SI")</f>
        <v>SI</v>
      </c>
      <c r="T1605" s="213" t="str">
        <f>IFERROR(__xludf.DUMMYFUNCTION("""COMPUTED_VALUE"""),"CONSULTA FINAL")</f>
        <v>CONSULTA FINAL</v>
      </c>
      <c r="U1605" s="213" t="str">
        <f>IFERROR(__xludf.DUMMYFUNCTION("""COMPUTED_VALUE"""),"NO")</f>
        <v>NO</v>
      </c>
      <c r="V1605" s="213" t="str">
        <f>IFERROR(__xludf.DUMMYFUNCTION("""COMPUTED_VALUE"""),"SUSTENTO")</f>
        <v>SUSTENTO</v>
      </c>
      <c r="W1605" s="213" t="str">
        <f>IFERROR(__xludf.DUMMYFUNCTION("""COMPUTED_VALUE"""),"DIMENSIONAL, ELÉCTRICO")</f>
        <v>DIMENSIONAL, ELÉCTRICO</v>
      </c>
      <c r="X1605" s="213" t="str">
        <f>IFERROR(__xludf.DUMMYFUNCTION("""COMPUTED_VALUE"""),"ESAB")</f>
        <v>ESAB</v>
      </c>
      <c r="Y1605" s="213" t="str">
        <f>IFERROR(__xludf.DUMMYFUNCTION("""COMPUTED_VALUE"""),"WarriorTM 350MV CC/CV")</f>
        <v>WarriorTM 350MV CC/CV</v>
      </c>
      <c r="Z1605" s="215" t="str">
        <f>IFERROR(__xludf.DUMMYFUNCTION("""COMPUTED_VALUE"""),"https://drive.google.com/file/d/11NnGPL-rHW4IGl_acabYYZZVq8qNYqqK/view")</f>
        <v>https://drive.google.com/file/d/11NnGPL-rHW4IGl_acabYYZZVq8qNYqqK/view</v>
      </c>
      <c r="AA1605" s="213" t="str">
        <f>IFERROR(__xludf.DUMMYFUNCTION("""COMPUTED_VALUE"""),"ESP-233 MÁQUINA DE SOLDAR MULTIPROCESO CON CARRO DE TRANSPORTE - CET")</f>
        <v>ESP-233 MÁQUINA DE SOLDAR MULTIPROCESO CON CARRO DE TRANSPORTE - CET</v>
      </c>
      <c r="AB1605" s="213"/>
      <c r="AC1605" s="213"/>
      <c r="AD1605" s="213"/>
      <c r="AE1605" s="213"/>
      <c r="AF1605" s="213"/>
      <c r="AG1605" s="213"/>
      <c r="AH1605" s="213" t="str">
        <f>IFERROR(__xludf.DUMMYFUNCTION("""COMPUTED_VALUE"""),"NACIONAL")</f>
        <v>NACIONAL</v>
      </c>
      <c r="AI1605" s="213"/>
      <c r="AJ1605" s="213"/>
      <c r="AK1605" s="213"/>
      <c r="AL1605" s="213"/>
      <c r="AM1605" s="213"/>
      <c r="AN1605" s="213"/>
      <c r="AO1605" s="213"/>
      <c r="AP1605" s="213" t="str">
        <f>IFERROR(__xludf.DUMMYFUNCTION("""COMPUTED_VALUE"""),"NALDI")</f>
        <v>NALDI</v>
      </c>
      <c r="AQ1605" s="213"/>
      <c r="AR1605" s="213"/>
      <c r="AS1605" s="217" t="str">
        <f>IFERROR(__xludf.DUMMYFUNCTION("""COMPUTED_VALUE"""),"Trolley 0465 510 880 y accesorios para el soldeo.?")</f>
        <v>Trolley 0465 510 880 y accesorios para el soldeo.?</v>
      </c>
      <c r="AT1605" s="213"/>
      <c r="AU1605" s="213"/>
      <c r="AV1605" s="213"/>
      <c r="AW1605" s="213"/>
      <c r="AX1605" s="213"/>
      <c r="AY1605" s="213"/>
      <c r="AZ1605" s="213"/>
      <c r="BA1605" s="213"/>
      <c r="BB1605" s="213"/>
      <c r="BC1605" s="213"/>
      <c r="BD1605" s="213"/>
    </row>
    <row r="1606">
      <c r="A1606" s="213">
        <f>IFERROR(__xludf.DUMMYFUNCTION("""COMPUTED_VALUE"""),2290.0)</f>
        <v>2290</v>
      </c>
      <c r="B1606" s="213" t="str">
        <f>IFERROR(__xludf.DUMMYFUNCTION("""COMPUTED_VALUE"""),"JOSE GRANDA")</f>
        <v>JOSE GRANDA</v>
      </c>
      <c r="C1606" s="213" t="str">
        <f>IFERROR(__xludf.DUMMYFUNCTION("""COMPUTED_VALUE"""),"TALLER SFT DE MECÁNICA AUTOMOTRIZ")</f>
        <v>TALLER SFT DE MECÁNICA AUTOMOTRIZ</v>
      </c>
      <c r="D1606" s="213" t="str">
        <f>IFERROR(__xludf.DUMMYFUNCTION("""COMPUTED_VALUE"""),"EQUIPOS")</f>
        <v>EQUIPOS</v>
      </c>
      <c r="E1606" s="213" t="str">
        <f>IFERROR(__xludf.DUMMYFUNCTION("""COMPUTED_VALUE"""),"ESP-233")</f>
        <v>ESP-233</v>
      </c>
      <c r="F1606" s="213" t="str">
        <f>IFERROR(__xludf.DUMMYFUNCTION("""COMPUTED_VALUE"""),"ESP-233")</f>
        <v>ESP-233</v>
      </c>
      <c r="G1606" s="213"/>
      <c r="H1606" s="213" t="str">
        <f>IFERROR(__xludf.DUMMYFUNCTION("""COMPUTED_VALUE"""),"MÁQUINA DE SOLDAR MULTIPROCESO CON CARRO DE TRANSPORTE")</f>
        <v>MÁQUINA DE SOLDAR MULTIPROCESO CON CARRO DE TRANSPORTE</v>
      </c>
      <c r="I1606" s="213" t="str">
        <f>IFERROR(__xludf.DUMMYFUNCTION("""COMPUTED_VALUE"""),"Equipo de soldar multiproceso, para aplicaciones en capacitación, entrenamiento, construcción, y fabricación.
Fuente de poder diseñada para en múltiples procesos de soldeo: mínimo con electrodo revestido SMAW, arco con alambre y protección gaseosa MIG/MAG"&amp;", soldadura por arco con electrodo de tungsteno y protección gaseosa TIG; opcionalmente, arco con alambre tubular relleno de fundente (FCAW).
Diseñado mínimo para procesos de soldadura: de electrodo revestido SMAW, arco con alambre y protección gaseosa MI"&amp;"G/MAG, soldadura por arco con electrodo de tungsteno y protección gaseosa TIG, y arco con alambre tubular relleno de fundente (FCAW).
Rango de salida de corriente: entre: 5 a 300 A. Voltaje de operación del circuito: entre 10V a 34V. Salida nominal mínima"&amp;": 200 A con ciclo de trabajo al 35%.
En soldeo con electrodo revestido (SMAW), la máquina podrá soldar mínimo 4,0 mm.
Soldeo de MIG/MAG: con el diámetro del alambre solido (electrodo), la máquina podrá soldar mínimo 1,0 mm; con diámetro del alambre tubula"&amp;"r (FCAW), la máquina podrá soldar mínimo: 1,2 mm.
En soldeo con electrodo de tungsteno TIG (GTAW), la máquina podrá soldar con diámetro de electrodo, mínimo: 2.4 mm.
Voltaje, frecuencia: 220 V, 60 Hz.
Incluye carro de transporte de acero de medidas aproxi"&amp;"madas (L70 x A35 x H75 cm), herramientas y accesorios para el soldeo.")</f>
        <v>Equipo de soldar multiproceso, para aplicaciones en capacitación, entrenamiento, construcción, y fabricación.
Fuente de poder diseñada para en múltiples procesos de soldeo: mínimo con electrodo revestido SMAW, arco con alambre y protección gaseosa MIG/MAG, soldadura por arco con electrodo de tungsteno y protección gaseosa TIG; opcionalmente, arco con alambre tubular relleno de fundente (FCAW).
Diseñado mínimo para procesos de soldadura: de electrodo revestido SMAW, arco con alambre y protección gaseosa MIG/MAG, soldadura por arco con electrodo de tungsteno y protección gaseosa TIG, y arco con alambre tubular relleno de fundente (FCAW).
Rango de salida de corriente: entre: 5 a 300 A. Voltaje de operación del circuito: entre 10V a 34V. Salida nominal mínima: 200 A con ciclo de trabajo al 35%.
En soldeo con electrodo revestido (SMAW), la máquina podrá soldar mínimo 4,0 mm.
Soldeo de MIG/MAG: con el diámetro del alambre solido (electrodo), la máquina podrá soldar mínimo 1,0 mm; con diámetro del alambre tubular (FCAW), la máquina podrá soldar mínimo: 1,2 mm.
En soldeo con electrodo de tungsteno TIG (GTAW), la máquina podrá soldar con diámetro de electrodo, mínimo: 2.4 mm.
Voltaje, frecuencia: 220 V, 60 Hz.
Incluye carro de transporte de acero de medidas aproximadas (L70 x A35 x H75 cm), herramientas y accesorios para el soldeo.</v>
      </c>
      <c r="J1606" s="213">
        <f>IFERROR(__xludf.DUMMYFUNCTION("""COMPUTED_VALUE"""),3.0)</f>
        <v>3</v>
      </c>
      <c r="K1606" s="213" t="str">
        <f>IFERROR(__xludf.DUMMYFUNCTION("""COMPUTED_VALUE"""),"170 DÍAS CALENDARIO")</f>
        <v>170 DÍAS CALENDARIO</v>
      </c>
      <c r="L1606" s="213" t="str">
        <f>IFERROR(__xludf.DUMMYFUNCTION("""COMPUTED_VALUE"""),"")</f>
        <v/>
      </c>
      <c r="M1606" s="213">
        <f>IFERROR(__xludf.DUMMYFUNCTION("""COMPUTED_VALUE"""),1.0)</f>
        <v>1</v>
      </c>
      <c r="N1606" s="213">
        <f>IFERROR(__xludf.DUMMYFUNCTION("""COMPUTED_VALUE"""),1.0)</f>
        <v>1</v>
      </c>
      <c r="O1606" s="213">
        <f>IFERROR(__xludf.DUMMYFUNCTION("""COMPUTED_VALUE"""),1.0)</f>
        <v>1</v>
      </c>
      <c r="P1606" s="213"/>
      <c r="Q1606" s="213"/>
      <c r="R1606" s="213"/>
      <c r="S1606" s="213" t="str">
        <f>IFERROR(__xludf.DUMMYFUNCTION("""COMPUTED_VALUE"""),"SI")</f>
        <v>SI</v>
      </c>
      <c r="T1606" s="213" t="str">
        <f>IFERROR(__xludf.DUMMYFUNCTION("""COMPUTED_VALUE"""),"CONSULTA FINAL")</f>
        <v>CONSULTA FINAL</v>
      </c>
      <c r="U1606" s="213" t="str">
        <f>IFERROR(__xludf.DUMMYFUNCTION("""COMPUTED_VALUE"""),"NO")</f>
        <v>NO</v>
      </c>
      <c r="V1606" s="213" t="str">
        <f>IFERROR(__xludf.DUMMYFUNCTION("""COMPUTED_VALUE"""),"SUSTENTO")</f>
        <v>SUSTENTO</v>
      </c>
      <c r="W1606" s="213" t="str">
        <f>IFERROR(__xludf.DUMMYFUNCTION("""COMPUTED_VALUE"""),"DIMENSIONAL, ELÉCTRICO")</f>
        <v>DIMENSIONAL, ELÉCTRICO</v>
      </c>
      <c r="X1606" s="213" t="str">
        <f>IFERROR(__xludf.DUMMYFUNCTION("""COMPUTED_VALUE"""),"ESAB")</f>
        <v>ESAB</v>
      </c>
      <c r="Y1606" s="213" t="str">
        <f>IFERROR(__xludf.DUMMYFUNCTION("""COMPUTED_VALUE"""),"WarriorTM 350MV CC/CV")</f>
        <v>WarriorTM 350MV CC/CV</v>
      </c>
      <c r="Z1606" s="215" t="str">
        <f>IFERROR(__xludf.DUMMYFUNCTION("""COMPUTED_VALUE"""),"https://drive.google.com/file/d/11NnGPL-rHW4IGl_acabYYZZVq8qNYqqK/view")</f>
        <v>https://drive.google.com/file/d/11NnGPL-rHW4IGl_acabYYZZVq8qNYqqK/view</v>
      </c>
      <c r="AA1606" s="213" t="str">
        <f>IFERROR(__xludf.DUMMYFUNCTION("""COMPUTED_VALUE"""),"ESP-233 MÁQUINA DE SOLDAR MULTIPROCESO CON CARRO DE TRANSPORTE - CET")</f>
        <v>ESP-233 MÁQUINA DE SOLDAR MULTIPROCESO CON CARRO DE TRANSPORTE - CET</v>
      </c>
      <c r="AB1606" s="213"/>
      <c r="AC1606" s="213"/>
      <c r="AD1606" s="213"/>
      <c r="AE1606" s="213"/>
      <c r="AF1606" s="213"/>
      <c r="AG1606" s="213"/>
      <c r="AH1606" s="213" t="str">
        <f>IFERROR(__xludf.DUMMYFUNCTION("""COMPUTED_VALUE"""),"NACIONAL")</f>
        <v>NACIONAL</v>
      </c>
      <c r="AI1606" s="213"/>
      <c r="AJ1606" s="213"/>
      <c r="AK1606" s="213"/>
      <c r="AL1606" s="213"/>
      <c r="AM1606" s="213"/>
      <c r="AN1606" s="213"/>
      <c r="AO1606" s="213"/>
      <c r="AP1606" s="213" t="str">
        <f>IFERROR(__xludf.DUMMYFUNCTION("""COMPUTED_VALUE"""),"NALDI")</f>
        <v>NALDI</v>
      </c>
      <c r="AQ1606" s="213"/>
      <c r="AR1606" s="213"/>
      <c r="AS1606" s="217" t="str">
        <f>IFERROR(__xludf.DUMMYFUNCTION("""COMPUTED_VALUE"""),"Trolley 0465 510 880 y accesorios para el soldeo.?")</f>
        <v>Trolley 0465 510 880 y accesorios para el soldeo.?</v>
      </c>
      <c r="AT1606" s="213"/>
      <c r="AU1606" s="213"/>
      <c r="AV1606" s="213"/>
      <c r="AW1606" s="213"/>
      <c r="AX1606" s="213"/>
      <c r="AY1606" s="213"/>
      <c r="AZ1606" s="213"/>
      <c r="BA1606" s="213"/>
      <c r="BB1606" s="213"/>
      <c r="BC1606" s="213"/>
      <c r="BD1606" s="213"/>
    </row>
    <row r="1607">
      <c r="A1607" s="213">
        <f>IFERROR(__xludf.DUMMYFUNCTION("""COMPUTED_VALUE"""),2485.0)</f>
        <v>2485</v>
      </c>
      <c r="B1607" s="213" t="str">
        <f>IFERROR(__xludf.DUMMYFUNCTION("""COMPUTED_VALUE"""),"MANUEL ANTONIO MESONES MURO")</f>
        <v>MANUEL ANTONIO MESONES MURO</v>
      </c>
      <c r="C1607" s="213" t="str">
        <f>IFERROR(__xludf.DUMMYFUNCTION("""COMPUTED_VALUE"""),"TALLER SFT DE CONSTRUCCIONES METÁLICAS")</f>
        <v>TALLER SFT DE CONSTRUCCIONES METÁLICAS</v>
      </c>
      <c r="D1607" s="213" t="str">
        <f>IFERROR(__xludf.DUMMYFUNCTION("""COMPUTED_VALUE"""),"HERRAMIENTAS")</f>
        <v>HERRAMIENTAS</v>
      </c>
      <c r="E1607" s="213" t="str">
        <f>IFERROR(__xludf.DUMMYFUNCTION("""COMPUTED_VALUE"""),"COM-245")</f>
        <v>COM-245</v>
      </c>
      <c r="F1607" s="213" t="str">
        <f>IFERROR(__xludf.DUMMYFUNCTION("""COMPUTED_VALUE"""),"COM-245")</f>
        <v>COM-245</v>
      </c>
      <c r="G1607" s="213"/>
      <c r="H1607" s="213" t="str">
        <f>IFERROR(__xludf.DUMMYFUNCTION("""COMPUTED_VALUE"""),"NIVEL DE BURBUJAS")</f>
        <v>NIVEL DE BURBUJAS</v>
      </c>
      <c r="I1607" s="213" t="str">
        <f>IFERROR(__xludf.DUMMYFUNCTION("""COMPUTED_VALUE"""),"Nivel de burbuja simple
-       Longitud mínima 45 cm
-       Base magnética (para manos libres)
-       Burbuja resistente a rayos UV
-       Con 3 burbujas horizontal, vertical y oblicua")</f>
        <v>Nivel de burbuja simple
-       Longitud mínima 45 cm
-       Base magnética (para manos libres)
-       Burbuja resistente a rayos UV
-       Con 3 burbujas horizontal, vertical y oblicua</v>
      </c>
      <c r="J1607" s="213">
        <f>IFERROR(__xludf.DUMMYFUNCTION("""COMPUTED_VALUE"""),3.0)</f>
        <v>3</v>
      </c>
      <c r="K1607" s="213" t="str">
        <f>IFERROR(__xludf.DUMMYFUNCTION("""COMPUTED_VALUE"""),"90 DÍAS CALENDARIO")</f>
        <v>90 DÍAS CALENDARIO</v>
      </c>
      <c r="L1607" s="213" t="str">
        <f>IFERROR(__xludf.DUMMYFUNCTION("""COMPUTED_VALUE"""),"")</f>
        <v/>
      </c>
      <c r="M1607" s="213">
        <f>IFERROR(__xludf.DUMMYFUNCTION("""COMPUTED_VALUE"""),1.0)</f>
        <v>1</v>
      </c>
      <c r="N1607" s="213">
        <f>IFERROR(__xludf.DUMMYFUNCTION("""COMPUTED_VALUE"""),5.0)</f>
        <v>5</v>
      </c>
      <c r="O1607" s="213">
        <f>IFERROR(__xludf.DUMMYFUNCTION("""COMPUTED_VALUE"""),5.0)</f>
        <v>5</v>
      </c>
      <c r="P1607" s="213"/>
      <c r="Q1607" s="213"/>
      <c r="R1607" s="213" t="str">
        <f>IFERROR(__xludf.DUMMYFUNCTION("""COMPUTED_VALUE"""),"SI")</f>
        <v>SI</v>
      </c>
      <c r="S1607" s="213"/>
      <c r="T1607" s="213" t="str">
        <f>IFERROR(__xludf.DUMMYFUNCTION("""COMPUTED_VALUE"""),"SI")</f>
        <v>SI</v>
      </c>
      <c r="U1607" s="213" t="str">
        <f>IFERROR(__xludf.DUMMYFUNCTION("""COMPUTED_VALUE"""),"SI")</f>
        <v>SI</v>
      </c>
      <c r="V1607" s="213" t="str">
        <f>IFERROR(__xludf.DUMMYFUNCTION("""COMPUTED_VALUE"""),"-")</f>
        <v>-</v>
      </c>
      <c r="W1607" s="213" t="str">
        <f>IFERROR(__xludf.DUMMYFUNCTION("""COMPUTED_VALUE"""),"-")</f>
        <v>-</v>
      </c>
      <c r="X1607" s="213" t="str">
        <f>IFERROR(__xludf.DUMMYFUNCTION("""COMPUTED_VALUE"""),"TOTAL")</f>
        <v>TOTAL</v>
      </c>
      <c r="Y1607" s="213" t="str">
        <f>IFERROR(__xludf.DUMMYFUNCTION("""COMPUTED_VALUE"""),"TOTAL")</f>
        <v>TOTAL</v>
      </c>
      <c r="Z1607" s="215" t="str">
        <f>IFERROR(__xludf.DUMMYFUNCTION("""COMPUTED_VALUE"""),"https://www.itools.pe/product/nivel-de-burbuja-manual-magnetico-60cm-profesional-total-tmt26056")</f>
        <v>https://www.itools.pe/product/nivel-de-burbuja-manual-magnetico-60cm-profesional-total-tmt26056</v>
      </c>
      <c r="AA1607" s="213" t="str">
        <f>IFERROR(__xludf.DUMMYFUNCTION("""COMPUTED_VALUE"""),"COM-245 NIVEL DE BURBUJAS - CET")</f>
        <v>COM-245 NIVEL DE BURBUJAS - CET</v>
      </c>
      <c r="AB1607" s="213"/>
      <c r="AC1607" s="213"/>
      <c r="AD1607" s="213"/>
      <c r="AE1607" s="213"/>
      <c r="AF1607" s="213"/>
      <c r="AG1607" s="213"/>
      <c r="AH1607" s="213"/>
      <c r="AI1607" s="213"/>
      <c r="AJ1607" s="213"/>
      <c r="AK1607" s="213"/>
      <c r="AL1607" s="213"/>
      <c r="AM1607" s="213"/>
      <c r="AN1607" s="213"/>
      <c r="AO1607" s="213"/>
      <c r="AP1607" s="213" t="str">
        <f>IFERROR(__xludf.DUMMYFUNCTION("""COMPUTED_VALUE"""),"LUIS")</f>
        <v>LUIS</v>
      </c>
      <c r="AQ1607" s="213"/>
      <c r="AR1607" s="213"/>
      <c r="AS1607" s="213"/>
      <c r="AT1607" s="213"/>
      <c r="AU1607" s="213"/>
      <c r="AV1607" s="213"/>
      <c r="AW1607" s="213"/>
      <c r="AX1607" s="213"/>
      <c r="AY1607" s="213"/>
      <c r="AZ1607" s="213"/>
      <c r="BA1607" s="213"/>
      <c r="BB1607" s="213"/>
      <c r="BC1607" s="213"/>
      <c r="BD1607" s="213"/>
    </row>
    <row r="1608">
      <c r="A1608" s="213">
        <f>IFERROR(__xludf.DUMMYFUNCTION("""COMPUTED_VALUE"""),193.0)</f>
        <v>193</v>
      </c>
      <c r="B1608" s="213" t="str">
        <f>IFERROR(__xludf.DUMMYFUNCTION("""COMPUTED_VALUE"""),"2026 SIMON BOLIVAR")</f>
        <v>2026 SIMON BOLIVAR</v>
      </c>
      <c r="C1608" s="213" t="str">
        <f>IFERROR(__xludf.DUMMYFUNCTION("""COMPUTED_VALUE"""),"TALLER SFT DE INDUSTRIA DEL VESTIDO")</f>
        <v>TALLER SFT DE INDUSTRIA DEL VESTIDO</v>
      </c>
      <c r="D1608" s="213" t="str">
        <f>IFERROR(__xludf.DUMMYFUNCTION("""COMPUTED_VALUE"""),"EQUIPOS")</f>
        <v>EQUIPOS</v>
      </c>
      <c r="E1608" s="213" t="str">
        <f>IFERROR(__xludf.DUMMYFUNCTION("""COMPUTED_VALUE"""),"ESP-237")</f>
        <v>ESP-237</v>
      </c>
      <c r="F1608" s="213" t="str">
        <f>IFERROR(__xludf.DUMMYFUNCTION("""COMPUTED_VALUE"""),"ESP-237")</f>
        <v>ESP-237</v>
      </c>
      <c r="G1608" s="213"/>
      <c r="H1608" s="213" t="str">
        <f>IFERROR(__xludf.DUMMYFUNCTION("""COMPUTED_VALUE"""),"MÁQUINA DOMÉSTICA RECUBRIDORA (COLLARETERA)")</f>
        <v>MÁQUINA DOMÉSTICA RECUBRIDORA (COLLARETERA)</v>
      </c>
      <c r="I1608" s="213" t="str">
        <f>IFERROR(__xludf.DUMMYFUNCTION("""COMPUTED_VALUE"""),"·       Máquina recubridora de 3 agujas y 5 hilos
·       Área de trabajo 155   x 100 mm aproximadamente
·       Liberación automática de la tensión del hilo
·       Cortador de hilo
·       Enhebrado con indicación a color
·        Presión ajustable del "&amp;"prensatelas
·       Función de brazo libre  para recubrimiento y cosido de prendas tubulares
·       Área de trabajo iluminada con LED
·       Ajuste de alimentación  del diferencial
·       Ajuste de longitud de puntada
·       .Regula el ancho de la pun"&amp;"tada      de  3  - 6  mm
·       Regula el largo de la puntada   de     3  - 4 mm
·       Velocidad: 1000 ppm aproximadamente.
·       Tamaño aproximado: 38.2 x 32.2 x 32.3 cms
·       Peso: 7.7 kg.
·       220 V. /  60 Hz")</f>
        <v>·       Máquina recubridora de 3 agujas y 5 hilos
·       Área de trabajo 155   x 100 mm aproximadamente
·       Liberación automática de la tensión del hilo
·       Cortador de hilo
·       Enhebrado con indicación a color
·        Presión ajustable del prensatelas
·       Función de brazo libre  para recubrimiento y cosido de prendas tubulares
·       Área de trabajo iluminada con LED
·       Ajuste de alimentación  del diferencial
·       Ajuste de longitud de puntada
·       .Regula el ancho de la puntada      de  3  - 6  mm
·       Regula el largo de la puntada   de     3  - 4 mm
·       Velocidad: 1000 ppm aproximadamente.
·       Tamaño aproximado: 38.2 x 32.2 x 32.3 cms
·       Peso: 7.7 kg.
·       220 V. /  60 Hz</v>
      </c>
      <c r="J1608" s="213">
        <f>IFERROR(__xludf.DUMMYFUNCTION("""COMPUTED_VALUE"""),3.0)</f>
        <v>3</v>
      </c>
      <c r="K1608" s="213" t="str">
        <f>IFERROR(__xludf.DUMMYFUNCTION("""COMPUTED_VALUE"""),"170 DÍAS CALENDARIO")</f>
        <v>170 DÍAS CALENDARIO</v>
      </c>
      <c r="L1608" s="213" t="str">
        <f>IFERROR(__xludf.DUMMYFUNCTION("""COMPUTED_VALUE"""),"")</f>
        <v/>
      </c>
      <c r="M1608" s="213">
        <f>IFERROR(__xludf.DUMMYFUNCTION("""COMPUTED_VALUE"""),1.0)</f>
        <v>1</v>
      </c>
      <c r="N1608" s="213">
        <f>IFERROR(__xludf.DUMMYFUNCTION("""COMPUTED_VALUE"""),2.0)</f>
        <v>2</v>
      </c>
      <c r="O1608" s="213">
        <f>IFERROR(__xludf.DUMMYFUNCTION("""COMPUTED_VALUE"""),2.0)</f>
        <v>2</v>
      </c>
      <c r="P1608" s="213"/>
      <c r="Q1608" s="213"/>
      <c r="R1608" s="213"/>
      <c r="S1608" s="213" t="str">
        <f>IFERROR(__xludf.DUMMYFUNCTION("""COMPUTED_VALUE"""),"SI")</f>
        <v>SI</v>
      </c>
      <c r="T1608" s="213" t="str">
        <f>IFERROR(__xludf.DUMMYFUNCTION("""COMPUTED_VALUE"""),"SI")</f>
        <v>SI</v>
      </c>
      <c r="U1608" s="213" t="str">
        <f>IFERROR(__xludf.DUMMYFUNCTION("""COMPUTED_VALUE"""),"SI")</f>
        <v>SI</v>
      </c>
      <c r="V1608" s="213" t="str">
        <f>IFERROR(__xludf.DUMMYFUNCTION("""COMPUTED_VALUE"""),"-")</f>
        <v>-</v>
      </c>
      <c r="W1608" s="213" t="str">
        <f>IFERROR(__xludf.DUMMYFUNCTION("""COMPUTED_VALUE"""),"-")</f>
        <v>-</v>
      </c>
      <c r="X1608" s="213" t="str">
        <f>IFERROR(__xludf.DUMMYFUNCTION("""COMPUTED_VALUE"""),"BROTHER")</f>
        <v>BROTHER</v>
      </c>
      <c r="Y1608" s="213" t="str">
        <f>IFERROR(__xludf.DUMMYFUNCTION("""COMPUTED_VALUE"""),"CV3550")</f>
        <v>CV3550</v>
      </c>
      <c r="Z1608" s="215" t="str">
        <f>IFERROR(__xludf.DUMMYFUNCTION("""COMPUTED_VALUE"""),"https://drive.google.com/file/d/1O0MdC-jJ5YaA-92iz1RDQ8JYDmr8oXzl/view")</f>
        <v>https://drive.google.com/file/d/1O0MdC-jJ5YaA-92iz1RDQ8JYDmr8oXzl/view</v>
      </c>
      <c r="AA1608" s="213" t="str">
        <f>IFERROR(__xludf.DUMMYFUNCTION("""COMPUTED_VALUE"""),"ESP-237 MÁQUINA DOMÉSTICA RECUBRIDORA (COLLARETERA) - CET")</f>
        <v>ESP-237 MÁQUINA DOMÉSTICA RECUBRIDORA (COLLARETERA) - CET</v>
      </c>
      <c r="AB1608" s="215" t="str">
        <f>IFERROR(__xludf.DUMMYFUNCTION("""COMPUTED_VALUE"""),"https://drive.google.com/file/d/1O0MdC-jJ5YaA-92iz1RDQ8JYDmr8oXzl/view")</f>
        <v>https://drive.google.com/file/d/1O0MdC-jJ5YaA-92iz1RDQ8JYDmr8oXzl/view</v>
      </c>
      <c r="AC1608" s="213"/>
      <c r="AD1608" s="213"/>
      <c r="AE1608" s="213"/>
      <c r="AF1608" s="213"/>
      <c r="AG1608" s="213"/>
      <c r="AH1608" s="213"/>
      <c r="AI1608" s="213"/>
      <c r="AJ1608" s="213"/>
      <c r="AK1608" s="213"/>
      <c r="AL1608" s="213"/>
      <c r="AM1608" s="213"/>
      <c r="AN1608" s="213"/>
      <c r="AO1608" s="213"/>
      <c r="AP1608" s="213" t="str">
        <f>IFERROR(__xludf.DUMMYFUNCTION("""COMPUTED_VALUE"""),"ANTONELLA")</f>
        <v>ANTONELLA</v>
      </c>
      <c r="AQ1608" s="213" t="str">
        <f>IFERROR(__xludf.DUMMYFUNCTION("""COMPUTED_VALUE"""),"La máquina cumpla completamente, solo hay una especificación que fue copiada de una página que podría interpretarse como que no cumple, pero es 100% la máquina solicitada.")</f>
        <v>La máquina cumpla completamente, solo hay una especificación que fue copiada de una página que podría interpretarse como que no cumple, pero es 100% la máquina solicitada.</v>
      </c>
      <c r="AR1608" s="213"/>
      <c r="AS1608" s="213" t="str">
        <f>IFERROR(__xludf.DUMMYFUNCTION("""COMPUTED_VALUE"""),"-")</f>
        <v>-</v>
      </c>
      <c r="AT1608" s="213"/>
      <c r="AU1608" s="213"/>
      <c r="AV1608" s="213"/>
      <c r="AW1608" s="213"/>
      <c r="AX1608" s="213"/>
      <c r="AY1608" s="213"/>
      <c r="AZ1608" s="213"/>
      <c r="BA1608" s="213"/>
      <c r="BB1608" s="213"/>
      <c r="BC1608" s="213"/>
      <c r="BD1608" s="213"/>
    </row>
    <row r="1609">
      <c r="A1609" s="213">
        <f>IFERROR(__xludf.DUMMYFUNCTION("""COMPUTED_VALUE"""),2416.0)</f>
        <v>2416</v>
      </c>
      <c r="B1609" s="213" t="str">
        <f>IFERROR(__xludf.DUMMYFUNCTION("""COMPUTED_VALUE"""),"MANUEL ANTONIO MESONES MURO")</f>
        <v>MANUEL ANTONIO MESONES MURO</v>
      </c>
      <c r="C1609" s="213" t="str">
        <f>IFERROR(__xludf.DUMMYFUNCTION("""COMPUTED_VALUE"""),"TALLER SFT DE INDUSTRIA DEL VESTIDO")</f>
        <v>TALLER SFT DE INDUSTRIA DEL VESTIDO</v>
      </c>
      <c r="D1609" s="213" t="str">
        <f>IFERROR(__xludf.DUMMYFUNCTION("""COMPUTED_VALUE"""),"EQUIPOS")</f>
        <v>EQUIPOS</v>
      </c>
      <c r="E1609" s="213" t="str">
        <f>IFERROR(__xludf.DUMMYFUNCTION("""COMPUTED_VALUE"""),"ESP-237")</f>
        <v>ESP-237</v>
      </c>
      <c r="F1609" s="213" t="str">
        <f>IFERROR(__xludf.DUMMYFUNCTION("""COMPUTED_VALUE"""),"ESP-237")</f>
        <v>ESP-237</v>
      </c>
      <c r="G1609" s="213"/>
      <c r="H1609" s="213" t="str">
        <f>IFERROR(__xludf.DUMMYFUNCTION("""COMPUTED_VALUE"""),"MÁQUINA DOMÉSTICA RECUBRIDORA (COLLARETERA)")</f>
        <v>MÁQUINA DOMÉSTICA RECUBRIDORA (COLLARETERA)</v>
      </c>
      <c r="I1609" s="213" t="str">
        <f>IFERROR(__xludf.DUMMYFUNCTION("""COMPUTED_VALUE"""),"·       Máquina recubridora de 3 agujas y 5 hilos
·       Área de trabajo 155   x 100 mm aproximadamente
·       Liberación automática de la tensión del hilo
·       Cortador de hilo
·       Enhebrado con indicación a color
·        Presión ajustable del "&amp;"prensatelas
·       Función de brazo libre  para recubrimiento y cosido de prendas tubulares
·       Área de trabajo iluminada con LED
·       Ajuste de alimentación  del diferencial
·       Ajuste de longitud de puntada
·       .Regula el ancho de la pun"&amp;"tada      de  3  - 6  mm
·       Regula el largo de la puntada   de     3  - 4 mm
·       Velocidad: 1000 ppm aproximadamente.
·       Tamaño aproximado: 38.2 x 32.2 x 32.3 cms
·       Peso: 7.7 kg.
·       220 V. /  60 Hz")</f>
        <v>·       Máquina recubridora de 3 agujas y 5 hilos
·       Área de trabajo 155   x 100 mm aproximadamente
·       Liberación automática de la tensión del hilo
·       Cortador de hilo
·       Enhebrado con indicación a color
·        Presión ajustable del prensatelas
·       Función de brazo libre  para recubrimiento y cosido de prendas tubulares
·       Área de trabajo iluminada con LED
·       Ajuste de alimentación  del diferencial
·       Ajuste de longitud de puntada
·       .Regula el ancho de la puntada      de  3  - 6  mm
·       Regula el largo de la puntada   de     3  - 4 mm
·       Velocidad: 1000 ppm aproximadamente.
·       Tamaño aproximado: 38.2 x 32.2 x 32.3 cms
·       Peso: 7.7 kg.
·       220 V. /  60 Hz</v>
      </c>
      <c r="J1609" s="213">
        <f>IFERROR(__xludf.DUMMYFUNCTION("""COMPUTED_VALUE"""),3.0)</f>
        <v>3</v>
      </c>
      <c r="K1609" s="213" t="str">
        <f>IFERROR(__xludf.DUMMYFUNCTION("""COMPUTED_VALUE"""),"170 DÍAS CALENDARIO")</f>
        <v>170 DÍAS CALENDARIO</v>
      </c>
      <c r="L1609" s="213" t="str">
        <f>IFERROR(__xludf.DUMMYFUNCTION("""COMPUTED_VALUE"""),"")</f>
        <v/>
      </c>
      <c r="M1609" s="213">
        <f>IFERROR(__xludf.DUMMYFUNCTION("""COMPUTED_VALUE"""),1.0)</f>
        <v>1</v>
      </c>
      <c r="N1609" s="213">
        <f>IFERROR(__xludf.DUMMYFUNCTION("""COMPUTED_VALUE"""),2.0)</f>
        <v>2</v>
      </c>
      <c r="O1609" s="213">
        <f>IFERROR(__xludf.DUMMYFUNCTION("""COMPUTED_VALUE"""),2.0)</f>
        <v>2</v>
      </c>
      <c r="P1609" s="213"/>
      <c r="Q1609" s="213"/>
      <c r="R1609" s="213"/>
      <c r="S1609" s="213" t="str">
        <f>IFERROR(__xludf.DUMMYFUNCTION("""COMPUTED_VALUE"""),"SI")</f>
        <v>SI</v>
      </c>
      <c r="T1609" s="213" t="str">
        <f>IFERROR(__xludf.DUMMYFUNCTION("""COMPUTED_VALUE"""),"SI")</f>
        <v>SI</v>
      </c>
      <c r="U1609" s="213" t="str">
        <f>IFERROR(__xludf.DUMMYFUNCTION("""COMPUTED_VALUE"""),"SI")</f>
        <v>SI</v>
      </c>
      <c r="V1609" s="213" t="str">
        <f>IFERROR(__xludf.DUMMYFUNCTION("""COMPUTED_VALUE"""),"-")</f>
        <v>-</v>
      </c>
      <c r="W1609" s="213" t="str">
        <f>IFERROR(__xludf.DUMMYFUNCTION("""COMPUTED_VALUE"""),"-")</f>
        <v>-</v>
      </c>
      <c r="X1609" s="213" t="str">
        <f>IFERROR(__xludf.DUMMYFUNCTION("""COMPUTED_VALUE"""),"BROTHER")</f>
        <v>BROTHER</v>
      </c>
      <c r="Y1609" s="213" t="str">
        <f>IFERROR(__xludf.DUMMYFUNCTION("""COMPUTED_VALUE"""),"CV3550")</f>
        <v>CV3550</v>
      </c>
      <c r="Z1609" s="215" t="str">
        <f>IFERROR(__xludf.DUMMYFUNCTION("""COMPUTED_VALUE"""),"https://drive.google.com/file/d/1O0MdC-jJ5YaA-92iz1RDQ8JYDmr8oXzl/view")</f>
        <v>https://drive.google.com/file/d/1O0MdC-jJ5YaA-92iz1RDQ8JYDmr8oXzl/view</v>
      </c>
      <c r="AA1609" s="213" t="str">
        <f>IFERROR(__xludf.DUMMYFUNCTION("""COMPUTED_VALUE"""),"ESP-237 MÁQUINA DOMÉSTICA RECUBRIDORA (COLLARETERA) - CET")</f>
        <v>ESP-237 MÁQUINA DOMÉSTICA RECUBRIDORA (COLLARETERA) - CET</v>
      </c>
      <c r="AB1609" s="215" t="str">
        <f>IFERROR(__xludf.DUMMYFUNCTION("""COMPUTED_VALUE"""),"https://drive.google.com/file/d/1O0MdC-jJ5YaA-92iz1RDQ8JYDmr8oXzl/view")</f>
        <v>https://drive.google.com/file/d/1O0MdC-jJ5YaA-92iz1RDQ8JYDmr8oXzl/view</v>
      </c>
      <c r="AC1609" s="213"/>
      <c r="AD1609" s="213"/>
      <c r="AE1609" s="213"/>
      <c r="AF1609" s="213"/>
      <c r="AG1609" s="213"/>
      <c r="AH1609" s="213"/>
      <c r="AI1609" s="213"/>
      <c r="AJ1609" s="213"/>
      <c r="AK1609" s="213"/>
      <c r="AL1609" s="213"/>
      <c r="AM1609" s="213"/>
      <c r="AN1609" s="213"/>
      <c r="AO1609" s="213"/>
      <c r="AP1609" s="213" t="str">
        <f>IFERROR(__xludf.DUMMYFUNCTION("""COMPUTED_VALUE"""),"ANTONELLA")</f>
        <v>ANTONELLA</v>
      </c>
      <c r="AQ1609" s="213" t="str">
        <f>IFERROR(__xludf.DUMMYFUNCTION("""COMPUTED_VALUE"""),"La máquina cumpla completamente, solo hay una especificación que fue copiada de una página que podría interpretarse como que no cumple, pero es 100% la máquina solicitada.")</f>
        <v>La máquina cumpla completamente, solo hay una especificación que fue copiada de una página que podría interpretarse como que no cumple, pero es 100% la máquina solicitada.</v>
      </c>
      <c r="AR1609" s="213"/>
      <c r="AS1609" s="213" t="str">
        <f>IFERROR(__xludf.DUMMYFUNCTION("""COMPUTED_VALUE"""),"-")</f>
        <v>-</v>
      </c>
      <c r="AT1609" s="213"/>
      <c r="AU1609" s="213"/>
      <c r="AV1609" s="213"/>
      <c r="AW1609" s="213"/>
      <c r="AX1609" s="213"/>
      <c r="AY1609" s="213"/>
      <c r="AZ1609" s="213"/>
      <c r="BA1609" s="213"/>
      <c r="BB1609" s="213"/>
      <c r="BC1609" s="213"/>
      <c r="BD1609" s="213"/>
    </row>
    <row r="1610">
      <c r="A1610" s="213">
        <f>IFERROR(__xludf.DUMMYFUNCTION("""COMPUTED_VALUE"""),200.0)</f>
        <v>200</v>
      </c>
      <c r="B1610" s="213" t="str">
        <f>IFERROR(__xludf.DUMMYFUNCTION("""COMPUTED_VALUE"""),"2026 SIMON BOLIVAR")</f>
        <v>2026 SIMON BOLIVAR</v>
      </c>
      <c r="C1610" s="213" t="str">
        <f>IFERROR(__xludf.DUMMYFUNCTION("""COMPUTED_VALUE"""),"TALLER SFT DE INDUSTRIA DEL VESTIDO")</f>
        <v>TALLER SFT DE INDUSTRIA DEL VESTIDO</v>
      </c>
      <c r="D1610" s="213" t="str">
        <f>IFERROR(__xludf.DUMMYFUNCTION("""COMPUTED_VALUE"""),"EQUIPOS")</f>
        <v>EQUIPOS</v>
      </c>
      <c r="E1610" s="213" t="str">
        <f>IFERROR(__xludf.DUMMYFUNCTION("""COMPUTED_VALUE"""),"ESP-238")</f>
        <v>ESP-238</v>
      </c>
      <c r="F1610" s="213" t="str">
        <f>IFERROR(__xludf.DUMMYFUNCTION("""COMPUTED_VALUE"""),"ESP-238")</f>
        <v>ESP-238</v>
      </c>
      <c r="G1610" s="213"/>
      <c r="H1610" s="213" t="str">
        <f>IFERROR(__xludf.DUMMYFUNCTION("""COMPUTED_VALUE"""),"MÁQUINA DOMÉSTICA REMALLADORA (FILETEADORA)")</f>
        <v>MÁQUINA DOMÉSTICA REMALLADORA (FILETEADORA)</v>
      </c>
      <c r="I1610" s="213" t="str">
        <f>IFERROR(__xludf.DUMMYFUNCTION("""COMPUTED_VALUE"""),"·      Máquina de sobre mesa con motor incorporado
·      De 2 a 4 hilos, corta y cose puntadas de sobrehilados
·      De 1 a 2 agujas
·      Puntada de remalle con 4 y 3 hilos
·      Puntada de remalle plana de 2 hilos
·      Pedal automático para regula"&amp;"r velocidad
·      Guías hilos con código de color para el enhebrado
·      Base convertible libre o plana  para trabajos abiertos y tubulares
·      Luz LED  incorporada
·      Ajuste de ancho y largo de puntada de remallado
·      Aguja estándar.
·     "&amp;" Largo de puntada de 5 – 7 mm
·      Ajuste de diferencial para compensar tejidos
·      Medidas aproximadas 30 x 30 x 28 cms,
·      Peso aproximado 8 kg,
·    Voltaje 220V  / 60 Hz")</f>
        <v>·      Máquina de sobre mesa con motor incorporado
·      De 2 a 4 hilos, corta y cose puntadas de sobrehilados
·      De 1 a 2 agujas
·      Puntada de remalle con 4 y 3 hilos
·      Puntada de remalle plana de 2 hilos
·      Pedal automático para regular velocidad
·      Guías hilos con código de color para el enhebrado
·      Base convertible libre o plana  para trabajos abiertos y tubulares
·      Luz LED  incorporada
·      Ajuste de ancho y largo de puntada de remallado
·      Aguja estándar.
·      Largo de puntada de 5 – 7 mm
·      Ajuste de diferencial para compensar tejidos
·      Medidas aproximadas 30 x 30 x 28 cms,
·      Peso aproximado 8 kg,
·    Voltaje 220V  / 60 Hz</v>
      </c>
      <c r="J1610" s="213">
        <f>IFERROR(__xludf.DUMMYFUNCTION("""COMPUTED_VALUE"""),3.0)</f>
        <v>3</v>
      </c>
      <c r="K1610" s="213" t="str">
        <f>IFERROR(__xludf.DUMMYFUNCTION("""COMPUTED_VALUE"""),"170 DÍAS CALENDARIO")</f>
        <v>170 DÍAS CALENDARIO</v>
      </c>
      <c r="L1610" s="213" t="str">
        <f>IFERROR(__xludf.DUMMYFUNCTION("""COMPUTED_VALUE"""),"")</f>
        <v/>
      </c>
      <c r="M1610" s="213">
        <f>IFERROR(__xludf.DUMMYFUNCTION("""COMPUTED_VALUE"""),1.0)</f>
        <v>1</v>
      </c>
      <c r="N1610" s="213">
        <f>IFERROR(__xludf.DUMMYFUNCTION("""COMPUTED_VALUE"""),7.0)</f>
        <v>7</v>
      </c>
      <c r="O1610" s="213">
        <f>IFERROR(__xludf.DUMMYFUNCTION("""COMPUTED_VALUE"""),7.0)</f>
        <v>7</v>
      </c>
      <c r="P1610" s="213"/>
      <c r="Q1610" s="213"/>
      <c r="R1610" s="213"/>
      <c r="S1610" s="213" t="str">
        <f>IFERROR(__xludf.DUMMYFUNCTION("""COMPUTED_VALUE"""),"SI")</f>
        <v>SI</v>
      </c>
      <c r="T1610" s="213" t="str">
        <f>IFERROR(__xludf.DUMMYFUNCTION("""COMPUTED_VALUE"""),"CONSULTA FINAL")</f>
        <v>CONSULTA FINAL</v>
      </c>
      <c r="U1610" s="213" t="str">
        <f>IFERROR(__xludf.DUMMYFUNCTION("""COMPUTED_VALUE"""),"NO")</f>
        <v>NO</v>
      </c>
      <c r="V1610" s="213" t="str">
        <f>IFERROR(__xludf.DUMMYFUNCTION("""COMPUTED_VALUE"""),"SUSTENTO")</f>
        <v>SUSTENTO</v>
      </c>
      <c r="W1610" s="213"/>
      <c r="X1610" s="213" t="str">
        <f>IFERROR(__xludf.DUMMYFUNCTION("""COMPUTED_VALUE"""),"JUKI")</f>
        <v>JUKI</v>
      </c>
      <c r="Y1610" s="213" t="str">
        <f>IFERROR(__xludf.DUMMYFUNCTION("""COMPUTED_VALUE"""),"MO-80CB")</f>
        <v>MO-80CB</v>
      </c>
      <c r="Z1610" s="215" t="str">
        <f>IFERROR(__xludf.DUMMYFUNCTION("""COMPUTED_VALUE"""),"https://www.juki.co.jp/household_en/serger/pdf/MO-80CB_instruction.pdf")</f>
        <v>https://www.juki.co.jp/household_en/serger/pdf/MO-80CB_instruction.pdf</v>
      </c>
      <c r="AA1610" s="213" t="str">
        <f>IFERROR(__xludf.DUMMYFUNCTION("""COMPUTED_VALUE"""),"ESP-238 MÁQUINA DOMÉSTICA REMALLADORA (FILETEADORA) - CET")</f>
        <v>ESP-238 MÁQUINA DOMÉSTICA REMALLADORA (FILETEADORA) - CET</v>
      </c>
      <c r="AB1610" s="213"/>
      <c r="AC1610" s="213"/>
      <c r="AD1610" s="213"/>
      <c r="AE1610" s="213"/>
      <c r="AF1610" s="213"/>
      <c r="AG1610" s="213"/>
      <c r="AH1610" s="213"/>
      <c r="AI1610" s="213"/>
      <c r="AJ1610" s="213"/>
      <c r="AK1610" s="213"/>
      <c r="AL1610" s="213"/>
      <c r="AM1610" s="213"/>
      <c r="AN1610" s="213"/>
      <c r="AO1610" s="213"/>
      <c r="AP1610" s="213" t="str">
        <f>IFERROR(__xludf.DUMMYFUNCTION("""COMPUTED_VALUE"""),"ANTONELLA")</f>
        <v>ANTONELLA</v>
      </c>
      <c r="AQ1610" s="213" t="str">
        <f>IFERROR(__xludf.DUMMYFUNCTION("""COMPUTED_VALUE"""),"Las especificaciones provienen de una página que se refiere al modelo 3534DT, pero no necesariamente el equipo real cumple con todo eso. No se ha encontrado remalladora que cumpla con pedal automático.")</f>
        <v>Las especificaciones provienen de una página que se refiere al modelo 3534DT, pero no necesariamente el equipo real cumple con todo eso. No se ha encontrado remalladora que cumpla con pedal automático.</v>
      </c>
      <c r="AR1610" s="213"/>
      <c r="AS1610" s="213"/>
      <c r="AT1610" s="213"/>
      <c r="AU1610" s="213"/>
      <c r="AV1610" s="213"/>
      <c r="AW1610" s="213"/>
      <c r="AX1610" s="213"/>
      <c r="AY1610" s="213"/>
      <c r="AZ1610" s="213"/>
      <c r="BA1610" s="213"/>
      <c r="BB1610" s="213"/>
      <c r="BC1610" s="213"/>
      <c r="BD1610" s="213"/>
    </row>
    <row r="1611">
      <c r="A1611" s="213">
        <f>IFERROR(__xludf.DUMMYFUNCTION("""COMPUTED_VALUE"""),2422.0)</f>
        <v>2422</v>
      </c>
      <c r="B1611" s="213" t="str">
        <f>IFERROR(__xludf.DUMMYFUNCTION("""COMPUTED_VALUE"""),"MANUEL ANTONIO MESONES MURO")</f>
        <v>MANUEL ANTONIO MESONES MURO</v>
      </c>
      <c r="C1611" s="213" t="str">
        <f>IFERROR(__xludf.DUMMYFUNCTION("""COMPUTED_VALUE"""),"TALLER SFT DE INDUSTRIA DEL VESTIDO")</f>
        <v>TALLER SFT DE INDUSTRIA DEL VESTIDO</v>
      </c>
      <c r="D1611" s="213" t="str">
        <f>IFERROR(__xludf.DUMMYFUNCTION("""COMPUTED_VALUE"""),"EQUIPOS")</f>
        <v>EQUIPOS</v>
      </c>
      <c r="E1611" s="213" t="str">
        <f>IFERROR(__xludf.DUMMYFUNCTION("""COMPUTED_VALUE"""),"ESP-238")</f>
        <v>ESP-238</v>
      </c>
      <c r="F1611" s="213" t="str">
        <f>IFERROR(__xludf.DUMMYFUNCTION("""COMPUTED_VALUE"""),"ESP-238")</f>
        <v>ESP-238</v>
      </c>
      <c r="G1611" s="213"/>
      <c r="H1611" s="213" t="str">
        <f>IFERROR(__xludf.DUMMYFUNCTION("""COMPUTED_VALUE"""),"MÁQUINA DOMÉSTICA REMALLADORA (FILETEADORA)")</f>
        <v>MÁQUINA DOMÉSTICA REMALLADORA (FILETEADORA)</v>
      </c>
      <c r="I1611" s="213" t="str">
        <f>IFERROR(__xludf.DUMMYFUNCTION("""COMPUTED_VALUE"""),"·      Máquina de sobre mesa con motor incorporado
·      De 2 a 4 hilos, corta y cose puntadas de sobrehilados
·      De 1 a 2 agujas
·      Puntada de remalle con 4 y 3 hilos
·      Puntada de remalle plana de 2 hilos
·      Pedal automático para regula"&amp;"r velocidad
·      Guías hilos con código de color para el enhebrado
·      Base convertible libre o plana  para trabajos abiertos y tubulares
·      Luz LED  incorporada
·      Ajuste de ancho y largo de puntada de remallado
·      Aguja estándar.
·     "&amp;" Largo de puntada de 5 – 7 mm
·      Ajuste de diferencial para compensar tejidos
·      Medidas aproximadas 30 x 30 x 28 cms,
·      Peso aproximado 8 kg,
·    Voltaje 220V  / 60 Hz")</f>
        <v>·      Máquina de sobre mesa con motor incorporado
·      De 2 a 4 hilos, corta y cose puntadas de sobrehilados
·      De 1 a 2 agujas
·      Puntada de remalle con 4 y 3 hilos
·      Puntada de remalle plana de 2 hilos
·      Pedal automático para regular velocidad
·      Guías hilos con código de color para el enhebrado
·      Base convertible libre o plana  para trabajos abiertos y tubulares
·      Luz LED  incorporada
·      Ajuste de ancho y largo de puntada de remallado
·      Aguja estándar.
·      Largo de puntada de 5 – 7 mm
·      Ajuste de diferencial para compensar tejidos
·      Medidas aproximadas 30 x 30 x 28 cms,
·      Peso aproximado 8 kg,
·    Voltaje 220V  / 60 Hz</v>
      </c>
      <c r="J1611" s="213">
        <f>IFERROR(__xludf.DUMMYFUNCTION("""COMPUTED_VALUE"""),3.0)</f>
        <v>3</v>
      </c>
      <c r="K1611" s="213" t="str">
        <f>IFERROR(__xludf.DUMMYFUNCTION("""COMPUTED_VALUE"""),"170 DÍAS CALENDARIO")</f>
        <v>170 DÍAS CALENDARIO</v>
      </c>
      <c r="L1611" s="213" t="str">
        <f>IFERROR(__xludf.DUMMYFUNCTION("""COMPUTED_VALUE"""),"")</f>
        <v/>
      </c>
      <c r="M1611" s="213">
        <f>IFERROR(__xludf.DUMMYFUNCTION("""COMPUTED_VALUE"""),1.0)</f>
        <v>1</v>
      </c>
      <c r="N1611" s="213">
        <f>IFERROR(__xludf.DUMMYFUNCTION("""COMPUTED_VALUE"""),6.0)</f>
        <v>6</v>
      </c>
      <c r="O1611" s="213">
        <f>IFERROR(__xludf.DUMMYFUNCTION("""COMPUTED_VALUE"""),6.0)</f>
        <v>6</v>
      </c>
      <c r="P1611" s="213"/>
      <c r="Q1611" s="213"/>
      <c r="R1611" s="213"/>
      <c r="S1611" s="213" t="str">
        <f>IFERROR(__xludf.DUMMYFUNCTION("""COMPUTED_VALUE"""),"SI")</f>
        <v>SI</v>
      </c>
      <c r="T1611" s="213" t="str">
        <f>IFERROR(__xludf.DUMMYFUNCTION("""COMPUTED_VALUE"""),"CONSULTA FINAL")</f>
        <v>CONSULTA FINAL</v>
      </c>
      <c r="U1611" s="213" t="str">
        <f>IFERROR(__xludf.DUMMYFUNCTION("""COMPUTED_VALUE"""),"NO")</f>
        <v>NO</v>
      </c>
      <c r="V1611" s="213" t="str">
        <f>IFERROR(__xludf.DUMMYFUNCTION("""COMPUTED_VALUE"""),"SUSTENTO")</f>
        <v>SUSTENTO</v>
      </c>
      <c r="W1611" s="213"/>
      <c r="X1611" s="213" t="str">
        <f>IFERROR(__xludf.DUMMYFUNCTION("""COMPUTED_VALUE"""),"JUKI")</f>
        <v>JUKI</v>
      </c>
      <c r="Y1611" s="213" t="str">
        <f>IFERROR(__xludf.DUMMYFUNCTION("""COMPUTED_VALUE"""),"MO-80CB")</f>
        <v>MO-80CB</v>
      </c>
      <c r="Z1611" s="215" t="str">
        <f>IFERROR(__xludf.DUMMYFUNCTION("""COMPUTED_VALUE"""),"https://www.juki.co.jp/household_en/serger/pdf/MO-80CB_instruction.pdf")</f>
        <v>https://www.juki.co.jp/household_en/serger/pdf/MO-80CB_instruction.pdf</v>
      </c>
      <c r="AA1611" s="213" t="str">
        <f>IFERROR(__xludf.DUMMYFUNCTION("""COMPUTED_VALUE"""),"ESP-238 MÁQUINA DOMÉSTICA REMALLADORA (FILETEADORA) - CET")</f>
        <v>ESP-238 MÁQUINA DOMÉSTICA REMALLADORA (FILETEADORA) - CET</v>
      </c>
      <c r="AB1611" s="213"/>
      <c r="AC1611" s="213"/>
      <c r="AD1611" s="213"/>
      <c r="AE1611" s="213"/>
      <c r="AF1611" s="213"/>
      <c r="AG1611" s="213"/>
      <c r="AH1611" s="213"/>
      <c r="AI1611" s="213"/>
      <c r="AJ1611" s="213"/>
      <c r="AK1611" s="213"/>
      <c r="AL1611" s="213"/>
      <c r="AM1611" s="213"/>
      <c r="AN1611" s="213"/>
      <c r="AO1611" s="213"/>
      <c r="AP1611" s="213" t="str">
        <f>IFERROR(__xludf.DUMMYFUNCTION("""COMPUTED_VALUE"""),"ANTONELLA")</f>
        <v>ANTONELLA</v>
      </c>
      <c r="AQ1611" s="213" t="str">
        <f>IFERROR(__xludf.DUMMYFUNCTION("""COMPUTED_VALUE"""),"Las especificaciones provienen de una página que se refiere al modelo 3534DT, pero no necesariamente el equipo real cumple con todo eso. No se ha encontrado remalladora que cumpla con pedal automático.")</f>
        <v>Las especificaciones provienen de una página que se refiere al modelo 3534DT, pero no necesariamente el equipo real cumple con todo eso. No se ha encontrado remalladora que cumpla con pedal automático.</v>
      </c>
      <c r="AR1611" s="213"/>
      <c r="AS1611" s="213"/>
      <c r="AT1611" s="213"/>
      <c r="AU1611" s="213"/>
      <c r="AV1611" s="213"/>
      <c r="AW1611" s="213"/>
      <c r="AX1611" s="213"/>
      <c r="AY1611" s="213"/>
      <c r="AZ1611" s="213"/>
      <c r="BA1611" s="213"/>
      <c r="BB1611" s="213"/>
      <c r="BC1611" s="213"/>
      <c r="BD1611" s="213"/>
    </row>
    <row r="1612">
      <c r="A1612" s="213">
        <f>IFERROR(__xludf.DUMMYFUNCTION("""COMPUTED_VALUE"""),1907.0)</f>
        <v>1907</v>
      </c>
      <c r="B1612" s="213" t="str">
        <f>IFERROR(__xludf.DUMMYFUNCTION("""COMPUTED_VALUE"""),"GUILLERMO E. BILLINGHURST ")</f>
        <v>GUILLERMO E. BILLINGHURST </v>
      </c>
      <c r="C1612" s="213" t="str">
        <f>IFERROR(__xludf.DUMMYFUNCTION("""COMPUTED_VALUE"""),"TALLER SFT DE EBANISTERÍA")</f>
        <v>TALLER SFT DE EBANISTERÍA</v>
      </c>
      <c r="D1612" s="213" t="str">
        <f>IFERROR(__xludf.DUMMYFUNCTION("""COMPUTED_VALUE"""),"EQUIPOS")</f>
        <v>EQUIPOS</v>
      </c>
      <c r="E1612" s="213" t="str">
        <f>IFERROR(__xludf.DUMMYFUNCTION("""COMPUTED_VALUE"""),"ESP-239")</f>
        <v>ESP-239</v>
      </c>
      <c r="F1612" s="213" t="str">
        <f>IFERROR(__xludf.DUMMYFUNCTION("""COMPUTED_VALUE"""),"ESP-239")</f>
        <v>ESP-239</v>
      </c>
      <c r="G1612" s="213"/>
      <c r="H1612" s="213" t="str">
        <f>IFERROR(__xludf.DUMMYFUNCTION("""COMPUTED_VALUE"""),"MÁQUINA ENGALLETADORA")</f>
        <v>MÁQUINA ENGALLETADORA</v>
      </c>
      <c r="I1612" s="213" t="str">
        <f>IFERROR(__xludf.DUMMYFUNCTION("""COMPUTED_VALUE"""),"Máquina ensambladora diseñada para realizar el ranurado en paneles de forma cómoda. Guia frontal regulable entre 0° - 90°.
Posibilidad de ranurar en varias posiciones. Velocidad de giro: mínimo 10 000 rpm.
Potencia: mínima 600 W.
Profundidad de fresado: m"&amp;"ínimo 20 mm. Voltaje, frecuencia: 220 V, 60 Hz.")</f>
        <v>Máquina ensambladora diseñada para realizar el ranurado en paneles de forma cómoda. Guia frontal regulable entre 0° - 90°.
Posibilidad de ranurar en varias posiciones. Velocidad de giro: mínimo 10 000 rpm.
Potencia: mínima 600 W.
Profundidad de fresado: mínimo 20 mm. Voltaje, frecuencia: 220 V, 60 Hz.</v>
      </c>
      <c r="J1612" s="213">
        <f>IFERROR(__xludf.DUMMYFUNCTION("""COMPUTED_VALUE"""),3.0)</f>
        <v>3</v>
      </c>
      <c r="K1612" s="213" t="str">
        <f>IFERROR(__xludf.DUMMYFUNCTION("""COMPUTED_VALUE"""),"170 DÍAS CALENDARIO")</f>
        <v>170 DÍAS CALENDARIO</v>
      </c>
      <c r="L1612" s="213" t="str">
        <f>IFERROR(__xludf.DUMMYFUNCTION("""COMPUTED_VALUE"""),"")</f>
        <v/>
      </c>
      <c r="M1612" s="213">
        <f>IFERROR(__xludf.DUMMYFUNCTION("""COMPUTED_VALUE"""),1.0)</f>
        <v>1</v>
      </c>
      <c r="N1612" s="213">
        <f>IFERROR(__xludf.DUMMYFUNCTION("""COMPUTED_VALUE"""),1.0)</f>
        <v>1</v>
      </c>
      <c r="O1612" s="213">
        <f>IFERROR(__xludf.DUMMYFUNCTION("""COMPUTED_VALUE"""),1.0)</f>
        <v>1</v>
      </c>
      <c r="P1612" s="213"/>
      <c r="Q1612" s="213"/>
      <c r="R1612" s="213"/>
      <c r="S1612" s="213" t="str">
        <f>IFERROR(__xludf.DUMMYFUNCTION("""COMPUTED_VALUE"""),"SI")</f>
        <v>SI</v>
      </c>
      <c r="T1612" s="213" t="str">
        <f>IFERROR(__xludf.DUMMYFUNCTION("""COMPUTED_VALUE"""),"SI")</f>
        <v>SI</v>
      </c>
      <c r="U1612" s="213" t="str">
        <f>IFERROR(__xludf.DUMMYFUNCTION("""COMPUTED_VALUE"""),"SI")</f>
        <v>SI</v>
      </c>
      <c r="V1612" s="213" t="str">
        <f>IFERROR(__xludf.DUMMYFUNCTION("""COMPUTED_VALUE"""),"-")</f>
        <v>-</v>
      </c>
      <c r="W1612" s="213" t="str">
        <f>IFERROR(__xludf.DUMMYFUNCTION("""COMPUTED_VALUE"""),"-")</f>
        <v>-</v>
      </c>
      <c r="X1612" s="213" t="str">
        <f>IFERROR(__xludf.DUMMYFUNCTION("""COMPUTED_VALUE"""),"MAKITA")</f>
        <v>MAKITA</v>
      </c>
      <c r="Y1612" s="213" t="str">
        <f>IFERROR(__xludf.DUMMYFUNCTION("""COMPUTED_VALUE"""),"PJ7000")</f>
        <v>PJ7000</v>
      </c>
      <c r="Z1612" s="215" t="str">
        <f>IFERROR(__xludf.DUMMYFUNCTION("""COMPUTED_VALUE"""),"https://www.makita.es/product/pj7000.html")</f>
        <v>https://www.makita.es/product/pj7000.html</v>
      </c>
      <c r="AA1612" s="213" t="str">
        <f>IFERROR(__xludf.DUMMYFUNCTION("""COMPUTED_VALUE"""),"ESP-239 MÁQUINA ENGALLETADORA - CET")</f>
        <v>ESP-239 MÁQUINA ENGALLETADORA - CET</v>
      </c>
      <c r="AB1612" s="215" t="str">
        <f>IFERROR(__xludf.DUMMYFUNCTION("""COMPUTED_VALUE"""),"https://drive.google.com/file/d/1BtToORnRgrOEnYTaHrlevlV6X2PPT1-g/view?usp=drive_link")</f>
        <v>https://drive.google.com/file/d/1BtToORnRgrOEnYTaHrlevlV6X2PPT1-g/view?usp=drive_link</v>
      </c>
      <c r="AC1612" s="213"/>
      <c r="AD1612" s="213"/>
      <c r="AE1612" s="213"/>
      <c r="AF1612" s="213"/>
      <c r="AG1612" s="213"/>
      <c r="AH1612" s="213"/>
      <c r="AI1612" s="213"/>
      <c r="AJ1612" s="213"/>
      <c r="AK1612" s="213"/>
      <c r="AL1612" s="213"/>
      <c r="AM1612" s="213"/>
      <c r="AN1612" s="213"/>
      <c r="AO1612" s="213"/>
      <c r="AP1612" s="213" t="str">
        <f>IFERROR(__xludf.DUMMYFUNCTION("""COMPUTED_VALUE"""),"MICHEL")</f>
        <v>MICHEL</v>
      </c>
      <c r="AQ1612" s="213" t="str">
        <f>IFERROR(__xludf.DUMMYFUNCTION("""COMPUTED_VALUE"""),"Verificar que los accesorios estén dentro del pedido / contenido o comprarlo de AMAZON.
https://www.makita.es/product/b-20644.html
https://www.makita.es/product/123150-5.html
https://www.makita.es/product/782401-1.html
https://www.makita.es/product/12314"&amp;"9-0.html
https://www.makita.es/product/415579-2.html
https://www.amazon.com/-/es/Makita-Bolsa-polvo-123150-5-Full/dp/B00C3INM9I
https://www.amazon.com/-/es/Makita-95118-carburo-pulgadas-carpintero/dp/B00C3JJ4UI
https://www.amazon.com/Makita-123148-2-Plat"&amp;"e-Joiner-Assembly/dp/B00K5V4K7I
https://www.amazon.es/Makita-415579-2-Placa-de-ajuste/dp/B00WSQPIGU")</f>
        <v>Verificar que los accesorios estén dentro del pedido / contenido o comprarlo de AMAZON.
https://www.makita.es/product/b-20644.html
https://www.makita.es/product/123150-5.html
https://www.makita.es/product/782401-1.html
https://www.makita.es/product/123149-0.html
https://www.makita.es/product/415579-2.html
https://www.amazon.com/-/es/Makita-Bolsa-polvo-123150-5-Full/dp/B00C3INM9I
https://www.amazon.com/-/es/Makita-95118-carburo-pulgadas-carpintero/dp/B00C3JJ4UI
https://www.amazon.com/Makita-123148-2-Plate-Joiner-Assembly/dp/B00K5V4K7I
https://www.amazon.es/Makita-415579-2-Placa-de-ajuste/dp/B00WSQPIGU</v>
      </c>
      <c r="AR1612" s="213"/>
      <c r="AS1612" s="213"/>
      <c r="AT1612" s="213"/>
      <c r="AU1612" s="213"/>
      <c r="AV1612" s="213"/>
      <c r="AW1612" s="213"/>
      <c r="AX1612" s="213"/>
      <c r="AY1612" s="213"/>
      <c r="AZ1612" s="213"/>
      <c r="BA1612" s="213"/>
      <c r="BB1612" s="213"/>
      <c r="BC1612" s="213"/>
      <c r="BD1612" s="213"/>
    </row>
    <row r="1613">
      <c r="A1613" s="213">
        <f>IFERROR(__xludf.DUMMYFUNCTION("""COMPUTED_VALUE"""),2688.0)</f>
        <v>2688</v>
      </c>
      <c r="B1613" s="213" t="str">
        <f>IFERROR(__xludf.DUMMYFUNCTION("""COMPUTED_VALUE"""),"MANUEL ANTONIO MESONES MURO")</f>
        <v>MANUEL ANTONIO MESONES MURO</v>
      </c>
      <c r="C1613" s="213" t="str">
        <f>IFERROR(__xludf.DUMMYFUNCTION("""COMPUTED_VALUE"""),"TALLER SFT DE EBANISTERÍA")</f>
        <v>TALLER SFT DE EBANISTERÍA</v>
      </c>
      <c r="D1613" s="213" t="str">
        <f>IFERROR(__xludf.DUMMYFUNCTION("""COMPUTED_VALUE"""),"EQUIPOS")</f>
        <v>EQUIPOS</v>
      </c>
      <c r="E1613" s="213" t="str">
        <f>IFERROR(__xludf.DUMMYFUNCTION("""COMPUTED_VALUE"""),"ESP-239")</f>
        <v>ESP-239</v>
      </c>
      <c r="F1613" s="213" t="str">
        <f>IFERROR(__xludf.DUMMYFUNCTION("""COMPUTED_VALUE"""),"ESP-239")</f>
        <v>ESP-239</v>
      </c>
      <c r="G1613" s="213"/>
      <c r="H1613" s="213" t="str">
        <f>IFERROR(__xludf.DUMMYFUNCTION("""COMPUTED_VALUE"""),"MÁQUINA ENGALLETADORA")</f>
        <v>MÁQUINA ENGALLETADORA</v>
      </c>
      <c r="I1613" s="213" t="str">
        <f>IFERROR(__xludf.DUMMYFUNCTION("""COMPUTED_VALUE"""),"Máquina ensambladora diseñada para realizar el ranurado en paneles de forma cómoda. Guia frontal regulable entre 0° - 90°.
Posibilidad de ranurar en varias posiciones. Velocidad de giro: mínimo 10 000 rpm.
Potencia: mínima 600 W.
Profundidad de fresado: m"&amp;"ínimo 20 mm. Voltaje, frecuencia: 220 V, 60 Hz.")</f>
        <v>Máquina ensambladora diseñada para realizar el ranurado en paneles de forma cómoda. Guia frontal regulable entre 0° - 90°.
Posibilidad de ranurar en varias posiciones. Velocidad de giro: mínimo 10 000 rpm.
Potencia: mínima 600 W.
Profundidad de fresado: mínimo 20 mm. Voltaje, frecuencia: 220 V, 60 Hz.</v>
      </c>
      <c r="J1613" s="213">
        <f>IFERROR(__xludf.DUMMYFUNCTION("""COMPUTED_VALUE"""),3.0)</f>
        <v>3</v>
      </c>
      <c r="K1613" s="213" t="str">
        <f>IFERROR(__xludf.DUMMYFUNCTION("""COMPUTED_VALUE"""),"170 DÍAS CALENDARIO")</f>
        <v>170 DÍAS CALENDARIO</v>
      </c>
      <c r="L1613" s="213" t="str">
        <f>IFERROR(__xludf.DUMMYFUNCTION("""COMPUTED_VALUE"""),"")</f>
        <v/>
      </c>
      <c r="M1613" s="213">
        <f>IFERROR(__xludf.DUMMYFUNCTION("""COMPUTED_VALUE"""),1.0)</f>
        <v>1</v>
      </c>
      <c r="N1613" s="213">
        <f>IFERROR(__xludf.DUMMYFUNCTION("""COMPUTED_VALUE"""),1.0)</f>
        <v>1</v>
      </c>
      <c r="O1613" s="213">
        <f>IFERROR(__xludf.DUMMYFUNCTION("""COMPUTED_VALUE"""),1.0)</f>
        <v>1</v>
      </c>
      <c r="P1613" s="213"/>
      <c r="Q1613" s="213"/>
      <c r="R1613" s="213"/>
      <c r="S1613" s="213" t="str">
        <f>IFERROR(__xludf.DUMMYFUNCTION("""COMPUTED_VALUE"""),"SI")</f>
        <v>SI</v>
      </c>
      <c r="T1613" s="213" t="str">
        <f>IFERROR(__xludf.DUMMYFUNCTION("""COMPUTED_VALUE"""),"SI")</f>
        <v>SI</v>
      </c>
      <c r="U1613" s="213" t="str">
        <f>IFERROR(__xludf.DUMMYFUNCTION("""COMPUTED_VALUE"""),"SI")</f>
        <v>SI</v>
      </c>
      <c r="V1613" s="213" t="str">
        <f>IFERROR(__xludf.DUMMYFUNCTION("""COMPUTED_VALUE"""),"-")</f>
        <v>-</v>
      </c>
      <c r="W1613" s="213" t="str">
        <f>IFERROR(__xludf.DUMMYFUNCTION("""COMPUTED_VALUE"""),"-")</f>
        <v>-</v>
      </c>
      <c r="X1613" s="213" t="str">
        <f>IFERROR(__xludf.DUMMYFUNCTION("""COMPUTED_VALUE"""),"MAKITA")</f>
        <v>MAKITA</v>
      </c>
      <c r="Y1613" s="213" t="str">
        <f>IFERROR(__xludf.DUMMYFUNCTION("""COMPUTED_VALUE"""),"PJ7000")</f>
        <v>PJ7000</v>
      </c>
      <c r="Z1613" s="215" t="str">
        <f>IFERROR(__xludf.DUMMYFUNCTION("""COMPUTED_VALUE"""),"https://www.makita.es/product/pj7000.html")</f>
        <v>https://www.makita.es/product/pj7000.html</v>
      </c>
      <c r="AA1613" s="213" t="str">
        <f>IFERROR(__xludf.DUMMYFUNCTION("""COMPUTED_VALUE"""),"ESP-239 MÁQUINA ENGALLETADORA - CET")</f>
        <v>ESP-239 MÁQUINA ENGALLETADORA - CET</v>
      </c>
      <c r="AB1613" s="215" t="str">
        <f>IFERROR(__xludf.DUMMYFUNCTION("""COMPUTED_VALUE"""),"https://drive.google.com/file/d/1BtToORnRgrOEnYTaHrlevlV6X2PPT1-g/view?usp=drive_link")</f>
        <v>https://drive.google.com/file/d/1BtToORnRgrOEnYTaHrlevlV6X2PPT1-g/view?usp=drive_link</v>
      </c>
      <c r="AC1613" s="213"/>
      <c r="AD1613" s="213"/>
      <c r="AE1613" s="213"/>
      <c r="AF1613" s="213"/>
      <c r="AG1613" s="213"/>
      <c r="AH1613" s="213"/>
      <c r="AI1613" s="213"/>
      <c r="AJ1613" s="213"/>
      <c r="AK1613" s="213"/>
      <c r="AL1613" s="213"/>
      <c r="AM1613" s="213"/>
      <c r="AN1613" s="213"/>
      <c r="AO1613" s="213"/>
      <c r="AP1613" s="213" t="str">
        <f>IFERROR(__xludf.DUMMYFUNCTION("""COMPUTED_VALUE"""),"MICHEL")</f>
        <v>MICHEL</v>
      </c>
      <c r="AQ1613" s="213" t="str">
        <f>IFERROR(__xludf.DUMMYFUNCTION("""COMPUTED_VALUE"""),"Verificar que los accesorios estén dentro del pedido / contenido o comprarlo de AMAZON.
https://www.makita.es/product/b-20644.html
https://www.makita.es/product/123150-5.html
https://www.makita.es/product/782401-1.html
https://www.makita.es/product/12314"&amp;"9-0.html
https://www.makita.es/product/415579-2.html
https://www.amazon.com/-/es/Makita-Bolsa-polvo-123150-5-Full/dp/B00C3INM9I
https://www.amazon.com/-/es/Makita-95118-carburo-pulgadas-carpintero/dp/B00C3JJ4UI
https://www.amazon.com/Makita-123148-2-Plat"&amp;"e-Joiner-Assembly/dp/B00K5V4K7I
https://www.amazon.es/Makita-415579-2-Placa-de-ajuste/dp/B00WSQPIGU")</f>
        <v>Verificar que los accesorios estén dentro del pedido / contenido o comprarlo de AMAZON.
https://www.makita.es/product/b-20644.html
https://www.makita.es/product/123150-5.html
https://www.makita.es/product/782401-1.html
https://www.makita.es/product/123149-0.html
https://www.makita.es/product/415579-2.html
https://www.amazon.com/-/es/Makita-Bolsa-polvo-123150-5-Full/dp/B00C3INM9I
https://www.amazon.com/-/es/Makita-95118-carburo-pulgadas-carpintero/dp/B00C3JJ4UI
https://www.amazon.com/Makita-123148-2-Plate-Joiner-Assembly/dp/B00K5V4K7I
https://www.amazon.es/Makita-415579-2-Placa-de-ajuste/dp/B00WSQPIGU</v>
      </c>
      <c r="AR1613" s="213"/>
      <c r="AS1613" s="213"/>
      <c r="AT1613" s="213"/>
      <c r="AU1613" s="213"/>
      <c r="AV1613" s="213"/>
      <c r="AW1613" s="213"/>
      <c r="AX1613" s="213"/>
      <c r="AY1613" s="213"/>
      <c r="AZ1613" s="213"/>
      <c r="BA1613" s="213"/>
      <c r="BB1613" s="213"/>
      <c r="BC1613" s="213"/>
      <c r="BD1613" s="213"/>
    </row>
    <row r="1614">
      <c r="A1614" s="213">
        <f>IFERROR(__xludf.DUMMYFUNCTION("""COMPUTED_VALUE"""),1859.0)</f>
        <v>1859</v>
      </c>
      <c r="B1614" s="213" t="str">
        <f>IFERROR(__xludf.DUMMYFUNCTION("""COMPUTED_VALUE"""),"GUILLERMO E. BILLINGHURST ")</f>
        <v>GUILLERMO E. BILLINGHURST </v>
      </c>
      <c r="C1614" s="213" t="str">
        <f>IFERROR(__xludf.DUMMYFUNCTION("""COMPUTED_VALUE"""),"TALLER SFT DE EBANISTERÍA")</f>
        <v>TALLER SFT DE EBANISTERÍA</v>
      </c>
      <c r="D1614" s="213" t="str">
        <f>IFERROR(__xludf.DUMMYFUNCTION("""COMPUTED_VALUE"""),"EQUIPOS")</f>
        <v>EQUIPOS</v>
      </c>
      <c r="E1614" s="213" t="str">
        <f>IFERROR(__xludf.DUMMYFUNCTION("""COMPUTED_VALUE"""),"ESP-242")</f>
        <v>ESP-242</v>
      </c>
      <c r="F1614" s="213" t="str">
        <f>IFERROR(__xludf.DUMMYFUNCTION("""COMPUTED_VALUE"""),"ESP-242")</f>
        <v>ESP-242</v>
      </c>
      <c r="G1614" s="213"/>
      <c r="H1614" s="213" t="str">
        <f>IFERROR(__xludf.DUMMYFUNCTION("""COMPUTED_VALUE"""),"MÁQUINA GARLOPA")</f>
        <v>MÁQUINA GARLOPA</v>
      </c>
      <c r="I1614" s="213" t="str">
        <f>IFERROR(__xludf.DUMMYFUNCTION("""COMPUTED_VALUE"""),"· Para cepillar tablas de madera maciza, tablones, y listones.
· Ancho de trabajo mínimo a cepillar: 310 mm.
· Profundidad de corte mínima al cepillar: 3 mm.
· N° de cuchillas a cortar: 3.
· Velocidad del eje planeador: mínimo 4500 rpm.
· Diámetro del eje"&amp;" planeador: mínimo 70 mm.
· Dimensiones de la mesa: mínimo 1200 mm x 320 mm.
· Interruptor de parada de emergencia.
· Equipado con toma de aspiración.
· Ajuste de la cepilladora por medio manual.
· Potencia del motor: mínimo 2.75 kW.
· Voltaje, frecuencia"&amp;": 220 V, 60 Hz.
· Medidas aproximadas (+-5cm) : L120 cm x A65 cm x H110 cm
VERA Hilda 998 soft")</f>
        <v>· Para cepillar tablas de madera maciza, tablones, y listones.
· Ancho de trabajo mínimo a cepillar: 310 mm.
· Profundidad de corte mínima al cepillar: 3 mm.
· N° de cuchillas a cortar: 3.
· Velocidad del eje planeador: mínimo 4500 rpm.
· Diámetro del eje planeador: mínimo 70 mm.
· Dimensiones de la mesa: mínimo 1200 mm x 320 mm.
· Interruptor de parada de emergencia.
· Equipado con toma de aspiración.
· Ajuste de la cepilladora por medio manual.
· Potencia del motor: mínimo 2.75 kW.
· Voltaje, frecuencia: 220 V, 60 Hz.
· Medidas aproximadas (+-5cm) : L120 cm x A65 cm x H110 cm
VERA Hilda 998 soft</v>
      </c>
      <c r="J1614" s="213">
        <f>IFERROR(__xludf.DUMMYFUNCTION("""COMPUTED_VALUE"""),3.0)</f>
        <v>3</v>
      </c>
      <c r="K1614" s="213" t="str">
        <f>IFERROR(__xludf.DUMMYFUNCTION("""COMPUTED_VALUE"""),"170 DÍAS CALENDARIO")</f>
        <v>170 DÍAS CALENDARIO</v>
      </c>
      <c r="L1614" s="213" t="str">
        <f>IFERROR(__xludf.DUMMYFUNCTION("""COMPUTED_VALUE"""),"")</f>
        <v/>
      </c>
      <c r="M1614" s="213">
        <f>IFERROR(__xludf.DUMMYFUNCTION("""COMPUTED_VALUE"""),1.0)</f>
        <v>1</v>
      </c>
      <c r="N1614" s="213">
        <f>IFERROR(__xludf.DUMMYFUNCTION("""COMPUTED_VALUE"""),1.0)</f>
        <v>1</v>
      </c>
      <c r="O1614" s="213">
        <f>IFERROR(__xludf.DUMMYFUNCTION("""COMPUTED_VALUE"""),1.0)</f>
        <v>1</v>
      </c>
      <c r="P1614" s="213"/>
      <c r="Q1614" s="213"/>
      <c r="R1614" s="213"/>
      <c r="S1614" s="213" t="str">
        <f>IFERROR(__xludf.DUMMYFUNCTION("""COMPUTED_VALUE"""),"SI")</f>
        <v>SI</v>
      </c>
      <c r="T1614" s="213" t="str">
        <f>IFERROR(__xludf.DUMMYFUNCTION("""COMPUTED_VALUE"""),"SI")</f>
        <v>SI</v>
      </c>
      <c r="U1614" s="213" t="str">
        <f>IFERROR(__xludf.DUMMYFUNCTION("""COMPUTED_VALUE"""),"NO")</f>
        <v>NO</v>
      </c>
      <c r="V1614" s="213" t="str">
        <f>IFERROR(__xludf.DUMMYFUNCTION("""COMPUTED_VALUE"""),"SUSTENTO")</f>
        <v>SUSTENTO</v>
      </c>
      <c r="W1614" s="213" t="str">
        <f>IFERROR(__xludf.DUMMYFUNCTION("""COMPUTED_VALUE"""),"DIMENSIONAL, ELÉCTRICO")</f>
        <v>DIMENSIONAL, ELÉCTRICO</v>
      </c>
      <c r="X1614" s="213" t="str">
        <f>IFERROR(__xludf.DUMMYFUNCTION("""COMPUTED_VALUE"""),"BERNARDO")</f>
        <v>BERNARDO</v>
      </c>
      <c r="Y1614" s="213" t="str">
        <f>IFERROR(__xludf.DUMMYFUNCTION("""COMPUTED_VALUE"""),"FS 310PS (230V)")</f>
        <v>FS 310PS (230V)</v>
      </c>
      <c r="Z1614" s="215" t="str">
        <f>IFERROR(__xludf.DUMMYFUNCTION("""COMPUTED_VALUE"""),"https://www.bernardo.at/es/shop/Cepilladora-y-regruesadora-FS-310-PS--230-V~p86126")</f>
        <v>https://www.bernardo.at/es/shop/Cepilladora-y-regruesadora-FS-310-PS--230-V~p86126</v>
      </c>
      <c r="AA1614" s="213" t="str">
        <f>IFERROR(__xludf.DUMMYFUNCTION("""COMPUTED_VALUE"""),"ESP-242 MÁQUINA GARLOPA - CET")</f>
        <v>ESP-242 MÁQUINA GARLOPA - CET</v>
      </c>
      <c r="AB1614" s="215" t="str">
        <f>IFERROR(__xludf.DUMMYFUNCTION("""COMPUTED_VALUE"""),"https://drive.google.com/file/d/1zKSk8LDEHjy-fb3ulUuW8I_SQgn1NpIp/view?usp=sharing")</f>
        <v>https://drive.google.com/file/d/1zKSk8LDEHjy-fb3ulUuW8I_SQgn1NpIp/view?usp=sharing</v>
      </c>
      <c r="AC1614" s="213"/>
      <c r="AD1614" s="213"/>
      <c r="AE1614" s="213"/>
      <c r="AF1614" s="213"/>
      <c r="AG1614" s="213"/>
      <c r="AH1614" s="213"/>
      <c r="AI1614" s="213"/>
      <c r="AJ1614" s="213"/>
      <c r="AK1614" s="213"/>
      <c r="AL1614" s="213"/>
      <c r="AM1614" s="213"/>
      <c r="AN1614" s="213"/>
      <c r="AO1614" s="213"/>
      <c r="AP1614" s="213" t="str">
        <f>IFERROR(__xludf.DUMMYFUNCTION("""COMPUTED_VALUE"""),"MICHEL")</f>
        <v>MICHEL</v>
      </c>
      <c r="AQ1614" s="213" t="str">
        <f>IFERROR(__xludf.DUMMYFUNCTION("""COMPUTED_VALUE"""),"Solicitar la versión compatible con 220V 60Hz monofásico. Consultar con vendedor / fabricante acerca de las dimensiones de la mesa, o buscar la forma de sustentar.")</f>
        <v>Solicitar la versión compatible con 220V 60Hz monofásico. Consultar con vendedor / fabricante acerca de las dimensiones de la mesa, o buscar la forma de sustentar.</v>
      </c>
      <c r="AR1614" s="213"/>
      <c r="AS1614" s="213"/>
      <c r="AT1614" s="213"/>
      <c r="AU1614" s="213"/>
      <c r="AV1614" s="213"/>
      <c r="AW1614" s="213"/>
      <c r="AX1614" s="213"/>
      <c r="AY1614" s="213"/>
      <c r="AZ1614" s="213"/>
      <c r="BA1614" s="213"/>
      <c r="BB1614" s="213"/>
      <c r="BC1614" s="213"/>
      <c r="BD1614" s="213"/>
    </row>
    <row r="1615">
      <c r="A1615" s="213">
        <f>IFERROR(__xludf.DUMMYFUNCTION("""COMPUTED_VALUE"""),2640.0)</f>
        <v>2640</v>
      </c>
      <c r="B1615" s="213" t="str">
        <f>IFERROR(__xludf.DUMMYFUNCTION("""COMPUTED_VALUE"""),"MANUEL ANTONIO MESONES MURO")</f>
        <v>MANUEL ANTONIO MESONES MURO</v>
      </c>
      <c r="C1615" s="213" t="str">
        <f>IFERROR(__xludf.DUMMYFUNCTION("""COMPUTED_VALUE"""),"TALLER SFT DE EBANISTERÍA")</f>
        <v>TALLER SFT DE EBANISTERÍA</v>
      </c>
      <c r="D1615" s="213" t="str">
        <f>IFERROR(__xludf.DUMMYFUNCTION("""COMPUTED_VALUE"""),"EQUIPOS")</f>
        <v>EQUIPOS</v>
      </c>
      <c r="E1615" s="213" t="str">
        <f>IFERROR(__xludf.DUMMYFUNCTION("""COMPUTED_VALUE"""),"ESP-242")</f>
        <v>ESP-242</v>
      </c>
      <c r="F1615" s="213" t="str">
        <f>IFERROR(__xludf.DUMMYFUNCTION("""COMPUTED_VALUE"""),"ESP-242")</f>
        <v>ESP-242</v>
      </c>
      <c r="G1615" s="213"/>
      <c r="H1615" s="213" t="str">
        <f>IFERROR(__xludf.DUMMYFUNCTION("""COMPUTED_VALUE"""),"MÁQUINA GARLOPA")</f>
        <v>MÁQUINA GARLOPA</v>
      </c>
      <c r="I1615" s="213" t="str">
        <f>IFERROR(__xludf.DUMMYFUNCTION("""COMPUTED_VALUE"""),"· Para cepillar tablas de madera maciza, tablones, y listones.
· Ancho de trabajo mínimo a cepillar: 310 mm.
· Profundidad de corte mínima al cepillar: 3 mm.
· N° de cuchillas a cortar: 3.
· Velocidad del eje planeador: mínimo 4500 rpm.
· Diámetro del eje"&amp;" planeador: mínimo 70 mm.
· Dimensiones de la mesa: mínimo 1200 mm x 320 mm.
· Interruptor de parada de emergencia.
· Equipado con toma de aspiración.
· Ajuste de la cepilladora por medio manual.
· Potencia del motor: mínimo 2.75 kW.
· Voltaje, frecuencia"&amp;": 220 V, 60 Hz.
· Medidas aproximadas (+-5cm) : L120 cm x A65 cm x H110 cm
VERA Hilda 998 soft")</f>
        <v>· Para cepillar tablas de madera maciza, tablones, y listones.
· Ancho de trabajo mínimo a cepillar: 310 mm.
· Profundidad de corte mínima al cepillar: 3 mm.
· N° de cuchillas a cortar: 3.
· Velocidad del eje planeador: mínimo 4500 rpm.
· Diámetro del eje planeador: mínimo 70 mm.
· Dimensiones de la mesa: mínimo 1200 mm x 320 mm.
· Interruptor de parada de emergencia.
· Equipado con toma de aspiración.
· Ajuste de la cepilladora por medio manual.
· Potencia del motor: mínimo 2.75 kW.
· Voltaje, frecuencia: 220 V, 60 Hz.
· Medidas aproximadas (+-5cm) : L120 cm x A65 cm x H110 cm
VERA Hilda 998 soft</v>
      </c>
      <c r="J1615" s="213">
        <f>IFERROR(__xludf.DUMMYFUNCTION("""COMPUTED_VALUE"""),3.0)</f>
        <v>3</v>
      </c>
      <c r="K1615" s="213" t="str">
        <f>IFERROR(__xludf.DUMMYFUNCTION("""COMPUTED_VALUE"""),"170 DÍAS CALENDARIO")</f>
        <v>170 DÍAS CALENDARIO</v>
      </c>
      <c r="L1615" s="213" t="str">
        <f>IFERROR(__xludf.DUMMYFUNCTION("""COMPUTED_VALUE"""),"")</f>
        <v/>
      </c>
      <c r="M1615" s="213">
        <f>IFERROR(__xludf.DUMMYFUNCTION("""COMPUTED_VALUE"""),1.0)</f>
        <v>1</v>
      </c>
      <c r="N1615" s="213">
        <f>IFERROR(__xludf.DUMMYFUNCTION("""COMPUTED_VALUE"""),1.0)</f>
        <v>1</v>
      </c>
      <c r="O1615" s="213">
        <f>IFERROR(__xludf.DUMMYFUNCTION("""COMPUTED_VALUE"""),1.0)</f>
        <v>1</v>
      </c>
      <c r="P1615" s="213"/>
      <c r="Q1615" s="213"/>
      <c r="R1615" s="213"/>
      <c r="S1615" s="213" t="str">
        <f>IFERROR(__xludf.DUMMYFUNCTION("""COMPUTED_VALUE"""),"SI")</f>
        <v>SI</v>
      </c>
      <c r="T1615" s="213" t="str">
        <f>IFERROR(__xludf.DUMMYFUNCTION("""COMPUTED_VALUE"""),"SI")</f>
        <v>SI</v>
      </c>
      <c r="U1615" s="213" t="str">
        <f>IFERROR(__xludf.DUMMYFUNCTION("""COMPUTED_VALUE"""),"NO")</f>
        <v>NO</v>
      </c>
      <c r="V1615" s="213" t="str">
        <f>IFERROR(__xludf.DUMMYFUNCTION("""COMPUTED_VALUE"""),"SUSTENTO")</f>
        <v>SUSTENTO</v>
      </c>
      <c r="W1615" s="213" t="str">
        <f>IFERROR(__xludf.DUMMYFUNCTION("""COMPUTED_VALUE"""),"DIMENSIONAL, ELÉCTRICO")</f>
        <v>DIMENSIONAL, ELÉCTRICO</v>
      </c>
      <c r="X1615" s="213" t="str">
        <f>IFERROR(__xludf.DUMMYFUNCTION("""COMPUTED_VALUE"""),"BERNARDO")</f>
        <v>BERNARDO</v>
      </c>
      <c r="Y1615" s="213" t="str">
        <f>IFERROR(__xludf.DUMMYFUNCTION("""COMPUTED_VALUE"""),"FS 310PS (230V)")</f>
        <v>FS 310PS (230V)</v>
      </c>
      <c r="Z1615" s="215" t="str">
        <f>IFERROR(__xludf.DUMMYFUNCTION("""COMPUTED_VALUE"""),"https://www.bernardo.at/es/shop/Cepilladora-y-regruesadora-FS-310-PS--230-V~p86126")</f>
        <v>https://www.bernardo.at/es/shop/Cepilladora-y-regruesadora-FS-310-PS--230-V~p86126</v>
      </c>
      <c r="AA1615" s="213" t="str">
        <f>IFERROR(__xludf.DUMMYFUNCTION("""COMPUTED_VALUE"""),"ESP-242 MÁQUINA GARLOPA - CET")</f>
        <v>ESP-242 MÁQUINA GARLOPA - CET</v>
      </c>
      <c r="AB1615" s="215" t="str">
        <f>IFERROR(__xludf.DUMMYFUNCTION("""COMPUTED_VALUE"""),"https://drive.google.com/file/d/1zKSk8LDEHjy-fb3ulUuW8I_SQgn1NpIp/view?usp=sharing")</f>
        <v>https://drive.google.com/file/d/1zKSk8LDEHjy-fb3ulUuW8I_SQgn1NpIp/view?usp=sharing</v>
      </c>
      <c r="AC1615" s="213"/>
      <c r="AD1615" s="213"/>
      <c r="AE1615" s="213"/>
      <c r="AF1615" s="213"/>
      <c r="AG1615" s="213"/>
      <c r="AH1615" s="213"/>
      <c r="AI1615" s="213"/>
      <c r="AJ1615" s="213"/>
      <c r="AK1615" s="213"/>
      <c r="AL1615" s="213"/>
      <c r="AM1615" s="213"/>
      <c r="AN1615" s="213"/>
      <c r="AO1615" s="213"/>
      <c r="AP1615" s="213" t="str">
        <f>IFERROR(__xludf.DUMMYFUNCTION("""COMPUTED_VALUE"""),"MICHEL")</f>
        <v>MICHEL</v>
      </c>
      <c r="AQ1615" s="213" t="str">
        <f>IFERROR(__xludf.DUMMYFUNCTION("""COMPUTED_VALUE"""),"Solicitar la versión compatible con 220V 60Hz monofásico. Consultar con vendedor / fabricante acerca de las dimensiones de la mesa, o buscar la forma de sustentar.")</f>
        <v>Solicitar la versión compatible con 220V 60Hz monofásico. Consultar con vendedor / fabricante acerca de las dimensiones de la mesa, o buscar la forma de sustentar.</v>
      </c>
      <c r="AR1615" s="213"/>
      <c r="AS1615" s="213"/>
      <c r="AT1615" s="213"/>
      <c r="AU1615" s="213"/>
      <c r="AV1615" s="213"/>
      <c r="AW1615" s="213"/>
      <c r="AX1615" s="213"/>
      <c r="AY1615" s="213"/>
      <c r="AZ1615" s="213"/>
      <c r="BA1615" s="213"/>
      <c r="BB1615" s="213"/>
      <c r="BC1615" s="213"/>
      <c r="BD1615" s="213"/>
    </row>
    <row r="1616">
      <c r="A1616" s="213">
        <f>IFERROR(__xludf.DUMMYFUNCTION("""COMPUTED_VALUE"""),653.0)</f>
        <v>653</v>
      </c>
      <c r="B1616" s="213" t="str">
        <f>IFERROR(__xludf.DUMMYFUNCTION("""COMPUTED_VALUE"""),"6049 RICARDO PALMA")</f>
        <v>6049 RICARDO PALMA</v>
      </c>
      <c r="C1616" s="213" t="str">
        <f>IFERROR(__xludf.DUMMYFUNCTION("""COMPUTED_VALUE"""),"TALLER SFT DE ELECTRÓNICA")</f>
        <v>TALLER SFT DE ELECTRÓNICA</v>
      </c>
      <c r="D1616" s="213" t="str">
        <f>IFERROR(__xludf.DUMMYFUNCTION("""COMPUTED_VALUE"""),"EQUIPOS")</f>
        <v>EQUIPOS</v>
      </c>
      <c r="E1616" s="213" t="str">
        <f>IFERROR(__xludf.DUMMYFUNCTION("""COMPUTED_VALUE"""),"ESP-243")</f>
        <v>ESP-243</v>
      </c>
      <c r="F1616" s="213" t="str">
        <f>IFERROR(__xludf.DUMMYFUNCTION("""COMPUTED_VALUE"""),"ESP-243")</f>
        <v>ESP-243</v>
      </c>
      <c r="G1616" s="213"/>
      <c r="H1616" s="213" t="str">
        <f>IFERROR(__xludf.DUMMYFUNCTION("""COMPUTED_VALUE"""),"MÁQUINA PARA EL REVELADO POR INMERSIÓN")</f>
        <v>MÁQUINA PARA EL REVELADO POR INMERSIÓN</v>
      </c>
      <c r="I1616" s="213" t="str">
        <f>IFERROR(__xludf.DUMMYFUNCTION("""COMPUTED_VALUE"""),". Máquina para el revelado por inmersión, enjuague, ataque por spray, estañado químico y secado.
. Sistema de grabado sin mantenimiento con boquillas de chorro sólido.
. Gran ventana a la cámara de grabado hecha de PVC transparente.
. Tamaño máximo de la "&amp;"placa: 210 mm x 300 mm. / splash-center XL: 300 x 400
. Tapa de la cámara de grabado con interruptor de seguridad.
. Soporte de tabla removible hecho de titanio y PVC.
. Fuerte calentador de 1000W  Quarz, temperatura de grabado controlada por termostato.
"&amp;". Fusible de sobrecalentamiento.
. Temporizador digital con cuenta atrás, auto reset y beeper.
. Zona de enjuague integrada con soporte de goteo.
. 3 válvulas de engranaje para todos los tanques.
. Adecuado para el desarrollo de aerosoles.
. Fuente de ali"&amp;"mentación: 220V / 60HZ.
. Dimensiones aproximadas (LxWxH): 1.00 m x 0.75 m x 1.20m.")</f>
        <v>. Máquina para el revelado por inmersión, enjuague, ataque por spray, estañado químico y secado.
. Sistema de grabado sin mantenimiento con boquillas de chorro sólido.
. Gran ventana a la cámara de grabado hecha de PVC transparente.
. Tamaño máximo de la placa: 210 mm x 300 mm. / splash-center XL: 300 x 400
. Tapa de la cámara de grabado con interruptor de seguridad.
. Soporte de tabla removible hecho de titanio y PVC.
. Fuerte calentador de 1000W  Quarz, temperatura de grabado controlada por termostato.
. Fusible de sobrecalentamiento.
. Temporizador digital con cuenta atrás, auto reset y beeper.
. Zona de enjuague integrada con soporte de goteo.
. 3 válvulas de engranaje para todos los tanques.
. Adecuado para el desarrollo de aerosoles.
. Fuente de alimentación: 220V / 60HZ.
. Dimensiones aproximadas (LxWxH): 1.00 m x 0.75 m x 1.20m.</v>
      </c>
      <c r="J1616" s="213">
        <f>IFERROR(__xludf.DUMMYFUNCTION("""COMPUTED_VALUE"""),3.0)</f>
        <v>3</v>
      </c>
      <c r="K1616" s="213" t="str">
        <f>IFERROR(__xludf.DUMMYFUNCTION("""COMPUTED_VALUE"""),"170 DÍAS CALENDARIO")</f>
        <v>170 DÍAS CALENDARIO</v>
      </c>
      <c r="L1616" s="213" t="str">
        <f>IFERROR(__xludf.DUMMYFUNCTION("""COMPUTED_VALUE"""),"")</f>
        <v/>
      </c>
      <c r="M1616" s="213">
        <f>IFERROR(__xludf.DUMMYFUNCTION("""COMPUTED_VALUE"""),1.0)</f>
        <v>1</v>
      </c>
      <c r="N1616" s="213">
        <f>IFERROR(__xludf.DUMMYFUNCTION("""COMPUTED_VALUE"""),1.0)</f>
        <v>1</v>
      </c>
      <c r="O1616" s="213">
        <f>IFERROR(__xludf.DUMMYFUNCTION("""COMPUTED_VALUE"""),1.0)</f>
        <v>1</v>
      </c>
      <c r="P1616" s="213"/>
      <c r="Q1616" s="213"/>
      <c r="R1616" s="213"/>
      <c r="S1616" s="213" t="str">
        <f>IFERROR(__xludf.DUMMYFUNCTION("""COMPUTED_VALUE"""),"SI")</f>
        <v>SI</v>
      </c>
      <c r="T1616" s="213" t="str">
        <f>IFERROR(__xludf.DUMMYFUNCTION("""COMPUTED_VALUE"""),"SI")</f>
        <v>SI</v>
      </c>
      <c r="U1616" s="213" t="str">
        <f>IFERROR(__xludf.DUMMYFUNCTION("""COMPUTED_VALUE"""),"NO")</f>
        <v>NO</v>
      </c>
      <c r="V1616" s="213" t="str">
        <f>IFERROR(__xludf.DUMMYFUNCTION("""COMPUTED_VALUE"""),"SUSTENTO")</f>
        <v>SUSTENTO</v>
      </c>
      <c r="W1616" s="213" t="str">
        <f>IFERROR(__xludf.DUMMYFUNCTION("""COMPUTED_VALUE"""),"DIMENSIONAL")</f>
        <v>DIMENSIONAL</v>
      </c>
      <c r="X1616" s="213" t="str">
        <f>IFERROR(__xludf.DUMMYFUNCTION("""COMPUTED_VALUE"""),"Bungard")</f>
        <v>Bungard</v>
      </c>
      <c r="Y1616" s="213" t="str">
        <f>IFERROR(__xludf.DUMMYFUNCTION("""COMPUTED_VALUE"""),"Splash Center/Splash Center")</f>
        <v>Splash Center/Splash Center</v>
      </c>
      <c r="Z1616" s="215" t="str">
        <f>IFERROR(__xludf.DUMMYFUNCTION("""COMPUTED_VALUE"""),"https://www.bungard.de/en/machines/etching-developing-machines/splash-center")</f>
        <v>https://www.bungard.de/en/machines/etching-developing-machines/splash-center</v>
      </c>
      <c r="AA1616" s="213" t="str">
        <f>IFERROR(__xludf.DUMMYFUNCTION("""COMPUTED_VALUE"""),"ESP-243 MÁQUINA PARA EL REVELADO POR INMERSIÓN - CET")</f>
        <v>ESP-243 MÁQUINA PARA EL REVELADO POR INMERSIÓN - CET</v>
      </c>
      <c r="AB1616" s="213"/>
      <c r="AC1616" s="213"/>
      <c r="AD1616" s="213"/>
      <c r="AE1616" s="213"/>
      <c r="AF1616" s="213"/>
      <c r="AG1616" s="213"/>
      <c r="AH1616" s="213"/>
      <c r="AI1616" s="213"/>
      <c r="AJ1616" s="213"/>
      <c r="AK1616" s="213"/>
      <c r="AL1616" s="213"/>
      <c r="AM1616" s="213"/>
      <c r="AN1616" s="213"/>
      <c r="AO1616" s="213"/>
      <c r="AP1616" s="213" t="str">
        <f>IFERROR(__xludf.DUMMYFUNCTION("""COMPUTED_VALUE"""),"BRUNO")</f>
        <v>BRUNO</v>
      </c>
      <c r="AQ1616" s="213" t="str">
        <f>IFERROR(__xludf.DUMMYFUNCTION("""COMPUTED_VALUE"""),"HACER ANÁLISIS DE ACCESORIOS ADICIONALES Y DE LA LICENCIA DE SOFTWARE ISOCAM PARA EL EQUIPO DE RUTEO.")</f>
        <v>HACER ANÁLISIS DE ACCESORIOS ADICIONALES Y DE LA LICENCIA DE SOFTWARE ISOCAM PARA EL EQUIPO DE RUTEO.</v>
      </c>
      <c r="AR1616" s="213"/>
      <c r="AS1616" s="213"/>
      <c r="AT1616" s="213"/>
      <c r="AU1616" s="213"/>
      <c r="AV1616" s="213"/>
      <c r="AW1616" s="213"/>
      <c r="AX1616" s="213"/>
      <c r="AY1616" s="213"/>
      <c r="AZ1616" s="213"/>
      <c r="BA1616" s="213"/>
      <c r="BB1616" s="213"/>
      <c r="BC1616" s="213"/>
      <c r="BD1616" s="213"/>
    </row>
    <row r="1617">
      <c r="A1617" s="213">
        <f>IFERROR(__xludf.DUMMYFUNCTION("""COMPUTED_VALUE"""),651.0)</f>
        <v>651</v>
      </c>
      <c r="B1617" s="213" t="str">
        <f>IFERROR(__xludf.DUMMYFUNCTION("""COMPUTED_VALUE"""),"6049 RICARDO PALMA")</f>
        <v>6049 RICARDO PALMA</v>
      </c>
      <c r="C1617" s="213" t="str">
        <f>IFERROR(__xludf.DUMMYFUNCTION("""COMPUTED_VALUE"""),"TALLER SFT DE ELECTRÓNICA")</f>
        <v>TALLER SFT DE ELECTRÓNICA</v>
      </c>
      <c r="D1617" s="213" t="str">
        <f>IFERROR(__xludf.DUMMYFUNCTION("""COMPUTED_VALUE"""),"EQUIPOS")</f>
        <v>EQUIPOS</v>
      </c>
      <c r="E1617" s="213" t="str">
        <f>IFERROR(__xludf.DUMMYFUNCTION("""COMPUTED_VALUE"""),"ESP-244")</f>
        <v>ESP-244</v>
      </c>
      <c r="F1617" s="213" t="str">
        <f>IFERROR(__xludf.DUMMYFUNCTION("""COMPUTED_VALUE"""),"ESP-244")</f>
        <v>ESP-244</v>
      </c>
      <c r="G1617" s="213"/>
      <c r="H1617" s="213" t="str">
        <f>IFERROR(__xludf.DUMMYFUNCTION("""COMPUTED_VALUE"""),"MÁQUINA PARA EL RUTEADO DE CONTORNO Y PERFORADO")</f>
        <v>MÁQUINA PARA EL RUTEADO DE CONTORNO Y PERFORADO</v>
      </c>
      <c r="I1617" s="213" t="str">
        <f>IFERROR(__xludf.DUMMYFUNCTION("""COMPUTED_VALUE"""),". Máquina para el ruteado de contorno y perforado: Resolución de líneas: mejor a 100μm. Tiempo total de proceso: 10 min a 60 min dependiendo del número de perforaciones.
. Tiene un área de trabajo de tamaño medio de 270 mm x 325 mm x 38 mm.
. Bastidor de "&amp;"chapa muy robusto que absorbe las vibraciones producidas en el mecanizado.
. Fuente de alimentación: 220 V/60 Hz + aspiradora (1500 W)
. Rango de RPM: 5.000 - 63.000
. Velocidad de desplazamiento: 1 - 9000 mm / min
. Resolución: 0,01 µm
. Resolución de pa"&amp;"so: seleccionable por software: 1 mil, ½ mil, ¼ mil, 1/8 mil, opcional: 1/16 mil + 1/32 mil
. Diámetro de la herramienta: 0,1 mm - 3175 mm (recomendado, es posible un diámetro de herramienta mayor)
. Precisión de posición: 3,2 µm
. Velocidad máxima de pos"&amp;"ición por eje: 9000 / mm / min (= 150 mm / s)
. Velocidad máxima de trabajo por eje: 9000 / mm / min (= 150 mm / s), ajuste individual por herramienta, independiente de la velocidad de posición
. Velocidad de taladrado: 5 / s (= 18.000 agujeros / h = 300 "&amp;"agujeros / min)
. Dimensiones aproximdas  (LxWxH): 0.70 m x 0.55 m x 0.30m.")</f>
        <v>. Máquina para el ruteado de contorno y perforado: Resolución de líneas: mejor a 100μm. Tiempo total de proceso: 10 min a 60 min dependiendo del número de perforaciones.
. Tiene un área de trabajo de tamaño medio de 270 mm x 325 mm x 38 mm.
. Bastidor de chapa muy robusto que absorbe las vibraciones producidas en el mecanizado.
. Fuente de alimentación: 220 V/60 Hz + aspiradora (1500 W)
. Rango de RPM: 5.000 - 63.000
. Velocidad de desplazamiento: 1 - 9000 mm / min
. Resolución: 0,01 µm
. Resolución de paso: seleccionable por software: 1 mil, ½ mil, ¼ mil, 1/8 mil, opcional: 1/16 mil + 1/32 mil
. Diámetro de la herramienta: 0,1 mm - 3175 mm (recomendado, es posible un diámetro de herramienta mayor)
. Precisión de posición: 3,2 µm
. Velocidad máxima de posición por eje: 9000 / mm / min (= 150 mm / s)
. Velocidad máxima de trabajo por eje: 9000 / mm / min (= 150 mm / s), ajuste individual por herramienta, independiente de la velocidad de posición
. Velocidad de taladrado: 5 / s (= 18.000 agujeros / h = 300 agujeros / min)
. Dimensiones aproximdas  (LxWxH): 0.70 m x 0.55 m x 0.30m.</v>
      </c>
      <c r="J1617" s="213">
        <f>IFERROR(__xludf.DUMMYFUNCTION("""COMPUTED_VALUE"""),3.0)</f>
        <v>3</v>
      </c>
      <c r="K1617" s="213" t="str">
        <f>IFERROR(__xludf.DUMMYFUNCTION("""COMPUTED_VALUE"""),"170 DÍAS CALENDARIO")</f>
        <v>170 DÍAS CALENDARIO</v>
      </c>
      <c r="L1617" s="213" t="str">
        <f>IFERROR(__xludf.DUMMYFUNCTION("""COMPUTED_VALUE"""),"")</f>
        <v/>
      </c>
      <c r="M1617" s="213">
        <f>IFERROR(__xludf.DUMMYFUNCTION("""COMPUTED_VALUE"""),1.0)</f>
        <v>1</v>
      </c>
      <c r="N1617" s="213">
        <f>IFERROR(__xludf.DUMMYFUNCTION("""COMPUTED_VALUE"""),1.0)</f>
        <v>1</v>
      </c>
      <c r="O1617" s="213">
        <f>IFERROR(__xludf.DUMMYFUNCTION("""COMPUTED_VALUE"""),1.0)</f>
        <v>1</v>
      </c>
      <c r="P1617" s="213"/>
      <c r="Q1617" s="213"/>
      <c r="R1617" s="213"/>
      <c r="S1617" s="213" t="str">
        <f>IFERROR(__xludf.DUMMYFUNCTION("""COMPUTED_VALUE"""),"SI")</f>
        <v>SI</v>
      </c>
      <c r="T1617" s="213" t="str">
        <f>IFERROR(__xludf.DUMMYFUNCTION("""COMPUTED_VALUE"""),"SI")</f>
        <v>SI</v>
      </c>
      <c r="U1617" s="213" t="str">
        <f>IFERROR(__xludf.DUMMYFUNCTION("""COMPUTED_VALUE"""),"SI")</f>
        <v>SI</v>
      </c>
      <c r="V1617" s="213" t="str">
        <f>IFERROR(__xludf.DUMMYFUNCTION("""COMPUTED_VALUE"""),"-")</f>
        <v>-</v>
      </c>
      <c r="W1617" s="213" t="str">
        <f>IFERROR(__xludf.DUMMYFUNCTION("""COMPUTED_VALUE"""),"-")</f>
        <v>-</v>
      </c>
      <c r="X1617" s="213" t="str">
        <f>IFERROR(__xludf.DUMMYFUNCTION("""COMPUTED_VALUE"""),"Bungard")</f>
        <v>Bungard</v>
      </c>
      <c r="Y1617" s="213" t="str">
        <f>IFERROR(__xludf.DUMMYFUNCTION("""COMPUTED_VALUE"""),"CCD/2/ATC")</f>
        <v>CCD/2/ATC</v>
      </c>
      <c r="Z1617" s="215" t="str">
        <f>IFERROR(__xludf.DUMMYFUNCTION("""COMPUTED_VALUE"""),"https://www.bungard.de/en/machines/cnc-machines/ccd-2-atc")</f>
        <v>https://www.bungard.de/en/machines/cnc-machines/ccd-2-atc</v>
      </c>
      <c r="AA1617" s="213" t="str">
        <f>IFERROR(__xludf.DUMMYFUNCTION("""COMPUTED_VALUE"""),"ESP-244 MÁQUINA PARA EL RUTEADO DE CONTORNO Y PERFORADO - CET")</f>
        <v>ESP-244 MÁQUINA PARA EL RUTEADO DE CONTORNO Y PERFORADO - CET</v>
      </c>
      <c r="AB1617" s="213"/>
      <c r="AC1617" s="213"/>
      <c r="AD1617" s="213"/>
      <c r="AE1617" s="213"/>
      <c r="AF1617" s="213"/>
      <c r="AG1617" s="213"/>
      <c r="AH1617" s="213"/>
      <c r="AI1617" s="213"/>
      <c r="AJ1617" s="213"/>
      <c r="AK1617" s="213"/>
      <c r="AL1617" s="213"/>
      <c r="AM1617" s="213"/>
      <c r="AN1617" s="213"/>
      <c r="AO1617" s="213"/>
      <c r="AP1617" s="213" t="str">
        <f>IFERROR(__xludf.DUMMYFUNCTION("""COMPUTED_VALUE"""),"BRUNO")</f>
        <v>BRUNO</v>
      </c>
      <c r="AQ1617" s="213" t="str">
        <f>IFERROR(__xludf.DUMMYFUNCTION("""COMPUTED_VALUE"""),"HACER ANÁLISIS DE ACCESORIOS ADICIONALES PARA SU CORRECTO FUNCIONAMIENTO (ASPIRADORA, KIT DE INICIACION, FRESAS, PLACAS PCB FR4, ETC)")</f>
        <v>HACER ANÁLISIS DE ACCESORIOS ADICIONALES PARA SU CORRECTO FUNCIONAMIENTO (ASPIRADORA, KIT DE INICIACION, FRESAS, PLACAS PCB FR4, ETC)</v>
      </c>
      <c r="AR1617" s="213"/>
      <c r="AS1617" s="213"/>
      <c r="AT1617" s="213"/>
      <c r="AU1617" s="213"/>
      <c r="AV1617" s="213"/>
      <c r="AW1617" s="213"/>
      <c r="AX1617" s="213"/>
      <c r="AY1617" s="213"/>
      <c r="AZ1617" s="213"/>
      <c r="BA1617" s="213"/>
      <c r="BB1617" s="213"/>
      <c r="BC1617" s="213"/>
      <c r="BD1617" s="213"/>
    </row>
    <row r="1618">
      <c r="A1618" s="213">
        <f>IFERROR(__xludf.DUMMYFUNCTION("""COMPUTED_VALUE"""),652.0)</f>
        <v>652</v>
      </c>
      <c r="B1618" s="213" t="str">
        <f>IFERROR(__xludf.DUMMYFUNCTION("""COMPUTED_VALUE"""),"6049 RICARDO PALMA")</f>
        <v>6049 RICARDO PALMA</v>
      </c>
      <c r="C1618" s="213" t="str">
        <f>IFERROR(__xludf.DUMMYFUNCTION("""COMPUTED_VALUE"""),"TALLER SFT DE ELECTRÓNICA")</f>
        <v>TALLER SFT DE ELECTRÓNICA</v>
      </c>
      <c r="D1618" s="213" t="str">
        <f>IFERROR(__xludf.DUMMYFUNCTION("""COMPUTED_VALUE"""),"EQUIPOS")</f>
        <v>EQUIPOS</v>
      </c>
      <c r="E1618" s="213" t="str">
        <f>IFERROR(__xludf.DUMMYFUNCTION("""COMPUTED_VALUE"""),"ESP-245")</f>
        <v>ESP-245</v>
      </c>
      <c r="F1618" s="213" t="str">
        <f>IFERROR(__xludf.DUMMYFUNCTION("""COMPUTED_VALUE"""),"ESP-245")</f>
        <v>ESP-245</v>
      </c>
      <c r="G1618" s="213"/>
      <c r="H1618" s="213" t="str">
        <f>IFERROR(__xludf.DUMMYFUNCTION("""COMPUTED_VALUE"""),"MÁQUINA PARA LA EXPOSICIÓN FOTOGRÁFICA")</f>
        <v>MÁQUINA PARA LA EXPOSICIÓN FOTOGRÁFICA</v>
      </c>
      <c r="I1618" s="213" t="str">
        <f>IFERROR(__xludf.DUMMYFUNCTION("""COMPUTED_VALUE"""),". Máquina para la exposición fotográfica: Producción de negativos con láser printer o bubble jet o proveedor local.
. 2 X 6 tubos UV superactinicos, cada uno de 20W.
. Reflectores especiales para la subcotización minima.
. Pantalle de emisión de luz analó"&amp;"gica.
. La superficie de exposición inferior de un vidrio especial de 8mm.
. Área de trabajo aproximadamente 570 mm x 300 mm.
. Temporizador digital 1 segundo 9 min 59 seg. con cuenta atrás.
. El ventilador de refrigeración incorporado permite un largo ti"&amp;"empo de exposición o procesos de cocción.
. Dimensiones aproximadas (LxWxH): 0.60 mm x 0.65 mm x 0.25m.
. Voltaje: 220V / 60HZ.")</f>
        <v>. Máquina para la exposición fotográfica: Producción de negativos con láser printer o bubble jet o proveedor local.
. 2 X 6 tubos UV superactinicos, cada uno de 20W.
. Reflectores especiales para la subcotización minima.
. Pantalle de emisión de luz analógica.
. La superficie de exposición inferior de un vidrio especial de 8mm.
. Área de trabajo aproximadamente 570 mm x 300 mm.
. Temporizador digital 1 segundo 9 min 59 seg. con cuenta atrás.
. El ventilador de refrigeración incorporado permite un largo tiempo de exposición o procesos de cocción.
. Dimensiones aproximadas (LxWxH): 0.60 mm x 0.65 mm x 0.25m.
. Voltaje: 220V / 60HZ.</v>
      </c>
      <c r="J1618" s="213">
        <f>IFERROR(__xludf.DUMMYFUNCTION("""COMPUTED_VALUE"""),3.0)</f>
        <v>3</v>
      </c>
      <c r="K1618" s="213" t="str">
        <f>IFERROR(__xludf.DUMMYFUNCTION("""COMPUTED_VALUE"""),"170 DÍAS CALENDARIO")</f>
        <v>170 DÍAS CALENDARIO</v>
      </c>
      <c r="L1618" s="213" t="str">
        <f>IFERROR(__xludf.DUMMYFUNCTION("""COMPUTED_VALUE"""),"")</f>
        <v/>
      </c>
      <c r="M1618" s="213">
        <f>IFERROR(__xludf.DUMMYFUNCTION("""COMPUTED_VALUE"""),1.0)</f>
        <v>1</v>
      </c>
      <c r="N1618" s="213">
        <f>IFERROR(__xludf.DUMMYFUNCTION("""COMPUTED_VALUE"""),1.0)</f>
        <v>1</v>
      </c>
      <c r="O1618" s="213">
        <f>IFERROR(__xludf.DUMMYFUNCTION("""COMPUTED_VALUE"""),1.0)</f>
        <v>1</v>
      </c>
      <c r="P1618" s="213"/>
      <c r="Q1618" s="213"/>
      <c r="R1618" s="213"/>
      <c r="S1618" s="213" t="str">
        <f>IFERROR(__xludf.DUMMYFUNCTION("""COMPUTED_VALUE"""),"SI")</f>
        <v>SI</v>
      </c>
      <c r="T1618" s="213" t="str">
        <f>IFERROR(__xludf.DUMMYFUNCTION("""COMPUTED_VALUE"""),"SI")</f>
        <v>SI</v>
      </c>
      <c r="U1618" s="213" t="str">
        <f>IFERROR(__xludf.DUMMYFUNCTION("""COMPUTED_VALUE"""),"NO")</f>
        <v>NO</v>
      </c>
      <c r="V1618" s="213" t="str">
        <f>IFERROR(__xludf.DUMMYFUNCTION("""COMPUTED_VALUE"""),"SUSTENTO")</f>
        <v>SUSTENTO</v>
      </c>
      <c r="W1618" s="213" t="str">
        <f>IFERROR(__xludf.DUMMYFUNCTION("""COMPUTED_VALUE"""),"DIMENSIONAL")</f>
        <v>DIMENSIONAL</v>
      </c>
      <c r="X1618" s="213" t="str">
        <f>IFERROR(__xludf.DUMMYFUNCTION("""COMPUTED_VALUE"""),"Bungard")</f>
        <v>Bungard</v>
      </c>
      <c r="Y1618" s="213" t="str">
        <f>IFERROR(__xludf.DUMMYFUNCTION("""COMPUTED_VALUE"""),"Hellas double sided          ")</f>
        <v>Hellas double sided          </v>
      </c>
      <c r="Z1618" s="215" t="str">
        <f>IFERROR(__xludf.DUMMYFUNCTION("""COMPUTED_VALUE"""),"https://www.bungard.de/en/machines/exposure-units/hellas")</f>
        <v>https://www.bungard.de/en/machines/exposure-units/hellas</v>
      </c>
      <c r="AA1618" s="213" t="str">
        <f>IFERROR(__xludf.DUMMYFUNCTION("""COMPUTED_VALUE"""),"ESP-245 MÁQUINA PARA LA EXPOSICIÓN FOTOGRÁFICA - CET")</f>
        <v>ESP-245 MÁQUINA PARA LA EXPOSICIÓN FOTOGRÁFICA - CET</v>
      </c>
      <c r="AB1618" s="213"/>
      <c r="AC1618" s="213"/>
      <c r="AD1618" s="213"/>
      <c r="AE1618" s="213"/>
      <c r="AF1618" s="213"/>
      <c r="AG1618" s="213"/>
      <c r="AH1618" s="213"/>
      <c r="AI1618" s="213"/>
      <c r="AJ1618" s="213"/>
      <c r="AK1618" s="213"/>
      <c r="AL1618" s="213"/>
      <c r="AM1618" s="213"/>
      <c r="AN1618" s="213"/>
      <c r="AO1618" s="213"/>
      <c r="AP1618" s="213" t="str">
        <f>IFERROR(__xludf.DUMMYFUNCTION("""COMPUTED_VALUE"""),"BRUNO")</f>
        <v>BRUNO</v>
      </c>
      <c r="AQ1618" s="213" t="str">
        <f>IFERROR(__xludf.DUMMYFUNCTION("""COMPUTED_VALUE"""),"HACER ANÁLISIS DE ACCESORIOS ADICIONALES")</f>
        <v>HACER ANÁLISIS DE ACCESORIOS ADICIONALES</v>
      </c>
      <c r="AR1618" s="213"/>
      <c r="AS1618" s="213"/>
      <c r="AT1618" s="213"/>
      <c r="AU1618" s="213"/>
      <c r="AV1618" s="213"/>
      <c r="AW1618" s="213"/>
      <c r="AX1618" s="213"/>
      <c r="AY1618" s="213"/>
      <c r="AZ1618" s="213"/>
      <c r="BA1618" s="213"/>
      <c r="BB1618" s="213"/>
      <c r="BC1618" s="213"/>
      <c r="BD1618" s="213"/>
    </row>
    <row r="1619">
      <c r="A1619" s="213">
        <f>IFERROR(__xludf.DUMMYFUNCTION("""COMPUTED_VALUE"""),654.0)</f>
        <v>654</v>
      </c>
      <c r="B1619" s="213" t="str">
        <f>IFERROR(__xludf.DUMMYFUNCTION("""COMPUTED_VALUE"""),"6049 RICARDO PALMA")</f>
        <v>6049 RICARDO PALMA</v>
      </c>
      <c r="C1619" s="213" t="str">
        <f>IFERROR(__xludf.DUMMYFUNCTION("""COMPUTED_VALUE"""),"TALLER SFT DE ELECTRÓNICA")</f>
        <v>TALLER SFT DE ELECTRÓNICA</v>
      </c>
      <c r="D1619" s="213" t="str">
        <f>IFERROR(__xludf.DUMMYFUNCTION("""COMPUTED_VALUE"""),"EQUIPOS")</f>
        <v>EQUIPOS</v>
      </c>
      <c r="E1619" s="213" t="str">
        <f>IFERROR(__xludf.DUMMYFUNCTION("""COMPUTED_VALUE"""),"ESP-246")</f>
        <v>ESP-246</v>
      </c>
      <c r="F1619" s="213" t="str">
        <f>IFERROR(__xludf.DUMMYFUNCTION("""COMPUTED_VALUE"""),"ESP-246")</f>
        <v>ESP-246</v>
      </c>
      <c r="G1619" s="213"/>
      <c r="H1619" s="213" t="str">
        <f>IFERROR(__xludf.DUMMYFUNCTION("""COMPUTED_VALUE"""),"MÁQUINA PARA LA PREPARACIÓN DE OJALILLOS")</f>
        <v>MÁQUINA PARA LA PREPARACIÓN DE OJALILLOS</v>
      </c>
      <c r="I1619" s="213" t="str">
        <f>IFERROR(__xludf.DUMMYFUNCTION("""COMPUTED_VALUE"""),". Máquina para la Preparación de ojalillos.
. Máquina manual para propósitos de perforación mecánica.
. Limitador de profundidad ajustable.
. Tamaño máximo de la tabla: 400 mm
. Incluye herramientas y remaches
. Dimensiones aproximadas ( +-0.05 mm)  (LxWx"&amp;"H): 0.15 m x 0.35 m x 0.25m.")</f>
        <v>. Máquina para la Preparación de ojalillos.
. Máquina manual para propósitos de perforación mecánica.
. Limitador de profundidad ajustable.
. Tamaño máximo de la tabla: 400 mm
. Incluye herramientas y remaches
. Dimensiones aproximadas ( +-0.05 mm)  (LxWxH): 0.15 m x 0.35 m x 0.25m.</v>
      </c>
      <c r="J1619" s="213">
        <f>IFERROR(__xludf.DUMMYFUNCTION("""COMPUTED_VALUE"""),3.0)</f>
        <v>3</v>
      </c>
      <c r="K1619" s="213" t="str">
        <f>IFERROR(__xludf.DUMMYFUNCTION("""COMPUTED_VALUE"""),"170 DÍAS CALENDARIO")</f>
        <v>170 DÍAS CALENDARIO</v>
      </c>
      <c r="L1619" s="213" t="str">
        <f>IFERROR(__xludf.DUMMYFUNCTION("""COMPUTED_VALUE"""),"")</f>
        <v/>
      </c>
      <c r="M1619" s="213">
        <f>IFERROR(__xludf.DUMMYFUNCTION("""COMPUTED_VALUE"""),1.0)</f>
        <v>1</v>
      </c>
      <c r="N1619" s="213">
        <f>IFERROR(__xludf.DUMMYFUNCTION("""COMPUTED_VALUE"""),1.0)</f>
        <v>1</v>
      </c>
      <c r="O1619" s="213">
        <f>IFERROR(__xludf.DUMMYFUNCTION("""COMPUTED_VALUE"""),1.0)</f>
        <v>1</v>
      </c>
      <c r="P1619" s="213"/>
      <c r="Q1619" s="213"/>
      <c r="R1619" s="213"/>
      <c r="S1619" s="213" t="str">
        <f>IFERROR(__xludf.DUMMYFUNCTION("""COMPUTED_VALUE"""),"SI")</f>
        <v>SI</v>
      </c>
      <c r="T1619" s="213" t="str">
        <f>IFERROR(__xludf.DUMMYFUNCTION("""COMPUTED_VALUE"""),"SI")</f>
        <v>SI</v>
      </c>
      <c r="U1619" s="213" t="str">
        <f>IFERROR(__xludf.DUMMYFUNCTION("""COMPUTED_VALUE"""),"NO")</f>
        <v>NO</v>
      </c>
      <c r="V1619" s="213" t="str">
        <f>IFERROR(__xludf.DUMMYFUNCTION("""COMPUTED_VALUE"""),"SUSTENTO")</f>
        <v>SUSTENTO</v>
      </c>
      <c r="W1619" s="213" t="str">
        <f>IFERROR(__xludf.DUMMYFUNCTION("""COMPUTED_VALUE"""),"DIMENSIONAL")</f>
        <v>DIMENSIONAL</v>
      </c>
      <c r="X1619" s="213" t="str">
        <f>IFERROR(__xludf.DUMMYFUNCTION("""COMPUTED_VALUE"""),"Bungard")</f>
        <v>Bungard</v>
      </c>
      <c r="Y1619" s="213" t="str">
        <f>IFERROR(__xludf.DUMMYFUNCTION("""COMPUTED_VALUE"""),"Favorit")</f>
        <v>Favorit</v>
      </c>
      <c r="Z1619" s="215" t="str">
        <f>IFERROR(__xludf.DUMMYFUNCTION("""COMPUTED_VALUE"""),"https://www.bungard.de/en/machines/through-hole-plating/favorit")</f>
        <v>https://www.bungard.de/en/machines/through-hole-plating/favorit</v>
      </c>
      <c r="AA1619" s="213" t="str">
        <f>IFERROR(__xludf.DUMMYFUNCTION("""COMPUTED_VALUE"""),"ESP-246 MÁQUINA PARA LA PREPARACIÓN DE OJALILLOS - CET")</f>
        <v>ESP-246 MÁQUINA PARA LA PREPARACIÓN DE OJALILLOS - CET</v>
      </c>
      <c r="AB1619" s="215" t="str">
        <f>IFERROR(__xludf.DUMMYFUNCTION("""COMPUTED_VALUE"""),"https://drive.google.com/drive/folders/16X4eYzafRw3ud61SDvHI4zFJsEL-8Fc_")</f>
        <v>https://drive.google.com/drive/folders/16X4eYzafRw3ud61SDvHI4zFJsEL-8Fc_</v>
      </c>
      <c r="AC1619" s="213"/>
      <c r="AD1619" s="213"/>
      <c r="AE1619" s="213"/>
      <c r="AF1619" s="213"/>
      <c r="AG1619" s="213"/>
      <c r="AH1619" s="213"/>
      <c r="AI1619" s="213"/>
      <c r="AJ1619" s="213"/>
      <c r="AK1619" s="213"/>
      <c r="AL1619" s="213"/>
      <c r="AM1619" s="213"/>
      <c r="AN1619" s="213"/>
      <c r="AO1619" s="213"/>
      <c r="AP1619" s="213" t="str">
        <f>IFERROR(__xludf.DUMMYFUNCTION("""COMPUTED_VALUE"""),"BRUNO")</f>
        <v>BRUNO</v>
      </c>
      <c r="AQ1619" s="213" t="str">
        <f>IFERROR(__xludf.DUMMYFUNCTION("""COMPUTED_VALUE"""),"TOMAR EN CUENTA COSTO PARA COMPARATIVO. HACER ANÁLISIS DE ACCESORIOS ADICIONALES")</f>
        <v>TOMAR EN CUENTA COSTO PARA COMPARATIVO. HACER ANÁLISIS DE ACCESORIOS ADICIONALES</v>
      </c>
      <c r="AR1619" s="213"/>
      <c r="AS1619" s="213"/>
      <c r="AT1619" s="213"/>
      <c r="AU1619" s="213"/>
      <c r="AV1619" s="213"/>
      <c r="AW1619" s="213"/>
      <c r="AX1619" s="213"/>
      <c r="AY1619" s="213"/>
      <c r="AZ1619" s="213"/>
      <c r="BA1619" s="213"/>
      <c r="BB1619" s="213"/>
      <c r="BC1619" s="213"/>
      <c r="BD1619" s="213"/>
    </row>
    <row r="1620">
      <c r="A1620" s="213">
        <f>IFERROR(__xludf.DUMMYFUNCTION("""COMPUTED_VALUE"""),199.0)</f>
        <v>199</v>
      </c>
      <c r="B1620" s="213" t="str">
        <f>IFERROR(__xludf.DUMMYFUNCTION("""COMPUTED_VALUE"""),"2026 SIMON BOLIVAR")</f>
        <v>2026 SIMON BOLIVAR</v>
      </c>
      <c r="C1620" s="213" t="str">
        <f>IFERROR(__xludf.DUMMYFUNCTION("""COMPUTED_VALUE"""),"TALLER SFT DE INDUSTRIA DEL VESTIDO")</f>
        <v>TALLER SFT DE INDUSTRIA DEL VESTIDO</v>
      </c>
      <c r="D1620" s="213" t="str">
        <f>IFERROR(__xludf.DUMMYFUNCTION("""COMPUTED_VALUE"""),"EQUIPOS")</f>
        <v>EQUIPOS</v>
      </c>
      <c r="E1620" s="213" t="str">
        <f>IFERROR(__xludf.DUMMYFUNCTION("""COMPUTED_VALUE"""),"ESP-247")</f>
        <v>ESP-247</v>
      </c>
      <c r="F1620" s="213" t="str">
        <f>IFERROR(__xludf.DUMMYFUNCTION("""COMPUTED_VALUE"""),"ESP-247")</f>
        <v>ESP-247</v>
      </c>
      <c r="G1620" s="213"/>
      <c r="H1620" s="213" t="str">
        <f>IFERROR(__xludf.DUMMYFUNCTION("""COMPUTED_VALUE"""),"MÁQUINA TRANSFER BASE CURVA DIGITAL")</f>
        <v>MÁQUINA TRANSFER BASE CURVA DIGITAL</v>
      </c>
      <c r="I1620" s="213" t="str">
        <f>IFERROR(__xludf.DUMMYFUNCTION("""COMPUTED_VALUE"""),"·       Prensa térmica con base curva para gorras
·       Rango de tiempo de 0-999 segundos
·       Máxima temperatura: 225 C°
·       Potencia mínimo: 300W.
·       Con accesorio para sostener las gorras
·        Alimentación eléctrica : 220V/60Hz
.     "&amp;"  Dimensiones aproximadas: largo: 40cm x 30cm x 65 cm.(LxAxH)")</f>
        <v>·       Prensa térmica con base curva para gorras
·       Rango de tiempo de 0-999 segundos
·       Máxima temperatura: 225 C°
·       Potencia mínimo: 300W.
·       Con accesorio para sostener las gorras
·        Alimentación eléctrica : 220V/60Hz
.       Dimensiones aproximadas: largo: 40cm x 30cm x 65 cm.(LxAxH)</v>
      </c>
      <c r="J1620" s="213">
        <f>IFERROR(__xludf.DUMMYFUNCTION("""COMPUTED_VALUE"""),3.0)</f>
        <v>3</v>
      </c>
      <c r="K1620" s="213" t="str">
        <f>IFERROR(__xludf.DUMMYFUNCTION("""COMPUTED_VALUE"""),"170 DÍAS CALENDARIO")</f>
        <v>170 DÍAS CALENDARIO</v>
      </c>
      <c r="L1620" s="213" t="str">
        <f>IFERROR(__xludf.DUMMYFUNCTION("""COMPUTED_VALUE"""),"")</f>
        <v/>
      </c>
      <c r="M1620" s="213">
        <f>IFERROR(__xludf.DUMMYFUNCTION("""COMPUTED_VALUE"""),1.0)</f>
        <v>1</v>
      </c>
      <c r="N1620" s="213">
        <f>IFERROR(__xludf.DUMMYFUNCTION("""COMPUTED_VALUE"""),1.0)</f>
        <v>1</v>
      </c>
      <c r="O1620" s="213">
        <f>IFERROR(__xludf.DUMMYFUNCTION("""COMPUTED_VALUE"""),1.0)</f>
        <v>1</v>
      </c>
      <c r="P1620" s="213"/>
      <c r="Q1620" s="213"/>
      <c r="R1620" s="213"/>
      <c r="S1620" s="213" t="str">
        <f>IFERROR(__xludf.DUMMYFUNCTION("""COMPUTED_VALUE"""),"SI")</f>
        <v>SI</v>
      </c>
      <c r="T1620" s="213" t="str">
        <f>IFERROR(__xludf.DUMMYFUNCTION("""COMPUTED_VALUE"""),"SI")</f>
        <v>SI</v>
      </c>
      <c r="U1620" s="213" t="str">
        <f>IFERROR(__xludf.DUMMYFUNCTION("""COMPUTED_VALUE"""),"SI")</f>
        <v>SI</v>
      </c>
      <c r="V1620" s="213" t="str">
        <f>IFERROR(__xludf.DUMMYFUNCTION("""COMPUTED_VALUE"""),"-")</f>
        <v>-</v>
      </c>
      <c r="W1620" s="213" t="str">
        <f>IFERROR(__xludf.DUMMYFUNCTION("""COMPUTED_VALUE"""),"-")</f>
        <v>-</v>
      </c>
      <c r="X1620" s="213" t="str">
        <f>IFERROR(__xludf.DUMMYFUNCTION("""COMPUTED_VALUE"""),"DOCEPRINT")</f>
        <v>DOCEPRINT</v>
      </c>
      <c r="Y1620" s="213" t="str">
        <f>IFERROR(__xludf.DUMMYFUNCTION("""COMPUTED_VALUE"""),"MÁQUINA DE GORRAS")</f>
        <v>MÁQUINA DE GORRAS</v>
      </c>
      <c r="Z1620" s="215" t="str">
        <f>IFERROR(__xludf.DUMMYFUNCTION("""COMPUTED_VALUE"""),"https://drive.google.com/file/d/1Lnbof1hrsNcq-qhUnqeuQChl9Xo1FObH/view")</f>
        <v>https://drive.google.com/file/d/1Lnbof1hrsNcq-qhUnqeuQChl9Xo1FObH/view</v>
      </c>
      <c r="AA1620" s="213" t="str">
        <f>IFERROR(__xludf.DUMMYFUNCTION("""COMPUTED_VALUE"""),"ESP-247 MÁQUINA TRANSFER BASE CURVA DIGITAL - CET")</f>
        <v>ESP-247 MÁQUINA TRANSFER BASE CURVA DIGITAL - CET</v>
      </c>
      <c r="AB1620" s="215" t="str">
        <f>IFERROR(__xludf.DUMMYFUNCTION("""COMPUTED_VALUE"""),"https://drive.google.com/file/d/1Lnbof1hrsNcq-qhUnqeuQChl9Xo1FObH/view")</f>
        <v>https://drive.google.com/file/d/1Lnbof1hrsNcq-qhUnqeuQChl9Xo1FObH/view</v>
      </c>
      <c r="AC1620" s="213"/>
      <c r="AD1620" s="213"/>
      <c r="AE1620" s="213"/>
      <c r="AF1620" s="213"/>
      <c r="AG1620" s="213"/>
      <c r="AH1620" s="213" t="str">
        <f>IFERROR(__xludf.DUMMYFUNCTION("""COMPUTED_VALUE"""),"NACIONAL")</f>
        <v>NACIONAL</v>
      </c>
      <c r="AI1620" s="213"/>
      <c r="AJ1620" s="213"/>
      <c r="AK1620" s="213"/>
      <c r="AL1620" s="213"/>
      <c r="AM1620" s="213"/>
      <c r="AN1620" s="213"/>
      <c r="AO1620" s="213"/>
      <c r="AP1620" s="213" t="str">
        <f>IFERROR(__xludf.DUMMYFUNCTION("""COMPUTED_VALUE"""),"ANTONELLA")</f>
        <v>ANTONELLA</v>
      </c>
      <c r="AQ1620" s="213"/>
      <c r="AR1620" s="213"/>
      <c r="AS1620" s="213" t="str">
        <f>IFERROR(__xludf.DUMMYFUNCTION("""COMPUTED_VALUE"""),"Accesorios para sostener gorras")</f>
        <v>Accesorios para sostener gorras</v>
      </c>
      <c r="AT1620" s="213"/>
      <c r="AU1620" s="213"/>
      <c r="AV1620" s="213"/>
      <c r="AW1620" s="213"/>
      <c r="AX1620" s="213"/>
      <c r="AY1620" s="213"/>
      <c r="AZ1620" s="213"/>
      <c r="BA1620" s="213"/>
      <c r="BB1620" s="213"/>
      <c r="BC1620" s="213"/>
      <c r="BD1620" s="213"/>
    </row>
    <row r="1621">
      <c r="A1621" s="213">
        <f>IFERROR(__xludf.DUMMYFUNCTION("""COMPUTED_VALUE"""),2421.0)</f>
        <v>2421</v>
      </c>
      <c r="B1621" s="213" t="str">
        <f>IFERROR(__xludf.DUMMYFUNCTION("""COMPUTED_VALUE"""),"MANUEL ANTONIO MESONES MURO")</f>
        <v>MANUEL ANTONIO MESONES MURO</v>
      </c>
      <c r="C1621" s="213" t="str">
        <f>IFERROR(__xludf.DUMMYFUNCTION("""COMPUTED_VALUE"""),"TALLER SFT DE INDUSTRIA DEL VESTIDO")</f>
        <v>TALLER SFT DE INDUSTRIA DEL VESTIDO</v>
      </c>
      <c r="D1621" s="213" t="str">
        <f>IFERROR(__xludf.DUMMYFUNCTION("""COMPUTED_VALUE"""),"EQUIPOS")</f>
        <v>EQUIPOS</v>
      </c>
      <c r="E1621" s="213" t="str">
        <f>IFERROR(__xludf.DUMMYFUNCTION("""COMPUTED_VALUE"""),"ESP-247")</f>
        <v>ESP-247</v>
      </c>
      <c r="F1621" s="213" t="str">
        <f>IFERROR(__xludf.DUMMYFUNCTION("""COMPUTED_VALUE"""),"ESP-247")</f>
        <v>ESP-247</v>
      </c>
      <c r="G1621" s="213"/>
      <c r="H1621" s="213" t="str">
        <f>IFERROR(__xludf.DUMMYFUNCTION("""COMPUTED_VALUE"""),"MÁQUINA TRANSFER BASE CURVA DIGITAL")</f>
        <v>MÁQUINA TRANSFER BASE CURVA DIGITAL</v>
      </c>
      <c r="I1621" s="213" t="str">
        <f>IFERROR(__xludf.DUMMYFUNCTION("""COMPUTED_VALUE"""),"·       Prensa térmica con base curva para gorras
·       Rango de tiempo de 0-999 segundos
·       Máxima temperatura: 225 C°
·       Potencia mínimo: 300W.
·       Con accesorio para sostener las gorras
·        Alimentación eléctrica : 220V/60Hz
.     "&amp;"  Dimensiones aproximadas: largo: 40cm x 30cm x 65 cm.(LxAxH)")</f>
        <v>·       Prensa térmica con base curva para gorras
·       Rango de tiempo de 0-999 segundos
·       Máxima temperatura: 225 C°
·       Potencia mínimo: 300W.
·       Con accesorio para sostener las gorras
·        Alimentación eléctrica : 220V/60Hz
.       Dimensiones aproximadas: largo: 40cm x 30cm x 65 cm.(LxAxH)</v>
      </c>
      <c r="J1621" s="213">
        <f>IFERROR(__xludf.DUMMYFUNCTION("""COMPUTED_VALUE"""),3.0)</f>
        <v>3</v>
      </c>
      <c r="K1621" s="213" t="str">
        <f>IFERROR(__xludf.DUMMYFUNCTION("""COMPUTED_VALUE"""),"170 DÍAS CALENDARIO")</f>
        <v>170 DÍAS CALENDARIO</v>
      </c>
      <c r="L1621" s="213" t="str">
        <f>IFERROR(__xludf.DUMMYFUNCTION("""COMPUTED_VALUE"""),"")</f>
        <v/>
      </c>
      <c r="M1621" s="213">
        <f>IFERROR(__xludf.DUMMYFUNCTION("""COMPUTED_VALUE"""),1.0)</f>
        <v>1</v>
      </c>
      <c r="N1621" s="213">
        <f>IFERROR(__xludf.DUMMYFUNCTION("""COMPUTED_VALUE"""),1.0)</f>
        <v>1</v>
      </c>
      <c r="O1621" s="213">
        <f>IFERROR(__xludf.DUMMYFUNCTION("""COMPUTED_VALUE"""),1.0)</f>
        <v>1</v>
      </c>
      <c r="P1621" s="213"/>
      <c r="Q1621" s="213"/>
      <c r="R1621" s="213"/>
      <c r="S1621" s="213" t="str">
        <f>IFERROR(__xludf.DUMMYFUNCTION("""COMPUTED_VALUE"""),"SI")</f>
        <v>SI</v>
      </c>
      <c r="T1621" s="213" t="str">
        <f>IFERROR(__xludf.DUMMYFUNCTION("""COMPUTED_VALUE"""),"SI")</f>
        <v>SI</v>
      </c>
      <c r="U1621" s="213" t="str">
        <f>IFERROR(__xludf.DUMMYFUNCTION("""COMPUTED_VALUE"""),"SI")</f>
        <v>SI</v>
      </c>
      <c r="V1621" s="213" t="str">
        <f>IFERROR(__xludf.DUMMYFUNCTION("""COMPUTED_VALUE"""),"-")</f>
        <v>-</v>
      </c>
      <c r="W1621" s="213" t="str">
        <f>IFERROR(__xludf.DUMMYFUNCTION("""COMPUTED_VALUE"""),"-")</f>
        <v>-</v>
      </c>
      <c r="X1621" s="213" t="str">
        <f>IFERROR(__xludf.DUMMYFUNCTION("""COMPUTED_VALUE"""),"DOCEPRINT")</f>
        <v>DOCEPRINT</v>
      </c>
      <c r="Y1621" s="213" t="str">
        <f>IFERROR(__xludf.DUMMYFUNCTION("""COMPUTED_VALUE"""),"MÁQUINA DE GORRAS")</f>
        <v>MÁQUINA DE GORRAS</v>
      </c>
      <c r="Z1621" s="215" t="str">
        <f>IFERROR(__xludf.DUMMYFUNCTION("""COMPUTED_VALUE"""),"https://drive.google.com/file/d/1Lnbof1hrsNcq-qhUnqeuQChl9Xo1FObH/view")</f>
        <v>https://drive.google.com/file/d/1Lnbof1hrsNcq-qhUnqeuQChl9Xo1FObH/view</v>
      </c>
      <c r="AA1621" s="213" t="str">
        <f>IFERROR(__xludf.DUMMYFUNCTION("""COMPUTED_VALUE"""),"ESP-247 MÁQUINA TRANSFER BASE CURVA DIGITAL - CET")</f>
        <v>ESP-247 MÁQUINA TRANSFER BASE CURVA DIGITAL - CET</v>
      </c>
      <c r="AB1621" s="215" t="str">
        <f>IFERROR(__xludf.DUMMYFUNCTION("""COMPUTED_VALUE"""),"https://drive.google.com/file/d/1Lnbof1hrsNcq-qhUnqeuQChl9Xo1FObH/view")</f>
        <v>https://drive.google.com/file/d/1Lnbof1hrsNcq-qhUnqeuQChl9Xo1FObH/view</v>
      </c>
      <c r="AC1621" s="213"/>
      <c r="AD1621" s="213"/>
      <c r="AE1621" s="213"/>
      <c r="AF1621" s="213"/>
      <c r="AG1621" s="213"/>
      <c r="AH1621" s="213" t="str">
        <f>IFERROR(__xludf.DUMMYFUNCTION("""COMPUTED_VALUE"""),"NACIONAL")</f>
        <v>NACIONAL</v>
      </c>
      <c r="AI1621" s="213"/>
      <c r="AJ1621" s="213"/>
      <c r="AK1621" s="213"/>
      <c r="AL1621" s="213"/>
      <c r="AM1621" s="213"/>
      <c r="AN1621" s="213"/>
      <c r="AO1621" s="213"/>
      <c r="AP1621" s="213" t="str">
        <f>IFERROR(__xludf.DUMMYFUNCTION("""COMPUTED_VALUE"""),"ANTONELLA")</f>
        <v>ANTONELLA</v>
      </c>
      <c r="AQ1621" s="213"/>
      <c r="AR1621" s="213"/>
      <c r="AS1621" s="213" t="str">
        <f>IFERROR(__xludf.DUMMYFUNCTION("""COMPUTED_VALUE"""),"Accesorios para sostener gorras")</f>
        <v>Accesorios para sostener gorras</v>
      </c>
      <c r="AT1621" s="213"/>
      <c r="AU1621" s="213"/>
      <c r="AV1621" s="213"/>
      <c r="AW1621" s="213"/>
      <c r="AX1621" s="213"/>
      <c r="AY1621" s="213"/>
      <c r="AZ1621" s="213"/>
      <c r="BA1621" s="213"/>
      <c r="BB1621" s="213"/>
      <c r="BC1621" s="213"/>
      <c r="BD1621" s="213"/>
    </row>
    <row r="1622">
      <c r="A1622" s="213">
        <f>IFERROR(__xludf.DUMMYFUNCTION("""COMPUTED_VALUE"""),198.0)</f>
        <v>198</v>
      </c>
      <c r="B1622" s="213" t="str">
        <f>IFERROR(__xludf.DUMMYFUNCTION("""COMPUTED_VALUE"""),"2026 SIMON BOLIVAR")</f>
        <v>2026 SIMON BOLIVAR</v>
      </c>
      <c r="C1622" s="213" t="str">
        <f>IFERROR(__xludf.DUMMYFUNCTION("""COMPUTED_VALUE"""),"TALLER SFT DE INDUSTRIA DEL VESTIDO")</f>
        <v>TALLER SFT DE INDUSTRIA DEL VESTIDO</v>
      </c>
      <c r="D1622" s="213" t="str">
        <f>IFERROR(__xludf.DUMMYFUNCTION("""COMPUTED_VALUE"""),"EQUIPOS")</f>
        <v>EQUIPOS</v>
      </c>
      <c r="E1622" s="213" t="str">
        <f>IFERROR(__xludf.DUMMYFUNCTION("""COMPUTED_VALUE"""),"ESP-248")</f>
        <v>ESP-248</v>
      </c>
      <c r="F1622" s="213" t="str">
        <f>IFERROR(__xludf.DUMMYFUNCTION("""COMPUTED_VALUE"""),"ESP-248")</f>
        <v>ESP-248</v>
      </c>
      <c r="G1622" s="213"/>
      <c r="H1622" s="213" t="str">
        <f>IFERROR(__xludf.DUMMYFUNCTION("""COMPUTED_VALUE"""),"MÁQUINA TRANSFER BASE PLANA DIGITAL")</f>
        <v>MÁQUINA TRANSFER BASE PLANA DIGITAL</v>
      </c>
      <c r="I1622" s="213" t="str">
        <f>IFERROR(__xludf.DUMMYFUNCTION("""COMPUTED_VALUE"""),"· De superficie plana para estampados e impresiones en telas, nylon y algodón, conserva el patrón del color.
·  Área de trabajo aproximado 40 cm x 60 cm
·   Apertura y cierre manual
·   Cabezal con calentador eléctrico
·   Termostato digital de 0°C – 999°"&amp;"C
·   Rango normal de temperatura: 200°C
·   Temporizador de  0  a 60 segundos
·   Control de tiempo con timbre automático
·  Teflón resistente (temperatura máxima 225°C)
·   Potencia mínima: 1300 W
·   Alimentación eléctrica: 220V/60Hz
.   Dimensiones ap"&amp;"roximadas (+-5cm): 90cm x 45cm x 55cm (LxAxH)")</f>
        <v>· De superficie plana para estampados e impresiones en telas, nylon y algodón, conserva el patrón del color.
·  Área de trabajo aproximado 40 cm x 60 cm
·   Apertura y cierre manual
·   Cabezal con calentador eléctrico
·   Termostato digital de 0°C – 999°C
·   Rango normal de temperatura: 200°C
·   Temporizador de  0  a 60 segundos
·   Control de tiempo con timbre automático
·  Teflón resistente (temperatura máxima 225°C)
·   Potencia mínima: 1300 W
·   Alimentación eléctrica: 220V/60Hz
.   Dimensiones aproximadas (+-5cm): 90cm x 45cm x 55cm (LxAxH)</v>
      </c>
      <c r="J1622" s="213">
        <f>IFERROR(__xludf.DUMMYFUNCTION("""COMPUTED_VALUE"""),3.0)</f>
        <v>3</v>
      </c>
      <c r="K1622" s="213" t="str">
        <f>IFERROR(__xludf.DUMMYFUNCTION("""COMPUTED_VALUE"""),"170 DÍAS CALENDARIO")</f>
        <v>170 DÍAS CALENDARIO</v>
      </c>
      <c r="L1622" s="213" t="str">
        <f>IFERROR(__xludf.DUMMYFUNCTION("""COMPUTED_VALUE"""),"")</f>
        <v/>
      </c>
      <c r="M1622" s="213">
        <f>IFERROR(__xludf.DUMMYFUNCTION("""COMPUTED_VALUE"""),1.0)</f>
        <v>1</v>
      </c>
      <c r="N1622" s="213">
        <f>IFERROR(__xludf.DUMMYFUNCTION("""COMPUTED_VALUE"""),1.0)</f>
        <v>1</v>
      </c>
      <c r="O1622" s="213">
        <f>IFERROR(__xludf.DUMMYFUNCTION("""COMPUTED_VALUE"""),1.0)</f>
        <v>1</v>
      </c>
      <c r="P1622" s="213"/>
      <c r="Q1622" s="213"/>
      <c r="R1622" s="213"/>
      <c r="S1622" s="213" t="str">
        <f>IFERROR(__xludf.DUMMYFUNCTION("""COMPUTED_VALUE"""),"SI")</f>
        <v>SI</v>
      </c>
      <c r="T1622" s="213" t="str">
        <f>IFERROR(__xludf.DUMMYFUNCTION("""COMPUTED_VALUE"""),"SI")</f>
        <v>SI</v>
      </c>
      <c r="U1622" s="213" t="str">
        <f>IFERROR(__xludf.DUMMYFUNCTION("""COMPUTED_VALUE"""),"NO")</f>
        <v>NO</v>
      </c>
      <c r="V1622" s="213" t="str">
        <f>IFERROR(__xludf.DUMMYFUNCTION("""COMPUTED_VALUE"""),"SUSTENTO")</f>
        <v>SUSTENTO</v>
      </c>
      <c r="W1622" s="213"/>
      <c r="X1622" s="213" t="str">
        <f>IFERROR(__xludf.DUMMYFUNCTION("""COMPUTED_VALUE"""),"IMPORTECDIGITAL")</f>
        <v>IMPORTECDIGITAL</v>
      </c>
      <c r="Y1622" s="213" t="str">
        <f>IFERROR(__xludf.DUMMYFUNCTION("""COMPUTED_VALUE"""),"Plancha Plana con apertura Automatica medida 40x60cm")</f>
        <v>Plancha Plana con apertura Automatica medida 40x60cm</v>
      </c>
      <c r="Z1622" s="215" t="str">
        <f>IFERROR(__xludf.DUMMYFUNCTION("""COMPUTED_VALUE"""),"https://drive.google.com/file/d/1exMBFhzf-zOtwPGEUQx0NZFWfp_qYKrM/view?usp=sharing")</f>
        <v>https://drive.google.com/file/d/1exMBFhzf-zOtwPGEUQx0NZFWfp_qYKrM/view?usp=sharing</v>
      </c>
      <c r="AA1622" s="213" t="str">
        <f>IFERROR(__xludf.DUMMYFUNCTION("""COMPUTED_VALUE"""),"ESP-248 MÁQUINA TRANSFER BASE PLANA DIGITAL - CET")</f>
        <v>ESP-248 MÁQUINA TRANSFER BASE PLANA DIGITAL - CET</v>
      </c>
      <c r="AB1622" s="215" t="str">
        <f>IFERROR(__xludf.DUMMYFUNCTION("""COMPUTED_VALUE"""),"https://drive.google.com/file/d/1exMBFhzf-zOtwPGEUQx0NZFWfp_qYKrM/view?usp=sharing")</f>
        <v>https://drive.google.com/file/d/1exMBFhzf-zOtwPGEUQx0NZFWfp_qYKrM/view?usp=sharing</v>
      </c>
      <c r="AC1622" s="213"/>
      <c r="AD1622" s="213"/>
      <c r="AE1622" s="213"/>
      <c r="AF1622" s="213"/>
      <c r="AG1622" s="213"/>
      <c r="AH1622" s="213" t="str">
        <f>IFERROR(__xludf.DUMMYFUNCTION("""COMPUTED_VALUE"""),"NACIONAL")</f>
        <v>NACIONAL</v>
      </c>
      <c r="AI1622" s="213"/>
      <c r="AJ1622" s="213"/>
      <c r="AK1622" s="213"/>
      <c r="AL1622" s="213"/>
      <c r="AM1622" s="213"/>
      <c r="AN1622" s="213"/>
      <c r="AO1622" s="213"/>
      <c r="AP1622" s="213" t="str">
        <f>IFERROR(__xludf.DUMMYFUNCTION("""COMPUTED_VALUE"""),"ANTONELLA")</f>
        <v>ANTONELLA</v>
      </c>
      <c r="AQ1622" s="213" t="str">
        <f>IFERROR(__xludf.DUMMYFUNCTION("""COMPUTED_VALUE"""),"El modelo DOCE es el mejor, pero podría dispararse en cuanto a potencia.")</f>
        <v>El modelo DOCE es el mejor, pero podría dispararse en cuanto a potencia.</v>
      </c>
      <c r="AR1622" s="213"/>
      <c r="AS1622" s="213"/>
      <c r="AT1622" s="213"/>
      <c r="AU1622" s="213"/>
      <c r="AV1622" s="213"/>
      <c r="AW1622" s="213"/>
      <c r="AX1622" s="213"/>
      <c r="AY1622" s="213"/>
      <c r="AZ1622" s="213"/>
      <c r="BA1622" s="213"/>
      <c r="BB1622" s="213"/>
      <c r="BC1622" s="213"/>
      <c r="BD1622" s="213"/>
    </row>
    <row r="1623">
      <c r="A1623" s="213">
        <f>IFERROR(__xludf.DUMMYFUNCTION("""COMPUTED_VALUE"""),2420.0)</f>
        <v>2420</v>
      </c>
      <c r="B1623" s="213" t="str">
        <f>IFERROR(__xludf.DUMMYFUNCTION("""COMPUTED_VALUE"""),"MANUEL ANTONIO MESONES MURO")</f>
        <v>MANUEL ANTONIO MESONES MURO</v>
      </c>
      <c r="C1623" s="213" t="str">
        <f>IFERROR(__xludf.DUMMYFUNCTION("""COMPUTED_VALUE"""),"TALLER SFT DE INDUSTRIA DEL VESTIDO")</f>
        <v>TALLER SFT DE INDUSTRIA DEL VESTIDO</v>
      </c>
      <c r="D1623" s="213" t="str">
        <f>IFERROR(__xludf.DUMMYFUNCTION("""COMPUTED_VALUE"""),"EQUIPOS")</f>
        <v>EQUIPOS</v>
      </c>
      <c r="E1623" s="213" t="str">
        <f>IFERROR(__xludf.DUMMYFUNCTION("""COMPUTED_VALUE"""),"ESP-248")</f>
        <v>ESP-248</v>
      </c>
      <c r="F1623" s="213" t="str">
        <f>IFERROR(__xludf.DUMMYFUNCTION("""COMPUTED_VALUE"""),"ESP-248")</f>
        <v>ESP-248</v>
      </c>
      <c r="G1623" s="213"/>
      <c r="H1623" s="213" t="str">
        <f>IFERROR(__xludf.DUMMYFUNCTION("""COMPUTED_VALUE"""),"MÁQUINA TRANSFER BASE PLANA DIGITAL")</f>
        <v>MÁQUINA TRANSFER BASE PLANA DIGITAL</v>
      </c>
      <c r="I1623" s="213" t="str">
        <f>IFERROR(__xludf.DUMMYFUNCTION("""COMPUTED_VALUE"""),"· De superficie plana para estampados e impresiones en telas, nylon y algodón, conserva el patrón del color.
·  Área de trabajo aproximado 40 cm x 60 cm
·   Apertura y cierre manual
·   Cabezal con calentador eléctrico
·   Termostato digital de 0°C – 999°"&amp;"C
·   Rango normal de temperatura: 200°C
·   Temporizador de  0  a 60 segundos
·   Control de tiempo con timbre automático
·  Teflón resistente (temperatura máxima 225°C)
·   Potencia mínima: 1300 W
·   Alimentación eléctrica: 220V/60Hz
.   Dimensiones ap"&amp;"roximadas (+-5cm): 90cm x 45cm x 55cm (LxAxH)")</f>
        <v>· De superficie plana para estampados e impresiones en telas, nylon y algodón, conserva el patrón del color.
·  Área de trabajo aproximado 40 cm x 60 cm
·   Apertura y cierre manual
·   Cabezal con calentador eléctrico
·   Termostato digital de 0°C – 999°C
·   Rango normal de temperatura: 200°C
·   Temporizador de  0  a 60 segundos
·   Control de tiempo con timbre automático
·  Teflón resistente (temperatura máxima 225°C)
·   Potencia mínima: 1300 W
·   Alimentación eléctrica: 220V/60Hz
.   Dimensiones aproximadas (+-5cm): 90cm x 45cm x 55cm (LxAxH)</v>
      </c>
      <c r="J1623" s="213">
        <f>IFERROR(__xludf.DUMMYFUNCTION("""COMPUTED_VALUE"""),3.0)</f>
        <v>3</v>
      </c>
      <c r="K1623" s="213" t="str">
        <f>IFERROR(__xludf.DUMMYFUNCTION("""COMPUTED_VALUE"""),"170 DÍAS CALENDARIO")</f>
        <v>170 DÍAS CALENDARIO</v>
      </c>
      <c r="L1623" s="213" t="str">
        <f>IFERROR(__xludf.DUMMYFUNCTION("""COMPUTED_VALUE"""),"")</f>
        <v/>
      </c>
      <c r="M1623" s="213">
        <f>IFERROR(__xludf.DUMMYFUNCTION("""COMPUTED_VALUE"""),1.0)</f>
        <v>1</v>
      </c>
      <c r="N1623" s="213">
        <f>IFERROR(__xludf.DUMMYFUNCTION("""COMPUTED_VALUE"""),1.0)</f>
        <v>1</v>
      </c>
      <c r="O1623" s="213">
        <f>IFERROR(__xludf.DUMMYFUNCTION("""COMPUTED_VALUE"""),1.0)</f>
        <v>1</v>
      </c>
      <c r="P1623" s="213"/>
      <c r="Q1623" s="213"/>
      <c r="R1623" s="213"/>
      <c r="S1623" s="213" t="str">
        <f>IFERROR(__xludf.DUMMYFUNCTION("""COMPUTED_VALUE"""),"SI")</f>
        <v>SI</v>
      </c>
      <c r="T1623" s="213" t="str">
        <f>IFERROR(__xludf.DUMMYFUNCTION("""COMPUTED_VALUE"""),"SI")</f>
        <v>SI</v>
      </c>
      <c r="U1623" s="213" t="str">
        <f>IFERROR(__xludf.DUMMYFUNCTION("""COMPUTED_VALUE"""),"NO")</f>
        <v>NO</v>
      </c>
      <c r="V1623" s="213" t="str">
        <f>IFERROR(__xludf.DUMMYFUNCTION("""COMPUTED_VALUE"""),"SUSTENTO")</f>
        <v>SUSTENTO</v>
      </c>
      <c r="W1623" s="213"/>
      <c r="X1623" s="213" t="str">
        <f>IFERROR(__xludf.DUMMYFUNCTION("""COMPUTED_VALUE"""),"IMPORTECDIGITAL")</f>
        <v>IMPORTECDIGITAL</v>
      </c>
      <c r="Y1623" s="213" t="str">
        <f>IFERROR(__xludf.DUMMYFUNCTION("""COMPUTED_VALUE"""),"Plancha Plana con apertura Automatica medida 40x60cm")</f>
        <v>Plancha Plana con apertura Automatica medida 40x60cm</v>
      </c>
      <c r="Z1623" s="215" t="str">
        <f>IFERROR(__xludf.DUMMYFUNCTION("""COMPUTED_VALUE"""),"https://drive.google.com/file/d/1exMBFhzf-zOtwPGEUQx0NZFWfp_qYKrM/view?usp=sharing")</f>
        <v>https://drive.google.com/file/d/1exMBFhzf-zOtwPGEUQx0NZFWfp_qYKrM/view?usp=sharing</v>
      </c>
      <c r="AA1623" s="213" t="str">
        <f>IFERROR(__xludf.DUMMYFUNCTION("""COMPUTED_VALUE"""),"ESP-248 MÁQUINA TRANSFER BASE PLANA DIGITAL - CET")</f>
        <v>ESP-248 MÁQUINA TRANSFER BASE PLANA DIGITAL - CET</v>
      </c>
      <c r="AB1623" s="215" t="str">
        <f>IFERROR(__xludf.DUMMYFUNCTION("""COMPUTED_VALUE"""),"https://drive.google.com/file/d/1exMBFhzf-zOtwPGEUQx0NZFWfp_qYKrM/view?usp=sharing")</f>
        <v>https://drive.google.com/file/d/1exMBFhzf-zOtwPGEUQx0NZFWfp_qYKrM/view?usp=sharing</v>
      </c>
      <c r="AC1623" s="213"/>
      <c r="AD1623" s="213"/>
      <c r="AE1623" s="213"/>
      <c r="AF1623" s="213"/>
      <c r="AG1623" s="213"/>
      <c r="AH1623" s="213" t="str">
        <f>IFERROR(__xludf.DUMMYFUNCTION("""COMPUTED_VALUE"""),"NACIONAL")</f>
        <v>NACIONAL</v>
      </c>
      <c r="AI1623" s="213"/>
      <c r="AJ1623" s="213"/>
      <c r="AK1623" s="213"/>
      <c r="AL1623" s="213"/>
      <c r="AM1623" s="213"/>
      <c r="AN1623" s="213"/>
      <c r="AO1623" s="213"/>
      <c r="AP1623" s="213" t="str">
        <f>IFERROR(__xludf.DUMMYFUNCTION("""COMPUTED_VALUE"""),"ANTONELLA")</f>
        <v>ANTONELLA</v>
      </c>
      <c r="AQ1623" s="213" t="str">
        <f>IFERROR(__xludf.DUMMYFUNCTION("""COMPUTED_VALUE"""),"El modelo DOCE es el mejor, pero podría dispararse en cuanto a potencia.")</f>
        <v>El modelo DOCE es el mejor, pero podría dispararse en cuanto a potencia.</v>
      </c>
      <c r="AR1623" s="213"/>
      <c r="AS1623" s="213"/>
      <c r="AT1623" s="213"/>
      <c r="AU1623" s="213"/>
      <c r="AV1623" s="213"/>
      <c r="AW1623" s="213"/>
      <c r="AX1623" s="213"/>
      <c r="AY1623" s="213"/>
      <c r="AZ1623" s="213"/>
      <c r="BA1623" s="213"/>
      <c r="BB1623" s="213"/>
      <c r="BC1623" s="213"/>
      <c r="BD1623" s="213"/>
    </row>
    <row r="1624">
      <c r="A1624" s="213">
        <f>IFERROR(__xludf.DUMMYFUNCTION("""COMPUTED_VALUE"""),275.0)</f>
        <v>275</v>
      </c>
      <c r="B1624" s="213" t="str">
        <f>IFERROR(__xludf.DUMMYFUNCTION("""COMPUTED_VALUE"""),"2026 SIMON BOLIVAR")</f>
        <v>2026 SIMON BOLIVAR</v>
      </c>
      <c r="C1624" s="213" t="str">
        <f>IFERROR(__xludf.DUMMYFUNCTION("""COMPUTED_VALUE"""),"TALLER SFT DE COMPUTACIÓN E INFORMÁTICA")</f>
        <v>TALLER SFT DE COMPUTACIÓN E INFORMÁTICA</v>
      </c>
      <c r="D1624" s="213" t="str">
        <f>IFERROR(__xludf.DUMMYFUNCTION("""COMPUTED_VALUE"""),"EQUIPOS")</f>
        <v>EQUIPOS</v>
      </c>
      <c r="E1624" s="213" t="str">
        <f>IFERROR(__xludf.DUMMYFUNCTION("""COMPUTED_VALUE"""),"ESP-249")</f>
        <v>ESP-249</v>
      </c>
      <c r="F1624" s="213" t="str">
        <f>IFERROR(__xludf.DUMMYFUNCTION("""COMPUTED_VALUE"""),"ESP-249")</f>
        <v>ESP-249</v>
      </c>
      <c r="G1624" s="213"/>
      <c r="H1624" s="213" t="str">
        <f>IFERROR(__xludf.DUMMYFUNCTION("""COMPUTED_VALUE"""),"MÁQUINA TRANSFER DIGITAL CON ACCESORIOS PARA PRENDAS, GORRO, PLATOS, TAZAS, BOTELLAS")</f>
        <v>MÁQUINA TRANSFER DIGITAL CON ACCESORIOS PARA PRENDAS, GORRO, PLATOS, TAZAS, BOTELLAS</v>
      </c>
      <c r="I1624" s="213" t="str">
        <f>IFERROR(__xludf.DUMMYFUNCTION("""COMPUTED_VALUE"""),"·  Para estampar polos, gorros u otras prendas u objetos textiles planos.
·  Controlador digital de temperatura y tiempo de LED
·  Rotación completa de 360 grados de oscilación-lejos el diseño
·  Escala Fahrenheit y Celsius son seleccionables
·  Rango de "&amp;"temperatura:32-480ºF (0-250 º C)
·  Temporizador: 0-999 segundos
·  Altura ajustable: 13 1/2""""-17"""" (34-43cm)
·  Potencia: 1400W
·  Entrada de energía: 220 V
·  Plataforma inferior desmontable INCLUYE:
-   Plancha térmica de 12” x 15” como mínimo
-   "&amp;"Resistencia para gorros de 6” x 3” como mínimo
·  Resistencia para tazas, tomatodos, chops, taza cónica de diversos tamaños.
.  Dimensiones: L0.80 m x A0.60 m x H0.60 m.")</f>
        <v>·  Para estampar polos, gorros u otras prendas u objetos textiles planos.
·  Controlador digital de temperatura y tiempo de LED
·  Rotación completa de 360 grados de oscilación-lejos el diseño
·  Escala Fahrenheit y Celsius son seleccionables
·  Rango de temperatura:32-480ºF (0-250 º C)
·  Temporizador: 0-999 segundos
·  Altura ajustable: 13 1/2""-17"" (34-43cm)
·  Potencia: 1400W
·  Entrada de energía: 220 V
·  Plataforma inferior desmontable INCLUYE:
-   Plancha térmica de 12” x 15” como mínimo
-   Resistencia para gorros de 6” x 3” como mínimo
·  Resistencia para tazas, tomatodos, chops, taza cónica de diversos tamaños.
.  Dimensiones: L0.80 m x A0.60 m x H0.60 m.</v>
      </c>
      <c r="J1624" s="213">
        <f>IFERROR(__xludf.DUMMYFUNCTION("""COMPUTED_VALUE"""),3.0)</f>
        <v>3</v>
      </c>
      <c r="K1624" s="213" t="str">
        <f>IFERROR(__xludf.DUMMYFUNCTION("""COMPUTED_VALUE"""),"170 DÍAS CALENDARIO")</f>
        <v>170 DÍAS CALENDARIO</v>
      </c>
      <c r="L1624" s="213" t="str">
        <f>IFERROR(__xludf.DUMMYFUNCTION("""COMPUTED_VALUE"""),"")</f>
        <v/>
      </c>
      <c r="M1624" s="213">
        <f>IFERROR(__xludf.DUMMYFUNCTION("""COMPUTED_VALUE"""),1.0)</f>
        <v>1</v>
      </c>
      <c r="N1624" s="213">
        <f>IFERROR(__xludf.DUMMYFUNCTION("""COMPUTED_VALUE"""),1.0)</f>
        <v>1</v>
      </c>
      <c r="O1624" s="213">
        <f>IFERROR(__xludf.DUMMYFUNCTION("""COMPUTED_VALUE"""),1.0)</f>
        <v>1</v>
      </c>
      <c r="P1624" s="213"/>
      <c r="Q1624" s="213"/>
      <c r="R1624" s="213"/>
      <c r="S1624" s="213" t="str">
        <f>IFERROR(__xludf.DUMMYFUNCTION("""COMPUTED_VALUE"""),"SI")</f>
        <v>SI</v>
      </c>
      <c r="T1624" s="213" t="str">
        <f>IFERROR(__xludf.DUMMYFUNCTION("""COMPUTED_VALUE"""),"CONSULTA FINAL")</f>
        <v>CONSULTA FINAL</v>
      </c>
      <c r="U1624" s="213" t="str">
        <f>IFERROR(__xludf.DUMMYFUNCTION("""COMPUTED_VALUE"""),"NO")</f>
        <v>NO</v>
      </c>
      <c r="V1624" s="213" t="str">
        <f>IFERROR(__xludf.DUMMYFUNCTION("""COMPUTED_VALUE"""),"SUSTENTO")</f>
        <v>SUSTENTO</v>
      </c>
      <c r="W1624" s="213" t="str">
        <f>IFERROR(__xludf.DUMMYFUNCTION("""COMPUTED_VALUE"""),"DIMENSIONAL, ELÉCTRICO, ERROR EETT, EQU TEC")</f>
        <v>DIMENSIONAL, ELÉCTRICO, ERROR EETT, EQU TEC</v>
      </c>
      <c r="X1624" s="213" t="str">
        <f>IFERROR(__xludf.DUMMYFUNCTION("""COMPUTED_VALUE"""),"Sunmeta Digital Graphic Co., Ltd")</f>
        <v>Sunmeta Digital Graphic Co., Ltd</v>
      </c>
      <c r="Y1624" s="213" t="str">
        <f>IFERROR(__xludf.DUMMYFUNCTION("""COMPUTED_VALUE"""),"SB-400E")</f>
        <v>SB-400E</v>
      </c>
      <c r="Z1624" s="213" t="str">
        <f>IFERROR(__xludf.DUMMYFUNCTION("""COMPUTED_VALUE"""),"EPT GENERAL")</f>
        <v>EPT GENERAL</v>
      </c>
      <c r="AA1624" s="213" t="str">
        <f>IFERROR(__xludf.DUMMYFUNCTION("""COMPUTED_VALUE"""),"ESP-249 MÁQUINA TRANSFER DIGITAL CON ACCESORIOS PARA PRENDAS, GORRO, PLATOS, TAZAS, BOTELLAS - CET")</f>
        <v>ESP-249 MÁQUINA TRANSFER DIGITAL CON ACCESORIOS PARA PRENDAS, GORRO, PLATOS, TAZAS, BOTELLAS - CET</v>
      </c>
      <c r="AB1624" s="213"/>
      <c r="AC1624" s="213"/>
      <c r="AD1624" s="213"/>
      <c r="AE1624" s="213"/>
      <c r="AF1624" s="213"/>
      <c r="AG1624" s="213"/>
      <c r="AH1624" s="213"/>
      <c r="AI1624" s="213"/>
      <c r="AJ1624" s="213"/>
      <c r="AK1624" s="213"/>
      <c r="AL1624" s="213"/>
      <c r="AM1624" s="213"/>
      <c r="AN1624" s="213"/>
      <c r="AO1624" s="213"/>
      <c r="AP1624" s="213" t="str">
        <f>IFERROR(__xludf.DUMMYFUNCTION("""COMPUTED_VALUE"""),"ANTONELLA")</f>
        <v>ANTONELLA</v>
      </c>
      <c r="AQ1624" s="213" t="str">
        <f>IFERROR(__xludf.DUMMYFUNCTION("""COMPUTED_VALUE"""),"Las EETT están peculiarmente indicadas, por lo que no se puede cumplir precisamente con todos los puntos. Algún tambien estan dispuestos a la interpretación.")</f>
        <v>Las EETT están peculiarmente indicadas, por lo que no se puede cumplir precisamente con todos los puntos. Algún tambien estan dispuestos a la interpretación.</v>
      </c>
      <c r="AR1624" s="213"/>
      <c r="AS1624" s="213"/>
      <c r="AT1624" s="213"/>
      <c r="AU1624" s="213"/>
      <c r="AV1624" s="213"/>
      <c r="AW1624" s="213"/>
      <c r="AX1624" s="213"/>
      <c r="AY1624" s="213"/>
      <c r="AZ1624" s="213"/>
      <c r="BA1624" s="213"/>
      <c r="BB1624" s="213"/>
      <c r="BC1624" s="213"/>
      <c r="BD1624" s="213"/>
    </row>
    <row r="1625">
      <c r="A1625" s="213">
        <f>IFERROR(__xludf.DUMMYFUNCTION("""COMPUTED_VALUE"""),760.0)</f>
        <v>760</v>
      </c>
      <c r="B1625" s="213" t="str">
        <f>IFERROR(__xludf.DUMMYFUNCTION("""COMPUTED_VALUE"""),"6049 RICARDO PALMA")</f>
        <v>6049 RICARDO PALMA</v>
      </c>
      <c r="C1625" s="213" t="str">
        <f>IFERROR(__xludf.DUMMYFUNCTION("""COMPUTED_VALUE"""),"TALLER SFT DE COMPUTACIÓN E INFORMÁTICA")</f>
        <v>TALLER SFT DE COMPUTACIÓN E INFORMÁTICA</v>
      </c>
      <c r="D1625" s="213" t="str">
        <f>IFERROR(__xludf.DUMMYFUNCTION("""COMPUTED_VALUE"""),"EQUIPOS")</f>
        <v>EQUIPOS</v>
      </c>
      <c r="E1625" s="213" t="str">
        <f>IFERROR(__xludf.DUMMYFUNCTION("""COMPUTED_VALUE"""),"ESP-249")</f>
        <v>ESP-249</v>
      </c>
      <c r="F1625" s="213" t="str">
        <f>IFERROR(__xludf.DUMMYFUNCTION("""COMPUTED_VALUE"""),"ESP-249")</f>
        <v>ESP-249</v>
      </c>
      <c r="G1625" s="213"/>
      <c r="H1625" s="213" t="str">
        <f>IFERROR(__xludf.DUMMYFUNCTION("""COMPUTED_VALUE"""),"MÁQUINA TRANSFER DIGITAL CON ACCESORIOS PARA PRENDAS, GORRO, PLATOS, TAZAS, BOTELLAS")</f>
        <v>MÁQUINA TRANSFER DIGITAL CON ACCESORIOS PARA PRENDAS, GORRO, PLATOS, TAZAS, BOTELLAS</v>
      </c>
      <c r="I1625" s="213" t="str">
        <f>IFERROR(__xludf.DUMMYFUNCTION("""COMPUTED_VALUE"""),"·  Para estampar polos, gorros u otras prendas u objetos textiles planos.
·  Controlador digital de temperatura y tiempo de LED
·  Rotación completa de 360 grados de oscilación-lejos el diseño
·  Escala Fahrenheit y Celsius son seleccionables
·  Rango de "&amp;"temperatura:32-480ºF (0-250 º C)
·  Temporizador: 0-999 segundos
·  Altura ajustable: 13 1/2""""-17"""" (34-43cm)
·  Potencia: 1400W
·  Entrada de energía: 220 V
·  Plataforma inferior desmontable INCLUYE:
-   Plancha térmica de 12” x 15” como mínimo
-   "&amp;"Resistencia para gorros de 6” x 3” como mínimo
·  Resistencia para tazas, tomatodos, chops, taza cónica de diversos tamaños.
.  Dimensiones: L0.80 m x A0.60 m x H0.60 m.")</f>
        <v>·  Para estampar polos, gorros u otras prendas u objetos textiles planos.
·  Controlador digital de temperatura y tiempo de LED
·  Rotación completa de 360 grados de oscilación-lejos el diseño
·  Escala Fahrenheit y Celsius son seleccionables
·  Rango de temperatura:32-480ºF (0-250 º C)
·  Temporizador: 0-999 segundos
·  Altura ajustable: 13 1/2""-17"" (34-43cm)
·  Potencia: 1400W
·  Entrada de energía: 220 V
·  Plataforma inferior desmontable INCLUYE:
-   Plancha térmica de 12” x 15” como mínimo
-   Resistencia para gorros de 6” x 3” como mínimo
·  Resistencia para tazas, tomatodos, chops, taza cónica de diversos tamaños.
.  Dimensiones: L0.80 m x A0.60 m x H0.60 m.</v>
      </c>
      <c r="J1625" s="213">
        <f>IFERROR(__xludf.DUMMYFUNCTION("""COMPUTED_VALUE"""),3.0)</f>
        <v>3</v>
      </c>
      <c r="K1625" s="213" t="str">
        <f>IFERROR(__xludf.DUMMYFUNCTION("""COMPUTED_VALUE"""),"170 DÍAS CALENDARIO")</f>
        <v>170 DÍAS CALENDARIO</v>
      </c>
      <c r="L1625" s="213" t="str">
        <f>IFERROR(__xludf.DUMMYFUNCTION("""COMPUTED_VALUE"""),"")</f>
        <v/>
      </c>
      <c r="M1625" s="213">
        <f>IFERROR(__xludf.DUMMYFUNCTION("""COMPUTED_VALUE"""),1.0)</f>
        <v>1</v>
      </c>
      <c r="N1625" s="213">
        <f>IFERROR(__xludf.DUMMYFUNCTION("""COMPUTED_VALUE"""),1.0)</f>
        <v>1</v>
      </c>
      <c r="O1625" s="213">
        <f>IFERROR(__xludf.DUMMYFUNCTION("""COMPUTED_VALUE"""),1.0)</f>
        <v>1</v>
      </c>
      <c r="P1625" s="213"/>
      <c r="Q1625" s="213"/>
      <c r="R1625" s="213"/>
      <c r="S1625" s="213" t="str">
        <f>IFERROR(__xludf.DUMMYFUNCTION("""COMPUTED_VALUE"""),"SI")</f>
        <v>SI</v>
      </c>
      <c r="T1625" s="213" t="str">
        <f>IFERROR(__xludf.DUMMYFUNCTION("""COMPUTED_VALUE"""),"CONSULTA FINAL")</f>
        <v>CONSULTA FINAL</v>
      </c>
      <c r="U1625" s="213" t="str">
        <f>IFERROR(__xludf.DUMMYFUNCTION("""COMPUTED_VALUE"""),"NO")</f>
        <v>NO</v>
      </c>
      <c r="V1625" s="213" t="str">
        <f>IFERROR(__xludf.DUMMYFUNCTION("""COMPUTED_VALUE"""),"SUSTENTO")</f>
        <v>SUSTENTO</v>
      </c>
      <c r="W1625" s="213" t="str">
        <f>IFERROR(__xludf.DUMMYFUNCTION("""COMPUTED_VALUE"""),"DIMENSIONAL, ELÉCTRICO, ERROR EETT, EQU TEC")</f>
        <v>DIMENSIONAL, ELÉCTRICO, ERROR EETT, EQU TEC</v>
      </c>
      <c r="X1625" s="213" t="str">
        <f>IFERROR(__xludf.DUMMYFUNCTION("""COMPUTED_VALUE"""),"Sunmeta Digital Graphic Co., Ltd")</f>
        <v>Sunmeta Digital Graphic Co., Ltd</v>
      </c>
      <c r="Y1625" s="213" t="str">
        <f>IFERROR(__xludf.DUMMYFUNCTION("""COMPUTED_VALUE"""),"SB-400E")</f>
        <v>SB-400E</v>
      </c>
      <c r="Z1625" s="213" t="str">
        <f>IFERROR(__xludf.DUMMYFUNCTION("""COMPUTED_VALUE"""),"EPT GENERAL")</f>
        <v>EPT GENERAL</v>
      </c>
      <c r="AA1625" s="213" t="str">
        <f>IFERROR(__xludf.DUMMYFUNCTION("""COMPUTED_VALUE"""),"ESP-249 MÁQUINA TRANSFER DIGITAL CON ACCESORIOS PARA PRENDAS, GORRO, PLATOS, TAZAS, BOTELLAS - CET")</f>
        <v>ESP-249 MÁQUINA TRANSFER DIGITAL CON ACCESORIOS PARA PRENDAS, GORRO, PLATOS, TAZAS, BOTELLAS - CET</v>
      </c>
      <c r="AB1625" s="213"/>
      <c r="AC1625" s="213"/>
      <c r="AD1625" s="213"/>
      <c r="AE1625" s="213"/>
      <c r="AF1625" s="213"/>
      <c r="AG1625" s="213"/>
      <c r="AH1625" s="213"/>
      <c r="AI1625" s="213"/>
      <c r="AJ1625" s="213"/>
      <c r="AK1625" s="213"/>
      <c r="AL1625" s="213"/>
      <c r="AM1625" s="213"/>
      <c r="AN1625" s="213"/>
      <c r="AO1625" s="213"/>
      <c r="AP1625" s="213" t="str">
        <f>IFERROR(__xludf.DUMMYFUNCTION("""COMPUTED_VALUE"""),"ANTONELLA")</f>
        <v>ANTONELLA</v>
      </c>
      <c r="AQ1625" s="213" t="str">
        <f>IFERROR(__xludf.DUMMYFUNCTION("""COMPUTED_VALUE"""),"Las EETT están peculiarmente indicadas, por lo que no se puede cumplir precisamente con todos los puntos. Algún tambien estan dispuestos a la interpretación.")</f>
        <v>Las EETT están peculiarmente indicadas, por lo que no se puede cumplir precisamente con todos los puntos. Algún tambien estan dispuestos a la interpretación.</v>
      </c>
      <c r="AR1625" s="213"/>
      <c r="AS1625" s="213"/>
      <c r="AT1625" s="213"/>
      <c r="AU1625" s="213"/>
      <c r="AV1625" s="213"/>
      <c r="AW1625" s="213"/>
      <c r="AX1625" s="213"/>
      <c r="AY1625" s="213"/>
      <c r="AZ1625" s="213"/>
      <c r="BA1625" s="213"/>
      <c r="BB1625" s="213"/>
      <c r="BC1625" s="213"/>
      <c r="BD1625" s="213"/>
    </row>
    <row r="1626">
      <c r="A1626" s="213">
        <f>IFERROR(__xludf.DUMMYFUNCTION("""COMPUTED_VALUE"""),1698.0)</f>
        <v>1698</v>
      </c>
      <c r="B1626" s="213" t="str">
        <f>IFERROR(__xludf.DUMMYFUNCTION("""COMPUTED_VALUE"""),"GUILLERMO E. BILLINGHURST ")</f>
        <v>GUILLERMO E. BILLINGHURST </v>
      </c>
      <c r="C1626" s="213" t="str">
        <f>IFERROR(__xludf.DUMMYFUNCTION("""COMPUTED_VALUE"""),"TALLER SFT DE COMPUTACIÓN E INFORMÁTICA")</f>
        <v>TALLER SFT DE COMPUTACIÓN E INFORMÁTICA</v>
      </c>
      <c r="D1626" s="213" t="str">
        <f>IFERROR(__xludf.DUMMYFUNCTION("""COMPUTED_VALUE"""),"EQUIPOS")</f>
        <v>EQUIPOS</v>
      </c>
      <c r="E1626" s="213" t="str">
        <f>IFERROR(__xludf.DUMMYFUNCTION("""COMPUTED_VALUE"""),"ESP-249")</f>
        <v>ESP-249</v>
      </c>
      <c r="F1626" s="213" t="str">
        <f>IFERROR(__xludf.DUMMYFUNCTION("""COMPUTED_VALUE"""),"ESP-249")</f>
        <v>ESP-249</v>
      </c>
      <c r="G1626" s="213"/>
      <c r="H1626" s="213" t="str">
        <f>IFERROR(__xludf.DUMMYFUNCTION("""COMPUTED_VALUE"""),"MÁQUINA TRANSFER DIGITAL CON ACCESORIOS PARA PRENDAS, GORRO, PLATOS, TAZAS, BOTELLAS")</f>
        <v>MÁQUINA TRANSFER DIGITAL CON ACCESORIOS PARA PRENDAS, GORRO, PLATOS, TAZAS, BOTELLAS</v>
      </c>
      <c r="I1626" s="213" t="str">
        <f>IFERROR(__xludf.DUMMYFUNCTION("""COMPUTED_VALUE"""),"·  Para estampar polos, gorros u otras prendas u objetos textiles planos.
·  Controlador digital de temperatura y tiempo de LED
·  Rotación completa de 360 grados de oscilación-lejos el diseño
·  Escala Fahrenheit y Celsius son seleccionables
·  Rango de "&amp;"temperatura:32-480ºF (0-250 º C)
·  Temporizador: 0-999 segundos
·  Altura ajustable: 13 1/2""""-17"""" (34-43cm)
·  Potencia: 1400W
·  Entrada de energía: 220 V
·  Plataforma inferior desmontable INCLUYE:
-   Plancha térmica de 12” x 15” como mínimo
-   "&amp;"Resistencia para gorros de 6” x 3” como mínimo
·  Resistencia para tazas, tomatodos, chops, taza cónica de diversos tamaños.
.  Dimensiones: L0.80 m x A0.60 m x H0.60 m.")</f>
        <v>·  Para estampar polos, gorros u otras prendas u objetos textiles planos.
·  Controlador digital de temperatura y tiempo de LED
·  Rotación completa de 360 grados de oscilación-lejos el diseño
·  Escala Fahrenheit y Celsius son seleccionables
·  Rango de temperatura:32-480ºF (0-250 º C)
·  Temporizador: 0-999 segundos
·  Altura ajustable: 13 1/2""-17"" (34-43cm)
·  Potencia: 1400W
·  Entrada de energía: 220 V
·  Plataforma inferior desmontable INCLUYE:
-   Plancha térmica de 12” x 15” como mínimo
-   Resistencia para gorros de 6” x 3” como mínimo
·  Resistencia para tazas, tomatodos, chops, taza cónica de diversos tamaños.
.  Dimensiones: L0.80 m x A0.60 m x H0.60 m.</v>
      </c>
      <c r="J1626" s="213">
        <f>IFERROR(__xludf.DUMMYFUNCTION("""COMPUTED_VALUE"""),3.0)</f>
        <v>3</v>
      </c>
      <c r="K1626" s="213" t="str">
        <f>IFERROR(__xludf.DUMMYFUNCTION("""COMPUTED_VALUE"""),"170 DÍAS CALENDARIO")</f>
        <v>170 DÍAS CALENDARIO</v>
      </c>
      <c r="L1626" s="213" t="str">
        <f>IFERROR(__xludf.DUMMYFUNCTION("""COMPUTED_VALUE"""),"")</f>
        <v/>
      </c>
      <c r="M1626" s="213">
        <f>IFERROR(__xludf.DUMMYFUNCTION("""COMPUTED_VALUE"""),1.0)</f>
        <v>1</v>
      </c>
      <c r="N1626" s="213">
        <f>IFERROR(__xludf.DUMMYFUNCTION("""COMPUTED_VALUE"""),1.0)</f>
        <v>1</v>
      </c>
      <c r="O1626" s="213">
        <f>IFERROR(__xludf.DUMMYFUNCTION("""COMPUTED_VALUE"""),1.0)</f>
        <v>1</v>
      </c>
      <c r="P1626" s="213"/>
      <c r="Q1626" s="213"/>
      <c r="R1626" s="213"/>
      <c r="S1626" s="213" t="str">
        <f>IFERROR(__xludf.DUMMYFUNCTION("""COMPUTED_VALUE"""),"SI")</f>
        <v>SI</v>
      </c>
      <c r="T1626" s="213" t="str">
        <f>IFERROR(__xludf.DUMMYFUNCTION("""COMPUTED_VALUE"""),"CONSULTA FINAL")</f>
        <v>CONSULTA FINAL</v>
      </c>
      <c r="U1626" s="213" t="str">
        <f>IFERROR(__xludf.DUMMYFUNCTION("""COMPUTED_VALUE"""),"NO")</f>
        <v>NO</v>
      </c>
      <c r="V1626" s="213" t="str">
        <f>IFERROR(__xludf.DUMMYFUNCTION("""COMPUTED_VALUE"""),"SUSTENTO")</f>
        <v>SUSTENTO</v>
      </c>
      <c r="W1626" s="213" t="str">
        <f>IFERROR(__xludf.DUMMYFUNCTION("""COMPUTED_VALUE"""),"DIMENSIONAL, ELÉCTRICO, ERROR EETT, EQU TEC")</f>
        <v>DIMENSIONAL, ELÉCTRICO, ERROR EETT, EQU TEC</v>
      </c>
      <c r="X1626" s="213" t="str">
        <f>IFERROR(__xludf.DUMMYFUNCTION("""COMPUTED_VALUE"""),"Sunmeta Digital Graphic Co., Ltd")</f>
        <v>Sunmeta Digital Graphic Co., Ltd</v>
      </c>
      <c r="Y1626" s="213" t="str">
        <f>IFERROR(__xludf.DUMMYFUNCTION("""COMPUTED_VALUE"""),"SB-400E")</f>
        <v>SB-400E</v>
      </c>
      <c r="Z1626" s="213" t="str">
        <f>IFERROR(__xludf.DUMMYFUNCTION("""COMPUTED_VALUE"""),"EPT GENERAL")</f>
        <v>EPT GENERAL</v>
      </c>
      <c r="AA1626" s="213" t="str">
        <f>IFERROR(__xludf.DUMMYFUNCTION("""COMPUTED_VALUE"""),"ESP-249 MÁQUINA TRANSFER DIGITAL CON ACCESORIOS PARA PRENDAS, GORRO, PLATOS, TAZAS, BOTELLAS - CET")</f>
        <v>ESP-249 MÁQUINA TRANSFER DIGITAL CON ACCESORIOS PARA PRENDAS, GORRO, PLATOS, TAZAS, BOTELLAS - CET</v>
      </c>
      <c r="AB1626" s="213"/>
      <c r="AC1626" s="213"/>
      <c r="AD1626" s="213"/>
      <c r="AE1626" s="213"/>
      <c r="AF1626" s="213"/>
      <c r="AG1626" s="213"/>
      <c r="AH1626" s="213"/>
      <c r="AI1626" s="213"/>
      <c r="AJ1626" s="213"/>
      <c r="AK1626" s="213"/>
      <c r="AL1626" s="213"/>
      <c r="AM1626" s="213"/>
      <c r="AN1626" s="213"/>
      <c r="AO1626" s="213"/>
      <c r="AP1626" s="213" t="str">
        <f>IFERROR(__xludf.DUMMYFUNCTION("""COMPUTED_VALUE"""),"ANTONELLA")</f>
        <v>ANTONELLA</v>
      </c>
      <c r="AQ1626" s="213" t="str">
        <f>IFERROR(__xludf.DUMMYFUNCTION("""COMPUTED_VALUE"""),"Las EETT están peculiarmente indicadas, por lo que no se puede cumplir precisamente con todos los puntos. Algún tambien estan dispuestos a la interpretación.")</f>
        <v>Las EETT están peculiarmente indicadas, por lo que no se puede cumplir precisamente con todos los puntos. Algún tambien estan dispuestos a la interpretación.</v>
      </c>
      <c r="AR1626" s="213"/>
      <c r="AS1626" s="213"/>
      <c r="AT1626" s="213"/>
      <c r="AU1626" s="213"/>
      <c r="AV1626" s="213"/>
      <c r="AW1626" s="213"/>
      <c r="AX1626" s="213"/>
      <c r="AY1626" s="213"/>
      <c r="AZ1626" s="213"/>
      <c r="BA1626" s="213"/>
      <c r="BB1626" s="213"/>
      <c r="BC1626" s="213"/>
      <c r="BD1626" s="213"/>
    </row>
    <row r="1627">
      <c r="A1627" s="213">
        <f>IFERROR(__xludf.DUMMYFUNCTION("""COMPUTED_VALUE"""),1950.0)</f>
        <v>1950</v>
      </c>
      <c r="B1627" s="213" t="str">
        <f>IFERROR(__xludf.DUMMYFUNCTION("""COMPUTED_VALUE"""),"JOSE GRANDA")</f>
        <v>JOSE GRANDA</v>
      </c>
      <c r="C1627" s="213" t="str">
        <f>IFERROR(__xludf.DUMMYFUNCTION("""COMPUTED_VALUE"""),"TALLER SFT DE COMPUTACIÓN E INFORMÁTICA")</f>
        <v>TALLER SFT DE COMPUTACIÓN E INFORMÁTICA</v>
      </c>
      <c r="D1627" s="213" t="str">
        <f>IFERROR(__xludf.DUMMYFUNCTION("""COMPUTED_VALUE"""),"EQUIPOS")</f>
        <v>EQUIPOS</v>
      </c>
      <c r="E1627" s="213" t="str">
        <f>IFERROR(__xludf.DUMMYFUNCTION("""COMPUTED_VALUE"""),"ESP-249")</f>
        <v>ESP-249</v>
      </c>
      <c r="F1627" s="213" t="str">
        <f>IFERROR(__xludf.DUMMYFUNCTION("""COMPUTED_VALUE"""),"ESP-249")</f>
        <v>ESP-249</v>
      </c>
      <c r="G1627" s="213"/>
      <c r="H1627" s="213" t="str">
        <f>IFERROR(__xludf.DUMMYFUNCTION("""COMPUTED_VALUE"""),"MÁQUINA TRANSFER DIGITAL CON ACCESORIOS PARA PRENDAS, GORRO, PLATOS, TAZAS, BOTELLAS")</f>
        <v>MÁQUINA TRANSFER DIGITAL CON ACCESORIOS PARA PRENDAS, GORRO, PLATOS, TAZAS, BOTELLAS</v>
      </c>
      <c r="I1627" s="213" t="str">
        <f>IFERROR(__xludf.DUMMYFUNCTION("""COMPUTED_VALUE"""),"·  Para estampar polos, gorros u otras prendas u objetos textiles planos.
·  Controlador digital de temperatura y tiempo de LED
·  Rotación completa de 360 grados de oscilación-lejos el diseño
·  Escala Fahrenheit y Celsius son seleccionables
·  Rango de "&amp;"temperatura:32-480ºF (0-250 º C)
·  Temporizador: 0-999 segundos
·  Altura ajustable: 13 1/2""""-17"""" (34-43cm)
·  Potencia: 1400W
·  Entrada de energía: 220 V
·  Plataforma inferior desmontable INCLUYE:
-   Plancha térmica de 12” x 15” como mínimo
-   "&amp;"Resistencia para gorros de 6” x 3” como mínimo
·  Resistencia para tazas, tomatodos, chops, taza cónica de diversos tamaños.
.  Dimensiones: L0.80 m x A0.60 m x H0.60 m.")</f>
        <v>·  Para estampar polos, gorros u otras prendas u objetos textiles planos.
·  Controlador digital de temperatura y tiempo de LED
·  Rotación completa de 360 grados de oscilación-lejos el diseño
·  Escala Fahrenheit y Celsius son seleccionables
·  Rango de temperatura:32-480ºF (0-250 º C)
·  Temporizador: 0-999 segundos
·  Altura ajustable: 13 1/2""-17"" (34-43cm)
·  Potencia: 1400W
·  Entrada de energía: 220 V
·  Plataforma inferior desmontable INCLUYE:
-   Plancha térmica de 12” x 15” como mínimo
-   Resistencia para gorros de 6” x 3” como mínimo
·  Resistencia para tazas, tomatodos, chops, taza cónica de diversos tamaños.
.  Dimensiones: L0.80 m x A0.60 m x H0.60 m.</v>
      </c>
      <c r="J1627" s="213">
        <f>IFERROR(__xludf.DUMMYFUNCTION("""COMPUTED_VALUE"""),3.0)</f>
        <v>3</v>
      </c>
      <c r="K1627" s="213" t="str">
        <f>IFERROR(__xludf.DUMMYFUNCTION("""COMPUTED_VALUE"""),"170 DÍAS CALENDARIO")</f>
        <v>170 DÍAS CALENDARIO</v>
      </c>
      <c r="L1627" s="213" t="str">
        <f>IFERROR(__xludf.DUMMYFUNCTION("""COMPUTED_VALUE"""),"")</f>
        <v/>
      </c>
      <c r="M1627" s="213">
        <f>IFERROR(__xludf.DUMMYFUNCTION("""COMPUTED_VALUE"""),1.0)</f>
        <v>1</v>
      </c>
      <c r="N1627" s="213">
        <f>IFERROR(__xludf.DUMMYFUNCTION("""COMPUTED_VALUE"""),1.0)</f>
        <v>1</v>
      </c>
      <c r="O1627" s="213">
        <f>IFERROR(__xludf.DUMMYFUNCTION("""COMPUTED_VALUE"""),1.0)</f>
        <v>1</v>
      </c>
      <c r="P1627" s="213"/>
      <c r="Q1627" s="213"/>
      <c r="R1627" s="213"/>
      <c r="S1627" s="213" t="str">
        <f>IFERROR(__xludf.DUMMYFUNCTION("""COMPUTED_VALUE"""),"SI")</f>
        <v>SI</v>
      </c>
      <c r="T1627" s="213" t="str">
        <f>IFERROR(__xludf.DUMMYFUNCTION("""COMPUTED_VALUE"""),"CONSULTA FINAL")</f>
        <v>CONSULTA FINAL</v>
      </c>
      <c r="U1627" s="213" t="str">
        <f>IFERROR(__xludf.DUMMYFUNCTION("""COMPUTED_VALUE"""),"NO")</f>
        <v>NO</v>
      </c>
      <c r="V1627" s="213" t="str">
        <f>IFERROR(__xludf.DUMMYFUNCTION("""COMPUTED_VALUE"""),"SUSTENTO")</f>
        <v>SUSTENTO</v>
      </c>
      <c r="W1627" s="213" t="str">
        <f>IFERROR(__xludf.DUMMYFUNCTION("""COMPUTED_VALUE"""),"DIMENSIONAL, ELÉCTRICO, ERROR EETT, EQU TEC")</f>
        <v>DIMENSIONAL, ELÉCTRICO, ERROR EETT, EQU TEC</v>
      </c>
      <c r="X1627" s="213" t="str">
        <f>IFERROR(__xludf.DUMMYFUNCTION("""COMPUTED_VALUE"""),"Sunmeta Digital Graphic Co., Ltd")</f>
        <v>Sunmeta Digital Graphic Co., Ltd</v>
      </c>
      <c r="Y1627" s="213" t="str">
        <f>IFERROR(__xludf.DUMMYFUNCTION("""COMPUTED_VALUE"""),"SB-400E")</f>
        <v>SB-400E</v>
      </c>
      <c r="Z1627" s="213" t="str">
        <f>IFERROR(__xludf.DUMMYFUNCTION("""COMPUTED_VALUE"""),"EPT GENERAL")</f>
        <v>EPT GENERAL</v>
      </c>
      <c r="AA1627" s="213" t="str">
        <f>IFERROR(__xludf.DUMMYFUNCTION("""COMPUTED_VALUE"""),"ESP-249 MÁQUINA TRANSFER DIGITAL CON ACCESORIOS PARA PRENDAS, GORRO, PLATOS, TAZAS, BOTELLAS - CET")</f>
        <v>ESP-249 MÁQUINA TRANSFER DIGITAL CON ACCESORIOS PARA PRENDAS, GORRO, PLATOS, TAZAS, BOTELLAS - CET</v>
      </c>
      <c r="AB1627" s="213"/>
      <c r="AC1627" s="213"/>
      <c r="AD1627" s="213"/>
      <c r="AE1627" s="213"/>
      <c r="AF1627" s="213"/>
      <c r="AG1627" s="213"/>
      <c r="AH1627" s="213"/>
      <c r="AI1627" s="213"/>
      <c r="AJ1627" s="213"/>
      <c r="AK1627" s="213"/>
      <c r="AL1627" s="213"/>
      <c r="AM1627" s="213"/>
      <c r="AN1627" s="213"/>
      <c r="AO1627" s="213"/>
      <c r="AP1627" s="213" t="str">
        <f>IFERROR(__xludf.DUMMYFUNCTION("""COMPUTED_VALUE"""),"ANTONELLA")</f>
        <v>ANTONELLA</v>
      </c>
      <c r="AQ1627" s="213" t="str">
        <f>IFERROR(__xludf.DUMMYFUNCTION("""COMPUTED_VALUE"""),"Las EETT están peculiarmente indicadas, por lo que no se puede cumplir precisamente con todos los puntos. Algún tambien estan dispuestos a la interpretación.")</f>
        <v>Las EETT están peculiarmente indicadas, por lo que no se puede cumplir precisamente con todos los puntos. Algún tambien estan dispuestos a la interpretación.</v>
      </c>
      <c r="AR1627" s="213"/>
      <c r="AS1627" s="213"/>
      <c r="AT1627" s="213"/>
      <c r="AU1627" s="213"/>
      <c r="AV1627" s="213"/>
      <c r="AW1627" s="213"/>
      <c r="AX1627" s="213"/>
      <c r="AY1627" s="213"/>
      <c r="AZ1627" s="213"/>
      <c r="BA1627" s="213"/>
      <c r="BB1627" s="213"/>
      <c r="BC1627" s="213"/>
      <c r="BD1627" s="213"/>
    </row>
    <row r="1628">
      <c r="A1628" s="213">
        <f>IFERROR(__xludf.DUMMYFUNCTION("""COMPUTED_VALUE"""),194.0)</f>
        <v>194</v>
      </c>
      <c r="B1628" s="213" t="str">
        <f>IFERROR(__xludf.DUMMYFUNCTION("""COMPUTED_VALUE"""),"2026 SIMON BOLIVAR")</f>
        <v>2026 SIMON BOLIVAR</v>
      </c>
      <c r="C1628" s="213" t="str">
        <f>IFERROR(__xludf.DUMMYFUNCTION("""COMPUTED_VALUE"""),"TALLER SFT DE INDUSTRIA DEL VESTIDO")</f>
        <v>TALLER SFT DE INDUSTRIA DEL VESTIDO</v>
      </c>
      <c r="D1628" s="213" t="str">
        <f>IFERROR(__xludf.DUMMYFUNCTION("""COMPUTED_VALUE"""),"EQUIPOS")</f>
        <v>EQUIPOS</v>
      </c>
      <c r="E1628" s="213" t="str">
        <f>IFERROR(__xludf.DUMMYFUNCTION("""COMPUTED_VALUE"""),"ESP-250")</f>
        <v>ESP-250</v>
      </c>
      <c r="F1628" s="213" t="str">
        <f>IFERROR(__xludf.DUMMYFUNCTION("""COMPUTED_VALUE"""),"ESP-250")</f>
        <v>ESP-250</v>
      </c>
      <c r="G1628" s="213"/>
      <c r="H1628" s="213" t="str">
        <f>IFERROR(__xludf.DUMMYFUNCTION("""COMPUTED_VALUE"""),"MÁQUINA TRICOTERA INDUSTRIAL")</f>
        <v>MÁQUINA TRICOTERA INDUSTRIAL</v>
      </c>
      <c r="I1628" s="213" t="str">
        <f>IFERROR(__xludf.DUMMYFUNCTION("""COMPUTED_VALUE"""),"·      Para costura tipo zigzag estándar.
·      Motor monofásico de 3/4 HP, velocidad 3,450 rpm.
·      Velocidad de costura, mínimo: 5,000 ppm
·      Elevación del prensatelas: Manual 5.5 mm / Rodilla 10 mm
·      Paso de transporte: hasta 2.5 mm
·     "&amp;" Máximo anchura de zig zag: 5 mm
·      Tipo de aguja: 134SUK
·      Número de agujas: 1
·      Mecanismo de lubricación automática
·      Dimensiones de la máquina (mm): 407x305x175 aprox.
·      Alimentación eléctrica : 220V/60Hz
Incluye mueble completo"&amp;", porta conos y accesorios (bobinas, lámpara, carreteles y depósitos de aceite), un ciento de agujas para coser, grosores N° 12, 16.")</f>
        <v>·      Para costura tipo zigzag estándar.
·      Motor monofásico de 3/4 HP, velocidad 3,450 rpm.
·      Velocidad de costura, mínimo: 5,000 ppm
·      Elevación del prensatelas: Manual 5.5 mm / Rodilla 10 mm
·      Paso de transporte: hasta 2.5 mm
·      Máximo anchura de zig zag: 5 mm
·      Tipo de aguja: 134SUK
·      Número de agujas: 1
·      Mecanismo de lubricación automática
·      Dimensiones de la máquina (mm): 407x305x175 aprox.
·      Alimentación eléctrica : 220V/60Hz
Incluye mueble completo, porta conos y accesorios (bobinas, lámpara, carreteles y depósitos de aceite), un ciento de agujas para coser, grosores N° 12, 16.</v>
      </c>
      <c r="J1628" s="213">
        <f>IFERROR(__xludf.DUMMYFUNCTION("""COMPUTED_VALUE"""),3.0)</f>
        <v>3</v>
      </c>
      <c r="K1628" s="213" t="str">
        <f>IFERROR(__xludf.DUMMYFUNCTION("""COMPUTED_VALUE"""),"170 DÍAS CALENDARIO")</f>
        <v>170 DÍAS CALENDARIO</v>
      </c>
      <c r="L1628" s="213" t="str">
        <f>IFERROR(__xludf.DUMMYFUNCTION("""COMPUTED_VALUE"""),"")</f>
        <v/>
      </c>
      <c r="M1628" s="213">
        <f>IFERROR(__xludf.DUMMYFUNCTION("""COMPUTED_VALUE"""),1.0)</f>
        <v>1</v>
      </c>
      <c r="N1628" s="213">
        <f>IFERROR(__xludf.DUMMYFUNCTION("""COMPUTED_VALUE"""),1.0)</f>
        <v>1</v>
      </c>
      <c r="O1628" s="213">
        <f>IFERROR(__xludf.DUMMYFUNCTION("""COMPUTED_VALUE"""),1.0)</f>
        <v>1</v>
      </c>
      <c r="P1628" s="213"/>
      <c r="Q1628" s="213"/>
      <c r="R1628" s="213"/>
      <c r="S1628" s="213" t="str">
        <f>IFERROR(__xludf.DUMMYFUNCTION("""COMPUTED_VALUE"""),"SI")</f>
        <v>SI</v>
      </c>
      <c r="T1628" s="213" t="str">
        <f>IFERROR(__xludf.DUMMYFUNCTION("""COMPUTED_VALUE"""),"SI")</f>
        <v>SI</v>
      </c>
      <c r="U1628" s="213" t="str">
        <f>IFERROR(__xludf.DUMMYFUNCTION("""COMPUTED_VALUE"""),"SI")</f>
        <v>SI</v>
      </c>
      <c r="V1628" s="213" t="str">
        <f>IFERROR(__xludf.DUMMYFUNCTION("""COMPUTED_VALUE"""),"-")</f>
        <v>-</v>
      </c>
      <c r="W1628" s="213" t="str">
        <f>IFERROR(__xludf.DUMMYFUNCTION("""COMPUTED_VALUE"""),"-")</f>
        <v>-</v>
      </c>
      <c r="X1628" s="213" t="str">
        <f>IFERROR(__xludf.DUMMYFUNCTION("""COMPUTED_VALUE"""),"JUKI")</f>
        <v>JUKI</v>
      </c>
      <c r="Y1628" s="213" t="str">
        <f>IFERROR(__xludf.DUMMYFUNCTION("""COMPUTED_VALUE"""),"LZ-2284A")</f>
        <v>LZ-2284A</v>
      </c>
      <c r="Z1628" s="215" t="str">
        <f>IFERROR(__xludf.DUMMYFUNCTION("""COMPUTED_VALUE"""),"https://www.juki.co.jp/industrial_e/products_e/apparel_e/zigzag_e/detail.php?cd=LZ-2284A-7_LZ-2284A_E")</f>
        <v>https://www.juki.co.jp/industrial_e/products_e/apparel_e/zigzag_e/detail.php?cd=LZ-2284A-7_LZ-2284A_E</v>
      </c>
      <c r="AA1628" s="213" t="str">
        <f>IFERROR(__xludf.DUMMYFUNCTION("""COMPUTED_VALUE"""),"ESP-250 MÁQUINA TRICOTERA INDUSTRIAL - CET")</f>
        <v>ESP-250 MÁQUINA TRICOTERA INDUSTRIAL - CET</v>
      </c>
      <c r="AB1628" s="213"/>
      <c r="AC1628" s="213"/>
      <c r="AD1628" s="213"/>
      <c r="AE1628" s="213"/>
      <c r="AF1628" s="213"/>
      <c r="AG1628" s="213"/>
      <c r="AH1628" s="213"/>
      <c r="AI1628" s="213"/>
      <c r="AJ1628" s="213"/>
      <c r="AK1628" s="213"/>
      <c r="AL1628" s="213"/>
      <c r="AM1628" s="213"/>
      <c r="AN1628" s="213"/>
      <c r="AO1628" s="213"/>
      <c r="AP1628" s="213" t="str">
        <f>IFERROR(__xludf.DUMMYFUNCTION("""COMPUTED_VALUE"""),"ANTONELLA")</f>
        <v>ANTONELLA</v>
      </c>
      <c r="AQ1628" s="213" t="str">
        <f>IFERROR(__xludf.DUMMYFUNCTION("""COMPUTED_VALUE"""),"No se menciona los valores del motor, se ha consultado al proveedor. Asimismo, las dimensiones son diferentes a las solicitadas.")</f>
        <v>No se menciona los valores del motor, se ha consultado al proveedor. Asimismo, las dimensiones son diferentes a las solicitadas.</v>
      </c>
      <c r="AR1628" s="213"/>
      <c r="AS1628" s="213" t="str">
        <f>IFERROR(__xludf.DUMMYFUNCTION("""COMPUTED_VALUE"""),"MUELE COMPLETO
PORTA CONOS
BOBINAS
LÁMPARA
CARRETELES
DEPÓSITOS DE ACEITE
100 DE AGUJAS PARA COSER N°12 Y N°16")</f>
        <v>MUELE COMPLETO
PORTA CONOS
BOBINAS
LÁMPARA
CARRETELES
DEPÓSITOS DE ACEITE
100 DE AGUJAS PARA COSER N°12 Y N°16</v>
      </c>
      <c r="AT1628" s="213"/>
      <c r="AU1628" s="213"/>
      <c r="AV1628" s="213"/>
      <c r="AW1628" s="213"/>
      <c r="AX1628" s="213"/>
      <c r="AY1628" s="213"/>
      <c r="AZ1628" s="213"/>
      <c r="BA1628" s="213"/>
      <c r="BB1628" s="213"/>
      <c r="BC1628" s="213"/>
      <c r="BD1628" s="213"/>
    </row>
    <row r="1629">
      <c r="A1629" s="213">
        <f>IFERROR(__xludf.DUMMYFUNCTION("""COMPUTED_VALUE"""),2417.0)</f>
        <v>2417</v>
      </c>
      <c r="B1629" s="213" t="str">
        <f>IFERROR(__xludf.DUMMYFUNCTION("""COMPUTED_VALUE"""),"MANUEL ANTONIO MESONES MURO")</f>
        <v>MANUEL ANTONIO MESONES MURO</v>
      </c>
      <c r="C1629" s="213" t="str">
        <f>IFERROR(__xludf.DUMMYFUNCTION("""COMPUTED_VALUE"""),"TALLER SFT DE INDUSTRIA DEL VESTIDO")</f>
        <v>TALLER SFT DE INDUSTRIA DEL VESTIDO</v>
      </c>
      <c r="D1629" s="213" t="str">
        <f>IFERROR(__xludf.DUMMYFUNCTION("""COMPUTED_VALUE"""),"EQUIPOS")</f>
        <v>EQUIPOS</v>
      </c>
      <c r="E1629" s="213" t="str">
        <f>IFERROR(__xludf.DUMMYFUNCTION("""COMPUTED_VALUE"""),"ESP-250")</f>
        <v>ESP-250</v>
      </c>
      <c r="F1629" s="213" t="str">
        <f>IFERROR(__xludf.DUMMYFUNCTION("""COMPUTED_VALUE"""),"ESP-250")</f>
        <v>ESP-250</v>
      </c>
      <c r="G1629" s="213"/>
      <c r="H1629" s="213" t="str">
        <f>IFERROR(__xludf.DUMMYFUNCTION("""COMPUTED_VALUE"""),"MÁQUINA TRICOTERA INDUSTRIAL")</f>
        <v>MÁQUINA TRICOTERA INDUSTRIAL</v>
      </c>
      <c r="I1629" s="213" t="str">
        <f>IFERROR(__xludf.DUMMYFUNCTION("""COMPUTED_VALUE"""),"·      Para costura tipo zigzag estándar.
·      Motor monofásico de 3/4 HP, velocidad 3,450 rpm.
·      Velocidad de costura, mínimo: 5,000 ppm
·      Elevación del prensatelas: Manual 5.5 mm / Rodilla 10 mm
·      Paso de transporte: hasta 2.5 mm
·     "&amp;" Máximo anchura de zig zag: 5 mm
·      Tipo de aguja: 134SUK
·      Número de agujas: 1
·      Mecanismo de lubricación automática
·      Dimensiones de la máquina (mm): 407x305x175 aprox.
·      Alimentación eléctrica : 220V/60Hz
Incluye mueble completo"&amp;", porta conos y accesorios (bobinas, lámpara, carreteles y depósitos de aceite), un ciento de agujas para coser, grosores N° 12, 16.")</f>
        <v>·      Para costura tipo zigzag estándar.
·      Motor monofásico de 3/4 HP, velocidad 3,450 rpm.
·      Velocidad de costura, mínimo: 5,000 ppm
·      Elevación del prensatelas: Manual 5.5 mm / Rodilla 10 mm
·      Paso de transporte: hasta 2.5 mm
·      Máximo anchura de zig zag: 5 mm
·      Tipo de aguja: 134SUK
·      Número de agujas: 1
·      Mecanismo de lubricación automática
·      Dimensiones de la máquina (mm): 407x305x175 aprox.
·      Alimentación eléctrica : 220V/60Hz
Incluye mueble completo, porta conos y accesorios (bobinas, lámpara, carreteles y depósitos de aceite), un ciento de agujas para coser, grosores N° 12, 16.</v>
      </c>
      <c r="J1629" s="213">
        <f>IFERROR(__xludf.DUMMYFUNCTION("""COMPUTED_VALUE"""),3.0)</f>
        <v>3</v>
      </c>
      <c r="K1629" s="213" t="str">
        <f>IFERROR(__xludf.DUMMYFUNCTION("""COMPUTED_VALUE"""),"170 DÍAS CALENDARIO")</f>
        <v>170 DÍAS CALENDARIO</v>
      </c>
      <c r="L1629" s="213" t="str">
        <f>IFERROR(__xludf.DUMMYFUNCTION("""COMPUTED_VALUE"""),"")</f>
        <v/>
      </c>
      <c r="M1629" s="213">
        <f>IFERROR(__xludf.DUMMYFUNCTION("""COMPUTED_VALUE"""),1.0)</f>
        <v>1</v>
      </c>
      <c r="N1629" s="213">
        <f>IFERROR(__xludf.DUMMYFUNCTION("""COMPUTED_VALUE"""),1.0)</f>
        <v>1</v>
      </c>
      <c r="O1629" s="213">
        <f>IFERROR(__xludf.DUMMYFUNCTION("""COMPUTED_VALUE"""),1.0)</f>
        <v>1</v>
      </c>
      <c r="P1629" s="213"/>
      <c r="Q1629" s="213"/>
      <c r="R1629" s="213"/>
      <c r="S1629" s="213" t="str">
        <f>IFERROR(__xludf.DUMMYFUNCTION("""COMPUTED_VALUE"""),"SI")</f>
        <v>SI</v>
      </c>
      <c r="T1629" s="213" t="str">
        <f>IFERROR(__xludf.DUMMYFUNCTION("""COMPUTED_VALUE"""),"SI")</f>
        <v>SI</v>
      </c>
      <c r="U1629" s="213" t="str">
        <f>IFERROR(__xludf.DUMMYFUNCTION("""COMPUTED_VALUE"""),"SI")</f>
        <v>SI</v>
      </c>
      <c r="V1629" s="213" t="str">
        <f>IFERROR(__xludf.DUMMYFUNCTION("""COMPUTED_VALUE"""),"-")</f>
        <v>-</v>
      </c>
      <c r="W1629" s="213" t="str">
        <f>IFERROR(__xludf.DUMMYFUNCTION("""COMPUTED_VALUE"""),"-")</f>
        <v>-</v>
      </c>
      <c r="X1629" s="213" t="str">
        <f>IFERROR(__xludf.DUMMYFUNCTION("""COMPUTED_VALUE"""),"JUKI")</f>
        <v>JUKI</v>
      </c>
      <c r="Y1629" s="213" t="str">
        <f>IFERROR(__xludf.DUMMYFUNCTION("""COMPUTED_VALUE"""),"LZ-2284A")</f>
        <v>LZ-2284A</v>
      </c>
      <c r="Z1629" s="215" t="str">
        <f>IFERROR(__xludf.DUMMYFUNCTION("""COMPUTED_VALUE"""),"https://www.juki.co.jp/industrial_e/products_e/apparel_e/zigzag_e/detail.php?cd=LZ-2284A-7_LZ-2284A_E")</f>
        <v>https://www.juki.co.jp/industrial_e/products_e/apparel_e/zigzag_e/detail.php?cd=LZ-2284A-7_LZ-2284A_E</v>
      </c>
      <c r="AA1629" s="213" t="str">
        <f>IFERROR(__xludf.DUMMYFUNCTION("""COMPUTED_VALUE"""),"ESP-250 MÁQUINA TRICOTERA INDUSTRIAL - CET")</f>
        <v>ESP-250 MÁQUINA TRICOTERA INDUSTRIAL - CET</v>
      </c>
      <c r="AB1629" s="213"/>
      <c r="AC1629" s="213"/>
      <c r="AD1629" s="213"/>
      <c r="AE1629" s="213"/>
      <c r="AF1629" s="213"/>
      <c r="AG1629" s="213"/>
      <c r="AH1629" s="213"/>
      <c r="AI1629" s="213"/>
      <c r="AJ1629" s="213"/>
      <c r="AK1629" s="213"/>
      <c r="AL1629" s="213"/>
      <c r="AM1629" s="213"/>
      <c r="AN1629" s="213"/>
      <c r="AO1629" s="213"/>
      <c r="AP1629" s="213" t="str">
        <f>IFERROR(__xludf.DUMMYFUNCTION("""COMPUTED_VALUE"""),"ANTONELLA")</f>
        <v>ANTONELLA</v>
      </c>
      <c r="AQ1629" s="213" t="str">
        <f>IFERROR(__xludf.DUMMYFUNCTION("""COMPUTED_VALUE"""),"No se menciona los valores del motor, se ha consultado al proveedor. Asimismo, las dimensiones son diferentes a las solicitadas.")</f>
        <v>No se menciona los valores del motor, se ha consultado al proveedor. Asimismo, las dimensiones son diferentes a las solicitadas.</v>
      </c>
      <c r="AR1629" s="213"/>
      <c r="AS1629" s="213" t="str">
        <f>IFERROR(__xludf.DUMMYFUNCTION("""COMPUTED_VALUE"""),"MUELE COMPLETO
PORTA CONOS
BOBINAS
LÁMPARA
CARRETELES
DEPÓSITOS DE ACEITE
100 DE AGUJAS PARA COSER N°12 Y N°16")</f>
        <v>MUELE COMPLETO
PORTA CONOS
BOBINAS
LÁMPARA
CARRETELES
DEPÓSITOS DE ACEITE
100 DE AGUJAS PARA COSER N°12 Y N°16</v>
      </c>
      <c r="AT1629" s="213"/>
      <c r="AU1629" s="213"/>
      <c r="AV1629" s="213"/>
      <c r="AW1629" s="213"/>
      <c r="AX1629" s="213"/>
      <c r="AY1629" s="213"/>
      <c r="AZ1629" s="213"/>
      <c r="BA1629" s="213"/>
      <c r="BB1629" s="213"/>
      <c r="BC1629" s="213"/>
      <c r="BD1629" s="213"/>
    </row>
    <row r="1630">
      <c r="A1630" s="213">
        <f>IFERROR(__xludf.DUMMYFUNCTION("""COMPUTED_VALUE"""),546.0)</f>
        <v>546</v>
      </c>
      <c r="B1630" s="213" t="str">
        <f>IFERROR(__xludf.DUMMYFUNCTION("""COMPUTED_VALUE"""),"2026 SIMON BOLIVAR")</f>
        <v>2026 SIMON BOLIVAR</v>
      </c>
      <c r="C1630" s="213" t="str">
        <f>IFERROR(__xludf.DUMMYFUNCTION("""COMPUTED_VALUE"""),"TALLER SFT DE INDUSTRIA ALIMENTARIA")</f>
        <v>TALLER SFT DE INDUSTRIA ALIMENTARIA</v>
      </c>
      <c r="D1630" s="213" t="str">
        <f>IFERROR(__xludf.DUMMYFUNCTION("""COMPUTED_VALUE"""),"EQUIPOS")</f>
        <v>EQUIPOS</v>
      </c>
      <c r="E1630" s="213" t="str">
        <f>IFERROR(__xludf.DUMMYFUNCTION("""COMPUTED_VALUE"""),"ESP-251")</f>
        <v>ESP-251</v>
      </c>
      <c r="F1630" s="213" t="str">
        <f>IFERROR(__xludf.DUMMYFUNCTION("""COMPUTED_VALUE"""),"ESP-251")</f>
        <v>ESP-251</v>
      </c>
      <c r="G1630" s="213"/>
      <c r="H1630" s="213" t="str">
        <f>IFERROR(__xludf.DUMMYFUNCTION("""COMPUTED_VALUE"""),"MARMITA A GAS DE 10 LITROS")</f>
        <v>MARMITA A GAS DE 10 LITROS</v>
      </c>
      <c r="I1630" s="213"/>
      <c r="J1630" s="213">
        <f>IFERROR(__xludf.DUMMYFUNCTION("""COMPUTED_VALUE"""),3.0)</f>
        <v>3</v>
      </c>
      <c r="K1630" s="213" t="str">
        <f>IFERROR(__xludf.DUMMYFUNCTION("""COMPUTED_VALUE"""),"170 DÍAS CALENDARIO")</f>
        <v>170 DÍAS CALENDARIO</v>
      </c>
      <c r="L1630" s="213" t="str">
        <f>IFERROR(__xludf.DUMMYFUNCTION("""COMPUTED_VALUE"""),"")</f>
        <v/>
      </c>
      <c r="M1630" s="213">
        <f>IFERROR(__xludf.DUMMYFUNCTION("""COMPUTED_VALUE"""),1.0)</f>
        <v>1</v>
      </c>
      <c r="N1630" s="213">
        <f>IFERROR(__xludf.DUMMYFUNCTION("""COMPUTED_VALUE"""),1.0)</f>
        <v>1</v>
      </c>
      <c r="O1630" s="213">
        <f>IFERROR(__xludf.DUMMYFUNCTION("""COMPUTED_VALUE"""),1.0)</f>
        <v>1</v>
      </c>
      <c r="P1630" s="213"/>
      <c r="Q1630" s="213"/>
      <c r="R1630" s="213"/>
      <c r="S1630" s="213" t="str">
        <f>IFERROR(__xludf.DUMMYFUNCTION("""COMPUTED_VALUE"""),"SI")</f>
        <v>SI</v>
      </c>
      <c r="T1630" s="213" t="str">
        <f>IFERROR(__xludf.DUMMYFUNCTION("""COMPUTED_VALUE"""),"CONSULTA FINAL")</f>
        <v>CONSULTA FINAL</v>
      </c>
      <c r="U1630" s="213" t="str">
        <f>IFERROR(__xludf.DUMMYFUNCTION("""COMPUTED_VALUE"""),"NO")</f>
        <v>NO</v>
      </c>
      <c r="V1630" s="213" t="str">
        <f>IFERROR(__xludf.DUMMYFUNCTION("""COMPUTED_VALUE"""),"SUSTENTO")</f>
        <v>SUSTENTO</v>
      </c>
      <c r="W1630" s="213" t="str">
        <f>IFERROR(__xludf.DUMMYFUNCTION("""COMPUTED_VALUE"""),"EQU TEC")</f>
        <v>EQU TEC</v>
      </c>
      <c r="X1630" s="213" t="str">
        <f>IFERROR(__xludf.DUMMYFUNCTION("""COMPUTED_VALUE"""),"ILUMI")</f>
        <v>ILUMI</v>
      </c>
      <c r="Y1630" s="213" t="str">
        <f>IFERROR(__xludf.DUMMYFUNCTION("""COMPUTED_VALUE"""),"OM-10LGLP")</f>
        <v>OM-10LGLP</v>
      </c>
      <c r="Z1630" s="215" t="str">
        <f>IFERROR(__xludf.DUMMYFUNCTION("""COMPUTED_VALUE"""),"https://ilumiperu.com/products/olla-mezcladora-de-10-litros-a-gas?srsltid=AfmBOooCoSfQ4gh3knnXma2z7Ruhq7UYYwNbKyLnB_jLRSSMHNOtSSJg")</f>
        <v>https://ilumiperu.com/products/olla-mezcladora-de-10-litros-a-gas?srsltid=AfmBOooCoSfQ4gh3knnXma2z7Ruhq7UYYwNbKyLnB_jLRSSMHNOtSSJg</v>
      </c>
      <c r="AA1630" s="213" t="str">
        <f>IFERROR(__xludf.DUMMYFUNCTION("""COMPUTED_VALUE"""),"ESP-251 MARMITA A GAS DE 10 LITROS - CET")</f>
        <v>ESP-251 MARMITA A GAS DE 10 LITROS - CET</v>
      </c>
      <c r="AB1630" s="215" t="str">
        <f>IFERROR(__xludf.DUMMYFUNCTION("""COMPUTED_VALUE"""),"https://drive.google.com/file/d/1Inn-pS5tS8NHDAJi1lmFP-DpxktesK8b/view?usp=sharing")</f>
        <v>https://drive.google.com/file/d/1Inn-pS5tS8NHDAJi1lmFP-DpxktesK8b/view?usp=sharing</v>
      </c>
      <c r="AC1630" s="213"/>
      <c r="AD1630" s="213"/>
      <c r="AE1630" s="213"/>
      <c r="AF1630" s="213"/>
      <c r="AG1630" s="213"/>
      <c r="AH1630" s="213"/>
      <c r="AI1630" s="213"/>
      <c r="AJ1630" s="213"/>
      <c r="AK1630" s="213"/>
      <c r="AL1630" s="213"/>
      <c r="AM1630" s="213"/>
      <c r="AN1630" s="213"/>
      <c r="AO1630" s="213"/>
      <c r="AP1630" s="213" t="str">
        <f>IFERROR(__xludf.DUMMYFUNCTION("""COMPUTED_VALUE"""),"ANTONELLA")</f>
        <v>ANTONELLA</v>
      </c>
      <c r="AQ1630" s="213"/>
      <c r="AR1630" s="213"/>
      <c r="AS1630" s="213"/>
      <c r="AT1630" s="213"/>
      <c r="AU1630" s="213"/>
      <c r="AV1630" s="213"/>
      <c r="AW1630" s="213"/>
      <c r="AX1630" s="213"/>
      <c r="AY1630" s="213"/>
      <c r="AZ1630" s="213"/>
      <c r="BA1630" s="213"/>
      <c r="BB1630" s="213"/>
      <c r="BC1630" s="213"/>
      <c r="BD1630" s="213"/>
    </row>
    <row r="1631">
      <c r="A1631" s="213">
        <f>IFERROR(__xludf.DUMMYFUNCTION("""COMPUTED_VALUE"""),1173.0)</f>
        <v>1173</v>
      </c>
      <c r="B1631" s="213" t="str">
        <f>IFERROR(__xludf.DUMMYFUNCTION("""COMPUTED_VALUE"""),"FRANCISCO IRAZOLA")</f>
        <v>FRANCISCO IRAZOLA</v>
      </c>
      <c r="C1631" s="213" t="str">
        <f>IFERROR(__xludf.DUMMYFUNCTION("""COMPUTED_VALUE"""),"TALLER SFT DE INDUSTRIA ALIMENTARIA")</f>
        <v>TALLER SFT DE INDUSTRIA ALIMENTARIA</v>
      </c>
      <c r="D1631" s="213" t="str">
        <f>IFERROR(__xludf.DUMMYFUNCTION("""COMPUTED_VALUE"""),"EQUIPOS")</f>
        <v>EQUIPOS</v>
      </c>
      <c r="E1631" s="213" t="str">
        <f>IFERROR(__xludf.DUMMYFUNCTION("""COMPUTED_VALUE"""),"ESP-251")</f>
        <v>ESP-251</v>
      </c>
      <c r="F1631" s="213" t="str">
        <f>IFERROR(__xludf.DUMMYFUNCTION("""COMPUTED_VALUE"""),"ESP-251")</f>
        <v>ESP-251</v>
      </c>
      <c r="G1631" s="213"/>
      <c r="H1631" s="213" t="str">
        <f>IFERROR(__xludf.DUMMYFUNCTION("""COMPUTED_VALUE"""),"MARMITA A GAS DE 10 LITROS")</f>
        <v>MARMITA A GAS DE 10 LITROS</v>
      </c>
      <c r="I1631" s="213"/>
      <c r="J1631" s="213">
        <f>IFERROR(__xludf.DUMMYFUNCTION("""COMPUTED_VALUE"""),3.0)</f>
        <v>3</v>
      </c>
      <c r="K1631" s="213" t="str">
        <f>IFERROR(__xludf.DUMMYFUNCTION("""COMPUTED_VALUE"""),"170 DÍAS CALENDARIO")</f>
        <v>170 DÍAS CALENDARIO</v>
      </c>
      <c r="L1631" s="213" t="str">
        <f>IFERROR(__xludf.DUMMYFUNCTION("""COMPUTED_VALUE"""),"")</f>
        <v/>
      </c>
      <c r="M1631" s="213">
        <f>IFERROR(__xludf.DUMMYFUNCTION("""COMPUTED_VALUE"""),1.0)</f>
        <v>1</v>
      </c>
      <c r="N1631" s="213">
        <f>IFERROR(__xludf.DUMMYFUNCTION("""COMPUTED_VALUE"""),1.0)</f>
        <v>1</v>
      </c>
      <c r="O1631" s="213">
        <f>IFERROR(__xludf.DUMMYFUNCTION("""COMPUTED_VALUE"""),1.0)</f>
        <v>1</v>
      </c>
      <c r="P1631" s="213"/>
      <c r="Q1631" s="213"/>
      <c r="R1631" s="213"/>
      <c r="S1631" s="213" t="str">
        <f>IFERROR(__xludf.DUMMYFUNCTION("""COMPUTED_VALUE"""),"SI")</f>
        <v>SI</v>
      </c>
      <c r="T1631" s="213" t="str">
        <f>IFERROR(__xludf.DUMMYFUNCTION("""COMPUTED_VALUE"""),"CONSULTA FINAL")</f>
        <v>CONSULTA FINAL</v>
      </c>
      <c r="U1631" s="213" t="str">
        <f>IFERROR(__xludf.DUMMYFUNCTION("""COMPUTED_VALUE"""),"NO")</f>
        <v>NO</v>
      </c>
      <c r="V1631" s="213" t="str">
        <f>IFERROR(__xludf.DUMMYFUNCTION("""COMPUTED_VALUE"""),"SUSTENTO")</f>
        <v>SUSTENTO</v>
      </c>
      <c r="W1631" s="213" t="str">
        <f>IFERROR(__xludf.DUMMYFUNCTION("""COMPUTED_VALUE"""),"EQU TEC")</f>
        <v>EQU TEC</v>
      </c>
      <c r="X1631" s="213" t="str">
        <f>IFERROR(__xludf.DUMMYFUNCTION("""COMPUTED_VALUE"""),"ILUMI")</f>
        <v>ILUMI</v>
      </c>
      <c r="Y1631" s="213" t="str">
        <f>IFERROR(__xludf.DUMMYFUNCTION("""COMPUTED_VALUE"""),"OM-10LGLP")</f>
        <v>OM-10LGLP</v>
      </c>
      <c r="Z1631" s="215" t="str">
        <f>IFERROR(__xludf.DUMMYFUNCTION("""COMPUTED_VALUE"""),"https://ilumiperu.com/products/olla-mezcladora-de-10-litros-a-gas?srsltid=AfmBOooCoSfQ4gh3knnXma2z7Ruhq7UYYwNbKyLnB_jLRSSMHNOtSSJg")</f>
        <v>https://ilumiperu.com/products/olla-mezcladora-de-10-litros-a-gas?srsltid=AfmBOooCoSfQ4gh3knnXma2z7Ruhq7UYYwNbKyLnB_jLRSSMHNOtSSJg</v>
      </c>
      <c r="AA1631" s="213" t="str">
        <f>IFERROR(__xludf.DUMMYFUNCTION("""COMPUTED_VALUE"""),"ESP-251 MARMITA A GAS DE 10 LITROS - CET")</f>
        <v>ESP-251 MARMITA A GAS DE 10 LITROS - CET</v>
      </c>
      <c r="AB1631" s="215" t="str">
        <f>IFERROR(__xludf.DUMMYFUNCTION("""COMPUTED_VALUE"""),"https://drive.google.com/file/d/1Inn-pS5tS8NHDAJi1lmFP-DpxktesK8b/view?usp=sharing")</f>
        <v>https://drive.google.com/file/d/1Inn-pS5tS8NHDAJi1lmFP-DpxktesK8b/view?usp=sharing</v>
      </c>
      <c r="AC1631" s="213"/>
      <c r="AD1631" s="213"/>
      <c r="AE1631" s="213"/>
      <c r="AF1631" s="213"/>
      <c r="AG1631" s="213"/>
      <c r="AH1631" s="213"/>
      <c r="AI1631" s="213"/>
      <c r="AJ1631" s="213"/>
      <c r="AK1631" s="213"/>
      <c r="AL1631" s="213"/>
      <c r="AM1631" s="213"/>
      <c r="AN1631" s="213"/>
      <c r="AO1631" s="213"/>
      <c r="AP1631" s="213" t="str">
        <f>IFERROR(__xludf.DUMMYFUNCTION("""COMPUTED_VALUE"""),"ANTONELLA")</f>
        <v>ANTONELLA</v>
      </c>
      <c r="AQ1631" s="213"/>
      <c r="AR1631" s="213"/>
      <c r="AS1631" s="213"/>
      <c r="AT1631" s="213"/>
      <c r="AU1631" s="213"/>
      <c r="AV1631" s="213"/>
      <c r="AW1631" s="213"/>
      <c r="AX1631" s="213"/>
      <c r="AY1631" s="213"/>
      <c r="AZ1631" s="213"/>
      <c r="BA1631" s="213"/>
      <c r="BB1631" s="213"/>
      <c r="BC1631" s="213"/>
      <c r="BD1631" s="213"/>
    </row>
    <row r="1632">
      <c r="A1632" s="213">
        <f>IFERROR(__xludf.DUMMYFUNCTION("""COMPUTED_VALUE"""),1448.0)</f>
        <v>1448</v>
      </c>
      <c r="B1632" s="213" t="str">
        <f>IFERROR(__xludf.DUMMYFUNCTION("""COMPUTED_VALUE"""),"GUILLERMO E. BILLINGHURST ")</f>
        <v>GUILLERMO E. BILLINGHURST </v>
      </c>
      <c r="C1632" s="213" t="str">
        <f>IFERROR(__xludf.DUMMYFUNCTION("""COMPUTED_VALUE"""),"TALLER SFT DE INDUSTRIA ALIMENTARIA")</f>
        <v>TALLER SFT DE INDUSTRIA ALIMENTARIA</v>
      </c>
      <c r="D1632" s="213" t="str">
        <f>IFERROR(__xludf.DUMMYFUNCTION("""COMPUTED_VALUE"""),"EQUIPOS")</f>
        <v>EQUIPOS</v>
      </c>
      <c r="E1632" s="213" t="str">
        <f>IFERROR(__xludf.DUMMYFUNCTION("""COMPUTED_VALUE"""),"ESP-251")</f>
        <v>ESP-251</v>
      </c>
      <c r="F1632" s="213" t="str">
        <f>IFERROR(__xludf.DUMMYFUNCTION("""COMPUTED_VALUE"""),"ESP-251")</f>
        <v>ESP-251</v>
      </c>
      <c r="G1632" s="213"/>
      <c r="H1632" s="213" t="str">
        <f>IFERROR(__xludf.DUMMYFUNCTION("""COMPUTED_VALUE"""),"MARMITA A GAS DE 10 LITROS")</f>
        <v>MARMITA A GAS DE 10 LITROS</v>
      </c>
      <c r="I1632" s="213"/>
      <c r="J1632" s="213">
        <f>IFERROR(__xludf.DUMMYFUNCTION("""COMPUTED_VALUE"""),3.0)</f>
        <v>3</v>
      </c>
      <c r="K1632" s="213" t="str">
        <f>IFERROR(__xludf.DUMMYFUNCTION("""COMPUTED_VALUE"""),"170 DÍAS CALENDARIO")</f>
        <v>170 DÍAS CALENDARIO</v>
      </c>
      <c r="L1632" s="213" t="str">
        <f>IFERROR(__xludf.DUMMYFUNCTION("""COMPUTED_VALUE"""),"")</f>
        <v/>
      </c>
      <c r="M1632" s="213">
        <f>IFERROR(__xludf.DUMMYFUNCTION("""COMPUTED_VALUE"""),1.0)</f>
        <v>1</v>
      </c>
      <c r="N1632" s="213">
        <f>IFERROR(__xludf.DUMMYFUNCTION("""COMPUTED_VALUE"""),1.0)</f>
        <v>1</v>
      </c>
      <c r="O1632" s="213">
        <f>IFERROR(__xludf.DUMMYFUNCTION("""COMPUTED_VALUE"""),1.0)</f>
        <v>1</v>
      </c>
      <c r="P1632" s="213"/>
      <c r="Q1632" s="213"/>
      <c r="R1632" s="213"/>
      <c r="S1632" s="213" t="str">
        <f>IFERROR(__xludf.DUMMYFUNCTION("""COMPUTED_VALUE"""),"SI")</f>
        <v>SI</v>
      </c>
      <c r="T1632" s="213" t="str">
        <f>IFERROR(__xludf.DUMMYFUNCTION("""COMPUTED_VALUE"""),"CONSULTA FINAL")</f>
        <v>CONSULTA FINAL</v>
      </c>
      <c r="U1632" s="213" t="str">
        <f>IFERROR(__xludf.DUMMYFUNCTION("""COMPUTED_VALUE"""),"NO")</f>
        <v>NO</v>
      </c>
      <c r="V1632" s="213" t="str">
        <f>IFERROR(__xludf.DUMMYFUNCTION("""COMPUTED_VALUE"""),"SUSTENTO")</f>
        <v>SUSTENTO</v>
      </c>
      <c r="W1632" s="213" t="str">
        <f>IFERROR(__xludf.DUMMYFUNCTION("""COMPUTED_VALUE"""),"EQU TEC")</f>
        <v>EQU TEC</v>
      </c>
      <c r="X1632" s="213" t="str">
        <f>IFERROR(__xludf.DUMMYFUNCTION("""COMPUTED_VALUE"""),"ILUMI")</f>
        <v>ILUMI</v>
      </c>
      <c r="Y1632" s="213" t="str">
        <f>IFERROR(__xludf.DUMMYFUNCTION("""COMPUTED_VALUE"""),"OM-10LGLP")</f>
        <v>OM-10LGLP</v>
      </c>
      <c r="Z1632" s="215" t="str">
        <f>IFERROR(__xludf.DUMMYFUNCTION("""COMPUTED_VALUE"""),"https://ilumiperu.com/products/olla-mezcladora-de-10-litros-a-gas?srsltid=AfmBOooCoSfQ4gh3knnXma2z7Ruhq7UYYwNbKyLnB_jLRSSMHNOtSSJg")</f>
        <v>https://ilumiperu.com/products/olla-mezcladora-de-10-litros-a-gas?srsltid=AfmBOooCoSfQ4gh3knnXma2z7Ruhq7UYYwNbKyLnB_jLRSSMHNOtSSJg</v>
      </c>
      <c r="AA1632" s="213" t="str">
        <f>IFERROR(__xludf.DUMMYFUNCTION("""COMPUTED_VALUE"""),"ESP-251 MARMITA A GAS DE 10 LITROS - CET")</f>
        <v>ESP-251 MARMITA A GAS DE 10 LITROS - CET</v>
      </c>
      <c r="AB1632" s="215" t="str">
        <f>IFERROR(__xludf.DUMMYFUNCTION("""COMPUTED_VALUE"""),"https://drive.google.com/file/d/1Inn-pS5tS8NHDAJi1lmFP-DpxktesK8b/view?usp=sharing")</f>
        <v>https://drive.google.com/file/d/1Inn-pS5tS8NHDAJi1lmFP-DpxktesK8b/view?usp=sharing</v>
      </c>
      <c r="AC1632" s="213"/>
      <c r="AD1632" s="213"/>
      <c r="AE1632" s="213"/>
      <c r="AF1632" s="213"/>
      <c r="AG1632" s="213"/>
      <c r="AH1632" s="213"/>
      <c r="AI1632" s="213"/>
      <c r="AJ1632" s="213"/>
      <c r="AK1632" s="213"/>
      <c r="AL1632" s="213"/>
      <c r="AM1632" s="213"/>
      <c r="AN1632" s="213"/>
      <c r="AO1632" s="213"/>
      <c r="AP1632" s="213" t="str">
        <f>IFERROR(__xludf.DUMMYFUNCTION("""COMPUTED_VALUE"""),"ANTONELLA")</f>
        <v>ANTONELLA</v>
      </c>
      <c r="AQ1632" s="213"/>
      <c r="AR1632" s="213"/>
      <c r="AS1632" s="213"/>
      <c r="AT1632" s="213"/>
      <c r="AU1632" s="213"/>
      <c r="AV1632" s="213"/>
      <c r="AW1632" s="213"/>
      <c r="AX1632" s="213"/>
      <c r="AY1632" s="213"/>
      <c r="AZ1632" s="213"/>
      <c r="BA1632" s="213"/>
      <c r="BB1632" s="213"/>
      <c r="BC1632" s="213"/>
      <c r="BD1632" s="213"/>
    </row>
    <row r="1633">
      <c r="A1633" s="213">
        <f>IFERROR(__xludf.DUMMYFUNCTION("""COMPUTED_VALUE"""),2135.0)</f>
        <v>2135</v>
      </c>
      <c r="B1633" s="213" t="str">
        <f>IFERROR(__xludf.DUMMYFUNCTION("""COMPUTED_VALUE"""),"JOSE GRANDA")</f>
        <v>JOSE GRANDA</v>
      </c>
      <c r="C1633" s="213" t="str">
        <f>IFERROR(__xludf.DUMMYFUNCTION("""COMPUTED_VALUE"""),"TALLER SFT DE INDUSTRIA ALIMENTARIA")</f>
        <v>TALLER SFT DE INDUSTRIA ALIMENTARIA</v>
      </c>
      <c r="D1633" s="213" t="str">
        <f>IFERROR(__xludf.DUMMYFUNCTION("""COMPUTED_VALUE"""),"EQUIPOS")</f>
        <v>EQUIPOS</v>
      </c>
      <c r="E1633" s="213" t="str">
        <f>IFERROR(__xludf.DUMMYFUNCTION("""COMPUTED_VALUE"""),"ESP-251")</f>
        <v>ESP-251</v>
      </c>
      <c r="F1633" s="213" t="str">
        <f>IFERROR(__xludf.DUMMYFUNCTION("""COMPUTED_VALUE"""),"ESP-251")</f>
        <v>ESP-251</v>
      </c>
      <c r="G1633" s="213"/>
      <c r="H1633" s="213" t="str">
        <f>IFERROR(__xludf.DUMMYFUNCTION("""COMPUTED_VALUE"""),"MARMITA A GAS DE 10 LITROS")</f>
        <v>MARMITA A GAS DE 10 LITROS</v>
      </c>
      <c r="I1633" s="213"/>
      <c r="J1633" s="213">
        <f>IFERROR(__xludf.DUMMYFUNCTION("""COMPUTED_VALUE"""),3.0)</f>
        <v>3</v>
      </c>
      <c r="K1633" s="213" t="str">
        <f>IFERROR(__xludf.DUMMYFUNCTION("""COMPUTED_VALUE"""),"170 DÍAS CALENDARIO")</f>
        <v>170 DÍAS CALENDARIO</v>
      </c>
      <c r="L1633" s="213" t="str">
        <f>IFERROR(__xludf.DUMMYFUNCTION("""COMPUTED_VALUE"""),"")</f>
        <v/>
      </c>
      <c r="M1633" s="213">
        <f>IFERROR(__xludf.DUMMYFUNCTION("""COMPUTED_VALUE"""),1.0)</f>
        <v>1</v>
      </c>
      <c r="N1633" s="213">
        <f>IFERROR(__xludf.DUMMYFUNCTION("""COMPUTED_VALUE"""),1.0)</f>
        <v>1</v>
      </c>
      <c r="O1633" s="213">
        <f>IFERROR(__xludf.DUMMYFUNCTION("""COMPUTED_VALUE"""),1.0)</f>
        <v>1</v>
      </c>
      <c r="P1633" s="213"/>
      <c r="Q1633" s="213"/>
      <c r="R1633" s="213"/>
      <c r="S1633" s="213" t="str">
        <f>IFERROR(__xludf.DUMMYFUNCTION("""COMPUTED_VALUE"""),"SI")</f>
        <v>SI</v>
      </c>
      <c r="T1633" s="213" t="str">
        <f>IFERROR(__xludf.DUMMYFUNCTION("""COMPUTED_VALUE"""),"CONSULTA FINAL")</f>
        <v>CONSULTA FINAL</v>
      </c>
      <c r="U1633" s="213" t="str">
        <f>IFERROR(__xludf.DUMMYFUNCTION("""COMPUTED_VALUE"""),"NO")</f>
        <v>NO</v>
      </c>
      <c r="V1633" s="213" t="str">
        <f>IFERROR(__xludf.DUMMYFUNCTION("""COMPUTED_VALUE"""),"SUSTENTO")</f>
        <v>SUSTENTO</v>
      </c>
      <c r="W1633" s="213" t="str">
        <f>IFERROR(__xludf.DUMMYFUNCTION("""COMPUTED_VALUE"""),"EQU TEC")</f>
        <v>EQU TEC</v>
      </c>
      <c r="X1633" s="213" t="str">
        <f>IFERROR(__xludf.DUMMYFUNCTION("""COMPUTED_VALUE"""),"ILUMI")</f>
        <v>ILUMI</v>
      </c>
      <c r="Y1633" s="213" t="str">
        <f>IFERROR(__xludf.DUMMYFUNCTION("""COMPUTED_VALUE"""),"OM-10LGLP")</f>
        <v>OM-10LGLP</v>
      </c>
      <c r="Z1633" s="215" t="str">
        <f>IFERROR(__xludf.DUMMYFUNCTION("""COMPUTED_VALUE"""),"https://ilumiperu.com/products/olla-mezcladora-de-10-litros-a-gas?srsltid=AfmBOooCoSfQ4gh3knnXma2z7Ruhq7UYYwNbKyLnB_jLRSSMHNOtSSJg")</f>
        <v>https://ilumiperu.com/products/olla-mezcladora-de-10-litros-a-gas?srsltid=AfmBOooCoSfQ4gh3knnXma2z7Ruhq7UYYwNbKyLnB_jLRSSMHNOtSSJg</v>
      </c>
      <c r="AA1633" s="213" t="str">
        <f>IFERROR(__xludf.DUMMYFUNCTION("""COMPUTED_VALUE"""),"ESP-251 MARMITA A GAS DE 10 LITROS - CET")</f>
        <v>ESP-251 MARMITA A GAS DE 10 LITROS - CET</v>
      </c>
      <c r="AB1633" s="215" t="str">
        <f>IFERROR(__xludf.DUMMYFUNCTION("""COMPUTED_VALUE"""),"https://drive.google.com/file/d/1Inn-pS5tS8NHDAJi1lmFP-DpxktesK8b/view?usp=sharing")</f>
        <v>https://drive.google.com/file/d/1Inn-pS5tS8NHDAJi1lmFP-DpxktesK8b/view?usp=sharing</v>
      </c>
      <c r="AC1633" s="213"/>
      <c r="AD1633" s="213"/>
      <c r="AE1633" s="213"/>
      <c r="AF1633" s="213"/>
      <c r="AG1633" s="213"/>
      <c r="AH1633" s="213"/>
      <c r="AI1633" s="213"/>
      <c r="AJ1633" s="213"/>
      <c r="AK1633" s="213"/>
      <c r="AL1633" s="213"/>
      <c r="AM1633" s="213"/>
      <c r="AN1633" s="213"/>
      <c r="AO1633" s="213"/>
      <c r="AP1633" s="213" t="str">
        <f>IFERROR(__xludf.DUMMYFUNCTION("""COMPUTED_VALUE"""),"ANTONELLA")</f>
        <v>ANTONELLA</v>
      </c>
      <c r="AQ1633" s="213"/>
      <c r="AR1633" s="213"/>
      <c r="AS1633" s="213"/>
      <c r="AT1633" s="213"/>
      <c r="AU1633" s="213"/>
      <c r="AV1633" s="213"/>
      <c r="AW1633" s="213"/>
      <c r="AX1633" s="213"/>
      <c r="AY1633" s="213"/>
      <c r="AZ1633" s="213"/>
      <c r="BA1633" s="213"/>
      <c r="BB1633" s="213"/>
      <c r="BC1633" s="213"/>
      <c r="BD1633" s="213"/>
    </row>
    <row r="1634">
      <c r="A1634" s="213">
        <f>IFERROR(__xludf.DUMMYFUNCTION("""COMPUTED_VALUE"""),1165.0)</f>
        <v>1165</v>
      </c>
      <c r="B1634" s="213" t="str">
        <f>IFERROR(__xludf.DUMMYFUNCTION("""COMPUTED_VALUE"""),"FRANCISCO IRAZOLA")</f>
        <v>FRANCISCO IRAZOLA</v>
      </c>
      <c r="C1634" s="213" t="str">
        <f>IFERROR(__xludf.DUMMYFUNCTION("""COMPUTED_VALUE"""),"TALLER SFT DE INDUSTRIA ALIMENTARIA")</f>
        <v>TALLER SFT DE INDUSTRIA ALIMENTARIA</v>
      </c>
      <c r="D1634" s="213" t="str">
        <f>IFERROR(__xludf.DUMMYFUNCTION("""COMPUTED_VALUE"""),"HERRAMIENTAS")</f>
        <v>HERRAMIENTAS</v>
      </c>
      <c r="E1634" s="213" t="str">
        <f>IFERROR(__xludf.DUMMYFUNCTION("""COMPUTED_VALUE"""),"MAT-153")</f>
        <v>MAT-153</v>
      </c>
      <c r="F1634" s="213" t="str">
        <f>IFERROR(__xludf.DUMMYFUNCTION("""COMPUTED_VALUE"""),"MAT-153")</f>
        <v>MAT-153</v>
      </c>
      <c r="G1634" s="213"/>
      <c r="H1634" s="213" t="str">
        <f>IFERROR(__xludf.DUMMYFUNCTION("""COMPUTED_VALUE"""),"ESCOBILLA")</f>
        <v>ESCOBILLA</v>
      </c>
      <c r="I1634" s="213" t="str">
        <f>IFERROR(__xludf.DUMMYFUNCTION("""COMPUTED_VALUE"""),"· Mango y base de plástico sólido.
· Fibras suaves y firmes.")</f>
        <v>· Mango y base de plástico sólido.
· Fibras suaves y firmes.</v>
      </c>
      <c r="J1634" s="213">
        <f>IFERROR(__xludf.DUMMYFUNCTION("""COMPUTED_VALUE"""),3.0)</f>
        <v>3</v>
      </c>
      <c r="K1634" s="213" t="str">
        <f>IFERROR(__xludf.DUMMYFUNCTION("""COMPUTED_VALUE"""),"90 DÍAS CALENDARIO")</f>
        <v>90 DÍAS CALENDARIO</v>
      </c>
      <c r="L1634" s="213" t="str">
        <f>IFERROR(__xludf.DUMMYFUNCTION("""COMPUTED_VALUE"""),"COCINA Y REPOSTERÍA, INDUSTRIA ALIMENTARIA")</f>
        <v>COCINA Y REPOSTERÍA, INDUSTRIA ALIMENTARIA</v>
      </c>
      <c r="M1634" s="213">
        <f>IFERROR(__xludf.DUMMYFUNCTION("""COMPUTED_VALUE"""),1.0)</f>
        <v>1</v>
      </c>
      <c r="N1634" s="213">
        <f>IFERROR(__xludf.DUMMYFUNCTION("""COMPUTED_VALUE"""),4.0)</f>
        <v>4</v>
      </c>
      <c r="O1634" s="213">
        <f>IFERROR(__xludf.DUMMYFUNCTION("""COMPUTED_VALUE"""),4.0)</f>
        <v>4</v>
      </c>
      <c r="P1634" s="213"/>
      <c r="Q1634" s="213"/>
      <c r="R1634" s="213"/>
      <c r="S1634" s="213"/>
      <c r="T1634" s="213" t="str">
        <f>IFERROR(__xludf.DUMMYFUNCTION("""COMPUTED_VALUE"""),"SI")</f>
        <v>SI</v>
      </c>
      <c r="U1634" s="213" t="str">
        <f>IFERROR(__xludf.DUMMYFUNCTION("""COMPUTED_VALUE"""),"SI")</f>
        <v>SI</v>
      </c>
      <c r="V1634" s="213" t="str">
        <f>IFERROR(__xludf.DUMMYFUNCTION("""COMPUTED_VALUE"""),"-")</f>
        <v>-</v>
      </c>
      <c r="W1634" s="213" t="str">
        <f>IFERROR(__xludf.DUMMYFUNCTION("""COMPUTED_VALUE"""),"-")</f>
        <v>-</v>
      </c>
      <c r="X1634" s="213" t="str">
        <f>IFERROR(__xludf.DUMMYFUNCTION("""COMPUTED_VALUE"""),"Eterna")</f>
        <v>Eterna</v>
      </c>
      <c r="Y1634" s="213" t="str">
        <f>IFERROR(__xludf.DUMMYFUNCTION("""COMPUTED_VALUE"""),"Escobilla de lavandería ")</f>
        <v>Escobilla de lavandería </v>
      </c>
      <c r="Z1634" s="215" t="str">
        <f>IFERROR(__xludf.DUMMYFUNCTION("""COMPUTED_VALUE"""),"https://www.promart.pe/escobilla-de-lavanderia/p")</f>
        <v>https://www.promart.pe/escobilla-de-lavanderia/p</v>
      </c>
      <c r="AA1634" s="213" t="str">
        <f>IFERROR(__xludf.DUMMYFUNCTION("""COMPUTED_VALUE"""),"MAT-153  ESCOBILLA - CET")</f>
        <v>MAT-153  ESCOBILLA - CET</v>
      </c>
      <c r="AB1634" s="213"/>
      <c r="AC1634" s="213"/>
      <c r="AD1634" s="213"/>
      <c r="AE1634" s="213"/>
      <c r="AF1634" s="213"/>
      <c r="AG1634" s="213"/>
      <c r="AH1634" s="213"/>
      <c r="AI1634" s="213"/>
      <c r="AJ1634" s="213"/>
      <c r="AK1634" s="213"/>
      <c r="AL1634" s="213"/>
      <c r="AM1634" s="213"/>
      <c r="AN1634" s="213"/>
      <c r="AO1634" s="213"/>
      <c r="AP1634" s="213" t="str">
        <f>IFERROR(__xludf.DUMMYFUNCTION("""COMPUTED_VALUE"""),"BRUNO")</f>
        <v>BRUNO</v>
      </c>
      <c r="AQ1634" s="213"/>
      <c r="AR1634" s="213"/>
      <c r="AS1634" s="213"/>
      <c r="AT1634" s="213"/>
      <c r="AU1634" s="213"/>
      <c r="AV1634" s="213"/>
      <c r="AW1634" s="213"/>
      <c r="AX1634" s="213"/>
      <c r="AY1634" s="213"/>
      <c r="AZ1634" s="213"/>
      <c r="BA1634" s="213"/>
      <c r="BB1634" s="213"/>
      <c r="BC1634" s="213"/>
      <c r="BD1634" s="213"/>
    </row>
    <row r="1635">
      <c r="A1635" s="213">
        <f>IFERROR(__xludf.DUMMYFUNCTION("""COMPUTED_VALUE"""),1437.0)</f>
        <v>1437</v>
      </c>
      <c r="B1635" s="213" t="str">
        <f>IFERROR(__xludf.DUMMYFUNCTION("""COMPUTED_VALUE"""),"GUILLERMO E. BILLINGHURST ")</f>
        <v>GUILLERMO E. BILLINGHURST </v>
      </c>
      <c r="C1635" s="213" t="str">
        <f>IFERROR(__xludf.DUMMYFUNCTION("""COMPUTED_VALUE"""),"TALLER SFT DE INDUSTRIA ALIMENTARIA")</f>
        <v>TALLER SFT DE INDUSTRIA ALIMENTARIA</v>
      </c>
      <c r="D1635" s="213" t="str">
        <f>IFERROR(__xludf.DUMMYFUNCTION("""COMPUTED_VALUE"""),"HERRAMIENTAS")</f>
        <v>HERRAMIENTAS</v>
      </c>
      <c r="E1635" s="213" t="str">
        <f>IFERROR(__xludf.DUMMYFUNCTION("""COMPUTED_VALUE"""),"MAT-153")</f>
        <v>MAT-153</v>
      </c>
      <c r="F1635" s="213" t="str">
        <f>IFERROR(__xludf.DUMMYFUNCTION("""COMPUTED_VALUE"""),"MAT-153")</f>
        <v>MAT-153</v>
      </c>
      <c r="G1635" s="213"/>
      <c r="H1635" s="213" t="str">
        <f>IFERROR(__xludf.DUMMYFUNCTION("""COMPUTED_VALUE"""),"ESCOBILLA")</f>
        <v>ESCOBILLA</v>
      </c>
      <c r="I1635" s="213" t="str">
        <f>IFERROR(__xludf.DUMMYFUNCTION("""COMPUTED_VALUE"""),"· Mango y base de plástico sólido.
· Fibras suaves y firmes.")</f>
        <v>· Mango y base de plástico sólido.
· Fibras suaves y firmes.</v>
      </c>
      <c r="J1635" s="213">
        <f>IFERROR(__xludf.DUMMYFUNCTION("""COMPUTED_VALUE"""),3.0)</f>
        <v>3</v>
      </c>
      <c r="K1635" s="213" t="str">
        <f>IFERROR(__xludf.DUMMYFUNCTION("""COMPUTED_VALUE"""),"90 DÍAS CALENDARIO")</f>
        <v>90 DÍAS CALENDARIO</v>
      </c>
      <c r="L1635" s="213" t="str">
        <f>IFERROR(__xludf.DUMMYFUNCTION("""COMPUTED_VALUE"""),"COCINA Y REPOSTERÍA, INDUSTRIA ALIMENTARIA")</f>
        <v>COCINA Y REPOSTERÍA, INDUSTRIA ALIMENTARIA</v>
      </c>
      <c r="M1635" s="213">
        <f>IFERROR(__xludf.DUMMYFUNCTION("""COMPUTED_VALUE"""),1.0)</f>
        <v>1</v>
      </c>
      <c r="N1635" s="213">
        <f>IFERROR(__xludf.DUMMYFUNCTION("""COMPUTED_VALUE"""),4.0)</f>
        <v>4</v>
      </c>
      <c r="O1635" s="213">
        <f>IFERROR(__xludf.DUMMYFUNCTION("""COMPUTED_VALUE"""),4.0)</f>
        <v>4</v>
      </c>
      <c r="P1635" s="213"/>
      <c r="Q1635" s="213"/>
      <c r="R1635" s="213"/>
      <c r="S1635" s="213"/>
      <c r="T1635" s="213" t="str">
        <f>IFERROR(__xludf.DUMMYFUNCTION("""COMPUTED_VALUE"""),"SI")</f>
        <v>SI</v>
      </c>
      <c r="U1635" s="213" t="str">
        <f>IFERROR(__xludf.DUMMYFUNCTION("""COMPUTED_VALUE"""),"SI")</f>
        <v>SI</v>
      </c>
      <c r="V1635" s="213" t="str">
        <f>IFERROR(__xludf.DUMMYFUNCTION("""COMPUTED_VALUE"""),"-")</f>
        <v>-</v>
      </c>
      <c r="W1635" s="213" t="str">
        <f>IFERROR(__xludf.DUMMYFUNCTION("""COMPUTED_VALUE"""),"-")</f>
        <v>-</v>
      </c>
      <c r="X1635" s="213" t="str">
        <f>IFERROR(__xludf.DUMMYFUNCTION("""COMPUTED_VALUE"""),"Eterna")</f>
        <v>Eterna</v>
      </c>
      <c r="Y1635" s="213" t="str">
        <f>IFERROR(__xludf.DUMMYFUNCTION("""COMPUTED_VALUE"""),"Escobilla de lavandería ")</f>
        <v>Escobilla de lavandería </v>
      </c>
      <c r="Z1635" s="215" t="str">
        <f>IFERROR(__xludf.DUMMYFUNCTION("""COMPUTED_VALUE"""),"https://www.promart.pe/escobilla-de-lavanderia/p")</f>
        <v>https://www.promart.pe/escobilla-de-lavanderia/p</v>
      </c>
      <c r="AA1635" s="213" t="str">
        <f>IFERROR(__xludf.DUMMYFUNCTION("""COMPUTED_VALUE"""),"MAT-153  ESCOBILLA - CET")</f>
        <v>MAT-153  ESCOBILLA - CET</v>
      </c>
      <c r="AB1635" s="213"/>
      <c r="AC1635" s="213"/>
      <c r="AD1635" s="213"/>
      <c r="AE1635" s="213"/>
      <c r="AF1635" s="213"/>
      <c r="AG1635" s="213"/>
      <c r="AH1635" s="213"/>
      <c r="AI1635" s="213"/>
      <c r="AJ1635" s="213"/>
      <c r="AK1635" s="213"/>
      <c r="AL1635" s="213"/>
      <c r="AM1635" s="213"/>
      <c r="AN1635" s="213"/>
      <c r="AO1635" s="213"/>
      <c r="AP1635" s="213" t="str">
        <f>IFERROR(__xludf.DUMMYFUNCTION("""COMPUTED_VALUE"""),"BRUNO")</f>
        <v>BRUNO</v>
      </c>
      <c r="AQ1635" s="213"/>
      <c r="AR1635" s="213"/>
      <c r="AS1635" s="213"/>
      <c r="AT1635" s="213"/>
      <c r="AU1635" s="213"/>
      <c r="AV1635" s="213"/>
      <c r="AW1635" s="213"/>
      <c r="AX1635" s="213"/>
      <c r="AY1635" s="213"/>
      <c r="AZ1635" s="213"/>
      <c r="BA1635" s="213"/>
      <c r="BB1635" s="213"/>
      <c r="BC1635" s="213"/>
      <c r="BD1635" s="213"/>
    </row>
    <row r="1636">
      <c r="A1636" s="213">
        <f>IFERROR(__xludf.DUMMYFUNCTION("""COMPUTED_VALUE"""),2124.0)</f>
        <v>2124</v>
      </c>
      <c r="B1636" s="213" t="str">
        <f>IFERROR(__xludf.DUMMYFUNCTION("""COMPUTED_VALUE"""),"JOSE GRANDA")</f>
        <v>JOSE GRANDA</v>
      </c>
      <c r="C1636" s="213" t="str">
        <f>IFERROR(__xludf.DUMMYFUNCTION("""COMPUTED_VALUE"""),"TALLER SFT DE INDUSTRIA ALIMENTARIA")</f>
        <v>TALLER SFT DE INDUSTRIA ALIMENTARIA</v>
      </c>
      <c r="D1636" s="213" t="str">
        <f>IFERROR(__xludf.DUMMYFUNCTION("""COMPUTED_VALUE"""),"HERRAMIENTAS")</f>
        <v>HERRAMIENTAS</v>
      </c>
      <c r="E1636" s="213" t="str">
        <f>IFERROR(__xludf.DUMMYFUNCTION("""COMPUTED_VALUE"""),"MAT-153")</f>
        <v>MAT-153</v>
      </c>
      <c r="F1636" s="213" t="str">
        <f>IFERROR(__xludf.DUMMYFUNCTION("""COMPUTED_VALUE"""),"MAT-153")</f>
        <v>MAT-153</v>
      </c>
      <c r="G1636" s="213"/>
      <c r="H1636" s="213" t="str">
        <f>IFERROR(__xludf.DUMMYFUNCTION("""COMPUTED_VALUE"""),"ESCOBILLA")</f>
        <v>ESCOBILLA</v>
      </c>
      <c r="I1636" s="213" t="str">
        <f>IFERROR(__xludf.DUMMYFUNCTION("""COMPUTED_VALUE"""),"· Mango y base de plástico sólido.
· Fibras suaves y firmes.")</f>
        <v>· Mango y base de plástico sólido.
· Fibras suaves y firmes.</v>
      </c>
      <c r="J1636" s="213">
        <f>IFERROR(__xludf.DUMMYFUNCTION("""COMPUTED_VALUE"""),3.0)</f>
        <v>3</v>
      </c>
      <c r="K1636" s="213" t="str">
        <f>IFERROR(__xludf.DUMMYFUNCTION("""COMPUTED_VALUE"""),"90 DÍAS CALENDARIO")</f>
        <v>90 DÍAS CALENDARIO</v>
      </c>
      <c r="L1636" s="213" t="str">
        <f>IFERROR(__xludf.DUMMYFUNCTION("""COMPUTED_VALUE"""),"COCINA Y REPOSTERÍA, INDUSTRIA ALIMENTARIA")</f>
        <v>COCINA Y REPOSTERÍA, INDUSTRIA ALIMENTARIA</v>
      </c>
      <c r="M1636" s="213">
        <f>IFERROR(__xludf.DUMMYFUNCTION("""COMPUTED_VALUE"""),1.0)</f>
        <v>1</v>
      </c>
      <c r="N1636" s="213">
        <f>IFERROR(__xludf.DUMMYFUNCTION("""COMPUTED_VALUE"""),4.0)</f>
        <v>4</v>
      </c>
      <c r="O1636" s="213">
        <f>IFERROR(__xludf.DUMMYFUNCTION("""COMPUTED_VALUE"""),4.0)</f>
        <v>4</v>
      </c>
      <c r="P1636" s="213"/>
      <c r="Q1636" s="213"/>
      <c r="R1636" s="213"/>
      <c r="S1636" s="213"/>
      <c r="T1636" s="213" t="str">
        <f>IFERROR(__xludf.DUMMYFUNCTION("""COMPUTED_VALUE"""),"SI")</f>
        <v>SI</v>
      </c>
      <c r="U1636" s="213" t="str">
        <f>IFERROR(__xludf.DUMMYFUNCTION("""COMPUTED_VALUE"""),"SI")</f>
        <v>SI</v>
      </c>
      <c r="V1636" s="213" t="str">
        <f>IFERROR(__xludf.DUMMYFUNCTION("""COMPUTED_VALUE"""),"-")</f>
        <v>-</v>
      </c>
      <c r="W1636" s="213" t="str">
        <f>IFERROR(__xludf.DUMMYFUNCTION("""COMPUTED_VALUE"""),"-")</f>
        <v>-</v>
      </c>
      <c r="X1636" s="213" t="str">
        <f>IFERROR(__xludf.DUMMYFUNCTION("""COMPUTED_VALUE"""),"Eterna")</f>
        <v>Eterna</v>
      </c>
      <c r="Y1636" s="213" t="str">
        <f>IFERROR(__xludf.DUMMYFUNCTION("""COMPUTED_VALUE"""),"Escobilla de lavandería ")</f>
        <v>Escobilla de lavandería </v>
      </c>
      <c r="Z1636" s="215" t="str">
        <f>IFERROR(__xludf.DUMMYFUNCTION("""COMPUTED_VALUE"""),"https://www.promart.pe/escobilla-de-lavanderia/p")</f>
        <v>https://www.promart.pe/escobilla-de-lavanderia/p</v>
      </c>
      <c r="AA1636" s="213" t="str">
        <f>IFERROR(__xludf.DUMMYFUNCTION("""COMPUTED_VALUE"""),"MAT-153  ESCOBILLA - CET")</f>
        <v>MAT-153  ESCOBILLA - CET</v>
      </c>
      <c r="AB1636" s="213"/>
      <c r="AC1636" s="213"/>
      <c r="AD1636" s="213"/>
      <c r="AE1636" s="213"/>
      <c r="AF1636" s="213"/>
      <c r="AG1636" s="213"/>
      <c r="AH1636" s="213"/>
      <c r="AI1636" s="213"/>
      <c r="AJ1636" s="213"/>
      <c r="AK1636" s="213"/>
      <c r="AL1636" s="213"/>
      <c r="AM1636" s="213"/>
      <c r="AN1636" s="213"/>
      <c r="AO1636" s="213"/>
      <c r="AP1636" s="213" t="str">
        <f>IFERROR(__xludf.DUMMYFUNCTION("""COMPUTED_VALUE"""),"BRUNO")</f>
        <v>BRUNO</v>
      </c>
      <c r="AQ1636" s="213"/>
      <c r="AR1636" s="213"/>
      <c r="AS1636" s="213"/>
      <c r="AT1636" s="213"/>
      <c r="AU1636" s="213"/>
      <c r="AV1636" s="213"/>
      <c r="AW1636" s="213"/>
      <c r="AX1636" s="213"/>
      <c r="AY1636" s="213"/>
      <c r="AZ1636" s="213"/>
      <c r="BA1636" s="213"/>
      <c r="BB1636" s="213"/>
      <c r="BC1636" s="213"/>
      <c r="BD1636" s="213"/>
    </row>
    <row r="1637">
      <c r="A1637" s="213">
        <f>IFERROR(__xludf.DUMMYFUNCTION("""COMPUTED_VALUE"""),17.0)</f>
        <v>17</v>
      </c>
      <c r="B1637" s="213" t="str">
        <f>IFERROR(__xludf.DUMMYFUNCTION("""COMPUTED_VALUE"""),"16449 ELOY SOBERON  FLORES")</f>
        <v>16449 ELOY SOBERON  FLORES</v>
      </c>
      <c r="C1637" s="213" t="str">
        <f>IFERROR(__xludf.DUMMYFUNCTION("""COMPUTED_VALUE"""),"TALLER SFT DE COCINA Y REPOSTERÍA")</f>
        <v>TALLER SFT DE COCINA Y REPOSTERÍA</v>
      </c>
      <c r="D1637" s="213" t="str">
        <f>IFERROR(__xludf.DUMMYFUNCTION("""COMPUTED_VALUE"""),"HERRAMIENTAS")</f>
        <v>HERRAMIENTAS</v>
      </c>
      <c r="E1637" s="213" t="str">
        <f>IFERROR(__xludf.DUMMYFUNCTION("""COMPUTED_VALUE"""),"MAT-154")</f>
        <v>MAT-154</v>
      </c>
      <c r="F1637" s="213" t="str">
        <f>IFERROR(__xludf.DUMMYFUNCTION("""COMPUTED_VALUE"""),"MAT-154-X")</f>
        <v>MAT-154-X</v>
      </c>
      <c r="G1637" s="213"/>
      <c r="H1637" s="213" t="str">
        <f>IFERROR(__xludf.DUMMYFUNCTION("""COMPUTED_VALUE"""),"ESCOBILLON")</f>
        <v>ESCOBILLON</v>
      </c>
      <c r="I1637" s="213" t="str">
        <f>IFERROR(__xludf.DUMMYFUNCTION("""COMPUTED_VALUE"""),"· Escobillón barrendero de PVC blanco
. Cerda ultra reforzada.
. Ideal para limpieza pesada
. Medida minima: 30 cm
. Rosca minima de 28 mm
. Incluye cabo grueso barrendero.")</f>
        <v>· Escobillón barrendero de PVC blanco
. Cerda ultra reforzada.
. Ideal para limpieza pesada
. Medida minima: 30 cm
. Rosca minima de 28 mm
. Incluye cabo grueso barrendero.</v>
      </c>
      <c r="J1637" s="213">
        <f>IFERROR(__xludf.DUMMYFUNCTION("""COMPUTED_VALUE"""),3.0)</f>
        <v>3</v>
      </c>
      <c r="K1637" s="213" t="str">
        <f>IFERROR(__xludf.DUMMYFUNCTION("""COMPUTED_VALUE"""),"90 DÍAS CALENDARIO")</f>
        <v>90 DÍAS CALENDARIO</v>
      </c>
      <c r="L1637" s="213" t="str">
        <f>IFERROR(__xludf.DUMMYFUNCTION("""COMPUTED_VALUE"""),"")</f>
        <v/>
      </c>
      <c r="M1637" s="213">
        <f>IFERROR(__xludf.DUMMYFUNCTION("""COMPUTED_VALUE"""),1.0)</f>
        <v>1</v>
      </c>
      <c r="N1637" s="213">
        <f>IFERROR(__xludf.DUMMYFUNCTION("""COMPUTED_VALUE"""),2.0)</f>
        <v>2</v>
      </c>
      <c r="O1637" s="213">
        <f>IFERROR(__xludf.DUMMYFUNCTION("""COMPUTED_VALUE"""),2.0)</f>
        <v>2</v>
      </c>
      <c r="P1637" s="213"/>
      <c r="Q1637" s="213"/>
      <c r="R1637" s="213"/>
      <c r="S1637" s="213"/>
      <c r="T1637" s="213" t="str">
        <f>IFERROR(__xludf.DUMMYFUNCTION("""COMPUTED_VALUE"""),"SI")</f>
        <v>SI</v>
      </c>
      <c r="U1637" s="213" t="str">
        <f>IFERROR(__xludf.DUMMYFUNCTION("""COMPUTED_VALUE"""),"SI")</f>
        <v>SI</v>
      </c>
      <c r="V1637" s="213" t="str">
        <f>IFERROR(__xludf.DUMMYFUNCTION("""COMPUTED_VALUE"""),"-")</f>
        <v>-</v>
      </c>
      <c r="W1637" s="213" t="str">
        <f>IFERROR(__xludf.DUMMYFUNCTION("""COMPUTED_VALUE"""),"-")</f>
        <v>-</v>
      </c>
      <c r="X1637" s="213" t="str">
        <f>IFERROR(__xludf.DUMMYFUNCTION("""COMPUTED_VALUE"""),"FBK")</f>
        <v>FBK</v>
      </c>
      <c r="Y1637" s="213">
        <f>IFERROR(__xludf.DUMMYFUNCTION("""COMPUTED_VALUE"""),20153.0)</f>
        <v>20153</v>
      </c>
      <c r="Z1637" s="215" t="str">
        <f>IFERROR(__xludf.DUMMYFUNCTION("""COMPUTED_VALUE"""),"https://www.b2peru.pe/es/product/24/cepillo-para-refregar-escobillon-fbk-peru-sac")</f>
        <v>https://www.b2peru.pe/es/product/24/cepillo-para-refregar-escobillon-fbk-peru-sac</v>
      </c>
      <c r="AA1637" s="213" t="str">
        <f>IFERROR(__xludf.DUMMYFUNCTION("""COMPUTED_VALUE"""),"MAT-154-X ESCOBILLON ( CR ) - CET")</f>
        <v>MAT-154-X ESCOBILLON ( CR ) - CET</v>
      </c>
      <c r="AB1637" s="213"/>
      <c r="AC1637" s="213"/>
      <c r="AD1637" s="213"/>
      <c r="AE1637" s="213"/>
      <c r="AF1637" s="213"/>
      <c r="AG1637" s="213"/>
      <c r="AH1637" s="213"/>
      <c r="AI1637" s="213"/>
      <c r="AJ1637" s="213"/>
      <c r="AK1637" s="213"/>
      <c r="AL1637" s="213"/>
      <c r="AM1637" s="213"/>
      <c r="AN1637" s="213"/>
      <c r="AO1637" s="213"/>
      <c r="AP1637" s="213" t="str">
        <f>IFERROR(__xludf.DUMMYFUNCTION("""COMPUTED_VALUE"""),"LUIS")</f>
        <v>LUIS</v>
      </c>
      <c r="AQ1637" s="213"/>
      <c r="AR1637" s="213"/>
      <c r="AS1637" s="213"/>
      <c r="AT1637" s="213"/>
      <c r="AU1637" s="213"/>
      <c r="AV1637" s="213"/>
      <c r="AW1637" s="213"/>
      <c r="AX1637" s="213"/>
      <c r="AY1637" s="213"/>
      <c r="AZ1637" s="213"/>
      <c r="BA1637" s="213"/>
      <c r="BB1637" s="213"/>
      <c r="BC1637" s="213"/>
      <c r="BD1637" s="213"/>
    </row>
    <row r="1638">
      <c r="A1638" s="213">
        <f>IFERROR(__xludf.DUMMYFUNCTION("""COMPUTED_VALUE"""),528.0)</f>
        <v>528</v>
      </c>
      <c r="B1638" s="213" t="str">
        <f>IFERROR(__xludf.DUMMYFUNCTION("""COMPUTED_VALUE"""),"2026 SIMON BOLIVAR")</f>
        <v>2026 SIMON BOLIVAR</v>
      </c>
      <c r="C1638" s="213" t="str">
        <f>IFERROR(__xludf.DUMMYFUNCTION("""COMPUTED_VALUE"""),"TALLER SFT DE INDUSTRIA ALIMENTARIA")</f>
        <v>TALLER SFT DE INDUSTRIA ALIMENTARIA</v>
      </c>
      <c r="D1638" s="213" t="str">
        <f>IFERROR(__xludf.DUMMYFUNCTION("""COMPUTED_VALUE"""),"HERRAMIENTAS")</f>
        <v>HERRAMIENTAS</v>
      </c>
      <c r="E1638" s="213" t="str">
        <f>IFERROR(__xludf.DUMMYFUNCTION("""COMPUTED_VALUE"""),"MAT-154")</f>
        <v>MAT-154</v>
      </c>
      <c r="F1638" s="213" t="str">
        <f>IFERROR(__xludf.DUMMYFUNCTION("""COMPUTED_VALUE"""),"MAT-154-Y")</f>
        <v>MAT-154-Y</v>
      </c>
      <c r="G1638" s="213"/>
      <c r="H1638" s="213" t="str">
        <f>IFERROR(__xludf.DUMMYFUNCTION("""COMPUTED_VALUE"""),"ESCOBILLÓN")</f>
        <v>ESCOBILLÓN</v>
      </c>
      <c r="I1638" s="213"/>
      <c r="J1638" s="213">
        <f>IFERROR(__xludf.DUMMYFUNCTION("""COMPUTED_VALUE"""),3.0)</f>
        <v>3</v>
      </c>
      <c r="K1638" s="213" t="str">
        <f>IFERROR(__xludf.DUMMYFUNCTION("""COMPUTED_VALUE"""),"90 DÍAS CALENDARIO")</f>
        <v>90 DÍAS CALENDARIO</v>
      </c>
      <c r="L1638" s="213" t="str">
        <f>IFERROR(__xludf.DUMMYFUNCTION("""COMPUTED_VALUE"""),"")</f>
        <v/>
      </c>
      <c r="M1638" s="213">
        <f>IFERROR(__xludf.DUMMYFUNCTION("""COMPUTED_VALUE"""),1.0)</f>
        <v>1</v>
      </c>
      <c r="N1638" s="213">
        <f>IFERROR(__xludf.DUMMYFUNCTION("""COMPUTED_VALUE"""),2.0)</f>
        <v>2</v>
      </c>
      <c r="O1638" s="213">
        <f>IFERROR(__xludf.DUMMYFUNCTION("""COMPUTED_VALUE"""),2.0)</f>
        <v>2</v>
      </c>
      <c r="P1638" s="213"/>
      <c r="Q1638" s="213"/>
      <c r="R1638" s="213"/>
      <c r="S1638" s="213"/>
      <c r="T1638" s="213" t="str">
        <f>IFERROR(__xludf.DUMMYFUNCTION("""COMPUTED_VALUE"""),"SI")</f>
        <v>SI</v>
      </c>
      <c r="U1638" s="213" t="str">
        <f>IFERROR(__xludf.DUMMYFUNCTION("""COMPUTED_VALUE"""),"SI")</f>
        <v>SI</v>
      </c>
      <c r="V1638" s="213" t="str">
        <f>IFERROR(__xludf.DUMMYFUNCTION("""COMPUTED_VALUE"""),"-")</f>
        <v>-</v>
      </c>
      <c r="W1638" s="213" t="str">
        <f>IFERROR(__xludf.DUMMYFUNCTION("""COMPUTED_VALUE"""),"-")</f>
        <v>-</v>
      </c>
      <c r="X1638" s="213" t="str">
        <f>IFERROR(__xludf.DUMMYFUNCTION("""COMPUTED_VALUE"""),"FBK")</f>
        <v>FBK</v>
      </c>
      <c r="Y1638" s="213">
        <f>IFERROR(__xludf.DUMMYFUNCTION("""COMPUTED_VALUE"""),20153.0)</f>
        <v>20153</v>
      </c>
      <c r="Z1638" s="215" t="str">
        <f>IFERROR(__xludf.DUMMYFUNCTION("""COMPUTED_VALUE"""),"https://www.b2peru.pe/es/product/24/cepillo-para-refregar-escobillon-fbk-peru-sac")</f>
        <v>https://www.b2peru.pe/es/product/24/cepillo-para-refregar-escobillon-fbk-peru-sac</v>
      </c>
      <c r="AA1638" s="213" t="str">
        <f>IFERROR(__xludf.DUMMYFUNCTION("""COMPUTED_VALUE"""),"MAT-154-Y ESCOBILLON ( IA ) - CET")</f>
        <v>MAT-154-Y ESCOBILLON ( IA ) - CET</v>
      </c>
      <c r="AB1638" s="213"/>
      <c r="AC1638" s="213"/>
      <c r="AD1638" s="213"/>
      <c r="AE1638" s="213"/>
      <c r="AF1638" s="213"/>
      <c r="AG1638" s="213"/>
      <c r="AH1638" s="213"/>
      <c r="AI1638" s="213"/>
      <c r="AJ1638" s="213"/>
      <c r="AK1638" s="213"/>
      <c r="AL1638" s="213"/>
      <c r="AM1638" s="213"/>
      <c r="AN1638" s="213"/>
      <c r="AO1638" s="213"/>
      <c r="AP1638" s="213" t="str">
        <f>IFERROR(__xludf.DUMMYFUNCTION("""COMPUTED_VALUE"""),"BRUNO")</f>
        <v>BRUNO</v>
      </c>
      <c r="AQ1638" s="213" t="str">
        <f>IFERROR(__xludf.DUMMYFUNCTION("""COMPUTED_VALUE"""),"añadir el cabo de 28 mm")</f>
        <v>añadir el cabo de 28 mm</v>
      </c>
      <c r="AR1638" s="213"/>
      <c r="AS1638" s="213" t="str">
        <f>IFERROR(__xludf.DUMMYFUNCTION("""COMPUTED_VALUE"""),"Cabo Palo Madera con Rosca")</f>
        <v>Cabo Palo Madera con Rosca</v>
      </c>
      <c r="AT1638" s="216" t="str">
        <f>IFERROR(__xludf.DUMMYFUNCTION("""COMPUTED_VALUE"""),"https://liberzi.com.ar/producto/cabos-de-madera/")</f>
        <v>https://liberzi.com.ar/producto/cabos-de-madera/</v>
      </c>
      <c r="AU1638" s="213"/>
      <c r="AV1638" s="213"/>
      <c r="AW1638" s="213"/>
      <c r="AX1638" s="213"/>
      <c r="AY1638" s="213"/>
      <c r="AZ1638" s="213"/>
      <c r="BA1638" s="213"/>
      <c r="BB1638" s="213"/>
      <c r="BC1638" s="213"/>
      <c r="BD1638" s="213"/>
    </row>
    <row r="1639">
      <c r="A1639" s="213">
        <f>IFERROR(__xludf.DUMMYFUNCTION("""COMPUTED_VALUE"""),1158.0)</f>
        <v>1158</v>
      </c>
      <c r="B1639" s="213" t="str">
        <f>IFERROR(__xludf.DUMMYFUNCTION("""COMPUTED_VALUE"""),"FRANCISCO IRAZOLA")</f>
        <v>FRANCISCO IRAZOLA</v>
      </c>
      <c r="C1639" s="213" t="str">
        <f>IFERROR(__xludf.DUMMYFUNCTION("""COMPUTED_VALUE"""),"TALLER SFT DE INDUSTRIA ALIMENTARIA")</f>
        <v>TALLER SFT DE INDUSTRIA ALIMENTARIA</v>
      </c>
      <c r="D1639" s="213" t="str">
        <f>IFERROR(__xludf.DUMMYFUNCTION("""COMPUTED_VALUE"""),"HERRAMIENTAS")</f>
        <v>HERRAMIENTAS</v>
      </c>
      <c r="E1639" s="213" t="str">
        <f>IFERROR(__xludf.DUMMYFUNCTION("""COMPUTED_VALUE"""),"MAT-154")</f>
        <v>MAT-154</v>
      </c>
      <c r="F1639" s="213" t="str">
        <f>IFERROR(__xludf.DUMMYFUNCTION("""COMPUTED_VALUE"""),"MAT-154-Y")</f>
        <v>MAT-154-Y</v>
      </c>
      <c r="G1639" s="213"/>
      <c r="H1639" s="213" t="str">
        <f>IFERROR(__xludf.DUMMYFUNCTION("""COMPUTED_VALUE"""),"ESCOBILLÓN")</f>
        <v>ESCOBILLÓN</v>
      </c>
      <c r="I1639" s="213"/>
      <c r="J1639" s="213">
        <f>IFERROR(__xludf.DUMMYFUNCTION("""COMPUTED_VALUE"""),3.0)</f>
        <v>3</v>
      </c>
      <c r="K1639" s="213" t="str">
        <f>IFERROR(__xludf.DUMMYFUNCTION("""COMPUTED_VALUE"""),"90 DÍAS CALENDARIO")</f>
        <v>90 DÍAS CALENDARIO</v>
      </c>
      <c r="L1639" s="213" t="str">
        <f>IFERROR(__xludf.DUMMYFUNCTION("""COMPUTED_VALUE"""),"")</f>
        <v/>
      </c>
      <c r="M1639" s="213">
        <f>IFERROR(__xludf.DUMMYFUNCTION("""COMPUTED_VALUE"""),1.0)</f>
        <v>1</v>
      </c>
      <c r="N1639" s="213">
        <f>IFERROR(__xludf.DUMMYFUNCTION("""COMPUTED_VALUE"""),2.0)</f>
        <v>2</v>
      </c>
      <c r="O1639" s="213">
        <f>IFERROR(__xludf.DUMMYFUNCTION("""COMPUTED_VALUE"""),2.0)</f>
        <v>2</v>
      </c>
      <c r="P1639" s="213"/>
      <c r="Q1639" s="213"/>
      <c r="R1639" s="213"/>
      <c r="S1639" s="213"/>
      <c r="T1639" s="213" t="str">
        <f>IFERROR(__xludf.DUMMYFUNCTION("""COMPUTED_VALUE"""),"SI")</f>
        <v>SI</v>
      </c>
      <c r="U1639" s="213" t="str">
        <f>IFERROR(__xludf.DUMMYFUNCTION("""COMPUTED_VALUE"""),"SI")</f>
        <v>SI</v>
      </c>
      <c r="V1639" s="213" t="str">
        <f>IFERROR(__xludf.DUMMYFUNCTION("""COMPUTED_VALUE"""),"-")</f>
        <v>-</v>
      </c>
      <c r="W1639" s="213" t="str">
        <f>IFERROR(__xludf.DUMMYFUNCTION("""COMPUTED_VALUE"""),"-")</f>
        <v>-</v>
      </c>
      <c r="X1639" s="213" t="str">
        <f>IFERROR(__xludf.DUMMYFUNCTION("""COMPUTED_VALUE"""),"FBK")</f>
        <v>FBK</v>
      </c>
      <c r="Y1639" s="213">
        <f>IFERROR(__xludf.DUMMYFUNCTION("""COMPUTED_VALUE"""),20153.0)</f>
        <v>20153</v>
      </c>
      <c r="Z1639" s="215" t="str">
        <f>IFERROR(__xludf.DUMMYFUNCTION("""COMPUTED_VALUE"""),"https://www.b2peru.pe/es/product/24/cepillo-para-refregar-escobillon-fbk-peru-sac")</f>
        <v>https://www.b2peru.pe/es/product/24/cepillo-para-refregar-escobillon-fbk-peru-sac</v>
      </c>
      <c r="AA1639" s="213" t="str">
        <f>IFERROR(__xludf.DUMMYFUNCTION("""COMPUTED_VALUE"""),"MAT-154-Y ESCOBILLON ( IA ) - CET")</f>
        <v>MAT-154-Y ESCOBILLON ( IA ) - CET</v>
      </c>
      <c r="AB1639" s="213"/>
      <c r="AC1639" s="213"/>
      <c r="AD1639" s="213"/>
      <c r="AE1639" s="213"/>
      <c r="AF1639" s="213"/>
      <c r="AG1639" s="213"/>
      <c r="AH1639" s="213"/>
      <c r="AI1639" s="213"/>
      <c r="AJ1639" s="213"/>
      <c r="AK1639" s="213"/>
      <c r="AL1639" s="213"/>
      <c r="AM1639" s="213"/>
      <c r="AN1639" s="213"/>
      <c r="AO1639" s="213"/>
      <c r="AP1639" s="213" t="str">
        <f>IFERROR(__xludf.DUMMYFUNCTION("""COMPUTED_VALUE"""),"BRUNO")</f>
        <v>BRUNO</v>
      </c>
      <c r="AQ1639" s="213" t="str">
        <f>IFERROR(__xludf.DUMMYFUNCTION("""COMPUTED_VALUE"""),"añadir el cabo de 28 mm")</f>
        <v>añadir el cabo de 28 mm</v>
      </c>
      <c r="AR1639" s="213"/>
      <c r="AS1639" s="213" t="str">
        <f>IFERROR(__xludf.DUMMYFUNCTION("""COMPUTED_VALUE"""),"Cabo Palo Madera con Rosca")</f>
        <v>Cabo Palo Madera con Rosca</v>
      </c>
      <c r="AT1639" s="216" t="str">
        <f>IFERROR(__xludf.DUMMYFUNCTION("""COMPUTED_VALUE"""),"https://liberzi.com.ar/producto/cabos-de-madera/")</f>
        <v>https://liberzi.com.ar/producto/cabos-de-madera/</v>
      </c>
      <c r="AU1639" s="213"/>
      <c r="AV1639" s="213"/>
      <c r="AW1639" s="213"/>
      <c r="AX1639" s="213"/>
      <c r="AY1639" s="213"/>
      <c r="AZ1639" s="213"/>
      <c r="BA1639" s="213"/>
      <c r="BB1639" s="213"/>
      <c r="BC1639" s="213"/>
      <c r="BD1639" s="213"/>
    </row>
    <row r="1640">
      <c r="A1640" s="213">
        <f>IFERROR(__xludf.DUMMYFUNCTION("""COMPUTED_VALUE"""),1430.0)</f>
        <v>1430</v>
      </c>
      <c r="B1640" s="213" t="str">
        <f>IFERROR(__xludf.DUMMYFUNCTION("""COMPUTED_VALUE"""),"GUILLERMO E. BILLINGHURST ")</f>
        <v>GUILLERMO E. BILLINGHURST </v>
      </c>
      <c r="C1640" s="213" t="str">
        <f>IFERROR(__xludf.DUMMYFUNCTION("""COMPUTED_VALUE"""),"TALLER SFT DE INDUSTRIA ALIMENTARIA")</f>
        <v>TALLER SFT DE INDUSTRIA ALIMENTARIA</v>
      </c>
      <c r="D1640" s="213" t="str">
        <f>IFERROR(__xludf.DUMMYFUNCTION("""COMPUTED_VALUE"""),"HERRAMIENTAS")</f>
        <v>HERRAMIENTAS</v>
      </c>
      <c r="E1640" s="213" t="str">
        <f>IFERROR(__xludf.DUMMYFUNCTION("""COMPUTED_VALUE"""),"MAT-154")</f>
        <v>MAT-154</v>
      </c>
      <c r="F1640" s="213" t="str">
        <f>IFERROR(__xludf.DUMMYFUNCTION("""COMPUTED_VALUE"""),"MAT-154-Y")</f>
        <v>MAT-154-Y</v>
      </c>
      <c r="G1640" s="213"/>
      <c r="H1640" s="213" t="str">
        <f>IFERROR(__xludf.DUMMYFUNCTION("""COMPUTED_VALUE"""),"ESCOBILLÓN")</f>
        <v>ESCOBILLÓN</v>
      </c>
      <c r="I1640" s="213"/>
      <c r="J1640" s="213">
        <f>IFERROR(__xludf.DUMMYFUNCTION("""COMPUTED_VALUE"""),3.0)</f>
        <v>3</v>
      </c>
      <c r="K1640" s="213" t="str">
        <f>IFERROR(__xludf.DUMMYFUNCTION("""COMPUTED_VALUE"""),"90 DÍAS CALENDARIO")</f>
        <v>90 DÍAS CALENDARIO</v>
      </c>
      <c r="L1640" s="213" t="str">
        <f>IFERROR(__xludf.DUMMYFUNCTION("""COMPUTED_VALUE"""),"")</f>
        <v/>
      </c>
      <c r="M1640" s="213">
        <f>IFERROR(__xludf.DUMMYFUNCTION("""COMPUTED_VALUE"""),1.0)</f>
        <v>1</v>
      </c>
      <c r="N1640" s="213">
        <f>IFERROR(__xludf.DUMMYFUNCTION("""COMPUTED_VALUE"""),2.0)</f>
        <v>2</v>
      </c>
      <c r="O1640" s="213">
        <f>IFERROR(__xludf.DUMMYFUNCTION("""COMPUTED_VALUE"""),2.0)</f>
        <v>2</v>
      </c>
      <c r="P1640" s="213"/>
      <c r="Q1640" s="213"/>
      <c r="R1640" s="213"/>
      <c r="S1640" s="213"/>
      <c r="T1640" s="213" t="str">
        <f>IFERROR(__xludf.DUMMYFUNCTION("""COMPUTED_VALUE"""),"SI")</f>
        <v>SI</v>
      </c>
      <c r="U1640" s="213" t="str">
        <f>IFERROR(__xludf.DUMMYFUNCTION("""COMPUTED_VALUE"""),"SI")</f>
        <v>SI</v>
      </c>
      <c r="V1640" s="213" t="str">
        <f>IFERROR(__xludf.DUMMYFUNCTION("""COMPUTED_VALUE"""),"-")</f>
        <v>-</v>
      </c>
      <c r="W1640" s="213" t="str">
        <f>IFERROR(__xludf.DUMMYFUNCTION("""COMPUTED_VALUE"""),"-")</f>
        <v>-</v>
      </c>
      <c r="X1640" s="213" t="str">
        <f>IFERROR(__xludf.DUMMYFUNCTION("""COMPUTED_VALUE"""),"FBK")</f>
        <v>FBK</v>
      </c>
      <c r="Y1640" s="213">
        <f>IFERROR(__xludf.DUMMYFUNCTION("""COMPUTED_VALUE"""),20153.0)</f>
        <v>20153</v>
      </c>
      <c r="Z1640" s="215" t="str">
        <f>IFERROR(__xludf.DUMMYFUNCTION("""COMPUTED_VALUE"""),"https://www.b2peru.pe/es/product/24/cepillo-para-refregar-escobillon-fbk-peru-sac")</f>
        <v>https://www.b2peru.pe/es/product/24/cepillo-para-refregar-escobillon-fbk-peru-sac</v>
      </c>
      <c r="AA1640" s="213" t="str">
        <f>IFERROR(__xludf.DUMMYFUNCTION("""COMPUTED_VALUE"""),"MAT-154-Y ESCOBILLON ( IA ) - CET")</f>
        <v>MAT-154-Y ESCOBILLON ( IA ) - CET</v>
      </c>
      <c r="AB1640" s="213"/>
      <c r="AC1640" s="213"/>
      <c r="AD1640" s="213"/>
      <c r="AE1640" s="213"/>
      <c r="AF1640" s="213"/>
      <c r="AG1640" s="213"/>
      <c r="AH1640" s="213"/>
      <c r="AI1640" s="213"/>
      <c r="AJ1640" s="213"/>
      <c r="AK1640" s="213"/>
      <c r="AL1640" s="213"/>
      <c r="AM1640" s="213"/>
      <c r="AN1640" s="213"/>
      <c r="AO1640" s="213"/>
      <c r="AP1640" s="213" t="str">
        <f>IFERROR(__xludf.DUMMYFUNCTION("""COMPUTED_VALUE"""),"BRUNO")</f>
        <v>BRUNO</v>
      </c>
      <c r="AQ1640" s="213" t="str">
        <f>IFERROR(__xludf.DUMMYFUNCTION("""COMPUTED_VALUE"""),"añadir el cabo de 28 mm")</f>
        <v>añadir el cabo de 28 mm</v>
      </c>
      <c r="AR1640" s="213"/>
      <c r="AS1640" s="213" t="str">
        <f>IFERROR(__xludf.DUMMYFUNCTION("""COMPUTED_VALUE"""),"Cabo Palo Madera con Rosca")</f>
        <v>Cabo Palo Madera con Rosca</v>
      </c>
      <c r="AT1640" s="216" t="str">
        <f>IFERROR(__xludf.DUMMYFUNCTION("""COMPUTED_VALUE"""),"https://liberzi.com.ar/producto/cabos-de-madera/")</f>
        <v>https://liberzi.com.ar/producto/cabos-de-madera/</v>
      </c>
      <c r="AU1640" s="213"/>
      <c r="AV1640" s="213"/>
      <c r="AW1640" s="213"/>
      <c r="AX1640" s="213"/>
      <c r="AY1640" s="213"/>
      <c r="AZ1640" s="213"/>
      <c r="BA1640" s="213"/>
      <c r="BB1640" s="213"/>
      <c r="BC1640" s="213"/>
      <c r="BD1640" s="213"/>
    </row>
    <row r="1641">
      <c r="A1641" s="213">
        <f>IFERROR(__xludf.DUMMYFUNCTION("""COMPUTED_VALUE"""),2117.0)</f>
        <v>2117</v>
      </c>
      <c r="B1641" s="213" t="str">
        <f>IFERROR(__xludf.DUMMYFUNCTION("""COMPUTED_VALUE"""),"JOSE GRANDA")</f>
        <v>JOSE GRANDA</v>
      </c>
      <c r="C1641" s="213" t="str">
        <f>IFERROR(__xludf.DUMMYFUNCTION("""COMPUTED_VALUE"""),"TALLER SFT DE INDUSTRIA ALIMENTARIA")</f>
        <v>TALLER SFT DE INDUSTRIA ALIMENTARIA</v>
      </c>
      <c r="D1641" s="213" t="str">
        <f>IFERROR(__xludf.DUMMYFUNCTION("""COMPUTED_VALUE"""),"HERRAMIENTAS")</f>
        <v>HERRAMIENTAS</v>
      </c>
      <c r="E1641" s="213" t="str">
        <f>IFERROR(__xludf.DUMMYFUNCTION("""COMPUTED_VALUE"""),"MAT-154")</f>
        <v>MAT-154</v>
      </c>
      <c r="F1641" s="213" t="str">
        <f>IFERROR(__xludf.DUMMYFUNCTION("""COMPUTED_VALUE"""),"MAT-154-Y")</f>
        <v>MAT-154-Y</v>
      </c>
      <c r="G1641" s="213"/>
      <c r="H1641" s="213" t="str">
        <f>IFERROR(__xludf.DUMMYFUNCTION("""COMPUTED_VALUE"""),"ESCOBILLÓN")</f>
        <v>ESCOBILLÓN</v>
      </c>
      <c r="I1641" s="213"/>
      <c r="J1641" s="213">
        <f>IFERROR(__xludf.DUMMYFUNCTION("""COMPUTED_VALUE"""),3.0)</f>
        <v>3</v>
      </c>
      <c r="K1641" s="213" t="str">
        <f>IFERROR(__xludf.DUMMYFUNCTION("""COMPUTED_VALUE"""),"90 DÍAS CALENDARIO")</f>
        <v>90 DÍAS CALENDARIO</v>
      </c>
      <c r="L1641" s="213" t="str">
        <f>IFERROR(__xludf.DUMMYFUNCTION("""COMPUTED_VALUE"""),"")</f>
        <v/>
      </c>
      <c r="M1641" s="213">
        <f>IFERROR(__xludf.DUMMYFUNCTION("""COMPUTED_VALUE"""),1.0)</f>
        <v>1</v>
      </c>
      <c r="N1641" s="213">
        <f>IFERROR(__xludf.DUMMYFUNCTION("""COMPUTED_VALUE"""),2.0)</f>
        <v>2</v>
      </c>
      <c r="O1641" s="213">
        <f>IFERROR(__xludf.DUMMYFUNCTION("""COMPUTED_VALUE"""),2.0)</f>
        <v>2</v>
      </c>
      <c r="P1641" s="213"/>
      <c r="Q1641" s="213"/>
      <c r="R1641" s="213"/>
      <c r="S1641" s="213"/>
      <c r="T1641" s="213" t="str">
        <f>IFERROR(__xludf.DUMMYFUNCTION("""COMPUTED_VALUE"""),"SI")</f>
        <v>SI</v>
      </c>
      <c r="U1641" s="213" t="str">
        <f>IFERROR(__xludf.DUMMYFUNCTION("""COMPUTED_VALUE"""),"SI")</f>
        <v>SI</v>
      </c>
      <c r="V1641" s="213" t="str">
        <f>IFERROR(__xludf.DUMMYFUNCTION("""COMPUTED_VALUE"""),"-")</f>
        <v>-</v>
      </c>
      <c r="W1641" s="213" t="str">
        <f>IFERROR(__xludf.DUMMYFUNCTION("""COMPUTED_VALUE"""),"-")</f>
        <v>-</v>
      </c>
      <c r="X1641" s="213" t="str">
        <f>IFERROR(__xludf.DUMMYFUNCTION("""COMPUTED_VALUE"""),"FBK")</f>
        <v>FBK</v>
      </c>
      <c r="Y1641" s="213">
        <f>IFERROR(__xludf.DUMMYFUNCTION("""COMPUTED_VALUE"""),20153.0)</f>
        <v>20153</v>
      </c>
      <c r="Z1641" s="215" t="str">
        <f>IFERROR(__xludf.DUMMYFUNCTION("""COMPUTED_VALUE"""),"https://www.b2peru.pe/es/product/24/cepillo-para-refregar-escobillon-fbk-peru-sac")</f>
        <v>https://www.b2peru.pe/es/product/24/cepillo-para-refregar-escobillon-fbk-peru-sac</v>
      </c>
      <c r="AA1641" s="213" t="str">
        <f>IFERROR(__xludf.DUMMYFUNCTION("""COMPUTED_VALUE"""),"MAT-154-Y ESCOBILLON ( IA ) - CET")</f>
        <v>MAT-154-Y ESCOBILLON ( IA ) - CET</v>
      </c>
      <c r="AB1641" s="213"/>
      <c r="AC1641" s="213"/>
      <c r="AD1641" s="213"/>
      <c r="AE1641" s="213"/>
      <c r="AF1641" s="213"/>
      <c r="AG1641" s="213"/>
      <c r="AH1641" s="213"/>
      <c r="AI1641" s="213"/>
      <c r="AJ1641" s="213"/>
      <c r="AK1641" s="213"/>
      <c r="AL1641" s="213"/>
      <c r="AM1641" s="213"/>
      <c r="AN1641" s="213"/>
      <c r="AO1641" s="213"/>
      <c r="AP1641" s="213" t="str">
        <f>IFERROR(__xludf.DUMMYFUNCTION("""COMPUTED_VALUE"""),"BRUNO")</f>
        <v>BRUNO</v>
      </c>
      <c r="AQ1641" s="213" t="str">
        <f>IFERROR(__xludf.DUMMYFUNCTION("""COMPUTED_VALUE"""),"añadir el cabo de 28 mm")</f>
        <v>añadir el cabo de 28 mm</v>
      </c>
      <c r="AR1641" s="213"/>
      <c r="AS1641" s="213" t="str">
        <f>IFERROR(__xludf.DUMMYFUNCTION("""COMPUTED_VALUE"""),"Cabo Palo Madera con Rosca")</f>
        <v>Cabo Palo Madera con Rosca</v>
      </c>
      <c r="AT1641" s="216" t="str">
        <f>IFERROR(__xludf.DUMMYFUNCTION("""COMPUTED_VALUE"""),"https://liberzi.com.ar/producto/cabos-de-madera/")</f>
        <v>https://liberzi.com.ar/producto/cabos-de-madera/</v>
      </c>
      <c r="AU1641" s="213"/>
      <c r="AV1641" s="213"/>
      <c r="AW1641" s="213"/>
      <c r="AX1641" s="213"/>
      <c r="AY1641" s="213"/>
      <c r="AZ1641" s="213"/>
      <c r="BA1641" s="213"/>
      <c r="BB1641" s="213"/>
      <c r="BC1641" s="213"/>
      <c r="BD1641" s="213"/>
    </row>
    <row r="1642">
      <c r="A1642" s="213">
        <f>IFERROR(__xludf.DUMMYFUNCTION("""COMPUTED_VALUE"""),490.0)</f>
        <v>490</v>
      </c>
      <c r="B1642" s="213" t="str">
        <f>IFERROR(__xludf.DUMMYFUNCTION("""COMPUTED_VALUE"""),"2026 SIMON BOLIVAR")</f>
        <v>2026 SIMON BOLIVAR</v>
      </c>
      <c r="C1642" s="213" t="str">
        <f>IFERROR(__xludf.DUMMYFUNCTION("""COMPUTED_VALUE"""),"TALLER SFT DE INDUSTRIA ALIMENTARIA")</f>
        <v>TALLER SFT DE INDUSTRIA ALIMENTARIA</v>
      </c>
      <c r="D1642" s="213" t="str">
        <f>IFERROR(__xludf.DUMMYFUNCTION("""COMPUTED_VALUE"""),"HERRAMIENTAS")</f>
        <v>HERRAMIENTAS</v>
      </c>
      <c r="E1642" s="213" t="str">
        <f>IFERROR(__xludf.DUMMYFUNCTION("""COMPUTED_VALUE"""),"MAT-155")</f>
        <v>MAT-155</v>
      </c>
      <c r="F1642" s="213" t="str">
        <f>IFERROR(__xludf.DUMMYFUNCTION("""COMPUTED_VALUE"""),"MAT-155")</f>
        <v>MAT-155</v>
      </c>
      <c r="G1642" s="213"/>
      <c r="H1642" s="213" t="str">
        <f>IFERROR(__xludf.DUMMYFUNCTION("""COMPUTED_VALUE"""),"ESPÁTULA DE GOMA")</f>
        <v>ESPÁTULA DE GOMA</v>
      </c>
      <c r="I1642" s="213" t="str">
        <f>IFERROR(__xludf.DUMMYFUNCTION("""COMPUTED_VALUE"""),"· Alta calidad y segura: esta espátula para hornear está hecha de silicona de grado alimenticio.
· Resiste 250°
· Libre de BPA y aprobada por la FDA. Cocina recubierta y antiadherente y perfecta para uso con alimentos calientes.
· Medidas mínimas: 38 cm  "&amp;"X 5mm de espesor.")</f>
        <v>· Alta calidad y segura: esta espátula para hornear está hecha de silicona de grado alimenticio.
· Resiste 250°
· Libre de BPA y aprobada por la FDA. Cocina recubierta y antiadherente y perfecta para uso con alimentos calientes.
· Medidas mínimas: 38 cm  X 5mm de espesor.</v>
      </c>
      <c r="J1642" s="213">
        <f>IFERROR(__xludf.DUMMYFUNCTION("""COMPUTED_VALUE"""),3.0)</f>
        <v>3</v>
      </c>
      <c r="K1642" s="213" t="str">
        <f>IFERROR(__xludf.DUMMYFUNCTION("""COMPUTED_VALUE"""),"90 DÍAS CALENDARIO")</f>
        <v>90 DÍAS CALENDARIO</v>
      </c>
      <c r="L1642" s="213" t="str">
        <f>IFERROR(__xludf.DUMMYFUNCTION("""COMPUTED_VALUE"""),"")</f>
        <v/>
      </c>
      <c r="M1642" s="213">
        <f>IFERROR(__xludf.DUMMYFUNCTION("""COMPUTED_VALUE"""),1.0)</f>
        <v>1</v>
      </c>
      <c r="N1642" s="213">
        <f>IFERROR(__xludf.DUMMYFUNCTION("""COMPUTED_VALUE"""),5.0)</f>
        <v>5</v>
      </c>
      <c r="O1642" s="213">
        <f>IFERROR(__xludf.DUMMYFUNCTION("""COMPUTED_VALUE"""),5.0)</f>
        <v>5</v>
      </c>
      <c r="P1642" s="213"/>
      <c r="Q1642" s="213"/>
      <c r="R1642" s="213"/>
      <c r="S1642" s="213"/>
      <c r="T1642" s="213" t="str">
        <f>IFERROR(__xludf.DUMMYFUNCTION("""COMPUTED_VALUE"""),"SI")</f>
        <v>SI</v>
      </c>
      <c r="U1642" s="213" t="str">
        <f>IFERROR(__xludf.DUMMYFUNCTION("""COMPUTED_VALUE"""),"SI")</f>
        <v>SI</v>
      </c>
      <c r="V1642" s="213" t="str">
        <f>IFERROR(__xludf.DUMMYFUNCTION("""COMPUTED_VALUE"""),"-")</f>
        <v>-</v>
      </c>
      <c r="W1642" s="213" t="str">
        <f>IFERROR(__xludf.DUMMYFUNCTION("""COMPUTED_VALUE"""),"-")</f>
        <v>-</v>
      </c>
      <c r="X1642" s="213" t="str">
        <f>IFERROR(__xludf.DUMMYFUNCTION("""COMPUTED_VALUE"""),"heffiso")</f>
        <v>heffiso</v>
      </c>
      <c r="Y1642" s="213" t="str">
        <f>IFERROR(__xludf.DUMMYFUNCTION("""COMPUTED_VALUE""")," B0CK21WX8Y")</f>
        <v> B0CK21WX8Y</v>
      </c>
      <c r="Z1642" s="215" t="str">
        <f>IFERROR(__xludf.DUMMYFUNCTION("""COMPUTED_VALUE"""),"https://www.amazon.com/-/es/esp%C3%A1tulas-silicona-resistentes-comercial-antiadherentes/dp/B0CK21WX8Y/?th=1")</f>
        <v>https://www.amazon.com/-/es/esp%C3%A1tulas-silicona-resistentes-comercial-antiadherentes/dp/B0CK21WX8Y/?th=1</v>
      </c>
      <c r="AA1642" s="213" t="str">
        <f>IFERROR(__xludf.DUMMYFUNCTION("""COMPUTED_VALUE"""),"MAT-155 ESPÁTULA DE GOMA - CET")</f>
        <v>MAT-155 ESPÁTULA DE GOMA - CET</v>
      </c>
      <c r="AB1642" s="213"/>
      <c r="AC1642" s="213"/>
      <c r="AD1642" s="213"/>
      <c r="AE1642" s="213"/>
      <c r="AF1642" s="213"/>
      <c r="AG1642" s="213"/>
      <c r="AH1642" s="213"/>
      <c r="AI1642" s="213"/>
      <c r="AJ1642" s="213"/>
      <c r="AK1642" s="213"/>
      <c r="AL1642" s="213"/>
      <c r="AM1642" s="213"/>
      <c r="AN1642" s="213"/>
      <c r="AO1642" s="213"/>
      <c r="AP1642" s="213" t="str">
        <f>IFERROR(__xludf.DUMMYFUNCTION("""COMPUTED_VALUE"""),"BRUNO")</f>
        <v>BRUNO</v>
      </c>
      <c r="AQ1642" s="213" t="str">
        <f>IFERROR(__xludf.DUMMYFUNCTION("""COMPUTED_VALUE"""),"No es completamente de siliciona, contiene también nylon en el mango.")</f>
        <v>No es completamente de siliciona, contiene también nylon en el mango.</v>
      </c>
      <c r="AR1642" s="213"/>
      <c r="AS1642" s="213"/>
      <c r="AT1642" s="213"/>
      <c r="AU1642" s="213"/>
      <c r="AV1642" s="213"/>
      <c r="AW1642" s="213"/>
      <c r="AX1642" s="213"/>
      <c r="AY1642" s="213"/>
      <c r="AZ1642" s="213"/>
      <c r="BA1642" s="213"/>
      <c r="BB1642" s="213"/>
      <c r="BC1642" s="213"/>
      <c r="BD1642" s="213"/>
    </row>
    <row r="1643">
      <c r="A1643" s="213">
        <f>IFERROR(__xludf.DUMMYFUNCTION("""COMPUTED_VALUE"""),1120.0)</f>
        <v>1120</v>
      </c>
      <c r="B1643" s="213" t="str">
        <f>IFERROR(__xludf.DUMMYFUNCTION("""COMPUTED_VALUE"""),"FRANCISCO IRAZOLA")</f>
        <v>FRANCISCO IRAZOLA</v>
      </c>
      <c r="C1643" s="213" t="str">
        <f>IFERROR(__xludf.DUMMYFUNCTION("""COMPUTED_VALUE"""),"TALLER SFT DE INDUSTRIA ALIMENTARIA")</f>
        <v>TALLER SFT DE INDUSTRIA ALIMENTARIA</v>
      </c>
      <c r="D1643" s="213" t="str">
        <f>IFERROR(__xludf.DUMMYFUNCTION("""COMPUTED_VALUE"""),"HERRAMIENTAS")</f>
        <v>HERRAMIENTAS</v>
      </c>
      <c r="E1643" s="213" t="str">
        <f>IFERROR(__xludf.DUMMYFUNCTION("""COMPUTED_VALUE"""),"MAT-155")</f>
        <v>MAT-155</v>
      </c>
      <c r="F1643" s="213" t="str">
        <f>IFERROR(__xludf.DUMMYFUNCTION("""COMPUTED_VALUE"""),"MAT-155")</f>
        <v>MAT-155</v>
      </c>
      <c r="G1643" s="213"/>
      <c r="H1643" s="213" t="str">
        <f>IFERROR(__xludf.DUMMYFUNCTION("""COMPUTED_VALUE"""),"ESPÁTULA DE GOMA")</f>
        <v>ESPÁTULA DE GOMA</v>
      </c>
      <c r="I1643" s="213" t="str">
        <f>IFERROR(__xludf.DUMMYFUNCTION("""COMPUTED_VALUE"""),"· Alta calidad y segura: esta espátula para hornear está hecha de silicona de grado alimenticio.
· Resiste 250°
· Libre de BPA y aprobada por la FDA. Cocina recubierta y antiadherente y perfecta para uso con alimentos calientes.
· Medidas mínimas: 38 cm  "&amp;"X 5mm de espesor.")</f>
        <v>· Alta calidad y segura: esta espátula para hornear está hecha de silicona de grado alimenticio.
· Resiste 250°
· Libre de BPA y aprobada por la FDA. Cocina recubierta y antiadherente y perfecta para uso con alimentos calientes.
· Medidas mínimas: 38 cm  X 5mm de espesor.</v>
      </c>
      <c r="J1643" s="213">
        <f>IFERROR(__xludf.DUMMYFUNCTION("""COMPUTED_VALUE"""),3.0)</f>
        <v>3</v>
      </c>
      <c r="K1643" s="213" t="str">
        <f>IFERROR(__xludf.DUMMYFUNCTION("""COMPUTED_VALUE"""),"90 DÍAS CALENDARIO")</f>
        <v>90 DÍAS CALENDARIO</v>
      </c>
      <c r="L1643" s="213" t="str">
        <f>IFERROR(__xludf.DUMMYFUNCTION("""COMPUTED_VALUE"""),"")</f>
        <v/>
      </c>
      <c r="M1643" s="213">
        <f>IFERROR(__xludf.DUMMYFUNCTION("""COMPUTED_VALUE"""),1.0)</f>
        <v>1</v>
      </c>
      <c r="N1643" s="213">
        <f>IFERROR(__xludf.DUMMYFUNCTION("""COMPUTED_VALUE"""),5.0)</f>
        <v>5</v>
      </c>
      <c r="O1643" s="213">
        <f>IFERROR(__xludf.DUMMYFUNCTION("""COMPUTED_VALUE"""),5.0)</f>
        <v>5</v>
      </c>
      <c r="P1643" s="213"/>
      <c r="Q1643" s="213"/>
      <c r="R1643" s="213"/>
      <c r="S1643" s="213"/>
      <c r="T1643" s="213" t="str">
        <f>IFERROR(__xludf.DUMMYFUNCTION("""COMPUTED_VALUE"""),"SI")</f>
        <v>SI</v>
      </c>
      <c r="U1643" s="213" t="str">
        <f>IFERROR(__xludf.DUMMYFUNCTION("""COMPUTED_VALUE"""),"SI")</f>
        <v>SI</v>
      </c>
      <c r="V1643" s="213" t="str">
        <f>IFERROR(__xludf.DUMMYFUNCTION("""COMPUTED_VALUE"""),"-")</f>
        <v>-</v>
      </c>
      <c r="W1643" s="213" t="str">
        <f>IFERROR(__xludf.DUMMYFUNCTION("""COMPUTED_VALUE"""),"-")</f>
        <v>-</v>
      </c>
      <c r="X1643" s="213" t="str">
        <f>IFERROR(__xludf.DUMMYFUNCTION("""COMPUTED_VALUE"""),"heffiso")</f>
        <v>heffiso</v>
      </c>
      <c r="Y1643" s="213" t="str">
        <f>IFERROR(__xludf.DUMMYFUNCTION("""COMPUTED_VALUE""")," B0CK21WX8Y")</f>
        <v> B0CK21WX8Y</v>
      </c>
      <c r="Z1643" s="215" t="str">
        <f>IFERROR(__xludf.DUMMYFUNCTION("""COMPUTED_VALUE"""),"https://www.amazon.com/-/es/esp%C3%A1tulas-silicona-resistentes-comercial-antiadherentes/dp/B0CK21WX8Y/?th=1")</f>
        <v>https://www.amazon.com/-/es/esp%C3%A1tulas-silicona-resistentes-comercial-antiadherentes/dp/B0CK21WX8Y/?th=1</v>
      </c>
      <c r="AA1643" s="213" t="str">
        <f>IFERROR(__xludf.DUMMYFUNCTION("""COMPUTED_VALUE"""),"MAT-155 ESPÁTULA DE GOMA - CET")</f>
        <v>MAT-155 ESPÁTULA DE GOMA - CET</v>
      </c>
      <c r="AB1643" s="213"/>
      <c r="AC1643" s="213"/>
      <c r="AD1643" s="213"/>
      <c r="AE1643" s="213"/>
      <c r="AF1643" s="213"/>
      <c r="AG1643" s="213"/>
      <c r="AH1643" s="213"/>
      <c r="AI1643" s="213"/>
      <c r="AJ1643" s="213"/>
      <c r="AK1643" s="213"/>
      <c r="AL1643" s="213"/>
      <c r="AM1643" s="213"/>
      <c r="AN1643" s="213"/>
      <c r="AO1643" s="213"/>
      <c r="AP1643" s="213" t="str">
        <f>IFERROR(__xludf.DUMMYFUNCTION("""COMPUTED_VALUE"""),"BRUNO")</f>
        <v>BRUNO</v>
      </c>
      <c r="AQ1643" s="213" t="str">
        <f>IFERROR(__xludf.DUMMYFUNCTION("""COMPUTED_VALUE"""),"No es completamente de siliciona, contiene también nylon en el mango.")</f>
        <v>No es completamente de siliciona, contiene también nylon en el mango.</v>
      </c>
      <c r="AR1643" s="213"/>
      <c r="AS1643" s="213"/>
      <c r="AT1643" s="213"/>
      <c r="AU1643" s="213"/>
      <c r="AV1643" s="213"/>
      <c r="AW1643" s="213"/>
      <c r="AX1643" s="213"/>
      <c r="AY1643" s="213"/>
      <c r="AZ1643" s="213"/>
      <c r="BA1643" s="213"/>
      <c r="BB1643" s="213"/>
      <c r="BC1643" s="213"/>
      <c r="BD1643" s="213"/>
    </row>
    <row r="1644">
      <c r="A1644" s="213">
        <f>IFERROR(__xludf.DUMMYFUNCTION("""COMPUTED_VALUE"""),1392.0)</f>
        <v>1392</v>
      </c>
      <c r="B1644" s="213" t="str">
        <f>IFERROR(__xludf.DUMMYFUNCTION("""COMPUTED_VALUE"""),"GUILLERMO E. BILLINGHURST ")</f>
        <v>GUILLERMO E. BILLINGHURST </v>
      </c>
      <c r="C1644" s="213" t="str">
        <f>IFERROR(__xludf.DUMMYFUNCTION("""COMPUTED_VALUE"""),"TALLER SFT DE INDUSTRIA ALIMENTARIA")</f>
        <v>TALLER SFT DE INDUSTRIA ALIMENTARIA</v>
      </c>
      <c r="D1644" s="213" t="str">
        <f>IFERROR(__xludf.DUMMYFUNCTION("""COMPUTED_VALUE"""),"HERRAMIENTAS")</f>
        <v>HERRAMIENTAS</v>
      </c>
      <c r="E1644" s="213" t="str">
        <f>IFERROR(__xludf.DUMMYFUNCTION("""COMPUTED_VALUE"""),"MAT-155")</f>
        <v>MAT-155</v>
      </c>
      <c r="F1644" s="213" t="str">
        <f>IFERROR(__xludf.DUMMYFUNCTION("""COMPUTED_VALUE"""),"MAT-155")</f>
        <v>MAT-155</v>
      </c>
      <c r="G1644" s="213"/>
      <c r="H1644" s="213" t="str">
        <f>IFERROR(__xludf.DUMMYFUNCTION("""COMPUTED_VALUE"""),"ESPÁTULA DE GOMA")</f>
        <v>ESPÁTULA DE GOMA</v>
      </c>
      <c r="I1644" s="213" t="str">
        <f>IFERROR(__xludf.DUMMYFUNCTION("""COMPUTED_VALUE"""),"· Alta calidad y segura: esta espátula para hornear está hecha de silicona de grado alimenticio.
· Resiste 250°
· Libre de BPA y aprobada por la FDA. Cocina recubierta y antiadherente y perfecta para uso con alimentos calientes.
· Medidas mínimas: 38 cm  "&amp;"X 5mm de espesor.")</f>
        <v>· Alta calidad y segura: esta espátula para hornear está hecha de silicona de grado alimenticio.
· Resiste 250°
· Libre de BPA y aprobada por la FDA. Cocina recubierta y antiadherente y perfecta para uso con alimentos calientes.
· Medidas mínimas: 38 cm  X 5mm de espesor.</v>
      </c>
      <c r="J1644" s="213">
        <f>IFERROR(__xludf.DUMMYFUNCTION("""COMPUTED_VALUE"""),3.0)</f>
        <v>3</v>
      </c>
      <c r="K1644" s="213" t="str">
        <f>IFERROR(__xludf.DUMMYFUNCTION("""COMPUTED_VALUE"""),"90 DÍAS CALENDARIO")</f>
        <v>90 DÍAS CALENDARIO</v>
      </c>
      <c r="L1644" s="213" t="str">
        <f>IFERROR(__xludf.DUMMYFUNCTION("""COMPUTED_VALUE"""),"")</f>
        <v/>
      </c>
      <c r="M1644" s="213">
        <f>IFERROR(__xludf.DUMMYFUNCTION("""COMPUTED_VALUE"""),1.0)</f>
        <v>1</v>
      </c>
      <c r="N1644" s="213">
        <f>IFERROR(__xludf.DUMMYFUNCTION("""COMPUTED_VALUE"""),5.0)</f>
        <v>5</v>
      </c>
      <c r="O1644" s="213">
        <f>IFERROR(__xludf.DUMMYFUNCTION("""COMPUTED_VALUE"""),5.0)</f>
        <v>5</v>
      </c>
      <c r="P1644" s="213"/>
      <c r="Q1644" s="213"/>
      <c r="R1644" s="213"/>
      <c r="S1644" s="213"/>
      <c r="T1644" s="213" t="str">
        <f>IFERROR(__xludf.DUMMYFUNCTION("""COMPUTED_VALUE"""),"SI")</f>
        <v>SI</v>
      </c>
      <c r="U1644" s="213" t="str">
        <f>IFERROR(__xludf.DUMMYFUNCTION("""COMPUTED_VALUE"""),"SI")</f>
        <v>SI</v>
      </c>
      <c r="V1644" s="213" t="str">
        <f>IFERROR(__xludf.DUMMYFUNCTION("""COMPUTED_VALUE"""),"-")</f>
        <v>-</v>
      </c>
      <c r="W1644" s="213" t="str">
        <f>IFERROR(__xludf.DUMMYFUNCTION("""COMPUTED_VALUE"""),"-")</f>
        <v>-</v>
      </c>
      <c r="X1644" s="213" t="str">
        <f>IFERROR(__xludf.DUMMYFUNCTION("""COMPUTED_VALUE"""),"heffiso")</f>
        <v>heffiso</v>
      </c>
      <c r="Y1644" s="213" t="str">
        <f>IFERROR(__xludf.DUMMYFUNCTION("""COMPUTED_VALUE""")," B0CK21WX8Y")</f>
        <v> B0CK21WX8Y</v>
      </c>
      <c r="Z1644" s="215" t="str">
        <f>IFERROR(__xludf.DUMMYFUNCTION("""COMPUTED_VALUE"""),"https://www.amazon.com/-/es/esp%C3%A1tulas-silicona-resistentes-comercial-antiadherentes/dp/B0CK21WX8Y/?th=1")</f>
        <v>https://www.amazon.com/-/es/esp%C3%A1tulas-silicona-resistentes-comercial-antiadherentes/dp/B0CK21WX8Y/?th=1</v>
      </c>
      <c r="AA1644" s="213" t="str">
        <f>IFERROR(__xludf.DUMMYFUNCTION("""COMPUTED_VALUE"""),"MAT-155 ESPÁTULA DE GOMA - CET")</f>
        <v>MAT-155 ESPÁTULA DE GOMA - CET</v>
      </c>
      <c r="AB1644" s="213"/>
      <c r="AC1644" s="213"/>
      <c r="AD1644" s="213"/>
      <c r="AE1644" s="213"/>
      <c r="AF1644" s="213"/>
      <c r="AG1644" s="213"/>
      <c r="AH1644" s="213"/>
      <c r="AI1644" s="213"/>
      <c r="AJ1644" s="213"/>
      <c r="AK1644" s="213"/>
      <c r="AL1644" s="213"/>
      <c r="AM1644" s="213"/>
      <c r="AN1644" s="213"/>
      <c r="AO1644" s="213"/>
      <c r="AP1644" s="213" t="str">
        <f>IFERROR(__xludf.DUMMYFUNCTION("""COMPUTED_VALUE"""),"BRUNO")</f>
        <v>BRUNO</v>
      </c>
      <c r="AQ1644" s="213" t="str">
        <f>IFERROR(__xludf.DUMMYFUNCTION("""COMPUTED_VALUE"""),"No es completamente de siliciona, contiene también nylon en el mango.")</f>
        <v>No es completamente de siliciona, contiene también nylon en el mango.</v>
      </c>
      <c r="AR1644" s="213"/>
      <c r="AS1644" s="213"/>
      <c r="AT1644" s="213"/>
      <c r="AU1644" s="213"/>
      <c r="AV1644" s="213"/>
      <c r="AW1644" s="213"/>
      <c r="AX1644" s="213"/>
      <c r="AY1644" s="213"/>
      <c r="AZ1644" s="213"/>
      <c r="BA1644" s="213"/>
      <c r="BB1644" s="213"/>
      <c r="BC1644" s="213"/>
      <c r="BD1644" s="213"/>
    </row>
    <row r="1645">
      <c r="A1645" s="213">
        <f>IFERROR(__xludf.DUMMYFUNCTION("""COMPUTED_VALUE"""),2079.0)</f>
        <v>2079</v>
      </c>
      <c r="B1645" s="213" t="str">
        <f>IFERROR(__xludf.DUMMYFUNCTION("""COMPUTED_VALUE"""),"JOSE GRANDA")</f>
        <v>JOSE GRANDA</v>
      </c>
      <c r="C1645" s="213" t="str">
        <f>IFERROR(__xludf.DUMMYFUNCTION("""COMPUTED_VALUE"""),"TALLER SFT DE INDUSTRIA ALIMENTARIA")</f>
        <v>TALLER SFT DE INDUSTRIA ALIMENTARIA</v>
      </c>
      <c r="D1645" s="213" t="str">
        <f>IFERROR(__xludf.DUMMYFUNCTION("""COMPUTED_VALUE"""),"HERRAMIENTAS")</f>
        <v>HERRAMIENTAS</v>
      </c>
      <c r="E1645" s="213" t="str">
        <f>IFERROR(__xludf.DUMMYFUNCTION("""COMPUTED_VALUE"""),"MAT-155")</f>
        <v>MAT-155</v>
      </c>
      <c r="F1645" s="213" t="str">
        <f>IFERROR(__xludf.DUMMYFUNCTION("""COMPUTED_VALUE"""),"MAT-155")</f>
        <v>MAT-155</v>
      </c>
      <c r="G1645" s="213"/>
      <c r="H1645" s="213" t="str">
        <f>IFERROR(__xludf.DUMMYFUNCTION("""COMPUTED_VALUE"""),"ESPÁTULA DE GOMA")</f>
        <v>ESPÁTULA DE GOMA</v>
      </c>
      <c r="I1645" s="213" t="str">
        <f>IFERROR(__xludf.DUMMYFUNCTION("""COMPUTED_VALUE"""),"· Alta calidad y segura: esta espátula para hornear está hecha de silicona de grado alimenticio.
· Resiste 250°
· Libre de BPA y aprobada por la FDA. Cocina recubierta y antiadherente y perfecta para uso con alimentos calientes.
· Medidas mínimas: 38 cm  "&amp;"X 5mm de espesor.")</f>
        <v>· Alta calidad y segura: esta espátula para hornear está hecha de silicona de grado alimenticio.
· Resiste 250°
· Libre de BPA y aprobada por la FDA. Cocina recubierta y antiadherente y perfecta para uso con alimentos calientes.
· Medidas mínimas: 38 cm  X 5mm de espesor.</v>
      </c>
      <c r="J1645" s="213">
        <f>IFERROR(__xludf.DUMMYFUNCTION("""COMPUTED_VALUE"""),3.0)</f>
        <v>3</v>
      </c>
      <c r="K1645" s="213" t="str">
        <f>IFERROR(__xludf.DUMMYFUNCTION("""COMPUTED_VALUE"""),"90 DÍAS CALENDARIO")</f>
        <v>90 DÍAS CALENDARIO</v>
      </c>
      <c r="L1645" s="213" t="str">
        <f>IFERROR(__xludf.DUMMYFUNCTION("""COMPUTED_VALUE"""),"")</f>
        <v/>
      </c>
      <c r="M1645" s="213">
        <f>IFERROR(__xludf.DUMMYFUNCTION("""COMPUTED_VALUE"""),1.0)</f>
        <v>1</v>
      </c>
      <c r="N1645" s="213">
        <f>IFERROR(__xludf.DUMMYFUNCTION("""COMPUTED_VALUE"""),5.0)</f>
        <v>5</v>
      </c>
      <c r="O1645" s="213">
        <f>IFERROR(__xludf.DUMMYFUNCTION("""COMPUTED_VALUE"""),5.0)</f>
        <v>5</v>
      </c>
      <c r="P1645" s="213"/>
      <c r="Q1645" s="213"/>
      <c r="R1645" s="213"/>
      <c r="S1645" s="213"/>
      <c r="T1645" s="213" t="str">
        <f>IFERROR(__xludf.DUMMYFUNCTION("""COMPUTED_VALUE"""),"SI")</f>
        <v>SI</v>
      </c>
      <c r="U1645" s="213" t="str">
        <f>IFERROR(__xludf.DUMMYFUNCTION("""COMPUTED_VALUE"""),"SI")</f>
        <v>SI</v>
      </c>
      <c r="V1645" s="213" t="str">
        <f>IFERROR(__xludf.DUMMYFUNCTION("""COMPUTED_VALUE"""),"-")</f>
        <v>-</v>
      </c>
      <c r="W1645" s="213" t="str">
        <f>IFERROR(__xludf.DUMMYFUNCTION("""COMPUTED_VALUE"""),"-")</f>
        <v>-</v>
      </c>
      <c r="X1645" s="213" t="str">
        <f>IFERROR(__xludf.DUMMYFUNCTION("""COMPUTED_VALUE"""),"heffiso")</f>
        <v>heffiso</v>
      </c>
      <c r="Y1645" s="213" t="str">
        <f>IFERROR(__xludf.DUMMYFUNCTION("""COMPUTED_VALUE""")," B0CK21WX8Y")</f>
        <v> B0CK21WX8Y</v>
      </c>
      <c r="Z1645" s="215" t="str">
        <f>IFERROR(__xludf.DUMMYFUNCTION("""COMPUTED_VALUE"""),"https://www.amazon.com/-/es/esp%C3%A1tulas-silicona-resistentes-comercial-antiadherentes/dp/B0CK21WX8Y/?th=1")</f>
        <v>https://www.amazon.com/-/es/esp%C3%A1tulas-silicona-resistentes-comercial-antiadherentes/dp/B0CK21WX8Y/?th=1</v>
      </c>
      <c r="AA1645" s="213" t="str">
        <f>IFERROR(__xludf.DUMMYFUNCTION("""COMPUTED_VALUE"""),"MAT-155 ESPÁTULA DE GOMA - CET")</f>
        <v>MAT-155 ESPÁTULA DE GOMA - CET</v>
      </c>
      <c r="AB1645" s="213"/>
      <c r="AC1645" s="213"/>
      <c r="AD1645" s="213"/>
      <c r="AE1645" s="213"/>
      <c r="AF1645" s="213"/>
      <c r="AG1645" s="213"/>
      <c r="AH1645" s="213"/>
      <c r="AI1645" s="213"/>
      <c r="AJ1645" s="213"/>
      <c r="AK1645" s="213"/>
      <c r="AL1645" s="213"/>
      <c r="AM1645" s="213"/>
      <c r="AN1645" s="213"/>
      <c r="AO1645" s="213"/>
      <c r="AP1645" s="213" t="str">
        <f>IFERROR(__xludf.DUMMYFUNCTION("""COMPUTED_VALUE"""),"BRUNO")</f>
        <v>BRUNO</v>
      </c>
      <c r="AQ1645" s="213" t="str">
        <f>IFERROR(__xludf.DUMMYFUNCTION("""COMPUTED_VALUE"""),"No es completamente de siliciona, contiene también nylon en el mango.")</f>
        <v>No es completamente de siliciona, contiene también nylon en el mango.</v>
      </c>
      <c r="AR1645" s="213"/>
      <c r="AS1645" s="213"/>
      <c r="AT1645" s="213"/>
      <c r="AU1645" s="213"/>
      <c r="AV1645" s="213"/>
      <c r="AW1645" s="213"/>
      <c r="AX1645" s="213"/>
      <c r="AY1645" s="213"/>
      <c r="AZ1645" s="213"/>
      <c r="BA1645" s="213"/>
      <c r="BB1645" s="213"/>
      <c r="BC1645" s="213"/>
      <c r="BD1645" s="213"/>
    </row>
    <row r="1646">
      <c r="A1646" s="213">
        <f>IFERROR(__xludf.DUMMYFUNCTION("""COMPUTED_VALUE"""),58.0)</f>
        <v>58</v>
      </c>
      <c r="B1646" s="213" t="str">
        <f>IFERROR(__xludf.DUMMYFUNCTION("""COMPUTED_VALUE"""),"16449 ELOY SOBERON  FLORES")</f>
        <v>16449 ELOY SOBERON  FLORES</v>
      </c>
      <c r="C1646" s="213" t="str">
        <f>IFERROR(__xludf.DUMMYFUNCTION("""COMPUTED_VALUE"""),"TALLER SFT DE COCINA Y REPOSTERÍA")</f>
        <v>TALLER SFT DE COCINA Y REPOSTERÍA</v>
      </c>
      <c r="D1646" s="213" t="str">
        <f>IFERROR(__xludf.DUMMYFUNCTION("""COMPUTED_VALUE"""),"HERRAMIENTAS")</f>
        <v>HERRAMIENTAS</v>
      </c>
      <c r="E1646" s="213" t="str">
        <f>IFERROR(__xludf.DUMMYFUNCTION("""COMPUTED_VALUE"""),"MAT-156")</f>
        <v>MAT-156</v>
      </c>
      <c r="F1646" s="213" t="str">
        <f>IFERROR(__xludf.DUMMYFUNCTION("""COMPUTED_VALUE"""),"MAT-156")</f>
        <v>MAT-156</v>
      </c>
      <c r="G1646" s="213"/>
      <c r="H1646" s="213" t="str">
        <f>IFERROR(__xludf.DUMMYFUNCTION("""COMPUTED_VALUE"""),"ESPÁTULA DE SILICONA")</f>
        <v>ESPÁTULA DE SILICONA</v>
      </c>
      <c r="I1646" s="213" t="str">
        <f>IFERROR(__xludf.DUMMYFUNCTION("""COMPUTED_VALUE"""),"· Materiales: Silicona, 100% de silicona de calidad alimentaria
· Función: Decoración de la torta
· Resistente al calor: - 40 a 260 C")</f>
        <v>· Materiales: Silicona, 100% de silicona de calidad alimentaria
· Función: Decoración de la torta
· Resistente al calor: - 40 a 260 C</v>
      </c>
      <c r="J1646" s="213">
        <f>IFERROR(__xludf.DUMMYFUNCTION("""COMPUTED_VALUE"""),3.0)</f>
        <v>3</v>
      </c>
      <c r="K1646" s="213" t="str">
        <f>IFERROR(__xludf.DUMMYFUNCTION("""COMPUTED_VALUE"""),"90 DÍAS CALENDARIO")</f>
        <v>90 DÍAS CALENDARIO</v>
      </c>
      <c r="L1646" s="213" t="str">
        <f>IFERROR(__xludf.DUMMYFUNCTION("""COMPUTED_VALUE"""),"COCINA Y REPOSTERÍA, INDUSTRIA ALIMENTARIA")</f>
        <v>COCINA Y REPOSTERÍA, INDUSTRIA ALIMENTARIA</v>
      </c>
      <c r="M1646" s="213">
        <f>IFERROR(__xludf.DUMMYFUNCTION("""COMPUTED_VALUE"""),1.0)</f>
        <v>1</v>
      </c>
      <c r="N1646" s="213">
        <f>IFERROR(__xludf.DUMMYFUNCTION("""COMPUTED_VALUE"""),4.0)</f>
        <v>4</v>
      </c>
      <c r="O1646" s="213">
        <f>IFERROR(__xludf.DUMMYFUNCTION("""COMPUTED_VALUE"""),4.0)</f>
        <v>4</v>
      </c>
      <c r="P1646" s="213"/>
      <c r="Q1646" s="213"/>
      <c r="R1646" s="213" t="str">
        <f>IFERROR(__xludf.DUMMYFUNCTION("""COMPUTED_VALUE"""),"SI")</f>
        <v>SI</v>
      </c>
      <c r="S1646" s="213"/>
      <c r="T1646" s="213" t="str">
        <f>IFERROR(__xludf.DUMMYFUNCTION("""COMPUTED_VALUE"""),"SI")</f>
        <v>SI</v>
      </c>
      <c r="U1646" s="213" t="str">
        <f>IFERROR(__xludf.DUMMYFUNCTION("""COMPUTED_VALUE"""),"SI")</f>
        <v>SI</v>
      </c>
      <c r="V1646" s="213" t="str">
        <f>IFERROR(__xludf.DUMMYFUNCTION("""COMPUTED_VALUE"""),"-")</f>
        <v>-</v>
      </c>
      <c r="W1646" s="213" t="str">
        <f>IFERROR(__xludf.DUMMYFUNCTION("""COMPUTED_VALUE"""),"-")</f>
        <v>-</v>
      </c>
      <c r="X1646" s="213" t="str">
        <f>IFERROR(__xludf.DUMMYFUNCTION("""COMPUTED_VALUE"""),"LILYBEAM")</f>
        <v>LILYBEAM</v>
      </c>
      <c r="Y1646" s="213" t="str">
        <f>IFERROR(__xludf.DUMMYFUNCTION("""COMPUTED_VALUE"""),"B0F541J6QR")</f>
        <v>B0F541J6QR</v>
      </c>
      <c r="Z1646" s="215" t="str">
        <f>IFERROR(__xludf.DUMMYFUNCTION("""COMPUTED_VALUE"""),"https://www.amazon.com/-/es/dp/B0F541J6QR?ref=emc_p_m_5_i_atc&amp;th=0")</f>
        <v>https://www.amazon.com/-/es/dp/B0F541J6QR?ref=emc_p_m_5_i_atc&amp;th=0</v>
      </c>
      <c r="AA1646" s="213" t="str">
        <f>IFERROR(__xludf.DUMMYFUNCTION("""COMPUTED_VALUE"""),"MAT-156 ESPATULA DE SILICONA - CET")</f>
        <v>MAT-156 ESPATULA DE SILICONA - CET</v>
      </c>
      <c r="AB1646" s="213"/>
      <c r="AC1646" s="213"/>
      <c r="AD1646" s="213"/>
      <c r="AE1646" s="213"/>
      <c r="AF1646" s="213"/>
      <c r="AG1646" s="213"/>
      <c r="AH1646" s="213"/>
      <c r="AI1646" s="213"/>
      <c r="AJ1646" s="213"/>
      <c r="AK1646" s="213"/>
      <c r="AL1646" s="213"/>
      <c r="AM1646" s="213"/>
      <c r="AN1646" s="213"/>
      <c r="AO1646" s="213"/>
      <c r="AP1646" s="213" t="str">
        <f>IFERROR(__xludf.DUMMYFUNCTION("""COMPUTED_VALUE"""),"LUIS")</f>
        <v>LUIS</v>
      </c>
      <c r="AQ1646" s="213"/>
      <c r="AR1646" s="213"/>
      <c r="AS1646" s="213"/>
      <c r="AT1646" s="213"/>
      <c r="AU1646" s="213"/>
      <c r="AV1646" s="213"/>
      <c r="AW1646" s="213"/>
      <c r="AX1646" s="213"/>
      <c r="AY1646" s="213"/>
      <c r="AZ1646" s="213"/>
      <c r="BA1646" s="213"/>
      <c r="BB1646" s="213"/>
      <c r="BC1646" s="213"/>
      <c r="BD1646" s="213"/>
    </row>
    <row r="1647">
      <c r="A1647" s="213">
        <f>IFERROR(__xludf.DUMMYFUNCTION("""COMPUTED_VALUE"""),507.0)</f>
        <v>507</v>
      </c>
      <c r="B1647" s="213" t="str">
        <f>IFERROR(__xludf.DUMMYFUNCTION("""COMPUTED_VALUE"""),"2026 SIMON BOLIVAR")</f>
        <v>2026 SIMON BOLIVAR</v>
      </c>
      <c r="C1647" s="213" t="str">
        <f>IFERROR(__xludf.DUMMYFUNCTION("""COMPUTED_VALUE"""),"TALLER SFT DE INDUSTRIA ALIMENTARIA")</f>
        <v>TALLER SFT DE INDUSTRIA ALIMENTARIA</v>
      </c>
      <c r="D1647" s="213" t="str">
        <f>IFERROR(__xludf.DUMMYFUNCTION("""COMPUTED_VALUE"""),"HERRAMIENTAS")</f>
        <v>HERRAMIENTAS</v>
      </c>
      <c r="E1647" s="213" t="str">
        <f>IFERROR(__xludf.DUMMYFUNCTION("""COMPUTED_VALUE"""),"MAT-156")</f>
        <v>MAT-156</v>
      </c>
      <c r="F1647" s="213" t="str">
        <f>IFERROR(__xludf.DUMMYFUNCTION("""COMPUTED_VALUE"""),"MAT-156")</f>
        <v>MAT-156</v>
      </c>
      <c r="G1647" s="213"/>
      <c r="H1647" s="213" t="str">
        <f>IFERROR(__xludf.DUMMYFUNCTION("""COMPUTED_VALUE"""),"ESPÁTULA DE SILICONA")</f>
        <v>ESPÁTULA DE SILICONA</v>
      </c>
      <c r="I1647" s="213" t="str">
        <f>IFERROR(__xludf.DUMMYFUNCTION("""COMPUTED_VALUE"""),". Materiales: Silicona, 100% de silicona de calidad alimentaria
. Función: Decoración de la torta
. Forma personalizada es aceptable
. Resistente al calor: - 40 a 260 C")</f>
        <v>. Materiales: Silicona, 100% de silicona de calidad alimentaria
. Función: Decoración de la torta
. Forma personalizada es aceptable
. Resistente al calor: - 40 a 260 C</v>
      </c>
      <c r="J1647" s="213">
        <f>IFERROR(__xludf.DUMMYFUNCTION("""COMPUTED_VALUE"""),3.0)</f>
        <v>3</v>
      </c>
      <c r="K1647" s="213" t="str">
        <f>IFERROR(__xludf.DUMMYFUNCTION("""COMPUTED_VALUE"""),"90 DÍAS CALENDARIO")</f>
        <v>90 DÍAS CALENDARIO</v>
      </c>
      <c r="L1647" s="213" t="str">
        <f>IFERROR(__xludf.DUMMYFUNCTION("""COMPUTED_VALUE"""),"COCINA Y REPOSTERÍA, INDUSTRIA ALIMENTARIA")</f>
        <v>COCINA Y REPOSTERÍA, INDUSTRIA ALIMENTARIA</v>
      </c>
      <c r="M1647" s="213">
        <f>IFERROR(__xludf.DUMMYFUNCTION("""COMPUTED_VALUE"""),1.0)</f>
        <v>1</v>
      </c>
      <c r="N1647" s="213">
        <f>IFERROR(__xludf.DUMMYFUNCTION("""COMPUTED_VALUE"""),4.0)</f>
        <v>4</v>
      </c>
      <c r="O1647" s="213">
        <f>IFERROR(__xludf.DUMMYFUNCTION("""COMPUTED_VALUE"""),4.0)</f>
        <v>4</v>
      </c>
      <c r="P1647" s="213"/>
      <c r="Q1647" s="213"/>
      <c r="R1647" s="213" t="str">
        <f>IFERROR(__xludf.DUMMYFUNCTION("""COMPUTED_VALUE"""),"SI")</f>
        <v>SI</v>
      </c>
      <c r="S1647" s="213"/>
      <c r="T1647" s="213" t="str">
        <f>IFERROR(__xludf.DUMMYFUNCTION("""COMPUTED_VALUE"""),"SI")</f>
        <v>SI</v>
      </c>
      <c r="U1647" s="213" t="str">
        <f>IFERROR(__xludf.DUMMYFUNCTION("""COMPUTED_VALUE"""),"SI")</f>
        <v>SI</v>
      </c>
      <c r="V1647" s="213" t="str">
        <f>IFERROR(__xludf.DUMMYFUNCTION("""COMPUTED_VALUE"""),"-")</f>
        <v>-</v>
      </c>
      <c r="W1647" s="213" t="str">
        <f>IFERROR(__xludf.DUMMYFUNCTION("""COMPUTED_VALUE"""),"-")</f>
        <v>-</v>
      </c>
      <c r="X1647" s="213" t="str">
        <f>IFERROR(__xludf.DUMMYFUNCTION("""COMPUTED_VALUE"""),"LILYBEAM")</f>
        <v>LILYBEAM</v>
      </c>
      <c r="Y1647" s="213" t="str">
        <f>IFERROR(__xludf.DUMMYFUNCTION("""COMPUTED_VALUE"""),"B0F541J6QR")</f>
        <v>B0F541J6QR</v>
      </c>
      <c r="Z1647" s="215" t="str">
        <f>IFERROR(__xludf.DUMMYFUNCTION("""COMPUTED_VALUE"""),"https://www.amazon.com/-/es/dp/B0F541J6QR?ref=emc_p_m_5_i_atc&amp;th=1")</f>
        <v>https://www.amazon.com/-/es/dp/B0F541J6QR?ref=emc_p_m_5_i_atc&amp;th=1</v>
      </c>
      <c r="AA1647" s="213" t="str">
        <f>IFERROR(__xludf.DUMMYFUNCTION("""COMPUTED_VALUE"""),"MAT-156 ESPATULA DE SILICONA - CET")</f>
        <v>MAT-156 ESPATULA DE SILICONA - CET</v>
      </c>
      <c r="AB1647" s="213"/>
      <c r="AC1647" s="213"/>
      <c r="AD1647" s="213"/>
      <c r="AE1647" s="213"/>
      <c r="AF1647" s="213"/>
      <c r="AG1647" s="213"/>
      <c r="AH1647" s="213"/>
      <c r="AI1647" s="213"/>
      <c r="AJ1647" s="213"/>
      <c r="AK1647" s="213"/>
      <c r="AL1647" s="213"/>
      <c r="AM1647" s="213"/>
      <c r="AN1647" s="213"/>
      <c r="AO1647" s="213"/>
      <c r="AP1647" s="213" t="str">
        <f>IFERROR(__xludf.DUMMYFUNCTION("""COMPUTED_VALUE"""),"LUIS")</f>
        <v>LUIS</v>
      </c>
      <c r="AQ1647" s="213"/>
      <c r="AR1647" s="213"/>
      <c r="AS1647" s="213"/>
      <c r="AT1647" s="213"/>
      <c r="AU1647" s="213"/>
      <c r="AV1647" s="213"/>
      <c r="AW1647" s="213"/>
      <c r="AX1647" s="213"/>
      <c r="AY1647" s="213"/>
      <c r="AZ1647" s="213"/>
      <c r="BA1647" s="213"/>
      <c r="BB1647" s="213"/>
      <c r="BC1647" s="213"/>
      <c r="BD1647" s="213"/>
    </row>
    <row r="1648">
      <c r="A1648" s="213">
        <f>IFERROR(__xludf.DUMMYFUNCTION("""COMPUTED_VALUE"""),1137.0)</f>
        <v>1137</v>
      </c>
      <c r="B1648" s="213" t="str">
        <f>IFERROR(__xludf.DUMMYFUNCTION("""COMPUTED_VALUE"""),"FRANCISCO IRAZOLA")</f>
        <v>FRANCISCO IRAZOLA</v>
      </c>
      <c r="C1648" s="213" t="str">
        <f>IFERROR(__xludf.DUMMYFUNCTION("""COMPUTED_VALUE"""),"TALLER SFT DE INDUSTRIA ALIMENTARIA")</f>
        <v>TALLER SFT DE INDUSTRIA ALIMENTARIA</v>
      </c>
      <c r="D1648" s="213" t="str">
        <f>IFERROR(__xludf.DUMMYFUNCTION("""COMPUTED_VALUE"""),"HERRAMIENTAS")</f>
        <v>HERRAMIENTAS</v>
      </c>
      <c r="E1648" s="213" t="str">
        <f>IFERROR(__xludf.DUMMYFUNCTION("""COMPUTED_VALUE"""),"MAT-156")</f>
        <v>MAT-156</v>
      </c>
      <c r="F1648" s="213" t="str">
        <f>IFERROR(__xludf.DUMMYFUNCTION("""COMPUTED_VALUE"""),"MAT-156")</f>
        <v>MAT-156</v>
      </c>
      <c r="G1648" s="213"/>
      <c r="H1648" s="213" t="str">
        <f>IFERROR(__xludf.DUMMYFUNCTION("""COMPUTED_VALUE"""),"ESPÁTULA DE SILICONA")</f>
        <v>ESPÁTULA DE SILICONA</v>
      </c>
      <c r="I1648" s="213" t="str">
        <f>IFERROR(__xludf.DUMMYFUNCTION("""COMPUTED_VALUE"""),". Materiales: Silicona, 100% de silicona de calidad alimentaria
. Función: Decoración de la torta
. Forma personalizada es aceptable
. Resistente al calor: - 40 a 260 C")</f>
        <v>. Materiales: Silicona, 100% de silicona de calidad alimentaria
. Función: Decoración de la torta
. Forma personalizada es aceptable
. Resistente al calor: - 40 a 260 C</v>
      </c>
      <c r="J1648" s="213">
        <f>IFERROR(__xludf.DUMMYFUNCTION("""COMPUTED_VALUE"""),3.0)</f>
        <v>3</v>
      </c>
      <c r="K1648" s="213" t="str">
        <f>IFERROR(__xludf.DUMMYFUNCTION("""COMPUTED_VALUE"""),"90 DÍAS CALENDARIO")</f>
        <v>90 DÍAS CALENDARIO</v>
      </c>
      <c r="L1648" s="213" t="str">
        <f>IFERROR(__xludf.DUMMYFUNCTION("""COMPUTED_VALUE"""),"COCINA Y REPOSTERÍA, INDUSTRIA ALIMENTARIA")</f>
        <v>COCINA Y REPOSTERÍA, INDUSTRIA ALIMENTARIA</v>
      </c>
      <c r="M1648" s="213">
        <f>IFERROR(__xludf.DUMMYFUNCTION("""COMPUTED_VALUE"""),1.0)</f>
        <v>1</v>
      </c>
      <c r="N1648" s="213">
        <f>IFERROR(__xludf.DUMMYFUNCTION("""COMPUTED_VALUE"""),4.0)</f>
        <v>4</v>
      </c>
      <c r="O1648" s="213">
        <f>IFERROR(__xludf.DUMMYFUNCTION("""COMPUTED_VALUE"""),4.0)</f>
        <v>4</v>
      </c>
      <c r="P1648" s="213"/>
      <c r="Q1648" s="213"/>
      <c r="R1648" s="213" t="str">
        <f>IFERROR(__xludf.DUMMYFUNCTION("""COMPUTED_VALUE"""),"SI")</f>
        <v>SI</v>
      </c>
      <c r="S1648" s="213"/>
      <c r="T1648" s="213" t="str">
        <f>IFERROR(__xludf.DUMMYFUNCTION("""COMPUTED_VALUE"""),"SI")</f>
        <v>SI</v>
      </c>
      <c r="U1648" s="213" t="str">
        <f>IFERROR(__xludf.DUMMYFUNCTION("""COMPUTED_VALUE"""),"SI")</f>
        <v>SI</v>
      </c>
      <c r="V1648" s="213" t="str">
        <f>IFERROR(__xludf.DUMMYFUNCTION("""COMPUTED_VALUE"""),"-")</f>
        <v>-</v>
      </c>
      <c r="W1648" s="213" t="str">
        <f>IFERROR(__xludf.DUMMYFUNCTION("""COMPUTED_VALUE"""),"-")</f>
        <v>-</v>
      </c>
      <c r="X1648" s="213" t="str">
        <f>IFERROR(__xludf.DUMMYFUNCTION("""COMPUTED_VALUE"""),"LILYBEAM")</f>
        <v>LILYBEAM</v>
      </c>
      <c r="Y1648" s="213" t="str">
        <f>IFERROR(__xludf.DUMMYFUNCTION("""COMPUTED_VALUE"""),"B0F541J6QR")</f>
        <v>B0F541J6QR</v>
      </c>
      <c r="Z1648" s="215" t="str">
        <f>IFERROR(__xludf.DUMMYFUNCTION("""COMPUTED_VALUE"""),"https://www.amazon.com/-/es/dp/B0F541J6QR?ref=emc_p_m_5_i_atc&amp;th=2")</f>
        <v>https://www.amazon.com/-/es/dp/B0F541J6QR?ref=emc_p_m_5_i_atc&amp;th=2</v>
      </c>
      <c r="AA1648" s="213" t="str">
        <f>IFERROR(__xludf.DUMMYFUNCTION("""COMPUTED_VALUE"""),"MAT-156 ESPATULA DE SILICONA - CET")</f>
        <v>MAT-156 ESPATULA DE SILICONA - CET</v>
      </c>
      <c r="AB1648" s="213"/>
      <c r="AC1648" s="213"/>
      <c r="AD1648" s="213"/>
      <c r="AE1648" s="213"/>
      <c r="AF1648" s="213"/>
      <c r="AG1648" s="213"/>
      <c r="AH1648" s="213"/>
      <c r="AI1648" s="213"/>
      <c r="AJ1648" s="213"/>
      <c r="AK1648" s="213"/>
      <c r="AL1648" s="213"/>
      <c r="AM1648" s="213"/>
      <c r="AN1648" s="213"/>
      <c r="AO1648" s="213"/>
      <c r="AP1648" s="213" t="str">
        <f>IFERROR(__xludf.DUMMYFUNCTION("""COMPUTED_VALUE"""),"LUIS")</f>
        <v>LUIS</v>
      </c>
      <c r="AQ1648" s="213"/>
      <c r="AR1648" s="213"/>
      <c r="AS1648" s="213"/>
      <c r="AT1648" s="213"/>
      <c r="AU1648" s="213"/>
      <c r="AV1648" s="213"/>
      <c r="AW1648" s="213"/>
      <c r="AX1648" s="213"/>
      <c r="AY1648" s="213"/>
      <c r="AZ1648" s="213"/>
      <c r="BA1648" s="213"/>
      <c r="BB1648" s="213"/>
      <c r="BC1648" s="213"/>
      <c r="BD1648" s="213"/>
    </row>
    <row r="1649">
      <c r="A1649" s="213">
        <f>IFERROR(__xludf.DUMMYFUNCTION("""COMPUTED_VALUE"""),1409.0)</f>
        <v>1409</v>
      </c>
      <c r="B1649" s="213" t="str">
        <f>IFERROR(__xludf.DUMMYFUNCTION("""COMPUTED_VALUE"""),"GUILLERMO E. BILLINGHURST ")</f>
        <v>GUILLERMO E. BILLINGHURST </v>
      </c>
      <c r="C1649" s="213" t="str">
        <f>IFERROR(__xludf.DUMMYFUNCTION("""COMPUTED_VALUE"""),"TALLER SFT DE INDUSTRIA ALIMENTARIA")</f>
        <v>TALLER SFT DE INDUSTRIA ALIMENTARIA</v>
      </c>
      <c r="D1649" s="213" t="str">
        <f>IFERROR(__xludf.DUMMYFUNCTION("""COMPUTED_VALUE"""),"HERRAMIENTAS")</f>
        <v>HERRAMIENTAS</v>
      </c>
      <c r="E1649" s="213" t="str">
        <f>IFERROR(__xludf.DUMMYFUNCTION("""COMPUTED_VALUE"""),"MAT-156")</f>
        <v>MAT-156</v>
      </c>
      <c r="F1649" s="213" t="str">
        <f>IFERROR(__xludf.DUMMYFUNCTION("""COMPUTED_VALUE"""),"MAT-156")</f>
        <v>MAT-156</v>
      </c>
      <c r="G1649" s="213"/>
      <c r="H1649" s="213" t="str">
        <f>IFERROR(__xludf.DUMMYFUNCTION("""COMPUTED_VALUE"""),"ESPÁTULA DE SILICONA")</f>
        <v>ESPÁTULA DE SILICONA</v>
      </c>
      <c r="I1649" s="213" t="str">
        <f>IFERROR(__xludf.DUMMYFUNCTION("""COMPUTED_VALUE"""),". Materiales: Silicona, 100% de silicona de calidad alimentaria
. Función: Decoración de la torta
. Forma personalizada es aceptable
. Resistente al calor: - 40 a 260 C")</f>
        <v>. Materiales: Silicona, 100% de silicona de calidad alimentaria
. Función: Decoración de la torta
. Forma personalizada es aceptable
. Resistente al calor: - 40 a 260 C</v>
      </c>
      <c r="J1649" s="213">
        <f>IFERROR(__xludf.DUMMYFUNCTION("""COMPUTED_VALUE"""),3.0)</f>
        <v>3</v>
      </c>
      <c r="K1649" s="213" t="str">
        <f>IFERROR(__xludf.DUMMYFUNCTION("""COMPUTED_VALUE"""),"90 DÍAS CALENDARIO")</f>
        <v>90 DÍAS CALENDARIO</v>
      </c>
      <c r="L1649" s="213" t="str">
        <f>IFERROR(__xludf.DUMMYFUNCTION("""COMPUTED_VALUE"""),"COCINA Y REPOSTERÍA, INDUSTRIA ALIMENTARIA")</f>
        <v>COCINA Y REPOSTERÍA, INDUSTRIA ALIMENTARIA</v>
      </c>
      <c r="M1649" s="213">
        <f>IFERROR(__xludf.DUMMYFUNCTION("""COMPUTED_VALUE"""),1.0)</f>
        <v>1</v>
      </c>
      <c r="N1649" s="213">
        <f>IFERROR(__xludf.DUMMYFUNCTION("""COMPUTED_VALUE"""),4.0)</f>
        <v>4</v>
      </c>
      <c r="O1649" s="213">
        <f>IFERROR(__xludf.DUMMYFUNCTION("""COMPUTED_VALUE"""),4.0)</f>
        <v>4</v>
      </c>
      <c r="P1649" s="213"/>
      <c r="Q1649" s="213"/>
      <c r="R1649" s="213" t="str">
        <f>IFERROR(__xludf.DUMMYFUNCTION("""COMPUTED_VALUE"""),"SI")</f>
        <v>SI</v>
      </c>
      <c r="S1649" s="213"/>
      <c r="T1649" s="213" t="str">
        <f>IFERROR(__xludf.DUMMYFUNCTION("""COMPUTED_VALUE"""),"SI")</f>
        <v>SI</v>
      </c>
      <c r="U1649" s="213" t="str">
        <f>IFERROR(__xludf.DUMMYFUNCTION("""COMPUTED_VALUE"""),"SI")</f>
        <v>SI</v>
      </c>
      <c r="V1649" s="213" t="str">
        <f>IFERROR(__xludf.DUMMYFUNCTION("""COMPUTED_VALUE"""),"-")</f>
        <v>-</v>
      </c>
      <c r="W1649" s="213" t="str">
        <f>IFERROR(__xludf.DUMMYFUNCTION("""COMPUTED_VALUE"""),"-")</f>
        <v>-</v>
      </c>
      <c r="X1649" s="213" t="str">
        <f>IFERROR(__xludf.DUMMYFUNCTION("""COMPUTED_VALUE"""),"LILYBEAM")</f>
        <v>LILYBEAM</v>
      </c>
      <c r="Y1649" s="213" t="str">
        <f>IFERROR(__xludf.DUMMYFUNCTION("""COMPUTED_VALUE"""),"B0F541J6QR")</f>
        <v>B0F541J6QR</v>
      </c>
      <c r="Z1649" s="215" t="str">
        <f>IFERROR(__xludf.DUMMYFUNCTION("""COMPUTED_VALUE"""),"https://www.amazon.com/-/es/dp/B0F541J6QR?ref=emc_p_m_5_i_atc&amp;th=3")</f>
        <v>https://www.amazon.com/-/es/dp/B0F541J6QR?ref=emc_p_m_5_i_atc&amp;th=3</v>
      </c>
      <c r="AA1649" s="213" t="str">
        <f>IFERROR(__xludf.DUMMYFUNCTION("""COMPUTED_VALUE"""),"MAT-156 ESPATULA DE SILICONA - CET")</f>
        <v>MAT-156 ESPATULA DE SILICONA - CET</v>
      </c>
      <c r="AB1649" s="213"/>
      <c r="AC1649" s="213"/>
      <c r="AD1649" s="213"/>
      <c r="AE1649" s="213"/>
      <c r="AF1649" s="213"/>
      <c r="AG1649" s="213"/>
      <c r="AH1649" s="213"/>
      <c r="AI1649" s="213"/>
      <c r="AJ1649" s="213"/>
      <c r="AK1649" s="213"/>
      <c r="AL1649" s="213"/>
      <c r="AM1649" s="213"/>
      <c r="AN1649" s="213"/>
      <c r="AO1649" s="213"/>
      <c r="AP1649" s="213" t="str">
        <f>IFERROR(__xludf.DUMMYFUNCTION("""COMPUTED_VALUE"""),"LUIS")</f>
        <v>LUIS</v>
      </c>
      <c r="AQ1649" s="213"/>
      <c r="AR1649" s="213"/>
      <c r="AS1649" s="213"/>
      <c r="AT1649" s="213"/>
      <c r="AU1649" s="213"/>
      <c r="AV1649" s="213"/>
      <c r="AW1649" s="213"/>
      <c r="AX1649" s="213"/>
      <c r="AY1649" s="213"/>
      <c r="AZ1649" s="213"/>
      <c r="BA1649" s="213"/>
      <c r="BB1649" s="213"/>
      <c r="BC1649" s="213"/>
      <c r="BD1649" s="213"/>
    </row>
    <row r="1650">
      <c r="A1650" s="213">
        <f>IFERROR(__xludf.DUMMYFUNCTION("""COMPUTED_VALUE"""),2096.0)</f>
        <v>2096</v>
      </c>
      <c r="B1650" s="213" t="str">
        <f>IFERROR(__xludf.DUMMYFUNCTION("""COMPUTED_VALUE"""),"JOSE GRANDA")</f>
        <v>JOSE GRANDA</v>
      </c>
      <c r="C1650" s="213" t="str">
        <f>IFERROR(__xludf.DUMMYFUNCTION("""COMPUTED_VALUE"""),"TALLER SFT DE INDUSTRIA ALIMENTARIA")</f>
        <v>TALLER SFT DE INDUSTRIA ALIMENTARIA</v>
      </c>
      <c r="D1650" s="213" t="str">
        <f>IFERROR(__xludf.DUMMYFUNCTION("""COMPUTED_VALUE"""),"HERRAMIENTAS")</f>
        <v>HERRAMIENTAS</v>
      </c>
      <c r="E1650" s="213" t="str">
        <f>IFERROR(__xludf.DUMMYFUNCTION("""COMPUTED_VALUE"""),"MAT-156")</f>
        <v>MAT-156</v>
      </c>
      <c r="F1650" s="213" t="str">
        <f>IFERROR(__xludf.DUMMYFUNCTION("""COMPUTED_VALUE"""),"MAT-156")</f>
        <v>MAT-156</v>
      </c>
      <c r="G1650" s="213"/>
      <c r="H1650" s="213" t="str">
        <f>IFERROR(__xludf.DUMMYFUNCTION("""COMPUTED_VALUE"""),"ESPÁTULA DE SILICONA")</f>
        <v>ESPÁTULA DE SILICONA</v>
      </c>
      <c r="I1650" s="213" t="str">
        <f>IFERROR(__xludf.DUMMYFUNCTION("""COMPUTED_VALUE"""),". Materiales: Silicona, 100% de silicona de calidad alimentaria
. Función: Decoración de la torta
. Forma personalizada es aceptable
. Resistente al calor: - 40 a 260 C")</f>
        <v>. Materiales: Silicona, 100% de silicona de calidad alimentaria
. Función: Decoración de la torta
. Forma personalizada es aceptable
. Resistente al calor: - 40 a 260 C</v>
      </c>
      <c r="J1650" s="213">
        <f>IFERROR(__xludf.DUMMYFUNCTION("""COMPUTED_VALUE"""),3.0)</f>
        <v>3</v>
      </c>
      <c r="K1650" s="213" t="str">
        <f>IFERROR(__xludf.DUMMYFUNCTION("""COMPUTED_VALUE"""),"90 DÍAS CALENDARIO")</f>
        <v>90 DÍAS CALENDARIO</v>
      </c>
      <c r="L1650" s="213" t="str">
        <f>IFERROR(__xludf.DUMMYFUNCTION("""COMPUTED_VALUE"""),"COCINA Y REPOSTERÍA, INDUSTRIA ALIMENTARIA")</f>
        <v>COCINA Y REPOSTERÍA, INDUSTRIA ALIMENTARIA</v>
      </c>
      <c r="M1650" s="213">
        <f>IFERROR(__xludf.DUMMYFUNCTION("""COMPUTED_VALUE"""),1.0)</f>
        <v>1</v>
      </c>
      <c r="N1650" s="213">
        <f>IFERROR(__xludf.DUMMYFUNCTION("""COMPUTED_VALUE"""),4.0)</f>
        <v>4</v>
      </c>
      <c r="O1650" s="213">
        <f>IFERROR(__xludf.DUMMYFUNCTION("""COMPUTED_VALUE"""),4.0)</f>
        <v>4</v>
      </c>
      <c r="P1650" s="213"/>
      <c r="Q1650" s="213"/>
      <c r="R1650" s="213" t="str">
        <f>IFERROR(__xludf.DUMMYFUNCTION("""COMPUTED_VALUE"""),"SI")</f>
        <v>SI</v>
      </c>
      <c r="S1650" s="213"/>
      <c r="T1650" s="213" t="str">
        <f>IFERROR(__xludf.DUMMYFUNCTION("""COMPUTED_VALUE"""),"SI")</f>
        <v>SI</v>
      </c>
      <c r="U1650" s="213" t="str">
        <f>IFERROR(__xludf.DUMMYFUNCTION("""COMPUTED_VALUE"""),"SI")</f>
        <v>SI</v>
      </c>
      <c r="V1650" s="213" t="str">
        <f>IFERROR(__xludf.DUMMYFUNCTION("""COMPUTED_VALUE"""),"-")</f>
        <v>-</v>
      </c>
      <c r="W1650" s="213" t="str">
        <f>IFERROR(__xludf.DUMMYFUNCTION("""COMPUTED_VALUE"""),"-")</f>
        <v>-</v>
      </c>
      <c r="X1650" s="213" t="str">
        <f>IFERROR(__xludf.DUMMYFUNCTION("""COMPUTED_VALUE"""),"LILYBEAM")</f>
        <v>LILYBEAM</v>
      </c>
      <c r="Y1650" s="213" t="str">
        <f>IFERROR(__xludf.DUMMYFUNCTION("""COMPUTED_VALUE"""),"B0F541J6QR")</f>
        <v>B0F541J6QR</v>
      </c>
      <c r="Z1650" s="215" t="str">
        <f>IFERROR(__xludf.DUMMYFUNCTION("""COMPUTED_VALUE"""),"https://www.amazon.com/-/es/dp/B0F541J6QR?ref=emc_p_m_5_i_atc&amp;th=4")</f>
        <v>https://www.amazon.com/-/es/dp/B0F541J6QR?ref=emc_p_m_5_i_atc&amp;th=4</v>
      </c>
      <c r="AA1650" s="213" t="str">
        <f>IFERROR(__xludf.DUMMYFUNCTION("""COMPUTED_VALUE"""),"MAT-156 ESPATULA DE SILICONA - CET")</f>
        <v>MAT-156 ESPATULA DE SILICONA - CET</v>
      </c>
      <c r="AB1650" s="213"/>
      <c r="AC1650" s="213"/>
      <c r="AD1650" s="213"/>
      <c r="AE1650" s="213"/>
      <c r="AF1650" s="213"/>
      <c r="AG1650" s="213"/>
      <c r="AH1650" s="213"/>
      <c r="AI1650" s="213"/>
      <c r="AJ1650" s="213"/>
      <c r="AK1650" s="213"/>
      <c r="AL1650" s="213"/>
      <c r="AM1650" s="213"/>
      <c r="AN1650" s="213"/>
      <c r="AO1650" s="213"/>
      <c r="AP1650" s="213" t="str">
        <f>IFERROR(__xludf.DUMMYFUNCTION("""COMPUTED_VALUE"""),"LUIS")</f>
        <v>LUIS</v>
      </c>
      <c r="AQ1650" s="213"/>
      <c r="AR1650" s="213"/>
      <c r="AS1650" s="213"/>
      <c r="AT1650" s="213"/>
      <c r="AU1650" s="213"/>
      <c r="AV1650" s="213"/>
      <c r="AW1650" s="213"/>
      <c r="AX1650" s="213"/>
      <c r="AY1650" s="213"/>
      <c r="AZ1650" s="213"/>
      <c r="BA1650" s="213"/>
      <c r="BB1650" s="213"/>
      <c r="BC1650" s="213"/>
      <c r="BD1650" s="213"/>
    </row>
    <row r="1651">
      <c r="A1651" s="213">
        <f>IFERROR(__xludf.DUMMYFUNCTION("""COMPUTED_VALUE"""),484.0)</f>
        <v>484</v>
      </c>
      <c r="B1651" s="213" t="str">
        <f>IFERROR(__xludf.DUMMYFUNCTION("""COMPUTED_VALUE"""),"2026 SIMON BOLIVAR")</f>
        <v>2026 SIMON BOLIVAR</v>
      </c>
      <c r="C1651" s="213" t="str">
        <f>IFERROR(__xludf.DUMMYFUNCTION("""COMPUTED_VALUE"""),"TALLER SFT DE INDUSTRIA ALIMENTARIA")</f>
        <v>TALLER SFT DE INDUSTRIA ALIMENTARIA</v>
      </c>
      <c r="D1651" s="213" t="str">
        <f>IFERROR(__xludf.DUMMYFUNCTION("""COMPUTED_VALUE"""),"HERRAMIENTAS")</f>
        <v>HERRAMIENTAS</v>
      </c>
      <c r="E1651" s="213" t="str">
        <f>IFERROR(__xludf.DUMMYFUNCTION("""COMPUTED_VALUE"""),"MAT-159")</f>
        <v>MAT-159</v>
      </c>
      <c r="F1651" s="213" t="str">
        <f>IFERROR(__xludf.DUMMYFUNCTION("""COMPUTED_VALUE"""),"MAT-159")</f>
        <v>MAT-159</v>
      </c>
      <c r="G1651" s="213"/>
      <c r="H1651" s="213" t="str">
        <f>IFERROR(__xludf.DUMMYFUNCTION("""COMPUTED_VALUE"""),"ESPUMADERA")</f>
        <v>ESPUMADERA</v>
      </c>
      <c r="I1651" s="213" t="str">
        <f>IFERROR(__xludf.DUMMYFUNCTION("""COMPUTED_VALUE"""),"· Hecha totalmente de acero inoxidable, no suelta ningún residuo en los alimentos, manteniéndolos sanos.
· Altamente durable, mantiene las características originales, conservando la belleza, higiene y durabilidad del material.
· Acabado en brillo.
· Cable"&amp;" largo y sólido, ideal para su uso en cocinas industriales.
· Higiénica y de fácil limpieza.
· Medidas  mínimas  L  354 mm x A 97  mm X H 64 mm")</f>
        <v>· Hecha totalmente de acero inoxidable, no suelta ningún residuo en los alimentos, manteniéndolos sanos.
· Altamente durable, mantiene las características originales, conservando la belleza, higiene y durabilidad del material.
· Acabado en brillo.
· Cable largo y sólido, ideal para su uso en cocinas industriales.
· Higiénica y de fácil limpieza.
· Medidas  mínimas  L  354 mm x A 97  mm X H 64 mm</v>
      </c>
      <c r="J1651" s="213">
        <f>IFERROR(__xludf.DUMMYFUNCTION("""COMPUTED_VALUE"""),3.0)</f>
        <v>3</v>
      </c>
      <c r="K1651" s="213" t="str">
        <f>IFERROR(__xludf.DUMMYFUNCTION("""COMPUTED_VALUE"""),"90 DÍAS CALENDARIO")</f>
        <v>90 DÍAS CALENDARIO</v>
      </c>
      <c r="L1651" s="213" t="str">
        <f>IFERROR(__xludf.DUMMYFUNCTION("""COMPUTED_VALUE"""),"")</f>
        <v/>
      </c>
      <c r="M1651" s="213">
        <f>IFERROR(__xludf.DUMMYFUNCTION("""COMPUTED_VALUE"""),1.0)</f>
        <v>1</v>
      </c>
      <c r="N1651" s="213">
        <f>IFERROR(__xludf.DUMMYFUNCTION("""COMPUTED_VALUE"""),3.0)</f>
        <v>3</v>
      </c>
      <c r="O1651" s="213">
        <f>IFERROR(__xludf.DUMMYFUNCTION("""COMPUTED_VALUE"""),3.0)</f>
        <v>3</v>
      </c>
      <c r="P1651" s="213"/>
      <c r="Q1651" s="213"/>
      <c r="R1651" s="213" t="str">
        <f>IFERROR(__xludf.DUMMYFUNCTION("""COMPUTED_VALUE"""),"SI")</f>
        <v>SI</v>
      </c>
      <c r="S1651" s="213"/>
      <c r="T1651" s="213" t="str">
        <f>IFERROR(__xludf.DUMMYFUNCTION("""COMPUTED_VALUE"""),"SI")</f>
        <v>SI</v>
      </c>
      <c r="U1651" s="213" t="str">
        <f>IFERROR(__xludf.DUMMYFUNCTION("""COMPUTED_VALUE"""),"SI")</f>
        <v>SI</v>
      </c>
      <c r="V1651" s="213" t="str">
        <f>IFERROR(__xludf.DUMMYFUNCTION("""COMPUTED_VALUE"""),"-")</f>
        <v>-</v>
      </c>
      <c r="W1651" s="213" t="str">
        <f>IFERROR(__xludf.DUMMYFUNCTION("""COMPUTED_VALUE"""),"-")</f>
        <v>-</v>
      </c>
      <c r="X1651" s="213" t="str">
        <f>IFERROR(__xludf.DUMMYFUNCTION("""COMPUTED_VALUE"""),"TRAMONTINA")</f>
        <v>TRAMONTINA</v>
      </c>
      <c r="Y1651" s="213" t="str">
        <f>IFERROR(__xludf.DUMMYFUNCTION("""COMPUTED_VALUE"""),"MARFFIN")</f>
        <v>MARFFIN</v>
      </c>
      <c r="Z1651" s="215" t="str">
        <f>IFERROR(__xludf.DUMMYFUNCTION("""COMPUTED_VALUE"""),"https://www.falabella.com.pe/falabella-pe/product/19425717/Espumadera-Marffin/19425717?kid=shopp69fc&amp;gclsrc=aw.ds&amp;gad_source=1&amp;gad_campaignid=21209754652&amp;gbraid=0AAAAADs9MO1BQ_tf7cycpCheM1zhYFLn9&amp;gclid=Cj0KCQjw6bfHBhDNARIsAIGsqLj-xrKhg1372EpTb8cPEpz5d90Iq"&amp;"k7AImxkBVFyDDgyLggv7xyYfdsaAsweEALw_wcB")</f>
        <v>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v>
      </c>
      <c r="AA1651" s="213" t="str">
        <f>IFERROR(__xludf.DUMMYFUNCTION("""COMPUTED_VALUE"""),"MAT-159 ESPUMADERA - CET")</f>
        <v>MAT-159 ESPUMADERA - CET</v>
      </c>
      <c r="AB1651" s="213"/>
      <c r="AC1651" s="215" t="str">
        <f>IFERROR(__xludf.DUMMYFUNCTION("""COMPUTED_VALUE"""),"https://drive.google.com/file/d/1kN1yjvvcWvJTeYTbuNxQzMJO0MnOyoL1/view?usp=drive_link")</f>
        <v>https://drive.google.com/file/d/1kN1yjvvcWvJTeYTbuNxQzMJO0MnOyoL1/view?usp=drive_link</v>
      </c>
      <c r="AD1651" s="213"/>
      <c r="AE1651" s="213"/>
      <c r="AF1651" s="213"/>
      <c r="AG1651" s="213"/>
      <c r="AH1651" s="213" t="str">
        <f>IFERROR(__xludf.DUMMYFUNCTION("""COMPUTED_VALUE"""),"NACIONAL")</f>
        <v>NACIONAL</v>
      </c>
      <c r="AI1651" s="213"/>
      <c r="AJ1651" s="213"/>
      <c r="AK1651" s="213"/>
      <c r="AL1651" s="213"/>
      <c r="AM1651" s="213"/>
      <c r="AN1651" s="213"/>
      <c r="AO1651" s="213"/>
      <c r="AP1651" s="213" t="str">
        <f>IFERROR(__xludf.DUMMYFUNCTION("""COMPUTED_VALUE"""),"LUIS")</f>
        <v>LUIS</v>
      </c>
      <c r="AQ1651" s="213"/>
      <c r="AR1651" s="213"/>
      <c r="AS1651" s="213" t="str">
        <f>IFERROR(__xludf.DUMMYFUNCTION("""COMPUTED_VALUE"""),"No se cumple la altura. Especificaciones sacadas de https://global.tramontina.com/es/p/espumadera-mediana-empresarial-de-acero-inoxidable-con-mango-largo-tramontina-63813720")</f>
        <v>No se cumple la altura. Especificaciones sacadas de https://global.tramontina.com/es/p/espumadera-mediana-empresarial-de-acero-inoxidable-con-mango-largo-tramontina-63813720</v>
      </c>
      <c r="AT1651" s="213"/>
      <c r="AU1651" s="213"/>
      <c r="AV1651" s="213"/>
      <c r="AW1651" s="213"/>
      <c r="AX1651" s="213"/>
      <c r="AY1651" s="213"/>
      <c r="AZ1651" s="213"/>
      <c r="BA1651" s="213"/>
      <c r="BB1651" s="213"/>
      <c r="BC1651" s="213"/>
      <c r="BD1651" s="213"/>
    </row>
    <row r="1652">
      <c r="A1652" s="213">
        <f>IFERROR(__xludf.DUMMYFUNCTION("""COMPUTED_VALUE"""),1114.0)</f>
        <v>1114</v>
      </c>
      <c r="B1652" s="213" t="str">
        <f>IFERROR(__xludf.DUMMYFUNCTION("""COMPUTED_VALUE"""),"FRANCISCO IRAZOLA")</f>
        <v>FRANCISCO IRAZOLA</v>
      </c>
      <c r="C1652" s="213" t="str">
        <f>IFERROR(__xludf.DUMMYFUNCTION("""COMPUTED_VALUE"""),"TALLER SFT DE INDUSTRIA ALIMENTARIA")</f>
        <v>TALLER SFT DE INDUSTRIA ALIMENTARIA</v>
      </c>
      <c r="D1652" s="213" t="str">
        <f>IFERROR(__xludf.DUMMYFUNCTION("""COMPUTED_VALUE"""),"HERRAMIENTAS")</f>
        <v>HERRAMIENTAS</v>
      </c>
      <c r="E1652" s="213" t="str">
        <f>IFERROR(__xludf.DUMMYFUNCTION("""COMPUTED_VALUE"""),"MAT-159")</f>
        <v>MAT-159</v>
      </c>
      <c r="F1652" s="213" t="str">
        <f>IFERROR(__xludf.DUMMYFUNCTION("""COMPUTED_VALUE"""),"MAT-159")</f>
        <v>MAT-159</v>
      </c>
      <c r="G1652" s="213"/>
      <c r="H1652" s="213" t="str">
        <f>IFERROR(__xludf.DUMMYFUNCTION("""COMPUTED_VALUE"""),"ESPUMADERA")</f>
        <v>ESPUMADERA</v>
      </c>
      <c r="I1652" s="213" t="str">
        <f>IFERROR(__xludf.DUMMYFUNCTION("""COMPUTED_VALUE"""),"· Hecha totalmente de acero inoxidable, no suelta ningún residuo en los alimentos, manteniéndolos sanos.
· Altamente durable, mantiene las características originales, conservando la belleza, higiene y durabilidad del material.
· Acabado en brillo.
· Cable"&amp;" largo y sólido, ideal para su uso en cocinas industriales.
· Higiénica y de fácil limpieza.
· Medidas  mínimas  L  354 mm x A 97  mm X H 64 mm")</f>
        <v>· Hecha totalmente de acero inoxidable, no suelta ningún residuo en los alimentos, manteniéndolos sanos.
· Altamente durable, mantiene las características originales, conservando la belleza, higiene y durabilidad del material.
· Acabado en brillo.
· Cable largo y sólido, ideal para su uso en cocinas industriales.
· Higiénica y de fácil limpieza.
· Medidas  mínimas  L  354 mm x A 97  mm X H 64 mm</v>
      </c>
      <c r="J1652" s="213">
        <f>IFERROR(__xludf.DUMMYFUNCTION("""COMPUTED_VALUE"""),3.0)</f>
        <v>3</v>
      </c>
      <c r="K1652" s="213" t="str">
        <f>IFERROR(__xludf.DUMMYFUNCTION("""COMPUTED_VALUE"""),"90 DÍAS CALENDARIO")</f>
        <v>90 DÍAS CALENDARIO</v>
      </c>
      <c r="L1652" s="213" t="str">
        <f>IFERROR(__xludf.DUMMYFUNCTION("""COMPUTED_VALUE"""),"")</f>
        <v/>
      </c>
      <c r="M1652" s="213">
        <f>IFERROR(__xludf.DUMMYFUNCTION("""COMPUTED_VALUE"""),1.0)</f>
        <v>1</v>
      </c>
      <c r="N1652" s="213">
        <f>IFERROR(__xludf.DUMMYFUNCTION("""COMPUTED_VALUE"""),3.0)</f>
        <v>3</v>
      </c>
      <c r="O1652" s="213">
        <f>IFERROR(__xludf.DUMMYFUNCTION("""COMPUTED_VALUE"""),3.0)</f>
        <v>3</v>
      </c>
      <c r="P1652" s="213"/>
      <c r="Q1652" s="213"/>
      <c r="R1652" s="213" t="str">
        <f>IFERROR(__xludf.DUMMYFUNCTION("""COMPUTED_VALUE"""),"SI")</f>
        <v>SI</v>
      </c>
      <c r="S1652" s="213"/>
      <c r="T1652" s="213" t="str">
        <f>IFERROR(__xludf.DUMMYFUNCTION("""COMPUTED_VALUE"""),"SI")</f>
        <v>SI</v>
      </c>
      <c r="U1652" s="213" t="str">
        <f>IFERROR(__xludf.DUMMYFUNCTION("""COMPUTED_VALUE"""),"SI")</f>
        <v>SI</v>
      </c>
      <c r="V1652" s="213" t="str">
        <f>IFERROR(__xludf.DUMMYFUNCTION("""COMPUTED_VALUE"""),"-")</f>
        <v>-</v>
      </c>
      <c r="W1652" s="213" t="str">
        <f>IFERROR(__xludf.DUMMYFUNCTION("""COMPUTED_VALUE"""),"-")</f>
        <v>-</v>
      </c>
      <c r="X1652" s="213" t="str">
        <f>IFERROR(__xludf.DUMMYFUNCTION("""COMPUTED_VALUE"""),"TRAMONTINA")</f>
        <v>TRAMONTINA</v>
      </c>
      <c r="Y1652" s="213" t="str">
        <f>IFERROR(__xludf.DUMMYFUNCTION("""COMPUTED_VALUE"""),"MARFFIN")</f>
        <v>MARFFIN</v>
      </c>
      <c r="Z1652" s="215" t="str">
        <f>IFERROR(__xludf.DUMMYFUNCTION("""COMPUTED_VALUE"""),"https://www.falabella.com.pe/falabella-pe/product/19425717/Espumadera-Marffin/19425717?kid=shopp69fc&amp;gclsrc=aw.ds&amp;gad_source=1&amp;gad_campaignid=21209754652&amp;gbraid=0AAAAADs9MO1BQ_tf7cycpCheM1zhYFLn9&amp;gclid=Cj0KCQjw6bfHBhDNARIsAIGsqLj-xrKhg1372EpTb8cPEpz5d90Iq"&amp;"k7AImxkBVFyDDgyLggv7xyYfdsaAsweEALw_wcB")</f>
        <v>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v>
      </c>
      <c r="AA1652" s="213" t="str">
        <f>IFERROR(__xludf.DUMMYFUNCTION("""COMPUTED_VALUE"""),"MAT-159 ESPUMADERA - CET")</f>
        <v>MAT-159 ESPUMADERA - CET</v>
      </c>
      <c r="AB1652" s="213"/>
      <c r="AC1652" s="215" t="str">
        <f>IFERROR(__xludf.DUMMYFUNCTION("""COMPUTED_VALUE"""),"https://drive.google.com/file/d/1kN1yjvvcWvJTeYTbuNxQzMJO0MnOyoL1/view?usp=drive_link")</f>
        <v>https://drive.google.com/file/d/1kN1yjvvcWvJTeYTbuNxQzMJO0MnOyoL1/view?usp=drive_link</v>
      </c>
      <c r="AD1652" s="213"/>
      <c r="AE1652" s="213"/>
      <c r="AF1652" s="213"/>
      <c r="AG1652" s="213"/>
      <c r="AH1652" s="213" t="str">
        <f>IFERROR(__xludf.DUMMYFUNCTION("""COMPUTED_VALUE"""),"NACIONAL")</f>
        <v>NACIONAL</v>
      </c>
      <c r="AI1652" s="213"/>
      <c r="AJ1652" s="213"/>
      <c r="AK1652" s="213"/>
      <c r="AL1652" s="213"/>
      <c r="AM1652" s="213"/>
      <c r="AN1652" s="213"/>
      <c r="AO1652" s="213"/>
      <c r="AP1652" s="213" t="str">
        <f>IFERROR(__xludf.DUMMYFUNCTION("""COMPUTED_VALUE"""),"LUIS")</f>
        <v>LUIS</v>
      </c>
      <c r="AQ1652" s="213"/>
      <c r="AR1652" s="213"/>
      <c r="AS1652" s="213" t="str">
        <f>IFERROR(__xludf.DUMMYFUNCTION("""COMPUTED_VALUE"""),"No se cumple la altura. Especificaciones sacadas de https://global.tramontina.com/es/p/espumadera-mediana-empresarial-de-acero-inoxidable-con-mango-largo-tramontina-63813720")</f>
        <v>No se cumple la altura. Especificaciones sacadas de https://global.tramontina.com/es/p/espumadera-mediana-empresarial-de-acero-inoxidable-con-mango-largo-tramontina-63813720</v>
      </c>
      <c r="AT1652" s="213"/>
      <c r="AU1652" s="213"/>
      <c r="AV1652" s="213"/>
      <c r="AW1652" s="213"/>
      <c r="AX1652" s="213"/>
      <c r="AY1652" s="213"/>
      <c r="AZ1652" s="213"/>
      <c r="BA1652" s="213"/>
      <c r="BB1652" s="213"/>
      <c r="BC1652" s="213"/>
      <c r="BD1652" s="213"/>
    </row>
    <row r="1653">
      <c r="A1653" s="213">
        <f>IFERROR(__xludf.DUMMYFUNCTION("""COMPUTED_VALUE"""),1386.0)</f>
        <v>1386</v>
      </c>
      <c r="B1653" s="213" t="str">
        <f>IFERROR(__xludf.DUMMYFUNCTION("""COMPUTED_VALUE"""),"GUILLERMO E. BILLINGHURST ")</f>
        <v>GUILLERMO E. BILLINGHURST </v>
      </c>
      <c r="C1653" s="213" t="str">
        <f>IFERROR(__xludf.DUMMYFUNCTION("""COMPUTED_VALUE"""),"TALLER SFT DE INDUSTRIA ALIMENTARIA")</f>
        <v>TALLER SFT DE INDUSTRIA ALIMENTARIA</v>
      </c>
      <c r="D1653" s="213" t="str">
        <f>IFERROR(__xludf.DUMMYFUNCTION("""COMPUTED_VALUE"""),"HERRAMIENTAS")</f>
        <v>HERRAMIENTAS</v>
      </c>
      <c r="E1653" s="213" t="str">
        <f>IFERROR(__xludf.DUMMYFUNCTION("""COMPUTED_VALUE"""),"MAT-159")</f>
        <v>MAT-159</v>
      </c>
      <c r="F1653" s="213" t="str">
        <f>IFERROR(__xludf.DUMMYFUNCTION("""COMPUTED_VALUE"""),"MAT-159")</f>
        <v>MAT-159</v>
      </c>
      <c r="G1653" s="213"/>
      <c r="H1653" s="213" t="str">
        <f>IFERROR(__xludf.DUMMYFUNCTION("""COMPUTED_VALUE"""),"ESPUMADERA")</f>
        <v>ESPUMADERA</v>
      </c>
      <c r="I1653" s="213" t="str">
        <f>IFERROR(__xludf.DUMMYFUNCTION("""COMPUTED_VALUE"""),"· Hecha totalmente de acero inoxidable, no suelta ningún residuo en los alimentos, manteniéndolos sanos.
· Altamente durable, mantiene las características originales, conservando la belleza, higiene y durabilidad del material.
· Acabado en brillo.
· Cable"&amp;" largo y sólido, ideal para su uso en cocinas industriales.
· Higiénica y de fácil limpieza.
· Medidas  mínimas  L  354 mm x A 97  mm X H 64 mm")</f>
        <v>· Hecha totalmente de acero inoxidable, no suelta ningún residuo en los alimentos, manteniéndolos sanos.
· Altamente durable, mantiene las características originales, conservando la belleza, higiene y durabilidad del material.
· Acabado en brillo.
· Cable largo y sólido, ideal para su uso en cocinas industriales.
· Higiénica y de fácil limpieza.
· Medidas  mínimas  L  354 mm x A 97  mm X H 64 mm</v>
      </c>
      <c r="J1653" s="213">
        <f>IFERROR(__xludf.DUMMYFUNCTION("""COMPUTED_VALUE"""),3.0)</f>
        <v>3</v>
      </c>
      <c r="K1653" s="213" t="str">
        <f>IFERROR(__xludf.DUMMYFUNCTION("""COMPUTED_VALUE"""),"90 DÍAS CALENDARIO")</f>
        <v>90 DÍAS CALENDARIO</v>
      </c>
      <c r="L1653" s="213" t="str">
        <f>IFERROR(__xludf.DUMMYFUNCTION("""COMPUTED_VALUE"""),"")</f>
        <v/>
      </c>
      <c r="M1653" s="213">
        <f>IFERROR(__xludf.DUMMYFUNCTION("""COMPUTED_VALUE"""),1.0)</f>
        <v>1</v>
      </c>
      <c r="N1653" s="213">
        <f>IFERROR(__xludf.DUMMYFUNCTION("""COMPUTED_VALUE"""),3.0)</f>
        <v>3</v>
      </c>
      <c r="O1653" s="213">
        <f>IFERROR(__xludf.DUMMYFUNCTION("""COMPUTED_VALUE"""),3.0)</f>
        <v>3</v>
      </c>
      <c r="P1653" s="213"/>
      <c r="Q1653" s="213"/>
      <c r="R1653" s="213" t="str">
        <f>IFERROR(__xludf.DUMMYFUNCTION("""COMPUTED_VALUE"""),"SI")</f>
        <v>SI</v>
      </c>
      <c r="S1653" s="213"/>
      <c r="T1653" s="213" t="str">
        <f>IFERROR(__xludf.DUMMYFUNCTION("""COMPUTED_VALUE"""),"SI")</f>
        <v>SI</v>
      </c>
      <c r="U1653" s="213" t="str">
        <f>IFERROR(__xludf.DUMMYFUNCTION("""COMPUTED_VALUE"""),"SI")</f>
        <v>SI</v>
      </c>
      <c r="V1653" s="213" t="str">
        <f>IFERROR(__xludf.DUMMYFUNCTION("""COMPUTED_VALUE"""),"-")</f>
        <v>-</v>
      </c>
      <c r="W1653" s="213" t="str">
        <f>IFERROR(__xludf.DUMMYFUNCTION("""COMPUTED_VALUE"""),"-")</f>
        <v>-</v>
      </c>
      <c r="X1653" s="213" t="str">
        <f>IFERROR(__xludf.DUMMYFUNCTION("""COMPUTED_VALUE"""),"TRAMONTINA")</f>
        <v>TRAMONTINA</v>
      </c>
      <c r="Y1653" s="213" t="str">
        <f>IFERROR(__xludf.DUMMYFUNCTION("""COMPUTED_VALUE"""),"MARFFIN")</f>
        <v>MARFFIN</v>
      </c>
      <c r="Z1653" s="215" t="str">
        <f>IFERROR(__xludf.DUMMYFUNCTION("""COMPUTED_VALUE"""),"https://www.falabella.com.pe/falabella-pe/product/19425717/Espumadera-Marffin/19425717?kid=shopp69fc&amp;gclsrc=aw.ds&amp;gad_source=1&amp;gad_campaignid=21209754652&amp;gbraid=0AAAAADs9MO1BQ_tf7cycpCheM1zhYFLn9&amp;gclid=Cj0KCQjw6bfHBhDNARIsAIGsqLj-xrKhg1372EpTb8cPEpz5d90Iq"&amp;"k7AImxkBVFyDDgyLggv7xyYfdsaAsweEALw_wcB")</f>
        <v>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v>
      </c>
      <c r="AA1653" s="213" t="str">
        <f>IFERROR(__xludf.DUMMYFUNCTION("""COMPUTED_VALUE"""),"MAT-159 ESPUMADERA - CET")</f>
        <v>MAT-159 ESPUMADERA - CET</v>
      </c>
      <c r="AB1653" s="213"/>
      <c r="AC1653" s="215" t="str">
        <f>IFERROR(__xludf.DUMMYFUNCTION("""COMPUTED_VALUE"""),"https://drive.google.com/file/d/1kN1yjvvcWvJTeYTbuNxQzMJO0MnOyoL1/view?usp=drive_link")</f>
        <v>https://drive.google.com/file/d/1kN1yjvvcWvJTeYTbuNxQzMJO0MnOyoL1/view?usp=drive_link</v>
      </c>
      <c r="AD1653" s="213"/>
      <c r="AE1653" s="213"/>
      <c r="AF1653" s="213"/>
      <c r="AG1653" s="213"/>
      <c r="AH1653" s="213" t="str">
        <f>IFERROR(__xludf.DUMMYFUNCTION("""COMPUTED_VALUE"""),"NACIONAL")</f>
        <v>NACIONAL</v>
      </c>
      <c r="AI1653" s="213"/>
      <c r="AJ1653" s="213"/>
      <c r="AK1653" s="213"/>
      <c r="AL1653" s="213"/>
      <c r="AM1653" s="213"/>
      <c r="AN1653" s="213"/>
      <c r="AO1653" s="213"/>
      <c r="AP1653" s="213" t="str">
        <f>IFERROR(__xludf.DUMMYFUNCTION("""COMPUTED_VALUE"""),"LUIS")</f>
        <v>LUIS</v>
      </c>
      <c r="AQ1653" s="213"/>
      <c r="AR1653" s="213"/>
      <c r="AS1653" s="213" t="str">
        <f>IFERROR(__xludf.DUMMYFUNCTION("""COMPUTED_VALUE"""),"No se cumple la altura. Especificaciones sacadas de https://global.tramontina.com/es/p/espumadera-mediana-empresarial-de-acero-inoxidable-con-mango-largo-tramontina-63813720")</f>
        <v>No se cumple la altura. Especificaciones sacadas de https://global.tramontina.com/es/p/espumadera-mediana-empresarial-de-acero-inoxidable-con-mango-largo-tramontina-63813720</v>
      </c>
      <c r="AT1653" s="213"/>
      <c r="AU1653" s="213"/>
      <c r="AV1653" s="213"/>
      <c r="AW1653" s="213"/>
      <c r="AX1653" s="213"/>
      <c r="AY1653" s="213"/>
      <c r="AZ1653" s="213"/>
      <c r="BA1653" s="213"/>
      <c r="BB1653" s="213"/>
      <c r="BC1653" s="213"/>
      <c r="BD1653" s="213"/>
    </row>
    <row r="1654">
      <c r="A1654" s="213">
        <f>IFERROR(__xludf.DUMMYFUNCTION("""COMPUTED_VALUE"""),2073.0)</f>
        <v>2073</v>
      </c>
      <c r="B1654" s="213" t="str">
        <f>IFERROR(__xludf.DUMMYFUNCTION("""COMPUTED_VALUE"""),"JOSE GRANDA")</f>
        <v>JOSE GRANDA</v>
      </c>
      <c r="C1654" s="213" t="str">
        <f>IFERROR(__xludf.DUMMYFUNCTION("""COMPUTED_VALUE"""),"TALLER SFT DE INDUSTRIA ALIMENTARIA")</f>
        <v>TALLER SFT DE INDUSTRIA ALIMENTARIA</v>
      </c>
      <c r="D1654" s="213" t="str">
        <f>IFERROR(__xludf.DUMMYFUNCTION("""COMPUTED_VALUE"""),"HERRAMIENTAS")</f>
        <v>HERRAMIENTAS</v>
      </c>
      <c r="E1654" s="213" t="str">
        <f>IFERROR(__xludf.DUMMYFUNCTION("""COMPUTED_VALUE"""),"MAT-159")</f>
        <v>MAT-159</v>
      </c>
      <c r="F1654" s="213" t="str">
        <f>IFERROR(__xludf.DUMMYFUNCTION("""COMPUTED_VALUE"""),"MAT-159")</f>
        <v>MAT-159</v>
      </c>
      <c r="G1654" s="213"/>
      <c r="H1654" s="213" t="str">
        <f>IFERROR(__xludf.DUMMYFUNCTION("""COMPUTED_VALUE"""),"ESPUMADERA")</f>
        <v>ESPUMADERA</v>
      </c>
      <c r="I1654" s="213" t="str">
        <f>IFERROR(__xludf.DUMMYFUNCTION("""COMPUTED_VALUE"""),"· Hecha totalmente de acero inoxidable, no suelta ningún residuo en los alimentos, manteniéndolos sanos.
· Altamente durable, mantiene las características originales, conservando la belleza, higiene y durabilidad del material.
· Acabado en brillo.
· Cable"&amp;" largo y sólido, ideal para su uso en cocinas industriales.
· Higiénica y de fácil limpieza.
· Medidas  mínimas  L  354 mm x A 97  mm X H 64 mm")</f>
        <v>· Hecha totalmente de acero inoxidable, no suelta ningún residuo en los alimentos, manteniéndolos sanos.
· Altamente durable, mantiene las características originales, conservando la belleza, higiene y durabilidad del material.
· Acabado en brillo.
· Cable largo y sólido, ideal para su uso en cocinas industriales.
· Higiénica y de fácil limpieza.
· Medidas  mínimas  L  354 mm x A 97  mm X H 64 mm</v>
      </c>
      <c r="J1654" s="213">
        <f>IFERROR(__xludf.DUMMYFUNCTION("""COMPUTED_VALUE"""),3.0)</f>
        <v>3</v>
      </c>
      <c r="K1654" s="213" t="str">
        <f>IFERROR(__xludf.DUMMYFUNCTION("""COMPUTED_VALUE"""),"90 DÍAS CALENDARIO")</f>
        <v>90 DÍAS CALENDARIO</v>
      </c>
      <c r="L1654" s="213" t="str">
        <f>IFERROR(__xludf.DUMMYFUNCTION("""COMPUTED_VALUE"""),"")</f>
        <v/>
      </c>
      <c r="M1654" s="213">
        <f>IFERROR(__xludf.DUMMYFUNCTION("""COMPUTED_VALUE"""),1.0)</f>
        <v>1</v>
      </c>
      <c r="N1654" s="213">
        <f>IFERROR(__xludf.DUMMYFUNCTION("""COMPUTED_VALUE"""),3.0)</f>
        <v>3</v>
      </c>
      <c r="O1654" s="213">
        <f>IFERROR(__xludf.DUMMYFUNCTION("""COMPUTED_VALUE"""),3.0)</f>
        <v>3</v>
      </c>
      <c r="P1654" s="213"/>
      <c r="Q1654" s="213"/>
      <c r="R1654" s="213" t="str">
        <f>IFERROR(__xludf.DUMMYFUNCTION("""COMPUTED_VALUE"""),"SI")</f>
        <v>SI</v>
      </c>
      <c r="S1654" s="213"/>
      <c r="T1654" s="213" t="str">
        <f>IFERROR(__xludf.DUMMYFUNCTION("""COMPUTED_VALUE"""),"SI")</f>
        <v>SI</v>
      </c>
      <c r="U1654" s="213" t="str">
        <f>IFERROR(__xludf.DUMMYFUNCTION("""COMPUTED_VALUE"""),"SI")</f>
        <v>SI</v>
      </c>
      <c r="V1654" s="213" t="str">
        <f>IFERROR(__xludf.DUMMYFUNCTION("""COMPUTED_VALUE"""),"-")</f>
        <v>-</v>
      </c>
      <c r="W1654" s="213" t="str">
        <f>IFERROR(__xludf.DUMMYFUNCTION("""COMPUTED_VALUE"""),"-")</f>
        <v>-</v>
      </c>
      <c r="X1654" s="213" t="str">
        <f>IFERROR(__xludf.DUMMYFUNCTION("""COMPUTED_VALUE"""),"TRAMONTINA")</f>
        <v>TRAMONTINA</v>
      </c>
      <c r="Y1654" s="213" t="str">
        <f>IFERROR(__xludf.DUMMYFUNCTION("""COMPUTED_VALUE"""),"MARFFIN")</f>
        <v>MARFFIN</v>
      </c>
      <c r="Z1654" s="215" t="str">
        <f>IFERROR(__xludf.DUMMYFUNCTION("""COMPUTED_VALUE"""),"https://www.falabella.com.pe/falabella-pe/product/19425717/Espumadera-Marffin/19425717?kid=shopp69fc&amp;gclsrc=aw.ds&amp;gad_source=1&amp;gad_campaignid=21209754652&amp;gbraid=0AAAAADs9MO1BQ_tf7cycpCheM1zhYFLn9&amp;gclid=Cj0KCQjw6bfHBhDNARIsAIGsqLj-xrKhg1372EpTb8cPEpz5d90Iq"&amp;"k7AImxkBVFyDDgyLggv7xyYfdsaAsweEALw_wcB")</f>
        <v>https://www.falabella.com.pe/falabella-pe/product/19425717/Espumadera-Marffin/19425717?kid=shopp69fc&amp;gclsrc=aw.ds&amp;gad_source=1&amp;gad_campaignid=21209754652&amp;gbraid=0AAAAADs9MO1BQ_tf7cycpCheM1zhYFLn9&amp;gclid=Cj0KCQjw6bfHBhDNARIsAIGsqLj-xrKhg1372EpTb8cPEpz5d90Iqk7AImxkBVFyDDgyLggv7xyYfdsaAsweEALw_wcB</v>
      </c>
      <c r="AA1654" s="213" t="str">
        <f>IFERROR(__xludf.DUMMYFUNCTION("""COMPUTED_VALUE"""),"MAT-159 ESPUMADERA - CET")</f>
        <v>MAT-159 ESPUMADERA - CET</v>
      </c>
      <c r="AB1654" s="213"/>
      <c r="AC1654" s="215" t="str">
        <f>IFERROR(__xludf.DUMMYFUNCTION("""COMPUTED_VALUE"""),"https://drive.google.com/file/d/1kN1yjvvcWvJTeYTbuNxQzMJO0MnOyoL1/view?usp=drive_link")</f>
        <v>https://drive.google.com/file/d/1kN1yjvvcWvJTeYTbuNxQzMJO0MnOyoL1/view?usp=drive_link</v>
      </c>
      <c r="AD1654" s="213"/>
      <c r="AE1654" s="213"/>
      <c r="AF1654" s="213"/>
      <c r="AG1654" s="213"/>
      <c r="AH1654" s="213" t="str">
        <f>IFERROR(__xludf.DUMMYFUNCTION("""COMPUTED_VALUE"""),"NACIONAL")</f>
        <v>NACIONAL</v>
      </c>
      <c r="AI1654" s="213"/>
      <c r="AJ1654" s="213"/>
      <c r="AK1654" s="213"/>
      <c r="AL1654" s="213"/>
      <c r="AM1654" s="213"/>
      <c r="AN1654" s="213"/>
      <c r="AO1654" s="213"/>
      <c r="AP1654" s="213" t="str">
        <f>IFERROR(__xludf.DUMMYFUNCTION("""COMPUTED_VALUE"""),"LUIS")</f>
        <v>LUIS</v>
      </c>
      <c r="AQ1654" s="213"/>
      <c r="AR1654" s="213"/>
      <c r="AS1654" s="213" t="str">
        <f>IFERROR(__xludf.DUMMYFUNCTION("""COMPUTED_VALUE"""),"No se cumple la altura. Especificaciones sacadas de https://global.tramontina.com/es/p/espumadera-mediana-empresarial-de-acero-inoxidable-con-mango-largo-tramontina-63813720")</f>
        <v>No se cumple la altura. Especificaciones sacadas de https://global.tramontina.com/es/p/espumadera-mediana-empresarial-de-acero-inoxidable-con-mango-largo-tramontina-63813720</v>
      </c>
      <c r="AT1654" s="213"/>
      <c r="AU1654" s="213"/>
      <c r="AV1654" s="213"/>
      <c r="AW1654" s="213"/>
      <c r="AX1654" s="213"/>
      <c r="AY1654" s="213"/>
      <c r="AZ1654" s="213"/>
      <c r="BA1654" s="213"/>
      <c r="BB1654" s="213"/>
      <c r="BC1654" s="213"/>
      <c r="BD1654" s="213"/>
    </row>
    <row r="1655">
      <c r="A1655" s="213">
        <f>IFERROR(__xludf.DUMMYFUNCTION("""COMPUTED_VALUE"""),6.0)</f>
        <v>6</v>
      </c>
      <c r="B1655" s="213" t="str">
        <f>IFERROR(__xludf.DUMMYFUNCTION("""COMPUTED_VALUE"""),"16449 ELOY SOBERON  FLORES")</f>
        <v>16449 ELOY SOBERON  FLORES</v>
      </c>
      <c r="C1655" s="213" t="str">
        <f>IFERROR(__xludf.DUMMYFUNCTION("""COMPUTED_VALUE"""),"TALLER SFT DE COCINA Y REPOSTERÍA")</f>
        <v>TALLER SFT DE COCINA Y REPOSTERÍA</v>
      </c>
      <c r="D1655" s="213" t="str">
        <f>IFERROR(__xludf.DUMMYFUNCTION("""COMPUTED_VALUE"""),"HERRAMIENTAS")</f>
        <v>HERRAMIENTAS</v>
      </c>
      <c r="E1655" s="213" t="str">
        <f>IFERROR(__xludf.DUMMYFUNCTION("""COMPUTED_VALUE"""),"MAT-161")</f>
        <v>MAT-161</v>
      </c>
      <c r="F1655" s="213" t="str">
        <f>IFERROR(__xludf.DUMMYFUNCTION("""COMPUTED_VALUE"""),"MAT-161")</f>
        <v>MAT-161</v>
      </c>
      <c r="G1655" s="213"/>
      <c r="H1655" s="213" t="str">
        <f>IFERROR(__xludf.DUMMYFUNCTION("""COMPUTED_VALUE"""),"EXTINTOR CO2")</f>
        <v>EXTINTOR CO2</v>
      </c>
      <c r="I1655"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655" s="213">
        <f>IFERROR(__xludf.DUMMYFUNCTION("""COMPUTED_VALUE"""),3.0)</f>
        <v>3</v>
      </c>
      <c r="K1655" s="213" t="str">
        <f>IFERROR(__xludf.DUMMYFUNCTION("""COMPUTED_VALUE"""),"90 DÍAS CALENDARIO")</f>
        <v>90 DÍAS CALENDARIO</v>
      </c>
      <c r="L1655"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655" s="213">
        <f>IFERROR(__xludf.DUMMYFUNCTION("""COMPUTED_VALUE"""),1.0)</f>
        <v>1</v>
      </c>
      <c r="N1655" s="213">
        <f>IFERROR(__xludf.DUMMYFUNCTION("""COMPUTED_VALUE"""),1.0)</f>
        <v>1</v>
      </c>
      <c r="O1655" s="213">
        <f>IFERROR(__xludf.DUMMYFUNCTION("""COMPUTED_VALUE"""),1.0)</f>
        <v>1</v>
      </c>
      <c r="P1655" s="213"/>
      <c r="Q1655" s="213"/>
      <c r="R1655" s="213"/>
      <c r="S1655" s="213"/>
      <c r="T1655" s="213" t="str">
        <f>IFERROR(__xludf.DUMMYFUNCTION("""COMPUTED_VALUE"""),"CONSULTA FINAL")</f>
        <v>CONSULTA FINAL</v>
      </c>
      <c r="U1655" s="213" t="str">
        <f>IFERROR(__xludf.DUMMYFUNCTION("""COMPUTED_VALUE"""),"NO")</f>
        <v>NO</v>
      </c>
      <c r="V1655" s="213" t="str">
        <f>IFERROR(__xludf.DUMMYFUNCTION("""COMPUTED_VALUE"""),"NO")</f>
        <v>NO</v>
      </c>
      <c r="W1655" s="213" t="str">
        <f>IFERROR(__xludf.DUMMYFUNCTION("""COMPUTED_VALUE"""),"-")</f>
        <v>-</v>
      </c>
      <c r="X1655" s="213" t="str">
        <f>IFERROR(__xludf.DUMMYFUNCTION("""COMPUTED_VALUE"""),"FIREMAN'S")</f>
        <v>FIREMAN'S</v>
      </c>
      <c r="Y1655" s="213" t="str">
        <f>IFERROR(__xludf.DUMMYFUNCTION("""COMPUTED_VALUE"""),"Extintores Portátiles Manuales de Dióxido de Carbono ")</f>
        <v>Extintores Portátiles Manuales de Dióxido de Carbono </v>
      </c>
      <c r="Z1655" s="215" t="str">
        <f>IFERROR(__xludf.DUMMYFUNCTION("""COMPUTED_VALUE"""),"https://firemansperu.com/productos/extintores-firemans/dioxido-de-carbono/")</f>
        <v>https://firemansperu.com/productos/extintores-firemans/dioxido-de-carbono/</v>
      </c>
      <c r="AA1655" s="213" t="str">
        <f>IFERROR(__xludf.DUMMYFUNCTION("""COMPUTED_VALUE"""),"MAT-161 EXTINTOR CO2 - CET")</f>
        <v>MAT-161 EXTINTOR CO2 - CET</v>
      </c>
      <c r="AB1655" s="213"/>
      <c r="AC1655" s="213"/>
      <c r="AD1655" s="213"/>
      <c r="AE1655" s="213"/>
      <c r="AF1655" s="213"/>
      <c r="AG1655" s="213"/>
      <c r="AH1655" s="213"/>
      <c r="AI1655" s="213"/>
      <c r="AJ1655" s="213"/>
      <c r="AK1655" s="213"/>
      <c r="AL1655" s="213"/>
      <c r="AM1655" s="213"/>
      <c r="AN1655" s="213"/>
      <c r="AO1655" s="213"/>
      <c r="AP1655" s="213" t="str">
        <f>IFERROR(__xludf.DUMMYFUNCTION("""COMPUTED_VALUE"""),"BRUNO")</f>
        <v>BRUNO</v>
      </c>
      <c r="AQ1655" s="213"/>
      <c r="AR1655" s="213"/>
      <c r="AS1655" s="213"/>
      <c r="AT1655" s="213"/>
      <c r="AU1655" s="213"/>
      <c r="AV1655" s="213"/>
      <c r="AW1655" s="213"/>
      <c r="AX1655" s="213"/>
      <c r="AY1655" s="213"/>
      <c r="AZ1655" s="213"/>
      <c r="BA1655" s="213"/>
      <c r="BB1655" s="213"/>
      <c r="BC1655" s="213"/>
      <c r="BD1655" s="213"/>
    </row>
    <row r="1656">
      <c r="A1656" s="213">
        <f>IFERROR(__xludf.DUMMYFUNCTION("""COMPUTED_VALUE"""),166.0)</f>
        <v>166</v>
      </c>
      <c r="B1656" s="213" t="str">
        <f>IFERROR(__xludf.DUMMYFUNCTION("""COMPUTED_VALUE"""),"2026 SIMON BOLIVAR")</f>
        <v>2026 SIMON BOLIVAR</v>
      </c>
      <c r="C1656" s="213" t="str">
        <f>IFERROR(__xludf.DUMMYFUNCTION("""COMPUTED_VALUE"""),"TALLER SFT DE INDUSTRIA DEL VESTIDO")</f>
        <v>TALLER SFT DE INDUSTRIA DEL VESTIDO</v>
      </c>
      <c r="D1656" s="213" t="str">
        <f>IFERROR(__xludf.DUMMYFUNCTION("""COMPUTED_VALUE"""),"HERRAMIENTAS")</f>
        <v>HERRAMIENTAS</v>
      </c>
      <c r="E1656" s="213" t="str">
        <f>IFERROR(__xludf.DUMMYFUNCTION("""COMPUTED_VALUE"""),"MAT-161")</f>
        <v>MAT-161</v>
      </c>
      <c r="F1656" s="213" t="str">
        <f>IFERROR(__xludf.DUMMYFUNCTION("""COMPUTED_VALUE"""),"MAT-161")</f>
        <v>MAT-161</v>
      </c>
      <c r="G1656" s="213"/>
      <c r="H1656" s="213" t="str">
        <f>IFERROR(__xludf.DUMMYFUNCTION("""COMPUTED_VALUE"""),"EXTINTOR CO2")</f>
        <v>EXTINTOR CO2</v>
      </c>
      <c r="I1656"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656" s="213">
        <f>IFERROR(__xludf.DUMMYFUNCTION("""COMPUTED_VALUE"""),3.0)</f>
        <v>3</v>
      </c>
      <c r="K1656" s="213" t="str">
        <f>IFERROR(__xludf.DUMMYFUNCTION("""COMPUTED_VALUE"""),"90 DÍAS CALENDARIO")</f>
        <v>90 DÍAS CALENDARIO</v>
      </c>
      <c r="L1656"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656" s="213">
        <f>IFERROR(__xludf.DUMMYFUNCTION("""COMPUTED_VALUE"""),1.0)</f>
        <v>1</v>
      </c>
      <c r="N1656" s="213">
        <f>IFERROR(__xludf.DUMMYFUNCTION("""COMPUTED_VALUE"""),2.0)</f>
        <v>2</v>
      </c>
      <c r="O1656" s="213">
        <f>IFERROR(__xludf.DUMMYFUNCTION("""COMPUTED_VALUE"""),2.0)</f>
        <v>2</v>
      </c>
      <c r="P1656" s="213"/>
      <c r="Q1656" s="213"/>
      <c r="R1656" s="213"/>
      <c r="S1656" s="213"/>
      <c r="T1656" s="213" t="str">
        <f>IFERROR(__xludf.DUMMYFUNCTION("""COMPUTED_VALUE"""),"CONSULTA FINAL")</f>
        <v>CONSULTA FINAL</v>
      </c>
      <c r="U1656" s="213" t="str">
        <f>IFERROR(__xludf.DUMMYFUNCTION("""COMPUTED_VALUE"""),"NO")</f>
        <v>NO</v>
      </c>
      <c r="V1656" s="213" t="str">
        <f>IFERROR(__xludf.DUMMYFUNCTION("""COMPUTED_VALUE"""),"NO")</f>
        <v>NO</v>
      </c>
      <c r="W1656" s="213" t="str">
        <f>IFERROR(__xludf.DUMMYFUNCTION("""COMPUTED_VALUE"""),"-")</f>
        <v>-</v>
      </c>
      <c r="X1656" s="213" t="str">
        <f>IFERROR(__xludf.DUMMYFUNCTION("""COMPUTED_VALUE"""),"FIREMAN'S")</f>
        <v>FIREMAN'S</v>
      </c>
      <c r="Y1656" s="213" t="str">
        <f>IFERROR(__xludf.DUMMYFUNCTION("""COMPUTED_VALUE"""),"Extintores Portátiles Manuales de Dióxido de Carbono ")</f>
        <v>Extintores Portátiles Manuales de Dióxido de Carbono </v>
      </c>
      <c r="Z1656" s="215" t="str">
        <f>IFERROR(__xludf.DUMMYFUNCTION("""COMPUTED_VALUE"""),"https://firemansperu.com/productos/extintores-firemans/dioxido-de-carbono/")</f>
        <v>https://firemansperu.com/productos/extintores-firemans/dioxido-de-carbono/</v>
      </c>
      <c r="AA1656" s="213" t="str">
        <f>IFERROR(__xludf.DUMMYFUNCTION("""COMPUTED_VALUE"""),"MAT-161 EXTINTOR CO2 - CET")</f>
        <v>MAT-161 EXTINTOR CO2 - CET</v>
      </c>
      <c r="AB1656" s="213"/>
      <c r="AC1656" s="213"/>
      <c r="AD1656" s="213"/>
      <c r="AE1656" s="213"/>
      <c r="AF1656" s="213"/>
      <c r="AG1656" s="213"/>
      <c r="AH1656" s="213"/>
      <c r="AI1656" s="213"/>
      <c r="AJ1656" s="213"/>
      <c r="AK1656" s="213"/>
      <c r="AL1656" s="213"/>
      <c r="AM1656" s="213"/>
      <c r="AN1656" s="213"/>
      <c r="AO1656" s="213"/>
      <c r="AP1656" s="213" t="str">
        <f>IFERROR(__xludf.DUMMYFUNCTION("""COMPUTED_VALUE"""),"BRUNO")</f>
        <v>BRUNO</v>
      </c>
      <c r="AQ1656" s="213"/>
      <c r="AR1656" s="213"/>
      <c r="AS1656" s="213"/>
      <c r="AT1656" s="213"/>
      <c r="AU1656" s="213"/>
      <c r="AV1656" s="213"/>
      <c r="AW1656" s="213"/>
      <c r="AX1656" s="213"/>
      <c r="AY1656" s="213"/>
      <c r="AZ1656" s="213"/>
      <c r="BA1656" s="213"/>
      <c r="BB1656" s="213"/>
      <c r="BC1656" s="213"/>
      <c r="BD1656" s="213"/>
    </row>
    <row r="1657">
      <c r="A1657" s="213">
        <f>IFERROR(__xludf.DUMMYFUNCTION("""COMPUTED_VALUE"""),399.0)</f>
        <v>399</v>
      </c>
      <c r="B1657" s="213" t="str">
        <f>IFERROR(__xludf.DUMMYFUNCTION("""COMPUTED_VALUE"""),"2026 SIMON BOLIVAR")</f>
        <v>2026 SIMON BOLIVAR</v>
      </c>
      <c r="C1657" s="213" t="str">
        <f>IFERROR(__xludf.DUMMYFUNCTION("""COMPUTED_VALUE"""),"TALLER SFT DE ELECTRICIDAD")</f>
        <v>TALLER SFT DE ELECTRICIDAD</v>
      </c>
      <c r="D1657" s="213" t="str">
        <f>IFERROR(__xludf.DUMMYFUNCTION("""COMPUTED_VALUE"""),"EQUIPOS")</f>
        <v>EQUIPOS</v>
      </c>
      <c r="E1657" s="213" t="str">
        <f>IFERROR(__xludf.DUMMYFUNCTION("""COMPUTED_VALUE"""),"ESP-252")</f>
        <v>ESP-252</v>
      </c>
      <c r="F1657" s="213" t="str">
        <f>IFERROR(__xludf.DUMMYFUNCTION("""COMPUTED_VALUE"""),"ESP-252")</f>
        <v>ESP-252</v>
      </c>
      <c r="G1657" s="213"/>
      <c r="H1657" s="213" t="str">
        <f>IFERROR(__xludf.DUMMYFUNCTION("""COMPUTED_VALUE"""),"MEDIDOR DE ENERGÍA ACTIVA MONOFÁSICO Y TRIFÁSICO")</f>
        <v>MEDIDOR DE ENERGÍA ACTIVA MONOFÁSICO Y TRIFÁSICO</v>
      </c>
      <c r="I1657" s="213" t="str">
        <f>IFERROR(__xludf.DUMMYFUNCTION("""COMPUTED_VALUE"""),"· Funciones de Medición:
Para medir el consumo de energía de los aparatos eléctricos
· Datos Técnicos:
1. Valores que muestra: voltaje, corriente, consumo de energía, tiempo, costo, factor de potencia y detecta la emisión de CO2 del aparato conectado al m"&amp;"edidor.
2. Pantalla LCD dual transparente.
3. Medidor de potencia: hasta 3680 W.
4. Medidor de voltaje: 100 V hasta 260 V.
5. Medidor de corriente: Hasta 16 A.
6. Frecuencia de operación: 45Hz - 65Hz.
7. Factor de potencia: 0 – 1.
8. Consumo de energía: 0"&amp;" - 9999 KWh.
9. Tiempo acumulativo: 0 minutos - 9999 días.
10. Indicador de emisión de CO2: 0 - 9999 Kg.
11. Alimentación con batería")</f>
        <v>· Funciones de Medición:
Para medir el consumo de energía de los aparatos eléctricos
· Datos Técnicos:
1. Valores que muestra: voltaje, corriente, consumo de energía, tiempo, costo, factor de potencia y detecta la emisión de CO2 del aparato conectado al medidor.
2. Pantalla LCD dual transparente.
3. Medidor de potencia: hasta 3680 W.
4. Medidor de voltaje: 100 V hasta 260 V.
5. Medidor de corriente: Hasta 16 A.
6. Frecuencia de operación: 45Hz - 65Hz.
7. Factor de potencia: 0 – 1.
8. Consumo de energía: 0 - 9999 KWh.
9. Tiempo acumulativo: 0 minutos - 9999 días.
10. Indicador de emisión de CO2: 0 - 9999 Kg.
11. Alimentación con batería</v>
      </c>
      <c r="J1657" s="213">
        <f>IFERROR(__xludf.DUMMYFUNCTION("""COMPUTED_VALUE"""),3.0)</f>
        <v>3</v>
      </c>
      <c r="K1657" s="213" t="str">
        <f>IFERROR(__xludf.DUMMYFUNCTION("""COMPUTED_VALUE"""),"170 DÍAS CALENDARIO")</f>
        <v>170 DÍAS CALENDARIO</v>
      </c>
      <c r="L1657" s="213" t="str">
        <f>IFERROR(__xludf.DUMMYFUNCTION("""COMPUTED_VALUE"""),"")</f>
        <v/>
      </c>
      <c r="M1657" s="213">
        <f>IFERROR(__xludf.DUMMYFUNCTION("""COMPUTED_VALUE"""),1.0)</f>
        <v>1</v>
      </c>
      <c r="N1657" s="213">
        <f>IFERROR(__xludf.DUMMYFUNCTION("""COMPUTED_VALUE"""),4.0)</f>
        <v>4</v>
      </c>
      <c r="O1657" s="213">
        <f>IFERROR(__xludf.DUMMYFUNCTION("""COMPUTED_VALUE"""),4.0)</f>
        <v>4</v>
      </c>
      <c r="P1657" s="213"/>
      <c r="Q1657" s="213"/>
      <c r="R1657" s="213"/>
      <c r="S1657" s="213" t="str">
        <f>IFERROR(__xludf.DUMMYFUNCTION("""COMPUTED_VALUE"""),"SI")</f>
        <v>SI</v>
      </c>
      <c r="T1657" s="213" t="str">
        <f>IFERROR(__xludf.DUMMYFUNCTION("""COMPUTED_VALUE"""),"SI")</f>
        <v>SI</v>
      </c>
      <c r="U1657" s="213" t="str">
        <f>IFERROR(__xludf.DUMMYFUNCTION("""COMPUTED_VALUE"""),"NO")</f>
        <v>NO</v>
      </c>
      <c r="V1657" s="213" t="str">
        <f>IFERROR(__xludf.DUMMYFUNCTION("""COMPUTED_VALUE"""),"SUSTENTO")</f>
        <v>SUSTENTO</v>
      </c>
      <c r="W1657" s="213" t="str">
        <f>IFERROR(__xludf.DUMMYFUNCTION("""COMPUTED_VALUE"""),"EQU TEC")</f>
        <v>EQU TEC</v>
      </c>
      <c r="X1657" s="213" t="str">
        <f>IFERROR(__xludf.DUMMYFUNCTION("""COMPUTED_VALUE"""),"UNI-T")</f>
        <v>UNI-T</v>
      </c>
      <c r="Y1657" s="213" t="str">
        <f>IFERROR(__xludf.DUMMYFUNCTION("""COMPUTED_VALUE"""),"UT230B-EU")</f>
        <v>UT230B-EU</v>
      </c>
      <c r="Z1657" s="215" t="str">
        <f>IFERROR(__xludf.DUMMYFUNCTION("""COMPUTED_VALUE"""),"https://irelectronics.pe/producto/tomacorriente-medidor-de-parametros-electricos-uni-t-ut-230b-us/")</f>
        <v>https://irelectronics.pe/producto/tomacorriente-medidor-de-parametros-electricos-uni-t-ut-230b-us/</v>
      </c>
      <c r="AA1657" s="213" t="str">
        <f>IFERROR(__xludf.DUMMYFUNCTION("""COMPUTED_VALUE"""),"ESP-252 MEDIDOR DE ENERGÍA ACTIVA MONOFÁSICO Y TRIFÁSICO - CET")</f>
        <v>ESP-252 MEDIDOR DE ENERGÍA ACTIVA MONOFÁSICO Y TRIFÁSICO - CET</v>
      </c>
      <c r="AB1657" s="215" t="str">
        <f>IFERROR(__xludf.DUMMYFUNCTION("""COMPUTED_VALUE"""),"https://doc.tipa.eu/datasheet/07750124-datasheet-en.pdf")</f>
        <v>https://doc.tipa.eu/datasheet/07750124-datasheet-en.pdf</v>
      </c>
      <c r="AC1657" s="213"/>
      <c r="AD1657" s="213"/>
      <c r="AE1657" s="213"/>
      <c r="AF1657" s="213"/>
      <c r="AG1657" s="213"/>
      <c r="AH1657" s="213"/>
      <c r="AI1657" s="213"/>
      <c r="AJ1657" s="213"/>
      <c r="AK1657" s="213"/>
      <c r="AL1657" s="213"/>
      <c r="AM1657" s="213"/>
      <c r="AN1657" s="213"/>
      <c r="AO1657" s="213"/>
      <c r="AP1657" s="213" t="str">
        <f>IFERROR(__xludf.DUMMYFUNCTION("""COMPUTED_VALUE"""),"NALDI")</f>
        <v>NALDI</v>
      </c>
      <c r="AQ1657" s="213"/>
      <c r="AR1657" s="213"/>
      <c r="AS1657" s="213" t="str">
        <f>IFERROR(__xludf.DUMMYFUNCTION("""COMPUTED_VALUE"""),"Pila de botón de 3 V")</f>
        <v>Pila de botón de 3 V</v>
      </c>
      <c r="AT1657" s="213"/>
      <c r="AU1657" s="213"/>
      <c r="AV1657" s="213"/>
      <c r="AW1657" s="213"/>
      <c r="AX1657" s="213"/>
      <c r="AY1657" s="213"/>
      <c r="AZ1657" s="213"/>
      <c r="BA1657" s="213"/>
      <c r="BB1657" s="213"/>
      <c r="BC1657" s="213"/>
      <c r="BD1657" s="213"/>
    </row>
    <row r="1658">
      <c r="A1658" s="213">
        <f>IFERROR(__xludf.DUMMYFUNCTION("""COMPUTED_VALUE"""),885.0)</f>
        <v>885</v>
      </c>
      <c r="B1658" s="213" t="str">
        <f>IFERROR(__xludf.DUMMYFUNCTION("""COMPUTED_VALUE"""),"6049 RICARDO PALMA")</f>
        <v>6049 RICARDO PALMA</v>
      </c>
      <c r="C1658" s="213" t="str">
        <f>IFERROR(__xludf.DUMMYFUNCTION("""COMPUTED_VALUE"""),"TALLER SFT DE ELECTRICIDAD")</f>
        <v>TALLER SFT DE ELECTRICIDAD</v>
      </c>
      <c r="D1658" s="213" t="str">
        <f>IFERROR(__xludf.DUMMYFUNCTION("""COMPUTED_VALUE"""),"EQUIPOS")</f>
        <v>EQUIPOS</v>
      </c>
      <c r="E1658" s="213" t="str">
        <f>IFERROR(__xludf.DUMMYFUNCTION("""COMPUTED_VALUE"""),"ESP-252")</f>
        <v>ESP-252</v>
      </c>
      <c r="F1658" s="213" t="str">
        <f>IFERROR(__xludf.DUMMYFUNCTION("""COMPUTED_VALUE"""),"ESP-252")</f>
        <v>ESP-252</v>
      </c>
      <c r="G1658" s="213"/>
      <c r="H1658" s="213" t="str">
        <f>IFERROR(__xludf.DUMMYFUNCTION("""COMPUTED_VALUE"""),"MEDIDOR DE ENERGÍA ACTIVA MONOFÁSICO Y TRIFÁSICO")</f>
        <v>MEDIDOR DE ENERGÍA ACTIVA MONOFÁSICO Y TRIFÁSICO</v>
      </c>
      <c r="I1658" s="213" t="str">
        <f>IFERROR(__xludf.DUMMYFUNCTION("""COMPUTED_VALUE"""),"· Funciones de Medición:
Para medir el consumo de energía de los aparatos eléctricos
· Datos Técnicos:
1. Valores que muestra: voltaje, corriente, consumo de energía, tiempo, costo, factor de potencia y detecta la emisión de CO2 del aparato conectado al m"&amp;"edidor.
2. Pantalla LCD dual transparente.
3. Medidor de potencia: hasta 3680 W.
4. Medidor de voltaje: 100 V hasta 260 V.
5. Medidor de corriente: Hasta 16 A.
6. Frecuencia de operación: 45Hz - 65Hz.
7. Factor de potencia: 0 – 1.
8. Consumo de energía: 0"&amp;" - 9999 KWh.
9. Tiempo acumulativo: 0 minutos - 9999 días.
10. Indicador de emisión de CO2: 0 - 9999 Kg.
11. Alimentación con batería")</f>
        <v>· Funciones de Medición:
Para medir el consumo de energía de los aparatos eléctricos
· Datos Técnicos:
1. Valores que muestra: voltaje, corriente, consumo de energía, tiempo, costo, factor de potencia y detecta la emisión de CO2 del aparato conectado al medidor.
2. Pantalla LCD dual transparente.
3. Medidor de potencia: hasta 3680 W.
4. Medidor de voltaje: 100 V hasta 260 V.
5. Medidor de corriente: Hasta 16 A.
6. Frecuencia de operación: 45Hz - 65Hz.
7. Factor de potencia: 0 – 1.
8. Consumo de energía: 0 - 9999 KWh.
9. Tiempo acumulativo: 0 minutos - 9999 días.
10. Indicador de emisión de CO2: 0 - 9999 Kg.
11. Alimentación con batería</v>
      </c>
      <c r="J1658" s="213">
        <f>IFERROR(__xludf.DUMMYFUNCTION("""COMPUTED_VALUE"""),3.0)</f>
        <v>3</v>
      </c>
      <c r="K1658" s="213" t="str">
        <f>IFERROR(__xludf.DUMMYFUNCTION("""COMPUTED_VALUE"""),"170 DÍAS CALENDARIO")</f>
        <v>170 DÍAS CALENDARIO</v>
      </c>
      <c r="L1658" s="213" t="str">
        <f>IFERROR(__xludf.DUMMYFUNCTION("""COMPUTED_VALUE"""),"")</f>
        <v/>
      </c>
      <c r="M1658" s="213">
        <f>IFERROR(__xludf.DUMMYFUNCTION("""COMPUTED_VALUE"""),1.0)</f>
        <v>1</v>
      </c>
      <c r="N1658" s="213">
        <f>IFERROR(__xludf.DUMMYFUNCTION("""COMPUTED_VALUE"""),4.0)</f>
        <v>4</v>
      </c>
      <c r="O1658" s="213">
        <f>IFERROR(__xludf.DUMMYFUNCTION("""COMPUTED_VALUE"""),4.0)</f>
        <v>4</v>
      </c>
      <c r="P1658" s="213"/>
      <c r="Q1658" s="213"/>
      <c r="R1658" s="213"/>
      <c r="S1658" s="213" t="str">
        <f>IFERROR(__xludf.DUMMYFUNCTION("""COMPUTED_VALUE"""),"SI")</f>
        <v>SI</v>
      </c>
      <c r="T1658" s="213" t="str">
        <f>IFERROR(__xludf.DUMMYFUNCTION("""COMPUTED_VALUE"""),"SI")</f>
        <v>SI</v>
      </c>
      <c r="U1658" s="213" t="str">
        <f>IFERROR(__xludf.DUMMYFUNCTION("""COMPUTED_VALUE"""),"NO")</f>
        <v>NO</v>
      </c>
      <c r="V1658" s="213" t="str">
        <f>IFERROR(__xludf.DUMMYFUNCTION("""COMPUTED_VALUE"""),"SUSTENTO")</f>
        <v>SUSTENTO</v>
      </c>
      <c r="W1658" s="213" t="str">
        <f>IFERROR(__xludf.DUMMYFUNCTION("""COMPUTED_VALUE"""),"EQU TEC")</f>
        <v>EQU TEC</v>
      </c>
      <c r="X1658" s="213" t="str">
        <f>IFERROR(__xludf.DUMMYFUNCTION("""COMPUTED_VALUE"""),"UNI-T")</f>
        <v>UNI-T</v>
      </c>
      <c r="Y1658" s="213" t="str">
        <f>IFERROR(__xludf.DUMMYFUNCTION("""COMPUTED_VALUE"""),"UT230B-EU")</f>
        <v>UT230B-EU</v>
      </c>
      <c r="Z1658" s="215" t="str">
        <f>IFERROR(__xludf.DUMMYFUNCTION("""COMPUTED_VALUE"""),"https://irelectronics.pe/producto/tomacorriente-medidor-de-parametros-electricos-uni-t-ut-230b-us/")</f>
        <v>https://irelectronics.pe/producto/tomacorriente-medidor-de-parametros-electricos-uni-t-ut-230b-us/</v>
      </c>
      <c r="AA1658" s="213" t="str">
        <f>IFERROR(__xludf.DUMMYFUNCTION("""COMPUTED_VALUE"""),"ESP-252 MEDIDOR DE ENERGÍA ACTIVA MONOFÁSICO Y TRIFÁSICO - CET")</f>
        <v>ESP-252 MEDIDOR DE ENERGÍA ACTIVA MONOFÁSICO Y TRIFÁSICO - CET</v>
      </c>
      <c r="AB1658" s="215" t="str">
        <f>IFERROR(__xludf.DUMMYFUNCTION("""COMPUTED_VALUE"""),"https://doc.tipa.eu/datasheet/07750124-datasheet-en.pdf")</f>
        <v>https://doc.tipa.eu/datasheet/07750124-datasheet-en.pdf</v>
      </c>
      <c r="AC1658" s="213"/>
      <c r="AD1658" s="213"/>
      <c r="AE1658" s="213"/>
      <c r="AF1658" s="213"/>
      <c r="AG1658" s="213"/>
      <c r="AH1658" s="213"/>
      <c r="AI1658" s="213"/>
      <c r="AJ1658" s="213"/>
      <c r="AK1658" s="213"/>
      <c r="AL1658" s="213"/>
      <c r="AM1658" s="213"/>
      <c r="AN1658" s="213"/>
      <c r="AO1658" s="213"/>
      <c r="AP1658" s="213" t="str">
        <f>IFERROR(__xludf.DUMMYFUNCTION("""COMPUTED_VALUE"""),"NALDI")</f>
        <v>NALDI</v>
      </c>
      <c r="AQ1658" s="213"/>
      <c r="AR1658" s="213"/>
      <c r="AS1658" s="213" t="str">
        <f>IFERROR(__xludf.DUMMYFUNCTION("""COMPUTED_VALUE"""),"Pila de botón de 3 V")</f>
        <v>Pila de botón de 3 V</v>
      </c>
      <c r="AT1658" s="213"/>
      <c r="AU1658" s="213"/>
      <c r="AV1658" s="213"/>
      <c r="AW1658" s="213"/>
      <c r="AX1658" s="213"/>
      <c r="AY1658" s="213"/>
      <c r="AZ1658" s="213"/>
      <c r="BA1658" s="213"/>
      <c r="BB1658" s="213"/>
      <c r="BC1658" s="213"/>
      <c r="BD1658" s="213"/>
    </row>
    <row r="1659">
      <c r="A1659" s="213">
        <f>IFERROR(__xludf.DUMMYFUNCTION("""COMPUTED_VALUE"""),1307.0)</f>
        <v>1307</v>
      </c>
      <c r="B1659" s="213" t="str">
        <f>IFERROR(__xludf.DUMMYFUNCTION("""COMPUTED_VALUE"""),"GUILLERMO E. BILLINGHURST ")</f>
        <v>GUILLERMO E. BILLINGHURST </v>
      </c>
      <c r="C1659" s="213" t="str">
        <f>IFERROR(__xludf.DUMMYFUNCTION("""COMPUTED_VALUE"""),"TALLER SFT DE ELECTRICIDAD")</f>
        <v>TALLER SFT DE ELECTRICIDAD</v>
      </c>
      <c r="D1659" s="213" t="str">
        <f>IFERROR(__xludf.DUMMYFUNCTION("""COMPUTED_VALUE"""),"EQUIPOS")</f>
        <v>EQUIPOS</v>
      </c>
      <c r="E1659" s="213" t="str">
        <f>IFERROR(__xludf.DUMMYFUNCTION("""COMPUTED_VALUE"""),"ESP-252")</f>
        <v>ESP-252</v>
      </c>
      <c r="F1659" s="213" t="str">
        <f>IFERROR(__xludf.DUMMYFUNCTION("""COMPUTED_VALUE"""),"ESP-252")</f>
        <v>ESP-252</v>
      </c>
      <c r="G1659" s="213"/>
      <c r="H1659" s="213" t="str">
        <f>IFERROR(__xludf.DUMMYFUNCTION("""COMPUTED_VALUE"""),"MEDIDOR DE ENERGÍA ACTIVA MONOFÁSICO Y TRIFÁSICO")</f>
        <v>MEDIDOR DE ENERGÍA ACTIVA MONOFÁSICO Y TRIFÁSICO</v>
      </c>
      <c r="I1659" s="213" t="str">
        <f>IFERROR(__xludf.DUMMYFUNCTION("""COMPUTED_VALUE"""),"· Funciones de Medición:
Para medir el consumo de energía de los aparatos eléctricos
· Datos Técnicos:
1. Valores que muestra: voltaje, corriente, consumo de energía, tiempo, costo, factor de potencia y detecta la emisión de CO2 del aparato conectado al m"&amp;"edidor.
2. Pantalla LCD dual transparente.
3. Medidor de potencia: hasta 3680 W.
4. Medidor de voltaje: 100 V hasta 260 V.
5. Medidor de corriente: Hasta 16 A.
6. Frecuencia de operación: 45Hz - 65Hz.
7. Factor de potencia: 0 – 1.
8. Consumo de energía: 0"&amp;" - 9999 KWh.
9. Tiempo acumulativo: 0 minutos - 9999 días.
10. Indicador de emisión de CO2: 0 - 9999 Kg.
11. Alimentación con batería")</f>
        <v>· Funciones de Medición:
Para medir el consumo de energía de los aparatos eléctricos
· Datos Técnicos:
1. Valores que muestra: voltaje, corriente, consumo de energía, tiempo, costo, factor de potencia y detecta la emisión de CO2 del aparato conectado al medidor.
2. Pantalla LCD dual transparente.
3. Medidor de potencia: hasta 3680 W.
4. Medidor de voltaje: 100 V hasta 260 V.
5. Medidor de corriente: Hasta 16 A.
6. Frecuencia de operación: 45Hz - 65Hz.
7. Factor de potencia: 0 – 1.
8. Consumo de energía: 0 - 9999 KWh.
9. Tiempo acumulativo: 0 minutos - 9999 días.
10. Indicador de emisión de CO2: 0 - 9999 Kg.
11. Alimentación con batería</v>
      </c>
      <c r="J1659" s="213">
        <f>IFERROR(__xludf.DUMMYFUNCTION("""COMPUTED_VALUE"""),3.0)</f>
        <v>3</v>
      </c>
      <c r="K1659" s="213" t="str">
        <f>IFERROR(__xludf.DUMMYFUNCTION("""COMPUTED_VALUE"""),"170 DÍAS CALENDARIO")</f>
        <v>170 DÍAS CALENDARIO</v>
      </c>
      <c r="L1659" s="213" t="str">
        <f>IFERROR(__xludf.DUMMYFUNCTION("""COMPUTED_VALUE"""),"")</f>
        <v/>
      </c>
      <c r="M1659" s="213">
        <f>IFERROR(__xludf.DUMMYFUNCTION("""COMPUTED_VALUE"""),1.0)</f>
        <v>1</v>
      </c>
      <c r="N1659" s="213">
        <f>IFERROR(__xludf.DUMMYFUNCTION("""COMPUTED_VALUE"""),4.0)</f>
        <v>4</v>
      </c>
      <c r="O1659" s="213">
        <f>IFERROR(__xludf.DUMMYFUNCTION("""COMPUTED_VALUE"""),4.0)</f>
        <v>4</v>
      </c>
      <c r="P1659" s="213"/>
      <c r="Q1659" s="213"/>
      <c r="R1659" s="213"/>
      <c r="S1659" s="213" t="str">
        <f>IFERROR(__xludf.DUMMYFUNCTION("""COMPUTED_VALUE"""),"SI")</f>
        <v>SI</v>
      </c>
      <c r="T1659" s="213" t="str">
        <f>IFERROR(__xludf.DUMMYFUNCTION("""COMPUTED_VALUE"""),"SI")</f>
        <v>SI</v>
      </c>
      <c r="U1659" s="213" t="str">
        <f>IFERROR(__xludf.DUMMYFUNCTION("""COMPUTED_VALUE"""),"NO")</f>
        <v>NO</v>
      </c>
      <c r="V1659" s="213" t="str">
        <f>IFERROR(__xludf.DUMMYFUNCTION("""COMPUTED_VALUE"""),"SUSTENTO")</f>
        <v>SUSTENTO</v>
      </c>
      <c r="W1659" s="213" t="str">
        <f>IFERROR(__xludf.DUMMYFUNCTION("""COMPUTED_VALUE"""),"EQU TEC")</f>
        <v>EQU TEC</v>
      </c>
      <c r="X1659" s="213" t="str">
        <f>IFERROR(__xludf.DUMMYFUNCTION("""COMPUTED_VALUE"""),"UNI-T")</f>
        <v>UNI-T</v>
      </c>
      <c r="Y1659" s="213" t="str">
        <f>IFERROR(__xludf.DUMMYFUNCTION("""COMPUTED_VALUE"""),"UT230B-EU")</f>
        <v>UT230B-EU</v>
      </c>
      <c r="Z1659" s="215" t="str">
        <f>IFERROR(__xludf.DUMMYFUNCTION("""COMPUTED_VALUE"""),"https://irelectronics.pe/producto/tomacorriente-medidor-de-parametros-electricos-uni-t-ut-230b-us/")</f>
        <v>https://irelectronics.pe/producto/tomacorriente-medidor-de-parametros-electricos-uni-t-ut-230b-us/</v>
      </c>
      <c r="AA1659" s="213" t="str">
        <f>IFERROR(__xludf.DUMMYFUNCTION("""COMPUTED_VALUE"""),"ESP-252 MEDIDOR DE ENERGÍA ACTIVA MONOFÁSICO Y TRIFÁSICO - CET")</f>
        <v>ESP-252 MEDIDOR DE ENERGÍA ACTIVA MONOFÁSICO Y TRIFÁSICO - CET</v>
      </c>
      <c r="AB1659" s="215" t="str">
        <f>IFERROR(__xludf.DUMMYFUNCTION("""COMPUTED_VALUE"""),"https://doc.tipa.eu/datasheet/07750124-datasheet-en.pdf")</f>
        <v>https://doc.tipa.eu/datasheet/07750124-datasheet-en.pdf</v>
      </c>
      <c r="AC1659" s="213"/>
      <c r="AD1659" s="213"/>
      <c r="AE1659" s="213"/>
      <c r="AF1659" s="213"/>
      <c r="AG1659" s="213"/>
      <c r="AH1659" s="213"/>
      <c r="AI1659" s="213"/>
      <c r="AJ1659" s="213"/>
      <c r="AK1659" s="213"/>
      <c r="AL1659" s="213"/>
      <c r="AM1659" s="213"/>
      <c r="AN1659" s="213"/>
      <c r="AO1659" s="213"/>
      <c r="AP1659" s="213" t="str">
        <f>IFERROR(__xludf.DUMMYFUNCTION("""COMPUTED_VALUE"""),"NALDI")</f>
        <v>NALDI</v>
      </c>
      <c r="AQ1659" s="213"/>
      <c r="AR1659" s="213"/>
      <c r="AS1659" s="213" t="str">
        <f>IFERROR(__xludf.DUMMYFUNCTION("""COMPUTED_VALUE"""),"Pila de botón de 3 V")</f>
        <v>Pila de botón de 3 V</v>
      </c>
      <c r="AT1659" s="213"/>
      <c r="AU1659" s="213"/>
      <c r="AV1659" s="213"/>
      <c r="AW1659" s="213"/>
      <c r="AX1659" s="213"/>
      <c r="AY1659" s="213"/>
      <c r="AZ1659" s="213"/>
      <c r="BA1659" s="213"/>
      <c r="BB1659" s="213"/>
      <c r="BC1659" s="213"/>
      <c r="BD1659" s="213"/>
    </row>
    <row r="1660">
      <c r="A1660" s="213">
        <f>IFERROR(__xludf.DUMMYFUNCTION("""COMPUTED_VALUE"""),249.0)</f>
        <v>249</v>
      </c>
      <c r="B1660" s="213" t="str">
        <f>IFERROR(__xludf.DUMMYFUNCTION("""COMPUTED_VALUE"""),"2026 SIMON BOLIVAR")</f>
        <v>2026 SIMON BOLIVAR</v>
      </c>
      <c r="C1660" s="213" t="str">
        <f>IFERROR(__xludf.DUMMYFUNCTION("""COMPUTED_VALUE"""),"TALLER SFT DE COMPUTACIÓN E INFORMÁTICA")</f>
        <v>TALLER SFT DE COMPUTACIÓN E INFORMÁTICA</v>
      </c>
      <c r="D1660" s="213" t="str">
        <f>IFERROR(__xludf.DUMMYFUNCTION("""COMPUTED_VALUE"""),"HERRAMIENTAS")</f>
        <v>HERRAMIENTAS</v>
      </c>
      <c r="E1660" s="213" t="str">
        <f>IFERROR(__xludf.DUMMYFUNCTION("""COMPUTED_VALUE"""),"MAT-161")</f>
        <v>MAT-161</v>
      </c>
      <c r="F1660" s="213" t="str">
        <f>IFERROR(__xludf.DUMMYFUNCTION("""COMPUTED_VALUE"""),"MAT-161")</f>
        <v>MAT-161</v>
      </c>
      <c r="G1660" s="213"/>
      <c r="H1660" s="213" t="str">
        <f>IFERROR(__xludf.DUMMYFUNCTION("""COMPUTED_VALUE"""),"EXTINTOR CO2")</f>
        <v>EXTINTOR CO2</v>
      </c>
      <c r="I1660"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colga"&amp;"dor de 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660" s="213">
        <f>IFERROR(__xludf.DUMMYFUNCTION("""COMPUTED_VALUE"""),3.0)</f>
        <v>3</v>
      </c>
      <c r="K1660" s="213" t="str">
        <f>IFERROR(__xludf.DUMMYFUNCTION("""COMPUTED_VALUE"""),"90 DÍAS CALENDARIO")</f>
        <v>90 DÍAS CALENDARIO</v>
      </c>
      <c r="L1660"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660" s="213">
        <f>IFERROR(__xludf.DUMMYFUNCTION("""COMPUTED_VALUE"""),1.0)</f>
        <v>1</v>
      </c>
      <c r="N1660" s="213">
        <f>IFERROR(__xludf.DUMMYFUNCTION("""COMPUTED_VALUE"""),1.0)</f>
        <v>1</v>
      </c>
      <c r="O1660" s="213">
        <f>IFERROR(__xludf.DUMMYFUNCTION("""COMPUTED_VALUE"""),1.0)</f>
        <v>1</v>
      </c>
      <c r="P1660" s="213"/>
      <c r="Q1660" s="213"/>
      <c r="R1660" s="213"/>
      <c r="S1660" s="213"/>
      <c r="T1660" s="213" t="str">
        <f>IFERROR(__xludf.DUMMYFUNCTION("""COMPUTED_VALUE"""),"CONSULTA FINAL")</f>
        <v>CONSULTA FINAL</v>
      </c>
      <c r="U1660" s="213" t="str">
        <f>IFERROR(__xludf.DUMMYFUNCTION("""COMPUTED_VALUE"""),"NO")</f>
        <v>NO</v>
      </c>
      <c r="V1660" s="213" t="str">
        <f>IFERROR(__xludf.DUMMYFUNCTION("""COMPUTED_VALUE"""),"NO")</f>
        <v>NO</v>
      </c>
      <c r="W1660" s="213" t="str">
        <f>IFERROR(__xludf.DUMMYFUNCTION("""COMPUTED_VALUE"""),"-")</f>
        <v>-</v>
      </c>
      <c r="X1660" s="213" t="str">
        <f>IFERROR(__xludf.DUMMYFUNCTION("""COMPUTED_VALUE"""),"FIREMAN'S")</f>
        <v>FIREMAN'S</v>
      </c>
      <c r="Y1660" s="213" t="str">
        <f>IFERROR(__xludf.DUMMYFUNCTION("""COMPUTED_VALUE"""),"Extintores Portátiles Manuales de Dióxido de Carbono ")</f>
        <v>Extintores Portátiles Manuales de Dióxido de Carbono </v>
      </c>
      <c r="Z1660" s="215" t="str">
        <f>IFERROR(__xludf.DUMMYFUNCTION("""COMPUTED_VALUE"""),"https://firemansperu.com/productos/extintores-firemans/dioxido-de-carbono/")</f>
        <v>https://firemansperu.com/productos/extintores-firemans/dioxido-de-carbono/</v>
      </c>
      <c r="AA1660" s="213" t="str">
        <f>IFERROR(__xludf.DUMMYFUNCTION("""COMPUTED_VALUE"""),"MAT-161 EXTINTOR CO2 - CET")</f>
        <v>MAT-161 EXTINTOR CO2 - CET</v>
      </c>
      <c r="AB1660" s="213"/>
      <c r="AC1660" s="213"/>
      <c r="AD1660" s="213"/>
      <c r="AE1660" s="213"/>
      <c r="AF1660" s="213"/>
      <c r="AG1660" s="213"/>
      <c r="AH1660" s="213"/>
      <c r="AI1660" s="213"/>
      <c r="AJ1660" s="213"/>
      <c r="AK1660" s="213"/>
      <c r="AL1660" s="213"/>
      <c r="AM1660" s="213"/>
      <c r="AN1660" s="213"/>
      <c r="AO1660" s="213"/>
      <c r="AP1660" s="213" t="str">
        <f>IFERROR(__xludf.DUMMYFUNCTION("""COMPUTED_VALUE"""),"BRUNO")</f>
        <v>BRUNO</v>
      </c>
      <c r="AQ1660" s="213"/>
      <c r="AR1660" s="213"/>
      <c r="AS1660" s="213"/>
      <c r="AT1660" s="213"/>
      <c r="AU1660" s="213"/>
      <c r="AV1660" s="213"/>
      <c r="AW1660" s="213"/>
      <c r="AX1660" s="213"/>
      <c r="AY1660" s="213"/>
      <c r="AZ1660" s="213"/>
      <c r="BA1660" s="213"/>
      <c r="BB1660" s="213"/>
      <c r="BC1660" s="213"/>
      <c r="BD1660" s="213"/>
    </row>
    <row r="1661">
      <c r="A1661" s="213">
        <f>IFERROR(__xludf.DUMMYFUNCTION("""COMPUTED_VALUE"""),342.0)</f>
        <v>342</v>
      </c>
      <c r="B1661" s="213" t="str">
        <f>IFERROR(__xludf.DUMMYFUNCTION("""COMPUTED_VALUE"""),"2026 SIMON BOLIVAR")</f>
        <v>2026 SIMON BOLIVAR</v>
      </c>
      <c r="C1661" s="213" t="str">
        <f>IFERROR(__xludf.DUMMYFUNCTION("""COMPUTED_VALUE"""),"TALLER SFT DE ELECTRICIDAD")</f>
        <v>TALLER SFT DE ELECTRICIDAD</v>
      </c>
      <c r="D1661" s="213" t="str">
        <f>IFERROR(__xludf.DUMMYFUNCTION("""COMPUTED_VALUE"""),"HERRAMIENTAS")</f>
        <v>HERRAMIENTAS</v>
      </c>
      <c r="E1661" s="213" t="str">
        <f>IFERROR(__xludf.DUMMYFUNCTION("""COMPUTED_VALUE"""),"MAT-161")</f>
        <v>MAT-161</v>
      </c>
      <c r="F1661" s="213" t="str">
        <f>IFERROR(__xludf.DUMMYFUNCTION("""COMPUTED_VALUE"""),"MAT-161")</f>
        <v>MAT-161</v>
      </c>
      <c r="G1661" s="213"/>
      <c r="H1661" s="213" t="str">
        <f>IFERROR(__xludf.DUMMYFUNCTION("""COMPUTED_VALUE"""),"EXTINTOR CO2")</f>
        <v>EXTINTOR CO2</v>
      </c>
      <c r="I1661" s="213"/>
      <c r="J1661" s="213">
        <f>IFERROR(__xludf.DUMMYFUNCTION("""COMPUTED_VALUE"""),3.0)</f>
        <v>3</v>
      </c>
      <c r="K1661" s="213" t="str">
        <f>IFERROR(__xludf.DUMMYFUNCTION("""COMPUTED_VALUE"""),"90 DÍAS CALENDARIO")</f>
        <v>90 DÍAS CALENDARIO</v>
      </c>
      <c r="L1661"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661" s="213">
        <f>IFERROR(__xludf.DUMMYFUNCTION("""COMPUTED_VALUE"""),1.0)</f>
        <v>1</v>
      </c>
      <c r="N1661" s="213">
        <f>IFERROR(__xludf.DUMMYFUNCTION("""COMPUTED_VALUE"""),1.0)</f>
        <v>1</v>
      </c>
      <c r="O1661" s="213">
        <f>IFERROR(__xludf.DUMMYFUNCTION("""COMPUTED_VALUE"""),1.0)</f>
        <v>1</v>
      </c>
      <c r="P1661" s="213"/>
      <c r="Q1661" s="213"/>
      <c r="R1661" s="213"/>
      <c r="S1661" s="213"/>
      <c r="T1661" s="213" t="str">
        <f>IFERROR(__xludf.DUMMYFUNCTION("""COMPUTED_VALUE"""),"CONSULTA FINAL")</f>
        <v>CONSULTA FINAL</v>
      </c>
      <c r="U1661" s="213" t="str">
        <f>IFERROR(__xludf.DUMMYFUNCTION("""COMPUTED_VALUE"""),"NO")</f>
        <v>NO</v>
      </c>
      <c r="V1661" s="213" t="str">
        <f>IFERROR(__xludf.DUMMYFUNCTION("""COMPUTED_VALUE"""),"NO")</f>
        <v>NO</v>
      </c>
      <c r="W1661" s="213" t="str">
        <f>IFERROR(__xludf.DUMMYFUNCTION("""COMPUTED_VALUE"""),"-")</f>
        <v>-</v>
      </c>
      <c r="X1661" s="213" t="str">
        <f>IFERROR(__xludf.DUMMYFUNCTION("""COMPUTED_VALUE"""),"FIREMAN'S")</f>
        <v>FIREMAN'S</v>
      </c>
      <c r="Y1661" s="213" t="str">
        <f>IFERROR(__xludf.DUMMYFUNCTION("""COMPUTED_VALUE"""),"Extintores Portátiles Manuales de Dióxido de Carbono ")</f>
        <v>Extintores Portátiles Manuales de Dióxido de Carbono </v>
      </c>
      <c r="Z1661" s="215" t="str">
        <f>IFERROR(__xludf.DUMMYFUNCTION("""COMPUTED_VALUE"""),"https://firemansperu.com/productos/extintores-firemans/dioxido-de-carbono/")</f>
        <v>https://firemansperu.com/productos/extintores-firemans/dioxido-de-carbono/</v>
      </c>
      <c r="AA1661" s="213" t="str">
        <f>IFERROR(__xludf.DUMMYFUNCTION("""COMPUTED_VALUE"""),"MAT-161 EXTINTOR CO2 - CET")</f>
        <v>MAT-161 EXTINTOR CO2 - CET</v>
      </c>
      <c r="AB1661" s="213"/>
      <c r="AC1661" s="213"/>
      <c r="AD1661" s="213"/>
      <c r="AE1661" s="213"/>
      <c r="AF1661" s="213"/>
      <c r="AG1661" s="213"/>
      <c r="AH1661" s="213"/>
      <c r="AI1661" s="213"/>
      <c r="AJ1661" s="213"/>
      <c r="AK1661" s="213"/>
      <c r="AL1661" s="213"/>
      <c r="AM1661" s="213"/>
      <c r="AN1661" s="213"/>
      <c r="AO1661" s="213"/>
      <c r="AP1661" s="213" t="str">
        <f>IFERROR(__xludf.DUMMYFUNCTION("""COMPUTED_VALUE"""),"BRUNO")</f>
        <v>BRUNO</v>
      </c>
      <c r="AQ1661" s="213" t="str">
        <f>IFERROR(__xludf.DUMMYFUNCTION("""COMPUTED_VALUE"""),"añadir el Cuenta con precinto de seguridad. (consultar primero)")</f>
        <v>añadir el Cuenta con precinto de seguridad. (consultar primero)</v>
      </c>
      <c r="AR1661" s="213"/>
      <c r="AS1661" s="213"/>
      <c r="AT1661" s="213"/>
      <c r="AU1661" s="213"/>
      <c r="AV1661" s="213"/>
      <c r="AW1661" s="213"/>
      <c r="AX1661" s="213"/>
      <c r="AY1661" s="213"/>
      <c r="AZ1661" s="213"/>
      <c r="BA1661" s="213"/>
      <c r="BB1661" s="213"/>
      <c r="BC1661" s="213"/>
      <c r="BD1661" s="213"/>
    </row>
    <row r="1662">
      <c r="A1662" s="213">
        <f>IFERROR(__xludf.DUMMYFUNCTION("""COMPUTED_VALUE"""),400.0)</f>
        <v>400</v>
      </c>
      <c r="B1662" s="213" t="str">
        <f>IFERROR(__xludf.DUMMYFUNCTION("""COMPUTED_VALUE"""),"2026 SIMON BOLIVAR")</f>
        <v>2026 SIMON BOLIVAR</v>
      </c>
      <c r="C1662" s="213" t="str">
        <f>IFERROR(__xludf.DUMMYFUNCTION("""COMPUTED_VALUE"""),"TALLER SFT DE ELECTRICIDAD")</f>
        <v>TALLER SFT DE ELECTRICIDAD</v>
      </c>
      <c r="D1662" s="213" t="str">
        <f>IFERROR(__xludf.DUMMYFUNCTION("""COMPUTED_VALUE"""),"EQUIPOS")</f>
        <v>EQUIPOS</v>
      </c>
      <c r="E1662" s="213" t="str">
        <f>IFERROR(__xludf.DUMMYFUNCTION("""COMPUTED_VALUE"""),"ESP-253")</f>
        <v>ESP-253</v>
      </c>
      <c r="F1662" s="213" t="str">
        <f>IFERROR(__xludf.DUMMYFUNCTION("""COMPUTED_VALUE"""),"ESP-253")</f>
        <v>ESP-253</v>
      </c>
      <c r="G1662" s="213"/>
      <c r="H1662" s="213" t="str">
        <f>IFERROR(__xludf.DUMMYFUNCTION("""COMPUTED_VALUE"""),"MEGÓMETRO DIGITAL")</f>
        <v>MEGÓMETRO DIGITAL</v>
      </c>
      <c r="I1662" s="213" t="str">
        <f>IFERROR(__xludf.DUMMYFUNCTION("""COMPUTED_VALUE"""),"· Datos técnicos:
- Pantalla LCD de 2000 unidades, indicación de sobrecarga, luz de fondo.
- Voltaje de prueba: 250 V / 500 V / 1000 V.
- Baja resistencia (Ω): 0.01Ω ~ 200Ω (aproximadamente 5.0V /&gt; 200mA).
- Voltaje de CA (V): 30 V - 600 V.
- Absorción di"&amp;"eléctrica (DAR): 60s / 15s y 60s / 30s.
- Índice de polarización (PI)
· Accesorios:
Alimentación: batería
- Incluye accesorios: cable de prueba, sonda, pinza de cocodrilo, batería y estuche de plástico, manual de usuario.")</f>
        <v>· Datos técnicos:
- Pantalla LCD de 2000 unidades, indicación de sobrecarga, luz de fondo.
- Voltaje de prueba: 250 V / 500 V / 1000 V.
- Baja resistencia (Ω): 0.01Ω ~ 200Ω (aproximadamente 5.0V /&gt; 200mA).
- Voltaje de CA (V): 30 V - 600 V.
- Absorción dieléctrica (DAR): 60s / 15s y 60s / 30s.
- Índice de polarización (PI)
· Accesorios:
Alimentación: batería
- Incluye accesorios: cable de prueba, sonda, pinza de cocodrilo, batería y estuche de plástico, manual de usuario.</v>
      </c>
      <c r="J1662" s="213">
        <f>IFERROR(__xludf.DUMMYFUNCTION("""COMPUTED_VALUE"""),3.0)</f>
        <v>3</v>
      </c>
      <c r="K1662" s="213" t="str">
        <f>IFERROR(__xludf.DUMMYFUNCTION("""COMPUTED_VALUE"""),"170 DÍAS CALENDARIO")</f>
        <v>170 DÍAS CALENDARIO</v>
      </c>
      <c r="L1662" s="213" t="str">
        <f>IFERROR(__xludf.DUMMYFUNCTION("""COMPUTED_VALUE"""),"")</f>
        <v/>
      </c>
      <c r="M1662" s="213">
        <f>IFERROR(__xludf.DUMMYFUNCTION("""COMPUTED_VALUE"""),1.0)</f>
        <v>1</v>
      </c>
      <c r="N1662" s="213">
        <f>IFERROR(__xludf.DUMMYFUNCTION("""COMPUTED_VALUE"""),4.0)</f>
        <v>4</v>
      </c>
      <c r="O1662" s="213">
        <f>IFERROR(__xludf.DUMMYFUNCTION("""COMPUTED_VALUE"""),4.0)</f>
        <v>4</v>
      </c>
      <c r="P1662" s="213"/>
      <c r="Q1662" s="213"/>
      <c r="R1662" s="213"/>
      <c r="S1662" s="213" t="str">
        <f>IFERROR(__xludf.DUMMYFUNCTION("""COMPUTED_VALUE"""),"SI")</f>
        <v>SI</v>
      </c>
      <c r="T1662" s="213" t="str">
        <f>IFERROR(__xludf.DUMMYFUNCTION("""COMPUTED_VALUE"""),"SI")</f>
        <v>SI</v>
      </c>
      <c r="U1662" s="213" t="str">
        <f>IFERROR(__xludf.DUMMYFUNCTION("""COMPUTED_VALUE"""),"NO")</f>
        <v>NO</v>
      </c>
      <c r="V1662" s="213" t="str">
        <f>IFERROR(__xludf.DUMMYFUNCTION("""COMPUTED_VALUE"""),"SUSTENTO")</f>
        <v>SUSTENTO</v>
      </c>
      <c r="W1662" s="213" t="str">
        <f>IFERROR(__xludf.DUMMYFUNCTION("""COMPUTED_VALUE"""),"EQU TEC")</f>
        <v>EQU TEC</v>
      </c>
      <c r="X1662" s="213" t="str">
        <f>IFERROR(__xludf.DUMMYFUNCTION("""COMPUTED_VALUE"""),"UNI-T")</f>
        <v>UNI-T</v>
      </c>
      <c r="Y1662" s="213" t="str">
        <f>IFERROR(__xludf.DUMMYFUNCTION("""COMPUTED_VALUE"""),"UT501B")</f>
        <v>UT501B</v>
      </c>
      <c r="Z1662" s="215" t="str">
        <f>IFERROR(__xludf.DUMMYFUNCTION("""COMPUTED_VALUE"""),"https://irelectronics.pe/producto/megometro-digital-1000v-uni-t-ut-501b/
https://meters.uni-trend.com/download/ut501a-ut501b-ut502a-flyer/#")</f>
        <v>https://irelectronics.pe/producto/megometro-digital-1000v-uni-t-ut-501b/
https://meters.uni-trend.com/download/ut501a-ut501b-ut502a-flyer/#</v>
      </c>
      <c r="AA1662" s="213" t="str">
        <f>IFERROR(__xludf.DUMMYFUNCTION("""COMPUTED_VALUE"""),"ESP-253 - MEGÓMETRO DIGITAL - CET")</f>
        <v>ESP-253 - MEGÓMETRO DIGITAL - CET</v>
      </c>
      <c r="AB1662" s="215" t="str">
        <f>IFERROR(__xludf.DUMMYFUNCTION("""COMPUTED_VALUE"""),"https://drive.google.com/file/d/1PV9teolEjAKQJPuOE5iYB6GdZAKs3TEf/view?usp=sharing")</f>
        <v>https://drive.google.com/file/d/1PV9teolEjAKQJPuOE5iYB6GdZAKs3TEf/view?usp=sharing</v>
      </c>
      <c r="AC1662" s="213"/>
      <c r="AD1662" s="213"/>
      <c r="AE1662" s="213"/>
      <c r="AF1662" s="213"/>
      <c r="AG1662" s="213"/>
      <c r="AH1662" s="213"/>
      <c r="AI1662" s="213"/>
      <c r="AJ1662" s="213"/>
      <c r="AK1662" s="213"/>
      <c r="AL1662" s="213"/>
      <c r="AM1662" s="213"/>
      <c r="AN1662" s="213"/>
      <c r="AO1662" s="213"/>
      <c r="AP1662" s="213" t="str">
        <f>IFERROR(__xludf.DUMMYFUNCTION("""COMPUTED_VALUE"""),"NALDI")</f>
        <v>NALDI</v>
      </c>
      <c r="AQ1662" s="213"/>
      <c r="AR1662" s="213"/>
      <c r="AS1662" s="213" t="str">
        <f>IFERROR(__xludf.DUMMYFUNCTION("""COMPUTED_VALUE"""),"Considerar pilas 1.5V baterías AA (LR6) x 6 ")</f>
        <v>Considerar pilas 1.5V baterías AA (LR6) x 6 </v>
      </c>
      <c r="AT1662" s="213"/>
      <c r="AU1662" s="213"/>
      <c r="AV1662" s="213"/>
      <c r="AW1662" s="213"/>
      <c r="AX1662" s="213"/>
      <c r="AY1662" s="213"/>
      <c r="AZ1662" s="213"/>
      <c r="BA1662" s="213"/>
      <c r="BB1662" s="213"/>
      <c r="BC1662" s="213"/>
      <c r="BD1662" s="213"/>
    </row>
    <row r="1663">
      <c r="A1663" s="213">
        <f>IFERROR(__xludf.DUMMYFUNCTION("""COMPUTED_VALUE"""),886.0)</f>
        <v>886</v>
      </c>
      <c r="B1663" s="213" t="str">
        <f>IFERROR(__xludf.DUMMYFUNCTION("""COMPUTED_VALUE"""),"6049 RICARDO PALMA")</f>
        <v>6049 RICARDO PALMA</v>
      </c>
      <c r="C1663" s="213" t="str">
        <f>IFERROR(__xludf.DUMMYFUNCTION("""COMPUTED_VALUE"""),"TALLER SFT DE ELECTRICIDAD")</f>
        <v>TALLER SFT DE ELECTRICIDAD</v>
      </c>
      <c r="D1663" s="213" t="str">
        <f>IFERROR(__xludf.DUMMYFUNCTION("""COMPUTED_VALUE"""),"EQUIPOS")</f>
        <v>EQUIPOS</v>
      </c>
      <c r="E1663" s="213" t="str">
        <f>IFERROR(__xludf.DUMMYFUNCTION("""COMPUTED_VALUE"""),"ESP-253")</f>
        <v>ESP-253</v>
      </c>
      <c r="F1663" s="213" t="str">
        <f>IFERROR(__xludf.DUMMYFUNCTION("""COMPUTED_VALUE"""),"ESP-253")</f>
        <v>ESP-253</v>
      </c>
      <c r="G1663" s="213"/>
      <c r="H1663" s="213" t="str">
        <f>IFERROR(__xludf.DUMMYFUNCTION("""COMPUTED_VALUE"""),"MEGÓMETRO DIGITAL")</f>
        <v>MEGÓMETRO DIGITAL</v>
      </c>
      <c r="I1663" s="213" t="str">
        <f>IFERROR(__xludf.DUMMYFUNCTION("""COMPUTED_VALUE"""),"· Datos técnicos:
- Pantalla LCD de 2000 unidades, indicación de sobrecarga, luz de fondo.
- Voltaje de prueba: 250 V / 500 V / 1000 V.
- Baja resistencia (Ω): 0.01Ω ~ 200Ω (aproximadamente 5.0V /&gt; 200mA).
- Voltaje de CA (V): 30 V - 600 V.
- Absorción di"&amp;"eléctrica (DAR): 60s / 15s y 60s / 30s.
- Índice de polarización (PI)
· Accesorios:
Alimentación: batería
- Incluye accesorios: cable de prueba, sonda, pinza de cocodrilo, batería y estuche de plástico, manual de usuario.")</f>
        <v>· Datos técnicos:
- Pantalla LCD de 2000 unidades, indicación de sobrecarga, luz de fondo.
- Voltaje de prueba: 250 V / 500 V / 1000 V.
- Baja resistencia (Ω): 0.01Ω ~ 200Ω (aproximadamente 5.0V /&gt; 200mA).
- Voltaje de CA (V): 30 V - 600 V.
- Absorción dieléctrica (DAR): 60s / 15s y 60s / 30s.
- Índice de polarización (PI)
· Accesorios:
Alimentación: batería
- Incluye accesorios: cable de prueba, sonda, pinza de cocodrilo, batería y estuche de plástico, manual de usuario.</v>
      </c>
      <c r="J1663" s="213">
        <f>IFERROR(__xludf.DUMMYFUNCTION("""COMPUTED_VALUE"""),3.0)</f>
        <v>3</v>
      </c>
      <c r="K1663" s="213" t="str">
        <f>IFERROR(__xludf.DUMMYFUNCTION("""COMPUTED_VALUE"""),"170 DÍAS CALENDARIO")</f>
        <v>170 DÍAS CALENDARIO</v>
      </c>
      <c r="L1663" s="213" t="str">
        <f>IFERROR(__xludf.DUMMYFUNCTION("""COMPUTED_VALUE"""),"")</f>
        <v/>
      </c>
      <c r="M1663" s="213">
        <f>IFERROR(__xludf.DUMMYFUNCTION("""COMPUTED_VALUE"""),1.0)</f>
        <v>1</v>
      </c>
      <c r="N1663" s="213">
        <f>IFERROR(__xludf.DUMMYFUNCTION("""COMPUTED_VALUE"""),4.0)</f>
        <v>4</v>
      </c>
      <c r="O1663" s="213">
        <f>IFERROR(__xludf.DUMMYFUNCTION("""COMPUTED_VALUE"""),4.0)</f>
        <v>4</v>
      </c>
      <c r="P1663" s="213"/>
      <c r="Q1663" s="213"/>
      <c r="R1663" s="213"/>
      <c r="S1663" s="213" t="str">
        <f>IFERROR(__xludf.DUMMYFUNCTION("""COMPUTED_VALUE"""),"SI")</f>
        <v>SI</v>
      </c>
      <c r="T1663" s="213" t="str">
        <f>IFERROR(__xludf.DUMMYFUNCTION("""COMPUTED_VALUE"""),"SI")</f>
        <v>SI</v>
      </c>
      <c r="U1663" s="213" t="str">
        <f>IFERROR(__xludf.DUMMYFUNCTION("""COMPUTED_VALUE"""),"NO")</f>
        <v>NO</v>
      </c>
      <c r="V1663" s="213" t="str">
        <f>IFERROR(__xludf.DUMMYFUNCTION("""COMPUTED_VALUE"""),"SUSTENTO")</f>
        <v>SUSTENTO</v>
      </c>
      <c r="W1663" s="213" t="str">
        <f>IFERROR(__xludf.DUMMYFUNCTION("""COMPUTED_VALUE"""),"EQU TEC")</f>
        <v>EQU TEC</v>
      </c>
      <c r="X1663" s="213" t="str">
        <f>IFERROR(__xludf.DUMMYFUNCTION("""COMPUTED_VALUE"""),"UNI-T")</f>
        <v>UNI-T</v>
      </c>
      <c r="Y1663" s="213" t="str">
        <f>IFERROR(__xludf.DUMMYFUNCTION("""COMPUTED_VALUE"""),"UT501B")</f>
        <v>UT501B</v>
      </c>
      <c r="Z1663" s="215" t="str">
        <f>IFERROR(__xludf.DUMMYFUNCTION("""COMPUTED_VALUE"""),"https://irelectronics.pe/producto/megometro-digital-1000v-uni-t-ut-501b/
https://meters.uni-trend.com/download/ut501a-ut501b-ut502a-flyer/#")</f>
        <v>https://irelectronics.pe/producto/megometro-digital-1000v-uni-t-ut-501b/
https://meters.uni-trend.com/download/ut501a-ut501b-ut502a-flyer/#</v>
      </c>
      <c r="AA1663" s="213" t="str">
        <f>IFERROR(__xludf.DUMMYFUNCTION("""COMPUTED_VALUE"""),"ESP-253 - MEGÓMETRO DIGITAL - CET")</f>
        <v>ESP-253 - MEGÓMETRO DIGITAL - CET</v>
      </c>
      <c r="AB1663" s="215" t="str">
        <f>IFERROR(__xludf.DUMMYFUNCTION("""COMPUTED_VALUE"""),"https://drive.google.com/file/d/1PV9teolEjAKQJPuOE5iYB6GdZAKs3TEf/view?usp=sharing")</f>
        <v>https://drive.google.com/file/d/1PV9teolEjAKQJPuOE5iYB6GdZAKs3TEf/view?usp=sharing</v>
      </c>
      <c r="AC1663" s="213"/>
      <c r="AD1663" s="213"/>
      <c r="AE1663" s="213"/>
      <c r="AF1663" s="213"/>
      <c r="AG1663" s="213"/>
      <c r="AH1663" s="213"/>
      <c r="AI1663" s="213"/>
      <c r="AJ1663" s="213"/>
      <c r="AK1663" s="213"/>
      <c r="AL1663" s="213"/>
      <c r="AM1663" s="213"/>
      <c r="AN1663" s="213"/>
      <c r="AO1663" s="213"/>
      <c r="AP1663" s="213" t="str">
        <f>IFERROR(__xludf.DUMMYFUNCTION("""COMPUTED_VALUE"""),"NALDI")</f>
        <v>NALDI</v>
      </c>
      <c r="AQ1663" s="213"/>
      <c r="AR1663" s="213"/>
      <c r="AS1663" s="213" t="str">
        <f>IFERROR(__xludf.DUMMYFUNCTION("""COMPUTED_VALUE"""),"Considerar pilas 1.5V baterías AA (LR6) x 7")</f>
        <v>Considerar pilas 1.5V baterías AA (LR6) x 7</v>
      </c>
      <c r="AT1663" s="213"/>
      <c r="AU1663" s="213"/>
      <c r="AV1663" s="213"/>
      <c r="AW1663" s="213"/>
      <c r="AX1663" s="213"/>
      <c r="AY1663" s="213"/>
      <c r="AZ1663" s="213"/>
      <c r="BA1663" s="213"/>
      <c r="BB1663" s="213"/>
      <c r="BC1663" s="213"/>
      <c r="BD1663" s="213"/>
    </row>
    <row r="1664">
      <c r="A1664" s="213">
        <f>IFERROR(__xludf.DUMMYFUNCTION("""COMPUTED_VALUE"""),1308.0)</f>
        <v>1308</v>
      </c>
      <c r="B1664" s="213" t="str">
        <f>IFERROR(__xludf.DUMMYFUNCTION("""COMPUTED_VALUE"""),"GUILLERMO E. BILLINGHURST ")</f>
        <v>GUILLERMO E. BILLINGHURST </v>
      </c>
      <c r="C1664" s="213" t="str">
        <f>IFERROR(__xludf.DUMMYFUNCTION("""COMPUTED_VALUE"""),"TALLER SFT DE ELECTRICIDAD")</f>
        <v>TALLER SFT DE ELECTRICIDAD</v>
      </c>
      <c r="D1664" s="213" t="str">
        <f>IFERROR(__xludf.DUMMYFUNCTION("""COMPUTED_VALUE"""),"EQUIPOS")</f>
        <v>EQUIPOS</v>
      </c>
      <c r="E1664" s="213" t="str">
        <f>IFERROR(__xludf.DUMMYFUNCTION("""COMPUTED_VALUE"""),"ESP-253")</f>
        <v>ESP-253</v>
      </c>
      <c r="F1664" s="213" t="str">
        <f>IFERROR(__xludf.DUMMYFUNCTION("""COMPUTED_VALUE"""),"ESP-253")</f>
        <v>ESP-253</v>
      </c>
      <c r="G1664" s="213"/>
      <c r="H1664" s="213" t="str">
        <f>IFERROR(__xludf.DUMMYFUNCTION("""COMPUTED_VALUE"""),"MEGÓMETRO DIGITAL")</f>
        <v>MEGÓMETRO DIGITAL</v>
      </c>
      <c r="I1664" s="213" t="str">
        <f>IFERROR(__xludf.DUMMYFUNCTION("""COMPUTED_VALUE"""),"· Datos técnicos:
- Pantalla LCD de 2000 unidades, indicación de sobrecarga, luz de fondo.
- Voltaje de prueba: 250 V / 500 V / 1000 V.
- Baja resistencia (Ω): 0.01Ω ~ 200Ω (aproximadamente 5.0V /&gt; 200mA).
- Voltaje de CA (V): 30 V - 600 V.
- Absorción di"&amp;"eléctrica (DAR): 60s / 15s y 60s / 30s.
- Índice de polarización (PI)
· Accesorios:
Alimentación: batería
- Incluye accesorios: cable de prueba, sonda, pinza de cocodrilo, batería y estuche de plástico, manual de usuario.")</f>
        <v>· Datos técnicos:
- Pantalla LCD de 2000 unidades, indicación de sobrecarga, luz de fondo.
- Voltaje de prueba: 250 V / 500 V / 1000 V.
- Baja resistencia (Ω): 0.01Ω ~ 200Ω (aproximadamente 5.0V /&gt; 200mA).
- Voltaje de CA (V): 30 V - 600 V.
- Absorción dieléctrica (DAR): 60s / 15s y 60s / 30s.
- Índice de polarización (PI)
· Accesorios:
Alimentación: batería
- Incluye accesorios: cable de prueba, sonda, pinza de cocodrilo, batería y estuche de plástico, manual de usuario.</v>
      </c>
      <c r="J1664" s="213">
        <f>IFERROR(__xludf.DUMMYFUNCTION("""COMPUTED_VALUE"""),3.0)</f>
        <v>3</v>
      </c>
      <c r="K1664" s="213" t="str">
        <f>IFERROR(__xludf.DUMMYFUNCTION("""COMPUTED_VALUE"""),"170 DÍAS CALENDARIO")</f>
        <v>170 DÍAS CALENDARIO</v>
      </c>
      <c r="L1664" s="213" t="str">
        <f>IFERROR(__xludf.DUMMYFUNCTION("""COMPUTED_VALUE"""),"")</f>
        <v/>
      </c>
      <c r="M1664" s="213">
        <f>IFERROR(__xludf.DUMMYFUNCTION("""COMPUTED_VALUE"""),1.0)</f>
        <v>1</v>
      </c>
      <c r="N1664" s="213">
        <f>IFERROR(__xludf.DUMMYFUNCTION("""COMPUTED_VALUE"""),4.0)</f>
        <v>4</v>
      </c>
      <c r="O1664" s="213">
        <f>IFERROR(__xludf.DUMMYFUNCTION("""COMPUTED_VALUE"""),4.0)</f>
        <v>4</v>
      </c>
      <c r="P1664" s="213"/>
      <c r="Q1664" s="213"/>
      <c r="R1664" s="213"/>
      <c r="S1664" s="213" t="str">
        <f>IFERROR(__xludf.DUMMYFUNCTION("""COMPUTED_VALUE"""),"SI")</f>
        <v>SI</v>
      </c>
      <c r="T1664" s="213" t="str">
        <f>IFERROR(__xludf.DUMMYFUNCTION("""COMPUTED_VALUE"""),"SI")</f>
        <v>SI</v>
      </c>
      <c r="U1664" s="213" t="str">
        <f>IFERROR(__xludf.DUMMYFUNCTION("""COMPUTED_VALUE"""),"NO")</f>
        <v>NO</v>
      </c>
      <c r="V1664" s="213" t="str">
        <f>IFERROR(__xludf.DUMMYFUNCTION("""COMPUTED_VALUE"""),"SUSTENTO")</f>
        <v>SUSTENTO</v>
      </c>
      <c r="W1664" s="213" t="str">
        <f>IFERROR(__xludf.DUMMYFUNCTION("""COMPUTED_VALUE"""),"EQU TEC")</f>
        <v>EQU TEC</v>
      </c>
      <c r="X1664" s="213" t="str">
        <f>IFERROR(__xludf.DUMMYFUNCTION("""COMPUTED_VALUE"""),"UNI-T")</f>
        <v>UNI-T</v>
      </c>
      <c r="Y1664" s="213" t="str">
        <f>IFERROR(__xludf.DUMMYFUNCTION("""COMPUTED_VALUE"""),"UT501B")</f>
        <v>UT501B</v>
      </c>
      <c r="Z1664" s="215" t="str">
        <f>IFERROR(__xludf.DUMMYFUNCTION("""COMPUTED_VALUE"""),"https://irelectronics.pe/producto/megometro-digital-1000v-uni-t-ut-501b/
https://meters.uni-trend.com/download/ut501a-ut501b-ut502a-flyer/#")</f>
        <v>https://irelectronics.pe/producto/megometro-digital-1000v-uni-t-ut-501b/
https://meters.uni-trend.com/download/ut501a-ut501b-ut502a-flyer/#</v>
      </c>
      <c r="AA1664" s="213" t="str">
        <f>IFERROR(__xludf.DUMMYFUNCTION("""COMPUTED_VALUE"""),"ESP-253 - MEGÓMETRO DIGITAL - CET")</f>
        <v>ESP-253 - MEGÓMETRO DIGITAL - CET</v>
      </c>
      <c r="AB1664" s="215" t="str">
        <f>IFERROR(__xludf.DUMMYFUNCTION("""COMPUTED_VALUE"""),"https://drive.google.com/file/d/1PV9teolEjAKQJPuOE5iYB6GdZAKs3TEf/view?usp=sharing")</f>
        <v>https://drive.google.com/file/d/1PV9teolEjAKQJPuOE5iYB6GdZAKs3TEf/view?usp=sharing</v>
      </c>
      <c r="AC1664" s="213"/>
      <c r="AD1664" s="213"/>
      <c r="AE1664" s="213"/>
      <c r="AF1664" s="213"/>
      <c r="AG1664" s="213"/>
      <c r="AH1664" s="213"/>
      <c r="AI1664" s="213"/>
      <c r="AJ1664" s="213"/>
      <c r="AK1664" s="213"/>
      <c r="AL1664" s="213"/>
      <c r="AM1664" s="213"/>
      <c r="AN1664" s="213"/>
      <c r="AO1664" s="213"/>
      <c r="AP1664" s="213" t="str">
        <f>IFERROR(__xludf.DUMMYFUNCTION("""COMPUTED_VALUE"""),"NALDI")</f>
        <v>NALDI</v>
      </c>
      <c r="AQ1664" s="213"/>
      <c r="AR1664" s="213"/>
      <c r="AS1664" s="213" t="str">
        <f>IFERROR(__xludf.DUMMYFUNCTION("""COMPUTED_VALUE"""),"Considerar pilas 1.5V baterías AA (LR6) x 8")</f>
        <v>Considerar pilas 1.5V baterías AA (LR6) x 8</v>
      </c>
      <c r="AT1664" s="213"/>
      <c r="AU1664" s="213"/>
      <c r="AV1664" s="213"/>
      <c r="AW1664" s="213"/>
      <c r="AX1664" s="213"/>
      <c r="AY1664" s="213"/>
      <c r="AZ1664" s="213"/>
      <c r="BA1664" s="213"/>
      <c r="BB1664" s="213"/>
      <c r="BC1664" s="213"/>
      <c r="BD1664" s="213"/>
    </row>
    <row r="1665">
      <c r="A1665" s="213">
        <f>IFERROR(__xludf.DUMMYFUNCTION("""COMPUTED_VALUE"""),5.0)</f>
        <v>5</v>
      </c>
      <c r="B1665" s="213" t="str">
        <f>IFERROR(__xludf.DUMMYFUNCTION("""COMPUTED_VALUE"""),"16449 ELOY SOBERON  FLORES")</f>
        <v>16449 ELOY SOBERON  FLORES</v>
      </c>
      <c r="C1665" s="213" t="str">
        <f>IFERROR(__xludf.DUMMYFUNCTION("""COMPUTED_VALUE"""),"TALLER SFT DE COCINA Y REPOSTERÍA")</f>
        <v>TALLER SFT DE COCINA Y REPOSTERÍA</v>
      </c>
      <c r="D1665" s="213" t="str">
        <f>IFERROR(__xludf.DUMMYFUNCTION("""COMPUTED_VALUE"""),"MOBILIARIO")</f>
        <v>MOBILIARIO</v>
      </c>
      <c r="E1665" s="213" t="str">
        <f>IFERROR(__xludf.DUMMYFUNCTION("""COMPUTED_VALUE"""),"MOB-122")</f>
        <v>MOB-122</v>
      </c>
      <c r="F1665" s="213" t="str">
        <f>IFERROR(__xludf.DUMMYFUNCTION("""COMPUTED_VALUE"""),"MOB-122")</f>
        <v>MOB-122</v>
      </c>
      <c r="G1665" s="213"/>
      <c r="H1665" s="213" t="str">
        <f>IFERROR(__xludf.DUMMYFUNCTION("""COMPUTED_VALUE"""),"MESA BAJA TIPO ISLA (110 CM X 60 CM X 50 CM.)")</f>
        <v>MESA BAJA TIPO ISLA (110 CM X 60 CM X 50 CM.)</v>
      </c>
      <c r="I1665" s="213" t="str">
        <f>IFERROR(__xludf.DUMMYFUNCTION("""COMPUTED_VALUE"""),"· Material acero inoxidable c-304
· Medidas A 60 cm x L  110 cm x H 50 cm
· Mesada superior e inferior con dobles de refuerzo de 40 mm.
· Patas tubulares de od de 1 1/2""
· Regatones antideslizantes.
· Soldado con proceso tig - acabado pulido sanitario.")</f>
        <v>· Material acero inoxidable c-304
· Medidas A 60 cm x L  110 cm x H 50 cm
· Mesada superior e inferior con dobles de refuerzo de 40 mm.
· Patas tubulares de od de 1 1/2"
· Regatones antideslizantes.
· Soldado con proceso tig - acabado pulido sanitario.</v>
      </c>
      <c r="J1665" s="213">
        <f>IFERROR(__xludf.DUMMYFUNCTION("""COMPUTED_VALUE"""),3.0)</f>
        <v>3</v>
      </c>
      <c r="K1665" s="213" t="str">
        <f>IFERROR(__xludf.DUMMYFUNCTION("""COMPUTED_VALUE"""),"90 DÍAS CALENDARIO")</f>
        <v>90 DÍAS CALENDARIO</v>
      </c>
      <c r="L1665" s="213" t="str">
        <f>IFERROR(__xludf.DUMMYFUNCTION("""COMPUTED_VALUE"""),"")</f>
        <v/>
      </c>
      <c r="M1665" s="213">
        <f>IFERROR(__xludf.DUMMYFUNCTION("""COMPUTED_VALUE"""),1.0)</f>
        <v>1</v>
      </c>
      <c r="N1665" s="213">
        <f>IFERROR(__xludf.DUMMYFUNCTION("""COMPUTED_VALUE"""),1.0)</f>
        <v>1</v>
      </c>
      <c r="O1665" s="213">
        <f>IFERROR(__xludf.DUMMYFUNCTION("""COMPUTED_VALUE"""),1.0)</f>
        <v>1</v>
      </c>
      <c r="P1665" s="213"/>
      <c r="Q1665" s="213"/>
      <c r="R1665" s="213"/>
      <c r="S1665" s="213"/>
      <c r="T1665" s="213"/>
      <c r="U1665" s="213"/>
      <c r="V1665" s="213"/>
      <c r="W1665" s="213"/>
      <c r="X1665" s="213"/>
      <c r="Y1665" s="213"/>
      <c r="Z1665" s="213"/>
      <c r="AA1665" s="213"/>
      <c r="AB1665" s="213"/>
      <c r="AC1665" s="213"/>
      <c r="AD1665" s="213"/>
      <c r="AE1665" s="213"/>
      <c r="AF1665" s="213"/>
      <c r="AG1665" s="213"/>
      <c r="AH1665" s="213"/>
      <c r="AI1665" s="213"/>
      <c r="AJ1665" s="213"/>
      <c r="AK1665" s="213"/>
      <c r="AL1665" s="213"/>
      <c r="AM1665" s="213"/>
      <c r="AN1665" s="213"/>
      <c r="AO1665" s="213"/>
      <c r="AP1665" s="213"/>
      <c r="AQ1665" s="213"/>
      <c r="AR1665" s="213"/>
      <c r="AS1665" s="213"/>
      <c r="AT1665" s="213"/>
      <c r="AU1665" s="213"/>
      <c r="AV1665" s="213"/>
      <c r="AW1665" s="213"/>
      <c r="AX1665" s="213"/>
      <c r="AY1665" s="213"/>
      <c r="AZ1665" s="213"/>
      <c r="BA1665" s="213"/>
      <c r="BB1665" s="213"/>
      <c r="BC1665" s="213"/>
      <c r="BD1665" s="213"/>
    </row>
    <row r="1666">
      <c r="A1666" s="213">
        <f>IFERROR(__xludf.DUMMYFUNCTION("""COMPUTED_VALUE"""),457.0)</f>
        <v>457</v>
      </c>
      <c r="B1666" s="213" t="str">
        <f>IFERROR(__xludf.DUMMYFUNCTION("""COMPUTED_VALUE"""),"2026 SIMON BOLIVAR")</f>
        <v>2026 SIMON BOLIVAR</v>
      </c>
      <c r="C1666" s="213" t="str">
        <f>IFERROR(__xludf.DUMMYFUNCTION("""COMPUTED_VALUE"""),"TALLER SFT DE INDUSTRIA ALIMENTARIA")</f>
        <v>TALLER SFT DE INDUSTRIA ALIMENTARIA</v>
      </c>
      <c r="D1666" s="213" t="str">
        <f>IFERROR(__xludf.DUMMYFUNCTION("""COMPUTED_VALUE"""),"MOBILIARIO")</f>
        <v>MOBILIARIO</v>
      </c>
      <c r="E1666" s="213" t="str">
        <f>IFERROR(__xludf.DUMMYFUNCTION("""COMPUTED_VALUE"""),"MOB-124")</f>
        <v>MOB-124</v>
      </c>
      <c r="F1666" s="213" t="str">
        <f>IFERROR(__xludf.DUMMYFUNCTION("""COMPUTED_VALUE"""),"MOB-124")</f>
        <v>MOB-124</v>
      </c>
      <c r="G1666" s="213"/>
      <c r="H1666" s="213" t="str">
        <f>IFERROR(__xludf.DUMMYFUNCTION("""COMPUTED_VALUE"""),"MESA DE APOYO")</f>
        <v>MESA DE APOYO</v>
      </c>
      <c r="I1666" s="213"/>
      <c r="J1666" s="213">
        <f>IFERROR(__xludf.DUMMYFUNCTION("""COMPUTED_VALUE"""),3.0)</f>
        <v>3</v>
      </c>
      <c r="K1666" s="213" t="str">
        <f>IFERROR(__xludf.DUMMYFUNCTION("""COMPUTED_VALUE"""),"90 DÍAS CALENDARIO")</f>
        <v>90 DÍAS CALENDARIO</v>
      </c>
      <c r="L1666" s="213" t="str">
        <f>IFERROR(__xludf.DUMMYFUNCTION("""COMPUTED_VALUE"""),"")</f>
        <v/>
      </c>
      <c r="M1666" s="213">
        <f>IFERROR(__xludf.DUMMYFUNCTION("""COMPUTED_VALUE"""),1.0)</f>
        <v>1</v>
      </c>
      <c r="N1666" s="213">
        <f>IFERROR(__xludf.DUMMYFUNCTION("""COMPUTED_VALUE"""),2.0)</f>
        <v>2</v>
      </c>
      <c r="O1666" s="213">
        <f>IFERROR(__xludf.DUMMYFUNCTION("""COMPUTED_VALUE"""),2.0)</f>
        <v>2</v>
      </c>
      <c r="P1666" s="213"/>
      <c r="Q1666" s="213"/>
      <c r="R1666" s="213"/>
      <c r="S1666" s="213"/>
      <c r="T1666" s="213"/>
      <c r="U1666" s="213"/>
      <c r="V1666" s="213"/>
      <c r="W1666" s="213"/>
      <c r="X1666" s="213"/>
      <c r="Y1666" s="213"/>
      <c r="Z1666" s="213"/>
      <c r="AA1666" s="213"/>
      <c r="AB1666" s="213"/>
      <c r="AC1666" s="213"/>
      <c r="AD1666" s="213"/>
      <c r="AE1666" s="213"/>
      <c r="AF1666" s="213"/>
      <c r="AG1666" s="213"/>
      <c r="AH1666" s="213"/>
      <c r="AI1666" s="213"/>
      <c r="AJ1666" s="213"/>
      <c r="AK1666" s="213"/>
      <c r="AL1666" s="213"/>
      <c r="AM1666" s="213"/>
      <c r="AN1666" s="213"/>
      <c r="AO1666" s="213"/>
      <c r="AP1666" s="213"/>
      <c r="AQ1666" s="213"/>
      <c r="AR1666" s="213"/>
      <c r="AS1666" s="213"/>
      <c r="AT1666" s="213"/>
      <c r="AU1666" s="213"/>
      <c r="AV1666" s="213"/>
      <c r="AW1666" s="213"/>
      <c r="AX1666" s="213"/>
      <c r="AY1666" s="213"/>
      <c r="AZ1666" s="213"/>
      <c r="BA1666" s="213"/>
      <c r="BB1666" s="213"/>
      <c r="BC1666" s="213"/>
      <c r="BD1666" s="213"/>
    </row>
    <row r="1667">
      <c r="A1667" s="213">
        <f>IFERROR(__xludf.DUMMYFUNCTION("""COMPUTED_VALUE"""),916.0)</f>
        <v>916</v>
      </c>
      <c r="B1667" s="213" t="str">
        <f>IFERROR(__xludf.DUMMYFUNCTION("""COMPUTED_VALUE"""),"FRANCISCO IRAZOLA")</f>
        <v>FRANCISCO IRAZOLA</v>
      </c>
      <c r="C1667" s="213" t="str">
        <f>IFERROR(__xludf.DUMMYFUNCTION("""COMPUTED_VALUE"""),"TALLER SFT DE MECÁNICA AUTOMOTRIZ")</f>
        <v>TALLER SFT DE MECÁNICA AUTOMOTRIZ</v>
      </c>
      <c r="D1667" s="213" t="str">
        <f>IFERROR(__xludf.DUMMYFUNCTION("""COMPUTED_VALUE"""),"MOBILIARIO")</f>
        <v>MOBILIARIO</v>
      </c>
      <c r="E1667" s="213" t="str">
        <f>IFERROR(__xludf.DUMMYFUNCTION("""COMPUTED_VALUE"""),"MOB-124")</f>
        <v>MOB-124</v>
      </c>
      <c r="F1667" s="213" t="str">
        <f>IFERROR(__xludf.DUMMYFUNCTION("""COMPUTED_VALUE"""),"MOB-124")</f>
        <v>MOB-124</v>
      </c>
      <c r="G1667" s="213"/>
      <c r="H1667" s="213" t="str">
        <f>IFERROR(__xludf.DUMMYFUNCTION("""COMPUTED_VALUE"""),"MESA DE APOYO")</f>
        <v>MESA DE APOYO</v>
      </c>
      <c r="I1667" s="213" t="str">
        <f>IFERROR(__xludf.DUMMYFUNCTION("""COMPUTED_VALUE"""),"· Tablero superior e inferior de madera aglomerada bilaminado, mínimo 18 mm de espesor, canteado en PVC de 3 mm.
· Estructura metálica, mínimo de tubo cuadrado de 1½” x 1,5 mm
· Soporte de 4 patas de tubo cuadrado de 1½” x 1,5 mm como mínimo, con regatone"&amp;"s antideslizantes.
· Acabado en pintura en polvo electrostático de 60 a 80 micras.
· Dimensiones mínimas: 76 x 55 x 76 cm.
· No requiere ser anclado en el piso.")</f>
        <v>· Tablero superior e inferior de madera aglomerada bilaminado, mínimo 18 mm de espesor, canteado en PVC de 3 mm.
· Estructura metálica, mínimo de tubo cuadrado de 1½” x 1,5 mm
· Soporte de 4 patas de tubo cuadrado de 1½” x 1,5 mm como mínimo, con regatones antideslizantes.
· Acabado en pintura en polvo electrostático de 60 a 80 micras.
· Dimensiones mínimas: 76 x 55 x 76 cm.
· No requiere ser anclado en el piso.</v>
      </c>
      <c r="J1667" s="213">
        <f>IFERROR(__xludf.DUMMYFUNCTION("""COMPUTED_VALUE"""),3.0)</f>
        <v>3</v>
      </c>
      <c r="K1667" s="213" t="str">
        <f>IFERROR(__xludf.DUMMYFUNCTION("""COMPUTED_VALUE"""),"90 DÍAS CALENDARIO")</f>
        <v>90 DÍAS CALENDARIO</v>
      </c>
      <c r="L1667" s="213" t="str">
        <f>IFERROR(__xludf.DUMMYFUNCTION("""COMPUTED_VALUE"""),"")</f>
        <v/>
      </c>
      <c r="M1667" s="213">
        <f>IFERROR(__xludf.DUMMYFUNCTION("""COMPUTED_VALUE"""),1.0)</f>
        <v>1</v>
      </c>
      <c r="N1667" s="213">
        <f>IFERROR(__xludf.DUMMYFUNCTION("""COMPUTED_VALUE"""),2.0)</f>
        <v>2</v>
      </c>
      <c r="O1667" s="213">
        <f>IFERROR(__xludf.DUMMYFUNCTION("""COMPUTED_VALUE"""),2.0)</f>
        <v>2</v>
      </c>
      <c r="P1667" s="213"/>
      <c r="Q1667" s="213"/>
      <c r="R1667" s="213"/>
      <c r="S1667" s="213"/>
      <c r="T1667" s="213"/>
      <c r="U1667" s="213"/>
      <c r="V1667" s="213"/>
      <c r="W1667" s="213"/>
      <c r="X1667" s="213"/>
      <c r="Y1667" s="213"/>
      <c r="Z1667" s="213"/>
      <c r="AA1667" s="213"/>
      <c r="AB1667" s="213"/>
      <c r="AC1667" s="213"/>
      <c r="AD1667" s="213"/>
      <c r="AE1667" s="213"/>
      <c r="AF1667" s="213"/>
      <c r="AG1667" s="213"/>
      <c r="AH1667" s="213"/>
      <c r="AI1667" s="213"/>
      <c r="AJ1667" s="213"/>
      <c r="AK1667" s="213"/>
      <c r="AL1667" s="213"/>
      <c r="AM1667" s="213"/>
      <c r="AN1667" s="213"/>
      <c r="AO1667" s="213"/>
      <c r="AP1667" s="213"/>
      <c r="AQ1667" s="213"/>
      <c r="AR1667" s="213"/>
      <c r="AS1667" s="213"/>
      <c r="AT1667" s="213"/>
      <c r="AU1667" s="213"/>
      <c r="AV1667" s="213"/>
      <c r="AW1667" s="213"/>
      <c r="AX1667" s="213"/>
      <c r="AY1667" s="213"/>
      <c r="AZ1667" s="213"/>
      <c r="BA1667" s="213"/>
      <c r="BB1667" s="213"/>
      <c r="BC1667" s="213"/>
      <c r="BD1667" s="213"/>
    </row>
    <row r="1668">
      <c r="A1668" s="213">
        <f>IFERROR(__xludf.DUMMYFUNCTION("""COMPUTED_VALUE"""),1361.0)</f>
        <v>1361</v>
      </c>
      <c r="B1668" s="213" t="str">
        <f>IFERROR(__xludf.DUMMYFUNCTION("""COMPUTED_VALUE"""),"GUILLERMO E. BILLINGHURST ")</f>
        <v>GUILLERMO E. BILLINGHURST </v>
      </c>
      <c r="C1668" s="213" t="str">
        <f>IFERROR(__xludf.DUMMYFUNCTION("""COMPUTED_VALUE"""),"TALLER SFT DE INDUSTRIA ALIMENTARIA")</f>
        <v>TALLER SFT DE INDUSTRIA ALIMENTARIA</v>
      </c>
      <c r="D1668" s="213" t="str">
        <f>IFERROR(__xludf.DUMMYFUNCTION("""COMPUTED_VALUE"""),"MOBILIARIO")</f>
        <v>MOBILIARIO</v>
      </c>
      <c r="E1668" s="213" t="str">
        <f>IFERROR(__xludf.DUMMYFUNCTION("""COMPUTED_VALUE"""),"MOB-124")</f>
        <v>MOB-124</v>
      </c>
      <c r="F1668" s="213" t="str">
        <f>IFERROR(__xludf.DUMMYFUNCTION("""COMPUTED_VALUE"""),"MOB-124")</f>
        <v>MOB-124</v>
      </c>
      <c r="G1668" s="213"/>
      <c r="H1668" s="213" t="str">
        <f>IFERROR(__xludf.DUMMYFUNCTION("""COMPUTED_VALUE"""),"MESA DE APOYO")</f>
        <v>MESA DE APOYO</v>
      </c>
      <c r="I1668" s="213"/>
      <c r="J1668" s="213">
        <f>IFERROR(__xludf.DUMMYFUNCTION("""COMPUTED_VALUE"""),3.0)</f>
        <v>3</v>
      </c>
      <c r="K1668" s="213" t="str">
        <f>IFERROR(__xludf.DUMMYFUNCTION("""COMPUTED_VALUE"""),"90 DÍAS CALENDARIO")</f>
        <v>90 DÍAS CALENDARIO</v>
      </c>
      <c r="L1668" s="213" t="str">
        <f>IFERROR(__xludf.DUMMYFUNCTION("""COMPUTED_VALUE"""),"")</f>
        <v/>
      </c>
      <c r="M1668" s="213">
        <f>IFERROR(__xludf.DUMMYFUNCTION("""COMPUTED_VALUE"""),1.0)</f>
        <v>1</v>
      </c>
      <c r="N1668" s="213">
        <f>IFERROR(__xludf.DUMMYFUNCTION("""COMPUTED_VALUE"""),2.0)</f>
        <v>2</v>
      </c>
      <c r="O1668" s="213">
        <f>IFERROR(__xludf.DUMMYFUNCTION("""COMPUTED_VALUE"""),2.0)</f>
        <v>2</v>
      </c>
      <c r="P1668" s="213"/>
      <c r="Q1668" s="213"/>
      <c r="R1668" s="213"/>
      <c r="S1668" s="213"/>
      <c r="T1668" s="213"/>
      <c r="U1668" s="213"/>
      <c r="V1668" s="213"/>
      <c r="W1668" s="213"/>
      <c r="X1668" s="213"/>
      <c r="Y1668" s="213"/>
      <c r="Z1668" s="213"/>
      <c r="AA1668" s="213"/>
      <c r="AB1668" s="213"/>
      <c r="AC1668" s="213"/>
      <c r="AD1668" s="213"/>
      <c r="AE1668" s="213"/>
      <c r="AF1668" s="213"/>
      <c r="AG1668" s="213"/>
      <c r="AH1668" s="213"/>
      <c r="AI1668" s="213"/>
      <c r="AJ1668" s="213"/>
      <c r="AK1668" s="213"/>
      <c r="AL1668" s="213"/>
      <c r="AM1668" s="213"/>
      <c r="AN1668" s="213"/>
      <c r="AO1668" s="213"/>
      <c r="AP1668" s="213"/>
      <c r="AQ1668" s="213"/>
      <c r="AR1668" s="213"/>
      <c r="AS1668" s="213"/>
      <c r="AT1668" s="213"/>
      <c r="AU1668" s="213"/>
      <c r="AV1668" s="213"/>
      <c r="AW1668" s="213"/>
      <c r="AX1668" s="213"/>
      <c r="AY1668" s="213"/>
      <c r="AZ1668" s="213"/>
      <c r="BA1668" s="213"/>
      <c r="BB1668" s="213"/>
      <c r="BC1668" s="213"/>
      <c r="BD1668" s="213"/>
    </row>
    <row r="1669">
      <c r="A1669" s="213">
        <f>IFERROR(__xludf.DUMMYFUNCTION("""COMPUTED_VALUE"""),1517.0)</f>
        <v>1517</v>
      </c>
      <c r="B1669" s="213" t="str">
        <f>IFERROR(__xludf.DUMMYFUNCTION("""COMPUTED_VALUE"""),"GUILLERMO E. BILLINGHURST ")</f>
        <v>GUILLERMO E. BILLINGHURST </v>
      </c>
      <c r="C1669" s="213" t="str">
        <f>IFERROR(__xludf.DUMMYFUNCTION("""COMPUTED_VALUE"""),"TALLER SFT DE MECÁNICA AUTOMOTRIZ")</f>
        <v>TALLER SFT DE MECÁNICA AUTOMOTRIZ</v>
      </c>
      <c r="D1669" s="213" t="str">
        <f>IFERROR(__xludf.DUMMYFUNCTION("""COMPUTED_VALUE"""),"MOBILIARIO")</f>
        <v>MOBILIARIO</v>
      </c>
      <c r="E1669" s="213" t="str">
        <f>IFERROR(__xludf.DUMMYFUNCTION("""COMPUTED_VALUE"""),"MOB-124")</f>
        <v>MOB-124</v>
      </c>
      <c r="F1669" s="213" t="str">
        <f>IFERROR(__xludf.DUMMYFUNCTION("""COMPUTED_VALUE"""),"MOB-124")</f>
        <v>MOB-124</v>
      </c>
      <c r="G1669" s="213"/>
      <c r="H1669" s="213" t="str">
        <f>IFERROR(__xludf.DUMMYFUNCTION("""COMPUTED_VALUE"""),"MESA DE APOYO")</f>
        <v>MESA DE APOYO</v>
      </c>
      <c r="I1669" s="213" t="str">
        <f>IFERROR(__xludf.DUMMYFUNCTION("""COMPUTED_VALUE"""),"· Tablero superior e inferior de madera aglomerada bilaminado, mínimo 18 mm de espesor, canteado en PVC de 3 mm.
· Estructura metálica, mínimo de tubo cuadrado de 1½” x 1,5 mm
· Soporte de 4 patas de tubo cuadrado de 1½” x 1,5 mm como mínimo, con regatone"&amp;"s antideslizantes.
· Acabado en pintura en polvo electrostático de 60 a 80 micras.
· Dimensiones mínimas: 76 x 55 x 76 cm.
· No requiere ser anclado en el piso.")</f>
        <v>· Tablero superior e inferior de madera aglomerada bilaminado, mínimo 18 mm de espesor, canteado en PVC de 3 mm.
· Estructura metálica, mínimo de tubo cuadrado de 1½” x 1,5 mm
· Soporte de 4 patas de tubo cuadrado de 1½” x 1,5 mm como mínimo, con regatones antideslizantes.
· Acabado en pintura en polvo electrostático de 60 a 80 micras.
· Dimensiones mínimas: 76 x 55 x 76 cm.
· No requiere ser anclado en el piso.</v>
      </c>
      <c r="J1669" s="213">
        <f>IFERROR(__xludf.DUMMYFUNCTION("""COMPUTED_VALUE"""),3.0)</f>
        <v>3</v>
      </c>
      <c r="K1669" s="213" t="str">
        <f>IFERROR(__xludf.DUMMYFUNCTION("""COMPUTED_VALUE"""),"90 DÍAS CALENDARIO")</f>
        <v>90 DÍAS CALENDARIO</v>
      </c>
      <c r="L1669" s="213" t="str">
        <f>IFERROR(__xludf.DUMMYFUNCTION("""COMPUTED_VALUE"""),"")</f>
        <v/>
      </c>
      <c r="M1669" s="213">
        <f>IFERROR(__xludf.DUMMYFUNCTION("""COMPUTED_VALUE"""),1.0)</f>
        <v>1</v>
      </c>
      <c r="N1669" s="213">
        <f>IFERROR(__xludf.DUMMYFUNCTION("""COMPUTED_VALUE"""),2.0)</f>
        <v>2</v>
      </c>
      <c r="O1669" s="213">
        <f>IFERROR(__xludf.DUMMYFUNCTION("""COMPUTED_VALUE"""),2.0)</f>
        <v>2</v>
      </c>
      <c r="P1669" s="213"/>
      <c r="Q1669" s="213"/>
      <c r="R1669" s="213"/>
      <c r="S1669" s="213"/>
      <c r="T1669" s="213"/>
      <c r="U1669" s="213"/>
      <c r="V1669" s="213"/>
      <c r="W1669" s="213"/>
      <c r="X1669" s="213"/>
      <c r="Y1669" s="213"/>
      <c r="Z1669" s="213"/>
      <c r="AA1669" s="213"/>
      <c r="AB1669" s="213"/>
      <c r="AC1669" s="213"/>
      <c r="AD1669" s="213"/>
      <c r="AE1669" s="213"/>
      <c r="AF1669" s="213"/>
      <c r="AG1669" s="213"/>
      <c r="AH1669" s="213"/>
      <c r="AI1669" s="213"/>
      <c r="AJ1669" s="213"/>
      <c r="AK1669" s="213"/>
      <c r="AL1669" s="213"/>
      <c r="AM1669" s="213"/>
      <c r="AN1669" s="213"/>
      <c r="AO1669" s="213"/>
      <c r="AP1669" s="213"/>
      <c r="AQ1669" s="213"/>
      <c r="AR1669" s="213"/>
      <c r="AS1669" s="213"/>
      <c r="AT1669" s="213"/>
      <c r="AU1669" s="213"/>
      <c r="AV1669" s="213"/>
      <c r="AW1669" s="213"/>
      <c r="AX1669" s="213"/>
      <c r="AY1669" s="213"/>
      <c r="AZ1669" s="213"/>
      <c r="BA1669" s="213"/>
      <c r="BB1669" s="213"/>
      <c r="BC1669" s="213"/>
      <c r="BD1669" s="213"/>
    </row>
    <row r="1670">
      <c r="A1670" s="213">
        <f>IFERROR(__xludf.DUMMYFUNCTION("""COMPUTED_VALUE"""),2046.0)</f>
        <v>2046</v>
      </c>
      <c r="B1670" s="213" t="str">
        <f>IFERROR(__xludf.DUMMYFUNCTION("""COMPUTED_VALUE"""),"JOSE GRANDA")</f>
        <v>JOSE GRANDA</v>
      </c>
      <c r="C1670" s="213" t="str">
        <f>IFERROR(__xludf.DUMMYFUNCTION("""COMPUTED_VALUE"""),"TALLER SFT DE INDUSTRIA ALIMENTARIA")</f>
        <v>TALLER SFT DE INDUSTRIA ALIMENTARIA</v>
      </c>
      <c r="D1670" s="213" t="str">
        <f>IFERROR(__xludf.DUMMYFUNCTION("""COMPUTED_VALUE"""),"MOBILIARIO")</f>
        <v>MOBILIARIO</v>
      </c>
      <c r="E1670" s="213" t="str">
        <f>IFERROR(__xludf.DUMMYFUNCTION("""COMPUTED_VALUE"""),"MOB-124")</f>
        <v>MOB-124</v>
      </c>
      <c r="F1670" s="213" t="str">
        <f>IFERROR(__xludf.DUMMYFUNCTION("""COMPUTED_VALUE"""),"MOB-124")</f>
        <v>MOB-124</v>
      </c>
      <c r="G1670" s="213"/>
      <c r="H1670" s="213" t="str">
        <f>IFERROR(__xludf.DUMMYFUNCTION("""COMPUTED_VALUE"""),"MESA DE APOYO")</f>
        <v>MESA DE APOYO</v>
      </c>
      <c r="I1670" s="213"/>
      <c r="J1670" s="213">
        <f>IFERROR(__xludf.DUMMYFUNCTION("""COMPUTED_VALUE"""),3.0)</f>
        <v>3</v>
      </c>
      <c r="K1670" s="213" t="str">
        <f>IFERROR(__xludf.DUMMYFUNCTION("""COMPUTED_VALUE"""),"90 DÍAS CALENDARIO")</f>
        <v>90 DÍAS CALENDARIO</v>
      </c>
      <c r="L1670" s="213" t="str">
        <f>IFERROR(__xludf.DUMMYFUNCTION("""COMPUTED_VALUE"""),"")</f>
        <v/>
      </c>
      <c r="M1670" s="213">
        <f>IFERROR(__xludf.DUMMYFUNCTION("""COMPUTED_VALUE"""),1.0)</f>
        <v>1</v>
      </c>
      <c r="N1670" s="213">
        <f>IFERROR(__xludf.DUMMYFUNCTION("""COMPUTED_VALUE"""),2.0)</f>
        <v>2</v>
      </c>
      <c r="O1670" s="213">
        <f>IFERROR(__xludf.DUMMYFUNCTION("""COMPUTED_VALUE"""),2.0)</f>
        <v>2</v>
      </c>
      <c r="P1670" s="213"/>
      <c r="Q1670" s="213"/>
      <c r="R1670" s="213"/>
      <c r="S1670" s="213"/>
      <c r="T1670" s="213"/>
      <c r="U1670" s="213"/>
      <c r="V1670" s="213"/>
      <c r="W1670" s="213"/>
      <c r="X1670" s="213"/>
      <c r="Y1670" s="213"/>
      <c r="Z1670" s="213"/>
      <c r="AA1670" s="213"/>
      <c r="AB1670" s="213"/>
      <c r="AC1670" s="213"/>
      <c r="AD1670" s="213"/>
      <c r="AE1670" s="213"/>
      <c r="AF1670" s="213"/>
      <c r="AG1670" s="213"/>
      <c r="AH1670" s="213"/>
      <c r="AI1670" s="213"/>
      <c r="AJ1670" s="213"/>
      <c r="AK1670" s="213"/>
      <c r="AL1670" s="213"/>
      <c r="AM1670" s="213"/>
      <c r="AN1670" s="213"/>
      <c r="AO1670" s="213"/>
      <c r="AP1670" s="213"/>
      <c r="AQ1670" s="213"/>
      <c r="AR1670" s="213"/>
      <c r="AS1670" s="213"/>
      <c r="AT1670" s="213"/>
      <c r="AU1670" s="213"/>
      <c r="AV1670" s="213"/>
      <c r="AW1670" s="213"/>
      <c r="AX1670" s="213"/>
      <c r="AY1670" s="213"/>
      <c r="AZ1670" s="213"/>
      <c r="BA1670" s="213"/>
      <c r="BB1670" s="213"/>
      <c r="BC1670" s="213"/>
      <c r="BD1670" s="213"/>
    </row>
    <row r="1671">
      <c r="A1671" s="213">
        <f>IFERROR(__xludf.DUMMYFUNCTION("""COMPUTED_VALUE"""),2203.0)</f>
        <v>2203</v>
      </c>
      <c r="B1671" s="213" t="str">
        <f>IFERROR(__xludf.DUMMYFUNCTION("""COMPUTED_VALUE"""),"JOSE GRANDA")</f>
        <v>JOSE GRANDA</v>
      </c>
      <c r="C1671" s="213" t="str">
        <f>IFERROR(__xludf.DUMMYFUNCTION("""COMPUTED_VALUE"""),"TALLER SFT DE MECÁNICA AUTOMOTRIZ")</f>
        <v>TALLER SFT DE MECÁNICA AUTOMOTRIZ</v>
      </c>
      <c r="D1671" s="213" t="str">
        <f>IFERROR(__xludf.DUMMYFUNCTION("""COMPUTED_VALUE"""),"MOBILIARIO")</f>
        <v>MOBILIARIO</v>
      </c>
      <c r="E1671" s="213" t="str">
        <f>IFERROR(__xludf.DUMMYFUNCTION("""COMPUTED_VALUE"""),"MOB-124")</f>
        <v>MOB-124</v>
      </c>
      <c r="F1671" s="213" t="str">
        <f>IFERROR(__xludf.DUMMYFUNCTION("""COMPUTED_VALUE"""),"MOB-124")</f>
        <v>MOB-124</v>
      </c>
      <c r="G1671" s="213"/>
      <c r="H1671" s="213" t="str">
        <f>IFERROR(__xludf.DUMMYFUNCTION("""COMPUTED_VALUE"""),"MESA DE APOYO")</f>
        <v>MESA DE APOYO</v>
      </c>
      <c r="I1671" s="213" t="str">
        <f>IFERROR(__xludf.DUMMYFUNCTION("""COMPUTED_VALUE"""),"· Tablero superior e inferior de madera aglomerada bilaminado, mínimo 18 mm de espesor, canteado en PVC de 3 mm.
· Estructura metálica, mínimo de tubo cuadrado de 1½” x 1,5 mm
· Soporte de 4 patas de tubo cuadrado de 1½” x 1,5 mm como mínimo, con regatone"&amp;"s antideslizantes.
· Acabado en pintura en polvo electrostático de 60 a 80 micras.
· Dimensiones mínimas: 76 x 55 x 76 cm.
· No requiere ser anclado en el piso.")</f>
        <v>· Tablero superior e inferior de madera aglomerada bilaminado, mínimo 18 mm de espesor, canteado en PVC de 3 mm.
· Estructura metálica, mínimo de tubo cuadrado de 1½” x 1,5 mm
· Soporte de 4 patas de tubo cuadrado de 1½” x 1,5 mm como mínimo, con regatones antideslizantes.
· Acabado en pintura en polvo electrostático de 60 a 80 micras.
· Dimensiones mínimas: 76 x 55 x 76 cm.
· No requiere ser anclado en el piso.</v>
      </c>
      <c r="J1671" s="213">
        <f>IFERROR(__xludf.DUMMYFUNCTION("""COMPUTED_VALUE"""),3.0)</f>
        <v>3</v>
      </c>
      <c r="K1671" s="213" t="str">
        <f>IFERROR(__xludf.DUMMYFUNCTION("""COMPUTED_VALUE"""),"90 DÍAS CALENDARIO")</f>
        <v>90 DÍAS CALENDARIO</v>
      </c>
      <c r="L1671" s="213" t="str">
        <f>IFERROR(__xludf.DUMMYFUNCTION("""COMPUTED_VALUE"""),"")</f>
        <v/>
      </c>
      <c r="M1671" s="213">
        <f>IFERROR(__xludf.DUMMYFUNCTION("""COMPUTED_VALUE"""),1.0)</f>
        <v>1</v>
      </c>
      <c r="N1671" s="213">
        <f>IFERROR(__xludf.DUMMYFUNCTION("""COMPUTED_VALUE"""),2.0)</f>
        <v>2</v>
      </c>
      <c r="O1671" s="213">
        <f>IFERROR(__xludf.DUMMYFUNCTION("""COMPUTED_VALUE"""),2.0)</f>
        <v>2</v>
      </c>
      <c r="P1671" s="213"/>
      <c r="Q1671" s="213"/>
      <c r="R1671" s="213"/>
      <c r="S1671" s="213"/>
      <c r="T1671" s="213"/>
      <c r="U1671" s="213"/>
      <c r="V1671" s="213"/>
      <c r="W1671" s="213"/>
      <c r="X1671" s="213"/>
      <c r="Y1671" s="213"/>
      <c r="Z1671" s="213"/>
      <c r="AA1671" s="213"/>
      <c r="AB1671" s="213"/>
      <c r="AC1671" s="213"/>
      <c r="AD1671" s="213"/>
      <c r="AE1671" s="213"/>
      <c r="AF1671" s="213"/>
      <c r="AG1671" s="213"/>
      <c r="AH1671" s="213"/>
      <c r="AI1671" s="213"/>
      <c r="AJ1671" s="213"/>
      <c r="AK1671" s="213"/>
      <c r="AL1671" s="213"/>
      <c r="AM1671" s="213"/>
      <c r="AN1671" s="213"/>
      <c r="AO1671" s="213"/>
      <c r="AP1671" s="213"/>
      <c r="AQ1671" s="213"/>
      <c r="AR1671" s="213"/>
      <c r="AS1671" s="213"/>
      <c r="AT1671" s="213"/>
      <c r="AU1671" s="213"/>
      <c r="AV1671" s="213"/>
      <c r="AW1671" s="213"/>
      <c r="AX1671" s="213"/>
      <c r="AY1671" s="213"/>
      <c r="AZ1671" s="213"/>
      <c r="BA1671" s="213"/>
      <c r="BB1671" s="213"/>
      <c r="BC1671" s="213"/>
      <c r="BD1671" s="213"/>
    </row>
    <row r="1672">
      <c r="A1672" s="213">
        <f>IFERROR(__xludf.DUMMYFUNCTION("""COMPUTED_VALUE"""),458.0)</f>
        <v>458</v>
      </c>
      <c r="B1672" s="213" t="str">
        <f>IFERROR(__xludf.DUMMYFUNCTION("""COMPUTED_VALUE"""),"2026 SIMON BOLIVAR")</f>
        <v>2026 SIMON BOLIVAR</v>
      </c>
      <c r="C1672" s="213" t="str">
        <f>IFERROR(__xludf.DUMMYFUNCTION("""COMPUTED_VALUE"""),"TALLER SFT DE INDUSTRIA ALIMENTARIA")</f>
        <v>TALLER SFT DE INDUSTRIA ALIMENTARIA</v>
      </c>
      <c r="D1672" s="213" t="str">
        <f>IFERROR(__xludf.DUMMYFUNCTION("""COMPUTED_VALUE"""),"HERRAMIENTAS")</f>
        <v>HERRAMIENTAS</v>
      </c>
      <c r="E1672" s="213" t="str">
        <f>IFERROR(__xludf.DUMMYFUNCTION("""COMPUTED_VALUE"""),"MAT-161")</f>
        <v>MAT-161</v>
      </c>
      <c r="F1672" s="213" t="str">
        <f>IFERROR(__xludf.DUMMYFUNCTION("""COMPUTED_VALUE"""),"MAT-161")</f>
        <v>MAT-161</v>
      </c>
      <c r="G1672" s="213"/>
      <c r="H1672" s="213" t="str">
        <f>IFERROR(__xludf.DUMMYFUNCTION("""COMPUTED_VALUE"""),"EXTINTOR CO2")</f>
        <v>EXTINTOR CO2</v>
      </c>
      <c r="I1672"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672" s="213">
        <f>IFERROR(__xludf.DUMMYFUNCTION("""COMPUTED_VALUE"""),3.0)</f>
        <v>3</v>
      </c>
      <c r="K1672" s="213" t="str">
        <f>IFERROR(__xludf.DUMMYFUNCTION("""COMPUTED_VALUE"""),"90 DÍAS CALENDARIO")</f>
        <v>90 DÍAS CALENDARIO</v>
      </c>
      <c r="L1672"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672" s="213">
        <f>IFERROR(__xludf.DUMMYFUNCTION("""COMPUTED_VALUE"""),1.0)</f>
        <v>1</v>
      </c>
      <c r="N1672" s="213">
        <f>IFERROR(__xludf.DUMMYFUNCTION("""COMPUTED_VALUE"""),1.0)</f>
        <v>1</v>
      </c>
      <c r="O1672" s="213">
        <f>IFERROR(__xludf.DUMMYFUNCTION("""COMPUTED_VALUE"""),1.0)</f>
        <v>1</v>
      </c>
      <c r="P1672" s="213"/>
      <c r="Q1672" s="213"/>
      <c r="R1672" s="213"/>
      <c r="S1672" s="213"/>
      <c r="T1672" s="213" t="str">
        <f>IFERROR(__xludf.DUMMYFUNCTION("""COMPUTED_VALUE"""),"CONSULTA FINAL")</f>
        <v>CONSULTA FINAL</v>
      </c>
      <c r="U1672" s="213" t="str">
        <f>IFERROR(__xludf.DUMMYFUNCTION("""COMPUTED_VALUE"""),"NO")</f>
        <v>NO</v>
      </c>
      <c r="V1672" s="213" t="str">
        <f>IFERROR(__xludf.DUMMYFUNCTION("""COMPUTED_VALUE"""),"NO")</f>
        <v>NO</v>
      </c>
      <c r="W1672" s="213" t="str">
        <f>IFERROR(__xludf.DUMMYFUNCTION("""COMPUTED_VALUE"""),"-")</f>
        <v>-</v>
      </c>
      <c r="X1672" s="213" t="str">
        <f>IFERROR(__xludf.DUMMYFUNCTION("""COMPUTED_VALUE"""),"FIREMAN'S")</f>
        <v>FIREMAN'S</v>
      </c>
      <c r="Y1672" s="213" t="str">
        <f>IFERROR(__xludf.DUMMYFUNCTION("""COMPUTED_VALUE"""),"Extintores Portátiles Manuales de Dióxido de Carbono ")</f>
        <v>Extintores Portátiles Manuales de Dióxido de Carbono </v>
      </c>
      <c r="Z1672" s="215" t="str">
        <f>IFERROR(__xludf.DUMMYFUNCTION("""COMPUTED_VALUE"""),"https://firemansperu.com/productos/extintores-firemans/dioxido-de-carbono/")</f>
        <v>https://firemansperu.com/productos/extintores-firemans/dioxido-de-carbono/</v>
      </c>
      <c r="AA1672" s="213" t="str">
        <f>IFERROR(__xludf.DUMMYFUNCTION("""COMPUTED_VALUE"""),"MAT-161 EXTINTOR CO2 - CET")</f>
        <v>MAT-161 EXTINTOR CO2 - CET</v>
      </c>
      <c r="AB1672" s="213"/>
      <c r="AC1672" s="213"/>
      <c r="AD1672" s="213"/>
      <c r="AE1672" s="213"/>
      <c r="AF1672" s="213"/>
      <c r="AG1672" s="213"/>
      <c r="AH1672" s="213"/>
      <c r="AI1672" s="213"/>
      <c r="AJ1672" s="213"/>
      <c r="AK1672" s="213"/>
      <c r="AL1672" s="213"/>
      <c r="AM1672" s="213"/>
      <c r="AN1672" s="213"/>
      <c r="AO1672" s="213"/>
      <c r="AP1672" s="213" t="str">
        <f>IFERROR(__xludf.DUMMYFUNCTION("""COMPUTED_VALUE"""),"BRUNO")</f>
        <v>BRUNO</v>
      </c>
      <c r="AQ1672" s="213"/>
      <c r="AR1672" s="213"/>
      <c r="AS1672" s="213"/>
      <c r="AT1672" s="213"/>
      <c r="AU1672" s="213"/>
      <c r="AV1672" s="213"/>
      <c r="AW1672" s="213"/>
      <c r="AX1672" s="213"/>
      <c r="AY1672" s="213"/>
      <c r="AZ1672" s="213"/>
      <c r="BA1672" s="213"/>
      <c r="BB1672" s="213"/>
      <c r="BC1672" s="213"/>
      <c r="BD1672" s="213"/>
    </row>
    <row r="1673">
      <c r="A1673" s="213">
        <f>IFERROR(__xludf.DUMMYFUNCTION("""COMPUTED_VALUE"""),255.0)</f>
        <v>255</v>
      </c>
      <c r="B1673" s="213" t="str">
        <f>IFERROR(__xludf.DUMMYFUNCTION("""COMPUTED_VALUE"""),"2026 SIMON BOLIVAR")</f>
        <v>2026 SIMON BOLIVAR</v>
      </c>
      <c r="C1673" s="213" t="str">
        <f>IFERROR(__xludf.DUMMYFUNCTION("""COMPUTED_VALUE"""),"TALLER SFT DE COMPUTACIÓN E INFORMÁTICA")</f>
        <v>TALLER SFT DE COMPUTACIÓN E INFORMÁTICA</v>
      </c>
      <c r="D1673" s="213" t="str">
        <f>IFERROR(__xludf.DUMMYFUNCTION("""COMPUTED_VALUE"""),"MOBILIARIO")</f>
        <v>MOBILIARIO</v>
      </c>
      <c r="E1673" s="213" t="str">
        <f>IFERROR(__xludf.DUMMYFUNCTION("""COMPUTED_VALUE"""),"MOB-125")</f>
        <v>MOB-125</v>
      </c>
      <c r="F1673" s="213" t="str">
        <f>IFERROR(__xludf.DUMMYFUNCTION("""COMPUTED_VALUE"""),"MOB-125")</f>
        <v>MOB-125</v>
      </c>
      <c r="G1673" s="213"/>
      <c r="H1673" s="213" t="str">
        <f>IFERROR(__xludf.DUMMYFUNCTION("""COMPUTED_VALUE"""),"MESA DE CASETA SET DE RADIO")</f>
        <v>MESA DE CASETA SET DE RADIO</v>
      </c>
      <c r="I1673" s="213" t="str">
        <f>IFERROR(__xludf.DUMMYFUNCTION("""COMPUTED_VALUE"""),"· Mesa fabricada en tablero melaminizado de 18mm (mínimo), canteada en PVC  3mm y con patas de estructura metálica
en T (preparadas para paso de cableado) con sus laterales desmontables.
· Faldón, en melanina con un espesor de 18 mm (mínimo). y cantos en "&amp;"PVC.
· Deberá estar preparado para pasar cables por parte interna de estructura de acero. (cableado oculto)
· Dimensiones 1500 mm x 550 mm x 850 mm")</f>
        <v>· Mesa fabricada en tablero melaminizado de 18mm (mínimo), canteada en PVC  3mm y con patas de estructura metálica
en T (preparadas para paso de cableado) con sus laterales desmontables.
· Faldón, en melanina con un espesor de 18 mm (mínimo). y cantos en PVC.
· Deberá estar preparado para pasar cables por parte interna de estructura de acero. (cableado oculto)
· Dimensiones 1500 mm x 550 mm x 850 mm</v>
      </c>
      <c r="J1673" s="213">
        <f>IFERROR(__xludf.DUMMYFUNCTION("""COMPUTED_VALUE"""),3.0)</f>
        <v>3</v>
      </c>
      <c r="K1673" s="213" t="str">
        <f>IFERROR(__xludf.DUMMYFUNCTION("""COMPUTED_VALUE"""),"90 DÍAS CALENDARIO")</f>
        <v>90 DÍAS CALENDARIO</v>
      </c>
      <c r="L1673" s="213" t="str">
        <f>IFERROR(__xludf.DUMMYFUNCTION("""COMPUTED_VALUE"""),"")</f>
        <v/>
      </c>
      <c r="M1673" s="213">
        <f>IFERROR(__xludf.DUMMYFUNCTION("""COMPUTED_VALUE"""),1.0)</f>
        <v>1</v>
      </c>
      <c r="N1673" s="213">
        <f>IFERROR(__xludf.DUMMYFUNCTION("""COMPUTED_VALUE"""),1.0)</f>
        <v>1</v>
      </c>
      <c r="O1673" s="213">
        <f>IFERROR(__xludf.DUMMYFUNCTION("""COMPUTED_VALUE"""),1.0)</f>
        <v>1</v>
      </c>
      <c r="P1673" s="213"/>
      <c r="Q1673" s="213"/>
      <c r="R1673" s="213"/>
      <c r="S1673" s="213"/>
      <c r="T1673" s="213"/>
      <c r="U1673" s="213"/>
      <c r="V1673" s="213"/>
      <c r="W1673" s="213"/>
      <c r="X1673" s="213"/>
      <c r="Y1673" s="213"/>
      <c r="Z1673" s="213"/>
      <c r="AA1673" s="213"/>
      <c r="AB1673" s="213"/>
      <c r="AC1673" s="213"/>
      <c r="AD1673" s="213"/>
      <c r="AE1673" s="213"/>
      <c r="AF1673" s="213"/>
      <c r="AG1673" s="213"/>
      <c r="AH1673" s="213"/>
      <c r="AI1673" s="213"/>
      <c r="AJ1673" s="213"/>
      <c r="AK1673" s="213"/>
      <c r="AL1673" s="213"/>
      <c r="AM1673" s="213"/>
      <c r="AN1673" s="213"/>
      <c r="AO1673" s="213"/>
      <c r="AP1673" s="213"/>
      <c r="AQ1673" s="213"/>
      <c r="AR1673" s="213"/>
      <c r="AS1673" s="213"/>
      <c r="AT1673" s="213"/>
      <c r="AU1673" s="213"/>
      <c r="AV1673" s="213"/>
      <c r="AW1673" s="213"/>
      <c r="AX1673" s="213"/>
      <c r="AY1673" s="213"/>
      <c r="AZ1673" s="213"/>
      <c r="BA1673" s="213"/>
      <c r="BB1673" s="213"/>
      <c r="BC1673" s="213"/>
      <c r="BD1673" s="213"/>
    </row>
    <row r="1674">
      <c r="A1674" s="213">
        <f>IFERROR(__xludf.DUMMYFUNCTION("""COMPUTED_VALUE"""),740.0)</f>
        <v>740</v>
      </c>
      <c r="B1674" s="213" t="str">
        <f>IFERROR(__xludf.DUMMYFUNCTION("""COMPUTED_VALUE"""),"6049 RICARDO PALMA")</f>
        <v>6049 RICARDO PALMA</v>
      </c>
      <c r="C1674" s="213" t="str">
        <f>IFERROR(__xludf.DUMMYFUNCTION("""COMPUTED_VALUE"""),"TALLER SFT DE COMPUTACIÓN E INFORMÁTICA")</f>
        <v>TALLER SFT DE COMPUTACIÓN E INFORMÁTICA</v>
      </c>
      <c r="D1674" s="213" t="str">
        <f>IFERROR(__xludf.DUMMYFUNCTION("""COMPUTED_VALUE"""),"MOBILIARIO")</f>
        <v>MOBILIARIO</v>
      </c>
      <c r="E1674" s="213" t="str">
        <f>IFERROR(__xludf.DUMMYFUNCTION("""COMPUTED_VALUE"""),"MOB-125")</f>
        <v>MOB-125</v>
      </c>
      <c r="F1674" s="213" t="str">
        <f>IFERROR(__xludf.DUMMYFUNCTION("""COMPUTED_VALUE"""),"MOB-125")</f>
        <v>MOB-125</v>
      </c>
      <c r="G1674" s="213"/>
      <c r="H1674" s="213" t="str">
        <f>IFERROR(__xludf.DUMMYFUNCTION("""COMPUTED_VALUE"""),"MESA DE CASETA SET DE RADIO")</f>
        <v>MESA DE CASETA SET DE RADIO</v>
      </c>
      <c r="I1674" s="213" t="str">
        <f>IFERROR(__xludf.DUMMYFUNCTION("""COMPUTED_VALUE"""),"· Mesa fabricada en tablero melaminizado de 18mm (mínimo), canteada en PVC  3mm y con patas de estructura metálica
en T (preparadas para paso de cableado) con sus laterales desmontables.
· Faldón, en melanina con un espesor de 18 mm (mínimo). y cantos en "&amp;"PVC.
· Deberá estar preparado para pasar cables por parte interna de estructura de acero. (cableado oculto)
· Dimensiones 1500 mm x 550 mm x 850 mm")</f>
        <v>· Mesa fabricada en tablero melaminizado de 18mm (mínimo), canteada en PVC  3mm y con patas de estructura metálica
en T (preparadas para paso de cableado) con sus laterales desmontables.
· Faldón, en melanina con un espesor de 18 mm (mínimo). y cantos en PVC.
· Deberá estar preparado para pasar cables por parte interna de estructura de acero. (cableado oculto)
· Dimensiones 1500 mm x 550 mm x 850 mm</v>
      </c>
      <c r="J1674" s="213">
        <f>IFERROR(__xludf.DUMMYFUNCTION("""COMPUTED_VALUE"""),3.0)</f>
        <v>3</v>
      </c>
      <c r="K1674" s="213" t="str">
        <f>IFERROR(__xludf.DUMMYFUNCTION("""COMPUTED_VALUE"""),"90 DÍAS CALENDARIO")</f>
        <v>90 DÍAS CALENDARIO</v>
      </c>
      <c r="L1674" s="213" t="str">
        <f>IFERROR(__xludf.DUMMYFUNCTION("""COMPUTED_VALUE"""),"")</f>
        <v/>
      </c>
      <c r="M1674" s="213">
        <f>IFERROR(__xludf.DUMMYFUNCTION("""COMPUTED_VALUE"""),1.0)</f>
        <v>1</v>
      </c>
      <c r="N1674" s="213">
        <f>IFERROR(__xludf.DUMMYFUNCTION("""COMPUTED_VALUE"""),1.0)</f>
        <v>1</v>
      </c>
      <c r="O1674" s="213">
        <f>IFERROR(__xludf.DUMMYFUNCTION("""COMPUTED_VALUE"""),1.0)</f>
        <v>1</v>
      </c>
      <c r="P1674" s="213"/>
      <c r="Q1674" s="213"/>
      <c r="R1674" s="213"/>
      <c r="S1674" s="213"/>
      <c r="T1674" s="213"/>
      <c r="U1674" s="213"/>
      <c r="V1674" s="213"/>
      <c r="W1674" s="213"/>
      <c r="X1674" s="213"/>
      <c r="Y1674" s="213"/>
      <c r="Z1674" s="213"/>
      <c r="AA1674" s="213"/>
      <c r="AB1674" s="213"/>
      <c r="AC1674" s="213"/>
      <c r="AD1674" s="213"/>
      <c r="AE1674" s="213"/>
      <c r="AF1674" s="213"/>
      <c r="AG1674" s="213"/>
      <c r="AH1674" s="213"/>
      <c r="AI1674" s="213"/>
      <c r="AJ1674" s="213"/>
      <c r="AK1674" s="213"/>
      <c r="AL1674" s="213"/>
      <c r="AM1674" s="213"/>
      <c r="AN1674" s="213"/>
      <c r="AO1674" s="213"/>
      <c r="AP1674" s="213"/>
      <c r="AQ1674" s="213"/>
      <c r="AR1674" s="213"/>
      <c r="AS1674" s="213"/>
      <c r="AT1674" s="213"/>
      <c r="AU1674" s="213"/>
      <c r="AV1674" s="213"/>
      <c r="AW1674" s="213"/>
      <c r="AX1674" s="213"/>
      <c r="AY1674" s="213"/>
      <c r="AZ1674" s="213"/>
      <c r="BA1674" s="213"/>
      <c r="BB1674" s="213"/>
      <c r="BC1674" s="213"/>
      <c r="BD1674" s="213"/>
    </row>
    <row r="1675">
      <c r="A1675" s="213">
        <f>IFERROR(__xludf.DUMMYFUNCTION("""COMPUTED_VALUE"""),1675.0)</f>
        <v>1675</v>
      </c>
      <c r="B1675" s="213" t="str">
        <f>IFERROR(__xludf.DUMMYFUNCTION("""COMPUTED_VALUE"""),"GUILLERMO E. BILLINGHURST ")</f>
        <v>GUILLERMO E. BILLINGHURST </v>
      </c>
      <c r="C1675" s="213" t="str">
        <f>IFERROR(__xludf.DUMMYFUNCTION("""COMPUTED_VALUE"""),"TALLER SFT DE COMPUTACIÓN E INFORMÁTICA")</f>
        <v>TALLER SFT DE COMPUTACIÓN E INFORMÁTICA</v>
      </c>
      <c r="D1675" s="213" t="str">
        <f>IFERROR(__xludf.DUMMYFUNCTION("""COMPUTED_VALUE"""),"MOBILIARIO")</f>
        <v>MOBILIARIO</v>
      </c>
      <c r="E1675" s="213" t="str">
        <f>IFERROR(__xludf.DUMMYFUNCTION("""COMPUTED_VALUE"""),"MOB-125")</f>
        <v>MOB-125</v>
      </c>
      <c r="F1675" s="213" t="str">
        <f>IFERROR(__xludf.DUMMYFUNCTION("""COMPUTED_VALUE"""),"MOB-125")</f>
        <v>MOB-125</v>
      </c>
      <c r="G1675" s="213"/>
      <c r="H1675" s="213" t="str">
        <f>IFERROR(__xludf.DUMMYFUNCTION("""COMPUTED_VALUE"""),"MESA DE CASETA SET DE RADIO")</f>
        <v>MESA DE CASETA SET DE RADIO</v>
      </c>
      <c r="I1675" s="213" t="str">
        <f>IFERROR(__xludf.DUMMYFUNCTION("""COMPUTED_VALUE"""),"· Mesa fabricada en tablero melaminizado de 18mm (mínimo), canteada en PVC  3mm y con patas de estructura metálica
en T (preparadas para paso de cableado) con sus laterales desmontables.
· Faldón, en melanina con un espesor de 18 mm (mínimo). y cantos en "&amp;"PVC.
· Deberá estar preparado para pasar cables por parte interna de estructura de acero. (cableado oculto)
· Dimensiones 1500 mm x 550 mm x 850 mm")</f>
        <v>· Mesa fabricada en tablero melaminizado de 18mm (mínimo), canteada en PVC  3mm y con patas de estructura metálica
en T (preparadas para paso de cableado) con sus laterales desmontables.
· Faldón, en melanina con un espesor de 18 mm (mínimo). y cantos en PVC.
· Deberá estar preparado para pasar cables por parte interna de estructura de acero. (cableado oculto)
· Dimensiones 1500 mm x 550 mm x 850 mm</v>
      </c>
      <c r="J1675" s="213">
        <f>IFERROR(__xludf.DUMMYFUNCTION("""COMPUTED_VALUE"""),3.0)</f>
        <v>3</v>
      </c>
      <c r="K1675" s="213" t="str">
        <f>IFERROR(__xludf.DUMMYFUNCTION("""COMPUTED_VALUE"""),"90 DÍAS CALENDARIO")</f>
        <v>90 DÍAS CALENDARIO</v>
      </c>
      <c r="L1675" s="213" t="str">
        <f>IFERROR(__xludf.DUMMYFUNCTION("""COMPUTED_VALUE"""),"")</f>
        <v/>
      </c>
      <c r="M1675" s="213">
        <f>IFERROR(__xludf.DUMMYFUNCTION("""COMPUTED_VALUE"""),1.0)</f>
        <v>1</v>
      </c>
      <c r="N1675" s="213">
        <f>IFERROR(__xludf.DUMMYFUNCTION("""COMPUTED_VALUE"""),1.0)</f>
        <v>1</v>
      </c>
      <c r="O1675" s="213">
        <f>IFERROR(__xludf.DUMMYFUNCTION("""COMPUTED_VALUE"""),1.0)</f>
        <v>1</v>
      </c>
      <c r="P1675" s="213"/>
      <c r="Q1675" s="213"/>
      <c r="R1675" s="213"/>
      <c r="S1675" s="213"/>
      <c r="T1675" s="213"/>
      <c r="U1675" s="213"/>
      <c r="V1675" s="213"/>
      <c r="W1675" s="213"/>
      <c r="X1675" s="213"/>
      <c r="Y1675" s="213"/>
      <c r="Z1675" s="213"/>
      <c r="AA1675" s="213"/>
      <c r="AB1675" s="213"/>
      <c r="AC1675" s="213"/>
      <c r="AD1675" s="213"/>
      <c r="AE1675" s="213"/>
      <c r="AF1675" s="213"/>
      <c r="AG1675" s="213"/>
      <c r="AH1675" s="213"/>
      <c r="AI1675" s="213"/>
      <c r="AJ1675" s="213"/>
      <c r="AK1675" s="213"/>
      <c r="AL1675" s="213"/>
      <c r="AM1675" s="213"/>
      <c r="AN1675" s="213"/>
      <c r="AO1675" s="213"/>
      <c r="AP1675" s="213"/>
      <c r="AQ1675" s="213"/>
      <c r="AR1675" s="213"/>
      <c r="AS1675" s="213"/>
      <c r="AT1675" s="213"/>
      <c r="AU1675" s="213"/>
      <c r="AV1675" s="213"/>
      <c r="AW1675" s="213"/>
      <c r="AX1675" s="213"/>
      <c r="AY1675" s="213"/>
      <c r="AZ1675" s="213"/>
      <c r="BA1675" s="213"/>
      <c r="BB1675" s="213"/>
      <c r="BC1675" s="213"/>
      <c r="BD1675" s="213"/>
    </row>
    <row r="1676">
      <c r="A1676" s="213">
        <f>IFERROR(__xludf.DUMMYFUNCTION("""COMPUTED_VALUE"""),1926.0)</f>
        <v>1926</v>
      </c>
      <c r="B1676" s="213" t="str">
        <f>IFERROR(__xludf.DUMMYFUNCTION("""COMPUTED_VALUE"""),"JOSE GRANDA")</f>
        <v>JOSE GRANDA</v>
      </c>
      <c r="C1676" s="213" t="str">
        <f>IFERROR(__xludf.DUMMYFUNCTION("""COMPUTED_VALUE"""),"TALLER SFT DE COMPUTACIÓN E INFORMÁTICA")</f>
        <v>TALLER SFT DE COMPUTACIÓN E INFORMÁTICA</v>
      </c>
      <c r="D1676" s="213" t="str">
        <f>IFERROR(__xludf.DUMMYFUNCTION("""COMPUTED_VALUE"""),"MOBILIARIO")</f>
        <v>MOBILIARIO</v>
      </c>
      <c r="E1676" s="213" t="str">
        <f>IFERROR(__xludf.DUMMYFUNCTION("""COMPUTED_VALUE"""),"MOB-125")</f>
        <v>MOB-125</v>
      </c>
      <c r="F1676" s="213" t="str">
        <f>IFERROR(__xludf.DUMMYFUNCTION("""COMPUTED_VALUE"""),"MOB-125")</f>
        <v>MOB-125</v>
      </c>
      <c r="G1676" s="213"/>
      <c r="H1676" s="213" t="str">
        <f>IFERROR(__xludf.DUMMYFUNCTION("""COMPUTED_VALUE"""),"MESA DE CASETA SET DE RADIO")</f>
        <v>MESA DE CASETA SET DE RADIO</v>
      </c>
      <c r="I1676" s="213" t="str">
        <f>IFERROR(__xludf.DUMMYFUNCTION("""COMPUTED_VALUE"""),"· Mesa fabricada en tablero melaminizado de 18mm (mínimo), canteada en PVC  3mm y con patas de estructura metálica
en T (preparadas para paso de cableado) con sus laterales desmontables.
· Faldón, en melanina con un espesor de 18 mm (mínimo). y cantos en "&amp;"PVC.
· Deberá estar preparado para pasar cables por parte interna de estructura de acero. (cableado oculto)
· Dimensiones 1500 mm x 550 mm x 850 mm")</f>
        <v>· Mesa fabricada en tablero melaminizado de 18mm (mínimo), canteada en PVC  3mm y con patas de estructura metálica
en T (preparadas para paso de cableado) con sus laterales desmontables.
· Faldón, en melanina con un espesor de 18 mm (mínimo). y cantos en PVC.
· Deberá estar preparado para pasar cables por parte interna de estructura de acero. (cableado oculto)
· Dimensiones 1500 mm x 550 mm x 850 mm</v>
      </c>
      <c r="J1676" s="213">
        <f>IFERROR(__xludf.DUMMYFUNCTION("""COMPUTED_VALUE"""),3.0)</f>
        <v>3</v>
      </c>
      <c r="K1676" s="213" t="str">
        <f>IFERROR(__xludf.DUMMYFUNCTION("""COMPUTED_VALUE"""),"90 DÍAS CALENDARIO")</f>
        <v>90 DÍAS CALENDARIO</v>
      </c>
      <c r="L1676" s="213" t="str">
        <f>IFERROR(__xludf.DUMMYFUNCTION("""COMPUTED_VALUE"""),"")</f>
        <v/>
      </c>
      <c r="M1676" s="213">
        <f>IFERROR(__xludf.DUMMYFUNCTION("""COMPUTED_VALUE"""),1.0)</f>
        <v>1</v>
      </c>
      <c r="N1676" s="213">
        <f>IFERROR(__xludf.DUMMYFUNCTION("""COMPUTED_VALUE"""),1.0)</f>
        <v>1</v>
      </c>
      <c r="O1676" s="213">
        <f>IFERROR(__xludf.DUMMYFUNCTION("""COMPUTED_VALUE"""),1.0)</f>
        <v>1</v>
      </c>
      <c r="P1676" s="213"/>
      <c r="Q1676" s="213"/>
      <c r="R1676" s="213"/>
      <c r="S1676" s="213"/>
      <c r="T1676" s="213"/>
      <c r="U1676" s="213"/>
      <c r="V1676" s="213"/>
      <c r="W1676" s="213"/>
      <c r="X1676" s="213"/>
      <c r="Y1676" s="213"/>
      <c r="Z1676" s="213"/>
      <c r="AA1676" s="213"/>
      <c r="AB1676" s="213"/>
      <c r="AC1676" s="213"/>
      <c r="AD1676" s="213"/>
      <c r="AE1676" s="213"/>
      <c r="AF1676" s="213"/>
      <c r="AG1676" s="213"/>
      <c r="AH1676" s="213"/>
      <c r="AI1676" s="213"/>
      <c r="AJ1676" s="213"/>
      <c r="AK1676" s="213"/>
      <c r="AL1676" s="213"/>
      <c r="AM1676" s="213"/>
      <c r="AN1676" s="213"/>
      <c r="AO1676" s="213"/>
      <c r="AP1676" s="213"/>
      <c r="AQ1676" s="213"/>
      <c r="AR1676" s="213"/>
      <c r="AS1676" s="213"/>
      <c r="AT1676" s="213"/>
      <c r="AU1676" s="213"/>
      <c r="AV1676" s="213"/>
      <c r="AW1676" s="213"/>
      <c r="AX1676" s="213"/>
      <c r="AY1676" s="213"/>
      <c r="AZ1676" s="213"/>
      <c r="BA1676" s="213"/>
      <c r="BB1676" s="213"/>
      <c r="BC1676" s="213"/>
      <c r="BD1676" s="213"/>
    </row>
    <row r="1677">
      <c r="A1677" s="213">
        <f>IFERROR(__xludf.DUMMYFUNCTION("""COMPUTED_VALUE"""),75.0)</f>
        <v>75</v>
      </c>
      <c r="B1677" s="213" t="str">
        <f>IFERROR(__xludf.DUMMYFUNCTION("""COMPUTED_VALUE"""),"16449 ELOY SOBERON  FLORES")</f>
        <v>16449 ELOY SOBERON  FLORES</v>
      </c>
      <c r="C1677" s="213" t="str">
        <f>IFERROR(__xludf.DUMMYFUNCTION("""COMPUTED_VALUE"""),"TALLER SFT DE COCINA Y REPOSTERÍA")</f>
        <v>TALLER SFT DE COCINA Y REPOSTERÍA</v>
      </c>
      <c r="D1677" s="213" t="str">
        <f>IFERROR(__xludf.DUMMYFUNCTION("""COMPUTED_VALUE"""),"MOBILIARIO")</f>
        <v>MOBILIARIO</v>
      </c>
      <c r="E1677" s="213" t="str">
        <f>IFERROR(__xludf.DUMMYFUNCTION("""COMPUTED_VALUE"""),"MOB-126")</f>
        <v>MOB-126</v>
      </c>
      <c r="F1677" s="213" t="str">
        <f>IFERROR(__xludf.DUMMYFUNCTION("""COMPUTED_VALUE"""),"MOB-126")</f>
        <v>MOB-126</v>
      </c>
      <c r="G1677" s="213"/>
      <c r="H1677" s="213" t="str">
        <f>IFERROR(__xludf.DUMMYFUNCTION("""COMPUTED_VALUE"""),"MESA DE COMPUTADORA PARA ESTUDIANTE (1000 X 600 X 750 MM.)")</f>
        <v>MESA DE COMPUTADORA PARA ESTUDIANTE (1000 X 600 X 750 MM.)</v>
      </c>
      <c r="I1677"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77" s="213">
        <f>IFERROR(__xludf.DUMMYFUNCTION("""COMPUTED_VALUE"""),3.0)</f>
        <v>3</v>
      </c>
      <c r="K1677" s="213" t="str">
        <f>IFERROR(__xludf.DUMMYFUNCTION("""COMPUTED_VALUE"""),"90 DÍAS CALENDARIO")</f>
        <v>90 DÍAS CALENDARIO</v>
      </c>
      <c r="L1677" s="213" t="str">
        <f>IFERROR(__xludf.DUMMYFUNCTION("""COMPUTED_VALUE"""),"")</f>
        <v/>
      </c>
      <c r="M1677" s="213">
        <f>IFERROR(__xludf.DUMMYFUNCTION("""COMPUTED_VALUE"""),1.0)</f>
        <v>1</v>
      </c>
      <c r="N1677" s="213">
        <f>IFERROR(__xludf.DUMMYFUNCTION("""COMPUTED_VALUE"""),19.0)</f>
        <v>19</v>
      </c>
      <c r="O1677" s="213">
        <f>IFERROR(__xludf.DUMMYFUNCTION("""COMPUTED_VALUE"""),19.0)</f>
        <v>19</v>
      </c>
      <c r="P1677" s="213"/>
      <c r="Q1677" s="213"/>
      <c r="R1677" s="213"/>
      <c r="S1677" s="213"/>
      <c r="T1677" s="213"/>
      <c r="U1677" s="213"/>
      <c r="V1677" s="213"/>
      <c r="W1677" s="213"/>
      <c r="X1677" s="213"/>
      <c r="Y1677" s="213"/>
      <c r="Z1677" s="213"/>
      <c r="AA1677" s="213"/>
      <c r="AB1677" s="213"/>
      <c r="AC1677" s="213"/>
      <c r="AD1677" s="213"/>
      <c r="AE1677" s="213"/>
      <c r="AF1677" s="213"/>
      <c r="AG1677" s="213"/>
      <c r="AH1677" s="213"/>
      <c r="AI1677" s="213"/>
      <c r="AJ1677" s="213"/>
      <c r="AK1677" s="213"/>
      <c r="AL1677" s="213"/>
      <c r="AM1677" s="213"/>
      <c r="AN1677" s="213"/>
      <c r="AO1677" s="213"/>
      <c r="AP1677" s="213"/>
      <c r="AQ1677" s="213"/>
      <c r="AR1677" s="213"/>
      <c r="AS1677" s="213"/>
      <c r="AT1677" s="213"/>
      <c r="AU1677" s="213"/>
      <c r="AV1677" s="213"/>
      <c r="AW1677" s="213"/>
      <c r="AX1677" s="213"/>
      <c r="AY1677" s="213"/>
      <c r="AZ1677" s="213"/>
      <c r="BA1677" s="213"/>
      <c r="BB1677" s="213"/>
      <c r="BC1677" s="213"/>
      <c r="BD1677" s="213"/>
    </row>
    <row r="1678">
      <c r="A1678" s="213">
        <f>IFERROR(__xludf.DUMMYFUNCTION("""COMPUTED_VALUE"""),138.0)</f>
        <v>138</v>
      </c>
      <c r="B1678" s="213" t="str">
        <f>IFERROR(__xludf.DUMMYFUNCTION("""COMPUTED_VALUE"""),"2026 SIMON BOLIVAR")</f>
        <v>2026 SIMON BOLIVAR</v>
      </c>
      <c r="C1678" s="213" t="str">
        <f>IFERROR(__xludf.DUMMYFUNCTION("""COMPUTED_VALUE"""),"TALLER SFT DE INDUSTRIA DEL VESTIDO")</f>
        <v>TALLER SFT DE INDUSTRIA DEL VESTIDO</v>
      </c>
      <c r="D1678" s="213" t="str">
        <f>IFERROR(__xludf.DUMMYFUNCTION("""COMPUTED_VALUE"""),"MOBILIARIO")</f>
        <v>MOBILIARIO</v>
      </c>
      <c r="E1678" s="213" t="str">
        <f>IFERROR(__xludf.DUMMYFUNCTION("""COMPUTED_VALUE"""),"MOB-126")</f>
        <v>MOB-126</v>
      </c>
      <c r="F1678" s="213" t="str">
        <f>IFERROR(__xludf.DUMMYFUNCTION("""COMPUTED_VALUE"""),"MOB-126")</f>
        <v>MOB-126</v>
      </c>
      <c r="G1678" s="213"/>
      <c r="H1678" s="213" t="str">
        <f>IFERROR(__xludf.DUMMYFUNCTION("""COMPUTED_VALUE"""),"MESA DE COMPUTADORA PARA ESTUDIANTE (1000 X 600 X 750 MM.)")</f>
        <v>MESA DE COMPUTADORA PARA ESTUDIANTE (1000 X 600 X 750 MM.)</v>
      </c>
      <c r="I1678"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78" s="213">
        <f>IFERROR(__xludf.DUMMYFUNCTION("""COMPUTED_VALUE"""),3.0)</f>
        <v>3</v>
      </c>
      <c r="K1678" s="213" t="str">
        <f>IFERROR(__xludf.DUMMYFUNCTION("""COMPUTED_VALUE"""),"90 DÍAS CALENDARIO")</f>
        <v>90 DÍAS CALENDARIO</v>
      </c>
      <c r="L1678" s="213" t="str">
        <f>IFERROR(__xludf.DUMMYFUNCTION("""COMPUTED_VALUE"""),"")</f>
        <v/>
      </c>
      <c r="M1678" s="213">
        <f>IFERROR(__xludf.DUMMYFUNCTION("""COMPUTED_VALUE"""),1.0)</f>
        <v>1</v>
      </c>
      <c r="N1678" s="213">
        <f>IFERROR(__xludf.DUMMYFUNCTION("""COMPUTED_VALUE"""),14.0)</f>
        <v>14</v>
      </c>
      <c r="O1678" s="213">
        <f>IFERROR(__xludf.DUMMYFUNCTION("""COMPUTED_VALUE"""),14.0)</f>
        <v>14</v>
      </c>
      <c r="P1678" s="213"/>
      <c r="Q1678" s="213"/>
      <c r="R1678" s="213"/>
      <c r="S1678" s="213"/>
      <c r="T1678" s="213"/>
      <c r="U1678" s="213"/>
      <c r="V1678" s="213"/>
      <c r="W1678" s="213"/>
      <c r="X1678" s="213"/>
      <c r="Y1678" s="213"/>
      <c r="Z1678" s="213"/>
      <c r="AA1678" s="213"/>
      <c r="AB1678" s="213"/>
      <c r="AC1678" s="213"/>
      <c r="AD1678" s="213"/>
      <c r="AE1678" s="213"/>
      <c r="AF1678" s="213"/>
      <c r="AG1678" s="213"/>
      <c r="AH1678" s="213"/>
      <c r="AI1678" s="213"/>
      <c r="AJ1678" s="213"/>
      <c r="AK1678" s="213"/>
      <c r="AL1678" s="213"/>
      <c r="AM1678" s="213"/>
      <c r="AN1678" s="213"/>
      <c r="AO1678" s="213"/>
      <c r="AP1678" s="213"/>
      <c r="AQ1678" s="213"/>
      <c r="AR1678" s="213"/>
      <c r="AS1678" s="213"/>
      <c r="AT1678" s="213"/>
      <c r="AU1678" s="213"/>
      <c r="AV1678" s="213"/>
      <c r="AW1678" s="213"/>
      <c r="AX1678" s="213"/>
      <c r="AY1678" s="213"/>
      <c r="AZ1678" s="213"/>
      <c r="BA1678" s="213"/>
      <c r="BB1678" s="213"/>
      <c r="BC1678" s="213"/>
      <c r="BD1678" s="213"/>
    </row>
    <row r="1679">
      <c r="A1679" s="213">
        <f>IFERROR(__xludf.DUMMYFUNCTION("""COMPUTED_VALUE"""),241.0)</f>
        <v>241</v>
      </c>
      <c r="B1679" s="213" t="str">
        <f>IFERROR(__xludf.DUMMYFUNCTION("""COMPUTED_VALUE"""),"2026 SIMON BOLIVAR")</f>
        <v>2026 SIMON BOLIVAR</v>
      </c>
      <c r="C1679" s="213" t="str">
        <f>IFERROR(__xludf.DUMMYFUNCTION("""COMPUTED_VALUE"""),"TALLER SFT DE COMPUTACIÓN E INFORMÁTICA")</f>
        <v>TALLER SFT DE COMPUTACIÓN E INFORMÁTICA</v>
      </c>
      <c r="D1679" s="213" t="str">
        <f>IFERROR(__xludf.DUMMYFUNCTION("""COMPUTED_VALUE"""),"MOBILIARIO")</f>
        <v>MOBILIARIO</v>
      </c>
      <c r="E1679" s="213" t="str">
        <f>IFERROR(__xludf.DUMMYFUNCTION("""COMPUTED_VALUE"""),"MOB-126")</f>
        <v>MOB-126</v>
      </c>
      <c r="F1679" s="213" t="str">
        <f>IFERROR(__xludf.DUMMYFUNCTION("""COMPUTED_VALUE"""),"MOB-126")</f>
        <v>MOB-126</v>
      </c>
      <c r="G1679" s="213"/>
      <c r="H1679" s="213" t="str">
        <f>IFERROR(__xludf.DUMMYFUNCTION("""COMPUTED_VALUE"""),"MESA DE COMPUTADORA PARA ESTUDIANTE (1000 X 600 X 750 MM.)")</f>
        <v>MESA DE COMPUTADORA PARA ESTUDIANTE (1000 X 600 X 750 MM.)</v>
      </c>
      <c r="I1679"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79" s="213">
        <f>IFERROR(__xludf.DUMMYFUNCTION("""COMPUTED_VALUE"""),3.0)</f>
        <v>3</v>
      </c>
      <c r="K1679" s="213" t="str">
        <f>IFERROR(__xludf.DUMMYFUNCTION("""COMPUTED_VALUE"""),"90 DÍAS CALENDARIO")</f>
        <v>90 DÍAS CALENDARIO</v>
      </c>
      <c r="L1679" s="213" t="str">
        <f>IFERROR(__xludf.DUMMYFUNCTION("""COMPUTED_VALUE"""),"")</f>
        <v/>
      </c>
      <c r="M1679" s="213">
        <f>IFERROR(__xludf.DUMMYFUNCTION("""COMPUTED_VALUE"""),1.0)</f>
        <v>1</v>
      </c>
      <c r="N1679" s="213">
        <f>IFERROR(__xludf.DUMMYFUNCTION("""COMPUTED_VALUE"""),14.0)</f>
        <v>14</v>
      </c>
      <c r="O1679" s="213">
        <f>IFERROR(__xludf.DUMMYFUNCTION("""COMPUTED_VALUE"""),14.0)</f>
        <v>14</v>
      </c>
      <c r="P1679" s="213"/>
      <c r="Q1679" s="213"/>
      <c r="R1679" s="213"/>
      <c r="S1679" s="213"/>
      <c r="T1679" s="213"/>
      <c r="U1679" s="213"/>
      <c r="V1679" s="213"/>
      <c r="W1679" s="213"/>
      <c r="X1679" s="213"/>
      <c r="Y1679" s="213"/>
      <c r="Z1679" s="213"/>
      <c r="AA1679" s="213"/>
      <c r="AB1679" s="213"/>
      <c r="AC1679" s="213"/>
      <c r="AD1679" s="213"/>
      <c r="AE1679" s="213"/>
      <c r="AF1679" s="213"/>
      <c r="AG1679" s="213"/>
      <c r="AH1679" s="213"/>
      <c r="AI1679" s="213"/>
      <c r="AJ1679" s="213"/>
      <c r="AK1679" s="213"/>
      <c r="AL1679" s="213"/>
      <c r="AM1679" s="213"/>
      <c r="AN1679" s="213"/>
      <c r="AO1679" s="213"/>
      <c r="AP1679" s="213"/>
      <c r="AQ1679" s="213"/>
      <c r="AR1679" s="213"/>
      <c r="AS1679" s="213"/>
      <c r="AT1679" s="213"/>
      <c r="AU1679" s="213"/>
      <c r="AV1679" s="213"/>
      <c r="AW1679" s="213"/>
      <c r="AX1679" s="213"/>
      <c r="AY1679" s="213"/>
      <c r="AZ1679" s="213"/>
      <c r="BA1679" s="213"/>
      <c r="BB1679" s="213"/>
      <c r="BC1679" s="213"/>
      <c r="BD1679" s="213"/>
    </row>
    <row r="1680">
      <c r="A1680" s="213">
        <f>IFERROR(__xludf.DUMMYFUNCTION("""COMPUTED_VALUE"""),334.0)</f>
        <v>334</v>
      </c>
      <c r="B1680" s="213" t="str">
        <f>IFERROR(__xludf.DUMMYFUNCTION("""COMPUTED_VALUE"""),"2026 SIMON BOLIVAR")</f>
        <v>2026 SIMON BOLIVAR</v>
      </c>
      <c r="C1680" s="213" t="str">
        <f>IFERROR(__xludf.DUMMYFUNCTION("""COMPUTED_VALUE"""),"TALLER SFT DE ELECTRICIDAD")</f>
        <v>TALLER SFT DE ELECTRICIDAD</v>
      </c>
      <c r="D1680" s="213" t="str">
        <f>IFERROR(__xludf.DUMMYFUNCTION("""COMPUTED_VALUE"""),"MOBILIARIO")</f>
        <v>MOBILIARIO</v>
      </c>
      <c r="E1680" s="213" t="str">
        <f>IFERROR(__xludf.DUMMYFUNCTION("""COMPUTED_VALUE"""),"MOB-126")</f>
        <v>MOB-126</v>
      </c>
      <c r="F1680" s="213" t="str">
        <f>IFERROR(__xludf.DUMMYFUNCTION("""COMPUTED_VALUE"""),"MOB-126")</f>
        <v>MOB-126</v>
      </c>
      <c r="G1680" s="213"/>
      <c r="H1680" s="213" t="str">
        <f>IFERROR(__xludf.DUMMYFUNCTION("""COMPUTED_VALUE"""),"MESA DE COMPUTADORA PARA ESTUDIANTE (1000 X 600 X 750 MM.)")</f>
        <v>MESA DE COMPUTADORA PARA ESTUDIANTE (1000 X 600 X 750 MM.)</v>
      </c>
      <c r="I1680"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0" s="213">
        <f>IFERROR(__xludf.DUMMYFUNCTION("""COMPUTED_VALUE"""),3.0)</f>
        <v>3</v>
      </c>
      <c r="K1680" s="213" t="str">
        <f>IFERROR(__xludf.DUMMYFUNCTION("""COMPUTED_VALUE"""),"90 DÍAS CALENDARIO")</f>
        <v>90 DÍAS CALENDARIO</v>
      </c>
      <c r="L1680" s="213" t="str">
        <f>IFERROR(__xludf.DUMMYFUNCTION("""COMPUTED_VALUE"""),"")</f>
        <v/>
      </c>
      <c r="M1680" s="213">
        <f>IFERROR(__xludf.DUMMYFUNCTION("""COMPUTED_VALUE"""),1.0)</f>
        <v>1</v>
      </c>
      <c r="N1680" s="213">
        <f>IFERROR(__xludf.DUMMYFUNCTION("""COMPUTED_VALUE"""),15.0)</f>
        <v>15</v>
      </c>
      <c r="O1680" s="213">
        <f>IFERROR(__xludf.DUMMYFUNCTION("""COMPUTED_VALUE"""),15.0)</f>
        <v>15</v>
      </c>
      <c r="P1680" s="213"/>
      <c r="Q1680" s="213"/>
      <c r="R1680" s="213"/>
      <c r="S1680" s="213"/>
      <c r="T1680" s="213"/>
      <c r="U1680" s="213"/>
      <c r="V1680" s="213"/>
      <c r="W1680" s="213"/>
      <c r="X1680" s="213"/>
      <c r="Y1680" s="213"/>
      <c r="Z1680" s="213"/>
      <c r="AA1680" s="213"/>
      <c r="AB1680" s="213"/>
      <c r="AC1680" s="213"/>
      <c r="AD1680" s="213"/>
      <c r="AE1680" s="213"/>
      <c r="AF1680" s="213"/>
      <c r="AG1680" s="213"/>
      <c r="AH1680" s="213"/>
      <c r="AI1680" s="213"/>
      <c r="AJ1680" s="213"/>
      <c r="AK1680" s="213"/>
      <c r="AL1680" s="213"/>
      <c r="AM1680" s="213"/>
      <c r="AN1680" s="213"/>
      <c r="AO1680" s="213"/>
      <c r="AP1680" s="213"/>
      <c r="AQ1680" s="213"/>
      <c r="AR1680" s="213"/>
      <c r="AS1680" s="213"/>
      <c r="AT1680" s="213"/>
      <c r="AU1680" s="213"/>
      <c r="AV1680" s="213"/>
      <c r="AW1680" s="213"/>
      <c r="AX1680" s="213"/>
      <c r="AY1680" s="213"/>
      <c r="AZ1680" s="213"/>
      <c r="BA1680" s="213"/>
      <c r="BB1680" s="213"/>
      <c r="BC1680" s="213"/>
      <c r="BD1680" s="213"/>
    </row>
    <row r="1681">
      <c r="A1681" s="213">
        <f>IFERROR(__xludf.DUMMYFUNCTION("""COMPUTED_VALUE"""),419.0)</f>
        <v>419</v>
      </c>
      <c r="B1681" s="213" t="str">
        <f>IFERROR(__xludf.DUMMYFUNCTION("""COMPUTED_VALUE"""),"2026 SIMON BOLIVAR")</f>
        <v>2026 SIMON BOLIVAR</v>
      </c>
      <c r="C1681" s="213" t="str">
        <f>IFERROR(__xludf.DUMMYFUNCTION("""COMPUTED_VALUE"""),"TALLER SFT DE INDUSTRIA ALIMENTARIA")</f>
        <v>TALLER SFT DE INDUSTRIA ALIMENTARIA</v>
      </c>
      <c r="D1681" s="213" t="str">
        <f>IFERROR(__xludf.DUMMYFUNCTION("""COMPUTED_VALUE"""),"MOBILIARIO")</f>
        <v>MOBILIARIO</v>
      </c>
      <c r="E1681" s="213" t="str">
        <f>IFERROR(__xludf.DUMMYFUNCTION("""COMPUTED_VALUE"""),"MOB-126")</f>
        <v>MOB-126</v>
      </c>
      <c r="F1681" s="213" t="str">
        <f>IFERROR(__xludf.DUMMYFUNCTION("""COMPUTED_VALUE"""),"MOB-126")</f>
        <v>MOB-126</v>
      </c>
      <c r="G1681" s="213"/>
      <c r="H1681" s="213" t="str">
        <f>IFERROR(__xludf.DUMMYFUNCTION("""COMPUTED_VALUE"""),"MESA DE COMPUTADORA PARA ESTUDIANTE (1000 X 600 X 750 MM.)")</f>
        <v>MESA DE COMPUTADORA PARA ESTUDIANTE (1000 X 600 X 750 MM.)</v>
      </c>
      <c r="I1681"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1" s="213">
        <f>IFERROR(__xludf.DUMMYFUNCTION("""COMPUTED_VALUE"""),3.0)</f>
        <v>3</v>
      </c>
      <c r="K1681" s="213" t="str">
        <f>IFERROR(__xludf.DUMMYFUNCTION("""COMPUTED_VALUE"""),"90 DÍAS CALENDARIO")</f>
        <v>90 DÍAS CALENDARIO</v>
      </c>
      <c r="L1681" s="213" t="str">
        <f>IFERROR(__xludf.DUMMYFUNCTION("""COMPUTED_VALUE"""),"")</f>
        <v/>
      </c>
      <c r="M1681" s="213">
        <f>IFERROR(__xludf.DUMMYFUNCTION("""COMPUTED_VALUE"""),1.0)</f>
        <v>1</v>
      </c>
      <c r="N1681" s="213">
        <f>IFERROR(__xludf.DUMMYFUNCTION("""COMPUTED_VALUE"""),20.0)</f>
        <v>20</v>
      </c>
      <c r="O1681" s="213">
        <f>IFERROR(__xludf.DUMMYFUNCTION("""COMPUTED_VALUE"""),20.0)</f>
        <v>20</v>
      </c>
      <c r="P1681" s="213"/>
      <c r="Q1681" s="213"/>
      <c r="R1681" s="213"/>
      <c r="S1681" s="213"/>
      <c r="T1681" s="213"/>
      <c r="U1681" s="213"/>
      <c r="V1681" s="213"/>
      <c r="W1681" s="213"/>
      <c r="X1681" s="213"/>
      <c r="Y1681" s="213"/>
      <c r="Z1681" s="213"/>
      <c r="AA1681" s="213"/>
      <c r="AB1681" s="213"/>
      <c r="AC1681" s="213"/>
      <c r="AD1681" s="213"/>
      <c r="AE1681" s="213"/>
      <c r="AF1681" s="213"/>
      <c r="AG1681" s="213"/>
      <c r="AH1681" s="213"/>
      <c r="AI1681" s="213"/>
      <c r="AJ1681" s="213"/>
      <c r="AK1681" s="213"/>
      <c r="AL1681" s="213"/>
      <c r="AM1681" s="213"/>
      <c r="AN1681" s="213"/>
      <c r="AO1681" s="213"/>
      <c r="AP1681" s="213"/>
      <c r="AQ1681" s="213"/>
      <c r="AR1681" s="213"/>
      <c r="AS1681" s="213"/>
      <c r="AT1681" s="213"/>
      <c r="AU1681" s="213"/>
      <c r="AV1681" s="213"/>
      <c r="AW1681" s="213"/>
      <c r="AX1681" s="213"/>
      <c r="AY1681" s="213"/>
      <c r="AZ1681" s="213"/>
      <c r="BA1681" s="213"/>
      <c r="BB1681" s="213"/>
      <c r="BC1681" s="213"/>
      <c r="BD1681" s="213"/>
    </row>
    <row r="1682">
      <c r="A1682" s="213">
        <f>IFERROR(__xludf.DUMMYFUNCTION("""COMPUTED_VALUE"""),609.0)</f>
        <v>609</v>
      </c>
      <c r="B1682" s="213" t="str">
        <f>IFERROR(__xludf.DUMMYFUNCTION("""COMPUTED_VALUE"""),"6049 RICARDO PALMA")</f>
        <v>6049 RICARDO PALMA</v>
      </c>
      <c r="C1682" s="213" t="str">
        <f>IFERROR(__xludf.DUMMYFUNCTION("""COMPUTED_VALUE"""),"TALLER SFT DE ELECTRÓNICA")</f>
        <v>TALLER SFT DE ELECTRÓNICA</v>
      </c>
      <c r="D1682" s="213" t="str">
        <f>IFERROR(__xludf.DUMMYFUNCTION("""COMPUTED_VALUE"""),"MOBILIARIO")</f>
        <v>MOBILIARIO</v>
      </c>
      <c r="E1682" s="213" t="str">
        <f>IFERROR(__xludf.DUMMYFUNCTION("""COMPUTED_VALUE"""),"MOB-126")</f>
        <v>MOB-126</v>
      </c>
      <c r="F1682" s="213" t="str">
        <f>IFERROR(__xludf.DUMMYFUNCTION("""COMPUTED_VALUE"""),"MOB-126")</f>
        <v>MOB-126</v>
      </c>
      <c r="G1682" s="213"/>
      <c r="H1682" s="213" t="str">
        <f>IFERROR(__xludf.DUMMYFUNCTION("""COMPUTED_VALUE"""),"MESA DE COMPUTADORA PARA ESTUDIANTE (1000 X 600 X 750 MM.)")</f>
        <v>MESA DE COMPUTADORA PARA ESTUDIANTE (1000 X 600 X 750 MM.)</v>
      </c>
      <c r="I1682"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2" s="213">
        <f>IFERROR(__xludf.DUMMYFUNCTION("""COMPUTED_VALUE"""),3.0)</f>
        <v>3</v>
      </c>
      <c r="K1682" s="213" t="str">
        <f>IFERROR(__xludf.DUMMYFUNCTION("""COMPUTED_VALUE"""),"90 DÍAS CALENDARIO")</f>
        <v>90 DÍAS CALENDARIO</v>
      </c>
      <c r="L1682" s="213" t="str">
        <f>IFERROR(__xludf.DUMMYFUNCTION("""COMPUTED_VALUE"""),"")</f>
        <v/>
      </c>
      <c r="M1682" s="213">
        <f>IFERROR(__xludf.DUMMYFUNCTION("""COMPUTED_VALUE"""),1.0)</f>
        <v>1</v>
      </c>
      <c r="N1682" s="213">
        <f>IFERROR(__xludf.DUMMYFUNCTION("""COMPUTED_VALUE"""),19.0)</f>
        <v>19</v>
      </c>
      <c r="O1682" s="213">
        <f>IFERROR(__xludf.DUMMYFUNCTION("""COMPUTED_VALUE"""),19.0)</f>
        <v>19</v>
      </c>
      <c r="P1682" s="213"/>
      <c r="Q1682" s="213"/>
      <c r="R1682" s="213"/>
      <c r="S1682" s="213"/>
      <c r="T1682" s="213"/>
      <c r="U1682" s="213"/>
      <c r="V1682" s="213"/>
      <c r="W1682" s="213"/>
      <c r="X1682" s="213"/>
      <c r="Y1682" s="213"/>
      <c r="Z1682" s="213"/>
      <c r="AA1682" s="213"/>
      <c r="AB1682" s="213"/>
      <c r="AC1682" s="213"/>
      <c r="AD1682" s="213"/>
      <c r="AE1682" s="213"/>
      <c r="AF1682" s="213"/>
      <c r="AG1682" s="213"/>
      <c r="AH1682" s="213"/>
      <c r="AI1682" s="213"/>
      <c r="AJ1682" s="213"/>
      <c r="AK1682" s="213"/>
      <c r="AL1682" s="213"/>
      <c r="AM1682" s="213"/>
      <c r="AN1682" s="213"/>
      <c r="AO1682" s="213"/>
      <c r="AP1682" s="213"/>
      <c r="AQ1682" s="213"/>
      <c r="AR1682" s="213"/>
      <c r="AS1682" s="213"/>
      <c r="AT1682" s="213"/>
      <c r="AU1682" s="213"/>
      <c r="AV1682" s="213"/>
      <c r="AW1682" s="213"/>
      <c r="AX1682" s="213"/>
      <c r="AY1682" s="213"/>
      <c r="AZ1682" s="213"/>
      <c r="BA1682" s="213"/>
      <c r="BB1682" s="213"/>
      <c r="BC1682" s="213"/>
      <c r="BD1682" s="213"/>
    </row>
    <row r="1683">
      <c r="A1683" s="213">
        <f>IFERROR(__xludf.DUMMYFUNCTION("""COMPUTED_VALUE"""),726.0)</f>
        <v>726</v>
      </c>
      <c r="B1683" s="213" t="str">
        <f>IFERROR(__xludf.DUMMYFUNCTION("""COMPUTED_VALUE"""),"6049 RICARDO PALMA")</f>
        <v>6049 RICARDO PALMA</v>
      </c>
      <c r="C1683" s="213" t="str">
        <f>IFERROR(__xludf.DUMMYFUNCTION("""COMPUTED_VALUE"""),"TALLER SFT DE COMPUTACIÓN E INFORMÁTICA")</f>
        <v>TALLER SFT DE COMPUTACIÓN E INFORMÁTICA</v>
      </c>
      <c r="D1683" s="213" t="str">
        <f>IFERROR(__xludf.DUMMYFUNCTION("""COMPUTED_VALUE"""),"MOBILIARIO")</f>
        <v>MOBILIARIO</v>
      </c>
      <c r="E1683" s="213" t="str">
        <f>IFERROR(__xludf.DUMMYFUNCTION("""COMPUTED_VALUE"""),"MOB-126")</f>
        <v>MOB-126</v>
      </c>
      <c r="F1683" s="213" t="str">
        <f>IFERROR(__xludf.DUMMYFUNCTION("""COMPUTED_VALUE"""),"MOB-126")</f>
        <v>MOB-126</v>
      </c>
      <c r="G1683" s="213"/>
      <c r="H1683" s="213" t="str">
        <f>IFERROR(__xludf.DUMMYFUNCTION("""COMPUTED_VALUE"""),"MESA DE COMPUTADORA PARA ESTUDIANTE (1000 X 600 X 750 MM.)")</f>
        <v>MESA DE COMPUTADORA PARA ESTUDIANTE (1000 X 600 X 750 MM.)</v>
      </c>
      <c r="I1683"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3" s="213">
        <f>IFERROR(__xludf.DUMMYFUNCTION("""COMPUTED_VALUE"""),3.0)</f>
        <v>3</v>
      </c>
      <c r="K1683" s="213" t="str">
        <f>IFERROR(__xludf.DUMMYFUNCTION("""COMPUTED_VALUE"""),"90 DÍAS CALENDARIO")</f>
        <v>90 DÍAS CALENDARIO</v>
      </c>
      <c r="L1683" s="213" t="str">
        <f>IFERROR(__xludf.DUMMYFUNCTION("""COMPUTED_VALUE"""),"")</f>
        <v/>
      </c>
      <c r="M1683" s="213">
        <f>IFERROR(__xludf.DUMMYFUNCTION("""COMPUTED_VALUE"""),1.0)</f>
        <v>1</v>
      </c>
      <c r="N1683" s="213">
        <f>IFERROR(__xludf.DUMMYFUNCTION("""COMPUTED_VALUE"""),16.0)</f>
        <v>16</v>
      </c>
      <c r="O1683" s="213">
        <f>IFERROR(__xludf.DUMMYFUNCTION("""COMPUTED_VALUE"""),16.0)</f>
        <v>16</v>
      </c>
      <c r="P1683" s="213"/>
      <c r="Q1683" s="213"/>
      <c r="R1683" s="213"/>
      <c r="S1683" s="213"/>
      <c r="T1683" s="213"/>
      <c r="U1683" s="213"/>
      <c r="V1683" s="213"/>
      <c r="W1683" s="213"/>
      <c r="X1683" s="213"/>
      <c r="Y1683" s="213"/>
      <c r="Z1683" s="213"/>
      <c r="AA1683" s="213"/>
      <c r="AB1683" s="213"/>
      <c r="AC1683" s="213"/>
      <c r="AD1683" s="213"/>
      <c r="AE1683" s="213"/>
      <c r="AF1683" s="213"/>
      <c r="AG1683" s="213"/>
      <c r="AH1683" s="213"/>
      <c r="AI1683" s="213"/>
      <c r="AJ1683" s="213"/>
      <c r="AK1683" s="213"/>
      <c r="AL1683" s="213"/>
      <c r="AM1683" s="213"/>
      <c r="AN1683" s="213"/>
      <c r="AO1683" s="213"/>
      <c r="AP1683" s="213"/>
      <c r="AQ1683" s="213"/>
      <c r="AR1683" s="213"/>
      <c r="AS1683" s="213"/>
      <c r="AT1683" s="213"/>
      <c r="AU1683" s="213"/>
      <c r="AV1683" s="213"/>
      <c r="AW1683" s="213"/>
      <c r="AX1683" s="213"/>
      <c r="AY1683" s="213"/>
      <c r="AZ1683" s="213"/>
      <c r="BA1683" s="213"/>
      <c r="BB1683" s="213"/>
      <c r="BC1683" s="213"/>
      <c r="BD1683" s="213"/>
    </row>
    <row r="1684">
      <c r="A1684" s="213">
        <f>IFERROR(__xludf.DUMMYFUNCTION("""COMPUTED_VALUE"""),820.0)</f>
        <v>820</v>
      </c>
      <c r="B1684" s="213" t="str">
        <f>IFERROR(__xludf.DUMMYFUNCTION("""COMPUTED_VALUE"""),"6049 RICARDO PALMA")</f>
        <v>6049 RICARDO PALMA</v>
      </c>
      <c r="C1684" s="213" t="str">
        <f>IFERROR(__xludf.DUMMYFUNCTION("""COMPUTED_VALUE"""),"TALLER SFT DE ELECTRICIDAD")</f>
        <v>TALLER SFT DE ELECTRICIDAD</v>
      </c>
      <c r="D1684" s="213" t="str">
        <f>IFERROR(__xludf.DUMMYFUNCTION("""COMPUTED_VALUE"""),"MOBILIARIO")</f>
        <v>MOBILIARIO</v>
      </c>
      <c r="E1684" s="213" t="str">
        <f>IFERROR(__xludf.DUMMYFUNCTION("""COMPUTED_VALUE"""),"MOB-126")</f>
        <v>MOB-126</v>
      </c>
      <c r="F1684" s="213" t="str">
        <f>IFERROR(__xludf.DUMMYFUNCTION("""COMPUTED_VALUE"""),"MOB-126")</f>
        <v>MOB-126</v>
      </c>
      <c r="G1684" s="213"/>
      <c r="H1684" s="213" t="str">
        <f>IFERROR(__xludf.DUMMYFUNCTION("""COMPUTED_VALUE"""),"MESA DE COMPUTADORA PARA ESTUDIANTE (1000 X 600 X 750 MM.)")</f>
        <v>MESA DE COMPUTADORA PARA ESTUDIANTE (1000 X 600 X 750 MM.)</v>
      </c>
      <c r="I1684"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4" s="213">
        <f>IFERROR(__xludf.DUMMYFUNCTION("""COMPUTED_VALUE"""),3.0)</f>
        <v>3</v>
      </c>
      <c r="K1684" s="213" t="str">
        <f>IFERROR(__xludf.DUMMYFUNCTION("""COMPUTED_VALUE"""),"90 DÍAS CALENDARIO")</f>
        <v>90 DÍAS CALENDARIO</v>
      </c>
      <c r="L1684" s="213" t="str">
        <f>IFERROR(__xludf.DUMMYFUNCTION("""COMPUTED_VALUE"""),"")</f>
        <v/>
      </c>
      <c r="M1684" s="213">
        <f>IFERROR(__xludf.DUMMYFUNCTION("""COMPUTED_VALUE"""),1.0)</f>
        <v>1</v>
      </c>
      <c r="N1684" s="213">
        <f>IFERROR(__xludf.DUMMYFUNCTION("""COMPUTED_VALUE"""),17.0)</f>
        <v>17</v>
      </c>
      <c r="O1684" s="213">
        <f>IFERROR(__xludf.DUMMYFUNCTION("""COMPUTED_VALUE"""),17.0)</f>
        <v>17</v>
      </c>
      <c r="P1684" s="213"/>
      <c r="Q1684" s="213"/>
      <c r="R1684" s="213"/>
      <c r="S1684" s="213"/>
      <c r="T1684" s="213"/>
      <c r="U1684" s="213"/>
      <c r="V1684" s="213"/>
      <c r="W1684" s="213"/>
      <c r="X1684" s="213"/>
      <c r="Y1684" s="213"/>
      <c r="Z1684" s="213"/>
      <c r="AA1684" s="213"/>
      <c r="AB1684" s="213"/>
      <c r="AC1684" s="213"/>
      <c r="AD1684" s="213"/>
      <c r="AE1684" s="213"/>
      <c r="AF1684" s="213"/>
      <c r="AG1684" s="213"/>
      <c r="AH1684" s="213"/>
      <c r="AI1684" s="213"/>
      <c r="AJ1684" s="213"/>
      <c r="AK1684" s="213"/>
      <c r="AL1684" s="213"/>
      <c r="AM1684" s="213"/>
      <c r="AN1684" s="213"/>
      <c r="AO1684" s="213"/>
      <c r="AP1684" s="213"/>
      <c r="AQ1684" s="213"/>
      <c r="AR1684" s="213"/>
      <c r="AS1684" s="213"/>
      <c r="AT1684" s="213"/>
      <c r="AU1684" s="213"/>
      <c r="AV1684" s="213"/>
      <c r="AW1684" s="213"/>
      <c r="AX1684" s="213"/>
      <c r="AY1684" s="213"/>
      <c r="AZ1684" s="213"/>
      <c r="BA1684" s="213"/>
      <c r="BB1684" s="213"/>
      <c r="BC1684" s="213"/>
      <c r="BD1684" s="213"/>
    </row>
    <row r="1685">
      <c r="A1685" s="213">
        <f>IFERROR(__xludf.DUMMYFUNCTION("""COMPUTED_VALUE"""),904.0)</f>
        <v>904</v>
      </c>
      <c r="B1685" s="213" t="str">
        <f>IFERROR(__xludf.DUMMYFUNCTION("""COMPUTED_VALUE"""),"FRANCISCO IRAZOLA")</f>
        <v>FRANCISCO IRAZOLA</v>
      </c>
      <c r="C1685" s="213" t="str">
        <f>IFERROR(__xludf.DUMMYFUNCTION("""COMPUTED_VALUE"""),"TALLER SFT DE MECÁNICA AUTOMOTRIZ")</f>
        <v>TALLER SFT DE MECÁNICA AUTOMOTRIZ</v>
      </c>
      <c r="D1685" s="213" t="str">
        <f>IFERROR(__xludf.DUMMYFUNCTION("""COMPUTED_VALUE"""),"MOBILIARIO")</f>
        <v>MOBILIARIO</v>
      </c>
      <c r="E1685" s="213" t="str">
        <f>IFERROR(__xludf.DUMMYFUNCTION("""COMPUTED_VALUE"""),"MOB-126")</f>
        <v>MOB-126</v>
      </c>
      <c r="F1685" s="213" t="str">
        <f>IFERROR(__xludf.DUMMYFUNCTION("""COMPUTED_VALUE"""),"MOB-126")</f>
        <v>MOB-126</v>
      </c>
      <c r="G1685" s="213"/>
      <c r="H1685" s="213" t="str">
        <f>IFERROR(__xludf.DUMMYFUNCTION("""COMPUTED_VALUE"""),"MESA DE COMPUTADORA PARA ESTUDIANTE (1000 X 600 X 750 MM.)")</f>
        <v>MESA DE COMPUTADORA PARA ESTUDIANTE (1000 X 600 X 750 MM.)</v>
      </c>
      <c r="I1685"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5" s="213">
        <f>IFERROR(__xludf.DUMMYFUNCTION("""COMPUTED_VALUE"""),3.0)</f>
        <v>3</v>
      </c>
      <c r="K1685" s="213" t="str">
        <f>IFERROR(__xludf.DUMMYFUNCTION("""COMPUTED_VALUE"""),"90 DÍAS CALENDARIO")</f>
        <v>90 DÍAS CALENDARIO</v>
      </c>
      <c r="L1685" s="213" t="str">
        <f>IFERROR(__xludf.DUMMYFUNCTION("""COMPUTED_VALUE"""),"")</f>
        <v/>
      </c>
      <c r="M1685" s="213">
        <f>IFERROR(__xludf.DUMMYFUNCTION("""COMPUTED_VALUE"""),1.0)</f>
        <v>1</v>
      </c>
      <c r="N1685" s="213">
        <f>IFERROR(__xludf.DUMMYFUNCTION("""COMPUTED_VALUE"""),19.0)</f>
        <v>19</v>
      </c>
      <c r="O1685" s="213">
        <f>IFERROR(__xludf.DUMMYFUNCTION("""COMPUTED_VALUE"""),19.0)</f>
        <v>19</v>
      </c>
      <c r="P1685" s="213"/>
      <c r="Q1685" s="213"/>
      <c r="R1685" s="213"/>
      <c r="S1685" s="213"/>
      <c r="T1685" s="213"/>
      <c r="U1685" s="213"/>
      <c r="V1685" s="213"/>
      <c r="W1685" s="213"/>
      <c r="X1685" s="213"/>
      <c r="Y1685" s="213"/>
      <c r="Z1685" s="213"/>
      <c r="AA1685" s="213"/>
      <c r="AB1685" s="213"/>
      <c r="AC1685" s="213"/>
      <c r="AD1685" s="213"/>
      <c r="AE1685" s="213"/>
      <c r="AF1685" s="213"/>
      <c r="AG1685" s="213"/>
      <c r="AH1685" s="213"/>
      <c r="AI1685" s="213"/>
      <c r="AJ1685" s="213"/>
      <c r="AK1685" s="213"/>
      <c r="AL1685" s="213"/>
      <c r="AM1685" s="213"/>
      <c r="AN1685" s="213"/>
      <c r="AO1685" s="213"/>
      <c r="AP1685" s="213"/>
      <c r="AQ1685" s="213"/>
      <c r="AR1685" s="213"/>
      <c r="AS1685" s="213"/>
      <c r="AT1685" s="213"/>
      <c r="AU1685" s="213"/>
      <c r="AV1685" s="213"/>
      <c r="AW1685" s="213"/>
      <c r="AX1685" s="213"/>
      <c r="AY1685" s="213"/>
      <c r="AZ1685" s="213"/>
      <c r="BA1685" s="213"/>
      <c r="BB1685" s="213"/>
      <c r="BC1685" s="213"/>
      <c r="BD1685" s="213"/>
    </row>
    <row r="1686">
      <c r="A1686" s="213">
        <f>IFERROR(__xludf.DUMMYFUNCTION("""COMPUTED_VALUE"""),1091.0)</f>
        <v>1091</v>
      </c>
      <c r="B1686" s="213" t="str">
        <f>IFERROR(__xludf.DUMMYFUNCTION("""COMPUTED_VALUE"""),"FRANCISCO IRAZOLA")</f>
        <v>FRANCISCO IRAZOLA</v>
      </c>
      <c r="C1686" s="213" t="str">
        <f>IFERROR(__xludf.DUMMYFUNCTION("""COMPUTED_VALUE"""),"TALLER SFT DE INDUSTRIA ALIMENTARIA")</f>
        <v>TALLER SFT DE INDUSTRIA ALIMENTARIA</v>
      </c>
      <c r="D1686" s="213" t="str">
        <f>IFERROR(__xludf.DUMMYFUNCTION("""COMPUTED_VALUE"""),"MOBILIARIO")</f>
        <v>MOBILIARIO</v>
      </c>
      <c r="E1686" s="213" t="str">
        <f>IFERROR(__xludf.DUMMYFUNCTION("""COMPUTED_VALUE"""),"MOB-126")</f>
        <v>MOB-126</v>
      </c>
      <c r="F1686" s="213" t="str">
        <f>IFERROR(__xludf.DUMMYFUNCTION("""COMPUTED_VALUE"""),"MOB-126")</f>
        <v>MOB-126</v>
      </c>
      <c r="G1686" s="213"/>
      <c r="H1686" s="213" t="str">
        <f>IFERROR(__xludf.DUMMYFUNCTION("""COMPUTED_VALUE"""),"MESA DE COMPUTADORA PARA ESTUDIANTE (1000 X 600 X 750 MM.)")</f>
        <v>MESA DE COMPUTADORA PARA ESTUDIANTE (1000 X 600 X 750 MM.)</v>
      </c>
      <c r="I1686"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6" s="213">
        <f>IFERROR(__xludf.DUMMYFUNCTION("""COMPUTED_VALUE"""),3.0)</f>
        <v>3</v>
      </c>
      <c r="K1686" s="213" t="str">
        <f>IFERROR(__xludf.DUMMYFUNCTION("""COMPUTED_VALUE"""),"90 DÍAS CALENDARIO")</f>
        <v>90 DÍAS CALENDARIO</v>
      </c>
      <c r="L1686" s="213" t="str">
        <f>IFERROR(__xludf.DUMMYFUNCTION("""COMPUTED_VALUE"""),"")</f>
        <v/>
      </c>
      <c r="M1686" s="213">
        <f>IFERROR(__xludf.DUMMYFUNCTION("""COMPUTED_VALUE"""),1.0)</f>
        <v>1</v>
      </c>
      <c r="N1686" s="213">
        <f>IFERROR(__xludf.DUMMYFUNCTION("""COMPUTED_VALUE"""),19.0)</f>
        <v>19</v>
      </c>
      <c r="O1686" s="213">
        <f>IFERROR(__xludf.DUMMYFUNCTION("""COMPUTED_VALUE"""),19.0)</f>
        <v>19</v>
      </c>
      <c r="P1686" s="213"/>
      <c r="Q1686" s="213"/>
      <c r="R1686" s="213"/>
      <c r="S1686" s="213"/>
      <c r="T1686" s="213"/>
      <c r="U1686" s="213"/>
      <c r="V1686" s="213"/>
      <c r="W1686" s="213"/>
      <c r="X1686" s="213"/>
      <c r="Y1686" s="213"/>
      <c r="Z1686" s="213"/>
      <c r="AA1686" s="213"/>
      <c r="AB1686" s="213"/>
      <c r="AC1686" s="213"/>
      <c r="AD1686" s="213"/>
      <c r="AE1686" s="213"/>
      <c r="AF1686" s="213"/>
      <c r="AG1686" s="213"/>
      <c r="AH1686" s="213"/>
      <c r="AI1686" s="213"/>
      <c r="AJ1686" s="213"/>
      <c r="AK1686" s="213"/>
      <c r="AL1686" s="213"/>
      <c r="AM1686" s="213"/>
      <c r="AN1686" s="213"/>
      <c r="AO1686" s="213"/>
      <c r="AP1686" s="213"/>
      <c r="AQ1686" s="213"/>
      <c r="AR1686" s="213"/>
      <c r="AS1686" s="213"/>
      <c r="AT1686" s="213"/>
      <c r="AU1686" s="213"/>
      <c r="AV1686" s="213"/>
      <c r="AW1686" s="213"/>
      <c r="AX1686" s="213"/>
      <c r="AY1686" s="213"/>
      <c r="AZ1686" s="213"/>
      <c r="BA1686" s="213"/>
      <c r="BB1686" s="213"/>
      <c r="BC1686" s="213"/>
      <c r="BD1686" s="213"/>
    </row>
    <row r="1687">
      <c r="A1687" s="213">
        <f>IFERROR(__xludf.DUMMYFUNCTION("""COMPUTED_VALUE"""),1241.0)</f>
        <v>1241</v>
      </c>
      <c r="B1687" s="213" t="str">
        <f>IFERROR(__xludf.DUMMYFUNCTION("""COMPUTED_VALUE"""),"GUILLERMO E. BILLINGHURST ")</f>
        <v>GUILLERMO E. BILLINGHURST </v>
      </c>
      <c r="C1687" s="213" t="str">
        <f>IFERROR(__xludf.DUMMYFUNCTION("""COMPUTED_VALUE"""),"TALLER SFT DE ELECTRICIDAD")</f>
        <v>TALLER SFT DE ELECTRICIDAD</v>
      </c>
      <c r="D1687" s="213" t="str">
        <f>IFERROR(__xludf.DUMMYFUNCTION("""COMPUTED_VALUE"""),"MOBILIARIO")</f>
        <v>MOBILIARIO</v>
      </c>
      <c r="E1687" s="213" t="str">
        <f>IFERROR(__xludf.DUMMYFUNCTION("""COMPUTED_VALUE"""),"MOB-126")</f>
        <v>MOB-126</v>
      </c>
      <c r="F1687" s="213" t="str">
        <f>IFERROR(__xludf.DUMMYFUNCTION("""COMPUTED_VALUE"""),"MOB-126")</f>
        <v>MOB-126</v>
      </c>
      <c r="G1687" s="213"/>
      <c r="H1687" s="213" t="str">
        <f>IFERROR(__xludf.DUMMYFUNCTION("""COMPUTED_VALUE"""),"MESA DE COMPUTADORA PARA ESTUDIANTE (1000 X 600 X 750 MM.)")</f>
        <v>MESA DE COMPUTADORA PARA ESTUDIANTE (1000 X 600 X 750 MM.)</v>
      </c>
      <c r="I1687"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7" s="213">
        <f>IFERROR(__xludf.DUMMYFUNCTION("""COMPUTED_VALUE"""),3.0)</f>
        <v>3</v>
      </c>
      <c r="K1687" s="213" t="str">
        <f>IFERROR(__xludf.DUMMYFUNCTION("""COMPUTED_VALUE"""),"90 DÍAS CALENDARIO")</f>
        <v>90 DÍAS CALENDARIO</v>
      </c>
      <c r="L1687" s="213" t="str">
        <f>IFERROR(__xludf.DUMMYFUNCTION("""COMPUTED_VALUE"""),"")</f>
        <v/>
      </c>
      <c r="M1687" s="213">
        <f>IFERROR(__xludf.DUMMYFUNCTION("""COMPUTED_VALUE"""),1.0)</f>
        <v>1</v>
      </c>
      <c r="N1687" s="213">
        <f>IFERROR(__xludf.DUMMYFUNCTION("""COMPUTED_VALUE"""),19.0)</f>
        <v>19</v>
      </c>
      <c r="O1687" s="213">
        <f>IFERROR(__xludf.DUMMYFUNCTION("""COMPUTED_VALUE"""),19.0)</f>
        <v>19</v>
      </c>
      <c r="P1687" s="213"/>
      <c r="Q1687" s="213"/>
      <c r="R1687" s="213"/>
      <c r="S1687" s="213"/>
      <c r="T1687" s="213"/>
      <c r="U1687" s="213"/>
      <c r="V1687" s="213"/>
      <c r="W1687" s="213"/>
      <c r="X1687" s="213"/>
      <c r="Y1687" s="213"/>
      <c r="Z1687" s="213"/>
      <c r="AA1687" s="213"/>
      <c r="AB1687" s="213"/>
      <c r="AC1687" s="213"/>
      <c r="AD1687" s="213"/>
      <c r="AE1687" s="213"/>
      <c r="AF1687" s="213"/>
      <c r="AG1687" s="213"/>
      <c r="AH1687" s="213"/>
      <c r="AI1687" s="213"/>
      <c r="AJ1687" s="213"/>
      <c r="AK1687" s="213"/>
      <c r="AL1687" s="213"/>
      <c r="AM1687" s="213"/>
      <c r="AN1687" s="213"/>
      <c r="AO1687" s="213"/>
      <c r="AP1687" s="213"/>
      <c r="AQ1687" s="213"/>
      <c r="AR1687" s="213"/>
      <c r="AS1687" s="213"/>
      <c r="AT1687" s="213"/>
      <c r="AU1687" s="213"/>
      <c r="AV1687" s="213"/>
      <c r="AW1687" s="213"/>
      <c r="AX1687" s="213"/>
      <c r="AY1687" s="213"/>
      <c r="AZ1687" s="213"/>
      <c r="BA1687" s="213"/>
      <c r="BB1687" s="213"/>
      <c r="BC1687" s="213"/>
      <c r="BD1687" s="213"/>
    </row>
    <row r="1688">
      <c r="A1688" s="213">
        <f>IFERROR(__xludf.DUMMYFUNCTION("""COMPUTED_VALUE"""),1327.0)</f>
        <v>1327</v>
      </c>
      <c r="B1688" s="213" t="str">
        <f>IFERROR(__xludf.DUMMYFUNCTION("""COMPUTED_VALUE"""),"GUILLERMO E. BILLINGHURST ")</f>
        <v>GUILLERMO E. BILLINGHURST </v>
      </c>
      <c r="C1688" s="213" t="str">
        <f>IFERROR(__xludf.DUMMYFUNCTION("""COMPUTED_VALUE"""),"TALLER SFT DE INDUSTRIA ALIMENTARIA")</f>
        <v>TALLER SFT DE INDUSTRIA ALIMENTARIA</v>
      </c>
      <c r="D1688" s="213" t="str">
        <f>IFERROR(__xludf.DUMMYFUNCTION("""COMPUTED_VALUE"""),"MOBILIARIO")</f>
        <v>MOBILIARIO</v>
      </c>
      <c r="E1688" s="213" t="str">
        <f>IFERROR(__xludf.DUMMYFUNCTION("""COMPUTED_VALUE"""),"MOB-126")</f>
        <v>MOB-126</v>
      </c>
      <c r="F1688" s="213" t="str">
        <f>IFERROR(__xludf.DUMMYFUNCTION("""COMPUTED_VALUE"""),"MOB-126")</f>
        <v>MOB-126</v>
      </c>
      <c r="G1688" s="213"/>
      <c r="H1688" s="213" t="str">
        <f>IFERROR(__xludf.DUMMYFUNCTION("""COMPUTED_VALUE"""),"MESA DE COMPUTADORA PARA ESTUDIANTE (1000 X 600 X 750 MM.)")</f>
        <v>MESA DE COMPUTADORA PARA ESTUDIANTE (1000 X 600 X 750 MM.)</v>
      </c>
      <c r="I1688"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8" s="213">
        <f>IFERROR(__xludf.DUMMYFUNCTION("""COMPUTED_VALUE"""),3.0)</f>
        <v>3</v>
      </c>
      <c r="K1688" s="213" t="str">
        <f>IFERROR(__xludf.DUMMYFUNCTION("""COMPUTED_VALUE"""),"90 DÍAS CALENDARIO")</f>
        <v>90 DÍAS CALENDARIO</v>
      </c>
      <c r="L1688" s="213" t="str">
        <f>IFERROR(__xludf.DUMMYFUNCTION("""COMPUTED_VALUE"""),"")</f>
        <v/>
      </c>
      <c r="M1688" s="213">
        <f>IFERROR(__xludf.DUMMYFUNCTION("""COMPUTED_VALUE"""),1.0)</f>
        <v>1</v>
      </c>
      <c r="N1688" s="213">
        <f>IFERROR(__xludf.DUMMYFUNCTION("""COMPUTED_VALUE"""),0.0)</f>
        <v>0</v>
      </c>
      <c r="O1688" s="213">
        <f>IFERROR(__xludf.DUMMYFUNCTION("""COMPUTED_VALUE"""),0.0)</f>
        <v>0</v>
      </c>
      <c r="P1688" s="213"/>
      <c r="Q1688" s="213"/>
      <c r="R1688" s="213"/>
      <c r="S1688" s="213"/>
      <c r="T1688" s="213"/>
      <c r="U1688" s="213"/>
      <c r="V1688" s="213"/>
      <c r="W1688" s="213"/>
      <c r="X1688" s="213"/>
      <c r="Y1688" s="213"/>
      <c r="Z1688" s="213"/>
      <c r="AA1688" s="213"/>
      <c r="AB1688" s="213"/>
      <c r="AC1688" s="213"/>
      <c r="AD1688" s="213"/>
      <c r="AE1688" s="213"/>
      <c r="AF1688" s="213"/>
      <c r="AG1688" s="213"/>
      <c r="AH1688" s="213"/>
      <c r="AI1688" s="213"/>
      <c r="AJ1688" s="213"/>
      <c r="AK1688" s="213"/>
      <c r="AL1688" s="213"/>
      <c r="AM1688" s="213"/>
      <c r="AN1688" s="213"/>
      <c r="AO1688" s="213"/>
      <c r="AP1688" s="213"/>
      <c r="AQ1688" s="213"/>
      <c r="AR1688" s="213"/>
      <c r="AS1688" s="213"/>
      <c r="AT1688" s="213"/>
      <c r="AU1688" s="213"/>
      <c r="AV1688" s="213"/>
      <c r="AW1688" s="213"/>
      <c r="AX1688" s="213"/>
      <c r="AY1688" s="213"/>
      <c r="AZ1688" s="213"/>
      <c r="BA1688" s="213"/>
      <c r="BB1688" s="213"/>
      <c r="BC1688" s="213"/>
      <c r="BD1688" s="213"/>
    </row>
    <row r="1689">
      <c r="A1689" s="213">
        <f>IFERROR(__xludf.DUMMYFUNCTION("""COMPUTED_VALUE"""),1506.0)</f>
        <v>1506</v>
      </c>
      <c r="B1689" s="213" t="str">
        <f>IFERROR(__xludf.DUMMYFUNCTION("""COMPUTED_VALUE"""),"GUILLERMO E. BILLINGHURST ")</f>
        <v>GUILLERMO E. BILLINGHURST </v>
      </c>
      <c r="C1689" s="213" t="str">
        <f>IFERROR(__xludf.DUMMYFUNCTION("""COMPUTED_VALUE"""),"TALLER SFT DE MECÁNICA AUTOMOTRIZ")</f>
        <v>TALLER SFT DE MECÁNICA AUTOMOTRIZ</v>
      </c>
      <c r="D1689" s="213" t="str">
        <f>IFERROR(__xludf.DUMMYFUNCTION("""COMPUTED_VALUE"""),"MOBILIARIO")</f>
        <v>MOBILIARIO</v>
      </c>
      <c r="E1689" s="213" t="str">
        <f>IFERROR(__xludf.DUMMYFUNCTION("""COMPUTED_VALUE"""),"MOB-126")</f>
        <v>MOB-126</v>
      </c>
      <c r="F1689" s="213" t="str">
        <f>IFERROR(__xludf.DUMMYFUNCTION("""COMPUTED_VALUE"""),"MOB-126")</f>
        <v>MOB-126</v>
      </c>
      <c r="G1689" s="213"/>
      <c r="H1689" s="213" t="str">
        <f>IFERROR(__xludf.DUMMYFUNCTION("""COMPUTED_VALUE"""),"MESA DE COMPUTADORA PARA ESTUDIANTE (1000 X 600 X 750 MM.)")</f>
        <v>MESA DE COMPUTADORA PARA ESTUDIANTE (1000 X 600 X 750 MM.)</v>
      </c>
      <c r="I1689"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89" s="213">
        <f>IFERROR(__xludf.DUMMYFUNCTION("""COMPUTED_VALUE"""),3.0)</f>
        <v>3</v>
      </c>
      <c r="K1689" s="213" t="str">
        <f>IFERROR(__xludf.DUMMYFUNCTION("""COMPUTED_VALUE"""),"90 DÍAS CALENDARIO")</f>
        <v>90 DÍAS CALENDARIO</v>
      </c>
      <c r="L1689" s="213" t="str">
        <f>IFERROR(__xludf.DUMMYFUNCTION("""COMPUTED_VALUE"""),"")</f>
        <v/>
      </c>
      <c r="M1689" s="213">
        <f>IFERROR(__xludf.DUMMYFUNCTION("""COMPUTED_VALUE"""),1.0)</f>
        <v>1</v>
      </c>
      <c r="N1689" s="213">
        <f>IFERROR(__xludf.DUMMYFUNCTION("""COMPUTED_VALUE"""),18.0)</f>
        <v>18</v>
      </c>
      <c r="O1689" s="213">
        <f>IFERROR(__xludf.DUMMYFUNCTION("""COMPUTED_VALUE"""),18.0)</f>
        <v>18</v>
      </c>
      <c r="P1689" s="213"/>
      <c r="Q1689" s="213"/>
      <c r="R1689" s="213"/>
      <c r="S1689" s="213"/>
      <c r="T1689" s="213"/>
      <c r="U1689" s="213"/>
      <c r="V1689" s="213"/>
      <c r="W1689" s="213"/>
      <c r="X1689" s="213"/>
      <c r="Y1689" s="213"/>
      <c r="Z1689" s="213"/>
      <c r="AA1689" s="213"/>
      <c r="AB1689" s="213"/>
      <c r="AC1689" s="213"/>
      <c r="AD1689" s="213"/>
      <c r="AE1689" s="213"/>
      <c r="AF1689" s="213"/>
      <c r="AG1689" s="213"/>
      <c r="AH1689" s="213"/>
      <c r="AI1689" s="213"/>
      <c r="AJ1689" s="213"/>
      <c r="AK1689" s="213"/>
      <c r="AL1689" s="213"/>
      <c r="AM1689" s="213"/>
      <c r="AN1689" s="213"/>
      <c r="AO1689" s="213"/>
      <c r="AP1689" s="213"/>
      <c r="AQ1689" s="213"/>
      <c r="AR1689" s="213"/>
      <c r="AS1689" s="213"/>
      <c r="AT1689" s="213"/>
      <c r="AU1689" s="213"/>
      <c r="AV1689" s="213"/>
      <c r="AW1689" s="213"/>
      <c r="AX1689" s="213"/>
      <c r="AY1689" s="213"/>
      <c r="AZ1689" s="213"/>
      <c r="BA1689" s="213"/>
      <c r="BB1689" s="213"/>
      <c r="BC1689" s="213"/>
      <c r="BD1689" s="213"/>
    </row>
    <row r="1690">
      <c r="A1690" s="213">
        <f>IFERROR(__xludf.DUMMYFUNCTION("""COMPUTED_VALUE"""),1660.0)</f>
        <v>1660</v>
      </c>
      <c r="B1690" s="213" t="str">
        <f>IFERROR(__xludf.DUMMYFUNCTION("""COMPUTED_VALUE"""),"GUILLERMO E. BILLINGHURST ")</f>
        <v>GUILLERMO E. BILLINGHURST </v>
      </c>
      <c r="C1690" s="213" t="str">
        <f>IFERROR(__xludf.DUMMYFUNCTION("""COMPUTED_VALUE"""),"TALLER SFT DE COMPUTACIÓN E INFORMÁTICA")</f>
        <v>TALLER SFT DE COMPUTACIÓN E INFORMÁTICA</v>
      </c>
      <c r="D1690" s="213" t="str">
        <f>IFERROR(__xludf.DUMMYFUNCTION("""COMPUTED_VALUE"""),"MOBILIARIO")</f>
        <v>MOBILIARIO</v>
      </c>
      <c r="E1690" s="213" t="str">
        <f>IFERROR(__xludf.DUMMYFUNCTION("""COMPUTED_VALUE"""),"MOB-126")</f>
        <v>MOB-126</v>
      </c>
      <c r="F1690" s="213" t="str">
        <f>IFERROR(__xludf.DUMMYFUNCTION("""COMPUTED_VALUE"""),"MOB-126")</f>
        <v>MOB-126</v>
      </c>
      <c r="G1690" s="213"/>
      <c r="H1690" s="213" t="str">
        <f>IFERROR(__xludf.DUMMYFUNCTION("""COMPUTED_VALUE"""),"MESA DE COMPUTADORA PARA ESTUDIANTE (1000 X 600 X 750 MM.)")</f>
        <v>MESA DE COMPUTADORA PARA ESTUDIANTE (1000 X 600 X 750 MM.)</v>
      </c>
      <c r="I1690"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90" s="213">
        <f>IFERROR(__xludf.DUMMYFUNCTION("""COMPUTED_VALUE"""),3.0)</f>
        <v>3</v>
      </c>
      <c r="K1690" s="213" t="str">
        <f>IFERROR(__xludf.DUMMYFUNCTION("""COMPUTED_VALUE"""),"90 DÍAS CALENDARIO")</f>
        <v>90 DÍAS CALENDARIO</v>
      </c>
      <c r="L1690" s="213" t="str">
        <f>IFERROR(__xludf.DUMMYFUNCTION("""COMPUTED_VALUE"""),"")</f>
        <v/>
      </c>
      <c r="M1690" s="213">
        <f>IFERROR(__xludf.DUMMYFUNCTION("""COMPUTED_VALUE"""),1.0)</f>
        <v>1</v>
      </c>
      <c r="N1690" s="213">
        <f>IFERROR(__xludf.DUMMYFUNCTION("""COMPUTED_VALUE"""),18.0)</f>
        <v>18</v>
      </c>
      <c r="O1690" s="213">
        <f>IFERROR(__xludf.DUMMYFUNCTION("""COMPUTED_VALUE"""),18.0)</f>
        <v>18</v>
      </c>
      <c r="P1690" s="213"/>
      <c r="Q1690" s="213"/>
      <c r="R1690" s="213"/>
      <c r="S1690" s="213"/>
      <c r="T1690" s="213"/>
      <c r="U1690" s="213"/>
      <c r="V1690" s="213"/>
      <c r="W1690" s="213"/>
      <c r="X1690" s="213"/>
      <c r="Y1690" s="213"/>
      <c r="Z1690" s="213"/>
      <c r="AA1690" s="213"/>
      <c r="AB1690" s="213"/>
      <c r="AC1690" s="213"/>
      <c r="AD1690" s="213"/>
      <c r="AE1690" s="213"/>
      <c r="AF1690" s="213"/>
      <c r="AG1690" s="213"/>
      <c r="AH1690" s="213"/>
      <c r="AI1690" s="213"/>
      <c r="AJ1690" s="213"/>
      <c r="AK1690" s="213"/>
      <c r="AL1690" s="213"/>
      <c r="AM1690" s="213"/>
      <c r="AN1690" s="213"/>
      <c r="AO1690" s="213"/>
      <c r="AP1690" s="213"/>
      <c r="AQ1690" s="213"/>
      <c r="AR1690" s="213"/>
      <c r="AS1690" s="213"/>
      <c r="AT1690" s="213"/>
      <c r="AU1690" s="213"/>
      <c r="AV1690" s="213"/>
      <c r="AW1690" s="213"/>
      <c r="AX1690" s="213"/>
      <c r="AY1690" s="213"/>
      <c r="AZ1690" s="213"/>
      <c r="BA1690" s="213"/>
      <c r="BB1690" s="213"/>
      <c r="BC1690" s="213"/>
      <c r="BD1690" s="213"/>
    </row>
    <row r="1691">
      <c r="A1691" s="213">
        <f>IFERROR(__xludf.DUMMYFUNCTION("""COMPUTED_VALUE"""),1756.0)</f>
        <v>1756</v>
      </c>
      <c r="B1691" s="213" t="str">
        <f>IFERROR(__xludf.DUMMYFUNCTION("""COMPUTED_VALUE"""),"GUILLERMO E. BILLINGHURST ")</f>
        <v>GUILLERMO E. BILLINGHURST </v>
      </c>
      <c r="C1691" s="213" t="str">
        <f>IFERROR(__xludf.DUMMYFUNCTION("""COMPUTED_VALUE"""),"TALLER SFT DE EBANISTERÍA")</f>
        <v>TALLER SFT DE EBANISTERÍA</v>
      </c>
      <c r="D1691" s="213" t="str">
        <f>IFERROR(__xludf.DUMMYFUNCTION("""COMPUTED_VALUE"""),"MOBILIARIO")</f>
        <v>MOBILIARIO</v>
      </c>
      <c r="E1691" s="213" t="str">
        <f>IFERROR(__xludf.DUMMYFUNCTION("""COMPUTED_VALUE"""),"MOB-126")</f>
        <v>MOB-126</v>
      </c>
      <c r="F1691" s="213" t="str">
        <f>IFERROR(__xludf.DUMMYFUNCTION("""COMPUTED_VALUE"""),"MOB-126")</f>
        <v>MOB-126</v>
      </c>
      <c r="G1691" s="213"/>
      <c r="H1691" s="213" t="str">
        <f>IFERROR(__xludf.DUMMYFUNCTION("""COMPUTED_VALUE"""),"MESA DE COMPUTADORA PARA ESTUDIANTE (1000 X 600 X 750 MM.)")</f>
        <v>MESA DE COMPUTADORA PARA ESTUDIANTE (1000 X 600 X 750 MM.)</v>
      </c>
      <c r="I1691"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91" s="213">
        <f>IFERROR(__xludf.DUMMYFUNCTION("""COMPUTED_VALUE"""),3.0)</f>
        <v>3</v>
      </c>
      <c r="K1691" s="213" t="str">
        <f>IFERROR(__xludf.DUMMYFUNCTION("""COMPUTED_VALUE"""),"90 DÍAS CALENDARIO")</f>
        <v>90 DÍAS CALENDARIO</v>
      </c>
      <c r="L1691" s="213" t="str">
        <f>IFERROR(__xludf.DUMMYFUNCTION("""COMPUTED_VALUE"""),"")</f>
        <v/>
      </c>
      <c r="M1691" s="213">
        <f>IFERROR(__xludf.DUMMYFUNCTION("""COMPUTED_VALUE"""),1.0)</f>
        <v>1</v>
      </c>
      <c r="N1691" s="213">
        <f>IFERROR(__xludf.DUMMYFUNCTION("""COMPUTED_VALUE"""),14.0)</f>
        <v>14</v>
      </c>
      <c r="O1691" s="213">
        <f>IFERROR(__xludf.DUMMYFUNCTION("""COMPUTED_VALUE"""),14.0)</f>
        <v>14</v>
      </c>
      <c r="P1691" s="213"/>
      <c r="Q1691" s="213"/>
      <c r="R1691" s="213"/>
      <c r="S1691" s="213"/>
      <c r="T1691" s="213"/>
      <c r="U1691" s="213"/>
      <c r="V1691" s="213"/>
      <c r="W1691" s="213"/>
      <c r="X1691" s="213"/>
      <c r="Y1691" s="213"/>
      <c r="Z1691" s="213"/>
      <c r="AA1691" s="213"/>
      <c r="AB1691" s="213"/>
      <c r="AC1691" s="213"/>
      <c r="AD1691" s="213"/>
      <c r="AE1691" s="213"/>
      <c r="AF1691" s="213"/>
      <c r="AG1691" s="213"/>
      <c r="AH1691" s="213"/>
      <c r="AI1691" s="213"/>
      <c r="AJ1691" s="213"/>
      <c r="AK1691" s="213"/>
      <c r="AL1691" s="213"/>
      <c r="AM1691" s="213"/>
      <c r="AN1691" s="213"/>
      <c r="AO1691" s="213"/>
      <c r="AP1691" s="213"/>
      <c r="AQ1691" s="213"/>
      <c r="AR1691" s="213"/>
      <c r="AS1691" s="213"/>
      <c r="AT1691" s="213"/>
      <c r="AU1691" s="213"/>
      <c r="AV1691" s="213"/>
      <c r="AW1691" s="213"/>
      <c r="AX1691" s="213"/>
      <c r="AY1691" s="213"/>
      <c r="AZ1691" s="213"/>
      <c r="BA1691" s="213"/>
      <c r="BB1691" s="213"/>
      <c r="BC1691" s="213"/>
      <c r="BD1691" s="213"/>
    </row>
    <row r="1692">
      <c r="A1692" s="213">
        <f>IFERROR(__xludf.DUMMYFUNCTION("""COMPUTED_VALUE"""),1911.0)</f>
        <v>1911</v>
      </c>
      <c r="B1692" s="213" t="str">
        <f>IFERROR(__xludf.DUMMYFUNCTION("""COMPUTED_VALUE"""),"JOSE GRANDA")</f>
        <v>JOSE GRANDA</v>
      </c>
      <c r="C1692" s="213" t="str">
        <f>IFERROR(__xludf.DUMMYFUNCTION("""COMPUTED_VALUE"""),"TALLER SFT DE COMPUTACIÓN E INFORMÁTICA")</f>
        <v>TALLER SFT DE COMPUTACIÓN E INFORMÁTICA</v>
      </c>
      <c r="D1692" s="213" t="str">
        <f>IFERROR(__xludf.DUMMYFUNCTION("""COMPUTED_VALUE"""),"MOBILIARIO")</f>
        <v>MOBILIARIO</v>
      </c>
      <c r="E1692" s="213" t="str">
        <f>IFERROR(__xludf.DUMMYFUNCTION("""COMPUTED_VALUE"""),"MOB-126")</f>
        <v>MOB-126</v>
      </c>
      <c r="F1692" s="213" t="str">
        <f>IFERROR(__xludf.DUMMYFUNCTION("""COMPUTED_VALUE"""),"MOB-126")</f>
        <v>MOB-126</v>
      </c>
      <c r="G1692" s="213"/>
      <c r="H1692" s="213" t="str">
        <f>IFERROR(__xludf.DUMMYFUNCTION("""COMPUTED_VALUE"""),"MESA DE COMPUTADORA PARA ESTUDIANTE (1000 X 600 X 750 MM.)")</f>
        <v>MESA DE COMPUTADORA PARA ESTUDIANTE (1000 X 600 X 750 MM.)</v>
      </c>
      <c r="I1692"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92" s="213">
        <f>IFERROR(__xludf.DUMMYFUNCTION("""COMPUTED_VALUE"""),3.0)</f>
        <v>3</v>
      </c>
      <c r="K1692" s="213" t="str">
        <f>IFERROR(__xludf.DUMMYFUNCTION("""COMPUTED_VALUE"""),"90 DÍAS CALENDARIO")</f>
        <v>90 DÍAS CALENDARIO</v>
      </c>
      <c r="L1692" s="213" t="str">
        <f>IFERROR(__xludf.DUMMYFUNCTION("""COMPUTED_VALUE"""),"")</f>
        <v/>
      </c>
      <c r="M1692" s="213">
        <f>IFERROR(__xludf.DUMMYFUNCTION("""COMPUTED_VALUE"""),1.0)</f>
        <v>1</v>
      </c>
      <c r="N1692" s="213">
        <f>IFERROR(__xludf.DUMMYFUNCTION("""COMPUTED_VALUE"""),19.0)</f>
        <v>19</v>
      </c>
      <c r="O1692" s="213">
        <f>IFERROR(__xludf.DUMMYFUNCTION("""COMPUTED_VALUE"""),19.0)</f>
        <v>19</v>
      </c>
      <c r="P1692" s="213"/>
      <c r="Q1692" s="213"/>
      <c r="R1692" s="213"/>
      <c r="S1692" s="213"/>
      <c r="T1692" s="213"/>
      <c r="U1692" s="213"/>
      <c r="V1692" s="213"/>
      <c r="W1692" s="213"/>
      <c r="X1692" s="213"/>
      <c r="Y1692" s="213"/>
      <c r="Z1692" s="213"/>
      <c r="AA1692" s="213"/>
      <c r="AB1692" s="213"/>
      <c r="AC1692" s="213"/>
      <c r="AD1692" s="213"/>
      <c r="AE1692" s="213"/>
      <c r="AF1692" s="213"/>
      <c r="AG1692" s="213"/>
      <c r="AH1692" s="213"/>
      <c r="AI1692" s="213"/>
      <c r="AJ1692" s="213"/>
      <c r="AK1692" s="213"/>
      <c r="AL1692" s="213"/>
      <c r="AM1692" s="213"/>
      <c r="AN1692" s="213"/>
      <c r="AO1692" s="213"/>
      <c r="AP1692" s="213"/>
      <c r="AQ1692" s="213"/>
      <c r="AR1692" s="213"/>
      <c r="AS1692" s="213"/>
      <c r="AT1692" s="213"/>
      <c r="AU1692" s="213"/>
      <c r="AV1692" s="213"/>
      <c r="AW1692" s="213"/>
      <c r="AX1692" s="213"/>
      <c r="AY1692" s="213"/>
      <c r="AZ1692" s="213"/>
      <c r="BA1692" s="213"/>
      <c r="BB1692" s="213"/>
      <c r="BC1692" s="213"/>
      <c r="BD1692" s="213"/>
    </row>
    <row r="1693">
      <c r="A1693" s="213">
        <f>IFERROR(__xludf.DUMMYFUNCTION("""COMPUTED_VALUE"""),2008.0)</f>
        <v>2008</v>
      </c>
      <c r="B1693" s="213" t="str">
        <f>IFERROR(__xludf.DUMMYFUNCTION("""COMPUTED_VALUE"""),"JOSE GRANDA")</f>
        <v>JOSE GRANDA</v>
      </c>
      <c r="C1693" s="213" t="str">
        <f>IFERROR(__xludf.DUMMYFUNCTION("""COMPUTED_VALUE"""),"TALLER SFT DE INDUSTRIA ALIMENTARIA")</f>
        <v>TALLER SFT DE INDUSTRIA ALIMENTARIA</v>
      </c>
      <c r="D1693" s="213" t="str">
        <f>IFERROR(__xludf.DUMMYFUNCTION("""COMPUTED_VALUE"""),"MOBILIARIO")</f>
        <v>MOBILIARIO</v>
      </c>
      <c r="E1693" s="213" t="str">
        <f>IFERROR(__xludf.DUMMYFUNCTION("""COMPUTED_VALUE"""),"MOB-126")</f>
        <v>MOB-126</v>
      </c>
      <c r="F1693" s="213" t="str">
        <f>IFERROR(__xludf.DUMMYFUNCTION("""COMPUTED_VALUE"""),"MOB-126")</f>
        <v>MOB-126</v>
      </c>
      <c r="G1693" s="213"/>
      <c r="H1693" s="213" t="str">
        <f>IFERROR(__xludf.DUMMYFUNCTION("""COMPUTED_VALUE"""),"MESA DE COMPUTADORA PARA ESTUDIANTE (1000 X 600 X 750 MM.)")</f>
        <v>MESA DE COMPUTADORA PARA ESTUDIANTE (1000 X 600 X 750 MM.)</v>
      </c>
      <c r="I1693"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93" s="213">
        <f>IFERROR(__xludf.DUMMYFUNCTION("""COMPUTED_VALUE"""),3.0)</f>
        <v>3</v>
      </c>
      <c r="K1693" s="213" t="str">
        <f>IFERROR(__xludf.DUMMYFUNCTION("""COMPUTED_VALUE"""),"90 DÍAS CALENDARIO")</f>
        <v>90 DÍAS CALENDARIO</v>
      </c>
      <c r="L1693" s="213" t="str">
        <f>IFERROR(__xludf.DUMMYFUNCTION("""COMPUTED_VALUE"""),"")</f>
        <v/>
      </c>
      <c r="M1693" s="213">
        <f>IFERROR(__xludf.DUMMYFUNCTION("""COMPUTED_VALUE"""),1.0)</f>
        <v>1</v>
      </c>
      <c r="N1693" s="213">
        <f>IFERROR(__xludf.DUMMYFUNCTION("""COMPUTED_VALUE"""),17.0)</f>
        <v>17</v>
      </c>
      <c r="O1693" s="213">
        <f>IFERROR(__xludf.DUMMYFUNCTION("""COMPUTED_VALUE"""),17.0)</f>
        <v>17</v>
      </c>
      <c r="P1693" s="213"/>
      <c r="Q1693" s="213"/>
      <c r="R1693" s="213"/>
      <c r="S1693" s="213"/>
      <c r="T1693" s="213"/>
      <c r="U1693" s="213"/>
      <c r="V1693" s="213"/>
      <c r="W1693" s="213"/>
      <c r="X1693" s="213"/>
      <c r="Y1693" s="213"/>
      <c r="Z1693" s="213"/>
      <c r="AA1693" s="213"/>
      <c r="AB1693" s="213"/>
      <c r="AC1693" s="213"/>
      <c r="AD1693" s="213"/>
      <c r="AE1693" s="213"/>
      <c r="AF1693" s="213"/>
      <c r="AG1693" s="213"/>
      <c r="AH1693" s="213"/>
      <c r="AI1693" s="213"/>
      <c r="AJ1693" s="213"/>
      <c r="AK1693" s="213"/>
      <c r="AL1693" s="213"/>
      <c r="AM1693" s="213"/>
      <c r="AN1693" s="213"/>
      <c r="AO1693" s="213"/>
      <c r="AP1693" s="213"/>
      <c r="AQ1693" s="213"/>
      <c r="AR1693" s="213"/>
      <c r="AS1693" s="213"/>
      <c r="AT1693" s="213"/>
      <c r="AU1693" s="213"/>
      <c r="AV1693" s="213"/>
      <c r="AW1693" s="213"/>
      <c r="AX1693" s="213"/>
      <c r="AY1693" s="213"/>
      <c r="AZ1693" s="213"/>
      <c r="BA1693" s="213"/>
      <c r="BB1693" s="213"/>
      <c r="BC1693" s="213"/>
      <c r="BD1693" s="213"/>
    </row>
    <row r="1694">
      <c r="A1694" s="213">
        <f>IFERROR(__xludf.DUMMYFUNCTION("""COMPUTED_VALUE"""),2209.0)</f>
        <v>2209</v>
      </c>
      <c r="B1694" s="213" t="str">
        <f>IFERROR(__xludf.DUMMYFUNCTION("""COMPUTED_VALUE"""),"JOSE GRANDA")</f>
        <v>JOSE GRANDA</v>
      </c>
      <c r="C1694" s="213" t="str">
        <f>IFERROR(__xludf.DUMMYFUNCTION("""COMPUTED_VALUE"""),"TALLER SFT DE MECÁNICA AUTOMOTRIZ")</f>
        <v>TALLER SFT DE MECÁNICA AUTOMOTRIZ</v>
      </c>
      <c r="D1694" s="213" t="str">
        <f>IFERROR(__xludf.DUMMYFUNCTION("""COMPUTED_VALUE"""),"MOBILIARIO")</f>
        <v>MOBILIARIO</v>
      </c>
      <c r="E1694" s="213" t="str">
        <f>IFERROR(__xludf.DUMMYFUNCTION("""COMPUTED_VALUE"""),"MOB-126")</f>
        <v>MOB-126</v>
      </c>
      <c r="F1694" s="213" t="str">
        <f>IFERROR(__xludf.DUMMYFUNCTION("""COMPUTED_VALUE"""),"MOB-126")</f>
        <v>MOB-126</v>
      </c>
      <c r="G1694" s="213"/>
      <c r="H1694" s="213" t="str">
        <f>IFERROR(__xludf.DUMMYFUNCTION("""COMPUTED_VALUE"""),"MESA DE COMPUTADORA PARA ESTUDIANTE (1000 X 600 X 750 MM.)")</f>
        <v>MESA DE COMPUTADORA PARA ESTUDIANTE (1000 X 600 X 750 MM.)</v>
      </c>
      <c r="I1694"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94" s="213">
        <f>IFERROR(__xludf.DUMMYFUNCTION("""COMPUTED_VALUE"""),3.0)</f>
        <v>3</v>
      </c>
      <c r="K1694" s="213" t="str">
        <f>IFERROR(__xludf.DUMMYFUNCTION("""COMPUTED_VALUE"""),"90 DÍAS CALENDARIO")</f>
        <v>90 DÍAS CALENDARIO</v>
      </c>
      <c r="L1694" s="213" t="str">
        <f>IFERROR(__xludf.DUMMYFUNCTION("""COMPUTED_VALUE"""),"")</f>
        <v/>
      </c>
      <c r="M1694" s="213">
        <f>IFERROR(__xludf.DUMMYFUNCTION("""COMPUTED_VALUE"""),1.0)</f>
        <v>1</v>
      </c>
      <c r="N1694" s="213">
        <f>IFERROR(__xludf.DUMMYFUNCTION("""COMPUTED_VALUE"""),19.0)</f>
        <v>19</v>
      </c>
      <c r="O1694" s="213">
        <f>IFERROR(__xludf.DUMMYFUNCTION("""COMPUTED_VALUE"""),19.0)</f>
        <v>19</v>
      </c>
      <c r="P1694" s="213"/>
      <c r="Q1694" s="213"/>
      <c r="R1694" s="213"/>
      <c r="S1694" s="213"/>
      <c r="T1694" s="213"/>
      <c r="U1694" s="213"/>
      <c r="V1694" s="213"/>
      <c r="W1694" s="213"/>
      <c r="X1694" s="213"/>
      <c r="Y1694" s="213"/>
      <c r="Z1694" s="213"/>
      <c r="AA1694" s="213"/>
      <c r="AB1694" s="213"/>
      <c r="AC1694" s="213"/>
      <c r="AD1694" s="213"/>
      <c r="AE1694" s="213"/>
      <c r="AF1694" s="213"/>
      <c r="AG1694" s="213"/>
      <c r="AH1694" s="213"/>
      <c r="AI1694" s="213"/>
      <c r="AJ1694" s="213"/>
      <c r="AK1694" s="213"/>
      <c r="AL1694" s="213"/>
      <c r="AM1694" s="213"/>
      <c r="AN1694" s="213"/>
      <c r="AO1694" s="213"/>
      <c r="AP1694" s="213"/>
      <c r="AQ1694" s="213"/>
      <c r="AR1694" s="213"/>
      <c r="AS1694" s="213"/>
      <c r="AT1694" s="213"/>
      <c r="AU1694" s="213"/>
      <c r="AV1694" s="213"/>
      <c r="AW1694" s="213"/>
      <c r="AX1694" s="213"/>
      <c r="AY1694" s="213"/>
      <c r="AZ1694" s="213"/>
      <c r="BA1694" s="213"/>
      <c r="BB1694" s="213"/>
      <c r="BC1694" s="213"/>
      <c r="BD1694" s="213"/>
    </row>
    <row r="1695">
      <c r="A1695" s="213">
        <f>IFERROR(__xludf.DUMMYFUNCTION("""COMPUTED_VALUE"""),2352.0)</f>
        <v>2352</v>
      </c>
      <c r="B1695" s="213" t="str">
        <f>IFERROR(__xludf.DUMMYFUNCTION("""COMPUTED_VALUE"""),"MANUEL ANTONIO MESONES MURO")</f>
        <v>MANUEL ANTONIO MESONES MURO</v>
      </c>
      <c r="C1695" s="213" t="str">
        <f>IFERROR(__xludf.DUMMYFUNCTION("""COMPUTED_VALUE"""),"TALLER SFT DE INDUSTRIA DEL VESTIDO")</f>
        <v>TALLER SFT DE INDUSTRIA DEL VESTIDO</v>
      </c>
      <c r="D1695" s="213" t="str">
        <f>IFERROR(__xludf.DUMMYFUNCTION("""COMPUTED_VALUE"""),"MOBILIARIO")</f>
        <v>MOBILIARIO</v>
      </c>
      <c r="E1695" s="213" t="str">
        <f>IFERROR(__xludf.DUMMYFUNCTION("""COMPUTED_VALUE"""),"MOB-126")</f>
        <v>MOB-126</v>
      </c>
      <c r="F1695" s="213" t="str">
        <f>IFERROR(__xludf.DUMMYFUNCTION("""COMPUTED_VALUE"""),"MOB-126")</f>
        <v>MOB-126</v>
      </c>
      <c r="G1695" s="213"/>
      <c r="H1695" s="213" t="str">
        <f>IFERROR(__xludf.DUMMYFUNCTION("""COMPUTED_VALUE"""),"MESA DE COMPUTADORA PARA ESTUDIANTE (1000 X 600 X 750 MM.)")</f>
        <v>MESA DE COMPUTADORA PARA ESTUDIANTE (1000 X 600 X 750 MM.)</v>
      </c>
      <c r="I1695"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95" s="213">
        <f>IFERROR(__xludf.DUMMYFUNCTION("""COMPUTED_VALUE"""),3.0)</f>
        <v>3</v>
      </c>
      <c r="K1695" s="213" t="str">
        <f>IFERROR(__xludf.DUMMYFUNCTION("""COMPUTED_VALUE"""),"90 DÍAS CALENDARIO")</f>
        <v>90 DÍAS CALENDARIO</v>
      </c>
      <c r="L1695" s="213" t="str">
        <f>IFERROR(__xludf.DUMMYFUNCTION("""COMPUTED_VALUE"""),"")</f>
        <v/>
      </c>
      <c r="M1695" s="213">
        <f>IFERROR(__xludf.DUMMYFUNCTION("""COMPUTED_VALUE"""),1.0)</f>
        <v>1</v>
      </c>
      <c r="N1695" s="213">
        <f>IFERROR(__xludf.DUMMYFUNCTION("""COMPUTED_VALUE"""),19.0)</f>
        <v>19</v>
      </c>
      <c r="O1695" s="213">
        <f>IFERROR(__xludf.DUMMYFUNCTION("""COMPUTED_VALUE"""),19.0)</f>
        <v>19</v>
      </c>
      <c r="P1695" s="213"/>
      <c r="Q1695" s="213"/>
      <c r="R1695" s="213"/>
      <c r="S1695" s="213"/>
      <c r="T1695" s="213"/>
      <c r="U1695" s="213"/>
      <c r="V1695" s="213"/>
      <c r="W1695" s="213"/>
      <c r="X1695" s="213"/>
      <c r="Y1695" s="213"/>
      <c r="Z1695" s="213"/>
      <c r="AA1695" s="213"/>
      <c r="AB1695" s="213"/>
      <c r="AC1695" s="213"/>
      <c r="AD1695" s="213"/>
      <c r="AE1695" s="213"/>
      <c r="AF1695" s="213"/>
      <c r="AG1695" s="213"/>
      <c r="AH1695" s="213"/>
      <c r="AI1695" s="213"/>
      <c r="AJ1695" s="213"/>
      <c r="AK1695" s="213"/>
      <c r="AL1695" s="213"/>
      <c r="AM1695" s="213"/>
      <c r="AN1695" s="213"/>
      <c r="AO1695" s="213"/>
      <c r="AP1695" s="213"/>
      <c r="AQ1695" s="213"/>
      <c r="AR1695" s="213"/>
      <c r="AS1695" s="213"/>
      <c r="AT1695" s="213"/>
      <c r="AU1695" s="213"/>
      <c r="AV1695" s="213"/>
      <c r="AW1695" s="213"/>
      <c r="AX1695" s="213"/>
      <c r="AY1695" s="213"/>
      <c r="AZ1695" s="213"/>
      <c r="BA1695" s="213"/>
      <c r="BB1695" s="213"/>
      <c r="BC1695" s="213"/>
      <c r="BD1695" s="213"/>
    </row>
    <row r="1696">
      <c r="A1696" s="213">
        <f>IFERROR(__xludf.DUMMYFUNCTION("""COMPUTED_VALUE"""),2476.0)</f>
        <v>2476</v>
      </c>
      <c r="B1696" s="213" t="str">
        <f>IFERROR(__xludf.DUMMYFUNCTION("""COMPUTED_VALUE"""),"MANUEL ANTONIO MESONES MURO")</f>
        <v>MANUEL ANTONIO MESONES MURO</v>
      </c>
      <c r="C1696" s="213" t="str">
        <f>IFERROR(__xludf.DUMMYFUNCTION("""COMPUTED_VALUE"""),"TALLER SFT DE CONSTRUCCIONES METÁLICAS")</f>
        <v>TALLER SFT DE CONSTRUCCIONES METÁLICAS</v>
      </c>
      <c r="D1696" s="213" t="str">
        <f>IFERROR(__xludf.DUMMYFUNCTION("""COMPUTED_VALUE"""),"HERRAMIENTAS")</f>
        <v>HERRAMIENTAS</v>
      </c>
      <c r="E1696" s="213" t="str">
        <f>IFERROR(__xludf.DUMMYFUNCTION("""COMPUTED_VALUE"""),"COM-257")</f>
        <v>COM-257</v>
      </c>
      <c r="F1696" s="213" t="str">
        <f>IFERROR(__xludf.DUMMYFUNCTION("""COMPUTED_VALUE"""),"COM-257")</f>
        <v>COM-257</v>
      </c>
      <c r="G1696" s="213"/>
      <c r="H1696" s="213" t="str">
        <f>IFERROR(__xludf.DUMMYFUNCTION("""COMPUTED_VALUE"""),"PIQUETA DE SOLDADOR")</f>
        <v>PIQUETA DE SOLDADOR</v>
      </c>
      <c r="I1696" s="213" t="str">
        <f>IFERROR(__xludf.DUMMYFUNCTION("""COMPUTED_VALUE"""),"Cabeza fabricado en hierro forjado y templado
-        Mango ergonómico
-        Mediola 30 cm
-        Tipo martillo removedor")</f>
        <v>Cabeza fabricado en hierro forjado y templado
-        Mango ergonómico
-        Mediola 30 cm
-        Tipo martillo removedor</v>
      </c>
      <c r="J1696" s="213">
        <f>IFERROR(__xludf.DUMMYFUNCTION("""COMPUTED_VALUE"""),3.0)</f>
        <v>3</v>
      </c>
      <c r="K1696" s="213" t="str">
        <f>IFERROR(__xludf.DUMMYFUNCTION("""COMPUTED_VALUE"""),"90 DÍAS CALENDARIO")</f>
        <v>90 DÍAS CALENDARIO</v>
      </c>
      <c r="L1696" s="213" t="str">
        <f>IFERROR(__xludf.DUMMYFUNCTION("""COMPUTED_VALUE"""),"")</f>
        <v/>
      </c>
      <c r="M1696" s="213">
        <f>IFERROR(__xludf.DUMMYFUNCTION("""COMPUTED_VALUE"""),1.0)</f>
        <v>1</v>
      </c>
      <c r="N1696" s="213">
        <f>IFERROR(__xludf.DUMMYFUNCTION("""COMPUTED_VALUE"""),5.0)</f>
        <v>5</v>
      </c>
      <c r="O1696" s="213">
        <f>IFERROR(__xludf.DUMMYFUNCTION("""COMPUTED_VALUE"""),5.0)</f>
        <v>5</v>
      </c>
      <c r="P1696" s="213"/>
      <c r="Q1696" s="213"/>
      <c r="R1696" s="213" t="str">
        <f>IFERROR(__xludf.DUMMYFUNCTION("""COMPUTED_VALUE"""),"SI")</f>
        <v>SI</v>
      </c>
      <c r="S1696" s="213"/>
      <c r="T1696" s="213" t="str">
        <f>IFERROR(__xludf.DUMMYFUNCTION("""COMPUTED_VALUE"""),"SI")</f>
        <v>SI</v>
      </c>
      <c r="U1696" s="213" t="str">
        <f>IFERROR(__xludf.DUMMYFUNCTION("""COMPUTED_VALUE"""),"SI")</f>
        <v>SI</v>
      </c>
      <c r="V1696" s="213" t="str">
        <f>IFERROR(__xludf.DUMMYFUNCTION("""COMPUTED_VALUE"""),"-")</f>
        <v>-</v>
      </c>
      <c r="W1696" s="213" t="str">
        <f>IFERROR(__xludf.DUMMYFUNCTION("""COMPUTED_VALUE"""),"-")</f>
        <v>-</v>
      </c>
      <c r="X1696" s="213" t="str">
        <f>IFERROR(__xludf.DUMMYFUNCTION("""COMPUTED_VALUE"""),"GENERICO")</f>
        <v>GENERICO</v>
      </c>
      <c r="Y1696" s="213" t="str">
        <f>IFERROR(__xludf.DUMMYFUNCTION("""COMPUTED_VALUE"""),"GENERICO")</f>
        <v>GENERICO</v>
      </c>
      <c r="Z1696" s="215" t="str">
        <f>IFERROR(__xludf.DUMMYFUNCTION("""COMPUTED_VALUE"""),"https://aranda.com.pe/producto/piqueta-martillo-para-soldador/")</f>
        <v>https://aranda.com.pe/producto/piqueta-martillo-para-soldador/</v>
      </c>
      <c r="AA1696" s="213" t="str">
        <f>IFERROR(__xludf.DUMMYFUNCTION("""COMPUTED_VALUE"""),"COM-257 PIQUETA DE SOLDADOR - CET")</f>
        <v>COM-257 PIQUETA DE SOLDADOR - CET</v>
      </c>
      <c r="AB1696" s="213"/>
      <c r="AC1696" s="213"/>
      <c r="AD1696" s="213"/>
      <c r="AE1696" s="213"/>
      <c r="AF1696" s="213"/>
      <c r="AG1696" s="213"/>
      <c r="AH1696" s="213"/>
      <c r="AI1696" s="213"/>
      <c r="AJ1696" s="213"/>
      <c r="AK1696" s="213"/>
      <c r="AL1696" s="213"/>
      <c r="AM1696" s="213"/>
      <c r="AN1696" s="213"/>
      <c r="AO1696" s="213"/>
      <c r="AP1696" s="213" t="str">
        <f>IFERROR(__xludf.DUMMYFUNCTION("""COMPUTED_VALUE"""),"LUIS")</f>
        <v>LUIS</v>
      </c>
      <c r="AQ1696" s="213"/>
      <c r="AR1696" s="213"/>
      <c r="AS1696" s="213"/>
      <c r="AT1696" s="213"/>
      <c r="AU1696" s="213"/>
      <c r="AV1696" s="213"/>
      <c r="AW1696" s="213"/>
      <c r="AX1696" s="213"/>
      <c r="AY1696" s="213"/>
      <c r="AZ1696" s="213"/>
      <c r="BA1696" s="213"/>
      <c r="BB1696" s="213"/>
      <c r="BC1696" s="213"/>
      <c r="BD1696" s="213"/>
    </row>
    <row r="1697">
      <c r="A1697" s="213">
        <f>IFERROR(__xludf.DUMMYFUNCTION("""COMPUTED_VALUE"""),2541.0)</f>
        <v>2541</v>
      </c>
      <c r="B1697" s="213" t="str">
        <f>IFERROR(__xludf.DUMMYFUNCTION("""COMPUTED_VALUE"""),"MANUEL ANTONIO MESONES MURO")</f>
        <v>MANUEL ANTONIO MESONES MURO</v>
      </c>
      <c r="C1697" s="213" t="str">
        <f>IFERROR(__xludf.DUMMYFUNCTION("""COMPUTED_VALUE"""),"TALLER SFT DE EBANISTERÍA")</f>
        <v>TALLER SFT DE EBANISTERÍA</v>
      </c>
      <c r="D1697" s="213" t="str">
        <f>IFERROR(__xludf.DUMMYFUNCTION("""COMPUTED_VALUE"""),"MOBILIARIO")</f>
        <v>MOBILIARIO</v>
      </c>
      <c r="E1697" s="213" t="str">
        <f>IFERROR(__xludf.DUMMYFUNCTION("""COMPUTED_VALUE"""),"MOB-126")</f>
        <v>MOB-126</v>
      </c>
      <c r="F1697" s="213" t="str">
        <f>IFERROR(__xludf.DUMMYFUNCTION("""COMPUTED_VALUE"""),"MOB-126")</f>
        <v>MOB-126</v>
      </c>
      <c r="G1697" s="213"/>
      <c r="H1697" s="213" t="str">
        <f>IFERROR(__xludf.DUMMYFUNCTION("""COMPUTED_VALUE"""),"MESA DE COMPUTADORA PARA ESTUDIANTE (1000 X 600 X 750 MM.)")</f>
        <v>MESA DE COMPUTADORA PARA ESTUDIANTE (1000 X 600 X 750 MM.)</v>
      </c>
      <c r="I1697" s="213" t="str">
        <f>IFERROR(__xludf.DUMMYFUNCTION("""COMPUTED_VALUE"""),"· Tablero de madera aglomerada bilaminado, mínimo 18 mm de espesor,canteado con tapacanto grueso 3mm.
· Estructura metálica: mínimo de tubo cuadrado de 1½” x 1.5 mm. o tubo equivalente de 1,5 mm de espesor como mínimo.
· Soporte de 4 patas de tubo cuadrad"&amp;"o de 1½”, e: 1.5 mm, o tubo equivalente de 1,5 mm de espesor como mínimo con regatones antideslizantes.
· Con 3 amarres de acero tubular cuadrado de 1½”, e: 1.5 mm.
· Acabado en pintura polvo electrostático (60 micras mínimo)
· Dimensiones aproximadas: 10"&amp;"00 mm x 600 mm x 760 mm.
· El mueble no requiere ser anclado en el piso.")</f>
        <v>· Tablero de madera aglomerada bilaminado, mínimo 18 mm de espesor,canteado con tapacanto grueso 3mm.
· Estructura metálica: mínimo de tubo cuadrado de 1½” x 1.5 mm. o tubo equivalente de 1,5 mm de espesor como mínimo.
· Soporte de 4 patas de tubo cuadrado de 1½”, e: 1.5 mm, o tubo equivalente de 1,5 mm de espesor como mínimo con regatones antideslizantes.
· Con 3 amarres de acero tubular cuadrado de 1½”, e: 1.5 mm.
· Acabado en pintura polvo electrostático (60 micras mínimo)
· Dimensiones aproximadas: 1000 mm x 600 mm x 760 mm.
· El mueble no requiere ser anclado en el piso.</v>
      </c>
      <c r="J1697" s="213">
        <f>IFERROR(__xludf.DUMMYFUNCTION("""COMPUTED_VALUE"""),3.0)</f>
        <v>3</v>
      </c>
      <c r="K1697" s="213" t="str">
        <f>IFERROR(__xludf.DUMMYFUNCTION("""COMPUTED_VALUE"""),"90 DÍAS CALENDARIO")</f>
        <v>90 DÍAS CALENDARIO</v>
      </c>
      <c r="L1697" s="213" t="str">
        <f>IFERROR(__xludf.DUMMYFUNCTION("""COMPUTED_VALUE"""),"")</f>
        <v/>
      </c>
      <c r="M1697" s="213">
        <f>IFERROR(__xludf.DUMMYFUNCTION("""COMPUTED_VALUE"""),1.0)</f>
        <v>1</v>
      </c>
      <c r="N1697" s="213">
        <f>IFERROR(__xludf.DUMMYFUNCTION("""COMPUTED_VALUE"""),19.0)</f>
        <v>19</v>
      </c>
      <c r="O1697" s="213">
        <f>IFERROR(__xludf.DUMMYFUNCTION("""COMPUTED_VALUE"""),19.0)</f>
        <v>19</v>
      </c>
      <c r="P1697" s="213"/>
      <c r="Q1697" s="213"/>
      <c r="R1697" s="213"/>
      <c r="S1697" s="213"/>
      <c r="T1697" s="213"/>
      <c r="U1697" s="213"/>
      <c r="V1697" s="213"/>
      <c r="W1697" s="213"/>
      <c r="X1697" s="213"/>
      <c r="Y1697" s="213"/>
      <c r="Z1697" s="213"/>
      <c r="AA1697" s="213"/>
      <c r="AB1697" s="213"/>
      <c r="AC1697" s="213"/>
      <c r="AD1697" s="213"/>
      <c r="AE1697" s="213"/>
      <c r="AF1697" s="213"/>
      <c r="AG1697" s="213"/>
      <c r="AH1697" s="213"/>
      <c r="AI1697" s="213"/>
      <c r="AJ1697" s="213"/>
      <c r="AK1697" s="213"/>
      <c r="AL1697" s="213"/>
      <c r="AM1697" s="213"/>
      <c r="AN1697" s="213"/>
      <c r="AO1697" s="213"/>
      <c r="AP1697" s="213"/>
      <c r="AQ1697" s="213"/>
      <c r="AR1697" s="213"/>
      <c r="AS1697" s="213"/>
      <c r="AT1697" s="213"/>
      <c r="AU1697" s="213"/>
      <c r="AV1697" s="213"/>
      <c r="AW1697" s="213"/>
      <c r="AX1697" s="213"/>
      <c r="AY1697" s="213"/>
      <c r="AZ1697" s="213"/>
      <c r="BA1697" s="213"/>
      <c r="BB1697" s="213"/>
      <c r="BC1697" s="213"/>
      <c r="BD1697" s="213"/>
    </row>
    <row r="1698">
      <c r="A1698" s="213">
        <f>IFERROR(__xludf.DUMMYFUNCTION("""COMPUTED_VALUE"""),344.0)</f>
        <v>344</v>
      </c>
      <c r="B1698" s="213" t="str">
        <f>IFERROR(__xludf.DUMMYFUNCTION("""COMPUTED_VALUE"""),"2026 SIMON BOLIVAR")</f>
        <v>2026 SIMON BOLIVAR</v>
      </c>
      <c r="C1698" s="213" t="str">
        <f>IFERROR(__xludf.DUMMYFUNCTION("""COMPUTED_VALUE"""),"TALLER SFT DE ELECTRICIDAD")</f>
        <v>TALLER SFT DE ELECTRICIDAD</v>
      </c>
      <c r="D1698" s="213" t="str">
        <f>IFERROR(__xludf.DUMMYFUNCTION("""COMPUTED_VALUE"""),"MOBILIARIO")</f>
        <v>MOBILIARIO</v>
      </c>
      <c r="E1698" s="213" t="str">
        <f>IFERROR(__xludf.DUMMYFUNCTION("""COMPUTED_VALUE"""),"MOB-128")</f>
        <v>MOB-128</v>
      </c>
      <c r="F1698" s="213" t="str">
        <f>IFERROR(__xludf.DUMMYFUNCTION("""COMPUTED_VALUE"""),"MOB-128")</f>
        <v>MOB-128</v>
      </c>
      <c r="G1698" s="213"/>
      <c r="H1698" s="213" t="str">
        <f>IFERROR(__xludf.DUMMYFUNCTION("""COMPUTED_VALUE"""),"MESA DE TRABAJO (1100 X 600 X 900 MM.)")</f>
        <v>MESA DE TRABAJO (1100 X 600 X 900 MM.)</v>
      </c>
      <c r="I1698" s="213" t="str">
        <f>IFERROR(__xludf.DUMMYFUNCTION("""COMPUTED_VALUE"""),"· Estructura fabricada íntegramente de metal.
· Tablero superior e inferior de madera aglomerada bilaminado, mínimo 18 mm de espesor, con tapa de canto grueso.
· Estructura metálica, mínimo de tubo cuadrado de 1 1/2 "" x 1.5 mm y/o ángulos de 1 1/2 x 2 mm"&amp;".
· Seis patas de metal de tubo cuadrado de 2"" x 2"" x 1.5 mm de espesor
· Acabado en pintura polvo electrostático de 60 a 80 micras.
· Dimensiones mínimas: 1,10 x 0,60 x 0,90 m")</f>
        <v>· Estructura fabricada íntegramente de metal.
· Tablero superior e inferior de madera aglomerada bilaminado, mínimo 18 mm de espesor, con tapa de canto grueso.
· Estructura metálica, mínimo de tubo cuadrado de 1 1/2 " x 1.5 mm y/o ángulos de 1 1/2 x 2 mm.
· Seis patas de metal de tubo cuadrado de 2" x 2" x 1.5 mm de espesor
· Acabado en pintura polvo electrostático de 60 a 80 micras.
· Dimensiones mínimas: 1,10 x 0,60 x 0,90 m</v>
      </c>
      <c r="J1698" s="213">
        <f>IFERROR(__xludf.DUMMYFUNCTION("""COMPUTED_VALUE"""),3.0)</f>
        <v>3</v>
      </c>
      <c r="K1698" s="213" t="str">
        <f>IFERROR(__xludf.DUMMYFUNCTION("""COMPUTED_VALUE"""),"90 DÍAS CALENDARIO")</f>
        <v>90 DÍAS CALENDARIO</v>
      </c>
      <c r="L1698" s="213" t="str">
        <f>IFERROR(__xludf.DUMMYFUNCTION("""COMPUTED_VALUE"""),"")</f>
        <v/>
      </c>
      <c r="M1698" s="213">
        <f>IFERROR(__xludf.DUMMYFUNCTION("""COMPUTED_VALUE"""),1.0)</f>
        <v>1</v>
      </c>
      <c r="N1698" s="213">
        <f>IFERROR(__xludf.DUMMYFUNCTION("""COMPUTED_VALUE"""),4.0)</f>
        <v>4</v>
      </c>
      <c r="O1698" s="213">
        <f>IFERROR(__xludf.DUMMYFUNCTION("""COMPUTED_VALUE"""),4.0)</f>
        <v>4</v>
      </c>
      <c r="P1698" s="213"/>
      <c r="Q1698" s="213"/>
      <c r="R1698" s="213"/>
      <c r="S1698" s="213"/>
      <c r="T1698" s="213"/>
      <c r="U1698" s="213"/>
      <c r="V1698" s="213"/>
      <c r="W1698" s="213"/>
      <c r="X1698" s="213"/>
      <c r="Y1698" s="213"/>
      <c r="Z1698" s="213"/>
      <c r="AA1698" s="213"/>
      <c r="AB1698" s="213"/>
      <c r="AC1698" s="213"/>
      <c r="AD1698" s="213"/>
      <c r="AE1698" s="213"/>
      <c r="AF1698" s="213"/>
      <c r="AG1698" s="213"/>
      <c r="AH1698" s="213"/>
      <c r="AI1698" s="213"/>
      <c r="AJ1698" s="213"/>
      <c r="AK1698" s="213"/>
      <c r="AL1698" s="213"/>
      <c r="AM1698" s="213"/>
      <c r="AN1698" s="213"/>
      <c r="AO1698" s="213"/>
      <c r="AP1698" s="213"/>
      <c r="AQ1698" s="213"/>
      <c r="AR1698" s="213"/>
      <c r="AS1698" s="213"/>
      <c r="AT1698" s="213"/>
      <c r="AU1698" s="213"/>
      <c r="AV1698" s="213"/>
      <c r="AW1698" s="213"/>
      <c r="AX1698" s="213"/>
      <c r="AY1698" s="213"/>
      <c r="AZ1698" s="213"/>
      <c r="BA1698" s="213"/>
      <c r="BB1698" s="213"/>
      <c r="BC1698" s="213"/>
      <c r="BD1698" s="213"/>
    </row>
    <row r="1699">
      <c r="A1699" s="213">
        <f>IFERROR(__xludf.DUMMYFUNCTION("""COMPUTED_VALUE"""),830.0)</f>
        <v>830</v>
      </c>
      <c r="B1699" s="213" t="str">
        <f>IFERROR(__xludf.DUMMYFUNCTION("""COMPUTED_VALUE"""),"6049 RICARDO PALMA")</f>
        <v>6049 RICARDO PALMA</v>
      </c>
      <c r="C1699" s="213" t="str">
        <f>IFERROR(__xludf.DUMMYFUNCTION("""COMPUTED_VALUE"""),"TALLER SFT DE ELECTRICIDAD")</f>
        <v>TALLER SFT DE ELECTRICIDAD</v>
      </c>
      <c r="D1699" s="213" t="str">
        <f>IFERROR(__xludf.DUMMYFUNCTION("""COMPUTED_VALUE"""),"MOBILIARIO")</f>
        <v>MOBILIARIO</v>
      </c>
      <c r="E1699" s="213" t="str">
        <f>IFERROR(__xludf.DUMMYFUNCTION("""COMPUTED_VALUE"""),"MOB-128")</f>
        <v>MOB-128</v>
      </c>
      <c r="F1699" s="213" t="str">
        <f>IFERROR(__xludf.DUMMYFUNCTION("""COMPUTED_VALUE"""),"MOB-128")</f>
        <v>MOB-128</v>
      </c>
      <c r="G1699" s="213"/>
      <c r="H1699" s="213" t="str">
        <f>IFERROR(__xludf.DUMMYFUNCTION("""COMPUTED_VALUE"""),"MESA DE TRABAJO (1100 X 600 X 900 MM.)")</f>
        <v>MESA DE TRABAJO (1100 X 600 X 900 MM.)</v>
      </c>
      <c r="I1699" s="213" t="str">
        <f>IFERROR(__xludf.DUMMYFUNCTION("""COMPUTED_VALUE"""),"· Estructura fabricada íntegramente de metal.
· Tablero superior e inferior de madera aglomerada bilaminado, mínimo 18 mm de espesor, con tapa de canto grueso.
· Estructura metálica, mínimo de tubo cuadrado de 1 1/2 "" x 1.5 mm y/o ángulos de 1 1/2 x 2 mm"&amp;".
· Seis patas de metal de tubo cuadrado de 2"" x 2"" x 1.5 mm de espesor
· Acabado en pintura polvo electrostático de 60 a 80 micras.
· Dimensiones mínimas: 1,10 x 0,60 x 0,90 m")</f>
        <v>· Estructura fabricada íntegramente de metal.
· Tablero superior e inferior de madera aglomerada bilaminado, mínimo 18 mm de espesor, con tapa de canto grueso.
· Estructura metálica, mínimo de tubo cuadrado de 1 1/2 " x 1.5 mm y/o ángulos de 1 1/2 x 2 mm.
· Seis patas de metal de tubo cuadrado de 2" x 2" x 1.5 mm de espesor
· Acabado en pintura polvo electrostático de 60 a 80 micras.
· Dimensiones mínimas: 1,10 x 0,60 x 0,90 m</v>
      </c>
      <c r="J1699" s="213">
        <f>IFERROR(__xludf.DUMMYFUNCTION("""COMPUTED_VALUE"""),3.0)</f>
        <v>3</v>
      </c>
      <c r="K1699" s="213" t="str">
        <f>IFERROR(__xludf.DUMMYFUNCTION("""COMPUTED_VALUE"""),"90 DÍAS CALENDARIO")</f>
        <v>90 DÍAS CALENDARIO</v>
      </c>
      <c r="L1699" s="213" t="str">
        <f>IFERROR(__xludf.DUMMYFUNCTION("""COMPUTED_VALUE"""),"")</f>
        <v/>
      </c>
      <c r="M1699" s="213">
        <f>IFERROR(__xludf.DUMMYFUNCTION("""COMPUTED_VALUE"""),1.0)</f>
        <v>1</v>
      </c>
      <c r="N1699" s="213">
        <f>IFERROR(__xludf.DUMMYFUNCTION("""COMPUTED_VALUE"""),4.0)</f>
        <v>4</v>
      </c>
      <c r="O1699" s="213">
        <f>IFERROR(__xludf.DUMMYFUNCTION("""COMPUTED_VALUE"""),4.0)</f>
        <v>4</v>
      </c>
      <c r="P1699" s="213"/>
      <c r="Q1699" s="213"/>
      <c r="R1699" s="213"/>
      <c r="S1699" s="213"/>
      <c r="T1699" s="213"/>
      <c r="U1699" s="213"/>
      <c r="V1699" s="213"/>
      <c r="W1699" s="213"/>
      <c r="X1699" s="213"/>
      <c r="Y1699" s="213"/>
      <c r="Z1699" s="213"/>
      <c r="AA1699" s="213"/>
      <c r="AB1699" s="213"/>
      <c r="AC1699" s="213"/>
      <c r="AD1699" s="213"/>
      <c r="AE1699" s="213"/>
      <c r="AF1699" s="213"/>
      <c r="AG1699" s="213"/>
      <c r="AH1699" s="213"/>
      <c r="AI1699" s="213"/>
      <c r="AJ1699" s="213"/>
      <c r="AK1699" s="213"/>
      <c r="AL1699" s="213"/>
      <c r="AM1699" s="213"/>
      <c r="AN1699" s="213"/>
      <c r="AO1699" s="213"/>
      <c r="AP1699" s="213"/>
      <c r="AQ1699" s="213"/>
      <c r="AR1699" s="213"/>
      <c r="AS1699" s="213"/>
      <c r="AT1699" s="213"/>
      <c r="AU1699" s="213"/>
      <c r="AV1699" s="213"/>
      <c r="AW1699" s="213"/>
      <c r="AX1699" s="213"/>
      <c r="AY1699" s="213"/>
      <c r="AZ1699" s="213"/>
      <c r="BA1699" s="213"/>
      <c r="BB1699" s="213"/>
      <c r="BC1699" s="213"/>
      <c r="BD1699" s="213"/>
    </row>
    <row r="1700">
      <c r="A1700" s="213">
        <f>IFERROR(__xludf.DUMMYFUNCTION("""COMPUTED_VALUE"""),1252.0)</f>
        <v>1252</v>
      </c>
      <c r="B1700" s="213" t="str">
        <f>IFERROR(__xludf.DUMMYFUNCTION("""COMPUTED_VALUE"""),"GUILLERMO E. BILLINGHURST ")</f>
        <v>GUILLERMO E. BILLINGHURST </v>
      </c>
      <c r="C1700" s="213" t="str">
        <f>IFERROR(__xludf.DUMMYFUNCTION("""COMPUTED_VALUE"""),"TALLER SFT DE ELECTRICIDAD")</f>
        <v>TALLER SFT DE ELECTRICIDAD</v>
      </c>
      <c r="D1700" s="213" t="str">
        <f>IFERROR(__xludf.DUMMYFUNCTION("""COMPUTED_VALUE"""),"MOBILIARIO")</f>
        <v>MOBILIARIO</v>
      </c>
      <c r="E1700" s="213" t="str">
        <f>IFERROR(__xludf.DUMMYFUNCTION("""COMPUTED_VALUE"""),"MOB-128")</f>
        <v>MOB-128</v>
      </c>
      <c r="F1700" s="213" t="str">
        <f>IFERROR(__xludf.DUMMYFUNCTION("""COMPUTED_VALUE"""),"MOB-128")</f>
        <v>MOB-128</v>
      </c>
      <c r="G1700" s="213"/>
      <c r="H1700" s="213" t="str">
        <f>IFERROR(__xludf.DUMMYFUNCTION("""COMPUTED_VALUE"""),"MESA DE TRABAJO (1100 X 600 X 900 MM.)")</f>
        <v>MESA DE TRABAJO (1100 X 600 X 900 MM.)</v>
      </c>
      <c r="I1700" s="213" t="str">
        <f>IFERROR(__xludf.DUMMYFUNCTION("""COMPUTED_VALUE"""),"· Estructura fabricada íntegramente de metal.
· Tablero superior e inferior de madera aglomerada bilaminado, mínimo 18 mm de espesor, con tapa de canto grueso.
· Estructura metálica, mínimo de tubo cuadrado de 1 1/2 "" x 1.5 mm y/o ángulos de 1 1/2 x 2 mm"&amp;".
· Seis patas de metal de tubo cuadrado de 2"" x 2"" x 1.5 mm de espesor
· Acabado en pintura polvo electrostático de 60 a 80 micras.
· Dimensiones mínimas: 1,10 x 0,60 x 0,90 m")</f>
        <v>· Estructura fabricada íntegramente de metal.
· Tablero superior e inferior de madera aglomerada bilaminado, mínimo 18 mm de espesor, con tapa de canto grueso.
· Estructura metálica, mínimo de tubo cuadrado de 1 1/2 " x 1.5 mm y/o ángulos de 1 1/2 x 2 mm.
· Seis patas de metal de tubo cuadrado de 2" x 2" x 1.5 mm de espesor
· Acabado en pintura polvo electrostático de 60 a 80 micras.
· Dimensiones mínimas: 1,10 x 0,60 x 0,90 m</v>
      </c>
      <c r="J1700" s="213">
        <f>IFERROR(__xludf.DUMMYFUNCTION("""COMPUTED_VALUE"""),3.0)</f>
        <v>3</v>
      </c>
      <c r="K1700" s="213" t="str">
        <f>IFERROR(__xludf.DUMMYFUNCTION("""COMPUTED_VALUE"""),"90 DÍAS CALENDARIO")</f>
        <v>90 DÍAS CALENDARIO</v>
      </c>
      <c r="L1700" s="213" t="str">
        <f>IFERROR(__xludf.DUMMYFUNCTION("""COMPUTED_VALUE"""),"")</f>
        <v/>
      </c>
      <c r="M1700" s="213">
        <f>IFERROR(__xludf.DUMMYFUNCTION("""COMPUTED_VALUE"""),1.0)</f>
        <v>1</v>
      </c>
      <c r="N1700" s="213">
        <f>IFERROR(__xludf.DUMMYFUNCTION("""COMPUTED_VALUE"""),4.0)</f>
        <v>4</v>
      </c>
      <c r="O1700" s="213">
        <f>IFERROR(__xludf.DUMMYFUNCTION("""COMPUTED_VALUE"""),4.0)</f>
        <v>4</v>
      </c>
      <c r="P1700" s="213"/>
      <c r="Q1700" s="213"/>
      <c r="R1700" s="213"/>
      <c r="S1700" s="213"/>
      <c r="T1700" s="213"/>
      <c r="U1700" s="213"/>
      <c r="V1700" s="213"/>
      <c r="W1700" s="213"/>
      <c r="X1700" s="213"/>
      <c r="Y1700" s="213"/>
      <c r="Z1700" s="213"/>
      <c r="AA1700" s="213"/>
      <c r="AB1700" s="213"/>
      <c r="AC1700" s="213"/>
      <c r="AD1700" s="213"/>
      <c r="AE1700" s="213"/>
      <c r="AF1700" s="213"/>
      <c r="AG1700" s="213"/>
      <c r="AH1700" s="213"/>
      <c r="AI1700" s="213"/>
      <c r="AJ1700" s="213"/>
      <c r="AK1700" s="213"/>
      <c r="AL1700" s="213"/>
      <c r="AM1700" s="213"/>
      <c r="AN1700" s="213"/>
      <c r="AO1700" s="213"/>
      <c r="AP1700" s="213"/>
      <c r="AQ1700" s="213"/>
      <c r="AR1700" s="213"/>
      <c r="AS1700" s="213"/>
      <c r="AT1700" s="213"/>
      <c r="AU1700" s="213"/>
      <c r="AV1700" s="213"/>
      <c r="AW1700" s="213"/>
      <c r="AX1700" s="213"/>
      <c r="AY1700" s="213"/>
      <c r="AZ1700" s="213"/>
      <c r="BA1700" s="213"/>
      <c r="BB1700" s="213"/>
      <c r="BC1700" s="213"/>
      <c r="BD1700" s="213"/>
    </row>
    <row r="1701">
      <c r="A1701" s="213">
        <f>IFERROR(__xludf.DUMMYFUNCTION("""COMPUTED_VALUE"""),260.0)</f>
        <v>260</v>
      </c>
      <c r="B1701" s="213" t="str">
        <f>IFERROR(__xludf.DUMMYFUNCTION("""COMPUTED_VALUE"""),"2026 SIMON BOLIVAR")</f>
        <v>2026 SIMON BOLIVAR</v>
      </c>
      <c r="C1701" s="213" t="str">
        <f>IFERROR(__xludf.DUMMYFUNCTION("""COMPUTED_VALUE"""),"TALLER SFT DE COMPUTACIÓN E INFORMÁTICA")</f>
        <v>TALLER SFT DE COMPUTACIÓN E INFORMÁTICA</v>
      </c>
      <c r="D1701" s="213" t="str">
        <f>IFERROR(__xludf.DUMMYFUNCTION("""COMPUTED_VALUE"""),"MOBILIARIO")</f>
        <v>MOBILIARIO</v>
      </c>
      <c r="E1701" s="213" t="str">
        <f>IFERROR(__xludf.DUMMYFUNCTION("""COMPUTED_VALUE"""),"MOB-129")</f>
        <v>MOB-129</v>
      </c>
      <c r="F1701" s="213" t="str">
        <f>IFERROR(__xludf.DUMMYFUNCTION("""COMPUTED_VALUE"""),"MOB-129")</f>
        <v>MOB-129</v>
      </c>
      <c r="G1701" s="213"/>
      <c r="H1701" s="213" t="str">
        <f>IFERROR(__xludf.DUMMYFUNCTION("""COMPUTED_VALUE"""),"MESA DE TRABAJO (2000 X 1200 X 800 MM.)")</f>
        <v>MESA DE TRABAJO (2000 X 1200 X 800 MM.)</v>
      </c>
      <c r="I1701" s="213" t="str">
        <f>IFERROR(__xludf.DUMMYFUNCTION("""COMPUTED_VALUE"""),"·       Tablero de madera aglomerada bilaminado, mínimo 18 mm de espesor, canteado en PVC de 3 mm.
·       Estructura metálica: mínimo de tubo cuadrado de 1½” x 1,5 mm de espesor.
·       Soporte de 6 patas de tubo cuadrado de 2” x 2""  x 1,5 mm de espeso"&amp;"r, con regatones antideslizantes.
·       Con 3 amarres de acero tubular cuadrado de 1½” x 1,5 mm de espesor.
·       Acabado en pintura polvo electrostático de 60 micras mínimo.
·       Dimensiones: 2000 mm x 1200 mm x 800 mm. (ancho, profundidad, alto)")</f>
        <v>·       Tablero de madera aglomerada bilaminado, mínimo 18 mm de espesor, canteado en PVC de 3 mm.
·       Estructura metálica: mínimo de tubo cuadrado de 1½” x 1,5 mm de espesor.
·       Soporte de 6 patas de tubo cuadrado de 2” x 2"  x 1,5 mm de espesor, con regatones antideslizantes.
·       Con 3 amarres de acero tubular cuadrado de 1½” x 1,5 mm de espesor.
·       Acabado en pintura polvo electrostático de 60 micras mínimo.
·       Dimensiones: 2000 mm x 1200 mm x 800 mm. (ancho, profundidad, alto)</v>
      </c>
      <c r="J1701" s="213">
        <f>IFERROR(__xludf.DUMMYFUNCTION("""COMPUTED_VALUE"""),3.0)</f>
        <v>3</v>
      </c>
      <c r="K1701" s="213" t="str">
        <f>IFERROR(__xludf.DUMMYFUNCTION("""COMPUTED_VALUE"""),"90 DÍAS CALENDARIO")</f>
        <v>90 DÍAS CALENDARIO</v>
      </c>
      <c r="L1701" s="213" t="str">
        <f>IFERROR(__xludf.DUMMYFUNCTION("""COMPUTED_VALUE"""),"")</f>
        <v/>
      </c>
      <c r="M1701" s="213">
        <f>IFERROR(__xludf.DUMMYFUNCTION("""COMPUTED_VALUE"""),1.0)</f>
        <v>1</v>
      </c>
      <c r="N1701" s="213">
        <f>IFERROR(__xludf.DUMMYFUNCTION("""COMPUTED_VALUE"""),4.0)</f>
        <v>4</v>
      </c>
      <c r="O1701" s="213">
        <f>IFERROR(__xludf.DUMMYFUNCTION("""COMPUTED_VALUE"""),4.0)</f>
        <v>4</v>
      </c>
      <c r="P1701" s="213"/>
      <c r="Q1701" s="213"/>
      <c r="R1701" s="213"/>
      <c r="S1701" s="213"/>
      <c r="T1701" s="213"/>
      <c r="U1701" s="213"/>
      <c r="V1701" s="213"/>
      <c r="W1701" s="213"/>
      <c r="X1701" s="213"/>
      <c r="Y1701" s="213"/>
      <c r="Z1701" s="213"/>
      <c r="AA1701" s="213"/>
      <c r="AB1701" s="213"/>
      <c r="AC1701" s="213"/>
      <c r="AD1701" s="213"/>
      <c r="AE1701" s="213"/>
      <c r="AF1701" s="213"/>
      <c r="AG1701" s="213"/>
      <c r="AH1701" s="213"/>
      <c r="AI1701" s="213"/>
      <c r="AJ1701" s="213"/>
      <c r="AK1701" s="213"/>
      <c r="AL1701" s="213"/>
      <c r="AM1701" s="213"/>
      <c r="AN1701" s="213"/>
      <c r="AO1701" s="213"/>
      <c r="AP1701" s="213"/>
      <c r="AQ1701" s="213"/>
      <c r="AR1701" s="213"/>
      <c r="AS1701" s="213"/>
      <c r="AT1701" s="213"/>
      <c r="AU1701" s="213"/>
      <c r="AV1701" s="213"/>
      <c r="AW1701" s="213"/>
      <c r="AX1701" s="213"/>
      <c r="AY1701" s="213"/>
      <c r="AZ1701" s="213"/>
      <c r="BA1701" s="213"/>
      <c r="BB1701" s="213"/>
      <c r="BC1701" s="213"/>
      <c r="BD1701" s="213"/>
    </row>
    <row r="1702">
      <c r="A1702" s="213">
        <f>IFERROR(__xludf.DUMMYFUNCTION("""COMPUTED_VALUE"""),745.0)</f>
        <v>745</v>
      </c>
      <c r="B1702" s="213" t="str">
        <f>IFERROR(__xludf.DUMMYFUNCTION("""COMPUTED_VALUE"""),"6049 RICARDO PALMA")</f>
        <v>6049 RICARDO PALMA</v>
      </c>
      <c r="C1702" s="213" t="str">
        <f>IFERROR(__xludf.DUMMYFUNCTION("""COMPUTED_VALUE"""),"TALLER SFT DE COMPUTACIÓN E INFORMÁTICA")</f>
        <v>TALLER SFT DE COMPUTACIÓN E INFORMÁTICA</v>
      </c>
      <c r="D1702" s="213" t="str">
        <f>IFERROR(__xludf.DUMMYFUNCTION("""COMPUTED_VALUE"""),"MOBILIARIO")</f>
        <v>MOBILIARIO</v>
      </c>
      <c r="E1702" s="213" t="str">
        <f>IFERROR(__xludf.DUMMYFUNCTION("""COMPUTED_VALUE"""),"MOB-129")</f>
        <v>MOB-129</v>
      </c>
      <c r="F1702" s="213" t="str">
        <f>IFERROR(__xludf.DUMMYFUNCTION("""COMPUTED_VALUE"""),"MOB-129")</f>
        <v>MOB-129</v>
      </c>
      <c r="G1702" s="213"/>
      <c r="H1702" s="213" t="str">
        <f>IFERROR(__xludf.DUMMYFUNCTION("""COMPUTED_VALUE"""),"MESA DE TRABAJO (2000 X 1200 X 800 MM.)")</f>
        <v>MESA DE TRABAJO (2000 X 1200 X 800 MM.)</v>
      </c>
      <c r="I1702" s="213" t="str">
        <f>IFERROR(__xludf.DUMMYFUNCTION("""COMPUTED_VALUE"""),"·       Tablero de madera aglomerada bilaminado, mínimo 18 mm de espesor, canteado en PVC de 3 mm.
·       Estructura metálica: mínimo de tubo cuadrado de 1½” x 1,5 mm de espesor.
·       Soporte de 6 patas de tubo cuadrado de 2” x 2""  x 1,5 mm de espeso"&amp;"r, con regatones antideslizantes.
·       Con 3 amarres de acero tubular cuadrado de 1½” x 1,5 mm de espesor.
·       Acabado en pintura polvo electrostático de 60 micras mínimo.
·       Dimensiones: 2000 mm x 1200 mm x 800 mm. (ancho, profundidad, alto)")</f>
        <v>·       Tablero de madera aglomerada bilaminado, mínimo 18 mm de espesor, canteado en PVC de 3 mm.
·       Estructura metálica: mínimo de tubo cuadrado de 1½” x 1,5 mm de espesor.
·       Soporte de 6 patas de tubo cuadrado de 2” x 2"  x 1,5 mm de espesor, con regatones antideslizantes.
·       Con 3 amarres de acero tubular cuadrado de 1½” x 1,5 mm de espesor.
·       Acabado en pintura polvo electrostático de 60 micras mínimo.
·       Dimensiones: 2000 mm x 1200 mm x 800 mm. (ancho, profundidad, alto)</v>
      </c>
      <c r="J1702" s="213">
        <f>IFERROR(__xludf.DUMMYFUNCTION("""COMPUTED_VALUE"""),3.0)</f>
        <v>3</v>
      </c>
      <c r="K1702" s="213" t="str">
        <f>IFERROR(__xludf.DUMMYFUNCTION("""COMPUTED_VALUE"""),"90 DÍAS CALENDARIO")</f>
        <v>90 DÍAS CALENDARIO</v>
      </c>
      <c r="L1702" s="213" t="str">
        <f>IFERROR(__xludf.DUMMYFUNCTION("""COMPUTED_VALUE"""),"")</f>
        <v/>
      </c>
      <c r="M1702" s="213">
        <f>IFERROR(__xludf.DUMMYFUNCTION("""COMPUTED_VALUE"""),1.0)</f>
        <v>1</v>
      </c>
      <c r="N1702" s="213">
        <f>IFERROR(__xludf.DUMMYFUNCTION("""COMPUTED_VALUE"""),4.0)</f>
        <v>4</v>
      </c>
      <c r="O1702" s="213">
        <f>IFERROR(__xludf.DUMMYFUNCTION("""COMPUTED_VALUE"""),4.0)</f>
        <v>4</v>
      </c>
      <c r="P1702" s="213"/>
      <c r="Q1702" s="213"/>
      <c r="R1702" s="213"/>
      <c r="S1702" s="213"/>
      <c r="T1702" s="213"/>
      <c r="U1702" s="213"/>
      <c r="V1702" s="213"/>
      <c r="W1702" s="213"/>
      <c r="X1702" s="213"/>
      <c r="Y1702" s="213"/>
      <c r="Z1702" s="213"/>
      <c r="AA1702" s="213"/>
      <c r="AB1702" s="213"/>
      <c r="AC1702" s="213"/>
      <c r="AD1702" s="213"/>
      <c r="AE1702" s="213"/>
      <c r="AF1702" s="213"/>
      <c r="AG1702" s="213"/>
      <c r="AH1702" s="213"/>
      <c r="AI1702" s="213"/>
      <c r="AJ1702" s="213"/>
      <c r="AK1702" s="213"/>
      <c r="AL1702" s="213"/>
      <c r="AM1702" s="213"/>
      <c r="AN1702" s="213"/>
      <c r="AO1702" s="213"/>
      <c r="AP1702" s="213"/>
      <c r="AQ1702" s="213"/>
      <c r="AR1702" s="213"/>
      <c r="AS1702" s="213"/>
      <c r="AT1702" s="213"/>
      <c r="AU1702" s="213"/>
      <c r="AV1702" s="213"/>
      <c r="AW1702" s="213"/>
      <c r="AX1702" s="213"/>
      <c r="AY1702" s="213"/>
      <c r="AZ1702" s="213"/>
      <c r="BA1702" s="213"/>
      <c r="BB1702" s="213"/>
      <c r="BC1702" s="213"/>
      <c r="BD1702" s="213"/>
    </row>
    <row r="1703">
      <c r="A1703" s="213">
        <f>IFERROR(__xludf.DUMMYFUNCTION("""COMPUTED_VALUE"""),1680.0)</f>
        <v>1680</v>
      </c>
      <c r="B1703" s="213" t="str">
        <f>IFERROR(__xludf.DUMMYFUNCTION("""COMPUTED_VALUE"""),"GUILLERMO E. BILLINGHURST ")</f>
        <v>GUILLERMO E. BILLINGHURST </v>
      </c>
      <c r="C1703" s="213" t="str">
        <f>IFERROR(__xludf.DUMMYFUNCTION("""COMPUTED_VALUE"""),"TALLER SFT DE COMPUTACIÓN E INFORMÁTICA")</f>
        <v>TALLER SFT DE COMPUTACIÓN E INFORMÁTICA</v>
      </c>
      <c r="D1703" s="213" t="str">
        <f>IFERROR(__xludf.DUMMYFUNCTION("""COMPUTED_VALUE"""),"MOBILIARIO")</f>
        <v>MOBILIARIO</v>
      </c>
      <c r="E1703" s="213" t="str">
        <f>IFERROR(__xludf.DUMMYFUNCTION("""COMPUTED_VALUE"""),"MOB-129")</f>
        <v>MOB-129</v>
      </c>
      <c r="F1703" s="213" t="str">
        <f>IFERROR(__xludf.DUMMYFUNCTION("""COMPUTED_VALUE"""),"MOB-129")</f>
        <v>MOB-129</v>
      </c>
      <c r="G1703" s="213"/>
      <c r="H1703" s="213" t="str">
        <f>IFERROR(__xludf.DUMMYFUNCTION("""COMPUTED_VALUE"""),"MESA DE TRABAJO (2000 X 1200 X 800 MM.)")</f>
        <v>MESA DE TRABAJO (2000 X 1200 X 800 MM.)</v>
      </c>
      <c r="I1703" s="213" t="str">
        <f>IFERROR(__xludf.DUMMYFUNCTION("""COMPUTED_VALUE"""),"·       Tablero de madera aglomerada bilaminado, mínimo 18 mm de espesor, canteado en PVC de 3 mm.
·       Estructura metálica: mínimo de tubo cuadrado de 1½” x 1,5 mm de espesor.
·       Soporte de 6 patas de tubo cuadrado de 2” x 2""  x 1,5 mm de espeso"&amp;"r, con regatones antideslizantes.
·       Con 3 amarres de acero tubular cuadrado de 1½” x 1,5 mm de espesor.
·       Acabado en pintura polvo electrostático de 60 micras mínimo.
·       Dimensiones: 2000 mm x 1200 mm x 800 mm. (ancho, profundidad, alto)")</f>
        <v>·       Tablero de madera aglomerada bilaminado, mínimo 18 mm de espesor, canteado en PVC de 3 mm.
·       Estructura metálica: mínimo de tubo cuadrado de 1½” x 1,5 mm de espesor.
·       Soporte de 6 patas de tubo cuadrado de 2” x 2"  x 1,5 mm de espesor, con regatones antideslizantes.
·       Con 3 amarres de acero tubular cuadrado de 1½” x 1,5 mm de espesor.
·       Acabado en pintura polvo electrostático de 60 micras mínimo.
·       Dimensiones: 2000 mm x 1200 mm x 800 mm. (ancho, profundidad, alto)</v>
      </c>
      <c r="J1703" s="213">
        <f>IFERROR(__xludf.DUMMYFUNCTION("""COMPUTED_VALUE"""),3.0)</f>
        <v>3</v>
      </c>
      <c r="K1703" s="213" t="str">
        <f>IFERROR(__xludf.DUMMYFUNCTION("""COMPUTED_VALUE"""),"90 DÍAS CALENDARIO")</f>
        <v>90 DÍAS CALENDARIO</v>
      </c>
      <c r="L1703" s="213" t="str">
        <f>IFERROR(__xludf.DUMMYFUNCTION("""COMPUTED_VALUE"""),"")</f>
        <v/>
      </c>
      <c r="M1703" s="213">
        <f>IFERROR(__xludf.DUMMYFUNCTION("""COMPUTED_VALUE"""),1.0)</f>
        <v>1</v>
      </c>
      <c r="N1703" s="213">
        <f>IFERROR(__xludf.DUMMYFUNCTION("""COMPUTED_VALUE"""),3.0)</f>
        <v>3</v>
      </c>
      <c r="O1703" s="213">
        <f>IFERROR(__xludf.DUMMYFUNCTION("""COMPUTED_VALUE"""),3.0)</f>
        <v>3</v>
      </c>
      <c r="P1703" s="213"/>
      <c r="Q1703" s="213"/>
      <c r="R1703" s="213"/>
      <c r="S1703" s="213"/>
      <c r="T1703" s="213"/>
      <c r="U1703" s="213"/>
      <c r="V1703" s="213"/>
      <c r="W1703" s="213"/>
      <c r="X1703" s="213"/>
      <c r="Y1703" s="213"/>
      <c r="Z1703" s="213"/>
      <c r="AA1703" s="213"/>
      <c r="AB1703" s="213"/>
      <c r="AC1703" s="213"/>
      <c r="AD1703" s="213"/>
      <c r="AE1703" s="213"/>
      <c r="AF1703" s="213"/>
      <c r="AG1703" s="213"/>
      <c r="AH1703" s="213"/>
      <c r="AI1703" s="213"/>
      <c r="AJ1703" s="213"/>
      <c r="AK1703" s="213"/>
      <c r="AL1703" s="213"/>
      <c r="AM1703" s="213"/>
      <c r="AN1703" s="213"/>
      <c r="AO1703" s="213"/>
      <c r="AP1703" s="213"/>
      <c r="AQ1703" s="213"/>
      <c r="AR1703" s="213"/>
      <c r="AS1703" s="213"/>
      <c r="AT1703" s="213"/>
      <c r="AU1703" s="213"/>
      <c r="AV1703" s="213"/>
      <c r="AW1703" s="213"/>
      <c r="AX1703" s="213"/>
      <c r="AY1703" s="213"/>
      <c r="AZ1703" s="213"/>
      <c r="BA1703" s="213"/>
      <c r="BB1703" s="213"/>
      <c r="BC1703" s="213"/>
      <c r="BD1703" s="213"/>
    </row>
    <row r="1704">
      <c r="A1704" s="213">
        <f>IFERROR(__xludf.DUMMYFUNCTION("""COMPUTED_VALUE"""),1931.0)</f>
        <v>1931</v>
      </c>
      <c r="B1704" s="213" t="str">
        <f>IFERROR(__xludf.DUMMYFUNCTION("""COMPUTED_VALUE"""),"JOSE GRANDA")</f>
        <v>JOSE GRANDA</v>
      </c>
      <c r="C1704" s="213" t="str">
        <f>IFERROR(__xludf.DUMMYFUNCTION("""COMPUTED_VALUE"""),"TALLER SFT DE COMPUTACIÓN E INFORMÁTICA")</f>
        <v>TALLER SFT DE COMPUTACIÓN E INFORMÁTICA</v>
      </c>
      <c r="D1704" s="213" t="str">
        <f>IFERROR(__xludf.DUMMYFUNCTION("""COMPUTED_VALUE"""),"MOBILIARIO")</f>
        <v>MOBILIARIO</v>
      </c>
      <c r="E1704" s="213" t="str">
        <f>IFERROR(__xludf.DUMMYFUNCTION("""COMPUTED_VALUE"""),"MOB-129")</f>
        <v>MOB-129</v>
      </c>
      <c r="F1704" s="213" t="str">
        <f>IFERROR(__xludf.DUMMYFUNCTION("""COMPUTED_VALUE"""),"MOB-129")</f>
        <v>MOB-129</v>
      </c>
      <c r="G1704" s="213"/>
      <c r="H1704" s="213" t="str">
        <f>IFERROR(__xludf.DUMMYFUNCTION("""COMPUTED_VALUE"""),"MESA DE TRABAJO (2000 X 1200 X 800 MM.)")</f>
        <v>MESA DE TRABAJO (2000 X 1200 X 800 MM.)</v>
      </c>
      <c r="I1704" s="213" t="str">
        <f>IFERROR(__xludf.DUMMYFUNCTION("""COMPUTED_VALUE"""),"·       Tablero de madera aglomerada bilaminado, mínimo 18 mm de espesor, canteado en PVC de 3 mm.
·       Estructura metálica: mínimo de tubo cuadrado de 1½” x 1,5 mm de espesor.
·       Soporte de 6 patas de tubo cuadrado de 2” x 2""  x 1,5 mm de espeso"&amp;"r, con regatones antideslizantes.
·       Con 3 amarres de acero tubular cuadrado de 1½” x 1,5 mm de espesor.
·       Acabado en pintura polvo electrostático de 60 micras mínimo.
·       Dimensiones: 2000 mm x 1200 mm x 800 mm. (ancho, profundidad, alto)")</f>
        <v>·       Tablero de madera aglomerada bilaminado, mínimo 18 mm de espesor, canteado en PVC de 3 mm.
·       Estructura metálica: mínimo de tubo cuadrado de 1½” x 1,5 mm de espesor.
·       Soporte de 6 patas de tubo cuadrado de 2” x 2"  x 1,5 mm de espesor, con regatones antideslizantes.
·       Con 3 amarres de acero tubular cuadrado de 1½” x 1,5 mm de espesor.
·       Acabado en pintura polvo electrostático de 60 micras mínimo.
·       Dimensiones: 2000 mm x 1200 mm x 800 mm. (ancho, profundidad, alto)</v>
      </c>
      <c r="J1704" s="213">
        <f>IFERROR(__xludf.DUMMYFUNCTION("""COMPUTED_VALUE"""),3.0)</f>
        <v>3</v>
      </c>
      <c r="K1704" s="213" t="str">
        <f>IFERROR(__xludf.DUMMYFUNCTION("""COMPUTED_VALUE"""),"90 DÍAS CALENDARIO")</f>
        <v>90 DÍAS CALENDARIO</v>
      </c>
      <c r="L1704" s="213" t="str">
        <f>IFERROR(__xludf.DUMMYFUNCTION("""COMPUTED_VALUE"""),"")</f>
        <v/>
      </c>
      <c r="M1704" s="213">
        <f>IFERROR(__xludf.DUMMYFUNCTION("""COMPUTED_VALUE"""),1.0)</f>
        <v>1</v>
      </c>
      <c r="N1704" s="213">
        <f>IFERROR(__xludf.DUMMYFUNCTION("""COMPUTED_VALUE"""),4.0)</f>
        <v>4</v>
      </c>
      <c r="O1704" s="213">
        <f>IFERROR(__xludf.DUMMYFUNCTION("""COMPUTED_VALUE"""),4.0)</f>
        <v>4</v>
      </c>
      <c r="P1704" s="213"/>
      <c r="Q1704" s="213"/>
      <c r="R1704" s="213"/>
      <c r="S1704" s="213"/>
      <c r="T1704" s="213"/>
      <c r="U1704" s="213"/>
      <c r="V1704" s="213"/>
      <c r="W1704" s="213"/>
      <c r="X1704" s="213"/>
      <c r="Y1704" s="213"/>
      <c r="Z1704" s="213"/>
      <c r="AA1704" s="213"/>
      <c r="AB1704" s="213"/>
      <c r="AC1704" s="213"/>
      <c r="AD1704" s="213"/>
      <c r="AE1704" s="213"/>
      <c r="AF1704" s="213"/>
      <c r="AG1704" s="213"/>
      <c r="AH1704" s="213"/>
      <c r="AI1704" s="213"/>
      <c r="AJ1704" s="213"/>
      <c r="AK1704" s="213"/>
      <c r="AL1704" s="213"/>
      <c r="AM1704" s="213"/>
      <c r="AN1704" s="213"/>
      <c r="AO1704" s="213"/>
      <c r="AP1704" s="213"/>
      <c r="AQ1704" s="213"/>
      <c r="AR1704" s="213"/>
      <c r="AS1704" s="213"/>
      <c r="AT1704" s="213"/>
      <c r="AU1704" s="213"/>
      <c r="AV1704" s="213"/>
      <c r="AW1704" s="213"/>
      <c r="AX1704" s="213"/>
      <c r="AY1704" s="213"/>
      <c r="AZ1704" s="213"/>
      <c r="BA1704" s="213"/>
      <c r="BB1704" s="213"/>
      <c r="BC1704" s="213"/>
      <c r="BD1704" s="213"/>
    </row>
    <row r="1705">
      <c r="A1705" s="213">
        <f>IFERROR(__xludf.DUMMYFUNCTION("""COMPUTED_VALUE"""),620.0)</f>
        <v>620</v>
      </c>
      <c r="B1705" s="213" t="str">
        <f>IFERROR(__xludf.DUMMYFUNCTION("""COMPUTED_VALUE"""),"6049 RICARDO PALMA")</f>
        <v>6049 RICARDO PALMA</v>
      </c>
      <c r="C1705" s="213" t="str">
        <f>IFERROR(__xludf.DUMMYFUNCTION("""COMPUTED_VALUE"""),"TALLER SFT DE ELECTRÓNICA")</f>
        <v>TALLER SFT DE ELECTRÓNICA</v>
      </c>
      <c r="D1705" s="213" t="str">
        <f>IFERROR(__xludf.DUMMYFUNCTION("""COMPUTED_VALUE"""),"MOBILIARIO")</f>
        <v>MOBILIARIO</v>
      </c>
      <c r="E1705" s="213" t="str">
        <f>IFERROR(__xludf.DUMMYFUNCTION("""COMPUTED_VALUE"""),"MOB-131")</f>
        <v>MOB-131</v>
      </c>
      <c r="F1705" s="213" t="str">
        <f>IFERROR(__xludf.DUMMYFUNCTION("""COMPUTED_VALUE"""),"MOB-131")</f>
        <v>MOB-131</v>
      </c>
      <c r="G1705" s="213"/>
      <c r="H1705" s="213" t="str">
        <f>IFERROR(__xludf.DUMMYFUNCTION("""COMPUTED_VALUE"""),"MESA DE TRABAJO DE ELECTRÓNICA CON 2 CAJONES (1800 X 850 X 1000 MM.)")</f>
        <v>MESA DE TRABAJO DE ELECTRÓNICA CON 2 CAJONES (1800 X 850 X 1000 MM.)</v>
      </c>
      <c r="I1705" s="213" t="str">
        <f>IFERROR(__xludf.DUMMYFUNCTION("""COMPUTED_VALUE"""),"· La mesa de taller permite trabajar aquellos procesos que tienen relación con la elaboración de impresos, fabricación de tarjetas, empaques, entre otros..
· Debe contar con las siguientes especificaciones:
· Largo: 180cm
· Ancho: 85cm
· Altura área de tr"&amp;"abajo: 90cm
· Altura total: 100cm
· Tablero de melamine, e=18mm (mínimo)
· Estructura de acero
*Se aceptará el bien con una tolerancia de +/- 5cm en las medidas generales
· Num. de contactos: 4 contactos dúplex de tomacorrientes
· Contactos a tierra físic"&amp;"a
· Interruptor termomagnético de 15A
· Pintura epóxica horneada
· 2 cajones.")</f>
        <v>· La mesa de taller permite trabajar aquellos procesos que tienen relación con la elaboración de impresos, fabricación de tarjetas, empaques, entre otros..
· Debe contar con las siguientes especificaciones:
· Largo: 180cm
· Ancho: 85cm
· Altura área de trabajo: 90cm
· Altura total: 100cm
· Tablero de melamine, e=18mm (mínimo)
· Estructura de acero
*Se aceptará el bien con una tolerancia de +/- 5cm en las medidas generales
· Num. de contactos: 4 contactos dúplex de tomacorrientes
· Contactos a tierra física
· Interruptor termomagnético de 15A
· Pintura epóxica horneada
· 2 cajones.</v>
      </c>
      <c r="J1705" s="213">
        <f>IFERROR(__xludf.DUMMYFUNCTION("""COMPUTED_VALUE"""),3.0)</f>
        <v>3</v>
      </c>
      <c r="K1705" s="213" t="str">
        <f>IFERROR(__xludf.DUMMYFUNCTION("""COMPUTED_VALUE"""),"90 DÍAS CALENDARIO")</f>
        <v>90 DÍAS CALENDARIO</v>
      </c>
      <c r="L1705" s="213" t="str">
        <f>IFERROR(__xludf.DUMMYFUNCTION("""COMPUTED_VALUE"""),"")</f>
        <v/>
      </c>
      <c r="M1705" s="213">
        <f>IFERROR(__xludf.DUMMYFUNCTION("""COMPUTED_VALUE"""),1.0)</f>
        <v>1</v>
      </c>
      <c r="N1705" s="213">
        <f>IFERROR(__xludf.DUMMYFUNCTION("""COMPUTED_VALUE"""),2.0)</f>
        <v>2</v>
      </c>
      <c r="O1705" s="213">
        <f>IFERROR(__xludf.DUMMYFUNCTION("""COMPUTED_VALUE"""),2.0)</f>
        <v>2</v>
      </c>
      <c r="P1705" s="213"/>
      <c r="Q1705" s="213"/>
      <c r="R1705" s="213"/>
      <c r="S1705" s="213"/>
      <c r="T1705" s="213"/>
      <c r="U1705" s="213"/>
      <c r="V1705" s="213"/>
      <c r="W1705" s="213"/>
      <c r="X1705" s="213"/>
      <c r="Y1705" s="213"/>
      <c r="Z1705" s="213"/>
      <c r="AA1705" s="213"/>
      <c r="AB1705" s="213"/>
      <c r="AC1705" s="213"/>
      <c r="AD1705" s="213"/>
      <c r="AE1705" s="213"/>
      <c r="AF1705" s="213"/>
      <c r="AG1705" s="213"/>
      <c r="AH1705" s="213"/>
      <c r="AI1705" s="213"/>
      <c r="AJ1705" s="213"/>
      <c r="AK1705" s="213"/>
      <c r="AL1705" s="213"/>
      <c r="AM1705" s="213"/>
      <c r="AN1705" s="213"/>
      <c r="AO1705" s="213"/>
      <c r="AP1705" s="213"/>
      <c r="AQ1705" s="213"/>
      <c r="AR1705" s="213"/>
      <c r="AS1705" s="213">
        <f>IFERROR(__xludf.DUMMYFUNCTION("""COMPUTED_VALUE"""),0.0)</f>
        <v>0</v>
      </c>
      <c r="AT1705" s="213"/>
      <c r="AU1705" s="213"/>
      <c r="AV1705" s="213"/>
      <c r="AW1705" s="213"/>
      <c r="AX1705" s="213"/>
      <c r="AY1705" s="213"/>
      <c r="AZ1705" s="213"/>
      <c r="BA1705" s="213"/>
      <c r="BB1705" s="213"/>
      <c r="BC1705" s="213"/>
      <c r="BD1705" s="213"/>
    </row>
    <row r="1706">
      <c r="A1706" s="213">
        <f>IFERROR(__xludf.DUMMYFUNCTION("""COMPUTED_VALUE"""),619.0)</f>
        <v>619</v>
      </c>
      <c r="B1706" s="213" t="str">
        <f>IFERROR(__xludf.DUMMYFUNCTION("""COMPUTED_VALUE"""),"6049 RICARDO PALMA")</f>
        <v>6049 RICARDO PALMA</v>
      </c>
      <c r="C1706" s="213" t="str">
        <f>IFERROR(__xludf.DUMMYFUNCTION("""COMPUTED_VALUE"""),"TALLER SFT DE ELECTRÓNICA")</f>
        <v>TALLER SFT DE ELECTRÓNICA</v>
      </c>
      <c r="D1706" s="213" t="str">
        <f>IFERROR(__xludf.DUMMYFUNCTION("""COMPUTED_VALUE"""),"MOBILIARIO")</f>
        <v>MOBILIARIO</v>
      </c>
      <c r="E1706" s="213" t="str">
        <f>IFERROR(__xludf.DUMMYFUNCTION("""COMPUTED_VALUE"""),"MOB-132")</f>
        <v>MOB-132</v>
      </c>
      <c r="F1706" s="213" t="str">
        <f>IFERROR(__xludf.DUMMYFUNCTION("""COMPUTED_VALUE"""),"MOB-132")</f>
        <v>MOB-132</v>
      </c>
      <c r="G1706" s="213"/>
      <c r="H1706" s="213" t="str">
        <f>IFERROR(__xludf.DUMMYFUNCTION("""COMPUTED_VALUE"""),"MESA DE TRABAJO DE ELECTRÓNICA CON ENCIMERA (1800 MM X 850 MM X 1000 MM.)")</f>
        <v>MESA DE TRABAJO DE ELECTRÓNICA CON ENCIMERA (1800 MM X 850 MM X 1000 MM.)</v>
      </c>
      <c r="I1706" s="213" t="str">
        <f>IFERROR(__xludf.DUMMYFUNCTION("""COMPUTED_VALUE"""),"· La mesa de taller permite trabajar aquellos procesos que tienen relación con la comprobación de circuitos electrónicos y kit de microcontroladores, robótica y Arduino.
· Especificaciones:
- Largo: 180cm
- Ancho: 85cm
- Altura: 100cm
*Se aceptará el bien"&amp;" con una tolerancia de +/- 5cm en las medidas generales
- Mesa de Tablero de madera, espesor mínimo 30mm
- Encimera de madera, espesor 15mm (mínimo), medidas aproximadas: 20cm de altura x 20cm de profundidad
- Estructura de acero modular.
- Tratamiento an"&amp;"ticorrosivo.
- Pintada al horno
- Recubrimiento acrílico
- Cantos redondeados
- Totalmente desmontables")</f>
        <v>· La mesa de taller permite trabajar aquellos procesos que tienen relación con la comprobación de circuitos electrónicos y kit de microcontroladores, robótica y Arduino.
· Especificaciones:
- Largo: 180cm
- Ancho: 85cm
- Altura: 100cm
*Se aceptará el bien con una tolerancia de +/- 5cm en las medidas generales
- Mesa de Tablero de madera, espesor mínimo 30mm
- Encimera de madera, espesor 15mm (mínimo), medidas aproximadas: 20cm de altura x 20cm de profundidad
- Estructura de acero modular.
- Tratamiento anticorrosivo.
- Pintada al horno
- Recubrimiento acrílico
- Cantos redondeados
- Totalmente desmontables</v>
      </c>
      <c r="J1706" s="213">
        <f>IFERROR(__xludf.DUMMYFUNCTION("""COMPUTED_VALUE"""),3.0)</f>
        <v>3</v>
      </c>
      <c r="K1706" s="213" t="str">
        <f>IFERROR(__xludf.DUMMYFUNCTION("""COMPUTED_VALUE"""),"90 DÍAS CALENDARIO")</f>
        <v>90 DÍAS CALENDARIO</v>
      </c>
      <c r="L1706" s="213" t="str">
        <f>IFERROR(__xludf.DUMMYFUNCTION("""COMPUTED_VALUE"""),"")</f>
        <v/>
      </c>
      <c r="M1706" s="213">
        <f>IFERROR(__xludf.DUMMYFUNCTION("""COMPUTED_VALUE"""),1.0)</f>
        <v>1</v>
      </c>
      <c r="N1706" s="213">
        <f>IFERROR(__xludf.DUMMYFUNCTION("""COMPUTED_VALUE"""),4.0)</f>
        <v>4</v>
      </c>
      <c r="O1706" s="213">
        <f>IFERROR(__xludf.DUMMYFUNCTION("""COMPUTED_VALUE"""),4.0)</f>
        <v>4</v>
      </c>
      <c r="P1706" s="213"/>
      <c r="Q1706" s="213"/>
      <c r="R1706" s="213"/>
      <c r="S1706" s="213"/>
      <c r="T1706" s="213"/>
      <c r="U1706" s="213"/>
      <c r="V1706" s="213"/>
      <c r="W1706" s="213"/>
      <c r="X1706" s="213"/>
      <c r="Y1706" s="213"/>
      <c r="Z1706" s="213"/>
      <c r="AA1706" s="213"/>
      <c r="AB1706" s="213"/>
      <c r="AC1706" s="213"/>
      <c r="AD1706" s="213"/>
      <c r="AE1706" s="213"/>
      <c r="AF1706" s="213"/>
      <c r="AG1706" s="213"/>
      <c r="AH1706" s="213"/>
      <c r="AI1706" s="213"/>
      <c r="AJ1706" s="213"/>
      <c r="AK1706" s="213"/>
      <c r="AL1706" s="213"/>
      <c r="AM1706" s="213"/>
      <c r="AN1706" s="213"/>
      <c r="AO1706" s="213"/>
      <c r="AP1706" s="213"/>
      <c r="AQ1706" s="213"/>
      <c r="AR1706" s="213"/>
      <c r="AS1706" s="213">
        <f>IFERROR(__xludf.DUMMYFUNCTION("""COMPUTED_VALUE"""),0.0)</f>
        <v>0</v>
      </c>
      <c r="AT1706" s="213"/>
      <c r="AU1706" s="213"/>
      <c r="AV1706" s="213"/>
      <c r="AW1706" s="213"/>
      <c r="AX1706" s="213"/>
      <c r="AY1706" s="213"/>
      <c r="AZ1706" s="213"/>
      <c r="BA1706" s="213"/>
      <c r="BB1706" s="213"/>
      <c r="BC1706" s="213"/>
      <c r="BD1706" s="213"/>
    </row>
    <row r="1707">
      <c r="A1707" s="213">
        <f>IFERROR(__xludf.DUMMYFUNCTION("""COMPUTED_VALUE"""),1672.0)</f>
        <v>1672</v>
      </c>
      <c r="B1707" s="213" t="str">
        <f>IFERROR(__xludf.DUMMYFUNCTION("""COMPUTED_VALUE"""),"GUILLERMO E. BILLINGHURST ")</f>
        <v>GUILLERMO E. BILLINGHURST </v>
      </c>
      <c r="C1707" s="213" t="str">
        <f>IFERROR(__xludf.DUMMYFUNCTION("""COMPUTED_VALUE"""),"TALLER SFT DE COMPUTACIÓN E INFORMÁTICA")</f>
        <v>TALLER SFT DE COMPUTACIÓN E INFORMÁTICA</v>
      </c>
      <c r="D1707" s="213" t="str">
        <f>IFERROR(__xludf.DUMMYFUNCTION("""COMPUTED_VALUE"""),"MOBILIARIO")</f>
        <v>MOBILIARIO</v>
      </c>
      <c r="E1707" s="213" t="str">
        <f>IFERROR(__xludf.DUMMYFUNCTION("""COMPUTED_VALUE"""),"MOB-133")</f>
        <v>MOB-133</v>
      </c>
      <c r="F1707" s="213" t="str">
        <f>IFERROR(__xludf.DUMMYFUNCTION("""COMPUTED_VALUE"""),"MOB-133-Y")</f>
        <v>MOB-133-Y</v>
      </c>
      <c r="G1707" s="213"/>
      <c r="H1707" s="213" t="str">
        <f>IFERROR(__xludf.DUMMYFUNCTION("""COMPUTED_VALUE"""),"MESA DE TRABAJO DE VIDEOGRABACIÓN (2000 MM X 1200 MM X 1100 MM.)")</f>
        <v>MESA DE TRABAJO DE VIDEOGRABACIÓN (2000 MM X 1200 MM X 1100 MM.)</v>
      </c>
      <c r="I1707"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2000 mm x 1200 mm x 800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2000 mm x 1200 mm x 800 mm. (ancho, profundidad, alto)</v>
      </c>
      <c r="J1707" s="213">
        <f>IFERROR(__xludf.DUMMYFUNCTION("""COMPUTED_VALUE"""),3.0)</f>
        <v>3</v>
      </c>
      <c r="K1707" s="213" t="str">
        <f>IFERROR(__xludf.DUMMYFUNCTION("""COMPUTED_VALUE"""),"90 DÍAS CALENDARIO")</f>
        <v>90 DÍAS CALENDARIO</v>
      </c>
      <c r="L1707" s="213" t="str">
        <f>IFERROR(__xludf.DUMMYFUNCTION("""COMPUTED_VALUE"""),"")</f>
        <v/>
      </c>
      <c r="M1707" s="213">
        <f>IFERROR(__xludf.DUMMYFUNCTION("""COMPUTED_VALUE"""),1.0)</f>
        <v>1</v>
      </c>
      <c r="N1707" s="213">
        <f>IFERROR(__xludf.DUMMYFUNCTION("""COMPUTED_VALUE"""),1.0)</f>
        <v>1</v>
      </c>
      <c r="O1707" s="213">
        <f>IFERROR(__xludf.DUMMYFUNCTION("""COMPUTED_VALUE"""),1.0)</f>
        <v>1</v>
      </c>
      <c r="P1707" s="213"/>
      <c r="Q1707" s="213"/>
      <c r="R1707" s="213"/>
      <c r="S1707" s="213"/>
      <c r="T1707" s="213"/>
      <c r="U1707" s="213"/>
      <c r="V1707" s="213"/>
      <c r="W1707" s="213"/>
      <c r="X1707" s="213"/>
      <c r="Y1707" s="213"/>
      <c r="Z1707" s="213"/>
      <c r="AA1707" s="213"/>
      <c r="AB1707" s="213"/>
      <c r="AC1707" s="213"/>
      <c r="AD1707" s="213"/>
      <c r="AE1707" s="213"/>
      <c r="AF1707" s="213"/>
      <c r="AG1707" s="213"/>
      <c r="AH1707" s="213"/>
      <c r="AI1707" s="213"/>
      <c r="AJ1707" s="213"/>
      <c r="AK1707" s="213"/>
      <c r="AL1707" s="213"/>
      <c r="AM1707" s="213"/>
      <c r="AN1707" s="213"/>
      <c r="AO1707" s="213"/>
      <c r="AP1707" s="213"/>
      <c r="AQ1707" s="213"/>
      <c r="AR1707" s="213"/>
      <c r="AS1707" s="213"/>
      <c r="AT1707" s="213"/>
      <c r="AU1707" s="213"/>
      <c r="AV1707" s="213"/>
      <c r="AW1707" s="213"/>
      <c r="AX1707" s="213"/>
      <c r="AY1707" s="213"/>
      <c r="AZ1707" s="213"/>
      <c r="BA1707" s="213"/>
      <c r="BB1707" s="213"/>
      <c r="BC1707" s="213"/>
      <c r="BD1707" s="213"/>
    </row>
    <row r="1708">
      <c r="A1708" s="213">
        <f>IFERROR(__xludf.DUMMYFUNCTION("""COMPUTED_VALUE"""),252.0)</f>
        <v>252</v>
      </c>
      <c r="B1708" s="213" t="str">
        <f>IFERROR(__xludf.DUMMYFUNCTION("""COMPUTED_VALUE"""),"2026 SIMON BOLIVAR")</f>
        <v>2026 SIMON BOLIVAR</v>
      </c>
      <c r="C1708" s="213" t="str">
        <f>IFERROR(__xludf.DUMMYFUNCTION("""COMPUTED_VALUE"""),"TALLER SFT DE COMPUTACIÓN E INFORMÁTICA")</f>
        <v>TALLER SFT DE COMPUTACIÓN E INFORMÁTICA</v>
      </c>
      <c r="D1708" s="213" t="str">
        <f>IFERROR(__xludf.DUMMYFUNCTION("""COMPUTED_VALUE"""),"MOBILIARIO")</f>
        <v>MOBILIARIO</v>
      </c>
      <c r="E1708" s="213" t="str">
        <f>IFERROR(__xludf.DUMMYFUNCTION("""COMPUTED_VALUE"""),"MOB-133")</f>
        <v>MOB-133</v>
      </c>
      <c r="F1708" s="213" t="str">
        <f>IFERROR(__xludf.DUMMYFUNCTION("""COMPUTED_VALUE"""),"MOB-133-X")</f>
        <v>MOB-133-X</v>
      </c>
      <c r="G1708" s="213"/>
      <c r="H1708" s="213" t="str">
        <f>IFERROR(__xludf.DUMMYFUNCTION("""COMPUTED_VALUE"""),"MESA DE TRABAJO DE VIDEOGRABACIÓN (2000 MM X 1200 MM X 800 MM.")</f>
        <v>MESA DE TRABAJO DE VIDEOGRABACIÓN (2000 MM X 1200 MM X 800 MM.</v>
      </c>
      <c r="I1708"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2000 mm x 1200 mm x 800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2000 mm x 1200 mm x 800 mm. (ancho, profundidad, alto)</v>
      </c>
      <c r="J1708" s="213">
        <f>IFERROR(__xludf.DUMMYFUNCTION("""COMPUTED_VALUE"""),3.0)</f>
        <v>3</v>
      </c>
      <c r="K1708" s="213" t="str">
        <f>IFERROR(__xludf.DUMMYFUNCTION("""COMPUTED_VALUE"""),"90 DÍAS CALENDARIO")</f>
        <v>90 DÍAS CALENDARIO</v>
      </c>
      <c r="L1708" s="213" t="str">
        <f>IFERROR(__xludf.DUMMYFUNCTION("""COMPUTED_VALUE"""),"")</f>
        <v/>
      </c>
      <c r="M1708" s="213">
        <f>IFERROR(__xludf.DUMMYFUNCTION("""COMPUTED_VALUE"""),1.0)</f>
        <v>1</v>
      </c>
      <c r="N1708" s="213">
        <f>IFERROR(__xludf.DUMMYFUNCTION("""COMPUTED_VALUE"""),1.0)</f>
        <v>1</v>
      </c>
      <c r="O1708" s="213">
        <f>IFERROR(__xludf.DUMMYFUNCTION("""COMPUTED_VALUE"""),1.0)</f>
        <v>1</v>
      </c>
      <c r="P1708" s="213"/>
      <c r="Q1708" s="213"/>
      <c r="R1708" s="213"/>
      <c r="S1708" s="213"/>
      <c r="T1708" s="213"/>
      <c r="U1708" s="213"/>
      <c r="V1708" s="213"/>
      <c r="W1708" s="213"/>
      <c r="X1708" s="213"/>
      <c r="Y1708" s="213"/>
      <c r="Z1708" s="213"/>
      <c r="AA1708" s="213"/>
      <c r="AB1708" s="213"/>
      <c r="AC1708" s="213"/>
      <c r="AD1708" s="213"/>
      <c r="AE1708" s="213"/>
      <c r="AF1708" s="213"/>
      <c r="AG1708" s="213"/>
      <c r="AH1708" s="213"/>
      <c r="AI1708" s="213"/>
      <c r="AJ1708" s="213"/>
      <c r="AK1708" s="213"/>
      <c r="AL1708" s="213"/>
      <c r="AM1708" s="213"/>
      <c r="AN1708" s="213"/>
      <c r="AO1708" s="213"/>
      <c r="AP1708" s="213"/>
      <c r="AQ1708" s="213"/>
      <c r="AR1708" s="213"/>
      <c r="AS1708" s="213"/>
      <c r="AT1708" s="213"/>
      <c r="AU1708" s="213"/>
      <c r="AV1708" s="213"/>
      <c r="AW1708" s="213"/>
      <c r="AX1708" s="213"/>
      <c r="AY1708" s="213"/>
      <c r="AZ1708" s="213"/>
      <c r="BA1708" s="213"/>
      <c r="BB1708" s="213"/>
      <c r="BC1708" s="213"/>
      <c r="BD1708" s="213"/>
    </row>
    <row r="1709">
      <c r="A1709" s="213">
        <f>IFERROR(__xludf.DUMMYFUNCTION("""COMPUTED_VALUE"""),737.0)</f>
        <v>737</v>
      </c>
      <c r="B1709" s="213" t="str">
        <f>IFERROR(__xludf.DUMMYFUNCTION("""COMPUTED_VALUE"""),"6049 RICARDO PALMA")</f>
        <v>6049 RICARDO PALMA</v>
      </c>
      <c r="C1709" s="213" t="str">
        <f>IFERROR(__xludf.DUMMYFUNCTION("""COMPUTED_VALUE"""),"TALLER SFT DE COMPUTACIÓN E INFORMÁTICA")</f>
        <v>TALLER SFT DE COMPUTACIÓN E INFORMÁTICA</v>
      </c>
      <c r="D1709" s="213" t="str">
        <f>IFERROR(__xludf.DUMMYFUNCTION("""COMPUTED_VALUE"""),"MOBILIARIO")</f>
        <v>MOBILIARIO</v>
      </c>
      <c r="E1709" s="213" t="str">
        <f>IFERROR(__xludf.DUMMYFUNCTION("""COMPUTED_VALUE"""),"MOB-133")</f>
        <v>MOB-133</v>
      </c>
      <c r="F1709" s="213" t="str">
        <f>IFERROR(__xludf.DUMMYFUNCTION("""COMPUTED_VALUE"""),"MOB-133-X")</f>
        <v>MOB-133-X</v>
      </c>
      <c r="G1709" s="213"/>
      <c r="H1709" s="213" t="str">
        <f>IFERROR(__xludf.DUMMYFUNCTION("""COMPUTED_VALUE"""),"MESA DE TRABAJO DE VIDEOGRABACIÓN (2000 MM X 1200 MM X 800 MM.")</f>
        <v>MESA DE TRABAJO DE VIDEOGRABACIÓN (2000 MM X 1200 MM X 800 MM.</v>
      </c>
      <c r="I1709"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2000 mm x 1200 mm x 800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2000 mm x 1200 mm x 800 mm. (ancho, profundidad, alto)</v>
      </c>
      <c r="J1709" s="213">
        <f>IFERROR(__xludf.DUMMYFUNCTION("""COMPUTED_VALUE"""),3.0)</f>
        <v>3</v>
      </c>
      <c r="K1709" s="213" t="str">
        <f>IFERROR(__xludf.DUMMYFUNCTION("""COMPUTED_VALUE"""),"90 DÍAS CALENDARIO")</f>
        <v>90 DÍAS CALENDARIO</v>
      </c>
      <c r="L1709" s="213" t="str">
        <f>IFERROR(__xludf.DUMMYFUNCTION("""COMPUTED_VALUE"""),"")</f>
        <v/>
      </c>
      <c r="M1709" s="213">
        <f>IFERROR(__xludf.DUMMYFUNCTION("""COMPUTED_VALUE"""),1.0)</f>
        <v>1</v>
      </c>
      <c r="N1709" s="213">
        <f>IFERROR(__xludf.DUMMYFUNCTION("""COMPUTED_VALUE"""),1.0)</f>
        <v>1</v>
      </c>
      <c r="O1709" s="213">
        <f>IFERROR(__xludf.DUMMYFUNCTION("""COMPUTED_VALUE"""),1.0)</f>
        <v>1</v>
      </c>
      <c r="P1709" s="213"/>
      <c r="Q1709" s="213"/>
      <c r="R1709" s="213"/>
      <c r="S1709" s="213"/>
      <c r="T1709" s="213"/>
      <c r="U1709" s="213"/>
      <c r="V1709" s="213"/>
      <c r="W1709" s="213"/>
      <c r="X1709" s="213"/>
      <c r="Y1709" s="213"/>
      <c r="Z1709" s="213"/>
      <c r="AA1709" s="213"/>
      <c r="AB1709" s="213"/>
      <c r="AC1709" s="213"/>
      <c r="AD1709" s="213"/>
      <c r="AE1709" s="213"/>
      <c r="AF1709" s="213"/>
      <c r="AG1709" s="213"/>
      <c r="AH1709" s="213"/>
      <c r="AI1709" s="213"/>
      <c r="AJ1709" s="213"/>
      <c r="AK1709" s="213"/>
      <c r="AL1709" s="213"/>
      <c r="AM1709" s="213"/>
      <c r="AN1709" s="213"/>
      <c r="AO1709" s="213"/>
      <c r="AP1709" s="213"/>
      <c r="AQ1709" s="213"/>
      <c r="AR1709" s="213"/>
      <c r="AS1709" s="213"/>
      <c r="AT1709" s="213"/>
      <c r="AU1709" s="213"/>
      <c r="AV1709" s="213"/>
      <c r="AW1709" s="213"/>
      <c r="AX1709" s="213"/>
      <c r="AY1709" s="213"/>
      <c r="AZ1709" s="213"/>
      <c r="BA1709" s="213"/>
      <c r="BB1709" s="213"/>
      <c r="BC1709" s="213"/>
      <c r="BD1709" s="213"/>
    </row>
    <row r="1710">
      <c r="A1710" s="213">
        <f>IFERROR(__xludf.DUMMYFUNCTION("""COMPUTED_VALUE"""),1923.0)</f>
        <v>1923</v>
      </c>
      <c r="B1710" s="213" t="str">
        <f>IFERROR(__xludf.DUMMYFUNCTION("""COMPUTED_VALUE"""),"JOSE GRANDA")</f>
        <v>JOSE GRANDA</v>
      </c>
      <c r="C1710" s="213" t="str">
        <f>IFERROR(__xludf.DUMMYFUNCTION("""COMPUTED_VALUE"""),"TALLER SFT DE COMPUTACIÓN E INFORMÁTICA")</f>
        <v>TALLER SFT DE COMPUTACIÓN E INFORMÁTICA</v>
      </c>
      <c r="D1710" s="213" t="str">
        <f>IFERROR(__xludf.DUMMYFUNCTION("""COMPUTED_VALUE"""),"MOBILIARIO")</f>
        <v>MOBILIARIO</v>
      </c>
      <c r="E1710" s="213" t="str">
        <f>IFERROR(__xludf.DUMMYFUNCTION("""COMPUTED_VALUE"""),"MOB-133")</f>
        <v>MOB-133</v>
      </c>
      <c r="F1710" s="213" t="str">
        <f>IFERROR(__xludf.DUMMYFUNCTION("""COMPUTED_VALUE"""),"MOB-133-X")</f>
        <v>MOB-133-X</v>
      </c>
      <c r="G1710" s="213"/>
      <c r="H1710" s="213" t="str">
        <f>IFERROR(__xludf.DUMMYFUNCTION("""COMPUTED_VALUE"""),"MESA DE TRABAJO DE VIDEOGRABACIÓN (2000 MM X 1200 MM X 800 MM.")</f>
        <v>MESA DE TRABAJO DE VIDEOGRABACIÓN (2000 MM X 1200 MM X 800 MM.</v>
      </c>
      <c r="I1710"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2000 mm x 1200 mm x 800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2000 mm x 1200 mm x 800 mm. (ancho, profundidad, alto)</v>
      </c>
      <c r="J1710" s="213">
        <f>IFERROR(__xludf.DUMMYFUNCTION("""COMPUTED_VALUE"""),3.0)</f>
        <v>3</v>
      </c>
      <c r="K1710" s="213" t="str">
        <f>IFERROR(__xludf.DUMMYFUNCTION("""COMPUTED_VALUE"""),"90 DÍAS CALENDARIO")</f>
        <v>90 DÍAS CALENDARIO</v>
      </c>
      <c r="L1710" s="213" t="str">
        <f>IFERROR(__xludf.DUMMYFUNCTION("""COMPUTED_VALUE"""),"")</f>
        <v/>
      </c>
      <c r="M1710" s="213">
        <f>IFERROR(__xludf.DUMMYFUNCTION("""COMPUTED_VALUE"""),1.0)</f>
        <v>1</v>
      </c>
      <c r="N1710" s="213">
        <f>IFERROR(__xludf.DUMMYFUNCTION("""COMPUTED_VALUE"""),1.0)</f>
        <v>1</v>
      </c>
      <c r="O1710" s="213">
        <f>IFERROR(__xludf.DUMMYFUNCTION("""COMPUTED_VALUE"""),1.0)</f>
        <v>1</v>
      </c>
      <c r="P1710" s="213"/>
      <c r="Q1710" s="213"/>
      <c r="R1710" s="213"/>
      <c r="S1710" s="213"/>
      <c r="T1710" s="213"/>
      <c r="U1710" s="213"/>
      <c r="V1710" s="213"/>
      <c r="W1710" s="213"/>
      <c r="X1710" s="213"/>
      <c r="Y1710" s="213"/>
      <c r="Z1710" s="213"/>
      <c r="AA1710" s="213"/>
      <c r="AB1710" s="213"/>
      <c r="AC1710" s="213"/>
      <c r="AD1710" s="213"/>
      <c r="AE1710" s="213"/>
      <c r="AF1710" s="213"/>
      <c r="AG1710" s="213"/>
      <c r="AH1710" s="213"/>
      <c r="AI1710" s="213"/>
      <c r="AJ1710" s="213"/>
      <c r="AK1710" s="213"/>
      <c r="AL1710" s="213"/>
      <c r="AM1710" s="213"/>
      <c r="AN1710" s="213"/>
      <c r="AO1710" s="213"/>
      <c r="AP1710" s="213"/>
      <c r="AQ1710" s="213"/>
      <c r="AR1710" s="213"/>
      <c r="AS1710" s="213"/>
      <c r="AT1710" s="213"/>
      <c r="AU1710" s="213"/>
      <c r="AV1710" s="213"/>
      <c r="AW1710" s="213"/>
      <c r="AX1710" s="213"/>
      <c r="AY1710" s="213"/>
      <c r="AZ1710" s="213"/>
      <c r="BA1710" s="213"/>
      <c r="BB1710" s="213"/>
      <c r="BC1710" s="213"/>
      <c r="BD1710" s="213"/>
    </row>
    <row r="1711">
      <c r="A1711" s="213">
        <f>IFERROR(__xludf.DUMMYFUNCTION("""COMPUTED_VALUE"""),253.0)</f>
        <v>253</v>
      </c>
      <c r="B1711" s="213" t="str">
        <f>IFERROR(__xludf.DUMMYFUNCTION("""COMPUTED_VALUE"""),"2026 SIMON BOLIVAR")</f>
        <v>2026 SIMON BOLIVAR</v>
      </c>
      <c r="C1711" s="213" t="str">
        <f>IFERROR(__xludf.DUMMYFUNCTION("""COMPUTED_VALUE"""),"TALLER SFT DE COMPUTACIÓN E INFORMÁTICA")</f>
        <v>TALLER SFT DE COMPUTACIÓN E INFORMÁTICA</v>
      </c>
      <c r="D1711" s="213" t="str">
        <f>IFERROR(__xludf.DUMMYFUNCTION("""COMPUTED_VALUE"""),"MOBILIARIO")</f>
        <v>MOBILIARIO</v>
      </c>
      <c r="E1711" s="213" t="str">
        <f>IFERROR(__xludf.DUMMYFUNCTION("""COMPUTED_VALUE"""),"MOB-134")</f>
        <v>MOB-134</v>
      </c>
      <c r="F1711" s="213" t="str">
        <f>IFERROR(__xludf.DUMMYFUNCTION("""COMPUTED_VALUE"""),"MOB-134")</f>
        <v>MOB-134</v>
      </c>
      <c r="G1711" s="213"/>
      <c r="H1711" s="213" t="str">
        <f>IFERROR(__xludf.DUMMYFUNCTION("""COMPUTED_VALUE"""),"MESA DE TRABAJO DE VIDEOGRABACIÓN (2000 MM X 600 MM X 1100 MM.)")</f>
        <v>MESA DE TRABAJO DE VIDEOGRABACIÓN (2000 MM X 600 MM X 1100 MM.)</v>
      </c>
      <c r="I1711"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2000 mm x 600 mm x 1100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2000 mm x 600 mm x 1100 mm. (ancho, profundidad, alto)</v>
      </c>
      <c r="J1711" s="213">
        <f>IFERROR(__xludf.DUMMYFUNCTION("""COMPUTED_VALUE"""),3.0)</f>
        <v>3</v>
      </c>
      <c r="K1711" s="213" t="str">
        <f>IFERROR(__xludf.DUMMYFUNCTION("""COMPUTED_VALUE"""),"90 DÍAS CALENDARIO")</f>
        <v>90 DÍAS CALENDARIO</v>
      </c>
      <c r="L1711" s="213" t="str">
        <f>IFERROR(__xludf.DUMMYFUNCTION("""COMPUTED_VALUE"""),"")</f>
        <v/>
      </c>
      <c r="M1711" s="213">
        <f>IFERROR(__xludf.DUMMYFUNCTION("""COMPUTED_VALUE"""),1.0)</f>
        <v>1</v>
      </c>
      <c r="N1711" s="213">
        <f>IFERROR(__xludf.DUMMYFUNCTION("""COMPUTED_VALUE"""),1.0)</f>
        <v>1</v>
      </c>
      <c r="O1711" s="213">
        <f>IFERROR(__xludf.DUMMYFUNCTION("""COMPUTED_VALUE"""),1.0)</f>
        <v>1</v>
      </c>
      <c r="P1711" s="213"/>
      <c r="Q1711" s="213"/>
      <c r="R1711" s="213"/>
      <c r="S1711" s="213"/>
      <c r="T1711" s="213"/>
      <c r="U1711" s="213"/>
      <c r="V1711" s="213"/>
      <c r="W1711" s="213"/>
      <c r="X1711" s="213"/>
      <c r="Y1711" s="213"/>
      <c r="Z1711" s="213"/>
      <c r="AA1711" s="213"/>
      <c r="AB1711" s="213"/>
      <c r="AC1711" s="213"/>
      <c r="AD1711" s="213"/>
      <c r="AE1711" s="213"/>
      <c r="AF1711" s="213"/>
      <c r="AG1711" s="213"/>
      <c r="AH1711" s="213"/>
      <c r="AI1711" s="213"/>
      <c r="AJ1711" s="213"/>
      <c r="AK1711" s="213"/>
      <c r="AL1711" s="213"/>
      <c r="AM1711" s="213"/>
      <c r="AN1711" s="213"/>
      <c r="AO1711" s="213"/>
      <c r="AP1711" s="213"/>
      <c r="AQ1711" s="213"/>
      <c r="AR1711" s="213"/>
      <c r="AS1711" s="213"/>
      <c r="AT1711" s="213"/>
      <c r="AU1711" s="213"/>
      <c r="AV1711" s="213"/>
      <c r="AW1711" s="213"/>
      <c r="AX1711" s="213"/>
      <c r="AY1711" s="213"/>
      <c r="AZ1711" s="213"/>
      <c r="BA1711" s="213"/>
      <c r="BB1711" s="213"/>
      <c r="BC1711" s="213"/>
      <c r="BD1711" s="213"/>
    </row>
    <row r="1712">
      <c r="A1712" s="213">
        <f>IFERROR(__xludf.DUMMYFUNCTION("""COMPUTED_VALUE"""),738.0)</f>
        <v>738</v>
      </c>
      <c r="B1712" s="213" t="str">
        <f>IFERROR(__xludf.DUMMYFUNCTION("""COMPUTED_VALUE"""),"6049 RICARDO PALMA")</f>
        <v>6049 RICARDO PALMA</v>
      </c>
      <c r="C1712" s="213" t="str">
        <f>IFERROR(__xludf.DUMMYFUNCTION("""COMPUTED_VALUE"""),"TALLER SFT DE COMPUTACIÓN E INFORMÁTICA")</f>
        <v>TALLER SFT DE COMPUTACIÓN E INFORMÁTICA</v>
      </c>
      <c r="D1712" s="213" t="str">
        <f>IFERROR(__xludf.DUMMYFUNCTION("""COMPUTED_VALUE"""),"MOBILIARIO")</f>
        <v>MOBILIARIO</v>
      </c>
      <c r="E1712" s="213" t="str">
        <f>IFERROR(__xludf.DUMMYFUNCTION("""COMPUTED_VALUE"""),"MOB-134")</f>
        <v>MOB-134</v>
      </c>
      <c r="F1712" s="213" t="str">
        <f>IFERROR(__xludf.DUMMYFUNCTION("""COMPUTED_VALUE"""),"MOB-134")</f>
        <v>MOB-134</v>
      </c>
      <c r="G1712" s="213"/>
      <c r="H1712" s="213" t="str">
        <f>IFERROR(__xludf.DUMMYFUNCTION("""COMPUTED_VALUE"""),"MESA DE TRABAJO DE VIDEOGRABACIÓN (2000 MM X 600 MM X 1100 MM.)")</f>
        <v>MESA DE TRABAJO DE VIDEOGRABACIÓN (2000 MM X 600 MM X 1100 MM.)</v>
      </c>
      <c r="I1712"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2000 mm x 600 mm x 1100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2000 mm x 600 mm x 1100 mm. (ancho, profundidad, alto)</v>
      </c>
      <c r="J1712" s="213">
        <f>IFERROR(__xludf.DUMMYFUNCTION("""COMPUTED_VALUE"""),3.0)</f>
        <v>3</v>
      </c>
      <c r="K1712" s="213" t="str">
        <f>IFERROR(__xludf.DUMMYFUNCTION("""COMPUTED_VALUE"""),"90 DÍAS CALENDARIO")</f>
        <v>90 DÍAS CALENDARIO</v>
      </c>
      <c r="L1712" s="213" t="str">
        <f>IFERROR(__xludf.DUMMYFUNCTION("""COMPUTED_VALUE"""),"")</f>
        <v/>
      </c>
      <c r="M1712" s="213">
        <f>IFERROR(__xludf.DUMMYFUNCTION("""COMPUTED_VALUE"""),1.0)</f>
        <v>1</v>
      </c>
      <c r="N1712" s="213">
        <f>IFERROR(__xludf.DUMMYFUNCTION("""COMPUTED_VALUE"""),1.0)</f>
        <v>1</v>
      </c>
      <c r="O1712" s="213">
        <f>IFERROR(__xludf.DUMMYFUNCTION("""COMPUTED_VALUE"""),1.0)</f>
        <v>1</v>
      </c>
      <c r="P1712" s="213"/>
      <c r="Q1712" s="213"/>
      <c r="R1712" s="213"/>
      <c r="S1712" s="213"/>
      <c r="T1712" s="213"/>
      <c r="U1712" s="213"/>
      <c r="V1712" s="213"/>
      <c r="W1712" s="213"/>
      <c r="X1712" s="213"/>
      <c r="Y1712" s="213"/>
      <c r="Z1712" s="213"/>
      <c r="AA1712" s="213"/>
      <c r="AB1712" s="213"/>
      <c r="AC1712" s="213"/>
      <c r="AD1712" s="213"/>
      <c r="AE1712" s="213"/>
      <c r="AF1712" s="213"/>
      <c r="AG1712" s="213"/>
      <c r="AH1712" s="213"/>
      <c r="AI1712" s="213"/>
      <c r="AJ1712" s="213"/>
      <c r="AK1712" s="213"/>
      <c r="AL1712" s="213"/>
      <c r="AM1712" s="213"/>
      <c r="AN1712" s="213"/>
      <c r="AO1712" s="213"/>
      <c r="AP1712" s="213"/>
      <c r="AQ1712" s="213"/>
      <c r="AR1712" s="213"/>
      <c r="AS1712" s="213"/>
      <c r="AT1712" s="213"/>
      <c r="AU1712" s="213"/>
      <c r="AV1712" s="213"/>
      <c r="AW1712" s="213"/>
      <c r="AX1712" s="213"/>
      <c r="AY1712" s="213"/>
      <c r="AZ1712" s="213"/>
      <c r="BA1712" s="213"/>
      <c r="BB1712" s="213"/>
      <c r="BC1712" s="213"/>
      <c r="BD1712" s="213"/>
    </row>
    <row r="1713">
      <c r="A1713" s="213">
        <f>IFERROR(__xludf.DUMMYFUNCTION("""COMPUTED_VALUE"""),1673.0)</f>
        <v>1673</v>
      </c>
      <c r="B1713" s="213" t="str">
        <f>IFERROR(__xludf.DUMMYFUNCTION("""COMPUTED_VALUE"""),"GUILLERMO E. BILLINGHURST ")</f>
        <v>GUILLERMO E. BILLINGHURST </v>
      </c>
      <c r="C1713" s="213" t="str">
        <f>IFERROR(__xludf.DUMMYFUNCTION("""COMPUTED_VALUE"""),"TALLER SFT DE COMPUTACIÓN E INFORMÁTICA")</f>
        <v>TALLER SFT DE COMPUTACIÓN E INFORMÁTICA</v>
      </c>
      <c r="D1713" s="213" t="str">
        <f>IFERROR(__xludf.DUMMYFUNCTION("""COMPUTED_VALUE"""),"MOBILIARIO")</f>
        <v>MOBILIARIO</v>
      </c>
      <c r="E1713" s="213" t="str">
        <f>IFERROR(__xludf.DUMMYFUNCTION("""COMPUTED_VALUE"""),"MOB-134")</f>
        <v>MOB-134</v>
      </c>
      <c r="F1713" s="213" t="str">
        <f>IFERROR(__xludf.DUMMYFUNCTION("""COMPUTED_VALUE"""),"MOB-134")</f>
        <v>MOB-134</v>
      </c>
      <c r="G1713" s="213"/>
      <c r="H1713" s="213" t="str">
        <f>IFERROR(__xludf.DUMMYFUNCTION("""COMPUTED_VALUE"""),"MESA DE TRABAJO DE VIDEOGRABACIÓN (2000 MM X 600 MM X 1100 MM.)")</f>
        <v>MESA DE TRABAJO DE VIDEOGRABACIÓN (2000 MM X 600 MM X 1100 MM.)</v>
      </c>
      <c r="I1713"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2000 mm x 600 mm x 1100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2000 mm x 600 mm x 1100 mm. (ancho, profundidad, alto)</v>
      </c>
      <c r="J1713" s="213">
        <f>IFERROR(__xludf.DUMMYFUNCTION("""COMPUTED_VALUE"""),3.0)</f>
        <v>3</v>
      </c>
      <c r="K1713" s="213" t="str">
        <f>IFERROR(__xludf.DUMMYFUNCTION("""COMPUTED_VALUE"""),"90 DÍAS CALENDARIO")</f>
        <v>90 DÍAS CALENDARIO</v>
      </c>
      <c r="L1713" s="213" t="str">
        <f>IFERROR(__xludf.DUMMYFUNCTION("""COMPUTED_VALUE"""),"")</f>
        <v/>
      </c>
      <c r="M1713" s="213">
        <f>IFERROR(__xludf.DUMMYFUNCTION("""COMPUTED_VALUE"""),1.0)</f>
        <v>1</v>
      </c>
      <c r="N1713" s="213">
        <f>IFERROR(__xludf.DUMMYFUNCTION("""COMPUTED_VALUE"""),1.0)</f>
        <v>1</v>
      </c>
      <c r="O1713" s="213">
        <f>IFERROR(__xludf.DUMMYFUNCTION("""COMPUTED_VALUE"""),1.0)</f>
        <v>1</v>
      </c>
      <c r="P1713" s="213"/>
      <c r="Q1713" s="213"/>
      <c r="R1713" s="213"/>
      <c r="S1713" s="213"/>
      <c r="T1713" s="213"/>
      <c r="U1713" s="213"/>
      <c r="V1713" s="213"/>
      <c r="W1713" s="213"/>
      <c r="X1713" s="213"/>
      <c r="Y1713" s="213"/>
      <c r="Z1713" s="213"/>
      <c r="AA1713" s="213"/>
      <c r="AB1713" s="213"/>
      <c r="AC1713" s="213"/>
      <c r="AD1713" s="213"/>
      <c r="AE1713" s="213"/>
      <c r="AF1713" s="213"/>
      <c r="AG1713" s="213"/>
      <c r="AH1713" s="213"/>
      <c r="AI1713" s="213"/>
      <c r="AJ1713" s="213"/>
      <c r="AK1713" s="213"/>
      <c r="AL1713" s="213"/>
      <c r="AM1713" s="213"/>
      <c r="AN1713" s="213"/>
      <c r="AO1713" s="213"/>
      <c r="AP1713" s="213"/>
      <c r="AQ1713" s="213"/>
      <c r="AR1713" s="213"/>
      <c r="AS1713" s="213"/>
      <c r="AT1713" s="213"/>
      <c r="AU1713" s="213"/>
      <c r="AV1713" s="213"/>
      <c r="AW1713" s="213"/>
      <c r="AX1713" s="213"/>
      <c r="AY1713" s="213"/>
      <c r="AZ1713" s="213"/>
      <c r="BA1713" s="213"/>
      <c r="BB1713" s="213"/>
      <c r="BC1713" s="213"/>
      <c r="BD1713" s="213"/>
    </row>
    <row r="1714">
      <c r="A1714" s="213">
        <f>IFERROR(__xludf.DUMMYFUNCTION("""COMPUTED_VALUE"""),1924.0)</f>
        <v>1924</v>
      </c>
      <c r="B1714" s="213" t="str">
        <f>IFERROR(__xludf.DUMMYFUNCTION("""COMPUTED_VALUE"""),"JOSE GRANDA")</f>
        <v>JOSE GRANDA</v>
      </c>
      <c r="C1714" s="213" t="str">
        <f>IFERROR(__xludf.DUMMYFUNCTION("""COMPUTED_VALUE"""),"TALLER SFT DE COMPUTACIÓN E INFORMÁTICA")</f>
        <v>TALLER SFT DE COMPUTACIÓN E INFORMÁTICA</v>
      </c>
      <c r="D1714" s="213" t="str">
        <f>IFERROR(__xludf.DUMMYFUNCTION("""COMPUTED_VALUE"""),"MOBILIARIO")</f>
        <v>MOBILIARIO</v>
      </c>
      <c r="E1714" s="213" t="str">
        <f>IFERROR(__xludf.DUMMYFUNCTION("""COMPUTED_VALUE"""),"MOB-134")</f>
        <v>MOB-134</v>
      </c>
      <c r="F1714" s="213" t="str">
        <f>IFERROR(__xludf.DUMMYFUNCTION("""COMPUTED_VALUE"""),"MOB-134")</f>
        <v>MOB-134</v>
      </c>
      <c r="G1714" s="213"/>
      <c r="H1714" s="213" t="str">
        <f>IFERROR(__xludf.DUMMYFUNCTION("""COMPUTED_VALUE"""),"MESA DE TRABAJO DE VIDEOGRABACIÓN (2000 MM X 600 MM X 1100 MM.)")</f>
        <v>MESA DE TRABAJO DE VIDEOGRABACIÓN (2000 MM X 600 MM X 1100 MM.)</v>
      </c>
      <c r="I1714"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2000 mm x 600 mm x 1100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2000 mm x 600 mm x 1100 mm. (ancho, profundidad, alto)</v>
      </c>
      <c r="J1714" s="213">
        <f>IFERROR(__xludf.DUMMYFUNCTION("""COMPUTED_VALUE"""),3.0)</f>
        <v>3</v>
      </c>
      <c r="K1714" s="213" t="str">
        <f>IFERROR(__xludf.DUMMYFUNCTION("""COMPUTED_VALUE"""),"90 DÍAS CALENDARIO")</f>
        <v>90 DÍAS CALENDARIO</v>
      </c>
      <c r="L1714" s="213" t="str">
        <f>IFERROR(__xludf.DUMMYFUNCTION("""COMPUTED_VALUE"""),"")</f>
        <v/>
      </c>
      <c r="M1714" s="213">
        <f>IFERROR(__xludf.DUMMYFUNCTION("""COMPUTED_VALUE"""),1.0)</f>
        <v>1</v>
      </c>
      <c r="N1714" s="213">
        <f>IFERROR(__xludf.DUMMYFUNCTION("""COMPUTED_VALUE"""),1.0)</f>
        <v>1</v>
      </c>
      <c r="O1714" s="213">
        <f>IFERROR(__xludf.DUMMYFUNCTION("""COMPUTED_VALUE"""),1.0)</f>
        <v>1</v>
      </c>
      <c r="P1714" s="213"/>
      <c r="Q1714" s="213"/>
      <c r="R1714" s="213"/>
      <c r="S1714" s="213"/>
      <c r="T1714" s="213"/>
      <c r="U1714" s="213"/>
      <c r="V1714" s="213"/>
      <c r="W1714" s="213"/>
      <c r="X1714" s="213"/>
      <c r="Y1714" s="213"/>
      <c r="Z1714" s="213"/>
      <c r="AA1714" s="213"/>
      <c r="AB1714" s="213"/>
      <c r="AC1714" s="213"/>
      <c r="AD1714" s="213"/>
      <c r="AE1714" s="213"/>
      <c r="AF1714" s="213"/>
      <c r="AG1714" s="213"/>
      <c r="AH1714" s="213"/>
      <c r="AI1714" s="213"/>
      <c r="AJ1714" s="213"/>
      <c r="AK1714" s="213"/>
      <c r="AL1714" s="213"/>
      <c r="AM1714" s="213"/>
      <c r="AN1714" s="213"/>
      <c r="AO1714" s="213"/>
      <c r="AP1714" s="213"/>
      <c r="AQ1714" s="213"/>
      <c r="AR1714" s="213"/>
      <c r="AS1714" s="213"/>
      <c r="AT1714" s="213"/>
      <c r="AU1714" s="213"/>
      <c r="AV1714" s="213"/>
      <c r="AW1714" s="213"/>
      <c r="AX1714" s="213"/>
      <c r="AY1714" s="213"/>
      <c r="AZ1714" s="213"/>
      <c r="BA1714" s="213"/>
      <c r="BB1714" s="213"/>
      <c r="BC1714" s="213"/>
      <c r="BD1714" s="213"/>
    </row>
    <row r="1715">
      <c r="A1715" s="213">
        <f>IFERROR(__xludf.DUMMYFUNCTION("""COMPUTED_VALUE"""),10.0)</f>
        <v>10</v>
      </c>
      <c r="B1715" s="213" t="str">
        <f>IFERROR(__xludf.DUMMYFUNCTION("""COMPUTED_VALUE"""),"16449 ELOY SOBERON  FLORES")</f>
        <v>16449 ELOY SOBERON  FLORES</v>
      </c>
      <c r="C1715" s="213" t="str">
        <f>IFERROR(__xludf.DUMMYFUNCTION("""COMPUTED_VALUE"""),"TALLER SFT DE COCINA Y REPOSTERÍA")</f>
        <v>TALLER SFT DE COCINA Y REPOSTERÍA</v>
      </c>
      <c r="D1715" s="213" t="str">
        <f>IFERROR(__xludf.DUMMYFUNCTION("""COMPUTED_VALUE"""),"MOBILIARIO")</f>
        <v>MOBILIARIO</v>
      </c>
      <c r="E1715" s="213" t="str">
        <f>IFERROR(__xludf.DUMMYFUNCTION("""COMPUTED_VALUE"""),"MOB-135")</f>
        <v>MOB-135</v>
      </c>
      <c r="F1715" s="213" t="str">
        <f>IFERROR(__xludf.DUMMYFUNCTION("""COMPUTED_VALUE"""),"MOB-135")</f>
        <v>MOB-135</v>
      </c>
      <c r="G1715" s="213"/>
      <c r="H1715" s="213" t="str">
        <f>IFERROR(__xludf.DUMMYFUNCTION("""COMPUTED_VALUE"""),"MESA DE TRABAJO MURAL")</f>
        <v>MESA DE TRABAJO MURAL</v>
      </c>
      <c r="I1715" s="213" t="str">
        <f>IFERROR(__xludf.DUMMYFUNCTION("""COMPUTED_VALUE"""),"· Encimera de acero Inox satinado con omegas de refuerzo.
· Frontal de 65 mm en punto redondo, totalmente soldado.
· Estante inferior en acero inoxidable AISI  con omega de refuerzo.
· Dimensiones L 120 cm x A70 cm x H90 cm.
· Patas cuadradas de 40 mm x 4"&amp;"0 mm. de acero Inoxidable, regulables desde los 85 cm hasta los 90 cm.")</f>
        <v>· Encimera de acero Inox satinado con omegas de refuerzo.
· Frontal de 65 mm en punto redondo, totalmente soldado.
· Estante inferior en acero inoxidable AISI  con omega de refuerzo.
· Dimensiones L 120 cm x A70 cm x H90 cm.
· Patas cuadradas de 40 mm x 40 mm. de acero Inoxidable, regulables desde los 85 cm hasta los 90 cm.</v>
      </c>
      <c r="J1715" s="213">
        <f>IFERROR(__xludf.DUMMYFUNCTION("""COMPUTED_VALUE"""),3.0)</f>
        <v>3</v>
      </c>
      <c r="K1715" s="213" t="str">
        <f>IFERROR(__xludf.DUMMYFUNCTION("""COMPUTED_VALUE"""),"90 DÍAS CALENDARIO")</f>
        <v>90 DÍAS CALENDARIO</v>
      </c>
      <c r="L1715" s="213" t="str">
        <f>IFERROR(__xludf.DUMMYFUNCTION("""COMPUTED_VALUE"""),"")</f>
        <v/>
      </c>
      <c r="M1715" s="213">
        <f>IFERROR(__xludf.DUMMYFUNCTION("""COMPUTED_VALUE"""),1.0)</f>
        <v>1</v>
      </c>
      <c r="N1715" s="213">
        <f>IFERROR(__xludf.DUMMYFUNCTION("""COMPUTED_VALUE"""),3.0)</f>
        <v>3</v>
      </c>
      <c r="O1715" s="213">
        <f>IFERROR(__xludf.DUMMYFUNCTION("""COMPUTED_VALUE"""),3.0)</f>
        <v>3</v>
      </c>
      <c r="P1715" s="213"/>
      <c r="Q1715" s="213"/>
      <c r="R1715" s="213"/>
      <c r="S1715" s="213"/>
      <c r="T1715" s="213"/>
      <c r="U1715" s="213"/>
      <c r="V1715" s="213"/>
      <c r="W1715" s="213"/>
      <c r="X1715" s="213"/>
      <c r="Y1715" s="213"/>
      <c r="Z1715" s="213"/>
      <c r="AA1715" s="213"/>
      <c r="AB1715" s="213"/>
      <c r="AC1715" s="213"/>
      <c r="AD1715" s="213"/>
      <c r="AE1715" s="213"/>
      <c r="AF1715" s="213"/>
      <c r="AG1715" s="213"/>
      <c r="AH1715" s="213"/>
      <c r="AI1715" s="213"/>
      <c r="AJ1715" s="213"/>
      <c r="AK1715" s="213"/>
      <c r="AL1715" s="213"/>
      <c r="AM1715" s="213"/>
      <c r="AN1715" s="213"/>
      <c r="AO1715" s="213"/>
      <c r="AP1715" s="213"/>
      <c r="AQ1715" s="213"/>
      <c r="AR1715" s="213"/>
      <c r="AS1715" s="213"/>
      <c r="AT1715" s="213"/>
      <c r="AU1715" s="213"/>
      <c r="AV1715" s="213"/>
      <c r="AW1715" s="213"/>
      <c r="AX1715" s="213"/>
      <c r="AY1715" s="213"/>
      <c r="AZ1715" s="213"/>
      <c r="BA1715" s="213"/>
      <c r="BB1715" s="213"/>
      <c r="BC1715" s="213"/>
      <c r="BD1715" s="213"/>
    </row>
    <row r="1716">
      <c r="A1716" s="213">
        <f>IFERROR(__xludf.DUMMYFUNCTION("""COMPUTED_VALUE"""),4.0)</f>
        <v>4</v>
      </c>
      <c r="B1716" s="213" t="str">
        <f>IFERROR(__xludf.DUMMYFUNCTION("""COMPUTED_VALUE"""),"16449 ELOY SOBERON  FLORES")</f>
        <v>16449 ELOY SOBERON  FLORES</v>
      </c>
      <c r="C1716" s="213" t="str">
        <f>IFERROR(__xludf.DUMMYFUNCTION("""COMPUTED_VALUE"""),"TALLER SFT DE COCINA Y REPOSTERÍA")</f>
        <v>TALLER SFT DE COCINA Y REPOSTERÍA</v>
      </c>
      <c r="D1716" s="213" t="str">
        <f>IFERROR(__xludf.DUMMYFUNCTION("""COMPUTED_VALUE"""),"MOBILIARIO")</f>
        <v>MOBILIARIO</v>
      </c>
      <c r="E1716" s="213" t="str">
        <f>IFERROR(__xludf.DUMMYFUNCTION("""COMPUTED_VALUE"""),"MOB-136")</f>
        <v>MOB-136</v>
      </c>
      <c r="F1716" s="213" t="str">
        <f>IFERROR(__xludf.DUMMYFUNCTION("""COMPUTED_VALUE"""),"MOB-136-X")</f>
        <v>MOB-136-X</v>
      </c>
      <c r="G1716" s="213"/>
      <c r="H1716" s="213" t="str">
        <f>IFERROR(__xludf.DUMMYFUNCTION("""COMPUTED_VALUE"""),"MESA DE TRABAJO TIPO ISLA (110 CMX 60 CM X 90 CM.)")</f>
        <v>MESA DE TRABAJO TIPO ISLA (110 CMX 60 CM X 90 CM.)</v>
      </c>
      <c r="I1716" s="213" t="str">
        <f>IFERROR(__xludf.DUMMYFUNCTION("""COMPUTED_VALUE"""),"· Material acero inoxidable c-304
· Medidas A 60 cm X L  110 cm X 90 cm H
· Mesada superior e inferior con dobles de refuerzo de 40 mm.
· Patas tubulares de od de 1 1/2""
· Regatones antideslizantes.
· Soldado con proceso tig - acabado pulido sanitario.")</f>
        <v>· Material acero inoxidable c-304
· Medidas A 60 cm X L  110 cm X 90 cm H
· Mesada superior e inferior con dobles de refuerzo de 40 mm.
· Patas tubulares de od de 1 1/2"
· Regatones antideslizantes.
· Soldado con proceso tig - acabado pulido sanitario.</v>
      </c>
      <c r="J1716" s="213">
        <f>IFERROR(__xludf.DUMMYFUNCTION("""COMPUTED_VALUE"""),3.0)</f>
        <v>3</v>
      </c>
      <c r="K1716" s="213" t="str">
        <f>IFERROR(__xludf.DUMMYFUNCTION("""COMPUTED_VALUE"""),"90 DÍAS CALENDARIO")</f>
        <v>90 DÍAS CALENDARIO</v>
      </c>
      <c r="L1716" s="213" t="str">
        <f>IFERROR(__xludf.DUMMYFUNCTION("""COMPUTED_VALUE"""),"")</f>
        <v/>
      </c>
      <c r="M1716" s="213">
        <f>IFERROR(__xludf.DUMMYFUNCTION("""COMPUTED_VALUE"""),1.0)</f>
        <v>1</v>
      </c>
      <c r="N1716" s="213">
        <f>IFERROR(__xludf.DUMMYFUNCTION("""COMPUTED_VALUE"""),2.0)</f>
        <v>2</v>
      </c>
      <c r="O1716" s="213">
        <f>IFERROR(__xludf.DUMMYFUNCTION("""COMPUTED_VALUE"""),2.0)</f>
        <v>2</v>
      </c>
      <c r="P1716" s="213"/>
      <c r="Q1716" s="213"/>
      <c r="R1716" s="213"/>
      <c r="S1716" s="213"/>
      <c r="T1716" s="213"/>
      <c r="U1716" s="213"/>
      <c r="V1716" s="213"/>
      <c r="W1716" s="213"/>
      <c r="X1716" s="213"/>
      <c r="Y1716" s="213"/>
      <c r="Z1716" s="213"/>
      <c r="AA1716" s="213"/>
      <c r="AB1716" s="213"/>
      <c r="AC1716" s="213"/>
      <c r="AD1716" s="213"/>
      <c r="AE1716" s="213"/>
      <c r="AF1716" s="213"/>
      <c r="AG1716" s="213"/>
      <c r="AH1716" s="213"/>
      <c r="AI1716" s="213"/>
      <c r="AJ1716" s="213"/>
      <c r="AK1716" s="213"/>
      <c r="AL1716" s="213"/>
      <c r="AM1716" s="213"/>
      <c r="AN1716" s="213"/>
      <c r="AO1716" s="213"/>
      <c r="AP1716" s="213"/>
      <c r="AQ1716" s="213"/>
      <c r="AR1716" s="213"/>
      <c r="AS1716" s="213"/>
      <c r="AT1716" s="213"/>
      <c r="AU1716" s="213"/>
      <c r="AV1716" s="213"/>
      <c r="AW1716" s="213"/>
      <c r="AX1716" s="213"/>
      <c r="AY1716" s="213"/>
      <c r="AZ1716" s="213"/>
      <c r="BA1716" s="213"/>
      <c r="BB1716" s="213"/>
      <c r="BC1716" s="213"/>
      <c r="BD1716" s="213"/>
    </row>
    <row r="1717">
      <c r="A1717" s="213">
        <f>IFERROR(__xludf.DUMMYFUNCTION("""COMPUTED_VALUE"""),437.0)</f>
        <v>437</v>
      </c>
      <c r="B1717" s="213" t="str">
        <f>IFERROR(__xludf.DUMMYFUNCTION("""COMPUTED_VALUE"""),"2026 SIMON BOLIVAR")</f>
        <v>2026 SIMON BOLIVAR</v>
      </c>
      <c r="C1717" s="213" t="str">
        <f>IFERROR(__xludf.DUMMYFUNCTION("""COMPUTED_VALUE"""),"TALLER SFT DE INDUSTRIA ALIMENTARIA")</f>
        <v>TALLER SFT DE INDUSTRIA ALIMENTARIA</v>
      </c>
      <c r="D1717" s="213" t="str">
        <f>IFERROR(__xludf.DUMMYFUNCTION("""COMPUTED_VALUE"""),"MOBILIARIO")</f>
        <v>MOBILIARIO</v>
      </c>
      <c r="E1717" s="213" t="str">
        <f>IFERROR(__xludf.DUMMYFUNCTION("""COMPUTED_VALUE"""),"MOB-136")</f>
        <v>MOB-136</v>
      </c>
      <c r="F1717" s="213" t="str">
        <f>IFERROR(__xludf.DUMMYFUNCTION("""COMPUTED_VALUE"""),"MOB-136-Y")</f>
        <v>MOB-136-Y</v>
      </c>
      <c r="G1717" s="213"/>
      <c r="H1717" s="213" t="str">
        <f>IFERROR(__xludf.DUMMYFUNCTION("""COMPUTED_VALUE"""),"MESA DE TRABAJO TIPO ISLA (1100 X 600 X 900 MM.)")</f>
        <v>MESA DE TRABAJO TIPO ISLA (1100 X 600 X 900 MM.)</v>
      </c>
      <c r="I1717"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Bandeja metálica inferior.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Bandeja metálica inferior.
· Regatones antideslizantes.
· Soldado con proceso tig - acabado pulido sanitario.</v>
      </c>
      <c r="J1717" s="213">
        <f>IFERROR(__xludf.DUMMYFUNCTION("""COMPUTED_VALUE"""),3.0)</f>
        <v>3</v>
      </c>
      <c r="K1717" s="213" t="str">
        <f>IFERROR(__xludf.DUMMYFUNCTION("""COMPUTED_VALUE"""),"90 DÍAS CALENDARIO")</f>
        <v>90 DÍAS CALENDARIO</v>
      </c>
      <c r="L1717" s="213" t="str">
        <f>IFERROR(__xludf.DUMMYFUNCTION("""COMPUTED_VALUE"""),"")</f>
        <v/>
      </c>
      <c r="M1717" s="213">
        <f>IFERROR(__xludf.DUMMYFUNCTION("""COMPUTED_VALUE"""),1.0)</f>
        <v>1</v>
      </c>
      <c r="N1717" s="213">
        <f>IFERROR(__xludf.DUMMYFUNCTION("""COMPUTED_VALUE"""),1.0)</f>
        <v>1</v>
      </c>
      <c r="O1717" s="213">
        <f>IFERROR(__xludf.DUMMYFUNCTION("""COMPUTED_VALUE"""),1.0)</f>
        <v>1</v>
      </c>
      <c r="P1717" s="213"/>
      <c r="Q1717" s="213"/>
      <c r="R1717" s="213"/>
      <c r="S1717" s="213"/>
      <c r="T1717" s="213"/>
      <c r="U1717" s="213"/>
      <c r="V1717" s="213"/>
      <c r="W1717" s="213"/>
      <c r="X1717" s="213"/>
      <c r="Y1717" s="213"/>
      <c r="Z1717" s="213"/>
      <c r="AA1717" s="213"/>
      <c r="AB1717" s="213"/>
      <c r="AC1717" s="213"/>
      <c r="AD1717" s="213"/>
      <c r="AE1717" s="213"/>
      <c r="AF1717" s="213"/>
      <c r="AG1717" s="213"/>
      <c r="AH1717" s="213"/>
      <c r="AI1717" s="213"/>
      <c r="AJ1717" s="213"/>
      <c r="AK1717" s="213"/>
      <c r="AL1717" s="213"/>
      <c r="AM1717" s="213"/>
      <c r="AN1717" s="213"/>
      <c r="AO1717" s="213"/>
      <c r="AP1717" s="213"/>
      <c r="AQ1717" s="213"/>
      <c r="AR1717" s="213"/>
      <c r="AS1717" s="213"/>
      <c r="AT1717" s="213"/>
      <c r="AU1717" s="213"/>
      <c r="AV1717" s="213"/>
      <c r="AW1717" s="213"/>
      <c r="AX1717" s="213"/>
      <c r="AY1717" s="213"/>
      <c r="AZ1717" s="213"/>
      <c r="BA1717" s="213"/>
      <c r="BB1717" s="213"/>
      <c r="BC1717" s="213"/>
      <c r="BD1717" s="213"/>
    </row>
    <row r="1718">
      <c r="A1718" s="213">
        <f>IFERROR(__xludf.DUMMYFUNCTION("""COMPUTED_VALUE"""),454.0)</f>
        <v>454</v>
      </c>
      <c r="B1718" s="213" t="str">
        <f>IFERROR(__xludf.DUMMYFUNCTION("""COMPUTED_VALUE"""),"2026 SIMON BOLIVAR")</f>
        <v>2026 SIMON BOLIVAR</v>
      </c>
      <c r="C1718" s="213" t="str">
        <f>IFERROR(__xludf.DUMMYFUNCTION("""COMPUTED_VALUE"""),"TALLER SFT DE INDUSTRIA ALIMENTARIA")</f>
        <v>TALLER SFT DE INDUSTRIA ALIMENTARIA</v>
      </c>
      <c r="D1718" s="213" t="str">
        <f>IFERROR(__xludf.DUMMYFUNCTION("""COMPUTED_VALUE"""),"MOBILIARIO")</f>
        <v>MOBILIARIO</v>
      </c>
      <c r="E1718" s="213" t="str">
        <f>IFERROR(__xludf.DUMMYFUNCTION("""COMPUTED_VALUE"""),"MOB-136")</f>
        <v>MOB-136</v>
      </c>
      <c r="F1718" s="213" t="str">
        <f>IFERROR(__xludf.DUMMYFUNCTION("""COMPUTED_VALUE"""),"MOB-136-Y")</f>
        <v>MOB-136-Y</v>
      </c>
      <c r="G1718" s="213"/>
      <c r="H1718" s="213" t="str">
        <f>IFERROR(__xludf.DUMMYFUNCTION("""COMPUTED_VALUE"""),"MESA DE TRABAJO TIPO ISLA (1100 X 600 X 900 MM.)")</f>
        <v>MESA DE TRABAJO TIPO ISLA (1100 X 600 X 900 MM.)</v>
      </c>
      <c r="I1718"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Bandeja metálica inferior.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Bandeja metálica inferior.
· Regatones antideslizantes.
· Soldado con proceso tig - acabado pulido sanitario.</v>
      </c>
      <c r="J1718" s="213">
        <f>IFERROR(__xludf.DUMMYFUNCTION("""COMPUTED_VALUE"""),3.0)</f>
        <v>3</v>
      </c>
      <c r="K1718" s="213" t="str">
        <f>IFERROR(__xludf.DUMMYFUNCTION("""COMPUTED_VALUE"""),"90 DÍAS CALENDARIO")</f>
        <v>90 DÍAS CALENDARIO</v>
      </c>
      <c r="L1718" s="213" t="str">
        <f>IFERROR(__xludf.DUMMYFUNCTION("""COMPUTED_VALUE"""),"")</f>
        <v/>
      </c>
      <c r="M1718" s="213">
        <f>IFERROR(__xludf.DUMMYFUNCTION("""COMPUTED_VALUE"""),1.0)</f>
        <v>1</v>
      </c>
      <c r="N1718" s="213">
        <f>IFERROR(__xludf.DUMMYFUNCTION("""COMPUTED_VALUE"""),2.0)</f>
        <v>2</v>
      </c>
      <c r="O1718" s="213">
        <f>IFERROR(__xludf.DUMMYFUNCTION("""COMPUTED_VALUE"""),2.0)</f>
        <v>2</v>
      </c>
      <c r="P1718" s="213"/>
      <c r="Q1718" s="213"/>
      <c r="R1718" s="213"/>
      <c r="S1718" s="213"/>
      <c r="T1718" s="213"/>
      <c r="U1718" s="213"/>
      <c r="V1718" s="213"/>
      <c r="W1718" s="213"/>
      <c r="X1718" s="213"/>
      <c r="Y1718" s="213"/>
      <c r="Z1718" s="213"/>
      <c r="AA1718" s="213"/>
      <c r="AB1718" s="213"/>
      <c r="AC1718" s="213"/>
      <c r="AD1718" s="213"/>
      <c r="AE1718" s="213"/>
      <c r="AF1718" s="213"/>
      <c r="AG1718" s="213"/>
      <c r="AH1718" s="213"/>
      <c r="AI1718" s="213"/>
      <c r="AJ1718" s="213"/>
      <c r="AK1718" s="213"/>
      <c r="AL1718" s="213"/>
      <c r="AM1718" s="213"/>
      <c r="AN1718" s="213"/>
      <c r="AO1718" s="213"/>
      <c r="AP1718" s="213"/>
      <c r="AQ1718" s="213"/>
      <c r="AR1718" s="213"/>
      <c r="AS1718" s="213"/>
      <c r="AT1718" s="213"/>
      <c r="AU1718" s="213"/>
      <c r="AV1718" s="213"/>
      <c r="AW1718" s="213"/>
      <c r="AX1718" s="213"/>
      <c r="AY1718" s="213"/>
      <c r="AZ1718" s="213"/>
      <c r="BA1718" s="213"/>
      <c r="BB1718" s="213"/>
      <c r="BC1718" s="213"/>
      <c r="BD1718" s="213"/>
    </row>
    <row r="1719">
      <c r="A1719" s="213">
        <f>IFERROR(__xludf.DUMMYFUNCTION("""COMPUTED_VALUE"""),1067.0)</f>
        <v>1067</v>
      </c>
      <c r="B1719" s="213" t="str">
        <f>IFERROR(__xludf.DUMMYFUNCTION("""COMPUTED_VALUE"""),"FRANCISCO IRAZOLA")</f>
        <v>FRANCISCO IRAZOLA</v>
      </c>
      <c r="C1719" s="213" t="str">
        <f>IFERROR(__xludf.DUMMYFUNCTION("""COMPUTED_VALUE"""),"TALLER SFT DE INDUSTRIA ALIMENTARIA")</f>
        <v>TALLER SFT DE INDUSTRIA ALIMENTARIA</v>
      </c>
      <c r="D1719" s="213" t="str">
        <f>IFERROR(__xludf.DUMMYFUNCTION("""COMPUTED_VALUE"""),"MOBILIARIO")</f>
        <v>MOBILIARIO</v>
      </c>
      <c r="E1719" s="213" t="str">
        <f>IFERROR(__xludf.DUMMYFUNCTION("""COMPUTED_VALUE"""),"MOB-136")</f>
        <v>MOB-136</v>
      </c>
      <c r="F1719" s="213" t="str">
        <f>IFERROR(__xludf.DUMMYFUNCTION("""COMPUTED_VALUE"""),"MOB-136-Y")</f>
        <v>MOB-136-Y</v>
      </c>
      <c r="G1719" s="213"/>
      <c r="H1719" s="213" t="str">
        <f>IFERROR(__xludf.DUMMYFUNCTION("""COMPUTED_VALUE"""),"MESA DE TRABAJO TIPO ISLA (1100 X 600 X 900 MM.)")</f>
        <v>MESA DE TRABAJO TIPO ISLA (1100 X 600 X 900 MM.)</v>
      </c>
      <c r="I1719"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Bandeja metálica inferior.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Bandeja metálica inferior.
· Regatones antideslizantes.
· Soldado con proceso tig - acabado pulido sanitario.</v>
      </c>
      <c r="J1719" s="213">
        <f>IFERROR(__xludf.DUMMYFUNCTION("""COMPUTED_VALUE"""),3.0)</f>
        <v>3</v>
      </c>
      <c r="K1719" s="213" t="str">
        <f>IFERROR(__xludf.DUMMYFUNCTION("""COMPUTED_VALUE"""),"90 DÍAS CALENDARIO")</f>
        <v>90 DÍAS CALENDARIO</v>
      </c>
      <c r="L1719" s="213" t="str">
        <f>IFERROR(__xludf.DUMMYFUNCTION("""COMPUTED_VALUE"""),"")</f>
        <v/>
      </c>
      <c r="M1719" s="213">
        <f>IFERROR(__xludf.DUMMYFUNCTION("""COMPUTED_VALUE"""),1.0)</f>
        <v>1</v>
      </c>
      <c r="N1719" s="213">
        <f>IFERROR(__xludf.DUMMYFUNCTION("""COMPUTED_VALUE"""),1.0)</f>
        <v>1</v>
      </c>
      <c r="O1719" s="213">
        <f>IFERROR(__xludf.DUMMYFUNCTION("""COMPUTED_VALUE"""),1.0)</f>
        <v>1</v>
      </c>
      <c r="P1719" s="213"/>
      <c r="Q1719" s="213"/>
      <c r="R1719" s="213"/>
      <c r="S1719" s="213"/>
      <c r="T1719" s="213"/>
      <c r="U1719" s="213"/>
      <c r="V1719" s="213"/>
      <c r="W1719" s="213"/>
      <c r="X1719" s="213"/>
      <c r="Y1719" s="213"/>
      <c r="Z1719" s="213"/>
      <c r="AA1719" s="213"/>
      <c r="AB1719" s="213"/>
      <c r="AC1719" s="213"/>
      <c r="AD1719" s="213"/>
      <c r="AE1719" s="213"/>
      <c r="AF1719" s="213"/>
      <c r="AG1719" s="213"/>
      <c r="AH1719" s="213"/>
      <c r="AI1719" s="213"/>
      <c r="AJ1719" s="213"/>
      <c r="AK1719" s="213"/>
      <c r="AL1719" s="213"/>
      <c r="AM1719" s="213"/>
      <c r="AN1719" s="213"/>
      <c r="AO1719" s="213"/>
      <c r="AP1719" s="213"/>
      <c r="AQ1719" s="213"/>
      <c r="AR1719" s="213"/>
      <c r="AS1719" s="213"/>
      <c r="AT1719" s="213"/>
      <c r="AU1719" s="213"/>
      <c r="AV1719" s="213"/>
      <c r="AW1719" s="213"/>
      <c r="AX1719" s="213"/>
      <c r="AY1719" s="213"/>
      <c r="AZ1719" s="213"/>
      <c r="BA1719" s="213"/>
      <c r="BB1719" s="213"/>
      <c r="BC1719" s="213"/>
      <c r="BD1719" s="213"/>
    </row>
    <row r="1720">
      <c r="A1720" s="213">
        <f>IFERROR(__xludf.DUMMYFUNCTION("""COMPUTED_VALUE"""),1082.0)</f>
        <v>1082</v>
      </c>
      <c r="B1720" s="213" t="str">
        <f>IFERROR(__xludf.DUMMYFUNCTION("""COMPUTED_VALUE"""),"FRANCISCO IRAZOLA")</f>
        <v>FRANCISCO IRAZOLA</v>
      </c>
      <c r="C1720" s="213" t="str">
        <f>IFERROR(__xludf.DUMMYFUNCTION("""COMPUTED_VALUE"""),"TALLER SFT DE INDUSTRIA ALIMENTARIA")</f>
        <v>TALLER SFT DE INDUSTRIA ALIMENTARIA</v>
      </c>
      <c r="D1720" s="213" t="str">
        <f>IFERROR(__xludf.DUMMYFUNCTION("""COMPUTED_VALUE"""),"MOBILIARIO")</f>
        <v>MOBILIARIO</v>
      </c>
      <c r="E1720" s="213" t="str">
        <f>IFERROR(__xludf.DUMMYFUNCTION("""COMPUTED_VALUE"""),"MOB-136")</f>
        <v>MOB-136</v>
      </c>
      <c r="F1720" s="213" t="str">
        <f>IFERROR(__xludf.DUMMYFUNCTION("""COMPUTED_VALUE"""),"MOB-136-Y")</f>
        <v>MOB-136-Y</v>
      </c>
      <c r="G1720" s="213"/>
      <c r="H1720" s="213" t="str">
        <f>IFERROR(__xludf.DUMMYFUNCTION("""COMPUTED_VALUE"""),"MESA DE TRABAJO TIPO ISLA (1100 X 600 X 900 MM.)")</f>
        <v>MESA DE TRABAJO TIPO ISLA (1100 X 600 X 900 MM.)</v>
      </c>
      <c r="I1720"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Bandeja metálica inferior.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Bandeja metálica inferior.
· Regatones antideslizantes.
· Soldado con proceso tig - acabado pulido sanitario.</v>
      </c>
      <c r="J1720" s="213">
        <f>IFERROR(__xludf.DUMMYFUNCTION("""COMPUTED_VALUE"""),3.0)</f>
        <v>3</v>
      </c>
      <c r="K1720" s="213" t="str">
        <f>IFERROR(__xludf.DUMMYFUNCTION("""COMPUTED_VALUE"""),"90 DÍAS CALENDARIO")</f>
        <v>90 DÍAS CALENDARIO</v>
      </c>
      <c r="L1720" s="213" t="str">
        <f>IFERROR(__xludf.DUMMYFUNCTION("""COMPUTED_VALUE"""),"")</f>
        <v/>
      </c>
      <c r="M1720" s="213">
        <f>IFERROR(__xludf.DUMMYFUNCTION("""COMPUTED_VALUE"""),1.0)</f>
        <v>1</v>
      </c>
      <c r="N1720" s="213">
        <f>IFERROR(__xludf.DUMMYFUNCTION("""COMPUTED_VALUE"""),1.0)</f>
        <v>1</v>
      </c>
      <c r="O1720" s="213">
        <f>IFERROR(__xludf.DUMMYFUNCTION("""COMPUTED_VALUE"""),1.0)</f>
        <v>1</v>
      </c>
      <c r="P1720" s="213"/>
      <c r="Q1720" s="213"/>
      <c r="R1720" s="213"/>
      <c r="S1720" s="213"/>
      <c r="T1720" s="213"/>
      <c r="U1720" s="213"/>
      <c r="V1720" s="213"/>
      <c r="W1720" s="213"/>
      <c r="X1720" s="213"/>
      <c r="Y1720" s="213"/>
      <c r="Z1720" s="213"/>
      <c r="AA1720" s="213"/>
      <c r="AB1720" s="213"/>
      <c r="AC1720" s="213"/>
      <c r="AD1720" s="213"/>
      <c r="AE1720" s="213"/>
      <c r="AF1720" s="213"/>
      <c r="AG1720" s="213"/>
      <c r="AH1720" s="213"/>
      <c r="AI1720" s="213"/>
      <c r="AJ1720" s="213"/>
      <c r="AK1720" s="213"/>
      <c r="AL1720" s="213"/>
      <c r="AM1720" s="213"/>
      <c r="AN1720" s="213"/>
      <c r="AO1720" s="213"/>
      <c r="AP1720" s="213"/>
      <c r="AQ1720" s="213"/>
      <c r="AR1720" s="213"/>
      <c r="AS1720" s="213"/>
      <c r="AT1720" s="213"/>
      <c r="AU1720" s="213"/>
      <c r="AV1720" s="213"/>
      <c r="AW1720" s="213"/>
      <c r="AX1720" s="213"/>
      <c r="AY1720" s="213"/>
      <c r="AZ1720" s="213"/>
      <c r="BA1720" s="213"/>
      <c r="BB1720" s="213"/>
      <c r="BC1720" s="213"/>
      <c r="BD1720" s="213"/>
    </row>
    <row r="1721">
      <c r="A1721" s="213">
        <f>IFERROR(__xludf.DUMMYFUNCTION("""COMPUTED_VALUE"""),1343.0)</f>
        <v>1343</v>
      </c>
      <c r="B1721" s="213" t="str">
        <f>IFERROR(__xludf.DUMMYFUNCTION("""COMPUTED_VALUE"""),"GUILLERMO E. BILLINGHURST ")</f>
        <v>GUILLERMO E. BILLINGHURST </v>
      </c>
      <c r="C1721" s="213" t="str">
        <f>IFERROR(__xludf.DUMMYFUNCTION("""COMPUTED_VALUE"""),"TALLER SFT DE INDUSTRIA ALIMENTARIA")</f>
        <v>TALLER SFT DE INDUSTRIA ALIMENTARIA</v>
      </c>
      <c r="D1721" s="213" t="str">
        <f>IFERROR(__xludf.DUMMYFUNCTION("""COMPUTED_VALUE"""),"MOBILIARIO")</f>
        <v>MOBILIARIO</v>
      </c>
      <c r="E1721" s="213" t="str">
        <f>IFERROR(__xludf.DUMMYFUNCTION("""COMPUTED_VALUE"""),"MOB-136")</f>
        <v>MOB-136</v>
      </c>
      <c r="F1721" s="213" t="str">
        <f>IFERROR(__xludf.DUMMYFUNCTION("""COMPUTED_VALUE"""),"MOB-136-Y")</f>
        <v>MOB-136-Y</v>
      </c>
      <c r="G1721" s="213"/>
      <c r="H1721" s="213" t="str">
        <f>IFERROR(__xludf.DUMMYFUNCTION("""COMPUTED_VALUE"""),"MESA DE TRABAJO TIPO ISLA (1100 X 600 X 900 MM.)")</f>
        <v>MESA DE TRABAJO TIPO ISLA (1100 X 600 X 900 MM.)</v>
      </c>
      <c r="I1721"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Bandeja metálica inferior.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Bandeja metálica inferior.
· Regatones antideslizantes.
· Soldado con proceso tig - acabado pulido sanitario.</v>
      </c>
      <c r="J1721" s="213">
        <f>IFERROR(__xludf.DUMMYFUNCTION("""COMPUTED_VALUE"""),3.0)</f>
        <v>3</v>
      </c>
      <c r="K1721" s="213" t="str">
        <f>IFERROR(__xludf.DUMMYFUNCTION("""COMPUTED_VALUE"""),"90 DÍAS CALENDARIO")</f>
        <v>90 DÍAS CALENDARIO</v>
      </c>
      <c r="L1721" s="213" t="str">
        <f>IFERROR(__xludf.DUMMYFUNCTION("""COMPUTED_VALUE"""),"")</f>
        <v/>
      </c>
      <c r="M1721" s="213">
        <f>IFERROR(__xludf.DUMMYFUNCTION("""COMPUTED_VALUE"""),1.0)</f>
        <v>1</v>
      </c>
      <c r="N1721" s="213">
        <f>IFERROR(__xludf.DUMMYFUNCTION("""COMPUTED_VALUE"""),3.0)</f>
        <v>3</v>
      </c>
      <c r="O1721" s="213">
        <f>IFERROR(__xludf.DUMMYFUNCTION("""COMPUTED_VALUE"""),3.0)</f>
        <v>3</v>
      </c>
      <c r="P1721" s="213"/>
      <c r="Q1721" s="213"/>
      <c r="R1721" s="213"/>
      <c r="S1721" s="213"/>
      <c r="T1721" s="213"/>
      <c r="U1721" s="213"/>
      <c r="V1721" s="213"/>
      <c r="W1721" s="213"/>
      <c r="X1721" s="213"/>
      <c r="Y1721" s="213"/>
      <c r="Z1721" s="213"/>
      <c r="AA1721" s="213"/>
      <c r="AB1721" s="213"/>
      <c r="AC1721" s="213"/>
      <c r="AD1721" s="213"/>
      <c r="AE1721" s="213"/>
      <c r="AF1721" s="213"/>
      <c r="AG1721" s="213"/>
      <c r="AH1721" s="213"/>
      <c r="AI1721" s="213"/>
      <c r="AJ1721" s="213"/>
      <c r="AK1721" s="213"/>
      <c r="AL1721" s="213"/>
      <c r="AM1721" s="213"/>
      <c r="AN1721" s="213"/>
      <c r="AO1721" s="213"/>
      <c r="AP1721" s="213"/>
      <c r="AQ1721" s="213"/>
      <c r="AR1721" s="213"/>
      <c r="AS1721" s="213"/>
      <c r="AT1721" s="213"/>
      <c r="AU1721" s="213"/>
      <c r="AV1721" s="213"/>
      <c r="AW1721" s="213"/>
      <c r="AX1721" s="213"/>
      <c r="AY1721" s="213"/>
      <c r="AZ1721" s="213"/>
      <c r="BA1721" s="213"/>
      <c r="BB1721" s="213"/>
      <c r="BC1721" s="213"/>
      <c r="BD1721" s="213"/>
    </row>
    <row r="1722">
      <c r="A1722" s="213">
        <f>IFERROR(__xludf.DUMMYFUNCTION("""COMPUTED_VALUE"""),2027.0)</f>
        <v>2027</v>
      </c>
      <c r="B1722" s="213" t="str">
        <f>IFERROR(__xludf.DUMMYFUNCTION("""COMPUTED_VALUE"""),"JOSE GRANDA")</f>
        <v>JOSE GRANDA</v>
      </c>
      <c r="C1722" s="213" t="str">
        <f>IFERROR(__xludf.DUMMYFUNCTION("""COMPUTED_VALUE"""),"TALLER SFT DE INDUSTRIA ALIMENTARIA")</f>
        <v>TALLER SFT DE INDUSTRIA ALIMENTARIA</v>
      </c>
      <c r="D1722" s="213" t="str">
        <f>IFERROR(__xludf.DUMMYFUNCTION("""COMPUTED_VALUE"""),"MOBILIARIO")</f>
        <v>MOBILIARIO</v>
      </c>
      <c r="E1722" s="213" t="str">
        <f>IFERROR(__xludf.DUMMYFUNCTION("""COMPUTED_VALUE"""),"MOB-136")</f>
        <v>MOB-136</v>
      </c>
      <c r="F1722" s="213" t="str">
        <f>IFERROR(__xludf.DUMMYFUNCTION("""COMPUTED_VALUE"""),"MOB-136-Y")</f>
        <v>MOB-136-Y</v>
      </c>
      <c r="G1722" s="213"/>
      <c r="H1722" s="213" t="str">
        <f>IFERROR(__xludf.DUMMYFUNCTION("""COMPUTED_VALUE"""),"MESA DE TRABAJO TIPO ISLA (1100 X 600 X 900 MM.)")</f>
        <v>MESA DE TRABAJO TIPO ISLA (1100 X 600 X 900 MM.)</v>
      </c>
      <c r="I1722"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Bandeja metálica inferior.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Bandeja metálica inferior.
· Regatones antideslizantes.
· Soldado con proceso tig - acabado pulido sanitario.</v>
      </c>
      <c r="J1722" s="213">
        <f>IFERROR(__xludf.DUMMYFUNCTION("""COMPUTED_VALUE"""),3.0)</f>
        <v>3</v>
      </c>
      <c r="K1722" s="213" t="str">
        <f>IFERROR(__xludf.DUMMYFUNCTION("""COMPUTED_VALUE"""),"90 DÍAS CALENDARIO")</f>
        <v>90 DÍAS CALENDARIO</v>
      </c>
      <c r="L1722" s="213" t="str">
        <f>IFERROR(__xludf.DUMMYFUNCTION("""COMPUTED_VALUE"""),"")</f>
        <v/>
      </c>
      <c r="M1722" s="213">
        <f>IFERROR(__xludf.DUMMYFUNCTION("""COMPUTED_VALUE"""),1.0)</f>
        <v>1</v>
      </c>
      <c r="N1722" s="213">
        <f>IFERROR(__xludf.DUMMYFUNCTION("""COMPUTED_VALUE"""),1.0)</f>
        <v>1</v>
      </c>
      <c r="O1722" s="213">
        <f>IFERROR(__xludf.DUMMYFUNCTION("""COMPUTED_VALUE"""),1.0)</f>
        <v>1</v>
      </c>
      <c r="P1722" s="213"/>
      <c r="Q1722" s="213"/>
      <c r="R1722" s="213"/>
      <c r="S1722" s="213"/>
      <c r="T1722" s="213"/>
      <c r="U1722" s="213"/>
      <c r="V1722" s="213"/>
      <c r="W1722" s="213"/>
      <c r="X1722" s="213"/>
      <c r="Y1722" s="213"/>
      <c r="Z1722" s="213"/>
      <c r="AA1722" s="213"/>
      <c r="AB1722" s="213"/>
      <c r="AC1722" s="213"/>
      <c r="AD1722" s="213"/>
      <c r="AE1722" s="213"/>
      <c r="AF1722" s="213"/>
      <c r="AG1722" s="213"/>
      <c r="AH1722" s="213"/>
      <c r="AI1722" s="213"/>
      <c r="AJ1722" s="213"/>
      <c r="AK1722" s="213"/>
      <c r="AL1722" s="213"/>
      <c r="AM1722" s="213"/>
      <c r="AN1722" s="213"/>
      <c r="AO1722" s="213"/>
      <c r="AP1722" s="213"/>
      <c r="AQ1722" s="213"/>
      <c r="AR1722" s="213"/>
      <c r="AS1722" s="213"/>
      <c r="AT1722" s="213"/>
      <c r="AU1722" s="213"/>
      <c r="AV1722" s="213"/>
      <c r="AW1722" s="213"/>
      <c r="AX1722" s="213"/>
      <c r="AY1722" s="213"/>
      <c r="AZ1722" s="213"/>
      <c r="BA1722" s="213"/>
      <c r="BB1722" s="213"/>
      <c r="BC1722" s="213"/>
      <c r="BD1722" s="213"/>
    </row>
    <row r="1723">
      <c r="A1723" s="213">
        <f>IFERROR(__xludf.DUMMYFUNCTION("""COMPUTED_VALUE"""),2042.0)</f>
        <v>2042</v>
      </c>
      <c r="B1723" s="213" t="str">
        <f>IFERROR(__xludf.DUMMYFUNCTION("""COMPUTED_VALUE"""),"JOSE GRANDA")</f>
        <v>JOSE GRANDA</v>
      </c>
      <c r="C1723" s="213" t="str">
        <f>IFERROR(__xludf.DUMMYFUNCTION("""COMPUTED_VALUE"""),"TALLER SFT DE INDUSTRIA ALIMENTARIA")</f>
        <v>TALLER SFT DE INDUSTRIA ALIMENTARIA</v>
      </c>
      <c r="D1723" s="213" t="str">
        <f>IFERROR(__xludf.DUMMYFUNCTION("""COMPUTED_VALUE"""),"MOBILIARIO")</f>
        <v>MOBILIARIO</v>
      </c>
      <c r="E1723" s="213" t="str">
        <f>IFERROR(__xludf.DUMMYFUNCTION("""COMPUTED_VALUE"""),"MOB-136")</f>
        <v>MOB-136</v>
      </c>
      <c r="F1723" s="213" t="str">
        <f>IFERROR(__xludf.DUMMYFUNCTION("""COMPUTED_VALUE"""),"MOB-136-Y")</f>
        <v>MOB-136-Y</v>
      </c>
      <c r="G1723" s="213"/>
      <c r="H1723" s="213" t="str">
        <f>IFERROR(__xludf.DUMMYFUNCTION("""COMPUTED_VALUE"""),"MESA DE TRABAJO TIPO ISLA (1100 X 600 X 900 MM.)")</f>
        <v>MESA DE TRABAJO TIPO ISLA (1100 X 600 X 900 MM.)</v>
      </c>
      <c r="I1723"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Bandeja metálica inferior.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Bandeja metálica inferior.
· Regatones antideslizantes.
· Soldado con proceso tig - acabado pulido sanitario.</v>
      </c>
      <c r="J1723" s="213">
        <f>IFERROR(__xludf.DUMMYFUNCTION("""COMPUTED_VALUE"""),3.0)</f>
        <v>3</v>
      </c>
      <c r="K1723" s="213" t="str">
        <f>IFERROR(__xludf.DUMMYFUNCTION("""COMPUTED_VALUE"""),"90 DÍAS CALENDARIO")</f>
        <v>90 DÍAS CALENDARIO</v>
      </c>
      <c r="L1723" s="213" t="str">
        <f>IFERROR(__xludf.DUMMYFUNCTION("""COMPUTED_VALUE"""),"")</f>
        <v/>
      </c>
      <c r="M1723" s="213">
        <f>IFERROR(__xludf.DUMMYFUNCTION("""COMPUTED_VALUE"""),1.0)</f>
        <v>1</v>
      </c>
      <c r="N1723" s="213">
        <f>IFERROR(__xludf.DUMMYFUNCTION("""COMPUTED_VALUE"""),3.0)</f>
        <v>3</v>
      </c>
      <c r="O1723" s="213">
        <f>IFERROR(__xludf.DUMMYFUNCTION("""COMPUTED_VALUE"""),3.0)</f>
        <v>3</v>
      </c>
      <c r="P1723" s="213"/>
      <c r="Q1723" s="213"/>
      <c r="R1723" s="213"/>
      <c r="S1723" s="213"/>
      <c r="T1723" s="213"/>
      <c r="U1723" s="213"/>
      <c r="V1723" s="213"/>
      <c r="W1723" s="213"/>
      <c r="X1723" s="213"/>
      <c r="Y1723" s="213"/>
      <c r="Z1723" s="213"/>
      <c r="AA1723" s="213"/>
      <c r="AB1723" s="213"/>
      <c r="AC1723" s="213"/>
      <c r="AD1723" s="213"/>
      <c r="AE1723" s="213"/>
      <c r="AF1723" s="213"/>
      <c r="AG1723" s="213"/>
      <c r="AH1723" s="213"/>
      <c r="AI1723" s="213"/>
      <c r="AJ1723" s="213"/>
      <c r="AK1723" s="213"/>
      <c r="AL1723" s="213"/>
      <c r="AM1723" s="213"/>
      <c r="AN1723" s="213"/>
      <c r="AO1723" s="213"/>
      <c r="AP1723" s="213"/>
      <c r="AQ1723" s="213"/>
      <c r="AR1723" s="213"/>
      <c r="AS1723" s="213"/>
      <c r="AT1723" s="213"/>
      <c r="AU1723" s="213"/>
      <c r="AV1723" s="213"/>
      <c r="AW1723" s="213"/>
      <c r="AX1723" s="213"/>
      <c r="AY1723" s="213"/>
      <c r="AZ1723" s="213"/>
      <c r="BA1723" s="213"/>
      <c r="BB1723" s="213"/>
      <c r="BC1723" s="213"/>
      <c r="BD1723" s="213"/>
    </row>
    <row r="1724">
      <c r="A1724" s="213">
        <f>IFERROR(__xludf.DUMMYFUNCTION("""COMPUTED_VALUE"""),449.0)</f>
        <v>449</v>
      </c>
      <c r="B1724" s="213" t="str">
        <f>IFERROR(__xludf.DUMMYFUNCTION("""COMPUTED_VALUE"""),"2026 SIMON BOLIVAR")</f>
        <v>2026 SIMON BOLIVAR</v>
      </c>
      <c r="C1724" s="213" t="str">
        <f>IFERROR(__xludf.DUMMYFUNCTION("""COMPUTED_VALUE"""),"TALLER SFT DE INDUSTRIA ALIMENTARIA")</f>
        <v>TALLER SFT DE INDUSTRIA ALIMENTARIA</v>
      </c>
      <c r="D1724" s="213" t="str">
        <f>IFERROR(__xludf.DUMMYFUNCTION("""COMPUTED_VALUE"""),"MOBILIARIO")</f>
        <v>MOBILIARIO</v>
      </c>
      <c r="E1724" s="213" t="str">
        <f>IFERROR(__xludf.DUMMYFUNCTION("""COMPUTED_VALUE"""),"MOB-137")</f>
        <v>MOB-137</v>
      </c>
      <c r="F1724" s="213" t="str">
        <f>IFERROR(__xludf.DUMMYFUNCTION("""COMPUTED_VALUE"""),"MOB-137")</f>
        <v>MOB-137</v>
      </c>
      <c r="G1724" s="213"/>
      <c r="H1724" s="213" t="str">
        <f>IFERROR(__xludf.DUMMYFUNCTION("""COMPUTED_VALUE"""),"MESA DE TRABAJO TIPO ISLA (2200 X 1000 X 900 MM.)")</f>
        <v>MESA DE TRABAJO TIPO ISLA (2200 X 1000 X 900 MM.)</v>
      </c>
      <c r="I1724" s="213" t="str">
        <f>IFERROR(__xludf.DUMMYFUNCTION("""COMPUTED_VALUE"""),"· Material acero inoxidable c-304
· Medidas A 100 cm X L  220 cm X 90 cm H
· Mesada con dobles de refuerzo de 40 mm como mínimo
· Patas de tubo cuadrado 1 1/2""x1 1/2” (sección mínima), o de tubo de Ø 1 1/2"" (sección mínima)
· Espesor de tubo de patas 1."&amp;"5mm (mínimo)
· Bandeja metálica inferior.
· Regatones antideslizantes.
· Soldado con proceso tig - acabado pulido sanitario.")</f>
        <v>· Material acero inoxidable c-304
· Medidas A 100 cm X L  220 cm X 90 cm H
· Mesada con dobles de refuerzo de 40 mm como mínimo
· Patas de tubo cuadrado 1 1/2"x1 1/2” (sección mínima), o de tubo de Ø 1 1/2" (sección mínima)
· Espesor de tubo de patas 1.5mm (mínimo)
· Bandeja metálica inferior.
· Regatones antideslizantes.
· Soldado con proceso tig - acabado pulido sanitario.</v>
      </c>
      <c r="J1724" s="213">
        <f>IFERROR(__xludf.DUMMYFUNCTION("""COMPUTED_VALUE"""),3.0)</f>
        <v>3</v>
      </c>
      <c r="K1724" s="213" t="str">
        <f>IFERROR(__xludf.DUMMYFUNCTION("""COMPUTED_VALUE"""),"90 DÍAS CALENDARIO")</f>
        <v>90 DÍAS CALENDARIO</v>
      </c>
      <c r="L1724" s="213" t="str">
        <f>IFERROR(__xludf.DUMMYFUNCTION("""COMPUTED_VALUE"""),"")</f>
        <v/>
      </c>
      <c r="M1724" s="213">
        <f>IFERROR(__xludf.DUMMYFUNCTION("""COMPUTED_VALUE"""),1.0)</f>
        <v>1</v>
      </c>
      <c r="N1724" s="213">
        <f>IFERROR(__xludf.DUMMYFUNCTION("""COMPUTED_VALUE"""),1.0)</f>
        <v>1</v>
      </c>
      <c r="O1724" s="213">
        <f>IFERROR(__xludf.DUMMYFUNCTION("""COMPUTED_VALUE"""),1.0)</f>
        <v>1</v>
      </c>
      <c r="P1724" s="213"/>
      <c r="Q1724" s="213"/>
      <c r="R1724" s="213"/>
      <c r="S1724" s="213"/>
      <c r="T1724" s="213"/>
      <c r="U1724" s="213"/>
      <c r="V1724" s="213"/>
      <c r="W1724" s="213"/>
      <c r="X1724" s="213"/>
      <c r="Y1724" s="213"/>
      <c r="Z1724" s="213"/>
      <c r="AA1724" s="213"/>
      <c r="AB1724" s="213"/>
      <c r="AC1724" s="213"/>
      <c r="AD1724" s="213"/>
      <c r="AE1724" s="213"/>
      <c r="AF1724" s="213"/>
      <c r="AG1724" s="213"/>
      <c r="AH1724" s="213"/>
      <c r="AI1724" s="213"/>
      <c r="AJ1724" s="213"/>
      <c r="AK1724" s="213"/>
      <c r="AL1724" s="213"/>
      <c r="AM1724" s="213"/>
      <c r="AN1724" s="213"/>
      <c r="AO1724" s="213"/>
      <c r="AP1724" s="213"/>
      <c r="AQ1724" s="213"/>
      <c r="AR1724" s="213"/>
      <c r="AS1724" s="213"/>
      <c r="AT1724" s="213"/>
      <c r="AU1724" s="213"/>
      <c r="AV1724" s="213"/>
      <c r="AW1724" s="213"/>
      <c r="AX1724" s="213"/>
      <c r="AY1724" s="213"/>
      <c r="AZ1724" s="213"/>
      <c r="BA1724" s="213"/>
      <c r="BB1724" s="213"/>
      <c r="BC1724" s="213"/>
      <c r="BD1724" s="213"/>
    </row>
    <row r="1725">
      <c r="A1725" s="213">
        <f>IFERROR(__xludf.DUMMYFUNCTION("""COMPUTED_VALUE"""),431.0)</f>
        <v>431</v>
      </c>
      <c r="B1725" s="213" t="str">
        <f>IFERROR(__xludf.DUMMYFUNCTION("""COMPUTED_VALUE"""),"2026 SIMON BOLIVAR")</f>
        <v>2026 SIMON BOLIVAR</v>
      </c>
      <c r="C1725" s="213" t="str">
        <f>IFERROR(__xludf.DUMMYFUNCTION("""COMPUTED_VALUE"""),"TALLER SFT DE INDUSTRIA ALIMENTARIA")</f>
        <v>TALLER SFT DE INDUSTRIA ALIMENTARIA</v>
      </c>
      <c r="D1725" s="213" t="str">
        <f>IFERROR(__xludf.DUMMYFUNCTION("""COMPUTED_VALUE"""),"MOBILIARIO")</f>
        <v>MOBILIARIO</v>
      </c>
      <c r="E1725" s="213" t="str">
        <f>IFERROR(__xludf.DUMMYFUNCTION("""COMPUTED_VALUE"""),"MOB-138")</f>
        <v>MOB-138</v>
      </c>
      <c r="F1725" s="213" t="str">
        <f>IFERROR(__xludf.DUMMYFUNCTION("""COMPUTED_VALUE"""),"MOB-138")</f>
        <v>MOB-138</v>
      </c>
      <c r="G1725" s="213"/>
      <c r="H1725" s="213" t="str">
        <f>IFERROR(__xludf.DUMMYFUNCTION("""COMPUTED_VALUE"""),"MESA DE TRABAJO TIPO ISLA ACCESIBLE PARA DISCAPACITADO (1100 X 600 X 900 MM.)")</f>
        <v>MESA DE TRABAJO TIPO ISLA ACCESIBLE PARA DISCAPACITADO (1100 X 600 X 900 MM.)</v>
      </c>
      <c r="I1725"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Regatones antideslizantes.
· Soldado con proceso tig - acabado pulido sanitario.</v>
      </c>
      <c r="J1725" s="213">
        <f>IFERROR(__xludf.DUMMYFUNCTION("""COMPUTED_VALUE"""),3.0)</f>
        <v>3</v>
      </c>
      <c r="K1725" s="213" t="str">
        <f>IFERROR(__xludf.DUMMYFUNCTION("""COMPUTED_VALUE"""),"90 DÍAS CALENDARIO")</f>
        <v>90 DÍAS CALENDARIO</v>
      </c>
      <c r="L1725" s="213" t="str">
        <f>IFERROR(__xludf.DUMMYFUNCTION("""COMPUTED_VALUE"""),"")</f>
        <v/>
      </c>
      <c r="M1725" s="213">
        <f>IFERROR(__xludf.DUMMYFUNCTION("""COMPUTED_VALUE"""),1.0)</f>
        <v>1</v>
      </c>
      <c r="N1725" s="213">
        <f>IFERROR(__xludf.DUMMYFUNCTION("""COMPUTED_VALUE"""),1.0)</f>
        <v>1</v>
      </c>
      <c r="O1725" s="213">
        <f>IFERROR(__xludf.DUMMYFUNCTION("""COMPUTED_VALUE"""),1.0)</f>
        <v>1</v>
      </c>
      <c r="P1725" s="213"/>
      <c r="Q1725" s="213"/>
      <c r="R1725" s="213"/>
      <c r="S1725" s="213"/>
      <c r="T1725" s="213"/>
      <c r="U1725" s="213"/>
      <c r="V1725" s="213"/>
      <c r="W1725" s="213"/>
      <c r="X1725" s="213"/>
      <c r="Y1725" s="213"/>
      <c r="Z1725" s="213"/>
      <c r="AA1725" s="213"/>
      <c r="AB1725" s="213"/>
      <c r="AC1725" s="213"/>
      <c r="AD1725" s="213"/>
      <c r="AE1725" s="213"/>
      <c r="AF1725" s="213"/>
      <c r="AG1725" s="213"/>
      <c r="AH1725" s="213"/>
      <c r="AI1725" s="213"/>
      <c r="AJ1725" s="213"/>
      <c r="AK1725" s="213"/>
      <c r="AL1725" s="213"/>
      <c r="AM1725" s="213"/>
      <c r="AN1725" s="213"/>
      <c r="AO1725" s="213"/>
      <c r="AP1725" s="213"/>
      <c r="AQ1725" s="213"/>
      <c r="AR1725" s="213"/>
      <c r="AS1725" s="213"/>
      <c r="AT1725" s="213"/>
      <c r="AU1725" s="213"/>
      <c r="AV1725" s="213"/>
      <c r="AW1725" s="213"/>
      <c r="AX1725" s="213"/>
      <c r="AY1725" s="213"/>
      <c r="AZ1725" s="213"/>
      <c r="BA1725" s="213"/>
      <c r="BB1725" s="213"/>
      <c r="BC1725" s="213"/>
      <c r="BD1725" s="213"/>
    </row>
    <row r="1726">
      <c r="A1726" s="213">
        <f>IFERROR(__xludf.DUMMYFUNCTION("""COMPUTED_VALUE"""),438.0)</f>
        <v>438</v>
      </c>
      <c r="B1726" s="213" t="str">
        <f>IFERROR(__xludf.DUMMYFUNCTION("""COMPUTED_VALUE"""),"2026 SIMON BOLIVAR")</f>
        <v>2026 SIMON BOLIVAR</v>
      </c>
      <c r="C1726" s="213" t="str">
        <f>IFERROR(__xludf.DUMMYFUNCTION("""COMPUTED_VALUE"""),"TALLER SFT DE INDUSTRIA ALIMENTARIA")</f>
        <v>TALLER SFT DE INDUSTRIA ALIMENTARIA</v>
      </c>
      <c r="D1726" s="213" t="str">
        <f>IFERROR(__xludf.DUMMYFUNCTION("""COMPUTED_VALUE"""),"MOBILIARIO")</f>
        <v>MOBILIARIO</v>
      </c>
      <c r="E1726" s="213" t="str">
        <f>IFERROR(__xludf.DUMMYFUNCTION("""COMPUTED_VALUE"""),"MOB-138")</f>
        <v>MOB-138</v>
      </c>
      <c r="F1726" s="213" t="str">
        <f>IFERROR(__xludf.DUMMYFUNCTION("""COMPUTED_VALUE"""),"MOB-138")</f>
        <v>MOB-138</v>
      </c>
      <c r="G1726" s="213"/>
      <c r="H1726" s="213" t="str">
        <f>IFERROR(__xludf.DUMMYFUNCTION("""COMPUTED_VALUE"""),"MESA DE TRABAJO TIPO ISLA ACCESIBLE PARA DISCAPACITADO (1100 X 600 X 900 MM.)")</f>
        <v>MESA DE TRABAJO TIPO ISLA ACCESIBLE PARA DISCAPACITADO (1100 X 600 X 900 MM.)</v>
      </c>
      <c r="I1726"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Regatones antideslizantes.
· Soldado con proceso tig - acabado pulido sanitario.</v>
      </c>
      <c r="J1726" s="213">
        <f>IFERROR(__xludf.DUMMYFUNCTION("""COMPUTED_VALUE"""),3.0)</f>
        <v>3</v>
      </c>
      <c r="K1726" s="213" t="str">
        <f>IFERROR(__xludf.DUMMYFUNCTION("""COMPUTED_VALUE"""),"90 DÍAS CALENDARIO")</f>
        <v>90 DÍAS CALENDARIO</v>
      </c>
      <c r="L1726" s="213" t="str">
        <f>IFERROR(__xludf.DUMMYFUNCTION("""COMPUTED_VALUE"""),"")</f>
        <v/>
      </c>
      <c r="M1726" s="213">
        <f>IFERROR(__xludf.DUMMYFUNCTION("""COMPUTED_VALUE"""),1.0)</f>
        <v>1</v>
      </c>
      <c r="N1726" s="213">
        <f>IFERROR(__xludf.DUMMYFUNCTION("""COMPUTED_VALUE"""),1.0)</f>
        <v>1</v>
      </c>
      <c r="O1726" s="213">
        <f>IFERROR(__xludf.DUMMYFUNCTION("""COMPUTED_VALUE"""),1.0)</f>
        <v>1</v>
      </c>
      <c r="P1726" s="213"/>
      <c r="Q1726" s="213"/>
      <c r="R1726" s="213"/>
      <c r="S1726" s="213"/>
      <c r="T1726" s="213"/>
      <c r="U1726" s="213"/>
      <c r="V1726" s="213"/>
      <c r="W1726" s="213"/>
      <c r="X1726" s="213"/>
      <c r="Y1726" s="213"/>
      <c r="Z1726" s="213"/>
      <c r="AA1726" s="213"/>
      <c r="AB1726" s="213"/>
      <c r="AC1726" s="213"/>
      <c r="AD1726" s="213"/>
      <c r="AE1726" s="213"/>
      <c r="AF1726" s="213"/>
      <c r="AG1726" s="213"/>
      <c r="AH1726" s="213"/>
      <c r="AI1726" s="213"/>
      <c r="AJ1726" s="213"/>
      <c r="AK1726" s="213"/>
      <c r="AL1726" s="213"/>
      <c r="AM1726" s="213"/>
      <c r="AN1726" s="213"/>
      <c r="AO1726" s="213"/>
      <c r="AP1726" s="213"/>
      <c r="AQ1726" s="213"/>
      <c r="AR1726" s="213"/>
      <c r="AS1726" s="213"/>
      <c r="AT1726" s="213"/>
      <c r="AU1726" s="213"/>
      <c r="AV1726" s="213"/>
      <c r="AW1726" s="213"/>
      <c r="AX1726" s="213"/>
      <c r="AY1726" s="213"/>
      <c r="AZ1726" s="213"/>
      <c r="BA1726" s="213"/>
      <c r="BB1726" s="213"/>
      <c r="BC1726" s="213"/>
      <c r="BD1726" s="213"/>
    </row>
    <row r="1727">
      <c r="A1727" s="213">
        <f>IFERROR(__xludf.DUMMYFUNCTION("""COMPUTED_VALUE"""),1061.0)</f>
        <v>1061</v>
      </c>
      <c r="B1727" s="213" t="str">
        <f>IFERROR(__xludf.DUMMYFUNCTION("""COMPUTED_VALUE"""),"FRANCISCO IRAZOLA")</f>
        <v>FRANCISCO IRAZOLA</v>
      </c>
      <c r="C1727" s="213" t="str">
        <f>IFERROR(__xludf.DUMMYFUNCTION("""COMPUTED_VALUE"""),"TALLER SFT DE INDUSTRIA ALIMENTARIA")</f>
        <v>TALLER SFT DE INDUSTRIA ALIMENTARIA</v>
      </c>
      <c r="D1727" s="213" t="str">
        <f>IFERROR(__xludf.DUMMYFUNCTION("""COMPUTED_VALUE"""),"MOBILIARIO")</f>
        <v>MOBILIARIO</v>
      </c>
      <c r="E1727" s="213" t="str">
        <f>IFERROR(__xludf.DUMMYFUNCTION("""COMPUTED_VALUE"""),"MOB-138")</f>
        <v>MOB-138</v>
      </c>
      <c r="F1727" s="213" t="str">
        <f>IFERROR(__xludf.DUMMYFUNCTION("""COMPUTED_VALUE"""),"MOB-138")</f>
        <v>MOB-138</v>
      </c>
      <c r="G1727" s="213"/>
      <c r="H1727" s="213" t="str">
        <f>IFERROR(__xludf.DUMMYFUNCTION("""COMPUTED_VALUE"""),"MESA DE TRABAJO TIPO ISLA ACCESIBLE PARA DISCAPACITADO (1100 X 600 X 900 MM.)")</f>
        <v>MESA DE TRABAJO TIPO ISLA ACCESIBLE PARA DISCAPACITADO (1100 X 600 X 900 MM.)</v>
      </c>
      <c r="I1727"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Regatones antideslizantes.
· Soldado con proceso tig - acabado pulido sanitario.</v>
      </c>
      <c r="J1727" s="213">
        <f>IFERROR(__xludf.DUMMYFUNCTION("""COMPUTED_VALUE"""),3.0)</f>
        <v>3</v>
      </c>
      <c r="K1727" s="213" t="str">
        <f>IFERROR(__xludf.DUMMYFUNCTION("""COMPUTED_VALUE"""),"90 DÍAS CALENDARIO")</f>
        <v>90 DÍAS CALENDARIO</v>
      </c>
      <c r="L1727" s="213" t="str">
        <f>IFERROR(__xludf.DUMMYFUNCTION("""COMPUTED_VALUE"""),"")</f>
        <v/>
      </c>
      <c r="M1727" s="213">
        <f>IFERROR(__xludf.DUMMYFUNCTION("""COMPUTED_VALUE"""),1.0)</f>
        <v>1</v>
      </c>
      <c r="N1727" s="213">
        <f>IFERROR(__xludf.DUMMYFUNCTION("""COMPUTED_VALUE"""),1.0)</f>
        <v>1</v>
      </c>
      <c r="O1727" s="213">
        <f>IFERROR(__xludf.DUMMYFUNCTION("""COMPUTED_VALUE"""),1.0)</f>
        <v>1</v>
      </c>
      <c r="P1727" s="213"/>
      <c r="Q1727" s="213"/>
      <c r="R1727" s="213"/>
      <c r="S1727" s="213"/>
      <c r="T1727" s="213"/>
      <c r="U1727" s="213"/>
      <c r="V1727" s="213"/>
      <c r="W1727" s="213"/>
      <c r="X1727" s="213"/>
      <c r="Y1727" s="213"/>
      <c r="Z1727" s="213"/>
      <c r="AA1727" s="213"/>
      <c r="AB1727" s="213"/>
      <c r="AC1727" s="213"/>
      <c r="AD1727" s="213"/>
      <c r="AE1727" s="213"/>
      <c r="AF1727" s="213"/>
      <c r="AG1727" s="213"/>
      <c r="AH1727" s="213"/>
      <c r="AI1727" s="213"/>
      <c r="AJ1727" s="213"/>
      <c r="AK1727" s="213"/>
      <c r="AL1727" s="213"/>
      <c r="AM1727" s="213"/>
      <c r="AN1727" s="213"/>
      <c r="AO1727" s="213"/>
      <c r="AP1727" s="213"/>
      <c r="AQ1727" s="213"/>
      <c r="AR1727" s="213"/>
      <c r="AS1727" s="213"/>
      <c r="AT1727" s="213"/>
      <c r="AU1727" s="213"/>
      <c r="AV1727" s="213"/>
      <c r="AW1727" s="213"/>
      <c r="AX1727" s="213"/>
      <c r="AY1727" s="213"/>
      <c r="AZ1727" s="213"/>
      <c r="BA1727" s="213"/>
      <c r="BB1727" s="213"/>
      <c r="BC1727" s="213"/>
      <c r="BD1727" s="213"/>
    </row>
    <row r="1728">
      <c r="A1728" s="213">
        <f>IFERROR(__xludf.DUMMYFUNCTION("""COMPUTED_VALUE"""),1068.0)</f>
        <v>1068</v>
      </c>
      <c r="B1728" s="213" t="str">
        <f>IFERROR(__xludf.DUMMYFUNCTION("""COMPUTED_VALUE"""),"FRANCISCO IRAZOLA")</f>
        <v>FRANCISCO IRAZOLA</v>
      </c>
      <c r="C1728" s="213" t="str">
        <f>IFERROR(__xludf.DUMMYFUNCTION("""COMPUTED_VALUE"""),"TALLER SFT DE INDUSTRIA ALIMENTARIA")</f>
        <v>TALLER SFT DE INDUSTRIA ALIMENTARIA</v>
      </c>
      <c r="D1728" s="213" t="str">
        <f>IFERROR(__xludf.DUMMYFUNCTION("""COMPUTED_VALUE"""),"MOBILIARIO")</f>
        <v>MOBILIARIO</v>
      </c>
      <c r="E1728" s="213" t="str">
        <f>IFERROR(__xludf.DUMMYFUNCTION("""COMPUTED_VALUE"""),"MOB-138")</f>
        <v>MOB-138</v>
      </c>
      <c r="F1728" s="213" t="str">
        <f>IFERROR(__xludf.DUMMYFUNCTION("""COMPUTED_VALUE"""),"MOB-138")</f>
        <v>MOB-138</v>
      </c>
      <c r="G1728" s="213"/>
      <c r="H1728" s="213" t="str">
        <f>IFERROR(__xludf.DUMMYFUNCTION("""COMPUTED_VALUE"""),"MESA DE TRABAJO TIPO ISLA ACCESIBLE PARA DISCAPACITADO (1100 X 600 X 900 MM.)")</f>
        <v>MESA DE TRABAJO TIPO ISLA ACCESIBLE PARA DISCAPACITADO (1100 X 600 X 900 MM.)</v>
      </c>
      <c r="I1728"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Regatones antideslizantes.
· Soldado con proceso tig - acabado pulido sanitario.</v>
      </c>
      <c r="J1728" s="213">
        <f>IFERROR(__xludf.DUMMYFUNCTION("""COMPUTED_VALUE"""),3.0)</f>
        <v>3</v>
      </c>
      <c r="K1728" s="213" t="str">
        <f>IFERROR(__xludf.DUMMYFUNCTION("""COMPUTED_VALUE"""),"90 DÍAS CALENDARIO")</f>
        <v>90 DÍAS CALENDARIO</v>
      </c>
      <c r="L1728" s="213" t="str">
        <f>IFERROR(__xludf.DUMMYFUNCTION("""COMPUTED_VALUE"""),"")</f>
        <v/>
      </c>
      <c r="M1728" s="213">
        <f>IFERROR(__xludf.DUMMYFUNCTION("""COMPUTED_VALUE"""),1.0)</f>
        <v>1</v>
      </c>
      <c r="N1728" s="213">
        <f>IFERROR(__xludf.DUMMYFUNCTION("""COMPUTED_VALUE"""),1.0)</f>
        <v>1</v>
      </c>
      <c r="O1728" s="213">
        <f>IFERROR(__xludf.DUMMYFUNCTION("""COMPUTED_VALUE"""),1.0)</f>
        <v>1</v>
      </c>
      <c r="P1728" s="213"/>
      <c r="Q1728" s="213"/>
      <c r="R1728" s="213"/>
      <c r="S1728" s="213"/>
      <c r="T1728" s="213"/>
      <c r="U1728" s="213"/>
      <c r="V1728" s="213"/>
      <c r="W1728" s="213"/>
      <c r="X1728" s="213"/>
      <c r="Y1728" s="213"/>
      <c r="Z1728" s="213"/>
      <c r="AA1728" s="213"/>
      <c r="AB1728" s="213"/>
      <c r="AC1728" s="213"/>
      <c r="AD1728" s="213"/>
      <c r="AE1728" s="213"/>
      <c r="AF1728" s="213"/>
      <c r="AG1728" s="213"/>
      <c r="AH1728" s="213"/>
      <c r="AI1728" s="213"/>
      <c r="AJ1728" s="213"/>
      <c r="AK1728" s="213"/>
      <c r="AL1728" s="213"/>
      <c r="AM1728" s="213"/>
      <c r="AN1728" s="213"/>
      <c r="AO1728" s="213"/>
      <c r="AP1728" s="213"/>
      <c r="AQ1728" s="213"/>
      <c r="AR1728" s="213"/>
      <c r="AS1728" s="213"/>
      <c r="AT1728" s="213"/>
      <c r="AU1728" s="213"/>
      <c r="AV1728" s="213"/>
      <c r="AW1728" s="213"/>
      <c r="AX1728" s="213"/>
      <c r="AY1728" s="213"/>
      <c r="AZ1728" s="213"/>
      <c r="BA1728" s="213"/>
      <c r="BB1728" s="213"/>
      <c r="BC1728" s="213"/>
      <c r="BD1728" s="213"/>
    </row>
    <row r="1729">
      <c r="A1729" s="213">
        <f>IFERROR(__xludf.DUMMYFUNCTION("""COMPUTED_VALUE"""),1344.0)</f>
        <v>1344</v>
      </c>
      <c r="B1729" s="213" t="str">
        <f>IFERROR(__xludf.DUMMYFUNCTION("""COMPUTED_VALUE"""),"GUILLERMO E. BILLINGHURST ")</f>
        <v>GUILLERMO E. BILLINGHURST </v>
      </c>
      <c r="C1729" s="213" t="str">
        <f>IFERROR(__xludf.DUMMYFUNCTION("""COMPUTED_VALUE"""),"TALLER SFT DE INDUSTRIA ALIMENTARIA")</f>
        <v>TALLER SFT DE INDUSTRIA ALIMENTARIA</v>
      </c>
      <c r="D1729" s="213" t="str">
        <f>IFERROR(__xludf.DUMMYFUNCTION("""COMPUTED_VALUE"""),"MOBILIARIO")</f>
        <v>MOBILIARIO</v>
      </c>
      <c r="E1729" s="213" t="str">
        <f>IFERROR(__xludf.DUMMYFUNCTION("""COMPUTED_VALUE"""),"MOB-138")</f>
        <v>MOB-138</v>
      </c>
      <c r="F1729" s="213" t="str">
        <f>IFERROR(__xludf.DUMMYFUNCTION("""COMPUTED_VALUE"""),"MOB-138")</f>
        <v>MOB-138</v>
      </c>
      <c r="G1729" s="213"/>
      <c r="H1729" s="213" t="str">
        <f>IFERROR(__xludf.DUMMYFUNCTION("""COMPUTED_VALUE"""),"MESA DE TRABAJO TIPO ISLA ACCESIBLE PARA DISCAPACITADO (1100 X 600 X 900 MM.)")</f>
        <v>MESA DE TRABAJO TIPO ISLA ACCESIBLE PARA DISCAPACITADO (1100 X 600 X 900 MM.)</v>
      </c>
      <c r="I1729"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Regatones antideslizantes.
· Soldado con proceso tig - acabado pulido sanitario.</v>
      </c>
      <c r="J1729" s="213">
        <f>IFERROR(__xludf.DUMMYFUNCTION("""COMPUTED_VALUE"""),3.0)</f>
        <v>3</v>
      </c>
      <c r="K1729" s="213" t="str">
        <f>IFERROR(__xludf.DUMMYFUNCTION("""COMPUTED_VALUE"""),"90 DÍAS CALENDARIO")</f>
        <v>90 DÍAS CALENDARIO</v>
      </c>
      <c r="L1729" s="213" t="str">
        <f>IFERROR(__xludf.DUMMYFUNCTION("""COMPUTED_VALUE"""),"")</f>
        <v/>
      </c>
      <c r="M1729" s="213">
        <f>IFERROR(__xludf.DUMMYFUNCTION("""COMPUTED_VALUE"""),1.0)</f>
        <v>1</v>
      </c>
      <c r="N1729" s="213">
        <f>IFERROR(__xludf.DUMMYFUNCTION("""COMPUTED_VALUE"""),1.0)</f>
        <v>1</v>
      </c>
      <c r="O1729" s="213">
        <f>IFERROR(__xludf.DUMMYFUNCTION("""COMPUTED_VALUE"""),1.0)</f>
        <v>1</v>
      </c>
      <c r="P1729" s="213"/>
      <c r="Q1729" s="213"/>
      <c r="R1729" s="213"/>
      <c r="S1729" s="213"/>
      <c r="T1729" s="213"/>
      <c r="U1729" s="213"/>
      <c r="V1729" s="213"/>
      <c r="W1729" s="213"/>
      <c r="X1729" s="213"/>
      <c r="Y1729" s="213"/>
      <c r="Z1729" s="213"/>
      <c r="AA1729" s="213"/>
      <c r="AB1729" s="213"/>
      <c r="AC1729" s="213"/>
      <c r="AD1729" s="213"/>
      <c r="AE1729" s="213"/>
      <c r="AF1729" s="213"/>
      <c r="AG1729" s="213"/>
      <c r="AH1729" s="213"/>
      <c r="AI1729" s="213"/>
      <c r="AJ1729" s="213"/>
      <c r="AK1729" s="213"/>
      <c r="AL1729" s="213"/>
      <c r="AM1729" s="213"/>
      <c r="AN1729" s="213"/>
      <c r="AO1729" s="213"/>
      <c r="AP1729" s="213"/>
      <c r="AQ1729" s="213"/>
      <c r="AR1729" s="213"/>
      <c r="AS1729" s="213"/>
      <c r="AT1729" s="213"/>
      <c r="AU1729" s="213"/>
      <c r="AV1729" s="213"/>
      <c r="AW1729" s="213"/>
      <c r="AX1729" s="213"/>
      <c r="AY1729" s="213"/>
      <c r="AZ1729" s="213"/>
      <c r="BA1729" s="213"/>
      <c r="BB1729" s="213"/>
      <c r="BC1729" s="213"/>
      <c r="BD1729" s="213"/>
    </row>
    <row r="1730">
      <c r="A1730" s="213">
        <f>IFERROR(__xludf.DUMMYFUNCTION("""COMPUTED_VALUE"""),2020.0)</f>
        <v>2020</v>
      </c>
      <c r="B1730" s="213" t="str">
        <f>IFERROR(__xludf.DUMMYFUNCTION("""COMPUTED_VALUE"""),"JOSE GRANDA")</f>
        <v>JOSE GRANDA</v>
      </c>
      <c r="C1730" s="213" t="str">
        <f>IFERROR(__xludf.DUMMYFUNCTION("""COMPUTED_VALUE"""),"TALLER SFT DE INDUSTRIA ALIMENTARIA")</f>
        <v>TALLER SFT DE INDUSTRIA ALIMENTARIA</v>
      </c>
      <c r="D1730" s="213" t="str">
        <f>IFERROR(__xludf.DUMMYFUNCTION("""COMPUTED_VALUE"""),"MOBILIARIO")</f>
        <v>MOBILIARIO</v>
      </c>
      <c r="E1730" s="213" t="str">
        <f>IFERROR(__xludf.DUMMYFUNCTION("""COMPUTED_VALUE"""),"MOB-138")</f>
        <v>MOB-138</v>
      </c>
      <c r="F1730" s="213" t="str">
        <f>IFERROR(__xludf.DUMMYFUNCTION("""COMPUTED_VALUE"""),"MOB-138")</f>
        <v>MOB-138</v>
      </c>
      <c r="G1730" s="213"/>
      <c r="H1730" s="213" t="str">
        <f>IFERROR(__xludf.DUMMYFUNCTION("""COMPUTED_VALUE"""),"MESA DE TRABAJO TIPO ISLA ACCESIBLE PARA DISCAPACITADO (1100 X 600 X 900 MM.)")</f>
        <v>MESA DE TRABAJO TIPO ISLA ACCESIBLE PARA DISCAPACITADO (1100 X 600 X 900 MM.)</v>
      </c>
      <c r="I1730"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Regatones antideslizantes.
· Soldado con proceso tig - acabado pulido sanitario.</v>
      </c>
      <c r="J1730" s="213">
        <f>IFERROR(__xludf.DUMMYFUNCTION("""COMPUTED_VALUE"""),3.0)</f>
        <v>3</v>
      </c>
      <c r="K1730" s="213" t="str">
        <f>IFERROR(__xludf.DUMMYFUNCTION("""COMPUTED_VALUE"""),"90 DÍAS CALENDARIO")</f>
        <v>90 DÍAS CALENDARIO</v>
      </c>
      <c r="L1730" s="213" t="str">
        <f>IFERROR(__xludf.DUMMYFUNCTION("""COMPUTED_VALUE"""),"")</f>
        <v/>
      </c>
      <c r="M1730" s="213">
        <f>IFERROR(__xludf.DUMMYFUNCTION("""COMPUTED_VALUE"""),1.0)</f>
        <v>1</v>
      </c>
      <c r="N1730" s="213">
        <f>IFERROR(__xludf.DUMMYFUNCTION("""COMPUTED_VALUE"""),1.0)</f>
        <v>1</v>
      </c>
      <c r="O1730" s="213">
        <f>IFERROR(__xludf.DUMMYFUNCTION("""COMPUTED_VALUE"""),1.0)</f>
        <v>1</v>
      </c>
      <c r="P1730" s="213"/>
      <c r="Q1730" s="213"/>
      <c r="R1730" s="213"/>
      <c r="S1730" s="213"/>
      <c r="T1730" s="213"/>
      <c r="U1730" s="213"/>
      <c r="V1730" s="213"/>
      <c r="W1730" s="213"/>
      <c r="X1730" s="213"/>
      <c r="Y1730" s="213"/>
      <c r="Z1730" s="213"/>
      <c r="AA1730" s="213"/>
      <c r="AB1730" s="213"/>
      <c r="AC1730" s="213"/>
      <c r="AD1730" s="213"/>
      <c r="AE1730" s="213"/>
      <c r="AF1730" s="213"/>
      <c r="AG1730" s="213"/>
      <c r="AH1730" s="213"/>
      <c r="AI1730" s="213"/>
      <c r="AJ1730" s="213"/>
      <c r="AK1730" s="213"/>
      <c r="AL1730" s="213"/>
      <c r="AM1730" s="213"/>
      <c r="AN1730" s="213"/>
      <c r="AO1730" s="213"/>
      <c r="AP1730" s="213"/>
      <c r="AQ1730" s="213"/>
      <c r="AR1730" s="213"/>
      <c r="AS1730" s="213"/>
      <c r="AT1730" s="213"/>
      <c r="AU1730" s="213"/>
      <c r="AV1730" s="213"/>
      <c r="AW1730" s="213"/>
      <c r="AX1730" s="213"/>
      <c r="AY1730" s="213"/>
      <c r="AZ1730" s="213"/>
      <c r="BA1730" s="213"/>
      <c r="BB1730" s="213"/>
      <c r="BC1730" s="213"/>
      <c r="BD1730" s="213"/>
    </row>
    <row r="1731">
      <c r="A1731" s="213">
        <f>IFERROR(__xludf.DUMMYFUNCTION("""COMPUTED_VALUE"""),2028.0)</f>
        <v>2028</v>
      </c>
      <c r="B1731" s="213" t="str">
        <f>IFERROR(__xludf.DUMMYFUNCTION("""COMPUTED_VALUE"""),"JOSE GRANDA")</f>
        <v>JOSE GRANDA</v>
      </c>
      <c r="C1731" s="213" t="str">
        <f>IFERROR(__xludf.DUMMYFUNCTION("""COMPUTED_VALUE"""),"TALLER SFT DE INDUSTRIA ALIMENTARIA")</f>
        <v>TALLER SFT DE INDUSTRIA ALIMENTARIA</v>
      </c>
      <c r="D1731" s="213" t="str">
        <f>IFERROR(__xludf.DUMMYFUNCTION("""COMPUTED_VALUE"""),"MOBILIARIO")</f>
        <v>MOBILIARIO</v>
      </c>
      <c r="E1731" s="213" t="str">
        <f>IFERROR(__xludf.DUMMYFUNCTION("""COMPUTED_VALUE"""),"MOB-138")</f>
        <v>MOB-138</v>
      </c>
      <c r="F1731" s="213" t="str">
        <f>IFERROR(__xludf.DUMMYFUNCTION("""COMPUTED_VALUE"""),"MOB-138")</f>
        <v>MOB-138</v>
      </c>
      <c r="G1731" s="213"/>
      <c r="H1731" s="213" t="str">
        <f>IFERROR(__xludf.DUMMYFUNCTION("""COMPUTED_VALUE"""),"MESA DE TRABAJO TIPO ISLA ACCESIBLE PARA DISCAPACITADO (1100 X 600 X 900 MM.)")</f>
        <v>MESA DE TRABAJO TIPO ISLA ACCESIBLE PARA DISCAPACITADO (1100 X 600 X 900 MM.)</v>
      </c>
      <c r="I1731" s="213" t="str">
        <f>IFERROR(__xludf.DUMMYFUNCTION("""COMPUTED_VALUE"""),"· Material acero inoxidable c-304
· Medidas A 60 cm X L  110 cm X 90 cm H
· Mesada con dobles de refuerzo de 40 mm como mínimo
· Patas de tubo cuadrado 1 1/2""x1 1/2” (sección mínima), o de tubo de Ø 1 1/2"" (sección mínima)
. Espesor de tubo de patas 1.5"&amp;"mm (mínimo)
· Regatones antideslizantes.
· Soldado con proceso tig - acabado pulido sanitario.")</f>
        <v>· Material acero inoxidable c-304
· Medidas A 60 cm X L  110 cm X 90 cm H
· Mesada con dobles de refuerzo de 40 mm como mínimo
· Patas de tubo cuadrado 1 1/2"x1 1/2” (sección mínima), o de tubo de Ø 1 1/2" (sección mínima)
. Espesor de tubo de patas 1.5mm (mínimo)
· Regatones antideslizantes.
· Soldado con proceso tig - acabado pulido sanitario.</v>
      </c>
      <c r="J1731" s="213">
        <f>IFERROR(__xludf.DUMMYFUNCTION("""COMPUTED_VALUE"""),3.0)</f>
        <v>3</v>
      </c>
      <c r="K1731" s="213" t="str">
        <f>IFERROR(__xludf.DUMMYFUNCTION("""COMPUTED_VALUE"""),"90 DÍAS CALENDARIO")</f>
        <v>90 DÍAS CALENDARIO</v>
      </c>
      <c r="L1731" s="213" t="str">
        <f>IFERROR(__xludf.DUMMYFUNCTION("""COMPUTED_VALUE"""),"")</f>
        <v/>
      </c>
      <c r="M1731" s="213">
        <f>IFERROR(__xludf.DUMMYFUNCTION("""COMPUTED_VALUE"""),1.0)</f>
        <v>1</v>
      </c>
      <c r="N1731" s="213">
        <f>IFERROR(__xludf.DUMMYFUNCTION("""COMPUTED_VALUE"""),1.0)</f>
        <v>1</v>
      </c>
      <c r="O1731" s="213">
        <f>IFERROR(__xludf.DUMMYFUNCTION("""COMPUTED_VALUE"""),1.0)</f>
        <v>1</v>
      </c>
      <c r="P1731" s="213"/>
      <c r="Q1731" s="213"/>
      <c r="R1731" s="213"/>
      <c r="S1731" s="213"/>
      <c r="T1731" s="213"/>
      <c r="U1731" s="213"/>
      <c r="V1731" s="213"/>
      <c r="W1731" s="213"/>
      <c r="X1731" s="213"/>
      <c r="Y1731" s="213"/>
      <c r="Z1731" s="213"/>
      <c r="AA1731" s="213"/>
      <c r="AB1731" s="213"/>
      <c r="AC1731" s="213"/>
      <c r="AD1731" s="213"/>
      <c r="AE1731" s="213"/>
      <c r="AF1731" s="213"/>
      <c r="AG1731" s="213"/>
      <c r="AH1731" s="213"/>
      <c r="AI1731" s="213"/>
      <c r="AJ1731" s="213"/>
      <c r="AK1731" s="213"/>
      <c r="AL1731" s="213"/>
      <c r="AM1731" s="213"/>
      <c r="AN1731" s="213"/>
      <c r="AO1731" s="213"/>
      <c r="AP1731" s="213"/>
      <c r="AQ1731" s="213"/>
      <c r="AR1731" s="213"/>
      <c r="AS1731" s="213"/>
      <c r="AT1731" s="213"/>
      <c r="AU1731" s="213"/>
      <c r="AV1731" s="213"/>
      <c r="AW1731" s="213"/>
      <c r="AX1731" s="213"/>
      <c r="AY1731" s="213"/>
      <c r="AZ1731" s="213"/>
      <c r="BA1731" s="213"/>
      <c r="BB1731" s="213"/>
      <c r="BC1731" s="213"/>
      <c r="BD1731" s="213"/>
    </row>
    <row r="1732">
      <c r="A1732" s="213">
        <f>IFERROR(__xludf.DUMMYFUNCTION("""COMPUTED_VALUE"""),450.0)</f>
        <v>450</v>
      </c>
      <c r="B1732" s="213" t="str">
        <f>IFERROR(__xludf.DUMMYFUNCTION("""COMPUTED_VALUE"""),"2026 SIMON BOLIVAR")</f>
        <v>2026 SIMON BOLIVAR</v>
      </c>
      <c r="C1732" s="213" t="str">
        <f>IFERROR(__xludf.DUMMYFUNCTION("""COMPUTED_VALUE"""),"TALLER SFT DE INDUSTRIA ALIMENTARIA")</f>
        <v>TALLER SFT DE INDUSTRIA ALIMENTARIA</v>
      </c>
      <c r="D1732" s="213" t="str">
        <f>IFERROR(__xludf.DUMMYFUNCTION("""COMPUTED_VALUE"""),"MOBILIARIO")</f>
        <v>MOBILIARIO</v>
      </c>
      <c r="E1732" s="213" t="str">
        <f>IFERROR(__xludf.DUMMYFUNCTION("""COMPUTED_VALUE"""),"MOB-139")</f>
        <v>MOB-139</v>
      </c>
      <c r="F1732" s="213" t="str">
        <f>IFERROR(__xludf.DUMMYFUNCTION("""COMPUTED_VALUE"""),"MOB-139")</f>
        <v>MOB-139</v>
      </c>
      <c r="G1732" s="213"/>
      <c r="H1732" s="213" t="str">
        <f>IFERROR(__xludf.DUMMYFUNCTION("""COMPUTED_VALUE"""),"MESA DE TRABAJO TIPO ISLA ACCESIBLE PARA DISCAPACITADO (2200 X 1000 X 900 MM.)")</f>
        <v>MESA DE TRABAJO TIPO ISLA ACCESIBLE PARA DISCAPACITADO (2200 X 1000 X 900 MM.)</v>
      </c>
      <c r="I1732" s="213"/>
      <c r="J1732" s="213">
        <f>IFERROR(__xludf.DUMMYFUNCTION("""COMPUTED_VALUE"""),3.0)</f>
        <v>3</v>
      </c>
      <c r="K1732" s="213" t="str">
        <f>IFERROR(__xludf.DUMMYFUNCTION("""COMPUTED_VALUE"""),"90 DÍAS CALENDARIO")</f>
        <v>90 DÍAS CALENDARIO</v>
      </c>
      <c r="L1732" s="213" t="str">
        <f>IFERROR(__xludf.DUMMYFUNCTION("""COMPUTED_VALUE"""),"")</f>
        <v/>
      </c>
      <c r="M1732" s="213">
        <f>IFERROR(__xludf.DUMMYFUNCTION("""COMPUTED_VALUE"""),1.0)</f>
        <v>1</v>
      </c>
      <c r="N1732" s="213">
        <f>IFERROR(__xludf.DUMMYFUNCTION("""COMPUTED_VALUE"""),1.0)</f>
        <v>1</v>
      </c>
      <c r="O1732" s="213">
        <f>IFERROR(__xludf.DUMMYFUNCTION("""COMPUTED_VALUE"""),1.0)</f>
        <v>1</v>
      </c>
      <c r="P1732" s="213"/>
      <c r="Q1732" s="213"/>
      <c r="R1732" s="213"/>
      <c r="S1732" s="213"/>
      <c r="T1732" s="213"/>
      <c r="U1732" s="213"/>
      <c r="V1732" s="213"/>
      <c r="W1732" s="213"/>
      <c r="X1732" s="213"/>
      <c r="Y1732" s="213"/>
      <c r="Z1732" s="213"/>
      <c r="AA1732" s="213"/>
      <c r="AB1732" s="213"/>
      <c r="AC1732" s="213"/>
      <c r="AD1732" s="213"/>
      <c r="AE1732" s="213"/>
      <c r="AF1732" s="213"/>
      <c r="AG1732" s="213"/>
      <c r="AH1732" s="213"/>
      <c r="AI1732" s="213"/>
      <c r="AJ1732" s="213"/>
      <c r="AK1732" s="213"/>
      <c r="AL1732" s="213"/>
      <c r="AM1732" s="213"/>
      <c r="AN1732" s="213"/>
      <c r="AO1732" s="213"/>
      <c r="AP1732" s="213"/>
      <c r="AQ1732" s="213"/>
      <c r="AR1732" s="213"/>
      <c r="AS1732" s="213"/>
      <c r="AT1732" s="213"/>
      <c r="AU1732" s="213"/>
      <c r="AV1732" s="213"/>
      <c r="AW1732" s="213"/>
      <c r="AX1732" s="213"/>
      <c r="AY1732" s="213"/>
      <c r="AZ1732" s="213"/>
      <c r="BA1732" s="213"/>
      <c r="BB1732" s="213"/>
      <c r="BC1732" s="213"/>
      <c r="BD1732" s="213"/>
    </row>
    <row r="1733">
      <c r="A1733" s="213">
        <f>IFERROR(__xludf.DUMMYFUNCTION("""COMPUTED_VALUE"""),1077.0)</f>
        <v>1077</v>
      </c>
      <c r="B1733" s="213" t="str">
        <f>IFERROR(__xludf.DUMMYFUNCTION("""COMPUTED_VALUE"""),"FRANCISCO IRAZOLA")</f>
        <v>FRANCISCO IRAZOLA</v>
      </c>
      <c r="C1733" s="213" t="str">
        <f>IFERROR(__xludf.DUMMYFUNCTION("""COMPUTED_VALUE"""),"TALLER SFT DE INDUSTRIA ALIMENTARIA")</f>
        <v>TALLER SFT DE INDUSTRIA ALIMENTARIA</v>
      </c>
      <c r="D1733" s="213" t="str">
        <f>IFERROR(__xludf.DUMMYFUNCTION("""COMPUTED_VALUE"""),"MOBILIARIO")</f>
        <v>MOBILIARIO</v>
      </c>
      <c r="E1733" s="213" t="str">
        <f>IFERROR(__xludf.DUMMYFUNCTION("""COMPUTED_VALUE"""),"MOB-139")</f>
        <v>MOB-139</v>
      </c>
      <c r="F1733" s="213" t="str">
        <f>IFERROR(__xludf.DUMMYFUNCTION("""COMPUTED_VALUE"""),"MOB-139")</f>
        <v>MOB-139</v>
      </c>
      <c r="G1733" s="213"/>
      <c r="H1733" s="213" t="str">
        <f>IFERROR(__xludf.DUMMYFUNCTION("""COMPUTED_VALUE"""),"MESA DE TRABAJO TIPO ISLA ACCESIBLE PARA DISCAPACITADO (2200 X 1000 X 900 MM.)")</f>
        <v>MESA DE TRABAJO TIPO ISLA ACCESIBLE PARA DISCAPACITADO (2200 X 1000 X 900 MM.)</v>
      </c>
      <c r="I1733" s="213"/>
      <c r="J1733" s="213">
        <f>IFERROR(__xludf.DUMMYFUNCTION("""COMPUTED_VALUE"""),3.0)</f>
        <v>3</v>
      </c>
      <c r="K1733" s="213" t="str">
        <f>IFERROR(__xludf.DUMMYFUNCTION("""COMPUTED_VALUE"""),"90 DÍAS CALENDARIO")</f>
        <v>90 DÍAS CALENDARIO</v>
      </c>
      <c r="L1733" s="213" t="str">
        <f>IFERROR(__xludf.DUMMYFUNCTION("""COMPUTED_VALUE"""),"")</f>
        <v/>
      </c>
      <c r="M1733" s="213">
        <f>IFERROR(__xludf.DUMMYFUNCTION("""COMPUTED_VALUE"""),1.0)</f>
        <v>1</v>
      </c>
      <c r="N1733" s="213">
        <f>IFERROR(__xludf.DUMMYFUNCTION("""COMPUTED_VALUE"""),1.0)</f>
        <v>1</v>
      </c>
      <c r="O1733" s="213">
        <f>IFERROR(__xludf.DUMMYFUNCTION("""COMPUTED_VALUE"""),1.0)</f>
        <v>1</v>
      </c>
      <c r="P1733" s="213"/>
      <c r="Q1733" s="213"/>
      <c r="R1733" s="213"/>
      <c r="S1733" s="213"/>
      <c r="T1733" s="213"/>
      <c r="U1733" s="213"/>
      <c r="V1733" s="213"/>
      <c r="W1733" s="213"/>
      <c r="X1733" s="213"/>
      <c r="Y1733" s="213"/>
      <c r="Z1733" s="213"/>
      <c r="AA1733" s="213"/>
      <c r="AB1733" s="213"/>
      <c r="AC1733" s="213"/>
      <c r="AD1733" s="213"/>
      <c r="AE1733" s="213"/>
      <c r="AF1733" s="213"/>
      <c r="AG1733" s="213"/>
      <c r="AH1733" s="213"/>
      <c r="AI1733" s="213"/>
      <c r="AJ1733" s="213"/>
      <c r="AK1733" s="213"/>
      <c r="AL1733" s="213"/>
      <c r="AM1733" s="213"/>
      <c r="AN1733" s="213"/>
      <c r="AO1733" s="213"/>
      <c r="AP1733" s="213"/>
      <c r="AQ1733" s="213"/>
      <c r="AR1733" s="213"/>
      <c r="AS1733" s="213"/>
      <c r="AT1733" s="213"/>
      <c r="AU1733" s="213"/>
      <c r="AV1733" s="213"/>
      <c r="AW1733" s="213"/>
      <c r="AX1733" s="213"/>
      <c r="AY1733" s="213"/>
      <c r="AZ1733" s="213"/>
      <c r="BA1733" s="213"/>
      <c r="BB1733" s="213"/>
      <c r="BC1733" s="213"/>
      <c r="BD1733" s="213"/>
    </row>
    <row r="1734">
      <c r="A1734" s="213">
        <f>IFERROR(__xludf.DUMMYFUNCTION("""COMPUTED_VALUE"""),2037.0)</f>
        <v>2037</v>
      </c>
      <c r="B1734" s="213" t="str">
        <f>IFERROR(__xludf.DUMMYFUNCTION("""COMPUTED_VALUE"""),"JOSE GRANDA")</f>
        <v>JOSE GRANDA</v>
      </c>
      <c r="C1734" s="213" t="str">
        <f>IFERROR(__xludf.DUMMYFUNCTION("""COMPUTED_VALUE"""),"TALLER SFT DE INDUSTRIA ALIMENTARIA")</f>
        <v>TALLER SFT DE INDUSTRIA ALIMENTARIA</v>
      </c>
      <c r="D1734" s="213" t="str">
        <f>IFERROR(__xludf.DUMMYFUNCTION("""COMPUTED_VALUE"""),"MOBILIARIO")</f>
        <v>MOBILIARIO</v>
      </c>
      <c r="E1734" s="213" t="str">
        <f>IFERROR(__xludf.DUMMYFUNCTION("""COMPUTED_VALUE"""),"MOB-139")</f>
        <v>MOB-139</v>
      </c>
      <c r="F1734" s="213" t="str">
        <f>IFERROR(__xludf.DUMMYFUNCTION("""COMPUTED_VALUE"""),"MOB-139")</f>
        <v>MOB-139</v>
      </c>
      <c r="G1734" s="213"/>
      <c r="H1734" s="213" t="str">
        <f>IFERROR(__xludf.DUMMYFUNCTION("""COMPUTED_VALUE"""),"MESA DE TRABAJO TIPO ISLA ACCESIBLE PARA DISCAPACITADO (2200 X 1000 X 900 MM.)")</f>
        <v>MESA DE TRABAJO TIPO ISLA ACCESIBLE PARA DISCAPACITADO (2200 X 1000 X 900 MM.)</v>
      </c>
      <c r="I1734" s="213"/>
      <c r="J1734" s="213">
        <f>IFERROR(__xludf.DUMMYFUNCTION("""COMPUTED_VALUE"""),3.0)</f>
        <v>3</v>
      </c>
      <c r="K1734" s="213" t="str">
        <f>IFERROR(__xludf.DUMMYFUNCTION("""COMPUTED_VALUE"""),"90 DÍAS CALENDARIO")</f>
        <v>90 DÍAS CALENDARIO</v>
      </c>
      <c r="L1734" s="213" t="str">
        <f>IFERROR(__xludf.DUMMYFUNCTION("""COMPUTED_VALUE"""),"")</f>
        <v/>
      </c>
      <c r="M1734" s="213">
        <f>IFERROR(__xludf.DUMMYFUNCTION("""COMPUTED_VALUE"""),1.0)</f>
        <v>1</v>
      </c>
      <c r="N1734" s="213">
        <f>IFERROR(__xludf.DUMMYFUNCTION("""COMPUTED_VALUE"""),1.0)</f>
        <v>1</v>
      </c>
      <c r="O1734" s="213">
        <f>IFERROR(__xludf.DUMMYFUNCTION("""COMPUTED_VALUE"""),1.0)</f>
        <v>1</v>
      </c>
      <c r="P1734" s="213"/>
      <c r="Q1734" s="213"/>
      <c r="R1734" s="213"/>
      <c r="S1734" s="213"/>
      <c r="T1734" s="213"/>
      <c r="U1734" s="213"/>
      <c r="V1734" s="213"/>
      <c r="W1734" s="213"/>
      <c r="X1734" s="213"/>
      <c r="Y1734" s="213"/>
      <c r="Z1734" s="213"/>
      <c r="AA1734" s="213"/>
      <c r="AB1734" s="213"/>
      <c r="AC1734" s="213"/>
      <c r="AD1734" s="213"/>
      <c r="AE1734" s="213"/>
      <c r="AF1734" s="213"/>
      <c r="AG1734" s="213"/>
      <c r="AH1734" s="213"/>
      <c r="AI1734" s="213"/>
      <c r="AJ1734" s="213"/>
      <c r="AK1734" s="213"/>
      <c r="AL1734" s="213"/>
      <c r="AM1734" s="213"/>
      <c r="AN1734" s="213"/>
      <c r="AO1734" s="213"/>
      <c r="AP1734" s="213"/>
      <c r="AQ1734" s="213"/>
      <c r="AR1734" s="213"/>
      <c r="AS1734" s="213"/>
      <c r="AT1734" s="213"/>
      <c r="AU1734" s="213"/>
      <c r="AV1734" s="213"/>
      <c r="AW1734" s="213"/>
      <c r="AX1734" s="213"/>
      <c r="AY1734" s="213"/>
      <c r="AZ1734" s="213"/>
      <c r="BA1734" s="213"/>
      <c r="BB1734" s="213"/>
      <c r="BC1734" s="213"/>
      <c r="BD1734" s="213"/>
    </row>
    <row r="1735">
      <c r="A1735" s="213">
        <f>IFERROR(__xludf.DUMMYFUNCTION("""COMPUTED_VALUE"""),76.0)</f>
        <v>76</v>
      </c>
      <c r="B1735" s="213" t="str">
        <f>IFERROR(__xludf.DUMMYFUNCTION("""COMPUTED_VALUE"""),"16449 ELOY SOBERON  FLORES")</f>
        <v>16449 ELOY SOBERON  FLORES</v>
      </c>
      <c r="C1735" s="213" t="str">
        <f>IFERROR(__xludf.DUMMYFUNCTION("""COMPUTED_VALUE"""),"TALLER SFT DE COCINA Y REPOSTERÍA")</f>
        <v>TALLER SFT DE COCINA Y REPOSTERÍA</v>
      </c>
      <c r="D1735" s="213" t="str">
        <f>IFERROR(__xludf.DUMMYFUNCTION("""COMPUTED_VALUE"""),"MOBILIARIO")</f>
        <v>MOBILIARIO</v>
      </c>
      <c r="E1735" s="213" t="str">
        <f>IFERROR(__xludf.DUMMYFUNCTION("""COMPUTED_VALUE"""),"MOB-140")</f>
        <v>MOB-140</v>
      </c>
      <c r="F1735" s="213" t="str">
        <f>IFERROR(__xludf.DUMMYFUNCTION("""COMPUTED_VALUE"""),"MOB-140")</f>
        <v>MOB-140</v>
      </c>
      <c r="G1735" s="213"/>
      <c r="H1735" s="213" t="str">
        <f>IFERROR(__xludf.DUMMYFUNCTION("""COMPUTED_VALUE"""),"MESA DISCAPACITADO")</f>
        <v>MESA DISCAPACITADO</v>
      </c>
      <c r="I1735"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35" s="213">
        <f>IFERROR(__xludf.DUMMYFUNCTION("""COMPUTED_VALUE"""),3.0)</f>
        <v>3</v>
      </c>
      <c r="K1735" s="213" t="str">
        <f>IFERROR(__xludf.DUMMYFUNCTION("""COMPUTED_VALUE"""),"90 DÍAS CALENDARIO")</f>
        <v>90 DÍAS CALENDARIO</v>
      </c>
      <c r="L1735" s="213" t="str">
        <f>IFERROR(__xludf.DUMMYFUNCTION("""COMPUTED_VALUE"""),"")</f>
        <v/>
      </c>
      <c r="M1735" s="213">
        <f>IFERROR(__xludf.DUMMYFUNCTION("""COMPUTED_VALUE"""),1.0)</f>
        <v>1</v>
      </c>
      <c r="N1735" s="213">
        <f>IFERROR(__xludf.DUMMYFUNCTION("""COMPUTED_VALUE"""),1.0)</f>
        <v>1</v>
      </c>
      <c r="O1735" s="213">
        <f>IFERROR(__xludf.DUMMYFUNCTION("""COMPUTED_VALUE"""),1.0)</f>
        <v>1</v>
      </c>
      <c r="P1735" s="213"/>
      <c r="Q1735" s="213"/>
      <c r="R1735" s="213"/>
      <c r="S1735" s="213"/>
      <c r="T1735" s="213"/>
      <c r="U1735" s="213"/>
      <c r="V1735" s="213"/>
      <c r="W1735" s="213"/>
      <c r="X1735" s="213"/>
      <c r="Y1735" s="213"/>
      <c r="Z1735" s="213"/>
      <c r="AA1735" s="213"/>
      <c r="AB1735" s="213"/>
      <c r="AC1735" s="213"/>
      <c r="AD1735" s="213"/>
      <c r="AE1735" s="213"/>
      <c r="AF1735" s="213"/>
      <c r="AG1735" s="213"/>
      <c r="AH1735" s="213"/>
      <c r="AI1735" s="213"/>
      <c r="AJ1735" s="213"/>
      <c r="AK1735" s="213"/>
      <c r="AL1735" s="213"/>
      <c r="AM1735" s="213"/>
      <c r="AN1735" s="213"/>
      <c r="AO1735" s="213"/>
      <c r="AP1735" s="213"/>
      <c r="AQ1735" s="213"/>
      <c r="AR1735" s="213"/>
      <c r="AS1735" s="213"/>
      <c r="AT1735" s="213"/>
      <c r="AU1735" s="213"/>
      <c r="AV1735" s="213"/>
      <c r="AW1735" s="213"/>
      <c r="AX1735" s="213"/>
      <c r="AY1735" s="213"/>
      <c r="AZ1735" s="213"/>
      <c r="BA1735" s="213"/>
      <c r="BB1735" s="213"/>
      <c r="BC1735" s="213"/>
      <c r="BD1735" s="213"/>
    </row>
    <row r="1736">
      <c r="A1736" s="213">
        <f>IFERROR(__xludf.DUMMYFUNCTION("""COMPUTED_VALUE"""),137.0)</f>
        <v>137</v>
      </c>
      <c r="B1736" s="213" t="str">
        <f>IFERROR(__xludf.DUMMYFUNCTION("""COMPUTED_VALUE"""),"2026 SIMON BOLIVAR")</f>
        <v>2026 SIMON BOLIVAR</v>
      </c>
      <c r="C1736" s="213" t="str">
        <f>IFERROR(__xludf.DUMMYFUNCTION("""COMPUTED_VALUE"""),"TALLER SFT DE INDUSTRIA DEL VESTIDO")</f>
        <v>TALLER SFT DE INDUSTRIA DEL VESTIDO</v>
      </c>
      <c r="D1736" s="213" t="str">
        <f>IFERROR(__xludf.DUMMYFUNCTION("""COMPUTED_VALUE"""),"MOBILIARIO")</f>
        <v>MOBILIARIO</v>
      </c>
      <c r="E1736" s="213" t="str">
        <f>IFERROR(__xludf.DUMMYFUNCTION("""COMPUTED_VALUE"""),"MOB-140")</f>
        <v>MOB-140</v>
      </c>
      <c r="F1736" s="213" t="str">
        <f>IFERROR(__xludf.DUMMYFUNCTION("""COMPUTED_VALUE"""),"MOB-140")</f>
        <v>MOB-140</v>
      </c>
      <c r="G1736" s="213"/>
      <c r="H1736" s="213" t="str">
        <f>IFERROR(__xludf.DUMMYFUNCTION("""COMPUTED_VALUE"""),"MESA DISCAPACITADO")</f>
        <v>MESA DISCAPACITADO</v>
      </c>
      <c r="I1736"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36" s="213">
        <f>IFERROR(__xludf.DUMMYFUNCTION("""COMPUTED_VALUE"""),3.0)</f>
        <v>3</v>
      </c>
      <c r="K1736" s="213" t="str">
        <f>IFERROR(__xludf.DUMMYFUNCTION("""COMPUTED_VALUE"""),"90 DÍAS CALENDARIO")</f>
        <v>90 DÍAS CALENDARIO</v>
      </c>
      <c r="L1736" s="213" t="str">
        <f>IFERROR(__xludf.DUMMYFUNCTION("""COMPUTED_VALUE"""),"")</f>
        <v/>
      </c>
      <c r="M1736" s="213">
        <f>IFERROR(__xludf.DUMMYFUNCTION("""COMPUTED_VALUE"""),1.0)</f>
        <v>1</v>
      </c>
      <c r="N1736" s="213">
        <f>IFERROR(__xludf.DUMMYFUNCTION("""COMPUTED_VALUE"""),1.0)</f>
        <v>1</v>
      </c>
      <c r="O1736" s="213">
        <f>IFERROR(__xludf.DUMMYFUNCTION("""COMPUTED_VALUE"""),1.0)</f>
        <v>1</v>
      </c>
      <c r="P1736" s="213"/>
      <c r="Q1736" s="213"/>
      <c r="R1736" s="213"/>
      <c r="S1736" s="213"/>
      <c r="T1736" s="213"/>
      <c r="U1736" s="213"/>
      <c r="V1736" s="213"/>
      <c r="W1736" s="213"/>
      <c r="X1736" s="213"/>
      <c r="Y1736" s="213"/>
      <c r="Z1736" s="213"/>
      <c r="AA1736" s="213"/>
      <c r="AB1736" s="213"/>
      <c r="AC1736" s="213"/>
      <c r="AD1736" s="213"/>
      <c r="AE1736" s="213"/>
      <c r="AF1736" s="213"/>
      <c r="AG1736" s="213"/>
      <c r="AH1736" s="213"/>
      <c r="AI1736" s="213"/>
      <c r="AJ1736" s="213"/>
      <c r="AK1736" s="213"/>
      <c r="AL1736" s="213"/>
      <c r="AM1736" s="213"/>
      <c r="AN1736" s="213"/>
      <c r="AO1736" s="213"/>
      <c r="AP1736" s="213"/>
      <c r="AQ1736" s="213"/>
      <c r="AR1736" s="213"/>
      <c r="AS1736" s="213"/>
      <c r="AT1736" s="213"/>
      <c r="AU1736" s="213"/>
      <c r="AV1736" s="213"/>
      <c r="AW1736" s="213"/>
      <c r="AX1736" s="213"/>
      <c r="AY1736" s="213"/>
      <c r="AZ1736" s="213"/>
      <c r="BA1736" s="213"/>
      <c r="BB1736" s="213"/>
      <c r="BC1736" s="213"/>
      <c r="BD1736" s="213"/>
    </row>
    <row r="1737">
      <c r="A1737" s="213">
        <f>IFERROR(__xludf.DUMMYFUNCTION("""COMPUTED_VALUE"""),242.0)</f>
        <v>242</v>
      </c>
      <c r="B1737" s="213" t="str">
        <f>IFERROR(__xludf.DUMMYFUNCTION("""COMPUTED_VALUE"""),"2026 SIMON BOLIVAR")</f>
        <v>2026 SIMON BOLIVAR</v>
      </c>
      <c r="C1737" s="213" t="str">
        <f>IFERROR(__xludf.DUMMYFUNCTION("""COMPUTED_VALUE"""),"TALLER SFT DE COMPUTACIÓN E INFORMÁTICA")</f>
        <v>TALLER SFT DE COMPUTACIÓN E INFORMÁTICA</v>
      </c>
      <c r="D1737" s="213" t="str">
        <f>IFERROR(__xludf.DUMMYFUNCTION("""COMPUTED_VALUE"""),"MOBILIARIO")</f>
        <v>MOBILIARIO</v>
      </c>
      <c r="E1737" s="213" t="str">
        <f>IFERROR(__xludf.DUMMYFUNCTION("""COMPUTED_VALUE"""),"MOB-140")</f>
        <v>MOB-140</v>
      </c>
      <c r="F1737" s="213" t="str">
        <f>IFERROR(__xludf.DUMMYFUNCTION("""COMPUTED_VALUE"""),"MOB-140")</f>
        <v>MOB-140</v>
      </c>
      <c r="G1737" s="213"/>
      <c r="H1737" s="213" t="str">
        <f>IFERROR(__xludf.DUMMYFUNCTION("""COMPUTED_VALUE"""),"MESA DISCAPACITADO")</f>
        <v>MESA DISCAPACITADO</v>
      </c>
      <c r="I1737"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37" s="213">
        <f>IFERROR(__xludf.DUMMYFUNCTION("""COMPUTED_VALUE"""),3.0)</f>
        <v>3</v>
      </c>
      <c r="K1737" s="213" t="str">
        <f>IFERROR(__xludf.DUMMYFUNCTION("""COMPUTED_VALUE"""),"90 DÍAS CALENDARIO")</f>
        <v>90 DÍAS CALENDARIO</v>
      </c>
      <c r="L1737" s="213" t="str">
        <f>IFERROR(__xludf.DUMMYFUNCTION("""COMPUTED_VALUE"""),"")</f>
        <v/>
      </c>
      <c r="M1737" s="213">
        <f>IFERROR(__xludf.DUMMYFUNCTION("""COMPUTED_VALUE"""),1.0)</f>
        <v>1</v>
      </c>
      <c r="N1737" s="213">
        <f>IFERROR(__xludf.DUMMYFUNCTION("""COMPUTED_VALUE"""),1.0)</f>
        <v>1</v>
      </c>
      <c r="O1737" s="213">
        <f>IFERROR(__xludf.DUMMYFUNCTION("""COMPUTED_VALUE"""),1.0)</f>
        <v>1</v>
      </c>
      <c r="P1737" s="213"/>
      <c r="Q1737" s="213"/>
      <c r="R1737" s="213"/>
      <c r="S1737" s="213"/>
      <c r="T1737" s="213"/>
      <c r="U1737" s="213"/>
      <c r="V1737" s="213"/>
      <c r="W1737" s="213"/>
      <c r="X1737" s="213"/>
      <c r="Y1737" s="213"/>
      <c r="Z1737" s="213"/>
      <c r="AA1737" s="213"/>
      <c r="AB1737" s="213"/>
      <c r="AC1737" s="213"/>
      <c r="AD1737" s="213"/>
      <c r="AE1737" s="213"/>
      <c r="AF1737" s="213"/>
      <c r="AG1737" s="213"/>
      <c r="AH1737" s="213"/>
      <c r="AI1737" s="213"/>
      <c r="AJ1737" s="213"/>
      <c r="AK1737" s="213"/>
      <c r="AL1737" s="213"/>
      <c r="AM1737" s="213"/>
      <c r="AN1737" s="213"/>
      <c r="AO1737" s="213"/>
      <c r="AP1737" s="213"/>
      <c r="AQ1737" s="213"/>
      <c r="AR1737" s="213"/>
      <c r="AS1737" s="213"/>
      <c r="AT1737" s="213"/>
      <c r="AU1737" s="213"/>
      <c r="AV1737" s="213"/>
      <c r="AW1737" s="213"/>
      <c r="AX1737" s="213"/>
      <c r="AY1737" s="213"/>
      <c r="AZ1737" s="213"/>
      <c r="BA1737" s="213"/>
      <c r="BB1737" s="213"/>
      <c r="BC1737" s="213"/>
      <c r="BD1737" s="213"/>
    </row>
    <row r="1738">
      <c r="A1738" s="213">
        <f>IFERROR(__xludf.DUMMYFUNCTION("""COMPUTED_VALUE"""),333.0)</f>
        <v>333</v>
      </c>
      <c r="B1738" s="213" t="str">
        <f>IFERROR(__xludf.DUMMYFUNCTION("""COMPUTED_VALUE"""),"2026 SIMON BOLIVAR")</f>
        <v>2026 SIMON BOLIVAR</v>
      </c>
      <c r="C1738" s="213" t="str">
        <f>IFERROR(__xludf.DUMMYFUNCTION("""COMPUTED_VALUE"""),"TALLER SFT DE ELECTRICIDAD")</f>
        <v>TALLER SFT DE ELECTRICIDAD</v>
      </c>
      <c r="D1738" s="213" t="str">
        <f>IFERROR(__xludf.DUMMYFUNCTION("""COMPUTED_VALUE"""),"MOBILIARIO")</f>
        <v>MOBILIARIO</v>
      </c>
      <c r="E1738" s="213" t="str">
        <f>IFERROR(__xludf.DUMMYFUNCTION("""COMPUTED_VALUE"""),"MOB-140")</f>
        <v>MOB-140</v>
      </c>
      <c r="F1738" s="213" t="str">
        <f>IFERROR(__xludf.DUMMYFUNCTION("""COMPUTED_VALUE"""),"MOB-140")</f>
        <v>MOB-140</v>
      </c>
      <c r="G1738" s="213"/>
      <c r="H1738" s="213" t="str">
        <f>IFERROR(__xludf.DUMMYFUNCTION("""COMPUTED_VALUE"""),"MESA DISCAPACITADO")</f>
        <v>MESA DISCAPACITADO</v>
      </c>
      <c r="I1738"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38" s="213">
        <f>IFERROR(__xludf.DUMMYFUNCTION("""COMPUTED_VALUE"""),3.0)</f>
        <v>3</v>
      </c>
      <c r="K1738" s="213" t="str">
        <f>IFERROR(__xludf.DUMMYFUNCTION("""COMPUTED_VALUE"""),"90 DÍAS CALENDARIO")</f>
        <v>90 DÍAS CALENDARIO</v>
      </c>
      <c r="L1738" s="213" t="str">
        <f>IFERROR(__xludf.DUMMYFUNCTION("""COMPUTED_VALUE"""),"")</f>
        <v/>
      </c>
      <c r="M1738" s="213">
        <f>IFERROR(__xludf.DUMMYFUNCTION("""COMPUTED_VALUE"""),1.0)</f>
        <v>1</v>
      </c>
      <c r="N1738" s="213">
        <f>IFERROR(__xludf.DUMMYFUNCTION("""COMPUTED_VALUE"""),1.0)</f>
        <v>1</v>
      </c>
      <c r="O1738" s="213">
        <f>IFERROR(__xludf.DUMMYFUNCTION("""COMPUTED_VALUE"""),1.0)</f>
        <v>1</v>
      </c>
      <c r="P1738" s="213"/>
      <c r="Q1738" s="213"/>
      <c r="R1738" s="213"/>
      <c r="S1738" s="213"/>
      <c r="T1738" s="213"/>
      <c r="U1738" s="213"/>
      <c r="V1738" s="213"/>
      <c r="W1738" s="213"/>
      <c r="X1738" s="213"/>
      <c r="Y1738" s="213"/>
      <c r="Z1738" s="213"/>
      <c r="AA1738" s="213"/>
      <c r="AB1738" s="213"/>
      <c r="AC1738" s="213"/>
      <c r="AD1738" s="213"/>
      <c r="AE1738" s="213"/>
      <c r="AF1738" s="213"/>
      <c r="AG1738" s="213"/>
      <c r="AH1738" s="213"/>
      <c r="AI1738" s="213"/>
      <c r="AJ1738" s="213"/>
      <c r="AK1738" s="213"/>
      <c r="AL1738" s="213"/>
      <c r="AM1738" s="213"/>
      <c r="AN1738" s="213"/>
      <c r="AO1738" s="213"/>
      <c r="AP1738" s="213"/>
      <c r="AQ1738" s="213"/>
      <c r="AR1738" s="213"/>
      <c r="AS1738" s="213"/>
      <c r="AT1738" s="213"/>
      <c r="AU1738" s="213"/>
      <c r="AV1738" s="213"/>
      <c r="AW1738" s="213"/>
      <c r="AX1738" s="213"/>
      <c r="AY1738" s="213"/>
      <c r="AZ1738" s="213"/>
      <c r="BA1738" s="213"/>
      <c r="BB1738" s="213"/>
      <c r="BC1738" s="213"/>
      <c r="BD1738" s="213"/>
    </row>
    <row r="1739">
      <c r="A1739" s="213">
        <f>IFERROR(__xludf.DUMMYFUNCTION("""COMPUTED_VALUE"""),418.0)</f>
        <v>418</v>
      </c>
      <c r="B1739" s="213" t="str">
        <f>IFERROR(__xludf.DUMMYFUNCTION("""COMPUTED_VALUE"""),"2026 SIMON BOLIVAR")</f>
        <v>2026 SIMON BOLIVAR</v>
      </c>
      <c r="C1739" s="213" t="str">
        <f>IFERROR(__xludf.DUMMYFUNCTION("""COMPUTED_VALUE"""),"TALLER SFT DE INDUSTRIA ALIMENTARIA")</f>
        <v>TALLER SFT DE INDUSTRIA ALIMENTARIA</v>
      </c>
      <c r="D1739" s="213" t="str">
        <f>IFERROR(__xludf.DUMMYFUNCTION("""COMPUTED_VALUE"""),"MOBILIARIO")</f>
        <v>MOBILIARIO</v>
      </c>
      <c r="E1739" s="213" t="str">
        <f>IFERROR(__xludf.DUMMYFUNCTION("""COMPUTED_VALUE"""),"MOB-140")</f>
        <v>MOB-140</v>
      </c>
      <c r="F1739" s="213" t="str">
        <f>IFERROR(__xludf.DUMMYFUNCTION("""COMPUTED_VALUE"""),"MOB-140")</f>
        <v>MOB-140</v>
      </c>
      <c r="G1739" s="213"/>
      <c r="H1739" s="213" t="str">
        <f>IFERROR(__xludf.DUMMYFUNCTION("""COMPUTED_VALUE"""),"MESA DISCAPACITADO")</f>
        <v>MESA DISCAPACITADO</v>
      </c>
      <c r="I1739"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39" s="213">
        <f>IFERROR(__xludf.DUMMYFUNCTION("""COMPUTED_VALUE"""),3.0)</f>
        <v>3</v>
      </c>
      <c r="K1739" s="213" t="str">
        <f>IFERROR(__xludf.DUMMYFUNCTION("""COMPUTED_VALUE"""),"90 DÍAS CALENDARIO")</f>
        <v>90 DÍAS CALENDARIO</v>
      </c>
      <c r="L1739" s="213" t="str">
        <f>IFERROR(__xludf.DUMMYFUNCTION("""COMPUTED_VALUE"""),"")</f>
        <v/>
      </c>
      <c r="M1739" s="213">
        <f>IFERROR(__xludf.DUMMYFUNCTION("""COMPUTED_VALUE"""),1.0)</f>
        <v>1</v>
      </c>
      <c r="N1739" s="213">
        <f>IFERROR(__xludf.DUMMYFUNCTION("""COMPUTED_VALUE"""),1.0)</f>
        <v>1</v>
      </c>
      <c r="O1739" s="213">
        <f>IFERROR(__xludf.DUMMYFUNCTION("""COMPUTED_VALUE"""),1.0)</f>
        <v>1</v>
      </c>
      <c r="P1739" s="213"/>
      <c r="Q1739" s="213"/>
      <c r="R1739" s="213"/>
      <c r="S1739" s="213"/>
      <c r="T1739" s="213"/>
      <c r="U1739" s="213"/>
      <c r="V1739" s="213"/>
      <c r="W1739" s="213"/>
      <c r="X1739" s="213"/>
      <c r="Y1739" s="213"/>
      <c r="Z1739" s="213"/>
      <c r="AA1739" s="213"/>
      <c r="AB1739" s="213"/>
      <c r="AC1739" s="213"/>
      <c r="AD1739" s="213"/>
      <c r="AE1739" s="213"/>
      <c r="AF1739" s="213"/>
      <c r="AG1739" s="213"/>
      <c r="AH1739" s="213"/>
      <c r="AI1739" s="213"/>
      <c r="AJ1739" s="213"/>
      <c r="AK1739" s="213"/>
      <c r="AL1739" s="213"/>
      <c r="AM1739" s="213"/>
      <c r="AN1739" s="213"/>
      <c r="AO1739" s="213"/>
      <c r="AP1739" s="213"/>
      <c r="AQ1739" s="213"/>
      <c r="AR1739" s="213"/>
      <c r="AS1739" s="213"/>
      <c r="AT1739" s="213"/>
      <c r="AU1739" s="213"/>
      <c r="AV1739" s="213"/>
      <c r="AW1739" s="213"/>
      <c r="AX1739" s="213"/>
      <c r="AY1739" s="213"/>
      <c r="AZ1739" s="213"/>
      <c r="BA1739" s="213"/>
      <c r="BB1739" s="213"/>
      <c r="BC1739" s="213"/>
      <c r="BD1739" s="213"/>
    </row>
    <row r="1740">
      <c r="A1740" s="213">
        <f>IFERROR(__xludf.DUMMYFUNCTION("""COMPUTED_VALUE"""),616.0)</f>
        <v>616</v>
      </c>
      <c r="B1740" s="213" t="str">
        <f>IFERROR(__xludf.DUMMYFUNCTION("""COMPUTED_VALUE"""),"6049 RICARDO PALMA")</f>
        <v>6049 RICARDO PALMA</v>
      </c>
      <c r="C1740" s="213" t="str">
        <f>IFERROR(__xludf.DUMMYFUNCTION("""COMPUTED_VALUE"""),"TALLER SFT DE ELECTRÓNICA")</f>
        <v>TALLER SFT DE ELECTRÓNICA</v>
      </c>
      <c r="D1740" s="213" t="str">
        <f>IFERROR(__xludf.DUMMYFUNCTION("""COMPUTED_VALUE"""),"MOBILIARIO")</f>
        <v>MOBILIARIO</v>
      </c>
      <c r="E1740" s="213" t="str">
        <f>IFERROR(__xludf.DUMMYFUNCTION("""COMPUTED_VALUE"""),"MOB-140")</f>
        <v>MOB-140</v>
      </c>
      <c r="F1740" s="213" t="str">
        <f>IFERROR(__xludf.DUMMYFUNCTION("""COMPUTED_VALUE"""),"MOB-140")</f>
        <v>MOB-140</v>
      </c>
      <c r="G1740" s="213"/>
      <c r="H1740" s="213" t="str">
        <f>IFERROR(__xludf.DUMMYFUNCTION("""COMPUTED_VALUE"""),"MESA DISCAPACITADO")</f>
        <v>MESA DISCAPACITADO</v>
      </c>
      <c r="I1740"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0" s="213">
        <f>IFERROR(__xludf.DUMMYFUNCTION("""COMPUTED_VALUE"""),3.0)</f>
        <v>3</v>
      </c>
      <c r="K1740" s="213" t="str">
        <f>IFERROR(__xludf.DUMMYFUNCTION("""COMPUTED_VALUE"""),"90 DÍAS CALENDARIO")</f>
        <v>90 DÍAS CALENDARIO</v>
      </c>
      <c r="L1740" s="213" t="str">
        <f>IFERROR(__xludf.DUMMYFUNCTION("""COMPUTED_VALUE"""),"")</f>
        <v/>
      </c>
      <c r="M1740" s="213">
        <f>IFERROR(__xludf.DUMMYFUNCTION("""COMPUTED_VALUE"""),1.0)</f>
        <v>1</v>
      </c>
      <c r="N1740" s="213">
        <f>IFERROR(__xludf.DUMMYFUNCTION("""COMPUTED_VALUE"""),1.0)</f>
        <v>1</v>
      </c>
      <c r="O1740" s="213">
        <f>IFERROR(__xludf.DUMMYFUNCTION("""COMPUTED_VALUE"""),1.0)</f>
        <v>1</v>
      </c>
      <c r="P1740" s="213"/>
      <c r="Q1740" s="213"/>
      <c r="R1740" s="213"/>
      <c r="S1740" s="213"/>
      <c r="T1740" s="213"/>
      <c r="U1740" s="213"/>
      <c r="V1740" s="213"/>
      <c r="W1740" s="213"/>
      <c r="X1740" s="213"/>
      <c r="Y1740" s="213"/>
      <c r="Z1740" s="213"/>
      <c r="AA1740" s="213"/>
      <c r="AB1740" s="213"/>
      <c r="AC1740" s="213"/>
      <c r="AD1740" s="213"/>
      <c r="AE1740" s="213"/>
      <c r="AF1740" s="213"/>
      <c r="AG1740" s="213"/>
      <c r="AH1740" s="213"/>
      <c r="AI1740" s="213"/>
      <c r="AJ1740" s="213"/>
      <c r="AK1740" s="213"/>
      <c r="AL1740" s="213"/>
      <c r="AM1740" s="213"/>
      <c r="AN1740" s="213"/>
      <c r="AO1740" s="213"/>
      <c r="AP1740" s="213"/>
      <c r="AQ1740" s="213"/>
      <c r="AR1740" s="213"/>
      <c r="AS1740" s="213"/>
      <c r="AT1740" s="213"/>
      <c r="AU1740" s="213"/>
      <c r="AV1740" s="213"/>
      <c r="AW1740" s="213"/>
      <c r="AX1740" s="213"/>
      <c r="AY1740" s="213"/>
      <c r="AZ1740" s="213"/>
      <c r="BA1740" s="213"/>
      <c r="BB1740" s="213"/>
      <c r="BC1740" s="213"/>
      <c r="BD1740" s="213"/>
    </row>
    <row r="1741">
      <c r="A1741" s="213">
        <f>IFERROR(__xludf.DUMMYFUNCTION("""COMPUTED_VALUE"""),727.0)</f>
        <v>727</v>
      </c>
      <c r="B1741" s="213" t="str">
        <f>IFERROR(__xludf.DUMMYFUNCTION("""COMPUTED_VALUE"""),"6049 RICARDO PALMA")</f>
        <v>6049 RICARDO PALMA</v>
      </c>
      <c r="C1741" s="213" t="str">
        <f>IFERROR(__xludf.DUMMYFUNCTION("""COMPUTED_VALUE"""),"TALLER SFT DE COMPUTACIÓN E INFORMÁTICA")</f>
        <v>TALLER SFT DE COMPUTACIÓN E INFORMÁTICA</v>
      </c>
      <c r="D1741" s="213" t="str">
        <f>IFERROR(__xludf.DUMMYFUNCTION("""COMPUTED_VALUE"""),"MOBILIARIO")</f>
        <v>MOBILIARIO</v>
      </c>
      <c r="E1741" s="213" t="str">
        <f>IFERROR(__xludf.DUMMYFUNCTION("""COMPUTED_VALUE"""),"MOB-140")</f>
        <v>MOB-140</v>
      </c>
      <c r="F1741" s="213" t="str">
        <f>IFERROR(__xludf.DUMMYFUNCTION("""COMPUTED_VALUE"""),"MOB-140")</f>
        <v>MOB-140</v>
      </c>
      <c r="G1741" s="213"/>
      <c r="H1741" s="213" t="str">
        <f>IFERROR(__xludf.DUMMYFUNCTION("""COMPUTED_VALUE"""),"MESA DISCAPACITADO")</f>
        <v>MESA DISCAPACITADO</v>
      </c>
      <c r="I1741"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1" s="213">
        <f>IFERROR(__xludf.DUMMYFUNCTION("""COMPUTED_VALUE"""),3.0)</f>
        <v>3</v>
      </c>
      <c r="K1741" s="213" t="str">
        <f>IFERROR(__xludf.DUMMYFUNCTION("""COMPUTED_VALUE"""),"90 DÍAS CALENDARIO")</f>
        <v>90 DÍAS CALENDARIO</v>
      </c>
      <c r="L1741" s="213" t="str">
        <f>IFERROR(__xludf.DUMMYFUNCTION("""COMPUTED_VALUE"""),"")</f>
        <v/>
      </c>
      <c r="M1741" s="213">
        <f>IFERROR(__xludf.DUMMYFUNCTION("""COMPUTED_VALUE"""),1.0)</f>
        <v>1</v>
      </c>
      <c r="N1741" s="213">
        <f>IFERROR(__xludf.DUMMYFUNCTION("""COMPUTED_VALUE"""),1.0)</f>
        <v>1</v>
      </c>
      <c r="O1741" s="213">
        <f>IFERROR(__xludf.DUMMYFUNCTION("""COMPUTED_VALUE"""),1.0)</f>
        <v>1</v>
      </c>
      <c r="P1741" s="213"/>
      <c r="Q1741" s="213"/>
      <c r="R1741" s="213"/>
      <c r="S1741" s="213"/>
      <c r="T1741" s="213"/>
      <c r="U1741" s="213"/>
      <c r="V1741" s="213"/>
      <c r="W1741" s="213"/>
      <c r="X1741" s="213"/>
      <c r="Y1741" s="213"/>
      <c r="Z1741" s="213"/>
      <c r="AA1741" s="213"/>
      <c r="AB1741" s="213"/>
      <c r="AC1741" s="213"/>
      <c r="AD1741" s="213"/>
      <c r="AE1741" s="213"/>
      <c r="AF1741" s="213"/>
      <c r="AG1741" s="213"/>
      <c r="AH1741" s="213"/>
      <c r="AI1741" s="213"/>
      <c r="AJ1741" s="213"/>
      <c r="AK1741" s="213"/>
      <c r="AL1741" s="213"/>
      <c r="AM1741" s="213"/>
      <c r="AN1741" s="213"/>
      <c r="AO1741" s="213"/>
      <c r="AP1741" s="213"/>
      <c r="AQ1741" s="213"/>
      <c r="AR1741" s="213"/>
      <c r="AS1741" s="213"/>
      <c r="AT1741" s="213"/>
      <c r="AU1741" s="213"/>
      <c r="AV1741" s="213"/>
      <c r="AW1741" s="213"/>
      <c r="AX1741" s="213"/>
      <c r="AY1741" s="213"/>
      <c r="AZ1741" s="213"/>
      <c r="BA1741" s="213"/>
      <c r="BB1741" s="213"/>
      <c r="BC1741" s="213"/>
      <c r="BD1741" s="213"/>
    </row>
    <row r="1742">
      <c r="A1742" s="213">
        <f>IFERROR(__xludf.DUMMYFUNCTION("""COMPUTED_VALUE"""),819.0)</f>
        <v>819</v>
      </c>
      <c r="B1742" s="213" t="str">
        <f>IFERROR(__xludf.DUMMYFUNCTION("""COMPUTED_VALUE"""),"6049 RICARDO PALMA")</f>
        <v>6049 RICARDO PALMA</v>
      </c>
      <c r="C1742" s="213" t="str">
        <f>IFERROR(__xludf.DUMMYFUNCTION("""COMPUTED_VALUE"""),"TALLER SFT DE ELECTRICIDAD")</f>
        <v>TALLER SFT DE ELECTRICIDAD</v>
      </c>
      <c r="D1742" s="213" t="str">
        <f>IFERROR(__xludf.DUMMYFUNCTION("""COMPUTED_VALUE"""),"MOBILIARIO")</f>
        <v>MOBILIARIO</v>
      </c>
      <c r="E1742" s="213" t="str">
        <f>IFERROR(__xludf.DUMMYFUNCTION("""COMPUTED_VALUE"""),"MOB-140")</f>
        <v>MOB-140</v>
      </c>
      <c r="F1742" s="213" t="str">
        <f>IFERROR(__xludf.DUMMYFUNCTION("""COMPUTED_VALUE"""),"MOB-140")</f>
        <v>MOB-140</v>
      </c>
      <c r="G1742" s="213"/>
      <c r="H1742" s="213" t="str">
        <f>IFERROR(__xludf.DUMMYFUNCTION("""COMPUTED_VALUE"""),"MESA DISCAPACITADO")</f>
        <v>MESA DISCAPACITADO</v>
      </c>
      <c r="I1742"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2" s="213">
        <f>IFERROR(__xludf.DUMMYFUNCTION("""COMPUTED_VALUE"""),3.0)</f>
        <v>3</v>
      </c>
      <c r="K1742" s="213" t="str">
        <f>IFERROR(__xludf.DUMMYFUNCTION("""COMPUTED_VALUE"""),"90 DÍAS CALENDARIO")</f>
        <v>90 DÍAS CALENDARIO</v>
      </c>
      <c r="L1742" s="213" t="str">
        <f>IFERROR(__xludf.DUMMYFUNCTION("""COMPUTED_VALUE"""),"")</f>
        <v/>
      </c>
      <c r="M1742" s="213">
        <f>IFERROR(__xludf.DUMMYFUNCTION("""COMPUTED_VALUE"""),1.0)</f>
        <v>1</v>
      </c>
      <c r="N1742" s="213">
        <f>IFERROR(__xludf.DUMMYFUNCTION("""COMPUTED_VALUE"""),1.0)</f>
        <v>1</v>
      </c>
      <c r="O1742" s="213">
        <f>IFERROR(__xludf.DUMMYFUNCTION("""COMPUTED_VALUE"""),1.0)</f>
        <v>1</v>
      </c>
      <c r="P1742" s="213"/>
      <c r="Q1742" s="213"/>
      <c r="R1742" s="213"/>
      <c r="S1742" s="213"/>
      <c r="T1742" s="213"/>
      <c r="U1742" s="213"/>
      <c r="V1742" s="213"/>
      <c r="W1742" s="213"/>
      <c r="X1742" s="213"/>
      <c r="Y1742" s="213"/>
      <c r="Z1742" s="213"/>
      <c r="AA1742" s="213"/>
      <c r="AB1742" s="213"/>
      <c r="AC1742" s="213"/>
      <c r="AD1742" s="213"/>
      <c r="AE1742" s="213"/>
      <c r="AF1742" s="213"/>
      <c r="AG1742" s="213"/>
      <c r="AH1742" s="213"/>
      <c r="AI1742" s="213"/>
      <c r="AJ1742" s="213"/>
      <c r="AK1742" s="213"/>
      <c r="AL1742" s="213"/>
      <c r="AM1742" s="213"/>
      <c r="AN1742" s="213"/>
      <c r="AO1742" s="213"/>
      <c r="AP1742" s="213"/>
      <c r="AQ1742" s="213"/>
      <c r="AR1742" s="213"/>
      <c r="AS1742" s="213"/>
      <c r="AT1742" s="213"/>
      <c r="AU1742" s="213"/>
      <c r="AV1742" s="213"/>
      <c r="AW1742" s="213"/>
      <c r="AX1742" s="213"/>
      <c r="AY1742" s="213"/>
      <c r="AZ1742" s="213"/>
      <c r="BA1742" s="213"/>
      <c r="BB1742" s="213"/>
      <c r="BC1742" s="213"/>
      <c r="BD1742" s="213"/>
    </row>
    <row r="1743">
      <c r="A1743" s="213">
        <f>IFERROR(__xludf.DUMMYFUNCTION("""COMPUTED_VALUE"""),905.0)</f>
        <v>905</v>
      </c>
      <c r="B1743" s="213" t="str">
        <f>IFERROR(__xludf.DUMMYFUNCTION("""COMPUTED_VALUE"""),"FRANCISCO IRAZOLA")</f>
        <v>FRANCISCO IRAZOLA</v>
      </c>
      <c r="C1743" s="213" t="str">
        <f>IFERROR(__xludf.DUMMYFUNCTION("""COMPUTED_VALUE"""),"TALLER SFT DE MECÁNICA AUTOMOTRIZ")</f>
        <v>TALLER SFT DE MECÁNICA AUTOMOTRIZ</v>
      </c>
      <c r="D1743" s="213" t="str">
        <f>IFERROR(__xludf.DUMMYFUNCTION("""COMPUTED_VALUE"""),"MOBILIARIO")</f>
        <v>MOBILIARIO</v>
      </c>
      <c r="E1743" s="213" t="str">
        <f>IFERROR(__xludf.DUMMYFUNCTION("""COMPUTED_VALUE"""),"MOB-140")</f>
        <v>MOB-140</v>
      </c>
      <c r="F1743" s="213" t="str">
        <f>IFERROR(__xludf.DUMMYFUNCTION("""COMPUTED_VALUE"""),"MOB-140")</f>
        <v>MOB-140</v>
      </c>
      <c r="G1743" s="213"/>
      <c r="H1743" s="213" t="str">
        <f>IFERROR(__xludf.DUMMYFUNCTION("""COMPUTED_VALUE"""),"MESA DISCAPACITADO")</f>
        <v>MESA DISCAPACITADO</v>
      </c>
      <c r="I1743"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3" s="213">
        <f>IFERROR(__xludf.DUMMYFUNCTION("""COMPUTED_VALUE"""),3.0)</f>
        <v>3</v>
      </c>
      <c r="K1743" s="213" t="str">
        <f>IFERROR(__xludf.DUMMYFUNCTION("""COMPUTED_VALUE"""),"90 DÍAS CALENDARIO")</f>
        <v>90 DÍAS CALENDARIO</v>
      </c>
      <c r="L1743" s="213" t="str">
        <f>IFERROR(__xludf.DUMMYFUNCTION("""COMPUTED_VALUE"""),"")</f>
        <v/>
      </c>
      <c r="M1743" s="213">
        <f>IFERROR(__xludf.DUMMYFUNCTION("""COMPUTED_VALUE"""),1.0)</f>
        <v>1</v>
      </c>
      <c r="N1743" s="213">
        <f>IFERROR(__xludf.DUMMYFUNCTION("""COMPUTED_VALUE"""),1.0)</f>
        <v>1</v>
      </c>
      <c r="O1743" s="213">
        <f>IFERROR(__xludf.DUMMYFUNCTION("""COMPUTED_VALUE"""),1.0)</f>
        <v>1</v>
      </c>
      <c r="P1743" s="213"/>
      <c r="Q1743" s="213"/>
      <c r="R1743" s="213"/>
      <c r="S1743" s="213"/>
      <c r="T1743" s="213"/>
      <c r="U1743" s="213"/>
      <c r="V1743" s="213"/>
      <c r="W1743" s="213"/>
      <c r="X1743" s="213"/>
      <c r="Y1743" s="213"/>
      <c r="Z1743" s="213"/>
      <c r="AA1743" s="213"/>
      <c r="AB1743" s="213"/>
      <c r="AC1743" s="213"/>
      <c r="AD1743" s="213"/>
      <c r="AE1743" s="213"/>
      <c r="AF1743" s="213"/>
      <c r="AG1743" s="213"/>
      <c r="AH1743" s="213"/>
      <c r="AI1743" s="213"/>
      <c r="AJ1743" s="213"/>
      <c r="AK1743" s="213"/>
      <c r="AL1743" s="213"/>
      <c r="AM1743" s="213"/>
      <c r="AN1743" s="213"/>
      <c r="AO1743" s="213"/>
      <c r="AP1743" s="213"/>
      <c r="AQ1743" s="213"/>
      <c r="AR1743" s="213"/>
      <c r="AS1743" s="213"/>
      <c r="AT1743" s="213"/>
      <c r="AU1743" s="213"/>
      <c r="AV1743" s="213"/>
      <c r="AW1743" s="213"/>
      <c r="AX1743" s="213"/>
      <c r="AY1743" s="213"/>
      <c r="AZ1743" s="213"/>
      <c r="BA1743" s="213"/>
      <c r="BB1743" s="213"/>
      <c r="BC1743" s="213"/>
      <c r="BD1743" s="213"/>
    </row>
    <row r="1744">
      <c r="A1744" s="213">
        <f>IFERROR(__xludf.DUMMYFUNCTION("""COMPUTED_VALUE"""),1090.0)</f>
        <v>1090</v>
      </c>
      <c r="B1744" s="213" t="str">
        <f>IFERROR(__xludf.DUMMYFUNCTION("""COMPUTED_VALUE"""),"FRANCISCO IRAZOLA")</f>
        <v>FRANCISCO IRAZOLA</v>
      </c>
      <c r="C1744" s="213" t="str">
        <f>IFERROR(__xludf.DUMMYFUNCTION("""COMPUTED_VALUE"""),"TALLER SFT DE INDUSTRIA ALIMENTARIA")</f>
        <v>TALLER SFT DE INDUSTRIA ALIMENTARIA</v>
      </c>
      <c r="D1744" s="213" t="str">
        <f>IFERROR(__xludf.DUMMYFUNCTION("""COMPUTED_VALUE"""),"MOBILIARIO")</f>
        <v>MOBILIARIO</v>
      </c>
      <c r="E1744" s="213" t="str">
        <f>IFERROR(__xludf.DUMMYFUNCTION("""COMPUTED_VALUE"""),"MOB-140")</f>
        <v>MOB-140</v>
      </c>
      <c r="F1744" s="213" t="str">
        <f>IFERROR(__xludf.DUMMYFUNCTION("""COMPUTED_VALUE"""),"MOB-140")</f>
        <v>MOB-140</v>
      </c>
      <c r="G1744" s="213"/>
      <c r="H1744" s="213" t="str">
        <f>IFERROR(__xludf.DUMMYFUNCTION("""COMPUTED_VALUE"""),"MESA DISCAPACITADO")</f>
        <v>MESA DISCAPACITADO</v>
      </c>
      <c r="I1744"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4" s="213">
        <f>IFERROR(__xludf.DUMMYFUNCTION("""COMPUTED_VALUE"""),3.0)</f>
        <v>3</v>
      </c>
      <c r="K1744" s="213" t="str">
        <f>IFERROR(__xludf.DUMMYFUNCTION("""COMPUTED_VALUE"""),"90 DÍAS CALENDARIO")</f>
        <v>90 DÍAS CALENDARIO</v>
      </c>
      <c r="L1744" s="213" t="str">
        <f>IFERROR(__xludf.DUMMYFUNCTION("""COMPUTED_VALUE"""),"")</f>
        <v/>
      </c>
      <c r="M1744" s="213">
        <f>IFERROR(__xludf.DUMMYFUNCTION("""COMPUTED_VALUE"""),1.0)</f>
        <v>1</v>
      </c>
      <c r="N1744" s="213">
        <f>IFERROR(__xludf.DUMMYFUNCTION("""COMPUTED_VALUE"""),1.0)</f>
        <v>1</v>
      </c>
      <c r="O1744" s="213">
        <f>IFERROR(__xludf.DUMMYFUNCTION("""COMPUTED_VALUE"""),1.0)</f>
        <v>1</v>
      </c>
      <c r="P1744" s="213"/>
      <c r="Q1744" s="213"/>
      <c r="R1744" s="213"/>
      <c r="S1744" s="213"/>
      <c r="T1744" s="213"/>
      <c r="U1744" s="213"/>
      <c r="V1744" s="213"/>
      <c r="W1744" s="213"/>
      <c r="X1744" s="213"/>
      <c r="Y1744" s="213"/>
      <c r="Z1744" s="213"/>
      <c r="AA1744" s="213"/>
      <c r="AB1744" s="213"/>
      <c r="AC1744" s="213"/>
      <c r="AD1744" s="213"/>
      <c r="AE1744" s="213"/>
      <c r="AF1744" s="213"/>
      <c r="AG1744" s="213"/>
      <c r="AH1744" s="213"/>
      <c r="AI1744" s="213"/>
      <c r="AJ1744" s="213"/>
      <c r="AK1744" s="213"/>
      <c r="AL1744" s="213"/>
      <c r="AM1744" s="213"/>
      <c r="AN1744" s="213"/>
      <c r="AO1744" s="213"/>
      <c r="AP1744" s="213"/>
      <c r="AQ1744" s="213"/>
      <c r="AR1744" s="213"/>
      <c r="AS1744" s="213"/>
      <c r="AT1744" s="213"/>
      <c r="AU1744" s="213"/>
      <c r="AV1744" s="213"/>
      <c r="AW1744" s="213"/>
      <c r="AX1744" s="213"/>
      <c r="AY1744" s="213"/>
      <c r="AZ1744" s="213"/>
      <c r="BA1744" s="213"/>
      <c r="BB1744" s="213"/>
      <c r="BC1744" s="213"/>
      <c r="BD1744" s="213"/>
    </row>
    <row r="1745">
      <c r="A1745" s="213">
        <f>IFERROR(__xludf.DUMMYFUNCTION("""COMPUTED_VALUE"""),1240.0)</f>
        <v>1240</v>
      </c>
      <c r="B1745" s="213" t="str">
        <f>IFERROR(__xludf.DUMMYFUNCTION("""COMPUTED_VALUE"""),"GUILLERMO E. BILLINGHURST ")</f>
        <v>GUILLERMO E. BILLINGHURST </v>
      </c>
      <c r="C1745" s="213" t="str">
        <f>IFERROR(__xludf.DUMMYFUNCTION("""COMPUTED_VALUE"""),"TALLER SFT DE ELECTRICIDAD")</f>
        <v>TALLER SFT DE ELECTRICIDAD</v>
      </c>
      <c r="D1745" s="213" t="str">
        <f>IFERROR(__xludf.DUMMYFUNCTION("""COMPUTED_VALUE"""),"MOBILIARIO")</f>
        <v>MOBILIARIO</v>
      </c>
      <c r="E1745" s="213" t="str">
        <f>IFERROR(__xludf.DUMMYFUNCTION("""COMPUTED_VALUE"""),"MOB-140")</f>
        <v>MOB-140</v>
      </c>
      <c r="F1745" s="213" t="str">
        <f>IFERROR(__xludf.DUMMYFUNCTION("""COMPUTED_VALUE"""),"MOB-140")</f>
        <v>MOB-140</v>
      </c>
      <c r="G1745" s="213"/>
      <c r="H1745" s="213" t="str">
        <f>IFERROR(__xludf.DUMMYFUNCTION("""COMPUTED_VALUE"""),"MESA DISCAPACITADO")</f>
        <v>MESA DISCAPACITADO</v>
      </c>
      <c r="I1745"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5" s="213">
        <f>IFERROR(__xludf.DUMMYFUNCTION("""COMPUTED_VALUE"""),3.0)</f>
        <v>3</v>
      </c>
      <c r="K1745" s="213" t="str">
        <f>IFERROR(__xludf.DUMMYFUNCTION("""COMPUTED_VALUE"""),"90 DÍAS CALENDARIO")</f>
        <v>90 DÍAS CALENDARIO</v>
      </c>
      <c r="L1745" s="213" t="str">
        <f>IFERROR(__xludf.DUMMYFUNCTION("""COMPUTED_VALUE"""),"")</f>
        <v/>
      </c>
      <c r="M1745" s="213">
        <f>IFERROR(__xludf.DUMMYFUNCTION("""COMPUTED_VALUE"""),1.0)</f>
        <v>1</v>
      </c>
      <c r="N1745" s="213">
        <f>IFERROR(__xludf.DUMMYFUNCTION("""COMPUTED_VALUE"""),1.0)</f>
        <v>1</v>
      </c>
      <c r="O1745" s="213">
        <f>IFERROR(__xludf.DUMMYFUNCTION("""COMPUTED_VALUE"""),1.0)</f>
        <v>1</v>
      </c>
      <c r="P1745" s="213"/>
      <c r="Q1745" s="213"/>
      <c r="R1745" s="213"/>
      <c r="S1745" s="213"/>
      <c r="T1745" s="213"/>
      <c r="U1745" s="213"/>
      <c r="V1745" s="213"/>
      <c r="W1745" s="213"/>
      <c r="X1745" s="213"/>
      <c r="Y1745" s="213"/>
      <c r="Z1745" s="213"/>
      <c r="AA1745" s="213"/>
      <c r="AB1745" s="213"/>
      <c r="AC1745" s="213"/>
      <c r="AD1745" s="213"/>
      <c r="AE1745" s="213"/>
      <c r="AF1745" s="213"/>
      <c r="AG1745" s="213"/>
      <c r="AH1745" s="213"/>
      <c r="AI1745" s="213"/>
      <c r="AJ1745" s="213"/>
      <c r="AK1745" s="213"/>
      <c r="AL1745" s="213"/>
      <c r="AM1745" s="213"/>
      <c r="AN1745" s="213"/>
      <c r="AO1745" s="213"/>
      <c r="AP1745" s="213"/>
      <c r="AQ1745" s="213"/>
      <c r="AR1745" s="213"/>
      <c r="AS1745" s="213"/>
      <c r="AT1745" s="213"/>
      <c r="AU1745" s="213"/>
      <c r="AV1745" s="213"/>
      <c r="AW1745" s="213"/>
      <c r="AX1745" s="213"/>
      <c r="AY1745" s="213"/>
      <c r="AZ1745" s="213"/>
      <c r="BA1745" s="213"/>
      <c r="BB1745" s="213"/>
      <c r="BC1745" s="213"/>
      <c r="BD1745" s="213"/>
    </row>
    <row r="1746">
      <c r="A1746" s="213">
        <f>IFERROR(__xludf.DUMMYFUNCTION("""COMPUTED_VALUE"""),1326.0)</f>
        <v>1326</v>
      </c>
      <c r="B1746" s="213" t="str">
        <f>IFERROR(__xludf.DUMMYFUNCTION("""COMPUTED_VALUE"""),"GUILLERMO E. BILLINGHURST ")</f>
        <v>GUILLERMO E. BILLINGHURST </v>
      </c>
      <c r="C1746" s="213" t="str">
        <f>IFERROR(__xludf.DUMMYFUNCTION("""COMPUTED_VALUE"""),"TALLER SFT DE INDUSTRIA ALIMENTARIA")</f>
        <v>TALLER SFT DE INDUSTRIA ALIMENTARIA</v>
      </c>
      <c r="D1746" s="213" t="str">
        <f>IFERROR(__xludf.DUMMYFUNCTION("""COMPUTED_VALUE"""),"MOBILIARIO")</f>
        <v>MOBILIARIO</v>
      </c>
      <c r="E1746" s="213" t="str">
        <f>IFERROR(__xludf.DUMMYFUNCTION("""COMPUTED_VALUE"""),"MOB-140")</f>
        <v>MOB-140</v>
      </c>
      <c r="F1746" s="213" t="str">
        <f>IFERROR(__xludf.DUMMYFUNCTION("""COMPUTED_VALUE"""),"MOB-140")</f>
        <v>MOB-140</v>
      </c>
      <c r="G1746" s="213"/>
      <c r="H1746" s="213" t="str">
        <f>IFERROR(__xludf.DUMMYFUNCTION("""COMPUTED_VALUE"""),"MESA DISCAPACITADO")</f>
        <v>MESA DISCAPACITADO</v>
      </c>
      <c r="I1746"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6" s="213">
        <f>IFERROR(__xludf.DUMMYFUNCTION("""COMPUTED_VALUE"""),3.0)</f>
        <v>3</v>
      </c>
      <c r="K1746" s="213" t="str">
        <f>IFERROR(__xludf.DUMMYFUNCTION("""COMPUTED_VALUE"""),"90 DÍAS CALENDARIO")</f>
        <v>90 DÍAS CALENDARIO</v>
      </c>
      <c r="L1746" s="213" t="str">
        <f>IFERROR(__xludf.DUMMYFUNCTION("""COMPUTED_VALUE"""),"")</f>
        <v/>
      </c>
      <c r="M1746" s="213">
        <f>IFERROR(__xludf.DUMMYFUNCTION("""COMPUTED_VALUE"""),1.0)</f>
        <v>1</v>
      </c>
      <c r="N1746" s="213">
        <f>IFERROR(__xludf.DUMMYFUNCTION("""COMPUTED_VALUE"""),0.0)</f>
        <v>0</v>
      </c>
      <c r="O1746" s="213">
        <f>IFERROR(__xludf.DUMMYFUNCTION("""COMPUTED_VALUE"""),0.0)</f>
        <v>0</v>
      </c>
      <c r="P1746" s="213"/>
      <c r="Q1746" s="213"/>
      <c r="R1746" s="213"/>
      <c r="S1746" s="213"/>
      <c r="T1746" s="213"/>
      <c r="U1746" s="213"/>
      <c r="V1746" s="213"/>
      <c r="W1746" s="213"/>
      <c r="X1746" s="213"/>
      <c r="Y1746" s="213"/>
      <c r="Z1746" s="213"/>
      <c r="AA1746" s="213"/>
      <c r="AB1746" s="213"/>
      <c r="AC1746" s="213"/>
      <c r="AD1746" s="213"/>
      <c r="AE1746" s="213"/>
      <c r="AF1746" s="213"/>
      <c r="AG1746" s="213"/>
      <c r="AH1746" s="213"/>
      <c r="AI1746" s="213"/>
      <c r="AJ1746" s="213"/>
      <c r="AK1746" s="213"/>
      <c r="AL1746" s="213"/>
      <c r="AM1746" s="213"/>
      <c r="AN1746" s="213"/>
      <c r="AO1746" s="213"/>
      <c r="AP1746" s="213"/>
      <c r="AQ1746" s="213"/>
      <c r="AR1746" s="213"/>
      <c r="AS1746" s="213"/>
      <c r="AT1746" s="213"/>
      <c r="AU1746" s="213"/>
      <c r="AV1746" s="213"/>
      <c r="AW1746" s="213"/>
      <c r="AX1746" s="213"/>
      <c r="AY1746" s="213"/>
      <c r="AZ1746" s="213"/>
      <c r="BA1746" s="213"/>
      <c r="BB1746" s="213"/>
      <c r="BC1746" s="213"/>
      <c r="BD1746" s="213"/>
    </row>
    <row r="1747">
      <c r="A1747" s="213">
        <f>IFERROR(__xludf.DUMMYFUNCTION("""COMPUTED_VALUE"""),1507.0)</f>
        <v>1507</v>
      </c>
      <c r="B1747" s="213" t="str">
        <f>IFERROR(__xludf.DUMMYFUNCTION("""COMPUTED_VALUE"""),"GUILLERMO E. BILLINGHURST ")</f>
        <v>GUILLERMO E. BILLINGHURST </v>
      </c>
      <c r="C1747" s="213" t="str">
        <f>IFERROR(__xludf.DUMMYFUNCTION("""COMPUTED_VALUE"""),"TALLER SFT DE MECÁNICA AUTOMOTRIZ")</f>
        <v>TALLER SFT DE MECÁNICA AUTOMOTRIZ</v>
      </c>
      <c r="D1747" s="213" t="str">
        <f>IFERROR(__xludf.DUMMYFUNCTION("""COMPUTED_VALUE"""),"MOBILIARIO")</f>
        <v>MOBILIARIO</v>
      </c>
      <c r="E1747" s="213" t="str">
        <f>IFERROR(__xludf.DUMMYFUNCTION("""COMPUTED_VALUE"""),"MOB-140")</f>
        <v>MOB-140</v>
      </c>
      <c r="F1747" s="213" t="str">
        <f>IFERROR(__xludf.DUMMYFUNCTION("""COMPUTED_VALUE"""),"MOB-140")</f>
        <v>MOB-140</v>
      </c>
      <c r="G1747" s="213"/>
      <c r="H1747" s="213" t="str">
        <f>IFERROR(__xludf.DUMMYFUNCTION("""COMPUTED_VALUE"""),"MESA DISCAPACITADO")</f>
        <v>MESA DISCAPACITADO</v>
      </c>
      <c r="I1747"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7" s="213">
        <f>IFERROR(__xludf.DUMMYFUNCTION("""COMPUTED_VALUE"""),3.0)</f>
        <v>3</v>
      </c>
      <c r="K1747" s="213" t="str">
        <f>IFERROR(__xludf.DUMMYFUNCTION("""COMPUTED_VALUE"""),"90 DÍAS CALENDARIO")</f>
        <v>90 DÍAS CALENDARIO</v>
      </c>
      <c r="L1747" s="213" t="str">
        <f>IFERROR(__xludf.DUMMYFUNCTION("""COMPUTED_VALUE"""),"")</f>
        <v/>
      </c>
      <c r="M1747" s="213">
        <f>IFERROR(__xludf.DUMMYFUNCTION("""COMPUTED_VALUE"""),1.0)</f>
        <v>1</v>
      </c>
      <c r="N1747" s="213">
        <f>IFERROR(__xludf.DUMMYFUNCTION("""COMPUTED_VALUE"""),1.0)</f>
        <v>1</v>
      </c>
      <c r="O1747" s="213">
        <f>IFERROR(__xludf.DUMMYFUNCTION("""COMPUTED_VALUE"""),1.0)</f>
        <v>1</v>
      </c>
      <c r="P1747" s="213"/>
      <c r="Q1747" s="213"/>
      <c r="R1747" s="213"/>
      <c r="S1747" s="213"/>
      <c r="T1747" s="213"/>
      <c r="U1747" s="213"/>
      <c r="V1747" s="213"/>
      <c r="W1747" s="213"/>
      <c r="X1747" s="213"/>
      <c r="Y1747" s="213"/>
      <c r="Z1747" s="213"/>
      <c r="AA1747" s="213"/>
      <c r="AB1747" s="213"/>
      <c r="AC1747" s="213"/>
      <c r="AD1747" s="213"/>
      <c r="AE1747" s="213"/>
      <c r="AF1747" s="213"/>
      <c r="AG1747" s="213"/>
      <c r="AH1747" s="213"/>
      <c r="AI1747" s="213"/>
      <c r="AJ1747" s="213"/>
      <c r="AK1747" s="213"/>
      <c r="AL1747" s="213"/>
      <c r="AM1747" s="213"/>
      <c r="AN1747" s="213"/>
      <c r="AO1747" s="213"/>
      <c r="AP1747" s="213"/>
      <c r="AQ1747" s="213"/>
      <c r="AR1747" s="213"/>
      <c r="AS1747" s="213"/>
      <c r="AT1747" s="213"/>
      <c r="AU1747" s="213"/>
      <c r="AV1747" s="213"/>
      <c r="AW1747" s="213"/>
      <c r="AX1747" s="213"/>
      <c r="AY1747" s="213"/>
      <c r="AZ1747" s="213"/>
      <c r="BA1747" s="213"/>
      <c r="BB1747" s="213"/>
      <c r="BC1747" s="213"/>
      <c r="BD1747" s="213"/>
    </row>
    <row r="1748">
      <c r="A1748" s="213">
        <f>IFERROR(__xludf.DUMMYFUNCTION("""COMPUTED_VALUE"""),1661.0)</f>
        <v>1661</v>
      </c>
      <c r="B1748" s="213" t="str">
        <f>IFERROR(__xludf.DUMMYFUNCTION("""COMPUTED_VALUE"""),"GUILLERMO E. BILLINGHURST ")</f>
        <v>GUILLERMO E. BILLINGHURST </v>
      </c>
      <c r="C1748" s="213" t="str">
        <f>IFERROR(__xludf.DUMMYFUNCTION("""COMPUTED_VALUE"""),"TALLER SFT DE COMPUTACIÓN E INFORMÁTICA")</f>
        <v>TALLER SFT DE COMPUTACIÓN E INFORMÁTICA</v>
      </c>
      <c r="D1748" s="213" t="str">
        <f>IFERROR(__xludf.DUMMYFUNCTION("""COMPUTED_VALUE"""),"MOBILIARIO")</f>
        <v>MOBILIARIO</v>
      </c>
      <c r="E1748" s="213" t="str">
        <f>IFERROR(__xludf.DUMMYFUNCTION("""COMPUTED_VALUE"""),"MOB-140")</f>
        <v>MOB-140</v>
      </c>
      <c r="F1748" s="213" t="str">
        <f>IFERROR(__xludf.DUMMYFUNCTION("""COMPUTED_VALUE"""),"MOB-140")</f>
        <v>MOB-140</v>
      </c>
      <c r="G1748" s="213"/>
      <c r="H1748" s="213" t="str">
        <f>IFERROR(__xludf.DUMMYFUNCTION("""COMPUTED_VALUE"""),"MESA DISCAPACITADO")</f>
        <v>MESA DISCAPACITADO</v>
      </c>
      <c r="I1748"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8" s="213">
        <f>IFERROR(__xludf.DUMMYFUNCTION("""COMPUTED_VALUE"""),3.0)</f>
        <v>3</v>
      </c>
      <c r="K1748" s="213" t="str">
        <f>IFERROR(__xludf.DUMMYFUNCTION("""COMPUTED_VALUE"""),"90 DÍAS CALENDARIO")</f>
        <v>90 DÍAS CALENDARIO</v>
      </c>
      <c r="L1748" s="213" t="str">
        <f>IFERROR(__xludf.DUMMYFUNCTION("""COMPUTED_VALUE"""),"")</f>
        <v/>
      </c>
      <c r="M1748" s="213">
        <f>IFERROR(__xludf.DUMMYFUNCTION("""COMPUTED_VALUE"""),1.0)</f>
        <v>1</v>
      </c>
      <c r="N1748" s="213">
        <f>IFERROR(__xludf.DUMMYFUNCTION("""COMPUTED_VALUE"""),1.0)</f>
        <v>1</v>
      </c>
      <c r="O1748" s="213">
        <f>IFERROR(__xludf.DUMMYFUNCTION("""COMPUTED_VALUE"""),1.0)</f>
        <v>1</v>
      </c>
      <c r="P1748" s="213"/>
      <c r="Q1748" s="213"/>
      <c r="R1748" s="213"/>
      <c r="S1748" s="213"/>
      <c r="T1748" s="213"/>
      <c r="U1748" s="213"/>
      <c r="V1748" s="213"/>
      <c r="W1748" s="213"/>
      <c r="X1748" s="213"/>
      <c r="Y1748" s="213"/>
      <c r="Z1748" s="213"/>
      <c r="AA1748" s="213"/>
      <c r="AB1748" s="213"/>
      <c r="AC1748" s="213"/>
      <c r="AD1748" s="213"/>
      <c r="AE1748" s="213"/>
      <c r="AF1748" s="213"/>
      <c r="AG1748" s="213"/>
      <c r="AH1748" s="213"/>
      <c r="AI1748" s="213"/>
      <c r="AJ1748" s="213"/>
      <c r="AK1748" s="213"/>
      <c r="AL1748" s="213"/>
      <c r="AM1748" s="213"/>
      <c r="AN1748" s="213"/>
      <c r="AO1748" s="213"/>
      <c r="AP1748" s="213"/>
      <c r="AQ1748" s="213"/>
      <c r="AR1748" s="213"/>
      <c r="AS1748" s="213"/>
      <c r="AT1748" s="213"/>
      <c r="AU1748" s="213"/>
      <c r="AV1748" s="213"/>
      <c r="AW1748" s="213"/>
      <c r="AX1748" s="213"/>
      <c r="AY1748" s="213"/>
      <c r="AZ1748" s="213"/>
      <c r="BA1748" s="213"/>
      <c r="BB1748" s="213"/>
      <c r="BC1748" s="213"/>
      <c r="BD1748" s="213"/>
    </row>
    <row r="1749">
      <c r="A1749" s="213">
        <f>IFERROR(__xludf.DUMMYFUNCTION("""COMPUTED_VALUE"""),1757.0)</f>
        <v>1757</v>
      </c>
      <c r="B1749" s="213" t="str">
        <f>IFERROR(__xludf.DUMMYFUNCTION("""COMPUTED_VALUE"""),"GUILLERMO E. BILLINGHURST ")</f>
        <v>GUILLERMO E. BILLINGHURST </v>
      </c>
      <c r="C1749" s="213" t="str">
        <f>IFERROR(__xludf.DUMMYFUNCTION("""COMPUTED_VALUE"""),"TALLER SFT DE EBANISTERÍA")</f>
        <v>TALLER SFT DE EBANISTERÍA</v>
      </c>
      <c r="D1749" s="213" t="str">
        <f>IFERROR(__xludf.DUMMYFUNCTION("""COMPUTED_VALUE"""),"MOBILIARIO")</f>
        <v>MOBILIARIO</v>
      </c>
      <c r="E1749" s="213" t="str">
        <f>IFERROR(__xludf.DUMMYFUNCTION("""COMPUTED_VALUE"""),"MOB-140")</f>
        <v>MOB-140</v>
      </c>
      <c r="F1749" s="213" t="str">
        <f>IFERROR(__xludf.DUMMYFUNCTION("""COMPUTED_VALUE"""),"MOB-140")</f>
        <v>MOB-140</v>
      </c>
      <c r="G1749" s="213"/>
      <c r="H1749" s="213" t="str">
        <f>IFERROR(__xludf.DUMMYFUNCTION("""COMPUTED_VALUE"""),"MESA DISCAPACITADO")</f>
        <v>MESA DISCAPACITADO</v>
      </c>
      <c r="I1749"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49" s="213">
        <f>IFERROR(__xludf.DUMMYFUNCTION("""COMPUTED_VALUE"""),3.0)</f>
        <v>3</v>
      </c>
      <c r="K1749" s="213" t="str">
        <f>IFERROR(__xludf.DUMMYFUNCTION("""COMPUTED_VALUE"""),"90 DÍAS CALENDARIO")</f>
        <v>90 DÍAS CALENDARIO</v>
      </c>
      <c r="L1749" s="213" t="str">
        <f>IFERROR(__xludf.DUMMYFUNCTION("""COMPUTED_VALUE"""),"")</f>
        <v/>
      </c>
      <c r="M1749" s="213">
        <f>IFERROR(__xludf.DUMMYFUNCTION("""COMPUTED_VALUE"""),1.0)</f>
        <v>1</v>
      </c>
      <c r="N1749" s="213">
        <f>IFERROR(__xludf.DUMMYFUNCTION("""COMPUTED_VALUE"""),1.0)</f>
        <v>1</v>
      </c>
      <c r="O1749" s="213">
        <f>IFERROR(__xludf.DUMMYFUNCTION("""COMPUTED_VALUE"""),1.0)</f>
        <v>1</v>
      </c>
      <c r="P1749" s="213"/>
      <c r="Q1749" s="213"/>
      <c r="R1749" s="213"/>
      <c r="S1749" s="213"/>
      <c r="T1749" s="213"/>
      <c r="U1749" s="213"/>
      <c r="V1749" s="213"/>
      <c r="W1749" s="213"/>
      <c r="X1749" s="213"/>
      <c r="Y1749" s="213"/>
      <c r="Z1749" s="213"/>
      <c r="AA1749" s="213"/>
      <c r="AB1749" s="213"/>
      <c r="AC1749" s="213"/>
      <c r="AD1749" s="213"/>
      <c r="AE1749" s="213"/>
      <c r="AF1749" s="213"/>
      <c r="AG1749" s="213"/>
      <c r="AH1749" s="213"/>
      <c r="AI1749" s="213"/>
      <c r="AJ1749" s="213"/>
      <c r="AK1749" s="213"/>
      <c r="AL1749" s="213"/>
      <c r="AM1749" s="213"/>
      <c r="AN1749" s="213"/>
      <c r="AO1749" s="213"/>
      <c r="AP1749" s="213"/>
      <c r="AQ1749" s="213"/>
      <c r="AR1749" s="213"/>
      <c r="AS1749" s="213"/>
      <c r="AT1749" s="213"/>
      <c r="AU1749" s="213"/>
      <c r="AV1749" s="213"/>
      <c r="AW1749" s="213"/>
      <c r="AX1749" s="213"/>
      <c r="AY1749" s="213"/>
      <c r="AZ1749" s="213"/>
      <c r="BA1749" s="213"/>
      <c r="BB1749" s="213"/>
      <c r="BC1749" s="213"/>
      <c r="BD1749" s="213"/>
    </row>
    <row r="1750">
      <c r="A1750" s="213">
        <f>IFERROR(__xludf.DUMMYFUNCTION("""COMPUTED_VALUE"""),1912.0)</f>
        <v>1912</v>
      </c>
      <c r="B1750" s="213" t="str">
        <f>IFERROR(__xludf.DUMMYFUNCTION("""COMPUTED_VALUE"""),"JOSE GRANDA")</f>
        <v>JOSE GRANDA</v>
      </c>
      <c r="C1750" s="213" t="str">
        <f>IFERROR(__xludf.DUMMYFUNCTION("""COMPUTED_VALUE"""),"TALLER SFT DE COMPUTACIÓN E INFORMÁTICA")</f>
        <v>TALLER SFT DE COMPUTACIÓN E INFORMÁTICA</v>
      </c>
      <c r="D1750" s="213" t="str">
        <f>IFERROR(__xludf.DUMMYFUNCTION("""COMPUTED_VALUE"""),"MOBILIARIO")</f>
        <v>MOBILIARIO</v>
      </c>
      <c r="E1750" s="213" t="str">
        <f>IFERROR(__xludf.DUMMYFUNCTION("""COMPUTED_VALUE"""),"MOB-140")</f>
        <v>MOB-140</v>
      </c>
      <c r="F1750" s="213" t="str">
        <f>IFERROR(__xludf.DUMMYFUNCTION("""COMPUTED_VALUE"""),"MOB-140")</f>
        <v>MOB-140</v>
      </c>
      <c r="G1750" s="213"/>
      <c r="H1750" s="213" t="str">
        <f>IFERROR(__xludf.DUMMYFUNCTION("""COMPUTED_VALUE"""),"MESA DISCAPACITADO")</f>
        <v>MESA DISCAPACITADO</v>
      </c>
      <c r="I1750"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50" s="213">
        <f>IFERROR(__xludf.DUMMYFUNCTION("""COMPUTED_VALUE"""),3.0)</f>
        <v>3</v>
      </c>
      <c r="K1750" s="213" t="str">
        <f>IFERROR(__xludf.DUMMYFUNCTION("""COMPUTED_VALUE"""),"90 DÍAS CALENDARIO")</f>
        <v>90 DÍAS CALENDARIO</v>
      </c>
      <c r="L1750" s="213" t="str">
        <f>IFERROR(__xludf.DUMMYFUNCTION("""COMPUTED_VALUE"""),"")</f>
        <v/>
      </c>
      <c r="M1750" s="213">
        <f>IFERROR(__xludf.DUMMYFUNCTION("""COMPUTED_VALUE"""),1.0)</f>
        <v>1</v>
      </c>
      <c r="N1750" s="213">
        <f>IFERROR(__xludf.DUMMYFUNCTION("""COMPUTED_VALUE"""),1.0)</f>
        <v>1</v>
      </c>
      <c r="O1750" s="213">
        <f>IFERROR(__xludf.DUMMYFUNCTION("""COMPUTED_VALUE"""),1.0)</f>
        <v>1</v>
      </c>
      <c r="P1750" s="213"/>
      <c r="Q1750" s="213"/>
      <c r="R1750" s="213"/>
      <c r="S1750" s="213"/>
      <c r="T1750" s="213"/>
      <c r="U1750" s="213"/>
      <c r="V1750" s="213"/>
      <c r="W1750" s="213"/>
      <c r="X1750" s="213"/>
      <c r="Y1750" s="213"/>
      <c r="Z1750" s="213"/>
      <c r="AA1750" s="213"/>
      <c r="AB1750" s="213"/>
      <c r="AC1750" s="213"/>
      <c r="AD1750" s="213"/>
      <c r="AE1750" s="213"/>
      <c r="AF1750" s="213"/>
      <c r="AG1750" s="213"/>
      <c r="AH1750" s="213"/>
      <c r="AI1750" s="213"/>
      <c r="AJ1750" s="213"/>
      <c r="AK1750" s="213"/>
      <c r="AL1750" s="213"/>
      <c r="AM1750" s="213"/>
      <c r="AN1750" s="213"/>
      <c r="AO1750" s="213"/>
      <c r="AP1750" s="213"/>
      <c r="AQ1750" s="213"/>
      <c r="AR1750" s="213"/>
      <c r="AS1750" s="213"/>
      <c r="AT1750" s="213"/>
      <c r="AU1750" s="213"/>
      <c r="AV1750" s="213"/>
      <c r="AW1750" s="213"/>
      <c r="AX1750" s="213"/>
      <c r="AY1750" s="213"/>
      <c r="AZ1750" s="213"/>
      <c r="BA1750" s="213"/>
      <c r="BB1750" s="213"/>
      <c r="BC1750" s="213"/>
      <c r="BD1750" s="213"/>
    </row>
    <row r="1751">
      <c r="A1751" s="213">
        <f>IFERROR(__xludf.DUMMYFUNCTION("""COMPUTED_VALUE"""),2007.0)</f>
        <v>2007</v>
      </c>
      <c r="B1751" s="213" t="str">
        <f>IFERROR(__xludf.DUMMYFUNCTION("""COMPUTED_VALUE"""),"JOSE GRANDA")</f>
        <v>JOSE GRANDA</v>
      </c>
      <c r="C1751" s="213" t="str">
        <f>IFERROR(__xludf.DUMMYFUNCTION("""COMPUTED_VALUE"""),"TALLER SFT DE INDUSTRIA ALIMENTARIA")</f>
        <v>TALLER SFT DE INDUSTRIA ALIMENTARIA</v>
      </c>
      <c r="D1751" s="213" t="str">
        <f>IFERROR(__xludf.DUMMYFUNCTION("""COMPUTED_VALUE"""),"MOBILIARIO")</f>
        <v>MOBILIARIO</v>
      </c>
      <c r="E1751" s="213" t="str">
        <f>IFERROR(__xludf.DUMMYFUNCTION("""COMPUTED_VALUE"""),"MOB-140")</f>
        <v>MOB-140</v>
      </c>
      <c r="F1751" s="213" t="str">
        <f>IFERROR(__xludf.DUMMYFUNCTION("""COMPUTED_VALUE"""),"MOB-140")</f>
        <v>MOB-140</v>
      </c>
      <c r="G1751" s="213"/>
      <c r="H1751" s="213" t="str">
        <f>IFERROR(__xludf.DUMMYFUNCTION("""COMPUTED_VALUE"""),"MESA DISCAPACITADO")</f>
        <v>MESA DISCAPACITADO</v>
      </c>
      <c r="I1751"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51" s="213">
        <f>IFERROR(__xludf.DUMMYFUNCTION("""COMPUTED_VALUE"""),3.0)</f>
        <v>3</v>
      </c>
      <c r="K1751" s="213" t="str">
        <f>IFERROR(__xludf.DUMMYFUNCTION("""COMPUTED_VALUE"""),"90 DÍAS CALENDARIO")</f>
        <v>90 DÍAS CALENDARIO</v>
      </c>
      <c r="L1751" s="213" t="str">
        <f>IFERROR(__xludf.DUMMYFUNCTION("""COMPUTED_VALUE"""),"")</f>
        <v/>
      </c>
      <c r="M1751" s="213">
        <f>IFERROR(__xludf.DUMMYFUNCTION("""COMPUTED_VALUE"""),1.0)</f>
        <v>1</v>
      </c>
      <c r="N1751" s="213">
        <f>IFERROR(__xludf.DUMMYFUNCTION("""COMPUTED_VALUE"""),1.0)</f>
        <v>1</v>
      </c>
      <c r="O1751" s="213">
        <f>IFERROR(__xludf.DUMMYFUNCTION("""COMPUTED_VALUE"""),1.0)</f>
        <v>1</v>
      </c>
      <c r="P1751" s="213"/>
      <c r="Q1751" s="213"/>
      <c r="R1751" s="213"/>
      <c r="S1751" s="213"/>
      <c r="T1751" s="213"/>
      <c r="U1751" s="213"/>
      <c r="V1751" s="213"/>
      <c r="W1751" s="213"/>
      <c r="X1751" s="213"/>
      <c r="Y1751" s="213"/>
      <c r="Z1751" s="213"/>
      <c r="AA1751" s="213"/>
      <c r="AB1751" s="213"/>
      <c r="AC1751" s="213"/>
      <c r="AD1751" s="213"/>
      <c r="AE1751" s="213"/>
      <c r="AF1751" s="213"/>
      <c r="AG1751" s="213"/>
      <c r="AH1751" s="213"/>
      <c r="AI1751" s="213"/>
      <c r="AJ1751" s="213"/>
      <c r="AK1751" s="213"/>
      <c r="AL1751" s="213"/>
      <c r="AM1751" s="213"/>
      <c r="AN1751" s="213"/>
      <c r="AO1751" s="213"/>
      <c r="AP1751" s="213"/>
      <c r="AQ1751" s="213"/>
      <c r="AR1751" s="213"/>
      <c r="AS1751" s="213"/>
      <c r="AT1751" s="213"/>
      <c r="AU1751" s="213"/>
      <c r="AV1751" s="213"/>
      <c r="AW1751" s="213"/>
      <c r="AX1751" s="213"/>
      <c r="AY1751" s="213"/>
      <c r="AZ1751" s="213"/>
      <c r="BA1751" s="213"/>
      <c r="BB1751" s="213"/>
      <c r="BC1751" s="213"/>
      <c r="BD1751" s="213"/>
    </row>
    <row r="1752">
      <c r="A1752" s="213">
        <f>IFERROR(__xludf.DUMMYFUNCTION("""COMPUTED_VALUE"""),2216.0)</f>
        <v>2216</v>
      </c>
      <c r="B1752" s="213" t="str">
        <f>IFERROR(__xludf.DUMMYFUNCTION("""COMPUTED_VALUE"""),"JOSE GRANDA")</f>
        <v>JOSE GRANDA</v>
      </c>
      <c r="C1752" s="213" t="str">
        <f>IFERROR(__xludf.DUMMYFUNCTION("""COMPUTED_VALUE"""),"TALLER SFT DE MECÁNICA AUTOMOTRIZ")</f>
        <v>TALLER SFT DE MECÁNICA AUTOMOTRIZ</v>
      </c>
      <c r="D1752" s="213" t="str">
        <f>IFERROR(__xludf.DUMMYFUNCTION("""COMPUTED_VALUE"""),"MOBILIARIO")</f>
        <v>MOBILIARIO</v>
      </c>
      <c r="E1752" s="213" t="str">
        <f>IFERROR(__xludf.DUMMYFUNCTION("""COMPUTED_VALUE"""),"MOB-140")</f>
        <v>MOB-140</v>
      </c>
      <c r="F1752" s="213" t="str">
        <f>IFERROR(__xludf.DUMMYFUNCTION("""COMPUTED_VALUE"""),"MOB-140")</f>
        <v>MOB-140</v>
      </c>
      <c r="G1752" s="213"/>
      <c r="H1752" s="213" t="str">
        <f>IFERROR(__xludf.DUMMYFUNCTION("""COMPUTED_VALUE"""),"MESA DISCAPACITADO")</f>
        <v>MESA DISCAPACITADO</v>
      </c>
      <c r="I1752"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52" s="213">
        <f>IFERROR(__xludf.DUMMYFUNCTION("""COMPUTED_VALUE"""),3.0)</f>
        <v>3</v>
      </c>
      <c r="K1752" s="213" t="str">
        <f>IFERROR(__xludf.DUMMYFUNCTION("""COMPUTED_VALUE"""),"90 DÍAS CALENDARIO")</f>
        <v>90 DÍAS CALENDARIO</v>
      </c>
      <c r="L1752" s="213" t="str">
        <f>IFERROR(__xludf.DUMMYFUNCTION("""COMPUTED_VALUE"""),"")</f>
        <v/>
      </c>
      <c r="M1752" s="213">
        <f>IFERROR(__xludf.DUMMYFUNCTION("""COMPUTED_VALUE"""),1.0)</f>
        <v>1</v>
      </c>
      <c r="N1752" s="213">
        <f>IFERROR(__xludf.DUMMYFUNCTION("""COMPUTED_VALUE"""),1.0)</f>
        <v>1</v>
      </c>
      <c r="O1752" s="213">
        <f>IFERROR(__xludf.DUMMYFUNCTION("""COMPUTED_VALUE"""),1.0)</f>
        <v>1</v>
      </c>
      <c r="P1752" s="213"/>
      <c r="Q1752" s="213"/>
      <c r="R1752" s="213"/>
      <c r="S1752" s="213"/>
      <c r="T1752" s="213"/>
      <c r="U1752" s="213"/>
      <c r="V1752" s="213"/>
      <c r="W1752" s="213"/>
      <c r="X1752" s="213"/>
      <c r="Y1752" s="213"/>
      <c r="Z1752" s="213"/>
      <c r="AA1752" s="213"/>
      <c r="AB1752" s="213"/>
      <c r="AC1752" s="213"/>
      <c r="AD1752" s="213"/>
      <c r="AE1752" s="213"/>
      <c r="AF1752" s="213"/>
      <c r="AG1752" s="213"/>
      <c r="AH1752" s="213"/>
      <c r="AI1752" s="213"/>
      <c r="AJ1752" s="213"/>
      <c r="AK1752" s="213"/>
      <c r="AL1752" s="213"/>
      <c r="AM1752" s="213"/>
      <c r="AN1752" s="213"/>
      <c r="AO1752" s="213"/>
      <c r="AP1752" s="213"/>
      <c r="AQ1752" s="213"/>
      <c r="AR1752" s="213"/>
      <c r="AS1752" s="213"/>
      <c r="AT1752" s="213"/>
      <c r="AU1752" s="213"/>
      <c r="AV1752" s="213"/>
      <c r="AW1752" s="213"/>
      <c r="AX1752" s="213"/>
      <c r="AY1752" s="213"/>
      <c r="AZ1752" s="213"/>
      <c r="BA1752" s="213"/>
      <c r="BB1752" s="213"/>
      <c r="BC1752" s="213"/>
      <c r="BD1752" s="213"/>
    </row>
    <row r="1753">
      <c r="A1753" s="213">
        <f>IFERROR(__xludf.DUMMYFUNCTION("""COMPUTED_VALUE"""),2351.0)</f>
        <v>2351</v>
      </c>
      <c r="B1753" s="213" t="str">
        <f>IFERROR(__xludf.DUMMYFUNCTION("""COMPUTED_VALUE"""),"MANUEL ANTONIO MESONES MURO")</f>
        <v>MANUEL ANTONIO MESONES MURO</v>
      </c>
      <c r="C1753" s="213" t="str">
        <f>IFERROR(__xludf.DUMMYFUNCTION("""COMPUTED_VALUE"""),"TALLER SFT DE INDUSTRIA DEL VESTIDO")</f>
        <v>TALLER SFT DE INDUSTRIA DEL VESTIDO</v>
      </c>
      <c r="D1753" s="213" t="str">
        <f>IFERROR(__xludf.DUMMYFUNCTION("""COMPUTED_VALUE"""),"MOBILIARIO")</f>
        <v>MOBILIARIO</v>
      </c>
      <c r="E1753" s="213" t="str">
        <f>IFERROR(__xludf.DUMMYFUNCTION("""COMPUTED_VALUE"""),"MOB-140")</f>
        <v>MOB-140</v>
      </c>
      <c r="F1753" s="213" t="str">
        <f>IFERROR(__xludf.DUMMYFUNCTION("""COMPUTED_VALUE"""),"MOB-140")</f>
        <v>MOB-140</v>
      </c>
      <c r="G1753" s="213"/>
      <c r="H1753" s="213" t="str">
        <f>IFERROR(__xludf.DUMMYFUNCTION("""COMPUTED_VALUE"""),"MESA DISCAPACITADO")</f>
        <v>MESA DISCAPACITADO</v>
      </c>
      <c r="I1753"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53" s="213">
        <f>IFERROR(__xludf.DUMMYFUNCTION("""COMPUTED_VALUE"""),3.0)</f>
        <v>3</v>
      </c>
      <c r="K1753" s="213" t="str">
        <f>IFERROR(__xludf.DUMMYFUNCTION("""COMPUTED_VALUE"""),"90 DÍAS CALENDARIO")</f>
        <v>90 DÍAS CALENDARIO</v>
      </c>
      <c r="L1753" s="213" t="str">
        <f>IFERROR(__xludf.DUMMYFUNCTION("""COMPUTED_VALUE"""),"")</f>
        <v/>
      </c>
      <c r="M1753" s="213">
        <f>IFERROR(__xludf.DUMMYFUNCTION("""COMPUTED_VALUE"""),1.0)</f>
        <v>1</v>
      </c>
      <c r="N1753" s="213">
        <f>IFERROR(__xludf.DUMMYFUNCTION("""COMPUTED_VALUE"""),1.0)</f>
        <v>1</v>
      </c>
      <c r="O1753" s="213">
        <f>IFERROR(__xludf.DUMMYFUNCTION("""COMPUTED_VALUE"""),1.0)</f>
        <v>1</v>
      </c>
      <c r="P1753" s="213"/>
      <c r="Q1753" s="213"/>
      <c r="R1753" s="213"/>
      <c r="S1753" s="213"/>
      <c r="T1753" s="213"/>
      <c r="U1753" s="213"/>
      <c r="V1753" s="213"/>
      <c r="W1753" s="213"/>
      <c r="X1753" s="213"/>
      <c r="Y1753" s="213"/>
      <c r="Z1753" s="213"/>
      <c r="AA1753" s="213"/>
      <c r="AB1753" s="213"/>
      <c r="AC1753" s="213"/>
      <c r="AD1753" s="213"/>
      <c r="AE1753" s="213"/>
      <c r="AF1753" s="213"/>
      <c r="AG1753" s="213"/>
      <c r="AH1753" s="213"/>
      <c r="AI1753" s="213"/>
      <c r="AJ1753" s="213"/>
      <c r="AK1753" s="213"/>
      <c r="AL1753" s="213"/>
      <c r="AM1753" s="213"/>
      <c r="AN1753" s="213"/>
      <c r="AO1753" s="213"/>
      <c r="AP1753" s="213"/>
      <c r="AQ1753" s="213"/>
      <c r="AR1753" s="213"/>
      <c r="AS1753" s="213"/>
      <c r="AT1753" s="213"/>
      <c r="AU1753" s="213"/>
      <c r="AV1753" s="213"/>
      <c r="AW1753" s="213"/>
      <c r="AX1753" s="213"/>
      <c r="AY1753" s="213"/>
      <c r="AZ1753" s="213"/>
      <c r="BA1753" s="213"/>
      <c r="BB1753" s="213"/>
      <c r="BC1753" s="213"/>
      <c r="BD1753" s="213"/>
    </row>
    <row r="1754">
      <c r="A1754" s="213">
        <f>IFERROR(__xludf.DUMMYFUNCTION("""COMPUTED_VALUE"""),2503.0)</f>
        <v>2503</v>
      </c>
      <c r="B1754" s="213" t="str">
        <f>IFERROR(__xludf.DUMMYFUNCTION("""COMPUTED_VALUE"""),"MANUEL ANTONIO MESONES MURO")</f>
        <v>MANUEL ANTONIO MESONES MURO</v>
      </c>
      <c r="C1754" s="213" t="str">
        <f>IFERROR(__xludf.DUMMYFUNCTION("""COMPUTED_VALUE"""),"TALLER SFT DE CONSTRUCCIONES METÁLICAS")</f>
        <v>TALLER SFT DE CONSTRUCCIONES METÁLICAS</v>
      </c>
      <c r="D1754" s="213" t="str">
        <f>IFERROR(__xludf.DUMMYFUNCTION("""COMPUTED_VALUE"""),"TICS")</f>
        <v>TICS</v>
      </c>
      <c r="E1754" s="213" t="str">
        <f>IFERROR(__xludf.DUMMYFUNCTION("""COMPUTED_VALUE"""),"TEC-114")</f>
        <v>TEC-114</v>
      </c>
      <c r="F1754" s="213" t="str">
        <f>IFERROR(__xludf.DUMMYFUNCTION("""COMPUTED_VALUE"""),"TEC-114")</f>
        <v>TEC-114</v>
      </c>
      <c r="G1754" s="213"/>
      <c r="H1754" s="213" t="str">
        <f>IFERROR(__xludf.DUMMYFUNCTION("""COMPUTED_VALUE"""),"PIZARRA (PANTALLA) TÁCTIL INTERACTIVA MULTI-TOUCH")</f>
        <v>PIZARRA (PANTALLA) TÁCTIL INTERACTIVA MULTI-TOUCH</v>
      </c>
      <c r="I1754"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 PUERTOS E/S: USB, HDMI"&amp;", RS232, VGA, Audio y RJ45 --- AUDIO 10W --- VOLTAJE 220VAC /60 HZ --- SISTEMA OPERATIVO DE
LA PANTALLA Windows y/o IOS y/o Android y/o Linux y/o del mismo fabricante --- SOFTWARE Control del uso de la pantalla y/o manejo de la clase --- CERTIFICADO Energ"&amp;"y Star y/o CE y/o FCC y/o RoHS. --- 02 lapiceros y/o lapiz inalámbrico compatible con el equipo. --- 01 Cable de alimentación y 01 cable de conexión de video y 01 cable  --- USB y 01 Manual de Usuario --- 01 Kit de montaje con ruedas  --- GARANTIA Tres (0"&amp;"3) años Onsite a Nivel Nacional  CONTIENE:
. Softwares de última generación y utilitarios instalados en 64 Bits. Instalados en la computadora, trabajan con y sin conexión a internet. / Software Microsoft Office 2019 o superior (Word, Excel, PowerPoint, Vi"&amp;"sio, One Note y Ms Forms), idioma Español, de 64 Bits.
· Software Antivirus:
- Licenciada / Idioma español / Protección antivirus en tiempo real para proteger de virus, troyanos, adware, malware y phishing / Protección contra firewall /
· Software - Progr"&amp;"amas CAD para dibujos en 2D, 3D y renderizado:
- Gratuitos /libres (de código abierto) / Idioma español / Compatible con el sistema operativo de la computadora (Windows 11 o posterior) / Cuenta con herramientas de edición y modelado de muebles / Cuenta co"&amp;"n editor geométrico interactivo, procesamiento de imágenes y señales / Alta capacidad de renderizado / Entre las alternativas gratuitas: SketchUp, Polyboard, Sweet Home 3D, entre otros.
· Software para diseño gráfico publicitario:
- Gratuitos /libres (de "&amp;"código abierto) / Idioma español / Compatible con el sistema operativo de la computadora (Windows 11 o posterior) / Permite crear diseños, gráficos, fotografías y sitios web / Dispone de herramientas profesionales de diseño, edición de imágenes y fotograf"&amp;"ías y diseño de páginas web. Funciones táctiles y para lápices intuitivos / Dispone de editor de gráficos vectoriales, textos y logos / Permite diseño de prototipos e interfaces para aplicaciones y sitios web / Entre  las alternativas gratuitas /libres: G"&amp;"imp, krita, Inkscape, Pencil Proyect, entre otros.
· Software para diseño y edición de videos – spot publicitarios:
- Gratuitos /libres (de código abierto) / Idioma español / Versión 2019 o superior / Compatible con el sistema operativo de la computadora "&amp;"(Windows 11 o posterior) / Permite diseñar y editar videos / Trabaja con diferentes formatos: Un amplio soporte para diferentes formatos, incluyendo MP4, AVI, MOV, AVCHD y más. / Permite crear videos de alta resolución: 4K, y trabajar en formato SD y HD /"&amp;" Dispone de las herramientas más utilizadas en los editores de vídeos: cortar, recortar, dividir y combinar en unos pocos clics. / Permite generar acabados: Varios filtros y efectos visuales para retocar el vídeo, efectos especiales en 2D y 3D / Dispone d"&amp;"e herramientas para realizar diseños y animaciones en 3D y plantillas animadas gratuitas. / Permite editar, ajustar perfeccionar el audio / Entre las alternativas gratuitas /libres: Windows Movie Maker, Video editor Wondershare filmadora, Lightworks, VSDC"&amp;" Free Video editor, Blender, entre otros.
· Software / programas para elaborar flujogramas:
- Gratuitos /libres (de código abierto) / Idioma español / Compatible con el sistema operativo de la computadora (Windows 11 o posterior) / Diseña diagramas de flu"&amp;"jos y organigramas / Contiene una variedad de símbolos y estilos de conexión de líneas. / Edita, personaliza colores, rellenos y trazos / Entre las alternativas gratuitas /libres: clickCharts, CreatelyDia, y Ed Graph Editor, Pencil project, entre otros.
·"&amp;" Software para elaborar presupuestos:
- Gratuitos /libres (de código abierto) / Idioma español / Compatible con el sistema operativo de la computadora (Windows 11 o posterior) / Crea presupuestos, gestiona la facturación y la planificación de presupuestos"&amp;"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1754" s="213">
        <f>IFERROR(__xludf.DUMMYFUNCTION("""COMPUTED_VALUE"""),3.0)</f>
        <v>3</v>
      </c>
      <c r="K1754" s="213" t="str">
        <f>IFERROR(__xludf.DUMMYFUNCTION("""COMPUTED_VALUE"""),"170 DÍAS CALENDARIO")</f>
        <v>170 DÍAS CALENDARIO</v>
      </c>
      <c r="L1754"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1754" s="213">
        <f>IFERROR(__xludf.DUMMYFUNCTION("""COMPUTED_VALUE"""),1.0)</f>
        <v>1</v>
      </c>
      <c r="N1754" s="213">
        <f>IFERROR(__xludf.DUMMYFUNCTION("""COMPUTED_VALUE"""),1.0)</f>
        <v>1</v>
      </c>
      <c r="O1754" s="213">
        <f>IFERROR(__xludf.DUMMYFUNCTION("""COMPUTED_VALUE"""),1.0)</f>
        <v>1</v>
      </c>
      <c r="P1754" s="213"/>
      <c r="Q1754" s="213"/>
      <c r="R1754" s="213"/>
      <c r="S1754" s="213"/>
      <c r="T1754" s="213" t="str">
        <f>IFERROR(__xludf.DUMMYFUNCTION("""COMPUTED_VALUE"""),"SI")</f>
        <v>SI</v>
      </c>
      <c r="U1754" s="213" t="str">
        <f>IFERROR(__xludf.DUMMYFUNCTION("""COMPUTED_VALUE"""),"NO")</f>
        <v>NO</v>
      </c>
      <c r="V1754" s="213" t="str">
        <f>IFERROR(__xludf.DUMMYFUNCTION("""COMPUTED_VALUE"""),"SUSTENTO")</f>
        <v>SUSTENTO</v>
      </c>
      <c r="W1754" s="213" t="str">
        <f>IFERROR(__xludf.DUMMYFUNCTION("""COMPUTED_VALUE"""),"CRÍTICO")</f>
        <v>CRÍTICO</v>
      </c>
      <c r="X1754" s="213" t="str">
        <f>IFERROR(__xludf.DUMMYFUNCTION("""COMPUTED_VALUE"""),"ViewSonic")</f>
        <v>ViewSonic</v>
      </c>
      <c r="Y1754" s="213" t="str">
        <f>IFERROR(__xludf.DUMMYFUNCTION("""COMPUTED_VALUE"""),"IFP7573")</f>
        <v>IFP7573</v>
      </c>
      <c r="Z1754" s="215" t="str">
        <f>IFERROR(__xludf.DUMMYFUNCTION("""COMPUTED_VALUE"""),"https://www.viewsonic.com/la/products/ifp7550.html#specTabs.specifications")</f>
        <v>https://www.viewsonic.com/la/products/ifp7550.html#specTabs.specifications</v>
      </c>
      <c r="AA1754" s="213" t="str">
        <f>IFERROR(__xludf.DUMMYFUNCTION("""COMPUTED_VALUE"""),"TEC-114 PIZARRA (PANTALLA) TÁCTIL INTERACTIVA MULTI-TOUCH - CET")</f>
        <v>TEC-114 PIZARRA (PANTALLA) TÁCTIL INTERACTIVA MULTI-TOUCH - CET</v>
      </c>
      <c r="AB1754" s="213"/>
      <c r="AC1754" s="213"/>
      <c r="AD1754" s="213"/>
      <c r="AE1754" s="213"/>
      <c r="AF1754" s="213"/>
      <c r="AG1754" s="213"/>
      <c r="AH1754" s="213"/>
      <c r="AI1754" s="213"/>
      <c r="AJ1754" s="213"/>
      <c r="AK1754" s="213"/>
      <c r="AL1754" s="213"/>
      <c r="AM1754" s="213"/>
      <c r="AN1754" s="213"/>
      <c r="AO1754" s="213"/>
      <c r="AP1754" s="213" t="str">
        <f>IFERROR(__xludf.DUMMYFUNCTION("""COMPUTED_VALUE"""),"NALDI")</f>
        <v>NALDI</v>
      </c>
      <c r="AQ1754" s="213" t="str">
        <f>IFERROR(__xludf.DUMMYFUNCTION("""COMPUTED_VALUE"""),"Instalar antivirus, software CAD, diseño gráfico, edición de video, flujogramas y presupuestos")</f>
        <v>Instalar antivirus, software CAD, diseño gráfico, edición de video, flujogramas y presupuestos</v>
      </c>
      <c r="AR1754" s="213"/>
      <c r="AS1754" s="213" t="str">
        <f>IFERROR(__xludf.DUMMYFUNCTION("""COMPUTED_VALUE"""),"Adaptador de VGA a HDMI
Rack para pizarra
Instalar los programas")</f>
        <v>Adaptador de VGA a HDMI
Rack para pizarra
Instalar los programas</v>
      </c>
      <c r="AT1754" s="213"/>
      <c r="AU1754" s="213"/>
      <c r="AV1754" s="213"/>
      <c r="AW1754" s="213"/>
      <c r="AX1754" s="213"/>
      <c r="AY1754" s="213"/>
      <c r="AZ1754" s="213"/>
      <c r="BA1754" s="213"/>
      <c r="BB1754" s="213"/>
      <c r="BC1754" s="213"/>
      <c r="BD1754" s="213"/>
    </row>
    <row r="1755">
      <c r="A1755" s="213">
        <f>IFERROR(__xludf.DUMMYFUNCTION("""COMPUTED_VALUE"""),2542.0)</f>
        <v>2542</v>
      </c>
      <c r="B1755" s="213" t="str">
        <f>IFERROR(__xludf.DUMMYFUNCTION("""COMPUTED_VALUE"""),"MANUEL ANTONIO MESONES MURO")</f>
        <v>MANUEL ANTONIO MESONES MURO</v>
      </c>
      <c r="C1755" s="213" t="str">
        <f>IFERROR(__xludf.DUMMYFUNCTION("""COMPUTED_VALUE"""),"TALLER SFT DE EBANISTERÍA")</f>
        <v>TALLER SFT DE EBANISTERÍA</v>
      </c>
      <c r="D1755" s="213" t="str">
        <f>IFERROR(__xludf.DUMMYFUNCTION("""COMPUTED_VALUE"""),"MOBILIARIO")</f>
        <v>MOBILIARIO</v>
      </c>
      <c r="E1755" s="213" t="str">
        <f>IFERROR(__xludf.DUMMYFUNCTION("""COMPUTED_VALUE"""),"MOB-140")</f>
        <v>MOB-140</v>
      </c>
      <c r="F1755" s="213" t="str">
        <f>IFERROR(__xludf.DUMMYFUNCTION("""COMPUTED_VALUE"""),"MOB-140")</f>
        <v>MOB-140</v>
      </c>
      <c r="G1755" s="213"/>
      <c r="H1755" s="213" t="str">
        <f>IFERROR(__xludf.DUMMYFUNCTION("""COMPUTED_VALUE"""),"MESA DISCAPACITADO")</f>
        <v>MESA DISCAPACITADO</v>
      </c>
      <c r="I1755" s="213" t="str">
        <f>IFERROR(__xludf.DUMMYFUNCTION("""COMPUTED_VALUE"""),"· Ofrece un rango de ajuste en altura de 70 a 90 cm.
· Tablero de madera aglomerada bilaminado, mínimo 18 mm de espesor, canteado con PVC 3mm o similar
· Estructura metálica: mínimo de tubo cuadrado de 1½” x 1.5 mm. o tubo equivalente de 1,5 mm de espesor"&amp;" como mínimo.
· Soporte de tubo cuadrado de 1 1/2"", e: 1.5 mm, o tubo equivalente de 1,5 mm de espesor como mínimo con
regatones antideslizantes.
· Patas de acero con acabado en pintura polvo electrostático de 60 micras (mínimo).
· La superficie de traba"&amp;"jo es de 700mm de profundidad x 850 mm de ancho.
· El tablero deberá contar con una escotadura de R=0.30m
· El mueble no requiere ser anclado en el piso.")</f>
        <v>· Ofrece un rango de ajuste en altura de 70 a 90 cm.
· Tablero de madera aglomerada bilaminado, mínimo 18 mm de espesor, canteado con PVC 3mm o similar
· Estructura metálica: mínimo de tubo cuadrado de 1½” x 1.5 mm. o tubo equivalente de 1,5 mm de espesor como mínimo.
· Soporte de tubo cuadrado de 1 1/2", e: 1.5 mm, o tubo equivalente de 1,5 mm de espesor como mínimo con
regatones antideslizantes.
· Patas de acero con acabado en pintura polvo electrostático de 60 micras (mínimo).
· La superficie de trabajo es de 700mm de profundidad x 850 mm de ancho.
· El tablero deberá contar con una escotadura de R=0.30m
· El mueble no requiere ser anclado en el piso.</v>
      </c>
      <c r="J1755" s="213">
        <f>IFERROR(__xludf.DUMMYFUNCTION("""COMPUTED_VALUE"""),3.0)</f>
        <v>3</v>
      </c>
      <c r="K1755" s="213" t="str">
        <f>IFERROR(__xludf.DUMMYFUNCTION("""COMPUTED_VALUE"""),"90 DÍAS CALENDARIO")</f>
        <v>90 DÍAS CALENDARIO</v>
      </c>
      <c r="L1755" s="213" t="str">
        <f>IFERROR(__xludf.DUMMYFUNCTION("""COMPUTED_VALUE"""),"")</f>
        <v/>
      </c>
      <c r="M1755" s="213">
        <f>IFERROR(__xludf.DUMMYFUNCTION("""COMPUTED_VALUE"""),1.0)</f>
        <v>1</v>
      </c>
      <c r="N1755" s="213">
        <f>IFERROR(__xludf.DUMMYFUNCTION("""COMPUTED_VALUE"""),1.0)</f>
        <v>1</v>
      </c>
      <c r="O1755" s="213">
        <f>IFERROR(__xludf.DUMMYFUNCTION("""COMPUTED_VALUE"""),1.0)</f>
        <v>1</v>
      </c>
      <c r="P1755" s="213"/>
      <c r="Q1755" s="213"/>
      <c r="R1755" s="213"/>
      <c r="S1755" s="213"/>
      <c r="T1755" s="213"/>
      <c r="U1755" s="213"/>
      <c r="V1755" s="213"/>
      <c r="W1755" s="213"/>
      <c r="X1755" s="213"/>
      <c r="Y1755" s="213"/>
      <c r="Z1755" s="213"/>
      <c r="AA1755" s="213"/>
      <c r="AB1755" s="213"/>
      <c r="AC1755" s="213"/>
      <c r="AD1755" s="213"/>
      <c r="AE1755" s="213"/>
      <c r="AF1755" s="213"/>
      <c r="AG1755" s="213"/>
      <c r="AH1755" s="213"/>
      <c r="AI1755" s="213"/>
      <c r="AJ1755" s="213"/>
      <c r="AK1755" s="213"/>
      <c r="AL1755" s="213"/>
      <c r="AM1755" s="213"/>
      <c r="AN1755" s="213"/>
      <c r="AO1755" s="213"/>
      <c r="AP1755" s="213"/>
      <c r="AQ1755" s="213"/>
      <c r="AR1755" s="213"/>
      <c r="AS1755" s="213"/>
      <c r="AT1755" s="213"/>
      <c r="AU1755" s="213"/>
      <c r="AV1755" s="213"/>
      <c r="AW1755" s="213"/>
      <c r="AX1755" s="213"/>
      <c r="AY1755" s="213"/>
      <c r="AZ1755" s="213"/>
      <c r="BA1755" s="213"/>
      <c r="BB1755" s="213"/>
      <c r="BC1755" s="213"/>
      <c r="BD1755" s="213"/>
    </row>
    <row r="1756">
      <c r="A1756" s="213">
        <f>IFERROR(__xludf.DUMMYFUNCTION("""COMPUTED_VALUE"""),622.0)</f>
        <v>622</v>
      </c>
      <c r="B1756" s="213" t="str">
        <f>IFERROR(__xludf.DUMMYFUNCTION("""COMPUTED_VALUE"""),"6049 RICARDO PALMA")</f>
        <v>6049 RICARDO PALMA</v>
      </c>
      <c r="C1756" s="213" t="str">
        <f>IFERROR(__xludf.DUMMYFUNCTION("""COMPUTED_VALUE"""),"TALLER SFT DE ELECTRÓNICA")</f>
        <v>TALLER SFT DE ELECTRÓNICA</v>
      </c>
      <c r="D1756" s="213" t="str">
        <f>IFERROR(__xludf.DUMMYFUNCTION("""COMPUTED_VALUE"""),"HERRAMIENTAS")</f>
        <v>HERRAMIENTAS</v>
      </c>
      <c r="E1756" s="213" t="str">
        <f>IFERROR(__xludf.DUMMYFUNCTION("""COMPUTED_VALUE"""),"MAT-161")</f>
        <v>MAT-161</v>
      </c>
      <c r="F1756" s="213" t="str">
        <f>IFERROR(__xludf.DUMMYFUNCTION("""COMPUTED_VALUE"""),"MAT-161")</f>
        <v>MAT-161</v>
      </c>
      <c r="G1756" s="213"/>
      <c r="H1756" s="213" t="str">
        <f>IFERROR(__xludf.DUMMYFUNCTION("""COMPUTED_VALUE"""),"EXTINTOR CO2")</f>
        <v>EXTINTOR CO2</v>
      </c>
      <c r="I1756"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756" s="213">
        <f>IFERROR(__xludf.DUMMYFUNCTION("""COMPUTED_VALUE"""),3.0)</f>
        <v>3</v>
      </c>
      <c r="K1756" s="213" t="str">
        <f>IFERROR(__xludf.DUMMYFUNCTION("""COMPUTED_VALUE"""),"90 DÍAS CALENDARIO")</f>
        <v>90 DÍAS CALENDARIO</v>
      </c>
      <c r="L1756"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756" s="213">
        <f>IFERROR(__xludf.DUMMYFUNCTION("""COMPUTED_VALUE"""),1.0)</f>
        <v>1</v>
      </c>
      <c r="N1756" s="213">
        <f>IFERROR(__xludf.DUMMYFUNCTION("""COMPUTED_VALUE"""),1.0)</f>
        <v>1</v>
      </c>
      <c r="O1756" s="213">
        <f>IFERROR(__xludf.DUMMYFUNCTION("""COMPUTED_VALUE"""),1.0)</f>
        <v>1</v>
      </c>
      <c r="P1756" s="213"/>
      <c r="Q1756" s="213"/>
      <c r="R1756" s="213"/>
      <c r="S1756" s="213"/>
      <c r="T1756" s="213" t="str">
        <f>IFERROR(__xludf.DUMMYFUNCTION("""COMPUTED_VALUE"""),"CONSULTA FINAL")</f>
        <v>CONSULTA FINAL</v>
      </c>
      <c r="U1756" s="213" t="str">
        <f>IFERROR(__xludf.DUMMYFUNCTION("""COMPUTED_VALUE"""),"NO")</f>
        <v>NO</v>
      </c>
      <c r="V1756" s="213" t="str">
        <f>IFERROR(__xludf.DUMMYFUNCTION("""COMPUTED_VALUE"""),"NO")</f>
        <v>NO</v>
      </c>
      <c r="W1756" s="213" t="str">
        <f>IFERROR(__xludf.DUMMYFUNCTION("""COMPUTED_VALUE"""),"-")</f>
        <v>-</v>
      </c>
      <c r="X1756" s="213" t="str">
        <f>IFERROR(__xludf.DUMMYFUNCTION("""COMPUTED_VALUE"""),"FIREMAN'S")</f>
        <v>FIREMAN'S</v>
      </c>
      <c r="Y1756" s="213" t="str">
        <f>IFERROR(__xludf.DUMMYFUNCTION("""COMPUTED_VALUE"""),"Extintores Portátiles Manuales de Dióxido de Carbono ")</f>
        <v>Extintores Portátiles Manuales de Dióxido de Carbono </v>
      </c>
      <c r="Z1756" s="215" t="str">
        <f>IFERROR(__xludf.DUMMYFUNCTION("""COMPUTED_VALUE"""),"https://firemansperu.com/productos/extintores-firemans/dioxido-de-carbono/")</f>
        <v>https://firemansperu.com/productos/extintores-firemans/dioxido-de-carbono/</v>
      </c>
      <c r="AA1756" s="213" t="str">
        <f>IFERROR(__xludf.DUMMYFUNCTION("""COMPUTED_VALUE"""),"MAT-161 EXTINTOR CO2 - CET")</f>
        <v>MAT-161 EXTINTOR CO2 - CET</v>
      </c>
      <c r="AB1756" s="213"/>
      <c r="AC1756" s="213"/>
      <c r="AD1756" s="213"/>
      <c r="AE1756" s="213"/>
      <c r="AF1756" s="213"/>
      <c r="AG1756" s="213"/>
      <c r="AH1756" s="213"/>
      <c r="AI1756" s="213"/>
      <c r="AJ1756" s="213"/>
      <c r="AK1756" s="213"/>
      <c r="AL1756" s="213"/>
      <c r="AM1756" s="213"/>
      <c r="AN1756" s="213"/>
      <c r="AO1756" s="213"/>
      <c r="AP1756" s="213" t="str">
        <f>IFERROR(__xludf.DUMMYFUNCTION("""COMPUTED_VALUE"""),"BRUNO")</f>
        <v>BRUNO</v>
      </c>
      <c r="AQ1756" s="213" t="str">
        <f>IFERROR(__xludf.DUMMYFUNCTION("""COMPUTED_VALUE"""),"añadir el Cuenta con precinto de seguridad. (consultar primero)")</f>
        <v>añadir el Cuenta con precinto de seguridad. (consultar primero)</v>
      </c>
      <c r="AR1756" s="213"/>
      <c r="AS1756" s="213"/>
      <c r="AT1756" s="213"/>
      <c r="AU1756" s="213"/>
      <c r="AV1756" s="213"/>
      <c r="AW1756" s="213"/>
      <c r="AX1756" s="213"/>
      <c r="AY1756" s="213"/>
      <c r="AZ1756" s="213"/>
      <c r="BA1756" s="213"/>
      <c r="BB1756" s="213"/>
      <c r="BC1756" s="213"/>
      <c r="BD1756" s="213"/>
    </row>
    <row r="1757">
      <c r="A1757" s="213">
        <f>IFERROR(__xludf.DUMMYFUNCTION("""COMPUTED_VALUE"""),734.0)</f>
        <v>734</v>
      </c>
      <c r="B1757" s="213" t="str">
        <f>IFERROR(__xludf.DUMMYFUNCTION("""COMPUTED_VALUE"""),"6049 RICARDO PALMA")</f>
        <v>6049 RICARDO PALMA</v>
      </c>
      <c r="C1757" s="213" t="str">
        <f>IFERROR(__xludf.DUMMYFUNCTION("""COMPUTED_VALUE"""),"TALLER SFT DE COMPUTACIÓN E INFORMÁTICA")</f>
        <v>TALLER SFT DE COMPUTACIÓN E INFORMÁTICA</v>
      </c>
      <c r="D1757" s="213" t="str">
        <f>IFERROR(__xludf.DUMMYFUNCTION("""COMPUTED_VALUE"""),"HERRAMIENTAS")</f>
        <v>HERRAMIENTAS</v>
      </c>
      <c r="E1757" s="213" t="str">
        <f>IFERROR(__xludf.DUMMYFUNCTION("""COMPUTED_VALUE"""),"MAT-161")</f>
        <v>MAT-161</v>
      </c>
      <c r="F1757" s="213" t="str">
        <f>IFERROR(__xludf.DUMMYFUNCTION("""COMPUTED_VALUE"""),"MAT-161")</f>
        <v>MAT-161</v>
      </c>
      <c r="G1757" s="213"/>
      <c r="H1757" s="213" t="str">
        <f>IFERROR(__xludf.DUMMYFUNCTION("""COMPUTED_VALUE"""),"EXTINTOR CO2")</f>
        <v>EXTINTOR CO2</v>
      </c>
      <c r="I1757"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colga"&amp;"dor de 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757" s="213">
        <f>IFERROR(__xludf.DUMMYFUNCTION("""COMPUTED_VALUE"""),3.0)</f>
        <v>3</v>
      </c>
      <c r="K1757" s="213" t="str">
        <f>IFERROR(__xludf.DUMMYFUNCTION("""COMPUTED_VALUE"""),"90 DÍAS CALENDARIO")</f>
        <v>90 DÍAS CALENDARIO</v>
      </c>
      <c r="L1757"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757" s="213">
        <f>IFERROR(__xludf.DUMMYFUNCTION("""COMPUTED_VALUE"""),1.0)</f>
        <v>1</v>
      </c>
      <c r="N1757" s="213">
        <f>IFERROR(__xludf.DUMMYFUNCTION("""COMPUTED_VALUE"""),1.0)</f>
        <v>1</v>
      </c>
      <c r="O1757" s="213">
        <f>IFERROR(__xludf.DUMMYFUNCTION("""COMPUTED_VALUE"""),1.0)</f>
        <v>1</v>
      </c>
      <c r="P1757" s="213"/>
      <c r="Q1757" s="213"/>
      <c r="R1757" s="213"/>
      <c r="S1757" s="213"/>
      <c r="T1757" s="213" t="str">
        <f>IFERROR(__xludf.DUMMYFUNCTION("""COMPUTED_VALUE"""),"CONSULTA FINAL")</f>
        <v>CONSULTA FINAL</v>
      </c>
      <c r="U1757" s="213" t="str">
        <f>IFERROR(__xludf.DUMMYFUNCTION("""COMPUTED_VALUE"""),"NO")</f>
        <v>NO</v>
      </c>
      <c r="V1757" s="213" t="str">
        <f>IFERROR(__xludf.DUMMYFUNCTION("""COMPUTED_VALUE"""),"NO")</f>
        <v>NO</v>
      </c>
      <c r="W1757" s="213" t="str">
        <f>IFERROR(__xludf.DUMMYFUNCTION("""COMPUTED_VALUE"""),"-")</f>
        <v>-</v>
      </c>
      <c r="X1757" s="213" t="str">
        <f>IFERROR(__xludf.DUMMYFUNCTION("""COMPUTED_VALUE"""),"FIREMAN'S")</f>
        <v>FIREMAN'S</v>
      </c>
      <c r="Y1757" s="213" t="str">
        <f>IFERROR(__xludf.DUMMYFUNCTION("""COMPUTED_VALUE"""),"Extintores Portátiles Manuales de Dióxido de Carbono ")</f>
        <v>Extintores Portátiles Manuales de Dióxido de Carbono </v>
      </c>
      <c r="Z1757" s="215" t="str">
        <f>IFERROR(__xludf.DUMMYFUNCTION("""COMPUTED_VALUE"""),"https://firemansperu.com/productos/extintores-firemans/dioxido-de-carbono/")</f>
        <v>https://firemansperu.com/productos/extintores-firemans/dioxido-de-carbono/</v>
      </c>
      <c r="AA1757" s="213" t="str">
        <f>IFERROR(__xludf.DUMMYFUNCTION("""COMPUTED_VALUE"""),"MAT-161 EXTINTOR CO2 - CET")</f>
        <v>MAT-161 EXTINTOR CO2 - CET</v>
      </c>
      <c r="AB1757" s="213"/>
      <c r="AC1757" s="213"/>
      <c r="AD1757" s="213"/>
      <c r="AE1757" s="213"/>
      <c r="AF1757" s="213"/>
      <c r="AG1757" s="213"/>
      <c r="AH1757" s="213"/>
      <c r="AI1757" s="213"/>
      <c r="AJ1757" s="213"/>
      <c r="AK1757" s="213"/>
      <c r="AL1757" s="213"/>
      <c r="AM1757" s="213"/>
      <c r="AN1757" s="213"/>
      <c r="AO1757" s="213"/>
      <c r="AP1757" s="213" t="str">
        <f>IFERROR(__xludf.DUMMYFUNCTION("""COMPUTED_VALUE"""),"BRUNO")</f>
        <v>BRUNO</v>
      </c>
      <c r="AQ1757" s="213"/>
      <c r="AR1757" s="213"/>
      <c r="AS1757" s="213"/>
      <c r="AT1757" s="213"/>
      <c r="AU1757" s="213"/>
      <c r="AV1757" s="213"/>
      <c r="AW1757" s="213"/>
      <c r="AX1757" s="213"/>
      <c r="AY1757" s="213"/>
      <c r="AZ1757" s="213"/>
      <c r="BA1757" s="213"/>
      <c r="BB1757" s="213"/>
      <c r="BC1757" s="213"/>
      <c r="BD1757" s="213"/>
    </row>
    <row r="1758">
      <c r="A1758" s="213">
        <f>IFERROR(__xludf.DUMMYFUNCTION("""COMPUTED_VALUE"""),264.0)</f>
        <v>264</v>
      </c>
      <c r="B1758" s="213" t="str">
        <f>IFERROR(__xludf.DUMMYFUNCTION("""COMPUTED_VALUE"""),"2026 SIMON BOLIVAR")</f>
        <v>2026 SIMON BOLIVAR</v>
      </c>
      <c r="C1758" s="213" t="str">
        <f>IFERROR(__xludf.DUMMYFUNCTION("""COMPUTED_VALUE"""),"TALLER SFT DE COMPUTACIÓN E INFORMÁTICA")</f>
        <v>TALLER SFT DE COMPUTACIÓN E INFORMÁTICA</v>
      </c>
      <c r="D1758" s="213" t="str">
        <f>IFERROR(__xludf.DUMMYFUNCTION("""COMPUTED_VALUE"""),"MOBILIARIO")</f>
        <v>MOBILIARIO</v>
      </c>
      <c r="E1758" s="213" t="str">
        <f>IFERROR(__xludf.DUMMYFUNCTION("""COMPUTED_VALUE"""),"MOB-142")</f>
        <v>MOB-142</v>
      </c>
      <c r="F1758" s="213" t="str">
        <f>IFERROR(__xludf.DUMMYFUNCTION("""COMPUTED_VALUE"""),"MOB-142")</f>
        <v>MOB-142</v>
      </c>
      <c r="G1758" s="213"/>
      <c r="H1758" s="213" t="str">
        <f>IFERROR(__xludf.DUMMYFUNCTION("""COMPUTED_VALUE"""),"MESA PARA ENTRENADOR BÁSICO")</f>
        <v>MESA PARA ENTRENADOR BÁSICO</v>
      </c>
      <c r="I1758"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2400 mm x 600 mm x 1100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2400 mm x 600 mm x 1100 mm. (ancho, profundidad, alto)</v>
      </c>
      <c r="J1758" s="213">
        <f>IFERROR(__xludf.DUMMYFUNCTION("""COMPUTED_VALUE"""),3.0)</f>
        <v>3</v>
      </c>
      <c r="K1758" s="213" t="str">
        <f>IFERROR(__xludf.DUMMYFUNCTION("""COMPUTED_VALUE"""),"90 DÍAS CALENDARIO")</f>
        <v>90 DÍAS CALENDARIO</v>
      </c>
      <c r="L1758" s="213" t="str">
        <f>IFERROR(__xludf.DUMMYFUNCTION("""COMPUTED_VALUE"""),"")</f>
        <v/>
      </c>
      <c r="M1758" s="213">
        <f>IFERROR(__xludf.DUMMYFUNCTION("""COMPUTED_VALUE"""),1.0)</f>
        <v>1</v>
      </c>
      <c r="N1758" s="213">
        <f>IFERROR(__xludf.DUMMYFUNCTION("""COMPUTED_VALUE"""),1.0)</f>
        <v>1</v>
      </c>
      <c r="O1758" s="213">
        <f>IFERROR(__xludf.DUMMYFUNCTION("""COMPUTED_VALUE"""),1.0)</f>
        <v>1</v>
      </c>
      <c r="P1758" s="213"/>
      <c r="Q1758" s="213"/>
      <c r="R1758" s="213"/>
      <c r="S1758" s="213"/>
      <c r="T1758" s="213"/>
      <c r="U1758" s="213"/>
      <c r="V1758" s="213"/>
      <c r="W1758" s="213"/>
      <c r="X1758" s="213"/>
      <c r="Y1758" s="213"/>
      <c r="Z1758" s="213"/>
      <c r="AA1758" s="213"/>
      <c r="AB1758" s="213"/>
      <c r="AC1758" s="213"/>
      <c r="AD1758" s="213"/>
      <c r="AE1758" s="213"/>
      <c r="AF1758" s="213"/>
      <c r="AG1758" s="213"/>
      <c r="AH1758" s="213"/>
      <c r="AI1758" s="213"/>
      <c r="AJ1758" s="213"/>
      <c r="AK1758" s="213"/>
      <c r="AL1758" s="213"/>
      <c r="AM1758" s="213"/>
      <c r="AN1758" s="213"/>
      <c r="AO1758" s="213"/>
      <c r="AP1758" s="213"/>
      <c r="AQ1758" s="213"/>
      <c r="AR1758" s="213"/>
      <c r="AS1758" s="213"/>
      <c r="AT1758" s="213"/>
      <c r="AU1758" s="213"/>
      <c r="AV1758" s="213"/>
      <c r="AW1758" s="213"/>
      <c r="AX1758" s="213"/>
      <c r="AY1758" s="213"/>
      <c r="AZ1758" s="213"/>
      <c r="BA1758" s="213"/>
      <c r="BB1758" s="213"/>
      <c r="BC1758" s="213"/>
      <c r="BD1758" s="213"/>
    </row>
    <row r="1759">
      <c r="A1759" s="213">
        <f>IFERROR(__xludf.DUMMYFUNCTION("""COMPUTED_VALUE"""),749.0)</f>
        <v>749</v>
      </c>
      <c r="B1759" s="213" t="str">
        <f>IFERROR(__xludf.DUMMYFUNCTION("""COMPUTED_VALUE"""),"6049 RICARDO PALMA")</f>
        <v>6049 RICARDO PALMA</v>
      </c>
      <c r="C1759" s="213" t="str">
        <f>IFERROR(__xludf.DUMMYFUNCTION("""COMPUTED_VALUE"""),"TALLER SFT DE COMPUTACIÓN E INFORMÁTICA")</f>
        <v>TALLER SFT DE COMPUTACIÓN E INFORMÁTICA</v>
      </c>
      <c r="D1759" s="213" t="str">
        <f>IFERROR(__xludf.DUMMYFUNCTION("""COMPUTED_VALUE"""),"MOBILIARIO")</f>
        <v>MOBILIARIO</v>
      </c>
      <c r="E1759" s="213" t="str">
        <f>IFERROR(__xludf.DUMMYFUNCTION("""COMPUTED_VALUE"""),"MOB-142")</f>
        <v>MOB-142</v>
      </c>
      <c r="F1759" s="213" t="str">
        <f>IFERROR(__xludf.DUMMYFUNCTION("""COMPUTED_VALUE"""),"MOB-142")</f>
        <v>MOB-142</v>
      </c>
      <c r="G1759" s="213"/>
      <c r="H1759" s="213" t="str">
        <f>IFERROR(__xludf.DUMMYFUNCTION("""COMPUTED_VALUE"""),"MESA PARA ENTRENADOR BÁSICO")</f>
        <v>MESA PARA ENTRENADOR BÁSICO</v>
      </c>
      <c r="I1759"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2400 mm x 600 mm x 1100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2400 mm x 600 mm x 1100 mm. (ancho, profundidad, alto)</v>
      </c>
      <c r="J1759" s="213">
        <f>IFERROR(__xludf.DUMMYFUNCTION("""COMPUTED_VALUE"""),3.0)</f>
        <v>3</v>
      </c>
      <c r="K1759" s="213" t="str">
        <f>IFERROR(__xludf.DUMMYFUNCTION("""COMPUTED_VALUE"""),"90 DÍAS CALENDARIO")</f>
        <v>90 DÍAS CALENDARIO</v>
      </c>
      <c r="L1759" s="213" t="str">
        <f>IFERROR(__xludf.DUMMYFUNCTION("""COMPUTED_VALUE"""),"")</f>
        <v/>
      </c>
      <c r="M1759" s="213">
        <f>IFERROR(__xludf.DUMMYFUNCTION("""COMPUTED_VALUE"""),1.0)</f>
        <v>1</v>
      </c>
      <c r="N1759" s="213">
        <f>IFERROR(__xludf.DUMMYFUNCTION("""COMPUTED_VALUE"""),1.0)</f>
        <v>1</v>
      </c>
      <c r="O1759" s="213">
        <f>IFERROR(__xludf.DUMMYFUNCTION("""COMPUTED_VALUE"""),1.0)</f>
        <v>1</v>
      </c>
      <c r="P1759" s="213"/>
      <c r="Q1759" s="213"/>
      <c r="R1759" s="213"/>
      <c r="S1759" s="213"/>
      <c r="T1759" s="213"/>
      <c r="U1759" s="213"/>
      <c r="V1759" s="213"/>
      <c r="W1759" s="213"/>
      <c r="X1759" s="213"/>
      <c r="Y1759" s="213"/>
      <c r="Z1759" s="213"/>
      <c r="AA1759" s="213"/>
      <c r="AB1759" s="213"/>
      <c r="AC1759" s="213"/>
      <c r="AD1759" s="213"/>
      <c r="AE1759" s="213"/>
      <c r="AF1759" s="213"/>
      <c r="AG1759" s="213"/>
      <c r="AH1759" s="213"/>
      <c r="AI1759" s="213"/>
      <c r="AJ1759" s="213"/>
      <c r="AK1759" s="213"/>
      <c r="AL1759" s="213"/>
      <c r="AM1759" s="213"/>
      <c r="AN1759" s="213"/>
      <c r="AO1759" s="213"/>
      <c r="AP1759" s="213"/>
      <c r="AQ1759" s="213"/>
      <c r="AR1759" s="213"/>
      <c r="AS1759" s="213"/>
      <c r="AT1759" s="213"/>
      <c r="AU1759" s="213"/>
      <c r="AV1759" s="213"/>
      <c r="AW1759" s="213"/>
      <c r="AX1759" s="213"/>
      <c r="AY1759" s="213"/>
      <c r="AZ1759" s="213"/>
      <c r="BA1759" s="213"/>
      <c r="BB1759" s="213"/>
      <c r="BC1759" s="213"/>
      <c r="BD1759" s="213"/>
    </row>
    <row r="1760">
      <c r="A1760" s="213">
        <f>IFERROR(__xludf.DUMMYFUNCTION("""COMPUTED_VALUE"""),1684.0)</f>
        <v>1684</v>
      </c>
      <c r="B1760" s="213" t="str">
        <f>IFERROR(__xludf.DUMMYFUNCTION("""COMPUTED_VALUE"""),"GUILLERMO E. BILLINGHURST ")</f>
        <v>GUILLERMO E. BILLINGHURST </v>
      </c>
      <c r="C1760" s="213" t="str">
        <f>IFERROR(__xludf.DUMMYFUNCTION("""COMPUTED_VALUE"""),"TALLER SFT DE COMPUTACIÓN E INFORMÁTICA")</f>
        <v>TALLER SFT DE COMPUTACIÓN E INFORMÁTICA</v>
      </c>
      <c r="D1760" s="213" t="str">
        <f>IFERROR(__xludf.DUMMYFUNCTION("""COMPUTED_VALUE"""),"MOBILIARIO")</f>
        <v>MOBILIARIO</v>
      </c>
      <c r="E1760" s="213" t="str">
        <f>IFERROR(__xludf.DUMMYFUNCTION("""COMPUTED_VALUE"""),"MOB-142")</f>
        <v>MOB-142</v>
      </c>
      <c r="F1760" s="213" t="str">
        <f>IFERROR(__xludf.DUMMYFUNCTION("""COMPUTED_VALUE"""),"MOB-142")</f>
        <v>MOB-142</v>
      </c>
      <c r="G1760" s="213"/>
      <c r="H1760" s="213" t="str">
        <f>IFERROR(__xludf.DUMMYFUNCTION("""COMPUTED_VALUE"""),"MESA PARA ENTRENADOR BÁSICO")</f>
        <v>MESA PARA ENTRENADOR BÁSICO</v>
      </c>
      <c r="I1760"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2400 mm x 600 mm x 1100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2400 mm x 600 mm x 1100 mm. (ancho, profundidad, alto)</v>
      </c>
      <c r="J1760" s="213">
        <f>IFERROR(__xludf.DUMMYFUNCTION("""COMPUTED_VALUE"""),3.0)</f>
        <v>3</v>
      </c>
      <c r="K1760" s="213" t="str">
        <f>IFERROR(__xludf.DUMMYFUNCTION("""COMPUTED_VALUE"""),"90 DÍAS CALENDARIO")</f>
        <v>90 DÍAS CALENDARIO</v>
      </c>
      <c r="L1760" s="213" t="str">
        <f>IFERROR(__xludf.DUMMYFUNCTION("""COMPUTED_VALUE"""),"")</f>
        <v/>
      </c>
      <c r="M1760" s="213">
        <f>IFERROR(__xludf.DUMMYFUNCTION("""COMPUTED_VALUE"""),1.0)</f>
        <v>1</v>
      </c>
      <c r="N1760" s="213">
        <f>IFERROR(__xludf.DUMMYFUNCTION("""COMPUTED_VALUE"""),1.0)</f>
        <v>1</v>
      </c>
      <c r="O1760" s="213">
        <f>IFERROR(__xludf.DUMMYFUNCTION("""COMPUTED_VALUE"""),1.0)</f>
        <v>1</v>
      </c>
      <c r="P1760" s="213"/>
      <c r="Q1760" s="213"/>
      <c r="R1760" s="213"/>
      <c r="S1760" s="213"/>
      <c r="T1760" s="213"/>
      <c r="U1760" s="213"/>
      <c r="V1760" s="213"/>
      <c r="W1760" s="213"/>
      <c r="X1760" s="213"/>
      <c r="Y1760" s="213"/>
      <c r="Z1760" s="213"/>
      <c r="AA1760" s="213"/>
      <c r="AB1760" s="213"/>
      <c r="AC1760" s="213"/>
      <c r="AD1760" s="213"/>
      <c r="AE1760" s="213"/>
      <c r="AF1760" s="213"/>
      <c r="AG1760" s="213"/>
      <c r="AH1760" s="213"/>
      <c r="AI1760" s="213"/>
      <c r="AJ1760" s="213"/>
      <c r="AK1760" s="213"/>
      <c r="AL1760" s="213"/>
      <c r="AM1760" s="213"/>
      <c r="AN1760" s="213"/>
      <c r="AO1760" s="213"/>
      <c r="AP1760" s="213"/>
      <c r="AQ1760" s="213"/>
      <c r="AR1760" s="213"/>
      <c r="AS1760" s="213"/>
      <c r="AT1760" s="213"/>
      <c r="AU1760" s="213"/>
      <c r="AV1760" s="213"/>
      <c r="AW1760" s="213"/>
      <c r="AX1760" s="213"/>
      <c r="AY1760" s="213"/>
      <c r="AZ1760" s="213"/>
      <c r="BA1760" s="213"/>
      <c r="BB1760" s="213"/>
      <c r="BC1760" s="213"/>
      <c r="BD1760" s="213"/>
    </row>
    <row r="1761">
      <c r="A1761" s="213">
        <f>IFERROR(__xludf.DUMMYFUNCTION("""COMPUTED_VALUE"""),1935.0)</f>
        <v>1935</v>
      </c>
      <c r="B1761" s="213" t="str">
        <f>IFERROR(__xludf.DUMMYFUNCTION("""COMPUTED_VALUE"""),"JOSE GRANDA")</f>
        <v>JOSE GRANDA</v>
      </c>
      <c r="C1761" s="213" t="str">
        <f>IFERROR(__xludf.DUMMYFUNCTION("""COMPUTED_VALUE"""),"TALLER SFT DE COMPUTACIÓN E INFORMÁTICA")</f>
        <v>TALLER SFT DE COMPUTACIÓN E INFORMÁTICA</v>
      </c>
      <c r="D1761" s="213" t="str">
        <f>IFERROR(__xludf.DUMMYFUNCTION("""COMPUTED_VALUE"""),"MOBILIARIO")</f>
        <v>MOBILIARIO</v>
      </c>
      <c r="E1761" s="213" t="str">
        <f>IFERROR(__xludf.DUMMYFUNCTION("""COMPUTED_VALUE"""),"MOB-142")</f>
        <v>MOB-142</v>
      </c>
      <c r="F1761" s="213" t="str">
        <f>IFERROR(__xludf.DUMMYFUNCTION("""COMPUTED_VALUE"""),"MOB-142")</f>
        <v>MOB-142</v>
      </c>
      <c r="G1761" s="213"/>
      <c r="H1761" s="213" t="str">
        <f>IFERROR(__xludf.DUMMYFUNCTION("""COMPUTED_VALUE"""),"MESA PARA ENTRENADOR BÁSICO")</f>
        <v>MESA PARA ENTRENADOR BÁSICO</v>
      </c>
      <c r="I1761" s="213" t="str">
        <f>IFERROR(__xludf.DUMMYFUNCTION("""COMPUTED_VALUE"""),"Estructura de metal y tablero de madera tornillo u otra especie similar.
·  Tablero superior, mínimo de 32 mm de espesor. Contiene 13 % de humedad como máximo, barnizado, previo sellado de la madera, con tratamiento contra polillas.
·  Cuenta con 4 patas "&amp;"de acero de tubo cuadrado de 2"" x 2"" x 1,5 mm de espesor, con 3 amarres de tubo cuadrado de 2""
·  Patas con regatones resistentes.
·  Acabado en pintura polvo electrostático de 60 micras mínimo.
·  Dimensiones: 2400 mm x 600 mm x 1100 mm. (ancho, profu"&amp;"ndidad, alto)")</f>
        <v>Estructura de metal y tablero de madera tornillo u otra especie similar.
·  Tablero superior, mínimo de 32 mm de espesor. Contiene 13 % de humedad como máximo, barnizado, previo sellado de la madera, con tratamiento contra polillas.
·  Cuenta con 4 patas de acero de tubo cuadrado de 2" x 2" x 1,5 mm de espesor, con 3 amarres de tubo cuadrado de 2"
·  Patas con regatones resistentes.
·  Acabado en pintura polvo electrostático de 60 micras mínimo.
·  Dimensiones: 2400 mm x 600 mm x 1100 mm. (ancho, profundidad, alto)</v>
      </c>
      <c r="J1761" s="213">
        <f>IFERROR(__xludf.DUMMYFUNCTION("""COMPUTED_VALUE"""),3.0)</f>
        <v>3</v>
      </c>
      <c r="K1761" s="213" t="str">
        <f>IFERROR(__xludf.DUMMYFUNCTION("""COMPUTED_VALUE"""),"90 DÍAS CALENDARIO")</f>
        <v>90 DÍAS CALENDARIO</v>
      </c>
      <c r="L1761" s="213" t="str">
        <f>IFERROR(__xludf.DUMMYFUNCTION("""COMPUTED_VALUE"""),"")</f>
        <v/>
      </c>
      <c r="M1761" s="213">
        <f>IFERROR(__xludf.DUMMYFUNCTION("""COMPUTED_VALUE"""),1.0)</f>
        <v>1</v>
      </c>
      <c r="N1761" s="213">
        <f>IFERROR(__xludf.DUMMYFUNCTION("""COMPUTED_VALUE"""),1.0)</f>
        <v>1</v>
      </c>
      <c r="O1761" s="213">
        <f>IFERROR(__xludf.DUMMYFUNCTION("""COMPUTED_VALUE"""),1.0)</f>
        <v>1</v>
      </c>
      <c r="P1761" s="213"/>
      <c r="Q1761" s="213"/>
      <c r="R1761" s="213"/>
      <c r="S1761" s="213"/>
      <c r="T1761" s="213"/>
      <c r="U1761" s="213"/>
      <c r="V1761" s="213"/>
      <c r="W1761" s="213"/>
      <c r="X1761" s="213"/>
      <c r="Y1761" s="213"/>
      <c r="Z1761" s="213"/>
      <c r="AA1761" s="213"/>
      <c r="AB1761" s="213"/>
      <c r="AC1761" s="213"/>
      <c r="AD1761" s="213"/>
      <c r="AE1761" s="213"/>
      <c r="AF1761" s="213"/>
      <c r="AG1761" s="213"/>
      <c r="AH1761" s="213"/>
      <c r="AI1761" s="213"/>
      <c r="AJ1761" s="213"/>
      <c r="AK1761" s="213"/>
      <c r="AL1761" s="213"/>
      <c r="AM1761" s="213"/>
      <c r="AN1761" s="213"/>
      <c r="AO1761" s="213"/>
      <c r="AP1761" s="213"/>
      <c r="AQ1761" s="213"/>
      <c r="AR1761" s="213"/>
      <c r="AS1761" s="213"/>
      <c r="AT1761" s="213"/>
      <c r="AU1761" s="213"/>
      <c r="AV1761" s="213"/>
      <c r="AW1761" s="213"/>
      <c r="AX1761" s="213"/>
      <c r="AY1761" s="213"/>
      <c r="AZ1761" s="213"/>
      <c r="BA1761" s="213"/>
      <c r="BB1761" s="213"/>
      <c r="BC1761" s="213"/>
      <c r="BD1761" s="213"/>
    </row>
    <row r="1762">
      <c r="A1762" s="213">
        <f>IFERROR(__xludf.DUMMYFUNCTION("""COMPUTED_VALUE"""),828.0)</f>
        <v>828</v>
      </c>
      <c r="B1762" s="213" t="str">
        <f>IFERROR(__xludf.DUMMYFUNCTION("""COMPUTED_VALUE"""),"6049 RICARDO PALMA")</f>
        <v>6049 RICARDO PALMA</v>
      </c>
      <c r="C1762" s="213" t="str">
        <f>IFERROR(__xludf.DUMMYFUNCTION("""COMPUTED_VALUE"""),"TALLER SFT DE ELECTRICIDAD")</f>
        <v>TALLER SFT DE ELECTRICIDAD</v>
      </c>
      <c r="D1762" s="213" t="str">
        <f>IFERROR(__xludf.DUMMYFUNCTION("""COMPUTED_VALUE"""),"HERRAMIENTAS")</f>
        <v>HERRAMIENTAS</v>
      </c>
      <c r="E1762" s="213" t="str">
        <f>IFERROR(__xludf.DUMMYFUNCTION("""COMPUTED_VALUE"""),"MAT-161")</f>
        <v>MAT-161</v>
      </c>
      <c r="F1762" s="213" t="str">
        <f>IFERROR(__xludf.DUMMYFUNCTION("""COMPUTED_VALUE"""),"MAT-161")</f>
        <v>MAT-161</v>
      </c>
      <c r="G1762" s="213"/>
      <c r="H1762" s="213" t="str">
        <f>IFERROR(__xludf.DUMMYFUNCTION("""COMPUTED_VALUE"""),"EXTINTOR CO2")</f>
        <v>EXTINTOR CO2</v>
      </c>
      <c r="I1762" s="213"/>
      <c r="J1762" s="213">
        <f>IFERROR(__xludf.DUMMYFUNCTION("""COMPUTED_VALUE"""),3.0)</f>
        <v>3</v>
      </c>
      <c r="K1762" s="213" t="str">
        <f>IFERROR(__xludf.DUMMYFUNCTION("""COMPUTED_VALUE"""),"90 DÍAS CALENDARIO")</f>
        <v>90 DÍAS CALENDARIO</v>
      </c>
      <c r="L1762"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762" s="213">
        <f>IFERROR(__xludf.DUMMYFUNCTION("""COMPUTED_VALUE"""),1.0)</f>
        <v>1</v>
      </c>
      <c r="N1762" s="213">
        <f>IFERROR(__xludf.DUMMYFUNCTION("""COMPUTED_VALUE"""),1.0)</f>
        <v>1</v>
      </c>
      <c r="O1762" s="213">
        <f>IFERROR(__xludf.DUMMYFUNCTION("""COMPUTED_VALUE"""),1.0)</f>
        <v>1</v>
      </c>
      <c r="P1762" s="213"/>
      <c r="Q1762" s="213"/>
      <c r="R1762" s="213"/>
      <c r="S1762" s="213"/>
      <c r="T1762" s="213" t="str">
        <f>IFERROR(__xludf.DUMMYFUNCTION("""COMPUTED_VALUE"""),"CONSULTA FINAL")</f>
        <v>CONSULTA FINAL</v>
      </c>
      <c r="U1762" s="213" t="str">
        <f>IFERROR(__xludf.DUMMYFUNCTION("""COMPUTED_VALUE"""),"NO")</f>
        <v>NO</v>
      </c>
      <c r="V1762" s="213" t="str">
        <f>IFERROR(__xludf.DUMMYFUNCTION("""COMPUTED_VALUE"""),"NO")</f>
        <v>NO</v>
      </c>
      <c r="W1762" s="213" t="str">
        <f>IFERROR(__xludf.DUMMYFUNCTION("""COMPUTED_VALUE"""),"-")</f>
        <v>-</v>
      </c>
      <c r="X1762" s="213" t="str">
        <f>IFERROR(__xludf.DUMMYFUNCTION("""COMPUTED_VALUE"""),"FIREMAN'S")</f>
        <v>FIREMAN'S</v>
      </c>
      <c r="Y1762" s="213" t="str">
        <f>IFERROR(__xludf.DUMMYFUNCTION("""COMPUTED_VALUE"""),"Extintores Portátiles Manuales de Dióxido de Carbono ")</f>
        <v>Extintores Portátiles Manuales de Dióxido de Carbono </v>
      </c>
      <c r="Z1762" s="215" t="str">
        <f>IFERROR(__xludf.DUMMYFUNCTION("""COMPUTED_VALUE"""),"https://firemansperu.com/productos/extintores-firemans/dioxido-de-carbono/")</f>
        <v>https://firemansperu.com/productos/extintores-firemans/dioxido-de-carbono/</v>
      </c>
      <c r="AA1762" s="213" t="str">
        <f>IFERROR(__xludf.DUMMYFUNCTION("""COMPUTED_VALUE"""),"MAT-161 EXTINTOR CO2 - CET")</f>
        <v>MAT-161 EXTINTOR CO2 - CET</v>
      </c>
      <c r="AB1762" s="213"/>
      <c r="AC1762" s="213"/>
      <c r="AD1762" s="213"/>
      <c r="AE1762" s="213"/>
      <c r="AF1762" s="213"/>
      <c r="AG1762" s="213"/>
      <c r="AH1762" s="213"/>
      <c r="AI1762" s="213"/>
      <c r="AJ1762" s="213"/>
      <c r="AK1762" s="213"/>
      <c r="AL1762" s="213"/>
      <c r="AM1762" s="213"/>
      <c r="AN1762" s="213"/>
      <c r="AO1762" s="213"/>
      <c r="AP1762" s="213" t="str">
        <f>IFERROR(__xludf.DUMMYFUNCTION("""COMPUTED_VALUE"""),"BRUNO")</f>
        <v>BRUNO</v>
      </c>
      <c r="AQ1762" s="213" t="str">
        <f>IFERROR(__xludf.DUMMYFUNCTION("""COMPUTED_VALUE"""),"añadir el Cuenta con precinto de seguridad. (consultar primero)")</f>
        <v>añadir el Cuenta con precinto de seguridad. (consultar primero)</v>
      </c>
      <c r="AR1762" s="213"/>
      <c r="AS1762" s="213"/>
      <c r="AT1762" s="213"/>
      <c r="AU1762" s="213"/>
      <c r="AV1762" s="213"/>
      <c r="AW1762" s="213"/>
      <c r="AX1762" s="213"/>
      <c r="AY1762" s="213"/>
      <c r="AZ1762" s="213"/>
      <c r="BA1762" s="213"/>
      <c r="BB1762" s="213"/>
      <c r="BC1762" s="213"/>
      <c r="BD1762" s="213"/>
    </row>
    <row r="1763">
      <c r="A1763" s="213">
        <f>IFERROR(__xludf.DUMMYFUNCTION("""COMPUTED_VALUE"""),917.0)</f>
        <v>917</v>
      </c>
      <c r="B1763" s="213" t="str">
        <f>IFERROR(__xludf.DUMMYFUNCTION("""COMPUTED_VALUE"""),"FRANCISCO IRAZOLA")</f>
        <v>FRANCISCO IRAZOLA</v>
      </c>
      <c r="C1763" s="213" t="str">
        <f>IFERROR(__xludf.DUMMYFUNCTION("""COMPUTED_VALUE"""),"TALLER SFT DE MECÁNICA AUTOMOTRIZ")</f>
        <v>TALLER SFT DE MECÁNICA AUTOMOTRIZ</v>
      </c>
      <c r="D1763" s="213" t="str">
        <f>IFERROR(__xludf.DUMMYFUNCTION("""COMPUTED_VALUE"""),"HERRAMIENTAS")</f>
        <v>HERRAMIENTAS</v>
      </c>
      <c r="E1763" s="213" t="str">
        <f>IFERROR(__xludf.DUMMYFUNCTION("""COMPUTED_VALUE"""),"MAT-161")</f>
        <v>MAT-161</v>
      </c>
      <c r="F1763" s="213" t="str">
        <f>IFERROR(__xludf.DUMMYFUNCTION("""COMPUTED_VALUE"""),"MAT-161")</f>
        <v>MAT-161</v>
      </c>
      <c r="G1763" s="213"/>
      <c r="H1763" s="213" t="str">
        <f>IFERROR(__xludf.DUMMYFUNCTION("""COMPUTED_VALUE"""),"EXTINTOR CO2")</f>
        <v>EXTINTOR CO2</v>
      </c>
      <c r="I1763" s="213" t="str">
        <f>IFERROR(__xludf.DUMMYFUNCTION("""COMPUTED_VALUE"""),"Extintor de gas carbónico CO2.
· Adecuado para uso en incendios de clase B y C.
· Capacidad del agente: 5 lb (2,27 kg).
· Rango de temperatura: -30 a 49 °C.
· Tiempo de descarga: 9 segundos.
· Cuenta con precinto de seguridad.
· Con soporte colgador de pa"&amp;"red.
· Certificado de operatividad y vigencia de presión hidrostática (PH).
· Tarjeta de inspección y etiqueta de mantenimiento, conforme a la NTP 350.043-INDECI.
· Certificación UL.")</f>
        <v>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763" s="213">
        <f>IFERROR(__xludf.DUMMYFUNCTION("""COMPUTED_VALUE"""),3.0)</f>
        <v>3</v>
      </c>
      <c r="K1763" s="213" t="str">
        <f>IFERROR(__xludf.DUMMYFUNCTION("""COMPUTED_VALUE"""),"90 DÍAS CALENDARIO")</f>
        <v>90 DÍAS CALENDARIO</v>
      </c>
      <c r="L1763"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763" s="213">
        <f>IFERROR(__xludf.DUMMYFUNCTION("""COMPUTED_VALUE"""),1.0)</f>
        <v>1</v>
      </c>
      <c r="N1763" s="213">
        <f>IFERROR(__xludf.DUMMYFUNCTION("""COMPUTED_VALUE"""),1.0)</f>
        <v>1</v>
      </c>
      <c r="O1763" s="213">
        <f>IFERROR(__xludf.DUMMYFUNCTION("""COMPUTED_VALUE"""),1.0)</f>
        <v>1</v>
      </c>
      <c r="P1763" s="213"/>
      <c r="Q1763" s="213"/>
      <c r="R1763" s="213"/>
      <c r="S1763" s="213"/>
      <c r="T1763" s="213" t="str">
        <f>IFERROR(__xludf.DUMMYFUNCTION("""COMPUTED_VALUE"""),"CONSULTA FINAL")</f>
        <v>CONSULTA FINAL</v>
      </c>
      <c r="U1763" s="213" t="str">
        <f>IFERROR(__xludf.DUMMYFUNCTION("""COMPUTED_VALUE"""),"NO")</f>
        <v>NO</v>
      </c>
      <c r="V1763" s="213" t="str">
        <f>IFERROR(__xludf.DUMMYFUNCTION("""COMPUTED_VALUE"""),"NO")</f>
        <v>NO</v>
      </c>
      <c r="W1763" s="213" t="str">
        <f>IFERROR(__xludf.DUMMYFUNCTION("""COMPUTED_VALUE"""),"-")</f>
        <v>-</v>
      </c>
      <c r="X1763" s="213" t="str">
        <f>IFERROR(__xludf.DUMMYFUNCTION("""COMPUTED_VALUE"""),"FIREMAN'S")</f>
        <v>FIREMAN'S</v>
      </c>
      <c r="Y1763" s="213" t="str">
        <f>IFERROR(__xludf.DUMMYFUNCTION("""COMPUTED_VALUE"""),"Extintores Portátiles Manuales de Dióxido de Carbono ")</f>
        <v>Extintores Portátiles Manuales de Dióxido de Carbono </v>
      </c>
      <c r="Z1763" s="215" t="str">
        <f>IFERROR(__xludf.DUMMYFUNCTION("""COMPUTED_VALUE"""),"https://firemansperu.com/productos/extintores-firemans/dioxido-de-carbono/")</f>
        <v>https://firemansperu.com/productos/extintores-firemans/dioxido-de-carbono/</v>
      </c>
      <c r="AA1763" s="213" t="str">
        <f>IFERROR(__xludf.DUMMYFUNCTION("""COMPUTED_VALUE"""),"MAT-161 EXTINTOR CO2 - CET")</f>
        <v>MAT-161 EXTINTOR CO2 - CET</v>
      </c>
      <c r="AB1763" s="213"/>
      <c r="AC1763" s="213"/>
      <c r="AD1763" s="213"/>
      <c r="AE1763" s="213"/>
      <c r="AF1763" s="213"/>
      <c r="AG1763" s="213"/>
      <c r="AH1763" s="213"/>
      <c r="AI1763" s="213"/>
      <c r="AJ1763" s="213"/>
      <c r="AK1763" s="213"/>
      <c r="AL1763" s="213"/>
      <c r="AM1763" s="213"/>
      <c r="AN1763" s="213"/>
      <c r="AO1763" s="213"/>
      <c r="AP1763" s="213" t="str">
        <f>IFERROR(__xludf.DUMMYFUNCTION("""COMPUTED_VALUE"""),"BRUNO")</f>
        <v>BRUNO</v>
      </c>
      <c r="AQ1763" s="213"/>
      <c r="AR1763" s="213"/>
      <c r="AS1763" s="213"/>
      <c r="AT1763" s="213"/>
      <c r="AU1763" s="213"/>
      <c r="AV1763" s="213"/>
      <c r="AW1763" s="213"/>
      <c r="AX1763" s="213"/>
      <c r="AY1763" s="213"/>
      <c r="AZ1763" s="213"/>
      <c r="BA1763" s="213"/>
      <c r="BB1763" s="213"/>
      <c r="BC1763" s="213"/>
      <c r="BD1763" s="213"/>
    </row>
    <row r="1764">
      <c r="A1764" s="213">
        <f>IFERROR(__xludf.DUMMYFUNCTION("""COMPUTED_VALUE"""),159.0)</f>
        <v>159</v>
      </c>
      <c r="B1764" s="213" t="str">
        <f>IFERROR(__xludf.DUMMYFUNCTION("""COMPUTED_VALUE"""),"2026 SIMON BOLIVAR")</f>
        <v>2026 SIMON BOLIVAR</v>
      </c>
      <c r="C1764" s="213" t="str">
        <f>IFERROR(__xludf.DUMMYFUNCTION("""COMPUTED_VALUE"""),"TALLER SFT DE INDUSTRIA DEL VESTIDO")</f>
        <v>TALLER SFT DE INDUSTRIA DEL VESTIDO</v>
      </c>
      <c r="D1764" s="213" t="str">
        <f>IFERROR(__xludf.DUMMYFUNCTION("""COMPUTED_VALUE"""),"MOBILIARIO")</f>
        <v>MOBILIARIO</v>
      </c>
      <c r="E1764" s="213" t="str">
        <f>IFERROR(__xludf.DUMMYFUNCTION("""COMPUTED_VALUE"""),"MOB-149")</f>
        <v>MOB-149</v>
      </c>
      <c r="F1764" s="213" t="str">
        <f>IFERROR(__xludf.DUMMYFUNCTION("""COMPUTED_VALUE"""),"MOB-149")</f>
        <v>MOB-149</v>
      </c>
      <c r="G1764" s="213"/>
      <c r="H1764" s="213" t="str">
        <f>IFERROR(__xludf.DUMMYFUNCTION("""COMPUTED_VALUE"""),"MESA PARA TRAZO Y CORTE (2000 MM X 1200 MM X 800 MM.)")</f>
        <v>MESA PARA TRAZO Y CORTE (2000 MM X 1200 MM X 800 MM.)</v>
      </c>
      <c r="I1764" s="213" t="str">
        <f>IFERROR(__xludf.DUMMYFUNCTION("""COMPUTED_VALUE"""),"·      Para trazo y corte. Estructura fabricada íntegramente de metal.
·      Tablero superior e inferior de madera aglomerada bilaminado, mínimo 18 mm de espesor, con tapa de canto grueso.
·      Estructura metálica, mínimo de tubo cuadrado de 1 1/2 "" x"&amp;" 1.5 mm y/o ángulos de 1 1/2 x 2 mm
·      Seis patas de metal de tubo cuadrado de 2"" x 2"" x 1.5 mm de espesor
·      Acabado en pintura polvo electrostático de 60 micras
·      Dimensiones: 2,00 m x 1,20 m x 0,80 m.")</f>
        <v>·      Para trazo y corte. Estructura fabricada íntegramente de metal.
·      Tablero superior e inferior de madera aglomerada bilaminado, mínimo 18 mm de espesor, con tapa de canto grueso.
·      Estructura metálica, mínimo de tubo cuadrado de 1 1/2 " x 1.5 mm y/o ángulos de 1 1/2 x 2 mm
·      Seis patas de metal de tubo cuadrado de 2" x 2" x 1.5 mm de espesor
·      Acabado en pintura polvo electrostático de 60 micras
·      Dimensiones: 2,00 m x 1,20 m x 0,80 m.</v>
      </c>
      <c r="J1764" s="213">
        <f>IFERROR(__xludf.DUMMYFUNCTION("""COMPUTED_VALUE"""),3.0)</f>
        <v>3</v>
      </c>
      <c r="K1764" s="213" t="str">
        <f>IFERROR(__xludf.DUMMYFUNCTION("""COMPUTED_VALUE"""),"90 DÍAS CALENDARIO")</f>
        <v>90 DÍAS CALENDARIO</v>
      </c>
      <c r="L1764" s="213" t="str">
        <f>IFERROR(__xludf.DUMMYFUNCTION("""COMPUTED_VALUE"""),"")</f>
        <v/>
      </c>
      <c r="M1764" s="213">
        <f>IFERROR(__xludf.DUMMYFUNCTION("""COMPUTED_VALUE"""),1.0)</f>
        <v>1</v>
      </c>
      <c r="N1764" s="213">
        <f>IFERROR(__xludf.DUMMYFUNCTION("""COMPUTED_VALUE"""),1.0)</f>
        <v>1</v>
      </c>
      <c r="O1764" s="213">
        <f>IFERROR(__xludf.DUMMYFUNCTION("""COMPUTED_VALUE"""),1.0)</f>
        <v>1</v>
      </c>
      <c r="P1764" s="213"/>
      <c r="Q1764" s="213"/>
      <c r="R1764" s="213"/>
      <c r="S1764" s="213"/>
      <c r="T1764" s="213"/>
      <c r="U1764" s="213"/>
      <c r="V1764" s="213"/>
      <c r="W1764" s="213"/>
      <c r="X1764" s="213"/>
      <c r="Y1764" s="213"/>
      <c r="Z1764" s="213"/>
      <c r="AA1764" s="213"/>
      <c r="AB1764" s="213"/>
      <c r="AC1764" s="213"/>
      <c r="AD1764" s="213"/>
      <c r="AE1764" s="213"/>
      <c r="AF1764" s="213"/>
      <c r="AG1764" s="213"/>
      <c r="AH1764" s="213"/>
      <c r="AI1764" s="213"/>
      <c r="AJ1764" s="213"/>
      <c r="AK1764" s="213"/>
      <c r="AL1764" s="213"/>
      <c r="AM1764" s="213"/>
      <c r="AN1764" s="213"/>
      <c r="AO1764" s="213"/>
      <c r="AP1764" s="213"/>
      <c r="AQ1764" s="213"/>
      <c r="AR1764" s="213"/>
      <c r="AS1764" s="213"/>
      <c r="AT1764" s="213"/>
      <c r="AU1764" s="213"/>
      <c r="AV1764" s="213"/>
      <c r="AW1764" s="213"/>
      <c r="AX1764" s="213"/>
      <c r="AY1764" s="213"/>
      <c r="AZ1764" s="213"/>
      <c r="BA1764" s="213"/>
      <c r="BB1764" s="213"/>
      <c r="BC1764" s="213"/>
      <c r="BD1764" s="213"/>
    </row>
    <row r="1765">
      <c r="A1765" s="213">
        <f>IFERROR(__xludf.DUMMYFUNCTION("""COMPUTED_VALUE"""),2359.0)</f>
        <v>2359</v>
      </c>
      <c r="B1765" s="213" t="str">
        <f>IFERROR(__xludf.DUMMYFUNCTION("""COMPUTED_VALUE"""),"MANUEL ANTONIO MESONES MURO")</f>
        <v>MANUEL ANTONIO MESONES MURO</v>
      </c>
      <c r="C1765" s="213" t="str">
        <f>IFERROR(__xludf.DUMMYFUNCTION("""COMPUTED_VALUE"""),"TALLER SFT DE INDUSTRIA DEL VESTIDO")</f>
        <v>TALLER SFT DE INDUSTRIA DEL VESTIDO</v>
      </c>
      <c r="D1765" s="213" t="str">
        <f>IFERROR(__xludf.DUMMYFUNCTION("""COMPUTED_VALUE"""),"MOBILIARIO")</f>
        <v>MOBILIARIO</v>
      </c>
      <c r="E1765" s="213" t="str">
        <f>IFERROR(__xludf.DUMMYFUNCTION("""COMPUTED_VALUE"""),"MOB-149")</f>
        <v>MOB-149</v>
      </c>
      <c r="F1765" s="213" t="str">
        <f>IFERROR(__xludf.DUMMYFUNCTION("""COMPUTED_VALUE"""),"MOB-149")</f>
        <v>MOB-149</v>
      </c>
      <c r="G1765" s="213"/>
      <c r="H1765" s="213" t="str">
        <f>IFERROR(__xludf.DUMMYFUNCTION("""COMPUTED_VALUE"""),"MESA PARA TRAZO Y CORTE (2000 MM X 1200 MM X 800 MM.)")</f>
        <v>MESA PARA TRAZO Y CORTE (2000 MM X 1200 MM X 800 MM.)</v>
      </c>
      <c r="I1765" s="213" t="str">
        <f>IFERROR(__xludf.DUMMYFUNCTION("""COMPUTED_VALUE"""),"·      Para trazo y corte. Estructura fabricada íntegramente de metal.
·      Tablero superior e inferior de madera aglomerada bilaminado, mínimo 18 mm de espesor, con tapa de canto grueso.
·      Estructura metálica, mínimo de tubo cuadrado de 1 1/2 "" x"&amp;" 1.5 mm y/o ángulos de 1 1/2 x 2 mm
·      Seis patas de metal de tubo cuadrado de 2"" x 2"" x 1.5 mm de espesor
·      Acabado en pintura polvo electrostático de 60 micras
·      Dimensiones: 2,00 m x 1,20 m x 0,80 m.")</f>
        <v>·      Para trazo y corte. Estructura fabricada íntegramente de metal.
·      Tablero superior e inferior de madera aglomerada bilaminado, mínimo 18 mm de espesor, con tapa de canto grueso.
·      Estructura metálica, mínimo de tubo cuadrado de 1 1/2 " x 1.5 mm y/o ángulos de 1 1/2 x 2 mm
·      Seis patas de metal de tubo cuadrado de 2" x 2" x 1.5 mm de espesor
·      Acabado en pintura polvo electrostático de 60 micras
·      Dimensiones: 2,00 m x 1,20 m x 0,80 m.</v>
      </c>
      <c r="J1765" s="213">
        <f>IFERROR(__xludf.DUMMYFUNCTION("""COMPUTED_VALUE"""),3.0)</f>
        <v>3</v>
      </c>
      <c r="K1765" s="213" t="str">
        <f>IFERROR(__xludf.DUMMYFUNCTION("""COMPUTED_VALUE"""),"90 DÍAS CALENDARIO")</f>
        <v>90 DÍAS CALENDARIO</v>
      </c>
      <c r="L1765" s="213" t="str">
        <f>IFERROR(__xludf.DUMMYFUNCTION("""COMPUTED_VALUE"""),"")</f>
        <v/>
      </c>
      <c r="M1765" s="213">
        <f>IFERROR(__xludf.DUMMYFUNCTION("""COMPUTED_VALUE"""),1.0)</f>
        <v>1</v>
      </c>
      <c r="N1765" s="213">
        <f>IFERROR(__xludf.DUMMYFUNCTION("""COMPUTED_VALUE"""),2.0)</f>
        <v>2</v>
      </c>
      <c r="O1765" s="213">
        <f>IFERROR(__xludf.DUMMYFUNCTION("""COMPUTED_VALUE"""),2.0)</f>
        <v>2</v>
      </c>
      <c r="P1765" s="213"/>
      <c r="Q1765" s="213"/>
      <c r="R1765" s="213"/>
      <c r="S1765" s="213"/>
      <c r="T1765" s="213"/>
      <c r="U1765" s="213"/>
      <c r="V1765" s="213"/>
      <c r="W1765" s="213"/>
      <c r="X1765" s="213"/>
      <c r="Y1765" s="213"/>
      <c r="Z1765" s="213"/>
      <c r="AA1765" s="213"/>
      <c r="AB1765" s="213"/>
      <c r="AC1765" s="213"/>
      <c r="AD1765" s="213"/>
      <c r="AE1765" s="213"/>
      <c r="AF1765" s="213"/>
      <c r="AG1765" s="213"/>
      <c r="AH1765" s="213"/>
      <c r="AI1765" s="213"/>
      <c r="AJ1765" s="213"/>
      <c r="AK1765" s="213"/>
      <c r="AL1765" s="213"/>
      <c r="AM1765" s="213"/>
      <c r="AN1765" s="213"/>
      <c r="AO1765" s="213"/>
      <c r="AP1765" s="213"/>
      <c r="AQ1765" s="213"/>
      <c r="AR1765" s="213"/>
      <c r="AS1765" s="213"/>
      <c r="AT1765" s="213"/>
      <c r="AU1765" s="213"/>
      <c r="AV1765" s="213"/>
      <c r="AW1765" s="213"/>
      <c r="AX1765" s="213"/>
      <c r="AY1765" s="213"/>
      <c r="AZ1765" s="213"/>
      <c r="BA1765" s="213"/>
      <c r="BB1765" s="213"/>
      <c r="BC1765" s="213"/>
      <c r="BD1765" s="213"/>
    </row>
    <row r="1766">
      <c r="A1766" s="213">
        <f>IFERROR(__xludf.DUMMYFUNCTION("""COMPUTED_VALUE"""),254.0)</f>
        <v>254</v>
      </c>
      <c r="B1766" s="213" t="str">
        <f>IFERROR(__xludf.DUMMYFUNCTION("""COMPUTED_VALUE"""),"2026 SIMON BOLIVAR")</f>
        <v>2026 SIMON BOLIVAR</v>
      </c>
      <c r="C1766" s="213" t="str">
        <f>IFERROR(__xludf.DUMMYFUNCTION("""COMPUTED_VALUE"""),"TALLER SFT DE COMPUTACIÓN E INFORMÁTICA")</f>
        <v>TALLER SFT DE COMPUTACIÓN E INFORMÁTICA</v>
      </c>
      <c r="D1766" s="213" t="str">
        <f>IFERROR(__xludf.DUMMYFUNCTION("""COMPUTED_VALUE"""),"MOBILIARIO")</f>
        <v>MOBILIARIO</v>
      </c>
      <c r="E1766" s="213" t="str">
        <f>IFERROR(__xludf.DUMMYFUNCTION("""COMPUTED_VALUE"""),"MOB-123")</f>
        <v>MOB-123</v>
      </c>
      <c r="F1766" s="213" t="str">
        <f>IFERROR(__xludf.DUMMYFUNCTION("""COMPUTED_VALUE"""),"MOB-123")</f>
        <v>MOB-123</v>
      </c>
      <c r="G1766" s="213"/>
      <c r="H1766" s="213" t="str">
        <f>IFERROR(__xludf.DUMMYFUNCTION("""COMPUTED_VALUE"""),"MESA SEMICIRCULAR PARA SET DE RADIO")</f>
        <v>MESA SEMICIRCULAR PARA SET DE RADIO</v>
      </c>
      <c r="I1766" s="213" t="str">
        <f>IFERROR(__xludf.DUMMYFUNCTION("""COMPUTED_VALUE"""),"·  Tablero de madera aglomerada bilaminado, 30 mm de espesor (mínimo), canteado en PVC de 3 mm.
·  tablero con radio interior de 40 cm y radio exterior de 100cm, deberá contar con mínimo 200 cm de largo de tablero.
·  El mueble no requiere ser anclado en "&amp;"el piso
·  Estructura metálica: mínimo de tubo cuadrado de 1” x 1,5 mm mínimo.")</f>
        <v>·  Tablero de madera aglomerada bilaminado, 30 mm de espesor (mínimo), canteado en PVC de 3 mm.
·  tablero con radio interior de 40 cm y radio exterior de 100cm, deberá contar con mínimo 200 cm de largo de tablero.
·  El mueble no requiere ser anclado en el piso
·  Estructura metálica: mínimo de tubo cuadrado de 1” x 1,5 mm mínimo.</v>
      </c>
      <c r="J1766" s="213">
        <f>IFERROR(__xludf.DUMMYFUNCTION("""COMPUTED_VALUE"""),3.0)</f>
        <v>3</v>
      </c>
      <c r="K1766" s="213" t="str">
        <f>IFERROR(__xludf.DUMMYFUNCTION("""COMPUTED_VALUE"""),"90 DÍAS CALENDARIO")</f>
        <v>90 DÍAS CALENDARIO</v>
      </c>
      <c r="L1766" s="213" t="str">
        <f>IFERROR(__xludf.DUMMYFUNCTION("""COMPUTED_VALUE"""),"")</f>
        <v/>
      </c>
      <c r="M1766" s="213">
        <f>IFERROR(__xludf.DUMMYFUNCTION("""COMPUTED_VALUE"""),1.0)</f>
        <v>1</v>
      </c>
      <c r="N1766" s="213">
        <f>IFERROR(__xludf.DUMMYFUNCTION("""COMPUTED_VALUE"""),1.0)</f>
        <v>1</v>
      </c>
      <c r="O1766" s="213">
        <f>IFERROR(__xludf.DUMMYFUNCTION("""COMPUTED_VALUE"""),1.0)</f>
        <v>1</v>
      </c>
      <c r="P1766" s="213"/>
      <c r="Q1766" s="213"/>
      <c r="R1766" s="213"/>
      <c r="S1766" s="213"/>
      <c r="T1766" s="213"/>
      <c r="U1766" s="213"/>
      <c r="V1766" s="213"/>
      <c r="W1766" s="213"/>
      <c r="X1766" s="213"/>
      <c r="Y1766" s="213"/>
      <c r="Z1766" s="213"/>
      <c r="AA1766" s="213"/>
      <c r="AB1766" s="213"/>
      <c r="AC1766" s="213"/>
      <c r="AD1766" s="213"/>
      <c r="AE1766" s="213"/>
      <c r="AF1766" s="213"/>
      <c r="AG1766" s="213"/>
      <c r="AH1766" s="213"/>
      <c r="AI1766" s="213"/>
      <c r="AJ1766" s="213"/>
      <c r="AK1766" s="213"/>
      <c r="AL1766" s="213"/>
      <c r="AM1766" s="213"/>
      <c r="AN1766" s="213"/>
      <c r="AO1766" s="213"/>
      <c r="AP1766" s="213"/>
      <c r="AQ1766" s="213"/>
      <c r="AR1766" s="213"/>
      <c r="AS1766" s="213"/>
      <c r="AT1766" s="213"/>
      <c r="AU1766" s="213"/>
      <c r="AV1766" s="213"/>
      <c r="AW1766" s="213"/>
      <c r="AX1766" s="213"/>
      <c r="AY1766" s="213"/>
      <c r="AZ1766" s="213"/>
      <c r="BA1766" s="213"/>
      <c r="BB1766" s="213"/>
      <c r="BC1766" s="213"/>
      <c r="BD1766" s="213"/>
    </row>
    <row r="1767">
      <c r="A1767" s="213">
        <f>IFERROR(__xludf.DUMMYFUNCTION("""COMPUTED_VALUE"""),739.0)</f>
        <v>739</v>
      </c>
      <c r="B1767" s="213" t="str">
        <f>IFERROR(__xludf.DUMMYFUNCTION("""COMPUTED_VALUE"""),"6049 RICARDO PALMA")</f>
        <v>6049 RICARDO PALMA</v>
      </c>
      <c r="C1767" s="213" t="str">
        <f>IFERROR(__xludf.DUMMYFUNCTION("""COMPUTED_VALUE"""),"TALLER SFT DE COMPUTACIÓN E INFORMÁTICA")</f>
        <v>TALLER SFT DE COMPUTACIÓN E INFORMÁTICA</v>
      </c>
      <c r="D1767" s="213" t="str">
        <f>IFERROR(__xludf.DUMMYFUNCTION("""COMPUTED_VALUE"""),"MOBILIARIO")</f>
        <v>MOBILIARIO</v>
      </c>
      <c r="E1767" s="213" t="str">
        <f>IFERROR(__xludf.DUMMYFUNCTION("""COMPUTED_VALUE"""),"MOB-123")</f>
        <v>MOB-123</v>
      </c>
      <c r="F1767" s="213" t="str">
        <f>IFERROR(__xludf.DUMMYFUNCTION("""COMPUTED_VALUE"""),"MOB-123")</f>
        <v>MOB-123</v>
      </c>
      <c r="G1767" s="213"/>
      <c r="H1767" s="213" t="str">
        <f>IFERROR(__xludf.DUMMYFUNCTION("""COMPUTED_VALUE"""),"MESA SEMICIRCULAR PARA SET DE RADIO")</f>
        <v>MESA SEMICIRCULAR PARA SET DE RADIO</v>
      </c>
      <c r="I1767" s="213" t="str">
        <f>IFERROR(__xludf.DUMMYFUNCTION("""COMPUTED_VALUE"""),"·  Tablero de madera aglomerada bilaminado, 30 mm de espesor (mínimo), canteado en PVC de 3 mm.
·  tablero con radio interior de 40 cm y radio exterior de 100cm, deberá contar con mínimo 200 cm de largo de tablero.
·  El mueble no requiere ser anclado en "&amp;"el piso
·  Estructura metálica: mínimo de tubo cuadrado de 1” x 1,5 mm mínimo.")</f>
        <v>·  Tablero de madera aglomerada bilaminado, 30 mm de espesor (mínimo), canteado en PVC de 3 mm.
·  tablero con radio interior de 40 cm y radio exterior de 100cm, deberá contar con mínimo 200 cm de largo de tablero.
·  El mueble no requiere ser anclado en el piso
·  Estructura metálica: mínimo de tubo cuadrado de 1” x 1,5 mm mínimo.</v>
      </c>
      <c r="J1767" s="213">
        <f>IFERROR(__xludf.DUMMYFUNCTION("""COMPUTED_VALUE"""),3.0)</f>
        <v>3</v>
      </c>
      <c r="K1767" s="213" t="str">
        <f>IFERROR(__xludf.DUMMYFUNCTION("""COMPUTED_VALUE"""),"90 DÍAS CALENDARIO")</f>
        <v>90 DÍAS CALENDARIO</v>
      </c>
      <c r="L1767" s="213" t="str">
        <f>IFERROR(__xludf.DUMMYFUNCTION("""COMPUTED_VALUE"""),"")</f>
        <v/>
      </c>
      <c r="M1767" s="213">
        <f>IFERROR(__xludf.DUMMYFUNCTION("""COMPUTED_VALUE"""),1.0)</f>
        <v>1</v>
      </c>
      <c r="N1767" s="213">
        <f>IFERROR(__xludf.DUMMYFUNCTION("""COMPUTED_VALUE"""),1.0)</f>
        <v>1</v>
      </c>
      <c r="O1767" s="213">
        <f>IFERROR(__xludf.DUMMYFUNCTION("""COMPUTED_VALUE"""),1.0)</f>
        <v>1</v>
      </c>
      <c r="P1767" s="213"/>
      <c r="Q1767" s="213"/>
      <c r="R1767" s="213"/>
      <c r="S1767" s="213"/>
      <c r="T1767" s="213"/>
      <c r="U1767" s="213"/>
      <c r="V1767" s="213"/>
      <c r="W1767" s="213"/>
      <c r="X1767" s="213"/>
      <c r="Y1767" s="213"/>
      <c r="Z1767" s="213"/>
      <c r="AA1767" s="213"/>
      <c r="AB1767" s="213"/>
      <c r="AC1767" s="213"/>
      <c r="AD1767" s="213"/>
      <c r="AE1767" s="213"/>
      <c r="AF1767" s="213"/>
      <c r="AG1767" s="213"/>
      <c r="AH1767" s="213"/>
      <c r="AI1767" s="213"/>
      <c r="AJ1767" s="213"/>
      <c r="AK1767" s="213"/>
      <c r="AL1767" s="213"/>
      <c r="AM1767" s="213"/>
      <c r="AN1767" s="213"/>
      <c r="AO1767" s="213"/>
      <c r="AP1767" s="213"/>
      <c r="AQ1767" s="213"/>
      <c r="AR1767" s="213"/>
      <c r="AS1767" s="213"/>
      <c r="AT1767" s="213"/>
      <c r="AU1767" s="213"/>
      <c r="AV1767" s="213"/>
      <c r="AW1767" s="213"/>
      <c r="AX1767" s="213"/>
      <c r="AY1767" s="213"/>
      <c r="AZ1767" s="213"/>
      <c r="BA1767" s="213"/>
      <c r="BB1767" s="213"/>
      <c r="BC1767" s="213"/>
      <c r="BD1767" s="213"/>
    </row>
    <row r="1768">
      <c r="A1768" s="213">
        <f>IFERROR(__xludf.DUMMYFUNCTION("""COMPUTED_VALUE"""),1674.0)</f>
        <v>1674</v>
      </c>
      <c r="B1768" s="213" t="str">
        <f>IFERROR(__xludf.DUMMYFUNCTION("""COMPUTED_VALUE"""),"GUILLERMO E. BILLINGHURST ")</f>
        <v>GUILLERMO E. BILLINGHURST </v>
      </c>
      <c r="C1768" s="213" t="str">
        <f>IFERROR(__xludf.DUMMYFUNCTION("""COMPUTED_VALUE"""),"TALLER SFT DE COMPUTACIÓN E INFORMÁTICA")</f>
        <v>TALLER SFT DE COMPUTACIÓN E INFORMÁTICA</v>
      </c>
      <c r="D1768" s="213" t="str">
        <f>IFERROR(__xludf.DUMMYFUNCTION("""COMPUTED_VALUE"""),"MOBILIARIO")</f>
        <v>MOBILIARIO</v>
      </c>
      <c r="E1768" s="213" t="str">
        <f>IFERROR(__xludf.DUMMYFUNCTION("""COMPUTED_VALUE"""),"MOB-123")</f>
        <v>MOB-123</v>
      </c>
      <c r="F1768" s="213" t="str">
        <f>IFERROR(__xludf.DUMMYFUNCTION("""COMPUTED_VALUE"""),"MOB-123")</f>
        <v>MOB-123</v>
      </c>
      <c r="G1768" s="213"/>
      <c r="H1768" s="213" t="str">
        <f>IFERROR(__xludf.DUMMYFUNCTION("""COMPUTED_VALUE"""),"MESA SEMICIRCULAR PARA SET DE RADIO")</f>
        <v>MESA SEMICIRCULAR PARA SET DE RADIO</v>
      </c>
      <c r="I1768" s="213" t="str">
        <f>IFERROR(__xludf.DUMMYFUNCTION("""COMPUTED_VALUE"""),"·  Tablero de madera aglomerada bilaminado, 30 mm de espesor (mínimo), canteado en PVC de 3 mm.
·  tablero con radio interior de 40 cm y radio exterior de 100cm, deberá contar con mínimo 200 cm de largo de tablero.
·  El mueble no requiere ser anclado en "&amp;"el piso
·  Estructura metálica: mínimo de tubo cuadrado de 1” x 1,5 mm mínimo.")</f>
        <v>·  Tablero de madera aglomerada bilaminado, 30 mm de espesor (mínimo), canteado en PVC de 3 mm.
·  tablero con radio interior de 40 cm y radio exterior de 100cm, deberá contar con mínimo 200 cm de largo de tablero.
·  El mueble no requiere ser anclado en el piso
·  Estructura metálica: mínimo de tubo cuadrado de 1” x 1,5 mm mínimo.</v>
      </c>
      <c r="J1768" s="213">
        <f>IFERROR(__xludf.DUMMYFUNCTION("""COMPUTED_VALUE"""),3.0)</f>
        <v>3</v>
      </c>
      <c r="K1768" s="213" t="str">
        <f>IFERROR(__xludf.DUMMYFUNCTION("""COMPUTED_VALUE"""),"90 DÍAS CALENDARIO")</f>
        <v>90 DÍAS CALENDARIO</v>
      </c>
      <c r="L1768" s="213" t="str">
        <f>IFERROR(__xludf.DUMMYFUNCTION("""COMPUTED_VALUE"""),"")</f>
        <v/>
      </c>
      <c r="M1768" s="213">
        <f>IFERROR(__xludf.DUMMYFUNCTION("""COMPUTED_VALUE"""),1.0)</f>
        <v>1</v>
      </c>
      <c r="N1768" s="213">
        <f>IFERROR(__xludf.DUMMYFUNCTION("""COMPUTED_VALUE"""),1.0)</f>
        <v>1</v>
      </c>
      <c r="O1768" s="213">
        <f>IFERROR(__xludf.DUMMYFUNCTION("""COMPUTED_VALUE"""),1.0)</f>
        <v>1</v>
      </c>
      <c r="P1768" s="213"/>
      <c r="Q1768" s="213"/>
      <c r="R1768" s="213"/>
      <c r="S1768" s="213"/>
      <c r="T1768" s="213"/>
      <c r="U1768" s="213"/>
      <c r="V1768" s="213"/>
      <c r="W1768" s="213"/>
      <c r="X1768" s="213"/>
      <c r="Y1768" s="213"/>
      <c r="Z1768" s="213"/>
      <c r="AA1768" s="213"/>
      <c r="AB1768" s="213"/>
      <c r="AC1768" s="213"/>
      <c r="AD1768" s="213"/>
      <c r="AE1768" s="213"/>
      <c r="AF1768" s="213"/>
      <c r="AG1768" s="213"/>
      <c r="AH1768" s="213"/>
      <c r="AI1768" s="213"/>
      <c r="AJ1768" s="213"/>
      <c r="AK1768" s="213"/>
      <c r="AL1768" s="213"/>
      <c r="AM1768" s="213"/>
      <c r="AN1768" s="213"/>
      <c r="AO1768" s="213"/>
      <c r="AP1768" s="213"/>
      <c r="AQ1768" s="213"/>
      <c r="AR1768" s="213"/>
      <c r="AS1768" s="213"/>
      <c r="AT1768" s="213"/>
      <c r="AU1768" s="213"/>
      <c r="AV1768" s="213"/>
      <c r="AW1768" s="213"/>
      <c r="AX1768" s="213"/>
      <c r="AY1768" s="213"/>
      <c r="AZ1768" s="213"/>
      <c r="BA1768" s="213"/>
      <c r="BB1768" s="213"/>
      <c r="BC1768" s="213"/>
      <c r="BD1768" s="213"/>
    </row>
    <row r="1769">
      <c r="A1769" s="213">
        <f>IFERROR(__xludf.DUMMYFUNCTION("""COMPUTED_VALUE"""),1925.0)</f>
        <v>1925</v>
      </c>
      <c r="B1769" s="213" t="str">
        <f>IFERROR(__xludf.DUMMYFUNCTION("""COMPUTED_VALUE"""),"JOSE GRANDA")</f>
        <v>JOSE GRANDA</v>
      </c>
      <c r="C1769" s="213" t="str">
        <f>IFERROR(__xludf.DUMMYFUNCTION("""COMPUTED_VALUE"""),"TALLER SFT DE COMPUTACIÓN E INFORMÁTICA")</f>
        <v>TALLER SFT DE COMPUTACIÓN E INFORMÁTICA</v>
      </c>
      <c r="D1769" s="213" t="str">
        <f>IFERROR(__xludf.DUMMYFUNCTION("""COMPUTED_VALUE"""),"MOBILIARIO")</f>
        <v>MOBILIARIO</v>
      </c>
      <c r="E1769" s="213" t="str">
        <f>IFERROR(__xludf.DUMMYFUNCTION("""COMPUTED_VALUE"""),"MOB-123")</f>
        <v>MOB-123</v>
      </c>
      <c r="F1769" s="213" t="str">
        <f>IFERROR(__xludf.DUMMYFUNCTION("""COMPUTED_VALUE"""),"MOB-123")</f>
        <v>MOB-123</v>
      </c>
      <c r="G1769" s="213"/>
      <c r="H1769" s="213" t="str">
        <f>IFERROR(__xludf.DUMMYFUNCTION("""COMPUTED_VALUE"""),"MESA SEMICIRCULAR PARA SET DE RADIO")</f>
        <v>MESA SEMICIRCULAR PARA SET DE RADIO</v>
      </c>
      <c r="I1769" s="213" t="str">
        <f>IFERROR(__xludf.DUMMYFUNCTION("""COMPUTED_VALUE"""),"·  Tablero de madera aglomerada bilaminado, 30 mm de espesor (mínimo), canteado en PVC de 3 mm.
·  tablero con radio interior de 40 cm y radio exterior de 100cm, deberá contar con mínimo 200 cm de largo de tablero.
·  El mueble no requiere ser anclado en "&amp;"el piso
·  Estructura metálica: mínimo de tubo cuadrado de 1” x 1,5 mm mínimo.")</f>
        <v>·  Tablero de madera aglomerada bilaminado, 30 mm de espesor (mínimo), canteado en PVC de 3 mm.
·  tablero con radio interior de 40 cm y radio exterior de 100cm, deberá contar con mínimo 200 cm de largo de tablero.
·  El mueble no requiere ser anclado en el piso
·  Estructura metálica: mínimo de tubo cuadrado de 1” x 1,5 mm mínimo.</v>
      </c>
      <c r="J1769" s="213">
        <f>IFERROR(__xludf.DUMMYFUNCTION("""COMPUTED_VALUE"""),3.0)</f>
        <v>3</v>
      </c>
      <c r="K1769" s="213" t="str">
        <f>IFERROR(__xludf.DUMMYFUNCTION("""COMPUTED_VALUE"""),"90 DÍAS CALENDARIO")</f>
        <v>90 DÍAS CALENDARIO</v>
      </c>
      <c r="L1769" s="213" t="str">
        <f>IFERROR(__xludf.DUMMYFUNCTION("""COMPUTED_VALUE"""),"")</f>
        <v/>
      </c>
      <c r="M1769" s="213">
        <f>IFERROR(__xludf.DUMMYFUNCTION("""COMPUTED_VALUE"""),1.0)</f>
        <v>1</v>
      </c>
      <c r="N1769" s="213">
        <f>IFERROR(__xludf.DUMMYFUNCTION("""COMPUTED_VALUE"""),1.0)</f>
        <v>1</v>
      </c>
      <c r="O1769" s="213">
        <f>IFERROR(__xludf.DUMMYFUNCTION("""COMPUTED_VALUE"""),1.0)</f>
        <v>1</v>
      </c>
      <c r="P1769" s="213"/>
      <c r="Q1769" s="213"/>
      <c r="R1769" s="213"/>
      <c r="S1769" s="213"/>
      <c r="T1769" s="213"/>
      <c r="U1769" s="213"/>
      <c r="V1769" s="213"/>
      <c r="W1769" s="213"/>
      <c r="X1769" s="213"/>
      <c r="Y1769" s="213"/>
      <c r="Z1769" s="213"/>
      <c r="AA1769" s="213"/>
      <c r="AB1769" s="213"/>
      <c r="AC1769" s="213"/>
      <c r="AD1769" s="213"/>
      <c r="AE1769" s="213"/>
      <c r="AF1769" s="213"/>
      <c r="AG1769" s="213"/>
      <c r="AH1769" s="213"/>
      <c r="AI1769" s="213"/>
      <c r="AJ1769" s="213"/>
      <c r="AK1769" s="213"/>
      <c r="AL1769" s="213"/>
      <c r="AM1769" s="213"/>
      <c r="AN1769" s="213"/>
      <c r="AO1769" s="213"/>
      <c r="AP1769" s="213"/>
      <c r="AQ1769" s="213"/>
      <c r="AR1769" s="213"/>
      <c r="AS1769" s="213"/>
      <c r="AT1769" s="213"/>
      <c r="AU1769" s="213"/>
      <c r="AV1769" s="213"/>
      <c r="AW1769" s="213"/>
      <c r="AX1769" s="213"/>
      <c r="AY1769" s="213"/>
      <c r="AZ1769" s="213"/>
      <c r="BA1769" s="213"/>
      <c r="BB1769" s="213"/>
      <c r="BC1769" s="213"/>
      <c r="BD1769" s="213"/>
    </row>
    <row r="1770">
      <c r="A1770" s="213">
        <f>IFERROR(__xludf.DUMMYFUNCTION("""COMPUTED_VALUE"""),278.0)</f>
        <v>278</v>
      </c>
      <c r="B1770" s="213" t="str">
        <f>IFERROR(__xludf.DUMMYFUNCTION("""COMPUTED_VALUE"""),"2026 SIMON BOLIVAR")</f>
        <v>2026 SIMON BOLIVAR</v>
      </c>
      <c r="C1770" s="213" t="str">
        <f>IFERROR(__xludf.DUMMYFUNCTION("""COMPUTED_VALUE"""),"TALLER SFT DE COMPUTACIÓN E INFORMÁTICA")</f>
        <v>TALLER SFT DE COMPUTACIÓN E INFORMÁTICA</v>
      </c>
      <c r="D1770" s="213" t="str">
        <f>IFERROR(__xludf.DUMMYFUNCTION("""COMPUTED_VALUE"""),"EQUIPOS")</f>
        <v>EQUIPOS</v>
      </c>
      <c r="E1770" s="213" t="str">
        <f>IFERROR(__xludf.DUMMYFUNCTION("""COMPUTED_VALUE"""),"ESP-254")</f>
        <v>ESP-254</v>
      </c>
      <c r="F1770" s="213" t="str">
        <f>IFERROR(__xludf.DUMMYFUNCTION("""COMPUTED_VALUE"""),"ESP-254")</f>
        <v>ESP-254</v>
      </c>
      <c r="G1770" s="213"/>
      <c r="H1770" s="213" t="str">
        <f>IFERROR(__xludf.DUMMYFUNCTION("""COMPUTED_VALUE"""),"MICRÓFONO CONDENSADOR PARA ESTUDIO")</f>
        <v>MICRÓFONO CONDENSADOR PARA ESTUDIO</v>
      </c>
      <c r="I1770" s="213"/>
      <c r="J1770" s="213">
        <f>IFERROR(__xludf.DUMMYFUNCTION("""COMPUTED_VALUE"""),3.0)</f>
        <v>3</v>
      </c>
      <c r="K1770" s="213" t="str">
        <f>IFERROR(__xludf.DUMMYFUNCTION("""COMPUTED_VALUE"""),"170 DÍAS CALENDARIO")</f>
        <v>170 DÍAS CALENDARIO</v>
      </c>
      <c r="L1770" s="213" t="str">
        <f>IFERROR(__xludf.DUMMYFUNCTION("""COMPUTED_VALUE"""),"")</f>
        <v/>
      </c>
      <c r="M1770" s="213">
        <f>IFERROR(__xludf.DUMMYFUNCTION("""COMPUTED_VALUE"""),1.0)</f>
        <v>1</v>
      </c>
      <c r="N1770" s="213">
        <f>IFERROR(__xludf.DUMMYFUNCTION("""COMPUTED_VALUE"""),3.0)</f>
        <v>3</v>
      </c>
      <c r="O1770" s="213">
        <f>IFERROR(__xludf.DUMMYFUNCTION("""COMPUTED_VALUE"""),3.0)</f>
        <v>3</v>
      </c>
      <c r="P1770" s="213"/>
      <c r="Q1770" s="213"/>
      <c r="R1770" s="213"/>
      <c r="S1770" s="213" t="str">
        <f>IFERROR(__xludf.DUMMYFUNCTION("""COMPUTED_VALUE"""),"SI")</f>
        <v>SI</v>
      </c>
      <c r="T1770" s="213" t="str">
        <f>IFERROR(__xludf.DUMMYFUNCTION("""COMPUTED_VALUE"""),"SI")</f>
        <v>SI</v>
      </c>
      <c r="U1770" s="213" t="str">
        <f>IFERROR(__xludf.DUMMYFUNCTION("""COMPUTED_VALUE"""),"SI")</f>
        <v>SI</v>
      </c>
      <c r="V1770" s="213" t="str">
        <f>IFERROR(__xludf.DUMMYFUNCTION("""COMPUTED_VALUE"""),"-")</f>
        <v>-</v>
      </c>
      <c r="W1770" s="213" t="str">
        <f>IFERROR(__xludf.DUMMYFUNCTION("""COMPUTED_VALUE"""),"-")</f>
        <v>-</v>
      </c>
      <c r="X1770" s="213" t="str">
        <f>IFERROR(__xludf.DUMMYFUNCTION("""COMPUTED_VALUE"""),"BLUE (LOGITECH)")</f>
        <v>BLUE (LOGITECH)</v>
      </c>
      <c r="Y1770" s="213" t="str">
        <f>IFERROR(__xludf.DUMMYFUNCTION("""COMPUTED_VALUE"""),"YETI NANO")</f>
        <v>YETI NANO</v>
      </c>
      <c r="Z1770" s="215" t="str">
        <f>IFERROR(__xludf.DUMMYFUNCTION("""COMPUTED_VALUE"""),"https://www.logitechg.com/en-us/shop/p/yeti-nano-usb-microphone.988-000088")</f>
        <v>https://www.logitechg.com/en-us/shop/p/yeti-nano-usb-microphone.988-000088</v>
      </c>
      <c r="AA1770" s="213" t="str">
        <f>IFERROR(__xludf.DUMMYFUNCTION("""COMPUTED_VALUE"""),"ESP-254 MICRÓFONO CONDENSADOR PARA ESTUDIO - CET")</f>
        <v>ESP-254 MICRÓFONO CONDENSADOR PARA ESTUDIO - CET</v>
      </c>
      <c r="AB1770" s="215" t="str">
        <f>IFERROR(__xludf.DUMMYFUNCTION("""COMPUTED_VALUE"""),"https://drive.google.com/file/d/1q6KTacf-iDxDU0AdcqowZ3N6Vd1i2uA8/view?usp=drive_link")</f>
        <v>https://drive.google.com/file/d/1q6KTacf-iDxDU0AdcqowZ3N6Vd1i2uA8/view?usp=drive_link</v>
      </c>
      <c r="AC1770" s="213"/>
      <c r="AD1770" s="213"/>
      <c r="AE1770" s="213"/>
      <c r="AF1770" s="213"/>
      <c r="AG1770" s="213"/>
      <c r="AH1770" s="213"/>
      <c r="AI1770" s="213"/>
      <c r="AJ1770" s="213"/>
      <c r="AK1770" s="213"/>
      <c r="AL1770" s="213"/>
      <c r="AM1770" s="213"/>
      <c r="AN1770" s="213"/>
      <c r="AO1770" s="213"/>
      <c r="AP1770" s="213" t="str">
        <f>IFERROR(__xludf.DUMMYFUNCTION("""COMPUTED_VALUE"""),"MICHEL")</f>
        <v>MICHEL</v>
      </c>
      <c r="AQ1770" s="213"/>
      <c r="AR1770" s="213"/>
      <c r="AS1770" s="213"/>
      <c r="AT1770" s="213"/>
      <c r="AU1770" s="213"/>
      <c r="AV1770" s="213"/>
      <c r="AW1770" s="213"/>
      <c r="AX1770" s="213"/>
      <c r="AY1770" s="213"/>
      <c r="AZ1770" s="213"/>
      <c r="BA1770" s="213"/>
      <c r="BB1770" s="213"/>
      <c r="BC1770" s="213"/>
      <c r="BD1770" s="213"/>
    </row>
    <row r="1771">
      <c r="A1771" s="213">
        <f>IFERROR(__xludf.DUMMYFUNCTION("""COMPUTED_VALUE"""),764.0)</f>
        <v>764</v>
      </c>
      <c r="B1771" s="213" t="str">
        <f>IFERROR(__xludf.DUMMYFUNCTION("""COMPUTED_VALUE"""),"6049 RICARDO PALMA")</f>
        <v>6049 RICARDO PALMA</v>
      </c>
      <c r="C1771" s="213" t="str">
        <f>IFERROR(__xludf.DUMMYFUNCTION("""COMPUTED_VALUE"""),"TALLER SFT DE COMPUTACIÓN E INFORMÁTICA")</f>
        <v>TALLER SFT DE COMPUTACIÓN E INFORMÁTICA</v>
      </c>
      <c r="D1771" s="213" t="str">
        <f>IFERROR(__xludf.DUMMYFUNCTION("""COMPUTED_VALUE"""),"EQUIPOS")</f>
        <v>EQUIPOS</v>
      </c>
      <c r="E1771" s="213" t="str">
        <f>IFERROR(__xludf.DUMMYFUNCTION("""COMPUTED_VALUE"""),"ESP-254")</f>
        <v>ESP-254</v>
      </c>
      <c r="F1771" s="213" t="str">
        <f>IFERROR(__xludf.DUMMYFUNCTION("""COMPUTED_VALUE"""),"ESP-254")</f>
        <v>ESP-254</v>
      </c>
      <c r="G1771" s="213"/>
      <c r="H1771" s="213" t="str">
        <f>IFERROR(__xludf.DUMMYFUNCTION("""COMPUTED_VALUE"""),"MICRÓFONO CONDENSADOR PARA ESTUDIO")</f>
        <v>MICRÓFONO CONDENSADOR PARA ESTUDIO</v>
      </c>
      <c r="I1771" s="213"/>
      <c r="J1771" s="213">
        <f>IFERROR(__xludf.DUMMYFUNCTION("""COMPUTED_VALUE"""),3.0)</f>
        <v>3</v>
      </c>
      <c r="K1771" s="213" t="str">
        <f>IFERROR(__xludf.DUMMYFUNCTION("""COMPUTED_VALUE"""),"170 DÍAS CALENDARIO")</f>
        <v>170 DÍAS CALENDARIO</v>
      </c>
      <c r="L1771" s="213" t="str">
        <f>IFERROR(__xludf.DUMMYFUNCTION("""COMPUTED_VALUE"""),"")</f>
        <v/>
      </c>
      <c r="M1771" s="213">
        <f>IFERROR(__xludf.DUMMYFUNCTION("""COMPUTED_VALUE"""),1.0)</f>
        <v>1</v>
      </c>
      <c r="N1771" s="213">
        <f>IFERROR(__xludf.DUMMYFUNCTION("""COMPUTED_VALUE"""),3.0)</f>
        <v>3</v>
      </c>
      <c r="O1771" s="213">
        <f>IFERROR(__xludf.DUMMYFUNCTION("""COMPUTED_VALUE"""),3.0)</f>
        <v>3</v>
      </c>
      <c r="P1771" s="213"/>
      <c r="Q1771" s="213"/>
      <c r="R1771" s="213"/>
      <c r="S1771" s="213" t="str">
        <f>IFERROR(__xludf.DUMMYFUNCTION("""COMPUTED_VALUE"""),"SI")</f>
        <v>SI</v>
      </c>
      <c r="T1771" s="213" t="str">
        <f>IFERROR(__xludf.DUMMYFUNCTION("""COMPUTED_VALUE"""),"SI")</f>
        <v>SI</v>
      </c>
      <c r="U1771" s="213" t="str">
        <f>IFERROR(__xludf.DUMMYFUNCTION("""COMPUTED_VALUE"""),"SI")</f>
        <v>SI</v>
      </c>
      <c r="V1771" s="213" t="str">
        <f>IFERROR(__xludf.DUMMYFUNCTION("""COMPUTED_VALUE"""),"-")</f>
        <v>-</v>
      </c>
      <c r="W1771" s="213" t="str">
        <f>IFERROR(__xludf.DUMMYFUNCTION("""COMPUTED_VALUE"""),"-")</f>
        <v>-</v>
      </c>
      <c r="X1771" s="213" t="str">
        <f>IFERROR(__xludf.DUMMYFUNCTION("""COMPUTED_VALUE"""),"BLUE (LOGITECH)")</f>
        <v>BLUE (LOGITECH)</v>
      </c>
      <c r="Y1771" s="213" t="str">
        <f>IFERROR(__xludf.DUMMYFUNCTION("""COMPUTED_VALUE"""),"YETI NANO")</f>
        <v>YETI NANO</v>
      </c>
      <c r="Z1771" s="215" t="str">
        <f>IFERROR(__xludf.DUMMYFUNCTION("""COMPUTED_VALUE"""),"https://www.logitechg.com/en-us/shop/p/yeti-nano-usb-microphone.988-000088")</f>
        <v>https://www.logitechg.com/en-us/shop/p/yeti-nano-usb-microphone.988-000088</v>
      </c>
      <c r="AA1771" s="213" t="str">
        <f>IFERROR(__xludf.DUMMYFUNCTION("""COMPUTED_VALUE"""),"ESP-254 MICRÓFONO CONDENSADOR PARA ESTUDIO - CET")</f>
        <v>ESP-254 MICRÓFONO CONDENSADOR PARA ESTUDIO - CET</v>
      </c>
      <c r="AB1771" s="215" t="str">
        <f>IFERROR(__xludf.DUMMYFUNCTION("""COMPUTED_VALUE"""),"https://drive.google.com/file/d/1q6KTacf-iDxDU0AdcqowZ3N6Vd1i2uA8/view?usp=drive_link")</f>
        <v>https://drive.google.com/file/d/1q6KTacf-iDxDU0AdcqowZ3N6Vd1i2uA8/view?usp=drive_link</v>
      </c>
      <c r="AC1771" s="213"/>
      <c r="AD1771" s="213"/>
      <c r="AE1771" s="213"/>
      <c r="AF1771" s="213"/>
      <c r="AG1771" s="213"/>
      <c r="AH1771" s="213"/>
      <c r="AI1771" s="213"/>
      <c r="AJ1771" s="213"/>
      <c r="AK1771" s="213"/>
      <c r="AL1771" s="213"/>
      <c r="AM1771" s="213"/>
      <c r="AN1771" s="213"/>
      <c r="AO1771" s="213"/>
      <c r="AP1771" s="213" t="str">
        <f>IFERROR(__xludf.DUMMYFUNCTION("""COMPUTED_VALUE"""),"MICHEL")</f>
        <v>MICHEL</v>
      </c>
      <c r="AQ1771" s="213"/>
      <c r="AR1771" s="213"/>
      <c r="AS1771" s="213"/>
      <c r="AT1771" s="213"/>
      <c r="AU1771" s="213"/>
      <c r="AV1771" s="213"/>
      <c r="AW1771" s="213"/>
      <c r="AX1771" s="213"/>
      <c r="AY1771" s="213"/>
      <c r="AZ1771" s="213"/>
      <c r="BA1771" s="213"/>
      <c r="BB1771" s="213"/>
      <c r="BC1771" s="213"/>
      <c r="BD1771" s="213"/>
    </row>
    <row r="1772">
      <c r="A1772" s="213">
        <f>IFERROR(__xludf.DUMMYFUNCTION("""COMPUTED_VALUE"""),1703.0)</f>
        <v>1703</v>
      </c>
      <c r="B1772" s="213" t="str">
        <f>IFERROR(__xludf.DUMMYFUNCTION("""COMPUTED_VALUE"""),"GUILLERMO E. BILLINGHURST ")</f>
        <v>GUILLERMO E. BILLINGHURST </v>
      </c>
      <c r="C1772" s="213" t="str">
        <f>IFERROR(__xludf.DUMMYFUNCTION("""COMPUTED_VALUE"""),"TALLER SFT DE COMPUTACIÓN E INFORMÁTICA")</f>
        <v>TALLER SFT DE COMPUTACIÓN E INFORMÁTICA</v>
      </c>
      <c r="D1772" s="213" t="str">
        <f>IFERROR(__xludf.DUMMYFUNCTION("""COMPUTED_VALUE"""),"EQUIPOS")</f>
        <v>EQUIPOS</v>
      </c>
      <c r="E1772" s="213" t="str">
        <f>IFERROR(__xludf.DUMMYFUNCTION("""COMPUTED_VALUE"""),"ESP-254")</f>
        <v>ESP-254</v>
      </c>
      <c r="F1772" s="213" t="str">
        <f>IFERROR(__xludf.DUMMYFUNCTION("""COMPUTED_VALUE"""),"ESP-254")</f>
        <v>ESP-254</v>
      </c>
      <c r="G1772" s="213"/>
      <c r="H1772" s="213" t="str">
        <f>IFERROR(__xludf.DUMMYFUNCTION("""COMPUTED_VALUE"""),"MICRÓFONO CONDENSADOR PARA ESTUDIO")</f>
        <v>MICRÓFONO CONDENSADOR PARA ESTUDIO</v>
      </c>
      <c r="I1772" s="213"/>
      <c r="J1772" s="213">
        <f>IFERROR(__xludf.DUMMYFUNCTION("""COMPUTED_VALUE"""),3.0)</f>
        <v>3</v>
      </c>
      <c r="K1772" s="213" t="str">
        <f>IFERROR(__xludf.DUMMYFUNCTION("""COMPUTED_VALUE"""),"170 DÍAS CALENDARIO")</f>
        <v>170 DÍAS CALENDARIO</v>
      </c>
      <c r="L1772" s="213" t="str">
        <f>IFERROR(__xludf.DUMMYFUNCTION("""COMPUTED_VALUE"""),"")</f>
        <v/>
      </c>
      <c r="M1772" s="213">
        <f>IFERROR(__xludf.DUMMYFUNCTION("""COMPUTED_VALUE"""),1.0)</f>
        <v>1</v>
      </c>
      <c r="N1772" s="213">
        <f>IFERROR(__xludf.DUMMYFUNCTION("""COMPUTED_VALUE"""),3.0)</f>
        <v>3</v>
      </c>
      <c r="O1772" s="213">
        <f>IFERROR(__xludf.DUMMYFUNCTION("""COMPUTED_VALUE"""),3.0)</f>
        <v>3</v>
      </c>
      <c r="P1772" s="213"/>
      <c r="Q1772" s="213"/>
      <c r="R1772" s="213"/>
      <c r="S1772" s="213" t="str">
        <f>IFERROR(__xludf.DUMMYFUNCTION("""COMPUTED_VALUE"""),"SI")</f>
        <v>SI</v>
      </c>
      <c r="T1772" s="213" t="str">
        <f>IFERROR(__xludf.DUMMYFUNCTION("""COMPUTED_VALUE"""),"SI")</f>
        <v>SI</v>
      </c>
      <c r="U1772" s="213" t="str">
        <f>IFERROR(__xludf.DUMMYFUNCTION("""COMPUTED_VALUE"""),"SI")</f>
        <v>SI</v>
      </c>
      <c r="V1772" s="213" t="str">
        <f>IFERROR(__xludf.DUMMYFUNCTION("""COMPUTED_VALUE"""),"-")</f>
        <v>-</v>
      </c>
      <c r="W1772" s="213" t="str">
        <f>IFERROR(__xludf.DUMMYFUNCTION("""COMPUTED_VALUE"""),"-")</f>
        <v>-</v>
      </c>
      <c r="X1772" s="213" t="str">
        <f>IFERROR(__xludf.DUMMYFUNCTION("""COMPUTED_VALUE"""),"BLUE (LOGITECH)")</f>
        <v>BLUE (LOGITECH)</v>
      </c>
      <c r="Y1772" s="213" t="str">
        <f>IFERROR(__xludf.DUMMYFUNCTION("""COMPUTED_VALUE"""),"YETI NANO")</f>
        <v>YETI NANO</v>
      </c>
      <c r="Z1772" s="215" t="str">
        <f>IFERROR(__xludf.DUMMYFUNCTION("""COMPUTED_VALUE"""),"https://www.logitechg.com/en-us/shop/p/yeti-nano-usb-microphone.988-000088")</f>
        <v>https://www.logitechg.com/en-us/shop/p/yeti-nano-usb-microphone.988-000088</v>
      </c>
      <c r="AA1772" s="213" t="str">
        <f>IFERROR(__xludf.DUMMYFUNCTION("""COMPUTED_VALUE"""),"ESP-254 MICRÓFONO CONDENSADOR PARA ESTUDIO - CET")</f>
        <v>ESP-254 MICRÓFONO CONDENSADOR PARA ESTUDIO - CET</v>
      </c>
      <c r="AB1772" s="215" t="str">
        <f>IFERROR(__xludf.DUMMYFUNCTION("""COMPUTED_VALUE"""),"https://drive.google.com/file/d/1q6KTacf-iDxDU0AdcqowZ3N6Vd1i2uA8/view?usp=drive_link")</f>
        <v>https://drive.google.com/file/d/1q6KTacf-iDxDU0AdcqowZ3N6Vd1i2uA8/view?usp=drive_link</v>
      </c>
      <c r="AC1772" s="213"/>
      <c r="AD1772" s="213"/>
      <c r="AE1772" s="213"/>
      <c r="AF1772" s="213"/>
      <c r="AG1772" s="213"/>
      <c r="AH1772" s="213"/>
      <c r="AI1772" s="213"/>
      <c r="AJ1772" s="213"/>
      <c r="AK1772" s="213"/>
      <c r="AL1772" s="213"/>
      <c r="AM1772" s="213"/>
      <c r="AN1772" s="213"/>
      <c r="AO1772" s="213"/>
      <c r="AP1772" s="213" t="str">
        <f>IFERROR(__xludf.DUMMYFUNCTION("""COMPUTED_VALUE"""),"MICHEL")</f>
        <v>MICHEL</v>
      </c>
      <c r="AQ1772" s="213"/>
      <c r="AR1772" s="213"/>
      <c r="AS1772" s="213"/>
      <c r="AT1772" s="213"/>
      <c r="AU1772" s="213"/>
      <c r="AV1772" s="213"/>
      <c r="AW1772" s="213"/>
      <c r="AX1772" s="213"/>
      <c r="AY1772" s="213"/>
      <c r="AZ1772" s="213"/>
      <c r="BA1772" s="213"/>
      <c r="BB1772" s="213"/>
      <c r="BC1772" s="213"/>
      <c r="BD1772" s="213"/>
    </row>
    <row r="1773">
      <c r="A1773" s="213">
        <f>IFERROR(__xludf.DUMMYFUNCTION("""COMPUTED_VALUE"""),1954.0)</f>
        <v>1954</v>
      </c>
      <c r="B1773" s="213" t="str">
        <f>IFERROR(__xludf.DUMMYFUNCTION("""COMPUTED_VALUE"""),"JOSE GRANDA")</f>
        <v>JOSE GRANDA</v>
      </c>
      <c r="C1773" s="213" t="str">
        <f>IFERROR(__xludf.DUMMYFUNCTION("""COMPUTED_VALUE"""),"TALLER SFT DE COMPUTACIÓN E INFORMÁTICA")</f>
        <v>TALLER SFT DE COMPUTACIÓN E INFORMÁTICA</v>
      </c>
      <c r="D1773" s="213" t="str">
        <f>IFERROR(__xludf.DUMMYFUNCTION("""COMPUTED_VALUE"""),"EQUIPOS")</f>
        <v>EQUIPOS</v>
      </c>
      <c r="E1773" s="213" t="str">
        <f>IFERROR(__xludf.DUMMYFUNCTION("""COMPUTED_VALUE"""),"ESP-254")</f>
        <v>ESP-254</v>
      </c>
      <c r="F1773" s="213" t="str">
        <f>IFERROR(__xludf.DUMMYFUNCTION("""COMPUTED_VALUE"""),"ESP-254")</f>
        <v>ESP-254</v>
      </c>
      <c r="G1773" s="213"/>
      <c r="H1773" s="213" t="str">
        <f>IFERROR(__xludf.DUMMYFUNCTION("""COMPUTED_VALUE"""),"MICRÓFONO CONDENSADOR PARA ESTUDIO")</f>
        <v>MICRÓFONO CONDENSADOR PARA ESTUDIO</v>
      </c>
      <c r="I1773" s="213"/>
      <c r="J1773" s="213">
        <f>IFERROR(__xludf.DUMMYFUNCTION("""COMPUTED_VALUE"""),3.0)</f>
        <v>3</v>
      </c>
      <c r="K1773" s="213" t="str">
        <f>IFERROR(__xludf.DUMMYFUNCTION("""COMPUTED_VALUE"""),"170 DÍAS CALENDARIO")</f>
        <v>170 DÍAS CALENDARIO</v>
      </c>
      <c r="L1773" s="213" t="str">
        <f>IFERROR(__xludf.DUMMYFUNCTION("""COMPUTED_VALUE"""),"")</f>
        <v/>
      </c>
      <c r="M1773" s="213">
        <f>IFERROR(__xludf.DUMMYFUNCTION("""COMPUTED_VALUE"""),1.0)</f>
        <v>1</v>
      </c>
      <c r="N1773" s="213">
        <f>IFERROR(__xludf.DUMMYFUNCTION("""COMPUTED_VALUE"""),3.0)</f>
        <v>3</v>
      </c>
      <c r="O1773" s="213">
        <f>IFERROR(__xludf.DUMMYFUNCTION("""COMPUTED_VALUE"""),3.0)</f>
        <v>3</v>
      </c>
      <c r="P1773" s="213"/>
      <c r="Q1773" s="213"/>
      <c r="R1773" s="213"/>
      <c r="S1773" s="213" t="str">
        <f>IFERROR(__xludf.DUMMYFUNCTION("""COMPUTED_VALUE"""),"SI")</f>
        <v>SI</v>
      </c>
      <c r="T1773" s="213" t="str">
        <f>IFERROR(__xludf.DUMMYFUNCTION("""COMPUTED_VALUE"""),"SI")</f>
        <v>SI</v>
      </c>
      <c r="U1773" s="213" t="str">
        <f>IFERROR(__xludf.DUMMYFUNCTION("""COMPUTED_VALUE"""),"SI")</f>
        <v>SI</v>
      </c>
      <c r="V1773" s="213" t="str">
        <f>IFERROR(__xludf.DUMMYFUNCTION("""COMPUTED_VALUE"""),"-")</f>
        <v>-</v>
      </c>
      <c r="W1773" s="213" t="str">
        <f>IFERROR(__xludf.DUMMYFUNCTION("""COMPUTED_VALUE"""),"-")</f>
        <v>-</v>
      </c>
      <c r="X1773" s="213" t="str">
        <f>IFERROR(__xludf.DUMMYFUNCTION("""COMPUTED_VALUE"""),"BLUE (LOGITECH)")</f>
        <v>BLUE (LOGITECH)</v>
      </c>
      <c r="Y1773" s="213" t="str">
        <f>IFERROR(__xludf.DUMMYFUNCTION("""COMPUTED_VALUE"""),"YETI NANO")</f>
        <v>YETI NANO</v>
      </c>
      <c r="Z1773" s="215" t="str">
        <f>IFERROR(__xludf.DUMMYFUNCTION("""COMPUTED_VALUE"""),"https://www.logitechg.com/en-us/shop/p/yeti-nano-usb-microphone.988-000088")</f>
        <v>https://www.logitechg.com/en-us/shop/p/yeti-nano-usb-microphone.988-000088</v>
      </c>
      <c r="AA1773" s="213" t="str">
        <f>IFERROR(__xludf.DUMMYFUNCTION("""COMPUTED_VALUE"""),"ESP-254 MICRÓFONO CONDENSADOR PARA ESTUDIO - CET")</f>
        <v>ESP-254 MICRÓFONO CONDENSADOR PARA ESTUDIO - CET</v>
      </c>
      <c r="AB1773" s="215" t="str">
        <f>IFERROR(__xludf.DUMMYFUNCTION("""COMPUTED_VALUE"""),"https://drive.google.com/file/d/1q6KTacf-iDxDU0AdcqowZ3N6Vd1i2uA8/view?usp=drive_link")</f>
        <v>https://drive.google.com/file/d/1q6KTacf-iDxDU0AdcqowZ3N6Vd1i2uA8/view?usp=drive_link</v>
      </c>
      <c r="AC1773" s="213"/>
      <c r="AD1773" s="213"/>
      <c r="AE1773" s="213"/>
      <c r="AF1773" s="213"/>
      <c r="AG1773" s="213"/>
      <c r="AH1773" s="213"/>
      <c r="AI1773" s="213"/>
      <c r="AJ1773" s="213"/>
      <c r="AK1773" s="213"/>
      <c r="AL1773" s="213"/>
      <c r="AM1773" s="213"/>
      <c r="AN1773" s="213"/>
      <c r="AO1773" s="213"/>
      <c r="AP1773" s="213" t="str">
        <f>IFERROR(__xludf.DUMMYFUNCTION("""COMPUTED_VALUE"""),"MICHEL")</f>
        <v>MICHEL</v>
      </c>
      <c r="AQ1773" s="213"/>
      <c r="AR1773" s="213"/>
      <c r="AS1773" s="213"/>
      <c r="AT1773" s="213"/>
      <c r="AU1773" s="213"/>
      <c r="AV1773" s="213"/>
      <c r="AW1773" s="213"/>
      <c r="AX1773" s="213"/>
      <c r="AY1773" s="213"/>
      <c r="AZ1773" s="213"/>
      <c r="BA1773" s="213"/>
      <c r="BB1773" s="213"/>
      <c r="BC1773" s="213"/>
      <c r="BD1773" s="213"/>
    </row>
    <row r="1774">
      <c r="A1774" s="213">
        <f>IFERROR(__xludf.DUMMYFUNCTION("""COMPUTED_VALUE"""),279.0)</f>
        <v>279</v>
      </c>
      <c r="B1774" s="213" t="str">
        <f>IFERROR(__xludf.DUMMYFUNCTION("""COMPUTED_VALUE"""),"2026 SIMON BOLIVAR")</f>
        <v>2026 SIMON BOLIVAR</v>
      </c>
      <c r="C1774" s="213" t="str">
        <f>IFERROR(__xludf.DUMMYFUNCTION("""COMPUTED_VALUE"""),"TALLER SFT DE COMPUTACIÓN E INFORMÁTICA")</f>
        <v>TALLER SFT DE COMPUTACIÓN E INFORMÁTICA</v>
      </c>
      <c r="D1774" s="213" t="str">
        <f>IFERROR(__xludf.DUMMYFUNCTION("""COMPUTED_VALUE"""),"EQUIPOS")</f>
        <v>EQUIPOS</v>
      </c>
      <c r="E1774" s="213" t="str">
        <f>IFERROR(__xludf.DUMMYFUNCTION("""COMPUTED_VALUE"""),"ESP-256")</f>
        <v>ESP-256</v>
      </c>
      <c r="F1774" s="213" t="str">
        <f>IFERROR(__xludf.DUMMYFUNCTION("""COMPUTED_VALUE"""),"ESP-256")</f>
        <v>ESP-256</v>
      </c>
      <c r="G1774" s="213"/>
      <c r="H1774" s="213" t="str">
        <f>IFERROR(__xludf.DUMMYFUNCTION("""COMPUTED_VALUE"""),"MICRÓFONO DINÁMICO")</f>
        <v>MICRÓFONO DINÁMICO</v>
      </c>
      <c r="I1774" s="213"/>
      <c r="J1774" s="213">
        <f>IFERROR(__xludf.DUMMYFUNCTION("""COMPUTED_VALUE"""),3.0)</f>
        <v>3</v>
      </c>
      <c r="K1774" s="213" t="str">
        <f>IFERROR(__xludf.DUMMYFUNCTION("""COMPUTED_VALUE"""),"170 DÍAS CALENDARIO")</f>
        <v>170 DÍAS CALENDARIO</v>
      </c>
      <c r="L1774" s="213" t="str">
        <f>IFERROR(__xludf.DUMMYFUNCTION("""COMPUTED_VALUE"""),"")</f>
        <v/>
      </c>
      <c r="M1774" s="213">
        <f>IFERROR(__xludf.DUMMYFUNCTION("""COMPUTED_VALUE"""),1.0)</f>
        <v>1</v>
      </c>
      <c r="N1774" s="213">
        <f>IFERROR(__xludf.DUMMYFUNCTION("""COMPUTED_VALUE"""),1.0)</f>
        <v>1</v>
      </c>
      <c r="O1774" s="213">
        <f>IFERROR(__xludf.DUMMYFUNCTION("""COMPUTED_VALUE"""),1.0)</f>
        <v>1</v>
      </c>
      <c r="P1774" s="213"/>
      <c r="Q1774" s="213"/>
      <c r="R1774" s="213"/>
      <c r="S1774" s="213" t="str">
        <f>IFERROR(__xludf.DUMMYFUNCTION("""COMPUTED_VALUE"""),"SI")</f>
        <v>SI</v>
      </c>
      <c r="T1774" s="213" t="str">
        <f>IFERROR(__xludf.DUMMYFUNCTION("""COMPUTED_VALUE"""),"SI")</f>
        <v>SI</v>
      </c>
      <c r="U1774" s="213" t="str">
        <f>IFERROR(__xludf.DUMMYFUNCTION("""COMPUTED_VALUE"""),"SI")</f>
        <v>SI</v>
      </c>
      <c r="V1774" s="213" t="str">
        <f>IFERROR(__xludf.DUMMYFUNCTION("""COMPUTED_VALUE"""),"-")</f>
        <v>-</v>
      </c>
      <c r="W1774" s="213" t="str">
        <f>IFERROR(__xludf.DUMMYFUNCTION("""COMPUTED_VALUE"""),"-")</f>
        <v>-</v>
      </c>
      <c r="X1774" s="213" t="str">
        <f>IFERROR(__xludf.DUMMYFUNCTION("""COMPUTED_VALUE"""),"BLUE (LOGITECH)")</f>
        <v>BLUE (LOGITECH)</v>
      </c>
      <c r="Y1774" s="213" t="str">
        <f>IFERROR(__xludf.DUMMYFUNCTION("""COMPUTED_VALUE"""),"YETI NANO")</f>
        <v>YETI NANO</v>
      </c>
      <c r="Z1774" s="215" t="str">
        <f>IFERROR(__xludf.DUMMYFUNCTION("""COMPUTED_VALUE"""),"https://www.logitechg.com/en-us/shop/p/yeti-nano-usb-microphone.988-000088")</f>
        <v>https://www.logitechg.com/en-us/shop/p/yeti-nano-usb-microphone.988-000088</v>
      </c>
      <c r="AA1774" s="213" t="str">
        <f>IFERROR(__xludf.DUMMYFUNCTION("""COMPUTED_VALUE"""),"ESP-256 MICRÓFONO DINÁMICO - CET")</f>
        <v>ESP-256 MICRÓFONO DINÁMICO - CET</v>
      </c>
      <c r="AB1774" s="215" t="str">
        <f>IFERROR(__xludf.DUMMYFUNCTION("""COMPUTED_VALUE"""),"https://drive.google.com/file/d/12OU9N5HMgPBD_tH0-ynhY1fuwoQBlUih/view?usp=sharing")</f>
        <v>https://drive.google.com/file/d/12OU9N5HMgPBD_tH0-ynhY1fuwoQBlUih/view?usp=sharing</v>
      </c>
      <c r="AC1774" s="213"/>
      <c r="AD1774" s="213"/>
      <c r="AE1774" s="213"/>
      <c r="AF1774" s="213"/>
      <c r="AG1774" s="213"/>
      <c r="AH1774" s="213"/>
      <c r="AI1774" s="213"/>
      <c r="AJ1774" s="213"/>
      <c r="AK1774" s="213"/>
      <c r="AL1774" s="213"/>
      <c r="AM1774" s="213"/>
      <c r="AN1774" s="213"/>
      <c r="AO1774" s="213"/>
      <c r="AP1774" s="213" t="str">
        <f>IFERROR(__xludf.DUMMYFUNCTION("""COMPUTED_VALUE"""),"MICHEL")</f>
        <v>MICHEL</v>
      </c>
      <c r="AQ1774" s="213"/>
      <c r="AR1774" s="213"/>
      <c r="AS1774" s="213"/>
      <c r="AT1774" s="213"/>
      <c r="AU1774" s="213"/>
      <c r="AV1774" s="213"/>
      <c r="AW1774" s="213"/>
      <c r="AX1774" s="213"/>
      <c r="AY1774" s="213"/>
      <c r="AZ1774" s="213"/>
      <c r="BA1774" s="213"/>
      <c r="BB1774" s="213"/>
      <c r="BC1774" s="213"/>
      <c r="BD1774" s="213"/>
    </row>
    <row r="1775">
      <c r="A1775" s="213">
        <f>IFERROR(__xludf.DUMMYFUNCTION("""COMPUTED_VALUE"""),765.0)</f>
        <v>765</v>
      </c>
      <c r="B1775" s="213" t="str">
        <f>IFERROR(__xludf.DUMMYFUNCTION("""COMPUTED_VALUE"""),"6049 RICARDO PALMA")</f>
        <v>6049 RICARDO PALMA</v>
      </c>
      <c r="C1775" s="213" t="str">
        <f>IFERROR(__xludf.DUMMYFUNCTION("""COMPUTED_VALUE"""),"TALLER SFT DE COMPUTACIÓN E INFORMÁTICA")</f>
        <v>TALLER SFT DE COMPUTACIÓN E INFORMÁTICA</v>
      </c>
      <c r="D1775" s="213" t="str">
        <f>IFERROR(__xludf.DUMMYFUNCTION("""COMPUTED_VALUE"""),"EQUIPOS")</f>
        <v>EQUIPOS</v>
      </c>
      <c r="E1775" s="213" t="str">
        <f>IFERROR(__xludf.DUMMYFUNCTION("""COMPUTED_VALUE"""),"ESP-256")</f>
        <v>ESP-256</v>
      </c>
      <c r="F1775" s="213" t="str">
        <f>IFERROR(__xludf.DUMMYFUNCTION("""COMPUTED_VALUE"""),"ESP-256")</f>
        <v>ESP-256</v>
      </c>
      <c r="G1775" s="213"/>
      <c r="H1775" s="213" t="str">
        <f>IFERROR(__xludf.DUMMYFUNCTION("""COMPUTED_VALUE"""),"MICRÓFONO DINÁMICO")</f>
        <v>MICRÓFONO DINÁMICO</v>
      </c>
      <c r="I1775" s="213"/>
      <c r="J1775" s="213">
        <f>IFERROR(__xludf.DUMMYFUNCTION("""COMPUTED_VALUE"""),3.0)</f>
        <v>3</v>
      </c>
      <c r="K1775" s="213" t="str">
        <f>IFERROR(__xludf.DUMMYFUNCTION("""COMPUTED_VALUE"""),"170 DÍAS CALENDARIO")</f>
        <v>170 DÍAS CALENDARIO</v>
      </c>
      <c r="L1775" s="213" t="str">
        <f>IFERROR(__xludf.DUMMYFUNCTION("""COMPUTED_VALUE"""),"")</f>
        <v/>
      </c>
      <c r="M1775" s="213">
        <f>IFERROR(__xludf.DUMMYFUNCTION("""COMPUTED_VALUE"""),1.0)</f>
        <v>1</v>
      </c>
      <c r="N1775" s="213">
        <f>IFERROR(__xludf.DUMMYFUNCTION("""COMPUTED_VALUE"""),1.0)</f>
        <v>1</v>
      </c>
      <c r="O1775" s="213">
        <f>IFERROR(__xludf.DUMMYFUNCTION("""COMPUTED_VALUE"""),1.0)</f>
        <v>1</v>
      </c>
      <c r="P1775" s="213"/>
      <c r="Q1775" s="213"/>
      <c r="R1775" s="213"/>
      <c r="S1775" s="213" t="str">
        <f>IFERROR(__xludf.DUMMYFUNCTION("""COMPUTED_VALUE"""),"SI")</f>
        <v>SI</v>
      </c>
      <c r="T1775" s="213" t="str">
        <f>IFERROR(__xludf.DUMMYFUNCTION("""COMPUTED_VALUE"""),"SI")</f>
        <v>SI</v>
      </c>
      <c r="U1775" s="213" t="str">
        <f>IFERROR(__xludf.DUMMYFUNCTION("""COMPUTED_VALUE"""),"SI")</f>
        <v>SI</v>
      </c>
      <c r="V1775" s="213" t="str">
        <f>IFERROR(__xludf.DUMMYFUNCTION("""COMPUTED_VALUE"""),"-")</f>
        <v>-</v>
      </c>
      <c r="W1775" s="213" t="str">
        <f>IFERROR(__xludf.DUMMYFUNCTION("""COMPUTED_VALUE"""),"-")</f>
        <v>-</v>
      </c>
      <c r="X1775" s="213" t="str">
        <f>IFERROR(__xludf.DUMMYFUNCTION("""COMPUTED_VALUE"""),"BLUE (LOGITECH)")</f>
        <v>BLUE (LOGITECH)</v>
      </c>
      <c r="Y1775" s="213" t="str">
        <f>IFERROR(__xludf.DUMMYFUNCTION("""COMPUTED_VALUE"""),"YETI NANO")</f>
        <v>YETI NANO</v>
      </c>
      <c r="Z1775" s="215" t="str">
        <f>IFERROR(__xludf.DUMMYFUNCTION("""COMPUTED_VALUE"""),"https://www.logitechg.com/en-us/shop/p/yeti-nano-usb-microphone.988-000088")</f>
        <v>https://www.logitechg.com/en-us/shop/p/yeti-nano-usb-microphone.988-000088</v>
      </c>
      <c r="AA1775" s="213" t="str">
        <f>IFERROR(__xludf.DUMMYFUNCTION("""COMPUTED_VALUE"""),"ESP-256 MICRÓFONO DINÁMICO - CET")</f>
        <v>ESP-256 MICRÓFONO DINÁMICO - CET</v>
      </c>
      <c r="AB1775" s="215" t="str">
        <f>IFERROR(__xludf.DUMMYFUNCTION("""COMPUTED_VALUE"""),"https://drive.google.com/file/d/12OU9N5HMgPBD_tH0-ynhY1fuwoQBlUih/view?usp=sharing")</f>
        <v>https://drive.google.com/file/d/12OU9N5HMgPBD_tH0-ynhY1fuwoQBlUih/view?usp=sharing</v>
      </c>
      <c r="AC1775" s="213"/>
      <c r="AD1775" s="213"/>
      <c r="AE1775" s="213"/>
      <c r="AF1775" s="213"/>
      <c r="AG1775" s="213"/>
      <c r="AH1775" s="213"/>
      <c r="AI1775" s="213"/>
      <c r="AJ1775" s="213"/>
      <c r="AK1775" s="213"/>
      <c r="AL1775" s="213"/>
      <c r="AM1775" s="213"/>
      <c r="AN1775" s="213"/>
      <c r="AO1775" s="213"/>
      <c r="AP1775" s="213" t="str">
        <f>IFERROR(__xludf.DUMMYFUNCTION("""COMPUTED_VALUE"""),"MICHEL")</f>
        <v>MICHEL</v>
      </c>
      <c r="AQ1775" s="213"/>
      <c r="AR1775" s="213"/>
      <c r="AS1775" s="213"/>
      <c r="AT1775" s="213"/>
      <c r="AU1775" s="213"/>
      <c r="AV1775" s="213"/>
      <c r="AW1775" s="213"/>
      <c r="AX1775" s="213"/>
      <c r="AY1775" s="213"/>
      <c r="AZ1775" s="213"/>
      <c r="BA1775" s="213"/>
      <c r="BB1775" s="213"/>
      <c r="BC1775" s="213"/>
      <c r="BD1775" s="213"/>
    </row>
    <row r="1776">
      <c r="A1776" s="213">
        <f>IFERROR(__xludf.DUMMYFUNCTION("""COMPUTED_VALUE"""),1704.0)</f>
        <v>1704</v>
      </c>
      <c r="B1776" s="213" t="str">
        <f>IFERROR(__xludf.DUMMYFUNCTION("""COMPUTED_VALUE"""),"GUILLERMO E. BILLINGHURST ")</f>
        <v>GUILLERMO E. BILLINGHURST </v>
      </c>
      <c r="C1776" s="213" t="str">
        <f>IFERROR(__xludf.DUMMYFUNCTION("""COMPUTED_VALUE"""),"TALLER SFT DE COMPUTACIÓN E INFORMÁTICA")</f>
        <v>TALLER SFT DE COMPUTACIÓN E INFORMÁTICA</v>
      </c>
      <c r="D1776" s="213" t="str">
        <f>IFERROR(__xludf.DUMMYFUNCTION("""COMPUTED_VALUE"""),"EQUIPOS")</f>
        <v>EQUIPOS</v>
      </c>
      <c r="E1776" s="213" t="str">
        <f>IFERROR(__xludf.DUMMYFUNCTION("""COMPUTED_VALUE"""),"ESP-256")</f>
        <v>ESP-256</v>
      </c>
      <c r="F1776" s="213" t="str">
        <f>IFERROR(__xludf.DUMMYFUNCTION("""COMPUTED_VALUE"""),"ESP-256")</f>
        <v>ESP-256</v>
      </c>
      <c r="G1776" s="213"/>
      <c r="H1776" s="213" t="str">
        <f>IFERROR(__xludf.DUMMYFUNCTION("""COMPUTED_VALUE"""),"MICRÓFONO DINÁMICO")</f>
        <v>MICRÓFONO DINÁMICO</v>
      </c>
      <c r="I1776" s="213"/>
      <c r="J1776" s="213">
        <f>IFERROR(__xludf.DUMMYFUNCTION("""COMPUTED_VALUE"""),3.0)</f>
        <v>3</v>
      </c>
      <c r="K1776" s="213" t="str">
        <f>IFERROR(__xludf.DUMMYFUNCTION("""COMPUTED_VALUE"""),"170 DÍAS CALENDARIO")</f>
        <v>170 DÍAS CALENDARIO</v>
      </c>
      <c r="L1776" s="213" t="str">
        <f>IFERROR(__xludf.DUMMYFUNCTION("""COMPUTED_VALUE"""),"")</f>
        <v/>
      </c>
      <c r="M1776" s="213">
        <f>IFERROR(__xludf.DUMMYFUNCTION("""COMPUTED_VALUE"""),1.0)</f>
        <v>1</v>
      </c>
      <c r="N1776" s="213">
        <f>IFERROR(__xludf.DUMMYFUNCTION("""COMPUTED_VALUE"""),1.0)</f>
        <v>1</v>
      </c>
      <c r="O1776" s="213">
        <f>IFERROR(__xludf.DUMMYFUNCTION("""COMPUTED_VALUE"""),1.0)</f>
        <v>1</v>
      </c>
      <c r="P1776" s="213"/>
      <c r="Q1776" s="213"/>
      <c r="R1776" s="213"/>
      <c r="S1776" s="213" t="str">
        <f>IFERROR(__xludf.DUMMYFUNCTION("""COMPUTED_VALUE"""),"SI")</f>
        <v>SI</v>
      </c>
      <c r="T1776" s="213" t="str">
        <f>IFERROR(__xludf.DUMMYFUNCTION("""COMPUTED_VALUE"""),"SI")</f>
        <v>SI</v>
      </c>
      <c r="U1776" s="213" t="str">
        <f>IFERROR(__xludf.DUMMYFUNCTION("""COMPUTED_VALUE"""),"SI")</f>
        <v>SI</v>
      </c>
      <c r="V1776" s="213" t="str">
        <f>IFERROR(__xludf.DUMMYFUNCTION("""COMPUTED_VALUE"""),"-")</f>
        <v>-</v>
      </c>
      <c r="W1776" s="213" t="str">
        <f>IFERROR(__xludf.DUMMYFUNCTION("""COMPUTED_VALUE"""),"-")</f>
        <v>-</v>
      </c>
      <c r="X1776" s="213" t="str">
        <f>IFERROR(__xludf.DUMMYFUNCTION("""COMPUTED_VALUE"""),"BLUE (LOGITECH)")</f>
        <v>BLUE (LOGITECH)</v>
      </c>
      <c r="Y1776" s="213" t="str">
        <f>IFERROR(__xludf.DUMMYFUNCTION("""COMPUTED_VALUE"""),"YETI NANO")</f>
        <v>YETI NANO</v>
      </c>
      <c r="Z1776" s="215" t="str">
        <f>IFERROR(__xludf.DUMMYFUNCTION("""COMPUTED_VALUE"""),"https://www.logitechg.com/en-us/shop/p/yeti-nano-usb-microphone.988-000088")</f>
        <v>https://www.logitechg.com/en-us/shop/p/yeti-nano-usb-microphone.988-000088</v>
      </c>
      <c r="AA1776" s="213" t="str">
        <f>IFERROR(__xludf.DUMMYFUNCTION("""COMPUTED_VALUE"""),"ESP-256 MICRÓFONO DINÁMICO - CET")</f>
        <v>ESP-256 MICRÓFONO DINÁMICO - CET</v>
      </c>
      <c r="AB1776" s="215" t="str">
        <f>IFERROR(__xludf.DUMMYFUNCTION("""COMPUTED_VALUE"""),"https://drive.google.com/file/d/12OU9N5HMgPBD_tH0-ynhY1fuwoQBlUih/view?usp=sharing")</f>
        <v>https://drive.google.com/file/d/12OU9N5HMgPBD_tH0-ynhY1fuwoQBlUih/view?usp=sharing</v>
      </c>
      <c r="AC1776" s="213"/>
      <c r="AD1776" s="213"/>
      <c r="AE1776" s="213"/>
      <c r="AF1776" s="213"/>
      <c r="AG1776" s="213"/>
      <c r="AH1776" s="213"/>
      <c r="AI1776" s="213"/>
      <c r="AJ1776" s="213"/>
      <c r="AK1776" s="213"/>
      <c r="AL1776" s="213"/>
      <c r="AM1776" s="213"/>
      <c r="AN1776" s="213"/>
      <c r="AO1776" s="213"/>
      <c r="AP1776" s="213" t="str">
        <f>IFERROR(__xludf.DUMMYFUNCTION("""COMPUTED_VALUE"""),"MICHEL")</f>
        <v>MICHEL</v>
      </c>
      <c r="AQ1776" s="213"/>
      <c r="AR1776" s="213"/>
      <c r="AS1776" s="213"/>
      <c r="AT1776" s="213"/>
      <c r="AU1776" s="213"/>
      <c r="AV1776" s="213"/>
      <c r="AW1776" s="213"/>
      <c r="AX1776" s="213"/>
      <c r="AY1776" s="213"/>
      <c r="AZ1776" s="213"/>
      <c r="BA1776" s="213"/>
      <c r="BB1776" s="213"/>
      <c r="BC1776" s="213"/>
      <c r="BD1776" s="213"/>
    </row>
    <row r="1777">
      <c r="A1777" s="213">
        <f>IFERROR(__xludf.DUMMYFUNCTION("""COMPUTED_VALUE"""),1955.0)</f>
        <v>1955</v>
      </c>
      <c r="B1777" s="213" t="str">
        <f>IFERROR(__xludf.DUMMYFUNCTION("""COMPUTED_VALUE"""),"JOSE GRANDA")</f>
        <v>JOSE GRANDA</v>
      </c>
      <c r="C1777" s="213" t="str">
        <f>IFERROR(__xludf.DUMMYFUNCTION("""COMPUTED_VALUE"""),"TALLER SFT DE COMPUTACIÓN E INFORMÁTICA")</f>
        <v>TALLER SFT DE COMPUTACIÓN E INFORMÁTICA</v>
      </c>
      <c r="D1777" s="213" t="str">
        <f>IFERROR(__xludf.DUMMYFUNCTION("""COMPUTED_VALUE"""),"EQUIPOS")</f>
        <v>EQUIPOS</v>
      </c>
      <c r="E1777" s="213" t="str">
        <f>IFERROR(__xludf.DUMMYFUNCTION("""COMPUTED_VALUE"""),"ESP-256")</f>
        <v>ESP-256</v>
      </c>
      <c r="F1777" s="213" t="str">
        <f>IFERROR(__xludf.DUMMYFUNCTION("""COMPUTED_VALUE"""),"ESP-256")</f>
        <v>ESP-256</v>
      </c>
      <c r="G1777" s="213"/>
      <c r="H1777" s="213" t="str">
        <f>IFERROR(__xludf.DUMMYFUNCTION("""COMPUTED_VALUE"""),"MICRÓFONO DINÁMICO")</f>
        <v>MICRÓFONO DINÁMICO</v>
      </c>
      <c r="I1777" s="213"/>
      <c r="J1777" s="213">
        <f>IFERROR(__xludf.DUMMYFUNCTION("""COMPUTED_VALUE"""),3.0)</f>
        <v>3</v>
      </c>
      <c r="K1777" s="213" t="str">
        <f>IFERROR(__xludf.DUMMYFUNCTION("""COMPUTED_VALUE"""),"170 DÍAS CALENDARIO")</f>
        <v>170 DÍAS CALENDARIO</v>
      </c>
      <c r="L1777" s="213" t="str">
        <f>IFERROR(__xludf.DUMMYFUNCTION("""COMPUTED_VALUE"""),"")</f>
        <v/>
      </c>
      <c r="M1777" s="213">
        <f>IFERROR(__xludf.DUMMYFUNCTION("""COMPUTED_VALUE"""),1.0)</f>
        <v>1</v>
      </c>
      <c r="N1777" s="213">
        <f>IFERROR(__xludf.DUMMYFUNCTION("""COMPUTED_VALUE"""),1.0)</f>
        <v>1</v>
      </c>
      <c r="O1777" s="213">
        <f>IFERROR(__xludf.DUMMYFUNCTION("""COMPUTED_VALUE"""),1.0)</f>
        <v>1</v>
      </c>
      <c r="P1777" s="213"/>
      <c r="Q1777" s="213"/>
      <c r="R1777" s="213"/>
      <c r="S1777" s="213" t="str">
        <f>IFERROR(__xludf.DUMMYFUNCTION("""COMPUTED_VALUE"""),"SI")</f>
        <v>SI</v>
      </c>
      <c r="T1777" s="213" t="str">
        <f>IFERROR(__xludf.DUMMYFUNCTION("""COMPUTED_VALUE"""),"SI")</f>
        <v>SI</v>
      </c>
      <c r="U1777" s="213" t="str">
        <f>IFERROR(__xludf.DUMMYFUNCTION("""COMPUTED_VALUE"""),"SI")</f>
        <v>SI</v>
      </c>
      <c r="V1777" s="213" t="str">
        <f>IFERROR(__xludf.DUMMYFUNCTION("""COMPUTED_VALUE"""),"-")</f>
        <v>-</v>
      </c>
      <c r="W1777" s="213" t="str">
        <f>IFERROR(__xludf.DUMMYFUNCTION("""COMPUTED_VALUE"""),"-")</f>
        <v>-</v>
      </c>
      <c r="X1777" s="213" t="str">
        <f>IFERROR(__xludf.DUMMYFUNCTION("""COMPUTED_VALUE"""),"BLUE (LOGITECH)")</f>
        <v>BLUE (LOGITECH)</v>
      </c>
      <c r="Y1777" s="213" t="str">
        <f>IFERROR(__xludf.DUMMYFUNCTION("""COMPUTED_VALUE"""),"YETI NANO")</f>
        <v>YETI NANO</v>
      </c>
      <c r="Z1777" s="215" t="str">
        <f>IFERROR(__xludf.DUMMYFUNCTION("""COMPUTED_VALUE"""),"https://www.logitechg.com/en-us/shop/p/yeti-nano-usb-microphone.988-000088")</f>
        <v>https://www.logitechg.com/en-us/shop/p/yeti-nano-usb-microphone.988-000088</v>
      </c>
      <c r="AA1777" s="213" t="str">
        <f>IFERROR(__xludf.DUMMYFUNCTION("""COMPUTED_VALUE"""),"ESP-256 MICRÓFONO DINÁMICO - CET")</f>
        <v>ESP-256 MICRÓFONO DINÁMICO - CET</v>
      </c>
      <c r="AB1777" s="215" t="str">
        <f>IFERROR(__xludf.DUMMYFUNCTION("""COMPUTED_VALUE"""),"https://drive.google.com/file/d/12OU9N5HMgPBD_tH0-ynhY1fuwoQBlUih/view?usp=sharing")</f>
        <v>https://drive.google.com/file/d/12OU9N5HMgPBD_tH0-ynhY1fuwoQBlUih/view?usp=sharing</v>
      </c>
      <c r="AC1777" s="213"/>
      <c r="AD1777" s="213"/>
      <c r="AE1777" s="213"/>
      <c r="AF1777" s="213"/>
      <c r="AG1777" s="213"/>
      <c r="AH1777" s="213"/>
      <c r="AI1777" s="213"/>
      <c r="AJ1777" s="213"/>
      <c r="AK1777" s="213"/>
      <c r="AL1777" s="213"/>
      <c r="AM1777" s="213"/>
      <c r="AN1777" s="213"/>
      <c r="AO1777" s="213"/>
      <c r="AP1777" s="213" t="str">
        <f>IFERROR(__xludf.DUMMYFUNCTION("""COMPUTED_VALUE"""),"MICHEL")</f>
        <v>MICHEL</v>
      </c>
      <c r="AQ1777" s="213"/>
      <c r="AR1777" s="213"/>
      <c r="AS1777" s="213"/>
      <c r="AT1777" s="213"/>
      <c r="AU1777" s="213"/>
      <c r="AV1777" s="213"/>
      <c r="AW1777" s="213"/>
      <c r="AX1777" s="213"/>
      <c r="AY1777" s="213"/>
      <c r="AZ1777" s="213"/>
      <c r="BA1777" s="213"/>
      <c r="BB1777" s="213"/>
      <c r="BC1777" s="213"/>
      <c r="BD1777" s="213"/>
    </row>
    <row r="1778">
      <c r="A1778" s="213">
        <f>IFERROR(__xludf.DUMMYFUNCTION("""COMPUTED_VALUE"""),1085.0)</f>
        <v>1085</v>
      </c>
      <c r="B1778" s="213" t="str">
        <f>IFERROR(__xludf.DUMMYFUNCTION("""COMPUTED_VALUE"""),"FRANCISCO IRAZOLA")</f>
        <v>FRANCISCO IRAZOLA</v>
      </c>
      <c r="C1778" s="213" t="str">
        <f>IFERROR(__xludf.DUMMYFUNCTION("""COMPUTED_VALUE"""),"TALLER SFT DE INDUSTRIA ALIMENTARIA")</f>
        <v>TALLER SFT DE INDUSTRIA ALIMENTARIA</v>
      </c>
      <c r="D1778" s="213" t="str">
        <f>IFERROR(__xludf.DUMMYFUNCTION("""COMPUTED_VALUE"""),"HERRAMIENTAS")</f>
        <v>HERRAMIENTAS</v>
      </c>
      <c r="E1778" s="213" t="str">
        <f>IFERROR(__xludf.DUMMYFUNCTION("""COMPUTED_VALUE"""),"MAT-161")</f>
        <v>MAT-161</v>
      </c>
      <c r="F1778" s="213" t="str">
        <f>IFERROR(__xludf.DUMMYFUNCTION("""COMPUTED_VALUE"""),"MAT-161")</f>
        <v>MAT-161</v>
      </c>
      <c r="G1778" s="213"/>
      <c r="H1778" s="213" t="str">
        <f>IFERROR(__xludf.DUMMYFUNCTION("""COMPUTED_VALUE"""),"EXTINTOR CO2")</f>
        <v>EXTINTOR CO2</v>
      </c>
      <c r="I1778"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778" s="213">
        <f>IFERROR(__xludf.DUMMYFUNCTION("""COMPUTED_VALUE"""),3.0)</f>
        <v>3</v>
      </c>
      <c r="K1778" s="213" t="str">
        <f>IFERROR(__xludf.DUMMYFUNCTION("""COMPUTED_VALUE"""),"90 DÍAS CALENDARIO")</f>
        <v>90 DÍAS CALENDARIO</v>
      </c>
      <c r="L1778"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778" s="213">
        <f>IFERROR(__xludf.DUMMYFUNCTION("""COMPUTED_VALUE"""),1.0)</f>
        <v>1</v>
      </c>
      <c r="N1778" s="213">
        <f>IFERROR(__xludf.DUMMYFUNCTION("""COMPUTED_VALUE"""),1.0)</f>
        <v>1</v>
      </c>
      <c r="O1778" s="213">
        <f>IFERROR(__xludf.DUMMYFUNCTION("""COMPUTED_VALUE"""),1.0)</f>
        <v>1</v>
      </c>
      <c r="P1778" s="213"/>
      <c r="Q1778" s="213"/>
      <c r="R1778" s="213"/>
      <c r="S1778" s="213"/>
      <c r="T1778" s="213" t="str">
        <f>IFERROR(__xludf.DUMMYFUNCTION("""COMPUTED_VALUE"""),"CONSULTA FINAL")</f>
        <v>CONSULTA FINAL</v>
      </c>
      <c r="U1778" s="213" t="str">
        <f>IFERROR(__xludf.DUMMYFUNCTION("""COMPUTED_VALUE"""),"NO")</f>
        <v>NO</v>
      </c>
      <c r="V1778" s="213" t="str">
        <f>IFERROR(__xludf.DUMMYFUNCTION("""COMPUTED_VALUE"""),"NO")</f>
        <v>NO</v>
      </c>
      <c r="W1778" s="213" t="str">
        <f>IFERROR(__xludf.DUMMYFUNCTION("""COMPUTED_VALUE"""),"-")</f>
        <v>-</v>
      </c>
      <c r="X1778" s="213" t="str">
        <f>IFERROR(__xludf.DUMMYFUNCTION("""COMPUTED_VALUE"""),"FIREMAN'S")</f>
        <v>FIREMAN'S</v>
      </c>
      <c r="Y1778" s="213" t="str">
        <f>IFERROR(__xludf.DUMMYFUNCTION("""COMPUTED_VALUE"""),"Extintores Portátiles Manuales de Dióxido de Carbono ")</f>
        <v>Extintores Portátiles Manuales de Dióxido de Carbono </v>
      </c>
      <c r="Z1778" s="215" t="str">
        <f>IFERROR(__xludf.DUMMYFUNCTION("""COMPUTED_VALUE"""),"https://firemansperu.com/productos/extintores-firemans/dioxido-de-carbono/")</f>
        <v>https://firemansperu.com/productos/extintores-firemans/dioxido-de-carbono/</v>
      </c>
      <c r="AA1778" s="213" t="str">
        <f>IFERROR(__xludf.DUMMYFUNCTION("""COMPUTED_VALUE"""),"MAT-161 EXTINTOR CO2 - CET")</f>
        <v>MAT-161 EXTINTOR CO2 - CET</v>
      </c>
      <c r="AB1778" s="213"/>
      <c r="AC1778" s="213"/>
      <c r="AD1778" s="213"/>
      <c r="AE1778" s="213"/>
      <c r="AF1778" s="213"/>
      <c r="AG1778" s="213"/>
      <c r="AH1778" s="213"/>
      <c r="AI1778" s="213"/>
      <c r="AJ1778" s="213"/>
      <c r="AK1778" s="213"/>
      <c r="AL1778" s="213"/>
      <c r="AM1778" s="213"/>
      <c r="AN1778" s="213"/>
      <c r="AO1778" s="213"/>
      <c r="AP1778" s="213" t="str">
        <f>IFERROR(__xludf.DUMMYFUNCTION("""COMPUTED_VALUE"""),"BRUNO")</f>
        <v>BRUNO</v>
      </c>
      <c r="AQ1778" s="213"/>
      <c r="AR1778" s="213"/>
      <c r="AS1778" s="213"/>
      <c r="AT1778" s="213"/>
      <c r="AU1778" s="213"/>
      <c r="AV1778" s="213"/>
      <c r="AW1778" s="213"/>
      <c r="AX1778" s="213"/>
      <c r="AY1778" s="213"/>
      <c r="AZ1778" s="213"/>
      <c r="BA1778" s="213"/>
      <c r="BB1778" s="213"/>
      <c r="BC1778" s="213"/>
      <c r="BD1778" s="213"/>
    </row>
    <row r="1779">
      <c r="A1779" s="213">
        <f>IFERROR(__xludf.DUMMYFUNCTION("""COMPUTED_VALUE"""),1250.0)</f>
        <v>1250</v>
      </c>
      <c r="B1779" s="213" t="str">
        <f>IFERROR(__xludf.DUMMYFUNCTION("""COMPUTED_VALUE"""),"GUILLERMO E. BILLINGHURST ")</f>
        <v>GUILLERMO E. BILLINGHURST </v>
      </c>
      <c r="C1779" s="213" t="str">
        <f>IFERROR(__xludf.DUMMYFUNCTION("""COMPUTED_VALUE"""),"TALLER SFT DE ELECTRICIDAD")</f>
        <v>TALLER SFT DE ELECTRICIDAD</v>
      </c>
      <c r="D1779" s="213" t="str">
        <f>IFERROR(__xludf.DUMMYFUNCTION("""COMPUTED_VALUE"""),"HERRAMIENTAS")</f>
        <v>HERRAMIENTAS</v>
      </c>
      <c r="E1779" s="213" t="str">
        <f>IFERROR(__xludf.DUMMYFUNCTION("""COMPUTED_VALUE"""),"MAT-161")</f>
        <v>MAT-161</v>
      </c>
      <c r="F1779" s="213" t="str">
        <f>IFERROR(__xludf.DUMMYFUNCTION("""COMPUTED_VALUE"""),"MAT-161")</f>
        <v>MAT-161</v>
      </c>
      <c r="G1779" s="213"/>
      <c r="H1779" s="213" t="str">
        <f>IFERROR(__xludf.DUMMYFUNCTION("""COMPUTED_VALUE"""),"EXTINTOR CO2")</f>
        <v>EXTINTOR CO2</v>
      </c>
      <c r="I1779" s="213"/>
      <c r="J1779" s="213">
        <f>IFERROR(__xludf.DUMMYFUNCTION("""COMPUTED_VALUE"""),3.0)</f>
        <v>3</v>
      </c>
      <c r="K1779" s="213" t="str">
        <f>IFERROR(__xludf.DUMMYFUNCTION("""COMPUTED_VALUE"""),"90 DÍAS CALENDARIO")</f>
        <v>90 DÍAS CALENDARIO</v>
      </c>
      <c r="L1779"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779" s="213">
        <f>IFERROR(__xludf.DUMMYFUNCTION("""COMPUTED_VALUE"""),1.0)</f>
        <v>1</v>
      </c>
      <c r="N1779" s="213">
        <f>IFERROR(__xludf.DUMMYFUNCTION("""COMPUTED_VALUE"""),1.0)</f>
        <v>1</v>
      </c>
      <c r="O1779" s="213">
        <f>IFERROR(__xludf.DUMMYFUNCTION("""COMPUTED_VALUE"""),1.0)</f>
        <v>1</v>
      </c>
      <c r="P1779" s="213"/>
      <c r="Q1779" s="213"/>
      <c r="R1779" s="213"/>
      <c r="S1779" s="213"/>
      <c r="T1779" s="213" t="str">
        <f>IFERROR(__xludf.DUMMYFUNCTION("""COMPUTED_VALUE"""),"CONSULTA FINAL")</f>
        <v>CONSULTA FINAL</v>
      </c>
      <c r="U1779" s="213" t="str">
        <f>IFERROR(__xludf.DUMMYFUNCTION("""COMPUTED_VALUE"""),"NO")</f>
        <v>NO</v>
      </c>
      <c r="V1779" s="213" t="str">
        <f>IFERROR(__xludf.DUMMYFUNCTION("""COMPUTED_VALUE"""),"NO")</f>
        <v>NO</v>
      </c>
      <c r="W1779" s="213" t="str">
        <f>IFERROR(__xludf.DUMMYFUNCTION("""COMPUTED_VALUE"""),"-")</f>
        <v>-</v>
      </c>
      <c r="X1779" s="213" t="str">
        <f>IFERROR(__xludf.DUMMYFUNCTION("""COMPUTED_VALUE"""),"FIREMAN'S")</f>
        <v>FIREMAN'S</v>
      </c>
      <c r="Y1779" s="213" t="str">
        <f>IFERROR(__xludf.DUMMYFUNCTION("""COMPUTED_VALUE"""),"Extintores Portátiles Manuales de Dióxido de Carbono ")</f>
        <v>Extintores Portátiles Manuales de Dióxido de Carbono </v>
      </c>
      <c r="Z1779" s="215" t="str">
        <f>IFERROR(__xludf.DUMMYFUNCTION("""COMPUTED_VALUE"""),"https://firemansperu.com/productos/extintores-firemans/dioxido-de-carbono/")</f>
        <v>https://firemansperu.com/productos/extintores-firemans/dioxido-de-carbono/</v>
      </c>
      <c r="AA1779" s="213" t="str">
        <f>IFERROR(__xludf.DUMMYFUNCTION("""COMPUTED_VALUE"""),"MAT-161 EXTINTOR CO2 - CET")</f>
        <v>MAT-161 EXTINTOR CO2 - CET</v>
      </c>
      <c r="AB1779" s="213"/>
      <c r="AC1779" s="213"/>
      <c r="AD1779" s="213"/>
      <c r="AE1779" s="213"/>
      <c r="AF1779" s="213"/>
      <c r="AG1779" s="213"/>
      <c r="AH1779" s="213"/>
      <c r="AI1779" s="213"/>
      <c r="AJ1779" s="213"/>
      <c r="AK1779" s="213"/>
      <c r="AL1779" s="213"/>
      <c r="AM1779" s="213"/>
      <c r="AN1779" s="213"/>
      <c r="AO1779" s="213"/>
      <c r="AP1779" s="213" t="str">
        <f>IFERROR(__xludf.DUMMYFUNCTION("""COMPUTED_VALUE"""),"BRUNO")</f>
        <v>BRUNO</v>
      </c>
      <c r="AQ1779" s="213" t="str">
        <f>IFERROR(__xludf.DUMMYFUNCTION("""COMPUTED_VALUE"""),"añadir el Cuenta con precinto de seguridad. (consultar primero)")</f>
        <v>añadir el Cuenta con precinto de seguridad. (consultar primero)</v>
      </c>
      <c r="AR1779" s="213"/>
      <c r="AS1779" s="213"/>
      <c r="AT1779" s="213"/>
      <c r="AU1779" s="213"/>
      <c r="AV1779" s="213"/>
      <c r="AW1779" s="213"/>
      <c r="AX1779" s="213"/>
      <c r="AY1779" s="213"/>
      <c r="AZ1779" s="213"/>
      <c r="BA1779" s="213"/>
      <c r="BB1779" s="213"/>
      <c r="BC1779" s="213"/>
      <c r="BD1779" s="213"/>
    </row>
    <row r="1780">
      <c r="A1780" s="213">
        <f>IFERROR(__xludf.DUMMYFUNCTION("""COMPUTED_VALUE"""),1362.0)</f>
        <v>1362</v>
      </c>
      <c r="B1780" s="213" t="str">
        <f>IFERROR(__xludf.DUMMYFUNCTION("""COMPUTED_VALUE"""),"GUILLERMO E. BILLINGHURST ")</f>
        <v>GUILLERMO E. BILLINGHURST </v>
      </c>
      <c r="C1780" s="213" t="str">
        <f>IFERROR(__xludf.DUMMYFUNCTION("""COMPUTED_VALUE"""),"TALLER SFT DE INDUSTRIA ALIMENTARIA")</f>
        <v>TALLER SFT DE INDUSTRIA ALIMENTARIA</v>
      </c>
      <c r="D1780" s="213" t="str">
        <f>IFERROR(__xludf.DUMMYFUNCTION("""COMPUTED_VALUE"""),"HERRAMIENTAS")</f>
        <v>HERRAMIENTAS</v>
      </c>
      <c r="E1780" s="213" t="str">
        <f>IFERROR(__xludf.DUMMYFUNCTION("""COMPUTED_VALUE"""),"MAT-161")</f>
        <v>MAT-161</v>
      </c>
      <c r="F1780" s="213" t="str">
        <f>IFERROR(__xludf.DUMMYFUNCTION("""COMPUTED_VALUE"""),"MAT-161")</f>
        <v>MAT-161</v>
      </c>
      <c r="G1780" s="213"/>
      <c r="H1780" s="213" t="str">
        <f>IFERROR(__xludf.DUMMYFUNCTION("""COMPUTED_VALUE"""),"EXTINTOR CO2")</f>
        <v>EXTINTOR CO2</v>
      </c>
      <c r="I1780"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780" s="213">
        <f>IFERROR(__xludf.DUMMYFUNCTION("""COMPUTED_VALUE"""),3.0)</f>
        <v>3</v>
      </c>
      <c r="K1780" s="213" t="str">
        <f>IFERROR(__xludf.DUMMYFUNCTION("""COMPUTED_VALUE"""),"90 DÍAS CALENDARIO")</f>
        <v>90 DÍAS CALENDARIO</v>
      </c>
      <c r="L1780"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780" s="213">
        <f>IFERROR(__xludf.DUMMYFUNCTION("""COMPUTED_VALUE"""),1.0)</f>
        <v>1</v>
      </c>
      <c r="N1780" s="213">
        <f>IFERROR(__xludf.DUMMYFUNCTION("""COMPUTED_VALUE"""),1.0)</f>
        <v>1</v>
      </c>
      <c r="O1780" s="213">
        <f>IFERROR(__xludf.DUMMYFUNCTION("""COMPUTED_VALUE"""),1.0)</f>
        <v>1</v>
      </c>
      <c r="P1780" s="213"/>
      <c r="Q1780" s="213"/>
      <c r="R1780" s="213"/>
      <c r="S1780" s="213"/>
      <c r="T1780" s="213" t="str">
        <f>IFERROR(__xludf.DUMMYFUNCTION("""COMPUTED_VALUE"""),"CONSULTA FINAL")</f>
        <v>CONSULTA FINAL</v>
      </c>
      <c r="U1780" s="213" t="str">
        <f>IFERROR(__xludf.DUMMYFUNCTION("""COMPUTED_VALUE"""),"NO")</f>
        <v>NO</v>
      </c>
      <c r="V1780" s="213" t="str">
        <f>IFERROR(__xludf.DUMMYFUNCTION("""COMPUTED_VALUE"""),"NO")</f>
        <v>NO</v>
      </c>
      <c r="W1780" s="213" t="str">
        <f>IFERROR(__xludf.DUMMYFUNCTION("""COMPUTED_VALUE"""),"-")</f>
        <v>-</v>
      </c>
      <c r="X1780" s="213" t="str">
        <f>IFERROR(__xludf.DUMMYFUNCTION("""COMPUTED_VALUE"""),"FIREMAN'S")</f>
        <v>FIREMAN'S</v>
      </c>
      <c r="Y1780" s="213" t="str">
        <f>IFERROR(__xludf.DUMMYFUNCTION("""COMPUTED_VALUE"""),"Extintores Portátiles Manuales de Dióxido de Carbono ")</f>
        <v>Extintores Portátiles Manuales de Dióxido de Carbono </v>
      </c>
      <c r="Z1780" s="215" t="str">
        <f>IFERROR(__xludf.DUMMYFUNCTION("""COMPUTED_VALUE"""),"https://firemansperu.com/productos/extintores-firemans/dioxido-de-carbono/")</f>
        <v>https://firemansperu.com/productos/extintores-firemans/dioxido-de-carbono/</v>
      </c>
      <c r="AA1780" s="213" t="str">
        <f>IFERROR(__xludf.DUMMYFUNCTION("""COMPUTED_VALUE"""),"MAT-161 EXTINTOR CO2 - CET")</f>
        <v>MAT-161 EXTINTOR CO2 - CET</v>
      </c>
      <c r="AB1780" s="213"/>
      <c r="AC1780" s="213"/>
      <c r="AD1780" s="213"/>
      <c r="AE1780" s="213"/>
      <c r="AF1780" s="213"/>
      <c r="AG1780" s="213"/>
      <c r="AH1780" s="213"/>
      <c r="AI1780" s="213"/>
      <c r="AJ1780" s="213"/>
      <c r="AK1780" s="213"/>
      <c r="AL1780" s="213"/>
      <c r="AM1780" s="213"/>
      <c r="AN1780" s="213"/>
      <c r="AO1780" s="213"/>
      <c r="AP1780" s="213" t="str">
        <f>IFERROR(__xludf.DUMMYFUNCTION("""COMPUTED_VALUE"""),"BRUNO")</f>
        <v>BRUNO</v>
      </c>
      <c r="AQ1780" s="213"/>
      <c r="AR1780" s="213"/>
      <c r="AS1780" s="213"/>
      <c r="AT1780" s="213"/>
      <c r="AU1780" s="213"/>
      <c r="AV1780" s="213"/>
      <c r="AW1780" s="213"/>
      <c r="AX1780" s="213"/>
      <c r="AY1780" s="213"/>
      <c r="AZ1780" s="213"/>
      <c r="BA1780" s="213"/>
      <c r="BB1780" s="213"/>
      <c r="BC1780" s="213"/>
      <c r="BD1780" s="213"/>
    </row>
    <row r="1781">
      <c r="A1781" s="213">
        <f>IFERROR(__xludf.DUMMYFUNCTION("""COMPUTED_VALUE"""),1518.0)</f>
        <v>1518</v>
      </c>
      <c r="B1781" s="213" t="str">
        <f>IFERROR(__xludf.DUMMYFUNCTION("""COMPUTED_VALUE"""),"GUILLERMO E. BILLINGHURST ")</f>
        <v>GUILLERMO E. BILLINGHURST </v>
      </c>
      <c r="C1781" s="213" t="str">
        <f>IFERROR(__xludf.DUMMYFUNCTION("""COMPUTED_VALUE"""),"TALLER SFT DE MECÁNICA AUTOMOTRIZ")</f>
        <v>TALLER SFT DE MECÁNICA AUTOMOTRIZ</v>
      </c>
      <c r="D1781" s="213" t="str">
        <f>IFERROR(__xludf.DUMMYFUNCTION("""COMPUTED_VALUE"""),"HERRAMIENTAS")</f>
        <v>HERRAMIENTAS</v>
      </c>
      <c r="E1781" s="213" t="str">
        <f>IFERROR(__xludf.DUMMYFUNCTION("""COMPUTED_VALUE"""),"MAT-161")</f>
        <v>MAT-161</v>
      </c>
      <c r="F1781" s="213" t="str">
        <f>IFERROR(__xludf.DUMMYFUNCTION("""COMPUTED_VALUE"""),"MAT-161")</f>
        <v>MAT-161</v>
      </c>
      <c r="G1781" s="213"/>
      <c r="H1781" s="213" t="str">
        <f>IFERROR(__xludf.DUMMYFUNCTION("""COMPUTED_VALUE"""),"EXTINTOR CO2")</f>
        <v>EXTINTOR CO2</v>
      </c>
      <c r="I1781" s="213" t="str">
        <f>IFERROR(__xludf.DUMMYFUNCTION("""COMPUTED_VALUE"""),"Extintor de gas carbónico CO2.
· Adecuado para uso en incendios de clase B y C.
· Capacidad del agente: 5 lb (2,27 kg).
· Rango de temperatura: -30 a 49 °C.
· Tiempo de descarga: 9 segundos.
· Cuenta con precinto de seguridad.
· Con soporte colgador de pa"&amp;"red.
· Certificado de operatividad y vigencia de presión hidrostática (PH).
· Tarjeta de inspección y etiqueta de mantenimiento, conforme a la NTP 350.043-INDECI.
· Certificación UL.")</f>
        <v>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781" s="213">
        <f>IFERROR(__xludf.DUMMYFUNCTION("""COMPUTED_VALUE"""),3.0)</f>
        <v>3</v>
      </c>
      <c r="K1781" s="213" t="str">
        <f>IFERROR(__xludf.DUMMYFUNCTION("""COMPUTED_VALUE"""),"90 DÍAS CALENDARIO")</f>
        <v>90 DÍAS CALENDARIO</v>
      </c>
      <c r="L1781"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781" s="213">
        <f>IFERROR(__xludf.DUMMYFUNCTION("""COMPUTED_VALUE"""),1.0)</f>
        <v>1</v>
      </c>
      <c r="N1781" s="213">
        <f>IFERROR(__xludf.DUMMYFUNCTION("""COMPUTED_VALUE"""),1.0)</f>
        <v>1</v>
      </c>
      <c r="O1781" s="213">
        <f>IFERROR(__xludf.DUMMYFUNCTION("""COMPUTED_VALUE"""),1.0)</f>
        <v>1</v>
      </c>
      <c r="P1781" s="213"/>
      <c r="Q1781" s="213"/>
      <c r="R1781" s="213"/>
      <c r="S1781" s="213"/>
      <c r="T1781" s="213" t="str">
        <f>IFERROR(__xludf.DUMMYFUNCTION("""COMPUTED_VALUE"""),"CONSULTA FINAL")</f>
        <v>CONSULTA FINAL</v>
      </c>
      <c r="U1781" s="213" t="str">
        <f>IFERROR(__xludf.DUMMYFUNCTION("""COMPUTED_VALUE"""),"NO")</f>
        <v>NO</v>
      </c>
      <c r="V1781" s="213" t="str">
        <f>IFERROR(__xludf.DUMMYFUNCTION("""COMPUTED_VALUE"""),"NO")</f>
        <v>NO</v>
      </c>
      <c r="W1781" s="213" t="str">
        <f>IFERROR(__xludf.DUMMYFUNCTION("""COMPUTED_VALUE"""),"-")</f>
        <v>-</v>
      </c>
      <c r="X1781" s="213" t="str">
        <f>IFERROR(__xludf.DUMMYFUNCTION("""COMPUTED_VALUE"""),"FIREMAN'S")</f>
        <v>FIREMAN'S</v>
      </c>
      <c r="Y1781" s="213" t="str">
        <f>IFERROR(__xludf.DUMMYFUNCTION("""COMPUTED_VALUE"""),"Extintores Portátiles Manuales de Dióxido de Carbono ")</f>
        <v>Extintores Portátiles Manuales de Dióxido de Carbono </v>
      </c>
      <c r="Z1781" s="215" t="str">
        <f>IFERROR(__xludf.DUMMYFUNCTION("""COMPUTED_VALUE"""),"https://firemansperu.com/productos/extintores-firemans/dioxido-de-carbono/")</f>
        <v>https://firemansperu.com/productos/extintores-firemans/dioxido-de-carbono/</v>
      </c>
      <c r="AA1781" s="213" t="str">
        <f>IFERROR(__xludf.DUMMYFUNCTION("""COMPUTED_VALUE"""),"MAT-161 EXTINTOR CO2 - CET")</f>
        <v>MAT-161 EXTINTOR CO2 - CET</v>
      </c>
      <c r="AB1781" s="213"/>
      <c r="AC1781" s="213"/>
      <c r="AD1781" s="213"/>
      <c r="AE1781" s="213"/>
      <c r="AF1781" s="213"/>
      <c r="AG1781" s="213"/>
      <c r="AH1781" s="213"/>
      <c r="AI1781" s="213"/>
      <c r="AJ1781" s="213"/>
      <c r="AK1781" s="213"/>
      <c r="AL1781" s="213"/>
      <c r="AM1781" s="213"/>
      <c r="AN1781" s="213"/>
      <c r="AO1781" s="213"/>
      <c r="AP1781" s="213" t="str">
        <f>IFERROR(__xludf.DUMMYFUNCTION("""COMPUTED_VALUE"""),"BRUNO")</f>
        <v>BRUNO</v>
      </c>
      <c r="AQ1781" s="213"/>
      <c r="AR1781" s="213"/>
      <c r="AS1781" s="213"/>
      <c r="AT1781" s="213"/>
      <c r="AU1781" s="213"/>
      <c r="AV1781" s="213"/>
      <c r="AW1781" s="213"/>
      <c r="AX1781" s="213"/>
      <c r="AY1781" s="213"/>
      <c r="AZ1781" s="213"/>
      <c r="BA1781" s="213"/>
      <c r="BB1781" s="213"/>
      <c r="BC1781" s="213"/>
      <c r="BD1781" s="213"/>
    </row>
    <row r="1782">
      <c r="A1782" s="213">
        <f>IFERROR(__xludf.DUMMYFUNCTION("""COMPUTED_VALUE"""),88.0)</f>
        <v>88</v>
      </c>
      <c r="B1782" s="213" t="str">
        <f>IFERROR(__xludf.DUMMYFUNCTION("""COMPUTED_VALUE"""),"16449 ELOY SOBERON  FLORES")</f>
        <v>16449 ELOY SOBERON  FLORES</v>
      </c>
      <c r="C1782" s="213" t="str">
        <f>IFERROR(__xludf.DUMMYFUNCTION("""COMPUTED_VALUE"""),"TALLER SFT DE COCINA Y REPOSTERÍA")</f>
        <v>TALLER SFT DE COCINA Y REPOSTERÍA</v>
      </c>
      <c r="D1782" s="213" t="str">
        <f>IFERROR(__xludf.DUMMYFUNCTION("""COMPUTED_VALUE"""),"EQUIPOS")</f>
        <v>EQUIPOS</v>
      </c>
      <c r="E1782" s="213" t="str">
        <f>IFERROR(__xludf.DUMMYFUNCTION("""COMPUTED_VALUE"""),"ESP-255")</f>
        <v>ESP-255</v>
      </c>
      <c r="F1782" s="213" t="str">
        <f>IFERROR(__xludf.DUMMYFUNCTION("""COMPUTED_VALUE"""),"ESP-255")</f>
        <v>ESP-255</v>
      </c>
      <c r="G1782" s="213"/>
      <c r="H1782" s="213" t="str">
        <f>IFERROR(__xludf.DUMMYFUNCTION("""COMPUTED_VALUE"""),"MICROONDAS")</f>
        <v>MICROONDAS</v>
      </c>
      <c r="I1782" s="213" t="str">
        <f>IFERROR(__xludf.DUMMYFUNCTION("""COMPUTED_VALUE"""),"• Capacidad minima 20 L
• Potencia mínima 1000W
• Grill simultáneo
• Grill de cuarzo.
5 Niveles de potencia
• Función Defrost
• Temporizador
• Diámetro del plato 255 mm
• Dimensiones aproximadas (cm) Altura: 25,9 x Ancho: 44 x Fondo: 35,8.")</f>
        <v>• Capacidad minima 20 L
• Potencia mínima 1000W
• Grill simultáneo
• Grill de cuarzo.
5 Niveles de potencia
• Función Defrost
• Temporizador
• Diámetro del plato 255 mm
• Dimensiones aproximadas (cm) Altura: 25,9 x Ancho: 44 x Fondo: 35,8.</v>
      </c>
      <c r="J1782" s="213">
        <f>IFERROR(__xludf.DUMMYFUNCTION("""COMPUTED_VALUE"""),3.0)</f>
        <v>3</v>
      </c>
      <c r="K1782" s="213" t="str">
        <f>IFERROR(__xludf.DUMMYFUNCTION("""COMPUTED_VALUE"""),"170 DÍAS CALENDARIO")</f>
        <v>170 DÍAS CALENDARIO</v>
      </c>
      <c r="L1782" s="213" t="str">
        <f>IFERROR(__xludf.DUMMYFUNCTION("""COMPUTED_VALUE"""),"")</f>
        <v/>
      </c>
      <c r="M1782" s="213">
        <f>IFERROR(__xludf.DUMMYFUNCTION("""COMPUTED_VALUE"""),1.0)</f>
        <v>1</v>
      </c>
      <c r="N1782" s="213">
        <f>IFERROR(__xludf.DUMMYFUNCTION("""COMPUTED_VALUE"""),1.0)</f>
        <v>1</v>
      </c>
      <c r="O1782" s="213">
        <f>IFERROR(__xludf.DUMMYFUNCTION("""COMPUTED_VALUE"""),1.0)</f>
        <v>1</v>
      </c>
      <c r="P1782" s="213"/>
      <c r="Q1782" s="213"/>
      <c r="R1782" s="213"/>
      <c r="S1782" s="213" t="str">
        <f>IFERROR(__xludf.DUMMYFUNCTION("""COMPUTED_VALUE"""),"SI")</f>
        <v>SI</v>
      </c>
      <c r="T1782" s="213" t="str">
        <f>IFERROR(__xludf.DUMMYFUNCTION("""COMPUTED_VALUE"""),"SI")</f>
        <v>SI</v>
      </c>
      <c r="U1782" s="213" t="str">
        <f>IFERROR(__xludf.DUMMYFUNCTION("""COMPUTED_VALUE"""),"SI")</f>
        <v>SI</v>
      </c>
      <c r="V1782" s="213" t="str">
        <f>IFERROR(__xludf.DUMMYFUNCTION("""COMPUTED_VALUE"""),"-")</f>
        <v>-</v>
      </c>
      <c r="W1782" s="213" t="str">
        <f>IFERROR(__xludf.DUMMYFUNCTION("""COMPUTED_VALUE"""),"-")</f>
        <v>-</v>
      </c>
      <c r="X1782" s="213" t="str">
        <f>IFERROR(__xludf.DUMMYFUNCTION("""COMPUTED_VALUE"""),"LG")</f>
        <v>LG</v>
      </c>
      <c r="Y1782" s="213" t="str">
        <f>IFERROR(__xludf.DUMMYFUNCTION("""COMPUTED_VALUE"""),"MH6535GIS")</f>
        <v>MH6535GIS</v>
      </c>
      <c r="Z1782" s="215" t="str">
        <f>IFERROR(__xludf.DUMMYFUNCTION("""COMPUTED_VALUE"""),"https://www.lg.com/eastafrica/microwaves/lg-MH6535GIS")</f>
        <v>https://www.lg.com/eastafrica/microwaves/lg-MH6535GIS</v>
      </c>
      <c r="AA1782" s="213" t="str">
        <f>IFERROR(__xludf.DUMMYFUNCTION("""COMPUTED_VALUE"""),"ESP-255 MICROONDAS- CET.xlsx")</f>
        <v>ESP-255 MICROONDAS- CET.xlsx</v>
      </c>
      <c r="AB1782" s="215" t="str">
        <f>IFERROR(__xludf.DUMMYFUNCTION("""COMPUTED_VALUE"""),"https://drive.google.com/file/d/15LoV-vAGY-1KOnDNnA02w6nMvhdIogoZ/view?usp=sharing")</f>
        <v>https://drive.google.com/file/d/15LoV-vAGY-1KOnDNnA02w6nMvhdIogoZ/view?usp=sharing</v>
      </c>
      <c r="AC1782" s="213"/>
      <c r="AD1782" s="213"/>
      <c r="AE1782" s="213"/>
      <c r="AF1782" s="213"/>
      <c r="AG1782" s="213"/>
      <c r="AH1782" s="213" t="str">
        <f>IFERROR(__xludf.DUMMYFUNCTION("""COMPUTED_VALUE"""),"NACIONAL")</f>
        <v>NACIONAL</v>
      </c>
      <c r="AI1782" s="213"/>
      <c r="AJ1782" s="213"/>
      <c r="AK1782" s="213"/>
      <c r="AL1782" s="213"/>
      <c r="AM1782" s="213"/>
      <c r="AN1782" s="213"/>
      <c r="AO1782" s="213"/>
      <c r="AP1782" s="213" t="str">
        <f>IFERROR(__xludf.DUMMYFUNCTION("""COMPUTED_VALUE"""),"JORGE")</f>
        <v>JORGE</v>
      </c>
      <c r="AQ1782" s="213"/>
      <c r="AR1782" s="213"/>
      <c r="AS1782" s="213"/>
      <c r="AT1782" s="213"/>
      <c r="AU1782" s="213"/>
      <c r="AV1782" s="213"/>
      <c r="AW1782" s="213"/>
      <c r="AX1782" s="213"/>
      <c r="AY1782" s="213"/>
      <c r="AZ1782" s="213"/>
      <c r="BA1782" s="213"/>
      <c r="BB1782" s="213"/>
      <c r="BC1782" s="213"/>
      <c r="BD1782" s="213"/>
    </row>
    <row r="1783">
      <c r="A1783" s="213">
        <f>IFERROR(__xludf.DUMMYFUNCTION("""COMPUTED_VALUE"""),706.0)</f>
        <v>706</v>
      </c>
      <c r="B1783" s="213" t="str">
        <f>IFERROR(__xludf.DUMMYFUNCTION("""COMPUTED_VALUE"""),"6049 RICARDO PALMA")</f>
        <v>6049 RICARDO PALMA</v>
      </c>
      <c r="C1783" s="213" t="str">
        <f>IFERROR(__xludf.DUMMYFUNCTION("""COMPUTED_VALUE"""),"TALLER SFT DE ELECTRÓNICA")</f>
        <v>TALLER SFT DE ELECTRÓNICA</v>
      </c>
      <c r="D1783" s="213" t="str">
        <f>IFERROR(__xludf.DUMMYFUNCTION("""COMPUTED_VALUE"""),"EQUIPOS")</f>
        <v>EQUIPOS</v>
      </c>
      <c r="E1783" s="213" t="str">
        <f>IFERROR(__xludf.DUMMYFUNCTION("""COMPUTED_VALUE"""),"ESP-257")</f>
        <v>ESP-257</v>
      </c>
      <c r="F1783" s="213" t="str">
        <f>IFERROR(__xludf.DUMMYFUNCTION("""COMPUTED_VALUE"""),"ESP-257")</f>
        <v>ESP-257</v>
      </c>
      <c r="G1783" s="213"/>
      <c r="H1783" s="213" t="str">
        <f>IFERROR(__xludf.DUMMYFUNCTION("""COMPUTED_VALUE"""),"MINITALADRO PORTATIL")</f>
        <v>MINITALADRO PORTATIL</v>
      </c>
      <c r="I1783" s="213"/>
      <c r="J1783" s="213">
        <f>IFERROR(__xludf.DUMMYFUNCTION("""COMPUTED_VALUE"""),3.0)</f>
        <v>3</v>
      </c>
      <c r="K1783" s="213" t="str">
        <f>IFERROR(__xludf.DUMMYFUNCTION("""COMPUTED_VALUE"""),"170 DÍAS CALENDARIO")</f>
        <v>170 DÍAS CALENDARIO</v>
      </c>
      <c r="L1783" s="213" t="str">
        <f>IFERROR(__xludf.DUMMYFUNCTION("""COMPUTED_VALUE"""),"")</f>
        <v/>
      </c>
      <c r="M1783" s="213">
        <f>IFERROR(__xludf.DUMMYFUNCTION("""COMPUTED_VALUE"""),1.0)</f>
        <v>1</v>
      </c>
      <c r="N1783" s="213">
        <f>IFERROR(__xludf.DUMMYFUNCTION("""COMPUTED_VALUE"""),4.0)</f>
        <v>4</v>
      </c>
      <c r="O1783" s="213">
        <f>IFERROR(__xludf.DUMMYFUNCTION("""COMPUTED_VALUE"""),4.0)</f>
        <v>4</v>
      </c>
      <c r="P1783" s="213"/>
      <c r="Q1783" s="213"/>
      <c r="R1783" s="213"/>
      <c r="S1783" s="213" t="str">
        <f>IFERROR(__xludf.DUMMYFUNCTION("""COMPUTED_VALUE"""),"SI")</f>
        <v>SI</v>
      </c>
      <c r="T1783" s="213" t="str">
        <f>IFERROR(__xludf.DUMMYFUNCTION("""COMPUTED_VALUE"""),"SI")</f>
        <v>SI</v>
      </c>
      <c r="U1783" s="213" t="str">
        <f>IFERROR(__xludf.DUMMYFUNCTION("""COMPUTED_VALUE"""),"SI")</f>
        <v>SI</v>
      </c>
      <c r="V1783" s="213" t="str">
        <f>IFERROR(__xludf.DUMMYFUNCTION("""COMPUTED_VALUE"""),"-")</f>
        <v>-</v>
      </c>
      <c r="W1783" s="213" t="str">
        <f>IFERROR(__xludf.DUMMYFUNCTION("""COMPUTED_VALUE"""),"-")</f>
        <v>-</v>
      </c>
      <c r="X1783" s="213" t="str">
        <f>IFERROR(__xludf.DUMMYFUNCTION("""COMPUTED_VALUE"""),"TOTAL TOOLS")</f>
        <v>TOTAL TOOLS</v>
      </c>
      <c r="Y1783" s="213" t="str">
        <f>IFERROR(__xludf.DUMMYFUNCTION("""COMPUTED_VALUE"""),"TG501032")</f>
        <v>TG501032</v>
      </c>
      <c r="Z1783" s="215" t="str">
        <f>IFERROR(__xludf.DUMMYFUNCTION("""COMPUTED_VALUE"""),"https://www.totalbusiness.com/product/mini-grinder/TG501032")</f>
        <v>https://www.totalbusiness.com/product/mini-grinder/TG501032</v>
      </c>
      <c r="AA1783" s="213" t="str">
        <f>IFERROR(__xludf.DUMMYFUNCTION("""COMPUTED_VALUE"""),"ESP-257 MINITALADRO PORTATIL - CET")</f>
        <v>ESP-257 MINITALADRO PORTATIL - CET</v>
      </c>
      <c r="AB1783" s="215" t="str">
        <f>IFERROR(__xludf.DUMMYFUNCTION("""COMPUTED_VALUE"""),"https://drive.google.com/file/d/18P_jCAcrImvVKOb8MC5LehbTwlGscbHT/view")</f>
        <v>https://drive.google.com/file/d/18P_jCAcrImvVKOb8MC5LehbTwlGscbHT/view</v>
      </c>
      <c r="AC1783" s="213"/>
      <c r="AD1783" s="213"/>
      <c r="AE1783" s="213"/>
      <c r="AF1783" s="213"/>
      <c r="AG1783" s="213"/>
      <c r="AH1783" s="213"/>
      <c r="AI1783" s="213"/>
      <c r="AJ1783" s="213"/>
      <c r="AK1783" s="213"/>
      <c r="AL1783" s="213"/>
      <c r="AM1783" s="213"/>
      <c r="AN1783" s="213"/>
      <c r="AO1783" s="213"/>
      <c r="AP1783" s="213" t="str">
        <f>IFERROR(__xludf.DUMMYFUNCTION("""COMPUTED_VALUE"""),"BRUNO")</f>
        <v>BRUNO</v>
      </c>
      <c r="AQ1783" s="213" t="str">
        <f>IFERROR(__xludf.DUMMYFUNCTION("""COMPUTED_VALUE"""),"Se debe adquirir escobillas de carbones aparte para repuesto q sean compatibles con el minitaladro.")</f>
        <v>Se debe adquirir escobillas de carbones aparte para repuesto q sean compatibles con el minitaladro.</v>
      </c>
      <c r="AR1783" s="213"/>
      <c r="AS1783" s="213" t="str">
        <f>IFERROR(__xludf.DUMMYFUNCTION("""COMPUTED_VALUE"""),"Total Carbon Brush Tg501032-Sp-10 (D")</f>
        <v>Total Carbon Brush Tg501032-Sp-10 (D</v>
      </c>
      <c r="AT1783" s="216" t="str">
        <f>IFERROR(__xludf.DUMMYFUNCTION("""COMPUTED_VALUE"""),"https://www.gmr.com.fj/product/total-carbon-brush-tg501032-sp-10-d/")</f>
        <v>https://www.gmr.com.fj/product/total-carbon-brush-tg501032-sp-10-d/</v>
      </c>
      <c r="AU1783" s="213"/>
      <c r="AV1783" s="213"/>
      <c r="AW1783" s="213"/>
      <c r="AX1783" s="213"/>
      <c r="AY1783" s="213"/>
      <c r="AZ1783" s="213"/>
      <c r="BA1783" s="213"/>
      <c r="BB1783" s="213"/>
      <c r="BC1783" s="213"/>
      <c r="BD1783" s="213"/>
    </row>
    <row r="1784">
      <c r="A1784" s="213">
        <f>IFERROR(__xludf.DUMMYFUNCTION("""COMPUTED_VALUE"""),389.0)</f>
        <v>389</v>
      </c>
      <c r="B1784" s="213" t="str">
        <f>IFERROR(__xludf.DUMMYFUNCTION("""COMPUTED_VALUE"""),"2026 SIMON BOLIVAR")</f>
        <v>2026 SIMON BOLIVAR</v>
      </c>
      <c r="C1784" s="213" t="str">
        <f>IFERROR(__xludf.DUMMYFUNCTION("""COMPUTED_VALUE"""),"TALLER SFT DE ELECTRICIDAD")</f>
        <v>TALLER SFT DE ELECTRICIDAD</v>
      </c>
      <c r="D1784" s="213" t="str">
        <f>IFERROR(__xludf.DUMMYFUNCTION("""COMPUTED_VALUE"""),"EQUIPOS")</f>
        <v>EQUIPOS</v>
      </c>
      <c r="E1784" s="213" t="str">
        <f>IFERROR(__xludf.DUMMYFUNCTION("""COMPUTED_VALUE"""),"ESP-258")</f>
        <v>ESP-258</v>
      </c>
      <c r="F1784" s="213" t="str">
        <f>IFERROR(__xludf.DUMMYFUNCTION("""COMPUTED_VALUE"""),"ESP-258")</f>
        <v>ESP-258</v>
      </c>
      <c r="G1784" s="213"/>
      <c r="H1784" s="213" t="str">
        <f>IFERROR(__xludf.DUMMYFUNCTION("""COMPUTED_VALUE"""),"MÓDULO DE BLUETOOTH TIPO HC-05 PARA PLATAFORMA ELECTRÓNICA DE CÓDIGO ABIERTO")</f>
        <v>MÓDULO DE BLUETOOTH TIPO HC-05 PARA PLATAFORMA ELECTRÓNICA DE CÓDIGO ABIERTO</v>
      </c>
      <c r="I1784" s="213" t="str">
        <f>IFERROR(__xludf.DUMMYFUNCTION("""COMPUTED_VALUE"""),"Características del módulo:
-           6 pines de conexión
-           Actúa como MÁSTER y SLAVE")</f>
        <v>Características del módulo:
-           6 pines de conexión
-           Actúa como MÁSTER y SLAVE</v>
      </c>
      <c r="J1784" s="213">
        <f>IFERROR(__xludf.DUMMYFUNCTION("""COMPUTED_VALUE"""),3.0)</f>
        <v>3</v>
      </c>
      <c r="K1784" s="213" t="str">
        <f>IFERROR(__xludf.DUMMYFUNCTION("""COMPUTED_VALUE"""),"170 DÍAS CALENDARIO")</f>
        <v>170 DÍAS CALENDARIO</v>
      </c>
      <c r="L1784" s="213" t="str">
        <f>IFERROR(__xludf.DUMMYFUNCTION("""COMPUTED_VALUE"""),"")</f>
        <v/>
      </c>
      <c r="M1784" s="213">
        <f>IFERROR(__xludf.DUMMYFUNCTION("""COMPUTED_VALUE"""),1.0)</f>
        <v>1</v>
      </c>
      <c r="N1784" s="213">
        <f>IFERROR(__xludf.DUMMYFUNCTION("""COMPUTED_VALUE"""),4.0)</f>
        <v>4</v>
      </c>
      <c r="O1784" s="213">
        <f>IFERROR(__xludf.DUMMYFUNCTION("""COMPUTED_VALUE"""),4.0)</f>
        <v>4</v>
      </c>
      <c r="P1784" s="213"/>
      <c r="Q1784" s="213"/>
      <c r="R1784" s="213"/>
      <c r="S1784" s="213" t="str">
        <f>IFERROR(__xludf.DUMMYFUNCTION("""COMPUTED_VALUE"""),"SI")</f>
        <v>SI</v>
      </c>
      <c r="T1784" s="213" t="str">
        <f>IFERROR(__xludf.DUMMYFUNCTION("""COMPUTED_VALUE"""),"SI")</f>
        <v>SI</v>
      </c>
      <c r="U1784" s="213" t="str">
        <f>IFERROR(__xludf.DUMMYFUNCTION("""COMPUTED_VALUE"""),"SI")</f>
        <v>SI</v>
      </c>
      <c r="V1784" s="213" t="str">
        <f>IFERROR(__xludf.DUMMYFUNCTION("""COMPUTED_VALUE"""),"-")</f>
        <v>-</v>
      </c>
      <c r="W1784" s="213" t="str">
        <f>IFERROR(__xludf.DUMMYFUNCTION("""COMPUTED_VALUE"""),"-")</f>
        <v>-</v>
      </c>
      <c r="X1784" s="213" t="str">
        <f>IFERROR(__xludf.DUMMYFUNCTION("""COMPUTED_VALUE"""),"Genérico")</f>
        <v>Genérico</v>
      </c>
      <c r="Y1784" s="213" t="str">
        <f>IFERROR(__xludf.DUMMYFUNCTION("""COMPUTED_VALUE"""),"HC-05")</f>
        <v>HC-05</v>
      </c>
      <c r="Z1784" s="215" t="str">
        <f>IFERROR(__xludf.DUMMYFUNCTION("""COMPUTED_VALUE"""),"https://naylampmechatronics.com/inalambrico/43-modulo-bluetooth-hc05.html")</f>
        <v>https://naylampmechatronics.com/inalambrico/43-modulo-bluetooth-hc05.html</v>
      </c>
      <c r="AA1784" s="213" t="str">
        <f>IFERROR(__xludf.DUMMYFUNCTION("""COMPUTED_VALUE"""),"ESP-258 MÓDULO DE BLUETOOTH TIPO HC-05 PARA PLATAFORMA ELECTRÓNICA - CET")</f>
        <v>ESP-258 MÓDULO DE BLUETOOTH TIPO HC-05 PARA PLATAFORMA ELECTRÓNICA - CET</v>
      </c>
      <c r="AB1784" s="213"/>
      <c r="AC1784" s="213"/>
      <c r="AD1784" s="213"/>
      <c r="AE1784" s="213"/>
      <c r="AF1784" s="213"/>
      <c r="AG1784" s="213"/>
      <c r="AH1784" s="213"/>
      <c r="AI1784" s="213"/>
      <c r="AJ1784" s="213"/>
      <c r="AK1784" s="213"/>
      <c r="AL1784" s="213"/>
      <c r="AM1784" s="213"/>
      <c r="AN1784" s="213"/>
      <c r="AO1784" s="213"/>
      <c r="AP1784" s="213" t="str">
        <f>IFERROR(__xludf.DUMMYFUNCTION("""COMPUTED_VALUE"""),"BRUNO")</f>
        <v>BRUNO</v>
      </c>
      <c r="AQ1784" s="213"/>
      <c r="AR1784" s="213"/>
      <c r="AS1784" s="213"/>
      <c r="AT1784" s="213"/>
      <c r="AU1784" s="213"/>
      <c r="AV1784" s="213"/>
      <c r="AW1784" s="213"/>
      <c r="AX1784" s="213"/>
      <c r="AY1784" s="213"/>
      <c r="AZ1784" s="213"/>
      <c r="BA1784" s="213"/>
      <c r="BB1784" s="213"/>
      <c r="BC1784" s="213"/>
      <c r="BD1784" s="213"/>
    </row>
    <row r="1785">
      <c r="A1785" s="213">
        <f>IFERROR(__xludf.DUMMYFUNCTION("""COMPUTED_VALUE"""),875.0)</f>
        <v>875</v>
      </c>
      <c r="B1785" s="213" t="str">
        <f>IFERROR(__xludf.DUMMYFUNCTION("""COMPUTED_VALUE"""),"6049 RICARDO PALMA")</f>
        <v>6049 RICARDO PALMA</v>
      </c>
      <c r="C1785" s="213" t="str">
        <f>IFERROR(__xludf.DUMMYFUNCTION("""COMPUTED_VALUE"""),"TALLER SFT DE ELECTRICIDAD")</f>
        <v>TALLER SFT DE ELECTRICIDAD</v>
      </c>
      <c r="D1785" s="213" t="str">
        <f>IFERROR(__xludf.DUMMYFUNCTION("""COMPUTED_VALUE"""),"EQUIPOS")</f>
        <v>EQUIPOS</v>
      </c>
      <c r="E1785" s="213" t="str">
        <f>IFERROR(__xludf.DUMMYFUNCTION("""COMPUTED_VALUE"""),"ESP-258")</f>
        <v>ESP-258</v>
      </c>
      <c r="F1785" s="213" t="str">
        <f>IFERROR(__xludf.DUMMYFUNCTION("""COMPUTED_VALUE"""),"ESP-258")</f>
        <v>ESP-258</v>
      </c>
      <c r="G1785" s="213"/>
      <c r="H1785" s="213" t="str">
        <f>IFERROR(__xludf.DUMMYFUNCTION("""COMPUTED_VALUE"""),"MÓDULO DE BLUETOOTH TIPO HC-05 PARA PLATAFORMA ELECTRÓNICA DE CÓDIGO ABIERTO")</f>
        <v>MÓDULO DE BLUETOOTH TIPO HC-05 PARA PLATAFORMA ELECTRÓNICA DE CÓDIGO ABIERTO</v>
      </c>
      <c r="I1785" s="213" t="str">
        <f>IFERROR(__xludf.DUMMYFUNCTION("""COMPUTED_VALUE"""),"Características del módulo:
-           6 pines de conexión
-           Actúa como MÁSTER y SLAVE")</f>
        <v>Características del módulo:
-           6 pines de conexión
-           Actúa como MÁSTER y SLAVE</v>
      </c>
      <c r="J1785" s="213">
        <f>IFERROR(__xludf.DUMMYFUNCTION("""COMPUTED_VALUE"""),3.0)</f>
        <v>3</v>
      </c>
      <c r="K1785" s="213" t="str">
        <f>IFERROR(__xludf.DUMMYFUNCTION("""COMPUTED_VALUE"""),"170 DÍAS CALENDARIO")</f>
        <v>170 DÍAS CALENDARIO</v>
      </c>
      <c r="L1785" s="213" t="str">
        <f>IFERROR(__xludf.DUMMYFUNCTION("""COMPUTED_VALUE"""),"")</f>
        <v/>
      </c>
      <c r="M1785" s="213">
        <f>IFERROR(__xludf.DUMMYFUNCTION("""COMPUTED_VALUE"""),1.0)</f>
        <v>1</v>
      </c>
      <c r="N1785" s="213">
        <f>IFERROR(__xludf.DUMMYFUNCTION("""COMPUTED_VALUE"""),4.0)</f>
        <v>4</v>
      </c>
      <c r="O1785" s="213">
        <f>IFERROR(__xludf.DUMMYFUNCTION("""COMPUTED_VALUE"""),4.0)</f>
        <v>4</v>
      </c>
      <c r="P1785" s="213"/>
      <c r="Q1785" s="213"/>
      <c r="R1785" s="213"/>
      <c r="S1785" s="213" t="str">
        <f>IFERROR(__xludf.DUMMYFUNCTION("""COMPUTED_VALUE"""),"SI")</f>
        <v>SI</v>
      </c>
      <c r="T1785" s="213" t="str">
        <f>IFERROR(__xludf.DUMMYFUNCTION("""COMPUTED_VALUE"""),"SI")</f>
        <v>SI</v>
      </c>
      <c r="U1785" s="213" t="str">
        <f>IFERROR(__xludf.DUMMYFUNCTION("""COMPUTED_VALUE"""),"SI")</f>
        <v>SI</v>
      </c>
      <c r="V1785" s="213" t="str">
        <f>IFERROR(__xludf.DUMMYFUNCTION("""COMPUTED_VALUE"""),"-")</f>
        <v>-</v>
      </c>
      <c r="W1785" s="213" t="str">
        <f>IFERROR(__xludf.DUMMYFUNCTION("""COMPUTED_VALUE"""),"-")</f>
        <v>-</v>
      </c>
      <c r="X1785" s="213" t="str">
        <f>IFERROR(__xludf.DUMMYFUNCTION("""COMPUTED_VALUE"""),"Genérico")</f>
        <v>Genérico</v>
      </c>
      <c r="Y1785" s="213" t="str">
        <f>IFERROR(__xludf.DUMMYFUNCTION("""COMPUTED_VALUE"""),"HC-05")</f>
        <v>HC-05</v>
      </c>
      <c r="Z1785" s="215" t="str">
        <f>IFERROR(__xludf.DUMMYFUNCTION("""COMPUTED_VALUE"""),"https://naylampmechatronics.com/inalambrico/43-modulo-bluetooth-hc05.html")</f>
        <v>https://naylampmechatronics.com/inalambrico/43-modulo-bluetooth-hc05.html</v>
      </c>
      <c r="AA1785" s="213" t="str">
        <f>IFERROR(__xludf.DUMMYFUNCTION("""COMPUTED_VALUE"""),"ESP-258 MÓDULO DE BLUETOOTH TIPO HC-05 PARA PLATAFORMA ELECTRÓNICA - CET")</f>
        <v>ESP-258 MÓDULO DE BLUETOOTH TIPO HC-05 PARA PLATAFORMA ELECTRÓNICA - CET</v>
      </c>
      <c r="AB1785" s="213"/>
      <c r="AC1785" s="213"/>
      <c r="AD1785" s="213"/>
      <c r="AE1785" s="213"/>
      <c r="AF1785" s="213"/>
      <c r="AG1785" s="213"/>
      <c r="AH1785" s="213"/>
      <c r="AI1785" s="213"/>
      <c r="AJ1785" s="213"/>
      <c r="AK1785" s="213"/>
      <c r="AL1785" s="213"/>
      <c r="AM1785" s="213"/>
      <c r="AN1785" s="213"/>
      <c r="AO1785" s="213"/>
      <c r="AP1785" s="213" t="str">
        <f>IFERROR(__xludf.DUMMYFUNCTION("""COMPUTED_VALUE"""),"BRUNO")</f>
        <v>BRUNO</v>
      </c>
      <c r="AQ1785" s="213"/>
      <c r="AR1785" s="213"/>
      <c r="AS1785" s="213"/>
      <c r="AT1785" s="213"/>
      <c r="AU1785" s="213"/>
      <c r="AV1785" s="213"/>
      <c r="AW1785" s="213"/>
      <c r="AX1785" s="213"/>
      <c r="AY1785" s="213"/>
      <c r="AZ1785" s="213"/>
      <c r="BA1785" s="213"/>
      <c r="BB1785" s="213"/>
      <c r="BC1785" s="213"/>
      <c r="BD1785" s="213"/>
    </row>
    <row r="1786">
      <c r="A1786" s="213">
        <f>IFERROR(__xludf.DUMMYFUNCTION("""COMPUTED_VALUE"""),1297.0)</f>
        <v>1297</v>
      </c>
      <c r="B1786" s="213" t="str">
        <f>IFERROR(__xludf.DUMMYFUNCTION("""COMPUTED_VALUE"""),"GUILLERMO E. BILLINGHURST ")</f>
        <v>GUILLERMO E. BILLINGHURST </v>
      </c>
      <c r="C1786" s="213" t="str">
        <f>IFERROR(__xludf.DUMMYFUNCTION("""COMPUTED_VALUE"""),"TALLER SFT DE ELECTRICIDAD")</f>
        <v>TALLER SFT DE ELECTRICIDAD</v>
      </c>
      <c r="D1786" s="213" t="str">
        <f>IFERROR(__xludf.DUMMYFUNCTION("""COMPUTED_VALUE"""),"EQUIPOS")</f>
        <v>EQUIPOS</v>
      </c>
      <c r="E1786" s="213" t="str">
        <f>IFERROR(__xludf.DUMMYFUNCTION("""COMPUTED_VALUE"""),"ESP-258")</f>
        <v>ESP-258</v>
      </c>
      <c r="F1786" s="213" t="str">
        <f>IFERROR(__xludf.DUMMYFUNCTION("""COMPUTED_VALUE"""),"ESP-258")</f>
        <v>ESP-258</v>
      </c>
      <c r="G1786" s="213"/>
      <c r="H1786" s="213" t="str">
        <f>IFERROR(__xludf.DUMMYFUNCTION("""COMPUTED_VALUE"""),"MÓDULO DE BLUETOOTH TIPO HC-05 PARA PLATAFORMA ELECTRÓNICA DE CÓDIGO ABIERTO")</f>
        <v>MÓDULO DE BLUETOOTH TIPO HC-05 PARA PLATAFORMA ELECTRÓNICA DE CÓDIGO ABIERTO</v>
      </c>
      <c r="I1786" s="213" t="str">
        <f>IFERROR(__xludf.DUMMYFUNCTION("""COMPUTED_VALUE"""),"Características del módulo:
-           6 pines de conexión
-           Actúa como MÁSTER y SLAVE")</f>
        <v>Características del módulo:
-           6 pines de conexión
-           Actúa como MÁSTER y SLAVE</v>
      </c>
      <c r="J1786" s="213">
        <f>IFERROR(__xludf.DUMMYFUNCTION("""COMPUTED_VALUE"""),3.0)</f>
        <v>3</v>
      </c>
      <c r="K1786" s="213" t="str">
        <f>IFERROR(__xludf.DUMMYFUNCTION("""COMPUTED_VALUE"""),"170 DÍAS CALENDARIO")</f>
        <v>170 DÍAS CALENDARIO</v>
      </c>
      <c r="L1786" s="213" t="str">
        <f>IFERROR(__xludf.DUMMYFUNCTION("""COMPUTED_VALUE"""),"")</f>
        <v/>
      </c>
      <c r="M1786" s="213">
        <f>IFERROR(__xludf.DUMMYFUNCTION("""COMPUTED_VALUE"""),1.0)</f>
        <v>1</v>
      </c>
      <c r="N1786" s="213">
        <f>IFERROR(__xludf.DUMMYFUNCTION("""COMPUTED_VALUE"""),4.0)</f>
        <v>4</v>
      </c>
      <c r="O1786" s="213">
        <f>IFERROR(__xludf.DUMMYFUNCTION("""COMPUTED_VALUE"""),4.0)</f>
        <v>4</v>
      </c>
      <c r="P1786" s="213"/>
      <c r="Q1786" s="213"/>
      <c r="R1786" s="213"/>
      <c r="S1786" s="213" t="str">
        <f>IFERROR(__xludf.DUMMYFUNCTION("""COMPUTED_VALUE"""),"SI")</f>
        <v>SI</v>
      </c>
      <c r="T1786" s="213" t="str">
        <f>IFERROR(__xludf.DUMMYFUNCTION("""COMPUTED_VALUE"""),"SI")</f>
        <v>SI</v>
      </c>
      <c r="U1786" s="213" t="str">
        <f>IFERROR(__xludf.DUMMYFUNCTION("""COMPUTED_VALUE"""),"SI")</f>
        <v>SI</v>
      </c>
      <c r="V1786" s="213" t="str">
        <f>IFERROR(__xludf.DUMMYFUNCTION("""COMPUTED_VALUE"""),"-")</f>
        <v>-</v>
      </c>
      <c r="W1786" s="213" t="str">
        <f>IFERROR(__xludf.DUMMYFUNCTION("""COMPUTED_VALUE"""),"-")</f>
        <v>-</v>
      </c>
      <c r="X1786" s="213" t="str">
        <f>IFERROR(__xludf.DUMMYFUNCTION("""COMPUTED_VALUE"""),"Genérico")</f>
        <v>Genérico</v>
      </c>
      <c r="Y1786" s="213" t="str">
        <f>IFERROR(__xludf.DUMMYFUNCTION("""COMPUTED_VALUE"""),"HC-05")</f>
        <v>HC-05</v>
      </c>
      <c r="Z1786" s="215" t="str">
        <f>IFERROR(__xludf.DUMMYFUNCTION("""COMPUTED_VALUE"""),"https://naylampmechatronics.com/inalambrico/43-modulo-bluetooth-hc05.html")</f>
        <v>https://naylampmechatronics.com/inalambrico/43-modulo-bluetooth-hc05.html</v>
      </c>
      <c r="AA1786" s="213" t="str">
        <f>IFERROR(__xludf.DUMMYFUNCTION("""COMPUTED_VALUE"""),"ESP-258 MÓDULO DE BLUETOOTH TIPO HC-05 PARA PLATAFORMA ELECTRÓNICA - CET")</f>
        <v>ESP-258 MÓDULO DE BLUETOOTH TIPO HC-05 PARA PLATAFORMA ELECTRÓNICA - CET</v>
      </c>
      <c r="AB1786" s="213"/>
      <c r="AC1786" s="213"/>
      <c r="AD1786" s="213"/>
      <c r="AE1786" s="213"/>
      <c r="AF1786" s="213"/>
      <c r="AG1786" s="213"/>
      <c r="AH1786" s="213"/>
      <c r="AI1786" s="213"/>
      <c r="AJ1786" s="213"/>
      <c r="AK1786" s="213"/>
      <c r="AL1786" s="213"/>
      <c r="AM1786" s="213"/>
      <c r="AN1786" s="213"/>
      <c r="AO1786" s="213"/>
      <c r="AP1786" s="213" t="str">
        <f>IFERROR(__xludf.DUMMYFUNCTION("""COMPUTED_VALUE"""),"BRUNO")</f>
        <v>BRUNO</v>
      </c>
      <c r="AQ1786" s="213"/>
      <c r="AR1786" s="213"/>
      <c r="AS1786" s="213"/>
      <c r="AT1786" s="213"/>
      <c r="AU1786" s="213"/>
      <c r="AV1786" s="213"/>
      <c r="AW1786" s="213"/>
      <c r="AX1786" s="213"/>
      <c r="AY1786" s="213"/>
      <c r="AZ1786" s="213"/>
      <c r="BA1786" s="213"/>
      <c r="BB1786" s="213"/>
      <c r="BC1786" s="213"/>
      <c r="BD1786" s="213"/>
    </row>
    <row r="1787">
      <c r="A1787" s="213">
        <f>IFERROR(__xludf.DUMMYFUNCTION("""COMPUTED_VALUE"""),390.0)</f>
        <v>390</v>
      </c>
      <c r="B1787" s="213" t="str">
        <f>IFERROR(__xludf.DUMMYFUNCTION("""COMPUTED_VALUE"""),"2026 SIMON BOLIVAR")</f>
        <v>2026 SIMON BOLIVAR</v>
      </c>
      <c r="C1787" s="213" t="str">
        <f>IFERROR(__xludf.DUMMYFUNCTION("""COMPUTED_VALUE"""),"TALLER SFT DE ELECTRICIDAD")</f>
        <v>TALLER SFT DE ELECTRICIDAD</v>
      </c>
      <c r="D1787" s="213" t="str">
        <f>IFERROR(__xludf.DUMMYFUNCTION("""COMPUTED_VALUE"""),"EQUIPOS")</f>
        <v>EQUIPOS</v>
      </c>
      <c r="E1787" s="213" t="str">
        <f>IFERROR(__xludf.DUMMYFUNCTION("""COMPUTED_VALUE"""),"ESP-259")</f>
        <v>ESP-259</v>
      </c>
      <c r="F1787" s="213" t="str">
        <f>IFERROR(__xludf.DUMMYFUNCTION("""COMPUTED_VALUE"""),"ESP-259")</f>
        <v>ESP-259</v>
      </c>
      <c r="G1787" s="213"/>
      <c r="H1787" s="213" t="str">
        <f>IFERROR(__xludf.DUMMYFUNCTION("""COMPUTED_VALUE"""),"MÓDULO DE BLUETOOTH TIPO HC-06 PARA PLATAFORMA ELECTRÓNICA DE CÓDIGO ABIERTO")</f>
        <v>MÓDULO DE BLUETOOTH TIPO HC-06 PARA PLATAFORMA ELECTRÓNICA DE CÓDIGO ABIERTO</v>
      </c>
      <c r="I1787" s="213" t="str">
        <f>IFERROR(__xludf.DUMMYFUNCTION("""COMPUTED_VALUE"""),"Características del módulo:
-           4 pines de conexión
-           Actúa solo como SLAVE")</f>
        <v>Características del módulo:
-           4 pines de conexión
-           Actúa solo como SLAVE</v>
      </c>
      <c r="J1787" s="213">
        <f>IFERROR(__xludf.DUMMYFUNCTION("""COMPUTED_VALUE"""),3.0)</f>
        <v>3</v>
      </c>
      <c r="K1787" s="213" t="str">
        <f>IFERROR(__xludf.DUMMYFUNCTION("""COMPUTED_VALUE"""),"170 DÍAS CALENDARIO")</f>
        <v>170 DÍAS CALENDARIO</v>
      </c>
      <c r="L1787" s="213" t="str">
        <f>IFERROR(__xludf.DUMMYFUNCTION("""COMPUTED_VALUE"""),"")</f>
        <v/>
      </c>
      <c r="M1787" s="213">
        <f>IFERROR(__xludf.DUMMYFUNCTION("""COMPUTED_VALUE"""),1.0)</f>
        <v>1</v>
      </c>
      <c r="N1787" s="213">
        <f>IFERROR(__xludf.DUMMYFUNCTION("""COMPUTED_VALUE"""),4.0)</f>
        <v>4</v>
      </c>
      <c r="O1787" s="213">
        <f>IFERROR(__xludf.DUMMYFUNCTION("""COMPUTED_VALUE"""),4.0)</f>
        <v>4</v>
      </c>
      <c r="P1787" s="213"/>
      <c r="Q1787" s="213"/>
      <c r="R1787" s="213"/>
      <c r="S1787" s="213" t="str">
        <f>IFERROR(__xludf.DUMMYFUNCTION("""COMPUTED_VALUE"""),"SI")</f>
        <v>SI</v>
      </c>
      <c r="T1787" s="213" t="str">
        <f>IFERROR(__xludf.DUMMYFUNCTION("""COMPUTED_VALUE"""),"SI")</f>
        <v>SI</v>
      </c>
      <c r="U1787" s="213" t="str">
        <f>IFERROR(__xludf.DUMMYFUNCTION("""COMPUTED_VALUE"""),"SI")</f>
        <v>SI</v>
      </c>
      <c r="V1787" s="213" t="str">
        <f>IFERROR(__xludf.DUMMYFUNCTION("""COMPUTED_VALUE"""),"-")</f>
        <v>-</v>
      </c>
      <c r="W1787" s="213" t="str">
        <f>IFERROR(__xludf.DUMMYFUNCTION("""COMPUTED_VALUE"""),"-")</f>
        <v>-</v>
      </c>
      <c r="X1787" s="213" t="str">
        <f>IFERROR(__xludf.DUMMYFUNCTION("""COMPUTED_VALUE"""),"Genérico")</f>
        <v>Genérico</v>
      </c>
      <c r="Y1787" s="213" t="str">
        <f>IFERROR(__xludf.DUMMYFUNCTION("""COMPUTED_VALUE"""),"HC06")</f>
        <v>HC06</v>
      </c>
      <c r="Z1787" s="215" t="str">
        <f>IFERROR(__xludf.DUMMYFUNCTION("""COMPUTED_VALUE"""),"https://naylampmechatronics.com/inalambrico/24-modulo-bluetooth-hc06.html")</f>
        <v>https://naylampmechatronics.com/inalambrico/24-modulo-bluetooth-hc06.html</v>
      </c>
      <c r="AA1787" s="213" t="str">
        <f>IFERROR(__xludf.DUMMYFUNCTION("""COMPUTED_VALUE"""),"ESP-259 MÓDULO DE BLUETOOTH TIPO HC-06 PARA PLATAFORMA ELECTRÓNICA - CET")</f>
        <v>ESP-259 MÓDULO DE BLUETOOTH TIPO HC-06 PARA PLATAFORMA ELECTRÓNICA - CET</v>
      </c>
      <c r="AB1787" s="213"/>
      <c r="AC1787" s="213"/>
      <c r="AD1787" s="213"/>
      <c r="AE1787" s="213"/>
      <c r="AF1787" s="213"/>
      <c r="AG1787" s="213"/>
      <c r="AH1787" s="213"/>
      <c r="AI1787" s="213"/>
      <c r="AJ1787" s="213"/>
      <c r="AK1787" s="213"/>
      <c r="AL1787" s="213"/>
      <c r="AM1787" s="213"/>
      <c r="AN1787" s="213"/>
      <c r="AO1787" s="213"/>
      <c r="AP1787" s="213" t="str">
        <f>IFERROR(__xludf.DUMMYFUNCTION("""COMPUTED_VALUE"""),"BRUNO")</f>
        <v>BRUNO</v>
      </c>
      <c r="AQ1787" s="213"/>
      <c r="AR1787" s="213"/>
      <c r="AS1787" s="213"/>
      <c r="AT1787" s="213"/>
      <c r="AU1787" s="213"/>
      <c r="AV1787" s="213"/>
      <c r="AW1787" s="213"/>
      <c r="AX1787" s="213"/>
      <c r="AY1787" s="213"/>
      <c r="AZ1787" s="213"/>
      <c r="BA1787" s="213"/>
      <c r="BB1787" s="213"/>
      <c r="BC1787" s="213"/>
      <c r="BD1787" s="213"/>
    </row>
    <row r="1788">
      <c r="A1788" s="213">
        <f>IFERROR(__xludf.DUMMYFUNCTION("""COMPUTED_VALUE"""),876.0)</f>
        <v>876</v>
      </c>
      <c r="B1788" s="213" t="str">
        <f>IFERROR(__xludf.DUMMYFUNCTION("""COMPUTED_VALUE"""),"6049 RICARDO PALMA")</f>
        <v>6049 RICARDO PALMA</v>
      </c>
      <c r="C1788" s="213" t="str">
        <f>IFERROR(__xludf.DUMMYFUNCTION("""COMPUTED_VALUE"""),"TALLER SFT DE ELECTRICIDAD")</f>
        <v>TALLER SFT DE ELECTRICIDAD</v>
      </c>
      <c r="D1788" s="213" t="str">
        <f>IFERROR(__xludf.DUMMYFUNCTION("""COMPUTED_VALUE"""),"EQUIPOS")</f>
        <v>EQUIPOS</v>
      </c>
      <c r="E1788" s="213" t="str">
        <f>IFERROR(__xludf.DUMMYFUNCTION("""COMPUTED_VALUE"""),"ESP-259")</f>
        <v>ESP-259</v>
      </c>
      <c r="F1788" s="213" t="str">
        <f>IFERROR(__xludf.DUMMYFUNCTION("""COMPUTED_VALUE"""),"ESP-259")</f>
        <v>ESP-259</v>
      </c>
      <c r="G1788" s="213"/>
      <c r="H1788" s="213" t="str">
        <f>IFERROR(__xludf.DUMMYFUNCTION("""COMPUTED_VALUE"""),"MÓDULO DE BLUETOOTH TIPO HC-06 PARA PLATAFORMA ELECTRÓNICA DE CÓDIGO ABIERTO")</f>
        <v>MÓDULO DE BLUETOOTH TIPO HC-06 PARA PLATAFORMA ELECTRÓNICA DE CÓDIGO ABIERTO</v>
      </c>
      <c r="I1788" s="213" t="str">
        <f>IFERROR(__xludf.DUMMYFUNCTION("""COMPUTED_VALUE"""),"Características del módulo:
-           4 pines de conexión
-           Actúa solo como SLAVE")</f>
        <v>Características del módulo:
-           4 pines de conexión
-           Actúa solo como SLAVE</v>
      </c>
      <c r="J1788" s="213">
        <f>IFERROR(__xludf.DUMMYFUNCTION("""COMPUTED_VALUE"""),3.0)</f>
        <v>3</v>
      </c>
      <c r="K1788" s="213" t="str">
        <f>IFERROR(__xludf.DUMMYFUNCTION("""COMPUTED_VALUE"""),"170 DÍAS CALENDARIO")</f>
        <v>170 DÍAS CALENDARIO</v>
      </c>
      <c r="L1788" s="213" t="str">
        <f>IFERROR(__xludf.DUMMYFUNCTION("""COMPUTED_VALUE"""),"")</f>
        <v/>
      </c>
      <c r="M1788" s="213">
        <f>IFERROR(__xludf.DUMMYFUNCTION("""COMPUTED_VALUE"""),1.0)</f>
        <v>1</v>
      </c>
      <c r="N1788" s="213">
        <f>IFERROR(__xludf.DUMMYFUNCTION("""COMPUTED_VALUE"""),4.0)</f>
        <v>4</v>
      </c>
      <c r="O1788" s="213">
        <f>IFERROR(__xludf.DUMMYFUNCTION("""COMPUTED_VALUE"""),4.0)</f>
        <v>4</v>
      </c>
      <c r="P1788" s="213"/>
      <c r="Q1788" s="213"/>
      <c r="R1788" s="213"/>
      <c r="S1788" s="213" t="str">
        <f>IFERROR(__xludf.DUMMYFUNCTION("""COMPUTED_VALUE"""),"SI")</f>
        <v>SI</v>
      </c>
      <c r="T1788" s="213" t="str">
        <f>IFERROR(__xludf.DUMMYFUNCTION("""COMPUTED_VALUE"""),"SI")</f>
        <v>SI</v>
      </c>
      <c r="U1788" s="213" t="str">
        <f>IFERROR(__xludf.DUMMYFUNCTION("""COMPUTED_VALUE"""),"SI")</f>
        <v>SI</v>
      </c>
      <c r="V1788" s="213" t="str">
        <f>IFERROR(__xludf.DUMMYFUNCTION("""COMPUTED_VALUE"""),"-")</f>
        <v>-</v>
      </c>
      <c r="W1788" s="213" t="str">
        <f>IFERROR(__xludf.DUMMYFUNCTION("""COMPUTED_VALUE"""),"-")</f>
        <v>-</v>
      </c>
      <c r="X1788" s="213" t="str">
        <f>IFERROR(__xludf.DUMMYFUNCTION("""COMPUTED_VALUE"""),"Genérico")</f>
        <v>Genérico</v>
      </c>
      <c r="Y1788" s="213" t="str">
        <f>IFERROR(__xludf.DUMMYFUNCTION("""COMPUTED_VALUE"""),"HC06")</f>
        <v>HC06</v>
      </c>
      <c r="Z1788" s="215" t="str">
        <f>IFERROR(__xludf.DUMMYFUNCTION("""COMPUTED_VALUE"""),"https://naylampmechatronics.com/inalambrico/24-modulo-bluetooth-hc06.html")</f>
        <v>https://naylampmechatronics.com/inalambrico/24-modulo-bluetooth-hc06.html</v>
      </c>
      <c r="AA1788" s="215" t="str">
        <f>IFERROR(__xludf.DUMMYFUNCTION("""COMPUTED_VALUE"""),"https://docs.google.com/spreadsheets/d/12HOLSk2pY1obMq07YN7_ZxNM5yfMgf5OhvLTnmOC0ZM/edit?gid=0#gid=2")</f>
        <v>https://docs.google.com/spreadsheets/d/12HOLSk2pY1obMq07YN7_ZxNM5yfMgf5OhvLTnmOC0ZM/edit?gid=0#gid=2</v>
      </c>
      <c r="AB1788" s="213"/>
      <c r="AC1788" s="213"/>
      <c r="AD1788" s="213"/>
      <c r="AE1788" s="213"/>
      <c r="AF1788" s="213"/>
      <c r="AG1788" s="213"/>
      <c r="AH1788" s="213"/>
      <c r="AI1788" s="213"/>
      <c r="AJ1788" s="213"/>
      <c r="AK1788" s="213"/>
      <c r="AL1788" s="213"/>
      <c r="AM1788" s="213"/>
      <c r="AN1788" s="213"/>
      <c r="AO1788" s="213"/>
      <c r="AP1788" s="213" t="str">
        <f>IFERROR(__xludf.DUMMYFUNCTION("""COMPUTED_VALUE"""),"BRUNO")</f>
        <v>BRUNO</v>
      </c>
      <c r="AQ1788" s="213"/>
      <c r="AR1788" s="213"/>
      <c r="AS1788" s="213"/>
      <c r="AT1788" s="213"/>
      <c r="AU1788" s="213"/>
      <c r="AV1788" s="213"/>
      <c r="AW1788" s="213"/>
      <c r="AX1788" s="213"/>
      <c r="AY1788" s="213"/>
      <c r="AZ1788" s="213"/>
      <c r="BA1788" s="213"/>
      <c r="BB1788" s="213"/>
      <c r="BC1788" s="213"/>
      <c r="BD1788" s="213"/>
    </row>
    <row r="1789">
      <c r="A1789" s="213">
        <f>IFERROR(__xludf.DUMMYFUNCTION("""COMPUTED_VALUE"""),1298.0)</f>
        <v>1298</v>
      </c>
      <c r="B1789" s="213" t="str">
        <f>IFERROR(__xludf.DUMMYFUNCTION("""COMPUTED_VALUE"""),"GUILLERMO E. BILLINGHURST ")</f>
        <v>GUILLERMO E. BILLINGHURST </v>
      </c>
      <c r="C1789" s="213" t="str">
        <f>IFERROR(__xludf.DUMMYFUNCTION("""COMPUTED_VALUE"""),"TALLER SFT DE ELECTRICIDAD")</f>
        <v>TALLER SFT DE ELECTRICIDAD</v>
      </c>
      <c r="D1789" s="213" t="str">
        <f>IFERROR(__xludf.DUMMYFUNCTION("""COMPUTED_VALUE"""),"EQUIPOS")</f>
        <v>EQUIPOS</v>
      </c>
      <c r="E1789" s="213" t="str">
        <f>IFERROR(__xludf.DUMMYFUNCTION("""COMPUTED_VALUE"""),"ESP-259")</f>
        <v>ESP-259</v>
      </c>
      <c r="F1789" s="213" t="str">
        <f>IFERROR(__xludf.DUMMYFUNCTION("""COMPUTED_VALUE"""),"ESP-259")</f>
        <v>ESP-259</v>
      </c>
      <c r="G1789" s="213"/>
      <c r="H1789" s="213" t="str">
        <f>IFERROR(__xludf.DUMMYFUNCTION("""COMPUTED_VALUE"""),"MÓDULO DE BLUETOOTH TIPO HC-06 PARA PLATAFORMA ELECTRÓNICA DE CÓDIGO ABIERTO")</f>
        <v>MÓDULO DE BLUETOOTH TIPO HC-06 PARA PLATAFORMA ELECTRÓNICA DE CÓDIGO ABIERTO</v>
      </c>
      <c r="I1789" s="213" t="str">
        <f>IFERROR(__xludf.DUMMYFUNCTION("""COMPUTED_VALUE"""),"Características del módulo:
-           4 pines de conexión
-           Actúa solo como SLAVE")</f>
        <v>Características del módulo:
-           4 pines de conexión
-           Actúa solo como SLAVE</v>
      </c>
      <c r="J1789" s="213">
        <f>IFERROR(__xludf.DUMMYFUNCTION("""COMPUTED_VALUE"""),3.0)</f>
        <v>3</v>
      </c>
      <c r="K1789" s="213" t="str">
        <f>IFERROR(__xludf.DUMMYFUNCTION("""COMPUTED_VALUE"""),"170 DÍAS CALENDARIO")</f>
        <v>170 DÍAS CALENDARIO</v>
      </c>
      <c r="L1789" s="213" t="str">
        <f>IFERROR(__xludf.DUMMYFUNCTION("""COMPUTED_VALUE"""),"")</f>
        <v/>
      </c>
      <c r="M1789" s="213">
        <f>IFERROR(__xludf.DUMMYFUNCTION("""COMPUTED_VALUE"""),1.0)</f>
        <v>1</v>
      </c>
      <c r="N1789" s="213">
        <f>IFERROR(__xludf.DUMMYFUNCTION("""COMPUTED_VALUE"""),4.0)</f>
        <v>4</v>
      </c>
      <c r="O1789" s="213">
        <f>IFERROR(__xludf.DUMMYFUNCTION("""COMPUTED_VALUE"""),4.0)</f>
        <v>4</v>
      </c>
      <c r="P1789" s="213"/>
      <c r="Q1789" s="213"/>
      <c r="R1789" s="213"/>
      <c r="S1789" s="213" t="str">
        <f>IFERROR(__xludf.DUMMYFUNCTION("""COMPUTED_VALUE"""),"SI")</f>
        <v>SI</v>
      </c>
      <c r="T1789" s="213" t="str">
        <f>IFERROR(__xludf.DUMMYFUNCTION("""COMPUTED_VALUE"""),"SI")</f>
        <v>SI</v>
      </c>
      <c r="U1789" s="213" t="str">
        <f>IFERROR(__xludf.DUMMYFUNCTION("""COMPUTED_VALUE"""),"SI")</f>
        <v>SI</v>
      </c>
      <c r="V1789" s="213" t="str">
        <f>IFERROR(__xludf.DUMMYFUNCTION("""COMPUTED_VALUE"""),"-")</f>
        <v>-</v>
      </c>
      <c r="W1789" s="213" t="str">
        <f>IFERROR(__xludf.DUMMYFUNCTION("""COMPUTED_VALUE"""),"-")</f>
        <v>-</v>
      </c>
      <c r="X1789" s="213" t="str">
        <f>IFERROR(__xludf.DUMMYFUNCTION("""COMPUTED_VALUE"""),"Genérico")</f>
        <v>Genérico</v>
      </c>
      <c r="Y1789" s="213" t="str">
        <f>IFERROR(__xludf.DUMMYFUNCTION("""COMPUTED_VALUE"""),"HC06")</f>
        <v>HC06</v>
      </c>
      <c r="Z1789" s="215" t="str">
        <f>IFERROR(__xludf.DUMMYFUNCTION("""COMPUTED_VALUE"""),"https://naylampmechatronics.com/inalambrico/24-modulo-bluetooth-hc06.html")</f>
        <v>https://naylampmechatronics.com/inalambrico/24-modulo-bluetooth-hc06.html</v>
      </c>
      <c r="AA1789" s="215" t="str">
        <f>IFERROR(__xludf.DUMMYFUNCTION("""COMPUTED_VALUE"""),"https://docs.google.com/spreadsheets/d/12HOLSk2pY1obMq07YN7_ZxNM5yfMgf5OhvLTnmOC0ZM/edit?gid=0#gid=0")</f>
        <v>https://docs.google.com/spreadsheets/d/12HOLSk2pY1obMq07YN7_ZxNM5yfMgf5OhvLTnmOC0ZM/edit?gid=0#gid=0</v>
      </c>
      <c r="AB1789" s="213"/>
      <c r="AC1789" s="213"/>
      <c r="AD1789" s="213"/>
      <c r="AE1789" s="213"/>
      <c r="AF1789" s="213"/>
      <c r="AG1789" s="213"/>
      <c r="AH1789" s="213"/>
      <c r="AI1789" s="213"/>
      <c r="AJ1789" s="213"/>
      <c r="AK1789" s="213"/>
      <c r="AL1789" s="213"/>
      <c r="AM1789" s="213"/>
      <c r="AN1789" s="213"/>
      <c r="AO1789" s="213"/>
      <c r="AP1789" s="213" t="str">
        <f>IFERROR(__xludf.DUMMYFUNCTION("""COMPUTED_VALUE"""),"BRUNO")</f>
        <v>BRUNO</v>
      </c>
      <c r="AQ1789" s="213"/>
      <c r="AR1789" s="213"/>
      <c r="AS1789" s="213"/>
      <c r="AT1789" s="213"/>
      <c r="AU1789" s="213"/>
      <c r="AV1789" s="213"/>
      <c r="AW1789" s="213"/>
      <c r="AX1789" s="213"/>
      <c r="AY1789" s="213"/>
      <c r="AZ1789" s="213"/>
      <c r="BA1789" s="213"/>
      <c r="BB1789" s="213"/>
      <c r="BC1789" s="213"/>
      <c r="BD1789" s="213"/>
    </row>
    <row r="1790">
      <c r="A1790" s="213">
        <f>IFERROR(__xludf.DUMMYFUNCTION("""COMPUTED_VALUE"""),709.0)</f>
        <v>709</v>
      </c>
      <c r="B1790" s="213" t="str">
        <f>IFERROR(__xludf.DUMMYFUNCTION("""COMPUTED_VALUE"""),"6049 RICARDO PALMA")</f>
        <v>6049 RICARDO PALMA</v>
      </c>
      <c r="C1790" s="213" t="str">
        <f>IFERROR(__xludf.DUMMYFUNCTION("""COMPUTED_VALUE"""),"TALLER SFT DE ELECTRÓNICA")</f>
        <v>TALLER SFT DE ELECTRÓNICA</v>
      </c>
      <c r="D1790" s="213" t="str">
        <f>IFERROR(__xludf.DUMMYFUNCTION("""COMPUTED_VALUE"""),"EQUIPOS")</f>
        <v>EQUIPOS</v>
      </c>
      <c r="E1790" s="213" t="str">
        <f>IFERROR(__xludf.DUMMYFUNCTION("""COMPUTED_VALUE"""),"ESP-260")</f>
        <v>ESP-260</v>
      </c>
      <c r="F1790" s="213" t="str">
        <f>IFERROR(__xludf.DUMMYFUNCTION("""COMPUTED_VALUE"""),"ESP-260")</f>
        <v>ESP-260</v>
      </c>
      <c r="G1790" s="213"/>
      <c r="H1790" s="213" t="str">
        <f>IFERROR(__xludf.DUMMYFUNCTION("""COMPUTED_VALUE"""),"MÓDULO DE ENTRENAMIENTO PARA EL DESARROLLO DE CIRCUITOS ELECTRÓNICOS ANALÓGICOS Y DIGITALES")</f>
        <v>MÓDULO DE ENTRENAMIENTO PARA EL DESARROLLO DE CIRCUITOS ELECTRÓNICOS ANALÓGICOS Y DIGITALES</v>
      </c>
      <c r="I1790" s="213" t="str">
        <f>IFERROR(__xludf.DUMMYFUNCTION("""COMPUTED_VALUE"""),"· Permite poner en práctica circuitos electrónicos analógicos y digitales.
· Placa de prueba (protoboard): extraíble con 2712 puntos.
· Fuentes de alimentación DC, fijas y variables.
· 02 Potenciómetros.
· 01 Altavoz: 8Ω / 0.25 W.
· 04 Adaptadores de cone"&amp;"xiones externas.
· 02 Displays de mínimo 7 segmentos
· 02 Pulsadores sin rebotes.
· Mínimo 8 interruptores.")</f>
        <v>· Permite poner en práctica circuitos electrónicos analógicos y digitales.
· Placa de prueba (protoboard): extraíble con 2712 puntos.
· Fuentes de alimentación DC, fijas y variables.
· 02 Potenciómetros.
· 01 Altavoz: 8Ω / 0.25 W.
· 04 Adaptadores de conexiones externas.
· 02 Displays de mínimo 7 segmentos
· 02 Pulsadores sin rebotes.
· Mínimo 8 interruptores.</v>
      </c>
      <c r="J1790" s="213">
        <f>IFERROR(__xludf.DUMMYFUNCTION("""COMPUTED_VALUE"""),3.0)</f>
        <v>3</v>
      </c>
      <c r="K1790" s="213" t="str">
        <f>IFERROR(__xludf.DUMMYFUNCTION("""COMPUTED_VALUE"""),"170 DÍAS CALENDARIO")</f>
        <v>170 DÍAS CALENDARIO</v>
      </c>
      <c r="L1790" s="213" t="str">
        <f>IFERROR(__xludf.DUMMYFUNCTION("""COMPUTED_VALUE"""),"")</f>
        <v/>
      </c>
      <c r="M1790" s="213">
        <f>IFERROR(__xludf.DUMMYFUNCTION("""COMPUTED_VALUE"""),1.0)</f>
        <v>1</v>
      </c>
      <c r="N1790" s="213">
        <f>IFERROR(__xludf.DUMMYFUNCTION("""COMPUTED_VALUE"""),4.0)</f>
        <v>4</v>
      </c>
      <c r="O1790" s="213">
        <f>IFERROR(__xludf.DUMMYFUNCTION("""COMPUTED_VALUE"""),4.0)</f>
        <v>4</v>
      </c>
      <c r="P1790" s="213"/>
      <c r="Q1790" s="213"/>
      <c r="R1790" s="213"/>
      <c r="S1790" s="213" t="str">
        <f>IFERROR(__xludf.DUMMYFUNCTION("""COMPUTED_VALUE"""),"SI")</f>
        <v>SI</v>
      </c>
      <c r="T1790" s="213" t="str">
        <f>IFERROR(__xludf.DUMMYFUNCTION("""COMPUTED_VALUE"""),"SI")</f>
        <v>SI</v>
      </c>
      <c r="U1790" s="213" t="str">
        <f>IFERROR(__xludf.DUMMYFUNCTION("""COMPUTED_VALUE"""),"SI")</f>
        <v>SI</v>
      </c>
      <c r="V1790" s="213" t="str">
        <f>IFERROR(__xludf.DUMMYFUNCTION("""COMPUTED_VALUE"""),"-")</f>
        <v>-</v>
      </c>
      <c r="W1790" s="213" t="str">
        <f>IFERROR(__xludf.DUMMYFUNCTION("""COMPUTED_VALUE"""),"-")</f>
        <v>-</v>
      </c>
      <c r="X1790" s="213" t="str">
        <f>IFERROR(__xludf.DUMMYFUNCTION("""COMPUTED_VALUE"""),"K&amp;H")</f>
        <v>K&amp;H</v>
      </c>
      <c r="Y1790" s="213" t="str">
        <f>IFERROR(__xludf.DUMMYFUNCTION("""COMPUTED_VALUE"""),"ETS-7000B Digital-Analog Training System")</f>
        <v>ETS-7000B Digital-Analog Training System</v>
      </c>
      <c r="Z1790" s="215" t="str">
        <f>IFERROR(__xludf.DUMMYFUNCTION("""COMPUTED_VALUE"""),"https://es.kandh.com.tw/ets-7000b-digital-analog-training-system-ets-7000b.html")</f>
        <v>https://es.kandh.com.tw/ets-7000b-digital-analog-training-system-ets-7000b.html</v>
      </c>
      <c r="AA1790" s="213" t="str">
        <f>IFERROR(__xludf.DUMMYFUNCTION("""COMPUTED_VALUE"""),"ESP-260 MÓDULO DE ENTRENAMIENTO PARA EL DESARROLLO DE CIRCUITOS ELECTRÓNICOS ANALÓGICOS Y DIGITALES - CET")</f>
        <v>ESP-260 MÓDULO DE ENTRENAMIENTO PARA EL DESARROLLO DE CIRCUITOS ELECTRÓNICOS ANALÓGICOS Y DIGITALES - CET</v>
      </c>
      <c r="AB1790" s="215" t="str">
        <f>IFERROR(__xludf.DUMMYFUNCTION("""COMPUTED_VALUE"""),"https://drive.google.com/file/d/1mWh7DRu3X6jLgxsNfT3vJrw4aGWgeIge/view")</f>
        <v>https://drive.google.com/file/d/1mWh7DRu3X6jLgxsNfT3vJrw4aGWgeIge/view</v>
      </c>
      <c r="AC1790" s="213"/>
      <c r="AD1790" s="213"/>
      <c r="AE1790" s="213"/>
      <c r="AF1790" s="213"/>
      <c r="AG1790" s="213"/>
      <c r="AH1790" s="213"/>
      <c r="AI1790" s="213"/>
      <c r="AJ1790" s="213"/>
      <c r="AK1790" s="213"/>
      <c r="AL1790" s="213"/>
      <c r="AM1790" s="213"/>
      <c r="AN1790" s="213"/>
      <c r="AO1790" s="213"/>
      <c r="AP1790" s="213" t="str">
        <f>IFERROR(__xludf.DUMMYFUNCTION("""COMPUTED_VALUE"""),"BRUNO")</f>
        <v>BRUNO</v>
      </c>
      <c r="AQ1790" s="213"/>
      <c r="AR1790" s="213"/>
      <c r="AS1790" s="213"/>
      <c r="AT1790" s="213"/>
      <c r="AU1790" s="213"/>
      <c r="AV1790" s="213"/>
      <c r="AW1790" s="213"/>
      <c r="AX1790" s="213"/>
      <c r="AY1790" s="213"/>
      <c r="AZ1790" s="213"/>
      <c r="BA1790" s="213"/>
      <c r="BB1790" s="213"/>
      <c r="BC1790" s="213"/>
      <c r="BD1790" s="213"/>
    </row>
    <row r="1791">
      <c r="A1791" s="213">
        <f>IFERROR(__xludf.DUMMYFUNCTION("""COMPUTED_VALUE"""),407.0)</f>
        <v>407</v>
      </c>
      <c r="B1791" s="213" t="str">
        <f>IFERROR(__xludf.DUMMYFUNCTION("""COMPUTED_VALUE"""),"2026 SIMON BOLIVAR")</f>
        <v>2026 SIMON BOLIVAR</v>
      </c>
      <c r="C1791" s="213" t="str">
        <f>IFERROR(__xludf.DUMMYFUNCTION("""COMPUTED_VALUE"""),"TALLER SFT DE ELECTRICIDAD")</f>
        <v>TALLER SFT DE ELECTRICIDAD</v>
      </c>
      <c r="D1791" s="213" t="str">
        <f>IFERROR(__xludf.DUMMYFUNCTION("""COMPUTED_VALUE"""),"EQUIPOS")</f>
        <v>EQUIPOS</v>
      </c>
      <c r="E1791" s="213" t="str">
        <f>IFERROR(__xludf.DUMMYFUNCTION("""COMPUTED_VALUE"""),"ESP-263")</f>
        <v>ESP-263</v>
      </c>
      <c r="F1791" s="213" t="str">
        <f>IFERROR(__xludf.DUMMYFUNCTION("""COMPUTED_VALUE"""),"ESP-263")</f>
        <v>ESP-263</v>
      </c>
      <c r="G1791" s="213"/>
      <c r="H1791" s="213" t="str">
        <f>IFERROR(__xludf.DUMMYFUNCTION("""COMPUTED_VALUE"""),"MÓDULO DE PLC")</f>
        <v>MÓDULO DE PLC</v>
      </c>
      <c r="I1791" s="213"/>
      <c r="J1791" s="213">
        <f>IFERROR(__xludf.DUMMYFUNCTION("""COMPUTED_VALUE"""),3.0)</f>
        <v>3</v>
      </c>
      <c r="K1791" s="213" t="str">
        <f>IFERROR(__xludf.DUMMYFUNCTION("""COMPUTED_VALUE"""),"170 DÍAS CALENDARIO")</f>
        <v>170 DÍAS CALENDARIO</v>
      </c>
      <c r="L1791" s="213" t="str">
        <f>IFERROR(__xludf.DUMMYFUNCTION("""COMPUTED_VALUE"""),"")</f>
        <v/>
      </c>
      <c r="M1791" s="213">
        <f>IFERROR(__xludf.DUMMYFUNCTION("""COMPUTED_VALUE"""),1.0)</f>
        <v>1</v>
      </c>
      <c r="N1791" s="213">
        <f>IFERROR(__xludf.DUMMYFUNCTION("""COMPUTED_VALUE"""),4.0)</f>
        <v>4</v>
      </c>
      <c r="O1791" s="213">
        <f>IFERROR(__xludf.DUMMYFUNCTION("""COMPUTED_VALUE"""),4.0)</f>
        <v>4</v>
      </c>
      <c r="P1791" s="213"/>
      <c r="Q1791" s="213"/>
      <c r="R1791" s="213"/>
      <c r="S1791" s="213" t="str">
        <f>IFERROR(__xludf.DUMMYFUNCTION("""COMPUTED_VALUE"""),"SI")</f>
        <v>SI</v>
      </c>
      <c r="T1791" s="213" t="str">
        <f>IFERROR(__xludf.DUMMYFUNCTION("""COMPUTED_VALUE"""),"CONSULTA FINAL")</f>
        <v>CONSULTA FINAL</v>
      </c>
      <c r="U1791" s="213" t="str">
        <f>IFERROR(__xludf.DUMMYFUNCTION("""COMPUTED_VALUE"""),"SI")</f>
        <v>SI</v>
      </c>
      <c r="V1791" s="213" t="str">
        <f>IFERROR(__xludf.DUMMYFUNCTION("""COMPUTED_VALUE"""),"-")</f>
        <v>-</v>
      </c>
      <c r="W1791" s="213" t="str">
        <f>IFERROR(__xludf.DUMMYFUNCTION("""COMPUTED_VALUE"""),"-")</f>
        <v>-</v>
      </c>
      <c r="X1791" s="213" t="str">
        <f>IFERROR(__xludf.DUMMYFUNCTION("""COMPUTED_VALUE"""),"Schneider Electric")</f>
        <v>Schneider Electric</v>
      </c>
      <c r="Y1791" s="213" t="str">
        <f>IFERROR(__xludf.DUMMYFUNCTION("""COMPUTED_VALUE"""),"SR3B261BD")</f>
        <v>SR3B261BD</v>
      </c>
      <c r="Z1791" s="215" t="str">
        <f>IFERROR(__xludf.DUMMYFUNCTION("""COMPUTED_VALUE"""),"https://www.se.com/cl/es/product/SR3B261BD/rele-zelio-16-entradas-10-salidas-con-reloj-24v-dc-con-display/")</f>
        <v>https://www.se.com/cl/es/product/SR3B261BD/rele-zelio-16-entradas-10-salidas-con-reloj-24v-dc-con-display/</v>
      </c>
      <c r="AA1791" s="213" t="str">
        <f>IFERROR(__xludf.DUMMYFUNCTION("""COMPUTED_VALUE"""),"ESP-263 MÓDULO DE PLC - CET")</f>
        <v>ESP-263 MÓDULO DE PLC - CET</v>
      </c>
      <c r="AB1791" s="213"/>
      <c r="AC1791" s="213"/>
      <c r="AD1791" s="213"/>
      <c r="AE1791" s="213"/>
      <c r="AF1791" s="213"/>
      <c r="AG1791" s="213"/>
      <c r="AH1791" s="213"/>
      <c r="AI1791" s="213"/>
      <c r="AJ1791" s="213"/>
      <c r="AK1791" s="213"/>
      <c r="AL1791" s="213"/>
      <c r="AM1791" s="213"/>
      <c r="AN1791" s="213"/>
      <c r="AO1791" s="213"/>
      <c r="AP1791" s="213" t="str">
        <f>IFERROR(__xludf.DUMMYFUNCTION("""COMPUTED_VALUE"""),"BRUNO")</f>
        <v>BRUNO</v>
      </c>
      <c r="AQ1791" s="213" t="str">
        <f>IFERROR(__xludf.DUMMYFUNCTION("""COMPUTED_VALUE"""),"Se debe incluir el IVA. Software gratuito de programación Zelio Soft: https://www.se.com/pe/es/product-range/542-zelio-soft/#overview")</f>
        <v>Se debe incluir el IVA. Software gratuito de programación Zelio Soft: https://www.se.com/pe/es/product-range/542-zelio-soft/#overview</v>
      </c>
      <c r="AR1791" s="213"/>
      <c r="AS1791" s="213" t="str">
        <f>IFERROR(__xludf.DUMMYFUNCTION("""COMPUTED_VALUE"""),"Se debe incluir el IVA. Software gratuito de programación Zelio Soft: https://www.se.com/pe/es/product-range/542-zelio-soft/#overview")</f>
        <v>Se debe incluir el IVA. Software gratuito de programación Zelio Soft: https://www.se.com/pe/es/product-range/542-zelio-soft/#overview</v>
      </c>
      <c r="AT1791" s="213"/>
      <c r="AU1791" s="213"/>
      <c r="AV1791" s="213"/>
      <c r="AW1791" s="213"/>
      <c r="AX1791" s="213"/>
      <c r="AY1791" s="213"/>
      <c r="AZ1791" s="213"/>
      <c r="BA1791" s="213"/>
      <c r="BB1791" s="213"/>
      <c r="BC1791" s="213"/>
      <c r="BD1791" s="213"/>
    </row>
    <row r="1792">
      <c r="A1792" s="213">
        <f>IFERROR(__xludf.DUMMYFUNCTION("""COMPUTED_VALUE"""),893.0)</f>
        <v>893</v>
      </c>
      <c r="B1792" s="213" t="str">
        <f>IFERROR(__xludf.DUMMYFUNCTION("""COMPUTED_VALUE"""),"6049 RICARDO PALMA")</f>
        <v>6049 RICARDO PALMA</v>
      </c>
      <c r="C1792" s="213" t="str">
        <f>IFERROR(__xludf.DUMMYFUNCTION("""COMPUTED_VALUE"""),"TALLER SFT DE ELECTRICIDAD")</f>
        <v>TALLER SFT DE ELECTRICIDAD</v>
      </c>
      <c r="D1792" s="213" t="str">
        <f>IFERROR(__xludf.DUMMYFUNCTION("""COMPUTED_VALUE"""),"EQUIPOS")</f>
        <v>EQUIPOS</v>
      </c>
      <c r="E1792" s="213" t="str">
        <f>IFERROR(__xludf.DUMMYFUNCTION("""COMPUTED_VALUE"""),"ESP-263")</f>
        <v>ESP-263</v>
      </c>
      <c r="F1792" s="213" t="str">
        <f>IFERROR(__xludf.DUMMYFUNCTION("""COMPUTED_VALUE"""),"ESP-263")</f>
        <v>ESP-263</v>
      </c>
      <c r="G1792" s="213"/>
      <c r="H1792" s="213" t="str">
        <f>IFERROR(__xludf.DUMMYFUNCTION("""COMPUTED_VALUE"""),"MÓDULO DE PLC")</f>
        <v>MÓDULO DE PLC</v>
      </c>
      <c r="I1792" s="213"/>
      <c r="J1792" s="213">
        <f>IFERROR(__xludf.DUMMYFUNCTION("""COMPUTED_VALUE"""),3.0)</f>
        <v>3</v>
      </c>
      <c r="K1792" s="213" t="str">
        <f>IFERROR(__xludf.DUMMYFUNCTION("""COMPUTED_VALUE"""),"170 DÍAS CALENDARIO")</f>
        <v>170 DÍAS CALENDARIO</v>
      </c>
      <c r="L1792" s="213" t="str">
        <f>IFERROR(__xludf.DUMMYFUNCTION("""COMPUTED_VALUE"""),"")</f>
        <v/>
      </c>
      <c r="M1792" s="213">
        <f>IFERROR(__xludf.DUMMYFUNCTION("""COMPUTED_VALUE"""),1.0)</f>
        <v>1</v>
      </c>
      <c r="N1792" s="213">
        <f>IFERROR(__xludf.DUMMYFUNCTION("""COMPUTED_VALUE"""),4.0)</f>
        <v>4</v>
      </c>
      <c r="O1792" s="213">
        <f>IFERROR(__xludf.DUMMYFUNCTION("""COMPUTED_VALUE"""),4.0)</f>
        <v>4</v>
      </c>
      <c r="P1792" s="213"/>
      <c r="Q1792" s="213"/>
      <c r="R1792" s="213"/>
      <c r="S1792" s="213" t="str">
        <f>IFERROR(__xludf.DUMMYFUNCTION("""COMPUTED_VALUE"""),"SI")</f>
        <v>SI</v>
      </c>
      <c r="T1792" s="213" t="str">
        <f>IFERROR(__xludf.DUMMYFUNCTION("""COMPUTED_VALUE"""),"CONSULTA FINAL")</f>
        <v>CONSULTA FINAL</v>
      </c>
      <c r="U1792" s="213" t="str">
        <f>IFERROR(__xludf.DUMMYFUNCTION("""COMPUTED_VALUE"""),"SI")</f>
        <v>SI</v>
      </c>
      <c r="V1792" s="213" t="str">
        <f>IFERROR(__xludf.DUMMYFUNCTION("""COMPUTED_VALUE"""),"-")</f>
        <v>-</v>
      </c>
      <c r="W1792" s="213" t="str">
        <f>IFERROR(__xludf.DUMMYFUNCTION("""COMPUTED_VALUE"""),"-")</f>
        <v>-</v>
      </c>
      <c r="X1792" s="213" t="str">
        <f>IFERROR(__xludf.DUMMYFUNCTION("""COMPUTED_VALUE"""),"Schneider Electric")</f>
        <v>Schneider Electric</v>
      </c>
      <c r="Y1792" s="213" t="str">
        <f>IFERROR(__xludf.DUMMYFUNCTION("""COMPUTED_VALUE"""),"SR3B261BD")</f>
        <v>SR3B261BD</v>
      </c>
      <c r="Z1792" s="215" t="str">
        <f>IFERROR(__xludf.DUMMYFUNCTION("""COMPUTED_VALUE"""),"https://www.se.com/cl/es/product/SR3B261BD/rele-zelio-16-entradas-10-salidas-con-reloj-24v-dc-con-display/")</f>
        <v>https://www.se.com/cl/es/product/SR3B261BD/rele-zelio-16-entradas-10-salidas-con-reloj-24v-dc-con-display/</v>
      </c>
      <c r="AA1792" s="215" t="str">
        <f>IFERROR(__xludf.DUMMYFUNCTION("""COMPUTED_VALUE"""),"https://docs.google.com/spreadsheets/d/1GwZ3-4BgS7ML72JNw1799kJbiRMpY6lIPV_wSuqUJKY/edit?gid=0#gid=1")</f>
        <v>https://docs.google.com/spreadsheets/d/1GwZ3-4BgS7ML72JNw1799kJbiRMpY6lIPV_wSuqUJKY/edit?gid=0#gid=1</v>
      </c>
      <c r="AB1792" s="213"/>
      <c r="AC1792" s="213"/>
      <c r="AD1792" s="213"/>
      <c r="AE1792" s="213"/>
      <c r="AF1792" s="213"/>
      <c r="AG1792" s="213"/>
      <c r="AH1792" s="213"/>
      <c r="AI1792" s="213"/>
      <c r="AJ1792" s="213"/>
      <c r="AK1792" s="213"/>
      <c r="AL1792" s="213"/>
      <c r="AM1792" s="213"/>
      <c r="AN1792" s="213"/>
      <c r="AO1792" s="213"/>
      <c r="AP1792" s="213" t="str">
        <f>IFERROR(__xludf.DUMMYFUNCTION("""COMPUTED_VALUE"""),"BRUNO")</f>
        <v>BRUNO</v>
      </c>
      <c r="AQ1792" s="213" t="str">
        <f>IFERROR(__xludf.DUMMYFUNCTION("""COMPUTED_VALUE"""),"Se debe incluir el IVA. Software gratuito de programación Zelio Soft: https://www.se.com/pe/es/product-range/542-zelio-soft/#overview")</f>
        <v>Se debe incluir el IVA. Software gratuito de programación Zelio Soft: https://www.se.com/pe/es/product-range/542-zelio-soft/#overview</v>
      </c>
      <c r="AR1792" s="213"/>
      <c r="AS1792" s="213" t="str">
        <f>IFERROR(__xludf.DUMMYFUNCTION("""COMPUTED_VALUE"""),"Se debe incluir el IVA. Software gratuito de programación Zelio Soft: https://www.se.com/pe/es/product-range/542-zelio-soft/#overview")</f>
        <v>Se debe incluir el IVA. Software gratuito de programación Zelio Soft: https://www.se.com/pe/es/product-range/542-zelio-soft/#overview</v>
      </c>
      <c r="AT1792" s="213"/>
      <c r="AU1792" s="213"/>
      <c r="AV1792" s="213"/>
      <c r="AW1792" s="213"/>
      <c r="AX1792" s="213"/>
      <c r="AY1792" s="213"/>
      <c r="AZ1792" s="213"/>
      <c r="BA1792" s="213"/>
      <c r="BB1792" s="213"/>
      <c r="BC1792" s="213"/>
      <c r="BD1792" s="213"/>
    </row>
    <row r="1793">
      <c r="A1793" s="213">
        <f>IFERROR(__xludf.DUMMYFUNCTION("""COMPUTED_VALUE"""),1315.0)</f>
        <v>1315</v>
      </c>
      <c r="B1793" s="213" t="str">
        <f>IFERROR(__xludf.DUMMYFUNCTION("""COMPUTED_VALUE"""),"GUILLERMO E. BILLINGHURST ")</f>
        <v>GUILLERMO E. BILLINGHURST </v>
      </c>
      <c r="C1793" s="213" t="str">
        <f>IFERROR(__xludf.DUMMYFUNCTION("""COMPUTED_VALUE"""),"TALLER SFT DE ELECTRICIDAD")</f>
        <v>TALLER SFT DE ELECTRICIDAD</v>
      </c>
      <c r="D1793" s="213" t="str">
        <f>IFERROR(__xludf.DUMMYFUNCTION("""COMPUTED_VALUE"""),"EQUIPOS")</f>
        <v>EQUIPOS</v>
      </c>
      <c r="E1793" s="213" t="str">
        <f>IFERROR(__xludf.DUMMYFUNCTION("""COMPUTED_VALUE"""),"ESP-263")</f>
        <v>ESP-263</v>
      </c>
      <c r="F1793" s="213" t="str">
        <f>IFERROR(__xludf.DUMMYFUNCTION("""COMPUTED_VALUE"""),"ESP-263")</f>
        <v>ESP-263</v>
      </c>
      <c r="G1793" s="213"/>
      <c r="H1793" s="213" t="str">
        <f>IFERROR(__xludf.DUMMYFUNCTION("""COMPUTED_VALUE"""),"MÓDULO DE PLC")</f>
        <v>MÓDULO DE PLC</v>
      </c>
      <c r="I1793" s="213"/>
      <c r="J1793" s="213">
        <f>IFERROR(__xludf.DUMMYFUNCTION("""COMPUTED_VALUE"""),3.0)</f>
        <v>3</v>
      </c>
      <c r="K1793" s="213" t="str">
        <f>IFERROR(__xludf.DUMMYFUNCTION("""COMPUTED_VALUE"""),"170 DÍAS CALENDARIO")</f>
        <v>170 DÍAS CALENDARIO</v>
      </c>
      <c r="L1793" s="213" t="str">
        <f>IFERROR(__xludf.DUMMYFUNCTION("""COMPUTED_VALUE"""),"")</f>
        <v/>
      </c>
      <c r="M1793" s="213">
        <f>IFERROR(__xludf.DUMMYFUNCTION("""COMPUTED_VALUE"""),1.0)</f>
        <v>1</v>
      </c>
      <c r="N1793" s="213">
        <f>IFERROR(__xludf.DUMMYFUNCTION("""COMPUTED_VALUE"""),4.0)</f>
        <v>4</v>
      </c>
      <c r="O1793" s="213">
        <f>IFERROR(__xludf.DUMMYFUNCTION("""COMPUTED_VALUE"""),4.0)</f>
        <v>4</v>
      </c>
      <c r="P1793" s="213"/>
      <c r="Q1793" s="213"/>
      <c r="R1793" s="213"/>
      <c r="S1793" s="213" t="str">
        <f>IFERROR(__xludf.DUMMYFUNCTION("""COMPUTED_VALUE"""),"SI")</f>
        <v>SI</v>
      </c>
      <c r="T1793" s="213" t="str">
        <f>IFERROR(__xludf.DUMMYFUNCTION("""COMPUTED_VALUE"""),"CONSULTA FINAL")</f>
        <v>CONSULTA FINAL</v>
      </c>
      <c r="U1793" s="213" t="str">
        <f>IFERROR(__xludf.DUMMYFUNCTION("""COMPUTED_VALUE"""),"SI")</f>
        <v>SI</v>
      </c>
      <c r="V1793" s="213" t="str">
        <f>IFERROR(__xludf.DUMMYFUNCTION("""COMPUTED_VALUE"""),"-")</f>
        <v>-</v>
      </c>
      <c r="W1793" s="213" t="str">
        <f>IFERROR(__xludf.DUMMYFUNCTION("""COMPUTED_VALUE"""),"-")</f>
        <v>-</v>
      </c>
      <c r="X1793" s="213" t="str">
        <f>IFERROR(__xludf.DUMMYFUNCTION("""COMPUTED_VALUE"""),"Schneider Electric")</f>
        <v>Schneider Electric</v>
      </c>
      <c r="Y1793" s="213" t="str">
        <f>IFERROR(__xludf.DUMMYFUNCTION("""COMPUTED_VALUE"""),"SR3B261BD")</f>
        <v>SR3B261BD</v>
      </c>
      <c r="Z1793" s="215" t="str">
        <f>IFERROR(__xludf.DUMMYFUNCTION("""COMPUTED_VALUE"""),"https://www.se.com/cl/es/product/SR3B261BD/rele-zelio-16-entradas-10-salidas-con-reloj-24v-dc-con-display/")</f>
        <v>https://www.se.com/cl/es/product/SR3B261BD/rele-zelio-16-entradas-10-salidas-con-reloj-24v-dc-con-display/</v>
      </c>
      <c r="AA1793" s="215" t="str">
        <f>IFERROR(__xludf.DUMMYFUNCTION("""COMPUTED_VALUE"""),"https://docs.google.com/spreadsheets/d/1GwZ3-4BgS7ML72JNw1799kJbiRMpY6lIPV_wSuqUJKY/edit?gid=0#gid=2")</f>
        <v>https://docs.google.com/spreadsheets/d/1GwZ3-4BgS7ML72JNw1799kJbiRMpY6lIPV_wSuqUJKY/edit?gid=0#gid=2</v>
      </c>
      <c r="AB1793" s="213"/>
      <c r="AC1793" s="213"/>
      <c r="AD1793" s="213"/>
      <c r="AE1793" s="213"/>
      <c r="AF1793" s="213"/>
      <c r="AG1793" s="213"/>
      <c r="AH1793" s="213"/>
      <c r="AI1793" s="213"/>
      <c r="AJ1793" s="213"/>
      <c r="AK1793" s="213"/>
      <c r="AL1793" s="213"/>
      <c r="AM1793" s="213"/>
      <c r="AN1793" s="213"/>
      <c r="AO1793" s="213"/>
      <c r="AP1793" s="213" t="str">
        <f>IFERROR(__xludf.DUMMYFUNCTION("""COMPUTED_VALUE"""),"BRUNO")</f>
        <v>BRUNO</v>
      </c>
      <c r="AQ1793" s="213" t="str">
        <f>IFERROR(__xludf.DUMMYFUNCTION("""COMPUTED_VALUE"""),"Se debe incluir el IVA. Software gratuito de programación Zelio Soft: https://www.se.com/pe/es/product-range/542-zelio-soft/#overview")</f>
        <v>Se debe incluir el IVA. Software gratuito de programación Zelio Soft: https://www.se.com/pe/es/product-range/542-zelio-soft/#overview</v>
      </c>
      <c r="AR1793" s="213"/>
      <c r="AS1793" s="213" t="str">
        <f>IFERROR(__xludf.DUMMYFUNCTION("""COMPUTED_VALUE"""),"Se debe incluir el IVA. Software gratuito de programación Zelio Soft: https://www.se.com/pe/es/product-range/542-zelio-soft/#overview")</f>
        <v>Se debe incluir el IVA. Software gratuito de programación Zelio Soft: https://www.se.com/pe/es/product-range/542-zelio-soft/#overview</v>
      </c>
      <c r="AT1793" s="213"/>
      <c r="AU1793" s="213"/>
      <c r="AV1793" s="213"/>
      <c r="AW1793" s="213"/>
      <c r="AX1793" s="213"/>
      <c r="AY1793" s="213"/>
      <c r="AZ1793" s="213"/>
      <c r="BA1793" s="213"/>
      <c r="BB1793" s="213"/>
      <c r="BC1793" s="213"/>
      <c r="BD1793" s="213"/>
    </row>
    <row r="1794">
      <c r="A1794" s="213">
        <f>IFERROR(__xludf.DUMMYFUNCTION("""COMPUTED_VALUE"""),993.0)</f>
        <v>993</v>
      </c>
      <c r="B1794" s="213" t="str">
        <f>IFERROR(__xludf.DUMMYFUNCTION("""COMPUTED_VALUE"""),"FRANCISCO IRAZOLA")</f>
        <v>FRANCISCO IRAZOLA</v>
      </c>
      <c r="C1794" s="213" t="str">
        <f>IFERROR(__xludf.DUMMYFUNCTION("""COMPUTED_VALUE"""),"TALLER SFT DE MECÁNICA AUTOMOTRIZ")</f>
        <v>TALLER SFT DE MECÁNICA AUTOMOTRIZ</v>
      </c>
      <c r="D1794" s="213" t="str">
        <f>IFERROR(__xludf.DUMMYFUNCTION("""COMPUTED_VALUE"""),"EQUIPOS")</f>
        <v>EQUIPOS</v>
      </c>
      <c r="E1794" s="213" t="str">
        <f>IFERROR(__xludf.DUMMYFUNCTION("""COMPUTED_VALUE"""),"ESP-264")</f>
        <v>ESP-264</v>
      </c>
      <c r="F1794" s="213" t="str">
        <f>IFERROR(__xludf.DUMMYFUNCTION("""COMPUTED_VALUE"""),"ESP-264")</f>
        <v>ESP-264</v>
      </c>
      <c r="G1794" s="213"/>
      <c r="H1794" s="213" t="str">
        <f>IFERROR(__xludf.DUMMYFUNCTION("""COMPUTED_VALUE"""),"MÓDULO DE SISTEMA EDUCATIVO DE MOTOR DIESEL (ELECTRÓNICO)")</f>
        <v>MÓDULO DE SISTEMA EDUCATIVO DE MOTOR DIESEL (ELECTRÓNICO)</v>
      </c>
      <c r="I1794" s="213" t="str">
        <f>IFERROR(__xludf.DUMMYFUNCTION("""COMPUTED_VALUE"""),"· Entrenador de motor diesel, controlado electrónicamente, es un sistema de entrenamiento de motor diesel de inyección directa de combustible controlado.
· Es una unidad educativa con la misma condición de vehículo real para una educación eficiente.
· El "&amp;"sistema operativo, está equipado con componentes, como el: combustible electrónico del motor, sistema de enfriamiento, sistema de admisión, escape, entre otros.
· El entrenador puede hacer que los alumnos comprendan la estructura básica y el principio de "&amp;"funcionamiento del motor diesel, la posición de cada sensor y actuador según los objetos reales del motor y realizar análisis de fallas.
· Al realizar análisis de fallas en el entrenador, los estudiantes podrán realizar diagnósticos de acuerdo al fenómeno"&amp;" de la falla, gracias a los instrumentos del equipo y los que adicionen para su revisión, como el multímetro, entre otros.
· Está equipado con un puerto de detección de datos, se puede conectar una herramienta de exploración, de tipo general.
· Dimensione"&amp;"s aproximadas L 150x A80 x H180 cm.")</f>
        <v>· Entrenador de motor diesel, controlado electrónicamente, es un sistema de entrenamiento de motor diesel de inyección directa de combustible controlado.
· Es una unidad educativa con la misma condición de vehículo real para una educación eficiente.
· El sistema operativo, está equipado con componentes, como el: combustible electrónico del motor, sistema de enfriamiento, sistema de admisión, escape, entre otros.
· El entrenador puede hacer que los alumnos comprendan la estructura básica y el principio de funcionamiento del motor diesel, la posición de cada sensor y actuador según los objetos reales del motor y realizar análisis de fallas.
· Al realizar análisis de fallas en el entrenador, los estudiantes podrán realizar diagnósticos de acuerdo al fenómeno de la falla, gracias a los instrumentos del equipo y los que adicionen para su revisión, como el multímetro, entre otros.
· Está equipado con un puerto de detección de datos, se puede conectar una herramienta de exploración, de tipo general.
· Dimensiones aproximadas L 150x A80 x H180 cm.</v>
      </c>
      <c r="J1794" s="213">
        <f>IFERROR(__xludf.DUMMYFUNCTION("""COMPUTED_VALUE"""),3.0)</f>
        <v>3</v>
      </c>
      <c r="K1794" s="213" t="str">
        <f>IFERROR(__xludf.DUMMYFUNCTION("""COMPUTED_VALUE"""),"170 DÍAS CALENDARIO")</f>
        <v>170 DÍAS CALENDARIO</v>
      </c>
      <c r="L1794" s="213" t="str">
        <f>IFERROR(__xludf.DUMMYFUNCTION("""COMPUTED_VALUE"""),"")</f>
        <v/>
      </c>
      <c r="M1794" s="213">
        <f>IFERROR(__xludf.DUMMYFUNCTION("""COMPUTED_VALUE"""),1.0)</f>
        <v>1</v>
      </c>
      <c r="N1794" s="213">
        <f>IFERROR(__xludf.DUMMYFUNCTION("""COMPUTED_VALUE"""),1.0)</f>
        <v>1</v>
      </c>
      <c r="O1794" s="213">
        <f>IFERROR(__xludf.DUMMYFUNCTION("""COMPUTED_VALUE"""),1.0)</f>
        <v>1</v>
      </c>
      <c r="P1794" s="213"/>
      <c r="Q1794" s="213"/>
      <c r="R1794" s="213"/>
      <c r="S1794" s="213" t="str">
        <f>IFERROR(__xludf.DUMMYFUNCTION("""COMPUTED_VALUE"""),"SI")</f>
        <v>SI</v>
      </c>
      <c r="T1794" s="213" t="str">
        <f>IFERROR(__xludf.DUMMYFUNCTION("""COMPUTED_VALUE"""),"SI")</f>
        <v>SI</v>
      </c>
      <c r="U1794" s="213" t="str">
        <f>IFERROR(__xludf.DUMMYFUNCTION("""COMPUTED_VALUE"""),"SI")</f>
        <v>SI</v>
      </c>
      <c r="V1794" s="213" t="str">
        <f>IFERROR(__xludf.DUMMYFUNCTION("""COMPUTED_VALUE"""),"-")</f>
        <v>-</v>
      </c>
      <c r="W1794" s="213" t="str">
        <f>IFERROR(__xludf.DUMMYFUNCTION("""COMPUTED_VALUE"""),"-")</f>
        <v>-</v>
      </c>
      <c r="X1794" s="213" t="str">
        <f>IFERROR(__xludf.DUMMYFUNCTION("""COMPUTED_VALUE"""),"Beifang")</f>
        <v>Beifang</v>
      </c>
      <c r="Y1794" s="213" t="str">
        <f>IFERROR(__xludf.DUMMYFUNCTION("""COMPUTED_VALUE"""),"EDUCATIONAL MODULE OF DIESEL ENGINE SYSTEM")</f>
        <v>EDUCATIONAL MODULE OF DIESEL ENGINE SYSTEM</v>
      </c>
      <c r="Z1794" s="215" t="str">
        <f>IFERROR(__xludf.DUMMYFUNCTION("""COMPUTED_VALUE"""),"https://drive.google.com/file/d/15uhOh9fV1PZ6woac35Zpgp2RQaeWya_U/view")</f>
        <v>https://drive.google.com/file/d/15uhOh9fV1PZ6woac35Zpgp2RQaeWya_U/view</v>
      </c>
      <c r="AA1794" s="213" t="str">
        <f>IFERROR(__xludf.DUMMYFUNCTION("""COMPUTED_VALUE"""),"ESP-264 MÓDULO DE SISTEMA EDUCATIVO DE MOTOR DIESEL (ELECTRÓNICO) - CET")</f>
        <v>ESP-264 MÓDULO DE SISTEMA EDUCATIVO DE MOTOR DIESEL (ELECTRÓNICO) - CET</v>
      </c>
      <c r="AB1794" s="215" t="str">
        <f>IFERROR(__xludf.DUMMYFUNCTION("""COMPUTED_VALUE"""),"https://drive.google.com/file/d/15uhOh9fV1PZ6woac35Zpgp2RQaeWya_U/view")</f>
        <v>https://drive.google.com/file/d/15uhOh9fV1PZ6woac35Zpgp2RQaeWya_U/view</v>
      </c>
      <c r="AC1794" s="213"/>
      <c r="AD1794" s="213" t="str">
        <f>IFERROR(__xludf.DUMMYFUNCTION("""COMPUTED_VALUE"""),"CHINA CIVIL PAQ 02")</f>
        <v>CHINA CIVIL PAQ 02</v>
      </c>
      <c r="AE1794" s="213" t="str">
        <f>IFERROR(__xludf.DUMMYFUNCTION("""COMPUTED_VALUE"""),"ME-06")</f>
        <v>ME-06</v>
      </c>
      <c r="AF1794" s="213"/>
      <c r="AG1794" s="213"/>
      <c r="AH1794" s="213" t="str">
        <f>IFERROR(__xludf.DUMMYFUNCTION("""COMPUTED_VALUE"""),"IMPORTADO")</f>
        <v>IMPORTADO</v>
      </c>
      <c r="AI1794" s="213"/>
      <c r="AJ1794" s="213"/>
      <c r="AK1794" s="213"/>
      <c r="AL1794" s="213"/>
      <c r="AM1794" s="213"/>
      <c r="AN1794" s="213"/>
      <c r="AO1794" s="213"/>
      <c r="AP1794" s="213" t="str">
        <f>IFERROR(__xludf.DUMMYFUNCTION("""COMPUTED_VALUE"""),"NALDI")</f>
        <v>NALDI</v>
      </c>
      <c r="AQ1794" s="213"/>
      <c r="AR1794" s="213"/>
      <c r="AS1794" s="213"/>
      <c r="AT1794" s="213"/>
      <c r="AU1794" s="213"/>
      <c r="AV1794" s="213"/>
      <c r="AW1794" s="213"/>
      <c r="AX1794" s="213"/>
      <c r="AY1794" s="213"/>
      <c r="AZ1794" s="213"/>
      <c r="BA1794" s="213"/>
      <c r="BB1794" s="213"/>
      <c r="BC1794" s="213"/>
      <c r="BD1794" s="213"/>
    </row>
    <row r="1795">
      <c r="A1795" s="213">
        <f>IFERROR(__xludf.DUMMYFUNCTION("""COMPUTED_VALUE"""),1598.0)</f>
        <v>1598</v>
      </c>
      <c r="B1795" s="213" t="str">
        <f>IFERROR(__xludf.DUMMYFUNCTION("""COMPUTED_VALUE"""),"GUILLERMO E. BILLINGHURST ")</f>
        <v>GUILLERMO E. BILLINGHURST </v>
      </c>
      <c r="C1795" s="213" t="str">
        <f>IFERROR(__xludf.DUMMYFUNCTION("""COMPUTED_VALUE"""),"TALLER SFT DE MECÁNICA AUTOMOTRIZ")</f>
        <v>TALLER SFT DE MECÁNICA AUTOMOTRIZ</v>
      </c>
      <c r="D1795" s="213" t="str">
        <f>IFERROR(__xludf.DUMMYFUNCTION("""COMPUTED_VALUE"""),"EQUIPOS")</f>
        <v>EQUIPOS</v>
      </c>
      <c r="E1795" s="213" t="str">
        <f>IFERROR(__xludf.DUMMYFUNCTION("""COMPUTED_VALUE"""),"ESP-264")</f>
        <v>ESP-264</v>
      </c>
      <c r="F1795" s="213" t="str">
        <f>IFERROR(__xludf.DUMMYFUNCTION("""COMPUTED_VALUE"""),"ESP-264")</f>
        <v>ESP-264</v>
      </c>
      <c r="G1795" s="213"/>
      <c r="H1795" s="213" t="str">
        <f>IFERROR(__xludf.DUMMYFUNCTION("""COMPUTED_VALUE"""),"MÓDULO DE SISTEMA EDUCATIVO DE MOTOR DIESEL (ELECTRÓNICO)")</f>
        <v>MÓDULO DE SISTEMA EDUCATIVO DE MOTOR DIESEL (ELECTRÓNICO)</v>
      </c>
      <c r="I1795" s="213" t="str">
        <f>IFERROR(__xludf.DUMMYFUNCTION("""COMPUTED_VALUE"""),"· Entrenador de motor diesel, controlado electrónicamente, es un sistema de entrenamiento de motor diesel de inyección directa de combustible controlado.
· Es una unidad educativa con la misma condición de vehículo real para una educación eficiente.
· El "&amp;"sistema operativo, está equipado con componentes, como el: combustible electrónico del motor, sistema de enfriamiento, sistema de admisión, escape, entre otros.
· El entrenador puede hacer que los alumnos comprendan la estructura básica y el principio de "&amp;"funcionamiento del motor diesel, la posición de cada sensor y actuador según los objetos reales del motor y realizar análisis de fallas.
· Al realizar análisis de fallas en el entrenador, los estudiantes podrán realizar diagnósticos de acuerdo al fenómeno"&amp;" de la falla, gracias a los instrumentos del equipo y los que adicionen para su revisión, como el multímetro, entre otros.
· Está equipado con un puerto de detección de datos, se puede conectar una herramienta de exploración, de tipo general.
· Dimensione"&amp;"s aproximadas L 150x A80 x H180 cm.")</f>
        <v>· Entrenador de motor diesel, controlado electrónicamente, es un sistema de entrenamiento de motor diesel de inyección directa de combustible controlado.
· Es una unidad educativa con la misma condición de vehículo real para una educación eficiente.
· El sistema operativo, está equipado con componentes, como el: combustible electrónico del motor, sistema de enfriamiento, sistema de admisión, escape, entre otros.
· El entrenador puede hacer que los alumnos comprendan la estructura básica y el principio de funcionamiento del motor diesel, la posición de cada sensor y actuador según los objetos reales del motor y realizar análisis de fallas.
· Al realizar análisis de fallas en el entrenador, los estudiantes podrán realizar diagnósticos de acuerdo al fenómeno de la falla, gracias a los instrumentos del equipo y los que adicionen para su revisión, como el multímetro, entre otros.
· Está equipado con un puerto de detección de datos, se puede conectar una herramienta de exploración, de tipo general.
· Dimensiones aproximadas L 150x A80 x H180 cm.</v>
      </c>
      <c r="J1795" s="213">
        <f>IFERROR(__xludf.DUMMYFUNCTION("""COMPUTED_VALUE"""),3.0)</f>
        <v>3</v>
      </c>
      <c r="K1795" s="213" t="str">
        <f>IFERROR(__xludf.DUMMYFUNCTION("""COMPUTED_VALUE"""),"170 DÍAS CALENDARIO")</f>
        <v>170 DÍAS CALENDARIO</v>
      </c>
      <c r="L1795" s="213" t="str">
        <f>IFERROR(__xludf.DUMMYFUNCTION("""COMPUTED_VALUE"""),"")</f>
        <v/>
      </c>
      <c r="M1795" s="213">
        <f>IFERROR(__xludf.DUMMYFUNCTION("""COMPUTED_VALUE"""),1.0)</f>
        <v>1</v>
      </c>
      <c r="N1795" s="213">
        <f>IFERROR(__xludf.DUMMYFUNCTION("""COMPUTED_VALUE"""),1.0)</f>
        <v>1</v>
      </c>
      <c r="O1795" s="213">
        <f>IFERROR(__xludf.DUMMYFUNCTION("""COMPUTED_VALUE"""),1.0)</f>
        <v>1</v>
      </c>
      <c r="P1795" s="213"/>
      <c r="Q1795" s="213"/>
      <c r="R1795" s="213"/>
      <c r="S1795" s="213" t="str">
        <f>IFERROR(__xludf.DUMMYFUNCTION("""COMPUTED_VALUE"""),"SI")</f>
        <v>SI</v>
      </c>
      <c r="T1795" s="213" t="str">
        <f>IFERROR(__xludf.DUMMYFUNCTION("""COMPUTED_VALUE"""),"SI")</f>
        <v>SI</v>
      </c>
      <c r="U1795" s="213" t="str">
        <f>IFERROR(__xludf.DUMMYFUNCTION("""COMPUTED_VALUE"""),"SI")</f>
        <v>SI</v>
      </c>
      <c r="V1795" s="213" t="str">
        <f>IFERROR(__xludf.DUMMYFUNCTION("""COMPUTED_VALUE"""),"-")</f>
        <v>-</v>
      </c>
      <c r="W1795" s="213" t="str">
        <f>IFERROR(__xludf.DUMMYFUNCTION("""COMPUTED_VALUE"""),"-")</f>
        <v>-</v>
      </c>
      <c r="X1795" s="213" t="str">
        <f>IFERROR(__xludf.DUMMYFUNCTION("""COMPUTED_VALUE"""),"Beifang")</f>
        <v>Beifang</v>
      </c>
      <c r="Y1795" s="213" t="str">
        <f>IFERROR(__xludf.DUMMYFUNCTION("""COMPUTED_VALUE"""),"EDUCATIONAL MODULE OF DIESEL ENGINE SYSTEM")</f>
        <v>EDUCATIONAL MODULE OF DIESEL ENGINE SYSTEM</v>
      </c>
      <c r="Z1795" s="215" t="str">
        <f>IFERROR(__xludf.DUMMYFUNCTION("""COMPUTED_VALUE"""),"https://drive.google.com/file/d/15uhOh9fV1PZ6woac35Zpgp2RQaeWya_U/view")</f>
        <v>https://drive.google.com/file/d/15uhOh9fV1PZ6woac35Zpgp2RQaeWya_U/view</v>
      </c>
      <c r="AA1795" s="213" t="str">
        <f>IFERROR(__xludf.DUMMYFUNCTION("""COMPUTED_VALUE"""),"ESP-264 MÓDULO DE SISTEMA EDUCATIVO DE MOTOR DIESEL (ELECTRÓNICO) - CET")</f>
        <v>ESP-264 MÓDULO DE SISTEMA EDUCATIVO DE MOTOR DIESEL (ELECTRÓNICO) - CET</v>
      </c>
      <c r="AB1795" s="215" t="str">
        <f>IFERROR(__xludf.DUMMYFUNCTION("""COMPUTED_VALUE"""),"https://drive.google.com/file/d/15uhOh9fV1PZ6woac35Zpgp2RQaeWya_U/view")</f>
        <v>https://drive.google.com/file/d/15uhOh9fV1PZ6woac35Zpgp2RQaeWya_U/view</v>
      </c>
      <c r="AC1795" s="213"/>
      <c r="AD1795" s="213" t="str">
        <f>IFERROR(__xludf.DUMMYFUNCTION("""COMPUTED_VALUE"""),"CHINA CIVIL PAQ 02")</f>
        <v>CHINA CIVIL PAQ 02</v>
      </c>
      <c r="AE1795" s="213" t="str">
        <f>IFERROR(__xludf.DUMMYFUNCTION("""COMPUTED_VALUE"""),"ME-06")</f>
        <v>ME-06</v>
      </c>
      <c r="AF1795" s="213"/>
      <c r="AG1795" s="213"/>
      <c r="AH1795" s="213" t="str">
        <f>IFERROR(__xludf.DUMMYFUNCTION("""COMPUTED_VALUE"""),"IMPORTADO")</f>
        <v>IMPORTADO</v>
      </c>
      <c r="AI1795" s="213"/>
      <c r="AJ1795" s="213"/>
      <c r="AK1795" s="213"/>
      <c r="AL1795" s="213"/>
      <c r="AM1795" s="213"/>
      <c r="AN1795" s="213"/>
      <c r="AO1795" s="213"/>
      <c r="AP1795" s="213" t="str">
        <f>IFERROR(__xludf.DUMMYFUNCTION("""COMPUTED_VALUE"""),"NALDI")</f>
        <v>NALDI</v>
      </c>
      <c r="AQ1795" s="213"/>
      <c r="AR1795" s="213"/>
      <c r="AS1795" s="213"/>
      <c r="AT1795" s="213"/>
      <c r="AU1795" s="213"/>
      <c r="AV1795" s="213"/>
      <c r="AW1795" s="213"/>
      <c r="AX1795" s="213"/>
      <c r="AY1795" s="213"/>
      <c r="AZ1795" s="213"/>
      <c r="BA1795" s="213"/>
      <c r="BB1795" s="213"/>
      <c r="BC1795" s="213"/>
      <c r="BD1795" s="213"/>
    </row>
    <row r="1796">
      <c r="A1796" s="213">
        <f>IFERROR(__xludf.DUMMYFUNCTION("""COMPUTED_VALUE"""),2285.0)</f>
        <v>2285</v>
      </c>
      <c r="B1796" s="213" t="str">
        <f>IFERROR(__xludf.DUMMYFUNCTION("""COMPUTED_VALUE"""),"JOSE GRANDA")</f>
        <v>JOSE GRANDA</v>
      </c>
      <c r="C1796" s="213" t="str">
        <f>IFERROR(__xludf.DUMMYFUNCTION("""COMPUTED_VALUE"""),"TALLER SFT DE MECÁNICA AUTOMOTRIZ")</f>
        <v>TALLER SFT DE MECÁNICA AUTOMOTRIZ</v>
      </c>
      <c r="D1796" s="213" t="str">
        <f>IFERROR(__xludf.DUMMYFUNCTION("""COMPUTED_VALUE"""),"EQUIPOS")</f>
        <v>EQUIPOS</v>
      </c>
      <c r="E1796" s="213" t="str">
        <f>IFERROR(__xludf.DUMMYFUNCTION("""COMPUTED_VALUE"""),"ESP-264")</f>
        <v>ESP-264</v>
      </c>
      <c r="F1796" s="213" t="str">
        <f>IFERROR(__xludf.DUMMYFUNCTION("""COMPUTED_VALUE"""),"ESP-264")</f>
        <v>ESP-264</v>
      </c>
      <c r="G1796" s="213"/>
      <c r="H1796" s="213" t="str">
        <f>IFERROR(__xludf.DUMMYFUNCTION("""COMPUTED_VALUE"""),"MÓDULO DE SISTEMA EDUCATIVO DE MOTOR DIESEL (ELECTRÓNICO)")</f>
        <v>MÓDULO DE SISTEMA EDUCATIVO DE MOTOR DIESEL (ELECTRÓNICO)</v>
      </c>
      <c r="I1796" s="213" t="str">
        <f>IFERROR(__xludf.DUMMYFUNCTION("""COMPUTED_VALUE"""),"· Entrenador de motor diesel, controlado electrónicamente, es un sistema de entrenamiento de motor diesel de inyección directa de combustible controlado.
· Es una unidad educativa con la misma condición de vehículo real para una educación eficiente.
· El "&amp;"sistema operativo, está equipado con componentes, como el: combustible electrónico del motor, sistema de enfriamiento, sistema de admisión, escape, entre otros.
· El entrenador puede hacer que los alumnos comprendan la estructura básica y el principio de "&amp;"funcionamiento del motor diesel, la posición de cada sensor y actuador según los objetos reales del motor y realizar análisis de fallas.
· Al realizar análisis de fallas en el entrenador, los estudiantes podrán realizar diagnósticos de acuerdo al fenómeno"&amp;" de la falla, gracias a los instrumentos del equipo y los que adicionen para su revisión, como el multímetro, entre otros.
· Está equipado con un puerto de detección de datos, se puede conectar una herramienta de exploración, de tipo general.
· Dimensione"&amp;"s aproximadas L 150x A80 x H180 cm.")</f>
        <v>· Entrenador de motor diesel, controlado electrónicamente, es un sistema de entrenamiento de motor diesel de inyección directa de combustible controlado.
· Es una unidad educativa con la misma condición de vehículo real para una educación eficiente.
· El sistema operativo, está equipado con componentes, como el: combustible electrónico del motor, sistema de enfriamiento, sistema de admisión, escape, entre otros.
· El entrenador puede hacer que los alumnos comprendan la estructura básica y el principio de funcionamiento del motor diesel, la posición de cada sensor y actuador según los objetos reales del motor y realizar análisis de fallas.
· Al realizar análisis de fallas en el entrenador, los estudiantes podrán realizar diagnósticos de acuerdo al fenómeno de la falla, gracias a los instrumentos del equipo y los que adicionen para su revisión, como el multímetro, entre otros.
· Está equipado con un puerto de detección de datos, se puede conectar una herramienta de exploración, de tipo general.
· Dimensiones aproximadas L 150x A80 x H180 cm.</v>
      </c>
      <c r="J1796" s="213">
        <f>IFERROR(__xludf.DUMMYFUNCTION("""COMPUTED_VALUE"""),3.0)</f>
        <v>3</v>
      </c>
      <c r="K1796" s="213" t="str">
        <f>IFERROR(__xludf.DUMMYFUNCTION("""COMPUTED_VALUE"""),"170 DÍAS CALENDARIO")</f>
        <v>170 DÍAS CALENDARIO</v>
      </c>
      <c r="L1796" s="213" t="str">
        <f>IFERROR(__xludf.DUMMYFUNCTION("""COMPUTED_VALUE"""),"")</f>
        <v/>
      </c>
      <c r="M1796" s="213">
        <f>IFERROR(__xludf.DUMMYFUNCTION("""COMPUTED_VALUE"""),1.0)</f>
        <v>1</v>
      </c>
      <c r="N1796" s="213">
        <f>IFERROR(__xludf.DUMMYFUNCTION("""COMPUTED_VALUE"""),1.0)</f>
        <v>1</v>
      </c>
      <c r="O1796" s="213">
        <f>IFERROR(__xludf.DUMMYFUNCTION("""COMPUTED_VALUE"""),1.0)</f>
        <v>1</v>
      </c>
      <c r="P1796" s="213"/>
      <c r="Q1796" s="213"/>
      <c r="R1796" s="213"/>
      <c r="S1796" s="213" t="str">
        <f>IFERROR(__xludf.DUMMYFUNCTION("""COMPUTED_VALUE"""),"SI")</f>
        <v>SI</v>
      </c>
      <c r="T1796" s="213" t="str">
        <f>IFERROR(__xludf.DUMMYFUNCTION("""COMPUTED_VALUE"""),"SI")</f>
        <v>SI</v>
      </c>
      <c r="U1796" s="213" t="str">
        <f>IFERROR(__xludf.DUMMYFUNCTION("""COMPUTED_VALUE"""),"SI")</f>
        <v>SI</v>
      </c>
      <c r="V1796" s="213" t="str">
        <f>IFERROR(__xludf.DUMMYFUNCTION("""COMPUTED_VALUE"""),"-")</f>
        <v>-</v>
      </c>
      <c r="W1796" s="213" t="str">
        <f>IFERROR(__xludf.DUMMYFUNCTION("""COMPUTED_VALUE"""),"-")</f>
        <v>-</v>
      </c>
      <c r="X1796" s="213" t="str">
        <f>IFERROR(__xludf.DUMMYFUNCTION("""COMPUTED_VALUE"""),"Beifang")</f>
        <v>Beifang</v>
      </c>
      <c r="Y1796" s="213" t="str">
        <f>IFERROR(__xludf.DUMMYFUNCTION("""COMPUTED_VALUE"""),"EDUCATIONAL MODULE OF DIESEL ENGINE SYSTEM")</f>
        <v>EDUCATIONAL MODULE OF DIESEL ENGINE SYSTEM</v>
      </c>
      <c r="Z1796" s="215" t="str">
        <f>IFERROR(__xludf.DUMMYFUNCTION("""COMPUTED_VALUE"""),"https://drive.google.com/file/d/15uhOh9fV1PZ6woac35Zpgp2RQaeWya_U/view")</f>
        <v>https://drive.google.com/file/d/15uhOh9fV1PZ6woac35Zpgp2RQaeWya_U/view</v>
      </c>
      <c r="AA1796" s="213" t="str">
        <f>IFERROR(__xludf.DUMMYFUNCTION("""COMPUTED_VALUE"""),"ESP-264 MÓDULO DE SISTEMA EDUCATIVO DE MOTOR DIESEL (ELECTRÓNICO) - CET")</f>
        <v>ESP-264 MÓDULO DE SISTEMA EDUCATIVO DE MOTOR DIESEL (ELECTRÓNICO) - CET</v>
      </c>
      <c r="AB1796" s="215" t="str">
        <f>IFERROR(__xludf.DUMMYFUNCTION("""COMPUTED_VALUE"""),"https://drive.google.com/file/d/15uhOh9fV1PZ6woac35Zpgp2RQaeWya_U/view")</f>
        <v>https://drive.google.com/file/d/15uhOh9fV1PZ6woac35Zpgp2RQaeWya_U/view</v>
      </c>
      <c r="AC1796" s="213"/>
      <c r="AD1796" s="213" t="str">
        <f>IFERROR(__xludf.DUMMYFUNCTION("""COMPUTED_VALUE"""),"CHINA CIVIL PAQ 02")</f>
        <v>CHINA CIVIL PAQ 02</v>
      </c>
      <c r="AE1796" s="213" t="str">
        <f>IFERROR(__xludf.DUMMYFUNCTION("""COMPUTED_VALUE"""),"ME-06")</f>
        <v>ME-06</v>
      </c>
      <c r="AF1796" s="213"/>
      <c r="AG1796" s="213"/>
      <c r="AH1796" s="213" t="str">
        <f>IFERROR(__xludf.DUMMYFUNCTION("""COMPUTED_VALUE"""),"IMPORTADO")</f>
        <v>IMPORTADO</v>
      </c>
      <c r="AI1796" s="213"/>
      <c r="AJ1796" s="213"/>
      <c r="AK1796" s="213"/>
      <c r="AL1796" s="213"/>
      <c r="AM1796" s="213"/>
      <c r="AN1796" s="213"/>
      <c r="AO1796" s="213"/>
      <c r="AP1796" s="213" t="str">
        <f>IFERROR(__xludf.DUMMYFUNCTION("""COMPUTED_VALUE"""),"NALDI")</f>
        <v>NALDI</v>
      </c>
      <c r="AQ1796" s="213"/>
      <c r="AR1796" s="213"/>
      <c r="AS1796" s="213"/>
      <c r="AT1796" s="213"/>
      <c r="AU1796" s="213"/>
      <c r="AV1796" s="213"/>
      <c r="AW1796" s="213"/>
      <c r="AX1796" s="213"/>
      <c r="AY1796" s="213"/>
      <c r="AZ1796" s="213"/>
      <c r="BA1796" s="213"/>
      <c r="BB1796" s="213"/>
      <c r="BC1796" s="213"/>
      <c r="BD1796" s="213"/>
    </row>
    <row r="1797">
      <c r="A1797" s="213">
        <f>IFERROR(__xludf.DUMMYFUNCTION("""COMPUTED_VALUE"""),996.0)</f>
        <v>996</v>
      </c>
      <c r="B1797" s="213" t="str">
        <f>IFERROR(__xludf.DUMMYFUNCTION("""COMPUTED_VALUE"""),"FRANCISCO IRAZOLA")</f>
        <v>FRANCISCO IRAZOLA</v>
      </c>
      <c r="C1797" s="213" t="str">
        <f>IFERROR(__xludf.DUMMYFUNCTION("""COMPUTED_VALUE"""),"TALLER SFT DE MECÁNICA AUTOMOTRIZ")</f>
        <v>TALLER SFT DE MECÁNICA AUTOMOTRIZ</v>
      </c>
      <c r="D1797" s="213" t="str">
        <f>IFERROR(__xludf.DUMMYFUNCTION("""COMPUTED_VALUE"""),"EQUIPOS")</f>
        <v>EQUIPOS</v>
      </c>
      <c r="E1797" s="213" t="str">
        <f>IFERROR(__xludf.DUMMYFUNCTION("""COMPUTED_VALUE"""),"ESP-265")</f>
        <v>ESP-265</v>
      </c>
      <c r="F1797" s="213" t="str">
        <f>IFERROR(__xludf.DUMMYFUNCTION("""COMPUTED_VALUE"""),"ESP-265")</f>
        <v>ESP-265</v>
      </c>
      <c r="G1797" s="213"/>
      <c r="H1797" s="213" t="str">
        <f>IFERROR(__xludf.DUMMYFUNCTION("""COMPUTED_VALUE"""),"MÓDULO DE SISTEMA HÍBRIDO ECU HV")</f>
        <v>MÓDULO DE SISTEMA HÍBRIDO ECU HV</v>
      </c>
      <c r="I1797" s="213" t="str">
        <f>IFERROR(__xludf.DUMMYFUNCTION("""COMPUTED_VALUE"""),"· Permite el control de los Moto Generadores MG1 – MG2 con un circuito constituido en su interior  (que toma la tensión de la Batería de alto Voltaje HV (la cual se encuentra en 220 VDC aproximadamente) y mediante un circuito de potencia generar una corri"&amp;"ente alterna en tres fases que permita el movimiento de los motores eléctricos.
· Permite mediante la tensión de la Batería de alto Voltaje HV, generar una corriente alterna en tres fases que es utilizada para mover un motor eléctrico que acciona el mecan"&amp;"ismo del Acondicionador de Aire, puesto que el motor de combustión interna se apaga por momentos aunque el auto siga en movimiento.
· Permite mediante la tensión de la batería de alto voltaje HV, convertir la tensión a 12 V para mantener la carga a una ba"&amp;"tería de 12V que funciona para accesorios, equipos eléctricos y electrónicos y mecanismo convencionales.
· Permite la carga de la batería de alta Tensión mediante los Moto Generadores MG1 y MG2, esto con una electrónica basada en transistores IGBT y recti"&amp;"ficadores controlada por la unidad de control del sistema Hibrido ECU HV.
· Permite el movimiento del Moto Generador 1 -MG1 - en condición de arranque para el motor de combustión interna.
· Dimensiones aproximadas  L 60 x  A40 x H40 cm.")</f>
        <v>· Permite el control de los Moto Generadores MG1 – MG2 con un circuito constituido en su interior  (que toma la tensión de la Batería de alto Voltaje HV (la cual se encuentra en 220 VDC aproximadamente) y mediante un circuito de potencia generar una corriente alterna en tres fases que permita el movimiento de los motores eléctricos.
· Permite mediante la tensión de la Batería de alto Voltaje HV, generar una corriente alterna en tres fases que es utilizada para mover un motor eléctrico que acciona el mecanismo del Acondicionador de Aire, puesto que el motor de combustión interna se apaga por momentos aunque el auto siga en movimiento.
· Permite mediante la tensión de la batería de alto voltaje HV, convertir la tensión a 12 V para mantener la carga a una batería de 12V que funciona para accesorios, equipos eléctricos y electrónicos y mecanismo convencionales.
· Permite la carga de la batería de alta Tensión mediante los Moto Generadores MG1 y MG2, esto con una electrónica basada en transistores IGBT y rectificadores controlada por la unidad de control del sistema Hibrido ECU HV.
· Permite el movimiento del Moto Generador 1 -MG1 - en condición de arranque para el motor de combustión interna.
· Dimensiones aproximadas  L 60 x  A40 x H40 cm.</v>
      </c>
      <c r="J1797" s="213">
        <f>IFERROR(__xludf.DUMMYFUNCTION("""COMPUTED_VALUE"""),3.0)</f>
        <v>3</v>
      </c>
      <c r="K1797" s="213" t="str">
        <f>IFERROR(__xludf.DUMMYFUNCTION("""COMPUTED_VALUE"""),"170 DÍAS CALENDARIO")</f>
        <v>170 DÍAS CALENDARIO</v>
      </c>
      <c r="L1797" s="213" t="str">
        <f>IFERROR(__xludf.DUMMYFUNCTION("""COMPUTED_VALUE"""),"")</f>
        <v/>
      </c>
      <c r="M1797" s="213">
        <f>IFERROR(__xludf.DUMMYFUNCTION("""COMPUTED_VALUE"""),1.0)</f>
        <v>1</v>
      </c>
      <c r="N1797" s="213">
        <f>IFERROR(__xludf.DUMMYFUNCTION("""COMPUTED_VALUE"""),1.0)</f>
        <v>1</v>
      </c>
      <c r="O1797" s="213">
        <f>IFERROR(__xludf.DUMMYFUNCTION("""COMPUTED_VALUE"""),1.0)</f>
        <v>1</v>
      </c>
      <c r="P1797" s="213"/>
      <c r="Q1797" s="213"/>
      <c r="R1797" s="213"/>
      <c r="S1797" s="213" t="str">
        <f>IFERROR(__xludf.DUMMYFUNCTION("""COMPUTED_VALUE"""),"SI")</f>
        <v>SI</v>
      </c>
      <c r="T1797" s="213" t="str">
        <f>IFERROR(__xludf.DUMMYFUNCTION("""COMPUTED_VALUE"""),"SI")</f>
        <v>SI</v>
      </c>
      <c r="U1797" s="213" t="str">
        <f>IFERROR(__xludf.DUMMYFUNCTION("""COMPUTED_VALUE"""),"NO")</f>
        <v>NO</v>
      </c>
      <c r="V1797" s="213" t="str">
        <f>IFERROR(__xludf.DUMMYFUNCTION("""COMPUTED_VALUE"""),"SUPERA")</f>
        <v>SUPERA</v>
      </c>
      <c r="W1797" s="213" t="str">
        <f>IFERROR(__xludf.DUMMYFUNCTION("""COMPUTED_VALUE"""),"EQU TEC")</f>
        <v>EQU TEC</v>
      </c>
      <c r="X1797" s="213" t="str">
        <f>IFERROR(__xludf.DUMMYFUNCTION("""COMPUTED_VALUE"""),"Beifang")</f>
        <v>Beifang</v>
      </c>
      <c r="Y1797" s="213" t="str">
        <f>IFERROR(__xludf.DUMMYFUNCTION("""COMPUTED_VALUE"""),"HV ECU HYBRID SYSTEM MODULE")</f>
        <v>HV ECU HYBRID SYSTEM MODULE</v>
      </c>
      <c r="Z1797" s="215" t="str">
        <f>IFERROR(__xludf.DUMMYFUNCTION("""COMPUTED_VALUE"""),"https://drive.google.com/file/d/12poicxbxDCjQS1AHgrbLwI0LW7NDnRWf/view?usp=sharing")</f>
        <v>https://drive.google.com/file/d/12poicxbxDCjQS1AHgrbLwI0LW7NDnRWf/view?usp=sharing</v>
      </c>
      <c r="AA1797" s="213" t="str">
        <f>IFERROR(__xludf.DUMMYFUNCTION("""COMPUTED_VALUE"""),"ESP-265 - MÓDULO DE SISTEMA HÍBRIDO ECU HV - CET")</f>
        <v>ESP-265 - MÓDULO DE SISTEMA HÍBRIDO ECU HV - CET</v>
      </c>
      <c r="AB1797" s="215" t="str">
        <f>IFERROR(__xludf.DUMMYFUNCTION("""COMPUTED_VALUE"""),"https://drive.google.com/file/d/12poicxbxDCjQS1AHgrbLwI0LW7NDnRWf/view?usp=sharing")</f>
        <v>https://drive.google.com/file/d/12poicxbxDCjQS1AHgrbLwI0LW7NDnRWf/view?usp=sharing</v>
      </c>
      <c r="AC1797" s="213"/>
      <c r="AD1797" s="213" t="str">
        <f>IFERROR(__xludf.DUMMYFUNCTION("""COMPUTED_VALUE"""),"CHINA CIVIL PAQ 02")</f>
        <v>CHINA CIVIL PAQ 02</v>
      </c>
      <c r="AE1797" s="213" t="str">
        <f>IFERROR(__xludf.DUMMYFUNCTION("""COMPUTED_VALUE"""),"ME-12")</f>
        <v>ME-12</v>
      </c>
      <c r="AF1797" s="213"/>
      <c r="AG1797" s="213"/>
      <c r="AH1797" s="213" t="str">
        <f>IFERROR(__xludf.DUMMYFUNCTION("""COMPUTED_VALUE"""),"IMPORTADO")</f>
        <v>IMPORTADO</v>
      </c>
      <c r="AI1797" s="213"/>
      <c r="AJ1797" s="213"/>
      <c r="AK1797" s="213"/>
      <c r="AL1797" s="213"/>
      <c r="AM1797" s="213"/>
      <c r="AN1797" s="213"/>
      <c r="AO1797" s="213"/>
      <c r="AP1797" s="213" t="str">
        <f>IFERROR(__xludf.DUMMYFUNCTION("""COMPUTED_VALUE"""),"NALDI")</f>
        <v>NALDI</v>
      </c>
      <c r="AQ1797" s="213"/>
      <c r="AR1797" s="213"/>
      <c r="AS1797" s="213"/>
      <c r="AT1797" s="213"/>
      <c r="AU1797" s="213"/>
      <c r="AV1797" s="213"/>
      <c r="AW1797" s="213"/>
      <c r="AX1797" s="213"/>
      <c r="AY1797" s="213"/>
      <c r="AZ1797" s="213"/>
      <c r="BA1797" s="213"/>
      <c r="BB1797" s="213"/>
      <c r="BC1797" s="213"/>
      <c r="BD1797" s="213"/>
    </row>
    <row r="1798">
      <c r="A1798" s="213">
        <f>IFERROR(__xludf.DUMMYFUNCTION("""COMPUTED_VALUE"""),1601.0)</f>
        <v>1601</v>
      </c>
      <c r="B1798" s="213" t="str">
        <f>IFERROR(__xludf.DUMMYFUNCTION("""COMPUTED_VALUE"""),"GUILLERMO E. BILLINGHURST ")</f>
        <v>GUILLERMO E. BILLINGHURST </v>
      </c>
      <c r="C1798" s="213" t="str">
        <f>IFERROR(__xludf.DUMMYFUNCTION("""COMPUTED_VALUE"""),"TALLER SFT DE MECÁNICA AUTOMOTRIZ")</f>
        <v>TALLER SFT DE MECÁNICA AUTOMOTRIZ</v>
      </c>
      <c r="D1798" s="213" t="str">
        <f>IFERROR(__xludf.DUMMYFUNCTION("""COMPUTED_VALUE"""),"EQUIPOS")</f>
        <v>EQUIPOS</v>
      </c>
      <c r="E1798" s="213" t="str">
        <f>IFERROR(__xludf.DUMMYFUNCTION("""COMPUTED_VALUE"""),"ESP-265")</f>
        <v>ESP-265</v>
      </c>
      <c r="F1798" s="213" t="str">
        <f>IFERROR(__xludf.DUMMYFUNCTION("""COMPUTED_VALUE"""),"ESP-265")</f>
        <v>ESP-265</v>
      </c>
      <c r="G1798" s="213"/>
      <c r="H1798" s="213" t="str">
        <f>IFERROR(__xludf.DUMMYFUNCTION("""COMPUTED_VALUE"""),"MÓDULO DE SISTEMA HÍBRIDO ECU HV")</f>
        <v>MÓDULO DE SISTEMA HÍBRIDO ECU HV</v>
      </c>
      <c r="I1798" s="213" t="str">
        <f>IFERROR(__xludf.DUMMYFUNCTION("""COMPUTED_VALUE"""),"· Permite el control de los Moto Generadores MG1 – MG2 con un circuito constituido en su interior  (que toma la tensión de la Batería de alto Voltaje HV (la cual se encuentra en 220 VDC aproximadamente) y mediante un circuito de potencia generar una corri"&amp;"ente alterna en tres fases que permita el movimiento de los motores eléctricos.
· Permite mediante la tensión de la Batería de alto Voltaje HV, generar una corriente alterna en tres fases que es utilizada para mover un motor eléctrico que acciona el mecan"&amp;"ismo del Acondicionador de Aire, puesto que el motor de combustión interna se apaga por momentos aunque el auto siga en movimiento.
· Permite mediante la tensión de la batería de alto voltaje HV, convertir la tensión a 12 V para mantener la carga a una ba"&amp;"tería de 12V que funciona para accesorios, equipos eléctricos y electrónicos y mecanismo convencionales.
· Permite la carga de la batería de alta Tensión mediante los Moto Generadores MG1 y MG2, esto con una electrónica basada en transistores IGBT y recti"&amp;"ficadores controlada por la unidad de control del sistema Hibrido ECU HV.
· Permite el movimiento del Moto Generador 1 -MG1 - en condición de arranque para el motor de combustión interna.
· Dimensiones aproximadas  L 60 x  A40 x H40 cm.")</f>
        <v>· Permite el control de los Moto Generadores MG1 – MG2 con un circuito constituido en su interior  (que toma la tensión de la Batería de alto Voltaje HV (la cual se encuentra en 220 VDC aproximadamente) y mediante un circuito de potencia generar una corriente alterna en tres fases que permita el movimiento de los motores eléctricos.
· Permite mediante la tensión de la Batería de alto Voltaje HV, generar una corriente alterna en tres fases que es utilizada para mover un motor eléctrico que acciona el mecanismo del Acondicionador de Aire, puesto que el motor de combustión interna se apaga por momentos aunque el auto siga en movimiento.
· Permite mediante la tensión de la batería de alto voltaje HV, convertir la tensión a 12 V para mantener la carga a una batería de 12V que funciona para accesorios, equipos eléctricos y electrónicos y mecanismo convencionales.
· Permite la carga de la batería de alta Tensión mediante los Moto Generadores MG1 y MG2, esto con una electrónica basada en transistores IGBT y rectificadores controlada por la unidad de control del sistema Hibrido ECU HV.
· Permite el movimiento del Moto Generador 1 -MG1 - en condición de arranque para el motor de combustión interna.
· Dimensiones aproximadas  L 60 x  A40 x H40 cm.</v>
      </c>
      <c r="J1798" s="213">
        <f>IFERROR(__xludf.DUMMYFUNCTION("""COMPUTED_VALUE"""),3.0)</f>
        <v>3</v>
      </c>
      <c r="K1798" s="213" t="str">
        <f>IFERROR(__xludf.DUMMYFUNCTION("""COMPUTED_VALUE"""),"170 DÍAS CALENDARIO")</f>
        <v>170 DÍAS CALENDARIO</v>
      </c>
      <c r="L1798" s="213" t="str">
        <f>IFERROR(__xludf.DUMMYFUNCTION("""COMPUTED_VALUE"""),"")</f>
        <v/>
      </c>
      <c r="M1798" s="213">
        <f>IFERROR(__xludf.DUMMYFUNCTION("""COMPUTED_VALUE"""),1.0)</f>
        <v>1</v>
      </c>
      <c r="N1798" s="213">
        <f>IFERROR(__xludf.DUMMYFUNCTION("""COMPUTED_VALUE"""),1.0)</f>
        <v>1</v>
      </c>
      <c r="O1798" s="213">
        <f>IFERROR(__xludf.DUMMYFUNCTION("""COMPUTED_VALUE"""),1.0)</f>
        <v>1</v>
      </c>
      <c r="P1798" s="213"/>
      <c r="Q1798" s="213"/>
      <c r="R1798" s="213"/>
      <c r="S1798" s="213" t="str">
        <f>IFERROR(__xludf.DUMMYFUNCTION("""COMPUTED_VALUE"""),"SI")</f>
        <v>SI</v>
      </c>
      <c r="T1798" s="213" t="str">
        <f>IFERROR(__xludf.DUMMYFUNCTION("""COMPUTED_VALUE"""),"SI")</f>
        <v>SI</v>
      </c>
      <c r="U1798" s="213" t="str">
        <f>IFERROR(__xludf.DUMMYFUNCTION("""COMPUTED_VALUE"""),"NO")</f>
        <v>NO</v>
      </c>
      <c r="V1798" s="213" t="str">
        <f>IFERROR(__xludf.DUMMYFUNCTION("""COMPUTED_VALUE"""),"SUPERA")</f>
        <v>SUPERA</v>
      </c>
      <c r="W1798" s="213" t="str">
        <f>IFERROR(__xludf.DUMMYFUNCTION("""COMPUTED_VALUE"""),"EQU TEC")</f>
        <v>EQU TEC</v>
      </c>
      <c r="X1798" s="213" t="str">
        <f>IFERROR(__xludf.DUMMYFUNCTION("""COMPUTED_VALUE"""),"Beifang")</f>
        <v>Beifang</v>
      </c>
      <c r="Y1798" s="213" t="str">
        <f>IFERROR(__xludf.DUMMYFUNCTION("""COMPUTED_VALUE"""),"HV ECU HYBRID SYSTEM MODULE")</f>
        <v>HV ECU HYBRID SYSTEM MODULE</v>
      </c>
      <c r="Z1798" s="215" t="str">
        <f>IFERROR(__xludf.DUMMYFUNCTION("""COMPUTED_VALUE"""),"https://drive.google.com/file/d/12poicxbxDCjQS1AHgrbLwI0LW7NDnRWf/view?usp=sharing")</f>
        <v>https://drive.google.com/file/d/12poicxbxDCjQS1AHgrbLwI0LW7NDnRWf/view?usp=sharing</v>
      </c>
      <c r="AA1798" s="213" t="str">
        <f>IFERROR(__xludf.DUMMYFUNCTION("""COMPUTED_VALUE"""),"ESP-265 - MÓDULO DE SISTEMA HÍBRIDO ECU HV - CET")</f>
        <v>ESP-265 - MÓDULO DE SISTEMA HÍBRIDO ECU HV - CET</v>
      </c>
      <c r="AB1798" s="215" t="str">
        <f>IFERROR(__xludf.DUMMYFUNCTION("""COMPUTED_VALUE"""),"https://drive.google.com/file/d/12poicxbxDCjQS1AHgrbLwI0LW7NDnRWf/view?usp=sharing")</f>
        <v>https://drive.google.com/file/d/12poicxbxDCjQS1AHgrbLwI0LW7NDnRWf/view?usp=sharing</v>
      </c>
      <c r="AC1798" s="213"/>
      <c r="AD1798" s="213" t="str">
        <f>IFERROR(__xludf.DUMMYFUNCTION("""COMPUTED_VALUE"""),"CHINA CIVIL PAQ 02")</f>
        <v>CHINA CIVIL PAQ 02</v>
      </c>
      <c r="AE1798" s="213" t="str">
        <f>IFERROR(__xludf.DUMMYFUNCTION("""COMPUTED_VALUE"""),"ME-12")</f>
        <v>ME-12</v>
      </c>
      <c r="AF1798" s="213"/>
      <c r="AG1798" s="213"/>
      <c r="AH1798" s="213" t="str">
        <f>IFERROR(__xludf.DUMMYFUNCTION("""COMPUTED_VALUE"""),"IMPORTADO")</f>
        <v>IMPORTADO</v>
      </c>
      <c r="AI1798" s="213"/>
      <c r="AJ1798" s="213"/>
      <c r="AK1798" s="213"/>
      <c r="AL1798" s="213"/>
      <c r="AM1798" s="213"/>
      <c r="AN1798" s="213"/>
      <c r="AO1798" s="213"/>
      <c r="AP1798" s="213" t="str">
        <f>IFERROR(__xludf.DUMMYFUNCTION("""COMPUTED_VALUE"""),"NALDI")</f>
        <v>NALDI</v>
      </c>
      <c r="AQ1798" s="213"/>
      <c r="AR1798" s="213"/>
      <c r="AS1798" s="213"/>
      <c r="AT1798" s="213"/>
      <c r="AU1798" s="213"/>
      <c r="AV1798" s="213"/>
      <c r="AW1798" s="213"/>
      <c r="AX1798" s="213"/>
      <c r="AY1798" s="213"/>
      <c r="AZ1798" s="213"/>
      <c r="BA1798" s="213"/>
      <c r="BB1798" s="213"/>
      <c r="BC1798" s="213"/>
      <c r="BD1798" s="213"/>
    </row>
    <row r="1799">
      <c r="A1799" s="213">
        <f>IFERROR(__xludf.DUMMYFUNCTION("""COMPUTED_VALUE"""),2288.0)</f>
        <v>2288</v>
      </c>
      <c r="B1799" s="213" t="str">
        <f>IFERROR(__xludf.DUMMYFUNCTION("""COMPUTED_VALUE"""),"JOSE GRANDA")</f>
        <v>JOSE GRANDA</v>
      </c>
      <c r="C1799" s="213" t="str">
        <f>IFERROR(__xludf.DUMMYFUNCTION("""COMPUTED_VALUE"""),"TALLER SFT DE MECÁNICA AUTOMOTRIZ")</f>
        <v>TALLER SFT DE MECÁNICA AUTOMOTRIZ</v>
      </c>
      <c r="D1799" s="213" t="str">
        <f>IFERROR(__xludf.DUMMYFUNCTION("""COMPUTED_VALUE"""),"EQUIPOS")</f>
        <v>EQUIPOS</v>
      </c>
      <c r="E1799" s="213" t="str">
        <f>IFERROR(__xludf.DUMMYFUNCTION("""COMPUTED_VALUE"""),"ESP-265")</f>
        <v>ESP-265</v>
      </c>
      <c r="F1799" s="213" t="str">
        <f>IFERROR(__xludf.DUMMYFUNCTION("""COMPUTED_VALUE"""),"ESP-265")</f>
        <v>ESP-265</v>
      </c>
      <c r="G1799" s="213"/>
      <c r="H1799" s="213" t="str">
        <f>IFERROR(__xludf.DUMMYFUNCTION("""COMPUTED_VALUE"""),"MÓDULO DE SISTEMA HÍBRIDO ECU HV")</f>
        <v>MÓDULO DE SISTEMA HÍBRIDO ECU HV</v>
      </c>
      <c r="I1799" s="213" t="str">
        <f>IFERROR(__xludf.DUMMYFUNCTION("""COMPUTED_VALUE"""),"· Permite el control de los Moto Generadores MG1 – MG2 con un circuito constituido en su interior  (que toma la tensión de la Batería de alto Voltaje HV (la cual se encuentra en 220 VDC aproximadamente) y mediante un circuito de potencia generar una corri"&amp;"ente alterna en tres fases que permita el movimiento de los motores eléctricos.
· Permite mediante la tensión de la Batería de alto Voltaje HV, generar una corriente alterna en tres fases que es utilizada para mover un motor eléctrico que acciona el mecan"&amp;"ismo del Acondicionador de Aire, puesto que el motor de combustión interna se apaga por momentos aunque el auto siga en movimiento.
· Permite mediante la tensión de la batería de alto voltaje HV, convertir la tensión a 12 V para mantener la carga a una ba"&amp;"tería de 12V que funciona para accesorios, equipos eléctricos y electrónicos y mecanismo convencionales.
· Permite la carga de la batería de alta Tensión mediante los Moto Generadores MG1 y MG2, esto con una electrónica basada en transistores IGBT y recti"&amp;"ficadores controlada por la unidad de control del sistema Hibrido ECU HV.
· Permite el movimiento del Moto Generador 1 -MG1 - en condición de arranque para el motor de combustión interna.
· Dimensiones aproximadas  L 60 x  A40 x H40 cm.")</f>
        <v>· Permite el control de los Moto Generadores MG1 – MG2 con un circuito constituido en su interior  (que toma la tensión de la Batería de alto Voltaje HV (la cual se encuentra en 220 VDC aproximadamente) y mediante un circuito de potencia generar una corriente alterna en tres fases que permita el movimiento de los motores eléctricos.
· Permite mediante la tensión de la Batería de alto Voltaje HV, generar una corriente alterna en tres fases que es utilizada para mover un motor eléctrico que acciona el mecanismo del Acondicionador de Aire, puesto que el motor de combustión interna se apaga por momentos aunque el auto siga en movimiento.
· Permite mediante la tensión de la batería de alto voltaje HV, convertir la tensión a 12 V para mantener la carga a una batería de 12V que funciona para accesorios, equipos eléctricos y electrónicos y mecanismo convencionales.
· Permite la carga de la batería de alta Tensión mediante los Moto Generadores MG1 y MG2, esto con una electrónica basada en transistores IGBT y rectificadores controlada por la unidad de control del sistema Hibrido ECU HV.
· Permite el movimiento del Moto Generador 1 -MG1 - en condición de arranque para el motor de combustión interna.
· Dimensiones aproximadas  L 60 x  A40 x H40 cm.</v>
      </c>
      <c r="J1799" s="213">
        <f>IFERROR(__xludf.DUMMYFUNCTION("""COMPUTED_VALUE"""),3.0)</f>
        <v>3</v>
      </c>
      <c r="K1799" s="213" t="str">
        <f>IFERROR(__xludf.DUMMYFUNCTION("""COMPUTED_VALUE"""),"170 DÍAS CALENDARIO")</f>
        <v>170 DÍAS CALENDARIO</v>
      </c>
      <c r="L1799" s="213" t="str">
        <f>IFERROR(__xludf.DUMMYFUNCTION("""COMPUTED_VALUE"""),"")</f>
        <v/>
      </c>
      <c r="M1799" s="213">
        <f>IFERROR(__xludf.DUMMYFUNCTION("""COMPUTED_VALUE"""),1.0)</f>
        <v>1</v>
      </c>
      <c r="N1799" s="213">
        <f>IFERROR(__xludf.DUMMYFUNCTION("""COMPUTED_VALUE"""),1.0)</f>
        <v>1</v>
      </c>
      <c r="O1799" s="213">
        <f>IFERROR(__xludf.DUMMYFUNCTION("""COMPUTED_VALUE"""),1.0)</f>
        <v>1</v>
      </c>
      <c r="P1799" s="213"/>
      <c r="Q1799" s="213"/>
      <c r="R1799" s="213"/>
      <c r="S1799" s="213" t="str">
        <f>IFERROR(__xludf.DUMMYFUNCTION("""COMPUTED_VALUE"""),"SI")</f>
        <v>SI</v>
      </c>
      <c r="T1799" s="213" t="str">
        <f>IFERROR(__xludf.DUMMYFUNCTION("""COMPUTED_VALUE"""),"SI")</f>
        <v>SI</v>
      </c>
      <c r="U1799" s="213" t="str">
        <f>IFERROR(__xludf.DUMMYFUNCTION("""COMPUTED_VALUE"""),"NO")</f>
        <v>NO</v>
      </c>
      <c r="V1799" s="213" t="str">
        <f>IFERROR(__xludf.DUMMYFUNCTION("""COMPUTED_VALUE"""),"SUPERA")</f>
        <v>SUPERA</v>
      </c>
      <c r="W1799" s="213" t="str">
        <f>IFERROR(__xludf.DUMMYFUNCTION("""COMPUTED_VALUE"""),"EQU TEC")</f>
        <v>EQU TEC</v>
      </c>
      <c r="X1799" s="213" t="str">
        <f>IFERROR(__xludf.DUMMYFUNCTION("""COMPUTED_VALUE"""),"Beifang")</f>
        <v>Beifang</v>
      </c>
      <c r="Y1799" s="213" t="str">
        <f>IFERROR(__xludf.DUMMYFUNCTION("""COMPUTED_VALUE"""),"HV ECU HYBRID SYSTEM MODULE")</f>
        <v>HV ECU HYBRID SYSTEM MODULE</v>
      </c>
      <c r="Z1799" s="215" t="str">
        <f>IFERROR(__xludf.DUMMYFUNCTION("""COMPUTED_VALUE"""),"https://drive.google.com/file/d/12poicxbxDCjQS1AHgrbLwI0LW7NDnRWf/view?usp=sharing")</f>
        <v>https://drive.google.com/file/d/12poicxbxDCjQS1AHgrbLwI0LW7NDnRWf/view?usp=sharing</v>
      </c>
      <c r="AA1799" s="213" t="str">
        <f>IFERROR(__xludf.DUMMYFUNCTION("""COMPUTED_VALUE"""),"ESP-265 - MÓDULO DE SISTEMA HÍBRIDO ECU HV - CET")</f>
        <v>ESP-265 - MÓDULO DE SISTEMA HÍBRIDO ECU HV - CET</v>
      </c>
      <c r="AB1799" s="215" t="str">
        <f>IFERROR(__xludf.DUMMYFUNCTION("""COMPUTED_VALUE"""),"https://drive.google.com/file/d/12poicxbxDCjQS1AHgrbLwI0LW7NDnRWf/view?usp=sharing")</f>
        <v>https://drive.google.com/file/d/12poicxbxDCjQS1AHgrbLwI0LW7NDnRWf/view?usp=sharing</v>
      </c>
      <c r="AC1799" s="213"/>
      <c r="AD1799" s="213" t="str">
        <f>IFERROR(__xludf.DUMMYFUNCTION("""COMPUTED_VALUE"""),"CHINA CIVIL PAQ 02")</f>
        <v>CHINA CIVIL PAQ 02</v>
      </c>
      <c r="AE1799" s="213" t="str">
        <f>IFERROR(__xludf.DUMMYFUNCTION("""COMPUTED_VALUE"""),"ME-12")</f>
        <v>ME-12</v>
      </c>
      <c r="AF1799" s="213"/>
      <c r="AG1799" s="213"/>
      <c r="AH1799" s="213" t="str">
        <f>IFERROR(__xludf.DUMMYFUNCTION("""COMPUTED_VALUE"""),"IMPORTADO")</f>
        <v>IMPORTADO</v>
      </c>
      <c r="AI1799" s="213"/>
      <c r="AJ1799" s="213"/>
      <c r="AK1799" s="213"/>
      <c r="AL1799" s="213"/>
      <c r="AM1799" s="213"/>
      <c r="AN1799" s="213"/>
      <c r="AO1799" s="213"/>
      <c r="AP1799" s="213" t="str">
        <f>IFERROR(__xludf.DUMMYFUNCTION("""COMPUTED_VALUE"""),"NALDI")</f>
        <v>NALDI</v>
      </c>
      <c r="AQ1799" s="213"/>
      <c r="AR1799" s="213"/>
      <c r="AS1799" s="213"/>
      <c r="AT1799" s="213"/>
      <c r="AU1799" s="213"/>
      <c r="AV1799" s="213"/>
      <c r="AW1799" s="213"/>
      <c r="AX1799" s="213"/>
      <c r="AY1799" s="213"/>
      <c r="AZ1799" s="213"/>
      <c r="BA1799" s="213"/>
      <c r="BB1799" s="213"/>
      <c r="BC1799" s="213"/>
      <c r="BD1799" s="213"/>
    </row>
    <row r="1800">
      <c r="A1800" s="213">
        <f>IFERROR(__xludf.DUMMYFUNCTION("""COMPUTED_VALUE"""),995.0)</f>
        <v>995</v>
      </c>
      <c r="B1800" s="213" t="str">
        <f>IFERROR(__xludf.DUMMYFUNCTION("""COMPUTED_VALUE"""),"FRANCISCO IRAZOLA")</f>
        <v>FRANCISCO IRAZOLA</v>
      </c>
      <c r="C1800" s="213" t="str">
        <f>IFERROR(__xludf.DUMMYFUNCTION("""COMPUTED_VALUE"""),"TALLER SFT DE MECÁNICA AUTOMOTRIZ")</f>
        <v>TALLER SFT DE MECÁNICA AUTOMOTRIZ</v>
      </c>
      <c r="D1800" s="213" t="str">
        <f>IFERROR(__xludf.DUMMYFUNCTION("""COMPUTED_VALUE"""),"EQUIPOS")</f>
        <v>EQUIPOS</v>
      </c>
      <c r="E1800" s="213" t="str">
        <f>IFERROR(__xludf.DUMMYFUNCTION("""COMPUTED_VALUE"""),"ESP-266")</f>
        <v>ESP-266</v>
      </c>
      <c r="F1800" s="213" t="str">
        <f>IFERROR(__xludf.DUMMYFUNCTION("""COMPUTED_VALUE"""),"ESP-266")</f>
        <v>ESP-266</v>
      </c>
      <c r="G1800" s="213"/>
      <c r="H1800" s="213" t="str">
        <f>IFERROR(__xludf.DUMMYFUNCTION("""COMPUTED_VALUE"""),"MÓDULO EDUCATIVO DE MONTAJE Y DESMONTAJE DE MOTOR DE GASOLINA")</f>
        <v>MÓDULO EDUCATIVO DE MONTAJE Y DESMONTAJE DE MOTOR DE GASOLINA</v>
      </c>
      <c r="I1800" s="213" t="str">
        <f>IFERROR(__xludf.DUMMYFUNCTION("""COMPUTED_VALUE"""),"· El entrenador está diseñado para que los estudiantes entiendan la estructura interna y el principio del motor a gasolina, así como desarrollar las habilidades básicas de reparación del motor, incluido el montaje, desmontaje, limpieza, entre otros.
· El "&amp;"conjunto del motor de gasolina, está provisto de un soporte rotativo conectado por medio de tornillos, posee una bandeja instalada en la base inferior, para evitar que las herramientas, componentes, aceite, caiga al suelo.
· En la actividad de desmontaje "&amp;"y montaje, el motor de gasolina puede girar sobre su base 360 grados y detenerse en cualquier ángulo, lo que hace que la operación sea fácil, segura y confiable.
· Dimensiones aproximadas L 100 x A70 x H70 cm.")</f>
        <v>· El entrenador está diseñado para que los estudiantes entiendan la estructura interna y el principio del motor a gasolina, así como desarrollar las habilidades básicas de reparación del motor, incluido el montaje, desmontaje, limpieza, entre otros.
· El conjunto del motor de gasolina, está provisto de un soporte rotativo conectado por medio de tornillos, posee una bandeja instalada en la base inferior, para evitar que las herramientas, componentes, aceite, caiga al suelo.
· En la actividad de desmontaje y montaje, el motor de gasolina puede girar sobre su base 360 grados y detenerse en cualquier ángulo, lo que hace que la operación sea fácil, segura y confiable.
· Dimensiones aproximadas L 100 x A70 x H70 cm.</v>
      </c>
      <c r="J1800" s="213">
        <f>IFERROR(__xludf.DUMMYFUNCTION("""COMPUTED_VALUE"""),3.0)</f>
        <v>3</v>
      </c>
      <c r="K1800" s="213" t="str">
        <f>IFERROR(__xludf.DUMMYFUNCTION("""COMPUTED_VALUE"""),"170 DÍAS CALENDARIO")</f>
        <v>170 DÍAS CALENDARIO</v>
      </c>
      <c r="L1800" s="213" t="str">
        <f>IFERROR(__xludf.DUMMYFUNCTION("""COMPUTED_VALUE"""),"")</f>
        <v/>
      </c>
      <c r="M1800" s="213">
        <f>IFERROR(__xludf.DUMMYFUNCTION("""COMPUTED_VALUE"""),1.0)</f>
        <v>1</v>
      </c>
      <c r="N1800" s="213">
        <f>IFERROR(__xludf.DUMMYFUNCTION("""COMPUTED_VALUE"""),1.0)</f>
        <v>1</v>
      </c>
      <c r="O1800" s="213">
        <f>IFERROR(__xludf.DUMMYFUNCTION("""COMPUTED_VALUE"""),1.0)</f>
        <v>1</v>
      </c>
      <c r="P1800" s="213"/>
      <c r="Q1800" s="213"/>
      <c r="R1800" s="213"/>
      <c r="S1800" s="213" t="str">
        <f>IFERROR(__xludf.DUMMYFUNCTION("""COMPUTED_VALUE"""),"SI")</f>
        <v>SI</v>
      </c>
      <c r="T1800" s="213" t="str">
        <f>IFERROR(__xludf.DUMMYFUNCTION("""COMPUTED_VALUE"""),"SI")</f>
        <v>SI</v>
      </c>
      <c r="U1800" s="213" t="str">
        <f>IFERROR(__xludf.DUMMYFUNCTION("""COMPUTED_VALUE"""),"SI")</f>
        <v>SI</v>
      </c>
      <c r="V1800" s="213" t="str">
        <f>IFERROR(__xludf.DUMMYFUNCTION("""COMPUTED_VALUE"""),"-")</f>
        <v>-</v>
      </c>
      <c r="W1800" s="213" t="str">
        <f>IFERROR(__xludf.DUMMYFUNCTION("""COMPUTED_VALUE"""),"-")</f>
        <v>-</v>
      </c>
      <c r="X1800" s="213" t="str">
        <f>IFERROR(__xludf.DUMMYFUNCTION("""COMPUTED_VALUE"""),"GTEE")</f>
        <v>GTEE</v>
      </c>
      <c r="Y1800" s="213" t="str">
        <f>IFERROR(__xludf.DUMMYFUNCTION("""COMPUTED_VALUE"""),"GTAT-1007  Gasoline engine disassembling trainer")</f>
        <v>GTAT-1007  Gasoline engine disassembling trainer</v>
      </c>
      <c r="Z1800" s="215" t="str">
        <f>IFERROR(__xludf.DUMMYFUNCTION("""COMPUTED_VALUE"""),"https://www.alibaba.com/product-detail/Vocational-Training-Equipment-Engine-Trainer-Gasoline_1574225789.html")</f>
        <v>https://www.alibaba.com/product-detail/Vocational-Training-Equipment-Engine-Trainer-Gasoline_1574225789.html</v>
      </c>
      <c r="AA1800" s="213" t="str">
        <f>IFERROR(__xludf.DUMMYFUNCTION("""COMPUTED_VALUE"""),"ESP-266 MÓDULO EDUCATIVO DE MONTAJE Y DESMONTAJE DE MOTOR DE GASOLINA - CET")</f>
        <v>ESP-266 MÓDULO EDUCATIVO DE MONTAJE Y DESMONTAJE DE MOTOR DE GASOLINA - CET</v>
      </c>
      <c r="AB1800" s="215" t="str">
        <f>IFERROR(__xludf.DUMMYFUNCTION("""COMPUTED_VALUE"""),"https://drive.google.com/file/d/15uoDMq2x0uZo2fUA_BRz3zlCIBwXplbf/view")</f>
        <v>https://drive.google.com/file/d/15uoDMq2x0uZo2fUA_BRz3zlCIBwXplbf/view</v>
      </c>
      <c r="AC1800" s="213"/>
      <c r="AD1800" s="213" t="str">
        <f>IFERROR(__xludf.DUMMYFUNCTION("""COMPUTED_VALUE"""),"CHINA CIVIL PAQ 02	")</f>
        <v>CHINA CIVIL PAQ 02	</v>
      </c>
      <c r="AE1800" s="213" t="str">
        <f>IFERROR(__xludf.DUMMYFUNCTION("""COMPUTED_VALUE"""),"ME-04")</f>
        <v>ME-04</v>
      </c>
      <c r="AF1800" s="213"/>
      <c r="AG1800" s="213"/>
      <c r="AH1800" s="213" t="str">
        <f>IFERROR(__xludf.DUMMYFUNCTION("""COMPUTED_VALUE"""),"IMPORTADO")</f>
        <v>IMPORTADO</v>
      </c>
      <c r="AI1800" s="213"/>
      <c r="AJ1800" s="213"/>
      <c r="AK1800" s="213"/>
      <c r="AL1800" s="213"/>
      <c r="AM1800" s="213"/>
      <c r="AN1800" s="213"/>
      <c r="AO1800" s="213"/>
      <c r="AP1800" s="213" t="str">
        <f>IFERROR(__xludf.DUMMYFUNCTION("""COMPUTED_VALUE"""),"NALDI")</f>
        <v>NALDI</v>
      </c>
      <c r="AQ1800" s="213" t="str">
        <f>IFERROR(__xludf.DUMMYFUNCTION("""COMPUTED_VALUE"""),"MÓDULO DE MONTAJE Y DESMONTAJE DE MOTOR DE GASOLINA- Beifang")</f>
        <v>MÓDULO DE MONTAJE Y DESMONTAJE DE MOTOR DE GASOLINA- Beifang</v>
      </c>
      <c r="AR1800" s="213"/>
      <c r="AS1800" s="213"/>
      <c r="AT1800" s="213"/>
      <c r="AU1800" s="213"/>
      <c r="AV1800" s="213"/>
      <c r="AW1800" s="213"/>
      <c r="AX1800" s="213"/>
      <c r="AY1800" s="213"/>
      <c r="AZ1800" s="213"/>
      <c r="BA1800" s="213"/>
      <c r="BB1800" s="213"/>
      <c r="BC1800" s="213"/>
      <c r="BD1800" s="213"/>
    </row>
    <row r="1801">
      <c r="A1801" s="213">
        <f>IFERROR(__xludf.DUMMYFUNCTION("""COMPUTED_VALUE"""),1600.0)</f>
        <v>1600</v>
      </c>
      <c r="B1801" s="213" t="str">
        <f>IFERROR(__xludf.DUMMYFUNCTION("""COMPUTED_VALUE"""),"GUILLERMO E. BILLINGHURST ")</f>
        <v>GUILLERMO E. BILLINGHURST </v>
      </c>
      <c r="C1801" s="213" t="str">
        <f>IFERROR(__xludf.DUMMYFUNCTION("""COMPUTED_VALUE"""),"TALLER SFT DE MECÁNICA AUTOMOTRIZ")</f>
        <v>TALLER SFT DE MECÁNICA AUTOMOTRIZ</v>
      </c>
      <c r="D1801" s="213" t="str">
        <f>IFERROR(__xludf.DUMMYFUNCTION("""COMPUTED_VALUE"""),"EQUIPOS")</f>
        <v>EQUIPOS</v>
      </c>
      <c r="E1801" s="213" t="str">
        <f>IFERROR(__xludf.DUMMYFUNCTION("""COMPUTED_VALUE"""),"ESP-266")</f>
        <v>ESP-266</v>
      </c>
      <c r="F1801" s="213" t="str">
        <f>IFERROR(__xludf.DUMMYFUNCTION("""COMPUTED_VALUE"""),"ESP-266")</f>
        <v>ESP-266</v>
      </c>
      <c r="G1801" s="213"/>
      <c r="H1801" s="213" t="str">
        <f>IFERROR(__xludf.DUMMYFUNCTION("""COMPUTED_VALUE"""),"MÓDULO EDUCATIVO DE MONTAJE Y DESMONTAJE DE MOTOR DE GASOLINA")</f>
        <v>MÓDULO EDUCATIVO DE MONTAJE Y DESMONTAJE DE MOTOR DE GASOLINA</v>
      </c>
      <c r="I1801" s="213" t="str">
        <f>IFERROR(__xludf.DUMMYFUNCTION("""COMPUTED_VALUE"""),"· El entrenador está diseñado para que los estudiantes entiendan la estructura interna y el principio del motor a gasolina, así como desarrollar las habilidades básicas de reparación del motor, incluido el montaje, desmontaje, limpieza, entre otros.
· El "&amp;"conjunto del motor de gasolina, está provisto de un soporte rotativo conectado por medio de tornillos, posee una bandeja instalada en la base inferior, para evitar que las herramientas, componentes, aceite, caiga al suelo.
· En la actividad de desmontaje "&amp;"y montaje, el motor de gasolina puede girar sobre su base 360 grados y detenerse en cualquier ángulo, lo que hace que la operación sea fácil, segura y confiable.
· Dimensiones aproximadas L 100 x A70 x H70 cm.")</f>
        <v>· El entrenador está diseñado para que los estudiantes entiendan la estructura interna y el principio del motor a gasolina, así como desarrollar las habilidades básicas de reparación del motor, incluido el montaje, desmontaje, limpieza, entre otros.
· El conjunto del motor de gasolina, está provisto de un soporte rotativo conectado por medio de tornillos, posee una bandeja instalada en la base inferior, para evitar que las herramientas, componentes, aceite, caiga al suelo.
· En la actividad de desmontaje y montaje, el motor de gasolina puede girar sobre su base 360 grados y detenerse en cualquier ángulo, lo que hace que la operación sea fácil, segura y confiable.
· Dimensiones aproximadas L 100 x A70 x H70 cm.</v>
      </c>
      <c r="J1801" s="213">
        <f>IFERROR(__xludf.DUMMYFUNCTION("""COMPUTED_VALUE"""),3.0)</f>
        <v>3</v>
      </c>
      <c r="K1801" s="213" t="str">
        <f>IFERROR(__xludf.DUMMYFUNCTION("""COMPUTED_VALUE"""),"170 DÍAS CALENDARIO")</f>
        <v>170 DÍAS CALENDARIO</v>
      </c>
      <c r="L1801" s="213" t="str">
        <f>IFERROR(__xludf.DUMMYFUNCTION("""COMPUTED_VALUE"""),"")</f>
        <v/>
      </c>
      <c r="M1801" s="213">
        <f>IFERROR(__xludf.DUMMYFUNCTION("""COMPUTED_VALUE"""),1.0)</f>
        <v>1</v>
      </c>
      <c r="N1801" s="213">
        <f>IFERROR(__xludf.DUMMYFUNCTION("""COMPUTED_VALUE"""),1.0)</f>
        <v>1</v>
      </c>
      <c r="O1801" s="213">
        <f>IFERROR(__xludf.DUMMYFUNCTION("""COMPUTED_VALUE"""),1.0)</f>
        <v>1</v>
      </c>
      <c r="P1801" s="213"/>
      <c r="Q1801" s="213"/>
      <c r="R1801" s="213"/>
      <c r="S1801" s="213" t="str">
        <f>IFERROR(__xludf.DUMMYFUNCTION("""COMPUTED_VALUE"""),"SI")</f>
        <v>SI</v>
      </c>
      <c r="T1801" s="213" t="str">
        <f>IFERROR(__xludf.DUMMYFUNCTION("""COMPUTED_VALUE"""),"SI")</f>
        <v>SI</v>
      </c>
      <c r="U1801" s="213" t="str">
        <f>IFERROR(__xludf.DUMMYFUNCTION("""COMPUTED_VALUE"""),"SI")</f>
        <v>SI</v>
      </c>
      <c r="V1801" s="213" t="str">
        <f>IFERROR(__xludf.DUMMYFUNCTION("""COMPUTED_VALUE"""),"-")</f>
        <v>-</v>
      </c>
      <c r="W1801" s="213" t="str">
        <f>IFERROR(__xludf.DUMMYFUNCTION("""COMPUTED_VALUE"""),"-")</f>
        <v>-</v>
      </c>
      <c r="X1801" s="213" t="str">
        <f>IFERROR(__xludf.DUMMYFUNCTION("""COMPUTED_VALUE"""),"GTEE")</f>
        <v>GTEE</v>
      </c>
      <c r="Y1801" s="213" t="str">
        <f>IFERROR(__xludf.DUMMYFUNCTION("""COMPUTED_VALUE"""),"GTAT-1007  Gasoline engine disassembling trainer")</f>
        <v>GTAT-1007  Gasoline engine disassembling trainer</v>
      </c>
      <c r="Z1801" s="215" t="str">
        <f>IFERROR(__xludf.DUMMYFUNCTION("""COMPUTED_VALUE"""),"https://www.alibaba.com/product-detail/Vocational-Training-Equipment-Engine-Trainer-Gasoline_1574225789.html")</f>
        <v>https://www.alibaba.com/product-detail/Vocational-Training-Equipment-Engine-Trainer-Gasoline_1574225789.html</v>
      </c>
      <c r="AA1801" s="213" t="str">
        <f>IFERROR(__xludf.DUMMYFUNCTION("""COMPUTED_VALUE"""),"ESP-266 MÓDULO EDUCATIVO DE MONTAJE Y DESMONTAJE DE MOTOR DE GASOLINA - CET")</f>
        <v>ESP-266 MÓDULO EDUCATIVO DE MONTAJE Y DESMONTAJE DE MOTOR DE GASOLINA - CET</v>
      </c>
      <c r="AB1801" s="215" t="str">
        <f>IFERROR(__xludf.DUMMYFUNCTION("""COMPUTED_VALUE"""),"https://drive.google.com/file/d/15uoDMq2x0uZo2fUA_BRz3zlCIBwXplbf/view")</f>
        <v>https://drive.google.com/file/d/15uoDMq2x0uZo2fUA_BRz3zlCIBwXplbf/view</v>
      </c>
      <c r="AC1801" s="213"/>
      <c r="AD1801" s="213" t="str">
        <f>IFERROR(__xludf.DUMMYFUNCTION("""COMPUTED_VALUE"""),"CHINA CIVIL PAQ 02	")</f>
        <v>CHINA CIVIL PAQ 02	</v>
      </c>
      <c r="AE1801" s="213" t="str">
        <f>IFERROR(__xludf.DUMMYFUNCTION("""COMPUTED_VALUE"""),"ME-04")</f>
        <v>ME-04</v>
      </c>
      <c r="AF1801" s="213"/>
      <c r="AG1801" s="213"/>
      <c r="AH1801" s="213" t="str">
        <f>IFERROR(__xludf.DUMMYFUNCTION("""COMPUTED_VALUE"""),"IMPORTADO")</f>
        <v>IMPORTADO</v>
      </c>
      <c r="AI1801" s="213"/>
      <c r="AJ1801" s="213"/>
      <c r="AK1801" s="213"/>
      <c r="AL1801" s="213"/>
      <c r="AM1801" s="213"/>
      <c r="AN1801" s="213"/>
      <c r="AO1801" s="213"/>
      <c r="AP1801" s="213" t="str">
        <f>IFERROR(__xludf.DUMMYFUNCTION("""COMPUTED_VALUE"""),"NALDI")</f>
        <v>NALDI</v>
      </c>
      <c r="AQ1801" s="213" t="str">
        <f>IFERROR(__xludf.DUMMYFUNCTION("""COMPUTED_VALUE"""),"MÓDULO DE MONTAJE Y DESMONTAJE DE MOTOR DE GASOLINA- Beifang")</f>
        <v>MÓDULO DE MONTAJE Y DESMONTAJE DE MOTOR DE GASOLINA- Beifang</v>
      </c>
      <c r="AR1801" s="213"/>
      <c r="AS1801" s="213"/>
      <c r="AT1801" s="213"/>
      <c r="AU1801" s="213"/>
      <c r="AV1801" s="213"/>
      <c r="AW1801" s="213"/>
      <c r="AX1801" s="213"/>
      <c r="AY1801" s="213"/>
      <c r="AZ1801" s="213"/>
      <c r="BA1801" s="213"/>
      <c r="BB1801" s="213"/>
      <c r="BC1801" s="213"/>
      <c r="BD1801" s="213"/>
    </row>
    <row r="1802">
      <c r="A1802" s="213">
        <f>IFERROR(__xludf.DUMMYFUNCTION("""COMPUTED_VALUE"""),2287.0)</f>
        <v>2287</v>
      </c>
      <c r="B1802" s="213" t="str">
        <f>IFERROR(__xludf.DUMMYFUNCTION("""COMPUTED_VALUE"""),"JOSE GRANDA")</f>
        <v>JOSE GRANDA</v>
      </c>
      <c r="C1802" s="213" t="str">
        <f>IFERROR(__xludf.DUMMYFUNCTION("""COMPUTED_VALUE"""),"TALLER SFT DE MECÁNICA AUTOMOTRIZ")</f>
        <v>TALLER SFT DE MECÁNICA AUTOMOTRIZ</v>
      </c>
      <c r="D1802" s="213" t="str">
        <f>IFERROR(__xludf.DUMMYFUNCTION("""COMPUTED_VALUE"""),"EQUIPOS")</f>
        <v>EQUIPOS</v>
      </c>
      <c r="E1802" s="213" t="str">
        <f>IFERROR(__xludf.DUMMYFUNCTION("""COMPUTED_VALUE"""),"ESP-266")</f>
        <v>ESP-266</v>
      </c>
      <c r="F1802" s="213" t="str">
        <f>IFERROR(__xludf.DUMMYFUNCTION("""COMPUTED_VALUE"""),"ESP-266")</f>
        <v>ESP-266</v>
      </c>
      <c r="G1802" s="213"/>
      <c r="H1802" s="213" t="str">
        <f>IFERROR(__xludf.DUMMYFUNCTION("""COMPUTED_VALUE"""),"MÓDULO EDUCATIVO DE MONTAJE Y DESMONTAJE DE MOTOR DE GASOLINA")</f>
        <v>MÓDULO EDUCATIVO DE MONTAJE Y DESMONTAJE DE MOTOR DE GASOLINA</v>
      </c>
      <c r="I1802" s="213" t="str">
        <f>IFERROR(__xludf.DUMMYFUNCTION("""COMPUTED_VALUE"""),"· El entrenador está diseñado para que los estudiantes entiendan la estructura interna y el principio del motor a gasolina, así como desarrollar las habilidades básicas de reparación del motor, incluido el montaje, desmontaje, limpieza, entre otros.
· El "&amp;"conjunto del motor de gasolina, está provisto de un soporte rotativo conectado por medio de tornillos, posee una bandeja instalada en la base inferior, para evitar que las herramientas, componentes, aceite, caiga al suelo.
· En la actividad de desmontaje "&amp;"y montaje, el motor de gasolina puede girar sobre su base 360 grados y detenerse en cualquier ángulo, lo que hace que la operación sea fácil, segura y confiable.
· Dimensiones aproximadas L 100 x A70 x H70 cm.")</f>
        <v>· El entrenador está diseñado para que los estudiantes entiendan la estructura interna y el principio del motor a gasolina, así como desarrollar las habilidades básicas de reparación del motor, incluido el montaje, desmontaje, limpieza, entre otros.
· El conjunto del motor de gasolina, está provisto de un soporte rotativo conectado por medio de tornillos, posee una bandeja instalada en la base inferior, para evitar que las herramientas, componentes, aceite, caiga al suelo.
· En la actividad de desmontaje y montaje, el motor de gasolina puede girar sobre su base 360 grados y detenerse en cualquier ángulo, lo que hace que la operación sea fácil, segura y confiable.
· Dimensiones aproximadas L 100 x A70 x H70 cm.</v>
      </c>
      <c r="J1802" s="213">
        <f>IFERROR(__xludf.DUMMYFUNCTION("""COMPUTED_VALUE"""),3.0)</f>
        <v>3</v>
      </c>
      <c r="K1802" s="213" t="str">
        <f>IFERROR(__xludf.DUMMYFUNCTION("""COMPUTED_VALUE"""),"170 DÍAS CALENDARIO")</f>
        <v>170 DÍAS CALENDARIO</v>
      </c>
      <c r="L1802" s="213" t="str">
        <f>IFERROR(__xludf.DUMMYFUNCTION("""COMPUTED_VALUE"""),"")</f>
        <v/>
      </c>
      <c r="M1802" s="213">
        <f>IFERROR(__xludf.DUMMYFUNCTION("""COMPUTED_VALUE"""),1.0)</f>
        <v>1</v>
      </c>
      <c r="N1802" s="213">
        <f>IFERROR(__xludf.DUMMYFUNCTION("""COMPUTED_VALUE"""),1.0)</f>
        <v>1</v>
      </c>
      <c r="O1802" s="213">
        <f>IFERROR(__xludf.DUMMYFUNCTION("""COMPUTED_VALUE"""),1.0)</f>
        <v>1</v>
      </c>
      <c r="P1802" s="213"/>
      <c r="Q1802" s="213"/>
      <c r="R1802" s="213"/>
      <c r="S1802" s="213" t="str">
        <f>IFERROR(__xludf.DUMMYFUNCTION("""COMPUTED_VALUE"""),"SI")</f>
        <v>SI</v>
      </c>
      <c r="T1802" s="213" t="str">
        <f>IFERROR(__xludf.DUMMYFUNCTION("""COMPUTED_VALUE"""),"SI")</f>
        <v>SI</v>
      </c>
      <c r="U1802" s="213" t="str">
        <f>IFERROR(__xludf.DUMMYFUNCTION("""COMPUTED_VALUE"""),"SI")</f>
        <v>SI</v>
      </c>
      <c r="V1802" s="213" t="str">
        <f>IFERROR(__xludf.DUMMYFUNCTION("""COMPUTED_VALUE"""),"-")</f>
        <v>-</v>
      </c>
      <c r="W1802" s="213" t="str">
        <f>IFERROR(__xludf.DUMMYFUNCTION("""COMPUTED_VALUE"""),"-")</f>
        <v>-</v>
      </c>
      <c r="X1802" s="213" t="str">
        <f>IFERROR(__xludf.DUMMYFUNCTION("""COMPUTED_VALUE"""),"GTEE")</f>
        <v>GTEE</v>
      </c>
      <c r="Y1802" s="213" t="str">
        <f>IFERROR(__xludf.DUMMYFUNCTION("""COMPUTED_VALUE"""),"GTAT-1007  Gasoline engine disassembling trainer")</f>
        <v>GTAT-1007  Gasoline engine disassembling trainer</v>
      </c>
      <c r="Z1802" s="215" t="str">
        <f>IFERROR(__xludf.DUMMYFUNCTION("""COMPUTED_VALUE"""),"https://www.alibaba.com/product-detail/Vocational-Training-Equipment-Engine-Trainer-Gasoline_1574225789.html")</f>
        <v>https://www.alibaba.com/product-detail/Vocational-Training-Equipment-Engine-Trainer-Gasoline_1574225789.html</v>
      </c>
      <c r="AA1802" s="213" t="str">
        <f>IFERROR(__xludf.DUMMYFUNCTION("""COMPUTED_VALUE"""),"ESP-266 MÓDULO EDUCATIVO DE MONTAJE Y DESMONTAJE DE MOTOR DE GASOLINA - CET")</f>
        <v>ESP-266 MÓDULO EDUCATIVO DE MONTAJE Y DESMONTAJE DE MOTOR DE GASOLINA - CET</v>
      </c>
      <c r="AB1802" s="215" t="str">
        <f>IFERROR(__xludf.DUMMYFUNCTION("""COMPUTED_VALUE"""),"https://drive.google.com/file/d/15uoDMq2x0uZo2fUA_BRz3zlCIBwXplbf/view")</f>
        <v>https://drive.google.com/file/d/15uoDMq2x0uZo2fUA_BRz3zlCIBwXplbf/view</v>
      </c>
      <c r="AC1802" s="213"/>
      <c r="AD1802" s="213" t="str">
        <f>IFERROR(__xludf.DUMMYFUNCTION("""COMPUTED_VALUE"""),"CHINA CIVIL PAQ 02	")</f>
        <v>CHINA CIVIL PAQ 02	</v>
      </c>
      <c r="AE1802" s="213" t="str">
        <f>IFERROR(__xludf.DUMMYFUNCTION("""COMPUTED_VALUE"""),"ME-04")</f>
        <v>ME-04</v>
      </c>
      <c r="AF1802" s="213"/>
      <c r="AG1802" s="213"/>
      <c r="AH1802" s="213" t="str">
        <f>IFERROR(__xludf.DUMMYFUNCTION("""COMPUTED_VALUE"""),"IMPORTADO")</f>
        <v>IMPORTADO</v>
      </c>
      <c r="AI1802" s="213"/>
      <c r="AJ1802" s="213"/>
      <c r="AK1802" s="213"/>
      <c r="AL1802" s="213"/>
      <c r="AM1802" s="213"/>
      <c r="AN1802" s="213"/>
      <c r="AO1802" s="213"/>
      <c r="AP1802" s="213" t="str">
        <f>IFERROR(__xludf.DUMMYFUNCTION("""COMPUTED_VALUE"""),"NALDI")</f>
        <v>NALDI</v>
      </c>
      <c r="AQ1802" s="213" t="str">
        <f>IFERROR(__xludf.DUMMYFUNCTION("""COMPUTED_VALUE"""),"MÓDULO DE MONTAJE Y DESMONTAJE DE MOTOR DE GASOLINA- Beifang")</f>
        <v>MÓDULO DE MONTAJE Y DESMONTAJE DE MOTOR DE GASOLINA- Beifang</v>
      </c>
      <c r="AR1802" s="213"/>
      <c r="AS1802" s="213"/>
      <c r="AT1802" s="213"/>
      <c r="AU1802" s="213"/>
      <c r="AV1802" s="213"/>
      <c r="AW1802" s="213"/>
      <c r="AX1802" s="213"/>
      <c r="AY1802" s="213"/>
      <c r="AZ1802" s="213"/>
      <c r="BA1802" s="213"/>
      <c r="BB1802" s="213"/>
      <c r="BC1802" s="213"/>
      <c r="BD1802" s="213"/>
    </row>
    <row r="1803">
      <c r="A1803" s="213">
        <f>IFERROR(__xludf.DUMMYFUNCTION("""COMPUTED_VALUE"""),992.0)</f>
        <v>992</v>
      </c>
      <c r="B1803" s="213" t="str">
        <f>IFERROR(__xludf.DUMMYFUNCTION("""COMPUTED_VALUE"""),"FRANCISCO IRAZOLA")</f>
        <v>FRANCISCO IRAZOLA</v>
      </c>
      <c r="C1803" s="213" t="str">
        <f>IFERROR(__xludf.DUMMYFUNCTION("""COMPUTED_VALUE"""),"TALLER SFT DE MECÁNICA AUTOMOTRIZ")</f>
        <v>TALLER SFT DE MECÁNICA AUTOMOTRIZ</v>
      </c>
      <c r="D1803" s="213" t="str">
        <f>IFERROR(__xludf.DUMMYFUNCTION("""COMPUTED_VALUE"""),"EQUIPOS")</f>
        <v>EQUIPOS</v>
      </c>
      <c r="E1803" s="213" t="str">
        <f>IFERROR(__xludf.DUMMYFUNCTION("""COMPUTED_VALUE"""),"ESP-267")</f>
        <v>ESP-267</v>
      </c>
      <c r="F1803" s="213" t="str">
        <f>IFERROR(__xludf.DUMMYFUNCTION("""COMPUTED_VALUE"""),"ESP-267")</f>
        <v>ESP-267</v>
      </c>
      <c r="G1803" s="213"/>
      <c r="H1803" s="213" t="str">
        <f>IFERROR(__xludf.DUMMYFUNCTION("""COMPUTED_VALUE"""),"MÓDULO EDUCATIVO DE SIMULACIÓN DE MOTOR DE GASOLINA (ENTRENADOR EDUCATIVO DE
MOTOR DE GASOLINA CON INYECCIÓN ELECTRÓNICA)")</f>
        <v>MÓDULO EDUCATIVO DE SIMULACIÓN DE MOTOR DE GASOLINA (ENTRENADOR EDUCATIVO DE
MOTOR DE GASOLINA CON INYECCIÓN ELECTRÓNICA)</v>
      </c>
      <c r="I1803" s="213" t="str">
        <f>IFERROR(__xludf.DUMMYFUNCTION("""COMPUTED_VALUE"""),"· Entrenador de motor de gasolina con inyección electrónica de combustible, es una unidad educativa con la misma condición de un vehículo real para una educación eficiente.
· Es un conjunto de motor, compuesto por: Bomba de combustible, inyectores, módulo"&amp;" de encendido, sensor Hall, bobina de encendido, bujía, interruptor de encendido, sensor de temperatura, batería de almacenamiento, entre otros.
· El entrenador puede hacer que los alumnos comprendan la estructura básica y el principio de funcionamiento d"&amp;"el motor con inyección electrónica, la posición de cada sensor y actuador según los objetos reales del motor, y realizar análisis de fallas.
· Los terminales de diagnóstico para el circuito se montan en el panel, como los terminales de diagnóstico a la EC"&amp;"U, medir con un multímetro, un osciloscopio y otras herramientas de diagnóstico, datos de  parámetros, tales como: Voltaje, resistencia, forma de onda, entre otros.
· Está equipado con un puerto de detección de datos, se puede conectar una herramienta de "&amp;"exploración, de tipo general.
· Dimensiones aproximadas L 90 x A60 x H180 cm.")</f>
        <v>· Entrenador de motor de gasolina con inyección electrónica de combustible, es una unidad educativa con la misma condición de un vehículo real para una educación eficiente.
· Es un conjunto de motor, compuesto por: Bomba de combustible, inyectores, módulo de encendido, sensor Hall, bobina de encendido, bujía, interruptor de encendido, sensor de temperatura, batería de almacenamiento, entre otros.
· El entrenador puede hacer que los alumnos comprendan la estructura básica y el principio de funcionamiento del motor con inyección electrónica, la posición de cada sensor y actuador según los objetos reales del motor, y realizar análisis de fallas.
· Los terminales de diagnóstico para el circuito se montan en el panel, como los terminales de diagnóstico a la ECU, medir con un multímetro, un osciloscopio y otras herramientas de diagnóstico, datos de  parámetros, tales como: Voltaje, resistencia, forma de onda, entre otros.
· Está equipado con un puerto de detección de datos, se puede conectar una herramienta de exploración, de tipo general.
· Dimensiones aproximadas L 90 x A60 x H180 cm.</v>
      </c>
      <c r="J1803" s="213">
        <f>IFERROR(__xludf.DUMMYFUNCTION("""COMPUTED_VALUE"""),3.0)</f>
        <v>3</v>
      </c>
      <c r="K1803" s="213" t="str">
        <f>IFERROR(__xludf.DUMMYFUNCTION("""COMPUTED_VALUE"""),"170 DÍAS CALENDARIO")</f>
        <v>170 DÍAS CALENDARIO</v>
      </c>
      <c r="L1803" s="213" t="str">
        <f>IFERROR(__xludf.DUMMYFUNCTION("""COMPUTED_VALUE"""),"")</f>
        <v/>
      </c>
      <c r="M1803" s="213">
        <f>IFERROR(__xludf.DUMMYFUNCTION("""COMPUTED_VALUE"""),1.0)</f>
        <v>1</v>
      </c>
      <c r="N1803" s="213">
        <f>IFERROR(__xludf.DUMMYFUNCTION("""COMPUTED_VALUE"""),1.0)</f>
        <v>1</v>
      </c>
      <c r="O1803" s="213">
        <f>IFERROR(__xludf.DUMMYFUNCTION("""COMPUTED_VALUE"""),1.0)</f>
        <v>1</v>
      </c>
      <c r="P1803" s="213"/>
      <c r="Q1803" s="213"/>
      <c r="R1803" s="213"/>
      <c r="S1803" s="213" t="str">
        <f>IFERROR(__xludf.DUMMYFUNCTION("""COMPUTED_VALUE"""),"SI")</f>
        <v>SI</v>
      </c>
      <c r="T1803" s="213" t="str">
        <f>IFERROR(__xludf.DUMMYFUNCTION("""COMPUTED_VALUE"""),"SI")</f>
        <v>SI</v>
      </c>
      <c r="U1803" s="213" t="str">
        <f>IFERROR(__xludf.DUMMYFUNCTION("""COMPUTED_VALUE"""),"NO")</f>
        <v>NO</v>
      </c>
      <c r="V1803" s="213" t="str">
        <f>IFERROR(__xludf.DUMMYFUNCTION("""COMPUTED_VALUE"""),"SUSTENTO")</f>
        <v>SUSTENTO</v>
      </c>
      <c r="W1803" s="213" t="str">
        <f>IFERROR(__xludf.DUMMYFUNCTION("""COMPUTED_VALUE"""),"DIMENSIONAL")</f>
        <v>DIMENSIONAL</v>
      </c>
      <c r="X1803" s="213" t="str">
        <f>IFERROR(__xludf.DUMMYFUNCTION("""COMPUTED_VALUE"""),"Beifang")</f>
        <v>Beifang</v>
      </c>
      <c r="Y1803" s="213" t="str">
        <f>IFERROR(__xludf.DUMMYFUNCTION("""COMPUTED_VALUE"""),"MODULE FOR EDUCATIONAL SIMULATION OF GASOLINE ENGINE")</f>
        <v>MODULE FOR EDUCATIONAL SIMULATION OF GASOLINE ENGINE</v>
      </c>
      <c r="Z1803" s="215" t="str">
        <f>IFERROR(__xludf.DUMMYFUNCTION("""COMPUTED_VALUE"""),"https://spanish.alibaba.com/product-detail/Gasoline-Engine-Simulator-Educational-Module-Didactic-11000024944641.html")</f>
        <v>https://spanish.alibaba.com/product-detail/Gasoline-Engine-Simulator-Educational-Module-Didactic-11000024944641.html</v>
      </c>
      <c r="AA1803" s="213" t="str">
        <f>IFERROR(__xludf.DUMMYFUNCTION("""COMPUTED_VALUE"""),"ESP-267  MÓDULO EDUCATIVO DE SIMULACIÓN DE MOTOR DE GASOLINA - CET")</f>
        <v>ESP-267  MÓDULO EDUCATIVO DE SIMULACIÓN DE MOTOR DE GASOLINA - CET</v>
      </c>
      <c r="AB1803" s="215" t="str">
        <f>IFERROR(__xludf.DUMMYFUNCTION("""COMPUTED_VALUE"""),"https://drive.google.com/file/d/1DhWM8XGd772efWC028Oto8sR3zp811AB/view")</f>
        <v>https://drive.google.com/file/d/1DhWM8XGd772efWC028Oto8sR3zp811AB/view</v>
      </c>
      <c r="AC1803" s="213"/>
      <c r="AD1803" s="213" t="str">
        <f>IFERROR(__xludf.DUMMYFUNCTION("""COMPUTED_VALUE"""),"CHINA CIVIL PAQ 02	")</f>
        <v>CHINA CIVIL PAQ 02	</v>
      </c>
      <c r="AE1803" s="213" t="str">
        <f>IFERROR(__xludf.DUMMYFUNCTION("""COMPUTED_VALUE"""),"ME-03")</f>
        <v>ME-03</v>
      </c>
      <c r="AF1803" s="213"/>
      <c r="AG1803" s="213"/>
      <c r="AH1803" s="213" t="str">
        <f>IFERROR(__xludf.DUMMYFUNCTION("""COMPUTED_VALUE"""),"IMPORTADO")</f>
        <v>IMPORTADO</v>
      </c>
      <c r="AI1803" s="213"/>
      <c r="AJ1803" s="213"/>
      <c r="AK1803" s="213"/>
      <c r="AL1803" s="213"/>
      <c r="AM1803" s="213"/>
      <c r="AN1803" s="213"/>
      <c r="AO1803" s="213"/>
      <c r="AP1803" s="213" t="str">
        <f>IFERROR(__xludf.DUMMYFUNCTION("""COMPUTED_VALUE"""),"NALDI")</f>
        <v>NALDI</v>
      </c>
      <c r="AQ1803" s="213"/>
      <c r="AR1803" s="213"/>
      <c r="AS1803" s="213"/>
      <c r="AT1803" s="213"/>
      <c r="AU1803" s="213"/>
      <c r="AV1803" s="213"/>
      <c r="AW1803" s="213"/>
      <c r="AX1803" s="213"/>
      <c r="AY1803" s="213"/>
      <c r="AZ1803" s="213"/>
      <c r="BA1803" s="213"/>
      <c r="BB1803" s="213"/>
      <c r="BC1803" s="213"/>
      <c r="BD1803" s="213"/>
    </row>
    <row r="1804">
      <c r="A1804" s="213">
        <f>IFERROR(__xludf.DUMMYFUNCTION("""COMPUTED_VALUE"""),1597.0)</f>
        <v>1597</v>
      </c>
      <c r="B1804" s="213" t="str">
        <f>IFERROR(__xludf.DUMMYFUNCTION("""COMPUTED_VALUE"""),"GUILLERMO E. BILLINGHURST ")</f>
        <v>GUILLERMO E. BILLINGHURST </v>
      </c>
      <c r="C1804" s="213" t="str">
        <f>IFERROR(__xludf.DUMMYFUNCTION("""COMPUTED_VALUE"""),"TALLER SFT DE MECÁNICA AUTOMOTRIZ")</f>
        <v>TALLER SFT DE MECÁNICA AUTOMOTRIZ</v>
      </c>
      <c r="D1804" s="213" t="str">
        <f>IFERROR(__xludf.DUMMYFUNCTION("""COMPUTED_VALUE"""),"EQUIPOS")</f>
        <v>EQUIPOS</v>
      </c>
      <c r="E1804" s="213" t="str">
        <f>IFERROR(__xludf.DUMMYFUNCTION("""COMPUTED_VALUE"""),"ESP-267")</f>
        <v>ESP-267</v>
      </c>
      <c r="F1804" s="213" t="str">
        <f>IFERROR(__xludf.DUMMYFUNCTION("""COMPUTED_VALUE"""),"ESP-267")</f>
        <v>ESP-267</v>
      </c>
      <c r="G1804" s="213"/>
      <c r="H1804" s="213" t="str">
        <f>IFERROR(__xludf.DUMMYFUNCTION("""COMPUTED_VALUE"""),"MÓDULO EDUCATIVO DE SIMULACIÓN DE MOTOR DE GASOLINA (ENTRENADOR EDUCATIVO DE
MOTOR DE GASOLINA CON INYECCIÓN ELECTRÓNICA)")</f>
        <v>MÓDULO EDUCATIVO DE SIMULACIÓN DE MOTOR DE GASOLINA (ENTRENADOR EDUCATIVO DE
MOTOR DE GASOLINA CON INYECCIÓN ELECTRÓNICA)</v>
      </c>
      <c r="I1804" s="213" t="str">
        <f>IFERROR(__xludf.DUMMYFUNCTION("""COMPUTED_VALUE"""),"· Entrenador de motor de gasolina con inyección electrónica de combustible, es una unidad educativa con la misma condición de un vehículo real para una educación eficiente.
· Es un conjunto de motor, compuesto por: Bomba de combustible, inyectores, módulo"&amp;" de encendido, sensor Hall, bobina de encendido, bujía, interruptor de encendido, sensor de temperatura, batería de almacenamiento, entre otros.
· El entrenador puede hacer que los alumnos comprendan la estructura básica y el principio de funcionamiento d"&amp;"el motor con inyección electrónica, la posición de cada sensor y actuador según los objetos reales del motor, y realizar análisis de fallas.
· Los terminales de diagnóstico para el circuito se montan en el panel, como los terminales de diagnóstico a la EC"&amp;"U, medir con un multímetro, un osciloscopio y otras herramientas de diagnóstico, datos de  parámetros, tales como: Voltaje, resistencia, forma de onda, entre otros.
· Está equipado con un puerto de detección de datos, se puede conectar una herramienta de "&amp;"exploración, de tipo general.
· Dimensiones aproximadas L 90 x A60 x H180 cm.")</f>
        <v>· Entrenador de motor de gasolina con inyección electrónica de combustible, es una unidad educativa con la misma condición de un vehículo real para una educación eficiente.
· Es un conjunto de motor, compuesto por: Bomba de combustible, inyectores, módulo de encendido, sensor Hall, bobina de encendido, bujía, interruptor de encendido, sensor de temperatura, batería de almacenamiento, entre otros.
· El entrenador puede hacer que los alumnos comprendan la estructura básica y el principio de funcionamiento del motor con inyección electrónica, la posición de cada sensor y actuador según los objetos reales del motor, y realizar análisis de fallas.
· Los terminales de diagnóstico para el circuito se montan en el panel, como los terminales de diagnóstico a la ECU, medir con un multímetro, un osciloscopio y otras herramientas de diagnóstico, datos de  parámetros, tales como: Voltaje, resistencia, forma de onda, entre otros.
· Está equipado con un puerto de detección de datos, se puede conectar una herramienta de exploración, de tipo general.
· Dimensiones aproximadas L 90 x A60 x H180 cm.</v>
      </c>
      <c r="J1804" s="213">
        <f>IFERROR(__xludf.DUMMYFUNCTION("""COMPUTED_VALUE"""),3.0)</f>
        <v>3</v>
      </c>
      <c r="K1804" s="213" t="str">
        <f>IFERROR(__xludf.DUMMYFUNCTION("""COMPUTED_VALUE"""),"170 DÍAS CALENDARIO")</f>
        <v>170 DÍAS CALENDARIO</v>
      </c>
      <c r="L1804" s="213" t="str">
        <f>IFERROR(__xludf.DUMMYFUNCTION("""COMPUTED_VALUE"""),"")</f>
        <v/>
      </c>
      <c r="M1804" s="213">
        <f>IFERROR(__xludf.DUMMYFUNCTION("""COMPUTED_VALUE"""),1.0)</f>
        <v>1</v>
      </c>
      <c r="N1804" s="213">
        <f>IFERROR(__xludf.DUMMYFUNCTION("""COMPUTED_VALUE"""),1.0)</f>
        <v>1</v>
      </c>
      <c r="O1804" s="213">
        <f>IFERROR(__xludf.DUMMYFUNCTION("""COMPUTED_VALUE"""),1.0)</f>
        <v>1</v>
      </c>
      <c r="P1804" s="213"/>
      <c r="Q1804" s="213"/>
      <c r="R1804" s="213"/>
      <c r="S1804" s="213" t="str">
        <f>IFERROR(__xludf.DUMMYFUNCTION("""COMPUTED_VALUE"""),"SI")</f>
        <v>SI</v>
      </c>
      <c r="T1804" s="213" t="str">
        <f>IFERROR(__xludf.DUMMYFUNCTION("""COMPUTED_VALUE"""),"SI")</f>
        <v>SI</v>
      </c>
      <c r="U1804" s="213" t="str">
        <f>IFERROR(__xludf.DUMMYFUNCTION("""COMPUTED_VALUE"""),"NO")</f>
        <v>NO</v>
      </c>
      <c r="V1804" s="213" t="str">
        <f>IFERROR(__xludf.DUMMYFUNCTION("""COMPUTED_VALUE"""),"SUSTENTO")</f>
        <v>SUSTENTO</v>
      </c>
      <c r="W1804" s="213" t="str">
        <f>IFERROR(__xludf.DUMMYFUNCTION("""COMPUTED_VALUE"""),"DIMENSIONAL")</f>
        <v>DIMENSIONAL</v>
      </c>
      <c r="X1804" s="213" t="str">
        <f>IFERROR(__xludf.DUMMYFUNCTION("""COMPUTED_VALUE"""),"Beifang")</f>
        <v>Beifang</v>
      </c>
      <c r="Y1804" s="213" t="str">
        <f>IFERROR(__xludf.DUMMYFUNCTION("""COMPUTED_VALUE"""),"MODULE FOR EDUCATIONAL SIMULATION OF GASOLINE ENGINE")</f>
        <v>MODULE FOR EDUCATIONAL SIMULATION OF GASOLINE ENGINE</v>
      </c>
      <c r="Z1804" s="215" t="str">
        <f>IFERROR(__xludf.DUMMYFUNCTION("""COMPUTED_VALUE"""),"https://spanish.alibaba.com/product-detail/Gasoline-Engine-Simulator-Educational-Module-Didactic-11000024944641.html")</f>
        <v>https://spanish.alibaba.com/product-detail/Gasoline-Engine-Simulator-Educational-Module-Didactic-11000024944641.html</v>
      </c>
      <c r="AA1804" s="215" t="str">
        <f>IFERROR(__xludf.DUMMYFUNCTION("""COMPUTED_VALUE"""),"https://docs.google.com/spreadsheets/d/1SDis8WKwU4WtpMoAZ4Uo4tmZTak4ILEhG7sh8L3PsQ0/edit?gid=0#gid=0")</f>
        <v>https://docs.google.com/spreadsheets/d/1SDis8WKwU4WtpMoAZ4Uo4tmZTak4ILEhG7sh8L3PsQ0/edit?gid=0#gid=0</v>
      </c>
      <c r="AB1804" s="215" t="str">
        <f>IFERROR(__xludf.DUMMYFUNCTION("""COMPUTED_VALUE"""),"https://drive.google.com/file/d/1DhWM8XGd772efWC028Oto8sR3zp811AB/view")</f>
        <v>https://drive.google.com/file/d/1DhWM8XGd772efWC028Oto8sR3zp811AB/view</v>
      </c>
      <c r="AC1804" s="213"/>
      <c r="AD1804" s="213" t="str">
        <f>IFERROR(__xludf.DUMMYFUNCTION("""COMPUTED_VALUE"""),"CHINA CIVIL PAQ 02	")</f>
        <v>CHINA CIVIL PAQ 02	</v>
      </c>
      <c r="AE1804" s="213" t="str">
        <f>IFERROR(__xludf.DUMMYFUNCTION("""COMPUTED_VALUE"""),"ME-03")</f>
        <v>ME-03</v>
      </c>
      <c r="AF1804" s="213"/>
      <c r="AG1804" s="213"/>
      <c r="AH1804" s="213" t="str">
        <f>IFERROR(__xludf.DUMMYFUNCTION("""COMPUTED_VALUE"""),"IMPORTADO")</f>
        <v>IMPORTADO</v>
      </c>
      <c r="AI1804" s="213"/>
      <c r="AJ1804" s="213"/>
      <c r="AK1804" s="213"/>
      <c r="AL1804" s="213"/>
      <c r="AM1804" s="213"/>
      <c r="AN1804" s="213"/>
      <c r="AO1804" s="213"/>
      <c r="AP1804" s="213" t="str">
        <f>IFERROR(__xludf.DUMMYFUNCTION("""COMPUTED_VALUE"""),"NALDI")</f>
        <v>NALDI</v>
      </c>
      <c r="AQ1804" s="213"/>
      <c r="AR1804" s="213"/>
      <c r="AS1804" s="213"/>
      <c r="AT1804" s="213"/>
      <c r="AU1804" s="213"/>
      <c r="AV1804" s="213"/>
      <c r="AW1804" s="213"/>
      <c r="AX1804" s="213"/>
      <c r="AY1804" s="213"/>
      <c r="AZ1804" s="213"/>
      <c r="BA1804" s="213"/>
      <c r="BB1804" s="213"/>
      <c r="BC1804" s="213"/>
      <c r="BD1804" s="213"/>
    </row>
    <row r="1805">
      <c r="A1805" s="213">
        <f>IFERROR(__xludf.DUMMYFUNCTION("""COMPUTED_VALUE"""),2284.0)</f>
        <v>2284</v>
      </c>
      <c r="B1805" s="213" t="str">
        <f>IFERROR(__xludf.DUMMYFUNCTION("""COMPUTED_VALUE"""),"JOSE GRANDA")</f>
        <v>JOSE GRANDA</v>
      </c>
      <c r="C1805" s="213" t="str">
        <f>IFERROR(__xludf.DUMMYFUNCTION("""COMPUTED_VALUE"""),"TALLER SFT DE MECÁNICA AUTOMOTRIZ")</f>
        <v>TALLER SFT DE MECÁNICA AUTOMOTRIZ</v>
      </c>
      <c r="D1805" s="213" t="str">
        <f>IFERROR(__xludf.DUMMYFUNCTION("""COMPUTED_VALUE"""),"EQUIPOS")</f>
        <v>EQUIPOS</v>
      </c>
      <c r="E1805" s="213" t="str">
        <f>IFERROR(__xludf.DUMMYFUNCTION("""COMPUTED_VALUE"""),"ESP-267")</f>
        <v>ESP-267</v>
      </c>
      <c r="F1805" s="213" t="str">
        <f>IFERROR(__xludf.DUMMYFUNCTION("""COMPUTED_VALUE"""),"ESP-267")</f>
        <v>ESP-267</v>
      </c>
      <c r="G1805" s="213"/>
      <c r="H1805" s="213" t="str">
        <f>IFERROR(__xludf.DUMMYFUNCTION("""COMPUTED_VALUE"""),"MÓDULO EDUCATIVO DE SIMULACIÓN DE MOTOR DE GASOLINA (ENTRENADOR EDUCATIVO DE
MOTOR DE GASOLINA CON INYECCIÓN ELECTRÓNICA)")</f>
        <v>MÓDULO EDUCATIVO DE SIMULACIÓN DE MOTOR DE GASOLINA (ENTRENADOR EDUCATIVO DE
MOTOR DE GASOLINA CON INYECCIÓN ELECTRÓNICA)</v>
      </c>
      <c r="I1805" s="213" t="str">
        <f>IFERROR(__xludf.DUMMYFUNCTION("""COMPUTED_VALUE"""),"· Entrenador de motor de gasolina con inyección electrónica de combustible, es una unidad educativa con la misma condición de un vehículo real para una educación eficiente.
· Es un conjunto de motor, compuesto por: Bomba de combustible, inyectores, módulo"&amp;" de encendido, sensor Hall, bobina de encendido, bujía, interruptor de encendido, sensor de temperatura, batería de almacenamiento, entre otros.
· El entrenador puede hacer que los alumnos comprendan la estructura básica y el principio de funcionamiento d"&amp;"el motor con inyección electrónica, la posición de cada sensor y actuador según los objetos reales del motor, y realizar análisis de fallas.
· Los terminales de diagnóstico para el circuito se montan en el panel, como los terminales de diagnóstico a la EC"&amp;"U, medir con un multímetro, un osciloscopio y otras herramientas de diagnóstico, datos de  parámetros, tales como: Voltaje, resistencia, forma de onda, entre otros.
· Está equipado con un puerto de detección de datos, se puede conectar una herramienta de "&amp;"exploración, de tipo general.
· Dimensiones aproximadas L 90 x A60 x H180 cm.")</f>
        <v>· Entrenador de motor de gasolina con inyección electrónica de combustible, es una unidad educativa con la misma condición de un vehículo real para una educación eficiente.
· Es un conjunto de motor, compuesto por: Bomba de combustible, inyectores, módulo de encendido, sensor Hall, bobina de encendido, bujía, interruptor de encendido, sensor de temperatura, batería de almacenamiento, entre otros.
· El entrenador puede hacer que los alumnos comprendan la estructura básica y el principio de funcionamiento del motor con inyección electrónica, la posición de cada sensor y actuador según los objetos reales del motor, y realizar análisis de fallas.
· Los terminales de diagnóstico para el circuito se montan en el panel, como los terminales de diagnóstico a la ECU, medir con un multímetro, un osciloscopio y otras herramientas de diagnóstico, datos de  parámetros, tales como: Voltaje, resistencia, forma de onda, entre otros.
· Está equipado con un puerto de detección de datos, se puede conectar una herramienta de exploración, de tipo general.
· Dimensiones aproximadas L 90 x A60 x H180 cm.</v>
      </c>
      <c r="J1805" s="213">
        <f>IFERROR(__xludf.DUMMYFUNCTION("""COMPUTED_VALUE"""),3.0)</f>
        <v>3</v>
      </c>
      <c r="K1805" s="213" t="str">
        <f>IFERROR(__xludf.DUMMYFUNCTION("""COMPUTED_VALUE"""),"170 DÍAS CALENDARIO")</f>
        <v>170 DÍAS CALENDARIO</v>
      </c>
      <c r="L1805" s="213" t="str">
        <f>IFERROR(__xludf.DUMMYFUNCTION("""COMPUTED_VALUE"""),"")</f>
        <v/>
      </c>
      <c r="M1805" s="213">
        <f>IFERROR(__xludf.DUMMYFUNCTION("""COMPUTED_VALUE"""),1.0)</f>
        <v>1</v>
      </c>
      <c r="N1805" s="213">
        <f>IFERROR(__xludf.DUMMYFUNCTION("""COMPUTED_VALUE"""),1.0)</f>
        <v>1</v>
      </c>
      <c r="O1805" s="213">
        <f>IFERROR(__xludf.DUMMYFUNCTION("""COMPUTED_VALUE"""),1.0)</f>
        <v>1</v>
      </c>
      <c r="P1805" s="213"/>
      <c r="Q1805" s="213"/>
      <c r="R1805" s="213"/>
      <c r="S1805" s="213" t="str">
        <f>IFERROR(__xludf.DUMMYFUNCTION("""COMPUTED_VALUE"""),"SI")</f>
        <v>SI</v>
      </c>
      <c r="T1805" s="213" t="str">
        <f>IFERROR(__xludf.DUMMYFUNCTION("""COMPUTED_VALUE"""),"SI")</f>
        <v>SI</v>
      </c>
      <c r="U1805" s="213" t="str">
        <f>IFERROR(__xludf.DUMMYFUNCTION("""COMPUTED_VALUE"""),"NO")</f>
        <v>NO</v>
      </c>
      <c r="V1805" s="213" t="str">
        <f>IFERROR(__xludf.DUMMYFUNCTION("""COMPUTED_VALUE"""),"SUSTENTO")</f>
        <v>SUSTENTO</v>
      </c>
      <c r="W1805" s="213" t="str">
        <f>IFERROR(__xludf.DUMMYFUNCTION("""COMPUTED_VALUE"""),"DIMENSIONAL")</f>
        <v>DIMENSIONAL</v>
      </c>
      <c r="X1805" s="213" t="str">
        <f>IFERROR(__xludf.DUMMYFUNCTION("""COMPUTED_VALUE"""),"Beifang")</f>
        <v>Beifang</v>
      </c>
      <c r="Y1805" s="213" t="str">
        <f>IFERROR(__xludf.DUMMYFUNCTION("""COMPUTED_VALUE"""),"MODULE FOR EDUCATIONAL SIMULATION OF GASOLINE ENGINE")</f>
        <v>MODULE FOR EDUCATIONAL SIMULATION OF GASOLINE ENGINE</v>
      </c>
      <c r="Z1805" s="215" t="str">
        <f>IFERROR(__xludf.DUMMYFUNCTION("""COMPUTED_VALUE"""),"https://spanish.alibaba.com/product-detail/Gasoline-Engine-Simulator-Educational-Module-Didactic-11000024944641.html")</f>
        <v>https://spanish.alibaba.com/product-detail/Gasoline-Engine-Simulator-Educational-Module-Didactic-11000024944641.html</v>
      </c>
      <c r="AA1805" s="215" t="str">
        <f>IFERROR(__xludf.DUMMYFUNCTION("""COMPUTED_VALUE"""),"https://docs.google.com/spreadsheets/d/1SDis8WKwU4WtpMoAZ4Uo4tmZTak4ILEhG7sh8L3PsQ0/edit?gid=0#gid=2")</f>
        <v>https://docs.google.com/spreadsheets/d/1SDis8WKwU4WtpMoAZ4Uo4tmZTak4ILEhG7sh8L3PsQ0/edit?gid=0#gid=2</v>
      </c>
      <c r="AB1805" s="215" t="str">
        <f>IFERROR(__xludf.DUMMYFUNCTION("""COMPUTED_VALUE"""),"https://drive.google.com/file/d/1DhWM8XGd772efWC028Oto8sR3zp811AB/view")</f>
        <v>https://drive.google.com/file/d/1DhWM8XGd772efWC028Oto8sR3zp811AB/view</v>
      </c>
      <c r="AC1805" s="213"/>
      <c r="AD1805" s="213" t="str">
        <f>IFERROR(__xludf.DUMMYFUNCTION("""COMPUTED_VALUE"""),"CHINA CIVIL PAQ 02	")</f>
        <v>CHINA CIVIL PAQ 02	</v>
      </c>
      <c r="AE1805" s="213" t="str">
        <f>IFERROR(__xludf.DUMMYFUNCTION("""COMPUTED_VALUE"""),"ME-03")</f>
        <v>ME-03</v>
      </c>
      <c r="AF1805" s="213"/>
      <c r="AG1805" s="213"/>
      <c r="AH1805" s="213" t="str">
        <f>IFERROR(__xludf.DUMMYFUNCTION("""COMPUTED_VALUE"""),"IMPORTADO")</f>
        <v>IMPORTADO</v>
      </c>
      <c r="AI1805" s="213"/>
      <c r="AJ1805" s="213"/>
      <c r="AK1805" s="213"/>
      <c r="AL1805" s="213"/>
      <c r="AM1805" s="213"/>
      <c r="AN1805" s="213"/>
      <c r="AO1805" s="213"/>
      <c r="AP1805" s="213" t="str">
        <f>IFERROR(__xludf.DUMMYFUNCTION("""COMPUTED_VALUE"""),"NALDI")</f>
        <v>NALDI</v>
      </c>
      <c r="AQ1805" s="213"/>
      <c r="AR1805" s="213"/>
      <c r="AS1805" s="213"/>
      <c r="AT1805" s="213"/>
      <c r="AU1805" s="213"/>
      <c r="AV1805" s="213"/>
      <c r="AW1805" s="213"/>
      <c r="AX1805" s="213"/>
      <c r="AY1805" s="213"/>
      <c r="AZ1805" s="213"/>
      <c r="BA1805" s="213"/>
      <c r="BB1805" s="213"/>
      <c r="BC1805" s="213"/>
      <c r="BD1805" s="213"/>
    </row>
    <row r="1806">
      <c r="A1806" s="213">
        <f>IFERROR(__xludf.DUMMYFUNCTION("""COMPUTED_VALUE"""),988.0)</f>
        <v>988</v>
      </c>
      <c r="B1806" s="213" t="str">
        <f>IFERROR(__xludf.DUMMYFUNCTION("""COMPUTED_VALUE"""),"FRANCISCO IRAZOLA")</f>
        <v>FRANCISCO IRAZOLA</v>
      </c>
      <c r="C1806" s="213" t="str">
        <f>IFERROR(__xludf.DUMMYFUNCTION("""COMPUTED_VALUE"""),"TALLER SFT DE MECÁNICA AUTOMOTRIZ")</f>
        <v>TALLER SFT DE MECÁNICA AUTOMOTRIZ</v>
      </c>
      <c r="D1806" s="213" t="str">
        <f>IFERROR(__xludf.DUMMYFUNCTION("""COMPUTED_VALUE"""),"EQUIPOS")</f>
        <v>EQUIPOS</v>
      </c>
      <c r="E1806" s="213" t="str">
        <f>IFERROR(__xludf.DUMMYFUNCTION("""COMPUTED_VALUE"""),"ESP-268")</f>
        <v>ESP-268</v>
      </c>
      <c r="F1806" s="213" t="str">
        <f>IFERROR(__xludf.DUMMYFUNCTION("""COMPUTED_VALUE"""),"ESP-268")</f>
        <v>ESP-268</v>
      </c>
      <c r="G1806" s="213"/>
      <c r="H1806" s="213" t="str">
        <f>IFERROR(__xludf.DUMMYFUNCTION("""COMPUTED_VALUE"""),"MÓDULO EDUCATIVO DE SIMULACIÓN DE TRANSMISIÓN DE POTENCIA")</f>
        <v>MÓDULO EDUCATIVO DE SIMULACIÓN DE TRANSMISIÓN DE POTENCIA</v>
      </c>
      <c r="I1806" s="213" t="str">
        <f>IFERROR(__xludf.DUMMYFUNCTION("""COMPUTED_VALUE"""),"· Se aplica a la enseñanza teórica y práctica del sistema de conducción y tren motriz del automóvil.
· El dispositivo consta de un motor de gasolina recortado de un automóvil, con sistema de transmisión manual y eje trasero, se ilustra sus estructuras int"&amp;"ernas.
· Componentes reales y en buen estado del auto original.
· Los alumnos pueden realizar el desmontaje y el montaje del motor del sistema de transmisión.
· El embrague y el sistema de frenos están montados en el banco de entrenamiento.
· Dimensiones "&amp;"aproximadas L 250 x A130 x H85 cm")</f>
        <v>· Se aplica a la enseñanza teórica y práctica del sistema de conducción y tren motriz del automóvil.
· El dispositivo consta de un motor de gasolina recortado de un automóvil, con sistema de transmisión manual y eje trasero, se ilustra sus estructuras internas.
· Componentes reales y en buen estado del auto original.
· Los alumnos pueden realizar el desmontaje y el montaje del motor del sistema de transmisión.
· El embrague y el sistema de frenos están montados en el banco de entrenamiento.
· Dimensiones aproximadas L 250 x A130 x H85 cm</v>
      </c>
      <c r="J1806" s="213">
        <f>IFERROR(__xludf.DUMMYFUNCTION("""COMPUTED_VALUE"""),3.0)</f>
        <v>3</v>
      </c>
      <c r="K1806" s="213" t="str">
        <f>IFERROR(__xludf.DUMMYFUNCTION("""COMPUTED_VALUE"""),"170 DÍAS CALENDARIO")</f>
        <v>170 DÍAS CALENDARIO</v>
      </c>
      <c r="L1806" s="213" t="str">
        <f>IFERROR(__xludf.DUMMYFUNCTION("""COMPUTED_VALUE"""),"")</f>
        <v/>
      </c>
      <c r="M1806" s="213">
        <f>IFERROR(__xludf.DUMMYFUNCTION("""COMPUTED_VALUE"""),1.0)</f>
        <v>1</v>
      </c>
      <c r="N1806" s="213">
        <f>IFERROR(__xludf.DUMMYFUNCTION("""COMPUTED_VALUE"""),1.0)</f>
        <v>1</v>
      </c>
      <c r="O1806" s="213">
        <f>IFERROR(__xludf.DUMMYFUNCTION("""COMPUTED_VALUE"""),1.0)</f>
        <v>1</v>
      </c>
      <c r="P1806" s="213"/>
      <c r="Q1806" s="213"/>
      <c r="R1806" s="213"/>
      <c r="S1806" s="213" t="str">
        <f>IFERROR(__xludf.DUMMYFUNCTION("""COMPUTED_VALUE"""),"SI")</f>
        <v>SI</v>
      </c>
      <c r="T1806" s="213" t="str">
        <f>IFERROR(__xludf.DUMMYFUNCTION("""COMPUTED_VALUE"""),"SI")</f>
        <v>SI</v>
      </c>
      <c r="U1806" s="213" t="str">
        <f>IFERROR(__xludf.DUMMYFUNCTION("""COMPUTED_VALUE"""),"NO")</f>
        <v>NO</v>
      </c>
      <c r="V1806" s="213" t="str">
        <f>IFERROR(__xludf.DUMMYFUNCTION("""COMPUTED_VALUE"""),"SUSTENTO")</f>
        <v>SUSTENTO</v>
      </c>
      <c r="W1806" s="213" t="str">
        <f>IFERROR(__xludf.DUMMYFUNCTION("""COMPUTED_VALUE"""),"DIMENSIONAL")</f>
        <v>DIMENSIONAL</v>
      </c>
      <c r="X1806" s="213" t="str">
        <f>IFERROR(__xludf.DUMMYFUNCTION("""COMPUTED_VALUE"""),"GTEE")</f>
        <v>GTEE</v>
      </c>
      <c r="Y1806" s="213"/>
      <c r="Z1806" s="215" t="str">
        <f>IFERROR(__xludf.DUMMYFUNCTION("""COMPUTED_VALUE"""),"https://drive.google.com/file/d/1QV_FVQn5ptq-pTURyhFFwgqVE19xOKAu/view")</f>
        <v>https://drive.google.com/file/d/1QV_FVQn5ptq-pTURyhFFwgqVE19xOKAu/view</v>
      </c>
      <c r="AA1806" s="213" t="str">
        <f>IFERROR(__xludf.DUMMYFUNCTION("""COMPUTED_VALUE"""),"ESP-268 MÓDULO EDUCATIVO DE SIMULACIÓN DE TRANSMISIÓN DE POTENCIA - CET")</f>
        <v>ESP-268 MÓDULO EDUCATIVO DE SIMULACIÓN DE TRANSMISIÓN DE POTENCIA - CET</v>
      </c>
      <c r="AB1806" s="215" t="str">
        <f>IFERROR(__xludf.DUMMYFUNCTION("""COMPUTED_VALUE"""),"https://drive.google.com/file/d/1QV_FVQn5ptq-pTURyhFFwgqVE19xOKAu/view")</f>
        <v>https://drive.google.com/file/d/1QV_FVQn5ptq-pTURyhFFwgqVE19xOKAu/view</v>
      </c>
      <c r="AC1806" s="213"/>
      <c r="AD1806" s="213" t="str">
        <f>IFERROR(__xludf.DUMMYFUNCTION("""COMPUTED_VALUE"""),"CHINA CIVIL PAQ 02")</f>
        <v>CHINA CIVIL PAQ 02</v>
      </c>
      <c r="AE1806" s="213" t="str">
        <f>IFERROR(__xludf.DUMMYFUNCTION("""COMPUTED_VALUE"""),"ME-09")</f>
        <v>ME-09</v>
      </c>
      <c r="AF1806" s="213"/>
      <c r="AG1806" s="213"/>
      <c r="AH1806" s="213" t="str">
        <f>IFERROR(__xludf.DUMMYFUNCTION("""COMPUTED_VALUE"""),"IMPORTADO")</f>
        <v>IMPORTADO</v>
      </c>
      <c r="AI1806" s="213"/>
      <c r="AJ1806" s="213"/>
      <c r="AK1806" s="213"/>
      <c r="AL1806" s="213"/>
      <c r="AM1806" s="213"/>
      <c r="AN1806" s="213"/>
      <c r="AO1806" s="213"/>
      <c r="AP1806" s="213" t="str">
        <f>IFERROR(__xludf.DUMMYFUNCTION("""COMPUTED_VALUE"""),"NALDI")</f>
        <v>NALDI</v>
      </c>
      <c r="AQ1806" s="213"/>
      <c r="AR1806" s="213"/>
      <c r="AS1806" s="213"/>
      <c r="AT1806" s="213"/>
      <c r="AU1806" s="213"/>
      <c r="AV1806" s="213"/>
      <c r="AW1806" s="213"/>
      <c r="AX1806" s="213"/>
      <c r="AY1806" s="213"/>
      <c r="AZ1806" s="213"/>
      <c r="BA1806" s="213"/>
      <c r="BB1806" s="213"/>
      <c r="BC1806" s="213"/>
      <c r="BD1806" s="213"/>
    </row>
    <row r="1807">
      <c r="A1807" s="213">
        <f>IFERROR(__xludf.DUMMYFUNCTION("""COMPUTED_VALUE"""),1593.0)</f>
        <v>1593</v>
      </c>
      <c r="B1807" s="213" t="str">
        <f>IFERROR(__xludf.DUMMYFUNCTION("""COMPUTED_VALUE"""),"GUILLERMO E. BILLINGHURST ")</f>
        <v>GUILLERMO E. BILLINGHURST </v>
      </c>
      <c r="C1807" s="213" t="str">
        <f>IFERROR(__xludf.DUMMYFUNCTION("""COMPUTED_VALUE"""),"TALLER SFT DE MECÁNICA AUTOMOTRIZ")</f>
        <v>TALLER SFT DE MECÁNICA AUTOMOTRIZ</v>
      </c>
      <c r="D1807" s="213" t="str">
        <f>IFERROR(__xludf.DUMMYFUNCTION("""COMPUTED_VALUE"""),"EQUIPOS")</f>
        <v>EQUIPOS</v>
      </c>
      <c r="E1807" s="213" t="str">
        <f>IFERROR(__xludf.DUMMYFUNCTION("""COMPUTED_VALUE"""),"ESP-268")</f>
        <v>ESP-268</v>
      </c>
      <c r="F1807" s="213" t="str">
        <f>IFERROR(__xludf.DUMMYFUNCTION("""COMPUTED_VALUE"""),"ESP-268")</f>
        <v>ESP-268</v>
      </c>
      <c r="G1807" s="213"/>
      <c r="H1807" s="213" t="str">
        <f>IFERROR(__xludf.DUMMYFUNCTION("""COMPUTED_VALUE"""),"MÓDULO EDUCATIVO DE SIMULACIÓN DE TRANSMISIÓN DE POTENCIA")</f>
        <v>MÓDULO EDUCATIVO DE SIMULACIÓN DE TRANSMISIÓN DE POTENCIA</v>
      </c>
      <c r="I1807" s="213" t="str">
        <f>IFERROR(__xludf.DUMMYFUNCTION("""COMPUTED_VALUE"""),"· Se aplica a la enseñanza teórica y práctica del sistema de conducción y tren motriz del automóvil.
· El dispositivo consta de un motor de gasolina recortado de un automóvil, con sistema de transmisión manual y eje trasero, se ilustra sus estructuras int"&amp;"ernas.
· Componentes reales y en buen estado del auto original.
· Los alumnos pueden realizar el desmontaje y el montaje del motor del sistema de transmisión.
· El embrague y el sistema de frenos están montados en el banco de entrenamiento.
· Dimensiones "&amp;"aproximadas L 250 x A130 x H85 cm")</f>
        <v>· Se aplica a la enseñanza teórica y práctica del sistema de conducción y tren motriz del automóvil.
· El dispositivo consta de un motor de gasolina recortado de un automóvil, con sistema de transmisión manual y eje trasero, se ilustra sus estructuras internas.
· Componentes reales y en buen estado del auto original.
· Los alumnos pueden realizar el desmontaje y el montaje del motor del sistema de transmisión.
· El embrague y el sistema de frenos están montados en el banco de entrenamiento.
· Dimensiones aproximadas L 250 x A130 x H85 cm</v>
      </c>
      <c r="J1807" s="213">
        <f>IFERROR(__xludf.DUMMYFUNCTION("""COMPUTED_VALUE"""),3.0)</f>
        <v>3</v>
      </c>
      <c r="K1807" s="213" t="str">
        <f>IFERROR(__xludf.DUMMYFUNCTION("""COMPUTED_VALUE"""),"170 DÍAS CALENDARIO")</f>
        <v>170 DÍAS CALENDARIO</v>
      </c>
      <c r="L1807" s="213" t="str">
        <f>IFERROR(__xludf.DUMMYFUNCTION("""COMPUTED_VALUE"""),"")</f>
        <v/>
      </c>
      <c r="M1807" s="213">
        <f>IFERROR(__xludf.DUMMYFUNCTION("""COMPUTED_VALUE"""),1.0)</f>
        <v>1</v>
      </c>
      <c r="N1807" s="213">
        <f>IFERROR(__xludf.DUMMYFUNCTION("""COMPUTED_VALUE"""),1.0)</f>
        <v>1</v>
      </c>
      <c r="O1807" s="213">
        <f>IFERROR(__xludf.DUMMYFUNCTION("""COMPUTED_VALUE"""),1.0)</f>
        <v>1</v>
      </c>
      <c r="P1807" s="213"/>
      <c r="Q1807" s="213"/>
      <c r="R1807" s="213"/>
      <c r="S1807" s="213" t="str">
        <f>IFERROR(__xludf.DUMMYFUNCTION("""COMPUTED_VALUE"""),"SI")</f>
        <v>SI</v>
      </c>
      <c r="T1807" s="213" t="str">
        <f>IFERROR(__xludf.DUMMYFUNCTION("""COMPUTED_VALUE"""),"SI")</f>
        <v>SI</v>
      </c>
      <c r="U1807" s="213" t="str">
        <f>IFERROR(__xludf.DUMMYFUNCTION("""COMPUTED_VALUE"""),"NO")</f>
        <v>NO</v>
      </c>
      <c r="V1807" s="213" t="str">
        <f>IFERROR(__xludf.DUMMYFUNCTION("""COMPUTED_VALUE"""),"SUSTENTO")</f>
        <v>SUSTENTO</v>
      </c>
      <c r="W1807" s="213" t="str">
        <f>IFERROR(__xludf.DUMMYFUNCTION("""COMPUTED_VALUE"""),"DIMENSIONAL")</f>
        <v>DIMENSIONAL</v>
      </c>
      <c r="X1807" s="213" t="str">
        <f>IFERROR(__xludf.DUMMYFUNCTION("""COMPUTED_VALUE"""),"GTEE")</f>
        <v>GTEE</v>
      </c>
      <c r="Y1807" s="213"/>
      <c r="Z1807" s="215" t="str">
        <f>IFERROR(__xludf.DUMMYFUNCTION("""COMPUTED_VALUE"""),"https://drive.google.com/file/d/1QV_FVQn5ptq-pTURyhFFwgqVE19xOKAu/view")</f>
        <v>https://drive.google.com/file/d/1QV_FVQn5ptq-pTURyhFFwgqVE19xOKAu/view</v>
      </c>
      <c r="AA1807" s="213" t="str">
        <f>IFERROR(__xludf.DUMMYFUNCTION("""COMPUTED_VALUE"""),"ESP-268 MÓDULO EDUCATIVO DE SIMULACIÓN DE TRANSMISIÓN DE POTENCIA - CET")</f>
        <v>ESP-268 MÓDULO EDUCATIVO DE SIMULACIÓN DE TRANSMISIÓN DE POTENCIA - CET</v>
      </c>
      <c r="AB1807" s="215" t="str">
        <f>IFERROR(__xludf.DUMMYFUNCTION("""COMPUTED_VALUE"""),"https://drive.google.com/file/d/1QV_FVQn5ptq-pTURyhFFwgqVE19xOKAu/view")</f>
        <v>https://drive.google.com/file/d/1QV_FVQn5ptq-pTURyhFFwgqVE19xOKAu/view</v>
      </c>
      <c r="AC1807" s="213"/>
      <c r="AD1807" s="213" t="str">
        <f>IFERROR(__xludf.DUMMYFUNCTION("""COMPUTED_VALUE"""),"CHINA CIVIL PAQ 02")</f>
        <v>CHINA CIVIL PAQ 02</v>
      </c>
      <c r="AE1807" s="213" t="str">
        <f>IFERROR(__xludf.DUMMYFUNCTION("""COMPUTED_VALUE"""),"ME-09")</f>
        <v>ME-09</v>
      </c>
      <c r="AF1807" s="213"/>
      <c r="AG1807" s="213"/>
      <c r="AH1807" s="213" t="str">
        <f>IFERROR(__xludf.DUMMYFUNCTION("""COMPUTED_VALUE"""),"IMPORTADO")</f>
        <v>IMPORTADO</v>
      </c>
      <c r="AI1807" s="213"/>
      <c r="AJ1807" s="213"/>
      <c r="AK1807" s="213"/>
      <c r="AL1807" s="213"/>
      <c r="AM1807" s="213"/>
      <c r="AN1807" s="213"/>
      <c r="AO1807" s="213"/>
      <c r="AP1807" s="213" t="str">
        <f>IFERROR(__xludf.DUMMYFUNCTION("""COMPUTED_VALUE"""),"NALDI")</f>
        <v>NALDI</v>
      </c>
      <c r="AQ1807" s="213"/>
      <c r="AR1807" s="213"/>
      <c r="AS1807" s="213"/>
      <c r="AT1807" s="213"/>
      <c r="AU1807" s="213"/>
      <c r="AV1807" s="213"/>
      <c r="AW1807" s="213"/>
      <c r="AX1807" s="213"/>
      <c r="AY1807" s="213"/>
      <c r="AZ1807" s="213"/>
      <c r="BA1807" s="213"/>
      <c r="BB1807" s="213"/>
      <c r="BC1807" s="213"/>
      <c r="BD1807" s="213"/>
    </row>
    <row r="1808">
      <c r="A1808" s="213">
        <f>IFERROR(__xludf.DUMMYFUNCTION("""COMPUTED_VALUE"""),2280.0)</f>
        <v>2280</v>
      </c>
      <c r="B1808" s="213" t="str">
        <f>IFERROR(__xludf.DUMMYFUNCTION("""COMPUTED_VALUE"""),"JOSE GRANDA")</f>
        <v>JOSE GRANDA</v>
      </c>
      <c r="C1808" s="213" t="str">
        <f>IFERROR(__xludf.DUMMYFUNCTION("""COMPUTED_VALUE"""),"TALLER SFT DE MECÁNICA AUTOMOTRIZ")</f>
        <v>TALLER SFT DE MECÁNICA AUTOMOTRIZ</v>
      </c>
      <c r="D1808" s="213" t="str">
        <f>IFERROR(__xludf.DUMMYFUNCTION("""COMPUTED_VALUE"""),"EQUIPOS")</f>
        <v>EQUIPOS</v>
      </c>
      <c r="E1808" s="213" t="str">
        <f>IFERROR(__xludf.DUMMYFUNCTION("""COMPUTED_VALUE"""),"ESP-268")</f>
        <v>ESP-268</v>
      </c>
      <c r="F1808" s="213" t="str">
        <f>IFERROR(__xludf.DUMMYFUNCTION("""COMPUTED_VALUE"""),"ESP-268")</f>
        <v>ESP-268</v>
      </c>
      <c r="G1808" s="213"/>
      <c r="H1808" s="213" t="str">
        <f>IFERROR(__xludf.DUMMYFUNCTION("""COMPUTED_VALUE"""),"MÓDULO EDUCATIVO DE SIMULACIÓN DE TRANSMISIÓN DE POTENCIA")</f>
        <v>MÓDULO EDUCATIVO DE SIMULACIÓN DE TRANSMISIÓN DE POTENCIA</v>
      </c>
      <c r="I1808" s="213" t="str">
        <f>IFERROR(__xludf.DUMMYFUNCTION("""COMPUTED_VALUE"""),"· Se aplica a la enseñanza teórica y práctica del sistema de conducción y tren motriz del automóvil.
· El dispositivo consta de un motor de gasolina recortado de un automóvil, con sistema de transmisión manual y eje trasero, se ilustra sus estructuras int"&amp;"ernas.
· Componentes reales y en buen estado del auto original.
· Los alumnos pueden realizar el desmontaje y el montaje del motor del sistema de transmisión.
· El embrague y el sistema de frenos están montados en el banco de entrenamiento.
· Dimensiones "&amp;"aproximadas L 250 x A130 x H85 cm")</f>
        <v>· Se aplica a la enseñanza teórica y práctica del sistema de conducción y tren motriz del automóvil.
· El dispositivo consta de un motor de gasolina recortado de un automóvil, con sistema de transmisión manual y eje trasero, se ilustra sus estructuras internas.
· Componentes reales y en buen estado del auto original.
· Los alumnos pueden realizar el desmontaje y el montaje del motor del sistema de transmisión.
· El embrague y el sistema de frenos están montados en el banco de entrenamiento.
· Dimensiones aproximadas L 250 x A130 x H85 cm</v>
      </c>
      <c r="J1808" s="213">
        <f>IFERROR(__xludf.DUMMYFUNCTION("""COMPUTED_VALUE"""),3.0)</f>
        <v>3</v>
      </c>
      <c r="K1808" s="213" t="str">
        <f>IFERROR(__xludf.DUMMYFUNCTION("""COMPUTED_VALUE"""),"170 DÍAS CALENDARIO")</f>
        <v>170 DÍAS CALENDARIO</v>
      </c>
      <c r="L1808" s="213" t="str">
        <f>IFERROR(__xludf.DUMMYFUNCTION("""COMPUTED_VALUE"""),"")</f>
        <v/>
      </c>
      <c r="M1808" s="213">
        <f>IFERROR(__xludf.DUMMYFUNCTION("""COMPUTED_VALUE"""),1.0)</f>
        <v>1</v>
      </c>
      <c r="N1808" s="213">
        <f>IFERROR(__xludf.DUMMYFUNCTION("""COMPUTED_VALUE"""),1.0)</f>
        <v>1</v>
      </c>
      <c r="O1808" s="213">
        <f>IFERROR(__xludf.DUMMYFUNCTION("""COMPUTED_VALUE"""),1.0)</f>
        <v>1</v>
      </c>
      <c r="P1808" s="213"/>
      <c r="Q1808" s="213"/>
      <c r="R1808" s="213"/>
      <c r="S1808" s="213" t="str">
        <f>IFERROR(__xludf.DUMMYFUNCTION("""COMPUTED_VALUE"""),"SI")</f>
        <v>SI</v>
      </c>
      <c r="T1808" s="213" t="str">
        <f>IFERROR(__xludf.DUMMYFUNCTION("""COMPUTED_VALUE"""),"SI")</f>
        <v>SI</v>
      </c>
      <c r="U1808" s="213" t="str">
        <f>IFERROR(__xludf.DUMMYFUNCTION("""COMPUTED_VALUE"""),"NO")</f>
        <v>NO</v>
      </c>
      <c r="V1808" s="213" t="str">
        <f>IFERROR(__xludf.DUMMYFUNCTION("""COMPUTED_VALUE"""),"SUSTENTO")</f>
        <v>SUSTENTO</v>
      </c>
      <c r="W1808" s="213" t="str">
        <f>IFERROR(__xludf.DUMMYFUNCTION("""COMPUTED_VALUE"""),"DIMENSIONAL")</f>
        <v>DIMENSIONAL</v>
      </c>
      <c r="X1808" s="213" t="str">
        <f>IFERROR(__xludf.DUMMYFUNCTION("""COMPUTED_VALUE"""),"GTEE")</f>
        <v>GTEE</v>
      </c>
      <c r="Y1808" s="213"/>
      <c r="Z1808" s="215" t="str">
        <f>IFERROR(__xludf.DUMMYFUNCTION("""COMPUTED_VALUE"""),"https://drive.google.com/file/d/1QV_FVQn5ptq-pTURyhFFwgqVE19xOKAu/view")</f>
        <v>https://drive.google.com/file/d/1QV_FVQn5ptq-pTURyhFFwgqVE19xOKAu/view</v>
      </c>
      <c r="AA1808" s="213" t="str">
        <f>IFERROR(__xludf.DUMMYFUNCTION("""COMPUTED_VALUE"""),"ESP-268 MÓDULO EDUCATIVO DE SIMULACIÓN DE TRANSMISIÓN DE POTENCIA - CET")</f>
        <v>ESP-268 MÓDULO EDUCATIVO DE SIMULACIÓN DE TRANSMISIÓN DE POTENCIA - CET</v>
      </c>
      <c r="AB1808" s="215" t="str">
        <f>IFERROR(__xludf.DUMMYFUNCTION("""COMPUTED_VALUE"""),"https://drive.google.com/file/d/1QV_FVQn5ptq-pTURyhFFwgqVE19xOKAu/view")</f>
        <v>https://drive.google.com/file/d/1QV_FVQn5ptq-pTURyhFFwgqVE19xOKAu/view</v>
      </c>
      <c r="AC1808" s="213"/>
      <c r="AD1808" s="213" t="str">
        <f>IFERROR(__xludf.DUMMYFUNCTION("""COMPUTED_VALUE"""),"CHINA CIVIL PAQ 02")</f>
        <v>CHINA CIVIL PAQ 02</v>
      </c>
      <c r="AE1808" s="213" t="str">
        <f>IFERROR(__xludf.DUMMYFUNCTION("""COMPUTED_VALUE"""),"ME-09")</f>
        <v>ME-09</v>
      </c>
      <c r="AF1808" s="213"/>
      <c r="AG1808" s="213"/>
      <c r="AH1808" s="213" t="str">
        <f>IFERROR(__xludf.DUMMYFUNCTION("""COMPUTED_VALUE"""),"IMPORTADO")</f>
        <v>IMPORTADO</v>
      </c>
      <c r="AI1808" s="213"/>
      <c r="AJ1808" s="213"/>
      <c r="AK1808" s="213"/>
      <c r="AL1808" s="213"/>
      <c r="AM1808" s="213"/>
      <c r="AN1808" s="213"/>
      <c r="AO1808" s="213"/>
      <c r="AP1808" s="213" t="str">
        <f>IFERROR(__xludf.DUMMYFUNCTION("""COMPUTED_VALUE"""),"NALDI")</f>
        <v>NALDI</v>
      </c>
      <c r="AQ1808" s="213"/>
      <c r="AR1808" s="213"/>
      <c r="AS1808" s="213"/>
      <c r="AT1808" s="213"/>
      <c r="AU1808" s="213"/>
      <c r="AV1808" s="213"/>
      <c r="AW1808" s="213"/>
      <c r="AX1808" s="213"/>
      <c r="AY1808" s="213"/>
      <c r="AZ1808" s="213"/>
      <c r="BA1808" s="213"/>
      <c r="BB1808" s="213"/>
      <c r="BC1808" s="213"/>
      <c r="BD1808" s="213"/>
    </row>
    <row r="1809">
      <c r="A1809" s="213">
        <f>IFERROR(__xludf.DUMMYFUNCTION("""COMPUTED_VALUE"""),990.0)</f>
        <v>990</v>
      </c>
      <c r="B1809" s="213" t="str">
        <f>IFERROR(__xludf.DUMMYFUNCTION("""COMPUTED_VALUE"""),"FRANCISCO IRAZOLA")</f>
        <v>FRANCISCO IRAZOLA</v>
      </c>
      <c r="C1809" s="213" t="str">
        <f>IFERROR(__xludf.DUMMYFUNCTION("""COMPUTED_VALUE"""),"TALLER SFT DE MECÁNICA AUTOMOTRIZ")</f>
        <v>TALLER SFT DE MECÁNICA AUTOMOTRIZ</v>
      </c>
      <c r="D1809" s="213" t="str">
        <f>IFERROR(__xludf.DUMMYFUNCTION("""COMPUTED_VALUE"""),"EQUIPOS")</f>
        <v>EQUIPOS</v>
      </c>
      <c r="E1809" s="213" t="str">
        <f>IFERROR(__xludf.DUMMYFUNCTION("""COMPUTED_VALUE"""),"ESP-269")</f>
        <v>ESP-269</v>
      </c>
      <c r="F1809" s="213" t="str">
        <f>IFERROR(__xludf.DUMMYFUNCTION("""COMPUTED_VALUE"""),"ESP-269")</f>
        <v>ESP-269</v>
      </c>
      <c r="G1809" s="213"/>
      <c r="H1809" s="213" t="str">
        <f>IFERROR(__xludf.DUMMYFUNCTION("""COMPUTED_VALUE"""),"MÓDULO EDUCATIVO DE SISTEMA CARGA Y ARRANQUE")</f>
        <v>MÓDULO EDUCATIVO DE SISTEMA CARGA Y ARRANQUE</v>
      </c>
      <c r="I1809" s="213" t="str">
        <f>IFERROR(__xludf.DUMMYFUNCTION("""COMPUTED_VALUE"""),"Características
· El entrenador está diseñado para incorporar los componentes de la vida actual, proporcionando valiosas mediciones eléctricas del mundo real. Utilizando un dispositivo de carga de “fricción” que demuestra la corriente del arrancador y con"&amp;"exiones de pines de salida en el alternador, los estudiantes serán capaces de usar el equipo de un mundo real para el desarrollo de sus habilidades para diagnóstico de sistemas de arranque/carga. La unidad permite una aplicación fácil de conceptos de dism"&amp;"inución de voltaje que se muestran sin  imitaciones físicas del motor.
· Dimensiones L 100 x A70 x H110 cm. Incluye las siguientes fallas
· Construcción de estructura
· Arrancador operacional
· Alternador operacional
· Motor 1.5HO 120VAC
· Dispositivo de "&amp;"carga de fricción variable
· Interruptor de llave
· Voltímetro
· Amperímetro")</f>
        <v>Características
· El entrenador está diseñado para incorporar los componentes de la vida actual, proporcionando valiosas mediciones eléctricas del mundo real. Utilizando un dispositivo de carga de “fricción” que demuestra la corriente del arrancador y conexiones de pines de salida en el alternador, los estudiantes serán capaces de usar el equipo de un mundo real para el desarrollo de sus habilidades para diagnóstico de sistemas de arranque/carga. La unidad permite una aplicación fácil de conceptos de disminución de voltaje que se muestran sin  imitaciones físicas del motor.
· Dimensiones L 100 x A70 x H110 cm. Incluye las siguientes fallas
· Construcción de estructura
· Arrancador operacional
· Alternador operacional
· Motor 1.5HO 120VAC
· Dispositivo de carga de fricción variable
· Interruptor de llave
· Voltímetro
· Amperímetro</v>
      </c>
      <c r="J1809" s="213">
        <f>IFERROR(__xludf.DUMMYFUNCTION("""COMPUTED_VALUE"""),3.0)</f>
        <v>3</v>
      </c>
      <c r="K1809" s="213" t="str">
        <f>IFERROR(__xludf.DUMMYFUNCTION("""COMPUTED_VALUE"""),"170 DÍAS CALENDARIO")</f>
        <v>170 DÍAS CALENDARIO</v>
      </c>
      <c r="L1809" s="213" t="str">
        <f>IFERROR(__xludf.DUMMYFUNCTION("""COMPUTED_VALUE"""),"")</f>
        <v/>
      </c>
      <c r="M1809" s="213">
        <f>IFERROR(__xludf.DUMMYFUNCTION("""COMPUTED_VALUE"""),1.0)</f>
        <v>1</v>
      </c>
      <c r="N1809" s="213">
        <f>IFERROR(__xludf.DUMMYFUNCTION("""COMPUTED_VALUE"""),1.0)</f>
        <v>1</v>
      </c>
      <c r="O1809" s="213">
        <f>IFERROR(__xludf.DUMMYFUNCTION("""COMPUTED_VALUE"""),1.0)</f>
        <v>1</v>
      </c>
      <c r="P1809" s="213"/>
      <c r="Q1809" s="213"/>
      <c r="R1809" s="213"/>
      <c r="S1809" s="213" t="str">
        <f>IFERROR(__xludf.DUMMYFUNCTION("""COMPUTED_VALUE"""),"SI")</f>
        <v>SI</v>
      </c>
      <c r="T1809" s="213" t="str">
        <f>IFERROR(__xludf.DUMMYFUNCTION("""COMPUTED_VALUE"""),"SI")</f>
        <v>SI</v>
      </c>
      <c r="U1809" s="213" t="str">
        <f>IFERROR(__xludf.DUMMYFUNCTION("""COMPUTED_VALUE"""),"NO")</f>
        <v>NO</v>
      </c>
      <c r="V1809" s="213" t="str">
        <f>IFERROR(__xludf.DUMMYFUNCTION("""COMPUTED_VALUE"""),"SUSTENTO")</f>
        <v>SUSTENTO</v>
      </c>
      <c r="W1809" s="213" t="str">
        <f>IFERROR(__xludf.DUMMYFUNCTION("""COMPUTED_VALUE"""),"EQU TEC")</f>
        <v>EQU TEC</v>
      </c>
      <c r="X1809" s="213" t="str">
        <f>IFERROR(__xludf.DUMMYFUNCTION("""COMPUTED_VALUE"""),"GTEE")</f>
        <v>GTEE</v>
      </c>
      <c r="Y1809" s="213" t="str">
        <f>IFERROR(__xludf.DUMMYFUNCTION("""COMPUTED_VALUE"""),"GTAT-4007  Automotive starting system training board")</f>
        <v>GTAT-4007  Automotive starting system training board</v>
      </c>
      <c r="Z1809" s="215" t="str">
        <f>IFERROR(__xludf.DUMMYFUNCTION("""COMPUTED_VALUE"""),"https://www.gteecn.com/automotive-starting-system-training-board.html")</f>
        <v>https://www.gteecn.com/automotive-starting-system-training-board.html</v>
      </c>
      <c r="AA1809" s="213" t="str">
        <f>IFERROR(__xludf.DUMMYFUNCTION("""COMPUTED_VALUE"""),"ESP-269 MÓDULO EDUCATIVO DE SISTEMA CARGA Y ARRANQUE - CET")</f>
        <v>ESP-269 MÓDULO EDUCATIVO DE SISTEMA CARGA Y ARRANQUE - CET</v>
      </c>
      <c r="AB1809" s="215" t="str">
        <f>IFERROR(__xludf.DUMMYFUNCTION("""COMPUTED_VALUE"""),"https://drive.google.com/drive/search?q=M%C3%B3dulo%20educativo%20de%20sistema%20carga%20y%20arranque")</f>
        <v>https://drive.google.com/drive/search?q=M%C3%B3dulo%20educativo%20de%20sistema%20carga%20y%20arranque</v>
      </c>
      <c r="AC1809" s="213"/>
      <c r="AD1809" s="213" t="str">
        <f>IFERROR(__xludf.DUMMYFUNCTION("""COMPUTED_VALUE"""),"CHINA CIVIL PAQ 02")</f>
        <v>CHINA CIVIL PAQ 02</v>
      </c>
      <c r="AE1809" s="213" t="str">
        <f>IFERROR(__xludf.DUMMYFUNCTION("""COMPUTED_VALUE"""),"ME-05")</f>
        <v>ME-05</v>
      </c>
      <c r="AF1809" s="213"/>
      <c r="AG1809" s="213"/>
      <c r="AH1809" s="213" t="str">
        <f>IFERROR(__xludf.DUMMYFUNCTION("""COMPUTED_VALUE"""),"IMPORTADO")</f>
        <v>IMPORTADO</v>
      </c>
      <c r="AI1809" s="213"/>
      <c r="AJ1809" s="213"/>
      <c r="AK1809" s="213"/>
      <c r="AL1809" s="213"/>
      <c r="AM1809" s="213"/>
      <c r="AN1809" s="213"/>
      <c r="AO1809" s="213"/>
      <c r="AP1809" s="213" t="str">
        <f>IFERROR(__xludf.DUMMYFUNCTION("""COMPUTED_VALUE"""),"NALDI")</f>
        <v>NALDI</v>
      </c>
      <c r="AQ1809" s="213" t="str">
        <f>IFERROR(__xludf.DUMMYFUNCTION("""COMPUTED_VALUE"""),"PANEL DE ENTRENAMIENTO DE SISTEMA DE ARRANQUE Y CARGA -Beifang")</f>
        <v>PANEL DE ENTRENAMIENTO DE SISTEMA DE ARRANQUE Y CARGA -Beifang</v>
      </c>
      <c r="AR1809" s="213"/>
      <c r="AS1809" s="213"/>
      <c r="AT1809" s="213"/>
      <c r="AU1809" s="213"/>
      <c r="AV1809" s="213"/>
      <c r="AW1809" s="213"/>
      <c r="AX1809" s="213"/>
      <c r="AY1809" s="213"/>
      <c r="AZ1809" s="213"/>
      <c r="BA1809" s="213"/>
      <c r="BB1809" s="213"/>
      <c r="BC1809" s="213"/>
      <c r="BD1809" s="213"/>
    </row>
    <row r="1810">
      <c r="A1810" s="213">
        <f>IFERROR(__xludf.DUMMYFUNCTION("""COMPUTED_VALUE"""),1595.0)</f>
        <v>1595</v>
      </c>
      <c r="B1810" s="213" t="str">
        <f>IFERROR(__xludf.DUMMYFUNCTION("""COMPUTED_VALUE"""),"GUILLERMO E. BILLINGHURST ")</f>
        <v>GUILLERMO E. BILLINGHURST </v>
      </c>
      <c r="C1810" s="213" t="str">
        <f>IFERROR(__xludf.DUMMYFUNCTION("""COMPUTED_VALUE"""),"TALLER SFT DE MECÁNICA AUTOMOTRIZ")</f>
        <v>TALLER SFT DE MECÁNICA AUTOMOTRIZ</v>
      </c>
      <c r="D1810" s="213" t="str">
        <f>IFERROR(__xludf.DUMMYFUNCTION("""COMPUTED_VALUE"""),"EQUIPOS")</f>
        <v>EQUIPOS</v>
      </c>
      <c r="E1810" s="213" t="str">
        <f>IFERROR(__xludf.DUMMYFUNCTION("""COMPUTED_VALUE"""),"ESP-269")</f>
        <v>ESP-269</v>
      </c>
      <c r="F1810" s="213" t="str">
        <f>IFERROR(__xludf.DUMMYFUNCTION("""COMPUTED_VALUE"""),"ESP-269")</f>
        <v>ESP-269</v>
      </c>
      <c r="G1810" s="213"/>
      <c r="H1810" s="213" t="str">
        <f>IFERROR(__xludf.DUMMYFUNCTION("""COMPUTED_VALUE"""),"MÓDULO EDUCATIVO DE SISTEMA CARGA Y ARRANQUE")</f>
        <v>MÓDULO EDUCATIVO DE SISTEMA CARGA Y ARRANQUE</v>
      </c>
      <c r="I1810" s="213" t="str">
        <f>IFERROR(__xludf.DUMMYFUNCTION("""COMPUTED_VALUE"""),"Características
· El entrenador está diseñado para incorporar los componentes de la vida actual, proporcionando valiosas mediciones eléctricas del mundo real. Utilizando un dispositivo de carga de “fricción” que demuestra la corriente del arrancador y con"&amp;"exiones de pines de salida en el alternador, los estudiantes serán capaces de usar el equipo de un mundo real para el desarrollo de sus habilidades para diagnóstico de sistemas de arranque/carga. La unidad permite una aplicación fácil de conceptos de dism"&amp;"inución de voltaje que se muestran sin  imitaciones físicas del motor.
· Dimensiones L 100 x A70 x H110 cm. Incluye las siguientes fallas
· Construcción de estructura
· Arrancador operacional
· Alternador operacional
· Motor 1.5HO 120VAC
· Dispositivo de "&amp;"carga de fricción variable
· Interruptor de llave
· Voltímetro
· Amperímetro")</f>
        <v>Características
· El entrenador está diseñado para incorporar los componentes de la vida actual, proporcionando valiosas mediciones eléctricas del mundo real. Utilizando un dispositivo de carga de “fricción” que demuestra la corriente del arrancador y conexiones de pines de salida en el alternador, los estudiantes serán capaces de usar el equipo de un mundo real para el desarrollo de sus habilidades para diagnóstico de sistemas de arranque/carga. La unidad permite una aplicación fácil de conceptos de disminución de voltaje que se muestran sin  imitaciones físicas del motor.
· Dimensiones L 100 x A70 x H110 cm. Incluye las siguientes fallas
· Construcción de estructura
· Arrancador operacional
· Alternador operacional
· Motor 1.5HO 120VAC
· Dispositivo de carga de fricción variable
· Interruptor de llave
· Voltímetro
· Amperímetro</v>
      </c>
      <c r="J1810" s="213">
        <f>IFERROR(__xludf.DUMMYFUNCTION("""COMPUTED_VALUE"""),3.0)</f>
        <v>3</v>
      </c>
      <c r="K1810" s="213" t="str">
        <f>IFERROR(__xludf.DUMMYFUNCTION("""COMPUTED_VALUE"""),"170 DÍAS CALENDARIO")</f>
        <v>170 DÍAS CALENDARIO</v>
      </c>
      <c r="L1810" s="213" t="str">
        <f>IFERROR(__xludf.DUMMYFUNCTION("""COMPUTED_VALUE"""),"")</f>
        <v/>
      </c>
      <c r="M1810" s="213">
        <f>IFERROR(__xludf.DUMMYFUNCTION("""COMPUTED_VALUE"""),1.0)</f>
        <v>1</v>
      </c>
      <c r="N1810" s="213">
        <f>IFERROR(__xludf.DUMMYFUNCTION("""COMPUTED_VALUE"""),1.0)</f>
        <v>1</v>
      </c>
      <c r="O1810" s="213">
        <f>IFERROR(__xludf.DUMMYFUNCTION("""COMPUTED_VALUE"""),1.0)</f>
        <v>1</v>
      </c>
      <c r="P1810" s="213"/>
      <c r="Q1810" s="213"/>
      <c r="R1810" s="213"/>
      <c r="S1810" s="213" t="str">
        <f>IFERROR(__xludf.DUMMYFUNCTION("""COMPUTED_VALUE"""),"SI")</f>
        <v>SI</v>
      </c>
      <c r="T1810" s="213" t="str">
        <f>IFERROR(__xludf.DUMMYFUNCTION("""COMPUTED_VALUE"""),"SI")</f>
        <v>SI</v>
      </c>
      <c r="U1810" s="213" t="str">
        <f>IFERROR(__xludf.DUMMYFUNCTION("""COMPUTED_VALUE"""),"NO")</f>
        <v>NO</v>
      </c>
      <c r="V1810" s="213" t="str">
        <f>IFERROR(__xludf.DUMMYFUNCTION("""COMPUTED_VALUE"""),"SUSTENTO")</f>
        <v>SUSTENTO</v>
      </c>
      <c r="W1810" s="213" t="str">
        <f>IFERROR(__xludf.DUMMYFUNCTION("""COMPUTED_VALUE"""),"EQU TEC")</f>
        <v>EQU TEC</v>
      </c>
      <c r="X1810" s="213" t="str">
        <f>IFERROR(__xludf.DUMMYFUNCTION("""COMPUTED_VALUE"""),"GTEE")</f>
        <v>GTEE</v>
      </c>
      <c r="Y1810" s="213" t="str">
        <f>IFERROR(__xludf.DUMMYFUNCTION("""COMPUTED_VALUE"""),"GTAT-4007  Automotive starting system training board")</f>
        <v>GTAT-4007  Automotive starting system training board</v>
      </c>
      <c r="Z1810" s="215" t="str">
        <f>IFERROR(__xludf.DUMMYFUNCTION("""COMPUTED_VALUE"""),"https://www.gteecn.com/automotive-starting-system-training-board.html")</f>
        <v>https://www.gteecn.com/automotive-starting-system-training-board.html</v>
      </c>
      <c r="AA1810" s="215" t="str">
        <f>IFERROR(__xludf.DUMMYFUNCTION("""COMPUTED_VALUE"""),"https://docs.google.com/spreadsheets/d/1ED2vFA7QDniYLAwTdpFt20c0DE9Y3Fl4toTSrCaBXvs/edit?gid=0#gid=1")</f>
        <v>https://docs.google.com/spreadsheets/d/1ED2vFA7QDniYLAwTdpFt20c0DE9Y3Fl4toTSrCaBXvs/edit?gid=0#gid=1</v>
      </c>
      <c r="AB1810" s="215" t="str">
        <f>IFERROR(__xludf.DUMMYFUNCTION("""COMPUTED_VALUE"""),"https://drive.google.com/drive/search?q=M%C3%B3dulo%20educativo%20de%20sistema%20carga%20y%20arranque")</f>
        <v>https://drive.google.com/drive/search?q=M%C3%B3dulo%20educativo%20de%20sistema%20carga%20y%20arranque</v>
      </c>
      <c r="AC1810" s="213"/>
      <c r="AD1810" s="213" t="str">
        <f>IFERROR(__xludf.DUMMYFUNCTION("""COMPUTED_VALUE"""),"CHINA CIVIL PAQ 02")</f>
        <v>CHINA CIVIL PAQ 02</v>
      </c>
      <c r="AE1810" s="213" t="str">
        <f>IFERROR(__xludf.DUMMYFUNCTION("""COMPUTED_VALUE"""),"ME-05")</f>
        <v>ME-05</v>
      </c>
      <c r="AF1810" s="213"/>
      <c r="AG1810" s="213"/>
      <c r="AH1810" s="213" t="str">
        <f>IFERROR(__xludf.DUMMYFUNCTION("""COMPUTED_VALUE"""),"IMPORTADO")</f>
        <v>IMPORTADO</v>
      </c>
      <c r="AI1810" s="213"/>
      <c r="AJ1810" s="213"/>
      <c r="AK1810" s="213"/>
      <c r="AL1810" s="213"/>
      <c r="AM1810" s="213"/>
      <c r="AN1810" s="213"/>
      <c r="AO1810" s="213"/>
      <c r="AP1810" s="213" t="str">
        <f>IFERROR(__xludf.DUMMYFUNCTION("""COMPUTED_VALUE"""),"NALDI")</f>
        <v>NALDI</v>
      </c>
      <c r="AQ1810" s="213" t="str">
        <f>IFERROR(__xludf.DUMMYFUNCTION("""COMPUTED_VALUE"""),"PANEL DE ENTRENAMIENTO DE SISTEMA DE ARRANQUE Y CARGA -Beifang")</f>
        <v>PANEL DE ENTRENAMIENTO DE SISTEMA DE ARRANQUE Y CARGA -Beifang</v>
      </c>
      <c r="AR1810" s="213"/>
      <c r="AS1810" s="213"/>
      <c r="AT1810" s="213"/>
      <c r="AU1810" s="213"/>
      <c r="AV1810" s="213"/>
      <c r="AW1810" s="213"/>
      <c r="AX1810" s="213"/>
      <c r="AY1810" s="213"/>
      <c r="AZ1810" s="213"/>
      <c r="BA1810" s="213"/>
      <c r="BB1810" s="213"/>
      <c r="BC1810" s="213"/>
      <c r="BD1810" s="213"/>
    </row>
    <row r="1811">
      <c r="A1811" s="213">
        <f>IFERROR(__xludf.DUMMYFUNCTION("""COMPUTED_VALUE"""),2282.0)</f>
        <v>2282</v>
      </c>
      <c r="B1811" s="213" t="str">
        <f>IFERROR(__xludf.DUMMYFUNCTION("""COMPUTED_VALUE"""),"JOSE GRANDA")</f>
        <v>JOSE GRANDA</v>
      </c>
      <c r="C1811" s="213" t="str">
        <f>IFERROR(__xludf.DUMMYFUNCTION("""COMPUTED_VALUE"""),"TALLER SFT DE MECÁNICA AUTOMOTRIZ")</f>
        <v>TALLER SFT DE MECÁNICA AUTOMOTRIZ</v>
      </c>
      <c r="D1811" s="213" t="str">
        <f>IFERROR(__xludf.DUMMYFUNCTION("""COMPUTED_VALUE"""),"EQUIPOS")</f>
        <v>EQUIPOS</v>
      </c>
      <c r="E1811" s="213" t="str">
        <f>IFERROR(__xludf.DUMMYFUNCTION("""COMPUTED_VALUE"""),"ESP-269")</f>
        <v>ESP-269</v>
      </c>
      <c r="F1811" s="213" t="str">
        <f>IFERROR(__xludf.DUMMYFUNCTION("""COMPUTED_VALUE"""),"ESP-269")</f>
        <v>ESP-269</v>
      </c>
      <c r="G1811" s="213"/>
      <c r="H1811" s="213" t="str">
        <f>IFERROR(__xludf.DUMMYFUNCTION("""COMPUTED_VALUE"""),"MÓDULO EDUCATIVO DE SISTEMA CARGA Y ARRANQUE")</f>
        <v>MÓDULO EDUCATIVO DE SISTEMA CARGA Y ARRANQUE</v>
      </c>
      <c r="I1811" s="213" t="str">
        <f>IFERROR(__xludf.DUMMYFUNCTION("""COMPUTED_VALUE"""),"Características
· El entrenador está diseñado para incorporar los componentes de la vida actual, proporcionando valiosas mediciones eléctricas del mundo real. Utilizando un dispositivo de carga de “fricción” que demuestra la corriente del arrancador y con"&amp;"exiones de pines de salida en el alternador, los estudiantes serán capaces de usar el equipo de un mundo real para el desarrollo de sus habilidades para diagnóstico de sistemas de arranque/carga. La unidad permite una aplicación fácil de conceptos de dism"&amp;"inución de voltaje que se muestran sin  imitaciones físicas del motor.
· Dimensiones L 100 x A70 x H110 cm. Incluye las siguientes fallas
· Construcción de estructura
· Arrancador operacional
· Alternador operacional
· Motor 1.5HO 120VAC
· Dispositivo de "&amp;"carga de fricción variable
· Interruptor de llave
· Voltímetro
· Amperímetro")</f>
        <v>Características
· El entrenador está diseñado para incorporar los componentes de la vida actual, proporcionando valiosas mediciones eléctricas del mundo real. Utilizando un dispositivo de carga de “fricción” que demuestra la corriente del arrancador y conexiones de pines de salida en el alternador, los estudiantes serán capaces de usar el equipo de un mundo real para el desarrollo de sus habilidades para diagnóstico de sistemas de arranque/carga. La unidad permite una aplicación fácil de conceptos de disminución de voltaje que se muestran sin  imitaciones físicas del motor.
· Dimensiones L 100 x A70 x H110 cm. Incluye las siguientes fallas
· Construcción de estructura
· Arrancador operacional
· Alternador operacional
· Motor 1.5HO 120VAC
· Dispositivo de carga de fricción variable
· Interruptor de llave
· Voltímetro
· Amperímetro</v>
      </c>
      <c r="J1811" s="213">
        <f>IFERROR(__xludf.DUMMYFUNCTION("""COMPUTED_VALUE"""),3.0)</f>
        <v>3</v>
      </c>
      <c r="K1811" s="213" t="str">
        <f>IFERROR(__xludf.DUMMYFUNCTION("""COMPUTED_VALUE"""),"170 DÍAS CALENDARIO")</f>
        <v>170 DÍAS CALENDARIO</v>
      </c>
      <c r="L1811" s="213" t="str">
        <f>IFERROR(__xludf.DUMMYFUNCTION("""COMPUTED_VALUE"""),"")</f>
        <v/>
      </c>
      <c r="M1811" s="213">
        <f>IFERROR(__xludf.DUMMYFUNCTION("""COMPUTED_VALUE"""),1.0)</f>
        <v>1</v>
      </c>
      <c r="N1811" s="213">
        <f>IFERROR(__xludf.DUMMYFUNCTION("""COMPUTED_VALUE"""),1.0)</f>
        <v>1</v>
      </c>
      <c r="O1811" s="213">
        <f>IFERROR(__xludf.DUMMYFUNCTION("""COMPUTED_VALUE"""),1.0)</f>
        <v>1</v>
      </c>
      <c r="P1811" s="213"/>
      <c r="Q1811" s="213"/>
      <c r="R1811" s="213"/>
      <c r="S1811" s="213" t="str">
        <f>IFERROR(__xludf.DUMMYFUNCTION("""COMPUTED_VALUE"""),"SI")</f>
        <v>SI</v>
      </c>
      <c r="T1811" s="213" t="str">
        <f>IFERROR(__xludf.DUMMYFUNCTION("""COMPUTED_VALUE"""),"SI")</f>
        <v>SI</v>
      </c>
      <c r="U1811" s="213" t="str">
        <f>IFERROR(__xludf.DUMMYFUNCTION("""COMPUTED_VALUE"""),"NO")</f>
        <v>NO</v>
      </c>
      <c r="V1811" s="213" t="str">
        <f>IFERROR(__xludf.DUMMYFUNCTION("""COMPUTED_VALUE"""),"SUSTENTO")</f>
        <v>SUSTENTO</v>
      </c>
      <c r="W1811" s="213" t="str">
        <f>IFERROR(__xludf.DUMMYFUNCTION("""COMPUTED_VALUE"""),"EQU TEC")</f>
        <v>EQU TEC</v>
      </c>
      <c r="X1811" s="213" t="str">
        <f>IFERROR(__xludf.DUMMYFUNCTION("""COMPUTED_VALUE"""),"GTEE")</f>
        <v>GTEE</v>
      </c>
      <c r="Y1811" s="213" t="str">
        <f>IFERROR(__xludf.DUMMYFUNCTION("""COMPUTED_VALUE"""),"GTAT-4007  Automotive starting system training board")</f>
        <v>GTAT-4007  Automotive starting system training board</v>
      </c>
      <c r="Z1811" s="215" t="str">
        <f>IFERROR(__xludf.DUMMYFUNCTION("""COMPUTED_VALUE"""),"https://www.gteecn.com/automotive-starting-system-training-board.html")</f>
        <v>https://www.gteecn.com/automotive-starting-system-training-board.html</v>
      </c>
      <c r="AA1811" s="215" t="str">
        <f>IFERROR(__xludf.DUMMYFUNCTION("""COMPUTED_VALUE"""),"https://docs.google.com/spreadsheets/d/1ED2vFA7QDniYLAwTdpFt20c0DE9Y3Fl4toTSrCaBXvs/edit?gid=0#gid=2")</f>
        <v>https://docs.google.com/spreadsheets/d/1ED2vFA7QDniYLAwTdpFt20c0DE9Y3Fl4toTSrCaBXvs/edit?gid=0#gid=2</v>
      </c>
      <c r="AB1811" s="215" t="str">
        <f>IFERROR(__xludf.DUMMYFUNCTION("""COMPUTED_VALUE"""),"https://drive.google.com/drive/search?q=M%C3%B3dulo%20educativo%20de%20sistema%20carga%20y%20arranque")</f>
        <v>https://drive.google.com/drive/search?q=M%C3%B3dulo%20educativo%20de%20sistema%20carga%20y%20arranque</v>
      </c>
      <c r="AC1811" s="213"/>
      <c r="AD1811" s="213" t="str">
        <f>IFERROR(__xludf.DUMMYFUNCTION("""COMPUTED_VALUE"""),"CHINA CIVIL PAQ 02")</f>
        <v>CHINA CIVIL PAQ 02</v>
      </c>
      <c r="AE1811" s="213" t="str">
        <f>IFERROR(__xludf.DUMMYFUNCTION("""COMPUTED_VALUE"""),"ME-05")</f>
        <v>ME-05</v>
      </c>
      <c r="AF1811" s="213"/>
      <c r="AG1811" s="213"/>
      <c r="AH1811" s="213" t="str">
        <f>IFERROR(__xludf.DUMMYFUNCTION("""COMPUTED_VALUE"""),"IMPORTADO")</f>
        <v>IMPORTADO</v>
      </c>
      <c r="AI1811" s="213"/>
      <c r="AJ1811" s="213"/>
      <c r="AK1811" s="213"/>
      <c r="AL1811" s="213"/>
      <c r="AM1811" s="213"/>
      <c r="AN1811" s="213"/>
      <c r="AO1811" s="213"/>
      <c r="AP1811" s="213" t="str">
        <f>IFERROR(__xludf.DUMMYFUNCTION("""COMPUTED_VALUE"""),"NALDI")</f>
        <v>NALDI</v>
      </c>
      <c r="AQ1811" s="213" t="str">
        <f>IFERROR(__xludf.DUMMYFUNCTION("""COMPUTED_VALUE"""),"PANEL DE ENTRENAMIENTO DE SISTEMA DE ARRANQUE Y CARGA -Beifang")</f>
        <v>PANEL DE ENTRENAMIENTO DE SISTEMA DE ARRANQUE Y CARGA -Beifang</v>
      </c>
      <c r="AR1811" s="213"/>
      <c r="AS1811" s="213"/>
      <c r="AT1811" s="213"/>
      <c r="AU1811" s="213"/>
      <c r="AV1811" s="213"/>
      <c r="AW1811" s="213"/>
      <c r="AX1811" s="213"/>
      <c r="AY1811" s="213"/>
      <c r="AZ1811" s="213"/>
      <c r="BA1811" s="213"/>
      <c r="BB1811" s="213"/>
      <c r="BC1811" s="213"/>
      <c r="BD1811" s="213"/>
    </row>
    <row r="1812">
      <c r="A1812" s="213">
        <f>IFERROR(__xludf.DUMMYFUNCTION("""COMPUTED_VALUE"""),994.0)</f>
        <v>994</v>
      </c>
      <c r="B1812" s="213" t="str">
        <f>IFERROR(__xludf.DUMMYFUNCTION("""COMPUTED_VALUE"""),"FRANCISCO IRAZOLA")</f>
        <v>FRANCISCO IRAZOLA</v>
      </c>
      <c r="C1812" s="213" t="str">
        <f>IFERROR(__xludf.DUMMYFUNCTION("""COMPUTED_VALUE"""),"TALLER SFT DE MECÁNICA AUTOMOTRIZ")</f>
        <v>TALLER SFT DE MECÁNICA AUTOMOTRIZ</v>
      </c>
      <c r="D1812" s="213" t="str">
        <f>IFERROR(__xludf.DUMMYFUNCTION("""COMPUTED_VALUE"""),"EQUIPOS")</f>
        <v>EQUIPOS</v>
      </c>
      <c r="E1812" s="213" t="str">
        <f>IFERROR(__xludf.DUMMYFUNCTION("""COMPUTED_VALUE"""),"ESP-270")</f>
        <v>ESP-270</v>
      </c>
      <c r="F1812" s="213" t="str">
        <f>IFERROR(__xludf.DUMMYFUNCTION("""COMPUTED_VALUE"""),"ESP-270")</f>
        <v>ESP-270</v>
      </c>
      <c r="G1812" s="213"/>
      <c r="H1812" s="213" t="str">
        <f>IFERROR(__xludf.DUMMYFUNCTION("""COMPUTED_VALUE"""),"MÓDULO EDUCATIVO DE SISTEMA DE ENCENDIDO (ELECTRÓNICO)")</f>
        <v>MÓDULO EDUCATIVO DE SISTEMA DE ENCENDIDO (ELECTRÓNICO)</v>
      </c>
      <c r="I1812" s="213" t="str">
        <f>IFERROR(__xludf.DUMMYFUNCTION("""COMPUTED_VALUE"""),"· Este entrenador muestra el desarrollo y las características funcionales del sistema de encendido del automóvil.
· El dispositivo está basado en componentes reales de seis sistemas de encendido, los cuales son: encendido controlado por contacto, encendid"&amp;"o del tipo de inducción magnética, encendido electrónico tipo HALL, encendido del tipo fotoeléctrico, el encendido sin distribuidor de tipo de doble chispa, encendido sin distribuidor de tipo independiente.
· Puede demostrar dinámicamente los fenómenos de"&amp;" ignición y el proceso de cada sistema.
· El sistema operativo está equipado con componentes, como: interruptores de encendido, bobinados, distribuidores, sensores de posición del cigüeñal, bujías de encendido, ECU, entre otros.
· En el panel de entrenami"&amp;"ento está instalado terminales de detección, para detectar señales eléctricas, por ejemplo: resistencia, voltaje, corriente y frecuencia de los componentes del circuito de encendido.
· Dimensiones aproximadas L 120 x A70 x H180 cm.")</f>
        <v>· Este entrenador muestra el desarrollo y las características funcionales del sistema de encendido del automóvil.
· El dispositivo está basado en componentes reales de seis sistemas de encendido, los cuales son: encendido controlado por contacto, encendido del tipo de inducción magnética, encendido electrónico tipo HALL, encendido del tipo fotoeléctrico, el encendido sin distribuidor de tipo de doble chispa, encendido sin distribuidor de tipo independiente.
· Puede demostrar dinámicamente los fenómenos de ignición y el proceso de cada sistema.
· El sistema operativo está equipado con componentes, como: interruptores de encendido, bobinados, distribuidores, sensores de posición del cigüeñal, bujías de encendido, ECU, entre otros.
· En el panel de entrenamiento está instalado terminales de detección, para detectar señales eléctricas, por ejemplo: resistencia, voltaje, corriente y frecuencia de los componentes del circuito de encendido.
· Dimensiones aproximadas L 120 x A70 x H180 cm.</v>
      </c>
      <c r="J1812" s="213">
        <f>IFERROR(__xludf.DUMMYFUNCTION("""COMPUTED_VALUE"""),3.0)</f>
        <v>3</v>
      </c>
      <c r="K1812" s="213" t="str">
        <f>IFERROR(__xludf.DUMMYFUNCTION("""COMPUTED_VALUE"""),"170 DÍAS CALENDARIO")</f>
        <v>170 DÍAS CALENDARIO</v>
      </c>
      <c r="L1812" s="213" t="str">
        <f>IFERROR(__xludf.DUMMYFUNCTION("""COMPUTED_VALUE"""),"")</f>
        <v/>
      </c>
      <c r="M1812" s="213">
        <f>IFERROR(__xludf.DUMMYFUNCTION("""COMPUTED_VALUE"""),1.0)</f>
        <v>1</v>
      </c>
      <c r="N1812" s="213">
        <f>IFERROR(__xludf.DUMMYFUNCTION("""COMPUTED_VALUE"""),1.0)</f>
        <v>1</v>
      </c>
      <c r="O1812" s="213">
        <f>IFERROR(__xludf.DUMMYFUNCTION("""COMPUTED_VALUE"""),1.0)</f>
        <v>1</v>
      </c>
      <c r="P1812" s="213"/>
      <c r="Q1812" s="213"/>
      <c r="R1812" s="213"/>
      <c r="S1812" s="213" t="str">
        <f>IFERROR(__xludf.DUMMYFUNCTION("""COMPUTED_VALUE"""),"SI")</f>
        <v>SI</v>
      </c>
      <c r="T1812" s="213" t="str">
        <f>IFERROR(__xludf.DUMMYFUNCTION("""COMPUTED_VALUE"""),"SI")</f>
        <v>SI</v>
      </c>
      <c r="U1812" s="213" t="str">
        <f>IFERROR(__xludf.DUMMYFUNCTION("""COMPUTED_VALUE"""),"NO")</f>
        <v>NO</v>
      </c>
      <c r="V1812" s="213" t="str">
        <f>IFERROR(__xludf.DUMMYFUNCTION("""COMPUTED_VALUE"""),"SUSTENTO")</f>
        <v>SUSTENTO</v>
      </c>
      <c r="W1812" s="213" t="str">
        <f>IFERROR(__xludf.DUMMYFUNCTION("""COMPUTED_VALUE"""),"DIMENSIONAL")</f>
        <v>DIMENSIONAL</v>
      </c>
      <c r="X1812" s="213" t="str">
        <f>IFERROR(__xludf.DUMMYFUNCTION("""COMPUTED_VALUE"""),"GTEE")</f>
        <v>GTEE</v>
      </c>
      <c r="Y1812" s="213" t="str">
        <f>IFERROR(__xludf.DUMMYFUNCTION("""COMPUTED_VALUE""")," GTAT-4006 Automotive six type ignition systems training board")</f>
        <v> GTAT-4006 Automotive six type ignition systems training board</v>
      </c>
      <c r="Z1812" s="215" t="str">
        <f>IFERROR(__xludf.DUMMYFUNCTION("""COMPUTED_VALUE"""),"https://drive.google.com/file/d/1r84Ajbk72bxQAFjmoLslzXXUG9dcYk8X/view")</f>
        <v>https://drive.google.com/file/d/1r84Ajbk72bxQAFjmoLslzXXUG9dcYk8X/view</v>
      </c>
      <c r="AA1812" s="213" t="str">
        <f>IFERROR(__xludf.DUMMYFUNCTION("""COMPUTED_VALUE"""),"ESP-270 MÓDULO EDUCATIVO DE SISTEMA DE ENCENDIDO (ELECTRÓNICO) - CET")</f>
        <v>ESP-270 MÓDULO EDUCATIVO DE SISTEMA DE ENCENDIDO (ELECTRÓNICO) - CET</v>
      </c>
      <c r="AB1812" s="215" t="str">
        <f>IFERROR(__xludf.DUMMYFUNCTION("""COMPUTED_VALUE"""),"https://drive.google.com/file/d/1r84Ajbk72bxQAFjmoLslzXXUG9dcYk8X/view")</f>
        <v>https://drive.google.com/file/d/1r84Ajbk72bxQAFjmoLslzXXUG9dcYk8X/view</v>
      </c>
      <c r="AC1812" s="213"/>
      <c r="AD1812" s="213" t="str">
        <f>IFERROR(__xludf.DUMMYFUNCTION("""COMPUTED_VALUE"""),"CHINA CIVIL PAQ 02")</f>
        <v>CHINA CIVIL PAQ 02</v>
      </c>
      <c r="AE1812" s="213" t="str">
        <f>IFERROR(__xludf.DUMMYFUNCTION("""COMPUTED_VALUE"""),"ME-07")</f>
        <v>ME-07</v>
      </c>
      <c r="AF1812" s="213"/>
      <c r="AG1812" s="213"/>
      <c r="AH1812" s="213" t="str">
        <f>IFERROR(__xludf.DUMMYFUNCTION("""COMPUTED_VALUE"""),"IMPORTADO")</f>
        <v>IMPORTADO</v>
      </c>
      <c r="AI1812" s="213"/>
      <c r="AJ1812" s="213"/>
      <c r="AK1812" s="213"/>
      <c r="AL1812" s="213"/>
      <c r="AM1812" s="213"/>
      <c r="AN1812" s="213"/>
      <c r="AO1812" s="213"/>
      <c r="AP1812" s="213" t="str">
        <f>IFERROR(__xludf.DUMMYFUNCTION("""COMPUTED_VALUE"""),"NALDI")</f>
        <v>NALDI</v>
      </c>
      <c r="AQ1812" s="213" t="str">
        <f>IFERROR(__xludf.DUMMYFUNCTION("""COMPUTED_VALUE"""),"PANEL DE ENCENDIDO ELECTRÓNICO - Beifang")</f>
        <v>PANEL DE ENCENDIDO ELECTRÓNICO - Beifang</v>
      </c>
      <c r="AR1812" s="213"/>
      <c r="AS1812" s="213"/>
      <c r="AT1812" s="213"/>
      <c r="AU1812" s="213"/>
      <c r="AV1812" s="213"/>
      <c r="AW1812" s="213"/>
      <c r="AX1812" s="213"/>
      <c r="AY1812" s="213"/>
      <c r="AZ1812" s="213"/>
      <c r="BA1812" s="213"/>
      <c r="BB1812" s="213"/>
      <c r="BC1812" s="213"/>
      <c r="BD1812" s="213"/>
    </row>
    <row r="1813">
      <c r="A1813" s="213">
        <f>IFERROR(__xludf.DUMMYFUNCTION("""COMPUTED_VALUE"""),1599.0)</f>
        <v>1599</v>
      </c>
      <c r="B1813" s="213" t="str">
        <f>IFERROR(__xludf.DUMMYFUNCTION("""COMPUTED_VALUE"""),"GUILLERMO E. BILLINGHURST ")</f>
        <v>GUILLERMO E. BILLINGHURST </v>
      </c>
      <c r="C1813" s="213" t="str">
        <f>IFERROR(__xludf.DUMMYFUNCTION("""COMPUTED_VALUE"""),"TALLER SFT DE MECÁNICA AUTOMOTRIZ")</f>
        <v>TALLER SFT DE MECÁNICA AUTOMOTRIZ</v>
      </c>
      <c r="D1813" s="213" t="str">
        <f>IFERROR(__xludf.DUMMYFUNCTION("""COMPUTED_VALUE"""),"EQUIPOS")</f>
        <v>EQUIPOS</v>
      </c>
      <c r="E1813" s="213" t="str">
        <f>IFERROR(__xludf.DUMMYFUNCTION("""COMPUTED_VALUE"""),"ESP-270")</f>
        <v>ESP-270</v>
      </c>
      <c r="F1813" s="213" t="str">
        <f>IFERROR(__xludf.DUMMYFUNCTION("""COMPUTED_VALUE"""),"ESP-270")</f>
        <v>ESP-270</v>
      </c>
      <c r="G1813" s="213"/>
      <c r="H1813" s="213" t="str">
        <f>IFERROR(__xludf.DUMMYFUNCTION("""COMPUTED_VALUE"""),"MÓDULO EDUCATIVO DE SISTEMA DE ENCENDIDO (ELECTRÓNICO)")</f>
        <v>MÓDULO EDUCATIVO DE SISTEMA DE ENCENDIDO (ELECTRÓNICO)</v>
      </c>
      <c r="I1813" s="213" t="str">
        <f>IFERROR(__xludf.DUMMYFUNCTION("""COMPUTED_VALUE"""),"· Este entrenador muestra el desarrollo y las características funcionales del sistema de encendido del automóvil.
· El dispositivo está basado en componentes reales de seis sistemas de encendido, los cuales son: encendido controlado por contacto, encendid"&amp;"o del tipo de inducción magnética, encendido electrónico tipo HALL, encendido del tipo fotoeléctrico, el encendido sin distribuidor de tipo de doble chispa, encendido sin distribuidor de tipo independiente.
· Puede demostrar dinámicamente los fenómenos de"&amp;" ignición y el proceso de cada sistema.
· El sistema operativo está equipado con componentes, como: interruptores de encendido, bobinados, distribuidores, sensores de posición del cigüeñal, bujías de encendido, ECU, entre otros.
· En el panel de entrenami"&amp;"ento está instalado terminales de detección, para detectar señales eléctricas, por ejemplo: resistencia, voltaje, corriente y frecuencia de los componentes del circuito de encendido.
· Dimensiones aproximadas L 120 x A70 x H180 cm.")</f>
        <v>· Este entrenador muestra el desarrollo y las características funcionales del sistema de encendido del automóvil.
· El dispositivo está basado en componentes reales de seis sistemas de encendido, los cuales son: encendido controlado por contacto, encendido del tipo de inducción magnética, encendido electrónico tipo HALL, encendido del tipo fotoeléctrico, el encendido sin distribuidor de tipo de doble chispa, encendido sin distribuidor de tipo independiente.
· Puede demostrar dinámicamente los fenómenos de ignición y el proceso de cada sistema.
· El sistema operativo está equipado con componentes, como: interruptores de encendido, bobinados, distribuidores, sensores de posición del cigüeñal, bujías de encendido, ECU, entre otros.
· En el panel de entrenamiento está instalado terminales de detección, para detectar señales eléctricas, por ejemplo: resistencia, voltaje, corriente y frecuencia de los componentes del circuito de encendido.
· Dimensiones aproximadas L 120 x A70 x H180 cm.</v>
      </c>
      <c r="J1813" s="213">
        <f>IFERROR(__xludf.DUMMYFUNCTION("""COMPUTED_VALUE"""),3.0)</f>
        <v>3</v>
      </c>
      <c r="K1813" s="213" t="str">
        <f>IFERROR(__xludf.DUMMYFUNCTION("""COMPUTED_VALUE"""),"170 DÍAS CALENDARIO")</f>
        <v>170 DÍAS CALENDARIO</v>
      </c>
      <c r="L1813" s="213" t="str">
        <f>IFERROR(__xludf.DUMMYFUNCTION("""COMPUTED_VALUE"""),"")</f>
        <v/>
      </c>
      <c r="M1813" s="213">
        <f>IFERROR(__xludf.DUMMYFUNCTION("""COMPUTED_VALUE"""),1.0)</f>
        <v>1</v>
      </c>
      <c r="N1813" s="213">
        <f>IFERROR(__xludf.DUMMYFUNCTION("""COMPUTED_VALUE"""),1.0)</f>
        <v>1</v>
      </c>
      <c r="O1813" s="213">
        <f>IFERROR(__xludf.DUMMYFUNCTION("""COMPUTED_VALUE"""),1.0)</f>
        <v>1</v>
      </c>
      <c r="P1813" s="213"/>
      <c r="Q1813" s="213"/>
      <c r="R1813" s="213"/>
      <c r="S1813" s="213" t="str">
        <f>IFERROR(__xludf.DUMMYFUNCTION("""COMPUTED_VALUE"""),"SI")</f>
        <v>SI</v>
      </c>
      <c r="T1813" s="213" t="str">
        <f>IFERROR(__xludf.DUMMYFUNCTION("""COMPUTED_VALUE"""),"SI")</f>
        <v>SI</v>
      </c>
      <c r="U1813" s="213" t="str">
        <f>IFERROR(__xludf.DUMMYFUNCTION("""COMPUTED_VALUE"""),"NO")</f>
        <v>NO</v>
      </c>
      <c r="V1813" s="213" t="str">
        <f>IFERROR(__xludf.DUMMYFUNCTION("""COMPUTED_VALUE"""),"SUSTENTO")</f>
        <v>SUSTENTO</v>
      </c>
      <c r="W1813" s="213" t="str">
        <f>IFERROR(__xludf.DUMMYFUNCTION("""COMPUTED_VALUE"""),"DIMENSIONAL")</f>
        <v>DIMENSIONAL</v>
      </c>
      <c r="X1813" s="213" t="str">
        <f>IFERROR(__xludf.DUMMYFUNCTION("""COMPUTED_VALUE"""),"GTEE")</f>
        <v>GTEE</v>
      </c>
      <c r="Y1813" s="213" t="str">
        <f>IFERROR(__xludf.DUMMYFUNCTION("""COMPUTED_VALUE""")," GTAT-4006 Automotive six type ignition systems training board")</f>
        <v> GTAT-4006 Automotive six type ignition systems training board</v>
      </c>
      <c r="Z1813" s="215" t="str">
        <f>IFERROR(__xludf.DUMMYFUNCTION("""COMPUTED_VALUE"""),"https://drive.google.com/file/d/1r84Ajbk72bxQAFjmoLslzXXUG9dcYk8X/view")</f>
        <v>https://drive.google.com/file/d/1r84Ajbk72bxQAFjmoLslzXXUG9dcYk8X/view</v>
      </c>
      <c r="AA1813" s="215" t="str">
        <f>IFERROR(__xludf.DUMMYFUNCTION("""COMPUTED_VALUE"""),"https://docs.google.com/spreadsheets/d/1y1BvG10kD5fp3N-e7PiZBwVbve6Cl7fbuuGcVkMyQSg/edit?gid=0#gid=1")</f>
        <v>https://docs.google.com/spreadsheets/d/1y1BvG10kD5fp3N-e7PiZBwVbve6Cl7fbuuGcVkMyQSg/edit?gid=0#gid=1</v>
      </c>
      <c r="AB1813" s="215" t="str">
        <f>IFERROR(__xludf.DUMMYFUNCTION("""COMPUTED_VALUE"""),"https://drive.google.com/file/d/1r84Ajbk72bxQAFjmoLslzXXUG9dcYk8X/view")</f>
        <v>https://drive.google.com/file/d/1r84Ajbk72bxQAFjmoLslzXXUG9dcYk8X/view</v>
      </c>
      <c r="AC1813" s="213"/>
      <c r="AD1813" s="213" t="str">
        <f>IFERROR(__xludf.DUMMYFUNCTION("""COMPUTED_VALUE"""),"CHINA CIVIL PAQ 02")</f>
        <v>CHINA CIVIL PAQ 02</v>
      </c>
      <c r="AE1813" s="213" t="str">
        <f>IFERROR(__xludf.DUMMYFUNCTION("""COMPUTED_VALUE"""),"ME-07")</f>
        <v>ME-07</v>
      </c>
      <c r="AF1813" s="213"/>
      <c r="AG1813" s="213"/>
      <c r="AH1813" s="213" t="str">
        <f>IFERROR(__xludf.DUMMYFUNCTION("""COMPUTED_VALUE"""),"IMPORTADO")</f>
        <v>IMPORTADO</v>
      </c>
      <c r="AI1813" s="213"/>
      <c r="AJ1813" s="213"/>
      <c r="AK1813" s="213"/>
      <c r="AL1813" s="213"/>
      <c r="AM1813" s="213"/>
      <c r="AN1813" s="213"/>
      <c r="AO1813" s="213"/>
      <c r="AP1813" s="213" t="str">
        <f>IFERROR(__xludf.DUMMYFUNCTION("""COMPUTED_VALUE"""),"NALDI")</f>
        <v>NALDI</v>
      </c>
      <c r="AQ1813" s="213" t="str">
        <f>IFERROR(__xludf.DUMMYFUNCTION("""COMPUTED_VALUE"""),"PANEL DE ENCENDIDO ELECTRÓNICO - Beifang")</f>
        <v>PANEL DE ENCENDIDO ELECTRÓNICO - Beifang</v>
      </c>
      <c r="AR1813" s="213"/>
      <c r="AS1813" s="213"/>
      <c r="AT1813" s="213"/>
      <c r="AU1813" s="213"/>
      <c r="AV1813" s="213"/>
      <c r="AW1813" s="213"/>
      <c r="AX1813" s="213"/>
      <c r="AY1813" s="213"/>
      <c r="AZ1813" s="213"/>
      <c r="BA1813" s="213"/>
      <c r="BB1813" s="213"/>
      <c r="BC1813" s="213"/>
      <c r="BD1813" s="213"/>
    </row>
    <row r="1814">
      <c r="A1814" s="213">
        <f>IFERROR(__xludf.DUMMYFUNCTION("""COMPUTED_VALUE"""),2286.0)</f>
        <v>2286</v>
      </c>
      <c r="B1814" s="213" t="str">
        <f>IFERROR(__xludf.DUMMYFUNCTION("""COMPUTED_VALUE"""),"JOSE GRANDA")</f>
        <v>JOSE GRANDA</v>
      </c>
      <c r="C1814" s="213" t="str">
        <f>IFERROR(__xludf.DUMMYFUNCTION("""COMPUTED_VALUE"""),"TALLER SFT DE MECÁNICA AUTOMOTRIZ")</f>
        <v>TALLER SFT DE MECÁNICA AUTOMOTRIZ</v>
      </c>
      <c r="D1814" s="213" t="str">
        <f>IFERROR(__xludf.DUMMYFUNCTION("""COMPUTED_VALUE"""),"EQUIPOS")</f>
        <v>EQUIPOS</v>
      </c>
      <c r="E1814" s="213" t="str">
        <f>IFERROR(__xludf.DUMMYFUNCTION("""COMPUTED_VALUE"""),"ESP-270")</f>
        <v>ESP-270</v>
      </c>
      <c r="F1814" s="213" t="str">
        <f>IFERROR(__xludf.DUMMYFUNCTION("""COMPUTED_VALUE"""),"ESP-270")</f>
        <v>ESP-270</v>
      </c>
      <c r="G1814" s="213"/>
      <c r="H1814" s="213" t="str">
        <f>IFERROR(__xludf.DUMMYFUNCTION("""COMPUTED_VALUE"""),"MÓDULO EDUCATIVO DE SISTEMA DE ENCENDIDO (ELECTRÓNICO)")</f>
        <v>MÓDULO EDUCATIVO DE SISTEMA DE ENCENDIDO (ELECTRÓNICO)</v>
      </c>
      <c r="I1814" s="213" t="str">
        <f>IFERROR(__xludf.DUMMYFUNCTION("""COMPUTED_VALUE"""),"· Este entrenador muestra el desarrollo y las características funcionales del sistema de encendido del automóvil.
· El dispositivo está basado en componentes reales de seis sistemas de encendido, los cuales son: encendido controlado por contacto, encendid"&amp;"o del tipo de inducción magnética, encendido electrónico tipo HALL, encendido del tipo fotoeléctrico, el encendido sin distribuidor de tipo de doble chispa, encendido sin distribuidor de tipo independiente.
· Puede demostrar dinámicamente los fenómenos de"&amp;" ignición y el proceso de cada sistema.
· El sistema operativo está equipado con componentes, como: interruptores de encendido, bobinados, distribuidores, sensores de posición del cigüeñal, bujías de encendido, ECU, entre otros.
· En el panel de entrenami"&amp;"ento está instalado terminales de detección, para detectar señales eléctricas, por ejemplo: resistencia, voltaje, corriente y frecuencia de los componentes del circuito de encendido.
· Dimensiones aproximadas L 120 x A70 x H180 cm.")</f>
        <v>· Este entrenador muestra el desarrollo y las características funcionales del sistema de encendido del automóvil.
· El dispositivo está basado en componentes reales de seis sistemas de encendido, los cuales son: encendido controlado por contacto, encendido del tipo de inducción magnética, encendido electrónico tipo HALL, encendido del tipo fotoeléctrico, el encendido sin distribuidor de tipo de doble chispa, encendido sin distribuidor de tipo independiente.
· Puede demostrar dinámicamente los fenómenos de ignición y el proceso de cada sistema.
· El sistema operativo está equipado con componentes, como: interruptores de encendido, bobinados, distribuidores, sensores de posición del cigüeñal, bujías de encendido, ECU, entre otros.
· En el panel de entrenamiento está instalado terminales de detección, para detectar señales eléctricas, por ejemplo: resistencia, voltaje, corriente y frecuencia de los componentes del circuito de encendido.
· Dimensiones aproximadas L 120 x A70 x H180 cm.</v>
      </c>
      <c r="J1814" s="213">
        <f>IFERROR(__xludf.DUMMYFUNCTION("""COMPUTED_VALUE"""),3.0)</f>
        <v>3</v>
      </c>
      <c r="K1814" s="213" t="str">
        <f>IFERROR(__xludf.DUMMYFUNCTION("""COMPUTED_VALUE"""),"170 DÍAS CALENDARIO")</f>
        <v>170 DÍAS CALENDARIO</v>
      </c>
      <c r="L1814" s="213" t="str">
        <f>IFERROR(__xludf.DUMMYFUNCTION("""COMPUTED_VALUE"""),"")</f>
        <v/>
      </c>
      <c r="M1814" s="213">
        <f>IFERROR(__xludf.DUMMYFUNCTION("""COMPUTED_VALUE"""),1.0)</f>
        <v>1</v>
      </c>
      <c r="N1814" s="213">
        <f>IFERROR(__xludf.DUMMYFUNCTION("""COMPUTED_VALUE"""),1.0)</f>
        <v>1</v>
      </c>
      <c r="O1814" s="213">
        <f>IFERROR(__xludf.DUMMYFUNCTION("""COMPUTED_VALUE"""),1.0)</f>
        <v>1</v>
      </c>
      <c r="P1814" s="213"/>
      <c r="Q1814" s="213"/>
      <c r="R1814" s="213"/>
      <c r="S1814" s="213" t="str">
        <f>IFERROR(__xludf.DUMMYFUNCTION("""COMPUTED_VALUE"""),"SI")</f>
        <v>SI</v>
      </c>
      <c r="T1814" s="213" t="str">
        <f>IFERROR(__xludf.DUMMYFUNCTION("""COMPUTED_VALUE"""),"SI")</f>
        <v>SI</v>
      </c>
      <c r="U1814" s="213" t="str">
        <f>IFERROR(__xludf.DUMMYFUNCTION("""COMPUTED_VALUE"""),"NO")</f>
        <v>NO</v>
      </c>
      <c r="V1814" s="213" t="str">
        <f>IFERROR(__xludf.DUMMYFUNCTION("""COMPUTED_VALUE"""),"SUSTENTO")</f>
        <v>SUSTENTO</v>
      </c>
      <c r="W1814" s="213" t="str">
        <f>IFERROR(__xludf.DUMMYFUNCTION("""COMPUTED_VALUE"""),"DIMENSIONAL")</f>
        <v>DIMENSIONAL</v>
      </c>
      <c r="X1814" s="213" t="str">
        <f>IFERROR(__xludf.DUMMYFUNCTION("""COMPUTED_VALUE"""),"GTEE")</f>
        <v>GTEE</v>
      </c>
      <c r="Y1814" s="213" t="str">
        <f>IFERROR(__xludf.DUMMYFUNCTION("""COMPUTED_VALUE""")," GTAT-4006 Automotive six type ignition systems training board")</f>
        <v> GTAT-4006 Automotive six type ignition systems training board</v>
      </c>
      <c r="Z1814" s="215" t="str">
        <f>IFERROR(__xludf.DUMMYFUNCTION("""COMPUTED_VALUE"""),"https://drive.google.com/file/d/1r84Ajbk72bxQAFjmoLslzXXUG9dcYk8X/view")</f>
        <v>https://drive.google.com/file/d/1r84Ajbk72bxQAFjmoLslzXXUG9dcYk8X/view</v>
      </c>
      <c r="AA1814" s="215" t="str">
        <f>IFERROR(__xludf.DUMMYFUNCTION("""COMPUTED_VALUE"""),"https://docs.google.com/spreadsheets/d/1y1BvG10kD5fp3N-e7PiZBwVbve6Cl7fbuuGcVkMyQSg/edit?gid=0#gid=2")</f>
        <v>https://docs.google.com/spreadsheets/d/1y1BvG10kD5fp3N-e7PiZBwVbve6Cl7fbuuGcVkMyQSg/edit?gid=0#gid=2</v>
      </c>
      <c r="AB1814" s="215" t="str">
        <f>IFERROR(__xludf.DUMMYFUNCTION("""COMPUTED_VALUE"""),"https://drive.google.com/file/d/1r84Ajbk72bxQAFjmoLslzXXUG9dcYk8X/view")</f>
        <v>https://drive.google.com/file/d/1r84Ajbk72bxQAFjmoLslzXXUG9dcYk8X/view</v>
      </c>
      <c r="AC1814" s="213"/>
      <c r="AD1814" s="213" t="str">
        <f>IFERROR(__xludf.DUMMYFUNCTION("""COMPUTED_VALUE"""),"CHINA CIVIL PAQ 02")</f>
        <v>CHINA CIVIL PAQ 02</v>
      </c>
      <c r="AE1814" s="213" t="str">
        <f>IFERROR(__xludf.DUMMYFUNCTION("""COMPUTED_VALUE"""),"ME-07")</f>
        <v>ME-07</v>
      </c>
      <c r="AF1814" s="213"/>
      <c r="AG1814" s="213"/>
      <c r="AH1814" s="213" t="str">
        <f>IFERROR(__xludf.DUMMYFUNCTION("""COMPUTED_VALUE"""),"IMPORTADO")</f>
        <v>IMPORTADO</v>
      </c>
      <c r="AI1814" s="213"/>
      <c r="AJ1814" s="213"/>
      <c r="AK1814" s="213"/>
      <c r="AL1814" s="213"/>
      <c r="AM1814" s="213"/>
      <c r="AN1814" s="213"/>
      <c r="AO1814" s="213"/>
      <c r="AP1814" s="213" t="str">
        <f>IFERROR(__xludf.DUMMYFUNCTION("""COMPUTED_VALUE"""),"NALDI")</f>
        <v>NALDI</v>
      </c>
      <c r="AQ1814" s="213" t="str">
        <f>IFERROR(__xludf.DUMMYFUNCTION("""COMPUTED_VALUE"""),"PANEL DE ENCENDIDO ELECTRÓNICO - Beifang")</f>
        <v>PANEL DE ENCENDIDO ELECTRÓNICO - Beifang</v>
      </c>
      <c r="AR1814" s="213"/>
      <c r="AS1814" s="213"/>
      <c r="AT1814" s="213"/>
      <c r="AU1814" s="213"/>
      <c r="AV1814" s="213"/>
      <c r="AW1814" s="213"/>
      <c r="AX1814" s="213"/>
      <c r="AY1814" s="213"/>
      <c r="AZ1814" s="213"/>
      <c r="BA1814" s="213"/>
      <c r="BB1814" s="213"/>
      <c r="BC1814" s="213"/>
      <c r="BD1814" s="213"/>
    </row>
    <row r="1815">
      <c r="A1815" s="213">
        <f>IFERROR(__xludf.DUMMYFUNCTION("""COMPUTED_VALUE"""),989.0)</f>
        <v>989</v>
      </c>
      <c r="B1815" s="213" t="str">
        <f>IFERROR(__xludf.DUMMYFUNCTION("""COMPUTED_VALUE"""),"FRANCISCO IRAZOLA")</f>
        <v>FRANCISCO IRAZOLA</v>
      </c>
      <c r="C1815" s="213" t="str">
        <f>IFERROR(__xludf.DUMMYFUNCTION("""COMPUTED_VALUE"""),"TALLER SFT DE MECÁNICA AUTOMOTRIZ")</f>
        <v>TALLER SFT DE MECÁNICA AUTOMOTRIZ</v>
      </c>
      <c r="D1815" s="213" t="str">
        <f>IFERROR(__xludf.DUMMYFUNCTION("""COMPUTED_VALUE"""),"EQUIPOS")</f>
        <v>EQUIPOS</v>
      </c>
      <c r="E1815" s="213" t="str">
        <f>IFERROR(__xludf.DUMMYFUNCTION("""COMPUTED_VALUE"""),"ESP-271")</f>
        <v>ESP-271</v>
      </c>
      <c r="F1815" s="213" t="str">
        <f>IFERROR(__xludf.DUMMYFUNCTION("""COMPUTED_VALUE"""),"ESP-271")</f>
        <v>ESP-271</v>
      </c>
      <c r="G1815" s="213"/>
      <c r="H1815" s="213" t="str">
        <f>IFERROR(__xludf.DUMMYFUNCTION("""COMPUTED_VALUE"""),"MÓDULO EDUCATIVO DE SISTEMA DE LUCES")</f>
        <v>MÓDULO EDUCATIVO DE SISTEMA DE LUCES</v>
      </c>
      <c r="I1815" s="213" t="str">
        <f>IFERROR(__xludf.DUMMYFUNCTION("""COMPUTED_VALUE"""),"El simulador toma en consideración las siguientes instalaciones eléctricas auxiliares presentes en los automóviles modernos:
• Sistemas de alarma y anti-robo
• Vidrios eléctricos
• Regulación eléctrica del asiento
• Regulación automática de la iluminación"&amp;"
• Instalación de auto radio
• Control crucero
• Techo eléctE110:E111rico
Los sistemas utilizan la simbología de norma DIN/IEC. El panel está completo de CAI software.
• Caída de tensión en la conexión en serie
• Lámparas
• Circuitos de luces
• Principios"&amp;" de funcionamiento de relé
• Circuitos con relés
• Circuitos con relé de retardo
• Circuitos de luces de freno (frenos)
• Los circuitos de luz de flash (intermitentes)
• Diodos en circuitos de luz
• Diodos para la separación de los circuitos
• Termistores"&amp;" en los circuitos del automóvil
• Los interruptores térmicos
• Medición de la desviación angular con el potenciómetro
• Simulación de fallas
Dimensiones L 100 x A30 x H120 cm.")</f>
        <v>El simulador toma en consideración las siguientes instalaciones eléctricas auxiliares presentes en los automóviles modernos:
• Sistemas de alarma y anti-robo
• Vidrios eléctricos
• Regulación eléctrica del asiento
• Regulación automática de la iluminación
• Instalación de auto radio
• Control crucero
• Techo eléctE110:E111rico
Los sistemas utilizan la simbología de norma DIN/IEC. El panel está completo de CAI software.
• Caída de tensión en la conexión en serie
• Lámparas
• Circuitos de luces
• Principios de funcionamiento de relé
• Circuitos con relés
• Circuitos con relé de retardo
• Circuitos de luces de freno (frenos)
• Los circuitos de luz de flash (intermitentes)
• Diodos en circuitos de luz
• Diodos para la separación de los circuitos
• Termistores en los circuitos del automóvil
• Los interruptores térmicos
• Medición de la desviación angular con el potenciómetro
• Simulación de fallas
Dimensiones L 100 x A30 x H120 cm.</v>
      </c>
      <c r="J1815" s="213">
        <f>IFERROR(__xludf.DUMMYFUNCTION("""COMPUTED_VALUE"""),3.0)</f>
        <v>3</v>
      </c>
      <c r="K1815" s="213" t="str">
        <f>IFERROR(__xludf.DUMMYFUNCTION("""COMPUTED_VALUE"""),"170 DÍAS CALENDARIO")</f>
        <v>170 DÍAS CALENDARIO</v>
      </c>
      <c r="L1815" s="213" t="str">
        <f>IFERROR(__xludf.DUMMYFUNCTION("""COMPUTED_VALUE"""),"")</f>
        <v/>
      </c>
      <c r="M1815" s="213">
        <f>IFERROR(__xludf.DUMMYFUNCTION("""COMPUTED_VALUE"""),1.0)</f>
        <v>1</v>
      </c>
      <c r="N1815" s="213">
        <f>IFERROR(__xludf.DUMMYFUNCTION("""COMPUTED_VALUE"""),1.0)</f>
        <v>1</v>
      </c>
      <c r="O1815" s="213">
        <f>IFERROR(__xludf.DUMMYFUNCTION("""COMPUTED_VALUE"""),1.0)</f>
        <v>1</v>
      </c>
      <c r="P1815" s="213"/>
      <c r="Q1815" s="213"/>
      <c r="R1815" s="213"/>
      <c r="S1815" s="213" t="str">
        <f>IFERROR(__xludf.DUMMYFUNCTION("""COMPUTED_VALUE"""),"SI")</f>
        <v>SI</v>
      </c>
      <c r="T1815" s="213" t="str">
        <f>IFERROR(__xludf.DUMMYFUNCTION("""COMPUTED_VALUE"""),"SI")</f>
        <v>SI</v>
      </c>
      <c r="U1815" s="213" t="str">
        <f>IFERROR(__xludf.DUMMYFUNCTION("""COMPUTED_VALUE"""),"NO")</f>
        <v>NO</v>
      </c>
      <c r="V1815" s="213" t="str">
        <f>IFERROR(__xludf.DUMMYFUNCTION("""COMPUTED_VALUE"""),"SUSTENTO")</f>
        <v>SUSTENTO</v>
      </c>
      <c r="W1815" s="213" t="str">
        <f>IFERROR(__xludf.DUMMYFUNCTION("""COMPUTED_VALUE"""),"DIMENSIONAL, ERROR EETT")</f>
        <v>DIMENSIONAL, ERROR EETT</v>
      </c>
      <c r="X1815" s="213" t="str">
        <f>IFERROR(__xludf.DUMMYFUNCTION("""COMPUTED_VALUE"""),"GTEE")</f>
        <v>GTEE</v>
      </c>
      <c r="Y1815" s="213" t="str">
        <f>IFERROR(__xludf.DUMMYFUNCTION("""COMPUTED_VALUE"""),"GTAT-4009 Automotive lighting system training board")</f>
        <v>GTAT-4009 Automotive lighting system training board</v>
      </c>
      <c r="Z1815" s="215" t="str">
        <f>IFERROR(__xludf.DUMMYFUNCTION("""COMPUTED_VALUE"""),"https://drive.google.com/file/d/13P1nOQsNR-S0l7BqD7iYctEteibbuiED/view")</f>
        <v>https://drive.google.com/file/d/13P1nOQsNR-S0l7BqD7iYctEteibbuiED/view</v>
      </c>
      <c r="AA1815" s="213" t="str">
        <f>IFERROR(__xludf.DUMMYFUNCTION("""COMPUTED_VALUE"""),"ESP-271 MÓDULO EDUCATIVO DE SISTEMA DE LUCES - CET")</f>
        <v>ESP-271 MÓDULO EDUCATIVO DE SISTEMA DE LUCES - CET</v>
      </c>
      <c r="AB1815" s="215" t="str">
        <f>IFERROR(__xludf.DUMMYFUNCTION("""COMPUTED_VALUE"""),"https://drive.google.com/file/d/13P1nOQsNR-S0l7BqD7iYctEteibbuiED/view")</f>
        <v>https://drive.google.com/file/d/13P1nOQsNR-S0l7BqD7iYctEteibbuiED/view</v>
      </c>
      <c r="AC1815" s="213"/>
      <c r="AD1815" s="213" t="str">
        <f>IFERROR(__xludf.DUMMYFUNCTION("""COMPUTED_VALUE"""),"CHINA CIVIL PAQ 02")</f>
        <v>CHINA CIVIL PAQ 02</v>
      </c>
      <c r="AE1815" s="213" t="str">
        <f>IFERROR(__xludf.DUMMYFUNCTION("""COMPUTED_VALUE"""),"ME-02")</f>
        <v>ME-02</v>
      </c>
      <c r="AF1815" s="213"/>
      <c r="AG1815" s="213"/>
      <c r="AH1815" s="213" t="str">
        <f>IFERROR(__xludf.DUMMYFUNCTION("""COMPUTED_VALUE"""),"IMPORTADO")</f>
        <v>IMPORTADO</v>
      </c>
      <c r="AI1815" s="213"/>
      <c r="AJ1815" s="213"/>
      <c r="AK1815" s="213"/>
      <c r="AL1815" s="213"/>
      <c r="AM1815" s="213"/>
      <c r="AN1815" s="213"/>
      <c r="AO1815" s="213"/>
      <c r="AP1815" s="213" t="str">
        <f>IFERROR(__xludf.DUMMYFUNCTION("""COMPUTED_VALUE"""),"NALDI")</f>
        <v>NALDI</v>
      </c>
      <c r="AQ1815" s="213" t="str">
        <f>IFERROR(__xludf.DUMMYFUNCTION("""COMPUTED_VALUE"""),"PANELES DE ENTRENAMIENTO DEL SISTEMA DE ILUMINACIÓN EXTERIOR - Beifang")</f>
        <v>PANELES DE ENTRENAMIENTO DEL SISTEMA DE ILUMINACIÓN EXTERIOR - Beifang</v>
      </c>
      <c r="AR1815" s="213"/>
      <c r="AS1815" s="213"/>
      <c r="AT1815" s="213"/>
      <c r="AU1815" s="213"/>
      <c r="AV1815" s="213"/>
      <c r="AW1815" s="213"/>
      <c r="AX1815" s="213"/>
      <c r="AY1815" s="213"/>
      <c r="AZ1815" s="213"/>
      <c r="BA1815" s="213"/>
      <c r="BB1815" s="213"/>
      <c r="BC1815" s="213"/>
      <c r="BD1815" s="213"/>
    </row>
    <row r="1816">
      <c r="A1816" s="213">
        <f>IFERROR(__xludf.DUMMYFUNCTION("""COMPUTED_VALUE"""),1594.0)</f>
        <v>1594</v>
      </c>
      <c r="B1816" s="213" t="str">
        <f>IFERROR(__xludf.DUMMYFUNCTION("""COMPUTED_VALUE"""),"GUILLERMO E. BILLINGHURST ")</f>
        <v>GUILLERMO E. BILLINGHURST </v>
      </c>
      <c r="C1816" s="213" t="str">
        <f>IFERROR(__xludf.DUMMYFUNCTION("""COMPUTED_VALUE"""),"TALLER SFT DE MECÁNICA AUTOMOTRIZ")</f>
        <v>TALLER SFT DE MECÁNICA AUTOMOTRIZ</v>
      </c>
      <c r="D1816" s="213" t="str">
        <f>IFERROR(__xludf.DUMMYFUNCTION("""COMPUTED_VALUE"""),"EQUIPOS")</f>
        <v>EQUIPOS</v>
      </c>
      <c r="E1816" s="213" t="str">
        <f>IFERROR(__xludf.DUMMYFUNCTION("""COMPUTED_VALUE"""),"ESP-271")</f>
        <v>ESP-271</v>
      </c>
      <c r="F1816" s="213" t="str">
        <f>IFERROR(__xludf.DUMMYFUNCTION("""COMPUTED_VALUE"""),"ESP-271")</f>
        <v>ESP-271</v>
      </c>
      <c r="G1816" s="213"/>
      <c r="H1816" s="213" t="str">
        <f>IFERROR(__xludf.DUMMYFUNCTION("""COMPUTED_VALUE"""),"MÓDULO EDUCATIVO DE SISTEMA DE LUCES")</f>
        <v>MÓDULO EDUCATIVO DE SISTEMA DE LUCES</v>
      </c>
      <c r="I1816" s="213" t="str">
        <f>IFERROR(__xludf.DUMMYFUNCTION("""COMPUTED_VALUE"""),"El simulador toma en consideración las siguientes instalaciones eléctricas auxiliares presentes en los automóviles modernos:
• Sistemas de alarma y anti-robo
• Vidrios eléctricos
• Regulación eléctrica del asiento
• Regulación automática de la iluminación"&amp;"
• Instalación de auto radio
• Control crucero
• Techo eléctE110:E111rico
Los sistemas utilizan la simbología de norma DIN/IEC. El panel está completo de CAI software.
• Caída de tensión en la conexión en serie
• Lámparas
• Circuitos de luces
• Principios"&amp;" de funcionamiento de relé
• Circuitos con relés
• Circuitos con relé de retardo
• Circuitos de luces de freno (frenos)
• Los circuitos de luz de flash (intermitentes)
• Diodos en circuitos de luz
• Diodos para la separación de los circuitos
• Termistores"&amp;" en los circuitos del automóvil
• Los interruptores térmicos
• Medición de la desviación angular con el potenciómetro
• Simulación de fallas
Dimensiones L 100 x A30 x H120 cm.")</f>
        <v>El simulador toma en consideración las siguientes instalaciones eléctricas auxiliares presentes en los automóviles modernos:
• Sistemas de alarma y anti-robo
• Vidrios eléctricos
• Regulación eléctrica del asiento
• Regulación automática de la iluminación
• Instalación de auto radio
• Control crucero
• Techo eléctE110:E111rico
Los sistemas utilizan la simbología de norma DIN/IEC. El panel está completo de CAI software.
• Caída de tensión en la conexión en serie
• Lámparas
• Circuitos de luces
• Principios de funcionamiento de relé
• Circuitos con relés
• Circuitos con relé de retardo
• Circuitos de luces de freno (frenos)
• Los circuitos de luz de flash (intermitentes)
• Diodos en circuitos de luz
• Diodos para la separación de los circuitos
• Termistores en los circuitos del automóvil
• Los interruptores térmicos
• Medición de la desviación angular con el potenciómetro
• Simulación de fallas
Dimensiones L 100 x A30 x H120 cm.</v>
      </c>
      <c r="J1816" s="213">
        <f>IFERROR(__xludf.DUMMYFUNCTION("""COMPUTED_VALUE"""),3.0)</f>
        <v>3</v>
      </c>
      <c r="K1816" s="213" t="str">
        <f>IFERROR(__xludf.DUMMYFUNCTION("""COMPUTED_VALUE"""),"170 DÍAS CALENDARIO")</f>
        <v>170 DÍAS CALENDARIO</v>
      </c>
      <c r="L1816" s="213" t="str">
        <f>IFERROR(__xludf.DUMMYFUNCTION("""COMPUTED_VALUE"""),"")</f>
        <v/>
      </c>
      <c r="M1816" s="213">
        <f>IFERROR(__xludf.DUMMYFUNCTION("""COMPUTED_VALUE"""),1.0)</f>
        <v>1</v>
      </c>
      <c r="N1816" s="213">
        <f>IFERROR(__xludf.DUMMYFUNCTION("""COMPUTED_VALUE"""),1.0)</f>
        <v>1</v>
      </c>
      <c r="O1816" s="213">
        <f>IFERROR(__xludf.DUMMYFUNCTION("""COMPUTED_VALUE"""),1.0)</f>
        <v>1</v>
      </c>
      <c r="P1816" s="213"/>
      <c r="Q1816" s="213"/>
      <c r="R1816" s="213"/>
      <c r="S1816" s="213" t="str">
        <f>IFERROR(__xludf.DUMMYFUNCTION("""COMPUTED_VALUE"""),"SI")</f>
        <v>SI</v>
      </c>
      <c r="T1816" s="213" t="str">
        <f>IFERROR(__xludf.DUMMYFUNCTION("""COMPUTED_VALUE"""),"SI")</f>
        <v>SI</v>
      </c>
      <c r="U1816" s="213" t="str">
        <f>IFERROR(__xludf.DUMMYFUNCTION("""COMPUTED_VALUE"""),"NO")</f>
        <v>NO</v>
      </c>
      <c r="V1816" s="213" t="str">
        <f>IFERROR(__xludf.DUMMYFUNCTION("""COMPUTED_VALUE"""),"SUSTENTO")</f>
        <v>SUSTENTO</v>
      </c>
      <c r="W1816" s="213" t="str">
        <f>IFERROR(__xludf.DUMMYFUNCTION("""COMPUTED_VALUE"""),"DIMENSIONAL, ERROR EETT")</f>
        <v>DIMENSIONAL, ERROR EETT</v>
      </c>
      <c r="X1816" s="213" t="str">
        <f>IFERROR(__xludf.DUMMYFUNCTION("""COMPUTED_VALUE"""),"GTEE")</f>
        <v>GTEE</v>
      </c>
      <c r="Y1816" s="213" t="str">
        <f>IFERROR(__xludf.DUMMYFUNCTION("""COMPUTED_VALUE"""),"GTAT-4009 Automotive lighting system training board")</f>
        <v>GTAT-4009 Automotive lighting system training board</v>
      </c>
      <c r="Z1816" s="215" t="str">
        <f>IFERROR(__xludf.DUMMYFUNCTION("""COMPUTED_VALUE"""),"https://drive.google.com/file/d/13P1nOQsNR-S0l7BqD7iYctEteibbuiED/view")</f>
        <v>https://drive.google.com/file/d/13P1nOQsNR-S0l7BqD7iYctEteibbuiED/view</v>
      </c>
      <c r="AA1816" s="215" t="str">
        <f>IFERROR(__xludf.DUMMYFUNCTION("""COMPUTED_VALUE"""),"https://docs.google.com/spreadsheets/d/1T-cPYAyMILKluUBUAXt3e5GC7ar7O2ILipCoHt-xLKo/edit?gid=0#gid=1")</f>
        <v>https://docs.google.com/spreadsheets/d/1T-cPYAyMILKluUBUAXt3e5GC7ar7O2ILipCoHt-xLKo/edit?gid=0#gid=1</v>
      </c>
      <c r="AB1816" s="215" t="str">
        <f>IFERROR(__xludf.DUMMYFUNCTION("""COMPUTED_VALUE"""),"https://drive.google.com/file/d/13P1nOQsNR-S0l7BqD7iYctEteibbuiED/view")</f>
        <v>https://drive.google.com/file/d/13P1nOQsNR-S0l7BqD7iYctEteibbuiED/view</v>
      </c>
      <c r="AC1816" s="213"/>
      <c r="AD1816" s="213" t="str">
        <f>IFERROR(__xludf.DUMMYFUNCTION("""COMPUTED_VALUE"""),"CHINA CIVIL PAQ 02")</f>
        <v>CHINA CIVIL PAQ 02</v>
      </c>
      <c r="AE1816" s="213" t="str">
        <f>IFERROR(__xludf.DUMMYFUNCTION("""COMPUTED_VALUE"""),"ME-02")</f>
        <v>ME-02</v>
      </c>
      <c r="AF1816" s="213"/>
      <c r="AG1816" s="213"/>
      <c r="AH1816" s="213" t="str">
        <f>IFERROR(__xludf.DUMMYFUNCTION("""COMPUTED_VALUE"""),"IMPORTADO")</f>
        <v>IMPORTADO</v>
      </c>
      <c r="AI1816" s="213"/>
      <c r="AJ1816" s="213"/>
      <c r="AK1816" s="213"/>
      <c r="AL1816" s="213"/>
      <c r="AM1816" s="213"/>
      <c r="AN1816" s="213"/>
      <c r="AO1816" s="213"/>
      <c r="AP1816" s="213" t="str">
        <f>IFERROR(__xludf.DUMMYFUNCTION("""COMPUTED_VALUE"""),"NALDI")</f>
        <v>NALDI</v>
      </c>
      <c r="AQ1816" s="213" t="str">
        <f>IFERROR(__xludf.DUMMYFUNCTION("""COMPUTED_VALUE"""),"PANELES DE ENTRENAMIENTO DEL SISTEMA DE ILUMINACIÓN EXTERIOR - Beifang")</f>
        <v>PANELES DE ENTRENAMIENTO DEL SISTEMA DE ILUMINACIÓN EXTERIOR - Beifang</v>
      </c>
      <c r="AR1816" s="213"/>
      <c r="AS1816" s="213"/>
      <c r="AT1816" s="213"/>
      <c r="AU1816" s="213"/>
      <c r="AV1816" s="213"/>
      <c r="AW1816" s="213"/>
      <c r="AX1816" s="213"/>
      <c r="AY1816" s="213"/>
      <c r="AZ1816" s="213"/>
      <c r="BA1816" s="213"/>
      <c r="BB1816" s="213"/>
      <c r="BC1816" s="213"/>
      <c r="BD1816" s="213"/>
    </row>
    <row r="1817">
      <c r="A1817" s="213">
        <f>IFERROR(__xludf.DUMMYFUNCTION("""COMPUTED_VALUE"""),2281.0)</f>
        <v>2281</v>
      </c>
      <c r="B1817" s="213" t="str">
        <f>IFERROR(__xludf.DUMMYFUNCTION("""COMPUTED_VALUE"""),"JOSE GRANDA")</f>
        <v>JOSE GRANDA</v>
      </c>
      <c r="C1817" s="213" t="str">
        <f>IFERROR(__xludf.DUMMYFUNCTION("""COMPUTED_VALUE"""),"TALLER SFT DE MECÁNICA AUTOMOTRIZ")</f>
        <v>TALLER SFT DE MECÁNICA AUTOMOTRIZ</v>
      </c>
      <c r="D1817" s="213" t="str">
        <f>IFERROR(__xludf.DUMMYFUNCTION("""COMPUTED_VALUE"""),"EQUIPOS")</f>
        <v>EQUIPOS</v>
      </c>
      <c r="E1817" s="213" t="str">
        <f>IFERROR(__xludf.DUMMYFUNCTION("""COMPUTED_VALUE"""),"ESP-271")</f>
        <v>ESP-271</v>
      </c>
      <c r="F1817" s="213" t="str">
        <f>IFERROR(__xludf.DUMMYFUNCTION("""COMPUTED_VALUE"""),"ESP-271")</f>
        <v>ESP-271</v>
      </c>
      <c r="G1817" s="213"/>
      <c r="H1817" s="213" t="str">
        <f>IFERROR(__xludf.DUMMYFUNCTION("""COMPUTED_VALUE"""),"MÓDULO EDUCATIVO DE SISTEMA DE LUCES")</f>
        <v>MÓDULO EDUCATIVO DE SISTEMA DE LUCES</v>
      </c>
      <c r="I1817" s="213" t="str">
        <f>IFERROR(__xludf.DUMMYFUNCTION("""COMPUTED_VALUE"""),"El simulador toma en consideración las siguientes instalaciones eléctricas auxiliares presentes en los automóviles modernos:
• Sistemas de alarma y anti-robo
• Vidrios eléctricos
• Regulación eléctrica del asiento
• Regulación automática de la iluminación"&amp;"
• Instalación de auto radio
• Control crucero
• Techo eléctE110:E111rico
Los sistemas utilizan la simbología de norma DIN/IEC. El panel está completo de CAI software.
• Caída de tensión en la conexión en serie
• Lámparas
• Circuitos de luces
• Principios"&amp;" de funcionamiento de relé
• Circuitos con relés
• Circuitos con relé de retardo
• Circuitos de luces de freno (frenos)
• Los circuitos de luz de flash (intermitentes)
• Diodos en circuitos de luz
• Diodos para la separación de los circuitos
• Termistores"&amp;" en los circuitos del automóvil
• Los interruptores térmicos
• Medición de la desviación angular con el potenciómetro
• Simulación de fallas
Dimensiones L 100 x A30 x H120 cm.")</f>
        <v>El simulador toma en consideración las siguientes instalaciones eléctricas auxiliares presentes en los automóviles modernos:
• Sistemas de alarma y anti-robo
• Vidrios eléctricos
• Regulación eléctrica del asiento
• Regulación automática de la iluminación
• Instalación de auto radio
• Control crucero
• Techo eléctE110:E111rico
Los sistemas utilizan la simbología de norma DIN/IEC. El panel está completo de CAI software.
• Caída de tensión en la conexión en serie
• Lámparas
• Circuitos de luces
• Principios de funcionamiento de relé
• Circuitos con relés
• Circuitos con relé de retardo
• Circuitos de luces de freno (frenos)
• Los circuitos de luz de flash (intermitentes)
• Diodos en circuitos de luz
• Diodos para la separación de los circuitos
• Termistores en los circuitos del automóvil
• Los interruptores térmicos
• Medición de la desviación angular con el potenciómetro
• Simulación de fallas
Dimensiones L 100 x A30 x H120 cm.</v>
      </c>
      <c r="J1817" s="213">
        <f>IFERROR(__xludf.DUMMYFUNCTION("""COMPUTED_VALUE"""),3.0)</f>
        <v>3</v>
      </c>
      <c r="K1817" s="213" t="str">
        <f>IFERROR(__xludf.DUMMYFUNCTION("""COMPUTED_VALUE"""),"170 DÍAS CALENDARIO")</f>
        <v>170 DÍAS CALENDARIO</v>
      </c>
      <c r="L1817" s="213" t="str">
        <f>IFERROR(__xludf.DUMMYFUNCTION("""COMPUTED_VALUE"""),"")</f>
        <v/>
      </c>
      <c r="M1817" s="213">
        <f>IFERROR(__xludf.DUMMYFUNCTION("""COMPUTED_VALUE"""),1.0)</f>
        <v>1</v>
      </c>
      <c r="N1817" s="213">
        <f>IFERROR(__xludf.DUMMYFUNCTION("""COMPUTED_VALUE"""),1.0)</f>
        <v>1</v>
      </c>
      <c r="O1817" s="213">
        <f>IFERROR(__xludf.DUMMYFUNCTION("""COMPUTED_VALUE"""),1.0)</f>
        <v>1</v>
      </c>
      <c r="P1817" s="213"/>
      <c r="Q1817" s="213"/>
      <c r="R1817" s="213"/>
      <c r="S1817" s="213" t="str">
        <f>IFERROR(__xludf.DUMMYFUNCTION("""COMPUTED_VALUE"""),"SI")</f>
        <v>SI</v>
      </c>
      <c r="T1817" s="213" t="str">
        <f>IFERROR(__xludf.DUMMYFUNCTION("""COMPUTED_VALUE"""),"SI")</f>
        <v>SI</v>
      </c>
      <c r="U1817" s="213" t="str">
        <f>IFERROR(__xludf.DUMMYFUNCTION("""COMPUTED_VALUE"""),"NO")</f>
        <v>NO</v>
      </c>
      <c r="V1817" s="213" t="str">
        <f>IFERROR(__xludf.DUMMYFUNCTION("""COMPUTED_VALUE"""),"SUSTENTO")</f>
        <v>SUSTENTO</v>
      </c>
      <c r="W1817" s="213" t="str">
        <f>IFERROR(__xludf.DUMMYFUNCTION("""COMPUTED_VALUE"""),"DIMENSIONAL, ERROR EETT")</f>
        <v>DIMENSIONAL, ERROR EETT</v>
      </c>
      <c r="X1817" s="213" t="str">
        <f>IFERROR(__xludf.DUMMYFUNCTION("""COMPUTED_VALUE"""),"GTEE")</f>
        <v>GTEE</v>
      </c>
      <c r="Y1817" s="213" t="str">
        <f>IFERROR(__xludf.DUMMYFUNCTION("""COMPUTED_VALUE"""),"GTAT-4009 Automotive lighting system training board")</f>
        <v>GTAT-4009 Automotive lighting system training board</v>
      </c>
      <c r="Z1817" s="215" t="str">
        <f>IFERROR(__xludf.DUMMYFUNCTION("""COMPUTED_VALUE"""),"https://drive.google.com/file/d/13P1nOQsNR-S0l7BqD7iYctEteibbuiED/view")</f>
        <v>https://drive.google.com/file/d/13P1nOQsNR-S0l7BqD7iYctEteibbuiED/view</v>
      </c>
      <c r="AA1817" s="215" t="str">
        <f>IFERROR(__xludf.DUMMYFUNCTION("""COMPUTED_VALUE"""),"https://docs.google.com/spreadsheets/d/1T-cPYAyMILKluUBUAXt3e5GC7ar7O2ILipCoHt-xLKo/edit?gid=0#gid=2")</f>
        <v>https://docs.google.com/spreadsheets/d/1T-cPYAyMILKluUBUAXt3e5GC7ar7O2ILipCoHt-xLKo/edit?gid=0#gid=2</v>
      </c>
      <c r="AB1817" s="215" t="str">
        <f>IFERROR(__xludf.DUMMYFUNCTION("""COMPUTED_VALUE"""),"https://drive.google.com/file/d/13P1nOQsNR-S0l7BqD7iYctEteibbuiED/view")</f>
        <v>https://drive.google.com/file/d/13P1nOQsNR-S0l7BqD7iYctEteibbuiED/view</v>
      </c>
      <c r="AC1817" s="213"/>
      <c r="AD1817" s="213" t="str">
        <f>IFERROR(__xludf.DUMMYFUNCTION("""COMPUTED_VALUE"""),"CHINA CIVIL PAQ 02")</f>
        <v>CHINA CIVIL PAQ 02</v>
      </c>
      <c r="AE1817" s="213" t="str">
        <f>IFERROR(__xludf.DUMMYFUNCTION("""COMPUTED_VALUE"""),"ME-02")</f>
        <v>ME-02</v>
      </c>
      <c r="AF1817" s="213"/>
      <c r="AG1817" s="213"/>
      <c r="AH1817" s="213" t="str">
        <f>IFERROR(__xludf.DUMMYFUNCTION("""COMPUTED_VALUE"""),"IMPORTADO")</f>
        <v>IMPORTADO</v>
      </c>
      <c r="AI1817" s="213"/>
      <c r="AJ1817" s="213"/>
      <c r="AK1817" s="213"/>
      <c r="AL1817" s="213"/>
      <c r="AM1817" s="213"/>
      <c r="AN1817" s="213"/>
      <c r="AO1817" s="213"/>
      <c r="AP1817" s="213" t="str">
        <f>IFERROR(__xludf.DUMMYFUNCTION("""COMPUTED_VALUE"""),"NALDI")</f>
        <v>NALDI</v>
      </c>
      <c r="AQ1817" s="213"/>
      <c r="AR1817" s="213"/>
      <c r="AS1817" s="213"/>
      <c r="AT1817" s="213"/>
      <c r="AU1817" s="213"/>
      <c r="AV1817" s="213"/>
      <c r="AW1817" s="213"/>
      <c r="AX1817" s="213"/>
      <c r="AY1817" s="213"/>
      <c r="AZ1817" s="213"/>
      <c r="BA1817" s="213"/>
      <c r="BB1817" s="213"/>
      <c r="BC1817" s="213"/>
      <c r="BD1817" s="213"/>
    </row>
    <row r="1818">
      <c r="A1818" s="213">
        <f>IFERROR(__xludf.DUMMYFUNCTION("""COMPUTED_VALUE"""),991.0)</f>
        <v>991</v>
      </c>
      <c r="B1818" s="213" t="str">
        <f>IFERROR(__xludf.DUMMYFUNCTION("""COMPUTED_VALUE"""),"FRANCISCO IRAZOLA")</f>
        <v>FRANCISCO IRAZOLA</v>
      </c>
      <c r="C1818" s="213" t="str">
        <f>IFERROR(__xludf.DUMMYFUNCTION("""COMPUTED_VALUE"""),"TALLER SFT DE MECÁNICA AUTOMOTRIZ")</f>
        <v>TALLER SFT DE MECÁNICA AUTOMOTRIZ</v>
      </c>
      <c r="D1818" s="213" t="str">
        <f>IFERROR(__xludf.DUMMYFUNCTION("""COMPUTED_VALUE"""),"EQUIPOS")</f>
        <v>EQUIPOS</v>
      </c>
      <c r="E1818" s="213" t="str">
        <f>IFERROR(__xludf.DUMMYFUNCTION("""COMPUTED_VALUE"""),"ESP-272")</f>
        <v>ESP-272</v>
      </c>
      <c r="F1818" s="213" t="str">
        <f>IFERROR(__xludf.DUMMYFUNCTION("""COMPUTED_VALUE"""),"ESP-272")</f>
        <v>ESP-272</v>
      </c>
      <c r="G1818" s="213"/>
      <c r="H1818" s="213" t="str">
        <f>IFERROR(__xludf.DUMMYFUNCTION("""COMPUTED_VALUE"""),"MÓDULO EDUCATIVO DE SISTEMA ELÉCTRICO ELECTRÓNICO COMPUTARIZADO")</f>
        <v>MÓDULO EDUCATIVO DE SISTEMA ELÉCTRICO ELECTRÓNICO COMPUTARIZADO</v>
      </c>
      <c r="I1818" s="213" t="str">
        <f>IFERROR(__xludf.DUMMYFUNCTION("""COMPUTED_VALUE"""),"· El entrenador adopta el sistema de componentes eléctricos y electrónicos de un automóvil, que consta de objetos principales para demostrar el funcionamiento de los componentes del sistema del automóvil.
· El sistema está diseñado en forma de panel para "&amp;"una educación eficiente.
· El sistema operativo está equipado con componentes como la del motor, cierre centralizado, ventanas eléctricas, el sistema de arranque, el sistema de carga, entre otros.
· En el panel de entrenamiento está instalado terminales d"&amp;"e detección, para detectar señales eléctricas, por ejemplo: resistencia, voltaje, corriente y frecuencia de los componentes del circuito eléctrico - electrónico.
· Dimensiones aproximadas L 120 x A70 x H180 cm.")</f>
        <v>· El entrenador adopta el sistema de componentes eléctricos y electrónicos de un automóvil, que consta de objetos principales para demostrar el funcionamiento de los componentes del sistema del automóvil.
· El sistema está diseñado en forma de panel para una educación eficiente.
· El sistema operativo está equipado con componentes como la del motor, cierre centralizado, ventanas eléctricas, el sistema de arranque, el sistema de carga, entre otros.
· En el panel de entrenamiento está instalado terminales de detección, para detectar señales eléctricas, por ejemplo: resistencia, voltaje, corriente y frecuencia de los componentes del circuito eléctrico - electrónico.
· Dimensiones aproximadas L 120 x A70 x H180 cm.</v>
      </c>
      <c r="J1818" s="213">
        <f>IFERROR(__xludf.DUMMYFUNCTION("""COMPUTED_VALUE"""),3.0)</f>
        <v>3</v>
      </c>
      <c r="K1818" s="213" t="str">
        <f>IFERROR(__xludf.DUMMYFUNCTION("""COMPUTED_VALUE"""),"170 DÍAS CALENDARIO")</f>
        <v>170 DÍAS CALENDARIO</v>
      </c>
      <c r="L1818" s="213" t="str">
        <f>IFERROR(__xludf.DUMMYFUNCTION("""COMPUTED_VALUE"""),"")</f>
        <v/>
      </c>
      <c r="M1818" s="213">
        <f>IFERROR(__xludf.DUMMYFUNCTION("""COMPUTED_VALUE"""),1.0)</f>
        <v>1</v>
      </c>
      <c r="N1818" s="213">
        <f>IFERROR(__xludf.DUMMYFUNCTION("""COMPUTED_VALUE"""),1.0)</f>
        <v>1</v>
      </c>
      <c r="O1818" s="213">
        <f>IFERROR(__xludf.DUMMYFUNCTION("""COMPUTED_VALUE"""),1.0)</f>
        <v>1</v>
      </c>
      <c r="P1818" s="213"/>
      <c r="Q1818" s="213"/>
      <c r="R1818" s="213"/>
      <c r="S1818" s="213" t="str">
        <f>IFERROR(__xludf.DUMMYFUNCTION("""COMPUTED_VALUE"""),"SI")</f>
        <v>SI</v>
      </c>
      <c r="T1818" s="213" t="str">
        <f>IFERROR(__xludf.DUMMYFUNCTION("""COMPUTED_VALUE"""),"SI")</f>
        <v>SI</v>
      </c>
      <c r="U1818" s="213" t="str">
        <f>IFERROR(__xludf.DUMMYFUNCTION("""COMPUTED_VALUE"""),"SI")</f>
        <v>SI</v>
      </c>
      <c r="V1818" s="213" t="str">
        <f>IFERROR(__xludf.DUMMYFUNCTION("""COMPUTED_VALUE"""),"-")</f>
        <v>-</v>
      </c>
      <c r="W1818" s="213" t="str">
        <f>IFERROR(__xludf.DUMMYFUNCTION("""COMPUTED_VALUE"""),"-")</f>
        <v>-</v>
      </c>
      <c r="X1818" s="213" t="str">
        <f>IFERROR(__xludf.DUMMYFUNCTION("""COMPUTED_VALUE"""),"Beifang")</f>
        <v>Beifang</v>
      </c>
      <c r="Y1818" s="213" t="str">
        <f>IFERROR(__xludf.DUMMYFUNCTION("""COMPUTED_VALUE"""),"COMPUTERIZED ELECTRICAL EDUCATIONAL MODULE")</f>
        <v>COMPUTERIZED ELECTRICAL EDUCATIONAL MODULE</v>
      </c>
      <c r="Z1818" s="215" t="str">
        <f>IFERROR(__xludf.DUMMYFUNCTION("""COMPUTED_VALUE"""),"https://drive.google.com/file/d/1LuVwLMnmPPsANbLTrvXmtZYO0lEkGO4E/view")</f>
        <v>https://drive.google.com/file/d/1LuVwLMnmPPsANbLTrvXmtZYO0lEkGO4E/view</v>
      </c>
      <c r="AA1818" s="213" t="str">
        <f>IFERROR(__xludf.DUMMYFUNCTION("""COMPUTED_VALUE"""),"ESP-272 MÓDULO EDUCATIVO DE SISTEMA ELÉCTRICO ELECTRÓNICO COMPUTARIZADO - CET")</f>
        <v>ESP-272 MÓDULO EDUCATIVO DE SISTEMA ELÉCTRICO ELECTRÓNICO COMPUTARIZADO - CET</v>
      </c>
      <c r="AB1818" s="215" t="str">
        <f>IFERROR(__xludf.DUMMYFUNCTION("""COMPUTED_VALUE"""),"https://drive.google.com/file/d/1LuVwLMnmPPsANbLTrvXmtZYO0lEkGO4E/view")</f>
        <v>https://drive.google.com/file/d/1LuVwLMnmPPsANbLTrvXmtZYO0lEkGO4E/view</v>
      </c>
      <c r="AC1818" s="213"/>
      <c r="AD1818" s="213" t="str">
        <f>IFERROR(__xludf.DUMMYFUNCTION("""COMPUTED_VALUE"""),"CHINA CIVIL PAQ 02")</f>
        <v>CHINA CIVIL PAQ 02</v>
      </c>
      <c r="AE1818" s="213" t="str">
        <f>IFERROR(__xludf.DUMMYFUNCTION("""COMPUTED_VALUE"""),"ME-01")</f>
        <v>ME-01</v>
      </c>
      <c r="AF1818" s="213"/>
      <c r="AG1818" s="213"/>
      <c r="AH1818" s="213" t="str">
        <f>IFERROR(__xludf.DUMMYFUNCTION("""COMPUTED_VALUE"""),"IMPORTADO")</f>
        <v>IMPORTADO</v>
      </c>
      <c r="AI1818" s="213"/>
      <c r="AJ1818" s="213"/>
      <c r="AK1818" s="213"/>
      <c r="AL1818" s="213"/>
      <c r="AM1818" s="213"/>
      <c r="AN1818" s="213"/>
      <c r="AO1818" s="213"/>
      <c r="AP1818" s="213" t="str">
        <f>IFERROR(__xludf.DUMMYFUNCTION("""COMPUTED_VALUE"""),"NALDI")</f>
        <v>NALDI</v>
      </c>
      <c r="AQ1818" s="213"/>
      <c r="AR1818" s="213"/>
      <c r="AS1818" s="213"/>
      <c r="AT1818" s="213"/>
      <c r="AU1818" s="213"/>
      <c r="AV1818" s="213"/>
      <c r="AW1818" s="213"/>
      <c r="AX1818" s="213"/>
      <c r="AY1818" s="213"/>
      <c r="AZ1818" s="213"/>
      <c r="BA1818" s="213"/>
      <c r="BB1818" s="213"/>
      <c r="BC1818" s="213"/>
      <c r="BD1818" s="213"/>
    </row>
    <row r="1819">
      <c r="A1819" s="213">
        <f>IFERROR(__xludf.DUMMYFUNCTION("""COMPUTED_VALUE"""),1596.0)</f>
        <v>1596</v>
      </c>
      <c r="B1819" s="213" t="str">
        <f>IFERROR(__xludf.DUMMYFUNCTION("""COMPUTED_VALUE"""),"GUILLERMO E. BILLINGHURST ")</f>
        <v>GUILLERMO E. BILLINGHURST </v>
      </c>
      <c r="C1819" s="213" t="str">
        <f>IFERROR(__xludf.DUMMYFUNCTION("""COMPUTED_VALUE"""),"TALLER SFT DE MECÁNICA AUTOMOTRIZ")</f>
        <v>TALLER SFT DE MECÁNICA AUTOMOTRIZ</v>
      </c>
      <c r="D1819" s="213" t="str">
        <f>IFERROR(__xludf.DUMMYFUNCTION("""COMPUTED_VALUE"""),"EQUIPOS")</f>
        <v>EQUIPOS</v>
      </c>
      <c r="E1819" s="213" t="str">
        <f>IFERROR(__xludf.DUMMYFUNCTION("""COMPUTED_VALUE"""),"ESP-272")</f>
        <v>ESP-272</v>
      </c>
      <c r="F1819" s="213" t="str">
        <f>IFERROR(__xludf.DUMMYFUNCTION("""COMPUTED_VALUE"""),"ESP-272")</f>
        <v>ESP-272</v>
      </c>
      <c r="G1819" s="213"/>
      <c r="H1819" s="213" t="str">
        <f>IFERROR(__xludf.DUMMYFUNCTION("""COMPUTED_VALUE"""),"MÓDULO EDUCATIVO DE SISTEMA ELÉCTRICO ELECTRÓNICO COMPUTARIZADO")</f>
        <v>MÓDULO EDUCATIVO DE SISTEMA ELÉCTRICO ELECTRÓNICO COMPUTARIZADO</v>
      </c>
      <c r="I1819" s="213" t="str">
        <f>IFERROR(__xludf.DUMMYFUNCTION("""COMPUTED_VALUE"""),"· El entrenador adopta el sistema de componentes eléctricos y electrónicos de un automóvil, que consta de objetos principales para demostrar el funcionamiento de los componentes del sistema del automóvil.
· El sistema está diseñado en forma de panel para "&amp;"una educación eficiente.
· El sistema operativo está equipado con componentes como la del motor, cierre centralizado, ventanas eléctricas, el sistema de arranque, el sistema de carga, entre otros.
· En el panel de entrenamiento está instalado terminales d"&amp;"e detección, para detectar señales eléctricas, por ejemplo: resistencia, voltaje, corriente y frecuencia de los componentes del circuito eléctrico - electrónico.
· Dimensiones aproximadas L 120 x A70 x H180 cm.")</f>
        <v>· El entrenador adopta el sistema de componentes eléctricos y electrónicos de un automóvil, que consta de objetos principales para demostrar el funcionamiento de los componentes del sistema del automóvil.
· El sistema está diseñado en forma de panel para una educación eficiente.
· El sistema operativo está equipado con componentes como la del motor, cierre centralizado, ventanas eléctricas, el sistema de arranque, el sistema de carga, entre otros.
· En el panel de entrenamiento está instalado terminales de detección, para detectar señales eléctricas, por ejemplo: resistencia, voltaje, corriente y frecuencia de los componentes del circuito eléctrico - electrónico.
· Dimensiones aproximadas L 120 x A70 x H180 cm.</v>
      </c>
      <c r="J1819" s="213">
        <f>IFERROR(__xludf.DUMMYFUNCTION("""COMPUTED_VALUE"""),3.0)</f>
        <v>3</v>
      </c>
      <c r="K1819" s="213" t="str">
        <f>IFERROR(__xludf.DUMMYFUNCTION("""COMPUTED_VALUE"""),"170 DÍAS CALENDARIO")</f>
        <v>170 DÍAS CALENDARIO</v>
      </c>
      <c r="L1819" s="213" t="str">
        <f>IFERROR(__xludf.DUMMYFUNCTION("""COMPUTED_VALUE"""),"")</f>
        <v/>
      </c>
      <c r="M1819" s="213">
        <f>IFERROR(__xludf.DUMMYFUNCTION("""COMPUTED_VALUE"""),1.0)</f>
        <v>1</v>
      </c>
      <c r="N1819" s="213">
        <f>IFERROR(__xludf.DUMMYFUNCTION("""COMPUTED_VALUE"""),1.0)</f>
        <v>1</v>
      </c>
      <c r="O1819" s="213">
        <f>IFERROR(__xludf.DUMMYFUNCTION("""COMPUTED_VALUE"""),1.0)</f>
        <v>1</v>
      </c>
      <c r="P1819" s="213"/>
      <c r="Q1819" s="213"/>
      <c r="R1819" s="213"/>
      <c r="S1819" s="213" t="str">
        <f>IFERROR(__xludf.DUMMYFUNCTION("""COMPUTED_VALUE"""),"SI")</f>
        <v>SI</v>
      </c>
      <c r="T1819" s="213" t="str">
        <f>IFERROR(__xludf.DUMMYFUNCTION("""COMPUTED_VALUE"""),"SI")</f>
        <v>SI</v>
      </c>
      <c r="U1819" s="213" t="str">
        <f>IFERROR(__xludf.DUMMYFUNCTION("""COMPUTED_VALUE"""),"SI")</f>
        <v>SI</v>
      </c>
      <c r="V1819" s="213" t="str">
        <f>IFERROR(__xludf.DUMMYFUNCTION("""COMPUTED_VALUE"""),"-")</f>
        <v>-</v>
      </c>
      <c r="W1819" s="213" t="str">
        <f>IFERROR(__xludf.DUMMYFUNCTION("""COMPUTED_VALUE"""),"-")</f>
        <v>-</v>
      </c>
      <c r="X1819" s="213" t="str">
        <f>IFERROR(__xludf.DUMMYFUNCTION("""COMPUTED_VALUE"""),"Beifang")</f>
        <v>Beifang</v>
      </c>
      <c r="Y1819" s="213" t="str">
        <f>IFERROR(__xludf.DUMMYFUNCTION("""COMPUTED_VALUE"""),"COMPUTERIZED ELECTRICAL EDUCATIONAL MODULE")</f>
        <v>COMPUTERIZED ELECTRICAL EDUCATIONAL MODULE</v>
      </c>
      <c r="Z1819" s="215" t="str">
        <f>IFERROR(__xludf.DUMMYFUNCTION("""COMPUTED_VALUE"""),"https://drive.google.com/file/d/1LuVwLMnmPPsANbLTrvXmtZYO0lEkGO4E/view")</f>
        <v>https://drive.google.com/file/d/1LuVwLMnmPPsANbLTrvXmtZYO0lEkGO4E/view</v>
      </c>
      <c r="AA1819" s="213" t="str">
        <f>IFERROR(__xludf.DUMMYFUNCTION("""COMPUTED_VALUE"""),"ESP-272 MÓDULO EDUCATIVO DE SISTEMA ELÉCTRICO ELECTRÓNICO COMPUTARIZADO - CET")</f>
        <v>ESP-272 MÓDULO EDUCATIVO DE SISTEMA ELÉCTRICO ELECTRÓNICO COMPUTARIZADO - CET</v>
      </c>
      <c r="AB1819" s="215" t="str">
        <f>IFERROR(__xludf.DUMMYFUNCTION("""COMPUTED_VALUE"""),"https://drive.google.com/file/d/1LuVwLMnmPPsANbLTrvXmtZYO0lEkGO4E/view")</f>
        <v>https://drive.google.com/file/d/1LuVwLMnmPPsANbLTrvXmtZYO0lEkGO4E/view</v>
      </c>
      <c r="AC1819" s="213"/>
      <c r="AD1819" s="213" t="str">
        <f>IFERROR(__xludf.DUMMYFUNCTION("""COMPUTED_VALUE"""),"CHINA CIVIL PAQ 02")</f>
        <v>CHINA CIVIL PAQ 02</v>
      </c>
      <c r="AE1819" s="213" t="str">
        <f>IFERROR(__xludf.DUMMYFUNCTION("""COMPUTED_VALUE"""),"ME-01")</f>
        <v>ME-01</v>
      </c>
      <c r="AF1819" s="213"/>
      <c r="AG1819" s="213"/>
      <c r="AH1819" s="213" t="str">
        <f>IFERROR(__xludf.DUMMYFUNCTION("""COMPUTED_VALUE"""),"IMPORTADO")</f>
        <v>IMPORTADO</v>
      </c>
      <c r="AI1819" s="213"/>
      <c r="AJ1819" s="213"/>
      <c r="AK1819" s="213"/>
      <c r="AL1819" s="213"/>
      <c r="AM1819" s="213"/>
      <c r="AN1819" s="213"/>
      <c r="AO1819" s="213"/>
      <c r="AP1819" s="213" t="str">
        <f>IFERROR(__xludf.DUMMYFUNCTION("""COMPUTED_VALUE"""),"NALDI")</f>
        <v>NALDI</v>
      </c>
      <c r="AQ1819" s="213"/>
      <c r="AR1819" s="213"/>
      <c r="AS1819" s="213"/>
      <c r="AT1819" s="213"/>
      <c r="AU1819" s="213"/>
      <c r="AV1819" s="213"/>
      <c r="AW1819" s="213"/>
      <c r="AX1819" s="213"/>
      <c r="AY1819" s="213"/>
      <c r="AZ1819" s="213"/>
      <c r="BA1819" s="213"/>
      <c r="BB1819" s="213"/>
      <c r="BC1819" s="213"/>
      <c r="BD1819" s="213"/>
    </row>
    <row r="1820">
      <c r="A1820" s="213">
        <f>IFERROR(__xludf.DUMMYFUNCTION("""COMPUTED_VALUE"""),2283.0)</f>
        <v>2283</v>
      </c>
      <c r="B1820" s="213" t="str">
        <f>IFERROR(__xludf.DUMMYFUNCTION("""COMPUTED_VALUE"""),"JOSE GRANDA")</f>
        <v>JOSE GRANDA</v>
      </c>
      <c r="C1820" s="213" t="str">
        <f>IFERROR(__xludf.DUMMYFUNCTION("""COMPUTED_VALUE"""),"TALLER SFT DE MECÁNICA AUTOMOTRIZ")</f>
        <v>TALLER SFT DE MECÁNICA AUTOMOTRIZ</v>
      </c>
      <c r="D1820" s="213" t="str">
        <f>IFERROR(__xludf.DUMMYFUNCTION("""COMPUTED_VALUE"""),"EQUIPOS")</f>
        <v>EQUIPOS</v>
      </c>
      <c r="E1820" s="213" t="str">
        <f>IFERROR(__xludf.DUMMYFUNCTION("""COMPUTED_VALUE"""),"ESP-272")</f>
        <v>ESP-272</v>
      </c>
      <c r="F1820" s="213" t="str">
        <f>IFERROR(__xludf.DUMMYFUNCTION("""COMPUTED_VALUE"""),"ESP-272")</f>
        <v>ESP-272</v>
      </c>
      <c r="G1820" s="213"/>
      <c r="H1820" s="213" t="str">
        <f>IFERROR(__xludf.DUMMYFUNCTION("""COMPUTED_VALUE"""),"MÓDULO EDUCATIVO DE SISTEMA ELÉCTRICO ELECTRÓNICO COMPUTARIZADO")</f>
        <v>MÓDULO EDUCATIVO DE SISTEMA ELÉCTRICO ELECTRÓNICO COMPUTARIZADO</v>
      </c>
      <c r="I1820" s="213" t="str">
        <f>IFERROR(__xludf.DUMMYFUNCTION("""COMPUTED_VALUE"""),"· El entrenador adopta el sistema de componentes eléctricos y electrónicos de un automóvil, que consta de objetos principales para demostrar el funcionamiento de los componentes del sistema del automóvil.
· El sistema está diseñado en forma de panel para "&amp;"una educación eficiente.
· El sistema operativo está equipado con componentes como la del motor, cierre centralizado, ventanas eléctricas, el sistema de arranque, el sistema de carga, entre otros.
· En el panel de entrenamiento está instalado terminales d"&amp;"e detección, para detectar señales eléctricas, por ejemplo: resistencia, voltaje, corriente y frecuencia de los componentes del circuito eléctrico - electrónico.
· Dimensiones aproximadas L 120 x A70 x H180 cm.")</f>
        <v>· El entrenador adopta el sistema de componentes eléctricos y electrónicos de un automóvil, que consta de objetos principales para demostrar el funcionamiento de los componentes del sistema del automóvil.
· El sistema está diseñado en forma de panel para una educación eficiente.
· El sistema operativo está equipado con componentes como la del motor, cierre centralizado, ventanas eléctricas, el sistema de arranque, el sistema de carga, entre otros.
· En el panel de entrenamiento está instalado terminales de detección, para detectar señales eléctricas, por ejemplo: resistencia, voltaje, corriente y frecuencia de los componentes del circuito eléctrico - electrónico.
· Dimensiones aproximadas L 120 x A70 x H180 cm.</v>
      </c>
      <c r="J1820" s="213">
        <f>IFERROR(__xludf.DUMMYFUNCTION("""COMPUTED_VALUE"""),3.0)</f>
        <v>3</v>
      </c>
      <c r="K1820" s="213" t="str">
        <f>IFERROR(__xludf.DUMMYFUNCTION("""COMPUTED_VALUE"""),"170 DÍAS CALENDARIO")</f>
        <v>170 DÍAS CALENDARIO</v>
      </c>
      <c r="L1820" s="213" t="str">
        <f>IFERROR(__xludf.DUMMYFUNCTION("""COMPUTED_VALUE"""),"")</f>
        <v/>
      </c>
      <c r="M1820" s="213">
        <f>IFERROR(__xludf.DUMMYFUNCTION("""COMPUTED_VALUE"""),1.0)</f>
        <v>1</v>
      </c>
      <c r="N1820" s="213">
        <f>IFERROR(__xludf.DUMMYFUNCTION("""COMPUTED_VALUE"""),1.0)</f>
        <v>1</v>
      </c>
      <c r="O1820" s="213">
        <f>IFERROR(__xludf.DUMMYFUNCTION("""COMPUTED_VALUE"""),1.0)</f>
        <v>1</v>
      </c>
      <c r="P1820" s="213"/>
      <c r="Q1820" s="213"/>
      <c r="R1820" s="213"/>
      <c r="S1820" s="213" t="str">
        <f>IFERROR(__xludf.DUMMYFUNCTION("""COMPUTED_VALUE"""),"SI")</f>
        <v>SI</v>
      </c>
      <c r="T1820" s="213" t="str">
        <f>IFERROR(__xludf.DUMMYFUNCTION("""COMPUTED_VALUE"""),"SI")</f>
        <v>SI</v>
      </c>
      <c r="U1820" s="213" t="str">
        <f>IFERROR(__xludf.DUMMYFUNCTION("""COMPUTED_VALUE"""),"SI")</f>
        <v>SI</v>
      </c>
      <c r="V1820" s="213" t="str">
        <f>IFERROR(__xludf.DUMMYFUNCTION("""COMPUTED_VALUE"""),"-")</f>
        <v>-</v>
      </c>
      <c r="W1820" s="213" t="str">
        <f>IFERROR(__xludf.DUMMYFUNCTION("""COMPUTED_VALUE"""),"-")</f>
        <v>-</v>
      </c>
      <c r="X1820" s="213" t="str">
        <f>IFERROR(__xludf.DUMMYFUNCTION("""COMPUTED_VALUE"""),"Beifang")</f>
        <v>Beifang</v>
      </c>
      <c r="Y1820" s="213" t="str">
        <f>IFERROR(__xludf.DUMMYFUNCTION("""COMPUTED_VALUE"""),"COMPUTERIZED ELECTRICAL EDUCATIONAL MODULE")</f>
        <v>COMPUTERIZED ELECTRICAL EDUCATIONAL MODULE</v>
      </c>
      <c r="Z1820" s="215" t="str">
        <f>IFERROR(__xludf.DUMMYFUNCTION("""COMPUTED_VALUE"""),"https://drive.google.com/file/d/1LuVwLMnmPPsANbLTrvXmtZYO0lEkGO4E/view")</f>
        <v>https://drive.google.com/file/d/1LuVwLMnmPPsANbLTrvXmtZYO0lEkGO4E/view</v>
      </c>
      <c r="AA1820" s="213" t="str">
        <f>IFERROR(__xludf.DUMMYFUNCTION("""COMPUTED_VALUE"""),"ESP-272 MÓDULO EDUCATIVO DE SISTEMA ELÉCTRICO ELECTRÓNICO COMPUTARIZADO - CET")</f>
        <v>ESP-272 MÓDULO EDUCATIVO DE SISTEMA ELÉCTRICO ELECTRÓNICO COMPUTARIZADO - CET</v>
      </c>
      <c r="AB1820" s="215" t="str">
        <f>IFERROR(__xludf.DUMMYFUNCTION("""COMPUTED_VALUE"""),"https://drive.google.com/file/d/1LuVwLMnmPPsANbLTrvXmtZYO0lEkGO4E/view")</f>
        <v>https://drive.google.com/file/d/1LuVwLMnmPPsANbLTrvXmtZYO0lEkGO4E/view</v>
      </c>
      <c r="AC1820" s="213"/>
      <c r="AD1820" s="213" t="str">
        <f>IFERROR(__xludf.DUMMYFUNCTION("""COMPUTED_VALUE"""),"CHINA CIVIL PAQ 02")</f>
        <v>CHINA CIVIL PAQ 02</v>
      </c>
      <c r="AE1820" s="213" t="str">
        <f>IFERROR(__xludf.DUMMYFUNCTION("""COMPUTED_VALUE"""),"ME-01")</f>
        <v>ME-01</v>
      </c>
      <c r="AF1820" s="213"/>
      <c r="AG1820" s="213"/>
      <c r="AH1820" s="213" t="str">
        <f>IFERROR(__xludf.DUMMYFUNCTION("""COMPUTED_VALUE"""),"IMPORTADO")</f>
        <v>IMPORTADO</v>
      </c>
      <c r="AI1820" s="213"/>
      <c r="AJ1820" s="213"/>
      <c r="AK1820" s="213"/>
      <c r="AL1820" s="213"/>
      <c r="AM1820" s="213"/>
      <c r="AN1820" s="213"/>
      <c r="AO1820" s="213"/>
      <c r="AP1820" s="213" t="str">
        <f>IFERROR(__xludf.DUMMYFUNCTION("""COMPUTED_VALUE"""),"NALDI")</f>
        <v>NALDI</v>
      </c>
      <c r="AQ1820" s="213"/>
      <c r="AR1820" s="213"/>
      <c r="AS1820" s="213"/>
      <c r="AT1820" s="213"/>
      <c r="AU1820" s="213"/>
      <c r="AV1820" s="213"/>
      <c r="AW1820" s="213"/>
      <c r="AX1820" s="213"/>
      <c r="AY1820" s="213"/>
      <c r="AZ1820" s="213"/>
      <c r="BA1820" s="213"/>
      <c r="BB1820" s="213"/>
      <c r="BC1820" s="213"/>
      <c r="BD1820" s="213"/>
    </row>
    <row r="1821">
      <c r="A1821" s="213">
        <f>IFERROR(__xludf.DUMMYFUNCTION("""COMPUTED_VALUE"""),1591.0)</f>
        <v>1591</v>
      </c>
      <c r="B1821" s="213" t="str">
        <f>IFERROR(__xludf.DUMMYFUNCTION("""COMPUTED_VALUE"""),"GUILLERMO E. BILLINGHURST ")</f>
        <v>GUILLERMO E. BILLINGHURST </v>
      </c>
      <c r="C1821" s="213" t="str">
        <f>IFERROR(__xludf.DUMMYFUNCTION("""COMPUTED_VALUE"""),"TALLER SFT DE MECÁNICA AUTOMOTRIZ")</f>
        <v>TALLER SFT DE MECÁNICA AUTOMOTRIZ</v>
      </c>
      <c r="D1821" s="213" t="str">
        <f>IFERROR(__xludf.DUMMYFUNCTION("""COMPUTED_VALUE"""),"EQUIPOS")</f>
        <v>EQUIPOS</v>
      </c>
      <c r="E1821" s="213" t="str">
        <f>IFERROR(__xludf.DUMMYFUNCTION("""COMPUTED_VALUE"""),"ESP-273")</f>
        <v>ESP-273</v>
      </c>
      <c r="F1821" s="213" t="str">
        <f>IFERROR(__xludf.DUMMYFUNCTION("""COMPUTED_VALUE"""),"ESP-273")</f>
        <v>ESP-273</v>
      </c>
      <c r="G1821" s="213"/>
      <c r="H1821" s="213" t="str">
        <f>IFERROR(__xludf.DUMMYFUNCTION("""COMPUTED_VALUE"""),"MÓDULO EDUCATIVO DE SUSPENSIÓN, DIRECCIÓN Y FRENOS")</f>
        <v>MÓDULO EDUCATIVO DE SUSPENSIÓN, DIRECCIÓN Y FRENOS</v>
      </c>
      <c r="I1821" s="213" t="str">
        <f>IFERROR(__xludf.DUMMYFUNCTION("""COMPUTED_VALUE"""),"· Diseñado en base al chasis de un automóvil
· Ilustra los procesos de trabajo de montaje de los sistemas de dirección, frenado y conducción del automóvil.
· Satisface la necesidad de enseñanza de la estructura del sistema del chasis (suspensión), la simu"&amp;"lación de trabajo en la práctica de montaje y desmontaje.
· Se puede realizar trabajo de alineación en las ruedas.
· Ayuda a los estudiantes a comprender mejor el conocimiento del chasis del automóvil.
· Dimensiones aproximadas L 400 x A160 x H85 cm")</f>
        <v>· Diseñado en base al chasis de un automóvil
· Ilustra los procesos de trabajo de montaje de los sistemas de dirección, frenado y conducción del automóvil.
· Satisface la necesidad de enseñanza de la estructura del sistema del chasis (suspensión), la simulación de trabajo en la práctica de montaje y desmontaje.
· Se puede realizar trabajo de alineación en las ruedas.
· Ayuda a los estudiantes a comprender mejor el conocimiento del chasis del automóvil.
· Dimensiones aproximadas L 400 x A160 x H85 cm</v>
      </c>
      <c r="J1821" s="213">
        <f>IFERROR(__xludf.DUMMYFUNCTION("""COMPUTED_VALUE"""),3.0)</f>
        <v>3</v>
      </c>
      <c r="K1821" s="213" t="str">
        <f>IFERROR(__xludf.DUMMYFUNCTION("""COMPUTED_VALUE"""),"170 DÍAS CALENDARIO")</f>
        <v>170 DÍAS CALENDARIO</v>
      </c>
      <c r="L1821" s="213" t="str">
        <f>IFERROR(__xludf.DUMMYFUNCTION("""COMPUTED_VALUE"""),"")</f>
        <v/>
      </c>
      <c r="M1821" s="213">
        <f>IFERROR(__xludf.DUMMYFUNCTION("""COMPUTED_VALUE"""),1.0)</f>
        <v>1</v>
      </c>
      <c r="N1821" s="213">
        <f>IFERROR(__xludf.DUMMYFUNCTION("""COMPUTED_VALUE"""),1.0)</f>
        <v>1</v>
      </c>
      <c r="O1821" s="213">
        <f>IFERROR(__xludf.DUMMYFUNCTION("""COMPUTED_VALUE"""),1.0)</f>
        <v>1</v>
      </c>
      <c r="P1821" s="213"/>
      <c r="Q1821" s="213"/>
      <c r="R1821" s="213"/>
      <c r="S1821" s="213" t="str">
        <f>IFERROR(__xludf.DUMMYFUNCTION("""COMPUTED_VALUE"""),"SI")</f>
        <v>SI</v>
      </c>
      <c r="T1821" s="213" t="str">
        <f>IFERROR(__xludf.DUMMYFUNCTION("""COMPUTED_VALUE"""),"SI")</f>
        <v>SI</v>
      </c>
      <c r="U1821" s="213" t="str">
        <f>IFERROR(__xludf.DUMMYFUNCTION("""COMPUTED_VALUE"""),"NO")</f>
        <v>NO</v>
      </c>
      <c r="V1821" s="213" t="str">
        <f>IFERROR(__xludf.DUMMYFUNCTION("""COMPUTED_VALUE"""),"SUSTENTO")</f>
        <v>SUSTENTO</v>
      </c>
      <c r="W1821" s="213" t="str">
        <f>IFERROR(__xludf.DUMMYFUNCTION("""COMPUTED_VALUE"""),"DIMENSIONAL")</f>
        <v>DIMENSIONAL</v>
      </c>
      <c r="X1821" s="213" t="str">
        <f>IFERROR(__xludf.DUMMYFUNCTION("""COMPUTED_VALUE"""),"GTEE")</f>
        <v>GTEE</v>
      </c>
      <c r="Y1821" s="213" t="str">
        <f>IFERROR(__xludf.DUMMYFUNCTION("""COMPUTED_VALUE"""),"GTAT-2019  Four wheel power steering trainer")</f>
        <v>GTAT-2019  Four wheel power steering trainer</v>
      </c>
      <c r="Z1821" s="215" t="str">
        <f>IFERROR(__xludf.DUMMYFUNCTION("""COMPUTED_VALUE"""),"https://docs.google.com/spreadsheets/d/1ZbJwCNKfEnpacrUjWzwIuLTtr0-inU9Fa_KHBY0AHGk/edit?gid=0#gid=0")</f>
        <v>https://docs.google.com/spreadsheets/d/1ZbJwCNKfEnpacrUjWzwIuLTtr0-inU9Fa_KHBY0AHGk/edit?gid=0#gid=0</v>
      </c>
      <c r="AA1821" s="213" t="str">
        <f>IFERROR(__xludf.DUMMYFUNCTION("""COMPUTED_VALUE"""),"ESP-273 MÓDULO EDUCATIVO DE SUSPENSIÓN, DIRECCIÓN Y FRENOS - CET")</f>
        <v>ESP-273 MÓDULO EDUCATIVO DE SUSPENSIÓN, DIRECCIÓN Y FRENOS - CET</v>
      </c>
      <c r="AB1821" s="215" t="str">
        <f>IFERROR(__xludf.DUMMYFUNCTION("""COMPUTED_VALUE"""),"https://drive.google.com/file/d/1v1Xf9px0ktf3twzswL6hU78X7hHpzbSn/view?usp=sharing")</f>
        <v>https://drive.google.com/file/d/1v1Xf9px0ktf3twzswL6hU78X7hHpzbSn/view?usp=sharing</v>
      </c>
      <c r="AC1821" s="213"/>
      <c r="AD1821" s="213" t="str">
        <f>IFERROR(__xludf.DUMMYFUNCTION("""COMPUTED_VALUE"""),"CHINA CIVIL PAQ 02")</f>
        <v>CHINA CIVIL PAQ 02</v>
      </c>
      <c r="AE1821" s="213" t="str">
        <f>IFERROR(__xludf.DUMMYFUNCTION("""COMPUTED_VALUE"""),"ME-10")</f>
        <v>ME-10</v>
      </c>
      <c r="AF1821" s="213"/>
      <c r="AG1821" s="213"/>
      <c r="AH1821" s="213" t="str">
        <f>IFERROR(__xludf.DUMMYFUNCTION("""COMPUTED_VALUE"""),"IMPORTADO")</f>
        <v>IMPORTADO</v>
      </c>
      <c r="AI1821" s="213"/>
      <c r="AJ1821" s="213"/>
      <c r="AK1821" s="213"/>
      <c r="AL1821" s="213"/>
      <c r="AM1821" s="213"/>
      <c r="AN1821" s="213"/>
      <c r="AO1821" s="213"/>
      <c r="AP1821" s="213" t="str">
        <f>IFERROR(__xludf.DUMMYFUNCTION("""COMPUTED_VALUE"""),"NALDI")</f>
        <v>NALDI</v>
      </c>
      <c r="AQ1821" s="213"/>
      <c r="AR1821" s="213"/>
      <c r="AS1821" s="213"/>
      <c r="AT1821" s="213"/>
      <c r="AU1821" s="213"/>
      <c r="AV1821" s="213"/>
      <c r="AW1821" s="213"/>
      <c r="AX1821" s="213"/>
      <c r="AY1821" s="213"/>
      <c r="AZ1821" s="213"/>
      <c r="BA1821" s="213"/>
      <c r="BB1821" s="213"/>
      <c r="BC1821" s="213"/>
      <c r="BD1821" s="213"/>
    </row>
    <row r="1822">
      <c r="A1822" s="213">
        <f>IFERROR(__xludf.DUMMYFUNCTION("""COMPUTED_VALUE"""),2278.0)</f>
        <v>2278</v>
      </c>
      <c r="B1822" s="213" t="str">
        <f>IFERROR(__xludf.DUMMYFUNCTION("""COMPUTED_VALUE"""),"JOSE GRANDA")</f>
        <v>JOSE GRANDA</v>
      </c>
      <c r="C1822" s="213" t="str">
        <f>IFERROR(__xludf.DUMMYFUNCTION("""COMPUTED_VALUE"""),"TALLER SFT DE MECÁNICA AUTOMOTRIZ")</f>
        <v>TALLER SFT DE MECÁNICA AUTOMOTRIZ</v>
      </c>
      <c r="D1822" s="213" t="str">
        <f>IFERROR(__xludf.DUMMYFUNCTION("""COMPUTED_VALUE"""),"EQUIPOS")</f>
        <v>EQUIPOS</v>
      </c>
      <c r="E1822" s="213" t="str">
        <f>IFERROR(__xludf.DUMMYFUNCTION("""COMPUTED_VALUE"""),"ESP-273")</f>
        <v>ESP-273</v>
      </c>
      <c r="F1822" s="213" t="str">
        <f>IFERROR(__xludf.DUMMYFUNCTION("""COMPUTED_VALUE"""),"ESP-273")</f>
        <v>ESP-273</v>
      </c>
      <c r="G1822" s="213"/>
      <c r="H1822" s="213" t="str">
        <f>IFERROR(__xludf.DUMMYFUNCTION("""COMPUTED_VALUE"""),"MÓDULO EDUCATIVO DE SUSPENSIÓN, DIRECCIÓN Y FRENOS")</f>
        <v>MÓDULO EDUCATIVO DE SUSPENSIÓN, DIRECCIÓN Y FRENOS</v>
      </c>
      <c r="I1822" s="213" t="str">
        <f>IFERROR(__xludf.DUMMYFUNCTION("""COMPUTED_VALUE"""),"· Diseñado en base al chasis de un automóvil
· Ilustra los procesos de trabajo de montaje de los sistemas de dirección, frenado y conducción del automóvil.
· Satisface la necesidad de enseñanza de la estructura del sistema del chasis (suspensión), la simu"&amp;"lación de trabajo en la práctica de montaje y desmontaje.
· Se puede realizar trabajo de alineación en las ruedas.
· Ayuda a los estudiantes a comprender mejor el conocimiento del chasis del automóvil.
· Dimensiones aproximadas L 400 x A160 x H85 cm")</f>
        <v>· Diseñado en base al chasis de un automóvil
· Ilustra los procesos de trabajo de montaje de los sistemas de dirección, frenado y conducción del automóvil.
· Satisface la necesidad de enseñanza de la estructura del sistema del chasis (suspensión), la simulación de trabajo en la práctica de montaje y desmontaje.
· Se puede realizar trabajo de alineación en las ruedas.
· Ayuda a los estudiantes a comprender mejor el conocimiento del chasis del automóvil.
· Dimensiones aproximadas L 400 x A160 x H85 cm</v>
      </c>
      <c r="J1822" s="213">
        <f>IFERROR(__xludf.DUMMYFUNCTION("""COMPUTED_VALUE"""),3.0)</f>
        <v>3</v>
      </c>
      <c r="K1822" s="213" t="str">
        <f>IFERROR(__xludf.DUMMYFUNCTION("""COMPUTED_VALUE"""),"170 DÍAS CALENDARIO")</f>
        <v>170 DÍAS CALENDARIO</v>
      </c>
      <c r="L1822" s="213" t="str">
        <f>IFERROR(__xludf.DUMMYFUNCTION("""COMPUTED_VALUE"""),"")</f>
        <v/>
      </c>
      <c r="M1822" s="213">
        <f>IFERROR(__xludf.DUMMYFUNCTION("""COMPUTED_VALUE"""),1.0)</f>
        <v>1</v>
      </c>
      <c r="N1822" s="213">
        <f>IFERROR(__xludf.DUMMYFUNCTION("""COMPUTED_VALUE"""),1.0)</f>
        <v>1</v>
      </c>
      <c r="O1822" s="213">
        <f>IFERROR(__xludf.DUMMYFUNCTION("""COMPUTED_VALUE"""),1.0)</f>
        <v>1</v>
      </c>
      <c r="P1822" s="213"/>
      <c r="Q1822" s="213"/>
      <c r="R1822" s="213"/>
      <c r="S1822" s="213" t="str">
        <f>IFERROR(__xludf.DUMMYFUNCTION("""COMPUTED_VALUE"""),"SI")</f>
        <v>SI</v>
      </c>
      <c r="T1822" s="213" t="str">
        <f>IFERROR(__xludf.DUMMYFUNCTION("""COMPUTED_VALUE"""),"SI")</f>
        <v>SI</v>
      </c>
      <c r="U1822" s="213" t="str">
        <f>IFERROR(__xludf.DUMMYFUNCTION("""COMPUTED_VALUE"""),"NO")</f>
        <v>NO</v>
      </c>
      <c r="V1822" s="213" t="str">
        <f>IFERROR(__xludf.DUMMYFUNCTION("""COMPUTED_VALUE"""),"SUSTENTO")</f>
        <v>SUSTENTO</v>
      </c>
      <c r="W1822" s="213" t="str">
        <f>IFERROR(__xludf.DUMMYFUNCTION("""COMPUTED_VALUE"""),"DIMENSIONAL")</f>
        <v>DIMENSIONAL</v>
      </c>
      <c r="X1822" s="213" t="str">
        <f>IFERROR(__xludf.DUMMYFUNCTION("""COMPUTED_VALUE"""),"GTEE")</f>
        <v>GTEE</v>
      </c>
      <c r="Y1822" s="213" t="str">
        <f>IFERROR(__xludf.DUMMYFUNCTION("""COMPUTED_VALUE"""),"GTAT-2019  Four wheel power steering trainer")</f>
        <v>GTAT-2019  Four wheel power steering trainer</v>
      </c>
      <c r="Z1822" s="215" t="str">
        <f>IFERROR(__xludf.DUMMYFUNCTION("""COMPUTED_VALUE"""),"https://docs.google.com/spreadsheets/d/1ZbJwCNKfEnpacrUjWzwIuLTtr0-inU9Fa_KHBY0AHGk/edit?gid=0#gid=0")</f>
        <v>https://docs.google.com/spreadsheets/d/1ZbJwCNKfEnpacrUjWzwIuLTtr0-inU9Fa_KHBY0AHGk/edit?gid=0#gid=0</v>
      </c>
      <c r="AA1822" s="213" t="str">
        <f>IFERROR(__xludf.DUMMYFUNCTION("""COMPUTED_VALUE"""),"ESP-273 MÓDULO EDUCATIVO DE SUSPENSIÓN, DIRECCIÓN Y FRENOS - CET")</f>
        <v>ESP-273 MÓDULO EDUCATIVO DE SUSPENSIÓN, DIRECCIÓN Y FRENOS - CET</v>
      </c>
      <c r="AB1822" s="215" t="str">
        <f>IFERROR(__xludf.DUMMYFUNCTION("""COMPUTED_VALUE"""),"https://drive.google.com/file/d/1v1Xf9px0ktf3twzswL6hU78X7hHpzbSn/view?usp=sharing")</f>
        <v>https://drive.google.com/file/d/1v1Xf9px0ktf3twzswL6hU78X7hHpzbSn/view?usp=sharing</v>
      </c>
      <c r="AC1822" s="213"/>
      <c r="AD1822" s="213" t="str">
        <f>IFERROR(__xludf.DUMMYFUNCTION("""COMPUTED_VALUE"""),"CHINA CIVIL PAQ 02")</f>
        <v>CHINA CIVIL PAQ 02</v>
      </c>
      <c r="AE1822" s="213" t="str">
        <f>IFERROR(__xludf.DUMMYFUNCTION("""COMPUTED_VALUE"""),"ME-10")</f>
        <v>ME-10</v>
      </c>
      <c r="AF1822" s="213"/>
      <c r="AG1822" s="213"/>
      <c r="AH1822" s="213" t="str">
        <f>IFERROR(__xludf.DUMMYFUNCTION("""COMPUTED_VALUE"""),"IMPORTADO")</f>
        <v>IMPORTADO</v>
      </c>
      <c r="AI1822" s="213"/>
      <c r="AJ1822" s="213"/>
      <c r="AK1822" s="213"/>
      <c r="AL1822" s="213"/>
      <c r="AM1822" s="213"/>
      <c r="AN1822" s="213"/>
      <c r="AO1822" s="213"/>
      <c r="AP1822" s="213" t="str">
        <f>IFERROR(__xludf.DUMMYFUNCTION("""COMPUTED_VALUE"""),"NALDI")</f>
        <v>NALDI</v>
      </c>
      <c r="AQ1822" s="213"/>
      <c r="AR1822" s="213"/>
      <c r="AS1822" s="213"/>
      <c r="AT1822" s="213"/>
      <c r="AU1822" s="213"/>
      <c r="AV1822" s="213"/>
      <c r="AW1822" s="213"/>
      <c r="AX1822" s="213"/>
      <c r="AY1822" s="213"/>
      <c r="AZ1822" s="213"/>
      <c r="BA1822" s="213"/>
      <c r="BB1822" s="213"/>
      <c r="BC1822" s="213"/>
      <c r="BD1822" s="213"/>
    </row>
    <row r="1823">
      <c r="A1823" s="213">
        <f>IFERROR(__xludf.DUMMYFUNCTION("""COMPUTED_VALUE"""),987.0)</f>
        <v>987</v>
      </c>
      <c r="B1823" s="213" t="str">
        <f>IFERROR(__xludf.DUMMYFUNCTION("""COMPUTED_VALUE"""),"FRANCISCO IRAZOLA")</f>
        <v>FRANCISCO IRAZOLA</v>
      </c>
      <c r="C1823" s="213" t="str">
        <f>IFERROR(__xludf.DUMMYFUNCTION("""COMPUTED_VALUE"""),"TALLER SFT DE MECÁNICA AUTOMOTRIZ")</f>
        <v>TALLER SFT DE MECÁNICA AUTOMOTRIZ</v>
      </c>
      <c r="D1823" s="213" t="str">
        <f>IFERROR(__xludf.DUMMYFUNCTION("""COMPUTED_VALUE"""),"EQUIPOS")</f>
        <v>EQUIPOS</v>
      </c>
      <c r="E1823" s="213" t="str">
        <f>IFERROR(__xludf.DUMMYFUNCTION("""COMPUTED_VALUE"""),"ESP-274")</f>
        <v>ESP-274</v>
      </c>
      <c r="F1823" s="213" t="str">
        <f>IFERROR(__xludf.DUMMYFUNCTION("""COMPUTED_VALUE"""),"ESP-274")</f>
        <v>ESP-274</v>
      </c>
      <c r="G1823" s="213"/>
      <c r="H1823" s="213" t="str">
        <f>IFERROR(__xludf.DUMMYFUNCTION("""COMPUTED_VALUE"""),"MÓDULO EDUCATIVO Y SIMULADOR DE SISTEMA DE FRENOS ABS Y TCS CONTROL DE TRACCIÓN")</f>
        <v>MÓDULO EDUCATIVO Y SIMULADOR DE SISTEMA DE FRENOS ABS Y TCS CONTROL DE TRACCIÓN</v>
      </c>
      <c r="I1823" s="213" t="str">
        <f>IFERROR(__xludf.DUMMYFUNCTION("""COMPUTED_VALUE"""),"· Se fabrica como una unidad educativa, con la misma condición de vehículo real para una educación eficiente.
· Posee componentes reales y en buen estado del vehículo original.
· Es un sistema equipado con componentes ABS de automóvil, como la unidad de c"&amp;"ontrol ABS, válvulas, sensor de velocidad, entre otros.
· Comprende el funcionamiento y los principios operativos a través del experimento, diagnosticando las fallas.
· El giro de los discos son accionados por motores eléctricos, los cuales se puede contr"&amp;"olar la velocidad.
· Dimensiones aproximadas L 165 x A110 x H150 cm.")</f>
        <v>· Se fabrica como una unidad educativa, con la misma condición de vehículo real para una educación eficiente.
· Posee componentes reales y en buen estado del vehículo original.
· Es un sistema equipado con componentes ABS de automóvil, como la unidad de control ABS, válvulas, sensor de velocidad, entre otros.
· Comprende el funcionamiento y los principios operativos a través del experimento, diagnosticando las fallas.
· El giro de los discos son accionados por motores eléctricos, los cuales se puede controlar la velocidad.
· Dimensiones aproximadas L 165 x A110 x H150 cm.</v>
      </c>
      <c r="J1823" s="213">
        <f>IFERROR(__xludf.DUMMYFUNCTION("""COMPUTED_VALUE"""),3.0)</f>
        <v>3</v>
      </c>
      <c r="K1823" s="213" t="str">
        <f>IFERROR(__xludf.DUMMYFUNCTION("""COMPUTED_VALUE"""),"170 DÍAS CALENDARIO")</f>
        <v>170 DÍAS CALENDARIO</v>
      </c>
      <c r="L1823" s="213" t="str">
        <f>IFERROR(__xludf.DUMMYFUNCTION("""COMPUTED_VALUE"""),"")</f>
        <v/>
      </c>
      <c r="M1823" s="213">
        <f>IFERROR(__xludf.DUMMYFUNCTION("""COMPUTED_VALUE"""),1.0)</f>
        <v>1</v>
      </c>
      <c r="N1823" s="213">
        <f>IFERROR(__xludf.DUMMYFUNCTION("""COMPUTED_VALUE"""),1.0)</f>
        <v>1</v>
      </c>
      <c r="O1823" s="213">
        <f>IFERROR(__xludf.DUMMYFUNCTION("""COMPUTED_VALUE"""),1.0)</f>
        <v>1</v>
      </c>
      <c r="P1823" s="213"/>
      <c r="Q1823" s="213"/>
      <c r="R1823" s="213"/>
      <c r="S1823" s="213" t="str">
        <f>IFERROR(__xludf.DUMMYFUNCTION("""COMPUTED_VALUE"""),"SI")</f>
        <v>SI</v>
      </c>
      <c r="T1823" s="213" t="str">
        <f>IFERROR(__xludf.DUMMYFUNCTION("""COMPUTED_VALUE"""),"SI")</f>
        <v>SI</v>
      </c>
      <c r="U1823" s="213" t="str">
        <f>IFERROR(__xludf.DUMMYFUNCTION("""COMPUTED_VALUE"""),"NO")</f>
        <v>NO</v>
      </c>
      <c r="V1823" s="213" t="str">
        <f>IFERROR(__xludf.DUMMYFUNCTION("""COMPUTED_VALUE"""),"SUSTENTO")</f>
        <v>SUSTENTO</v>
      </c>
      <c r="W1823" s="213" t="str">
        <f>IFERROR(__xludf.DUMMYFUNCTION("""COMPUTED_VALUE"""),"DIMENSIONAL")</f>
        <v>DIMENSIONAL</v>
      </c>
      <c r="X1823" s="213" t="str">
        <f>IFERROR(__xludf.DUMMYFUNCTION("""COMPUTED_VALUE"""),"GTE/BEIFANG")</f>
        <v>GTE/BEIFANG</v>
      </c>
      <c r="Y1823" s="213"/>
      <c r="Z1823" s="215" t="str">
        <f>IFERROR(__xludf.DUMMYFUNCTION("""COMPUTED_VALUE"""),"https://drive.google.com/file/d/1AIVHeRGhe00m9JHSKLG1x7P_mwCLC4Cc/view")</f>
        <v>https://drive.google.com/file/d/1AIVHeRGhe00m9JHSKLG1x7P_mwCLC4Cc/view</v>
      </c>
      <c r="AA1823" s="213" t="str">
        <f>IFERROR(__xludf.DUMMYFUNCTION("""COMPUTED_VALUE"""),"ESP-274 MÓDULO EDUCATIVO Y SIMULADOR DE SISTEMA DE FRENOS ABS Y TCS CONTROL DE TRACCIÓN - CET")</f>
        <v>ESP-274 MÓDULO EDUCATIVO Y SIMULADOR DE SISTEMA DE FRENOS ABS Y TCS CONTROL DE TRACCIÓN - CET</v>
      </c>
      <c r="AB1823" s="215" t="str">
        <f>IFERROR(__xludf.DUMMYFUNCTION("""COMPUTED_VALUE"""),"https://drive.google.com/file/d/1AIVHeRGhe00m9JHSKLG1x7P_mwCLC4Cc/view?usp=sharing
")</f>
        <v>https://drive.google.com/file/d/1AIVHeRGhe00m9JHSKLG1x7P_mwCLC4Cc/view?usp=sharing
</v>
      </c>
      <c r="AC1823" s="213"/>
      <c r="AD1823" s="213" t="str">
        <f>IFERROR(__xludf.DUMMYFUNCTION("""COMPUTED_VALUE"""),"CHINA CIVIL PAQ 02")</f>
        <v>CHINA CIVIL PAQ 02</v>
      </c>
      <c r="AE1823" s="213" t="str">
        <f>IFERROR(__xludf.DUMMYFUNCTION("""COMPUTED_VALUE"""),"ME-08")</f>
        <v>ME-08</v>
      </c>
      <c r="AF1823" s="213"/>
      <c r="AG1823" s="213"/>
      <c r="AH1823" s="213" t="str">
        <f>IFERROR(__xludf.DUMMYFUNCTION("""COMPUTED_VALUE"""),"IMPORTADO")</f>
        <v>IMPORTADO</v>
      </c>
      <c r="AI1823" s="213"/>
      <c r="AJ1823" s="213"/>
      <c r="AK1823" s="213"/>
      <c r="AL1823" s="213"/>
      <c r="AM1823" s="213"/>
      <c r="AN1823" s="213"/>
      <c r="AO1823" s="213"/>
      <c r="AP1823" s="213" t="str">
        <f>IFERROR(__xludf.DUMMYFUNCTION("""COMPUTED_VALUE"""),"NALDI")</f>
        <v>NALDI</v>
      </c>
      <c r="AQ1823" s="213"/>
      <c r="AR1823" s="213"/>
      <c r="AS1823" s="213"/>
      <c r="AT1823" s="213"/>
      <c r="AU1823" s="213"/>
      <c r="AV1823" s="213"/>
      <c r="AW1823" s="213"/>
      <c r="AX1823" s="213"/>
      <c r="AY1823" s="213"/>
      <c r="AZ1823" s="213"/>
      <c r="BA1823" s="213"/>
      <c r="BB1823" s="213"/>
      <c r="BC1823" s="213"/>
      <c r="BD1823" s="213"/>
    </row>
    <row r="1824">
      <c r="A1824" s="213">
        <f>IFERROR(__xludf.DUMMYFUNCTION("""COMPUTED_VALUE"""),1592.0)</f>
        <v>1592</v>
      </c>
      <c r="B1824" s="213" t="str">
        <f>IFERROR(__xludf.DUMMYFUNCTION("""COMPUTED_VALUE"""),"GUILLERMO E. BILLINGHURST ")</f>
        <v>GUILLERMO E. BILLINGHURST </v>
      </c>
      <c r="C1824" s="213" t="str">
        <f>IFERROR(__xludf.DUMMYFUNCTION("""COMPUTED_VALUE"""),"TALLER SFT DE MECÁNICA AUTOMOTRIZ")</f>
        <v>TALLER SFT DE MECÁNICA AUTOMOTRIZ</v>
      </c>
      <c r="D1824" s="213" t="str">
        <f>IFERROR(__xludf.DUMMYFUNCTION("""COMPUTED_VALUE"""),"EQUIPOS")</f>
        <v>EQUIPOS</v>
      </c>
      <c r="E1824" s="213" t="str">
        <f>IFERROR(__xludf.DUMMYFUNCTION("""COMPUTED_VALUE"""),"ESP-274")</f>
        <v>ESP-274</v>
      </c>
      <c r="F1824" s="213" t="str">
        <f>IFERROR(__xludf.DUMMYFUNCTION("""COMPUTED_VALUE"""),"ESP-274")</f>
        <v>ESP-274</v>
      </c>
      <c r="G1824" s="213"/>
      <c r="H1824" s="213" t="str">
        <f>IFERROR(__xludf.DUMMYFUNCTION("""COMPUTED_VALUE"""),"MÓDULO EDUCATIVO Y SIMULADOR DE SISTEMA DE FRENOS ABS Y TCS CONTROL DE TRACCIÓN")</f>
        <v>MÓDULO EDUCATIVO Y SIMULADOR DE SISTEMA DE FRENOS ABS Y TCS CONTROL DE TRACCIÓN</v>
      </c>
      <c r="I1824" s="213" t="str">
        <f>IFERROR(__xludf.DUMMYFUNCTION("""COMPUTED_VALUE"""),"· Se fabrica como una unidad educativa, con la misma condición de vehículo real para una educación eficiente.
· Posee componentes reales y en buen estado del vehículo original.
· Es un sistema equipado con componentes ABS de automóvil, como la unidad de c"&amp;"ontrol ABS, válvulas, sensor de velocidad, entre otros.
· Comprende el funcionamiento y los principios operativos a través del experimento, diagnosticando las fallas.
· El giro de los discos son accionados por motores eléctricos, los cuales se puede contr"&amp;"olar la velocidad.
· Dimensiones aproximadas L 165 x A110 x H150 cm.")</f>
        <v>· Se fabrica como una unidad educativa, con la misma condición de vehículo real para una educación eficiente.
· Posee componentes reales y en buen estado del vehículo original.
· Es un sistema equipado con componentes ABS de automóvil, como la unidad de control ABS, válvulas, sensor de velocidad, entre otros.
· Comprende el funcionamiento y los principios operativos a través del experimento, diagnosticando las fallas.
· El giro de los discos son accionados por motores eléctricos, los cuales se puede controlar la velocidad.
· Dimensiones aproximadas L 165 x A110 x H150 cm.</v>
      </c>
      <c r="J1824" s="213">
        <f>IFERROR(__xludf.DUMMYFUNCTION("""COMPUTED_VALUE"""),3.0)</f>
        <v>3</v>
      </c>
      <c r="K1824" s="213" t="str">
        <f>IFERROR(__xludf.DUMMYFUNCTION("""COMPUTED_VALUE"""),"170 DÍAS CALENDARIO")</f>
        <v>170 DÍAS CALENDARIO</v>
      </c>
      <c r="L1824" s="213" t="str">
        <f>IFERROR(__xludf.DUMMYFUNCTION("""COMPUTED_VALUE"""),"")</f>
        <v/>
      </c>
      <c r="M1824" s="213">
        <f>IFERROR(__xludf.DUMMYFUNCTION("""COMPUTED_VALUE"""),1.0)</f>
        <v>1</v>
      </c>
      <c r="N1824" s="213">
        <f>IFERROR(__xludf.DUMMYFUNCTION("""COMPUTED_VALUE"""),1.0)</f>
        <v>1</v>
      </c>
      <c r="O1824" s="213">
        <f>IFERROR(__xludf.DUMMYFUNCTION("""COMPUTED_VALUE"""),1.0)</f>
        <v>1</v>
      </c>
      <c r="P1824" s="213"/>
      <c r="Q1824" s="213"/>
      <c r="R1824" s="213"/>
      <c r="S1824" s="213" t="str">
        <f>IFERROR(__xludf.DUMMYFUNCTION("""COMPUTED_VALUE"""),"SI")</f>
        <v>SI</v>
      </c>
      <c r="T1824" s="213" t="str">
        <f>IFERROR(__xludf.DUMMYFUNCTION("""COMPUTED_VALUE"""),"SI")</f>
        <v>SI</v>
      </c>
      <c r="U1824" s="213" t="str">
        <f>IFERROR(__xludf.DUMMYFUNCTION("""COMPUTED_VALUE"""),"NO")</f>
        <v>NO</v>
      </c>
      <c r="V1824" s="213" t="str">
        <f>IFERROR(__xludf.DUMMYFUNCTION("""COMPUTED_VALUE"""),"SUSTENTO")</f>
        <v>SUSTENTO</v>
      </c>
      <c r="W1824" s="213" t="str">
        <f>IFERROR(__xludf.DUMMYFUNCTION("""COMPUTED_VALUE"""),"DIMENSIONAL")</f>
        <v>DIMENSIONAL</v>
      </c>
      <c r="X1824" s="213" t="str">
        <f>IFERROR(__xludf.DUMMYFUNCTION("""COMPUTED_VALUE"""),"GTE/BEIFANG")</f>
        <v>GTE/BEIFANG</v>
      </c>
      <c r="Y1824" s="213"/>
      <c r="Z1824" s="215" t="str">
        <f>IFERROR(__xludf.DUMMYFUNCTION("""COMPUTED_VALUE"""),"https://drive.google.com/file/d/1AIVHeRGhe00m9JHSKLG1x7P_mwCLC4Cc/view")</f>
        <v>https://drive.google.com/file/d/1AIVHeRGhe00m9JHSKLG1x7P_mwCLC4Cc/view</v>
      </c>
      <c r="AA1824" s="215" t="str">
        <f>IFERROR(__xludf.DUMMYFUNCTION("""COMPUTED_VALUE"""),"https://docs.google.com/spreadsheets/d/1unPFUNvnzOK7zn2OJMGXwJGlS0bFeYiBWtuiY9IDYx0/edit?gid=0#gid=0")</f>
        <v>https://docs.google.com/spreadsheets/d/1unPFUNvnzOK7zn2OJMGXwJGlS0bFeYiBWtuiY9IDYx0/edit?gid=0#gid=0</v>
      </c>
      <c r="AB1824" s="215" t="str">
        <f>IFERROR(__xludf.DUMMYFUNCTION("""COMPUTED_VALUE"""),"https://drive.google.com/file/d/1AIVHeRGhe00m9JHSKLG1x7P_mwCLC4Cc/view?usp=sharing
")</f>
        <v>https://drive.google.com/file/d/1AIVHeRGhe00m9JHSKLG1x7P_mwCLC4Cc/view?usp=sharing
</v>
      </c>
      <c r="AC1824" s="213"/>
      <c r="AD1824" s="213" t="str">
        <f>IFERROR(__xludf.DUMMYFUNCTION("""COMPUTED_VALUE"""),"CHINA CIVIL PAQ 02")</f>
        <v>CHINA CIVIL PAQ 02</v>
      </c>
      <c r="AE1824" s="213" t="str">
        <f>IFERROR(__xludf.DUMMYFUNCTION("""COMPUTED_VALUE"""),"ME-08")</f>
        <v>ME-08</v>
      </c>
      <c r="AF1824" s="213"/>
      <c r="AG1824" s="213"/>
      <c r="AH1824" s="213" t="str">
        <f>IFERROR(__xludf.DUMMYFUNCTION("""COMPUTED_VALUE"""),"IMPORTADO")</f>
        <v>IMPORTADO</v>
      </c>
      <c r="AI1824" s="213"/>
      <c r="AJ1824" s="213"/>
      <c r="AK1824" s="213"/>
      <c r="AL1824" s="213"/>
      <c r="AM1824" s="213"/>
      <c r="AN1824" s="213"/>
      <c r="AO1824" s="213"/>
      <c r="AP1824" s="213" t="str">
        <f>IFERROR(__xludf.DUMMYFUNCTION("""COMPUTED_VALUE"""),"NALDI")</f>
        <v>NALDI</v>
      </c>
      <c r="AQ1824" s="213"/>
      <c r="AR1824" s="213"/>
      <c r="AS1824" s="213"/>
      <c r="AT1824" s="213"/>
      <c r="AU1824" s="213"/>
      <c r="AV1824" s="213"/>
      <c r="AW1824" s="213"/>
      <c r="AX1824" s="213"/>
      <c r="AY1824" s="213"/>
      <c r="AZ1824" s="213"/>
      <c r="BA1824" s="213"/>
      <c r="BB1824" s="213"/>
      <c r="BC1824" s="213"/>
      <c r="BD1824" s="213"/>
    </row>
    <row r="1825">
      <c r="A1825" s="213">
        <f>IFERROR(__xludf.DUMMYFUNCTION("""COMPUTED_VALUE"""),2279.0)</f>
        <v>2279</v>
      </c>
      <c r="B1825" s="213" t="str">
        <f>IFERROR(__xludf.DUMMYFUNCTION("""COMPUTED_VALUE"""),"JOSE GRANDA")</f>
        <v>JOSE GRANDA</v>
      </c>
      <c r="C1825" s="213" t="str">
        <f>IFERROR(__xludf.DUMMYFUNCTION("""COMPUTED_VALUE"""),"TALLER SFT DE MECÁNICA AUTOMOTRIZ")</f>
        <v>TALLER SFT DE MECÁNICA AUTOMOTRIZ</v>
      </c>
      <c r="D1825" s="213" t="str">
        <f>IFERROR(__xludf.DUMMYFUNCTION("""COMPUTED_VALUE"""),"EQUIPOS")</f>
        <v>EQUIPOS</v>
      </c>
      <c r="E1825" s="213" t="str">
        <f>IFERROR(__xludf.DUMMYFUNCTION("""COMPUTED_VALUE"""),"ESP-274")</f>
        <v>ESP-274</v>
      </c>
      <c r="F1825" s="213" t="str">
        <f>IFERROR(__xludf.DUMMYFUNCTION("""COMPUTED_VALUE"""),"ESP-274")</f>
        <v>ESP-274</v>
      </c>
      <c r="G1825" s="213"/>
      <c r="H1825" s="213" t="str">
        <f>IFERROR(__xludf.DUMMYFUNCTION("""COMPUTED_VALUE"""),"MÓDULO EDUCATIVO Y SIMULADOR DE SISTEMA DE FRENOS ABS Y TCS CONTROL DE TRACCIÓN")</f>
        <v>MÓDULO EDUCATIVO Y SIMULADOR DE SISTEMA DE FRENOS ABS Y TCS CONTROL DE TRACCIÓN</v>
      </c>
      <c r="I1825" s="213" t="str">
        <f>IFERROR(__xludf.DUMMYFUNCTION("""COMPUTED_VALUE"""),"· Se fabrica como una unidad educativa, con la misma condición de vehículo real para una educación eficiente.
· Posee componentes reales y en buen estado del vehículo original.
· Es un sistema equipado con componentes ABS de automóvil, como la unidad de c"&amp;"ontrol ABS, válvulas, sensor de velocidad, entre otros.
· Comprende el funcionamiento y los principios operativos a través del experimento, diagnosticando las fallas.
· El giro de los discos son accionados por motores eléctricos, los cuales se puede contr"&amp;"olar la velocidad.
· Dimensiones aproximadas L 165 x A110 x H150 cm.")</f>
        <v>· Se fabrica como una unidad educativa, con la misma condición de vehículo real para una educación eficiente.
· Posee componentes reales y en buen estado del vehículo original.
· Es un sistema equipado con componentes ABS de automóvil, como la unidad de control ABS, válvulas, sensor de velocidad, entre otros.
· Comprende el funcionamiento y los principios operativos a través del experimento, diagnosticando las fallas.
· El giro de los discos son accionados por motores eléctricos, los cuales se puede controlar la velocidad.
· Dimensiones aproximadas L 165 x A110 x H150 cm.</v>
      </c>
      <c r="J1825" s="213">
        <f>IFERROR(__xludf.DUMMYFUNCTION("""COMPUTED_VALUE"""),3.0)</f>
        <v>3</v>
      </c>
      <c r="K1825" s="213" t="str">
        <f>IFERROR(__xludf.DUMMYFUNCTION("""COMPUTED_VALUE"""),"170 DÍAS CALENDARIO")</f>
        <v>170 DÍAS CALENDARIO</v>
      </c>
      <c r="L1825" s="213" t="str">
        <f>IFERROR(__xludf.DUMMYFUNCTION("""COMPUTED_VALUE"""),"")</f>
        <v/>
      </c>
      <c r="M1825" s="213">
        <f>IFERROR(__xludf.DUMMYFUNCTION("""COMPUTED_VALUE"""),1.0)</f>
        <v>1</v>
      </c>
      <c r="N1825" s="213">
        <f>IFERROR(__xludf.DUMMYFUNCTION("""COMPUTED_VALUE"""),1.0)</f>
        <v>1</v>
      </c>
      <c r="O1825" s="213">
        <f>IFERROR(__xludf.DUMMYFUNCTION("""COMPUTED_VALUE"""),1.0)</f>
        <v>1</v>
      </c>
      <c r="P1825" s="213"/>
      <c r="Q1825" s="213"/>
      <c r="R1825" s="213"/>
      <c r="S1825" s="213" t="str">
        <f>IFERROR(__xludf.DUMMYFUNCTION("""COMPUTED_VALUE"""),"SI")</f>
        <v>SI</v>
      </c>
      <c r="T1825" s="213" t="str">
        <f>IFERROR(__xludf.DUMMYFUNCTION("""COMPUTED_VALUE"""),"SI")</f>
        <v>SI</v>
      </c>
      <c r="U1825" s="213" t="str">
        <f>IFERROR(__xludf.DUMMYFUNCTION("""COMPUTED_VALUE"""),"NO")</f>
        <v>NO</v>
      </c>
      <c r="V1825" s="213" t="str">
        <f>IFERROR(__xludf.DUMMYFUNCTION("""COMPUTED_VALUE"""),"SUSTENTO")</f>
        <v>SUSTENTO</v>
      </c>
      <c r="W1825" s="213" t="str">
        <f>IFERROR(__xludf.DUMMYFUNCTION("""COMPUTED_VALUE"""),"DIMENSIONAL")</f>
        <v>DIMENSIONAL</v>
      </c>
      <c r="X1825" s="213" t="str">
        <f>IFERROR(__xludf.DUMMYFUNCTION("""COMPUTED_VALUE"""),"GTE/BEIFANG")</f>
        <v>GTE/BEIFANG</v>
      </c>
      <c r="Y1825" s="213"/>
      <c r="Z1825" s="215" t="str">
        <f>IFERROR(__xludf.DUMMYFUNCTION("""COMPUTED_VALUE"""),"https://drive.google.com/file/d/1AIVHeRGhe00m9JHSKLG1x7P_mwCLC4Cc/view")</f>
        <v>https://drive.google.com/file/d/1AIVHeRGhe00m9JHSKLG1x7P_mwCLC4Cc/view</v>
      </c>
      <c r="AA1825" s="215" t="str">
        <f>IFERROR(__xludf.DUMMYFUNCTION("""COMPUTED_VALUE"""),"https://docs.google.com/spreadsheets/d/1unPFUNvnzOK7zn2OJMGXwJGlS0bFeYiBWtuiY9IDYx0/edit?gid=0#gid=2 ")</f>
        <v>https://docs.google.com/spreadsheets/d/1unPFUNvnzOK7zn2OJMGXwJGlS0bFeYiBWtuiY9IDYx0/edit?gid=0#gid=2 </v>
      </c>
      <c r="AB1825" s="215" t="str">
        <f>IFERROR(__xludf.DUMMYFUNCTION("""COMPUTED_VALUE"""),"https://drive.google.com/file/d/1AIVHeRGhe00m9JHSKLG1x7P_mwCLC4Cc/view?usp=sharing
")</f>
        <v>https://drive.google.com/file/d/1AIVHeRGhe00m9JHSKLG1x7P_mwCLC4Cc/view?usp=sharing
</v>
      </c>
      <c r="AC1825" s="213"/>
      <c r="AD1825" s="213" t="str">
        <f>IFERROR(__xludf.DUMMYFUNCTION("""COMPUTED_VALUE"""),"CHINA CIVIL PAQ 02")</f>
        <v>CHINA CIVIL PAQ 02</v>
      </c>
      <c r="AE1825" s="219" t="str">
        <f>IFERROR(__xludf.DUMMYFUNCTION("""COMPUTED_VALUE"""),"ME-08")</f>
        <v>ME-08</v>
      </c>
      <c r="AF1825" s="213"/>
      <c r="AG1825" s="213"/>
      <c r="AH1825" s="213" t="str">
        <f>IFERROR(__xludf.DUMMYFUNCTION("""COMPUTED_VALUE"""),"IMPORTADO")</f>
        <v>IMPORTADO</v>
      </c>
      <c r="AI1825" s="213"/>
      <c r="AJ1825" s="213"/>
      <c r="AK1825" s="213"/>
      <c r="AL1825" s="213"/>
      <c r="AM1825" s="213"/>
      <c r="AN1825" s="213"/>
      <c r="AO1825" s="213"/>
      <c r="AP1825" s="213" t="str">
        <f>IFERROR(__xludf.DUMMYFUNCTION("""COMPUTED_VALUE"""),"NALDI")</f>
        <v>NALDI</v>
      </c>
      <c r="AQ1825" s="213"/>
      <c r="AR1825" s="213"/>
      <c r="AS1825" s="213"/>
      <c r="AT1825" s="213"/>
      <c r="AU1825" s="213"/>
      <c r="AV1825" s="213"/>
      <c r="AW1825" s="213"/>
      <c r="AX1825" s="213"/>
      <c r="AY1825" s="213"/>
      <c r="AZ1825" s="213"/>
      <c r="BA1825" s="213"/>
      <c r="BB1825" s="213"/>
      <c r="BC1825" s="213"/>
      <c r="BD1825" s="213"/>
    </row>
    <row r="1826">
      <c r="A1826" s="213">
        <f>IFERROR(__xludf.DUMMYFUNCTION("""COMPUTED_VALUE"""),1669.0)</f>
        <v>1669</v>
      </c>
      <c r="B1826" s="213" t="str">
        <f>IFERROR(__xludf.DUMMYFUNCTION("""COMPUTED_VALUE"""),"GUILLERMO E. BILLINGHURST ")</f>
        <v>GUILLERMO E. BILLINGHURST </v>
      </c>
      <c r="C1826" s="213" t="str">
        <f>IFERROR(__xludf.DUMMYFUNCTION("""COMPUTED_VALUE"""),"TALLER SFT DE COMPUTACIÓN E INFORMÁTICA")</f>
        <v>TALLER SFT DE COMPUTACIÓN E INFORMÁTICA</v>
      </c>
      <c r="D1826" s="213" t="str">
        <f>IFERROR(__xludf.DUMMYFUNCTION("""COMPUTED_VALUE"""),"HERRAMIENTAS")</f>
        <v>HERRAMIENTAS</v>
      </c>
      <c r="E1826" s="213" t="str">
        <f>IFERROR(__xludf.DUMMYFUNCTION("""COMPUTED_VALUE"""),"MAT-161")</f>
        <v>MAT-161</v>
      </c>
      <c r="F1826" s="213" t="str">
        <f>IFERROR(__xludf.DUMMYFUNCTION("""COMPUTED_VALUE"""),"MAT-161")</f>
        <v>MAT-161</v>
      </c>
      <c r="G1826" s="213"/>
      <c r="H1826" s="213" t="str">
        <f>IFERROR(__xludf.DUMMYFUNCTION("""COMPUTED_VALUE"""),"EXTINTOR CO2")</f>
        <v>EXTINTOR CO2</v>
      </c>
      <c r="I1826"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colga"&amp;"dor de 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826" s="213">
        <f>IFERROR(__xludf.DUMMYFUNCTION("""COMPUTED_VALUE"""),3.0)</f>
        <v>3</v>
      </c>
      <c r="K1826" s="213" t="str">
        <f>IFERROR(__xludf.DUMMYFUNCTION("""COMPUTED_VALUE"""),"90 DÍAS CALENDARIO")</f>
        <v>90 DÍAS CALENDARIO</v>
      </c>
      <c r="L1826"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826" s="213">
        <f>IFERROR(__xludf.DUMMYFUNCTION("""COMPUTED_VALUE"""),1.0)</f>
        <v>1</v>
      </c>
      <c r="N1826" s="213">
        <f>IFERROR(__xludf.DUMMYFUNCTION("""COMPUTED_VALUE"""),1.0)</f>
        <v>1</v>
      </c>
      <c r="O1826" s="213">
        <f>IFERROR(__xludf.DUMMYFUNCTION("""COMPUTED_VALUE"""),1.0)</f>
        <v>1</v>
      </c>
      <c r="P1826" s="213"/>
      <c r="Q1826" s="213"/>
      <c r="R1826" s="213"/>
      <c r="S1826" s="213"/>
      <c r="T1826" s="213" t="str">
        <f>IFERROR(__xludf.DUMMYFUNCTION("""COMPUTED_VALUE"""),"CONSULTA FINAL")</f>
        <v>CONSULTA FINAL</v>
      </c>
      <c r="U1826" s="213" t="str">
        <f>IFERROR(__xludf.DUMMYFUNCTION("""COMPUTED_VALUE"""),"NO")</f>
        <v>NO</v>
      </c>
      <c r="V1826" s="213" t="str">
        <f>IFERROR(__xludf.DUMMYFUNCTION("""COMPUTED_VALUE"""),"NO")</f>
        <v>NO</v>
      </c>
      <c r="W1826" s="213" t="str">
        <f>IFERROR(__xludf.DUMMYFUNCTION("""COMPUTED_VALUE"""),"-")</f>
        <v>-</v>
      </c>
      <c r="X1826" s="213" t="str">
        <f>IFERROR(__xludf.DUMMYFUNCTION("""COMPUTED_VALUE"""),"FIREMAN'S")</f>
        <v>FIREMAN'S</v>
      </c>
      <c r="Y1826" s="213" t="str">
        <f>IFERROR(__xludf.DUMMYFUNCTION("""COMPUTED_VALUE"""),"Extintores Portátiles Manuales de Dióxido de Carbono ")</f>
        <v>Extintores Portátiles Manuales de Dióxido de Carbono </v>
      </c>
      <c r="Z1826" s="215" t="str">
        <f>IFERROR(__xludf.DUMMYFUNCTION("""COMPUTED_VALUE"""),"https://firemansperu.com/productos/extintores-firemans/dioxido-de-carbono/")</f>
        <v>https://firemansperu.com/productos/extintores-firemans/dioxido-de-carbono/</v>
      </c>
      <c r="AA1826" s="213" t="str">
        <f>IFERROR(__xludf.DUMMYFUNCTION("""COMPUTED_VALUE"""),"MAT-161 EXTINTOR CO2 - CET")</f>
        <v>MAT-161 EXTINTOR CO2 - CET</v>
      </c>
      <c r="AB1826" s="213"/>
      <c r="AC1826" s="213"/>
      <c r="AD1826" s="213"/>
      <c r="AE1826" s="213"/>
      <c r="AF1826" s="213"/>
      <c r="AG1826" s="213"/>
      <c r="AH1826" s="213"/>
      <c r="AI1826" s="213"/>
      <c r="AJ1826" s="213"/>
      <c r="AK1826" s="213"/>
      <c r="AL1826" s="213"/>
      <c r="AM1826" s="213"/>
      <c r="AN1826" s="213"/>
      <c r="AO1826" s="213"/>
      <c r="AP1826" s="213" t="str">
        <f>IFERROR(__xludf.DUMMYFUNCTION("""COMPUTED_VALUE"""),"BRUNO")</f>
        <v>BRUNO</v>
      </c>
      <c r="AQ1826" s="213"/>
      <c r="AR1826" s="213"/>
      <c r="AS1826" s="213"/>
      <c r="AT1826" s="213"/>
      <c r="AU1826" s="213"/>
      <c r="AV1826" s="213"/>
      <c r="AW1826" s="213"/>
      <c r="AX1826" s="213"/>
      <c r="AY1826" s="213"/>
      <c r="AZ1826" s="213"/>
      <c r="BA1826" s="213"/>
      <c r="BB1826" s="213"/>
      <c r="BC1826" s="213"/>
      <c r="BD1826" s="213"/>
    </row>
    <row r="1827">
      <c r="A1827" s="213">
        <f>IFERROR(__xludf.DUMMYFUNCTION("""COMPUTED_VALUE"""),565.0)</f>
        <v>565</v>
      </c>
      <c r="B1827" s="213" t="str">
        <f>IFERROR(__xludf.DUMMYFUNCTION("""COMPUTED_VALUE"""),"2026 SIMON BOLIVAR")</f>
        <v>2026 SIMON BOLIVAR</v>
      </c>
      <c r="C1827" s="213" t="str">
        <f>IFERROR(__xludf.DUMMYFUNCTION("""COMPUTED_VALUE"""),"TALLER SFT DE INDUSTRIA ALIMENTARIA")</f>
        <v>TALLER SFT DE INDUSTRIA ALIMENTARIA</v>
      </c>
      <c r="D1827" s="213" t="str">
        <f>IFERROR(__xludf.DUMMYFUNCTION("""COMPUTED_VALUE"""),"EQUIPOS")</f>
        <v>EQUIPOS</v>
      </c>
      <c r="E1827" s="213" t="str">
        <f>IFERROR(__xludf.DUMMYFUNCTION("""COMPUTED_VALUE"""),"ESP-275")</f>
        <v>ESP-275</v>
      </c>
      <c r="F1827" s="213" t="str">
        <f>IFERROR(__xludf.DUMMYFUNCTION("""COMPUTED_VALUE"""),"ESP-275")</f>
        <v>ESP-275</v>
      </c>
      <c r="G1827" s="213"/>
      <c r="H1827" s="213" t="str">
        <f>IFERROR(__xludf.DUMMYFUNCTION("""COMPUTED_VALUE"""),"MOLINO ELÉCTRICO")</f>
        <v>MOLINO ELÉCTRICO</v>
      </c>
      <c r="I1827" s="213" t="str">
        <f>IFERROR(__xludf.DUMMYFUNCTION("""COMPUTED_VALUE"""),"· Capacidad 1 kg por vez como máximo.
· Salida: 6-10kg/hr.
· Voltaje: 220V, 60hz.
· Poder: 3000W mínimo.
· Velocidad rotatoria: 36,000 r/min aproximado.
· Peso: 6kg aproximado.
· Dimensiones: 18cm x 35cm aproximado.
. Incluye funda protectora impermeable "&amp;"para su almacenamiento.")</f>
        <v>· Capacidad 1 kg por vez como máximo.
· Salida: 6-10kg/hr.
· Voltaje: 220V, 60hz.
· Poder: 3000W mínimo.
· Velocidad rotatoria: 36,000 r/min aproximado.
· Peso: 6kg aproximado.
· Dimensiones: 18cm x 35cm aproximado.
. Incluye funda protectora impermeable para su almacenamiento.</v>
      </c>
      <c r="J1827" s="213">
        <f>IFERROR(__xludf.DUMMYFUNCTION("""COMPUTED_VALUE"""),3.0)</f>
        <v>3</v>
      </c>
      <c r="K1827" s="213" t="str">
        <f>IFERROR(__xludf.DUMMYFUNCTION("""COMPUTED_VALUE"""),"170 DÍAS CALENDARIO")</f>
        <v>170 DÍAS CALENDARIO</v>
      </c>
      <c r="L1827" s="213" t="str">
        <f>IFERROR(__xludf.DUMMYFUNCTION("""COMPUTED_VALUE"""),"")</f>
        <v/>
      </c>
      <c r="M1827" s="213">
        <f>IFERROR(__xludf.DUMMYFUNCTION("""COMPUTED_VALUE"""),1.0)</f>
        <v>1</v>
      </c>
      <c r="N1827" s="213">
        <f>IFERROR(__xludf.DUMMYFUNCTION("""COMPUTED_VALUE"""),1.0)</f>
        <v>1</v>
      </c>
      <c r="O1827" s="213">
        <f>IFERROR(__xludf.DUMMYFUNCTION("""COMPUTED_VALUE"""),1.0)</f>
        <v>1</v>
      </c>
      <c r="P1827" s="213"/>
      <c r="Q1827" s="213"/>
      <c r="R1827" s="213"/>
      <c r="S1827" s="213" t="str">
        <f>IFERROR(__xludf.DUMMYFUNCTION("""COMPUTED_VALUE"""),"SI")</f>
        <v>SI</v>
      </c>
      <c r="T1827" s="213" t="str">
        <f>IFERROR(__xludf.DUMMYFUNCTION("""COMPUTED_VALUE"""),"SI")</f>
        <v>SI</v>
      </c>
      <c r="U1827" s="213" t="str">
        <f>IFERROR(__xludf.DUMMYFUNCTION("""COMPUTED_VALUE"""),"SI")</f>
        <v>SI</v>
      </c>
      <c r="V1827" s="213" t="str">
        <f>IFERROR(__xludf.DUMMYFUNCTION("""COMPUTED_VALUE"""),"-")</f>
        <v>-</v>
      </c>
      <c r="W1827" s="213" t="str">
        <f>IFERROR(__xludf.DUMMYFUNCTION("""COMPUTED_VALUE"""),"-")</f>
        <v>-</v>
      </c>
      <c r="X1827" s="213" t="str">
        <f>IFERROR(__xludf.DUMMYFUNCTION("""COMPUTED_VALUE"""),"Foshan City Shunde AIMC Electrical Appliances Co., Ltd.")</f>
        <v>Foshan City Shunde AIMC Electrical Appliances Co., Ltd.</v>
      </c>
      <c r="Y1827" s="213" t="str">
        <f>IFERROR(__xludf.DUMMYFUNCTION("""COMPUTED_VALUE"""),"1000G")</f>
        <v>1000G</v>
      </c>
      <c r="Z1827" s="215" t="str">
        <f>IFERROR(__xludf.DUMMYFUNCTION("""COMPUTED_VALUE"""),"https://drive.google.com/file/d/13XGaIKl-Sp6bbN4PtfDbSEI-iN4wre_o/view?usp=sharing")</f>
        <v>https://drive.google.com/file/d/13XGaIKl-Sp6bbN4PtfDbSEI-iN4wre_o/view?usp=sharing</v>
      </c>
      <c r="AA1827" s="213" t="str">
        <f>IFERROR(__xludf.DUMMYFUNCTION("""COMPUTED_VALUE"""),"ESP-275 MOLINO ELÉCTRICO - CET")</f>
        <v>ESP-275 MOLINO ELÉCTRICO - CET</v>
      </c>
      <c r="AB1827" s="215" t="str">
        <f>IFERROR(__xludf.DUMMYFUNCTION("""COMPUTED_VALUE"""),"https://drive.google.com/file/d/1byA_73UIjPIjgUYo9ggvcuXUqvJoo8mm/view")</f>
        <v>https://drive.google.com/file/d/1byA_73UIjPIjgUYo9ggvcuXUqvJoo8mm/view</v>
      </c>
      <c r="AC1827" s="213"/>
      <c r="AD1827" s="213"/>
      <c r="AE1827" s="213"/>
      <c r="AF1827" s="213"/>
      <c r="AG1827" s="213"/>
      <c r="AH1827" s="213" t="str">
        <f>IFERROR(__xludf.DUMMYFUNCTION("""COMPUTED_VALUE"""),"IMPORTADO")</f>
        <v>IMPORTADO</v>
      </c>
      <c r="AI1827" s="213"/>
      <c r="AJ1827" s="213"/>
      <c r="AK1827" s="213"/>
      <c r="AL1827" s="213"/>
      <c r="AM1827" s="213"/>
      <c r="AN1827" s="213"/>
      <c r="AO1827" s="213"/>
      <c r="AP1827" s="213" t="str">
        <f>IFERROR(__xludf.DUMMYFUNCTION("""COMPUTED_VALUE"""),"ANTONELLA")</f>
        <v>ANTONELLA</v>
      </c>
      <c r="AQ1827" s="213"/>
      <c r="AR1827" s="213"/>
      <c r="AS1827" s="213" t="str">
        <f>IFERROR(__xludf.DUMMYFUNCTION("""COMPUTED_VALUE"""),"FUNDA IMPERNEABLE")</f>
        <v>FUNDA IMPERNEABLE</v>
      </c>
      <c r="AT1827" s="213"/>
      <c r="AU1827" s="213"/>
      <c r="AV1827" s="213"/>
      <c r="AW1827" s="213"/>
      <c r="AX1827" s="213"/>
      <c r="AY1827" s="213"/>
      <c r="AZ1827" s="213"/>
      <c r="BA1827" s="213"/>
      <c r="BB1827" s="213"/>
      <c r="BC1827" s="213"/>
      <c r="BD1827" s="213"/>
    </row>
    <row r="1828">
      <c r="A1828" s="213">
        <f>IFERROR(__xludf.DUMMYFUNCTION("""COMPUTED_VALUE"""),1192.0)</f>
        <v>1192</v>
      </c>
      <c r="B1828" s="213" t="str">
        <f>IFERROR(__xludf.DUMMYFUNCTION("""COMPUTED_VALUE"""),"FRANCISCO IRAZOLA")</f>
        <v>FRANCISCO IRAZOLA</v>
      </c>
      <c r="C1828" s="213" t="str">
        <f>IFERROR(__xludf.DUMMYFUNCTION("""COMPUTED_VALUE"""),"TALLER SFT DE INDUSTRIA ALIMENTARIA")</f>
        <v>TALLER SFT DE INDUSTRIA ALIMENTARIA</v>
      </c>
      <c r="D1828" s="213" t="str">
        <f>IFERROR(__xludf.DUMMYFUNCTION("""COMPUTED_VALUE"""),"EQUIPOS")</f>
        <v>EQUIPOS</v>
      </c>
      <c r="E1828" s="213" t="str">
        <f>IFERROR(__xludf.DUMMYFUNCTION("""COMPUTED_VALUE"""),"ESP-275")</f>
        <v>ESP-275</v>
      </c>
      <c r="F1828" s="213" t="str">
        <f>IFERROR(__xludf.DUMMYFUNCTION("""COMPUTED_VALUE"""),"ESP-275")</f>
        <v>ESP-275</v>
      </c>
      <c r="G1828" s="213"/>
      <c r="H1828" s="213" t="str">
        <f>IFERROR(__xludf.DUMMYFUNCTION("""COMPUTED_VALUE"""),"MOLINO ELÉCTRICO")</f>
        <v>MOLINO ELÉCTRICO</v>
      </c>
      <c r="I1828" s="213" t="str">
        <f>IFERROR(__xludf.DUMMYFUNCTION("""COMPUTED_VALUE"""),"· Capacidad 1 kg por vez como máximo.
· Salida: 6-10kg/hr.
· Voltaje: 220V, 60hz.
· Poder: 3000W mínimo.
· Velocidad rotatoria: 36,000 r/min aproximado.
· Peso: 6kg aproximado.
· Dimensiones: 18cm x 35cm aproximado.
. Incluye funda protectora impermeable "&amp;"para su almacenamiento.")</f>
        <v>· Capacidad 1 kg por vez como máximo.
· Salida: 6-10kg/hr.
· Voltaje: 220V, 60hz.
· Poder: 3000W mínimo.
· Velocidad rotatoria: 36,000 r/min aproximado.
· Peso: 6kg aproximado.
· Dimensiones: 18cm x 35cm aproximado.
. Incluye funda protectora impermeable para su almacenamiento.</v>
      </c>
      <c r="J1828" s="213">
        <f>IFERROR(__xludf.DUMMYFUNCTION("""COMPUTED_VALUE"""),3.0)</f>
        <v>3</v>
      </c>
      <c r="K1828" s="213" t="str">
        <f>IFERROR(__xludf.DUMMYFUNCTION("""COMPUTED_VALUE"""),"170 DÍAS CALENDARIO")</f>
        <v>170 DÍAS CALENDARIO</v>
      </c>
      <c r="L1828" s="213" t="str">
        <f>IFERROR(__xludf.DUMMYFUNCTION("""COMPUTED_VALUE"""),"")</f>
        <v/>
      </c>
      <c r="M1828" s="213">
        <f>IFERROR(__xludf.DUMMYFUNCTION("""COMPUTED_VALUE"""),1.0)</f>
        <v>1</v>
      </c>
      <c r="N1828" s="213">
        <f>IFERROR(__xludf.DUMMYFUNCTION("""COMPUTED_VALUE"""),1.0)</f>
        <v>1</v>
      </c>
      <c r="O1828" s="213">
        <f>IFERROR(__xludf.DUMMYFUNCTION("""COMPUTED_VALUE"""),1.0)</f>
        <v>1</v>
      </c>
      <c r="P1828" s="213"/>
      <c r="Q1828" s="213"/>
      <c r="R1828" s="213"/>
      <c r="S1828" s="213" t="str">
        <f>IFERROR(__xludf.DUMMYFUNCTION("""COMPUTED_VALUE"""),"SI")</f>
        <v>SI</v>
      </c>
      <c r="T1828" s="213" t="str">
        <f>IFERROR(__xludf.DUMMYFUNCTION("""COMPUTED_VALUE"""),"SI")</f>
        <v>SI</v>
      </c>
      <c r="U1828" s="213" t="str">
        <f>IFERROR(__xludf.DUMMYFUNCTION("""COMPUTED_VALUE"""),"SI")</f>
        <v>SI</v>
      </c>
      <c r="V1828" s="213" t="str">
        <f>IFERROR(__xludf.DUMMYFUNCTION("""COMPUTED_VALUE"""),"-")</f>
        <v>-</v>
      </c>
      <c r="W1828" s="213" t="str">
        <f>IFERROR(__xludf.DUMMYFUNCTION("""COMPUTED_VALUE"""),"-")</f>
        <v>-</v>
      </c>
      <c r="X1828" s="213" t="str">
        <f>IFERROR(__xludf.DUMMYFUNCTION("""COMPUTED_VALUE"""),"Foshan City Shunde AIMC Electrical Appliances Co., Ltd.")</f>
        <v>Foshan City Shunde AIMC Electrical Appliances Co., Ltd.</v>
      </c>
      <c r="Y1828" s="213" t="str">
        <f>IFERROR(__xludf.DUMMYFUNCTION("""COMPUTED_VALUE"""),"1000G")</f>
        <v>1000G</v>
      </c>
      <c r="Z1828" s="215" t="str">
        <f>IFERROR(__xludf.DUMMYFUNCTION("""COMPUTED_VALUE"""),"https://drive.google.com/file/d/13XGaIKl-Sp6bbN4PtfDbSEI-iN4wre_o/view?usp=sharing")</f>
        <v>https://drive.google.com/file/d/13XGaIKl-Sp6bbN4PtfDbSEI-iN4wre_o/view?usp=sharing</v>
      </c>
      <c r="AA1828" s="213" t="str">
        <f>IFERROR(__xludf.DUMMYFUNCTION("""COMPUTED_VALUE"""),"ESP-275 MOLINO ELÉCTRICO - CET")</f>
        <v>ESP-275 MOLINO ELÉCTRICO - CET</v>
      </c>
      <c r="AB1828" s="215" t="str">
        <f>IFERROR(__xludf.DUMMYFUNCTION("""COMPUTED_VALUE"""),"https://drive.google.com/file/d/1byA_73UIjPIjgUYo9ggvcuXUqvJoo8mm/view")</f>
        <v>https://drive.google.com/file/d/1byA_73UIjPIjgUYo9ggvcuXUqvJoo8mm/view</v>
      </c>
      <c r="AC1828" s="213"/>
      <c r="AD1828" s="213"/>
      <c r="AE1828" s="213"/>
      <c r="AF1828" s="213"/>
      <c r="AG1828" s="213"/>
      <c r="AH1828" s="213" t="str">
        <f>IFERROR(__xludf.DUMMYFUNCTION("""COMPUTED_VALUE"""),"IMPORTADO")</f>
        <v>IMPORTADO</v>
      </c>
      <c r="AI1828" s="213"/>
      <c r="AJ1828" s="213"/>
      <c r="AK1828" s="213"/>
      <c r="AL1828" s="213"/>
      <c r="AM1828" s="213"/>
      <c r="AN1828" s="213"/>
      <c r="AO1828" s="213"/>
      <c r="AP1828" s="213" t="str">
        <f>IFERROR(__xludf.DUMMYFUNCTION("""COMPUTED_VALUE"""),"ANTONELLA")</f>
        <v>ANTONELLA</v>
      </c>
      <c r="AQ1828" s="213"/>
      <c r="AR1828" s="213"/>
      <c r="AS1828" s="213" t="str">
        <f>IFERROR(__xludf.DUMMYFUNCTION("""COMPUTED_VALUE"""),"FUNDA IMPERNEABLE")</f>
        <v>FUNDA IMPERNEABLE</v>
      </c>
      <c r="AT1828" s="213"/>
      <c r="AU1828" s="213"/>
      <c r="AV1828" s="213"/>
      <c r="AW1828" s="213"/>
      <c r="AX1828" s="213"/>
      <c r="AY1828" s="213"/>
      <c r="AZ1828" s="213"/>
      <c r="BA1828" s="213"/>
      <c r="BB1828" s="213"/>
      <c r="BC1828" s="213"/>
      <c r="BD1828" s="213"/>
    </row>
    <row r="1829">
      <c r="A1829" s="213">
        <f>IFERROR(__xludf.DUMMYFUNCTION("""COMPUTED_VALUE"""),1467.0)</f>
        <v>1467</v>
      </c>
      <c r="B1829" s="213" t="str">
        <f>IFERROR(__xludf.DUMMYFUNCTION("""COMPUTED_VALUE"""),"GUILLERMO E. BILLINGHURST ")</f>
        <v>GUILLERMO E. BILLINGHURST </v>
      </c>
      <c r="C1829" s="213" t="str">
        <f>IFERROR(__xludf.DUMMYFUNCTION("""COMPUTED_VALUE"""),"TALLER SFT DE INDUSTRIA ALIMENTARIA")</f>
        <v>TALLER SFT DE INDUSTRIA ALIMENTARIA</v>
      </c>
      <c r="D1829" s="213" t="str">
        <f>IFERROR(__xludf.DUMMYFUNCTION("""COMPUTED_VALUE"""),"EQUIPOS")</f>
        <v>EQUIPOS</v>
      </c>
      <c r="E1829" s="213" t="str">
        <f>IFERROR(__xludf.DUMMYFUNCTION("""COMPUTED_VALUE"""),"ESP-275")</f>
        <v>ESP-275</v>
      </c>
      <c r="F1829" s="213" t="str">
        <f>IFERROR(__xludf.DUMMYFUNCTION("""COMPUTED_VALUE"""),"ESP-275")</f>
        <v>ESP-275</v>
      </c>
      <c r="G1829" s="213"/>
      <c r="H1829" s="213" t="str">
        <f>IFERROR(__xludf.DUMMYFUNCTION("""COMPUTED_VALUE"""),"MOLINO ELÉCTRICO")</f>
        <v>MOLINO ELÉCTRICO</v>
      </c>
      <c r="I1829" s="213" t="str">
        <f>IFERROR(__xludf.DUMMYFUNCTION("""COMPUTED_VALUE"""),"· Capacidad 1 kg por vez como máximo.
· Salida: 6-10kg/hr.
· Voltaje: 220V, 60hz.
· Poder: 3000W mínimo.
· Velocidad rotatoria: 36,000 r/min aproximado.
· Peso: 6kg aproximado.
· Dimensiones: 18cm x 35cm aproximado.
. Incluye funda protectora impermeable "&amp;"para su almacenamiento.")</f>
        <v>· Capacidad 1 kg por vez como máximo.
· Salida: 6-10kg/hr.
· Voltaje: 220V, 60hz.
· Poder: 3000W mínimo.
· Velocidad rotatoria: 36,000 r/min aproximado.
· Peso: 6kg aproximado.
· Dimensiones: 18cm x 35cm aproximado.
. Incluye funda protectora impermeable para su almacenamiento.</v>
      </c>
      <c r="J1829" s="213">
        <f>IFERROR(__xludf.DUMMYFUNCTION("""COMPUTED_VALUE"""),3.0)</f>
        <v>3</v>
      </c>
      <c r="K1829" s="213" t="str">
        <f>IFERROR(__xludf.DUMMYFUNCTION("""COMPUTED_VALUE"""),"170 DÍAS CALENDARIO")</f>
        <v>170 DÍAS CALENDARIO</v>
      </c>
      <c r="L1829" s="213" t="str">
        <f>IFERROR(__xludf.DUMMYFUNCTION("""COMPUTED_VALUE"""),"")</f>
        <v/>
      </c>
      <c r="M1829" s="213">
        <f>IFERROR(__xludf.DUMMYFUNCTION("""COMPUTED_VALUE"""),1.0)</f>
        <v>1</v>
      </c>
      <c r="N1829" s="213">
        <f>IFERROR(__xludf.DUMMYFUNCTION("""COMPUTED_VALUE"""),1.0)</f>
        <v>1</v>
      </c>
      <c r="O1829" s="213">
        <f>IFERROR(__xludf.DUMMYFUNCTION("""COMPUTED_VALUE"""),1.0)</f>
        <v>1</v>
      </c>
      <c r="P1829" s="213"/>
      <c r="Q1829" s="213"/>
      <c r="R1829" s="213"/>
      <c r="S1829" s="213" t="str">
        <f>IFERROR(__xludf.DUMMYFUNCTION("""COMPUTED_VALUE"""),"SI")</f>
        <v>SI</v>
      </c>
      <c r="T1829" s="213" t="str">
        <f>IFERROR(__xludf.DUMMYFUNCTION("""COMPUTED_VALUE"""),"SI")</f>
        <v>SI</v>
      </c>
      <c r="U1829" s="213" t="str">
        <f>IFERROR(__xludf.DUMMYFUNCTION("""COMPUTED_VALUE"""),"SI")</f>
        <v>SI</v>
      </c>
      <c r="V1829" s="213" t="str">
        <f>IFERROR(__xludf.DUMMYFUNCTION("""COMPUTED_VALUE"""),"-")</f>
        <v>-</v>
      </c>
      <c r="W1829" s="213" t="str">
        <f>IFERROR(__xludf.DUMMYFUNCTION("""COMPUTED_VALUE"""),"-")</f>
        <v>-</v>
      </c>
      <c r="X1829" s="213" t="str">
        <f>IFERROR(__xludf.DUMMYFUNCTION("""COMPUTED_VALUE"""),"Foshan City Shunde AIMC Electrical Appliances Co., Ltd.")</f>
        <v>Foshan City Shunde AIMC Electrical Appliances Co., Ltd.</v>
      </c>
      <c r="Y1829" s="213" t="str">
        <f>IFERROR(__xludf.DUMMYFUNCTION("""COMPUTED_VALUE"""),"1000G")</f>
        <v>1000G</v>
      </c>
      <c r="Z1829" s="215" t="str">
        <f>IFERROR(__xludf.DUMMYFUNCTION("""COMPUTED_VALUE"""),"https://drive.google.com/file/d/13XGaIKl-Sp6bbN4PtfDbSEI-iN4wre_o/view?usp=sharing")</f>
        <v>https://drive.google.com/file/d/13XGaIKl-Sp6bbN4PtfDbSEI-iN4wre_o/view?usp=sharing</v>
      </c>
      <c r="AA1829" s="213" t="str">
        <f>IFERROR(__xludf.DUMMYFUNCTION("""COMPUTED_VALUE"""),"ESP-275 MOLINO ELÉCTRICO - CET")</f>
        <v>ESP-275 MOLINO ELÉCTRICO - CET</v>
      </c>
      <c r="AB1829" s="215" t="str">
        <f>IFERROR(__xludf.DUMMYFUNCTION("""COMPUTED_VALUE"""),"https://drive.google.com/file/d/1byA_73UIjPIjgUYo9ggvcuXUqvJoo8mm/view")</f>
        <v>https://drive.google.com/file/d/1byA_73UIjPIjgUYo9ggvcuXUqvJoo8mm/view</v>
      </c>
      <c r="AC1829" s="213"/>
      <c r="AD1829" s="213"/>
      <c r="AE1829" s="213"/>
      <c r="AF1829" s="213"/>
      <c r="AG1829" s="213"/>
      <c r="AH1829" s="213" t="str">
        <f>IFERROR(__xludf.DUMMYFUNCTION("""COMPUTED_VALUE"""),"IMPORTADO")</f>
        <v>IMPORTADO</v>
      </c>
      <c r="AI1829" s="213"/>
      <c r="AJ1829" s="213"/>
      <c r="AK1829" s="213"/>
      <c r="AL1829" s="213"/>
      <c r="AM1829" s="213"/>
      <c r="AN1829" s="213"/>
      <c r="AO1829" s="213"/>
      <c r="AP1829" s="213" t="str">
        <f>IFERROR(__xludf.DUMMYFUNCTION("""COMPUTED_VALUE"""),"ANTONELLA")</f>
        <v>ANTONELLA</v>
      </c>
      <c r="AQ1829" s="213"/>
      <c r="AR1829" s="213"/>
      <c r="AS1829" s="213" t="str">
        <f>IFERROR(__xludf.DUMMYFUNCTION("""COMPUTED_VALUE"""),"FUNDA IMPERNEABLE")</f>
        <v>FUNDA IMPERNEABLE</v>
      </c>
      <c r="AT1829" s="213"/>
      <c r="AU1829" s="213"/>
      <c r="AV1829" s="213"/>
      <c r="AW1829" s="213"/>
      <c r="AX1829" s="213"/>
      <c r="AY1829" s="213"/>
      <c r="AZ1829" s="213"/>
      <c r="BA1829" s="213"/>
      <c r="BB1829" s="213"/>
      <c r="BC1829" s="213"/>
      <c r="BD1829" s="213"/>
    </row>
    <row r="1830">
      <c r="A1830" s="213">
        <f>IFERROR(__xludf.DUMMYFUNCTION("""COMPUTED_VALUE"""),2154.0)</f>
        <v>2154</v>
      </c>
      <c r="B1830" s="213" t="str">
        <f>IFERROR(__xludf.DUMMYFUNCTION("""COMPUTED_VALUE"""),"JOSE GRANDA")</f>
        <v>JOSE GRANDA</v>
      </c>
      <c r="C1830" s="213" t="str">
        <f>IFERROR(__xludf.DUMMYFUNCTION("""COMPUTED_VALUE"""),"TALLER SFT DE INDUSTRIA ALIMENTARIA")</f>
        <v>TALLER SFT DE INDUSTRIA ALIMENTARIA</v>
      </c>
      <c r="D1830" s="213" t="str">
        <f>IFERROR(__xludf.DUMMYFUNCTION("""COMPUTED_VALUE"""),"EQUIPOS")</f>
        <v>EQUIPOS</v>
      </c>
      <c r="E1830" s="213" t="str">
        <f>IFERROR(__xludf.DUMMYFUNCTION("""COMPUTED_VALUE"""),"ESP-275")</f>
        <v>ESP-275</v>
      </c>
      <c r="F1830" s="213" t="str">
        <f>IFERROR(__xludf.DUMMYFUNCTION("""COMPUTED_VALUE"""),"ESP-275")</f>
        <v>ESP-275</v>
      </c>
      <c r="G1830" s="213"/>
      <c r="H1830" s="213" t="str">
        <f>IFERROR(__xludf.DUMMYFUNCTION("""COMPUTED_VALUE"""),"MOLINO ELÉCTRICO")</f>
        <v>MOLINO ELÉCTRICO</v>
      </c>
      <c r="I1830" s="213" t="str">
        <f>IFERROR(__xludf.DUMMYFUNCTION("""COMPUTED_VALUE"""),"· Capacidad 1 kg por vez como máximo.
· Salida: 6-10kg/hr.
· Voltaje: 220V, 60hz.
· Poder: 3000W mínimo.
· Velocidad rotatoria: 36,000 r/min aproximado.
· Peso: 6kg aproximado.
· Dimensiones: 18cm x 35cm aproximado.
. Incluye funda protectora impermeable "&amp;"para su almacenamiento.")</f>
        <v>· Capacidad 1 kg por vez como máximo.
· Salida: 6-10kg/hr.
· Voltaje: 220V, 60hz.
· Poder: 3000W mínimo.
· Velocidad rotatoria: 36,000 r/min aproximado.
· Peso: 6kg aproximado.
· Dimensiones: 18cm x 35cm aproximado.
. Incluye funda protectora impermeable para su almacenamiento.</v>
      </c>
      <c r="J1830" s="213">
        <f>IFERROR(__xludf.DUMMYFUNCTION("""COMPUTED_VALUE"""),3.0)</f>
        <v>3</v>
      </c>
      <c r="K1830" s="213" t="str">
        <f>IFERROR(__xludf.DUMMYFUNCTION("""COMPUTED_VALUE"""),"170 DÍAS CALENDARIO")</f>
        <v>170 DÍAS CALENDARIO</v>
      </c>
      <c r="L1830" s="213" t="str">
        <f>IFERROR(__xludf.DUMMYFUNCTION("""COMPUTED_VALUE"""),"")</f>
        <v/>
      </c>
      <c r="M1830" s="213">
        <f>IFERROR(__xludf.DUMMYFUNCTION("""COMPUTED_VALUE"""),1.0)</f>
        <v>1</v>
      </c>
      <c r="N1830" s="213">
        <f>IFERROR(__xludf.DUMMYFUNCTION("""COMPUTED_VALUE"""),1.0)</f>
        <v>1</v>
      </c>
      <c r="O1830" s="213">
        <f>IFERROR(__xludf.DUMMYFUNCTION("""COMPUTED_VALUE"""),1.0)</f>
        <v>1</v>
      </c>
      <c r="P1830" s="213"/>
      <c r="Q1830" s="213"/>
      <c r="R1830" s="213"/>
      <c r="S1830" s="213" t="str">
        <f>IFERROR(__xludf.DUMMYFUNCTION("""COMPUTED_VALUE"""),"SI")</f>
        <v>SI</v>
      </c>
      <c r="T1830" s="213" t="str">
        <f>IFERROR(__xludf.DUMMYFUNCTION("""COMPUTED_VALUE"""),"SI")</f>
        <v>SI</v>
      </c>
      <c r="U1830" s="213" t="str">
        <f>IFERROR(__xludf.DUMMYFUNCTION("""COMPUTED_VALUE"""),"SI")</f>
        <v>SI</v>
      </c>
      <c r="V1830" s="213" t="str">
        <f>IFERROR(__xludf.DUMMYFUNCTION("""COMPUTED_VALUE"""),"-")</f>
        <v>-</v>
      </c>
      <c r="W1830" s="213" t="str">
        <f>IFERROR(__xludf.DUMMYFUNCTION("""COMPUTED_VALUE"""),"-")</f>
        <v>-</v>
      </c>
      <c r="X1830" s="213" t="str">
        <f>IFERROR(__xludf.DUMMYFUNCTION("""COMPUTED_VALUE"""),"Foshan City Shunde AIMC Electrical Appliances Co., Ltd.")</f>
        <v>Foshan City Shunde AIMC Electrical Appliances Co., Ltd.</v>
      </c>
      <c r="Y1830" s="213" t="str">
        <f>IFERROR(__xludf.DUMMYFUNCTION("""COMPUTED_VALUE"""),"1000G")</f>
        <v>1000G</v>
      </c>
      <c r="Z1830" s="215" t="str">
        <f>IFERROR(__xludf.DUMMYFUNCTION("""COMPUTED_VALUE"""),"https://drive.google.com/file/d/13XGaIKl-Sp6bbN4PtfDbSEI-iN4wre_o/view?usp=sharing")</f>
        <v>https://drive.google.com/file/d/13XGaIKl-Sp6bbN4PtfDbSEI-iN4wre_o/view?usp=sharing</v>
      </c>
      <c r="AA1830" s="213" t="str">
        <f>IFERROR(__xludf.DUMMYFUNCTION("""COMPUTED_VALUE"""),"ESP-275 MOLINO ELÉCTRICO - CET")</f>
        <v>ESP-275 MOLINO ELÉCTRICO - CET</v>
      </c>
      <c r="AB1830" s="215" t="str">
        <f>IFERROR(__xludf.DUMMYFUNCTION("""COMPUTED_VALUE"""),"https://drive.google.com/file/d/1byA_73UIjPIjgUYo9ggvcuXUqvJoo8mm/view")</f>
        <v>https://drive.google.com/file/d/1byA_73UIjPIjgUYo9ggvcuXUqvJoo8mm/view</v>
      </c>
      <c r="AC1830" s="213"/>
      <c r="AD1830" s="213"/>
      <c r="AE1830" s="213"/>
      <c r="AF1830" s="213"/>
      <c r="AG1830" s="213"/>
      <c r="AH1830" s="213" t="str">
        <f>IFERROR(__xludf.DUMMYFUNCTION("""COMPUTED_VALUE"""),"IMPORTADO")</f>
        <v>IMPORTADO</v>
      </c>
      <c r="AI1830" s="213"/>
      <c r="AJ1830" s="213"/>
      <c r="AK1830" s="213"/>
      <c r="AL1830" s="213"/>
      <c r="AM1830" s="213"/>
      <c r="AN1830" s="213"/>
      <c r="AO1830" s="213"/>
      <c r="AP1830" s="213" t="str">
        <f>IFERROR(__xludf.DUMMYFUNCTION("""COMPUTED_VALUE"""),"ANTONELLA")</f>
        <v>ANTONELLA</v>
      </c>
      <c r="AQ1830" s="213"/>
      <c r="AR1830" s="213"/>
      <c r="AS1830" s="213" t="str">
        <f>IFERROR(__xludf.DUMMYFUNCTION("""COMPUTED_VALUE"""),"FUNDA IMPERNEABLE")</f>
        <v>FUNDA IMPERNEABLE</v>
      </c>
      <c r="AT1830" s="213"/>
      <c r="AU1830" s="213"/>
      <c r="AV1830" s="213"/>
      <c r="AW1830" s="213"/>
      <c r="AX1830" s="213"/>
      <c r="AY1830" s="213"/>
      <c r="AZ1830" s="213"/>
      <c r="BA1830" s="213"/>
      <c r="BB1830" s="213"/>
      <c r="BC1830" s="213"/>
      <c r="BD1830" s="213"/>
    </row>
    <row r="1831">
      <c r="A1831" s="213">
        <f>IFERROR(__xludf.DUMMYFUNCTION("""COMPUTED_VALUE"""),542.0)</f>
        <v>542</v>
      </c>
      <c r="B1831" s="213" t="str">
        <f>IFERROR(__xludf.DUMMYFUNCTION("""COMPUTED_VALUE"""),"2026 SIMON BOLIVAR")</f>
        <v>2026 SIMON BOLIVAR</v>
      </c>
      <c r="C1831" s="213" t="str">
        <f>IFERROR(__xludf.DUMMYFUNCTION("""COMPUTED_VALUE"""),"TALLER SFT DE INDUSTRIA ALIMENTARIA")</f>
        <v>TALLER SFT DE INDUSTRIA ALIMENTARIA</v>
      </c>
      <c r="D1831" s="213" t="str">
        <f>IFERROR(__xludf.DUMMYFUNCTION("""COMPUTED_VALUE"""),"EQUIPOS")</f>
        <v>EQUIPOS</v>
      </c>
      <c r="E1831" s="213" t="str">
        <f>IFERROR(__xludf.DUMMYFUNCTION("""COMPUTED_VALUE"""),"ESP-276")</f>
        <v>ESP-276</v>
      </c>
      <c r="F1831" s="213" t="str">
        <f>IFERROR(__xludf.DUMMYFUNCTION("""COMPUTED_VALUE"""),"ESP-276")</f>
        <v>ESP-276</v>
      </c>
      <c r="G1831" s="213"/>
      <c r="H1831" s="213" t="str">
        <f>IFERROR(__xludf.DUMMYFUNCTION("""COMPUTED_VALUE"""),"MOLINO ELÉCTRICO PULVERIZADOR DE HIERBAS Y GRANOS")</f>
        <v>MOLINO ELÉCTRICO PULVERIZADOR DE HIERBAS Y GRANOS</v>
      </c>
      <c r="I1831" s="213" t="str">
        <f>IFERROR(__xludf.DUMMYFUNCTION("""COMPUTED_VALUE"""),"· Capacidad 1 kg por vez como máximo
· Salida: 6-10kg/hr.
· Voltaje: 220 V, 60 Hz.
· Poder: 3000W mínimo
· Velocidad rotatoria: 36,000 r/min aproximado
· Peso: 6kg aproximado
· Dimensiones: 18cm x 35cm aproximado
. Incluye funda protectora impermeable par"&amp;"a su almacenamiento.")</f>
        <v>· Capacidad 1 kg por vez como máximo
· Salida: 6-10kg/hr.
· Voltaje: 220 V, 60 Hz.
· Poder: 3000W mínimo
· Velocidad rotatoria: 36,000 r/min aproximado
· Peso: 6kg aproximado
· Dimensiones: 18cm x 35cm aproximado
. Incluye funda protectora impermeable para su almacenamiento.</v>
      </c>
      <c r="J1831" s="213">
        <f>IFERROR(__xludf.DUMMYFUNCTION("""COMPUTED_VALUE"""),3.0)</f>
        <v>3</v>
      </c>
      <c r="K1831" s="213" t="str">
        <f>IFERROR(__xludf.DUMMYFUNCTION("""COMPUTED_VALUE"""),"170 DÍAS CALENDARIO")</f>
        <v>170 DÍAS CALENDARIO</v>
      </c>
      <c r="L1831" s="213" t="str">
        <f>IFERROR(__xludf.DUMMYFUNCTION("""COMPUTED_VALUE"""),"")</f>
        <v/>
      </c>
      <c r="M1831" s="213">
        <f>IFERROR(__xludf.DUMMYFUNCTION("""COMPUTED_VALUE"""),1.0)</f>
        <v>1</v>
      </c>
      <c r="N1831" s="213">
        <f>IFERROR(__xludf.DUMMYFUNCTION("""COMPUTED_VALUE"""),1.0)</f>
        <v>1</v>
      </c>
      <c r="O1831" s="213">
        <f>IFERROR(__xludf.DUMMYFUNCTION("""COMPUTED_VALUE"""),1.0)</f>
        <v>1</v>
      </c>
      <c r="P1831" s="213"/>
      <c r="Q1831" s="213"/>
      <c r="R1831" s="213"/>
      <c r="S1831" s="213" t="str">
        <f>IFERROR(__xludf.DUMMYFUNCTION("""COMPUTED_VALUE"""),"SI")</f>
        <v>SI</v>
      </c>
      <c r="T1831" s="213" t="str">
        <f>IFERROR(__xludf.DUMMYFUNCTION("""COMPUTED_VALUE"""),"SI")</f>
        <v>SI</v>
      </c>
      <c r="U1831" s="213" t="str">
        <f>IFERROR(__xludf.DUMMYFUNCTION("""COMPUTED_VALUE"""),"SI")</f>
        <v>SI</v>
      </c>
      <c r="V1831" s="213" t="str">
        <f>IFERROR(__xludf.DUMMYFUNCTION("""COMPUTED_VALUE"""),"-")</f>
        <v>-</v>
      </c>
      <c r="W1831" s="213" t="str">
        <f>IFERROR(__xludf.DUMMYFUNCTION("""COMPUTED_VALUE"""),"-")</f>
        <v>-</v>
      </c>
      <c r="X1831" s="213" t="str">
        <f>IFERROR(__xludf.DUMMYFUNCTION("""COMPUTED_VALUE"""),"Foshan City Shunde AIMC Electrical Appliances Co., Ltd.")</f>
        <v>Foshan City Shunde AIMC Electrical Appliances Co., Ltd.</v>
      </c>
      <c r="Y1831" s="213" t="str">
        <f>IFERROR(__xludf.DUMMYFUNCTION("""COMPUTED_VALUE"""),"1000G")</f>
        <v>1000G</v>
      </c>
      <c r="Z1831" s="215" t="str">
        <f>IFERROR(__xludf.DUMMYFUNCTION("""COMPUTED_VALUE"""),"https://drive.google.com/file/d/13XGaIKl-Sp6bbN4PtfDbSEI-iN4wre_o/view?usp=sharing")</f>
        <v>https://drive.google.com/file/d/13XGaIKl-Sp6bbN4PtfDbSEI-iN4wre_o/view?usp=sharing</v>
      </c>
      <c r="AA1831" s="213" t="str">
        <f>IFERROR(__xludf.DUMMYFUNCTION("""COMPUTED_VALUE"""),"ESP-276 MOLINO ELÉCTRICO PULVERIZADOR DE HIERBAS Y GRANOS - CET")</f>
        <v>ESP-276 MOLINO ELÉCTRICO PULVERIZADOR DE HIERBAS Y GRANOS - CET</v>
      </c>
      <c r="AB1831" s="215" t="str">
        <f>IFERROR(__xludf.DUMMYFUNCTION("""COMPUTED_VALUE"""),"https://drive.google.com/file/d/1byA_73UIjPIjgUYo9ggvcuXUqvJoo8mm/view")</f>
        <v>https://drive.google.com/file/d/1byA_73UIjPIjgUYo9ggvcuXUqvJoo8mm/view</v>
      </c>
      <c r="AC1831" s="213"/>
      <c r="AD1831" s="213"/>
      <c r="AE1831" s="213"/>
      <c r="AF1831" s="213"/>
      <c r="AG1831" s="213"/>
      <c r="AH1831" s="213" t="str">
        <f>IFERROR(__xludf.DUMMYFUNCTION("""COMPUTED_VALUE"""),"IMPORTADO")</f>
        <v>IMPORTADO</v>
      </c>
      <c r="AI1831" s="213"/>
      <c r="AJ1831" s="213"/>
      <c r="AK1831" s="213"/>
      <c r="AL1831" s="213"/>
      <c r="AM1831" s="213"/>
      <c r="AN1831" s="213"/>
      <c r="AO1831" s="213"/>
      <c r="AP1831" s="213" t="str">
        <f>IFERROR(__xludf.DUMMYFUNCTION("""COMPUTED_VALUE"""),"ANTONELLA")</f>
        <v>ANTONELLA</v>
      </c>
      <c r="AQ1831" s="213"/>
      <c r="AR1831" s="213"/>
      <c r="AS1831" s="213" t="str">
        <f>IFERROR(__xludf.DUMMYFUNCTION("""COMPUTED_VALUE"""),"FUNDA IMPERNEABLE")</f>
        <v>FUNDA IMPERNEABLE</v>
      </c>
      <c r="AT1831" s="213"/>
      <c r="AU1831" s="213"/>
      <c r="AV1831" s="213"/>
      <c r="AW1831" s="213"/>
      <c r="AX1831" s="213"/>
      <c r="AY1831" s="213"/>
      <c r="AZ1831" s="213"/>
      <c r="BA1831" s="213"/>
      <c r="BB1831" s="213"/>
      <c r="BC1831" s="213"/>
      <c r="BD1831" s="213"/>
    </row>
    <row r="1832">
      <c r="A1832" s="213">
        <f>IFERROR(__xludf.DUMMYFUNCTION("""COMPUTED_VALUE"""),1169.0)</f>
        <v>1169</v>
      </c>
      <c r="B1832" s="213" t="str">
        <f>IFERROR(__xludf.DUMMYFUNCTION("""COMPUTED_VALUE"""),"FRANCISCO IRAZOLA")</f>
        <v>FRANCISCO IRAZOLA</v>
      </c>
      <c r="C1832" s="213" t="str">
        <f>IFERROR(__xludf.DUMMYFUNCTION("""COMPUTED_VALUE"""),"TALLER SFT DE INDUSTRIA ALIMENTARIA")</f>
        <v>TALLER SFT DE INDUSTRIA ALIMENTARIA</v>
      </c>
      <c r="D1832" s="213" t="str">
        <f>IFERROR(__xludf.DUMMYFUNCTION("""COMPUTED_VALUE"""),"EQUIPOS")</f>
        <v>EQUIPOS</v>
      </c>
      <c r="E1832" s="213" t="str">
        <f>IFERROR(__xludf.DUMMYFUNCTION("""COMPUTED_VALUE"""),"ESP-276")</f>
        <v>ESP-276</v>
      </c>
      <c r="F1832" s="213" t="str">
        <f>IFERROR(__xludf.DUMMYFUNCTION("""COMPUTED_VALUE"""),"ESP-276")</f>
        <v>ESP-276</v>
      </c>
      <c r="G1832" s="213"/>
      <c r="H1832" s="213" t="str">
        <f>IFERROR(__xludf.DUMMYFUNCTION("""COMPUTED_VALUE"""),"MOLINO ELÉCTRICO PULVERIZADOR DE HIERBAS Y GRANOS")</f>
        <v>MOLINO ELÉCTRICO PULVERIZADOR DE HIERBAS Y GRANOS</v>
      </c>
      <c r="I1832" s="213" t="str">
        <f>IFERROR(__xludf.DUMMYFUNCTION("""COMPUTED_VALUE"""),"· Capacidad 1 kg por vez como máximo
· Salida: 6-10kg/hr.
· Voltaje: 220 V, 60 Hz.
· Poder: 3000W mínimo
· Velocidad rotatoria: 36,000 r/min aproximado
· Peso: 6kg aproximado
· Dimensiones: 18cm x 35cm aproximado
. Incluye funda protectora impermeable par"&amp;"a su almacenamiento.")</f>
        <v>· Capacidad 1 kg por vez como máximo
· Salida: 6-10kg/hr.
· Voltaje: 220 V, 60 Hz.
· Poder: 3000W mínimo
· Velocidad rotatoria: 36,000 r/min aproximado
· Peso: 6kg aproximado
· Dimensiones: 18cm x 35cm aproximado
. Incluye funda protectora impermeable para su almacenamiento.</v>
      </c>
      <c r="J1832" s="213">
        <f>IFERROR(__xludf.DUMMYFUNCTION("""COMPUTED_VALUE"""),3.0)</f>
        <v>3</v>
      </c>
      <c r="K1832" s="213" t="str">
        <f>IFERROR(__xludf.DUMMYFUNCTION("""COMPUTED_VALUE"""),"170 DÍAS CALENDARIO")</f>
        <v>170 DÍAS CALENDARIO</v>
      </c>
      <c r="L1832" s="213" t="str">
        <f>IFERROR(__xludf.DUMMYFUNCTION("""COMPUTED_VALUE"""),"")</f>
        <v/>
      </c>
      <c r="M1832" s="213">
        <f>IFERROR(__xludf.DUMMYFUNCTION("""COMPUTED_VALUE"""),1.0)</f>
        <v>1</v>
      </c>
      <c r="N1832" s="213">
        <f>IFERROR(__xludf.DUMMYFUNCTION("""COMPUTED_VALUE"""),1.0)</f>
        <v>1</v>
      </c>
      <c r="O1832" s="213">
        <f>IFERROR(__xludf.DUMMYFUNCTION("""COMPUTED_VALUE"""),1.0)</f>
        <v>1</v>
      </c>
      <c r="P1832" s="213"/>
      <c r="Q1832" s="213"/>
      <c r="R1832" s="213"/>
      <c r="S1832" s="213" t="str">
        <f>IFERROR(__xludf.DUMMYFUNCTION("""COMPUTED_VALUE"""),"SI")</f>
        <v>SI</v>
      </c>
      <c r="T1832" s="213" t="str">
        <f>IFERROR(__xludf.DUMMYFUNCTION("""COMPUTED_VALUE"""),"SI")</f>
        <v>SI</v>
      </c>
      <c r="U1832" s="213" t="str">
        <f>IFERROR(__xludf.DUMMYFUNCTION("""COMPUTED_VALUE"""),"SI")</f>
        <v>SI</v>
      </c>
      <c r="V1832" s="213" t="str">
        <f>IFERROR(__xludf.DUMMYFUNCTION("""COMPUTED_VALUE"""),"-")</f>
        <v>-</v>
      </c>
      <c r="W1832" s="213" t="str">
        <f>IFERROR(__xludf.DUMMYFUNCTION("""COMPUTED_VALUE"""),"-")</f>
        <v>-</v>
      </c>
      <c r="X1832" s="213" t="str">
        <f>IFERROR(__xludf.DUMMYFUNCTION("""COMPUTED_VALUE"""),"Foshan City Shunde AIMC Electrical Appliances Co., Ltd.")</f>
        <v>Foshan City Shunde AIMC Electrical Appliances Co., Ltd.</v>
      </c>
      <c r="Y1832" s="213" t="str">
        <f>IFERROR(__xludf.DUMMYFUNCTION("""COMPUTED_VALUE"""),"1000G")</f>
        <v>1000G</v>
      </c>
      <c r="Z1832" s="215" t="str">
        <f>IFERROR(__xludf.DUMMYFUNCTION("""COMPUTED_VALUE"""),"https://drive.google.com/file/d/13XGaIKl-Sp6bbN4PtfDbSEI-iN4wre_o/view?usp=sharing")</f>
        <v>https://drive.google.com/file/d/13XGaIKl-Sp6bbN4PtfDbSEI-iN4wre_o/view?usp=sharing</v>
      </c>
      <c r="AA1832" s="213" t="str">
        <f>IFERROR(__xludf.DUMMYFUNCTION("""COMPUTED_VALUE"""),"ESP-276 MOLINO ELÉCTRICO PULVERIZADOR DE HIERBAS Y GRANOS - CET")</f>
        <v>ESP-276 MOLINO ELÉCTRICO PULVERIZADOR DE HIERBAS Y GRANOS - CET</v>
      </c>
      <c r="AB1832" s="215" t="str">
        <f>IFERROR(__xludf.DUMMYFUNCTION("""COMPUTED_VALUE"""),"https://drive.google.com/file/d/1byA_73UIjPIjgUYo9ggvcuXUqvJoo8mm/view")</f>
        <v>https://drive.google.com/file/d/1byA_73UIjPIjgUYo9ggvcuXUqvJoo8mm/view</v>
      </c>
      <c r="AC1832" s="213"/>
      <c r="AD1832" s="213"/>
      <c r="AE1832" s="213"/>
      <c r="AF1832" s="213"/>
      <c r="AG1832" s="213"/>
      <c r="AH1832" s="213" t="str">
        <f>IFERROR(__xludf.DUMMYFUNCTION("""COMPUTED_VALUE"""),"IMPORTADO")</f>
        <v>IMPORTADO</v>
      </c>
      <c r="AI1832" s="213"/>
      <c r="AJ1832" s="213"/>
      <c r="AK1832" s="213"/>
      <c r="AL1832" s="213"/>
      <c r="AM1832" s="213"/>
      <c r="AN1832" s="213"/>
      <c r="AO1832" s="213"/>
      <c r="AP1832" s="213" t="str">
        <f>IFERROR(__xludf.DUMMYFUNCTION("""COMPUTED_VALUE"""),"ANTONELLA")</f>
        <v>ANTONELLA</v>
      </c>
      <c r="AQ1832" s="213"/>
      <c r="AR1832" s="213"/>
      <c r="AS1832" s="213" t="str">
        <f>IFERROR(__xludf.DUMMYFUNCTION("""COMPUTED_VALUE"""),"FUNDA IMPERNEABLE")</f>
        <v>FUNDA IMPERNEABLE</v>
      </c>
      <c r="AT1832" s="213"/>
      <c r="AU1832" s="213"/>
      <c r="AV1832" s="213"/>
      <c r="AW1832" s="213"/>
      <c r="AX1832" s="213"/>
      <c r="AY1832" s="213"/>
      <c r="AZ1832" s="213"/>
      <c r="BA1832" s="213"/>
      <c r="BB1832" s="213"/>
      <c r="BC1832" s="213"/>
      <c r="BD1832" s="213"/>
    </row>
    <row r="1833">
      <c r="A1833" s="213">
        <f>IFERROR(__xludf.DUMMYFUNCTION("""COMPUTED_VALUE"""),1444.0)</f>
        <v>1444</v>
      </c>
      <c r="B1833" s="213" t="str">
        <f>IFERROR(__xludf.DUMMYFUNCTION("""COMPUTED_VALUE"""),"GUILLERMO E. BILLINGHURST ")</f>
        <v>GUILLERMO E. BILLINGHURST </v>
      </c>
      <c r="C1833" s="213" t="str">
        <f>IFERROR(__xludf.DUMMYFUNCTION("""COMPUTED_VALUE"""),"TALLER SFT DE INDUSTRIA ALIMENTARIA")</f>
        <v>TALLER SFT DE INDUSTRIA ALIMENTARIA</v>
      </c>
      <c r="D1833" s="213" t="str">
        <f>IFERROR(__xludf.DUMMYFUNCTION("""COMPUTED_VALUE"""),"EQUIPOS")</f>
        <v>EQUIPOS</v>
      </c>
      <c r="E1833" s="213" t="str">
        <f>IFERROR(__xludf.DUMMYFUNCTION("""COMPUTED_VALUE"""),"ESP-276")</f>
        <v>ESP-276</v>
      </c>
      <c r="F1833" s="213" t="str">
        <f>IFERROR(__xludf.DUMMYFUNCTION("""COMPUTED_VALUE"""),"ESP-276")</f>
        <v>ESP-276</v>
      </c>
      <c r="G1833" s="213"/>
      <c r="H1833" s="213" t="str">
        <f>IFERROR(__xludf.DUMMYFUNCTION("""COMPUTED_VALUE"""),"MOLINO ELÉCTRICO PULVERIZADOR DE HIERBAS Y GRANOS")</f>
        <v>MOLINO ELÉCTRICO PULVERIZADOR DE HIERBAS Y GRANOS</v>
      </c>
      <c r="I1833" s="213" t="str">
        <f>IFERROR(__xludf.DUMMYFUNCTION("""COMPUTED_VALUE"""),"· Capacidad 1 kg por vez como máximo
· Salida: 6-10kg/hr.
· Voltaje: 220 V, 60 Hz.
· Poder: 3000W mínimo
· Velocidad rotatoria: 36,000 r/min aproximado
· Peso: 6kg aproximado
· Dimensiones: 18cm x 35cm aproximado
. Incluye funda protectora impermeable par"&amp;"a su almacenamiento.")</f>
        <v>· Capacidad 1 kg por vez como máximo
· Salida: 6-10kg/hr.
· Voltaje: 220 V, 60 Hz.
· Poder: 3000W mínimo
· Velocidad rotatoria: 36,000 r/min aproximado
· Peso: 6kg aproximado
· Dimensiones: 18cm x 35cm aproximado
. Incluye funda protectora impermeable para su almacenamiento.</v>
      </c>
      <c r="J1833" s="213">
        <f>IFERROR(__xludf.DUMMYFUNCTION("""COMPUTED_VALUE"""),3.0)</f>
        <v>3</v>
      </c>
      <c r="K1833" s="213" t="str">
        <f>IFERROR(__xludf.DUMMYFUNCTION("""COMPUTED_VALUE"""),"170 DÍAS CALENDARIO")</f>
        <v>170 DÍAS CALENDARIO</v>
      </c>
      <c r="L1833" s="213" t="str">
        <f>IFERROR(__xludf.DUMMYFUNCTION("""COMPUTED_VALUE"""),"")</f>
        <v/>
      </c>
      <c r="M1833" s="213">
        <f>IFERROR(__xludf.DUMMYFUNCTION("""COMPUTED_VALUE"""),1.0)</f>
        <v>1</v>
      </c>
      <c r="N1833" s="213">
        <f>IFERROR(__xludf.DUMMYFUNCTION("""COMPUTED_VALUE"""),1.0)</f>
        <v>1</v>
      </c>
      <c r="O1833" s="213">
        <f>IFERROR(__xludf.DUMMYFUNCTION("""COMPUTED_VALUE"""),1.0)</f>
        <v>1</v>
      </c>
      <c r="P1833" s="213"/>
      <c r="Q1833" s="213"/>
      <c r="R1833" s="213"/>
      <c r="S1833" s="213" t="str">
        <f>IFERROR(__xludf.DUMMYFUNCTION("""COMPUTED_VALUE"""),"SI")</f>
        <v>SI</v>
      </c>
      <c r="T1833" s="213" t="str">
        <f>IFERROR(__xludf.DUMMYFUNCTION("""COMPUTED_VALUE"""),"SI")</f>
        <v>SI</v>
      </c>
      <c r="U1833" s="213" t="str">
        <f>IFERROR(__xludf.DUMMYFUNCTION("""COMPUTED_VALUE"""),"SI")</f>
        <v>SI</v>
      </c>
      <c r="V1833" s="213" t="str">
        <f>IFERROR(__xludf.DUMMYFUNCTION("""COMPUTED_VALUE"""),"-")</f>
        <v>-</v>
      </c>
      <c r="W1833" s="213" t="str">
        <f>IFERROR(__xludf.DUMMYFUNCTION("""COMPUTED_VALUE"""),"-")</f>
        <v>-</v>
      </c>
      <c r="X1833" s="213" t="str">
        <f>IFERROR(__xludf.DUMMYFUNCTION("""COMPUTED_VALUE"""),"Foshan City Shunde AIMC Electrical Appliances Co., Ltd.")</f>
        <v>Foshan City Shunde AIMC Electrical Appliances Co., Ltd.</v>
      </c>
      <c r="Y1833" s="213" t="str">
        <f>IFERROR(__xludf.DUMMYFUNCTION("""COMPUTED_VALUE"""),"1000G")</f>
        <v>1000G</v>
      </c>
      <c r="Z1833" s="215" t="str">
        <f>IFERROR(__xludf.DUMMYFUNCTION("""COMPUTED_VALUE"""),"https://drive.google.com/file/d/13XGaIKl-Sp6bbN4PtfDbSEI-iN4wre_o/view?usp=sharing")</f>
        <v>https://drive.google.com/file/d/13XGaIKl-Sp6bbN4PtfDbSEI-iN4wre_o/view?usp=sharing</v>
      </c>
      <c r="AA1833" s="213" t="str">
        <f>IFERROR(__xludf.DUMMYFUNCTION("""COMPUTED_VALUE"""),"ESP-276 MOLINO ELÉCTRICO PULVERIZADOR DE HIERBAS Y GRANOS - CET")</f>
        <v>ESP-276 MOLINO ELÉCTRICO PULVERIZADOR DE HIERBAS Y GRANOS - CET</v>
      </c>
      <c r="AB1833" s="215" t="str">
        <f>IFERROR(__xludf.DUMMYFUNCTION("""COMPUTED_VALUE"""),"https://drive.google.com/file/d/1byA_73UIjPIjgUYo9ggvcuXUqvJoo8mm/view")</f>
        <v>https://drive.google.com/file/d/1byA_73UIjPIjgUYo9ggvcuXUqvJoo8mm/view</v>
      </c>
      <c r="AC1833" s="213"/>
      <c r="AD1833" s="213"/>
      <c r="AE1833" s="213"/>
      <c r="AF1833" s="213"/>
      <c r="AG1833" s="213"/>
      <c r="AH1833" s="213" t="str">
        <f>IFERROR(__xludf.DUMMYFUNCTION("""COMPUTED_VALUE"""),"IMPORTADO")</f>
        <v>IMPORTADO</v>
      </c>
      <c r="AI1833" s="213"/>
      <c r="AJ1833" s="213"/>
      <c r="AK1833" s="213"/>
      <c r="AL1833" s="213"/>
      <c r="AM1833" s="213"/>
      <c r="AN1833" s="213"/>
      <c r="AO1833" s="213"/>
      <c r="AP1833" s="213" t="str">
        <f>IFERROR(__xludf.DUMMYFUNCTION("""COMPUTED_VALUE"""),"ANTONELLA")</f>
        <v>ANTONELLA</v>
      </c>
      <c r="AQ1833" s="213"/>
      <c r="AR1833" s="213"/>
      <c r="AS1833" s="213" t="str">
        <f>IFERROR(__xludf.DUMMYFUNCTION("""COMPUTED_VALUE"""),"FUNDA IMPERNEABLE")</f>
        <v>FUNDA IMPERNEABLE</v>
      </c>
      <c r="AT1833" s="213"/>
      <c r="AU1833" s="213"/>
      <c r="AV1833" s="213"/>
      <c r="AW1833" s="213"/>
      <c r="AX1833" s="213"/>
      <c r="AY1833" s="213"/>
      <c r="AZ1833" s="213"/>
      <c r="BA1833" s="213"/>
      <c r="BB1833" s="213"/>
      <c r="BC1833" s="213"/>
      <c r="BD1833" s="213"/>
    </row>
    <row r="1834">
      <c r="A1834" s="213">
        <f>IFERROR(__xludf.DUMMYFUNCTION("""COMPUTED_VALUE"""),2131.0)</f>
        <v>2131</v>
      </c>
      <c r="B1834" s="213" t="str">
        <f>IFERROR(__xludf.DUMMYFUNCTION("""COMPUTED_VALUE"""),"JOSE GRANDA")</f>
        <v>JOSE GRANDA</v>
      </c>
      <c r="C1834" s="213" t="str">
        <f>IFERROR(__xludf.DUMMYFUNCTION("""COMPUTED_VALUE"""),"TALLER SFT DE INDUSTRIA ALIMENTARIA")</f>
        <v>TALLER SFT DE INDUSTRIA ALIMENTARIA</v>
      </c>
      <c r="D1834" s="213" t="str">
        <f>IFERROR(__xludf.DUMMYFUNCTION("""COMPUTED_VALUE"""),"EQUIPOS")</f>
        <v>EQUIPOS</v>
      </c>
      <c r="E1834" s="213" t="str">
        <f>IFERROR(__xludf.DUMMYFUNCTION("""COMPUTED_VALUE"""),"ESP-276")</f>
        <v>ESP-276</v>
      </c>
      <c r="F1834" s="213" t="str">
        <f>IFERROR(__xludf.DUMMYFUNCTION("""COMPUTED_VALUE"""),"ESP-276")</f>
        <v>ESP-276</v>
      </c>
      <c r="G1834" s="213"/>
      <c r="H1834" s="213" t="str">
        <f>IFERROR(__xludf.DUMMYFUNCTION("""COMPUTED_VALUE"""),"MOLINO ELÉCTRICO PULVERIZADOR DE HIERBAS Y GRANOS")</f>
        <v>MOLINO ELÉCTRICO PULVERIZADOR DE HIERBAS Y GRANOS</v>
      </c>
      <c r="I1834" s="213" t="str">
        <f>IFERROR(__xludf.DUMMYFUNCTION("""COMPUTED_VALUE"""),"· Capacidad 1 kg por vez como máximo
· Salida: 6-10kg/hr.
· Voltaje: 220 V, 60 Hz.
· Poder: 3000W mínimo
· Velocidad rotatoria: 36,000 r/min aproximado
· Peso: 6kg aproximado
· Dimensiones: 18cm x 35cm aproximado
. Incluye funda protectora impermeable par"&amp;"a su almacenamiento.")</f>
        <v>· Capacidad 1 kg por vez como máximo
· Salida: 6-10kg/hr.
· Voltaje: 220 V, 60 Hz.
· Poder: 3000W mínimo
· Velocidad rotatoria: 36,000 r/min aproximado
· Peso: 6kg aproximado
· Dimensiones: 18cm x 35cm aproximado
. Incluye funda protectora impermeable para su almacenamiento.</v>
      </c>
      <c r="J1834" s="213">
        <f>IFERROR(__xludf.DUMMYFUNCTION("""COMPUTED_VALUE"""),3.0)</f>
        <v>3</v>
      </c>
      <c r="K1834" s="213" t="str">
        <f>IFERROR(__xludf.DUMMYFUNCTION("""COMPUTED_VALUE"""),"170 DÍAS CALENDARIO")</f>
        <v>170 DÍAS CALENDARIO</v>
      </c>
      <c r="L1834" s="213" t="str">
        <f>IFERROR(__xludf.DUMMYFUNCTION("""COMPUTED_VALUE"""),"")</f>
        <v/>
      </c>
      <c r="M1834" s="213">
        <f>IFERROR(__xludf.DUMMYFUNCTION("""COMPUTED_VALUE"""),1.0)</f>
        <v>1</v>
      </c>
      <c r="N1834" s="213">
        <f>IFERROR(__xludf.DUMMYFUNCTION("""COMPUTED_VALUE"""),1.0)</f>
        <v>1</v>
      </c>
      <c r="O1834" s="213">
        <f>IFERROR(__xludf.DUMMYFUNCTION("""COMPUTED_VALUE"""),1.0)</f>
        <v>1</v>
      </c>
      <c r="P1834" s="213"/>
      <c r="Q1834" s="213"/>
      <c r="R1834" s="213"/>
      <c r="S1834" s="213" t="str">
        <f>IFERROR(__xludf.DUMMYFUNCTION("""COMPUTED_VALUE"""),"SI")</f>
        <v>SI</v>
      </c>
      <c r="T1834" s="213" t="str">
        <f>IFERROR(__xludf.DUMMYFUNCTION("""COMPUTED_VALUE"""),"SI")</f>
        <v>SI</v>
      </c>
      <c r="U1834" s="213" t="str">
        <f>IFERROR(__xludf.DUMMYFUNCTION("""COMPUTED_VALUE"""),"SI")</f>
        <v>SI</v>
      </c>
      <c r="V1834" s="213" t="str">
        <f>IFERROR(__xludf.DUMMYFUNCTION("""COMPUTED_VALUE"""),"-")</f>
        <v>-</v>
      </c>
      <c r="W1834" s="213" t="str">
        <f>IFERROR(__xludf.DUMMYFUNCTION("""COMPUTED_VALUE"""),"-")</f>
        <v>-</v>
      </c>
      <c r="X1834" s="213" t="str">
        <f>IFERROR(__xludf.DUMMYFUNCTION("""COMPUTED_VALUE"""),"Foshan City Shunde AIMC Electrical Appliances Co., Ltd.")</f>
        <v>Foshan City Shunde AIMC Electrical Appliances Co., Ltd.</v>
      </c>
      <c r="Y1834" s="213" t="str">
        <f>IFERROR(__xludf.DUMMYFUNCTION("""COMPUTED_VALUE"""),"1000G")</f>
        <v>1000G</v>
      </c>
      <c r="Z1834" s="215" t="str">
        <f>IFERROR(__xludf.DUMMYFUNCTION("""COMPUTED_VALUE"""),"https://drive.google.com/file/d/13XGaIKl-Sp6bbN4PtfDbSEI-iN4wre_o/view?usp=sharing")</f>
        <v>https://drive.google.com/file/d/13XGaIKl-Sp6bbN4PtfDbSEI-iN4wre_o/view?usp=sharing</v>
      </c>
      <c r="AA1834" s="213" t="str">
        <f>IFERROR(__xludf.DUMMYFUNCTION("""COMPUTED_VALUE"""),"ESP-276 MOLINO ELÉCTRICO PULVERIZADOR DE HIERBAS Y GRANOS - CET")</f>
        <v>ESP-276 MOLINO ELÉCTRICO PULVERIZADOR DE HIERBAS Y GRANOS - CET</v>
      </c>
      <c r="AB1834" s="215" t="str">
        <f>IFERROR(__xludf.DUMMYFUNCTION("""COMPUTED_VALUE"""),"https://drive.google.com/file/d/1byA_73UIjPIjgUYo9ggvcuXUqvJoo8mm/view")</f>
        <v>https://drive.google.com/file/d/1byA_73UIjPIjgUYo9ggvcuXUqvJoo8mm/view</v>
      </c>
      <c r="AC1834" s="213"/>
      <c r="AD1834" s="213"/>
      <c r="AE1834" s="213"/>
      <c r="AF1834" s="213"/>
      <c r="AG1834" s="213"/>
      <c r="AH1834" s="213" t="str">
        <f>IFERROR(__xludf.DUMMYFUNCTION("""COMPUTED_VALUE"""),"IMPORTADO")</f>
        <v>IMPORTADO</v>
      </c>
      <c r="AI1834" s="213"/>
      <c r="AJ1834" s="213"/>
      <c r="AK1834" s="213"/>
      <c r="AL1834" s="213"/>
      <c r="AM1834" s="213"/>
      <c r="AN1834" s="213"/>
      <c r="AO1834" s="213"/>
      <c r="AP1834" s="213" t="str">
        <f>IFERROR(__xludf.DUMMYFUNCTION("""COMPUTED_VALUE"""),"ANTONELLA")</f>
        <v>ANTONELLA</v>
      </c>
      <c r="AQ1834" s="213"/>
      <c r="AR1834" s="213"/>
      <c r="AS1834" s="213" t="str">
        <f>IFERROR(__xludf.DUMMYFUNCTION("""COMPUTED_VALUE"""),"FUNDA IMPERNEABLE")</f>
        <v>FUNDA IMPERNEABLE</v>
      </c>
      <c r="AT1834" s="213"/>
      <c r="AU1834" s="213"/>
      <c r="AV1834" s="213"/>
      <c r="AW1834" s="213"/>
      <c r="AX1834" s="213"/>
      <c r="AY1834" s="213"/>
      <c r="AZ1834" s="213"/>
      <c r="BA1834" s="213"/>
      <c r="BB1834" s="213"/>
      <c r="BC1834" s="213"/>
      <c r="BD1834" s="213"/>
    </row>
    <row r="1835">
      <c r="A1835" s="213">
        <f>IFERROR(__xludf.DUMMYFUNCTION("""COMPUTED_VALUE"""),561.0)</f>
        <v>561</v>
      </c>
      <c r="B1835" s="213" t="str">
        <f>IFERROR(__xludf.DUMMYFUNCTION("""COMPUTED_VALUE"""),"2026 SIMON BOLIVAR")</f>
        <v>2026 SIMON BOLIVAR</v>
      </c>
      <c r="C1835" s="213" t="str">
        <f>IFERROR(__xludf.DUMMYFUNCTION("""COMPUTED_VALUE"""),"TALLER SFT DE INDUSTRIA ALIMENTARIA")</f>
        <v>TALLER SFT DE INDUSTRIA ALIMENTARIA</v>
      </c>
      <c r="D1835" s="213" t="str">
        <f>IFERROR(__xludf.DUMMYFUNCTION("""COMPUTED_VALUE"""),"EQUIPOS")</f>
        <v>EQUIPOS</v>
      </c>
      <c r="E1835" s="213" t="str">
        <f>IFERROR(__xludf.DUMMYFUNCTION("""COMPUTED_VALUE"""),"ESP-277")</f>
        <v>ESP-277</v>
      </c>
      <c r="F1835" s="213" t="str">
        <f>IFERROR(__xludf.DUMMYFUNCTION("""COMPUTED_VALUE"""),"ESP-277")</f>
        <v>ESP-277</v>
      </c>
      <c r="G1835" s="213"/>
      <c r="H1835" s="213" t="str">
        <f>IFERROR(__xludf.DUMMYFUNCTION("""COMPUTED_VALUE"""),"MOLINO PASTA DE CACAO")</f>
        <v>MOLINO PASTA DE CACAO</v>
      </c>
      <c r="I1835" s="213"/>
      <c r="J1835" s="213">
        <f>IFERROR(__xludf.DUMMYFUNCTION("""COMPUTED_VALUE"""),3.0)</f>
        <v>3</v>
      </c>
      <c r="K1835" s="213" t="str">
        <f>IFERROR(__xludf.DUMMYFUNCTION("""COMPUTED_VALUE"""),"170 DÍAS CALENDARIO")</f>
        <v>170 DÍAS CALENDARIO</v>
      </c>
      <c r="L1835" s="213" t="str">
        <f>IFERROR(__xludf.DUMMYFUNCTION("""COMPUTED_VALUE"""),"")</f>
        <v/>
      </c>
      <c r="M1835" s="213">
        <f>IFERROR(__xludf.DUMMYFUNCTION("""COMPUTED_VALUE"""),1.0)</f>
        <v>1</v>
      </c>
      <c r="N1835" s="213">
        <f>IFERROR(__xludf.DUMMYFUNCTION("""COMPUTED_VALUE"""),1.0)</f>
        <v>1</v>
      </c>
      <c r="O1835" s="213">
        <f>IFERROR(__xludf.DUMMYFUNCTION("""COMPUTED_VALUE"""),1.0)</f>
        <v>1</v>
      </c>
      <c r="P1835" s="213"/>
      <c r="Q1835" s="213"/>
      <c r="R1835" s="213"/>
      <c r="S1835" s="213" t="str">
        <f>IFERROR(__xludf.DUMMYFUNCTION("""COMPUTED_VALUE"""),"SI")</f>
        <v>SI</v>
      </c>
      <c r="T1835" s="213" t="str">
        <f>IFERROR(__xludf.DUMMYFUNCTION("""COMPUTED_VALUE"""),"SI")</f>
        <v>SI</v>
      </c>
      <c r="U1835" s="213" t="str">
        <f>IFERROR(__xludf.DUMMYFUNCTION("""COMPUTED_VALUE"""),"NO")</f>
        <v>NO</v>
      </c>
      <c r="V1835" s="213" t="str">
        <f>IFERROR(__xludf.DUMMYFUNCTION("""COMPUTED_VALUE"""),"SUSTENTO")</f>
        <v>SUSTENTO</v>
      </c>
      <c r="W1835" s="213" t="str">
        <f>IFERROR(__xludf.DUMMYFUNCTION("""COMPUTED_VALUE"""),"DIMENSIONAL")</f>
        <v>DIMENSIONAL</v>
      </c>
      <c r="X1835" s="213" t="str">
        <f>IFERROR(__xludf.DUMMYFUNCTION("""COMPUTED_VALUE"""),"Zhengzhou Thrive Trade Co., Limited")</f>
        <v>Zhengzhou Thrive Trade Co., Limited</v>
      </c>
      <c r="Y1835" s="213" t="str">
        <f>IFERROR(__xludf.DUMMYFUNCTION("""COMPUTED_VALUE"""),"TH-860")</f>
        <v>TH-860</v>
      </c>
      <c r="Z1835" s="215" t="str">
        <f>IFERROR(__xludf.DUMMYFUNCTION("""COMPUTED_VALUE"""),"https://drive.google.com/file/d/1NIRYs4rZoOmyRtDuwdu3zEt6nlSHYkcK/view")</f>
        <v>https://drive.google.com/file/d/1NIRYs4rZoOmyRtDuwdu3zEt6nlSHYkcK/view</v>
      </c>
      <c r="AA1835" s="213" t="str">
        <f>IFERROR(__xludf.DUMMYFUNCTION("""COMPUTED_VALUE"""),"ESP-277 MOLINO PASTA DE CACAO- CET")</f>
        <v>ESP-277 MOLINO PASTA DE CACAO- CET</v>
      </c>
      <c r="AB1835" s="213"/>
      <c r="AC1835" s="213"/>
      <c r="AD1835" s="213"/>
      <c r="AE1835" s="213"/>
      <c r="AF1835" s="213"/>
      <c r="AG1835" s="213"/>
      <c r="AH1835" s="213" t="str">
        <f>IFERROR(__xludf.DUMMYFUNCTION("""COMPUTED_VALUE"""),"IMPORTADO")</f>
        <v>IMPORTADO</v>
      </c>
      <c r="AI1835" s="213"/>
      <c r="AJ1835" s="213"/>
      <c r="AK1835" s="213"/>
      <c r="AL1835" s="213"/>
      <c r="AM1835" s="213"/>
      <c r="AN1835" s="213"/>
      <c r="AO1835" s="213"/>
      <c r="AP1835" s="213" t="str">
        <f>IFERROR(__xludf.DUMMYFUNCTION("""COMPUTED_VALUE"""),"ANTONELLA")</f>
        <v>ANTONELLA</v>
      </c>
      <c r="AQ1835" s="213"/>
      <c r="AR1835" s="213"/>
      <c r="AS1835" s="213" t="str">
        <f>IFERROR(__xludf.DUMMYFUNCTION("""COMPUTED_VALUE"""),"FUNDA IMPERNEABLE")</f>
        <v>FUNDA IMPERNEABLE</v>
      </c>
      <c r="AT1835" s="213"/>
      <c r="AU1835" s="213"/>
      <c r="AV1835" s="213"/>
      <c r="AW1835" s="213"/>
      <c r="AX1835" s="213"/>
      <c r="AY1835" s="213"/>
      <c r="AZ1835" s="213"/>
      <c r="BA1835" s="213"/>
      <c r="BB1835" s="213"/>
      <c r="BC1835" s="213"/>
      <c r="BD1835" s="213"/>
    </row>
    <row r="1836">
      <c r="A1836" s="213">
        <f>IFERROR(__xludf.DUMMYFUNCTION("""COMPUTED_VALUE"""),1188.0)</f>
        <v>1188</v>
      </c>
      <c r="B1836" s="213" t="str">
        <f>IFERROR(__xludf.DUMMYFUNCTION("""COMPUTED_VALUE"""),"FRANCISCO IRAZOLA")</f>
        <v>FRANCISCO IRAZOLA</v>
      </c>
      <c r="C1836" s="213" t="str">
        <f>IFERROR(__xludf.DUMMYFUNCTION("""COMPUTED_VALUE"""),"TALLER SFT DE INDUSTRIA ALIMENTARIA")</f>
        <v>TALLER SFT DE INDUSTRIA ALIMENTARIA</v>
      </c>
      <c r="D1836" s="213" t="str">
        <f>IFERROR(__xludf.DUMMYFUNCTION("""COMPUTED_VALUE"""),"EQUIPOS")</f>
        <v>EQUIPOS</v>
      </c>
      <c r="E1836" s="213" t="str">
        <f>IFERROR(__xludf.DUMMYFUNCTION("""COMPUTED_VALUE"""),"ESP-277")</f>
        <v>ESP-277</v>
      </c>
      <c r="F1836" s="213" t="str">
        <f>IFERROR(__xludf.DUMMYFUNCTION("""COMPUTED_VALUE"""),"ESP-277")</f>
        <v>ESP-277</v>
      </c>
      <c r="G1836" s="213"/>
      <c r="H1836" s="213" t="str">
        <f>IFERROR(__xludf.DUMMYFUNCTION("""COMPUTED_VALUE"""),"MOLINO PASTA DE CACAO")</f>
        <v>MOLINO PASTA DE CACAO</v>
      </c>
      <c r="I1836" s="213"/>
      <c r="J1836" s="213">
        <f>IFERROR(__xludf.DUMMYFUNCTION("""COMPUTED_VALUE"""),3.0)</f>
        <v>3</v>
      </c>
      <c r="K1836" s="213" t="str">
        <f>IFERROR(__xludf.DUMMYFUNCTION("""COMPUTED_VALUE"""),"170 DÍAS CALENDARIO")</f>
        <v>170 DÍAS CALENDARIO</v>
      </c>
      <c r="L1836" s="213" t="str">
        <f>IFERROR(__xludf.DUMMYFUNCTION("""COMPUTED_VALUE"""),"")</f>
        <v/>
      </c>
      <c r="M1836" s="213">
        <f>IFERROR(__xludf.DUMMYFUNCTION("""COMPUTED_VALUE"""),1.0)</f>
        <v>1</v>
      </c>
      <c r="N1836" s="213">
        <f>IFERROR(__xludf.DUMMYFUNCTION("""COMPUTED_VALUE"""),1.0)</f>
        <v>1</v>
      </c>
      <c r="O1836" s="213">
        <f>IFERROR(__xludf.DUMMYFUNCTION("""COMPUTED_VALUE"""),1.0)</f>
        <v>1</v>
      </c>
      <c r="P1836" s="213"/>
      <c r="Q1836" s="213"/>
      <c r="R1836" s="213"/>
      <c r="S1836" s="213" t="str">
        <f>IFERROR(__xludf.DUMMYFUNCTION("""COMPUTED_VALUE"""),"SI")</f>
        <v>SI</v>
      </c>
      <c r="T1836" s="213" t="str">
        <f>IFERROR(__xludf.DUMMYFUNCTION("""COMPUTED_VALUE"""),"SI")</f>
        <v>SI</v>
      </c>
      <c r="U1836" s="213" t="str">
        <f>IFERROR(__xludf.DUMMYFUNCTION("""COMPUTED_VALUE"""),"NO")</f>
        <v>NO</v>
      </c>
      <c r="V1836" s="213" t="str">
        <f>IFERROR(__xludf.DUMMYFUNCTION("""COMPUTED_VALUE"""),"SUSTENTO")</f>
        <v>SUSTENTO</v>
      </c>
      <c r="W1836" s="213" t="str">
        <f>IFERROR(__xludf.DUMMYFUNCTION("""COMPUTED_VALUE"""),"DIMENSIONAL")</f>
        <v>DIMENSIONAL</v>
      </c>
      <c r="X1836" s="213" t="str">
        <f>IFERROR(__xludf.DUMMYFUNCTION("""COMPUTED_VALUE"""),"Zhengzhou Thrive Trade Co., Limited")</f>
        <v>Zhengzhou Thrive Trade Co., Limited</v>
      </c>
      <c r="Y1836" s="213" t="str">
        <f>IFERROR(__xludf.DUMMYFUNCTION("""COMPUTED_VALUE"""),"TH-860")</f>
        <v>TH-860</v>
      </c>
      <c r="Z1836" s="215" t="str">
        <f>IFERROR(__xludf.DUMMYFUNCTION("""COMPUTED_VALUE"""),"https://drive.google.com/file/d/1NIRYs4rZoOmyRtDuwdu3zEt6nlSHYkcK/view")</f>
        <v>https://drive.google.com/file/d/1NIRYs4rZoOmyRtDuwdu3zEt6nlSHYkcK/view</v>
      </c>
      <c r="AA1836" s="213" t="str">
        <f>IFERROR(__xludf.DUMMYFUNCTION("""COMPUTED_VALUE"""),"ESP-277 MOLINO PASTA DE CACAO- CET")</f>
        <v>ESP-277 MOLINO PASTA DE CACAO- CET</v>
      </c>
      <c r="AB1836" s="213"/>
      <c r="AC1836" s="213"/>
      <c r="AD1836" s="213"/>
      <c r="AE1836" s="213"/>
      <c r="AF1836" s="213"/>
      <c r="AG1836" s="213"/>
      <c r="AH1836" s="213" t="str">
        <f>IFERROR(__xludf.DUMMYFUNCTION("""COMPUTED_VALUE"""),"IMPORTADO")</f>
        <v>IMPORTADO</v>
      </c>
      <c r="AI1836" s="213"/>
      <c r="AJ1836" s="213"/>
      <c r="AK1836" s="213"/>
      <c r="AL1836" s="213"/>
      <c r="AM1836" s="213"/>
      <c r="AN1836" s="213"/>
      <c r="AO1836" s="213"/>
      <c r="AP1836" s="213" t="str">
        <f>IFERROR(__xludf.DUMMYFUNCTION("""COMPUTED_VALUE"""),"ANTONELLA")</f>
        <v>ANTONELLA</v>
      </c>
      <c r="AQ1836" s="213"/>
      <c r="AR1836" s="213"/>
      <c r="AS1836" s="213" t="str">
        <f>IFERROR(__xludf.DUMMYFUNCTION("""COMPUTED_VALUE"""),"FUNDA IMPERNEABLE")</f>
        <v>FUNDA IMPERNEABLE</v>
      </c>
      <c r="AT1836" s="213"/>
      <c r="AU1836" s="213"/>
      <c r="AV1836" s="213"/>
      <c r="AW1836" s="213"/>
      <c r="AX1836" s="213"/>
      <c r="AY1836" s="213"/>
      <c r="AZ1836" s="213"/>
      <c r="BA1836" s="213"/>
      <c r="BB1836" s="213"/>
      <c r="BC1836" s="213"/>
      <c r="BD1836" s="213"/>
    </row>
    <row r="1837">
      <c r="A1837" s="213">
        <f>IFERROR(__xludf.DUMMYFUNCTION("""COMPUTED_VALUE"""),1463.0)</f>
        <v>1463</v>
      </c>
      <c r="B1837" s="213" t="str">
        <f>IFERROR(__xludf.DUMMYFUNCTION("""COMPUTED_VALUE"""),"GUILLERMO E. BILLINGHURST ")</f>
        <v>GUILLERMO E. BILLINGHURST </v>
      </c>
      <c r="C1837" s="213" t="str">
        <f>IFERROR(__xludf.DUMMYFUNCTION("""COMPUTED_VALUE"""),"TALLER SFT DE INDUSTRIA ALIMENTARIA")</f>
        <v>TALLER SFT DE INDUSTRIA ALIMENTARIA</v>
      </c>
      <c r="D1837" s="213" t="str">
        <f>IFERROR(__xludf.DUMMYFUNCTION("""COMPUTED_VALUE"""),"EQUIPOS")</f>
        <v>EQUIPOS</v>
      </c>
      <c r="E1837" s="213" t="str">
        <f>IFERROR(__xludf.DUMMYFUNCTION("""COMPUTED_VALUE"""),"ESP-277")</f>
        <v>ESP-277</v>
      </c>
      <c r="F1837" s="213" t="str">
        <f>IFERROR(__xludf.DUMMYFUNCTION("""COMPUTED_VALUE"""),"ESP-277")</f>
        <v>ESP-277</v>
      </c>
      <c r="G1837" s="213"/>
      <c r="H1837" s="213" t="str">
        <f>IFERROR(__xludf.DUMMYFUNCTION("""COMPUTED_VALUE"""),"MOLINO PASTA DE CACAO")</f>
        <v>MOLINO PASTA DE CACAO</v>
      </c>
      <c r="I1837" s="213"/>
      <c r="J1837" s="213">
        <f>IFERROR(__xludf.DUMMYFUNCTION("""COMPUTED_VALUE"""),3.0)</f>
        <v>3</v>
      </c>
      <c r="K1837" s="213" t="str">
        <f>IFERROR(__xludf.DUMMYFUNCTION("""COMPUTED_VALUE"""),"170 DÍAS CALENDARIO")</f>
        <v>170 DÍAS CALENDARIO</v>
      </c>
      <c r="L1837" s="213" t="str">
        <f>IFERROR(__xludf.DUMMYFUNCTION("""COMPUTED_VALUE"""),"")</f>
        <v/>
      </c>
      <c r="M1837" s="213">
        <f>IFERROR(__xludf.DUMMYFUNCTION("""COMPUTED_VALUE"""),1.0)</f>
        <v>1</v>
      </c>
      <c r="N1837" s="213">
        <f>IFERROR(__xludf.DUMMYFUNCTION("""COMPUTED_VALUE"""),1.0)</f>
        <v>1</v>
      </c>
      <c r="O1837" s="213">
        <f>IFERROR(__xludf.DUMMYFUNCTION("""COMPUTED_VALUE"""),1.0)</f>
        <v>1</v>
      </c>
      <c r="P1837" s="213"/>
      <c r="Q1837" s="213"/>
      <c r="R1837" s="213"/>
      <c r="S1837" s="213" t="str">
        <f>IFERROR(__xludf.DUMMYFUNCTION("""COMPUTED_VALUE"""),"SI")</f>
        <v>SI</v>
      </c>
      <c r="T1837" s="213" t="str">
        <f>IFERROR(__xludf.DUMMYFUNCTION("""COMPUTED_VALUE"""),"SI")</f>
        <v>SI</v>
      </c>
      <c r="U1837" s="213" t="str">
        <f>IFERROR(__xludf.DUMMYFUNCTION("""COMPUTED_VALUE"""),"NO")</f>
        <v>NO</v>
      </c>
      <c r="V1837" s="213" t="str">
        <f>IFERROR(__xludf.DUMMYFUNCTION("""COMPUTED_VALUE"""),"SUSTENTO")</f>
        <v>SUSTENTO</v>
      </c>
      <c r="W1837" s="213" t="str">
        <f>IFERROR(__xludf.DUMMYFUNCTION("""COMPUTED_VALUE"""),"DIMENSIONAL")</f>
        <v>DIMENSIONAL</v>
      </c>
      <c r="X1837" s="213" t="str">
        <f>IFERROR(__xludf.DUMMYFUNCTION("""COMPUTED_VALUE"""),"Zhengzhou Thrive Trade Co., Limited")</f>
        <v>Zhengzhou Thrive Trade Co., Limited</v>
      </c>
      <c r="Y1837" s="213" t="str">
        <f>IFERROR(__xludf.DUMMYFUNCTION("""COMPUTED_VALUE"""),"TH-860")</f>
        <v>TH-860</v>
      </c>
      <c r="Z1837" s="215" t="str">
        <f>IFERROR(__xludf.DUMMYFUNCTION("""COMPUTED_VALUE"""),"https://drive.google.com/file/d/1NIRYs4rZoOmyRtDuwdu3zEt6nlSHYkcK/view")</f>
        <v>https://drive.google.com/file/d/1NIRYs4rZoOmyRtDuwdu3zEt6nlSHYkcK/view</v>
      </c>
      <c r="AA1837" s="213" t="str">
        <f>IFERROR(__xludf.DUMMYFUNCTION("""COMPUTED_VALUE"""),"ESP-277 MOLINO PASTA DE CACAO- CET")</f>
        <v>ESP-277 MOLINO PASTA DE CACAO- CET</v>
      </c>
      <c r="AB1837" s="213"/>
      <c r="AC1837" s="213"/>
      <c r="AD1837" s="213"/>
      <c r="AE1837" s="213"/>
      <c r="AF1837" s="213"/>
      <c r="AG1837" s="213"/>
      <c r="AH1837" s="213" t="str">
        <f>IFERROR(__xludf.DUMMYFUNCTION("""COMPUTED_VALUE"""),"IMPORTADO")</f>
        <v>IMPORTADO</v>
      </c>
      <c r="AI1837" s="213"/>
      <c r="AJ1837" s="213"/>
      <c r="AK1837" s="213"/>
      <c r="AL1837" s="213"/>
      <c r="AM1837" s="213"/>
      <c r="AN1837" s="213"/>
      <c r="AO1837" s="213"/>
      <c r="AP1837" s="213" t="str">
        <f>IFERROR(__xludf.DUMMYFUNCTION("""COMPUTED_VALUE"""),"ANTONELLA")</f>
        <v>ANTONELLA</v>
      </c>
      <c r="AQ1837" s="213"/>
      <c r="AR1837" s="213"/>
      <c r="AS1837" s="213" t="str">
        <f>IFERROR(__xludf.DUMMYFUNCTION("""COMPUTED_VALUE"""),"FUNDA IMPERNEABLE")</f>
        <v>FUNDA IMPERNEABLE</v>
      </c>
      <c r="AT1837" s="213"/>
      <c r="AU1837" s="213"/>
      <c r="AV1837" s="213"/>
      <c r="AW1837" s="213"/>
      <c r="AX1837" s="213"/>
      <c r="AY1837" s="213"/>
      <c r="AZ1837" s="213"/>
      <c r="BA1837" s="213"/>
      <c r="BB1837" s="213"/>
      <c r="BC1837" s="213"/>
      <c r="BD1837" s="213"/>
    </row>
    <row r="1838">
      <c r="A1838" s="213">
        <f>IFERROR(__xludf.DUMMYFUNCTION("""COMPUTED_VALUE"""),2150.0)</f>
        <v>2150</v>
      </c>
      <c r="B1838" s="213" t="str">
        <f>IFERROR(__xludf.DUMMYFUNCTION("""COMPUTED_VALUE"""),"JOSE GRANDA")</f>
        <v>JOSE GRANDA</v>
      </c>
      <c r="C1838" s="213" t="str">
        <f>IFERROR(__xludf.DUMMYFUNCTION("""COMPUTED_VALUE"""),"TALLER SFT DE INDUSTRIA ALIMENTARIA")</f>
        <v>TALLER SFT DE INDUSTRIA ALIMENTARIA</v>
      </c>
      <c r="D1838" s="213" t="str">
        <f>IFERROR(__xludf.DUMMYFUNCTION("""COMPUTED_VALUE"""),"EQUIPOS")</f>
        <v>EQUIPOS</v>
      </c>
      <c r="E1838" s="213" t="str">
        <f>IFERROR(__xludf.DUMMYFUNCTION("""COMPUTED_VALUE"""),"ESP-277")</f>
        <v>ESP-277</v>
      </c>
      <c r="F1838" s="213" t="str">
        <f>IFERROR(__xludf.DUMMYFUNCTION("""COMPUTED_VALUE"""),"ESP-277")</f>
        <v>ESP-277</v>
      </c>
      <c r="G1838" s="213"/>
      <c r="H1838" s="213" t="str">
        <f>IFERROR(__xludf.DUMMYFUNCTION("""COMPUTED_VALUE"""),"MOLINO PASTA DE CACAO")</f>
        <v>MOLINO PASTA DE CACAO</v>
      </c>
      <c r="I1838" s="213"/>
      <c r="J1838" s="213">
        <f>IFERROR(__xludf.DUMMYFUNCTION("""COMPUTED_VALUE"""),3.0)</f>
        <v>3</v>
      </c>
      <c r="K1838" s="213" t="str">
        <f>IFERROR(__xludf.DUMMYFUNCTION("""COMPUTED_VALUE"""),"170 DÍAS CALENDARIO")</f>
        <v>170 DÍAS CALENDARIO</v>
      </c>
      <c r="L1838" s="213" t="str">
        <f>IFERROR(__xludf.DUMMYFUNCTION("""COMPUTED_VALUE"""),"")</f>
        <v/>
      </c>
      <c r="M1838" s="213">
        <f>IFERROR(__xludf.DUMMYFUNCTION("""COMPUTED_VALUE"""),1.0)</f>
        <v>1</v>
      </c>
      <c r="N1838" s="213">
        <f>IFERROR(__xludf.DUMMYFUNCTION("""COMPUTED_VALUE"""),1.0)</f>
        <v>1</v>
      </c>
      <c r="O1838" s="213">
        <f>IFERROR(__xludf.DUMMYFUNCTION("""COMPUTED_VALUE"""),1.0)</f>
        <v>1</v>
      </c>
      <c r="P1838" s="213"/>
      <c r="Q1838" s="213"/>
      <c r="R1838" s="213"/>
      <c r="S1838" s="213" t="str">
        <f>IFERROR(__xludf.DUMMYFUNCTION("""COMPUTED_VALUE"""),"SI")</f>
        <v>SI</v>
      </c>
      <c r="T1838" s="213" t="str">
        <f>IFERROR(__xludf.DUMMYFUNCTION("""COMPUTED_VALUE"""),"SI")</f>
        <v>SI</v>
      </c>
      <c r="U1838" s="213" t="str">
        <f>IFERROR(__xludf.DUMMYFUNCTION("""COMPUTED_VALUE"""),"NO")</f>
        <v>NO</v>
      </c>
      <c r="V1838" s="213" t="str">
        <f>IFERROR(__xludf.DUMMYFUNCTION("""COMPUTED_VALUE"""),"SUSTENTO")</f>
        <v>SUSTENTO</v>
      </c>
      <c r="W1838" s="213" t="str">
        <f>IFERROR(__xludf.DUMMYFUNCTION("""COMPUTED_VALUE"""),"DIMENSIONAL")</f>
        <v>DIMENSIONAL</v>
      </c>
      <c r="X1838" s="213" t="str">
        <f>IFERROR(__xludf.DUMMYFUNCTION("""COMPUTED_VALUE"""),"Zhengzhou Thrive Trade Co., Limited")</f>
        <v>Zhengzhou Thrive Trade Co., Limited</v>
      </c>
      <c r="Y1838" s="213" t="str">
        <f>IFERROR(__xludf.DUMMYFUNCTION("""COMPUTED_VALUE"""),"TH-860")</f>
        <v>TH-860</v>
      </c>
      <c r="Z1838" s="215" t="str">
        <f>IFERROR(__xludf.DUMMYFUNCTION("""COMPUTED_VALUE"""),"https://drive.google.com/file/d/1NIRYs4rZoOmyRtDuwdu3zEt6nlSHYkcK/view")</f>
        <v>https://drive.google.com/file/d/1NIRYs4rZoOmyRtDuwdu3zEt6nlSHYkcK/view</v>
      </c>
      <c r="AA1838" s="213" t="str">
        <f>IFERROR(__xludf.DUMMYFUNCTION("""COMPUTED_VALUE"""),"ESP-277 MOLINO PASTA DE CACAO- CET")</f>
        <v>ESP-277 MOLINO PASTA DE CACAO- CET</v>
      </c>
      <c r="AB1838" s="213"/>
      <c r="AC1838" s="213"/>
      <c r="AD1838" s="213"/>
      <c r="AE1838" s="213"/>
      <c r="AF1838" s="213"/>
      <c r="AG1838" s="213"/>
      <c r="AH1838" s="213" t="str">
        <f>IFERROR(__xludf.DUMMYFUNCTION("""COMPUTED_VALUE"""),"IMPORTADO")</f>
        <v>IMPORTADO</v>
      </c>
      <c r="AI1838" s="213"/>
      <c r="AJ1838" s="213"/>
      <c r="AK1838" s="213"/>
      <c r="AL1838" s="213"/>
      <c r="AM1838" s="213"/>
      <c r="AN1838" s="213"/>
      <c r="AO1838" s="213"/>
      <c r="AP1838" s="213" t="str">
        <f>IFERROR(__xludf.DUMMYFUNCTION("""COMPUTED_VALUE"""),"ANTONELLA")</f>
        <v>ANTONELLA</v>
      </c>
      <c r="AQ1838" s="213"/>
      <c r="AR1838" s="213"/>
      <c r="AS1838" s="213" t="str">
        <f>IFERROR(__xludf.DUMMYFUNCTION("""COMPUTED_VALUE"""),"FUNDA IMPERNEABLE")</f>
        <v>FUNDA IMPERNEABLE</v>
      </c>
      <c r="AT1838" s="213"/>
      <c r="AU1838" s="213"/>
      <c r="AV1838" s="213"/>
      <c r="AW1838" s="213"/>
      <c r="AX1838" s="213"/>
      <c r="AY1838" s="213"/>
      <c r="AZ1838" s="213"/>
      <c r="BA1838" s="213"/>
      <c r="BB1838" s="213"/>
      <c r="BC1838" s="213"/>
      <c r="BD1838" s="213"/>
    </row>
    <row r="1839">
      <c r="A1839" s="213">
        <f>IFERROR(__xludf.DUMMYFUNCTION("""COMPUTED_VALUE"""),280.0)</f>
        <v>280</v>
      </c>
      <c r="B1839" s="213" t="str">
        <f>IFERROR(__xludf.DUMMYFUNCTION("""COMPUTED_VALUE"""),"2026 SIMON BOLIVAR")</f>
        <v>2026 SIMON BOLIVAR</v>
      </c>
      <c r="C1839" s="213" t="str">
        <f>IFERROR(__xludf.DUMMYFUNCTION("""COMPUTED_VALUE"""),"TALLER SFT DE COMPUTACIÓN E INFORMÁTICA")</f>
        <v>TALLER SFT DE COMPUTACIÓN E INFORMÁTICA</v>
      </c>
      <c r="D1839" s="213" t="str">
        <f>IFERROR(__xludf.DUMMYFUNCTION("""COMPUTED_VALUE"""),"TICS")</f>
        <v>TICS</v>
      </c>
      <c r="E1839" s="213" t="str">
        <f>IFERROR(__xludf.DUMMYFUNCTION("""COMPUTED_VALUE"""),"TEC-112")</f>
        <v>TEC-112</v>
      </c>
      <c r="F1839" s="213" t="str">
        <f>IFERROR(__xludf.DUMMYFUNCTION("""COMPUTED_VALUE"""),"TEC-112")</f>
        <v>TEC-112</v>
      </c>
      <c r="G1839" s="213"/>
      <c r="H1839" s="213" t="str">
        <f>IFERROR(__xludf.DUMMYFUNCTION("""COMPUTED_VALUE"""),"MONITORES DE ESTUDIO (PARLANTE DE AUDIO)")</f>
        <v>MONITORES DE ESTUDIO (PARLANTE DE AUDIO)</v>
      </c>
      <c r="I1839" s="213"/>
      <c r="J1839" s="213">
        <f>IFERROR(__xludf.DUMMYFUNCTION("""COMPUTED_VALUE"""),3.0)</f>
        <v>3</v>
      </c>
      <c r="K1839" s="213" t="str">
        <f>IFERROR(__xludf.DUMMYFUNCTION("""COMPUTED_VALUE"""),"170 DÍAS CALENDARIO")</f>
        <v>170 DÍAS CALENDARIO</v>
      </c>
      <c r="L1839" s="213" t="str">
        <f>IFERROR(__xludf.DUMMYFUNCTION("""COMPUTED_VALUE"""),"")</f>
        <v/>
      </c>
      <c r="M1839" s="213">
        <f>IFERROR(__xludf.DUMMYFUNCTION("""COMPUTED_VALUE"""),1.0)</f>
        <v>1</v>
      </c>
      <c r="N1839" s="213">
        <f>IFERROR(__xludf.DUMMYFUNCTION("""COMPUTED_VALUE"""),1.0)</f>
        <v>1</v>
      </c>
      <c r="O1839" s="213">
        <f>IFERROR(__xludf.DUMMYFUNCTION("""COMPUTED_VALUE"""),1.0)</f>
        <v>1</v>
      </c>
      <c r="P1839" s="213"/>
      <c r="Q1839" s="213"/>
      <c r="R1839" s="213"/>
      <c r="S1839" s="213"/>
      <c r="T1839" s="213" t="str">
        <f>IFERROR(__xludf.DUMMYFUNCTION("""COMPUTED_VALUE"""),"SI")</f>
        <v>SI</v>
      </c>
      <c r="U1839" s="213" t="str">
        <f>IFERROR(__xludf.DUMMYFUNCTION("""COMPUTED_VALUE"""),"NO")</f>
        <v>NO</v>
      </c>
      <c r="V1839" s="213" t="str">
        <f>IFERROR(__xludf.DUMMYFUNCTION("""COMPUTED_VALUE"""),"SUSTENTO")</f>
        <v>SUSTENTO</v>
      </c>
      <c r="W1839" s="213" t="str">
        <f>IFERROR(__xludf.DUMMYFUNCTION("""COMPUTED_VALUE"""),"EQU TEC")</f>
        <v>EQU TEC</v>
      </c>
      <c r="X1839" s="213" t="str">
        <f>IFERROR(__xludf.DUMMYFUNCTION("""COMPUTED_VALUE"""),"IK Multimedia")</f>
        <v>IK Multimedia</v>
      </c>
      <c r="Y1839" s="213" t="str">
        <f>IFERROR(__xludf.DUMMYFUNCTION("""COMPUTED_VALUE"""),"iLoud Micro Monitor")</f>
        <v>iLoud Micro Monitor</v>
      </c>
      <c r="Z1839" s="215" t="str">
        <f>IFERROR(__xludf.DUMMYFUNCTION("""COMPUTED_VALUE"""),"https://www.audioproperu.com/producto/ik-multimedia-iloud-micro-monitor-monitores-de-referencia-de-estudio-ultracompactos-y-de-alta-calidad/?srsltid=AfmBOoqBgWh8AqURWfJfOF3TSlK0pvE4M-NNvxBfJtqK2weMoQQCeTEc")</f>
        <v>https://www.audioproperu.com/producto/ik-multimedia-iloud-micro-monitor-monitores-de-referencia-de-estudio-ultracompactos-y-de-alta-calidad/?srsltid=AfmBOoqBgWh8AqURWfJfOF3TSlK0pvE4M-NNvxBfJtqK2weMoQQCeTEc</v>
      </c>
      <c r="AA1839" s="213" t="str">
        <f>IFERROR(__xludf.DUMMYFUNCTION("""COMPUTED_VALUE"""),"TEC-112 MONITORES DE ESTUDIO (PARLANTE DE AUDIO) - CET")</f>
        <v>TEC-112 MONITORES DE ESTUDIO (PARLANTE DE AUDIO) - CET</v>
      </c>
      <c r="AB1839" s="213"/>
      <c r="AC1839" s="213"/>
      <c r="AD1839" s="213"/>
      <c r="AE1839" s="213"/>
      <c r="AF1839" s="213"/>
      <c r="AG1839" s="213"/>
      <c r="AH1839" s="213"/>
      <c r="AI1839" s="213"/>
      <c r="AJ1839" s="213"/>
      <c r="AK1839" s="213"/>
      <c r="AL1839" s="213"/>
      <c r="AM1839" s="213"/>
      <c r="AN1839" s="213"/>
      <c r="AO1839" s="213"/>
      <c r="AP1839" s="213" t="str">
        <f>IFERROR(__xludf.DUMMYFUNCTION("""COMPUTED_VALUE"""),"NALDI")</f>
        <v>NALDI</v>
      </c>
      <c r="AQ1839" s="213" t="str">
        <f>IFERROR(__xludf.DUMMYFUNCTION("""COMPUTED_VALUE"""),"Los parlantes no cuentan con dos entradas TRS 1/4, solo una entrada TRS 1/8. Se binda un adaptador de TRS 1/8 macho a TRS 1/4 hembra.")</f>
        <v>Los parlantes no cuentan con dos entradas TRS 1/4, solo una entrada TRS 1/8. Se binda un adaptador de TRS 1/8 macho a TRS 1/4 hembra.</v>
      </c>
      <c r="AR1839" s="213"/>
      <c r="AS1839" s="217" t="str">
        <f>IFERROR(__xludf.DUMMYFUNCTION("""COMPUTED_VALUE"""),"Adaptador 3,5 M to 6.35 F")</f>
        <v>Adaptador 3,5 M to 6.35 F</v>
      </c>
      <c r="AT1839" s="218" t="str">
        <f>IFERROR(__xludf.DUMMYFUNCTION("""COMPUTED_VALUE"""),"https://www.amazon.com/dp/B0BRYDM39K/ref=sspa_dk_crr_aax_0?sp_csd=d2lkZ2V0TmFtZT1zcF9jcnJfc2hhcmVk&amp;th=1")</f>
        <v>https://www.amazon.com/dp/B0BRYDM39K/ref=sspa_dk_crr_aax_0?sp_csd=d2lkZ2V0TmFtZT1zcF9jcnJfc2hhcmVk&amp;th=1</v>
      </c>
      <c r="AU1839" s="213"/>
      <c r="AV1839" s="213"/>
      <c r="AW1839" s="213"/>
      <c r="AX1839" s="213"/>
      <c r="AY1839" s="213"/>
      <c r="AZ1839" s="213"/>
      <c r="BA1839" s="213"/>
      <c r="BB1839" s="213"/>
      <c r="BC1839" s="213"/>
      <c r="BD1839" s="213"/>
    </row>
    <row r="1840">
      <c r="A1840" s="213">
        <f>IFERROR(__xludf.DUMMYFUNCTION("""COMPUTED_VALUE"""),766.0)</f>
        <v>766</v>
      </c>
      <c r="B1840" s="213" t="str">
        <f>IFERROR(__xludf.DUMMYFUNCTION("""COMPUTED_VALUE"""),"6049 RICARDO PALMA")</f>
        <v>6049 RICARDO PALMA</v>
      </c>
      <c r="C1840" s="213" t="str">
        <f>IFERROR(__xludf.DUMMYFUNCTION("""COMPUTED_VALUE"""),"TALLER SFT DE COMPUTACIÓN E INFORMÁTICA")</f>
        <v>TALLER SFT DE COMPUTACIÓN E INFORMÁTICA</v>
      </c>
      <c r="D1840" s="213" t="str">
        <f>IFERROR(__xludf.DUMMYFUNCTION("""COMPUTED_VALUE"""),"TICS")</f>
        <v>TICS</v>
      </c>
      <c r="E1840" s="213" t="str">
        <f>IFERROR(__xludf.DUMMYFUNCTION("""COMPUTED_VALUE"""),"TEC-112")</f>
        <v>TEC-112</v>
      </c>
      <c r="F1840" s="213" t="str">
        <f>IFERROR(__xludf.DUMMYFUNCTION("""COMPUTED_VALUE"""),"TEC-112")</f>
        <v>TEC-112</v>
      </c>
      <c r="G1840" s="213"/>
      <c r="H1840" s="213" t="str">
        <f>IFERROR(__xludf.DUMMYFUNCTION("""COMPUTED_VALUE"""),"MONITORES DE ESTUDIO (PARLANTE DE AUDIO)")</f>
        <v>MONITORES DE ESTUDIO (PARLANTE DE AUDIO)</v>
      </c>
      <c r="I1840" s="213"/>
      <c r="J1840" s="213">
        <f>IFERROR(__xludf.DUMMYFUNCTION("""COMPUTED_VALUE"""),3.0)</f>
        <v>3</v>
      </c>
      <c r="K1840" s="213" t="str">
        <f>IFERROR(__xludf.DUMMYFUNCTION("""COMPUTED_VALUE"""),"170 DÍAS CALENDARIO")</f>
        <v>170 DÍAS CALENDARIO</v>
      </c>
      <c r="L1840" s="213" t="str">
        <f>IFERROR(__xludf.DUMMYFUNCTION("""COMPUTED_VALUE"""),"")</f>
        <v/>
      </c>
      <c r="M1840" s="213">
        <f>IFERROR(__xludf.DUMMYFUNCTION("""COMPUTED_VALUE"""),1.0)</f>
        <v>1</v>
      </c>
      <c r="N1840" s="213">
        <f>IFERROR(__xludf.DUMMYFUNCTION("""COMPUTED_VALUE"""),1.0)</f>
        <v>1</v>
      </c>
      <c r="O1840" s="213">
        <f>IFERROR(__xludf.DUMMYFUNCTION("""COMPUTED_VALUE"""),1.0)</f>
        <v>1</v>
      </c>
      <c r="P1840" s="213"/>
      <c r="Q1840" s="213"/>
      <c r="R1840" s="213"/>
      <c r="S1840" s="213"/>
      <c r="T1840" s="213" t="str">
        <f>IFERROR(__xludf.DUMMYFUNCTION("""COMPUTED_VALUE"""),"SI")</f>
        <v>SI</v>
      </c>
      <c r="U1840" s="213" t="str">
        <f>IFERROR(__xludf.DUMMYFUNCTION("""COMPUTED_VALUE"""),"NO")</f>
        <v>NO</v>
      </c>
      <c r="V1840" s="213" t="str">
        <f>IFERROR(__xludf.DUMMYFUNCTION("""COMPUTED_VALUE"""),"SUSTENTO")</f>
        <v>SUSTENTO</v>
      </c>
      <c r="W1840" s="213" t="str">
        <f>IFERROR(__xludf.DUMMYFUNCTION("""COMPUTED_VALUE"""),"EQU TEC")</f>
        <v>EQU TEC</v>
      </c>
      <c r="X1840" s="213" t="str">
        <f>IFERROR(__xludf.DUMMYFUNCTION("""COMPUTED_VALUE"""),"IK Multimedia")</f>
        <v>IK Multimedia</v>
      </c>
      <c r="Y1840" s="213" t="str">
        <f>IFERROR(__xludf.DUMMYFUNCTION("""COMPUTED_VALUE"""),"iLoud Micro Monitor")</f>
        <v>iLoud Micro Monitor</v>
      </c>
      <c r="Z1840" s="215" t="str">
        <f>IFERROR(__xludf.DUMMYFUNCTION("""COMPUTED_VALUE"""),"https://www.audioproperu.com/producto/ik-multimedia-iloud-micro-monitor-monitores-de-referencia-de-estudio-ultracompactos-y-de-alta-calidad/?srsltid=AfmBOoqBgWh8AqURWfJfOF3TSlK0pvE4M-NNvxBfJtqK2weMoQQCeTEc")</f>
        <v>https://www.audioproperu.com/producto/ik-multimedia-iloud-micro-monitor-monitores-de-referencia-de-estudio-ultracompactos-y-de-alta-calidad/?srsltid=AfmBOoqBgWh8AqURWfJfOF3TSlK0pvE4M-NNvxBfJtqK2weMoQQCeTEc</v>
      </c>
      <c r="AA1840" s="213" t="str">
        <f>IFERROR(__xludf.DUMMYFUNCTION("""COMPUTED_VALUE"""),"TEC-112 MONITORES DE ESTUDIO (PARLANTE DE AUDIO) - CET")</f>
        <v>TEC-112 MONITORES DE ESTUDIO (PARLANTE DE AUDIO) - CET</v>
      </c>
      <c r="AB1840" s="213"/>
      <c r="AC1840" s="213"/>
      <c r="AD1840" s="213"/>
      <c r="AE1840" s="213"/>
      <c r="AF1840" s="213"/>
      <c r="AG1840" s="213"/>
      <c r="AH1840" s="213"/>
      <c r="AI1840" s="213"/>
      <c r="AJ1840" s="213"/>
      <c r="AK1840" s="213"/>
      <c r="AL1840" s="213"/>
      <c r="AM1840" s="213"/>
      <c r="AN1840" s="213"/>
      <c r="AO1840" s="213"/>
      <c r="AP1840" s="213" t="str">
        <f>IFERROR(__xludf.DUMMYFUNCTION("""COMPUTED_VALUE"""),"NALDI")</f>
        <v>NALDI</v>
      </c>
      <c r="AQ1840" s="213" t="str">
        <f>IFERROR(__xludf.DUMMYFUNCTION("""COMPUTED_VALUE"""),"Los parlantes no cuentan con dos entradas TRS 1/4, solo una entrada TRS 1/8. Se binda un adaptador de TRS 1/8 macho a TRS 1/4 hembra.")</f>
        <v>Los parlantes no cuentan con dos entradas TRS 1/4, solo una entrada TRS 1/8. Se binda un adaptador de TRS 1/8 macho a TRS 1/4 hembra.</v>
      </c>
      <c r="AR1840" s="213"/>
      <c r="AS1840" s="217" t="str">
        <f>IFERROR(__xludf.DUMMYFUNCTION("""COMPUTED_VALUE"""),"Adaptador 3,5 M to 6.35 F")</f>
        <v>Adaptador 3,5 M to 6.35 F</v>
      </c>
      <c r="AT1840" s="218" t="str">
        <f>IFERROR(__xludf.DUMMYFUNCTION("""COMPUTED_VALUE"""),"https://www.amazon.com/dp/B0BRYDM39K/ref=sspa_dk_crr_aax_0?sp_csd=d2lkZ2V0TmFtZT1zcF9jcnJfc2hhcmVk&amp;th=1")</f>
        <v>https://www.amazon.com/dp/B0BRYDM39K/ref=sspa_dk_crr_aax_0?sp_csd=d2lkZ2V0TmFtZT1zcF9jcnJfc2hhcmVk&amp;th=1</v>
      </c>
      <c r="AU1840" s="213"/>
      <c r="AV1840" s="213"/>
      <c r="AW1840" s="213"/>
      <c r="AX1840" s="213"/>
      <c r="AY1840" s="213"/>
      <c r="AZ1840" s="213"/>
      <c r="BA1840" s="213"/>
      <c r="BB1840" s="213"/>
      <c r="BC1840" s="213"/>
      <c r="BD1840" s="213"/>
    </row>
    <row r="1841">
      <c r="A1841" s="213">
        <f>IFERROR(__xludf.DUMMYFUNCTION("""COMPUTED_VALUE"""),1705.0)</f>
        <v>1705</v>
      </c>
      <c r="B1841" s="213" t="str">
        <f>IFERROR(__xludf.DUMMYFUNCTION("""COMPUTED_VALUE"""),"GUILLERMO E. BILLINGHURST ")</f>
        <v>GUILLERMO E. BILLINGHURST </v>
      </c>
      <c r="C1841" s="213" t="str">
        <f>IFERROR(__xludf.DUMMYFUNCTION("""COMPUTED_VALUE"""),"TALLER SFT DE COMPUTACIÓN E INFORMÁTICA")</f>
        <v>TALLER SFT DE COMPUTACIÓN E INFORMÁTICA</v>
      </c>
      <c r="D1841" s="213" t="str">
        <f>IFERROR(__xludf.DUMMYFUNCTION("""COMPUTED_VALUE"""),"TICS")</f>
        <v>TICS</v>
      </c>
      <c r="E1841" s="213" t="str">
        <f>IFERROR(__xludf.DUMMYFUNCTION("""COMPUTED_VALUE"""),"TEC-112")</f>
        <v>TEC-112</v>
      </c>
      <c r="F1841" s="213" t="str">
        <f>IFERROR(__xludf.DUMMYFUNCTION("""COMPUTED_VALUE"""),"TEC-112")</f>
        <v>TEC-112</v>
      </c>
      <c r="G1841" s="213"/>
      <c r="H1841" s="213" t="str">
        <f>IFERROR(__xludf.DUMMYFUNCTION("""COMPUTED_VALUE"""),"MONITORES DE ESTUDIO (PARLANTE DE AUDIO)")</f>
        <v>MONITORES DE ESTUDIO (PARLANTE DE AUDIO)</v>
      </c>
      <c r="I1841" s="213"/>
      <c r="J1841" s="213">
        <f>IFERROR(__xludf.DUMMYFUNCTION("""COMPUTED_VALUE"""),3.0)</f>
        <v>3</v>
      </c>
      <c r="K1841" s="213" t="str">
        <f>IFERROR(__xludf.DUMMYFUNCTION("""COMPUTED_VALUE"""),"170 DÍAS CALENDARIO")</f>
        <v>170 DÍAS CALENDARIO</v>
      </c>
      <c r="L1841" s="213" t="str">
        <f>IFERROR(__xludf.DUMMYFUNCTION("""COMPUTED_VALUE"""),"")</f>
        <v/>
      </c>
      <c r="M1841" s="213">
        <f>IFERROR(__xludf.DUMMYFUNCTION("""COMPUTED_VALUE"""),1.0)</f>
        <v>1</v>
      </c>
      <c r="N1841" s="213">
        <f>IFERROR(__xludf.DUMMYFUNCTION("""COMPUTED_VALUE"""),1.0)</f>
        <v>1</v>
      </c>
      <c r="O1841" s="213">
        <f>IFERROR(__xludf.DUMMYFUNCTION("""COMPUTED_VALUE"""),1.0)</f>
        <v>1</v>
      </c>
      <c r="P1841" s="213"/>
      <c r="Q1841" s="213"/>
      <c r="R1841" s="213"/>
      <c r="S1841" s="213"/>
      <c r="T1841" s="213" t="str">
        <f>IFERROR(__xludf.DUMMYFUNCTION("""COMPUTED_VALUE"""),"SI")</f>
        <v>SI</v>
      </c>
      <c r="U1841" s="213" t="str">
        <f>IFERROR(__xludf.DUMMYFUNCTION("""COMPUTED_VALUE"""),"NO")</f>
        <v>NO</v>
      </c>
      <c r="V1841" s="213" t="str">
        <f>IFERROR(__xludf.DUMMYFUNCTION("""COMPUTED_VALUE"""),"SUSTENTO")</f>
        <v>SUSTENTO</v>
      </c>
      <c r="W1841" s="213" t="str">
        <f>IFERROR(__xludf.DUMMYFUNCTION("""COMPUTED_VALUE"""),"EQU TEC")</f>
        <v>EQU TEC</v>
      </c>
      <c r="X1841" s="213" t="str">
        <f>IFERROR(__xludf.DUMMYFUNCTION("""COMPUTED_VALUE"""),"IK Multimedia")</f>
        <v>IK Multimedia</v>
      </c>
      <c r="Y1841" s="213" t="str">
        <f>IFERROR(__xludf.DUMMYFUNCTION("""COMPUTED_VALUE"""),"iLoud Micro Monitor")</f>
        <v>iLoud Micro Monitor</v>
      </c>
      <c r="Z1841" s="215" t="str">
        <f>IFERROR(__xludf.DUMMYFUNCTION("""COMPUTED_VALUE"""),"https://www.audioproperu.com/producto/ik-multimedia-iloud-micro-monitor-monitores-de-referencia-de-estudio-ultracompactos-y-de-alta-calidad/?srsltid=AfmBOoqBgWh8AqURWfJfOF3TSlK0pvE4M-NNvxBfJtqK2weMoQQCeTEc")</f>
        <v>https://www.audioproperu.com/producto/ik-multimedia-iloud-micro-monitor-monitores-de-referencia-de-estudio-ultracompactos-y-de-alta-calidad/?srsltid=AfmBOoqBgWh8AqURWfJfOF3TSlK0pvE4M-NNvxBfJtqK2weMoQQCeTEc</v>
      </c>
      <c r="AA1841" s="213" t="str">
        <f>IFERROR(__xludf.DUMMYFUNCTION("""COMPUTED_VALUE"""),"TEC-112 MONITORES DE ESTUDIO (PARLANTE DE AUDIO) - CET")</f>
        <v>TEC-112 MONITORES DE ESTUDIO (PARLANTE DE AUDIO) - CET</v>
      </c>
      <c r="AB1841" s="213"/>
      <c r="AC1841" s="213"/>
      <c r="AD1841" s="213"/>
      <c r="AE1841" s="213"/>
      <c r="AF1841" s="213"/>
      <c r="AG1841" s="213"/>
      <c r="AH1841" s="213"/>
      <c r="AI1841" s="213"/>
      <c r="AJ1841" s="213"/>
      <c r="AK1841" s="213"/>
      <c r="AL1841" s="213"/>
      <c r="AM1841" s="213"/>
      <c r="AN1841" s="213"/>
      <c r="AO1841" s="213"/>
      <c r="AP1841" s="213" t="str">
        <f>IFERROR(__xludf.DUMMYFUNCTION("""COMPUTED_VALUE"""),"NALDI")</f>
        <v>NALDI</v>
      </c>
      <c r="AQ1841" s="213" t="str">
        <f>IFERROR(__xludf.DUMMYFUNCTION("""COMPUTED_VALUE"""),"Los parlantes no cuentan con dos entradas TRS 1/4, solo una entrada TRS 1/8. Se binda un adaptador de TRS 1/8 macho a TRS 1/4 hembra.")</f>
        <v>Los parlantes no cuentan con dos entradas TRS 1/4, solo una entrada TRS 1/8. Se binda un adaptador de TRS 1/8 macho a TRS 1/4 hembra.</v>
      </c>
      <c r="AR1841" s="213"/>
      <c r="AS1841" s="217" t="str">
        <f>IFERROR(__xludf.DUMMYFUNCTION("""COMPUTED_VALUE"""),"Adaptador 3,5 M to 6.35 F")</f>
        <v>Adaptador 3,5 M to 6.35 F</v>
      </c>
      <c r="AT1841" s="218" t="str">
        <f>IFERROR(__xludf.DUMMYFUNCTION("""COMPUTED_VALUE"""),"https://www.amazon.com/dp/B0BRYDM39K/ref=sspa_dk_crr_aax_0?sp_csd=d2lkZ2V0TmFtZT1zcF9jcnJfc2hhcmVk&amp;th=1")</f>
        <v>https://www.amazon.com/dp/B0BRYDM39K/ref=sspa_dk_crr_aax_0?sp_csd=d2lkZ2V0TmFtZT1zcF9jcnJfc2hhcmVk&amp;th=1</v>
      </c>
      <c r="AU1841" s="213"/>
      <c r="AV1841" s="213"/>
      <c r="AW1841" s="213"/>
      <c r="AX1841" s="213"/>
      <c r="AY1841" s="213"/>
      <c r="AZ1841" s="213"/>
      <c r="BA1841" s="213"/>
      <c r="BB1841" s="213"/>
      <c r="BC1841" s="213"/>
      <c r="BD1841" s="213"/>
    </row>
    <row r="1842">
      <c r="A1842" s="213">
        <f>IFERROR(__xludf.DUMMYFUNCTION("""COMPUTED_VALUE"""),1956.0)</f>
        <v>1956</v>
      </c>
      <c r="B1842" s="213" t="str">
        <f>IFERROR(__xludf.DUMMYFUNCTION("""COMPUTED_VALUE"""),"JOSE GRANDA")</f>
        <v>JOSE GRANDA</v>
      </c>
      <c r="C1842" s="213" t="str">
        <f>IFERROR(__xludf.DUMMYFUNCTION("""COMPUTED_VALUE"""),"TALLER SFT DE COMPUTACIÓN E INFORMÁTICA")</f>
        <v>TALLER SFT DE COMPUTACIÓN E INFORMÁTICA</v>
      </c>
      <c r="D1842" s="213" t="str">
        <f>IFERROR(__xludf.DUMMYFUNCTION("""COMPUTED_VALUE"""),"TICS")</f>
        <v>TICS</v>
      </c>
      <c r="E1842" s="213" t="str">
        <f>IFERROR(__xludf.DUMMYFUNCTION("""COMPUTED_VALUE"""),"TEC-112")</f>
        <v>TEC-112</v>
      </c>
      <c r="F1842" s="213" t="str">
        <f>IFERROR(__xludf.DUMMYFUNCTION("""COMPUTED_VALUE"""),"TEC-112")</f>
        <v>TEC-112</v>
      </c>
      <c r="G1842" s="213"/>
      <c r="H1842" s="213" t="str">
        <f>IFERROR(__xludf.DUMMYFUNCTION("""COMPUTED_VALUE"""),"MONITORES DE ESTUDIO (PARLANTE DE AUDIO)")</f>
        <v>MONITORES DE ESTUDIO (PARLANTE DE AUDIO)</v>
      </c>
      <c r="I1842" s="213"/>
      <c r="J1842" s="213">
        <f>IFERROR(__xludf.DUMMYFUNCTION("""COMPUTED_VALUE"""),3.0)</f>
        <v>3</v>
      </c>
      <c r="K1842" s="213" t="str">
        <f>IFERROR(__xludf.DUMMYFUNCTION("""COMPUTED_VALUE"""),"170 DÍAS CALENDARIO")</f>
        <v>170 DÍAS CALENDARIO</v>
      </c>
      <c r="L1842" s="213" t="str">
        <f>IFERROR(__xludf.DUMMYFUNCTION("""COMPUTED_VALUE"""),"")</f>
        <v/>
      </c>
      <c r="M1842" s="213">
        <f>IFERROR(__xludf.DUMMYFUNCTION("""COMPUTED_VALUE"""),1.0)</f>
        <v>1</v>
      </c>
      <c r="N1842" s="213">
        <f>IFERROR(__xludf.DUMMYFUNCTION("""COMPUTED_VALUE"""),1.0)</f>
        <v>1</v>
      </c>
      <c r="O1842" s="213">
        <f>IFERROR(__xludf.DUMMYFUNCTION("""COMPUTED_VALUE"""),1.0)</f>
        <v>1</v>
      </c>
      <c r="P1842" s="213"/>
      <c r="Q1842" s="213"/>
      <c r="R1842" s="213"/>
      <c r="S1842" s="213"/>
      <c r="T1842" s="213" t="str">
        <f>IFERROR(__xludf.DUMMYFUNCTION("""COMPUTED_VALUE"""),"SI")</f>
        <v>SI</v>
      </c>
      <c r="U1842" s="213" t="str">
        <f>IFERROR(__xludf.DUMMYFUNCTION("""COMPUTED_VALUE"""),"NO")</f>
        <v>NO</v>
      </c>
      <c r="V1842" s="213" t="str">
        <f>IFERROR(__xludf.DUMMYFUNCTION("""COMPUTED_VALUE"""),"SUSTENTO")</f>
        <v>SUSTENTO</v>
      </c>
      <c r="W1842" s="213" t="str">
        <f>IFERROR(__xludf.DUMMYFUNCTION("""COMPUTED_VALUE"""),"EQU TEC")</f>
        <v>EQU TEC</v>
      </c>
      <c r="X1842" s="213" t="str">
        <f>IFERROR(__xludf.DUMMYFUNCTION("""COMPUTED_VALUE"""),"IK Multimedia")</f>
        <v>IK Multimedia</v>
      </c>
      <c r="Y1842" s="213" t="str">
        <f>IFERROR(__xludf.DUMMYFUNCTION("""COMPUTED_VALUE"""),"iLoud Micro Monitor")</f>
        <v>iLoud Micro Monitor</v>
      </c>
      <c r="Z1842" s="215" t="str">
        <f>IFERROR(__xludf.DUMMYFUNCTION("""COMPUTED_VALUE"""),"https://www.audioproperu.com/producto/ik-multimedia-iloud-micro-monitor-monitores-de-referencia-de-estudio-ultracompactos-y-de-alta-calidad/?srsltid=AfmBOoqBgWh8AqURWfJfOF3TSlK0pvE4M-NNvxBfJtqK2weMoQQCeTEc")</f>
        <v>https://www.audioproperu.com/producto/ik-multimedia-iloud-micro-monitor-monitores-de-referencia-de-estudio-ultracompactos-y-de-alta-calidad/?srsltid=AfmBOoqBgWh8AqURWfJfOF3TSlK0pvE4M-NNvxBfJtqK2weMoQQCeTEc</v>
      </c>
      <c r="AA1842" s="213" t="str">
        <f>IFERROR(__xludf.DUMMYFUNCTION("""COMPUTED_VALUE"""),"TEC-112 MONITORES DE ESTUDIO (PARLANTE DE AUDIO) - CET")</f>
        <v>TEC-112 MONITORES DE ESTUDIO (PARLANTE DE AUDIO) - CET</v>
      </c>
      <c r="AB1842" s="213"/>
      <c r="AC1842" s="213"/>
      <c r="AD1842" s="213"/>
      <c r="AE1842" s="213"/>
      <c r="AF1842" s="213"/>
      <c r="AG1842" s="213"/>
      <c r="AH1842" s="213"/>
      <c r="AI1842" s="213"/>
      <c r="AJ1842" s="213"/>
      <c r="AK1842" s="213"/>
      <c r="AL1842" s="213"/>
      <c r="AM1842" s="213"/>
      <c r="AN1842" s="213"/>
      <c r="AO1842" s="213"/>
      <c r="AP1842" s="213" t="str">
        <f>IFERROR(__xludf.DUMMYFUNCTION("""COMPUTED_VALUE"""),"NALDI")</f>
        <v>NALDI</v>
      </c>
      <c r="AQ1842" s="213" t="str">
        <f>IFERROR(__xludf.DUMMYFUNCTION("""COMPUTED_VALUE"""),"Los parlantes no cuentan con dos entradas TRS 1/4, solo una entrada TRS 1/8. Se binda un adaptador de TRS 1/8 macho a TRS 1/4 hembra.")</f>
        <v>Los parlantes no cuentan con dos entradas TRS 1/4, solo una entrada TRS 1/8. Se binda un adaptador de TRS 1/8 macho a TRS 1/4 hembra.</v>
      </c>
      <c r="AR1842" s="213"/>
      <c r="AS1842" s="217" t="str">
        <f>IFERROR(__xludf.DUMMYFUNCTION("""COMPUTED_VALUE"""),"Adaptador 3,5 M to 6.35 F")</f>
        <v>Adaptador 3,5 M to 6.35 F</v>
      </c>
      <c r="AT1842" s="218" t="str">
        <f>IFERROR(__xludf.DUMMYFUNCTION("""COMPUTED_VALUE"""),"https://www.amazon.com/dp/B0BRYDM39K/ref=sspa_dk_crr_aax_0?sp_csd=d2lkZ2V0TmFtZT1zcF9jcnJfc2hhcmVk&amp;th=1")</f>
        <v>https://www.amazon.com/dp/B0BRYDM39K/ref=sspa_dk_crr_aax_0?sp_csd=d2lkZ2V0TmFtZT1zcF9jcnJfc2hhcmVk&amp;th=1</v>
      </c>
      <c r="AU1842" s="213"/>
      <c r="AV1842" s="213"/>
      <c r="AW1842" s="213"/>
      <c r="AX1842" s="213"/>
      <c r="AY1842" s="213"/>
      <c r="AZ1842" s="213"/>
      <c r="BA1842" s="213"/>
      <c r="BB1842" s="213"/>
      <c r="BC1842" s="213"/>
      <c r="BD1842" s="213"/>
    </row>
    <row r="1843">
      <c r="A1843" s="213">
        <f>IFERROR(__xludf.DUMMYFUNCTION("""COMPUTED_VALUE"""),1764.0)</f>
        <v>1764</v>
      </c>
      <c r="B1843" s="213" t="str">
        <f>IFERROR(__xludf.DUMMYFUNCTION("""COMPUTED_VALUE"""),"GUILLERMO E. BILLINGHURST ")</f>
        <v>GUILLERMO E. BILLINGHURST </v>
      </c>
      <c r="C1843" s="213" t="str">
        <f>IFERROR(__xludf.DUMMYFUNCTION("""COMPUTED_VALUE"""),"TALLER SFT DE EBANISTERÍA")</f>
        <v>TALLER SFT DE EBANISTERÍA</v>
      </c>
      <c r="D1843" s="213" t="str">
        <f>IFERROR(__xludf.DUMMYFUNCTION("""COMPUTED_VALUE"""),"HERRAMIENTAS")</f>
        <v>HERRAMIENTAS</v>
      </c>
      <c r="E1843" s="213" t="str">
        <f>IFERROR(__xludf.DUMMYFUNCTION("""COMPUTED_VALUE"""),"MAT-161")</f>
        <v>MAT-161</v>
      </c>
      <c r="F1843" s="213" t="str">
        <f>IFERROR(__xludf.DUMMYFUNCTION("""COMPUTED_VALUE"""),"MAT-161")</f>
        <v>MAT-161</v>
      </c>
      <c r="G1843" s="213"/>
      <c r="H1843" s="213" t="str">
        <f>IFERROR(__xludf.DUMMYFUNCTION("""COMPUTED_VALUE"""),"EXTINTOR CO2")</f>
        <v>EXTINTOR CO2</v>
      </c>
      <c r="I1843"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843" s="213">
        <f>IFERROR(__xludf.DUMMYFUNCTION("""COMPUTED_VALUE"""),3.0)</f>
        <v>3</v>
      </c>
      <c r="K1843" s="213" t="str">
        <f>IFERROR(__xludf.DUMMYFUNCTION("""COMPUTED_VALUE"""),"90 DÍAS CALENDARIO")</f>
        <v>90 DÍAS CALENDARIO</v>
      </c>
      <c r="L1843"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843" s="213">
        <f>IFERROR(__xludf.DUMMYFUNCTION("""COMPUTED_VALUE"""),1.0)</f>
        <v>1</v>
      </c>
      <c r="N1843" s="213">
        <f>IFERROR(__xludf.DUMMYFUNCTION("""COMPUTED_VALUE"""),1.0)</f>
        <v>1</v>
      </c>
      <c r="O1843" s="213">
        <f>IFERROR(__xludf.DUMMYFUNCTION("""COMPUTED_VALUE"""),1.0)</f>
        <v>1</v>
      </c>
      <c r="P1843" s="213"/>
      <c r="Q1843" s="213"/>
      <c r="R1843" s="213"/>
      <c r="S1843" s="213"/>
      <c r="T1843" s="213" t="str">
        <f>IFERROR(__xludf.DUMMYFUNCTION("""COMPUTED_VALUE"""),"CONSULTA FINAL")</f>
        <v>CONSULTA FINAL</v>
      </c>
      <c r="U1843" s="213" t="str">
        <f>IFERROR(__xludf.DUMMYFUNCTION("""COMPUTED_VALUE"""),"NO")</f>
        <v>NO</v>
      </c>
      <c r="V1843" s="213" t="str">
        <f>IFERROR(__xludf.DUMMYFUNCTION("""COMPUTED_VALUE"""),"NO")</f>
        <v>NO</v>
      </c>
      <c r="W1843" s="213" t="str">
        <f>IFERROR(__xludf.DUMMYFUNCTION("""COMPUTED_VALUE"""),"-")</f>
        <v>-</v>
      </c>
      <c r="X1843" s="213" t="str">
        <f>IFERROR(__xludf.DUMMYFUNCTION("""COMPUTED_VALUE"""),"FIREMAN'S")</f>
        <v>FIREMAN'S</v>
      </c>
      <c r="Y1843" s="213" t="str">
        <f>IFERROR(__xludf.DUMMYFUNCTION("""COMPUTED_VALUE"""),"Extintores Portátiles Manuales de Dióxido de Carbono ")</f>
        <v>Extintores Portátiles Manuales de Dióxido de Carbono </v>
      </c>
      <c r="Z1843" s="215" t="str">
        <f>IFERROR(__xludf.DUMMYFUNCTION("""COMPUTED_VALUE"""),"https://firemansperu.com/productos/extintores-firemans/dioxido-de-carbono/")</f>
        <v>https://firemansperu.com/productos/extintores-firemans/dioxido-de-carbono/</v>
      </c>
      <c r="AA1843" s="213" t="str">
        <f>IFERROR(__xludf.DUMMYFUNCTION("""COMPUTED_VALUE"""),"MAT-161 EXTINTOR CO2 - CET")</f>
        <v>MAT-161 EXTINTOR CO2 - CET</v>
      </c>
      <c r="AB1843" s="213"/>
      <c r="AC1843" s="213"/>
      <c r="AD1843" s="213"/>
      <c r="AE1843" s="213"/>
      <c r="AF1843" s="213"/>
      <c r="AG1843" s="213"/>
      <c r="AH1843" s="213"/>
      <c r="AI1843" s="213"/>
      <c r="AJ1843" s="213"/>
      <c r="AK1843" s="213"/>
      <c r="AL1843" s="213"/>
      <c r="AM1843" s="213"/>
      <c r="AN1843" s="213"/>
      <c r="AO1843" s="213"/>
      <c r="AP1843" s="213" t="str">
        <f>IFERROR(__xludf.DUMMYFUNCTION("""COMPUTED_VALUE"""),"BRUNO")</f>
        <v>BRUNO</v>
      </c>
      <c r="AQ1843" s="213"/>
      <c r="AR1843" s="213"/>
      <c r="AS1843" s="213"/>
      <c r="AT1843" s="213"/>
      <c r="AU1843" s="213"/>
      <c r="AV1843" s="213"/>
      <c r="AW1843" s="213"/>
      <c r="AX1843" s="213"/>
      <c r="AY1843" s="213"/>
      <c r="AZ1843" s="213"/>
      <c r="BA1843" s="213"/>
      <c r="BB1843" s="213"/>
      <c r="BC1843" s="213"/>
      <c r="BD1843" s="213"/>
    </row>
    <row r="1844">
      <c r="A1844" s="213">
        <f>IFERROR(__xludf.DUMMYFUNCTION("""COMPUTED_VALUE"""),367.0)</f>
        <v>367</v>
      </c>
      <c r="B1844" s="213" t="str">
        <f>IFERROR(__xludf.DUMMYFUNCTION("""COMPUTED_VALUE"""),"2026 SIMON BOLIVAR")</f>
        <v>2026 SIMON BOLIVAR</v>
      </c>
      <c r="C1844" s="213" t="str">
        <f>IFERROR(__xludf.DUMMYFUNCTION("""COMPUTED_VALUE"""),"TALLER SFT DE ELECTRICIDAD")</f>
        <v>TALLER SFT DE ELECTRICIDAD</v>
      </c>
      <c r="D1844" s="213" t="str">
        <f>IFERROR(__xludf.DUMMYFUNCTION("""COMPUTED_VALUE"""),"EQUIPOS")</f>
        <v>EQUIPOS</v>
      </c>
      <c r="E1844" s="213" t="str">
        <f>IFERROR(__xludf.DUMMYFUNCTION("""COMPUTED_VALUE"""),"ESP-278")</f>
        <v>ESP-278</v>
      </c>
      <c r="F1844" s="213" t="str">
        <f>IFERROR(__xludf.DUMMYFUNCTION("""COMPUTED_VALUE"""),"ESP-278")</f>
        <v>ESP-278</v>
      </c>
      <c r="G1844" s="213"/>
      <c r="H1844" s="213" t="str">
        <f>IFERROR(__xludf.DUMMYFUNCTION("""COMPUTED_VALUE"""),"MOTOR ELÉCTRICO MONOFÁSICO")</f>
        <v>MOTOR ELÉCTRICO MONOFÁSICO</v>
      </c>
      <c r="I1844" s="213"/>
      <c r="J1844" s="213">
        <f>IFERROR(__xludf.DUMMYFUNCTION("""COMPUTED_VALUE"""),3.0)</f>
        <v>3</v>
      </c>
      <c r="K1844" s="213" t="str">
        <f>IFERROR(__xludf.DUMMYFUNCTION("""COMPUTED_VALUE"""),"170 DÍAS CALENDARIO")</f>
        <v>170 DÍAS CALENDARIO</v>
      </c>
      <c r="L1844" s="213" t="str">
        <f>IFERROR(__xludf.DUMMYFUNCTION("""COMPUTED_VALUE"""),"")</f>
        <v/>
      </c>
      <c r="M1844" s="213">
        <f>IFERROR(__xludf.DUMMYFUNCTION("""COMPUTED_VALUE"""),1.0)</f>
        <v>1</v>
      </c>
      <c r="N1844" s="213">
        <f>IFERROR(__xludf.DUMMYFUNCTION("""COMPUTED_VALUE"""),4.0)</f>
        <v>4</v>
      </c>
      <c r="O1844" s="213">
        <f>IFERROR(__xludf.DUMMYFUNCTION("""COMPUTED_VALUE"""),4.0)</f>
        <v>4</v>
      </c>
      <c r="P1844" s="213"/>
      <c r="Q1844" s="213"/>
      <c r="R1844" s="213"/>
      <c r="S1844" s="213" t="str">
        <f>IFERROR(__xludf.DUMMYFUNCTION("""COMPUTED_VALUE"""),"SI")</f>
        <v>SI</v>
      </c>
      <c r="T1844" s="213" t="str">
        <f>IFERROR(__xludf.DUMMYFUNCTION("""COMPUTED_VALUE"""),"SI")</f>
        <v>SI</v>
      </c>
      <c r="U1844" s="213" t="str">
        <f>IFERROR(__xludf.DUMMYFUNCTION("""COMPUTED_VALUE"""),"NO")</f>
        <v>NO</v>
      </c>
      <c r="V1844" s="213" t="str">
        <f>IFERROR(__xludf.DUMMYFUNCTION("""COMPUTED_VALUE"""),"NO")</f>
        <v>NO</v>
      </c>
      <c r="W1844" s="213" t="str">
        <f>IFERROR(__xludf.DUMMYFUNCTION("""COMPUTED_VALUE"""),"DIMENSIONAL")</f>
        <v>DIMENSIONAL</v>
      </c>
      <c r="X1844" s="213" t="str">
        <f>IFERROR(__xludf.DUMMYFUNCTION("""COMPUTED_VALUE"""),"BERKLIN")</f>
        <v>BERKLIN</v>
      </c>
      <c r="Y1844" s="213" t="str">
        <f>IFERROR(__xludf.DUMMYFUNCTION("""COMPUTED_VALUE"""),"        YC80A-4")</f>
        <v>        YC80A-4</v>
      </c>
      <c r="Z1844" s="215" t="str">
        <f>IFERROR(__xludf.DUMMYFUNCTION("""COMPUTED_VALUE"""),"https://www.sodimac.com.pe/sodimac-pe/articulo/118344563/MOTOR-ELECTRICO-MONOFASICO-DE-0.5-HP-1750RPM/118344564")</f>
        <v>https://www.sodimac.com.pe/sodimac-pe/articulo/118344563/MOTOR-ELECTRICO-MONOFASICO-DE-0.5-HP-1750RPM/118344564</v>
      </c>
      <c r="AA1844" s="213" t="str">
        <f>IFERROR(__xludf.DUMMYFUNCTION("""COMPUTED_VALUE"""),"ESP-278 MOTOR ELÉCTRICO MONOFÁSICO - CET")</f>
        <v>ESP-278 MOTOR ELÉCTRICO MONOFÁSICO - CET</v>
      </c>
      <c r="AB1844" s="213"/>
      <c r="AC1844" s="213"/>
      <c r="AD1844" s="213"/>
      <c r="AE1844" s="213"/>
      <c r="AF1844" s="213"/>
      <c r="AG1844" s="213"/>
      <c r="AH1844" s="213"/>
      <c r="AI1844" s="213"/>
      <c r="AJ1844" s="213"/>
      <c r="AK1844" s="213"/>
      <c r="AL1844" s="213"/>
      <c r="AM1844" s="213"/>
      <c r="AN1844" s="213"/>
      <c r="AO1844" s="213"/>
      <c r="AP1844" s="213" t="str">
        <f>IFERROR(__xludf.DUMMYFUNCTION("""COMPUTED_VALUE"""),"BRUNO")</f>
        <v>BRUNO</v>
      </c>
      <c r="AQ1844" s="213"/>
      <c r="AR1844" s="213"/>
      <c r="AS1844" s="213"/>
      <c r="AT1844" s="213"/>
      <c r="AU1844" s="213"/>
      <c r="AV1844" s="213"/>
      <c r="AW1844" s="213"/>
      <c r="AX1844" s="213"/>
      <c r="AY1844" s="213"/>
      <c r="AZ1844" s="213"/>
      <c r="BA1844" s="213"/>
      <c r="BB1844" s="213"/>
      <c r="BC1844" s="213"/>
      <c r="BD1844" s="213"/>
    </row>
    <row r="1845">
      <c r="A1845" s="213">
        <f>IFERROR(__xludf.DUMMYFUNCTION("""COMPUTED_VALUE"""),853.0)</f>
        <v>853</v>
      </c>
      <c r="B1845" s="213" t="str">
        <f>IFERROR(__xludf.DUMMYFUNCTION("""COMPUTED_VALUE"""),"6049 RICARDO PALMA")</f>
        <v>6049 RICARDO PALMA</v>
      </c>
      <c r="C1845" s="213" t="str">
        <f>IFERROR(__xludf.DUMMYFUNCTION("""COMPUTED_VALUE"""),"TALLER SFT DE ELECTRICIDAD")</f>
        <v>TALLER SFT DE ELECTRICIDAD</v>
      </c>
      <c r="D1845" s="213" t="str">
        <f>IFERROR(__xludf.DUMMYFUNCTION("""COMPUTED_VALUE"""),"EQUIPOS")</f>
        <v>EQUIPOS</v>
      </c>
      <c r="E1845" s="213" t="str">
        <f>IFERROR(__xludf.DUMMYFUNCTION("""COMPUTED_VALUE"""),"ESP-278")</f>
        <v>ESP-278</v>
      </c>
      <c r="F1845" s="213" t="str">
        <f>IFERROR(__xludf.DUMMYFUNCTION("""COMPUTED_VALUE"""),"ESP-278")</f>
        <v>ESP-278</v>
      </c>
      <c r="G1845" s="213"/>
      <c r="H1845" s="213" t="str">
        <f>IFERROR(__xludf.DUMMYFUNCTION("""COMPUTED_VALUE"""),"MOTOR ELÉCTRICO MONOFÁSICO")</f>
        <v>MOTOR ELÉCTRICO MONOFÁSICO</v>
      </c>
      <c r="I1845" s="213"/>
      <c r="J1845" s="213">
        <f>IFERROR(__xludf.DUMMYFUNCTION("""COMPUTED_VALUE"""),3.0)</f>
        <v>3</v>
      </c>
      <c r="K1845" s="213" t="str">
        <f>IFERROR(__xludf.DUMMYFUNCTION("""COMPUTED_VALUE"""),"170 DÍAS CALENDARIO")</f>
        <v>170 DÍAS CALENDARIO</v>
      </c>
      <c r="L1845" s="213" t="str">
        <f>IFERROR(__xludf.DUMMYFUNCTION("""COMPUTED_VALUE"""),"")</f>
        <v/>
      </c>
      <c r="M1845" s="213">
        <f>IFERROR(__xludf.DUMMYFUNCTION("""COMPUTED_VALUE"""),1.0)</f>
        <v>1</v>
      </c>
      <c r="N1845" s="213">
        <f>IFERROR(__xludf.DUMMYFUNCTION("""COMPUTED_VALUE"""),4.0)</f>
        <v>4</v>
      </c>
      <c r="O1845" s="213">
        <f>IFERROR(__xludf.DUMMYFUNCTION("""COMPUTED_VALUE"""),4.0)</f>
        <v>4</v>
      </c>
      <c r="P1845" s="213"/>
      <c r="Q1845" s="213"/>
      <c r="R1845" s="213"/>
      <c r="S1845" s="213" t="str">
        <f>IFERROR(__xludf.DUMMYFUNCTION("""COMPUTED_VALUE"""),"SI")</f>
        <v>SI</v>
      </c>
      <c r="T1845" s="213" t="str">
        <f>IFERROR(__xludf.DUMMYFUNCTION("""COMPUTED_VALUE"""),"SI")</f>
        <v>SI</v>
      </c>
      <c r="U1845" s="213" t="str">
        <f>IFERROR(__xludf.DUMMYFUNCTION("""COMPUTED_VALUE"""),"NO")</f>
        <v>NO</v>
      </c>
      <c r="V1845" s="213" t="str">
        <f>IFERROR(__xludf.DUMMYFUNCTION("""COMPUTED_VALUE"""),"NO")</f>
        <v>NO</v>
      </c>
      <c r="W1845" s="213" t="str">
        <f>IFERROR(__xludf.DUMMYFUNCTION("""COMPUTED_VALUE"""),"DIMENSIONAL")</f>
        <v>DIMENSIONAL</v>
      </c>
      <c r="X1845" s="213" t="str">
        <f>IFERROR(__xludf.DUMMYFUNCTION("""COMPUTED_VALUE"""),"BERKLIN")</f>
        <v>BERKLIN</v>
      </c>
      <c r="Y1845" s="213" t="str">
        <f>IFERROR(__xludf.DUMMYFUNCTION("""COMPUTED_VALUE"""),"        YC80A-4")</f>
        <v>        YC80A-4</v>
      </c>
      <c r="Z1845" s="215" t="str">
        <f>IFERROR(__xludf.DUMMYFUNCTION("""COMPUTED_VALUE"""),"https://www.sodimac.com.pe/sodimac-pe/articulo/118344563/MOTOR-ELECTRICO-MONOFASICO-DE-0.5-HP-1750RPM/118344564")</f>
        <v>https://www.sodimac.com.pe/sodimac-pe/articulo/118344563/MOTOR-ELECTRICO-MONOFASICO-DE-0.5-HP-1750RPM/118344564</v>
      </c>
      <c r="AA1845" s="213" t="str">
        <f>IFERROR(__xludf.DUMMYFUNCTION("""COMPUTED_VALUE"""),"ESP-278 MOTOR ELÉCTRICO MONOFÁSICO - CET")</f>
        <v>ESP-278 MOTOR ELÉCTRICO MONOFÁSICO - CET</v>
      </c>
      <c r="AB1845" s="213"/>
      <c r="AC1845" s="213"/>
      <c r="AD1845" s="213"/>
      <c r="AE1845" s="213"/>
      <c r="AF1845" s="213"/>
      <c r="AG1845" s="213"/>
      <c r="AH1845" s="213"/>
      <c r="AI1845" s="213"/>
      <c r="AJ1845" s="213"/>
      <c r="AK1845" s="213"/>
      <c r="AL1845" s="213"/>
      <c r="AM1845" s="213"/>
      <c r="AN1845" s="213"/>
      <c r="AO1845" s="213"/>
      <c r="AP1845" s="213" t="str">
        <f>IFERROR(__xludf.DUMMYFUNCTION("""COMPUTED_VALUE"""),"BRUNO")</f>
        <v>BRUNO</v>
      </c>
      <c r="AQ1845" s="213"/>
      <c r="AR1845" s="213"/>
      <c r="AS1845" s="213"/>
      <c r="AT1845" s="213"/>
      <c r="AU1845" s="213"/>
      <c r="AV1845" s="213"/>
      <c r="AW1845" s="213"/>
      <c r="AX1845" s="213"/>
      <c r="AY1845" s="213"/>
      <c r="AZ1845" s="213"/>
      <c r="BA1845" s="213"/>
      <c r="BB1845" s="213"/>
      <c r="BC1845" s="213"/>
      <c r="BD1845" s="213"/>
    </row>
    <row r="1846">
      <c r="A1846" s="213">
        <f>IFERROR(__xludf.DUMMYFUNCTION("""COMPUTED_VALUE"""),1275.0)</f>
        <v>1275</v>
      </c>
      <c r="B1846" s="213" t="str">
        <f>IFERROR(__xludf.DUMMYFUNCTION("""COMPUTED_VALUE"""),"GUILLERMO E. BILLINGHURST ")</f>
        <v>GUILLERMO E. BILLINGHURST </v>
      </c>
      <c r="C1846" s="213" t="str">
        <f>IFERROR(__xludf.DUMMYFUNCTION("""COMPUTED_VALUE"""),"TALLER SFT DE ELECTRICIDAD")</f>
        <v>TALLER SFT DE ELECTRICIDAD</v>
      </c>
      <c r="D1846" s="213" t="str">
        <f>IFERROR(__xludf.DUMMYFUNCTION("""COMPUTED_VALUE"""),"EQUIPOS")</f>
        <v>EQUIPOS</v>
      </c>
      <c r="E1846" s="213" t="str">
        <f>IFERROR(__xludf.DUMMYFUNCTION("""COMPUTED_VALUE"""),"ESP-278")</f>
        <v>ESP-278</v>
      </c>
      <c r="F1846" s="213" t="str">
        <f>IFERROR(__xludf.DUMMYFUNCTION("""COMPUTED_VALUE"""),"ESP-278")</f>
        <v>ESP-278</v>
      </c>
      <c r="G1846" s="213"/>
      <c r="H1846" s="213" t="str">
        <f>IFERROR(__xludf.DUMMYFUNCTION("""COMPUTED_VALUE"""),"MOTOR ELÉCTRICO MONOFÁSICO")</f>
        <v>MOTOR ELÉCTRICO MONOFÁSICO</v>
      </c>
      <c r="I1846" s="213"/>
      <c r="J1846" s="213">
        <f>IFERROR(__xludf.DUMMYFUNCTION("""COMPUTED_VALUE"""),3.0)</f>
        <v>3</v>
      </c>
      <c r="K1846" s="213" t="str">
        <f>IFERROR(__xludf.DUMMYFUNCTION("""COMPUTED_VALUE"""),"170 DÍAS CALENDARIO")</f>
        <v>170 DÍAS CALENDARIO</v>
      </c>
      <c r="L1846" s="213" t="str">
        <f>IFERROR(__xludf.DUMMYFUNCTION("""COMPUTED_VALUE"""),"")</f>
        <v/>
      </c>
      <c r="M1846" s="213">
        <f>IFERROR(__xludf.DUMMYFUNCTION("""COMPUTED_VALUE"""),1.0)</f>
        <v>1</v>
      </c>
      <c r="N1846" s="213">
        <f>IFERROR(__xludf.DUMMYFUNCTION("""COMPUTED_VALUE"""),4.0)</f>
        <v>4</v>
      </c>
      <c r="O1846" s="213">
        <f>IFERROR(__xludf.DUMMYFUNCTION("""COMPUTED_VALUE"""),4.0)</f>
        <v>4</v>
      </c>
      <c r="P1846" s="213"/>
      <c r="Q1846" s="213"/>
      <c r="R1846" s="213"/>
      <c r="S1846" s="213" t="str">
        <f>IFERROR(__xludf.DUMMYFUNCTION("""COMPUTED_VALUE"""),"SI")</f>
        <v>SI</v>
      </c>
      <c r="T1846" s="213" t="str">
        <f>IFERROR(__xludf.DUMMYFUNCTION("""COMPUTED_VALUE"""),"SI")</f>
        <v>SI</v>
      </c>
      <c r="U1846" s="213" t="str">
        <f>IFERROR(__xludf.DUMMYFUNCTION("""COMPUTED_VALUE"""),"NO")</f>
        <v>NO</v>
      </c>
      <c r="V1846" s="213" t="str">
        <f>IFERROR(__xludf.DUMMYFUNCTION("""COMPUTED_VALUE"""),"NO")</f>
        <v>NO</v>
      </c>
      <c r="W1846" s="213" t="str">
        <f>IFERROR(__xludf.DUMMYFUNCTION("""COMPUTED_VALUE"""),"DIMENSIONAL")</f>
        <v>DIMENSIONAL</v>
      </c>
      <c r="X1846" s="213" t="str">
        <f>IFERROR(__xludf.DUMMYFUNCTION("""COMPUTED_VALUE"""),"BERKLIN")</f>
        <v>BERKLIN</v>
      </c>
      <c r="Y1846" s="213" t="str">
        <f>IFERROR(__xludf.DUMMYFUNCTION("""COMPUTED_VALUE"""),"        YC80A-4")</f>
        <v>        YC80A-4</v>
      </c>
      <c r="Z1846" s="215" t="str">
        <f>IFERROR(__xludf.DUMMYFUNCTION("""COMPUTED_VALUE"""),"https://www.sodimac.com.pe/sodimac-pe/articulo/118344563/MOTOR-ELECTRICO-MONOFASICO-DE-0.5-HP-1750RPM/118344564")</f>
        <v>https://www.sodimac.com.pe/sodimac-pe/articulo/118344563/MOTOR-ELECTRICO-MONOFASICO-DE-0.5-HP-1750RPM/118344564</v>
      </c>
      <c r="AA1846" s="213" t="str">
        <f>IFERROR(__xludf.DUMMYFUNCTION("""COMPUTED_VALUE"""),"ESP-278 MOTOR ELÉCTRICO MONOFÁSICO - CET")</f>
        <v>ESP-278 MOTOR ELÉCTRICO MONOFÁSICO - CET</v>
      </c>
      <c r="AB1846" s="213"/>
      <c r="AC1846" s="213"/>
      <c r="AD1846" s="213"/>
      <c r="AE1846" s="213"/>
      <c r="AF1846" s="213"/>
      <c r="AG1846" s="213"/>
      <c r="AH1846" s="213"/>
      <c r="AI1846" s="213"/>
      <c r="AJ1846" s="213"/>
      <c r="AK1846" s="213"/>
      <c r="AL1846" s="213"/>
      <c r="AM1846" s="213"/>
      <c r="AN1846" s="213"/>
      <c r="AO1846" s="213"/>
      <c r="AP1846" s="213" t="str">
        <f>IFERROR(__xludf.DUMMYFUNCTION("""COMPUTED_VALUE"""),"BRUNO")</f>
        <v>BRUNO</v>
      </c>
      <c r="AQ1846" s="213"/>
      <c r="AR1846" s="213"/>
      <c r="AS1846" s="213"/>
      <c r="AT1846" s="213"/>
      <c r="AU1846" s="213"/>
      <c r="AV1846" s="213"/>
      <c r="AW1846" s="213"/>
      <c r="AX1846" s="213"/>
      <c r="AY1846" s="213"/>
      <c r="AZ1846" s="213"/>
      <c r="BA1846" s="213"/>
      <c r="BB1846" s="213"/>
      <c r="BC1846" s="213"/>
      <c r="BD1846" s="213"/>
    </row>
    <row r="1847">
      <c r="A1847" s="213">
        <f>IFERROR(__xludf.DUMMYFUNCTION("""COMPUTED_VALUE"""),369.0)</f>
        <v>369</v>
      </c>
      <c r="B1847" s="213" t="str">
        <f>IFERROR(__xludf.DUMMYFUNCTION("""COMPUTED_VALUE"""),"2026 SIMON BOLIVAR")</f>
        <v>2026 SIMON BOLIVAR</v>
      </c>
      <c r="C1847" s="213" t="str">
        <f>IFERROR(__xludf.DUMMYFUNCTION("""COMPUTED_VALUE"""),"TALLER SFT DE ELECTRICIDAD")</f>
        <v>TALLER SFT DE ELECTRICIDAD</v>
      </c>
      <c r="D1847" s="213" t="str">
        <f>IFERROR(__xludf.DUMMYFUNCTION("""COMPUTED_VALUE"""),"EQUIPOS")</f>
        <v>EQUIPOS</v>
      </c>
      <c r="E1847" s="213" t="str">
        <f>IFERROR(__xludf.DUMMYFUNCTION("""COMPUTED_VALUE"""),"ESP-279")</f>
        <v>ESP-279</v>
      </c>
      <c r="F1847" s="213" t="str">
        <f>IFERROR(__xludf.DUMMYFUNCTION("""COMPUTED_VALUE"""),"ESP-279")</f>
        <v>ESP-279</v>
      </c>
      <c r="G1847" s="213"/>
      <c r="H1847" s="213" t="str">
        <f>IFERROR(__xludf.DUMMYFUNCTION("""COMPUTED_VALUE"""),"MOTOR ELÉCTRICO TRIFÁSICO DE 12 TERMINALES")</f>
        <v>MOTOR ELÉCTRICO TRIFÁSICO DE 12 TERMINALES</v>
      </c>
      <c r="I1847" s="213" t="str">
        <f>IFERROR(__xludf.DUMMYFUNCTION("""COMPUTED_VALUE"""),"· Características:
- Potencia (fuerza) de trabajo max: 1 HP.
- Voltaje de trabajo: 220 V
- Tipo de voltaje de trabajo: AC.
- Medida aproximada: L 0.40m x A 0.22m x H 0.26m")</f>
        <v>· Características:
- Potencia (fuerza) de trabajo max: 1 HP.
- Voltaje de trabajo: 220 V
- Tipo de voltaje de trabajo: AC.
- Medida aproximada: L 0.40m x A 0.22m x H 0.26m</v>
      </c>
      <c r="J1847" s="213">
        <f>IFERROR(__xludf.DUMMYFUNCTION("""COMPUTED_VALUE"""),3.0)</f>
        <v>3</v>
      </c>
      <c r="K1847" s="213" t="str">
        <f>IFERROR(__xludf.DUMMYFUNCTION("""COMPUTED_VALUE"""),"170 DÍAS CALENDARIO")</f>
        <v>170 DÍAS CALENDARIO</v>
      </c>
      <c r="L1847" s="213" t="str">
        <f>IFERROR(__xludf.DUMMYFUNCTION("""COMPUTED_VALUE"""),"")</f>
        <v/>
      </c>
      <c r="M1847" s="213">
        <f>IFERROR(__xludf.DUMMYFUNCTION("""COMPUTED_VALUE"""),1.0)</f>
        <v>1</v>
      </c>
      <c r="N1847" s="213">
        <f>IFERROR(__xludf.DUMMYFUNCTION("""COMPUTED_VALUE"""),4.0)</f>
        <v>4</v>
      </c>
      <c r="O1847" s="213">
        <f>IFERROR(__xludf.DUMMYFUNCTION("""COMPUTED_VALUE"""),4.0)</f>
        <v>4</v>
      </c>
      <c r="P1847" s="213"/>
      <c r="Q1847" s="213"/>
      <c r="R1847" s="213"/>
      <c r="S1847" s="213" t="str">
        <f>IFERROR(__xludf.DUMMYFUNCTION("""COMPUTED_VALUE"""),"SI")</f>
        <v>SI</v>
      </c>
      <c r="T1847" s="213" t="str">
        <f>IFERROR(__xludf.DUMMYFUNCTION("""COMPUTED_VALUE"""),"SI")</f>
        <v>SI</v>
      </c>
      <c r="U1847" s="213" t="str">
        <f>IFERROR(__xludf.DUMMYFUNCTION("""COMPUTED_VALUE"""),"NO")</f>
        <v>NO</v>
      </c>
      <c r="V1847" s="213" t="str">
        <f>IFERROR(__xludf.DUMMYFUNCTION("""COMPUTED_VALUE"""),"NO")</f>
        <v>NO</v>
      </c>
      <c r="W1847" s="213" t="str">
        <f>IFERROR(__xludf.DUMMYFUNCTION("""COMPUTED_VALUE"""),"DIMENSIONAL")</f>
        <v>DIMENSIONAL</v>
      </c>
      <c r="X1847" s="213" t="str">
        <f>IFERROR(__xludf.DUMMYFUNCTION("""COMPUTED_VALUE"""),"Delcrosa")</f>
        <v>Delcrosa</v>
      </c>
      <c r="Y1847" s="213" t="str">
        <f>IFERROR(__xludf.DUMMYFUNCTION("""COMPUTED_VALUE"""),"YD 80 A4")</f>
        <v>YD 80 A4</v>
      </c>
      <c r="Z1847" s="215" t="str">
        <f>IFERROR(__xludf.DUMMYFUNCTION("""COMPUTED_VALUE"""),"https://www.delcrosa.com.pe/es/productos/accionamientos/motores_electricos/motores_trifasicos_iec_serie_yd")</f>
        <v>https://www.delcrosa.com.pe/es/productos/accionamientos/motores_electricos/motores_trifasicos_iec_serie_yd</v>
      </c>
      <c r="AA1847" s="213" t="str">
        <f>IFERROR(__xludf.DUMMYFUNCTION("""COMPUTED_VALUE"""),"ESP-279 MOTOR ELÉCTRICO TRIFÁSICO DE 12 TERMINALES - CET")</f>
        <v>ESP-279 MOTOR ELÉCTRICO TRIFÁSICO DE 12 TERMINALES - CET</v>
      </c>
      <c r="AB1847" s="213"/>
      <c r="AC1847" s="213"/>
      <c r="AD1847" s="213"/>
      <c r="AE1847" s="213"/>
      <c r="AF1847" s="213"/>
      <c r="AG1847" s="213"/>
      <c r="AH1847" s="213"/>
      <c r="AI1847" s="213"/>
      <c r="AJ1847" s="213"/>
      <c r="AK1847" s="213"/>
      <c r="AL1847" s="213"/>
      <c r="AM1847" s="213"/>
      <c r="AN1847" s="213"/>
      <c r="AO1847" s="213"/>
      <c r="AP1847" s="213" t="str">
        <f>IFERROR(__xludf.DUMMYFUNCTION("""COMPUTED_VALUE"""),"BRUNO")</f>
        <v>BRUNO</v>
      </c>
      <c r="AQ1847" s="213"/>
      <c r="AR1847" s="213"/>
      <c r="AS1847" s="213"/>
      <c r="AT1847" s="213"/>
      <c r="AU1847" s="213"/>
      <c r="AV1847" s="213"/>
      <c r="AW1847" s="213"/>
      <c r="AX1847" s="213"/>
      <c r="AY1847" s="213"/>
      <c r="AZ1847" s="213"/>
      <c r="BA1847" s="213"/>
      <c r="BB1847" s="213"/>
      <c r="BC1847" s="213"/>
      <c r="BD1847" s="213"/>
    </row>
    <row r="1848">
      <c r="A1848" s="213">
        <f>IFERROR(__xludf.DUMMYFUNCTION("""COMPUTED_VALUE"""),855.0)</f>
        <v>855</v>
      </c>
      <c r="B1848" s="213" t="str">
        <f>IFERROR(__xludf.DUMMYFUNCTION("""COMPUTED_VALUE"""),"6049 RICARDO PALMA")</f>
        <v>6049 RICARDO PALMA</v>
      </c>
      <c r="C1848" s="213" t="str">
        <f>IFERROR(__xludf.DUMMYFUNCTION("""COMPUTED_VALUE"""),"TALLER SFT DE ELECTRICIDAD")</f>
        <v>TALLER SFT DE ELECTRICIDAD</v>
      </c>
      <c r="D1848" s="213" t="str">
        <f>IFERROR(__xludf.DUMMYFUNCTION("""COMPUTED_VALUE"""),"EQUIPOS")</f>
        <v>EQUIPOS</v>
      </c>
      <c r="E1848" s="213" t="str">
        <f>IFERROR(__xludf.DUMMYFUNCTION("""COMPUTED_VALUE"""),"ESP-279")</f>
        <v>ESP-279</v>
      </c>
      <c r="F1848" s="213" t="str">
        <f>IFERROR(__xludf.DUMMYFUNCTION("""COMPUTED_VALUE"""),"ESP-279")</f>
        <v>ESP-279</v>
      </c>
      <c r="G1848" s="213"/>
      <c r="H1848" s="213" t="str">
        <f>IFERROR(__xludf.DUMMYFUNCTION("""COMPUTED_VALUE"""),"MOTOR ELÉCTRICO TRIFÁSICO DE 12 TERMINALES")</f>
        <v>MOTOR ELÉCTRICO TRIFÁSICO DE 12 TERMINALES</v>
      </c>
      <c r="I1848" s="213" t="str">
        <f>IFERROR(__xludf.DUMMYFUNCTION("""COMPUTED_VALUE"""),"· Características:
- Potencia (fuerza) de trabajo max: 1 HP.
- Voltaje de trabajo: 220 V
- Tipo de voltaje de trabajo: AC.
- Medida aproximada: L 0.40m x A 0.22m x H 0.26m")</f>
        <v>· Características:
- Potencia (fuerza) de trabajo max: 1 HP.
- Voltaje de trabajo: 220 V
- Tipo de voltaje de trabajo: AC.
- Medida aproximada: L 0.40m x A 0.22m x H 0.26m</v>
      </c>
      <c r="J1848" s="213">
        <f>IFERROR(__xludf.DUMMYFUNCTION("""COMPUTED_VALUE"""),3.0)</f>
        <v>3</v>
      </c>
      <c r="K1848" s="213" t="str">
        <f>IFERROR(__xludf.DUMMYFUNCTION("""COMPUTED_VALUE"""),"170 DÍAS CALENDARIO")</f>
        <v>170 DÍAS CALENDARIO</v>
      </c>
      <c r="L1848" s="213" t="str">
        <f>IFERROR(__xludf.DUMMYFUNCTION("""COMPUTED_VALUE"""),"")</f>
        <v/>
      </c>
      <c r="M1848" s="213">
        <f>IFERROR(__xludf.DUMMYFUNCTION("""COMPUTED_VALUE"""),1.0)</f>
        <v>1</v>
      </c>
      <c r="N1848" s="213">
        <f>IFERROR(__xludf.DUMMYFUNCTION("""COMPUTED_VALUE"""),4.0)</f>
        <v>4</v>
      </c>
      <c r="O1848" s="213">
        <f>IFERROR(__xludf.DUMMYFUNCTION("""COMPUTED_VALUE"""),4.0)</f>
        <v>4</v>
      </c>
      <c r="P1848" s="213"/>
      <c r="Q1848" s="213"/>
      <c r="R1848" s="213"/>
      <c r="S1848" s="213" t="str">
        <f>IFERROR(__xludf.DUMMYFUNCTION("""COMPUTED_VALUE"""),"SI")</f>
        <v>SI</v>
      </c>
      <c r="T1848" s="213" t="str">
        <f>IFERROR(__xludf.DUMMYFUNCTION("""COMPUTED_VALUE"""),"SI")</f>
        <v>SI</v>
      </c>
      <c r="U1848" s="213" t="str">
        <f>IFERROR(__xludf.DUMMYFUNCTION("""COMPUTED_VALUE"""),"NO")</f>
        <v>NO</v>
      </c>
      <c r="V1848" s="213" t="str">
        <f>IFERROR(__xludf.DUMMYFUNCTION("""COMPUTED_VALUE"""),"NO")</f>
        <v>NO</v>
      </c>
      <c r="W1848" s="213" t="str">
        <f>IFERROR(__xludf.DUMMYFUNCTION("""COMPUTED_VALUE"""),"DIMENSIONAL")</f>
        <v>DIMENSIONAL</v>
      </c>
      <c r="X1848" s="213" t="str">
        <f>IFERROR(__xludf.DUMMYFUNCTION("""COMPUTED_VALUE"""),"Delcrosa")</f>
        <v>Delcrosa</v>
      </c>
      <c r="Y1848" s="213" t="str">
        <f>IFERROR(__xludf.DUMMYFUNCTION("""COMPUTED_VALUE"""),"YD 80 A4")</f>
        <v>YD 80 A4</v>
      </c>
      <c r="Z1848" s="215" t="str">
        <f>IFERROR(__xludf.DUMMYFUNCTION("""COMPUTED_VALUE"""),"https://www.delcrosa.com.pe/es/productos/accionamientos/motores_electricos/motores_trifasicos_iec_serie_yd")</f>
        <v>https://www.delcrosa.com.pe/es/productos/accionamientos/motores_electricos/motores_trifasicos_iec_serie_yd</v>
      </c>
      <c r="AA1848" s="213" t="str">
        <f>IFERROR(__xludf.DUMMYFUNCTION("""COMPUTED_VALUE"""),"ESP-279 MOTOR ELÉCTRICO TRIFÁSICO DE 12 TERMINALES - CET")</f>
        <v>ESP-279 MOTOR ELÉCTRICO TRIFÁSICO DE 12 TERMINALES - CET</v>
      </c>
      <c r="AB1848" s="213"/>
      <c r="AC1848" s="213"/>
      <c r="AD1848" s="213"/>
      <c r="AE1848" s="213"/>
      <c r="AF1848" s="213"/>
      <c r="AG1848" s="213"/>
      <c r="AH1848" s="213"/>
      <c r="AI1848" s="213"/>
      <c r="AJ1848" s="213"/>
      <c r="AK1848" s="213"/>
      <c r="AL1848" s="213"/>
      <c r="AM1848" s="213"/>
      <c r="AN1848" s="213"/>
      <c r="AO1848" s="213"/>
      <c r="AP1848" s="213" t="str">
        <f>IFERROR(__xludf.DUMMYFUNCTION("""COMPUTED_VALUE"""),"BRUNO")</f>
        <v>BRUNO</v>
      </c>
      <c r="AQ1848" s="213"/>
      <c r="AR1848" s="213"/>
      <c r="AS1848" s="213"/>
      <c r="AT1848" s="213"/>
      <c r="AU1848" s="213"/>
      <c r="AV1848" s="213"/>
      <c r="AW1848" s="213"/>
      <c r="AX1848" s="213"/>
      <c r="AY1848" s="213"/>
      <c r="AZ1848" s="213"/>
      <c r="BA1848" s="213"/>
      <c r="BB1848" s="213"/>
      <c r="BC1848" s="213"/>
      <c r="BD1848" s="213"/>
    </row>
    <row r="1849">
      <c r="A1849" s="213">
        <f>IFERROR(__xludf.DUMMYFUNCTION("""COMPUTED_VALUE"""),1277.0)</f>
        <v>1277</v>
      </c>
      <c r="B1849" s="213" t="str">
        <f>IFERROR(__xludf.DUMMYFUNCTION("""COMPUTED_VALUE"""),"GUILLERMO E. BILLINGHURST ")</f>
        <v>GUILLERMO E. BILLINGHURST </v>
      </c>
      <c r="C1849" s="213" t="str">
        <f>IFERROR(__xludf.DUMMYFUNCTION("""COMPUTED_VALUE"""),"TALLER SFT DE ELECTRICIDAD")</f>
        <v>TALLER SFT DE ELECTRICIDAD</v>
      </c>
      <c r="D1849" s="213" t="str">
        <f>IFERROR(__xludf.DUMMYFUNCTION("""COMPUTED_VALUE"""),"EQUIPOS")</f>
        <v>EQUIPOS</v>
      </c>
      <c r="E1849" s="213" t="str">
        <f>IFERROR(__xludf.DUMMYFUNCTION("""COMPUTED_VALUE"""),"ESP-279")</f>
        <v>ESP-279</v>
      </c>
      <c r="F1849" s="213" t="str">
        <f>IFERROR(__xludf.DUMMYFUNCTION("""COMPUTED_VALUE"""),"ESP-279")</f>
        <v>ESP-279</v>
      </c>
      <c r="G1849" s="213"/>
      <c r="H1849" s="213" t="str">
        <f>IFERROR(__xludf.DUMMYFUNCTION("""COMPUTED_VALUE"""),"MOTOR ELÉCTRICO TRIFÁSICO DE 12 TERMINALES")</f>
        <v>MOTOR ELÉCTRICO TRIFÁSICO DE 12 TERMINALES</v>
      </c>
      <c r="I1849" s="213" t="str">
        <f>IFERROR(__xludf.DUMMYFUNCTION("""COMPUTED_VALUE"""),"· Características:
- Potencia (fuerza) de trabajo max: 1 HP.
- Voltaje de trabajo: 220 V
- Tipo de voltaje de trabajo: AC.
- Medida aproximada: L 0.40m x A 0.22m x H 0.26m")</f>
        <v>· Características:
- Potencia (fuerza) de trabajo max: 1 HP.
- Voltaje de trabajo: 220 V
- Tipo de voltaje de trabajo: AC.
- Medida aproximada: L 0.40m x A 0.22m x H 0.26m</v>
      </c>
      <c r="J1849" s="213">
        <f>IFERROR(__xludf.DUMMYFUNCTION("""COMPUTED_VALUE"""),3.0)</f>
        <v>3</v>
      </c>
      <c r="K1849" s="213" t="str">
        <f>IFERROR(__xludf.DUMMYFUNCTION("""COMPUTED_VALUE"""),"170 DÍAS CALENDARIO")</f>
        <v>170 DÍAS CALENDARIO</v>
      </c>
      <c r="L1849" s="213" t="str">
        <f>IFERROR(__xludf.DUMMYFUNCTION("""COMPUTED_VALUE"""),"")</f>
        <v/>
      </c>
      <c r="M1849" s="213">
        <f>IFERROR(__xludf.DUMMYFUNCTION("""COMPUTED_VALUE"""),1.0)</f>
        <v>1</v>
      </c>
      <c r="N1849" s="213">
        <f>IFERROR(__xludf.DUMMYFUNCTION("""COMPUTED_VALUE"""),4.0)</f>
        <v>4</v>
      </c>
      <c r="O1849" s="213">
        <f>IFERROR(__xludf.DUMMYFUNCTION("""COMPUTED_VALUE"""),4.0)</f>
        <v>4</v>
      </c>
      <c r="P1849" s="213"/>
      <c r="Q1849" s="213"/>
      <c r="R1849" s="213"/>
      <c r="S1849" s="213" t="str">
        <f>IFERROR(__xludf.DUMMYFUNCTION("""COMPUTED_VALUE"""),"SI")</f>
        <v>SI</v>
      </c>
      <c r="T1849" s="213" t="str">
        <f>IFERROR(__xludf.DUMMYFUNCTION("""COMPUTED_VALUE"""),"SI")</f>
        <v>SI</v>
      </c>
      <c r="U1849" s="213" t="str">
        <f>IFERROR(__xludf.DUMMYFUNCTION("""COMPUTED_VALUE"""),"NO")</f>
        <v>NO</v>
      </c>
      <c r="V1849" s="213" t="str">
        <f>IFERROR(__xludf.DUMMYFUNCTION("""COMPUTED_VALUE"""),"NO")</f>
        <v>NO</v>
      </c>
      <c r="W1849" s="213" t="str">
        <f>IFERROR(__xludf.DUMMYFUNCTION("""COMPUTED_VALUE"""),"DIMENSIONAL")</f>
        <v>DIMENSIONAL</v>
      </c>
      <c r="X1849" s="213" t="str">
        <f>IFERROR(__xludf.DUMMYFUNCTION("""COMPUTED_VALUE"""),"Delcrosa")</f>
        <v>Delcrosa</v>
      </c>
      <c r="Y1849" s="213" t="str">
        <f>IFERROR(__xludf.DUMMYFUNCTION("""COMPUTED_VALUE"""),"YD 80 A4")</f>
        <v>YD 80 A4</v>
      </c>
      <c r="Z1849" s="215" t="str">
        <f>IFERROR(__xludf.DUMMYFUNCTION("""COMPUTED_VALUE"""),"https://www.delcrosa.com.pe/es/productos/accionamientos/motores_electricos/motores_trifasicos_iec_serie_yd")</f>
        <v>https://www.delcrosa.com.pe/es/productos/accionamientos/motores_electricos/motores_trifasicos_iec_serie_yd</v>
      </c>
      <c r="AA1849" s="213" t="str">
        <f>IFERROR(__xludf.DUMMYFUNCTION("""COMPUTED_VALUE"""),"ESP-279 MOTOR ELÉCTRICO TRIFÁSICO DE 12 TERMINALES - CET")</f>
        <v>ESP-279 MOTOR ELÉCTRICO TRIFÁSICO DE 12 TERMINALES - CET</v>
      </c>
      <c r="AB1849" s="213"/>
      <c r="AC1849" s="213"/>
      <c r="AD1849" s="213"/>
      <c r="AE1849" s="213"/>
      <c r="AF1849" s="213"/>
      <c r="AG1849" s="213"/>
      <c r="AH1849" s="213"/>
      <c r="AI1849" s="213"/>
      <c r="AJ1849" s="213"/>
      <c r="AK1849" s="213"/>
      <c r="AL1849" s="213"/>
      <c r="AM1849" s="213"/>
      <c r="AN1849" s="213"/>
      <c r="AO1849" s="213"/>
      <c r="AP1849" s="213" t="str">
        <f>IFERROR(__xludf.DUMMYFUNCTION("""COMPUTED_VALUE"""),"BRUNO")</f>
        <v>BRUNO</v>
      </c>
      <c r="AQ1849" s="213"/>
      <c r="AR1849" s="213"/>
      <c r="AS1849" s="213"/>
      <c r="AT1849" s="213"/>
      <c r="AU1849" s="213"/>
      <c r="AV1849" s="213"/>
      <c r="AW1849" s="213"/>
      <c r="AX1849" s="213"/>
      <c r="AY1849" s="213"/>
      <c r="AZ1849" s="213"/>
      <c r="BA1849" s="213"/>
      <c r="BB1849" s="213"/>
      <c r="BC1849" s="213"/>
      <c r="BD1849" s="213"/>
    </row>
    <row r="1850">
      <c r="A1850" s="213">
        <f>IFERROR(__xludf.DUMMYFUNCTION("""COMPUTED_VALUE"""),368.0)</f>
        <v>368</v>
      </c>
      <c r="B1850" s="213" t="str">
        <f>IFERROR(__xludf.DUMMYFUNCTION("""COMPUTED_VALUE"""),"2026 SIMON BOLIVAR")</f>
        <v>2026 SIMON BOLIVAR</v>
      </c>
      <c r="C1850" s="213" t="str">
        <f>IFERROR(__xludf.DUMMYFUNCTION("""COMPUTED_VALUE"""),"TALLER SFT DE ELECTRICIDAD")</f>
        <v>TALLER SFT DE ELECTRICIDAD</v>
      </c>
      <c r="D1850" s="213" t="str">
        <f>IFERROR(__xludf.DUMMYFUNCTION("""COMPUTED_VALUE"""),"EQUIPOS")</f>
        <v>EQUIPOS</v>
      </c>
      <c r="E1850" s="213" t="str">
        <f>IFERROR(__xludf.DUMMYFUNCTION("""COMPUTED_VALUE"""),"ESP-280")</f>
        <v>ESP-280</v>
      </c>
      <c r="F1850" s="213" t="str">
        <f>IFERROR(__xludf.DUMMYFUNCTION("""COMPUTED_VALUE"""),"ESP-280")</f>
        <v>ESP-280</v>
      </c>
      <c r="G1850" s="213"/>
      <c r="H1850" s="213" t="str">
        <f>IFERROR(__xludf.DUMMYFUNCTION("""COMPUTED_VALUE"""),"MOTOR ELÉCTRICO TRIFÁSICO DE 6 TERMINALES")</f>
        <v>MOTOR ELÉCTRICO TRIFÁSICO DE 6 TERMINALES</v>
      </c>
      <c r="I1850" s="213" t="str">
        <f>IFERROR(__xludf.DUMMYFUNCTION("""COMPUTED_VALUE"""),"· Características:
- Potencia (fuerza) de trabajo max: 1 HP.
- Voltaje de trabajo: 220 V
- Tipo de voltaje de trabajo: AC.
- Medida aproximada: L 0.40m x A 0.22m x H 0.26m")</f>
        <v>· Características:
- Potencia (fuerza) de trabajo max: 1 HP.
- Voltaje de trabajo: 220 V
- Tipo de voltaje de trabajo: AC.
- Medida aproximada: L 0.40m x A 0.22m x H 0.26m</v>
      </c>
      <c r="J1850" s="213">
        <f>IFERROR(__xludf.DUMMYFUNCTION("""COMPUTED_VALUE"""),3.0)</f>
        <v>3</v>
      </c>
      <c r="K1850" s="213" t="str">
        <f>IFERROR(__xludf.DUMMYFUNCTION("""COMPUTED_VALUE"""),"170 DÍAS CALENDARIO")</f>
        <v>170 DÍAS CALENDARIO</v>
      </c>
      <c r="L1850" s="213" t="str">
        <f>IFERROR(__xludf.DUMMYFUNCTION("""COMPUTED_VALUE"""),"")</f>
        <v/>
      </c>
      <c r="M1850" s="213">
        <f>IFERROR(__xludf.DUMMYFUNCTION("""COMPUTED_VALUE"""),1.0)</f>
        <v>1</v>
      </c>
      <c r="N1850" s="213">
        <f>IFERROR(__xludf.DUMMYFUNCTION("""COMPUTED_VALUE"""),4.0)</f>
        <v>4</v>
      </c>
      <c r="O1850" s="213">
        <f>IFERROR(__xludf.DUMMYFUNCTION("""COMPUTED_VALUE"""),4.0)</f>
        <v>4</v>
      </c>
      <c r="P1850" s="213"/>
      <c r="Q1850" s="213"/>
      <c r="R1850" s="213"/>
      <c r="S1850" s="213" t="str">
        <f>IFERROR(__xludf.DUMMYFUNCTION("""COMPUTED_VALUE"""),"SI")</f>
        <v>SI</v>
      </c>
      <c r="T1850" s="213" t="str">
        <f>IFERROR(__xludf.DUMMYFUNCTION("""COMPUTED_VALUE"""),"SI")</f>
        <v>SI</v>
      </c>
      <c r="U1850" s="213" t="str">
        <f>IFERROR(__xludf.DUMMYFUNCTION("""COMPUTED_VALUE"""),"NO")</f>
        <v>NO</v>
      </c>
      <c r="V1850" s="213" t="str">
        <f>IFERROR(__xludf.DUMMYFUNCTION("""COMPUTED_VALUE"""),"NO")</f>
        <v>NO</v>
      </c>
      <c r="W1850" s="213" t="str">
        <f>IFERROR(__xludf.DUMMYFUNCTION("""COMPUTED_VALUE"""),"DIMENSIONAL")</f>
        <v>DIMENSIONAL</v>
      </c>
      <c r="X1850" s="213" t="str">
        <f>IFERROR(__xludf.DUMMYFUNCTION("""COMPUTED_VALUE"""),"ABB")</f>
        <v>ABB</v>
      </c>
      <c r="Y1850" s="213" t="str">
        <f>IFERROR(__xludf.DUMMYFUNCTION("""COMPUTED_VALUE"""),"M2BAX 90SLA 6")</f>
        <v>M2BAX 90SLA 6</v>
      </c>
      <c r="Z1850" s="215" t="str">
        <f>IFERROR(__xludf.DUMMYFUNCTION("""COMPUTED_VALUE"""),"https://inducom.com.pe/producto/motor-electrico-trifasico-de-alta-eficencia-ie3/")</f>
        <v>https://inducom.com.pe/producto/motor-electrico-trifasico-de-alta-eficencia-ie3/</v>
      </c>
      <c r="AA1850" s="213" t="str">
        <f>IFERROR(__xludf.DUMMYFUNCTION("""COMPUTED_VALUE"""),"ESP-280 MOTOR ELÉCTRICO TRIFÁSICO DE 6 TERMINALES- CET")</f>
        <v>ESP-280 MOTOR ELÉCTRICO TRIFÁSICO DE 6 TERMINALES- CET</v>
      </c>
      <c r="AB1850" s="215" t="str">
        <f>IFERROR(__xludf.DUMMYFUNCTION("""COMPUTED_VALUE"""),"https://search.abb.com/library/Download.aspx?DocumentID=9AKK108196&amp;LanguageCode=en&amp;DocumentPartId=&amp;Action=Launch")</f>
        <v>https://search.abb.com/library/Download.aspx?DocumentID=9AKK108196&amp;LanguageCode=en&amp;DocumentPartId=&amp;Action=Launch</v>
      </c>
      <c r="AC1850" s="213"/>
      <c r="AD1850" s="213"/>
      <c r="AE1850" s="213"/>
      <c r="AF1850" s="213"/>
      <c r="AG1850" s="213"/>
      <c r="AH1850" s="213"/>
      <c r="AI1850" s="213"/>
      <c r="AJ1850" s="213"/>
      <c r="AK1850" s="213"/>
      <c r="AL1850" s="213"/>
      <c r="AM1850" s="213"/>
      <c r="AN1850" s="213"/>
      <c r="AO1850" s="213"/>
      <c r="AP1850" s="213" t="str">
        <f>IFERROR(__xludf.DUMMYFUNCTION("""COMPUTED_VALUE"""),"BRUNO")</f>
        <v>BRUNO</v>
      </c>
      <c r="AQ1850" s="213"/>
      <c r="AR1850" s="213"/>
      <c r="AS1850" s="213"/>
      <c r="AT1850" s="213"/>
      <c r="AU1850" s="213"/>
      <c r="AV1850" s="213"/>
      <c r="AW1850" s="213"/>
      <c r="AX1850" s="213"/>
      <c r="AY1850" s="213"/>
      <c r="AZ1850" s="213"/>
      <c r="BA1850" s="213"/>
      <c r="BB1850" s="213"/>
      <c r="BC1850" s="213"/>
      <c r="BD1850" s="213"/>
    </row>
    <row r="1851">
      <c r="A1851" s="213">
        <f>IFERROR(__xludf.DUMMYFUNCTION("""COMPUTED_VALUE"""),854.0)</f>
        <v>854</v>
      </c>
      <c r="B1851" s="213" t="str">
        <f>IFERROR(__xludf.DUMMYFUNCTION("""COMPUTED_VALUE"""),"6049 RICARDO PALMA")</f>
        <v>6049 RICARDO PALMA</v>
      </c>
      <c r="C1851" s="213" t="str">
        <f>IFERROR(__xludf.DUMMYFUNCTION("""COMPUTED_VALUE"""),"TALLER SFT DE ELECTRICIDAD")</f>
        <v>TALLER SFT DE ELECTRICIDAD</v>
      </c>
      <c r="D1851" s="213" t="str">
        <f>IFERROR(__xludf.DUMMYFUNCTION("""COMPUTED_VALUE"""),"EQUIPOS")</f>
        <v>EQUIPOS</v>
      </c>
      <c r="E1851" s="213" t="str">
        <f>IFERROR(__xludf.DUMMYFUNCTION("""COMPUTED_VALUE"""),"ESP-280")</f>
        <v>ESP-280</v>
      </c>
      <c r="F1851" s="213" t="str">
        <f>IFERROR(__xludf.DUMMYFUNCTION("""COMPUTED_VALUE"""),"ESP-280")</f>
        <v>ESP-280</v>
      </c>
      <c r="G1851" s="213"/>
      <c r="H1851" s="213" t="str">
        <f>IFERROR(__xludf.DUMMYFUNCTION("""COMPUTED_VALUE"""),"MOTOR ELÉCTRICO TRIFÁSICO DE 6 TERMINALES")</f>
        <v>MOTOR ELÉCTRICO TRIFÁSICO DE 6 TERMINALES</v>
      </c>
      <c r="I1851" s="213" t="str">
        <f>IFERROR(__xludf.DUMMYFUNCTION("""COMPUTED_VALUE"""),"· Características:
- Potencia (fuerza) de trabajo max: 1 HP.
- Voltaje de trabajo: 220 V
- Tipo de voltaje de trabajo: AC.
- Medida aproximada: L 0.40m x A 0.22m x H 0.26m")</f>
        <v>· Características:
- Potencia (fuerza) de trabajo max: 1 HP.
- Voltaje de trabajo: 220 V
- Tipo de voltaje de trabajo: AC.
- Medida aproximada: L 0.40m x A 0.22m x H 0.26m</v>
      </c>
      <c r="J1851" s="213">
        <f>IFERROR(__xludf.DUMMYFUNCTION("""COMPUTED_VALUE"""),3.0)</f>
        <v>3</v>
      </c>
      <c r="K1851" s="213" t="str">
        <f>IFERROR(__xludf.DUMMYFUNCTION("""COMPUTED_VALUE"""),"170 DÍAS CALENDARIO")</f>
        <v>170 DÍAS CALENDARIO</v>
      </c>
      <c r="L1851" s="213" t="str">
        <f>IFERROR(__xludf.DUMMYFUNCTION("""COMPUTED_VALUE"""),"")</f>
        <v/>
      </c>
      <c r="M1851" s="213">
        <f>IFERROR(__xludf.DUMMYFUNCTION("""COMPUTED_VALUE"""),1.0)</f>
        <v>1</v>
      </c>
      <c r="N1851" s="213">
        <f>IFERROR(__xludf.DUMMYFUNCTION("""COMPUTED_VALUE"""),4.0)</f>
        <v>4</v>
      </c>
      <c r="O1851" s="213">
        <f>IFERROR(__xludf.DUMMYFUNCTION("""COMPUTED_VALUE"""),4.0)</f>
        <v>4</v>
      </c>
      <c r="P1851" s="213"/>
      <c r="Q1851" s="213"/>
      <c r="R1851" s="213"/>
      <c r="S1851" s="213" t="str">
        <f>IFERROR(__xludf.DUMMYFUNCTION("""COMPUTED_VALUE"""),"SI")</f>
        <v>SI</v>
      </c>
      <c r="T1851" s="213" t="str">
        <f>IFERROR(__xludf.DUMMYFUNCTION("""COMPUTED_VALUE"""),"SI")</f>
        <v>SI</v>
      </c>
      <c r="U1851" s="213" t="str">
        <f>IFERROR(__xludf.DUMMYFUNCTION("""COMPUTED_VALUE"""),"NO")</f>
        <v>NO</v>
      </c>
      <c r="V1851" s="213" t="str">
        <f>IFERROR(__xludf.DUMMYFUNCTION("""COMPUTED_VALUE"""),"NO")</f>
        <v>NO</v>
      </c>
      <c r="W1851" s="213" t="str">
        <f>IFERROR(__xludf.DUMMYFUNCTION("""COMPUTED_VALUE"""),"DIMENSIONAL")</f>
        <v>DIMENSIONAL</v>
      </c>
      <c r="X1851" s="213" t="str">
        <f>IFERROR(__xludf.DUMMYFUNCTION("""COMPUTED_VALUE"""),"ABB")</f>
        <v>ABB</v>
      </c>
      <c r="Y1851" s="213" t="str">
        <f>IFERROR(__xludf.DUMMYFUNCTION("""COMPUTED_VALUE"""),"M2BAX 90SLA 6")</f>
        <v>M2BAX 90SLA 6</v>
      </c>
      <c r="Z1851" s="215" t="str">
        <f>IFERROR(__xludf.DUMMYFUNCTION("""COMPUTED_VALUE"""),"https://inducom.com.pe/producto/motor-electrico-trifasico-de-alta-eficencia-ie3/")</f>
        <v>https://inducom.com.pe/producto/motor-electrico-trifasico-de-alta-eficencia-ie3/</v>
      </c>
      <c r="AA1851" s="213" t="str">
        <f>IFERROR(__xludf.DUMMYFUNCTION("""COMPUTED_VALUE"""),"ESP-280 MOTOR ELÉCTRICO TRIFÁSICO DE 6 TERMINALES- CET")</f>
        <v>ESP-280 MOTOR ELÉCTRICO TRIFÁSICO DE 6 TERMINALES- CET</v>
      </c>
      <c r="AB1851" s="213"/>
      <c r="AC1851" s="213"/>
      <c r="AD1851" s="213"/>
      <c r="AE1851" s="213"/>
      <c r="AF1851" s="213"/>
      <c r="AG1851" s="213"/>
      <c r="AH1851" s="213"/>
      <c r="AI1851" s="213"/>
      <c r="AJ1851" s="213"/>
      <c r="AK1851" s="213"/>
      <c r="AL1851" s="213"/>
      <c r="AM1851" s="213"/>
      <c r="AN1851" s="213"/>
      <c r="AO1851" s="213"/>
      <c r="AP1851" s="213" t="str">
        <f>IFERROR(__xludf.DUMMYFUNCTION("""COMPUTED_VALUE"""),"BRUNO")</f>
        <v>BRUNO</v>
      </c>
      <c r="AQ1851" s="213"/>
      <c r="AR1851" s="213"/>
      <c r="AS1851" s="213"/>
      <c r="AT1851" s="213"/>
      <c r="AU1851" s="213"/>
      <c r="AV1851" s="213"/>
      <c r="AW1851" s="213"/>
      <c r="AX1851" s="213"/>
      <c r="AY1851" s="213"/>
      <c r="AZ1851" s="213"/>
      <c r="BA1851" s="213"/>
      <c r="BB1851" s="213"/>
      <c r="BC1851" s="213"/>
      <c r="BD1851" s="213"/>
    </row>
    <row r="1852">
      <c r="A1852" s="213">
        <f>IFERROR(__xludf.DUMMYFUNCTION("""COMPUTED_VALUE"""),1276.0)</f>
        <v>1276</v>
      </c>
      <c r="B1852" s="213" t="str">
        <f>IFERROR(__xludf.DUMMYFUNCTION("""COMPUTED_VALUE"""),"GUILLERMO E. BILLINGHURST ")</f>
        <v>GUILLERMO E. BILLINGHURST </v>
      </c>
      <c r="C1852" s="213" t="str">
        <f>IFERROR(__xludf.DUMMYFUNCTION("""COMPUTED_VALUE"""),"TALLER SFT DE ELECTRICIDAD")</f>
        <v>TALLER SFT DE ELECTRICIDAD</v>
      </c>
      <c r="D1852" s="213" t="str">
        <f>IFERROR(__xludf.DUMMYFUNCTION("""COMPUTED_VALUE"""),"EQUIPOS")</f>
        <v>EQUIPOS</v>
      </c>
      <c r="E1852" s="213" t="str">
        <f>IFERROR(__xludf.DUMMYFUNCTION("""COMPUTED_VALUE"""),"ESP-280")</f>
        <v>ESP-280</v>
      </c>
      <c r="F1852" s="213" t="str">
        <f>IFERROR(__xludf.DUMMYFUNCTION("""COMPUTED_VALUE"""),"ESP-280")</f>
        <v>ESP-280</v>
      </c>
      <c r="G1852" s="213"/>
      <c r="H1852" s="213" t="str">
        <f>IFERROR(__xludf.DUMMYFUNCTION("""COMPUTED_VALUE"""),"MOTOR ELÉCTRICO TRIFÁSICO DE 6 TERMINALES")</f>
        <v>MOTOR ELÉCTRICO TRIFÁSICO DE 6 TERMINALES</v>
      </c>
      <c r="I1852" s="213" t="str">
        <f>IFERROR(__xludf.DUMMYFUNCTION("""COMPUTED_VALUE"""),"· Características:
- Potencia (fuerza) de trabajo max: 1 HP.
- Voltaje de trabajo: 220 V
- Tipo de voltaje de trabajo: AC.
- Medida aproximada: L 0.40m x A 0.22m x H 0.26m")</f>
        <v>· Características:
- Potencia (fuerza) de trabajo max: 1 HP.
- Voltaje de trabajo: 220 V
- Tipo de voltaje de trabajo: AC.
- Medida aproximada: L 0.40m x A 0.22m x H 0.26m</v>
      </c>
      <c r="J1852" s="213">
        <f>IFERROR(__xludf.DUMMYFUNCTION("""COMPUTED_VALUE"""),3.0)</f>
        <v>3</v>
      </c>
      <c r="K1852" s="213" t="str">
        <f>IFERROR(__xludf.DUMMYFUNCTION("""COMPUTED_VALUE"""),"170 DÍAS CALENDARIO")</f>
        <v>170 DÍAS CALENDARIO</v>
      </c>
      <c r="L1852" s="213" t="str">
        <f>IFERROR(__xludf.DUMMYFUNCTION("""COMPUTED_VALUE"""),"")</f>
        <v/>
      </c>
      <c r="M1852" s="213">
        <f>IFERROR(__xludf.DUMMYFUNCTION("""COMPUTED_VALUE"""),1.0)</f>
        <v>1</v>
      </c>
      <c r="N1852" s="213">
        <f>IFERROR(__xludf.DUMMYFUNCTION("""COMPUTED_VALUE"""),4.0)</f>
        <v>4</v>
      </c>
      <c r="O1852" s="213">
        <f>IFERROR(__xludf.DUMMYFUNCTION("""COMPUTED_VALUE"""),4.0)</f>
        <v>4</v>
      </c>
      <c r="P1852" s="213"/>
      <c r="Q1852" s="213"/>
      <c r="R1852" s="213"/>
      <c r="S1852" s="213" t="str">
        <f>IFERROR(__xludf.DUMMYFUNCTION("""COMPUTED_VALUE"""),"SI")</f>
        <v>SI</v>
      </c>
      <c r="T1852" s="213" t="str">
        <f>IFERROR(__xludf.DUMMYFUNCTION("""COMPUTED_VALUE"""),"SI")</f>
        <v>SI</v>
      </c>
      <c r="U1852" s="213" t="str">
        <f>IFERROR(__xludf.DUMMYFUNCTION("""COMPUTED_VALUE"""),"NO")</f>
        <v>NO</v>
      </c>
      <c r="V1852" s="213" t="str">
        <f>IFERROR(__xludf.DUMMYFUNCTION("""COMPUTED_VALUE"""),"NO")</f>
        <v>NO</v>
      </c>
      <c r="W1852" s="213" t="str">
        <f>IFERROR(__xludf.DUMMYFUNCTION("""COMPUTED_VALUE"""),"DIMENSIONAL")</f>
        <v>DIMENSIONAL</v>
      </c>
      <c r="X1852" s="213" t="str">
        <f>IFERROR(__xludf.DUMMYFUNCTION("""COMPUTED_VALUE"""),"ABB")</f>
        <v>ABB</v>
      </c>
      <c r="Y1852" s="213" t="str">
        <f>IFERROR(__xludf.DUMMYFUNCTION("""COMPUTED_VALUE"""),"M2BAX 90SLA 6")</f>
        <v>M2BAX 90SLA 6</v>
      </c>
      <c r="Z1852" s="215" t="str">
        <f>IFERROR(__xludf.DUMMYFUNCTION("""COMPUTED_VALUE"""),"https://inducom.com.pe/producto/motor-electrico-trifasico-de-alta-eficencia-ie3/")</f>
        <v>https://inducom.com.pe/producto/motor-electrico-trifasico-de-alta-eficencia-ie3/</v>
      </c>
      <c r="AA1852" s="213" t="str">
        <f>IFERROR(__xludf.DUMMYFUNCTION("""COMPUTED_VALUE"""),"ESP-280 MOTOR ELÉCTRICO TRIFÁSICO DE 6 TERMINALES- CET")</f>
        <v>ESP-280 MOTOR ELÉCTRICO TRIFÁSICO DE 6 TERMINALES- CET</v>
      </c>
      <c r="AB1852" s="213"/>
      <c r="AC1852" s="213"/>
      <c r="AD1852" s="213"/>
      <c r="AE1852" s="213"/>
      <c r="AF1852" s="213"/>
      <c r="AG1852" s="213"/>
      <c r="AH1852" s="213"/>
      <c r="AI1852" s="213"/>
      <c r="AJ1852" s="213"/>
      <c r="AK1852" s="213"/>
      <c r="AL1852" s="213"/>
      <c r="AM1852" s="213"/>
      <c r="AN1852" s="213"/>
      <c r="AO1852" s="213"/>
      <c r="AP1852" s="213" t="str">
        <f>IFERROR(__xludf.DUMMYFUNCTION("""COMPUTED_VALUE"""),"BRUNO")</f>
        <v>BRUNO</v>
      </c>
      <c r="AQ1852" s="213"/>
      <c r="AR1852" s="213"/>
      <c r="AS1852" s="213"/>
      <c r="AT1852" s="213"/>
      <c r="AU1852" s="213"/>
      <c r="AV1852" s="213"/>
      <c r="AW1852" s="213"/>
      <c r="AX1852" s="213"/>
      <c r="AY1852" s="213"/>
      <c r="AZ1852" s="213"/>
      <c r="BA1852" s="213"/>
      <c r="BB1852" s="213"/>
      <c r="BC1852" s="213"/>
      <c r="BD1852" s="213"/>
    </row>
    <row r="1853">
      <c r="A1853" s="213">
        <f>IFERROR(__xludf.DUMMYFUNCTION("""COMPUTED_VALUE"""),81.0)</f>
        <v>81</v>
      </c>
      <c r="B1853" s="213" t="str">
        <f>IFERROR(__xludf.DUMMYFUNCTION("""COMPUTED_VALUE"""),"16449 ELOY SOBERON  FLORES")</f>
        <v>16449 ELOY SOBERON  FLORES</v>
      </c>
      <c r="C1853" s="213" t="str">
        <f>IFERROR(__xludf.DUMMYFUNCTION("""COMPUTED_VALUE"""),"TALLER SFT DE COCINA Y REPOSTERÍA")</f>
        <v>TALLER SFT DE COCINA Y REPOSTERÍA</v>
      </c>
      <c r="D1853" s="213" t="str">
        <f>IFERROR(__xludf.DUMMYFUNCTION("""COMPUTED_VALUE"""),"MOBILIARIO")</f>
        <v>MOBILIARIO</v>
      </c>
      <c r="E1853" s="213" t="str">
        <f>IFERROR(__xludf.DUMMYFUNCTION("""COMPUTED_VALUE"""),"MOB-152")</f>
        <v>MOB-152</v>
      </c>
      <c r="F1853" s="213" t="str">
        <f>IFERROR(__xludf.DUMMYFUNCTION("""COMPUTED_VALUE"""),"MOB-152")</f>
        <v>MOB-152</v>
      </c>
      <c r="G1853" s="213"/>
      <c r="H1853" s="213" t="str">
        <f>IFERROR(__xludf.DUMMYFUNCTION("""COMPUTED_VALUE"""),"MUEBLE BAJO (1000 X 600 X 900 MM.)")</f>
        <v>MUEBLE BAJO (1000 X 600 X 900 MM.)</v>
      </c>
      <c r="I1853"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53" s="213">
        <f>IFERROR(__xludf.DUMMYFUNCTION("""COMPUTED_VALUE"""),3.0)</f>
        <v>3</v>
      </c>
      <c r="K1853" s="213" t="str">
        <f>IFERROR(__xludf.DUMMYFUNCTION("""COMPUTED_VALUE"""),"90 DÍAS CALENDARIO")</f>
        <v>90 DÍAS CALENDARIO</v>
      </c>
      <c r="L1853" s="213" t="str">
        <f>IFERROR(__xludf.DUMMYFUNCTION("""COMPUTED_VALUE"""),"")</f>
        <v/>
      </c>
      <c r="M1853" s="213">
        <f>IFERROR(__xludf.DUMMYFUNCTION("""COMPUTED_VALUE"""),1.0)</f>
        <v>1</v>
      </c>
      <c r="N1853" s="213">
        <f>IFERROR(__xludf.DUMMYFUNCTION("""COMPUTED_VALUE"""),5.0)</f>
        <v>5</v>
      </c>
      <c r="O1853" s="213">
        <f>IFERROR(__xludf.DUMMYFUNCTION("""COMPUTED_VALUE"""),5.0)</f>
        <v>5</v>
      </c>
      <c r="P1853" s="213"/>
      <c r="Q1853" s="213"/>
      <c r="R1853" s="213"/>
      <c r="S1853" s="213"/>
      <c r="T1853" s="213"/>
      <c r="U1853" s="213"/>
      <c r="V1853" s="213"/>
      <c r="W1853" s="213"/>
      <c r="X1853" s="213"/>
      <c r="Y1853" s="213"/>
      <c r="Z1853" s="213"/>
      <c r="AA1853" s="213"/>
      <c r="AB1853" s="213"/>
      <c r="AC1853" s="213"/>
      <c r="AD1853" s="213"/>
      <c r="AE1853" s="213"/>
      <c r="AF1853" s="213"/>
      <c r="AG1853" s="213"/>
      <c r="AH1853" s="213"/>
      <c r="AI1853" s="213"/>
      <c r="AJ1853" s="213"/>
      <c r="AK1853" s="213"/>
      <c r="AL1853" s="213"/>
      <c r="AM1853" s="213"/>
      <c r="AN1853" s="213"/>
      <c r="AO1853" s="213"/>
      <c r="AP1853" s="213"/>
      <c r="AQ1853" s="213"/>
      <c r="AR1853" s="213"/>
      <c r="AS1853" s="213"/>
      <c r="AT1853" s="213"/>
      <c r="AU1853" s="213"/>
      <c r="AV1853" s="213"/>
      <c r="AW1853" s="213"/>
      <c r="AX1853" s="213"/>
      <c r="AY1853" s="213"/>
      <c r="AZ1853" s="213"/>
      <c r="BA1853" s="213"/>
      <c r="BB1853" s="213"/>
      <c r="BC1853" s="213"/>
      <c r="BD1853" s="213"/>
    </row>
    <row r="1854">
      <c r="A1854" s="213">
        <f>IFERROR(__xludf.DUMMYFUNCTION("""COMPUTED_VALUE"""),140.0)</f>
        <v>140</v>
      </c>
      <c r="B1854" s="213" t="str">
        <f>IFERROR(__xludf.DUMMYFUNCTION("""COMPUTED_VALUE"""),"2026 SIMON BOLIVAR")</f>
        <v>2026 SIMON BOLIVAR</v>
      </c>
      <c r="C1854" s="213" t="str">
        <f>IFERROR(__xludf.DUMMYFUNCTION("""COMPUTED_VALUE"""),"TALLER SFT DE INDUSTRIA DEL VESTIDO")</f>
        <v>TALLER SFT DE INDUSTRIA DEL VESTIDO</v>
      </c>
      <c r="D1854" s="213" t="str">
        <f>IFERROR(__xludf.DUMMYFUNCTION("""COMPUTED_VALUE"""),"MOBILIARIO")</f>
        <v>MOBILIARIO</v>
      </c>
      <c r="E1854" s="213" t="str">
        <f>IFERROR(__xludf.DUMMYFUNCTION("""COMPUTED_VALUE"""),"MOB-152")</f>
        <v>MOB-152</v>
      </c>
      <c r="F1854" s="213" t="str">
        <f>IFERROR(__xludf.DUMMYFUNCTION("""COMPUTED_VALUE"""),"MOB-152")</f>
        <v>MOB-152</v>
      </c>
      <c r="G1854" s="213"/>
      <c r="H1854" s="213" t="str">
        <f>IFERROR(__xludf.DUMMYFUNCTION("""COMPUTED_VALUE"""),"MUEBLE BAJO (1000 X 600 X 900 MM.)")</f>
        <v>MUEBLE BAJO (1000 X 600 X 900 MM.)</v>
      </c>
      <c r="I1854"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54" s="213">
        <f>IFERROR(__xludf.DUMMYFUNCTION("""COMPUTED_VALUE"""),3.0)</f>
        <v>3</v>
      </c>
      <c r="K1854" s="213" t="str">
        <f>IFERROR(__xludf.DUMMYFUNCTION("""COMPUTED_VALUE"""),"90 DÍAS CALENDARIO")</f>
        <v>90 DÍAS CALENDARIO</v>
      </c>
      <c r="L1854" s="213" t="str">
        <f>IFERROR(__xludf.DUMMYFUNCTION("""COMPUTED_VALUE"""),"")</f>
        <v/>
      </c>
      <c r="M1854" s="213">
        <f>IFERROR(__xludf.DUMMYFUNCTION("""COMPUTED_VALUE"""),1.0)</f>
        <v>1</v>
      </c>
      <c r="N1854" s="213">
        <f>IFERROR(__xludf.DUMMYFUNCTION("""COMPUTED_VALUE"""),1.0)</f>
        <v>1</v>
      </c>
      <c r="O1854" s="213">
        <f>IFERROR(__xludf.DUMMYFUNCTION("""COMPUTED_VALUE"""),1.0)</f>
        <v>1</v>
      </c>
      <c r="P1854" s="213"/>
      <c r="Q1854" s="213"/>
      <c r="R1854" s="213"/>
      <c r="S1854" s="213"/>
      <c r="T1854" s="213"/>
      <c r="U1854" s="213"/>
      <c r="V1854" s="213"/>
      <c r="W1854" s="213"/>
      <c r="X1854" s="213"/>
      <c r="Y1854" s="213"/>
      <c r="Z1854" s="213"/>
      <c r="AA1854" s="213"/>
      <c r="AB1854" s="213"/>
      <c r="AC1854" s="213"/>
      <c r="AD1854" s="213"/>
      <c r="AE1854" s="213"/>
      <c r="AF1854" s="213"/>
      <c r="AG1854" s="213"/>
      <c r="AH1854" s="213"/>
      <c r="AI1854" s="213"/>
      <c r="AJ1854" s="213"/>
      <c r="AK1854" s="213"/>
      <c r="AL1854" s="213"/>
      <c r="AM1854" s="213"/>
      <c r="AN1854" s="213"/>
      <c r="AO1854" s="213"/>
      <c r="AP1854" s="213"/>
      <c r="AQ1854" s="213"/>
      <c r="AR1854" s="213"/>
      <c r="AS1854" s="213"/>
      <c r="AT1854" s="213"/>
      <c r="AU1854" s="213"/>
      <c r="AV1854" s="213"/>
      <c r="AW1854" s="213"/>
      <c r="AX1854" s="213"/>
      <c r="AY1854" s="213"/>
      <c r="AZ1854" s="213"/>
      <c r="BA1854" s="213"/>
      <c r="BB1854" s="213"/>
      <c r="BC1854" s="213"/>
      <c r="BD1854" s="213"/>
    </row>
    <row r="1855">
      <c r="A1855" s="213">
        <f>IFERROR(__xludf.DUMMYFUNCTION("""COMPUTED_VALUE"""),246.0)</f>
        <v>246</v>
      </c>
      <c r="B1855" s="213" t="str">
        <f>IFERROR(__xludf.DUMMYFUNCTION("""COMPUTED_VALUE"""),"2026 SIMON BOLIVAR")</f>
        <v>2026 SIMON BOLIVAR</v>
      </c>
      <c r="C1855" s="213" t="str">
        <f>IFERROR(__xludf.DUMMYFUNCTION("""COMPUTED_VALUE"""),"TALLER SFT DE COMPUTACIÓN E INFORMÁTICA")</f>
        <v>TALLER SFT DE COMPUTACIÓN E INFORMÁTICA</v>
      </c>
      <c r="D1855" s="213" t="str">
        <f>IFERROR(__xludf.DUMMYFUNCTION("""COMPUTED_VALUE"""),"MOBILIARIO")</f>
        <v>MOBILIARIO</v>
      </c>
      <c r="E1855" s="213" t="str">
        <f>IFERROR(__xludf.DUMMYFUNCTION("""COMPUTED_VALUE"""),"MOB-152")</f>
        <v>MOB-152</v>
      </c>
      <c r="F1855" s="213" t="str">
        <f>IFERROR(__xludf.DUMMYFUNCTION("""COMPUTED_VALUE"""),"MOB-152")</f>
        <v>MOB-152</v>
      </c>
      <c r="G1855" s="213"/>
      <c r="H1855" s="213" t="str">
        <f>IFERROR(__xludf.DUMMYFUNCTION("""COMPUTED_VALUE"""),"MUEBLE BAJO (1000 X 600 X 900 MM.)")</f>
        <v>MUEBLE BAJO (1000 X 600 X 900 MM.)</v>
      </c>
      <c r="I1855"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55" s="213">
        <f>IFERROR(__xludf.DUMMYFUNCTION("""COMPUTED_VALUE"""),3.0)</f>
        <v>3</v>
      </c>
      <c r="K1855" s="213" t="str">
        <f>IFERROR(__xludf.DUMMYFUNCTION("""COMPUTED_VALUE"""),"90 DÍAS CALENDARIO")</f>
        <v>90 DÍAS CALENDARIO</v>
      </c>
      <c r="L1855" s="213" t="str">
        <f>IFERROR(__xludf.DUMMYFUNCTION("""COMPUTED_VALUE"""),"")</f>
        <v/>
      </c>
      <c r="M1855" s="213">
        <f>IFERROR(__xludf.DUMMYFUNCTION("""COMPUTED_VALUE"""),1.0)</f>
        <v>1</v>
      </c>
      <c r="N1855" s="213">
        <f>IFERROR(__xludf.DUMMYFUNCTION("""COMPUTED_VALUE"""),4.0)</f>
        <v>4</v>
      </c>
      <c r="O1855" s="213">
        <f>IFERROR(__xludf.DUMMYFUNCTION("""COMPUTED_VALUE"""),4.0)</f>
        <v>4</v>
      </c>
      <c r="P1855" s="213"/>
      <c r="Q1855" s="213"/>
      <c r="R1855" s="213"/>
      <c r="S1855" s="213"/>
      <c r="T1855" s="213"/>
      <c r="U1855" s="213"/>
      <c r="V1855" s="213"/>
      <c r="W1855" s="213"/>
      <c r="X1855" s="213"/>
      <c r="Y1855" s="213"/>
      <c r="Z1855" s="213"/>
      <c r="AA1855" s="213"/>
      <c r="AB1855" s="213"/>
      <c r="AC1855" s="213"/>
      <c r="AD1855" s="213"/>
      <c r="AE1855" s="213"/>
      <c r="AF1855" s="213"/>
      <c r="AG1855" s="213"/>
      <c r="AH1855" s="213"/>
      <c r="AI1855" s="213"/>
      <c r="AJ1855" s="213"/>
      <c r="AK1855" s="213"/>
      <c r="AL1855" s="213"/>
      <c r="AM1855" s="213"/>
      <c r="AN1855" s="213"/>
      <c r="AO1855" s="213"/>
      <c r="AP1855" s="213"/>
      <c r="AQ1855" s="213"/>
      <c r="AR1855" s="213"/>
      <c r="AS1855" s="213"/>
      <c r="AT1855" s="213"/>
      <c r="AU1855" s="213"/>
      <c r="AV1855" s="213"/>
      <c r="AW1855" s="213"/>
      <c r="AX1855" s="213"/>
      <c r="AY1855" s="213"/>
      <c r="AZ1855" s="213"/>
      <c r="BA1855" s="213"/>
      <c r="BB1855" s="213"/>
      <c r="BC1855" s="213"/>
      <c r="BD1855" s="213"/>
    </row>
    <row r="1856">
      <c r="A1856" s="213">
        <f>IFERROR(__xludf.DUMMYFUNCTION("""COMPUTED_VALUE"""),336.0)</f>
        <v>336</v>
      </c>
      <c r="B1856" s="213" t="str">
        <f>IFERROR(__xludf.DUMMYFUNCTION("""COMPUTED_VALUE"""),"2026 SIMON BOLIVAR")</f>
        <v>2026 SIMON BOLIVAR</v>
      </c>
      <c r="C1856" s="213" t="str">
        <f>IFERROR(__xludf.DUMMYFUNCTION("""COMPUTED_VALUE"""),"TALLER SFT DE ELECTRICIDAD")</f>
        <v>TALLER SFT DE ELECTRICIDAD</v>
      </c>
      <c r="D1856" s="213" t="str">
        <f>IFERROR(__xludf.DUMMYFUNCTION("""COMPUTED_VALUE"""),"MOBILIARIO")</f>
        <v>MOBILIARIO</v>
      </c>
      <c r="E1856" s="213" t="str">
        <f>IFERROR(__xludf.DUMMYFUNCTION("""COMPUTED_VALUE"""),"MOB-152")</f>
        <v>MOB-152</v>
      </c>
      <c r="F1856" s="213" t="str">
        <f>IFERROR(__xludf.DUMMYFUNCTION("""COMPUTED_VALUE"""),"MOB-152")</f>
        <v>MOB-152</v>
      </c>
      <c r="G1856" s="213"/>
      <c r="H1856" s="213" t="str">
        <f>IFERROR(__xludf.DUMMYFUNCTION("""COMPUTED_VALUE"""),"MUEBLE BAJO (1000 X 600 X 900 MM.)")</f>
        <v>MUEBLE BAJO (1000 X 600 X 900 MM.)</v>
      </c>
      <c r="I1856"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56" s="213">
        <f>IFERROR(__xludf.DUMMYFUNCTION("""COMPUTED_VALUE"""),3.0)</f>
        <v>3</v>
      </c>
      <c r="K1856" s="213" t="str">
        <f>IFERROR(__xludf.DUMMYFUNCTION("""COMPUTED_VALUE"""),"90 DÍAS CALENDARIO")</f>
        <v>90 DÍAS CALENDARIO</v>
      </c>
      <c r="L1856" s="213" t="str">
        <f>IFERROR(__xludf.DUMMYFUNCTION("""COMPUTED_VALUE"""),"")</f>
        <v/>
      </c>
      <c r="M1856" s="213">
        <f>IFERROR(__xludf.DUMMYFUNCTION("""COMPUTED_VALUE"""),1.0)</f>
        <v>1</v>
      </c>
      <c r="N1856" s="213">
        <f>IFERROR(__xludf.DUMMYFUNCTION("""COMPUTED_VALUE"""),4.0)</f>
        <v>4</v>
      </c>
      <c r="O1856" s="213">
        <f>IFERROR(__xludf.DUMMYFUNCTION("""COMPUTED_VALUE"""),4.0)</f>
        <v>4</v>
      </c>
      <c r="P1856" s="213"/>
      <c r="Q1856" s="213"/>
      <c r="R1856" s="213"/>
      <c r="S1856" s="213"/>
      <c r="T1856" s="213"/>
      <c r="U1856" s="213"/>
      <c r="V1856" s="213"/>
      <c r="W1856" s="213"/>
      <c r="X1856" s="213"/>
      <c r="Y1856" s="213"/>
      <c r="Z1856" s="213"/>
      <c r="AA1856" s="213"/>
      <c r="AB1856" s="213"/>
      <c r="AC1856" s="213"/>
      <c r="AD1856" s="213"/>
      <c r="AE1856" s="213"/>
      <c r="AF1856" s="213"/>
      <c r="AG1856" s="213"/>
      <c r="AH1856" s="213"/>
      <c r="AI1856" s="213"/>
      <c r="AJ1856" s="213"/>
      <c r="AK1856" s="213"/>
      <c r="AL1856" s="213"/>
      <c r="AM1856" s="213"/>
      <c r="AN1856" s="213"/>
      <c r="AO1856" s="213"/>
      <c r="AP1856" s="213"/>
      <c r="AQ1856" s="213"/>
      <c r="AR1856" s="213"/>
      <c r="AS1856" s="213"/>
      <c r="AT1856" s="213"/>
      <c r="AU1856" s="213"/>
      <c r="AV1856" s="213"/>
      <c r="AW1856" s="213"/>
      <c r="AX1856" s="213"/>
      <c r="AY1856" s="213"/>
      <c r="AZ1856" s="213"/>
      <c r="BA1856" s="213"/>
      <c r="BB1856" s="213"/>
      <c r="BC1856" s="213"/>
      <c r="BD1856" s="213"/>
    </row>
    <row r="1857">
      <c r="A1857" s="213">
        <f>IFERROR(__xludf.DUMMYFUNCTION("""COMPUTED_VALUE"""),343.0)</f>
        <v>343</v>
      </c>
      <c r="B1857" s="213" t="str">
        <f>IFERROR(__xludf.DUMMYFUNCTION("""COMPUTED_VALUE"""),"2026 SIMON BOLIVAR")</f>
        <v>2026 SIMON BOLIVAR</v>
      </c>
      <c r="C1857" s="213" t="str">
        <f>IFERROR(__xludf.DUMMYFUNCTION("""COMPUTED_VALUE"""),"TALLER SFT DE ELECTRICIDAD")</f>
        <v>TALLER SFT DE ELECTRICIDAD</v>
      </c>
      <c r="D1857" s="213" t="str">
        <f>IFERROR(__xludf.DUMMYFUNCTION("""COMPUTED_VALUE"""),"MOBILIARIO")</f>
        <v>MOBILIARIO</v>
      </c>
      <c r="E1857" s="213" t="str">
        <f>IFERROR(__xludf.DUMMYFUNCTION("""COMPUTED_VALUE"""),"MOB-152")</f>
        <v>MOB-152</v>
      </c>
      <c r="F1857" s="213" t="str">
        <f>IFERROR(__xludf.DUMMYFUNCTION("""COMPUTED_VALUE"""),"MOB-152")</f>
        <v>MOB-152</v>
      </c>
      <c r="G1857" s="213"/>
      <c r="H1857" s="213" t="str">
        <f>IFERROR(__xludf.DUMMYFUNCTION("""COMPUTED_VALUE"""),"MUEBLE BAJO (1000 X 600 X 900 MM.)")</f>
        <v>MUEBLE BAJO (1000 X 600 X 900 MM.)</v>
      </c>
      <c r="I1857"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57" s="213">
        <f>IFERROR(__xludf.DUMMYFUNCTION("""COMPUTED_VALUE"""),3.0)</f>
        <v>3</v>
      </c>
      <c r="K1857" s="213" t="str">
        <f>IFERROR(__xludf.DUMMYFUNCTION("""COMPUTED_VALUE"""),"90 DÍAS CALENDARIO")</f>
        <v>90 DÍAS CALENDARIO</v>
      </c>
      <c r="L1857" s="213" t="str">
        <f>IFERROR(__xludf.DUMMYFUNCTION("""COMPUTED_VALUE"""),"")</f>
        <v/>
      </c>
      <c r="M1857" s="213">
        <f>IFERROR(__xludf.DUMMYFUNCTION("""COMPUTED_VALUE"""),1.0)</f>
        <v>1</v>
      </c>
      <c r="N1857" s="213">
        <f>IFERROR(__xludf.DUMMYFUNCTION("""COMPUTED_VALUE"""),4.0)</f>
        <v>4</v>
      </c>
      <c r="O1857" s="213">
        <f>IFERROR(__xludf.DUMMYFUNCTION("""COMPUTED_VALUE"""),4.0)</f>
        <v>4</v>
      </c>
      <c r="P1857" s="213"/>
      <c r="Q1857" s="213"/>
      <c r="R1857" s="213"/>
      <c r="S1857" s="213"/>
      <c r="T1857" s="213"/>
      <c r="U1857" s="213"/>
      <c r="V1857" s="213"/>
      <c r="W1857" s="213"/>
      <c r="X1857" s="213"/>
      <c r="Y1857" s="213"/>
      <c r="Z1857" s="213"/>
      <c r="AA1857" s="213"/>
      <c r="AB1857" s="213"/>
      <c r="AC1857" s="213"/>
      <c r="AD1857" s="213"/>
      <c r="AE1857" s="213"/>
      <c r="AF1857" s="213"/>
      <c r="AG1857" s="213"/>
      <c r="AH1857" s="213"/>
      <c r="AI1857" s="213"/>
      <c r="AJ1857" s="213"/>
      <c r="AK1857" s="213"/>
      <c r="AL1857" s="213"/>
      <c r="AM1857" s="213"/>
      <c r="AN1857" s="213"/>
      <c r="AO1857" s="213"/>
      <c r="AP1857" s="213"/>
      <c r="AQ1857" s="213"/>
      <c r="AR1857" s="213"/>
      <c r="AS1857" s="213"/>
      <c r="AT1857" s="213"/>
      <c r="AU1857" s="213"/>
      <c r="AV1857" s="213"/>
      <c r="AW1857" s="213"/>
      <c r="AX1857" s="213"/>
      <c r="AY1857" s="213"/>
      <c r="AZ1857" s="213"/>
      <c r="BA1857" s="213"/>
      <c r="BB1857" s="213"/>
      <c r="BC1857" s="213"/>
      <c r="BD1857" s="213"/>
    </row>
    <row r="1858">
      <c r="A1858" s="213">
        <f>IFERROR(__xludf.DUMMYFUNCTION("""COMPUTED_VALUE"""),615.0)</f>
        <v>615</v>
      </c>
      <c r="B1858" s="213" t="str">
        <f>IFERROR(__xludf.DUMMYFUNCTION("""COMPUTED_VALUE"""),"6049 RICARDO PALMA")</f>
        <v>6049 RICARDO PALMA</v>
      </c>
      <c r="C1858" s="213" t="str">
        <f>IFERROR(__xludf.DUMMYFUNCTION("""COMPUTED_VALUE"""),"TALLER SFT DE ELECTRÓNICA")</f>
        <v>TALLER SFT DE ELECTRÓNICA</v>
      </c>
      <c r="D1858" s="213" t="str">
        <f>IFERROR(__xludf.DUMMYFUNCTION("""COMPUTED_VALUE"""),"MOBILIARIO")</f>
        <v>MOBILIARIO</v>
      </c>
      <c r="E1858" s="213" t="str">
        <f>IFERROR(__xludf.DUMMYFUNCTION("""COMPUTED_VALUE"""),"MOB-152")</f>
        <v>MOB-152</v>
      </c>
      <c r="F1858" s="213" t="str">
        <f>IFERROR(__xludf.DUMMYFUNCTION("""COMPUTED_VALUE"""),"MOB-152")</f>
        <v>MOB-152</v>
      </c>
      <c r="G1858" s="213"/>
      <c r="H1858" s="213" t="str">
        <f>IFERROR(__xludf.DUMMYFUNCTION("""COMPUTED_VALUE"""),"MUEBLE BAJO (1000 X 600 X 900 MM.)")</f>
        <v>MUEBLE BAJO (1000 X 600 X 900 MM.)</v>
      </c>
      <c r="I1858"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58" s="213">
        <f>IFERROR(__xludf.DUMMYFUNCTION("""COMPUTED_VALUE"""),3.0)</f>
        <v>3</v>
      </c>
      <c r="K1858" s="213" t="str">
        <f>IFERROR(__xludf.DUMMYFUNCTION("""COMPUTED_VALUE"""),"90 DÍAS CALENDARIO")</f>
        <v>90 DÍAS CALENDARIO</v>
      </c>
      <c r="L1858" s="213" t="str">
        <f>IFERROR(__xludf.DUMMYFUNCTION("""COMPUTED_VALUE"""),"")</f>
        <v/>
      </c>
      <c r="M1858" s="213">
        <f>IFERROR(__xludf.DUMMYFUNCTION("""COMPUTED_VALUE"""),1.0)</f>
        <v>1</v>
      </c>
      <c r="N1858" s="213">
        <f>IFERROR(__xludf.DUMMYFUNCTION("""COMPUTED_VALUE"""),8.0)</f>
        <v>8</v>
      </c>
      <c r="O1858" s="213">
        <f>IFERROR(__xludf.DUMMYFUNCTION("""COMPUTED_VALUE"""),8.0)</f>
        <v>8</v>
      </c>
      <c r="P1858" s="213"/>
      <c r="Q1858" s="213"/>
      <c r="R1858" s="213"/>
      <c r="S1858" s="213"/>
      <c r="T1858" s="213"/>
      <c r="U1858" s="213"/>
      <c r="V1858" s="213"/>
      <c r="W1858" s="213"/>
      <c r="X1858" s="213"/>
      <c r="Y1858" s="213"/>
      <c r="Z1858" s="213"/>
      <c r="AA1858" s="213"/>
      <c r="AB1858" s="213"/>
      <c r="AC1858" s="213"/>
      <c r="AD1858" s="213"/>
      <c r="AE1858" s="213"/>
      <c r="AF1858" s="213"/>
      <c r="AG1858" s="213"/>
      <c r="AH1858" s="213"/>
      <c r="AI1858" s="213"/>
      <c r="AJ1858" s="213"/>
      <c r="AK1858" s="213"/>
      <c r="AL1858" s="213"/>
      <c r="AM1858" s="213"/>
      <c r="AN1858" s="213"/>
      <c r="AO1858" s="213"/>
      <c r="AP1858" s="213"/>
      <c r="AQ1858" s="213"/>
      <c r="AR1858" s="213"/>
      <c r="AS1858" s="213"/>
      <c r="AT1858" s="213"/>
      <c r="AU1858" s="213"/>
      <c r="AV1858" s="213"/>
      <c r="AW1858" s="213"/>
      <c r="AX1858" s="213"/>
      <c r="AY1858" s="213"/>
      <c r="AZ1858" s="213"/>
      <c r="BA1858" s="213"/>
      <c r="BB1858" s="213"/>
      <c r="BC1858" s="213"/>
      <c r="BD1858" s="213"/>
    </row>
    <row r="1859">
      <c r="A1859" s="213">
        <f>IFERROR(__xludf.DUMMYFUNCTION("""COMPUTED_VALUE"""),730.0)</f>
        <v>730</v>
      </c>
      <c r="B1859" s="213" t="str">
        <f>IFERROR(__xludf.DUMMYFUNCTION("""COMPUTED_VALUE"""),"6049 RICARDO PALMA")</f>
        <v>6049 RICARDO PALMA</v>
      </c>
      <c r="C1859" s="213" t="str">
        <f>IFERROR(__xludf.DUMMYFUNCTION("""COMPUTED_VALUE"""),"TALLER SFT DE COMPUTACIÓN E INFORMÁTICA")</f>
        <v>TALLER SFT DE COMPUTACIÓN E INFORMÁTICA</v>
      </c>
      <c r="D1859" s="213" t="str">
        <f>IFERROR(__xludf.DUMMYFUNCTION("""COMPUTED_VALUE"""),"MOBILIARIO")</f>
        <v>MOBILIARIO</v>
      </c>
      <c r="E1859" s="213" t="str">
        <f>IFERROR(__xludf.DUMMYFUNCTION("""COMPUTED_VALUE"""),"MOB-152")</f>
        <v>MOB-152</v>
      </c>
      <c r="F1859" s="213" t="str">
        <f>IFERROR(__xludf.DUMMYFUNCTION("""COMPUTED_VALUE"""),"MOB-152")</f>
        <v>MOB-152</v>
      </c>
      <c r="G1859" s="213"/>
      <c r="H1859" s="213" t="str">
        <f>IFERROR(__xludf.DUMMYFUNCTION("""COMPUTED_VALUE"""),"MUEBLE BAJO (1000 X 600 X 900 MM.)")</f>
        <v>MUEBLE BAJO (1000 X 600 X 900 MM.)</v>
      </c>
      <c r="I1859"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59" s="213">
        <f>IFERROR(__xludf.DUMMYFUNCTION("""COMPUTED_VALUE"""),3.0)</f>
        <v>3</v>
      </c>
      <c r="K1859" s="213" t="str">
        <f>IFERROR(__xludf.DUMMYFUNCTION("""COMPUTED_VALUE"""),"90 DÍAS CALENDARIO")</f>
        <v>90 DÍAS CALENDARIO</v>
      </c>
      <c r="L1859" s="213" t="str">
        <f>IFERROR(__xludf.DUMMYFUNCTION("""COMPUTED_VALUE"""),"")</f>
        <v/>
      </c>
      <c r="M1859" s="213">
        <f>IFERROR(__xludf.DUMMYFUNCTION("""COMPUTED_VALUE"""),1.0)</f>
        <v>1</v>
      </c>
      <c r="N1859" s="213">
        <f>IFERROR(__xludf.DUMMYFUNCTION("""COMPUTED_VALUE"""),5.0)</f>
        <v>5</v>
      </c>
      <c r="O1859" s="213">
        <f>IFERROR(__xludf.DUMMYFUNCTION("""COMPUTED_VALUE"""),5.0)</f>
        <v>5</v>
      </c>
      <c r="P1859" s="213"/>
      <c r="Q1859" s="213"/>
      <c r="R1859" s="213"/>
      <c r="S1859" s="213"/>
      <c r="T1859" s="213"/>
      <c r="U1859" s="213"/>
      <c r="V1859" s="213"/>
      <c r="W1859" s="213"/>
      <c r="X1859" s="213"/>
      <c r="Y1859" s="213"/>
      <c r="Z1859" s="213"/>
      <c r="AA1859" s="213"/>
      <c r="AB1859" s="213"/>
      <c r="AC1859" s="213"/>
      <c r="AD1859" s="213"/>
      <c r="AE1859" s="213"/>
      <c r="AF1859" s="213"/>
      <c r="AG1859" s="213"/>
      <c r="AH1859" s="213"/>
      <c r="AI1859" s="213"/>
      <c r="AJ1859" s="213"/>
      <c r="AK1859" s="213"/>
      <c r="AL1859" s="213"/>
      <c r="AM1859" s="213"/>
      <c r="AN1859" s="213"/>
      <c r="AO1859" s="213"/>
      <c r="AP1859" s="213"/>
      <c r="AQ1859" s="213"/>
      <c r="AR1859" s="213"/>
      <c r="AS1859" s="213"/>
      <c r="AT1859" s="213"/>
      <c r="AU1859" s="213"/>
      <c r="AV1859" s="213"/>
      <c r="AW1859" s="213"/>
      <c r="AX1859" s="213"/>
      <c r="AY1859" s="213"/>
      <c r="AZ1859" s="213"/>
      <c r="BA1859" s="213"/>
      <c r="BB1859" s="213"/>
      <c r="BC1859" s="213"/>
      <c r="BD1859" s="213"/>
    </row>
    <row r="1860">
      <c r="A1860" s="213">
        <f>IFERROR(__xludf.DUMMYFUNCTION("""COMPUTED_VALUE"""),822.0)</f>
        <v>822</v>
      </c>
      <c r="B1860" s="213" t="str">
        <f>IFERROR(__xludf.DUMMYFUNCTION("""COMPUTED_VALUE"""),"6049 RICARDO PALMA")</f>
        <v>6049 RICARDO PALMA</v>
      </c>
      <c r="C1860" s="213" t="str">
        <f>IFERROR(__xludf.DUMMYFUNCTION("""COMPUTED_VALUE"""),"TALLER SFT DE ELECTRICIDAD")</f>
        <v>TALLER SFT DE ELECTRICIDAD</v>
      </c>
      <c r="D1860" s="213" t="str">
        <f>IFERROR(__xludf.DUMMYFUNCTION("""COMPUTED_VALUE"""),"MOBILIARIO")</f>
        <v>MOBILIARIO</v>
      </c>
      <c r="E1860" s="213" t="str">
        <f>IFERROR(__xludf.DUMMYFUNCTION("""COMPUTED_VALUE"""),"MOB-152")</f>
        <v>MOB-152</v>
      </c>
      <c r="F1860" s="213" t="str">
        <f>IFERROR(__xludf.DUMMYFUNCTION("""COMPUTED_VALUE"""),"MOB-152")</f>
        <v>MOB-152</v>
      </c>
      <c r="G1860" s="213"/>
      <c r="H1860" s="213" t="str">
        <f>IFERROR(__xludf.DUMMYFUNCTION("""COMPUTED_VALUE"""),"MUEBLE BAJO (1000 X 600 X 900 MM.)")</f>
        <v>MUEBLE BAJO (1000 X 600 X 900 MM.)</v>
      </c>
      <c r="I1860"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0" s="213">
        <f>IFERROR(__xludf.DUMMYFUNCTION("""COMPUTED_VALUE"""),3.0)</f>
        <v>3</v>
      </c>
      <c r="K1860" s="213" t="str">
        <f>IFERROR(__xludf.DUMMYFUNCTION("""COMPUTED_VALUE"""),"90 DÍAS CALENDARIO")</f>
        <v>90 DÍAS CALENDARIO</v>
      </c>
      <c r="L1860" s="213" t="str">
        <f>IFERROR(__xludf.DUMMYFUNCTION("""COMPUTED_VALUE"""),"")</f>
        <v/>
      </c>
      <c r="M1860" s="213">
        <f>IFERROR(__xludf.DUMMYFUNCTION("""COMPUTED_VALUE"""),1.0)</f>
        <v>1</v>
      </c>
      <c r="N1860" s="213">
        <f>IFERROR(__xludf.DUMMYFUNCTION("""COMPUTED_VALUE"""),4.0)</f>
        <v>4</v>
      </c>
      <c r="O1860" s="213">
        <f>IFERROR(__xludf.DUMMYFUNCTION("""COMPUTED_VALUE"""),4.0)</f>
        <v>4</v>
      </c>
      <c r="P1860" s="213"/>
      <c r="Q1860" s="213"/>
      <c r="R1860" s="213"/>
      <c r="S1860" s="213"/>
      <c r="T1860" s="213"/>
      <c r="U1860" s="213"/>
      <c r="V1860" s="213"/>
      <c r="W1860" s="213"/>
      <c r="X1860" s="213"/>
      <c r="Y1860" s="213"/>
      <c r="Z1860" s="213"/>
      <c r="AA1860" s="213"/>
      <c r="AB1860" s="213"/>
      <c r="AC1860" s="213"/>
      <c r="AD1860" s="213"/>
      <c r="AE1860" s="213"/>
      <c r="AF1860" s="213"/>
      <c r="AG1860" s="213"/>
      <c r="AH1860" s="213"/>
      <c r="AI1860" s="213"/>
      <c r="AJ1860" s="213"/>
      <c r="AK1860" s="213"/>
      <c r="AL1860" s="213"/>
      <c r="AM1860" s="213"/>
      <c r="AN1860" s="213"/>
      <c r="AO1860" s="213"/>
      <c r="AP1860" s="213"/>
      <c r="AQ1860" s="213"/>
      <c r="AR1860" s="213"/>
      <c r="AS1860" s="213"/>
      <c r="AT1860" s="213"/>
      <c r="AU1860" s="213"/>
      <c r="AV1860" s="213"/>
      <c r="AW1860" s="213"/>
      <c r="AX1860" s="213"/>
      <c r="AY1860" s="213"/>
      <c r="AZ1860" s="213"/>
      <c r="BA1860" s="213"/>
      <c r="BB1860" s="213"/>
      <c r="BC1860" s="213"/>
      <c r="BD1860" s="213"/>
    </row>
    <row r="1861">
      <c r="A1861" s="213">
        <f>IFERROR(__xludf.DUMMYFUNCTION("""COMPUTED_VALUE"""),829.0)</f>
        <v>829</v>
      </c>
      <c r="B1861" s="213" t="str">
        <f>IFERROR(__xludf.DUMMYFUNCTION("""COMPUTED_VALUE"""),"6049 RICARDO PALMA")</f>
        <v>6049 RICARDO PALMA</v>
      </c>
      <c r="C1861" s="213" t="str">
        <f>IFERROR(__xludf.DUMMYFUNCTION("""COMPUTED_VALUE"""),"TALLER SFT DE ELECTRICIDAD")</f>
        <v>TALLER SFT DE ELECTRICIDAD</v>
      </c>
      <c r="D1861" s="213" t="str">
        <f>IFERROR(__xludf.DUMMYFUNCTION("""COMPUTED_VALUE"""),"MOBILIARIO")</f>
        <v>MOBILIARIO</v>
      </c>
      <c r="E1861" s="213" t="str">
        <f>IFERROR(__xludf.DUMMYFUNCTION("""COMPUTED_VALUE"""),"MOB-152")</f>
        <v>MOB-152</v>
      </c>
      <c r="F1861" s="213" t="str">
        <f>IFERROR(__xludf.DUMMYFUNCTION("""COMPUTED_VALUE"""),"MOB-152")</f>
        <v>MOB-152</v>
      </c>
      <c r="G1861" s="213"/>
      <c r="H1861" s="213" t="str">
        <f>IFERROR(__xludf.DUMMYFUNCTION("""COMPUTED_VALUE"""),"MUEBLE BAJO (1000 X 600 X 900 MM.)")</f>
        <v>MUEBLE BAJO (1000 X 600 X 900 MM.)</v>
      </c>
      <c r="I1861"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1" s="213">
        <f>IFERROR(__xludf.DUMMYFUNCTION("""COMPUTED_VALUE"""),3.0)</f>
        <v>3</v>
      </c>
      <c r="K1861" s="213" t="str">
        <f>IFERROR(__xludf.DUMMYFUNCTION("""COMPUTED_VALUE"""),"90 DÍAS CALENDARIO")</f>
        <v>90 DÍAS CALENDARIO</v>
      </c>
      <c r="L1861" s="213" t="str">
        <f>IFERROR(__xludf.DUMMYFUNCTION("""COMPUTED_VALUE"""),"")</f>
        <v/>
      </c>
      <c r="M1861" s="213">
        <f>IFERROR(__xludf.DUMMYFUNCTION("""COMPUTED_VALUE"""),1.0)</f>
        <v>1</v>
      </c>
      <c r="N1861" s="213">
        <f>IFERROR(__xludf.DUMMYFUNCTION("""COMPUTED_VALUE"""),4.0)</f>
        <v>4</v>
      </c>
      <c r="O1861" s="213">
        <f>IFERROR(__xludf.DUMMYFUNCTION("""COMPUTED_VALUE"""),4.0)</f>
        <v>4</v>
      </c>
      <c r="P1861" s="213"/>
      <c r="Q1861" s="213"/>
      <c r="R1861" s="213"/>
      <c r="S1861" s="213"/>
      <c r="T1861" s="213"/>
      <c r="U1861" s="213"/>
      <c r="V1861" s="213"/>
      <c r="W1861" s="213"/>
      <c r="X1861" s="213"/>
      <c r="Y1861" s="213"/>
      <c r="Z1861" s="213"/>
      <c r="AA1861" s="213"/>
      <c r="AB1861" s="213"/>
      <c r="AC1861" s="213"/>
      <c r="AD1861" s="213"/>
      <c r="AE1861" s="213"/>
      <c r="AF1861" s="213"/>
      <c r="AG1861" s="213"/>
      <c r="AH1861" s="213"/>
      <c r="AI1861" s="213"/>
      <c r="AJ1861" s="213"/>
      <c r="AK1861" s="213"/>
      <c r="AL1861" s="213"/>
      <c r="AM1861" s="213"/>
      <c r="AN1861" s="213"/>
      <c r="AO1861" s="213"/>
      <c r="AP1861" s="213"/>
      <c r="AQ1861" s="213"/>
      <c r="AR1861" s="213"/>
      <c r="AS1861" s="213"/>
      <c r="AT1861" s="213"/>
      <c r="AU1861" s="213"/>
      <c r="AV1861" s="213"/>
      <c r="AW1861" s="213"/>
      <c r="AX1861" s="213"/>
      <c r="AY1861" s="213"/>
      <c r="AZ1861" s="213"/>
      <c r="BA1861" s="213"/>
      <c r="BB1861" s="213"/>
      <c r="BC1861" s="213"/>
      <c r="BD1861" s="213"/>
    </row>
    <row r="1862">
      <c r="A1862" s="213">
        <f>IFERROR(__xludf.DUMMYFUNCTION("""COMPUTED_VALUE"""),911.0)</f>
        <v>911</v>
      </c>
      <c r="B1862" s="213" t="str">
        <f>IFERROR(__xludf.DUMMYFUNCTION("""COMPUTED_VALUE"""),"FRANCISCO IRAZOLA")</f>
        <v>FRANCISCO IRAZOLA</v>
      </c>
      <c r="C1862" s="213" t="str">
        <f>IFERROR(__xludf.DUMMYFUNCTION("""COMPUTED_VALUE"""),"TALLER SFT DE MECÁNICA AUTOMOTRIZ")</f>
        <v>TALLER SFT DE MECÁNICA AUTOMOTRIZ</v>
      </c>
      <c r="D1862" s="213" t="str">
        <f>IFERROR(__xludf.DUMMYFUNCTION("""COMPUTED_VALUE"""),"MOBILIARIO")</f>
        <v>MOBILIARIO</v>
      </c>
      <c r="E1862" s="213" t="str">
        <f>IFERROR(__xludf.DUMMYFUNCTION("""COMPUTED_VALUE"""),"MOB-152")</f>
        <v>MOB-152</v>
      </c>
      <c r="F1862" s="213" t="str">
        <f>IFERROR(__xludf.DUMMYFUNCTION("""COMPUTED_VALUE"""),"MOB-152")</f>
        <v>MOB-152</v>
      </c>
      <c r="G1862" s="213"/>
      <c r="H1862" s="213" t="str">
        <f>IFERROR(__xludf.DUMMYFUNCTION("""COMPUTED_VALUE"""),"MUEBLE BAJO (1000 X 600 X 900 MM.)")</f>
        <v>MUEBLE BAJO (1000 X 600 X 900 MM.)</v>
      </c>
      <c r="I1862"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2" s="213">
        <f>IFERROR(__xludf.DUMMYFUNCTION("""COMPUTED_VALUE"""),3.0)</f>
        <v>3</v>
      </c>
      <c r="K1862" s="213" t="str">
        <f>IFERROR(__xludf.DUMMYFUNCTION("""COMPUTED_VALUE"""),"90 DÍAS CALENDARIO")</f>
        <v>90 DÍAS CALENDARIO</v>
      </c>
      <c r="L1862" s="213" t="str">
        <f>IFERROR(__xludf.DUMMYFUNCTION("""COMPUTED_VALUE"""),"")</f>
        <v/>
      </c>
      <c r="M1862" s="213">
        <f>IFERROR(__xludf.DUMMYFUNCTION("""COMPUTED_VALUE"""),1.0)</f>
        <v>1</v>
      </c>
      <c r="N1862" s="213">
        <f>IFERROR(__xludf.DUMMYFUNCTION("""COMPUTED_VALUE"""),5.0)</f>
        <v>5</v>
      </c>
      <c r="O1862" s="213">
        <f>IFERROR(__xludf.DUMMYFUNCTION("""COMPUTED_VALUE"""),5.0)</f>
        <v>5</v>
      </c>
      <c r="P1862" s="213"/>
      <c r="Q1862" s="213"/>
      <c r="R1862" s="213"/>
      <c r="S1862" s="213"/>
      <c r="T1862" s="213"/>
      <c r="U1862" s="213"/>
      <c r="V1862" s="213"/>
      <c r="W1862" s="213"/>
      <c r="X1862" s="213"/>
      <c r="Y1862" s="213"/>
      <c r="Z1862" s="213"/>
      <c r="AA1862" s="213"/>
      <c r="AB1862" s="213"/>
      <c r="AC1862" s="213"/>
      <c r="AD1862" s="213"/>
      <c r="AE1862" s="213"/>
      <c r="AF1862" s="213"/>
      <c r="AG1862" s="213"/>
      <c r="AH1862" s="213"/>
      <c r="AI1862" s="213"/>
      <c r="AJ1862" s="213"/>
      <c r="AK1862" s="213"/>
      <c r="AL1862" s="213"/>
      <c r="AM1862" s="213"/>
      <c r="AN1862" s="213"/>
      <c r="AO1862" s="213"/>
      <c r="AP1862" s="213"/>
      <c r="AQ1862" s="213"/>
      <c r="AR1862" s="213"/>
      <c r="AS1862" s="213"/>
      <c r="AT1862" s="213"/>
      <c r="AU1862" s="213"/>
      <c r="AV1862" s="213"/>
      <c r="AW1862" s="213"/>
      <c r="AX1862" s="213"/>
      <c r="AY1862" s="213"/>
      <c r="AZ1862" s="213"/>
      <c r="BA1862" s="213"/>
      <c r="BB1862" s="213"/>
      <c r="BC1862" s="213"/>
      <c r="BD1862" s="213"/>
    </row>
    <row r="1863">
      <c r="A1863" s="213">
        <f>IFERROR(__xludf.DUMMYFUNCTION("""COMPUTED_VALUE"""),1093.0)</f>
        <v>1093</v>
      </c>
      <c r="B1863" s="213" t="str">
        <f>IFERROR(__xludf.DUMMYFUNCTION("""COMPUTED_VALUE"""),"FRANCISCO IRAZOLA")</f>
        <v>FRANCISCO IRAZOLA</v>
      </c>
      <c r="C1863" s="213" t="str">
        <f>IFERROR(__xludf.DUMMYFUNCTION("""COMPUTED_VALUE"""),"TALLER SFT DE INDUSTRIA ALIMENTARIA")</f>
        <v>TALLER SFT DE INDUSTRIA ALIMENTARIA</v>
      </c>
      <c r="D1863" s="213" t="str">
        <f>IFERROR(__xludf.DUMMYFUNCTION("""COMPUTED_VALUE"""),"MOBILIARIO")</f>
        <v>MOBILIARIO</v>
      </c>
      <c r="E1863" s="213" t="str">
        <f>IFERROR(__xludf.DUMMYFUNCTION("""COMPUTED_VALUE"""),"MOB-152")</f>
        <v>MOB-152</v>
      </c>
      <c r="F1863" s="213" t="str">
        <f>IFERROR(__xludf.DUMMYFUNCTION("""COMPUTED_VALUE"""),"MOB-152")</f>
        <v>MOB-152</v>
      </c>
      <c r="G1863" s="213"/>
      <c r="H1863" s="213" t="str">
        <f>IFERROR(__xludf.DUMMYFUNCTION("""COMPUTED_VALUE"""),"MUEBLE BAJO (1000 X 600 X 900 MM.)")</f>
        <v>MUEBLE BAJO (1000 X 600 X 900 MM.)</v>
      </c>
      <c r="I1863"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3" s="213">
        <f>IFERROR(__xludf.DUMMYFUNCTION("""COMPUTED_VALUE"""),3.0)</f>
        <v>3</v>
      </c>
      <c r="K1863" s="213" t="str">
        <f>IFERROR(__xludf.DUMMYFUNCTION("""COMPUTED_VALUE"""),"90 DÍAS CALENDARIO")</f>
        <v>90 DÍAS CALENDARIO</v>
      </c>
      <c r="L1863" s="213" t="str">
        <f>IFERROR(__xludf.DUMMYFUNCTION("""COMPUTED_VALUE"""),"")</f>
        <v/>
      </c>
      <c r="M1863" s="213">
        <f>IFERROR(__xludf.DUMMYFUNCTION("""COMPUTED_VALUE"""),1.0)</f>
        <v>1</v>
      </c>
      <c r="N1863" s="213">
        <f>IFERROR(__xludf.DUMMYFUNCTION("""COMPUTED_VALUE"""),1.0)</f>
        <v>1</v>
      </c>
      <c r="O1863" s="213">
        <f>IFERROR(__xludf.DUMMYFUNCTION("""COMPUTED_VALUE"""),1.0)</f>
        <v>1</v>
      </c>
      <c r="P1863" s="213"/>
      <c r="Q1863" s="213"/>
      <c r="R1863" s="213"/>
      <c r="S1863" s="213"/>
      <c r="T1863" s="213"/>
      <c r="U1863" s="213"/>
      <c r="V1863" s="213"/>
      <c r="W1863" s="213"/>
      <c r="X1863" s="213"/>
      <c r="Y1863" s="213"/>
      <c r="Z1863" s="213"/>
      <c r="AA1863" s="213"/>
      <c r="AB1863" s="213"/>
      <c r="AC1863" s="213"/>
      <c r="AD1863" s="213"/>
      <c r="AE1863" s="213"/>
      <c r="AF1863" s="213"/>
      <c r="AG1863" s="213"/>
      <c r="AH1863" s="213"/>
      <c r="AI1863" s="213"/>
      <c r="AJ1863" s="213"/>
      <c r="AK1863" s="213"/>
      <c r="AL1863" s="213"/>
      <c r="AM1863" s="213"/>
      <c r="AN1863" s="213"/>
      <c r="AO1863" s="213"/>
      <c r="AP1863" s="213"/>
      <c r="AQ1863" s="213"/>
      <c r="AR1863" s="213"/>
      <c r="AS1863" s="213"/>
      <c r="AT1863" s="213"/>
      <c r="AU1863" s="213"/>
      <c r="AV1863" s="213"/>
      <c r="AW1863" s="213"/>
      <c r="AX1863" s="213"/>
      <c r="AY1863" s="213"/>
      <c r="AZ1863" s="213"/>
      <c r="BA1863" s="213"/>
      <c r="BB1863" s="213"/>
      <c r="BC1863" s="213"/>
      <c r="BD1863" s="213"/>
    </row>
    <row r="1864">
      <c r="A1864" s="213">
        <f>IFERROR(__xludf.DUMMYFUNCTION("""COMPUTED_VALUE"""),1243.0)</f>
        <v>1243</v>
      </c>
      <c r="B1864" s="213" t="str">
        <f>IFERROR(__xludf.DUMMYFUNCTION("""COMPUTED_VALUE"""),"GUILLERMO E. BILLINGHURST ")</f>
        <v>GUILLERMO E. BILLINGHURST </v>
      </c>
      <c r="C1864" s="213" t="str">
        <f>IFERROR(__xludf.DUMMYFUNCTION("""COMPUTED_VALUE"""),"TALLER SFT DE ELECTRICIDAD")</f>
        <v>TALLER SFT DE ELECTRICIDAD</v>
      </c>
      <c r="D1864" s="213" t="str">
        <f>IFERROR(__xludf.DUMMYFUNCTION("""COMPUTED_VALUE"""),"MOBILIARIO")</f>
        <v>MOBILIARIO</v>
      </c>
      <c r="E1864" s="213" t="str">
        <f>IFERROR(__xludf.DUMMYFUNCTION("""COMPUTED_VALUE"""),"MOB-152")</f>
        <v>MOB-152</v>
      </c>
      <c r="F1864" s="213" t="str">
        <f>IFERROR(__xludf.DUMMYFUNCTION("""COMPUTED_VALUE"""),"MOB-152")</f>
        <v>MOB-152</v>
      </c>
      <c r="G1864" s="213"/>
      <c r="H1864" s="213" t="str">
        <f>IFERROR(__xludf.DUMMYFUNCTION("""COMPUTED_VALUE"""),"MUEBLE BAJO (1000 X 600 X 900 MM.)")</f>
        <v>MUEBLE BAJO (1000 X 600 X 900 MM.)</v>
      </c>
      <c r="I1864"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4" s="213">
        <f>IFERROR(__xludf.DUMMYFUNCTION("""COMPUTED_VALUE"""),3.0)</f>
        <v>3</v>
      </c>
      <c r="K1864" s="213" t="str">
        <f>IFERROR(__xludf.DUMMYFUNCTION("""COMPUTED_VALUE"""),"90 DÍAS CALENDARIO")</f>
        <v>90 DÍAS CALENDARIO</v>
      </c>
      <c r="L1864" s="213" t="str">
        <f>IFERROR(__xludf.DUMMYFUNCTION("""COMPUTED_VALUE"""),"")</f>
        <v/>
      </c>
      <c r="M1864" s="213">
        <f>IFERROR(__xludf.DUMMYFUNCTION("""COMPUTED_VALUE"""),1.0)</f>
        <v>1</v>
      </c>
      <c r="N1864" s="213">
        <f>IFERROR(__xludf.DUMMYFUNCTION("""COMPUTED_VALUE"""),5.0)</f>
        <v>5</v>
      </c>
      <c r="O1864" s="213">
        <f>IFERROR(__xludf.DUMMYFUNCTION("""COMPUTED_VALUE"""),5.0)</f>
        <v>5</v>
      </c>
      <c r="P1864" s="213"/>
      <c r="Q1864" s="213"/>
      <c r="R1864" s="213"/>
      <c r="S1864" s="213"/>
      <c r="T1864" s="213"/>
      <c r="U1864" s="213"/>
      <c r="V1864" s="213"/>
      <c r="W1864" s="213"/>
      <c r="X1864" s="213"/>
      <c r="Y1864" s="213"/>
      <c r="Z1864" s="213"/>
      <c r="AA1864" s="213"/>
      <c r="AB1864" s="213"/>
      <c r="AC1864" s="213"/>
      <c r="AD1864" s="213"/>
      <c r="AE1864" s="213"/>
      <c r="AF1864" s="213"/>
      <c r="AG1864" s="213"/>
      <c r="AH1864" s="213"/>
      <c r="AI1864" s="213"/>
      <c r="AJ1864" s="213"/>
      <c r="AK1864" s="213"/>
      <c r="AL1864" s="213"/>
      <c r="AM1864" s="213"/>
      <c r="AN1864" s="213"/>
      <c r="AO1864" s="213"/>
      <c r="AP1864" s="213"/>
      <c r="AQ1864" s="213"/>
      <c r="AR1864" s="213"/>
      <c r="AS1864" s="213"/>
      <c r="AT1864" s="213"/>
      <c r="AU1864" s="213"/>
      <c r="AV1864" s="213"/>
      <c r="AW1864" s="213"/>
      <c r="AX1864" s="213"/>
      <c r="AY1864" s="213"/>
      <c r="AZ1864" s="213"/>
      <c r="BA1864" s="213"/>
      <c r="BB1864" s="213"/>
      <c r="BC1864" s="213"/>
      <c r="BD1864" s="213"/>
    </row>
    <row r="1865">
      <c r="A1865" s="213">
        <f>IFERROR(__xludf.DUMMYFUNCTION("""COMPUTED_VALUE"""),1251.0)</f>
        <v>1251</v>
      </c>
      <c r="B1865" s="213" t="str">
        <f>IFERROR(__xludf.DUMMYFUNCTION("""COMPUTED_VALUE"""),"GUILLERMO E. BILLINGHURST ")</f>
        <v>GUILLERMO E. BILLINGHURST </v>
      </c>
      <c r="C1865" s="213" t="str">
        <f>IFERROR(__xludf.DUMMYFUNCTION("""COMPUTED_VALUE"""),"TALLER SFT DE ELECTRICIDAD")</f>
        <v>TALLER SFT DE ELECTRICIDAD</v>
      </c>
      <c r="D1865" s="213" t="str">
        <f>IFERROR(__xludf.DUMMYFUNCTION("""COMPUTED_VALUE"""),"MOBILIARIO")</f>
        <v>MOBILIARIO</v>
      </c>
      <c r="E1865" s="213" t="str">
        <f>IFERROR(__xludf.DUMMYFUNCTION("""COMPUTED_VALUE"""),"MOB-152")</f>
        <v>MOB-152</v>
      </c>
      <c r="F1865" s="213" t="str">
        <f>IFERROR(__xludf.DUMMYFUNCTION("""COMPUTED_VALUE"""),"MOB-152")</f>
        <v>MOB-152</v>
      </c>
      <c r="G1865" s="213"/>
      <c r="H1865" s="213" t="str">
        <f>IFERROR(__xludf.DUMMYFUNCTION("""COMPUTED_VALUE"""),"MUEBLE BAJO (1000 X 600 X 900 MM.)")</f>
        <v>MUEBLE BAJO (1000 X 600 X 900 MM.)</v>
      </c>
      <c r="I1865"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5" s="213">
        <f>IFERROR(__xludf.DUMMYFUNCTION("""COMPUTED_VALUE"""),3.0)</f>
        <v>3</v>
      </c>
      <c r="K1865" s="213" t="str">
        <f>IFERROR(__xludf.DUMMYFUNCTION("""COMPUTED_VALUE"""),"90 DÍAS CALENDARIO")</f>
        <v>90 DÍAS CALENDARIO</v>
      </c>
      <c r="L1865" s="213" t="str">
        <f>IFERROR(__xludf.DUMMYFUNCTION("""COMPUTED_VALUE"""),"")</f>
        <v/>
      </c>
      <c r="M1865" s="213">
        <f>IFERROR(__xludf.DUMMYFUNCTION("""COMPUTED_VALUE"""),1.0)</f>
        <v>1</v>
      </c>
      <c r="N1865" s="213">
        <f>IFERROR(__xludf.DUMMYFUNCTION("""COMPUTED_VALUE"""),4.0)</f>
        <v>4</v>
      </c>
      <c r="O1865" s="213">
        <f>IFERROR(__xludf.DUMMYFUNCTION("""COMPUTED_VALUE"""),4.0)</f>
        <v>4</v>
      </c>
      <c r="P1865" s="213"/>
      <c r="Q1865" s="213"/>
      <c r="R1865" s="213"/>
      <c r="S1865" s="213"/>
      <c r="T1865" s="213"/>
      <c r="U1865" s="213"/>
      <c r="V1865" s="213"/>
      <c r="W1865" s="213"/>
      <c r="X1865" s="213"/>
      <c r="Y1865" s="213"/>
      <c r="Z1865" s="213"/>
      <c r="AA1865" s="213"/>
      <c r="AB1865" s="213"/>
      <c r="AC1865" s="213"/>
      <c r="AD1865" s="213"/>
      <c r="AE1865" s="213"/>
      <c r="AF1865" s="213"/>
      <c r="AG1865" s="213"/>
      <c r="AH1865" s="213"/>
      <c r="AI1865" s="213"/>
      <c r="AJ1865" s="213"/>
      <c r="AK1865" s="213"/>
      <c r="AL1865" s="213"/>
      <c r="AM1865" s="213"/>
      <c r="AN1865" s="213"/>
      <c r="AO1865" s="213"/>
      <c r="AP1865" s="213"/>
      <c r="AQ1865" s="213"/>
      <c r="AR1865" s="213"/>
      <c r="AS1865" s="213"/>
      <c r="AT1865" s="213"/>
      <c r="AU1865" s="213"/>
      <c r="AV1865" s="213"/>
      <c r="AW1865" s="213"/>
      <c r="AX1865" s="213"/>
      <c r="AY1865" s="213"/>
      <c r="AZ1865" s="213"/>
      <c r="BA1865" s="213"/>
      <c r="BB1865" s="213"/>
      <c r="BC1865" s="213"/>
      <c r="BD1865" s="213"/>
    </row>
    <row r="1866">
      <c r="A1866" s="213">
        <f>IFERROR(__xludf.DUMMYFUNCTION("""COMPUTED_VALUE"""),1513.0)</f>
        <v>1513</v>
      </c>
      <c r="B1866" s="213" t="str">
        <f>IFERROR(__xludf.DUMMYFUNCTION("""COMPUTED_VALUE"""),"GUILLERMO E. BILLINGHURST ")</f>
        <v>GUILLERMO E. BILLINGHURST </v>
      </c>
      <c r="C1866" s="213" t="str">
        <f>IFERROR(__xludf.DUMMYFUNCTION("""COMPUTED_VALUE"""),"TALLER SFT DE MECÁNICA AUTOMOTRIZ")</f>
        <v>TALLER SFT DE MECÁNICA AUTOMOTRIZ</v>
      </c>
      <c r="D1866" s="213" t="str">
        <f>IFERROR(__xludf.DUMMYFUNCTION("""COMPUTED_VALUE"""),"MOBILIARIO")</f>
        <v>MOBILIARIO</v>
      </c>
      <c r="E1866" s="213" t="str">
        <f>IFERROR(__xludf.DUMMYFUNCTION("""COMPUTED_VALUE"""),"MOB-152")</f>
        <v>MOB-152</v>
      </c>
      <c r="F1866" s="213" t="str">
        <f>IFERROR(__xludf.DUMMYFUNCTION("""COMPUTED_VALUE"""),"MOB-152")</f>
        <v>MOB-152</v>
      </c>
      <c r="G1866" s="213"/>
      <c r="H1866" s="213" t="str">
        <f>IFERROR(__xludf.DUMMYFUNCTION("""COMPUTED_VALUE"""),"MUEBLE BAJO (1000 X 600 X 900 MM.)")</f>
        <v>MUEBLE BAJO (1000 X 600 X 900 MM.)</v>
      </c>
      <c r="I1866"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6" s="213">
        <f>IFERROR(__xludf.DUMMYFUNCTION("""COMPUTED_VALUE"""),3.0)</f>
        <v>3</v>
      </c>
      <c r="K1866" s="213" t="str">
        <f>IFERROR(__xludf.DUMMYFUNCTION("""COMPUTED_VALUE"""),"90 DÍAS CALENDARIO")</f>
        <v>90 DÍAS CALENDARIO</v>
      </c>
      <c r="L1866" s="213" t="str">
        <f>IFERROR(__xludf.DUMMYFUNCTION("""COMPUTED_VALUE"""),"")</f>
        <v/>
      </c>
      <c r="M1866" s="213">
        <f>IFERROR(__xludf.DUMMYFUNCTION("""COMPUTED_VALUE"""),1.0)</f>
        <v>1</v>
      </c>
      <c r="N1866" s="213">
        <f>IFERROR(__xludf.DUMMYFUNCTION("""COMPUTED_VALUE"""),5.0)</f>
        <v>5</v>
      </c>
      <c r="O1866" s="213">
        <f>IFERROR(__xludf.DUMMYFUNCTION("""COMPUTED_VALUE"""),5.0)</f>
        <v>5</v>
      </c>
      <c r="P1866" s="213"/>
      <c r="Q1866" s="213"/>
      <c r="R1866" s="213"/>
      <c r="S1866" s="213"/>
      <c r="T1866" s="213"/>
      <c r="U1866" s="213"/>
      <c r="V1866" s="213"/>
      <c r="W1866" s="213"/>
      <c r="X1866" s="213"/>
      <c r="Y1866" s="213"/>
      <c r="Z1866" s="213"/>
      <c r="AA1866" s="213"/>
      <c r="AB1866" s="213"/>
      <c r="AC1866" s="213"/>
      <c r="AD1866" s="213"/>
      <c r="AE1866" s="213"/>
      <c r="AF1866" s="213"/>
      <c r="AG1866" s="213"/>
      <c r="AH1866" s="213"/>
      <c r="AI1866" s="213"/>
      <c r="AJ1866" s="213"/>
      <c r="AK1866" s="213"/>
      <c r="AL1866" s="213"/>
      <c r="AM1866" s="213"/>
      <c r="AN1866" s="213"/>
      <c r="AO1866" s="213"/>
      <c r="AP1866" s="213"/>
      <c r="AQ1866" s="213"/>
      <c r="AR1866" s="213"/>
      <c r="AS1866" s="213"/>
      <c r="AT1866" s="213"/>
      <c r="AU1866" s="213"/>
      <c r="AV1866" s="213"/>
      <c r="AW1866" s="213"/>
      <c r="AX1866" s="213"/>
      <c r="AY1866" s="213"/>
      <c r="AZ1866" s="213"/>
      <c r="BA1866" s="213"/>
      <c r="BB1866" s="213"/>
      <c r="BC1866" s="213"/>
      <c r="BD1866" s="213"/>
    </row>
    <row r="1867">
      <c r="A1867" s="213">
        <f>IFERROR(__xludf.DUMMYFUNCTION("""COMPUTED_VALUE"""),1665.0)</f>
        <v>1665</v>
      </c>
      <c r="B1867" s="213" t="str">
        <f>IFERROR(__xludf.DUMMYFUNCTION("""COMPUTED_VALUE"""),"GUILLERMO E. BILLINGHURST ")</f>
        <v>GUILLERMO E. BILLINGHURST </v>
      </c>
      <c r="C1867" s="213" t="str">
        <f>IFERROR(__xludf.DUMMYFUNCTION("""COMPUTED_VALUE"""),"TALLER SFT DE COMPUTACIÓN E INFORMÁTICA")</f>
        <v>TALLER SFT DE COMPUTACIÓN E INFORMÁTICA</v>
      </c>
      <c r="D1867" s="213" t="str">
        <f>IFERROR(__xludf.DUMMYFUNCTION("""COMPUTED_VALUE"""),"MOBILIARIO")</f>
        <v>MOBILIARIO</v>
      </c>
      <c r="E1867" s="213" t="str">
        <f>IFERROR(__xludf.DUMMYFUNCTION("""COMPUTED_VALUE"""),"MOB-152")</f>
        <v>MOB-152</v>
      </c>
      <c r="F1867" s="213" t="str">
        <f>IFERROR(__xludf.DUMMYFUNCTION("""COMPUTED_VALUE"""),"MOB-152")</f>
        <v>MOB-152</v>
      </c>
      <c r="G1867" s="213"/>
      <c r="H1867" s="213" t="str">
        <f>IFERROR(__xludf.DUMMYFUNCTION("""COMPUTED_VALUE"""),"MUEBLE BAJO (1000 X 600 X 900 MM.)")</f>
        <v>MUEBLE BAJO (1000 X 600 X 900 MM.)</v>
      </c>
      <c r="I1867"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7" s="213">
        <f>IFERROR(__xludf.DUMMYFUNCTION("""COMPUTED_VALUE"""),3.0)</f>
        <v>3</v>
      </c>
      <c r="K1867" s="213" t="str">
        <f>IFERROR(__xludf.DUMMYFUNCTION("""COMPUTED_VALUE"""),"90 DÍAS CALENDARIO")</f>
        <v>90 DÍAS CALENDARIO</v>
      </c>
      <c r="L1867" s="213" t="str">
        <f>IFERROR(__xludf.DUMMYFUNCTION("""COMPUTED_VALUE"""),"")</f>
        <v/>
      </c>
      <c r="M1867" s="213">
        <f>IFERROR(__xludf.DUMMYFUNCTION("""COMPUTED_VALUE"""),1.0)</f>
        <v>1</v>
      </c>
      <c r="N1867" s="213">
        <f>IFERROR(__xludf.DUMMYFUNCTION("""COMPUTED_VALUE"""),5.0)</f>
        <v>5</v>
      </c>
      <c r="O1867" s="213">
        <f>IFERROR(__xludf.DUMMYFUNCTION("""COMPUTED_VALUE"""),5.0)</f>
        <v>5</v>
      </c>
      <c r="P1867" s="213"/>
      <c r="Q1867" s="213"/>
      <c r="R1867" s="213"/>
      <c r="S1867" s="213"/>
      <c r="T1867" s="213"/>
      <c r="U1867" s="213"/>
      <c r="V1867" s="213"/>
      <c r="W1867" s="213"/>
      <c r="X1867" s="213"/>
      <c r="Y1867" s="213"/>
      <c r="Z1867" s="213"/>
      <c r="AA1867" s="213"/>
      <c r="AB1867" s="213"/>
      <c r="AC1867" s="213"/>
      <c r="AD1867" s="213"/>
      <c r="AE1867" s="213"/>
      <c r="AF1867" s="213"/>
      <c r="AG1867" s="213"/>
      <c r="AH1867" s="213"/>
      <c r="AI1867" s="213"/>
      <c r="AJ1867" s="213"/>
      <c r="AK1867" s="213"/>
      <c r="AL1867" s="213"/>
      <c r="AM1867" s="213"/>
      <c r="AN1867" s="213"/>
      <c r="AO1867" s="213"/>
      <c r="AP1867" s="213"/>
      <c r="AQ1867" s="213"/>
      <c r="AR1867" s="213"/>
      <c r="AS1867" s="213"/>
      <c r="AT1867" s="213"/>
      <c r="AU1867" s="213"/>
      <c r="AV1867" s="213"/>
      <c r="AW1867" s="213"/>
      <c r="AX1867" s="213"/>
      <c r="AY1867" s="213"/>
      <c r="AZ1867" s="213"/>
      <c r="BA1867" s="213"/>
      <c r="BB1867" s="213"/>
      <c r="BC1867" s="213"/>
      <c r="BD1867" s="213"/>
    </row>
    <row r="1868">
      <c r="A1868" s="213">
        <f>IFERROR(__xludf.DUMMYFUNCTION("""COMPUTED_VALUE"""),1763.0)</f>
        <v>1763</v>
      </c>
      <c r="B1868" s="213" t="str">
        <f>IFERROR(__xludf.DUMMYFUNCTION("""COMPUTED_VALUE"""),"GUILLERMO E. BILLINGHURST ")</f>
        <v>GUILLERMO E. BILLINGHURST </v>
      </c>
      <c r="C1868" s="213" t="str">
        <f>IFERROR(__xludf.DUMMYFUNCTION("""COMPUTED_VALUE"""),"TALLER SFT DE EBANISTERÍA")</f>
        <v>TALLER SFT DE EBANISTERÍA</v>
      </c>
      <c r="D1868" s="213" t="str">
        <f>IFERROR(__xludf.DUMMYFUNCTION("""COMPUTED_VALUE"""),"MOBILIARIO")</f>
        <v>MOBILIARIO</v>
      </c>
      <c r="E1868" s="213" t="str">
        <f>IFERROR(__xludf.DUMMYFUNCTION("""COMPUTED_VALUE"""),"MOB-152")</f>
        <v>MOB-152</v>
      </c>
      <c r="F1868" s="213" t="str">
        <f>IFERROR(__xludf.DUMMYFUNCTION("""COMPUTED_VALUE"""),"MOB-152")</f>
        <v>MOB-152</v>
      </c>
      <c r="G1868" s="213"/>
      <c r="H1868" s="213" t="str">
        <f>IFERROR(__xludf.DUMMYFUNCTION("""COMPUTED_VALUE"""),"MUEBLE BAJO (1000 X 600 X 900 MM.)")</f>
        <v>MUEBLE BAJO (1000 X 600 X 900 MM.)</v>
      </c>
      <c r="I1868"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8" s="213">
        <f>IFERROR(__xludf.DUMMYFUNCTION("""COMPUTED_VALUE"""),3.0)</f>
        <v>3</v>
      </c>
      <c r="K1868" s="213" t="str">
        <f>IFERROR(__xludf.DUMMYFUNCTION("""COMPUTED_VALUE"""),"90 DÍAS CALENDARIO")</f>
        <v>90 DÍAS CALENDARIO</v>
      </c>
      <c r="L1868" s="213" t="str">
        <f>IFERROR(__xludf.DUMMYFUNCTION("""COMPUTED_VALUE"""),"")</f>
        <v/>
      </c>
      <c r="M1868" s="213">
        <f>IFERROR(__xludf.DUMMYFUNCTION("""COMPUTED_VALUE"""),1.0)</f>
        <v>1</v>
      </c>
      <c r="N1868" s="213">
        <f>IFERROR(__xludf.DUMMYFUNCTION("""COMPUTED_VALUE"""),3.0)</f>
        <v>3</v>
      </c>
      <c r="O1868" s="213">
        <f>IFERROR(__xludf.DUMMYFUNCTION("""COMPUTED_VALUE"""),3.0)</f>
        <v>3</v>
      </c>
      <c r="P1868" s="213"/>
      <c r="Q1868" s="213"/>
      <c r="R1868" s="213"/>
      <c r="S1868" s="213"/>
      <c r="T1868" s="213"/>
      <c r="U1868" s="213"/>
      <c r="V1868" s="213"/>
      <c r="W1868" s="213"/>
      <c r="X1868" s="213"/>
      <c r="Y1868" s="213"/>
      <c r="Z1868" s="213"/>
      <c r="AA1868" s="213"/>
      <c r="AB1868" s="213"/>
      <c r="AC1868" s="213"/>
      <c r="AD1868" s="213"/>
      <c r="AE1868" s="213"/>
      <c r="AF1868" s="213"/>
      <c r="AG1868" s="213"/>
      <c r="AH1868" s="213"/>
      <c r="AI1868" s="213"/>
      <c r="AJ1868" s="213"/>
      <c r="AK1868" s="213"/>
      <c r="AL1868" s="213"/>
      <c r="AM1868" s="213"/>
      <c r="AN1868" s="213"/>
      <c r="AO1868" s="213"/>
      <c r="AP1868" s="213"/>
      <c r="AQ1868" s="213"/>
      <c r="AR1868" s="213"/>
      <c r="AS1868" s="213"/>
      <c r="AT1868" s="213"/>
      <c r="AU1868" s="213"/>
      <c r="AV1868" s="213"/>
      <c r="AW1868" s="213"/>
      <c r="AX1868" s="213"/>
      <c r="AY1868" s="213"/>
      <c r="AZ1868" s="213"/>
      <c r="BA1868" s="213"/>
      <c r="BB1868" s="213"/>
      <c r="BC1868" s="213"/>
      <c r="BD1868" s="213"/>
    </row>
    <row r="1869">
      <c r="A1869" s="213">
        <f>IFERROR(__xludf.DUMMYFUNCTION("""COMPUTED_VALUE"""),1915.0)</f>
        <v>1915</v>
      </c>
      <c r="B1869" s="213" t="str">
        <f>IFERROR(__xludf.DUMMYFUNCTION("""COMPUTED_VALUE"""),"JOSE GRANDA")</f>
        <v>JOSE GRANDA</v>
      </c>
      <c r="C1869" s="213" t="str">
        <f>IFERROR(__xludf.DUMMYFUNCTION("""COMPUTED_VALUE"""),"TALLER SFT DE COMPUTACIÓN E INFORMÁTICA")</f>
        <v>TALLER SFT DE COMPUTACIÓN E INFORMÁTICA</v>
      </c>
      <c r="D1869" s="213" t="str">
        <f>IFERROR(__xludf.DUMMYFUNCTION("""COMPUTED_VALUE"""),"MOBILIARIO")</f>
        <v>MOBILIARIO</v>
      </c>
      <c r="E1869" s="213" t="str">
        <f>IFERROR(__xludf.DUMMYFUNCTION("""COMPUTED_VALUE"""),"MOB-152")</f>
        <v>MOB-152</v>
      </c>
      <c r="F1869" s="213" t="str">
        <f>IFERROR(__xludf.DUMMYFUNCTION("""COMPUTED_VALUE"""),"MOB-152")</f>
        <v>MOB-152</v>
      </c>
      <c r="G1869" s="213"/>
      <c r="H1869" s="213" t="str">
        <f>IFERROR(__xludf.DUMMYFUNCTION("""COMPUTED_VALUE"""),"MUEBLE BAJO (1000 X 600 X 900 MM.)")</f>
        <v>MUEBLE BAJO (1000 X 600 X 900 MM.)</v>
      </c>
      <c r="I1869"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69" s="213">
        <f>IFERROR(__xludf.DUMMYFUNCTION("""COMPUTED_VALUE"""),3.0)</f>
        <v>3</v>
      </c>
      <c r="K1869" s="213" t="str">
        <f>IFERROR(__xludf.DUMMYFUNCTION("""COMPUTED_VALUE"""),"90 DÍAS CALENDARIO")</f>
        <v>90 DÍAS CALENDARIO</v>
      </c>
      <c r="L1869" s="213" t="str">
        <f>IFERROR(__xludf.DUMMYFUNCTION("""COMPUTED_VALUE"""),"")</f>
        <v/>
      </c>
      <c r="M1869" s="213">
        <f>IFERROR(__xludf.DUMMYFUNCTION("""COMPUTED_VALUE"""),1.0)</f>
        <v>1</v>
      </c>
      <c r="N1869" s="213">
        <f>IFERROR(__xludf.DUMMYFUNCTION("""COMPUTED_VALUE"""),5.0)</f>
        <v>5</v>
      </c>
      <c r="O1869" s="213">
        <f>IFERROR(__xludf.DUMMYFUNCTION("""COMPUTED_VALUE"""),5.0)</f>
        <v>5</v>
      </c>
      <c r="P1869" s="213"/>
      <c r="Q1869" s="213"/>
      <c r="R1869" s="213"/>
      <c r="S1869" s="213"/>
      <c r="T1869" s="213"/>
      <c r="U1869" s="213"/>
      <c r="V1869" s="213"/>
      <c r="W1869" s="213"/>
      <c r="X1869" s="213"/>
      <c r="Y1869" s="213"/>
      <c r="Z1869" s="213"/>
      <c r="AA1869" s="213"/>
      <c r="AB1869" s="213"/>
      <c r="AC1869" s="213"/>
      <c r="AD1869" s="213"/>
      <c r="AE1869" s="213"/>
      <c r="AF1869" s="213"/>
      <c r="AG1869" s="213"/>
      <c r="AH1869" s="213"/>
      <c r="AI1869" s="213"/>
      <c r="AJ1869" s="213"/>
      <c r="AK1869" s="213"/>
      <c r="AL1869" s="213"/>
      <c r="AM1869" s="213"/>
      <c r="AN1869" s="213"/>
      <c r="AO1869" s="213"/>
      <c r="AP1869" s="213"/>
      <c r="AQ1869" s="213"/>
      <c r="AR1869" s="213"/>
      <c r="AS1869" s="213"/>
      <c r="AT1869" s="213"/>
      <c r="AU1869" s="213"/>
      <c r="AV1869" s="213"/>
      <c r="AW1869" s="213"/>
      <c r="AX1869" s="213"/>
      <c r="AY1869" s="213"/>
      <c r="AZ1869" s="213"/>
      <c r="BA1869" s="213"/>
      <c r="BB1869" s="213"/>
      <c r="BC1869" s="213"/>
      <c r="BD1869" s="213"/>
    </row>
    <row r="1870">
      <c r="A1870" s="213">
        <f>IFERROR(__xludf.DUMMYFUNCTION("""COMPUTED_VALUE"""),2215.0)</f>
        <v>2215</v>
      </c>
      <c r="B1870" s="213" t="str">
        <f>IFERROR(__xludf.DUMMYFUNCTION("""COMPUTED_VALUE"""),"JOSE GRANDA")</f>
        <v>JOSE GRANDA</v>
      </c>
      <c r="C1870" s="213" t="str">
        <f>IFERROR(__xludf.DUMMYFUNCTION("""COMPUTED_VALUE"""),"TALLER SFT DE MECÁNICA AUTOMOTRIZ")</f>
        <v>TALLER SFT DE MECÁNICA AUTOMOTRIZ</v>
      </c>
      <c r="D1870" s="213" t="str">
        <f>IFERROR(__xludf.DUMMYFUNCTION("""COMPUTED_VALUE"""),"MOBILIARIO")</f>
        <v>MOBILIARIO</v>
      </c>
      <c r="E1870" s="213" t="str">
        <f>IFERROR(__xludf.DUMMYFUNCTION("""COMPUTED_VALUE"""),"MOB-152")</f>
        <v>MOB-152</v>
      </c>
      <c r="F1870" s="213" t="str">
        <f>IFERROR(__xludf.DUMMYFUNCTION("""COMPUTED_VALUE"""),"MOB-152")</f>
        <v>MOB-152</v>
      </c>
      <c r="G1870" s="213"/>
      <c r="H1870" s="213" t="str">
        <f>IFERROR(__xludf.DUMMYFUNCTION("""COMPUTED_VALUE"""),"MUEBLE BAJO (1000 X 600 X 900 MM.)")</f>
        <v>MUEBLE BAJO (1000 X 600 X 900 MM.)</v>
      </c>
      <c r="I1870"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70" s="213">
        <f>IFERROR(__xludf.DUMMYFUNCTION("""COMPUTED_VALUE"""),3.0)</f>
        <v>3</v>
      </c>
      <c r="K1870" s="213" t="str">
        <f>IFERROR(__xludf.DUMMYFUNCTION("""COMPUTED_VALUE"""),"90 DÍAS CALENDARIO")</f>
        <v>90 DÍAS CALENDARIO</v>
      </c>
      <c r="L1870" s="213" t="str">
        <f>IFERROR(__xludf.DUMMYFUNCTION("""COMPUTED_VALUE"""),"")</f>
        <v/>
      </c>
      <c r="M1870" s="213">
        <f>IFERROR(__xludf.DUMMYFUNCTION("""COMPUTED_VALUE"""),1.0)</f>
        <v>1</v>
      </c>
      <c r="N1870" s="213">
        <f>IFERROR(__xludf.DUMMYFUNCTION("""COMPUTED_VALUE"""),5.0)</f>
        <v>5</v>
      </c>
      <c r="O1870" s="213">
        <f>IFERROR(__xludf.DUMMYFUNCTION("""COMPUTED_VALUE"""),5.0)</f>
        <v>5</v>
      </c>
      <c r="P1870" s="213"/>
      <c r="Q1870" s="213"/>
      <c r="R1870" s="213"/>
      <c r="S1870" s="213"/>
      <c r="T1870" s="213"/>
      <c r="U1870" s="213"/>
      <c r="V1870" s="213"/>
      <c r="W1870" s="213"/>
      <c r="X1870" s="213"/>
      <c r="Y1870" s="213"/>
      <c r="Z1870" s="213"/>
      <c r="AA1870" s="213"/>
      <c r="AB1870" s="213"/>
      <c r="AC1870" s="213"/>
      <c r="AD1870" s="213"/>
      <c r="AE1870" s="213"/>
      <c r="AF1870" s="213"/>
      <c r="AG1870" s="213"/>
      <c r="AH1870" s="213"/>
      <c r="AI1870" s="213"/>
      <c r="AJ1870" s="213"/>
      <c r="AK1870" s="213"/>
      <c r="AL1870" s="213"/>
      <c r="AM1870" s="213"/>
      <c r="AN1870" s="213"/>
      <c r="AO1870" s="213"/>
      <c r="AP1870" s="213"/>
      <c r="AQ1870" s="213"/>
      <c r="AR1870" s="213"/>
      <c r="AS1870" s="213"/>
      <c r="AT1870" s="213"/>
      <c r="AU1870" s="213"/>
      <c r="AV1870" s="213"/>
      <c r="AW1870" s="213"/>
      <c r="AX1870" s="213"/>
      <c r="AY1870" s="213"/>
      <c r="AZ1870" s="213"/>
      <c r="BA1870" s="213"/>
      <c r="BB1870" s="213"/>
      <c r="BC1870" s="213"/>
      <c r="BD1870" s="213"/>
    </row>
    <row r="1871">
      <c r="A1871" s="213">
        <f>IFERROR(__xludf.DUMMYFUNCTION("""COMPUTED_VALUE"""),2354.0)</f>
        <v>2354</v>
      </c>
      <c r="B1871" s="213" t="str">
        <f>IFERROR(__xludf.DUMMYFUNCTION("""COMPUTED_VALUE"""),"MANUEL ANTONIO MESONES MURO")</f>
        <v>MANUEL ANTONIO MESONES MURO</v>
      </c>
      <c r="C1871" s="213" t="str">
        <f>IFERROR(__xludf.DUMMYFUNCTION("""COMPUTED_VALUE"""),"TALLER SFT DE INDUSTRIA DEL VESTIDO")</f>
        <v>TALLER SFT DE INDUSTRIA DEL VESTIDO</v>
      </c>
      <c r="D1871" s="213" t="str">
        <f>IFERROR(__xludf.DUMMYFUNCTION("""COMPUTED_VALUE"""),"MOBILIARIO")</f>
        <v>MOBILIARIO</v>
      </c>
      <c r="E1871" s="213" t="str">
        <f>IFERROR(__xludf.DUMMYFUNCTION("""COMPUTED_VALUE"""),"MOB-152")</f>
        <v>MOB-152</v>
      </c>
      <c r="F1871" s="213" t="str">
        <f>IFERROR(__xludf.DUMMYFUNCTION("""COMPUTED_VALUE"""),"MOB-152")</f>
        <v>MOB-152</v>
      </c>
      <c r="G1871" s="213"/>
      <c r="H1871" s="213" t="str">
        <f>IFERROR(__xludf.DUMMYFUNCTION("""COMPUTED_VALUE"""),"MUEBLE BAJO (1000 X 600 X 900 MM.)")</f>
        <v>MUEBLE BAJO (1000 X 600 X 900 MM.)</v>
      </c>
      <c r="I1871"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71" s="213">
        <f>IFERROR(__xludf.DUMMYFUNCTION("""COMPUTED_VALUE"""),3.0)</f>
        <v>3</v>
      </c>
      <c r="K1871" s="213" t="str">
        <f>IFERROR(__xludf.DUMMYFUNCTION("""COMPUTED_VALUE"""),"90 DÍAS CALENDARIO")</f>
        <v>90 DÍAS CALENDARIO</v>
      </c>
      <c r="L1871" s="213" t="str">
        <f>IFERROR(__xludf.DUMMYFUNCTION("""COMPUTED_VALUE"""),"")</f>
        <v/>
      </c>
      <c r="M1871" s="213">
        <f>IFERROR(__xludf.DUMMYFUNCTION("""COMPUTED_VALUE"""),1.0)</f>
        <v>1</v>
      </c>
      <c r="N1871" s="213">
        <f>IFERROR(__xludf.DUMMYFUNCTION("""COMPUTED_VALUE"""),1.0)</f>
        <v>1</v>
      </c>
      <c r="O1871" s="213">
        <f>IFERROR(__xludf.DUMMYFUNCTION("""COMPUTED_VALUE"""),1.0)</f>
        <v>1</v>
      </c>
      <c r="P1871" s="213"/>
      <c r="Q1871" s="213"/>
      <c r="R1871" s="213"/>
      <c r="S1871" s="213"/>
      <c r="T1871" s="213"/>
      <c r="U1871" s="213"/>
      <c r="V1871" s="213"/>
      <c r="W1871" s="213"/>
      <c r="X1871" s="213"/>
      <c r="Y1871" s="213"/>
      <c r="Z1871" s="213"/>
      <c r="AA1871" s="213"/>
      <c r="AB1871" s="213"/>
      <c r="AC1871" s="213"/>
      <c r="AD1871" s="213"/>
      <c r="AE1871" s="213"/>
      <c r="AF1871" s="213"/>
      <c r="AG1871" s="213"/>
      <c r="AH1871" s="213"/>
      <c r="AI1871" s="213"/>
      <c r="AJ1871" s="213"/>
      <c r="AK1871" s="213"/>
      <c r="AL1871" s="213"/>
      <c r="AM1871" s="213"/>
      <c r="AN1871" s="213"/>
      <c r="AO1871" s="213"/>
      <c r="AP1871" s="213"/>
      <c r="AQ1871" s="213"/>
      <c r="AR1871" s="213"/>
      <c r="AS1871" s="213"/>
      <c r="AT1871" s="213"/>
      <c r="AU1871" s="213"/>
      <c r="AV1871" s="213"/>
      <c r="AW1871" s="213"/>
      <c r="AX1871" s="213"/>
      <c r="AY1871" s="213"/>
      <c r="AZ1871" s="213"/>
      <c r="BA1871" s="213"/>
      <c r="BB1871" s="213"/>
      <c r="BC1871" s="213"/>
      <c r="BD1871" s="213"/>
    </row>
    <row r="1872">
      <c r="A1872" s="213">
        <f>IFERROR(__xludf.DUMMYFUNCTION("""COMPUTED_VALUE"""),2510.0)</f>
        <v>2510</v>
      </c>
      <c r="B1872" s="213" t="str">
        <f>IFERROR(__xludf.DUMMYFUNCTION("""COMPUTED_VALUE"""),"MANUEL ANTONIO MESONES MURO")</f>
        <v>MANUEL ANTONIO MESONES MURO</v>
      </c>
      <c r="C1872" s="213" t="str">
        <f>IFERROR(__xludf.DUMMYFUNCTION("""COMPUTED_VALUE"""),"TALLER SFT DE CONSTRUCCIONES METÁLICAS")</f>
        <v>TALLER SFT DE CONSTRUCCIONES METÁLICAS</v>
      </c>
      <c r="D1872" s="213" t="str">
        <f>IFERROR(__xludf.DUMMYFUNCTION("""COMPUTED_VALUE"""),"EQUIPOS")</f>
        <v>EQUIPOS</v>
      </c>
      <c r="E1872" s="213" t="str">
        <f>IFERROR(__xludf.DUMMYFUNCTION("""COMPUTED_VALUE"""),"ESP-304")</f>
        <v>ESP-304</v>
      </c>
      <c r="F1872" s="213" t="str">
        <f>IFERROR(__xludf.DUMMYFUNCTION("""COMPUTED_VALUE"""),"ESP-304")</f>
        <v>ESP-304</v>
      </c>
      <c r="G1872" s="213"/>
      <c r="H1872" s="213" t="str">
        <f>IFERROR(__xludf.DUMMYFUNCTION("""COMPUTED_VALUE"""),"PLEGADORA DE PLANCHA MANUAL")</f>
        <v>PLEGADORA DE PLANCHA MANUAL</v>
      </c>
      <c r="I1872" s="213"/>
      <c r="J1872" s="213">
        <f>IFERROR(__xludf.DUMMYFUNCTION("""COMPUTED_VALUE"""),3.0)</f>
        <v>3</v>
      </c>
      <c r="K1872" s="213" t="str">
        <f>IFERROR(__xludf.DUMMYFUNCTION("""COMPUTED_VALUE"""),"170 DÍAS CALENDARIO")</f>
        <v>170 DÍAS CALENDARIO</v>
      </c>
      <c r="L1872" s="213" t="str">
        <f>IFERROR(__xludf.DUMMYFUNCTION("""COMPUTED_VALUE"""),"")</f>
        <v/>
      </c>
      <c r="M1872" s="213">
        <f>IFERROR(__xludf.DUMMYFUNCTION("""COMPUTED_VALUE"""),1.0)</f>
        <v>1</v>
      </c>
      <c r="N1872" s="213">
        <f>IFERROR(__xludf.DUMMYFUNCTION("""COMPUTED_VALUE"""),1.0)</f>
        <v>1</v>
      </c>
      <c r="O1872" s="213">
        <f>IFERROR(__xludf.DUMMYFUNCTION("""COMPUTED_VALUE"""),1.0)</f>
        <v>1</v>
      </c>
      <c r="P1872" s="213"/>
      <c r="Q1872" s="213"/>
      <c r="R1872" s="213"/>
      <c r="S1872" s="213" t="str">
        <f>IFERROR(__xludf.DUMMYFUNCTION("""COMPUTED_VALUE"""),"SI")</f>
        <v>SI</v>
      </c>
      <c r="T1872" s="213" t="str">
        <f>IFERROR(__xludf.DUMMYFUNCTION("""COMPUTED_VALUE"""),"CONSULTA FINAL")</f>
        <v>CONSULTA FINAL</v>
      </c>
      <c r="U1872" s="213" t="str">
        <f>IFERROR(__xludf.DUMMYFUNCTION("""COMPUTED_VALUE"""),"NO")</f>
        <v>NO</v>
      </c>
      <c r="V1872" s="213" t="str">
        <f>IFERROR(__xludf.DUMMYFUNCTION("""COMPUTED_VALUE"""),"SUSTENTO")</f>
        <v>SUSTENTO</v>
      </c>
      <c r="W1872" s="213" t="str">
        <f>IFERROR(__xludf.DUMMYFUNCTION("""COMPUTED_VALUE"""),"DIMENSIONAL, EQU TEC")</f>
        <v>DIMENSIONAL, EQU TEC</v>
      </c>
      <c r="X1872" s="213" t="str">
        <f>IFERROR(__xludf.DUMMYFUNCTION("""COMPUTED_VALUE"""),"TTMC")</f>
        <v>TTMC</v>
      </c>
      <c r="Y1872" s="213" t="str">
        <f>IFERROR(__xludf.DUMMYFUNCTION("""COMPUTED_VALUE"""),"SKY 371008 (3-IN-1/1320X1,5)")</f>
        <v>SKY 371008 (3-IN-1/1320X1,5)</v>
      </c>
      <c r="Z1872" s="215" t="str">
        <f>IFERROR(__xludf.DUMMYFUNCTION("""COMPUTED_VALUE"""),"https://www.alibaba.com/product-detail/3-IN-1-1320X1-5-TTMC_1024519964.html")</f>
        <v>https://www.alibaba.com/product-detail/3-IN-1-1320X1-5-TTMC_1024519964.html</v>
      </c>
      <c r="AA1872" s="213" t="str">
        <f>IFERROR(__xludf.DUMMYFUNCTION("""COMPUTED_VALUE"""),"ESP-304 PLEGADORA DE PLANCHA MANUAL- CET")</f>
        <v>ESP-304 PLEGADORA DE PLANCHA MANUAL- CET</v>
      </c>
      <c r="AB1872" s="213"/>
      <c r="AC1872" s="213"/>
      <c r="AD1872" s="213"/>
      <c r="AE1872" s="213"/>
      <c r="AF1872" s="213"/>
      <c r="AG1872" s="213"/>
      <c r="AH1872" s="213"/>
      <c r="AI1872" s="213"/>
      <c r="AJ1872" s="213"/>
      <c r="AK1872" s="213"/>
      <c r="AL1872" s="213"/>
      <c r="AM1872" s="213"/>
      <c r="AN1872" s="213"/>
      <c r="AO1872" s="213"/>
      <c r="AP1872" s="213" t="str">
        <f>IFERROR(__xludf.DUMMYFUNCTION("""COMPUTED_VALUE"""),"NALDI")</f>
        <v>NALDI</v>
      </c>
      <c r="AQ1872" s="213"/>
      <c r="AR1872" s="213"/>
      <c r="AS1872" s="213"/>
      <c r="AT1872" s="213"/>
      <c r="AU1872" s="213"/>
      <c r="AV1872" s="213"/>
      <c r="AW1872" s="213"/>
      <c r="AX1872" s="213"/>
      <c r="AY1872" s="213"/>
      <c r="AZ1872" s="213"/>
      <c r="BA1872" s="213"/>
      <c r="BB1872" s="213"/>
      <c r="BC1872" s="213"/>
      <c r="BD1872" s="213"/>
    </row>
    <row r="1873">
      <c r="A1873" s="213">
        <f>IFERROR(__xludf.DUMMYFUNCTION("""COMPUTED_VALUE"""),2487.0)</f>
        <v>2487</v>
      </c>
      <c r="B1873" s="213" t="str">
        <f>IFERROR(__xludf.DUMMYFUNCTION("""COMPUTED_VALUE"""),"MANUEL ANTONIO MESONES MURO")</f>
        <v>MANUEL ANTONIO MESONES MURO</v>
      </c>
      <c r="C1873" s="213" t="str">
        <f>IFERROR(__xludf.DUMMYFUNCTION("""COMPUTED_VALUE"""),"TALLER SFT DE CONSTRUCCIONES METÁLICAS")</f>
        <v>TALLER SFT DE CONSTRUCCIONES METÁLICAS</v>
      </c>
      <c r="D1873" s="213" t="str">
        <f>IFERROR(__xludf.DUMMYFUNCTION("""COMPUTED_VALUE"""),"HERRAMIENTAS")</f>
        <v>HERRAMIENTAS</v>
      </c>
      <c r="E1873" s="213" t="str">
        <f>IFERROR(__xludf.DUMMYFUNCTION("""COMPUTED_VALUE"""),"COM-272")</f>
        <v>COM-272</v>
      </c>
      <c r="F1873" s="213" t="str">
        <f>IFERROR(__xludf.DUMMYFUNCTION("""COMPUTED_VALUE"""),"COM-272")</f>
        <v>COM-272</v>
      </c>
      <c r="G1873" s="213"/>
      <c r="H1873" s="213" t="str">
        <f>IFERROR(__xludf.DUMMYFUNCTION("""COMPUTED_VALUE"""),"RAYADOR MECÁNICO")</f>
        <v>RAYADOR MECÁNICO</v>
      </c>
      <c r="I1873" s="213" t="str">
        <f>IFERROR(__xludf.DUMMYFUNCTION("""COMPUTED_VALUE"""),"Rayador de ingenieros, tiene un extremo recto y uno en forma de gancho
-       Fabricación de acero templado y de carbono de tungsteno")</f>
        <v>Rayador de ingenieros, tiene un extremo recto y uno en forma de gancho
-       Fabricación de acero templado y de carbono de tungsteno</v>
      </c>
      <c r="J1873" s="213">
        <f>IFERROR(__xludf.DUMMYFUNCTION("""COMPUTED_VALUE"""),3.0)</f>
        <v>3</v>
      </c>
      <c r="K1873" s="213" t="str">
        <f>IFERROR(__xludf.DUMMYFUNCTION("""COMPUTED_VALUE"""),"90 DÍAS CALENDARIO")</f>
        <v>90 DÍAS CALENDARIO</v>
      </c>
      <c r="L1873" s="213" t="str">
        <f>IFERROR(__xludf.DUMMYFUNCTION("""COMPUTED_VALUE"""),"")</f>
        <v/>
      </c>
      <c r="M1873" s="213">
        <f>IFERROR(__xludf.DUMMYFUNCTION("""COMPUTED_VALUE"""),1.0)</f>
        <v>1</v>
      </c>
      <c r="N1873" s="213">
        <f>IFERROR(__xludf.DUMMYFUNCTION("""COMPUTED_VALUE"""),10.0)</f>
        <v>10</v>
      </c>
      <c r="O1873" s="213">
        <f>IFERROR(__xludf.DUMMYFUNCTION("""COMPUTED_VALUE"""),10.0)</f>
        <v>10</v>
      </c>
      <c r="P1873" s="213"/>
      <c r="Q1873" s="213"/>
      <c r="R1873" s="213" t="str">
        <f>IFERROR(__xludf.DUMMYFUNCTION("""COMPUTED_VALUE"""),"SI")</f>
        <v>SI</v>
      </c>
      <c r="S1873" s="213"/>
      <c r="T1873" s="213" t="str">
        <f>IFERROR(__xludf.DUMMYFUNCTION("""COMPUTED_VALUE"""),"SI")</f>
        <v>SI</v>
      </c>
      <c r="U1873" s="213" t="str">
        <f>IFERROR(__xludf.DUMMYFUNCTION("""COMPUTED_VALUE"""),"SI")</f>
        <v>SI</v>
      </c>
      <c r="V1873" s="213" t="str">
        <f>IFERROR(__xludf.DUMMYFUNCTION("""COMPUTED_VALUE"""),"-")</f>
        <v>-</v>
      </c>
      <c r="W1873" s="213" t="str">
        <f>IFERROR(__xludf.DUMMYFUNCTION("""COMPUTED_VALUE"""),"-")</f>
        <v>-</v>
      </c>
      <c r="X1873" s="213" t="str">
        <f>IFERROR(__xludf.DUMMYFUNCTION("""COMPUTED_VALUE"""),"BAHCO")</f>
        <v>BAHCO</v>
      </c>
      <c r="Y1873" s="213" t="str">
        <f>IFERROR(__xludf.DUMMYFUNCTION("""COMPUTED_VALUE"""),"1177-SCRIBE")</f>
        <v>1177-SCRIBE</v>
      </c>
      <c r="Z1873" s="215" t="str">
        <f>IFERROR(__xludf.DUMMYFUNCTION("""COMPUTED_VALUE"""),"https://drive.google.com/file/d/11pyfRpMGScfRUmdbaFWt-kZGdJU-Nhvv/view")</f>
        <v>https://drive.google.com/file/d/11pyfRpMGScfRUmdbaFWt-kZGdJU-Nhvv/view</v>
      </c>
      <c r="AA1873" s="213" t="str">
        <f>IFERROR(__xludf.DUMMYFUNCTION("""COMPUTED_VALUE"""),"COM-272 RAYADOR MECANICO - CET")</f>
        <v>COM-272 RAYADOR MECANICO - CET</v>
      </c>
      <c r="AB1873" s="213"/>
      <c r="AC1873" s="213"/>
      <c r="AD1873" s="213"/>
      <c r="AE1873" s="213"/>
      <c r="AF1873" s="213"/>
      <c r="AG1873" s="213"/>
      <c r="AH1873" s="213"/>
      <c r="AI1873" s="213"/>
      <c r="AJ1873" s="213"/>
      <c r="AK1873" s="213"/>
      <c r="AL1873" s="213"/>
      <c r="AM1873" s="213"/>
      <c r="AN1873" s="213"/>
      <c r="AO1873" s="213"/>
      <c r="AP1873" s="213" t="str">
        <f>IFERROR(__xludf.DUMMYFUNCTION("""COMPUTED_VALUE"""),"LUIS")</f>
        <v>LUIS</v>
      </c>
      <c r="AQ1873" s="213"/>
      <c r="AR1873" s="213"/>
      <c r="AS1873" s="213"/>
      <c r="AT1873" s="213"/>
      <c r="AU1873" s="213"/>
      <c r="AV1873" s="213"/>
      <c r="AW1873" s="213"/>
      <c r="AX1873" s="213"/>
      <c r="AY1873" s="213"/>
      <c r="AZ1873" s="213"/>
      <c r="BA1873" s="213"/>
      <c r="BB1873" s="213"/>
      <c r="BC1873" s="213"/>
      <c r="BD1873" s="213"/>
    </row>
    <row r="1874">
      <c r="A1874" s="213">
        <f>IFERROR(__xludf.DUMMYFUNCTION("""COMPUTED_VALUE"""),2548.0)</f>
        <v>2548</v>
      </c>
      <c r="B1874" s="213" t="str">
        <f>IFERROR(__xludf.DUMMYFUNCTION("""COMPUTED_VALUE"""),"MANUEL ANTONIO MESONES MURO")</f>
        <v>MANUEL ANTONIO MESONES MURO</v>
      </c>
      <c r="C1874" s="213" t="str">
        <f>IFERROR(__xludf.DUMMYFUNCTION("""COMPUTED_VALUE"""),"TALLER SFT DE EBANISTERÍA")</f>
        <v>TALLER SFT DE EBANISTERÍA</v>
      </c>
      <c r="D1874" s="213" t="str">
        <f>IFERROR(__xludf.DUMMYFUNCTION("""COMPUTED_VALUE"""),"MOBILIARIO")</f>
        <v>MOBILIARIO</v>
      </c>
      <c r="E1874" s="213" t="str">
        <f>IFERROR(__xludf.DUMMYFUNCTION("""COMPUTED_VALUE"""),"MOB-152")</f>
        <v>MOB-152</v>
      </c>
      <c r="F1874" s="213" t="str">
        <f>IFERROR(__xludf.DUMMYFUNCTION("""COMPUTED_VALUE"""),"MOB-152")</f>
        <v>MOB-152</v>
      </c>
      <c r="G1874" s="213"/>
      <c r="H1874" s="213" t="str">
        <f>IFERROR(__xludf.DUMMYFUNCTION("""COMPUTED_VALUE"""),"MUEBLE BAJO (1000 X 600 X 900 MM.)")</f>
        <v>MUEBLE BAJO (1000 X 600 X 900 MM.)</v>
      </c>
      <c r="I1874"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L 1000 mm x An 600 mm x Al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L 1000 mm x An 600 mm x Al 900 mm.</v>
      </c>
      <c r="J1874" s="213">
        <f>IFERROR(__xludf.DUMMYFUNCTION("""COMPUTED_VALUE"""),3.0)</f>
        <v>3</v>
      </c>
      <c r="K1874" s="213" t="str">
        <f>IFERROR(__xludf.DUMMYFUNCTION("""COMPUTED_VALUE"""),"90 DÍAS CALENDARIO")</f>
        <v>90 DÍAS CALENDARIO</v>
      </c>
      <c r="L1874" s="213" t="str">
        <f>IFERROR(__xludf.DUMMYFUNCTION("""COMPUTED_VALUE"""),"")</f>
        <v/>
      </c>
      <c r="M1874" s="213">
        <f>IFERROR(__xludf.DUMMYFUNCTION("""COMPUTED_VALUE"""),1.0)</f>
        <v>1</v>
      </c>
      <c r="N1874" s="213">
        <f>IFERROR(__xludf.DUMMYFUNCTION("""COMPUTED_VALUE"""),5.0)</f>
        <v>5</v>
      </c>
      <c r="O1874" s="213">
        <f>IFERROR(__xludf.DUMMYFUNCTION("""COMPUTED_VALUE"""),5.0)</f>
        <v>5</v>
      </c>
      <c r="P1874" s="213"/>
      <c r="Q1874" s="213"/>
      <c r="R1874" s="213"/>
      <c r="S1874" s="213"/>
      <c r="T1874" s="213"/>
      <c r="U1874" s="213"/>
      <c r="V1874" s="213"/>
      <c r="W1874" s="213"/>
      <c r="X1874" s="213"/>
      <c r="Y1874" s="213"/>
      <c r="Z1874" s="213"/>
      <c r="AA1874" s="213"/>
      <c r="AB1874" s="213"/>
      <c r="AC1874" s="213"/>
      <c r="AD1874" s="213"/>
      <c r="AE1874" s="213"/>
      <c r="AF1874" s="213"/>
      <c r="AG1874" s="213"/>
      <c r="AH1874" s="213"/>
      <c r="AI1874" s="213"/>
      <c r="AJ1874" s="213"/>
      <c r="AK1874" s="213"/>
      <c r="AL1874" s="213"/>
      <c r="AM1874" s="213"/>
      <c r="AN1874" s="213"/>
      <c r="AO1874" s="213"/>
      <c r="AP1874" s="213"/>
      <c r="AQ1874" s="213"/>
      <c r="AR1874" s="213"/>
      <c r="AS1874" s="213"/>
      <c r="AT1874" s="213"/>
      <c r="AU1874" s="213"/>
      <c r="AV1874" s="213"/>
      <c r="AW1874" s="213"/>
      <c r="AX1874" s="213"/>
      <c r="AY1874" s="213"/>
      <c r="AZ1874" s="213"/>
      <c r="BA1874" s="213"/>
      <c r="BB1874" s="213"/>
      <c r="BC1874" s="213"/>
      <c r="BD1874" s="213"/>
    </row>
    <row r="1875">
      <c r="A1875" s="213">
        <f>IFERROR(__xludf.DUMMYFUNCTION("""COMPUTED_VALUE"""),425.0)</f>
        <v>425</v>
      </c>
      <c r="B1875" s="213" t="str">
        <f>IFERROR(__xludf.DUMMYFUNCTION("""COMPUTED_VALUE"""),"2026 SIMON BOLIVAR")</f>
        <v>2026 SIMON BOLIVAR</v>
      </c>
      <c r="C1875" s="213" t="str">
        <f>IFERROR(__xludf.DUMMYFUNCTION("""COMPUTED_VALUE"""),"TALLER SFT DE INDUSTRIA ALIMENTARIA")</f>
        <v>TALLER SFT DE INDUSTRIA ALIMENTARIA</v>
      </c>
      <c r="D1875" s="213" t="str">
        <f>IFERROR(__xludf.DUMMYFUNCTION("""COMPUTED_VALUE"""),"MOBILIARIO")</f>
        <v>MOBILIARIO</v>
      </c>
      <c r="E1875" s="213" t="str">
        <f>IFERROR(__xludf.DUMMYFUNCTION("""COMPUTED_VALUE"""),"MOB-143")</f>
        <v>MOB-143</v>
      </c>
      <c r="F1875" s="213" t="str">
        <f>IFERROR(__xludf.DUMMYFUNCTION("""COMPUTED_VALUE"""),"MOB-143")</f>
        <v>MOB-143</v>
      </c>
      <c r="G1875" s="213"/>
      <c r="H1875" s="213" t="str">
        <f>IFERROR(__xludf.DUMMYFUNCTION("""COMPUTED_VALUE"""),"MUEBLE BAJO (900 X 600 X 900 MM.)")</f>
        <v>MUEBLE BAJO (900 X 600 X 900 MM.)</v>
      </c>
      <c r="I1875"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900 x 600 x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900 x 600 x 900 mm.</v>
      </c>
      <c r="J1875" s="213">
        <f>IFERROR(__xludf.DUMMYFUNCTION("""COMPUTED_VALUE"""),3.0)</f>
        <v>3</v>
      </c>
      <c r="K1875" s="213" t="str">
        <f>IFERROR(__xludf.DUMMYFUNCTION("""COMPUTED_VALUE"""),"90 DÍAS CALENDARIO")</f>
        <v>90 DÍAS CALENDARIO</v>
      </c>
      <c r="L1875" s="213" t="str">
        <f>IFERROR(__xludf.DUMMYFUNCTION("""COMPUTED_VALUE"""),"")</f>
        <v/>
      </c>
      <c r="M1875" s="213">
        <f>IFERROR(__xludf.DUMMYFUNCTION("""COMPUTED_VALUE"""),1.0)</f>
        <v>1</v>
      </c>
      <c r="N1875" s="213">
        <f>IFERROR(__xludf.DUMMYFUNCTION("""COMPUTED_VALUE"""),1.0)</f>
        <v>1</v>
      </c>
      <c r="O1875" s="213">
        <f>IFERROR(__xludf.DUMMYFUNCTION("""COMPUTED_VALUE"""),1.0)</f>
        <v>1</v>
      </c>
      <c r="P1875" s="213"/>
      <c r="Q1875" s="213"/>
      <c r="R1875" s="213"/>
      <c r="S1875" s="213"/>
      <c r="T1875" s="213"/>
      <c r="U1875" s="213"/>
      <c r="V1875" s="213"/>
      <c r="W1875" s="213"/>
      <c r="X1875" s="213"/>
      <c r="Y1875" s="213"/>
      <c r="Z1875" s="213"/>
      <c r="AA1875" s="213"/>
      <c r="AB1875" s="213"/>
      <c r="AC1875" s="213"/>
      <c r="AD1875" s="213"/>
      <c r="AE1875" s="213"/>
      <c r="AF1875" s="213"/>
      <c r="AG1875" s="213"/>
      <c r="AH1875" s="213"/>
      <c r="AI1875" s="213"/>
      <c r="AJ1875" s="213"/>
      <c r="AK1875" s="213"/>
      <c r="AL1875" s="213"/>
      <c r="AM1875" s="213"/>
      <c r="AN1875" s="213"/>
      <c r="AO1875" s="213"/>
      <c r="AP1875" s="213"/>
      <c r="AQ1875" s="213"/>
      <c r="AR1875" s="213"/>
      <c r="AS1875" s="213" t="str">
        <f>IFERROR(__xludf.DUMMYFUNCTION("""COMPUTED_VALUE"""),"")</f>
        <v/>
      </c>
      <c r="AT1875" s="217" t="str">
        <f>IFERROR(__xludf.DUMMYFUNCTION("""COMPUTED_VALUE"""),"")</f>
        <v/>
      </c>
      <c r="AU1875" s="213"/>
      <c r="AV1875" s="213"/>
      <c r="AW1875" s="213"/>
      <c r="AX1875" s="213"/>
      <c r="AY1875" s="213"/>
      <c r="AZ1875" s="213"/>
      <c r="BA1875" s="213"/>
      <c r="BB1875" s="213"/>
      <c r="BC1875" s="213"/>
      <c r="BD1875" s="213"/>
    </row>
    <row r="1876">
      <c r="A1876" s="213">
        <f>IFERROR(__xludf.DUMMYFUNCTION("""COMPUTED_VALUE"""),1333.0)</f>
        <v>1333</v>
      </c>
      <c r="B1876" s="213" t="str">
        <f>IFERROR(__xludf.DUMMYFUNCTION("""COMPUTED_VALUE"""),"GUILLERMO E. BILLINGHURST ")</f>
        <v>GUILLERMO E. BILLINGHURST </v>
      </c>
      <c r="C1876" s="213" t="str">
        <f>IFERROR(__xludf.DUMMYFUNCTION("""COMPUTED_VALUE"""),"TALLER SFT DE INDUSTRIA ALIMENTARIA")</f>
        <v>TALLER SFT DE INDUSTRIA ALIMENTARIA</v>
      </c>
      <c r="D1876" s="213" t="str">
        <f>IFERROR(__xludf.DUMMYFUNCTION("""COMPUTED_VALUE"""),"MOBILIARIO")</f>
        <v>MOBILIARIO</v>
      </c>
      <c r="E1876" s="213" t="str">
        <f>IFERROR(__xludf.DUMMYFUNCTION("""COMPUTED_VALUE"""),"MOB-153")</f>
        <v>MOB-153</v>
      </c>
      <c r="F1876" s="213" t="str">
        <f>IFERROR(__xludf.DUMMYFUNCTION("""COMPUTED_VALUE"""),"MOB-153")</f>
        <v>MOB-153</v>
      </c>
      <c r="G1876" s="213"/>
      <c r="H1876" s="213" t="str">
        <f>IFERROR(__xludf.DUMMYFUNCTION("""COMPUTED_VALUE"""),"MUEBLE BAJO (900 X 600 X 900 MM.)")</f>
        <v>MUEBLE BAJO (900 X 600 X 900 MM.)</v>
      </c>
      <c r="I1876" s="213"/>
      <c r="J1876" s="213">
        <f>IFERROR(__xludf.DUMMYFUNCTION("""COMPUTED_VALUE"""),3.0)</f>
        <v>3</v>
      </c>
      <c r="K1876" s="213" t="str">
        <f>IFERROR(__xludf.DUMMYFUNCTION("""COMPUTED_VALUE"""),"90 DÍAS CALENDARIO")</f>
        <v>90 DÍAS CALENDARIO</v>
      </c>
      <c r="L1876" s="213" t="str">
        <f>IFERROR(__xludf.DUMMYFUNCTION("""COMPUTED_VALUE"""),"")</f>
        <v/>
      </c>
      <c r="M1876" s="213">
        <f>IFERROR(__xludf.DUMMYFUNCTION("""COMPUTED_VALUE"""),1.0)</f>
        <v>1</v>
      </c>
      <c r="N1876" s="213">
        <f>IFERROR(__xludf.DUMMYFUNCTION("""COMPUTED_VALUE"""),0.0)</f>
        <v>0</v>
      </c>
      <c r="O1876" s="213">
        <f>IFERROR(__xludf.DUMMYFUNCTION("""COMPUTED_VALUE"""),0.0)</f>
        <v>0</v>
      </c>
      <c r="P1876" s="213"/>
      <c r="Q1876" s="213"/>
      <c r="R1876" s="213"/>
      <c r="S1876" s="213"/>
      <c r="T1876" s="213"/>
      <c r="U1876" s="213"/>
      <c r="V1876" s="213"/>
      <c r="W1876" s="213"/>
      <c r="X1876" s="213"/>
      <c r="Y1876" s="213"/>
      <c r="Z1876" s="213"/>
      <c r="AA1876" s="213"/>
      <c r="AB1876" s="213"/>
      <c r="AC1876" s="213"/>
      <c r="AD1876" s="213"/>
      <c r="AE1876" s="213"/>
      <c r="AF1876" s="213"/>
      <c r="AG1876" s="213"/>
      <c r="AH1876" s="213"/>
      <c r="AI1876" s="213"/>
      <c r="AJ1876" s="213"/>
      <c r="AK1876" s="213"/>
      <c r="AL1876" s="213"/>
      <c r="AM1876" s="213"/>
      <c r="AN1876" s="213"/>
      <c r="AO1876" s="213"/>
      <c r="AP1876" s="213"/>
      <c r="AQ1876" s="213"/>
      <c r="AR1876" s="213"/>
      <c r="AS1876" s="213">
        <f>IFERROR(__xludf.DUMMYFUNCTION("""COMPUTED_VALUE"""),0.0)</f>
        <v>0</v>
      </c>
      <c r="AT1876" s="213"/>
      <c r="AU1876" s="213"/>
      <c r="AV1876" s="213"/>
      <c r="AW1876" s="213"/>
      <c r="AX1876" s="213"/>
      <c r="AY1876" s="213"/>
      <c r="AZ1876" s="213"/>
      <c r="BA1876" s="213"/>
      <c r="BB1876" s="213"/>
      <c r="BC1876" s="213"/>
      <c r="BD1876" s="213"/>
    </row>
    <row r="1877">
      <c r="A1877" s="213">
        <f>IFERROR(__xludf.DUMMYFUNCTION("""COMPUTED_VALUE"""),2014.0)</f>
        <v>2014</v>
      </c>
      <c r="B1877" s="213" t="str">
        <f>IFERROR(__xludf.DUMMYFUNCTION("""COMPUTED_VALUE"""),"JOSE GRANDA")</f>
        <v>JOSE GRANDA</v>
      </c>
      <c r="C1877" s="213" t="str">
        <f>IFERROR(__xludf.DUMMYFUNCTION("""COMPUTED_VALUE"""),"TALLER SFT DE INDUSTRIA ALIMENTARIA")</f>
        <v>TALLER SFT DE INDUSTRIA ALIMENTARIA</v>
      </c>
      <c r="D1877" s="213" t="str">
        <f>IFERROR(__xludf.DUMMYFUNCTION("""COMPUTED_VALUE"""),"MOBILIARIO")</f>
        <v>MOBILIARIO</v>
      </c>
      <c r="E1877" s="213" t="str">
        <f>IFERROR(__xludf.DUMMYFUNCTION("""COMPUTED_VALUE"""),"MOB-143")</f>
        <v>MOB-143</v>
      </c>
      <c r="F1877" s="213" t="str">
        <f>IFERROR(__xludf.DUMMYFUNCTION("""COMPUTED_VALUE"""),"MOB-143")</f>
        <v>MOB-143</v>
      </c>
      <c r="G1877" s="213"/>
      <c r="H1877" s="213" t="str">
        <f>IFERROR(__xludf.DUMMYFUNCTION("""COMPUTED_VALUE"""),"MUEBLE BAJO (900 X 600 X 900 MM.)")</f>
        <v>MUEBLE BAJO (900 X 600 X 900 MM.)</v>
      </c>
      <c r="I1877" s="213" t="str">
        <f>IFERROR(__xludf.DUMMYFUNCTION("""COMPUTED_VALUE"""),"· Construido íntegramente con tableros aglomerados con recubrimiento de melamine tropicalizado de e=18 mm.
· Las puertas deberán contar con tiradores de acero inoxidable o materiales no oxidables, sujetados preferiblemente mediante tornillos.
· Las repisa"&amp;"s serán de melanina tropicalizado de espesor de e=18 mm y serán fijadas mediante tornillos · Todas las uniones estarán realizadas con tornillos tipo SPAX o tipo de tornillo que garantice el correcto funcionamiento del bien
· Bisagras tipo cangrejo de 110”"&amp;" – 35 mm con doble baño de níquel.
· Se colocarán 2 bisagras de tipo cangrejo como mínimo por cada hoja de puerta, con cierre retardado.
· Las uniones y borden estarán limpios de rebabas, suave al tacto.
· Dimensiones 900 x 600 x 900 mm.")</f>
        <v>· Construido íntegramente con tableros aglomerados con recubrimiento de melamine tropicalizado de e=18 mm.
· Las puertas deberán contar con tiradores de acero inoxidable o materiales no oxidables, sujetados preferiblemente mediante tornillos.
· Las repisas serán de melanina tropicalizado de espesor de e=18 mm y serán fijadas mediante tornillos · Todas las uniones estarán realizadas con tornillos tipo SPAX o tipo de tornillo que garantice el correcto funcionamiento del bien
· Bisagras tipo cangrejo de 110” – 35 mm con doble baño de níquel.
· Se colocarán 2 bisagras de tipo cangrejo como mínimo por cada hoja de puerta, con cierre retardado.
· Las uniones y borden estarán limpios de rebabas, suave al tacto.
· Dimensiones 900 x 600 x 900 mm.</v>
      </c>
      <c r="J1877" s="213">
        <f>IFERROR(__xludf.DUMMYFUNCTION("""COMPUTED_VALUE"""),3.0)</f>
        <v>3</v>
      </c>
      <c r="K1877" s="213" t="str">
        <f>IFERROR(__xludf.DUMMYFUNCTION("""COMPUTED_VALUE"""),"90 DÍAS CALENDARIO")</f>
        <v>90 DÍAS CALENDARIO</v>
      </c>
      <c r="L1877" s="213" t="str">
        <f>IFERROR(__xludf.DUMMYFUNCTION("""COMPUTED_VALUE"""),"")</f>
        <v/>
      </c>
      <c r="M1877" s="213">
        <f>IFERROR(__xludf.DUMMYFUNCTION("""COMPUTED_VALUE"""),1.0)</f>
        <v>1</v>
      </c>
      <c r="N1877" s="213">
        <f>IFERROR(__xludf.DUMMYFUNCTION("""COMPUTED_VALUE"""),1.0)</f>
        <v>1</v>
      </c>
      <c r="O1877" s="213">
        <f>IFERROR(__xludf.DUMMYFUNCTION("""COMPUTED_VALUE"""),1.0)</f>
        <v>1</v>
      </c>
      <c r="P1877" s="213"/>
      <c r="Q1877" s="213"/>
      <c r="R1877" s="213"/>
      <c r="S1877" s="213"/>
      <c r="T1877" s="213"/>
      <c r="U1877" s="213"/>
      <c r="V1877" s="213"/>
      <c r="W1877" s="213"/>
      <c r="X1877" s="213"/>
      <c r="Y1877" s="213"/>
      <c r="Z1877" s="213"/>
      <c r="AA1877" s="213"/>
      <c r="AB1877" s="213"/>
      <c r="AC1877" s="213"/>
      <c r="AD1877" s="213"/>
      <c r="AE1877" s="213"/>
      <c r="AF1877" s="213"/>
      <c r="AG1877" s="213"/>
      <c r="AH1877" s="213"/>
      <c r="AI1877" s="213"/>
      <c r="AJ1877" s="213"/>
      <c r="AK1877" s="213"/>
      <c r="AL1877" s="213"/>
      <c r="AM1877" s="213"/>
      <c r="AN1877" s="213"/>
      <c r="AO1877" s="213"/>
      <c r="AP1877" s="213"/>
      <c r="AQ1877" s="213"/>
      <c r="AR1877" s="213"/>
      <c r="AS1877" s="213" t="str">
        <f>IFERROR(__xludf.DUMMYFUNCTION("""COMPUTED_VALUE"""),"")</f>
        <v/>
      </c>
      <c r="AT1877" s="217" t="str">
        <f>IFERROR(__xludf.DUMMYFUNCTION("""COMPUTED_VALUE"""),"")</f>
        <v/>
      </c>
      <c r="AU1877" s="213"/>
      <c r="AV1877" s="213"/>
      <c r="AW1877" s="213"/>
      <c r="AX1877" s="213"/>
      <c r="AY1877" s="213"/>
      <c r="AZ1877" s="213"/>
      <c r="BA1877" s="213"/>
      <c r="BB1877" s="213"/>
      <c r="BC1877" s="213"/>
      <c r="BD1877" s="213"/>
    </row>
    <row r="1878">
      <c r="A1878" s="213">
        <f>IFERROR(__xludf.DUMMYFUNCTION("""COMPUTED_VALUE"""),13.0)</f>
        <v>13</v>
      </c>
      <c r="B1878" s="213" t="str">
        <f>IFERROR(__xludf.DUMMYFUNCTION("""COMPUTED_VALUE"""),"16449 ELOY SOBERON  FLORES")</f>
        <v>16449 ELOY SOBERON  FLORES</v>
      </c>
      <c r="C1878" s="213" t="str">
        <f>IFERROR(__xludf.DUMMYFUNCTION("""COMPUTED_VALUE"""),"TALLER SFT DE COCINA Y REPOSTERÍA")</f>
        <v>TALLER SFT DE COCINA Y REPOSTERÍA</v>
      </c>
      <c r="D1878" s="213" t="str">
        <f>IFERROR(__xludf.DUMMYFUNCTION("""COMPUTED_VALUE"""),"MOBILIARIO")</f>
        <v>MOBILIARIO</v>
      </c>
      <c r="E1878" s="213" t="str">
        <f>IFERROR(__xludf.DUMMYFUNCTION("""COMPUTED_VALUE"""),"MOB-154")</f>
        <v>MOB-154</v>
      </c>
      <c r="F1878" s="213" t="str">
        <f>IFERROR(__xludf.DUMMYFUNCTION("""COMPUTED_VALUE"""),"MOB-154-X")</f>
        <v>MOB-154-X</v>
      </c>
      <c r="G1878" s="213"/>
      <c r="H1878" s="213" t="str">
        <f>IFERROR(__xludf.DUMMYFUNCTION("""COMPUTED_VALUE"""),"MUEBLE BAJO DE ACERO INOXIDABLE")</f>
        <v>MUEBLE BAJO DE ACERO INOXIDABLE</v>
      </c>
      <c r="I1878" s="213" t="str">
        <f>IFERROR(__xludf.DUMMYFUNCTION("""COMPUTED_VALUE"""),"· Mesa de acero inoxidable con encimera mural para pared de cocinas industriales y puertas correderas.
.Fondo: 60 cm.
· Altura: 90 cm.
· Largo: 95 cm
· Fabricadas en acero inoxidable AISI 304 18/10 satinado con omegas de refuerzo
· Incluyen: plafones late"&amp;"rales, trasera y estante intermedio de acero inoxidable.
· Peto Frontal de 6.5 cm en punto redondo, totalmente soldado.
· Patas cuadradas de 4 cm x 4 cm.")</f>
        <v>· Mesa de acero inoxidable con encimera mural para pared de cocinas industriales y puertas correderas.
.Fondo: 60 cm.
· Altura: 90 cm.
· Largo: 95 cm
· Fabricadas en acero inoxidable AISI 304 18/10 satinado con omegas de refuerzo
· Incluyen: plafones laterales, trasera y estante intermedio de acero inoxidable.
· Peto Frontal de 6.5 cm en punto redondo, totalmente soldado.
· Patas cuadradas de 4 cm x 4 cm.</v>
      </c>
      <c r="J1878" s="213">
        <f>IFERROR(__xludf.DUMMYFUNCTION("""COMPUTED_VALUE"""),3.0)</f>
        <v>3</v>
      </c>
      <c r="K1878" s="213" t="str">
        <f>IFERROR(__xludf.DUMMYFUNCTION("""COMPUTED_VALUE"""),"90 DÍAS CALENDARIO")</f>
        <v>90 DÍAS CALENDARIO</v>
      </c>
      <c r="L1878" s="213" t="str">
        <f>IFERROR(__xludf.DUMMYFUNCTION("""COMPUTED_VALUE"""),"")</f>
        <v/>
      </c>
      <c r="M1878" s="213">
        <f>IFERROR(__xludf.DUMMYFUNCTION("""COMPUTED_VALUE"""),1.0)</f>
        <v>1</v>
      </c>
      <c r="N1878" s="213">
        <f>IFERROR(__xludf.DUMMYFUNCTION("""COMPUTED_VALUE"""),6.0)</f>
        <v>6</v>
      </c>
      <c r="O1878" s="213">
        <f>IFERROR(__xludf.DUMMYFUNCTION("""COMPUTED_VALUE"""),6.0)</f>
        <v>6</v>
      </c>
      <c r="P1878" s="213"/>
      <c r="Q1878" s="213"/>
      <c r="R1878" s="213"/>
      <c r="S1878" s="213"/>
      <c r="T1878" s="213"/>
      <c r="U1878" s="213"/>
      <c r="V1878" s="213"/>
      <c r="W1878" s="213"/>
      <c r="X1878" s="213"/>
      <c r="Y1878" s="213"/>
      <c r="Z1878" s="213"/>
      <c r="AA1878" s="213"/>
      <c r="AB1878" s="213"/>
      <c r="AC1878" s="213"/>
      <c r="AD1878" s="213"/>
      <c r="AE1878" s="213"/>
      <c r="AF1878" s="213"/>
      <c r="AG1878" s="213"/>
      <c r="AH1878" s="213"/>
      <c r="AI1878" s="213"/>
      <c r="AJ1878" s="213"/>
      <c r="AK1878" s="213"/>
      <c r="AL1878" s="213"/>
      <c r="AM1878" s="213"/>
      <c r="AN1878" s="213"/>
      <c r="AO1878" s="213"/>
      <c r="AP1878" s="213"/>
      <c r="AQ1878" s="213"/>
      <c r="AR1878" s="213"/>
      <c r="AS1878" s="213"/>
      <c r="AT1878" s="213"/>
      <c r="AU1878" s="213"/>
      <c r="AV1878" s="213"/>
      <c r="AW1878" s="213"/>
      <c r="AX1878" s="213"/>
      <c r="AY1878" s="213"/>
      <c r="AZ1878" s="213"/>
      <c r="BA1878" s="213"/>
      <c r="BB1878" s="213"/>
      <c r="BC1878" s="213"/>
      <c r="BD1878" s="213"/>
    </row>
    <row r="1879">
      <c r="A1879" s="213">
        <f>IFERROR(__xludf.DUMMYFUNCTION("""COMPUTED_VALUE"""),432.0)</f>
        <v>432</v>
      </c>
      <c r="B1879" s="213" t="str">
        <f>IFERROR(__xludf.DUMMYFUNCTION("""COMPUTED_VALUE"""),"2026 SIMON BOLIVAR")</f>
        <v>2026 SIMON BOLIVAR</v>
      </c>
      <c r="C1879" s="213" t="str">
        <f>IFERROR(__xludf.DUMMYFUNCTION("""COMPUTED_VALUE"""),"TALLER SFT DE INDUSTRIA ALIMENTARIA")</f>
        <v>TALLER SFT DE INDUSTRIA ALIMENTARIA</v>
      </c>
      <c r="D1879" s="213" t="str">
        <f>IFERROR(__xludf.DUMMYFUNCTION("""COMPUTED_VALUE"""),"MOBILIARIO")</f>
        <v>MOBILIARIO</v>
      </c>
      <c r="E1879" s="213" t="str">
        <f>IFERROR(__xludf.DUMMYFUNCTION("""COMPUTED_VALUE"""),"MOB-154")</f>
        <v>MOB-154</v>
      </c>
      <c r="F1879" s="213" t="str">
        <f>IFERROR(__xludf.DUMMYFUNCTION("""COMPUTED_VALUE"""),"MOB-154-Y")</f>
        <v>MOB-154-Y</v>
      </c>
      <c r="G1879" s="213"/>
      <c r="H1879" s="213" t="str">
        <f>IFERROR(__xludf.DUMMYFUNCTION("""COMPUTED_VALUE"""),"MUEBLE BAJO DE ACERO INOXIDABLE")</f>
        <v>MUEBLE BAJO DE ACERO INOXIDABLE</v>
      </c>
      <c r="I1879"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79" s="213">
        <f>IFERROR(__xludf.DUMMYFUNCTION("""COMPUTED_VALUE"""),3.0)</f>
        <v>3</v>
      </c>
      <c r="K1879" s="213" t="str">
        <f>IFERROR(__xludf.DUMMYFUNCTION("""COMPUTED_VALUE"""),"90 DÍAS CALENDARIO")</f>
        <v>90 DÍAS CALENDARIO</v>
      </c>
      <c r="L1879" s="213" t="str">
        <f>IFERROR(__xludf.DUMMYFUNCTION("""COMPUTED_VALUE"""),"")</f>
        <v/>
      </c>
      <c r="M1879" s="213">
        <f>IFERROR(__xludf.DUMMYFUNCTION("""COMPUTED_VALUE"""),1.0)</f>
        <v>1</v>
      </c>
      <c r="N1879" s="213">
        <f>IFERROR(__xludf.DUMMYFUNCTION("""COMPUTED_VALUE"""),5.0)</f>
        <v>5</v>
      </c>
      <c r="O1879" s="213">
        <f>IFERROR(__xludf.DUMMYFUNCTION("""COMPUTED_VALUE"""),5.0)</f>
        <v>5</v>
      </c>
      <c r="P1879" s="213"/>
      <c r="Q1879" s="213"/>
      <c r="R1879" s="213"/>
      <c r="S1879" s="213"/>
      <c r="T1879" s="213"/>
      <c r="U1879" s="213"/>
      <c r="V1879" s="213"/>
      <c r="W1879" s="213"/>
      <c r="X1879" s="213"/>
      <c r="Y1879" s="213"/>
      <c r="Z1879" s="213"/>
      <c r="AA1879" s="213"/>
      <c r="AB1879" s="213"/>
      <c r="AC1879" s="213"/>
      <c r="AD1879" s="213"/>
      <c r="AE1879" s="213"/>
      <c r="AF1879" s="213"/>
      <c r="AG1879" s="213"/>
      <c r="AH1879" s="213"/>
      <c r="AI1879" s="213"/>
      <c r="AJ1879" s="213"/>
      <c r="AK1879" s="213"/>
      <c r="AL1879" s="213"/>
      <c r="AM1879" s="213"/>
      <c r="AN1879" s="213"/>
      <c r="AO1879" s="213"/>
      <c r="AP1879" s="213"/>
      <c r="AQ1879" s="213"/>
      <c r="AR1879" s="213"/>
      <c r="AS1879" s="213"/>
      <c r="AT1879" s="213"/>
      <c r="AU1879" s="213"/>
      <c r="AV1879" s="213"/>
      <c r="AW1879" s="213"/>
      <c r="AX1879" s="213"/>
      <c r="AY1879" s="213"/>
      <c r="AZ1879" s="213"/>
      <c r="BA1879" s="213"/>
      <c r="BB1879" s="213"/>
      <c r="BC1879" s="213"/>
      <c r="BD1879" s="213"/>
    </row>
    <row r="1880">
      <c r="A1880" s="213">
        <f>IFERROR(__xludf.DUMMYFUNCTION("""COMPUTED_VALUE"""),439.0)</f>
        <v>439</v>
      </c>
      <c r="B1880" s="213" t="str">
        <f>IFERROR(__xludf.DUMMYFUNCTION("""COMPUTED_VALUE"""),"2026 SIMON BOLIVAR")</f>
        <v>2026 SIMON BOLIVAR</v>
      </c>
      <c r="C1880" s="213" t="str">
        <f>IFERROR(__xludf.DUMMYFUNCTION("""COMPUTED_VALUE"""),"TALLER SFT DE INDUSTRIA ALIMENTARIA")</f>
        <v>TALLER SFT DE INDUSTRIA ALIMENTARIA</v>
      </c>
      <c r="D1880" s="213" t="str">
        <f>IFERROR(__xludf.DUMMYFUNCTION("""COMPUTED_VALUE"""),"MOBILIARIO")</f>
        <v>MOBILIARIO</v>
      </c>
      <c r="E1880" s="213" t="str">
        <f>IFERROR(__xludf.DUMMYFUNCTION("""COMPUTED_VALUE"""),"MOB-154")</f>
        <v>MOB-154</v>
      </c>
      <c r="F1880" s="213" t="str">
        <f>IFERROR(__xludf.DUMMYFUNCTION("""COMPUTED_VALUE"""),"MOB-154-Y")</f>
        <v>MOB-154-Y</v>
      </c>
      <c r="G1880" s="213"/>
      <c r="H1880" s="213" t="str">
        <f>IFERROR(__xludf.DUMMYFUNCTION("""COMPUTED_VALUE"""),"MUEBLE BAJO DE ACERO INOXIDABLE")</f>
        <v>MUEBLE BAJO DE ACERO INOXIDABLE</v>
      </c>
      <c r="I1880"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0" s="213">
        <f>IFERROR(__xludf.DUMMYFUNCTION("""COMPUTED_VALUE"""),3.0)</f>
        <v>3</v>
      </c>
      <c r="K1880" s="213" t="str">
        <f>IFERROR(__xludf.DUMMYFUNCTION("""COMPUTED_VALUE"""),"90 DÍAS CALENDARIO")</f>
        <v>90 DÍAS CALENDARIO</v>
      </c>
      <c r="L1880" s="213" t="str">
        <f>IFERROR(__xludf.DUMMYFUNCTION("""COMPUTED_VALUE"""),"")</f>
        <v/>
      </c>
      <c r="M1880" s="213">
        <f>IFERROR(__xludf.DUMMYFUNCTION("""COMPUTED_VALUE"""),1.0)</f>
        <v>1</v>
      </c>
      <c r="N1880" s="213">
        <f>IFERROR(__xludf.DUMMYFUNCTION("""COMPUTED_VALUE"""),3.0)</f>
        <v>3</v>
      </c>
      <c r="O1880" s="213">
        <f>IFERROR(__xludf.DUMMYFUNCTION("""COMPUTED_VALUE"""),3.0)</f>
        <v>3</v>
      </c>
      <c r="P1880" s="213"/>
      <c r="Q1880" s="213"/>
      <c r="R1880" s="213"/>
      <c r="S1880" s="213"/>
      <c r="T1880" s="213"/>
      <c r="U1880" s="213"/>
      <c r="V1880" s="213"/>
      <c r="W1880" s="213"/>
      <c r="X1880" s="213"/>
      <c r="Y1880" s="213"/>
      <c r="Z1880" s="213"/>
      <c r="AA1880" s="213"/>
      <c r="AB1880" s="213"/>
      <c r="AC1880" s="213"/>
      <c r="AD1880" s="213"/>
      <c r="AE1880" s="213"/>
      <c r="AF1880" s="213"/>
      <c r="AG1880" s="213"/>
      <c r="AH1880" s="213"/>
      <c r="AI1880" s="213"/>
      <c r="AJ1880" s="213"/>
      <c r="AK1880" s="213"/>
      <c r="AL1880" s="213"/>
      <c r="AM1880" s="213"/>
      <c r="AN1880" s="213"/>
      <c r="AO1880" s="213"/>
      <c r="AP1880" s="213"/>
      <c r="AQ1880" s="213"/>
      <c r="AR1880" s="213"/>
      <c r="AS1880" s="213"/>
      <c r="AT1880" s="213"/>
      <c r="AU1880" s="213"/>
      <c r="AV1880" s="213"/>
      <c r="AW1880" s="213"/>
      <c r="AX1880" s="213"/>
      <c r="AY1880" s="213"/>
      <c r="AZ1880" s="213"/>
      <c r="BA1880" s="213"/>
      <c r="BB1880" s="213"/>
      <c r="BC1880" s="213"/>
      <c r="BD1880" s="213"/>
    </row>
    <row r="1881">
      <c r="A1881" s="213">
        <f>IFERROR(__xludf.DUMMYFUNCTION("""COMPUTED_VALUE"""),451.0)</f>
        <v>451</v>
      </c>
      <c r="B1881" s="213" t="str">
        <f>IFERROR(__xludf.DUMMYFUNCTION("""COMPUTED_VALUE"""),"2026 SIMON BOLIVAR")</f>
        <v>2026 SIMON BOLIVAR</v>
      </c>
      <c r="C1881" s="213" t="str">
        <f>IFERROR(__xludf.DUMMYFUNCTION("""COMPUTED_VALUE"""),"TALLER SFT DE INDUSTRIA ALIMENTARIA")</f>
        <v>TALLER SFT DE INDUSTRIA ALIMENTARIA</v>
      </c>
      <c r="D1881" s="213" t="str">
        <f>IFERROR(__xludf.DUMMYFUNCTION("""COMPUTED_VALUE"""),"MOBILIARIO")</f>
        <v>MOBILIARIO</v>
      </c>
      <c r="E1881" s="213" t="str">
        <f>IFERROR(__xludf.DUMMYFUNCTION("""COMPUTED_VALUE"""),"MOB-154")</f>
        <v>MOB-154</v>
      </c>
      <c r="F1881" s="213" t="str">
        <f>IFERROR(__xludf.DUMMYFUNCTION("""COMPUTED_VALUE"""),"MOB-154-Y")</f>
        <v>MOB-154-Y</v>
      </c>
      <c r="G1881" s="213"/>
      <c r="H1881" s="213" t="str">
        <f>IFERROR(__xludf.DUMMYFUNCTION("""COMPUTED_VALUE"""),"MUEBLE BAJO DE ACERO INOXIDABLE")</f>
        <v>MUEBLE BAJO DE ACERO INOXIDABLE</v>
      </c>
      <c r="I1881"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1" s="213">
        <f>IFERROR(__xludf.DUMMYFUNCTION("""COMPUTED_VALUE"""),3.0)</f>
        <v>3</v>
      </c>
      <c r="K1881" s="213" t="str">
        <f>IFERROR(__xludf.DUMMYFUNCTION("""COMPUTED_VALUE"""),"90 DÍAS CALENDARIO")</f>
        <v>90 DÍAS CALENDARIO</v>
      </c>
      <c r="L1881" s="213" t="str">
        <f>IFERROR(__xludf.DUMMYFUNCTION("""COMPUTED_VALUE"""),"")</f>
        <v/>
      </c>
      <c r="M1881" s="213">
        <f>IFERROR(__xludf.DUMMYFUNCTION("""COMPUTED_VALUE"""),1.0)</f>
        <v>1</v>
      </c>
      <c r="N1881" s="213">
        <f>IFERROR(__xludf.DUMMYFUNCTION("""COMPUTED_VALUE"""),1.0)</f>
        <v>1</v>
      </c>
      <c r="O1881" s="213">
        <f>IFERROR(__xludf.DUMMYFUNCTION("""COMPUTED_VALUE"""),1.0)</f>
        <v>1</v>
      </c>
      <c r="P1881" s="213"/>
      <c r="Q1881" s="213"/>
      <c r="R1881" s="213"/>
      <c r="S1881" s="213"/>
      <c r="T1881" s="213"/>
      <c r="U1881" s="213"/>
      <c r="V1881" s="213"/>
      <c r="W1881" s="213"/>
      <c r="X1881" s="213"/>
      <c r="Y1881" s="213"/>
      <c r="Z1881" s="213"/>
      <c r="AA1881" s="213"/>
      <c r="AB1881" s="213"/>
      <c r="AC1881" s="213"/>
      <c r="AD1881" s="213"/>
      <c r="AE1881" s="213"/>
      <c r="AF1881" s="213"/>
      <c r="AG1881" s="213"/>
      <c r="AH1881" s="213"/>
      <c r="AI1881" s="213"/>
      <c r="AJ1881" s="213"/>
      <c r="AK1881" s="213"/>
      <c r="AL1881" s="213"/>
      <c r="AM1881" s="213"/>
      <c r="AN1881" s="213"/>
      <c r="AO1881" s="213"/>
      <c r="AP1881" s="213"/>
      <c r="AQ1881" s="213"/>
      <c r="AR1881" s="213"/>
      <c r="AS1881" s="213"/>
      <c r="AT1881" s="213"/>
      <c r="AU1881" s="213"/>
      <c r="AV1881" s="213"/>
      <c r="AW1881" s="213"/>
      <c r="AX1881" s="213"/>
      <c r="AY1881" s="213"/>
      <c r="AZ1881" s="213"/>
      <c r="BA1881" s="213"/>
      <c r="BB1881" s="213"/>
      <c r="BC1881" s="213"/>
      <c r="BD1881" s="213"/>
    </row>
    <row r="1882">
      <c r="A1882" s="213">
        <f>IFERROR(__xludf.DUMMYFUNCTION("""COMPUTED_VALUE"""),1062.0)</f>
        <v>1062</v>
      </c>
      <c r="B1882" s="213" t="str">
        <f>IFERROR(__xludf.DUMMYFUNCTION("""COMPUTED_VALUE"""),"FRANCISCO IRAZOLA")</f>
        <v>FRANCISCO IRAZOLA</v>
      </c>
      <c r="C1882" s="213" t="str">
        <f>IFERROR(__xludf.DUMMYFUNCTION("""COMPUTED_VALUE"""),"TALLER SFT DE INDUSTRIA ALIMENTARIA")</f>
        <v>TALLER SFT DE INDUSTRIA ALIMENTARIA</v>
      </c>
      <c r="D1882" s="213" t="str">
        <f>IFERROR(__xludf.DUMMYFUNCTION("""COMPUTED_VALUE"""),"MOBILIARIO")</f>
        <v>MOBILIARIO</v>
      </c>
      <c r="E1882" s="213" t="str">
        <f>IFERROR(__xludf.DUMMYFUNCTION("""COMPUTED_VALUE"""),"MOB-154")</f>
        <v>MOB-154</v>
      </c>
      <c r="F1882" s="213" t="str">
        <f>IFERROR(__xludf.DUMMYFUNCTION("""COMPUTED_VALUE"""),"MOB-154-Y")</f>
        <v>MOB-154-Y</v>
      </c>
      <c r="G1882" s="213"/>
      <c r="H1882" s="213" t="str">
        <f>IFERROR(__xludf.DUMMYFUNCTION("""COMPUTED_VALUE"""),"MUEBLE BAJO DE ACERO INOXIDABLE")</f>
        <v>MUEBLE BAJO DE ACERO INOXIDABLE</v>
      </c>
      <c r="I1882"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2" s="213">
        <f>IFERROR(__xludf.DUMMYFUNCTION("""COMPUTED_VALUE"""),3.0)</f>
        <v>3</v>
      </c>
      <c r="K1882" s="213" t="str">
        <f>IFERROR(__xludf.DUMMYFUNCTION("""COMPUTED_VALUE"""),"90 DÍAS CALENDARIO")</f>
        <v>90 DÍAS CALENDARIO</v>
      </c>
      <c r="L1882" s="213" t="str">
        <f>IFERROR(__xludf.DUMMYFUNCTION("""COMPUTED_VALUE"""),"")</f>
        <v/>
      </c>
      <c r="M1882" s="213">
        <f>IFERROR(__xludf.DUMMYFUNCTION("""COMPUTED_VALUE"""),1.0)</f>
        <v>1</v>
      </c>
      <c r="N1882" s="213">
        <f>IFERROR(__xludf.DUMMYFUNCTION("""COMPUTED_VALUE"""),1.0)</f>
        <v>1</v>
      </c>
      <c r="O1882" s="213">
        <f>IFERROR(__xludf.DUMMYFUNCTION("""COMPUTED_VALUE"""),1.0)</f>
        <v>1</v>
      </c>
      <c r="P1882" s="213"/>
      <c r="Q1882" s="213"/>
      <c r="R1882" s="213"/>
      <c r="S1882" s="213"/>
      <c r="T1882" s="213"/>
      <c r="U1882" s="213"/>
      <c r="V1882" s="213"/>
      <c r="W1882" s="213"/>
      <c r="X1882" s="213"/>
      <c r="Y1882" s="213"/>
      <c r="Z1882" s="213"/>
      <c r="AA1882" s="213"/>
      <c r="AB1882" s="213"/>
      <c r="AC1882" s="213"/>
      <c r="AD1882" s="213"/>
      <c r="AE1882" s="213"/>
      <c r="AF1882" s="213"/>
      <c r="AG1882" s="213"/>
      <c r="AH1882" s="213"/>
      <c r="AI1882" s="213"/>
      <c r="AJ1882" s="213"/>
      <c r="AK1882" s="213"/>
      <c r="AL1882" s="213"/>
      <c r="AM1882" s="213"/>
      <c r="AN1882" s="213"/>
      <c r="AO1882" s="213"/>
      <c r="AP1882" s="213"/>
      <c r="AQ1882" s="213"/>
      <c r="AR1882" s="213"/>
      <c r="AS1882" s="213"/>
      <c r="AT1882" s="213"/>
      <c r="AU1882" s="213"/>
      <c r="AV1882" s="213"/>
      <c r="AW1882" s="213"/>
      <c r="AX1882" s="213"/>
      <c r="AY1882" s="213"/>
      <c r="AZ1882" s="213"/>
      <c r="BA1882" s="213"/>
      <c r="BB1882" s="213"/>
      <c r="BC1882" s="213"/>
      <c r="BD1882" s="213"/>
    </row>
    <row r="1883">
      <c r="A1883" s="213">
        <f>IFERROR(__xludf.DUMMYFUNCTION("""COMPUTED_VALUE"""),1069.0)</f>
        <v>1069</v>
      </c>
      <c r="B1883" s="213" t="str">
        <f>IFERROR(__xludf.DUMMYFUNCTION("""COMPUTED_VALUE"""),"FRANCISCO IRAZOLA")</f>
        <v>FRANCISCO IRAZOLA</v>
      </c>
      <c r="C1883" s="213" t="str">
        <f>IFERROR(__xludf.DUMMYFUNCTION("""COMPUTED_VALUE"""),"TALLER SFT DE INDUSTRIA ALIMENTARIA")</f>
        <v>TALLER SFT DE INDUSTRIA ALIMENTARIA</v>
      </c>
      <c r="D1883" s="213" t="str">
        <f>IFERROR(__xludf.DUMMYFUNCTION("""COMPUTED_VALUE"""),"MOBILIARIO")</f>
        <v>MOBILIARIO</v>
      </c>
      <c r="E1883" s="213" t="str">
        <f>IFERROR(__xludf.DUMMYFUNCTION("""COMPUTED_VALUE"""),"MOB-154")</f>
        <v>MOB-154</v>
      </c>
      <c r="F1883" s="213" t="str">
        <f>IFERROR(__xludf.DUMMYFUNCTION("""COMPUTED_VALUE"""),"MOB-154-Y")</f>
        <v>MOB-154-Y</v>
      </c>
      <c r="G1883" s="213"/>
      <c r="H1883" s="213" t="str">
        <f>IFERROR(__xludf.DUMMYFUNCTION("""COMPUTED_VALUE"""),"MUEBLE BAJO DE ACERO INOXIDABLE")</f>
        <v>MUEBLE BAJO DE ACERO INOXIDABLE</v>
      </c>
      <c r="I1883"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3" s="213">
        <f>IFERROR(__xludf.DUMMYFUNCTION("""COMPUTED_VALUE"""),3.0)</f>
        <v>3</v>
      </c>
      <c r="K1883" s="213" t="str">
        <f>IFERROR(__xludf.DUMMYFUNCTION("""COMPUTED_VALUE"""),"90 DÍAS CALENDARIO")</f>
        <v>90 DÍAS CALENDARIO</v>
      </c>
      <c r="L1883" s="213" t="str">
        <f>IFERROR(__xludf.DUMMYFUNCTION("""COMPUTED_VALUE"""),"")</f>
        <v/>
      </c>
      <c r="M1883" s="213">
        <f>IFERROR(__xludf.DUMMYFUNCTION("""COMPUTED_VALUE"""),1.0)</f>
        <v>1</v>
      </c>
      <c r="N1883" s="213">
        <f>IFERROR(__xludf.DUMMYFUNCTION("""COMPUTED_VALUE"""),7.0)</f>
        <v>7</v>
      </c>
      <c r="O1883" s="213">
        <f>IFERROR(__xludf.DUMMYFUNCTION("""COMPUTED_VALUE"""),7.0)</f>
        <v>7</v>
      </c>
      <c r="P1883" s="213"/>
      <c r="Q1883" s="213"/>
      <c r="R1883" s="213"/>
      <c r="S1883" s="213"/>
      <c r="T1883" s="213"/>
      <c r="U1883" s="213"/>
      <c r="V1883" s="213"/>
      <c r="W1883" s="213"/>
      <c r="X1883" s="213"/>
      <c r="Y1883" s="213"/>
      <c r="Z1883" s="213"/>
      <c r="AA1883" s="213"/>
      <c r="AB1883" s="213"/>
      <c r="AC1883" s="213"/>
      <c r="AD1883" s="213"/>
      <c r="AE1883" s="213"/>
      <c r="AF1883" s="213"/>
      <c r="AG1883" s="213"/>
      <c r="AH1883" s="213"/>
      <c r="AI1883" s="213"/>
      <c r="AJ1883" s="213"/>
      <c r="AK1883" s="213"/>
      <c r="AL1883" s="213"/>
      <c r="AM1883" s="213"/>
      <c r="AN1883" s="213"/>
      <c r="AO1883" s="213"/>
      <c r="AP1883" s="213"/>
      <c r="AQ1883" s="213"/>
      <c r="AR1883" s="213"/>
      <c r="AS1883" s="213"/>
      <c r="AT1883" s="213"/>
      <c r="AU1883" s="213"/>
      <c r="AV1883" s="213"/>
      <c r="AW1883" s="213"/>
      <c r="AX1883" s="213"/>
      <c r="AY1883" s="213"/>
      <c r="AZ1883" s="213"/>
      <c r="BA1883" s="213"/>
      <c r="BB1883" s="213"/>
      <c r="BC1883" s="213"/>
      <c r="BD1883" s="213"/>
    </row>
    <row r="1884">
      <c r="A1884" s="213">
        <f>IFERROR(__xludf.DUMMYFUNCTION("""COMPUTED_VALUE"""),1078.0)</f>
        <v>1078</v>
      </c>
      <c r="B1884" s="213" t="str">
        <f>IFERROR(__xludf.DUMMYFUNCTION("""COMPUTED_VALUE"""),"FRANCISCO IRAZOLA")</f>
        <v>FRANCISCO IRAZOLA</v>
      </c>
      <c r="C1884" s="213" t="str">
        <f>IFERROR(__xludf.DUMMYFUNCTION("""COMPUTED_VALUE"""),"TALLER SFT DE INDUSTRIA ALIMENTARIA")</f>
        <v>TALLER SFT DE INDUSTRIA ALIMENTARIA</v>
      </c>
      <c r="D1884" s="213" t="str">
        <f>IFERROR(__xludf.DUMMYFUNCTION("""COMPUTED_VALUE"""),"MOBILIARIO")</f>
        <v>MOBILIARIO</v>
      </c>
      <c r="E1884" s="213" t="str">
        <f>IFERROR(__xludf.DUMMYFUNCTION("""COMPUTED_VALUE"""),"MOB-154")</f>
        <v>MOB-154</v>
      </c>
      <c r="F1884" s="213" t="str">
        <f>IFERROR(__xludf.DUMMYFUNCTION("""COMPUTED_VALUE"""),"MOB-154-Y")</f>
        <v>MOB-154-Y</v>
      </c>
      <c r="G1884" s="213"/>
      <c r="H1884" s="213" t="str">
        <f>IFERROR(__xludf.DUMMYFUNCTION("""COMPUTED_VALUE"""),"MUEBLE BAJO DE ACERO INOXIDABLE")</f>
        <v>MUEBLE BAJO DE ACERO INOXIDABLE</v>
      </c>
      <c r="I1884"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4" s="213">
        <f>IFERROR(__xludf.DUMMYFUNCTION("""COMPUTED_VALUE"""),3.0)</f>
        <v>3</v>
      </c>
      <c r="K1884" s="213" t="str">
        <f>IFERROR(__xludf.DUMMYFUNCTION("""COMPUTED_VALUE"""),"90 DÍAS CALENDARIO")</f>
        <v>90 DÍAS CALENDARIO</v>
      </c>
      <c r="L1884" s="213" t="str">
        <f>IFERROR(__xludf.DUMMYFUNCTION("""COMPUTED_VALUE"""),"")</f>
        <v/>
      </c>
      <c r="M1884" s="213">
        <f>IFERROR(__xludf.DUMMYFUNCTION("""COMPUTED_VALUE"""),1.0)</f>
        <v>1</v>
      </c>
      <c r="N1884" s="213">
        <f>IFERROR(__xludf.DUMMYFUNCTION("""COMPUTED_VALUE"""),4.0)</f>
        <v>4</v>
      </c>
      <c r="O1884" s="213">
        <f>IFERROR(__xludf.DUMMYFUNCTION("""COMPUTED_VALUE"""),4.0)</f>
        <v>4</v>
      </c>
      <c r="P1884" s="213"/>
      <c r="Q1884" s="213"/>
      <c r="R1884" s="213"/>
      <c r="S1884" s="213"/>
      <c r="T1884" s="213"/>
      <c r="U1884" s="213"/>
      <c r="V1884" s="213"/>
      <c r="W1884" s="213"/>
      <c r="X1884" s="213"/>
      <c r="Y1884" s="213"/>
      <c r="Z1884" s="213"/>
      <c r="AA1884" s="213"/>
      <c r="AB1884" s="213"/>
      <c r="AC1884" s="213"/>
      <c r="AD1884" s="213"/>
      <c r="AE1884" s="213"/>
      <c r="AF1884" s="213"/>
      <c r="AG1884" s="213"/>
      <c r="AH1884" s="213"/>
      <c r="AI1884" s="213"/>
      <c r="AJ1884" s="213"/>
      <c r="AK1884" s="213"/>
      <c r="AL1884" s="213"/>
      <c r="AM1884" s="213"/>
      <c r="AN1884" s="213"/>
      <c r="AO1884" s="213"/>
      <c r="AP1884" s="213"/>
      <c r="AQ1884" s="213"/>
      <c r="AR1884" s="213"/>
      <c r="AS1884" s="213"/>
      <c r="AT1884" s="213"/>
      <c r="AU1884" s="213"/>
      <c r="AV1884" s="213"/>
      <c r="AW1884" s="213"/>
      <c r="AX1884" s="213"/>
      <c r="AY1884" s="213"/>
      <c r="AZ1884" s="213"/>
      <c r="BA1884" s="213"/>
      <c r="BB1884" s="213"/>
      <c r="BC1884" s="213"/>
      <c r="BD1884" s="213"/>
    </row>
    <row r="1885">
      <c r="A1885" s="213">
        <f>IFERROR(__xludf.DUMMYFUNCTION("""COMPUTED_VALUE"""),1337.0)</f>
        <v>1337</v>
      </c>
      <c r="B1885" s="213" t="str">
        <f>IFERROR(__xludf.DUMMYFUNCTION("""COMPUTED_VALUE"""),"GUILLERMO E. BILLINGHURST ")</f>
        <v>GUILLERMO E. BILLINGHURST </v>
      </c>
      <c r="C1885" s="213" t="str">
        <f>IFERROR(__xludf.DUMMYFUNCTION("""COMPUTED_VALUE"""),"TALLER SFT DE INDUSTRIA ALIMENTARIA")</f>
        <v>TALLER SFT DE INDUSTRIA ALIMENTARIA</v>
      </c>
      <c r="D1885" s="213" t="str">
        <f>IFERROR(__xludf.DUMMYFUNCTION("""COMPUTED_VALUE"""),"MOBILIARIO")</f>
        <v>MOBILIARIO</v>
      </c>
      <c r="E1885" s="213" t="str">
        <f>IFERROR(__xludf.DUMMYFUNCTION("""COMPUTED_VALUE"""),"MOB-154")</f>
        <v>MOB-154</v>
      </c>
      <c r="F1885" s="213" t="str">
        <f>IFERROR(__xludf.DUMMYFUNCTION("""COMPUTED_VALUE"""),"MOB-154-Y")</f>
        <v>MOB-154-Y</v>
      </c>
      <c r="G1885" s="213"/>
      <c r="H1885" s="213" t="str">
        <f>IFERROR(__xludf.DUMMYFUNCTION("""COMPUTED_VALUE"""),"MUEBLE BAJO DE ACERO INOXIDABLE")</f>
        <v>MUEBLE BAJO DE ACERO INOXIDABLE</v>
      </c>
      <c r="I1885"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5" s="213">
        <f>IFERROR(__xludf.DUMMYFUNCTION("""COMPUTED_VALUE"""),3.0)</f>
        <v>3</v>
      </c>
      <c r="K1885" s="213" t="str">
        <f>IFERROR(__xludf.DUMMYFUNCTION("""COMPUTED_VALUE"""),"90 DÍAS CALENDARIO")</f>
        <v>90 DÍAS CALENDARIO</v>
      </c>
      <c r="L1885" s="213" t="str">
        <f>IFERROR(__xludf.DUMMYFUNCTION("""COMPUTED_VALUE"""),"")</f>
        <v/>
      </c>
      <c r="M1885" s="213">
        <f>IFERROR(__xludf.DUMMYFUNCTION("""COMPUTED_VALUE"""),1.0)</f>
        <v>1</v>
      </c>
      <c r="N1885" s="213">
        <f>IFERROR(__xludf.DUMMYFUNCTION("""COMPUTED_VALUE"""),2.0)</f>
        <v>2</v>
      </c>
      <c r="O1885" s="213">
        <f>IFERROR(__xludf.DUMMYFUNCTION("""COMPUTED_VALUE"""),2.0)</f>
        <v>2</v>
      </c>
      <c r="P1885" s="213"/>
      <c r="Q1885" s="213"/>
      <c r="R1885" s="213"/>
      <c r="S1885" s="213"/>
      <c r="T1885" s="213"/>
      <c r="U1885" s="213"/>
      <c r="V1885" s="213"/>
      <c r="W1885" s="213"/>
      <c r="X1885" s="213"/>
      <c r="Y1885" s="213"/>
      <c r="Z1885" s="213"/>
      <c r="AA1885" s="213"/>
      <c r="AB1885" s="213"/>
      <c r="AC1885" s="213"/>
      <c r="AD1885" s="213"/>
      <c r="AE1885" s="213"/>
      <c r="AF1885" s="213"/>
      <c r="AG1885" s="213"/>
      <c r="AH1885" s="213"/>
      <c r="AI1885" s="213"/>
      <c r="AJ1885" s="213"/>
      <c r="AK1885" s="213"/>
      <c r="AL1885" s="213"/>
      <c r="AM1885" s="213"/>
      <c r="AN1885" s="213"/>
      <c r="AO1885" s="213"/>
      <c r="AP1885" s="213"/>
      <c r="AQ1885" s="213"/>
      <c r="AR1885" s="213"/>
      <c r="AS1885" s="213"/>
      <c r="AT1885" s="213"/>
      <c r="AU1885" s="213"/>
      <c r="AV1885" s="213"/>
      <c r="AW1885" s="213"/>
      <c r="AX1885" s="213"/>
      <c r="AY1885" s="213"/>
      <c r="AZ1885" s="213"/>
      <c r="BA1885" s="213"/>
      <c r="BB1885" s="213"/>
      <c r="BC1885" s="213"/>
      <c r="BD1885" s="213"/>
    </row>
    <row r="1886">
      <c r="A1886" s="213">
        <f>IFERROR(__xludf.DUMMYFUNCTION("""COMPUTED_VALUE"""),1345.0)</f>
        <v>1345</v>
      </c>
      <c r="B1886" s="213" t="str">
        <f>IFERROR(__xludf.DUMMYFUNCTION("""COMPUTED_VALUE"""),"GUILLERMO E. BILLINGHURST ")</f>
        <v>GUILLERMO E. BILLINGHURST </v>
      </c>
      <c r="C1886" s="213" t="str">
        <f>IFERROR(__xludf.DUMMYFUNCTION("""COMPUTED_VALUE"""),"TALLER SFT DE INDUSTRIA ALIMENTARIA")</f>
        <v>TALLER SFT DE INDUSTRIA ALIMENTARIA</v>
      </c>
      <c r="D1886" s="213" t="str">
        <f>IFERROR(__xludf.DUMMYFUNCTION("""COMPUTED_VALUE"""),"MOBILIARIO")</f>
        <v>MOBILIARIO</v>
      </c>
      <c r="E1886" s="213" t="str">
        <f>IFERROR(__xludf.DUMMYFUNCTION("""COMPUTED_VALUE"""),"MOB-154")</f>
        <v>MOB-154</v>
      </c>
      <c r="F1886" s="213" t="str">
        <f>IFERROR(__xludf.DUMMYFUNCTION("""COMPUTED_VALUE"""),"MOB-154-Y")</f>
        <v>MOB-154-Y</v>
      </c>
      <c r="G1886" s="213"/>
      <c r="H1886" s="213" t="str">
        <f>IFERROR(__xludf.DUMMYFUNCTION("""COMPUTED_VALUE"""),"MUEBLE BAJO DE ACERO INOXIDABLE")</f>
        <v>MUEBLE BAJO DE ACERO INOXIDABLE</v>
      </c>
      <c r="I1886"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6" s="213">
        <f>IFERROR(__xludf.DUMMYFUNCTION("""COMPUTED_VALUE"""),3.0)</f>
        <v>3</v>
      </c>
      <c r="K1886" s="213" t="str">
        <f>IFERROR(__xludf.DUMMYFUNCTION("""COMPUTED_VALUE"""),"90 DÍAS CALENDARIO")</f>
        <v>90 DÍAS CALENDARIO</v>
      </c>
      <c r="L1886" s="213" t="str">
        <f>IFERROR(__xludf.DUMMYFUNCTION("""COMPUTED_VALUE"""),"")</f>
        <v/>
      </c>
      <c r="M1886" s="213">
        <f>IFERROR(__xludf.DUMMYFUNCTION("""COMPUTED_VALUE"""),1.0)</f>
        <v>1</v>
      </c>
      <c r="N1886" s="213">
        <f>IFERROR(__xludf.DUMMYFUNCTION("""COMPUTED_VALUE"""),8.0)</f>
        <v>8</v>
      </c>
      <c r="O1886" s="213">
        <f>IFERROR(__xludf.DUMMYFUNCTION("""COMPUTED_VALUE"""),8.0)</f>
        <v>8</v>
      </c>
      <c r="P1886" s="213"/>
      <c r="Q1886" s="213"/>
      <c r="R1886" s="213"/>
      <c r="S1886" s="213"/>
      <c r="T1886" s="213"/>
      <c r="U1886" s="213"/>
      <c r="V1886" s="213"/>
      <c r="W1886" s="213"/>
      <c r="X1886" s="213"/>
      <c r="Y1886" s="213"/>
      <c r="Z1886" s="213"/>
      <c r="AA1886" s="213"/>
      <c r="AB1886" s="213"/>
      <c r="AC1886" s="213"/>
      <c r="AD1886" s="213"/>
      <c r="AE1886" s="213"/>
      <c r="AF1886" s="213"/>
      <c r="AG1886" s="213"/>
      <c r="AH1886" s="213"/>
      <c r="AI1886" s="213"/>
      <c r="AJ1886" s="213"/>
      <c r="AK1886" s="213"/>
      <c r="AL1886" s="213"/>
      <c r="AM1886" s="213"/>
      <c r="AN1886" s="213"/>
      <c r="AO1886" s="213"/>
      <c r="AP1886" s="213"/>
      <c r="AQ1886" s="213"/>
      <c r="AR1886" s="213"/>
      <c r="AS1886" s="213"/>
      <c r="AT1886" s="213"/>
      <c r="AU1886" s="213"/>
      <c r="AV1886" s="213"/>
      <c r="AW1886" s="213"/>
      <c r="AX1886" s="213"/>
      <c r="AY1886" s="213"/>
      <c r="AZ1886" s="213"/>
      <c r="BA1886" s="213"/>
      <c r="BB1886" s="213"/>
      <c r="BC1886" s="213"/>
      <c r="BD1886" s="213"/>
    </row>
    <row r="1887">
      <c r="A1887" s="213">
        <f>IFERROR(__xludf.DUMMYFUNCTION("""COMPUTED_VALUE"""),1354.0)</f>
        <v>1354</v>
      </c>
      <c r="B1887" s="213" t="str">
        <f>IFERROR(__xludf.DUMMYFUNCTION("""COMPUTED_VALUE"""),"GUILLERMO E. BILLINGHURST ")</f>
        <v>GUILLERMO E. BILLINGHURST </v>
      </c>
      <c r="C1887" s="213" t="str">
        <f>IFERROR(__xludf.DUMMYFUNCTION("""COMPUTED_VALUE"""),"TALLER SFT DE INDUSTRIA ALIMENTARIA")</f>
        <v>TALLER SFT DE INDUSTRIA ALIMENTARIA</v>
      </c>
      <c r="D1887" s="213" t="str">
        <f>IFERROR(__xludf.DUMMYFUNCTION("""COMPUTED_VALUE"""),"MOBILIARIO")</f>
        <v>MOBILIARIO</v>
      </c>
      <c r="E1887" s="213" t="str">
        <f>IFERROR(__xludf.DUMMYFUNCTION("""COMPUTED_VALUE"""),"MOB-154")</f>
        <v>MOB-154</v>
      </c>
      <c r="F1887" s="213" t="str">
        <f>IFERROR(__xludf.DUMMYFUNCTION("""COMPUTED_VALUE"""),"MOB-154-Y")</f>
        <v>MOB-154-Y</v>
      </c>
      <c r="G1887" s="213"/>
      <c r="H1887" s="213" t="str">
        <f>IFERROR(__xludf.DUMMYFUNCTION("""COMPUTED_VALUE"""),"MUEBLE BAJO DE ACERO INOXIDABLE")</f>
        <v>MUEBLE BAJO DE ACERO INOXIDABLE</v>
      </c>
      <c r="I1887"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7" s="213">
        <f>IFERROR(__xludf.DUMMYFUNCTION("""COMPUTED_VALUE"""),3.0)</f>
        <v>3</v>
      </c>
      <c r="K1887" s="213" t="str">
        <f>IFERROR(__xludf.DUMMYFUNCTION("""COMPUTED_VALUE"""),"90 DÍAS CALENDARIO")</f>
        <v>90 DÍAS CALENDARIO</v>
      </c>
      <c r="L1887" s="213" t="str">
        <f>IFERROR(__xludf.DUMMYFUNCTION("""COMPUTED_VALUE"""),"")</f>
        <v/>
      </c>
      <c r="M1887" s="213">
        <f>IFERROR(__xludf.DUMMYFUNCTION("""COMPUTED_VALUE"""),1.0)</f>
        <v>1</v>
      </c>
      <c r="N1887" s="213">
        <f>IFERROR(__xludf.DUMMYFUNCTION("""COMPUTED_VALUE"""),4.0)</f>
        <v>4</v>
      </c>
      <c r="O1887" s="213">
        <f>IFERROR(__xludf.DUMMYFUNCTION("""COMPUTED_VALUE"""),4.0)</f>
        <v>4</v>
      </c>
      <c r="P1887" s="213"/>
      <c r="Q1887" s="213"/>
      <c r="R1887" s="213"/>
      <c r="S1887" s="213"/>
      <c r="T1887" s="213"/>
      <c r="U1887" s="213"/>
      <c r="V1887" s="213"/>
      <c r="W1887" s="213"/>
      <c r="X1887" s="213"/>
      <c r="Y1887" s="213"/>
      <c r="Z1887" s="213"/>
      <c r="AA1887" s="213"/>
      <c r="AB1887" s="213"/>
      <c r="AC1887" s="213"/>
      <c r="AD1887" s="213"/>
      <c r="AE1887" s="213"/>
      <c r="AF1887" s="213"/>
      <c r="AG1887" s="213"/>
      <c r="AH1887" s="213"/>
      <c r="AI1887" s="213"/>
      <c r="AJ1887" s="213"/>
      <c r="AK1887" s="213"/>
      <c r="AL1887" s="213"/>
      <c r="AM1887" s="213"/>
      <c r="AN1887" s="213"/>
      <c r="AO1887" s="213"/>
      <c r="AP1887" s="213"/>
      <c r="AQ1887" s="213"/>
      <c r="AR1887" s="213"/>
      <c r="AS1887" s="213"/>
      <c r="AT1887" s="213"/>
      <c r="AU1887" s="213"/>
      <c r="AV1887" s="213"/>
      <c r="AW1887" s="213"/>
      <c r="AX1887" s="213"/>
      <c r="AY1887" s="213"/>
      <c r="AZ1887" s="213"/>
      <c r="BA1887" s="213"/>
      <c r="BB1887" s="213"/>
      <c r="BC1887" s="213"/>
      <c r="BD1887" s="213"/>
    </row>
    <row r="1888">
      <c r="A1888" s="213">
        <f>IFERROR(__xludf.DUMMYFUNCTION("""COMPUTED_VALUE"""),2021.0)</f>
        <v>2021</v>
      </c>
      <c r="B1888" s="213" t="str">
        <f>IFERROR(__xludf.DUMMYFUNCTION("""COMPUTED_VALUE"""),"JOSE GRANDA")</f>
        <v>JOSE GRANDA</v>
      </c>
      <c r="C1888" s="213" t="str">
        <f>IFERROR(__xludf.DUMMYFUNCTION("""COMPUTED_VALUE"""),"TALLER SFT DE INDUSTRIA ALIMENTARIA")</f>
        <v>TALLER SFT DE INDUSTRIA ALIMENTARIA</v>
      </c>
      <c r="D1888" s="213" t="str">
        <f>IFERROR(__xludf.DUMMYFUNCTION("""COMPUTED_VALUE"""),"MOBILIARIO")</f>
        <v>MOBILIARIO</v>
      </c>
      <c r="E1888" s="213" t="str">
        <f>IFERROR(__xludf.DUMMYFUNCTION("""COMPUTED_VALUE"""),"MOB-154")</f>
        <v>MOB-154</v>
      </c>
      <c r="F1888" s="213" t="str">
        <f>IFERROR(__xludf.DUMMYFUNCTION("""COMPUTED_VALUE"""),"MOB-154-Y")</f>
        <v>MOB-154-Y</v>
      </c>
      <c r="G1888" s="213"/>
      <c r="H1888" s="213" t="str">
        <f>IFERROR(__xludf.DUMMYFUNCTION("""COMPUTED_VALUE"""),"MUEBLE BAJO DE ACERO INOXIDABLE")</f>
        <v>MUEBLE BAJO DE ACERO INOXIDABLE</v>
      </c>
      <c r="I1888"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8" s="213">
        <f>IFERROR(__xludf.DUMMYFUNCTION("""COMPUTED_VALUE"""),3.0)</f>
        <v>3</v>
      </c>
      <c r="K1888" s="213" t="str">
        <f>IFERROR(__xludf.DUMMYFUNCTION("""COMPUTED_VALUE"""),"90 DÍAS CALENDARIO")</f>
        <v>90 DÍAS CALENDARIO</v>
      </c>
      <c r="L1888" s="213" t="str">
        <f>IFERROR(__xludf.DUMMYFUNCTION("""COMPUTED_VALUE"""),"")</f>
        <v/>
      </c>
      <c r="M1888" s="213">
        <f>IFERROR(__xludf.DUMMYFUNCTION("""COMPUTED_VALUE"""),1.0)</f>
        <v>1</v>
      </c>
      <c r="N1888" s="213">
        <f>IFERROR(__xludf.DUMMYFUNCTION("""COMPUTED_VALUE"""),5.0)</f>
        <v>5</v>
      </c>
      <c r="O1888" s="213">
        <f>IFERROR(__xludf.DUMMYFUNCTION("""COMPUTED_VALUE"""),5.0)</f>
        <v>5</v>
      </c>
      <c r="P1888" s="213"/>
      <c r="Q1888" s="213"/>
      <c r="R1888" s="213"/>
      <c r="S1888" s="213"/>
      <c r="T1888" s="213"/>
      <c r="U1888" s="213"/>
      <c r="V1888" s="213"/>
      <c r="W1888" s="213"/>
      <c r="X1888" s="213"/>
      <c r="Y1888" s="213"/>
      <c r="Z1888" s="213"/>
      <c r="AA1888" s="213"/>
      <c r="AB1888" s="213"/>
      <c r="AC1888" s="213"/>
      <c r="AD1888" s="213"/>
      <c r="AE1888" s="213"/>
      <c r="AF1888" s="213"/>
      <c r="AG1888" s="213"/>
      <c r="AH1888" s="213"/>
      <c r="AI1888" s="213"/>
      <c r="AJ1888" s="213"/>
      <c r="AK1888" s="213"/>
      <c r="AL1888" s="213"/>
      <c r="AM1888" s="213"/>
      <c r="AN1888" s="213"/>
      <c r="AO1888" s="213"/>
      <c r="AP1888" s="213"/>
      <c r="AQ1888" s="213"/>
      <c r="AR1888" s="213"/>
      <c r="AS1888" s="213"/>
      <c r="AT1888" s="213"/>
      <c r="AU1888" s="213"/>
      <c r="AV1888" s="213"/>
      <c r="AW1888" s="213"/>
      <c r="AX1888" s="213"/>
      <c r="AY1888" s="213"/>
      <c r="AZ1888" s="213"/>
      <c r="BA1888" s="213"/>
      <c r="BB1888" s="213"/>
      <c r="BC1888" s="213"/>
      <c r="BD1888" s="213"/>
    </row>
    <row r="1889">
      <c r="A1889" s="213">
        <f>IFERROR(__xludf.DUMMYFUNCTION("""COMPUTED_VALUE"""),2029.0)</f>
        <v>2029</v>
      </c>
      <c r="B1889" s="213" t="str">
        <f>IFERROR(__xludf.DUMMYFUNCTION("""COMPUTED_VALUE"""),"JOSE GRANDA")</f>
        <v>JOSE GRANDA</v>
      </c>
      <c r="C1889" s="213" t="str">
        <f>IFERROR(__xludf.DUMMYFUNCTION("""COMPUTED_VALUE"""),"TALLER SFT DE INDUSTRIA ALIMENTARIA")</f>
        <v>TALLER SFT DE INDUSTRIA ALIMENTARIA</v>
      </c>
      <c r="D1889" s="213" t="str">
        <f>IFERROR(__xludf.DUMMYFUNCTION("""COMPUTED_VALUE"""),"MOBILIARIO")</f>
        <v>MOBILIARIO</v>
      </c>
      <c r="E1889" s="213" t="str">
        <f>IFERROR(__xludf.DUMMYFUNCTION("""COMPUTED_VALUE"""),"MOB-154")</f>
        <v>MOB-154</v>
      </c>
      <c r="F1889" s="213" t="str">
        <f>IFERROR(__xludf.DUMMYFUNCTION("""COMPUTED_VALUE"""),"MOB-154-Y")</f>
        <v>MOB-154-Y</v>
      </c>
      <c r="G1889" s="213"/>
      <c r="H1889" s="213" t="str">
        <f>IFERROR(__xludf.DUMMYFUNCTION("""COMPUTED_VALUE"""),"MUEBLE BAJO DE ACERO INOXIDABLE")</f>
        <v>MUEBLE BAJO DE ACERO INOXIDABLE</v>
      </c>
      <c r="I1889"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89" s="213">
        <f>IFERROR(__xludf.DUMMYFUNCTION("""COMPUTED_VALUE"""),3.0)</f>
        <v>3</v>
      </c>
      <c r="K1889" s="213" t="str">
        <f>IFERROR(__xludf.DUMMYFUNCTION("""COMPUTED_VALUE"""),"90 DÍAS CALENDARIO")</f>
        <v>90 DÍAS CALENDARIO</v>
      </c>
      <c r="L1889" s="213" t="str">
        <f>IFERROR(__xludf.DUMMYFUNCTION("""COMPUTED_VALUE"""),"")</f>
        <v/>
      </c>
      <c r="M1889" s="213">
        <f>IFERROR(__xludf.DUMMYFUNCTION("""COMPUTED_VALUE"""),1.0)</f>
        <v>1</v>
      </c>
      <c r="N1889" s="213">
        <f>IFERROR(__xludf.DUMMYFUNCTION("""COMPUTED_VALUE"""),6.0)</f>
        <v>6</v>
      </c>
      <c r="O1889" s="213">
        <f>IFERROR(__xludf.DUMMYFUNCTION("""COMPUTED_VALUE"""),6.0)</f>
        <v>6</v>
      </c>
      <c r="P1889" s="213"/>
      <c r="Q1889" s="213"/>
      <c r="R1889" s="213"/>
      <c r="S1889" s="213"/>
      <c r="T1889" s="213"/>
      <c r="U1889" s="213"/>
      <c r="V1889" s="213"/>
      <c r="W1889" s="213"/>
      <c r="X1889" s="213"/>
      <c r="Y1889" s="213"/>
      <c r="Z1889" s="213"/>
      <c r="AA1889" s="213"/>
      <c r="AB1889" s="213"/>
      <c r="AC1889" s="213"/>
      <c r="AD1889" s="213"/>
      <c r="AE1889" s="213"/>
      <c r="AF1889" s="213"/>
      <c r="AG1889" s="213"/>
      <c r="AH1889" s="213"/>
      <c r="AI1889" s="213"/>
      <c r="AJ1889" s="213"/>
      <c r="AK1889" s="213"/>
      <c r="AL1889" s="213"/>
      <c r="AM1889" s="213"/>
      <c r="AN1889" s="213"/>
      <c r="AO1889" s="213"/>
      <c r="AP1889" s="213"/>
      <c r="AQ1889" s="213"/>
      <c r="AR1889" s="213"/>
      <c r="AS1889" s="213"/>
      <c r="AT1889" s="213"/>
      <c r="AU1889" s="213"/>
      <c r="AV1889" s="213"/>
      <c r="AW1889" s="213"/>
      <c r="AX1889" s="213"/>
      <c r="AY1889" s="213"/>
      <c r="AZ1889" s="213"/>
      <c r="BA1889" s="213"/>
      <c r="BB1889" s="213"/>
      <c r="BC1889" s="213"/>
      <c r="BD1889" s="213"/>
    </row>
    <row r="1890">
      <c r="A1890" s="213">
        <f>IFERROR(__xludf.DUMMYFUNCTION("""COMPUTED_VALUE"""),2038.0)</f>
        <v>2038</v>
      </c>
      <c r="B1890" s="213" t="str">
        <f>IFERROR(__xludf.DUMMYFUNCTION("""COMPUTED_VALUE"""),"JOSE GRANDA")</f>
        <v>JOSE GRANDA</v>
      </c>
      <c r="C1890" s="213" t="str">
        <f>IFERROR(__xludf.DUMMYFUNCTION("""COMPUTED_VALUE"""),"TALLER SFT DE INDUSTRIA ALIMENTARIA")</f>
        <v>TALLER SFT DE INDUSTRIA ALIMENTARIA</v>
      </c>
      <c r="D1890" s="213" t="str">
        <f>IFERROR(__xludf.DUMMYFUNCTION("""COMPUTED_VALUE"""),"MOBILIARIO")</f>
        <v>MOBILIARIO</v>
      </c>
      <c r="E1890" s="213" t="str">
        <f>IFERROR(__xludf.DUMMYFUNCTION("""COMPUTED_VALUE"""),"MOB-154")</f>
        <v>MOB-154</v>
      </c>
      <c r="F1890" s="213" t="str">
        <f>IFERROR(__xludf.DUMMYFUNCTION("""COMPUTED_VALUE"""),"MOB-154-Y")</f>
        <v>MOB-154-Y</v>
      </c>
      <c r="G1890" s="213"/>
      <c r="H1890" s="213" t="str">
        <f>IFERROR(__xludf.DUMMYFUNCTION("""COMPUTED_VALUE"""),"MUEBLE BAJO DE ACERO INOXIDABLE")</f>
        <v>MUEBLE BAJO DE ACERO INOXIDABLE</v>
      </c>
      <c r="I1890" s="213" t="str">
        <f>IFERROR(__xludf.DUMMYFUNCTION("""COMPUTED_VALUE"""),"· Mesa de acero inoxidable con encimero mural para pared de cocinas industriales y puertas correderas de fondo 60 cm.
· Altura 90 cm.
· Largo entre 90 y 120 cm.
· Fabricadas en acero inoxidable AISI 304 18/10 satinado.
Las planchas de acero deben quedar p"&amp;"erfectamente rígidas para garantizar el correcto funcionamiento del bien
· Incluyen: plafones laterales, trasera y estante intermedio de acero inoxidable.
· Peto Frontal de 6.5 cm (+/-2cm) en totalmente soldado.
· Patas de tubo cuadrado 1 1/2"" (sección m"&amp;"ínima), o de tubo de Ø 1 1/2"" (sección mínima) / Espesor de tubo de patas
1.5mm (mínimo)")</f>
        <v>· Mesa de acero inoxidable con encimero mural para pared de cocinas industriales y puertas correderas de fondo 60 cm.
· Altura 90 cm.
· Largo entre 90 y 120 cm.
· Fabricadas en acero inoxidable AISI 304 18/10 satinado.
Las planchas de acero deben quedar perfectamente rígidas para garantizar el correcto funcionamiento del bien
· Incluyen: plafones laterales, trasera y estante intermedio de acero inoxidable.
· Peto Frontal de 6.5 cm (+/-2cm) en totalmente soldado.
· Patas de tubo cuadrado 1 1/2" (sección mínima), o de tubo de Ø 1 1/2" (sección mínima) / Espesor de tubo de patas
1.5mm (mínimo)</v>
      </c>
      <c r="J1890" s="213">
        <f>IFERROR(__xludf.DUMMYFUNCTION("""COMPUTED_VALUE"""),3.0)</f>
        <v>3</v>
      </c>
      <c r="K1890" s="213" t="str">
        <f>IFERROR(__xludf.DUMMYFUNCTION("""COMPUTED_VALUE"""),"90 DÍAS CALENDARIO")</f>
        <v>90 DÍAS CALENDARIO</v>
      </c>
      <c r="L1890" s="213" t="str">
        <f>IFERROR(__xludf.DUMMYFUNCTION("""COMPUTED_VALUE"""),"")</f>
        <v/>
      </c>
      <c r="M1890" s="213">
        <f>IFERROR(__xludf.DUMMYFUNCTION("""COMPUTED_VALUE"""),1.0)</f>
        <v>1</v>
      </c>
      <c r="N1890" s="213">
        <f>IFERROR(__xludf.DUMMYFUNCTION("""COMPUTED_VALUE"""),4.0)</f>
        <v>4</v>
      </c>
      <c r="O1890" s="213">
        <f>IFERROR(__xludf.DUMMYFUNCTION("""COMPUTED_VALUE"""),4.0)</f>
        <v>4</v>
      </c>
      <c r="P1890" s="213"/>
      <c r="Q1890" s="213"/>
      <c r="R1890" s="213"/>
      <c r="S1890" s="213"/>
      <c r="T1890" s="213"/>
      <c r="U1890" s="213"/>
      <c r="V1890" s="213"/>
      <c r="W1890" s="213"/>
      <c r="X1890" s="213"/>
      <c r="Y1890" s="213"/>
      <c r="Z1890" s="213"/>
      <c r="AA1890" s="213"/>
      <c r="AB1890" s="213"/>
      <c r="AC1890" s="213"/>
      <c r="AD1890" s="213"/>
      <c r="AE1890" s="213"/>
      <c r="AF1890" s="213"/>
      <c r="AG1890" s="213"/>
      <c r="AH1890" s="213"/>
      <c r="AI1890" s="213"/>
      <c r="AJ1890" s="213"/>
      <c r="AK1890" s="213"/>
      <c r="AL1890" s="213"/>
      <c r="AM1890" s="213"/>
      <c r="AN1890" s="213"/>
      <c r="AO1890" s="213"/>
      <c r="AP1890" s="213"/>
      <c r="AQ1890" s="213"/>
      <c r="AR1890" s="213"/>
      <c r="AS1890" s="213"/>
      <c r="AT1890" s="213"/>
      <c r="AU1890" s="213"/>
      <c r="AV1890" s="213"/>
      <c r="AW1890" s="213"/>
      <c r="AX1890" s="213"/>
      <c r="AY1890" s="213"/>
      <c r="AZ1890" s="213"/>
      <c r="BA1890" s="213"/>
      <c r="BB1890" s="213"/>
      <c r="BC1890" s="213"/>
      <c r="BD1890" s="213"/>
    </row>
    <row r="1891">
      <c r="A1891" s="213">
        <f>IFERROR(__xludf.DUMMYFUNCTION("""COMPUTED_VALUE"""),155.0)</f>
        <v>155</v>
      </c>
      <c r="B1891" s="213" t="str">
        <f>IFERROR(__xludf.DUMMYFUNCTION("""COMPUTED_VALUE"""),"2026 SIMON BOLIVAR")</f>
        <v>2026 SIMON BOLIVAR</v>
      </c>
      <c r="C1891" s="213" t="str">
        <f>IFERROR(__xludf.DUMMYFUNCTION("""COMPUTED_VALUE"""),"TALLER SFT DE INDUSTRIA DEL VESTIDO")</f>
        <v>TALLER SFT DE INDUSTRIA DEL VESTIDO</v>
      </c>
      <c r="D1891" s="213" t="str">
        <f>IFERROR(__xludf.DUMMYFUNCTION("""COMPUTED_VALUE"""),"MOBILIARIO")</f>
        <v>MOBILIARIO</v>
      </c>
      <c r="E1891" s="213" t="str">
        <f>IFERROR(__xludf.DUMMYFUNCTION("""COMPUTED_VALUE"""),"MOB-155")</f>
        <v>MOB-155</v>
      </c>
      <c r="F1891" s="213" t="str">
        <f>IFERROR(__xludf.DUMMYFUNCTION("""COMPUTED_VALUE"""),"MOB-155")</f>
        <v>MOB-155</v>
      </c>
      <c r="G1891" s="213"/>
      <c r="H1891" s="213" t="str">
        <f>IFERROR(__xludf.DUMMYFUNCTION("""COMPUTED_VALUE"""),"MUEBLE PARA IMPRESORA DIGITAL TEXTIL")</f>
        <v>MUEBLE PARA IMPRESORA DIGITAL TEXTIL</v>
      </c>
      <c r="I1891" s="213" t="str">
        <f>IFERROR(__xludf.DUMMYFUNCTION("""COMPUTED_VALUE"""),"· Tablero superior e inferior de madera aglomerada bilaminado, mínimo 18 mm de espesor, canteado en PVC de 3 mm.
· Estructura metálica, mínimo de tubo cuadrado de 1½” x 1,5 mm de espesor.
· Soporte de 4 patas de tubo cuadrado de 1½” x 1,5 mm de espesor, c"&amp;"on regatones antideslizantes.
· Acabado en pintura de polvo electrostático de 60 micras mínimo.
· Dimensiones: 1600 mm x 2000 mm x 760 mm.
· La mesa no requiere ser anclada al piso.")</f>
        <v>· Tablero superior e inferior de madera aglomerada bilaminado, mínimo 18 mm de espesor, canteado en PVC de 3 mm.
· Estructura metálica, mínimo de tubo cuadrado de 1½” x 1,5 mm de espesor.
· Soporte de 4 patas de tubo cuadrado de 1½” x 1,5 mm de espesor, con regatones antideslizantes.
· Acabado en pintura de polvo electrostático de 60 micras mínimo.
· Dimensiones: 1600 mm x 2000 mm x 760 mm.
· La mesa no requiere ser anclada al piso.</v>
      </c>
      <c r="J1891" s="213">
        <f>IFERROR(__xludf.DUMMYFUNCTION("""COMPUTED_VALUE"""),3.0)</f>
        <v>3</v>
      </c>
      <c r="K1891" s="213" t="str">
        <f>IFERROR(__xludf.DUMMYFUNCTION("""COMPUTED_VALUE"""),"90 DÍAS CALENDARIO")</f>
        <v>90 DÍAS CALENDARIO</v>
      </c>
      <c r="L1891" s="213" t="str">
        <f>IFERROR(__xludf.DUMMYFUNCTION("""COMPUTED_VALUE"""),"")</f>
        <v/>
      </c>
      <c r="M1891" s="213">
        <f>IFERROR(__xludf.DUMMYFUNCTION("""COMPUTED_VALUE"""),1.0)</f>
        <v>1</v>
      </c>
      <c r="N1891" s="213">
        <f>IFERROR(__xludf.DUMMYFUNCTION("""COMPUTED_VALUE"""),1.0)</f>
        <v>1</v>
      </c>
      <c r="O1891" s="213">
        <f>IFERROR(__xludf.DUMMYFUNCTION("""COMPUTED_VALUE"""),1.0)</f>
        <v>1</v>
      </c>
      <c r="P1891" s="213"/>
      <c r="Q1891" s="213"/>
      <c r="R1891" s="213"/>
      <c r="S1891" s="213"/>
      <c r="T1891" s="213"/>
      <c r="U1891" s="213"/>
      <c r="V1891" s="213"/>
      <c r="W1891" s="213"/>
      <c r="X1891" s="213"/>
      <c r="Y1891" s="213"/>
      <c r="Z1891" s="213"/>
      <c r="AA1891" s="213"/>
      <c r="AB1891" s="213"/>
      <c r="AC1891" s="213"/>
      <c r="AD1891" s="213"/>
      <c r="AE1891" s="213"/>
      <c r="AF1891" s="213"/>
      <c r="AG1891" s="213"/>
      <c r="AH1891" s="213"/>
      <c r="AI1891" s="213"/>
      <c r="AJ1891" s="213"/>
      <c r="AK1891" s="213"/>
      <c r="AL1891" s="213"/>
      <c r="AM1891" s="213"/>
      <c r="AN1891" s="213"/>
      <c r="AO1891" s="213"/>
      <c r="AP1891" s="213"/>
      <c r="AQ1891" s="213"/>
      <c r="AR1891" s="213"/>
      <c r="AS1891" s="213" t="str">
        <f>IFERROR(__xludf.DUMMYFUNCTION("""COMPUTED_VALUE"""),"SE PUEDE HACER UN ARREGLO DE TAL MANERA QUE 4 MESAS LP 06 MTM-04 SE PUEDE LOGRAR LA MEDIDA DE 2m x 1,6m")</f>
        <v>SE PUEDE HACER UN ARREGLO DE TAL MANERA QUE 4 MESAS LP 06 MTM-04 SE PUEDE LOGRAR LA MEDIDA DE 2m x 1,6m</v>
      </c>
      <c r="AT1891" s="213"/>
      <c r="AU1891" s="213"/>
      <c r="AV1891" s="213"/>
      <c r="AW1891" s="213"/>
      <c r="AX1891" s="213"/>
      <c r="AY1891" s="213"/>
      <c r="AZ1891" s="213"/>
      <c r="BA1891" s="213"/>
      <c r="BB1891" s="213"/>
      <c r="BC1891" s="213"/>
      <c r="BD1891" s="213"/>
    </row>
    <row r="1892">
      <c r="A1892" s="213">
        <f>IFERROR(__xludf.DUMMYFUNCTION("""COMPUTED_VALUE"""),153.0)</f>
        <v>153</v>
      </c>
      <c r="B1892" s="213" t="str">
        <f>IFERROR(__xludf.DUMMYFUNCTION("""COMPUTED_VALUE"""),"2026 SIMON BOLIVAR")</f>
        <v>2026 SIMON BOLIVAR</v>
      </c>
      <c r="C1892" s="213" t="str">
        <f>IFERROR(__xludf.DUMMYFUNCTION("""COMPUTED_VALUE"""),"TALLER SFT DE INDUSTRIA DEL VESTIDO")</f>
        <v>TALLER SFT DE INDUSTRIA DEL VESTIDO</v>
      </c>
      <c r="D1892" s="213" t="str">
        <f>IFERROR(__xludf.DUMMYFUNCTION("""COMPUTED_VALUE"""),"MOBILIARIO")</f>
        <v>MOBILIARIO</v>
      </c>
      <c r="E1892" s="213" t="str">
        <f>IFERROR(__xludf.DUMMYFUNCTION("""COMPUTED_VALUE"""),"MOB-157")</f>
        <v>MOB-157</v>
      </c>
      <c r="F1892" s="213" t="str">
        <f>IFERROR(__xludf.DUMMYFUNCTION("""COMPUTED_VALUE"""),"MOB-157")</f>
        <v>MOB-157</v>
      </c>
      <c r="G1892" s="213"/>
      <c r="H1892" s="213" t="str">
        <f>IFERROR(__xludf.DUMMYFUNCTION("""COMPUTED_VALUE"""),"MUEBLE PARA MÁQUINA BORDADORA")</f>
        <v>MUEBLE PARA MÁQUINA BORDADORA</v>
      </c>
      <c r="I1892" s="213" t="str">
        <f>IFERROR(__xludf.DUMMYFUNCTION("""COMPUTED_VALUE"""),"·       Tablero de madera aglomerada bilaminado, mínimo 18 mm de espesor, canteado en PVC de 3 mm.
·       Estructura metálica: mínimo de tubo cuadrado de 1½” x 1,5 mm de espesor.
·       Soporte de 4 patas de tubo cuadrado de 1½” x 1,5 mm de espesor, con"&amp;" regatones antideslizantes.
·       Con 3 amarres de acero tubular cuadrado de 1½” x 1,5 mm de espesor..
·       Acabado en pintura polvo electrostático de 60 micras mínimo.
·       Dimensiones: 1000 mm x 500 mm x 750 mm. (ancho, profundidad, alto)
·     "&amp;"  El mueble no requiere ser anclado en el piso")</f>
        <v>·       Tablero de madera aglomerada bilaminado, mínimo 18 mm de espesor, canteado en PVC de 3 mm.
·       Estructura metálica: mínimo de tubo cuadrado de 1½” x 1,5 mm de espesor.
·       Soporte de 4 patas de tubo cuadrado de 1½” x 1,5 mm de espesor, con regatones antideslizantes.
·       Con 3 amarres de acero tubular cuadrado de 1½” x 1,5 mm de espesor..
·       Acabado en pintura polvo electrostático de 60 micras mínimo.
·       Dimensiones: 1000 mm x 500 mm x 750 mm. (ancho, profundidad, alto)
·       El mueble no requiere ser anclado en el piso</v>
      </c>
      <c r="J1892" s="213">
        <f>IFERROR(__xludf.DUMMYFUNCTION("""COMPUTED_VALUE"""),3.0)</f>
        <v>3</v>
      </c>
      <c r="K1892" s="213" t="str">
        <f>IFERROR(__xludf.DUMMYFUNCTION("""COMPUTED_VALUE"""),"90 DÍAS CALENDARIO")</f>
        <v>90 DÍAS CALENDARIO</v>
      </c>
      <c r="L1892" s="213" t="str">
        <f>IFERROR(__xludf.DUMMYFUNCTION("""COMPUTED_VALUE"""),"")</f>
        <v/>
      </c>
      <c r="M1892" s="213">
        <f>IFERROR(__xludf.DUMMYFUNCTION("""COMPUTED_VALUE"""),1.0)</f>
        <v>1</v>
      </c>
      <c r="N1892" s="213">
        <f>IFERROR(__xludf.DUMMYFUNCTION("""COMPUTED_VALUE"""),5.0)</f>
        <v>5</v>
      </c>
      <c r="O1892" s="213">
        <f>IFERROR(__xludf.DUMMYFUNCTION("""COMPUTED_VALUE"""),5.0)</f>
        <v>5</v>
      </c>
      <c r="P1892" s="213"/>
      <c r="Q1892" s="213"/>
      <c r="R1892" s="213"/>
      <c r="S1892" s="213"/>
      <c r="T1892" s="213"/>
      <c r="U1892" s="213"/>
      <c r="V1892" s="213"/>
      <c r="W1892" s="213"/>
      <c r="X1892" s="213"/>
      <c r="Y1892" s="213"/>
      <c r="Z1892" s="213"/>
      <c r="AA1892" s="213"/>
      <c r="AB1892" s="213"/>
      <c r="AC1892" s="213"/>
      <c r="AD1892" s="213"/>
      <c r="AE1892" s="213"/>
      <c r="AF1892" s="213"/>
      <c r="AG1892" s="213"/>
      <c r="AH1892" s="213"/>
      <c r="AI1892" s="213"/>
      <c r="AJ1892" s="213"/>
      <c r="AK1892" s="213"/>
      <c r="AL1892" s="213"/>
      <c r="AM1892" s="213"/>
      <c r="AN1892" s="213"/>
      <c r="AO1892" s="213"/>
      <c r="AP1892" s="213"/>
      <c r="AQ1892" s="213"/>
      <c r="AR1892" s="213"/>
      <c r="AS1892" s="213"/>
      <c r="AT1892" s="213"/>
      <c r="AU1892" s="213"/>
      <c r="AV1892" s="213"/>
      <c r="AW1892" s="213"/>
      <c r="AX1892" s="213"/>
      <c r="AY1892" s="213"/>
      <c r="AZ1892" s="213"/>
      <c r="BA1892" s="213"/>
      <c r="BB1892" s="213"/>
      <c r="BC1892" s="213"/>
      <c r="BD1892" s="213"/>
    </row>
    <row r="1893">
      <c r="A1893" s="213">
        <f>IFERROR(__xludf.DUMMYFUNCTION("""COMPUTED_VALUE"""),2369.0)</f>
        <v>2369</v>
      </c>
      <c r="B1893" s="213" t="str">
        <f>IFERROR(__xludf.DUMMYFUNCTION("""COMPUTED_VALUE"""),"MANUEL ANTONIO MESONES MURO")</f>
        <v>MANUEL ANTONIO MESONES MURO</v>
      </c>
      <c r="C1893" s="213" t="str">
        <f>IFERROR(__xludf.DUMMYFUNCTION("""COMPUTED_VALUE"""),"TALLER SFT DE INDUSTRIA DEL VESTIDO")</f>
        <v>TALLER SFT DE INDUSTRIA DEL VESTIDO</v>
      </c>
      <c r="D1893" s="213" t="str">
        <f>IFERROR(__xludf.DUMMYFUNCTION("""COMPUTED_VALUE"""),"MOBILIARIO")</f>
        <v>MOBILIARIO</v>
      </c>
      <c r="E1893" s="213" t="str">
        <f>IFERROR(__xludf.DUMMYFUNCTION("""COMPUTED_VALUE"""),"MOB-157")</f>
        <v>MOB-157</v>
      </c>
      <c r="F1893" s="213" t="str">
        <f>IFERROR(__xludf.DUMMYFUNCTION("""COMPUTED_VALUE"""),"MOB-157")</f>
        <v>MOB-157</v>
      </c>
      <c r="G1893" s="213"/>
      <c r="H1893" s="213" t="str">
        <f>IFERROR(__xludf.DUMMYFUNCTION("""COMPUTED_VALUE"""),"MUEBLE PARA MÁQUINA BORDADORA")</f>
        <v>MUEBLE PARA MÁQUINA BORDADORA</v>
      </c>
      <c r="I1893" s="213" t="str">
        <f>IFERROR(__xludf.DUMMYFUNCTION("""COMPUTED_VALUE"""),"·       Tablero de madera aglomerada bilaminado, mínimo 18 mm de espesor, canteado en PVC de 3 mm.
·       Estructura metálica: mínimo de tubo cuadrado de 1½” x 1,5 mm de espesor.
·       Soporte de 4 patas de tubo cuadrado de 1½” x 1,5 mm de espesor, con"&amp;" regatones antideslizantes.
·       Con 3 amarres de acero tubular cuadrado de 1½” x 1,5 mm de espesor..
·       Acabado en pintura polvo electrostático de 60 micras mínimo.
·       Dimensiones: 1000 mm x 500 mm x 750 mm. (ancho, profundidad, alto)
·     "&amp;"  El mueble no requiere ser anclado en el piso")</f>
        <v>·       Tablero de madera aglomerada bilaminado, mínimo 18 mm de espesor, canteado en PVC de 3 mm.
·       Estructura metálica: mínimo de tubo cuadrado de 1½” x 1,5 mm de espesor.
·       Soporte de 4 patas de tubo cuadrado de 1½” x 1,5 mm de espesor, con regatones antideslizantes.
·       Con 3 amarres de acero tubular cuadrado de 1½” x 1,5 mm de espesor..
·       Acabado en pintura polvo electrostático de 60 micras mínimo.
·       Dimensiones: 1000 mm x 500 mm x 750 mm. (ancho, profundidad, alto)
·       El mueble no requiere ser anclado en el piso</v>
      </c>
      <c r="J1893" s="213">
        <f>IFERROR(__xludf.DUMMYFUNCTION("""COMPUTED_VALUE"""),3.0)</f>
        <v>3</v>
      </c>
      <c r="K1893" s="213" t="str">
        <f>IFERROR(__xludf.DUMMYFUNCTION("""COMPUTED_VALUE"""),"90 DÍAS CALENDARIO")</f>
        <v>90 DÍAS CALENDARIO</v>
      </c>
      <c r="L1893" s="213" t="str">
        <f>IFERROR(__xludf.DUMMYFUNCTION("""COMPUTED_VALUE"""),"")</f>
        <v/>
      </c>
      <c r="M1893" s="213">
        <f>IFERROR(__xludf.DUMMYFUNCTION("""COMPUTED_VALUE"""),1.0)</f>
        <v>1</v>
      </c>
      <c r="N1893" s="213">
        <f>IFERROR(__xludf.DUMMYFUNCTION("""COMPUTED_VALUE"""),4.0)</f>
        <v>4</v>
      </c>
      <c r="O1893" s="213">
        <f>IFERROR(__xludf.DUMMYFUNCTION("""COMPUTED_VALUE"""),4.0)</f>
        <v>4</v>
      </c>
      <c r="P1893" s="213"/>
      <c r="Q1893" s="213"/>
      <c r="R1893" s="213"/>
      <c r="S1893" s="213"/>
      <c r="T1893" s="213"/>
      <c r="U1893" s="213"/>
      <c r="V1893" s="213"/>
      <c r="W1893" s="213"/>
      <c r="X1893" s="213"/>
      <c r="Y1893" s="213"/>
      <c r="Z1893" s="213"/>
      <c r="AA1893" s="213"/>
      <c r="AB1893" s="213"/>
      <c r="AC1893" s="213"/>
      <c r="AD1893" s="213"/>
      <c r="AE1893" s="213"/>
      <c r="AF1893" s="213"/>
      <c r="AG1893" s="213"/>
      <c r="AH1893" s="213"/>
      <c r="AI1893" s="213"/>
      <c r="AJ1893" s="213"/>
      <c r="AK1893" s="213"/>
      <c r="AL1893" s="213"/>
      <c r="AM1893" s="213"/>
      <c r="AN1893" s="213"/>
      <c r="AO1893" s="213"/>
      <c r="AP1893" s="213"/>
      <c r="AQ1893" s="213"/>
      <c r="AR1893" s="213"/>
      <c r="AS1893" s="213"/>
      <c r="AT1893" s="213"/>
      <c r="AU1893" s="213"/>
      <c r="AV1893" s="213"/>
      <c r="AW1893" s="213"/>
      <c r="AX1893" s="213"/>
      <c r="AY1893" s="213"/>
      <c r="AZ1893" s="213"/>
      <c r="BA1893" s="213"/>
      <c r="BB1893" s="213"/>
      <c r="BC1893" s="213"/>
      <c r="BD1893" s="213"/>
    </row>
    <row r="1894">
      <c r="A1894" s="213">
        <f>IFERROR(__xludf.DUMMYFUNCTION("""COMPUTED_VALUE"""),144.0)</f>
        <v>144</v>
      </c>
      <c r="B1894" s="213" t="str">
        <f>IFERROR(__xludf.DUMMYFUNCTION("""COMPUTED_VALUE"""),"2026 SIMON BOLIVAR")</f>
        <v>2026 SIMON BOLIVAR</v>
      </c>
      <c r="C1894" s="213" t="str">
        <f>IFERROR(__xludf.DUMMYFUNCTION("""COMPUTED_VALUE"""),"TALLER SFT DE INDUSTRIA DEL VESTIDO")</f>
        <v>TALLER SFT DE INDUSTRIA DEL VESTIDO</v>
      </c>
      <c r="D1894" s="213" t="str">
        <f>IFERROR(__xludf.DUMMYFUNCTION("""COMPUTED_VALUE"""),"MOBILIARIO")</f>
        <v>MOBILIARIO</v>
      </c>
      <c r="E1894" s="213" t="str">
        <f>IFERROR(__xludf.DUMMYFUNCTION("""COMPUTED_VALUE"""),"MOB-159")</f>
        <v>MOB-159</v>
      </c>
      <c r="F1894" s="213" t="str">
        <f>IFERROR(__xludf.DUMMYFUNCTION("""COMPUTED_VALUE"""),"MOB-159")</f>
        <v>MOB-159</v>
      </c>
      <c r="G1894" s="213"/>
      <c r="H1894" s="213" t="str">
        <f>IFERROR(__xludf.DUMMYFUNCTION("""COMPUTED_VALUE"""),"MUEBLE PARA MÁQUINA DE COSER DOMÉSTICA ELECTRÓNICA DIGITAL 1200 PUNTADAS POR MINUTO")</f>
        <v>MUEBLE PARA MÁQUINA DE COSER DOMÉSTICA ELECTRÓNICA DIGITAL 1200 PUNTADAS POR MINUTO</v>
      </c>
      <c r="I1894" s="213" t="str">
        <f>IFERROR(__xludf.DUMMYFUNCTION("""COMPUTED_VALUE"""),"·      Tablero de madera aglomerada bilaminado, mínimo 18 mm de espesor, canteado en PVC de 3 mm.
·      Estructura metálica: mínimo de tubo cuadrado de 1½” x 1,5 mm.
·      Soporte de 4 patas de tubo cuadrado de 1½” x 1,5 mm, con regatones antideslizante"&amp;"s.
·      Con 3 amarres de acero tubular cuadrado de 1½” x 1,5 mm.
·      Acabado en pintura polvo electrostático de 60 micras. (mínimo)
·      Dimensiones: 1000 x 500 x 750 mm. (ancho, profundidad, alto)
·      El mueble no requiere ser anclado en el pis"&amp;"o.")</f>
        <v>·      Tablero de madera aglomerada bilaminado, mínimo 18 mm de espesor, canteado en PVC de 3 mm.
·      Estructura metálica: mínimo de tubo cuadrado de 1½” x 1,5 mm.
·      Soporte de 4 patas de tubo cuadrado de 1½” x 1,5 mm, con regatones antideslizantes.
·      Con 3 amarres de acero tubular cuadrado de 1½” x 1,5 mm.
·      Acabado en pintura polvo electrostático de 60 micras. (mínimo)
·      Dimensiones: 1000 x 500 x 750 mm. (ancho, profundidad, alto)
·      El mueble no requiere ser anclado en el piso.</v>
      </c>
      <c r="J1894" s="213">
        <f>IFERROR(__xludf.DUMMYFUNCTION("""COMPUTED_VALUE"""),3.0)</f>
        <v>3</v>
      </c>
      <c r="K1894" s="213" t="str">
        <f>IFERROR(__xludf.DUMMYFUNCTION("""COMPUTED_VALUE"""),"90 DÍAS CALENDARIO")</f>
        <v>90 DÍAS CALENDARIO</v>
      </c>
      <c r="L1894" s="213" t="str">
        <f>IFERROR(__xludf.DUMMYFUNCTION("""COMPUTED_VALUE"""),"")</f>
        <v/>
      </c>
      <c r="M1894" s="213">
        <f>IFERROR(__xludf.DUMMYFUNCTION("""COMPUTED_VALUE"""),1.0)</f>
        <v>1</v>
      </c>
      <c r="N1894" s="213">
        <f>IFERROR(__xludf.DUMMYFUNCTION("""COMPUTED_VALUE"""),7.0)</f>
        <v>7</v>
      </c>
      <c r="O1894" s="213">
        <f>IFERROR(__xludf.DUMMYFUNCTION("""COMPUTED_VALUE"""),7.0)</f>
        <v>7</v>
      </c>
      <c r="P1894" s="213"/>
      <c r="Q1894" s="213"/>
      <c r="R1894" s="213"/>
      <c r="S1894" s="213"/>
      <c r="T1894" s="213"/>
      <c r="U1894" s="213"/>
      <c r="V1894" s="213"/>
      <c r="W1894" s="213"/>
      <c r="X1894" s="213"/>
      <c r="Y1894" s="213"/>
      <c r="Z1894" s="213"/>
      <c r="AA1894" s="213"/>
      <c r="AB1894" s="213"/>
      <c r="AC1894" s="213"/>
      <c r="AD1894" s="213"/>
      <c r="AE1894" s="213"/>
      <c r="AF1894" s="213"/>
      <c r="AG1894" s="213"/>
      <c r="AH1894" s="213"/>
      <c r="AI1894" s="213"/>
      <c r="AJ1894" s="213"/>
      <c r="AK1894" s="213"/>
      <c r="AL1894" s="213"/>
      <c r="AM1894" s="213"/>
      <c r="AN1894" s="213"/>
      <c r="AO1894" s="213"/>
      <c r="AP1894" s="213"/>
      <c r="AQ1894" s="213"/>
      <c r="AR1894" s="213"/>
      <c r="AS1894" s="213">
        <f>IFERROR(__xludf.DUMMYFUNCTION("""COMPUTED_VALUE"""),0.0)</f>
        <v>0</v>
      </c>
      <c r="AT1894" s="213"/>
      <c r="AU1894" s="213"/>
      <c r="AV1894" s="213"/>
      <c r="AW1894" s="213"/>
      <c r="AX1894" s="213"/>
      <c r="AY1894" s="213"/>
      <c r="AZ1894" s="213"/>
      <c r="BA1894" s="213"/>
      <c r="BB1894" s="213"/>
      <c r="BC1894" s="213"/>
      <c r="BD1894" s="213"/>
    </row>
    <row r="1895">
      <c r="A1895" s="213">
        <f>IFERROR(__xludf.DUMMYFUNCTION("""COMPUTED_VALUE"""),2360.0)</f>
        <v>2360</v>
      </c>
      <c r="B1895" s="213" t="str">
        <f>IFERROR(__xludf.DUMMYFUNCTION("""COMPUTED_VALUE"""),"MANUEL ANTONIO MESONES MURO")</f>
        <v>MANUEL ANTONIO MESONES MURO</v>
      </c>
      <c r="C1895" s="213" t="str">
        <f>IFERROR(__xludf.DUMMYFUNCTION("""COMPUTED_VALUE"""),"TALLER SFT DE INDUSTRIA DEL VESTIDO")</f>
        <v>TALLER SFT DE INDUSTRIA DEL VESTIDO</v>
      </c>
      <c r="D1895" s="213" t="str">
        <f>IFERROR(__xludf.DUMMYFUNCTION("""COMPUTED_VALUE"""),"MOBILIARIO")</f>
        <v>MOBILIARIO</v>
      </c>
      <c r="E1895" s="213" t="str">
        <f>IFERROR(__xludf.DUMMYFUNCTION("""COMPUTED_VALUE"""),"MOB-159")</f>
        <v>MOB-159</v>
      </c>
      <c r="F1895" s="213" t="str">
        <f>IFERROR(__xludf.DUMMYFUNCTION("""COMPUTED_VALUE"""),"MOB-159")</f>
        <v>MOB-159</v>
      </c>
      <c r="G1895" s="213"/>
      <c r="H1895" s="213" t="str">
        <f>IFERROR(__xludf.DUMMYFUNCTION("""COMPUTED_VALUE"""),"MUEBLE PARA MÁQUINA DE COSER DOMÉSTICA ELECTRÓNICA DIGITAL 1200 PUNTADAS POR MINUTO")</f>
        <v>MUEBLE PARA MÁQUINA DE COSER DOMÉSTICA ELECTRÓNICA DIGITAL 1200 PUNTADAS POR MINUTO</v>
      </c>
      <c r="I1895" s="213" t="str">
        <f>IFERROR(__xludf.DUMMYFUNCTION("""COMPUTED_VALUE"""),"·      Tablero de madera aglomerada bilaminado, mínimo 18 mm de espesor, canteado en PVC de 3 mm.
·      Estructura metálica: mínimo de tubo cuadrado de 1½” x 1,5 mm.
·      Soporte de 4 patas de tubo cuadrado de 1½” x 1,5 mm, con regatones antideslizante"&amp;"s.
·      Con 3 amarres de acero tubular cuadrado de 1½” x 1,5 mm.
·      Acabado en pintura polvo electrostático de 60 micras. (mínimo)
·      Dimensiones: 1000 x 500 x 750 mm. (ancho, profundidad, alto)
·      El mueble no requiere ser anclado en el pis"&amp;"o.")</f>
        <v>·      Tablero de madera aglomerada bilaminado, mínimo 18 mm de espesor, canteado en PVC de 3 mm.
·      Estructura metálica: mínimo de tubo cuadrado de 1½” x 1,5 mm.
·      Soporte de 4 patas de tubo cuadrado de 1½” x 1,5 mm, con regatones antideslizantes.
·      Con 3 amarres de acero tubular cuadrado de 1½” x 1,5 mm.
·      Acabado en pintura polvo electrostático de 60 micras. (mínimo)
·      Dimensiones: 1000 x 500 x 750 mm. (ancho, profundidad, alto)
·      El mueble no requiere ser anclado en el piso.</v>
      </c>
      <c r="J1895" s="213">
        <f>IFERROR(__xludf.DUMMYFUNCTION("""COMPUTED_VALUE"""),3.0)</f>
        <v>3</v>
      </c>
      <c r="K1895" s="213" t="str">
        <f>IFERROR(__xludf.DUMMYFUNCTION("""COMPUTED_VALUE"""),"90 DÍAS CALENDARIO")</f>
        <v>90 DÍAS CALENDARIO</v>
      </c>
      <c r="L1895" s="213" t="str">
        <f>IFERROR(__xludf.DUMMYFUNCTION("""COMPUTED_VALUE"""),"")</f>
        <v/>
      </c>
      <c r="M1895" s="213">
        <f>IFERROR(__xludf.DUMMYFUNCTION("""COMPUTED_VALUE"""),1.0)</f>
        <v>1</v>
      </c>
      <c r="N1895" s="213">
        <f>IFERROR(__xludf.DUMMYFUNCTION("""COMPUTED_VALUE"""),6.0)</f>
        <v>6</v>
      </c>
      <c r="O1895" s="213">
        <f>IFERROR(__xludf.DUMMYFUNCTION("""COMPUTED_VALUE"""),6.0)</f>
        <v>6</v>
      </c>
      <c r="P1895" s="213"/>
      <c r="Q1895" s="213"/>
      <c r="R1895" s="213"/>
      <c r="S1895" s="213"/>
      <c r="T1895" s="213"/>
      <c r="U1895" s="213"/>
      <c r="V1895" s="213"/>
      <c r="W1895" s="213"/>
      <c r="X1895" s="213"/>
      <c r="Y1895" s="213"/>
      <c r="Z1895" s="213"/>
      <c r="AA1895" s="213"/>
      <c r="AB1895" s="213"/>
      <c r="AC1895" s="213"/>
      <c r="AD1895" s="213"/>
      <c r="AE1895" s="213"/>
      <c r="AF1895" s="213"/>
      <c r="AG1895" s="213"/>
      <c r="AH1895" s="213"/>
      <c r="AI1895" s="213"/>
      <c r="AJ1895" s="213"/>
      <c r="AK1895" s="213"/>
      <c r="AL1895" s="213"/>
      <c r="AM1895" s="213"/>
      <c r="AN1895" s="213"/>
      <c r="AO1895" s="213"/>
      <c r="AP1895" s="213"/>
      <c r="AQ1895" s="213"/>
      <c r="AR1895" s="213"/>
      <c r="AS1895" s="213">
        <f>IFERROR(__xludf.DUMMYFUNCTION("""COMPUTED_VALUE"""),0.0)</f>
        <v>0</v>
      </c>
      <c r="AT1895" s="213"/>
      <c r="AU1895" s="213"/>
      <c r="AV1895" s="213"/>
      <c r="AW1895" s="213"/>
      <c r="AX1895" s="213"/>
      <c r="AY1895" s="213"/>
      <c r="AZ1895" s="213"/>
      <c r="BA1895" s="213"/>
      <c r="BB1895" s="213"/>
      <c r="BC1895" s="213"/>
      <c r="BD1895" s="213"/>
    </row>
    <row r="1896">
      <c r="A1896" s="213">
        <f>IFERROR(__xludf.DUMMYFUNCTION("""COMPUTED_VALUE"""),146.0)</f>
        <v>146</v>
      </c>
      <c r="B1896" s="213" t="str">
        <f>IFERROR(__xludf.DUMMYFUNCTION("""COMPUTED_VALUE"""),"2026 SIMON BOLIVAR")</f>
        <v>2026 SIMON BOLIVAR</v>
      </c>
      <c r="C1896" s="213" t="str">
        <f>IFERROR(__xludf.DUMMYFUNCTION("""COMPUTED_VALUE"""),"TALLER SFT DE INDUSTRIA DEL VESTIDO")</f>
        <v>TALLER SFT DE INDUSTRIA DEL VESTIDO</v>
      </c>
      <c r="D1896" s="213" t="str">
        <f>IFERROR(__xludf.DUMMYFUNCTION("""COMPUTED_VALUE"""),"MOBILIARIO")</f>
        <v>MOBILIARIO</v>
      </c>
      <c r="E1896" s="213" t="str">
        <f>IFERROR(__xludf.DUMMYFUNCTION("""COMPUTED_VALUE"""),"MOB-160")</f>
        <v>MOB-160</v>
      </c>
      <c r="F1896" s="213" t="str">
        <f>IFERROR(__xludf.DUMMYFUNCTION("""COMPUTED_VALUE"""),"MOB-160")</f>
        <v>MOB-160</v>
      </c>
      <c r="G1896" s="213"/>
      <c r="H1896" s="213" t="str">
        <f>IFERROR(__xludf.DUMMYFUNCTION("""COMPUTED_VALUE"""),"MUEBLE PARA MÁQUINA DE COSER SEMI INDUSTRIAL MECÁNICA")</f>
        <v>MUEBLE PARA MÁQUINA DE COSER SEMI INDUSTRIAL MECÁNICA</v>
      </c>
      <c r="I1896" s="213" t="str">
        <f>IFERROR(__xludf.DUMMYFUNCTION("""COMPUTED_VALUE"""),"· Tablero de madera aglomerada bilaminado, mínimo 18 mm de espesor, canteado en PVC de 3 mm.
· Estructura metálica: mínimo de tubo cuadrado de 1½” x 1,5 mm.
· Soporte de 4 patas de tubo cuadrado de 1½” x 1,5 mm, con regatones antideslizantes.
· Con 3 amar"&amp;"res de acero tubular cuadrado de 1½” x 1,5 mm.
·  Acabado en pintura polvo electrostático de 60 micras. (mínimo)
·  Dimensiones: 1000 x 500 x 750 mm. (ancho, profundidad, alto)
·  El mueble no requiere ser anclado en el piso.")</f>
        <v>· Tablero de madera aglomerada bilaminado, mínimo 18 mm de espesor, canteado en PVC de 3 mm.
· Estructura metálica: mínimo de tubo cuadrado de 1½” x 1,5 mm.
· Soporte de 4 patas de tubo cuadrado de 1½” x 1,5 mm, con regatones antideslizantes.
· Con 3 amarres de acero tubular cuadrado de 1½” x 1,5 mm.
·  Acabado en pintura polvo electrostático de 60 micras. (mínimo)
·  Dimensiones: 1000 x 500 x 750 mm. (ancho, profundidad, alto)
·  El mueble no requiere ser anclado en el piso.</v>
      </c>
      <c r="J1896" s="213">
        <f>IFERROR(__xludf.DUMMYFUNCTION("""COMPUTED_VALUE"""),3.0)</f>
        <v>3</v>
      </c>
      <c r="K1896" s="213" t="str">
        <f>IFERROR(__xludf.DUMMYFUNCTION("""COMPUTED_VALUE"""),"90 DÍAS CALENDARIO")</f>
        <v>90 DÍAS CALENDARIO</v>
      </c>
      <c r="L1896" s="213" t="str">
        <f>IFERROR(__xludf.DUMMYFUNCTION("""COMPUTED_VALUE"""),"")</f>
        <v/>
      </c>
      <c r="M1896" s="213">
        <f>IFERROR(__xludf.DUMMYFUNCTION("""COMPUTED_VALUE"""),1.0)</f>
        <v>1</v>
      </c>
      <c r="N1896" s="213">
        <f>IFERROR(__xludf.DUMMYFUNCTION("""COMPUTED_VALUE"""),7.0)</f>
        <v>7</v>
      </c>
      <c r="O1896" s="213">
        <f>IFERROR(__xludf.DUMMYFUNCTION("""COMPUTED_VALUE"""),7.0)</f>
        <v>7</v>
      </c>
      <c r="P1896" s="213"/>
      <c r="Q1896" s="213"/>
      <c r="R1896" s="213"/>
      <c r="S1896" s="213"/>
      <c r="T1896" s="213"/>
      <c r="U1896" s="213"/>
      <c r="V1896" s="213"/>
      <c r="W1896" s="213"/>
      <c r="X1896" s="213"/>
      <c r="Y1896" s="213"/>
      <c r="Z1896" s="213"/>
      <c r="AA1896" s="213"/>
      <c r="AB1896" s="213"/>
      <c r="AC1896" s="213"/>
      <c r="AD1896" s="213"/>
      <c r="AE1896" s="213"/>
      <c r="AF1896" s="213"/>
      <c r="AG1896" s="213"/>
      <c r="AH1896" s="213"/>
      <c r="AI1896" s="213"/>
      <c r="AJ1896" s="213"/>
      <c r="AK1896" s="213"/>
      <c r="AL1896" s="213"/>
      <c r="AM1896" s="213"/>
      <c r="AN1896" s="213"/>
      <c r="AO1896" s="213"/>
      <c r="AP1896" s="213"/>
      <c r="AQ1896" s="213"/>
      <c r="AR1896" s="213"/>
      <c r="AS1896" s="213"/>
      <c r="AT1896" s="213"/>
      <c r="AU1896" s="213"/>
      <c r="AV1896" s="213"/>
      <c r="AW1896" s="213"/>
      <c r="AX1896" s="213"/>
      <c r="AY1896" s="213"/>
      <c r="AZ1896" s="213"/>
      <c r="BA1896" s="213"/>
      <c r="BB1896" s="213"/>
      <c r="BC1896" s="213"/>
      <c r="BD1896" s="213"/>
    </row>
    <row r="1897">
      <c r="A1897" s="213">
        <f>IFERROR(__xludf.DUMMYFUNCTION("""COMPUTED_VALUE"""),2362.0)</f>
        <v>2362</v>
      </c>
      <c r="B1897" s="213" t="str">
        <f>IFERROR(__xludf.DUMMYFUNCTION("""COMPUTED_VALUE"""),"MANUEL ANTONIO MESONES MURO")</f>
        <v>MANUEL ANTONIO MESONES MURO</v>
      </c>
      <c r="C1897" s="213" t="str">
        <f>IFERROR(__xludf.DUMMYFUNCTION("""COMPUTED_VALUE"""),"TALLER SFT DE INDUSTRIA DEL VESTIDO")</f>
        <v>TALLER SFT DE INDUSTRIA DEL VESTIDO</v>
      </c>
      <c r="D1897" s="213" t="str">
        <f>IFERROR(__xludf.DUMMYFUNCTION("""COMPUTED_VALUE"""),"MOBILIARIO")</f>
        <v>MOBILIARIO</v>
      </c>
      <c r="E1897" s="213" t="str">
        <f>IFERROR(__xludf.DUMMYFUNCTION("""COMPUTED_VALUE"""),"MOB-160")</f>
        <v>MOB-160</v>
      </c>
      <c r="F1897" s="213" t="str">
        <f>IFERROR(__xludf.DUMMYFUNCTION("""COMPUTED_VALUE"""),"MOB-160")</f>
        <v>MOB-160</v>
      </c>
      <c r="G1897" s="213"/>
      <c r="H1897" s="213" t="str">
        <f>IFERROR(__xludf.DUMMYFUNCTION("""COMPUTED_VALUE"""),"MUEBLE PARA MÁQUINA DE COSER SEMI INDUSTRIAL MECÁNICA")</f>
        <v>MUEBLE PARA MÁQUINA DE COSER SEMI INDUSTRIAL MECÁNICA</v>
      </c>
      <c r="I1897" s="213" t="str">
        <f>IFERROR(__xludf.DUMMYFUNCTION("""COMPUTED_VALUE"""),"· Tablero de madera aglomerada bilaminado, mínimo 18 mm de espesor, canteado en PVC de 3 mm.
· Estructura metálica: mínimo de tubo cuadrado de 1½” x 1,5 mm.
· Soporte de 4 patas de tubo cuadrado de 1½” x 1,5 mm, con regatones antideslizantes.
· Con 3 amar"&amp;"res de acero tubular cuadrado de 1½” x 1,5 mm.
·  Acabado en pintura polvo electrostático de 60 micras. (mínimo)
·  Dimensiones: 1000 x 500 x 750 mm. (ancho, profundidad, alto)
·  El mueble no requiere ser anclado en el piso.")</f>
        <v>· Tablero de madera aglomerada bilaminado, mínimo 18 mm de espesor, canteado en PVC de 3 mm.
· Estructura metálica: mínimo de tubo cuadrado de 1½” x 1,5 mm.
· Soporte de 4 patas de tubo cuadrado de 1½” x 1,5 mm, con regatones antideslizantes.
· Con 3 amarres de acero tubular cuadrado de 1½” x 1,5 mm.
·  Acabado en pintura polvo electrostático de 60 micras. (mínimo)
·  Dimensiones: 1000 x 500 x 750 mm. (ancho, profundidad, alto)
·  El mueble no requiere ser anclado en el piso.</v>
      </c>
      <c r="J1897" s="213">
        <f>IFERROR(__xludf.DUMMYFUNCTION("""COMPUTED_VALUE"""),3.0)</f>
        <v>3</v>
      </c>
      <c r="K1897" s="213" t="str">
        <f>IFERROR(__xludf.DUMMYFUNCTION("""COMPUTED_VALUE"""),"90 DÍAS CALENDARIO")</f>
        <v>90 DÍAS CALENDARIO</v>
      </c>
      <c r="L1897" s="213" t="str">
        <f>IFERROR(__xludf.DUMMYFUNCTION("""COMPUTED_VALUE"""),"")</f>
        <v/>
      </c>
      <c r="M1897" s="213">
        <f>IFERROR(__xludf.DUMMYFUNCTION("""COMPUTED_VALUE"""),1.0)</f>
        <v>1</v>
      </c>
      <c r="N1897" s="213">
        <f>IFERROR(__xludf.DUMMYFUNCTION("""COMPUTED_VALUE"""),6.0)</f>
        <v>6</v>
      </c>
      <c r="O1897" s="213">
        <f>IFERROR(__xludf.DUMMYFUNCTION("""COMPUTED_VALUE"""),6.0)</f>
        <v>6</v>
      </c>
      <c r="P1897" s="213"/>
      <c r="Q1897" s="213"/>
      <c r="R1897" s="213"/>
      <c r="S1897" s="213"/>
      <c r="T1897" s="213"/>
      <c r="U1897" s="213"/>
      <c r="V1897" s="213"/>
      <c r="W1897" s="213"/>
      <c r="X1897" s="213"/>
      <c r="Y1897" s="213"/>
      <c r="Z1897" s="213"/>
      <c r="AA1897" s="213"/>
      <c r="AB1897" s="213"/>
      <c r="AC1897" s="213"/>
      <c r="AD1897" s="213"/>
      <c r="AE1897" s="213"/>
      <c r="AF1897" s="213"/>
      <c r="AG1897" s="213"/>
      <c r="AH1897" s="213"/>
      <c r="AI1897" s="213"/>
      <c r="AJ1897" s="213"/>
      <c r="AK1897" s="213"/>
      <c r="AL1897" s="213"/>
      <c r="AM1897" s="213"/>
      <c r="AN1897" s="213"/>
      <c r="AO1897" s="213"/>
      <c r="AP1897" s="213"/>
      <c r="AQ1897" s="213"/>
      <c r="AR1897" s="213"/>
      <c r="AS1897" s="213"/>
      <c r="AT1897" s="213"/>
      <c r="AU1897" s="213"/>
      <c r="AV1897" s="213"/>
      <c r="AW1897" s="213"/>
      <c r="AX1897" s="213"/>
      <c r="AY1897" s="213"/>
      <c r="AZ1897" s="213"/>
      <c r="BA1897" s="213"/>
      <c r="BB1897" s="213"/>
      <c r="BC1897" s="213"/>
      <c r="BD1897" s="213"/>
    </row>
    <row r="1898">
      <c r="A1898" s="213">
        <f>IFERROR(__xludf.DUMMYFUNCTION("""COMPUTED_VALUE"""),150.0)</f>
        <v>150</v>
      </c>
      <c r="B1898" s="213" t="str">
        <f>IFERROR(__xludf.DUMMYFUNCTION("""COMPUTED_VALUE"""),"2026 SIMON BOLIVAR")</f>
        <v>2026 SIMON BOLIVAR</v>
      </c>
      <c r="C1898" s="213" t="str">
        <f>IFERROR(__xludf.DUMMYFUNCTION("""COMPUTED_VALUE"""),"TALLER SFT DE INDUSTRIA DEL VESTIDO")</f>
        <v>TALLER SFT DE INDUSTRIA DEL VESTIDO</v>
      </c>
      <c r="D1898" s="213" t="str">
        <f>IFERROR(__xludf.DUMMYFUNCTION("""COMPUTED_VALUE"""),"MOBILIARIO")</f>
        <v>MOBILIARIO</v>
      </c>
      <c r="E1898" s="213" t="str">
        <f>IFERROR(__xludf.DUMMYFUNCTION("""COMPUTED_VALUE"""),"MOB-161")</f>
        <v>MOB-161</v>
      </c>
      <c r="F1898" s="213" t="str">
        <f>IFERROR(__xludf.DUMMYFUNCTION("""COMPUTED_VALUE"""),"MOB-161")</f>
        <v>MOB-161</v>
      </c>
      <c r="G1898" s="213"/>
      <c r="H1898" s="213" t="str">
        <f>IFERROR(__xludf.DUMMYFUNCTION("""COMPUTED_VALUE"""),"MUEBLE PARA MÁQUINA DOMÉSTICA RECUBRIDORA")</f>
        <v>MUEBLE PARA MÁQUINA DOMÉSTICA RECUBRIDORA</v>
      </c>
      <c r="I1898" s="213" t="str">
        <f>IFERROR(__xludf.DUMMYFUNCTION("""COMPUTED_VALUE"""),"· Tablero de madera aglomerada bilaminado, mínimo 18 mm de espesor, canteado en PVC de 3 mm.
·  Estructura metálica: mínimo de tubo cuadrado de 1½” x 1,5 mm.
·  Soporte de 4 patas de tubo cuadrado de 1½” x 1,5 mm, con regatones antideslizantes.
·  Con 3 a"&amp;"marres de acero tubular cuadrado de 1½” x 1,5 mm.
·   Acabado en pintura polvo electrostático de 60 micras. (mínimo)
·   Dimensiones: 1000 x 500 x 750 mm. (ancho, profundidad, alto)
·   El mueble no requiere ser anclado en el piso.")</f>
        <v>· Tablero de madera aglomerada bilaminado, mínimo 18 mm de espesor, canteado en PVC de 3 mm.
·  Estructura metálica: mínimo de tubo cuadrado de 1½” x 1,5 mm.
·  Soporte de 4 patas de tubo cuadrado de 1½” x 1,5 mm, con regatones antideslizantes.
·  Con 3 amarres de acero tubular cuadrado de 1½” x 1,5 mm.
·   Acabado en pintura polvo electrostático de 60 micras. (mínimo)
·   Dimensiones: 1000 x 500 x 750 mm. (ancho, profundidad, alto)
·   El mueble no requiere ser anclado en el piso.</v>
      </c>
      <c r="J1898" s="213">
        <f>IFERROR(__xludf.DUMMYFUNCTION("""COMPUTED_VALUE"""),3.0)</f>
        <v>3</v>
      </c>
      <c r="K1898" s="213" t="str">
        <f>IFERROR(__xludf.DUMMYFUNCTION("""COMPUTED_VALUE"""),"90 DÍAS CALENDARIO")</f>
        <v>90 DÍAS CALENDARIO</v>
      </c>
      <c r="L1898" s="213" t="str">
        <f>IFERROR(__xludf.DUMMYFUNCTION("""COMPUTED_VALUE"""),"")</f>
        <v/>
      </c>
      <c r="M1898" s="213">
        <f>IFERROR(__xludf.DUMMYFUNCTION("""COMPUTED_VALUE"""),1.0)</f>
        <v>1</v>
      </c>
      <c r="N1898" s="213">
        <f>IFERROR(__xludf.DUMMYFUNCTION("""COMPUTED_VALUE"""),2.0)</f>
        <v>2</v>
      </c>
      <c r="O1898" s="213">
        <f>IFERROR(__xludf.DUMMYFUNCTION("""COMPUTED_VALUE"""),2.0)</f>
        <v>2</v>
      </c>
      <c r="P1898" s="213"/>
      <c r="Q1898" s="213"/>
      <c r="R1898" s="213"/>
      <c r="S1898" s="213"/>
      <c r="T1898" s="213"/>
      <c r="U1898" s="213"/>
      <c r="V1898" s="213"/>
      <c r="W1898" s="213"/>
      <c r="X1898" s="213"/>
      <c r="Y1898" s="213"/>
      <c r="Z1898" s="213"/>
      <c r="AA1898" s="213"/>
      <c r="AB1898" s="213"/>
      <c r="AC1898" s="213"/>
      <c r="AD1898" s="213"/>
      <c r="AE1898" s="213"/>
      <c r="AF1898" s="213"/>
      <c r="AG1898" s="213"/>
      <c r="AH1898" s="213"/>
      <c r="AI1898" s="213"/>
      <c r="AJ1898" s="213"/>
      <c r="AK1898" s="213"/>
      <c r="AL1898" s="213"/>
      <c r="AM1898" s="213"/>
      <c r="AN1898" s="213"/>
      <c r="AO1898" s="213"/>
      <c r="AP1898" s="213"/>
      <c r="AQ1898" s="213"/>
      <c r="AR1898" s="213"/>
      <c r="AS1898" s="213"/>
      <c r="AT1898" s="213"/>
      <c r="AU1898" s="213"/>
      <c r="AV1898" s="213"/>
      <c r="AW1898" s="213"/>
      <c r="AX1898" s="213"/>
      <c r="AY1898" s="213"/>
      <c r="AZ1898" s="213"/>
      <c r="BA1898" s="213"/>
      <c r="BB1898" s="213"/>
      <c r="BC1898" s="213"/>
      <c r="BD1898" s="213"/>
    </row>
    <row r="1899">
      <c r="A1899" s="213">
        <f>IFERROR(__xludf.DUMMYFUNCTION("""COMPUTED_VALUE"""),2366.0)</f>
        <v>2366</v>
      </c>
      <c r="B1899" s="213" t="str">
        <f>IFERROR(__xludf.DUMMYFUNCTION("""COMPUTED_VALUE"""),"MANUEL ANTONIO MESONES MURO")</f>
        <v>MANUEL ANTONIO MESONES MURO</v>
      </c>
      <c r="C1899" s="213" t="str">
        <f>IFERROR(__xludf.DUMMYFUNCTION("""COMPUTED_VALUE"""),"TALLER SFT DE INDUSTRIA DEL VESTIDO")</f>
        <v>TALLER SFT DE INDUSTRIA DEL VESTIDO</v>
      </c>
      <c r="D1899" s="213" t="str">
        <f>IFERROR(__xludf.DUMMYFUNCTION("""COMPUTED_VALUE"""),"MOBILIARIO")</f>
        <v>MOBILIARIO</v>
      </c>
      <c r="E1899" s="213" t="str">
        <f>IFERROR(__xludf.DUMMYFUNCTION("""COMPUTED_VALUE"""),"MOB-161")</f>
        <v>MOB-161</v>
      </c>
      <c r="F1899" s="213" t="str">
        <f>IFERROR(__xludf.DUMMYFUNCTION("""COMPUTED_VALUE"""),"MOB-161")</f>
        <v>MOB-161</v>
      </c>
      <c r="G1899" s="213"/>
      <c r="H1899" s="213" t="str">
        <f>IFERROR(__xludf.DUMMYFUNCTION("""COMPUTED_VALUE"""),"MUEBLE PARA MÁQUINA DOMÉSTICA RECUBRIDORA")</f>
        <v>MUEBLE PARA MÁQUINA DOMÉSTICA RECUBRIDORA</v>
      </c>
      <c r="I1899" s="213" t="str">
        <f>IFERROR(__xludf.DUMMYFUNCTION("""COMPUTED_VALUE"""),"· Tablero de madera aglomerada bilaminado, mínimo 18 mm de espesor, canteado en PVC de 3 mm.
·  Estructura metálica: mínimo de tubo cuadrado de 1½” x 1,5 mm.
·  Soporte de 4 patas de tubo cuadrado de 1½” x 1,5 mm, con regatones antideslizantes.
·  Con 3 a"&amp;"marres de acero tubular cuadrado de 1½” x 1,5 mm.
·   Acabado en pintura polvo electrostático de 60 micras. (mínimo)
·   Dimensiones: 1000 x 500 x 750 mm. (ancho, profundidad, alto)
·   El mueble no requiere ser anclado en el piso.")</f>
        <v>· Tablero de madera aglomerada bilaminado, mínimo 18 mm de espesor, canteado en PVC de 3 mm.
·  Estructura metálica: mínimo de tubo cuadrado de 1½” x 1,5 mm.
·  Soporte de 4 patas de tubo cuadrado de 1½” x 1,5 mm, con regatones antideslizantes.
·  Con 3 amarres de acero tubular cuadrado de 1½” x 1,5 mm.
·   Acabado en pintura polvo electrostático de 60 micras. (mínimo)
·   Dimensiones: 1000 x 500 x 750 mm. (ancho, profundidad, alto)
·   El mueble no requiere ser anclado en el piso.</v>
      </c>
      <c r="J1899" s="213">
        <f>IFERROR(__xludf.DUMMYFUNCTION("""COMPUTED_VALUE"""),3.0)</f>
        <v>3</v>
      </c>
      <c r="K1899" s="213" t="str">
        <f>IFERROR(__xludf.DUMMYFUNCTION("""COMPUTED_VALUE"""),"90 DÍAS CALENDARIO")</f>
        <v>90 DÍAS CALENDARIO</v>
      </c>
      <c r="L1899" s="213" t="str">
        <f>IFERROR(__xludf.DUMMYFUNCTION("""COMPUTED_VALUE"""),"")</f>
        <v/>
      </c>
      <c r="M1899" s="213">
        <f>IFERROR(__xludf.DUMMYFUNCTION("""COMPUTED_VALUE"""),1.0)</f>
        <v>1</v>
      </c>
      <c r="N1899" s="213">
        <f>IFERROR(__xludf.DUMMYFUNCTION("""COMPUTED_VALUE"""),2.0)</f>
        <v>2</v>
      </c>
      <c r="O1899" s="213">
        <f>IFERROR(__xludf.DUMMYFUNCTION("""COMPUTED_VALUE"""),2.0)</f>
        <v>2</v>
      </c>
      <c r="P1899" s="213"/>
      <c r="Q1899" s="213"/>
      <c r="R1899" s="213"/>
      <c r="S1899" s="213"/>
      <c r="T1899" s="213"/>
      <c r="U1899" s="213"/>
      <c r="V1899" s="213"/>
      <c r="W1899" s="213"/>
      <c r="X1899" s="213"/>
      <c r="Y1899" s="213"/>
      <c r="Z1899" s="213"/>
      <c r="AA1899" s="213"/>
      <c r="AB1899" s="213"/>
      <c r="AC1899" s="213"/>
      <c r="AD1899" s="213"/>
      <c r="AE1899" s="213"/>
      <c r="AF1899" s="213"/>
      <c r="AG1899" s="213"/>
      <c r="AH1899" s="213"/>
      <c r="AI1899" s="213"/>
      <c r="AJ1899" s="213"/>
      <c r="AK1899" s="213"/>
      <c r="AL1899" s="213"/>
      <c r="AM1899" s="213"/>
      <c r="AN1899" s="213"/>
      <c r="AO1899" s="213"/>
      <c r="AP1899" s="213"/>
      <c r="AQ1899" s="213"/>
      <c r="AR1899" s="213"/>
      <c r="AS1899" s="213"/>
      <c r="AT1899" s="213"/>
      <c r="AU1899" s="213"/>
      <c r="AV1899" s="213"/>
      <c r="AW1899" s="213"/>
      <c r="AX1899" s="213"/>
      <c r="AY1899" s="213"/>
      <c r="AZ1899" s="213"/>
      <c r="BA1899" s="213"/>
      <c r="BB1899" s="213"/>
      <c r="BC1899" s="213"/>
      <c r="BD1899" s="213"/>
    </row>
    <row r="1900">
      <c r="A1900" s="213">
        <f>IFERROR(__xludf.DUMMYFUNCTION("""COMPUTED_VALUE"""),161.0)</f>
        <v>161</v>
      </c>
      <c r="B1900" s="213" t="str">
        <f>IFERROR(__xludf.DUMMYFUNCTION("""COMPUTED_VALUE"""),"2026 SIMON BOLIVAR")</f>
        <v>2026 SIMON BOLIVAR</v>
      </c>
      <c r="C1900" s="213" t="str">
        <f>IFERROR(__xludf.DUMMYFUNCTION("""COMPUTED_VALUE"""),"TALLER SFT DE INDUSTRIA DEL VESTIDO")</f>
        <v>TALLER SFT DE INDUSTRIA DEL VESTIDO</v>
      </c>
      <c r="D1900" s="213" t="str">
        <f>IFERROR(__xludf.DUMMYFUNCTION("""COMPUTED_VALUE"""),"MOBILIARIO")</f>
        <v>MOBILIARIO</v>
      </c>
      <c r="E1900" s="213" t="str">
        <f>IFERROR(__xludf.DUMMYFUNCTION("""COMPUTED_VALUE"""),"MOB-162")</f>
        <v>MOB-162</v>
      </c>
      <c r="F1900" s="213" t="str">
        <f>IFERROR(__xludf.DUMMYFUNCTION("""COMPUTED_VALUE"""),"MOB-162")</f>
        <v>MOB-162</v>
      </c>
      <c r="G1900" s="213"/>
      <c r="H1900" s="213" t="str">
        <f>IFERROR(__xludf.DUMMYFUNCTION("""COMPUTED_VALUE"""),"MUEBLE PARA MÁQUINA REMALLADORA")</f>
        <v>MUEBLE PARA MÁQUINA REMALLADORA</v>
      </c>
      <c r="I1900" s="213" t="str">
        <f>IFERROR(__xludf.DUMMYFUNCTION("""COMPUTED_VALUE"""),"· Tablero de madera aglomerada bilaminado, mínimo 18 mm de espesor, canteado en PVC de 3 mm.
· Estructura metálica: mínimo de tubo cuadrado de 1½” x 1,5 mm.
·  Soporte de 4 patas de tubo cuadrado de 1½” x 1,5 mm, con regatones antideslizantes.
·  Con 3 am"&amp;"arres de acero tubular cuadrado de 1½” x 1,5 mm.
·  Acabado en pintura polvo electrostático de 60 micras. (mínimo)
·   Dimensiones: 1000 x 500 x 750 mm. (ancho, profundidad, alto)
·   El mueble no requiere ser anclado en el piso")</f>
        <v>· Tablero de madera aglomerada bilaminado, mínimo 18 mm de espesor, canteado en PVC de 3 mm.
· Estructura metálica: mínimo de tubo cuadrado de 1½” x 1,5 mm.
·  Soporte de 4 patas de tubo cuadrado de 1½” x 1,5 mm, con regatones antideslizantes.
·  Con 3 amarres de acero tubular cuadrado de 1½” x 1,5 mm.
·  Acabado en pintura polvo electrostático de 60 micras. (mínimo)
·   Dimensiones: 1000 x 500 x 750 mm. (ancho, profundidad, alto)
·   El mueble no requiere ser anclado en el piso</v>
      </c>
      <c r="J1900" s="213">
        <f>IFERROR(__xludf.DUMMYFUNCTION("""COMPUTED_VALUE"""),3.0)</f>
        <v>3</v>
      </c>
      <c r="K1900" s="213" t="str">
        <f>IFERROR(__xludf.DUMMYFUNCTION("""COMPUTED_VALUE"""),"90 DÍAS CALENDARIO")</f>
        <v>90 DÍAS CALENDARIO</v>
      </c>
      <c r="L1900" s="213" t="str">
        <f>IFERROR(__xludf.DUMMYFUNCTION("""COMPUTED_VALUE"""),"")</f>
        <v/>
      </c>
      <c r="M1900" s="213">
        <f>IFERROR(__xludf.DUMMYFUNCTION("""COMPUTED_VALUE"""),1.0)</f>
        <v>1</v>
      </c>
      <c r="N1900" s="213">
        <f>IFERROR(__xludf.DUMMYFUNCTION("""COMPUTED_VALUE"""),7.0)</f>
        <v>7</v>
      </c>
      <c r="O1900" s="213">
        <f>IFERROR(__xludf.DUMMYFUNCTION("""COMPUTED_VALUE"""),7.0)</f>
        <v>7</v>
      </c>
      <c r="P1900" s="213"/>
      <c r="Q1900" s="213"/>
      <c r="R1900" s="213"/>
      <c r="S1900" s="213"/>
      <c r="T1900" s="213"/>
      <c r="U1900" s="213"/>
      <c r="V1900" s="213"/>
      <c r="W1900" s="213"/>
      <c r="X1900" s="213"/>
      <c r="Y1900" s="213"/>
      <c r="Z1900" s="213"/>
      <c r="AA1900" s="213"/>
      <c r="AB1900" s="213"/>
      <c r="AC1900" s="213"/>
      <c r="AD1900" s="213"/>
      <c r="AE1900" s="213"/>
      <c r="AF1900" s="213"/>
      <c r="AG1900" s="213"/>
      <c r="AH1900" s="213"/>
      <c r="AI1900" s="213"/>
      <c r="AJ1900" s="213"/>
      <c r="AK1900" s="213"/>
      <c r="AL1900" s="213"/>
      <c r="AM1900" s="213"/>
      <c r="AN1900" s="213"/>
      <c r="AO1900" s="213"/>
      <c r="AP1900" s="213"/>
      <c r="AQ1900" s="213"/>
      <c r="AR1900" s="213"/>
      <c r="AS1900" s="213"/>
      <c r="AT1900" s="213"/>
      <c r="AU1900" s="213"/>
      <c r="AV1900" s="213"/>
      <c r="AW1900" s="213"/>
      <c r="AX1900" s="213"/>
      <c r="AY1900" s="213"/>
      <c r="AZ1900" s="213"/>
      <c r="BA1900" s="213"/>
      <c r="BB1900" s="213"/>
      <c r="BC1900" s="213"/>
      <c r="BD1900" s="213"/>
    </row>
    <row r="1901">
      <c r="A1901" s="213">
        <f>IFERROR(__xludf.DUMMYFUNCTION("""COMPUTED_VALUE"""),2375.0)</f>
        <v>2375</v>
      </c>
      <c r="B1901" s="213" t="str">
        <f>IFERROR(__xludf.DUMMYFUNCTION("""COMPUTED_VALUE"""),"MANUEL ANTONIO MESONES MURO")</f>
        <v>MANUEL ANTONIO MESONES MURO</v>
      </c>
      <c r="C1901" s="213" t="str">
        <f>IFERROR(__xludf.DUMMYFUNCTION("""COMPUTED_VALUE"""),"TALLER SFT DE INDUSTRIA DEL VESTIDO")</f>
        <v>TALLER SFT DE INDUSTRIA DEL VESTIDO</v>
      </c>
      <c r="D1901" s="213" t="str">
        <f>IFERROR(__xludf.DUMMYFUNCTION("""COMPUTED_VALUE"""),"MOBILIARIO")</f>
        <v>MOBILIARIO</v>
      </c>
      <c r="E1901" s="213" t="str">
        <f>IFERROR(__xludf.DUMMYFUNCTION("""COMPUTED_VALUE"""),"MOB-162")</f>
        <v>MOB-162</v>
      </c>
      <c r="F1901" s="213" t="str">
        <f>IFERROR(__xludf.DUMMYFUNCTION("""COMPUTED_VALUE"""),"MOB-162")</f>
        <v>MOB-162</v>
      </c>
      <c r="G1901" s="213"/>
      <c r="H1901" s="213" t="str">
        <f>IFERROR(__xludf.DUMMYFUNCTION("""COMPUTED_VALUE"""),"MUEBLE PARA MÁQUINA REMALLADORA")</f>
        <v>MUEBLE PARA MÁQUINA REMALLADORA</v>
      </c>
      <c r="I1901" s="213" t="str">
        <f>IFERROR(__xludf.DUMMYFUNCTION("""COMPUTED_VALUE"""),"· Tablero de madera aglomerada bilaminado, mínimo 18 mm de espesor, canteado en PVC de 3 mm.
· Estructura metálica: mínimo de tubo cuadrado de 1½” x 1,5 mm.
·  Soporte de 4 patas de tubo cuadrado de 1½” x 1,5 mm, con regatones antideslizantes.
·  Con 3 am"&amp;"arres de acero tubular cuadrado de 1½” x 1,5 mm.
·  Acabado en pintura polvo electrostático de 60 micras. (mínimo)
·   Dimensiones: 1000 x 500 x 750 mm. (ancho, profundidad, alto)
·   El mueble no requiere ser anclado en el piso")</f>
        <v>· Tablero de madera aglomerada bilaminado, mínimo 18 mm de espesor, canteado en PVC de 3 mm.
· Estructura metálica: mínimo de tubo cuadrado de 1½” x 1,5 mm.
·  Soporte de 4 patas de tubo cuadrado de 1½” x 1,5 mm, con regatones antideslizantes.
·  Con 3 amarres de acero tubular cuadrado de 1½” x 1,5 mm.
·  Acabado en pintura polvo electrostático de 60 micras. (mínimo)
·   Dimensiones: 1000 x 500 x 750 mm. (ancho, profundidad, alto)
·   El mueble no requiere ser anclado en el piso</v>
      </c>
      <c r="J1901" s="213">
        <f>IFERROR(__xludf.DUMMYFUNCTION("""COMPUTED_VALUE"""),3.0)</f>
        <v>3</v>
      </c>
      <c r="K1901" s="213" t="str">
        <f>IFERROR(__xludf.DUMMYFUNCTION("""COMPUTED_VALUE"""),"90 DÍAS CALENDARIO")</f>
        <v>90 DÍAS CALENDARIO</v>
      </c>
      <c r="L1901" s="213" t="str">
        <f>IFERROR(__xludf.DUMMYFUNCTION("""COMPUTED_VALUE"""),"")</f>
        <v/>
      </c>
      <c r="M1901" s="213">
        <f>IFERROR(__xludf.DUMMYFUNCTION("""COMPUTED_VALUE"""),1.0)</f>
        <v>1</v>
      </c>
      <c r="N1901" s="213">
        <f>IFERROR(__xludf.DUMMYFUNCTION("""COMPUTED_VALUE"""),6.0)</f>
        <v>6</v>
      </c>
      <c r="O1901" s="213">
        <f>IFERROR(__xludf.DUMMYFUNCTION("""COMPUTED_VALUE"""),6.0)</f>
        <v>6</v>
      </c>
      <c r="P1901" s="213"/>
      <c r="Q1901" s="213"/>
      <c r="R1901" s="213"/>
      <c r="S1901" s="213"/>
      <c r="T1901" s="213"/>
      <c r="U1901" s="213"/>
      <c r="V1901" s="213"/>
      <c r="W1901" s="213"/>
      <c r="X1901" s="213"/>
      <c r="Y1901" s="213"/>
      <c r="Z1901" s="213"/>
      <c r="AA1901" s="213"/>
      <c r="AB1901" s="213"/>
      <c r="AC1901" s="213"/>
      <c r="AD1901" s="213"/>
      <c r="AE1901" s="213"/>
      <c r="AF1901" s="213"/>
      <c r="AG1901" s="213"/>
      <c r="AH1901" s="213"/>
      <c r="AI1901" s="213"/>
      <c r="AJ1901" s="213"/>
      <c r="AK1901" s="213"/>
      <c r="AL1901" s="213"/>
      <c r="AM1901" s="213"/>
      <c r="AN1901" s="213"/>
      <c r="AO1901" s="213"/>
      <c r="AP1901" s="213"/>
      <c r="AQ1901" s="213"/>
      <c r="AR1901" s="213"/>
      <c r="AS1901" s="213"/>
      <c r="AT1901" s="213"/>
      <c r="AU1901" s="213"/>
      <c r="AV1901" s="213"/>
      <c r="AW1901" s="213"/>
      <c r="AX1901" s="213"/>
      <c r="AY1901" s="213"/>
      <c r="AZ1901" s="213"/>
      <c r="BA1901" s="213"/>
      <c r="BB1901" s="213"/>
      <c r="BC1901" s="213"/>
      <c r="BD1901" s="213"/>
    </row>
    <row r="1902">
      <c r="A1902" s="213">
        <f>IFERROR(__xludf.DUMMYFUNCTION("""COMPUTED_VALUE"""),156.0)</f>
        <v>156</v>
      </c>
      <c r="B1902" s="213" t="str">
        <f>IFERROR(__xludf.DUMMYFUNCTION("""COMPUTED_VALUE"""),"2026 SIMON BOLIVAR")</f>
        <v>2026 SIMON BOLIVAR</v>
      </c>
      <c r="C1902" s="213" t="str">
        <f>IFERROR(__xludf.DUMMYFUNCTION("""COMPUTED_VALUE"""),"TALLER SFT DE INDUSTRIA DEL VESTIDO")</f>
        <v>TALLER SFT DE INDUSTRIA DEL VESTIDO</v>
      </c>
      <c r="D1902" s="213" t="str">
        <f>IFERROR(__xludf.DUMMYFUNCTION("""COMPUTED_VALUE"""),"MOBILIARIO")</f>
        <v>MOBILIARIO</v>
      </c>
      <c r="E1902" s="213" t="str">
        <f>IFERROR(__xludf.DUMMYFUNCTION("""COMPUTED_VALUE"""),"MOB-163")</f>
        <v>MOB-163</v>
      </c>
      <c r="F1902" s="213" t="str">
        <f>IFERROR(__xludf.DUMMYFUNCTION("""COMPUTED_VALUE"""),"MOB-163")</f>
        <v>MOB-163</v>
      </c>
      <c r="G1902" s="213"/>
      <c r="H1902" s="213" t="str">
        <f>IFERROR(__xludf.DUMMYFUNCTION("""COMPUTED_VALUE"""),"MUEBLE PARA MÁQUINA TRANSFER BASE PLANA")</f>
        <v>MUEBLE PARA MÁQUINA TRANSFER BASE PLANA</v>
      </c>
      <c r="I1902" s="213" t="str">
        <f>IFERROR(__xludf.DUMMYFUNCTION("""COMPUTED_VALUE"""),"· Tablero superior e inferior de madera aglomerada bilaminado, mínimo 18 mm de espesor, canteado en PVC de 3 mm.
· Estructura metálica, mínimo de tubo cuadrado de 1½” x 1,5 mm de espesor.
· Soporte de 4 patas de tubo cuadrado de 1½” x 1,5 mm de espesor, c"&amp;"on regatones antideslizantes.
· Acabado en pintura de polvo electrostático de 60 micras mínimo.
· Dimensiones: 800 mm x 1000 mm x 780 mm.
· La mesa no requiere ser anclada al piso.
VERA Hilda")</f>
        <v>· Tablero superior e inferior de madera aglomerada bilaminado, mínimo 18 mm de espesor, canteado en PVC de 3 mm.
· Estructura metálica, mínimo de tubo cuadrado de 1½” x 1,5 mm de espesor.
· Soporte de 4 patas de tubo cuadrado de 1½” x 1,5 mm de espesor, con regatones antideslizantes.
· Acabado en pintura de polvo electrostático de 60 micras mínimo.
· Dimensiones: 800 mm x 1000 mm x 780 mm.
· La mesa no requiere ser anclada al piso.
VERA Hilda</v>
      </c>
      <c r="J1902" s="213">
        <f>IFERROR(__xludf.DUMMYFUNCTION("""COMPUTED_VALUE"""),3.0)</f>
        <v>3</v>
      </c>
      <c r="K1902" s="213" t="str">
        <f>IFERROR(__xludf.DUMMYFUNCTION("""COMPUTED_VALUE"""),"90 DÍAS CALENDARIO")</f>
        <v>90 DÍAS CALENDARIO</v>
      </c>
      <c r="L1902" s="213" t="str">
        <f>IFERROR(__xludf.DUMMYFUNCTION("""COMPUTED_VALUE"""),"")</f>
        <v/>
      </c>
      <c r="M1902" s="213">
        <f>IFERROR(__xludf.DUMMYFUNCTION("""COMPUTED_VALUE"""),1.0)</f>
        <v>1</v>
      </c>
      <c r="N1902" s="213">
        <f>IFERROR(__xludf.DUMMYFUNCTION("""COMPUTED_VALUE"""),1.0)</f>
        <v>1</v>
      </c>
      <c r="O1902" s="213">
        <f>IFERROR(__xludf.DUMMYFUNCTION("""COMPUTED_VALUE"""),1.0)</f>
        <v>1</v>
      </c>
      <c r="P1902" s="213"/>
      <c r="Q1902" s="213"/>
      <c r="R1902" s="213"/>
      <c r="S1902" s="213"/>
      <c r="T1902" s="213"/>
      <c r="U1902" s="213"/>
      <c r="V1902" s="213"/>
      <c r="W1902" s="213"/>
      <c r="X1902" s="213"/>
      <c r="Y1902" s="213"/>
      <c r="Z1902" s="213"/>
      <c r="AA1902" s="213"/>
      <c r="AB1902" s="213"/>
      <c r="AC1902" s="213"/>
      <c r="AD1902" s="213"/>
      <c r="AE1902" s="213"/>
      <c r="AF1902" s="213"/>
      <c r="AG1902" s="213"/>
      <c r="AH1902" s="213"/>
      <c r="AI1902" s="213"/>
      <c r="AJ1902" s="213"/>
      <c r="AK1902" s="213"/>
      <c r="AL1902" s="213"/>
      <c r="AM1902" s="213"/>
      <c r="AN1902" s="213"/>
      <c r="AO1902" s="213"/>
      <c r="AP1902" s="213"/>
      <c r="AQ1902" s="213"/>
      <c r="AR1902" s="213"/>
      <c r="AS1902" s="213"/>
      <c r="AT1902" s="213"/>
      <c r="AU1902" s="213"/>
      <c r="AV1902" s="213"/>
      <c r="AW1902" s="213"/>
      <c r="AX1902" s="213"/>
      <c r="AY1902" s="213"/>
      <c r="AZ1902" s="213"/>
      <c r="BA1902" s="213"/>
      <c r="BB1902" s="213"/>
      <c r="BC1902" s="213"/>
      <c r="BD1902" s="213"/>
    </row>
    <row r="1903">
      <c r="A1903" s="213">
        <f>IFERROR(__xludf.DUMMYFUNCTION("""COMPUTED_VALUE"""),2371.0)</f>
        <v>2371</v>
      </c>
      <c r="B1903" s="213" t="str">
        <f>IFERROR(__xludf.DUMMYFUNCTION("""COMPUTED_VALUE"""),"MANUEL ANTONIO MESONES MURO")</f>
        <v>MANUEL ANTONIO MESONES MURO</v>
      </c>
      <c r="C1903" s="213" t="str">
        <f>IFERROR(__xludf.DUMMYFUNCTION("""COMPUTED_VALUE"""),"TALLER SFT DE INDUSTRIA DEL VESTIDO")</f>
        <v>TALLER SFT DE INDUSTRIA DEL VESTIDO</v>
      </c>
      <c r="D1903" s="213" t="str">
        <f>IFERROR(__xludf.DUMMYFUNCTION("""COMPUTED_VALUE"""),"MOBILIARIO")</f>
        <v>MOBILIARIO</v>
      </c>
      <c r="E1903" s="213" t="str">
        <f>IFERROR(__xludf.DUMMYFUNCTION("""COMPUTED_VALUE"""),"MOB-163")</f>
        <v>MOB-163</v>
      </c>
      <c r="F1903" s="213" t="str">
        <f>IFERROR(__xludf.DUMMYFUNCTION("""COMPUTED_VALUE"""),"MOB-163")</f>
        <v>MOB-163</v>
      </c>
      <c r="G1903" s="213"/>
      <c r="H1903" s="213" t="str">
        <f>IFERROR(__xludf.DUMMYFUNCTION("""COMPUTED_VALUE"""),"MUEBLE PARA MÁQUINA TRANSFER BASE PLANA")</f>
        <v>MUEBLE PARA MÁQUINA TRANSFER BASE PLANA</v>
      </c>
      <c r="I1903" s="213" t="str">
        <f>IFERROR(__xludf.DUMMYFUNCTION("""COMPUTED_VALUE"""),"· Tablero superior e inferior de madera aglomerada bilaminado, mínimo 18 mm de espesor, canteado en PVC de 3 mm.
· Estructura metálica, mínimo de tubo cuadrado de 1½” x 1,5 mm de espesor.
· Soporte de 4 patas de tubo cuadrado de 1½” x 1,5 mm de espesor, c"&amp;"on regatones antideslizantes.
· Acabado en pintura de polvo electrostático de 60 micras mínimo.
· Dimensiones: 800 mm x 1000 mm x 780 mm.
· La mesa no requiere ser anclada al piso.
VERA Hilda")</f>
        <v>· Tablero superior e inferior de madera aglomerada bilaminado, mínimo 18 mm de espesor, canteado en PVC de 3 mm.
· Estructura metálica, mínimo de tubo cuadrado de 1½” x 1,5 mm de espesor.
· Soporte de 4 patas de tubo cuadrado de 1½” x 1,5 mm de espesor, con regatones antideslizantes.
· Acabado en pintura de polvo electrostático de 60 micras mínimo.
· Dimensiones: 800 mm x 1000 mm x 780 mm.
· La mesa no requiere ser anclada al piso.
VERA Hilda</v>
      </c>
      <c r="J1903" s="213">
        <f>IFERROR(__xludf.DUMMYFUNCTION("""COMPUTED_VALUE"""),3.0)</f>
        <v>3</v>
      </c>
      <c r="K1903" s="213" t="str">
        <f>IFERROR(__xludf.DUMMYFUNCTION("""COMPUTED_VALUE"""),"90 DÍAS CALENDARIO")</f>
        <v>90 DÍAS CALENDARIO</v>
      </c>
      <c r="L1903" s="213" t="str">
        <f>IFERROR(__xludf.DUMMYFUNCTION("""COMPUTED_VALUE"""),"")</f>
        <v/>
      </c>
      <c r="M1903" s="213">
        <f>IFERROR(__xludf.DUMMYFUNCTION("""COMPUTED_VALUE"""),1.0)</f>
        <v>1</v>
      </c>
      <c r="N1903" s="213">
        <f>IFERROR(__xludf.DUMMYFUNCTION("""COMPUTED_VALUE"""),1.0)</f>
        <v>1</v>
      </c>
      <c r="O1903" s="213">
        <f>IFERROR(__xludf.DUMMYFUNCTION("""COMPUTED_VALUE"""),1.0)</f>
        <v>1</v>
      </c>
      <c r="P1903" s="213"/>
      <c r="Q1903" s="213"/>
      <c r="R1903" s="213"/>
      <c r="S1903" s="213"/>
      <c r="T1903" s="213"/>
      <c r="U1903" s="213"/>
      <c r="V1903" s="213"/>
      <c r="W1903" s="213"/>
      <c r="X1903" s="213"/>
      <c r="Y1903" s="213"/>
      <c r="Z1903" s="213"/>
      <c r="AA1903" s="213"/>
      <c r="AB1903" s="213"/>
      <c r="AC1903" s="213"/>
      <c r="AD1903" s="213"/>
      <c r="AE1903" s="213"/>
      <c r="AF1903" s="213"/>
      <c r="AG1903" s="213"/>
      <c r="AH1903" s="213"/>
      <c r="AI1903" s="213"/>
      <c r="AJ1903" s="213"/>
      <c r="AK1903" s="213"/>
      <c r="AL1903" s="213"/>
      <c r="AM1903" s="213"/>
      <c r="AN1903" s="213"/>
      <c r="AO1903" s="213"/>
      <c r="AP1903" s="213"/>
      <c r="AQ1903" s="213"/>
      <c r="AR1903" s="213"/>
      <c r="AS1903" s="213"/>
      <c r="AT1903" s="213"/>
      <c r="AU1903" s="213"/>
      <c r="AV1903" s="213"/>
      <c r="AW1903" s="213"/>
      <c r="AX1903" s="213"/>
      <c r="AY1903" s="213"/>
      <c r="AZ1903" s="213"/>
      <c r="BA1903" s="213"/>
      <c r="BB1903" s="213"/>
      <c r="BC1903" s="213"/>
      <c r="BD1903" s="213"/>
    </row>
    <row r="1904">
      <c r="A1904" s="213">
        <f>IFERROR(__xludf.DUMMYFUNCTION("""COMPUTED_VALUE"""),157.0)</f>
        <v>157</v>
      </c>
      <c r="B1904" s="213" t="str">
        <f>IFERROR(__xludf.DUMMYFUNCTION("""COMPUTED_VALUE"""),"2026 SIMON BOLIVAR")</f>
        <v>2026 SIMON BOLIVAR</v>
      </c>
      <c r="C1904" s="213" t="str">
        <f>IFERROR(__xludf.DUMMYFUNCTION("""COMPUTED_VALUE"""),"TALLER SFT DE INDUSTRIA DEL VESTIDO")</f>
        <v>TALLER SFT DE INDUSTRIA DEL VESTIDO</v>
      </c>
      <c r="D1904" s="213" t="str">
        <f>IFERROR(__xludf.DUMMYFUNCTION("""COMPUTED_VALUE"""),"MOBILIARIO")</f>
        <v>MOBILIARIO</v>
      </c>
      <c r="E1904" s="213" t="str">
        <f>IFERROR(__xludf.DUMMYFUNCTION("""COMPUTED_VALUE"""),"MOB-164")</f>
        <v>MOB-164</v>
      </c>
      <c r="F1904" s="213" t="str">
        <f>IFERROR(__xludf.DUMMYFUNCTION("""COMPUTED_VALUE"""),"MOB-164")</f>
        <v>MOB-164</v>
      </c>
      <c r="G1904" s="213"/>
      <c r="H1904" s="213" t="str">
        <f>IFERROR(__xludf.DUMMYFUNCTION("""COMPUTED_VALUE"""),"MUEBLE PARA MÁQUINA TRANSFER DE BASE CURVA")</f>
        <v>MUEBLE PARA MÁQUINA TRANSFER DE BASE CURVA</v>
      </c>
      <c r="I1904" s="213" t="str">
        <f>IFERROR(__xludf.DUMMYFUNCTION("""COMPUTED_VALUE"""),"· Tablero superior e inferior de madera aglomerada bilaminado, mínimo 18 mm de espesor, canteado en PVC de 3 mm.
· Estructura metálica, mínimo de tubo cuadrado de 1½” x 1,5 mm de espesor.
· Soporte de 4 patas de tubo cuadrado de 1½” x 1,5 mm de espesor, c"&amp;"on regatones antideslizantes.
· Acabado en pintura de polvo electrostático de 60 micras mínimo.
· Dimensiones: 800 mm x 1000 mm x 780 mm.
· La mesa no requiere ser anclada al piso.")</f>
        <v>· Tablero superior e inferior de madera aglomerada bilaminado, mínimo 18 mm de espesor, canteado en PVC de 3 mm.
· Estructura metálica, mínimo de tubo cuadrado de 1½” x 1,5 mm de espesor.
· Soporte de 4 patas de tubo cuadrado de 1½” x 1,5 mm de espesor, con regatones antideslizantes.
· Acabado en pintura de polvo electrostático de 60 micras mínimo.
· Dimensiones: 800 mm x 1000 mm x 780 mm.
· La mesa no requiere ser anclada al piso.</v>
      </c>
      <c r="J1904" s="213">
        <f>IFERROR(__xludf.DUMMYFUNCTION("""COMPUTED_VALUE"""),3.0)</f>
        <v>3</v>
      </c>
      <c r="K1904" s="213" t="str">
        <f>IFERROR(__xludf.DUMMYFUNCTION("""COMPUTED_VALUE"""),"90 DÍAS CALENDARIO")</f>
        <v>90 DÍAS CALENDARIO</v>
      </c>
      <c r="L1904" s="213" t="str">
        <f>IFERROR(__xludf.DUMMYFUNCTION("""COMPUTED_VALUE"""),"")</f>
        <v/>
      </c>
      <c r="M1904" s="213">
        <f>IFERROR(__xludf.DUMMYFUNCTION("""COMPUTED_VALUE"""),1.0)</f>
        <v>1</v>
      </c>
      <c r="N1904" s="213">
        <f>IFERROR(__xludf.DUMMYFUNCTION("""COMPUTED_VALUE"""),1.0)</f>
        <v>1</v>
      </c>
      <c r="O1904" s="213">
        <f>IFERROR(__xludf.DUMMYFUNCTION("""COMPUTED_VALUE"""),1.0)</f>
        <v>1</v>
      </c>
      <c r="P1904" s="213"/>
      <c r="Q1904" s="213"/>
      <c r="R1904" s="213"/>
      <c r="S1904" s="213"/>
      <c r="T1904" s="213"/>
      <c r="U1904" s="213"/>
      <c r="V1904" s="213"/>
      <c r="W1904" s="213"/>
      <c r="X1904" s="213"/>
      <c r="Y1904" s="213"/>
      <c r="Z1904" s="213"/>
      <c r="AA1904" s="213"/>
      <c r="AB1904" s="213"/>
      <c r="AC1904" s="213"/>
      <c r="AD1904" s="213"/>
      <c r="AE1904" s="213"/>
      <c r="AF1904" s="213"/>
      <c r="AG1904" s="213"/>
      <c r="AH1904" s="213"/>
      <c r="AI1904" s="213"/>
      <c r="AJ1904" s="213"/>
      <c r="AK1904" s="213"/>
      <c r="AL1904" s="213"/>
      <c r="AM1904" s="213"/>
      <c r="AN1904" s="213"/>
      <c r="AO1904" s="213"/>
      <c r="AP1904" s="213"/>
      <c r="AQ1904" s="213"/>
      <c r="AR1904" s="213"/>
      <c r="AS1904" s="213"/>
      <c r="AT1904" s="213"/>
      <c r="AU1904" s="213"/>
      <c r="AV1904" s="213"/>
      <c r="AW1904" s="213"/>
      <c r="AX1904" s="213"/>
      <c r="AY1904" s="213"/>
      <c r="AZ1904" s="213"/>
      <c r="BA1904" s="213"/>
      <c r="BB1904" s="213"/>
      <c r="BC1904" s="213"/>
      <c r="BD1904" s="213"/>
    </row>
    <row r="1905">
      <c r="A1905" s="213">
        <f>IFERROR(__xludf.DUMMYFUNCTION("""COMPUTED_VALUE"""),2372.0)</f>
        <v>2372</v>
      </c>
      <c r="B1905" s="213" t="str">
        <f>IFERROR(__xludf.DUMMYFUNCTION("""COMPUTED_VALUE"""),"MANUEL ANTONIO MESONES MURO")</f>
        <v>MANUEL ANTONIO MESONES MURO</v>
      </c>
      <c r="C1905" s="213" t="str">
        <f>IFERROR(__xludf.DUMMYFUNCTION("""COMPUTED_VALUE"""),"TALLER SFT DE INDUSTRIA DEL VESTIDO")</f>
        <v>TALLER SFT DE INDUSTRIA DEL VESTIDO</v>
      </c>
      <c r="D1905" s="213" t="str">
        <f>IFERROR(__xludf.DUMMYFUNCTION("""COMPUTED_VALUE"""),"MOBILIARIO")</f>
        <v>MOBILIARIO</v>
      </c>
      <c r="E1905" s="213" t="str">
        <f>IFERROR(__xludf.DUMMYFUNCTION("""COMPUTED_VALUE"""),"MOB-164")</f>
        <v>MOB-164</v>
      </c>
      <c r="F1905" s="213" t="str">
        <f>IFERROR(__xludf.DUMMYFUNCTION("""COMPUTED_VALUE"""),"MOB-164")</f>
        <v>MOB-164</v>
      </c>
      <c r="G1905" s="213"/>
      <c r="H1905" s="213" t="str">
        <f>IFERROR(__xludf.DUMMYFUNCTION("""COMPUTED_VALUE"""),"MUEBLE PARA MÁQUINA TRANSFER DE BASE CURVA")</f>
        <v>MUEBLE PARA MÁQUINA TRANSFER DE BASE CURVA</v>
      </c>
      <c r="I1905" s="213" t="str">
        <f>IFERROR(__xludf.DUMMYFUNCTION("""COMPUTED_VALUE"""),"· Tablero superior e inferior de madera aglomerada bilaminado, mínimo 18 mm de espesor, canteado en PVC de 3 mm.
· Estructura metálica, mínimo de tubo cuadrado de 1½” x 1,5 mm de espesor.
· Soporte de 4 patas de tubo cuadrado de 1½” x 1,5 mm de espesor, c"&amp;"on regatones antideslizantes.
· Acabado en pintura de polvo electrostático de 60 micras mínimo.
· Dimensiones: 800 mm x 1000 mm x 780 mm.
· La mesa no requiere ser anclada al piso.")</f>
        <v>· Tablero superior e inferior de madera aglomerada bilaminado, mínimo 18 mm de espesor, canteado en PVC de 3 mm.
· Estructura metálica, mínimo de tubo cuadrado de 1½” x 1,5 mm de espesor.
· Soporte de 4 patas de tubo cuadrado de 1½” x 1,5 mm de espesor, con regatones antideslizantes.
· Acabado en pintura de polvo electrostático de 60 micras mínimo.
· Dimensiones: 800 mm x 1000 mm x 780 mm.
· La mesa no requiere ser anclada al piso.</v>
      </c>
      <c r="J1905" s="213">
        <f>IFERROR(__xludf.DUMMYFUNCTION("""COMPUTED_VALUE"""),3.0)</f>
        <v>3</v>
      </c>
      <c r="K1905" s="213" t="str">
        <f>IFERROR(__xludf.DUMMYFUNCTION("""COMPUTED_VALUE"""),"90 DÍAS CALENDARIO")</f>
        <v>90 DÍAS CALENDARIO</v>
      </c>
      <c r="L1905" s="213" t="str">
        <f>IFERROR(__xludf.DUMMYFUNCTION("""COMPUTED_VALUE"""),"")</f>
        <v/>
      </c>
      <c r="M1905" s="213">
        <f>IFERROR(__xludf.DUMMYFUNCTION("""COMPUTED_VALUE"""),1.0)</f>
        <v>1</v>
      </c>
      <c r="N1905" s="213">
        <f>IFERROR(__xludf.DUMMYFUNCTION("""COMPUTED_VALUE"""),1.0)</f>
        <v>1</v>
      </c>
      <c r="O1905" s="213">
        <f>IFERROR(__xludf.DUMMYFUNCTION("""COMPUTED_VALUE"""),1.0)</f>
        <v>1</v>
      </c>
      <c r="P1905" s="213"/>
      <c r="Q1905" s="213"/>
      <c r="R1905" s="213"/>
      <c r="S1905" s="213"/>
      <c r="T1905" s="213"/>
      <c r="U1905" s="213"/>
      <c r="V1905" s="213"/>
      <c r="W1905" s="213"/>
      <c r="X1905" s="213"/>
      <c r="Y1905" s="213"/>
      <c r="Z1905" s="213"/>
      <c r="AA1905" s="213"/>
      <c r="AB1905" s="213"/>
      <c r="AC1905" s="213"/>
      <c r="AD1905" s="213"/>
      <c r="AE1905" s="213"/>
      <c r="AF1905" s="213"/>
      <c r="AG1905" s="213"/>
      <c r="AH1905" s="213"/>
      <c r="AI1905" s="213"/>
      <c r="AJ1905" s="213"/>
      <c r="AK1905" s="213"/>
      <c r="AL1905" s="213"/>
      <c r="AM1905" s="213"/>
      <c r="AN1905" s="213"/>
      <c r="AO1905" s="213"/>
      <c r="AP1905" s="213"/>
      <c r="AQ1905" s="213"/>
      <c r="AR1905" s="213"/>
      <c r="AS1905" s="213"/>
      <c r="AT1905" s="213"/>
      <c r="AU1905" s="213"/>
      <c r="AV1905" s="213"/>
      <c r="AW1905" s="213"/>
      <c r="AX1905" s="213"/>
      <c r="AY1905" s="213"/>
      <c r="AZ1905" s="213"/>
      <c r="BA1905" s="213"/>
      <c r="BB1905" s="213"/>
      <c r="BC1905" s="213"/>
      <c r="BD1905" s="213"/>
    </row>
    <row r="1906">
      <c r="A1906" s="213">
        <f>IFERROR(__xludf.DUMMYFUNCTION("""COMPUTED_VALUE"""),1919.0)</f>
        <v>1919</v>
      </c>
      <c r="B1906" s="213" t="str">
        <f>IFERROR(__xludf.DUMMYFUNCTION("""COMPUTED_VALUE"""),"JOSE GRANDA")</f>
        <v>JOSE GRANDA</v>
      </c>
      <c r="C1906" s="213" t="str">
        <f>IFERROR(__xludf.DUMMYFUNCTION("""COMPUTED_VALUE"""),"TALLER SFT DE COMPUTACIÓN E INFORMÁTICA")</f>
        <v>TALLER SFT DE COMPUTACIÓN E INFORMÁTICA</v>
      </c>
      <c r="D1906" s="213" t="str">
        <f>IFERROR(__xludf.DUMMYFUNCTION("""COMPUTED_VALUE"""),"HERRAMIENTAS")</f>
        <v>HERRAMIENTAS</v>
      </c>
      <c r="E1906" s="213" t="str">
        <f>IFERROR(__xludf.DUMMYFUNCTION("""COMPUTED_VALUE"""),"MAT-161")</f>
        <v>MAT-161</v>
      </c>
      <c r="F1906" s="213" t="str">
        <f>IFERROR(__xludf.DUMMYFUNCTION("""COMPUTED_VALUE"""),"MAT-161")</f>
        <v>MAT-161</v>
      </c>
      <c r="G1906" s="213"/>
      <c r="H1906" s="213" t="str">
        <f>IFERROR(__xludf.DUMMYFUNCTION("""COMPUTED_VALUE"""),"EXTINTOR CO2")</f>
        <v>EXTINTOR CO2</v>
      </c>
      <c r="I1906"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colga"&amp;"dor de 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906" s="213">
        <f>IFERROR(__xludf.DUMMYFUNCTION("""COMPUTED_VALUE"""),3.0)</f>
        <v>3</v>
      </c>
      <c r="K1906" s="213" t="str">
        <f>IFERROR(__xludf.DUMMYFUNCTION("""COMPUTED_VALUE"""),"90 DÍAS CALENDARIO")</f>
        <v>90 DÍAS CALENDARIO</v>
      </c>
      <c r="L1906"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906" s="213">
        <f>IFERROR(__xludf.DUMMYFUNCTION("""COMPUTED_VALUE"""),1.0)</f>
        <v>1</v>
      </c>
      <c r="N1906" s="213">
        <f>IFERROR(__xludf.DUMMYFUNCTION("""COMPUTED_VALUE"""),1.0)</f>
        <v>1</v>
      </c>
      <c r="O1906" s="213">
        <f>IFERROR(__xludf.DUMMYFUNCTION("""COMPUTED_VALUE"""),1.0)</f>
        <v>1</v>
      </c>
      <c r="P1906" s="213"/>
      <c r="Q1906" s="213"/>
      <c r="R1906" s="213"/>
      <c r="S1906" s="213"/>
      <c r="T1906" s="213" t="str">
        <f>IFERROR(__xludf.DUMMYFUNCTION("""COMPUTED_VALUE"""),"CONSULTA FINAL")</f>
        <v>CONSULTA FINAL</v>
      </c>
      <c r="U1906" s="213" t="str">
        <f>IFERROR(__xludf.DUMMYFUNCTION("""COMPUTED_VALUE"""),"NO")</f>
        <v>NO</v>
      </c>
      <c r="V1906" s="213" t="str">
        <f>IFERROR(__xludf.DUMMYFUNCTION("""COMPUTED_VALUE"""),"NO")</f>
        <v>NO</v>
      </c>
      <c r="W1906" s="213" t="str">
        <f>IFERROR(__xludf.DUMMYFUNCTION("""COMPUTED_VALUE"""),"-")</f>
        <v>-</v>
      </c>
      <c r="X1906" s="213" t="str">
        <f>IFERROR(__xludf.DUMMYFUNCTION("""COMPUTED_VALUE"""),"FIREMAN'S")</f>
        <v>FIREMAN'S</v>
      </c>
      <c r="Y1906" s="213" t="str">
        <f>IFERROR(__xludf.DUMMYFUNCTION("""COMPUTED_VALUE"""),"Extintores Portátiles Manuales de Dióxido de Carbono ")</f>
        <v>Extintores Portátiles Manuales de Dióxido de Carbono </v>
      </c>
      <c r="Z1906" s="215" t="str">
        <f>IFERROR(__xludf.DUMMYFUNCTION("""COMPUTED_VALUE"""),"https://firemansperu.com/productos/extintores-firemans/dioxido-de-carbono/")</f>
        <v>https://firemansperu.com/productos/extintores-firemans/dioxido-de-carbono/</v>
      </c>
      <c r="AA1906" s="213" t="str">
        <f>IFERROR(__xludf.DUMMYFUNCTION("""COMPUTED_VALUE"""),"MAT-161 EXTINTOR CO2 - CET")</f>
        <v>MAT-161 EXTINTOR CO2 - CET</v>
      </c>
      <c r="AB1906" s="213"/>
      <c r="AC1906" s="213"/>
      <c r="AD1906" s="213"/>
      <c r="AE1906" s="213"/>
      <c r="AF1906" s="213"/>
      <c r="AG1906" s="213"/>
      <c r="AH1906" s="213"/>
      <c r="AI1906" s="213"/>
      <c r="AJ1906" s="213"/>
      <c r="AK1906" s="213"/>
      <c r="AL1906" s="213"/>
      <c r="AM1906" s="213"/>
      <c r="AN1906" s="213"/>
      <c r="AO1906" s="213"/>
      <c r="AP1906" s="213" t="str">
        <f>IFERROR(__xludf.DUMMYFUNCTION("""COMPUTED_VALUE"""),"BRUNO")</f>
        <v>BRUNO</v>
      </c>
      <c r="AQ1906" s="213"/>
      <c r="AR1906" s="213"/>
      <c r="AS1906" s="213"/>
      <c r="AT1906" s="213"/>
      <c r="AU1906" s="213"/>
      <c r="AV1906" s="213"/>
      <c r="AW1906" s="213"/>
      <c r="AX1906" s="213"/>
      <c r="AY1906" s="213"/>
      <c r="AZ1906" s="213"/>
      <c r="BA1906" s="213"/>
      <c r="BB1906" s="213"/>
      <c r="BC1906" s="213"/>
      <c r="BD1906" s="213"/>
    </row>
    <row r="1907">
      <c r="A1907" s="213">
        <f>IFERROR(__xludf.DUMMYFUNCTION("""COMPUTED_VALUE"""),2047.0)</f>
        <v>2047</v>
      </c>
      <c r="B1907" s="213" t="str">
        <f>IFERROR(__xludf.DUMMYFUNCTION("""COMPUTED_VALUE"""),"JOSE GRANDA")</f>
        <v>JOSE GRANDA</v>
      </c>
      <c r="C1907" s="213" t="str">
        <f>IFERROR(__xludf.DUMMYFUNCTION("""COMPUTED_VALUE"""),"TALLER SFT DE INDUSTRIA ALIMENTARIA")</f>
        <v>TALLER SFT DE INDUSTRIA ALIMENTARIA</v>
      </c>
      <c r="D1907" s="213" t="str">
        <f>IFERROR(__xludf.DUMMYFUNCTION("""COMPUTED_VALUE"""),"HERRAMIENTAS")</f>
        <v>HERRAMIENTAS</v>
      </c>
      <c r="E1907" s="213" t="str">
        <f>IFERROR(__xludf.DUMMYFUNCTION("""COMPUTED_VALUE"""),"MAT-161")</f>
        <v>MAT-161</v>
      </c>
      <c r="F1907" s="213" t="str">
        <f>IFERROR(__xludf.DUMMYFUNCTION("""COMPUTED_VALUE"""),"MAT-161")</f>
        <v>MAT-161</v>
      </c>
      <c r="G1907" s="213"/>
      <c r="H1907" s="213" t="str">
        <f>IFERROR(__xludf.DUMMYFUNCTION("""COMPUTED_VALUE"""),"EXTINTOR CO2")</f>
        <v>EXTINTOR CO2</v>
      </c>
      <c r="I1907"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907" s="213">
        <f>IFERROR(__xludf.DUMMYFUNCTION("""COMPUTED_VALUE"""),3.0)</f>
        <v>3</v>
      </c>
      <c r="K1907" s="213" t="str">
        <f>IFERROR(__xludf.DUMMYFUNCTION("""COMPUTED_VALUE"""),"90 DÍAS CALENDARIO")</f>
        <v>90 DÍAS CALENDARIO</v>
      </c>
      <c r="L1907"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907" s="213">
        <f>IFERROR(__xludf.DUMMYFUNCTION("""COMPUTED_VALUE"""),1.0)</f>
        <v>1</v>
      </c>
      <c r="N1907" s="213">
        <f>IFERROR(__xludf.DUMMYFUNCTION("""COMPUTED_VALUE"""),1.0)</f>
        <v>1</v>
      </c>
      <c r="O1907" s="213">
        <f>IFERROR(__xludf.DUMMYFUNCTION("""COMPUTED_VALUE"""),1.0)</f>
        <v>1</v>
      </c>
      <c r="P1907" s="213"/>
      <c r="Q1907" s="213"/>
      <c r="R1907" s="213"/>
      <c r="S1907" s="213"/>
      <c r="T1907" s="213" t="str">
        <f>IFERROR(__xludf.DUMMYFUNCTION("""COMPUTED_VALUE"""),"CONSULTA FINAL")</f>
        <v>CONSULTA FINAL</v>
      </c>
      <c r="U1907" s="213" t="str">
        <f>IFERROR(__xludf.DUMMYFUNCTION("""COMPUTED_VALUE"""),"NO")</f>
        <v>NO</v>
      </c>
      <c r="V1907" s="213" t="str">
        <f>IFERROR(__xludf.DUMMYFUNCTION("""COMPUTED_VALUE"""),"NO")</f>
        <v>NO</v>
      </c>
      <c r="W1907" s="213" t="str">
        <f>IFERROR(__xludf.DUMMYFUNCTION("""COMPUTED_VALUE"""),"-")</f>
        <v>-</v>
      </c>
      <c r="X1907" s="213" t="str">
        <f>IFERROR(__xludf.DUMMYFUNCTION("""COMPUTED_VALUE"""),"FIREMAN'S")</f>
        <v>FIREMAN'S</v>
      </c>
      <c r="Y1907" s="213" t="str">
        <f>IFERROR(__xludf.DUMMYFUNCTION("""COMPUTED_VALUE"""),"Extintores Portátiles Manuales de Dióxido de Carbono ")</f>
        <v>Extintores Portátiles Manuales de Dióxido de Carbono </v>
      </c>
      <c r="Z1907" s="215" t="str">
        <f>IFERROR(__xludf.DUMMYFUNCTION("""COMPUTED_VALUE"""),"https://firemansperu.com/productos/extintores-firemans/dioxido-de-carbono/")</f>
        <v>https://firemansperu.com/productos/extintores-firemans/dioxido-de-carbono/</v>
      </c>
      <c r="AA1907" s="213" t="str">
        <f>IFERROR(__xludf.DUMMYFUNCTION("""COMPUTED_VALUE"""),"MAT-161 EXTINTOR CO2 - CET")</f>
        <v>MAT-161 EXTINTOR CO2 - CET</v>
      </c>
      <c r="AB1907" s="213"/>
      <c r="AC1907" s="213"/>
      <c r="AD1907" s="213"/>
      <c r="AE1907" s="213"/>
      <c r="AF1907" s="213"/>
      <c r="AG1907" s="213"/>
      <c r="AH1907" s="213"/>
      <c r="AI1907" s="213"/>
      <c r="AJ1907" s="213"/>
      <c r="AK1907" s="213"/>
      <c r="AL1907" s="213"/>
      <c r="AM1907" s="213"/>
      <c r="AN1907" s="213"/>
      <c r="AO1907" s="213"/>
      <c r="AP1907" s="213" t="str">
        <f>IFERROR(__xludf.DUMMYFUNCTION("""COMPUTED_VALUE"""),"BRUNO")</f>
        <v>BRUNO</v>
      </c>
      <c r="AQ1907" s="213"/>
      <c r="AR1907" s="213"/>
      <c r="AS1907" s="213"/>
      <c r="AT1907" s="213"/>
      <c r="AU1907" s="213"/>
      <c r="AV1907" s="213"/>
      <c r="AW1907" s="213"/>
      <c r="AX1907" s="213"/>
      <c r="AY1907" s="213"/>
      <c r="AZ1907" s="213"/>
      <c r="BA1907" s="213"/>
      <c r="BB1907" s="213"/>
      <c r="BC1907" s="213"/>
      <c r="BD1907" s="213"/>
    </row>
    <row r="1908">
      <c r="A1908" s="213">
        <f>IFERROR(__xludf.DUMMYFUNCTION("""COMPUTED_VALUE"""),2204.0)</f>
        <v>2204</v>
      </c>
      <c r="B1908" s="213" t="str">
        <f>IFERROR(__xludf.DUMMYFUNCTION("""COMPUTED_VALUE"""),"JOSE GRANDA")</f>
        <v>JOSE GRANDA</v>
      </c>
      <c r="C1908" s="213" t="str">
        <f>IFERROR(__xludf.DUMMYFUNCTION("""COMPUTED_VALUE"""),"TALLER SFT DE MECÁNICA AUTOMOTRIZ")</f>
        <v>TALLER SFT DE MECÁNICA AUTOMOTRIZ</v>
      </c>
      <c r="D1908" s="213" t="str">
        <f>IFERROR(__xludf.DUMMYFUNCTION("""COMPUTED_VALUE"""),"HERRAMIENTAS")</f>
        <v>HERRAMIENTAS</v>
      </c>
      <c r="E1908" s="213" t="str">
        <f>IFERROR(__xludf.DUMMYFUNCTION("""COMPUTED_VALUE"""),"MAT-161")</f>
        <v>MAT-161</v>
      </c>
      <c r="F1908" s="213" t="str">
        <f>IFERROR(__xludf.DUMMYFUNCTION("""COMPUTED_VALUE"""),"MAT-161")</f>
        <v>MAT-161</v>
      </c>
      <c r="G1908" s="213"/>
      <c r="H1908" s="213" t="str">
        <f>IFERROR(__xludf.DUMMYFUNCTION("""COMPUTED_VALUE"""),"EXTINTOR CO2")</f>
        <v>EXTINTOR CO2</v>
      </c>
      <c r="I1908" s="213" t="str">
        <f>IFERROR(__xludf.DUMMYFUNCTION("""COMPUTED_VALUE"""),"Extintor de gas carbónico CO2.
· Adecuado para uso en incendios de clase B y C.
· Capacidad del agente: 5 lb (2,27 kg).
· Rango de temperatura: -30 a 49 °C.
· Tiempo de descarga: 9 segundos.
· Cuenta con precinto de seguridad.
· Con soporte colgador de pa"&amp;"red.
· Certificado de operatividad y vigencia de presión hidrostática (PH).
· Tarjeta de inspección y etiqueta de mantenimiento, conforme a la NTP 350.043-INDECI.
· Certificación UL.")</f>
        <v>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908" s="213">
        <f>IFERROR(__xludf.DUMMYFUNCTION("""COMPUTED_VALUE"""),3.0)</f>
        <v>3</v>
      </c>
      <c r="K1908" s="213" t="str">
        <f>IFERROR(__xludf.DUMMYFUNCTION("""COMPUTED_VALUE"""),"90 DÍAS CALENDARIO")</f>
        <v>90 DÍAS CALENDARIO</v>
      </c>
      <c r="L1908"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908" s="213">
        <f>IFERROR(__xludf.DUMMYFUNCTION("""COMPUTED_VALUE"""),1.0)</f>
        <v>1</v>
      </c>
      <c r="N1908" s="213">
        <f>IFERROR(__xludf.DUMMYFUNCTION("""COMPUTED_VALUE"""),1.0)</f>
        <v>1</v>
      </c>
      <c r="O1908" s="213">
        <f>IFERROR(__xludf.DUMMYFUNCTION("""COMPUTED_VALUE"""),1.0)</f>
        <v>1</v>
      </c>
      <c r="P1908" s="213"/>
      <c r="Q1908" s="213"/>
      <c r="R1908" s="213"/>
      <c r="S1908" s="213"/>
      <c r="T1908" s="213" t="str">
        <f>IFERROR(__xludf.DUMMYFUNCTION("""COMPUTED_VALUE"""),"CONSULTA FINAL")</f>
        <v>CONSULTA FINAL</v>
      </c>
      <c r="U1908" s="213" t="str">
        <f>IFERROR(__xludf.DUMMYFUNCTION("""COMPUTED_VALUE"""),"NO")</f>
        <v>NO</v>
      </c>
      <c r="V1908" s="213" t="str">
        <f>IFERROR(__xludf.DUMMYFUNCTION("""COMPUTED_VALUE"""),"NO")</f>
        <v>NO</v>
      </c>
      <c r="W1908" s="213" t="str">
        <f>IFERROR(__xludf.DUMMYFUNCTION("""COMPUTED_VALUE"""),"-")</f>
        <v>-</v>
      </c>
      <c r="X1908" s="213" t="str">
        <f>IFERROR(__xludf.DUMMYFUNCTION("""COMPUTED_VALUE"""),"FIREMAN'S")</f>
        <v>FIREMAN'S</v>
      </c>
      <c r="Y1908" s="213" t="str">
        <f>IFERROR(__xludf.DUMMYFUNCTION("""COMPUTED_VALUE"""),"Extintores Portátiles Manuales de Dióxido de Carbono ")</f>
        <v>Extintores Portátiles Manuales de Dióxido de Carbono </v>
      </c>
      <c r="Z1908" s="215" t="str">
        <f>IFERROR(__xludf.DUMMYFUNCTION("""COMPUTED_VALUE"""),"https://firemansperu.com/productos/extintores-firemans/dioxido-de-carbono/")</f>
        <v>https://firemansperu.com/productos/extintores-firemans/dioxido-de-carbono/</v>
      </c>
      <c r="AA1908" s="213" t="str">
        <f>IFERROR(__xludf.DUMMYFUNCTION("""COMPUTED_VALUE"""),"MAT-161 EXTINTOR CO2 - CET")</f>
        <v>MAT-161 EXTINTOR CO2 - CET</v>
      </c>
      <c r="AB1908" s="213"/>
      <c r="AC1908" s="213"/>
      <c r="AD1908" s="213"/>
      <c r="AE1908" s="213"/>
      <c r="AF1908" s="213"/>
      <c r="AG1908" s="213"/>
      <c r="AH1908" s="213"/>
      <c r="AI1908" s="213"/>
      <c r="AJ1908" s="213"/>
      <c r="AK1908" s="213"/>
      <c r="AL1908" s="213"/>
      <c r="AM1908" s="213"/>
      <c r="AN1908" s="213"/>
      <c r="AO1908" s="213"/>
      <c r="AP1908" s="213" t="str">
        <f>IFERROR(__xludf.DUMMYFUNCTION("""COMPUTED_VALUE"""),"BRUNO")</f>
        <v>BRUNO</v>
      </c>
      <c r="AQ1908" s="213"/>
      <c r="AR1908" s="213"/>
      <c r="AS1908" s="213"/>
      <c r="AT1908" s="213"/>
      <c r="AU1908" s="213"/>
      <c r="AV1908" s="213"/>
      <c r="AW1908" s="213"/>
      <c r="AX1908" s="213"/>
      <c r="AY1908" s="213"/>
      <c r="AZ1908" s="213"/>
      <c r="BA1908" s="213"/>
      <c r="BB1908" s="213"/>
      <c r="BC1908" s="213"/>
      <c r="BD1908" s="213"/>
    </row>
    <row r="1909">
      <c r="A1909" s="213">
        <f>IFERROR(__xludf.DUMMYFUNCTION("""COMPUTED_VALUE"""),2380.0)</f>
        <v>2380</v>
      </c>
      <c r="B1909" s="213" t="str">
        <f>IFERROR(__xludf.DUMMYFUNCTION("""COMPUTED_VALUE"""),"MANUEL ANTONIO MESONES MURO")</f>
        <v>MANUEL ANTONIO MESONES MURO</v>
      </c>
      <c r="C1909" s="213" t="str">
        <f>IFERROR(__xludf.DUMMYFUNCTION("""COMPUTED_VALUE"""),"TALLER SFT DE INDUSTRIA DEL VESTIDO")</f>
        <v>TALLER SFT DE INDUSTRIA DEL VESTIDO</v>
      </c>
      <c r="D1909" s="213" t="str">
        <f>IFERROR(__xludf.DUMMYFUNCTION("""COMPUTED_VALUE"""),"HERRAMIENTAS")</f>
        <v>HERRAMIENTAS</v>
      </c>
      <c r="E1909" s="213" t="str">
        <f>IFERROR(__xludf.DUMMYFUNCTION("""COMPUTED_VALUE"""),"MAT-161")</f>
        <v>MAT-161</v>
      </c>
      <c r="F1909" s="213" t="str">
        <f>IFERROR(__xludf.DUMMYFUNCTION("""COMPUTED_VALUE"""),"MAT-161")</f>
        <v>MAT-161</v>
      </c>
      <c r="G1909" s="213"/>
      <c r="H1909" s="213" t="str">
        <f>IFERROR(__xludf.DUMMYFUNCTION("""COMPUTED_VALUE"""),"EXTINTOR CO2")</f>
        <v>EXTINTOR CO2</v>
      </c>
      <c r="I1909"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909" s="213">
        <f>IFERROR(__xludf.DUMMYFUNCTION("""COMPUTED_VALUE"""),3.0)</f>
        <v>3</v>
      </c>
      <c r="K1909" s="213" t="str">
        <f>IFERROR(__xludf.DUMMYFUNCTION("""COMPUTED_VALUE"""),"90 DÍAS CALENDARIO")</f>
        <v>90 DÍAS CALENDARIO</v>
      </c>
      <c r="L1909"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909" s="213">
        <f>IFERROR(__xludf.DUMMYFUNCTION("""COMPUTED_VALUE"""),1.0)</f>
        <v>1</v>
      </c>
      <c r="N1909" s="213">
        <f>IFERROR(__xludf.DUMMYFUNCTION("""COMPUTED_VALUE"""),2.0)</f>
        <v>2</v>
      </c>
      <c r="O1909" s="213">
        <f>IFERROR(__xludf.DUMMYFUNCTION("""COMPUTED_VALUE"""),2.0)</f>
        <v>2</v>
      </c>
      <c r="P1909" s="213"/>
      <c r="Q1909" s="213"/>
      <c r="R1909" s="213"/>
      <c r="S1909" s="213"/>
      <c r="T1909" s="213" t="str">
        <f>IFERROR(__xludf.DUMMYFUNCTION("""COMPUTED_VALUE"""),"CONSULTA FINAL")</f>
        <v>CONSULTA FINAL</v>
      </c>
      <c r="U1909" s="213" t="str">
        <f>IFERROR(__xludf.DUMMYFUNCTION("""COMPUTED_VALUE"""),"NO")</f>
        <v>NO</v>
      </c>
      <c r="V1909" s="213" t="str">
        <f>IFERROR(__xludf.DUMMYFUNCTION("""COMPUTED_VALUE"""),"NO")</f>
        <v>NO</v>
      </c>
      <c r="W1909" s="213" t="str">
        <f>IFERROR(__xludf.DUMMYFUNCTION("""COMPUTED_VALUE"""),"-")</f>
        <v>-</v>
      </c>
      <c r="X1909" s="213" t="str">
        <f>IFERROR(__xludf.DUMMYFUNCTION("""COMPUTED_VALUE"""),"FIREMAN'S")</f>
        <v>FIREMAN'S</v>
      </c>
      <c r="Y1909" s="213" t="str">
        <f>IFERROR(__xludf.DUMMYFUNCTION("""COMPUTED_VALUE"""),"Extintores Portátiles Manuales de Dióxido de Carbono ")</f>
        <v>Extintores Portátiles Manuales de Dióxido de Carbono </v>
      </c>
      <c r="Z1909" s="215" t="str">
        <f>IFERROR(__xludf.DUMMYFUNCTION("""COMPUTED_VALUE"""),"https://firemansperu.com/productos/extintores-firemans/dioxido-de-carbono/")</f>
        <v>https://firemansperu.com/productos/extintores-firemans/dioxido-de-carbono/</v>
      </c>
      <c r="AA1909" s="213" t="str">
        <f>IFERROR(__xludf.DUMMYFUNCTION("""COMPUTED_VALUE"""),"MAT-161 EXTINTOR CO2 - CET")</f>
        <v>MAT-161 EXTINTOR CO2 - CET</v>
      </c>
      <c r="AB1909" s="213"/>
      <c r="AC1909" s="213"/>
      <c r="AD1909" s="213"/>
      <c r="AE1909" s="213"/>
      <c r="AF1909" s="213"/>
      <c r="AG1909" s="213"/>
      <c r="AH1909" s="213"/>
      <c r="AI1909" s="213"/>
      <c r="AJ1909" s="213"/>
      <c r="AK1909" s="213"/>
      <c r="AL1909" s="213"/>
      <c r="AM1909" s="213"/>
      <c r="AN1909" s="213"/>
      <c r="AO1909" s="213"/>
      <c r="AP1909" s="213" t="str">
        <f>IFERROR(__xludf.DUMMYFUNCTION("""COMPUTED_VALUE"""),"BRUNO")</f>
        <v>BRUNO</v>
      </c>
      <c r="AQ1909" s="213"/>
      <c r="AR1909" s="213"/>
      <c r="AS1909" s="213"/>
      <c r="AT1909" s="213"/>
      <c r="AU1909" s="213"/>
      <c r="AV1909" s="213"/>
      <c r="AW1909" s="213"/>
      <c r="AX1909" s="213"/>
      <c r="AY1909" s="213"/>
      <c r="AZ1909" s="213"/>
      <c r="BA1909" s="213"/>
      <c r="BB1909" s="213"/>
      <c r="BC1909" s="213"/>
      <c r="BD1909" s="213"/>
    </row>
    <row r="1910">
      <c r="A1910" s="213">
        <f>IFERROR(__xludf.DUMMYFUNCTION("""COMPUTED_VALUE"""),2549.0)</f>
        <v>2549</v>
      </c>
      <c r="B1910" s="213" t="str">
        <f>IFERROR(__xludf.DUMMYFUNCTION("""COMPUTED_VALUE"""),"MANUEL ANTONIO MESONES MURO")</f>
        <v>MANUEL ANTONIO MESONES MURO</v>
      </c>
      <c r="C1910" s="213" t="str">
        <f>IFERROR(__xludf.DUMMYFUNCTION("""COMPUTED_VALUE"""),"TALLER SFT DE EBANISTERÍA")</f>
        <v>TALLER SFT DE EBANISTERÍA</v>
      </c>
      <c r="D1910" s="213" t="str">
        <f>IFERROR(__xludf.DUMMYFUNCTION("""COMPUTED_VALUE"""),"HERRAMIENTAS")</f>
        <v>HERRAMIENTAS</v>
      </c>
      <c r="E1910" s="213" t="str">
        <f>IFERROR(__xludf.DUMMYFUNCTION("""COMPUTED_VALUE"""),"MAT-161")</f>
        <v>MAT-161</v>
      </c>
      <c r="F1910" s="213" t="str">
        <f>IFERROR(__xludf.DUMMYFUNCTION("""COMPUTED_VALUE"""),"MAT-161")</f>
        <v>MAT-161</v>
      </c>
      <c r="G1910" s="213"/>
      <c r="H1910" s="213" t="str">
        <f>IFERROR(__xludf.DUMMYFUNCTION("""COMPUTED_VALUE"""),"EXTINTOR CO2")</f>
        <v>EXTINTOR CO2</v>
      </c>
      <c r="I1910" s="213" t="str">
        <f>IFERROR(__xludf.DUMMYFUNCTION("""COMPUTED_VALUE"""),"· Extintor de gas carbónico CO2.
· Adecuado para uso en incendios de clase B y C.
· Capacidad del agente: 5 lb (2,27 kg).
· Rango de temperatura: -30 a 49 °C.
· Tiempo de descarga: 9 segundos.
· Cuenta con precinto de seguridad.
· Con soporte colgador de "&amp;"pared.
· Certificado de operatividad y vigencia de presión hidrostática (PH).
· Tarjeta de inspección y etiqueta de mantenimiento, conforme a la NTP 350.043-INDECI.
· Certificación UL.")</f>
        <v>· Extintor de gas carbónico CO2.
· Adecuado para uso en incendios de clase B y C.
· Capacidad del agente: 5 lb (2,27 kg).
· Rango de temperatura: -30 a 49 °C.
· Tiempo de descarga: 9 segundos.
· Cuenta con precinto de seguridad.
· Con soporte colgador de pared.
· Certificado de operatividad y vigencia de presión hidrostática (PH).
· Tarjeta de inspección y etiqueta de mantenimiento, conforme a la NTP 350.043-INDECI.
· Certificación UL.</v>
      </c>
      <c r="J1910" s="213">
        <f>IFERROR(__xludf.DUMMYFUNCTION("""COMPUTED_VALUE"""),3.0)</f>
        <v>3</v>
      </c>
      <c r="K1910" s="213" t="str">
        <f>IFERROR(__xludf.DUMMYFUNCTION("""COMPUTED_VALUE"""),"90 DÍAS CALENDARIO")</f>
        <v>90 DÍAS CALENDARIO</v>
      </c>
      <c r="L1910" s="213" t="str">
        <f>IFERROR(__xludf.DUMMYFUNCTION("""COMPUTED_VALUE"""),"COCINA Y REPOSTERÍA, COMPUTACIÓN E INFORMÁTICA, EBANISTERÍA, ELECTRICIDAD, ELECTRÓNICA, INDUSTRIA ALIMENTARIA, INDUSTRIA DEL VESTIDO, MECÁNICA AUTOMOTRÍZ")</f>
        <v>COCINA Y REPOSTERÍA, COMPUTACIÓN E INFORMÁTICA, EBANISTERÍA, ELECTRICIDAD, ELECTRÓNICA, INDUSTRIA ALIMENTARIA, INDUSTRIA DEL VESTIDO, MECÁNICA AUTOMOTRÍZ</v>
      </c>
      <c r="M1910" s="213">
        <f>IFERROR(__xludf.DUMMYFUNCTION("""COMPUTED_VALUE"""),1.0)</f>
        <v>1</v>
      </c>
      <c r="N1910" s="213">
        <f>IFERROR(__xludf.DUMMYFUNCTION("""COMPUTED_VALUE"""),1.0)</f>
        <v>1</v>
      </c>
      <c r="O1910" s="213">
        <f>IFERROR(__xludf.DUMMYFUNCTION("""COMPUTED_VALUE"""),1.0)</f>
        <v>1</v>
      </c>
      <c r="P1910" s="213"/>
      <c r="Q1910" s="213"/>
      <c r="R1910" s="213"/>
      <c r="S1910" s="213"/>
      <c r="T1910" s="213" t="str">
        <f>IFERROR(__xludf.DUMMYFUNCTION("""COMPUTED_VALUE"""),"CONSULTA FINAL")</f>
        <v>CONSULTA FINAL</v>
      </c>
      <c r="U1910" s="213" t="str">
        <f>IFERROR(__xludf.DUMMYFUNCTION("""COMPUTED_VALUE"""),"NO")</f>
        <v>NO</v>
      </c>
      <c r="V1910" s="213" t="str">
        <f>IFERROR(__xludf.DUMMYFUNCTION("""COMPUTED_VALUE"""),"NO")</f>
        <v>NO</v>
      </c>
      <c r="W1910" s="213" t="str">
        <f>IFERROR(__xludf.DUMMYFUNCTION("""COMPUTED_VALUE"""),"-")</f>
        <v>-</v>
      </c>
      <c r="X1910" s="213" t="str">
        <f>IFERROR(__xludf.DUMMYFUNCTION("""COMPUTED_VALUE"""),"FIREMAN'S")</f>
        <v>FIREMAN'S</v>
      </c>
      <c r="Y1910" s="213" t="str">
        <f>IFERROR(__xludf.DUMMYFUNCTION("""COMPUTED_VALUE"""),"Extintores Portátiles Manuales de Dióxido de Carbono ")</f>
        <v>Extintores Portátiles Manuales de Dióxido de Carbono </v>
      </c>
      <c r="Z1910" s="215" t="str">
        <f>IFERROR(__xludf.DUMMYFUNCTION("""COMPUTED_VALUE"""),"https://firemansperu.com/productos/extintores-firemans/dioxido-de-carbono/")</f>
        <v>https://firemansperu.com/productos/extintores-firemans/dioxido-de-carbono/</v>
      </c>
      <c r="AA1910" s="213" t="str">
        <f>IFERROR(__xludf.DUMMYFUNCTION("""COMPUTED_VALUE"""),"MAT-161 EXTINTOR CO2 - CET")</f>
        <v>MAT-161 EXTINTOR CO2 - CET</v>
      </c>
      <c r="AB1910" s="213"/>
      <c r="AC1910" s="213"/>
      <c r="AD1910" s="213"/>
      <c r="AE1910" s="213"/>
      <c r="AF1910" s="213"/>
      <c r="AG1910" s="213"/>
      <c r="AH1910" s="213"/>
      <c r="AI1910" s="213"/>
      <c r="AJ1910" s="213"/>
      <c r="AK1910" s="213"/>
      <c r="AL1910" s="213"/>
      <c r="AM1910" s="213"/>
      <c r="AN1910" s="213"/>
      <c r="AO1910" s="213"/>
      <c r="AP1910" s="213" t="str">
        <f>IFERROR(__xludf.DUMMYFUNCTION("""COMPUTED_VALUE"""),"BRUNO")</f>
        <v>BRUNO</v>
      </c>
      <c r="AQ1910" s="213"/>
      <c r="AR1910" s="213"/>
      <c r="AS1910" s="213"/>
      <c r="AT1910" s="213"/>
      <c r="AU1910" s="213"/>
      <c r="AV1910" s="213"/>
      <c r="AW1910" s="213"/>
      <c r="AX1910" s="213"/>
      <c r="AY1910" s="213"/>
      <c r="AZ1910" s="213"/>
      <c r="BA1910" s="213"/>
      <c r="BB1910" s="213"/>
      <c r="BC1910" s="213"/>
      <c r="BD1910" s="213"/>
    </row>
    <row r="1911">
      <c r="A1911" s="213">
        <f>IFERROR(__xludf.DUMMYFUNCTION("""COMPUTED_VALUE"""),7.0)</f>
        <v>7</v>
      </c>
      <c r="B1911" s="213" t="str">
        <f>IFERROR(__xludf.DUMMYFUNCTION("""COMPUTED_VALUE"""),"16449 ELOY SOBERON  FLORES")</f>
        <v>16449 ELOY SOBERON  FLORES</v>
      </c>
      <c r="C1911" s="213" t="str">
        <f>IFERROR(__xludf.DUMMYFUNCTION("""COMPUTED_VALUE"""),"TALLER SFT DE COCINA Y REPOSTERÍA")</f>
        <v>TALLER SFT DE COCINA Y REPOSTERÍA</v>
      </c>
      <c r="D1911" s="213" t="str">
        <f>IFERROR(__xludf.DUMMYFUNCTION("""COMPUTED_VALUE"""),"HERRAMIENTAS")</f>
        <v>HERRAMIENTAS</v>
      </c>
      <c r="E1911" s="213" t="str">
        <f>IFERROR(__xludf.DUMMYFUNCTION("""COMPUTED_VALUE"""),"MAT-162")</f>
        <v>MAT-162</v>
      </c>
      <c r="F1911" s="213" t="str">
        <f>IFERROR(__xludf.DUMMYFUNCTION("""COMPUTED_VALUE"""),"MAT-162")</f>
        <v>MAT-162</v>
      </c>
      <c r="G1911" s="213"/>
      <c r="H1911" s="213" t="str">
        <f>IFERROR(__xludf.DUMMYFUNCTION("""COMPUTED_VALUE"""),"EXTINTOR K")</f>
        <v>EXTINTOR K</v>
      </c>
      <c r="I1911" s="213" t="str">
        <f>IFERROR(__xludf.DUMMYFUNCTION("""COMPUTED_VALUE"""),"· Extintor de acetato de Potasio clase K
· Adecuado para uso en incendios de clase A y clase K
· Medidas aproximadas (+-2cm) : Alto 48cm, Ancho 23cm, Diametro 18cm
· Rango de temperatura:  - 4° a 49 °C.
· Tiempo de descarga: 53 segundos. , continua
· Cuen"&amp;"ta con precinto de seguridad.
· Con soporte colgador de pared.
. Alcance : 3-4.5m
.Peso 9.45kg aprox.
· Certificación UL.")</f>
        <v>· Extintor de acetato de Potasio clase K
· Adecuado para uso en incendios de clase A y clase K
· Medidas aproximadas (+-2cm) : Alto 48cm, Ancho 23cm, Diametro 18cm
· Rango de temperatura:  - 4° a 49 °C.
· Tiempo de descarga: 53 segundos. , continua
· Cuenta con precinto de seguridad.
· Con soporte colgador de pared.
. Alcance : 3-4.5m
.Peso 9.45kg aprox.
· Certificación UL.</v>
      </c>
      <c r="J1911" s="213">
        <f>IFERROR(__xludf.DUMMYFUNCTION("""COMPUTED_VALUE"""),3.0)</f>
        <v>3</v>
      </c>
      <c r="K1911" s="213" t="str">
        <f>IFERROR(__xludf.DUMMYFUNCTION("""COMPUTED_VALUE"""),"90 DÍAS CALENDARIO")</f>
        <v>90 DÍAS CALENDARIO</v>
      </c>
      <c r="L1911" s="213" t="str">
        <f>IFERROR(__xludf.DUMMYFUNCTION("""COMPUTED_VALUE"""),"")</f>
        <v/>
      </c>
      <c r="M1911" s="213">
        <f>IFERROR(__xludf.DUMMYFUNCTION("""COMPUTED_VALUE"""),1.0)</f>
        <v>1</v>
      </c>
      <c r="N1911" s="213">
        <f>IFERROR(__xludf.DUMMYFUNCTION("""COMPUTED_VALUE"""),1.0)</f>
        <v>1</v>
      </c>
      <c r="O1911" s="213">
        <f>IFERROR(__xludf.DUMMYFUNCTION("""COMPUTED_VALUE"""),1.0)</f>
        <v>1</v>
      </c>
      <c r="P1911" s="213"/>
      <c r="Q1911" s="213"/>
      <c r="R1911" s="213"/>
      <c r="S1911" s="213"/>
      <c r="T1911" s="213" t="str">
        <f>IFERROR(__xludf.DUMMYFUNCTION("""COMPUTED_VALUE"""),"SI")</f>
        <v>SI</v>
      </c>
      <c r="U1911" s="213" t="str">
        <f>IFERROR(__xludf.DUMMYFUNCTION("""COMPUTED_VALUE"""),"SI")</f>
        <v>SI</v>
      </c>
      <c r="V1911" s="213" t="str">
        <f>IFERROR(__xludf.DUMMYFUNCTION("""COMPUTED_VALUE"""),"-")</f>
        <v>-</v>
      </c>
      <c r="W1911" s="213" t="str">
        <f>IFERROR(__xludf.DUMMYFUNCTION("""COMPUTED_VALUE"""),"-")</f>
        <v>-</v>
      </c>
      <c r="X1911" s="213" t="str">
        <f>IFERROR(__xludf.DUMMYFUNCTION("""COMPUTED_VALUE"""),"AMEREX")</f>
        <v>AMEREX</v>
      </c>
      <c r="Y1911" s="213" t="str">
        <f>IFERROR(__xludf.DUMMYFUNCTION("""COMPUTED_VALUE"""),"B260")</f>
        <v>B260</v>
      </c>
      <c r="Z1911" s="215" t="str">
        <f>IFERROR(__xludf.DUMMYFUNCTION("""COMPUTED_VALUE"""),"https://www.amerex-peru.com/ficha-tecnica-de-extintor-amerex-de-6-litros-de-clase-k/")</f>
        <v>https://www.amerex-peru.com/ficha-tecnica-de-extintor-amerex-de-6-litros-de-clase-k/</v>
      </c>
      <c r="AA1911" s="213" t="str">
        <f>IFERROR(__xludf.DUMMYFUNCTION("""COMPUTED_VALUE"""),"MAT-162 EXTINTOR K - CET")</f>
        <v>MAT-162 EXTINTOR K - CET</v>
      </c>
      <c r="AB1911" s="213"/>
      <c r="AC1911" s="213"/>
      <c r="AD1911" s="213"/>
      <c r="AE1911" s="213"/>
      <c r="AF1911" s="213"/>
      <c r="AG1911" s="213"/>
      <c r="AH1911" s="213"/>
      <c r="AI1911" s="213"/>
      <c r="AJ1911" s="213"/>
      <c r="AK1911" s="213"/>
      <c r="AL1911" s="213"/>
      <c r="AM1911" s="213"/>
      <c r="AN1911" s="213"/>
      <c r="AO1911" s="213"/>
      <c r="AP1911" s="213" t="str">
        <f>IFERROR(__xludf.DUMMYFUNCTION("""COMPUTED_VALUE"""),"BRUNO")</f>
        <v>BRUNO</v>
      </c>
      <c r="AQ1911" s="213"/>
      <c r="AR1911" s="213"/>
      <c r="AS1911" s="213"/>
      <c r="AT1911" s="213"/>
      <c r="AU1911" s="213"/>
      <c r="AV1911" s="213"/>
      <c r="AW1911" s="213"/>
      <c r="AX1911" s="213"/>
      <c r="AY1911" s="213"/>
      <c r="AZ1911" s="213"/>
      <c r="BA1911" s="213"/>
      <c r="BB1911" s="213"/>
      <c r="BC1911" s="213"/>
      <c r="BD1911" s="213"/>
    </row>
    <row r="1912">
      <c r="A1912" s="213">
        <f>IFERROR(__xludf.DUMMYFUNCTION("""COMPUTED_VALUE"""),324.0)</f>
        <v>324</v>
      </c>
      <c r="B1912" s="213" t="str">
        <f>IFERROR(__xludf.DUMMYFUNCTION("""COMPUTED_VALUE"""),"2026 SIMON BOLIVAR")</f>
        <v>2026 SIMON BOLIVAR</v>
      </c>
      <c r="C1912" s="213" t="str">
        <f>IFERROR(__xludf.DUMMYFUNCTION("""COMPUTED_VALUE"""),"TALLER SFT DE COMPUTACIÓN E INFORMÁTICA")</f>
        <v>TALLER SFT DE COMPUTACIÓN E INFORMÁTICA</v>
      </c>
      <c r="D1912" s="213" t="str">
        <f>IFERROR(__xludf.DUMMYFUNCTION("""COMPUTED_VALUE"""),"EQUIPOS")</f>
        <v>EQUIPOS</v>
      </c>
      <c r="E1912" s="213" t="str">
        <f>IFERROR(__xludf.DUMMYFUNCTION("""COMPUTED_VALUE"""),"ESP-281")</f>
        <v>ESP-281</v>
      </c>
      <c r="F1912" s="213" t="str">
        <f>IFERROR(__xludf.DUMMYFUNCTION("""COMPUTED_VALUE"""),"ESP-281-X")</f>
        <v>ESP-281-X</v>
      </c>
      <c r="G1912" s="213"/>
      <c r="H1912" s="213" t="str">
        <f>IFERROR(__xludf.DUMMYFUNCTION("""COMPUTED_VALUE"""),"MULTÍMETRO DIGITAL")</f>
        <v>MULTÍMETRO DIGITAL</v>
      </c>
      <c r="I1912" s="213" t="str">
        <f>IFERROR(__xludf.DUMMYFUNCTION("""COMPUTED_VALUE"""),"Multitester Digital.
Medición de voltaje (DC), hasta: 1000 V. Medición de voltaje (AC), hasta: 1000 V. Medición de ohmios: ≥ 200 MΩ. Medición de capacitancia: ≥ 200 mF.
Medición de amperios en corriente alterna: ≥ 10 A. Medición de frecuencia: ≥ 200 MHz.
"&amp;"Botón de iluminación de pantalla. Incluye cables con puntas para pruebas.")</f>
        <v>Multitester Digital.
Medición de voltaje (DC), hasta: 1000 V. Medición de voltaje (AC), hasta: 1000 V. Medición de ohmios: ≥ 200 MΩ. Medición de capacitancia: ≥ 200 mF.
Medición de amperios en corriente alterna: ≥ 10 A. Medición de frecuencia: ≥ 200 MHz.
Botón de iluminación de pantalla. Incluye cables con puntas para pruebas.</v>
      </c>
      <c r="J1912" s="213">
        <f>IFERROR(__xludf.DUMMYFUNCTION("""COMPUTED_VALUE"""),3.0)</f>
        <v>3</v>
      </c>
      <c r="K1912" s="213" t="str">
        <f>IFERROR(__xludf.DUMMYFUNCTION("""COMPUTED_VALUE"""),"170 DÍAS CALENDARIO")</f>
        <v>170 DÍAS CALENDARIO</v>
      </c>
      <c r="L1912" s="213" t="str">
        <f>IFERROR(__xludf.DUMMYFUNCTION("""COMPUTED_VALUE"""),"")</f>
        <v/>
      </c>
      <c r="M1912" s="213">
        <f>IFERROR(__xludf.DUMMYFUNCTION("""COMPUTED_VALUE"""),1.0)</f>
        <v>1</v>
      </c>
      <c r="N1912" s="213">
        <f>IFERROR(__xludf.DUMMYFUNCTION("""COMPUTED_VALUE"""),4.0)</f>
        <v>4</v>
      </c>
      <c r="O1912" s="213">
        <f>IFERROR(__xludf.DUMMYFUNCTION("""COMPUTED_VALUE"""),4.0)</f>
        <v>4</v>
      </c>
      <c r="P1912" s="213"/>
      <c r="Q1912" s="213"/>
      <c r="R1912" s="213"/>
      <c r="S1912" s="213" t="str">
        <f>IFERROR(__xludf.DUMMYFUNCTION("""COMPUTED_VALUE"""),"SI")</f>
        <v>SI</v>
      </c>
      <c r="T1912" s="213" t="str">
        <f>IFERROR(__xludf.DUMMYFUNCTION("""COMPUTED_VALUE"""),"SI")</f>
        <v>SI</v>
      </c>
      <c r="U1912" s="213" t="str">
        <f>IFERROR(__xludf.DUMMYFUNCTION("""COMPUTED_VALUE"""),"SI")</f>
        <v>SI</v>
      </c>
      <c r="V1912" s="213" t="str">
        <f>IFERROR(__xludf.DUMMYFUNCTION("""COMPUTED_VALUE"""),"-")</f>
        <v>-</v>
      </c>
      <c r="W1912" s="213" t="str">
        <f>IFERROR(__xludf.DUMMYFUNCTION("""COMPUTED_VALUE"""),"-")</f>
        <v>-</v>
      </c>
      <c r="X1912" s="213" t="str">
        <f>IFERROR(__xludf.DUMMYFUNCTION("""COMPUTED_VALUE"""),"UNI-T")</f>
        <v>UNI-T</v>
      </c>
      <c r="Y1912" s="213" t="str">
        <f>IFERROR(__xludf.DUMMYFUNCTION("""COMPUTED_VALUE"""),"UT61E+")</f>
        <v>UT61E+</v>
      </c>
      <c r="Z1912" s="215" t="str">
        <f>IFERROR(__xludf.DUMMYFUNCTION("""COMPUTED_VALUE"""),"https://meters.uni-trend.com/product/ut61plus-series/")</f>
        <v>https://meters.uni-trend.com/product/ut61plus-series/</v>
      </c>
      <c r="AA1912" s="213" t="str">
        <f>IFERROR(__xludf.DUMMYFUNCTION("""COMPUTED_VALUE"""),"ESP-281-X MULTÍMETRO DIGITAL - CET CI")</f>
        <v>ESP-281-X MULTÍMETRO DIGITAL - CET CI</v>
      </c>
      <c r="AB1912" s="215" t="str">
        <f>IFERROR(__xludf.DUMMYFUNCTION("""COMPUTED_VALUE"""),"https://drive.google.com/file/d/1Gm8nIRKEQNOyllcVcqpDUaFl-M5AnbfA/view?usp=sharing")</f>
        <v>https://drive.google.com/file/d/1Gm8nIRKEQNOyllcVcqpDUaFl-M5AnbfA/view?usp=sharing</v>
      </c>
      <c r="AC1912" s="213"/>
      <c r="AD1912" s="213"/>
      <c r="AE1912" s="213"/>
      <c r="AF1912" s="213"/>
      <c r="AG1912" s="213"/>
      <c r="AH1912" s="213"/>
      <c r="AI1912" s="213"/>
      <c r="AJ1912" s="213"/>
      <c r="AK1912" s="213"/>
      <c r="AL1912" s="213"/>
      <c r="AM1912" s="213"/>
      <c r="AN1912" s="213"/>
      <c r="AO1912" s="213"/>
      <c r="AP1912" s="213" t="str">
        <f>IFERROR(__xludf.DUMMYFUNCTION("""COMPUTED_VALUE"""),"MICHEL")</f>
        <v>MICHEL</v>
      </c>
      <c r="AQ1912" s="213"/>
      <c r="AR1912" s="213"/>
      <c r="AS1912" s="213"/>
      <c r="AT1912" s="213"/>
      <c r="AU1912" s="213"/>
      <c r="AV1912" s="213"/>
      <c r="AW1912" s="213"/>
      <c r="AX1912" s="213"/>
      <c r="AY1912" s="213"/>
      <c r="AZ1912" s="213"/>
      <c r="BA1912" s="213"/>
      <c r="BB1912" s="213"/>
      <c r="BC1912" s="213"/>
      <c r="BD1912" s="213"/>
    </row>
    <row r="1913">
      <c r="A1913" s="213">
        <f>IFERROR(__xludf.DUMMYFUNCTION("""COMPUTED_VALUE"""),396.0)</f>
        <v>396</v>
      </c>
      <c r="B1913" s="213" t="str">
        <f>IFERROR(__xludf.DUMMYFUNCTION("""COMPUTED_VALUE"""),"2026 SIMON BOLIVAR")</f>
        <v>2026 SIMON BOLIVAR</v>
      </c>
      <c r="C1913" s="213" t="str">
        <f>IFERROR(__xludf.DUMMYFUNCTION("""COMPUTED_VALUE"""),"TALLER SFT DE ELECTRICIDAD")</f>
        <v>TALLER SFT DE ELECTRICIDAD</v>
      </c>
      <c r="D1913" s="213" t="str">
        <f>IFERROR(__xludf.DUMMYFUNCTION("""COMPUTED_VALUE"""),"EQUIPOS")</f>
        <v>EQUIPOS</v>
      </c>
      <c r="E1913" s="213" t="str">
        <f>IFERROR(__xludf.DUMMYFUNCTION("""COMPUTED_VALUE"""),"ESP-281")</f>
        <v>ESP-281</v>
      </c>
      <c r="F1913" s="213" t="str">
        <f>IFERROR(__xludf.DUMMYFUNCTION("""COMPUTED_VALUE"""),"ESP-281-Y")</f>
        <v>ESP-281-Y</v>
      </c>
      <c r="G1913" s="213"/>
      <c r="H1913" s="213" t="str">
        <f>IFERROR(__xludf.DUMMYFUNCTION("""COMPUTED_VALUE"""),"MULTÍMETRO DIGITAL")</f>
        <v>MULTÍMETRO DIGITAL</v>
      </c>
      <c r="I1913" s="213" t="str">
        <f>IFERROR(__xludf.DUMMYFUNCTION("""COMPUTED_VALUE"""),"· Medidor de funciones múltiples con Pantalla LCD de alto contraste.
· Funciones de medición de:
1. Voltajes:   AC, DC; 500 V max.
2. Corriente: AC, DC desde 2 mA hasta  10 Amp.
3. Resistencia: hasta 50 Mohm max.
4. Frecuencia:   hasta 100 Khz.
5. Capacit"&amp;"ancia: hasta 10 000 uF.
6. Continuidad / Prueba de diodos.
7. Con botón de DATA HOLD.
· Características de Seguridad:
1. Con estuche de protección anti golpes y antideslizante: Estuche de goma.
2. Con soporte para posicionarlo en forma inclinada.
· Otras "&amp;"Características complementarias:
1. Puntas de prueba de conductores y aislantes flexible y seguro con polaridad (rojo, negro).")</f>
        <v>· Medidor de funciones múltiples con Pantalla LCD de alto contraste.
· Funciones de medición de:
1. Voltajes:   AC, DC; 500 V max.
2. Corriente: AC, DC desde 2 mA hasta  10 Amp.
3. Resistencia: hasta 50 Mohm max.
4. Frecuencia:   hasta 100 Khz.
5. Capacitancia: hasta 10 000 uF.
6. Continuidad / Prueba de diodos.
7. Con botón de DATA HOLD.
· Características de Seguridad:
1. Con estuche de protección anti golpes y antideslizante: Estuche de goma.
2. Con soporte para posicionarlo en forma inclinada.
· Otras Características complementarias:
1. Puntas de prueba de conductores y aislantes flexible y seguro con polaridad (rojo, negro).</v>
      </c>
      <c r="J1913" s="213">
        <f>IFERROR(__xludf.DUMMYFUNCTION("""COMPUTED_VALUE"""),3.0)</f>
        <v>3</v>
      </c>
      <c r="K1913" s="213" t="str">
        <f>IFERROR(__xludf.DUMMYFUNCTION("""COMPUTED_VALUE"""),"170 DÍAS CALENDARIO")</f>
        <v>170 DÍAS CALENDARIO</v>
      </c>
      <c r="L1913" s="213" t="str">
        <f>IFERROR(__xludf.DUMMYFUNCTION("""COMPUTED_VALUE"""),"")</f>
        <v/>
      </c>
      <c r="M1913" s="213">
        <f>IFERROR(__xludf.DUMMYFUNCTION("""COMPUTED_VALUE"""),1.0)</f>
        <v>1</v>
      </c>
      <c r="N1913" s="213">
        <f>IFERROR(__xludf.DUMMYFUNCTION("""COMPUTED_VALUE"""),4.0)</f>
        <v>4</v>
      </c>
      <c r="O1913" s="213">
        <f>IFERROR(__xludf.DUMMYFUNCTION("""COMPUTED_VALUE"""),4.0)</f>
        <v>4</v>
      </c>
      <c r="P1913" s="213"/>
      <c r="Q1913" s="213"/>
      <c r="R1913" s="213"/>
      <c r="S1913" s="213" t="str">
        <f>IFERROR(__xludf.DUMMYFUNCTION("""COMPUTED_VALUE"""),"SI")</f>
        <v>SI</v>
      </c>
      <c r="T1913" s="213" t="str">
        <f>IFERROR(__xludf.DUMMYFUNCTION("""COMPUTED_VALUE"""),"SI")</f>
        <v>SI</v>
      </c>
      <c r="U1913" s="213" t="str">
        <f>IFERROR(__xludf.DUMMYFUNCTION("""COMPUTED_VALUE"""),"SI")</f>
        <v>SI</v>
      </c>
      <c r="V1913" s="213" t="str">
        <f>IFERROR(__xludf.DUMMYFUNCTION("""COMPUTED_VALUE"""),"-")</f>
        <v>-</v>
      </c>
      <c r="W1913" s="213" t="str">
        <f>IFERROR(__xludf.DUMMYFUNCTION("""COMPUTED_VALUE"""),"-")</f>
        <v>-</v>
      </c>
      <c r="X1913" s="213" t="str">
        <f>IFERROR(__xludf.DUMMYFUNCTION("""COMPUTED_VALUE"""),"UNI-T")</f>
        <v>UNI-T</v>
      </c>
      <c r="Y1913" s="213" t="str">
        <f>IFERROR(__xludf.DUMMYFUNCTION("""COMPUTED_VALUE"""),"UT61E+")</f>
        <v>UT61E+</v>
      </c>
      <c r="Z1913" s="215" t="str">
        <f>IFERROR(__xludf.DUMMYFUNCTION("""COMPUTED_VALUE"""),"https://meters.uni-trend.com/product/ut61plus-series/")</f>
        <v>https://meters.uni-trend.com/product/ut61plus-series/</v>
      </c>
      <c r="AA1913" s="213" t="str">
        <f>IFERROR(__xludf.DUMMYFUNCTION("""COMPUTED_VALUE"""),"ESP-281-Y MULTÍMETRO DIGITAL- CET")</f>
        <v>ESP-281-Y MULTÍMETRO DIGITAL- CET</v>
      </c>
      <c r="AB1913" s="215" t="str">
        <f>IFERROR(__xludf.DUMMYFUNCTION("""COMPUTED_VALUE"""),"https://drive.google.com/file/d/1dbahtMEu-pGSwu1cN_RnX3u_xFhGDKSs/view")</f>
        <v>https://drive.google.com/file/d/1dbahtMEu-pGSwu1cN_RnX3u_xFhGDKSs/view</v>
      </c>
      <c r="AC1913" s="213"/>
      <c r="AD1913" s="213"/>
      <c r="AE1913" s="213"/>
      <c r="AF1913" s="213"/>
      <c r="AG1913" s="213"/>
      <c r="AH1913" s="213" t="str">
        <f>IFERROR(__xludf.DUMMYFUNCTION("""COMPUTED_VALUE"""),"IMPORTADO")</f>
        <v>IMPORTADO</v>
      </c>
      <c r="AI1913" s="213"/>
      <c r="AJ1913" s="213"/>
      <c r="AK1913" s="213"/>
      <c r="AL1913" s="213"/>
      <c r="AM1913" s="213"/>
      <c r="AN1913" s="213"/>
      <c r="AO1913" s="213"/>
      <c r="AP1913" s="213" t="str">
        <f>IFERROR(__xludf.DUMMYFUNCTION("""COMPUTED_VALUE"""),"NALDI")</f>
        <v>NALDI</v>
      </c>
      <c r="AQ1913" s="213"/>
      <c r="AR1913" s="213"/>
      <c r="AS1913" s="213" t="str">
        <f>IFERROR(__xludf.DUMMYFUNCTION("""COMPUTED_VALUE"""),"4 PILAS AAA POR CADA MULTÍMETRO")</f>
        <v>4 PILAS AAA POR CADA MULTÍMETRO</v>
      </c>
      <c r="AT1913" s="213"/>
      <c r="AU1913" s="213"/>
      <c r="AV1913" s="213"/>
      <c r="AW1913" s="213"/>
      <c r="AX1913" s="213"/>
      <c r="AY1913" s="213"/>
      <c r="AZ1913" s="213"/>
      <c r="BA1913" s="213"/>
      <c r="BB1913" s="213"/>
      <c r="BC1913" s="213"/>
      <c r="BD1913" s="213"/>
    </row>
    <row r="1914">
      <c r="A1914" s="213">
        <f>IFERROR(__xludf.DUMMYFUNCTION("""COMPUTED_VALUE"""),691.0)</f>
        <v>691</v>
      </c>
      <c r="B1914" s="213" t="str">
        <f>IFERROR(__xludf.DUMMYFUNCTION("""COMPUTED_VALUE"""),"6049 RICARDO PALMA")</f>
        <v>6049 RICARDO PALMA</v>
      </c>
      <c r="C1914" s="213" t="str">
        <f>IFERROR(__xludf.DUMMYFUNCTION("""COMPUTED_VALUE"""),"TALLER SFT DE ELECTRÓNICA")</f>
        <v>TALLER SFT DE ELECTRÓNICA</v>
      </c>
      <c r="D1914" s="213" t="str">
        <f>IFERROR(__xludf.DUMMYFUNCTION("""COMPUTED_VALUE"""),"EQUIPOS")</f>
        <v>EQUIPOS</v>
      </c>
      <c r="E1914" s="213" t="str">
        <f>IFERROR(__xludf.DUMMYFUNCTION("""COMPUTED_VALUE"""),"ESP-281")</f>
        <v>ESP-281</v>
      </c>
      <c r="F1914" s="213" t="str">
        <f>IFERROR(__xludf.DUMMYFUNCTION("""COMPUTED_VALUE"""),"ESP-281-Z")</f>
        <v>ESP-281-Z</v>
      </c>
      <c r="G1914" s="213"/>
      <c r="H1914" s="213" t="str">
        <f>IFERROR(__xludf.DUMMYFUNCTION("""COMPUTED_VALUE"""),"MULTÍMETRO DIGITAL")</f>
        <v>MULTÍMETRO DIGITAL</v>
      </c>
      <c r="I1914" s="213" t="str">
        <f>IFERROR(__xludf.DUMMYFUNCTION("""COMPUTED_VALUE"""),"· Medición de voltaje en corriente continua (DC), hasta: 1000 V.
· Medición de voltaje en corriente alterna (AC), hasta: 1000 V
· Medición de ohmios: ≤ 200 MΩ.
· Medición de capacitancia: ≤200 mF.
· Medición de amperios en corriente alterna: ≤10 A.
· Medi"&amp;"ción de frecuencia: ≤ 200 MHz.
· Incluye cables con puntas para pruebas.")</f>
        <v>· Medición de voltaje en corriente continua (DC), hasta: 1000 V.
· Medición de voltaje en corriente alterna (AC), hasta: 1000 V
· Medición de ohmios: ≤ 200 MΩ.
· Medición de capacitancia: ≤200 mF.
· Medición de amperios en corriente alterna: ≤10 A.
· Medición de frecuencia: ≤ 200 MHz.
· Incluye cables con puntas para pruebas.</v>
      </c>
      <c r="J1914" s="213">
        <f>IFERROR(__xludf.DUMMYFUNCTION("""COMPUTED_VALUE"""),3.0)</f>
        <v>3</v>
      </c>
      <c r="K1914" s="213" t="str">
        <f>IFERROR(__xludf.DUMMYFUNCTION("""COMPUTED_VALUE"""),"170 DÍAS CALENDARIO")</f>
        <v>170 DÍAS CALENDARIO</v>
      </c>
      <c r="L1914" s="213" t="str">
        <f>IFERROR(__xludf.DUMMYFUNCTION("""COMPUTED_VALUE"""),"")</f>
        <v/>
      </c>
      <c r="M1914" s="213">
        <f>IFERROR(__xludf.DUMMYFUNCTION("""COMPUTED_VALUE"""),1.0)</f>
        <v>1</v>
      </c>
      <c r="N1914" s="213">
        <f>IFERROR(__xludf.DUMMYFUNCTION("""COMPUTED_VALUE"""),4.0)</f>
        <v>4</v>
      </c>
      <c r="O1914" s="213">
        <f>IFERROR(__xludf.DUMMYFUNCTION("""COMPUTED_VALUE"""),4.0)</f>
        <v>4</v>
      </c>
      <c r="P1914" s="213"/>
      <c r="Q1914" s="213"/>
      <c r="R1914" s="213"/>
      <c r="S1914" s="213" t="str">
        <f>IFERROR(__xludf.DUMMYFUNCTION("""COMPUTED_VALUE"""),"SI")</f>
        <v>SI</v>
      </c>
      <c r="T1914" s="213" t="str">
        <f>IFERROR(__xludf.DUMMYFUNCTION("""COMPUTED_VALUE"""),"SI")</f>
        <v>SI</v>
      </c>
      <c r="U1914" s="213" t="str">
        <f>IFERROR(__xludf.DUMMYFUNCTION("""COMPUTED_VALUE"""),"SI")</f>
        <v>SI</v>
      </c>
      <c r="V1914" s="213" t="str">
        <f>IFERROR(__xludf.DUMMYFUNCTION("""COMPUTED_VALUE"""),"-")</f>
        <v>-</v>
      </c>
      <c r="W1914" s="213" t="str">
        <f>IFERROR(__xludf.DUMMYFUNCTION("""COMPUTED_VALUE"""),"-")</f>
        <v>-</v>
      </c>
      <c r="X1914" s="213" t="str">
        <f>IFERROR(__xludf.DUMMYFUNCTION("""COMPUTED_VALUE"""),"UNI-T")</f>
        <v>UNI-T</v>
      </c>
      <c r="Y1914" s="213" t="str">
        <f>IFERROR(__xludf.DUMMYFUNCTION("""COMPUTED_VALUE"""),"UT61E+")</f>
        <v>UT61E+</v>
      </c>
      <c r="Z1914" s="215" t="str">
        <f>IFERROR(__xludf.DUMMYFUNCTION("""COMPUTED_VALUE"""),"https://drive.google.com/file/d/1yV7qR0ghv-zvg3H7GGZsFkisjvTeTVH9/view")</f>
        <v>https://drive.google.com/file/d/1yV7qR0ghv-zvg3H7GGZsFkisjvTeTVH9/view</v>
      </c>
      <c r="AA1914" s="213" t="str">
        <f>IFERROR(__xludf.DUMMYFUNCTION("""COMPUTED_VALUE"""),"ESP-281-Z MULTÍMETRO DIGITAL - CET")</f>
        <v>ESP-281-Z MULTÍMETRO DIGITAL - CET</v>
      </c>
      <c r="AB1914" s="213"/>
      <c r="AC1914" s="213"/>
      <c r="AD1914" s="213"/>
      <c r="AE1914" s="213"/>
      <c r="AF1914" s="213"/>
      <c r="AG1914" s="213"/>
      <c r="AH1914" s="213"/>
      <c r="AI1914" s="213"/>
      <c r="AJ1914" s="213"/>
      <c r="AK1914" s="213"/>
      <c r="AL1914" s="213"/>
      <c r="AM1914" s="213"/>
      <c r="AN1914" s="213"/>
      <c r="AO1914" s="213"/>
      <c r="AP1914" s="213" t="str">
        <f>IFERROR(__xludf.DUMMYFUNCTION("""COMPUTED_VALUE"""),"BRUNO")</f>
        <v>BRUNO</v>
      </c>
      <c r="AQ1914" s="213" t="str">
        <f>IFERROR(__xludf.DUMMYFUNCTION("""COMPUTED_VALUE"""),"EL MODELO QUE SE DEBE SUMINISTRAR ES EL UT61E+")</f>
        <v>EL MODELO QUE SE DEBE SUMINISTRAR ES EL UT61E+</v>
      </c>
      <c r="AR1914" s="213"/>
      <c r="AS1914" s="213"/>
      <c r="AT1914" s="213"/>
      <c r="AU1914" s="213"/>
      <c r="AV1914" s="213"/>
      <c r="AW1914" s="213"/>
      <c r="AX1914" s="213"/>
      <c r="AY1914" s="213"/>
      <c r="AZ1914" s="213"/>
      <c r="BA1914" s="213"/>
      <c r="BB1914" s="213"/>
      <c r="BC1914" s="213"/>
      <c r="BD1914" s="213"/>
    </row>
    <row r="1915">
      <c r="A1915" s="213">
        <f>IFERROR(__xludf.DUMMYFUNCTION("""COMPUTED_VALUE"""),810.0)</f>
        <v>810</v>
      </c>
      <c r="B1915" s="213" t="str">
        <f>IFERROR(__xludf.DUMMYFUNCTION("""COMPUTED_VALUE"""),"6049 RICARDO PALMA")</f>
        <v>6049 RICARDO PALMA</v>
      </c>
      <c r="C1915" s="213" t="str">
        <f>IFERROR(__xludf.DUMMYFUNCTION("""COMPUTED_VALUE"""),"TALLER SFT DE COMPUTACIÓN E INFORMÁTICA")</f>
        <v>TALLER SFT DE COMPUTACIÓN E INFORMÁTICA</v>
      </c>
      <c r="D1915" s="213" t="str">
        <f>IFERROR(__xludf.DUMMYFUNCTION("""COMPUTED_VALUE"""),"EQUIPOS")</f>
        <v>EQUIPOS</v>
      </c>
      <c r="E1915" s="213" t="str">
        <f>IFERROR(__xludf.DUMMYFUNCTION("""COMPUTED_VALUE"""),"ESP-281")</f>
        <v>ESP-281</v>
      </c>
      <c r="F1915" s="213" t="str">
        <f>IFERROR(__xludf.DUMMYFUNCTION("""COMPUTED_VALUE"""),"ESP-281-X")</f>
        <v>ESP-281-X</v>
      </c>
      <c r="G1915" s="213"/>
      <c r="H1915" s="213" t="str">
        <f>IFERROR(__xludf.DUMMYFUNCTION("""COMPUTED_VALUE"""),"MULTÍMETRO DIGITAL")</f>
        <v>MULTÍMETRO DIGITAL</v>
      </c>
      <c r="I1915" s="213" t="str">
        <f>IFERROR(__xludf.DUMMYFUNCTION("""COMPUTED_VALUE"""),"Multitester Digital.
Medición de voltaje (DC), hasta: 1000 V. Medición de voltaje (AC), hasta: 1000 V. Medición de ohmios: ≥ 200 MΩ. Medición de capacitancia: ≥ 200 mF.
Medición de amperios en corriente alterna: ≥ 10 A. Medición de frecuencia: ≥ 200 MHz.
"&amp;"Botón de iluminación de pantalla. Incluye cables con puntas para pruebas.")</f>
        <v>Multitester Digital.
Medición de voltaje (DC), hasta: 1000 V. Medición de voltaje (AC), hasta: 1000 V. Medición de ohmios: ≥ 200 MΩ. Medición de capacitancia: ≥ 200 mF.
Medición de amperios en corriente alterna: ≥ 10 A. Medición de frecuencia: ≥ 200 MHz.
Botón de iluminación de pantalla. Incluye cables con puntas para pruebas.</v>
      </c>
      <c r="J1915" s="213">
        <f>IFERROR(__xludf.DUMMYFUNCTION("""COMPUTED_VALUE"""),3.0)</f>
        <v>3</v>
      </c>
      <c r="K1915" s="213" t="str">
        <f>IFERROR(__xludf.DUMMYFUNCTION("""COMPUTED_VALUE"""),"170 DÍAS CALENDARIO")</f>
        <v>170 DÍAS CALENDARIO</v>
      </c>
      <c r="L1915" s="213" t="str">
        <f>IFERROR(__xludf.DUMMYFUNCTION("""COMPUTED_VALUE"""),"")</f>
        <v/>
      </c>
      <c r="M1915" s="213">
        <f>IFERROR(__xludf.DUMMYFUNCTION("""COMPUTED_VALUE"""),1.0)</f>
        <v>1</v>
      </c>
      <c r="N1915" s="213">
        <f>IFERROR(__xludf.DUMMYFUNCTION("""COMPUTED_VALUE"""),4.0)</f>
        <v>4</v>
      </c>
      <c r="O1915" s="213">
        <f>IFERROR(__xludf.DUMMYFUNCTION("""COMPUTED_VALUE"""),4.0)</f>
        <v>4</v>
      </c>
      <c r="P1915" s="213"/>
      <c r="Q1915" s="213"/>
      <c r="R1915" s="213"/>
      <c r="S1915" s="213" t="str">
        <f>IFERROR(__xludf.DUMMYFUNCTION("""COMPUTED_VALUE"""),"SI")</f>
        <v>SI</v>
      </c>
      <c r="T1915" s="213" t="str">
        <f>IFERROR(__xludf.DUMMYFUNCTION("""COMPUTED_VALUE"""),"SI")</f>
        <v>SI</v>
      </c>
      <c r="U1915" s="213" t="str">
        <f>IFERROR(__xludf.DUMMYFUNCTION("""COMPUTED_VALUE"""),"SI")</f>
        <v>SI</v>
      </c>
      <c r="V1915" s="213" t="str">
        <f>IFERROR(__xludf.DUMMYFUNCTION("""COMPUTED_VALUE"""),"-")</f>
        <v>-</v>
      </c>
      <c r="W1915" s="213" t="str">
        <f>IFERROR(__xludf.DUMMYFUNCTION("""COMPUTED_VALUE"""),"-")</f>
        <v>-</v>
      </c>
      <c r="X1915" s="213" t="str">
        <f>IFERROR(__xludf.DUMMYFUNCTION("""COMPUTED_VALUE"""),"UNI-T")</f>
        <v>UNI-T</v>
      </c>
      <c r="Y1915" s="213" t="str">
        <f>IFERROR(__xludf.DUMMYFUNCTION("""COMPUTED_VALUE"""),"UT61E+")</f>
        <v>UT61E+</v>
      </c>
      <c r="Z1915" s="215" t="str">
        <f>IFERROR(__xludf.DUMMYFUNCTION("""COMPUTED_VALUE"""),"https://meters.uni-trend.com/product/ut61plus-series/")</f>
        <v>https://meters.uni-trend.com/product/ut61plus-series/</v>
      </c>
      <c r="AA1915" s="213" t="str">
        <f>IFERROR(__xludf.DUMMYFUNCTION("""COMPUTED_VALUE"""),"ESP-281-X MULTÍMETRO DIGITAL - CET CI")</f>
        <v>ESP-281-X MULTÍMETRO DIGITAL - CET CI</v>
      </c>
      <c r="AB1915" s="215" t="str">
        <f>IFERROR(__xludf.DUMMYFUNCTION("""COMPUTED_VALUE"""),"https://drive.google.com/file/d/1Gm8nIRKEQNOyllcVcqpDUaFl-M5AnbfA/view?usp=sharing")</f>
        <v>https://drive.google.com/file/d/1Gm8nIRKEQNOyllcVcqpDUaFl-M5AnbfA/view?usp=sharing</v>
      </c>
      <c r="AC1915" s="213"/>
      <c r="AD1915" s="213"/>
      <c r="AE1915" s="213"/>
      <c r="AF1915" s="213"/>
      <c r="AG1915" s="213"/>
      <c r="AH1915" s="213"/>
      <c r="AI1915" s="213"/>
      <c r="AJ1915" s="213"/>
      <c r="AK1915" s="213"/>
      <c r="AL1915" s="213"/>
      <c r="AM1915" s="213"/>
      <c r="AN1915" s="213"/>
      <c r="AO1915" s="213"/>
      <c r="AP1915" s="213" t="str">
        <f>IFERROR(__xludf.DUMMYFUNCTION("""COMPUTED_VALUE"""),"MICHEL")</f>
        <v>MICHEL</v>
      </c>
      <c r="AQ1915" s="213"/>
      <c r="AR1915" s="213"/>
      <c r="AS1915" s="213"/>
      <c r="AT1915" s="213"/>
      <c r="AU1915" s="213"/>
      <c r="AV1915" s="213"/>
      <c r="AW1915" s="213"/>
      <c r="AX1915" s="213"/>
      <c r="AY1915" s="213"/>
      <c r="AZ1915" s="213"/>
      <c r="BA1915" s="213"/>
      <c r="BB1915" s="213"/>
      <c r="BC1915" s="213"/>
      <c r="BD1915" s="213"/>
    </row>
    <row r="1916">
      <c r="A1916" s="213">
        <f>IFERROR(__xludf.DUMMYFUNCTION("""COMPUTED_VALUE"""),882.0)</f>
        <v>882</v>
      </c>
      <c r="B1916" s="213" t="str">
        <f>IFERROR(__xludf.DUMMYFUNCTION("""COMPUTED_VALUE"""),"6049 RICARDO PALMA")</f>
        <v>6049 RICARDO PALMA</v>
      </c>
      <c r="C1916" s="213" t="str">
        <f>IFERROR(__xludf.DUMMYFUNCTION("""COMPUTED_VALUE"""),"TALLER SFT DE ELECTRICIDAD")</f>
        <v>TALLER SFT DE ELECTRICIDAD</v>
      </c>
      <c r="D1916" s="213" t="str">
        <f>IFERROR(__xludf.DUMMYFUNCTION("""COMPUTED_VALUE"""),"EQUIPOS")</f>
        <v>EQUIPOS</v>
      </c>
      <c r="E1916" s="213" t="str">
        <f>IFERROR(__xludf.DUMMYFUNCTION("""COMPUTED_VALUE"""),"ESP-281")</f>
        <v>ESP-281</v>
      </c>
      <c r="F1916" s="213" t="str">
        <f>IFERROR(__xludf.DUMMYFUNCTION("""COMPUTED_VALUE"""),"ESP-281-Y")</f>
        <v>ESP-281-Y</v>
      </c>
      <c r="G1916" s="213"/>
      <c r="H1916" s="213" t="str">
        <f>IFERROR(__xludf.DUMMYFUNCTION("""COMPUTED_VALUE"""),"MULTÍMETRO DIGITAL")</f>
        <v>MULTÍMETRO DIGITAL</v>
      </c>
      <c r="I1916" s="213" t="str">
        <f>IFERROR(__xludf.DUMMYFUNCTION("""COMPUTED_VALUE"""),"· Medidor de funciones múltiples con Pantalla LCD de alto contraste.
· Funciones de medición de:
1. Voltajes:   AC, DC; 500 V max.
2. Corriente: AC, DC desde 2 mA hasta  10 Amp.
3. Resistencia: hasta 50 Mohm max.
4. Frecuencia:   hasta 100 Khz.
5. Capacit"&amp;"ancia: hasta 10 000 uF.
6. Continuidad / Prueba de diodos.
7. Con botón de DATA HOLD.
· Características de Seguridad:
1. Con estuche de protección anti golpes y antideslizante: Estuche de goma.
2. Con soporte para posicionarlo en forma inclinada.
· Otras "&amp;"Características complementarias:
1. Puntas de prueba de conductores y aislantes flexible y seguro con polaridad (rojo, negro).")</f>
        <v>· Medidor de funciones múltiples con Pantalla LCD de alto contraste.
· Funciones de medición de:
1. Voltajes:   AC, DC; 500 V max.
2. Corriente: AC, DC desde 2 mA hasta  10 Amp.
3. Resistencia: hasta 50 Mohm max.
4. Frecuencia:   hasta 100 Khz.
5. Capacitancia: hasta 10 000 uF.
6. Continuidad / Prueba de diodos.
7. Con botón de DATA HOLD.
· Características de Seguridad:
1. Con estuche de protección anti golpes y antideslizante: Estuche de goma.
2. Con soporte para posicionarlo en forma inclinada.
· Otras Características complementarias:
1. Puntas de prueba de conductores y aislantes flexible y seguro con polaridad (rojo, negro).</v>
      </c>
      <c r="J1916" s="213">
        <f>IFERROR(__xludf.DUMMYFUNCTION("""COMPUTED_VALUE"""),3.0)</f>
        <v>3</v>
      </c>
      <c r="K1916" s="213" t="str">
        <f>IFERROR(__xludf.DUMMYFUNCTION("""COMPUTED_VALUE"""),"170 DÍAS CALENDARIO")</f>
        <v>170 DÍAS CALENDARIO</v>
      </c>
      <c r="L1916" s="213" t="str">
        <f>IFERROR(__xludf.DUMMYFUNCTION("""COMPUTED_VALUE"""),"")</f>
        <v/>
      </c>
      <c r="M1916" s="213">
        <f>IFERROR(__xludf.DUMMYFUNCTION("""COMPUTED_VALUE"""),1.0)</f>
        <v>1</v>
      </c>
      <c r="N1916" s="213">
        <f>IFERROR(__xludf.DUMMYFUNCTION("""COMPUTED_VALUE"""),4.0)</f>
        <v>4</v>
      </c>
      <c r="O1916" s="213">
        <f>IFERROR(__xludf.DUMMYFUNCTION("""COMPUTED_VALUE"""),4.0)</f>
        <v>4</v>
      </c>
      <c r="P1916" s="213"/>
      <c r="Q1916" s="213"/>
      <c r="R1916" s="213"/>
      <c r="S1916" s="213" t="str">
        <f>IFERROR(__xludf.DUMMYFUNCTION("""COMPUTED_VALUE"""),"SI")</f>
        <v>SI</v>
      </c>
      <c r="T1916" s="213" t="str">
        <f>IFERROR(__xludf.DUMMYFUNCTION("""COMPUTED_VALUE"""),"SI")</f>
        <v>SI</v>
      </c>
      <c r="U1916" s="213" t="str">
        <f>IFERROR(__xludf.DUMMYFUNCTION("""COMPUTED_VALUE"""),"SI")</f>
        <v>SI</v>
      </c>
      <c r="V1916" s="213" t="str">
        <f>IFERROR(__xludf.DUMMYFUNCTION("""COMPUTED_VALUE"""),"-")</f>
        <v>-</v>
      </c>
      <c r="W1916" s="213" t="str">
        <f>IFERROR(__xludf.DUMMYFUNCTION("""COMPUTED_VALUE"""),"-")</f>
        <v>-</v>
      </c>
      <c r="X1916" s="213" t="str">
        <f>IFERROR(__xludf.DUMMYFUNCTION("""COMPUTED_VALUE"""),"UNI-T")</f>
        <v>UNI-T</v>
      </c>
      <c r="Y1916" s="213" t="str">
        <f>IFERROR(__xludf.DUMMYFUNCTION("""COMPUTED_VALUE"""),"UT61E+")</f>
        <v>UT61E+</v>
      </c>
      <c r="Z1916" s="215" t="str">
        <f>IFERROR(__xludf.DUMMYFUNCTION("""COMPUTED_VALUE"""),"https://meters.uni-trend.com/product/ut61plus-series/")</f>
        <v>https://meters.uni-trend.com/product/ut61plus-series/</v>
      </c>
      <c r="AA1916" s="213" t="str">
        <f>IFERROR(__xludf.DUMMYFUNCTION("""COMPUTED_VALUE"""),"ESP-281-Y MULTÍMETRO DIGITAL- CET")</f>
        <v>ESP-281-Y MULTÍMETRO DIGITAL- CET</v>
      </c>
      <c r="AB1916" s="215" t="str">
        <f>IFERROR(__xludf.DUMMYFUNCTION("""COMPUTED_VALUE"""),"https://drive.google.com/file/d/1dbahtMEu-pGSwu1cN_RnX3u_xFhGDKSs/view")</f>
        <v>https://drive.google.com/file/d/1dbahtMEu-pGSwu1cN_RnX3u_xFhGDKSs/view</v>
      </c>
      <c r="AC1916" s="213"/>
      <c r="AD1916" s="213"/>
      <c r="AE1916" s="213"/>
      <c r="AF1916" s="213"/>
      <c r="AG1916" s="213"/>
      <c r="AH1916" s="213" t="str">
        <f>IFERROR(__xludf.DUMMYFUNCTION("""COMPUTED_VALUE"""),"IMPORTADO")</f>
        <v>IMPORTADO</v>
      </c>
      <c r="AI1916" s="213"/>
      <c r="AJ1916" s="213"/>
      <c r="AK1916" s="213"/>
      <c r="AL1916" s="213"/>
      <c r="AM1916" s="213"/>
      <c r="AN1916" s="213"/>
      <c r="AO1916" s="213"/>
      <c r="AP1916" s="213" t="str">
        <f>IFERROR(__xludf.DUMMYFUNCTION("""COMPUTED_VALUE"""),"NALDI")</f>
        <v>NALDI</v>
      </c>
      <c r="AQ1916" s="213"/>
      <c r="AR1916" s="213"/>
      <c r="AS1916" s="213" t="str">
        <f>IFERROR(__xludf.DUMMYFUNCTION("""COMPUTED_VALUE"""),"4 PILAS AAA POR CADA MULTÍMETRO")</f>
        <v>4 PILAS AAA POR CADA MULTÍMETRO</v>
      </c>
      <c r="AT1916" s="213"/>
      <c r="AU1916" s="213"/>
      <c r="AV1916" s="213"/>
      <c r="AW1916" s="213"/>
      <c r="AX1916" s="213"/>
      <c r="AY1916" s="213"/>
      <c r="AZ1916" s="213"/>
      <c r="BA1916" s="213"/>
      <c r="BB1916" s="213"/>
      <c r="BC1916" s="213"/>
      <c r="BD1916" s="213"/>
    </row>
    <row r="1917">
      <c r="A1917" s="213">
        <f>IFERROR(__xludf.DUMMYFUNCTION("""COMPUTED_VALUE"""),1304.0)</f>
        <v>1304</v>
      </c>
      <c r="B1917" s="213" t="str">
        <f>IFERROR(__xludf.DUMMYFUNCTION("""COMPUTED_VALUE"""),"GUILLERMO E. BILLINGHURST ")</f>
        <v>GUILLERMO E. BILLINGHURST </v>
      </c>
      <c r="C1917" s="213" t="str">
        <f>IFERROR(__xludf.DUMMYFUNCTION("""COMPUTED_VALUE"""),"TALLER SFT DE ELECTRICIDAD")</f>
        <v>TALLER SFT DE ELECTRICIDAD</v>
      </c>
      <c r="D1917" s="213" t="str">
        <f>IFERROR(__xludf.DUMMYFUNCTION("""COMPUTED_VALUE"""),"EQUIPOS")</f>
        <v>EQUIPOS</v>
      </c>
      <c r="E1917" s="213" t="str">
        <f>IFERROR(__xludf.DUMMYFUNCTION("""COMPUTED_VALUE"""),"ESP-281")</f>
        <v>ESP-281</v>
      </c>
      <c r="F1917" s="213" t="str">
        <f>IFERROR(__xludf.DUMMYFUNCTION("""COMPUTED_VALUE"""),"ESP-281-Y")</f>
        <v>ESP-281-Y</v>
      </c>
      <c r="G1917" s="213"/>
      <c r="H1917" s="213" t="str">
        <f>IFERROR(__xludf.DUMMYFUNCTION("""COMPUTED_VALUE"""),"MULTÍMETRO DIGITAL")</f>
        <v>MULTÍMETRO DIGITAL</v>
      </c>
      <c r="I1917" s="213" t="str">
        <f>IFERROR(__xludf.DUMMYFUNCTION("""COMPUTED_VALUE"""),"· Medidor de funciones múltiples con Pantalla LCD de alto contraste.
· Funciones de medición de:
1. Voltajes:   AC, DC; 500 V max.
2. Corriente: AC, DC desde 2 mA hasta  10 Amp.
3. Resistencia: hasta 50 Mohm max.
4. Frecuencia:   hasta 100 Khz.
5. Capacit"&amp;"ancia: hasta 10 000 uF.
6. Continuidad / Prueba de diodos.
7. Con botón de DATA HOLD.
· Características de Seguridad:
1. Con estuche de protección anti golpes y antideslizante: Estuche de goma.
2. Con soporte para posicionarlo en forma inclinada.
· Otras "&amp;"Características complementarias:
1. Puntas de prueba de conductores y aislantes flexible y seguro con polaridad (rojo, negro).")</f>
        <v>· Medidor de funciones múltiples con Pantalla LCD de alto contraste.
· Funciones de medición de:
1. Voltajes:   AC, DC; 500 V max.
2. Corriente: AC, DC desde 2 mA hasta  10 Amp.
3. Resistencia: hasta 50 Mohm max.
4. Frecuencia:   hasta 100 Khz.
5. Capacitancia: hasta 10 000 uF.
6. Continuidad / Prueba de diodos.
7. Con botón de DATA HOLD.
· Características de Seguridad:
1. Con estuche de protección anti golpes y antideslizante: Estuche de goma.
2. Con soporte para posicionarlo en forma inclinada.
· Otras Características complementarias:
1. Puntas de prueba de conductores y aislantes flexible y seguro con polaridad (rojo, negro).</v>
      </c>
      <c r="J1917" s="213">
        <f>IFERROR(__xludf.DUMMYFUNCTION("""COMPUTED_VALUE"""),3.0)</f>
        <v>3</v>
      </c>
      <c r="K1917" s="213" t="str">
        <f>IFERROR(__xludf.DUMMYFUNCTION("""COMPUTED_VALUE"""),"170 DÍAS CALENDARIO")</f>
        <v>170 DÍAS CALENDARIO</v>
      </c>
      <c r="L1917" s="213" t="str">
        <f>IFERROR(__xludf.DUMMYFUNCTION("""COMPUTED_VALUE"""),"")</f>
        <v/>
      </c>
      <c r="M1917" s="213">
        <f>IFERROR(__xludf.DUMMYFUNCTION("""COMPUTED_VALUE"""),1.0)</f>
        <v>1</v>
      </c>
      <c r="N1917" s="213">
        <f>IFERROR(__xludf.DUMMYFUNCTION("""COMPUTED_VALUE"""),4.0)</f>
        <v>4</v>
      </c>
      <c r="O1917" s="213">
        <f>IFERROR(__xludf.DUMMYFUNCTION("""COMPUTED_VALUE"""),4.0)</f>
        <v>4</v>
      </c>
      <c r="P1917" s="213"/>
      <c r="Q1917" s="213"/>
      <c r="R1917" s="213"/>
      <c r="S1917" s="213" t="str">
        <f>IFERROR(__xludf.DUMMYFUNCTION("""COMPUTED_VALUE"""),"SI")</f>
        <v>SI</v>
      </c>
      <c r="T1917" s="213" t="str">
        <f>IFERROR(__xludf.DUMMYFUNCTION("""COMPUTED_VALUE"""),"SI")</f>
        <v>SI</v>
      </c>
      <c r="U1917" s="213" t="str">
        <f>IFERROR(__xludf.DUMMYFUNCTION("""COMPUTED_VALUE"""),"SI")</f>
        <v>SI</v>
      </c>
      <c r="V1917" s="213" t="str">
        <f>IFERROR(__xludf.DUMMYFUNCTION("""COMPUTED_VALUE"""),"-")</f>
        <v>-</v>
      </c>
      <c r="W1917" s="213" t="str">
        <f>IFERROR(__xludf.DUMMYFUNCTION("""COMPUTED_VALUE"""),"-")</f>
        <v>-</v>
      </c>
      <c r="X1917" s="213" t="str">
        <f>IFERROR(__xludf.DUMMYFUNCTION("""COMPUTED_VALUE"""),"UNI-T")</f>
        <v>UNI-T</v>
      </c>
      <c r="Y1917" s="213" t="str">
        <f>IFERROR(__xludf.DUMMYFUNCTION("""COMPUTED_VALUE"""),"UT61E+")</f>
        <v>UT61E+</v>
      </c>
      <c r="Z1917" s="215" t="str">
        <f>IFERROR(__xludf.DUMMYFUNCTION("""COMPUTED_VALUE"""),"https://meters.uni-trend.com/product/ut61plus-series/")</f>
        <v>https://meters.uni-trend.com/product/ut61plus-series/</v>
      </c>
      <c r="AA1917" s="213" t="str">
        <f>IFERROR(__xludf.DUMMYFUNCTION("""COMPUTED_VALUE"""),"ESP-281-Y MULTÍMETRO DIGITAL- CET")</f>
        <v>ESP-281-Y MULTÍMETRO DIGITAL- CET</v>
      </c>
      <c r="AB1917" s="215" t="str">
        <f>IFERROR(__xludf.DUMMYFUNCTION("""COMPUTED_VALUE"""),"https://drive.google.com/file/d/1dbahtMEu-pGSwu1cN_RnX3u_xFhGDKSs/view")</f>
        <v>https://drive.google.com/file/d/1dbahtMEu-pGSwu1cN_RnX3u_xFhGDKSs/view</v>
      </c>
      <c r="AC1917" s="213"/>
      <c r="AD1917" s="213"/>
      <c r="AE1917" s="213"/>
      <c r="AF1917" s="213"/>
      <c r="AG1917" s="213"/>
      <c r="AH1917" s="213" t="str">
        <f>IFERROR(__xludf.DUMMYFUNCTION("""COMPUTED_VALUE"""),"IMPORTADO")</f>
        <v>IMPORTADO</v>
      </c>
      <c r="AI1917" s="213"/>
      <c r="AJ1917" s="213"/>
      <c r="AK1917" s="213"/>
      <c r="AL1917" s="213"/>
      <c r="AM1917" s="213"/>
      <c r="AN1917" s="213"/>
      <c r="AO1917" s="213"/>
      <c r="AP1917" s="213" t="str">
        <f>IFERROR(__xludf.DUMMYFUNCTION("""COMPUTED_VALUE"""),"NALDI")</f>
        <v>NALDI</v>
      </c>
      <c r="AQ1917" s="213"/>
      <c r="AR1917" s="213"/>
      <c r="AS1917" s="213" t="str">
        <f>IFERROR(__xludf.DUMMYFUNCTION("""COMPUTED_VALUE"""),"4 PILAS AAA POR CADA MULTÍMETRO")</f>
        <v>4 PILAS AAA POR CADA MULTÍMETRO</v>
      </c>
      <c r="AT1917" s="213"/>
      <c r="AU1917" s="213"/>
      <c r="AV1917" s="213"/>
      <c r="AW1917" s="213"/>
      <c r="AX1917" s="213"/>
      <c r="AY1917" s="213"/>
      <c r="AZ1917" s="213"/>
      <c r="BA1917" s="213"/>
      <c r="BB1917" s="213"/>
      <c r="BC1917" s="213"/>
      <c r="BD1917" s="213"/>
    </row>
    <row r="1918">
      <c r="A1918" s="213">
        <f>IFERROR(__xludf.DUMMYFUNCTION("""COMPUTED_VALUE"""),1747.0)</f>
        <v>1747</v>
      </c>
      <c r="B1918" s="213" t="str">
        <f>IFERROR(__xludf.DUMMYFUNCTION("""COMPUTED_VALUE"""),"GUILLERMO E. BILLINGHURST ")</f>
        <v>GUILLERMO E. BILLINGHURST </v>
      </c>
      <c r="C1918" s="213" t="str">
        <f>IFERROR(__xludf.DUMMYFUNCTION("""COMPUTED_VALUE"""),"TALLER SFT DE COMPUTACIÓN E INFORMÁTICA")</f>
        <v>TALLER SFT DE COMPUTACIÓN E INFORMÁTICA</v>
      </c>
      <c r="D1918" s="213" t="str">
        <f>IFERROR(__xludf.DUMMYFUNCTION("""COMPUTED_VALUE"""),"EQUIPOS")</f>
        <v>EQUIPOS</v>
      </c>
      <c r="E1918" s="213" t="str">
        <f>IFERROR(__xludf.DUMMYFUNCTION("""COMPUTED_VALUE"""),"ESP-281")</f>
        <v>ESP-281</v>
      </c>
      <c r="F1918" s="213" t="str">
        <f>IFERROR(__xludf.DUMMYFUNCTION("""COMPUTED_VALUE"""),"ESP-281-X")</f>
        <v>ESP-281-X</v>
      </c>
      <c r="G1918" s="213"/>
      <c r="H1918" s="213" t="str">
        <f>IFERROR(__xludf.DUMMYFUNCTION("""COMPUTED_VALUE"""),"MULTÍMETRO DIGITAL")</f>
        <v>MULTÍMETRO DIGITAL</v>
      </c>
      <c r="I1918" s="213" t="str">
        <f>IFERROR(__xludf.DUMMYFUNCTION("""COMPUTED_VALUE"""),"Multitester Digital.
Medición de voltaje (DC), hasta: 1000 V. Medición de voltaje (AC), hasta: 1000 V. Medición de ohmios: ≥ 200 MΩ. Medición de capacitancia: ≥ 200 mF.
Medición de amperios en corriente alterna: ≥ 10 A. Medición de frecuencia: ≥ 200 MHz.
"&amp;"Botón de iluminación de pantalla. Incluye cables con puntas para pruebas.")</f>
        <v>Multitester Digital.
Medición de voltaje (DC), hasta: 1000 V. Medición de voltaje (AC), hasta: 1000 V. Medición de ohmios: ≥ 200 MΩ. Medición de capacitancia: ≥ 200 mF.
Medición de amperios en corriente alterna: ≥ 10 A. Medición de frecuencia: ≥ 200 MHz.
Botón de iluminación de pantalla. Incluye cables con puntas para pruebas.</v>
      </c>
      <c r="J1918" s="213">
        <f>IFERROR(__xludf.DUMMYFUNCTION("""COMPUTED_VALUE"""),3.0)</f>
        <v>3</v>
      </c>
      <c r="K1918" s="213" t="str">
        <f>IFERROR(__xludf.DUMMYFUNCTION("""COMPUTED_VALUE"""),"170 DÍAS CALENDARIO")</f>
        <v>170 DÍAS CALENDARIO</v>
      </c>
      <c r="L1918" s="213" t="str">
        <f>IFERROR(__xludf.DUMMYFUNCTION("""COMPUTED_VALUE"""),"")</f>
        <v/>
      </c>
      <c r="M1918" s="213">
        <f>IFERROR(__xludf.DUMMYFUNCTION("""COMPUTED_VALUE"""),1.0)</f>
        <v>1</v>
      </c>
      <c r="N1918" s="213">
        <f>IFERROR(__xludf.DUMMYFUNCTION("""COMPUTED_VALUE"""),4.0)</f>
        <v>4</v>
      </c>
      <c r="O1918" s="213">
        <f>IFERROR(__xludf.DUMMYFUNCTION("""COMPUTED_VALUE"""),4.0)</f>
        <v>4</v>
      </c>
      <c r="P1918" s="213"/>
      <c r="Q1918" s="213"/>
      <c r="R1918" s="213"/>
      <c r="S1918" s="213" t="str">
        <f>IFERROR(__xludf.DUMMYFUNCTION("""COMPUTED_VALUE"""),"SI")</f>
        <v>SI</v>
      </c>
      <c r="T1918" s="213" t="str">
        <f>IFERROR(__xludf.DUMMYFUNCTION("""COMPUTED_VALUE"""),"SI")</f>
        <v>SI</v>
      </c>
      <c r="U1918" s="213" t="str">
        <f>IFERROR(__xludf.DUMMYFUNCTION("""COMPUTED_VALUE"""),"SI")</f>
        <v>SI</v>
      </c>
      <c r="V1918" s="213" t="str">
        <f>IFERROR(__xludf.DUMMYFUNCTION("""COMPUTED_VALUE"""),"-")</f>
        <v>-</v>
      </c>
      <c r="W1918" s="213" t="str">
        <f>IFERROR(__xludf.DUMMYFUNCTION("""COMPUTED_VALUE"""),"-")</f>
        <v>-</v>
      </c>
      <c r="X1918" s="213" t="str">
        <f>IFERROR(__xludf.DUMMYFUNCTION("""COMPUTED_VALUE"""),"UNI-T")</f>
        <v>UNI-T</v>
      </c>
      <c r="Y1918" s="213" t="str">
        <f>IFERROR(__xludf.DUMMYFUNCTION("""COMPUTED_VALUE"""),"UT61E+")</f>
        <v>UT61E+</v>
      </c>
      <c r="Z1918" s="215" t="str">
        <f>IFERROR(__xludf.DUMMYFUNCTION("""COMPUTED_VALUE"""),"https://meters.uni-trend.com/product/ut61plus-series/")</f>
        <v>https://meters.uni-trend.com/product/ut61plus-series/</v>
      </c>
      <c r="AA1918" s="213" t="str">
        <f>IFERROR(__xludf.DUMMYFUNCTION("""COMPUTED_VALUE"""),"ESP-281-X MULTÍMETRO DIGITAL - CET CI")</f>
        <v>ESP-281-X MULTÍMETRO DIGITAL - CET CI</v>
      </c>
      <c r="AB1918" s="215" t="str">
        <f>IFERROR(__xludf.DUMMYFUNCTION("""COMPUTED_VALUE"""),"https://drive.google.com/file/d/1Gm8nIRKEQNOyllcVcqpDUaFl-M5AnbfA/view?usp=sharing")</f>
        <v>https://drive.google.com/file/d/1Gm8nIRKEQNOyllcVcqpDUaFl-M5AnbfA/view?usp=sharing</v>
      </c>
      <c r="AC1918" s="213"/>
      <c r="AD1918" s="213"/>
      <c r="AE1918" s="213"/>
      <c r="AF1918" s="213"/>
      <c r="AG1918" s="213"/>
      <c r="AH1918" s="213"/>
      <c r="AI1918" s="213"/>
      <c r="AJ1918" s="213"/>
      <c r="AK1918" s="213"/>
      <c r="AL1918" s="213"/>
      <c r="AM1918" s="213"/>
      <c r="AN1918" s="213"/>
      <c r="AO1918" s="213"/>
      <c r="AP1918" s="213" t="str">
        <f>IFERROR(__xludf.DUMMYFUNCTION("""COMPUTED_VALUE"""),"MICHEL")</f>
        <v>MICHEL</v>
      </c>
      <c r="AQ1918" s="213"/>
      <c r="AR1918" s="213"/>
      <c r="AS1918" s="213"/>
      <c r="AT1918" s="213"/>
      <c r="AU1918" s="213"/>
      <c r="AV1918" s="213"/>
      <c r="AW1918" s="213"/>
      <c r="AX1918" s="213"/>
      <c r="AY1918" s="213"/>
      <c r="AZ1918" s="213"/>
      <c r="BA1918" s="213"/>
      <c r="BB1918" s="213"/>
      <c r="BC1918" s="213"/>
      <c r="BD1918" s="213"/>
    </row>
    <row r="1919">
      <c r="A1919" s="213">
        <f>IFERROR(__xludf.DUMMYFUNCTION("""COMPUTED_VALUE"""),1998.0)</f>
        <v>1998</v>
      </c>
      <c r="B1919" s="213" t="str">
        <f>IFERROR(__xludf.DUMMYFUNCTION("""COMPUTED_VALUE"""),"JOSE GRANDA")</f>
        <v>JOSE GRANDA</v>
      </c>
      <c r="C1919" s="213" t="str">
        <f>IFERROR(__xludf.DUMMYFUNCTION("""COMPUTED_VALUE"""),"TALLER SFT DE COMPUTACIÓN E INFORMÁTICA")</f>
        <v>TALLER SFT DE COMPUTACIÓN E INFORMÁTICA</v>
      </c>
      <c r="D1919" s="213" t="str">
        <f>IFERROR(__xludf.DUMMYFUNCTION("""COMPUTED_VALUE"""),"EQUIPOS")</f>
        <v>EQUIPOS</v>
      </c>
      <c r="E1919" s="213" t="str">
        <f>IFERROR(__xludf.DUMMYFUNCTION("""COMPUTED_VALUE"""),"ESP-281")</f>
        <v>ESP-281</v>
      </c>
      <c r="F1919" s="213" t="str">
        <f>IFERROR(__xludf.DUMMYFUNCTION("""COMPUTED_VALUE"""),"ESP-281-X")</f>
        <v>ESP-281-X</v>
      </c>
      <c r="G1919" s="213"/>
      <c r="H1919" s="213" t="str">
        <f>IFERROR(__xludf.DUMMYFUNCTION("""COMPUTED_VALUE"""),"MULTÍMETRO DIGITAL")</f>
        <v>MULTÍMETRO DIGITAL</v>
      </c>
      <c r="I1919" s="213" t="str">
        <f>IFERROR(__xludf.DUMMYFUNCTION("""COMPUTED_VALUE"""),"Multitester Digital.
Medición de voltaje (DC), hasta: 1000 V. Medición de voltaje (AC), hasta: 1000 V. Medición de ohmios: ≥ 200 MΩ. Medición de capacitancia: ≥ 200 mF.
Medición de amperios en corriente alterna: ≥ 10 A. Medición de frecuencia: ≥ 200 MHz.
"&amp;"Botón de iluminación de pantalla. Incluye cables con puntas para pruebas.")</f>
        <v>Multitester Digital.
Medición de voltaje (DC), hasta: 1000 V. Medición de voltaje (AC), hasta: 1000 V. Medición de ohmios: ≥ 200 MΩ. Medición de capacitancia: ≥ 200 mF.
Medición de amperios en corriente alterna: ≥ 10 A. Medición de frecuencia: ≥ 200 MHz.
Botón de iluminación de pantalla. Incluye cables con puntas para pruebas.</v>
      </c>
      <c r="J1919" s="213">
        <f>IFERROR(__xludf.DUMMYFUNCTION("""COMPUTED_VALUE"""),3.0)</f>
        <v>3</v>
      </c>
      <c r="K1919" s="213" t="str">
        <f>IFERROR(__xludf.DUMMYFUNCTION("""COMPUTED_VALUE"""),"170 DÍAS CALENDARIO")</f>
        <v>170 DÍAS CALENDARIO</v>
      </c>
      <c r="L1919" s="213" t="str">
        <f>IFERROR(__xludf.DUMMYFUNCTION("""COMPUTED_VALUE"""),"")</f>
        <v/>
      </c>
      <c r="M1919" s="213">
        <f>IFERROR(__xludf.DUMMYFUNCTION("""COMPUTED_VALUE"""),1.0)</f>
        <v>1</v>
      </c>
      <c r="N1919" s="213">
        <f>IFERROR(__xludf.DUMMYFUNCTION("""COMPUTED_VALUE"""),4.0)</f>
        <v>4</v>
      </c>
      <c r="O1919" s="213">
        <f>IFERROR(__xludf.DUMMYFUNCTION("""COMPUTED_VALUE"""),4.0)</f>
        <v>4</v>
      </c>
      <c r="P1919" s="213"/>
      <c r="Q1919" s="213"/>
      <c r="R1919" s="213"/>
      <c r="S1919" s="213" t="str">
        <f>IFERROR(__xludf.DUMMYFUNCTION("""COMPUTED_VALUE"""),"SI")</f>
        <v>SI</v>
      </c>
      <c r="T1919" s="213" t="str">
        <f>IFERROR(__xludf.DUMMYFUNCTION("""COMPUTED_VALUE"""),"SI")</f>
        <v>SI</v>
      </c>
      <c r="U1919" s="213" t="str">
        <f>IFERROR(__xludf.DUMMYFUNCTION("""COMPUTED_VALUE"""),"SI")</f>
        <v>SI</v>
      </c>
      <c r="V1919" s="213" t="str">
        <f>IFERROR(__xludf.DUMMYFUNCTION("""COMPUTED_VALUE"""),"-")</f>
        <v>-</v>
      </c>
      <c r="W1919" s="213" t="str">
        <f>IFERROR(__xludf.DUMMYFUNCTION("""COMPUTED_VALUE"""),"-")</f>
        <v>-</v>
      </c>
      <c r="X1919" s="213" t="str">
        <f>IFERROR(__xludf.DUMMYFUNCTION("""COMPUTED_VALUE"""),"UNI-T")</f>
        <v>UNI-T</v>
      </c>
      <c r="Y1919" s="213" t="str">
        <f>IFERROR(__xludf.DUMMYFUNCTION("""COMPUTED_VALUE"""),"UT61E+")</f>
        <v>UT61E+</v>
      </c>
      <c r="Z1919" s="215" t="str">
        <f>IFERROR(__xludf.DUMMYFUNCTION("""COMPUTED_VALUE"""),"https://meters.uni-trend.com/product/ut61plus-series/")</f>
        <v>https://meters.uni-trend.com/product/ut61plus-series/</v>
      </c>
      <c r="AA1919" s="213" t="str">
        <f>IFERROR(__xludf.DUMMYFUNCTION("""COMPUTED_VALUE"""),"ESP-281-X MULTÍMETRO DIGITAL - CET CI")</f>
        <v>ESP-281-X MULTÍMETRO DIGITAL - CET CI</v>
      </c>
      <c r="AB1919" s="215" t="str">
        <f>IFERROR(__xludf.DUMMYFUNCTION("""COMPUTED_VALUE"""),"https://drive.google.com/file/d/1Gm8nIRKEQNOyllcVcqpDUaFl-M5AnbfA/view?usp=sharing")</f>
        <v>https://drive.google.com/file/d/1Gm8nIRKEQNOyllcVcqpDUaFl-M5AnbfA/view?usp=sharing</v>
      </c>
      <c r="AC1919" s="213"/>
      <c r="AD1919" s="213"/>
      <c r="AE1919" s="213"/>
      <c r="AF1919" s="213"/>
      <c r="AG1919" s="213"/>
      <c r="AH1919" s="213"/>
      <c r="AI1919" s="213"/>
      <c r="AJ1919" s="213"/>
      <c r="AK1919" s="213"/>
      <c r="AL1919" s="213"/>
      <c r="AM1919" s="213"/>
      <c r="AN1919" s="213"/>
      <c r="AO1919" s="213"/>
      <c r="AP1919" s="213" t="str">
        <f>IFERROR(__xludf.DUMMYFUNCTION("""COMPUTED_VALUE"""),"MICHEL")</f>
        <v>MICHEL</v>
      </c>
      <c r="AQ1919" s="213"/>
      <c r="AR1919" s="213"/>
      <c r="AS1919" s="213"/>
      <c r="AT1919" s="213"/>
      <c r="AU1919" s="213"/>
      <c r="AV1919" s="213"/>
      <c r="AW1919" s="213"/>
      <c r="AX1919" s="213"/>
      <c r="AY1919" s="213"/>
      <c r="AZ1919" s="213"/>
      <c r="BA1919" s="213"/>
      <c r="BB1919" s="213"/>
      <c r="BC1919" s="213"/>
      <c r="BD1919" s="213"/>
    </row>
    <row r="1920">
      <c r="A1920" s="213">
        <f>IFERROR(__xludf.DUMMYFUNCTION("""COMPUTED_VALUE"""),124.0)</f>
        <v>124</v>
      </c>
      <c r="B1920" s="213" t="str">
        <f>IFERROR(__xludf.DUMMYFUNCTION("""COMPUTED_VALUE"""),"16449 ELOY SOBERON  FLORES")</f>
        <v>16449 ELOY SOBERON  FLORES</v>
      </c>
      <c r="C1920" s="213" t="str">
        <f>IFERROR(__xludf.DUMMYFUNCTION("""COMPUTED_VALUE"""),"TALLER SFT DE COCINA Y REPOSTERÍA")</f>
        <v>TALLER SFT DE COCINA Y REPOSTERÍA</v>
      </c>
      <c r="D1920" s="213" t="str">
        <f>IFERROR(__xludf.DUMMYFUNCTION("""COMPUTED_VALUE"""),"EQUIPOS")</f>
        <v>EQUIPOS</v>
      </c>
      <c r="E1920" s="213" t="str">
        <f>IFERROR(__xludf.DUMMYFUNCTION("""COMPUTED_VALUE"""),"ESP-282")</f>
        <v>ESP-282</v>
      </c>
      <c r="F1920" s="213" t="str">
        <f>IFERROR(__xludf.DUMMYFUNCTION("""COMPUTED_VALUE"""),"ESP-282-X")</f>
        <v>ESP-282-X</v>
      </c>
      <c r="G1920" s="213"/>
      <c r="H1920" s="213" t="str">
        <f>IFERROR(__xludf.DUMMYFUNCTION("""COMPUTED_VALUE"""),"MULTIPROCESADOR ALIMENTOS ROBOV")</f>
        <v>MULTIPROCESADOR ALIMENTOS ROBOV</v>
      </c>
      <c r="I1920" s="213" t="str">
        <f>IFERROR(__xludf.DUMMYFUNCTION("""COMPUTED_VALUE"""),". Con el motorde mínimo 800 watt.
. Capacidad mínima de 1.5lts.
. 2 ajustes de velocidad y función momentánea (Pulsador).
. Cuchilla Multifuncional de Acero Inox.")</f>
        <v>. Con el motorde mínimo 800 watt.
. Capacidad mínima de 1.5lts.
. 2 ajustes de velocidad y función momentánea (Pulsador).
. Cuchilla Multifuncional de Acero Inox.</v>
      </c>
      <c r="J1920" s="213">
        <f>IFERROR(__xludf.DUMMYFUNCTION("""COMPUTED_VALUE"""),3.0)</f>
        <v>3</v>
      </c>
      <c r="K1920" s="213" t="str">
        <f>IFERROR(__xludf.DUMMYFUNCTION("""COMPUTED_VALUE"""),"170 DÍAS CALENDARIO")</f>
        <v>170 DÍAS CALENDARIO</v>
      </c>
      <c r="L1920" s="213" t="str">
        <f>IFERROR(__xludf.DUMMYFUNCTION("""COMPUTED_VALUE"""),"")</f>
        <v/>
      </c>
      <c r="M1920" s="213">
        <f>IFERROR(__xludf.DUMMYFUNCTION("""COMPUTED_VALUE"""),1.0)</f>
        <v>1</v>
      </c>
      <c r="N1920" s="213">
        <f>IFERROR(__xludf.DUMMYFUNCTION("""COMPUTED_VALUE"""),1.0)</f>
        <v>1</v>
      </c>
      <c r="O1920" s="213">
        <f>IFERROR(__xludf.DUMMYFUNCTION("""COMPUTED_VALUE"""),1.0)</f>
        <v>1</v>
      </c>
      <c r="P1920" s="213"/>
      <c r="Q1920" s="213"/>
      <c r="R1920" s="213"/>
      <c r="S1920" s="213" t="str">
        <f>IFERROR(__xludf.DUMMYFUNCTION("""COMPUTED_VALUE"""),"SI")</f>
        <v>SI</v>
      </c>
      <c r="T1920" s="213" t="str">
        <f>IFERROR(__xludf.DUMMYFUNCTION("""COMPUTED_VALUE"""),"SI")</f>
        <v>SI</v>
      </c>
      <c r="U1920" s="213" t="str">
        <f>IFERROR(__xludf.DUMMYFUNCTION("""COMPUTED_VALUE"""),"SI")</f>
        <v>SI</v>
      </c>
      <c r="V1920" s="213" t="str">
        <f>IFERROR(__xludf.DUMMYFUNCTION("""COMPUTED_VALUE"""),"-")</f>
        <v>-</v>
      </c>
      <c r="W1920" s="213" t="str">
        <f>IFERROR(__xludf.DUMMYFUNCTION("""COMPUTED_VALUE"""),"-")</f>
        <v>-</v>
      </c>
      <c r="X1920" s="213" t="str">
        <f>IFERROR(__xludf.DUMMYFUNCTION("""COMPUTED_VALUE"""),"THOMAS")</f>
        <v>THOMAS</v>
      </c>
      <c r="Y1920" s="213" t="str">
        <f>IFERROR(__xludf.DUMMYFUNCTION("""COMPUTED_VALUE"""),"TH-9170B")</f>
        <v>TH-9170B</v>
      </c>
      <c r="Z1920" s="215" t="str">
        <f>IFERROR(__xludf.DUMMYFUNCTION("""COMPUTED_VALUE"""),"https://hiraoka.com.pe/procesador-de-alimentos-thomas-th-9170b?utm_id=22793891402&amp;gad_source=1&amp;gad_campaignid=22793891402&amp;gbraid=0AAAAACkNDqlI27oXl0JzAfOGWgXAVYofQ&amp;gclid=CjwKCAjwq9rFBhAIEiwAGVAZP_pbszxa8uaJt_9XtoWcJZZgbTfjzivkM156ChhvNRJ9kQ5tB65O-RoC4I4QA"&amp;"vD_BwE")</f>
        <v>https://hiraoka.com.pe/procesador-de-alimentos-thomas-th-9170b?utm_id=22793891402&amp;gad_source=1&amp;gad_campaignid=22793891402&amp;gbraid=0AAAAACkNDqlI27oXl0JzAfOGWgXAVYofQ&amp;gclid=CjwKCAjwq9rFBhAIEiwAGVAZP_pbszxa8uaJt_9XtoWcJZZgbTfjzivkM156ChhvNRJ9kQ5tB65O-RoC4I4QAvD_BwE</v>
      </c>
      <c r="AA1920" s="213" t="str">
        <f>IFERROR(__xludf.DUMMYFUNCTION("""COMPUTED_VALUE"""),"ESP-282-X MULTIPROCESADOR ALIMENTOS ROBOV- CET.xlsx")</f>
        <v>ESP-282-X MULTIPROCESADOR ALIMENTOS ROBOV- CET.xlsx</v>
      </c>
      <c r="AB1920" s="215" t="str">
        <f>IFERROR(__xludf.DUMMYFUNCTION("""COMPUTED_VALUE"""),"https://drive.google.com/file/d/1F99djZAZqSmFCW3UEMA6889TW4UMkbZz/view")</f>
        <v>https://drive.google.com/file/d/1F99djZAZqSmFCW3UEMA6889TW4UMkbZz/view</v>
      </c>
      <c r="AC1920" s="213"/>
      <c r="AD1920" s="213"/>
      <c r="AE1920" s="213"/>
      <c r="AF1920" s="213"/>
      <c r="AG1920" s="213"/>
      <c r="AH1920" s="213" t="str">
        <f>IFERROR(__xludf.DUMMYFUNCTION("""COMPUTED_VALUE"""),"NACIONAL")</f>
        <v>NACIONAL</v>
      </c>
      <c r="AI1920" s="213"/>
      <c r="AJ1920" s="213"/>
      <c r="AK1920" s="213"/>
      <c r="AL1920" s="213"/>
      <c r="AM1920" s="213"/>
      <c r="AN1920" s="213"/>
      <c r="AO1920" s="213"/>
      <c r="AP1920" s="213" t="str">
        <f>IFERROR(__xludf.DUMMYFUNCTION("""COMPUTED_VALUE"""),"JORGE")</f>
        <v>JORGE</v>
      </c>
      <c r="AQ1920" s="213"/>
      <c r="AR1920" s="213"/>
      <c r="AS1920" s="213"/>
      <c r="AT1920" s="213"/>
      <c r="AU1920" s="213"/>
      <c r="AV1920" s="213"/>
      <c r="AW1920" s="213"/>
      <c r="AX1920" s="213"/>
      <c r="AY1920" s="213"/>
      <c r="AZ1920" s="213"/>
      <c r="BA1920" s="213"/>
      <c r="BB1920" s="213"/>
      <c r="BC1920" s="213"/>
      <c r="BD1920" s="213"/>
    </row>
    <row r="1921">
      <c r="A1921" s="213">
        <f>IFERROR(__xludf.DUMMYFUNCTION("""COMPUTED_VALUE"""),603.0)</f>
        <v>603</v>
      </c>
      <c r="B1921" s="213" t="str">
        <f>IFERROR(__xludf.DUMMYFUNCTION("""COMPUTED_VALUE"""),"2026 SIMON BOLIVAR")</f>
        <v>2026 SIMON BOLIVAR</v>
      </c>
      <c r="C1921" s="213" t="str">
        <f>IFERROR(__xludf.DUMMYFUNCTION("""COMPUTED_VALUE"""),"TALLER SFT DE INDUSTRIA ALIMENTARIA")</f>
        <v>TALLER SFT DE INDUSTRIA ALIMENTARIA</v>
      </c>
      <c r="D1921" s="213" t="str">
        <f>IFERROR(__xludf.DUMMYFUNCTION("""COMPUTED_VALUE"""),"EQUIPOS")</f>
        <v>EQUIPOS</v>
      </c>
      <c r="E1921" s="213" t="str">
        <f>IFERROR(__xludf.DUMMYFUNCTION("""COMPUTED_VALUE"""),"ESP-282")</f>
        <v>ESP-282</v>
      </c>
      <c r="F1921" s="213" t="str">
        <f>IFERROR(__xludf.DUMMYFUNCTION("""COMPUTED_VALUE"""),"ESP-282-Y")</f>
        <v>ESP-282-Y</v>
      </c>
      <c r="G1921" s="213"/>
      <c r="H1921" s="213" t="str">
        <f>IFERROR(__xludf.DUMMYFUNCTION("""COMPUTED_VALUE"""),"MULTIPROCESADOR ALIMENTOS ROBOV")</f>
        <v>MULTIPROCESADOR ALIMENTOS ROBOV</v>
      </c>
      <c r="I1921" s="213" t="str">
        <f>IFERROR(__xludf.DUMMYFUNCTION("""COMPUTED_VALUE"""),". Potencia: 800 W.
. Velocidades: mínimo 2 velocidades, ajustes de función.
. Cuchilla Multifuncional de Acero Inoxidable.")</f>
        <v>. Potencia: 800 W.
. Velocidades: mínimo 2 velocidades, ajustes de función.
. Cuchilla Multifuncional de Acero Inoxidable.</v>
      </c>
      <c r="J1921" s="213">
        <f>IFERROR(__xludf.DUMMYFUNCTION("""COMPUTED_VALUE"""),3.0)</f>
        <v>3</v>
      </c>
      <c r="K1921" s="213" t="str">
        <f>IFERROR(__xludf.DUMMYFUNCTION("""COMPUTED_VALUE"""),"170 DÍAS CALENDARIO")</f>
        <v>170 DÍAS CALENDARIO</v>
      </c>
      <c r="L1921" s="213" t="str">
        <f>IFERROR(__xludf.DUMMYFUNCTION("""COMPUTED_VALUE"""),"")</f>
        <v/>
      </c>
      <c r="M1921" s="213">
        <f>IFERROR(__xludf.DUMMYFUNCTION("""COMPUTED_VALUE"""),1.0)</f>
        <v>1</v>
      </c>
      <c r="N1921" s="213">
        <f>IFERROR(__xludf.DUMMYFUNCTION("""COMPUTED_VALUE"""),1.0)</f>
        <v>1</v>
      </c>
      <c r="O1921" s="213">
        <f>IFERROR(__xludf.DUMMYFUNCTION("""COMPUTED_VALUE"""),1.0)</f>
        <v>1</v>
      </c>
      <c r="P1921" s="213"/>
      <c r="Q1921" s="213"/>
      <c r="R1921" s="213"/>
      <c r="S1921" s="213" t="str">
        <f>IFERROR(__xludf.DUMMYFUNCTION("""COMPUTED_VALUE"""),"SI")</f>
        <v>SI</v>
      </c>
      <c r="T1921" s="213" t="str">
        <f>IFERROR(__xludf.DUMMYFUNCTION("""COMPUTED_VALUE"""),"SI")</f>
        <v>SI</v>
      </c>
      <c r="U1921" s="213" t="str">
        <f>IFERROR(__xludf.DUMMYFUNCTION("""COMPUTED_VALUE"""),"SI")</f>
        <v>SI</v>
      </c>
      <c r="V1921" s="213" t="str">
        <f>IFERROR(__xludf.DUMMYFUNCTION("""COMPUTED_VALUE"""),"-")</f>
        <v>-</v>
      </c>
      <c r="W1921" s="213" t="str">
        <f>IFERROR(__xludf.DUMMYFUNCTION("""COMPUTED_VALUE"""),"-")</f>
        <v>-</v>
      </c>
      <c r="X1921" s="213" t="str">
        <f>IFERROR(__xludf.DUMMYFUNCTION("""COMPUTED_VALUE"""),"BOSCH")</f>
        <v>BOSCH</v>
      </c>
      <c r="Y1921" s="213" t="str">
        <f>IFERROR(__xludf.DUMMYFUNCTION("""COMPUTED_VALUE"""),"MCM3501M")</f>
        <v>MCM3501M</v>
      </c>
      <c r="Z1921" s="215" t="str">
        <f>IFERROR(__xludf.DUMMYFUNCTION("""COMPUTED_VALUE"""),"https://www.bosch-home.pe/electrodomesticos/MCM3501M#/Tabs=section-technicalspecs/Togglebox=manuals/Togglebox=accessories/")</f>
        <v>https://www.bosch-home.pe/electrodomesticos/MCM3501M#/Tabs=section-technicalspecs/Togglebox=manuals/Togglebox=accessories/</v>
      </c>
      <c r="AA1921" s="213" t="str">
        <f>IFERROR(__xludf.DUMMYFUNCTION("""COMPUTED_VALUE"""),"ESP-282-Y MULTIPROCESADOR ALIMENTOS ROBOV - CET")</f>
        <v>ESP-282-Y MULTIPROCESADOR ALIMENTOS ROBOV - CET</v>
      </c>
      <c r="AB1921" s="215" t="str">
        <f>IFERROR(__xludf.DUMMYFUNCTION("""COMPUTED_VALUE"""),"https://drive.google.com/file/d/15umRVZ0zaKYljJs8oJ2UPKQAXAtyuOhz/view")</f>
        <v>https://drive.google.com/file/d/15umRVZ0zaKYljJs8oJ2UPKQAXAtyuOhz/view</v>
      </c>
      <c r="AC1921" s="213"/>
      <c r="AD1921" s="213"/>
      <c r="AE1921" s="213"/>
      <c r="AF1921" s="213"/>
      <c r="AG1921" s="213"/>
      <c r="AH1921" s="213" t="str">
        <f>IFERROR(__xludf.DUMMYFUNCTION("""COMPUTED_VALUE"""),"NACIONAL")</f>
        <v>NACIONAL</v>
      </c>
      <c r="AI1921" s="213"/>
      <c r="AJ1921" s="213"/>
      <c r="AK1921" s="213"/>
      <c r="AL1921" s="213"/>
      <c r="AM1921" s="213"/>
      <c r="AN1921" s="213"/>
      <c r="AO1921" s="213"/>
      <c r="AP1921" s="213" t="str">
        <f>IFERROR(__xludf.DUMMYFUNCTION("""COMPUTED_VALUE"""),"ANTONELLA")</f>
        <v>ANTONELLA</v>
      </c>
      <c r="AQ1921" s="213"/>
      <c r="AR1921" s="213"/>
      <c r="AS1921" s="213"/>
      <c r="AT1921" s="213"/>
      <c r="AU1921" s="213"/>
      <c r="AV1921" s="213"/>
      <c r="AW1921" s="213"/>
      <c r="AX1921" s="213"/>
      <c r="AY1921" s="213"/>
      <c r="AZ1921" s="213"/>
      <c r="BA1921" s="213"/>
      <c r="BB1921" s="213"/>
      <c r="BC1921" s="213"/>
      <c r="BD1921" s="213"/>
    </row>
    <row r="1922">
      <c r="A1922" s="213">
        <f>IFERROR(__xludf.DUMMYFUNCTION("""COMPUTED_VALUE"""),605.0)</f>
        <v>605</v>
      </c>
      <c r="B1922" s="213" t="str">
        <f>IFERROR(__xludf.DUMMYFUNCTION("""COMPUTED_VALUE"""),"2026 SIMON BOLIVAR")</f>
        <v>2026 SIMON BOLIVAR</v>
      </c>
      <c r="C1922" s="213" t="str">
        <f>IFERROR(__xludf.DUMMYFUNCTION("""COMPUTED_VALUE"""),"TALLER SFT DE INDUSTRIA ALIMENTARIA")</f>
        <v>TALLER SFT DE INDUSTRIA ALIMENTARIA</v>
      </c>
      <c r="D1922" s="213" t="str">
        <f>IFERROR(__xludf.DUMMYFUNCTION("""COMPUTED_VALUE"""),"EQUIPOS")</f>
        <v>EQUIPOS</v>
      </c>
      <c r="E1922" s="213" t="str">
        <f>IFERROR(__xludf.DUMMYFUNCTION("""COMPUTED_VALUE"""),"ESP-282")</f>
        <v>ESP-282</v>
      </c>
      <c r="F1922" s="213" t="str">
        <f>IFERROR(__xludf.DUMMYFUNCTION("""COMPUTED_VALUE"""),"ESP-282-Y")</f>
        <v>ESP-282-Y</v>
      </c>
      <c r="G1922" s="213"/>
      <c r="H1922" s="213" t="str">
        <f>IFERROR(__xludf.DUMMYFUNCTION("""COMPUTED_VALUE"""),"MULTIPROCESADOR ALIMENTOS ROBOV")</f>
        <v>MULTIPROCESADOR ALIMENTOS ROBOV</v>
      </c>
      <c r="I1922" s="213" t="str">
        <f>IFERROR(__xludf.DUMMYFUNCTION("""COMPUTED_VALUE"""),". Potencia: 800 W.
. Velocidades: mínimo 2 velocidades, ajustes de función.
. Cuchilla Multifuncional de Acero Inoxidable.")</f>
        <v>. Potencia: 800 W.
. Velocidades: mínimo 2 velocidades, ajustes de función.
. Cuchilla Multifuncional de Acero Inoxidable.</v>
      </c>
      <c r="J1922" s="213">
        <f>IFERROR(__xludf.DUMMYFUNCTION("""COMPUTED_VALUE"""),3.0)</f>
        <v>3</v>
      </c>
      <c r="K1922" s="213" t="str">
        <f>IFERROR(__xludf.DUMMYFUNCTION("""COMPUTED_VALUE"""),"170 DÍAS CALENDARIO")</f>
        <v>170 DÍAS CALENDARIO</v>
      </c>
      <c r="L1922" s="213" t="str">
        <f>IFERROR(__xludf.DUMMYFUNCTION("""COMPUTED_VALUE"""),"")</f>
        <v/>
      </c>
      <c r="M1922" s="213">
        <f>IFERROR(__xludf.DUMMYFUNCTION("""COMPUTED_VALUE"""),1.0)</f>
        <v>1</v>
      </c>
      <c r="N1922" s="213">
        <f>IFERROR(__xludf.DUMMYFUNCTION("""COMPUTED_VALUE"""),1.0)</f>
        <v>1</v>
      </c>
      <c r="O1922" s="213">
        <f>IFERROR(__xludf.DUMMYFUNCTION("""COMPUTED_VALUE"""),1.0)</f>
        <v>1</v>
      </c>
      <c r="P1922" s="213"/>
      <c r="Q1922" s="213"/>
      <c r="R1922" s="213"/>
      <c r="S1922" s="213" t="str">
        <f>IFERROR(__xludf.DUMMYFUNCTION("""COMPUTED_VALUE"""),"SI")</f>
        <v>SI</v>
      </c>
      <c r="T1922" s="213" t="str">
        <f>IFERROR(__xludf.DUMMYFUNCTION("""COMPUTED_VALUE"""),"SI")</f>
        <v>SI</v>
      </c>
      <c r="U1922" s="213" t="str">
        <f>IFERROR(__xludf.DUMMYFUNCTION("""COMPUTED_VALUE"""),"SI")</f>
        <v>SI</v>
      </c>
      <c r="V1922" s="213" t="str">
        <f>IFERROR(__xludf.DUMMYFUNCTION("""COMPUTED_VALUE"""),"-")</f>
        <v>-</v>
      </c>
      <c r="W1922" s="213" t="str">
        <f>IFERROR(__xludf.DUMMYFUNCTION("""COMPUTED_VALUE"""),"-")</f>
        <v>-</v>
      </c>
      <c r="X1922" s="213" t="str">
        <f>IFERROR(__xludf.DUMMYFUNCTION("""COMPUTED_VALUE"""),"BOSCH")</f>
        <v>BOSCH</v>
      </c>
      <c r="Y1922" s="213" t="str">
        <f>IFERROR(__xludf.DUMMYFUNCTION("""COMPUTED_VALUE"""),"MCM3501M")</f>
        <v>MCM3501M</v>
      </c>
      <c r="Z1922" s="215" t="str">
        <f>IFERROR(__xludf.DUMMYFUNCTION("""COMPUTED_VALUE"""),"https://www.bosch-home.pe/electrodomesticos/MCM3501M#/Tabs=section-technicalspecs/Togglebox=manuals/Togglebox=accessories/")</f>
        <v>https://www.bosch-home.pe/electrodomesticos/MCM3501M#/Tabs=section-technicalspecs/Togglebox=manuals/Togglebox=accessories/</v>
      </c>
      <c r="AA1922" s="213" t="str">
        <f>IFERROR(__xludf.DUMMYFUNCTION("""COMPUTED_VALUE"""),"ESP-282-Y MULTIPROCESADOR ALIMENTOS ROBOV - CET")</f>
        <v>ESP-282-Y MULTIPROCESADOR ALIMENTOS ROBOV - CET</v>
      </c>
      <c r="AB1922" s="215" t="str">
        <f>IFERROR(__xludf.DUMMYFUNCTION("""COMPUTED_VALUE"""),"https://drive.google.com/file/d/15umRVZ0zaKYljJs8oJ2UPKQAXAtyuOhz/view")</f>
        <v>https://drive.google.com/file/d/15umRVZ0zaKYljJs8oJ2UPKQAXAtyuOhz/view</v>
      </c>
      <c r="AC1922" s="213"/>
      <c r="AD1922" s="213"/>
      <c r="AE1922" s="213"/>
      <c r="AF1922" s="213"/>
      <c r="AG1922" s="213"/>
      <c r="AH1922" s="213" t="str">
        <f>IFERROR(__xludf.DUMMYFUNCTION("""COMPUTED_VALUE"""),"NACIONAL")</f>
        <v>NACIONAL</v>
      </c>
      <c r="AI1922" s="213"/>
      <c r="AJ1922" s="213"/>
      <c r="AK1922" s="213"/>
      <c r="AL1922" s="213"/>
      <c r="AM1922" s="213"/>
      <c r="AN1922" s="213"/>
      <c r="AO1922" s="213"/>
      <c r="AP1922" s="213" t="str">
        <f>IFERROR(__xludf.DUMMYFUNCTION("""COMPUTED_VALUE"""),"ANTONELLA")</f>
        <v>ANTONELLA</v>
      </c>
      <c r="AQ1922" s="213"/>
      <c r="AR1922" s="213"/>
      <c r="AS1922" s="213"/>
      <c r="AT1922" s="213"/>
      <c r="AU1922" s="213"/>
      <c r="AV1922" s="213"/>
      <c r="AW1922" s="213"/>
      <c r="AX1922" s="213"/>
      <c r="AY1922" s="213"/>
      <c r="AZ1922" s="213"/>
      <c r="BA1922" s="213"/>
      <c r="BB1922" s="213"/>
      <c r="BC1922" s="213"/>
      <c r="BD1922" s="213"/>
    </row>
    <row r="1923">
      <c r="A1923" s="213">
        <f>IFERROR(__xludf.DUMMYFUNCTION("""COMPUTED_VALUE"""),1229.0)</f>
        <v>1229</v>
      </c>
      <c r="B1923" s="213" t="str">
        <f>IFERROR(__xludf.DUMMYFUNCTION("""COMPUTED_VALUE"""),"FRANCISCO IRAZOLA")</f>
        <v>FRANCISCO IRAZOLA</v>
      </c>
      <c r="C1923" s="213" t="str">
        <f>IFERROR(__xludf.DUMMYFUNCTION("""COMPUTED_VALUE"""),"TALLER SFT DE INDUSTRIA ALIMENTARIA")</f>
        <v>TALLER SFT DE INDUSTRIA ALIMENTARIA</v>
      </c>
      <c r="D1923" s="213" t="str">
        <f>IFERROR(__xludf.DUMMYFUNCTION("""COMPUTED_VALUE"""),"EQUIPOS")</f>
        <v>EQUIPOS</v>
      </c>
      <c r="E1923" s="213" t="str">
        <f>IFERROR(__xludf.DUMMYFUNCTION("""COMPUTED_VALUE"""),"ESP-282")</f>
        <v>ESP-282</v>
      </c>
      <c r="F1923" s="213" t="str">
        <f>IFERROR(__xludf.DUMMYFUNCTION("""COMPUTED_VALUE"""),"ESP-282-Y")</f>
        <v>ESP-282-Y</v>
      </c>
      <c r="G1923" s="213"/>
      <c r="H1923" s="213" t="str">
        <f>IFERROR(__xludf.DUMMYFUNCTION("""COMPUTED_VALUE"""),"MULTIPROCESADOR ALIMENTOS ROBOV")</f>
        <v>MULTIPROCESADOR ALIMENTOS ROBOV</v>
      </c>
      <c r="I1923" s="213" t="str">
        <f>IFERROR(__xludf.DUMMYFUNCTION("""COMPUTED_VALUE"""),". Potencia: 800 W.
. Velocidades: mínimo 2 velocidades, ajustes de función.
. Cuchilla Multifuncional de Acero Inoxidable.")</f>
        <v>. Potencia: 800 W.
. Velocidades: mínimo 2 velocidades, ajustes de función.
. Cuchilla Multifuncional de Acero Inoxidable.</v>
      </c>
      <c r="J1923" s="213">
        <f>IFERROR(__xludf.DUMMYFUNCTION("""COMPUTED_VALUE"""),3.0)</f>
        <v>3</v>
      </c>
      <c r="K1923" s="213" t="str">
        <f>IFERROR(__xludf.DUMMYFUNCTION("""COMPUTED_VALUE"""),"170 DÍAS CALENDARIO")</f>
        <v>170 DÍAS CALENDARIO</v>
      </c>
      <c r="L1923" s="213" t="str">
        <f>IFERROR(__xludf.DUMMYFUNCTION("""COMPUTED_VALUE"""),"")</f>
        <v/>
      </c>
      <c r="M1923" s="213">
        <f>IFERROR(__xludf.DUMMYFUNCTION("""COMPUTED_VALUE"""),1.0)</f>
        <v>1</v>
      </c>
      <c r="N1923" s="213">
        <f>IFERROR(__xludf.DUMMYFUNCTION("""COMPUTED_VALUE"""),1.0)</f>
        <v>1</v>
      </c>
      <c r="O1923" s="213">
        <f>IFERROR(__xludf.DUMMYFUNCTION("""COMPUTED_VALUE"""),1.0)</f>
        <v>1</v>
      </c>
      <c r="P1923" s="213"/>
      <c r="Q1923" s="213"/>
      <c r="R1923" s="213"/>
      <c r="S1923" s="213" t="str">
        <f>IFERROR(__xludf.DUMMYFUNCTION("""COMPUTED_VALUE"""),"SI")</f>
        <v>SI</v>
      </c>
      <c r="T1923" s="213" t="str">
        <f>IFERROR(__xludf.DUMMYFUNCTION("""COMPUTED_VALUE"""),"SI")</f>
        <v>SI</v>
      </c>
      <c r="U1923" s="213" t="str">
        <f>IFERROR(__xludf.DUMMYFUNCTION("""COMPUTED_VALUE"""),"SI")</f>
        <v>SI</v>
      </c>
      <c r="V1923" s="213" t="str">
        <f>IFERROR(__xludf.DUMMYFUNCTION("""COMPUTED_VALUE"""),"-")</f>
        <v>-</v>
      </c>
      <c r="W1923" s="213" t="str">
        <f>IFERROR(__xludf.DUMMYFUNCTION("""COMPUTED_VALUE"""),"-")</f>
        <v>-</v>
      </c>
      <c r="X1923" s="213" t="str">
        <f>IFERROR(__xludf.DUMMYFUNCTION("""COMPUTED_VALUE"""),"BOSCH")</f>
        <v>BOSCH</v>
      </c>
      <c r="Y1923" s="213" t="str">
        <f>IFERROR(__xludf.DUMMYFUNCTION("""COMPUTED_VALUE"""),"MCM3501M")</f>
        <v>MCM3501M</v>
      </c>
      <c r="Z1923" s="215" t="str">
        <f>IFERROR(__xludf.DUMMYFUNCTION("""COMPUTED_VALUE"""),"https://www.bosch-home.pe/electrodomesticos/MCM3501M#/Tabs=section-technicalspecs/Togglebox=manuals/Togglebox=accessories/")</f>
        <v>https://www.bosch-home.pe/electrodomesticos/MCM3501M#/Tabs=section-technicalspecs/Togglebox=manuals/Togglebox=accessories/</v>
      </c>
      <c r="AA1923" s="213" t="str">
        <f>IFERROR(__xludf.DUMMYFUNCTION("""COMPUTED_VALUE"""),"ESP-282-Y MULTIPROCESADOR ALIMENTOS ROBOV - CET")</f>
        <v>ESP-282-Y MULTIPROCESADOR ALIMENTOS ROBOV - CET</v>
      </c>
      <c r="AB1923" s="215" t="str">
        <f>IFERROR(__xludf.DUMMYFUNCTION("""COMPUTED_VALUE"""),"https://drive.google.com/file/d/15umRVZ0zaKYljJs8oJ2UPKQAXAtyuOhz/view")</f>
        <v>https://drive.google.com/file/d/15umRVZ0zaKYljJs8oJ2UPKQAXAtyuOhz/view</v>
      </c>
      <c r="AC1923" s="213"/>
      <c r="AD1923" s="213"/>
      <c r="AE1923" s="213"/>
      <c r="AF1923" s="213"/>
      <c r="AG1923" s="213"/>
      <c r="AH1923" s="213" t="str">
        <f>IFERROR(__xludf.DUMMYFUNCTION("""COMPUTED_VALUE"""),"NACIONAL")</f>
        <v>NACIONAL</v>
      </c>
      <c r="AI1923" s="213"/>
      <c r="AJ1923" s="213"/>
      <c r="AK1923" s="213"/>
      <c r="AL1923" s="213"/>
      <c r="AM1923" s="213"/>
      <c r="AN1923" s="213"/>
      <c r="AO1923" s="213"/>
      <c r="AP1923" s="213" t="str">
        <f>IFERROR(__xludf.DUMMYFUNCTION("""COMPUTED_VALUE"""),"ANTONELLA")</f>
        <v>ANTONELLA</v>
      </c>
      <c r="AQ1923" s="213"/>
      <c r="AR1923" s="213"/>
      <c r="AS1923" s="213"/>
      <c r="AT1923" s="213"/>
      <c r="AU1923" s="213"/>
      <c r="AV1923" s="213"/>
      <c r="AW1923" s="213"/>
      <c r="AX1923" s="213"/>
      <c r="AY1923" s="213"/>
      <c r="AZ1923" s="213"/>
      <c r="BA1923" s="213"/>
      <c r="BB1923" s="213"/>
      <c r="BC1923" s="213"/>
      <c r="BD1923" s="213"/>
    </row>
    <row r="1924">
      <c r="A1924" s="213">
        <f>IFERROR(__xludf.DUMMYFUNCTION("""COMPUTED_VALUE"""),1231.0)</f>
        <v>1231</v>
      </c>
      <c r="B1924" s="213" t="str">
        <f>IFERROR(__xludf.DUMMYFUNCTION("""COMPUTED_VALUE"""),"FRANCISCO IRAZOLA")</f>
        <v>FRANCISCO IRAZOLA</v>
      </c>
      <c r="C1924" s="213" t="str">
        <f>IFERROR(__xludf.DUMMYFUNCTION("""COMPUTED_VALUE"""),"TALLER SFT DE INDUSTRIA ALIMENTARIA")</f>
        <v>TALLER SFT DE INDUSTRIA ALIMENTARIA</v>
      </c>
      <c r="D1924" s="213" t="str">
        <f>IFERROR(__xludf.DUMMYFUNCTION("""COMPUTED_VALUE"""),"EQUIPOS")</f>
        <v>EQUIPOS</v>
      </c>
      <c r="E1924" s="213" t="str">
        <f>IFERROR(__xludf.DUMMYFUNCTION("""COMPUTED_VALUE"""),"ESP-282")</f>
        <v>ESP-282</v>
      </c>
      <c r="F1924" s="213" t="str">
        <f>IFERROR(__xludf.DUMMYFUNCTION("""COMPUTED_VALUE"""),"ESP-282-Y")</f>
        <v>ESP-282-Y</v>
      </c>
      <c r="G1924" s="213"/>
      <c r="H1924" s="213" t="str">
        <f>IFERROR(__xludf.DUMMYFUNCTION("""COMPUTED_VALUE"""),"MULTIPROCESADOR ALIMENTOS ROBOV")</f>
        <v>MULTIPROCESADOR ALIMENTOS ROBOV</v>
      </c>
      <c r="I1924" s="213" t="str">
        <f>IFERROR(__xludf.DUMMYFUNCTION("""COMPUTED_VALUE"""),". Potencia: 800 W.
. Velocidades: mínimo 2 velocidades, ajustes de función.
. Cuchilla Multifuncional de Acero Inoxidable.")</f>
        <v>. Potencia: 800 W.
. Velocidades: mínimo 2 velocidades, ajustes de función.
. Cuchilla Multifuncional de Acero Inoxidable.</v>
      </c>
      <c r="J1924" s="213">
        <f>IFERROR(__xludf.DUMMYFUNCTION("""COMPUTED_VALUE"""),3.0)</f>
        <v>3</v>
      </c>
      <c r="K1924" s="213" t="str">
        <f>IFERROR(__xludf.DUMMYFUNCTION("""COMPUTED_VALUE"""),"170 DÍAS CALENDARIO")</f>
        <v>170 DÍAS CALENDARIO</v>
      </c>
      <c r="L1924" s="213" t="str">
        <f>IFERROR(__xludf.DUMMYFUNCTION("""COMPUTED_VALUE"""),"")</f>
        <v/>
      </c>
      <c r="M1924" s="213">
        <f>IFERROR(__xludf.DUMMYFUNCTION("""COMPUTED_VALUE"""),1.0)</f>
        <v>1</v>
      </c>
      <c r="N1924" s="213">
        <f>IFERROR(__xludf.DUMMYFUNCTION("""COMPUTED_VALUE"""),1.0)</f>
        <v>1</v>
      </c>
      <c r="O1924" s="213">
        <f>IFERROR(__xludf.DUMMYFUNCTION("""COMPUTED_VALUE"""),1.0)</f>
        <v>1</v>
      </c>
      <c r="P1924" s="213"/>
      <c r="Q1924" s="213"/>
      <c r="R1924" s="213"/>
      <c r="S1924" s="213" t="str">
        <f>IFERROR(__xludf.DUMMYFUNCTION("""COMPUTED_VALUE"""),"SI")</f>
        <v>SI</v>
      </c>
      <c r="T1924" s="213" t="str">
        <f>IFERROR(__xludf.DUMMYFUNCTION("""COMPUTED_VALUE"""),"SI")</f>
        <v>SI</v>
      </c>
      <c r="U1924" s="213" t="str">
        <f>IFERROR(__xludf.DUMMYFUNCTION("""COMPUTED_VALUE"""),"SI")</f>
        <v>SI</v>
      </c>
      <c r="V1924" s="213" t="str">
        <f>IFERROR(__xludf.DUMMYFUNCTION("""COMPUTED_VALUE"""),"-")</f>
        <v>-</v>
      </c>
      <c r="W1924" s="213" t="str">
        <f>IFERROR(__xludf.DUMMYFUNCTION("""COMPUTED_VALUE"""),"-")</f>
        <v>-</v>
      </c>
      <c r="X1924" s="213" t="str">
        <f>IFERROR(__xludf.DUMMYFUNCTION("""COMPUTED_VALUE"""),"BOSCH")</f>
        <v>BOSCH</v>
      </c>
      <c r="Y1924" s="213" t="str">
        <f>IFERROR(__xludf.DUMMYFUNCTION("""COMPUTED_VALUE"""),"MCM3501M")</f>
        <v>MCM3501M</v>
      </c>
      <c r="Z1924" s="215" t="str">
        <f>IFERROR(__xludf.DUMMYFUNCTION("""COMPUTED_VALUE"""),"https://www.bosch-home.pe/electrodomesticos/MCM3501M#/Tabs=section-technicalspecs/Togglebox=manuals/Togglebox=accessories/")</f>
        <v>https://www.bosch-home.pe/electrodomesticos/MCM3501M#/Tabs=section-technicalspecs/Togglebox=manuals/Togglebox=accessories/</v>
      </c>
      <c r="AA1924" s="213" t="str">
        <f>IFERROR(__xludf.DUMMYFUNCTION("""COMPUTED_VALUE"""),"ESP-282-Y MULTIPROCESADOR ALIMENTOS ROBOV - CET")</f>
        <v>ESP-282-Y MULTIPROCESADOR ALIMENTOS ROBOV - CET</v>
      </c>
      <c r="AB1924" s="215" t="str">
        <f>IFERROR(__xludf.DUMMYFUNCTION("""COMPUTED_VALUE"""),"https://drive.google.com/file/d/15umRVZ0zaKYljJs8oJ2UPKQAXAtyuOhz/view")</f>
        <v>https://drive.google.com/file/d/15umRVZ0zaKYljJs8oJ2UPKQAXAtyuOhz/view</v>
      </c>
      <c r="AC1924" s="213"/>
      <c r="AD1924" s="213"/>
      <c r="AE1924" s="213"/>
      <c r="AF1924" s="213"/>
      <c r="AG1924" s="213"/>
      <c r="AH1924" s="213" t="str">
        <f>IFERROR(__xludf.DUMMYFUNCTION("""COMPUTED_VALUE"""),"NACIONAL")</f>
        <v>NACIONAL</v>
      </c>
      <c r="AI1924" s="213"/>
      <c r="AJ1924" s="213"/>
      <c r="AK1924" s="213"/>
      <c r="AL1924" s="213"/>
      <c r="AM1924" s="213"/>
      <c r="AN1924" s="213"/>
      <c r="AO1924" s="213"/>
      <c r="AP1924" s="213" t="str">
        <f>IFERROR(__xludf.DUMMYFUNCTION("""COMPUTED_VALUE"""),"ANTONELLA")</f>
        <v>ANTONELLA</v>
      </c>
      <c r="AQ1924" s="213"/>
      <c r="AR1924" s="213"/>
      <c r="AS1924" s="213"/>
      <c r="AT1924" s="213"/>
      <c r="AU1924" s="213"/>
      <c r="AV1924" s="213"/>
      <c r="AW1924" s="213"/>
      <c r="AX1924" s="213"/>
      <c r="AY1924" s="213"/>
      <c r="AZ1924" s="213"/>
      <c r="BA1924" s="213"/>
      <c r="BB1924" s="213"/>
      <c r="BC1924" s="213"/>
      <c r="BD1924" s="213"/>
    </row>
    <row r="1925">
      <c r="A1925" s="213">
        <f>IFERROR(__xludf.DUMMYFUNCTION("""COMPUTED_VALUE"""),1500.0)</f>
        <v>1500</v>
      </c>
      <c r="B1925" s="213" t="str">
        <f>IFERROR(__xludf.DUMMYFUNCTION("""COMPUTED_VALUE"""),"GUILLERMO E. BILLINGHURST ")</f>
        <v>GUILLERMO E. BILLINGHURST </v>
      </c>
      <c r="C1925" s="213" t="str">
        <f>IFERROR(__xludf.DUMMYFUNCTION("""COMPUTED_VALUE"""),"TALLER SFT DE INDUSTRIA ALIMENTARIA")</f>
        <v>TALLER SFT DE INDUSTRIA ALIMENTARIA</v>
      </c>
      <c r="D1925" s="213" t="str">
        <f>IFERROR(__xludf.DUMMYFUNCTION("""COMPUTED_VALUE"""),"EQUIPOS")</f>
        <v>EQUIPOS</v>
      </c>
      <c r="E1925" s="213" t="str">
        <f>IFERROR(__xludf.DUMMYFUNCTION("""COMPUTED_VALUE"""),"ESP-282")</f>
        <v>ESP-282</v>
      </c>
      <c r="F1925" s="213" t="str">
        <f>IFERROR(__xludf.DUMMYFUNCTION("""COMPUTED_VALUE"""),"ESP-282-Y")</f>
        <v>ESP-282-Y</v>
      </c>
      <c r="G1925" s="213"/>
      <c r="H1925" s="213" t="str">
        <f>IFERROR(__xludf.DUMMYFUNCTION("""COMPUTED_VALUE"""),"MULTIPROCESADOR ALIMENTOS ROBOV")</f>
        <v>MULTIPROCESADOR ALIMENTOS ROBOV</v>
      </c>
      <c r="I1925" s="213" t="str">
        <f>IFERROR(__xludf.DUMMYFUNCTION("""COMPUTED_VALUE"""),". Potencia: 800 W.
. Velocidades: mínimo 2 velocidades, ajustes de función.
. Cuchilla Multifuncional de Acero Inoxidable.")</f>
        <v>. Potencia: 800 W.
. Velocidades: mínimo 2 velocidades, ajustes de función.
. Cuchilla Multifuncional de Acero Inoxidable.</v>
      </c>
      <c r="J1925" s="213">
        <f>IFERROR(__xludf.DUMMYFUNCTION("""COMPUTED_VALUE"""),3.0)</f>
        <v>3</v>
      </c>
      <c r="K1925" s="213" t="str">
        <f>IFERROR(__xludf.DUMMYFUNCTION("""COMPUTED_VALUE"""),"170 DÍAS CALENDARIO")</f>
        <v>170 DÍAS CALENDARIO</v>
      </c>
      <c r="L1925" s="213" t="str">
        <f>IFERROR(__xludf.DUMMYFUNCTION("""COMPUTED_VALUE"""),"")</f>
        <v/>
      </c>
      <c r="M1925" s="213">
        <f>IFERROR(__xludf.DUMMYFUNCTION("""COMPUTED_VALUE"""),1.0)</f>
        <v>1</v>
      </c>
      <c r="N1925" s="213">
        <f>IFERROR(__xludf.DUMMYFUNCTION("""COMPUTED_VALUE"""),1.0)</f>
        <v>1</v>
      </c>
      <c r="O1925" s="213">
        <f>IFERROR(__xludf.DUMMYFUNCTION("""COMPUTED_VALUE"""),1.0)</f>
        <v>1</v>
      </c>
      <c r="P1925" s="213"/>
      <c r="Q1925" s="213"/>
      <c r="R1925" s="213"/>
      <c r="S1925" s="213" t="str">
        <f>IFERROR(__xludf.DUMMYFUNCTION("""COMPUTED_VALUE"""),"SI")</f>
        <v>SI</v>
      </c>
      <c r="T1925" s="213" t="str">
        <f>IFERROR(__xludf.DUMMYFUNCTION("""COMPUTED_VALUE"""),"SI")</f>
        <v>SI</v>
      </c>
      <c r="U1925" s="213" t="str">
        <f>IFERROR(__xludf.DUMMYFUNCTION("""COMPUTED_VALUE"""),"SI")</f>
        <v>SI</v>
      </c>
      <c r="V1925" s="213" t="str">
        <f>IFERROR(__xludf.DUMMYFUNCTION("""COMPUTED_VALUE"""),"-")</f>
        <v>-</v>
      </c>
      <c r="W1925" s="213" t="str">
        <f>IFERROR(__xludf.DUMMYFUNCTION("""COMPUTED_VALUE"""),"-")</f>
        <v>-</v>
      </c>
      <c r="X1925" s="213" t="str">
        <f>IFERROR(__xludf.DUMMYFUNCTION("""COMPUTED_VALUE"""),"BOSCH")</f>
        <v>BOSCH</v>
      </c>
      <c r="Y1925" s="213" t="str">
        <f>IFERROR(__xludf.DUMMYFUNCTION("""COMPUTED_VALUE"""),"MCM3501M")</f>
        <v>MCM3501M</v>
      </c>
      <c r="Z1925" s="215" t="str">
        <f>IFERROR(__xludf.DUMMYFUNCTION("""COMPUTED_VALUE"""),"https://www.bosch-home.pe/electrodomesticos/MCM3501M#/Tabs=section-technicalspecs/Togglebox=manuals/Togglebox=accessories/")</f>
        <v>https://www.bosch-home.pe/electrodomesticos/MCM3501M#/Tabs=section-technicalspecs/Togglebox=manuals/Togglebox=accessories/</v>
      </c>
      <c r="AA1925" s="213" t="str">
        <f>IFERROR(__xludf.DUMMYFUNCTION("""COMPUTED_VALUE"""),"ESP-282-Y MULTIPROCESADOR ALIMENTOS ROBOV - CET")</f>
        <v>ESP-282-Y MULTIPROCESADOR ALIMENTOS ROBOV - CET</v>
      </c>
      <c r="AB1925" s="215" t="str">
        <f>IFERROR(__xludf.DUMMYFUNCTION("""COMPUTED_VALUE"""),"https://drive.google.com/file/d/15umRVZ0zaKYljJs8oJ2UPKQAXAtyuOhz/view")</f>
        <v>https://drive.google.com/file/d/15umRVZ0zaKYljJs8oJ2UPKQAXAtyuOhz/view</v>
      </c>
      <c r="AC1925" s="213"/>
      <c r="AD1925" s="213"/>
      <c r="AE1925" s="213"/>
      <c r="AF1925" s="213"/>
      <c r="AG1925" s="213"/>
      <c r="AH1925" s="213" t="str">
        <f>IFERROR(__xludf.DUMMYFUNCTION("""COMPUTED_VALUE"""),"NACIONAL")</f>
        <v>NACIONAL</v>
      </c>
      <c r="AI1925" s="213"/>
      <c r="AJ1925" s="213"/>
      <c r="AK1925" s="213"/>
      <c r="AL1925" s="213"/>
      <c r="AM1925" s="213"/>
      <c r="AN1925" s="213"/>
      <c r="AO1925" s="213"/>
      <c r="AP1925" s="213" t="str">
        <f>IFERROR(__xludf.DUMMYFUNCTION("""COMPUTED_VALUE"""),"ANTONELLA")</f>
        <v>ANTONELLA</v>
      </c>
      <c r="AQ1925" s="213"/>
      <c r="AR1925" s="213"/>
      <c r="AS1925" s="213"/>
      <c r="AT1925" s="213"/>
      <c r="AU1925" s="213"/>
      <c r="AV1925" s="213"/>
      <c r="AW1925" s="213"/>
      <c r="AX1925" s="213"/>
      <c r="AY1925" s="213"/>
      <c r="AZ1925" s="213"/>
      <c r="BA1925" s="213"/>
      <c r="BB1925" s="213"/>
      <c r="BC1925" s="213"/>
      <c r="BD1925" s="213"/>
    </row>
    <row r="1926">
      <c r="A1926" s="213">
        <f>IFERROR(__xludf.DUMMYFUNCTION("""COMPUTED_VALUE"""),1502.0)</f>
        <v>1502</v>
      </c>
      <c r="B1926" s="213" t="str">
        <f>IFERROR(__xludf.DUMMYFUNCTION("""COMPUTED_VALUE"""),"GUILLERMO E. BILLINGHURST ")</f>
        <v>GUILLERMO E. BILLINGHURST </v>
      </c>
      <c r="C1926" s="213" t="str">
        <f>IFERROR(__xludf.DUMMYFUNCTION("""COMPUTED_VALUE"""),"TALLER SFT DE INDUSTRIA ALIMENTARIA")</f>
        <v>TALLER SFT DE INDUSTRIA ALIMENTARIA</v>
      </c>
      <c r="D1926" s="213" t="str">
        <f>IFERROR(__xludf.DUMMYFUNCTION("""COMPUTED_VALUE"""),"EQUIPOS")</f>
        <v>EQUIPOS</v>
      </c>
      <c r="E1926" s="213" t="str">
        <f>IFERROR(__xludf.DUMMYFUNCTION("""COMPUTED_VALUE"""),"ESP-282")</f>
        <v>ESP-282</v>
      </c>
      <c r="F1926" s="213" t="str">
        <f>IFERROR(__xludf.DUMMYFUNCTION("""COMPUTED_VALUE"""),"ESP-282-Y")</f>
        <v>ESP-282-Y</v>
      </c>
      <c r="G1926" s="213"/>
      <c r="H1926" s="213" t="str">
        <f>IFERROR(__xludf.DUMMYFUNCTION("""COMPUTED_VALUE"""),"MULTIPROCESADOR ALIMENTOS ROBOV")</f>
        <v>MULTIPROCESADOR ALIMENTOS ROBOV</v>
      </c>
      <c r="I1926" s="213" t="str">
        <f>IFERROR(__xludf.DUMMYFUNCTION("""COMPUTED_VALUE"""),". Potencia: 800 W.
. Velocidades: mínimo 2 velocidades, ajustes de función.
. Cuchilla Multifuncional de Acero Inoxidable.")</f>
        <v>. Potencia: 800 W.
. Velocidades: mínimo 2 velocidades, ajustes de función.
. Cuchilla Multifuncional de Acero Inoxidable.</v>
      </c>
      <c r="J1926" s="213">
        <f>IFERROR(__xludf.DUMMYFUNCTION("""COMPUTED_VALUE"""),3.0)</f>
        <v>3</v>
      </c>
      <c r="K1926" s="213" t="str">
        <f>IFERROR(__xludf.DUMMYFUNCTION("""COMPUTED_VALUE"""),"170 DÍAS CALENDARIO")</f>
        <v>170 DÍAS CALENDARIO</v>
      </c>
      <c r="L1926" s="213" t="str">
        <f>IFERROR(__xludf.DUMMYFUNCTION("""COMPUTED_VALUE"""),"")</f>
        <v/>
      </c>
      <c r="M1926" s="213">
        <f>IFERROR(__xludf.DUMMYFUNCTION("""COMPUTED_VALUE"""),1.0)</f>
        <v>1</v>
      </c>
      <c r="N1926" s="213">
        <f>IFERROR(__xludf.DUMMYFUNCTION("""COMPUTED_VALUE"""),1.0)</f>
        <v>1</v>
      </c>
      <c r="O1926" s="213">
        <f>IFERROR(__xludf.DUMMYFUNCTION("""COMPUTED_VALUE"""),1.0)</f>
        <v>1</v>
      </c>
      <c r="P1926" s="213"/>
      <c r="Q1926" s="213"/>
      <c r="R1926" s="213"/>
      <c r="S1926" s="213" t="str">
        <f>IFERROR(__xludf.DUMMYFUNCTION("""COMPUTED_VALUE"""),"SI")</f>
        <v>SI</v>
      </c>
      <c r="T1926" s="213" t="str">
        <f>IFERROR(__xludf.DUMMYFUNCTION("""COMPUTED_VALUE"""),"SI")</f>
        <v>SI</v>
      </c>
      <c r="U1926" s="213" t="str">
        <f>IFERROR(__xludf.DUMMYFUNCTION("""COMPUTED_VALUE"""),"SI")</f>
        <v>SI</v>
      </c>
      <c r="V1926" s="213" t="str">
        <f>IFERROR(__xludf.DUMMYFUNCTION("""COMPUTED_VALUE"""),"-")</f>
        <v>-</v>
      </c>
      <c r="W1926" s="213" t="str">
        <f>IFERROR(__xludf.DUMMYFUNCTION("""COMPUTED_VALUE"""),"-")</f>
        <v>-</v>
      </c>
      <c r="X1926" s="213" t="str">
        <f>IFERROR(__xludf.DUMMYFUNCTION("""COMPUTED_VALUE"""),"BOSCH")</f>
        <v>BOSCH</v>
      </c>
      <c r="Y1926" s="213" t="str">
        <f>IFERROR(__xludf.DUMMYFUNCTION("""COMPUTED_VALUE"""),"MCM3501M")</f>
        <v>MCM3501M</v>
      </c>
      <c r="Z1926" s="215" t="str">
        <f>IFERROR(__xludf.DUMMYFUNCTION("""COMPUTED_VALUE"""),"https://www.bosch-home.pe/electrodomesticos/MCM3501M#/Tabs=section-technicalspecs/Togglebox=manuals/Togglebox=accessories/")</f>
        <v>https://www.bosch-home.pe/electrodomesticos/MCM3501M#/Tabs=section-technicalspecs/Togglebox=manuals/Togglebox=accessories/</v>
      </c>
      <c r="AA1926" s="213" t="str">
        <f>IFERROR(__xludf.DUMMYFUNCTION("""COMPUTED_VALUE"""),"ESP-282-Y MULTIPROCESADOR ALIMENTOS ROBOV - CET")</f>
        <v>ESP-282-Y MULTIPROCESADOR ALIMENTOS ROBOV - CET</v>
      </c>
      <c r="AB1926" s="215" t="str">
        <f>IFERROR(__xludf.DUMMYFUNCTION("""COMPUTED_VALUE"""),"https://drive.google.com/file/d/15umRVZ0zaKYljJs8oJ2UPKQAXAtyuOhz/view")</f>
        <v>https://drive.google.com/file/d/15umRVZ0zaKYljJs8oJ2UPKQAXAtyuOhz/view</v>
      </c>
      <c r="AC1926" s="213"/>
      <c r="AD1926" s="213"/>
      <c r="AE1926" s="213"/>
      <c r="AF1926" s="213"/>
      <c r="AG1926" s="213"/>
      <c r="AH1926" s="213" t="str">
        <f>IFERROR(__xludf.DUMMYFUNCTION("""COMPUTED_VALUE"""),"NACIONAL")</f>
        <v>NACIONAL</v>
      </c>
      <c r="AI1926" s="213"/>
      <c r="AJ1926" s="213"/>
      <c r="AK1926" s="213"/>
      <c r="AL1926" s="213"/>
      <c r="AM1926" s="213"/>
      <c r="AN1926" s="213"/>
      <c r="AO1926" s="213"/>
      <c r="AP1926" s="213" t="str">
        <f>IFERROR(__xludf.DUMMYFUNCTION("""COMPUTED_VALUE"""),"ANTONELLA")</f>
        <v>ANTONELLA</v>
      </c>
      <c r="AQ1926" s="213"/>
      <c r="AR1926" s="213"/>
      <c r="AS1926" s="213"/>
      <c r="AT1926" s="213"/>
      <c r="AU1926" s="213"/>
      <c r="AV1926" s="213"/>
      <c r="AW1926" s="213"/>
      <c r="AX1926" s="213"/>
      <c r="AY1926" s="213"/>
      <c r="AZ1926" s="213"/>
      <c r="BA1926" s="213"/>
      <c r="BB1926" s="213"/>
      <c r="BC1926" s="213"/>
      <c r="BD1926" s="213"/>
    </row>
    <row r="1927">
      <c r="A1927" s="213">
        <f>IFERROR(__xludf.DUMMYFUNCTION("""COMPUTED_VALUE"""),2192.0)</f>
        <v>2192</v>
      </c>
      <c r="B1927" s="213" t="str">
        <f>IFERROR(__xludf.DUMMYFUNCTION("""COMPUTED_VALUE"""),"JOSE GRANDA")</f>
        <v>JOSE GRANDA</v>
      </c>
      <c r="C1927" s="213" t="str">
        <f>IFERROR(__xludf.DUMMYFUNCTION("""COMPUTED_VALUE"""),"TALLER SFT DE INDUSTRIA ALIMENTARIA")</f>
        <v>TALLER SFT DE INDUSTRIA ALIMENTARIA</v>
      </c>
      <c r="D1927" s="213" t="str">
        <f>IFERROR(__xludf.DUMMYFUNCTION("""COMPUTED_VALUE"""),"EQUIPOS")</f>
        <v>EQUIPOS</v>
      </c>
      <c r="E1927" s="213" t="str">
        <f>IFERROR(__xludf.DUMMYFUNCTION("""COMPUTED_VALUE"""),"ESP-282")</f>
        <v>ESP-282</v>
      </c>
      <c r="F1927" s="213" t="str">
        <f>IFERROR(__xludf.DUMMYFUNCTION("""COMPUTED_VALUE"""),"ESP-282-Y")</f>
        <v>ESP-282-Y</v>
      </c>
      <c r="G1927" s="213"/>
      <c r="H1927" s="213" t="str">
        <f>IFERROR(__xludf.DUMMYFUNCTION("""COMPUTED_VALUE"""),"MULTIPROCESADOR ALIMENTOS ROBOV")</f>
        <v>MULTIPROCESADOR ALIMENTOS ROBOV</v>
      </c>
      <c r="I1927" s="213" t="str">
        <f>IFERROR(__xludf.DUMMYFUNCTION("""COMPUTED_VALUE"""),". Potencia: 800 W.
. Velocidades: mínimo 2 velocidades, ajustes de función.
. Cuchilla Multifuncional de Acero Inoxidable.")</f>
        <v>. Potencia: 800 W.
. Velocidades: mínimo 2 velocidades, ajustes de función.
. Cuchilla Multifuncional de Acero Inoxidable.</v>
      </c>
      <c r="J1927" s="213">
        <f>IFERROR(__xludf.DUMMYFUNCTION("""COMPUTED_VALUE"""),3.0)</f>
        <v>3</v>
      </c>
      <c r="K1927" s="213" t="str">
        <f>IFERROR(__xludf.DUMMYFUNCTION("""COMPUTED_VALUE"""),"170 DÍAS CALENDARIO")</f>
        <v>170 DÍAS CALENDARIO</v>
      </c>
      <c r="L1927" s="213" t="str">
        <f>IFERROR(__xludf.DUMMYFUNCTION("""COMPUTED_VALUE"""),"")</f>
        <v/>
      </c>
      <c r="M1927" s="213">
        <f>IFERROR(__xludf.DUMMYFUNCTION("""COMPUTED_VALUE"""),1.0)</f>
        <v>1</v>
      </c>
      <c r="N1927" s="213">
        <f>IFERROR(__xludf.DUMMYFUNCTION("""COMPUTED_VALUE"""),1.0)</f>
        <v>1</v>
      </c>
      <c r="O1927" s="213">
        <f>IFERROR(__xludf.DUMMYFUNCTION("""COMPUTED_VALUE"""),1.0)</f>
        <v>1</v>
      </c>
      <c r="P1927" s="213"/>
      <c r="Q1927" s="213"/>
      <c r="R1927" s="213"/>
      <c r="S1927" s="213" t="str">
        <f>IFERROR(__xludf.DUMMYFUNCTION("""COMPUTED_VALUE"""),"SI")</f>
        <v>SI</v>
      </c>
      <c r="T1927" s="213" t="str">
        <f>IFERROR(__xludf.DUMMYFUNCTION("""COMPUTED_VALUE"""),"SI")</f>
        <v>SI</v>
      </c>
      <c r="U1927" s="213" t="str">
        <f>IFERROR(__xludf.DUMMYFUNCTION("""COMPUTED_VALUE"""),"SI")</f>
        <v>SI</v>
      </c>
      <c r="V1927" s="213" t="str">
        <f>IFERROR(__xludf.DUMMYFUNCTION("""COMPUTED_VALUE"""),"-")</f>
        <v>-</v>
      </c>
      <c r="W1927" s="213" t="str">
        <f>IFERROR(__xludf.DUMMYFUNCTION("""COMPUTED_VALUE"""),"-")</f>
        <v>-</v>
      </c>
      <c r="X1927" s="213" t="str">
        <f>IFERROR(__xludf.DUMMYFUNCTION("""COMPUTED_VALUE"""),"BOSCH")</f>
        <v>BOSCH</v>
      </c>
      <c r="Y1927" s="213" t="str">
        <f>IFERROR(__xludf.DUMMYFUNCTION("""COMPUTED_VALUE"""),"MCM3501M")</f>
        <v>MCM3501M</v>
      </c>
      <c r="Z1927" s="215" t="str">
        <f>IFERROR(__xludf.DUMMYFUNCTION("""COMPUTED_VALUE"""),"https://www.bosch-home.pe/electrodomesticos/MCM3501M#/Tabs=section-technicalspecs/Togglebox=manuals/Togglebox=accessories/")</f>
        <v>https://www.bosch-home.pe/electrodomesticos/MCM3501M#/Tabs=section-technicalspecs/Togglebox=manuals/Togglebox=accessories/</v>
      </c>
      <c r="AA1927" s="213" t="str">
        <f>IFERROR(__xludf.DUMMYFUNCTION("""COMPUTED_VALUE"""),"ESP-282-Y MULTIPROCESADOR ALIMENTOS ROBOV - CET")</f>
        <v>ESP-282-Y MULTIPROCESADOR ALIMENTOS ROBOV - CET</v>
      </c>
      <c r="AB1927" s="215" t="str">
        <f>IFERROR(__xludf.DUMMYFUNCTION("""COMPUTED_VALUE"""),"https://drive.google.com/file/d/15umRVZ0zaKYljJs8oJ2UPKQAXAtyuOhz/view")</f>
        <v>https://drive.google.com/file/d/15umRVZ0zaKYljJs8oJ2UPKQAXAtyuOhz/view</v>
      </c>
      <c r="AC1927" s="213"/>
      <c r="AD1927" s="213"/>
      <c r="AE1927" s="213"/>
      <c r="AF1927" s="213"/>
      <c r="AG1927" s="213"/>
      <c r="AH1927" s="213" t="str">
        <f>IFERROR(__xludf.DUMMYFUNCTION("""COMPUTED_VALUE"""),"NACIONAL")</f>
        <v>NACIONAL</v>
      </c>
      <c r="AI1927" s="213"/>
      <c r="AJ1927" s="213"/>
      <c r="AK1927" s="213"/>
      <c r="AL1927" s="213"/>
      <c r="AM1927" s="213"/>
      <c r="AN1927" s="213"/>
      <c r="AO1927" s="213"/>
      <c r="AP1927" s="213" t="str">
        <f>IFERROR(__xludf.DUMMYFUNCTION("""COMPUTED_VALUE"""),"ANTONELLA")</f>
        <v>ANTONELLA</v>
      </c>
      <c r="AQ1927" s="213"/>
      <c r="AR1927" s="213"/>
      <c r="AS1927" s="213"/>
      <c r="AT1927" s="213"/>
      <c r="AU1927" s="213"/>
      <c r="AV1927" s="213"/>
      <c r="AW1927" s="213"/>
      <c r="AX1927" s="213"/>
      <c r="AY1927" s="213"/>
      <c r="AZ1927" s="213"/>
      <c r="BA1927" s="213"/>
      <c r="BB1927" s="213"/>
      <c r="BC1927" s="213"/>
      <c r="BD1927" s="213"/>
    </row>
    <row r="1928">
      <c r="A1928" s="213">
        <f>IFERROR(__xludf.DUMMYFUNCTION("""COMPUTED_VALUE"""),2194.0)</f>
        <v>2194</v>
      </c>
      <c r="B1928" s="213" t="str">
        <f>IFERROR(__xludf.DUMMYFUNCTION("""COMPUTED_VALUE"""),"JOSE GRANDA")</f>
        <v>JOSE GRANDA</v>
      </c>
      <c r="C1928" s="213" t="str">
        <f>IFERROR(__xludf.DUMMYFUNCTION("""COMPUTED_VALUE"""),"TALLER SFT DE INDUSTRIA ALIMENTARIA")</f>
        <v>TALLER SFT DE INDUSTRIA ALIMENTARIA</v>
      </c>
      <c r="D1928" s="213" t="str">
        <f>IFERROR(__xludf.DUMMYFUNCTION("""COMPUTED_VALUE"""),"EQUIPOS")</f>
        <v>EQUIPOS</v>
      </c>
      <c r="E1928" s="213" t="str">
        <f>IFERROR(__xludf.DUMMYFUNCTION("""COMPUTED_VALUE"""),"ESP-282")</f>
        <v>ESP-282</v>
      </c>
      <c r="F1928" s="213" t="str">
        <f>IFERROR(__xludf.DUMMYFUNCTION("""COMPUTED_VALUE"""),"ESP-282-Y")</f>
        <v>ESP-282-Y</v>
      </c>
      <c r="G1928" s="213"/>
      <c r="H1928" s="213" t="str">
        <f>IFERROR(__xludf.DUMMYFUNCTION("""COMPUTED_VALUE"""),"MULTIPROCESADOR ALIMENTOS ROBOV")</f>
        <v>MULTIPROCESADOR ALIMENTOS ROBOV</v>
      </c>
      <c r="I1928" s="213" t="str">
        <f>IFERROR(__xludf.DUMMYFUNCTION("""COMPUTED_VALUE"""),". Potencia: 800 W.
. Velocidades: mínimo 2 velocidades, ajustes de función.
. Cuchilla Multifuncional de Acero Inoxidable.")</f>
        <v>. Potencia: 800 W.
. Velocidades: mínimo 2 velocidades, ajustes de función.
. Cuchilla Multifuncional de Acero Inoxidable.</v>
      </c>
      <c r="J1928" s="213">
        <f>IFERROR(__xludf.DUMMYFUNCTION("""COMPUTED_VALUE"""),3.0)</f>
        <v>3</v>
      </c>
      <c r="K1928" s="213" t="str">
        <f>IFERROR(__xludf.DUMMYFUNCTION("""COMPUTED_VALUE"""),"170 DÍAS CALENDARIO")</f>
        <v>170 DÍAS CALENDARIO</v>
      </c>
      <c r="L1928" s="213" t="str">
        <f>IFERROR(__xludf.DUMMYFUNCTION("""COMPUTED_VALUE"""),"")</f>
        <v/>
      </c>
      <c r="M1928" s="213">
        <f>IFERROR(__xludf.DUMMYFUNCTION("""COMPUTED_VALUE"""),1.0)</f>
        <v>1</v>
      </c>
      <c r="N1928" s="213">
        <f>IFERROR(__xludf.DUMMYFUNCTION("""COMPUTED_VALUE"""),1.0)</f>
        <v>1</v>
      </c>
      <c r="O1928" s="213">
        <f>IFERROR(__xludf.DUMMYFUNCTION("""COMPUTED_VALUE"""),1.0)</f>
        <v>1</v>
      </c>
      <c r="P1928" s="213"/>
      <c r="Q1928" s="213"/>
      <c r="R1928" s="213"/>
      <c r="S1928" s="213" t="str">
        <f>IFERROR(__xludf.DUMMYFUNCTION("""COMPUTED_VALUE"""),"SI")</f>
        <v>SI</v>
      </c>
      <c r="T1928" s="213" t="str">
        <f>IFERROR(__xludf.DUMMYFUNCTION("""COMPUTED_VALUE"""),"SI")</f>
        <v>SI</v>
      </c>
      <c r="U1928" s="213" t="str">
        <f>IFERROR(__xludf.DUMMYFUNCTION("""COMPUTED_VALUE"""),"SI")</f>
        <v>SI</v>
      </c>
      <c r="V1928" s="213" t="str">
        <f>IFERROR(__xludf.DUMMYFUNCTION("""COMPUTED_VALUE"""),"-")</f>
        <v>-</v>
      </c>
      <c r="W1928" s="213" t="str">
        <f>IFERROR(__xludf.DUMMYFUNCTION("""COMPUTED_VALUE"""),"-")</f>
        <v>-</v>
      </c>
      <c r="X1928" s="213" t="str">
        <f>IFERROR(__xludf.DUMMYFUNCTION("""COMPUTED_VALUE"""),"BOSCH")</f>
        <v>BOSCH</v>
      </c>
      <c r="Y1928" s="213" t="str">
        <f>IFERROR(__xludf.DUMMYFUNCTION("""COMPUTED_VALUE"""),"MCM3501M")</f>
        <v>MCM3501M</v>
      </c>
      <c r="Z1928" s="215" t="str">
        <f>IFERROR(__xludf.DUMMYFUNCTION("""COMPUTED_VALUE"""),"https://www.bosch-home.pe/electrodomesticos/MCM3501M#/Tabs=section-technicalspecs/Togglebox=manuals/Togglebox=accessories/")</f>
        <v>https://www.bosch-home.pe/electrodomesticos/MCM3501M#/Tabs=section-technicalspecs/Togglebox=manuals/Togglebox=accessories/</v>
      </c>
      <c r="AA1928" s="213" t="str">
        <f>IFERROR(__xludf.DUMMYFUNCTION("""COMPUTED_VALUE"""),"ESP-282-Y MULTIPROCESADOR ALIMENTOS ROBOV - CET")</f>
        <v>ESP-282-Y MULTIPROCESADOR ALIMENTOS ROBOV - CET</v>
      </c>
      <c r="AB1928" s="215" t="str">
        <f>IFERROR(__xludf.DUMMYFUNCTION("""COMPUTED_VALUE"""),"https://drive.google.com/file/d/15umRVZ0zaKYljJs8oJ2UPKQAXAtyuOhz/view")</f>
        <v>https://drive.google.com/file/d/15umRVZ0zaKYljJs8oJ2UPKQAXAtyuOhz/view</v>
      </c>
      <c r="AC1928" s="213"/>
      <c r="AD1928" s="213"/>
      <c r="AE1928" s="213"/>
      <c r="AF1928" s="213"/>
      <c r="AG1928" s="213"/>
      <c r="AH1928" s="213" t="str">
        <f>IFERROR(__xludf.DUMMYFUNCTION("""COMPUTED_VALUE"""),"NACIONAL")</f>
        <v>NACIONAL</v>
      </c>
      <c r="AI1928" s="213"/>
      <c r="AJ1928" s="213"/>
      <c r="AK1928" s="213"/>
      <c r="AL1928" s="213"/>
      <c r="AM1928" s="213"/>
      <c r="AN1928" s="213"/>
      <c r="AO1928" s="213"/>
      <c r="AP1928" s="213" t="str">
        <f>IFERROR(__xludf.DUMMYFUNCTION("""COMPUTED_VALUE"""),"ANTONELLA")</f>
        <v>ANTONELLA</v>
      </c>
      <c r="AQ1928" s="213"/>
      <c r="AR1928" s="213"/>
      <c r="AS1928" s="213"/>
      <c r="AT1928" s="213"/>
      <c r="AU1928" s="213"/>
      <c r="AV1928" s="213"/>
      <c r="AW1928" s="213"/>
      <c r="AX1928" s="213"/>
      <c r="AY1928" s="213"/>
      <c r="AZ1928" s="213"/>
      <c r="BA1928" s="213"/>
      <c r="BB1928" s="213"/>
      <c r="BC1928" s="213"/>
      <c r="BD1928" s="213"/>
    </row>
    <row r="1929">
      <c r="A1929" s="213">
        <f>IFERROR(__xludf.DUMMYFUNCTION("""COMPUTED_VALUE"""),1039.0)</f>
        <v>1039</v>
      </c>
      <c r="B1929" s="213" t="str">
        <f>IFERROR(__xludf.DUMMYFUNCTION("""COMPUTED_VALUE"""),"FRANCISCO IRAZOLA")</f>
        <v>FRANCISCO IRAZOLA</v>
      </c>
      <c r="C1929" s="213" t="str">
        <f>IFERROR(__xludf.DUMMYFUNCTION("""COMPUTED_VALUE"""),"TALLER SFT DE MECÁNICA AUTOMOTRIZ")</f>
        <v>TALLER SFT DE MECÁNICA AUTOMOTRIZ</v>
      </c>
      <c r="D1929" s="213" t="str">
        <f>IFERROR(__xludf.DUMMYFUNCTION("""COMPUTED_VALUE"""),"EQUIPOS")</f>
        <v>EQUIPOS</v>
      </c>
      <c r="E1929" s="213" t="str">
        <f>IFERROR(__xludf.DUMMYFUNCTION("""COMPUTED_VALUE"""),"ESP-283")</f>
        <v>ESP-283</v>
      </c>
      <c r="F1929" s="213" t="str">
        <f>IFERROR(__xludf.DUMMYFUNCTION("""COMPUTED_VALUE"""),"ESP-283-X")</f>
        <v>ESP-283-X</v>
      </c>
      <c r="G1929" s="213"/>
      <c r="H1929" s="213" t="str">
        <f>IFERROR(__xludf.DUMMYFUNCTION("""COMPUTED_VALUE"""),"MULTITESTER")</f>
        <v>MULTITESTER</v>
      </c>
      <c r="I1929" s="213" t="str">
        <f>IFERROR(__xludf.DUMMYFUNCTION("""COMPUTED_VALUE"""),"Medición de voltaje en corriente continua (DC), hasta: 1000 V. Medición de voltaje en corriente alterna (AC), hasta: 1000 V. Medición de ohmios: ≥ 200 MΩ.
Medición de capacitancia: ≥ 200 mF.
Medición de amperios en corriente alterna: ≥ 10 A. Medición de f"&amp;"recuencia: ≥ 200 MHz.
Incluye cables con puntas para pruebas.")</f>
        <v>Medición de voltaje en corriente continua (DC), hasta: 1000 V. Medición de voltaje en corriente alterna (AC), hasta: 1000 V. Medición de ohmios: ≥ 200 MΩ.
Medición de capacitancia: ≥ 200 mF.
Medición de amperios en corriente alterna: ≥ 10 A. Medición de frecuencia: ≥ 200 MHz.
Incluye cables con puntas para pruebas.</v>
      </c>
      <c r="J1929" s="213">
        <f>IFERROR(__xludf.DUMMYFUNCTION("""COMPUTED_VALUE"""),3.0)</f>
        <v>3</v>
      </c>
      <c r="K1929" s="213" t="str">
        <f>IFERROR(__xludf.DUMMYFUNCTION("""COMPUTED_VALUE"""),"170 DÍAS CALENDARIO")</f>
        <v>170 DÍAS CALENDARIO</v>
      </c>
      <c r="L1929" s="213" t="str">
        <f>IFERROR(__xludf.DUMMYFUNCTION("""COMPUTED_VALUE"""),"")</f>
        <v/>
      </c>
      <c r="M1929" s="213">
        <f>IFERROR(__xludf.DUMMYFUNCTION("""COMPUTED_VALUE"""),1.0)</f>
        <v>1</v>
      </c>
      <c r="N1929" s="213">
        <f>IFERROR(__xludf.DUMMYFUNCTION("""COMPUTED_VALUE"""),4.0)</f>
        <v>4</v>
      </c>
      <c r="O1929" s="213">
        <f>IFERROR(__xludf.DUMMYFUNCTION("""COMPUTED_VALUE"""),4.0)</f>
        <v>4</v>
      </c>
      <c r="P1929" s="213"/>
      <c r="Q1929" s="213"/>
      <c r="R1929" s="213"/>
      <c r="S1929" s="213" t="str">
        <f>IFERROR(__xludf.DUMMYFUNCTION("""COMPUTED_VALUE"""),"SI")</f>
        <v>SI</v>
      </c>
      <c r="T1929" s="213" t="str">
        <f>IFERROR(__xludf.DUMMYFUNCTION("""COMPUTED_VALUE"""),"SI")</f>
        <v>SI</v>
      </c>
      <c r="U1929" s="213" t="str">
        <f>IFERROR(__xludf.DUMMYFUNCTION("""COMPUTED_VALUE"""),"SI")</f>
        <v>SI</v>
      </c>
      <c r="V1929" s="213" t="str">
        <f>IFERROR(__xludf.DUMMYFUNCTION("""COMPUTED_VALUE"""),"-")</f>
        <v>-</v>
      </c>
      <c r="W1929" s="213" t="str">
        <f>IFERROR(__xludf.DUMMYFUNCTION("""COMPUTED_VALUE"""),"-")</f>
        <v>-</v>
      </c>
      <c r="X1929" s="213" t="str">
        <f>IFERROR(__xludf.DUMMYFUNCTION("""COMPUTED_VALUE"""),"UNI-T")</f>
        <v>UNI-T</v>
      </c>
      <c r="Y1929" s="213" t="str">
        <f>IFERROR(__xludf.DUMMYFUNCTION("""COMPUTED_VALUE"""),"UT61E+")</f>
        <v>UT61E+</v>
      </c>
      <c r="Z1929" s="215" t="str">
        <f>IFERROR(__xludf.DUMMYFUNCTION("""COMPUTED_VALUE"""),"https://meters.uni-trend.com/product/ut61plus-series/")</f>
        <v>https://meters.uni-trend.com/product/ut61plus-series/</v>
      </c>
      <c r="AA1929" s="213" t="str">
        <f>IFERROR(__xludf.DUMMYFUNCTION("""COMPUTED_VALUE"""),"ESP-283-X MULTITESTER - CET")</f>
        <v>ESP-283-X MULTITESTER - CET</v>
      </c>
      <c r="AB1929" s="215" t="str">
        <f>IFERROR(__xludf.DUMMYFUNCTION("""COMPUTED_VALUE"""),"https://drive.google.com/file/d/1dbahtMEu-pGSwu1cN_RnX3u_xFhGDKSs/view")</f>
        <v>https://drive.google.com/file/d/1dbahtMEu-pGSwu1cN_RnX3u_xFhGDKSs/view</v>
      </c>
      <c r="AC1929" s="213"/>
      <c r="AD1929" s="213"/>
      <c r="AE1929" s="213"/>
      <c r="AF1929" s="213"/>
      <c r="AG1929" s="213"/>
      <c r="AH1929" s="213" t="str">
        <f>IFERROR(__xludf.DUMMYFUNCTION("""COMPUTED_VALUE"""),"IMPORTADO")</f>
        <v>IMPORTADO</v>
      </c>
      <c r="AI1929" s="213"/>
      <c r="AJ1929" s="213"/>
      <c r="AK1929" s="213"/>
      <c r="AL1929" s="213"/>
      <c r="AM1929" s="213"/>
      <c r="AN1929" s="213"/>
      <c r="AO1929" s="213"/>
      <c r="AP1929" s="213" t="str">
        <f>IFERROR(__xludf.DUMMYFUNCTION("""COMPUTED_VALUE"""),"NALDI")</f>
        <v>NALDI</v>
      </c>
      <c r="AQ1929" s="213"/>
      <c r="AR1929" s="213"/>
      <c r="AS1929" s="213" t="str">
        <f>IFERROR(__xludf.DUMMYFUNCTION("""COMPUTED_VALUE"""),"4 PILAS AAA POR CADA MULTÍMETRO")</f>
        <v>4 PILAS AAA POR CADA MULTÍMETRO</v>
      </c>
      <c r="AT1929" s="213"/>
      <c r="AU1929" s="213"/>
      <c r="AV1929" s="213"/>
      <c r="AW1929" s="213"/>
      <c r="AX1929" s="213"/>
      <c r="AY1929" s="213"/>
      <c r="AZ1929" s="213"/>
      <c r="BA1929" s="213"/>
      <c r="BB1929" s="213"/>
      <c r="BC1929" s="213"/>
      <c r="BD1929" s="213"/>
    </row>
    <row r="1930">
      <c r="A1930" s="213">
        <f>IFERROR(__xludf.DUMMYFUNCTION("""COMPUTED_VALUE"""),1644.0)</f>
        <v>1644</v>
      </c>
      <c r="B1930" s="213" t="str">
        <f>IFERROR(__xludf.DUMMYFUNCTION("""COMPUTED_VALUE"""),"GUILLERMO E. BILLINGHURST ")</f>
        <v>GUILLERMO E. BILLINGHURST </v>
      </c>
      <c r="C1930" s="213" t="str">
        <f>IFERROR(__xludf.DUMMYFUNCTION("""COMPUTED_VALUE"""),"TALLER SFT DE MECÁNICA AUTOMOTRIZ")</f>
        <v>TALLER SFT DE MECÁNICA AUTOMOTRIZ</v>
      </c>
      <c r="D1930" s="213" t="str">
        <f>IFERROR(__xludf.DUMMYFUNCTION("""COMPUTED_VALUE"""),"EQUIPOS")</f>
        <v>EQUIPOS</v>
      </c>
      <c r="E1930" s="213" t="str">
        <f>IFERROR(__xludf.DUMMYFUNCTION("""COMPUTED_VALUE"""),"ESP-283")</f>
        <v>ESP-283</v>
      </c>
      <c r="F1930" s="213" t="str">
        <f>IFERROR(__xludf.DUMMYFUNCTION("""COMPUTED_VALUE"""),"ESP-283-X")</f>
        <v>ESP-283-X</v>
      </c>
      <c r="G1930" s="213"/>
      <c r="H1930" s="213" t="str">
        <f>IFERROR(__xludf.DUMMYFUNCTION("""COMPUTED_VALUE"""),"MULTITESTER")</f>
        <v>MULTITESTER</v>
      </c>
      <c r="I1930" s="213" t="str">
        <f>IFERROR(__xludf.DUMMYFUNCTION("""COMPUTED_VALUE"""),"Medición de voltaje en corriente continua (DC), hasta: 1000 V. Medición de voltaje en corriente alterna (AC), hasta: 1000 V. Medición de ohmios: ≥ 200 MΩ.
Medición de capacitancia: ≥ 200 mF.
Medición de amperios en corriente alterna: ≥ 10 A. Medición de f"&amp;"recuencia: ≥ 200 MHz.
Incluye cables con puntas para pruebas.")</f>
        <v>Medición de voltaje en corriente continua (DC), hasta: 1000 V. Medición de voltaje en corriente alterna (AC), hasta: 1000 V. Medición de ohmios: ≥ 200 MΩ.
Medición de capacitancia: ≥ 200 mF.
Medición de amperios en corriente alterna: ≥ 10 A. Medición de frecuencia: ≥ 200 MHz.
Incluye cables con puntas para pruebas.</v>
      </c>
      <c r="J1930" s="213">
        <f>IFERROR(__xludf.DUMMYFUNCTION("""COMPUTED_VALUE"""),3.0)</f>
        <v>3</v>
      </c>
      <c r="K1930" s="213" t="str">
        <f>IFERROR(__xludf.DUMMYFUNCTION("""COMPUTED_VALUE"""),"170 DÍAS CALENDARIO")</f>
        <v>170 DÍAS CALENDARIO</v>
      </c>
      <c r="L1930" s="213" t="str">
        <f>IFERROR(__xludf.DUMMYFUNCTION("""COMPUTED_VALUE"""),"")</f>
        <v/>
      </c>
      <c r="M1930" s="213">
        <f>IFERROR(__xludf.DUMMYFUNCTION("""COMPUTED_VALUE"""),1.0)</f>
        <v>1</v>
      </c>
      <c r="N1930" s="213">
        <f>IFERROR(__xludf.DUMMYFUNCTION("""COMPUTED_VALUE"""),4.0)</f>
        <v>4</v>
      </c>
      <c r="O1930" s="213">
        <f>IFERROR(__xludf.DUMMYFUNCTION("""COMPUTED_VALUE"""),4.0)</f>
        <v>4</v>
      </c>
      <c r="P1930" s="213"/>
      <c r="Q1930" s="213"/>
      <c r="R1930" s="213"/>
      <c r="S1930" s="213" t="str">
        <f>IFERROR(__xludf.DUMMYFUNCTION("""COMPUTED_VALUE"""),"SI")</f>
        <v>SI</v>
      </c>
      <c r="T1930" s="213" t="str">
        <f>IFERROR(__xludf.DUMMYFUNCTION("""COMPUTED_VALUE"""),"SI")</f>
        <v>SI</v>
      </c>
      <c r="U1930" s="213" t="str">
        <f>IFERROR(__xludf.DUMMYFUNCTION("""COMPUTED_VALUE"""),"SI")</f>
        <v>SI</v>
      </c>
      <c r="V1930" s="213" t="str">
        <f>IFERROR(__xludf.DUMMYFUNCTION("""COMPUTED_VALUE"""),"-")</f>
        <v>-</v>
      </c>
      <c r="W1930" s="213" t="str">
        <f>IFERROR(__xludf.DUMMYFUNCTION("""COMPUTED_VALUE"""),"-")</f>
        <v>-</v>
      </c>
      <c r="X1930" s="213" t="str">
        <f>IFERROR(__xludf.DUMMYFUNCTION("""COMPUTED_VALUE"""),"UNI-T")</f>
        <v>UNI-T</v>
      </c>
      <c r="Y1930" s="213" t="str">
        <f>IFERROR(__xludf.DUMMYFUNCTION("""COMPUTED_VALUE"""),"UT61E+")</f>
        <v>UT61E+</v>
      </c>
      <c r="Z1930" s="215" t="str">
        <f>IFERROR(__xludf.DUMMYFUNCTION("""COMPUTED_VALUE"""),"https://meters.uni-trend.com/product/ut61plus-series/")</f>
        <v>https://meters.uni-trend.com/product/ut61plus-series/</v>
      </c>
      <c r="AA1930" s="213" t="str">
        <f>IFERROR(__xludf.DUMMYFUNCTION("""COMPUTED_VALUE"""),"ESP-283-X MULTITESTER - CET")</f>
        <v>ESP-283-X MULTITESTER - CET</v>
      </c>
      <c r="AB1930" s="215" t="str">
        <f>IFERROR(__xludf.DUMMYFUNCTION("""COMPUTED_VALUE"""),"https://drive.google.com/file/d/1dbahtMEu-pGSwu1cN_RnX3u_xFhGDKSs/view")</f>
        <v>https://drive.google.com/file/d/1dbahtMEu-pGSwu1cN_RnX3u_xFhGDKSs/view</v>
      </c>
      <c r="AC1930" s="213"/>
      <c r="AD1930" s="213"/>
      <c r="AE1930" s="213"/>
      <c r="AF1930" s="213"/>
      <c r="AG1930" s="213"/>
      <c r="AH1930" s="213" t="str">
        <f>IFERROR(__xludf.DUMMYFUNCTION("""COMPUTED_VALUE"""),"IMPORTADO")</f>
        <v>IMPORTADO</v>
      </c>
      <c r="AI1930" s="213"/>
      <c r="AJ1930" s="213"/>
      <c r="AK1930" s="213"/>
      <c r="AL1930" s="213"/>
      <c r="AM1930" s="213"/>
      <c r="AN1930" s="213"/>
      <c r="AO1930" s="213"/>
      <c r="AP1930" s="213" t="str">
        <f>IFERROR(__xludf.DUMMYFUNCTION("""COMPUTED_VALUE"""),"NALDI")</f>
        <v>NALDI</v>
      </c>
      <c r="AQ1930" s="213"/>
      <c r="AR1930" s="213"/>
      <c r="AS1930" s="213" t="str">
        <f>IFERROR(__xludf.DUMMYFUNCTION("""COMPUTED_VALUE"""),"4 PILAS AAA POR CADA MULTÍMETRO")</f>
        <v>4 PILAS AAA POR CADA MULTÍMETRO</v>
      </c>
      <c r="AT1930" s="213"/>
      <c r="AU1930" s="213"/>
      <c r="AV1930" s="213"/>
      <c r="AW1930" s="213"/>
      <c r="AX1930" s="213"/>
      <c r="AY1930" s="213"/>
      <c r="AZ1930" s="213"/>
      <c r="BA1930" s="213"/>
      <c r="BB1930" s="213"/>
      <c r="BC1930" s="213"/>
      <c r="BD1930" s="213"/>
    </row>
    <row r="1931">
      <c r="A1931" s="213">
        <f>IFERROR(__xludf.DUMMYFUNCTION("""COMPUTED_VALUE"""),1905.0)</f>
        <v>1905</v>
      </c>
      <c r="B1931" s="213" t="str">
        <f>IFERROR(__xludf.DUMMYFUNCTION("""COMPUTED_VALUE"""),"GUILLERMO E. BILLINGHURST ")</f>
        <v>GUILLERMO E. BILLINGHURST </v>
      </c>
      <c r="C1931" s="213" t="str">
        <f>IFERROR(__xludf.DUMMYFUNCTION("""COMPUTED_VALUE"""),"TALLER SFT DE EBANISTERÍA")</f>
        <v>TALLER SFT DE EBANISTERÍA</v>
      </c>
      <c r="D1931" s="213" t="str">
        <f>IFERROR(__xludf.DUMMYFUNCTION("""COMPUTED_VALUE"""),"EQUIPOS")</f>
        <v>EQUIPOS</v>
      </c>
      <c r="E1931" s="213" t="str">
        <f>IFERROR(__xludf.DUMMYFUNCTION("""COMPUTED_VALUE"""),"ESP-283")</f>
        <v>ESP-283</v>
      </c>
      <c r="F1931" s="213" t="str">
        <f>IFERROR(__xludf.DUMMYFUNCTION("""COMPUTED_VALUE"""),"ESP-283-Y")</f>
        <v>ESP-283-Y</v>
      </c>
      <c r="G1931" s="213"/>
      <c r="H1931" s="213" t="str">
        <f>IFERROR(__xludf.DUMMYFUNCTION("""COMPUTED_VALUE"""),"MULTITESTER")</f>
        <v>MULTITESTER</v>
      </c>
      <c r="I1931" s="213" t="str">
        <f>IFERROR(__xludf.DUMMYFUNCTION("""COMPUTED_VALUE"""),"Medición de voltaje en corriente continua (DC), hasta: 1000 V. Medición de voltaje en corriente alterna (AC), hasta: 750 V. Medición de ohmios: ≥ 200 MΩ.
Medición de capacitancia: ≥ 200 mF.
Medición de amperios en corriente alterna: ≥ 10 A. Medición de fr"&amp;"ecuencia: ≥ 200 MHz.
Incluye cables con puntas para pruebas.")</f>
        <v>Medición de voltaje en corriente continua (DC), hasta: 1000 V. Medición de voltaje en corriente alterna (AC), hasta: 750 V. Medición de ohmios: ≥ 200 MΩ.
Medición de capacitancia: ≥ 200 mF.
Medición de amperios en corriente alterna: ≥ 10 A. Medición de frecuencia: ≥ 200 MHz.
Incluye cables con puntas para pruebas.</v>
      </c>
      <c r="J1931" s="213">
        <f>IFERROR(__xludf.DUMMYFUNCTION("""COMPUTED_VALUE"""),3.0)</f>
        <v>3</v>
      </c>
      <c r="K1931" s="213" t="str">
        <f>IFERROR(__xludf.DUMMYFUNCTION("""COMPUTED_VALUE"""),"170 DÍAS CALENDARIO")</f>
        <v>170 DÍAS CALENDARIO</v>
      </c>
      <c r="L1931" s="213" t="str">
        <f>IFERROR(__xludf.DUMMYFUNCTION("""COMPUTED_VALUE"""),"")</f>
        <v/>
      </c>
      <c r="M1931" s="213">
        <f>IFERROR(__xludf.DUMMYFUNCTION("""COMPUTED_VALUE"""),1.0)</f>
        <v>1</v>
      </c>
      <c r="N1931" s="213">
        <f>IFERROR(__xludf.DUMMYFUNCTION("""COMPUTED_VALUE"""),1.0)</f>
        <v>1</v>
      </c>
      <c r="O1931" s="213">
        <f>IFERROR(__xludf.DUMMYFUNCTION("""COMPUTED_VALUE"""),1.0)</f>
        <v>1</v>
      </c>
      <c r="P1931" s="213"/>
      <c r="Q1931" s="213"/>
      <c r="R1931" s="213"/>
      <c r="S1931" s="213" t="str">
        <f>IFERROR(__xludf.DUMMYFUNCTION("""COMPUTED_VALUE"""),"SI")</f>
        <v>SI</v>
      </c>
      <c r="T1931" s="213" t="str">
        <f>IFERROR(__xludf.DUMMYFUNCTION("""COMPUTED_VALUE"""),"SI")</f>
        <v>SI</v>
      </c>
      <c r="U1931" s="213" t="str">
        <f>IFERROR(__xludf.DUMMYFUNCTION("""COMPUTED_VALUE"""),"SI")</f>
        <v>SI</v>
      </c>
      <c r="V1931" s="213" t="str">
        <f>IFERROR(__xludf.DUMMYFUNCTION("""COMPUTED_VALUE"""),"-")</f>
        <v>-</v>
      </c>
      <c r="W1931" s="213" t="str">
        <f>IFERROR(__xludf.DUMMYFUNCTION("""COMPUTED_VALUE"""),"-")</f>
        <v>-</v>
      </c>
      <c r="X1931" s="213" t="str">
        <f>IFERROR(__xludf.DUMMYFUNCTION("""COMPUTED_VALUE"""),"UNI-T")</f>
        <v>UNI-T</v>
      </c>
      <c r="Y1931" s="213" t="str">
        <f>IFERROR(__xludf.DUMMYFUNCTION("""COMPUTED_VALUE"""),"UT61E+")</f>
        <v>UT61E+</v>
      </c>
      <c r="Z1931" s="215" t="str">
        <f>IFERROR(__xludf.DUMMYFUNCTION("""COMPUTED_VALUE"""),"https://meters.uni-trend.com/product/ut61plus-series/")</f>
        <v>https://meters.uni-trend.com/product/ut61plus-series/</v>
      </c>
      <c r="AA1931" s="213" t="str">
        <f>IFERROR(__xludf.DUMMYFUNCTION("""COMPUTED_VALUE"""),"ESP-283-Y MULTITESTER - CET")</f>
        <v>ESP-283-Y MULTITESTER - CET</v>
      </c>
      <c r="AB1931" s="215" t="str">
        <f>IFERROR(__xludf.DUMMYFUNCTION("""COMPUTED_VALUE"""),"https://drive.google.com/file/d/1Gm8nIRKEQNOyllcVcqpDUaFl-M5AnbfA/view?usp=sharing")</f>
        <v>https://drive.google.com/file/d/1Gm8nIRKEQNOyllcVcqpDUaFl-M5AnbfA/view?usp=sharing</v>
      </c>
      <c r="AC1931" s="213"/>
      <c r="AD1931" s="213"/>
      <c r="AE1931" s="213"/>
      <c r="AF1931" s="213"/>
      <c r="AG1931" s="213"/>
      <c r="AH1931" s="213"/>
      <c r="AI1931" s="213"/>
      <c r="AJ1931" s="213"/>
      <c r="AK1931" s="213"/>
      <c r="AL1931" s="213"/>
      <c r="AM1931" s="213"/>
      <c r="AN1931" s="213"/>
      <c r="AO1931" s="213"/>
      <c r="AP1931" s="213" t="str">
        <f>IFERROR(__xludf.DUMMYFUNCTION("""COMPUTED_VALUE"""),"MICHEL")</f>
        <v>MICHEL</v>
      </c>
      <c r="AQ1931" s="213"/>
      <c r="AR1931" s="213"/>
      <c r="AS1931" s="213"/>
      <c r="AT1931" s="213"/>
      <c r="AU1931" s="213"/>
      <c r="AV1931" s="213"/>
      <c r="AW1931" s="213"/>
      <c r="AX1931" s="213"/>
      <c r="AY1931" s="213"/>
      <c r="AZ1931" s="213"/>
      <c r="BA1931" s="213"/>
      <c r="BB1931" s="213"/>
      <c r="BC1931" s="213"/>
      <c r="BD1931" s="213"/>
    </row>
    <row r="1932">
      <c r="A1932" s="213">
        <f>IFERROR(__xludf.DUMMYFUNCTION("""COMPUTED_VALUE"""),2335.0)</f>
        <v>2335</v>
      </c>
      <c r="B1932" s="213" t="str">
        <f>IFERROR(__xludf.DUMMYFUNCTION("""COMPUTED_VALUE"""),"JOSE GRANDA")</f>
        <v>JOSE GRANDA</v>
      </c>
      <c r="C1932" s="213" t="str">
        <f>IFERROR(__xludf.DUMMYFUNCTION("""COMPUTED_VALUE"""),"TALLER SFT DE MECÁNICA AUTOMOTRIZ")</f>
        <v>TALLER SFT DE MECÁNICA AUTOMOTRIZ</v>
      </c>
      <c r="D1932" s="213" t="str">
        <f>IFERROR(__xludf.DUMMYFUNCTION("""COMPUTED_VALUE"""),"EQUIPOS")</f>
        <v>EQUIPOS</v>
      </c>
      <c r="E1932" s="213" t="str">
        <f>IFERROR(__xludf.DUMMYFUNCTION("""COMPUTED_VALUE"""),"ESP-283")</f>
        <v>ESP-283</v>
      </c>
      <c r="F1932" s="213" t="str">
        <f>IFERROR(__xludf.DUMMYFUNCTION("""COMPUTED_VALUE"""),"ESP-283-X")</f>
        <v>ESP-283-X</v>
      </c>
      <c r="G1932" s="213"/>
      <c r="H1932" s="213" t="str">
        <f>IFERROR(__xludf.DUMMYFUNCTION("""COMPUTED_VALUE"""),"MULTITESTER")</f>
        <v>MULTITESTER</v>
      </c>
      <c r="I1932" s="213" t="str">
        <f>IFERROR(__xludf.DUMMYFUNCTION("""COMPUTED_VALUE"""),"Medición de voltaje en corriente continua (DC), hasta: 1000 V. Medición de voltaje en corriente alterna (AC), hasta: 1000 V. Medición de ohmios: ≥ 200 MΩ.
Medición de capacitancia: ≥ 200 mF.
Medición de amperios en corriente alterna: ≥ 10 A. Medición de f"&amp;"recuencia: ≥ 200 MHz.
Incluye cables con puntas para pruebas.")</f>
        <v>Medición de voltaje en corriente continua (DC), hasta: 1000 V. Medición de voltaje en corriente alterna (AC), hasta: 1000 V. Medición de ohmios: ≥ 200 MΩ.
Medición de capacitancia: ≥ 200 mF.
Medición de amperios en corriente alterna: ≥ 10 A. Medición de frecuencia: ≥ 200 MHz.
Incluye cables con puntas para pruebas.</v>
      </c>
      <c r="J1932" s="213">
        <f>IFERROR(__xludf.DUMMYFUNCTION("""COMPUTED_VALUE"""),3.0)</f>
        <v>3</v>
      </c>
      <c r="K1932" s="213" t="str">
        <f>IFERROR(__xludf.DUMMYFUNCTION("""COMPUTED_VALUE"""),"170 DÍAS CALENDARIO")</f>
        <v>170 DÍAS CALENDARIO</v>
      </c>
      <c r="L1932" s="213" t="str">
        <f>IFERROR(__xludf.DUMMYFUNCTION("""COMPUTED_VALUE"""),"")</f>
        <v/>
      </c>
      <c r="M1932" s="213">
        <f>IFERROR(__xludf.DUMMYFUNCTION("""COMPUTED_VALUE"""),1.0)</f>
        <v>1</v>
      </c>
      <c r="N1932" s="213">
        <f>IFERROR(__xludf.DUMMYFUNCTION("""COMPUTED_VALUE"""),4.0)</f>
        <v>4</v>
      </c>
      <c r="O1932" s="213">
        <f>IFERROR(__xludf.DUMMYFUNCTION("""COMPUTED_VALUE"""),4.0)</f>
        <v>4</v>
      </c>
      <c r="P1932" s="213"/>
      <c r="Q1932" s="213"/>
      <c r="R1932" s="213"/>
      <c r="S1932" s="213" t="str">
        <f>IFERROR(__xludf.DUMMYFUNCTION("""COMPUTED_VALUE"""),"SI")</f>
        <v>SI</v>
      </c>
      <c r="T1932" s="213" t="str">
        <f>IFERROR(__xludf.DUMMYFUNCTION("""COMPUTED_VALUE"""),"SI")</f>
        <v>SI</v>
      </c>
      <c r="U1932" s="213" t="str">
        <f>IFERROR(__xludf.DUMMYFUNCTION("""COMPUTED_VALUE"""),"SI")</f>
        <v>SI</v>
      </c>
      <c r="V1932" s="213" t="str">
        <f>IFERROR(__xludf.DUMMYFUNCTION("""COMPUTED_VALUE"""),"-")</f>
        <v>-</v>
      </c>
      <c r="W1932" s="213" t="str">
        <f>IFERROR(__xludf.DUMMYFUNCTION("""COMPUTED_VALUE"""),"-")</f>
        <v>-</v>
      </c>
      <c r="X1932" s="213" t="str">
        <f>IFERROR(__xludf.DUMMYFUNCTION("""COMPUTED_VALUE"""),"UNI-T")</f>
        <v>UNI-T</v>
      </c>
      <c r="Y1932" s="213" t="str">
        <f>IFERROR(__xludf.DUMMYFUNCTION("""COMPUTED_VALUE"""),"UT61E+")</f>
        <v>UT61E+</v>
      </c>
      <c r="Z1932" s="215" t="str">
        <f>IFERROR(__xludf.DUMMYFUNCTION("""COMPUTED_VALUE"""),"https://meters.uni-trend.com/product/ut61plus-series/")</f>
        <v>https://meters.uni-trend.com/product/ut61plus-series/</v>
      </c>
      <c r="AA1932" s="213" t="str">
        <f>IFERROR(__xludf.DUMMYFUNCTION("""COMPUTED_VALUE"""),"ESP-283-X MULTITESTER - CET")</f>
        <v>ESP-283-X MULTITESTER - CET</v>
      </c>
      <c r="AB1932" s="215" t="str">
        <f>IFERROR(__xludf.DUMMYFUNCTION("""COMPUTED_VALUE"""),"https://drive.google.com/file/d/1dbahtMEu-pGSwu1cN_RnX3u_xFhGDKSs/view")</f>
        <v>https://drive.google.com/file/d/1dbahtMEu-pGSwu1cN_RnX3u_xFhGDKSs/view</v>
      </c>
      <c r="AC1932" s="213"/>
      <c r="AD1932" s="213"/>
      <c r="AE1932" s="213"/>
      <c r="AF1932" s="213"/>
      <c r="AG1932" s="213"/>
      <c r="AH1932" s="213" t="str">
        <f>IFERROR(__xludf.DUMMYFUNCTION("""COMPUTED_VALUE"""),"IMPORTADO")</f>
        <v>IMPORTADO</v>
      </c>
      <c r="AI1932" s="213"/>
      <c r="AJ1932" s="213"/>
      <c r="AK1932" s="213"/>
      <c r="AL1932" s="213"/>
      <c r="AM1932" s="213"/>
      <c r="AN1932" s="213"/>
      <c r="AO1932" s="213"/>
      <c r="AP1932" s="213" t="str">
        <f>IFERROR(__xludf.DUMMYFUNCTION("""COMPUTED_VALUE"""),"NALDI")</f>
        <v>NALDI</v>
      </c>
      <c r="AQ1932" s="213"/>
      <c r="AR1932" s="213"/>
      <c r="AS1932" s="213" t="str">
        <f>IFERROR(__xludf.DUMMYFUNCTION("""COMPUTED_VALUE"""),"4 PILAS AAA POR CADA MULTÍMETRO")</f>
        <v>4 PILAS AAA POR CADA MULTÍMETRO</v>
      </c>
      <c r="AT1932" s="213"/>
      <c r="AU1932" s="213"/>
      <c r="AV1932" s="213"/>
      <c r="AW1932" s="213"/>
      <c r="AX1932" s="213"/>
      <c r="AY1932" s="213"/>
      <c r="AZ1932" s="213"/>
      <c r="BA1932" s="213"/>
      <c r="BB1932" s="213"/>
      <c r="BC1932" s="213"/>
      <c r="BD1932" s="213"/>
    </row>
    <row r="1933">
      <c r="A1933" s="213">
        <f>IFERROR(__xludf.DUMMYFUNCTION("""COMPUTED_VALUE"""),2686.0)</f>
        <v>2686</v>
      </c>
      <c r="B1933" s="213" t="str">
        <f>IFERROR(__xludf.DUMMYFUNCTION("""COMPUTED_VALUE"""),"MANUEL ANTONIO MESONES MURO")</f>
        <v>MANUEL ANTONIO MESONES MURO</v>
      </c>
      <c r="C1933" s="213" t="str">
        <f>IFERROR(__xludf.DUMMYFUNCTION("""COMPUTED_VALUE"""),"TALLER SFT DE EBANISTERÍA")</f>
        <v>TALLER SFT DE EBANISTERÍA</v>
      </c>
      <c r="D1933" s="213" t="str">
        <f>IFERROR(__xludf.DUMMYFUNCTION("""COMPUTED_VALUE"""),"EQUIPOS")</f>
        <v>EQUIPOS</v>
      </c>
      <c r="E1933" s="213" t="str">
        <f>IFERROR(__xludf.DUMMYFUNCTION("""COMPUTED_VALUE"""),"ESP-283")</f>
        <v>ESP-283</v>
      </c>
      <c r="F1933" s="213" t="str">
        <f>IFERROR(__xludf.DUMMYFUNCTION("""COMPUTED_VALUE"""),"ESP-283-Y")</f>
        <v>ESP-283-Y</v>
      </c>
      <c r="G1933" s="213"/>
      <c r="H1933" s="213" t="str">
        <f>IFERROR(__xludf.DUMMYFUNCTION("""COMPUTED_VALUE"""),"MULTITESTER")</f>
        <v>MULTITESTER</v>
      </c>
      <c r="I1933" s="213" t="str">
        <f>IFERROR(__xludf.DUMMYFUNCTION("""COMPUTED_VALUE"""),"Medición de voltaje en corriente continua (DC), hasta: 1000 V. Medición de voltaje en corriente alterna (AC), hasta: 750 V. Medición de ohmios: ≥ 200 MΩ.
Medición de capacitancia: ≥ 200 mF.
Medición de amperios en corriente alterna: ≥ 10 A. Medición de fr"&amp;"ecuencia: ≥ 200 MHz.
Incluye cables con puntas para pruebas.")</f>
        <v>Medición de voltaje en corriente continua (DC), hasta: 1000 V. Medición de voltaje en corriente alterna (AC), hasta: 750 V. Medición de ohmios: ≥ 200 MΩ.
Medición de capacitancia: ≥ 200 mF.
Medición de amperios en corriente alterna: ≥ 10 A. Medición de frecuencia: ≥ 200 MHz.
Incluye cables con puntas para pruebas.</v>
      </c>
      <c r="J1933" s="213">
        <f>IFERROR(__xludf.DUMMYFUNCTION("""COMPUTED_VALUE"""),3.0)</f>
        <v>3</v>
      </c>
      <c r="K1933" s="213" t="str">
        <f>IFERROR(__xludf.DUMMYFUNCTION("""COMPUTED_VALUE"""),"170 DÍAS CALENDARIO")</f>
        <v>170 DÍAS CALENDARIO</v>
      </c>
      <c r="L1933" s="213" t="str">
        <f>IFERROR(__xludf.DUMMYFUNCTION("""COMPUTED_VALUE"""),"")</f>
        <v/>
      </c>
      <c r="M1933" s="213">
        <f>IFERROR(__xludf.DUMMYFUNCTION("""COMPUTED_VALUE"""),1.0)</f>
        <v>1</v>
      </c>
      <c r="N1933" s="213">
        <f>IFERROR(__xludf.DUMMYFUNCTION("""COMPUTED_VALUE"""),1.0)</f>
        <v>1</v>
      </c>
      <c r="O1933" s="213">
        <f>IFERROR(__xludf.DUMMYFUNCTION("""COMPUTED_VALUE"""),1.0)</f>
        <v>1</v>
      </c>
      <c r="P1933" s="213"/>
      <c r="Q1933" s="213"/>
      <c r="R1933" s="213"/>
      <c r="S1933" s="213" t="str">
        <f>IFERROR(__xludf.DUMMYFUNCTION("""COMPUTED_VALUE"""),"SI")</f>
        <v>SI</v>
      </c>
      <c r="T1933" s="213" t="str">
        <f>IFERROR(__xludf.DUMMYFUNCTION("""COMPUTED_VALUE"""),"SI")</f>
        <v>SI</v>
      </c>
      <c r="U1933" s="213" t="str">
        <f>IFERROR(__xludf.DUMMYFUNCTION("""COMPUTED_VALUE"""),"SI")</f>
        <v>SI</v>
      </c>
      <c r="V1933" s="213" t="str">
        <f>IFERROR(__xludf.DUMMYFUNCTION("""COMPUTED_VALUE"""),"-")</f>
        <v>-</v>
      </c>
      <c r="W1933" s="213" t="str">
        <f>IFERROR(__xludf.DUMMYFUNCTION("""COMPUTED_VALUE"""),"-")</f>
        <v>-</v>
      </c>
      <c r="X1933" s="213" t="str">
        <f>IFERROR(__xludf.DUMMYFUNCTION("""COMPUTED_VALUE"""),"UNI-T")</f>
        <v>UNI-T</v>
      </c>
      <c r="Y1933" s="213" t="str">
        <f>IFERROR(__xludf.DUMMYFUNCTION("""COMPUTED_VALUE"""),"UT61E+")</f>
        <v>UT61E+</v>
      </c>
      <c r="Z1933" s="215" t="str">
        <f>IFERROR(__xludf.DUMMYFUNCTION("""COMPUTED_VALUE"""),"https://meters.uni-trend.com/product/ut61plus-series/")</f>
        <v>https://meters.uni-trend.com/product/ut61plus-series/</v>
      </c>
      <c r="AA1933" s="213" t="str">
        <f>IFERROR(__xludf.DUMMYFUNCTION("""COMPUTED_VALUE"""),"ESP-283-Y MULTITESTER - CET")</f>
        <v>ESP-283-Y MULTITESTER - CET</v>
      </c>
      <c r="AB1933" s="215" t="str">
        <f>IFERROR(__xludf.DUMMYFUNCTION("""COMPUTED_VALUE"""),"https://drive.google.com/file/d/1Gm8nIRKEQNOyllcVcqpDUaFl-M5AnbfA/view?usp=sharing")</f>
        <v>https://drive.google.com/file/d/1Gm8nIRKEQNOyllcVcqpDUaFl-M5AnbfA/view?usp=sharing</v>
      </c>
      <c r="AC1933" s="213"/>
      <c r="AD1933" s="213"/>
      <c r="AE1933" s="213"/>
      <c r="AF1933" s="213"/>
      <c r="AG1933" s="213"/>
      <c r="AH1933" s="213"/>
      <c r="AI1933" s="213"/>
      <c r="AJ1933" s="213"/>
      <c r="AK1933" s="213"/>
      <c r="AL1933" s="213"/>
      <c r="AM1933" s="213"/>
      <c r="AN1933" s="213"/>
      <c r="AO1933" s="213"/>
      <c r="AP1933" s="213" t="str">
        <f>IFERROR(__xludf.DUMMYFUNCTION("""COMPUTED_VALUE"""),"MICHEL")</f>
        <v>MICHEL</v>
      </c>
      <c r="AQ1933" s="213"/>
      <c r="AR1933" s="213"/>
      <c r="AS1933" s="213"/>
      <c r="AT1933" s="213"/>
      <c r="AU1933" s="213"/>
      <c r="AV1933" s="213"/>
      <c r="AW1933" s="213"/>
      <c r="AX1933" s="213"/>
      <c r="AY1933" s="213"/>
      <c r="AZ1933" s="213"/>
      <c r="BA1933" s="213"/>
      <c r="BB1933" s="213"/>
      <c r="BC1933" s="213"/>
      <c r="BD1933" s="213"/>
    </row>
    <row r="1934">
      <c r="A1934" s="213">
        <f>IFERROR(__xludf.DUMMYFUNCTION("""COMPUTED_VALUE"""),9.0)</f>
        <v>9</v>
      </c>
      <c r="B1934" s="213" t="str">
        <f>IFERROR(__xludf.DUMMYFUNCTION("""COMPUTED_VALUE"""),"16449 ELOY SOBERON  FLORES")</f>
        <v>16449 ELOY SOBERON  FLORES</v>
      </c>
      <c r="C1934" s="213" t="str">
        <f>IFERROR(__xludf.DUMMYFUNCTION("""COMPUTED_VALUE"""),"TALLER SFT DE COCINA Y REPOSTERÍA")</f>
        <v>TALLER SFT DE COCINA Y REPOSTERÍA</v>
      </c>
      <c r="D1934" s="213" t="str">
        <f>IFERROR(__xludf.DUMMYFUNCTION("""COMPUTED_VALUE"""),"HERRAMIENTAS")</f>
        <v>HERRAMIENTAS</v>
      </c>
      <c r="E1934" s="213" t="str">
        <f>IFERROR(__xludf.DUMMYFUNCTION("""COMPUTED_VALUE"""),"MAT-163")</f>
        <v>MAT-163</v>
      </c>
      <c r="F1934" s="213" t="str">
        <f>IFERROR(__xludf.DUMMYFUNCTION("""COMPUTED_VALUE"""),"MAT-163-X")</f>
        <v>MAT-163-X</v>
      </c>
      <c r="G1934" s="213"/>
      <c r="H1934" s="213" t="str">
        <f>IFERROR(__xludf.DUMMYFUNCTION("""COMPUTED_VALUE"""),"EXTINTOR PQS")</f>
        <v>EXTINTOR PQS</v>
      </c>
      <c r="I1934"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colgador de p"&amp;"ared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34" s="213">
        <f>IFERROR(__xludf.DUMMYFUNCTION("""COMPUTED_VALUE"""),3.0)</f>
        <v>3</v>
      </c>
      <c r="K1934" s="213" t="str">
        <f>IFERROR(__xludf.DUMMYFUNCTION("""COMPUTED_VALUE"""),"90 DÍAS CALENDARIO")</f>
        <v>90 DÍAS CALENDARIO</v>
      </c>
      <c r="L1934"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34" s="213">
        <f>IFERROR(__xludf.DUMMYFUNCTION("""COMPUTED_VALUE"""),1.0)</f>
        <v>1</v>
      </c>
      <c r="N1934" s="213">
        <f>IFERROR(__xludf.DUMMYFUNCTION("""COMPUTED_VALUE"""),1.0)</f>
        <v>1</v>
      </c>
      <c r="O1934" s="213">
        <f>IFERROR(__xludf.DUMMYFUNCTION("""COMPUTED_VALUE"""),1.0)</f>
        <v>1</v>
      </c>
      <c r="P1934" s="213"/>
      <c r="Q1934" s="213"/>
      <c r="R1934" s="213"/>
      <c r="S1934" s="213"/>
      <c r="T1934" s="213" t="str">
        <f>IFERROR(__xludf.DUMMYFUNCTION("""COMPUTED_VALUE"""),"CONSULTA FINAL")</f>
        <v>CONSULTA FINAL</v>
      </c>
      <c r="U1934" s="213" t="str">
        <f>IFERROR(__xludf.DUMMYFUNCTION("""COMPUTED_VALUE"""),"NO")</f>
        <v>NO</v>
      </c>
      <c r="V1934" s="213" t="str">
        <f>IFERROR(__xludf.DUMMYFUNCTION("""COMPUTED_VALUE"""),"NO")</f>
        <v>NO</v>
      </c>
      <c r="W1934" s="213" t="str">
        <f>IFERROR(__xludf.DUMMYFUNCTION("""COMPUTED_VALUE"""),"-")</f>
        <v>-</v>
      </c>
      <c r="X1934" s="213" t="str">
        <f>IFERROR(__xludf.DUMMYFUNCTION("""COMPUTED_VALUE"""),"FIREMAN'S")</f>
        <v>FIREMAN'S</v>
      </c>
      <c r="Y1934" s="213" t="str">
        <f>IFERROR(__xludf.DUMMYFUNCTION("""COMPUTED_VALUE"""),"Extintores Portátiles Manuales de Polvo Químico Seco")</f>
        <v>Extintores Portátiles Manuales de Polvo Químico Seco</v>
      </c>
      <c r="Z1934" s="215" t="str">
        <f>IFERROR(__xludf.DUMMYFUNCTION("""COMPUTED_VALUE"""),"https://firemansperu.com/productos/extintores-firemans/polvo-quimico-seco/")</f>
        <v>https://firemansperu.com/productos/extintores-firemans/polvo-quimico-seco/</v>
      </c>
      <c r="AA1934" s="213" t="str">
        <f>IFERROR(__xludf.DUMMYFUNCTION("""COMPUTED_VALUE"""),"MAT-163-X EXTINTOR PQS - CET")</f>
        <v>MAT-163-X EXTINTOR PQS - CET</v>
      </c>
      <c r="AB1934" s="213"/>
      <c r="AC1934" s="213"/>
      <c r="AD1934" s="213"/>
      <c r="AE1934" s="213"/>
      <c r="AF1934" s="213"/>
      <c r="AG1934" s="213"/>
      <c r="AH1934" s="213"/>
      <c r="AI1934" s="213"/>
      <c r="AJ1934" s="213"/>
      <c r="AK1934" s="213"/>
      <c r="AL1934" s="213"/>
      <c r="AM1934" s="213"/>
      <c r="AN1934" s="213"/>
      <c r="AO1934" s="213"/>
      <c r="AP1934" s="213" t="str">
        <f>IFERROR(__xludf.DUMMYFUNCTION("""COMPUTED_VALUE"""),"BRUNO")</f>
        <v>BRUNO</v>
      </c>
      <c r="AQ1934" s="213"/>
      <c r="AR1934" s="213"/>
      <c r="AS1934" s="213"/>
      <c r="AT1934" s="213"/>
      <c r="AU1934" s="213"/>
      <c r="AV1934" s="213"/>
      <c r="AW1934" s="213"/>
      <c r="AX1934" s="213"/>
      <c r="AY1934" s="213"/>
      <c r="AZ1934" s="213"/>
      <c r="BA1934" s="213"/>
      <c r="BB1934" s="213"/>
      <c r="BC1934" s="213"/>
      <c r="BD1934" s="213"/>
    </row>
    <row r="1935">
      <c r="A1935" s="213">
        <f>IFERROR(__xludf.DUMMYFUNCTION("""COMPUTED_VALUE"""),258.0)</f>
        <v>258</v>
      </c>
      <c r="B1935" s="213" t="str">
        <f>IFERROR(__xludf.DUMMYFUNCTION("""COMPUTED_VALUE"""),"2026 SIMON BOLIVAR")</f>
        <v>2026 SIMON BOLIVAR</v>
      </c>
      <c r="C1935" s="213" t="str">
        <f>IFERROR(__xludf.DUMMYFUNCTION("""COMPUTED_VALUE"""),"TALLER SFT DE COMPUTACIÓN E INFORMÁTICA")</f>
        <v>TALLER SFT DE COMPUTACIÓN E INFORMÁTICA</v>
      </c>
      <c r="D1935" s="213" t="str">
        <f>IFERROR(__xludf.DUMMYFUNCTION("""COMPUTED_VALUE"""),"HERRAMIENTAS")</f>
        <v>HERRAMIENTAS</v>
      </c>
      <c r="E1935" s="213" t="str">
        <f>IFERROR(__xludf.DUMMYFUNCTION("""COMPUTED_VALUE"""),"MAT-163")</f>
        <v>MAT-163</v>
      </c>
      <c r="F1935" s="213" t="str">
        <f>IFERROR(__xludf.DUMMYFUNCTION("""COMPUTED_VALUE"""),"MAT-163-X")</f>
        <v>MAT-163-X</v>
      </c>
      <c r="G1935" s="213"/>
      <c r="H1935" s="213" t="str">
        <f>IFERROR(__xludf.DUMMYFUNCTION("""COMPUTED_VALUE"""),"EXTINTOR PQS")</f>
        <v>EXTINTOR PQS</v>
      </c>
      <c r="I1935"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colgad"&amp;"or de 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35" s="213">
        <f>IFERROR(__xludf.DUMMYFUNCTION("""COMPUTED_VALUE"""),3.0)</f>
        <v>3</v>
      </c>
      <c r="K1935" s="213" t="str">
        <f>IFERROR(__xludf.DUMMYFUNCTION("""COMPUTED_VALUE"""),"90 DÍAS CALENDARIO")</f>
        <v>90 DÍAS CALENDARIO</v>
      </c>
      <c r="L1935"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35" s="213">
        <f>IFERROR(__xludf.DUMMYFUNCTION("""COMPUTED_VALUE"""),1.0)</f>
        <v>1</v>
      </c>
      <c r="N1935" s="213">
        <f>IFERROR(__xludf.DUMMYFUNCTION("""COMPUTED_VALUE"""),1.0)</f>
        <v>1</v>
      </c>
      <c r="O1935" s="213">
        <f>IFERROR(__xludf.DUMMYFUNCTION("""COMPUTED_VALUE"""),1.0)</f>
        <v>1</v>
      </c>
      <c r="P1935" s="213"/>
      <c r="Q1935" s="213"/>
      <c r="R1935" s="213"/>
      <c r="S1935" s="213"/>
      <c r="T1935" s="213" t="str">
        <f>IFERROR(__xludf.DUMMYFUNCTION("""COMPUTED_VALUE"""),"CONSULTA FINAL")</f>
        <v>CONSULTA FINAL</v>
      </c>
      <c r="U1935" s="213" t="str">
        <f>IFERROR(__xludf.DUMMYFUNCTION("""COMPUTED_VALUE"""),"NO")</f>
        <v>NO</v>
      </c>
      <c r="V1935" s="213" t="str">
        <f>IFERROR(__xludf.DUMMYFUNCTION("""COMPUTED_VALUE"""),"NO")</f>
        <v>NO</v>
      </c>
      <c r="W1935" s="213" t="str">
        <f>IFERROR(__xludf.DUMMYFUNCTION("""COMPUTED_VALUE"""),"-")</f>
        <v>-</v>
      </c>
      <c r="X1935" s="213" t="str">
        <f>IFERROR(__xludf.DUMMYFUNCTION("""COMPUTED_VALUE"""),"FIREMAN'S")</f>
        <v>FIREMAN'S</v>
      </c>
      <c r="Y1935" s="213" t="str">
        <f>IFERROR(__xludf.DUMMYFUNCTION("""COMPUTED_VALUE"""),"Extintores Portátiles Manuales de Polvo Químico Seco")</f>
        <v>Extintores Portátiles Manuales de Polvo Químico Seco</v>
      </c>
      <c r="Z1935" s="215" t="str">
        <f>IFERROR(__xludf.DUMMYFUNCTION("""COMPUTED_VALUE"""),"https://firemansperu.com/productos/extintores-firemans/polvo-quimico-seco/")</f>
        <v>https://firemansperu.com/productos/extintores-firemans/polvo-quimico-seco/</v>
      </c>
      <c r="AA1935" s="213" t="str">
        <f>IFERROR(__xludf.DUMMYFUNCTION("""COMPUTED_VALUE"""),"MAT-163-X EXTINTOR PQS - CET")</f>
        <v>MAT-163-X EXTINTOR PQS - CET</v>
      </c>
      <c r="AB1935" s="213"/>
      <c r="AC1935" s="213"/>
      <c r="AD1935" s="213"/>
      <c r="AE1935" s="213"/>
      <c r="AF1935" s="213"/>
      <c r="AG1935" s="213"/>
      <c r="AH1935" s="213"/>
      <c r="AI1935" s="213"/>
      <c r="AJ1935" s="213"/>
      <c r="AK1935" s="213"/>
      <c r="AL1935" s="213"/>
      <c r="AM1935" s="213"/>
      <c r="AN1935" s="213"/>
      <c r="AO1935" s="213"/>
      <c r="AP1935" s="213" t="str">
        <f>IFERROR(__xludf.DUMMYFUNCTION("""COMPUTED_VALUE"""),"BRUNO")</f>
        <v>BRUNO</v>
      </c>
      <c r="AQ1935" s="213"/>
      <c r="AR1935" s="213"/>
      <c r="AS1935" s="213"/>
      <c r="AT1935" s="213"/>
      <c r="AU1935" s="213"/>
      <c r="AV1935" s="213"/>
      <c r="AW1935" s="213"/>
      <c r="AX1935" s="213"/>
      <c r="AY1935" s="213"/>
      <c r="AZ1935" s="213"/>
      <c r="BA1935" s="213"/>
      <c r="BB1935" s="213"/>
      <c r="BC1935" s="213"/>
      <c r="BD1935" s="213"/>
    </row>
    <row r="1936">
      <c r="A1936" s="213">
        <f>IFERROR(__xludf.DUMMYFUNCTION("""COMPUTED_VALUE"""),345.0)</f>
        <v>345</v>
      </c>
      <c r="B1936" s="213" t="str">
        <f>IFERROR(__xludf.DUMMYFUNCTION("""COMPUTED_VALUE"""),"2026 SIMON BOLIVAR")</f>
        <v>2026 SIMON BOLIVAR</v>
      </c>
      <c r="C1936" s="213" t="str">
        <f>IFERROR(__xludf.DUMMYFUNCTION("""COMPUTED_VALUE"""),"TALLER SFT DE ELECTRICIDAD")</f>
        <v>TALLER SFT DE ELECTRICIDAD</v>
      </c>
      <c r="D1936" s="213" t="str">
        <f>IFERROR(__xludf.DUMMYFUNCTION("""COMPUTED_VALUE"""),"HERRAMIENTAS")</f>
        <v>HERRAMIENTAS</v>
      </c>
      <c r="E1936" s="213" t="str">
        <f>IFERROR(__xludf.DUMMYFUNCTION("""COMPUTED_VALUE"""),"MAT-163")</f>
        <v>MAT-163</v>
      </c>
      <c r="F1936" s="213" t="str">
        <f>IFERROR(__xludf.DUMMYFUNCTION("""COMPUTED_VALUE"""),"MAT-163-X")</f>
        <v>MAT-163-X</v>
      </c>
      <c r="G1936" s="213"/>
      <c r="H1936" s="213" t="str">
        <f>IFERROR(__xludf.DUMMYFUNCTION("""COMPUTED_VALUE"""),"EXTINTOR PQS")</f>
        <v>EXTINTOR PQS</v>
      </c>
      <c r="I1936" s="213"/>
      <c r="J1936" s="213">
        <f>IFERROR(__xludf.DUMMYFUNCTION("""COMPUTED_VALUE"""),3.0)</f>
        <v>3</v>
      </c>
      <c r="K1936" s="213" t="str">
        <f>IFERROR(__xludf.DUMMYFUNCTION("""COMPUTED_VALUE"""),"90 DÍAS CALENDARIO")</f>
        <v>90 DÍAS CALENDARIO</v>
      </c>
      <c r="L1936"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36" s="213">
        <f>IFERROR(__xludf.DUMMYFUNCTION("""COMPUTED_VALUE"""),1.0)</f>
        <v>1</v>
      </c>
      <c r="N1936" s="213">
        <f>IFERROR(__xludf.DUMMYFUNCTION("""COMPUTED_VALUE"""),1.0)</f>
        <v>1</v>
      </c>
      <c r="O1936" s="213">
        <f>IFERROR(__xludf.DUMMYFUNCTION("""COMPUTED_VALUE"""),1.0)</f>
        <v>1</v>
      </c>
      <c r="P1936" s="213"/>
      <c r="Q1936" s="213"/>
      <c r="R1936" s="213"/>
      <c r="S1936" s="213"/>
      <c r="T1936" s="213" t="str">
        <f>IFERROR(__xludf.DUMMYFUNCTION("""COMPUTED_VALUE"""),"CONSULTA FINAL")</f>
        <v>CONSULTA FINAL</v>
      </c>
      <c r="U1936" s="213" t="str">
        <f>IFERROR(__xludf.DUMMYFUNCTION("""COMPUTED_VALUE"""),"NO")</f>
        <v>NO</v>
      </c>
      <c r="V1936" s="213" t="str">
        <f>IFERROR(__xludf.DUMMYFUNCTION("""COMPUTED_VALUE"""),"NO")</f>
        <v>NO</v>
      </c>
      <c r="W1936" s="213" t="str">
        <f>IFERROR(__xludf.DUMMYFUNCTION("""COMPUTED_VALUE"""),"-")</f>
        <v>-</v>
      </c>
      <c r="X1936" s="213" t="str">
        <f>IFERROR(__xludf.DUMMYFUNCTION("""COMPUTED_VALUE"""),"FIREMAN'S")</f>
        <v>FIREMAN'S</v>
      </c>
      <c r="Y1936" s="213" t="str">
        <f>IFERROR(__xludf.DUMMYFUNCTION("""COMPUTED_VALUE"""),"Extintores Portátiles Manuales de Polvo Químico Seco")</f>
        <v>Extintores Portátiles Manuales de Polvo Químico Seco</v>
      </c>
      <c r="Z1936" s="215" t="str">
        <f>IFERROR(__xludf.DUMMYFUNCTION("""COMPUTED_VALUE"""),"https://firemansperu.com/productos/extintores-firemans/polvo-quimico-seco/")</f>
        <v>https://firemansperu.com/productos/extintores-firemans/polvo-quimico-seco/</v>
      </c>
      <c r="AA1936" s="213" t="str">
        <f>IFERROR(__xludf.DUMMYFUNCTION("""COMPUTED_VALUE"""),"MAT-163-X EXTINTOR PQS - CET")</f>
        <v>MAT-163-X EXTINTOR PQS - CET</v>
      </c>
      <c r="AB1936" s="213"/>
      <c r="AC1936" s="213"/>
      <c r="AD1936" s="213"/>
      <c r="AE1936" s="213"/>
      <c r="AF1936" s="213"/>
      <c r="AG1936" s="213"/>
      <c r="AH1936" s="213"/>
      <c r="AI1936" s="213"/>
      <c r="AJ1936" s="213"/>
      <c r="AK1936" s="213"/>
      <c r="AL1936" s="213"/>
      <c r="AM1936" s="213"/>
      <c r="AN1936" s="213"/>
      <c r="AO1936" s="213"/>
      <c r="AP1936" s="213" t="str">
        <f>IFERROR(__xludf.DUMMYFUNCTION("""COMPUTED_VALUE"""),"BRUNO")</f>
        <v>BRUNO</v>
      </c>
      <c r="AQ1936" s="213" t="str">
        <f>IFERROR(__xludf.DUMMYFUNCTION("""COMPUTED_VALUE"""),"añadir el Cuenta con precinto de seguridad. (consultar primero)")</f>
        <v>añadir el Cuenta con precinto de seguridad. (consultar primero)</v>
      </c>
      <c r="AR1936" s="213"/>
      <c r="AS1936" s="213"/>
      <c r="AT1936" s="213"/>
      <c r="AU1936" s="213"/>
      <c r="AV1936" s="213"/>
      <c r="AW1936" s="213"/>
      <c r="AX1936" s="213"/>
      <c r="AY1936" s="213"/>
      <c r="AZ1936" s="213"/>
      <c r="BA1936" s="213"/>
      <c r="BB1936" s="213"/>
      <c r="BC1936" s="213"/>
      <c r="BD1936" s="213"/>
    </row>
    <row r="1937">
      <c r="A1937" s="213">
        <f>IFERROR(__xludf.DUMMYFUNCTION("""COMPUTED_VALUE"""),453.0)</f>
        <v>453</v>
      </c>
      <c r="B1937" s="213" t="str">
        <f>IFERROR(__xludf.DUMMYFUNCTION("""COMPUTED_VALUE"""),"2026 SIMON BOLIVAR")</f>
        <v>2026 SIMON BOLIVAR</v>
      </c>
      <c r="C1937" s="213" t="str">
        <f>IFERROR(__xludf.DUMMYFUNCTION("""COMPUTED_VALUE"""),"TALLER SFT DE INDUSTRIA ALIMENTARIA")</f>
        <v>TALLER SFT DE INDUSTRIA ALIMENTARIA</v>
      </c>
      <c r="D1937" s="213" t="str">
        <f>IFERROR(__xludf.DUMMYFUNCTION("""COMPUTED_VALUE"""),"HERRAMIENTAS")</f>
        <v>HERRAMIENTAS</v>
      </c>
      <c r="E1937" s="213" t="str">
        <f>IFERROR(__xludf.DUMMYFUNCTION("""COMPUTED_VALUE"""),"MAT-163")</f>
        <v>MAT-163</v>
      </c>
      <c r="F1937" s="213" t="str">
        <f>IFERROR(__xludf.DUMMYFUNCTION("""COMPUTED_VALUE"""),"MAT-163-X")</f>
        <v>MAT-163-X</v>
      </c>
      <c r="G1937" s="213"/>
      <c r="H1937" s="213" t="str">
        <f>IFERROR(__xludf.DUMMYFUNCTION("""COMPUTED_VALUE"""),"EXTINTOR PQS")</f>
        <v>EXTINTOR PQS</v>
      </c>
      <c r="I1937"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colgador de p"&amp;"ared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37" s="213">
        <f>IFERROR(__xludf.DUMMYFUNCTION("""COMPUTED_VALUE"""),3.0)</f>
        <v>3</v>
      </c>
      <c r="K1937" s="213" t="str">
        <f>IFERROR(__xludf.DUMMYFUNCTION("""COMPUTED_VALUE"""),"90 DÍAS CALENDARIO")</f>
        <v>90 DÍAS CALENDARIO</v>
      </c>
      <c r="L1937"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37" s="213">
        <f>IFERROR(__xludf.DUMMYFUNCTION("""COMPUTED_VALUE"""),1.0)</f>
        <v>1</v>
      </c>
      <c r="N1937" s="213">
        <f>IFERROR(__xludf.DUMMYFUNCTION("""COMPUTED_VALUE"""),2.0)</f>
        <v>2</v>
      </c>
      <c r="O1937" s="213">
        <f>IFERROR(__xludf.DUMMYFUNCTION("""COMPUTED_VALUE"""),2.0)</f>
        <v>2</v>
      </c>
      <c r="P1937" s="213"/>
      <c r="Q1937" s="213"/>
      <c r="R1937" s="213"/>
      <c r="S1937" s="213"/>
      <c r="T1937" s="213" t="str">
        <f>IFERROR(__xludf.DUMMYFUNCTION("""COMPUTED_VALUE"""),"CONSULTA FINAL")</f>
        <v>CONSULTA FINAL</v>
      </c>
      <c r="U1937" s="213" t="str">
        <f>IFERROR(__xludf.DUMMYFUNCTION("""COMPUTED_VALUE"""),"NO")</f>
        <v>NO</v>
      </c>
      <c r="V1937" s="213" t="str">
        <f>IFERROR(__xludf.DUMMYFUNCTION("""COMPUTED_VALUE"""),"NO")</f>
        <v>NO</v>
      </c>
      <c r="W1937" s="213" t="str">
        <f>IFERROR(__xludf.DUMMYFUNCTION("""COMPUTED_VALUE"""),"-")</f>
        <v>-</v>
      </c>
      <c r="X1937" s="213" t="str">
        <f>IFERROR(__xludf.DUMMYFUNCTION("""COMPUTED_VALUE"""),"FIREMAN'S")</f>
        <v>FIREMAN'S</v>
      </c>
      <c r="Y1937" s="213" t="str">
        <f>IFERROR(__xludf.DUMMYFUNCTION("""COMPUTED_VALUE"""),"Extintores Portátiles Manuales de Polvo Químico Seco")</f>
        <v>Extintores Portátiles Manuales de Polvo Químico Seco</v>
      </c>
      <c r="Z1937" s="215" t="str">
        <f>IFERROR(__xludf.DUMMYFUNCTION("""COMPUTED_VALUE"""),"https://firemansperu.com/productos/extintores-firemans/polvo-quimico-seco/")</f>
        <v>https://firemansperu.com/productos/extintores-firemans/polvo-quimico-seco/</v>
      </c>
      <c r="AA1937" s="213" t="str">
        <f>IFERROR(__xludf.DUMMYFUNCTION("""COMPUTED_VALUE"""),"MAT-163-X EXTINTOR PQS - CET")</f>
        <v>MAT-163-X EXTINTOR PQS - CET</v>
      </c>
      <c r="AB1937" s="213"/>
      <c r="AC1937" s="213"/>
      <c r="AD1937" s="213"/>
      <c r="AE1937" s="213"/>
      <c r="AF1937" s="213"/>
      <c r="AG1937" s="213"/>
      <c r="AH1937" s="213"/>
      <c r="AI1937" s="213"/>
      <c r="AJ1937" s="213"/>
      <c r="AK1937" s="213"/>
      <c r="AL1937" s="213"/>
      <c r="AM1937" s="213"/>
      <c r="AN1937" s="213"/>
      <c r="AO1937" s="213"/>
      <c r="AP1937" s="213" t="str">
        <f>IFERROR(__xludf.DUMMYFUNCTION("""COMPUTED_VALUE"""),"BRUNO")</f>
        <v>BRUNO</v>
      </c>
      <c r="AQ1937" s="213"/>
      <c r="AR1937" s="213"/>
      <c r="AS1937" s="213"/>
      <c r="AT1937" s="213"/>
      <c r="AU1937" s="213"/>
      <c r="AV1937" s="213"/>
      <c r="AW1937" s="213"/>
      <c r="AX1937" s="213"/>
      <c r="AY1937" s="213"/>
      <c r="AZ1937" s="213"/>
      <c r="BA1937" s="213"/>
      <c r="BB1937" s="213"/>
      <c r="BC1937" s="213"/>
      <c r="BD1937" s="213"/>
    </row>
    <row r="1938">
      <c r="A1938" s="213">
        <f>IFERROR(__xludf.DUMMYFUNCTION("""COMPUTED_VALUE"""),623.0)</f>
        <v>623</v>
      </c>
      <c r="B1938" s="213" t="str">
        <f>IFERROR(__xludf.DUMMYFUNCTION("""COMPUTED_VALUE"""),"6049 RICARDO PALMA")</f>
        <v>6049 RICARDO PALMA</v>
      </c>
      <c r="C1938" s="213" t="str">
        <f>IFERROR(__xludf.DUMMYFUNCTION("""COMPUTED_VALUE"""),"TALLER SFT DE ELECTRÓNICA")</f>
        <v>TALLER SFT DE ELECTRÓNICA</v>
      </c>
      <c r="D1938" s="213" t="str">
        <f>IFERROR(__xludf.DUMMYFUNCTION("""COMPUTED_VALUE"""),"HERRAMIENTAS")</f>
        <v>HERRAMIENTAS</v>
      </c>
      <c r="E1938" s="213" t="str">
        <f>IFERROR(__xludf.DUMMYFUNCTION("""COMPUTED_VALUE"""),"MAT-163")</f>
        <v>MAT-163</v>
      </c>
      <c r="F1938" s="213" t="str">
        <f>IFERROR(__xludf.DUMMYFUNCTION("""COMPUTED_VALUE"""),"MAT-163-X")</f>
        <v>MAT-163-X</v>
      </c>
      <c r="G1938" s="213"/>
      <c r="H1938" s="213" t="str">
        <f>IFERROR(__xludf.DUMMYFUNCTION("""COMPUTED_VALUE"""),"EXTINTOR PQS")</f>
        <v>EXTINTOR PQS</v>
      </c>
      <c r="I1938"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colgador de p"&amp;"ared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38" s="213">
        <f>IFERROR(__xludf.DUMMYFUNCTION("""COMPUTED_VALUE"""),3.0)</f>
        <v>3</v>
      </c>
      <c r="K1938" s="213" t="str">
        <f>IFERROR(__xludf.DUMMYFUNCTION("""COMPUTED_VALUE"""),"90 DÍAS CALENDARIO")</f>
        <v>90 DÍAS CALENDARIO</v>
      </c>
      <c r="L1938"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38" s="213">
        <f>IFERROR(__xludf.DUMMYFUNCTION("""COMPUTED_VALUE"""),1.0)</f>
        <v>1</v>
      </c>
      <c r="N1938" s="213">
        <f>IFERROR(__xludf.DUMMYFUNCTION("""COMPUTED_VALUE"""),1.0)</f>
        <v>1</v>
      </c>
      <c r="O1938" s="213">
        <f>IFERROR(__xludf.DUMMYFUNCTION("""COMPUTED_VALUE"""),1.0)</f>
        <v>1</v>
      </c>
      <c r="P1938" s="213"/>
      <c r="Q1938" s="213"/>
      <c r="R1938" s="213"/>
      <c r="S1938" s="213"/>
      <c r="T1938" s="213" t="str">
        <f>IFERROR(__xludf.DUMMYFUNCTION("""COMPUTED_VALUE"""),"CONSULTA FINAL")</f>
        <v>CONSULTA FINAL</v>
      </c>
      <c r="U1938" s="213" t="str">
        <f>IFERROR(__xludf.DUMMYFUNCTION("""COMPUTED_VALUE"""),"NO")</f>
        <v>NO</v>
      </c>
      <c r="V1938" s="213" t="str">
        <f>IFERROR(__xludf.DUMMYFUNCTION("""COMPUTED_VALUE"""),"NO")</f>
        <v>NO</v>
      </c>
      <c r="W1938" s="213" t="str">
        <f>IFERROR(__xludf.DUMMYFUNCTION("""COMPUTED_VALUE"""),"-")</f>
        <v>-</v>
      </c>
      <c r="X1938" s="213" t="str">
        <f>IFERROR(__xludf.DUMMYFUNCTION("""COMPUTED_VALUE"""),"FIREMAN'S")</f>
        <v>FIREMAN'S</v>
      </c>
      <c r="Y1938" s="213" t="str">
        <f>IFERROR(__xludf.DUMMYFUNCTION("""COMPUTED_VALUE"""),"Extintores Portátiles Manuales de Polvo Químico Seco")</f>
        <v>Extintores Portátiles Manuales de Polvo Químico Seco</v>
      </c>
      <c r="Z1938" s="215" t="str">
        <f>IFERROR(__xludf.DUMMYFUNCTION("""COMPUTED_VALUE"""),"https://firemansperu.com/productos/extintores-firemans/polvo-quimico-seco/")</f>
        <v>https://firemansperu.com/productos/extintores-firemans/polvo-quimico-seco/</v>
      </c>
      <c r="AA1938" s="213" t="str">
        <f>IFERROR(__xludf.DUMMYFUNCTION("""COMPUTED_VALUE"""),"MAT-163-X EXTINTOR PQS - CET")</f>
        <v>MAT-163-X EXTINTOR PQS - CET</v>
      </c>
      <c r="AB1938" s="213"/>
      <c r="AC1938" s="213"/>
      <c r="AD1938" s="213"/>
      <c r="AE1938" s="213"/>
      <c r="AF1938" s="213"/>
      <c r="AG1938" s="213"/>
      <c r="AH1938" s="213"/>
      <c r="AI1938" s="213"/>
      <c r="AJ1938" s="213"/>
      <c r="AK1938" s="213"/>
      <c r="AL1938" s="213"/>
      <c r="AM1938" s="213"/>
      <c r="AN1938" s="213"/>
      <c r="AO1938" s="213"/>
      <c r="AP1938" s="213" t="str">
        <f>IFERROR(__xludf.DUMMYFUNCTION("""COMPUTED_VALUE"""),"BRUNO")</f>
        <v>BRUNO</v>
      </c>
      <c r="AQ1938" s="213" t="str">
        <f>IFERROR(__xludf.DUMMYFUNCTION("""COMPUTED_VALUE"""),"añadir el Cuenta con precinto de seguridad. (consultar primero)")</f>
        <v>añadir el Cuenta con precinto de seguridad. (consultar primero)</v>
      </c>
      <c r="AR1938" s="213"/>
      <c r="AS1938" s="213"/>
      <c r="AT1938" s="213"/>
      <c r="AU1938" s="213"/>
      <c r="AV1938" s="213"/>
      <c r="AW1938" s="213"/>
      <c r="AX1938" s="213"/>
      <c r="AY1938" s="213"/>
      <c r="AZ1938" s="213"/>
      <c r="BA1938" s="213"/>
      <c r="BB1938" s="213"/>
      <c r="BC1938" s="213"/>
      <c r="BD1938" s="213"/>
    </row>
    <row r="1939">
      <c r="A1939" s="213">
        <f>IFERROR(__xludf.DUMMYFUNCTION("""COMPUTED_VALUE"""),743.0)</f>
        <v>743</v>
      </c>
      <c r="B1939" s="213" t="str">
        <f>IFERROR(__xludf.DUMMYFUNCTION("""COMPUTED_VALUE"""),"6049 RICARDO PALMA")</f>
        <v>6049 RICARDO PALMA</v>
      </c>
      <c r="C1939" s="213" t="str">
        <f>IFERROR(__xludf.DUMMYFUNCTION("""COMPUTED_VALUE"""),"TALLER SFT DE COMPUTACIÓN E INFORMÁTICA")</f>
        <v>TALLER SFT DE COMPUTACIÓN E INFORMÁTICA</v>
      </c>
      <c r="D1939" s="213" t="str">
        <f>IFERROR(__xludf.DUMMYFUNCTION("""COMPUTED_VALUE"""),"HERRAMIENTAS")</f>
        <v>HERRAMIENTAS</v>
      </c>
      <c r="E1939" s="213" t="str">
        <f>IFERROR(__xludf.DUMMYFUNCTION("""COMPUTED_VALUE"""),"MAT-163")</f>
        <v>MAT-163</v>
      </c>
      <c r="F1939" s="213" t="str">
        <f>IFERROR(__xludf.DUMMYFUNCTION("""COMPUTED_VALUE"""),"MAT-163-X")</f>
        <v>MAT-163-X</v>
      </c>
      <c r="G1939" s="213"/>
      <c r="H1939" s="213" t="str">
        <f>IFERROR(__xludf.DUMMYFUNCTION("""COMPUTED_VALUE"""),"EXTINTOR PQS")</f>
        <v>EXTINTOR PQS</v>
      </c>
      <c r="I1939"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colgad"&amp;"or de 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39" s="213">
        <f>IFERROR(__xludf.DUMMYFUNCTION("""COMPUTED_VALUE"""),3.0)</f>
        <v>3</v>
      </c>
      <c r="K1939" s="213" t="str">
        <f>IFERROR(__xludf.DUMMYFUNCTION("""COMPUTED_VALUE"""),"90 DÍAS CALENDARIO")</f>
        <v>90 DÍAS CALENDARIO</v>
      </c>
      <c r="L1939"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39" s="213">
        <f>IFERROR(__xludf.DUMMYFUNCTION("""COMPUTED_VALUE"""),1.0)</f>
        <v>1</v>
      </c>
      <c r="N1939" s="213">
        <f>IFERROR(__xludf.DUMMYFUNCTION("""COMPUTED_VALUE"""),1.0)</f>
        <v>1</v>
      </c>
      <c r="O1939" s="213">
        <f>IFERROR(__xludf.DUMMYFUNCTION("""COMPUTED_VALUE"""),1.0)</f>
        <v>1</v>
      </c>
      <c r="P1939" s="213"/>
      <c r="Q1939" s="213"/>
      <c r="R1939" s="213"/>
      <c r="S1939" s="213"/>
      <c r="T1939" s="213" t="str">
        <f>IFERROR(__xludf.DUMMYFUNCTION("""COMPUTED_VALUE"""),"CONSULTA FINAL")</f>
        <v>CONSULTA FINAL</v>
      </c>
      <c r="U1939" s="213" t="str">
        <f>IFERROR(__xludf.DUMMYFUNCTION("""COMPUTED_VALUE"""),"NO")</f>
        <v>NO</v>
      </c>
      <c r="V1939" s="213" t="str">
        <f>IFERROR(__xludf.DUMMYFUNCTION("""COMPUTED_VALUE"""),"NO")</f>
        <v>NO</v>
      </c>
      <c r="W1939" s="213" t="str">
        <f>IFERROR(__xludf.DUMMYFUNCTION("""COMPUTED_VALUE"""),"-")</f>
        <v>-</v>
      </c>
      <c r="X1939" s="213" t="str">
        <f>IFERROR(__xludf.DUMMYFUNCTION("""COMPUTED_VALUE"""),"FIREMAN'S")</f>
        <v>FIREMAN'S</v>
      </c>
      <c r="Y1939" s="213" t="str">
        <f>IFERROR(__xludf.DUMMYFUNCTION("""COMPUTED_VALUE"""),"Extintores Portátiles Manuales de Polvo Químico Seco")</f>
        <v>Extintores Portátiles Manuales de Polvo Químico Seco</v>
      </c>
      <c r="Z1939" s="215" t="str">
        <f>IFERROR(__xludf.DUMMYFUNCTION("""COMPUTED_VALUE"""),"https://firemansperu.com/productos/extintores-firemans/polvo-quimico-seco/")</f>
        <v>https://firemansperu.com/productos/extintores-firemans/polvo-quimico-seco/</v>
      </c>
      <c r="AA1939" s="213" t="str">
        <f>IFERROR(__xludf.DUMMYFUNCTION("""COMPUTED_VALUE"""),"MAT-163-X EXTINTOR PQS - CET")</f>
        <v>MAT-163-X EXTINTOR PQS - CET</v>
      </c>
      <c r="AB1939" s="213"/>
      <c r="AC1939" s="213"/>
      <c r="AD1939" s="213"/>
      <c r="AE1939" s="213"/>
      <c r="AF1939" s="213"/>
      <c r="AG1939" s="213"/>
      <c r="AH1939" s="213"/>
      <c r="AI1939" s="213"/>
      <c r="AJ1939" s="213"/>
      <c r="AK1939" s="213"/>
      <c r="AL1939" s="213"/>
      <c r="AM1939" s="213"/>
      <c r="AN1939" s="213"/>
      <c r="AO1939" s="213"/>
      <c r="AP1939" s="213" t="str">
        <f>IFERROR(__xludf.DUMMYFUNCTION("""COMPUTED_VALUE"""),"BRUNO")</f>
        <v>BRUNO</v>
      </c>
      <c r="AQ1939" s="213"/>
      <c r="AR1939" s="213"/>
      <c r="AS1939" s="213"/>
      <c r="AT1939" s="213"/>
      <c r="AU1939" s="213"/>
      <c r="AV1939" s="213"/>
      <c r="AW1939" s="213"/>
      <c r="AX1939" s="213"/>
      <c r="AY1939" s="213"/>
      <c r="AZ1939" s="213"/>
      <c r="BA1939" s="213"/>
      <c r="BB1939" s="213"/>
      <c r="BC1939" s="213"/>
      <c r="BD1939" s="213"/>
    </row>
    <row r="1940">
      <c r="A1940" s="213">
        <f>IFERROR(__xludf.DUMMYFUNCTION("""COMPUTED_VALUE"""),831.0)</f>
        <v>831</v>
      </c>
      <c r="B1940" s="213" t="str">
        <f>IFERROR(__xludf.DUMMYFUNCTION("""COMPUTED_VALUE"""),"6049 RICARDO PALMA")</f>
        <v>6049 RICARDO PALMA</v>
      </c>
      <c r="C1940" s="213" t="str">
        <f>IFERROR(__xludf.DUMMYFUNCTION("""COMPUTED_VALUE"""),"TALLER SFT DE ELECTRICIDAD")</f>
        <v>TALLER SFT DE ELECTRICIDAD</v>
      </c>
      <c r="D1940" s="213" t="str">
        <f>IFERROR(__xludf.DUMMYFUNCTION("""COMPUTED_VALUE"""),"HERRAMIENTAS")</f>
        <v>HERRAMIENTAS</v>
      </c>
      <c r="E1940" s="213" t="str">
        <f>IFERROR(__xludf.DUMMYFUNCTION("""COMPUTED_VALUE"""),"MAT-163")</f>
        <v>MAT-163</v>
      </c>
      <c r="F1940" s="213" t="str">
        <f>IFERROR(__xludf.DUMMYFUNCTION("""COMPUTED_VALUE"""),"MAT-163-X")</f>
        <v>MAT-163-X</v>
      </c>
      <c r="G1940" s="213"/>
      <c r="H1940" s="213" t="str">
        <f>IFERROR(__xludf.DUMMYFUNCTION("""COMPUTED_VALUE"""),"EXTINTOR PQS")</f>
        <v>EXTINTOR PQS</v>
      </c>
      <c r="I1940" s="213"/>
      <c r="J1940" s="213">
        <f>IFERROR(__xludf.DUMMYFUNCTION("""COMPUTED_VALUE"""),3.0)</f>
        <v>3</v>
      </c>
      <c r="K1940" s="213" t="str">
        <f>IFERROR(__xludf.DUMMYFUNCTION("""COMPUTED_VALUE"""),"90 DÍAS CALENDARIO")</f>
        <v>90 DÍAS CALENDARIO</v>
      </c>
      <c r="L1940"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0" s="213">
        <f>IFERROR(__xludf.DUMMYFUNCTION("""COMPUTED_VALUE"""),1.0)</f>
        <v>1</v>
      </c>
      <c r="N1940" s="213">
        <f>IFERROR(__xludf.DUMMYFUNCTION("""COMPUTED_VALUE"""),1.0)</f>
        <v>1</v>
      </c>
      <c r="O1940" s="213">
        <f>IFERROR(__xludf.DUMMYFUNCTION("""COMPUTED_VALUE"""),1.0)</f>
        <v>1</v>
      </c>
      <c r="P1940" s="213"/>
      <c r="Q1940" s="213"/>
      <c r="R1940" s="213"/>
      <c r="S1940" s="213"/>
      <c r="T1940" s="213" t="str">
        <f>IFERROR(__xludf.DUMMYFUNCTION("""COMPUTED_VALUE"""),"CONSULTA FINAL")</f>
        <v>CONSULTA FINAL</v>
      </c>
      <c r="U1940" s="213" t="str">
        <f>IFERROR(__xludf.DUMMYFUNCTION("""COMPUTED_VALUE"""),"NO")</f>
        <v>NO</v>
      </c>
      <c r="V1940" s="213" t="str">
        <f>IFERROR(__xludf.DUMMYFUNCTION("""COMPUTED_VALUE"""),"NO")</f>
        <v>NO</v>
      </c>
      <c r="W1940" s="213" t="str">
        <f>IFERROR(__xludf.DUMMYFUNCTION("""COMPUTED_VALUE"""),"-")</f>
        <v>-</v>
      </c>
      <c r="X1940" s="213" t="str">
        <f>IFERROR(__xludf.DUMMYFUNCTION("""COMPUTED_VALUE"""),"FIREMAN'S")</f>
        <v>FIREMAN'S</v>
      </c>
      <c r="Y1940" s="213" t="str">
        <f>IFERROR(__xludf.DUMMYFUNCTION("""COMPUTED_VALUE"""),"Extintores Portátiles Manuales de Polvo Químico Seco")</f>
        <v>Extintores Portátiles Manuales de Polvo Químico Seco</v>
      </c>
      <c r="Z1940" s="215" t="str">
        <f>IFERROR(__xludf.DUMMYFUNCTION("""COMPUTED_VALUE"""),"https://firemansperu.com/productos/extintores-firemans/polvo-quimico-seco/")</f>
        <v>https://firemansperu.com/productos/extintores-firemans/polvo-quimico-seco/</v>
      </c>
      <c r="AA1940" s="213" t="str">
        <f>IFERROR(__xludf.DUMMYFUNCTION("""COMPUTED_VALUE"""),"MAT-163-X EXTINTOR PQS - CET")</f>
        <v>MAT-163-X EXTINTOR PQS - CET</v>
      </c>
      <c r="AB1940" s="213"/>
      <c r="AC1940" s="213"/>
      <c r="AD1940" s="213"/>
      <c r="AE1940" s="213"/>
      <c r="AF1940" s="213"/>
      <c r="AG1940" s="213"/>
      <c r="AH1940" s="213"/>
      <c r="AI1940" s="213"/>
      <c r="AJ1940" s="213"/>
      <c r="AK1940" s="213"/>
      <c r="AL1940" s="213"/>
      <c r="AM1940" s="213"/>
      <c r="AN1940" s="213"/>
      <c r="AO1940" s="213"/>
      <c r="AP1940" s="213" t="str">
        <f>IFERROR(__xludf.DUMMYFUNCTION("""COMPUTED_VALUE"""),"BRUNO")</f>
        <v>BRUNO</v>
      </c>
      <c r="AQ1940" s="213" t="str">
        <f>IFERROR(__xludf.DUMMYFUNCTION("""COMPUTED_VALUE"""),"añadir el Cuenta con precinto de seguridad. (consultar primero)")</f>
        <v>añadir el Cuenta con precinto de seguridad. (consultar primero)</v>
      </c>
      <c r="AR1940" s="213"/>
      <c r="AS1940" s="213"/>
      <c r="AT1940" s="213"/>
      <c r="AU1940" s="213"/>
      <c r="AV1940" s="213"/>
      <c r="AW1940" s="213"/>
      <c r="AX1940" s="213"/>
      <c r="AY1940" s="213"/>
      <c r="AZ1940" s="213"/>
      <c r="BA1940" s="213"/>
      <c r="BB1940" s="213"/>
      <c r="BC1940" s="213"/>
      <c r="BD1940" s="213"/>
    </row>
    <row r="1941">
      <c r="A1941" s="213">
        <f>IFERROR(__xludf.DUMMYFUNCTION("""COMPUTED_VALUE"""),914.0)</f>
        <v>914</v>
      </c>
      <c r="B1941" s="213" t="str">
        <f>IFERROR(__xludf.DUMMYFUNCTION("""COMPUTED_VALUE"""),"FRANCISCO IRAZOLA")</f>
        <v>FRANCISCO IRAZOLA</v>
      </c>
      <c r="C1941" s="213" t="str">
        <f>IFERROR(__xludf.DUMMYFUNCTION("""COMPUTED_VALUE"""),"TALLER SFT DE MECÁNICA AUTOMOTRIZ")</f>
        <v>TALLER SFT DE MECÁNICA AUTOMOTRIZ</v>
      </c>
      <c r="D1941" s="213" t="str">
        <f>IFERROR(__xludf.DUMMYFUNCTION("""COMPUTED_VALUE"""),"HERRAMIENTAS")</f>
        <v>HERRAMIENTAS</v>
      </c>
      <c r="E1941" s="213" t="str">
        <f>IFERROR(__xludf.DUMMYFUNCTION("""COMPUTED_VALUE"""),"MAT-163")</f>
        <v>MAT-163</v>
      </c>
      <c r="F1941" s="213" t="str">
        <f>IFERROR(__xludf.DUMMYFUNCTION("""COMPUTED_VALUE"""),"MAT-163-X")</f>
        <v>MAT-163-X</v>
      </c>
      <c r="G1941" s="213"/>
      <c r="H1941" s="213" t="str">
        <f>IFERROR(__xludf.DUMMYFUNCTION("""COMPUTED_VALUE"""),"EXTINTOR PQS")</f>
        <v>EXTINTOR PQS</v>
      </c>
      <c r="I1941" s="213" t="str">
        <f>IFERROR(__xludf.DUMMYFUNCTION("""COMPUTED_VALUE"""),"Extintor de polvo químico seco PQS
Adecuado para uso en incendios de clase ABC Capacidad del agente: 5 Lb (2.27 Kg)
Rango de temperatura: -54° a 49°C. Tiempo de descarga: 14 segundos Cuenta con precinto de seguridad Con soporte colgador de pared
Certifica"&amp;"do de operatividad y vigencia de presión hidrostática (PH).
Tarjeta de inspección y etiqueta de mantenimiento conforme a la NTP 350.043-INDECI Certificación UL")</f>
        <v>Extintor de polvo químico seco PQS
Adecuado para uso en incendios de clase ABC Capacidad del agente: 5 Lb (2.27 Kg)
Rango de temperatura: -54° a 49°C. Tiempo de descarga: 14 segundos Cuenta con precinto de seguridad Con soporte colgador de pared
Certificado de operatividad y vigencia de presión hidrostática (PH).
Tarjeta de inspección y etiqueta de mantenimiento conforme a la NTP 350.043-INDECI Certificación UL</v>
      </c>
      <c r="J1941" s="213">
        <f>IFERROR(__xludf.DUMMYFUNCTION("""COMPUTED_VALUE"""),3.0)</f>
        <v>3</v>
      </c>
      <c r="K1941" s="213" t="str">
        <f>IFERROR(__xludf.DUMMYFUNCTION("""COMPUTED_VALUE"""),"90 DÍAS CALENDARIO")</f>
        <v>90 DÍAS CALENDARIO</v>
      </c>
      <c r="L1941"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1" s="213">
        <f>IFERROR(__xludf.DUMMYFUNCTION("""COMPUTED_VALUE"""),1.0)</f>
        <v>1</v>
      </c>
      <c r="N1941" s="213">
        <f>IFERROR(__xludf.DUMMYFUNCTION("""COMPUTED_VALUE"""),1.0)</f>
        <v>1</v>
      </c>
      <c r="O1941" s="213">
        <f>IFERROR(__xludf.DUMMYFUNCTION("""COMPUTED_VALUE"""),1.0)</f>
        <v>1</v>
      </c>
      <c r="P1941" s="213"/>
      <c r="Q1941" s="213"/>
      <c r="R1941" s="213"/>
      <c r="S1941" s="213"/>
      <c r="T1941" s="213" t="str">
        <f>IFERROR(__xludf.DUMMYFUNCTION("""COMPUTED_VALUE"""),"CONSULTA FINAL")</f>
        <v>CONSULTA FINAL</v>
      </c>
      <c r="U1941" s="213" t="str">
        <f>IFERROR(__xludf.DUMMYFUNCTION("""COMPUTED_VALUE"""),"NO")</f>
        <v>NO</v>
      </c>
      <c r="V1941" s="213" t="str">
        <f>IFERROR(__xludf.DUMMYFUNCTION("""COMPUTED_VALUE"""),"NO")</f>
        <v>NO</v>
      </c>
      <c r="W1941" s="213" t="str">
        <f>IFERROR(__xludf.DUMMYFUNCTION("""COMPUTED_VALUE"""),"-")</f>
        <v>-</v>
      </c>
      <c r="X1941" s="213" t="str">
        <f>IFERROR(__xludf.DUMMYFUNCTION("""COMPUTED_VALUE"""),"FIREMAN'S")</f>
        <v>FIREMAN'S</v>
      </c>
      <c r="Y1941" s="213" t="str">
        <f>IFERROR(__xludf.DUMMYFUNCTION("""COMPUTED_VALUE"""),"Extintores Portátiles Manuales de Polvo Químico Seco")</f>
        <v>Extintores Portátiles Manuales de Polvo Químico Seco</v>
      </c>
      <c r="Z1941" s="215" t="str">
        <f>IFERROR(__xludf.DUMMYFUNCTION("""COMPUTED_VALUE"""),"https://firemansperu.com/productos/extintores-firemans/polvo-quimico-seco/")</f>
        <v>https://firemansperu.com/productos/extintores-firemans/polvo-quimico-seco/</v>
      </c>
      <c r="AA1941" s="213" t="str">
        <f>IFERROR(__xludf.DUMMYFUNCTION("""COMPUTED_VALUE"""),"MAT-163-X EXTINTOR PQS - CET")</f>
        <v>MAT-163-X EXTINTOR PQS - CET</v>
      </c>
      <c r="AB1941" s="213"/>
      <c r="AC1941" s="213"/>
      <c r="AD1941" s="213"/>
      <c r="AE1941" s="213"/>
      <c r="AF1941" s="213"/>
      <c r="AG1941" s="213"/>
      <c r="AH1941" s="213"/>
      <c r="AI1941" s="213"/>
      <c r="AJ1941" s="213"/>
      <c r="AK1941" s="213"/>
      <c r="AL1941" s="213"/>
      <c r="AM1941" s="213"/>
      <c r="AN1941" s="213"/>
      <c r="AO1941" s="213"/>
      <c r="AP1941" s="213" t="str">
        <f>IFERROR(__xludf.DUMMYFUNCTION("""COMPUTED_VALUE"""),"BRUNO")</f>
        <v>BRUNO</v>
      </c>
      <c r="AQ1941" s="213"/>
      <c r="AR1941" s="213"/>
      <c r="AS1941" s="213"/>
      <c r="AT1941" s="213"/>
      <c r="AU1941" s="213"/>
      <c r="AV1941" s="213"/>
      <c r="AW1941" s="213"/>
      <c r="AX1941" s="213"/>
      <c r="AY1941" s="213"/>
      <c r="AZ1941" s="213"/>
      <c r="BA1941" s="213"/>
      <c r="BB1941" s="213"/>
      <c r="BC1941" s="213"/>
      <c r="BD1941" s="213"/>
    </row>
    <row r="1942">
      <c r="A1942" s="213">
        <f>IFERROR(__xludf.DUMMYFUNCTION("""COMPUTED_VALUE"""),1080.0)</f>
        <v>1080</v>
      </c>
      <c r="B1942" s="213" t="str">
        <f>IFERROR(__xludf.DUMMYFUNCTION("""COMPUTED_VALUE"""),"FRANCISCO IRAZOLA")</f>
        <v>FRANCISCO IRAZOLA</v>
      </c>
      <c r="C1942" s="213" t="str">
        <f>IFERROR(__xludf.DUMMYFUNCTION("""COMPUTED_VALUE"""),"TALLER SFT DE INDUSTRIA ALIMENTARIA")</f>
        <v>TALLER SFT DE INDUSTRIA ALIMENTARIA</v>
      </c>
      <c r="D1942" s="213" t="str">
        <f>IFERROR(__xludf.DUMMYFUNCTION("""COMPUTED_VALUE"""),"HERRAMIENTAS")</f>
        <v>HERRAMIENTAS</v>
      </c>
      <c r="E1942" s="213" t="str">
        <f>IFERROR(__xludf.DUMMYFUNCTION("""COMPUTED_VALUE"""),"MAT-163")</f>
        <v>MAT-163</v>
      </c>
      <c r="F1942" s="213" t="str">
        <f>IFERROR(__xludf.DUMMYFUNCTION("""COMPUTED_VALUE"""),"MAT-163-X")</f>
        <v>MAT-163-X</v>
      </c>
      <c r="G1942" s="213"/>
      <c r="H1942" s="213" t="str">
        <f>IFERROR(__xludf.DUMMYFUNCTION("""COMPUTED_VALUE"""),"EXTINTOR PQS")</f>
        <v>EXTINTOR PQS</v>
      </c>
      <c r="I1942"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colgador de p"&amp;"ared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42" s="213">
        <f>IFERROR(__xludf.DUMMYFUNCTION("""COMPUTED_VALUE"""),3.0)</f>
        <v>3</v>
      </c>
      <c r="K1942" s="213" t="str">
        <f>IFERROR(__xludf.DUMMYFUNCTION("""COMPUTED_VALUE"""),"90 DÍAS CALENDARIO")</f>
        <v>90 DÍAS CALENDARIO</v>
      </c>
      <c r="L1942"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2" s="213">
        <f>IFERROR(__xludf.DUMMYFUNCTION("""COMPUTED_VALUE"""),1.0)</f>
        <v>1</v>
      </c>
      <c r="N1942" s="213">
        <f>IFERROR(__xludf.DUMMYFUNCTION("""COMPUTED_VALUE"""),2.0)</f>
        <v>2</v>
      </c>
      <c r="O1942" s="213">
        <f>IFERROR(__xludf.DUMMYFUNCTION("""COMPUTED_VALUE"""),2.0)</f>
        <v>2</v>
      </c>
      <c r="P1942" s="213"/>
      <c r="Q1942" s="213"/>
      <c r="R1942" s="213"/>
      <c r="S1942" s="213"/>
      <c r="T1942" s="213" t="str">
        <f>IFERROR(__xludf.DUMMYFUNCTION("""COMPUTED_VALUE"""),"CONSULTA FINAL")</f>
        <v>CONSULTA FINAL</v>
      </c>
      <c r="U1942" s="213" t="str">
        <f>IFERROR(__xludf.DUMMYFUNCTION("""COMPUTED_VALUE"""),"NO")</f>
        <v>NO</v>
      </c>
      <c r="V1942" s="213" t="str">
        <f>IFERROR(__xludf.DUMMYFUNCTION("""COMPUTED_VALUE"""),"NO")</f>
        <v>NO</v>
      </c>
      <c r="W1942" s="213" t="str">
        <f>IFERROR(__xludf.DUMMYFUNCTION("""COMPUTED_VALUE"""),"-")</f>
        <v>-</v>
      </c>
      <c r="X1942" s="213" t="str">
        <f>IFERROR(__xludf.DUMMYFUNCTION("""COMPUTED_VALUE"""),"FIREMAN'S")</f>
        <v>FIREMAN'S</v>
      </c>
      <c r="Y1942" s="213" t="str">
        <f>IFERROR(__xludf.DUMMYFUNCTION("""COMPUTED_VALUE"""),"Extintores Portátiles Manuales de Polvo Químico Seco")</f>
        <v>Extintores Portátiles Manuales de Polvo Químico Seco</v>
      </c>
      <c r="Z1942" s="215" t="str">
        <f>IFERROR(__xludf.DUMMYFUNCTION("""COMPUTED_VALUE"""),"https://firemansperu.com/productos/extintores-firemans/polvo-quimico-seco/")</f>
        <v>https://firemansperu.com/productos/extintores-firemans/polvo-quimico-seco/</v>
      </c>
      <c r="AA1942" s="213" t="str">
        <f>IFERROR(__xludf.DUMMYFUNCTION("""COMPUTED_VALUE"""),"MAT-163-X EXTINTOR PQS - CET")</f>
        <v>MAT-163-X EXTINTOR PQS - CET</v>
      </c>
      <c r="AB1942" s="213"/>
      <c r="AC1942" s="213"/>
      <c r="AD1942" s="213"/>
      <c r="AE1942" s="213"/>
      <c r="AF1942" s="213"/>
      <c r="AG1942" s="213"/>
      <c r="AH1942" s="213"/>
      <c r="AI1942" s="213"/>
      <c r="AJ1942" s="213"/>
      <c r="AK1942" s="213"/>
      <c r="AL1942" s="213"/>
      <c r="AM1942" s="213"/>
      <c r="AN1942" s="213"/>
      <c r="AO1942" s="213"/>
      <c r="AP1942" s="213" t="str">
        <f>IFERROR(__xludf.DUMMYFUNCTION("""COMPUTED_VALUE"""),"BRUNO")</f>
        <v>BRUNO</v>
      </c>
      <c r="AQ1942" s="213"/>
      <c r="AR1942" s="213"/>
      <c r="AS1942" s="213"/>
      <c r="AT1942" s="213"/>
      <c r="AU1942" s="213"/>
      <c r="AV1942" s="213"/>
      <c r="AW1942" s="213"/>
      <c r="AX1942" s="213"/>
      <c r="AY1942" s="213"/>
      <c r="AZ1942" s="213"/>
      <c r="BA1942" s="213"/>
      <c r="BB1942" s="213"/>
      <c r="BC1942" s="213"/>
      <c r="BD1942" s="213"/>
    </row>
    <row r="1943">
      <c r="A1943" s="213">
        <f>IFERROR(__xludf.DUMMYFUNCTION("""COMPUTED_VALUE"""),1253.0)</f>
        <v>1253</v>
      </c>
      <c r="B1943" s="213" t="str">
        <f>IFERROR(__xludf.DUMMYFUNCTION("""COMPUTED_VALUE"""),"GUILLERMO E. BILLINGHURST ")</f>
        <v>GUILLERMO E. BILLINGHURST </v>
      </c>
      <c r="C1943" s="213" t="str">
        <f>IFERROR(__xludf.DUMMYFUNCTION("""COMPUTED_VALUE"""),"TALLER SFT DE ELECTRICIDAD")</f>
        <v>TALLER SFT DE ELECTRICIDAD</v>
      </c>
      <c r="D1943" s="213" t="str">
        <f>IFERROR(__xludf.DUMMYFUNCTION("""COMPUTED_VALUE"""),"HERRAMIENTAS")</f>
        <v>HERRAMIENTAS</v>
      </c>
      <c r="E1943" s="213" t="str">
        <f>IFERROR(__xludf.DUMMYFUNCTION("""COMPUTED_VALUE"""),"MAT-163")</f>
        <v>MAT-163</v>
      </c>
      <c r="F1943" s="213" t="str">
        <f>IFERROR(__xludf.DUMMYFUNCTION("""COMPUTED_VALUE"""),"MAT-163-X")</f>
        <v>MAT-163-X</v>
      </c>
      <c r="G1943" s="213"/>
      <c r="H1943" s="213" t="str">
        <f>IFERROR(__xludf.DUMMYFUNCTION("""COMPUTED_VALUE"""),"EXTINTOR PQS")</f>
        <v>EXTINTOR PQS</v>
      </c>
      <c r="I1943" s="213"/>
      <c r="J1943" s="213">
        <f>IFERROR(__xludf.DUMMYFUNCTION("""COMPUTED_VALUE"""),3.0)</f>
        <v>3</v>
      </c>
      <c r="K1943" s="213" t="str">
        <f>IFERROR(__xludf.DUMMYFUNCTION("""COMPUTED_VALUE"""),"90 DÍAS CALENDARIO")</f>
        <v>90 DÍAS CALENDARIO</v>
      </c>
      <c r="L1943"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3" s="213">
        <f>IFERROR(__xludf.DUMMYFUNCTION("""COMPUTED_VALUE"""),1.0)</f>
        <v>1</v>
      </c>
      <c r="N1943" s="213">
        <f>IFERROR(__xludf.DUMMYFUNCTION("""COMPUTED_VALUE"""),1.0)</f>
        <v>1</v>
      </c>
      <c r="O1943" s="213">
        <f>IFERROR(__xludf.DUMMYFUNCTION("""COMPUTED_VALUE"""),1.0)</f>
        <v>1</v>
      </c>
      <c r="P1943" s="213"/>
      <c r="Q1943" s="213"/>
      <c r="R1943" s="213"/>
      <c r="S1943" s="213"/>
      <c r="T1943" s="213" t="str">
        <f>IFERROR(__xludf.DUMMYFUNCTION("""COMPUTED_VALUE"""),"CONSULTA FINAL")</f>
        <v>CONSULTA FINAL</v>
      </c>
      <c r="U1943" s="213" t="str">
        <f>IFERROR(__xludf.DUMMYFUNCTION("""COMPUTED_VALUE"""),"NO")</f>
        <v>NO</v>
      </c>
      <c r="V1943" s="213" t="str">
        <f>IFERROR(__xludf.DUMMYFUNCTION("""COMPUTED_VALUE"""),"NO")</f>
        <v>NO</v>
      </c>
      <c r="W1943" s="213" t="str">
        <f>IFERROR(__xludf.DUMMYFUNCTION("""COMPUTED_VALUE"""),"-")</f>
        <v>-</v>
      </c>
      <c r="X1943" s="213" t="str">
        <f>IFERROR(__xludf.DUMMYFUNCTION("""COMPUTED_VALUE"""),"FIREMAN'S")</f>
        <v>FIREMAN'S</v>
      </c>
      <c r="Y1943" s="213" t="str">
        <f>IFERROR(__xludf.DUMMYFUNCTION("""COMPUTED_VALUE"""),"Extintores Portátiles Manuales de Polvo Químico Seco")</f>
        <v>Extintores Portátiles Manuales de Polvo Químico Seco</v>
      </c>
      <c r="Z1943" s="215" t="str">
        <f>IFERROR(__xludf.DUMMYFUNCTION("""COMPUTED_VALUE"""),"https://firemansperu.com/productos/extintores-firemans/polvo-quimico-seco/")</f>
        <v>https://firemansperu.com/productos/extintores-firemans/polvo-quimico-seco/</v>
      </c>
      <c r="AA1943" s="213" t="str">
        <f>IFERROR(__xludf.DUMMYFUNCTION("""COMPUTED_VALUE"""),"MAT-163-X EXTINTOR PQS - CET")</f>
        <v>MAT-163-X EXTINTOR PQS - CET</v>
      </c>
      <c r="AB1943" s="213"/>
      <c r="AC1943" s="213"/>
      <c r="AD1943" s="213"/>
      <c r="AE1943" s="213"/>
      <c r="AF1943" s="213"/>
      <c r="AG1943" s="213"/>
      <c r="AH1943" s="213"/>
      <c r="AI1943" s="213"/>
      <c r="AJ1943" s="213"/>
      <c r="AK1943" s="213"/>
      <c r="AL1943" s="213"/>
      <c r="AM1943" s="213"/>
      <c r="AN1943" s="213"/>
      <c r="AO1943" s="213"/>
      <c r="AP1943" s="213" t="str">
        <f>IFERROR(__xludf.DUMMYFUNCTION("""COMPUTED_VALUE"""),"BRUNO")</f>
        <v>BRUNO</v>
      </c>
      <c r="AQ1943" s="213" t="str">
        <f>IFERROR(__xludf.DUMMYFUNCTION("""COMPUTED_VALUE"""),"añadir el Cuenta con precinto de seguridad. (consultar primero)")</f>
        <v>añadir el Cuenta con precinto de seguridad. (consultar primero)</v>
      </c>
      <c r="AR1943" s="213"/>
      <c r="AS1943" s="213"/>
      <c r="AT1943" s="213"/>
      <c r="AU1943" s="213"/>
      <c r="AV1943" s="213"/>
      <c r="AW1943" s="213"/>
      <c r="AX1943" s="213"/>
      <c r="AY1943" s="213"/>
      <c r="AZ1943" s="213"/>
      <c r="BA1943" s="213"/>
      <c r="BB1943" s="213"/>
      <c r="BC1943" s="213"/>
      <c r="BD1943" s="213"/>
    </row>
    <row r="1944">
      <c r="A1944" s="213">
        <f>IFERROR(__xludf.DUMMYFUNCTION("""COMPUTED_VALUE"""),1356.0)</f>
        <v>1356</v>
      </c>
      <c r="B1944" s="213" t="str">
        <f>IFERROR(__xludf.DUMMYFUNCTION("""COMPUTED_VALUE"""),"GUILLERMO E. BILLINGHURST ")</f>
        <v>GUILLERMO E. BILLINGHURST </v>
      </c>
      <c r="C1944" s="213" t="str">
        <f>IFERROR(__xludf.DUMMYFUNCTION("""COMPUTED_VALUE"""),"TALLER SFT DE INDUSTRIA ALIMENTARIA")</f>
        <v>TALLER SFT DE INDUSTRIA ALIMENTARIA</v>
      </c>
      <c r="D1944" s="213" t="str">
        <f>IFERROR(__xludf.DUMMYFUNCTION("""COMPUTED_VALUE"""),"HERRAMIENTAS")</f>
        <v>HERRAMIENTAS</v>
      </c>
      <c r="E1944" s="213" t="str">
        <f>IFERROR(__xludf.DUMMYFUNCTION("""COMPUTED_VALUE"""),"MAT-163")</f>
        <v>MAT-163</v>
      </c>
      <c r="F1944" s="213" t="str">
        <f>IFERROR(__xludf.DUMMYFUNCTION("""COMPUTED_VALUE"""),"MAT-163-X")</f>
        <v>MAT-163-X</v>
      </c>
      <c r="G1944" s="213"/>
      <c r="H1944" s="213" t="str">
        <f>IFERROR(__xludf.DUMMYFUNCTION("""COMPUTED_VALUE"""),"EXTINTOR PQS")</f>
        <v>EXTINTOR PQS</v>
      </c>
      <c r="I1944"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colgador de p"&amp;"ared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44" s="213">
        <f>IFERROR(__xludf.DUMMYFUNCTION("""COMPUTED_VALUE"""),3.0)</f>
        <v>3</v>
      </c>
      <c r="K1944" s="213" t="str">
        <f>IFERROR(__xludf.DUMMYFUNCTION("""COMPUTED_VALUE"""),"90 DÍAS CALENDARIO")</f>
        <v>90 DÍAS CALENDARIO</v>
      </c>
      <c r="L1944"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4" s="213">
        <f>IFERROR(__xludf.DUMMYFUNCTION("""COMPUTED_VALUE"""),1.0)</f>
        <v>1</v>
      </c>
      <c r="N1944" s="213">
        <f>IFERROR(__xludf.DUMMYFUNCTION("""COMPUTED_VALUE"""),1.0)</f>
        <v>1</v>
      </c>
      <c r="O1944" s="213">
        <f>IFERROR(__xludf.DUMMYFUNCTION("""COMPUTED_VALUE"""),1.0)</f>
        <v>1</v>
      </c>
      <c r="P1944" s="213"/>
      <c r="Q1944" s="213"/>
      <c r="R1944" s="213"/>
      <c r="S1944" s="213"/>
      <c r="T1944" s="213" t="str">
        <f>IFERROR(__xludf.DUMMYFUNCTION("""COMPUTED_VALUE"""),"CONSULTA FINAL")</f>
        <v>CONSULTA FINAL</v>
      </c>
      <c r="U1944" s="213" t="str">
        <f>IFERROR(__xludf.DUMMYFUNCTION("""COMPUTED_VALUE"""),"NO")</f>
        <v>NO</v>
      </c>
      <c r="V1944" s="213" t="str">
        <f>IFERROR(__xludf.DUMMYFUNCTION("""COMPUTED_VALUE"""),"NO")</f>
        <v>NO</v>
      </c>
      <c r="W1944" s="213" t="str">
        <f>IFERROR(__xludf.DUMMYFUNCTION("""COMPUTED_VALUE"""),"-")</f>
        <v>-</v>
      </c>
      <c r="X1944" s="213" t="str">
        <f>IFERROR(__xludf.DUMMYFUNCTION("""COMPUTED_VALUE"""),"FIREMAN'S")</f>
        <v>FIREMAN'S</v>
      </c>
      <c r="Y1944" s="213" t="str">
        <f>IFERROR(__xludf.DUMMYFUNCTION("""COMPUTED_VALUE"""),"Extintores Portátiles Manuales de Polvo Químico Seco")</f>
        <v>Extintores Portátiles Manuales de Polvo Químico Seco</v>
      </c>
      <c r="Z1944" s="215" t="str">
        <f>IFERROR(__xludf.DUMMYFUNCTION("""COMPUTED_VALUE"""),"https://firemansperu.com/productos/extintores-firemans/polvo-quimico-seco/")</f>
        <v>https://firemansperu.com/productos/extintores-firemans/polvo-quimico-seco/</v>
      </c>
      <c r="AA1944" s="213" t="str">
        <f>IFERROR(__xludf.DUMMYFUNCTION("""COMPUTED_VALUE"""),"MAT-163-X EXTINTOR PQS - CET")</f>
        <v>MAT-163-X EXTINTOR PQS - CET</v>
      </c>
      <c r="AB1944" s="213"/>
      <c r="AC1944" s="213"/>
      <c r="AD1944" s="213"/>
      <c r="AE1944" s="213"/>
      <c r="AF1944" s="213"/>
      <c r="AG1944" s="213"/>
      <c r="AH1944" s="213"/>
      <c r="AI1944" s="213"/>
      <c r="AJ1944" s="213"/>
      <c r="AK1944" s="213"/>
      <c r="AL1944" s="213"/>
      <c r="AM1944" s="213"/>
      <c r="AN1944" s="213"/>
      <c r="AO1944" s="213"/>
      <c r="AP1944" s="213" t="str">
        <f>IFERROR(__xludf.DUMMYFUNCTION("""COMPUTED_VALUE"""),"BRUNO")</f>
        <v>BRUNO</v>
      </c>
      <c r="AQ1944" s="213"/>
      <c r="AR1944" s="213"/>
      <c r="AS1944" s="213"/>
      <c r="AT1944" s="213"/>
      <c r="AU1944" s="213"/>
      <c r="AV1944" s="213"/>
      <c r="AW1944" s="213"/>
      <c r="AX1944" s="213"/>
      <c r="AY1944" s="213"/>
      <c r="AZ1944" s="213"/>
      <c r="BA1944" s="213"/>
      <c r="BB1944" s="213"/>
      <c r="BC1944" s="213"/>
      <c r="BD1944" s="213"/>
    </row>
    <row r="1945">
      <c r="A1945" s="213">
        <f>IFERROR(__xludf.DUMMYFUNCTION("""COMPUTED_VALUE"""),1358.0)</f>
        <v>1358</v>
      </c>
      <c r="B1945" s="213" t="str">
        <f>IFERROR(__xludf.DUMMYFUNCTION("""COMPUTED_VALUE"""),"GUILLERMO E. BILLINGHURST ")</f>
        <v>GUILLERMO E. BILLINGHURST </v>
      </c>
      <c r="C1945" s="213" t="str">
        <f>IFERROR(__xludf.DUMMYFUNCTION("""COMPUTED_VALUE"""),"TALLER SFT DE INDUSTRIA ALIMENTARIA")</f>
        <v>TALLER SFT DE INDUSTRIA ALIMENTARIA</v>
      </c>
      <c r="D1945" s="213" t="str">
        <f>IFERROR(__xludf.DUMMYFUNCTION("""COMPUTED_VALUE"""),"HERRAMIENTAS")</f>
        <v>HERRAMIENTAS</v>
      </c>
      <c r="E1945" s="213" t="str">
        <f>IFERROR(__xludf.DUMMYFUNCTION("""COMPUTED_VALUE"""),"MAT-163")</f>
        <v>MAT-163</v>
      </c>
      <c r="F1945" s="213" t="str">
        <f>IFERROR(__xludf.DUMMYFUNCTION("""COMPUTED_VALUE"""),"MAT-163-X")</f>
        <v>MAT-163-X</v>
      </c>
      <c r="G1945" s="213"/>
      <c r="H1945" s="213" t="str">
        <f>IFERROR(__xludf.DUMMYFUNCTION("""COMPUTED_VALUE"""),"EXTINTOR PQS")</f>
        <v>EXTINTOR PQS</v>
      </c>
      <c r="I1945"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colgador de p"&amp;"ared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45" s="213">
        <f>IFERROR(__xludf.DUMMYFUNCTION("""COMPUTED_VALUE"""),3.0)</f>
        <v>3</v>
      </c>
      <c r="K1945" s="213" t="str">
        <f>IFERROR(__xludf.DUMMYFUNCTION("""COMPUTED_VALUE"""),"90 DÍAS CALENDARIO")</f>
        <v>90 DÍAS CALENDARIO</v>
      </c>
      <c r="L1945"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5" s="213">
        <f>IFERROR(__xludf.DUMMYFUNCTION("""COMPUTED_VALUE"""),1.0)</f>
        <v>1</v>
      </c>
      <c r="N1945" s="213">
        <f>IFERROR(__xludf.DUMMYFUNCTION("""COMPUTED_VALUE"""),1.0)</f>
        <v>1</v>
      </c>
      <c r="O1945" s="213">
        <f>IFERROR(__xludf.DUMMYFUNCTION("""COMPUTED_VALUE"""),1.0)</f>
        <v>1</v>
      </c>
      <c r="P1945" s="213"/>
      <c r="Q1945" s="213"/>
      <c r="R1945" s="213"/>
      <c r="S1945" s="213"/>
      <c r="T1945" s="213" t="str">
        <f>IFERROR(__xludf.DUMMYFUNCTION("""COMPUTED_VALUE"""),"CONSULTA FINAL")</f>
        <v>CONSULTA FINAL</v>
      </c>
      <c r="U1945" s="213" t="str">
        <f>IFERROR(__xludf.DUMMYFUNCTION("""COMPUTED_VALUE"""),"NO")</f>
        <v>NO</v>
      </c>
      <c r="V1945" s="213" t="str">
        <f>IFERROR(__xludf.DUMMYFUNCTION("""COMPUTED_VALUE"""),"NO")</f>
        <v>NO</v>
      </c>
      <c r="W1945" s="213" t="str">
        <f>IFERROR(__xludf.DUMMYFUNCTION("""COMPUTED_VALUE"""),"-")</f>
        <v>-</v>
      </c>
      <c r="X1945" s="213" t="str">
        <f>IFERROR(__xludf.DUMMYFUNCTION("""COMPUTED_VALUE"""),"FIREMAN'S")</f>
        <v>FIREMAN'S</v>
      </c>
      <c r="Y1945" s="213" t="str">
        <f>IFERROR(__xludf.DUMMYFUNCTION("""COMPUTED_VALUE"""),"Extintores Portátiles Manuales de Polvo Químico Seco")</f>
        <v>Extintores Portátiles Manuales de Polvo Químico Seco</v>
      </c>
      <c r="Z1945" s="215" t="str">
        <f>IFERROR(__xludf.DUMMYFUNCTION("""COMPUTED_VALUE"""),"https://firemansperu.com/productos/extintores-firemans/polvo-quimico-seco/")</f>
        <v>https://firemansperu.com/productos/extintores-firemans/polvo-quimico-seco/</v>
      </c>
      <c r="AA1945" s="213" t="str">
        <f>IFERROR(__xludf.DUMMYFUNCTION("""COMPUTED_VALUE"""),"MAT-163-X EXTINTOR PQS - CET")</f>
        <v>MAT-163-X EXTINTOR PQS - CET</v>
      </c>
      <c r="AB1945" s="213"/>
      <c r="AC1945" s="213"/>
      <c r="AD1945" s="213"/>
      <c r="AE1945" s="213"/>
      <c r="AF1945" s="213"/>
      <c r="AG1945" s="213"/>
      <c r="AH1945" s="213"/>
      <c r="AI1945" s="213"/>
      <c r="AJ1945" s="213"/>
      <c r="AK1945" s="213"/>
      <c r="AL1945" s="213"/>
      <c r="AM1945" s="213"/>
      <c r="AN1945" s="213"/>
      <c r="AO1945" s="213"/>
      <c r="AP1945" s="213" t="str">
        <f>IFERROR(__xludf.DUMMYFUNCTION("""COMPUTED_VALUE"""),"BRUNO")</f>
        <v>BRUNO</v>
      </c>
      <c r="AQ1945" s="213"/>
      <c r="AR1945" s="213"/>
      <c r="AS1945" s="213"/>
      <c r="AT1945" s="213"/>
      <c r="AU1945" s="213"/>
      <c r="AV1945" s="213"/>
      <c r="AW1945" s="213"/>
      <c r="AX1945" s="213"/>
      <c r="AY1945" s="213"/>
      <c r="AZ1945" s="213"/>
      <c r="BA1945" s="213"/>
      <c r="BB1945" s="213"/>
      <c r="BC1945" s="213"/>
      <c r="BD1945" s="213"/>
    </row>
    <row r="1946">
      <c r="A1946" s="213">
        <f>IFERROR(__xludf.DUMMYFUNCTION("""COMPUTED_VALUE"""),1515.0)</f>
        <v>1515</v>
      </c>
      <c r="B1946" s="213" t="str">
        <f>IFERROR(__xludf.DUMMYFUNCTION("""COMPUTED_VALUE"""),"GUILLERMO E. BILLINGHURST ")</f>
        <v>GUILLERMO E. BILLINGHURST </v>
      </c>
      <c r="C1946" s="213" t="str">
        <f>IFERROR(__xludf.DUMMYFUNCTION("""COMPUTED_VALUE"""),"TALLER SFT DE MECÁNICA AUTOMOTRIZ")</f>
        <v>TALLER SFT DE MECÁNICA AUTOMOTRIZ</v>
      </c>
      <c r="D1946" s="213" t="str">
        <f>IFERROR(__xludf.DUMMYFUNCTION("""COMPUTED_VALUE"""),"HERRAMIENTAS")</f>
        <v>HERRAMIENTAS</v>
      </c>
      <c r="E1946" s="213" t="str">
        <f>IFERROR(__xludf.DUMMYFUNCTION("""COMPUTED_VALUE"""),"MAT-163")</f>
        <v>MAT-163</v>
      </c>
      <c r="F1946" s="213" t="str">
        <f>IFERROR(__xludf.DUMMYFUNCTION("""COMPUTED_VALUE"""),"MAT-163-X")</f>
        <v>MAT-163-X</v>
      </c>
      <c r="G1946" s="213"/>
      <c r="H1946" s="213" t="str">
        <f>IFERROR(__xludf.DUMMYFUNCTION("""COMPUTED_VALUE"""),"EXTINTOR PQS")</f>
        <v>EXTINTOR PQS</v>
      </c>
      <c r="I1946" s="213" t="str">
        <f>IFERROR(__xludf.DUMMYFUNCTION("""COMPUTED_VALUE"""),"Extintor de polvo químico seco PQS
Adecuado para uso en incendios de clase ABC Capacidad del agente: 5 Lb (2.27 Kg)
Rango de temperatura: -54° a 49°C. Tiempo de descarga: 14 segundos Cuenta con precinto de seguridad Con soporte colgador de pared
Certifica"&amp;"do de operatividad y vigencia de presión hidrostática (PH).
Tarjeta de inspección y etiqueta de mantenimiento conforme a la NTP 350.043-INDECI Certificación UL")</f>
        <v>Extintor de polvo químico seco PQS
Adecuado para uso en incendios de clase ABC Capacidad del agente: 5 Lb (2.27 Kg)
Rango de temperatura: -54° a 49°C. Tiempo de descarga: 14 segundos Cuenta con precinto de seguridad Con soporte colgador de pared
Certificado de operatividad y vigencia de presión hidrostática (PH).
Tarjeta de inspección y etiqueta de mantenimiento conforme a la NTP 350.043-INDECI Certificación UL</v>
      </c>
      <c r="J1946" s="213">
        <f>IFERROR(__xludf.DUMMYFUNCTION("""COMPUTED_VALUE"""),3.0)</f>
        <v>3</v>
      </c>
      <c r="K1946" s="213" t="str">
        <f>IFERROR(__xludf.DUMMYFUNCTION("""COMPUTED_VALUE"""),"90 DÍAS CALENDARIO")</f>
        <v>90 DÍAS CALENDARIO</v>
      </c>
      <c r="L1946"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6" s="213">
        <f>IFERROR(__xludf.DUMMYFUNCTION("""COMPUTED_VALUE"""),1.0)</f>
        <v>1</v>
      </c>
      <c r="N1946" s="213">
        <f>IFERROR(__xludf.DUMMYFUNCTION("""COMPUTED_VALUE"""),1.0)</f>
        <v>1</v>
      </c>
      <c r="O1946" s="213">
        <f>IFERROR(__xludf.DUMMYFUNCTION("""COMPUTED_VALUE"""),1.0)</f>
        <v>1</v>
      </c>
      <c r="P1946" s="213"/>
      <c r="Q1946" s="213"/>
      <c r="R1946" s="213"/>
      <c r="S1946" s="213"/>
      <c r="T1946" s="213" t="str">
        <f>IFERROR(__xludf.DUMMYFUNCTION("""COMPUTED_VALUE"""),"CONSULTA FINAL")</f>
        <v>CONSULTA FINAL</v>
      </c>
      <c r="U1946" s="213" t="str">
        <f>IFERROR(__xludf.DUMMYFUNCTION("""COMPUTED_VALUE"""),"NO")</f>
        <v>NO</v>
      </c>
      <c r="V1946" s="213" t="str">
        <f>IFERROR(__xludf.DUMMYFUNCTION("""COMPUTED_VALUE"""),"NO")</f>
        <v>NO</v>
      </c>
      <c r="W1946" s="213" t="str">
        <f>IFERROR(__xludf.DUMMYFUNCTION("""COMPUTED_VALUE"""),"-")</f>
        <v>-</v>
      </c>
      <c r="X1946" s="213" t="str">
        <f>IFERROR(__xludf.DUMMYFUNCTION("""COMPUTED_VALUE"""),"FIREMAN'S")</f>
        <v>FIREMAN'S</v>
      </c>
      <c r="Y1946" s="213" t="str">
        <f>IFERROR(__xludf.DUMMYFUNCTION("""COMPUTED_VALUE"""),"Extintores Portátiles Manuales de Polvo Químico Seco")</f>
        <v>Extintores Portátiles Manuales de Polvo Químico Seco</v>
      </c>
      <c r="Z1946" s="215" t="str">
        <f>IFERROR(__xludf.DUMMYFUNCTION("""COMPUTED_VALUE"""),"https://firemansperu.com/productos/extintores-firemans/polvo-quimico-seco/")</f>
        <v>https://firemansperu.com/productos/extintores-firemans/polvo-quimico-seco/</v>
      </c>
      <c r="AA1946" s="213" t="str">
        <f>IFERROR(__xludf.DUMMYFUNCTION("""COMPUTED_VALUE"""),"MAT-163-X EXTINTOR PQS - CET")</f>
        <v>MAT-163-X EXTINTOR PQS - CET</v>
      </c>
      <c r="AB1946" s="213"/>
      <c r="AC1946" s="213"/>
      <c r="AD1946" s="213"/>
      <c r="AE1946" s="213"/>
      <c r="AF1946" s="213"/>
      <c r="AG1946" s="213"/>
      <c r="AH1946" s="213"/>
      <c r="AI1946" s="213"/>
      <c r="AJ1946" s="213"/>
      <c r="AK1946" s="213"/>
      <c r="AL1946" s="213"/>
      <c r="AM1946" s="213"/>
      <c r="AN1946" s="213"/>
      <c r="AO1946" s="213"/>
      <c r="AP1946" s="213" t="str">
        <f>IFERROR(__xludf.DUMMYFUNCTION("""COMPUTED_VALUE"""),"BRUNO")</f>
        <v>BRUNO</v>
      </c>
      <c r="AQ1946" s="213"/>
      <c r="AR1946" s="213"/>
      <c r="AS1946" s="213"/>
      <c r="AT1946" s="213"/>
      <c r="AU1946" s="213"/>
      <c r="AV1946" s="213"/>
      <c r="AW1946" s="213"/>
      <c r="AX1946" s="213"/>
      <c r="AY1946" s="213"/>
      <c r="AZ1946" s="213"/>
      <c r="BA1946" s="213"/>
      <c r="BB1946" s="213"/>
      <c r="BC1946" s="213"/>
      <c r="BD1946" s="213"/>
    </row>
    <row r="1947">
      <c r="A1947" s="213">
        <f>IFERROR(__xludf.DUMMYFUNCTION("""COMPUTED_VALUE"""),1678.0)</f>
        <v>1678</v>
      </c>
      <c r="B1947" s="213" t="str">
        <f>IFERROR(__xludf.DUMMYFUNCTION("""COMPUTED_VALUE"""),"GUILLERMO E. BILLINGHURST ")</f>
        <v>GUILLERMO E. BILLINGHURST </v>
      </c>
      <c r="C1947" s="213" t="str">
        <f>IFERROR(__xludf.DUMMYFUNCTION("""COMPUTED_VALUE"""),"TALLER SFT DE COMPUTACIÓN E INFORMÁTICA")</f>
        <v>TALLER SFT DE COMPUTACIÓN E INFORMÁTICA</v>
      </c>
      <c r="D1947" s="213" t="str">
        <f>IFERROR(__xludf.DUMMYFUNCTION("""COMPUTED_VALUE"""),"HERRAMIENTAS")</f>
        <v>HERRAMIENTAS</v>
      </c>
      <c r="E1947" s="213" t="str">
        <f>IFERROR(__xludf.DUMMYFUNCTION("""COMPUTED_VALUE"""),"MAT-163")</f>
        <v>MAT-163</v>
      </c>
      <c r="F1947" s="213" t="str">
        <f>IFERROR(__xludf.DUMMYFUNCTION("""COMPUTED_VALUE"""),"MAT-163-X")</f>
        <v>MAT-163-X</v>
      </c>
      <c r="G1947" s="213"/>
      <c r="H1947" s="213" t="str">
        <f>IFERROR(__xludf.DUMMYFUNCTION("""COMPUTED_VALUE"""),"EXTINTOR PQS")</f>
        <v>EXTINTOR PQS</v>
      </c>
      <c r="I1947"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colgad"&amp;"or de 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47" s="213">
        <f>IFERROR(__xludf.DUMMYFUNCTION("""COMPUTED_VALUE"""),3.0)</f>
        <v>3</v>
      </c>
      <c r="K1947" s="213" t="str">
        <f>IFERROR(__xludf.DUMMYFUNCTION("""COMPUTED_VALUE"""),"90 DÍAS CALENDARIO")</f>
        <v>90 DÍAS CALENDARIO</v>
      </c>
      <c r="L1947"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7" s="213">
        <f>IFERROR(__xludf.DUMMYFUNCTION("""COMPUTED_VALUE"""),1.0)</f>
        <v>1</v>
      </c>
      <c r="N1947" s="213">
        <f>IFERROR(__xludf.DUMMYFUNCTION("""COMPUTED_VALUE"""),1.0)</f>
        <v>1</v>
      </c>
      <c r="O1947" s="213">
        <f>IFERROR(__xludf.DUMMYFUNCTION("""COMPUTED_VALUE"""),1.0)</f>
        <v>1</v>
      </c>
      <c r="P1947" s="213"/>
      <c r="Q1947" s="213"/>
      <c r="R1947" s="213"/>
      <c r="S1947" s="213"/>
      <c r="T1947" s="213" t="str">
        <f>IFERROR(__xludf.DUMMYFUNCTION("""COMPUTED_VALUE"""),"CONSULTA FINAL")</f>
        <v>CONSULTA FINAL</v>
      </c>
      <c r="U1947" s="213" t="str">
        <f>IFERROR(__xludf.DUMMYFUNCTION("""COMPUTED_VALUE"""),"NO")</f>
        <v>NO</v>
      </c>
      <c r="V1947" s="213" t="str">
        <f>IFERROR(__xludf.DUMMYFUNCTION("""COMPUTED_VALUE"""),"NO")</f>
        <v>NO</v>
      </c>
      <c r="W1947" s="213" t="str">
        <f>IFERROR(__xludf.DUMMYFUNCTION("""COMPUTED_VALUE"""),"-")</f>
        <v>-</v>
      </c>
      <c r="X1947" s="213" t="str">
        <f>IFERROR(__xludf.DUMMYFUNCTION("""COMPUTED_VALUE"""),"FIREMAN'S")</f>
        <v>FIREMAN'S</v>
      </c>
      <c r="Y1947" s="213" t="str">
        <f>IFERROR(__xludf.DUMMYFUNCTION("""COMPUTED_VALUE"""),"Extintores Portátiles Manuales de Polvo Químico Seco")</f>
        <v>Extintores Portátiles Manuales de Polvo Químico Seco</v>
      </c>
      <c r="Z1947" s="215" t="str">
        <f>IFERROR(__xludf.DUMMYFUNCTION("""COMPUTED_VALUE"""),"https://firemansperu.com/productos/extintores-firemans/polvo-quimico-seco/")</f>
        <v>https://firemansperu.com/productos/extintores-firemans/polvo-quimico-seco/</v>
      </c>
      <c r="AA1947" s="213" t="str">
        <f>IFERROR(__xludf.DUMMYFUNCTION("""COMPUTED_VALUE"""),"MAT-163-X EXTINTOR PQS - CET")</f>
        <v>MAT-163-X EXTINTOR PQS - CET</v>
      </c>
      <c r="AB1947" s="213"/>
      <c r="AC1947" s="213"/>
      <c r="AD1947" s="213"/>
      <c r="AE1947" s="213"/>
      <c r="AF1947" s="213"/>
      <c r="AG1947" s="213"/>
      <c r="AH1947" s="213"/>
      <c r="AI1947" s="213"/>
      <c r="AJ1947" s="213"/>
      <c r="AK1947" s="213"/>
      <c r="AL1947" s="213"/>
      <c r="AM1947" s="213"/>
      <c r="AN1947" s="213"/>
      <c r="AO1947" s="213"/>
      <c r="AP1947" s="213" t="str">
        <f>IFERROR(__xludf.DUMMYFUNCTION("""COMPUTED_VALUE"""),"BRUNO")</f>
        <v>BRUNO</v>
      </c>
      <c r="AQ1947" s="213"/>
      <c r="AR1947" s="213"/>
      <c r="AS1947" s="213"/>
      <c r="AT1947" s="213"/>
      <c r="AU1947" s="213"/>
      <c r="AV1947" s="213"/>
      <c r="AW1947" s="213"/>
      <c r="AX1947" s="213"/>
      <c r="AY1947" s="213"/>
      <c r="AZ1947" s="213"/>
      <c r="BA1947" s="213"/>
      <c r="BB1947" s="213"/>
      <c r="BC1947" s="213"/>
      <c r="BD1947" s="213"/>
    </row>
    <row r="1948">
      <c r="A1948" s="213">
        <f>IFERROR(__xludf.DUMMYFUNCTION("""COMPUTED_VALUE"""),1771.0)</f>
        <v>1771</v>
      </c>
      <c r="B1948" s="213" t="str">
        <f>IFERROR(__xludf.DUMMYFUNCTION("""COMPUTED_VALUE"""),"GUILLERMO E. BILLINGHURST ")</f>
        <v>GUILLERMO E. BILLINGHURST </v>
      </c>
      <c r="C1948" s="213" t="str">
        <f>IFERROR(__xludf.DUMMYFUNCTION("""COMPUTED_VALUE"""),"TALLER SFT DE EBANISTERÍA")</f>
        <v>TALLER SFT DE EBANISTERÍA</v>
      </c>
      <c r="D1948" s="213" t="str">
        <f>IFERROR(__xludf.DUMMYFUNCTION("""COMPUTED_VALUE"""),"HERRAMIENTAS")</f>
        <v>HERRAMIENTAS</v>
      </c>
      <c r="E1948" s="213" t="str">
        <f>IFERROR(__xludf.DUMMYFUNCTION("""COMPUTED_VALUE"""),"MAT-163")</f>
        <v>MAT-163</v>
      </c>
      <c r="F1948" s="213" t="str">
        <f>IFERROR(__xludf.DUMMYFUNCTION("""COMPUTED_VALUE"""),"MAT-163-X")</f>
        <v>MAT-163-X</v>
      </c>
      <c r="G1948" s="213"/>
      <c r="H1948" s="213" t="str">
        <f>IFERROR(__xludf.DUMMYFUNCTION("""COMPUTED_VALUE"""),"EXTINTOR PQS")</f>
        <v>EXTINTOR PQS</v>
      </c>
      <c r="I1948" s="213" t="str">
        <f>IFERROR(__xludf.DUMMYFUNCTION("""COMPUTED_VALUE"""),"Extintor de polvo químico seco PQS
Adecuado para uso en incendios de clase ABC Capacidad del agente: 5 Lb (2.27 Kg)
Rango de temperatura: -54° a 49°C. Tiempo de descarga: 14 segundos Cuenta con precinto de seguridad Con soporte colgador de pared
Certifica"&amp;"do de operatividad y vigencia de presión hidrostática (PH).
Tarjeta de inspección y etiqueta de mantenimiento conforme a la NTP 350.043-INDECI Certificación UL")</f>
        <v>Extintor de polvo químico seco PQS
Adecuado para uso en incendios de clase ABC Capacidad del agente: 5 Lb (2.27 Kg)
Rango de temperatura: -54° a 49°C. Tiempo de descarga: 14 segundos Cuenta con precinto de seguridad Con soporte colgador de pared
Certificado de operatividad y vigencia de presión hidrostática (PH).
Tarjeta de inspección y etiqueta de mantenimiento conforme a la NTP 350.043-INDECI Certificación UL</v>
      </c>
      <c r="J1948" s="213">
        <f>IFERROR(__xludf.DUMMYFUNCTION("""COMPUTED_VALUE"""),3.0)</f>
        <v>3</v>
      </c>
      <c r="K1948" s="213" t="str">
        <f>IFERROR(__xludf.DUMMYFUNCTION("""COMPUTED_VALUE"""),"90 DÍAS CALENDARIO")</f>
        <v>90 DÍAS CALENDARIO</v>
      </c>
      <c r="L1948"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8" s="213">
        <f>IFERROR(__xludf.DUMMYFUNCTION("""COMPUTED_VALUE"""),1.0)</f>
        <v>1</v>
      </c>
      <c r="N1948" s="213">
        <f>IFERROR(__xludf.DUMMYFUNCTION("""COMPUTED_VALUE"""),2.0)</f>
        <v>2</v>
      </c>
      <c r="O1948" s="213">
        <f>IFERROR(__xludf.DUMMYFUNCTION("""COMPUTED_VALUE"""),2.0)</f>
        <v>2</v>
      </c>
      <c r="P1948" s="213"/>
      <c r="Q1948" s="213"/>
      <c r="R1948" s="213"/>
      <c r="S1948" s="213"/>
      <c r="T1948" s="213" t="str">
        <f>IFERROR(__xludf.DUMMYFUNCTION("""COMPUTED_VALUE"""),"CONSULTA FINAL")</f>
        <v>CONSULTA FINAL</v>
      </c>
      <c r="U1948" s="213" t="str">
        <f>IFERROR(__xludf.DUMMYFUNCTION("""COMPUTED_VALUE"""),"NO")</f>
        <v>NO</v>
      </c>
      <c r="V1948" s="213" t="str">
        <f>IFERROR(__xludf.DUMMYFUNCTION("""COMPUTED_VALUE"""),"NO")</f>
        <v>NO</v>
      </c>
      <c r="W1948" s="213" t="str">
        <f>IFERROR(__xludf.DUMMYFUNCTION("""COMPUTED_VALUE"""),"-")</f>
        <v>-</v>
      </c>
      <c r="X1948" s="213" t="str">
        <f>IFERROR(__xludf.DUMMYFUNCTION("""COMPUTED_VALUE"""),"FIREMAN'S")</f>
        <v>FIREMAN'S</v>
      </c>
      <c r="Y1948" s="213" t="str">
        <f>IFERROR(__xludf.DUMMYFUNCTION("""COMPUTED_VALUE"""),"Extintores Portátiles Manuales de Polvo Químico Seco")</f>
        <v>Extintores Portátiles Manuales de Polvo Químico Seco</v>
      </c>
      <c r="Z1948" s="215" t="str">
        <f>IFERROR(__xludf.DUMMYFUNCTION("""COMPUTED_VALUE"""),"https://firemansperu.com/productos/extintores-firemans/polvo-quimico-seco/")</f>
        <v>https://firemansperu.com/productos/extintores-firemans/polvo-quimico-seco/</v>
      </c>
      <c r="AA1948" s="213" t="str">
        <f>IFERROR(__xludf.DUMMYFUNCTION("""COMPUTED_VALUE"""),"MAT-163-X EXTINTOR PQS - CET")</f>
        <v>MAT-163-X EXTINTOR PQS - CET</v>
      </c>
      <c r="AB1948" s="213"/>
      <c r="AC1948" s="213"/>
      <c r="AD1948" s="213"/>
      <c r="AE1948" s="213"/>
      <c r="AF1948" s="213"/>
      <c r="AG1948" s="213"/>
      <c r="AH1948" s="213"/>
      <c r="AI1948" s="213"/>
      <c r="AJ1948" s="213"/>
      <c r="AK1948" s="213"/>
      <c r="AL1948" s="213"/>
      <c r="AM1948" s="213"/>
      <c r="AN1948" s="213"/>
      <c r="AO1948" s="213"/>
      <c r="AP1948" s="213" t="str">
        <f>IFERROR(__xludf.DUMMYFUNCTION("""COMPUTED_VALUE"""),"BRUNO")</f>
        <v>BRUNO</v>
      </c>
      <c r="AQ1948" s="213"/>
      <c r="AR1948" s="213"/>
      <c r="AS1948" s="213"/>
      <c r="AT1948" s="213"/>
      <c r="AU1948" s="213"/>
      <c r="AV1948" s="213"/>
      <c r="AW1948" s="213"/>
      <c r="AX1948" s="213"/>
      <c r="AY1948" s="213"/>
      <c r="AZ1948" s="213"/>
      <c r="BA1948" s="213"/>
      <c r="BB1948" s="213"/>
      <c r="BC1948" s="213"/>
      <c r="BD1948" s="213"/>
    </row>
    <row r="1949">
      <c r="A1949" s="213">
        <f>IFERROR(__xludf.DUMMYFUNCTION("""COMPUTED_VALUE"""),1929.0)</f>
        <v>1929</v>
      </c>
      <c r="B1949" s="213" t="str">
        <f>IFERROR(__xludf.DUMMYFUNCTION("""COMPUTED_VALUE"""),"JOSE GRANDA")</f>
        <v>JOSE GRANDA</v>
      </c>
      <c r="C1949" s="213" t="str">
        <f>IFERROR(__xludf.DUMMYFUNCTION("""COMPUTED_VALUE"""),"TALLER SFT DE COMPUTACIÓN E INFORMÁTICA")</f>
        <v>TALLER SFT DE COMPUTACIÓN E INFORMÁTICA</v>
      </c>
      <c r="D1949" s="213" t="str">
        <f>IFERROR(__xludf.DUMMYFUNCTION("""COMPUTED_VALUE"""),"HERRAMIENTAS")</f>
        <v>HERRAMIENTAS</v>
      </c>
      <c r="E1949" s="213" t="str">
        <f>IFERROR(__xludf.DUMMYFUNCTION("""COMPUTED_VALUE"""),"MAT-163")</f>
        <v>MAT-163</v>
      </c>
      <c r="F1949" s="213" t="str">
        <f>IFERROR(__xludf.DUMMYFUNCTION("""COMPUTED_VALUE"""),"MAT-163-X")</f>
        <v>MAT-163-X</v>
      </c>
      <c r="G1949" s="213"/>
      <c r="H1949" s="213" t="str">
        <f>IFERROR(__xludf.DUMMYFUNCTION("""COMPUTED_VALUE"""),"EXTINTOR PQS")</f>
        <v>EXTINTOR PQS</v>
      </c>
      <c r="I1949"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colgad"&amp;"or de 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49" s="213">
        <f>IFERROR(__xludf.DUMMYFUNCTION("""COMPUTED_VALUE"""),3.0)</f>
        <v>3</v>
      </c>
      <c r="K1949" s="213" t="str">
        <f>IFERROR(__xludf.DUMMYFUNCTION("""COMPUTED_VALUE"""),"90 DÍAS CALENDARIO")</f>
        <v>90 DÍAS CALENDARIO</v>
      </c>
      <c r="L1949"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49" s="213">
        <f>IFERROR(__xludf.DUMMYFUNCTION("""COMPUTED_VALUE"""),1.0)</f>
        <v>1</v>
      </c>
      <c r="N1949" s="213">
        <f>IFERROR(__xludf.DUMMYFUNCTION("""COMPUTED_VALUE"""),1.0)</f>
        <v>1</v>
      </c>
      <c r="O1949" s="213">
        <f>IFERROR(__xludf.DUMMYFUNCTION("""COMPUTED_VALUE"""),1.0)</f>
        <v>1</v>
      </c>
      <c r="P1949" s="213"/>
      <c r="Q1949" s="213"/>
      <c r="R1949" s="213"/>
      <c r="S1949" s="213"/>
      <c r="T1949" s="213" t="str">
        <f>IFERROR(__xludf.DUMMYFUNCTION("""COMPUTED_VALUE"""),"CONSULTA FINAL")</f>
        <v>CONSULTA FINAL</v>
      </c>
      <c r="U1949" s="213" t="str">
        <f>IFERROR(__xludf.DUMMYFUNCTION("""COMPUTED_VALUE"""),"NO")</f>
        <v>NO</v>
      </c>
      <c r="V1949" s="213" t="str">
        <f>IFERROR(__xludf.DUMMYFUNCTION("""COMPUTED_VALUE"""),"NO")</f>
        <v>NO</v>
      </c>
      <c r="W1949" s="213" t="str">
        <f>IFERROR(__xludf.DUMMYFUNCTION("""COMPUTED_VALUE"""),"-")</f>
        <v>-</v>
      </c>
      <c r="X1949" s="213" t="str">
        <f>IFERROR(__xludf.DUMMYFUNCTION("""COMPUTED_VALUE"""),"FIREMAN'S")</f>
        <v>FIREMAN'S</v>
      </c>
      <c r="Y1949" s="213" t="str">
        <f>IFERROR(__xludf.DUMMYFUNCTION("""COMPUTED_VALUE"""),"Extintores Portátiles Manuales de Polvo Químico Seco")</f>
        <v>Extintores Portátiles Manuales de Polvo Químico Seco</v>
      </c>
      <c r="Z1949" s="215" t="str">
        <f>IFERROR(__xludf.DUMMYFUNCTION("""COMPUTED_VALUE"""),"https://firemansperu.com/productos/extintores-firemans/polvo-quimico-seco/")</f>
        <v>https://firemansperu.com/productos/extintores-firemans/polvo-quimico-seco/</v>
      </c>
      <c r="AA1949" s="213" t="str">
        <f>IFERROR(__xludf.DUMMYFUNCTION("""COMPUTED_VALUE"""),"MAT-163-X EXTINTOR PQS - CET")</f>
        <v>MAT-163-X EXTINTOR PQS - CET</v>
      </c>
      <c r="AB1949" s="213"/>
      <c r="AC1949" s="213"/>
      <c r="AD1949" s="213"/>
      <c r="AE1949" s="213"/>
      <c r="AF1949" s="213"/>
      <c r="AG1949" s="213"/>
      <c r="AH1949" s="213"/>
      <c r="AI1949" s="213"/>
      <c r="AJ1949" s="213"/>
      <c r="AK1949" s="213"/>
      <c r="AL1949" s="213"/>
      <c r="AM1949" s="213"/>
      <c r="AN1949" s="213"/>
      <c r="AO1949" s="213"/>
      <c r="AP1949" s="213" t="str">
        <f>IFERROR(__xludf.DUMMYFUNCTION("""COMPUTED_VALUE"""),"BRUNO")</f>
        <v>BRUNO</v>
      </c>
      <c r="AQ1949" s="213"/>
      <c r="AR1949" s="213"/>
      <c r="AS1949" s="213"/>
      <c r="AT1949" s="213"/>
      <c r="AU1949" s="213"/>
      <c r="AV1949" s="213"/>
      <c r="AW1949" s="213"/>
      <c r="AX1949" s="213"/>
      <c r="AY1949" s="213"/>
      <c r="AZ1949" s="213"/>
      <c r="BA1949" s="213"/>
      <c r="BB1949" s="213"/>
      <c r="BC1949" s="213"/>
      <c r="BD1949" s="213"/>
    </row>
    <row r="1950">
      <c r="A1950" s="213">
        <f>IFERROR(__xludf.DUMMYFUNCTION("""COMPUTED_VALUE"""),2040.0)</f>
        <v>2040</v>
      </c>
      <c r="B1950" s="213" t="str">
        <f>IFERROR(__xludf.DUMMYFUNCTION("""COMPUTED_VALUE"""),"JOSE GRANDA")</f>
        <v>JOSE GRANDA</v>
      </c>
      <c r="C1950" s="213" t="str">
        <f>IFERROR(__xludf.DUMMYFUNCTION("""COMPUTED_VALUE"""),"TALLER SFT DE INDUSTRIA ALIMENTARIA")</f>
        <v>TALLER SFT DE INDUSTRIA ALIMENTARIA</v>
      </c>
      <c r="D1950" s="213" t="str">
        <f>IFERROR(__xludf.DUMMYFUNCTION("""COMPUTED_VALUE"""),"HERRAMIENTAS")</f>
        <v>HERRAMIENTAS</v>
      </c>
      <c r="E1950" s="213" t="str">
        <f>IFERROR(__xludf.DUMMYFUNCTION("""COMPUTED_VALUE"""),"MAT-163")</f>
        <v>MAT-163</v>
      </c>
      <c r="F1950" s="213" t="str">
        <f>IFERROR(__xludf.DUMMYFUNCTION("""COMPUTED_VALUE"""),"MAT-163-X")</f>
        <v>MAT-163-X</v>
      </c>
      <c r="G1950" s="213"/>
      <c r="H1950" s="213" t="str">
        <f>IFERROR(__xludf.DUMMYFUNCTION("""COMPUTED_VALUE"""),"EXTINTOR PQS")</f>
        <v>EXTINTOR PQS</v>
      </c>
      <c r="I1950" s="213" t="str">
        <f>IFERROR(__xludf.DUMMYFUNCTION("""COMPUTED_VALUE"""),"· Extintor de polvo químico seco PQS
· Adecuado para uso en incendios de clase ABC
· Capacidad del agente: 5 Lb (2.27 Kg)
· Rango de temperatura: -54° a 49°C.
· Tiempo de descarga: 14 segundos
· Cuenta con precinto de seguridad
· Con soporte colgador de p"&amp;"ared
· Certificado de operatividad y vigencia de presión hidrostática (PH).
· Tarjeta de inspección y etiqueta de mantenimiento conforme a la NTP 350.043-INDECI
· Certificación UL")</f>
        <v>· Extintor de polvo químico seco PQS
· Adecuado para uso en incendios de clase ABC
· Capacidad del agente: 5 Lb (2.27 Kg)
· Rango de temperatura: -54° a 49°C.
· Tiempo de descarga: 14 segundos
· Cuenta con precinto de seguridad
· Con soporte colgador de pared
· Certificado de operatividad y vigencia de presión hidrostática (PH).
· Tarjeta de inspección y etiqueta de mantenimiento conforme a la NTP 350.043-INDECI
· Certificación UL</v>
      </c>
      <c r="J1950" s="213">
        <f>IFERROR(__xludf.DUMMYFUNCTION("""COMPUTED_VALUE"""),3.0)</f>
        <v>3</v>
      </c>
      <c r="K1950" s="213" t="str">
        <f>IFERROR(__xludf.DUMMYFUNCTION("""COMPUTED_VALUE"""),"90 DÍAS CALENDARIO")</f>
        <v>90 DÍAS CALENDARIO</v>
      </c>
      <c r="L1950"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50" s="213">
        <f>IFERROR(__xludf.DUMMYFUNCTION("""COMPUTED_VALUE"""),1.0)</f>
        <v>1</v>
      </c>
      <c r="N1950" s="213">
        <f>IFERROR(__xludf.DUMMYFUNCTION("""COMPUTED_VALUE"""),2.0)</f>
        <v>2</v>
      </c>
      <c r="O1950" s="213">
        <f>IFERROR(__xludf.DUMMYFUNCTION("""COMPUTED_VALUE"""),2.0)</f>
        <v>2</v>
      </c>
      <c r="P1950" s="213"/>
      <c r="Q1950" s="213"/>
      <c r="R1950" s="213"/>
      <c r="S1950" s="213"/>
      <c r="T1950" s="213" t="str">
        <f>IFERROR(__xludf.DUMMYFUNCTION("""COMPUTED_VALUE"""),"CONSULTA FINAL")</f>
        <v>CONSULTA FINAL</v>
      </c>
      <c r="U1950" s="213" t="str">
        <f>IFERROR(__xludf.DUMMYFUNCTION("""COMPUTED_VALUE"""),"NO")</f>
        <v>NO</v>
      </c>
      <c r="V1950" s="213" t="str">
        <f>IFERROR(__xludf.DUMMYFUNCTION("""COMPUTED_VALUE"""),"NO")</f>
        <v>NO</v>
      </c>
      <c r="W1950" s="213" t="str">
        <f>IFERROR(__xludf.DUMMYFUNCTION("""COMPUTED_VALUE"""),"-")</f>
        <v>-</v>
      </c>
      <c r="X1950" s="213" t="str">
        <f>IFERROR(__xludf.DUMMYFUNCTION("""COMPUTED_VALUE"""),"FIREMAN'S")</f>
        <v>FIREMAN'S</v>
      </c>
      <c r="Y1950" s="213" t="str">
        <f>IFERROR(__xludf.DUMMYFUNCTION("""COMPUTED_VALUE"""),"Extintores Portátiles Manuales de Polvo Químico Seco")</f>
        <v>Extintores Portátiles Manuales de Polvo Químico Seco</v>
      </c>
      <c r="Z1950" s="215" t="str">
        <f>IFERROR(__xludf.DUMMYFUNCTION("""COMPUTED_VALUE"""),"https://firemansperu.com/productos/extintores-firemans/polvo-quimico-seco/")</f>
        <v>https://firemansperu.com/productos/extintores-firemans/polvo-quimico-seco/</v>
      </c>
      <c r="AA1950" s="213" t="str">
        <f>IFERROR(__xludf.DUMMYFUNCTION("""COMPUTED_VALUE"""),"MAT-163-X EXTINTOR PQS - CET")</f>
        <v>MAT-163-X EXTINTOR PQS - CET</v>
      </c>
      <c r="AB1950" s="213"/>
      <c r="AC1950" s="213"/>
      <c r="AD1950" s="213"/>
      <c r="AE1950" s="213"/>
      <c r="AF1950" s="213"/>
      <c r="AG1950" s="213"/>
      <c r="AH1950" s="213"/>
      <c r="AI1950" s="213"/>
      <c r="AJ1950" s="213"/>
      <c r="AK1950" s="213"/>
      <c r="AL1950" s="213"/>
      <c r="AM1950" s="213"/>
      <c r="AN1950" s="213"/>
      <c r="AO1950" s="213"/>
      <c r="AP1950" s="213" t="str">
        <f>IFERROR(__xludf.DUMMYFUNCTION("""COMPUTED_VALUE"""),"BRUNO")</f>
        <v>BRUNO</v>
      </c>
      <c r="AQ1950" s="213"/>
      <c r="AR1950" s="213"/>
      <c r="AS1950" s="213"/>
      <c r="AT1950" s="213"/>
      <c r="AU1950" s="213"/>
      <c r="AV1950" s="213"/>
      <c r="AW1950" s="213"/>
      <c r="AX1950" s="213"/>
      <c r="AY1950" s="213"/>
      <c r="AZ1950" s="213"/>
      <c r="BA1950" s="213"/>
      <c r="BB1950" s="213"/>
      <c r="BC1950" s="213"/>
      <c r="BD1950" s="213"/>
    </row>
    <row r="1951">
      <c r="A1951" s="213">
        <f>IFERROR(__xludf.DUMMYFUNCTION("""COMPUTED_VALUE"""),2201.0)</f>
        <v>2201</v>
      </c>
      <c r="B1951" s="213" t="str">
        <f>IFERROR(__xludf.DUMMYFUNCTION("""COMPUTED_VALUE"""),"JOSE GRANDA")</f>
        <v>JOSE GRANDA</v>
      </c>
      <c r="C1951" s="213" t="str">
        <f>IFERROR(__xludf.DUMMYFUNCTION("""COMPUTED_VALUE"""),"TALLER SFT DE MECÁNICA AUTOMOTRIZ")</f>
        <v>TALLER SFT DE MECÁNICA AUTOMOTRIZ</v>
      </c>
      <c r="D1951" s="213" t="str">
        <f>IFERROR(__xludf.DUMMYFUNCTION("""COMPUTED_VALUE"""),"HERRAMIENTAS")</f>
        <v>HERRAMIENTAS</v>
      </c>
      <c r="E1951" s="213" t="str">
        <f>IFERROR(__xludf.DUMMYFUNCTION("""COMPUTED_VALUE"""),"MAT-163")</f>
        <v>MAT-163</v>
      </c>
      <c r="F1951" s="213" t="str">
        <f>IFERROR(__xludf.DUMMYFUNCTION("""COMPUTED_VALUE"""),"MAT-163-X")</f>
        <v>MAT-163-X</v>
      </c>
      <c r="G1951" s="213"/>
      <c r="H1951" s="213" t="str">
        <f>IFERROR(__xludf.DUMMYFUNCTION("""COMPUTED_VALUE"""),"EXTINTOR PQS")</f>
        <v>EXTINTOR PQS</v>
      </c>
      <c r="I1951" s="213" t="str">
        <f>IFERROR(__xludf.DUMMYFUNCTION("""COMPUTED_VALUE"""),"Extintor de polvo químico seco PQS
Adecuado para uso en incendios de clase ABC Capacidad del agente: 5 Lb (2.27 Kg)
Rango de temperatura: -54° a 49°C. Tiempo de descarga: 14 segundos Cuenta con precinto de seguridad Con soporte colgador de pared
Certifica"&amp;"do de operatividad y vigencia de presión hidrostática (PH).
Tarjeta de inspección y etiqueta de mantenimiento conforme a la NTP 350.043-INDECI Certificación UL")</f>
        <v>Extintor de polvo químico seco PQS
Adecuado para uso en incendios de clase ABC Capacidad del agente: 5 Lb (2.27 Kg)
Rango de temperatura: -54° a 49°C. Tiempo de descarga: 14 segundos Cuenta con precinto de seguridad Con soporte colgador de pared
Certificado de operatividad y vigencia de presión hidrostática (PH).
Tarjeta de inspección y etiqueta de mantenimiento conforme a la NTP 350.043-INDECI Certificación UL</v>
      </c>
      <c r="J1951" s="213">
        <f>IFERROR(__xludf.DUMMYFUNCTION("""COMPUTED_VALUE"""),3.0)</f>
        <v>3</v>
      </c>
      <c r="K1951" s="213" t="str">
        <f>IFERROR(__xludf.DUMMYFUNCTION("""COMPUTED_VALUE"""),"90 DÍAS CALENDARIO")</f>
        <v>90 DÍAS CALENDARIO</v>
      </c>
      <c r="L1951"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51" s="213">
        <f>IFERROR(__xludf.DUMMYFUNCTION("""COMPUTED_VALUE"""),1.0)</f>
        <v>1</v>
      </c>
      <c r="N1951" s="213">
        <f>IFERROR(__xludf.DUMMYFUNCTION("""COMPUTED_VALUE"""),1.0)</f>
        <v>1</v>
      </c>
      <c r="O1951" s="213">
        <f>IFERROR(__xludf.DUMMYFUNCTION("""COMPUTED_VALUE"""),1.0)</f>
        <v>1</v>
      </c>
      <c r="P1951" s="213"/>
      <c r="Q1951" s="213"/>
      <c r="R1951" s="213"/>
      <c r="S1951" s="213"/>
      <c r="T1951" s="213" t="str">
        <f>IFERROR(__xludf.DUMMYFUNCTION("""COMPUTED_VALUE"""),"CONSULTA FINAL")</f>
        <v>CONSULTA FINAL</v>
      </c>
      <c r="U1951" s="213" t="str">
        <f>IFERROR(__xludf.DUMMYFUNCTION("""COMPUTED_VALUE"""),"NO")</f>
        <v>NO</v>
      </c>
      <c r="V1951" s="213" t="str">
        <f>IFERROR(__xludf.DUMMYFUNCTION("""COMPUTED_VALUE"""),"NO")</f>
        <v>NO</v>
      </c>
      <c r="W1951" s="213" t="str">
        <f>IFERROR(__xludf.DUMMYFUNCTION("""COMPUTED_VALUE"""),"-")</f>
        <v>-</v>
      </c>
      <c r="X1951" s="213" t="str">
        <f>IFERROR(__xludf.DUMMYFUNCTION("""COMPUTED_VALUE"""),"FIREMAN'S")</f>
        <v>FIREMAN'S</v>
      </c>
      <c r="Y1951" s="213" t="str">
        <f>IFERROR(__xludf.DUMMYFUNCTION("""COMPUTED_VALUE"""),"Extintores Portátiles Manuales de Polvo Químico Seco")</f>
        <v>Extintores Portátiles Manuales de Polvo Químico Seco</v>
      </c>
      <c r="Z1951" s="215" t="str">
        <f>IFERROR(__xludf.DUMMYFUNCTION("""COMPUTED_VALUE"""),"https://firemansperu.com/productos/extintores-firemans/polvo-quimico-seco/")</f>
        <v>https://firemansperu.com/productos/extintores-firemans/polvo-quimico-seco/</v>
      </c>
      <c r="AA1951" s="213" t="str">
        <f>IFERROR(__xludf.DUMMYFUNCTION("""COMPUTED_VALUE"""),"MAT-163-X EXTINTOR PQS - CET")</f>
        <v>MAT-163-X EXTINTOR PQS - CET</v>
      </c>
      <c r="AB1951" s="213"/>
      <c r="AC1951" s="213"/>
      <c r="AD1951" s="213"/>
      <c r="AE1951" s="213"/>
      <c r="AF1951" s="213"/>
      <c r="AG1951" s="213"/>
      <c r="AH1951" s="213"/>
      <c r="AI1951" s="213"/>
      <c r="AJ1951" s="213"/>
      <c r="AK1951" s="213"/>
      <c r="AL1951" s="213"/>
      <c r="AM1951" s="213"/>
      <c r="AN1951" s="213"/>
      <c r="AO1951" s="213"/>
      <c r="AP1951" s="213" t="str">
        <f>IFERROR(__xludf.DUMMYFUNCTION("""COMPUTED_VALUE"""),"BRUNO")</f>
        <v>BRUNO</v>
      </c>
      <c r="AQ1951" s="213"/>
      <c r="AR1951" s="213"/>
      <c r="AS1951" s="213"/>
      <c r="AT1951" s="213"/>
      <c r="AU1951" s="213"/>
      <c r="AV1951" s="213"/>
      <c r="AW1951" s="213"/>
      <c r="AX1951" s="213"/>
      <c r="AY1951" s="213"/>
      <c r="AZ1951" s="213"/>
      <c r="BA1951" s="213"/>
      <c r="BB1951" s="213"/>
      <c r="BC1951" s="213"/>
      <c r="BD1951" s="213"/>
    </row>
    <row r="1952">
      <c r="A1952" s="213">
        <f>IFERROR(__xludf.DUMMYFUNCTION("""COMPUTED_VALUE"""),2478.0)</f>
        <v>2478</v>
      </c>
      <c r="B1952" s="213" t="str">
        <f>IFERROR(__xludf.DUMMYFUNCTION("""COMPUTED_VALUE"""),"MANUEL ANTONIO MESONES MURO")</f>
        <v>MANUEL ANTONIO MESONES MURO</v>
      </c>
      <c r="C1952" s="213" t="str">
        <f>IFERROR(__xludf.DUMMYFUNCTION("""COMPUTED_VALUE"""),"TALLER SFT DE CONSTRUCCIONES METÁLICAS")</f>
        <v>TALLER SFT DE CONSTRUCCIONES METÁLICAS</v>
      </c>
      <c r="D1952" s="213" t="str">
        <f>IFERROR(__xludf.DUMMYFUNCTION("""COMPUTED_VALUE"""),"HERRAMIENTAS")</f>
        <v>HERRAMIENTAS</v>
      </c>
      <c r="E1952" s="213" t="str">
        <f>IFERROR(__xludf.DUMMYFUNCTION("""COMPUTED_VALUE"""),"MAT-418")</f>
        <v>MAT-418</v>
      </c>
      <c r="F1952" s="213" t="str">
        <f>IFERROR(__xludf.DUMMYFUNCTION("""COMPUTED_VALUE"""),"MAT-418")</f>
        <v>MAT-418</v>
      </c>
      <c r="G1952" s="213"/>
      <c r="H1952" s="213" t="str">
        <f>IFERROR(__xludf.DUMMYFUNCTION("""COMPUTED_VALUE"""),"REGLA METÁLICA DE 30 CM")</f>
        <v>REGLA METÁLICA DE 30 CM</v>
      </c>
      <c r="I1952" s="213" t="str">
        <f>IFERROR(__xludf.DUMMYFUNCTION("""COMPUTED_VALUE"""),"Regla de acero inoxidable de 30 cm de longitud
-       Ancho mínimo de 4.5 cm
-       Espesor mínima 0.25 cm
-       No magnético
-     Que marque en centímetros y pulgadas")</f>
        <v>Regla de acero inoxidable de 30 cm de longitud
-       Ancho mínimo de 4.5 cm
-       Espesor mínima 0.25 cm
-       No magnético
-     Que marque en centímetros y pulgadas</v>
      </c>
      <c r="J1952" s="213">
        <f>IFERROR(__xludf.DUMMYFUNCTION("""COMPUTED_VALUE"""),3.0)</f>
        <v>3</v>
      </c>
      <c r="K1952" s="213" t="str">
        <f>IFERROR(__xludf.DUMMYFUNCTION("""COMPUTED_VALUE"""),"90 DÍAS CALENDARIO")</f>
        <v>90 DÍAS CALENDARIO</v>
      </c>
      <c r="L1952" s="213" t="str">
        <f>IFERROR(__xludf.DUMMYFUNCTION("""COMPUTED_VALUE"""),"")</f>
        <v/>
      </c>
      <c r="M1952" s="213">
        <f>IFERROR(__xludf.DUMMYFUNCTION("""COMPUTED_VALUE"""),1.0)</f>
        <v>1</v>
      </c>
      <c r="N1952" s="213">
        <f>IFERROR(__xludf.DUMMYFUNCTION("""COMPUTED_VALUE"""),10.0)</f>
        <v>10</v>
      </c>
      <c r="O1952" s="213">
        <f>IFERROR(__xludf.DUMMYFUNCTION("""COMPUTED_VALUE"""),10.0)</f>
        <v>10</v>
      </c>
      <c r="P1952" s="213"/>
      <c r="Q1952" s="213"/>
      <c r="R1952" s="213" t="str">
        <f>IFERROR(__xludf.DUMMYFUNCTION("""COMPUTED_VALUE"""),"SI")</f>
        <v>SI</v>
      </c>
      <c r="S1952" s="213"/>
      <c r="T1952" s="213" t="str">
        <f>IFERROR(__xludf.DUMMYFUNCTION("""COMPUTED_VALUE"""),"CONSULTA FINAL")</f>
        <v>CONSULTA FINAL</v>
      </c>
      <c r="U1952" s="213" t="str">
        <f>IFERROR(__xludf.DUMMYFUNCTION("""COMPUTED_VALUE"""),"NO")</f>
        <v>NO</v>
      </c>
      <c r="V1952" s="213" t="str">
        <f>IFERROR(__xludf.DUMMYFUNCTION("""COMPUTED_VALUE"""),"SUSTENTO")</f>
        <v>SUSTENTO</v>
      </c>
      <c r="W1952" s="213" t="str">
        <f>IFERROR(__xludf.DUMMYFUNCTION("""COMPUTED_VALUE"""),"DIMENSIONAL")</f>
        <v>DIMENSIONAL</v>
      </c>
      <c r="X1952" s="213" t="str">
        <f>IFERROR(__xludf.DUMMYFUNCTION("""COMPUTED_VALUE"""),"BAHCO")</f>
        <v>BAHCO</v>
      </c>
      <c r="Y1952" s="213" t="str">
        <f>IFERROR(__xludf.DUMMYFUNCTION("""COMPUTED_VALUE"""),"SR300-E")</f>
        <v>SR300-E</v>
      </c>
      <c r="Z1952" s="215" t="str">
        <f>IFERROR(__xludf.DUMMYFUNCTION("""COMPUTED_VALUE"""),"https://www.promart.pe/regla-de-acero-300mm/p?srsltid=AfmBOopYSzWYsp5ckBbNC9SIQ_fe_D1NkeUkvdosg60ZS3JDaeKlviFn")</f>
        <v>https://www.promart.pe/regla-de-acero-300mm/p?srsltid=AfmBOopYSzWYsp5ckBbNC9SIQ_fe_D1NkeUkvdosg60ZS3JDaeKlviFn</v>
      </c>
      <c r="AA1952" s="213" t="str">
        <f>IFERROR(__xludf.DUMMYFUNCTION("""COMPUTED_VALUE"""),"MAT-418 REGLA METALICA DE 30 CM - CET")</f>
        <v>MAT-418 REGLA METALICA DE 30 CM - CET</v>
      </c>
      <c r="AB1952" s="213"/>
      <c r="AC1952" s="213"/>
      <c r="AD1952" s="213"/>
      <c r="AE1952" s="213"/>
      <c r="AF1952" s="213"/>
      <c r="AG1952" s="213"/>
      <c r="AH1952" s="213"/>
      <c r="AI1952" s="213"/>
      <c r="AJ1952" s="213"/>
      <c r="AK1952" s="213"/>
      <c r="AL1952" s="213"/>
      <c r="AM1952" s="213"/>
      <c r="AN1952" s="213"/>
      <c r="AO1952" s="213"/>
      <c r="AP1952" s="213" t="str">
        <f>IFERROR(__xludf.DUMMYFUNCTION("""COMPUTED_VALUE"""),"LUIS")</f>
        <v>LUIS</v>
      </c>
      <c r="AQ1952" s="213"/>
      <c r="AR1952" s="213"/>
      <c r="AS1952" s="213"/>
      <c r="AT1952" s="213"/>
      <c r="AU1952" s="213"/>
      <c r="AV1952" s="213"/>
      <c r="AW1952" s="213"/>
      <c r="AX1952" s="213"/>
      <c r="AY1952" s="213"/>
      <c r="AZ1952" s="213"/>
      <c r="BA1952" s="213"/>
      <c r="BB1952" s="213"/>
      <c r="BC1952" s="213"/>
      <c r="BD1952" s="213"/>
    </row>
    <row r="1953">
      <c r="A1953" s="213">
        <f>IFERROR(__xludf.DUMMYFUNCTION("""COMPUTED_VALUE"""),2554.0)</f>
        <v>2554</v>
      </c>
      <c r="B1953" s="213" t="str">
        <f>IFERROR(__xludf.DUMMYFUNCTION("""COMPUTED_VALUE"""),"MANUEL ANTONIO MESONES MURO")</f>
        <v>MANUEL ANTONIO MESONES MURO</v>
      </c>
      <c r="C1953" s="213" t="str">
        <f>IFERROR(__xludf.DUMMYFUNCTION("""COMPUTED_VALUE"""),"TALLER SFT DE EBANISTERÍA")</f>
        <v>TALLER SFT DE EBANISTERÍA</v>
      </c>
      <c r="D1953" s="213" t="str">
        <f>IFERROR(__xludf.DUMMYFUNCTION("""COMPUTED_VALUE"""),"HERRAMIENTAS")</f>
        <v>HERRAMIENTAS</v>
      </c>
      <c r="E1953" s="213" t="str">
        <f>IFERROR(__xludf.DUMMYFUNCTION("""COMPUTED_VALUE"""),"MAT-163")</f>
        <v>MAT-163</v>
      </c>
      <c r="F1953" s="213" t="str">
        <f>IFERROR(__xludf.DUMMYFUNCTION("""COMPUTED_VALUE"""),"MAT-163-X")</f>
        <v>MAT-163-X</v>
      </c>
      <c r="G1953" s="213"/>
      <c r="H1953" s="213" t="str">
        <f>IFERROR(__xludf.DUMMYFUNCTION("""COMPUTED_VALUE"""),"EXTINTOR PQS")</f>
        <v>EXTINTOR PQS</v>
      </c>
      <c r="I1953" s="213" t="str">
        <f>IFERROR(__xludf.DUMMYFUNCTION("""COMPUTED_VALUE"""),"Extintor de polvo químico seco PQS
Adecuado para uso en incendios de clase ABC Capacidad del agente: 5 Lb (2.27 Kg)
Rango de temperatura: -54° a 49°C. Tiempo de descarga: 14 segundos Cuenta con precinto de seguridad Con soporte colgador de pared
Certifica"&amp;"do de operatividad y vigencia de presión hidrostática (PH).
Tarjeta de inspección y etiqueta de mantenimiento conforme a la NTP 350.043-INDECI Certificación UL")</f>
        <v>Extintor de polvo químico seco PQS
Adecuado para uso en incendios de clase ABC Capacidad del agente: 5 Lb (2.27 Kg)
Rango de temperatura: -54° a 49°C. Tiempo de descarga: 14 segundos Cuenta con precinto de seguridad Con soporte colgador de pared
Certificado de operatividad y vigencia de presión hidrostática (PH).
Tarjeta de inspección y etiqueta de mantenimiento conforme a la NTP 350.043-INDECI Certificación UL</v>
      </c>
      <c r="J1953" s="213">
        <f>IFERROR(__xludf.DUMMYFUNCTION("""COMPUTED_VALUE"""),3.0)</f>
        <v>3</v>
      </c>
      <c r="K1953" s="213" t="str">
        <f>IFERROR(__xludf.DUMMYFUNCTION("""COMPUTED_VALUE"""),"90 DÍAS CALENDARIO")</f>
        <v>90 DÍAS CALENDARIO</v>
      </c>
      <c r="L1953" s="213" t="str">
        <f>IFERROR(__xludf.DUMMYFUNCTION("""COMPUTED_VALUE"""),"COCINA Y REPOSTERÍA, COMPUTACIÓN E INFORMÁTICA, EBANISTERÍA, ELECTRICIDAD, ELECTRÓNICA, INDUSTRIA ALIMENTARIA, MECÁNICA AUTOMOTRÍZ")</f>
        <v>COCINA Y REPOSTERÍA, COMPUTACIÓN E INFORMÁTICA, EBANISTERÍA, ELECTRICIDAD, ELECTRÓNICA, INDUSTRIA ALIMENTARIA, MECÁNICA AUTOMOTRÍZ</v>
      </c>
      <c r="M1953" s="213">
        <f>IFERROR(__xludf.DUMMYFUNCTION("""COMPUTED_VALUE"""),1.0)</f>
        <v>1</v>
      </c>
      <c r="N1953" s="213">
        <f>IFERROR(__xludf.DUMMYFUNCTION("""COMPUTED_VALUE"""),2.0)</f>
        <v>2</v>
      </c>
      <c r="O1953" s="213">
        <f>IFERROR(__xludf.DUMMYFUNCTION("""COMPUTED_VALUE"""),2.0)</f>
        <v>2</v>
      </c>
      <c r="P1953" s="213"/>
      <c r="Q1953" s="213"/>
      <c r="R1953" s="213"/>
      <c r="S1953" s="213"/>
      <c r="T1953" s="213" t="str">
        <f>IFERROR(__xludf.DUMMYFUNCTION("""COMPUTED_VALUE"""),"CONSULTA FINAL")</f>
        <v>CONSULTA FINAL</v>
      </c>
      <c r="U1953" s="213" t="str">
        <f>IFERROR(__xludf.DUMMYFUNCTION("""COMPUTED_VALUE"""),"NO")</f>
        <v>NO</v>
      </c>
      <c r="V1953" s="213" t="str">
        <f>IFERROR(__xludf.DUMMYFUNCTION("""COMPUTED_VALUE"""),"NO")</f>
        <v>NO</v>
      </c>
      <c r="W1953" s="213" t="str">
        <f>IFERROR(__xludf.DUMMYFUNCTION("""COMPUTED_VALUE"""),"-")</f>
        <v>-</v>
      </c>
      <c r="X1953" s="213" t="str">
        <f>IFERROR(__xludf.DUMMYFUNCTION("""COMPUTED_VALUE"""),"FIREMAN'S")</f>
        <v>FIREMAN'S</v>
      </c>
      <c r="Y1953" s="213" t="str">
        <f>IFERROR(__xludf.DUMMYFUNCTION("""COMPUTED_VALUE"""),"Extintores Portátiles Manuales de Polvo Químico Seco")</f>
        <v>Extintores Portátiles Manuales de Polvo Químico Seco</v>
      </c>
      <c r="Z1953" s="215" t="str">
        <f>IFERROR(__xludf.DUMMYFUNCTION("""COMPUTED_VALUE"""),"https://firemansperu.com/productos/extintores-firemans/polvo-quimico-seco/")</f>
        <v>https://firemansperu.com/productos/extintores-firemans/polvo-quimico-seco/</v>
      </c>
      <c r="AA1953" s="213" t="str">
        <f>IFERROR(__xludf.DUMMYFUNCTION("""COMPUTED_VALUE"""),"MAT-163-X EXTINTOR PQS - CET")</f>
        <v>MAT-163-X EXTINTOR PQS - CET</v>
      </c>
      <c r="AB1953" s="213"/>
      <c r="AC1953" s="213"/>
      <c r="AD1953" s="213"/>
      <c r="AE1953" s="213"/>
      <c r="AF1953" s="213"/>
      <c r="AG1953" s="213"/>
      <c r="AH1953" s="213"/>
      <c r="AI1953" s="213"/>
      <c r="AJ1953" s="213"/>
      <c r="AK1953" s="213"/>
      <c r="AL1953" s="213"/>
      <c r="AM1953" s="213"/>
      <c r="AN1953" s="213"/>
      <c r="AO1953" s="213"/>
      <c r="AP1953" s="213" t="str">
        <f>IFERROR(__xludf.DUMMYFUNCTION("""COMPUTED_VALUE"""),"BRUNO")</f>
        <v>BRUNO</v>
      </c>
      <c r="AQ1953" s="213"/>
      <c r="AR1953" s="213"/>
      <c r="AS1953" s="213"/>
      <c r="AT1953" s="213"/>
      <c r="AU1953" s="213"/>
      <c r="AV1953" s="213"/>
      <c r="AW1953" s="213"/>
      <c r="AX1953" s="213"/>
      <c r="AY1953" s="213"/>
      <c r="AZ1953" s="213"/>
      <c r="BA1953" s="213"/>
      <c r="BB1953" s="213"/>
      <c r="BC1953" s="213"/>
      <c r="BD1953" s="213"/>
    </row>
    <row r="1954">
      <c r="A1954" s="213">
        <f>IFERROR(__xludf.DUMMYFUNCTION("""COMPUTED_VALUE"""),67.0)</f>
        <v>67</v>
      </c>
      <c r="B1954" s="213" t="str">
        <f>IFERROR(__xludf.DUMMYFUNCTION("""COMPUTED_VALUE"""),"16449 ELOY SOBERON  FLORES")</f>
        <v>16449 ELOY SOBERON  FLORES</v>
      </c>
      <c r="C1954" s="213" t="str">
        <f>IFERROR(__xludf.DUMMYFUNCTION("""COMPUTED_VALUE"""),"TALLER SFT DE COCINA Y REPOSTERÍA")</f>
        <v>TALLER SFT DE COCINA Y REPOSTERÍA</v>
      </c>
      <c r="D1954" s="213" t="str">
        <f>IFERROR(__xludf.DUMMYFUNCTION("""COMPUTED_VALUE"""),"HERRAMIENTAS")</f>
        <v>HERRAMIENTAS</v>
      </c>
      <c r="E1954" s="213" t="str">
        <f>IFERROR(__xludf.DUMMYFUNCTION("""COMPUTED_VALUE"""),"MAT-165")</f>
        <v>MAT-165</v>
      </c>
      <c r="F1954" s="213" t="str">
        <f>IFERROR(__xludf.DUMMYFUNCTION("""COMPUTED_VALUE"""),"MAT-165")</f>
        <v>MAT-165</v>
      </c>
      <c r="G1954" s="213"/>
      <c r="H1954" s="213" t="str">
        <f>IFERROR(__xludf.DUMMYFUNCTION("""COMPUTED_VALUE"""),"FUNDA PROTECTORA IMPERMEABLE")</f>
        <v>FUNDA PROTECTORA IMPERMEABLE</v>
      </c>
      <c r="I1954" s="213" t="str">
        <f>IFERROR(__xludf.DUMMYFUNCTION("""COMPUTED_VALUE"""),"Funda protectora para equipos  con revestimiento impermeable y transpirable para evitar la formación de moho. Fabricada en POLT/PVC, cuenta con elástico en el borde para colocarla fácilmente. Ideal para proteger los equipos.")</f>
        <v>Funda protectora para equipos  con revestimiento impermeable y transpirable para evitar la formación de moho. Fabricada en POLT/PVC, cuenta con elástico en el borde para colocarla fácilmente. Ideal para proteger los equipos.</v>
      </c>
      <c r="J1954" s="213">
        <f>IFERROR(__xludf.DUMMYFUNCTION("""COMPUTED_VALUE"""),3.0)</f>
        <v>3</v>
      </c>
      <c r="K1954" s="213" t="str">
        <f>IFERROR(__xludf.DUMMYFUNCTION("""COMPUTED_VALUE"""),"90 DÍAS CALENDARIO")</f>
        <v>90 DÍAS CALENDARIO</v>
      </c>
      <c r="L1954" s="213" t="str">
        <f>IFERROR(__xludf.DUMMYFUNCTION("""COMPUTED_VALUE"""),"COCINA Y REPOSTERÍA, INDUSTRIA ALIMENTARIA")</f>
        <v>COCINA Y REPOSTERÍA, INDUSTRIA ALIMENTARIA</v>
      </c>
      <c r="M1954" s="213">
        <f>IFERROR(__xludf.DUMMYFUNCTION("""COMPUTED_VALUE"""),1.0)</f>
        <v>1</v>
      </c>
      <c r="N1954" s="213">
        <f>IFERROR(__xludf.DUMMYFUNCTION("""COMPUTED_VALUE"""),16.0)</f>
        <v>16</v>
      </c>
      <c r="O1954" s="213">
        <f>IFERROR(__xludf.DUMMYFUNCTION("""COMPUTED_VALUE"""),16.0)</f>
        <v>16</v>
      </c>
      <c r="P1954" s="213"/>
      <c r="Q1954" s="213"/>
      <c r="R1954" s="213" t="str">
        <f>IFERROR(__xludf.DUMMYFUNCTION("""COMPUTED_VALUE"""),"SI")</f>
        <v>SI</v>
      </c>
      <c r="S1954" s="213"/>
      <c r="T1954" s="213" t="str">
        <f>IFERROR(__xludf.DUMMYFUNCTION("""COMPUTED_VALUE"""),"NO")</f>
        <v>NO</v>
      </c>
      <c r="U1954" s="213"/>
      <c r="V1954" s="213"/>
      <c r="W1954" s="213"/>
      <c r="X1954" s="213"/>
      <c r="Y1954" s="213"/>
      <c r="Z1954" s="213"/>
      <c r="AA1954" s="213" t="str">
        <f>IFERROR(__xludf.DUMMYFUNCTION("""COMPUTED_VALUE"""),"MAT-165 - FUNDA PROTECTORA IMPERMEABLE - CET")</f>
        <v>MAT-165 - FUNDA PROTECTORA IMPERMEABLE - CET</v>
      </c>
      <c r="AB1954" s="213"/>
      <c r="AC1954" s="213"/>
      <c r="AD1954" s="213"/>
      <c r="AE1954" s="213"/>
      <c r="AF1954" s="213"/>
      <c r="AG1954" s="213"/>
      <c r="AH1954" s="213"/>
      <c r="AI1954" s="213"/>
      <c r="AJ1954" s="213"/>
      <c r="AK1954" s="213"/>
      <c r="AL1954" s="213"/>
      <c r="AM1954" s="213"/>
      <c r="AN1954" s="213"/>
      <c r="AO1954" s="213"/>
      <c r="AP1954" s="213"/>
      <c r="AQ1954" s="213"/>
      <c r="AR1954" s="213"/>
      <c r="AS1954" s="213"/>
      <c r="AT1954" s="213"/>
      <c r="AU1954" s="213"/>
      <c r="AV1954" s="213"/>
      <c r="AW1954" s="213"/>
      <c r="AX1954" s="213"/>
      <c r="AY1954" s="213"/>
      <c r="AZ1954" s="213"/>
      <c r="BA1954" s="213"/>
      <c r="BB1954" s="213"/>
      <c r="BC1954" s="213"/>
      <c r="BD1954" s="213"/>
    </row>
    <row r="1955">
      <c r="A1955" s="213">
        <f>IFERROR(__xludf.DUMMYFUNCTION("""COMPUTED_VALUE"""),536.0)</f>
        <v>536</v>
      </c>
      <c r="B1955" s="213" t="str">
        <f>IFERROR(__xludf.DUMMYFUNCTION("""COMPUTED_VALUE"""),"2026 SIMON BOLIVAR")</f>
        <v>2026 SIMON BOLIVAR</v>
      </c>
      <c r="C1955" s="213" t="str">
        <f>IFERROR(__xludf.DUMMYFUNCTION("""COMPUTED_VALUE"""),"TALLER SFT DE INDUSTRIA ALIMENTARIA")</f>
        <v>TALLER SFT DE INDUSTRIA ALIMENTARIA</v>
      </c>
      <c r="D1955" s="213" t="str">
        <f>IFERROR(__xludf.DUMMYFUNCTION("""COMPUTED_VALUE"""),"HERRAMIENTAS")</f>
        <v>HERRAMIENTAS</v>
      </c>
      <c r="E1955" s="213" t="str">
        <f>IFERROR(__xludf.DUMMYFUNCTION("""COMPUTED_VALUE"""),"MAT-165")</f>
        <v>MAT-165</v>
      </c>
      <c r="F1955" s="213" t="str">
        <f>IFERROR(__xludf.DUMMYFUNCTION("""COMPUTED_VALUE"""),"MAT-165")</f>
        <v>MAT-165</v>
      </c>
      <c r="G1955" s="213"/>
      <c r="H1955" s="213" t="str">
        <f>IFERROR(__xludf.DUMMYFUNCTION("""COMPUTED_VALUE"""),"FUNDA PROTECTORA IMPERMEABLE")</f>
        <v>FUNDA PROTECTORA IMPERMEABLE</v>
      </c>
      <c r="I1955" s="213" t="str">
        <f>IFERROR(__xludf.DUMMYFUNCTION("""COMPUTED_VALUE"""),"Funda protectora para equipos  con revestimiento impermeable y transpirable para evitar la formación de moho. Fabricada en POLT/PVC, cuenta con elástico en el borde para colocarla fácilmente.
Ideal para proteger los equipos.")</f>
        <v>Funda protectora para equipos  con revestimiento impermeable y transpirable para evitar la formación de moho. Fabricada en POLT/PVC, cuenta con elástico en el borde para colocarla fácilmente.
Ideal para proteger los equipos.</v>
      </c>
      <c r="J1955" s="213">
        <f>IFERROR(__xludf.DUMMYFUNCTION("""COMPUTED_VALUE"""),3.0)</f>
        <v>3</v>
      </c>
      <c r="K1955" s="213" t="str">
        <f>IFERROR(__xludf.DUMMYFUNCTION("""COMPUTED_VALUE"""),"90 DÍAS CALENDARIO")</f>
        <v>90 DÍAS CALENDARIO</v>
      </c>
      <c r="L1955" s="213" t="str">
        <f>IFERROR(__xludf.DUMMYFUNCTION("""COMPUTED_VALUE"""),"COCINA Y REPOSTERÍA, INDUSTRIA ALIMENTARIA")</f>
        <v>COCINA Y REPOSTERÍA, INDUSTRIA ALIMENTARIA</v>
      </c>
      <c r="M1955" s="213">
        <f>IFERROR(__xludf.DUMMYFUNCTION("""COMPUTED_VALUE"""),1.0)</f>
        <v>1</v>
      </c>
      <c r="N1955" s="213">
        <f>IFERROR(__xludf.DUMMYFUNCTION("""COMPUTED_VALUE"""),16.0)</f>
        <v>16</v>
      </c>
      <c r="O1955" s="213">
        <f>IFERROR(__xludf.DUMMYFUNCTION("""COMPUTED_VALUE"""),16.0)</f>
        <v>16</v>
      </c>
      <c r="P1955" s="213"/>
      <c r="Q1955" s="213"/>
      <c r="R1955" s="213" t="str">
        <f>IFERROR(__xludf.DUMMYFUNCTION("""COMPUTED_VALUE"""),"SI")</f>
        <v>SI</v>
      </c>
      <c r="S1955" s="213"/>
      <c r="T1955" s="213" t="str">
        <f>IFERROR(__xludf.DUMMYFUNCTION("""COMPUTED_VALUE"""),"NO")</f>
        <v>NO</v>
      </c>
      <c r="U1955" s="213"/>
      <c r="V1955" s="213"/>
      <c r="W1955" s="213"/>
      <c r="X1955" s="213"/>
      <c r="Y1955" s="213"/>
      <c r="Z1955" s="213"/>
      <c r="AA1955" s="213"/>
      <c r="AB1955" s="213"/>
      <c r="AC1955" s="213"/>
      <c r="AD1955" s="213"/>
      <c r="AE1955" s="213"/>
      <c r="AF1955" s="213"/>
      <c r="AG1955" s="213"/>
      <c r="AH1955" s="213"/>
      <c r="AI1955" s="213"/>
      <c r="AJ1955" s="213"/>
      <c r="AK1955" s="213"/>
      <c r="AL1955" s="213"/>
      <c r="AM1955" s="213"/>
      <c r="AN1955" s="213"/>
      <c r="AO1955" s="213"/>
      <c r="AP1955" s="213"/>
      <c r="AQ1955" s="213"/>
      <c r="AR1955" s="213"/>
      <c r="AS1955" s="213"/>
      <c r="AT1955" s="213"/>
      <c r="AU1955" s="213"/>
      <c r="AV1955" s="213"/>
      <c r="AW1955" s="213"/>
      <c r="AX1955" s="213"/>
      <c r="AY1955" s="213"/>
      <c r="AZ1955" s="213"/>
      <c r="BA1955" s="213"/>
      <c r="BB1955" s="213"/>
      <c r="BC1955" s="213"/>
      <c r="BD1955" s="213"/>
    </row>
    <row r="1956">
      <c r="A1956" s="213">
        <f>IFERROR(__xludf.DUMMYFUNCTION("""COMPUTED_VALUE"""),1166.0)</f>
        <v>1166</v>
      </c>
      <c r="B1956" s="213" t="str">
        <f>IFERROR(__xludf.DUMMYFUNCTION("""COMPUTED_VALUE"""),"FRANCISCO IRAZOLA")</f>
        <v>FRANCISCO IRAZOLA</v>
      </c>
      <c r="C1956" s="213" t="str">
        <f>IFERROR(__xludf.DUMMYFUNCTION("""COMPUTED_VALUE"""),"TALLER SFT DE INDUSTRIA ALIMENTARIA")</f>
        <v>TALLER SFT DE INDUSTRIA ALIMENTARIA</v>
      </c>
      <c r="D1956" s="213" t="str">
        <f>IFERROR(__xludf.DUMMYFUNCTION("""COMPUTED_VALUE"""),"HERRAMIENTAS")</f>
        <v>HERRAMIENTAS</v>
      </c>
      <c r="E1956" s="213" t="str">
        <f>IFERROR(__xludf.DUMMYFUNCTION("""COMPUTED_VALUE"""),"MAT-165")</f>
        <v>MAT-165</v>
      </c>
      <c r="F1956" s="213" t="str">
        <f>IFERROR(__xludf.DUMMYFUNCTION("""COMPUTED_VALUE"""),"MAT-165")</f>
        <v>MAT-165</v>
      </c>
      <c r="G1956" s="213"/>
      <c r="H1956" s="213" t="str">
        <f>IFERROR(__xludf.DUMMYFUNCTION("""COMPUTED_VALUE"""),"FUNDA PROTECTORA IMPERMEABLE")</f>
        <v>FUNDA PROTECTORA IMPERMEABLE</v>
      </c>
      <c r="I1956" s="213" t="str">
        <f>IFERROR(__xludf.DUMMYFUNCTION("""COMPUTED_VALUE"""),"Funda protectora para equipos  con revestimiento impermeable y transpirable para evitar la formación de moho. Fabricada en POLT/PVC, cuenta con elástico en el borde para colocarla fácilmente.
Ideal para proteger los equipos.")</f>
        <v>Funda protectora para equipos  con revestimiento impermeable y transpirable para evitar la formación de moho. Fabricada en POLT/PVC, cuenta con elástico en el borde para colocarla fácilmente.
Ideal para proteger los equipos.</v>
      </c>
      <c r="J1956" s="213">
        <f>IFERROR(__xludf.DUMMYFUNCTION("""COMPUTED_VALUE"""),3.0)</f>
        <v>3</v>
      </c>
      <c r="K1956" s="213" t="str">
        <f>IFERROR(__xludf.DUMMYFUNCTION("""COMPUTED_VALUE"""),"90 DÍAS CALENDARIO")</f>
        <v>90 DÍAS CALENDARIO</v>
      </c>
      <c r="L1956" s="213" t="str">
        <f>IFERROR(__xludf.DUMMYFUNCTION("""COMPUTED_VALUE"""),"COCINA Y REPOSTERÍA, INDUSTRIA ALIMENTARIA")</f>
        <v>COCINA Y REPOSTERÍA, INDUSTRIA ALIMENTARIA</v>
      </c>
      <c r="M1956" s="213">
        <f>IFERROR(__xludf.DUMMYFUNCTION("""COMPUTED_VALUE"""),1.0)</f>
        <v>1</v>
      </c>
      <c r="N1956" s="213">
        <f>IFERROR(__xludf.DUMMYFUNCTION("""COMPUTED_VALUE"""),16.0)</f>
        <v>16</v>
      </c>
      <c r="O1956" s="213">
        <f>IFERROR(__xludf.DUMMYFUNCTION("""COMPUTED_VALUE"""),16.0)</f>
        <v>16</v>
      </c>
      <c r="P1956" s="213"/>
      <c r="Q1956" s="213"/>
      <c r="R1956" s="213" t="str">
        <f>IFERROR(__xludf.DUMMYFUNCTION("""COMPUTED_VALUE"""),"SI")</f>
        <v>SI</v>
      </c>
      <c r="S1956" s="213"/>
      <c r="T1956" s="213" t="str">
        <f>IFERROR(__xludf.DUMMYFUNCTION("""COMPUTED_VALUE"""),"NO")</f>
        <v>NO</v>
      </c>
      <c r="U1956" s="213"/>
      <c r="V1956" s="213"/>
      <c r="W1956" s="213"/>
      <c r="X1956" s="213"/>
      <c r="Y1956" s="213"/>
      <c r="Z1956" s="213"/>
      <c r="AA1956" s="213"/>
      <c r="AB1956" s="213"/>
      <c r="AC1956" s="213"/>
      <c r="AD1956" s="213"/>
      <c r="AE1956" s="213"/>
      <c r="AF1956" s="213"/>
      <c r="AG1956" s="213"/>
      <c r="AH1956" s="213"/>
      <c r="AI1956" s="213"/>
      <c r="AJ1956" s="213"/>
      <c r="AK1956" s="213"/>
      <c r="AL1956" s="213"/>
      <c r="AM1956" s="213"/>
      <c r="AN1956" s="213"/>
      <c r="AO1956" s="213"/>
      <c r="AP1956" s="213"/>
      <c r="AQ1956" s="213"/>
      <c r="AR1956" s="213"/>
      <c r="AS1956" s="213"/>
      <c r="AT1956" s="213"/>
      <c r="AU1956" s="213"/>
      <c r="AV1956" s="213"/>
      <c r="AW1956" s="213"/>
      <c r="AX1956" s="213"/>
      <c r="AY1956" s="213"/>
      <c r="AZ1956" s="213"/>
      <c r="BA1956" s="213"/>
      <c r="BB1956" s="213"/>
      <c r="BC1956" s="213"/>
      <c r="BD1956" s="213"/>
    </row>
    <row r="1957">
      <c r="A1957" s="213">
        <f>IFERROR(__xludf.DUMMYFUNCTION("""COMPUTED_VALUE"""),1438.0)</f>
        <v>1438</v>
      </c>
      <c r="B1957" s="213" t="str">
        <f>IFERROR(__xludf.DUMMYFUNCTION("""COMPUTED_VALUE"""),"GUILLERMO E. BILLINGHURST ")</f>
        <v>GUILLERMO E. BILLINGHURST </v>
      </c>
      <c r="C1957" s="213" t="str">
        <f>IFERROR(__xludf.DUMMYFUNCTION("""COMPUTED_VALUE"""),"TALLER SFT DE INDUSTRIA ALIMENTARIA")</f>
        <v>TALLER SFT DE INDUSTRIA ALIMENTARIA</v>
      </c>
      <c r="D1957" s="213" t="str">
        <f>IFERROR(__xludf.DUMMYFUNCTION("""COMPUTED_VALUE"""),"HERRAMIENTAS")</f>
        <v>HERRAMIENTAS</v>
      </c>
      <c r="E1957" s="213" t="str">
        <f>IFERROR(__xludf.DUMMYFUNCTION("""COMPUTED_VALUE"""),"MAT-165")</f>
        <v>MAT-165</v>
      </c>
      <c r="F1957" s="213" t="str">
        <f>IFERROR(__xludf.DUMMYFUNCTION("""COMPUTED_VALUE"""),"MAT-165")</f>
        <v>MAT-165</v>
      </c>
      <c r="G1957" s="213"/>
      <c r="H1957" s="213" t="str">
        <f>IFERROR(__xludf.DUMMYFUNCTION("""COMPUTED_VALUE"""),"FUNDA PROTECTORA IMPERMEABLE")</f>
        <v>FUNDA PROTECTORA IMPERMEABLE</v>
      </c>
      <c r="I1957" s="213" t="str">
        <f>IFERROR(__xludf.DUMMYFUNCTION("""COMPUTED_VALUE"""),"Funda protectora para equipos  con revestimiento impermeable y transpirable para evitar la formación de moho. Fabricada en POLT/PVC, cuenta con elástico en el borde para colocarla fácilmente.
Ideal para proteger los equipos.")</f>
        <v>Funda protectora para equipos  con revestimiento impermeable y transpirable para evitar la formación de moho. Fabricada en POLT/PVC, cuenta con elástico en el borde para colocarla fácilmente.
Ideal para proteger los equipos.</v>
      </c>
      <c r="J1957" s="213">
        <f>IFERROR(__xludf.DUMMYFUNCTION("""COMPUTED_VALUE"""),3.0)</f>
        <v>3</v>
      </c>
      <c r="K1957" s="213" t="str">
        <f>IFERROR(__xludf.DUMMYFUNCTION("""COMPUTED_VALUE"""),"90 DÍAS CALENDARIO")</f>
        <v>90 DÍAS CALENDARIO</v>
      </c>
      <c r="L1957" s="213" t="str">
        <f>IFERROR(__xludf.DUMMYFUNCTION("""COMPUTED_VALUE"""),"COCINA Y REPOSTERÍA, INDUSTRIA ALIMENTARIA")</f>
        <v>COCINA Y REPOSTERÍA, INDUSTRIA ALIMENTARIA</v>
      </c>
      <c r="M1957" s="213">
        <f>IFERROR(__xludf.DUMMYFUNCTION("""COMPUTED_VALUE"""),1.0)</f>
        <v>1</v>
      </c>
      <c r="N1957" s="213">
        <f>IFERROR(__xludf.DUMMYFUNCTION("""COMPUTED_VALUE"""),16.0)</f>
        <v>16</v>
      </c>
      <c r="O1957" s="213">
        <f>IFERROR(__xludf.DUMMYFUNCTION("""COMPUTED_VALUE"""),16.0)</f>
        <v>16</v>
      </c>
      <c r="P1957" s="213"/>
      <c r="Q1957" s="213"/>
      <c r="R1957" s="213" t="str">
        <f>IFERROR(__xludf.DUMMYFUNCTION("""COMPUTED_VALUE"""),"SI")</f>
        <v>SI</v>
      </c>
      <c r="S1957" s="213"/>
      <c r="T1957" s="213" t="str">
        <f>IFERROR(__xludf.DUMMYFUNCTION("""COMPUTED_VALUE"""),"NO")</f>
        <v>NO</v>
      </c>
      <c r="U1957" s="213"/>
      <c r="V1957" s="213"/>
      <c r="W1957" s="213"/>
      <c r="X1957" s="213"/>
      <c r="Y1957" s="213"/>
      <c r="Z1957" s="213"/>
      <c r="AA1957" s="213"/>
      <c r="AB1957" s="213"/>
      <c r="AC1957" s="213"/>
      <c r="AD1957" s="213"/>
      <c r="AE1957" s="213"/>
      <c r="AF1957" s="213"/>
      <c r="AG1957" s="213"/>
      <c r="AH1957" s="213"/>
      <c r="AI1957" s="213"/>
      <c r="AJ1957" s="213"/>
      <c r="AK1957" s="213"/>
      <c r="AL1957" s="213"/>
      <c r="AM1957" s="213"/>
      <c r="AN1957" s="213"/>
      <c r="AO1957" s="213"/>
      <c r="AP1957" s="213"/>
      <c r="AQ1957" s="213"/>
      <c r="AR1957" s="213"/>
      <c r="AS1957" s="213"/>
      <c r="AT1957" s="213"/>
      <c r="AU1957" s="213"/>
      <c r="AV1957" s="213"/>
      <c r="AW1957" s="213"/>
      <c r="AX1957" s="213"/>
      <c r="AY1957" s="213"/>
      <c r="AZ1957" s="213"/>
      <c r="BA1957" s="213"/>
      <c r="BB1957" s="213"/>
      <c r="BC1957" s="213"/>
      <c r="BD1957" s="213"/>
    </row>
    <row r="1958">
      <c r="A1958" s="213">
        <f>IFERROR(__xludf.DUMMYFUNCTION("""COMPUTED_VALUE"""),2125.0)</f>
        <v>2125</v>
      </c>
      <c r="B1958" s="213" t="str">
        <f>IFERROR(__xludf.DUMMYFUNCTION("""COMPUTED_VALUE"""),"JOSE GRANDA")</f>
        <v>JOSE GRANDA</v>
      </c>
      <c r="C1958" s="213" t="str">
        <f>IFERROR(__xludf.DUMMYFUNCTION("""COMPUTED_VALUE"""),"TALLER SFT DE INDUSTRIA ALIMENTARIA")</f>
        <v>TALLER SFT DE INDUSTRIA ALIMENTARIA</v>
      </c>
      <c r="D1958" s="213" t="str">
        <f>IFERROR(__xludf.DUMMYFUNCTION("""COMPUTED_VALUE"""),"HERRAMIENTAS")</f>
        <v>HERRAMIENTAS</v>
      </c>
      <c r="E1958" s="213" t="str">
        <f>IFERROR(__xludf.DUMMYFUNCTION("""COMPUTED_VALUE"""),"MAT-165")</f>
        <v>MAT-165</v>
      </c>
      <c r="F1958" s="213" t="str">
        <f>IFERROR(__xludf.DUMMYFUNCTION("""COMPUTED_VALUE"""),"MAT-165")</f>
        <v>MAT-165</v>
      </c>
      <c r="G1958" s="213"/>
      <c r="H1958" s="213" t="str">
        <f>IFERROR(__xludf.DUMMYFUNCTION("""COMPUTED_VALUE"""),"FUNDA PROTECTORA IMPERMEABLE")</f>
        <v>FUNDA PROTECTORA IMPERMEABLE</v>
      </c>
      <c r="I1958" s="213" t="str">
        <f>IFERROR(__xludf.DUMMYFUNCTION("""COMPUTED_VALUE"""),"Funda protectora para equipos  con revestimiento impermeable y transpirable para evitar la formación de moho. Fabricada en POLT/PVC, cuenta con elástico en el borde para colocarla fácilmente.
Ideal para proteger los equipos.")</f>
        <v>Funda protectora para equipos  con revestimiento impermeable y transpirable para evitar la formación de moho. Fabricada en POLT/PVC, cuenta con elástico en el borde para colocarla fácilmente.
Ideal para proteger los equipos.</v>
      </c>
      <c r="J1958" s="213">
        <f>IFERROR(__xludf.DUMMYFUNCTION("""COMPUTED_VALUE"""),3.0)</f>
        <v>3</v>
      </c>
      <c r="K1958" s="213" t="str">
        <f>IFERROR(__xludf.DUMMYFUNCTION("""COMPUTED_VALUE"""),"90 DÍAS CALENDARIO")</f>
        <v>90 DÍAS CALENDARIO</v>
      </c>
      <c r="L1958" s="213" t="str">
        <f>IFERROR(__xludf.DUMMYFUNCTION("""COMPUTED_VALUE"""),"COCINA Y REPOSTERÍA, INDUSTRIA ALIMENTARIA")</f>
        <v>COCINA Y REPOSTERÍA, INDUSTRIA ALIMENTARIA</v>
      </c>
      <c r="M1958" s="213">
        <f>IFERROR(__xludf.DUMMYFUNCTION("""COMPUTED_VALUE"""),1.0)</f>
        <v>1</v>
      </c>
      <c r="N1958" s="213">
        <f>IFERROR(__xludf.DUMMYFUNCTION("""COMPUTED_VALUE"""),16.0)</f>
        <v>16</v>
      </c>
      <c r="O1958" s="213">
        <f>IFERROR(__xludf.DUMMYFUNCTION("""COMPUTED_VALUE"""),16.0)</f>
        <v>16</v>
      </c>
      <c r="P1958" s="213"/>
      <c r="Q1958" s="213"/>
      <c r="R1958" s="213" t="str">
        <f>IFERROR(__xludf.DUMMYFUNCTION("""COMPUTED_VALUE"""),"SI")</f>
        <v>SI</v>
      </c>
      <c r="S1958" s="213"/>
      <c r="T1958" s="213" t="str">
        <f>IFERROR(__xludf.DUMMYFUNCTION("""COMPUTED_VALUE"""),"NO")</f>
        <v>NO</v>
      </c>
      <c r="U1958" s="213"/>
      <c r="V1958" s="213"/>
      <c r="W1958" s="213"/>
      <c r="X1958" s="213"/>
      <c r="Y1958" s="213"/>
      <c r="Z1958" s="213"/>
      <c r="AA1958" s="213"/>
      <c r="AB1958" s="213"/>
      <c r="AC1958" s="213"/>
      <c r="AD1958" s="213"/>
      <c r="AE1958" s="213"/>
      <c r="AF1958" s="213"/>
      <c r="AG1958" s="213"/>
      <c r="AH1958" s="213"/>
      <c r="AI1958" s="213"/>
      <c r="AJ1958" s="213"/>
      <c r="AK1958" s="213"/>
      <c r="AL1958" s="213"/>
      <c r="AM1958" s="213"/>
      <c r="AN1958" s="213"/>
      <c r="AO1958" s="213"/>
      <c r="AP1958" s="213"/>
      <c r="AQ1958" s="213"/>
      <c r="AR1958" s="213"/>
      <c r="AS1958" s="213"/>
      <c r="AT1958" s="213"/>
      <c r="AU1958" s="213"/>
      <c r="AV1958" s="213"/>
      <c r="AW1958" s="213"/>
      <c r="AX1958" s="213"/>
      <c r="AY1958" s="213"/>
      <c r="AZ1958" s="213"/>
      <c r="BA1958" s="213"/>
      <c r="BB1958" s="213"/>
      <c r="BC1958" s="213"/>
      <c r="BD1958" s="213"/>
    </row>
    <row r="1959">
      <c r="A1959" s="213">
        <f>IFERROR(__xludf.DUMMYFUNCTION("""COMPUTED_VALUE"""),978.0)</f>
        <v>978</v>
      </c>
      <c r="B1959" s="213" t="str">
        <f>IFERROR(__xludf.DUMMYFUNCTION("""COMPUTED_VALUE"""),"FRANCISCO IRAZOLA")</f>
        <v>FRANCISCO IRAZOLA</v>
      </c>
      <c r="C1959" s="213" t="str">
        <f>IFERROR(__xludf.DUMMYFUNCTION("""COMPUTED_VALUE"""),"TALLER SFT DE MECÁNICA AUTOMOTRIZ")</f>
        <v>TALLER SFT DE MECÁNICA AUTOMOTRIZ</v>
      </c>
      <c r="D1959" s="213" t="str">
        <f>IFERROR(__xludf.DUMMYFUNCTION("""COMPUTED_VALUE"""),"HERRAMIENTAS")</f>
        <v>HERRAMIENTAS</v>
      </c>
      <c r="E1959" s="213" t="str">
        <f>IFERROR(__xludf.DUMMYFUNCTION("""COMPUTED_VALUE"""),"MAT-167")</f>
        <v>MAT-167</v>
      </c>
      <c r="F1959" s="213" t="str">
        <f>IFERROR(__xludf.DUMMYFUNCTION("""COMPUTED_VALUE"""),"MAT-167")</f>
        <v>MAT-167</v>
      </c>
      <c r="G1959" s="213"/>
      <c r="H1959" s="213" t="str">
        <f>IFERROR(__xludf.DUMMYFUNCTION("""COMPUTED_VALUE"""),"GALONERA")</f>
        <v>GALONERA</v>
      </c>
      <c r="I1959" s="213" t="str">
        <f>IFERROR(__xludf.DUMMYFUNCTION("""COMPUTED_VALUE"""),"Galonera para combustible. Capacidad: mínimo 10 litros.
Adecuado para transportar combustible con seguridad. Cuenta con tapa de seguridad, con sistema de retención.
SILVERA Hilda 70998 soft")</f>
        <v>Galonera para combustible. Capacidad: mínimo 10 litros.
Adecuado para transportar combustible con seguridad. Cuenta con tapa de seguridad, con sistema de retención.
SILVERA Hilda 70998 soft</v>
      </c>
      <c r="J1959" s="213">
        <f>IFERROR(__xludf.DUMMYFUNCTION("""COMPUTED_VALUE"""),3.0)</f>
        <v>3</v>
      </c>
      <c r="K1959" s="213" t="str">
        <f>IFERROR(__xludf.DUMMYFUNCTION("""COMPUTED_VALUE"""),"90 DÍAS CALENDARIO")</f>
        <v>90 DÍAS CALENDARIO</v>
      </c>
      <c r="L1959" s="213" t="str">
        <f>IFERROR(__xludf.DUMMYFUNCTION("""COMPUTED_VALUE"""),"")</f>
        <v/>
      </c>
      <c r="M1959" s="213">
        <f>IFERROR(__xludf.DUMMYFUNCTION("""COMPUTED_VALUE"""),1.0)</f>
        <v>1</v>
      </c>
      <c r="N1959" s="213">
        <f>IFERROR(__xludf.DUMMYFUNCTION("""COMPUTED_VALUE"""),1.0)</f>
        <v>1</v>
      </c>
      <c r="O1959" s="213">
        <f>IFERROR(__xludf.DUMMYFUNCTION("""COMPUTED_VALUE"""),1.0)</f>
        <v>1</v>
      </c>
      <c r="P1959" s="213"/>
      <c r="Q1959" s="213"/>
      <c r="R1959" s="213" t="str">
        <f>IFERROR(__xludf.DUMMYFUNCTION("""COMPUTED_VALUE"""),"SI")</f>
        <v>SI</v>
      </c>
      <c r="S1959" s="213"/>
      <c r="T1959" s="213" t="str">
        <f>IFERROR(__xludf.DUMMYFUNCTION("""COMPUTED_VALUE"""),"SI")</f>
        <v>SI</v>
      </c>
      <c r="U1959" s="213" t="str">
        <f>IFERROR(__xludf.DUMMYFUNCTION("""COMPUTED_VALUE"""),"SI")</f>
        <v>SI</v>
      </c>
      <c r="V1959" s="213" t="str">
        <f>IFERROR(__xludf.DUMMYFUNCTION("""COMPUTED_VALUE"""),"-")</f>
        <v>-</v>
      </c>
      <c r="W1959" s="213" t="str">
        <f>IFERROR(__xludf.DUMMYFUNCTION("""COMPUTED_VALUE"""),"-")</f>
        <v>-</v>
      </c>
      <c r="X1959" s="213" t="str">
        <f>IFERROR(__xludf.DUMMYFUNCTION("""COMPUTED_VALUE"""),"Scepter Corporation")</f>
        <v>Scepter Corporation</v>
      </c>
      <c r="Y1959" s="213">
        <f>IFERROR(__xludf.DUMMYFUNCTION("""COMPUTED_VALUE"""),71203.0)</f>
        <v>71203</v>
      </c>
      <c r="Z1959" s="215" t="str">
        <f>IFERROR(__xludf.DUMMYFUNCTION("""COMPUTED_VALUE"""),"https://drive.google.com/file/d/1r0u7iSw0bQjpqfYjT9EbVw82Dn1Dx9oR/view")</f>
        <v>https://drive.google.com/file/d/1r0u7iSw0bQjpqfYjT9EbVw82Dn1Dx9oR/view</v>
      </c>
      <c r="AA1959" s="213" t="str">
        <f>IFERROR(__xludf.DUMMYFUNCTION("""COMPUTED_VALUE"""),"MAT-167 GALONERAS - CET")</f>
        <v>MAT-167 GALONERAS - CET</v>
      </c>
      <c r="AB1959" s="213"/>
      <c r="AC1959" s="213"/>
      <c r="AD1959" s="213"/>
      <c r="AE1959" s="213"/>
      <c r="AF1959" s="213"/>
      <c r="AG1959" s="213"/>
      <c r="AH1959" s="213"/>
      <c r="AI1959" s="213"/>
      <c r="AJ1959" s="213"/>
      <c r="AK1959" s="213"/>
      <c r="AL1959" s="213"/>
      <c r="AM1959" s="213"/>
      <c r="AN1959" s="213"/>
      <c r="AO1959" s="213"/>
      <c r="AP1959" s="213" t="str">
        <f>IFERROR(__xludf.DUMMYFUNCTION("""COMPUTED_VALUE"""),"LUIS")</f>
        <v>LUIS</v>
      </c>
      <c r="AQ1959" s="213"/>
      <c r="AR1959" s="213"/>
      <c r="AS1959" s="213"/>
      <c r="AT1959" s="213"/>
      <c r="AU1959" s="213"/>
      <c r="AV1959" s="213"/>
      <c r="AW1959" s="213"/>
      <c r="AX1959" s="213"/>
      <c r="AY1959" s="213"/>
      <c r="AZ1959" s="213"/>
      <c r="BA1959" s="213"/>
      <c r="BB1959" s="213"/>
      <c r="BC1959" s="213"/>
      <c r="BD1959" s="213"/>
    </row>
    <row r="1960">
      <c r="A1960" s="213">
        <f>IFERROR(__xludf.DUMMYFUNCTION("""COMPUTED_VALUE"""),1579.0)</f>
        <v>1579</v>
      </c>
      <c r="B1960" s="213" t="str">
        <f>IFERROR(__xludf.DUMMYFUNCTION("""COMPUTED_VALUE"""),"GUILLERMO E. BILLINGHURST ")</f>
        <v>GUILLERMO E. BILLINGHURST </v>
      </c>
      <c r="C1960" s="213" t="str">
        <f>IFERROR(__xludf.DUMMYFUNCTION("""COMPUTED_VALUE"""),"TALLER SFT DE MECÁNICA AUTOMOTRIZ")</f>
        <v>TALLER SFT DE MECÁNICA AUTOMOTRIZ</v>
      </c>
      <c r="D1960" s="213" t="str">
        <f>IFERROR(__xludf.DUMMYFUNCTION("""COMPUTED_VALUE"""),"HERRAMIENTAS")</f>
        <v>HERRAMIENTAS</v>
      </c>
      <c r="E1960" s="213" t="str">
        <f>IFERROR(__xludf.DUMMYFUNCTION("""COMPUTED_VALUE"""),"MAT-167")</f>
        <v>MAT-167</v>
      </c>
      <c r="F1960" s="213" t="str">
        <f>IFERROR(__xludf.DUMMYFUNCTION("""COMPUTED_VALUE"""),"MAT-167")</f>
        <v>MAT-167</v>
      </c>
      <c r="G1960" s="213"/>
      <c r="H1960" s="213" t="str">
        <f>IFERROR(__xludf.DUMMYFUNCTION("""COMPUTED_VALUE"""),"GALONERA")</f>
        <v>GALONERA</v>
      </c>
      <c r="I1960" s="213" t="str">
        <f>IFERROR(__xludf.DUMMYFUNCTION("""COMPUTED_VALUE"""),"Galonera para combustible. Capacidad: mínimo 10 litros.
Adecuado para transportar combustible con seguridad. Cuenta con tapa de seguridad, con sistema de retención.
SILVERA Hilda 70998 soft")</f>
        <v>Galonera para combustible. Capacidad: mínimo 10 litros.
Adecuado para transportar combustible con seguridad. Cuenta con tapa de seguridad, con sistema de retención.
SILVERA Hilda 70998 soft</v>
      </c>
      <c r="J1960" s="213">
        <f>IFERROR(__xludf.DUMMYFUNCTION("""COMPUTED_VALUE"""),3.0)</f>
        <v>3</v>
      </c>
      <c r="K1960" s="213" t="str">
        <f>IFERROR(__xludf.DUMMYFUNCTION("""COMPUTED_VALUE"""),"90 DÍAS CALENDARIO")</f>
        <v>90 DÍAS CALENDARIO</v>
      </c>
      <c r="L1960" s="213" t="str">
        <f>IFERROR(__xludf.DUMMYFUNCTION("""COMPUTED_VALUE"""),"")</f>
        <v/>
      </c>
      <c r="M1960" s="213">
        <f>IFERROR(__xludf.DUMMYFUNCTION("""COMPUTED_VALUE"""),1.0)</f>
        <v>1</v>
      </c>
      <c r="N1960" s="213">
        <f>IFERROR(__xludf.DUMMYFUNCTION("""COMPUTED_VALUE"""),1.0)</f>
        <v>1</v>
      </c>
      <c r="O1960" s="213">
        <f>IFERROR(__xludf.DUMMYFUNCTION("""COMPUTED_VALUE"""),1.0)</f>
        <v>1</v>
      </c>
      <c r="P1960" s="213"/>
      <c r="Q1960" s="213"/>
      <c r="R1960" s="213" t="str">
        <f>IFERROR(__xludf.DUMMYFUNCTION("""COMPUTED_VALUE"""),"SI")</f>
        <v>SI</v>
      </c>
      <c r="S1960" s="213"/>
      <c r="T1960" s="213" t="str">
        <f>IFERROR(__xludf.DUMMYFUNCTION("""COMPUTED_VALUE"""),"SI")</f>
        <v>SI</v>
      </c>
      <c r="U1960" s="213" t="str">
        <f>IFERROR(__xludf.DUMMYFUNCTION("""COMPUTED_VALUE"""),"SI")</f>
        <v>SI</v>
      </c>
      <c r="V1960" s="213" t="str">
        <f>IFERROR(__xludf.DUMMYFUNCTION("""COMPUTED_VALUE"""),"-")</f>
        <v>-</v>
      </c>
      <c r="W1960" s="213" t="str">
        <f>IFERROR(__xludf.DUMMYFUNCTION("""COMPUTED_VALUE"""),"-")</f>
        <v>-</v>
      </c>
      <c r="X1960" s="213" t="str">
        <f>IFERROR(__xludf.DUMMYFUNCTION("""COMPUTED_VALUE"""),"Scepter Corporation")</f>
        <v>Scepter Corporation</v>
      </c>
      <c r="Y1960" s="213">
        <f>IFERROR(__xludf.DUMMYFUNCTION("""COMPUTED_VALUE"""),71203.0)</f>
        <v>71203</v>
      </c>
      <c r="Z1960" s="215" t="str">
        <f>IFERROR(__xludf.DUMMYFUNCTION("""COMPUTED_VALUE"""),"https://drive.google.com/file/d/1r0u7iSw0bQjpqfYjT9EbVw82Dn1Dx9oR/view")</f>
        <v>https://drive.google.com/file/d/1r0u7iSw0bQjpqfYjT9EbVw82Dn1Dx9oR/view</v>
      </c>
      <c r="AA1960" s="213" t="str">
        <f>IFERROR(__xludf.DUMMYFUNCTION("""COMPUTED_VALUE"""),"MAT-167 GALONERAS - CET")</f>
        <v>MAT-167 GALONERAS - CET</v>
      </c>
      <c r="AB1960" s="213"/>
      <c r="AC1960" s="213"/>
      <c r="AD1960" s="213"/>
      <c r="AE1960" s="213"/>
      <c r="AF1960" s="213"/>
      <c r="AG1960" s="213"/>
      <c r="AH1960" s="213"/>
      <c r="AI1960" s="213"/>
      <c r="AJ1960" s="213"/>
      <c r="AK1960" s="213"/>
      <c r="AL1960" s="213"/>
      <c r="AM1960" s="213"/>
      <c r="AN1960" s="213"/>
      <c r="AO1960" s="213"/>
      <c r="AP1960" s="213" t="str">
        <f>IFERROR(__xludf.DUMMYFUNCTION("""COMPUTED_VALUE"""),"LUIS")</f>
        <v>LUIS</v>
      </c>
      <c r="AQ1960" s="213"/>
      <c r="AR1960" s="213"/>
      <c r="AS1960" s="213"/>
      <c r="AT1960" s="213"/>
      <c r="AU1960" s="213"/>
      <c r="AV1960" s="213"/>
      <c r="AW1960" s="213"/>
      <c r="AX1960" s="213"/>
      <c r="AY1960" s="213"/>
      <c r="AZ1960" s="213"/>
      <c r="BA1960" s="213"/>
      <c r="BB1960" s="213"/>
      <c r="BC1960" s="213"/>
      <c r="BD1960" s="213"/>
    </row>
    <row r="1961">
      <c r="A1961" s="213">
        <f>IFERROR(__xludf.DUMMYFUNCTION("""COMPUTED_VALUE"""),601.0)</f>
        <v>601</v>
      </c>
      <c r="B1961" s="213" t="str">
        <f>IFERROR(__xludf.DUMMYFUNCTION("""COMPUTED_VALUE"""),"2026 SIMON BOLIVAR")</f>
        <v>2026 SIMON BOLIVAR</v>
      </c>
      <c r="C1961" s="213" t="str">
        <f>IFERROR(__xludf.DUMMYFUNCTION("""COMPUTED_VALUE"""),"TALLER SFT DE INDUSTRIA ALIMENTARIA")</f>
        <v>TALLER SFT DE INDUSTRIA ALIMENTARIA</v>
      </c>
      <c r="D1961" s="213" t="str">
        <f>IFERROR(__xludf.DUMMYFUNCTION("""COMPUTED_VALUE"""),"EQUIPOS")</f>
        <v>EQUIPOS</v>
      </c>
      <c r="E1961" s="213" t="str">
        <f>IFERROR(__xludf.DUMMYFUNCTION("""COMPUTED_VALUE"""),"ESP-284")</f>
        <v>ESP-284</v>
      </c>
      <c r="F1961" s="213" t="str">
        <f>IFERROR(__xludf.DUMMYFUNCTION("""COMPUTED_VALUE"""),"ESP-284")</f>
        <v>ESP-284</v>
      </c>
      <c r="G1961" s="213"/>
      <c r="H1961" s="213" t="str">
        <f>IFERROR(__xludf.DUMMYFUNCTION("""COMPUTED_VALUE"""),"OLLA A PRESIÓN 9 LITROS")</f>
        <v>OLLA A PRESIÓN 9 LITROS</v>
      </c>
      <c r="I1961" s="213" t="str">
        <f>IFERROR(__xludf.DUMMYFUNCTION("""COMPUTED_VALUE"""),"· Cuatro válvulas de siseo, de presión, de resorte y fundible.
· Fabricación de aluminio durable y ligero.
· 4 válvulas de seguridad para mayor confiabilidad.
· Tapa con cierre de seguridad.
· Filtro integrado para retener partículas de alimentos y evitar"&amp;" la obstrucción de la válvula de presión.
· Doble asa para un manejo más cómodo.")</f>
        <v>· Cuatro válvulas de siseo, de presión, de resorte y fundible.
· Fabricación de aluminio durable y ligero.
· 4 válvulas de seguridad para mayor confiabilidad.
· Tapa con cierre de seguridad.
· Filtro integrado para retener partículas de alimentos y evitar la obstrucción de la válvula de presión.
· Doble asa para un manejo más cómodo.</v>
      </c>
      <c r="J1961" s="213">
        <f>IFERROR(__xludf.DUMMYFUNCTION("""COMPUTED_VALUE"""),3.0)</f>
        <v>3</v>
      </c>
      <c r="K1961" s="213" t="str">
        <f>IFERROR(__xludf.DUMMYFUNCTION("""COMPUTED_VALUE"""),"170 DÍAS CALENDARIO")</f>
        <v>170 DÍAS CALENDARIO</v>
      </c>
      <c r="L1961" s="213" t="str">
        <f>IFERROR(__xludf.DUMMYFUNCTION("""COMPUTED_VALUE"""),"")</f>
        <v/>
      </c>
      <c r="M1961" s="213">
        <f>IFERROR(__xludf.DUMMYFUNCTION("""COMPUTED_VALUE"""),1.0)</f>
        <v>1</v>
      </c>
      <c r="N1961" s="213">
        <f>IFERROR(__xludf.DUMMYFUNCTION("""COMPUTED_VALUE"""),2.0)</f>
        <v>2</v>
      </c>
      <c r="O1961" s="213">
        <f>IFERROR(__xludf.DUMMYFUNCTION("""COMPUTED_VALUE"""),2.0)</f>
        <v>2</v>
      </c>
      <c r="P1961" s="213"/>
      <c r="Q1961" s="213"/>
      <c r="R1961" s="213"/>
      <c r="S1961" s="213" t="str">
        <f>IFERROR(__xludf.DUMMYFUNCTION("""COMPUTED_VALUE"""),"SI")</f>
        <v>SI</v>
      </c>
      <c r="T1961" s="213" t="str">
        <f>IFERROR(__xludf.DUMMYFUNCTION("""COMPUTED_VALUE"""),"SI")</f>
        <v>SI</v>
      </c>
      <c r="U1961" s="213" t="str">
        <f>IFERROR(__xludf.DUMMYFUNCTION("""COMPUTED_VALUE"""),"SI")</f>
        <v>SI</v>
      </c>
      <c r="V1961" s="213" t="str">
        <f>IFERROR(__xludf.DUMMYFUNCTION("""COMPUTED_VALUE"""),"-")</f>
        <v>-</v>
      </c>
      <c r="W1961" s="213" t="str">
        <f>IFERROR(__xludf.DUMMYFUNCTION("""COMPUTED_VALUE"""),"-")</f>
        <v>-</v>
      </c>
      <c r="X1961" s="213" t="str">
        <f>IFERROR(__xludf.DUMMYFUNCTION("""COMPUTED_VALUE"""),"OSTER")</f>
        <v>OSTER</v>
      </c>
      <c r="Y1961" s="213" t="str">
        <f>IFERROR(__xludf.DUMMYFUNCTION("""COMPUTED_VALUE"""),"4793-013")</f>
        <v>4793-013</v>
      </c>
      <c r="Z1961" s="215" t="str">
        <f>IFERROR(__xludf.DUMMYFUNCTION("""COMPUTED_VALUE"""),"https://lavictoria.ec/producto/olla-de-presion-de-9-litros-oster-4793/?srsltid=AfmBOorjdgupuTEsjSuwHJJadiC_CWMCEgb_79M8Bqoja5csSlGeQ1d9")</f>
        <v>https://lavictoria.ec/producto/olla-de-presion-de-9-litros-oster-4793/?srsltid=AfmBOorjdgupuTEsjSuwHJJadiC_CWMCEgb_79M8Bqoja5csSlGeQ1d9</v>
      </c>
      <c r="AA1961" s="213" t="str">
        <f>IFERROR(__xludf.DUMMYFUNCTION("""COMPUTED_VALUE"""),"ESP-284 OLLA A PRESIÓN 9 LITROS - CET")</f>
        <v>ESP-284 OLLA A PRESIÓN 9 LITROS - CET</v>
      </c>
      <c r="AB1961" s="215" t="str">
        <f>IFERROR(__xludf.DUMMYFUNCTION("""COMPUTED_VALUE"""),"https://drive.google.com/file/d/15QuopgjjRm4ZtFhRFJcYUga7SuX58zxy/view")</f>
        <v>https://drive.google.com/file/d/15QuopgjjRm4ZtFhRFJcYUga7SuX58zxy/view</v>
      </c>
      <c r="AC1961" s="213"/>
      <c r="AD1961" s="213"/>
      <c r="AE1961" s="213"/>
      <c r="AF1961" s="213"/>
      <c r="AG1961" s="213"/>
      <c r="AH1961" s="213" t="str">
        <f>IFERROR(__xludf.DUMMYFUNCTION("""COMPUTED_VALUE"""),"NACIONAL")</f>
        <v>NACIONAL</v>
      </c>
      <c r="AI1961" s="213"/>
      <c r="AJ1961" s="213"/>
      <c r="AK1961" s="213"/>
      <c r="AL1961" s="213"/>
      <c r="AM1961" s="213"/>
      <c r="AN1961" s="213"/>
      <c r="AO1961" s="213"/>
      <c r="AP1961" s="213" t="str">
        <f>IFERROR(__xludf.DUMMYFUNCTION("""COMPUTED_VALUE"""),"ANTONELLA")</f>
        <v>ANTONELLA</v>
      </c>
      <c r="AQ1961" s="213"/>
      <c r="AR1961" s="213"/>
      <c r="AS1961" s="213"/>
      <c r="AT1961" s="213"/>
      <c r="AU1961" s="213"/>
      <c r="AV1961" s="213"/>
      <c r="AW1961" s="213"/>
      <c r="AX1961" s="213"/>
      <c r="AY1961" s="213"/>
      <c r="AZ1961" s="213"/>
      <c r="BA1961" s="213"/>
      <c r="BB1961" s="213"/>
      <c r="BC1961" s="213"/>
      <c r="BD1961" s="213"/>
    </row>
    <row r="1962">
      <c r="A1962" s="213">
        <f>IFERROR(__xludf.DUMMYFUNCTION("""COMPUTED_VALUE"""),1227.0)</f>
        <v>1227</v>
      </c>
      <c r="B1962" s="213" t="str">
        <f>IFERROR(__xludf.DUMMYFUNCTION("""COMPUTED_VALUE"""),"FRANCISCO IRAZOLA")</f>
        <v>FRANCISCO IRAZOLA</v>
      </c>
      <c r="C1962" s="213" t="str">
        <f>IFERROR(__xludf.DUMMYFUNCTION("""COMPUTED_VALUE"""),"TALLER SFT DE INDUSTRIA ALIMENTARIA")</f>
        <v>TALLER SFT DE INDUSTRIA ALIMENTARIA</v>
      </c>
      <c r="D1962" s="213" t="str">
        <f>IFERROR(__xludf.DUMMYFUNCTION("""COMPUTED_VALUE"""),"EQUIPOS")</f>
        <v>EQUIPOS</v>
      </c>
      <c r="E1962" s="213" t="str">
        <f>IFERROR(__xludf.DUMMYFUNCTION("""COMPUTED_VALUE"""),"ESP-284")</f>
        <v>ESP-284</v>
      </c>
      <c r="F1962" s="213" t="str">
        <f>IFERROR(__xludf.DUMMYFUNCTION("""COMPUTED_VALUE"""),"ESP-284")</f>
        <v>ESP-284</v>
      </c>
      <c r="G1962" s="213"/>
      <c r="H1962" s="213" t="str">
        <f>IFERROR(__xludf.DUMMYFUNCTION("""COMPUTED_VALUE"""),"OLLA A PRESIÓN 9 LITROS")</f>
        <v>OLLA A PRESIÓN 9 LITROS</v>
      </c>
      <c r="I1962" s="213" t="str">
        <f>IFERROR(__xludf.DUMMYFUNCTION("""COMPUTED_VALUE"""),"· Cuatro válvulas de siseo, de presión, de resorte y fundible.
· Fabricación de aluminio durable y ligero.
· 4 válvulas de seguridad para mayor confiabilidad.
· Tapa con cierre de seguridad.
· Filtro integrado para retener partículas de alimentos y evitar"&amp;" la obstrucción de la válvula de presión.
· Doble asa para un manejo más cómodo.")</f>
        <v>· Cuatro válvulas de siseo, de presión, de resorte y fundible.
· Fabricación de aluminio durable y ligero.
· 4 válvulas de seguridad para mayor confiabilidad.
· Tapa con cierre de seguridad.
· Filtro integrado para retener partículas de alimentos y evitar la obstrucción de la válvula de presión.
· Doble asa para un manejo más cómodo.</v>
      </c>
      <c r="J1962" s="213">
        <f>IFERROR(__xludf.DUMMYFUNCTION("""COMPUTED_VALUE"""),3.0)</f>
        <v>3</v>
      </c>
      <c r="K1962" s="213" t="str">
        <f>IFERROR(__xludf.DUMMYFUNCTION("""COMPUTED_VALUE"""),"170 DÍAS CALENDARIO")</f>
        <v>170 DÍAS CALENDARIO</v>
      </c>
      <c r="L1962" s="213" t="str">
        <f>IFERROR(__xludf.DUMMYFUNCTION("""COMPUTED_VALUE"""),"")</f>
        <v/>
      </c>
      <c r="M1962" s="213">
        <f>IFERROR(__xludf.DUMMYFUNCTION("""COMPUTED_VALUE"""),1.0)</f>
        <v>1</v>
      </c>
      <c r="N1962" s="213">
        <f>IFERROR(__xludf.DUMMYFUNCTION("""COMPUTED_VALUE"""),2.0)</f>
        <v>2</v>
      </c>
      <c r="O1962" s="213">
        <f>IFERROR(__xludf.DUMMYFUNCTION("""COMPUTED_VALUE"""),2.0)</f>
        <v>2</v>
      </c>
      <c r="P1962" s="213"/>
      <c r="Q1962" s="213"/>
      <c r="R1962" s="213"/>
      <c r="S1962" s="213" t="str">
        <f>IFERROR(__xludf.DUMMYFUNCTION("""COMPUTED_VALUE"""),"SI")</f>
        <v>SI</v>
      </c>
      <c r="T1962" s="213" t="str">
        <f>IFERROR(__xludf.DUMMYFUNCTION("""COMPUTED_VALUE"""),"SI")</f>
        <v>SI</v>
      </c>
      <c r="U1962" s="213" t="str">
        <f>IFERROR(__xludf.DUMMYFUNCTION("""COMPUTED_VALUE"""),"SI")</f>
        <v>SI</v>
      </c>
      <c r="V1962" s="213" t="str">
        <f>IFERROR(__xludf.DUMMYFUNCTION("""COMPUTED_VALUE"""),"-")</f>
        <v>-</v>
      </c>
      <c r="W1962" s="213" t="str">
        <f>IFERROR(__xludf.DUMMYFUNCTION("""COMPUTED_VALUE"""),"-")</f>
        <v>-</v>
      </c>
      <c r="X1962" s="213" t="str">
        <f>IFERROR(__xludf.DUMMYFUNCTION("""COMPUTED_VALUE"""),"OSTER")</f>
        <v>OSTER</v>
      </c>
      <c r="Y1962" s="213" t="str">
        <f>IFERROR(__xludf.DUMMYFUNCTION("""COMPUTED_VALUE"""),"4793-013")</f>
        <v>4793-013</v>
      </c>
      <c r="Z1962" s="215" t="str">
        <f>IFERROR(__xludf.DUMMYFUNCTION("""COMPUTED_VALUE"""),"https://lavictoria.ec/producto/olla-de-presion-de-9-litros-oster-4793/?srsltid=AfmBOorjdgupuTEsjSuwHJJadiC_CWMCEgb_79M8Bqoja5csSlGeQ1d9")</f>
        <v>https://lavictoria.ec/producto/olla-de-presion-de-9-litros-oster-4793/?srsltid=AfmBOorjdgupuTEsjSuwHJJadiC_CWMCEgb_79M8Bqoja5csSlGeQ1d9</v>
      </c>
      <c r="AA1962" s="213" t="str">
        <f>IFERROR(__xludf.DUMMYFUNCTION("""COMPUTED_VALUE"""),"ESP-284 OLLA A PRESIÓN 9 LITROS - CET")</f>
        <v>ESP-284 OLLA A PRESIÓN 9 LITROS - CET</v>
      </c>
      <c r="AB1962" s="215" t="str">
        <f>IFERROR(__xludf.DUMMYFUNCTION("""COMPUTED_VALUE"""),"https://drive.google.com/file/d/15QuopgjjRm4ZtFhRFJcYUga7SuX58zxy/view")</f>
        <v>https://drive.google.com/file/d/15QuopgjjRm4ZtFhRFJcYUga7SuX58zxy/view</v>
      </c>
      <c r="AC1962" s="213"/>
      <c r="AD1962" s="213"/>
      <c r="AE1962" s="213"/>
      <c r="AF1962" s="213"/>
      <c r="AG1962" s="213"/>
      <c r="AH1962" s="213" t="str">
        <f>IFERROR(__xludf.DUMMYFUNCTION("""COMPUTED_VALUE"""),"NACIONAL")</f>
        <v>NACIONAL</v>
      </c>
      <c r="AI1962" s="213"/>
      <c r="AJ1962" s="213"/>
      <c r="AK1962" s="213"/>
      <c r="AL1962" s="213"/>
      <c r="AM1962" s="213"/>
      <c r="AN1962" s="213"/>
      <c r="AO1962" s="213"/>
      <c r="AP1962" s="213" t="str">
        <f>IFERROR(__xludf.DUMMYFUNCTION("""COMPUTED_VALUE"""),"ANTONELLA")</f>
        <v>ANTONELLA</v>
      </c>
      <c r="AQ1962" s="213"/>
      <c r="AR1962" s="213"/>
      <c r="AS1962" s="213"/>
      <c r="AT1962" s="213"/>
      <c r="AU1962" s="213"/>
      <c r="AV1962" s="213"/>
      <c r="AW1962" s="213"/>
      <c r="AX1962" s="213"/>
      <c r="AY1962" s="213"/>
      <c r="AZ1962" s="213"/>
      <c r="BA1962" s="213"/>
      <c r="BB1962" s="213"/>
      <c r="BC1962" s="213"/>
      <c r="BD1962" s="213"/>
    </row>
    <row r="1963">
      <c r="A1963" s="213">
        <f>IFERROR(__xludf.DUMMYFUNCTION("""COMPUTED_VALUE"""),1498.0)</f>
        <v>1498</v>
      </c>
      <c r="B1963" s="213" t="str">
        <f>IFERROR(__xludf.DUMMYFUNCTION("""COMPUTED_VALUE"""),"GUILLERMO E. BILLINGHURST ")</f>
        <v>GUILLERMO E. BILLINGHURST </v>
      </c>
      <c r="C1963" s="213" t="str">
        <f>IFERROR(__xludf.DUMMYFUNCTION("""COMPUTED_VALUE"""),"TALLER SFT DE INDUSTRIA ALIMENTARIA")</f>
        <v>TALLER SFT DE INDUSTRIA ALIMENTARIA</v>
      </c>
      <c r="D1963" s="213" t="str">
        <f>IFERROR(__xludf.DUMMYFUNCTION("""COMPUTED_VALUE"""),"EQUIPOS")</f>
        <v>EQUIPOS</v>
      </c>
      <c r="E1963" s="213" t="str">
        <f>IFERROR(__xludf.DUMMYFUNCTION("""COMPUTED_VALUE"""),"ESP-284")</f>
        <v>ESP-284</v>
      </c>
      <c r="F1963" s="213" t="str">
        <f>IFERROR(__xludf.DUMMYFUNCTION("""COMPUTED_VALUE"""),"ESP-284")</f>
        <v>ESP-284</v>
      </c>
      <c r="G1963" s="213"/>
      <c r="H1963" s="213" t="str">
        <f>IFERROR(__xludf.DUMMYFUNCTION("""COMPUTED_VALUE"""),"OLLA A PRESIÓN 9 LITROS")</f>
        <v>OLLA A PRESIÓN 9 LITROS</v>
      </c>
      <c r="I1963" s="213" t="str">
        <f>IFERROR(__xludf.DUMMYFUNCTION("""COMPUTED_VALUE"""),"· Cuatro válvulas de siseo, de presión, de resorte y fundible.
· Fabricación de aluminio durable y ligero.
· 4 válvulas de seguridad para mayor confiabilidad.
· Tapa con cierre de seguridad.
· Filtro integrado para retener partículas de alimentos y evitar"&amp;" la obstrucción de la válvula de presión.
· Doble asa para un manejo más cómodo.")</f>
        <v>· Cuatro válvulas de siseo, de presión, de resorte y fundible.
· Fabricación de aluminio durable y ligero.
· 4 válvulas de seguridad para mayor confiabilidad.
· Tapa con cierre de seguridad.
· Filtro integrado para retener partículas de alimentos y evitar la obstrucción de la válvula de presión.
· Doble asa para un manejo más cómodo.</v>
      </c>
      <c r="J1963" s="213">
        <f>IFERROR(__xludf.DUMMYFUNCTION("""COMPUTED_VALUE"""),3.0)</f>
        <v>3</v>
      </c>
      <c r="K1963" s="213" t="str">
        <f>IFERROR(__xludf.DUMMYFUNCTION("""COMPUTED_VALUE"""),"170 DÍAS CALENDARIO")</f>
        <v>170 DÍAS CALENDARIO</v>
      </c>
      <c r="L1963" s="213" t="str">
        <f>IFERROR(__xludf.DUMMYFUNCTION("""COMPUTED_VALUE"""),"")</f>
        <v/>
      </c>
      <c r="M1963" s="213">
        <f>IFERROR(__xludf.DUMMYFUNCTION("""COMPUTED_VALUE"""),1.0)</f>
        <v>1</v>
      </c>
      <c r="N1963" s="213">
        <f>IFERROR(__xludf.DUMMYFUNCTION("""COMPUTED_VALUE"""),2.0)</f>
        <v>2</v>
      </c>
      <c r="O1963" s="213">
        <f>IFERROR(__xludf.DUMMYFUNCTION("""COMPUTED_VALUE"""),2.0)</f>
        <v>2</v>
      </c>
      <c r="P1963" s="213"/>
      <c r="Q1963" s="213"/>
      <c r="R1963" s="213"/>
      <c r="S1963" s="213" t="str">
        <f>IFERROR(__xludf.DUMMYFUNCTION("""COMPUTED_VALUE"""),"SI")</f>
        <v>SI</v>
      </c>
      <c r="T1963" s="213" t="str">
        <f>IFERROR(__xludf.DUMMYFUNCTION("""COMPUTED_VALUE"""),"SI")</f>
        <v>SI</v>
      </c>
      <c r="U1963" s="213" t="str">
        <f>IFERROR(__xludf.DUMMYFUNCTION("""COMPUTED_VALUE"""),"SI")</f>
        <v>SI</v>
      </c>
      <c r="V1963" s="213" t="str">
        <f>IFERROR(__xludf.DUMMYFUNCTION("""COMPUTED_VALUE"""),"-")</f>
        <v>-</v>
      </c>
      <c r="W1963" s="213" t="str">
        <f>IFERROR(__xludf.DUMMYFUNCTION("""COMPUTED_VALUE"""),"-")</f>
        <v>-</v>
      </c>
      <c r="X1963" s="213" t="str">
        <f>IFERROR(__xludf.DUMMYFUNCTION("""COMPUTED_VALUE"""),"OSTER")</f>
        <v>OSTER</v>
      </c>
      <c r="Y1963" s="213" t="str">
        <f>IFERROR(__xludf.DUMMYFUNCTION("""COMPUTED_VALUE"""),"4793-013")</f>
        <v>4793-013</v>
      </c>
      <c r="Z1963" s="215" t="str">
        <f>IFERROR(__xludf.DUMMYFUNCTION("""COMPUTED_VALUE"""),"https://lavictoria.ec/producto/olla-de-presion-de-9-litros-oster-4793/?srsltid=AfmBOorjdgupuTEsjSuwHJJadiC_CWMCEgb_79M8Bqoja5csSlGeQ1d9")</f>
        <v>https://lavictoria.ec/producto/olla-de-presion-de-9-litros-oster-4793/?srsltid=AfmBOorjdgupuTEsjSuwHJJadiC_CWMCEgb_79M8Bqoja5csSlGeQ1d9</v>
      </c>
      <c r="AA1963" s="213" t="str">
        <f>IFERROR(__xludf.DUMMYFUNCTION("""COMPUTED_VALUE"""),"ESP-284 OLLA A PRESIÓN 9 LITROS - CET")</f>
        <v>ESP-284 OLLA A PRESIÓN 9 LITROS - CET</v>
      </c>
      <c r="AB1963" s="215" t="str">
        <f>IFERROR(__xludf.DUMMYFUNCTION("""COMPUTED_VALUE"""),"https://drive.google.com/file/d/15QuopgjjRm4ZtFhRFJcYUga7SuX58zxy/view")</f>
        <v>https://drive.google.com/file/d/15QuopgjjRm4ZtFhRFJcYUga7SuX58zxy/view</v>
      </c>
      <c r="AC1963" s="213"/>
      <c r="AD1963" s="213"/>
      <c r="AE1963" s="213"/>
      <c r="AF1963" s="213"/>
      <c r="AG1963" s="213"/>
      <c r="AH1963" s="213" t="str">
        <f>IFERROR(__xludf.DUMMYFUNCTION("""COMPUTED_VALUE"""),"NACIONAL")</f>
        <v>NACIONAL</v>
      </c>
      <c r="AI1963" s="213"/>
      <c r="AJ1963" s="213"/>
      <c r="AK1963" s="213"/>
      <c r="AL1963" s="213"/>
      <c r="AM1963" s="213"/>
      <c r="AN1963" s="213"/>
      <c r="AO1963" s="213"/>
      <c r="AP1963" s="213" t="str">
        <f>IFERROR(__xludf.DUMMYFUNCTION("""COMPUTED_VALUE"""),"ANTONELLA")</f>
        <v>ANTONELLA</v>
      </c>
      <c r="AQ1963" s="213"/>
      <c r="AR1963" s="213"/>
      <c r="AS1963" s="213"/>
      <c r="AT1963" s="213"/>
      <c r="AU1963" s="213"/>
      <c r="AV1963" s="213"/>
      <c r="AW1963" s="213"/>
      <c r="AX1963" s="213"/>
      <c r="AY1963" s="213"/>
      <c r="AZ1963" s="213"/>
      <c r="BA1963" s="213"/>
      <c r="BB1963" s="213"/>
      <c r="BC1963" s="213"/>
      <c r="BD1963" s="213"/>
    </row>
    <row r="1964">
      <c r="A1964" s="213">
        <f>IFERROR(__xludf.DUMMYFUNCTION("""COMPUTED_VALUE"""),2190.0)</f>
        <v>2190</v>
      </c>
      <c r="B1964" s="213" t="str">
        <f>IFERROR(__xludf.DUMMYFUNCTION("""COMPUTED_VALUE"""),"JOSE GRANDA")</f>
        <v>JOSE GRANDA</v>
      </c>
      <c r="C1964" s="213" t="str">
        <f>IFERROR(__xludf.DUMMYFUNCTION("""COMPUTED_VALUE"""),"TALLER SFT DE INDUSTRIA ALIMENTARIA")</f>
        <v>TALLER SFT DE INDUSTRIA ALIMENTARIA</v>
      </c>
      <c r="D1964" s="213" t="str">
        <f>IFERROR(__xludf.DUMMYFUNCTION("""COMPUTED_VALUE"""),"EQUIPOS")</f>
        <v>EQUIPOS</v>
      </c>
      <c r="E1964" s="213" t="str">
        <f>IFERROR(__xludf.DUMMYFUNCTION("""COMPUTED_VALUE"""),"ESP-284")</f>
        <v>ESP-284</v>
      </c>
      <c r="F1964" s="213" t="str">
        <f>IFERROR(__xludf.DUMMYFUNCTION("""COMPUTED_VALUE"""),"ESP-284")</f>
        <v>ESP-284</v>
      </c>
      <c r="G1964" s="213"/>
      <c r="H1964" s="213" t="str">
        <f>IFERROR(__xludf.DUMMYFUNCTION("""COMPUTED_VALUE"""),"OLLA A PRESIÓN 9 LITROS")</f>
        <v>OLLA A PRESIÓN 9 LITROS</v>
      </c>
      <c r="I1964" s="213" t="str">
        <f>IFERROR(__xludf.DUMMYFUNCTION("""COMPUTED_VALUE"""),"· Cuatro válvulas de siseo, de presión, de resorte y fundible.
· Fabricación de aluminio durable y ligero.
· 4 válvulas de seguridad para mayor confiabilidad.
· Tapa con cierre de seguridad.
· Filtro integrado para retener partículas de alimentos y evitar"&amp;" la obstrucción de la válvula de presión.
· Doble asa para un manejo más cómodo.")</f>
        <v>· Cuatro válvulas de siseo, de presión, de resorte y fundible.
· Fabricación de aluminio durable y ligero.
· 4 válvulas de seguridad para mayor confiabilidad.
· Tapa con cierre de seguridad.
· Filtro integrado para retener partículas de alimentos y evitar la obstrucción de la válvula de presión.
· Doble asa para un manejo más cómodo.</v>
      </c>
      <c r="J1964" s="213">
        <f>IFERROR(__xludf.DUMMYFUNCTION("""COMPUTED_VALUE"""),3.0)</f>
        <v>3</v>
      </c>
      <c r="K1964" s="213" t="str">
        <f>IFERROR(__xludf.DUMMYFUNCTION("""COMPUTED_VALUE"""),"170 DÍAS CALENDARIO")</f>
        <v>170 DÍAS CALENDARIO</v>
      </c>
      <c r="L1964" s="213" t="str">
        <f>IFERROR(__xludf.DUMMYFUNCTION("""COMPUTED_VALUE"""),"")</f>
        <v/>
      </c>
      <c r="M1964" s="213">
        <f>IFERROR(__xludf.DUMMYFUNCTION("""COMPUTED_VALUE"""),1.0)</f>
        <v>1</v>
      </c>
      <c r="N1964" s="213">
        <f>IFERROR(__xludf.DUMMYFUNCTION("""COMPUTED_VALUE"""),2.0)</f>
        <v>2</v>
      </c>
      <c r="O1964" s="213">
        <f>IFERROR(__xludf.DUMMYFUNCTION("""COMPUTED_VALUE"""),2.0)</f>
        <v>2</v>
      </c>
      <c r="P1964" s="213"/>
      <c r="Q1964" s="213"/>
      <c r="R1964" s="213"/>
      <c r="S1964" s="213" t="str">
        <f>IFERROR(__xludf.DUMMYFUNCTION("""COMPUTED_VALUE"""),"SI")</f>
        <v>SI</v>
      </c>
      <c r="T1964" s="213" t="str">
        <f>IFERROR(__xludf.DUMMYFUNCTION("""COMPUTED_VALUE"""),"SI")</f>
        <v>SI</v>
      </c>
      <c r="U1964" s="213" t="str">
        <f>IFERROR(__xludf.DUMMYFUNCTION("""COMPUTED_VALUE"""),"SI")</f>
        <v>SI</v>
      </c>
      <c r="V1964" s="213" t="str">
        <f>IFERROR(__xludf.DUMMYFUNCTION("""COMPUTED_VALUE"""),"-")</f>
        <v>-</v>
      </c>
      <c r="W1964" s="213" t="str">
        <f>IFERROR(__xludf.DUMMYFUNCTION("""COMPUTED_VALUE"""),"-")</f>
        <v>-</v>
      </c>
      <c r="X1964" s="213" t="str">
        <f>IFERROR(__xludf.DUMMYFUNCTION("""COMPUTED_VALUE"""),"OSTER")</f>
        <v>OSTER</v>
      </c>
      <c r="Y1964" s="213" t="str">
        <f>IFERROR(__xludf.DUMMYFUNCTION("""COMPUTED_VALUE"""),"4793-013")</f>
        <v>4793-013</v>
      </c>
      <c r="Z1964" s="215" t="str">
        <f>IFERROR(__xludf.DUMMYFUNCTION("""COMPUTED_VALUE"""),"https://lavictoria.ec/producto/olla-de-presion-de-9-litros-oster-4793/?srsltid=AfmBOorjdgupuTEsjSuwHJJadiC_CWMCEgb_79M8Bqoja5csSlGeQ1d9")</f>
        <v>https://lavictoria.ec/producto/olla-de-presion-de-9-litros-oster-4793/?srsltid=AfmBOorjdgupuTEsjSuwHJJadiC_CWMCEgb_79M8Bqoja5csSlGeQ1d9</v>
      </c>
      <c r="AA1964" s="213" t="str">
        <f>IFERROR(__xludf.DUMMYFUNCTION("""COMPUTED_VALUE"""),"ESP-284 OLLA A PRESIÓN 9 LITROS - CET")</f>
        <v>ESP-284 OLLA A PRESIÓN 9 LITROS - CET</v>
      </c>
      <c r="AB1964" s="215" t="str">
        <f>IFERROR(__xludf.DUMMYFUNCTION("""COMPUTED_VALUE"""),"https://drive.google.com/file/d/15QuopgjjRm4ZtFhRFJcYUga7SuX58zxy/view")</f>
        <v>https://drive.google.com/file/d/15QuopgjjRm4ZtFhRFJcYUga7SuX58zxy/view</v>
      </c>
      <c r="AC1964" s="213"/>
      <c r="AD1964" s="213"/>
      <c r="AE1964" s="213"/>
      <c r="AF1964" s="213"/>
      <c r="AG1964" s="213"/>
      <c r="AH1964" s="213" t="str">
        <f>IFERROR(__xludf.DUMMYFUNCTION("""COMPUTED_VALUE"""),"NACIONAL")</f>
        <v>NACIONAL</v>
      </c>
      <c r="AI1964" s="213"/>
      <c r="AJ1964" s="213"/>
      <c r="AK1964" s="213"/>
      <c r="AL1964" s="213"/>
      <c r="AM1964" s="213"/>
      <c r="AN1964" s="213"/>
      <c r="AO1964" s="213"/>
      <c r="AP1964" s="213" t="str">
        <f>IFERROR(__xludf.DUMMYFUNCTION("""COMPUTED_VALUE"""),"ANTONELLA")</f>
        <v>ANTONELLA</v>
      </c>
      <c r="AQ1964" s="213"/>
      <c r="AR1964" s="213"/>
      <c r="AS1964" s="213"/>
      <c r="AT1964" s="213"/>
      <c r="AU1964" s="213"/>
      <c r="AV1964" s="213"/>
      <c r="AW1964" s="213"/>
      <c r="AX1964" s="213"/>
      <c r="AY1964" s="213"/>
      <c r="AZ1964" s="213"/>
      <c r="BA1964" s="213"/>
      <c r="BB1964" s="213"/>
      <c r="BC1964" s="213"/>
      <c r="BD1964" s="213"/>
    </row>
    <row r="1965">
      <c r="A1965" s="213">
        <f>IFERROR(__xludf.DUMMYFUNCTION("""COMPUTED_VALUE"""),122.0)</f>
        <v>122</v>
      </c>
      <c r="B1965" s="213" t="str">
        <f>IFERROR(__xludf.DUMMYFUNCTION("""COMPUTED_VALUE"""),"16449 ELOY SOBERON  FLORES")</f>
        <v>16449 ELOY SOBERON  FLORES</v>
      </c>
      <c r="C1965" s="213" t="str">
        <f>IFERROR(__xludf.DUMMYFUNCTION("""COMPUTED_VALUE"""),"TALLER SFT DE COCINA Y REPOSTERÍA")</f>
        <v>TALLER SFT DE COCINA Y REPOSTERÍA</v>
      </c>
      <c r="D1965" s="213" t="str">
        <f>IFERROR(__xludf.DUMMYFUNCTION("""COMPUTED_VALUE"""),"EQUIPOS")</f>
        <v>EQUIPOS</v>
      </c>
      <c r="E1965" s="213" t="str">
        <f>IFERROR(__xludf.DUMMYFUNCTION("""COMPUTED_VALUE"""),"ESP-285")</f>
        <v>ESP-285</v>
      </c>
      <c r="F1965" s="213" t="str">
        <f>IFERROR(__xludf.DUMMYFUNCTION("""COMPUTED_VALUE"""),"ESP-285")</f>
        <v>ESP-285</v>
      </c>
      <c r="G1965" s="213"/>
      <c r="H1965" s="213" t="str">
        <f>IFERROR(__xludf.DUMMYFUNCTION("""COMPUTED_VALUE"""),"OLLA ARROCERA")</f>
        <v>OLLA ARROCERA</v>
      </c>
      <c r="I1965" s="213" t="str">
        <f>IFERROR(__xludf.DUMMYFUNCTION("""COMPUTED_VALUE"""),"· Material de la carcasa: acero inoxidable.
· Función: olla con recubrimiento antiadherente.
· Accesorios: Taza de medir, Remo, Vaporera de bambú
· Capacidad de: 4 litros minimo
.Voltaje 220V/60/HZ")</f>
        <v>· Material de la carcasa: acero inoxidable.
· Función: olla con recubrimiento antiadherente.
· Accesorios: Taza de medir, Remo, Vaporera de bambú
· Capacidad de: 4 litros minimo
.Voltaje 220V/60/HZ</v>
      </c>
      <c r="J1965" s="213">
        <f>IFERROR(__xludf.DUMMYFUNCTION("""COMPUTED_VALUE"""),3.0)</f>
        <v>3</v>
      </c>
      <c r="K1965" s="213" t="str">
        <f>IFERROR(__xludf.DUMMYFUNCTION("""COMPUTED_VALUE"""),"170 DÍAS CALENDARIO")</f>
        <v>170 DÍAS CALENDARIO</v>
      </c>
      <c r="L1965" s="213" t="str">
        <f>IFERROR(__xludf.DUMMYFUNCTION("""COMPUTED_VALUE"""),"")</f>
        <v/>
      </c>
      <c r="M1965" s="213">
        <f>IFERROR(__xludf.DUMMYFUNCTION("""COMPUTED_VALUE"""),1.0)</f>
        <v>1</v>
      </c>
      <c r="N1965" s="213">
        <f>IFERROR(__xludf.DUMMYFUNCTION("""COMPUTED_VALUE"""),4.0)</f>
        <v>4</v>
      </c>
      <c r="O1965" s="213">
        <f>IFERROR(__xludf.DUMMYFUNCTION("""COMPUTED_VALUE"""),4.0)</f>
        <v>4</v>
      </c>
      <c r="P1965" s="213"/>
      <c r="Q1965" s="213"/>
      <c r="R1965" s="213"/>
      <c r="S1965" s="213" t="str">
        <f>IFERROR(__xludf.DUMMYFUNCTION("""COMPUTED_VALUE"""),"SI")</f>
        <v>SI</v>
      </c>
      <c r="T1965" s="213" t="str">
        <f>IFERROR(__xludf.DUMMYFUNCTION("""COMPUTED_VALUE"""),"SI")</f>
        <v>SI</v>
      </c>
      <c r="U1965" s="213" t="str">
        <f>IFERROR(__xludf.DUMMYFUNCTION("""COMPUTED_VALUE"""),"NO")</f>
        <v>NO</v>
      </c>
      <c r="V1965" s="213" t="str">
        <f>IFERROR(__xludf.DUMMYFUNCTION("""COMPUTED_VALUE"""),"SUSTENTO")</f>
        <v>SUSTENTO</v>
      </c>
      <c r="W1965" s="213" t="str">
        <f>IFERROR(__xludf.DUMMYFUNCTION("""COMPUTED_VALUE"""),"EQU TEC")</f>
        <v>EQU TEC</v>
      </c>
      <c r="X1965" s="213" t="str">
        <f>IFERROR(__xludf.DUMMYFUNCTION("""COMPUTED_VALUE"""),"THOMAS")</f>
        <v>THOMAS</v>
      </c>
      <c r="Y1965" s="213" t="str">
        <f>IFERROR(__xludf.DUMMYFUNCTION("""COMPUTED_VALUE"""),"TH-45P")</f>
        <v>TH-45P</v>
      </c>
      <c r="Z1965" s="215" t="str">
        <f>IFERROR(__xludf.DUMMYFUNCTION("""COMPUTED_VALUE"""),"https://www.thomas.com.pe/thomaspe/olla-th-45p.html?srsltid=AfmBOopEU_oBNR6bPTretuKfqyJtcV1RPlYQblsWPXwSYZrJazarDUG2")</f>
        <v>https://www.thomas.com.pe/thomaspe/olla-th-45p.html?srsltid=AfmBOopEU_oBNR6bPTretuKfqyJtcV1RPlYQblsWPXwSYZrJazarDUG2</v>
      </c>
      <c r="AA1965" s="213" t="str">
        <f>IFERROR(__xludf.DUMMYFUNCTION("""COMPUTED_VALUE"""),"ESP-285 OLLA ARROCERA - CET.xlsx")</f>
        <v>ESP-285 OLLA ARROCERA - CET.xlsx</v>
      </c>
      <c r="AB1965" s="215" t="str">
        <f>IFERROR(__xludf.DUMMYFUNCTION("""COMPUTED_VALUE"""),"https://www.thomas.com.pe/thomaspe/olla-th-45p.html?srsltid=AfmBOopEU_oBNR6bPTretuKfqyJtcV1RPlYQblsWPXwSYZrJazarDUG2")</f>
        <v>https://www.thomas.com.pe/thomaspe/olla-th-45p.html?srsltid=AfmBOopEU_oBNR6bPTretuKfqyJtcV1RPlYQblsWPXwSYZrJazarDUG2</v>
      </c>
      <c r="AC1965" s="213"/>
      <c r="AD1965" s="213"/>
      <c r="AE1965" s="213"/>
      <c r="AF1965" s="213"/>
      <c r="AG1965" s="213"/>
      <c r="AH1965" s="213" t="str">
        <f>IFERROR(__xludf.DUMMYFUNCTION("""COMPUTED_VALUE"""),"NACIONAL")</f>
        <v>NACIONAL</v>
      </c>
      <c r="AI1965" s="213"/>
      <c r="AJ1965" s="213"/>
      <c r="AK1965" s="213"/>
      <c r="AL1965" s="213"/>
      <c r="AM1965" s="213"/>
      <c r="AN1965" s="213"/>
      <c r="AO1965" s="213"/>
      <c r="AP1965" s="213" t="str">
        <f>IFERROR(__xludf.DUMMYFUNCTION("""COMPUTED_VALUE"""),"JORGE")</f>
        <v>JORGE</v>
      </c>
      <c r="AQ1965" s="213"/>
      <c r="AR1965" s="213"/>
      <c r="AS1965" s="213" t="str">
        <f>IFERROR(__xludf.DUMMYFUNCTION("""COMPUTED_VALUE"""),"TAZA MEDIDORA
REMO
VAPORERA DE BAMBÚ")</f>
        <v>TAZA MEDIDORA
REMO
VAPORERA DE BAMBÚ</v>
      </c>
      <c r="AT1965" s="213"/>
      <c r="AU1965" s="213"/>
      <c r="AV1965" s="213"/>
      <c r="AW1965" s="213"/>
      <c r="AX1965" s="213"/>
      <c r="AY1965" s="213"/>
      <c r="AZ1965" s="213"/>
      <c r="BA1965" s="213"/>
      <c r="BB1965" s="213"/>
      <c r="BC1965" s="213"/>
      <c r="BD1965" s="213"/>
    </row>
    <row r="1966">
      <c r="A1966" s="213">
        <f>IFERROR(__xludf.DUMMYFUNCTION("""COMPUTED_VALUE"""),2271.0)</f>
        <v>2271</v>
      </c>
      <c r="B1966" s="213" t="str">
        <f>IFERROR(__xludf.DUMMYFUNCTION("""COMPUTED_VALUE"""),"JOSE GRANDA")</f>
        <v>JOSE GRANDA</v>
      </c>
      <c r="C1966" s="213" t="str">
        <f>IFERROR(__xludf.DUMMYFUNCTION("""COMPUTED_VALUE"""),"TALLER SFT DE MECÁNICA AUTOMOTRIZ")</f>
        <v>TALLER SFT DE MECÁNICA AUTOMOTRIZ</v>
      </c>
      <c r="D1966" s="213" t="str">
        <f>IFERROR(__xludf.DUMMYFUNCTION("""COMPUTED_VALUE"""),"HERRAMIENTAS")</f>
        <v>HERRAMIENTAS</v>
      </c>
      <c r="E1966" s="213" t="str">
        <f>IFERROR(__xludf.DUMMYFUNCTION("""COMPUTED_VALUE"""),"MAT-167")</f>
        <v>MAT-167</v>
      </c>
      <c r="F1966" s="213" t="str">
        <f>IFERROR(__xludf.DUMMYFUNCTION("""COMPUTED_VALUE"""),"MAT-167")</f>
        <v>MAT-167</v>
      </c>
      <c r="G1966" s="213"/>
      <c r="H1966" s="213" t="str">
        <f>IFERROR(__xludf.DUMMYFUNCTION("""COMPUTED_VALUE"""),"GALONERA")</f>
        <v>GALONERA</v>
      </c>
      <c r="I1966" s="213" t="str">
        <f>IFERROR(__xludf.DUMMYFUNCTION("""COMPUTED_VALUE"""),"Galonera para combustible. Capacidad: mínimo 10 litros.
Adecuado para transportar combustible con seguridad. Cuenta con tapa de seguridad, con sistema de retención.
SILVERA Hilda 70998 soft")</f>
        <v>Galonera para combustible. Capacidad: mínimo 10 litros.
Adecuado para transportar combustible con seguridad. Cuenta con tapa de seguridad, con sistema de retención.
SILVERA Hilda 70998 soft</v>
      </c>
      <c r="J1966" s="213">
        <f>IFERROR(__xludf.DUMMYFUNCTION("""COMPUTED_VALUE"""),3.0)</f>
        <v>3</v>
      </c>
      <c r="K1966" s="213" t="str">
        <f>IFERROR(__xludf.DUMMYFUNCTION("""COMPUTED_VALUE"""),"90 DÍAS CALENDARIO")</f>
        <v>90 DÍAS CALENDARIO</v>
      </c>
      <c r="L1966" s="213" t="str">
        <f>IFERROR(__xludf.DUMMYFUNCTION("""COMPUTED_VALUE"""),"")</f>
        <v/>
      </c>
      <c r="M1966" s="213">
        <f>IFERROR(__xludf.DUMMYFUNCTION("""COMPUTED_VALUE"""),1.0)</f>
        <v>1</v>
      </c>
      <c r="N1966" s="213">
        <f>IFERROR(__xludf.DUMMYFUNCTION("""COMPUTED_VALUE"""),1.0)</f>
        <v>1</v>
      </c>
      <c r="O1966" s="213">
        <f>IFERROR(__xludf.DUMMYFUNCTION("""COMPUTED_VALUE"""),1.0)</f>
        <v>1</v>
      </c>
      <c r="P1966" s="213"/>
      <c r="Q1966" s="213"/>
      <c r="R1966" s="213" t="str">
        <f>IFERROR(__xludf.DUMMYFUNCTION("""COMPUTED_VALUE"""),"SI")</f>
        <v>SI</v>
      </c>
      <c r="S1966" s="213"/>
      <c r="T1966" s="213" t="str">
        <f>IFERROR(__xludf.DUMMYFUNCTION("""COMPUTED_VALUE"""),"SI")</f>
        <v>SI</v>
      </c>
      <c r="U1966" s="213" t="str">
        <f>IFERROR(__xludf.DUMMYFUNCTION("""COMPUTED_VALUE"""),"SI")</f>
        <v>SI</v>
      </c>
      <c r="V1966" s="213" t="str">
        <f>IFERROR(__xludf.DUMMYFUNCTION("""COMPUTED_VALUE"""),"-")</f>
        <v>-</v>
      </c>
      <c r="W1966" s="213" t="str">
        <f>IFERROR(__xludf.DUMMYFUNCTION("""COMPUTED_VALUE"""),"-")</f>
        <v>-</v>
      </c>
      <c r="X1966" s="213" t="str">
        <f>IFERROR(__xludf.DUMMYFUNCTION("""COMPUTED_VALUE"""),"Scepter Corporation")</f>
        <v>Scepter Corporation</v>
      </c>
      <c r="Y1966" s="213">
        <f>IFERROR(__xludf.DUMMYFUNCTION("""COMPUTED_VALUE"""),71203.0)</f>
        <v>71203</v>
      </c>
      <c r="Z1966" s="215" t="str">
        <f>IFERROR(__xludf.DUMMYFUNCTION("""COMPUTED_VALUE"""),"https://drive.google.com/file/d/1r0u7iSw0bQjpqfYjT9EbVw82Dn1Dx9oR/view")</f>
        <v>https://drive.google.com/file/d/1r0u7iSw0bQjpqfYjT9EbVw82Dn1Dx9oR/view</v>
      </c>
      <c r="AA1966" s="213" t="str">
        <f>IFERROR(__xludf.DUMMYFUNCTION("""COMPUTED_VALUE"""),"MAT-167 GALONERAS - CET")</f>
        <v>MAT-167 GALONERAS - CET</v>
      </c>
      <c r="AB1966" s="213"/>
      <c r="AC1966" s="213"/>
      <c r="AD1966" s="213"/>
      <c r="AE1966" s="213"/>
      <c r="AF1966" s="213"/>
      <c r="AG1966" s="213"/>
      <c r="AH1966" s="213"/>
      <c r="AI1966" s="213"/>
      <c r="AJ1966" s="213"/>
      <c r="AK1966" s="213"/>
      <c r="AL1966" s="213"/>
      <c r="AM1966" s="213"/>
      <c r="AN1966" s="213"/>
      <c r="AO1966" s="213"/>
      <c r="AP1966" s="213" t="str">
        <f>IFERROR(__xludf.DUMMYFUNCTION("""COMPUTED_VALUE"""),"LUIS")</f>
        <v>LUIS</v>
      </c>
      <c r="AQ1966" s="213"/>
      <c r="AR1966" s="213"/>
      <c r="AS1966" s="213"/>
      <c r="AT1966" s="213"/>
      <c r="AU1966" s="213"/>
      <c r="AV1966" s="213"/>
      <c r="AW1966" s="213"/>
      <c r="AX1966" s="213"/>
      <c r="AY1966" s="213"/>
      <c r="AZ1966" s="213"/>
      <c r="BA1966" s="213"/>
      <c r="BB1966" s="213"/>
      <c r="BC1966" s="213"/>
      <c r="BD1966" s="213"/>
    </row>
    <row r="1967">
      <c r="A1967" s="213">
        <f>IFERROR(__xludf.DUMMYFUNCTION("""COMPUTED_VALUE"""),72.0)</f>
        <v>72</v>
      </c>
      <c r="B1967" s="213" t="str">
        <f>IFERROR(__xludf.DUMMYFUNCTION("""COMPUTED_VALUE"""),"16449 ELOY SOBERON  FLORES")</f>
        <v>16449 ELOY SOBERON  FLORES</v>
      </c>
      <c r="C1967" s="213" t="str">
        <f>IFERROR(__xludf.DUMMYFUNCTION("""COMPUTED_VALUE"""),"TALLER SFT DE COCINA Y REPOSTERÍA")</f>
        <v>TALLER SFT DE COCINA Y REPOSTERÍA</v>
      </c>
      <c r="D1967" s="213" t="str">
        <f>IFERROR(__xludf.DUMMYFUNCTION("""COMPUTED_VALUE"""),"HERRAMIENTAS")</f>
        <v>HERRAMIENTAS</v>
      </c>
      <c r="E1967" s="213" t="str">
        <f>IFERROR(__xludf.DUMMYFUNCTION("""COMPUTED_VALUE"""),"MAT-169")</f>
        <v>MAT-169</v>
      </c>
      <c r="F1967" s="213" t="str">
        <f>IFERROR(__xludf.DUMMYFUNCTION("""COMPUTED_VALUE"""),"MAT-169")</f>
        <v>MAT-169</v>
      </c>
      <c r="G1967" s="213"/>
      <c r="H1967" s="213" t="str">
        <f>IFERROR(__xludf.DUMMYFUNCTION("""COMPUTED_VALUE"""),"GORROS PROTECTORES PARA EL CABELLO")</f>
        <v>GORROS PROTECTORES PARA EL CABELLO</v>
      </c>
      <c r="I1967" s="213" t="str">
        <f>IFERROR(__xludf.DUMMYFUNCTION("""COMPUTED_VALUE"""),"· Tallas: 21"" y 24"".
· Colores: Blanco
· Material: SPP.
· Empaque en cajas dispensadoras o a granel.
· Sin Látex.")</f>
        <v>· Tallas: 21" y 24".
· Colores: Blanco
· Material: SPP.
· Empaque en cajas dispensadoras o a granel.
· Sin Látex.</v>
      </c>
      <c r="J1967" s="213">
        <f>IFERROR(__xludf.DUMMYFUNCTION("""COMPUTED_VALUE"""),3.0)</f>
        <v>3</v>
      </c>
      <c r="K1967" s="213" t="str">
        <f>IFERROR(__xludf.DUMMYFUNCTION("""COMPUTED_VALUE"""),"90 DÍAS CALENDARIO")</f>
        <v>90 DÍAS CALENDARIO</v>
      </c>
      <c r="L1967" s="213" t="str">
        <f>IFERROR(__xludf.DUMMYFUNCTION("""COMPUTED_VALUE"""),"COCINA Y REPOSTERÍA, INDUSTRIA ALIMENTARIA")</f>
        <v>COCINA Y REPOSTERÍA, INDUSTRIA ALIMENTARIA</v>
      </c>
      <c r="M1967" s="213">
        <f>IFERROR(__xludf.DUMMYFUNCTION("""COMPUTED_VALUE"""),1.0)</f>
        <v>1</v>
      </c>
      <c r="N1967" s="213">
        <f>IFERROR(__xludf.DUMMYFUNCTION("""COMPUTED_VALUE"""),20.0)</f>
        <v>20</v>
      </c>
      <c r="O1967" s="213">
        <f>IFERROR(__xludf.DUMMYFUNCTION("""COMPUTED_VALUE"""),20.0)</f>
        <v>20</v>
      </c>
      <c r="P1967" s="213"/>
      <c r="Q1967" s="213"/>
      <c r="R1967" s="213" t="str">
        <f>IFERROR(__xludf.DUMMYFUNCTION("""COMPUTED_VALUE"""),"SI")</f>
        <v>SI</v>
      </c>
      <c r="S1967" s="213"/>
      <c r="T1967" s="213" t="str">
        <f>IFERROR(__xludf.DUMMYFUNCTION("""COMPUTED_VALUE"""),"SI")</f>
        <v>SI</v>
      </c>
      <c r="U1967" s="213" t="str">
        <f>IFERROR(__xludf.DUMMYFUNCTION("""COMPUTED_VALUE"""),"SI")</f>
        <v>SI</v>
      </c>
      <c r="V1967" s="213" t="str">
        <f>IFERROR(__xludf.DUMMYFUNCTION("""COMPUTED_VALUE"""),"-")</f>
        <v>-</v>
      </c>
      <c r="W1967" s="213" t="str">
        <f>IFERROR(__xludf.DUMMYFUNCTION("""COMPUTED_VALUE"""),"-")</f>
        <v>-</v>
      </c>
      <c r="X1967" s="213" t="str">
        <f>IFERROR(__xludf.DUMMYFUNCTION("""COMPUTED_VALUE"""),"MEDICAL NATION")</f>
        <v>MEDICAL NATION</v>
      </c>
      <c r="Y1967" s="213" t="str">
        <f>IFERROR(__xludf.DUMMYFUNCTION("""COMPUTED_VALUE"""),"B094KLCQLV")</f>
        <v>B094KLCQLV</v>
      </c>
      <c r="Z1967" s="215" t="str">
        <f>IFERROR(__xludf.DUMMYFUNCTION("""COMPUTED_VALUE"""),"https://www.amazon.com/-/es/pulgadas-desechables-Bouffant-redecillas-perfectas/dp/B094KLCQLV")</f>
        <v>https://www.amazon.com/-/es/pulgadas-desechables-Bouffant-redecillas-perfectas/dp/B094KLCQLV</v>
      </c>
      <c r="AA1967" s="213" t="str">
        <f>IFERROR(__xludf.DUMMYFUNCTION("""COMPUTED_VALUE"""),"MAT-169 GORROS PROTECTORES PARA EL CABELLO - CET")</f>
        <v>MAT-169 GORROS PROTECTORES PARA EL CABELLO - CET</v>
      </c>
      <c r="AB1967" s="213"/>
      <c r="AC1967" s="215" t="str">
        <f>IFERROR(__xludf.DUMMYFUNCTION("""COMPUTED_VALUE"""),"https://drive.google.com/file/d/1LqBxJXb39f_mrL6wpRQJDuDI3ffaR52A/view?usp=sharing")</f>
        <v>https://drive.google.com/file/d/1LqBxJXb39f_mrL6wpRQJDuDI3ffaR52A/view?usp=sharing</v>
      </c>
      <c r="AD1967" s="213"/>
      <c r="AE1967" s="213"/>
      <c r="AF1967" s="213"/>
      <c r="AG1967" s="213"/>
      <c r="AH1967" s="213" t="str">
        <f>IFERROR(__xludf.DUMMYFUNCTION("""COMPUTED_VALUE"""),"IMPORTADO")</f>
        <v>IMPORTADO</v>
      </c>
      <c r="AI1967" s="213"/>
      <c r="AJ1967" s="213"/>
      <c r="AK1967" s="213"/>
      <c r="AL1967" s="213"/>
      <c r="AM1967" s="213"/>
      <c r="AN1967" s="213"/>
      <c r="AO1967" s="213"/>
      <c r="AP1967" s="213" t="str">
        <f>IFERROR(__xludf.DUMMYFUNCTION("""COMPUTED_VALUE"""),"SEBASTIAN")</f>
        <v>SEBASTIAN</v>
      </c>
      <c r="AQ1967" s="213"/>
      <c r="AR1967" s="213"/>
      <c r="AS1967" s="213"/>
      <c r="AT1967" s="213"/>
      <c r="AU1967" s="213"/>
      <c r="AV1967" s="213"/>
      <c r="AW1967" s="213"/>
      <c r="AX1967" s="213"/>
      <c r="AY1967" s="213"/>
      <c r="AZ1967" s="213"/>
      <c r="BA1967" s="213"/>
      <c r="BB1967" s="213"/>
      <c r="BC1967" s="213"/>
      <c r="BD1967" s="213"/>
    </row>
    <row r="1968">
      <c r="A1968" s="213">
        <f>IFERROR(__xludf.DUMMYFUNCTION("""COMPUTED_VALUE"""),530.0)</f>
        <v>530</v>
      </c>
      <c r="B1968" s="213" t="str">
        <f>IFERROR(__xludf.DUMMYFUNCTION("""COMPUTED_VALUE"""),"2026 SIMON BOLIVAR")</f>
        <v>2026 SIMON BOLIVAR</v>
      </c>
      <c r="C1968" s="213" t="str">
        <f>IFERROR(__xludf.DUMMYFUNCTION("""COMPUTED_VALUE"""),"TALLER SFT DE INDUSTRIA ALIMENTARIA")</f>
        <v>TALLER SFT DE INDUSTRIA ALIMENTARIA</v>
      </c>
      <c r="D1968" s="213" t="str">
        <f>IFERROR(__xludf.DUMMYFUNCTION("""COMPUTED_VALUE"""),"HERRAMIENTAS")</f>
        <v>HERRAMIENTAS</v>
      </c>
      <c r="E1968" s="213" t="str">
        <f>IFERROR(__xludf.DUMMYFUNCTION("""COMPUTED_VALUE"""),"MAT-169")</f>
        <v>MAT-169</v>
      </c>
      <c r="F1968" s="213" t="str">
        <f>IFERROR(__xludf.DUMMYFUNCTION("""COMPUTED_VALUE"""),"MAT-169")</f>
        <v>MAT-169</v>
      </c>
      <c r="G1968" s="213"/>
      <c r="H1968" s="213" t="str">
        <f>IFERROR(__xludf.DUMMYFUNCTION("""COMPUTED_VALUE"""),"GORROS PROTECTORES PARA EL CABELLO")</f>
        <v>GORROS PROTECTORES PARA EL CABELLO</v>
      </c>
      <c r="I1968" s="213" t="str">
        <f>IFERROR(__xludf.DUMMYFUNCTION("""COMPUTED_VALUE"""),"· Tallas: 21"" (50%) y 24"" (50%).
· Colores: Blanco
· Material: SPP.
· Empaque en cajas dispensadoras o a granel.
· Sin Látex.")</f>
        <v>· Tallas: 21" (50%) y 24" (50%).
· Colores: Blanco
· Material: SPP.
· Empaque en cajas dispensadoras o a granel.
· Sin Látex.</v>
      </c>
      <c r="J1968" s="213">
        <f>IFERROR(__xludf.DUMMYFUNCTION("""COMPUTED_VALUE"""),3.0)</f>
        <v>3</v>
      </c>
      <c r="K1968" s="213" t="str">
        <f>IFERROR(__xludf.DUMMYFUNCTION("""COMPUTED_VALUE"""),"90 DÍAS CALENDARIO")</f>
        <v>90 DÍAS CALENDARIO</v>
      </c>
      <c r="L1968" s="213" t="str">
        <f>IFERROR(__xludf.DUMMYFUNCTION("""COMPUTED_VALUE"""),"COCINA Y REPOSTERÍA, INDUSTRIA ALIMENTARIA")</f>
        <v>COCINA Y REPOSTERÍA, INDUSTRIA ALIMENTARIA</v>
      </c>
      <c r="M1968" s="213">
        <f>IFERROR(__xludf.DUMMYFUNCTION("""COMPUTED_VALUE"""),1.0)</f>
        <v>1</v>
      </c>
      <c r="N1968" s="213">
        <f>IFERROR(__xludf.DUMMYFUNCTION("""COMPUTED_VALUE"""),20.0)</f>
        <v>20</v>
      </c>
      <c r="O1968" s="213">
        <f>IFERROR(__xludf.DUMMYFUNCTION("""COMPUTED_VALUE"""),20.0)</f>
        <v>20</v>
      </c>
      <c r="P1968" s="213"/>
      <c r="Q1968" s="213"/>
      <c r="R1968" s="213" t="str">
        <f>IFERROR(__xludf.DUMMYFUNCTION("""COMPUTED_VALUE"""),"SI")</f>
        <v>SI</v>
      </c>
      <c r="S1968" s="213"/>
      <c r="T1968" s="213" t="str">
        <f>IFERROR(__xludf.DUMMYFUNCTION("""COMPUTED_VALUE"""),"SI")</f>
        <v>SI</v>
      </c>
      <c r="U1968" s="213" t="str">
        <f>IFERROR(__xludf.DUMMYFUNCTION("""COMPUTED_VALUE"""),"SI")</f>
        <v>SI</v>
      </c>
      <c r="V1968" s="213" t="str">
        <f>IFERROR(__xludf.DUMMYFUNCTION("""COMPUTED_VALUE"""),"-")</f>
        <v>-</v>
      </c>
      <c r="W1968" s="213" t="str">
        <f>IFERROR(__xludf.DUMMYFUNCTION("""COMPUTED_VALUE"""),"-")</f>
        <v>-</v>
      </c>
      <c r="X1968" s="213" t="str">
        <f>IFERROR(__xludf.DUMMYFUNCTION("""COMPUTED_VALUE"""),"MEDICAL NATION")</f>
        <v>MEDICAL NATION</v>
      </c>
      <c r="Y1968" s="213" t="str">
        <f>IFERROR(__xludf.DUMMYFUNCTION("""COMPUTED_VALUE"""),"B094KLCQLV")</f>
        <v>B094KLCQLV</v>
      </c>
      <c r="Z1968" s="215" t="str">
        <f>IFERROR(__xludf.DUMMYFUNCTION("""COMPUTED_VALUE"""),"https://www.amazon.com/-/es/pulgadas-desechables-Bouffant-redecillas-perfectas/dp/B094KLCQLV")</f>
        <v>https://www.amazon.com/-/es/pulgadas-desechables-Bouffant-redecillas-perfectas/dp/B094KLCQLV</v>
      </c>
      <c r="AA1968" s="213" t="str">
        <f>IFERROR(__xludf.DUMMYFUNCTION("""COMPUTED_VALUE"""),"MAT-169 GORROS PROTECTORES PARA EL CABELLO - CET")</f>
        <v>MAT-169 GORROS PROTECTORES PARA EL CABELLO - CET</v>
      </c>
      <c r="AB1968" s="213"/>
      <c r="AC1968" s="215" t="str">
        <f>IFERROR(__xludf.DUMMYFUNCTION("""COMPUTED_VALUE"""),"https://drive.google.com/file/d/1LqBxJXb39f_mrL6wpRQJDuDI3ffaR52A/view?usp=sharing")</f>
        <v>https://drive.google.com/file/d/1LqBxJXb39f_mrL6wpRQJDuDI3ffaR52A/view?usp=sharing</v>
      </c>
      <c r="AD1968" s="213"/>
      <c r="AE1968" s="213"/>
      <c r="AF1968" s="213"/>
      <c r="AG1968" s="213"/>
      <c r="AH1968" s="213" t="str">
        <f>IFERROR(__xludf.DUMMYFUNCTION("""COMPUTED_VALUE"""),"IMPORTADO")</f>
        <v>IMPORTADO</v>
      </c>
      <c r="AI1968" s="213"/>
      <c r="AJ1968" s="213"/>
      <c r="AK1968" s="213"/>
      <c r="AL1968" s="213"/>
      <c r="AM1968" s="213"/>
      <c r="AN1968" s="213"/>
      <c r="AO1968" s="213"/>
      <c r="AP1968" s="213" t="str">
        <f>IFERROR(__xludf.DUMMYFUNCTION("""COMPUTED_VALUE"""),"LUIS")</f>
        <v>LUIS</v>
      </c>
      <c r="AQ1968" s="213"/>
      <c r="AR1968" s="213"/>
      <c r="AS1968" s="213"/>
      <c r="AT1968" s="213"/>
      <c r="AU1968" s="213"/>
      <c r="AV1968" s="213"/>
      <c r="AW1968" s="213"/>
      <c r="AX1968" s="213"/>
      <c r="AY1968" s="213"/>
      <c r="AZ1968" s="213"/>
      <c r="BA1968" s="213"/>
      <c r="BB1968" s="213"/>
      <c r="BC1968" s="213"/>
      <c r="BD1968" s="213"/>
    </row>
    <row r="1969">
      <c r="A1969" s="213">
        <f>IFERROR(__xludf.DUMMYFUNCTION("""COMPUTED_VALUE"""),1046.0)</f>
        <v>1046</v>
      </c>
      <c r="B1969" s="213" t="str">
        <f>IFERROR(__xludf.DUMMYFUNCTION("""COMPUTED_VALUE"""),"FRANCISCO IRAZOLA")</f>
        <v>FRANCISCO IRAZOLA</v>
      </c>
      <c r="C1969" s="213" t="str">
        <f>IFERROR(__xludf.DUMMYFUNCTION("""COMPUTED_VALUE"""),"TALLER SFT DE MECÁNICA AUTOMOTRIZ")</f>
        <v>TALLER SFT DE MECÁNICA AUTOMOTRIZ</v>
      </c>
      <c r="D1969" s="213" t="str">
        <f>IFERROR(__xludf.DUMMYFUNCTION("""COMPUTED_VALUE"""),"EQUIPOS")</f>
        <v>EQUIPOS</v>
      </c>
      <c r="E1969" s="213" t="str">
        <f>IFERROR(__xludf.DUMMYFUNCTION("""COMPUTED_VALUE"""),"ESP-286")</f>
        <v>ESP-286</v>
      </c>
      <c r="F1969" s="213" t="str">
        <f>IFERROR(__xludf.DUMMYFUNCTION("""COMPUTED_VALUE"""),"ESP-286")</f>
        <v>ESP-286</v>
      </c>
      <c r="G1969" s="213"/>
      <c r="H1969" s="213" t="str">
        <f>IFERROR(__xludf.DUMMYFUNCTION("""COMPUTED_VALUE"""),"OPACÍMETRO")</f>
        <v>OPACÍMETRO</v>
      </c>
      <c r="I1969" s="213" t="str">
        <f>IFERROR(__xludf.DUMMYFUNCTION("""COMPUTED_VALUE"""),"Permiten usarlo a modo portátil, siempre que sea necesario. Con pantalla LED.
Alimentación de 12 V d.c.
Campos de medición:Opacidad de 0 a 99,9 % - Res. 0,1. Opacidad de 0 a 9,99 Km-1 Res. 0,01.
Cuentarrevoluciones de 300 a 9990 revoluciones/min. Fuente d"&amp;"e luz de diodos LED verde.
Fotodiodo receptor de luz.
Control Automático presión Cámara de Medición. Estabilización temperatura cámara de medición a 90 °C. Control Automático sistema Limpieza Láminas.
Reseteo Automático.
Tiempo de Calentamiento a 20 °C : "&amp;" 10 minutos.
Recepción RPM y Temperatura vía cable o vía radio Mínimo. Conexión serie RS 232. Para conexión a la pc.")</f>
        <v>Permiten usarlo a modo portátil, siempre que sea necesario. Con pantalla LED.
Alimentación de 12 V d.c.
Campos de medición:Opacidad de 0 a 99,9 % - Res. 0,1. Opacidad de 0 a 9,99 Km-1 Res. 0,01.
Cuentarrevoluciones de 300 a 9990 revoluciones/min. Fuente de luz de diodos LED verde.
Fotodiodo receptor de luz.
Control Automático presión Cámara de Medición. Estabilización temperatura cámara de medición a 90 °C. Control Automático sistema Limpieza Láminas.
Reseteo Automático.
Tiempo de Calentamiento a 20 °C :  10 minutos.
Recepción RPM y Temperatura vía cable o vía radio Mínimo. Conexión serie RS 232. Para conexión a la pc.</v>
      </c>
      <c r="J1969" s="213">
        <f>IFERROR(__xludf.DUMMYFUNCTION("""COMPUTED_VALUE"""),3.0)</f>
        <v>3</v>
      </c>
      <c r="K1969" s="213" t="str">
        <f>IFERROR(__xludf.DUMMYFUNCTION("""COMPUTED_VALUE"""),"170 DÍAS CALENDARIO")</f>
        <v>170 DÍAS CALENDARIO</v>
      </c>
      <c r="L1969" s="213" t="str">
        <f>IFERROR(__xludf.DUMMYFUNCTION("""COMPUTED_VALUE"""),"")</f>
        <v/>
      </c>
      <c r="M1969" s="213">
        <f>IFERROR(__xludf.DUMMYFUNCTION("""COMPUTED_VALUE"""),1.0)</f>
        <v>1</v>
      </c>
      <c r="N1969" s="213">
        <f>IFERROR(__xludf.DUMMYFUNCTION("""COMPUTED_VALUE"""),1.0)</f>
        <v>1</v>
      </c>
      <c r="O1969" s="213">
        <f>IFERROR(__xludf.DUMMYFUNCTION("""COMPUTED_VALUE"""),1.0)</f>
        <v>1</v>
      </c>
      <c r="P1969" s="213"/>
      <c r="Q1969" s="213"/>
      <c r="R1969" s="213"/>
      <c r="S1969" s="213" t="str">
        <f>IFERROR(__xludf.DUMMYFUNCTION("""COMPUTED_VALUE"""),"SI")</f>
        <v>SI</v>
      </c>
      <c r="T1969" s="213" t="str">
        <f>IFERROR(__xludf.DUMMYFUNCTION("""COMPUTED_VALUE"""),"SI")</f>
        <v>SI</v>
      </c>
      <c r="U1969" s="213" t="str">
        <f>IFERROR(__xludf.DUMMYFUNCTION("""COMPUTED_VALUE"""),"NO")</f>
        <v>NO</v>
      </c>
      <c r="V1969" s="213" t="str">
        <f>IFERROR(__xludf.DUMMYFUNCTION("""COMPUTED_VALUE"""),"SUSTENTO")</f>
        <v>SUSTENTO</v>
      </c>
      <c r="W1969" s="213" t="str">
        <f>IFERROR(__xludf.DUMMYFUNCTION("""COMPUTED_VALUE"""),"EQU TEC")</f>
        <v>EQU TEC</v>
      </c>
      <c r="X1969" s="213" t="str">
        <f>IFERROR(__xludf.DUMMYFUNCTION("""COMPUTED_VALUE"""),"BRAIN BEE")</f>
        <v>BRAIN BEE</v>
      </c>
      <c r="Y1969" s="213" t="str">
        <f>IFERROR(__xludf.DUMMYFUNCTION("""COMPUTED_VALUE"""),"OPA-100")</f>
        <v>OPA-100</v>
      </c>
      <c r="Z1969" s="215" t="str">
        <f>IFERROR(__xludf.DUMMYFUNCTION("""COMPUTED_VALUE"""),"https://www.brainbee.mahle.com/media/brainbee/product-lines/emission/depliant/es_brain-bee-emission-line.pdf")</f>
        <v>https://www.brainbee.mahle.com/media/brainbee/product-lines/emission/depliant/es_brain-bee-emission-line.pdf</v>
      </c>
      <c r="AA1969" s="213" t="str">
        <f>IFERROR(__xludf.DUMMYFUNCTION("""COMPUTED_VALUE"""),"ESP-286 OPACÍMETRO - CET")</f>
        <v>ESP-286 OPACÍMETRO - CET</v>
      </c>
      <c r="AB1969" s="213"/>
      <c r="AC1969" s="213"/>
      <c r="AD1969" s="213"/>
      <c r="AE1969" s="213"/>
      <c r="AF1969" s="213"/>
      <c r="AG1969" s="213"/>
      <c r="AH1969" s="213"/>
      <c r="AI1969" s="213"/>
      <c r="AJ1969" s="213"/>
      <c r="AK1969" s="213"/>
      <c r="AL1969" s="213"/>
      <c r="AM1969" s="213"/>
      <c r="AN1969" s="213"/>
      <c r="AO1969" s="213"/>
      <c r="AP1969" s="213" t="str">
        <f>IFERROR(__xludf.DUMMYFUNCTION("""COMPUTED_VALUE"""),"NALDI")</f>
        <v>NALDI</v>
      </c>
      <c r="AQ1969" s="213"/>
      <c r="AR1969" s="213"/>
      <c r="AS1969" s="213"/>
      <c r="AT1969" s="213"/>
      <c r="AU1969" s="213"/>
      <c r="AV1969" s="213"/>
      <c r="AW1969" s="213"/>
      <c r="AX1969" s="213"/>
      <c r="AY1969" s="213"/>
      <c r="AZ1969" s="213"/>
      <c r="BA1969" s="213"/>
      <c r="BB1969" s="213"/>
      <c r="BC1969" s="213"/>
      <c r="BD1969" s="213"/>
    </row>
    <row r="1970">
      <c r="A1970" s="213">
        <f>IFERROR(__xludf.DUMMYFUNCTION("""COMPUTED_VALUE"""),1651.0)</f>
        <v>1651</v>
      </c>
      <c r="B1970" s="213" t="str">
        <f>IFERROR(__xludf.DUMMYFUNCTION("""COMPUTED_VALUE"""),"GUILLERMO E. BILLINGHURST ")</f>
        <v>GUILLERMO E. BILLINGHURST </v>
      </c>
      <c r="C1970" s="213" t="str">
        <f>IFERROR(__xludf.DUMMYFUNCTION("""COMPUTED_VALUE"""),"TALLER SFT DE MECÁNICA AUTOMOTRIZ")</f>
        <v>TALLER SFT DE MECÁNICA AUTOMOTRIZ</v>
      </c>
      <c r="D1970" s="213" t="str">
        <f>IFERROR(__xludf.DUMMYFUNCTION("""COMPUTED_VALUE"""),"EQUIPOS")</f>
        <v>EQUIPOS</v>
      </c>
      <c r="E1970" s="213" t="str">
        <f>IFERROR(__xludf.DUMMYFUNCTION("""COMPUTED_VALUE"""),"ESP-286")</f>
        <v>ESP-286</v>
      </c>
      <c r="F1970" s="213" t="str">
        <f>IFERROR(__xludf.DUMMYFUNCTION("""COMPUTED_VALUE"""),"ESP-286")</f>
        <v>ESP-286</v>
      </c>
      <c r="G1970" s="213"/>
      <c r="H1970" s="213" t="str">
        <f>IFERROR(__xludf.DUMMYFUNCTION("""COMPUTED_VALUE"""),"OPACÍMETRO")</f>
        <v>OPACÍMETRO</v>
      </c>
      <c r="I1970" s="213" t="str">
        <f>IFERROR(__xludf.DUMMYFUNCTION("""COMPUTED_VALUE"""),"Permiten usarlo a modo portátil, siempre que sea necesario. Con pantalla LED.
Alimentación de 12 V d.c.
Campos de medición:Opacidad de 0 a 99,9 % - Res. 0,1. Opacidad de 0 a 9,99 Km-1 Res. 0,01.
Cuentarrevoluciones de 300 a 9990 revoluciones/min. Fuente d"&amp;"e luz de diodos LED verde.
Fotodiodo receptor de luz.
Control Automático presión Cámara de Medición. Estabilización temperatura cámara de medición a 90 °C. Control Automático sistema Limpieza Láminas.
Reseteo Automático.
Tiempo de Calentamiento a 20 °C : "&amp;" 10 minutos.
Recepción RPM y Temperatura vía cable o vía radio Mínimo. Conexión serie RS 232. Para conexión a la pc.")</f>
        <v>Permiten usarlo a modo portátil, siempre que sea necesario. Con pantalla LED.
Alimentación de 12 V d.c.
Campos de medición:Opacidad de 0 a 99,9 % - Res. 0,1. Opacidad de 0 a 9,99 Km-1 Res. 0,01.
Cuentarrevoluciones de 300 a 9990 revoluciones/min. Fuente de luz de diodos LED verde.
Fotodiodo receptor de luz.
Control Automático presión Cámara de Medición. Estabilización temperatura cámara de medición a 90 °C. Control Automático sistema Limpieza Láminas.
Reseteo Automático.
Tiempo de Calentamiento a 20 °C :  10 minutos.
Recepción RPM y Temperatura vía cable o vía radio Mínimo. Conexión serie RS 232. Para conexión a la pc.</v>
      </c>
      <c r="J1970" s="213">
        <f>IFERROR(__xludf.DUMMYFUNCTION("""COMPUTED_VALUE"""),3.0)</f>
        <v>3</v>
      </c>
      <c r="K1970" s="213" t="str">
        <f>IFERROR(__xludf.DUMMYFUNCTION("""COMPUTED_VALUE"""),"170 DÍAS CALENDARIO")</f>
        <v>170 DÍAS CALENDARIO</v>
      </c>
      <c r="L1970" s="213" t="str">
        <f>IFERROR(__xludf.DUMMYFUNCTION("""COMPUTED_VALUE"""),"")</f>
        <v/>
      </c>
      <c r="M1970" s="213">
        <f>IFERROR(__xludf.DUMMYFUNCTION("""COMPUTED_VALUE"""),1.0)</f>
        <v>1</v>
      </c>
      <c r="N1970" s="213">
        <f>IFERROR(__xludf.DUMMYFUNCTION("""COMPUTED_VALUE"""),1.0)</f>
        <v>1</v>
      </c>
      <c r="O1970" s="213">
        <f>IFERROR(__xludf.DUMMYFUNCTION("""COMPUTED_VALUE"""),1.0)</f>
        <v>1</v>
      </c>
      <c r="P1970" s="213"/>
      <c r="Q1970" s="213"/>
      <c r="R1970" s="213"/>
      <c r="S1970" s="213" t="str">
        <f>IFERROR(__xludf.DUMMYFUNCTION("""COMPUTED_VALUE"""),"SI")</f>
        <v>SI</v>
      </c>
      <c r="T1970" s="213" t="str">
        <f>IFERROR(__xludf.DUMMYFUNCTION("""COMPUTED_VALUE"""),"SI")</f>
        <v>SI</v>
      </c>
      <c r="U1970" s="213" t="str">
        <f>IFERROR(__xludf.DUMMYFUNCTION("""COMPUTED_VALUE"""),"NO")</f>
        <v>NO</v>
      </c>
      <c r="V1970" s="213" t="str">
        <f>IFERROR(__xludf.DUMMYFUNCTION("""COMPUTED_VALUE"""),"SUSTENTO")</f>
        <v>SUSTENTO</v>
      </c>
      <c r="W1970" s="213" t="str">
        <f>IFERROR(__xludf.DUMMYFUNCTION("""COMPUTED_VALUE"""),"EQU TEC")</f>
        <v>EQU TEC</v>
      </c>
      <c r="X1970" s="213" t="str">
        <f>IFERROR(__xludf.DUMMYFUNCTION("""COMPUTED_VALUE"""),"BRAIN BEE")</f>
        <v>BRAIN BEE</v>
      </c>
      <c r="Y1970" s="213" t="str">
        <f>IFERROR(__xludf.DUMMYFUNCTION("""COMPUTED_VALUE"""),"OPA-100")</f>
        <v>OPA-100</v>
      </c>
      <c r="Z1970" s="215" t="str">
        <f>IFERROR(__xludf.DUMMYFUNCTION("""COMPUTED_VALUE"""),"https://www.brainbee.mahle.com/media/brainbee/product-lines/emission/depliant/es_brain-bee-emission-line.pdf")</f>
        <v>https://www.brainbee.mahle.com/media/brainbee/product-lines/emission/depliant/es_brain-bee-emission-line.pdf</v>
      </c>
      <c r="AA1970" s="213" t="str">
        <f>IFERROR(__xludf.DUMMYFUNCTION("""COMPUTED_VALUE"""),"ESP-286 OPACÍMETRO - CET")</f>
        <v>ESP-286 OPACÍMETRO - CET</v>
      </c>
      <c r="AB1970" s="213"/>
      <c r="AC1970" s="213"/>
      <c r="AD1970" s="213"/>
      <c r="AE1970" s="213"/>
      <c r="AF1970" s="213"/>
      <c r="AG1970" s="213"/>
      <c r="AH1970" s="213"/>
      <c r="AI1970" s="213"/>
      <c r="AJ1970" s="213"/>
      <c r="AK1970" s="213"/>
      <c r="AL1970" s="213"/>
      <c r="AM1970" s="213"/>
      <c r="AN1970" s="213"/>
      <c r="AO1970" s="213"/>
      <c r="AP1970" s="213" t="str">
        <f>IFERROR(__xludf.DUMMYFUNCTION("""COMPUTED_VALUE"""),"NALDI")</f>
        <v>NALDI</v>
      </c>
      <c r="AQ1970" s="213"/>
      <c r="AR1970" s="213"/>
      <c r="AS1970" s="213"/>
      <c r="AT1970" s="213"/>
      <c r="AU1970" s="213"/>
      <c r="AV1970" s="213"/>
      <c r="AW1970" s="213"/>
      <c r="AX1970" s="213"/>
      <c r="AY1970" s="213"/>
      <c r="AZ1970" s="213"/>
      <c r="BA1970" s="213"/>
      <c r="BB1970" s="213"/>
      <c r="BC1970" s="213"/>
      <c r="BD1970" s="213"/>
    </row>
    <row r="1971">
      <c r="A1971" s="213">
        <f>IFERROR(__xludf.DUMMYFUNCTION("""COMPUTED_VALUE"""),2342.0)</f>
        <v>2342</v>
      </c>
      <c r="B1971" s="213" t="str">
        <f>IFERROR(__xludf.DUMMYFUNCTION("""COMPUTED_VALUE"""),"JOSE GRANDA")</f>
        <v>JOSE GRANDA</v>
      </c>
      <c r="C1971" s="213" t="str">
        <f>IFERROR(__xludf.DUMMYFUNCTION("""COMPUTED_VALUE"""),"TALLER SFT DE MECÁNICA AUTOMOTRIZ")</f>
        <v>TALLER SFT DE MECÁNICA AUTOMOTRIZ</v>
      </c>
      <c r="D1971" s="213" t="str">
        <f>IFERROR(__xludf.DUMMYFUNCTION("""COMPUTED_VALUE"""),"EQUIPOS")</f>
        <v>EQUIPOS</v>
      </c>
      <c r="E1971" s="213" t="str">
        <f>IFERROR(__xludf.DUMMYFUNCTION("""COMPUTED_VALUE"""),"ESP-286")</f>
        <v>ESP-286</v>
      </c>
      <c r="F1971" s="213" t="str">
        <f>IFERROR(__xludf.DUMMYFUNCTION("""COMPUTED_VALUE"""),"ESP-286")</f>
        <v>ESP-286</v>
      </c>
      <c r="G1971" s="213"/>
      <c r="H1971" s="213" t="str">
        <f>IFERROR(__xludf.DUMMYFUNCTION("""COMPUTED_VALUE"""),"OPACÍMETRO")</f>
        <v>OPACÍMETRO</v>
      </c>
      <c r="I1971" s="213" t="str">
        <f>IFERROR(__xludf.DUMMYFUNCTION("""COMPUTED_VALUE"""),"Permiten usarlo a modo portátil, siempre que sea necesario. Con pantalla LED.
Alimentación de 12 V d.c.
Campos de medición:Opacidad de 0 a 99,9 % - Res. 0,1. Opacidad de 0 a 9,99 Km-1 Res. 0,01.
Cuentarrevoluciones de 300 a 9990 revoluciones/min. Fuente d"&amp;"e luz de diodos LED verde.
Fotodiodo receptor de luz.
Control Automático presión Cámara de Medición. Estabilización temperatura cámara de medición a 90 °C. Control Automático sistema Limpieza Láminas.
Reseteo Automático.
Tiempo de Calentamiento a 20 °C : "&amp;" 10 minutos.
Recepción RPM y Temperatura vía cable o vía radio Mínimo. Conexión serie RS 232. Para conexión a la pc.")</f>
        <v>Permiten usarlo a modo portátil, siempre que sea necesario. Con pantalla LED.
Alimentación de 12 V d.c.
Campos de medición:Opacidad de 0 a 99,9 % - Res. 0,1. Opacidad de 0 a 9,99 Km-1 Res. 0,01.
Cuentarrevoluciones de 300 a 9990 revoluciones/min. Fuente de luz de diodos LED verde.
Fotodiodo receptor de luz.
Control Automático presión Cámara de Medición. Estabilización temperatura cámara de medición a 90 °C. Control Automático sistema Limpieza Láminas.
Reseteo Automático.
Tiempo de Calentamiento a 20 °C :  10 minutos.
Recepción RPM y Temperatura vía cable o vía radio Mínimo. Conexión serie RS 232. Para conexión a la pc.</v>
      </c>
      <c r="J1971" s="213">
        <f>IFERROR(__xludf.DUMMYFUNCTION("""COMPUTED_VALUE"""),3.0)</f>
        <v>3</v>
      </c>
      <c r="K1971" s="213" t="str">
        <f>IFERROR(__xludf.DUMMYFUNCTION("""COMPUTED_VALUE"""),"170 DÍAS CALENDARIO")</f>
        <v>170 DÍAS CALENDARIO</v>
      </c>
      <c r="L1971" s="213" t="str">
        <f>IFERROR(__xludf.DUMMYFUNCTION("""COMPUTED_VALUE"""),"")</f>
        <v/>
      </c>
      <c r="M1971" s="213">
        <f>IFERROR(__xludf.DUMMYFUNCTION("""COMPUTED_VALUE"""),1.0)</f>
        <v>1</v>
      </c>
      <c r="N1971" s="213">
        <f>IFERROR(__xludf.DUMMYFUNCTION("""COMPUTED_VALUE"""),1.0)</f>
        <v>1</v>
      </c>
      <c r="O1971" s="213">
        <f>IFERROR(__xludf.DUMMYFUNCTION("""COMPUTED_VALUE"""),1.0)</f>
        <v>1</v>
      </c>
      <c r="P1971" s="213"/>
      <c r="Q1971" s="213"/>
      <c r="R1971" s="213"/>
      <c r="S1971" s="213" t="str">
        <f>IFERROR(__xludf.DUMMYFUNCTION("""COMPUTED_VALUE"""),"SI")</f>
        <v>SI</v>
      </c>
      <c r="T1971" s="213" t="str">
        <f>IFERROR(__xludf.DUMMYFUNCTION("""COMPUTED_VALUE"""),"SI")</f>
        <v>SI</v>
      </c>
      <c r="U1971" s="213" t="str">
        <f>IFERROR(__xludf.DUMMYFUNCTION("""COMPUTED_VALUE"""),"NO")</f>
        <v>NO</v>
      </c>
      <c r="V1971" s="213" t="str">
        <f>IFERROR(__xludf.DUMMYFUNCTION("""COMPUTED_VALUE"""),"SUSTENTO")</f>
        <v>SUSTENTO</v>
      </c>
      <c r="W1971" s="213" t="str">
        <f>IFERROR(__xludf.DUMMYFUNCTION("""COMPUTED_VALUE"""),"EQU TEC")</f>
        <v>EQU TEC</v>
      </c>
      <c r="X1971" s="213" t="str">
        <f>IFERROR(__xludf.DUMMYFUNCTION("""COMPUTED_VALUE"""),"BRAIN BEE")</f>
        <v>BRAIN BEE</v>
      </c>
      <c r="Y1971" s="213" t="str">
        <f>IFERROR(__xludf.DUMMYFUNCTION("""COMPUTED_VALUE"""),"OPA-100")</f>
        <v>OPA-100</v>
      </c>
      <c r="Z1971" s="215" t="str">
        <f>IFERROR(__xludf.DUMMYFUNCTION("""COMPUTED_VALUE"""),"https://www.brainbee.mahle.com/media/brainbee/product-lines/emission/depliant/es_brain-bee-emission-line.pdf")</f>
        <v>https://www.brainbee.mahle.com/media/brainbee/product-lines/emission/depliant/es_brain-bee-emission-line.pdf</v>
      </c>
      <c r="AA1971" s="213" t="str">
        <f>IFERROR(__xludf.DUMMYFUNCTION("""COMPUTED_VALUE"""),"ESP-286 OPACÍMETRO - CET")</f>
        <v>ESP-286 OPACÍMETRO - CET</v>
      </c>
      <c r="AB1971" s="213"/>
      <c r="AC1971" s="213"/>
      <c r="AD1971" s="213"/>
      <c r="AE1971" s="213"/>
      <c r="AF1971" s="213"/>
      <c r="AG1971" s="213"/>
      <c r="AH1971" s="213"/>
      <c r="AI1971" s="213"/>
      <c r="AJ1971" s="213"/>
      <c r="AK1971" s="213"/>
      <c r="AL1971" s="213"/>
      <c r="AM1971" s="213"/>
      <c r="AN1971" s="213"/>
      <c r="AO1971" s="213"/>
      <c r="AP1971" s="213" t="str">
        <f>IFERROR(__xludf.DUMMYFUNCTION("""COMPUTED_VALUE"""),"NALDI")</f>
        <v>NALDI</v>
      </c>
      <c r="AQ1971" s="213"/>
      <c r="AR1971" s="213"/>
      <c r="AS1971" s="213"/>
      <c r="AT1971" s="213"/>
      <c r="AU1971" s="213"/>
      <c r="AV1971" s="213"/>
      <c r="AW1971" s="213"/>
      <c r="AX1971" s="213"/>
      <c r="AY1971" s="213"/>
      <c r="AZ1971" s="213"/>
      <c r="BA1971" s="213"/>
      <c r="BB1971" s="213"/>
      <c r="BC1971" s="213"/>
      <c r="BD1971" s="213"/>
    </row>
    <row r="1972">
      <c r="A1972" s="213">
        <f>IFERROR(__xludf.DUMMYFUNCTION("""COMPUTED_VALUE"""),1160.0)</f>
        <v>1160</v>
      </c>
      <c r="B1972" s="213" t="str">
        <f>IFERROR(__xludf.DUMMYFUNCTION("""COMPUTED_VALUE"""),"FRANCISCO IRAZOLA")</f>
        <v>FRANCISCO IRAZOLA</v>
      </c>
      <c r="C1972" s="213" t="str">
        <f>IFERROR(__xludf.DUMMYFUNCTION("""COMPUTED_VALUE"""),"TALLER SFT DE INDUSTRIA ALIMENTARIA")</f>
        <v>TALLER SFT DE INDUSTRIA ALIMENTARIA</v>
      </c>
      <c r="D1972" s="213" t="str">
        <f>IFERROR(__xludf.DUMMYFUNCTION("""COMPUTED_VALUE"""),"HERRAMIENTAS")</f>
        <v>HERRAMIENTAS</v>
      </c>
      <c r="E1972" s="213" t="str">
        <f>IFERROR(__xludf.DUMMYFUNCTION("""COMPUTED_VALUE"""),"MAT-169")</f>
        <v>MAT-169</v>
      </c>
      <c r="F1972" s="213" t="str">
        <f>IFERROR(__xludf.DUMMYFUNCTION("""COMPUTED_VALUE"""),"MAT-169")</f>
        <v>MAT-169</v>
      </c>
      <c r="G1972" s="213"/>
      <c r="H1972" s="213" t="str">
        <f>IFERROR(__xludf.DUMMYFUNCTION("""COMPUTED_VALUE"""),"GORROS PROTECTORES PARA EL CABELLO")</f>
        <v>GORROS PROTECTORES PARA EL CABELLO</v>
      </c>
      <c r="I1972" s="213" t="str">
        <f>IFERROR(__xludf.DUMMYFUNCTION("""COMPUTED_VALUE"""),"· Tallas: 21"" (50%) y 24"" (50%).
· Colores: Blanco
· Material: SPP.
· Empaque en cajas dispensadoras o a granel.
· Sin Látex.")</f>
        <v>· Tallas: 21" (50%) y 24" (50%).
· Colores: Blanco
· Material: SPP.
· Empaque en cajas dispensadoras o a granel.
· Sin Látex.</v>
      </c>
      <c r="J1972" s="213">
        <f>IFERROR(__xludf.DUMMYFUNCTION("""COMPUTED_VALUE"""),3.0)</f>
        <v>3</v>
      </c>
      <c r="K1972" s="213" t="str">
        <f>IFERROR(__xludf.DUMMYFUNCTION("""COMPUTED_VALUE"""),"90 DÍAS CALENDARIO")</f>
        <v>90 DÍAS CALENDARIO</v>
      </c>
      <c r="L1972" s="213" t="str">
        <f>IFERROR(__xludf.DUMMYFUNCTION("""COMPUTED_VALUE"""),"COCINA Y REPOSTERÍA, INDUSTRIA ALIMENTARIA")</f>
        <v>COCINA Y REPOSTERÍA, INDUSTRIA ALIMENTARIA</v>
      </c>
      <c r="M1972" s="213">
        <f>IFERROR(__xludf.DUMMYFUNCTION("""COMPUTED_VALUE"""),1.0)</f>
        <v>1</v>
      </c>
      <c r="N1972" s="213">
        <f>IFERROR(__xludf.DUMMYFUNCTION("""COMPUTED_VALUE"""),20.0)</f>
        <v>20</v>
      </c>
      <c r="O1972" s="213">
        <f>IFERROR(__xludf.DUMMYFUNCTION("""COMPUTED_VALUE"""),20.0)</f>
        <v>20</v>
      </c>
      <c r="P1972" s="213"/>
      <c r="Q1972" s="213"/>
      <c r="R1972" s="213" t="str">
        <f>IFERROR(__xludf.DUMMYFUNCTION("""COMPUTED_VALUE"""),"SI")</f>
        <v>SI</v>
      </c>
      <c r="S1972" s="213"/>
      <c r="T1972" s="213" t="str">
        <f>IFERROR(__xludf.DUMMYFUNCTION("""COMPUTED_VALUE"""),"SI")</f>
        <v>SI</v>
      </c>
      <c r="U1972" s="213" t="str">
        <f>IFERROR(__xludf.DUMMYFUNCTION("""COMPUTED_VALUE"""),"SI")</f>
        <v>SI</v>
      </c>
      <c r="V1972" s="213" t="str">
        <f>IFERROR(__xludf.DUMMYFUNCTION("""COMPUTED_VALUE"""),"-")</f>
        <v>-</v>
      </c>
      <c r="W1972" s="213" t="str">
        <f>IFERROR(__xludf.DUMMYFUNCTION("""COMPUTED_VALUE"""),"-")</f>
        <v>-</v>
      </c>
      <c r="X1972" s="213" t="str">
        <f>IFERROR(__xludf.DUMMYFUNCTION("""COMPUTED_VALUE"""),"MEDICAL NATION")</f>
        <v>MEDICAL NATION</v>
      </c>
      <c r="Y1972" s="213" t="str">
        <f>IFERROR(__xludf.DUMMYFUNCTION("""COMPUTED_VALUE"""),"B094KLCQLV")</f>
        <v>B094KLCQLV</v>
      </c>
      <c r="Z1972" s="215" t="str">
        <f>IFERROR(__xludf.DUMMYFUNCTION("""COMPUTED_VALUE"""),"https://www.amazon.com/-/es/pulgadas-desechables-Bouffant-redecillas-perfectas/dp/B094KLCQLV")</f>
        <v>https://www.amazon.com/-/es/pulgadas-desechables-Bouffant-redecillas-perfectas/dp/B094KLCQLV</v>
      </c>
      <c r="AA1972" s="213" t="str">
        <f>IFERROR(__xludf.DUMMYFUNCTION("""COMPUTED_VALUE"""),"MAT-169 GORROS PROTECTORES PARA EL CABELLO - CET")</f>
        <v>MAT-169 GORROS PROTECTORES PARA EL CABELLO - CET</v>
      </c>
      <c r="AB1972" s="213"/>
      <c r="AC1972" s="215" t="str">
        <f>IFERROR(__xludf.DUMMYFUNCTION("""COMPUTED_VALUE"""),"https://drive.google.com/file/d/1LqBxJXb39f_mrL6wpRQJDuDI3ffaR52A/view?usp=sharing")</f>
        <v>https://drive.google.com/file/d/1LqBxJXb39f_mrL6wpRQJDuDI3ffaR52A/view?usp=sharing</v>
      </c>
      <c r="AD1972" s="213"/>
      <c r="AE1972" s="213"/>
      <c r="AF1972" s="213"/>
      <c r="AG1972" s="213"/>
      <c r="AH1972" s="213" t="str">
        <f>IFERROR(__xludf.DUMMYFUNCTION("""COMPUTED_VALUE"""),"IMPORTADO")</f>
        <v>IMPORTADO</v>
      </c>
      <c r="AI1972" s="213"/>
      <c r="AJ1972" s="213"/>
      <c r="AK1972" s="213"/>
      <c r="AL1972" s="213"/>
      <c r="AM1972" s="213"/>
      <c r="AN1972" s="213"/>
      <c r="AO1972" s="213"/>
      <c r="AP1972" s="213" t="str">
        <f>IFERROR(__xludf.DUMMYFUNCTION("""COMPUTED_VALUE"""),"LUIS")</f>
        <v>LUIS</v>
      </c>
      <c r="AQ1972" s="213"/>
      <c r="AR1972" s="213"/>
      <c r="AS1972" s="213"/>
      <c r="AT1972" s="213"/>
      <c r="AU1972" s="213"/>
      <c r="AV1972" s="213"/>
      <c r="AW1972" s="213"/>
      <c r="AX1972" s="213"/>
      <c r="AY1972" s="213"/>
      <c r="AZ1972" s="213"/>
      <c r="BA1972" s="213"/>
      <c r="BB1972" s="213"/>
      <c r="BC1972" s="213"/>
      <c r="BD1972" s="213"/>
    </row>
    <row r="1973">
      <c r="A1973" s="213">
        <f>IFERROR(__xludf.DUMMYFUNCTION("""COMPUTED_VALUE"""),1432.0)</f>
        <v>1432</v>
      </c>
      <c r="B1973" s="213" t="str">
        <f>IFERROR(__xludf.DUMMYFUNCTION("""COMPUTED_VALUE"""),"GUILLERMO E. BILLINGHURST ")</f>
        <v>GUILLERMO E. BILLINGHURST </v>
      </c>
      <c r="C1973" s="213" t="str">
        <f>IFERROR(__xludf.DUMMYFUNCTION("""COMPUTED_VALUE"""),"TALLER SFT DE INDUSTRIA ALIMENTARIA")</f>
        <v>TALLER SFT DE INDUSTRIA ALIMENTARIA</v>
      </c>
      <c r="D1973" s="213" t="str">
        <f>IFERROR(__xludf.DUMMYFUNCTION("""COMPUTED_VALUE"""),"HERRAMIENTAS")</f>
        <v>HERRAMIENTAS</v>
      </c>
      <c r="E1973" s="213" t="str">
        <f>IFERROR(__xludf.DUMMYFUNCTION("""COMPUTED_VALUE"""),"MAT-169")</f>
        <v>MAT-169</v>
      </c>
      <c r="F1973" s="213" t="str">
        <f>IFERROR(__xludf.DUMMYFUNCTION("""COMPUTED_VALUE"""),"MAT-169")</f>
        <v>MAT-169</v>
      </c>
      <c r="G1973" s="213"/>
      <c r="H1973" s="213" t="str">
        <f>IFERROR(__xludf.DUMMYFUNCTION("""COMPUTED_VALUE"""),"GORROS PROTECTORES PARA EL CABELLO")</f>
        <v>GORROS PROTECTORES PARA EL CABELLO</v>
      </c>
      <c r="I1973" s="213" t="str">
        <f>IFERROR(__xludf.DUMMYFUNCTION("""COMPUTED_VALUE"""),"· Tallas: 21"" (50%) y 24"" (50%).
· Colores: Blanco
· Material: SPP.
· Empaque en cajas dispensadoras o a granel.
· Sin Látex.")</f>
        <v>· Tallas: 21" (50%) y 24" (50%).
· Colores: Blanco
· Material: SPP.
· Empaque en cajas dispensadoras o a granel.
· Sin Látex.</v>
      </c>
      <c r="J1973" s="213">
        <f>IFERROR(__xludf.DUMMYFUNCTION("""COMPUTED_VALUE"""),3.0)</f>
        <v>3</v>
      </c>
      <c r="K1973" s="213" t="str">
        <f>IFERROR(__xludf.DUMMYFUNCTION("""COMPUTED_VALUE"""),"90 DÍAS CALENDARIO")</f>
        <v>90 DÍAS CALENDARIO</v>
      </c>
      <c r="L1973" s="213" t="str">
        <f>IFERROR(__xludf.DUMMYFUNCTION("""COMPUTED_VALUE"""),"COCINA Y REPOSTERÍA, INDUSTRIA ALIMENTARIA")</f>
        <v>COCINA Y REPOSTERÍA, INDUSTRIA ALIMENTARIA</v>
      </c>
      <c r="M1973" s="213">
        <f>IFERROR(__xludf.DUMMYFUNCTION("""COMPUTED_VALUE"""),1.0)</f>
        <v>1</v>
      </c>
      <c r="N1973" s="213">
        <f>IFERROR(__xludf.DUMMYFUNCTION("""COMPUTED_VALUE"""),20.0)</f>
        <v>20</v>
      </c>
      <c r="O1973" s="213">
        <f>IFERROR(__xludf.DUMMYFUNCTION("""COMPUTED_VALUE"""),20.0)</f>
        <v>20</v>
      </c>
      <c r="P1973" s="213"/>
      <c r="Q1973" s="213"/>
      <c r="R1973" s="213" t="str">
        <f>IFERROR(__xludf.DUMMYFUNCTION("""COMPUTED_VALUE"""),"SI")</f>
        <v>SI</v>
      </c>
      <c r="S1973" s="213"/>
      <c r="T1973" s="213" t="str">
        <f>IFERROR(__xludf.DUMMYFUNCTION("""COMPUTED_VALUE"""),"SI")</f>
        <v>SI</v>
      </c>
      <c r="U1973" s="213" t="str">
        <f>IFERROR(__xludf.DUMMYFUNCTION("""COMPUTED_VALUE"""),"SI")</f>
        <v>SI</v>
      </c>
      <c r="V1973" s="213" t="str">
        <f>IFERROR(__xludf.DUMMYFUNCTION("""COMPUTED_VALUE"""),"-")</f>
        <v>-</v>
      </c>
      <c r="W1973" s="213" t="str">
        <f>IFERROR(__xludf.DUMMYFUNCTION("""COMPUTED_VALUE"""),"-")</f>
        <v>-</v>
      </c>
      <c r="X1973" s="213" t="str">
        <f>IFERROR(__xludf.DUMMYFUNCTION("""COMPUTED_VALUE"""),"MEDICAL NATION")</f>
        <v>MEDICAL NATION</v>
      </c>
      <c r="Y1973" s="213" t="str">
        <f>IFERROR(__xludf.DUMMYFUNCTION("""COMPUTED_VALUE"""),"B094KLCQLV")</f>
        <v>B094KLCQLV</v>
      </c>
      <c r="Z1973" s="215" t="str">
        <f>IFERROR(__xludf.DUMMYFUNCTION("""COMPUTED_VALUE"""),"https://www.amazon.com/-/es/pulgadas-desechables-Bouffant-redecillas-perfectas/dp/B094KLCQLV")</f>
        <v>https://www.amazon.com/-/es/pulgadas-desechables-Bouffant-redecillas-perfectas/dp/B094KLCQLV</v>
      </c>
      <c r="AA1973" s="213" t="str">
        <f>IFERROR(__xludf.DUMMYFUNCTION("""COMPUTED_VALUE"""),"MAT-169 GORROS PROTECTORES PARA EL CABELLO - CET")</f>
        <v>MAT-169 GORROS PROTECTORES PARA EL CABELLO - CET</v>
      </c>
      <c r="AB1973" s="213"/>
      <c r="AC1973" s="215" t="str">
        <f>IFERROR(__xludf.DUMMYFUNCTION("""COMPUTED_VALUE"""),"https://drive.google.com/file/d/1LqBxJXb39f_mrL6wpRQJDuDI3ffaR52A/view?usp=sharing")</f>
        <v>https://drive.google.com/file/d/1LqBxJXb39f_mrL6wpRQJDuDI3ffaR52A/view?usp=sharing</v>
      </c>
      <c r="AD1973" s="213"/>
      <c r="AE1973" s="213"/>
      <c r="AF1973" s="213"/>
      <c r="AG1973" s="213"/>
      <c r="AH1973" s="213" t="str">
        <f>IFERROR(__xludf.DUMMYFUNCTION("""COMPUTED_VALUE"""),"IMPORTADO")</f>
        <v>IMPORTADO</v>
      </c>
      <c r="AI1973" s="213"/>
      <c r="AJ1973" s="213"/>
      <c r="AK1973" s="213"/>
      <c r="AL1973" s="213"/>
      <c r="AM1973" s="213"/>
      <c r="AN1973" s="213"/>
      <c r="AO1973" s="213"/>
      <c r="AP1973" s="213" t="str">
        <f>IFERROR(__xludf.DUMMYFUNCTION("""COMPUTED_VALUE"""),"LUIS")</f>
        <v>LUIS</v>
      </c>
      <c r="AQ1973" s="213"/>
      <c r="AR1973" s="213"/>
      <c r="AS1973" s="213"/>
      <c r="AT1973" s="213"/>
      <c r="AU1973" s="213"/>
      <c r="AV1973" s="213"/>
      <c r="AW1973" s="213"/>
      <c r="AX1973" s="213"/>
      <c r="AY1973" s="213"/>
      <c r="AZ1973" s="213"/>
      <c r="BA1973" s="213"/>
      <c r="BB1973" s="213"/>
      <c r="BC1973" s="213"/>
      <c r="BD1973" s="213"/>
    </row>
    <row r="1974">
      <c r="A1974" s="213">
        <f>IFERROR(__xludf.DUMMYFUNCTION("""COMPUTED_VALUE"""),401.0)</f>
        <v>401</v>
      </c>
      <c r="B1974" s="213" t="str">
        <f>IFERROR(__xludf.DUMMYFUNCTION("""COMPUTED_VALUE"""),"2026 SIMON BOLIVAR")</f>
        <v>2026 SIMON BOLIVAR</v>
      </c>
      <c r="C1974" s="213" t="str">
        <f>IFERROR(__xludf.DUMMYFUNCTION("""COMPUTED_VALUE"""),"TALLER SFT DE ELECTRICIDAD")</f>
        <v>TALLER SFT DE ELECTRICIDAD</v>
      </c>
      <c r="D1974" s="213" t="str">
        <f>IFERROR(__xludf.DUMMYFUNCTION("""COMPUTED_VALUE"""),"EQUIPOS")</f>
        <v>EQUIPOS</v>
      </c>
      <c r="E1974" s="213" t="str">
        <f>IFERROR(__xludf.DUMMYFUNCTION("""COMPUTED_VALUE"""),"ESP-287")</f>
        <v>ESP-287</v>
      </c>
      <c r="F1974" s="213" t="str">
        <f>IFERROR(__xludf.DUMMYFUNCTION("""COMPUTED_VALUE"""),"ESP-287-Y")</f>
        <v>ESP-287-Y</v>
      </c>
      <c r="G1974" s="213"/>
      <c r="H1974" s="213" t="str">
        <f>IFERROR(__xludf.DUMMYFUNCTION("""COMPUTED_VALUE"""),"OSCILOSCOPIO DIGITAL")</f>
        <v>OSCILOSCOPIO DIGITAL</v>
      </c>
      <c r="I1974" s="213" t="str">
        <f>IFERROR(__xludf.DUMMYFUNCTION("""COMPUTED_VALUE"""),"· Datos técnicos:
1. Con Ancho de Banda de hasta 200 MHz.
2. Pantalla a color LCD, mínimo 8"" y alta resolución, 800 x 600 píxeles.
3. Máxima tensión de entrada 400 V.
4. Acoplamiento de entrada DC, AC y GND (tierra).
5. Almacenamiento hasta 15 formas de "&amp;"onda.
6. Con funciones matemáticas
7. Interfaces de comunicación: USB 2.0, USB para almacenamiento de ficheros, LAN, VGA
8. Alimentación: 220 V, 60 Hz.
9. Con MENÚ de autoconfiguración.
10. Con doble base de tiempo.
11. Con configuración de Idiomas.
· Car"&amp;"acterísticas de Seguridad:
1. Con cubierta de protección anti golpes y antideslizante.
2. Con soporte y mango para posicionarlo en forma inclinada.
· Accesorios:
1. Sonda pasiva (x2), cable de alimentación, cable USB, guía de referencia rápida.
2. Con laz"&amp;"os de seguridad.
3. Con maletín de transporte.
4. Con pilas o baterías.
5. Manual de instrucciones
6. Con carro portaherramientas con 2 bandejas: Con dos estructuras metálicas en U y 4 ruedas giratorias (Dimensiones mínimas: 750 x 430 x 1000 mm)")</f>
        <v>· Datos técnicos:
1. Con Ancho de Banda de hasta 200 MHz.
2. Pantalla a color LCD, mínimo 8" y alta resolución, 800 x 600 píxeles.
3. Máxima tensión de entrada 400 V.
4. Acoplamiento de entrada DC, AC y GND (tierra).
5. Almacenamiento hasta 15 formas de onda.
6. Con funciones matemáticas
7. Interfaces de comunicación: USB 2.0, USB para almacenamiento de ficheros, LAN, VGA
8. Alimentación: 220 V, 60 Hz.
9. Con MENÚ de autoconfiguración.
10. Con doble base de tiempo.
11. Con configuración de Idiomas.
· Características de Seguridad:
1. Con cubierta de protección anti golpes y antideslizante.
2. Con soporte y mango para posicionarlo en forma inclinada.
· Accesorios:
1. Sonda pasiva (x2), cable de alimentación, cable USB, guía de referencia rápida.
2. Con lazos de seguridad.
3. Con maletín de transporte.
4. Con pilas o baterías.
5. Manual de instrucciones
6. Con carro portaherramientas con 2 bandejas: Con dos estructuras metálicas en U y 4 ruedas giratorias (Dimensiones mínimas: 750 x 430 x 1000 mm)</v>
      </c>
      <c r="J1974" s="213">
        <f>IFERROR(__xludf.DUMMYFUNCTION("""COMPUTED_VALUE"""),3.0)</f>
        <v>3</v>
      </c>
      <c r="K1974" s="213" t="str">
        <f>IFERROR(__xludf.DUMMYFUNCTION("""COMPUTED_VALUE"""),"170 DÍAS CALENDARIO")</f>
        <v>170 DÍAS CALENDARIO</v>
      </c>
      <c r="L1974" s="213" t="str">
        <f>IFERROR(__xludf.DUMMYFUNCTION("""COMPUTED_VALUE"""),"")</f>
        <v/>
      </c>
      <c r="M1974" s="213">
        <f>IFERROR(__xludf.DUMMYFUNCTION("""COMPUTED_VALUE"""),1.0)</f>
        <v>1</v>
      </c>
      <c r="N1974" s="213">
        <f>IFERROR(__xludf.DUMMYFUNCTION("""COMPUTED_VALUE"""),4.0)</f>
        <v>4</v>
      </c>
      <c r="O1974" s="213">
        <f>IFERROR(__xludf.DUMMYFUNCTION("""COMPUTED_VALUE"""),4.0)</f>
        <v>4</v>
      </c>
      <c r="P1974" s="213"/>
      <c r="Q1974" s="213"/>
      <c r="R1974" s="213"/>
      <c r="S1974" s="213" t="str">
        <f>IFERROR(__xludf.DUMMYFUNCTION("""COMPUTED_VALUE"""),"SI")</f>
        <v>SI</v>
      </c>
      <c r="T1974" s="213" t="str">
        <f>IFERROR(__xludf.DUMMYFUNCTION("""COMPUTED_VALUE"""),"CONSULTA FINAL")</f>
        <v>CONSULTA FINAL</v>
      </c>
      <c r="U1974" s="213" t="str">
        <f>IFERROR(__xludf.DUMMYFUNCTION("""COMPUTED_VALUE"""),"NO")</f>
        <v>NO</v>
      </c>
      <c r="V1974" s="213" t="str">
        <f>IFERROR(__xludf.DUMMYFUNCTION("""COMPUTED_VALUE"""),"SUSTENTO")</f>
        <v>SUSTENTO</v>
      </c>
      <c r="W1974" s="213" t="str">
        <f>IFERROR(__xludf.DUMMYFUNCTION("""COMPUTED_VALUE"""),"EQU TEC")</f>
        <v>EQU TEC</v>
      </c>
      <c r="X1974" s="213" t="str">
        <f>IFERROR(__xludf.DUMMYFUNCTION("""COMPUTED_VALUE"""),"Owon ")</f>
        <v>Owon </v>
      </c>
      <c r="Y1974" s="213" t="str">
        <f>IFERROR(__xludf.DUMMYFUNCTION("""COMPUTED_VALUE"""),"SDS8201")</f>
        <v>SDS8201</v>
      </c>
      <c r="Z1974" s="215" t="str">
        <f>IFERROR(__xludf.DUMMYFUNCTION("""COMPUTED_VALUE"""),"https://www.batronix.com/shop/oscilloscopes/Owon-SDS8202.html")</f>
        <v>https://www.batronix.com/shop/oscilloscopes/Owon-SDS8202.html</v>
      </c>
      <c r="AA1974" s="213" t="str">
        <f>IFERROR(__xludf.DUMMYFUNCTION("""COMPUTED_VALUE"""),"ESP-287-Y OSCILOSCOPIO DIGITAL - CET")</f>
        <v>ESP-287-Y OSCILOSCOPIO DIGITAL - CET</v>
      </c>
      <c r="AB1974" s="213"/>
      <c r="AC1974" s="213"/>
      <c r="AD1974" s="213"/>
      <c r="AE1974" s="213"/>
      <c r="AF1974" s="213"/>
      <c r="AG1974" s="213"/>
      <c r="AH1974" s="213"/>
      <c r="AI1974" s="213"/>
      <c r="AJ1974" s="213"/>
      <c r="AK1974" s="213"/>
      <c r="AL1974" s="213"/>
      <c r="AM1974" s="213"/>
      <c r="AN1974" s="213"/>
      <c r="AO1974" s="213"/>
      <c r="AP1974" s="213" t="str">
        <f>IFERROR(__xludf.DUMMYFUNCTION("""COMPUTED_VALUE"""),"BRUNO")</f>
        <v>BRUNO</v>
      </c>
      <c r="AQ1974" s="213" t="str">
        <f>IFERROR(__xludf.DUMMYFUNCTION("""COMPUTED_VALUE"""),"Con carro portaherramientas con 2 bandejas: Con dos estructuras metálicas en U y 4 ruedas giratorias")</f>
        <v>Con carro portaherramientas con 2 bandejas: Con dos estructuras metálicas en U y 4 ruedas giratorias</v>
      </c>
      <c r="AR1974" s="213"/>
      <c r="AS1974" s="213" t="str">
        <f>IFERROR(__xludf.DUMMYFUNCTION("""COMPUTED_VALUE"""),"
(Dimensiones mínimas: 750 x 430 x 1000 mm)")</f>
        <v>
(Dimensiones mínimas: 750 x 430 x 1000 mm)</v>
      </c>
      <c r="AT1974" s="213"/>
      <c r="AU1974" s="213"/>
      <c r="AV1974" s="213"/>
      <c r="AW1974" s="213"/>
      <c r="AX1974" s="213"/>
      <c r="AY1974" s="213"/>
      <c r="AZ1974" s="213"/>
      <c r="BA1974" s="213"/>
      <c r="BB1974" s="213"/>
      <c r="BC1974" s="213"/>
      <c r="BD1974" s="213"/>
    </row>
    <row r="1975">
      <c r="A1975" s="213">
        <f>IFERROR(__xludf.DUMMYFUNCTION("""COMPUTED_VALUE"""),693.0)</f>
        <v>693</v>
      </c>
      <c r="B1975" s="213" t="str">
        <f>IFERROR(__xludf.DUMMYFUNCTION("""COMPUTED_VALUE"""),"6049 RICARDO PALMA")</f>
        <v>6049 RICARDO PALMA</v>
      </c>
      <c r="C1975" s="213" t="str">
        <f>IFERROR(__xludf.DUMMYFUNCTION("""COMPUTED_VALUE"""),"TALLER SFT DE ELECTRÓNICA")</f>
        <v>TALLER SFT DE ELECTRÓNICA</v>
      </c>
      <c r="D1975" s="213" t="str">
        <f>IFERROR(__xludf.DUMMYFUNCTION("""COMPUTED_VALUE"""),"EQUIPOS")</f>
        <v>EQUIPOS</v>
      </c>
      <c r="E1975" s="213" t="str">
        <f>IFERROR(__xludf.DUMMYFUNCTION("""COMPUTED_VALUE"""),"ESP-287")</f>
        <v>ESP-287</v>
      </c>
      <c r="F1975" s="213" t="str">
        <f>IFERROR(__xludf.DUMMYFUNCTION("""COMPUTED_VALUE"""),"ESP-287-Z")</f>
        <v>ESP-287-Z</v>
      </c>
      <c r="G1975" s="213"/>
      <c r="H1975" s="213" t="str">
        <f>IFERROR(__xludf.DUMMYFUNCTION("""COMPUTED_VALUE"""),"OSCILOSCOPIO DIGITAL")</f>
        <v>OSCILOSCOPIO DIGITAL</v>
      </c>
      <c r="I1975" s="213" t="str">
        <f>IFERROR(__xludf.DUMMYFUNCTION("""COMPUTED_VALUE"""),"· Instrumento de medición grafica de señales eléctricas, que pueden variar en el tiempo.
· Ancho de banda: mínimo 200 MHz.
· Frecuencia de muestreo: mínimo 2 GS/s.
· N° de canales, mínimo: 2
· Resolución vertical, mínima: 8 bits
· Sensibilidad vertical, e"&amp;"ntre: ≤ 2mV/div - ≥ 5 V/div.
· Medidas automáticas (funciones matemáticas): mínimo 19
· Display, mínimo: 7""
· Acoplamiento de entrada: AC, DC, y GND (tierra)
· Interface de comunicación: Puerto USB
· Voltaje, frecuencia: 220 V, 60 Hz
· Incluye cables par"&amp;"a pruebas.")</f>
        <v>· Instrumento de medición grafica de señales eléctricas, que pueden variar en el tiempo.
· Ancho de banda: mínimo 200 MHz.
· Frecuencia de muestreo: mínimo 2 GS/s.
· N° de canales, mínimo: 2
· Resolución vertical, mínima: 8 bits
· Sensibilidad vertical, entre: ≤ 2mV/div - ≥ 5 V/div.
· Medidas automáticas (funciones matemáticas): mínimo 19
· Display, mínimo: 7"
· Acoplamiento de entrada: AC, DC, y GND (tierra)
· Interface de comunicación: Puerto USB
· Voltaje, frecuencia: 220 V, 60 Hz
· Incluye cables para pruebas.</v>
      </c>
      <c r="J1975" s="213">
        <f>IFERROR(__xludf.DUMMYFUNCTION("""COMPUTED_VALUE"""),3.0)</f>
        <v>3</v>
      </c>
      <c r="K1975" s="213" t="str">
        <f>IFERROR(__xludf.DUMMYFUNCTION("""COMPUTED_VALUE"""),"170 DÍAS CALENDARIO")</f>
        <v>170 DÍAS CALENDARIO</v>
      </c>
      <c r="L1975" s="213" t="str">
        <f>IFERROR(__xludf.DUMMYFUNCTION("""COMPUTED_VALUE"""),"")</f>
        <v/>
      </c>
      <c r="M1975" s="213">
        <f>IFERROR(__xludf.DUMMYFUNCTION("""COMPUTED_VALUE"""),1.0)</f>
        <v>1</v>
      </c>
      <c r="N1975" s="213">
        <f>IFERROR(__xludf.DUMMYFUNCTION("""COMPUTED_VALUE"""),4.0)</f>
        <v>4</v>
      </c>
      <c r="O1975" s="213">
        <f>IFERROR(__xludf.DUMMYFUNCTION("""COMPUTED_VALUE"""),4.0)</f>
        <v>4</v>
      </c>
      <c r="P1975" s="213"/>
      <c r="Q1975" s="213"/>
      <c r="R1975" s="213"/>
      <c r="S1975" s="213" t="str">
        <f>IFERROR(__xludf.DUMMYFUNCTION("""COMPUTED_VALUE"""),"SI")</f>
        <v>SI</v>
      </c>
      <c r="T1975" s="213" t="str">
        <f>IFERROR(__xludf.DUMMYFUNCTION("""COMPUTED_VALUE"""),"SI")</f>
        <v>SI</v>
      </c>
      <c r="U1975" s="213" t="str">
        <f>IFERROR(__xludf.DUMMYFUNCTION("""COMPUTED_VALUE"""),"SI")</f>
        <v>SI</v>
      </c>
      <c r="V1975" s="213" t="str">
        <f>IFERROR(__xludf.DUMMYFUNCTION("""COMPUTED_VALUE"""),"-")</f>
        <v>-</v>
      </c>
      <c r="W1975" s="213" t="str">
        <f>IFERROR(__xludf.DUMMYFUNCTION("""COMPUTED_VALUE"""),"-")</f>
        <v>-</v>
      </c>
      <c r="X1975" s="213" t="str">
        <f>IFERROR(__xludf.DUMMYFUNCTION("""COMPUTED_VALUE"""),"Owon ")</f>
        <v>Owon </v>
      </c>
      <c r="Y1975" s="213" t="str">
        <f>IFERROR(__xludf.DUMMYFUNCTION("""COMPUTED_VALUE"""),"SDS8201")</f>
        <v>SDS8201</v>
      </c>
      <c r="Z1975" s="215" t="str">
        <f>IFERROR(__xludf.DUMMYFUNCTION("""COMPUTED_VALUE"""),"https://www.owon.com.hk/products_owon_smartds_series_digital_oscilloscope")</f>
        <v>https://www.owon.com.hk/products_owon_smartds_series_digital_oscilloscope</v>
      </c>
      <c r="AA1975" s="213" t="str">
        <f>IFERROR(__xludf.DUMMYFUNCTION("""COMPUTED_VALUE"""),"ESP-287-Z OSCILOSCOPIO DIGITAL - CET")</f>
        <v>ESP-287-Z OSCILOSCOPIO DIGITAL - CET</v>
      </c>
      <c r="AB1975" s="215" t="str">
        <f>IFERROR(__xludf.DUMMYFUNCTION("""COMPUTED_VALUE"""),"https://drive.google.com/file/d/1wyzG1v7AfxDnbv0tBrOsf0Y3zloI7hmV/view")</f>
        <v>https://drive.google.com/file/d/1wyzG1v7AfxDnbv0tBrOsf0Y3zloI7hmV/view</v>
      </c>
      <c r="AC1975" s="213"/>
      <c r="AD1975" s="213"/>
      <c r="AE1975" s="213"/>
      <c r="AF1975" s="213"/>
      <c r="AG1975" s="213"/>
      <c r="AH1975" s="213"/>
      <c r="AI1975" s="213"/>
      <c r="AJ1975" s="213"/>
      <c r="AK1975" s="213"/>
      <c r="AL1975" s="213"/>
      <c r="AM1975" s="213"/>
      <c r="AN1975" s="213"/>
      <c r="AO1975" s="213"/>
      <c r="AP1975" s="213" t="str">
        <f>IFERROR(__xludf.DUMMYFUNCTION("""COMPUTED_VALUE"""),"BRUNO")</f>
        <v>BRUNO</v>
      </c>
      <c r="AQ1975" s="213"/>
      <c r="AR1975" s="213"/>
      <c r="AS1975" s="213"/>
      <c r="AT1975" s="213"/>
      <c r="AU1975" s="213"/>
      <c r="AV1975" s="213"/>
      <c r="AW1975" s="213"/>
      <c r="AX1975" s="213"/>
      <c r="AY1975" s="213"/>
      <c r="AZ1975" s="213"/>
      <c r="BA1975" s="213"/>
      <c r="BB1975" s="213"/>
      <c r="BC1975" s="213"/>
      <c r="BD1975" s="213"/>
    </row>
    <row r="1976">
      <c r="A1976" s="213">
        <f>IFERROR(__xludf.DUMMYFUNCTION("""COMPUTED_VALUE"""),887.0)</f>
        <v>887</v>
      </c>
      <c r="B1976" s="213" t="str">
        <f>IFERROR(__xludf.DUMMYFUNCTION("""COMPUTED_VALUE"""),"6049 RICARDO PALMA")</f>
        <v>6049 RICARDO PALMA</v>
      </c>
      <c r="C1976" s="213" t="str">
        <f>IFERROR(__xludf.DUMMYFUNCTION("""COMPUTED_VALUE"""),"TALLER SFT DE ELECTRICIDAD")</f>
        <v>TALLER SFT DE ELECTRICIDAD</v>
      </c>
      <c r="D1976" s="213" t="str">
        <f>IFERROR(__xludf.DUMMYFUNCTION("""COMPUTED_VALUE"""),"EQUIPOS")</f>
        <v>EQUIPOS</v>
      </c>
      <c r="E1976" s="213" t="str">
        <f>IFERROR(__xludf.DUMMYFUNCTION("""COMPUTED_VALUE"""),"ESP-287")</f>
        <v>ESP-287</v>
      </c>
      <c r="F1976" s="213" t="str">
        <f>IFERROR(__xludf.DUMMYFUNCTION("""COMPUTED_VALUE"""),"ESP-287-Y")</f>
        <v>ESP-287-Y</v>
      </c>
      <c r="G1976" s="213"/>
      <c r="H1976" s="213" t="str">
        <f>IFERROR(__xludf.DUMMYFUNCTION("""COMPUTED_VALUE"""),"OSCILOSCOPIO DIGITAL")</f>
        <v>OSCILOSCOPIO DIGITAL</v>
      </c>
      <c r="I1976" s="213" t="str">
        <f>IFERROR(__xludf.DUMMYFUNCTION("""COMPUTED_VALUE"""),"· Datos técnicos:
1. Con Ancho de Banda de hasta 200 MHz.
2. Pantalla a color LCD, mínimo 8"" y alta resolución, 800 x 600 píxeles.
3. Máxima tensión de entrada 400 V.
4. Acoplamiento de entrada DC, AC y GND (tierra).
5. Almacenamiento hasta 15 formas de "&amp;"onda.
6. Con funciones matemáticas
7. Interfaces de comunicación: USB 2.0, USB para almacenamiento de ficheros, LAN, VGA
8. Alimentación: 220 V, 60 Hz.
9. Con MENÚ de autoconfiguración.
10. Con doble base de tiempo.
11. Con configuración de Idiomas.
· Car"&amp;"acterísticas de Seguridad:
1. Con cubierta de protección anti golpes y antideslizante.
2. Con soporte y mango para posicionarlo en forma inclinada.
· Accesorios:
1. Sonda pasiva (x2), cable de alimentación, cable USB, guía de referencia rápida.
2. Con laz"&amp;"os de seguridad.
3. Con maletín de transporte.
4. Con pilas o baterías.
5. Manual de instrucciones
6. Con carro portaherramientas con 2 bandejas: Con dos estructuras metálicas en U y 4 ruedas giratorias (Dimensiones mínimas: 750 x 430 x 1000 mm)")</f>
        <v>· Datos técnicos:
1. Con Ancho de Banda de hasta 200 MHz.
2. Pantalla a color LCD, mínimo 8" y alta resolución, 800 x 600 píxeles.
3. Máxima tensión de entrada 400 V.
4. Acoplamiento de entrada DC, AC y GND (tierra).
5. Almacenamiento hasta 15 formas de onda.
6. Con funciones matemáticas
7. Interfaces de comunicación: USB 2.0, USB para almacenamiento de ficheros, LAN, VGA
8. Alimentación: 220 V, 60 Hz.
9. Con MENÚ de autoconfiguración.
10. Con doble base de tiempo.
11. Con configuración de Idiomas.
· Características de Seguridad:
1. Con cubierta de protección anti golpes y antideslizante.
2. Con soporte y mango para posicionarlo en forma inclinada.
· Accesorios:
1. Sonda pasiva (x2), cable de alimentación, cable USB, guía de referencia rápida.
2. Con lazos de seguridad.
3. Con maletín de transporte.
4. Con pilas o baterías.
5. Manual de instrucciones
6. Con carro portaherramientas con 2 bandejas: Con dos estructuras metálicas en U y 4 ruedas giratorias (Dimensiones mínimas: 750 x 430 x 1000 mm)</v>
      </c>
      <c r="J1976" s="213">
        <f>IFERROR(__xludf.DUMMYFUNCTION("""COMPUTED_VALUE"""),3.0)</f>
        <v>3</v>
      </c>
      <c r="K1976" s="213" t="str">
        <f>IFERROR(__xludf.DUMMYFUNCTION("""COMPUTED_VALUE"""),"170 DÍAS CALENDARIO")</f>
        <v>170 DÍAS CALENDARIO</v>
      </c>
      <c r="L1976" s="213" t="str">
        <f>IFERROR(__xludf.DUMMYFUNCTION("""COMPUTED_VALUE"""),"")</f>
        <v/>
      </c>
      <c r="M1976" s="213">
        <f>IFERROR(__xludf.DUMMYFUNCTION("""COMPUTED_VALUE"""),1.0)</f>
        <v>1</v>
      </c>
      <c r="N1976" s="213">
        <f>IFERROR(__xludf.DUMMYFUNCTION("""COMPUTED_VALUE"""),4.0)</f>
        <v>4</v>
      </c>
      <c r="O1976" s="213">
        <f>IFERROR(__xludf.DUMMYFUNCTION("""COMPUTED_VALUE"""),4.0)</f>
        <v>4</v>
      </c>
      <c r="P1976" s="213"/>
      <c r="Q1976" s="213"/>
      <c r="R1976" s="213"/>
      <c r="S1976" s="213" t="str">
        <f>IFERROR(__xludf.DUMMYFUNCTION("""COMPUTED_VALUE"""),"SI")</f>
        <v>SI</v>
      </c>
      <c r="T1976" s="213" t="str">
        <f>IFERROR(__xludf.DUMMYFUNCTION("""COMPUTED_VALUE"""),"CONSULTA FINAL")</f>
        <v>CONSULTA FINAL</v>
      </c>
      <c r="U1976" s="213" t="str">
        <f>IFERROR(__xludf.DUMMYFUNCTION("""COMPUTED_VALUE"""),"NO")</f>
        <v>NO</v>
      </c>
      <c r="V1976" s="213" t="str">
        <f>IFERROR(__xludf.DUMMYFUNCTION("""COMPUTED_VALUE"""),"SUSTENTO")</f>
        <v>SUSTENTO</v>
      </c>
      <c r="W1976" s="213" t="str">
        <f>IFERROR(__xludf.DUMMYFUNCTION("""COMPUTED_VALUE"""),"EQU TEC")</f>
        <v>EQU TEC</v>
      </c>
      <c r="X1976" s="213" t="str">
        <f>IFERROR(__xludf.DUMMYFUNCTION("""COMPUTED_VALUE"""),"Owon ")</f>
        <v>Owon </v>
      </c>
      <c r="Y1976" s="213" t="str">
        <f>IFERROR(__xludf.DUMMYFUNCTION("""COMPUTED_VALUE"""),"SDS8201")</f>
        <v>SDS8201</v>
      </c>
      <c r="Z1976" s="215" t="str">
        <f>IFERROR(__xludf.DUMMYFUNCTION("""COMPUTED_VALUE"""),"https://www.batronix.com/shop/oscilloscopes/Owon-SDS8202.html")</f>
        <v>https://www.batronix.com/shop/oscilloscopes/Owon-SDS8202.html</v>
      </c>
      <c r="AA1976" s="213" t="str">
        <f>IFERROR(__xludf.DUMMYFUNCTION("""COMPUTED_VALUE"""),"ESP-287-Y OSCILOSCOPIO DIGITAL - CET")</f>
        <v>ESP-287-Y OSCILOSCOPIO DIGITAL - CET</v>
      </c>
      <c r="AB1976" s="213"/>
      <c r="AC1976" s="213"/>
      <c r="AD1976" s="213"/>
      <c r="AE1976" s="213"/>
      <c r="AF1976" s="213"/>
      <c r="AG1976" s="213"/>
      <c r="AH1976" s="213"/>
      <c r="AI1976" s="213"/>
      <c r="AJ1976" s="213"/>
      <c r="AK1976" s="213"/>
      <c r="AL1976" s="213"/>
      <c r="AM1976" s="213"/>
      <c r="AN1976" s="213"/>
      <c r="AO1976" s="213"/>
      <c r="AP1976" s="213" t="str">
        <f>IFERROR(__xludf.DUMMYFUNCTION("""COMPUTED_VALUE"""),"BRUNO")</f>
        <v>BRUNO</v>
      </c>
      <c r="AQ1976" s="213"/>
      <c r="AR1976" s="213"/>
      <c r="AS1976" s="213" t="str">
        <f>IFERROR(__xludf.DUMMYFUNCTION("""COMPUTED_VALUE"""),"Con carro portaherramientas con 2 bandejas: Con dos estructuras metálicas en U y 4 ruedas giratorias
(Dimensiones mínimas: 750 x 430 x 1000 mm)")</f>
        <v>Con carro portaherramientas con 2 bandejas: Con dos estructuras metálicas en U y 4 ruedas giratorias
(Dimensiones mínimas: 750 x 430 x 1000 mm)</v>
      </c>
      <c r="AT1976" s="213"/>
      <c r="AU1976" s="213"/>
      <c r="AV1976" s="213"/>
      <c r="AW1976" s="213"/>
      <c r="AX1976" s="213"/>
      <c r="AY1976" s="213"/>
      <c r="AZ1976" s="213"/>
      <c r="BA1976" s="213"/>
      <c r="BB1976" s="213"/>
      <c r="BC1976" s="213"/>
      <c r="BD1976" s="213"/>
    </row>
    <row r="1977">
      <c r="A1977" s="213">
        <f>IFERROR(__xludf.DUMMYFUNCTION("""COMPUTED_VALUE"""),1041.0)</f>
        <v>1041</v>
      </c>
      <c r="B1977" s="213" t="str">
        <f>IFERROR(__xludf.DUMMYFUNCTION("""COMPUTED_VALUE"""),"FRANCISCO IRAZOLA")</f>
        <v>FRANCISCO IRAZOLA</v>
      </c>
      <c r="C1977" s="213" t="str">
        <f>IFERROR(__xludf.DUMMYFUNCTION("""COMPUTED_VALUE"""),"TALLER SFT DE MECÁNICA AUTOMOTRIZ")</f>
        <v>TALLER SFT DE MECÁNICA AUTOMOTRIZ</v>
      </c>
      <c r="D1977" s="213" t="str">
        <f>IFERROR(__xludf.DUMMYFUNCTION("""COMPUTED_VALUE"""),"EQUIPOS")</f>
        <v>EQUIPOS</v>
      </c>
      <c r="E1977" s="213" t="str">
        <f>IFERROR(__xludf.DUMMYFUNCTION("""COMPUTED_VALUE"""),"ESP-287")</f>
        <v>ESP-287</v>
      </c>
      <c r="F1977" s="213" t="str">
        <f>IFERROR(__xludf.DUMMYFUNCTION("""COMPUTED_VALUE"""),"ESP-287-X")</f>
        <v>ESP-287-X</v>
      </c>
      <c r="G1977" s="213"/>
      <c r="H1977" s="213" t="str">
        <f>IFERROR(__xludf.DUMMYFUNCTION("""COMPUTED_VALUE"""),"OSCILOSCOPIO DIGITAL")</f>
        <v>OSCILOSCOPIO DIGITAL</v>
      </c>
      <c r="I1977" s="213" t="str">
        <f>IFERROR(__xludf.DUMMYFUNCTION("""COMPUTED_VALUE"""),"Instrumento de medición grafica de señales eléctricas, que pueden variar en el tiempo. Ancho de banda: mínimo 50 MHz.
Frecuencia de muestreo: mínimo 250 MS/s. N° de canales: mínimo 2.
Sensibilidad vertical, entre: ≤ 5 mV/div - ≥ 5 V/div. Display: mínimo 3"&amp;".5"", a color.
Interface de comunicación: Puerto mini USB. Posee batería de litio.
Voltaje, frecuencia: adaptador DC de 100 - 220 V 240 V, 50/60 Hz de entrada, y salida entre 4.5 - 12 V. Incluye cables para pruebas.")</f>
        <v>Instrumento de medición grafica de señales eléctricas, que pueden variar en el tiempo. Ancho de banda: mínimo 50 MHz.
Frecuencia de muestreo: mínimo 250 MS/s. N° de canales: mínimo 2.
Sensibilidad vertical, entre: ≤ 5 mV/div - ≥ 5 V/div. Display: mínimo 3.5", a color.
Interface de comunicación: Puerto mini USB. Posee batería de litio.
Voltaje, frecuencia: adaptador DC de 100 - 220 V 240 V, 50/60 Hz de entrada, y salida entre 4.5 - 12 V. Incluye cables para pruebas.</v>
      </c>
      <c r="J1977" s="213">
        <f>IFERROR(__xludf.DUMMYFUNCTION("""COMPUTED_VALUE"""),3.0)</f>
        <v>3</v>
      </c>
      <c r="K1977" s="213" t="str">
        <f>IFERROR(__xludf.DUMMYFUNCTION("""COMPUTED_VALUE"""),"170 DÍAS CALENDARIO")</f>
        <v>170 DÍAS CALENDARIO</v>
      </c>
      <c r="L1977" s="213" t="str">
        <f>IFERROR(__xludf.DUMMYFUNCTION("""COMPUTED_VALUE"""),"")</f>
        <v/>
      </c>
      <c r="M1977" s="213">
        <f>IFERROR(__xludf.DUMMYFUNCTION("""COMPUTED_VALUE"""),1.0)</f>
        <v>1</v>
      </c>
      <c r="N1977" s="213">
        <f>IFERROR(__xludf.DUMMYFUNCTION("""COMPUTED_VALUE"""),5.0)</f>
        <v>5</v>
      </c>
      <c r="O1977" s="213">
        <f>IFERROR(__xludf.DUMMYFUNCTION("""COMPUTED_VALUE"""),5.0)</f>
        <v>5</v>
      </c>
      <c r="P1977" s="213"/>
      <c r="Q1977" s="213"/>
      <c r="R1977" s="213"/>
      <c r="S1977" s="213" t="str">
        <f>IFERROR(__xludf.DUMMYFUNCTION("""COMPUTED_VALUE"""),"SI")</f>
        <v>SI</v>
      </c>
      <c r="T1977" s="213" t="str">
        <f>IFERROR(__xludf.DUMMYFUNCTION("""COMPUTED_VALUE"""),"SI")</f>
        <v>SI</v>
      </c>
      <c r="U1977" s="213" t="str">
        <f>IFERROR(__xludf.DUMMYFUNCTION("""COMPUTED_VALUE"""),"SI")</f>
        <v>SI</v>
      </c>
      <c r="V1977" s="213" t="str">
        <f>IFERROR(__xludf.DUMMYFUNCTION("""COMPUTED_VALUE"""),"-")</f>
        <v>-</v>
      </c>
      <c r="W1977" s="213" t="str">
        <f>IFERROR(__xludf.DUMMYFUNCTION("""COMPUTED_VALUE"""),"-")</f>
        <v>-</v>
      </c>
      <c r="X1977" s="213" t="str">
        <f>IFERROR(__xludf.DUMMYFUNCTION("""COMPUTED_VALUE"""),"PeakTech")</f>
        <v>PeakTech</v>
      </c>
      <c r="Y1977" s="213" t="str">
        <f>IFERROR(__xludf.DUMMYFUNCTION("""COMPUTED_VALUE"""),"P-1270")</f>
        <v>P-1270</v>
      </c>
      <c r="Z1977" s="215" t="str">
        <f>IFERROR(__xludf.DUMMYFUNCTION("""COMPUTED_VALUE"""),"https://www.inladsac.com/producto/osciloscopio-digital-300mhz-2-canales-peaktech-p-1270/?srsltid=AfmBOop6NmqKkL_XddfuNHqyVGwajh9p81Omw946mCTP4lCwp6QwTC-4")</f>
        <v>https://www.inladsac.com/producto/osciloscopio-digital-300mhz-2-canales-peaktech-p-1270/?srsltid=AfmBOop6NmqKkL_XddfuNHqyVGwajh9p81Omw946mCTP4lCwp6QwTC-4</v>
      </c>
      <c r="AA1977" s="213" t="str">
        <f>IFERROR(__xludf.DUMMYFUNCTION("""COMPUTED_VALUE"""),"ESP-287-X OSCILOSCOPIO DIGITAL - CET")</f>
        <v>ESP-287-X OSCILOSCOPIO DIGITAL - CET</v>
      </c>
      <c r="AB1977" s="215" t="str">
        <f>IFERROR(__xludf.DUMMYFUNCTION("""COMPUTED_VALUE"""),"https://drive.google.com/file/d/1zAaC4RcidyJXeUzN_tIt6W6RMScdH8l5/view?usp=sharing")</f>
        <v>https://drive.google.com/file/d/1zAaC4RcidyJXeUzN_tIt6W6RMScdH8l5/view?usp=sharing</v>
      </c>
      <c r="AC1977" s="213"/>
      <c r="AD1977" s="213"/>
      <c r="AE1977" s="213"/>
      <c r="AF1977" s="213"/>
      <c r="AG1977" s="213"/>
      <c r="AH1977" s="213" t="str">
        <f>IFERROR(__xludf.DUMMYFUNCTION("""COMPUTED_VALUE"""),"IMPORTADO")</f>
        <v>IMPORTADO</v>
      </c>
      <c r="AI1977" s="213"/>
      <c r="AJ1977" s="213"/>
      <c r="AK1977" s="213"/>
      <c r="AL1977" s="213"/>
      <c r="AM1977" s="213"/>
      <c r="AN1977" s="213"/>
      <c r="AO1977" s="213"/>
      <c r="AP1977" s="213" t="str">
        <f>IFERROR(__xludf.DUMMYFUNCTION("""COMPUTED_VALUE"""),"NALDI")</f>
        <v>NALDI</v>
      </c>
      <c r="AQ1977" s="213"/>
      <c r="AR1977" s="213"/>
      <c r="AS1977" s="213"/>
      <c r="AT1977" s="213"/>
      <c r="AU1977" s="213"/>
      <c r="AV1977" s="213"/>
      <c r="AW1977" s="213"/>
      <c r="AX1977" s="213"/>
      <c r="AY1977" s="213"/>
      <c r="AZ1977" s="213"/>
      <c r="BA1977" s="213"/>
      <c r="BB1977" s="213"/>
      <c r="BC1977" s="213"/>
      <c r="BD1977" s="213"/>
    </row>
    <row r="1978">
      <c r="A1978" s="213">
        <f>IFERROR(__xludf.DUMMYFUNCTION("""COMPUTED_VALUE"""),1309.0)</f>
        <v>1309</v>
      </c>
      <c r="B1978" s="213" t="str">
        <f>IFERROR(__xludf.DUMMYFUNCTION("""COMPUTED_VALUE"""),"GUILLERMO E. BILLINGHURST ")</f>
        <v>GUILLERMO E. BILLINGHURST </v>
      </c>
      <c r="C1978" s="213" t="str">
        <f>IFERROR(__xludf.DUMMYFUNCTION("""COMPUTED_VALUE"""),"TALLER SFT DE ELECTRICIDAD")</f>
        <v>TALLER SFT DE ELECTRICIDAD</v>
      </c>
      <c r="D1978" s="213" t="str">
        <f>IFERROR(__xludf.DUMMYFUNCTION("""COMPUTED_VALUE"""),"EQUIPOS")</f>
        <v>EQUIPOS</v>
      </c>
      <c r="E1978" s="213" t="str">
        <f>IFERROR(__xludf.DUMMYFUNCTION("""COMPUTED_VALUE"""),"ESP-287")</f>
        <v>ESP-287</v>
      </c>
      <c r="F1978" s="213" t="str">
        <f>IFERROR(__xludf.DUMMYFUNCTION("""COMPUTED_VALUE"""),"ESP-287-Y")</f>
        <v>ESP-287-Y</v>
      </c>
      <c r="G1978" s="213"/>
      <c r="H1978" s="213" t="str">
        <f>IFERROR(__xludf.DUMMYFUNCTION("""COMPUTED_VALUE"""),"OSCILOSCOPIO DIGITAL")</f>
        <v>OSCILOSCOPIO DIGITAL</v>
      </c>
      <c r="I1978" s="213" t="str">
        <f>IFERROR(__xludf.DUMMYFUNCTION("""COMPUTED_VALUE"""),"· Datos técnicos:
1. Con Ancho de Banda de hasta 200 MHz.
2. Pantalla a color LCD, mínimo 8"" y alta resolución, 800 x 600 píxeles.
3. Máxima tensión de entrada 400 V.
4. Acoplamiento de entrada DC, AC y GND (tierra).
5. Almacenamiento hasta 15 formas de "&amp;"onda.
6. Con funciones matemáticas
7. Interfaces de comunicación: USB 2.0, USB para almacenamiento de ficheros, LAN, VGA
8. Alimentación: 220 V, 60 Hz.
9. Con MENÚ de autoconfiguración.
10. Con doble base de tiempo.
11. Con configuración de Idiomas.
· Car"&amp;"acterísticas de Seguridad:
1. Con cubierta de protección anti golpes y antideslizante.
2. Con soporte y mango para posicionarlo en forma inclinada.
· Accesorios:
1. Sonda pasiva (x2), cable de alimentación, cable USB, guía de referencia rápida.
2. Con laz"&amp;"os de seguridad.
3. Con maletín de transporte.
4. Con pilas o baterías.
5. Manual de instrucciones
6. Con carro portaherramientas con 2 bandejas: Con dos estructuras metálicas en U y 4 ruedas giratorias (Dimensiones mínimas: 750 x 430 x 1000 mm)")</f>
        <v>· Datos técnicos:
1. Con Ancho de Banda de hasta 200 MHz.
2. Pantalla a color LCD, mínimo 8" y alta resolución, 800 x 600 píxeles.
3. Máxima tensión de entrada 400 V.
4. Acoplamiento de entrada DC, AC y GND (tierra).
5. Almacenamiento hasta 15 formas de onda.
6. Con funciones matemáticas
7. Interfaces de comunicación: USB 2.0, USB para almacenamiento de ficheros, LAN, VGA
8. Alimentación: 220 V, 60 Hz.
9. Con MENÚ de autoconfiguración.
10. Con doble base de tiempo.
11. Con configuración de Idiomas.
· Características de Seguridad:
1. Con cubierta de protección anti golpes y antideslizante.
2. Con soporte y mango para posicionarlo en forma inclinada.
· Accesorios:
1. Sonda pasiva (x2), cable de alimentación, cable USB, guía de referencia rápida.
2. Con lazos de seguridad.
3. Con maletín de transporte.
4. Con pilas o baterías.
5. Manual de instrucciones
6. Con carro portaherramientas con 2 bandejas: Con dos estructuras metálicas en U y 4 ruedas giratorias (Dimensiones mínimas: 750 x 430 x 1000 mm)</v>
      </c>
      <c r="J1978" s="213">
        <f>IFERROR(__xludf.DUMMYFUNCTION("""COMPUTED_VALUE"""),3.0)</f>
        <v>3</v>
      </c>
      <c r="K1978" s="213" t="str">
        <f>IFERROR(__xludf.DUMMYFUNCTION("""COMPUTED_VALUE"""),"170 DÍAS CALENDARIO")</f>
        <v>170 DÍAS CALENDARIO</v>
      </c>
      <c r="L1978" s="213" t="str">
        <f>IFERROR(__xludf.DUMMYFUNCTION("""COMPUTED_VALUE"""),"")</f>
        <v/>
      </c>
      <c r="M1978" s="213">
        <f>IFERROR(__xludf.DUMMYFUNCTION("""COMPUTED_VALUE"""),1.0)</f>
        <v>1</v>
      </c>
      <c r="N1978" s="213">
        <f>IFERROR(__xludf.DUMMYFUNCTION("""COMPUTED_VALUE"""),4.0)</f>
        <v>4</v>
      </c>
      <c r="O1978" s="213">
        <f>IFERROR(__xludf.DUMMYFUNCTION("""COMPUTED_VALUE"""),4.0)</f>
        <v>4</v>
      </c>
      <c r="P1978" s="213"/>
      <c r="Q1978" s="213"/>
      <c r="R1978" s="213"/>
      <c r="S1978" s="213" t="str">
        <f>IFERROR(__xludf.DUMMYFUNCTION("""COMPUTED_VALUE"""),"SI")</f>
        <v>SI</v>
      </c>
      <c r="T1978" s="213" t="str">
        <f>IFERROR(__xludf.DUMMYFUNCTION("""COMPUTED_VALUE"""),"CONSULTA FINAL")</f>
        <v>CONSULTA FINAL</v>
      </c>
      <c r="U1978" s="213" t="str">
        <f>IFERROR(__xludf.DUMMYFUNCTION("""COMPUTED_VALUE"""),"NO")</f>
        <v>NO</v>
      </c>
      <c r="V1978" s="213" t="str">
        <f>IFERROR(__xludf.DUMMYFUNCTION("""COMPUTED_VALUE"""),"SUSTENTO")</f>
        <v>SUSTENTO</v>
      </c>
      <c r="W1978" s="213" t="str">
        <f>IFERROR(__xludf.DUMMYFUNCTION("""COMPUTED_VALUE"""),"EQU TEC")</f>
        <v>EQU TEC</v>
      </c>
      <c r="X1978" s="213" t="str">
        <f>IFERROR(__xludf.DUMMYFUNCTION("""COMPUTED_VALUE"""),"Owon ")</f>
        <v>Owon </v>
      </c>
      <c r="Y1978" s="213" t="str">
        <f>IFERROR(__xludf.DUMMYFUNCTION("""COMPUTED_VALUE"""),"SDS8201")</f>
        <v>SDS8201</v>
      </c>
      <c r="Z1978" s="215" t="str">
        <f>IFERROR(__xludf.DUMMYFUNCTION("""COMPUTED_VALUE"""),"https://www.batronix.com/shop/oscilloscopes/Owon-SDS8202.html")</f>
        <v>https://www.batronix.com/shop/oscilloscopes/Owon-SDS8202.html</v>
      </c>
      <c r="AA1978" s="213" t="str">
        <f>IFERROR(__xludf.DUMMYFUNCTION("""COMPUTED_VALUE"""),"ESP-287-Y OSCILOSCOPIO DIGITAL - CET")</f>
        <v>ESP-287-Y OSCILOSCOPIO DIGITAL - CET</v>
      </c>
      <c r="AB1978" s="213"/>
      <c r="AC1978" s="213"/>
      <c r="AD1978" s="213"/>
      <c r="AE1978" s="213"/>
      <c r="AF1978" s="213"/>
      <c r="AG1978" s="213"/>
      <c r="AH1978" s="213"/>
      <c r="AI1978" s="213"/>
      <c r="AJ1978" s="213"/>
      <c r="AK1978" s="213"/>
      <c r="AL1978" s="213"/>
      <c r="AM1978" s="213"/>
      <c r="AN1978" s="213"/>
      <c r="AO1978" s="213"/>
      <c r="AP1978" s="213" t="str">
        <f>IFERROR(__xludf.DUMMYFUNCTION("""COMPUTED_VALUE"""),"BRUNO")</f>
        <v>BRUNO</v>
      </c>
      <c r="AQ1978" s="213"/>
      <c r="AR1978" s="213"/>
      <c r="AS1978" s="213" t="str">
        <f>IFERROR(__xludf.DUMMYFUNCTION("""COMPUTED_VALUE"""),"Con carro portaherramientas con 2 bandejas: Con dos estructuras metálicas en U y 4 ruedas giratorias
(Dimensiones mínimas: 750 x 430 x 1000 mm)")</f>
        <v>Con carro portaherramientas con 2 bandejas: Con dos estructuras metálicas en U y 4 ruedas giratorias
(Dimensiones mínimas: 750 x 430 x 1000 mm)</v>
      </c>
      <c r="AT1978" s="213"/>
      <c r="AU1978" s="213"/>
      <c r="AV1978" s="213"/>
      <c r="AW1978" s="213"/>
      <c r="AX1978" s="213"/>
      <c r="AY1978" s="213"/>
      <c r="AZ1978" s="213"/>
      <c r="BA1978" s="213"/>
      <c r="BB1978" s="213"/>
      <c r="BC1978" s="213"/>
      <c r="BD1978" s="213"/>
    </row>
    <row r="1979">
      <c r="A1979" s="213">
        <f>IFERROR(__xludf.DUMMYFUNCTION("""COMPUTED_VALUE"""),1646.0)</f>
        <v>1646</v>
      </c>
      <c r="B1979" s="213" t="str">
        <f>IFERROR(__xludf.DUMMYFUNCTION("""COMPUTED_VALUE"""),"GUILLERMO E. BILLINGHURST ")</f>
        <v>GUILLERMO E. BILLINGHURST </v>
      </c>
      <c r="C1979" s="213" t="str">
        <f>IFERROR(__xludf.DUMMYFUNCTION("""COMPUTED_VALUE"""),"TALLER SFT DE MECÁNICA AUTOMOTRIZ")</f>
        <v>TALLER SFT DE MECÁNICA AUTOMOTRIZ</v>
      </c>
      <c r="D1979" s="213" t="str">
        <f>IFERROR(__xludf.DUMMYFUNCTION("""COMPUTED_VALUE"""),"EQUIPOS")</f>
        <v>EQUIPOS</v>
      </c>
      <c r="E1979" s="213" t="str">
        <f>IFERROR(__xludf.DUMMYFUNCTION("""COMPUTED_VALUE"""),"ESP-287")</f>
        <v>ESP-287</v>
      </c>
      <c r="F1979" s="213" t="str">
        <f>IFERROR(__xludf.DUMMYFUNCTION("""COMPUTED_VALUE"""),"ESP-287-X")</f>
        <v>ESP-287-X</v>
      </c>
      <c r="G1979" s="213"/>
      <c r="H1979" s="213" t="str">
        <f>IFERROR(__xludf.DUMMYFUNCTION("""COMPUTED_VALUE"""),"OSCILOSCOPIO DIGITAL")</f>
        <v>OSCILOSCOPIO DIGITAL</v>
      </c>
      <c r="I1979" s="213" t="str">
        <f>IFERROR(__xludf.DUMMYFUNCTION("""COMPUTED_VALUE"""),"Instrumento de medición grafica de señales eléctricas, que pueden variar en el tiempo. Ancho de banda: mínimo 50 MHz.
Frecuencia de muestreo: mínimo 250 MS/s. N° de canales: mínimo 2.
Sensibilidad vertical, entre: ≤ 5 mV/div - ≥ 5 V/div. Display: mínimo 3"&amp;".5"", a color.
Interface de comunicación: Puerto mini USB. Posee batería de litio.
Voltaje, frecuencia: adaptador DC de 100 - 220 V 240 V, 50/60 Hz de entrada, y salida entre 4.5 - 12 V. Incluye cables para pruebas.")</f>
        <v>Instrumento de medición grafica de señales eléctricas, que pueden variar en el tiempo. Ancho de banda: mínimo 50 MHz.
Frecuencia de muestreo: mínimo 250 MS/s. N° de canales: mínimo 2.
Sensibilidad vertical, entre: ≤ 5 mV/div - ≥ 5 V/div. Display: mínimo 3.5", a color.
Interface de comunicación: Puerto mini USB. Posee batería de litio.
Voltaje, frecuencia: adaptador DC de 100 - 220 V 240 V, 50/60 Hz de entrada, y salida entre 4.5 - 12 V. Incluye cables para pruebas.</v>
      </c>
      <c r="J1979" s="213">
        <f>IFERROR(__xludf.DUMMYFUNCTION("""COMPUTED_VALUE"""),3.0)</f>
        <v>3</v>
      </c>
      <c r="K1979" s="213" t="str">
        <f>IFERROR(__xludf.DUMMYFUNCTION("""COMPUTED_VALUE"""),"170 DÍAS CALENDARIO")</f>
        <v>170 DÍAS CALENDARIO</v>
      </c>
      <c r="L1979" s="213" t="str">
        <f>IFERROR(__xludf.DUMMYFUNCTION("""COMPUTED_VALUE"""),"")</f>
        <v/>
      </c>
      <c r="M1979" s="213">
        <f>IFERROR(__xludf.DUMMYFUNCTION("""COMPUTED_VALUE"""),1.0)</f>
        <v>1</v>
      </c>
      <c r="N1979" s="213">
        <f>IFERROR(__xludf.DUMMYFUNCTION("""COMPUTED_VALUE"""),5.0)</f>
        <v>5</v>
      </c>
      <c r="O1979" s="213">
        <f>IFERROR(__xludf.DUMMYFUNCTION("""COMPUTED_VALUE"""),5.0)</f>
        <v>5</v>
      </c>
      <c r="P1979" s="213"/>
      <c r="Q1979" s="213"/>
      <c r="R1979" s="213"/>
      <c r="S1979" s="213" t="str">
        <f>IFERROR(__xludf.DUMMYFUNCTION("""COMPUTED_VALUE"""),"SI")</f>
        <v>SI</v>
      </c>
      <c r="T1979" s="213" t="str">
        <f>IFERROR(__xludf.DUMMYFUNCTION("""COMPUTED_VALUE"""),"SI")</f>
        <v>SI</v>
      </c>
      <c r="U1979" s="213" t="str">
        <f>IFERROR(__xludf.DUMMYFUNCTION("""COMPUTED_VALUE"""),"SI")</f>
        <v>SI</v>
      </c>
      <c r="V1979" s="213" t="str">
        <f>IFERROR(__xludf.DUMMYFUNCTION("""COMPUTED_VALUE"""),"-")</f>
        <v>-</v>
      </c>
      <c r="W1979" s="213" t="str">
        <f>IFERROR(__xludf.DUMMYFUNCTION("""COMPUTED_VALUE"""),"-")</f>
        <v>-</v>
      </c>
      <c r="X1979" s="213" t="str">
        <f>IFERROR(__xludf.DUMMYFUNCTION("""COMPUTED_VALUE"""),"PeakTech")</f>
        <v>PeakTech</v>
      </c>
      <c r="Y1979" s="213" t="str">
        <f>IFERROR(__xludf.DUMMYFUNCTION("""COMPUTED_VALUE"""),"P-1270")</f>
        <v>P-1270</v>
      </c>
      <c r="Z1979" s="215" t="str">
        <f>IFERROR(__xludf.DUMMYFUNCTION("""COMPUTED_VALUE"""),"https://www.inladsac.com/producto/osciloscopio-digital-300mhz-2-canales-peaktech-p-1270/?srsltid=AfmBOop6NmqKkL_XddfuNHqyVGwajh9p81Omw946mCTP4lCwp6QwTC-4")</f>
        <v>https://www.inladsac.com/producto/osciloscopio-digital-300mhz-2-canales-peaktech-p-1270/?srsltid=AfmBOop6NmqKkL_XddfuNHqyVGwajh9p81Omw946mCTP4lCwp6QwTC-4</v>
      </c>
      <c r="AA1979" s="213" t="str">
        <f>IFERROR(__xludf.DUMMYFUNCTION("""COMPUTED_VALUE"""),"ESP-287-X OSCILOSCOPIO DIGITAL - CET")</f>
        <v>ESP-287-X OSCILOSCOPIO DIGITAL - CET</v>
      </c>
      <c r="AB1979" s="215" t="str">
        <f>IFERROR(__xludf.DUMMYFUNCTION("""COMPUTED_VALUE"""),"https://drive.google.com/file/d/1zAaC4RcidyJXeUzN_tIt6W6RMScdH8l5/view?usp=sharing")</f>
        <v>https://drive.google.com/file/d/1zAaC4RcidyJXeUzN_tIt6W6RMScdH8l5/view?usp=sharing</v>
      </c>
      <c r="AC1979" s="213"/>
      <c r="AD1979" s="213"/>
      <c r="AE1979" s="213"/>
      <c r="AF1979" s="213"/>
      <c r="AG1979" s="213"/>
      <c r="AH1979" s="213" t="str">
        <f>IFERROR(__xludf.DUMMYFUNCTION("""COMPUTED_VALUE"""),"IMPORTADO")</f>
        <v>IMPORTADO</v>
      </c>
      <c r="AI1979" s="213"/>
      <c r="AJ1979" s="213"/>
      <c r="AK1979" s="213"/>
      <c r="AL1979" s="213"/>
      <c r="AM1979" s="213"/>
      <c r="AN1979" s="213"/>
      <c r="AO1979" s="213"/>
      <c r="AP1979" s="213" t="str">
        <f>IFERROR(__xludf.DUMMYFUNCTION("""COMPUTED_VALUE"""),"NALDI")</f>
        <v>NALDI</v>
      </c>
      <c r="AQ1979" s="213"/>
      <c r="AR1979" s="213"/>
      <c r="AS1979" s="213"/>
      <c r="AT1979" s="213"/>
      <c r="AU1979" s="213"/>
      <c r="AV1979" s="213"/>
      <c r="AW1979" s="213"/>
      <c r="AX1979" s="213"/>
      <c r="AY1979" s="213"/>
      <c r="AZ1979" s="213"/>
      <c r="BA1979" s="213"/>
      <c r="BB1979" s="213"/>
      <c r="BC1979" s="213"/>
      <c r="BD1979" s="213"/>
    </row>
    <row r="1980">
      <c r="A1980" s="213">
        <f>IFERROR(__xludf.DUMMYFUNCTION("""COMPUTED_VALUE"""),2337.0)</f>
        <v>2337</v>
      </c>
      <c r="B1980" s="213" t="str">
        <f>IFERROR(__xludf.DUMMYFUNCTION("""COMPUTED_VALUE"""),"JOSE GRANDA")</f>
        <v>JOSE GRANDA</v>
      </c>
      <c r="C1980" s="213" t="str">
        <f>IFERROR(__xludf.DUMMYFUNCTION("""COMPUTED_VALUE"""),"TALLER SFT DE MECÁNICA AUTOMOTRIZ")</f>
        <v>TALLER SFT DE MECÁNICA AUTOMOTRIZ</v>
      </c>
      <c r="D1980" s="213" t="str">
        <f>IFERROR(__xludf.DUMMYFUNCTION("""COMPUTED_VALUE"""),"EQUIPOS")</f>
        <v>EQUIPOS</v>
      </c>
      <c r="E1980" s="213" t="str">
        <f>IFERROR(__xludf.DUMMYFUNCTION("""COMPUTED_VALUE"""),"ESP-287")</f>
        <v>ESP-287</v>
      </c>
      <c r="F1980" s="213" t="str">
        <f>IFERROR(__xludf.DUMMYFUNCTION("""COMPUTED_VALUE"""),"ESP-287-X")</f>
        <v>ESP-287-X</v>
      </c>
      <c r="G1980" s="213"/>
      <c r="H1980" s="213" t="str">
        <f>IFERROR(__xludf.DUMMYFUNCTION("""COMPUTED_VALUE"""),"OSCILOSCOPIO DIGITAL")</f>
        <v>OSCILOSCOPIO DIGITAL</v>
      </c>
      <c r="I1980" s="213" t="str">
        <f>IFERROR(__xludf.DUMMYFUNCTION("""COMPUTED_VALUE"""),"Instrumento de medición grafica de señales eléctricas, que pueden variar en el tiempo. Ancho de banda: mínimo 50 MHz.
Frecuencia de muestreo: mínimo 250 MS/s. N° de canales: mínimo 2.
Sensibilidad vertical, entre: ≤ 5 mV/div - ≥ 5 V/div. Display: mínimo 3"&amp;".5"", a color.
Interface de comunicación: Puerto mini USB. Posee batería de litio.
Voltaje, frecuencia: adaptador DC de 100 - 220 V 240 V, 50/60 Hz de entrada, y salida entre 4.5 - 12 V. Incluye cables para pruebas.")</f>
        <v>Instrumento de medición grafica de señales eléctricas, que pueden variar en el tiempo. Ancho de banda: mínimo 50 MHz.
Frecuencia de muestreo: mínimo 250 MS/s. N° de canales: mínimo 2.
Sensibilidad vertical, entre: ≤ 5 mV/div - ≥ 5 V/div. Display: mínimo 3.5", a color.
Interface de comunicación: Puerto mini USB. Posee batería de litio.
Voltaje, frecuencia: adaptador DC de 100 - 220 V 240 V, 50/60 Hz de entrada, y salida entre 4.5 - 12 V. Incluye cables para pruebas.</v>
      </c>
      <c r="J1980" s="213">
        <f>IFERROR(__xludf.DUMMYFUNCTION("""COMPUTED_VALUE"""),3.0)</f>
        <v>3</v>
      </c>
      <c r="K1980" s="213" t="str">
        <f>IFERROR(__xludf.DUMMYFUNCTION("""COMPUTED_VALUE"""),"170 DÍAS CALENDARIO")</f>
        <v>170 DÍAS CALENDARIO</v>
      </c>
      <c r="L1980" s="213" t="str">
        <f>IFERROR(__xludf.DUMMYFUNCTION("""COMPUTED_VALUE"""),"")</f>
        <v/>
      </c>
      <c r="M1980" s="213">
        <f>IFERROR(__xludf.DUMMYFUNCTION("""COMPUTED_VALUE"""),1.0)</f>
        <v>1</v>
      </c>
      <c r="N1980" s="213">
        <f>IFERROR(__xludf.DUMMYFUNCTION("""COMPUTED_VALUE"""),5.0)</f>
        <v>5</v>
      </c>
      <c r="O1980" s="213">
        <f>IFERROR(__xludf.DUMMYFUNCTION("""COMPUTED_VALUE"""),5.0)</f>
        <v>5</v>
      </c>
      <c r="P1980" s="213"/>
      <c r="Q1980" s="213"/>
      <c r="R1980" s="213"/>
      <c r="S1980" s="213" t="str">
        <f>IFERROR(__xludf.DUMMYFUNCTION("""COMPUTED_VALUE"""),"SI")</f>
        <v>SI</v>
      </c>
      <c r="T1980" s="213" t="str">
        <f>IFERROR(__xludf.DUMMYFUNCTION("""COMPUTED_VALUE"""),"SI")</f>
        <v>SI</v>
      </c>
      <c r="U1980" s="213" t="str">
        <f>IFERROR(__xludf.DUMMYFUNCTION("""COMPUTED_VALUE"""),"SI")</f>
        <v>SI</v>
      </c>
      <c r="V1980" s="213" t="str">
        <f>IFERROR(__xludf.DUMMYFUNCTION("""COMPUTED_VALUE"""),"-")</f>
        <v>-</v>
      </c>
      <c r="W1980" s="213" t="str">
        <f>IFERROR(__xludf.DUMMYFUNCTION("""COMPUTED_VALUE"""),"-")</f>
        <v>-</v>
      </c>
      <c r="X1980" s="213" t="str">
        <f>IFERROR(__xludf.DUMMYFUNCTION("""COMPUTED_VALUE"""),"PeakTech")</f>
        <v>PeakTech</v>
      </c>
      <c r="Y1980" s="213" t="str">
        <f>IFERROR(__xludf.DUMMYFUNCTION("""COMPUTED_VALUE"""),"P-1270")</f>
        <v>P-1270</v>
      </c>
      <c r="Z1980" s="215" t="str">
        <f>IFERROR(__xludf.DUMMYFUNCTION("""COMPUTED_VALUE"""),"https://www.inladsac.com/producto/osciloscopio-digital-300mhz-2-canales-peaktech-p-1270/?srsltid=AfmBOop6NmqKkL_XddfuNHqyVGwajh9p81Omw946mCTP4lCwp6QwTC-4")</f>
        <v>https://www.inladsac.com/producto/osciloscopio-digital-300mhz-2-canales-peaktech-p-1270/?srsltid=AfmBOop6NmqKkL_XddfuNHqyVGwajh9p81Omw946mCTP4lCwp6QwTC-4</v>
      </c>
      <c r="AA1980" s="213" t="str">
        <f>IFERROR(__xludf.DUMMYFUNCTION("""COMPUTED_VALUE"""),"ESP-287-X OSCILOSCOPIO DIGITAL - CET")</f>
        <v>ESP-287-X OSCILOSCOPIO DIGITAL - CET</v>
      </c>
      <c r="AB1980" s="215" t="str">
        <f>IFERROR(__xludf.DUMMYFUNCTION("""COMPUTED_VALUE"""),"https://drive.google.com/file/d/1zAaC4RcidyJXeUzN_tIt6W6RMScdH8l5/view?usp=sharing")</f>
        <v>https://drive.google.com/file/d/1zAaC4RcidyJXeUzN_tIt6W6RMScdH8l5/view?usp=sharing</v>
      </c>
      <c r="AC1980" s="213"/>
      <c r="AD1980" s="213"/>
      <c r="AE1980" s="213"/>
      <c r="AF1980" s="213"/>
      <c r="AG1980" s="213"/>
      <c r="AH1980" s="213" t="str">
        <f>IFERROR(__xludf.DUMMYFUNCTION("""COMPUTED_VALUE"""),"IMPORTADO")</f>
        <v>IMPORTADO</v>
      </c>
      <c r="AI1980" s="213"/>
      <c r="AJ1980" s="213"/>
      <c r="AK1980" s="213"/>
      <c r="AL1980" s="213"/>
      <c r="AM1980" s="213"/>
      <c r="AN1980" s="213"/>
      <c r="AO1980" s="213"/>
      <c r="AP1980" s="213" t="str">
        <f>IFERROR(__xludf.DUMMYFUNCTION("""COMPUTED_VALUE"""),"NALDI")</f>
        <v>NALDI</v>
      </c>
      <c r="AQ1980" s="213"/>
      <c r="AR1980" s="213"/>
      <c r="AS1980" s="213"/>
      <c r="AT1980" s="213"/>
      <c r="AU1980" s="213"/>
      <c r="AV1980" s="213"/>
      <c r="AW1980" s="213"/>
      <c r="AX1980" s="213"/>
      <c r="AY1980" s="213"/>
      <c r="AZ1980" s="213"/>
      <c r="BA1980" s="213"/>
      <c r="BB1980" s="213"/>
      <c r="BC1980" s="213"/>
      <c r="BD1980" s="213"/>
    </row>
    <row r="1981">
      <c r="A1981" s="213">
        <f>IFERROR(__xludf.DUMMYFUNCTION("""COMPUTED_VALUE"""),2119.0)</f>
        <v>2119</v>
      </c>
      <c r="B1981" s="213" t="str">
        <f>IFERROR(__xludf.DUMMYFUNCTION("""COMPUTED_VALUE"""),"JOSE GRANDA")</f>
        <v>JOSE GRANDA</v>
      </c>
      <c r="C1981" s="213" t="str">
        <f>IFERROR(__xludf.DUMMYFUNCTION("""COMPUTED_VALUE"""),"TALLER SFT DE INDUSTRIA ALIMENTARIA")</f>
        <v>TALLER SFT DE INDUSTRIA ALIMENTARIA</v>
      </c>
      <c r="D1981" s="213" t="str">
        <f>IFERROR(__xludf.DUMMYFUNCTION("""COMPUTED_VALUE"""),"HERRAMIENTAS")</f>
        <v>HERRAMIENTAS</v>
      </c>
      <c r="E1981" s="213" t="str">
        <f>IFERROR(__xludf.DUMMYFUNCTION("""COMPUTED_VALUE"""),"MAT-169")</f>
        <v>MAT-169</v>
      </c>
      <c r="F1981" s="213" t="str">
        <f>IFERROR(__xludf.DUMMYFUNCTION("""COMPUTED_VALUE"""),"MAT-169")</f>
        <v>MAT-169</v>
      </c>
      <c r="G1981" s="213"/>
      <c r="H1981" s="213" t="str">
        <f>IFERROR(__xludf.DUMMYFUNCTION("""COMPUTED_VALUE"""),"GORROS PROTECTORES PARA EL CABELLO")</f>
        <v>GORROS PROTECTORES PARA EL CABELLO</v>
      </c>
      <c r="I1981" s="213" t="str">
        <f>IFERROR(__xludf.DUMMYFUNCTION("""COMPUTED_VALUE"""),"· Tallas: 21"" (50%) y 24"" (50%).
· Colores: Blanco
· Material: SPP.
· Empaque en cajas dispensadoras o a granel.
· Sin Látex.")</f>
        <v>· Tallas: 21" (50%) y 24" (50%).
· Colores: Blanco
· Material: SPP.
· Empaque en cajas dispensadoras o a granel.
· Sin Látex.</v>
      </c>
      <c r="J1981" s="213">
        <f>IFERROR(__xludf.DUMMYFUNCTION("""COMPUTED_VALUE"""),3.0)</f>
        <v>3</v>
      </c>
      <c r="K1981" s="213" t="str">
        <f>IFERROR(__xludf.DUMMYFUNCTION("""COMPUTED_VALUE"""),"90 DÍAS CALENDARIO")</f>
        <v>90 DÍAS CALENDARIO</v>
      </c>
      <c r="L1981" s="213" t="str">
        <f>IFERROR(__xludf.DUMMYFUNCTION("""COMPUTED_VALUE"""),"COCINA Y REPOSTERÍA, INDUSTRIA ALIMENTARIA")</f>
        <v>COCINA Y REPOSTERÍA, INDUSTRIA ALIMENTARIA</v>
      </c>
      <c r="M1981" s="213">
        <f>IFERROR(__xludf.DUMMYFUNCTION("""COMPUTED_VALUE"""),1.0)</f>
        <v>1</v>
      </c>
      <c r="N1981" s="213">
        <f>IFERROR(__xludf.DUMMYFUNCTION("""COMPUTED_VALUE"""),20.0)</f>
        <v>20</v>
      </c>
      <c r="O1981" s="213">
        <f>IFERROR(__xludf.DUMMYFUNCTION("""COMPUTED_VALUE"""),20.0)</f>
        <v>20</v>
      </c>
      <c r="P1981" s="213"/>
      <c r="Q1981" s="213"/>
      <c r="R1981" s="213" t="str">
        <f>IFERROR(__xludf.DUMMYFUNCTION("""COMPUTED_VALUE"""),"SI")</f>
        <v>SI</v>
      </c>
      <c r="S1981" s="213"/>
      <c r="T1981" s="213" t="str">
        <f>IFERROR(__xludf.DUMMYFUNCTION("""COMPUTED_VALUE"""),"SI")</f>
        <v>SI</v>
      </c>
      <c r="U1981" s="213" t="str">
        <f>IFERROR(__xludf.DUMMYFUNCTION("""COMPUTED_VALUE"""),"SI")</f>
        <v>SI</v>
      </c>
      <c r="V1981" s="213" t="str">
        <f>IFERROR(__xludf.DUMMYFUNCTION("""COMPUTED_VALUE"""),"-")</f>
        <v>-</v>
      </c>
      <c r="W1981" s="213" t="str">
        <f>IFERROR(__xludf.DUMMYFUNCTION("""COMPUTED_VALUE"""),"-")</f>
        <v>-</v>
      </c>
      <c r="X1981" s="213" t="str">
        <f>IFERROR(__xludf.DUMMYFUNCTION("""COMPUTED_VALUE"""),"MEDICAL NATION")</f>
        <v>MEDICAL NATION</v>
      </c>
      <c r="Y1981" s="213" t="str">
        <f>IFERROR(__xludf.DUMMYFUNCTION("""COMPUTED_VALUE"""),"B094KLCQLV")</f>
        <v>B094KLCQLV</v>
      </c>
      <c r="Z1981" s="215" t="str">
        <f>IFERROR(__xludf.DUMMYFUNCTION("""COMPUTED_VALUE"""),"https://www.amazon.com/-/es/pulgadas-desechables-Bouffant-redecillas-perfectas/dp/B094KLCQLV")</f>
        <v>https://www.amazon.com/-/es/pulgadas-desechables-Bouffant-redecillas-perfectas/dp/B094KLCQLV</v>
      </c>
      <c r="AA1981" s="213" t="str">
        <f>IFERROR(__xludf.DUMMYFUNCTION("""COMPUTED_VALUE"""),"MAT-169 GORROS PROTECTORES PARA EL CABELLO - CET")</f>
        <v>MAT-169 GORROS PROTECTORES PARA EL CABELLO - CET</v>
      </c>
      <c r="AB1981" s="213"/>
      <c r="AC1981" s="215" t="str">
        <f>IFERROR(__xludf.DUMMYFUNCTION("""COMPUTED_VALUE"""),"https://drive.google.com/file/d/1LqBxJXb39f_mrL6wpRQJDuDI3ffaR52A/view?usp=sharing")</f>
        <v>https://drive.google.com/file/d/1LqBxJXb39f_mrL6wpRQJDuDI3ffaR52A/view?usp=sharing</v>
      </c>
      <c r="AD1981" s="213"/>
      <c r="AE1981" s="213"/>
      <c r="AF1981" s="213"/>
      <c r="AG1981" s="213"/>
      <c r="AH1981" s="213" t="str">
        <f>IFERROR(__xludf.DUMMYFUNCTION("""COMPUTED_VALUE"""),"IMPORTADO")</f>
        <v>IMPORTADO</v>
      </c>
      <c r="AI1981" s="213"/>
      <c r="AJ1981" s="213"/>
      <c r="AK1981" s="213"/>
      <c r="AL1981" s="213"/>
      <c r="AM1981" s="213"/>
      <c r="AN1981" s="213"/>
      <c r="AO1981" s="213"/>
      <c r="AP1981" s="213" t="str">
        <f>IFERROR(__xludf.DUMMYFUNCTION("""COMPUTED_VALUE"""),"LUIS")</f>
        <v>LUIS</v>
      </c>
      <c r="AQ1981" s="213"/>
      <c r="AR1981" s="213"/>
      <c r="AS1981" s="213"/>
      <c r="AT1981" s="213"/>
      <c r="AU1981" s="213"/>
      <c r="AV1981" s="213"/>
      <c r="AW1981" s="213"/>
      <c r="AX1981" s="213"/>
      <c r="AY1981" s="213"/>
      <c r="AZ1981" s="213"/>
      <c r="BA1981" s="213"/>
      <c r="BB1981" s="213"/>
      <c r="BC1981" s="213"/>
      <c r="BD1981" s="213"/>
    </row>
    <row r="1982">
      <c r="A1982" s="213">
        <f>IFERROR(__xludf.DUMMYFUNCTION("""COMPUTED_VALUE"""),1841.0)</f>
        <v>1841</v>
      </c>
      <c r="B1982" s="213" t="str">
        <f>IFERROR(__xludf.DUMMYFUNCTION("""COMPUTED_VALUE"""),"GUILLERMO E. BILLINGHURST ")</f>
        <v>GUILLERMO E. BILLINGHURST </v>
      </c>
      <c r="C1982" s="213" t="str">
        <f>IFERROR(__xludf.DUMMYFUNCTION("""COMPUTED_VALUE"""),"TALLER SFT DE EBANISTERÍA")</f>
        <v>TALLER SFT DE EBANISTERÍA</v>
      </c>
      <c r="D1982" s="213" t="str">
        <f>IFERROR(__xludf.DUMMYFUNCTION("""COMPUTED_VALUE"""),"HERRAMIENTAS")</f>
        <v>HERRAMIENTAS</v>
      </c>
      <c r="E1982" s="213" t="str">
        <f>IFERROR(__xludf.DUMMYFUNCTION("""COMPUTED_VALUE"""),"MAT-171")</f>
        <v>MAT-171</v>
      </c>
      <c r="F1982" s="213" t="str">
        <f>IFERROR(__xludf.DUMMYFUNCTION("""COMPUTED_VALUE"""),"MAT-171")</f>
        <v>MAT-171</v>
      </c>
      <c r="G1982" s="213"/>
      <c r="H1982" s="213" t="str">
        <f>IFERROR(__xludf.DUMMYFUNCTION("""COMPUTED_VALUE"""),"PAR DE GUANTES DE CUERO")</f>
        <v>PAR DE GUANTES DE CUERO</v>
      </c>
      <c r="I1982" s="213" t="str">
        <f>IFERROR(__xludf.DUMMYFUNCTION("""COMPUTED_VALUE"""),"Par de guantes de cuero.
Resistencia en procesos de corte.
Se puede manipular y tener contacto con bordes afilados.
Tamaño estándar.")</f>
        <v>Par de guantes de cuero.
Resistencia en procesos de corte.
Se puede manipular y tener contacto con bordes afilados.
Tamaño estándar.</v>
      </c>
      <c r="J1982" s="213">
        <f>IFERROR(__xludf.DUMMYFUNCTION("""COMPUTED_VALUE"""),3.0)</f>
        <v>3</v>
      </c>
      <c r="K1982" s="213" t="str">
        <f>IFERROR(__xludf.DUMMYFUNCTION("""COMPUTED_VALUE"""),"90 DÍAS CALENDARIO")</f>
        <v>90 DÍAS CALENDARIO</v>
      </c>
      <c r="L1982" s="213" t="str">
        <f>IFERROR(__xludf.DUMMYFUNCTION("""COMPUTED_VALUE"""),"")</f>
        <v/>
      </c>
      <c r="M1982" s="213">
        <f>IFERROR(__xludf.DUMMYFUNCTION("""COMPUTED_VALUE"""),1.0)</f>
        <v>1</v>
      </c>
      <c r="N1982" s="213">
        <f>IFERROR(__xludf.DUMMYFUNCTION("""COMPUTED_VALUE"""),21.0)</f>
        <v>21</v>
      </c>
      <c r="O1982" s="213">
        <f>IFERROR(__xludf.DUMMYFUNCTION("""COMPUTED_VALUE"""),21.0)</f>
        <v>21</v>
      </c>
      <c r="P1982" s="213"/>
      <c r="Q1982" s="213"/>
      <c r="R1982" s="213" t="str">
        <f>IFERROR(__xludf.DUMMYFUNCTION("""COMPUTED_VALUE"""),"SI")</f>
        <v>SI</v>
      </c>
      <c r="S1982" s="213"/>
      <c r="T1982" s="213" t="str">
        <f>IFERROR(__xludf.DUMMYFUNCTION("""COMPUTED_VALUE"""),"SI")</f>
        <v>SI</v>
      </c>
      <c r="U1982" s="213" t="str">
        <f>IFERROR(__xludf.DUMMYFUNCTION("""COMPUTED_VALUE"""),"SI")</f>
        <v>SI</v>
      </c>
      <c r="V1982" s="213" t="str">
        <f>IFERROR(__xludf.DUMMYFUNCTION("""COMPUTED_VALUE"""),"-")</f>
        <v>-</v>
      </c>
      <c r="W1982" s="213" t="str">
        <f>IFERROR(__xludf.DUMMYFUNCTION("""COMPUTED_VALUE"""),"-")</f>
        <v>-</v>
      </c>
      <c r="X1982" s="213" t="str">
        <f>IFERROR(__xludf.DUMMYFUNCTION("""COMPUTED_VALUE"""),"RDL")</f>
        <v>RDL</v>
      </c>
      <c r="Y1982" s="213" t="str">
        <f>IFERROR(__xludf.DUMMYFUNCTION("""COMPUTED_VALUE"""),"Ecocuero")</f>
        <v>Ecocuero</v>
      </c>
      <c r="Z1982" s="215" t="str">
        <f>IFERROR(__xludf.DUMMYFUNCTION("""COMPUTED_VALUE"""),"https://www.sodimac.com.pe/sodimac-pe/articulo/113534794/Guantes-de-Seguridad-de-Cuero-Cromo-Estandar/113534797?kid=goosho_669250&amp;shop=googleShopping&amp;gad_source=1&amp;gad_campaignid=21524717227&amp;gbraid=0AAAAADOx_19izoaWzi6siFsZCRkBiRdS-&amp;gclid=CjwKCAjwup3HBhAAE"&amp;"iwA7euZuj4BAMhUbd8LMpMYpkcBivUi9qyJojl_RXu0s6L4aBDktbdqph4OBRoC2nEQAvD_BwE")</f>
        <v>https://www.sodimac.com.pe/sodimac-pe/articulo/113534794/Guantes-de-Seguridad-de-Cuero-Cromo-Estandar/113534797?kid=goosho_669250&amp;shop=googleShopping&amp;gad_source=1&amp;gad_campaignid=21524717227&amp;gbraid=0AAAAADOx_19izoaWzi6siFsZCRkBiRdS-&amp;gclid=CjwKCAjwup3HBhAAEiwA7euZuj4BAMhUbd8LMpMYpkcBivUi9qyJojl_RXu0s6L4aBDktbdqph4OBRoC2nEQAvD_BwE</v>
      </c>
      <c r="AA1982" s="213" t="str">
        <f>IFERROR(__xludf.DUMMYFUNCTION("""COMPUTED_VALUE"""),"MAT-171 PAR DE GUANTES DE CUERO - CET")</f>
        <v>MAT-171 PAR DE GUANTES DE CUERO - CET</v>
      </c>
      <c r="AB1982" s="213"/>
      <c r="AC1982" s="213"/>
      <c r="AD1982" s="213"/>
      <c r="AE1982" s="213"/>
      <c r="AF1982" s="213"/>
      <c r="AG1982" s="213"/>
      <c r="AH1982" s="213"/>
      <c r="AI1982" s="213"/>
      <c r="AJ1982" s="213"/>
      <c r="AK1982" s="213"/>
      <c r="AL1982" s="213"/>
      <c r="AM1982" s="213"/>
      <c r="AN1982" s="213"/>
      <c r="AO1982" s="213"/>
      <c r="AP1982" s="213" t="str">
        <f>IFERROR(__xludf.DUMMYFUNCTION("""COMPUTED_VALUE"""),"SEBASTIAN")</f>
        <v>SEBASTIAN</v>
      </c>
      <c r="AQ1982" s="213"/>
      <c r="AR1982" s="213"/>
      <c r="AS1982" s="213"/>
      <c r="AT1982" s="213"/>
      <c r="AU1982" s="213"/>
      <c r="AV1982" s="213"/>
      <c r="AW1982" s="213"/>
      <c r="AX1982" s="213"/>
      <c r="AY1982" s="213"/>
      <c r="AZ1982" s="213"/>
      <c r="BA1982" s="213"/>
      <c r="BB1982" s="213"/>
      <c r="BC1982" s="213"/>
      <c r="BD1982" s="213"/>
    </row>
    <row r="1983">
      <c r="A1983" s="213">
        <f>IFERROR(__xludf.DUMMYFUNCTION("""COMPUTED_VALUE"""),2623.0)</f>
        <v>2623</v>
      </c>
      <c r="B1983" s="213" t="str">
        <f>IFERROR(__xludf.DUMMYFUNCTION("""COMPUTED_VALUE"""),"MANUEL ANTONIO MESONES MURO")</f>
        <v>MANUEL ANTONIO MESONES MURO</v>
      </c>
      <c r="C1983" s="213" t="str">
        <f>IFERROR(__xludf.DUMMYFUNCTION("""COMPUTED_VALUE"""),"TALLER SFT DE EBANISTERÍA")</f>
        <v>TALLER SFT DE EBANISTERÍA</v>
      </c>
      <c r="D1983" s="213" t="str">
        <f>IFERROR(__xludf.DUMMYFUNCTION("""COMPUTED_VALUE"""),"HERRAMIENTAS")</f>
        <v>HERRAMIENTAS</v>
      </c>
      <c r="E1983" s="213" t="str">
        <f>IFERROR(__xludf.DUMMYFUNCTION("""COMPUTED_VALUE"""),"MAT-171")</f>
        <v>MAT-171</v>
      </c>
      <c r="F1983" s="213" t="str">
        <f>IFERROR(__xludf.DUMMYFUNCTION("""COMPUTED_VALUE"""),"MAT-171")</f>
        <v>MAT-171</v>
      </c>
      <c r="G1983" s="213"/>
      <c r="H1983" s="213" t="str">
        <f>IFERROR(__xludf.DUMMYFUNCTION("""COMPUTED_VALUE"""),"PAR DE GUANTES DE CUERO")</f>
        <v>PAR DE GUANTES DE CUERO</v>
      </c>
      <c r="I1983" s="213" t="str">
        <f>IFERROR(__xludf.DUMMYFUNCTION("""COMPUTED_VALUE"""),"Par de guantes de cuero. Resistencia en procesos de corte.
Se puede manipular y tener contacto con bordes afilados. Tamaño estándar.")</f>
        <v>Par de guantes de cuero. Resistencia en procesos de corte.
Se puede manipular y tener contacto con bordes afilados. Tamaño estándar.</v>
      </c>
      <c r="J1983" s="213">
        <f>IFERROR(__xludf.DUMMYFUNCTION("""COMPUTED_VALUE"""),3.0)</f>
        <v>3</v>
      </c>
      <c r="K1983" s="213" t="str">
        <f>IFERROR(__xludf.DUMMYFUNCTION("""COMPUTED_VALUE"""),"90 DÍAS CALENDARIO")</f>
        <v>90 DÍAS CALENDARIO</v>
      </c>
      <c r="L1983" s="213" t="str">
        <f>IFERROR(__xludf.DUMMYFUNCTION("""COMPUTED_VALUE"""),"")</f>
        <v/>
      </c>
      <c r="M1983" s="213">
        <f>IFERROR(__xludf.DUMMYFUNCTION("""COMPUTED_VALUE"""),1.0)</f>
        <v>1</v>
      </c>
      <c r="N1983" s="213">
        <f>IFERROR(__xludf.DUMMYFUNCTION("""COMPUTED_VALUE"""),21.0)</f>
        <v>21</v>
      </c>
      <c r="O1983" s="213">
        <f>IFERROR(__xludf.DUMMYFUNCTION("""COMPUTED_VALUE"""),21.0)</f>
        <v>21</v>
      </c>
      <c r="P1983" s="213"/>
      <c r="Q1983" s="213"/>
      <c r="R1983" s="213" t="str">
        <f>IFERROR(__xludf.DUMMYFUNCTION("""COMPUTED_VALUE"""),"SI")</f>
        <v>SI</v>
      </c>
      <c r="S1983" s="213"/>
      <c r="T1983" s="213" t="str">
        <f>IFERROR(__xludf.DUMMYFUNCTION("""COMPUTED_VALUE"""),"SI")</f>
        <v>SI</v>
      </c>
      <c r="U1983" s="213" t="str">
        <f>IFERROR(__xludf.DUMMYFUNCTION("""COMPUTED_VALUE"""),"SI")</f>
        <v>SI</v>
      </c>
      <c r="V1983" s="213" t="str">
        <f>IFERROR(__xludf.DUMMYFUNCTION("""COMPUTED_VALUE"""),"-")</f>
        <v>-</v>
      </c>
      <c r="W1983" s="213" t="str">
        <f>IFERROR(__xludf.DUMMYFUNCTION("""COMPUTED_VALUE"""),"-")</f>
        <v>-</v>
      </c>
      <c r="X1983" s="213" t="str">
        <f>IFERROR(__xludf.DUMMYFUNCTION("""COMPUTED_VALUE"""),"RDL")</f>
        <v>RDL</v>
      </c>
      <c r="Y1983" s="213" t="str">
        <f>IFERROR(__xludf.DUMMYFUNCTION("""COMPUTED_VALUE"""),"Ecocuero")</f>
        <v>Ecocuero</v>
      </c>
      <c r="Z1983" s="215" t="str">
        <f>IFERROR(__xludf.DUMMYFUNCTION("""COMPUTED_VALUE"""),"https://www.sodimac.com.pe/sodimac-pe/articulo/113534794/Guantes-de-Seguridad-de-Cuero-Cromo-Estandar/113534797?kid=goosho_669250&amp;shop=googleShopping&amp;gad_source=1&amp;gad_campaignid=21524717227&amp;gbraid=0AAAAADOx_19izoaWzi6siFsZCRkBiRdS-&amp;gclid=CjwKCAjwup3HBhAAE"&amp;"iwA7euZuj4BAMhUbd8LMpMYpkcBivUi9qyJojl_RXu0s6L4aBDktbdqph4OBRoC2nEQAvD_BwE")</f>
        <v>https://www.sodimac.com.pe/sodimac-pe/articulo/113534794/Guantes-de-Seguridad-de-Cuero-Cromo-Estandar/113534797?kid=goosho_669250&amp;shop=googleShopping&amp;gad_source=1&amp;gad_campaignid=21524717227&amp;gbraid=0AAAAADOx_19izoaWzi6siFsZCRkBiRdS-&amp;gclid=CjwKCAjwup3HBhAAEiwA7euZuj4BAMhUbd8LMpMYpkcBivUi9qyJojl_RXu0s6L4aBDktbdqph4OBRoC2nEQAvD_BwE</v>
      </c>
      <c r="AA1983" s="213" t="str">
        <f>IFERROR(__xludf.DUMMYFUNCTION("""COMPUTED_VALUE"""),"MAT-171 PAR DE GUANTES DE CUERO - CET")</f>
        <v>MAT-171 PAR DE GUANTES DE CUERO - CET</v>
      </c>
      <c r="AB1983" s="213"/>
      <c r="AC1983" s="213"/>
      <c r="AD1983" s="213"/>
      <c r="AE1983" s="213"/>
      <c r="AF1983" s="213"/>
      <c r="AG1983" s="213"/>
      <c r="AH1983" s="213"/>
      <c r="AI1983" s="213"/>
      <c r="AJ1983" s="213"/>
      <c r="AK1983" s="213"/>
      <c r="AL1983" s="213"/>
      <c r="AM1983" s="213"/>
      <c r="AN1983" s="213"/>
      <c r="AO1983" s="213"/>
      <c r="AP1983" s="213" t="str">
        <f>IFERROR(__xludf.DUMMYFUNCTION("""COMPUTED_VALUE"""),"SEBASTIAN")</f>
        <v>SEBASTIAN</v>
      </c>
      <c r="AQ1983" s="213"/>
      <c r="AR1983" s="213"/>
      <c r="AS1983" s="213"/>
      <c r="AT1983" s="213"/>
      <c r="AU1983" s="213"/>
      <c r="AV1983" s="213"/>
      <c r="AW1983" s="213"/>
      <c r="AX1983" s="213"/>
      <c r="AY1983" s="213"/>
      <c r="AZ1983" s="213"/>
      <c r="BA1983" s="213"/>
      <c r="BB1983" s="213"/>
      <c r="BC1983" s="213"/>
      <c r="BD1983" s="213"/>
    </row>
    <row r="1984">
      <c r="A1984" s="213">
        <f>IFERROR(__xludf.DUMMYFUNCTION("""COMPUTED_VALUE"""),646.0)</f>
        <v>646</v>
      </c>
      <c r="B1984" s="213" t="str">
        <f>IFERROR(__xludf.DUMMYFUNCTION("""COMPUTED_VALUE"""),"6049 RICARDO PALMA")</f>
        <v>6049 RICARDO PALMA</v>
      </c>
      <c r="C1984" s="213" t="str">
        <f>IFERROR(__xludf.DUMMYFUNCTION("""COMPUTED_VALUE"""),"TALLER SFT DE ELECTRÓNICA")</f>
        <v>TALLER SFT DE ELECTRÓNICA</v>
      </c>
      <c r="D1984" s="213" t="str">
        <f>IFERROR(__xludf.DUMMYFUNCTION("""COMPUTED_VALUE"""),"HERRAMIENTAS")</f>
        <v>HERRAMIENTAS</v>
      </c>
      <c r="E1984" s="213" t="str">
        <f>IFERROR(__xludf.DUMMYFUNCTION("""COMPUTED_VALUE"""),"MAT-172")</f>
        <v>MAT-172</v>
      </c>
      <c r="F1984" s="213" t="str">
        <f>IFERROR(__xludf.DUMMYFUNCTION("""COMPUTED_VALUE"""),"MAT-172-X")</f>
        <v>MAT-172-X</v>
      </c>
      <c r="G1984" s="213"/>
      <c r="H1984" s="213" t="str">
        <f>IFERROR(__xludf.DUMMYFUNCTION("""COMPUTED_VALUE"""),"GUANTES DE ELECTRICISTA")</f>
        <v>GUANTES DE ELECTRICISTA</v>
      </c>
      <c r="I1984" s="213"/>
      <c r="J1984" s="213">
        <f>IFERROR(__xludf.DUMMYFUNCTION("""COMPUTED_VALUE"""),3.0)</f>
        <v>3</v>
      </c>
      <c r="K1984" s="213" t="str">
        <f>IFERROR(__xludf.DUMMYFUNCTION("""COMPUTED_VALUE"""),"90 DÍAS CALENDARIO")</f>
        <v>90 DÍAS CALENDARIO</v>
      </c>
      <c r="L1984" s="213" t="str">
        <f>IFERROR(__xludf.DUMMYFUNCTION("""COMPUTED_VALUE"""),"")</f>
        <v/>
      </c>
      <c r="M1984" s="213">
        <f>IFERROR(__xludf.DUMMYFUNCTION("""COMPUTED_VALUE"""),1.0)</f>
        <v>1</v>
      </c>
      <c r="N1984" s="213">
        <f>IFERROR(__xludf.DUMMYFUNCTION("""COMPUTED_VALUE"""),4.0)</f>
        <v>4</v>
      </c>
      <c r="O1984" s="213">
        <f>IFERROR(__xludf.DUMMYFUNCTION("""COMPUTED_VALUE"""),4.0)</f>
        <v>4</v>
      </c>
      <c r="P1984" s="213"/>
      <c r="Q1984" s="213"/>
      <c r="R1984" s="213" t="str">
        <f>IFERROR(__xludf.DUMMYFUNCTION("""COMPUTED_VALUE"""),"SI")</f>
        <v>SI</v>
      </c>
      <c r="S1984" s="213"/>
      <c r="T1984" s="213" t="str">
        <f>IFERROR(__xludf.DUMMYFUNCTION("""COMPUTED_VALUE"""),"SI")</f>
        <v>SI</v>
      </c>
      <c r="U1984" s="213" t="str">
        <f>IFERROR(__xludf.DUMMYFUNCTION("""COMPUTED_VALUE"""),"SI")</f>
        <v>SI</v>
      </c>
      <c r="V1984" s="213" t="str">
        <f>IFERROR(__xludf.DUMMYFUNCTION("""COMPUTED_VALUE"""),"-")</f>
        <v>-</v>
      </c>
      <c r="W1984" s="213" t="str">
        <f>IFERROR(__xludf.DUMMYFUNCTION("""COMPUTED_VALUE"""),"-")</f>
        <v>-</v>
      </c>
      <c r="X1984" s="213" t="str">
        <f>IFERROR(__xludf.DUMMYFUNCTION("""COMPUTED_VALUE"""),"TRUPER")</f>
        <v>TRUPER</v>
      </c>
      <c r="Y1984" s="213">
        <f>IFERROR(__xludf.DUMMYFUNCTION("""COMPUTED_VALUE"""),14289.0)</f>
        <v>14289</v>
      </c>
      <c r="Z1984" s="215" t="str">
        <f>IFERROR(__xludf.DUMMYFUNCTION("""COMPUTED_VALUE"""),"https://semca.pe/suministros/herramientas/guante-de-cuero-carnaza-electricista-talla-unica-truper-14289/")</f>
        <v>https://semca.pe/suministros/herramientas/guante-de-cuero-carnaza-electricista-talla-unica-truper-14289/</v>
      </c>
      <c r="AA1984" s="213" t="str">
        <f>IFERROR(__xludf.DUMMYFUNCTION("""COMPUTED_VALUE"""),"MAT-172-X GUANTES DE ELECTRICISTA - CET")</f>
        <v>MAT-172-X GUANTES DE ELECTRICISTA - CET</v>
      </c>
      <c r="AB1984" s="213"/>
      <c r="AC1984" s="213"/>
      <c r="AD1984" s="213"/>
      <c r="AE1984" s="213"/>
      <c r="AF1984" s="213"/>
      <c r="AG1984" s="213"/>
      <c r="AH1984" s="213"/>
      <c r="AI1984" s="213"/>
      <c r="AJ1984" s="213"/>
      <c r="AK1984" s="213"/>
      <c r="AL1984" s="213"/>
      <c r="AM1984" s="213"/>
      <c r="AN1984" s="213"/>
      <c r="AO1984" s="213"/>
      <c r="AP1984" s="213" t="str">
        <f>IFERROR(__xludf.DUMMYFUNCTION("""COMPUTED_VALUE"""),"LUIS")</f>
        <v>LUIS</v>
      </c>
      <c r="AQ1984" s="213"/>
      <c r="AR1984" s="213"/>
      <c r="AS1984" s="213"/>
      <c r="AT1984" s="213"/>
      <c r="AU1984" s="213"/>
      <c r="AV1984" s="213"/>
      <c r="AW1984" s="213"/>
      <c r="AX1984" s="213"/>
      <c r="AY1984" s="213"/>
      <c r="AZ1984" s="213"/>
      <c r="BA1984" s="213"/>
      <c r="BB1984" s="213"/>
      <c r="BC1984" s="213"/>
      <c r="BD1984" s="213"/>
    </row>
    <row r="1985">
      <c r="A1985" s="213">
        <f>IFERROR(__xludf.DUMMYFUNCTION("""COMPUTED_VALUE"""),1794.0)</f>
        <v>1794</v>
      </c>
      <c r="B1985" s="213" t="str">
        <f>IFERROR(__xludf.DUMMYFUNCTION("""COMPUTED_VALUE"""),"GUILLERMO E. BILLINGHURST ")</f>
        <v>GUILLERMO E. BILLINGHURST </v>
      </c>
      <c r="C1985" s="213" t="str">
        <f>IFERROR(__xludf.DUMMYFUNCTION("""COMPUTED_VALUE"""),"TALLER SFT DE EBANISTERÍA")</f>
        <v>TALLER SFT DE EBANISTERÍA</v>
      </c>
      <c r="D1985" s="213" t="str">
        <f>IFERROR(__xludf.DUMMYFUNCTION("""COMPUTED_VALUE"""),"PEDAGOGICO")</f>
        <v>PEDAGOGICO</v>
      </c>
      <c r="E1985" s="213" t="str">
        <f>IFERROR(__xludf.DUMMYFUNCTION("""COMPUTED_VALUE"""),"COM-248")</f>
        <v>COM-248</v>
      </c>
      <c r="F1985" s="213" t="str">
        <f>IFERROR(__xludf.DUMMYFUNCTION("""COMPUTED_VALUE"""),"COM-248-X")</f>
        <v>COM-248-X</v>
      </c>
      <c r="G1985" s="213"/>
      <c r="H1985" s="213" t="str">
        <f>IFERROR(__xludf.DUMMYFUNCTION("""COMPUTED_VALUE"""),"PANEL INTERACTIVO (MAGNÉTICO)")</f>
        <v>PANEL INTERACTIVO (MAGNÉTICO)</v>
      </c>
      <c r="I1985" s="213" t="str">
        <f>IFERROR(__xludf.DUMMYFUNCTION("""COMPUTED_VALUE"""),"1 tablero magnético plegable de 120 cm x 80 cm. Lleva impreso a todo color un fondo referido a la especialidad. El tablero permite opcionalmente trabajar con plumones.
50 figuras imantadas de las diferentes maquinarias, equipos y herramientas de la especi"&amp;"alidad. Las figuras son de material magnético flexible y resistente, impresas a todo color y se presentan en bolsa.
36 tabletas de información e investigación en foldcote enmicado de tamaño A5, impresas a todo color y enmicadas por ambos lados.  Las carti"&amp;"llas se presentan en bolsa de plástico resistente.
01 bandeja en plástico poliestireno con dos cavidades en alto y bajo relieve de 44 cm x 13 cm x 3,5 cm de altura para el uso y conservación de los accesorios que  se usan con el panel interactivo.
04 plum"&amp;"ones en colores variados.
01  USB con información digital referida al panel interactivo con una evaluación a través de preguntas que se mostrarán en forma aleatoria referidas a la especialidad.
El panel se presenta en una caja de cartón corrugado, present"&amp;"a una etiqueta adhesiva impresa a todo color con la imagen y descripción del panel y sus componentes. Lleva en un lugar visible la autorización sanitaria emitida por DIGESA.
Todas las medidas indicadas presentan una tolerancia de ± 5%.")</f>
        <v>1 tablero magnético plegable de 120 cm x 80 cm. Lleva impreso a todo color un fondo referido a la especialidad. El tablero permite opcionalmente trabajar con plumones.
50 figuras imantadas de las diferentes maquinarias, equipos y herramientas de la especialidad. Las figuras son de material magnético flexible y resistente, impresas a todo color y se presentan en bolsa.
36 tabletas de información e investigación en foldcote enmicado de tamaño A5, impresas a todo color y enmicadas por ambos lados.  Las cartillas se presentan en bolsa de plástico resistente.
01 bandeja en plástico poliestireno con dos cavidades en alto y bajo relieve de 44 cm x 13 cm x 3,5 cm de altura para el uso y conservación de los accesorios que  se usan con el panel interactivo.
04 plumones en colores variados.
01  USB con información digital referida al panel interactivo con una evaluación a través de preguntas que se mostrarán en forma aleatoria referidas a la especialidad.
El panel se presenta en una caja de cartón corrugado, presenta una etiqueta adhesiva impresa a todo color con la imagen y descripción del panel y sus componentes. Lleva en un lugar visible la autorización sanitaria emitida por DIGESA.
Todas las medidas indicadas presentan una tolerancia de ± 5%.</v>
      </c>
      <c r="J1985" s="213">
        <f>IFERROR(__xludf.DUMMYFUNCTION("""COMPUTED_VALUE"""),3.0)</f>
        <v>3</v>
      </c>
      <c r="K1985" s="213" t="str">
        <f>IFERROR(__xludf.DUMMYFUNCTION("""COMPUTED_VALUE"""),"90 DÍAS CALENDARIO")</f>
        <v>90 DÍAS CALENDARIO</v>
      </c>
      <c r="L1985" s="213" t="str">
        <f>IFERROR(__xludf.DUMMYFUNCTION("""COMPUTED_VALUE"""),"")</f>
        <v/>
      </c>
      <c r="M1985" s="213">
        <f>IFERROR(__xludf.DUMMYFUNCTION("""COMPUTED_VALUE"""),1.0)</f>
        <v>1</v>
      </c>
      <c r="N1985" s="213">
        <f>IFERROR(__xludf.DUMMYFUNCTION("""COMPUTED_VALUE"""),4.0)</f>
        <v>4</v>
      </c>
      <c r="O1985" s="213">
        <f>IFERROR(__xludf.DUMMYFUNCTION("""COMPUTED_VALUE"""),4.0)</f>
        <v>4</v>
      </c>
      <c r="P1985" s="213"/>
      <c r="Q1985" s="213"/>
      <c r="R1985" s="213" t="str">
        <f>IFERROR(__xludf.DUMMYFUNCTION("""COMPUTED_VALUE"""),"SI")</f>
        <v>SI</v>
      </c>
      <c r="S1985" s="213"/>
      <c r="T1985" s="213" t="str">
        <f>IFERROR(__xludf.DUMMYFUNCTION("""COMPUTED_VALUE"""),"CONSULTA FINAL")</f>
        <v>CONSULTA FINAL</v>
      </c>
      <c r="U1985" s="213"/>
      <c r="V1985" s="213" t="str">
        <f>IFERROR(__xludf.DUMMYFUNCTION("""COMPUTED_VALUE"""),"-")</f>
        <v>-</v>
      </c>
      <c r="W1985" s="213" t="str">
        <f>IFERROR(__xludf.DUMMYFUNCTION("""COMPUTED_VALUE"""),"CRÍTICO")</f>
        <v>CRÍTICO</v>
      </c>
      <c r="X1985" s="213" t="str">
        <f>IFERROR(__xludf.DUMMYFUNCTION("""COMPUTED_VALUE"""),"A MEDIDA")</f>
        <v>A MEDIDA</v>
      </c>
      <c r="Y1985" s="213" t="str">
        <f>IFERROR(__xludf.DUMMYFUNCTION("""COMPUTED_VALUE"""),"A MEDIDA")</f>
        <v>A MEDIDA</v>
      </c>
      <c r="Z1985" s="213" t="str">
        <f>IFERROR(__xludf.DUMMYFUNCTION("""COMPUTED_VALUE"""),"A MEDIDA")</f>
        <v>A MEDIDA</v>
      </c>
      <c r="AA1985" s="215" t="str">
        <f>IFERROR(__xludf.DUMMYFUNCTION("""COMPUTED_VALUE"""),"https://docs.google.com/spreadsheets/d/1r068hY1aSP8RL_4ALidY95Fq8hMQzwPJPb2uVSFgab0/edit?gid=0#gid=0")</f>
        <v>https://docs.google.com/spreadsheets/d/1r068hY1aSP8RL_4ALidY95Fq8hMQzwPJPb2uVSFgab0/edit?gid=0#gid=0</v>
      </c>
      <c r="AB1985" s="213"/>
      <c r="AC1985" s="213"/>
      <c r="AD1985" s="213"/>
      <c r="AE1985" s="213"/>
      <c r="AF1985" s="213"/>
      <c r="AG1985" s="213"/>
      <c r="AH1985" s="213"/>
      <c r="AI1985" s="213"/>
      <c r="AJ1985" s="213"/>
      <c r="AK1985" s="213"/>
      <c r="AL1985" s="213"/>
      <c r="AM1985" s="213"/>
      <c r="AN1985" s="213"/>
      <c r="AO1985" s="213"/>
      <c r="AP1985" s="213" t="str">
        <f>IFERROR(__xludf.DUMMYFUNCTION("""COMPUTED_VALUE"""),"SEBASTIAN")</f>
        <v>SEBASTIAN</v>
      </c>
      <c r="AQ1985" s="213"/>
      <c r="AR1985" s="213"/>
      <c r="AS1985" s="213"/>
      <c r="AT1985" s="213"/>
      <c r="AU1985" s="213"/>
      <c r="AV1985" s="213"/>
      <c r="AW1985" s="213"/>
      <c r="AX1985" s="213"/>
      <c r="AY1985" s="213"/>
      <c r="AZ1985" s="213"/>
      <c r="BA1985" s="213"/>
      <c r="BB1985" s="213"/>
      <c r="BC1985" s="213"/>
      <c r="BD1985" s="213"/>
    </row>
    <row r="1986">
      <c r="A1986" s="213">
        <f>IFERROR(__xludf.DUMMYFUNCTION("""COMPUTED_VALUE"""),1799.0)</f>
        <v>1799</v>
      </c>
      <c r="B1986" s="213" t="str">
        <f>IFERROR(__xludf.DUMMYFUNCTION("""COMPUTED_VALUE"""),"GUILLERMO E. BILLINGHURST ")</f>
        <v>GUILLERMO E. BILLINGHURST </v>
      </c>
      <c r="C1986" s="213" t="str">
        <f>IFERROR(__xludf.DUMMYFUNCTION("""COMPUTED_VALUE"""),"TALLER SFT DE EBANISTERÍA")</f>
        <v>TALLER SFT DE EBANISTERÍA</v>
      </c>
      <c r="D1986" s="213" t="str">
        <f>IFERROR(__xludf.DUMMYFUNCTION("""COMPUTED_VALUE"""),"PEDAGOGICO")</f>
        <v>PEDAGOGICO</v>
      </c>
      <c r="E1986" s="213" t="str">
        <f>IFERROR(__xludf.DUMMYFUNCTION("""COMPUTED_VALUE"""),"COM-248")</f>
        <v>COM-248</v>
      </c>
      <c r="F1986" s="213" t="str">
        <f>IFERROR(__xludf.DUMMYFUNCTION("""COMPUTED_VALUE"""),"COM-248-Y")</f>
        <v>COM-248-Y</v>
      </c>
      <c r="G1986" s="213"/>
      <c r="H1986" s="213" t="str">
        <f>IFERROR(__xludf.DUMMYFUNCTION("""COMPUTED_VALUE"""),"PANEL INTERACTIVO (MAGNÉTICO)")</f>
        <v>PANEL INTERACTIVO (MAGNÉTICO)</v>
      </c>
      <c r="I1986" s="213" t="str">
        <f>IFERROR(__xludf.DUMMYFUNCTION("""COMPUTED_VALUE"""),"2 tablero magnético plegable de 120 cm x 80 cm. Lleva impreso a todo color un fondo referido a la especialidad. El tablero permite opcionalmente trabajar con plumones.
50 figuras imantadas de las diferentes maquinarias, equipos y herramientas de la especi"&amp;"alidad. Las figuras son de material magnético flexible y resistente, impresas a todo color y se presentan en bolsa.
36 tabletas de información e investigación en foldcote enmicado de tamaño A5, impresas a todo color y enmicadas por ambos lados.  Las carti"&amp;"llas se presentan en bolsa de plástico resistente.
01 bandeja en plástico poliestireno con dos cavidades en alto y bajo relieve de 44 cm x 13 cm x 3,5 cm de altura para el uso y conservación de los accesorios que  se usan con el panel interactivo.
04 plum"&amp;"ones en colores variados.
01  USB con información digital referida al panel interactivo con una evaluación a través de preguntas que se mostrarán en forma aleatoria referidas a la especialidad.
El panel se presenta en una caja de cartón corrugado, present"&amp;"a una etiqueta adhesiva impresa a todo color con la imagen y descripción del panel y sus componentes. Lleva en un lugar visible la autorización sanitaria emitida por DIGESA.
Todas las medidas indicadas presentan una tolerancia de ± 5%.")</f>
        <v>2 tablero magnético plegable de 120 cm x 80 cm. Lleva impreso a todo color un fondo referido a la especialidad. El tablero permite opcionalmente trabajar con plumones.
50 figuras imantadas de las diferentes maquinarias, equipos y herramientas de la especialidad. Las figuras son de material magnético flexible y resistente, impresas a todo color y se presentan en bolsa.
36 tabletas de información e investigación en foldcote enmicado de tamaño A5, impresas a todo color y enmicadas por ambos lados.  Las cartillas se presentan en bolsa de plástico resistente.
01 bandeja en plástico poliestireno con dos cavidades en alto y bajo relieve de 44 cm x 13 cm x 3,5 cm de altura para el uso y conservación de los accesorios que  se usan con el panel interactivo.
04 plumones en colores variados.
01  USB con información digital referida al panel interactivo con una evaluación a través de preguntas que se mostrarán en forma aleatoria referidas a la especialidad.
El panel se presenta en una caja de cartón corrugado, presenta una etiqueta adhesiva impresa a todo color con la imagen y descripción del panel y sus componentes. Lleva en un lugar visible la autorización sanitaria emitida por DIGESA.
Todas las medidas indicadas presentan una tolerancia de ± 5%.</v>
      </c>
      <c r="J1986" s="213">
        <f>IFERROR(__xludf.DUMMYFUNCTION("""COMPUTED_VALUE"""),3.0)</f>
        <v>3</v>
      </c>
      <c r="K1986" s="213" t="str">
        <f>IFERROR(__xludf.DUMMYFUNCTION("""COMPUTED_VALUE"""),"90 DÍAS CALENDARIO")</f>
        <v>90 DÍAS CALENDARIO</v>
      </c>
      <c r="L1986" s="213" t="str">
        <f>IFERROR(__xludf.DUMMYFUNCTION("""COMPUTED_VALUE"""),"")</f>
        <v/>
      </c>
      <c r="M1986" s="213">
        <f>IFERROR(__xludf.DUMMYFUNCTION("""COMPUTED_VALUE"""),1.0)</f>
        <v>1</v>
      </c>
      <c r="N1986" s="213">
        <f>IFERROR(__xludf.DUMMYFUNCTION("""COMPUTED_VALUE"""),4.0)</f>
        <v>4</v>
      </c>
      <c r="O1986" s="213">
        <f>IFERROR(__xludf.DUMMYFUNCTION("""COMPUTED_VALUE"""),4.0)</f>
        <v>4</v>
      </c>
      <c r="P1986" s="213"/>
      <c r="Q1986" s="213"/>
      <c r="R1986" s="213" t="str">
        <f>IFERROR(__xludf.DUMMYFUNCTION("""COMPUTED_VALUE"""),"SI")</f>
        <v>SI</v>
      </c>
      <c r="S1986" s="213"/>
      <c r="T1986" s="213" t="str">
        <f>IFERROR(__xludf.DUMMYFUNCTION("""COMPUTED_VALUE"""),"CONSULTA FINAL")</f>
        <v>CONSULTA FINAL</v>
      </c>
      <c r="U1986" s="213"/>
      <c r="V1986" s="213" t="str">
        <f>IFERROR(__xludf.DUMMYFUNCTION("""COMPUTED_VALUE"""),"-")</f>
        <v>-</v>
      </c>
      <c r="W1986" s="213" t="str">
        <f>IFERROR(__xludf.DUMMYFUNCTION("""COMPUTED_VALUE"""),"CRÍTICO")</f>
        <v>CRÍTICO</v>
      </c>
      <c r="X1986" s="213" t="str">
        <f>IFERROR(__xludf.DUMMYFUNCTION("""COMPUTED_VALUE"""),"A MEDIDA")</f>
        <v>A MEDIDA</v>
      </c>
      <c r="Y1986" s="213" t="str">
        <f>IFERROR(__xludf.DUMMYFUNCTION("""COMPUTED_VALUE"""),"A MEDIDA")</f>
        <v>A MEDIDA</v>
      </c>
      <c r="Z1986" s="213" t="str">
        <f>IFERROR(__xludf.DUMMYFUNCTION("""COMPUTED_VALUE"""),"A MEDIDA")</f>
        <v>A MEDIDA</v>
      </c>
      <c r="AA1986" s="215" t="str">
        <f>IFERROR(__xludf.DUMMYFUNCTION("""COMPUTED_VALUE"""),"https://docs.google.com/spreadsheets/d/1r068hY1aSP8RL_4ALidY95Fq8hMQzwPJPb2uVSFgab0/edit?gid=0#gid=1")</f>
        <v>https://docs.google.com/spreadsheets/d/1r068hY1aSP8RL_4ALidY95Fq8hMQzwPJPb2uVSFgab0/edit?gid=0#gid=1</v>
      </c>
      <c r="AB1986" s="213"/>
      <c r="AC1986" s="213"/>
      <c r="AD1986" s="213"/>
      <c r="AE1986" s="213"/>
      <c r="AF1986" s="213"/>
      <c r="AG1986" s="213"/>
      <c r="AH1986" s="213"/>
      <c r="AI1986" s="213"/>
      <c r="AJ1986" s="213"/>
      <c r="AK1986" s="213"/>
      <c r="AL1986" s="213"/>
      <c r="AM1986" s="213"/>
      <c r="AN1986" s="213"/>
      <c r="AO1986" s="213"/>
      <c r="AP1986" s="213" t="str">
        <f>IFERROR(__xludf.DUMMYFUNCTION("""COMPUTED_VALUE"""),"SEBASTIAN")</f>
        <v>SEBASTIAN</v>
      </c>
      <c r="AQ1986" s="213"/>
      <c r="AR1986" s="213"/>
      <c r="AS1986" s="213"/>
      <c r="AT1986" s="213"/>
      <c r="AU1986" s="213"/>
      <c r="AV1986" s="213"/>
      <c r="AW1986" s="213"/>
      <c r="AX1986" s="213"/>
      <c r="AY1986" s="213"/>
      <c r="AZ1986" s="213"/>
      <c r="BA1986" s="213"/>
      <c r="BB1986" s="213"/>
      <c r="BC1986" s="213"/>
      <c r="BD1986" s="213"/>
    </row>
    <row r="1987">
      <c r="A1987" s="213">
        <f>IFERROR(__xludf.DUMMYFUNCTION("""COMPUTED_VALUE"""),2576.0)</f>
        <v>2576</v>
      </c>
      <c r="B1987" s="213" t="str">
        <f>IFERROR(__xludf.DUMMYFUNCTION("""COMPUTED_VALUE"""),"MANUEL ANTONIO MESONES MURO")</f>
        <v>MANUEL ANTONIO MESONES MURO</v>
      </c>
      <c r="C1987" s="213" t="str">
        <f>IFERROR(__xludf.DUMMYFUNCTION("""COMPUTED_VALUE"""),"TALLER SFT DE EBANISTERÍA")</f>
        <v>TALLER SFT DE EBANISTERÍA</v>
      </c>
      <c r="D1987" s="213" t="str">
        <f>IFERROR(__xludf.DUMMYFUNCTION("""COMPUTED_VALUE"""),"PEDAGOGICO")</f>
        <v>PEDAGOGICO</v>
      </c>
      <c r="E1987" s="213" t="str">
        <f>IFERROR(__xludf.DUMMYFUNCTION("""COMPUTED_VALUE"""),"COM-248")</f>
        <v>COM-248</v>
      </c>
      <c r="F1987" s="213" t="str">
        <f>IFERROR(__xludf.DUMMYFUNCTION("""COMPUTED_VALUE"""),"COM-248-X")</f>
        <v>COM-248-X</v>
      </c>
      <c r="G1987" s="213"/>
      <c r="H1987" s="213" t="str">
        <f>IFERROR(__xludf.DUMMYFUNCTION("""COMPUTED_VALUE"""),"PANEL INTERACTIVO (MAGNÉTICO)")</f>
        <v>PANEL INTERACTIVO (MAGNÉTICO)</v>
      </c>
      <c r="I1987" s="213" t="str">
        <f>IFERROR(__xludf.DUMMYFUNCTION("""COMPUTED_VALUE"""),"1 tablero magnético plegable de 120 cm x 80 cm. Lleva impreso a todo color un fondo referido a la especialidad. El tablero permite opcionalmente trabajar con plumones.
50 figuras imantadas de las diferentes maquinarias, equipos y herramientas de la especi"&amp;"alidad. Las figuras son de material magnético flexible y resistente, impresas a todo color y se presentan en bolsa.
36 tabletas de información e investigación en foldcote enmicado de tamaño A5, impresas a todo color y enmicadas por ambos lados.  Las carti"&amp;"llas se presentan en bolsa de plástico resistente.
01 bandeja en plástico poliestireno con dos cavidades en alto y bajo relieve de 44 cm x 13 cm x 3,5 cm de altura para el uso y conservación de los accesorios que  se usan con el panel interactivo.
04 plum"&amp;"ones en colores variados.
01  USB con información digital referida al panel interactivo con una evaluación a través de preguntas que se mostrarán en forma aleatoria referidas a la especialidad.
El panel se presenta en una caja de cartón corrugado, present"&amp;"a una etiqueta adhesiva impresa a todo color con la imagen y descripción del panel y sus componentes. Lleva en un lugar visible la autorización sanitaria emitida por DIGESA.
Todas las medidas indicadas presentan una tolerancia de ± 5%.")</f>
        <v>1 tablero magnético plegable de 120 cm x 80 cm. Lleva impreso a todo color un fondo referido a la especialidad. El tablero permite opcionalmente trabajar con plumones.
50 figuras imantadas de las diferentes maquinarias, equipos y herramientas de la especialidad. Las figuras son de material magnético flexible y resistente, impresas a todo color y se presentan en bolsa.
36 tabletas de información e investigación en foldcote enmicado de tamaño A5, impresas a todo color y enmicadas por ambos lados.  Las cartillas se presentan en bolsa de plástico resistente.
01 bandeja en plástico poliestireno con dos cavidades en alto y bajo relieve de 44 cm x 13 cm x 3,5 cm de altura para el uso y conservación de los accesorios que  se usan con el panel interactivo.
04 plumones en colores variados.
01  USB con información digital referida al panel interactivo con una evaluación a través de preguntas que se mostrarán en forma aleatoria referidas a la especialidad.
El panel se presenta en una caja de cartón corrugado, presenta una etiqueta adhesiva impresa a todo color con la imagen y descripción del panel y sus componentes. Lleva en un lugar visible la autorización sanitaria emitida por DIGESA.
Todas las medidas indicadas presentan una tolerancia de ± 5%.</v>
      </c>
      <c r="J1987" s="213">
        <f>IFERROR(__xludf.DUMMYFUNCTION("""COMPUTED_VALUE"""),3.0)</f>
        <v>3</v>
      </c>
      <c r="K1987" s="213" t="str">
        <f>IFERROR(__xludf.DUMMYFUNCTION("""COMPUTED_VALUE"""),"90 DÍAS CALENDARIO")</f>
        <v>90 DÍAS CALENDARIO</v>
      </c>
      <c r="L1987" s="213" t="str">
        <f>IFERROR(__xludf.DUMMYFUNCTION("""COMPUTED_VALUE"""),"")</f>
        <v/>
      </c>
      <c r="M1987" s="213">
        <f>IFERROR(__xludf.DUMMYFUNCTION("""COMPUTED_VALUE"""),1.0)</f>
        <v>1</v>
      </c>
      <c r="N1987" s="213">
        <f>IFERROR(__xludf.DUMMYFUNCTION("""COMPUTED_VALUE"""),4.0)</f>
        <v>4</v>
      </c>
      <c r="O1987" s="213">
        <f>IFERROR(__xludf.DUMMYFUNCTION("""COMPUTED_VALUE"""),4.0)</f>
        <v>4</v>
      </c>
      <c r="P1987" s="213"/>
      <c r="Q1987" s="213"/>
      <c r="R1987" s="213" t="str">
        <f>IFERROR(__xludf.DUMMYFUNCTION("""COMPUTED_VALUE"""),"SI")</f>
        <v>SI</v>
      </c>
      <c r="S1987" s="213"/>
      <c r="T1987" s="213" t="str">
        <f>IFERROR(__xludf.DUMMYFUNCTION("""COMPUTED_VALUE"""),"CONSULTA FINAL")</f>
        <v>CONSULTA FINAL</v>
      </c>
      <c r="U1987" s="213"/>
      <c r="V1987" s="213" t="str">
        <f>IFERROR(__xludf.DUMMYFUNCTION("""COMPUTED_VALUE"""),"-")</f>
        <v>-</v>
      </c>
      <c r="W1987" s="213" t="str">
        <f>IFERROR(__xludf.DUMMYFUNCTION("""COMPUTED_VALUE"""),"CRÍTICO")</f>
        <v>CRÍTICO</v>
      </c>
      <c r="X1987" s="213" t="str">
        <f>IFERROR(__xludf.DUMMYFUNCTION("""COMPUTED_VALUE"""),"A MEDIDA")</f>
        <v>A MEDIDA</v>
      </c>
      <c r="Y1987" s="213" t="str">
        <f>IFERROR(__xludf.DUMMYFUNCTION("""COMPUTED_VALUE"""),"A MEDIDA")</f>
        <v>A MEDIDA</v>
      </c>
      <c r="Z1987" s="213" t="str">
        <f>IFERROR(__xludf.DUMMYFUNCTION("""COMPUTED_VALUE"""),"A MEDIDA")</f>
        <v>A MEDIDA</v>
      </c>
      <c r="AA1987" s="215" t="str">
        <f>IFERROR(__xludf.DUMMYFUNCTION("""COMPUTED_VALUE"""),"https://docs.google.com/spreadsheets/d/1r068hY1aSP8RL_4ALidY95Fq8hMQzwPJPb2uVSFgab0/edit?gid=0#gid=2")</f>
        <v>https://docs.google.com/spreadsheets/d/1r068hY1aSP8RL_4ALidY95Fq8hMQzwPJPb2uVSFgab0/edit?gid=0#gid=2</v>
      </c>
      <c r="AB1987" s="213"/>
      <c r="AC1987" s="213"/>
      <c r="AD1987" s="213"/>
      <c r="AE1987" s="213"/>
      <c r="AF1987" s="213"/>
      <c r="AG1987" s="213"/>
      <c r="AH1987" s="213"/>
      <c r="AI1987" s="213"/>
      <c r="AJ1987" s="213"/>
      <c r="AK1987" s="213"/>
      <c r="AL1987" s="213"/>
      <c r="AM1987" s="213"/>
      <c r="AN1987" s="213"/>
      <c r="AO1987" s="213"/>
      <c r="AP1987" s="213" t="str">
        <f>IFERROR(__xludf.DUMMYFUNCTION("""COMPUTED_VALUE"""),"SEBASTIAN")</f>
        <v>SEBASTIAN</v>
      </c>
      <c r="AQ1987" s="213"/>
      <c r="AR1987" s="213"/>
      <c r="AS1987" s="213"/>
      <c r="AT1987" s="213"/>
      <c r="AU1987" s="213"/>
      <c r="AV1987" s="213"/>
      <c r="AW1987" s="213"/>
      <c r="AX1987" s="213"/>
      <c r="AY1987" s="213"/>
      <c r="AZ1987" s="213"/>
      <c r="BA1987" s="213"/>
      <c r="BB1987" s="213"/>
      <c r="BC1987" s="213"/>
      <c r="BD1987" s="213"/>
    </row>
    <row r="1988">
      <c r="A1988" s="213">
        <f>IFERROR(__xludf.DUMMYFUNCTION("""COMPUTED_VALUE"""),2581.0)</f>
        <v>2581</v>
      </c>
      <c r="B1988" s="213" t="str">
        <f>IFERROR(__xludf.DUMMYFUNCTION("""COMPUTED_VALUE"""),"MANUEL ANTONIO MESONES MURO")</f>
        <v>MANUEL ANTONIO MESONES MURO</v>
      </c>
      <c r="C1988" s="213" t="str">
        <f>IFERROR(__xludf.DUMMYFUNCTION("""COMPUTED_VALUE"""),"TALLER SFT DE EBANISTERÍA")</f>
        <v>TALLER SFT DE EBANISTERÍA</v>
      </c>
      <c r="D1988" s="213" t="str">
        <f>IFERROR(__xludf.DUMMYFUNCTION("""COMPUTED_VALUE"""),"PEDAGOGICO")</f>
        <v>PEDAGOGICO</v>
      </c>
      <c r="E1988" s="213" t="str">
        <f>IFERROR(__xludf.DUMMYFUNCTION("""COMPUTED_VALUE"""),"COM-248")</f>
        <v>COM-248</v>
      </c>
      <c r="F1988" s="213" t="str">
        <f>IFERROR(__xludf.DUMMYFUNCTION("""COMPUTED_VALUE"""),"COM-248-Y")</f>
        <v>COM-248-Y</v>
      </c>
      <c r="G1988" s="213"/>
      <c r="H1988" s="213" t="str">
        <f>IFERROR(__xludf.DUMMYFUNCTION("""COMPUTED_VALUE"""),"PANEL INTERACTIVO (MAGNÉTICO)")</f>
        <v>PANEL INTERACTIVO (MAGNÉTICO)</v>
      </c>
      <c r="I1988" s="213" t="str">
        <f>IFERROR(__xludf.DUMMYFUNCTION("""COMPUTED_VALUE"""),"2 tablero magnético plegable de 120 cm x 80 cm. Lleva impreso a todo color un fondo referido a la especialidad. El tablero permite opcionalmente trabajar con plumones.
50 figuras imantadas de las diferentes maquinarias, equipos y herramientas de la especi"&amp;"alidad. Las figuras son de material magnético flexible y resistente, impresas a todo color y se presentan en bolsa.
36 tabletas de información e investigación en foldcote enmicado de tamaño A5, impresas a todo color y enmicadas por ambos lados.  Las carti"&amp;"llas se presentan en bolsa de plástico resistente.
01 bandeja en plástico poliestireno con dos cavidades en alto y bajo relieve de 44 cm x 13 cm x 3,5 cm de altura para el uso y conservación de los accesorios que  se usan con el panel interactivo.
04 plum"&amp;"ones en colores variados.
01  USB con información digital referida al panel interactivo con una evaluación a través de preguntas que se mostrarán en forma aleatoria referidas a la especialidad.
El panel se presenta en una caja de cartón corrugado, present"&amp;"a una etiqueta adhesiva impresa a todo color con la imagen y descripción del panel y sus componentes. Lleva en un lugar visible la autorización sanitaria emitida por DIGESA.
Todas las medidas indicadas presentan una tolerancia de ± 5%.")</f>
        <v>2 tablero magnético plegable de 120 cm x 80 cm. Lleva impreso a todo color un fondo referido a la especialidad. El tablero permite opcionalmente trabajar con plumones.
50 figuras imantadas de las diferentes maquinarias, equipos y herramientas de la especialidad. Las figuras son de material magnético flexible y resistente, impresas a todo color y se presentan en bolsa.
36 tabletas de información e investigación en foldcote enmicado de tamaño A5, impresas a todo color y enmicadas por ambos lados.  Las cartillas se presentan en bolsa de plástico resistente.
01 bandeja en plástico poliestireno con dos cavidades en alto y bajo relieve de 44 cm x 13 cm x 3,5 cm de altura para el uso y conservación de los accesorios que  se usan con el panel interactivo.
04 plumones en colores variados.
01  USB con información digital referida al panel interactivo con una evaluación a través de preguntas que se mostrarán en forma aleatoria referidas a la especialidad.
El panel se presenta en una caja de cartón corrugado, presenta una etiqueta adhesiva impresa a todo color con la imagen y descripción del panel y sus componentes. Lleva en un lugar visible la autorización sanitaria emitida por DIGESA.
Todas las medidas indicadas presentan una tolerancia de ± 5%.</v>
      </c>
      <c r="J1988" s="213">
        <f>IFERROR(__xludf.DUMMYFUNCTION("""COMPUTED_VALUE"""),3.0)</f>
        <v>3</v>
      </c>
      <c r="K1988" s="213" t="str">
        <f>IFERROR(__xludf.DUMMYFUNCTION("""COMPUTED_VALUE"""),"90 DÍAS CALENDARIO")</f>
        <v>90 DÍAS CALENDARIO</v>
      </c>
      <c r="L1988" s="213" t="str">
        <f>IFERROR(__xludf.DUMMYFUNCTION("""COMPUTED_VALUE"""),"")</f>
        <v/>
      </c>
      <c r="M1988" s="213">
        <f>IFERROR(__xludf.DUMMYFUNCTION("""COMPUTED_VALUE"""),1.0)</f>
        <v>1</v>
      </c>
      <c r="N1988" s="213">
        <f>IFERROR(__xludf.DUMMYFUNCTION("""COMPUTED_VALUE"""),4.0)</f>
        <v>4</v>
      </c>
      <c r="O1988" s="213">
        <f>IFERROR(__xludf.DUMMYFUNCTION("""COMPUTED_VALUE"""),4.0)</f>
        <v>4</v>
      </c>
      <c r="P1988" s="213"/>
      <c r="Q1988" s="213"/>
      <c r="R1988" s="213" t="str">
        <f>IFERROR(__xludf.DUMMYFUNCTION("""COMPUTED_VALUE"""),"SI")</f>
        <v>SI</v>
      </c>
      <c r="S1988" s="213"/>
      <c r="T1988" s="213" t="str">
        <f>IFERROR(__xludf.DUMMYFUNCTION("""COMPUTED_VALUE"""),"CONSULTA FINAL")</f>
        <v>CONSULTA FINAL</v>
      </c>
      <c r="U1988" s="213"/>
      <c r="V1988" s="213" t="str">
        <f>IFERROR(__xludf.DUMMYFUNCTION("""COMPUTED_VALUE"""),"-")</f>
        <v>-</v>
      </c>
      <c r="W1988" s="213" t="str">
        <f>IFERROR(__xludf.DUMMYFUNCTION("""COMPUTED_VALUE"""),"CRÍTICO")</f>
        <v>CRÍTICO</v>
      </c>
      <c r="X1988" s="213" t="str">
        <f>IFERROR(__xludf.DUMMYFUNCTION("""COMPUTED_VALUE"""),"A MEDIDA")</f>
        <v>A MEDIDA</v>
      </c>
      <c r="Y1988" s="213" t="str">
        <f>IFERROR(__xludf.DUMMYFUNCTION("""COMPUTED_VALUE"""),"A MEDIDA")</f>
        <v>A MEDIDA</v>
      </c>
      <c r="Z1988" s="213" t="str">
        <f>IFERROR(__xludf.DUMMYFUNCTION("""COMPUTED_VALUE"""),"A MEDIDA")</f>
        <v>A MEDIDA</v>
      </c>
      <c r="AA1988" s="215" t="str">
        <f>IFERROR(__xludf.DUMMYFUNCTION("""COMPUTED_VALUE"""),"https://docs.google.com/spreadsheets/d/1r068hY1aSP8RL_4ALidY95Fq8hMQzwPJPb2uVSFgab0/edit?gid=0#gid=3")</f>
        <v>https://docs.google.com/spreadsheets/d/1r068hY1aSP8RL_4ALidY95Fq8hMQzwPJPb2uVSFgab0/edit?gid=0#gid=3</v>
      </c>
      <c r="AB1988" s="213"/>
      <c r="AC1988" s="213"/>
      <c r="AD1988" s="213"/>
      <c r="AE1988" s="213"/>
      <c r="AF1988" s="213"/>
      <c r="AG1988" s="213"/>
      <c r="AH1988" s="213"/>
      <c r="AI1988" s="213"/>
      <c r="AJ1988" s="213"/>
      <c r="AK1988" s="213"/>
      <c r="AL1988" s="213"/>
      <c r="AM1988" s="213"/>
      <c r="AN1988" s="213"/>
      <c r="AO1988" s="213"/>
      <c r="AP1988" s="213" t="str">
        <f>IFERROR(__xludf.DUMMYFUNCTION("""COMPUTED_VALUE"""),"SEBASTIAN")</f>
        <v>SEBASTIAN</v>
      </c>
      <c r="AQ1988" s="213"/>
      <c r="AR1988" s="213"/>
      <c r="AS1988" s="213"/>
      <c r="AT1988" s="213"/>
      <c r="AU1988" s="213"/>
      <c r="AV1988" s="213"/>
      <c r="AW1988" s="213"/>
      <c r="AX1988" s="213"/>
      <c r="AY1988" s="213"/>
      <c r="AZ1988" s="213"/>
      <c r="BA1988" s="213"/>
      <c r="BB1988" s="213"/>
      <c r="BC1988" s="213"/>
      <c r="BD1988" s="213"/>
    </row>
    <row r="1989">
      <c r="A1989" s="213">
        <f>IFERROR(__xludf.DUMMYFUNCTION("""COMPUTED_VALUE"""),160.0)</f>
        <v>160</v>
      </c>
      <c r="B1989" s="213" t="str">
        <f>IFERROR(__xludf.DUMMYFUNCTION("""COMPUTED_VALUE"""),"2026 SIMON BOLIVAR")</f>
        <v>2026 SIMON BOLIVAR</v>
      </c>
      <c r="C1989" s="213" t="str">
        <f>IFERROR(__xludf.DUMMYFUNCTION("""COMPUTED_VALUE"""),"TALLER SFT DE INDUSTRIA DEL VESTIDO")</f>
        <v>TALLER SFT DE INDUSTRIA DEL VESTIDO</v>
      </c>
      <c r="D1989" s="213" t="str">
        <f>IFERROR(__xludf.DUMMYFUNCTION("""COMPUTED_VALUE"""),"PEDAGOGICO")</f>
        <v>PEDAGOGICO</v>
      </c>
      <c r="E1989" s="213" t="str">
        <f>IFERROR(__xludf.DUMMYFUNCTION("""COMPUTED_VALUE"""),"COM-248")</f>
        <v>COM-248</v>
      </c>
      <c r="F1989" s="213" t="str">
        <f>IFERROR(__xludf.DUMMYFUNCTION("""COMPUTED_VALUE"""),"COM-248-Z")</f>
        <v>COM-248-Z</v>
      </c>
      <c r="G1989" s="213"/>
      <c r="H1989" s="213" t="str">
        <f>IFERROR(__xludf.DUMMYFUNCTION("""COMPUTED_VALUE"""),"PANEL INTERACTIVO (MAGNÉTICO)")</f>
        <v>PANEL INTERACTIVO (MAGNÉTICO)</v>
      </c>
      <c r="I1989" s="213" t="str">
        <f>IFERROR(__xludf.DUMMYFUNCTION("""COMPUTED_VALUE"""),"·       01 tablero magnético plegable de 120 x 80 cm. Lleva impreso a todo color un fondo referido a la especialidad. Permite opcionalmente trabajar con plumones.
·       50 figuras imantadas de diferentes maquinarias, equipos y herramientas de la especia"&amp;"lidad. Las figuras son de material magnético flexible y resistente, impresas a todo color, se presentan en bolsa con cierre ziploc.
·       36 tabletas de información e investigación, en foldcote enmicado de tamaño A5, impresas a todo color y enmicadas po"&amp;"r ambos lados.  Se presentan en bolsa de plástico resistente.
·       01 bandeja en plástico poliestireno con dos cavidades en alto y bajo relieve, de 44 x 13 x 3,5 cm de altura. Para el uso y conservación de los accesorios que se usan con el panel intera"&amp;"ctivo.
·       04 plumones en colores variados.
·        Un USB con información digital referida al panel interactivo, con una evaluación a través de preguntas que se mostrarán en forma aleatoria referidas a la especialidad.
·       El panel se presenta e"&amp;"n una caja de cartón corrugado. Tiene una etiqueta adhesiva impresa a todo color con la imagen y descripción del panel y sus componentes. Lleva en un lugar visible la autorización sanitaria emitida por DIGESA.
·       Todas las medidas indicadas presentan"&amp;" una tolerancia de ±5 %.")</f>
        <v>·       01 tablero magnético plegable de 120 x 80 cm. Lleva impreso a todo color un fondo referido a la especialidad. Permite opcionalmente trabajar con plumones.
·       50 figuras imantadas de diferentes maquinarias, equipos y herramientas de la especialidad. Las figuras son de material magnético flexible y resistente, impresas a todo color, se presentan en bolsa con cierre ziploc.
·       36 tabletas de información e investigación, en foldcote enmicado de tamaño A5, impresas a todo color y enmicadas por ambos lados.  Se presentan en bolsa de plástico resistente.
·       01 bandeja en plástico poliestireno con dos cavidades en alto y bajo relieve, de 44 x 13 x 3,5 cm de altura. Para el uso y conservación de los accesorios que se usan con el panel interactivo.
·       04 plumones en colores variados.
·        Un USB con información digital referida al panel interactivo, con una evaluación a través de preguntas que se mostrarán en forma aleatoria referidas a la especialidad.
·       El panel se presenta en una caja de cartón corrugado. Tiene una etiqueta adhesiva impresa a todo color con la imagen y descripción del panel y sus componentes. Lleva en un lugar visible la autorización sanitaria emitida por DIGESA.
·       Todas las medidas indicadas presentan una tolerancia de ±5 %.</v>
      </c>
      <c r="J1989" s="213">
        <f>IFERROR(__xludf.DUMMYFUNCTION("""COMPUTED_VALUE"""),3.0)</f>
        <v>3</v>
      </c>
      <c r="K1989" s="213" t="str">
        <f>IFERROR(__xludf.DUMMYFUNCTION("""COMPUTED_VALUE"""),"90 DÍAS CALENDARIO")</f>
        <v>90 DÍAS CALENDARIO</v>
      </c>
      <c r="L1989" s="213" t="str">
        <f>IFERROR(__xludf.DUMMYFUNCTION("""COMPUTED_VALUE"""),"")</f>
        <v/>
      </c>
      <c r="M1989" s="213">
        <f>IFERROR(__xludf.DUMMYFUNCTION("""COMPUTED_VALUE"""),1.0)</f>
        <v>1</v>
      </c>
      <c r="N1989" s="213">
        <f>IFERROR(__xludf.DUMMYFUNCTION("""COMPUTED_VALUE"""),4.0)</f>
        <v>4</v>
      </c>
      <c r="O1989" s="213">
        <f>IFERROR(__xludf.DUMMYFUNCTION("""COMPUTED_VALUE"""),4.0)</f>
        <v>4</v>
      </c>
      <c r="P1989" s="213"/>
      <c r="Q1989" s="213"/>
      <c r="R1989" s="213" t="str">
        <f>IFERROR(__xludf.DUMMYFUNCTION("""COMPUTED_VALUE"""),"SI")</f>
        <v>SI</v>
      </c>
      <c r="S1989" s="213"/>
      <c r="T1989" s="213" t="str">
        <f>IFERROR(__xludf.DUMMYFUNCTION("""COMPUTED_VALUE"""),"CONSULTA FINAL")</f>
        <v>CONSULTA FINAL</v>
      </c>
      <c r="U1989" s="213"/>
      <c r="V1989" s="213" t="str">
        <f>IFERROR(__xludf.DUMMYFUNCTION("""COMPUTED_VALUE"""),"-")</f>
        <v>-</v>
      </c>
      <c r="W1989" s="213" t="str">
        <f>IFERROR(__xludf.DUMMYFUNCTION("""COMPUTED_VALUE"""),"CRÍTICO")</f>
        <v>CRÍTICO</v>
      </c>
      <c r="X1989" s="213" t="str">
        <f>IFERROR(__xludf.DUMMYFUNCTION("""COMPUTED_VALUE"""),"A MEDIDA")</f>
        <v>A MEDIDA</v>
      </c>
      <c r="Y1989" s="213" t="str">
        <f>IFERROR(__xludf.DUMMYFUNCTION("""COMPUTED_VALUE"""),"A MEDIDA")</f>
        <v>A MEDIDA</v>
      </c>
      <c r="Z1989" s="213" t="str">
        <f>IFERROR(__xludf.DUMMYFUNCTION("""COMPUTED_VALUE"""),"A MEDIDA")</f>
        <v>A MEDIDA</v>
      </c>
      <c r="AA1989" s="215" t="str">
        <f>IFERROR(__xludf.DUMMYFUNCTION("""COMPUTED_VALUE"""),"https://docs.google.com/spreadsheets/d/1r068hY1aSP8RL_4ALidY95Fq8hMQzwPJPb2uVSFgab0/edit?gid=0#gid=4")</f>
        <v>https://docs.google.com/spreadsheets/d/1r068hY1aSP8RL_4ALidY95Fq8hMQzwPJPb2uVSFgab0/edit?gid=0#gid=4</v>
      </c>
      <c r="AB1989" s="213"/>
      <c r="AC1989" s="213"/>
      <c r="AD1989" s="213"/>
      <c r="AE1989" s="213"/>
      <c r="AF1989" s="213"/>
      <c r="AG1989" s="213"/>
      <c r="AH1989" s="213"/>
      <c r="AI1989" s="213"/>
      <c r="AJ1989" s="213"/>
      <c r="AK1989" s="213"/>
      <c r="AL1989" s="213"/>
      <c r="AM1989" s="213"/>
      <c r="AN1989" s="213"/>
      <c r="AO1989" s="213"/>
      <c r="AP1989" s="213" t="str">
        <f>IFERROR(__xludf.DUMMYFUNCTION("""COMPUTED_VALUE"""),"SEBASTIAN")</f>
        <v>SEBASTIAN</v>
      </c>
      <c r="AQ1989" s="213"/>
      <c r="AR1989" s="213"/>
      <c r="AS1989" s="213"/>
      <c r="AT1989" s="213"/>
      <c r="AU1989" s="213"/>
      <c r="AV1989" s="213"/>
      <c r="AW1989" s="213"/>
      <c r="AX1989" s="213"/>
      <c r="AY1989" s="213"/>
      <c r="AZ1989" s="213"/>
      <c r="BA1989" s="213"/>
      <c r="BB1989" s="213"/>
      <c r="BC1989" s="213"/>
      <c r="BD1989" s="213"/>
    </row>
    <row r="1990">
      <c r="A1990" s="213">
        <f>IFERROR(__xludf.DUMMYFUNCTION("""COMPUTED_VALUE"""),265.0)</f>
        <v>265</v>
      </c>
      <c r="B1990" s="213" t="str">
        <f>IFERROR(__xludf.DUMMYFUNCTION("""COMPUTED_VALUE"""),"2026 SIMON BOLIVAR")</f>
        <v>2026 SIMON BOLIVAR</v>
      </c>
      <c r="C1990" s="213" t="str">
        <f>IFERROR(__xludf.DUMMYFUNCTION("""COMPUTED_VALUE"""),"TALLER SFT DE COMPUTACIÓN E INFORMÁTICA")</f>
        <v>TALLER SFT DE COMPUTACIÓN E INFORMÁTICA</v>
      </c>
      <c r="D1990" s="213" t="str">
        <f>IFERROR(__xludf.DUMMYFUNCTION("""COMPUTED_VALUE"""),"PEDAGOGICO")</f>
        <v>PEDAGOGICO</v>
      </c>
      <c r="E1990" s="213" t="str">
        <f>IFERROR(__xludf.DUMMYFUNCTION("""COMPUTED_VALUE"""),"COM-248")</f>
        <v>COM-248</v>
      </c>
      <c r="F1990" s="213" t="str">
        <f>IFERROR(__xludf.DUMMYFUNCTION("""COMPUTED_VALUE"""),"COM-248-W")</f>
        <v>COM-248-W</v>
      </c>
      <c r="G1990" s="213"/>
      <c r="H1990" s="213" t="str">
        <f>IFERROR(__xludf.DUMMYFUNCTION("""COMPUTED_VALUE"""),"PANEL INTERACTIVO (MAGNÉTICO)")</f>
        <v>PANEL INTERACTIVO (MAGNÉTICO)</v>
      </c>
      <c r="I1990" s="213" t="str">
        <f>IFERROR(__xludf.DUMMYFUNCTION("""COMPUTED_VALUE"""),"2 tablero magnético plegable de 120 cm x 80 cm. Lleva impreso a todo color un fondo referido a la especialidad. El tablero permite opcionalmente trabajar con plumones.
50 figuras imantadas de las diferentes maquinarias, equipos y herramientas de la especi"&amp;"alidad. Las figuras son de material magnético flexible y resistente, impresas a todo color y se presentan en bolsa.
36 tabletas de información e investigación en foldcote enmicado de tamaño A5, impresas a todo color y enmicadas por ambos lados.  Las carti"&amp;"llas se presentan en bolsa de plástico resistente.
01 bandeja en plástico poliestireno con dos cavidades en alto y bajo relieve de 44 cm x 13 cm x 3,5 cm de altura para el uso y conservación de los accesorios que  se usan con el panel interactivo.
04 plum"&amp;"ones en colores variados.
01  USB con información digital referida al panel interactivo con una evaluación a través de preguntas que se mostrarán en forma aleatoria referidas a la especialidad.
El panel se presenta en una caja de cartón corrugado, present"&amp;"a una etiqueta adhesiva impresa a todo color con la imagen y descripción del panel y sus componentes. Lleva en un lugar visible la autorización sanitaria emitida por DIGESA.
Todas las medidas indicadas presentan una tolerancia de ± 5%.")</f>
        <v>2 tablero magnético plegable de 120 cm x 80 cm. Lleva impreso a todo color un fondo referido a la especialidad. El tablero permite opcionalmente trabajar con plumones.
50 figuras imantadas de las diferentes maquinarias, equipos y herramientas de la especialidad. Las figuras son de material magnético flexible y resistente, impresas a todo color y se presentan en bolsa.
36 tabletas de información e investigación en foldcote enmicado de tamaño A5, impresas a todo color y enmicadas por ambos lados.  Las cartillas se presentan en bolsa de plástico resistente.
01 bandeja en plástico poliestireno con dos cavidades en alto y bajo relieve de 44 cm x 13 cm x 3,5 cm de altura para el uso y conservación de los accesorios que  se usan con el panel interactivo.
04 plumones en colores variados.
01  USB con información digital referida al panel interactivo con una evaluación a través de preguntas que se mostrarán en forma aleatoria referidas a la especialidad.
El panel se presenta en una caja de cartón corrugado, presenta una etiqueta adhesiva impresa a todo color con la imagen y descripción del panel y sus componentes. Lleva en un lugar visible la autorización sanitaria emitida por DIGESA.
Todas las medidas indicadas presentan una tolerancia de ± 5%.</v>
      </c>
      <c r="J1990" s="213">
        <f>IFERROR(__xludf.DUMMYFUNCTION("""COMPUTED_VALUE"""),3.0)</f>
        <v>3</v>
      </c>
      <c r="K1990" s="213" t="str">
        <f>IFERROR(__xludf.DUMMYFUNCTION("""COMPUTED_VALUE"""),"90 DÍAS CALENDARIO")</f>
        <v>90 DÍAS CALENDARIO</v>
      </c>
      <c r="L1990" s="213" t="str">
        <f>IFERROR(__xludf.DUMMYFUNCTION("""COMPUTED_VALUE"""),"")</f>
        <v/>
      </c>
      <c r="M1990" s="213">
        <f>IFERROR(__xludf.DUMMYFUNCTION("""COMPUTED_VALUE"""),1.0)</f>
        <v>1</v>
      </c>
      <c r="N1990" s="213">
        <f>IFERROR(__xludf.DUMMYFUNCTION("""COMPUTED_VALUE"""),4.0)</f>
        <v>4</v>
      </c>
      <c r="O1990" s="213">
        <f>IFERROR(__xludf.DUMMYFUNCTION("""COMPUTED_VALUE"""),4.0)</f>
        <v>4</v>
      </c>
      <c r="P1990" s="213"/>
      <c r="Q1990" s="213"/>
      <c r="R1990" s="213" t="str">
        <f>IFERROR(__xludf.DUMMYFUNCTION("""COMPUTED_VALUE"""),"SI")</f>
        <v>SI</v>
      </c>
      <c r="S1990" s="213"/>
      <c r="T1990" s="213" t="str">
        <f>IFERROR(__xludf.DUMMYFUNCTION("""COMPUTED_VALUE"""),"CONSULTA FINAL")</f>
        <v>CONSULTA FINAL</v>
      </c>
      <c r="U1990" s="213"/>
      <c r="V1990" s="213" t="str">
        <f>IFERROR(__xludf.DUMMYFUNCTION("""COMPUTED_VALUE"""),"-")</f>
        <v>-</v>
      </c>
      <c r="W1990" s="213" t="str">
        <f>IFERROR(__xludf.DUMMYFUNCTION("""COMPUTED_VALUE"""),"CRÍTICO")</f>
        <v>CRÍTICO</v>
      </c>
      <c r="X1990" s="213" t="str">
        <f>IFERROR(__xludf.DUMMYFUNCTION("""COMPUTED_VALUE"""),"A MEDIDA")</f>
        <v>A MEDIDA</v>
      </c>
      <c r="Y1990" s="213" t="str">
        <f>IFERROR(__xludf.DUMMYFUNCTION("""COMPUTED_VALUE"""),"A MEDIDA")</f>
        <v>A MEDIDA</v>
      </c>
      <c r="Z1990" s="213" t="str">
        <f>IFERROR(__xludf.DUMMYFUNCTION("""COMPUTED_VALUE"""),"A MEDIDA")</f>
        <v>A MEDIDA</v>
      </c>
      <c r="AA1990" s="215" t="str">
        <f>IFERROR(__xludf.DUMMYFUNCTION("""COMPUTED_VALUE"""),"https://docs.google.com/spreadsheets/d/1r068hY1aSP8RL_4ALidY95Fq8hMQzwPJPb2uVSFgab0/edit?gid=0#gid=5")</f>
        <v>https://docs.google.com/spreadsheets/d/1r068hY1aSP8RL_4ALidY95Fq8hMQzwPJPb2uVSFgab0/edit?gid=0#gid=5</v>
      </c>
      <c r="AB1990" s="213"/>
      <c r="AC1990" s="213"/>
      <c r="AD1990" s="213"/>
      <c r="AE1990" s="213"/>
      <c r="AF1990" s="213"/>
      <c r="AG1990" s="213"/>
      <c r="AH1990" s="213"/>
      <c r="AI1990" s="213"/>
      <c r="AJ1990" s="213"/>
      <c r="AK1990" s="213"/>
      <c r="AL1990" s="213"/>
      <c r="AM1990" s="213"/>
      <c r="AN1990" s="213"/>
      <c r="AO1990" s="213"/>
      <c r="AP1990" s="213" t="str">
        <f>IFERROR(__xludf.DUMMYFUNCTION("""COMPUTED_VALUE"""),"SEBASTIAN")</f>
        <v>SEBASTIAN</v>
      </c>
      <c r="AQ1990" s="213"/>
      <c r="AR1990" s="213"/>
      <c r="AS1990" s="213"/>
      <c r="AT1990" s="213"/>
      <c r="AU1990" s="213"/>
      <c r="AV1990" s="213"/>
      <c r="AW1990" s="213"/>
      <c r="AX1990" s="213"/>
      <c r="AY1990" s="213"/>
      <c r="AZ1990" s="213"/>
      <c r="BA1990" s="213"/>
      <c r="BB1990" s="213"/>
      <c r="BC1990" s="213"/>
      <c r="BD1990" s="213"/>
    </row>
    <row r="1991">
      <c r="A1991" s="213">
        <f>IFERROR(__xludf.DUMMYFUNCTION("""COMPUTED_VALUE"""),750.0)</f>
        <v>750</v>
      </c>
      <c r="B1991" s="213" t="str">
        <f>IFERROR(__xludf.DUMMYFUNCTION("""COMPUTED_VALUE"""),"6049 RICARDO PALMA")</f>
        <v>6049 RICARDO PALMA</v>
      </c>
      <c r="C1991" s="213" t="str">
        <f>IFERROR(__xludf.DUMMYFUNCTION("""COMPUTED_VALUE"""),"TALLER SFT DE COMPUTACIÓN E INFORMÁTICA")</f>
        <v>TALLER SFT DE COMPUTACIÓN E INFORMÁTICA</v>
      </c>
      <c r="D1991" s="213" t="str">
        <f>IFERROR(__xludf.DUMMYFUNCTION("""COMPUTED_VALUE"""),"PEDAGOGICO")</f>
        <v>PEDAGOGICO</v>
      </c>
      <c r="E1991" s="213" t="str">
        <f>IFERROR(__xludf.DUMMYFUNCTION("""COMPUTED_VALUE"""),"COM-248")</f>
        <v>COM-248</v>
      </c>
      <c r="F1991" s="213" t="str">
        <f>IFERROR(__xludf.DUMMYFUNCTION("""COMPUTED_VALUE"""),"COM-248-W")</f>
        <v>COM-248-W</v>
      </c>
      <c r="G1991" s="213"/>
      <c r="H1991" s="213" t="str">
        <f>IFERROR(__xludf.DUMMYFUNCTION("""COMPUTED_VALUE"""),"PANEL INTERACTIVO (MAGNÉTICO)")</f>
        <v>PANEL INTERACTIVO (MAGNÉTICO)</v>
      </c>
      <c r="I1991" s="213" t="str">
        <f>IFERROR(__xludf.DUMMYFUNCTION("""COMPUTED_VALUE"""),"2 tablero magnético plegable de 120 cm x 80 cm. Lleva impreso a todo color un fondo referido a la especialidad. El tablero permite opcionalmente trabajar con plumones.
50 figuras imantadas de las diferentes maquinarias, equipos y herramientas de la especi"&amp;"alidad. Las figuras son de material magnético flexible y resistente, impresas a todo color y se presentan en bolsa.
36 tabletas de información e investigación en foldcote enmicado de tamaño A5, impresas a todo color y enmicadas por ambos lados.  Las carti"&amp;"llas se presentan en bolsa de plástico resistente.
01 bandeja en plástico poliestireno con dos cavidades en alto y bajo relieve de 44 cm x 13 cm x 3,5 cm de altura para el uso y conservación de los accesorios que  se usan con el panel interactivo.
04 plum"&amp;"ones en colores variados.
01  USB con información digital referida al panel interactivo con una evaluación a través de preguntas que se mostrarán en forma aleatoria referidas a la especialidad.
El panel se presenta en una caja de cartón corrugado, present"&amp;"a una etiqueta adhesiva impresa a todo color con la imagen y descripción del panel y sus componentes. Lleva en un lugar visible la autorización sanitaria emitida por DIGESA.
Todas las medidas indicadas presentan una tolerancia de ± 5%.")</f>
        <v>2 tablero magnético plegable de 120 cm x 80 cm. Lleva impreso a todo color un fondo referido a la especialidad. El tablero permite opcionalmente trabajar con plumones.
50 figuras imantadas de las diferentes maquinarias, equipos y herramientas de la especialidad. Las figuras son de material magnético flexible y resistente, impresas a todo color y se presentan en bolsa.
36 tabletas de información e investigación en foldcote enmicado de tamaño A5, impresas a todo color y enmicadas por ambos lados.  Las cartillas se presentan en bolsa de plástico resistente.
01 bandeja en plástico poliestireno con dos cavidades en alto y bajo relieve de 44 cm x 13 cm x 3,5 cm de altura para el uso y conservación de los accesorios que  se usan con el panel interactivo.
04 plumones en colores variados.
01  USB con información digital referida al panel interactivo con una evaluación a través de preguntas que se mostrarán en forma aleatoria referidas a la especialidad.
El panel se presenta en una caja de cartón corrugado, presenta una etiqueta adhesiva impresa a todo color con la imagen y descripción del panel y sus componentes. Lleva en un lugar visible la autorización sanitaria emitida por DIGESA.
Todas las medidas indicadas presentan una tolerancia de ± 5%.</v>
      </c>
      <c r="J1991" s="213">
        <f>IFERROR(__xludf.DUMMYFUNCTION("""COMPUTED_VALUE"""),3.0)</f>
        <v>3</v>
      </c>
      <c r="K1991" s="213" t="str">
        <f>IFERROR(__xludf.DUMMYFUNCTION("""COMPUTED_VALUE"""),"90 DÍAS CALENDARIO")</f>
        <v>90 DÍAS CALENDARIO</v>
      </c>
      <c r="L1991" s="213" t="str">
        <f>IFERROR(__xludf.DUMMYFUNCTION("""COMPUTED_VALUE"""),"")</f>
        <v/>
      </c>
      <c r="M1991" s="213">
        <f>IFERROR(__xludf.DUMMYFUNCTION("""COMPUTED_VALUE"""),1.0)</f>
        <v>1</v>
      </c>
      <c r="N1991" s="213">
        <f>IFERROR(__xludf.DUMMYFUNCTION("""COMPUTED_VALUE"""),4.0)</f>
        <v>4</v>
      </c>
      <c r="O1991" s="213">
        <f>IFERROR(__xludf.DUMMYFUNCTION("""COMPUTED_VALUE"""),4.0)</f>
        <v>4</v>
      </c>
      <c r="P1991" s="213"/>
      <c r="Q1991" s="213"/>
      <c r="R1991" s="213" t="str">
        <f>IFERROR(__xludf.DUMMYFUNCTION("""COMPUTED_VALUE"""),"SI")</f>
        <v>SI</v>
      </c>
      <c r="S1991" s="213"/>
      <c r="T1991" s="213" t="str">
        <f>IFERROR(__xludf.DUMMYFUNCTION("""COMPUTED_VALUE"""),"CONSULTA FINAL")</f>
        <v>CONSULTA FINAL</v>
      </c>
      <c r="U1991" s="213"/>
      <c r="V1991" s="213" t="str">
        <f>IFERROR(__xludf.DUMMYFUNCTION("""COMPUTED_VALUE"""),"-")</f>
        <v>-</v>
      </c>
      <c r="W1991" s="213" t="str">
        <f>IFERROR(__xludf.DUMMYFUNCTION("""COMPUTED_VALUE"""),"CRÍTICO")</f>
        <v>CRÍTICO</v>
      </c>
      <c r="X1991" s="213" t="str">
        <f>IFERROR(__xludf.DUMMYFUNCTION("""COMPUTED_VALUE"""),"A MEDIDA")</f>
        <v>A MEDIDA</v>
      </c>
      <c r="Y1991" s="213" t="str">
        <f>IFERROR(__xludf.DUMMYFUNCTION("""COMPUTED_VALUE"""),"A MEDIDA")</f>
        <v>A MEDIDA</v>
      </c>
      <c r="Z1991" s="213" t="str">
        <f>IFERROR(__xludf.DUMMYFUNCTION("""COMPUTED_VALUE"""),"A MEDIDA")</f>
        <v>A MEDIDA</v>
      </c>
      <c r="AA1991" s="215" t="str">
        <f>IFERROR(__xludf.DUMMYFUNCTION("""COMPUTED_VALUE"""),"https://docs.google.com/spreadsheets/d/1r068hY1aSP8RL_4ALidY95Fq8hMQzwPJPb2uVSFgab0/edit?gid=0#gid=6")</f>
        <v>https://docs.google.com/spreadsheets/d/1r068hY1aSP8RL_4ALidY95Fq8hMQzwPJPb2uVSFgab0/edit?gid=0#gid=6</v>
      </c>
      <c r="AB1991" s="213"/>
      <c r="AC1991" s="213"/>
      <c r="AD1991" s="213"/>
      <c r="AE1991" s="213"/>
      <c r="AF1991" s="213"/>
      <c r="AG1991" s="213"/>
      <c r="AH1991" s="213"/>
      <c r="AI1991" s="213"/>
      <c r="AJ1991" s="213"/>
      <c r="AK1991" s="213"/>
      <c r="AL1991" s="213"/>
      <c r="AM1991" s="213"/>
      <c r="AN1991" s="213"/>
      <c r="AO1991" s="213"/>
      <c r="AP1991" s="213" t="str">
        <f>IFERROR(__xludf.DUMMYFUNCTION("""COMPUTED_VALUE"""),"SEBASTIAN")</f>
        <v>SEBASTIAN</v>
      </c>
      <c r="AQ1991" s="213"/>
      <c r="AR1991" s="213"/>
      <c r="AS1991" s="213"/>
      <c r="AT1991" s="213"/>
      <c r="AU1991" s="213"/>
      <c r="AV1991" s="213"/>
      <c r="AW1991" s="213"/>
      <c r="AX1991" s="213"/>
      <c r="AY1991" s="213"/>
      <c r="AZ1991" s="213"/>
      <c r="BA1991" s="213"/>
      <c r="BB1991" s="213"/>
      <c r="BC1991" s="213"/>
      <c r="BD1991" s="213"/>
    </row>
    <row r="1992">
      <c r="A1992" s="213">
        <f>IFERROR(__xludf.DUMMYFUNCTION("""COMPUTED_VALUE"""),1685.0)</f>
        <v>1685</v>
      </c>
      <c r="B1992" s="213" t="str">
        <f>IFERROR(__xludf.DUMMYFUNCTION("""COMPUTED_VALUE"""),"GUILLERMO E. BILLINGHURST ")</f>
        <v>GUILLERMO E. BILLINGHURST </v>
      </c>
      <c r="C1992" s="213" t="str">
        <f>IFERROR(__xludf.DUMMYFUNCTION("""COMPUTED_VALUE"""),"TALLER SFT DE COMPUTACIÓN E INFORMÁTICA")</f>
        <v>TALLER SFT DE COMPUTACIÓN E INFORMÁTICA</v>
      </c>
      <c r="D1992" s="213" t="str">
        <f>IFERROR(__xludf.DUMMYFUNCTION("""COMPUTED_VALUE"""),"PEDAGOGICO")</f>
        <v>PEDAGOGICO</v>
      </c>
      <c r="E1992" s="213" t="str">
        <f>IFERROR(__xludf.DUMMYFUNCTION("""COMPUTED_VALUE"""),"COM-248")</f>
        <v>COM-248</v>
      </c>
      <c r="F1992" s="213" t="str">
        <f>IFERROR(__xludf.DUMMYFUNCTION("""COMPUTED_VALUE"""),"COM-248-W")</f>
        <v>COM-248-W</v>
      </c>
      <c r="G1992" s="213"/>
      <c r="H1992" s="213" t="str">
        <f>IFERROR(__xludf.DUMMYFUNCTION("""COMPUTED_VALUE"""),"PANEL INTERACTIVO (MAGNÉTICO)")</f>
        <v>PANEL INTERACTIVO (MAGNÉTICO)</v>
      </c>
      <c r="I1992" s="213" t="str">
        <f>IFERROR(__xludf.DUMMYFUNCTION("""COMPUTED_VALUE"""),"2 tablero magnético plegable de 120 cm x 80 cm. Lleva impreso a todo color un fondo referido a la especialidad. El tablero permite opcionalmente trabajar con plumones.
50 figuras imantadas de las diferentes maquinarias, equipos y herramientas de la especi"&amp;"alidad. Las figuras son de material magnético flexible y resistente, impresas a todo color y se presentan en bolsa.
36 tabletas de información e investigación en foldcote enmicado de tamaño A5, impresas a todo color y enmicadas por ambos lados.  Las carti"&amp;"llas se presentan en bolsa de plástico resistente.
01 bandeja en plástico poliestireno con dos cavidades en alto y bajo relieve de 44 cm x 13 cm x 3,5 cm de altura para el uso y conservación de los accesorios que  se usan con el panel interactivo.
04 plum"&amp;"ones en colores variados.
01  USB con información digital referida al panel interactivo con una evaluación a través de preguntas que se mostrarán en forma aleatoria referidas a la especialidad.
El panel se presenta en una caja de cartón corrugado, present"&amp;"a una etiqueta adhesiva impresa a todo color con la imagen y descripción del panel y sus componentes. Lleva en un lugar visible la autorización sanitaria emitida por DIGESA.
Todas las medidas indicadas presentan una tolerancia de ± 5%.")</f>
        <v>2 tablero magnético plegable de 120 cm x 80 cm. Lleva impreso a todo color un fondo referido a la especialidad. El tablero permite opcionalmente trabajar con plumones.
50 figuras imantadas de las diferentes maquinarias, equipos y herramientas de la especialidad. Las figuras son de material magnético flexible y resistente, impresas a todo color y se presentan en bolsa.
36 tabletas de información e investigación en foldcote enmicado de tamaño A5, impresas a todo color y enmicadas por ambos lados.  Las cartillas se presentan en bolsa de plástico resistente.
01 bandeja en plástico poliestireno con dos cavidades en alto y bajo relieve de 44 cm x 13 cm x 3,5 cm de altura para el uso y conservación de los accesorios que  se usan con el panel interactivo.
04 plumones en colores variados.
01  USB con información digital referida al panel interactivo con una evaluación a través de preguntas que se mostrarán en forma aleatoria referidas a la especialidad.
El panel se presenta en una caja de cartón corrugado, presenta una etiqueta adhesiva impresa a todo color con la imagen y descripción del panel y sus componentes. Lleva en un lugar visible la autorización sanitaria emitida por DIGESA.
Todas las medidas indicadas presentan una tolerancia de ± 5%.</v>
      </c>
      <c r="J1992" s="213">
        <f>IFERROR(__xludf.DUMMYFUNCTION("""COMPUTED_VALUE"""),3.0)</f>
        <v>3</v>
      </c>
      <c r="K1992" s="213" t="str">
        <f>IFERROR(__xludf.DUMMYFUNCTION("""COMPUTED_VALUE"""),"90 DÍAS CALENDARIO")</f>
        <v>90 DÍAS CALENDARIO</v>
      </c>
      <c r="L1992" s="213" t="str">
        <f>IFERROR(__xludf.DUMMYFUNCTION("""COMPUTED_VALUE"""),"")</f>
        <v/>
      </c>
      <c r="M1992" s="213">
        <f>IFERROR(__xludf.DUMMYFUNCTION("""COMPUTED_VALUE"""),1.0)</f>
        <v>1</v>
      </c>
      <c r="N1992" s="213">
        <f>IFERROR(__xludf.DUMMYFUNCTION("""COMPUTED_VALUE"""),4.0)</f>
        <v>4</v>
      </c>
      <c r="O1992" s="213">
        <f>IFERROR(__xludf.DUMMYFUNCTION("""COMPUTED_VALUE"""),4.0)</f>
        <v>4</v>
      </c>
      <c r="P1992" s="213"/>
      <c r="Q1992" s="213"/>
      <c r="R1992" s="213" t="str">
        <f>IFERROR(__xludf.DUMMYFUNCTION("""COMPUTED_VALUE"""),"SI")</f>
        <v>SI</v>
      </c>
      <c r="S1992" s="213"/>
      <c r="T1992" s="213" t="str">
        <f>IFERROR(__xludf.DUMMYFUNCTION("""COMPUTED_VALUE"""),"CONSULTA FINAL")</f>
        <v>CONSULTA FINAL</v>
      </c>
      <c r="U1992" s="213"/>
      <c r="V1992" s="213" t="str">
        <f>IFERROR(__xludf.DUMMYFUNCTION("""COMPUTED_VALUE"""),"-")</f>
        <v>-</v>
      </c>
      <c r="W1992" s="213" t="str">
        <f>IFERROR(__xludf.DUMMYFUNCTION("""COMPUTED_VALUE"""),"CRÍTICO")</f>
        <v>CRÍTICO</v>
      </c>
      <c r="X1992" s="213" t="str">
        <f>IFERROR(__xludf.DUMMYFUNCTION("""COMPUTED_VALUE"""),"A MEDIDA")</f>
        <v>A MEDIDA</v>
      </c>
      <c r="Y1992" s="213" t="str">
        <f>IFERROR(__xludf.DUMMYFUNCTION("""COMPUTED_VALUE"""),"A MEDIDA")</f>
        <v>A MEDIDA</v>
      </c>
      <c r="Z1992" s="213" t="str">
        <f>IFERROR(__xludf.DUMMYFUNCTION("""COMPUTED_VALUE"""),"A MEDIDA")</f>
        <v>A MEDIDA</v>
      </c>
      <c r="AA1992" s="215" t="str">
        <f>IFERROR(__xludf.DUMMYFUNCTION("""COMPUTED_VALUE"""),"https://docs.google.com/spreadsheets/d/1r068hY1aSP8RL_4ALidY95Fq8hMQzwPJPb2uVSFgab0/edit?gid=0#gid=7")</f>
        <v>https://docs.google.com/spreadsheets/d/1r068hY1aSP8RL_4ALidY95Fq8hMQzwPJPb2uVSFgab0/edit?gid=0#gid=7</v>
      </c>
      <c r="AB1992" s="213"/>
      <c r="AC1992" s="213"/>
      <c r="AD1992" s="213"/>
      <c r="AE1992" s="213"/>
      <c r="AF1992" s="213"/>
      <c r="AG1992" s="213"/>
      <c r="AH1992" s="213"/>
      <c r="AI1992" s="213"/>
      <c r="AJ1992" s="213"/>
      <c r="AK1992" s="213"/>
      <c r="AL1992" s="213"/>
      <c r="AM1992" s="213"/>
      <c r="AN1992" s="213"/>
      <c r="AO1992" s="213"/>
      <c r="AP1992" s="213" t="str">
        <f>IFERROR(__xludf.DUMMYFUNCTION("""COMPUTED_VALUE"""),"SEBASTIAN")</f>
        <v>SEBASTIAN</v>
      </c>
      <c r="AQ1992" s="213"/>
      <c r="AR1992" s="213"/>
      <c r="AS1992" s="213"/>
      <c r="AT1992" s="213"/>
      <c r="AU1992" s="213"/>
      <c r="AV1992" s="213"/>
      <c r="AW1992" s="213"/>
      <c r="AX1992" s="213"/>
      <c r="AY1992" s="213"/>
      <c r="AZ1992" s="213"/>
      <c r="BA1992" s="213"/>
      <c r="BB1992" s="213"/>
      <c r="BC1992" s="213"/>
      <c r="BD1992" s="213"/>
    </row>
    <row r="1993">
      <c r="A1993" s="213">
        <f>IFERROR(__xludf.DUMMYFUNCTION("""COMPUTED_VALUE"""),1937.0)</f>
        <v>1937</v>
      </c>
      <c r="B1993" s="213" t="str">
        <f>IFERROR(__xludf.DUMMYFUNCTION("""COMPUTED_VALUE"""),"JOSE GRANDA")</f>
        <v>JOSE GRANDA</v>
      </c>
      <c r="C1993" s="213" t="str">
        <f>IFERROR(__xludf.DUMMYFUNCTION("""COMPUTED_VALUE"""),"TALLER SFT DE COMPUTACIÓN E INFORMÁTICA")</f>
        <v>TALLER SFT DE COMPUTACIÓN E INFORMÁTICA</v>
      </c>
      <c r="D1993" s="213" t="str">
        <f>IFERROR(__xludf.DUMMYFUNCTION("""COMPUTED_VALUE"""),"PEDAGOGICO")</f>
        <v>PEDAGOGICO</v>
      </c>
      <c r="E1993" s="213" t="str">
        <f>IFERROR(__xludf.DUMMYFUNCTION("""COMPUTED_VALUE"""),"COM-248")</f>
        <v>COM-248</v>
      </c>
      <c r="F1993" s="213" t="str">
        <f>IFERROR(__xludf.DUMMYFUNCTION("""COMPUTED_VALUE"""),"COM-248-W")</f>
        <v>COM-248-W</v>
      </c>
      <c r="G1993" s="213"/>
      <c r="H1993" s="213" t="str">
        <f>IFERROR(__xludf.DUMMYFUNCTION("""COMPUTED_VALUE"""),"PANEL INTERACTIVO (MAGNÉTICO)")</f>
        <v>PANEL INTERACTIVO (MAGNÉTICO)</v>
      </c>
      <c r="I1993" s="213" t="str">
        <f>IFERROR(__xludf.DUMMYFUNCTION("""COMPUTED_VALUE"""),"2 tablero magnético plegable de 120 cm x 80 cm. Lleva impreso a todo color un fondo referido a la especialidad. El tablero permite opcionalmente trabajar con plumones.
50 figuras imantadas de las diferentes maquinarias, equipos y herramientas de la especi"&amp;"alidad. Las figuras son de material magnético flexible y resistente, impresas a todo color y se presentan en bolsa.
36 tabletas de información e investigación en foldcote enmicado de tamaño A5, impresas a todo color y enmicadas por ambos lados.  Las carti"&amp;"llas se presentan en bolsa de plástico resistente.
01 bandeja en plástico poliestireno con dos cavidades en alto y bajo relieve de 44 cm x 13 cm x 3,5 cm de altura para el uso y conservación de los accesorios que  se usan con el panel interactivo.
04 plum"&amp;"ones en colores variados.
01  USB con información digital referida al panel interactivo con una evaluación a través de preguntas que se mostrarán en forma aleatoria referidas a la especialidad.
El panel se presenta en una caja de cartón corrugado, present"&amp;"a una etiqueta adhesiva impresa a todo color con la imagen y descripción del panel y sus componentes. Lleva en un lugar visible la autorización sanitaria emitida por DIGESA.
Todas las medidas indicadas presentan una tolerancia de ± 5%.")</f>
        <v>2 tablero magnético plegable de 120 cm x 80 cm. Lleva impreso a todo color un fondo referido a la especialidad. El tablero permite opcionalmente trabajar con plumones.
50 figuras imantadas de las diferentes maquinarias, equipos y herramientas de la especialidad. Las figuras son de material magnético flexible y resistente, impresas a todo color y se presentan en bolsa.
36 tabletas de información e investigación en foldcote enmicado de tamaño A5, impresas a todo color y enmicadas por ambos lados.  Las cartillas se presentan en bolsa de plástico resistente.
01 bandeja en plástico poliestireno con dos cavidades en alto y bajo relieve de 44 cm x 13 cm x 3,5 cm de altura para el uso y conservación de los accesorios que  se usan con el panel interactivo.
04 plumones en colores variados.
01  USB con información digital referida al panel interactivo con una evaluación a través de preguntas que se mostrarán en forma aleatoria referidas a la especialidad.
El panel se presenta en una caja de cartón corrugado, presenta una etiqueta adhesiva impresa a todo color con la imagen y descripción del panel y sus componentes. Lleva en un lugar visible la autorización sanitaria emitida por DIGESA.
Todas las medidas indicadas presentan una tolerancia de ± 5%.</v>
      </c>
      <c r="J1993" s="213">
        <f>IFERROR(__xludf.DUMMYFUNCTION("""COMPUTED_VALUE"""),3.0)</f>
        <v>3</v>
      </c>
      <c r="K1993" s="213" t="str">
        <f>IFERROR(__xludf.DUMMYFUNCTION("""COMPUTED_VALUE"""),"90 DÍAS CALENDARIO")</f>
        <v>90 DÍAS CALENDARIO</v>
      </c>
      <c r="L1993" s="213" t="str">
        <f>IFERROR(__xludf.DUMMYFUNCTION("""COMPUTED_VALUE"""),"")</f>
        <v/>
      </c>
      <c r="M1993" s="213">
        <f>IFERROR(__xludf.DUMMYFUNCTION("""COMPUTED_VALUE"""),1.0)</f>
        <v>1</v>
      </c>
      <c r="N1993" s="213">
        <f>IFERROR(__xludf.DUMMYFUNCTION("""COMPUTED_VALUE"""),4.0)</f>
        <v>4</v>
      </c>
      <c r="O1993" s="213">
        <f>IFERROR(__xludf.DUMMYFUNCTION("""COMPUTED_VALUE"""),4.0)</f>
        <v>4</v>
      </c>
      <c r="P1993" s="213"/>
      <c r="Q1993" s="213"/>
      <c r="R1993" s="213" t="str">
        <f>IFERROR(__xludf.DUMMYFUNCTION("""COMPUTED_VALUE"""),"SI")</f>
        <v>SI</v>
      </c>
      <c r="S1993" s="213"/>
      <c r="T1993" s="213" t="str">
        <f>IFERROR(__xludf.DUMMYFUNCTION("""COMPUTED_VALUE"""),"CONSULTA FINAL")</f>
        <v>CONSULTA FINAL</v>
      </c>
      <c r="U1993" s="213"/>
      <c r="V1993" s="213" t="str">
        <f>IFERROR(__xludf.DUMMYFUNCTION("""COMPUTED_VALUE"""),"-")</f>
        <v>-</v>
      </c>
      <c r="W1993" s="213" t="str">
        <f>IFERROR(__xludf.DUMMYFUNCTION("""COMPUTED_VALUE"""),"CRÍTICO")</f>
        <v>CRÍTICO</v>
      </c>
      <c r="X1993" s="213" t="str">
        <f>IFERROR(__xludf.DUMMYFUNCTION("""COMPUTED_VALUE"""),"A MEDIDA")</f>
        <v>A MEDIDA</v>
      </c>
      <c r="Y1993" s="213" t="str">
        <f>IFERROR(__xludf.DUMMYFUNCTION("""COMPUTED_VALUE"""),"A MEDIDA")</f>
        <v>A MEDIDA</v>
      </c>
      <c r="Z1993" s="213" t="str">
        <f>IFERROR(__xludf.DUMMYFUNCTION("""COMPUTED_VALUE"""),"A MEDIDA")</f>
        <v>A MEDIDA</v>
      </c>
      <c r="AA1993" s="215" t="str">
        <f>IFERROR(__xludf.DUMMYFUNCTION("""COMPUTED_VALUE"""),"https://docs.google.com/spreadsheets/d/1r068hY1aSP8RL_4ALidY95Fq8hMQzwPJPb2uVSFgab0/edit?gid=0#gid=8")</f>
        <v>https://docs.google.com/spreadsheets/d/1r068hY1aSP8RL_4ALidY95Fq8hMQzwPJPb2uVSFgab0/edit?gid=0#gid=8</v>
      </c>
      <c r="AB1993" s="213"/>
      <c r="AC1993" s="213"/>
      <c r="AD1993" s="213"/>
      <c r="AE1993" s="213"/>
      <c r="AF1993" s="213"/>
      <c r="AG1993" s="213"/>
      <c r="AH1993" s="213"/>
      <c r="AI1993" s="213"/>
      <c r="AJ1993" s="213"/>
      <c r="AK1993" s="213"/>
      <c r="AL1993" s="213"/>
      <c r="AM1993" s="213"/>
      <c r="AN1993" s="213"/>
      <c r="AO1993" s="213"/>
      <c r="AP1993" s="213" t="str">
        <f>IFERROR(__xludf.DUMMYFUNCTION("""COMPUTED_VALUE"""),"SEBASTIAN")</f>
        <v>SEBASTIAN</v>
      </c>
      <c r="AQ1993" s="213"/>
      <c r="AR1993" s="213"/>
      <c r="AS1993" s="213"/>
      <c r="AT1993" s="213"/>
      <c r="AU1993" s="213"/>
      <c r="AV1993" s="213"/>
      <c r="AW1993" s="213"/>
      <c r="AX1993" s="213"/>
      <c r="AY1993" s="213"/>
      <c r="AZ1993" s="213"/>
      <c r="BA1993" s="213"/>
      <c r="BB1993" s="213"/>
      <c r="BC1993" s="213"/>
      <c r="BD1993" s="213"/>
    </row>
    <row r="1994">
      <c r="A1994" s="213">
        <f>IFERROR(__xludf.DUMMYFUNCTION("""COMPUTED_VALUE"""),2374.0)</f>
        <v>2374</v>
      </c>
      <c r="B1994" s="213" t="str">
        <f>IFERROR(__xludf.DUMMYFUNCTION("""COMPUTED_VALUE"""),"MANUEL ANTONIO MESONES MURO")</f>
        <v>MANUEL ANTONIO MESONES MURO</v>
      </c>
      <c r="C1994" s="213" t="str">
        <f>IFERROR(__xludf.DUMMYFUNCTION("""COMPUTED_VALUE"""),"TALLER SFT DE INDUSTRIA DEL VESTIDO")</f>
        <v>TALLER SFT DE INDUSTRIA DEL VESTIDO</v>
      </c>
      <c r="D1994" s="213" t="str">
        <f>IFERROR(__xludf.DUMMYFUNCTION("""COMPUTED_VALUE"""),"PEDAGOGICO")</f>
        <v>PEDAGOGICO</v>
      </c>
      <c r="E1994" s="213" t="str">
        <f>IFERROR(__xludf.DUMMYFUNCTION("""COMPUTED_VALUE"""),"COM-248")</f>
        <v>COM-248</v>
      </c>
      <c r="F1994" s="213" t="str">
        <f>IFERROR(__xludf.DUMMYFUNCTION("""COMPUTED_VALUE"""),"COM-248-Z")</f>
        <v>COM-248-Z</v>
      </c>
      <c r="G1994" s="213"/>
      <c r="H1994" s="213" t="str">
        <f>IFERROR(__xludf.DUMMYFUNCTION("""COMPUTED_VALUE"""),"PANEL INTERACTIVO (MAGNÉTICO)")</f>
        <v>PANEL INTERACTIVO (MAGNÉTICO)</v>
      </c>
      <c r="I1994" s="213" t="str">
        <f>IFERROR(__xludf.DUMMYFUNCTION("""COMPUTED_VALUE"""),"·       01 tablero magnético plegable de 120 x 80 cm. Lleva impreso a todo color un fondo referido a la especialidad. Permite opcionalmente trabajar con plumones.
·       50 figuras imantadas de diferentes maquinarias, equipos y herramientas de la especia"&amp;"lidad. Las figuras son de material magnético flexible y resistente, impresas a todo color, se presentan en bolsa con cierre ziploc.
·       36 tabletas de información e investigación, en foldcote enmicado de tamaño A5, impresas a todo color y enmicadas po"&amp;"r ambos lados.  Se presentan en bolsa de plástico resistente.
·       01 bandeja en plástico poliestireno con dos cavidades en alto y bajo relieve, de 44 x 13 x 3,5 cm de altura. Para el uso y conservación de los accesorios que se usan con el panel intera"&amp;"ctivo.
·       04 plumones en colores variados.
·        Un USB con información digital referida al panel interactivo, con una evaluación a través de preguntas que se mostrarán en forma aleatoria referidas a la especialidad.
·       El panel se presenta e"&amp;"n una caja de cartón corrugado. Tiene una etiqueta adhesiva impresa a todo color con la imagen y descripción del panel y sus componentes. Lleva en un lugar visible la autorización sanitaria emitida por DIGESA.
·       Todas las medidas indicadas presentan"&amp;" una tolerancia de ±5 %.")</f>
        <v>·       01 tablero magnético plegable de 120 x 80 cm. Lleva impreso a todo color un fondo referido a la especialidad. Permite opcionalmente trabajar con plumones.
·       50 figuras imantadas de diferentes maquinarias, equipos y herramientas de la especialidad. Las figuras son de material magnético flexible y resistente, impresas a todo color, se presentan en bolsa con cierre ziploc.
·       36 tabletas de información e investigación, en foldcote enmicado de tamaño A5, impresas a todo color y enmicadas por ambos lados.  Se presentan en bolsa de plástico resistente.
·       01 bandeja en plástico poliestireno con dos cavidades en alto y bajo relieve, de 44 x 13 x 3,5 cm de altura. Para el uso y conservación de los accesorios que se usan con el panel interactivo.
·       04 plumones en colores variados.
·        Un USB con información digital referida al panel interactivo, con una evaluación a través de preguntas que se mostrarán en forma aleatoria referidas a la especialidad.
·       El panel se presenta en una caja de cartón corrugado. Tiene una etiqueta adhesiva impresa a todo color con la imagen y descripción del panel y sus componentes. Lleva en un lugar visible la autorización sanitaria emitida por DIGESA.
·       Todas las medidas indicadas presentan una tolerancia de ±5 %.</v>
      </c>
      <c r="J1994" s="213">
        <f>IFERROR(__xludf.DUMMYFUNCTION("""COMPUTED_VALUE"""),3.0)</f>
        <v>3</v>
      </c>
      <c r="K1994" s="213" t="str">
        <f>IFERROR(__xludf.DUMMYFUNCTION("""COMPUTED_VALUE"""),"90 DÍAS CALENDARIO")</f>
        <v>90 DÍAS CALENDARIO</v>
      </c>
      <c r="L1994" s="213" t="str">
        <f>IFERROR(__xludf.DUMMYFUNCTION("""COMPUTED_VALUE"""),"")</f>
        <v/>
      </c>
      <c r="M1994" s="213">
        <f>IFERROR(__xludf.DUMMYFUNCTION("""COMPUTED_VALUE"""),1.0)</f>
        <v>1</v>
      </c>
      <c r="N1994" s="213">
        <f>IFERROR(__xludf.DUMMYFUNCTION("""COMPUTED_VALUE"""),4.0)</f>
        <v>4</v>
      </c>
      <c r="O1994" s="213">
        <f>IFERROR(__xludf.DUMMYFUNCTION("""COMPUTED_VALUE"""),4.0)</f>
        <v>4</v>
      </c>
      <c r="P1994" s="213"/>
      <c r="Q1994" s="213"/>
      <c r="R1994" s="213" t="str">
        <f>IFERROR(__xludf.DUMMYFUNCTION("""COMPUTED_VALUE"""),"SI")</f>
        <v>SI</v>
      </c>
      <c r="S1994" s="213"/>
      <c r="T1994" s="213" t="str">
        <f>IFERROR(__xludf.DUMMYFUNCTION("""COMPUTED_VALUE"""),"CONSULTA FINAL")</f>
        <v>CONSULTA FINAL</v>
      </c>
      <c r="U1994" s="213"/>
      <c r="V1994" s="213" t="str">
        <f>IFERROR(__xludf.DUMMYFUNCTION("""COMPUTED_VALUE"""),"-")</f>
        <v>-</v>
      </c>
      <c r="W1994" s="213" t="str">
        <f>IFERROR(__xludf.DUMMYFUNCTION("""COMPUTED_VALUE"""),"CRÍTICO")</f>
        <v>CRÍTICO</v>
      </c>
      <c r="X1994" s="213" t="str">
        <f>IFERROR(__xludf.DUMMYFUNCTION("""COMPUTED_VALUE"""),"A MEDIDA")</f>
        <v>A MEDIDA</v>
      </c>
      <c r="Y1994" s="213" t="str">
        <f>IFERROR(__xludf.DUMMYFUNCTION("""COMPUTED_VALUE"""),"A MEDIDA")</f>
        <v>A MEDIDA</v>
      </c>
      <c r="Z1994" s="213" t="str">
        <f>IFERROR(__xludf.DUMMYFUNCTION("""COMPUTED_VALUE"""),"A MEDIDA")</f>
        <v>A MEDIDA</v>
      </c>
      <c r="AA1994" s="215" t="str">
        <f>IFERROR(__xludf.DUMMYFUNCTION("""COMPUTED_VALUE"""),"https://docs.google.com/spreadsheets/d/1r068hY1aSP8RL_4ALidY95Fq8hMQzwPJPb2uVSFgab0/edit?gid=0#gid=9")</f>
        <v>https://docs.google.com/spreadsheets/d/1r068hY1aSP8RL_4ALidY95Fq8hMQzwPJPb2uVSFgab0/edit?gid=0#gid=9</v>
      </c>
      <c r="AB1994" s="213"/>
      <c r="AC1994" s="213"/>
      <c r="AD1994" s="213"/>
      <c r="AE1994" s="213"/>
      <c r="AF1994" s="213"/>
      <c r="AG1994" s="213"/>
      <c r="AH1994" s="213"/>
      <c r="AI1994" s="213"/>
      <c r="AJ1994" s="213"/>
      <c r="AK1994" s="213"/>
      <c r="AL1994" s="213"/>
      <c r="AM1994" s="213"/>
      <c r="AN1994" s="213"/>
      <c r="AO1994" s="213"/>
      <c r="AP1994" s="213" t="str">
        <f>IFERROR(__xludf.DUMMYFUNCTION("""COMPUTED_VALUE"""),"SEBASTIAN")</f>
        <v>SEBASTIAN</v>
      </c>
      <c r="AQ1994" s="213"/>
      <c r="AR1994" s="213"/>
      <c r="AS1994" s="213"/>
      <c r="AT1994" s="213"/>
      <c r="AU1994" s="213"/>
      <c r="AV1994" s="213"/>
      <c r="AW1994" s="213"/>
      <c r="AX1994" s="213"/>
      <c r="AY1994" s="213"/>
      <c r="AZ1994" s="213"/>
      <c r="BA1994" s="213"/>
      <c r="BB1994" s="213"/>
      <c r="BC1994" s="213"/>
      <c r="BD1994" s="213"/>
    </row>
    <row r="1995">
      <c r="A1995" s="213">
        <f>IFERROR(__xludf.DUMMYFUNCTION("""COMPUTED_VALUE"""),358.0)</f>
        <v>358</v>
      </c>
      <c r="B1995" s="213" t="str">
        <f>IFERROR(__xludf.DUMMYFUNCTION("""COMPUTED_VALUE"""),"2026 SIMON BOLIVAR")</f>
        <v>2026 SIMON BOLIVAR</v>
      </c>
      <c r="C1995" s="213" t="str">
        <f>IFERROR(__xludf.DUMMYFUNCTION("""COMPUTED_VALUE"""),"TALLER SFT DE ELECTRICIDAD")</f>
        <v>TALLER SFT DE ELECTRICIDAD</v>
      </c>
      <c r="D1995" s="213" t="str">
        <f>IFERROR(__xludf.DUMMYFUNCTION("""COMPUTED_VALUE"""),"HERRAMIENTAS")</f>
        <v>HERRAMIENTAS</v>
      </c>
      <c r="E1995" s="213" t="str">
        <f>IFERROR(__xludf.DUMMYFUNCTION("""COMPUTED_VALUE"""),"MAT-172")</f>
        <v>MAT-172</v>
      </c>
      <c r="F1995" s="213" t="str">
        <f>IFERROR(__xludf.DUMMYFUNCTION("""COMPUTED_VALUE"""),"MAT-172-Y")</f>
        <v>MAT-172-Y</v>
      </c>
      <c r="G1995" s="213"/>
      <c r="H1995" s="213" t="str">
        <f>IFERROR(__xludf.DUMMYFUNCTION("""COMPUTED_VALUE"""),"PAR DE GUANTES DE ELECTRICISTA")</f>
        <v>PAR DE GUANTES DE ELECTRICISTA</v>
      </c>
      <c r="I1995" s="213" t="str">
        <f>IFERROR(__xludf.DUMMYFUNCTION("""COMPUTED_VALUE"""),"· Guantes de cuero
· Resistencia en procesos de corte.
· Se puede manipular y tener contacto con bordes afilados
· Talla estándar.")</f>
        <v>· Guantes de cuero
· Resistencia en procesos de corte.
· Se puede manipular y tener contacto con bordes afilados
· Talla estándar.</v>
      </c>
      <c r="J1995" s="213">
        <f>IFERROR(__xludf.DUMMYFUNCTION("""COMPUTED_VALUE"""),3.0)</f>
        <v>3</v>
      </c>
      <c r="K1995" s="213" t="str">
        <f>IFERROR(__xludf.DUMMYFUNCTION("""COMPUTED_VALUE"""),"90 DÍAS CALENDARIO")</f>
        <v>90 DÍAS CALENDARIO</v>
      </c>
      <c r="L1995" s="213" t="str">
        <f>IFERROR(__xludf.DUMMYFUNCTION("""COMPUTED_VALUE"""),"")</f>
        <v/>
      </c>
      <c r="M1995" s="213">
        <f>IFERROR(__xludf.DUMMYFUNCTION("""COMPUTED_VALUE"""),1.0)</f>
        <v>1</v>
      </c>
      <c r="N1995" s="213">
        <f>IFERROR(__xludf.DUMMYFUNCTION("""COMPUTED_VALUE"""),4.0)</f>
        <v>4</v>
      </c>
      <c r="O1995" s="213">
        <f>IFERROR(__xludf.DUMMYFUNCTION("""COMPUTED_VALUE"""),4.0)</f>
        <v>4</v>
      </c>
      <c r="P1995" s="213"/>
      <c r="Q1995" s="213"/>
      <c r="R1995" s="213" t="str">
        <f>IFERROR(__xludf.DUMMYFUNCTION("""COMPUTED_VALUE"""),"SI")</f>
        <v>SI</v>
      </c>
      <c r="S1995" s="213"/>
      <c r="T1995" s="213" t="str">
        <f>IFERROR(__xludf.DUMMYFUNCTION("""COMPUTED_VALUE"""),"SI")</f>
        <v>SI</v>
      </c>
      <c r="U1995" s="213" t="str">
        <f>IFERROR(__xludf.DUMMYFUNCTION("""COMPUTED_VALUE"""),"SI")</f>
        <v>SI</v>
      </c>
      <c r="V1995" s="213" t="str">
        <f>IFERROR(__xludf.DUMMYFUNCTION("""COMPUTED_VALUE"""),"-")</f>
        <v>-</v>
      </c>
      <c r="W1995" s="213" t="str">
        <f>IFERROR(__xludf.DUMMYFUNCTION("""COMPUTED_VALUE"""),"-")</f>
        <v>-</v>
      </c>
      <c r="X1995" s="213" t="str">
        <f>IFERROR(__xludf.DUMMYFUNCTION("""COMPUTED_VALUE"""),"TRUPER")</f>
        <v>TRUPER</v>
      </c>
      <c r="Y1995" s="213">
        <f>IFERROR(__xludf.DUMMYFUNCTION("""COMPUTED_VALUE"""),14289.0)</f>
        <v>14289</v>
      </c>
      <c r="Z1995" s="215" t="str">
        <f>IFERROR(__xludf.DUMMYFUNCTION("""COMPUTED_VALUE"""),"https://semca.pe/suministros/herramientas/guante-de-cuero-carnaza-electricista-talla-unica-truper-14289/")</f>
        <v>https://semca.pe/suministros/herramientas/guante-de-cuero-carnaza-electricista-talla-unica-truper-14289/</v>
      </c>
      <c r="AA1995" s="213" t="str">
        <f>IFERROR(__xludf.DUMMYFUNCTION("""COMPUTED_VALUE"""),"MAT-172-Y PAR DE GUANTES DE ELECTRICISTA - CET")</f>
        <v>MAT-172-Y PAR DE GUANTES DE ELECTRICISTA - CET</v>
      </c>
      <c r="AB1995" s="213"/>
      <c r="AC1995" s="213"/>
      <c r="AD1995" s="213"/>
      <c r="AE1995" s="213"/>
      <c r="AF1995" s="213"/>
      <c r="AG1995" s="213"/>
      <c r="AH1995" s="213"/>
      <c r="AI1995" s="213"/>
      <c r="AJ1995" s="213"/>
      <c r="AK1995" s="213"/>
      <c r="AL1995" s="213"/>
      <c r="AM1995" s="213"/>
      <c r="AN1995" s="213"/>
      <c r="AO1995" s="213"/>
      <c r="AP1995" s="213" t="str">
        <f>IFERROR(__xludf.DUMMYFUNCTION("""COMPUTED_VALUE"""),"LUIS")</f>
        <v>LUIS</v>
      </c>
      <c r="AQ1995" s="213"/>
      <c r="AR1995" s="213"/>
      <c r="AS1995" s="213"/>
      <c r="AT1995" s="213"/>
      <c r="AU1995" s="213"/>
      <c r="AV1995" s="213"/>
      <c r="AW1995" s="213"/>
      <c r="AX1995" s="213"/>
      <c r="AY1995" s="213"/>
      <c r="AZ1995" s="213"/>
      <c r="BA1995" s="213"/>
      <c r="BB1995" s="213"/>
      <c r="BC1995" s="213"/>
      <c r="BD1995" s="213"/>
    </row>
    <row r="1996">
      <c r="A1996" s="213">
        <f>IFERROR(__xludf.DUMMYFUNCTION("""COMPUTED_VALUE"""),844.0)</f>
        <v>844</v>
      </c>
      <c r="B1996" s="213" t="str">
        <f>IFERROR(__xludf.DUMMYFUNCTION("""COMPUTED_VALUE"""),"6049 RICARDO PALMA")</f>
        <v>6049 RICARDO PALMA</v>
      </c>
      <c r="C1996" s="213" t="str">
        <f>IFERROR(__xludf.DUMMYFUNCTION("""COMPUTED_VALUE"""),"TALLER SFT DE ELECTRICIDAD")</f>
        <v>TALLER SFT DE ELECTRICIDAD</v>
      </c>
      <c r="D1996" s="213" t="str">
        <f>IFERROR(__xludf.DUMMYFUNCTION("""COMPUTED_VALUE"""),"HERRAMIENTAS")</f>
        <v>HERRAMIENTAS</v>
      </c>
      <c r="E1996" s="213" t="str">
        <f>IFERROR(__xludf.DUMMYFUNCTION("""COMPUTED_VALUE"""),"MAT-172")</f>
        <v>MAT-172</v>
      </c>
      <c r="F1996" s="213" t="str">
        <f>IFERROR(__xludf.DUMMYFUNCTION("""COMPUTED_VALUE"""),"MAT-172-Y")</f>
        <v>MAT-172-Y</v>
      </c>
      <c r="G1996" s="213"/>
      <c r="H1996" s="213" t="str">
        <f>IFERROR(__xludf.DUMMYFUNCTION("""COMPUTED_VALUE"""),"PAR DE GUANTES DE ELECTRICISTA")</f>
        <v>PAR DE GUANTES DE ELECTRICISTA</v>
      </c>
      <c r="I1996" s="213" t="str">
        <f>IFERROR(__xludf.DUMMYFUNCTION("""COMPUTED_VALUE"""),"· Guantes de cuero
· Resistencia en procesos de corte.
· Se puede manipular y tener contacto con bordes afilados
· Talla estándar.")</f>
        <v>· Guantes de cuero
· Resistencia en procesos de corte.
· Se puede manipular y tener contacto con bordes afilados
· Talla estándar.</v>
      </c>
      <c r="J1996" s="213">
        <f>IFERROR(__xludf.DUMMYFUNCTION("""COMPUTED_VALUE"""),3.0)</f>
        <v>3</v>
      </c>
      <c r="K1996" s="213" t="str">
        <f>IFERROR(__xludf.DUMMYFUNCTION("""COMPUTED_VALUE"""),"90 DÍAS CALENDARIO")</f>
        <v>90 DÍAS CALENDARIO</v>
      </c>
      <c r="L1996" s="213" t="str">
        <f>IFERROR(__xludf.DUMMYFUNCTION("""COMPUTED_VALUE"""),"")</f>
        <v/>
      </c>
      <c r="M1996" s="213">
        <f>IFERROR(__xludf.DUMMYFUNCTION("""COMPUTED_VALUE"""),1.0)</f>
        <v>1</v>
      </c>
      <c r="N1996" s="213">
        <f>IFERROR(__xludf.DUMMYFUNCTION("""COMPUTED_VALUE"""),4.0)</f>
        <v>4</v>
      </c>
      <c r="O1996" s="213">
        <f>IFERROR(__xludf.DUMMYFUNCTION("""COMPUTED_VALUE"""),4.0)</f>
        <v>4</v>
      </c>
      <c r="P1996" s="213"/>
      <c r="Q1996" s="213"/>
      <c r="R1996" s="213" t="str">
        <f>IFERROR(__xludf.DUMMYFUNCTION("""COMPUTED_VALUE"""),"SI")</f>
        <v>SI</v>
      </c>
      <c r="S1996" s="213"/>
      <c r="T1996" s="213" t="str">
        <f>IFERROR(__xludf.DUMMYFUNCTION("""COMPUTED_VALUE"""),"SI")</f>
        <v>SI</v>
      </c>
      <c r="U1996" s="213" t="str">
        <f>IFERROR(__xludf.DUMMYFUNCTION("""COMPUTED_VALUE"""),"SI")</f>
        <v>SI</v>
      </c>
      <c r="V1996" s="213" t="str">
        <f>IFERROR(__xludf.DUMMYFUNCTION("""COMPUTED_VALUE"""),"-")</f>
        <v>-</v>
      </c>
      <c r="W1996" s="213" t="str">
        <f>IFERROR(__xludf.DUMMYFUNCTION("""COMPUTED_VALUE"""),"-")</f>
        <v>-</v>
      </c>
      <c r="X1996" s="213" t="str">
        <f>IFERROR(__xludf.DUMMYFUNCTION("""COMPUTED_VALUE"""),"TRUPER")</f>
        <v>TRUPER</v>
      </c>
      <c r="Y1996" s="213">
        <f>IFERROR(__xludf.DUMMYFUNCTION("""COMPUTED_VALUE"""),14289.0)</f>
        <v>14289</v>
      </c>
      <c r="Z1996" s="215" t="str">
        <f>IFERROR(__xludf.DUMMYFUNCTION("""COMPUTED_VALUE"""),"https://semca.pe/suministros/herramientas/guante-de-cuero-carnaza-electricista-talla-unica-truper-14289/")</f>
        <v>https://semca.pe/suministros/herramientas/guante-de-cuero-carnaza-electricista-talla-unica-truper-14289/</v>
      </c>
      <c r="AA1996" s="213" t="str">
        <f>IFERROR(__xludf.DUMMYFUNCTION("""COMPUTED_VALUE"""),"MAT-172-Y PAR DE GUANTES DE ELECTRICISTA - CET")</f>
        <v>MAT-172-Y PAR DE GUANTES DE ELECTRICISTA - CET</v>
      </c>
      <c r="AB1996" s="213"/>
      <c r="AC1996" s="213"/>
      <c r="AD1996" s="213"/>
      <c r="AE1996" s="213"/>
      <c r="AF1996" s="213"/>
      <c r="AG1996" s="213"/>
      <c r="AH1996" s="213"/>
      <c r="AI1996" s="213"/>
      <c r="AJ1996" s="213"/>
      <c r="AK1996" s="213"/>
      <c r="AL1996" s="213"/>
      <c r="AM1996" s="213"/>
      <c r="AN1996" s="213"/>
      <c r="AO1996" s="213"/>
      <c r="AP1996" s="213" t="str">
        <f>IFERROR(__xludf.DUMMYFUNCTION("""COMPUTED_VALUE"""),"LUIS")</f>
        <v>LUIS</v>
      </c>
      <c r="AQ1996" s="213"/>
      <c r="AR1996" s="213"/>
      <c r="AS1996" s="213"/>
      <c r="AT1996" s="213"/>
      <c r="AU1996" s="213"/>
      <c r="AV1996" s="213"/>
      <c r="AW1996" s="213"/>
      <c r="AX1996" s="213"/>
      <c r="AY1996" s="213"/>
      <c r="AZ1996" s="213"/>
      <c r="BA1996" s="213"/>
      <c r="BB1996" s="213"/>
      <c r="BC1996" s="213"/>
      <c r="BD1996" s="213"/>
    </row>
    <row r="1997">
      <c r="A1997" s="213">
        <f>IFERROR(__xludf.DUMMYFUNCTION("""COMPUTED_VALUE"""),1266.0)</f>
        <v>1266</v>
      </c>
      <c r="B1997" s="213" t="str">
        <f>IFERROR(__xludf.DUMMYFUNCTION("""COMPUTED_VALUE"""),"GUILLERMO E. BILLINGHURST ")</f>
        <v>GUILLERMO E. BILLINGHURST </v>
      </c>
      <c r="C1997" s="213" t="str">
        <f>IFERROR(__xludf.DUMMYFUNCTION("""COMPUTED_VALUE"""),"TALLER SFT DE ELECTRICIDAD")</f>
        <v>TALLER SFT DE ELECTRICIDAD</v>
      </c>
      <c r="D1997" s="213" t="str">
        <f>IFERROR(__xludf.DUMMYFUNCTION("""COMPUTED_VALUE"""),"HERRAMIENTAS")</f>
        <v>HERRAMIENTAS</v>
      </c>
      <c r="E1997" s="213" t="str">
        <f>IFERROR(__xludf.DUMMYFUNCTION("""COMPUTED_VALUE"""),"MAT-172")</f>
        <v>MAT-172</v>
      </c>
      <c r="F1997" s="213" t="str">
        <f>IFERROR(__xludf.DUMMYFUNCTION("""COMPUTED_VALUE"""),"MAT-172-Y")</f>
        <v>MAT-172-Y</v>
      </c>
      <c r="G1997" s="213"/>
      <c r="H1997" s="213" t="str">
        <f>IFERROR(__xludf.DUMMYFUNCTION("""COMPUTED_VALUE"""),"PAR DE GUANTES DE ELECTRICISTA")</f>
        <v>PAR DE GUANTES DE ELECTRICISTA</v>
      </c>
      <c r="I1997" s="213" t="str">
        <f>IFERROR(__xludf.DUMMYFUNCTION("""COMPUTED_VALUE"""),"· Guantes de cuero
· Resistencia en procesos de corte.
· Se puede manipular y tener contacto con bordes afilados
· Talla estándar.")</f>
        <v>· Guantes de cuero
· Resistencia en procesos de corte.
· Se puede manipular y tener contacto con bordes afilados
· Talla estándar.</v>
      </c>
      <c r="J1997" s="213">
        <f>IFERROR(__xludf.DUMMYFUNCTION("""COMPUTED_VALUE"""),3.0)</f>
        <v>3</v>
      </c>
      <c r="K1997" s="213" t="str">
        <f>IFERROR(__xludf.DUMMYFUNCTION("""COMPUTED_VALUE"""),"90 DÍAS CALENDARIO")</f>
        <v>90 DÍAS CALENDARIO</v>
      </c>
      <c r="L1997" s="213" t="str">
        <f>IFERROR(__xludf.DUMMYFUNCTION("""COMPUTED_VALUE"""),"")</f>
        <v/>
      </c>
      <c r="M1997" s="213">
        <f>IFERROR(__xludf.DUMMYFUNCTION("""COMPUTED_VALUE"""),1.0)</f>
        <v>1</v>
      </c>
      <c r="N1997" s="213">
        <f>IFERROR(__xludf.DUMMYFUNCTION("""COMPUTED_VALUE"""),4.0)</f>
        <v>4</v>
      </c>
      <c r="O1997" s="213">
        <f>IFERROR(__xludf.DUMMYFUNCTION("""COMPUTED_VALUE"""),4.0)</f>
        <v>4</v>
      </c>
      <c r="P1997" s="213"/>
      <c r="Q1997" s="213"/>
      <c r="R1997" s="213" t="str">
        <f>IFERROR(__xludf.DUMMYFUNCTION("""COMPUTED_VALUE"""),"SI")</f>
        <v>SI</v>
      </c>
      <c r="S1997" s="213"/>
      <c r="T1997" s="213" t="str">
        <f>IFERROR(__xludf.DUMMYFUNCTION("""COMPUTED_VALUE"""),"SI")</f>
        <v>SI</v>
      </c>
      <c r="U1997" s="213" t="str">
        <f>IFERROR(__xludf.DUMMYFUNCTION("""COMPUTED_VALUE"""),"SI")</f>
        <v>SI</v>
      </c>
      <c r="V1997" s="213" t="str">
        <f>IFERROR(__xludf.DUMMYFUNCTION("""COMPUTED_VALUE"""),"-")</f>
        <v>-</v>
      </c>
      <c r="W1997" s="213" t="str">
        <f>IFERROR(__xludf.DUMMYFUNCTION("""COMPUTED_VALUE"""),"-")</f>
        <v>-</v>
      </c>
      <c r="X1997" s="213" t="str">
        <f>IFERROR(__xludf.DUMMYFUNCTION("""COMPUTED_VALUE"""),"TRUPER")</f>
        <v>TRUPER</v>
      </c>
      <c r="Y1997" s="213">
        <f>IFERROR(__xludf.DUMMYFUNCTION("""COMPUTED_VALUE"""),14289.0)</f>
        <v>14289</v>
      </c>
      <c r="Z1997" s="215" t="str">
        <f>IFERROR(__xludf.DUMMYFUNCTION("""COMPUTED_VALUE"""),"https://semca.pe/suministros/herramientas/guante-de-cuero-carnaza-electricista-talla-unica-truper-14289/")</f>
        <v>https://semca.pe/suministros/herramientas/guante-de-cuero-carnaza-electricista-talla-unica-truper-14289/</v>
      </c>
      <c r="AA1997" s="213" t="str">
        <f>IFERROR(__xludf.DUMMYFUNCTION("""COMPUTED_VALUE"""),"MAT-172-Y PAR DE GUANTES DE ELECTRICISTA - CET")</f>
        <v>MAT-172-Y PAR DE GUANTES DE ELECTRICISTA - CET</v>
      </c>
      <c r="AB1997" s="213"/>
      <c r="AC1997" s="213"/>
      <c r="AD1997" s="213"/>
      <c r="AE1997" s="213"/>
      <c r="AF1997" s="213"/>
      <c r="AG1997" s="213"/>
      <c r="AH1997" s="213"/>
      <c r="AI1997" s="213"/>
      <c r="AJ1997" s="213"/>
      <c r="AK1997" s="213"/>
      <c r="AL1997" s="213"/>
      <c r="AM1997" s="213"/>
      <c r="AN1997" s="213"/>
      <c r="AO1997" s="213"/>
      <c r="AP1997" s="213" t="str">
        <f>IFERROR(__xludf.DUMMYFUNCTION("""COMPUTED_VALUE"""),"LUIS")</f>
        <v>LUIS</v>
      </c>
      <c r="AQ1997" s="213"/>
      <c r="AR1997" s="213"/>
      <c r="AS1997" s="213"/>
      <c r="AT1997" s="213"/>
      <c r="AU1997" s="213"/>
      <c r="AV1997" s="213"/>
      <c r="AW1997" s="213"/>
      <c r="AX1997" s="213"/>
      <c r="AY1997" s="213"/>
      <c r="AZ1997" s="213"/>
      <c r="BA1997" s="213"/>
      <c r="BB1997" s="213"/>
      <c r="BC1997" s="213"/>
      <c r="BD1997" s="213"/>
    </row>
    <row r="1998">
      <c r="A1998" s="213">
        <f>IFERROR(__xludf.DUMMYFUNCTION("""COMPUTED_VALUE"""),224.0)</f>
        <v>224</v>
      </c>
      <c r="B1998" s="213" t="str">
        <f>IFERROR(__xludf.DUMMYFUNCTION("""COMPUTED_VALUE"""),"2026 SIMON BOLIVAR")</f>
        <v>2026 SIMON BOLIVAR</v>
      </c>
      <c r="C1998" s="213" t="str">
        <f>IFERROR(__xludf.DUMMYFUNCTION("""COMPUTED_VALUE"""),"TALLER SFT DE INDUSTRIA DEL VESTIDO")</f>
        <v>TALLER SFT DE INDUSTRIA DEL VESTIDO</v>
      </c>
      <c r="D1998" s="213" t="str">
        <f>IFERROR(__xludf.DUMMYFUNCTION("""COMPUTED_VALUE"""),"HERRAMIENTAS")</f>
        <v>HERRAMIENTAS</v>
      </c>
      <c r="E1998" s="213" t="str">
        <f>IFERROR(__xludf.DUMMYFUNCTION("""COMPUTED_VALUE"""),"MAT-174")</f>
        <v>MAT-174</v>
      </c>
      <c r="F1998" s="213" t="str">
        <f>IFERROR(__xludf.DUMMYFUNCTION("""COMPUTED_VALUE"""),"MAT-174")</f>
        <v>MAT-174</v>
      </c>
      <c r="G1998" s="213"/>
      <c r="H1998" s="213" t="str">
        <f>IFERROR(__xludf.DUMMYFUNCTION("""COMPUTED_VALUE"""),"GUANTE DE MALLA METÁLICA")</f>
        <v>GUANTE DE MALLA METÁLICA</v>
      </c>
      <c r="I1998" s="213" t="str">
        <f>IFERROR(__xludf.DUMMYFUNCTION("""COMPUTED_VALUE"""),"·      Guante de malla metálica con correa textil  reversible, de máxima protección contra cortes.
·      Sirve para las dos manos, tanto derecha como izquierda.
·      Tamaño estándar.")</f>
        <v>·      Guante de malla metálica con correa textil  reversible, de máxima protección contra cortes.
·      Sirve para las dos manos, tanto derecha como izquierda.
·      Tamaño estándar.</v>
      </c>
      <c r="J1998" s="213">
        <f>IFERROR(__xludf.DUMMYFUNCTION("""COMPUTED_VALUE"""),3.0)</f>
        <v>3</v>
      </c>
      <c r="K1998" s="213" t="str">
        <f>IFERROR(__xludf.DUMMYFUNCTION("""COMPUTED_VALUE"""),"90 DÍAS CALENDARIO")</f>
        <v>90 DÍAS CALENDARIO</v>
      </c>
      <c r="L1998" s="213" t="str">
        <f>IFERROR(__xludf.DUMMYFUNCTION("""COMPUTED_VALUE"""),"")</f>
        <v/>
      </c>
      <c r="M1998" s="213">
        <f>IFERROR(__xludf.DUMMYFUNCTION("""COMPUTED_VALUE"""),1.0)</f>
        <v>1</v>
      </c>
      <c r="N1998" s="213">
        <f>IFERROR(__xludf.DUMMYFUNCTION("""COMPUTED_VALUE"""),20.0)</f>
        <v>20</v>
      </c>
      <c r="O1998" s="213">
        <f>IFERROR(__xludf.DUMMYFUNCTION("""COMPUTED_VALUE"""),20.0)</f>
        <v>20</v>
      </c>
      <c r="P1998" s="213"/>
      <c r="Q1998" s="213"/>
      <c r="R1998" s="213" t="str">
        <f>IFERROR(__xludf.DUMMYFUNCTION("""COMPUTED_VALUE"""),"SI")</f>
        <v>SI</v>
      </c>
      <c r="S1998" s="213"/>
      <c r="T1998" s="213" t="str">
        <f>IFERROR(__xludf.DUMMYFUNCTION("""COMPUTED_VALUE"""),"SI")</f>
        <v>SI</v>
      </c>
      <c r="U1998" s="213" t="str">
        <f>IFERROR(__xludf.DUMMYFUNCTION("""COMPUTED_VALUE"""),"SI")</f>
        <v>SI</v>
      </c>
      <c r="V1998" s="213" t="str">
        <f>IFERROR(__xludf.DUMMYFUNCTION("""COMPUTED_VALUE"""),"-")</f>
        <v>-</v>
      </c>
      <c r="W1998" s="213" t="str">
        <f>IFERROR(__xludf.DUMMYFUNCTION("""COMPUTED_VALUE"""),"-")</f>
        <v>-</v>
      </c>
      <c r="X1998" s="213" t="str">
        <f>IFERROR(__xludf.DUMMYFUNCTION("""COMPUTED_VALUE"""),"ARCLIBER")</f>
        <v>ARCLIBER</v>
      </c>
      <c r="Y1998" s="213" t="str">
        <f>IFERROR(__xludf.DUMMYFUNCTION("""COMPUTED_VALUE"""),"Nivel 9 Guante")</f>
        <v>Nivel 9 Guante</v>
      </c>
      <c r="Z1998" s="215" t="str">
        <f>IFERROR(__xludf.DUMMYFUNCTION("""COMPUTED_VALUE"""),"https://articulo.mercadolibre.com.pe/MPE-669557120-guante-resistente-arcliber-a-cortes-nivel-9-de-malla-_JM")</f>
        <v>https://articulo.mercadolibre.com.pe/MPE-669557120-guante-resistente-arcliber-a-cortes-nivel-9-de-malla-_JM</v>
      </c>
      <c r="AA1998" s="213" t="str">
        <f>IFERROR(__xludf.DUMMYFUNCTION("""COMPUTED_VALUE"""),"MAT-174 GUANTE DE MALLA METÁLICA - CET")</f>
        <v>MAT-174 GUANTE DE MALLA METÁLICA - CET</v>
      </c>
      <c r="AB1998" s="213"/>
      <c r="AC1998" s="215" t="str">
        <f>IFERROR(__xludf.DUMMYFUNCTION("""COMPUTED_VALUE"""),"https://drive.google.com/file/d/1smsejWelbeeNm5m84h0CXELJAnFS_E23/view?usp=sharing")</f>
        <v>https://drive.google.com/file/d/1smsejWelbeeNm5m84h0CXELJAnFS_E23/view?usp=sharing</v>
      </c>
      <c r="AD1998" s="213"/>
      <c r="AE1998" s="213"/>
      <c r="AF1998" s="213"/>
      <c r="AG1998" s="213"/>
      <c r="AH1998" s="213" t="str">
        <f>IFERROR(__xludf.DUMMYFUNCTION("""COMPUTED_VALUE"""),"IMPORTADO")</f>
        <v>IMPORTADO</v>
      </c>
      <c r="AI1998" s="213"/>
      <c r="AJ1998" s="213"/>
      <c r="AK1998" s="213"/>
      <c r="AL1998" s="213"/>
      <c r="AM1998" s="213"/>
      <c r="AN1998" s="213"/>
      <c r="AO1998" s="213"/>
      <c r="AP1998" s="213" t="str">
        <f>IFERROR(__xludf.DUMMYFUNCTION("""COMPUTED_VALUE"""),"SEBASTIAN")</f>
        <v>SEBASTIAN</v>
      </c>
      <c r="AQ1998" s="213"/>
      <c r="AR1998" s="213"/>
      <c r="AS1998" s="213">
        <f>IFERROR(__xludf.DUMMYFUNCTION("""COMPUTED_VALUE"""),0.0)</f>
        <v>0</v>
      </c>
      <c r="AT1998" s="213"/>
      <c r="AU1998" s="213"/>
      <c r="AV1998" s="213"/>
      <c r="AW1998" s="213"/>
      <c r="AX1998" s="213"/>
      <c r="AY1998" s="213"/>
      <c r="AZ1998" s="213"/>
      <c r="BA1998" s="213"/>
      <c r="BB1998" s="213"/>
      <c r="BC1998" s="213"/>
      <c r="BD1998" s="213"/>
    </row>
    <row r="1999">
      <c r="A1999" s="213">
        <f>IFERROR(__xludf.DUMMYFUNCTION("""COMPUTED_VALUE"""),2398.0)</f>
        <v>2398</v>
      </c>
      <c r="B1999" s="213" t="str">
        <f>IFERROR(__xludf.DUMMYFUNCTION("""COMPUTED_VALUE"""),"MANUEL ANTONIO MESONES MURO")</f>
        <v>MANUEL ANTONIO MESONES MURO</v>
      </c>
      <c r="C1999" s="213" t="str">
        <f>IFERROR(__xludf.DUMMYFUNCTION("""COMPUTED_VALUE"""),"TALLER SFT DE INDUSTRIA DEL VESTIDO")</f>
        <v>TALLER SFT DE INDUSTRIA DEL VESTIDO</v>
      </c>
      <c r="D1999" s="213" t="str">
        <f>IFERROR(__xludf.DUMMYFUNCTION("""COMPUTED_VALUE"""),"HERRAMIENTAS")</f>
        <v>HERRAMIENTAS</v>
      </c>
      <c r="E1999" s="213" t="str">
        <f>IFERROR(__xludf.DUMMYFUNCTION("""COMPUTED_VALUE"""),"MAT-174")</f>
        <v>MAT-174</v>
      </c>
      <c r="F1999" s="213" t="str">
        <f>IFERROR(__xludf.DUMMYFUNCTION("""COMPUTED_VALUE"""),"MAT-174")</f>
        <v>MAT-174</v>
      </c>
      <c r="G1999" s="213"/>
      <c r="H1999" s="213" t="str">
        <f>IFERROR(__xludf.DUMMYFUNCTION("""COMPUTED_VALUE"""),"GUANTE DE MALLA METÁLICA")</f>
        <v>GUANTE DE MALLA METÁLICA</v>
      </c>
      <c r="I1999" s="213" t="str">
        <f>IFERROR(__xludf.DUMMYFUNCTION("""COMPUTED_VALUE"""),"·      Guante de malla metálica con correa textil  reversible, de máxima protección contra cortes.
·      Sirve para las dos manos, tanto derecha como izquierda.
·      Tamaño estándar.")</f>
        <v>·      Guante de malla metálica con correa textil  reversible, de máxima protección contra cortes.
·      Sirve para las dos manos, tanto derecha como izquierda.
·      Tamaño estándar.</v>
      </c>
      <c r="J1999" s="213">
        <f>IFERROR(__xludf.DUMMYFUNCTION("""COMPUTED_VALUE"""),3.0)</f>
        <v>3</v>
      </c>
      <c r="K1999" s="213" t="str">
        <f>IFERROR(__xludf.DUMMYFUNCTION("""COMPUTED_VALUE"""),"90 DÍAS CALENDARIO")</f>
        <v>90 DÍAS CALENDARIO</v>
      </c>
      <c r="L1999" s="213" t="str">
        <f>IFERROR(__xludf.DUMMYFUNCTION("""COMPUTED_VALUE"""),"")</f>
        <v/>
      </c>
      <c r="M1999" s="213">
        <f>IFERROR(__xludf.DUMMYFUNCTION("""COMPUTED_VALUE"""),1.0)</f>
        <v>1</v>
      </c>
      <c r="N1999" s="213">
        <f>IFERROR(__xludf.DUMMYFUNCTION("""COMPUTED_VALUE"""),20.0)</f>
        <v>20</v>
      </c>
      <c r="O1999" s="213">
        <f>IFERROR(__xludf.DUMMYFUNCTION("""COMPUTED_VALUE"""),20.0)</f>
        <v>20</v>
      </c>
      <c r="P1999" s="213"/>
      <c r="Q1999" s="213"/>
      <c r="R1999" s="213" t="str">
        <f>IFERROR(__xludf.DUMMYFUNCTION("""COMPUTED_VALUE"""),"SI")</f>
        <v>SI</v>
      </c>
      <c r="S1999" s="213"/>
      <c r="T1999" s="213" t="str">
        <f>IFERROR(__xludf.DUMMYFUNCTION("""COMPUTED_VALUE"""),"SI")</f>
        <v>SI</v>
      </c>
      <c r="U1999" s="213" t="str">
        <f>IFERROR(__xludf.DUMMYFUNCTION("""COMPUTED_VALUE"""),"SI")</f>
        <v>SI</v>
      </c>
      <c r="V1999" s="213" t="str">
        <f>IFERROR(__xludf.DUMMYFUNCTION("""COMPUTED_VALUE"""),"-")</f>
        <v>-</v>
      </c>
      <c r="W1999" s="213" t="str">
        <f>IFERROR(__xludf.DUMMYFUNCTION("""COMPUTED_VALUE"""),"-")</f>
        <v>-</v>
      </c>
      <c r="X1999" s="213" t="str">
        <f>IFERROR(__xludf.DUMMYFUNCTION("""COMPUTED_VALUE"""),"ARCLIBER")</f>
        <v>ARCLIBER</v>
      </c>
      <c r="Y1999" s="213" t="str">
        <f>IFERROR(__xludf.DUMMYFUNCTION("""COMPUTED_VALUE"""),"Nivel 9 Guante")</f>
        <v>Nivel 9 Guante</v>
      </c>
      <c r="Z1999" s="215" t="str">
        <f>IFERROR(__xludf.DUMMYFUNCTION("""COMPUTED_VALUE"""),"https://articulo.mercadolibre.com.pe/MPE-669557120-guante-resistente-arcliber-a-cortes-nivel-9-de-malla-_JM")</f>
        <v>https://articulo.mercadolibre.com.pe/MPE-669557120-guante-resistente-arcliber-a-cortes-nivel-9-de-malla-_JM</v>
      </c>
      <c r="AA1999" s="213" t="str">
        <f>IFERROR(__xludf.DUMMYFUNCTION("""COMPUTED_VALUE"""),"MAT-174 GUANTE DE MALLA METÁLICA - CET")</f>
        <v>MAT-174 GUANTE DE MALLA METÁLICA - CET</v>
      </c>
      <c r="AB1999" s="213"/>
      <c r="AC1999" s="215" t="str">
        <f>IFERROR(__xludf.DUMMYFUNCTION("""COMPUTED_VALUE"""),"https://drive.google.com/file/d/1smsejWelbeeNm5m84h0CXELJAnFS_E23/view?usp=sharing")</f>
        <v>https://drive.google.com/file/d/1smsejWelbeeNm5m84h0CXELJAnFS_E23/view?usp=sharing</v>
      </c>
      <c r="AD1999" s="213"/>
      <c r="AE1999" s="213"/>
      <c r="AF1999" s="213"/>
      <c r="AG1999" s="213"/>
      <c r="AH1999" s="213" t="str">
        <f>IFERROR(__xludf.DUMMYFUNCTION("""COMPUTED_VALUE"""),"IMPORTADO")</f>
        <v>IMPORTADO</v>
      </c>
      <c r="AI1999" s="213"/>
      <c r="AJ1999" s="213"/>
      <c r="AK1999" s="213"/>
      <c r="AL1999" s="213"/>
      <c r="AM1999" s="213"/>
      <c r="AN1999" s="213"/>
      <c r="AO1999" s="213"/>
      <c r="AP1999" s="213" t="str">
        <f>IFERROR(__xludf.DUMMYFUNCTION("""COMPUTED_VALUE"""),"SEBASTIAN")</f>
        <v>SEBASTIAN</v>
      </c>
      <c r="AQ1999" s="213"/>
      <c r="AR1999" s="213"/>
      <c r="AS1999" s="213">
        <f>IFERROR(__xludf.DUMMYFUNCTION("""COMPUTED_VALUE"""),0.0)</f>
        <v>0</v>
      </c>
      <c r="AT1999" s="213"/>
      <c r="AU1999" s="213"/>
      <c r="AV1999" s="213"/>
      <c r="AW1999" s="213"/>
      <c r="AX1999" s="213"/>
      <c r="AY1999" s="213"/>
      <c r="AZ1999" s="213"/>
      <c r="BA1999" s="213"/>
      <c r="BB1999" s="213"/>
      <c r="BC1999" s="213"/>
      <c r="BD1999" s="213"/>
    </row>
    <row r="2000">
      <c r="A2000" s="213">
        <f>IFERROR(__xludf.DUMMYFUNCTION("""COMPUTED_VALUE"""),926.0)</f>
        <v>926</v>
      </c>
      <c r="B2000" s="213" t="str">
        <f>IFERROR(__xludf.DUMMYFUNCTION("""COMPUTED_VALUE"""),"FRANCISCO IRAZOLA")</f>
        <v>FRANCISCO IRAZOLA</v>
      </c>
      <c r="C2000" s="213" t="str">
        <f>IFERROR(__xludf.DUMMYFUNCTION("""COMPUTED_VALUE"""),"TALLER SFT DE MECÁNICA AUTOMOTRIZ")</f>
        <v>TALLER SFT DE MECÁNICA AUTOMOTRIZ</v>
      </c>
      <c r="D2000" s="213" t="str">
        <f>IFERROR(__xludf.DUMMYFUNCTION("""COMPUTED_VALUE"""),"HERRAMIENTAS")</f>
        <v>HERRAMIENTAS</v>
      </c>
      <c r="E2000" s="213" t="str">
        <f>IFERROR(__xludf.DUMMYFUNCTION("""COMPUTED_VALUE"""),"MAT-175")</f>
        <v>MAT-175</v>
      </c>
      <c r="F2000" s="213" t="str">
        <f>IFERROR(__xludf.DUMMYFUNCTION("""COMPUTED_VALUE"""),"MAT-175")</f>
        <v>MAT-175</v>
      </c>
      <c r="G2000" s="213"/>
      <c r="H2000" s="213" t="str">
        <f>IFERROR(__xludf.DUMMYFUNCTION("""COMPUTED_VALUE"""),"GUANTES DE MECÁNICO")</f>
        <v>GUANTES DE MECÁNICO</v>
      </c>
      <c r="I2000" s="213" t="str">
        <f>IFERROR(__xludf.DUMMYFUNCTION("""COMPUTED_VALUE"""),"Proteccion contra riesgos mecanicos y termicos elevadas
Material de Fibra de grafeno y palma recubierta de microespuma de nitrilo Talla M")</f>
        <v>Proteccion contra riesgos mecanicos y termicos elevadas
Material de Fibra de grafeno y palma recubierta de microespuma de nitrilo Talla M</v>
      </c>
      <c r="J2000" s="213">
        <f>IFERROR(__xludf.DUMMYFUNCTION("""COMPUTED_VALUE"""),3.0)</f>
        <v>3</v>
      </c>
      <c r="K2000" s="213" t="str">
        <f>IFERROR(__xludf.DUMMYFUNCTION("""COMPUTED_VALUE"""),"90 DÍAS CALENDARIO")</f>
        <v>90 DÍAS CALENDARIO</v>
      </c>
      <c r="L2000" s="213" t="str">
        <f>IFERROR(__xludf.DUMMYFUNCTION("""COMPUTED_VALUE"""),"")</f>
        <v/>
      </c>
      <c r="M2000" s="213">
        <f>IFERROR(__xludf.DUMMYFUNCTION("""COMPUTED_VALUE"""),1.0)</f>
        <v>1</v>
      </c>
      <c r="N2000" s="213">
        <f>IFERROR(__xludf.DUMMYFUNCTION("""COMPUTED_VALUE"""),21.0)</f>
        <v>21</v>
      </c>
      <c r="O2000" s="213">
        <f>IFERROR(__xludf.DUMMYFUNCTION("""COMPUTED_VALUE"""),21.0)</f>
        <v>21</v>
      </c>
      <c r="P2000" s="213"/>
      <c r="Q2000" s="213"/>
      <c r="R2000" s="213" t="str">
        <f>IFERROR(__xludf.DUMMYFUNCTION("""COMPUTED_VALUE"""),"SI")</f>
        <v>SI</v>
      </c>
      <c r="S2000" s="213"/>
      <c r="T2000" s="213" t="str">
        <f>IFERROR(__xludf.DUMMYFUNCTION("""COMPUTED_VALUE"""),"SI")</f>
        <v>SI</v>
      </c>
      <c r="U2000" s="213" t="str">
        <f>IFERROR(__xludf.DUMMYFUNCTION("""COMPUTED_VALUE"""),"SI")</f>
        <v>SI</v>
      </c>
      <c r="V2000" s="213" t="str">
        <f>IFERROR(__xludf.DUMMYFUNCTION("""COMPUTED_VALUE"""),"-")</f>
        <v>-</v>
      </c>
      <c r="W2000" s="213" t="str">
        <f>IFERROR(__xludf.DUMMYFUNCTION("""COMPUTED_VALUE"""),"-")</f>
        <v>-</v>
      </c>
      <c r="X2000" s="213" t="str">
        <f>IFERROR(__xludf.DUMMYFUNCTION("""COMPUTED_VALUE"""),"KYORENE")</f>
        <v>KYORENE</v>
      </c>
      <c r="Y2000" s="213" t="str">
        <f>IFERROR(__xludf.DUMMYFUNCTION("""COMPUTED_VALUE"""),"serie 01-501")</f>
        <v>serie 01-501</v>
      </c>
      <c r="Z2000" s="215" t="str">
        <f>IFERROR(__xludf.DUMMYFUNCTION("""COMPUTED_VALUE"""),"https://es.rs-online.com/web/p/guantes-de-trabajo/2878037")</f>
        <v>https://es.rs-online.com/web/p/guantes-de-trabajo/2878037</v>
      </c>
      <c r="AA2000" s="213" t="str">
        <f>IFERROR(__xludf.DUMMYFUNCTION("""COMPUTED_VALUE"""),"MAT-175 GUANTES DE MECANICO - CET")</f>
        <v>MAT-175 GUANTES DE MECANICO - CET</v>
      </c>
      <c r="AB2000" s="213"/>
      <c r="AC2000" s="215" t="str">
        <f>IFERROR(__xludf.DUMMYFUNCTION("""COMPUTED_VALUE"""),"https://drive.google.com/file/d/11F5R4ypTdmhmmiHiHWjqwfRy0lUyv9oY/view?usp=sharing")</f>
        <v>https://drive.google.com/file/d/11F5R4ypTdmhmmiHiHWjqwfRy0lUyv9oY/view?usp=sharing</v>
      </c>
      <c r="AD2000" s="213"/>
      <c r="AE2000" s="213"/>
      <c r="AF2000" s="213"/>
      <c r="AG2000" s="213"/>
      <c r="AH2000" s="213" t="str">
        <f>IFERROR(__xludf.DUMMYFUNCTION("""COMPUTED_VALUE"""),"IMPORTADO")</f>
        <v>IMPORTADO</v>
      </c>
      <c r="AI2000" s="213"/>
      <c r="AJ2000" s="213"/>
      <c r="AK2000" s="213"/>
      <c r="AL2000" s="213"/>
      <c r="AM2000" s="213"/>
      <c r="AN2000" s="213"/>
      <c r="AO2000" s="213"/>
      <c r="AP2000" s="213" t="str">
        <f>IFERROR(__xludf.DUMMYFUNCTION("""COMPUTED_VALUE"""),"LUIS")</f>
        <v>LUIS</v>
      </c>
      <c r="AQ2000" s="213"/>
      <c r="AR2000" s="213"/>
      <c r="AS2000" s="213"/>
      <c r="AT2000" s="213"/>
      <c r="AU2000" s="213"/>
      <c r="AV2000" s="213"/>
      <c r="AW2000" s="213"/>
      <c r="AX2000" s="213"/>
      <c r="AY2000" s="213"/>
      <c r="AZ2000" s="213"/>
      <c r="BA2000" s="213"/>
      <c r="BB2000" s="213"/>
      <c r="BC2000" s="213"/>
      <c r="BD2000" s="213"/>
    </row>
    <row r="2001">
      <c r="A2001" s="213">
        <f>IFERROR(__xludf.DUMMYFUNCTION("""COMPUTED_VALUE"""),1527.0)</f>
        <v>1527</v>
      </c>
      <c r="B2001" s="213" t="str">
        <f>IFERROR(__xludf.DUMMYFUNCTION("""COMPUTED_VALUE"""),"GUILLERMO E. BILLINGHURST ")</f>
        <v>GUILLERMO E. BILLINGHURST </v>
      </c>
      <c r="C2001" s="213" t="str">
        <f>IFERROR(__xludf.DUMMYFUNCTION("""COMPUTED_VALUE"""),"TALLER SFT DE MECÁNICA AUTOMOTRIZ")</f>
        <v>TALLER SFT DE MECÁNICA AUTOMOTRIZ</v>
      </c>
      <c r="D2001" s="213" t="str">
        <f>IFERROR(__xludf.DUMMYFUNCTION("""COMPUTED_VALUE"""),"HERRAMIENTAS")</f>
        <v>HERRAMIENTAS</v>
      </c>
      <c r="E2001" s="213" t="str">
        <f>IFERROR(__xludf.DUMMYFUNCTION("""COMPUTED_VALUE"""),"MAT-175")</f>
        <v>MAT-175</v>
      </c>
      <c r="F2001" s="213" t="str">
        <f>IFERROR(__xludf.DUMMYFUNCTION("""COMPUTED_VALUE"""),"MAT-175")</f>
        <v>MAT-175</v>
      </c>
      <c r="G2001" s="213"/>
      <c r="H2001" s="213" t="str">
        <f>IFERROR(__xludf.DUMMYFUNCTION("""COMPUTED_VALUE"""),"GUANTES DE MECÁNICO")</f>
        <v>GUANTES DE MECÁNICO</v>
      </c>
      <c r="I2001" s="213" t="str">
        <f>IFERROR(__xludf.DUMMYFUNCTION("""COMPUTED_VALUE"""),"Proteccion contra riesgos mecanicos y termicos elevadas
Material de Fibra de grafeno y palma recubierta de microespuma de nitrilo Talla M")</f>
        <v>Proteccion contra riesgos mecanicos y termicos elevadas
Material de Fibra de grafeno y palma recubierta de microespuma de nitrilo Talla M</v>
      </c>
      <c r="J2001" s="213">
        <f>IFERROR(__xludf.DUMMYFUNCTION("""COMPUTED_VALUE"""),3.0)</f>
        <v>3</v>
      </c>
      <c r="K2001" s="213" t="str">
        <f>IFERROR(__xludf.DUMMYFUNCTION("""COMPUTED_VALUE"""),"90 DÍAS CALENDARIO")</f>
        <v>90 DÍAS CALENDARIO</v>
      </c>
      <c r="L2001" s="213" t="str">
        <f>IFERROR(__xludf.DUMMYFUNCTION("""COMPUTED_VALUE"""),"")</f>
        <v/>
      </c>
      <c r="M2001" s="213">
        <f>IFERROR(__xludf.DUMMYFUNCTION("""COMPUTED_VALUE"""),1.0)</f>
        <v>1</v>
      </c>
      <c r="N2001" s="213">
        <f>IFERROR(__xludf.DUMMYFUNCTION("""COMPUTED_VALUE"""),21.0)</f>
        <v>21</v>
      </c>
      <c r="O2001" s="213">
        <f>IFERROR(__xludf.DUMMYFUNCTION("""COMPUTED_VALUE"""),21.0)</f>
        <v>21</v>
      </c>
      <c r="P2001" s="213"/>
      <c r="Q2001" s="213"/>
      <c r="R2001" s="213" t="str">
        <f>IFERROR(__xludf.DUMMYFUNCTION("""COMPUTED_VALUE"""),"SI")</f>
        <v>SI</v>
      </c>
      <c r="S2001" s="213"/>
      <c r="T2001" s="213" t="str">
        <f>IFERROR(__xludf.DUMMYFUNCTION("""COMPUTED_VALUE"""),"SI")</f>
        <v>SI</v>
      </c>
      <c r="U2001" s="213" t="str">
        <f>IFERROR(__xludf.DUMMYFUNCTION("""COMPUTED_VALUE"""),"SI")</f>
        <v>SI</v>
      </c>
      <c r="V2001" s="213" t="str">
        <f>IFERROR(__xludf.DUMMYFUNCTION("""COMPUTED_VALUE"""),"-")</f>
        <v>-</v>
      </c>
      <c r="W2001" s="213" t="str">
        <f>IFERROR(__xludf.DUMMYFUNCTION("""COMPUTED_VALUE"""),"-")</f>
        <v>-</v>
      </c>
      <c r="X2001" s="213" t="str">
        <f>IFERROR(__xludf.DUMMYFUNCTION("""COMPUTED_VALUE"""),"KYORENE")</f>
        <v>KYORENE</v>
      </c>
      <c r="Y2001" s="213" t="str">
        <f>IFERROR(__xludf.DUMMYFUNCTION("""COMPUTED_VALUE"""),"serie 01-501")</f>
        <v>serie 01-501</v>
      </c>
      <c r="Z2001" s="215" t="str">
        <f>IFERROR(__xludf.DUMMYFUNCTION("""COMPUTED_VALUE"""),"https://es.rs-online.com/web/p/guantes-de-trabajo/2878037")</f>
        <v>https://es.rs-online.com/web/p/guantes-de-trabajo/2878037</v>
      </c>
      <c r="AA2001" s="213" t="str">
        <f>IFERROR(__xludf.DUMMYFUNCTION("""COMPUTED_VALUE"""),"MAT-175 GUANTES DE MECANICO - CET")</f>
        <v>MAT-175 GUANTES DE MECANICO - CET</v>
      </c>
      <c r="AB2001" s="213"/>
      <c r="AC2001" s="215" t="str">
        <f>IFERROR(__xludf.DUMMYFUNCTION("""COMPUTED_VALUE"""),"https://drive.google.com/file/d/11F5R4ypTdmhmmiHiHWjqwfRy0lUyv9oY/view?usp=sharing")</f>
        <v>https://drive.google.com/file/d/11F5R4ypTdmhmmiHiHWjqwfRy0lUyv9oY/view?usp=sharing</v>
      </c>
      <c r="AD2001" s="213"/>
      <c r="AE2001" s="213"/>
      <c r="AF2001" s="213"/>
      <c r="AG2001" s="213"/>
      <c r="AH2001" s="213" t="str">
        <f>IFERROR(__xludf.DUMMYFUNCTION("""COMPUTED_VALUE"""),"IMPORTADO")</f>
        <v>IMPORTADO</v>
      </c>
      <c r="AI2001" s="213"/>
      <c r="AJ2001" s="213"/>
      <c r="AK2001" s="213"/>
      <c r="AL2001" s="213"/>
      <c r="AM2001" s="213"/>
      <c r="AN2001" s="213"/>
      <c r="AO2001" s="213"/>
      <c r="AP2001" s="213" t="str">
        <f>IFERROR(__xludf.DUMMYFUNCTION("""COMPUTED_VALUE"""),"LUIS")</f>
        <v>LUIS</v>
      </c>
      <c r="AQ2001" s="213"/>
      <c r="AR2001" s="213"/>
      <c r="AS2001" s="213"/>
      <c r="AT2001" s="213"/>
      <c r="AU2001" s="213"/>
      <c r="AV2001" s="213"/>
      <c r="AW2001" s="213"/>
      <c r="AX2001" s="213"/>
      <c r="AY2001" s="213"/>
      <c r="AZ2001" s="213"/>
      <c r="BA2001" s="213"/>
      <c r="BB2001" s="213"/>
      <c r="BC2001" s="213"/>
      <c r="BD2001" s="213"/>
    </row>
    <row r="2002">
      <c r="A2002" s="213">
        <f>IFERROR(__xludf.DUMMYFUNCTION("""COMPUTED_VALUE"""),2219.0)</f>
        <v>2219</v>
      </c>
      <c r="B2002" s="213" t="str">
        <f>IFERROR(__xludf.DUMMYFUNCTION("""COMPUTED_VALUE"""),"JOSE GRANDA")</f>
        <v>JOSE GRANDA</v>
      </c>
      <c r="C2002" s="213" t="str">
        <f>IFERROR(__xludf.DUMMYFUNCTION("""COMPUTED_VALUE"""),"TALLER SFT DE MECÁNICA AUTOMOTRIZ")</f>
        <v>TALLER SFT DE MECÁNICA AUTOMOTRIZ</v>
      </c>
      <c r="D2002" s="213" t="str">
        <f>IFERROR(__xludf.DUMMYFUNCTION("""COMPUTED_VALUE"""),"HERRAMIENTAS")</f>
        <v>HERRAMIENTAS</v>
      </c>
      <c r="E2002" s="213" t="str">
        <f>IFERROR(__xludf.DUMMYFUNCTION("""COMPUTED_VALUE"""),"MAT-175")</f>
        <v>MAT-175</v>
      </c>
      <c r="F2002" s="213" t="str">
        <f>IFERROR(__xludf.DUMMYFUNCTION("""COMPUTED_VALUE"""),"MAT-175")</f>
        <v>MAT-175</v>
      </c>
      <c r="G2002" s="213"/>
      <c r="H2002" s="213" t="str">
        <f>IFERROR(__xludf.DUMMYFUNCTION("""COMPUTED_VALUE"""),"GUANTES DE MECÁNICO")</f>
        <v>GUANTES DE MECÁNICO</v>
      </c>
      <c r="I2002" s="213" t="str">
        <f>IFERROR(__xludf.DUMMYFUNCTION("""COMPUTED_VALUE"""),"Proteccion contra riesgos mecanicos y termicos elevadas
Material de Fibra de grafeno y palma recubierta de microespuma de nitrilo Talla M")</f>
        <v>Proteccion contra riesgos mecanicos y termicos elevadas
Material de Fibra de grafeno y palma recubierta de microespuma de nitrilo Talla M</v>
      </c>
      <c r="J2002" s="213">
        <f>IFERROR(__xludf.DUMMYFUNCTION("""COMPUTED_VALUE"""),3.0)</f>
        <v>3</v>
      </c>
      <c r="K2002" s="213" t="str">
        <f>IFERROR(__xludf.DUMMYFUNCTION("""COMPUTED_VALUE"""),"90 DÍAS CALENDARIO")</f>
        <v>90 DÍAS CALENDARIO</v>
      </c>
      <c r="L2002" s="213" t="str">
        <f>IFERROR(__xludf.DUMMYFUNCTION("""COMPUTED_VALUE"""),"")</f>
        <v/>
      </c>
      <c r="M2002" s="213">
        <f>IFERROR(__xludf.DUMMYFUNCTION("""COMPUTED_VALUE"""),1.0)</f>
        <v>1</v>
      </c>
      <c r="N2002" s="213">
        <f>IFERROR(__xludf.DUMMYFUNCTION("""COMPUTED_VALUE"""),21.0)</f>
        <v>21</v>
      </c>
      <c r="O2002" s="213">
        <f>IFERROR(__xludf.DUMMYFUNCTION("""COMPUTED_VALUE"""),21.0)</f>
        <v>21</v>
      </c>
      <c r="P2002" s="213"/>
      <c r="Q2002" s="213"/>
      <c r="R2002" s="213" t="str">
        <f>IFERROR(__xludf.DUMMYFUNCTION("""COMPUTED_VALUE"""),"SI")</f>
        <v>SI</v>
      </c>
      <c r="S2002" s="213"/>
      <c r="T2002" s="213" t="str">
        <f>IFERROR(__xludf.DUMMYFUNCTION("""COMPUTED_VALUE"""),"SI")</f>
        <v>SI</v>
      </c>
      <c r="U2002" s="213" t="str">
        <f>IFERROR(__xludf.DUMMYFUNCTION("""COMPUTED_VALUE"""),"SI")</f>
        <v>SI</v>
      </c>
      <c r="V2002" s="213" t="str">
        <f>IFERROR(__xludf.DUMMYFUNCTION("""COMPUTED_VALUE"""),"-")</f>
        <v>-</v>
      </c>
      <c r="W2002" s="213" t="str">
        <f>IFERROR(__xludf.DUMMYFUNCTION("""COMPUTED_VALUE"""),"-")</f>
        <v>-</v>
      </c>
      <c r="X2002" s="213" t="str">
        <f>IFERROR(__xludf.DUMMYFUNCTION("""COMPUTED_VALUE"""),"KYORENE")</f>
        <v>KYORENE</v>
      </c>
      <c r="Y2002" s="213" t="str">
        <f>IFERROR(__xludf.DUMMYFUNCTION("""COMPUTED_VALUE"""),"serie 01-501")</f>
        <v>serie 01-501</v>
      </c>
      <c r="Z2002" s="215" t="str">
        <f>IFERROR(__xludf.DUMMYFUNCTION("""COMPUTED_VALUE"""),"https://es.rs-online.com/web/p/guantes-de-trabajo/2878037")</f>
        <v>https://es.rs-online.com/web/p/guantes-de-trabajo/2878037</v>
      </c>
      <c r="AA2002" s="213" t="str">
        <f>IFERROR(__xludf.DUMMYFUNCTION("""COMPUTED_VALUE"""),"MAT-175 GUANTES DE MECANICO - CET")</f>
        <v>MAT-175 GUANTES DE MECANICO - CET</v>
      </c>
      <c r="AB2002" s="213"/>
      <c r="AC2002" s="215" t="str">
        <f>IFERROR(__xludf.DUMMYFUNCTION("""COMPUTED_VALUE"""),"https://drive.google.com/file/d/11F5R4ypTdmhmmiHiHWjqwfRy0lUyv9oY/view?usp=sharing")</f>
        <v>https://drive.google.com/file/d/11F5R4ypTdmhmmiHiHWjqwfRy0lUyv9oY/view?usp=sharing</v>
      </c>
      <c r="AD2002" s="213"/>
      <c r="AE2002" s="213"/>
      <c r="AF2002" s="213"/>
      <c r="AG2002" s="213"/>
      <c r="AH2002" s="213" t="str">
        <f>IFERROR(__xludf.DUMMYFUNCTION("""COMPUTED_VALUE"""),"IMPORTADO")</f>
        <v>IMPORTADO</v>
      </c>
      <c r="AI2002" s="213"/>
      <c r="AJ2002" s="213"/>
      <c r="AK2002" s="213"/>
      <c r="AL2002" s="213"/>
      <c r="AM2002" s="213"/>
      <c r="AN2002" s="213"/>
      <c r="AO2002" s="213"/>
      <c r="AP2002" s="213" t="str">
        <f>IFERROR(__xludf.DUMMYFUNCTION("""COMPUTED_VALUE"""),"LUIS")</f>
        <v>LUIS</v>
      </c>
      <c r="AQ2002" s="213"/>
      <c r="AR2002" s="213"/>
      <c r="AS2002" s="213"/>
      <c r="AT2002" s="213"/>
      <c r="AU2002" s="213"/>
      <c r="AV2002" s="213"/>
      <c r="AW2002" s="213"/>
      <c r="AX2002" s="213"/>
      <c r="AY2002" s="213"/>
      <c r="AZ2002" s="213"/>
      <c r="BA2002" s="213"/>
      <c r="BB2002" s="213"/>
      <c r="BC2002" s="213"/>
      <c r="BD2002" s="213"/>
    </row>
    <row r="2003">
      <c r="A2003" s="213">
        <f>IFERROR(__xludf.DUMMYFUNCTION("""COMPUTED_VALUE"""),533.0)</f>
        <v>533</v>
      </c>
      <c r="B2003" s="213" t="str">
        <f>IFERROR(__xludf.DUMMYFUNCTION("""COMPUTED_VALUE"""),"2026 SIMON BOLIVAR")</f>
        <v>2026 SIMON BOLIVAR</v>
      </c>
      <c r="C2003" s="213" t="str">
        <f>IFERROR(__xludf.DUMMYFUNCTION("""COMPUTED_VALUE"""),"TALLER SFT DE INDUSTRIA ALIMENTARIA")</f>
        <v>TALLER SFT DE INDUSTRIA ALIMENTARIA</v>
      </c>
      <c r="D2003" s="213" t="str">
        <f>IFERROR(__xludf.DUMMYFUNCTION("""COMPUTED_VALUE"""),"HERRAMIENTAS")</f>
        <v>HERRAMIENTAS</v>
      </c>
      <c r="E2003" s="213" t="str">
        <f>IFERROR(__xludf.DUMMYFUNCTION("""COMPUTED_VALUE"""),"MAT-177")</f>
        <v>MAT-177</v>
      </c>
      <c r="F2003" s="213" t="str">
        <f>IFERROR(__xludf.DUMMYFUNCTION("""COMPUTED_VALUE"""),"MAT-177-X")</f>
        <v>MAT-177-X</v>
      </c>
      <c r="G2003" s="213"/>
      <c r="H2003" s="213" t="str">
        <f>IFERROR(__xludf.DUMMYFUNCTION("""COMPUTED_VALUE"""),"GUANTES DE SILICONA (MANOPLAS PARA OLLAS Y HORNOS)")</f>
        <v>GUANTES DE SILICONA (MANOPLAS PARA OLLAS Y HORNOS)</v>
      </c>
      <c r="I2003" s="213" t="str">
        <f>IFERROR(__xludf.DUMMYFUNCTION("""COMPUTED_VALUE"""),"· Protege de las altas temperaturas de los objetos expuestos al calor.
· Capa interior de forro de algodón 100% para el máximo
· Comodidad (de -40 a 425F).")</f>
        <v>· Protege de las altas temperaturas de los objetos expuestos al calor.
· Capa interior de forro de algodón 100% para el máximo
· Comodidad (de -40 a 425F).</v>
      </c>
      <c r="J2003" s="213">
        <f>IFERROR(__xludf.DUMMYFUNCTION("""COMPUTED_VALUE"""),3.0)</f>
        <v>3</v>
      </c>
      <c r="K2003" s="213" t="str">
        <f>IFERROR(__xludf.DUMMYFUNCTION("""COMPUTED_VALUE"""),"90 DÍAS CALENDARIO")</f>
        <v>90 DÍAS CALENDARIO</v>
      </c>
      <c r="L2003" s="213" t="str">
        <f>IFERROR(__xludf.DUMMYFUNCTION("""COMPUTED_VALUE"""),"")</f>
        <v/>
      </c>
      <c r="M2003" s="213">
        <f>IFERROR(__xludf.DUMMYFUNCTION("""COMPUTED_VALUE"""),1.0)</f>
        <v>1</v>
      </c>
      <c r="N2003" s="213">
        <f>IFERROR(__xludf.DUMMYFUNCTION("""COMPUTED_VALUE"""),4.0)</f>
        <v>4</v>
      </c>
      <c r="O2003" s="213">
        <f>IFERROR(__xludf.DUMMYFUNCTION("""COMPUTED_VALUE"""),4.0)</f>
        <v>4</v>
      </c>
      <c r="P2003" s="213"/>
      <c r="Q2003" s="213"/>
      <c r="R2003" s="213" t="str">
        <f>IFERROR(__xludf.DUMMYFUNCTION("""COMPUTED_VALUE"""),"SI")</f>
        <v>SI</v>
      </c>
      <c r="S2003" s="213"/>
      <c r="T2003" s="213" t="str">
        <f>IFERROR(__xludf.DUMMYFUNCTION("""COMPUTED_VALUE"""),"SI")</f>
        <v>SI</v>
      </c>
      <c r="U2003" s="213" t="str">
        <f>IFERROR(__xludf.DUMMYFUNCTION("""COMPUTED_VALUE"""),"SI")</f>
        <v>SI</v>
      </c>
      <c r="V2003" s="213" t="str">
        <f>IFERROR(__xludf.DUMMYFUNCTION("""COMPUTED_VALUE"""),"-")</f>
        <v>-</v>
      </c>
      <c r="W2003" s="213" t="str">
        <f>IFERROR(__xludf.DUMMYFUNCTION("""COMPUTED_VALUE"""),"-")</f>
        <v>-</v>
      </c>
      <c r="X2003" s="213" t="str">
        <f>IFERROR(__xludf.DUMMYFUNCTION("""COMPUTED_VALUE"""),"GENERICO")</f>
        <v>GENERICO</v>
      </c>
      <c r="Y2003" s="213" t="str">
        <f>IFERROR(__xludf.DUMMYFUNCTION("""COMPUTED_VALUE"""),"Guante Algodón-Silicona 30 x 18,5 cm")</f>
        <v>Guante Algodón-Silicona 30 x 18,5 cm</v>
      </c>
      <c r="Z2003" s="215" t="str">
        <f>IFERROR(__xludf.DUMMYFUNCTION("""COMPUTED_VALUE"""),"https://www.realplaza.com/guante-algodon-silicona-30-x-185-cm-1001167469/p")</f>
        <v>https://www.realplaza.com/guante-algodon-silicona-30-x-185-cm-1001167469/p</v>
      </c>
      <c r="AA2003" s="213" t="str">
        <f>IFERROR(__xludf.DUMMYFUNCTION("""COMPUTED_VALUE"""),"MAT-177 GUANTES DE SILICONA RESISTENTES AL CALOR CON FORRO INTERIOR DE ALGODÓN, MANOPLAS PARA OLLAS Y HORNOS - CET")</f>
        <v>MAT-177 GUANTES DE SILICONA RESISTENTES AL CALOR CON FORRO INTERIOR DE ALGODÓN, MANOPLAS PARA OLLAS Y HORNOS - CET</v>
      </c>
      <c r="AB2003" s="213"/>
      <c r="AC2003" s="213"/>
      <c r="AD2003" s="213"/>
      <c r="AE2003" s="213"/>
      <c r="AF2003" s="213"/>
      <c r="AG2003" s="213"/>
      <c r="AH2003" s="213"/>
      <c r="AI2003" s="213"/>
      <c r="AJ2003" s="213"/>
      <c r="AK2003" s="213"/>
      <c r="AL2003" s="213"/>
      <c r="AM2003" s="213"/>
      <c r="AN2003" s="213"/>
      <c r="AO2003" s="213"/>
      <c r="AP2003" s="213" t="str">
        <f>IFERROR(__xludf.DUMMYFUNCTION("""COMPUTED_VALUE"""),"LUIS")</f>
        <v>LUIS</v>
      </c>
      <c r="AQ2003" s="213"/>
      <c r="AR2003" s="213"/>
      <c r="AS2003" s="213"/>
      <c r="AT2003" s="213"/>
      <c r="AU2003" s="213"/>
      <c r="AV2003" s="213"/>
      <c r="AW2003" s="213"/>
      <c r="AX2003" s="213"/>
      <c r="AY2003" s="213"/>
      <c r="AZ2003" s="213"/>
      <c r="BA2003" s="213"/>
      <c r="BB2003" s="213"/>
      <c r="BC2003" s="213"/>
      <c r="BD2003" s="213"/>
    </row>
    <row r="2004">
      <c r="A2004" s="213">
        <f>IFERROR(__xludf.DUMMYFUNCTION("""COMPUTED_VALUE"""),1163.0)</f>
        <v>1163</v>
      </c>
      <c r="B2004" s="213" t="str">
        <f>IFERROR(__xludf.DUMMYFUNCTION("""COMPUTED_VALUE"""),"FRANCISCO IRAZOLA")</f>
        <v>FRANCISCO IRAZOLA</v>
      </c>
      <c r="C2004" s="213" t="str">
        <f>IFERROR(__xludf.DUMMYFUNCTION("""COMPUTED_VALUE"""),"TALLER SFT DE INDUSTRIA ALIMENTARIA")</f>
        <v>TALLER SFT DE INDUSTRIA ALIMENTARIA</v>
      </c>
      <c r="D2004" s="213" t="str">
        <f>IFERROR(__xludf.DUMMYFUNCTION("""COMPUTED_VALUE"""),"HERRAMIENTAS")</f>
        <v>HERRAMIENTAS</v>
      </c>
      <c r="E2004" s="213" t="str">
        <f>IFERROR(__xludf.DUMMYFUNCTION("""COMPUTED_VALUE"""),"MAT-177")</f>
        <v>MAT-177</v>
      </c>
      <c r="F2004" s="213" t="str">
        <f>IFERROR(__xludf.DUMMYFUNCTION("""COMPUTED_VALUE"""),"MAT-177-X")</f>
        <v>MAT-177-X</v>
      </c>
      <c r="G2004" s="213"/>
      <c r="H2004" s="213" t="str">
        <f>IFERROR(__xludf.DUMMYFUNCTION("""COMPUTED_VALUE"""),"GUANTES DE SILICONA (MANOPLAS PARA OLLAS Y HORNOS)")</f>
        <v>GUANTES DE SILICONA (MANOPLAS PARA OLLAS Y HORNOS)</v>
      </c>
      <c r="I2004" s="213" t="str">
        <f>IFERROR(__xludf.DUMMYFUNCTION("""COMPUTED_VALUE"""),"· Protege de las altas temperaturas de los objetos expuestos al calor.
· Capa interior de forro de algodón 100% para el máximo
· Comodidad (de -40 a 425F).")</f>
        <v>· Protege de las altas temperaturas de los objetos expuestos al calor.
· Capa interior de forro de algodón 100% para el máximo
· Comodidad (de -40 a 425F).</v>
      </c>
      <c r="J2004" s="213">
        <f>IFERROR(__xludf.DUMMYFUNCTION("""COMPUTED_VALUE"""),3.0)</f>
        <v>3</v>
      </c>
      <c r="K2004" s="213" t="str">
        <f>IFERROR(__xludf.DUMMYFUNCTION("""COMPUTED_VALUE"""),"90 DÍAS CALENDARIO")</f>
        <v>90 DÍAS CALENDARIO</v>
      </c>
      <c r="L2004" s="213" t="str">
        <f>IFERROR(__xludf.DUMMYFUNCTION("""COMPUTED_VALUE"""),"")</f>
        <v/>
      </c>
      <c r="M2004" s="213">
        <f>IFERROR(__xludf.DUMMYFUNCTION("""COMPUTED_VALUE"""),1.0)</f>
        <v>1</v>
      </c>
      <c r="N2004" s="213">
        <f>IFERROR(__xludf.DUMMYFUNCTION("""COMPUTED_VALUE"""),4.0)</f>
        <v>4</v>
      </c>
      <c r="O2004" s="213">
        <f>IFERROR(__xludf.DUMMYFUNCTION("""COMPUTED_VALUE"""),4.0)</f>
        <v>4</v>
      </c>
      <c r="P2004" s="213"/>
      <c r="Q2004" s="213"/>
      <c r="R2004" s="213" t="str">
        <f>IFERROR(__xludf.DUMMYFUNCTION("""COMPUTED_VALUE"""),"SI")</f>
        <v>SI</v>
      </c>
      <c r="S2004" s="213"/>
      <c r="T2004" s="213" t="str">
        <f>IFERROR(__xludf.DUMMYFUNCTION("""COMPUTED_VALUE"""),"SI")</f>
        <v>SI</v>
      </c>
      <c r="U2004" s="213" t="str">
        <f>IFERROR(__xludf.DUMMYFUNCTION("""COMPUTED_VALUE"""),"SI")</f>
        <v>SI</v>
      </c>
      <c r="V2004" s="213" t="str">
        <f>IFERROR(__xludf.DUMMYFUNCTION("""COMPUTED_VALUE"""),"-")</f>
        <v>-</v>
      </c>
      <c r="W2004" s="213" t="str">
        <f>IFERROR(__xludf.DUMMYFUNCTION("""COMPUTED_VALUE"""),"-")</f>
        <v>-</v>
      </c>
      <c r="X2004" s="213" t="str">
        <f>IFERROR(__xludf.DUMMYFUNCTION("""COMPUTED_VALUE"""),"GENERICO")</f>
        <v>GENERICO</v>
      </c>
      <c r="Y2004" s="213" t="str">
        <f>IFERROR(__xludf.DUMMYFUNCTION("""COMPUTED_VALUE"""),"Guante Algodón-Silicona 30 x 18,5 cm")</f>
        <v>Guante Algodón-Silicona 30 x 18,5 cm</v>
      </c>
      <c r="Z2004" s="215" t="str">
        <f>IFERROR(__xludf.DUMMYFUNCTION("""COMPUTED_VALUE"""),"https://www.realplaza.com/guante-algodon-silicona-30-x-185-cm-1001167469/p")</f>
        <v>https://www.realplaza.com/guante-algodon-silicona-30-x-185-cm-1001167469/p</v>
      </c>
      <c r="AA2004" s="213" t="str">
        <f>IFERROR(__xludf.DUMMYFUNCTION("""COMPUTED_VALUE"""),"MAT-177 GUANTES DE SILICONA RESISTENTES AL CALOR CON FORRO INTERIOR DE ALGODÓN, MANOPLAS PARA OLLAS Y HORNOS - CET")</f>
        <v>MAT-177 GUANTES DE SILICONA RESISTENTES AL CALOR CON FORRO INTERIOR DE ALGODÓN, MANOPLAS PARA OLLAS Y HORNOS - CET</v>
      </c>
      <c r="AB2004" s="213"/>
      <c r="AC2004" s="213"/>
      <c r="AD2004" s="213"/>
      <c r="AE2004" s="213"/>
      <c r="AF2004" s="213"/>
      <c r="AG2004" s="213"/>
      <c r="AH2004" s="213"/>
      <c r="AI2004" s="213"/>
      <c r="AJ2004" s="213"/>
      <c r="AK2004" s="213"/>
      <c r="AL2004" s="213"/>
      <c r="AM2004" s="213"/>
      <c r="AN2004" s="213"/>
      <c r="AO2004" s="213"/>
      <c r="AP2004" s="213" t="str">
        <f>IFERROR(__xludf.DUMMYFUNCTION("""COMPUTED_VALUE"""),"LUIS")</f>
        <v>LUIS</v>
      </c>
      <c r="AQ2004" s="213"/>
      <c r="AR2004" s="213"/>
      <c r="AS2004" s="213"/>
      <c r="AT2004" s="213"/>
      <c r="AU2004" s="213"/>
      <c r="AV2004" s="213"/>
      <c r="AW2004" s="213"/>
      <c r="AX2004" s="213"/>
      <c r="AY2004" s="213"/>
      <c r="AZ2004" s="213"/>
      <c r="BA2004" s="213"/>
      <c r="BB2004" s="213"/>
      <c r="BC2004" s="213"/>
      <c r="BD2004" s="213"/>
    </row>
    <row r="2005">
      <c r="A2005" s="213">
        <f>IFERROR(__xludf.DUMMYFUNCTION("""COMPUTED_VALUE"""),1435.0)</f>
        <v>1435</v>
      </c>
      <c r="B2005" s="213" t="str">
        <f>IFERROR(__xludf.DUMMYFUNCTION("""COMPUTED_VALUE"""),"GUILLERMO E. BILLINGHURST ")</f>
        <v>GUILLERMO E. BILLINGHURST </v>
      </c>
      <c r="C2005" s="213" t="str">
        <f>IFERROR(__xludf.DUMMYFUNCTION("""COMPUTED_VALUE"""),"TALLER SFT DE INDUSTRIA ALIMENTARIA")</f>
        <v>TALLER SFT DE INDUSTRIA ALIMENTARIA</v>
      </c>
      <c r="D2005" s="213" t="str">
        <f>IFERROR(__xludf.DUMMYFUNCTION("""COMPUTED_VALUE"""),"HERRAMIENTAS")</f>
        <v>HERRAMIENTAS</v>
      </c>
      <c r="E2005" s="213" t="str">
        <f>IFERROR(__xludf.DUMMYFUNCTION("""COMPUTED_VALUE"""),"MAT-177")</f>
        <v>MAT-177</v>
      </c>
      <c r="F2005" s="213" t="str">
        <f>IFERROR(__xludf.DUMMYFUNCTION("""COMPUTED_VALUE"""),"MAT-177-X")</f>
        <v>MAT-177-X</v>
      </c>
      <c r="G2005" s="213"/>
      <c r="H2005" s="213" t="str">
        <f>IFERROR(__xludf.DUMMYFUNCTION("""COMPUTED_VALUE"""),"GUANTES DE SILICONA (MANOPLAS PARA OLLAS Y HORNOS)")</f>
        <v>GUANTES DE SILICONA (MANOPLAS PARA OLLAS Y HORNOS)</v>
      </c>
      <c r="I2005" s="213" t="str">
        <f>IFERROR(__xludf.DUMMYFUNCTION("""COMPUTED_VALUE"""),"· Protege de las altas temperaturas de los objetos expuestos al calor.
· Capa interior de forro de algodón 100% para el máximo
· Comodidad (de -40 a 425F).")</f>
        <v>· Protege de las altas temperaturas de los objetos expuestos al calor.
· Capa interior de forro de algodón 100% para el máximo
· Comodidad (de -40 a 425F).</v>
      </c>
      <c r="J2005" s="213">
        <f>IFERROR(__xludf.DUMMYFUNCTION("""COMPUTED_VALUE"""),3.0)</f>
        <v>3</v>
      </c>
      <c r="K2005" s="213" t="str">
        <f>IFERROR(__xludf.DUMMYFUNCTION("""COMPUTED_VALUE"""),"90 DÍAS CALENDARIO")</f>
        <v>90 DÍAS CALENDARIO</v>
      </c>
      <c r="L2005" s="213" t="str">
        <f>IFERROR(__xludf.DUMMYFUNCTION("""COMPUTED_VALUE"""),"")</f>
        <v/>
      </c>
      <c r="M2005" s="213">
        <f>IFERROR(__xludf.DUMMYFUNCTION("""COMPUTED_VALUE"""),1.0)</f>
        <v>1</v>
      </c>
      <c r="N2005" s="213">
        <f>IFERROR(__xludf.DUMMYFUNCTION("""COMPUTED_VALUE"""),4.0)</f>
        <v>4</v>
      </c>
      <c r="O2005" s="213">
        <f>IFERROR(__xludf.DUMMYFUNCTION("""COMPUTED_VALUE"""),4.0)</f>
        <v>4</v>
      </c>
      <c r="P2005" s="213"/>
      <c r="Q2005" s="213"/>
      <c r="R2005" s="213" t="str">
        <f>IFERROR(__xludf.DUMMYFUNCTION("""COMPUTED_VALUE"""),"SI")</f>
        <v>SI</v>
      </c>
      <c r="S2005" s="213"/>
      <c r="T2005" s="213" t="str">
        <f>IFERROR(__xludf.DUMMYFUNCTION("""COMPUTED_VALUE"""),"SI")</f>
        <v>SI</v>
      </c>
      <c r="U2005" s="213" t="str">
        <f>IFERROR(__xludf.DUMMYFUNCTION("""COMPUTED_VALUE"""),"SI")</f>
        <v>SI</v>
      </c>
      <c r="V2005" s="213" t="str">
        <f>IFERROR(__xludf.DUMMYFUNCTION("""COMPUTED_VALUE"""),"-")</f>
        <v>-</v>
      </c>
      <c r="W2005" s="213" t="str">
        <f>IFERROR(__xludf.DUMMYFUNCTION("""COMPUTED_VALUE"""),"-")</f>
        <v>-</v>
      </c>
      <c r="X2005" s="213" t="str">
        <f>IFERROR(__xludf.DUMMYFUNCTION("""COMPUTED_VALUE"""),"GENERICO")</f>
        <v>GENERICO</v>
      </c>
      <c r="Y2005" s="213" t="str">
        <f>IFERROR(__xludf.DUMMYFUNCTION("""COMPUTED_VALUE"""),"Guante Algodón-Silicona 30 x 18,5 cm")</f>
        <v>Guante Algodón-Silicona 30 x 18,5 cm</v>
      </c>
      <c r="Z2005" s="215" t="str">
        <f>IFERROR(__xludf.DUMMYFUNCTION("""COMPUTED_VALUE"""),"https://www.realplaza.com/guante-algodon-silicona-30-x-185-cm-1001167469/p")</f>
        <v>https://www.realplaza.com/guante-algodon-silicona-30-x-185-cm-1001167469/p</v>
      </c>
      <c r="AA2005" s="213" t="str">
        <f>IFERROR(__xludf.DUMMYFUNCTION("""COMPUTED_VALUE"""),"MAT-177 GUANTES DE SILICONA RESISTENTES AL CALOR CON FORRO INTERIOR DE ALGODÓN, MANOPLAS PARA OLLAS Y HORNOS - CET")</f>
        <v>MAT-177 GUANTES DE SILICONA RESISTENTES AL CALOR CON FORRO INTERIOR DE ALGODÓN, MANOPLAS PARA OLLAS Y HORNOS - CET</v>
      </c>
      <c r="AB2005" s="213"/>
      <c r="AC2005" s="213"/>
      <c r="AD2005" s="213"/>
      <c r="AE2005" s="213"/>
      <c r="AF2005" s="213"/>
      <c r="AG2005" s="213"/>
      <c r="AH2005" s="213"/>
      <c r="AI2005" s="213"/>
      <c r="AJ2005" s="213"/>
      <c r="AK2005" s="213"/>
      <c r="AL2005" s="213"/>
      <c r="AM2005" s="213"/>
      <c r="AN2005" s="213"/>
      <c r="AO2005" s="213"/>
      <c r="AP2005" s="213" t="str">
        <f>IFERROR(__xludf.DUMMYFUNCTION("""COMPUTED_VALUE"""),"LUIS")</f>
        <v>LUIS</v>
      </c>
      <c r="AQ2005" s="213"/>
      <c r="AR2005" s="213"/>
      <c r="AS2005" s="213"/>
      <c r="AT2005" s="213"/>
      <c r="AU2005" s="213"/>
      <c r="AV2005" s="213"/>
      <c r="AW2005" s="213"/>
      <c r="AX2005" s="213"/>
      <c r="AY2005" s="213"/>
      <c r="AZ2005" s="213"/>
      <c r="BA2005" s="213"/>
      <c r="BB2005" s="213"/>
      <c r="BC2005" s="213"/>
      <c r="BD2005" s="213"/>
    </row>
    <row r="2006">
      <c r="A2006" s="213">
        <f>IFERROR(__xludf.DUMMYFUNCTION("""COMPUTED_VALUE"""),2122.0)</f>
        <v>2122</v>
      </c>
      <c r="B2006" s="213" t="str">
        <f>IFERROR(__xludf.DUMMYFUNCTION("""COMPUTED_VALUE"""),"JOSE GRANDA")</f>
        <v>JOSE GRANDA</v>
      </c>
      <c r="C2006" s="213" t="str">
        <f>IFERROR(__xludf.DUMMYFUNCTION("""COMPUTED_VALUE"""),"TALLER SFT DE INDUSTRIA ALIMENTARIA")</f>
        <v>TALLER SFT DE INDUSTRIA ALIMENTARIA</v>
      </c>
      <c r="D2006" s="213" t="str">
        <f>IFERROR(__xludf.DUMMYFUNCTION("""COMPUTED_VALUE"""),"HERRAMIENTAS")</f>
        <v>HERRAMIENTAS</v>
      </c>
      <c r="E2006" s="213" t="str">
        <f>IFERROR(__xludf.DUMMYFUNCTION("""COMPUTED_VALUE"""),"MAT-177")</f>
        <v>MAT-177</v>
      </c>
      <c r="F2006" s="213" t="str">
        <f>IFERROR(__xludf.DUMMYFUNCTION("""COMPUTED_VALUE"""),"MAT-177-X")</f>
        <v>MAT-177-X</v>
      </c>
      <c r="G2006" s="213"/>
      <c r="H2006" s="213" t="str">
        <f>IFERROR(__xludf.DUMMYFUNCTION("""COMPUTED_VALUE"""),"GUANTES DE SILICONA (MANOPLAS PARA OLLAS Y HORNOS)")</f>
        <v>GUANTES DE SILICONA (MANOPLAS PARA OLLAS Y HORNOS)</v>
      </c>
      <c r="I2006" s="213" t="str">
        <f>IFERROR(__xludf.DUMMYFUNCTION("""COMPUTED_VALUE"""),"· Protege de las altas temperaturas de los objetos expuestos al calor.
· Capa interior de forro de algodón 100% para el máximo
· Comodidad (de -40 a 425F).")</f>
        <v>· Protege de las altas temperaturas de los objetos expuestos al calor.
· Capa interior de forro de algodón 100% para el máximo
· Comodidad (de -40 a 425F).</v>
      </c>
      <c r="J2006" s="213">
        <f>IFERROR(__xludf.DUMMYFUNCTION("""COMPUTED_VALUE"""),3.0)</f>
        <v>3</v>
      </c>
      <c r="K2006" s="213" t="str">
        <f>IFERROR(__xludf.DUMMYFUNCTION("""COMPUTED_VALUE"""),"90 DÍAS CALENDARIO")</f>
        <v>90 DÍAS CALENDARIO</v>
      </c>
      <c r="L2006" s="213" t="str">
        <f>IFERROR(__xludf.DUMMYFUNCTION("""COMPUTED_VALUE"""),"")</f>
        <v/>
      </c>
      <c r="M2006" s="213">
        <f>IFERROR(__xludf.DUMMYFUNCTION("""COMPUTED_VALUE"""),1.0)</f>
        <v>1</v>
      </c>
      <c r="N2006" s="213">
        <f>IFERROR(__xludf.DUMMYFUNCTION("""COMPUTED_VALUE"""),4.0)</f>
        <v>4</v>
      </c>
      <c r="O2006" s="213">
        <f>IFERROR(__xludf.DUMMYFUNCTION("""COMPUTED_VALUE"""),4.0)</f>
        <v>4</v>
      </c>
      <c r="P2006" s="213"/>
      <c r="Q2006" s="213"/>
      <c r="R2006" s="213" t="str">
        <f>IFERROR(__xludf.DUMMYFUNCTION("""COMPUTED_VALUE"""),"SI")</f>
        <v>SI</v>
      </c>
      <c r="S2006" s="213"/>
      <c r="T2006" s="213" t="str">
        <f>IFERROR(__xludf.DUMMYFUNCTION("""COMPUTED_VALUE"""),"SI")</f>
        <v>SI</v>
      </c>
      <c r="U2006" s="213" t="str">
        <f>IFERROR(__xludf.DUMMYFUNCTION("""COMPUTED_VALUE"""),"SI")</f>
        <v>SI</v>
      </c>
      <c r="V2006" s="213" t="str">
        <f>IFERROR(__xludf.DUMMYFUNCTION("""COMPUTED_VALUE"""),"-")</f>
        <v>-</v>
      </c>
      <c r="W2006" s="213" t="str">
        <f>IFERROR(__xludf.DUMMYFUNCTION("""COMPUTED_VALUE"""),"-")</f>
        <v>-</v>
      </c>
      <c r="X2006" s="213" t="str">
        <f>IFERROR(__xludf.DUMMYFUNCTION("""COMPUTED_VALUE"""),"GENERICO")</f>
        <v>GENERICO</v>
      </c>
      <c r="Y2006" s="213" t="str">
        <f>IFERROR(__xludf.DUMMYFUNCTION("""COMPUTED_VALUE"""),"Guante Algodón-Silicona 30 x 18,5 cm")</f>
        <v>Guante Algodón-Silicona 30 x 18,5 cm</v>
      </c>
      <c r="Z2006" s="215" t="str">
        <f>IFERROR(__xludf.DUMMYFUNCTION("""COMPUTED_VALUE"""),"https://www.realplaza.com/guante-algodon-silicona-30-x-185-cm-1001167469/p")</f>
        <v>https://www.realplaza.com/guante-algodon-silicona-30-x-185-cm-1001167469/p</v>
      </c>
      <c r="AA2006" s="213" t="str">
        <f>IFERROR(__xludf.DUMMYFUNCTION("""COMPUTED_VALUE"""),"MAT-177 GUANTES DE SILICONA RESISTENTES AL CALOR CON FORRO INTERIOR DE ALGODÓN, MANOPLAS PARA OLLAS Y HORNOS - CET")</f>
        <v>MAT-177 GUANTES DE SILICONA RESISTENTES AL CALOR CON FORRO INTERIOR DE ALGODÓN, MANOPLAS PARA OLLAS Y HORNOS - CET</v>
      </c>
      <c r="AB2006" s="213"/>
      <c r="AC2006" s="213"/>
      <c r="AD2006" s="213"/>
      <c r="AE2006" s="213"/>
      <c r="AF2006" s="213"/>
      <c r="AG2006" s="213"/>
      <c r="AH2006" s="213"/>
      <c r="AI2006" s="213"/>
      <c r="AJ2006" s="213"/>
      <c r="AK2006" s="213"/>
      <c r="AL2006" s="213"/>
      <c r="AM2006" s="213"/>
      <c r="AN2006" s="213"/>
      <c r="AO2006" s="213"/>
      <c r="AP2006" s="213" t="str">
        <f>IFERROR(__xludf.DUMMYFUNCTION("""COMPUTED_VALUE"""),"LUIS")</f>
        <v>LUIS</v>
      </c>
      <c r="AQ2006" s="213"/>
      <c r="AR2006" s="213"/>
      <c r="AS2006" s="213"/>
      <c r="AT2006" s="213"/>
      <c r="AU2006" s="213"/>
      <c r="AV2006" s="213"/>
      <c r="AW2006" s="213"/>
      <c r="AX2006" s="213"/>
      <c r="AY2006" s="213"/>
      <c r="AZ2006" s="213"/>
      <c r="BA2006" s="213"/>
      <c r="BB2006" s="213"/>
      <c r="BC2006" s="213"/>
      <c r="BD2006" s="213"/>
    </row>
    <row r="2007">
      <c r="A2007" s="213">
        <f>IFERROR(__xludf.DUMMYFUNCTION("""COMPUTED_VALUE"""),545.0)</f>
        <v>545</v>
      </c>
      <c r="B2007" s="213" t="str">
        <f>IFERROR(__xludf.DUMMYFUNCTION("""COMPUTED_VALUE"""),"2026 SIMON BOLIVAR")</f>
        <v>2026 SIMON BOLIVAR</v>
      </c>
      <c r="C2007" s="213" t="str">
        <f>IFERROR(__xludf.DUMMYFUNCTION("""COMPUTED_VALUE"""),"TALLER SFT DE INDUSTRIA ALIMENTARIA")</f>
        <v>TALLER SFT DE INDUSTRIA ALIMENTARIA</v>
      </c>
      <c r="D2007" s="213" t="str">
        <f>IFERROR(__xludf.DUMMYFUNCTION("""COMPUTED_VALUE"""),"EQUIPOS")</f>
        <v>EQUIPOS</v>
      </c>
      <c r="E2007" s="213" t="str">
        <f>IFERROR(__xludf.DUMMYFUNCTION("""COMPUTED_VALUE"""),"ESP-288")</f>
        <v>ESP-288</v>
      </c>
      <c r="F2007" s="213" t="str">
        <f>IFERROR(__xludf.DUMMYFUNCTION("""COMPUTED_VALUE"""),"ESP-288")</f>
        <v>ESP-288</v>
      </c>
      <c r="G2007" s="213"/>
      <c r="H2007" s="213" t="str">
        <f>IFERROR(__xludf.DUMMYFUNCTION("""COMPUTED_VALUE"""),"PASTEURIZACIÓN DOMÉSTICO 15 LITROS")</f>
        <v>PASTEURIZACIÓN DOMÉSTICO 15 LITROS</v>
      </c>
      <c r="I2007" s="213" t="str">
        <f>IFERROR(__xludf.DUMMYFUNCTION("""COMPUTED_VALUE"""),"· Material de fabricación: acero inoxidable
. Calentador eléctrico: 220V
· El calentamiento mínimo de 4°C hasta máx. 90°C
· Botón de reinicio
· Capacidad máxima es de 15 litros.
· Capacidad mínima es de 3 litros.
· Medidas aproximadas: 57 cm x 43 cm x 75 "&amp;"cm
· Peso aproximado: 10 kg
. Incluye funda protectora impermeable para su almacenamiento.")</f>
        <v>· Material de fabricación: acero inoxidable
. Calentador eléctrico: 220V
· El calentamiento mínimo de 4°C hasta máx. 90°C
· Botón de reinicio
· Capacidad máxima es de 15 litros.
· Capacidad mínima es de 3 litros.
· Medidas aproximadas: 57 cm x 43 cm x 75 cm
· Peso aproximado: 10 kg
. Incluye funda protectora impermeable para su almacenamiento.</v>
      </c>
      <c r="J2007" s="213">
        <f>IFERROR(__xludf.DUMMYFUNCTION("""COMPUTED_VALUE"""),3.0)</f>
        <v>3</v>
      </c>
      <c r="K2007" s="213" t="str">
        <f>IFERROR(__xludf.DUMMYFUNCTION("""COMPUTED_VALUE"""),"170 DÍAS CALENDARIO")</f>
        <v>170 DÍAS CALENDARIO</v>
      </c>
      <c r="L2007" s="213" t="str">
        <f>IFERROR(__xludf.DUMMYFUNCTION("""COMPUTED_VALUE"""),"")</f>
        <v/>
      </c>
      <c r="M2007" s="213">
        <f>IFERROR(__xludf.DUMMYFUNCTION("""COMPUTED_VALUE"""),1.0)</f>
        <v>1</v>
      </c>
      <c r="N2007" s="213">
        <f>IFERROR(__xludf.DUMMYFUNCTION("""COMPUTED_VALUE"""),1.0)</f>
        <v>1</v>
      </c>
      <c r="O2007" s="213">
        <f>IFERROR(__xludf.DUMMYFUNCTION("""COMPUTED_VALUE"""),1.0)</f>
        <v>1</v>
      </c>
      <c r="P2007" s="213"/>
      <c r="Q2007" s="213"/>
      <c r="R2007" s="213"/>
      <c r="S2007" s="213" t="str">
        <f>IFERROR(__xludf.DUMMYFUNCTION("""COMPUTED_VALUE"""),"SI")</f>
        <v>SI</v>
      </c>
      <c r="T2007" s="213" t="str">
        <f>IFERROR(__xludf.DUMMYFUNCTION("""COMPUTED_VALUE"""),"SI")</f>
        <v>SI</v>
      </c>
      <c r="U2007" s="213" t="str">
        <f>IFERROR(__xludf.DUMMYFUNCTION("""COMPUTED_VALUE"""),"NO")</f>
        <v>NO</v>
      </c>
      <c r="V2007" s="213" t="str">
        <f>IFERROR(__xludf.DUMMYFUNCTION("""COMPUTED_VALUE"""),"SUSTENTO")</f>
        <v>SUSTENTO</v>
      </c>
      <c r="W2007" s="213" t="str">
        <f>IFERROR(__xludf.DUMMYFUNCTION("""COMPUTED_VALUE"""),"ELÉCTRICO")</f>
        <v>ELÉCTRICO</v>
      </c>
      <c r="X2007" s="213" t="str">
        <f>IFERROR(__xludf.DUMMYFUNCTION("""COMPUTED_VALUE"""),"MILKY")</f>
        <v>MILKY</v>
      </c>
      <c r="Y2007" s="213" t="str">
        <f>IFERROR(__xludf.DUMMYFUNCTION("""COMPUTED_VALUE"""),"FJ 15")</f>
        <v>FJ 15</v>
      </c>
      <c r="Z2007" s="215" t="str">
        <f>IFERROR(__xludf.DUMMYFUNCTION("""COMPUTED_VALUE"""),"https://milkyday.es/producto/small-milk-pasteurizer-machine-milky-fj-15-230v/")</f>
        <v>https://milkyday.es/producto/small-milk-pasteurizer-machine-milky-fj-15-230v/</v>
      </c>
      <c r="AA2007" s="213" t="str">
        <f>IFERROR(__xludf.DUMMYFUNCTION("""COMPUTED_VALUE"""),"ESP-288 PASTEURIZACIÓN DOMÉSTICO 15 LITROS - CET")</f>
        <v>ESP-288 PASTEURIZACIÓN DOMÉSTICO 15 LITROS - CET</v>
      </c>
      <c r="AB2007" s="215" t="str">
        <f>IFERROR(__xludf.DUMMYFUNCTION("""COMPUTED_VALUE"""),"https://drive.google.com/file/d/1YumjH1dqSq9zQh2IOFxKjooSTjVG5Zjn/view?usp=sharing")</f>
        <v>https://drive.google.com/file/d/1YumjH1dqSq9zQh2IOFxKjooSTjVG5Zjn/view?usp=sharing</v>
      </c>
      <c r="AC2007" s="213"/>
      <c r="AD2007" s="213"/>
      <c r="AE2007" s="213"/>
      <c r="AF2007" s="213"/>
      <c r="AG2007" s="213"/>
      <c r="AH2007" s="213" t="str">
        <f>IFERROR(__xludf.DUMMYFUNCTION("""COMPUTED_VALUE"""),"IMPORTADO")</f>
        <v>IMPORTADO</v>
      </c>
      <c r="AI2007" s="213"/>
      <c r="AJ2007" s="213"/>
      <c r="AK2007" s="213"/>
      <c r="AL2007" s="213"/>
      <c r="AM2007" s="213"/>
      <c r="AN2007" s="213"/>
      <c r="AO2007" s="213"/>
      <c r="AP2007" s="213" t="str">
        <f>IFERROR(__xludf.DUMMYFUNCTION("""COMPUTED_VALUE"""),"ANTONELLA")</f>
        <v>ANTONELLA</v>
      </c>
      <c r="AQ2007" s="213"/>
      <c r="AR2007" s="213"/>
      <c r="AS2007" s="213" t="str">
        <f>IFERROR(__xludf.DUMMYFUNCTION("""COMPUTED_VALUE"""),"FUNDA PROTECTORA")</f>
        <v>FUNDA PROTECTORA</v>
      </c>
      <c r="AT2007" s="213"/>
      <c r="AU2007" s="213"/>
      <c r="AV2007" s="213"/>
      <c r="AW2007" s="213"/>
      <c r="AX2007" s="213"/>
      <c r="AY2007" s="213"/>
      <c r="AZ2007" s="213"/>
      <c r="BA2007" s="213"/>
      <c r="BB2007" s="213"/>
      <c r="BC2007" s="213"/>
      <c r="BD2007" s="213"/>
    </row>
    <row r="2008">
      <c r="A2008" s="213">
        <f>IFERROR(__xludf.DUMMYFUNCTION("""COMPUTED_VALUE"""),548.0)</f>
        <v>548</v>
      </c>
      <c r="B2008" s="213" t="str">
        <f>IFERROR(__xludf.DUMMYFUNCTION("""COMPUTED_VALUE"""),"2026 SIMON BOLIVAR")</f>
        <v>2026 SIMON BOLIVAR</v>
      </c>
      <c r="C2008" s="213" t="str">
        <f>IFERROR(__xludf.DUMMYFUNCTION("""COMPUTED_VALUE"""),"TALLER SFT DE INDUSTRIA ALIMENTARIA")</f>
        <v>TALLER SFT DE INDUSTRIA ALIMENTARIA</v>
      </c>
      <c r="D2008" s="213" t="str">
        <f>IFERROR(__xludf.DUMMYFUNCTION("""COMPUTED_VALUE"""),"EQUIPOS")</f>
        <v>EQUIPOS</v>
      </c>
      <c r="E2008" s="213" t="str">
        <f>IFERROR(__xludf.DUMMYFUNCTION("""COMPUTED_VALUE"""),"ESP-288")</f>
        <v>ESP-288</v>
      </c>
      <c r="F2008" s="213" t="str">
        <f>IFERROR(__xludf.DUMMYFUNCTION("""COMPUTED_VALUE"""),"ESP-288")</f>
        <v>ESP-288</v>
      </c>
      <c r="G2008" s="213"/>
      <c r="H2008" s="213" t="str">
        <f>IFERROR(__xludf.DUMMYFUNCTION("""COMPUTED_VALUE"""),"PASTEURIZACIÓN DOMÉSTICO 15 LITROS")</f>
        <v>PASTEURIZACIÓN DOMÉSTICO 15 LITROS</v>
      </c>
      <c r="I2008" s="213" t="str">
        <f>IFERROR(__xludf.DUMMYFUNCTION("""COMPUTED_VALUE"""),"· Material de fabricación: acero inoxidable
. Calentador eléctrico: 220V
· El calentamiento mínimo de 4°C hasta máx. 90°C
· Botón de reinicio
· Capacidad máxima es de 15 litros.
· Capacidad mínima es de 3 litros.
· Medidas aproximadas: 57 cm x 43 cm x 75 "&amp;"cm
· Peso aproximado: 10 kg
. Incluye funda protectora impermeable para su almacenamiento.")</f>
        <v>· Material de fabricación: acero inoxidable
. Calentador eléctrico: 220V
· El calentamiento mínimo de 4°C hasta máx. 90°C
· Botón de reinicio
· Capacidad máxima es de 15 litros.
· Capacidad mínima es de 3 litros.
· Medidas aproximadas: 57 cm x 43 cm x 75 cm
· Peso aproximado: 10 kg
. Incluye funda protectora impermeable para su almacenamiento.</v>
      </c>
      <c r="J2008" s="213">
        <f>IFERROR(__xludf.DUMMYFUNCTION("""COMPUTED_VALUE"""),3.0)</f>
        <v>3</v>
      </c>
      <c r="K2008" s="213" t="str">
        <f>IFERROR(__xludf.DUMMYFUNCTION("""COMPUTED_VALUE"""),"170 DÍAS CALENDARIO")</f>
        <v>170 DÍAS CALENDARIO</v>
      </c>
      <c r="L2008" s="213" t="str">
        <f>IFERROR(__xludf.DUMMYFUNCTION("""COMPUTED_VALUE"""),"")</f>
        <v/>
      </c>
      <c r="M2008" s="213">
        <f>IFERROR(__xludf.DUMMYFUNCTION("""COMPUTED_VALUE"""),1.0)</f>
        <v>1</v>
      </c>
      <c r="N2008" s="213">
        <f>IFERROR(__xludf.DUMMYFUNCTION("""COMPUTED_VALUE"""),1.0)</f>
        <v>1</v>
      </c>
      <c r="O2008" s="213">
        <f>IFERROR(__xludf.DUMMYFUNCTION("""COMPUTED_VALUE"""),1.0)</f>
        <v>1</v>
      </c>
      <c r="P2008" s="213"/>
      <c r="Q2008" s="213"/>
      <c r="R2008" s="213"/>
      <c r="S2008" s="213" t="str">
        <f>IFERROR(__xludf.DUMMYFUNCTION("""COMPUTED_VALUE"""),"SI")</f>
        <v>SI</v>
      </c>
      <c r="T2008" s="213" t="str">
        <f>IFERROR(__xludf.DUMMYFUNCTION("""COMPUTED_VALUE"""),"SI")</f>
        <v>SI</v>
      </c>
      <c r="U2008" s="213" t="str">
        <f>IFERROR(__xludf.DUMMYFUNCTION("""COMPUTED_VALUE"""),"NO")</f>
        <v>NO</v>
      </c>
      <c r="V2008" s="213" t="str">
        <f>IFERROR(__xludf.DUMMYFUNCTION("""COMPUTED_VALUE"""),"SUSTENTO")</f>
        <v>SUSTENTO</v>
      </c>
      <c r="W2008" s="213" t="str">
        <f>IFERROR(__xludf.DUMMYFUNCTION("""COMPUTED_VALUE"""),"ELÉCTRICO")</f>
        <v>ELÉCTRICO</v>
      </c>
      <c r="X2008" s="213" t="str">
        <f>IFERROR(__xludf.DUMMYFUNCTION("""COMPUTED_VALUE"""),"MILKY")</f>
        <v>MILKY</v>
      </c>
      <c r="Y2008" s="213" t="str">
        <f>IFERROR(__xludf.DUMMYFUNCTION("""COMPUTED_VALUE"""),"FJ 15")</f>
        <v>FJ 15</v>
      </c>
      <c r="Z2008" s="215" t="str">
        <f>IFERROR(__xludf.DUMMYFUNCTION("""COMPUTED_VALUE"""),"https://milkyday.es/producto/small-milk-pasteurizer-machine-milky-fj-15-230v/")</f>
        <v>https://milkyday.es/producto/small-milk-pasteurizer-machine-milky-fj-15-230v/</v>
      </c>
      <c r="AA2008" s="213" t="str">
        <f>IFERROR(__xludf.DUMMYFUNCTION("""COMPUTED_VALUE"""),"ESP-288 PASTEURIZACIÓN DOMÉSTICO 15 LITROS - CET")</f>
        <v>ESP-288 PASTEURIZACIÓN DOMÉSTICO 15 LITROS - CET</v>
      </c>
      <c r="AB2008" s="215" t="str">
        <f>IFERROR(__xludf.DUMMYFUNCTION("""COMPUTED_VALUE"""),"https://drive.google.com/file/d/1YumjH1dqSq9zQh2IOFxKjooSTjVG5Zjn/view?usp=sharing")</f>
        <v>https://drive.google.com/file/d/1YumjH1dqSq9zQh2IOFxKjooSTjVG5Zjn/view?usp=sharing</v>
      </c>
      <c r="AC2008" s="213"/>
      <c r="AD2008" s="213"/>
      <c r="AE2008" s="213"/>
      <c r="AF2008" s="213"/>
      <c r="AG2008" s="213"/>
      <c r="AH2008" s="213" t="str">
        <f>IFERROR(__xludf.DUMMYFUNCTION("""COMPUTED_VALUE"""),"IMPORTADO")</f>
        <v>IMPORTADO</v>
      </c>
      <c r="AI2008" s="213"/>
      <c r="AJ2008" s="213"/>
      <c r="AK2008" s="213"/>
      <c r="AL2008" s="213"/>
      <c r="AM2008" s="213"/>
      <c r="AN2008" s="213"/>
      <c r="AO2008" s="213"/>
      <c r="AP2008" s="213" t="str">
        <f>IFERROR(__xludf.DUMMYFUNCTION("""COMPUTED_VALUE"""),"ANTONELLA")</f>
        <v>ANTONELLA</v>
      </c>
      <c r="AQ2008" s="213"/>
      <c r="AR2008" s="213"/>
      <c r="AS2008" s="213" t="str">
        <f>IFERROR(__xludf.DUMMYFUNCTION("""COMPUTED_VALUE"""),"FUNDA PROTECTORA")</f>
        <v>FUNDA PROTECTORA</v>
      </c>
      <c r="AT2008" s="213"/>
      <c r="AU2008" s="213"/>
      <c r="AV2008" s="213"/>
      <c r="AW2008" s="213"/>
      <c r="AX2008" s="213"/>
      <c r="AY2008" s="213"/>
      <c r="AZ2008" s="213"/>
      <c r="BA2008" s="213"/>
      <c r="BB2008" s="213"/>
      <c r="BC2008" s="213"/>
      <c r="BD2008" s="213"/>
    </row>
    <row r="2009">
      <c r="A2009" s="213">
        <f>IFERROR(__xludf.DUMMYFUNCTION("""COMPUTED_VALUE"""),1172.0)</f>
        <v>1172</v>
      </c>
      <c r="B2009" s="213" t="str">
        <f>IFERROR(__xludf.DUMMYFUNCTION("""COMPUTED_VALUE"""),"FRANCISCO IRAZOLA")</f>
        <v>FRANCISCO IRAZOLA</v>
      </c>
      <c r="C2009" s="213" t="str">
        <f>IFERROR(__xludf.DUMMYFUNCTION("""COMPUTED_VALUE"""),"TALLER SFT DE INDUSTRIA ALIMENTARIA")</f>
        <v>TALLER SFT DE INDUSTRIA ALIMENTARIA</v>
      </c>
      <c r="D2009" s="213" t="str">
        <f>IFERROR(__xludf.DUMMYFUNCTION("""COMPUTED_VALUE"""),"EQUIPOS")</f>
        <v>EQUIPOS</v>
      </c>
      <c r="E2009" s="213" t="str">
        <f>IFERROR(__xludf.DUMMYFUNCTION("""COMPUTED_VALUE"""),"ESP-288")</f>
        <v>ESP-288</v>
      </c>
      <c r="F2009" s="213" t="str">
        <f>IFERROR(__xludf.DUMMYFUNCTION("""COMPUTED_VALUE"""),"ESP-288")</f>
        <v>ESP-288</v>
      </c>
      <c r="G2009" s="213"/>
      <c r="H2009" s="213" t="str">
        <f>IFERROR(__xludf.DUMMYFUNCTION("""COMPUTED_VALUE"""),"PASTEURIZACIÓN DOMÉSTICO 15 LITROS")</f>
        <v>PASTEURIZACIÓN DOMÉSTICO 15 LITROS</v>
      </c>
      <c r="I2009" s="213" t="str">
        <f>IFERROR(__xludf.DUMMYFUNCTION("""COMPUTED_VALUE"""),"· Material de fabricación: acero inoxidable
. Calentador eléctrico: 220V
· El calentamiento mínimo de 4°C hasta máx. 90°C
· Botón de reinicio
· Capacidad máxima es de 15 litros.
· Capacidad mínima es de 3 litros.
· Medidas aproximadas: 57 cm x 43 cm x 75 "&amp;"cm
· Peso aproximado: 10 kg
. Incluye funda protectora impermeable para su almacenamiento.")</f>
        <v>· Material de fabricación: acero inoxidable
. Calentador eléctrico: 220V
· El calentamiento mínimo de 4°C hasta máx. 90°C
· Botón de reinicio
· Capacidad máxima es de 15 litros.
· Capacidad mínima es de 3 litros.
· Medidas aproximadas: 57 cm x 43 cm x 75 cm
· Peso aproximado: 10 kg
. Incluye funda protectora impermeable para su almacenamiento.</v>
      </c>
      <c r="J2009" s="213">
        <f>IFERROR(__xludf.DUMMYFUNCTION("""COMPUTED_VALUE"""),3.0)</f>
        <v>3</v>
      </c>
      <c r="K2009" s="213" t="str">
        <f>IFERROR(__xludf.DUMMYFUNCTION("""COMPUTED_VALUE"""),"170 DÍAS CALENDARIO")</f>
        <v>170 DÍAS CALENDARIO</v>
      </c>
      <c r="L2009" s="213" t="str">
        <f>IFERROR(__xludf.DUMMYFUNCTION("""COMPUTED_VALUE"""),"")</f>
        <v/>
      </c>
      <c r="M2009" s="213">
        <f>IFERROR(__xludf.DUMMYFUNCTION("""COMPUTED_VALUE"""),1.0)</f>
        <v>1</v>
      </c>
      <c r="N2009" s="213">
        <f>IFERROR(__xludf.DUMMYFUNCTION("""COMPUTED_VALUE"""),1.0)</f>
        <v>1</v>
      </c>
      <c r="O2009" s="213">
        <f>IFERROR(__xludf.DUMMYFUNCTION("""COMPUTED_VALUE"""),1.0)</f>
        <v>1</v>
      </c>
      <c r="P2009" s="213"/>
      <c r="Q2009" s="213"/>
      <c r="R2009" s="213"/>
      <c r="S2009" s="213" t="str">
        <f>IFERROR(__xludf.DUMMYFUNCTION("""COMPUTED_VALUE"""),"SI")</f>
        <v>SI</v>
      </c>
      <c r="T2009" s="213" t="str">
        <f>IFERROR(__xludf.DUMMYFUNCTION("""COMPUTED_VALUE"""),"SI")</f>
        <v>SI</v>
      </c>
      <c r="U2009" s="213" t="str">
        <f>IFERROR(__xludf.DUMMYFUNCTION("""COMPUTED_VALUE"""),"NO")</f>
        <v>NO</v>
      </c>
      <c r="V2009" s="213" t="str">
        <f>IFERROR(__xludf.DUMMYFUNCTION("""COMPUTED_VALUE"""),"SUSTENTO")</f>
        <v>SUSTENTO</v>
      </c>
      <c r="W2009" s="213" t="str">
        <f>IFERROR(__xludf.DUMMYFUNCTION("""COMPUTED_VALUE"""),"ELÉCTRICO")</f>
        <v>ELÉCTRICO</v>
      </c>
      <c r="X2009" s="213" t="str">
        <f>IFERROR(__xludf.DUMMYFUNCTION("""COMPUTED_VALUE"""),"MILKY")</f>
        <v>MILKY</v>
      </c>
      <c r="Y2009" s="213" t="str">
        <f>IFERROR(__xludf.DUMMYFUNCTION("""COMPUTED_VALUE"""),"FJ 15")</f>
        <v>FJ 15</v>
      </c>
      <c r="Z2009" s="215" t="str">
        <f>IFERROR(__xludf.DUMMYFUNCTION("""COMPUTED_VALUE"""),"https://milkyday.es/producto/small-milk-pasteurizer-machine-milky-fj-15-230v/")</f>
        <v>https://milkyday.es/producto/small-milk-pasteurizer-machine-milky-fj-15-230v/</v>
      </c>
      <c r="AA2009" s="213" t="str">
        <f>IFERROR(__xludf.DUMMYFUNCTION("""COMPUTED_VALUE"""),"ESP-288 PASTEURIZACIÓN DOMÉSTICO 15 LITROS - CET")</f>
        <v>ESP-288 PASTEURIZACIÓN DOMÉSTICO 15 LITROS - CET</v>
      </c>
      <c r="AB2009" s="215" t="str">
        <f>IFERROR(__xludf.DUMMYFUNCTION("""COMPUTED_VALUE"""),"https://drive.google.com/file/d/1YumjH1dqSq9zQh2IOFxKjooSTjVG5Zjn/view?usp=sharing")</f>
        <v>https://drive.google.com/file/d/1YumjH1dqSq9zQh2IOFxKjooSTjVG5Zjn/view?usp=sharing</v>
      </c>
      <c r="AC2009" s="213"/>
      <c r="AD2009" s="213"/>
      <c r="AE2009" s="213"/>
      <c r="AF2009" s="213"/>
      <c r="AG2009" s="213"/>
      <c r="AH2009" s="213" t="str">
        <f>IFERROR(__xludf.DUMMYFUNCTION("""COMPUTED_VALUE"""),"IMPORTADO")</f>
        <v>IMPORTADO</v>
      </c>
      <c r="AI2009" s="213"/>
      <c r="AJ2009" s="213"/>
      <c r="AK2009" s="213"/>
      <c r="AL2009" s="213"/>
      <c r="AM2009" s="213"/>
      <c r="AN2009" s="213"/>
      <c r="AO2009" s="213"/>
      <c r="AP2009" s="213" t="str">
        <f>IFERROR(__xludf.DUMMYFUNCTION("""COMPUTED_VALUE"""),"ANTONELLA")</f>
        <v>ANTONELLA</v>
      </c>
      <c r="AQ2009" s="213"/>
      <c r="AR2009" s="213"/>
      <c r="AS2009" s="213" t="str">
        <f>IFERROR(__xludf.DUMMYFUNCTION("""COMPUTED_VALUE"""),"FUNDA PROTECTORA")</f>
        <v>FUNDA PROTECTORA</v>
      </c>
      <c r="AT2009" s="213"/>
      <c r="AU2009" s="213"/>
      <c r="AV2009" s="213"/>
      <c r="AW2009" s="213"/>
      <c r="AX2009" s="213"/>
      <c r="AY2009" s="213"/>
      <c r="AZ2009" s="213"/>
      <c r="BA2009" s="213"/>
      <c r="BB2009" s="213"/>
      <c r="BC2009" s="213"/>
      <c r="BD2009" s="213"/>
    </row>
    <row r="2010">
      <c r="A2010" s="213">
        <f>IFERROR(__xludf.DUMMYFUNCTION("""COMPUTED_VALUE"""),1175.0)</f>
        <v>1175</v>
      </c>
      <c r="B2010" s="213" t="str">
        <f>IFERROR(__xludf.DUMMYFUNCTION("""COMPUTED_VALUE"""),"FRANCISCO IRAZOLA")</f>
        <v>FRANCISCO IRAZOLA</v>
      </c>
      <c r="C2010" s="213" t="str">
        <f>IFERROR(__xludf.DUMMYFUNCTION("""COMPUTED_VALUE"""),"TALLER SFT DE INDUSTRIA ALIMENTARIA")</f>
        <v>TALLER SFT DE INDUSTRIA ALIMENTARIA</v>
      </c>
      <c r="D2010" s="213" t="str">
        <f>IFERROR(__xludf.DUMMYFUNCTION("""COMPUTED_VALUE"""),"EQUIPOS")</f>
        <v>EQUIPOS</v>
      </c>
      <c r="E2010" s="213" t="str">
        <f>IFERROR(__xludf.DUMMYFUNCTION("""COMPUTED_VALUE"""),"ESP-288")</f>
        <v>ESP-288</v>
      </c>
      <c r="F2010" s="213" t="str">
        <f>IFERROR(__xludf.DUMMYFUNCTION("""COMPUTED_VALUE"""),"ESP-288")</f>
        <v>ESP-288</v>
      </c>
      <c r="G2010" s="213"/>
      <c r="H2010" s="213" t="str">
        <f>IFERROR(__xludf.DUMMYFUNCTION("""COMPUTED_VALUE"""),"PASTEURIZACIÓN DOMÉSTICO 15 LITROS")</f>
        <v>PASTEURIZACIÓN DOMÉSTICO 15 LITROS</v>
      </c>
      <c r="I2010" s="213" t="str">
        <f>IFERROR(__xludf.DUMMYFUNCTION("""COMPUTED_VALUE"""),"· Material de fabricación: acero inoxidable
. Calentador eléctrico: 220V
· El calentamiento mínimo de 4°C hasta máx. 90°C
· Botón de reinicio
· Capacidad máxima es de 15 litros.
· Capacidad mínima es de 3 litros.
· Medidas aproximadas: 57 cm x 43 cm x 75 "&amp;"cm
· Peso aproximado: 10 kg
. Incluye funda protectora impermeable para su almacenamiento.")</f>
        <v>· Material de fabricación: acero inoxidable
. Calentador eléctrico: 220V
· El calentamiento mínimo de 4°C hasta máx. 90°C
· Botón de reinicio
· Capacidad máxima es de 15 litros.
· Capacidad mínima es de 3 litros.
· Medidas aproximadas: 57 cm x 43 cm x 75 cm
· Peso aproximado: 10 kg
. Incluye funda protectora impermeable para su almacenamiento.</v>
      </c>
      <c r="J2010" s="213">
        <f>IFERROR(__xludf.DUMMYFUNCTION("""COMPUTED_VALUE"""),3.0)</f>
        <v>3</v>
      </c>
      <c r="K2010" s="213" t="str">
        <f>IFERROR(__xludf.DUMMYFUNCTION("""COMPUTED_VALUE"""),"170 DÍAS CALENDARIO")</f>
        <v>170 DÍAS CALENDARIO</v>
      </c>
      <c r="L2010" s="213" t="str">
        <f>IFERROR(__xludf.DUMMYFUNCTION("""COMPUTED_VALUE"""),"")</f>
        <v/>
      </c>
      <c r="M2010" s="213">
        <f>IFERROR(__xludf.DUMMYFUNCTION("""COMPUTED_VALUE"""),1.0)</f>
        <v>1</v>
      </c>
      <c r="N2010" s="213">
        <f>IFERROR(__xludf.DUMMYFUNCTION("""COMPUTED_VALUE"""),2.0)</f>
        <v>2</v>
      </c>
      <c r="O2010" s="213">
        <f>IFERROR(__xludf.DUMMYFUNCTION("""COMPUTED_VALUE"""),2.0)</f>
        <v>2</v>
      </c>
      <c r="P2010" s="213"/>
      <c r="Q2010" s="213"/>
      <c r="R2010" s="213"/>
      <c r="S2010" s="213" t="str">
        <f>IFERROR(__xludf.DUMMYFUNCTION("""COMPUTED_VALUE"""),"SI")</f>
        <v>SI</v>
      </c>
      <c r="T2010" s="213" t="str">
        <f>IFERROR(__xludf.DUMMYFUNCTION("""COMPUTED_VALUE"""),"SI")</f>
        <v>SI</v>
      </c>
      <c r="U2010" s="213" t="str">
        <f>IFERROR(__xludf.DUMMYFUNCTION("""COMPUTED_VALUE"""),"NO")</f>
        <v>NO</v>
      </c>
      <c r="V2010" s="213" t="str">
        <f>IFERROR(__xludf.DUMMYFUNCTION("""COMPUTED_VALUE"""),"SUSTENTO")</f>
        <v>SUSTENTO</v>
      </c>
      <c r="W2010" s="213" t="str">
        <f>IFERROR(__xludf.DUMMYFUNCTION("""COMPUTED_VALUE"""),"ELÉCTRICO")</f>
        <v>ELÉCTRICO</v>
      </c>
      <c r="X2010" s="213" t="str">
        <f>IFERROR(__xludf.DUMMYFUNCTION("""COMPUTED_VALUE"""),"MILKY")</f>
        <v>MILKY</v>
      </c>
      <c r="Y2010" s="213" t="str">
        <f>IFERROR(__xludf.DUMMYFUNCTION("""COMPUTED_VALUE"""),"FJ 15")</f>
        <v>FJ 15</v>
      </c>
      <c r="Z2010" s="215" t="str">
        <f>IFERROR(__xludf.DUMMYFUNCTION("""COMPUTED_VALUE"""),"https://milkyday.es/producto/small-milk-pasteurizer-machine-milky-fj-15-230v/")</f>
        <v>https://milkyday.es/producto/small-milk-pasteurizer-machine-milky-fj-15-230v/</v>
      </c>
      <c r="AA2010" s="213" t="str">
        <f>IFERROR(__xludf.DUMMYFUNCTION("""COMPUTED_VALUE"""),"ESP-288 PASTEURIZACIÓN DOMÉSTICO 15 LITROS - CET")</f>
        <v>ESP-288 PASTEURIZACIÓN DOMÉSTICO 15 LITROS - CET</v>
      </c>
      <c r="AB2010" s="215" t="str">
        <f>IFERROR(__xludf.DUMMYFUNCTION("""COMPUTED_VALUE"""),"https://drive.google.com/file/d/1YumjH1dqSq9zQh2IOFxKjooSTjVG5Zjn/view?usp=sharing")</f>
        <v>https://drive.google.com/file/d/1YumjH1dqSq9zQh2IOFxKjooSTjVG5Zjn/view?usp=sharing</v>
      </c>
      <c r="AC2010" s="213"/>
      <c r="AD2010" s="213"/>
      <c r="AE2010" s="213"/>
      <c r="AF2010" s="213"/>
      <c r="AG2010" s="213"/>
      <c r="AH2010" s="213" t="str">
        <f>IFERROR(__xludf.DUMMYFUNCTION("""COMPUTED_VALUE"""),"IMPORTADO")</f>
        <v>IMPORTADO</v>
      </c>
      <c r="AI2010" s="213"/>
      <c r="AJ2010" s="213"/>
      <c r="AK2010" s="213"/>
      <c r="AL2010" s="213"/>
      <c r="AM2010" s="213"/>
      <c r="AN2010" s="213"/>
      <c r="AO2010" s="213"/>
      <c r="AP2010" s="213" t="str">
        <f>IFERROR(__xludf.DUMMYFUNCTION("""COMPUTED_VALUE"""),"ANTONELLA")</f>
        <v>ANTONELLA</v>
      </c>
      <c r="AQ2010" s="213"/>
      <c r="AR2010" s="213"/>
      <c r="AS2010" s="213" t="str">
        <f>IFERROR(__xludf.DUMMYFUNCTION("""COMPUTED_VALUE"""),"FUNDA PROTECTORA")</f>
        <v>FUNDA PROTECTORA</v>
      </c>
      <c r="AT2010" s="213"/>
      <c r="AU2010" s="213"/>
      <c r="AV2010" s="213"/>
      <c r="AW2010" s="213"/>
      <c r="AX2010" s="213"/>
      <c r="AY2010" s="213"/>
      <c r="AZ2010" s="213"/>
      <c r="BA2010" s="213"/>
      <c r="BB2010" s="213"/>
      <c r="BC2010" s="213"/>
      <c r="BD2010" s="213"/>
    </row>
    <row r="2011">
      <c r="A2011" s="213">
        <f>IFERROR(__xludf.DUMMYFUNCTION("""COMPUTED_VALUE"""),1447.0)</f>
        <v>1447</v>
      </c>
      <c r="B2011" s="213" t="str">
        <f>IFERROR(__xludf.DUMMYFUNCTION("""COMPUTED_VALUE"""),"GUILLERMO E. BILLINGHURST ")</f>
        <v>GUILLERMO E. BILLINGHURST </v>
      </c>
      <c r="C2011" s="213" t="str">
        <f>IFERROR(__xludf.DUMMYFUNCTION("""COMPUTED_VALUE"""),"TALLER SFT DE INDUSTRIA ALIMENTARIA")</f>
        <v>TALLER SFT DE INDUSTRIA ALIMENTARIA</v>
      </c>
      <c r="D2011" s="213" t="str">
        <f>IFERROR(__xludf.DUMMYFUNCTION("""COMPUTED_VALUE"""),"EQUIPOS")</f>
        <v>EQUIPOS</v>
      </c>
      <c r="E2011" s="213" t="str">
        <f>IFERROR(__xludf.DUMMYFUNCTION("""COMPUTED_VALUE"""),"ESP-288")</f>
        <v>ESP-288</v>
      </c>
      <c r="F2011" s="213" t="str">
        <f>IFERROR(__xludf.DUMMYFUNCTION("""COMPUTED_VALUE"""),"ESP-288")</f>
        <v>ESP-288</v>
      </c>
      <c r="G2011" s="213"/>
      <c r="H2011" s="213" t="str">
        <f>IFERROR(__xludf.DUMMYFUNCTION("""COMPUTED_VALUE"""),"PASTEURIZACIÓN DOMÉSTICO 15 LITROS")</f>
        <v>PASTEURIZACIÓN DOMÉSTICO 15 LITROS</v>
      </c>
      <c r="I2011" s="213" t="str">
        <f>IFERROR(__xludf.DUMMYFUNCTION("""COMPUTED_VALUE"""),"· Material de fabricación: acero inoxidable
. Calentador eléctrico: 220V
· El calentamiento mínimo de 4°C hasta máx. 90°C
· Botón de reinicio
· Capacidad máxima es de 15 litros.
· Capacidad mínima es de 3 litros.
· Medidas aproximadas: 57 cm x 43 cm x 75 "&amp;"cm
· Peso aproximado: 10 kg
. Incluye funda protectora impermeable para su almacenamiento.")</f>
        <v>· Material de fabricación: acero inoxidable
. Calentador eléctrico: 220V
· El calentamiento mínimo de 4°C hasta máx. 90°C
· Botón de reinicio
· Capacidad máxima es de 15 litros.
· Capacidad mínima es de 3 litros.
· Medidas aproximadas: 57 cm x 43 cm x 75 cm
· Peso aproximado: 10 kg
. Incluye funda protectora impermeable para su almacenamiento.</v>
      </c>
      <c r="J2011" s="213">
        <f>IFERROR(__xludf.DUMMYFUNCTION("""COMPUTED_VALUE"""),3.0)</f>
        <v>3</v>
      </c>
      <c r="K2011" s="213" t="str">
        <f>IFERROR(__xludf.DUMMYFUNCTION("""COMPUTED_VALUE"""),"170 DÍAS CALENDARIO")</f>
        <v>170 DÍAS CALENDARIO</v>
      </c>
      <c r="L2011" s="213" t="str">
        <f>IFERROR(__xludf.DUMMYFUNCTION("""COMPUTED_VALUE"""),"")</f>
        <v/>
      </c>
      <c r="M2011" s="213">
        <f>IFERROR(__xludf.DUMMYFUNCTION("""COMPUTED_VALUE"""),1.0)</f>
        <v>1</v>
      </c>
      <c r="N2011" s="213">
        <f>IFERROR(__xludf.DUMMYFUNCTION("""COMPUTED_VALUE"""),1.0)</f>
        <v>1</v>
      </c>
      <c r="O2011" s="213">
        <f>IFERROR(__xludf.DUMMYFUNCTION("""COMPUTED_VALUE"""),1.0)</f>
        <v>1</v>
      </c>
      <c r="P2011" s="213"/>
      <c r="Q2011" s="213"/>
      <c r="R2011" s="213"/>
      <c r="S2011" s="213" t="str">
        <f>IFERROR(__xludf.DUMMYFUNCTION("""COMPUTED_VALUE"""),"SI")</f>
        <v>SI</v>
      </c>
      <c r="T2011" s="213" t="str">
        <f>IFERROR(__xludf.DUMMYFUNCTION("""COMPUTED_VALUE"""),"SI")</f>
        <v>SI</v>
      </c>
      <c r="U2011" s="213" t="str">
        <f>IFERROR(__xludf.DUMMYFUNCTION("""COMPUTED_VALUE"""),"NO")</f>
        <v>NO</v>
      </c>
      <c r="V2011" s="213" t="str">
        <f>IFERROR(__xludf.DUMMYFUNCTION("""COMPUTED_VALUE"""),"SUSTENTO")</f>
        <v>SUSTENTO</v>
      </c>
      <c r="W2011" s="213" t="str">
        <f>IFERROR(__xludf.DUMMYFUNCTION("""COMPUTED_VALUE"""),"ELÉCTRICO")</f>
        <v>ELÉCTRICO</v>
      </c>
      <c r="X2011" s="213" t="str">
        <f>IFERROR(__xludf.DUMMYFUNCTION("""COMPUTED_VALUE"""),"MILKY")</f>
        <v>MILKY</v>
      </c>
      <c r="Y2011" s="213" t="str">
        <f>IFERROR(__xludf.DUMMYFUNCTION("""COMPUTED_VALUE"""),"FJ 15")</f>
        <v>FJ 15</v>
      </c>
      <c r="Z2011" s="215" t="str">
        <f>IFERROR(__xludf.DUMMYFUNCTION("""COMPUTED_VALUE"""),"https://milkyday.es/producto/small-milk-pasteurizer-machine-milky-fj-15-230v/")</f>
        <v>https://milkyday.es/producto/small-milk-pasteurizer-machine-milky-fj-15-230v/</v>
      </c>
      <c r="AA2011" s="213" t="str">
        <f>IFERROR(__xludf.DUMMYFUNCTION("""COMPUTED_VALUE"""),"ESP-288 PASTEURIZACIÓN DOMÉSTICO 15 LITROS - CET")</f>
        <v>ESP-288 PASTEURIZACIÓN DOMÉSTICO 15 LITROS - CET</v>
      </c>
      <c r="AB2011" s="215" t="str">
        <f>IFERROR(__xludf.DUMMYFUNCTION("""COMPUTED_VALUE"""),"https://drive.google.com/file/d/1YumjH1dqSq9zQh2IOFxKjooSTjVG5Zjn/view?usp=sharing")</f>
        <v>https://drive.google.com/file/d/1YumjH1dqSq9zQh2IOFxKjooSTjVG5Zjn/view?usp=sharing</v>
      </c>
      <c r="AC2011" s="213"/>
      <c r="AD2011" s="213"/>
      <c r="AE2011" s="213"/>
      <c r="AF2011" s="213"/>
      <c r="AG2011" s="213"/>
      <c r="AH2011" s="213" t="str">
        <f>IFERROR(__xludf.DUMMYFUNCTION("""COMPUTED_VALUE"""),"IMPORTADO")</f>
        <v>IMPORTADO</v>
      </c>
      <c r="AI2011" s="213"/>
      <c r="AJ2011" s="213"/>
      <c r="AK2011" s="213"/>
      <c r="AL2011" s="213"/>
      <c r="AM2011" s="213"/>
      <c r="AN2011" s="213"/>
      <c r="AO2011" s="213"/>
      <c r="AP2011" s="213" t="str">
        <f>IFERROR(__xludf.DUMMYFUNCTION("""COMPUTED_VALUE"""),"ANTONELLA")</f>
        <v>ANTONELLA</v>
      </c>
      <c r="AQ2011" s="213"/>
      <c r="AR2011" s="213"/>
      <c r="AS2011" s="213" t="str">
        <f>IFERROR(__xludf.DUMMYFUNCTION("""COMPUTED_VALUE"""),"FUNDA PROTECTORA")</f>
        <v>FUNDA PROTECTORA</v>
      </c>
      <c r="AT2011" s="213"/>
      <c r="AU2011" s="213"/>
      <c r="AV2011" s="213"/>
      <c r="AW2011" s="213"/>
      <c r="AX2011" s="213"/>
      <c r="AY2011" s="213"/>
      <c r="AZ2011" s="213"/>
      <c r="BA2011" s="213"/>
      <c r="BB2011" s="213"/>
      <c r="BC2011" s="213"/>
      <c r="BD2011" s="213"/>
    </row>
    <row r="2012">
      <c r="A2012" s="213">
        <f>IFERROR(__xludf.DUMMYFUNCTION("""COMPUTED_VALUE"""),1450.0)</f>
        <v>1450</v>
      </c>
      <c r="B2012" s="213" t="str">
        <f>IFERROR(__xludf.DUMMYFUNCTION("""COMPUTED_VALUE"""),"GUILLERMO E. BILLINGHURST ")</f>
        <v>GUILLERMO E. BILLINGHURST </v>
      </c>
      <c r="C2012" s="213" t="str">
        <f>IFERROR(__xludf.DUMMYFUNCTION("""COMPUTED_VALUE"""),"TALLER SFT DE INDUSTRIA ALIMENTARIA")</f>
        <v>TALLER SFT DE INDUSTRIA ALIMENTARIA</v>
      </c>
      <c r="D2012" s="213" t="str">
        <f>IFERROR(__xludf.DUMMYFUNCTION("""COMPUTED_VALUE"""),"EQUIPOS")</f>
        <v>EQUIPOS</v>
      </c>
      <c r="E2012" s="213" t="str">
        <f>IFERROR(__xludf.DUMMYFUNCTION("""COMPUTED_VALUE"""),"ESP-288")</f>
        <v>ESP-288</v>
      </c>
      <c r="F2012" s="213" t="str">
        <f>IFERROR(__xludf.DUMMYFUNCTION("""COMPUTED_VALUE"""),"ESP-288")</f>
        <v>ESP-288</v>
      </c>
      <c r="G2012" s="213"/>
      <c r="H2012" s="213" t="str">
        <f>IFERROR(__xludf.DUMMYFUNCTION("""COMPUTED_VALUE"""),"PASTEURIZACIÓN DOMÉSTICO 15 LITROS")</f>
        <v>PASTEURIZACIÓN DOMÉSTICO 15 LITROS</v>
      </c>
      <c r="I2012" s="213" t="str">
        <f>IFERROR(__xludf.DUMMYFUNCTION("""COMPUTED_VALUE"""),"· Material de fabricación: acero inoxidable
. Calentador eléctrico: 220V
· El calentamiento mínimo de 4°C hasta máx. 90°C
· Botón de reinicio
· Capacidad máxima es de 15 litros.
· Capacidad mínima es de 3 litros.
· Medidas aproximadas: 57 cm x 43 cm x 75 "&amp;"cm
· Peso aproximado: 10 kg
. Incluye funda protectora impermeable para su almacenamiento.")</f>
        <v>· Material de fabricación: acero inoxidable
. Calentador eléctrico: 220V
· El calentamiento mínimo de 4°C hasta máx. 90°C
· Botón de reinicio
· Capacidad máxima es de 15 litros.
· Capacidad mínima es de 3 litros.
· Medidas aproximadas: 57 cm x 43 cm x 75 cm
· Peso aproximado: 10 kg
. Incluye funda protectora impermeable para su almacenamiento.</v>
      </c>
      <c r="J2012" s="213">
        <f>IFERROR(__xludf.DUMMYFUNCTION("""COMPUTED_VALUE"""),3.0)</f>
        <v>3</v>
      </c>
      <c r="K2012" s="213" t="str">
        <f>IFERROR(__xludf.DUMMYFUNCTION("""COMPUTED_VALUE"""),"170 DÍAS CALENDARIO")</f>
        <v>170 DÍAS CALENDARIO</v>
      </c>
      <c r="L2012" s="213" t="str">
        <f>IFERROR(__xludf.DUMMYFUNCTION("""COMPUTED_VALUE"""),"")</f>
        <v/>
      </c>
      <c r="M2012" s="213">
        <f>IFERROR(__xludf.DUMMYFUNCTION("""COMPUTED_VALUE"""),1.0)</f>
        <v>1</v>
      </c>
      <c r="N2012" s="213">
        <f>IFERROR(__xludf.DUMMYFUNCTION("""COMPUTED_VALUE"""),2.0)</f>
        <v>2</v>
      </c>
      <c r="O2012" s="213">
        <f>IFERROR(__xludf.DUMMYFUNCTION("""COMPUTED_VALUE"""),2.0)</f>
        <v>2</v>
      </c>
      <c r="P2012" s="213"/>
      <c r="Q2012" s="213"/>
      <c r="R2012" s="213"/>
      <c r="S2012" s="213" t="str">
        <f>IFERROR(__xludf.DUMMYFUNCTION("""COMPUTED_VALUE"""),"SI")</f>
        <v>SI</v>
      </c>
      <c r="T2012" s="213" t="str">
        <f>IFERROR(__xludf.DUMMYFUNCTION("""COMPUTED_VALUE"""),"SI")</f>
        <v>SI</v>
      </c>
      <c r="U2012" s="213" t="str">
        <f>IFERROR(__xludf.DUMMYFUNCTION("""COMPUTED_VALUE"""),"NO")</f>
        <v>NO</v>
      </c>
      <c r="V2012" s="213" t="str">
        <f>IFERROR(__xludf.DUMMYFUNCTION("""COMPUTED_VALUE"""),"SUSTENTO")</f>
        <v>SUSTENTO</v>
      </c>
      <c r="W2012" s="213" t="str">
        <f>IFERROR(__xludf.DUMMYFUNCTION("""COMPUTED_VALUE"""),"ELÉCTRICO")</f>
        <v>ELÉCTRICO</v>
      </c>
      <c r="X2012" s="213" t="str">
        <f>IFERROR(__xludf.DUMMYFUNCTION("""COMPUTED_VALUE"""),"MILKY")</f>
        <v>MILKY</v>
      </c>
      <c r="Y2012" s="213" t="str">
        <f>IFERROR(__xludf.DUMMYFUNCTION("""COMPUTED_VALUE"""),"FJ 15")</f>
        <v>FJ 15</v>
      </c>
      <c r="Z2012" s="215" t="str">
        <f>IFERROR(__xludf.DUMMYFUNCTION("""COMPUTED_VALUE"""),"https://milkyday.es/producto/small-milk-pasteurizer-machine-milky-fj-15-230v/")</f>
        <v>https://milkyday.es/producto/small-milk-pasteurizer-machine-milky-fj-15-230v/</v>
      </c>
      <c r="AA2012" s="213" t="str">
        <f>IFERROR(__xludf.DUMMYFUNCTION("""COMPUTED_VALUE"""),"ESP-288 PASTEURIZACIÓN DOMÉSTICO 15 LITROS - CET")</f>
        <v>ESP-288 PASTEURIZACIÓN DOMÉSTICO 15 LITROS - CET</v>
      </c>
      <c r="AB2012" s="215" t="str">
        <f>IFERROR(__xludf.DUMMYFUNCTION("""COMPUTED_VALUE"""),"https://drive.google.com/file/d/1YumjH1dqSq9zQh2IOFxKjooSTjVG5Zjn/view?usp=sharing")</f>
        <v>https://drive.google.com/file/d/1YumjH1dqSq9zQh2IOFxKjooSTjVG5Zjn/view?usp=sharing</v>
      </c>
      <c r="AC2012" s="213"/>
      <c r="AD2012" s="213"/>
      <c r="AE2012" s="213"/>
      <c r="AF2012" s="213"/>
      <c r="AG2012" s="213"/>
      <c r="AH2012" s="213" t="str">
        <f>IFERROR(__xludf.DUMMYFUNCTION("""COMPUTED_VALUE"""),"IMPORTADO")</f>
        <v>IMPORTADO</v>
      </c>
      <c r="AI2012" s="213"/>
      <c r="AJ2012" s="213"/>
      <c r="AK2012" s="213"/>
      <c r="AL2012" s="213"/>
      <c r="AM2012" s="213"/>
      <c r="AN2012" s="213"/>
      <c r="AO2012" s="213"/>
      <c r="AP2012" s="213" t="str">
        <f>IFERROR(__xludf.DUMMYFUNCTION("""COMPUTED_VALUE"""),"ANTONELLA")</f>
        <v>ANTONELLA</v>
      </c>
      <c r="AQ2012" s="213"/>
      <c r="AR2012" s="213"/>
      <c r="AS2012" s="213" t="str">
        <f>IFERROR(__xludf.DUMMYFUNCTION("""COMPUTED_VALUE"""),"FUNDA PROTECTORA")</f>
        <v>FUNDA PROTECTORA</v>
      </c>
      <c r="AT2012" s="213"/>
      <c r="AU2012" s="213"/>
      <c r="AV2012" s="213"/>
      <c r="AW2012" s="213"/>
      <c r="AX2012" s="213"/>
      <c r="AY2012" s="213"/>
      <c r="AZ2012" s="213"/>
      <c r="BA2012" s="213"/>
      <c r="BB2012" s="213"/>
      <c r="BC2012" s="213"/>
      <c r="BD2012" s="213"/>
    </row>
    <row r="2013">
      <c r="A2013" s="213">
        <f>IFERROR(__xludf.DUMMYFUNCTION("""COMPUTED_VALUE"""),2134.0)</f>
        <v>2134</v>
      </c>
      <c r="B2013" s="213" t="str">
        <f>IFERROR(__xludf.DUMMYFUNCTION("""COMPUTED_VALUE"""),"JOSE GRANDA")</f>
        <v>JOSE GRANDA</v>
      </c>
      <c r="C2013" s="213" t="str">
        <f>IFERROR(__xludf.DUMMYFUNCTION("""COMPUTED_VALUE"""),"TALLER SFT DE INDUSTRIA ALIMENTARIA")</f>
        <v>TALLER SFT DE INDUSTRIA ALIMENTARIA</v>
      </c>
      <c r="D2013" s="213" t="str">
        <f>IFERROR(__xludf.DUMMYFUNCTION("""COMPUTED_VALUE"""),"EQUIPOS")</f>
        <v>EQUIPOS</v>
      </c>
      <c r="E2013" s="213" t="str">
        <f>IFERROR(__xludf.DUMMYFUNCTION("""COMPUTED_VALUE"""),"ESP-288")</f>
        <v>ESP-288</v>
      </c>
      <c r="F2013" s="213" t="str">
        <f>IFERROR(__xludf.DUMMYFUNCTION("""COMPUTED_VALUE"""),"ESP-288")</f>
        <v>ESP-288</v>
      </c>
      <c r="G2013" s="213"/>
      <c r="H2013" s="213" t="str">
        <f>IFERROR(__xludf.DUMMYFUNCTION("""COMPUTED_VALUE"""),"PASTEURIZACIÓN DOMÉSTICO 15 LITROS")</f>
        <v>PASTEURIZACIÓN DOMÉSTICO 15 LITROS</v>
      </c>
      <c r="I2013" s="213" t="str">
        <f>IFERROR(__xludf.DUMMYFUNCTION("""COMPUTED_VALUE"""),"· Material de fabricación: acero inoxidable
. Calentador eléctrico: 220V
· El calentamiento mínimo de 4°C hasta máx. 90°C
· Botón de reinicio
· Capacidad máxima es de 15 litros.
· Capacidad mínima es de 3 litros.
· Medidas aproximadas: 57 cm x 43 cm x 75 "&amp;"cm
· Peso aproximado: 10 kg
. Incluye funda protectora impermeable para su almacenamiento.")</f>
        <v>· Material de fabricación: acero inoxidable
. Calentador eléctrico: 220V
· El calentamiento mínimo de 4°C hasta máx. 90°C
· Botón de reinicio
· Capacidad máxima es de 15 litros.
· Capacidad mínima es de 3 litros.
· Medidas aproximadas: 57 cm x 43 cm x 75 cm
· Peso aproximado: 10 kg
. Incluye funda protectora impermeable para su almacenamiento.</v>
      </c>
      <c r="J2013" s="213">
        <f>IFERROR(__xludf.DUMMYFUNCTION("""COMPUTED_VALUE"""),3.0)</f>
        <v>3</v>
      </c>
      <c r="K2013" s="213" t="str">
        <f>IFERROR(__xludf.DUMMYFUNCTION("""COMPUTED_VALUE"""),"170 DÍAS CALENDARIO")</f>
        <v>170 DÍAS CALENDARIO</v>
      </c>
      <c r="L2013" s="213" t="str">
        <f>IFERROR(__xludf.DUMMYFUNCTION("""COMPUTED_VALUE"""),"")</f>
        <v/>
      </c>
      <c r="M2013" s="213">
        <f>IFERROR(__xludf.DUMMYFUNCTION("""COMPUTED_VALUE"""),1.0)</f>
        <v>1</v>
      </c>
      <c r="N2013" s="213">
        <f>IFERROR(__xludf.DUMMYFUNCTION("""COMPUTED_VALUE"""),1.0)</f>
        <v>1</v>
      </c>
      <c r="O2013" s="213">
        <f>IFERROR(__xludf.DUMMYFUNCTION("""COMPUTED_VALUE"""),1.0)</f>
        <v>1</v>
      </c>
      <c r="P2013" s="213"/>
      <c r="Q2013" s="213"/>
      <c r="R2013" s="213"/>
      <c r="S2013" s="213" t="str">
        <f>IFERROR(__xludf.DUMMYFUNCTION("""COMPUTED_VALUE"""),"SI")</f>
        <v>SI</v>
      </c>
      <c r="T2013" s="213" t="str">
        <f>IFERROR(__xludf.DUMMYFUNCTION("""COMPUTED_VALUE"""),"SI")</f>
        <v>SI</v>
      </c>
      <c r="U2013" s="213" t="str">
        <f>IFERROR(__xludf.DUMMYFUNCTION("""COMPUTED_VALUE"""),"NO")</f>
        <v>NO</v>
      </c>
      <c r="V2013" s="213" t="str">
        <f>IFERROR(__xludf.DUMMYFUNCTION("""COMPUTED_VALUE"""),"SUSTENTO")</f>
        <v>SUSTENTO</v>
      </c>
      <c r="W2013" s="213" t="str">
        <f>IFERROR(__xludf.DUMMYFUNCTION("""COMPUTED_VALUE"""),"ELÉCTRICO")</f>
        <v>ELÉCTRICO</v>
      </c>
      <c r="X2013" s="213" t="str">
        <f>IFERROR(__xludf.DUMMYFUNCTION("""COMPUTED_VALUE"""),"MILKY")</f>
        <v>MILKY</v>
      </c>
      <c r="Y2013" s="213" t="str">
        <f>IFERROR(__xludf.DUMMYFUNCTION("""COMPUTED_VALUE"""),"FJ 15")</f>
        <v>FJ 15</v>
      </c>
      <c r="Z2013" s="215" t="str">
        <f>IFERROR(__xludf.DUMMYFUNCTION("""COMPUTED_VALUE"""),"https://milkyday.es/producto/small-milk-pasteurizer-machine-milky-fj-15-230v/")</f>
        <v>https://milkyday.es/producto/small-milk-pasteurizer-machine-milky-fj-15-230v/</v>
      </c>
      <c r="AA2013" s="213" t="str">
        <f>IFERROR(__xludf.DUMMYFUNCTION("""COMPUTED_VALUE"""),"ESP-288 PASTEURIZACIÓN DOMÉSTICO 15 LITROS - CET")</f>
        <v>ESP-288 PASTEURIZACIÓN DOMÉSTICO 15 LITROS - CET</v>
      </c>
      <c r="AB2013" s="215" t="str">
        <f>IFERROR(__xludf.DUMMYFUNCTION("""COMPUTED_VALUE"""),"https://drive.google.com/file/d/1YumjH1dqSq9zQh2IOFxKjooSTjVG5Zjn/view?usp=sharing")</f>
        <v>https://drive.google.com/file/d/1YumjH1dqSq9zQh2IOFxKjooSTjVG5Zjn/view?usp=sharing</v>
      </c>
      <c r="AC2013" s="213"/>
      <c r="AD2013" s="213"/>
      <c r="AE2013" s="213"/>
      <c r="AF2013" s="213"/>
      <c r="AG2013" s="213"/>
      <c r="AH2013" s="213" t="str">
        <f>IFERROR(__xludf.DUMMYFUNCTION("""COMPUTED_VALUE"""),"IMPORTADO")</f>
        <v>IMPORTADO</v>
      </c>
      <c r="AI2013" s="213"/>
      <c r="AJ2013" s="213"/>
      <c r="AK2013" s="213"/>
      <c r="AL2013" s="213"/>
      <c r="AM2013" s="213"/>
      <c r="AN2013" s="213"/>
      <c r="AO2013" s="213"/>
      <c r="AP2013" s="213" t="str">
        <f>IFERROR(__xludf.DUMMYFUNCTION("""COMPUTED_VALUE"""),"ANTONELLA")</f>
        <v>ANTONELLA</v>
      </c>
      <c r="AQ2013" s="213"/>
      <c r="AR2013" s="213"/>
      <c r="AS2013" s="213" t="str">
        <f>IFERROR(__xludf.DUMMYFUNCTION("""COMPUTED_VALUE"""),"FUNDA PROTECTORA")</f>
        <v>FUNDA PROTECTORA</v>
      </c>
      <c r="AT2013" s="213"/>
      <c r="AU2013" s="213"/>
      <c r="AV2013" s="213"/>
      <c r="AW2013" s="213"/>
      <c r="AX2013" s="213"/>
      <c r="AY2013" s="213"/>
      <c r="AZ2013" s="213"/>
      <c r="BA2013" s="213"/>
      <c r="BB2013" s="213"/>
      <c r="BC2013" s="213"/>
      <c r="BD2013" s="213"/>
    </row>
    <row r="2014">
      <c r="A2014" s="213">
        <f>IFERROR(__xludf.DUMMYFUNCTION("""COMPUTED_VALUE"""),2137.0)</f>
        <v>2137</v>
      </c>
      <c r="B2014" s="213" t="str">
        <f>IFERROR(__xludf.DUMMYFUNCTION("""COMPUTED_VALUE"""),"JOSE GRANDA")</f>
        <v>JOSE GRANDA</v>
      </c>
      <c r="C2014" s="213" t="str">
        <f>IFERROR(__xludf.DUMMYFUNCTION("""COMPUTED_VALUE"""),"TALLER SFT DE INDUSTRIA ALIMENTARIA")</f>
        <v>TALLER SFT DE INDUSTRIA ALIMENTARIA</v>
      </c>
      <c r="D2014" s="213" t="str">
        <f>IFERROR(__xludf.DUMMYFUNCTION("""COMPUTED_VALUE"""),"EQUIPOS")</f>
        <v>EQUIPOS</v>
      </c>
      <c r="E2014" s="213" t="str">
        <f>IFERROR(__xludf.DUMMYFUNCTION("""COMPUTED_VALUE"""),"ESP-288")</f>
        <v>ESP-288</v>
      </c>
      <c r="F2014" s="213" t="str">
        <f>IFERROR(__xludf.DUMMYFUNCTION("""COMPUTED_VALUE"""),"ESP-288")</f>
        <v>ESP-288</v>
      </c>
      <c r="G2014" s="213"/>
      <c r="H2014" s="213" t="str">
        <f>IFERROR(__xludf.DUMMYFUNCTION("""COMPUTED_VALUE"""),"PASTEURIZACIÓN DOMÉSTICO 15 LITROS")</f>
        <v>PASTEURIZACIÓN DOMÉSTICO 15 LITROS</v>
      </c>
      <c r="I2014" s="213" t="str">
        <f>IFERROR(__xludf.DUMMYFUNCTION("""COMPUTED_VALUE"""),"· Material de fabricación: acero inoxidable
. Calentador eléctrico: 220V
· El calentamiento mínimo de 4°C hasta máx. 90°C
· Botón de reinicio
· Capacidad máxima es de 15 litros.
· Capacidad mínima es de 3 litros.
· Medidas aproximadas: 57 cm x 43 cm x 75 "&amp;"cm
· Peso aproximado: 10 kg
. Incluye funda protectora impermeable para su almacenamiento.")</f>
        <v>· Material de fabricación: acero inoxidable
. Calentador eléctrico: 220V
· El calentamiento mínimo de 4°C hasta máx. 90°C
· Botón de reinicio
· Capacidad máxima es de 15 litros.
· Capacidad mínima es de 3 litros.
· Medidas aproximadas: 57 cm x 43 cm x 75 cm
· Peso aproximado: 10 kg
. Incluye funda protectora impermeable para su almacenamiento.</v>
      </c>
      <c r="J2014" s="213">
        <f>IFERROR(__xludf.DUMMYFUNCTION("""COMPUTED_VALUE"""),3.0)</f>
        <v>3</v>
      </c>
      <c r="K2014" s="213" t="str">
        <f>IFERROR(__xludf.DUMMYFUNCTION("""COMPUTED_VALUE"""),"170 DÍAS CALENDARIO")</f>
        <v>170 DÍAS CALENDARIO</v>
      </c>
      <c r="L2014" s="213" t="str">
        <f>IFERROR(__xludf.DUMMYFUNCTION("""COMPUTED_VALUE"""),"")</f>
        <v/>
      </c>
      <c r="M2014" s="213">
        <f>IFERROR(__xludf.DUMMYFUNCTION("""COMPUTED_VALUE"""),1.0)</f>
        <v>1</v>
      </c>
      <c r="N2014" s="213">
        <f>IFERROR(__xludf.DUMMYFUNCTION("""COMPUTED_VALUE"""),1.0)</f>
        <v>1</v>
      </c>
      <c r="O2014" s="213">
        <f>IFERROR(__xludf.DUMMYFUNCTION("""COMPUTED_VALUE"""),1.0)</f>
        <v>1</v>
      </c>
      <c r="P2014" s="213"/>
      <c r="Q2014" s="213"/>
      <c r="R2014" s="213"/>
      <c r="S2014" s="213" t="str">
        <f>IFERROR(__xludf.DUMMYFUNCTION("""COMPUTED_VALUE"""),"SI")</f>
        <v>SI</v>
      </c>
      <c r="T2014" s="213" t="str">
        <f>IFERROR(__xludf.DUMMYFUNCTION("""COMPUTED_VALUE"""),"SI")</f>
        <v>SI</v>
      </c>
      <c r="U2014" s="213" t="str">
        <f>IFERROR(__xludf.DUMMYFUNCTION("""COMPUTED_VALUE"""),"NO")</f>
        <v>NO</v>
      </c>
      <c r="V2014" s="213" t="str">
        <f>IFERROR(__xludf.DUMMYFUNCTION("""COMPUTED_VALUE"""),"SUSTENTO")</f>
        <v>SUSTENTO</v>
      </c>
      <c r="W2014" s="213" t="str">
        <f>IFERROR(__xludf.DUMMYFUNCTION("""COMPUTED_VALUE"""),"ELÉCTRICO")</f>
        <v>ELÉCTRICO</v>
      </c>
      <c r="X2014" s="213" t="str">
        <f>IFERROR(__xludf.DUMMYFUNCTION("""COMPUTED_VALUE"""),"MILKY")</f>
        <v>MILKY</v>
      </c>
      <c r="Y2014" s="213" t="str">
        <f>IFERROR(__xludf.DUMMYFUNCTION("""COMPUTED_VALUE"""),"FJ 15")</f>
        <v>FJ 15</v>
      </c>
      <c r="Z2014" s="215" t="str">
        <f>IFERROR(__xludf.DUMMYFUNCTION("""COMPUTED_VALUE"""),"https://milkyday.es/producto/small-milk-pasteurizer-machine-milky-fj-15-230v/")</f>
        <v>https://milkyday.es/producto/small-milk-pasteurizer-machine-milky-fj-15-230v/</v>
      </c>
      <c r="AA2014" s="213" t="str">
        <f>IFERROR(__xludf.DUMMYFUNCTION("""COMPUTED_VALUE"""),"ESP-288 PASTEURIZACIÓN DOMÉSTICO 15 LITROS - CET")</f>
        <v>ESP-288 PASTEURIZACIÓN DOMÉSTICO 15 LITROS - CET</v>
      </c>
      <c r="AB2014" s="215" t="str">
        <f>IFERROR(__xludf.DUMMYFUNCTION("""COMPUTED_VALUE"""),"https://drive.google.com/file/d/1YumjH1dqSq9zQh2IOFxKjooSTjVG5Zjn/view?usp=sharing")</f>
        <v>https://drive.google.com/file/d/1YumjH1dqSq9zQh2IOFxKjooSTjVG5Zjn/view?usp=sharing</v>
      </c>
      <c r="AC2014" s="213"/>
      <c r="AD2014" s="213"/>
      <c r="AE2014" s="213"/>
      <c r="AF2014" s="213"/>
      <c r="AG2014" s="213"/>
      <c r="AH2014" s="213" t="str">
        <f>IFERROR(__xludf.DUMMYFUNCTION("""COMPUTED_VALUE"""),"IMPORTADO")</f>
        <v>IMPORTADO</v>
      </c>
      <c r="AI2014" s="213"/>
      <c r="AJ2014" s="213"/>
      <c r="AK2014" s="213"/>
      <c r="AL2014" s="213"/>
      <c r="AM2014" s="213"/>
      <c r="AN2014" s="213"/>
      <c r="AO2014" s="213"/>
      <c r="AP2014" s="213" t="str">
        <f>IFERROR(__xludf.DUMMYFUNCTION("""COMPUTED_VALUE"""),"ANTONELLA")</f>
        <v>ANTONELLA</v>
      </c>
      <c r="AQ2014" s="213"/>
      <c r="AR2014" s="213"/>
      <c r="AS2014" s="213" t="str">
        <f>IFERROR(__xludf.DUMMYFUNCTION("""COMPUTED_VALUE"""),"FUNDA PROTECTORA")</f>
        <v>FUNDA PROTECTORA</v>
      </c>
      <c r="AT2014" s="213"/>
      <c r="AU2014" s="213"/>
      <c r="AV2014" s="213"/>
      <c r="AW2014" s="213"/>
      <c r="AX2014" s="213"/>
      <c r="AY2014" s="213"/>
      <c r="AZ2014" s="213"/>
      <c r="BA2014" s="213"/>
      <c r="BB2014" s="213"/>
      <c r="BC2014" s="213"/>
      <c r="BD2014" s="213"/>
    </row>
    <row r="2015">
      <c r="A2015" s="213">
        <f>IFERROR(__xludf.DUMMYFUNCTION("""COMPUTED_VALUE"""),74.0)</f>
        <v>74</v>
      </c>
      <c r="B2015" s="213" t="str">
        <f>IFERROR(__xludf.DUMMYFUNCTION("""COMPUTED_VALUE"""),"16449 ELOY SOBERON  FLORES")</f>
        <v>16449 ELOY SOBERON  FLORES</v>
      </c>
      <c r="C2015" s="213" t="str">
        <f>IFERROR(__xludf.DUMMYFUNCTION("""COMPUTED_VALUE"""),"TALLER SFT DE COCINA Y REPOSTERÍA")</f>
        <v>TALLER SFT DE COCINA Y REPOSTERÍA</v>
      </c>
      <c r="D2015" s="213" t="str">
        <f>IFERROR(__xludf.DUMMYFUNCTION("""COMPUTED_VALUE"""),"HERRAMIENTAS")</f>
        <v>HERRAMIENTAS</v>
      </c>
      <c r="E2015" s="213" t="str">
        <f>IFERROR(__xludf.DUMMYFUNCTION("""COMPUTED_VALUE"""),"MAT-177")</f>
        <v>MAT-177</v>
      </c>
      <c r="F2015" s="213" t="str">
        <f>IFERROR(__xludf.DUMMYFUNCTION("""COMPUTED_VALUE"""),"MAT-177-Y")</f>
        <v>MAT-177-Y</v>
      </c>
      <c r="G2015" s="213"/>
      <c r="H2015" s="213" t="str">
        <f>IFERROR(__xludf.DUMMYFUNCTION("""COMPUTED_VALUE"""),"GUANTES DE SILICONA RESISTENTES AL CALOR CON FORRO INTERIOR DE ALGODÓN,
MANOPLAS PARA OLLAS Y HORNOS")</f>
        <v>GUANTES DE SILICONA RESISTENTES AL CALOR CON FORRO INTERIOR DE ALGODÓN,
MANOPLAS PARA OLLAS Y HORNOS</v>
      </c>
      <c r="I2015" s="213" t="str">
        <f>IFERROR(__xludf.DUMMYFUNCTION("""COMPUTED_VALUE"""),"· Protege de las temperaturas altas
· Capa interior de forro de algodón 100% para el máximo - Comodidad (de -40 a 425F).")</f>
        <v>· Protege de las temperaturas altas
· Capa interior de forro de algodón 100% para el máximo - Comodidad (de -40 a 425F).</v>
      </c>
      <c r="J2015" s="213">
        <f>IFERROR(__xludf.DUMMYFUNCTION("""COMPUTED_VALUE"""),3.0)</f>
        <v>3</v>
      </c>
      <c r="K2015" s="213" t="str">
        <f>IFERROR(__xludf.DUMMYFUNCTION("""COMPUTED_VALUE"""),"90 DÍAS CALENDARIO")</f>
        <v>90 DÍAS CALENDARIO</v>
      </c>
      <c r="L2015" s="213" t="str">
        <f>IFERROR(__xludf.DUMMYFUNCTION("""COMPUTED_VALUE"""),"")</f>
        <v/>
      </c>
      <c r="M2015" s="213">
        <f>IFERROR(__xludf.DUMMYFUNCTION("""COMPUTED_VALUE"""),1.0)</f>
        <v>1</v>
      </c>
      <c r="N2015" s="213">
        <f>IFERROR(__xludf.DUMMYFUNCTION("""COMPUTED_VALUE"""),4.0)</f>
        <v>4</v>
      </c>
      <c r="O2015" s="213">
        <f>IFERROR(__xludf.DUMMYFUNCTION("""COMPUTED_VALUE"""),4.0)</f>
        <v>4</v>
      </c>
      <c r="P2015" s="213"/>
      <c r="Q2015" s="213"/>
      <c r="R2015" s="213" t="str">
        <f>IFERROR(__xludf.DUMMYFUNCTION("""COMPUTED_VALUE"""),"SI")</f>
        <v>SI</v>
      </c>
      <c r="S2015" s="213"/>
      <c r="T2015" s="213" t="str">
        <f>IFERROR(__xludf.DUMMYFUNCTION("""COMPUTED_VALUE"""),"SI")</f>
        <v>SI</v>
      </c>
      <c r="U2015" s="213" t="str">
        <f>IFERROR(__xludf.DUMMYFUNCTION("""COMPUTED_VALUE"""),"SI")</f>
        <v>SI</v>
      </c>
      <c r="V2015" s="213" t="str">
        <f>IFERROR(__xludf.DUMMYFUNCTION("""COMPUTED_VALUE"""),"-")</f>
        <v>-</v>
      </c>
      <c r="W2015" s="213" t="str">
        <f>IFERROR(__xludf.DUMMYFUNCTION("""COMPUTED_VALUE"""),"-")</f>
        <v>-</v>
      </c>
      <c r="X2015" s="213" t="str">
        <f>IFERROR(__xludf.DUMMYFUNCTION("""COMPUTED_VALUE"""),"GENERICO")</f>
        <v>GENERICO</v>
      </c>
      <c r="Y2015" s="213" t="str">
        <f>IFERROR(__xludf.DUMMYFUNCTION("""COMPUTED_VALUE"""),"Guante Algodón-Silicona 30 x 18,5 cm")</f>
        <v>Guante Algodón-Silicona 30 x 18,5 cm</v>
      </c>
      <c r="Z2015" s="215" t="str">
        <f>IFERROR(__xludf.DUMMYFUNCTION("""COMPUTED_VALUE"""),"https://www.realplaza.com/guante-algodon-silicona-30-x-185-cm-1001167469/p")</f>
        <v>https://www.realplaza.com/guante-algodon-silicona-30-x-185-cm-1001167469/p</v>
      </c>
      <c r="AA2015" s="213" t="str">
        <f>IFERROR(__xludf.DUMMYFUNCTION("""COMPUTED_VALUE"""),"MAT-177 GUANTES DE SILICONA RESISTENTES AL CALOR CON FORRO INTERIOR DE ALGODÓN, MANOPLAS PARA OLLAS Y HORNOS - CET")</f>
        <v>MAT-177 GUANTES DE SILICONA RESISTENTES AL CALOR CON FORRO INTERIOR DE ALGODÓN, MANOPLAS PARA OLLAS Y HORNOS - CET</v>
      </c>
      <c r="AB2015" s="213"/>
      <c r="AC2015" s="213"/>
      <c r="AD2015" s="213"/>
      <c r="AE2015" s="213"/>
      <c r="AF2015" s="213"/>
      <c r="AG2015" s="213"/>
      <c r="AH2015" s="213"/>
      <c r="AI2015" s="213"/>
      <c r="AJ2015" s="213"/>
      <c r="AK2015" s="213"/>
      <c r="AL2015" s="213"/>
      <c r="AM2015" s="213"/>
      <c r="AN2015" s="213"/>
      <c r="AO2015" s="213"/>
      <c r="AP2015" s="213" t="str">
        <f>IFERROR(__xludf.DUMMYFUNCTION("""COMPUTED_VALUE"""),"LUIS")</f>
        <v>LUIS</v>
      </c>
      <c r="AQ2015" s="213"/>
      <c r="AR2015" s="213"/>
      <c r="AS2015" s="213"/>
      <c r="AT2015" s="213"/>
      <c r="AU2015" s="213"/>
      <c r="AV2015" s="213"/>
      <c r="AW2015" s="213"/>
      <c r="AX2015" s="213"/>
      <c r="AY2015" s="213"/>
      <c r="AZ2015" s="213"/>
      <c r="BA2015" s="213"/>
      <c r="BB2015" s="213"/>
      <c r="BC2015" s="213"/>
      <c r="BD2015" s="213"/>
    </row>
    <row r="2016">
      <c r="A2016" s="213">
        <f>IFERROR(__xludf.DUMMYFUNCTION("""COMPUTED_VALUE"""),534.0)</f>
        <v>534</v>
      </c>
      <c r="B2016" s="213" t="str">
        <f>IFERROR(__xludf.DUMMYFUNCTION("""COMPUTED_VALUE"""),"2026 SIMON BOLIVAR")</f>
        <v>2026 SIMON BOLIVAR</v>
      </c>
      <c r="C2016" s="213" t="str">
        <f>IFERROR(__xludf.DUMMYFUNCTION("""COMPUTED_VALUE"""),"TALLER SFT DE INDUSTRIA ALIMENTARIA")</f>
        <v>TALLER SFT DE INDUSTRIA ALIMENTARIA</v>
      </c>
      <c r="D2016" s="213" t="str">
        <f>IFERROR(__xludf.DUMMYFUNCTION("""COMPUTED_VALUE"""),"HERRAMIENTAS")</f>
        <v>HERRAMIENTAS</v>
      </c>
      <c r="E2016" s="213" t="str">
        <f>IFERROR(__xludf.DUMMYFUNCTION("""COMPUTED_VALUE"""),"MAT-178")</f>
        <v>MAT-178</v>
      </c>
      <c r="F2016" s="213" t="str">
        <f>IFERROR(__xludf.DUMMYFUNCTION("""COMPUTED_VALUE"""),"MAT-178-Y")</f>
        <v>MAT-178-Y</v>
      </c>
      <c r="G2016" s="213"/>
      <c r="H2016" s="213" t="str">
        <f>IFERROR(__xludf.DUMMYFUNCTION("""COMPUTED_VALUE"""),"GUANTES MULTIUSO ANTIBACTERIAL")</f>
        <v>GUANTES MULTIUSO ANTIBACTERIAL</v>
      </c>
      <c r="I2016" s="213" t="str">
        <f>IFERROR(__xludf.DUMMYFUNCTION("""COMPUTED_VALUE"""),"· Guantes resistentes.
. Elaborados con nanopartículas de cobre,  aditivo que entrega una barrera protectora que inhibe la formación de hongos y bacterias.
. La palma y dedos tienen textura antideslizante.
. Talla mínima: M .")</f>
        <v>· Guantes resistentes.
. Elaborados con nanopartículas de cobre,  aditivo que entrega una barrera protectora que inhibe la formación de hongos y bacterias.
. La palma y dedos tienen textura antideslizante.
. Talla mínima: M .</v>
      </c>
      <c r="J2016" s="213">
        <f>IFERROR(__xludf.DUMMYFUNCTION("""COMPUTED_VALUE"""),3.0)</f>
        <v>3</v>
      </c>
      <c r="K2016" s="213" t="str">
        <f>IFERROR(__xludf.DUMMYFUNCTION("""COMPUTED_VALUE"""),"90 DÍAS CALENDARIO")</f>
        <v>90 DÍAS CALENDARIO</v>
      </c>
      <c r="L2016" s="213" t="str">
        <f>IFERROR(__xludf.DUMMYFUNCTION("""COMPUTED_VALUE"""),"")</f>
        <v/>
      </c>
      <c r="M2016" s="213">
        <f>IFERROR(__xludf.DUMMYFUNCTION("""COMPUTED_VALUE"""),1.0)</f>
        <v>1</v>
      </c>
      <c r="N2016" s="213">
        <f>IFERROR(__xludf.DUMMYFUNCTION("""COMPUTED_VALUE"""),20.0)</f>
        <v>20</v>
      </c>
      <c r="O2016" s="213">
        <f>IFERROR(__xludf.DUMMYFUNCTION("""COMPUTED_VALUE"""),20.0)</f>
        <v>20</v>
      </c>
      <c r="P2016" s="213"/>
      <c r="Q2016" s="213"/>
      <c r="R2016" s="213" t="str">
        <f>IFERROR(__xludf.DUMMYFUNCTION("""COMPUTED_VALUE"""),"SI")</f>
        <v>SI</v>
      </c>
      <c r="S2016" s="213"/>
      <c r="T2016" s="213" t="str">
        <f>IFERROR(__xludf.DUMMYFUNCTION("""COMPUTED_VALUE"""),"SI")</f>
        <v>SI</v>
      </c>
      <c r="U2016" s="213" t="str">
        <f>IFERROR(__xludf.DUMMYFUNCTION("""COMPUTED_VALUE"""),"SI")</f>
        <v>SI</v>
      </c>
      <c r="V2016" s="213" t="str">
        <f>IFERROR(__xludf.DUMMYFUNCTION("""COMPUTED_VALUE"""),"-")</f>
        <v>-</v>
      </c>
      <c r="W2016" s="213" t="str">
        <f>IFERROR(__xludf.DUMMYFUNCTION("""COMPUTED_VALUE"""),"-")</f>
        <v>-</v>
      </c>
      <c r="X2016" s="213" t="str">
        <f>IFERROR(__xludf.DUMMYFUNCTION("""COMPUTED_VALUE"""),"VIRUTEX")</f>
        <v>VIRUTEX</v>
      </c>
      <c r="Y2016" s="213" t="str">
        <f>IFERROR(__xludf.DUMMYFUNCTION("""COMPUTED_VALUE"""),"VIRUTEX")</f>
        <v>VIRUTEX</v>
      </c>
      <c r="Z2016" s="215" t="str">
        <f>IFERROR(__xludf.DUMMYFUNCTION("""COMPUTED_VALUE"""),"https://www.plazavea.com.pe/guante-virutex-antibacterial-cobre-m-2un/p?srsltid=AfmBOoosyU7rtcl4hzZ3phsN13dlXKm00_XVzCGdSv9brL1QmLhqdbN-")</f>
        <v>https://www.plazavea.com.pe/guante-virutex-antibacterial-cobre-m-2un/p?srsltid=AfmBOoosyU7rtcl4hzZ3phsN13dlXKm00_XVzCGdSv9brL1QmLhqdbN-</v>
      </c>
      <c r="AA2016" s="213" t="str">
        <f>IFERROR(__xludf.DUMMYFUNCTION("""COMPUTED_VALUE"""),"MAT-178-Y GUANTES MULTIUSO ANTIBACTERIAL - CET")</f>
        <v>MAT-178-Y GUANTES MULTIUSO ANTIBACTERIAL - CET</v>
      </c>
      <c r="AB2016" s="213"/>
      <c r="AC2016" s="215" t="str">
        <f>IFERROR(__xludf.DUMMYFUNCTION("""COMPUTED_VALUE"""),"https://drive.google.com/file/d/1lhCN2SFsUrMElI5934HTfpCKb_-Yw_BY/view?usp=sharing")</f>
        <v>https://drive.google.com/file/d/1lhCN2SFsUrMElI5934HTfpCKb_-Yw_BY/view?usp=sharing</v>
      </c>
      <c r="AD2016" s="213"/>
      <c r="AE2016" s="213"/>
      <c r="AF2016" s="213"/>
      <c r="AG2016" s="213"/>
      <c r="AH2016" s="213" t="str">
        <f>IFERROR(__xludf.DUMMYFUNCTION("""COMPUTED_VALUE"""),"NACIONAL")</f>
        <v>NACIONAL</v>
      </c>
      <c r="AI2016" s="213"/>
      <c r="AJ2016" s="213"/>
      <c r="AK2016" s="213"/>
      <c r="AL2016" s="213"/>
      <c r="AM2016" s="213"/>
      <c r="AN2016" s="213"/>
      <c r="AO2016" s="213"/>
      <c r="AP2016" s="213" t="str">
        <f>IFERROR(__xludf.DUMMYFUNCTION("""COMPUTED_VALUE"""),"LUIS")</f>
        <v>LUIS</v>
      </c>
      <c r="AQ2016" s="213"/>
      <c r="AR2016" s="213"/>
      <c r="AS2016" s="213"/>
      <c r="AT2016" s="213"/>
      <c r="AU2016" s="213"/>
      <c r="AV2016" s="213"/>
      <c r="AW2016" s="213"/>
      <c r="AX2016" s="213"/>
      <c r="AY2016" s="213"/>
      <c r="AZ2016" s="213"/>
      <c r="BA2016" s="213"/>
      <c r="BB2016" s="213"/>
      <c r="BC2016" s="213"/>
      <c r="BD2016" s="213"/>
    </row>
    <row r="2017">
      <c r="A2017" s="213">
        <f>IFERROR(__xludf.DUMMYFUNCTION("""COMPUTED_VALUE"""),1164.0)</f>
        <v>1164</v>
      </c>
      <c r="B2017" s="213" t="str">
        <f>IFERROR(__xludf.DUMMYFUNCTION("""COMPUTED_VALUE"""),"FRANCISCO IRAZOLA")</f>
        <v>FRANCISCO IRAZOLA</v>
      </c>
      <c r="C2017" s="213" t="str">
        <f>IFERROR(__xludf.DUMMYFUNCTION("""COMPUTED_VALUE"""),"TALLER SFT DE INDUSTRIA ALIMENTARIA")</f>
        <v>TALLER SFT DE INDUSTRIA ALIMENTARIA</v>
      </c>
      <c r="D2017" s="213" t="str">
        <f>IFERROR(__xludf.DUMMYFUNCTION("""COMPUTED_VALUE"""),"HERRAMIENTAS")</f>
        <v>HERRAMIENTAS</v>
      </c>
      <c r="E2017" s="213" t="str">
        <f>IFERROR(__xludf.DUMMYFUNCTION("""COMPUTED_VALUE"""),"MAT-178")</f>
        <v>MAT-178</v>
      </c>
      <c r="F2017" s="213" t="str">
        <f>IFERROR(__xludf.DUMMYFUNCTION("""COMPUTED_VALUE"""),"MAT-178-Y")</f>
        <v>MAT-178-Y</v>
      </c>
      <c r="G2017" s="213"/>
      <c r="H2017" s="213" t="str">
        <f>IFERROR(__xludf.DUMMYFUNCTION("""COMPUTED_VALUE"""),"GUANTES MULTIUSO ANTIBACTERIAL")</f>
        <v>GUANTES MULTIUSO ANTIBACTERIAL</v>
      </c>
      <c r="I2017" s="213" t="str">
        <f>IFERROR(__xludf.DUMMYFUNCTION("""COMPUTED_VALUE"""),"· Guantes resistentes.
. Elaborados con nanopartículas de cobre,  aditivo que entrega una barrera protectora que inhibe la formación de hongos y bacterias.
. La palma y dedos tienen textura antideslizante.
. Talla mínima: M .")</f>
        <v>· Guantes resistentes.
. Elaborados con nanopartículas de cobre,  aditivo que entrega una barrera protectora que inhibe la formación de hongos y bacterias.
. La palma y dedos tienen textura antideslizante.
. Talla mínima: M .</v>
      </c>
      <c r="J2017" s="213">
        <f>IFERROR(__xludf.DUMMYFUNCTION("""COMPUTED_VALUE"""),3.0)</f>
        <v>3</v>
      </c>
      <c r="K2017" s="213" t="str">
        <f>IFERROR(__xludf.DUMMYFUNCTION("""COMPUTED_VALUE"""),"90 DÍAS CALENDARIO")</f>
        <v>90 DÍAS CALENDARIO</v>
      </c>
      <c r="L2017" s="213" t="str">
        <f>IFERROR(__xludf.DUMMYFUNCTION("""COMPUTED_VALUE"""),"")</f>
        <v/>
      </c>
      <c r="M2017" s="213">
        <f>IFERROR(__xludf.DUMMYFUNCTION("""COMPUTED_VALUE"""),1.0)</f>
        <v>1</v>
      </c>
      <c r="N2017" s="213">
        <f>IFERROR(__xludf.DUMMYFUNCTION("""COMPUTED_VALUE"""),20.0)</f>
        <v>20</v>
      </c>
      <c r="O2017" s="213">
        <f>IFERROR(__xludf.DUMMYFUNCTION("""COMPUTED_VALUE"""),20.0)</f>
        <v>20</v>
      </c>
      <c r="P2017" s="213"/>
      <c r="Q2017" s="213"/>
      <c r="R2017" s="213" t="str">
        <f>IFERROR(__xludf.DUMMYFUNCTION("""COMPUTED_VALUE"""),"SI")</f>
        <v>SI</v>
      </c>
      <c r="S2017" s="213"/>
      <c r="T2017" s="213" t="str">
        <f>IFERROR(__xludf.DUMMYFUNCTION("""COMPUTED_VALUE"""),"SI")</f>
        <v>SI</v>
      </c>
      <c r="U2017" s="213" t="str">
        <f>IFERROR(__xludf.DUMMYFUNCTION("""COMPUTED_VALUE"""),"SI")</f>
        <v>SI</v>
      </c>
      <c r="V2017" s="213" t="str">
        <f>IFERROR(__xludf.DUMMYFUNCTION("""COMPUTED_VALUE"""),"-")</f>
        <v>-</v>
      </c>
      <c r="W2017" s="213" t="str">
        <f>IFERROR(__xludf.DUMMYFUNCTION("""COMPUTED_VALUE"""),"-")</f>
        <v>-</v>
      </c>
      <c r="X2017" s="213" t="str">
        <f>IFERROR(__xludf.DUMMYFUNCTION("""COMPUTED_VALUE"""),"VIRUTEX")</f>
        <v>VIRUTEX</v>
      </c>
      <c r="Y2017" s="213" t="str">
        <f>IFERROR(__xludf.DUMMYFUNCTION("""COMPUTED_VALUE"""),"VIRUTEX")</f>
        <v>VIRUTEX</v>
      </c>
      <c r="Z2017" s="215" t="str">
        <f>IFERROR(__xludf.DUMMYFUNCTION("""COMPUTED_VALUE"""),"https://www.plazavea.com.pe/guante-virutex-antibacterial-cobre-m-2un/p?srsltid=AfmBOoosyU7rtcl4hzZ3phsN13dlXKm00_XVzCGdSv9brL1QmLhqdbN-")</f>
        <v>https://www.plazavea.com.pe/guante-virutex-antibacterial-cobre-m-2un/p?srsltid=AfmBOoosyU7rtcl4hzZ3phsN13dlXKm00_XVzCGdSv9brL1QmLhqdbN-</v>
      </c>
      <c r="AA2017" s="213" t="str">
        <f>IFERROR(__xludf.DUMMYFUNCTION("""COMPUTED_VALUE"""),"MAT-178-Y GUANTES MULTIUSO ANTIBACTERIAL - CET")</f>
        <v>MAT-178-Y GUANTES MULTIUSO ANTIBACTERIAL - CET</v>
      </c>
      <c r="AB2017" s="213"/>
      <c r="AC2017" s="215" t="str">
        <f>IFERROR(__xludf.DUMMYFUNCTION("""COMPUTED_VALUE"""),"https://drive.google.com/file/d/1lhCN2SFsUrMElI5934HTfpCKb_-Yw_BY/view?usp=sharing")</f>
        <v>https://drive.google.com/file/d/1lhCN2SFsUrMElI5934HTfpCKb_-Yw_BY/view?usp=sharing</v>
      </c>
      <c r="AD2017" s="213"/>
      <c r="AE2017" s="213"/>
      <c r="AF2017" s="213"/>
      <c r="AG2017" s="213"/>
      <c r="AH2017" s="213" t="str">
        <f>IFERROR(__xludf.DUMMYFUNCTION("""COMPUTED_VALUE"""),"NACIONAL")</f>
        <v>NACIONAL</v>
      </c>
      <c r="AI2017" s="213"/>
      <c r="AJ2017" s="213"/>
      <c r="AK2017" s="213"/>
      <c r="AL2017" s="213"/>
      <c r="AM2017" s="213"/>
      <c r="AN2017" s="213"/>
      <c r="AO2017" s="213"/>
      <c r="AP2017" s="213" t="str">
        <f>IFERROR(__xludf.DUMMYFUNCTION("""COMPUTED_VALUE"""),"LUIS")</f>
        <v>LUIS</v>
      </c>
      <c r="AQ2017" s="213"/>
      <c r="AR2017" s="213"/>
      <c r="AS2017" s="213"/>
      <c r="AT2017" s="213"/>
      <c r="AU2017" s="213"/>
      <c r="AV2017" s="213"/>
      <c r="AW2017" s="213"/>
      <c r="AX2017" s="213"/>
      <c r="AY2017" s="213"/>
      <c r="AZ2017" s="213"/>
      <c r="BA2017" s="213"/>
      <c r="BB2017" s="213"/>
      <c r="BC2017" s="213"/>
      <c r="BD2017" s="213"/>
    </row>
    <row r="2018">
      <c r="A2018" s="213">
        <f>IFERROR(__xludf.DUMMYFUNCTION("""COMPUTED_VALUE"""),1436.0)</f>
        <v>1436</v>
      </c>
      <c r="B2018" s="213" t="str">
        <f>IFERROR(__xludf.DUMMYFUNCTION("""COMPUTED_VALUE"""),"GUILLERMO E. BILLINGHURST ")</f>
        <v>GUILLERMO E. BILLINGHURST </v>
      </c>
      <c r="C2018" s="213" t="str">
        <f>IFERROR(__xludf.DUMMYFUNCTION("""COMPUTED_VALUE"""),"TALLER SFT DE INDUSTRIA ALIMENTARIA")</f>
        <v>TALLER SFT DE INDUSTRIA ALIMENTARIA</v>
      </c>
      <c r="D2018" s="213" t="str">
        <f>IFERROR(__xludf.DUMMYFUNCTION("""COMPUTED_VALUE"""),"HERRAMIENTAS")</f>
        <v>HERRAMIENTAS</v>
      </c>
      <c r="E2018" s="213" t="str">
        <f>IFERROR(__xludf.DUMMYFUNCTION("""COMPUTED_VALUE"""),"MAT-178")</f>
        <v>MAT-178</v>
      </c>
      <c r="F2018" s="213" t="str">
        <f>IFERROR(__xludf.DUMMYFUNCTION("""COMPUTED_VALUE"""),"MAT-178-Y")</f>
        <v>MAT-178-Y</v>
      </c>
      <c r="G2018" s="213"/>
      <c r="H2018" s="213" t="str">
        <f>IFERROR(__xludf.DUMMYFUNCTION("""COMPUTED_VALUE"""),"GUANTES MULTIUSO ANTIBACTERIAL")</f>
        <v>GUANTES MULTIUSO ANTIBACTERIAL</v>
      </c>
      <c r="I2018" s="213" t="str">
        <f>IFERROR(__xludf.DUMMYFUNCTION("""COMPUTED_VALUE"""),"· Guantes resistentes.
. Elaborados con nanopartículas de cobre,  aditivo que entrega una barrera protectora que inhibe la formación de hongos y bacterias.
. La palma y dedos tienen textura antideslizante.
. Talla mínima: M .")</f>
        <v>· Guantes resistentes.
. Elaborados con nanopartículas de cobre,  aditivo que entrega una barrera protectora que inhibe la formación de hongos y bacterias.
. La palma y dedos tienen textura antideslizante.
. Talla mínima: M .</v>
      </c>
      <c r="J2018" s="213">
        <f>IFERROR(__xludf.DUMMYFUNCTION("""COMPUTED_VALUE"""),3.0)</f>
        <v>3</v>
      </c>
      <c r="K2018" s="213" t="str">
        <f>IFERROR(__xludf.DUMMYFUNCTION("""COMPUTED_VALUE"""),"90 DÍAS CALENDARIO")</f>
        <v>90 DÍAS CALENDARIO</v>
      </c>
      <c r="L2018" s="213" t="str">
        <f>IFERROR(__xludf.DUMMYFUNCTION("""COMPUTED_VALUE"""),"")</f>
        <v/>
      </c>
      <c r="M2018" s="213">
        <f>IFERROR(__xludf.DUMMYFUNCTION("""COMPUTED_VALUE"""),1.0)</f>
        <v>1</v>
      </c>
      <c r="N2018" s="213">
        <f>IFERROR(__xludf.DUMMYFUNCTION("""COMPUTED_VALUE"""),20.0)</f>
        <v>20</v>
      </c>
      <c r="O2018" s="213">
        <f>IFERROR(__xludf.DUMMYFUNCTION("""COMPUTED_VALUE"""),20.0)</f>
        <v>20</v>
      </c>
      <c r="P2018" s="213"/>
      <c r="Q2018" s="213"/>
      <c r="R2018" s="213" t="str">
        <f>IFERROR(__xludf.DUMMYFUNCTION("""COMPUTED_VALUE"""),"SI")</f>
        <v>SI</v>
      </c>
      <c r="S2018" s="213"/>
      <c r="T2018" s="213" t="str">
        <f>IFERROR(__xludf.DUMMYFUNCTION("""COMPUTED_VALUE"""),"SI")</f>
        <v>SI</v>
      </c>
      <c r="U2018" s="213" t="str">
        <f>IFERROR(__xludf.DUMMYFUNCTION("""COMPUTED_VALUE"""),"SI")</f>
        <v>SI</v>
      </c>
      <c r="V2018" s="213" t="str">
        <f>IFERROR(__xludf.DUMMYFUNCTION("""COMPUTED_VALUE"""),"-")</f>
        <v>-</v>
      </c>
      <c r="W2018" s="213" t="str">
        <f>IFERROR(__xludf.DUMMYFUNCTION("""COMPUTED_VALUE"""),"-")</f>
        <v>-</v>
      </c>
      <c r="X2018" s="213" t="str">
        <f>IFERROR(__xludf.DUMMYFUNCTION("""COMPUTED_VALUE"""),"VIRUTEX")</f>
        <v>VIRUTEX</v>
      </c>
      <c r="Y2018" s="213" t="str">
        <f>IFERROR(__xludf.DUMMYFUNCTION("""COMPUTED_VALUE"""),"VIRUTEX")</f>
        <v>VIRUTEX</v>
      </c>
      <c r="Z2018" s="215" t="str">
        <f>IFERROR(__xludf.DUMMYFUNCTION("""COMPUTED_VALUE"""),"https://www.plazavea.com.pe/guante-virutex-antibacterial-cobre-m-2un/p?srsltid=AfmBOoosyU7rtcl4hzZ3phsN13dlXKm00_XVzCGdSv9brL1QmLhqdbN-")</f>
        <v>https://www.plazavea.com.pe/guante-virutex-antibacterial-cobre-m-2un/p?srsltid=AfmBOoosyU7rtcl4hzZ3phsN13dlXKm00_XVzCGdSv9brL1QmLhqdbN-</v>
      </c>
      <c r="AA2018" s="213" t="str">
        <f>IFERROR(__xludf.DUMMYFUNCTION("""COMPUTED_VALUE"""),"MAT-178-Y GUANTES MULTIUSO ANTIBACTERIAL - CET")</f>
        <v>MAT-178-Y GUANTES MULTIUSO ANTIBACTERIAL - CET</v>
      </c>
      <c r="AB2018" s="213"/>
      <c r="AC2018" s="215" t="str">
        <f>IFERROR(__xludf.DUMMYFUNCTION("""COMPUTED_VALUE"""),"https://drive.google.com/file/d/1lhCN2SFsUrMElI5934HTfpCKb_-Yw_BY/view?usp=sharing")</f>
        <v>https://drive.google.com/file/d/1lhCN2SFsUrMElI5934HTfpCKb_-Yw_BY/view?usp=sharing</v>
      </c>
      <c r="AD2018" s="213"/>
      <c r="AE2018" s="213"/>
      <c r="AF2018" s="213"/>
      <c r="AG2018" s="213"/>
      <c r="AH2018" s="213" t="str">
        <f>IFERROR(__xludf.DUMMYFUNCTION("""COMPUTED_VALUE"""),"NACIONAL")</f>
        <v>NACIONAL</v>
      </c>
      <c r="AI2018" s="213"/>
      <c r="AJ2018" s="213"/>
      <c r="AK2018" s="213"/>
      <c r="AL2018" s="213"/>
      <c r="AM2018" s="213"/>
      <c r="AN2018" s="213"/>
      <c r="AO2018" s="213"/>
      <c r="AP2018" s="213" t="str">
        <f>IFERROR(__xludf.DUMMYFUNCTION("""COMPUTED_VALUE"""),"LUIS")</f>
        <v>LUIS</v>
      </c>
      <c r="AQ2018" s="213"/>
      <c r="AR2018" s="213"/>
      <c r="AS2018" s="213"/>
      <c r="AT2018" s="213"/>
      <c r="AU2018" s="213"/>
      <c r="AV2018" s="213"/>
      <c r="AW2018" s="213"/>
      <c r="AX2018" s="213"/>
      <c r="AY2018" s="213"/>
      <c r="AZ2018" s="213"/>
      <c r="BA2018" s="213"/>
      <c r="BB2018" s="213"/>
      <c r="BC2018" s="213"/>
      <c r="BD2018" s="213"/>
    </row>
    <row r="2019">
      <c r="A2019" s="213">
        <f>IFERROR(__xludf.DUMMYFUNCTION("""COMPUTED_VALUE"""),2123.0)</f>
        <v>2123</v>
      </c>
      <c r="B2019" s="213" t="str">
        <f>IFERROR(__xludf.DUMMYFUNCTION("""COMPUTED_VALUE"""),"JOSE GRANDA")</f>
        <v>JOSE GRANDA</v>
      </c>
      <c r="C2019" s="213" t="str">
        <f>IFERROR(__xludf.DUMMYFUNCTION("""COMPUTED_VALUE"""),"TALLER SFT DE INDUSTRIA ALIMENTARIA")</f>
        <v>TALLER SFT DE INDUSTRIA ALIMENTARIA</v>
      </c>
      <c r="D2019" s="213" t="str">
        <f>IFERROR(__xludf.DUMMYFUNCTION("""COMPUTED_VALUE"""),"HERRAMIENTAS")</f>
        <v>HERRAMIENTAS</v>
      </c>
      <c r="E2019" s="213" t="str">
        <f>IFERROR(__xludf.DUMMYFUNCTION("""COMPUTED_VALUE"""),"MAT-178")</f>
        <v>MAT-178</v>
      </c>
      <c r="F2019" s="213" t="str">
        <f>IFERROR(__xludf.DUMMYFUNCTION("""COMPUTED_VALUE"""),"MAT-178-Y")</f>
        <v>MAT-178-Y</v>
      </c>
      <c r="G2019" s="213"/>
      <c r="H2019" s="213" t="str">
        <f>IFERROR(__xludf.DUMMYFUNCTION("""COMPUTED_VALUE"""),"GUANTES MULTIUSO ANTIBACTERIAL")</f>
        <v>GUANTES MULTIUSO ANTIBACTERIAL</v>
      </c>
      <c r="I2019" s="213" t="str">
        <f>IFERROR(__xludf.DUMMYFUNCTION("""COMPUTED_VALUE"""),"· Guantes resistentes.
. Elaborados con nanopartículas de cobre,  aditivo que entrega una barrera protectora que inhibe la formación de hongos y bacterias.
. La palma y dedos tienen textura antideslizante.
. Talla mínima: M .")</f>
        <v>· Guantes resistentes.
. Elaborados con nanopartículas de cobre,  aditivo que entrega una barrera protectora que inhibe la formación de hongos y bacterias.
. La palma y dedos tienen textura antideslizante.
. Talla mínima: M .</v>
      </c>
      <c r="J2019" s="213">
        <f>IFERROR(__xludf.DUMMYFUNCTION("""COMPUTED_VALUE"""),3.0)</f>
        <v>3</v>
      </c>
      <c r="K2019" s="213" t="str">
        <f>IFERROR(__xludf.DUMMYFUNCTION("""COMPUTED_VALUE"""),"90 DÍAS CALENDARIO")</f>
        <v>90 DÍAS CALENDARIO</v>
      </c>
      <c r="L2019" s="213" t="str">
        <f>IFERROR(__xludf.DUMMYFUNCTION("""COMPUTED_VALUE"""),"")</f>
        <v/>
      </c>
      <c r="M2019" s="213">
        <f>IFERROR(__xludf.DUMMYFUNCTION("""COMPUTED_VALUE"""),1.0)</f>
        <v>1</v>
      </c>
      <c r="N2019" s="213">
        <f>IFERROR(__xludf.DUMMYFUNCTION("""COMPUTED_VALUE"""),20.0)</f>
        <v>20</v>
      </c>
      <c r="O2019" s="213">
        <f>IFERROR(__xludf.DUMMYFUNCTION("""COMPUTED_VALUE"""),20.0)</f>
        <v>20</v>
      </c>
      <c r="P2019" s="213"/>
      <c r="Q2019" s="213"/>
      <c r="R2019" s="213" t="str">
        <f>IFERROR(__xludf.DUMMYFUNCTION("""COMPUTED_VALUE"""),"SI")</f>
        <v>SI</v>
      </c>
      <c r="S2019" s="213"/>
      <c r="T2019" s="213" t="str">
        <f>IFERROR(__xludf.DUMMYFUNCTION("""COMPUTED_VALUE"""),"SI")</f>
        <v>SI</v>
      </c>
      <c r="U2019" s="213" t="str">
        <f>IFERROR(__xludf.DUMMYFUNCTION("""COMPUTED_VALUE"""),"SI")</f>
        <v>SI</v>
      </c>
      <c r="V2019" s="213" t="str">
        <f>IFERROR(__xludf.DUMMYFUNCTION("""COMPUTED_VALUE"""),"-")</f>
        <v>-</v>
      </c>
      <c r="W2019" s="213" t="str">
        <f>IFERROR(__xludf.DUMMYFUNCTION("""COMPUTED_VALUE"""),"-")</f>
        <v>-</v>
      </c>
      <c r="X2019" s="213" t="str">
        <f>IFERROR(__xludf.DUMMYFUNCTION("""COMPUTED_VALUE"""),"VIRUTEX")</f>
        <v>VIRUTEX</v>
      </c>
      <c r="Y2019" s="213" t="str">
        <f>IFERROR(__xludf.DUMMYFUNCTION("""COMPUTED_VALUE"""),"VIRUTEX")</f>
        <v>VIRUTEX</v>
      </c>
      <c r="Z2019" s="215" t="str">
        <f>IFERROR(__xludf.DUMMYFUNCTION("""COMPUTED_VALUE"""),"https://www.plazavea.com.pe/guante-virutex-antibacterial-cobre-m-2un/p?srsltid=AfmBOoosyU7rtcl4hzZ3phsN13dlXKm00_XVzCGdSv9brL1QmLhqdbN-")</f>
        <v>https://www.plazavea.com.pe/guante-virutex-antibacterial-cobre-m-2un/p?srsltid=AfmBOoosyU7rtcl4hzZ3phsN13dlXKm00_XVzCGdSv9brL1QmLhqdbN-</v>
      </c>
      <c r="AA2019" s="213" t="str">
        <f>IFERROR(__xludf.DUMMYFUNCTION("""COMPUTED_VALUE"""),"MAT-178-Y GUANTES MULTIUSO ANTIBACTERIAL - CET")</f>
        <v>MAT-178-Y GUANTES MULTIUSO ANTIBACTERIAL - CET</v>
      </c>
      <c r="AB2019" s="213"/>
      <c r="AC2019" s="215" t="str">
        <f>IFERROR(__xludf.DUMMYFUNCTION("""COMPUTED_VALUE"""),"https://drive.google.com/file/d/1lhCN2SFsUrMElI5934HTfpCKb_-Yw_BY/view?usp=sharing")</f>
        <v>https://drive.google.com/file/d/1lhCN2SFsUrMElI5934HTfpCKb_-Yw_BY/view?usp=sharing</v>
      </c>
      <c r="AD2019" s="213"/>
      <c r="AE2019" s="213"/>
      <c r="AF2019" s="213"/>
      <c r="AG2019" s="213"/>
      <c r="AH2019" s="213" t="str">
        <f>IFERROR(__xludf.DUMMYFUNCTION("""COMPUTED_VALUE"""),"NACIONAL")</f>
        <v>NACIONAL</v>
      </c>
      <c r="AI2019" s="213"/>
      <c r="AJ2019" s="213"/>
      <c r="AK2019" s="213"/>
      <c r="AL2019" s="213"/>
      <c r="AM2019" s="213"/>
      <c r="AN2019" s="213"/>
      <c r="AO2019" s="213"/>
      <c r="AP2019" s="213" t="str">
        <f>IFERROR(__xludf.DUMMYFUNCTION("""COMPUTED_VALUE"""),"LUIS")</f>
        <v>LUIS</v>
      </c>
      <c r="AQ2019" s="213"/>
      <c r="AR2019" s="213"/>
      <c r="AS2019" s="213"/>
      <c r="AT2019" s="213"/>
      <c r="AU2019" s="213"/>
      <c r="AV2019" s="213"/>
      <c r="AW2019" s="213"/>
      <c r="AX2019" s="213"/>
      <c r="AY2019" s="213"/>
      <c r="AZ2019" s="213"/>
      <c r="BA2019" s="213"/>
      <c r="BB2019" s="213"/>
      <c r="BC2019" s="213"/>
      <c r="BD2019" s="213"/>
    </row>
    <row r="2020">
      <c r="A2020" s="213">
        <f>IFERROR(__xludf.DUMMYFUNCTION("""COMPUTED_VALUE"""),70.0)</f>
        <v>70</v>
      </c>
      <c r="B2020" s="213" t="str">
        <f>IFERROR(__xludf.DUMMYFUNCTION("""COMPUTED_VALUE"""),"16449 ELOY SOBERON  FLORES")</f>
        <v>16449 ELOY SOBERON  FLORES</v>
      </c>
      <c r="C2020" s="213" t="str">
        <f>IFERROR(__xludf.DUMMYFUNCTION("""COMPUTED_VALUE"""),"TALLER SFT DE COCINA Y REPOSTERÍA")</f>
        <v>TALLER SFT DE COCINA Y REPOSTERÍA</v>
      </c>
      <c r="D2020" s="213" t="str">
        <f>IFERROR(__xludf.DUMMYFUNCTION("""COMPUTED_VALUE"""),"HERRAMIENTAS")</f>
        <v>HERRAMIENTAS</v>
      </c>
      <c r="E2020" s="213" t="str">
        <f>IFERROR(__xludf.DUMMYFUNCTION("""COMPUTED_VALUE"""),"MAT-178")</f>
        <v>MAT-178</v>
      </c>
      <c r="F2020" s="213" t="str">
        <f>IFERROR(__xludf.DUMMYFUNCTION("""COMPUTED_VALUE"""),"MAT-178-X")</f>
        <v>MAT-178-X</v>
      </c>
      <c r="G2020" s="213"/>
      <c r="H2020" s="213" t="str">
        <f>IFERROR(__xludf.DUMMYFUNCTION("""COMPUTED_VALUE"""),"PAR DE GUANTES MULTIUSO ANTIBACTERIAL")</f>
        <v>PAR DE GUANTES MULTIUSO ANTIBACTERIAL</v>
      </c>
      <c r="I2020" s="213" t="str">
        <f>IFERROR(__xludf.DUMMYFUNCTION("""COMPUTED_VALUE"""),"· Guantes resistentes y cómodos, elaborados con nanopartículas de cobres, aditivo que entrega una barrera protectora que inhibe la formación de hongos y bacterias
. Son ideales para la limpieza  y lavado
. La palma y dedos tienen textura antideslizante.")</f>
        <v>· Guantes resistentes y cómodos, elaborados con nanopartículas de cobres, aditivo que entrega una barrera protectora que inhibe la formación de hongos y bacterias
. Son ideales para la limpieza  y lavado
. La palma y dedos tienen textura antideslizante.</v>
      </c>
      <c r="J2020" s="213">
        <f>IFERROR(__xludf.DUMMYFUNCTION("""COMPUTED_VALUE"""),3.0)</f>
        <v>3</v>
      </c>
      <c r="K2020" s="213" t="str">
        <f>IFERROR(__xludf.DUMMYFUNCTION("""COMPUTED_VALUE"""),"90 DÍAS CALENDARIO")</f>
        <v>90 DÍAS CALENDARIO</v>
      </c>
      <c r="L2020" s="213" t="str">
        <f>IFERROR(__xludf.DUMMYFUNCTION("""COMPUTED_VALUE"""),"")</f>
        <v/>
      </c>
      <c r="M2020" s="213">
        <f>IFERROR(__xludf.DUMMYFUNCTION("""COMPUTED_VALUE"""),1.0)</f>
        <v>1</v>
      </c>
      <c r="N2020" s="213">
        <f>IFERROR(__xludf.DUMMYFUNCTION("""COMPUTED_VALUE"""),20.0)</f>
        <v>20</v>
      </c>
      <c r="O2020" s="213">
        <f>IFERROR(__xludf.DUMMYFUNCTION("""COMPUTED_VALUE"""),20.0)</f>
        <v>20</v>
      </c>
      <c r="P2020" s="213"/>
      <c r="Q2020" s="213"/>
      <c r="R2020" s="213" t="str">
        <f>IFERROR(__xludf.DUMMYFUNCTION("""COMPUTED_VALUE"""),"SI")</f>
        <v>SI</v>
      </c>
      <c r="S2020" s="213"/>
      <c r="T2020" s="213" t="str">
        <f>IFERROR(__xludf.DUMMYFUNCTION("""COMPUTED_VALUE"""),"SI")</f>
        <v>SI</v>
      </c>
      <c r="U2020" s="213" t="str">
        <f>IFERROR(__xludf.DUMMYFUNCTION("""COMPUTED_VALUE"""),"SI")</f>
        <v>SI</v>
      </c>
      <c r="V2020" s="213" t="str">
        <f>IFERROR(__xludf.DUMMYFUNCTION("""COMPUTED_VALUE"""),"-")</f>
        <v>-</v>
      </c>
      <c r="W2020" s="213" t="str">
        <f>IFERROR(__xludf.DUMMYFUNCTION("""COMPUTED_VALUE"""),"-")</f>
        <v>-</v>
      </c>
      <c r="X2020" s="213" t="str">
        <f>IFERROR(__xludf.DUMMYFUNCTION("""COMPUTED_VALUE"""),"Virutex")</f>
        <v>Virutex</v>
      </c>
      <c r="Y2020" s="213">
        <f>IFERROR(__xludf.DUMMYFUNCTION("""COMPUTED_VALUE"""),1.000239811E9)</f>
        <v>1000239811</v>
      </c>
      <c r="Z2020" s="215" t="str">
        <f>IFERROR(__xludf.DUMMYFUNCTION("""COMPUTED_VALUE"""),"https://www.promart.pe/guante-virutex-antibacterial-cobre-m-2un-1000221350/p?srsltid=AfmBOopo8aZBysbHqVtoKSuHKiB26Em0fhq5V-tEU-8x8oiFVmw1ixfL")</f>
        <v>https://www.promart.pe/guante-virutex-antibacterial-cobre-m-2un-1000221350/p?srsltid=AfmBOopo8aZBysbHqVtoKSuHKiB26Em0fhq5V-tEU-8x8oiFVmw1ixfL</v>
      </c>
      <c r="AA2020" s="213" t="str">
        <f>IFERROR(__xludf.DUMMYFUNCTION("""COMPUTED_VALUE"""),"MAT-178 PAR DE GUANTES MULTIUSO ANTIBACTERIAL - CET")</f>
        <v>MAT-178 PAR DE GUANTES MULTIUSO ANTIBACTERIAL - CET</v>
      </c>
      <c r="AB2020" s="213"/>
      <c r="AC2020" s="213"/>
      <c r="AD2020" s="213"/>
      <c r="AE2020" s="213"/>
      <c r="AF2020" s="213"/>
      <c r="AG2020" s="213"/>
      <c r="AH2020" s="213"/>
      <c r="AI2020" s="213"/>
      <c r="AJ2020" s="213"/>
      <c r="AK2020" s="213"/>
      <c r="AL2020" s="213"/>
      <c r="AM2020" s="213"/>
      <c r="AN2020" s="213"/>
      <c r="AO2020" s="213"/>
      <c r="AP2020" s="213" t="str">
        <f>IFERROR(__xludf.DUMMYFUNCTION("""COMPUTED_VALUE"""),"SEBASTIAN")</f>
        <v>SEBASTIAN</v>
      </c>
      <c r="AQ2020" s="213"/>
      <c r="AR2020" s="213"/>
      <c r="AS2020" s="213"/>
      <c r="AT2020" s="213"/>
      <c r="AU2020" s="213"/>
      <c r="AV2020" s="213"/>
      <c r="AW2020" s="213"/>
      <c r="AX2020" s="213"/>
      <c r="AY2020" s="213"/>
      <c r="AZ2020" s="213"/>
      <c r="BA2020" s="213"/>
      <c r="BB2020" s="213"/>
      <c r="BC2020" s="213"/>
      <c r="BD2020" s="213"/>
    </row>
    <row r="2021">
      <c r="A2021" s="213">
        <f>IFERROR(__xludf.DUMMYFUNCTION("""COMPUTED_VALUE"""),1844.0)</f>
        <v>1844</v>
      </c>
      <c r="B2021" s="213" t="str">
        <f>IFERROR(__xludf.DUMMYFUNCTION("""COMPUTED_VALUE"""),"GUILLERMO E. BILLINGHURST ")</f>
        <v>GUILLERMO E. BILLINGHURST </v>
      </c>
      <c r="C2021" s="213" t="str">
        <f>IFERROR(__xludf.DUMMYFUNCTION("""COMPUTED_VALUE"""),"TALLER SFT DE EBANISTERÍA")</f>
        <v>TALLER SFT DE EBANISTERÍA</v>
      </c>
      <c r="D2021" s="213" t="str">
        <f>IFERROR(__xludf.DUMMYFUNCTION("""COMPUTED_VALUE"""),"HERRAMIENTAS")</f>
        <v>HERRAMIENTAS</v>
      </c>
      <c r="E2021" s="213" t="str">
        <f>IFERROR(__xludf.DUMMYFUNCTION("""COMPUTED_VALUE"""),"MAT-179")</f>
        <v>MAT-179</v>
      </c>
      <c r="F2021" s="213" t="str">
        <f>IFERROR(__xludf.DUMMYFUNCTION("""COMPUTED_VALUE"""),"MAT-179")</f>
        <v>MAT-179</v>
      </c>
      <c r="G2021" s="213"/>
      <c r="H2021" s="213" t="str">
        <f>IFERROR(__xludf.DUMMYFUNCTION("""COMPUTED_VALUE"""),"PAR DE GUANTES PARA PINTAR")</f>
        <v>PAR DE GUANTES PARA PINTAR</v>
      </c>
      <c r="I2021" s="213" t="str">
        <f>IFERROR(__xludf.DUMMYFUNCTION("""COMPUTED_VALUE"""),"Par de guantes de nitrilo. Buen agarre.
Resistencia a solventes, aceite y grasas. Tamaño estándar.
Cumple norma EN 388.")</f>
        <v>Par de guantes de nitrilo. Buen agarre.
Resistencia a solventes, aceite y grasas. Tamaño estándar.
Cumple norma EN 388.</v>
      </c>
      <c r="J2021" s="213">
        <f>IFERROR(__xludf.DUMMYFUNCTION("""COMPUTED_VALUE"""),3.0)</f>
        <v>3</v>
      </c>
      <c r="K2021" s="213" t="str">
        <f>IFERROR(__xludf.DUMMYFUNCTION("""COMPUTED_VALUE"""),"90 DÍAS CALENDARIO")</f>
        <v>90 DÍAS CALENDARIO</v>
      </c>
      <c r="L2021" s="213" t="str">
        <f>IFERROR(__xludf.DUMMYFUNCTION("""COMPUTED_VALUE"""),"")</f>
        <v/>
      </c>
      <c r="M2021" s="213">
        <f>IFERROR(__xludf.DUMMYFUNCTION("""COMPUTED_VALUE"""),1.0)</f>
        <v>1</v>
      </c>
      <c r="N2021" s="213">
        <f>IFERROR(__xludf.DUMMYFUNCTION("""COMPUTED_VALUE"""),8.0)</f>
        <v>8</v>
      </c>
      <c r="O2021" s="213">
        <f>IFERROR(__xludf.DUMMYFUNCTION("""COMPUTED_VALUE"""),8.0)</f>
        <v>8</v>
      </c>
      <c r="P2021" s="213"/>
      <c r="Q2021" s="213"/>
      <c r="R2021" s="213" t="str">
        <f>IFERROR(__xludf.DUMMYFUNCTION("""COMPUTED_VALUE"""),"SI")</f>
        <v>SI</v>
      </c>
      <c r="S2021" s="213"/>
      <c r="T2021" s="213" t="str">
        <f>IFERROR(__xludf.DUMMYFUNCTION("""COMPUTED_VALUE"""),"SI")</f>
        <v>SI</v>
      </c>
      <c r="U2021" s="213" t="str">
        <f>IFERROR(__xludf.DUMMYFUNCTION("""COMPUTED_VALUE"""),"SI")</f>
        <v>SI</v>
      </c>
      <c r="V2021" s="213" t="str">
        <f>IFERROR(__xludf.DUMMYFUNCTION("""COMPUTED_VALUE"""),"-")</f>
        <v>-</v>
      </c>
      <c r="W2021" s="213" t="str">
        <f>IFERROR(__xludf.DUMMYFUNCTION("""COMPUTED_VALUE"""),"-")</f>
        <v>-</v>
      </c>
      <c r="X2021" s="213" t="str">
        <f>IFERROR(__xludf.DUMMYFUNCTION("""COMPUTED_VALUE"""),"Werken")</f>
        <v>Werken</v>
      </c>
      <c r="Y2021" s="213">
        <f>IFERROR(__xludf.DUMMYFUNCTION("""COMPUTED_VALUE"""),159992.0)</f>
        <v>159992</v>
      </c>
      <c r="Z2021" s="215" t="str">
        <f>IFERROR(__xludf.DUMMYFUNCTION("""COMPUTED_VALUE"""),"https://www.promart.pe/guante-de-hilo-azul-con-palma-de-nitrilo-werken-159992/p")</f>
        <v>https://www.promart.pe/guante-de-hilo-azul-con-palma-de-nitrilo-werken-159992/p</v>
      </c>
      <c r="AA2021" s="213" t="str">
        <f>IFERROR(__xludf.DUMMYFUNCTION("""COMPUTED_VALUE"""),"MAT-179 PAR DE GUANTES PARA PINTAR - CET")</f>
        <v>MAT-179 PAR DE GUANTES PARA PINTAR - CET</v>
      </c>
      <c r="AB2021" s="213"/>
      <c r="AC2021" s="213"/>
      <c r="AD2021" s="213"/>
      <c r="AE2021" s="213"/>
      <c r="AF2021" s="213"/>
      <c r="AG2021" s="213"/>
      <c r="AH2021" s="213"/>
      <c r="AI2021" s="213"/>
      <c r="AJ2021" s="213"/>
      <c r="AK2021" s="213"/>
      <c r="AL2021" s="213"/>
      <c r="AM2021" s="213"/>
      <c r="AN2021" s="213"/>
      <c r="AO2021" s="213"/>
      <c r="AP2021" s="213" t="str">
        <f>IFERROR(__xludf.DUMMYFUNCTION("""COMPUTED_VALUE"""),"SEBASTIAN")</f>
        <v>SEBASTIAN</v>
      </c>
      <c r="AQ2021" s="213"/>
      <c r="AR2021" s="213"/>
      <c r="AS2021" s="213"/>
      <c r="AT2021" s="213"/>
      <c r="AU2021" s="213"/>
      <c r="AV2021" s="213"/>
      <c r="AW2021" s="213"/>
      <c r="AX2021" s="213"/>
      <c r="AY2021" s="213"/>
      <c r="AZ2021" s="213"/>
      <c r="BA2021" s="213"/>
      <c r="BB2021" s="213"/>
      <c r="BC2021" s="213"/>
      <c r="BD2021" s="213"/>
    </row>
    <row r="2022">
      <c r="A2022" s="213">
        <f>IFERROR(__xludf.DUMMYFUNCTION("""COMPUTED_VALUE"""),2626.0)</f>
        <v>2626</v>
      </c>
      <c r="B2022" s="213" t="str">
        <f>IFERROR(__xludf.DUMMYFUNCTION("""COMPUTED_VALUE"""),"MANUEL ANTONIO MESONES MURO")</f>
        <v>MANUEL ANTONIO MESONES MURO</v>
      </c>
      <c r="C2022" s="213" t="str">
        <f>IFERROR(__xludf.DUMMYFUNCTION("""COMPUTED_VALUE"""),"TALLER SFT DE EBANISTERÍA")</f>
        <v>TALLER SFT DE EBANISTERÍA</v>
      </c>
      <c r="D2022" s="213" t="str">
        <f>IFERROR(__xludf.DUMMYFUNCTION("""COMPUTED_VALUE"""),"HERRAMIENTAS")</f>
        <v>HERRAMIENTAS</v>
      </c>
      <c r="E2022" s="213" t="str">
        <f>IFERROR(__xludf.DUMMYFUNCTION("""COMPUTED_VALUE"""),"MAT-179")</f>
        <v>MAT-179</v>
      </c>
      <c r="F2022" s="213" t="str">
        <f>IFERROR(__xludf.DUMMYFUNCTION("""COMPUTED_VALUE"""),"MAT-179")</f>
        <v>MAT-179</v>
      </c>
      <c r="G2022" s="213"/>
      <c r="H2022" s="213" t="str">
        <f>IFERROR(__xludf.DUMMYFUNCTION("""COMPUTED_VALUE"""),"PAR DE GUANTES PARA PINTAR")</f>
        <v>PAR DE GUANTES PARA PINTAR</v>
      </c>
      <c r="I2022" s="213" t="str">
        <f>IFERROR(__xludf.DUMMYFUNCTION("""COMPUTED_VALUE"""),"Par de guantes de nitrilo. Buen agarre.
Resistencia a solventes, aceite y grasas. Tamaño estándar.
Cumple norma EN 388.")</f>
        <v>Par de guantes de nitrilo. Buen agarre.
Resistencia a solventes, aceite y grasas. Tamaño estándar.
Cumple norma EN 388.</v>
      </c>
      <c r="J2022" s="213">
        <f>IFERROR(__xludf.DUMMYFUNCTION("""COMPUTED_VALUE"""),3.0)</f>
        <v>3</v>
      </c>
      <c r="K2022" s="213" t="str">
        <f>IFERROR(__xludf.DUMMYFUNCTION("""COMPUTED_VALUE"""),"90 DÍAS CALENDARIO")</f>
        <v>90 DÍAS CALENDARIO</v>
      </c>
      <c r="L2022" s="213" t="str">
        <f>IFERROR(__xludf.DUMMYFUNCTION("""COMPUTED_VALUE"""),"")</f>
        <v/>
      </c>
      <c r="M2022" s="213">
        <f>IFERROR(__xludf.DUMMYFUNCTION("""COMPUTED_VALUE"""),1.0)</f>
        <v>1</v>
      </c>
      <c r="N2022" s="213">
        <f>IFERROR(__xludf.DUMMYFUNCTION("""COMPUTED_VALUE"""),8.0)</f>
        <v>8</v>
      </c>
      <c r="O2022" s="213">
        <f>IFERROR(__xludf.DUMMYFUNCTION("""COMPUTED_VALUE"""),8.0)</f>
        <v>8</v>
      </c>
      <c r="P2022" s="213"/>
      <c r="Q2022" s="213"/>
      <c r="R2022" s="213" t="str">
        <f>IFERROR(__xludf.DUMMYFUNCTION("""COMPUTED_VALUE"""),"SI")</f>
        <v>SI</v>
      </c>
      <c r="S2022" s="213"/>
      <c r="T2022" s="213" t="str">
        <f>IFERROR(__xludf.DUMMYFUNCTION("""COMPUTED_VALUE"""),"SI")</f>
        <v>SI</v>
      </c>
      <c r="U2022" s="213" t="str">
        <f>IFERROR(__xludf.DUMMYFUNCTION("""COMPUTED_VALUE"""),"SI")</f>
        <v>SI</v>
      </c>
      <c r="V2022" s="213" t="str">
        <f>IFERROR(__xludf.DUMMYFUNCTION("""COMPUTED_VALUE"""),"-")</f>
        <v>-</v>
      </c>
      <c r="W2022" s="213" t="str">
        <f>IFERROR(__xludf.DUMMYFUNCTION("""COMPUTED_VALUE"""),"-")</f>
        <v>-</v>
      </c>
      <c r="X2022" s="213" t="str">
        <f>IFERROR(__xludf.DUMMYFUNCTION("""COMPUTED_VALUE"""),"Werken")</f>
        <v>Werken</v>
      </c>
      <c r="Y2022" s="213">
        <f>IFERROR(__xludf.DUMMYFUNCTION("""COMPUTED_VALUE"""),159992.0)</f>
        <v>159992</v>
      </c>
      <c r="Z2022" s="215" t="str">
        <f>IFERROR(__xludf.DUMMYFUNCTION("""COMPUTED_VALUE"""),"https://www.promart.pe/guante-de-hilo-azul-con-palma-de-nitrilo-werken-159992/p")</f>
        <v>https://www.promart.pe/guante-de-hilo-azul-con-palma-de-nitrilo-werken-159992/p</v>
      </c>
      <c r="AA2022" s="213" t="str">
        <f>IFERROR(__xludf.DUMMYFUNCTION("""COMPUTED_VALUE"""),"MAT-179 PAR DE GUANTES PARA PINTAR - CET")</f>
        <v>MAT-179 PAR DE GUANTES PARA PINTAR - CET</v>
      </c>
      <c r="AB2022" s="213"/>
      <c r="AC2022" s="213"/>
      <c r="AD2022" s="213"/>
      <c r="AE2022" s="213"/>
      <c r="AF2022" s="213"/>
      <c r="AG2022" s="213"/>
      <c r="AH2022" s="213"/>
      <c r="AI2022" s="213"/>
      <c r="AJ2022" s="213"/>
      <c r="AK2022" s="213"/>
      <c r="AL2022" s="213"/>
      <c r="AM2022" s="213"/>
      <c r="AN2022" s="213"/>
      <c r="AO2022" s="213"/>
      <c r="AP2022" s="213" t="str">
        <f>IFERROR(__xludf.DUMMYFUNCTION("""COMPUTED_VALUE"""),"SEBASTIAN")</f>
        <v>SEBASTIAN</v>
      </c>
      <c r="AQ2022" s="213"/>
      <c r="AR2022" s="213"/>
      <c r="AS2022" s="213"/>
      <c r="AT2022" s="213"/>
      <c r="AU2022" s="213"/>
      <c r="AV2022" s="213"/>
      <c r="AW2022" s="213"/>
      <c r="AX2022" s="213"/>
      <c r="AY2022" s="213"/>
      <c r="AZ2022" s="213"/>
      <c r="BA2022" s="213"/>
      <c r="BB2022" s="213"/>
      <c r="BC2022" s="213"/>
      <c r="BD2022" s="213"/>
    </row>
    <row r="2023">
      <c r="A2023" s="213">
        <f>IFERROR(__xludf.DUMMYFUNCTION("""COMPUTED_VALUE"""),928.0)</f>
        <v>928</v>
      </c>
      <c r="B2023" s="213" t="str">
        <f>IFERROR(__xludf.DUMMYFUNCTION("""COMPUTED_VALUE"""),"FRANCISCO IRAZOLA")</f>
        <v>FRANCISCO IRAZOLA</v>
      </c>
      <c r="C2023" s="213" t="str">
        <f>IFERROR(__xludf.DUMMYFUNCTION("""COMPUTED_VALUE"""),"TALLER SFT DE MECÁNICA AUTOMOTRIZ")</f>
        <v>TALLER SFT DE MECÁNICA AUTOMOTRIZ</v>
      </c>
      <c r="D2023" s="213" t="str">
        <f>IFERROR(__xludf.DUMMYFUNCTION("""COMPUTED_VALUE"""),"HERRAMIENTAS")</f>
        <v>HERRAMIENTAS</v>
      </c>
      <c r="E2023" s="213" t="str">
        <f>IFERROR(__xludf.DUMMYFUNCTION("""COMPUTED_VALUE"""),"MAT-180")</f>
        <v>MAT-180</v>
      </c>
      <c r="F2023" s="213" t="str">
        <f>IFERROR(__xludf.DUMMYFUNCTION("""COMPUTED_VALUE"""),"MAT-180")</f>
        <v>MAT-180</v>
      </c>
      <c r="G2023" s="213"/>
      <c r="H2023" s="213" t="str">
        <f>IFERROR(__xludf.DUMMYFUNCTION("""COMPUTED_VALUE"""),"GUANTES PARA SOLDAR")</f>
        <v>GUANTES PARA SOLDAR</v>
      </c>
      <c r="I2023" s="213" t="str">
        <f>IFERROR(__xludf.DUMMYFUNCTION("""COMPUTED_VALUE"""),"Brinda efectiva proteccion a las manos y muñecas durante los proceso de soldadura y tareas relacionados cumpliendo la normativa EN 12477.
- Fabricado en cuero de descarne al cromo con forro.
- Proteccion de costuras en dedos , palmas y nudillos
- Dedo pul"&amp;"gar tipo ala que permite mejor maniobrabilidad.
- Buena proteccion mecanica y termica .
- Talla M")</f>
        <v>Brinda efectiva proteccion a las manos y muñecas durante los proceso de soldadura y tareas relacionados cumpliendo la normativa EN 12477.
- Fabricado en cuero de descarne al cromo con forro.
- Proteccion de costuras en dedos , palmas y nudillos
- Dedo pulgar tipo ala que permite mejor maniobrabilidad.
- Buena proteccion mecanica y termica .
- Talla M</v>
      </c>
      <c r="J2023" s="213">
        <f>IFERROR(__xludf.DUMMYFUNCTION("""COMPUTED_VALUE"""),3.0)</f>
        <v>3</v>
      </c>
      <c r="K2023" s="213" t="str">
        <f>IFERROR(__xludf.DUMMYFUNCTION("""COMPUTED_VALUE"""),"90 DÍAS CALENDARIO")</f>
        <v>90 DÍAS CALENDARIO</v>
      </c>
      <c r="L2023" s="213" t="str">
        <f>IFERROR(__xludf.DUMMYFUNCTION("""COMPUTED_VALUE"""),"")</f>
        <v/>
      </c>
      <c r="M2023" s="213">
        <f>IFERROR(__xludf.DUMMYFUNCTION("""COMPUTED_VALUE"""),1.0)</f>
        <v>1</v>
      </c>
      <c r="N2023" s="213">
        <f>IFERROR(__xludf.DUMMYFUNCTION("""COMPUTED_VALUE"""),21.0)</f>
        <v>21</v>
      </c>
      <c r="O2023" s="213">
        <f>IFERROR(__xludf.DUMMYFUNCTION("""COMPUTED_VALUE"""),21.0)</f>
        <v>21</v>
      </c>
      <c r="P2023" s="213"/>
      <c r="Q2023" s="213"/>
      <c r="R2023" s="213" t="str">
        <f>IFERROR(__xludf.DUMMYFUNCTION("""COMPUTED_VALUE"""),"SI")</f>
        <v>SI</v>
      </c>
      <c r="S2023" s="213"/>
      <c r="T2023" s="213" t="str">
        <f>IFERROR(__xludf.DUMMYFUNCTION("""COMPUTED_VALUE"""),"SI")</f>
        <v>SI</v>
      </c>
      <c r="U2023" s="213" t="str">
        <f>IFERROR(__xludf.DUMMYFUNCTION("""COMPUTED_VALUE"""),"SI")</f>
        <v>SI</v>
      </c>
      <c r="V2023" s="213" t="str">
        <f>IFERROR(__xludf.DUMMYFUNCTION("""COMPUTED_VALUE"""),"-")</f>
        <v>-</v>
      </c>
      <c r="W2023" s="213" t="str">
        <f>IFERROR(__xludf.DUMMYFUNCTION("""COMPUTED_VALUE"""),"-")</f>
        <v>-</v>
      </c>
      <c r="X2023" s="213" t="str">
        <f>IFERROR(__xludf.DUMMYFUNCTION("""COMPUTED_VALUE"""),"STEEL PRO")</f>
        <v>STEEL PRO</v>
      </c>
      <c r="Y2023" s="213" t="str">
        <f>IFERROR(__xludf.DUMMYFUNCTION("""COMPUTED_VALUE"""),"GENERICO")</f>
        <v>GENERICO</v>
      </c>
      <c r="Z2023" s="215" t="str">
        <f>IFERROR(__xludf.DUMMYFUNCTION("""COMPUTED_VALUE"""),"https://drive.google.com/file/d/1SgLNtJlGm0LxJKQnmmfwDfeB63Dys1oQ/view")</f>
        <v>https://drive.google.com/file/d/1SgLNtJlGm0LxJKQnmmfwDfeB63Dys1oQ/view</v>
      </c>
      <c r="AA2023" s="213" t="str">
        <f>IFERROR(__xludf.DUMMYFUNCTION("""COMPUTED_VALUE"""),"MAT-180 GUANTES PARA SOLDAR - CET")</f>
        <v>MAT-180 GUANTES PARA SOLDAR - CET</v>
      </c>
      <c r="AB2023" s="213"/>
      <c r="AC2023" s="215" t="str">
        <f>IFERROR(__xludf.DUMMYFUNCTION("""COMPUTED_VALUE"""),"https://drive.google.com/file/d/1sQ62tKEjXrGiF5MtbjMckCr91X0DS0o5/view?usp=sharing")</f>
        <v>https://drive.google.com/file/d/1sQ62tKEjXrGiF5MtbjMckCr91X0DS0o5/view?usp=sharing</v>
      </c>
      <c r="AD2023" s="213"/>
      <c r="AE2023" s="213"/>
      <c r="AF2023" s="213"/>
      <c r="AG2023" s="213"/>
      <c r="AH2023" s="213" t="str">
        <f>IFERROR(__xludf.DUMMYFUNCTION("""COMPUTED_VALUE"""),"NACIONAL")</f>
        <v>NACIONAL</v>
      </c>
      <c r="AI2023" s="213"/>
      <c r="AJ2023" s="213"/>
      <c r="AK2023" s="213"/>
      <c r="AL2023" s="213"/>
      <c r="AM2023" s="213"/>
      <c r="AN2023" s="213"/>
      <c r="AO2023" s="213"/>
      <c r="AP2023" s="213" t="str">
        <f>IFERROR(__xludf.DUMMYFUNCTION("""COMPUTED_VALUE"""),"LUIS")</f>
        <v>LUIS</v>
      </c>
      <c r="AQ2023" s="213"/>
      <c r="AR2023" s="213"/>
      <c r="AS2023" s="213"/>
      <c r="AT2023" s="213"/>
      <c r="AU2023" s="213"/>
      <c r="AV2023" s="213"/>
      <c r="AW2023" s="213"/>
      <c r="AX2023" s="213"/>
      <c r="AY2023" s="213"/>
      <c r="AZ2023" s="213"/>
      <c r="BA2023" s="213"/>
      <c r="BB2023" s="213"/>
      <c r="BC2023" s="213"/>
      <c r="BD2023" s="213"/>
    </row>
    <row r="2024">
      <c r="A2024" s="213">
        <f>IFERROR(__xludf.DUMMYFUNCTION("""COMPUTED_VALUE"""),1529.0)</f>
        <v>1529</v>
      </c>
      <c r="B2024" s="213" t="str">
        <f>IFERROR(__xludf.DUMMYFUNCTION("""COMPUTED_VALUE"""),"GUILLERMO E. BILLINGHURST ")</f>
        <v>GUILLERMO E. BILLINGHURST </v>
      </c>
      <c r="C2024" s="213" t="str">
        <f>IFERROR(__xludf.DUMMYFUNCTION("""COMPUTED_VALUE"""),"TALLER SFT DE MECÁNICA AUTOMOTRIZ")</f>
        <v>TALLER SFT DE MECÁNICA AUTOMOTRIZ</v>
      </c>
      <c r="D2024" s="213" t="str">
        <f>IFERROR(__xludf.DUMMYFUNCTION("""COMPUTED_VALUE"""),"HERRAMIENTAS")</f>
        <v>HERRAMIENTAS</v>
      </c>
      <c r="E2024" s="213" t="str">
        <f>IFERROR(__xludf.DUMMYFUNCTION("""COMPUTED_VALUE"""),"MAT-180")</f>
        <v>MAT-180</v>
      </c>
      <c r="F2024" s="213" t="str">
        <f>IFERROR(__xludf.DUMMYFUNCTION("""COMPUTED_VALUE"""),"MAT-180")</f>
        <v>MAT-180</v>
      </c>
      <c r="G2024" s="213"/>
      <c r="H2024" s="213" t="str">
        <f>IFERROR(__xludf.DUMMYFUNCTION("""COMPUTED_VALUE"""),"GUANTES PARA SOLDAR")</f>
        <v>GUANTES PARA SOLDAR</v>
      </c>
      <c r="I2024" s="213" t="str">
        <f>IFERROR(__xludf.DUMMYFUNCTION("""COMPUTED_VALUE"""),"Brinda efectiva proteccion a las manos y muñecas durante los proceso de soldadura y tareas relacionados cumpliendo la normativa EN 12477.
- Fabricado en cuero de descarne al cromo con forro.
- Proteccion de costuras en dedos , palmas y nudillos
- Dedo pul"&amp;"gar tipo ala que permite mejor maniobrabilidad.
- Buena proteccion mecanica y termica .
- Talla M")</f>
        <v>Brinda efectiva proteccion a las manos y muñecas durante los proceso de soldadura y tareas relacionados cumpliendo la normativa EN 12477.
- Fabricado en cuero de descarne al cromo con forro.
- Proteccion de costuras en dedos , palmas y nudillos
- Dedo pulgar tipo ala que permite mejor maniobrabilidad.
- Buena proteccion mecanica y termica .
- Talla M</v>
      </c>
      <c r="J2024" s="213">
        <f>IFERROR(__xludf.DUMMYFUNCTION("""COMPUTED_VALUE"""),3.0)</f>
        <v>3</v>
      </c>
      <c r="K2024" s="213" t="str">
        <f>IFERROR(__xludf.DUMMYFUNCTION("""COMPUTED_VALUE"""),"90 DÍAS CALENDARIO")</f>
        <v>90 DÍAS CALENDARIO</v>
      </c>
      <c r="L2024" s="213" t="str">
        <f>IFERROR(__xludf.DUMMYFUNCTION("""COMPUTED_VALUE"""),"")</f>
        <v/>
      </c>
      <c r="M2024" s="213">
        <f>IFERROR(__xludf.DUMMYFUNCTION("""COMPUTED_VALUE"""),1.0)</f>
        <v>1</v>
      </c>
      <c r="N2024" s="213">
        <f>IFERROR(__xludf.DUMMYFUNCTION("""COMPUTED_VALUE"""),21.0)</f>
        <v>21</v>
      </c>
      <c r="O2024" s="213">
        <f>IFERROR(__xludf.DUMMYFUNCTION("""COMPUTED_VALUE"""),21.0)</f>
        <v>21</v>
      </c>
      <c r="P2024" s="213"/>
      <c r="Q2024" s="213"/>
      <c r="R2024" s="213" t="str">
        <f>IFERROR(__xludf.DUMMYFUNCTION("""COMPUTED_VALUE"""),"SI")</f>
        <v>SI</v>
      </c>
      <c r="S2024" s="213"/>
      <c r="T2024" s="213" t="str">
        <f>IFERROR(__xludf.DUMMYFUNCTION("""COMPUTED_VALUE"""),"SI")</f>
        <v>SI</v>
      </c>
      <c r="U2024" s="213" t="str">
        <f>IFERROR(__xludf.DUMMYFUNCTION("""COMPUTED_VALUE"""),"SI")</f>
        <v>SI</v>
      </c>
      <c r="V2024" s="213" t="str">
        <f>IFERROR(__xludf.DUMMYFUNCTION("""COMPUTED_VALUE"""),"-")</f>
        <v>-</v>
      </c>
      <c r="W2024" s="213" t="str">
        <f>IFERROR(__xludf.DUMMYFUNCTION("""COMPUTED_VALUE"""),"-")</f>
        <v>-</v>
      </c>
      <c r="X2024" s="213" t="str">
        <f>IFERROR(__xludf.DUMMYFUNCTION("""COMPUTED_VALUE"""),"STEEL PRO")</f>
        <v>STEEL PRO</v>
      </c>
      <c r="Y2024" s="213" t="str">
        <f>IFERROR(__xludf.DUMMYFUNCTION("""COMPUTED_VALUE"""),"GENERICO")</f>
        <v>GENERICO</v>
      </c>
      <c r="Z2024" s="215" t="str">
        <f>IFERROR(__xludf.DUMMYFUNCTION("""COMPUTED_VALUE"""),"https://drive.google.com/file/d/1SgLNtJlGm0LxJKQnmmfwDfeB63Dys1oQ/view")</f>
        <v>https://drive.google.com/file/d/1SgLNtJlGm0LxJKQnmmfwDfeB63Dys1oQ/view</v>
      </c>
      <c r="AA2024" s="213" t="str">
        <f>IFERROR(__xludf.DUMMYFUNCTION("""COMPUTED_VALUE"""),"MAT-180 GUANTES PARA SOLDAR - CET")</f>
        <v>MAT-180 GUANTES PARA SOLDAR - CET</v>
      </c>
      <c r="AB2024" s="213"/>
      <c r="AC2024" s="215" t="str">
        <f>IFERROR(__xludf.DUMMYFUNCTION("""COMPUTED_VALUE"""),"https://drive.google.com/file/d/1sQ62tKEjXrGiF5MtbjMckCr91X0DS0o5/view?usp=sharing")</f>
        <v>https://drive.google.com/file/d/1sQ62tKEjXrGiF5MtbjMckCr91X0DS0o5/view?usp=sharing</v>
      </c>
      <c r="AD2024" s="213"/>
      <c r="AE2024" s="213"/>
      <c r="AF2024" s="213"/>
      <c r="AG2024" s="213"/>
      <c r="AH2024" s="213" t="str">
        <f>IFERROR(__xludf.DUMMYFUNCTION("""COMPUTED_VALUE"""),"NACIONAL")</f>
        <v>NACIONAL</v>
      </c>
      <c r="AI2024" s="213"/>
      <c r="AJ2024" s="213"/>
      <c r="AK2024" s="213"/>
      <c r="AL2024" s="213"/>
      <c r="AM2024" s="213"/>
      <c r="AN2024" s="213"/>
      <c r="AO2024" s="213"/>
      <c r="AP2024" s="213" t="str">
        <f>IFERROR(__xludf.DUMMYFUNCTION("""COMPUTED_VALUE"""),"LUIS")</f>
        <v>LUIS</v>
      </c>
      <c r="AQ2024" s="213"/>
      <c r="AR2024" s="213"/>
      <c r="AS2024" s="213"/>
      <c r="AT2024" s="213"/>
      <c r="AU2024" s="213"/>
      <c r="AV2024" s="213"/>
      <c r="AW2024" s="213"/>
      <c r="AX2024" s="213"/>
      <c r="AY2024" s="213"/>
      <c r="AZ2024" s="213"/>
      <c r="BA2024" s="213"/>
      <c r="BB2024" s="213"/>
      <c r="BC2024" s="213"/>
      <c r="BD2024" s="213"/>
    </row>
    <row r="2025">
      <c r="A2025" s="213">
        <f>IFERROR(__xludf.DUMMYFUNCTION("""COMPUTED_VALUE"""),2221.0)</f>
        <v>2221</v>
      </c>
      <c r="B2025" s="213" t="str">
        <f>IFERROR(__xludf.DUMMYFUNCTION("""COMPUTED_VALUE"""),"JOSE GRANDA")</f>
        <v>JOSE GRANDA</v>
      </c>
      <c r="C2025" s="213" t="str">
        <f>IFERROR(__xludf.DUMMYFUNCTION("""COMPUTED_VALUE"""),"TALLER SFT DE MECÁNICA AUTOMOTRIZ")</f>
        <v>TALLER SFT DE MECÁNICA AUTOMOTRIZ</v>
      </c>
      <c r="D2025" s="213" t="str">
        <f>IFERROR(__xludf.DUMMYFUNCTION("""COMPUTED_VALUE"""),"HERRAMIENTAS")</f>
        <v>HERRAMIENTAS</v>
      </c>
      <c r="E2025" s="213" t="str">
        <f>IFERROR(__xludf.DUMMYFUNCTION("""COMPUTED_VALUE"""),"MAT-180")</f>
        <v>MAT-180</v>
      </c>
      <c r="F2025" s="213" t="str">
        <f>IFERROR(__xludf.DUMMYFUNCTION("""COMPUTED_VALUE"""),"MAT-180")</f>
        <v>MAT-180</v>
      </c>
      <c r="G2025" s="213"/>
      <c r="H2025" s="213" t="str">
        <f>IFERROR(__xludf.DUMMYFUNCTION("""COMPUTED_VALUE"""),"GUANTES PARA SOLDAR")</f>
        <v>GUANTES PARA SOLDAR</v>
      </c>
      <c r="I2025" s="213" t="str">
        <f>IFERROR(__xludf.DUMMYFUNCTION("""COMPUTED_VALUE"""),"Brinda efectiva proteccion a las manos y muñecas durante los proceso de soldadura y tareas relacionados cumpliendo la normativa EN 12477.
- Fabricado en cuero de descarne al cromo con forro.
- Proteccion de costuras en dedos , palmas y nudillos
- Dedo pul"&amp;"gar tipo ala que permite mejor maniobrabilidad.
- Buena proteccion mecanica y termica .
- Talla M")</f>
        <v>Brinda efectiva proteccion a las manos y muñecas durante los proceso de soldadura y tareas relacionados cumpliendo la normativa EN 12477.
- Fabricado en cuero de descarne al cromo con forro.
- Proteccion de costuras en dedos , palmas y nudillos
- Dedo pulgar tipo ala que permite mejor maniobrabilidad.
- Buena proteccion mecanica y termica .
- Talla M</v>
      </c>
      <c r="J2025" s="213">
        <f>IFERROR(__xludf.DUMMYFUNCTION("""COMPUTED_VALUE"""),3.0)</f>
        <v>3</v>
      </c>
      <c r="K2025" s="213" t="str">
        <f>IFERROR(__xludf.DUMMYFUNCTION("""COMPUTED_VALUE"""),"90 DÍAS CALENDARIO")</f>
        <v>90 DÍAS CALENDARIO</v>
      </c>
      <c r="L2025" s="213" t="str">
        <f>IFERROR(__xludf.DUMMYFUNCTION("""COMPUTED_VALUE"""),"")</f>
        <v/>
      </c>
      <c r="M2025" s="213">
        <f>IFERROR(__xludf.DUMMYFUNCTION("""COMPUTED_VALUE"""),1.0)</f>
        <v>1</v>
      </c>
      <c r="N2025" s="213">
        <f>IFERROR(__xludf.DUMMYFUNCTION("""COMPUTED_VALUE"""),21.0)</f>
        <v>21</v>
      </c>
      <c r="O2025" s="213">
        <f>IFERROR(__xludf.DUMMYFUNCTION("""COMPUTED_VALUE"""),21.0)</f>
        <v>21</v>
      </c>
      <c r="P2025" s="213"/>
      <c r="Q2025" s="213"/>
      <c r="R2025" s="213" t="str">
        <f>IFERROR(__xludf.DUMMYFUNCTION("""COMPUTED_VALUE"""),"SI")</f>
        <v>SI</v>
      </c>
      <c r="S2025" s="213"/>
      <c r="T2025" s="213" t="str">
        <f>IFERROR(__xludf.DUMMYFUNCTION("""COMPUTED_VALUE"""),"SI")</f>
        <v>SI</v>
      </c>
      <c r="U2025" s="213" t="str">
        <f>IFERROR(__xludf.DUMMYFUNCTION("""COMPUTED_VALUE"""),"SI")</f>
        <v>SI</v>
      </c>
      <c r="V2025" s="213" t="str">
        <f>IFERROR(__xludf.DUMMYFUNCTION("""COMPUTED_VALUE"""),"-")</f>
        <v>-</v>
      </c>
      <c r="W2025" s="213" t="str">
        <f>IFERROR(__xludf.DUMMYFUNCTION("""COMPUTED_VALUE"""),"-")</f>
        <v>-</v>
      </c>
      <c r="X2025" s="213" t="str">
        <f>IFERROR(__xludf.DUMMYFUNCTION("""COMPUTED_VALUE"""),"STEEL PRO")</f>
        <v>STEEL PRO</v>
      </c>
      <c r="Y2025" s="213" t="str">
        <f>IFERROR(__xludf.DUMMYFUNCTION("""COMPUTED_VALUE"""),"GENERICO")</f>
        <v>GENERICO</v>
      </c>
      <c r="Z2025" s="215" t="str">
        <f>IFERROR(__xludf.DUMMYFUNCTION("""COMPUTED_VALUE"""),"https://drive.google.com/file/d/1SgLNtJlGm0LxJKQnmmfwDfeB63Dys1oQ/view")</f>
        <v>https://drive.google.com/file/d/1SgLNtJlGm0LxJKQnmmfwDfeB63Dys1oQ/view</v>
      </c>
      <c r="AA2025" s="213" t="str">
        <f>IFERROR(__xludf.DUMMYFUNCTION("""COMPUTED_VALUE"""),"MAT-180 GUANTES PARA SOLDAR - CET")</f>
        <v>MAT-180 GUANTES PARA SOLDAR - CET</v>
      </c>
      <c r="AB2025" s="213"/>
      <c r="AC2025" s="215" t="str">
        <f>IFERROR(__xludf.DUMMYFUNCTION("""COMPUTED_VALUE"""),"https://drive.google.com/file/d/1sQ62tKEjXrGiF5MtbjMckCr91X0DS0o5/view?usp=sharing")</f>
        <v>https://drive.google.com/file/d/1sQ62tKEjXrGiF5MtbjMckCr91X0DS0o5/view?usp=sharing</v>
      </c>
      <c r="AD2025" s="213"/>
      <c r="AE2025" s="213"/>
      <c r="AF2025" s="213"/>
      <c r="AG2025" s="213"/>
      <c r="AH2025" s="213" t="str">
        <f>IFERROR(__xludf.DUMMYFUNCTION("""COMPUTED_VALUE"""),"NACIONAL")</f>
        <v>NACIONAL</v>
      </c>
      <c r="AI2025" s="213"/>
      <c r="AJ2025" s="213"/>
      <c r="AK2025" s="213"/>
      <c r="AL2025" s="213"/>
      <c r="AM2025" s="213"/>
      <c r="AN2025" s="213"/>
      <c r="AO2025" s="213"/>
      <c r="AP2025" s="213" t="str">
        <f>IFERROR(__xludf.DUMMYFUNCTION("""COMPUTED_VALUE"""),"LUIS")</f>
        <v>LUIS</v>
      </c>
      <c r="AQ2025" s="213"/>
      <c r="AR2025" s="213"/>
      <c r="AS2025" s="213"/>
      <c r="AT2025" s="213"/>
      <c r="AU2025" s="213"/>
      <c r="AV2025" s="213"/>
      <c r="AW2025" s="213"/>
      <c r="AX2025" s="213"/>
      <c r="AY2025" s="213"/>
      <c r="AZ2025" s="213"/>
      <c r="BA2025" s="213"/>
      <c r="BB2025" s="213"/>
      <c r="BC2025" s="213"/>
      <c r="BD2025" s="213"/>
    </row>
    <row r="2026">
      <c r="A2026" s="213">
        <f>IFERROR(__xludf.DUMMYFUNCTION("""COMPUTED_VALUE"""),529.0)</f>
        <v>529</v>
      </c>
      <c r="B2026" s="213" t="str">
        <f>IFERROR(__xludf.DUMMYFUNCTION("""COMPUTED_VALUE"""),"2026 SIMON BOLIVAR")</f>
        <v>2026 SIMON BOLIVAR</v>
      </c>
      <c r="C2026" s="213" t="str">
        <f>IFERROR(__xludf.DUMMYFUNCTION("""COMPUTED_VALUE"""),"TALLER SFT DE INDUSTRIA ALIMENTARIA")</f>
        <v>TALLER SFT DE INDUSTRIA ALIMENTARIA</v>
      </c>
      <c r="D2026" s="213" t="str">
        <f>IFERROR(__xludf.DUMMYFUNCTION("""COMPUTED_VALUE"""),"HERRAMIENTAS")</f>
        <v>HERRAMIENTAS</v>
      </c>
      <c r="E2026" s="213" t="str">
        <f>IFERROR(__xludf.DUMMYFUNCTION("""COMPUTED_VALUE"""),"MAT-181")</f>
        <v>MAT-181</v>
      </c>
      <c r="F2026" s="213" t="str">
        <f>IFERROR(__xludf.DUMMYFUNCTION("""COMPUTED_VALUE"""),"MAT-181-Y")</f>
        <v>MAT-181-Y</v>
      </c>
      <c r="G2026" s="213"/>
      <c r="H2026" s="213" t="str">
        <f>IFERROR(__xludf.DUMMYFUNCTION("""COMPUTED_VALUE"""),"GUARDAPOLVO")</f>
        <v>GUARDAPOLVO</v>
      </c>
      <c r="I2026" s="213" t="str">
        <f>IFERROR(__xludf.DUMMYFUNCTION("""COMPUTED_VALUE"""),"· 100% algodón
· Tejido de sarga de alta calidad
· Cinturón de ajuste")</f>
        <v>· 100% algodón
· Tejido de sarga de alta calidad
· Cinturón de ajuste</v>
      </c>
      <c r="J2026" s="213">
        <f>IFERROR(__xludf.DUMMYFUNCTION("""COMPUTED_VALUE"""),3.0)</f>
        <v>3</v>
      </c>
      <c r="K2026" s="213" t="str">
        <f>IFERROR(__xludf.DUMMYFUNCTION("""COMPUTED_VALUE"""),"90 DÍAS CALENDARIO")</f>
        <v>90 DÍAS CALENDARIO</v>
      </c>
      <c r="L2026" s="213" t="str">
        <f>IFERROR(__xludf.DUMMYFUNCTION("""COMPUTED_VALUE"""),"")</f>
        <v/>
      </c>
      <c r="M2026" s="213">
        <f>IFERROR(__xludf.DUMMYFUNCTION("""COMPUTED_VALUE"""),1.0)</f>
        <v>1</v>
      </c>
      <c r="N2026" s="213">
        <f>IFERROR(__xludf.DUMMYFUNCTION("""COMPUTED_VALUE"""),20.0)</f>
        <v>20</v>
      </c>
      <c r="O2026" s="213">
        <f>IFERROR(__xludf.DUMMYFUNCTION("""COMPUTED_VALUE"""),20.0)</f>
        <v>20</v>
      </c>
      <c r="P2026" s="213"/>
      <c r="Q2026" s="213"/>
      <c r="R2026" s="213" t="str">
        <f>IFERROR(__xludf.DUMMYFUNCTION("""COMPUTED_VALUE"""),"SI")</f>
        <v>SI</v>
      </c>
      <c r="S2026" s="213"/>
      <c r="T2026" s="213" t="str">
        <f>IFERROR(__xludf.DUMMYFUNCTION("""COMPUTED_VALUE"""),"CONSULTA FINAL")</f>
        <v>CONSULTA FINAL</v>
      </c>
      <c r="U2026" s="213" t="str">
        <f>IFERROR(__xludf.DUMMYFUNCTION("""COMPUTED_VALUE"""),"NO")</f>
        <v>NO</v>
      </c>
      <c r="V2026" s="213" t="str">
        <f>IFERROR(__xludf.DUMMYFUNCTION("""COMPUTED_VALUE"""),"SUSTENTO")</f>
        <v>SUSTENTO</v>
      </c>
      <c r="W2026" s="213" t="str">
        <f>IFERROR(__xludf.DUMMYFUNCTION("""COMPUTED_VALUE"""),"EQU TEC")</f>
        <v>EQU TEC</v>
      </c>
      <c r="X2026" s="213" t="str">
        <f>IFERROR(__xludf.DUMMYFUNCTION("""COMPUTED_VALUE"""),"Monza")</f>
        <v>Monza</v>
      </c>
      <c r="Y2026" s="213" t="str">
        <f>IFERROR(__xludf.DUMMYFUNCTION("""COMPUTED_VALUE"""),"Ref:0021")</f>
        <v>Ref:0021</v>
      </c>
      <c r="Z2026" s="215" t="str">
        <f>IFERROR(__xludf.DUMMYFUNCTION("""COMPUTED_VALUE"""),"https://casadelasbatas.com/batas-industria/52174-93549-bata-guardapolvo-industrial-confort-fit-monza.html?_gl=1*6awugg*_up*MQ..*_ga*MzQzNDk3ODY0LjE3NTk3ODkwNzc.*_ga_HQFNFVNCSB*czE3NTk3ODkwNzYkbzEkZzEkdDE3NTk3ODkxMDgkajI4JGwwJGgw#/27-color-azul_marino/910-"&amp;"talla-0")</f>
        <v>https://casadelasbatas.com/batas-industria/52174-93549-bata-guardapolvo-industrial-confort-fit-monza.html?_gl=1*6awugg*_up*MQ..*_ga*MzQzNDk3ODY0LjE3NTk3ODkwNzc.*_ga_HQFNFVNCSB*czE3NTk3ODkwNzYkbzEkZzEkdDE3NTk3ODkxMDgkajI4JGwwJGgw#/27-color-azul_marino/910-talla-0</v>
      </c>
      <c r="AA2026" s="213" t="str">
        <f>IFERROR(__xludf.DUMMYFUNCTION("""COMPUTED_VALUE"""),"MAT-181-Y GUARDAPOLVO - CET")</f>
        <v>MAT-181-Y GUARDAPOLVO - CET</v>
      </c>
      <c r="AB2026" s="213"/>
      <c r="AC2026" s="213"/>
      <c r="AD2026" s="213"/>
      <c r="AE2026" s="213"/>
      <c r="AF2026" s="213"/>
      <c r="AG2026" s="213"/>
      <c r="AH2026" s="213"/>
      <c r="AI2026" s="213"/>
      <c r="AJ2026" s="213"/>
      <c r="AK2026" s="213"/>
      <c r="AL2026" s="213"/>
      <c r="AM2026" s="213"/>
      <c r="AN2026" s="213"/>
      <c r="AO2026" s="213"/>
      <c r="AP2026" s="213" t="str">
        <f>IFERROR(__xludf.DUMMYFUNCTION("""COMPUTED_VALUE"""),"SEBASTIAN")</f>
        <v>SEBASTIAN</v>
      </c>
      <c r="AQ2026" s="213"/>
      <c r="AR2026" s="213"/>
      <c r="AS2026" s="213"/>
      <c r="AT2026" s="213"/>
      <c r="AU2026" s="213"/>
      <c r="AV2026" s="213"/>
      <c r="AW2026" s="213"/>
      <c r="AX2026" s="213"/>
      <c r="AY2026" s="213"/>
      <c r="AZ2026" s="213"/>
      <c r="BA2026" s="213"/>
      <c r="BB2026" s="213"/>
      <c r="BC2026" s="213"/>
      <c r="BD2026" s="213"/>
    </row>
    <row r="2027">
      <c r="A2027" s="213">
        <f>IFERROR(__xludf.DUMMYFUNCTION("""COMPUTED_VALUE"""),1159.0)</f>
        <v>1159</v>
      </c>
      <c r="B2027" s="213" t="str">
        <f>IFERROR(__xludf.DUMMYFUNCTION("""COMPUTED_VALUE"""),"FRANCISCO IRAZOLA")</f>
        <v>FRANCISCO IRAZOLA</v>
      </c>
      <c r="C2027" s="213" t="str">
        <f>IFERROR(__xludf.DUMMYFUNCTION("""COMPUTED_VALUE"""),"TALLER SFT DE INDUSTRIA ALIMENTARIA")</f>
        <v>TALLER SFT DE INDUSTRIA ALIMENTARIA</v>
      </c>
      <c r="D2027" s="213" t="str">
        <f>IFERROR(__xludf.DUMMYFUNCTION("""COMPUTED_VALUE"""),"HERRAMIENTAS")</f>
        <v>HERRAMIENTAS</v>
      </c>
      <c r="E2027" s="213" t="str">
        <f>IFERROR(__xludf.DUMMYFUNCTION("""COMPUTED_VALUE"""),"MAT-181")</f>
        <v>MAT-181</v>
      </c>
      <c r="F2027" s="213" t="str">
        <f>IFERROR(__xludf.DUMMYFUNCTION("""COMPUTED_VALUE"""),"MAT-181-Y")</f>
        <v>MAT-181-Y</v>
      </c>
      <c r="G2027" s="213"/>
      <c r="H2027" s="213" t="str">
        <f>IFERROR(__xludf.DUMMYFUNCTION("""COMPUTED_VALUE"""),"GUARDAPOLVO")</f>
        <v>GUARDAPOLVO</v>
      </c>
      <c r="I2027" s="213" t="str">
        <f>IFERROR(__xludf.DUMMYFUNCTION("""COMPUTED_VALUE"""),"· 100% algodón
· Tejido de sarga de alta calidad
· Cinturón de ajuste")</f>
        <v>· 100% algodón
· Tejido de sarga de alta calidad
· Cinturón de ajuste</v>
      </c>
      <c r="J2027" s="213">
        <f>IFERROR(__xludf.DUMMYFUNCTION("""COMPUTED_VALUE"""),3.0)</f>
        <v>3</v>
      </c>
      <c r="K2027" s="213" t="str">
        <f>IFERROR(__xludf.DUMMYFUNCTION("""COMPUTED_VALUE"""),"90 DÍAS CALENDARIO")</f>
        <v>90 DÍAS CALENDARIO</v>
      </c>
      <c r="L2027" s="213" t="str">
        <f>IFERROR(__xludf.DUMMYFUNCTION("""COMPUTED_VALUE"""),"")</f>
        <v/>
      </c>
      <c r="M2027" s="213">
        <f>IFERROR(__xludf.DUMMYFUNCTION("""COMPUTED_VALUE"""),1.0)</f>
        <v>1</v>
      </c>
      <c r="N2027" s="213">
        <f>IFERROR(__xludf.DUMMYFUNCTION("""COMPUTED_VALUE"""),20.0)</f>
        <v>20</v>
      </c>
      <c r="O2027" s="213">
        <f>IFERROR(__xludf.DUMMYFUNCTION("""COMPUTED_VALUE"""),20.0)</f>
        <v>20</v>
      </c>
      <c r="P2027" s="213"/>
      <c r="Q2027" s="213"/>
      <c r="R2027" s="213" t="str">
        <f>IFERROR(__xludf.DUMMYFUNCTION("""COMPUTED_VALUE"""),"SI")</f>
        <v>SI</v>
      </c>
      <c r="S2027" s="213"/>
      <c r="T2027" s="213" t="str">
        <f>IFERROR(__xludf.DUMMYFUNCTION("""COMPUTED_VALUE"""),"CONSULTA FINAL")</f>
        <v>CONSULTA FINAL</v>
      </c>
      <c r="U2027" s="213" t="str">
        <f>IFERROR(__xludf.DUMMYFUNCTION("""COMPUTED_VALUE"""),"NO")</f>
        <v>NO</v>
      </c>
      <c r="V2027" s="213" t="str">
        <f>IFERROR(__xludf.DUMMYFUNCTION("""COMPUTED_VALUE"""),"SUSTENTO")</f>
        <v>SUSTENTO</v>
      </c>
      <c r="W2027" s="213" t="str">
        <f>IFERROR(__xludf.DUMMYFUNCTION("""COMPUTED_VALUE"""),"EQU TEC")</f>
        <v>EQU TEC</v>
      </c>
      <c r="X2027" s="213" t="str">
        <f>IFERROR(__xludf.DUMMYFUNCTION("""COMPUTED_VALUE"""),"Monza")</f>
        <v>Monza</v>
      </c>
      <c r="Y2027" s="213" t="str">
        <f>IFERROR(__xludf.DUMMYFUNCTION("""COMPUTED_VALUE"""),"Ref:0021")</f>
        <v>Ref:0021</v>
      </c>
      <c r="Z2027" s="215" t="str">
        <f>IFERROR(__xludf.DUMMYFUNCTION("""COMPUTED_VALUE"""),"https://casadelasbatas.com/batas-industria/52174-93549-bata-guardapolvo-industrial-confort-fit-monza.html?_gl=1*6awugg*_up*MQ..*_ga*MzQzNDk3ODY0LjE3NTk3ODkwNzc.*_ga_HQFNFVNCSB*czE3NTk3ODkwNzYkbzEkZzEkdDE3NTk3ODkxMDgkajI4JGwwJGgw#/27-color-azul_marino/910-"&amp;"talla-1")</f>
        <v>https://casadelasbatas.com/batas-industria/52174-93549-bata-guardapolvo-industrial-confort-fit-monza.html?_gl=1*6awugg*_up*MQ..*_ga*MzQzNDk3ODY0LjE3NTk3ODkwNzc.*_ga_HQFNFVNCSB*czE3NTk3ODkwNzYkbzEkZzEkdDE3NTk3ODkxMDgkajI4JGwwJGgw#/27-color-azul_marino/910-talla-1</v>
      </c>
      <c r="AA2027" s="213" t="str">
        <f>IFERROR(__xludf.DUMMYFUNCTION("""COMPUTED_VALUE"""),"MAT-181-Y GUARDAPOLVO - CET")</f>
        <v>MAT-181-Y GUARDAPOLVO - CET</v>
      </c>
      <c r="AB2027" s="213"/>
      <c r="AC2027" s="213"/>
      <c r="AD2027" s="213"/>
      <c r="AE2027" s="213"/>
      <c r="AF2027" s="213"/>
      <c r="AG2027" s="213"/>
      <c r="AH2027" s="213"/>
      <c r="AI2027" s="213"/>
      <c r="AJ2027" s="213"/>
      <c r="AK2027" s="213"/>
      <c r="AL2027" s="213"/>
      <c r="AM2027" s="213"/>
      <c r="AN2027" s="213"/>
      <c r="AO2027" s="213"/>
      <c r="AP2027" s="213" t="str">
        <f>IFERROR(__xludf.DUMMYFUNCTION("""COMPUTED_VALUE"""),"SEBASTIAN")</f>
        <v>SEBASTIAN</v>
      </c>
      <c r="AQ2027" s="213"/>
      <c r="AR2027" s="213"/>
      <c r="AS2027" s="213"/>
      <c r="AT2027" s="213"/>
      <c r="AU2027" s="213"/>
      <c r="AV2027" s="213"/>
      <c r="AW2027" s="213"/>
      <c r="AX2027" s="213"/>
      <c r="AY2027" s="213"/>
      <c r="AZ2027" s="213"/>
      <c r="BA2027" s="213"/>
      <c r="BB2027" s="213"/>
      <c r="BC2027" s="213"/>
      <c r="BD2027" s="213"/>
    </row>
    <row r="2028">
      <c r="A2028" s="213">
        <f>IFERROR(__xludf.DUMMYFUNCTION("""COMPUTED_VALUE"""),1431.0)</f>
        <v>1431</v>
      </c>
      <c r="B2028" s="213" t="str">
        <f>IFERROR(__xludf.DUMMYFUNCTION("""COMPUTED_VALUE"""),"GUILLERMO E. BILLINGHURST ")</f>
        <v>GUILLERMO E. BILLINGHURST </v>
      </c>
      <c r="C2028" s="213" t="str">
        <f>IFERROR(__xludf.DUMMYFUNCTION("""COMPUTED_VALUE"""),"TALLER SFT DE INDUSTRIA ALIMENTARIA")</f>
        <v>TALLER SFT DE INDUSTRIA ALIMENTARIA</v>
      </c>
      <c r="D2028" s="213" t="str">
        <f>IFERROR(__xludf.DUMMYFUNCTION("""COMPUTED_VALUE"""),"HERRAMIENTAS")</f>
        <v>HERRAMIENTAS</v>
      </c>
      <c r="E2028" s="213" t="str">
        <f>IFERROR(__xludf.DUMMYFUNCTION("""COMPUTED_VALUE"""),"MAT-181")</f>
        <v>MAT-181</v>
      </c>
      <c r="F2028" s="213" t="str">
        <f>IFERROR(__xludf.DUMMYFUNCTION("""COMPUTED_VALUE"""),"MAT-181-Y")</f>
        <v>MAT-181-Y</v>
      </c>
      <c r="G2028" s="213"/>
      <c r="H2028" s="213" t="str">
        <f>IFERROR(__xludf.DUMMYFUNCTION("""COMPUTED_VALUE"""),"GUARDAPOLVO")</f>
        <v>GUARDAPOLVO</v>
      </c>
      <c r="I2028" s="213" t="str">
        <f>IFERROR(__xludf.DUMMYFUNCTION("""COMPUTED_VALUE"""),"· 100% algodón
· Tejido de sarga de alta calidad
· Cinturón de ajuste")</f>
        <v>· 100% algodón
· Tejido de sarga de alta calidad
· Cinturón de ajuste</v>
      </c>
      <c r="J2028" s="213">
        <f>IFERROR(__xludf.DUMMYFUNCTION("""COMPUTED_VALUE"""),3.0)</f>
        <v>3</v>
      </c>
      <c r="K2028" s="213" t="str">
        <f>IFERROR(__xludf.DUMMYFUNCTION("""COMPUTED_VALUE"""),"90 DÍAS CALENDARIO")</f>
        <v>90 DÍAS CALENDARIO</v>
      </c>
      <c r="L2028" s="213" t="str">
        <f>IFERROR(__xludf.DUMMYFUNCTION("""COMPUTED_VALUE"""),"")</f>
        <v/>
      </c>
      <c r="M2028" s="213">
        <f>IFERROR(__xludf.DUMMYFUNCTION("""COMPUTED_VALUE"""),1.0)</f>
        <v>1</v>
      </c>
      <c r="N2028" s="213">
        <f>IFERROR(__xludf.DUMMYFUNCTION("""COMPUTED_VALUE"""),20.0)</f>
        <v>20</v>
      </c>
      <c r="O2028" s="213">
        <f>IFERROR(__xludf.DUMMYFUNCTION("""COMPUTED_VALUE"""),20.0)</f>
        <v>20</v>
      </c>
      <c r="P2028" s="213"/>
      <c r="Q2028" s="213"/>
      <c r="R2028" s="213" t="str">
        <f>IFERROR(__xludf.DUMMYFUNCTION("""COMPUTED_VALUE"""),"SI")</f>
        <v>SI</v>
      </c>
      <c r="S2028" s="213"/>
      <c r="T2028" s="213" t="str">
        <f>IFERROR(__xludf.DUMMYFUNCTION("""COMPUTED_VALUE"""),"CONSULTA FINAL")</f>
        <v>CONSULTA FINAL</v>
      </c>
      <c r="U2028" s="213" t="str">
        <f>IFERROR(__xludf.DUMMYFUNCTION("""COMPUTED_VALUE"""),"NO")</f>
        <v>NO</v>
      </c>
      <c r="V2028" s="213" t="str">
        <f>IFERROR(__xludf.DUMMYFUNCTION("""COMPUTED_VALUE"""),"SUSTENTO")</f>
        <v>SUSTENTO</v>
      </c>
      <c r="W2028" s="213" t="str">
        <f>IFERROR(__xludf.DUMMYFUNCTION("""COMPUTED_VALUE"""),"EQU TEC")</f>
        <v>EQU TEC</v>
      </c>
      <c r="X2028" s="213" t="str">
        <f>IFERROR(__xludf.DUMMYFUNCTION("""COMPUTED_VALUE"""),"Monza")</f>
        <v>Monza</v>
      </c>
      <c r="Y2028" s="213" t="str">
        <f>IFERROR(__xludf.DUMMYFUNCTION("""COMPUTED_VALUE"""),"Ref:0021")</f>
        <v>Ref:0021</v>
      </c>
      <c r="Z2028" s="215" t="str">
        <f>IFERROR(__xludf.DUMMYFUNCTION("""COMPUTED_VALUE"""),"https://casadelasbatas.com/batas-industria/52174-93549-bata-guardapolvo-industrial-confort-fit-monza.html?_gl=1*6awugg*_up*MQ..*_ga*MzQzNDk3ODY0LjE3NTk3ODkwNzc.*_ga_HQFNFVNCSB*czE3NTk3ODkwNzYkbzEkZzEkdDE3NTk3ODkxMDgkajI4JGwwJGgw#/27-color-azul_marino/910-"&amp;"talla-2")</f>
        <v>https://casadelasbatas.com/batas-industria/52174-93549-bata-guardapolvo-industrial-confort-fit-monza.html?_gl=1*6awugg*_up*MQ..*_ga*MzQzNDk3ODY0LjE3NTk3ODkwNzc.*_ga_HQFNFVNCSB*czE3NTk3ODkwNzYkbzEkZzEkdDE3NTk3ODkxMDgkajI4JGwwJGgw#/27-color-azul_marino/910-talla-2</v>
      </c>
      <c r="AA2028" s="213" t="str">
        <f>IFERROR(__xludf.DUMMYFUNCTION("""COMPUTED_VALUE"""),"MAT-181-Y GUARDAPOLVO - CET")</f>
        <v>MAT-181-Y GUARDAPOLVO - CET</v>
      </c>
      <c r="AB2028" s="213"/>
      <c r="AC2028" s="213"/>
      <c r="AD2028" s="213"/>
      <c r="AE2028" s="213"/>
      <c r="AF2028" s="213"/>
      <c r="AG2028" s="213"/>
      <c r="AH2028" s="213"/>
      <c r="AI2028" s="213"/>
      <c r="AJ2028" s="213"/>
      <c r="AK2028" s="213"/>
      <c r="AL2028" s="213"/>
      <c r="AM2028" s="213"/>
      <c r="AN2028" s="213"/>
      <c r="AO2028" s="213"/>
      <c r="AP2028" s="213" t="str">
        <f>IFERROR(__xludf.DUMMYFUNCTION("""COMPUTED_VALUE"""),"SEBASTIAN")</f>
        <v>SEBASTIAN</v>
      </c>
      <c r="AQ2028" s="213"/>
      <c r="AR2028" s="213"/>
      <c r="AS2028" s="213"/>
      <c r="AT2028" s="213"/>
      <c r="AU2028" s="213"/>
      <c r="AV2028" s="213"/>
      <c r="AW2028" s="213"/>
      <c r="AX2028" s="213"/>
      <c r="AY2028" s="213"/>
      <c r="AZ2028" s="213"/>
      <c r="BA2028" s="213"/>
      <c r="BB2028" s="213"/>
      <c r="BC2028" s="213"/>
      <c r="BD2028" s="213"/>
    </row>
    <row r="2029">
      <c r="A2029" s="213">
        <f>IFERROR(__xludf.DUMMYFUNCTION("""COMPUTED_VALUE"""),1848.0)</f>
        <v>1848</v>
      </c>
      <c r="B2029" s="213" t="str">
        <f>IFERROR(__xludf.DUMMYFUNCTION("""COMPUTED_VALUE"""),"GUILLERMO E. BILLINGHURST ")</f>
        <v>GUILLERMO E. BILLINGHURST </v>
      </c>
      <c r="C2029" s="213" t="str">
        <f>IFERROR(__xludf.DUMMYFUNCTION("""COMPUTED_VALUE"""),"TALLER SFT DE EBANISTERÍA")</f>
        <v>TALLER SFT DE EBANISTERÍA</v>
      </c>
      <c r="D2029" s="213" t="str">
        <f>IFERROR(__xludf.DUMMYFUNCTION("""COMPUTED_VALUE"""),"HERRAMIENTAS")</f>
        <v>HERRAMIENTAS</v>
      </c>
      <c r="E2029" s="213" t="str">
        <f>IFERROR(__xludf.DUMMYFUNCTION("""COMPUTED_VALUE"""),"MAT-181")</f>
        <v>MAT-181</v>
      </c>
      <c r="F2029" s="213" t="str">
        <f>IFERROR(__xludf.DUMMYFUNCTION("""COMPUTED_VALUE"""),"MAT-181-X")</f>
        <v>MAT-181-X</v>
      </c>
      <c r="G2029" s="213"/>
      <c r="H2029" s="213" t="str">
        <f>IFERROR(__xludf.DUMMYFUNCTION("""COMPUTED_VALUE"""),"GUARDAPOLVO")</f>
        <v>GUARDAPOLVO</v>
      </c>
      <c r="I2029" s="213" t="str">
        <f>IFERROR(__xludf.DUMMYFUNCTION("""COMPUTED_VALUE"""),"Material: Drill grueso
Delantero: recto; 4 botones centrales; 1 bolsillo  a la altura de pecho izquierdo, 2 bolsillos a la altura de cadera. Espalda: recta; cinturón. Manga: sentada larga. Cuello: solapa. Bajo: dobladillo con pespunte normal.")</f>
        <v>Material: Drill grueso
Delantero: recto; 4 botones centrales; 1 bolsillo  a la altura de pecho izquierdo, 2 bolsillos a la altura de cadera. Espalda: recta; cinturón. Manga: sentada larga. Cuello: solapa. Bajo: dobladillo con pespunte normal.</v>
      </c>
      <c r="J2029" s="213">
        <f>IFERROR(__xludf.DUMMYFUNCTION("""COMPUTED_VALUE"""),3.0)</f>
        <v>3</v>
      </c>
      <c r="K2029" s="213" t="str">
        <f>IFERROR(__xludf.DUMMYFUNCTION("""COMPUTED_VALUE"""),"90 DÍAS CALENDARIO")</f>
        <v>90 DÍAS CALENDARIO</v>
      </c>
      <c r="L2029" s="213" t="str">
        <f>IFERROR(__xludf.DUMMYFUNCTION("""COMPUTED_VALUE"""),"")</f>
        <v/>
      </c>
      <c r="M2029" s="213">
        <f>IFERROR(__xludf.DUMMYFUNCTION("""COMPUTED_VALUE"""),1.0)</f>
        <v>1</v>
      </c>
      <c r="N2029" s="213">
        <f>IFERROR(__xludf.DUMMYFUNCTION("""COMPUTED_VALUE"""),21.0)</f>
        <v>21</v>
      </c>
      <c r="O2029" s="213">
        <f>IFERROR(__xludf.DUMMYFUNCTION("""COMPUTED_VALUE"""),21.0)</f>
        <v>21</v>
      </c>
      <c r="P2029" s="213"/>
      <c r="Q2029" s="213"/>
      <c r="R2029" s="213" t="str">
        <f>IFERROR(__xludf.DUMMYFUNCTION("""COMPUTED_VALUE"""),"SI")</f>
        <v>SI</v>
      </c>
      <c r="S2029" s="213"/>
      <c r="T2029" s="213" t="str">
        <f>IFERROR(__xludf.DUMMYFUNCTION("""COMPUTED_VALUE"""),"SI")</f>
        <v>SI</v>
      </c>
      <c r="U2029" s="213" t="str">
        <f>IFERROR(__xludf.DUMMYFUNCTION("""COMPUTED_VALUE"""),"SI")</f>
        <v>SI</v>
      </c>
      <c r="V2029" s="213" t="str">
        <f>IFERROR(__xludf.DUMMYFUNCTION("""COMPUTED_VALUE"""),"-")</f>
        <v>-</v>
      </c>
      <c r="W2029" s="213" t="str">
        <f>IFERROR(__xludf.DUMMYFUNCTION("""COMPUTED_VALUE"""),"-")</f>
        <v>-</v>
      </c>
      <c r="X2029" s="213" t="str">
        <f>IFERROR(__xludf.DUMMYFUNCTION("""COMPUTED_VALUE"""),"Monza")</f>
        <v>Monza</v>
      </c>
      <c r="Y2029" s="213" t="str">
        <f>IFERROR(__xludf.DUMMYFUNCTION("""COMPUTED_VALUE"""),"Ref:0021")</f>
        <v>Ref:0021</v>
      </c>
      <c r="Z2029" s="215" t="str">
        <f>IFERROR(__xludf.DUMMYFUNCTION("""COMPUTED_VALUE"""),"https://casadelasbatas.com/batas-industria/52174-93549-bata-guardapolvo-industrial-confort-fit-monza.html?_gl=1*6awugg*_up*MQ..*_ga*MzQzNDk3ODY0LjE3NTk3ODkwNzc.*_ga_HQFNFVNCSB*czE3NTk3ODkwNzYkbzEkZzEkdDE3NTk3ODkxMDgkajI4JGwwJGgw#/27-color-azul_marino/910-"&amp;"talla-3")</f>
        <v>https://casadelasbatas.com/batas-industria/52174-93549-bata-guardapolvo-industrial-confort-fit-monza.html?_gl=1*6awugg*_up*MQ..*_ga*MzQzNDk3ODY0LjE3NTk3ODkwNzc.*_ga_HQFNFVNCSB*czE3NTk3ODkwNzYkbzEkZzEkdDE3NTk3ODkxMDgkajI4JGwwJGgw#/27-color-azul_marino/910-talla-3</v>
      </c>
      <c r="AA2029" s="213" t="str">
        <f>IFERROR(__xludf.DUMMYFUNCTION("""COMPUTED_VALUE"""),"MAT-181-X GUARDAPOLVO - CET")</f>
        <v>MAT-181-X GUARDAPOLVO - CET</v>
      </c>
      <c r="AB2029" s="213"/>
      <c r="AC2029" s="213"/>
      <c r="AD2029" s="213"/>
      <c r="AE2029" s="213"/>
      <c r="AF2029" s="213"/>
      <c r="AG2029" s="213"/>
      <c r="AH2029" s="213"/>
      <c r="AI2029" s="213"/>
      <c r="AJ2029" s="213"/>
      <c r="AK2029" s="213"/>
      <c r="AL2029" s="213"/>
      <c r="AM2029" s="213"/>
      <c r="AN2029" s="213"/>
      <c r="AO2029" s="213"/>
      <c r="AP2029" s="213" t="str">
        <f>IFERROR(__xludf.DUMMYFUNCTION("""COMPUTED_VALUE"""),"SEBASTIAN")</f>
        <v>SEBASTIAN</v>
      </c>
      <c r="AQ2029" s="213"/>
      <c r="AR2029" s="213"/>
      <c r="AS2029" s="213"/>
      <c r="AT2029" s="213"/>
      <c r="AU2029" s="213"/>
      <c r="AV2029" s="213"/>
      <c r="AW2029" s="213"/>
      <c r="AX2029" s="213"/>
      <c r="AY2029" s="213"/>
      <c r="AZ2029" s="213"/>
      <c r="BA2029" s="213"/>
      <c r="BB2029" s="213"/>
      <c r="BC2029" s="213"/>
      <c r="BD2029" s="213"/>
    </row>
    <row r="2030">
      <c r="A2030" s="213">
        <f>IFERROR(__xludf.DUMMYFUNCTION("""COMPUTED_VALUE"""),2118.0)</f>
        <v>2118</v>
      </c>
      <c r="B2030" s="213" t="str">
        <f>IFERROR(__xludf.DUMMYFUNCTION("""COMPUTED_VALUE"""),"JOSE GRANDA")</f>
        <v>JOSE GRANDA</v>
      </c>
      <c r="C2030" s="213" t="str">
        <f>IFERROR(__xludf.DUMMYFUNCTION("""COMPUTED_VALUE"""),"TALLER SFT DE INDUSTRIA ALIMENTARIA")</f>
        <v>TALLER SFT DE INDUSTRIA ALIMENTARIA</v>
      </c>
      <c r="D2030" s="213" t="str">
        <f>IFERROR(__xludf.DUMMYFUNCTION("""COMPUTED_VALUE"""),"HERRAMIENTAS")</f>
        <v>HERRAMIENTAS</v>
      </c>
      <c r="E2030" s="213" t="str">
        <f>IFERROR(__xludf.DUMMYFUNCTION("""COMPUTED_VALUE"""),"MAT-181")</f>
        <v>MAT-181</v>
      </c>
      <c r="F2030" s="213" t="str">
        <f>IFERROR(__xludf.DUMMYFUNCTION("""COMPUTED_VALUE"""),"MAT-181-Y")</f>
        <v>MAT-181-Y</v>
      </c>
      <c r="G2030" s="213"/>
      <c r="H2030" s="213" t="str">
        <f>IFERROR(__xludf.DUMMYFUNCTION("""COMPUTED_VALUE"""),"GUARDAPOLVO")</f>
        <v>GUARDAPOLVO</v>
      </c>
      <c r="I2030" s="213" t="str">
        <f>IFERROR(__xludf.DUMMYFUNCTION("""COMPUTED_VALUE"""),"· 100% algodón
· Tejido de sarga de alta calidad
· Cinturón de ajuste")</f>
        <v>· 100% algodón
· Tejido de sarga de alta calidad
· Cinturón de ajuste</v>
      </c>
      <c r="J2030" s="213">
        <f>IFERROR(__xludf.DUMMYFUNCTION("""COMPUTED_VALUE"""),3.0)</f>
        <v>3</v>
      </c>
      <c r="K2030" s="213" t="str">
        <f>IFERROR(__xludf.DUMMYFUNCTION("""COMPUTED_VALUE"""),"90 DÍAS CALENDARIO")</f>
        <v>90 DÍAS CALENDARIO</v>
      </c>
      <c r="L2030" s="213" t="str">
        <f>IFERROR(__xludf.DUMMYFUNCTION("""COMPUTED_VALUE"""),"")</f>
        <v/>
      </c>
      <c r="M2030" s="213">
        <f>IFERROR(__xludf.DUMMYFUNCTION("""COMPUTED_VALUE"""),1.0)</f>
        <v>1</v>
      </c>
      <c r="N2030" s="213">
        <f>IFERROR(__xludf.DUMMYFUNCTION("""COMPUTED_VALUE"""),20.0)</f>
        <v>20</v>
      </c>
      <c r="O2030" s="213">
        <f>IFERROR(__xludf.DUMMYFUNCTION("""COMPUTED_VALUE"""),20.0)</f>
        <v>20</v>
      </c>
      <c r="P2030" s="213"/>
      <c r="Q2030" s="213"/>
      <c r="R2030" s="213" t="str">
        <f>IFERROR(__xludf.DUMMYFUNCTION("""COMPUTED_VALUE"""),"SI")</f>
        <v>SI</v>
      </c>
      <c r="S2030" s="213"/>
      <c r="T2030" s="213" t="str">
        <f>IFERROR(__xludf.DUMMYFUNCTION("""COMPUTED_VALUE"""),"CONSULTA FINAL")</f>
        <v>CONSULTA FINAL</v>
      </c>
      <c r="U2030" s="213" t="str">
        <f>IFERROR(__xludf.DUMMYFUNCTION("""COMPUTED_VALUE"""),"NO")</f>
        <v>NO</v>
      </c>
      <c r="V2030" s="213" t="str">
        <f>IFERROR(__xludf.DUMMYFUNCTION("""COMPUTED_VALUE"""),"SUSTENTO")</f>
        <v>SUSTENTO</v>
      </c>
      <c r="W2030" s="213" t="str">
        <f>IFERROR(__xludf.DUMMYFUNCTION("""COMPUTED_VALUE"""),"EQU TEC")</f>
        <v>EQU TEC</v>
      </c>
      <c r="X2030" s="213" t="str">
        <f>IFERROR(__xludf.DUMMYFUNCTION("""COMPUTED_VALUE"""),"Monza")</f>
        <v>Monza</v>
      </c>
      <c r="Y2030" s="213" t="str">
        <f>IFERROR(__xludf.DUMMYFUNCTION("""COMPUTED_VALUE"""),"Ref:0021")</f>
        <v>Ref:0021</v>
      </c>
      <c r="Z2030" s="215" t="str">
        <f>IFERROR(__xludf.DUMMYFUNCTION("""COMPUTED_VALUE"""),"https://casadelasbatas.com/batas-industria/52174-93549-bata-guardapolvo-industrial-confort-fit-monza.html?_gl=1*6awugg*_up*MQ..*_ga*MzQzNDk3ODY0LjE3NTk3ODkwNzc.*_ga_HQFNFVNCSB*czE3NTk3ODkwNzYkbzEkZzEkdDE3NTk3ODkxMDgkajI4JGwwJGgw#/27-color-azul_marino/910-"&amp;"talla-4")</f>
        <v>https://casadelasbatas.com/batas-industria/52174-93549-bata-guardapolvo-industrial-confort-fit-monza.html?_gl=1*6awugg*_up*MQ..*_ga*MzQzNDk3ODY0LjE3NTk3ODkwNzc.*_ga_HQFNFVNCSB*czE3NTk3ODkwNzYkbzEkZzEkdDE3NTk3ODkxMDgkajI4JGwwJGgw#/27-color-azul_marino/910-talla-4</v>
      </c>
      <c r="AA2030" s="213" t="str">
        <f>IFERROR(__xludf.DUMMYFUNCTION("""COMPUTED_VALUE"""),"MAT-181-Y GUARDAPOLVO - CET")</f>
        <v>MAT-181-Y GUARDAPOLVO - CET</v>
      </c>
      <c r="AB2030" s="213"/>
      <c r="AC2030" s="213"/>
      <c r="AD2030" s="213"/>
      <c r="AE2030" s="213"/>
      <c r="AF2030" s="213"/>
      <c r="AG2030" s="213"/>
      <c r="AH2030" s="213"/>
      <c r="AI2030" s="213"/>
      <c r="AJ2030" s="213"/>
      <c r="AK2030" s="213"/>
      <c r="AL2030" s="213"/>
      <c r="AM2030" s="213"/>
      <c r="AN2030" s="213"/>
      <c r="AO2030" s="213"/>
      <c r="AP2030" s="213" t="str">
        <f>IFERROR(__xludf.DUMMYFUNCTION("""COMPUTED_VALUE"""),"SEBASTIAN")</f>
        <v>SEBASTIAN</v>
      </c>
      <c r="AQ2030" s="213"/>
      <c r="AR2030" s="213"/>
      <c r="AS2030" s="213"/>
      <c r="AT2030" s="213"/>
      <c r="AU2030" s="213"/>
      <c r="AV2030" s="213"/>
      <c r="AW2030" s="213"/>
      <c r="AX2030" s="213"/>
      <c r="AY2030" s="213"/>
      <c r="AZ2030" s="213"/>
      <c r="BA2030" s="213"/>
      <c r="BB2030" s="213"/>
      <c r="BC2030" s="213"/>
      <c r="BD2030" s="213"/>
    </row>
    <row r="2031">
      <c r="A2031" s="213">
        <f>IFERROR(__xludf.DUMMYFUNCTION("""COMPUTED_VALUE"""),2630.0)</f>
        <v>2630</v>
      </c>
      <c r="B2031" s="213" t="str">
        <f>IFERROR(__xludf.DUMMYFUNCTION("""COMPUTED_VALUE"""),"MANUEL ANTONIO MESONES MURO")</f>
        <v>MANUEL ANTONIO MESONES MURO</v>
      </c>
      <c r="C2031" s="213" t="str">
        <f>IFERROR(__xludf.DUMMYFUNCTION("""COMPUTED_VALUE"""),"TALLER SFT DE EBANISTERÍA")</f>
        <v>TALLER SFT DE EBANISTERÍA</v>
      </c>
      <c r="D2031" s="213" t="str">
        <f>IFERROR(__xludf.DUMMYFUNCTION("""COMPUTED_VALUE"""),"HERRAMIENTAS")</f>
        <v>HERRAMIENTAS</v>
      </c>
      <c r="E2031" s="213" t="str">
        <f>IFERROR(__xludf.DUMMYFUNCTION("""COMPUTED_VALUE"""),"MAT-181")</f>
        <v>MAT-181</v>
      </c>
      <c r="F2031" s="213" t="str">
        <f>IFERROR(__xludf.DUMMYFUNCTION("""COMPUTED_VALUE"""),"MAT-181-X")</f>
        <v>MAT-181-X</v>
      </c>
      <c r="G2031" s="213"/>
      <c r="H2031" s="213" t="str">
        <f>IFERROR(__xludf.DUMMYFUNCTION("""COMPUTED_VALUE"""),"GUARDAPOLVO")</f>
        <v>GUARDAPOLVO</v>
      </c>
      <c r="I2031" s="213" t="str">
        <f>IFERROR(__xludf.DUMMYFUNCTION("""COMPUTED_VALUE"""),"Material: Drill grueso
Delantero: recto; 4 botones centrales; 1 bolsillo  a la altura de pecho izquierdo, 2 bolsillos a la altura de cadera. Espalda: recta; cinturón. Manga: sentada larga. Cuello: solapa. Bajo: dobladillo con pespunte normal.")</f>
        <v>Material: Drill grueso
Delantero: recto; 4 botones centrales; 1 bolsillo  a la altura de pecho izquierdo, 2 bolsillos a la altura de cadera. Espalda: recta; cinturón. Manga: sentada larga. Cuello: solapa. Bajo: dobladillo con pespunte normal.</v>
      </c>
      <c r="J2031" s="213">
        <f>IFERROR(__xludf.DUMMYFUNCTION("""COMPUTED_VALUE"""),3.0)</f>
        <v>3</v>
      </c>
      <c r="K2031" s="213" t="str">
        <f>IFERROR(__xludf.DUMMYFUNCTION("""COMPUTED_VALUE"""),"90 DÍAS CALENDARIO")</f>
        <v>90 DÍAS CALENDARIO</v>
      </c>
      <c r="L2031" s="213" t="str">
        <f>IFERROR(__xludf.DUMMYFUNCTION("""COMPUTED_VALUE"""),"")</f>
        <v/>
      </c>
      <c r="M2031" s="213">
        <f>IFERROR(__xludf.DUMMYFUNCTION("""COMPUTED_VALUE"""),1.0)</f>
        <v>1</v>
      </c>
      <c r="N2031" s="213">
        <f>IFERROR(__xludf.DUMMYFUNCTION("""COMPUTED_VALUE"""),21.0)</f>
        <v>21</v>
      </c>
      <c r="O2031" s="213">
        <f>IFERROR(__xludf.DUMMYFUNCTION("""COMPUTED_VALUE"""),21.0)</f>
        <v>21</v>
      </c>
      <c r="P2031" s="213"/>
      <c r="Q2031" s="213"/>
      <c r="R2031" s="213" t="str">
        <f>IFERROR(__xludf.DUMMYFUNCTION("""COMPUTED_VALUE"""),"SI")</f>
        <v>SI</v>
      </c>
      <c r="S2031" s="213"/>
      <c r="T2031" s="213" t="str">
        <f>IFERROR(__xludf.DUMMYFUNCTION("""COMPUTED_VALUE"""),"SI")</f>
        <v>SI</v>
      </c>
      <c r="U2031" s="213" t="str">
        <f>IFERROR(__xludf.DUMMYFUNCTION("""COMPUTED_VALUE"""),"SI")</f>
        <v>SI</v>
      </c>
      <c r="V2031" s="213" t="str">
        <f>IFERROR(__xludf.DUMMYFUNCTION("""COMPUTED_VALUE"""),"-")</f>
        <v>-</v>
      </c>
      <c r="W2031" s="213" t="str">
        <f>IFERROR(__xludf.DUMMYFUNCTION("""COMPUTED_VALUE"""),"-")</f>
        <v>-</v>
      </c>
      <c r="X2031" s="213" t="str">
        <f>IFERROR(__xludf.DUMMYFUNCTION("""COMPUTED_VALUE"""),"Monza")</f>
        <v>Monza</v>
      </c>
      <c r="Y2031" s="213" t="str">
        <f>IFERROR(__xludf.DUMMYFUNCTION("""COMPUTED_VALUE"""),"Ref:0021")</f>
        <v>Ref:0021</v>
      </c>
      <c r="Z2031" s="215" t="str">
        <f>IFERROR(__xludf.DUMMYFUNCTION("""COMPUTED_VALUE"""),"https://casadelasbatas.com/batas-industria/52174-93549-bata-guardapolvo-industrial-confort-fit-monza.html?_gl=1*6awugg*_up*MQ..*_ga*MzQzNDk3ODY0LjE3NTk3ODkwNzc.*_ga_HQFNFVNCSB*czE3NTk3ODkwNzYkbzEkZzEkdDE3NTk3ODkxMDgkajI4JGwwJGgw#/27-color-azul_marino/910-"&amp;"talla-3")</f>
        <v>https://casadelasbatas.com/batas-industria/52174-93549-bata-guardapolvo-industrial-confort-fit-monza.html?_gl=1*6awugg*_up*MQ..*_ga*MzQzNDk3ODY0LjE3NTk3ODkwNzc.*_ga_HQFNFVNCSB*czE3NTk3ODkwNzYkbzEkZzEkdDE3NTk3ODkxMDgkajI4JGwwJGgw#/27-color-azul_marino/910-talla-3</v>
      </c>
      <c r="AA2031" s="213" t="str">
        <f>IFERROR(__xludf.DUMMYFUNCTION("""COMPUTED_VALUE"""),"MAT-181-X GUARDAPOLVO - CET")</f>
        <v>MAT-181-X GUARDAPOLVO - CET</v>
      </c>
      <c r="AB2031" s="213"/>
      <c r="AC2031" s="213"/>
      <c r="AD2031" s="213"/>
      <c r="AE2031" s="213"/>
      <c r="AF2031" s="213"/>
      <c r="AG2031" s="213"/>
      <c r="AH2031" s="213"/>
      <c r="AI2031" s="213"/>
      <c r="AJ2031" s="213"/>
      <c r="AK2031" s="213"/>
      <c r="AL2031" s="213"/>
      <c r="AM2031" s="213"/>
      <c r="AN2031" s="213"/>
      <c r="AO2031" s="213"/>
      <c r="AP2031" s="213" t="str">
        <f>IFERROR(__xludf.DUMMYFUNCTION("""COMPUTED_VALUE"""),"SEBASTIAN")</f>
        <v>SEBASTIAN</v>
      </c>
      <c r="AQ2031" s="213"/>
      <c r="AR2031" s="213"/>
      <c r="AS2031" s="213"/>
      <c r="AT2031" s="213"/>
      <c r="AU2031" s="213"/>
      <c r="AV2031" s="213"/>
      <c r="AW2031" s="213"/>
      <c r="AX2031" s="213"/>
      <c r="AY2031" s="213"/>
      <c r="AZ2031" s="213"/>
      <c r="BA2031" s="213"/>
      <c r="BB2031" s="213"/>
      <c r="BC2031" s="213"/>
      <c r="BD2031" s="213"/>
    </row>
    <row r="2032">
      <c r="A2032" s="213">
        <f>IFERROR(__xludf.DUMMYFUNCTION("""COMPUTED_VALUE"""),68.0)</f>
        <v>68</v>
      </c>
      <c r="B2032" s="213" t="str">
        <f>IFERROR(__xludf.DUMMYFUNCTION("""COMPUTED_VALUE"""),"16449 ELOY SOBERON  FLORES")</f>
        <v>16449 ELOY SOBERON  FLORES</v>
      </c>
      <c r="C2032" s="213" t="str">
        <f>IFERROR(__xludf.DUMMYFUNCTION("""COMPUTED_VALUE"""),"TALLER SFT DE COCINA Y REPOSTERÍA")</f>
        <v>TALLER SFT DE COCINA Y REPOSTERÍA</v>
      </c>
      <c r="D2032" s="213" t="str">
        <f>IFERROR(__xludf.DUMMYFUNCTION("""COMPUTED_VALUE"""),"HERRAMIENTAS")</f>
        <v>HERRAMIENTAS</v>
      </c>
      <c r="E2032" s="213" t="str">
        <f>IFERROR(__xludf.DUMMYFUNCTION("""COMPUTED_VALUE"""),"MAT-187")</f>
        <v>MAT-187</v>
      </c>
      <c r="F2032" s="213" t="str">
        <f>IFERROR(__xludf.DUMMYFUNCTION("""COMPUTED_VALUE"""),"MAT-187")</f>
        <v>MAT-187</v>
      </c>
      <c r="G2032" s="213"/>
      <c r="H2032" s="213" t="str">
        <f>IFERROR(__xludf.DUMMYFUNCTION("""COMPUTED_VALUE"""),"INDUMENTARIA")</f>
        <v>INDUMENTARIA</v>
      </c>
      <c r="I2032" s="213" t="str">
        <f>IFERROR(__xludf.DUMMYFUNCTION("""COMPUTED_VALUE"""),"· Algodón Pima
· Color Blanco
· Gorro tipo chef, Pantalón y Chaqueta")</f>
        <v>· Algodón Pima
· Color Blanco
· Gorro tipo chef, Pantalón y Chaqueta</v>
      </c>
      <c r="J2032" s="213">
        <f>IFERROR(__xludf.DUMMYFUNCTION("""COMPUTED_VALUE"""),3.0)</f>
        <v>3</v>
      </c>
      <c r="K2032" s="213" t="str">
        <f>IFERROR(__xludf.DUMMYFUNCTION("""COMPUTED_VALUE"""),"90 DÍAS CALENDARIO")</f>
        <v>90 DÍAS CALENDARIO</v>
      </c>
      <c r="L2032" s="213" t="str">
        <f>IFERROR(__xludf.DUMMYFUNCTION("""COMPUTED_VALUE"""),"")</f>
        <v/>
      </c>
      <c r="M2032" s="213">
        <f>IFERROR(__xludf.DUMMYFUNCTION("""COMPUTED_VALUE"""),1.0)</f>
        <v>1</v>
      </c>
      <c r="N2032" s="213">
        <f>IFERROR(__xludf.DUMMYFUNCTION("""COMPUTED_VALUE"""),20.0)</f>
        <v>20</v>
      </c>
      <c r="O2032" s="213">
        <f>IFERROR(__xludf.DUMMYFUNCTION("""COMPUTED_VALUE"""),20.0)</f>
        <v>20</v>
      </c>
      <c r="P2032" s="213"/>
      <c r="Q2032" s="213"/>
      <c r="R2032" s="213" t="str">
        <f>IFERROR(__xludf.DUMMYFUNCTION("""COMPUTED_VALUE"""),"SI")</f>
        <v>SI</v>
      </c>
      <c r="S2032" s="213"/>
      <c r="T2032" s="213" t="str">
        <f>IFERROR(__xludf.DUMMYFUNCTION("""COMPUTED_VALUE"""),"CONSULTA FINAL")</f>
        <v>CONSULTA FINAL</v>
      </c>
      <c r="U2032" s="213" t="str">
        <f>IFERROR(__xludf.DUMMYFUNCTION("""COMPUTED_VALUE"""),"SI")</f>
        <v>SI</v>
      </c>
      <c r="V2032" s="213" t="str">
        <f>IFERROR(__xludf.DUMMYFUNCTION("""COMPUTED_VALUE"""),"-")</f>
        <v>-</v>
      </c>
      <c r="W2032" s="213" t="str">
        <f>IFERROR(__xludf.DUMMYFUNCTION("""COMPUTED_VALUE"""),"-")</f>
        <v>-</v>
      </c>
      <c r="X2032" s="213" t="str">
        <f>IFERROR(__xludf.DUMMYFUNCTION("""COMPUTED_VALUE"""),"Aroca")</f>
        <v>Aroca</v>
      </c>
      <c r="Y2032" s="213" t="str">
        <f>IFERROR(__xludf.DUMMYFUNCTION("""COMPUTED_VALUE"""),"CCF-BL-DR-01 /  PTV-AZ-PG-01")</f>
        <v>CCF-BL-DR-01 /  PTV-AZ-PG-01</v>
      </c>
      <c r="Z2032" s="215" t="str">
        <f>IFERROR(__xludf.DUMMYFUNCTION("""COMPUTED_VALUE"""),"https://www.plazavea.com.pe/guante-virutex-antibacterial-cobre-m-2un/p?srsltid=AfmBOoosyU7rtcl4hzZ3phsN13dlXKm00_XVzCGdSv9brL1QmLhqdbN-")</f>
        <v>https://www.plazavea.com.pe/guante-virutex-antibacterial-cobre-m-2un/p?srsltid=AfmBOoosyU7rtcl4hzZ3phsN13dlXKm00_XVzCGdSv9brL1QmLhqdbN-</v>
      </c>
      <c r="AA2032" s="213" t="str">
        <f>IFERROR(__xludf.DUMMYFUNCTION("""COMPUTED_VALUE"""),"MAT-187 INDUMENTARIA - CET")</f>
        <v>MAT-187 INDUMENTARIA - CET</v>
      </c>
      <c r="AB2032" s="213"/>
      <c r="AC2032" s="213"/>
      <c r="AD2032" s="213"/>
      <c r="AE2032" s="213"/>
      <c r="AF2032" s="213"/>
      <c r="AG2032" s="213"/>
      <c r="AH2032" s="213"/>
      <c r="AI2032" s="213"/>
      <c r="AJ2032" s="213"/>
      <c r="AK2032" s="213"/>
      <c r="AL2032" s="213"/>
      <c r="AM2032" s="213"/>
      <c r="AN2032" s="213"/>
      <c r="AO2032" s="213"/>
      <c r="AP2032" s="213" t="str">
        <f>IFERROR(__xludf.DUMMYFUNCTION("""COMPUTED_VALUE"""),"SEBASTIAN")</f>
        <v>SEBASTIAN</v>
      </c>
      <c r="AQ2032" s="213"/>
      <c r="AR2032" s="213"/>
      <c r="AS2032" s="213"/>
      <c r="AT2032" s="213"/>
      <c r="AU2032" s="213"/>
      <c r="AV2032" s="213"/>
      <c r="AW2032" s="213"/>
      <c r="AX2032" s="213"/>
      <c r="AY2032" s="213"/>
      <c r="AZ2032" s="213"/>
      <c r="BA2032" s="213"/>
      <c r="BB2032" s="213"/>
      <c r="BC2032" s="213"/>
      <c r="BD2032" s="213"/>
    </row>
    <row r="2033">
      <c r="A2033" s="213">
        <f>IFERROR(__xludf.DUMMYFUNCTION("""COMPUTED_VALUE"""),18.0)</f>
        <v>18</v>
      </c>
      <c r="B2033" s="213" t="str">
        <f>IFERROR(__xludf.DUMMYFUNCTION("""COMPUTED_VALUE"""),"16449 ELOY SOBERON  FLORES")</f>
        <v>16449 ELOY SOBERON  FLORES</v>
      </c>
      <c r="C2033" s="213" t="str">
        <f>IFERROR(__xludf.DUMMYFUNCTION("""COMPUTED_VALUE"""),"TALLER SFT DE COCINA Y REPOSTERÍA")</f>
        <v>TALLER SFT DE COCINA Y REPOSTERÍA</v>
      </c>
      <c r="D2033" s="213" t="str">
        <f>IFERROR(__xludf.DUMMYFUNCTION("""COMPUTED_VALUE"""),"HERRAMIENTAS")</f>
        <v>HERRAMIENTAS</v>
      </c>
      <c r="E2033" s="213" t="str">
        <f>IFERROR(__xludf.DUMMYFUNCTION("""COMPUTED_VALUE"""),"MAT-188")</f>
        <v>MAT-188</v>
      </c>
      <c r="F2033" s="213" t="str">
        <f>IFERROR(__xludf.DUMMYFUNCTION("""COMPUTED_VALUE"""),"MAT-188-X")</f>
        <v>MAT-188-X</v>
      </c>
      <c r="G2033" s="213"/>
      <c r="H2033" s="213" t="str">
        <f>IFERROR(__xludf.DUMMYFUNCTION("""COMPUTED_VALUE"""),"JALADOR")</f>
        <v>JALADOR</v>
      </c>
      <c r="I2033" s="213" t="str">
        <f>IFERROR(__xludf.DUMMYFUNCTION("""COMPUTED_VALUE"""),".Alto minimo : 1.2 cm
.Ancho minimo : 75 cm
.Espesor minimo : 1 cm
.Material: Aluminio
*Incluye doble jebe y mango de aluminio")</f>
        <v>.Alto minimo : 1.2 cm
.Ancho minimo : 75 cm
.Espesor minimo : 1 cm
.Material: Aluminio
*Incluye doble jebe y mango de aluminio</v>
      </c>
      <c r="J2033" s="213">
        <f>IFERROR(__xludf.DUMMYFUNCTION("""COMPUTED_VALUE"""),3.0)</f>
        <v>3</v>
      </c>
      <c r="K2033" s="213" t="str">
        <f>IFERROR(__xludf.DUMMYFUNCTION("""COMPUTED_VALUE"""),"90 DÍAS CALENDARIO")</f>
        <v>90 DÍAS CALENDARIO</v>
      </c>
      <c r="L2033" s="213" t="str">
        <f>IFERROR(__xludf.DUMMYFUNCTION("""COMPUTED_VALUE"""),"")</f>
        <v/>
      </c>
      <c r="M2033" s="213">
        <f>IFERROR(__xludf.DUMMYFUNCTION("""COMPUTED_VALUE"""),1.0)</f>
        <v>1</v>
      </c>
      <c r="N2033" s="213">
        <f>IFERROR(__xludf.DUMMYFUNCTION("""COMPUTED_VALUE"""),2.0)</f>
        <v>2</v>
      </c>
      <c r="O2033" s="213">
        <f>IFERROR(__xludf.DUMMYFUNCTION("""COMPUTED_VALUE"""),2.0)</f>
        <v>2</v>
      </c>
      <c r="P2033" s="213"/>
      <c r="Q2033" s="213"/>
      <c r="R2033" s="213" t="str">
        <f>IFERROR(__xludf.DUMMYFUNCTION("""COMPUTED_VALUE"""),"SI")</f>
        <v>SI</v>
      </c>
      <c r="S2033" s="213"/>
      <c r="T2033" s="213" t="str">
        <f>IFERROR(__xludf.DUMMYFUNCTION("""COMPUTED_VALUE"""),"CONSULTA FINAL")</f>
        <v>CONSULTA FINAL</v>
      </c>
      <c r="U2033" s="213" t="str">
        <f>IFERROR(__xludf.DUMMYFUNCTION("""COMPUTED_VALUE"""),"NO")</f>
        <v>NO</v>
      </c>
      <c r="V2033" s="213" t="str">
        <f>IFERROR(__xludf.DUMMYFUNCTION("""COMPUTED_VALUE"""),"SUSTENTO")</f>
        <v>SUSTENTO</v>
      </c>
      <c r="W2033" s="213" t="str">
        <f>IFERROR(__xludf.DUMMYFUNCTION("""COMPUTED_VALUE"""),"DIMENSIONAL")</f>
        <v>DIMENSIONAL</v>
      </c>
      <c r="X2033" s="213" t="str">
        <f>IFERROR(__xludf.DUMMYFUNCTION("""COMPUTED_VALUE"""),"EBRIEL")</f>
        <v>EBRIEL</v>
      </c>
      <c r="Y2033" s="213" t="str">
        <f>IFERROR(__xludf.DUMMYFUNCTION("""COMPUTED_VALUE"""),"Jalador de Agua de 75cm + Mango de Aluminio")</f>
        <v>Jalador de Agua de 75cm + Mango de Aluminio</v>
      </c>
      <c r="Z2033" s="215" t="str">
        <f>IFERROR(__xludf.DUMMYFUNCTION("""COMPUTED_VALUE"""),"https://sodimac.falabella.com.pe/sodimac-pe/product/114762880/Jalador-de-Agua-de-75cm-+-Mango-de-Aluminio/114762884")</f>
        <v>https://sodimac.falabella.com.pe/sodimac-pe/product/114762880/Jalador-de-Agua-de-75cm-+-Mango-de-Aluminio/114762884</v>
      </c>
      <c r="AA2033" s="213" t="str">
        <f>IFERROR(__xludf.DUMMYFUNCTION("""COMPUTED_VALUE"""),"MAT-188-X JALADOR - CET")</f>
        <v>MAT-188-X JALADOR - CET</v>
      </c>
      <c r="AB2033" s="213"/>
      <c r="AC2033" s="213"/>
      <c r="AD2033" s="213"/>
      <c r="AE2033" s="213"/>
      <c r="AF2033" s="213"/>
      <c r="AG2033" s="213"/>
      <c r="AH2033" s="213"/>
      <c r="AI2033" s="213"/>
      <c r="AJ2033" s="213"/>
      <c r="AK2033" s="213"/>
      <c r="AL2033" s="213"/>
      <c r="AM2033" s="213"/>
      <c r="AN2033" s="213"/>
      <c r="AO2033" s="213"/>
      <c r="AP2033" s="213" t="str">
        <f>IFERROR(__xludf.DUMMYFUNCTION("""COMPUTED_VALUE"""),"SEBASTIAN")</f>
        <v>SEBASTIAN</v>
      </c>
      <c r="AQ2033" s="213"/>
      <c r="AR2033" s="213"/>
      <c r="AS2033" s="213"/>
      <c r="AT2033" s="213"/>
      <c r="AU2033" s="213"/>
      <c r="AV2033" s="213"/>
      <c r="AW2033" s="213"/>
      <c r="AX2033" s="213"/>
      <c r="AY2033" s="213"/>
      <c r="AZ2033" s="213"/>
      <c r="BA2033" s="213"/>
      <c r="BB2033" s="213"/>
      <c r="BC2033" s="213"/>
      <c r="BD2033" s="213"/>
    </row>
    <row r="2034">
      <c r="A2034" s="213">
        <f>IFERROR(__xludf.DUMMYFUNCTION("""COMPUTED_VALUE"""),455.0)</f>
        <v>455</v>
      </c>
      <c r="B2034" s="213" t="str">
        <f>IFERROR(__xludf.DUMMYFUNCTION("""COMPUTED_VALUE"""),"2026 SIMON BOLIVAR")</f>
        <v>2026 SIMON BOLIVAR</v>
      </c>
      <c r="C2034" s="213" t="str">
        <f>IFERROR(__xludf.DUMMYFUNCTION("""COMPUTED_VALUE"""),"TALLER SFT DE INDUSTRIA ALIMENTARIA")</f>
        <v>TALLER SFT DE INDUSTRIA ALIMENTARIA</v>
      </c>
      <c r="D2034" s="213" t="str">
        <f>IFERROR(__xludf.DUMMYFUNCTION("""COMPUTED_VALUE"""),"HERRAMIENTAS")</f>
        <v>HERRAMIENTAS</v>
      </c>
      <c r="E2034" s="213" t="str">
        <f>IFERROR(__xludf.DUMMYFUNCTION("""COMPUTED_VALUE"""),"MAT-188")</f>
        <v>MAT-188</v>
      </c>
      <c r="F2034" s="213" t="str">
        <f>IFERROR(__xludf.DUMMYFUNCTION("""COMPUTED_VALUE"""),"MAT-188-Y")</f>
        <v>MAT-188-Y</v>
      </c>
      <c r="G2034" s="213"/>
      <c r="H2034" s="213" t="str">
        <f>IFERROR(__xludf.DUMMYFUNCTION("""COMPUTED_VALUE"""),"JALADOR")</f>
        <v>JALADOR</v>
      </c>
      <c r="I2034" s="213" t="str">
        <f>IFERROR(__xludf.DUMMYFUNCTION("""COMPUTED_VALUE"""),"- Caracterísiticas: horquilla de aluminio y canaleta de caucho.
- Medida: 50 cm como mínimo.
- Incluye cabo grueso de barrendero.")</f>
        <v>- Caracterísiticas: horquilla de aluminio y canaleta de caucho.
- Medida: 50 cm como mínimo.
- Incluye cabo grueso de barrendero.</v>
      </c>
      <c r="J2034" s="213">
        <f>IFERROR(__xludf.DUMMYFUNCTION("""COMPUTED_VALUE"""),3.0)</f>
        <v>3</v>
      </c>
      <c r="K2034" s="213" t="str">
        <f>IFERROR(__xludf.DUMMYFUNCTION("""COMPUTED_VALUE"""),"90 DÍAS CALENDARIO")</f>
        <v>90 DÍAS CALENDARIO</v>
      </c>
      <c r="L2034" s="213" t="str">
        <f>IFERROR(__xludf.DUMMYFUNCTION("""COMPUTED_VALUE"""),"")</f>
        <v/>
      </c>
      <c r="M2034" s="213">
        <f>IFERROR(__xludf.DUMMYFUNCTION("""COMPUTED_VALUE"""),1.0)</f>
        <v>1</v>
      </c>
      <c r="N2034" s="213">
        <f>IFERROR(__xludf.DUMMYFUNCTION("""COMPUTED_VALUE"""),2.0)</f>
        <v>2</v>
      </c>
      <c r="O2034" s="213">
        <f>IFERROR(__xludf.DUMMYFUNCTION("""COMPUTED_VALUE"""),2.0)</f>
        <v>2</v>
      </c>
      <c r="P2034" s="213"/>
      <c r="Q2034" s="213"/>
      <c r="R2034" s="213" t="str">
        <f>IFERROR(__xludf.DUMMYFUNCTION("""COMPUTED_VALUE"""),"SI")</f>
        <v>SI</v>
      </c>
      <c r="S2034" s="213"/>
      <c r="T2034" s="213" t="str">
        <f>IFERROR(__xludf.DUMMYFUNCTION("""COMPUTED_VALUE"""),"SI")</f>
        <v>SI</v>
      </c>
      <c r="U2034" s="213" t="str">
        <f>IFERROR(__xludf.DUMMYFUNCTION("""COMPUTED_VALUE"""),"SI")</f>
        <v>SI</v>
      </c>
      <c r="V2034" s="213" t="str">
        <f>IFERROR(__xludf.DUMMYFUNCTION("""COMPUTED_VALUE"""),"-")</f>
        <v>-</v>
      </c>
      <c r="W2034" s="213" t="str">
        <f>IFERROR(__xludf.DUMMYFUNCTION("""COMPUTED_VALUE"""),"-")</f>
        <v>-</v>
      </c>
      <c r="X2034" s="213" t="str">
        <f>IFERROR(__xludf.DUMMYFUNCTION("""COMPUTED_VALUE"""),"Neco")</f>
        <v>Neco</v>
      </c>
      <c r="Y2034" s="213">
        <f>IFERROR(__xludf.DUMMYFUNCTION("""COMPUTED_VALUE"""),31427.0)</f>
        <v>31427</v>
      </c>
      <c r="Z2034" s="215" t="str">
        <f>IFERROR(__xludf.DUMMYFUNCTION("""COMPUTED_VALUE"""),"https://sodimac.falabella.com.pe/sodimac-pe/product/114762880/Jalador-de-Agua-de-75cm-+-Mango-de-Aluminio/114762884")</f>
        <v>https://sodimac.falabella.com.pe/sodimac-pe/product/114762880/Jalador-de-Agua-de-75cm-+-Mango-de-Aluminio/114762884</v>
      </c>
      <c r="AA2034" s="213" t="str">
        <f>IFERROR(__xludf.DUMMYFUNCTION("""COMPUTED_VALUE"""),"MAT-188-Y JALADOR - CET")</f>
        <v>MAT-188-Y JALADOR - CET</v>
      </c>
      <c r="AB2034" s="213"/>
      <c r="AC2034" s="213"/>
      <c r="AD2034" s="213"/>
      <c r="AE2034" s="213"/>
      <c r="AF2034" s="213"/>
      <c r="AG2034" s="213"/>
      <c r="AH2034" s="213"/>
      <c r="AI2034" s="213"/>
      <c r="AJ2034" s="213"/>
      <c r="AK2034" s="213"/>
      <c r="AL2034" s="213"/>
      <c r="AM2034" s="213"/>
      <c r="AN2034" s="213"/>
      <c r="AO2034" s="213"/>
      <c r="AP2034" s="213" t="str">
        <f>IFERROR(__xludf.DUMMYFUNCTION("""COMPUTED_VALUE"""),"SEBASTIAN")</f>
        <v>SEBASTIAN</v>
      </c>
      <c r="AQ2034" s="213"/>
      <c r="AR2034" s="213"/>
      <c r="AS2034" s="213"/>
      <c r="AT2034" s="213"/>
      <c r="AU2034" s="213"/>
      <c r="AV2034" s="213"/>
      <c r="AW2034" s="213"/>
      <c r="AX2034" s="213"/>
      <c r="AY2034" s="213"/>
      <c r="AZ2034" s="213"/>
      <c r="BA2034" s="213"/>
      <c r="BB2034" s="213"/>
      <c r="BC2034" s="213"/>
      <c r="BD2034" s="213"/>
    </row>
    <row r="2035">
      <c r="A2035" s="213">
        <f>IFERROR(__xludf.DUMMYFUNCTION("""COMPUTED_VALUE"""),1084.0)</f>
        <v>1084</v>
      </c>
      <c r="B2035" s="213" t="str">
        <f>IFERROR(__xludf.DUMMYFUNCTION("""COMPUTED_VALUE"""),"FRANCISCO IRAZOLA")</f>
        <v>FRANCISCO IRAZOLA</v>
      </c>
      <c r="C2035" s="213" t="str">
        <f>IFERROR(__xludf.DUMMYFUNCTION("""COMPUTED_VALUE"""),"TALLER SFT DE INDUSTRIA ALIMENTARIA")</f>
        <v>TALLER SFT DE INDUSTRIA ALIMENTARIA</v>
      </c>
      <c r="D2035" s="213" t="str">
        <f>IFERROR(__xludf.DUMMYFUNCTION("""COMPUTED_VALUE"""),"HERRAMIENTAS")</f>
        <v>HERRAMIENTAS</v>
      </c>
      <c r="E2035" s="213" t="str">
        <f>IFERROR(__xludf.DUMMYFUNCTION("""COMPUTED_VALUE"""),"MAT-188")</f>
        <v>MAT-188</v>
      </c>
      <c r="F2035" s="213" t="str">
        <f>IFERROR(__xludf.DUMMYFUNCTION("""COMPUTED_VALUE"""),"MAT-188-Y")</f>
        <v>MAT-188-Y</v>
      </c>
      <c r="G2035" s="213"/>
      <c r="H2035" s="213" t="str">
        <f>IFERROR(__xludf.DUMMYFUNCTION("""COMPUTED_VALUE"""),"JALADOR")</f>
        <v>JALADOR</v>
      </c>
      <c r="I2035" s="213" t="str">
        <f>IFERROR(__xludf.DUMMYFUNCTION("""COMPUTED_VALUE"""),"- Caracterísiticas: horquilla de aluminio y canaleta de caucho.
- Medida: 50 cm como mínimo.
- Incluye cabo grueso de barrendero.")</f>
        <v>- Caracterísiticas: horquilla de aluminio y canaleta de caucho.
- Medida: 50 cm como mínimo.
- Incluye cabo grueso de barrendero.</v>
      </c>
      <c r="J2035" s="213">
        <f>IFERROR(__xludf.DUMMYFUNCTION("""COMPUTED_VALUE"""),3.0)</f>
        <v>3</v>
      </c>
      <c r="K2035" s="213" t="str">
        <f>IFERROR(__xludf.DUMMYFUNCTION("""COMPUTED_VALUE"""),"90 DÍAS CALENDARIO")</f>
        <v>90 DÍAS CALENDARIO</v>
      </c>
      <c r="L2035" s="213" t="str">
        <f>IFERROR(__xludf.DUMMYFUNCTION("""COMPUTED_VALUE"""),"")</f>
        <v/>
      </c>
      <c r="M2035" s="213">
        <f>IFERROR(__xludf.DUMMYFUNCTION("""COMPUTED_VALUE"""),1.0)</f>
        <v>1</v>
      </c>
      <c r="N2035" s="213">
        <f>IFERROR(__xludf.DUMMYFUNCTION("""COMPUTED_VALUE"""),2.0)</f>
        <v>2</v>
      </c>
      <c r="O2035" s="213">
        <f>IFERROR(__xludf.DUMMYFUNCTION("""COMPUTED_VALUE"""),2.0)</f>
        <v>2</v>
      </c>
      <c r="P2035" s="213"/>
      <c r="Q2035" s="213"/>
      <c r="R2035" s="213" t="str">
        <f>IFERROR(__xludf.DUMMYFUNCTION("""COMPUTED_VALUE"""),"SI")</f>
        <v>SI</v>
      </c>
      <c r="S2035" s="213"/>
      <c r="T2035" s="213" t="str">
        <f>IFERROR(__xludf.DUMMYFUNCTION("""COMPUTED_VALUE"""),"SI")</f>
        <v>SI</v>
      </c>
      <c r="U2035" s="213" t="str">
        <f>IFERROR(__xludf.DUMMYFUNCTION("""COMPUTED_VALUE"""),"SI")</f>
        <v>SI</v>
      </c>
      <c r="V2035" s="213" t="str">
        <f>IFERROR(__xludf.DUMMYFUNCTION("""COMPUTED_VALUE"""),"-")</f>
        <v>-</v>
      </c>
      <c r="W2035" s="213" t="str">
        <f>IFERROR(__xludf.DUMMYFUNCTION("""COMPUTED_VALUE"""),"-")</f>
        <v>-</v>
      </c>
      <c r="X2035" s="213" t="str">
        <f>IFERROR(__xludf.DUMMYFUNCTION("""COMPUTED_VALUE"""),"Neco")</f>
        <v>Neco</v>
      </c>
      <c r="Y2035" s="213">
        <f>IFERROR(__xludf.DUMMYFUNCTION("""COMPUTED_VALUE"""),31427.0)</f>
        <v>31427</v>
      </c>
      <c r="Z2035" s="215" t="str">
        <f>IFERROR(__xludf.DUMMYFUNCTION("""COMPUTED_VALUE"""),"https://sodimac.falabella.com.pe/sodimac-pe/product/114762880/Jalador-de-Agua-de-75cm-+-Mango-de-Aluminio/114762884")</f>
        <v>https://sodimac.falabella.com.pe/sodimac-pe/product/114762880/Jalador-de-Agua-de-75cm-+-Mango-de-Aluminio/114762884</v>
      </c>
      <c r="AA2035" s="213" t="str">
        <f>IFERROR(__xludf.DUMMYFUNCTION("""COMPUTED_VALUE"""),"MAT-188-Y JALADOR - CET")</f>
        <v>MAT-188-Y JALADOR - CET</v>
      </c>
      <c r="AB2035" s="213"/>
      <c r="AC2035" s="213"/>
      <c r="AD2035" s="213"/>
      <c r="AE2035" s="213"/>
      <c r="AF2035" s="213"/>
      <c r="AG2035" s="213"/>
      <c r="AH2035" s="213"/>
      <c r="AI2035" s="213"/>
      <c r="AJ2035" s="213"/>
      <c r="AK2035" s="213"/>
      <c r="AL2035" s="213"/>
      <c r="AM2035" s="213"/>
      <c r="AN2035" s="213"/>
      <c r="AO2035" s="213"/>
      <c r="AP2035" s="213" t="str">
        <f>IFERROR(__xludf.DUMMYFUNCTION("""COMPUTED_VALUE"""),"SEBASTIAN")</f>
        <v>SEBASTIAN</v>
      </c>
      <c r="AQ2035" s="213"/>
      <c r="AR2035" s="213"/>
      <c r="AS2035" s="213"/>
      <c r="AT2035" s="213"/>
      <c r="AU2035" s="213"/>
      <c r="AV2035" s="213"/>
      <c r="AW2035" s="213"/>
      <c r="AX2035" s="213"/>
      <c r="AY2035" s="213"/>
      <c r="AZ2035" s="213"/>
      <c r="BA2035" s="213"/>
      <c r="BB2035" s="213"/>
      <c r="BC2035" s="213"/>
      <c r="BD2035" s="213"/>
    </row>
    <row r="2036">
      <c r="A2036" s="213">
        <f>IFERROR(__xludf.DUMMYFUNCTION("""COMPUTED_VALUE"""),1359.0)</f>
        <v>1359</v>
      </c>
      <c r="B2036" s="213" t="str">
        <f>IFERROR(__xludf.DUMMYFUNCTION("""COMPUTED_VALUE"""),"GUILLERMO E. BILLINGHURST ")</f>
        <v>GUILLERMO E. BILLINGHURST </v>
      </c>
      <c r="C2036" s="213" t="str">
        <f>IFERROR(__xludf.DUMMYFUNCTION("""COMPUTED_VALUE"""),"TALLER SFT DE INDUSTRIA ALIMENTARIA")</f>
        <v>TALLER SFT DE INDUSTRIA ALIMENTARIA</v>
      </c>
      <c r="D2036" s="213" t="str">
        <f>IFERROR(__xludf.DUMMYFUNCTION("""COMPUTED_VALUE"""),"HERRAMIENTAS")</f>
        <v>HERRAMIENTAS</v>
      </c>
      <c r="E2036" s="213" t="str">
        <f>IFERROR(__xludf.DUMMYFUNCTION("""COMPUTED_VALUE"""),"MAT-188")</f>
        <v>MAT-188</v>
      </c>
      <c r="F2036" s="213" t="str">
        <f>IFERROR(__xludf.DUMMYFUNCTION("""COMPUTED_VALUE"""),"MAT-188-Y")</f>
        <v>MAT-188-Y</v>
      </c>
      <c r="G2036" s="213"/>
      <c r="H2036" s="213" t="str">
        <f>IFERROR(__xludf.DUMMYFUNCTION("""COMPUTED_VALUE"""),"JALADOR")</f>
        <v>JALADOR</v>
      </c>
      <c r="I2036" s="213" t="str">
        <f>IFERROR(__xludf.DUMMYFUNCTION("""COMPUTED_VALUE"""),"- Caracterísiticas: horquilla de aluminio y canaleta de caucho.
- Medida: 50 cm como mínimo.
- Incluye cabo grueso de barrendero.")</f>
        <v>- Caracterísiticas: horquilla de aluminio y canaleta de caucho.
- Medida: 50 cm como mínimo.
- Incluye cabo grueso de barrendero.</v>
      </c>
      <c r="J2036" s="213">
        <f>IFERROR(__xludf.DUMMYFUNCTION("""COMPUTED_VALUE"""),3.0)</f>
        <v>3</v>
      </c>
      <c r="K2036" s="213" t="str">
        <f>IFERROR(__xludf.DUMMYFUNCTION("""COMPUTED_VALUE"""),"90 DÍAS CALENDARIO")</f>
        <v>90 DÍAS CALENDARIO</v>
      </c>
      <c r="L2036" s="213" t="str">
        <f>IFERROR(__xludf.DUMMYFUNCTION("""COMPUTED_VALUE"""),"")</f>
        <v/>
      </c>
      <c r="M2036" s="213">
        <f>IFERROR(__xludf.DUMMYFUNCTION("""COMPUTED_VALUE"""),1.0)</f>
        <v>1</v>
      </c>
      <c r="N2036" s="213">
        <f>IFERROR(__xludf.DUMMYFUNCTION("""COMPUTED_VALUE"""),2.0)</f>
        <v>2</v>
      </c>
      <c r="O2036" s="213">
        <f>IFERROR(__xludf.DUMMYFUNCTION("""COMPUTED_VALUE"""),2.0)</f>
        <v>2</v>
      </c>
      <c r="P2036" s="213"/>
      <c r="Q2036" s="213"/>
      <c r="R2036" s="213" t="str">
        <f>IFERROR(__xludf.DUMMYFUNCTION("""COMPUTED_VALUE"""),"SI")</f>
        <v>SI</v>
      </c>
      <c r="S2036" s="213"/>
      <c r="T2036" s="213" t="str">
        <f>IFERROR(__xludf.DUMMYFUNCTION("""COMPUTED_VALUE"""),"SI")</f>
        <v>SI</v>
      </c>
      <c r="U2036" s="213" t="str">
        <f>IFERROR(__xludf.DUMMYFUNCTION("""COMPUTED_VALUE"""),"SI")</f>
        <v>SI</v>
      </c>
      <c r="V2036" s="213" t="str">
        <f>IFERROR(__xludf.DUMMYFUNCTION("""COMPUTED_VALUE"""),"-")</f>
        <v>-</v>
      </c>
      <c r="W2036" s="213" t="str">
        <f>IFERROR(__xludf.DUMMYFUNCTION("""COMPUTED_VALUE"""),"-")</f>
        <v>-</v>
      </c>
      <c r="X2036" s="213" t="str">
        <f>IFERROR(__xludf.DUMMYFUNCTION("""COMPUTED_VALUE"""),"Neco")</f>
        <v>Neco</v>
      </c>
      <c r="Y2036" s="213">
        <f>IFERROR(__xludf.DUMMYFUNCTION("""COMPUTED_VALUE"""),31427.0)</f>
        <v>31427</v>
      </c>
      <c r="Z2036" s="215" t="str">
        <f>IFERROR(__xludf.DUMMYFUNCTION("""COMPUTED_VALUE"""),"https://sodimac.falabella.com.pe/sodimac-pe/product/114762880/Jalador-de-Agua-de-75cm-+-Mango-de-Aluminio/114762884")</f>
        <v>https://sodimac.falabella.com.pe/sodimac-pe/product/114762880/Jalador-de-Agua-de-75cm-+-Mango-de-Aluminio/114762884</v>
      </c>
      <c r="AA2036" s="213" t="str">
        <f>IFERROR(__xludf.DUMMYFUNCTION("""COMPUTED_VALUE"""),"MAT-188-Y JALADOR - CET")</f>
        <v>MAT-188-Y JALADOR - CET</v>
      </c>
      <c r="AB2036" s="213"/>
      <c r="AC2036" s="213"/>
      <c r="AD2036" s="213"/>
      <c r="AE2036" s="213"/>
      <c r="AF2036" s="213"/>
      <c r="AG2036" s="213"/>
      <c r="AH2036" s="213"/>
      <c r="AI2036" s="213"/>
      <c r="AJ2036" s="213"/>
      <c r="AK2036" s="213"/>
      <c r="AL2036" s="213"/>
      <c r="AM2036" s="213"/>
      <c r="AN2036" s="213"/>
      <c r="AO2036" s="213"/>
      <c r="AP2036" s="213" t="str">
        <f>IFERROR(__xludf.DUMMYFUNCTION("""COMPUTED_VALUE"""),"SEBASTIAN")</f>
        <v>SEBASTIAN</v>
      </c>
      <c r="AQ2036" s="213"/>
      <c r="AR2036" s="213"/>
      <c r="AS2036" s="213"/>
      <c r="AT2036" s="213"/>
      <c r="AU2036" s="213"/>
      <c r="AV2036" s="213"/>
      <c r="AW2036" s="213"/>
      <c r="AX2036" s="213"/>
      <c r="AY2036" s="213"/>
      <c r="AZ2036" s="213"/>
      <c r="BA2036" s="213"/>
      <c r="BB2036" s="213"/>
      <c r="BC2036" s="213"/>
      <c r="BD2036" s="213"/>
    </row>
    <row r="2037">
      <c r="A2037" s="213">
        <f>IFERROR(__xludf.DUMMYFUNCTION("""COMPUTED_VALUE"""),2044.0)</f>
        <v>2044</v>
      </c>
      <c r="B2037" s="213" t="str">
        <f>IFERROR(__xludf.DUMMYFUNCTION("""COMPUTED_VALUE"""),"JOSE GRANDA")</f>
        <v>JOSE GRANDA</v>
      </c>
      <c r="C2037" s="213" t="str">
        <f>IFERROR(__xludf.DUMMYFUNCTION("""COMPUTED_VALUE"""),"TALLER SFT DE INDUSTRIA ALIMENTARIA")</f>
        <v>TALLER SFT DE INDUSTRIA ALIMENTARIA</v>
      </c>
      <c r="D2037" s="213" t="str">
        <f>IFERROR(__xludf.DUMMYFUNCTION("""COMPUTED_VALUE"""),"HERRAMIENTAS")</f>
        <v>HERRAMIENTAS</v>
      </c>
      <c r="E2037" s="213" t="str">
        <f>IFERROR(__xludf.DUMMYFUNCTION("""COMPUTED_VALUE"""),"MAT-188")</f>
        <v>MAT-188</v>
      </c>
      <c r="F2037" s="213" t="str">
        <f>IFERROR(__xludf.DUMMYFUNCTION("""COMPUTED_VALUE"""),"MAT-188-Y")</f>
        <v>MAT-188-Y</v>
      </c>
      <c r="G2037" s="213"/>
      <c r="H2037" s="213" t="str">
        <f>IFERROR(__xludf.DUMMYFUNCTION("""COMPUTED_VALUE"""),"JALADOR")</f>
        <v>JALADOR</v>
      </c>
      <c r="I2037" s="213" t="str">
        <f>IFERROR(__xludf.DUMMYFUNCTION("""COMPUTED_VALUE"""),"- Caracterísiticas: horquilla de aluminio y canaleta de caucho.
- Medida: 50 cm como mínimo.
- Incluye cabo grueso de barrendero.")</f>
        <v>- Caracterísiticas: horquilla de aluminio y canaleta de caucho.
- Medida: 50 cm como mínimo.
- Incluye cabo grueso de barrendero.</v>
      </c>
      <c r="J2037" s="213">
        <f>IFERROR(__xludf.DUMMYFUNCTION("""COMPUTED_VALUE"""),3.0)</f>
        <v>3</v>
      </c>
      <c r="K2037" s="213" t="str">
        <f>IFERROR(__xludf.DUMMYFUNCTION("""COMPUTED_VALUE"""),"90 DÍAS CALENDARIO")</f>
        <v>90 DÍAS CALENDARIO</v>
      </c>
      <c r="L2037" s="213" t="str">
        <f>IFERROR(__xludf.DUMMYFUNCTION("""COMPUTED_VALUE"""),"")</f>
        <v/>
      </c>
      <c r="M2037" s="213">
        <f>IFERROR(__xludf.DUMMYFUNCTION("""COMPUTED_VALUE"""),1.0)</f>
        <v>1</v>
      </c>
      <c r="N2037" s="213">
        <f>IFERROR(__xludf.DUMMYFUNCTION("""COMPUTED_VALUE"""),2.0)</f>
        <v>2</v>
      </c>
      <c r="O2037" s="213">
        <f>IFERROR(__xludf.DUMMYFUNCTION("""COMPUTED_VALUE"""),2.0)</f>
        <v>2</v>
      </c>
      <c r="P2037" s="213"/>
      <c r="Q2037" s="213"/>
      <c r="R2037" s="213" t="str">
        <f>IFERROR(__xludf.DUMMYFUNCTION("""COMPUTED_VALUE"""),"SI")</f>
        <v>SI</v>
      </c>
      <c r="S2037" s="213"/>
      <c r="T2037" s="213" t="str">
        <f>IFERROR(__xludf.DUMMYFUNCTION("""COMPUTED_VALUE"""),"SI")</f>
        <v>SI</v>
      </c>
      <c r="U2037" s="213" t="str">
        <f>IFERROR(__xludf.DUMMYFUNCTION("""COMPUTED_VALUE"""),"SI")</f>
        <v>SI</v>
      </c>
      <c r="V2037" s="213" t="str">
        <f>IFERROR(__xludf.DUMMYFUNCTION("""COMPUTED_VALUE"""),"-")</f>
        <v>-</v>
      </c>
      <c r="W2037" s="213" t="str">
        <f>IFERROR(__xludf.DUMMYFUNCTION("""COMPUTED_VALUE"""),"-")</f>
        <v>-</v>
      </c>
      <c r="X2037" s="213" t="str">
        <f>IFERROR(__xludf.DUMMYFUNCTION("""COMPUTED_VALUE"""),"Neco")</f>
        <v>Neco</v>
      </c>
      <c r="Y2037" s="213">
        <f>IFERROR(__xludf.DUMMYFUNCTION("""COMPUTED_VALUE"""),31427.0)</f>
        <v>31427</v>
      </c>
      <c r="Z2037" s="215" t="str">
        <f>IFERROR(__xludf.DUMMYFUNCTION("""COMPUTED_VALUE"""),"https://sodimac.falabella.com.pe/sodimac-pe/product/114762880/Jalador-de-Agua-de-75cm-+-Mango-de-Aluminio/114762884")</f>
        <v>https://sodimac.falabella.com.pe/sodimac-pe/product/114762880/Jalador-de-Agua-de-75cm-+-Mango-de-Aluminio/114762884</v>
      </c>
      <c r="AA2037" s="213" t="str">
        <f>IFERROR(__xludf.DUMMYFUNCTION("""COMPUTED_VALUE"""),"MAT-188-Y JALADOR - CET")</f>
        <v>MAT-188-Y JALADOR - CET</v>
      </c>
      <c r="AB2037" s="213"/>
      <c r="AC2037" s="213"/>
      <c r="AD2037" s="213"/>
      <c r="AE2037" s="213"/>
      <c r="AF2037" s="213"/>
      <c r="AG2037" s="213"/>
      <c r="AH2037" s="213"/>
      <c r="AI2037" s="213"/>
      <c r="AJ2037" s="213"/>
      <c r="AK2037" s="213"/>
      <c r="AL2037" s="213"/>
      <c r="AM2037" s="213"/>
      <c r="AN2037" s="213"/>
      <c r="AO2037" s="213"/>
      <c r="AP2037" s="213" t="str">
        <f>IFERROR(__xludf.DUMMYFUNCTION("""COMPUTED_VALUE"""),"SEBASTIAN")</f>
        <v>SEBASTIAN</v>
      </c>
      <c r="AQ2037" s="213"/>
      <c r="AR2037" s="213"/>
      <c r="AS2037" s="213"/>
      <c r="AT2037" s="213"/>
      <c r="AU2037" s="213"/>
      <c r="AV2037" s="213"/>
      <c r="AW2037" s="213"/>
      <c r="AX2037" s="213"/>
      <c r="AY2037" s="213"/>
      <c r="AZ2037" s="213"/>
      <c r="BA2037" s="213"/>
      <c r="BB2037" s="213"/>
      <c r="BC2037" s="213"/>
      <c r="BD2037" s="213"/>
    </row>
    <row r="2038">
      <c r="A2038" s="213">
        <f>IFERROR(__xludf.DUMMYFUNCTION("""COMPUTED_VALUE"""),483.0)</f>
        <v>483</v>
      </c>
      <c r="B2038" s="213" t="str">
        <f>IFERROR(__xludf.DUMMYFUNCTION("""COMPUTED_VALUE"""),"2026 SIMON BOLIVAR")</f>
        <v>2026 SIMON BOLIVAR</v>
      </c>
      <c r="C2038" s="213" t="str">
        <f>IFERROR(__xludf.DUMMYFUNCTION("""COMPUTED_VALUE"""),"TALLER SFT DE INDUSTRIA ALIMENTARIA")</f>
        <v>TALLER SFT DE INDUSTRIA ALIMENTARIA</v>
      </c>
      <c r="D2038" s="213" t="str">
        <f>IFERROR(__xludf.DUMMYFUNCTION("""COMPUTED_VALUE"""),"HERRAMIENTAS")</f>
        <v>HERRAMIENTAS</v>
      </c>
      <c r="E2038" s="213" t="str">
        <f>IFERROR(__xludf.DUMMYFUNCTION("""COMPUTED_VALUE"""),"MAT-190")</f>
        <v>MAT-190</v>
      </c>
      <c r="F2038" s="213" t="str">
        <f>IFERROR(__xludf.DUMMYFUNCTION("""COMPUTED_VALUE"""),"MAT-190")</f>
        <v>MAT-190</v>
      </c>
      <c r="G2038" s="213"/>
      <c r="H2038" s="213" t="str">
        <f>IFERROR(__xludf.DUMMYFUNCTION("""COMPUTED_VALUE"""),"JARRA DE PLÁSTICO DE 2 LITROS")</f>
        <v>JARRA DE PLÁSTICO DE 2 LITROS</v>
      </c>
      <c r="I2038"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038" s="213">
        <f>IFERROR(__xludf.DUMMYFUNCTION("""COMPUTED_VALUE"""),3.0)</f>
        <v>3</v>
      </c>
      <c r="K2038" s="213" t="str">
        <f>IFERROR(__xludf.DUMMYFUNCTION("""COMPUTED_VALUE"""),"90 DÍAS CALENDARIO")</f>
        <v>90 DÍAS CALENDARIO</v>
      </c>
      <c r="L2038" s="213" t="str">
        <f>IFERROR(__xludf.DUMMYFUNCTION("""COMPUTED_VALUE"""),"")</f>
        <v/>
      </c>
      <c r="M2038" s="213">
        <f>IFERROR(__xludf.DUMMYFUNCTION("""COMPUTED_VALUE"""),1.0)</f>
        <v>1</v>
      </c>
      <c r="N2038" s="213">
        <f>IFERROR(__xludf.DUMMYFUNCTION("""COMPUTED_VALUE"""),5.0)</f>
        <v>5</v>
      </c>
      <c r="O2038" s="213">
        <f>IFERROR(__xludf.DUMMYFUNCTION("""COMPUTED_VALUE"""),5.0)</f>
        <v>5</v>
      </c>
      <c r="P2038" s="213"/>
      <c r="Q2038" s="213"/>
      <c r="R2038" s="213" t="str">
        <f>IFERROR(__xludf.DUMMYFUNCTION("""COMPUTED_VALUE"""),"SI")</f>
        <v>SI</v>
      </c>
      <c r="S2038" s="213"/>
      <c r="T2038" s="213" t="str">
        <f>IFERROR(__xludf.DUMMYFUNCTION("""COMPUTED_VALUE"""),"CONSULTA FINAL")</f>
        <v>CONSULTA FINAL</v>
      </c>
      <c r="U2038" s="213" t="str">
        <f>IFERROR(__xludf.DUMMYFUNCTION("""COMPUTED_VALUE"""),"NO")</f>
        <v>NO</v>
      </c>
      <c r="V2038" s="213" t="str">
        <f>IFERROR(__xludf.DUMMYFUNCTION("""COMPUTED_VALUE"""),"SUSTENTO")</f>
        <v>SUSTENTO</v>
      </c>
      <c r="W2038" s="213" t="str">
        <f>IFERROR(__xludf.DUMMYFUNCTION("""COMPUTED_VALUE"""),"DIMENSIONAL")</f>
        <v>DIMENSIONAL</v>
      </c>
      <c r="X2038" s="213" t="str">
        <f>IFERROR(__xludf.DUMMYFUNCTION("""COMPUTED_VALUE"""),"BASA")</f>
        <v>BASA</v>
      </c>
      <c r="Y2038" s="213">
        <f>IFERROR(__xludf.DUMMYFUNCTION("""COMPUTED_VALUE"""),7.0094018E7)</f>
        <v>70094018</v>
      </c>
      <c r="Z2038"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038" s="213" t="str">
        <f>IFERROR(__xludf.DUMMYFUNCTION("""COMPUTED_VALUE"""),"MAT-190 JARRA DE PLÁSTICO DE 2 LITROS - CET")</f>
        <v>MAT-190 JARRA DE PLÁSTICO DE 2 LITROS - CET</v>
      </c>
      <c r="AB2038" s="213"/>
      <c r="AC2038" s="213"/>
      <c r="AD2038" s="213"/>
      <c r="AE2038" s="213"/>
      <c r="AF2038" s="213"/>
      <c r="AG2038" s="213"/>
      <c r="AH2038" s="213"/>
      <c r="AI2038" s="213"/>
      <c r="AJ2038" s="213"/>
      <c r="AK2038" s="213"/>
      <c r="AL2038" s="213"/>
      <c r="AM2038" s="213"/>
      <c r="AN2038" s="213"/>
      <c r="AO2038" s="213"/>
      <c r="AP2038" s="213" t="str">
        <f>IFERROR(__xludf.DUMMYFUNCTION("""COMPUTED_VALUE"""),"LUIS")</f>
        <v>LUIS</v>
      </c>
      <c r="AQ2038" s="213"/>
      <c r="AR2038" s="213"/>
      <c r="AS2038" s="213"/>
      <c r="AT2038" s="213"/>
      <c r="AU2038" s="213"/>
      <c r="AV2038" s="213"/>
      <c r="AW2038" s="213"/>
      <c r="AX2038" s="213"/>
      <c r="AY2038" s="213"/>
      <c r="AZ2038" s="213"/>
      <c r="BA2038" s="213"/>
      <c r="BB2038" s="213"/>
      <c r="BC2038" s="213"/>
      <c r="BD2038" s="213"/>
    </row>
    <row r="2039">
      <c r="A2039" s="213">
        <f>IFERROR(__xludf.DUMMYFUNCTION("""COMPUTED_VALUE"""),503.0)</f>
        <v>503</v>
      </c>
      <c r="B2039" s="213" t="str">
        <f>IFERROR(__xludf.DUMMYFUNCTION("""COMPUTED_VALUE"""),"2026 SIMON BOLIVAR")</f>
        <v>2026 SIMON BOLIVAR</v>
      </c>
      <c r="C2039" s="213" t="str">
        <f>IFERROR(__xludf.DUMMYFUNCTION("""COMPUTED_VALUE"""),"TALLER SFT DE INDUSTRIA ALIMENTARIA")</f>
        <v>TALLER SFT DE INDUSTRIA ALIMENTARIA</v>
      </c>
      <c r="D2039" s="213" t="str">
        <f>IFERROR(__xludf.DUMMYFUNCTION("""COMPUTED_VALUE"""),"HERRAMIENTAS")</f>
        <v>HERRAMIENTAS</v>
      </c>
      <c r="E2039" s="213" t="str">
        <f>IFERROR(__xludf.DUMMYFUNCTION("""COMPUTED_VALUE"""),"MAT-190")</f>
        <v>MAT-190</v>
      </c>
      <c r="F2039" s="213" t="str">
        <f>IFERROR(__xludf.DUMMYFUNCTION("""COMPUTED_VALUE"""),"MAT-190")</f>
        <v>MAT-190</v>
      </c>
      <c r="G2039" s="213"/>
      <c r="H2039" s="213" t="str">
        <f>IFERROR(__xludf.DUMMYFUNCTION("""COMPUTED_VALUE"""),"JARRA DE PLÁSTICO DE 2 LITROS")</f>
        <v>JARRA DE PLÁSTICO DE 2 LITROS</v>
      </c>
      <c r="I2039"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039" s="213">
        <f>IFERROR(__xludf.DUMMYFUNCTION("""COMPUTED_VALUE"""),3.0)</f>
        <v>3</v>
      </c>
      <c r="K2039" s="213" t="str">
        <f>IFERROR(__xludf.DUMMYFUNCTION("""COMPUTED_VALUE"""),"90 DÍAS CALENDARIO")</f>
        <v>90 DÍAS CALENDARIO</v>
      </c>
      <c r="L2039" s="213" t="str">
        <f>IFERROR(__xludf.DUMMYFUNCTION("""COMPUTED_VALUE"""),"")</f>
        <v/>
      </c>
      <c r="M2039" s="213">
        <f>IFERROR(__xludf.DUMMYFUNCTION("""COMPUTED_VALUE"""),1.0)</f>
        <v>1</v>
      </c>
      <c r="N2039" s="213">
        <f>IFERROR(__xludf.DUMMYFUNCTION("""COMPUTED_VALUE"""),5.0)</f>
        <v>5</v>
      </c>
      <c r="O2039" s="213">
        <f>IFERROR(__xludf.DUMMYFUNCTION("""COMPUTED_VALUE"""),5.0)</f>
        <v>5</v>
      </c>
      <c r="P2039" s="213"/>
      <c r="Q2039" s="213"/>
      <c r="R2039" s="213" t="str">
        <f>IFERROR(__xludf.DUMMYFUNCTION("""COMPUTED_VALUE"""),"SI")</f>
        <v>SI</v>
      </c>
      <c r="S2039" s="213"/>
      <c r="T2039" s="213" t="str">
        <f>IFERROR(__xludf.DUMMYFUNCTION("""COMPUTED_VALUE"""),"CONSULTA FINAL")</f>
        <v>CONSULTA FINAL</v>
      </c>
      <c r="U2039" s="213" t="str">
        <f>IFERROR(__xludf.DUMMYFUNCTION("""COMPUTED_VALUE"""),"NO")</f>
        <v>NO</v>
      </c>
      <c r="V2039" s="213" t="str">
        <f>IFERROR(__xludf.DUMMYFUNCTION("""COMPUTED_VALUE"""),"SUSTENTO")</f>
        <v>SUSTENTO</v>
      </c>
      <c r="W2039" s="213" t="str">
        <f>IFERROR(__xludf.DUMMYFUNCTION("""COMPUTED_VALUE"""),"DIMENSIONAL")</f>
        <v>DIMENSIONAL</v>
      </c>
      <c r="X2039" s="213" t="str">
        <f>IFERROR(__xludf.DUMMYFUNCTION("""COMPUTED_VALUE"""),"BASA")</f>
        <v>BASA</v>
      </c>
      <c r="Y2039" s="213">
        <f>IFERROR(__xludf.DUMMYFUNCTION("""COMPUTED_VALUE"""),7.0094018E7)</f>
        <v>70094018</v>
      </c>
      <c r="Z2039"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039" s="213" t="str">
        <f>IFERROR(__xludf.DUMMYFUNCTION("""COMPUTED_VALUE"""),"MAT-190 JARRA DE PLÁSTICO DE 2 LITROS - CET")</f>
        <v>MAT-190 JARRA DE PLÁSTICO DE 2 LITROS - CET</v>
      </c>
      <c r="AB2039" s="213"/>
      <c r="AC2039" s="213"/>
      <c r="AD2039" s="213"/>
      <c r="AE2039" s="213"/>
      <c r="AF2039" s="213"/>
      <c r="AG2039" s="213"/>
      <c r="AH2039" s="213"/>
      <c r="AI2039" s="213"/>
      <c r="AJ2039" s="213"/>
      <c r="AK2039" s="213"/>
      <c r="AL2039" s="213"/>
      <c r="AM2039" s="213"/>
      <c r="AN2039" s="213"/>
      <c r="AO2039" s="213"/>
      <c r="AP2039" s="213" t="str">
        <f>IFERROR(__xludf.DUMMYFUNCTION("""COMPUTED_VALUE"""),"LUIS")</f>
        <v>LUIS</v>
      </c>
      <c r="AQ2039" s="213"/>
      <c r="AR2039" s="213"/>
      <c r="AS2039" s="213"/>
      <c r="AT2039" s="213"/>
      <c r="AU2039" s="213"/>
      <c r="AV2039" s="213"/>
      <c r="AW2039" s="213"/>
      <c r="AX2039" s="213"/>
      <c r="AY2039" s="213"/>
      <c r="AZ2039" s="213"/>
      <c r="BA2039" s="213"/>
      <c r="BB2039" s="213"/>
      <c r="BC2039" s="213"/>
      <c r="BD2039" s="213"/>
    </row>
    <row r="2040">
      <c r="A2040" s="213">
        <f>IFERROR(__xludf.DUMMYFUNCTION("""COMPUTED_VALUE"""),521.0)</f>
        <v>521</v>
      </c>
      <c r="B2040" s="213" t="str">
        <f>IFERROR(__xludf.DUMMYFUNCTION("""COMPUTED_VALUE"""),"2026 SIMON BOLIVAR")</f>
        <v>2026 SIMON BOLIVAR</v>
      </c>
      <c r="C2040" s="213" t="str">
        <f>IFERROR(__xludf.DUMMYFUNCTION("""COMPUTED_VALUE"""),"TALLER SFT DE INDUSTRIA ALIMENTARIA")</f>
        <v>TALLER SFT DE INDUSTRIA ALIMENTARIA</v>
      </c>
      <c r="D2040" s="213" t="str">
        <f>IFERROR(__xludf.DUMMYFUNCTION("""COMPUTED_VALUE"""),"HERRAMIENTAS")</f>
        <v>HERRAMIENTAS</v>
      </c>
      <c r="E2040" s="213" t="str">
        <f>IFERROR(__xludf.DUMMYFUNCTION("""COMPUTED_VALUE"""),"MAT-190")</f>
        <v>MAT-190</v>
      </c>
      <c r="F2040" s="213" t="str">
        <f>IFERROR(__xludf.DUMMYFUNCTION("""COMPUTED_VALUE"""),"MAT-190")</f>
        <v>MAT-190</v>
      </c>
      <c r="G2040" s="213"/>
      <c r="H2040" s="213" t="str">
        <f>IFERROR(__xludf.DUMMYFUNCTION("""COMPUTED_VALUE"""),"JARRA DE PLÁSTICO DE 2 LITROS")</f>
        <v>JARRA DE PLÁSTICO DE 2 LITROS</v>
      </c>
      <c r="I2040"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040" s="213">
        <f>IFERROR(__xludf.DUMMYFUNCTION("""COMPUTED_VALUE"""),3.0)</f>
        <v>3</v>
      </c>
      <c r="K2040" s="213" t="str">
        <f>IFERROR(__xludf.DUMMYFUNCTION("""COMPUTED_VALUE"""),"90 DÍAS CALENDARIO")</f>
        <v>90 DÍAS CALENDARIO</v>
      </c>
      <c r="L2040" s="213" t="str">
        <f>IFERROR(__xludf.DUMMYFUNCTION("""COMPUTED_VALUE"""),"")</f>
        <v/>
      </c>
      <c r="M2040" s="213">
        <f>IFERROR(__xludf.DUMMYFUNCTION("""COMPUTED_VALUE"""),1.0)</f>
        <v>1</v>
      </c>
      <c r="N2040" s="213">
        <f>IFERROR(__xludf.DUMMYFUNCTION("""COMPUTED_VALUE"""),5.0)</f>
        <v>5</v>
      </c>
      <c r="O2040" s="213">
        <f>IFERROR(__xludf.DUMMYFUNCTION("""COMPUTED_VALUE"""),5.0)</f>
        <v>5</v>
      </c>
      <c r="P2040" s="213"/>
      <c r="Q2040" s="213"/>
      <c r="R2040" s="213" t="str">
        <f>IFERROR(__xludf.DUMMYFUNCTION("""COMPUTED_VALUE"""),"SI")</f>
        <v>SI</v>
      </c>
      <c r="S2040" s="213"/>
      <c r="T2040" s="213" t="str">
        <f>IFERROR(__xludf.DUMMYFUNCTION("""COMPUTED_VALUE"""),"CONSULTA FINAL")</f>
        <v>CONSULTA FINAL</v>
      </c>
      <c r="U2040" s="213" t="str">
        <f>IFERROR(__xludf.DUMMYFUNCTION("""COMPUTED_VALUE"""),"NO")</f>
        <v>NO</v>
      </c>
      <c r="V2040" s="213" t="str">
        <f>IFERROR(__xludf.DUMMYFUNCTION("""COMPUTED_VALUE"""),"SUSTENTO")</f>
        <v>SUSTENTO</v>
      </c>
      <c r="W2040" s="213" t="str">
        <f>IFERROR(__xludf.DUMMYFUNCTION("""COMPUTED_VALUE"""),"DIMENSIONAL")</f>
        <v>DIMENSIONAL</v>
      </c>
      <c r="X2040" s="213" t="str">
        <f>IFERROR(__xludf.DUMMYFUNCTION("""COMPUTED_VALUE"""),"BASA")</f>
        <v>BASA</v>
      </c>
      <c r="Y2040" s="213">
        <f>IFERROR(__xludf.DUMMYFUNCTION("""COMPUTED_VALUE"""),7.0094018E7)</f>
        <v>70094018</v>
      </c>
      <c r="Z2040"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040" s="213" t="str">
        <f>IFERROR(__xludf.DUMMYFUNCTION("""COMPUTED_VALUE"""),"MAT-190 JARRA DE PLÁSTICO DE 2 LITROS - CET")</f>
        <v>MAT-190 JARRA DE PLÁSTICO DE 2 LITROS - CET</v>
      </c>
      <c r="AB2040" s="213"/>
      <c r="AC2040" s="213"/>
      <c r="AD2040" s="213"/>
      <c r="AE2040" s="213"/>
      <c r="AF2040" s="213"/>
      <c r="AG2040" s="213"/>
      <c r="AH2040" s="213"/>
      <c r="AI2040" s="213"/>
      <c r="AJ2040" s="213"/>
      <c r="AK2040" s="213"/>
      <c r="AL2040" s="213"/>
      <c r="AM2040" s="213"/>
      <c r="AN2040" s="213"/>
      <c r="AO2040" s="213"/>
      <c r="AP2040" s="213" t="str">
        <f>IFERROR(__xludf.DUMMYFUNCTION("""COMPUTED_VALUE"""),"LUIS")</f>
        <v>LUIS</v>
      </c>
      <c r="AQ2040" s="213"/>
      <c r="AR2040" s="213"/>
      <c r="AS2040" s="213"/>
      <c r="AT2040" s="213"/>
      <c r="AU2040" s="213"/>
      <c r="AV2040" s="213"/>
      <c r="AW2040" s="213"/>
      <c r="AX2040" s="213"/>
      <c r="AY2040" s="213"/>
      <c r="AZ2040" s="213"/>
      <c r="BA2040" s="213"/>
      <c r="BB2040" s="213"/>
      <c r="BC2040" s="213"/>
      <c r="BD2040" s="213"/>
    </row>
    <row r="2041">
      <c r="A2041" s="213">
        <f>IFERROR(__xludf.DUMMYFUNCTION("""COMPUTED_VALUE"""),412.0)</f>
        <v>412</v>
      </c>
      <c r="B2041" s="213" t="str">
        <f>IFERROR(__xludf.DUMMYFUNCTION("""COMPUTED_VALUE"""),"2026 SIMON BOLIVAR")</f>
        <v>2026 SIMON BOLIVAR</v>
      </c>
      <c r="C2041" s="213" t="str">
        <f>IFERROR(__xludf.DUMMYFUNCTION("""COMPUTED_VALUE"""),"TALLER SFT DE ELECTRICIDAD")</f>
        <v>TALLER SFT DE ELECTRICIDAD</v>
      </c>
      <c r="D2041" s="213" t="str">
        <f>IFERROR(__xludf.DUMMYFUNCTION("""COMPUTED_VALUE"""),"EQUIPOS")</f>
        <v>EQUIPOS</v>
      </c>
      <c r="E2041" s="213" t="str">
        <f>IFERROR(__xludf.DUMMYFUNCTION("""COMPUTED_VALUE"""),"ESP-289")</f>
        <v>ESP-289</v>
      </c>
      <c r="F2041" s="213" t="str">
        <f>IFERROR(__xludf.DUMMYFUNCTION("""COMPUTED_VALUE"""),"ESP-289")</f>
        <v>ESP-289</v>
      </c>
      <c r="G2041" s="213"/>
      <c r="H2041" s="213" t="str">
        <f>IFERROR(__xludf.DUMMYFUNCTION("""COMPUTED_VALUE"""),"PILOTO DE SEÑALIZACIÓN DE LED (VERDE, AMARILLO, ROJO, BLANCO, AZUL)")</f>
        <v>PILOTO DE SEÑALIZACIÓN DE LED (VERDE, AMARILLO, ROJO, BLANCO, AZUL)</v>
      </c>
      <c r="I2041" s="213"/>
      <c r="J2041" s="213">
        <f>IFERROR(__xludf.DUMMYFUNCTION("""COMPUTED_VALUE"""),3.0)</f>
        <v>3</v>
      </c>
      <c r="K2041" s="213" t="str">
        <f>IFERROR(__xludf.DUMMYFUNCTION("""COMPUTED_VALUE"""),"170 DÍAS CALENDARIO")</f>
        <v>170 DÍAS CALENDARIO</v>
      </c>
      <c r="L2041" s="213" t="str">
        <f>IFERROR(__xludf.DUMMYFUNCTION("""COMPUTED_VALUE"""),"")</f>
        <v/>
      </c>
      <c r="M2041" s="213">
        <f>IFERROR(__xludf.DUMMYFUNCTION("""COMPUTED_VALUE"""),1.0)</f>
        <v>1</v>
      </c>
      <c r="N2041" s="213">
        <f>IFERROR(__xludf.DUMMYFUNCTION("""COMPUTED_VALUE"""),20.0)</f>
        <v>20</v>
      </c>
      <c r="O2041" s="213">
        <f>IFERROR(__xludf.DUMMYFUNCTION("""COMPUTED_VALUE"""),20.0)</f>
        <v>20</v>
      </c>
      <c r="P2041" s="213"/>
      <c r="Q2041" s="213"/>
      <c r="R2041" s="213"/>
      <c r="S2041" s="213" t="str">
        <f>IFERROR(__xludf.DUMMYFUNCTION("""COMPUTED_VALUE"""),"SI")</f>
        <v>SI</v>
      </c>
      <c r="T2041" s="213" t="str">
        <f>IFERROR(__xludf.DUMMYFUNCTION("""COMPUTED_VALUE"""),"SI")</f>
        <v>SI</v>
      </c>
      <c r="U2041" s="213" t="str">
        <f>IFERROR(__xludf.DUMMYFUNCTION("""COMPUTED_VALUE"""),"SI")</f>
        <v>SI</v>
      </c>
      <c r="V2041" s="213" t="str">
        <f>IFERROR(__xludf.DUMMYFUNCTION("""COMPUTED_VALUE"""),"-")</f>
        <v>-</v>
      </c>
      <c r="W2041" s="213" t="str">
        <f>IFERROR(__xludf.DUMMYFUNCTION("""COMPUTED_VALUE"""),"-")</f>
        <v>-</v>
      </c>
      <c r="X2041" s="213" t="str">
        <f>IFERROR(__xludf.DUMMYFUNCTION("""COMPUTED_VALUE"""),"Schneider Electric")</f>
        <v>Schneider Electric</v>
      </c>
      <c r="Y2041" s="213" t="str">
        <f>IFERROR(__xludf.DUMMYFUNCTION("""COMPUTED_VALUE"""),"Harmony XB4")</f>
        <v>Harmony XB4</v>
      </c>
      <c r="Z2041" s="215" t="str">
        <f>IFERROR(__xludf.DUMMYFUNCTION("""COMPUTED_VALUE"""),"https://www.se.com/pe/es/product/XB4BVM4/luz-piloto-metalico-%C3%B8-22mm-rojo-led-integrado-230-240v-ca/")</f>
        <v>https://www.se.com/pe/es/product/XB4BVM4/luz-piloto-metalico-%C3%B8-22mm-rojo-led-integrado-230-240v-ca/</v>
      </c>
      <c r="AA2041" s="213" t="str">
        <f>IFERROR(__xludf.DUMMYFUNCTION("""COMPUTED_VALUE"""),"ESP-289 PILOTO DE SEÑALIZACIÓN DE LED (VERDE, AMARILLO, ROJO, BLANCO, A - CET")</f>
        <v>ESP-289 PILOTO DE SEÑALIZACIÓN DE LED (VERDE, AMARILLO, ROJO, BLANCO, A - CET</v>
      </c>
      <c r="AB2041" s="213"/>
      <c r="AC2041" s="213"/>
      <c r="AD2041" s="213"/>
      <c r="AE2041" s="213"/>
      <c r="AF2041" s="213"/>
      <c r="AG2041" s="213"/>
      <c r="AH2041" s="213"/>
      <c r="AI2041" s="213"/>
      <c r="AJ2041" s="213"/>
      <c r="AK2041" s="213"/>
      <c r="AL2041" s="213"/>
      <c r="AM2041" s="213"/>
      <c r="AN2041" s="213"/>
      <c r="AO2041" s="213"/>
      <c r="AP2041" s="213" t="str">
        <f>IFERROR(__xludf.DUMMYFUNCTION("""COMPUTED_VALUE"""),"BRUNO")</f>
        <v>BRUNO</v>
      </c>
      <c r="AQ2041" s="213"/>
      <c r="AR2041" s="213"/>
      <c r="AS2041" s="213" t="str">
        <f>IFERROR(__xludf.DUMMYFUNCTION("""COMPUTED_VALUE"""),"No se indica específicamente conexión roscada ni alimentación CC.")</f>
        <v>No se indica específicamente conexión roscada ni alimentación CC.</v>
      </c>
      <c r="AT2041" s="213"/>
      <c r="AU2041" s="213"/>
      <c r="AV2041" s="213"/>
      <c r="AW2041" s="213"/>
      <c r="AX2041" s="213"/>
      <c r="AY2041" s="213"/>
      <c r="AZ2041" s="213"/>
      <c r="BA2041" s="213"/>
      <c r="BB2041" s="213"/>
      <c r="BC2041" s="213"/>
      <c r="BD2041" s="213"/>
    </row>
    <row r="2042">
      <c r="A2042" s="213">
        <f>IFERROR(__xludf.DUMMYFUNCTION("""COMPUTED_VALUE"""),898.0)</f>
        <v>898</v>
      </c>
      <c r="B2042" s="213" t="str">
        <f>IFERROR(__xludf.DUMMYFUNCTION("""COMPUTED_VALUE"""),"6049 RICARDO PALMA")</f>
        <v>6049 RICARDO PALMA</v>
      </c>
      <c r="C2042" s="213" t="str">
        <f>IFERROR(__xludf.DUMMYFUNCTION("""COMPUTED_VALUE"""),"TALLER SFT DE ELECTRICIDAD")</f>
        <v>TALLER SFT DE ELECTRICIDAD</v>
      </c>
      <c r="D2042" s="213" t="str">
        <f>IFERROR(__xludf.DUMMYFUNCTION("""COMPUTED_VALUE"""),"EQUIPOS")</f>
        <v>EQUIPOS</v>
      </c>
      <c r="E2042" s="213" t="str">
        <f>IFERROR(__xludf.DUMMYFUNCTION("""COMPUTED_VALUE"""),"ESP-289")</f>
        <v>ESP-289</v>
      </c>
      <c r="F2042" s="213" t="str">
        <f>IFERROR(__xludf.DUMMYFUNCTION("""COMPUTED_VALUE"""),"ESP-289")</f>
        <v>ESP-289</v>
      </c>
      <c r="G2042" s="213"/>
      <c r="H2042" s="213" t="str">
        <f>IFERROR(__xludf.DUMMYFUNCTION("""COMPUTED_VALUE"""),"PILOTO DE SEÑALIZACIÓN DE LED (VERDE, AMARILLO, ROJO, BLANCO, AZUL)")</f>
        <v>PILOTO DE SEÑALIZACIÓN DE LED (VERDE, AMARILLO, ROJO, BLANCO, AZUL)</v>
      </c>
      <c r="I2042" s="213"/>
      <c r="J2042" s="213">
        <f>IFERROR(__xludf.DUMMYFUNCTION("""COMPUTED_VALUE"""),3.0)</f>
        <v>3</v>
      </c>
      <c r="K2042" s="213" t="str">
        <f>IFERROR(__xludf.DUMMYFUNCTION("""COMPUTED_VALUE"""),"170 DÍAS CALENDARIO")</f>
        <v>170 DÍAS CALENDARIO</v>
      </c>
      <c r="L2042" s="213" t="str">
        <f>IFERROR(__xludf.DUMMYFUNCTION("""COMPUTED_VALUE"""),"")</f>
        <v/>
      </c>
      <c r="M2042" s="213">
        <f>IFERROR(__xludf.DUMMYFUNCTION("""COMPUTED_VALUE"""),1.0)</f>
        <v>1</v>
      </c>
      <c r="N2042" s="213">
        <f>IFERROR(__xludf.DUMMYFUNCTION("""COMPUTED_VALUE"""),20.0)</f>
        <v>20</v>
      </c>
      <c r="O2042" s="213">
        <f>IFERROR(__xludf.DUMMYFUNCTION("""COMPUTED_VALUE"""),20.0)</f>
        <v>20</v>
      </c>
      <c r="P2042" s="213"/>
      <c r="Q2042" s="213"/>
      <c r="R2042" s="213"/>
      <c r="S2042" s="213" t="str">
        <f>IFERROR(__xludf.DUMMYFUNCTION("""COMPUTED_VALUE"""),"SI")</f>
        <v>SI</v>
      </c>
      <c r="T2042" s="213" t="str">
        <f>IFERROR(__xludf.DUMMYFUNCTION("""COMPUTED_VALUE"""),"SI")</f>
        <v>SI</v>
      </c>
      <c r="U2042" s="213" t="str">
        <f>IFERROR(__xludf.DUMMYFUNCTION("""COMPUTED_VALUE"""),"SI")</f>
        <v>SI</v>
      </c>
      <c r="V2042" s="213" t="str">
        <f>IFERROR(__xludf.DUMMYFUNCTION("""COMPUTED_VALUE"""),"-")</f>
        <v>-</v>
      </c>
      <c r="W2042" s="213" t="str">
        <f>IFERROR(__xludf.DUMMYFUNCTION("""COMPUTED_VALUE"""),"-")</f>
        <v>-</v>
      </c>
      <c r="X2042" s="213" t="str">
        <f>IFERROR(__xludf.DUMMYFUNCTION("""COMPUTED_VALUE"""),"Schneider Electric")</f>
        <v>Schneider Electric</v>
      </c>
      <c r="Y2042" s="213" t="str">
        <f>IFERROR(__xludf.DUMMYFUNCTION("""COMPUTED_VALUE"""),"Harmony XB4")</f>
        <v>Harmony XB4</v>
      </c>
      <c r="Z2042" s="215" t="str">
        <f>IFERROR(__xludf.DUMMYFUNCTION("""COMPUTED_VALUE"""),"https://www.se.com/pe/es/product/XB4BVM4/luz-piloto-metalico-%C3%B8-22mm-rojo-led-integrado-230-240v-ca/")</f>
        <v>https://www.se.com/pe/es/product/XB4BVM4/luz-piloto-metalico-%C3%B8-22mm-rojo-led-integrado-230-240v-ca/</v>
      </c>
      <c r="AA2042" s="213" t="str">
        <f>IFERROR(__xludf.DUMMYFUNCTION("""COMPUTED_VALUE"""),"ESP-289 PILOTO DE SEÑALIZACIÓN DE LED (VERDE, AMARILLO, ROJO, BLANCO, A - CET")</f>
        <v>ESP-289 PILOTO DE SEÑALIZACIÓN DE LED (VERDE, AMARILLO, ROJO, BLANCO, A - CET</v>
      </c>
      <c r="AB2042" s="213"/>
      <c r="AC2042" s="213"/>
      <c r="AD2042" s="213"/>
      <c r="AE2042" s="213"/>
      <c r="AF2042" s="213"/>
      <c r="AG2042" s="213"/>
      <c r="AH2042" s="213"/>
      <c r="AI2042" s="213"/>
      <c r="AJ2042" s="213"/>
      <c r="AK2042" s="213"/>
      <c r="AL2042" s="213"/>
      <c r="AM2042" s="213"/>
      <c r="AN2042" s="213"/>
      <c r="AO2042" s="213"/>
      <c r="AP2042" s="213" t="str">
        <f>IFERROR(__xludf.DUMMYFUNCTION("""COMPUTED_VALUE"""),"BRUNO")</f>
        <v>BRUNO</v>
      </c>
      <c r="AQ2042" s="213"/>
      <c r="AR2042" s="213"/>
      <c r="AS2042" s="213" t="str">
        <f>IFERROR(__xludf.DUMMYFUNCTION("""COMPUTED_VALUE"""),"No se indica específicamente conexión roscada ni alimentación CC.")</f>
        <v>No se indica específicamente conexión roscada ni alimentación CC.</v>
      </c>
      <c r="AT2042" s="213"/>
      <c r="AU2042" s="213"/>
      <c r="AV2042" s="213"/>
      <c r="AW2042" s="213"/>
      <c r="AX2042" s="213"/>
      <c r="AY2042" s="213"/>
      <c r="AZ2042" s="213"/>
      <c r="BA2042" s="213"/>
      <c r="BB2042" s="213"/>
      <c r="BC2042" s="213"/>
      <c r="BD2042" s="213"/>
    </row>
    <row r="2043">
      <c r="A2043" s="213">
        <f>IFERROR(__xludf.DUMMYFUNCTION("""COMPUTED_VALUE"""),1320.0)</f>
        <v>1320</v>
      </c>
      <c r="B2043" s="213" t="str">
        <f>IFERROR(__xludf.DUMMYFUNCTION("""COMPUTED_VALUE"""),"GUILLERMO E. BILLINGHURST ")</f>
        <v>GUILLERMO E. BILLINGHURST </v>
      </c>
      <c r="C2043" s="213" t="str">
        <f>IFERROR(__xludf.DUMMYFUNCTION("""COMPUTED_VALUE"""),"TALLER SFT DE ELECTRICIDAD")</f>
        <v>TALLER SFT DE ELECTRICIDAD</v>
      </c>
      <c r="D2043" s="213" t="str">
        <f>IFERROR(__xludf.DUMMYFUNCTION("""COMPUTED_VALUE"""),"EQUIPOS")</f>
        <v>EQUIPOS</v>
      </c>
      <c r="E2043" s="213" t="str">
        <f>IFERROR(__xludf.DUMMYFUNCTION("""COMPUTED_VALUE"""),"ESP-289")</f>
        <v>ESP-289</v>
      </c>
      <c r="F2043" s="213" t="str">
        <f>IFERROR(__xludf.DUMMYFUNCTION("""COMPUTED_VALUE"""),"ESP-289")</f>
        <v>ESP-289</v>
      </c>
      <c r="G2043" s="213"/>
      <c r="H2043" s="213" t="str">
        <f>IFERROR(__xludf.DUMMYFUNCTION("""COMPUTED_VALUE"""),"PILOTO DE SEÑALIZACIÓN DE LED (VERDE, AMARILLO, ROJO, BLANCO, AZUL)")</f>
        <v>PILOTO DE SEÑALIZACIÓN DE LED (VERDE, AMARILLO, ROJO, BLANCO, AZUL)</v>
      </c>
      <c r="I2043" s="213"/>
      <c r="J2043" s="213">
        <f>IFERROR(__xludf.DUMMYFUNCTION("""COMPUTED_VALUE"""),3.0)</f>
        <v>3</v>
      </c>
      <c r="K2043" s="213" t="str">
        <f>IFERROR(__xludf.DUMMYFUNCTION("""COMPUTED_VALUE"""),"170 DÍAS CALENDARIO")</f>
        <v>170 DÍAS CALENDARIO</v>
      </c>
      <c r="L2043" s="213" t="str">
        <f>IFERROR(__xludf.DUMMYFUNCTION("""COMPUTED_VALUE"""),"")</f>
        <v/>
      </c>
      <c r="M2043" s="213">
        <f>IFERROR(__xludf.DUMMYFUNCTION("""COMPUTED_VALUE"""),1.0)</f>
        <v>1</v>
      </c>
      <c r="N2043" s="213">
        <f>IFERROR(__xludf.DUMMYFUNCTION("""COMPUTED_VALUE"""),20.0)</f>
        <v>20</v>
      </c>
      <c r="O2043" s="213">
        <f>IFERROR(__xludf.DUMMYFUNCTION("""COMPUTED_VALUE"""),20.0)</f>
        <v>20</v>
      </c>
      <c r="P2043" s="213"/>
      <c r="Q2043" s="213"/>
      <c r="R2043" s="213"/>
      <c r="S2043" s="213" t="str">
        <f>IFERROR(__xludf.DUMMYFUNCTION("""COMPUTED_VALUE"""),"SI")</f>
        <v>SI</v>
      </c>
      <c r="T2043" s="213" t="str">
        <f>IFERROR(__xludf.DUMMYFUNCTION("""COMPUTED_VALUE"""),"SI")</f>
        <v>SI</v>
      </c>
      <c r="U2043" s="213" t="str">
        <f>IFERROR(__xludf.DUMMYFUNCTION("""COMPUTED_VALUE"""),"SI")</f>
        <v>SI</v>
      </c>
      <c r="V2043" s="213" t="str">
        <f>IFERROR(__xludf.DUMMYFUNCTION("""COMPUTED_VALUE"""),"-")</f>
        <v>-</v>
      </c>
      <c r="W2043" s="213" t="str">
        <f>IFERROR(__xludf.DUMMYFUNCTION("""COMPUTED_VALUE"""),"-")</f>
        <v>-</v>
      </c>
      <c r="X2043" s="213" t="str">
        <f>IFERROR(__xludf.DUMMYFUNCTION("""COMPUTED_VALUE"""),"Schneider Electric")</f>
        <v>Schneider Electric</v>
      </c>
      <c r="Y2043" s="213" t="str">
        <f>IFERROR(__xludf.DUMMYFUNCTION("""COMPUTED_VALUE"""),"Harmony XB4")</f>
        <v>Harmony XB4</v>
      </c>
      <c r="Z2043" s="215" t="str">
        <f>IFERROR(__xludf.DUMMYFUNCTION("""COMPUTED_VALUE"""),"https://www.se.com/pe/es/product/XB4BVM4/luz-piloto-metalico-%C3%B8-22mm-rojo-led-integrado-230-240v-ca/")</f>
        <v>https://www.se.com/pe/es/product/XB4BVM4/luz-piloto-metalico-%C3%B8-22mm-rojo-led-integrado-230-240v-ca/</v>
      </c>
      <c r="AA2043" s="213" t="str">
        <f>IFERROR(__xludf.DUMMYFUNCTION("""COMPUTED_VALUE"""),"ESP-289 PILOTO DE SEÑALIZACIÓN DE LED (VERDE, AMARILLO, ROJO, BLANCO, A - CET")</f>
        <v>ESP-289 PILOTO DE SEÑALIZACIÓN DE LED (VERDE, AMARILLO, ROJO, BLANCO, A - CET</v>
      </c>
      <c r="AB2043" s="213"/>
      <c r="AC2043" s="213"/>
      <c r="AD2043" s="213"/>
      <c r="AE2043" s="213"/>
      <c r="AF2043" s="213"/>
      <c r="AG2043" s="213"/>
      <c r="AH2043" s="213"/>
      <c r="AI2043" s="213"/>
      <c r="AJ2043" s="213"/>
      <c r="AK2043" s="213"/>
      <c r="AL2043" s="213"/>
      <c r="AM2043" s="213"/>
      <c r="AN2043" s="213"/>
      <c r="AO2043" s="213"/>
      <c r="AP2043" s="213" t="str">
        <f>IFERROR(__xludf.DUMMYFUNCTION("""COMPUTED_VALUE"""),"BRUNO")</f>
        <v>BRUNO</v>
      </c>
      <c r="AQ2043" s="213" t="str">
        <f>IFERROR(__xludf.DUMMYFUNCTION("""COMPUTED_VALUE"""),"No se indica específicamente conexión roscada ni alimentación CC.")</f>
        <v>No se indica específicamente conexión roscada ni alimentación CC.</v>
      </c>
      <c r="AR2043" s="213"/>
      <c r="AS2043" s="213"/>
      <c r="AT2043" s="213"/>
      <c r="AU2043" s="213"/>
      <c r="AV2043" s="213"/>
      <c r="AW2043" s="213"/>
      <c r="AX2043" s="213"/>
      <c r="AY2043" s="213"/>
      <c r="AZ2043" s="213"/>
      <c r="BA2043" s="213"/>
      <c r="BB2043" s="213"/>
      <c r="BC2043" s="213"/>
      <c r="BD2043" s="213"/>
    </row>
    <row r="2044">
      <c r="A2044" s="213">
        <f>IFERROR(__xludf.DUMMYFUNCTION("""COMPUTED_VALUE"""),398.0)</f>
        <v>398</v>
      </c>
      <c r="B2044" s="213" t="str">
        <f>IFERROR(__xludf.DUMMYFUNCTION("""COMPUTED_VALUE"""),"2026 SIMON BOLIVAR")</f>
        <v>2026 SIMON BOLIVAR</v>
      </c>
      <c r="C2044" s="213" t="str">
        <f>IFERROR(__xludf.DUMMYFUNCTION("""COMPUTED_VALUE"""),"TALLER SFT DE ELECTRICIDAD")</f>
        <v>TALLER SFT DE ELECTRICIDAD</v>
      </c>
      <c r="D2044" s="213" t="str">
        <f>IFERROR(__xludf.DUMMYFUNCTION("""COMPUTED_VALUE"""),"EQUIPOS")</f>
        <v>EQUIPOS</v>
      </c>
      <c r="E2044" s="213" t="str">
        <f>IFERROR(__xludf.DUMMYFUNCTION("""COMPUTED_VALUE"""),"ESP-290")</f>
        <v>ESP-290</v>
      </c>
      <c r="F2044" s="213" t="str">
        <f>IFERROR(__xludf.DUMMYFUNCTION("""COMPUTED_VALUE"""),"ESP-290-X")</f>
        <v>ESP-290-X</v>
      </c>
      <c r="G2044" s="213"/>
      <c r="H2044" s="213" t="str">
        <f>IFERROR(__xludf.DUMMYFUNCTION("""COMPUTED_VALUE"""),"PINZA AMPERIMÉTRICA")</f>
        <v>PINZA AMPERIMÉTRICA</v>
      </c>
      <c r="I2044" s="213" t="str">
        <f>IFERROR(__xludf.DUMMYFUNCTION("""COMPUTED_VALUE"""),"· Funciones de Medición:
- Medición de Corriente Alterna (AC) y Corriente Continua (DC)
- Con medidor de resistencia
- Con autorrango
- Con medidor de diodos y continuidad sonora.
- Con botón de DATA HOLD
- Con pantalla LCD iluminada
· Datos Técnicos de m"&amp;"edición:
1. Medición de AC corriente: 400 A max.
2. Medición de DC corriente: 400 A max.
3. Medición de DC Voltaje: 500 V max.
4. Medición de resistencia hasta 20M ohm
· Características de Seguridad:
1. Con estuche de protección anti golpes y antideslizan"&amp;"te: Estuche de goma.
2. Con soporte para posicionarlo en forma inclinada.
3. Aislamiento seguro de su estructura y sus terminales.
· Accesorios:
1. Con maletín de transporte.
2. Con pilas o baterías.
3. Con manual de instrucciones.")</f>
        <v>· Funciones de Medición:
- Medición de Corriente Alterna (AC) y Corriente Continua (DC)
- Con medidor de resistencia
- Con autorrango
- Con medidor de diodos y continuidad sonora.
- Con botón de DATA HOLD
- Con pantalla LCD iluminada
· Datos Técnicos de medición:
1. Medición de AC corriente: 400 A max.
2. Medición de DC corriente: 400 A max.
3. Medición de DC Voltaje: 500 V max.
4. Medición de resistencia hasta 20M ohm
· Características de Seguridad:
1. Con estuche de protección anti golpes y antideslizante: Estuche de goma.
2. Con soporte para posicionarlo en forma inclinada.
3. Aislamiento seguro de su estructura y sus terminales.
· Accesorios:
1. Con maletín de transporte.
2. Con pilas o baterías.
3. Con manual de instrucciones.</v>
      </c>
      <c r="J2044" s="213">
        <f>IFERROR(__xludf.DUMMYFUNCTION("""COMPUTED_VALUE"""),3.0)</f>
        <v>3</v>
      </c>
      <c r="K2044" s="213" t="str">
        <f>IFERROR(__xludf.DUMMYFUNCTION("""COMPUTED_VALUE"""),"170 DÍAS CALENDARIO")</f>
        <v>170 DÍAS CALENDARIO</v>
      </c>
      <c r="L2044" s="213" t="str">
        <f>IFERROR(__xludf.DUMMYFUNCTION("""COMPUTED_VALUE"""),"")</f>
        <v/>
      </c>
      <c r="M2044" s="213">
        <f>IFERROR(__xludf.DUMMYFUNCTION("""COMPUTED_VALUE"""),1.0)</f>
        <v>1</v>
      </c>
      <c r="N2044" s="213">
        <f>IFERROR(__xludf.DUMMYFUNCTION("""COMPUTED_VALUE"""),4.0)</f>
        <v>4</v>
      </c>
      <c r="O2044" s="213">
        <f>IFERROR(__xludf.DUMMYFUNCTION("""COMPUTED_VALUE"""),4.0)</f>
        <v>4</v>
      </c>
      <c r="P2044" s="213"/>
      <c r="Q2044" s="213"/>
      <c r="R2044" s="213"/>
      <c r="S2044" s="213" t="str">
        <f>IFERROR(__xludf.DUMMYFUNCTION("""COMPUTED_VALUE"""),"SI")</f>
        <v>SI</v>
      </c>
      <c r="T2044" s="213" t="str">
        <f>IFERROR(__xludf.DUMMYFUNCTION("""COMPUTED_VALUE"""),"SI")</f>
        <v>SI</v>
      </c>
      <c r="U2044" s="213" t="str">
        <f>IFERROR(__xludf.DUMMYFUNCTION("""COMPUTED_VALUE"""),"NO")</f>
        <v>NO</v>
      </c>
      <c r="V2044" s="213" t="str">
        <f>IFERROR(__xludf.DUMMYFUNCTION("""COMPUTED_VALUE"""),"SUSTENTO")</f>
        <v>SUSTENTO</v>
      </c>
      <c r="W2044" s="213"/>
      <c r="X2044" s="213" t="str">
        <f>IFERROR(__xludf.DUMMYFUNCTION("""COMPUTED_VALUE"""),"Klein Tools")</f>
        <v>Klein Tools</v>
      </c>
      <c r="Y2044" s="213" t="str">
        <f>IFERROR(__xludf.DUMMYFUNCTION("""COMPUTED_VALUE"""),"CL120KIT")</f>
        <v>CL120KIT</v>
      </c>
      <c r="Z2044" s="215" t="str">
        <f>IFERROR(__xludf.DUMMYFUNCTION("""COMPUTED_VALUE"""),"https://www.amazon.com/Klein-Tools-CL120KIT-Electrical-Auto-Ranging/dp/B08DSX4B27")</f>
        <v>https://www.amazon.com/Klein-Tools-CL120KIT-Electrical-Auto-Ranging/dp/B08DSX4B27</v>
      </c>
      <c r="AA2044" s="213" t="str">
        <f>IFERROR(__xludf.DUMMYFUNCTION("""COMPUTED_VALUE"""),"ESP-290-A PINZA AMPERIMÉTRICA - CET.xlsx")</f>
        <v>ESP-290-A PINZA AMPERIMÉTRICA - CET.xlsx</v>
      </c>
      <c r="AB2044" s="215" t="str">
        <f>IFERROR(__xludf.DUMMYFUNCTION("""COMPUTED_VALUE"""),"https://drive.google.com/file/d/18ysGLa5KXQRVhyt5rQjRC-BCIgAkGcic/view?usp=sharing")</f>
        <v>https://drive.google.com/file/d/18ysGLa5KXQRVhyt5rQjRC-BCIgAkGcic/view?usp=sharing</v>
      </c>
      <c r="AC2044" s="213"/>
      <c r="AD2044" s="213"/>
      <c r="AE2044" s="213"/>
      <c r="AF2044" s="213"/>
      <c r="AG2044" s="213"/>
      <c r="AH2044" s="213"/>
      <c r="AI2044" s="213"/>
      <c r="AJ2044" s="213"/>
      <c r="AK2044" s="213"/>
      <c r="AL2044" s="213"/>
      <c r="AM2044" s="213"/>
      <c r="AN2044" s="213"/>
      <c r="AO2044" s="213"/>
      <c r="AP2044" s="213" t="str">
        <f>IFERROR(__xludf.DUMMYFUNCTION("""COMPUTED_VALUE"""),"JORGE")</f>
        <v>JORGE</v>
      </c>
      <c r="AQ2044" s="213"/>
      <c r="AR2044" s="213"/>
      <c r="AS2044" s="213" t="str">
        <f>IFERROR(__xludf.DUMMYFUNCTION("""COMPUTED_VALUE"""),"Pilas 3aaa ")</f>
        <v>Pilas 3aaa </v>
      </c>
      <c r="AT2044" s="213"/>
      <c r="AU2044" s="213"/>
      <c r="AV2044" s="213"/>
      <c r="AW2044" s="213"/>
      <c r="AX2044" s="213"/>
      <c r="AY2044" s="213"/>
      <c r="AZ2044" s="213"/>
      <c r="BA2044" s="213"/>
      <c r="BB2044" s="213"/>
      <c r="BC2044" s="213"/>
      <c r="BD2044" s="213"/>
    </row>
    <row r="2045">
      <c r="A2045" s="213">
        <f>IFERROR(__xludf.DUMMYFUNCTION("""COMPUTED_VALUE"""),884.0)</f>
        <v>884</v>
      </c>
      <c r="B2045" s="213" t="str">
        <f>IFERROR(__xludf.DUMMYFUNCTION("""COMPUTED_VALUE"""),"6049 RICARDO PALMA")</f>
        <v>6049 RICARDO PALMA</v>
      </c>
      <c r="C2045" s="213" t="str">
        <f>IFERROR(__xludf.DUMMYFUNCTION("""COMPUTED_VALUE"""),"TALLER SFT DE ELECTRICIDAD")</f>
        <v>TALLER SFT DE ELECTRICIDAD</v>
      </c>
      <c r="D2045" s="213" t="str">
        <f>IFERROR(__xludf.DUMMYFUNCTION("""COMPUTED_VALUE"""),"EQUIPOS")</f>
        <v>EQUIPOS</v>
      </c>
      <c r="E2045" s="213" t="str">
        <f>IFERROR(__xludf.DUMMYFUNCTION("""COMPUTED_VALUE"""),"ESP-290")</f>
        <v>ESP-290</v>
      </c>
      <c r="F2045" s="213" t="str">
        <f>IFERROR(__xludf.DUMMYFUNCTION("""COMPUTED_VALUE"""),"ESP-290-X")</f>
        <v>ESP-290-X</v>
      </c>
      <c r="G2045" s="213"/>
      <c r="H2045" s="213" t="str">
        <f>IFERROR(__xludf.DUMMYFUNCTION("""COMPUTED_VALUE"""),"PINZA AMPERIMÉTRICA")</f>
        <v>PINZA AMPERIMÉTRICA</v>
      </c>
      <c r="I2045" s="213" t="str">
        <f>IFERROR(__xludf.DUMMYFUNCTION("""COMPUTED_VALUE"""),"· Funciones de Medición:
- Medición de Corriente Alterna (AC) y Corriente Continua (DC)
- Con medidor de resistencia
- Con autorrango
- Con medidor de diodos y continuidad sonora.
- Con botón de DATA HOLD
- Con pantalla LCD iluminada
· Datos Técnicos de m"&amp;"edición:
1. Medición de AC corriente: 400 A max.
2. Medición de DC corriente: 400 A max.
3. Medición de DC Voltaje: 500 V max.
4. Medición de resistencia hasta 20M ohm
· Características de Seguridad:
1. Con estuche de protección anti golpes y antideslizan"&amp;"te: Estuche de goma.
2. Con soporte para posicionarlo en forma inclinada.
3. Aislamiento seguro de su estructura y sus terminales.
· Accesorios:
1. Con maletín de transporte.
2. Con pilas o baterías.
3. Con manual de instrucciones.")</f>
        <v>· Funciones de Medición:
- Medición de Corriente Alterna (AC) y Corriente Continua (DC)
- Con medidor de resistencia
- Con autorrango
- Con medidor de diodos y continuidad sonora.
- Con botón de DATA HOLD
- Con pantalla LCD iluminada
· Datos Técnicos de medición:
1. Medición de AC corriente: 400 A max.
2. Medición de DC corriente: 400 A max.
3. Medición de DC Voltaje: 500 V max.
4. Medición de resistencia hasta 20M ohm
· Características de Seguridad:
1. Con estuche de protección anti golpes y antideslizante: Estuche de goma.
2. Con soporte para posicionarlo en forma inclinada.
3. Aislamiento seguro de su estructura y sus terminales.
· Accesorios:
1. Con maletín de transporte.
2. Con pilas o baterías.
3. Con manual de instrucciones.</v>
      </c>
      <c r="J2045" s="213">
        <f>IFERROR(__xludf.DUMMYFUNCTION("""COMPUTED_VALUE"""),3.0)</f>
        <v>3</v>
      </c>
      <c r="K2045" s="213" t="str">
        <f>IFERROR(__xludf.DUMMYFUNCTION("""COMPUTED_VALUE"""),"170 DÍAS CALENDARIO")</f>
        <v>170 DÍAS CALENDARIO</v>
      </c>
      <c r="L2045" s="213" t="str">
        <f>IFERROR(__xludf.DUMMYFUNCTION("""COMPUTED_VALUE"""),"")</f>
        <v/>
      </c>
      <c r="M2045" s="213">
        <f>IFERROR(__xludf.DUMMYFUNCTION("""COMPUTED_VALUE"""),1.0)</f>
        <v>1</v>
      </c>
      <c r="N2045" s="213">
        <f>IFERROR(__xludf.DUMMYFUNCTION("""COMPUTED_VALUE"""),4.0)</f>
        <v>4</v>
      </c>
      <c r="O2045" s="213">
        <f>IFERROR(__xludf.DUMMYFUNCTION("""COMPUTED_VALUE"""),4.0)</f>
        <v>4</v>
      </c>
      <c r="P2045" s="213"/>
      <c r="Q2045" s="213"/>
      <c r="R2045" s="213"/>
      <c r="S2045" s="213" t="str">
        <f>IFERROR(__xludf.DUMMYFUNCTION("""COMPUTED_VALUE"""),"SI")</f>
        <v>SI</v>
      </c>
      <c r="T2045" s="213" t="str">
        <f>IFERROR(__xludf.DUMMYFUNCTION("""COMPUTED_VALUE"""),"SI")</f>
        <v>SI</v>
      </c>
      <c r="U2045" s="213" t="str">
        <f>IFERROR(__xludf.DUMMYFUNCTION("""COMPUTED_VALUE"""),"NO")</f>
        <v>NO</v>
      </c>
      <c r="V2045" s="213" t="str">
        <f>IFERROR(__xludf.DUMMYFUNCTION("""COMPUTED_VALUE"""),"SUSTENTO")</f>
        <v>SUSTENTO</v>
      </c>
      <c r="W2045" s="213"/>
      <c r="X2045" s="213" t="str">
        <f>IFERROR(__xludf.DUMMYFUNCTION("""COMPUTED_VALUE"""),"Klein Tools")</f>
        <v>Klein Tools</v>
      </c>
      <c r="Y2045" s="213" t="str">
        <f>IFERROR(__xludf.DUMMYFUNCTION("""COMPUTED_VALUE"""),"CL120KIT")</f>
        <v>CL120KIT</v>
      </c>
      <c r="Z2045" s="215" t="str">
        <f>IFERROR(__xludf.DUMMYFUNCTION("""COMPUTED_VALUE"""),"https://www.amazon.com/Klein-Tools-CL120KIT-Electrical-Auto-Ranging/dp/B08DSX4B27")</f>
        <v>https://www.amazon.com/Klein-Tools-CL120KIT-Electrical-Auto-Ranging/dp/B08DSX4B27</v>
      </c>
      <c r="AA2045" s="213" t="str">
        <f>IFERROR(__xludf.DUMMYFUNCTION("""COMPUTED_VALUE"""),"ESP-290-A PINZA AMPERIMÉTRICA - CET.xlsx")</f>
        <v>ESP-290-A PINZA AMPERIMÉTRICA - CET.xlsx</v>
      </c>
      <c r="AB2045" s="215" t="str">
        <f>IFERROR(__xludf.DUMMYFUNCTION("""COMPUTED_VALUE"""),"https://drive.google.com/file/d/18ysGLa5KXQRVhyt5rQjRC-BCIgAkGcic/view?usp=sharing")</f>
        <v>https://drive.google.com/file/d/18ysGLa5KXQRVhyt5rQjRC-BCIgAkGcic/view?usp=sharing</v>
      </c>
      <c r="AC2045" s="213"/>
      <c r="AD2045" s="213"/>
      <c r="AE2045" s="213"/>
      <c r="AF2045" s="213"/>
      <c r="AG2045" s="213"/>
      <c r="AH2045" s="213"/>
      <c r="AI2045" s="213"/>
      <c r="AJ2045" s="213"/>
      <c r="AK2045" s="213"/>
      <c r="AL2045" s="213"/>
      <c r="AM2045" s="213"/>
      <c r="AN2045" s="213"/>
      <c r="AO2045" s="213"/>
      <c r="AP2045" s="213" t="str">
        <f>IFERROR(__xludf.DUMMYFUNCTION("""COMPUTED_VALUE"""),"JORGE")</f>
        <v>JORGE</v>
      </c>
      <c r="AQ2045" s="213"/>
      <c r="AR2045" s="213"/>
      <c r="AS2045" s="213"/>
      <c r="AT2045" s="213"/>
      <c r="AU2045" s="213"/>
      <c r="AV2045" s="213"/>
      <c r="AW2045" s="213"/>
      <c r="AX2045" s="213"/>
      <c r="AY2045" s="213"/>
      <c r="AZ2045" s="213"/>
      <c r="BA2045" s="213"/>
      <c r="BB2045" s="213"/>
      <c r="BC2045" s="213"/>
      <c r="BD2045" s="213"/>
    </row>
    <row r="2046">
      <c r="A2046" s="213">
        <f>IFERROR(__xludf.DUMMYFUNCTION("""COMPUTED_VALUE"""),1040.0)</f>
        <v>1040</v>
      </c>
      <c r="B2046" s="213" t="str">
        <f>IFERROR(__xludf.DUMMYFUNCTION("""COMPUTED_VALUE"""),"FRANCISCO IRAZOLA")</f>
        <v>FRANCISCO IRAZOLA</v>
      </c>
      <c r="C2046" s="213" t="str">
        <f>IFERROR(__xludf.DUMMYFUNCTION("""COMPUTED_VALUE"""),"TALLER SFT DE MECÁNICA AUTOMOTRIZ")</f>
        <v>TALLER SFT DE MECÁNICA AUTOMOTRIZ</v>
      </c>
      <c r="D2046" s="213" t="str">
        <f>IFERROR(__xludf.DUMMYFUNCTION("""COMPUTED_VALUE"""),"EQUIPOS")</f>
        <v>EQUIPOS</v>
      </c>
      <c r="E2046" s="213" t="str">
        <f>IFERROR(__xludf.DUMMYFUNCTION("""COMPUTED_VALUE"""),"ESP-290")</f>
        <v>ESP-290</v>
      </c>
      <c r="F2046" s="213" t="str">
        <f>IFERROR(__xludf.DUMMYFUNCTION("""COMPUTED_VALUE"""),"ESP-290-Y")</f>
        <v>ESP-290-Y</v>
      </c>
      <c r="G2046" s="213"/>
      <c r="H2046" s="213" t="str">
        <f>IFERROR(__xludf.DUMMYFUNCTION("""COMPUTED_VALUE"""),"PINZA AMPERIMÉTRICA")</f>
        <v>PINZA AMPERIMÉTRICA</v>
      </c>
      <c r="I2046" s="213" t="str">
        <f>IFERROR(__xludf.DUMMYFUNCTION("""COMPUTED_VALUE"""),"Pinza amperimétrica digital para mediciones de corriente en AC y DC.
Adicionalmente posee funciones de: medición de tensión en AC y DC, resistencia, capacidad, frecuencia, continuidad.
Medición de corriente AC, hasta: 1000 A. Medición de corriente DC, has"&amp;"ta: 1000 A. Medición de voltaje AC: 750 V.
Medición de voltaje DC: 1000 V. Medición de resistencia, hasta: 40 MΩ. Incluye cables para pruebas.")</f>
        <v>Pinza amperimétrica digital para mediciones de corriente en AC y DC.
Adicionalmente posee funciones de: medición de tensión en AC y DC, resistencia, capacidad, frecuencia, continuidad.
Medición de corriente AC, hasta: 1000 A. Medición de corriente DC, hasta: 1000 A. Medición de voltaje AC: 750 V.
Medición de voltaje DC: 1000 V. Medición de resistencia, hasta: 40 MΩ. Incluye cables para pruebas.</v>
      </c>
      <c r="J2046" s="213">
        <f>IFERROR(__xludf.DUMMYFUNCTION("""COMPUTED_VALUE"""),3.0)</f>
        <v>3</v>
      </c>
      <c r="K2046" s="213" t="str">
        <f>IFERROR(__xludf.DUMMYFUNCTION("""COMPUTED_VALUE"""),"170 DÍAS CALENDARIO")</f>
        <v>170 DÍAS CALENDARIO</v>
      </c>
      <c r="L2046" s="213" t="str">
        <f>IFERROR(__xludf.DUMMYFUNCTION("""COMPUTED_VALUE"""),"")</f>
        <v/>
      </c>
      <c r="M2046" s="213">
        <f>IFERROR(__xludf.DUMMYFUNCTION("""COMPUTED_VALUE"""),1.0)</f>
        <v>1</v>
      </c>
      <c r="N2046" s="213">
        <f>IFERROR(__xludf.DUMMYFUNCTION("""COMPUTED_VALUE"""),2.0)</f>
        <v>2</v>
      </c>
      <c r="O2046" s="213">
        <f>IFERROR(__xludf.DUMMYFUNCTION("""COMPUTED_VALUE"""),2.0)</f>
        <v>2</v>
      </c>
      <c r="P2046" s="213"/>
      <c r="Q2046" s="213"/>
      <c r="R2046" s="213"/>
      <c r="S2046" s="213" t="str">
        <f>IFERROR(__xludf.DUMMYFUNCTION("""COMPUTED_VALUE"""),"SI")</f>
        <v>SI</v>
      </c>
      <c r="T2046" s="213" t="str">
        <f>IFERROR(__xludf.DUMMYFUNCTION("""COMPUTED_VALUE"""),"SI")</f>
        <v>SI</v>
      </c>
      <c r="U2046" s="213" t="str">
        <f>IFERROR(__xludf.DUMMYFUNCTION("""COMPUTED_VALUE"""),"SI")</f>
        <v>SI</v>
      </c>
      <c r="V2046" s="213" t="str">
        <f>IFERROR(__xludf.DUMMYFUNCTION("""COMPUTED_VALUE"""),"-")</f>
        <v>-</v>
      </c>
      <c r="W2046" s="213" t="str">
        <f>IFERROR(__xludf.DUMMYFUNCTION("""COMPUTED_VALUE"""),"-")</f>
        <v>-</v>
      </c>
      <c r="X2046" s="213" t="str">
        <f>IFERROR(__xludf.DUMMYFUNCTION("""COMPUTED_VALUE"""),"HABOTEST")</f>
        <v>HABOTEST</v>
      </c>
      <c r="Y2046" s="213" t="str">
        <f>IFERROR(__xludf.DUMMYFUNCTION("""COMPUTED_VALUE"""),"HT208D")</f>
        <v>HT208D</v>
      </c>
      <c r="Z2046" s="215" t="str">
        <f>IFERROR(__xludf.DUMMYFUNCTION("""COMPUTED_VALUE"""),"https://www.kusitest.pe/pinza-amperimetrica-true-rms-1000a-acdc-ncv-auto-rango-habotest-ht208d")</f>
        <v>https://www.kusitest.pe/pinza-amperimetrica-true-rms-1000a-acdc-ncv-auto-rango-habotest-ht208d</v>
      </c>
      <c r="AA2046" s="213" t="str">
        <f>IFERROR(__xludf.DUMMYFUNCTION("""COMPUTED_VALUE"""),"ESP-290-B PINZA AMPERIMÉTRICA - CET")</f>
        <v>ESP-290-B PINZA AMPERIMÉTRICA - CET</v>
      </c>
      <c r="AB2046" s="215" t="str">
        <f>IFERROR(__xludf.DUMMYFUNCTION("""COMPUTED_VALUE"""),"https://drive.google.com/file/d/1oTMG0ly8lx48iyVd3lbXBKitpRDWAtI1/view")</f>
        <v>https://drive.google.com/file/d/1oTMG0ly8lx48iyVd3lbXBKitpRDWAtI1/view</v>
      </c>
      <c r="AC2046" s="213"/>
      <c r="AD2046" s="213"/>
      <c r="AE2046" s="213"/>
      <c r="AF2046" s="213"/>
      <c r="AG2046" s="213"/>
      <c r="AH2046" s="213" t="str">
        <f>IFERROR(__xludf.DUMMYFUNCTION("""COMPUTED_VALUE"""),"IMPORTADO")</f>
        <v>IMPORTADO</v>
      </c>
      <c r="AI2046" s="213"/>
      <c r="AJ2046" s="213"/>
      <c r="AK2046" s="213"/>
      <c r="AL2046" s="213"/>
      <c r="AM2046" s="213"/>
      <c r="AN2046" s="213"/>
      <c r="AO2046" s="213"/>
      <c r="AP2046" s="213" t="str">
        <f>IFERROR(__xludf.DUMMYFUNCTION("""COMPUTED_VALUE"""),"NALDI")</f>
        <v>NALDI</v>
      </c>
      <c r="AQ2046" s="213"/>
      <c r="AR2046" s="213"/>
      <c r="AS2046" s="213"/>
      <c r="AT2046" s="213"/>
      <c r="AU2046" s="213"/>
      <c r="AV2046" s="213"/>
      <c r="AW2046" s="213"/>
      <c r="AX2046" s="213"/>
      <c r="AY2046" s="213"/>
      <c r="AZ2046" s="213"/>
      <c r="BA2046" s="213"/>
      <c r="BB2046" s="213"/>
      <c r="BC2046" s="213"/>
      <c r="BD2046" s="213"/>
    </row>
    <row r="2047">
      <c r="A2047" s="213">
        <f>IFERROR(__xludf.DUMMYFUNCTION("""COMPUTED_VALUE"""),1306.0)</f>
        <v>1306</v>
      </c>
      <c r="B2047" s="213" t="str">
        <f>IFERROR(__xludf.DUMMYFUNCTION("""COMPUTED_VALUE"""),"GUILLERMO E. BILLINGHURST ")</f>
        <v>GUILLERMO E. BILLINGHURST </v>
      </c>
      <c r="C2047" s="213" t="str">
        <f>IFERROR(__xludf.DUMMYFUNCTION("""COMPUTED_VALUE"""),"TALLER SFT DE ELECTRICIDAD")</f>
        <v>TALLER SFT DE ELECTRICIDAD</v>
      </c>
      <c r="D2047" s="213" t="str">
        <f>IFERROR(__xludf.DUMMYFUNCTION("""COMPUTED_VALUE"""),"EQUIPOS")</f>
        <v>EQUIPOS</v>
      </c>
      <c r="E2047" s="213" t="str">
        <f>IFERROR(__xludf.DUMMYFUNCTION("""COMPUTED_VALUE"""),"ESP-290")</f>
        <v>ESP-290</v>
      </c>
      <c r="F2047" s="213" t="str">
        <f>IFERROR(__xludf.DUMMYFUNCTION("""COMPUTED_VALUE"""),"ESP-290-X")</f>
        <v>ESP-290-X</v>
      </c>
      <c r="G2047" s="213"/>
      <c r="H2047" s="213" t="str">
        <f>IFERROR(__xludf.DUMMYFUNCTION("""COMPUTED_VALUE"""),"PINZA AMPERIMÉTRICA")</f>
        <v>PINZA AMPERIMÉTRICA</v>
      </c>
      <c r="I2047" s="213" t="str">
        <f>IFERROR(__xludf.DUMMYFUNCTION("""COMPUTED_VALUE"""),"· Funciones de Medición:
- Medición de Corriente Alterna (AC) y Corriente Continua (DC)
- Con medidor de resistencia
- Con autorrango
- Con medidor de diodos y continuidad sonora.
- Con botón de DATA HOLD
- Con pantalla LCD iluminada
· Datos Técnicos de m"&amp;"edición:
1. Medición de AC corriente: 400 A max.
2. Medición de DC corriente: 400 A max.
3. Medición de DC Voltaje: 500 V max.
4. Medición de resistencia hasta 20M ohm
· Características de Seguridad:
1. Con estuche de protección anti golpes y antideslizan"&amp;"te: Estuche de goma.
2. Con soporte para posicionarlo en forma inclinada.
3. Aislamiento seguro de su estructura y sus terminales.
· Accesorios:
1. Con maletín de transporte.
2. Con pilas o baterías.
3. Con manual de instrucciones.")</f>
        <v>· Funciones de Medición:
- Medición de Corriente Alterna (AC) y Corriente Continua (DC)
- Con medidor de resistencia
- Con autorrango
- Con medidor de diodos y continuidad sonora.
- Con botón de DATA HOLD
- Con pantalla LCD iluminada
· Datos Técnicos de medición:
1. Medición de AC corriente: 400 A max.
2. Medición de DC corriente: 400 A max.
3. Medición de DC Voltaje: 500 V max.
4. Medición de resistencia hasta 20M ohm
· Características de Seguridad:
1. Con estuche de protección anti golpes y antideslizante: Estuche de goma.
2. Con soporte para posicionarlo en forma inclinada.
3. Aislamiento seguro de su estructura y sus terminales.
· Accesorios:
1. Con maletín de transporte.
2. Con pilas o baterías.
3. Con manual de instrucciones.</v>
      </c>
      <c r="J2047" s="213">
        <f>IFERROR(__xludf.DUMMYFUNCTION("""COMPUTED_VALUE"""),3.0)</f>
        <v>3</v>
      </c>
      <c r="K2047" s="213" t="str">
        <f>IFERROR(__xludf.DUMMYFUNCTION("""COMPUTED_VALUE"""),"170 DÍAS CALENDARIO")</f>
        <v>170 DÍAS CALENDARIO</v>
      </c>
      <c r="L2047" s="213" t="str">
        <f>IFERROR(__xludf.DUMMYFUNCTION("""COMPUTED_VALUE"""),"")</f>
        <v/>
      </c>
      <c r="M2047" s="213">
        <f>IFERROR(__xludf.DUMMYFUNCTION("""COMPUTED_VALUE"""),1.0)</f>
        <v>1</v>
      </c>
      <c r="N2047" s="213">
        <f>IFERROR(__xludf.DUMMYFUNCTION("""COMPUTED_VALUE"""),4.0)</f>
        <v>4</v>
      </c>
      <c r="O2047" s="213">
        <f>IFERROR(__xludf.DUMMYFUNCTION("""COMPUTED_VALUE"""),4.0)</f>
        <v>4</v>
      </c>
      <c r="P2047" s="213"/>
      <c r="Q2047" s="213"/>
      <c r="R2047" s="213"/>
      <c r="S2047" s="213" t="str">
        <f>IFERROR(__xludf.DUMMYFUNCTION("""COMPUTED_VALUE"""),"SI")</f>
        <v>SI</v>
      </c>
      <c r="T2047" s="213" t="str">
        <f>IFERROR(__xludf.DUMMYFUNCTION("""COMPUTED_VALUE"""),"SI")</f>
        <v>SI</v>
      </c>
      <c r="U2047" s="213" t="str">
        <f>IFERROR(__xludf.DUMMYFUNCTION("""COMPUTED_VALUE"""),"NO")</f>
        <v>NO</v>
      </c>
      <c r="V2047" s="213" t="str">
        <f>IFERROR(__xludf.DUMMYFUNCTION("""COMPUTED_VALUE"""),"SUSTENTO")</f>
        <v>SUSTENTO</v>
      </c>
      <c r="W2047" s="213"/>
      <c r="X2047" s="213" t="str">
        <f>IFERROR(__xludf.DUMMYFUNCTION("""COMPUTED_VALUE"""),"Klein Tools")</f>
        <v>Klein Tools</v>
      </c>
      <c r="Y2047" s="213" t="str">
        <f>IFERROR(__xludf.DUMMYFUNCTION("""COMPUTED_VALUE"""),"CL120KIT")</f>
        <v>CL120KIT</v>
      </c>
      <c r="Z2047" s="215" t="str">
        <f>IFERROR(__xludf.DUMMYFUNCTION("""COMPUTED_VALUE"""),"https://www.amazon.com/Klein-Tools-CL120KIT-Electrical-Auto-Ranging/dp/B08DSX4B27")</f>
        <v>https://www.amazon.com/Klein-Tools-CL120KIT-Electrical-Auto-Ranging/dp/B08DSX4B27</v>
      </c>
      <c r="AA2047" s="213" t="str">
        <f>IFERROR(__xludf.DUMMYFUNCTION("""COMPUTED_VALUE"""),"ESP-290-A PINZA AMPERIMÉTRICA - CET.xlsx")</f>
        <v>ESP-290-A PINZA AMPERIMÉTRICA - CET.xlsx</v>
      </c>
      <c r="AB2047" s="215" t="str">
        <f>IFERROR(__xludf.DUMMYFUNCTION("""COMPUTED_VALUE"""),"https://drive.google.com/file/d/18ysGLa5KXQRVhyt5rQjRC-BCIgAkGcic/view?usp=sharing")</f>
        <v>https://drive.google.com/file/d/18ysGLa5KXQRVhyt5rQjRC-BCIgAkGcic/view?usp=sharing</v>
      </c>
      <c r="AC2047" s="213"/>
      <c r="AD2047" s="213"/>
      <c r="AE2047" s="213"/>
      <c r="AF2047" s="213"/>
      <c r="AG2047" s="213"/>
      <c r="AH2047" s="213"/>
      <c r="AI2047" s="213"/>
      <c r="AJ2047" s="213"/>
      <c r="AK2047" s="213"/>
      <c r="AL2047" s="213"/>
      <c r="AM2047" s="213"/>
      <c r="AN2047" s="213"/>
      <c r="AO2047" s="213"/>
      <c r="AP2047" s="213" t="str">
        <f>IFERROR(__xludf.DUMMYFUNCTION("""COMPUTED_VALUE"""),"JORGE")</f>
        <v>JORGE</v>
      </c>
      <c r="AQ2047" s="213"/>
      <c r="AR2047" s="213"/>
      <c r="AS2047" s="213"/>
      <c r="AT2047" s="213"/>
      <c r="AU2047" s="213"/>
      <c r="AV2047" s="213"/>
      <c r="AW2047" s="213"/>
      <c r="AX2047" s="213"/>
      <c r="AY2047" s="213"/>
      <c r="AZ2047" s="213"/>
      <c r="BA2047" s="213"/>
      <c r="BB2047" s="213"/>
      <c r="BC2047" s="213"/>
      <c r="BD2047" s="213"/>
    </row>
    <row r="2048">
      <c r="A2048" s="213">
        <f>IFERROR(__xludf.DUMMYFUNCTION("""COMPUTED_VALUE"""),1645.0)</f>
        <v>1645</v>
      </c>
      <c r="B2048" s="213" t="str">
        <f>IFERROR(__xludf.DUMMYFUNCTION("""COMPUTED_VALUE"""),"GUILLERMO E. BILLINGHURST ")</f>
        <v>GUILLERMO E. BILLINGHURST </v>
      </c>
      <c r="C2048" s="213" t="str">
        <f>IFERROR(__xludf.DUMMYFUNCTION("""COMPUTED_VALUE"""),"TALLER SFT DE MECÁNICA AUTOMOTRIZ")</f>
        <v>TALLER SFT DE MECÁNICA AUTOMOTRIZ</v>
      </c>
      <c r="D2048" s="213" t="str">
        <f>IFERROR(__xludf.DUMMYFUNCTION("""COMPUTED_VALUE"""),"EQUIPOS")</f>
        <v>EQUIPOS</v>
      </c>
      <c r="E2048" s="213" t="str">
        <f>IFERROR(__xludf.DUMMYFUNCTION("""COMPUTED_VALUE"""),"ESP-290")</f>
        <v>ESP-290</v>
      </c>
      <c r="F2048" s="213" t="str">
        <f>IFERROR(__xludf.DUMMYFUNCTION("""COMPUTED_VALUE"""),"ESP-290-Y")</f>
        <v>ESP-290-Y</v>
      </c>
      <c r="G2048" s="213"/>
      <c r="H2048" s="213" t="str">
        <f>IFERROR(__xludf.DUMMYFUNCTION("""COMPUTED_VALUE"""),"PINZA AMPERIMÉTRICA")</f>
        <v>PINZA AMPERIMÉTRICA</v>
      </c>
      <c r="I2048" s="213" t="str">
        <f>IFERROR(__xludf.DUMMYFUNCTION("""COMPUTED_VALUE"""),"Pinza amperimétrica digital para mediciones de corriente en AC y DC.
Adicionalmente posee funciones de: medición de tensión en AC y DC, resistencia, capacidad, frecuencia, continuidad.
Medición de corriente AC, hasta: 1000 A. Medición de corriente DC, has"&amp;"ta: 1000 A. Medición de voltaje AC: 750 V.
Medición de voltaje DC: 1000 V. Medición de resistencia, hasta: 40 MΩ. Incluye cables para pruebas.")</f>
        <v>Pinza amperimétrica digital para mediciones de corriente en AC y DC.
Adicionalmente posee funciones de: medición de tensión en AC y DC, resistencia, capacidad, frecuencia, continuidad.
Medición de corriente AC, hasta: 1000 A. Medición de corriente DC, hasta: 1000 A. Medición de voltaje AC: 750 V.
Medición de voltaje DC: 1000 V. Medición de resistencia, hasta: 40 MΩ. Incluye cables para pruebas.</v>
      </c>
      <c r="J2048" s="213">
        <f>IFERROR(__xludf.DUMMYFUNCTION("""COMPUTED_VALUE"""),3.0)</f>
        <v>3</v>
      </c>
      <c r="K2048" s="213" t="str">
        <f>IFERROR(__xludf.DUMMYFUNCTION("""COMPUTED_VALUE"""),"170 DÍAS CALENDARIO")</f>
        <v>170 DÍAS CALENDARIO</v>
      </c>
      <c r="L2048" s="213" t="str">
        <f>IFERROR(__xludf.DUMMYFUNCTION("""COMPUTED_VALUE"""),"")</f>
        <v/>
      </c>
      <c r="M2048" s="213">
        <f>IFERROR(__xludf.DUMMYFUNCTION("""COMPUTED_VALUE"""),1.0)</f>
        <v>1</v>
      </c>
      <c r="N2048" s="213">
        <f>IFERROR(__xludf.DUMMYFUNCTION("""COMPUTED_VALUE"""),2.0)</f>
        <v>2</v>
      </c>
      <c r="O2048" s="213">
        <f>IFERROR(__xludf.DUMMYFUNCTION("""COMPUTED_VALUE"""),2.0)</f>
        <v>2</v>
      </c>
      <c r="P2048" s="213"/>
      <c r="Q2048" s="213"/>
      <c r="R2048" s="213"/>
      <c r="S2048" s="213" t="str">
        <f>IFERROR(__xludf.DUMMYFUNCTION("""COMPUTED_VALUE"""),"SI")</f>
        <v>SI</v>
      </c>
      <c r="T2048" s="213" t="str">
        <f>IFERROR(__xludf.DUMMYFUNCTION("""COMPUTED_VALUE"""),"SI")</f>
        <v>SI</v>
      </c>
      <c r="U2048" s="213" t="str">
        <f>IFERROR(__xludf.DUMMYFUNCTION("""COMPUTED_VALUE"""),"SI")</f>
        <v>SI</v>
      </c>
      <c r="V2048" s="213" t="str">
        <f>IFERROR(__xludf.DUMMYFUNCTION("""COMPUTED_VALUE"""),"-")</f>
        <v>-</v>
      </c>
      <c r="W2048" s="213" t="str">
        <f>IFERROR(__xludf.DUMMYFUNCTION("""COMPUTED_VALUE"""),"-")</f>
        <v>-</v>
      </c>
      <c r="X2048" s="213" t="str">
        <f>IFERROR(__xludf.DUMMYFUNCTION("""COMPUTED_VALUE"""),"HABOTEST")</f>
        <v>HABOTEST</v>
      </c>
      <c r="Y2048" s="213" t="str">
        <f>IFERROR(__xludf.DUMMYFUNCTION("""COMPUTED_VALUE"""),"HT208D")</f>
        <v>HT208D</v>
      </c>
      <c r="Z2048" s="215" t="str">
        <f>IFERROR(__xludf.DUMMYFUNCTION("""COMPUTED_VALUE"""),"https://www.kusitest.pe/pinza-amperimetrica-true-rms-1000a-acdc-ncv-auto-rango-habotest-ht208d")</f>
        <v>https://www.kusitest.pe/pinza-amperimetrica-true-rms-1000a-acdc-ncv-auto-rango-habotest-ht208d</v>
      </c>
      <c r="AA2048" s="213" t="str">
        <f>IFERROR(__xludf.DUMMYFUNCTION("""COMPUTED_VALUE"""),"ESP-290-B PINZA AMPERIMÉTRICA - CET")</f>
        <v>ESP-290-B PINZA AMPERIMÉTRICA - CET</v>
      </c>
      <c r="AB2048" s="215" t="str">
        <f>IFERROR(__xludf.DUMMYFUNCTION("""COMPUTED_VALUE"""),"https://drive.google.com/file/d/1oTMG0ly8lx48iyVd3lbXBKitpRDWAtI1/view")</f>
        <v>https://drive.google.com/file/d/1oTMG0ly8lx48iyVd3lbXBKitpRDWAtI1/view</v>
      </c>
      <c r="AC2048" s="213"/>
      <c r="AD2048" s="213"/>
      <c r="AE2048" s="213"/>
      <c r="AF2048" s="213"/>
      <c r="AG2048" s="213"/>
      <c r="AH2048" s="213" t="str">
        <f>IFERROR(__xludf.DUMMYFUNCTION("""COMPUTED_VALUE"""),"IMPORTADO")</f>
        <v>IMPORTADO</v>
      </c>
      <c r="AI2048" s="213"/>
      <c r="AJ2048" s="213"/>
      <c r="AK2048" s="213"/>
      <c r="AL2048" s="213"/>
      <c r="AM2048" s="213"/>
      <c r="AN2048" s="213"/>
      <c r="AO2048" s="213"/>
      <c r="AP2048" s="213" t="str">
        <f>IFERROR(__xludf.DUMMYFUNCTION("""COMPUTED_VALUE"""),"NALDI")</f>
        <v>NALDI</v>
      </c>
      <c r="AQ2048" s="213"/>
      <c r="AR2048" s="213"/>
      <c r="AS2048" s="213"/>
      <c r="AT2048" s="213"/>
      <c r="AU2048" s="213"/>
      <c r="AV2048" s="213"/>
      <c r="AW2048" s="213"/>
      <c r="AX2048" s="213"/>
      <c r="AY2048" s="213"/>
      <c r="AZ2048" s="213"/>
      <c r="BA2048" s="213"/>
      <c r="BB2048" s="213"/>
      <c r="BC2048" s="213"/>
      <c r="BD2048" s="213"/>
    </row>
    <row r="2049">
      <c r="A2049" s="213">
        <f>IFERROR(__xludf.DUMMYFUNCTION("""COMPUTED_VALUE"""),2336.0)</f>
        <v>2336</v>
      </c>
      <c r="B2049" s="213" t="str">
        <f>IFERROR(__xludf.DUMMYFUNCTION("""COMPUTED_VALUE"""),"JOSE GRANDA")</f>
        <v>JOSE GRANDA</v>
      </c>
      <c r="C2049" s="213" t="str">
        <f>IFERROR(__xludf.DUMMYFUNCTION("""COMPUTED_VALUE"""),"TALLER SFT DE MECÁNICA AUTOMOTRIZ")</f>
        <v>TALLER SFT DE MECÁNICA AUTOMOTRIZ</v>
      </c>
      <c r="D2049" s="213" t="str">
        <f>IFERROR(__xludf.DUMMYFUNCTION("""COMPUTED_VALUE"""),"EQUIPOS")</f>
        <v>EQUIPOS</v>
      </c>
      <c r="E2049" s="213" t="str">
        <f>IFERROR(__xludf.DUMMYFUNCTION("""COMPUTED_VALUE"""),"ESP-290")</f>
        <v>ESP-290</v>
      </c>
      <c r="F2049" s="213" t="str">
        <f>IFERROR(__xludf.DUMMYFUNCTION("""COMPUTED_VALUE"""),"ESP-290-Y")</f>
        <v>ESP-290-Y</v>
      </c>
      <c r="G2049" s="213"/>
      <c r="H2049" s="213" t="str">
        <f>IFERROR(__xludf.DUMMYFUNCTION("""COMPUTED_VALUE"""),"PINZA AMPERIMÉTRICA")</f>
        <v>PINZA AMPERIMÉTRICA</v>
      </c>
      <c r="I2049" s="213" t="str">
        <f>IFERROR(__xludf.DUMMYFUNCTION("""COMPUTED_VALUE"""),"Pinza amperimétrica digital para mediciones de corriente en AC y DC.
Adicionalmente posee funciones de: medición de tensión en AC y DC, resistencia, capacidad, frecuencia, continuidad.
Medición de corriente AC, hasta: 1000 A. Medición de corriente DC, has"&amp;"ta: 1000 A. Medición de voltaje AC: 750 V.
Medición de voltaje DC: 1000 V. Medición de resistencia, hasta: 40 MΩ. Incluye cables para pruebas.")</f>
        <v>Pinza amperimétrica digital para mediciones de corriente en AC y DC.
Adicionalmente posee funciones de: medición de tensión en AC y DC, resistencia, capacidad, frecuencia, continuidad.
Medición de corriente AC, hasta: 1000 A. Medición de corriente DC, hasta: 1000 A. Medición de voltaje AC: 750 V.
Medición de voltaje DC: 1000 V. Medición de resistencia, hasta: 40 MΩ. Incluye cables para pruebas.</v>
      </c>
      <c r="J2049" s="213">
        <f>IFERROR(__xludf.DUMMYFUNCTION("""COMPUTED_VALUE"""),3.0)</f>
        <v>3</v>
      </c>
      <c r="K2049" s="213" t="str">
        <f>IFERROR(__xludf.DUMMYFUNCTION("""COMPUTED_VALUE"""),"170 DÍAS CALENDARIO")</f>
        <v>170 DÍAS CALENDARIO</v>
      </c>
      <c r="L2049" s="213" t="str">
        <f>IFERROR(__xludf.DUMMYFUNCTION("""COMPUTED_VALUE"""),"")</f>
        <v/>
      </c>
      <c r="M2049" s="213">
        <f>IFERROR(__xludf.DUMMYFUNCTION("""COMPUTED_VALUE"""),1.0)</f>
        <v>1</v>
      </c>
      <c r="N2049" s="213">
        <f>IFERROR(__xludf.DUMMYFUNCTION("""COMPUTED_VALUE"""),2.0)</f>
        <v>2</v>
      </c>
      <c r="O2049" s="213">
        <f>IFERROR(__xludf.DUMMYFUNCTION("""COMPUTED_VALUE"""),2.0)</f>
        <v>2</v>
      </c>
      <c r="P2049" s="213"/>
      <c r="Q2049" s="213"/>
      <c r="R2049" s="213"/>
      <c r="S2049" s="213" t="str">
        <f>IFERROR(__xludf.DUMMYFUNCTION("""COMPUTED_VALUE"""),"SI")</f>
        <v>SI</v>
      </c>
      <c r="T2049" s="213" t="str">
        <f>IFERROR(__xludf.DUMMYFUNCTION("""COMPUTED_VALUE"""),"SI")</f>
        <v>SI</v>
      </c>
      <c r="U2049" s="213" t="str">
        <f>IFERROR(__xludf.DUMMYFUNCTION("""COMPUTED_VALUE"""),"SI")</f>
        <v>SI</v>
      </c>
      <c r="V2049" s="213" t="str">
        <f>IFERROR(__xludf.DUMMYFUNCTION("""COMPUTED_VALUE"""),"-")</f>
        <v>-</v>
      </c>
      <c r="W2049" s="213" t="str">
        <f>IFERROR(__xludf.DUMMYFUNCTION("""COMPUTED_VALUE"""),"-")</f>
        <v>-</v>
      </c>
      <c r="X2049" s="213" t="str">
        <f>IFERROR(__xludf.DUMMYFUNCTION("""COMPUTED_VALUE"""),"HABOTEST")</f>
        <v>HABOTEST</v>
      </c>
      <c r="Y2049" s="213" t="str">
        <f>IFERROR(__xludf.DUMMYFUNCTION("""COMPUTED_VALUE"""),"HT208D")</f>
        <v>HT208D</v>
      </c>
      <c r="Z2049" s="215" t="str">
        <f>IFERROR(__xludf.DUMMYFUNCTION("""COMPUTED_VALUE"""),"https://www.kusitest.pe/pinza-amperimetrica-true-rms-1000a-acdc-ncv-auto-rango-habotest-ht208d")</f>
        <v>https://www.kusitest.pe/pinza-amperimetrica-true-rms-1000a-acdc-ncv-auto-rango-habotest-ht208d</v>
      </c>
      <c r="AA2049" s="213" t="str">
        <f>IFERROR(__xludf.DUMMYFUNCTION("""COMPUTED_VALUE"""),"ESP-290-B PINZA AMPERIMÉTRICA - CET")</f>
        <v>ESP-290-B PINZA AMPERIMÉTRICA - CET</v>
      </c>
      <c r="AB2049" s="215" t="str">
        <f>IFERROR(__xludf.DUMMYFUNCTION("""COMPUTED_VALUE"""),"https://drive.google.com/file/d/1oTMG0ly8lx48iyVd3lbXBKitpRDWAtI1/view")</f>
        <v>https://drive.google.com/file/d/1oTMG0ly8lx48iyVd3lbXBKitpRDWAtI1/view</v>
      </c>
      <c r="AC2049" s="213"/>
      <c r="AD2049" s="213"/>
      <c r="AE2049" s="213"/>
      <c r="AF2049" s="213"/>
      <c r="AG2049" s="213"/>
      <c r="AH2049" s="213" t="str">
        <f>IFERROR(__xludf.DUMMYFUNCTION("""COMPUTED_VALUE"""),"IMPORTADO")</f>
        <v>IMPORTADO</v>
      </c>
      <c r="AI2049" s="213"/>
      <c r="AJ2049" s="213"/>
      <c r="AK2049" s="213"/>
      <c r="AL2049" s="213"/>
      <c r="AM2049" s="213"/>
      <c r="AN2049" s="213"/>
      <c r="AO2049" s="213"/>
      <c r="AP2049" s="213" t="str">
        <f>IFERROR(__xludf.DUMMYFUNCTION("""COMPUTED_VALUE"""),"NALDI")</f>
        <v>NALDI</v>
      </c>
      <c r="AQ2049" s="213"/>
      <c r="AR2049" s="213"/>
      <c r="AS2049" s="213"/>
      <c r="AT2049" s="213"/>
      <c r="AU2049" s="213"/>
      <c r="AV2049" s="213"/>
      <c r="AW2049" s="213"/>
      <c r="AX2049" s="213"/>
      <c r="AY2049" s="213"/>
      <c r="AZ2049" s="213"/>
      <c r="BA2049" s="213"/>
      <c r="BB2049" s="213"/>
      <c r="BC2049" s="213"/>
      <c r="BD2049" s="213"/>
    </row>
    <row r="2050">
      <c r="A2050" s="213">
        <f>IFERROR(__xludf.DUMMYFUNCTION("""COMPUTED_VALUE"""),698.0)</f>
        <v>698</v>
      </c>
      <c r="B2050" s="213" t="str">
        <f>IFERROR(__xludf.DUMMYFUNCTION("""COMPUTED_VALUE"""),"6049 RICARDO PALMA")</f>
        <v>6049 RICARDO PALMA</v>
      </c>
      <c r="C2050" s="213" t="str">
        <f>IFERROR(__xludf.DUMMYFUNCTION("""COMPUTED_VALUE"""),"TALLER SFT DE ELECTRÓNICA")</f>
        <v>TALLER SFT DE ELECTRÓNICA</v>
      </c>
      <c r="D2050" s="213" t="str">
        <f>IFERROR(__xludf.DUMMYFUNCTION("""COMPUTED_VALUE"""),"EQUIPOS")</f>
        <v>EQUIPOS</v>
      </c>
      <c r="E2050" s="213" t="str">
        <f>IFERROR(__xludf.DUMMYFUNCTION("""COMPUTED_VALUE"""),"ESP-291")</f>
        <v>ESP-291</v>
      </c>
      <c r="F2050" s="213" t="str">
        <f>IFERROR(__xludf.DUMMYFUNCTION("""COMPUTED_VALUE"""),"ESP-291")</f>
        <v>ESP-291</v>
      </c>
      <c r="G2050" s="213"/>
      <c r="H2050" s="213" t="str">
        <f>IFERROR(__xludf.DUMMYFUNCTION("""COMPUTED_VALUE"""),"PINZA VOLTAMPERIMÉTRICA")</f>
        <v>PINZA VOLTAMPERIMÉTRICA</v>
      </c>
      <c r="I2050" s="213" t="str">
        <f>IFERROR(__xludf.DUMMYFUNCTION("""COMPUTED_VALUE"""),"· Medición de Corriente Alterna (AC) y Corriente Continua (DC)
· Adicionalmente posee funciones de: medición de tensión en AC y DC, resistencia, capacidad, frecuencia, continuidad.
· Medición de corriente AC, hasta: 1000 A.
· Medición de corriente DC, has"&amp;"ta: 1000 A.
· Medición de voltaje AC: 750 V.
· Medición de voltaje DC: 1000 V.
· Medición de resistencia, hasta: 40 MΩ.
· Incluye cables para pruebas.")</f>
        <v>· Medición de Corriente Alterna (AC) y Corriente Continua (DC)
· Adicionalmente posee funciones de: medición de tensión en AC y DC, resistencia, capacidad, frecuencia, continuidad.
· Medición de corriente AC, hasta: 1000 A.
· Medición de corriente DC, hasta: 1000 A.
· Medición de voltaje AC: 750 V.
· Medición de voltaje DC: 1000 V.
· Medición de resistencia, hasta: 40 MΩ.
· Incluye cables para pruebas.</v>
      </c>
      <c r="J2050" s="213">
        <f>IFERROR(__xludf.DUMMYFUNCTION("""COMPUTED_VALUE"""),3.0)</f>
        <v>3</v>
      </c>
      <c r="K2050" s="213" t="str">
        <f>IFERROR(__xludf.DUMMYFUNCTION("""COMPUTED_VALUE"""),"170 DÍAS CALENDARIO")</f>
        <v>170 DÍAS CALENDARIO</v>
      </c>
      <c r="L2050" s="213" t="str">
        <f>IFERROR(__xludf.DUMMYFUNCTION("""COMPUTED_VALUE"""),"")</f>
        <v/>
      </c>
      <c r="M2050" s="213">
        <f>IFERROR(__xludf.DUMMYFUNCTION("""COMPUTED_VALUE"""),1.0)</f>
        <v>1</v>
      </c>
      <c r="N2050" s="213">
        <f>IFERROR(__xludf.DUMMYFUNCTION("""COMPUTED_VALUE"""),4.0)</f>
        <v>4</v>
      </c>
      <c r="O2050" s="213">
        <f>IFERROR(__xludf.DUMMYFUNCTION("""COMPUTED_VALUE"""),4.0)</f>
        <v>4</v>
      </c>
      <c r="P2050" s="213"/>
      <c r="Q2050" s="213"/>
      <c r="R2050" s="213"/>
      <c r="S2050" s="213" t="str">
        <f>IFERROR(__xludf.DUMMYFUNCTION("""COMPUTED_VALUE"""),"SI")</f>
        <v>SI</v>
      </c>
      <c r="T2050" s="213" t="str">
        <f>IFERROR(__xludf.DUMMYFUNCTION("""COMPUTED_VALUE"""),"SI")</f>
        <v>SI</v>
      </c>
      <c r="U2050" s="213" t="str">
        <f>IFERROR(__xludf.DUMMYFUNCTION("""COMPUTED_VALUE"""),"SI")</f>
        <v>SI</v>
      </c>
      <c r="V2050" s="213" t="str">
        <f>IFERROR(__xludf.DUMMYFUNCTION("""COMPUTED_VALUE"""),"-")</f>
        <v>-</v>
      </c>
      <c r="W2050" s="213" t="str">
        <f>IFERROR(__xludf.DUMMYFUNCTION("""COMPUTED_VALUE"""),"-")</f>
        <v>-</v>
      </c>
      <c r="X2050" s="213" t="str">
        <f>IFERROR(__xludf.DUMMYFUNCTION("""COMPUTED_VALUE"""),"HABOTEST")</f>
        <v>HABOTEST</v>
      </c>
      <c r="Y2050" s="213" t="str">
        <f>IFERROR(__xludf.DUMMYFUNCTION("""COMPUTED_VALUE"""),"HT208D")</f>
        <v>HT208D</v>
      </c>
      <c r="Z2050" s="215" t="str">
        <f>IFERROR(__xludf.DUMMYFUNCTION("""COMPUTED_VALUE"""),"https://www.habotest.com/sale-13562580-digital-clamp-meter-ht208d-6000counts-habotest-voltage-1000v-ohm-hz-temperature-ncv-vfd-current-duty.html")</f>
        <v>https://www.habotest.com/sale-13562580-digital-clamp-meter-ht208d-6000counts-habotest-voltage-1000v-ohm-hz-temperature-ncv-vfd-current-duty.html</v>
      </c>
      <c r="AA2050" s="213" t="str">
        <f>IFERROR(__xludf.DUMMYFUNCTION("""COMPUTED_VALUE"""),"ESP-291 PINZA VOLTAMPERIMÉTRICA - CET")</f>
        <v>ESP-291 PINZA VOLTAMPERIMÉTRICA - CET</v>
      </c>
      <c r="AB2050" s="215" t="str">
        <f>IFERROR(__xludf.DUMMYFUNCTION("""COMPUTED_VALUE"""),"https://drive.google.com/file/d/1ZcIyJ307soywpRqfb3dCkef_eeqYa3Uv/view")</f>
        <v>https://drive.google.com/file/d/1ZcIyJ307soywpRqfb3dCkef_eeqYa3Uv/view</v>
      </c>
      <c r="AC2050" s="213"/>
      <c r="AD2050" s="213"/>
      <c r="AE2050" s="213"/>
      <c r="AF2050" s="213"/>
      <c r="AG2050" s="213"/>
      <c r="AH2050" s="213"/>
      <c r="AI2050" s="213"/>
      <c r="AJ2050" s="213"/>
      <c r="AK2050" s="213"/>
      <c r="AL2050" s="213"/>
      <c r="AM2050" s="213"/>
      <c r="AN2050" s="213"/>
      <c r="AO2050" s="213"/>
      <c r="AP2050" s="213" t="str">
        <f>IFERROR(__xludf.DUMMYFUNCTION("""COMPUTED_VALUE"""),"BRUNO")</f>
        <v>BRUNO</v>
      </c>
      <c r="AQ2050" s="213"/>
      <c r="AR2050" s="213"/>
      <c r="AS2050" s="213"/>
      <c r="AT2050" s="213"/>
      <c r="AU2050" s="213"/>
      <c r="AV2050" s="213"/>
      <c r="AW2050" s="213"/>
      <c r="AX2050" s="213"/>
      <c r="AY2050" s="213"/>
      <c r="AZ2050" s="213"/>
      <c r="BA2050" s="213"/>
      <c r="BB2050" s="213"/>
      <c r="BC2050" s="213"/>
      <c r="BD2050" s="213"/>
    </row>
    <row r="2051">
      <c r="A2051" s="213">
        <f>IFERROR(__xludf.DUMMYFUNCTION("""COMPUTED_VALUE"""),1113.0)</f>
        <v>1113</v>
      </c>
      <c r="B2051" s="213" t="str">
        <f>IFERROR(__xludf.DUMMYFUNCTION("""COMPUTED_VALUE"""),"FRANCISCO IRAZOLA")</f>
        <v>FRANCISCO IRAZOLA</v>
      </c>
      <c r="C2051" s="213" t="str">
        <f>IFERROR(__xludf.DUMMYFUNCTION("""COMPUTED_VALUE"""),"TALLER SFT DE INDUSTRIA ALIMENTARIA")</f>
        <v>TALLER SFT DE INDUSTRIA ALIMENTARIA</v>
      </c>
      <c r="D2051" s="213" t="str">
        <f>IFERROR(__xludf.DUMMYFUNCTION("""COMPUTED_VALUE"""),"HERRAMIENTAS")</f>
        <v>HERRAMIENTAS</v>
      </c>
      <c r="E2051" s="213" t="str">
        <f>IFERROR(__xludf.DUMMYFUNCTION("""COMPUTED_VALUE"""),"MAT-190")</f>
        <v>MAT-190</v>
      </c>
      <c r="F2051" s="213" t="str">
        <f>IFERROR(__xludf.DUMMYFUNCTION("""COMPUTED_VALUE"""),"MAT-190")</f>
        <v>MAT-190</v>
      </c>
      <c r="G2051" s="213"/>
      <c r="H2051" s="213" t="str">
        <f>IFERROR(__xludf.DUMMYFUNCTION("""COMPUTED_VALUE"""),"JARRA DE PLÁSTICO DE 2 LITROS")</f>
        <v>JARRA DE PLÁSTICO DE 2 LITROS</v>
      </c>
      <c r="I2051"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051" s="213">
        <f>IFERROR(__xludf.DUMMYFUNCTION("""COMPUTED_VALUE"""),3.0)</f>
        <v>3</v>
      </c>
      <c r="K2051" s="213" t="str">
        <f>IFERROR(__xludf.DUMMYFUNCTION("""COMPUTED_VALUE"""),"90 DÍAS CALENDARIO")</f>
        <v>90 DÍAS CALENDARIO</v>
      </c>
      <c r="L2051" s="213" t="str">
        <f>IFERROR(__xludf.DUMMYFUNCTION("""COMPUTED_VALUE"""),"")</f>
        <v/>
      </c>
      <c r="M2051" s="213">
        <f>IFERROR(__xludf.DUMMYFUNCTION("""COMPUTED_VALUE"""),1.0)</f>
        <v>1</v>
      </c>
      <c r="N2051" s="213">
        <f>IFERROR(__xludf.DUMMYFUNCTION("""COMPUTED_VALUE"""),5.0)</f>
        <v>5</v>
      </c>
      <c r="O2051" s="213">
        <f>IFERROR(__xludf.DUMMYFUNCTION("""COMPUTED_VALUE"""),5.0)</f>
        <v>5</v>
      </c>
      <c r="P2051" s="213"/>
      <c r="Q2051" s="213"/>
      <c r="R2051" s="213" t="str">
        <f>IFERROR(__xludf.DUMMYFUNCTION("""COMPUTED_VALUE"""),"SI")</f>
        <v>SI</v>
      </c>
      <c r="S2051" s="213"/>
      <c r="T2051" s="213" t="str">
        <f>IFERROR(__xludf.DUMMYFUNCTION("""COMPUTED_VALUE"""),"CONSULTA FINAL")</f>
        <v>CONSULTA FINAL</v>
      </c>
      <c r="U2051" s="213" t="str">
        <f>IFERROR(__xludf.DUMMYFUNCTION("""COMPUTED_VALUE"""),"NO")</f>
        <v>NO</v>
      </c>
      <c r="V2051" s="213" t="str">
        <f>IFERROR(__xludf.DUMMYFUNCTION("""COMPUTED_VALUE"""),"SUSTENTO")</f>
        <v>SUSTENTO</v>
      </c>
      <c r="W2051" s="213" t="str">
        <f>IFERROR(__xludf.DUMMYFUNCTION("""COMPUTED_VALUE"""),"DIMENSIONAL")</f>
        <v>DIMENSIONAL</v>
      </c>
      <c r="X2051" s="213" t="str">
        <f>IFERROR(__xludf.DUMMYFUNCTION("""COMPUTED_VALUE"""),"BASA")</f>
        <v>BASA</v>
      </c>
      <c r="Y2051" s="213">
        <f>IFERROR(__xludf.DUMMYFUNCTION("""COMPUTED_VALUE"""),7.0094018E7)</f>
        <v>70094018</v>
      </c>
      <c r="Z2051"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051" s="213" t="str">
        <f>IFERROR(__xludf.DUMMYFUNCTION("""COMPUTED_VALUE"""),"MAT-190 JARRA DE PLÁSTICO DE 2 LITROS - CET")</f>
        <v>MAT-190 JARRA DE PLÁSTICO DE 2 LITROS - CET</v>
      </c>
      <c r="AB2051" s="213"/>
      <c r="AC2051" s="213"/>
      <c r="AD2051" s="213"/>
      <c r="AE2051" s="213"/>
      <c r="AF2051" s="213"/>
      <c r="AG2051" s="213"/>
      <c r="AH2051" s="213"/>
      <c r="AI2051" s="213"/>
      <c r="AJ2051" s="213"/>
      <c r="AK2051" s="213"/>
      <c r="AL2051" s="213"/>
      <c r="AM2051" s="213"/>
      <c r="AN2051" s="213"/>
      <c r="AO2051" s="213"/>
      <c r="AP2051" s="213" t="str">
        <f>IFERROR(__xludf.DUMMYFUNCTION("""COMPUTED_VALUE"""),"LUIS")</f>
        <v>LUIS</v>
      </c>
      <c r="AQ2051" s="213"/>
      <c r="AR2051" s="213"/>
      <c r="AS2051" s="213"/>
      <c r="AT2051" s="213"/>
      <c r="AU2051" s="213"/>
      <c r="AV2051" s="213"/>
      <c r="AW2051" s="213"/>
      <c r="AX2051" s="213"/>
      <c r="AY2051" s="213"/>
      <c r="AZ2051" s="213"/>
      <c r="BA2051" s="213"/>
      <c r="BB2051" s="213"/>
      <c r="BC2051" s="213"/>
      <c r="BD2051" s="213"/>
    </row>
    <row r="2052">
      <c r="A2052" s="213">
        <f>IFERROR(__xludf.DUMMYFUNCTION("""COMPUTED_VALUE"""),1133.0)</f>
        <v>1133</v>
      </c>
      <c r="B2052" s="213" t="str">
        <f>IFERROR(__xludf.DUMMYFUNCTION("""COMPUTED_VALUE"""),"FRANCISCO IRAZOLA")</f>
        <v>FRANCISCO IRAZOLA</v>
      </c>
      <c r="C2052" s="213" t="str">
        <f>IFERROR(__xludf.DUMMYFUNCTION("""COMPUTED_VALUE"""),"TALLER SFT DE INDUSTRIA ALIMENTARIA")</f>
        <v>TALLER SFT DE INDUSTRIA ALIMENTARIA</v>
      </c>
      <c r="D2052" s="213" t="str">
        <f>IFERROR(__xludf.DUMMYFUNCTION("""COMPUTED_VALUE"""),"HERRAMIENTAS")</f>
        <v>HERRAMIENTAS</v>
      </c>
      <c r="E2052" s="213" t="str">
        <f>IFERROR(__xludf.DUMMYFUNCTION("""COMPUTED_VALUE"""),"MAT-190")</f>
        <v>MAT-190</v>
      </c>
      <c r="F2052" s="213" t="str">
        <f>IFERROR(__xludf.DUMMYFUNCTION("""COMPUTED_VALUE"""),"MAT-190")</f>
        <v>MAT-190</v>
      </c>
      <c r="G2052" s="213"/>
      <c r="H2052" s="213" t="str">
        <f>IFERROR(__xludf.DUMMYFUNCTION("""COMPUTED_VALUE"""),"JARRA DE PLÁSTICO DE 2 LITROS")</f>
        <v>JARRA DE PLÁSTICO DE 2 LITROS</v>
      </c>
      <c r="I2052"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052" s="213">
        <f>IFERROR(__xludf.DUMMYFUNCTION("""COMPUTED_VALUE"""),3.0)</f>
        <v>3</v>
      </c>
      <c r="K2052" s="213" t="str">
        <f>IFERROR(__xludf.DUMMYFUNCTION("""COMPUTED_VALUE"""),"90 DÍAS CALENDARIO")</f>
        <v>90 DÍAS CALENDARIO</v>
      </c>
      <c r="L2052" s="213" t="str">
        <f>IFERROR(__xludf.DUMMYFUNCTION("""COMPUTED_VALUE"""),"")</f>
        <v/>
      </c>
      <c r="M2052" s="213">
        <f>IFERROR(__xludf.DUMMYFUNCTION("""COMPUTED_VALUE"""),1.0)</f>
        <v>1</v>
      </c>
      <c r="N2052" s="213">
        <f>IFERROR(__xludf.DUMMYFUNCTION("""COMPUTED_VALUE"""),5.0)</f>
        <v>5</v>
      </c>
      <c r="O2052" s="213">
        <f>IFERROR(__xludf.DUMMYFUNCTION("""COMPUTED_VALUE"""),5.0)</f>
        <v>5</v>
      </c>
      <c r="P2052" s="213"/>
      <c r="Q2052" s="213"/>
      <c r="R2052" s="213" t="str">
        <f>IFERROR(__xludf.DUMMYFUNCTION("""COMPUTED_VALUE"""),"SI")</f>
        <v>SI</v>
      </c>
      <c r="S2052" s="213"/>
      <c r="T2052" s="213" t="str">
        <f>IFERROR(__xludf.DUMMYFUNCTION("""COMPUTED_VALUE"""),"CONSULTA FINAL")</f>
        <v>CONSULTA FINAL</v>
      </c>
      <c r="U2052" s="213" t="str">
        <f>IFERROR(__xludf.DUMMYFUNCTION("""COMPUTED_VALUE"""),"NO")</f>
        <v>NO</v>
      </c>
      <c r="V2052" s="213" t="str">
        <f>IFERROR(__xludf.DUMMYFUNCTION("""COMPUTED_VALUE"""),"SUSTENTO")</f>
        <v>SUSTENTO</v>
      </c>
      <c r="W2052" s="213" t="str">
        <f>IFERROR(__xludf.DUMMYFUNCTION("""COMPUTED_VALUE"""),"DIMENSIONAL")</f>
        <v>DIMENSIONAL</v>
      </c>
      <c r="X2052" s="213" t="str">
        <f>IFERROR(__xludf.DUMMYFUNCTION("""COMPUTED_VALUE"""),"BASA")</f>
        <v>BASA</v>
      </c>
      <c r="Y2052" s="213">
        <f>IFERROR(__xludf.DUMMYFUNCTION("""COMPUTED_VALUE"""),7.0094018E7)</f>
        <v>70094018</v>
      </c>
      <c r="Z2052"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052" s="213" t="str">
        <f>IFERROR(__xludf.DUMMYFUNCTION("""COMPUTED_VALUE"""),"MAT-190 JARRA DE PLÁSTICO DE 2 LITROS - CET")</f>
        <v>MAT-190 JARRA DE PLÁSTICO DE 2 LITROS - CET</v>
      </c>
      <c r="AB2052" s="213"/>
      <c r="AC2052" s="213"/>
      <c r="AD2052" s="213"/>
      <c r="AE2052" s="213"/>
      <c r="AF2052" s="213"/>
      <c r="AG2052" s="213"/>
      <c r="AH2052" s="213"/>
      <c r="AI2052" s="213"/>
      <c r="AJ2052" s="213"/>
      <c r="AK2052" s="213"/>
      <c r="AL2052" s="213"/>
      <c r="AM2052" s="213"/>
      <c r="AN2052" s="213"/>
      <c r="AO2052" s="213"/>
      <c r="AP2052" s="213" t="str">
        <f>IFERROR(__xludf.DUMMYFUNCTION("""COMPUTED_VALUE"""),"LUIS")</f>
        <v>LUIS</v>
      </c>
      <c r="AQ2052" s="213"/>
      <c r="AR2052" s="213"/>
      <c r="AS2052" s="213"/>
      <c r="AT2052" s="213"/>
      <c r="AU2052" s="213"/>
      <c r="AV2052" s="213"/>
      <c r="AW2052" s="213"/>
      <c r="AX2052" s="213"/>
      <c r="AY2052" s="213"/>
      <c r="AZ2052" s="213"/>
      <c r="BA2052" s="213"/>
      <c r="BB2052" s="213"/>
      <c r="BC2052" s="213"/>
      <c r="BD2052" s="213"/>
    </row>
    <row r="2053">
      <c r="A2053" s="213">
        <f>IFERROR(__xludf.DUMMYFUNCTION("""COMPUTED_VALUE"""),1151.0)</f>
        <v>1151</v>
      </c>
      <c r="B2053" s="213" t="str">
        <f>IFERROR(__xludf.DUMMYFUNCTION("""COMPUTED_VALUE"""),"FRANCISCO IRAZOLA")</f>
        <v>FRANCISCO IRAZOLA</v>
      </c>
      <c r="C2053" s="213" t="str">
        <f>IFERROR(__xludf.DUMMYFUNCTION("""COMPUTED_VALUE"""),"TALLER SFT DE INDUSTRIA ALIMENTARIA")</f>
        <v>TALLER SFT DE INDUSTRIA ALIMENTARIA</v>
      </c>
      <c r="D2053" s="213" t="str">
        <f>IFERROR(__xludf.DUMMYFUNCTION("""COMPUTED_VALUE"""),"HERRAMIENTAS")</f>
        <v>HERRAMIENTAS</v>
      </c>
      <c r="E2053" s="213" t="str">
        <f>IFERROR(__xludf.DUMMYFUNCTION("""COMPUTED_VALUE"""),"MAT-190")</f>
        <v>MAT-190</v>
      </c>
      <c r="F2053" s="213" t="str">
        <f>IFERROR(__xludf.DUMMYFUNCTION("""COMPUTED_VALUE"""),"MAT-190")</f>
        <v>MAT-190</v>
      </c>
      <c r="G2053" s="213"/>
      <c r="H2053" s="213" t="str">
        <f>IFERROR(__xludf.DUMMYFUNCTION("""COMPUTED_VALUE"""),"JARRA DE PLÁSTICO DE 2 LITROS")</f>
        <v>JARRA DE PLÁSTICO DE 2 LITROS</v>
      </c>
      <c r="I2053"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053" s="213">
        <f>IFERROR(__xludf.DUMMYFUNCTION("""COMPUTED_VALUE"""),3.0)</f>
        <v>3</v>
      </c>
      <c r="K2053" s="213" t="str">
        <f>IFERROR(__xludf.DUMMYFUNCTION("""COMPUTED_VALUE"""),"90 DÍAS CALENDARIO")</f>
        <v>90 DÍAS CALENDARIO</v>
      </c>
      <c r="L2053" s="213" t="str">
        <f>IFERROR(__xludf.DUMMYFUNCTION("""COMPUTED_VALUE"""),"")</f>
        <v/>
      </c>
      <c r="M2053" s="213">
        <f>IFERROR(__xludf.DUMMYFUNCTION("""COMPUTED_VALUE"""),1.0)</f>
        <v>1</v>
      </c>
      <c r="N2053" s="213">
        <f>IFERROR(__xludf.DUMMYFUNCTION("""COMPUTED_VALUE"""),5.0)</f>
        <v>5</v>
      </c>
      <c r="O2053" s="213">
        <f>IFERROR(__xludf.DUMMYFUNCTION("""COMPUTED_VALUE"""),5.0)</f>
        <v>5</v>
      </c>
      <c r="P2053" s="213"/>
      <c r="Q2053" s="213"/>
      <c r="R2053" s="213" t="str">
        <f>IFERROR(__xludf.DUMMYFUNCTION("""COMPUTED_VALUE"""),"SI")</f>
        <v>SI</v>
      </c>
      <c r="S2053" s="213"/>
      <c r="T2053" s="213" t="str">
        <f>IFERROR(__xludf.DUMMYFUNCTION("""COMPUTED_VALUE"""),"CONSULTA FINAL")</f>
        <v>CONSULTA FINAL</v>
      </c>
      <c r="U2053" s="213" t="str">
        <f>IFERROR(__xludf.DUMMYFUNCTION("""COMPUTED_VALUE"""),"NO")</f>
        <v>NO</v>
      </c>
      <c r="V2053" s="213" t="str">
        <f>IFERROR(__xludf.DUMMYFUNCTION("""COMPUTED_VALUE"""),"SUSTENTO")</f>
        <v>SUSTENTO</v>
      </c>
      <c r="W2053" s="213" t="str">
        <f>IFERROR(__xludf.DUMMYFUNCTION("""COMPUTED_VALUE"""),"DIMENSIONAL")</f>
        <v>DIMENSIONAL</v>
      </c>
      <c r="X2053" s="213" t="str">
        <f>IFERROR(__xludf.DUMMYFUNCTION("""COMPUTED_VALUE"""),"BASA")</f>
        <v>BASA</v>
      </c>
      <c r="Y2053" s="213">
        <f>IFERROR(__xludf.DUMMYFUNCTION("""COMPUTED_VALUE"""),7.0094018E7)</f>
        <v>70094018</v>
      </c>
      <c r="Z2053"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053" s="213" t="str">
        <f>IFERROR(__xludf.DUMMYFUNCTION("""COMPUTED_VALUE"""),"MAT-190 JARRA DE PLÁSTICO DE 2 LITROS - CET")</f>
        <v>MAT-190 JARRA DE PLÁSTICO DE 2 LITROS - CET</v>
      </c>
      <c r="AB2053" s="213"/>
      <c r="AC2053" s="213"/>
      <c r="AD2053" s="213"/>
      <c r="AE2053" s="213"/>
      <c r="AF2053" s="213"/>
      <c r="AG2053" s="213"/>
      <c r="AH2053" s="213"/>
      <c r="AI2053" s="213"/>
      <c r="AJ2053" s="213"/>
      <c r="AK2053" s="213"/>
      <c r="AL2053" s="213"/>
      <c r="AM2053" s="213"/>
      <c r="AN2053" s="213"/>
      <c r="AO2053" s="213"/>
      <c r="AP2053" s="213" t="str">
        <f>IFERROR(__xludf.DUMMYFUNCTION("""COMPUTED_VALUE"""),"LUIS")</f>
        <v>LUIS</v>
      </c>
      <c r="AQ2053" s="213"/>
      <c r="AR2053" s="213"/>
      <c r="AS2053" s="213"/>
      <c r="AT2053" s="213"/>
      <c r="AU2053" s="213"/>
      <c r="AV2053" s="213"/>
      <c r="AW2053" s="213"/>
      <c r="AX2053" s="213"/>
      <c r="AY2053" s="213"/>
      <c r="AZ2053" s="213"/>
      <c r="BA2053" s="213"/>
      <c r="BB2053" s="213"/>
      <c r="BC2053" s="213"/>
      <c r="BD2053" s="213"/>
    </row>
    <row r="2054">
      <c r="A2054" s="213">
        <f>IFERROR(__xludf.DUMMYFUNCTION("""COMPUTED_VALUE"""),1385.0)</f>
        <v>1385</v>
      </c>
      <c r="B2054" s="213" t="str">
        <f>IFERROR(__xludf.DUMMYFUNCTION("""COMPUTED_VALUE"""),"GUILLERMO E. BILLINGHURST ")</f>
        <v>GUILLERMO E. BILLINGHURST </v>
      </c>
      <c r="C2054" s="213" t="str">
        <f>IFERROR(__xludf.DUMMYFUNCTION("""COMPUTED_VALUE"""),"TALLER SFT DE INDUSTRIA ALIMENTARIA")</f>
        <v>TALLER SFT DE INDUSTRIA ALIMENTARIA</v>
      </c>
      <c r="D2054" s="213" t="str">
        <f>IFERROR(__xludf.DUMMYFUNCTION("""COMPUTED_VALUE"""),"HERRAMIENTAS")</f>
        <v>HERRAMIENTAS</v>
      </c>
      <c r="E2054" s="213" t="str">
        <f>IFERROR(__xludf.DUMMYFUNCTION("""COMPUTED_VALUE"""),"MAT-190")</f>
        <v>MAT-190</v>
      </c>
      <c r="F2054" s="213" t="str">
        <f>IFERROR(__xludf.DUMMYFUNCTION("""COMPUTED_VALUE"""),"MAT-190")</f>
        <v>MAT-190</v>
      </c>
      <c r="G2054" s="213"/>
      <c r="H2054" s="213" t="str">
        <f>IFERROR(__xludf.DUMMYFUNCTION("""COMPUTED_VALUE"""),"JARRA DE PLÁSTICO DE 2 LITROS")</f>
        <v>JARRA DE PLÁSTICO DE 2 LITROS</v>
      </c>
      <c r="I2054"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054" s="213">
        <f>IFERROR(__xludf.DUMMYFUNCTION("""COMPUTED_VALUE"""),3.0)</f>
        <v>3</v>
      </c>
      <c r="K2054" s="213" t="str">
        <f>IFERROR(__xludf.DUMMYFUNCTION("""COMPUTED_VALUE"""),"90 DÍAS CALENDARIO")</f>
        <v>90 DÍAS CALENDARIO</v>
      </c>
      <c r="L2054" s="213" t="str">
        <f>IFERROR(__xludf.DUMMYFUNCTION("""COMPUTED_VALUE"""),"")</f>
        <v/>
      </c>
      <c r="M2054" s="213">
        <f>IFERROR(__xludf.DUMMYFUNCTION("""COMPUTED_VALUE"""),1.0)</f>
        <v>1</v>
      </c>
      <c r="N2054" s="213">
        <f>IFERROR(__xludf.DUMMYFUNCTION("""COMPUTED_VALUE"""),5.0)</f>
        <v>5</v>
      </c>
      <c r="O2054" s="213">
        <f>IFERROR(__xludf.DUMMYFUNCTION("""COMPUTED_VALUE"""),5.0)</f>
        <v>5</v>
      </c>
      <c r="P2054" s="213"/>
      <c r="Q2054" s="213"/>
      <c r="R2054" s="213" t="str">
        <f>IFERROR(__xludf.DUMMYFUNCTION("""COMPUTED_VALUE"""),"SI")</f>
        <v>SI</v>
      </c>
      <c r="S2054" s="213"/>
      <c r="T2054" s="213" t="str">
        <f>IFERROR(__xludf.DUMMYFUNCTION("""COMPUTED_VALUE"""),"CONSULTA FINAL")</f>
        <v>CONSULTA FINAL</v>
      </c>
      <c r="U2054" s="213" t="str">
        <f>IFERROR(__xludf.DUMMYFUNCTION("""COMPUTED_VALUE"""),"NO")</f>
        <v>NO</v>
      </c>
      <c r="V2054" s="213" t="str">
        <f>IFERROR(__xludf.DUMMYFUNCTION("""COMPUTED_VALUE"""),"SUSTENTO")</f>
        <v>SUSTENTO</v>
      </c>
      <c r="W2054" s="213" t="str">
        <f>IFERROR(__xludf.DUMMYFUNCTION("""COMPUTED_VALUE"""),"DIMENSIONAL")</f>
        <v>DIMENSIONAL</v>
      </c>
      <c r="X2054" s="213" t="str">
        <f>IFERROR(__xludf.DUMMYFUNCTION("""COMPUTED_VALUE"""),"BASA")</f>
        <v>BASA</v>
      </c>
      <c r="Y2054" s="213">
        <f>IFERROR(__xludf.DUMMYFUNCTION("""COMPUTED_VALUE"""),7.0094018E7)</f>
        <v>70094018</v>
      </c>
      <c r="Z2054"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054" s="213" t="str">
        <f>IFERROR(__xludf.DUMMYFUNCTION("""COMPUTED_VALUE"""),"MAT-190 JARRA DE PLÁSTICO DE 2 LITROS - CET")</f>
        <v>MAT-190 JARRA DE PLÁSTICO DE 2 LITROS - CET</v>
      </c>
      <c r="AB2054" s="213"/>
      <c r="AC2054" s="213"/>
      <c r="AD2054" s="213"/>
      <c r="AE2054" s="213"/>
      <c r="AF2054" s="213"/>
      <c r="AG2054" s="213"/>
      <c r="AH2054" s="213"/>
      <c r="AI2054" s="213"/>
      <c r="AJ2054" s="213"/>
      <c r="AK2054" s="213"/>
      <c r="AL2054" s="213"/>
      <c r="AM2054" s="213"/>
      <c r="AN2054" s="213"/>
      <c r="AO2054" s="213"/>
      <c r="AP2054" s="213" t="str">
        <f>IFERROR(__xludf.DUMMYFUNCTION("""COMPUTED_VALUE"""),"LUIS")</f>
        <v>LUIS</v>
      </c>
      <c r="AQ2054" s="213"/>
      <c r="AR2054" s="213"/>
      <c r="AS2054" s="213"/>
      <c r="AT2054" s="213"/>
      <c r="AU2054" s="213"/>
      <c r="AV2054" s="213"/>
      <c r="AW2054" s="213"/>
      <c r="AX2054" s="213"/>
      <c r="AY2054" s="213"/>
      <c r="AZ2054" s="213"/>
      <c r="BA2054" s="213"/>
      <c r="BB2054" s="213"/>
      <c r="BC2054" s="213"/>
      <c r="BD2054" s="213"/>
    </row>
    <row r="2055">
      <c r="A2055" s="213">
        <f>IFERROR(__xludf.DUMMYFUNCTION("""COMPUTED_VALUE"""),1405.0)</f>
        <v>1405</v>
      </c>
      <c r="B2055" s="213" t="str">
        <f>IFERROR(__xludf.DUMMYFUNCTION("""COMPUTED_VALUE"""),"GUILLERMO E. BILLINGHURST ")</f>
        <v>GUILLERMO E. BILLINGHURST </v>
      </c>
      <c r="C2055" s="213" t="str">
        <f>IFERROR(__xludf.DUMMYFUNCTION("""COMPUTED_VALUE"""),"TALLER SFT DE INDUSTRIA ALIMENTARIA")</f>
        <v>TALLER SFT DE INDUSTRIA ALIMENTARIA</v>
      </c>
      <c r="D2055" s="213" t="str">
        <f>IFERROR(__xludf.DUMMYFUNCTION("""COMPUTED_VALUE"""),"HERRAMIENTAS")</f>
        <v>HERRAMIENTAS</v>
      </c>
      <c r="E2055" s="213" t="str">
        <f>IFERROR(__xludf.DUMMYFUNCTION("""COMPUTED_VALUE"""),"MAT-190")</f>
        <v>MAT-190</v>
      </c>
      <c r="F2055" s="213" t="str">
        <f>IFERROR(__xludf.DUMMYFUNCTION("""COMPUTED_VALUE"""),"MAT-190")</f>
        <v>MAT-190</v>
      </c>
      <c r="G2055" s="213"/>
      <c r="H2055" s="213" t="str">
        <f>IFERROR(__xludf.DUMMYFUNCTION("""COMPUTED_VALUE"""),"JARRA DE PLÁSTICO DE 2 LITROS")</f>
        <v>JARRA DE PLÁSTICO DE 2 LITROS</v>
      </c>
      <c r="I2055"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055" s="213">
        <f>IFERROR(__xludf.DUMMYFUNCTION("""COMPUTED_VALUE"""),3.0)</f>
        <v>3</v>
      </c>
      <c r="K2055" s="213" t="str">
        <f>IFERROR(__xludf.DUMMYFUNCTION("""COMPUTED_VALUE"""),"90 DÍAS CALENDARIO")</f>
        <v>90 DÍAS CALENDARIO</v>
      </c>
      <c r="L2055" s="213" t="str">
        <f>IFERROR(__xludf.DUMMYFUNCTION("""COMPUTED_VALUE"""),"")</f>
        <v/>
      </c>
      <c r="M2055" s="213">
        <f>IFERROR(__xludf.DUMMYFUNCTION("""COMPUTED_VALUE"""),1.0)</f>
        <v>1</v>
      </c>
      <c r="N2055" s="213">
        <f>IFERROR(__xludf.DUMMYFUNCTION("""COMPUTED_VALUE"""),5.0)</f>
        <v>5</v>
      </c>
      <c r="O2055" s="213">
        <f>IFERROR(__xludf.DUMMYFUNCTION("""COMPUTED_VALUE"""),5.0)</f>
        <v>5</v>
      </c>
      <c r="P2055" s="213"/>
      <c r="Q2055" s="213"/>
      <c r="R2055" s="213" t="str">
        <f>IFERROR(__xludf.DUMMYFUNCTION("""COMPUTED_VALUE"""),"SI")</f>
        <v>SI</v>
      </c>
      <c r="S2055" s="213"/>
      <c r="T2055" s="213" t="str">
        <f>IFERROR(__xludf.DUMMYFUNCTION("""COMPUTED_VALUE"""),"CONSULTA FINAL")</f>
        <v>CONSULTA FINAL</v>
      </c>
      <c r="U2055" s="213" t="str">
        <f>IFERROR(__xludf.DUMMYFUNCTION("""COMPUTED_VALUE"""),"NO")</f>
        <v>NO</v>
      </c>
      <c r="V2055" s="213" t="str">
        <f>IFERROR(__xludf.DUMMYFUNCTION("""COMPUTED_VALUE"""),"SUSTENTO")</f>
        <v>SUSTENTO</v>
      </c>
      <c r="W2055" s="213" t="str">
        <f>IFERROR(__xludf.DUMMYFUNCTION("""COMPUTED_VALUE"""),"DIMENSIONAL")</f>
        <v>DIMENSIONAL</v>
      </c>
      <c r="X2055" s="213" t="str">
        <f>IFERROR(__xludf.DUMMYFUNCTION("""COMPUTED_VALUE"""),"BASA")</f>
        <v>BASA</v>
      </c>
      <c r="Y2055" s="213">
        <f>IFERROR(__xludf.DUMMYFUNCTION("""COMPUTED_VALUE"""),7.0094018E7)</f>
        <v>70094018</v>
      </c>
      <c r="Z2055"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055" s="213" t="str">
        <f>IFERROR(__xludf.DUMMYFUNCTION("""COMPUTED_VALUE"""),"MAT-190 JARRA DE PLÁSTICO DE 2 LITROS - CET")</f>
        <v>MAT-190 JARRA DE PLÁSTICO DE 2 LITROS - CET</v>
      </c>
      <c r="AB2055" s="213"/>
      <c r="AC2055" s="213"/>
      <c r="AD2055" s="213"/>
      <c r="AE2055" s="213"/>
      <c r="AF2055" s="213"/>
      <c r="AG2055" s="213"/>
      <c r="AH2055" s="213"/>
      <c r="AI2055" s="213"/>
      <c r="AJ2055" s="213"/>
      <c r="AK2055" s="213"/>
      <c r="AL2055" s="213"/>
      <c r="AM2055" s="213"/>
      <c r="AN2055" s="213"/>
      <c r="AO2055" s="213"/>
      <c r="AP2055" s="213" t="str">
        <f>IFERROR(__xludf.DUMMYFUNCTION("""COMPUTED_VALUE"""),"LUIS")</f>
        <v>LUIS</v>
      </c>
      <c r="AQ2055" s="213"/>
      <c r="AR2055" s="213"/>
      <c r="AS2055" s="213"/>
      <c r="AT2055" s="213"/>
      <c r="AU2055" s="213"/>
      <c r="AV2055" s="213"/>
      <c r="AW2055" s="213"/>
      <c r="AX2055" s="213"/>
      <c r="AY2055" s="213"/>
      <c r="AZ2055" s="213"/>
      <c r="BA2055" s="213"/>
      <c r="BB2055" s="213"/>
      <c r="BC2055" s="213"/>
      <c r="BD2055" s="213"/>
    </row>
    <row r="2056">
      <c r="A2056" s="213">
        <f>IFERROR(__xludf.DUMMYFUNCTION("""COMPUTED_VALUE"""),1423.0)</f>
        <v>1423</v>
      </c>
      <c r="B2056" s="213" t="str">
        <f>IFERROR(__xludf.DUMMYFUNCTION("""COMPUTED_VALUE"""),"GUILLERMO E. BILLINGHURST ")</f>
        <v>GUILLERMO E. BILLINGHURST </v>
      </c>
      <c r="C2056" s="213" t="str">
        <f>IFERROR(__xludf.DUMMYFUNCTION("""COMPUTED_VALUE"""),"TALLER SFT DE INDUSTRIA ALIMENTARIA")</f>
        <v>TALLER SFT DE INDUSTRIA ALIMENTARIA</v>
      </c>
      <c r="D2056" s="213" t="str">
        <f>IFERROR(__xludf.DUMMYFUNCTION("""COMPUTED_VALUE"""),"HERRAMIENTAS")</f>
        <v>HERRAMIENTAS</v>
      </c>
      <c r="E2056" s="213" t="str">
        <f>IFERROR(__xludf.DUMMYFUNCTION("""COMPUTED_VALUE"""),"MAT-190")</f>
        <v>MAT-190</v>
      </c>
      <c r="F2056" s="213" t="str">
        <f>IFERROR(__xludf.DUMMYFUNCTION("""COMPUTED_VALUE"""),"MAT-190")</f>
        <v>MAT-190</v>
      </c>
      <c r="G2056" s="213"/>
      <c r="H2056" s="213" t="str">
        <f>IFERROR(__xludf.DUMMYFUNCTION("""COMPUTED_VALUE"""),"JARRA DE PLÁSTICO DE 2 LITROS")</f>
        <v>JARRA DE PLÁSTICO DE 2 LITROS</v>
      </c>
      <c r="I2056"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056" s="213">
        <f>IFERROR(__xludf.DUMMYFUNCTION("""COMPUTED_VALUE"""),3.0)</f>
        <v>3</v>
      </c>
      <c r="K2056" s="213" t="str">
        <f>IFERROR(__xludf.DUMMYFUNCTION("""COMPUTED_VALUE"""),"90 DÍAS CALENDARIO")</f>
        <v>90 DÍAS CALENDARIO</v>
      </c>
      <c r="L2056" s="213" t="str">
        <f>IFERROR(__xludf.DUMMYFUNCTION("""COMPUTED_VALUE"""),"")</f>
        <v/>
      </c>
      <c r="M2056" s="213">
        <f>IFERROR(__xludf.DUMMYFUNCTION("""COMPUTED_VALUE"""),1.0)</f>
        <v>1</v>
      </c>
      <c r="N2056" s="213">
        <f>IFERROR(__xludf.DUMMYFUNCTION("""COMPUTED_VALUE"""),5.0)</f>
        <v>5</v>
      </c>
      <c r="O2056" s="213">
        <f>IFERROR(__xludf.DUMMYFUNCTION("""COMPUTED_VALUE"""),5.0)</f>
        <v>5</v>
      </c>
      <c r="P2056" s="213"/>
      <c r="Q2056" s="213"/>
      <c r="R2056" s="213" t="str">
        <f>IFERROR(__xludf.DUMMYFUNCTION("""COMPUTED_VALUE"""),"SI")</f>
        <v>SI</v>
      </c>
      <c r="S2056" s="213"/>
      <c r="T2056" s="213" t="str">
        <f>IFERROR(__xludf.DUMMYFUNCTION("""COMPUTED_VALUE"""),"CONSULTA FINAL")</f>
        <v>CONSULTA FINAL</v>
      </c>
      <c r="U2056" s="213" t="str">
        <f>IFERROR(__xludf.DUMMYFUNCTION("""COMPUTED_VALUE"""),"NO")</f>
        <v>NO</v>
      </c>
      <c r="V2056" s="213" t="str">
        <f>IFERROR(__xludf.DUMMYFUNCTION("""COMPUTED_VALUE"""),"SUSTENTO")</f>
        <v>SUSTENTO</v>
      </c>
      <c r="W2056" s="213" t="str">
        <f>IFERROR(__xludf.DUMMYFUNCTION("""COMPUTED_VALUE"""),"DIMENSIONAL")</f>
        <v>DIMENSIONAL</v>
      </c>
      <c r="X2056" s="213" t="str">
        <f>IFERROR(__xludf.DUMMYFUNCTION("""COMPUTED_VALUE"""),"BASA")</f>
        <v>BASA</v>
      </c>
      <c r="Y2056" s="213">
        <f>IFERROR(__xludf.DUMMYFUNCTION("""COMPUTED_VALUE"""),7.0094018E7)</f>
        <v>70094018</v>
      </c>
      <c r="Z2056"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056" s="213" t="str">
        <f>IFERROR(__xludf.DUMMYFUNCTION("""COMPUTED_VALUE"""),"MAT-190 JARRA DE PLÁSTICO DE 2 LITROS - CET")</f>
        <v>MAT-190 JARRA DE PLÁSTICO DE 2 LITROS - CET</v>
      </c>
      <c r="AB2056" s="213"/>
      <c r="AC2056" s="213"/>
      <c r="AD2056" s="213"/>
      <c r="AE2056" s="213"/>
      <c r="AF2056" s="213"/>
      <c r="AG2056" s="213"/>
      <c r="AH2056" s="213"/>
      <c r="AI2056" s="213"/>
      <c r="AJ2056" s="213"/>
      <c r="AK2056" s="213"/>
      <c r="AL2056" s="213"/>
      <c r="AM2056" s="213"/>
      <c r="AN2056" s="213"/>
      <c r="AO2056" s="213"/>
      <c r="AP2056" s="213" t="str">
        <f>IFERROR(__xludf.DUMMYFUNCTION("""COMPUTED_VALUE"""),"LUIS")</f>
        <v>LUIS</v>
      </c>
      <c r="AQ2056" s="213"/>
      <c r="AR2056" s="213"/>
      <c r="AS2056" s="213"/>
      <c r="AT2056" s="213"/>
      <c r="AU2056" s="213"/>
      <c r="AV2056" s="213"/>
      <c r="AW2056" s="213"/>
      <c r="AX2056" s="213"/>
      <c r="AY2056" s="213"/>
      <c r="AZ2056" s="213"/>
      <c r="BA2056" s="213"/>
      <c r="BB2056" s="213"/>
      <c r="BC2056" s="213"/>
      <c r="BD2056" s="213"/>
    </row>
    <row r="2057">
      <c r="A2057" s="213">
        <f>IFERROR(__xludf.DUMMYFUNCTION("""COMPUTED_VALUE"""),1903.0)</f>
        <v>1903</v>
      </c>
      <c r="B2057" s="213" t="str">
        <f>IFERROR(__xludf.DUMMYFUNCTION("""COMPUTED_VALUE"""),"GUILLERMO E. BILLINGHURST ")</f>
        <v>GUILLERMO E. BILLINGHURST </v>
      </c>
      <c r="C2057" s="213" t="str">
        <f>IFERROR(__xludf.DUMMYFUNCTION("""COMPUTED_VALUE"""),"TALLER SFT DE EBANISTERÍA")</f>
        <v>TALLER SFT DE EBANISTERÍA</v>
      </c>
      <c r="D2057" s="213" t="str">
        <f>IFERROR(__xludf.DUMMYFUNCTION("""COMPUTED_VALUE"""),"EQUIPOS")</f>
        <v>EQUIPOS</v>
      </c>
      <c r="E2057" s="213" t="str">
        <f>IFERROR(__xludf.DUMMYFUNCTION("""COMPUTED_VALUE"""),"ESP-296")</f>
        <v>ESP-296</v>
      </c>
      <c r="F2057" s="213" t="str">
        <f>IFERROR(__xludf.DUMMYFUNCTION("""COMPUTED_VALUE"""),"ESP-296")</f>
        <v>ESP-296</v>
      </c>
      <c r="G2057" s="213"/>
      <c r="H2057" s="213" t="str">
        <f>IFERROR(__xludf.DUMMYFUNCTION("""COMPUTED_VALUE"""),"PISTOLA DE PINTAR DE GRAVEDAD")</f>
        <v>PISTOLA DE PINTAR DE GRAVEDAD</v>
      </c>
      <c r="I2057" s="213" t="str">
        <f>IFERROR(__xludf.DUMMYFUNCTION("""COMPUTED_VALUE"""),"· Universal de baja presión, para acabado uniforme y de chorro continúo.
· Vaso de aluminio Multiposición.
· Control de abanico y  flujo de pintura (regulable).
· Sección de pintura: mínimo Tipo punto (circular) y tipo abanico.
· Presión de trabajo: entre"&amp;" 28 psi (1.93 bar) a 68 psi (4.69 bar).
· Capacidad de recipiente, mínimo 0.5 L.
· Aplicación de pintura múltiple, adecuada para diferentes materiales.
· Tobera (boquilla) de 1.5 mm.aprox.
· Incluye un mínimo 5 metros de manguera, con conectores rápidos y"&amp;" accesorios básicos para su operación.
· Medidas de Pistola L15 cm x A10 cm x H30 cm")</f>
        <v>· Universal de baja presión, para acabado uniforme y de chorro continúo.
· Vaso de aluminio Multiposición.
· Control de abanico y  flujo de pintura (regulable).
· Sección de pintura: mínimo Tipo punto (circular) y tipo abanico.
· Presión de trabajo: entre 28 psi (1.93 bar) a 68 psi (4.69 bar).
· Capacidad de recipiente, mínimo 0.5 L.
· Aplicación de pintura múltiple, adecuada para diferentes materiales.
· Tobera (boquilla) de 1.5 mm.aprox.
· Incluye un mínimo 5 metros de manguera, con conectores rápidos y accesorios básicos para su operación.
· Medidas de Pistola L15 cm x A10 cm x H30 cm</v>
      </c>
      <c r="J2057" s="213">
        <f>IFERROR(__xludf.DUMMYFUNCTION("""COMPUTED_VALUE"""),3.0)</f>
        <v>3</v>
      </c>
      <c r="K2057" s="213" t="str">
        <f>IFERROR(__xludf.DUMMYFUNCTION("""COMPUTED_VALUE"""),"170 DÍAS CALENDARIO")</f>
        <v>170 DÍAS CALENDARIO</v>
      </c>
      <c r="L2057" s="213" t="str">
        <f>IFERROR(__xludf.DUMMYFUNCTION("""COMPUTED_VALUE"""),"")</f>
        <v/>
      </c>
      <c r="M2057" s="213">
        <f>IFERROR(__xludf.DUMMYFUNCTION("""COMPUTED_VALUE"""),1.0)</f>
        <v>1</v>
      </c>
      <c r="N2057" s="213">
        <f>IFERROR(__xludf.DUMMYFUNCTION("""COMPUTED_VALUE"""),2.0)</f>
        <v>2</v>
      </c>
      <c r="O2057" s="213">
        <f>IFERROR(__xludf.DUMMYFUNCTION("""COMPUTED_VALUE"""),2.0)</f>
        <v>2</v>
      </c>
      <c r="P2057" s="213"/>
      <c r="Q2057" s="213"/>
      <c r="R2057" s="213"/>
      <c r="S2057" s="213" t="str">
        <f>IFERROR(__xludf.DUMMYFUNCTION("""COMPUTED_VALUE"""),"SI")</f>
        <v>SI</v>
      </c>
      <c r="T2057" s="213" t="str">
        <f>IFERROR(__xludf.DUMMYFUNCTION("""COMPUTED_VALUE"""),"SI")</f>
        <v>SI</v>
      </c>
      <c r="U2057" s="213" t="str">
        <f>IFERROR(__xludf.DUMMYFUNCTION("""COMPUTED_VALUE"""),"NO")</f>
        <v>NO</v>
      </c>
      <c r="V2057" s="213" t="str">
        <f>IFERROR(__xludf.DUMMYFUNCTION("""COMPUTED_VALUE"""),"SUSTENTO")</f>
        <v>SUSTENTO</v>
      </c>
      <c r="W2057" s="213"/>
      <c r="X2057" s="213" t="str">
        <f>IFERROR(__xludf.DUMMYFUNCTION("""COMPUTED_VALUE"""),"TRUPER")</f>
        <v>TRUPER</v>
      </c>
      <c r="Y2057" s="213" t="str">
        <f>IFERROR(__xludf.DUMMYFUNCTION("""COMPUTED_VALUE"""),"11095 + 14037")</f>
        <v>11095 + 14037</v>
      </c>
      <c r="Z2057" s="213" t="str">
        <f>IFERROR(__xludf.DUMMYFUNCTION("""COMPUTED_VALUE"""),"https://cahema.pe/pistolas-de-pintar/15598-pistola-de-gravedad-uso-general-11095-truper-7506240653929.html
https://www.promart.pe/pistola-para-pintar-de-baja-presion-entrada-inferior-truper-14037-1000496276/p")</f>
        <v>https://cahema.pe/pistolas-de-pintar/15598-pistola-de-gravedad-uso-general-11095-truper-7506240653929.html
https://www.promart.pe/pistola-para-pintar-de-baja-presion-entrada-inferior-truper-14037-1000496276/p</v>
      </c>
      <c r="AA2057" s="213" t="str">
        <f>IFERROR(__xludf.DUMMYFUNCTION("""COMPUTED_VALUE"""),"ESP-296 PISTOLA DE PINTAR DE GRAVEDAD - CET")</f>
        <v>ESP-296 PISTOLA DE PINTAR DE GRAVEDAD - CET</v>
      </c>
      <c r="AB2057" s="215" t="str">
        <f>IFERROR(__xludf.DUMMYFUNCTION("""COMPUTED_VALUE"""),"https://drive.google.com/file/d/1Pd58EknH7_10dHS9T8lb0qHbk3MR88-O/view?usp=drive_link")</f>
        <v>https://drive.google.com/file/d/1Pd58EknH7_10dHS9T8lb0qHbk3MR88-O/view?usp=drive_link</v>
      </c>
      <c r="AC2057" s="213"/>
      <c r="AD2057" s="213"/>
      <c r="AE2057" s="213"/>
      <c r="AF2057" s="213"/>
      <c r="AG2057" s="213"/>
      <c r="AH2057" s="213"/>
      <c r="AI2057" s="213"/>
      <c r="AJ2057" s="213"/>
      <c r="AK2057" s="213"/>
      <c r="AL2057" s="213"/>
      <c r="AM2057" s="213"/>
      <c r="AN2057" s="213"/>
      <c r="AO2057" s="213"/>
      <c r="AP2057" s="213" t="str">
        <f>IFERROR(__xludf.DUMMYFUNCTION("""COMPUTED_VALUE"""),"MICHEL")</f>
        <v>MICHEL</v>
      </c>
      <c r="AQ2057" s="213" t="str">
        <f>IFERROR(__xludf.DUMMYFUNCTION("""COMPUTED_VALUE"""),"No se encontró pistola de pintar de gravedad que cumpla con todo lo solicitado. En su defecto, se ofrecen dos pistolas.")</f>
        <v>No se encontró pistola de pintar de gravedad que cumpla con todo lo solicitado. En su defecto, se ofrecen dos pistolas.</v>
      </c>
      <c r="AR2057" s="213"/>
      <c r="AS2057" s="213" t="str">
        <f>IFERROR(__xludf.DUMMYFUNCTION("""COMPUTED_VALUE"""),"MANGUERA 5M TRUPER 19013, CONECTORES RÁPIDOS TRUPER 19080")</f>
        <v>MANGUERA 5M TRUPER 19013, CONECTORES RÁPIDOS TRUPER 19080</v>
      </c>
      <c r="AT2057" s="217" t="str">
        <f>IFERROR(__xludf.DUMMYFUNCTION("""COMPUTED_VALUE"""),"https://cahema.pe/mangueras/17316-manguera-armada-14-ppintor-5-mts-19013-truper.html
https://cahema.pe/acoples-y-conectores/16023-juego-de-acople-y-conector-laton-14-npt-19080-truper-7501206619803.html")</f>
        <v>https://cahema.pe/mangueras/17316-manguera-armada-14-ppintor-5-mts-19013-truper.html
https://cahema.pe/acoples-y-conectores/16023-juego-de-acople-y-conector-laton-14-npt-19080-truper-7501206619803.html</v>
      </c>
      <c r="AU2057" s="213"/>
      <c r="AV2057" s="213"/>
      <c r="AW2057" s="213"/>
      <c r="AX2057" s="213"/>
      <c r="AY2057" s="213"/>
      <c r="AZ2057" s="213"/>
      <c r="BA2057" s="213"/>
      <c r="BB2057" s="213"/>
      <c r="BC2057" s="213"/>
      <c r="BD2057" s="213"/>
    </row>
    <row r="2058">
      <c r="A2058" s="213">
        <f>IFERROR(__xludf.DUMMYFUNCTION("""COMPUTED_VALUE"""),2684.0)</f>
        <v>2684</v>
      </c>
      <c r="B2058" s="213" t="str">
        <f>IFERROR(__xludf.DUMMYFUNCTION("""COMPUTED_VALUE"""),"MANUEL ANTONIO MESONES MURO")</f>
        <v>MANUEL ANTONIO MESONES MURO</v>
      </c>
      <c r="C2058" s="213" t="str">
        <f>IFERROR(__xludf.DUMMYFUNCTION("""COMPUTED_VALUE"""),"TALLER SFT DE EBANISTERÍA")</f>
        <v>TALLER SFT DE EBANISTERÍA</v>
      </c>
      <c r="D2058" s="213" t="str">
        <f>IFERROR(__xludf.DUMMYFUNCTION("""COMPUTED_VALUE"""),"EQUIPOS")</f>
        <v>EQUIPOS</v>
      </c>
      <c r="E2058" s="213" t="str">
        <f>IFERROR(__xludf.DUMMYFUNCTION("""COMPUTED_VALUE"""),"ESP-296")</f>
        <v>ESP-296</v>
      </c>
      <c r="F2058" s="213" t="str">
        <f>IFERROR(__xludf.DUMMYFUNCTION("""COMPUTED_VALUE"""),"ESP-296")</f>
        <v>ESP-296</v>
      </c>
      <c r="G2058" s="213"/>
      <c r="H2058" s="213" t="str">
        <f>IFERROR(__xludf.DUMMYFUNCTION("""COMPUTED_VALUE"""),"PISTOLA DE PINTAR DE GRAVEDAD")</f>
        <v>PISTOLA DE PINTAR DE GRAVEDAD</v>
      </c>
      <c r="I2058" s="213" t="str">
        <f>IFERROR(__xludf.DUMMYFUNCTION("""COMPUTED_VALUE"""),"· Universal de baja presión, para acabado uniforme y de chorro continúo.
· Vaso de aluminio Multiposición.
· Control de abanico y  flujo de pintura (regulable).
· Sección de pintura: mínimo Tipo punto (circular) y tipo abanico.
· Presión de trabajo: entre"&amp;" 28 psi (1.93 bar) a 68 psi (4.69 bar).
· Capacidad de recipiente, mínimo 0.5 L.
· Aplicación de pintura múltiple, adecuada para diferentes materiales.
· Tobera (boquilla) de 1.5 mm.aprox.
· Incluye un mínimo 5 metros de manguera, con conectores rápidos y"&amp;" accesorios básicos para su operación.
· Medidas de Pistola L15 cm x A10 cm x H30 cm")</f>
        <v>· Universal de baja presión, para acabado uniforme y de chorro continúo.
· Vaso de aluminio Multiposición.
· Control de abanico y  flujo de pintura (regulable).
· Sección de pintura: mínimo Tipo punto (circular) y tipo abanico.
· Presión de trabajo: entre 28 psi (1.93 bar) a 68 psi (4.69 bar).
· Capacidad de recipiente, mínimo 0.5 L.
· Aplicación de pintura múltiple, adecuada para diferentes materiales.
· Tobera (boquilla) de 1.5 mm.aprox.
· Incluye un mínimo 5 metros de manguera, con conectores rápidos y accesorios básicos para su operación.
· Medidas de Pistola L15 cm x A10 cm x H30 cm</v>
      </c>
      <c r="J2058" s="213">
        <f>IFERROR(__xludf.DUMMYFUNCTION("""COMPUTED_VALUE"""),3.0)</f>
        <v>3</v>
      </c>
      <c r="K2058" s="213" t="str">
        <f>IFERROR(__xludf.DUMMYFUNCTION("""COMPUTED_VALUE"""),"170 DÍAS CALENDARIO")</f>
        <v>170 DÍAS CALENDARIO</v>
      </c>
      <c r="L2058" s="213" t="str">
        <f>IFERROR(__xludf.DUMMYFUNCTION("""COMPUTED_VALUE"""),"")</f>
        <v/>
      </c>
      <c r="M2058" s="213">
        <f>IFERROR(__xludf.DUMMYFUNCTION("""COMPUTED_VALUE"""),1.0)</f>
        <v>1</v>
      </c>
      <c r="N2058" s="213">
        <f>IFERROR(__xludf.DUMMYFUNCTION("""COMPUTED_VALUE"""),2.0)</f>
        <v>2</v>
      </c>
      <c r="O2058" s="213">
        <f>IFERROR(__xludf.DUMMYFUNCTION("""COMPUTED_VALUE"""),2.0)</f>
        <v>2</v>
      </c>
      <c r="P2058" s="213"/>
      <c r="Q2058" s="213"/>
      <c r="R2058" s="213"/>
      <c r="S2058" s="213" t="str">
        <f>IFERROR(__xludf.DUMMYFUNCTION("""COMPUTED_VALUE"""),"SI")</f>
        <v>SI</v>
      </c>
      <c r="T2058" s="213" t="str">
        <f>IFERROR(__xludf.DUMMYFUNCTION("""COMPUTED_VALUE"""),"SI")</f>
        <v>SI</v>
      </c>
      <c r="U2058" s="213" t="str">
        <f>IFERROR(__xludf.DUMMYFUNCTION("""COMPUTED_VALUE"""),"NO")</f>
        <v>NO</v>
      </c>
      <c r="V2058" s="213" t="str">
        <f>IFERROR(__xludf.DUMMYFUNCTION("""COMPUTED_VALUE"""),"SUSTENTO")</f>
        <v>SUSTENTO</v>
      </c>
      <c r="W2058" s="213"/>
      <c r="X2058" s="213" t="str">
        <f>IFERROR(__xludf.DUMMYFUNCTION("""COMPUTED_VALUE"""),"TRUPER")</f>
        <v>TRUPER</v>
      </c>
      <c r="Y2058" s="213" t="str">
        <f>IFERROR(__xludf.DUMMYFUNCTION("""COMPUTED_VALUE"""),"11095 + 14037")</f>
        <v>11095 + 14037</v>
      </c>
      <c r="Z2058" s="213" t="str">
        <f>IFERROR(__xludf.DUMMYFUNCTION("""COMPUTED_VALUE"""),"https://cahema.pe/pistolas-de-pintar/15598-pistola-de-gravedad-uso-general-11095-truper-7506240653929.html
https://www.promart.pe/pistola-para-pintar-de-baja-presion-entrada-inferior-truper-14037-1000496276/p")</f>
        <v>https://cahema.pe/pistolas-de-pintar/15598-pistola-de-gravedad-uso-general-11095-truper-7506240653929.html
https://www.promart.pe/pistola-para-pintar-de-baja-presion-entrada-inferior-truper-14037-1000496276/p</v>
      </c>
      <c r="AA2058" s="213" t="str">
        <f>IFERROR(__xludf.DUMMYFUNCTION("""COMPUTED_VALUE"""),"ESP-296 PISTOLA DE PINTAR DE GRAVEDAD - CET")</f>
        <v>ESP-296 PISTOLA DE PINTAR DE GRAVEDAD - CET</v>
      </c>
      <c r="AB2058" s="215" t="str">
        <f>IFERROR(__xludf.DUMMYFUNCTION("""COMPUTED_VALUE"""),"https://drive.google.com/file/d/1Pd58EknH7_10dHS9T8lb0qHbk3MR88-O/view?usp=drive_link")</f>
        <v>https://drive.google.com/file/d/1Pd58EknH7_10dHS9T8lb0qHbk3MR88-O/view?usp=drive_link</v>
      </c>
      <c r="AC2058" s="213"/>
      <c r="AD2058" s="213"/>
      <c r="AE2058" s="213"/>
      <c r="AF2058" s="213"/>
      <c r="AG2058" s="213"/>
      <c r="AH2058" s="213"/>
      <c r="AI2058" s="213"/>
      <c r="AJ2058" s="213"/>
      <c r="AK2058" s="213"/>
      <c r="AL2058" s="213"/>
      <c r="AM2058" s="213"/>
      <c r="AN2058" s="213"/>
      <c r="AO2058" s="213"/>
      <c r="AP2058" s="213" t="str">
        <f>IFERROR(__xludf.DUMMYFUNCTION("""COMPUTED_VALUE"""),"MICHEL")</f>
        <v>MICHEL</v>
      </c>
      <c r="AQ2058" s="213" t="str">
        <f>IFERROR(__xludf.DUMMYFUNCTION("""COMPUTED_VALUE"""),"No se encontró pistola de pintar de gravedad que cumpla con todo lo solicitado. En su defecto, se ofrecen dos pistolas.")</f>
        <v>No se encontró pistola de pintar de gravedad que cumpla con todo lo solicitado. En su defecto, se ofrecen dos pistolas.</v>
      </c>
      <c r="AR2058" s="213"/>
      <c r="AS2058" s="213" t="str">
        <f>IFERROR(__xludf.DUMMYFUNCTION("""COMPUTED_VALUE"""),"MANGUERA 5M TRUPER 19013, CONECTORES RÁPIDOS TRUPER 19080")</f>
        <v>MANGUERA 5M TRUPER 19013, CONECTORES RÁPIDOS TRUPER 19080</v>
      </c>
      <c r="AT2058" s="217" t="str">
        <f>IFERROR(__xludf.DUMMYFUNCTION("""COMPUTED_VALUE"""),"https://cahema.pe/mangueras/17316-manguera-armada-14-ppintor-5-mts-19013-truper.html
https://cahema.pe/acoples-y-conectores/16023-juego-de-acople-y-conector-laton-14-npt-19080-truper-7501206619803.html")</f>
        <v>https://cahema.pe/mangueras/17316-manguera-armada-14-ppintor-5-mts-19013-truper.html
https://cahema.pe/acoples-y-conectores/16023-juego-de-acople-y-conector-laton-14-npt-19080-truper-7501206619803.html</v>
      </c>
      <c r="AU2058" s="213"/>
      <c r="AV2058" s="213"/>
      <c r="AW2058" s="213"/>
      <c r="AX2058" s="213"/>
      <c r="AY2058" s="213"/>
      <c r="AZ2058" s="213"/>
      <c r="BA2058" s="213"/>
      <c r="BB2058" s="213"/>
      <c r="BC2058" s="213"/>
      <c r="BD2058" s="213"/>
    </row>
    <row r="2059">
      <c r="A2059" s="213">
        <f>IFERROR(__xludf.DUMMYFUNCTION("""COMPUTED_VALUE"""),700.0)</f>
        <v>700</v>
      </c>
      <c r="B2059" s="213" t="str">
        <f>IFERROR(__xludf.DUMMYFUNCTION("""COMPUTED_VALUE"""),"6049 RICARDO PALMA")</f>
        <v>6049 RICARDO PALMA</v>
      </c>
      <c r="C2059" s="213" t="str">
        <f>IFERROR(__xludf.DUMMYFUNCTION("""COMPUTED_VALUE"""),"TALLER SFT DE ELECTRÓNICA")</f>
        <v>TALLER SFT DE ELECTRÓNICA</v>
      </c>
      <c r="D2059" s="213" t="str">
        <f>IFERROR(__xludf.DUMMYFUNCTION("""COMPUTED_VALUE"""),"EQUIPOS")</f>
        <v>EQUIPOS</v>
      </c>
      <c r="E2059" s="213" t="str">
        <f>IFERROR(__xludf.DUMMYFUNCTION("""COMPUTED_VALUE"""),"ESP-297")</f>
        <v>ESP-297</v>
      </c>
      <c r="F2059" s="213" t="str">
        <f>IFERROR(__xludf.DUMMYFUNCTION("""COMPUTED_VALUE"""),"ESP-297")</f>
        <v>ESP-297</v>
      </c>
      <c r="G2059" s="213"/>
      <c r="H2059" s="213" t="str">
        <f>IFERROR(__xludf.DUMMYFUNCTION("""COMPUTED_VALUE"""),"PISTOLA DE SOLDAR")</f>
        <v>PISTOLA DE SOLDAR</v>
      </c>
      <c r="I2059" s="213" t="str">
        <f>IFERROR(__xludf.DUMMYFUNCTION("""COMPUTED_VALUE"""),"· Soldador eléctrico en forma de pistola, generalmente usado para soldar con estaño.
· Potencia: 100 W  – 140 watts
· Voltaje, frecuencia: 220 V, 60 Hz
· Emite luz que indica el encendido de la pistola e ilumina el trabajo a soldar
· Incluye soporte y lim"&amp;"piador de punta.")</f>
        <v>· Soldador eléctrico en forma de pistola, generalmente usado para soldar con estaño.
· Potencia: 100 W  – 140 watts
· Voltaje, frecuencia: 220 V, 60 Hz
· Emite luz que indica el encendido de la pistola e ilumina el trabajo a soldar
· Incluye soporte y limpiador de punta.</v>
      </c>
      <c r="J2059" s="213">
        <f>IFERROR(__xludf.DUMMYFUNCTION("""COMPUTED_VALUE"""),3.0)</f>
        <v>3</v>
      </c>
      <c r="K2059" s="213" t="str">
        <f>IFERROR(__xludf.DUMMYFUNCTION("""COMPUTED_VALUE"""),"170 DÍAS CALENDARIO")</f>
        <v>170 DÍAS CALENDARIO</v>
      </c>
      <c r="L2059" s="213" t="str">
        <f>IFERROR(__xludf.DUMMYFUNCTION("""COMPUTED_VALUE"""),"")</f>
        <v/>
      </c>
      <c r="M2059" s="213">
        <f>IFERROR(__xludf.DUMMYFUNCTION("""COMPUTED_VALUE"""),1.0)</f>
        <v>1</v>
      </c>
      <c r="N2059" s="213">
        <f>IFERROR(__xludf.DUMMYFUNCTION("""COMPUTED_VALUE"""),4.0)</f>
        <v>4</v>
      </c>
      <c r="O2059" s="213">
        <f>IFERROR(__xludf.DUMMYFUNCTION("""COMPUTED_VALUE"""),4.0)</f>
        <v>4</v>
      </c>
      <c r="P2059" s="213"/>
      <c r="Q2059" s="213"/>
      <c r="R2059" s="213"/>
      <c r="S2059" s="213" t="str">
        <f>IFERROR(__xludf.DUMMYFUNCTION("""COMPUTED_VALUE"""),"SI")</f>
        <v>SI</v>
      </c>
      <c r="T2059" s="213" t="str">
        <f>IFERROR(__xludf.DUMMYFUNCTION("""COMPUTED_VALUE"""),"SI")</f>
        <v>SI</v>
      </c>
      <c r="U2059" s="213" t="str">
        <f>IFERROR(__xludf.DUMMYFUNCTION("""COMPUTED_VALUE"""),"SI")</f>
        <v>SI</v>
      </c>
      <c r="V2059" s="213" t="str">
        <f>IFERROR(__xludf.DUMMYFUNCTION("""COMPUTED_VALUE"""),"-")</f>
        <v>-</v>
      </c>
      <c r="W2059" s="213" t="str">
        <f>IFERROR(__xludf.DUMMYFUNCTION("""COMPUTED_VALUE"""),"-")</f>
        <v>-</v>
      </c>
      <c r="X2059" s="213" t="str">
        <f>IFERROR(__xludf.DUMMYFUNCTION("""COMPUTED_VALUE"""),"Weller")</f>
        <v>Weller</v>
      </c>
      <c r="Y2059" s="213" t="str">
        <f>IFERROR(__xludf.DUMMYFUNCTION("""COMPUTED_VALUE"""),"8200D")</f>
        <v>8200D</v>
      </c>
      <c r="Z2059" s="215" t="str">
        <f>IFERROR(__xludf.DUMMYFUNCTION("""COMPUTED_VALUE"""),"https://articulo.mercadolibre.com.pe/MPE-627995224-pistola-de-soldar-weller-de-140100w-original-220v-_JM#polycard_client=recommendations_pdp-v2p&amp;reco_backend=ranker_retrieval_system_org&amp;reco_model=rk_ent_v3_retsys_org&amp;reco_client=pdp-v2p&amp;reco_item_pos=1&amp;r"&amp;"eco_backend_type=low_level&amp;reco_id=649f934d-03ee-44e9-a165-6f3e2277ef6b&amp;wid=MPE627995224&amp;sid=recos")</f>
        <v>https://articulo.mercadolibre.com.pe/MPE-627995224-pistola-de-soldar-weller-de-140100w-original-220v-_JM#polycard_client=recommendations_pdp-v2p&amp;reco_backend=ranker_retrieval_system_org&amp;reco_model=rk_ent_v3_retsys_org&amp;reco_client=pdp-v2p&amp;reco_item_pos=1&amp;reco_backend_type=low_level&amp;reco_id=649f934d-03ee-44e9-a165-6f3e2277ef6b&amp;wid=MPE627995224&amp;sid=recos</v>
      </c>
      <c r="AA2059" s="213" t="str">
        <f>IFERROR(__xludf.DUMMYFUNCTION("""COMPUTED_VALUE"""),"ESP-297 PISTOLA DE SOLDAR - CET")</f>
        <v>ESP-297 PISTOLA DE SOLDAR - CET</v>
      </c>
      <c r="AB2059" s="213"/>
      <c r="AC2059" s="213"/>
      <c r="AD2059" s="213"/>
      <c r="AE2059" s="213"/>
      <c r="AF2059" s="213"/>
      <c r="AG2059" s="213"/>
      <c r="AH2059" s="213"/>
      <c r="AI2059" s="213"/>
      <c r="AJ2059" s="213"/>
      <c r="AK2059" s="213"/>
      <c r="AL2059" s="213"/>
      <c r="AM2059" s="213"/>
      <c r="AN2059" s="213"/>
      <c r="AO2059" s="213"/>
      <c r="AP2059" s="213" t="str">
        <f>IFERROR(__xludf.DUMMYFUNCTION("""COMPUTED_VALUE"""),"BRUNO")</f>
        <v>BRUNO</v>
      </c>
      <c r="AQ2059" s="213" t="str">
        <f>IFERROR(__xludf.DUMMYFUNCTION("""COMPUTED_VALUE"""),"Agregar Soporte y Limpiador al costo.")</f>
        <v>Agregar Soporte y Limpiador al costo.</v>
      </c>
      <c r="AR2059" s="213"/>
      <c r="AS2059" s="213" t="str">
        <f>IFERROR(__xludf.DUMMYFUNCTION("""COMPUTED_VALUE"""),"Soporte de cautin metal pesado Takema  /  Limpiador De Puntas Metálico Para Cautin - Takema")</f>
        <v>Soporte de cautin metal pesado Takema  /  Limpiador De Puntas Metálico Para Cautin - Takema</v>
      </c>
      <c r="AT2059" s="216" t="str">
        <f>IFERROR(__xludf.DUMMYFUNCTION("""COMPUTED_VALUE"""),"https://www.promart.pe/soporte-de-cautin-metal-pesado/p?gad_source=1&amp;gad_campaignid=22932501259&amp;gbraid=0AAAAADJIfAJgSvKabG2GnPwrq3k6Yqddv&amp;gclid=CjwKCAjw6P3GBhBVEiwAJPjmLvm3ljkm0SxQnmi1tkLz487IL7dbrcUNBI-gC94vkstPyfZ7CNI2shoCEQQQAvD_BwE
https://www.mercad"&amp;"olibre.com.pe/limpiador-de-puntas-metalico-para-cautin--takema/up/MPEU2463401498?has_official_store=false&amp;highlight=false&amp;headerTopBrand=false#polycard_client=search-nordic&amp;search_layout=grid&amp;position=3&amp;type=product&amp;tracking_id=b698c16e-d0c3-44e1-afb3-1f6"&amp;"3d512b4de&amp;wid=MPE622495745&amp;sid=search")</f>
        <v>https://www.promart.pe/soporte-de-cautin-metal-pesado/p?gad_source=1&amp;gad_campaignid=22932501259&amp;gbraid=0AAAAADJIfAJgSvKabG2GnPwrq3k6Yqddv&amp;gclid=CjwKCAjw6P3GBhBVEiwAJPjmLvm3ljkm0SxQnmi1tkLz487IL7dbrcUNBI-gC94vkstPyfZ7CNI2shoCEQQQAvD_BwE
https://www.mercadolibre.com.pe/limpiador-de-puntas-metalico-para-cautin--takema/up/MPEU2463401498?has_official_store=false&amp;highlight=false&amp;headerTopBrand=false#polycard_client=search-nordic&amp;search_layout=grid&amp;position=3&amp;type=product&amp;tracking_id=b698c16e-d0c3-44e1-afb3-1f63d512b4de&amp;wid=MPE622495745&amp;sid=search</v>
      </c>
      <c r="AU2059" s="213"/>
      <c r="AV2059" s="213"/>
      <c r="AW2059" s="213"/>
      <c r="AX2059" s="213"/>
      <c r="AY2059" s="213"/>
      <c r="AZ2059" s="213"/>
      <c r="BA2059" s="213"/>
      <c r="BB2059" s="213"/>
      <c r="BC2059" s="213"/>
      <c r="BD2059" s="213"/>
    </row>
    <row r="2060">
      <c r="A2060" s="213">
        <f>IFERROR(__xludf.DUMMYFUNCTION("""COMPUTED_VALUE"""),1904.0)</f>
        <v>1904</v>
      </c>
      <c r="B2060" s="213" t="str">
        <f>IFERROR(__xludf.DUMMYFUNCTION("""COMPUTED_VALUE"""),"GUILLERMO E. BILLINGHURST ")</f>
        <v>GUILLERMO E. BILLINGHURST </v>
      </c>
      <c r="C2060" s="213" t="str">
        <f>IFERROR(__xludf.DUMMYFUNCTION("""COMPUTED_VALUE"""),"TALLER SFT DE EBANISTERÍA")</f>
        <v>TALLER SFT DE EBANISTERÍA</v>
      </c>
      <c r="D2060" s="213" t="str">
        <f>IFERROR(__xludf.DUMMYFUNCTION("""COMPUTED_VALUE"""),"EQUIPOS")</f>
        <v>EQUIPOS</v>
      </c>
      <c r="E2060" s="213" t="str">
        <f>IFERROR(__xludf.DUMMYFUNCTION("""COMPUTED_VALUE"""),"ESP-298")</f>
        <v>ESP-298</v>
      </c>
      <c r="F2060" s="213" t="str">
        <f>IFERROR(__xludf.DUMMYFUNCTION("""COMPUTED_VALUE"""),"ESP-298")</f>
        <v>ESP-298</v>
      </c>
      <c r="G2060" s="213"/>
      <c r="H2060" s="213" t="str">
        <f>IFERROR(__xludf.DUMMYFUNCTION("""COMPUTED_VALUE"""),"PISTOLA SOPLADORA DE AIRE")</f>
        <v>PISTOLA SOPLADORA DE AIRE</v>
      </c>
      <c r="I2060" s="213" t="str">
        <f>IFERROR(__xludf.DUMMYFUNCTION("""COMPUTED_VALUE"""),"Conexión de aire: 1/4 aprox. Presión de trabajo: hasta 9 bar.
Empuñadura ergonómica de aluminio y acero. Conector rápido.")</f>
        <v>Conexión de aire: 1/4 aprox. Presión de trabajo: hasta 9 bar.
Empuñadura ergonómica de aluminio y acero. Conector rápido.</v>
      </c>
      <c r="J2060" s="213">
        <f>IFERROR(__xludf.DUMMYFUNCTION("""COMPUTED_VALUE"""),3.0)</f>
        <v>3</v>
      </c>
      <c r="K2060" s="213" t="str">
        <f>IFERROR(__xludf.DUMMYFUNCTION("""COMPUTED_VALUE"""),"170 DÍAS CALENDARIO")</f>
        <v>170 DÍAS CALENDARIO</v>
      </c>
      <c r="L2060" s="213" t="str">
        <f>IFERROR(__xludf.DUMMYFUNCTION("""COMPUTED_VALUE"""),"")</f>
        <v/>
      </c>
      <c r="M2060" s="213">
        <f>IFERROR(__xludf.DUMMYFUNCTION("""COMPUTED_VALUE"""),1.0)</f>
        <v>1</v>
      </c>
      <c r="N2060" s="213">
        <f>IFERROR(__xludf.DUMMYFUNCTION("""COMPUTED_VALUE"""),1.0)</f>
        <v>1</v>
      </c>
      <c r="O2060" s="213">
        <f>IFERROR(__xludf.DUMMYFUNCTION("""COMPUTED_VALUE"""),1.0)</f>
        <v>1</v>
      </c>
      <c r="P2060" s="213"/>
      <c r="Q2060" s="213"/>
      <c r="R2060" s="213"/>
      <c r="S2060" s="213" t="str">
        <f>IFERROR(__xludf.DUMMYFUNCTION("""COMPUTED_VALUE"""),"SI")</f>
        <v>SI</v>
      </c>
      <c r="T2060" s="213" t="str">
        <f>IFERROR(__xludf.DUMMYFUNCTION("""COMPUTED_VALUE"""),"CONSULTA FINAL")</f>
        <v>CONSULTA FINAL</v>
      </c>
      <c r="U2060" s="213" t="str">
        <f>IFERROR(__xludf.DUMMYFUNCTION("""COMPUTED_VALUE"""),"SI")</f>
        <v>SI</v>
      </c>
      <c r="V2060" s="213" t="str">
        <f>IFERROR(__xludf.DUMMYFUNCTION("""COMPUTED_VALUE"""),"-")</f>
        <v>-</v>
      </c>
      <c r="W2060" s="213" t="str">
        <f>IFERROR(__xludf.DUMMYFUNCTION("""COMPUTED_VALUE"""),"-")</f>
        <v>-</v>
      </c>
      <c r="X2060" s="213" t="str">
        <f>IFERROR(__xludf.DUMMYFUNCTION("""COMPUTED_VALUE"""),"COLORFIT")</f>
        <v>COLORFIT</v>
      </c>
      <c r="Y2060" s="213" t="str">
        <f>IFERROR(__xludf.DUMMYFUNCTION("""COMPUTED_VALUE"""),"S-148TC")</f>
        <v>S-148TC</v>
      </c>
      <c r="Z2060" s="215" t="str">
        <f>IFERROR(__xludf.DUMMYFUNCTION("""COMPUTED_VALUE"""),"https://miltonindustries.com/collections/air-blow-guns/products/colorfitr-by-milton-s-148tc-1-4-npt-lever-blow-gun-tool-rubber-tip-nozzle-blue?_pos=3&amp;_fid=511a843e2&amp;_ss=c")</f>
        <v>https://miltonindustries.com/collections/air-blow-guns/products/colorfitr-by-milton-s-148tc-1-4-npt-lever-blow-gun-tool-rubber-tip-nozzle-blue?_pos=3&amp;_fid=511a843e2&amp;_ss=c</v>
      </c>
      <c r="AA2060" s="213" t="str">
        <f>IFERROR(__xludf.DUMMYFUNCTION("""COMPUTED_VALUE"""),"ESP-298 PISTOLA SOPLADORA DE AIRE - CET")</f>
        <v>ESP-298 PISTOLA SOPLADORA DE AIRE - CET</v>
      </c>
      <c r="AB2060" s="215" t="str">
        <f>IFERROR(__xludf.DUMMYFUNCTION("""COMPUTED_VALUE"""),"https://drive.google.com/file/d/1IYXD0nftHEpo1mpCj0a3gMcunn19KV2x/view?usp=drive_link")</f>
        <v>https://drive.google.com/file/d/1IYXD0nftHEpo1mpCj0a3gMcunn19KV2x/view?usp=drive_link</v>
      </c>
      <c r="AC2060" s="213"/>
      <c r="AD2060" s="213"/>
      <c r="AE2060" s="213"/>
      <c r="AF2060" s="213"/>
      <c r="AG2060" s="213"/>
      <c r="AH2060" s="213"/>
      <c r="AI2060" s="213"/>
      <c r="AJ2060" s="213"/>
      <c r="AK2060" s="213"/>
      <c r="AL2060" s="213"/>
      <c r="AM2060" s="213"/>
      <c r="AN2060" s="213"/>
      <c r="AO2060" s="213"/>
      <c r="AP2060" s="213" t="str">
        <f>IFERROR(__xludf.DUMMYFUNCTION("""COMPUTED_VALUE"""),"MICHEL")</f>
        <v>MICHEL</v>
      </c>
      <c r="AQ2060" s="213"/>
      <c r="AR2060" s="213"/>
      <c r="AS2060" s="213" t="str">
        <f>IFERROR(__xludf.DUMMYFUNCTION("""COMPUTED_VALUE"""),"Conector rápido de 1/4"" macho - 27023 Pretul")</f>
        <v>Conector rápido de 1/4" macho - 27023 Pretul</v>
      </c>
      <c r="AT2060" s="216" t="str">
        <f>IFERROR(__xludf.DUMMYFUNCTION("""COMPUTED_VALUE"""),"https://cahema.pe/acoples-y-conectores/16739-conector-rapido-de-14-macho-27023-pretul.html")</f>
        <v>https://cahema.pe/acoples-y-conectores/16739-conector-rapido-de-14-macho-27023-pretul.html</v>
      </c>
      <c r="AU2060" s="213"/>
      <c r="AV2060" s="213"/>
      <c r="AW2060" s="213"/>
      <c r="AX2060" s="213"/>
      <c r="AY2060" s="213"/>
      <c r="AZ2060" s="213"/>
      <c r="BA2060" s="213"/>
      <c r="BB2060" s="213"/>
      <c r="BC2060" s="213"/>
      <c r="BD2060" s="213"/>
    </row>
    <row r="2061">
      <c r="A2061" s="213">
        <f>IFERROR(__xludf.DUMMYFUNCTION("""COMPUTED_VALUE"""),2685.0)</f>
        <v>2685</v>
      </c>
      <c r="B2061" s="213" t="str">
        <f>IFERROR(__xludf.DUMMYFUNCTION("""COMPUTED_VALUE"""),"MANUEL ANTONIO MESONES MURO")</f>
        <v>MANUEL ANTONIO MESONES MURO</v>
      </c>
      <c r="C2061" s="213" t="str">
        <f>IFERROR(__xludf.DUMMYFUNCTION("""COMPUTED_VALUE"""),"TALLER SFT DE EBANISTERÍA")</f>
        <v>TALLER SFT DE EBANISTERÍA</v>
      </c>
      <c r="D2061" s="213" t="str">
        <f>IFERROR(__xludf.DUMMYFUNCTION("""COMPUTED_VALUE"""),"EQUIPOS")</f>
        <v>EQUIPOS</v>
      </c>
      <c r="E2061" s="213" t="str">
        <f>IFERROR(__xludf.DUMMYFUNCTION("""COMPUTED_VALUE"""),"ESP-298")</f>
        <v>ESP-298</v>
      </c>
      <c r="F2061" s="213" t="str">
        <f>IFERROR(__xludf.DUMMYFUNCTION("""COMPUTED_VALUE"""),"ESP-298")</f>
        <v>ESP-298</v>
      </c>
      <c r="G2061" s="213"/>
      <c r="H2061" s="213" t="str">
        <f>IFERROR(__xludf.DUMMYFUNCTION("""COMPUTED_VALUE"""),"PISTOLA SOPLADORA DE AIRE")</f>
        <v>PISTOLA SOPLADORA DE AIRE</v>
      </c>
      <c r="I2061" s="213" t="str">
        <f>IFERROR(__xludf.DUMMYFUNCTION("""COMPUTED_VALUE"""),"Conexión de aire: 1/4 aprox. Presión de trabajo: hasta 9 bar.
Empuñadura ergonómica de aluminio y acero. Conector rápido.")</f>
        <v>Conexión de aire: 1/4 aprox. Presión de trabajo: hasta 9 bar.
Empuñadura ergonómica de aluminio y acero. Conector rápido.</v>
      </c>
      <c r="J2061" s="213">
        <f>IFERROR(__xludf.DUMMYFUNCTION("""COMPUTED_VALUE"""),3.0)</f>
        <v>3</v>
      </c>
      <c r="K2061" s="213" t="str">
        <f>IFERROR(__xludf.DUMMYFUNCTION("""COMPUTED_VALUE"""),"170 DÍAS CALENDARIO")</f>
        <v>170 DÍAS CALENDARIO</v>
      </c>
      <c r="L2061" s="213" t="str">
        <f>IFERROR(__xludf.DUMMYFUNCTION("""COMPUTED_VALUE"""),"")</f>
        <v/>
      </c>
      <c r="M2061" s="213">
        <f>IFERROR(__xludf.DUMMYFUNCTION("""COMPUTED_VALUE"""),1.0)</f>
        <v>1</v>
      </c>
      <c r="N2061" s="213">
        <f>IFERROR(__xludf.DUMMYFUNCTION("""COMPUTED_VALUE"""),1.0)</f>
        <v>1</v>
      </c>
      <c r="O2061" s="213">
        <f>IFERROR(__xludf.DUMMYFUNCTION("""COMPUTED_VALUE"""),1.0)</f>
        <v>1</v>
      </c>
      <c r="P2061" s="213"/>
      <c r="Q2061" s="213"/>
      <c r="R2061" s="213"/>
      <c r="S2061" s="213" t="str">
        <f>IFERROR(__xludf.DUMMYFUNCTION("""COMPUTED_VALUE"""),"SI")</f>
        <v>SI</v>
      </c>
      <c r="T2061" s="213" t="str">
        <f>IFERROR(__xludf.DUMMYFUNCTION("""COMPUTED_VALUE"""),"CONSULTA FINAL")</f>
        <v>CONSULTA FINAL</v>
      </c>
      <c r="U2061" s="213" t="str">
        <f>IFERROR(__xludf.DUMMYFUNCTION("""COMPUTED_VALUE"""),"SI")</f>
        <v>SI</v>
      </c>
      <c r="V2061" s="213" t="str">
        <f>IFERROR(__xludf.DUMMYFUNCTION("""COMPUTED_VALUE"""),"-")</f>
        <v>-</v>
      </c>
      <c r="W2061" s="213" t="str">
        <f>IFERROR(__xludf.DUMMYFUNCTION("""COMPUTED_VALUE"""),"-")</f>
        <v>-</v>
      </c>
      <c r="X2061" s="213" t="str">
        <f>IFERROR(__xludf.DUMMYFUNCTION("""COMPUTED_VALUE"""),"COLORFIT")</f>
        <v>COLORFIT</v>
      </c>
      <c r="Y2061" s="213" t="str">
        <f>IFERROR(__xludf.DUMMYFUNCTION("""COMPUTED_VALUE"""),"S-148TC")</f>
        <v>S-148TC</v>
      </c>
      <c r="Z2061" s="215" t="str">
        <f>IFERROR(__xludf.DUMMYFUNCTION("""COMPUTED_VALUE"""),"https://miltonindustries.com/collections/air-blow-guns/products/colorfitr-by-milton-s-148tc-1-4-npt-lever-blow-gun-tool-rubber-tip-nozzle-blue?_pos=3&amp;_fid=511a843e2&amp;_ss=c")</f>
        <v>https://miltonindustries.com/collections/air-blow-guns/products/colorfitr-by-milton-s-148tc-1-4-npt-lever-blow-gun-tool-rubber-tip-nozzle-blue?_pos=3&amp;_fid=511a843e2&amp;_ss=c</v>
      </c>
      <c r="AA2061" s="213" t="str">
        <f>IFERROR(__xludf.DUMMYFUNCTION("""COMPUTED_VALUE"""),"ESP-298 PISTOLA SOPLADORA DE AIRE - CET")</f>
        <v>ESP-298 PISTOLA SOPLADORA DE AIRE - CET</v>
      </c>
      <c r="AB2061" s="215" t="str">
        <f>IFERROR(__xludf.DUMMYFUNCTION("""COMPUTED_VALUE"""),"https://drive.google.com/file/d/1IYXD0nftHEpo1mpCj0a3gMcunn19KV2x/view?usp=drive_link")</f>
        <v>https://drive.google.com/file/d/1IYXD0nftHEpo1mpCj0a3gMcunn19KV2x/view?usp=drive_link</v>
      </c>
      <c r="AC2061" s="213"/>
      <c r="AD2061" s="213"/>
      <c r="AE2061" s="213"/>
      <c r="AF2061" s="213"/>
      <c r="AG2061" s="213"/>
      <c r="AH2061" s="213"/>
      <c r="AI2061" s="213"/>
      <c r="AJ2061" s="213"/>
      <c r="AK2061" s="213"/>
      <c r="AL2061" s="213"/>
      <c r="AM2061" s="213"/>
      <c r="AN2061" s="213"/>
      <c r="AO2061" s="213"/>
      <c r="AP2061" s="213" t="str">
        <f>IFERROR(__xludf.DUMMYFUNCTION("""COMPUTED_VALUE"""),"MICHEL")</f>
        <v>MICHEL</v>
      </c>
      <c r="AQ2061" s="213"/>
      <c r="AR2061" s="213"/>
      <c r="AS2061" s="213" t="str">
        <f>IFERROR(__xludf.DUMMYFUNCTION("""COMPUTED_VALUE"""),"Conector rápido de 1/4"" macho - 27023 Pretul")</f>
        <v>Conector rápido de 1/4" macho - 27023 Pretul</v>
      </c>
      <c r="AT2061" s="216" t="str">
        <f>IFERROR(__xludf.DUMMYFUNCTION("""COMPUTED_VALUE"""),"https://cahema.pe/acoples-y-conectores/16739-conector-rapido-de-14-macho-27023-pretul.html")</f>
        <v>https://cahema.pe/acoples-y-conectores/16739-conector-rapido-de-14-macho-27023-pretul.html</v>
      </c>
      <c r="AU2061" s="213"/>
      <c r="AV2061" s="213"/>
      <c r="AW2061" s="213"/>
      <c r="AX2061" s="213"/>
      <c r="AY2061" s="213"/>
      <c r="AZ2061" s="213"/>
      <c r="BA2061" s="213"/>
      <c r="BB2061" s="213"/>
      <c r="BC2061" s="213"/>
      <c r="BD2061" s="213"/>
    </row>
    <row r="2062">
      <c r="A2062" s="213">
        <f>IFERROR(__xludf.DUMMYFUNCTION("""COMPUTED_VALUE"""),128.0)</f>
        <v>128</v>
      </c>
      <c r="B2062" s="213" t="str">
        <f>IFERROR(__xludf.DUMMYFUNCTION("""COMPUTED_VALUE"""),"16449 ELOY SOBERON  FLORES")</f>
        <v>16449 ELOY SOBERON  FLORES</v>
      </c>
      <c r="C2062" s="213" t="str">
        <f>IFERROR(__xludf.DUMMYFUNCTION("""COMPUTED_VALUE"""),"TALLER SFT DE COCINA Y REPOSTERÍA")</f>
        <v>TALLER SFT DE COCINA Y REPOSTERÍA</v>
      </c>
      <c r="D2062" s="213" t="str">
        <f>IFERROR(__xludf.DUMMYFUNCTION("""COMPUTED_VALUE"""),"TICS")</f>
        <v>TICS</v>
      </c>
      <c r="E2062" s="213" t="str">
        <f>IFERROR(__xludf.DUMMYFUNCTION("""COMPUTED_VALUE"""),"TEC-114")</f>
        <v>TEC-114</v>
      </c>
      <c r="F2062" s="213" t="str">
        <f>IFERROR(__xludf.DUMMYFUNCTION("""COMPUTED_VALUE"""),"TEC-114")</f>
        <v>TEC-114</v>
      </c>
      <c r="G2062" s="213"/>
      <c r="H2062" s="213" t="str">
        <f>IFERROR(__xludf.DUMMYFUNCTION("""COMPUTED_VALUE"""),"PIZARRA (PANTALLA) TÁCTIL INTERACTIVA MULTI-TOUCH")</f>
        <v>PIZARRA (PANTALLA) TÁCTIL INTERACTIVA MULTI-TOUCH</v>
      </c>
      <c r="I2062"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PA"&amp;"NTALLA 75"" --- RESOLUCIÓN 3840 x 2160 --- CONTRASTE 2000:1 o superior --- MÉTODO DE ESCRITURA Tactil, lapiz y/o lapicero compatible con la pantalla --- NUMERO DE TOQUES 10 como minimo
--- CONECTIVIDAD Inalambrica IEEE 802.11 ac ---- PUERTOS E/S: USB, HDM"&amp;"I, RS232, VGA, Audio y RJ45 --- AUDIO 10W --- VOLTAJE 220VAC /60 HZ ---
SISTEMA OPERATIVO DE LA PANTALLA Windows y/o IOS y/o Android y/o Linux y/o del mismo fabricante --- SOFTWARE Control del uso de la pantalla y/o manejo de la clase --- CERTIFICADO Ener"&amp;"gy Star y/o CE y/o FCC y/o RoHS. --- 02 lapiceros y/o lapiz inalámbrico compatible con el equipo. --- 01 Cable de alimentación y 01 cable de conexión de video y 01 cable  --- USB y 01 Manual de Usuario --- 01 Kit de montaje con ruedas  --- GARANTIA Tres ("&amp;"03) años Onsite a Nivel Nacional
CONTIENE:
. Softwares de última generación y utilitarios instalados en 64 Bits. Instalados en la computadora, trabajan con y sin conexión a internet. / Software Microsoft Office 2019 o superior (Word, Excel, PowerPoint, Vi"&amp;"sio, One Note y Ms Forms), idioma Español, de 64 Bits.
· Software Antivirus:
- Licenciada / Idioma español / Protección antivirus en tiempo real para proteger de virus, troyanos, adware, malware y phishing / Protección contra firewall /
· Software - Progr"&amp;"amas CAD para dibujos en 2D, 3D y renderizado:
- Gratuitos /libres (de código abierto) / Idioma español / Compatible con el sistema operativo de la computadora (Windows 11 o posterior) / Cuenta con herramientas de edición y modelado de muebles / Cuenta co"&amp;"n editor geométrico interactivo, procesamiento de imágenes y señales / Alta capacidad de renderizado / Entre las alternativas gratuitas: SketchUp, Polyboard, Sweet Home 3D, entre otros.
· Software para diseño gráfico publicitario:
- Gratuitos /libres (de "&amp;"código abierto) / Idioma español / Compatible con el sistema operativo de la computadora (Windows 11 o posterior) / Permite crear diseños, gráficos, fotografías y sitios web / Dispone de herramientas profesionales de diseño, edición de imágenes y fotograf"&amp;"ías y diseño de páginas web. Funciones táctiles y para lápices intuitivos / Dispone de editor de gráficos vectoriales, textos y logos / Permite diseño de prototipos e interfaces para aplicaciones y sitios web / Entre las alternativas gratuitas /libres: Gi"&amp;"mp, krita, Inkscape, Pencil Proyect, entre otros.
· Software para diseño y edición de videos – spot publicitarios:
- Gratuitos /libres (de código abierto) / Idioma español / Versión 2019 o superior / Compatible con el sistema operativo de la computadora ("&amp;"Windows 11 o posterior) / Permite diseñar y editar videos / Trabaja con diferentes formatos: Un amplio soporte para diferentes formatos, incluyendo MP4, AVI, MOV, AVCHD y más. / Permite crear videos de alta resolución: 4K, y trabajar en formato SD y HD / "&amp;"Dispone de las herramientas más utilizadas en los editores de vídeos: cortar, recortar, dividir y combinar en unos pocos clics. / Permite generar acabados: Varios filtros y efectos visuales para retocar el vídeo, efectos especiales en 2D y 3D / Dispone de"&amp;"
herramientas para realizar diseños y animaciones en 3D y plantillas animadas gratuitas. / Permite editar, ajustar perfeccionar el audio / Entre las alternativas gratuitas /libres: Windows Movie Maker, Video editor Wondershare filmadora, Lightworks, VSDC "&amp;"Free Video editor, Blender, entre otros.
· Software / programas para elaborar flujogramas:
- Gratuitos /libres (de código abierto) / Idioma español / Compatible con el sistema operativo de la computadora (Windows 11 o posterior) / Diseña diagramas de fluj"&amp;"os y organigramas / Contiene una variedad de símbolos y estilos de conexión de líneas. / Edita, personaliza colores, rellenos y trazos / Entre las alternativas gratuitas /libres: clickCharts, CreatelyDia, y Ed Graph Editor, Pencil project, entre otros.
· "&amp;"Software para elaborar presupuestos:
- Gratuitos /libres (de código abierto) / Idioma español / Compatible con el sistema operativo de la computadora (Windows 11 o posterior) / Crea presupuestos, gestiona la facturación y la planificación de presupuestos "&amp;"/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62" s="213">
        <f>IFERROR(__xludf.DUMMYFUNCTION("""COMPUTED_VALUE"""),3.0)</f>
        <v>3</v>
      </c>
      <c r="K2062" s="213" t="str">
        <f>IFERROR(__xludf.DUMMYFUNCTION("""COMPUTED_VALUE"""),"170 DÍAS CALENDARIO")</f>
        <v>170 DÍAS CALENDARIO</v>
      </c>
      <c r="L2062"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62" s="213">
        <f>IFERROR(__xludf.DUMMYFUNCTION("""COMPUTED_VALUE"""),1.0)</f>
        <v>1</v>
      </c>
      <c r="N2062" s="213">
        <f>IFERROR(__xludf.DUMMYFUNCTION("""COMPUTED_VALUE"""),1.0)</f>
        <v>1</v>
      </c>
      <c r="O2062" s="213">
        <f>IFERROR(__xludf.DUMMYFUNCTION("""COMPUTED_VALUE"""),1.0)</f>
        <v>1</v>
      </c>
      <c r="P2062" s="213"/>
      <c r="Q2062" s="213"/>
      <c r="R2062" s="213"/>
      <c r="S2062" s="213"/>
      <c r="T2062" s="213" t="str">
        <f>IFERROR(__xludf.DUMMYFUNCTION("""COMPUTED_VALUE"""),"SI")</f>
        <v>SI</v>
      </c>
      <c r="U2062" s="213" t="str">
        <f>IFERROR(__xludf.DUMMYFUNCTION("""COMPUTED_VALUE"""),"NO")</f>
        <v>NO</v>
      </c>
      <c r="V2062" s="213" t="str">
        <f>IFERROR(__xludf.DUMMYFUNCTION("""COMPUTED_VALUE"""),"SUSTENTO")</f>
        <v>SUSTENTO</v>
      </c>
      <c r="W2062" s="213" t="str">
        <f>IFERROR(__xludf.DUMMYFUNCTION("""COMPUTED_VALUE"""),"CRÍTICO")</f>
        <v>CRÍTICO</v>
      </c>
      <c r="X2062" s="213" t="str">
        <f>IFERROR(__xludf.DUMMYFUNCTION("""COMPUTED_VALUE"""),"ViewSonic")</f>
        <v>ViewSonic</v>
      </c>
      <c r="Y2062" s="213" t="str">
        <f>IFERROR(__xludf.DUMMYFUNCTION("""COMPUTED_VALUE"""),"IFP7550")</f>
        <v>IFP7550</v>
      </c>
      <c r="Z2062" s="215" t="str">
        <f>IFERROR(__xludf.DUMMYFUNCTION("""COMPUTED_VALUE"""),"https://www.viewsonic.com/la/products/ifp7550.html#specTabs.specifications")</f>
        <v>https://www.viewsonic.com/la/products/ifp7550.html#specTabs.specifications</v>
      </c>
      <c r="AA2062" s="213" t="str">
        <f>IFERROR(__xludf.DUMMYFUNCTION("""COMPUTED_VALUE"""),"TEC-114 PIZARRA (PANTALLA) TÁCTIL INTERACTIVA MULTI-TOUCH - CET")</f>
        <v>TEC-114 PIZARRA (PANTALLA) TÁCTIL INTERACTIVA MULTI-TOUCH - CET</v>
      </c>
      <c r="AB2062" s="213"/>
      <c r="AC2062" s="213"/>
      <c r="AD2062" s="213"/>
      <c r="AE2062" s="213"/>
      <c r="AF2062" s="213"/>
      <c r="AG2062" s="213"/>
      <c r="AH2062" s="213"/>
      <c r="AI2062" s="213"/>
      <c r="AJ2062" s="213"/>
      <c r="AK2062" s="213"/>
      <c r="AL2062" s="213"/>
      <c r="AM2062" s="213"/>
      <c r="AN2062" s="213"/>
      <c r="AO2062" s="213"/>
      <c r="AP2062" s="213" t="str">
        <f>IFERROR(__xludf.DUMMYFUNCTION("""COMPUTED_VALUE"""),"NALDI")</f>
        <v>NALDI</v>
      </c>
      <c r="AQ2062" s="213" t="str">
        <f>IFERROR(__xludf.DUMMYFUNCTION("""COMPUTED_VALUE"""),"Instalar antivirus, software CAD, diseño gráfico, edición de video, flujogramas y presupuestos")</f>
        <v>Instalar antivirus, software CAD, diseño gráfico, edición de video, flujogramas y presupuestos</v>
      </c>
      <c r="AR2062" s="213"/>
      <c r="AS2062" s="213" t="str">
        <f>IFERROR(__xludf.DUMMYFUNCTION("""COMPUTED_VALUE"""),"Adaptador de VGA a HDMI
Rack para pizarra
Instalar los programas")</f>
        <v>Adaptador de VGA a HDMI
Rack para pizarra
Instalar los programas</v>
      </c>
      <c r="AT2062" s="213"/>
      <c r="AU2062" s="213"/>
      <c r="AV2062" s="213"/>
      <c r="AW2062" s="213"/>
      <c r="AX2062" s="213"/>
      <c r="AY2062" s="213"/>
      <c r="AZ2062" s="213"/>
      <c r="BA2062" s="213"/>
      <c r="BB2062" s="213"/>
      <c r="BC2062" s="213"/>
      <c r="BD2062" s="213"/>
    </row>
    <row r="2063">
      <c r="A2063" s="213">
        <f>IFERROR(__xludf.DUMMYFUNCTION("""COMPUTED_VALUE"""),189.0)</f>
        <v>189</v>
      </c>
      <c r="B2063" s="213" t="str">
        <f>IFERROR(__xludf.DUMMYFUNCTION("""COMPUTED_VALUE"""),"2026 SIMON BOLIVAR")</f>
        <v>2026 SIMON BOLIVAR</v>
      </c>
      <c r="C2063" s="213" t="str">
        <f>IFERROR(__xludf.DUMMYFUNCTION("""COMPUTED_VALUE"""),"TALLER SFT DE INDUSTRIA DEL VESTIDO")</f>
        <v>TALLER SFT DE INDUSTRIA DEL VESTIDO</v>
      </c>
      <c r="D2063" s="213" t="str">
        <f>IFERROR(__xludf.DUMMYFUNCTION("""COMPUTED_VALUE"""),"TICS")</f>
        <v>TICS</v>
      </c>
      <c r="E2063" s="213" t="str">
        <f>IFERROR(__xludf.DUMMYFUNCTION("""COMPUTED_VALUE"""),"TEC-114")</f>
        <v>TEC-114</v>
      </c>
      <c r="F2063" s="213" t="str">
        <f>IFERROR(__xludf.DUMMYFUNCTION("""COMPUTED_VALUE"""),"TEC-114")</f>
        <v>TEC-114</v>
      </c>
      <c r="G2063" s="213"/>
      <c r="H2063" s="213" t="str">
        <f>IFERROR(__xludf.DUMMYFUNCTION("""COMPUTED_VALUE"""),"PIZARRA (PANTALLA) TÁCTIL INTERACTIVA MULTI-TOUCH")</f>
        <v>PIZARRA (PANTALLA) TÁCTIL INTERACTIVA MULTI-TOUCH</v>
      </c>
      <c r="I2063"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 PUERTOS E/S: USB, HDMI"&amp;", RS232, VGA, Audio y RJ45 --- AUDIO 10W --- VOLTAJE 220VAC /60 HZ ---
SISTEMA OPERATIVO DE LA PANTALLA Windows y/o IOS y/o Android y/o Linux y/o del mismo fabricante --- SOFTWARE Control del uso de la pantalla y/o manejo de la clase --- CERTIFICADO Energ"&amp;"y Star y/o CE y/o FCC y/o RoHS. --- 02 lapiceros y/o lapiz inalámbrico compatible con el equipo. --- 01 Cable de alimentación y 01 cable de conexión de video y 01 cable  --- USB y 01 Manual de Usuario --- 01 Kit de montaje con ruedas  --- GARANTIA Tres (0"&amp;"3) años Onsite a Nivel Nacional
CONTIENE:
. Softwares de última generación y utilitarios instalados en 64 Bits. Instalados en la computadora, trabajan con y sin conexión a internet. / Software Microsoft Office 2019 o superior (Word, Excel, PowerPoint, Vis"&amp;"io, One Note y Ms Forms), idioma Español, de 64 Bits.
· Software Antivirus:
- Licenciada / Idioma español / Protección antivirus en tiempo real para proteger de virus, troyanos, adware, malware y phishing / Protección contra firewall /
· Software - Progra"&amp;"mas CAD para dibujos en 2D, 3D y renderizado:
- Gratuitos /libres (de código abierto) / Idioma español / Compatible con el sistema operativo de la computadora (Windows 11 o posterior) / Cuenta con herramientas de edición y modelado de muebles / Cuenta con"&amp;" editor geométrico interactivo, procesamiento de imágenes y señales / Alta capacidad de renderizado / Entre las alternativas gratuitas: SketchUp, Polyboard, Sweet Home 3D, entre otros.
· Software para diseño gráfico publicitario:
- Gratuitos /libres (de c"&amp;"ódigo abierto) / Idioma español / Compatible con el sistema operativo de la computadora (Windows 11 o posterior) / Permite crear  diseños, gráficos, fotografías y sitios web / Dispone de herramientas profesionales de diseño, edición de imágenes y fotograf"&amp;"ías y diseño de páginas web. Funciones táctiles y para lápices intuitivos / Dispone de editor de gráficos vectoriales, textos y logos / Permite diseño de prototipos e interfaces para aplicaciones y sitios web / Entre las alternativas gratuitas /libres: Gi"&amp;"mp, krita, Inkscape, Pencil Proyect, entre otros.
· Software para diseño y edición de videos – spot publicitarios:
- Gratuitos /libres (de código abierto) / Idioma español / Versión 2019 o superior / Compatible con el sistema operativo de la computadora ("&amp;"Windows 11 o posterior) / Permite diseñar y editar videos / Trabaja con diferentes formatos: Un amplio soporte para diferentes formatos, incluyendo MP4, AVI, MOV, AVCHD y más. / Permite crear videos de alta resolución: 4K, y trabajar en formato SD y HD / "&amp;"Dispone de las herramientas más utilizadas en los editores de vídeos: cortar, recortar, dividir y combinar en unos pocos clics. / Permite generar acabados: Varios filtros y efectos visuales para retocar el vídeo, efectos especiales en 2D y 3D
/ Dispone de"&amp;"
herramientas para realizar diseños y animaciones en 3D y plantillas animadas gratuitas. / Permite editar, ajustar perfeccionar el audio / Entre las alternativas gratuitas /libres: Windows Movie Maker, Video editor Wondershare filmadora, Lightworks, VSDC "&amp;"Free Video editor, Blender, entre otros.
· Software / programas para elaborar flujogramas:
- Gratuitos /libres (de código abierto) / Idioma español / Compatible con el sistema operativo de la computadora (Windows 11 o posterior) / Diseña diagramas de fluj"&amp;"os y organigramas / Contiene una variedad de símbolos y estilos de conexión de líneas. / Edita, personaliza colores, rellenos y trazos / Entre las alternativas gratuitas /libres: clickCharts, CreatelyDia, y Ed Graph Editor, Pencil project, entre otros.
· "&amp;"Software para elaborar presupuestos:
- Gratuitos /libres (de código abierto) / Idioma español / Compatible con el sistema operativo de la computadora (Windows 11 o posterior) / Crea presupuestos, gestiona la facturación y la planificación de presupuestos "&amp;"/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63" s="213">
        <f>IFERROR(__xludf.DUMMYFUNCTION("""COMPUTED_VALUE"""),3.0)</f>
        <v>3</v>
      </c>
      <c r="K2063" s="213" t="str">
        <f>IFERROR(__xludf.DUMMYFUNCTION("""COMPUTED_VALUE"""),"170 DÍAS CALENDARIO")</f>
        <v>170 DÍAS CALENDARIO</v>
      </c>
      <c r="L2063"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63" s="213">
        <f>IFERROR(__xludf.DUMMYFUNCTION("""COMPUTED_VALUE"""),1.0)</f>
        <v>1</v>
      </c>
      <c r="N2063" s="213">
        <f>IFERROR(__xludf.DUMMYFUNCTION("""COMPUTED_VALUE"""),1.0)</f>
        <v>1</v>
      </c>
      <c r="O2063" s="213">
        <f>IFERROR(__xludf.DUMMYFUNCTION("""COMPUTED_VALUE"""),1.0)</f>
        <v>1</v>
      </c>
      <c r="P2063" s="213"/>
      <c r="Q2063" s="213"/>
      <c r="R2063" s="213"/>
      <c r="S2063" s="213"/>
      <c r="T2063" s="213" t="str">
        <f>IFERROR(__xludf.DUMMYFUNCTION("""COMPUTED_VALUE"""),"SI")</f>
        <v>SI</v>
      </c>
      <c r="U2063" s="213" t="str">
        <f>IFERROR(__xludf.DUMMYFUNCTION("""COMPUTED_VALUE"""),"NO")</f>
        <v>NO</v>
      </c>
      <c r="V2063" s="213" t="str">
        <f>IFERROR(__xludf.DUMMYFUNCTION("""COMPUTED_VALUE"""),"SUSTENTO")</f>
        <v>SUSTENTO</v>
      </c>
      <c r="W2063" s="213" t="str">
        <f>IFERROR(__xludf.DUMMYFUNCTION("""COMPUTED_VALUE"""),"CRÍTICO")</f>
        <v>CRÍTICO</v>
      </c>
      <c r="X2063" s="213" t="str">
        <f>IFERROR(__xludf.DUMMYFUNCTION("""COMPUTED_VALUE"""),"ViewSonic")</f>
        <v>ViewSonic</v>
      </c>
      <c r="Y2063" s="213" t="str">
        <f>IFERROR(__xludf.DUMMYFUNCTION("""COMPUTED_VALUE"""),"IFP7551")</f>
        <v>IFP7551</v>
      </c>
      <c r="Z2063" s="215" t="str">
        <f>IFERROR(__xludf.DUMMYFUNCTION("""COMPUTED_VALUE"""),"https://www.viewsonic.com/la/products/ifp7550.html#specTabs.specifications")</f>
        <v>https://www.viewsonic.com/la/products/ifp7550.html#specTabs.specifications</v>
      </c>
      <c r="AA2063" s="213" t="str">
        <f>IFERROR(__xludf.DUMMYFUNCTION("""COMPUTED_VALUE"""),"TEC-114 PIZARRA (PANTALLA) TÁCTIL INTERACTIVA MULTI-TOUCH - CET")</f>
        <v>TEC-114 PIZARRA (PANTALLA) TÁCTIL INTERACTIVA MULTI-TOUCH - CET</v>
      </c>
      <c r="AB2063" s="213"/>
      <c r="AC2063" s="213"/>
      <c r="AD2063" s="213"/>
      <c r="AE2063" s="213"/>
      <c r="AF2063" s="213"/>
      <c r="AG2063" s="213"/>
      <c r="AH2063" s="213"/>
      <c r="AI2063" s="213"/>
      <c r="AJ2063" s="213"/>
      <c r="AK2063" s="213"/>
      <c r="AL2063" s="213"/>
      <c r="AM2063" s="213"/>
      <c r="AN2063" s="213"/>
      <c r="AO2063" s="213"/>
      <c r="AP2063" s="213" t="str">
        <f>IFERROR(__xludf.DUMMYFUNCTION("""COMPUTED_VALUE"""),"NALDI")</f>
        <v>NALDI</v>
      </c>
      <c r="AQ2063" s="213" t="str">
        <f>IFERROR(__xludf.DUMMYFUNCTION("""COMPUTED_VALUE"""),"Instalar antivirus, software CAD, diseño gráfico, edición de video, flujogramas y presupuestos")</f>
        <v>Instalar antivirus, software CAD, diseño gráfico, edición de video, flujogramas y presupuestos</v>
      </c>
      <c r="AR2063" s="213"/>
      <c r="AS2063" s="213" t="str">
        <f>IFERROR(__xludf.DUMMYFUNCTION("""COMPUTED_VALUE"""),"Adaptador de VGA a HDMI
Rack para pizarra
Instalar los programas")</f>
        <v>Adaptador de VGA a HDMI
Rack para pizarra
Instalar los programas</v>
      </c>
      <c r="AT2063" s="213"/>
      <c r="AU2063" s="213"/>
      <c r="AV2063" s="213"/>
      <c r="AW2063" s="213"/>
      <c r="AX2063" s="213"/>
      <c r="AY2063" s="213"/>
      <c r="AZ2063" s="213"/>
      <c r="BA2063" s="213"/>
      <c r="BB2063" s="213"/>
      <c r="BC2063" s="213"/>
      <c r="BD2063" s="213"/>
    </row>
    <row r="2064">
      <c r="A2064" s="213">
        <f>IFERROR(__xludf.DUMMYFUNCTION("""COMPUTED_VALUE"""),271.0)</f>
        <v>271</v>
      </c>
      <c r="B2064" s="213" t="str">
        <f>IFERROR(__xludf.DUMMYFUNCTION("""COMPUTED_VALUE"""),"2026 SIMON BOLIVAR")</f>
        <v>2026 SIMON BOLIVAR</v>
      </c>
      <c r="C2064" s="213" t="str">
        <f>IFERROR(__xludf.DUMMYFUNCTION("""COMPUTED_VALUE"""),"TALLER SFT DE COMPUTACIÓN E INFORMÁTICA")</f>
        <v>TALLER SFT DE COMPUTACIÓN E INFORMÁTICA</v>
      </c>
      <c r="D2064" s="213" t="str">
        <f>IFERROR(__xludf.DUMMYFUNCTION("""COMPUTED_VALUE"""),"TICS")</f>
        <v>TICS</v>
      </c>
      <c r="E2064" s="213" t="str">
        <f>IFERROR(__xludf.DUMMYFUNCTION("""COMPUTED_VALUE"""),"TEC-114")</f>
        <v>TEC-114</v>
      </c>
      <c r="F2064" s="213" t="str">
        <f>IFERROR(__xludf.DUMMYFUNCTION("""COMPUTED_VALUE"""),"TEC-114")</f>
        <v>TEC-114</v>
      </c>
      <c r="G2064" s="213"/>
      <c r="H2064" s="213" t="str">
        <f>IFERROR(__xludf.DUMMYFUNCTION("""COMPUTED_VALUE"""),"PIZARRA (PANTALLA) TÁCTIL INTERACTIVA MULTI-TOUCH")</f>
        <v>PIZARRA (PANTALLA) TÁCTIL INTERACTIVA MULTI-TOUCH</v>
      </c>
      <c r="I2064"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En"&amp;"ergy Star y/o CE y/o FCC y/o RoHS. --- 02 lapiceros y/o lapiz inalámbrico compatible con el equipo       01 Cable de
alimentación y 01 cable de conexión de video y 01 cable  --- USB y 01 Manual de Usuario --- 01 Kit de montaje con ruedas       GARANTIA
Tr"&amp;"es (03) años Onsite a Nivel Nacional CONTIENE:
. Softwares de última generación y utilitarios instalados en 64 Bits. Instalados en la computadora, trabajan con y sin conexión a internet. / Software Microsoft Office 2019 o superior (Word, Excel, PowerPoint"&amp;", Visio, One Note y Ms Forms), idioma Español, de 64 Bits.
· Software Antivirus:
- Licenciada / Idioma español / Protección antivirus en tiempo real para proteger de virus, troyanos, adware, malware y phishing / Protección contra firewall /
· Software - P"&amp;"rogramas CAD para dibujos en 2D, 3D y renderizado:
- Gratuitos /libres (de código abierto) / Idioma español / Compatible con el sistema operativo de la computadora (Windows 11 o posterior)
/ Cuenta con herramientas de edición y modelado de muebles / Cuent"&amp;"a con editor geométrico interactivo, procesamiento de imágenes y señales / Alta capacidad de renderizado / Entre las alternativas gratuitas: SketchUp, Polyboard, Sweet Home 3D, entre otros.
· Software para diseño gráfico publicitario:
- Gratuitos /libres "&amp;"(de código abierto) / Idioma español / Compatible con el sistema operativo de la computadora (Windows 11 o posterior)
/ Permite crear diseños, gráficos, fotografías y sitios web / Dispone de herramientas profesionales de diseño, edición de imágenes y foto"&amp;"grafías y diseño de páginas web. Funciones táctiles y para lápices intuitivos / Dispone de editor de gráficos vectoriales, textos y logos
/ Permite diseño de prototipos e interfaces para aplicaciones y sitios web / Entre las alternativas gratuitas /libres"&amp;": Gimp, krita, Inkscape, Pencil Proyect, entre otros.
· Software para diseño y edición de videos – spot publicitarios:
- Gratuitos /libres (de código abierto) / Idioma español / Versión 2019 o superior / Compatible con el sistema operativo de la computado"&amp;"ra (Windows 11 o posterior) / Permite diseñar y editar videos / Trabaja con diferentes formatos: Un amplio soporte para diferentes formatos, incluyendo MP4, AVI, MOV, AVCHD y más. / Permite crear videos de alta resolución: 4K, y trabajar en formato SD y H"&amp;"D / Dispone de las herramientas más utilizadas en los editores de vídeos: cortar, recortar, dividir y combinar en unos pocos clics. / Permite generar acabados: Varios filtros y efectos visuales para retocar el vídeo, efectos especiales en 2D y 3D / Dispon"&amp;"e de
herramientas para realizar diseños y animaciones en 3D y plantillas animadas gratuitas. / Permite editar, ajustar perfeccionar el audio / Entre las alternativas gratuitas /libres: Windows Movie Maker, Video editor Wondershare filmadora, Lightworks, V"&amp;"SDC Free Video editor, Blender, entre otros.
· Software / programas para elaborar flujogramas:
- Gratuitos /libres (de código abierto) / Idioma español / Compatible con el sistema operativo de la computadora (Windows 11 o posterior)
/ Diseña diagramas de "&amp;"flujos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presupues"&amp;"tos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--- 02 lapiceros y/o lapiz inalámbrico compatible con el equipo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64" s="213">
        <f>IFERROR(__xludf.DUMMYFUNCTION("""COMPUTED_VALUE"""),3.0)</f>
        <v>3</v>
      </c>
      <c r="K2064" s="213" t="str">
        <f>IFERROR(__xludf.DUMMYFUNCTION("""COMPUTED_VALUE"""),"170 DÍAS CALENDARIO")</f>
        <v>170 DÍAS CALENDARIO</v>
      </c>
      <c r="L2064"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64" s="213">
        <f>IFERROR(__xludf.DUMMYFUNCTION("""COMPUTED_VALUE"""),1.0)</f>
        <v>1</v>
      </c>
      <c r="N2064" s="213">
        <f>IFERROR(__xludf.DUMMYFUNCTION("""COMPUTED_VALUE"""),1.0)</f>
        <v>1</v>
      </c>
      <c r="O2064" s="213">
        <f>IFERROR(__xludf.DUMMYFUNCTION("""COMPUTED_VALUE"""),1.0)</f>
        <v>1</v>
      </c>
      <c r="P2064" s="213"/>
      <c r="Q2064" s="213"/>
      <c r="R2064" s="213"/>
      <c r="S2064" s="213"/>
      <c r="T2064" s="213" t="str">
        <f>IFERROR(__xludf.DUMMYFUNCTION("""COMPUTED_VALUE"""),"SI")</f>
        <v>SI</v>
      </c>
      <c r="U2064" s="213" t="str">
        <f>IFERROR(__xludf.DUMMYFUNCTION("""COMPUTED_VALUE"""),"NO")</f>
        <v>NO</v>
      </c>
      <c r="V2064" s="213" t="str">
        <f>IFERROR(__xludf.DUMMYFUNCTION("""COMPUTED_VALUE"""),"SUSTENTO")</f>
        <v>SUSTENTO</v>
      </c>
      <c r="W2064" s="213" t="str">
        <f>IFERROR(__xludf.DUMMYFUNCTION("""COMPUTED_VALUE"""),"CRÍTICO")</f>
        <v>CRÍTICO</v>
      </c>
      <c r="X2064" s="213" t="str">
        <f>IFERROR(__xludf.DUMMYFUNCTION("""COMPUTED_VALUE"""),"ViewSonic")</f>
        <v>ViewSonic</v>
      </c>
      <c r="Y2064" s="213" t="str">
        <f>IFERROR(__xludf.DUMMYFUNCTION("""COMPUTED_VALUE"""),"IFP7552")</f>
        <v>IFP7552</v>
      </c>
      <c r="Z2064" s="215" t="str">
        <f>IFERROR(__xludf.DUMMYFUNCTION("""COMPUTED_VALUE"""),"https://www.viewsonic.com/la/products/ifp7550.html#specTabs.specifications")</f>
        <v>https://www.viewsonic.com/la/products/ifp7550.html#specTabs.specifications</v>
      </c>
      <c r="AA2064" s="213" t="str">
        <f>IFERROR(__xludf.DUMMYFUNCTION("""COMPUTED_VALUE"""),"TEC-114 PIZARRA (PANTALLA) TÁCTIL INTERACTIVA MULTI-TOUCH - CET")</f>
        <v>TEC-114 PIZARRA (PANTALLA) TÁCTIL INTERACTIVA MULTI-TOUCH - CET</v>
      </c>
      <c r="AB2064" s="213"/>
      <c r="AC2064" s="213"/>
      <c r="AD2064" s="213"/>
      <c r="AE2064" s="213"/>
      <c r="AF2064" s="213"/>
      <c r="AG2064" s="213"/>
      <c r="AH2064" s="213"/>
      <c r="AI2064" s="213"/>
      <c r="AJ2064" s="213"/>
      <c r="AK2064" s="213"/>
      <c r="AL2064" s="213"/>
      <c r="AM2064" s="213"/>
      <c r="AN2064" s="213"/>
      <c r="AO2064" s="213"/>
      <c r="AP2064" s="213" t="str">
        <f>IFERROR(__xludf.DUMMYFUNCTION("""COMPUTED_VALUE"""),"NALDI")</f>
        <v>NALDI</v>
      </c>
      <c r="AQ2064" s="213" t="str">
        <f>IFERROR(__xludf.DUMMYFUNCTION("""COMPUTED_VALUE"""),"Instalar antivirus, software CAD, diseño gráfico, edición de video, flujogramas y presupuestos")</f>
        <v>Instalar antivirus, software CAD, diseño gráfico, edición de video, flujogramas y presupuestos</v>
      </c>
      <c r="AR2064" s="213"/>
      <c r="AS2064" s="213" t="str">
        <f>IFERROR(__xludf.DUMMYFUNCTION("""COMPUTED_VALUE"""),"Adaptador de VGA a HDMI
Rack para pizarra
Instalar los programas")</f>
        <v>Adaptador de VGA a HDMI
Rack para pizarra
Instalar los programas</v>
      </c>
      <c r="AT2064" s="213"/>
      <c r="AU2064" s="213"/>
      <c r="AV2064" s="213"/>
      <c r="AW2064" s="213"/>
      <c r="AX2064" s="213"/>
      <c r="AY2064" s="213"/>
      <c r="AZ2064" s="213"/>
      <c r="BA2064" s="213"/>
      <c r="BB2064" s="213"/>
      <c r="BC2064" s="213"/>
      <c r="BD2064" s="213"/>
    </row>
    <row r="2065">
      <c r="A2065" s="213">
        <f>IFERROR(__xludf.DUMMYFUNCTION("""COMPUTED_VALUE"""),284.0)</f>
        <v>284</v>
      </c>
      <c r="B2065" s="213" t="str">
        <f>IFERROR(__xludf.DUMMYFUNCTION("""COMPUTED_VALUE"""),"2026 SIMON BOLIVAR")</f>
        <v>2026 SIMON BOLIVAR</v>
      </c>
      <c r="C2065" s="213" t="str">
        <f>IFERROR(__xludf.DUMMYFUNCTION("""COMPUTED_VALUE"""),"TALLER SFT DE COMPUTACIÓN E INFORMÁTICA")</f>
        <v>TALLER SFT DE COMPUTACIÓN E INFORMÁTICA</v>
      </c>
      <c r="D2065" s="213" t="str">
        <f>IFERROR(__xludf.DUMMYFUNCTION("""COMPUTED_VALUE"""),"TICS")</f>
        <v>TICS</v>
      </c>
      <c r="E2065" s="213" t="str">
        <f>IFERROR(__xludf.DUMMYFUNCTION("""COMPUTED_VALUE"""),"TEC-114")</f>
        <v>TEC-114</v>
      </c>
      <c r="F2065" s="213" t="str">
        <f>IFERROR(__xludf.DUMMYFUNCTION("""COMPUTED_VALUE"""),"TEC-114")</f>
        <v>TEC-114</v>
      </c>
      <c r="G2065" s="213"/>
      <c r="H2065" s="213" t="str">
        <f>IFERROR(__xludf.DUMMYFUNCTION("""COMPUTED_VALUE"""),"PIZARRA (PANTALLA) TÁCTIL INTERACTIVA MULTI-TOUCH")</f>
        <v>PIZARRA (PANTALLA) TÁCTIL INTERACTIVA MULTI-TOUCH</v>
      </c>
      <c r="I2065"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En"&amp;"ergy Star y/o CE y/o FCC y/o RoHS. --- 02 lapiceros y/o lapiz inalámbrico compatible con el equipo       01 Cable de
alimentación y 01 cable de conexión de video y 01 cable  --- USB y 01 Manual de Usuario --- 01 Kit de montaje con ruedas       GARANTIA
Tr"&amp;"es (03) años Onsite a Nivel Nacional CONTIENE:
. Softwares de última generación y utilitarios instalados en 64 Bits. Instalados en la computadora, trabajan con y sin conexión a internet. / Software Microsoft Office 2019 o superior (Word, Excel, PowerPoint"&amp;", Visio, One Note y Ms Forms), idioma Español, de 64 Bits.
· Software Antivirus:
- Licenciada / Idioma español / Protección antivirus en tiempo real para proteger de virus, troyanos, adware, malware y phishing / Protección contra firewall /
· Software - P"&amp;"rogramas CAD para dibujos en 2D, 3D y renderizado:
- Gratuitos /libres (de código abierto) / Idioma español / Compatible con el sistema operativo de la computadora (Windows 11 o posterior)
/ Cuenta con herramientas de edición y modelado de muebles / Cuent"&amp;"a con editor geométrico interactivo, procesamiento de imágenes y señales / Alta capacidad de renderizado / Entre las alternativas gratuitas: SketchUp, Polyboard, Sweet Home 3D, entre otros.
· Software para diseño gráfico publicitario:
- Gratuitos /libres "&amp;"(de código abierto) / Idioma español / Compatible con el sistema operativo de la computadora (Windows 11 o posterior)
/ Permite crear diseños, gráficos, fotografías y sitios web / Dispone de herramientas profesionales de diseño, edición de imágenes y foto"&amp;"grafías y diseño de páginas web. Funciones táctiles y para lápices intuitivos / Dispone de editor de gráficos vectoriales, textos y logos
/ Permite diseño de prototipos e interfaces para aplicaciones y sitios web / Entre las alternativas gratuitas /libres"&amp;": Gimp, krita, Inkscape, Pencil Proyect, entre otros.
· Software para diseño y edición de videos – spot publicitarios:
- Gratuitos /libres (de código abierto) / Idioma español / Versión 2019 o superior / Compatible con el sistema operativo de la computado"&amp;"ra (Windows 11 o posterior) / Permite diseñar y editar videos / Trabaja con diferentes formatos: Un amplio soporte para diferentes formatos, incluyendo MP4, AVI, MOV, AVCHD y más. / Permite crear videos de alta resolución: 4K, y trabajar en formato SD y H"&amp;"D / Dispone de las herramientas más utilizadas en los editores de vídeos: cortar, recortar, dividir y combinar en unos pocos clics. / Permite generar acabados: Varios filtros y efectos visuales para retocar el vídeo, efectos especiales en 2D y 3D / Dispon"&amp;"e de
herramientas para realizar diseños y animaciones en 3D y plantillas animadas gratuitas. / Permite editar, ajustar perfeccionar el audio / Entre las alternativas gratuitas /libres: Windows Movie Maker, Video editor Wondershare filmadora, Lightworks, V"&amp;"SDC Free Video editor, Blender, entre otros.
· Software / programas para elaborar flujogramas:
- Gratuitos /libres (de código abierto) / Idioma español / Compatible con el sistema operativo de la computadora (Windows 11 o posterior)
/ Diseña diagramas de "&amp;"flujos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presupues"&amp;"tos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--- 02 lapiceros y/o lapiz inalámbrico compatible con el equipo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65" s="213">
        <f>IFERROR(__xludf.DUMMYFUNCTION("""COMPUTED_VALUE"""),3.0)</f>
        <v>3</v>
      </c>
      <c r="K2065" s="213" t="str">
        <f>IFERROR(__xludf.DUMMYFUNCTION("""COMPUTED_VALUE"""),"170 DÍAS CALENDARIO")</f>
        <v>170 DÍAS CALENDARIO</v>
      </c>
      <c r="L2065"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65" s="213">
        <f>IFERROR(__xludf.DUMMYFUNCTION("""COMPUTED_VALUE"""),1.0)</f>
        <v>1</v>
      </c>
      <c r="N2065" s="213">
        <f>IFERROR(__xludf.DUMMYFUNCTION("""COMPUTED_VALUE"""),1.0)</f>
        <v>1</v>
      </c>
      <c r="O2065" s="213">
        <f>IFERROR(__xludf.DUMMYFUNCTION("""COMPUTED_VALUE"""),1.0)</f>
        <v>1</v>
      </c>
      <c r="P2065" s="213"/>
      <c r="Q2065" s="213"/>
      <c r="R2065" s="213"/>
      <c r="S2065" s="213"/>
      <c r="T2065" s="213" t="str">
        <f>IFERROR(__xludf.DUMMYFUNCTION("""COMPUTED_VALUE"""),"SI")</f>
        <v>SI</v>
      </c>
      <c r="U2065" s="213" t="str">
        <f>IFERROR(__xludf.DUMMYFUNCTION("""COMPUTED_VALUE"""),"NO")</f>
        <v>NO</v>
      </c>
      <c r="V2065" s="213" t="str">
        <f>IFERROR(__xludf.DUMMYFUNCTION("""COMPUTED_VALUE"""),"SUSTENTO")</f>
        <v>SUSTENTO</v>
      </c>
      <c r="W2065" s="213" t="str">
        <f>IFERROR(__xludf.DUMMYFUNCTION("""COMPUTED_VALUE"""),"CRÍTICO")</f>
        <v>CRÍTICO</v>
      </c>
      <c r="X2065" s="213" t="str">
        <f>IFERROR(__xludf.DUMMYFUNCTION("""COMPUTED_VALUE"""),"ViewSonic")</f>
        <v>ViewSonic</v>
      </c>
      <c r="Y2065" s="213" t="str">
        <f>IFERROR(__xludf.DUMMYFUNCTION("""COMPUTED_VALUE"""),"IFP7553")</f>
        <v>IFP7553</v>
      </c>
      <c r="Z2065" s="215" t="str">
        <f>IFERROR(__xludf.DUMMYFUNCTION("""COMPUTED_VALUE"""),"https://www.viewsonic.com/la/products/ifp7550.html#specTabs.specifications")</f>
        <v>https://www.viewsonic.com/la/products/ifp7550.html#specTabs.specifications</v>
      </c>
      <c r="AA2065" s="213" t="str">
        <f>IFERROR(__xludf.DUMMYFUNCTION("""COMPUTED_VALUE"""),"TEC-114 PIZARRA (PANTALLA) TÁCTIL INTERACTIVA MULTI-TOUCH - CET")</f>
        <v>TEC-114 PIZARRA (PANTALLA) TÁCTIL INTERACTIVA MULTI-TOUCH - CET</v>
      </c>
      <c r="AB2065" s="213"/>
      <c r="AC2065" s="213"/>
      <c r="AD2065" s="213"/>
      <c r="AE2065" s="213"/>
      <c r="AF2065" s="213"/>
      <c r="AG2065" s="213"/>
      <c r="AH2065" s="213"/>
      <c r="AI2065" s="213"/>
      <c r="AJ2065" s="213"/>
      <c r="AK2065" s="213"/>
      <c r="AL2065" s="213"/>
      <c r="AM2065" s="213"/>
      <c r="AN2065" s="213"/>
      <c r="AO2065" s="213"/>
      <c r="AP2065" s="213" t="str">
        <f>IFERROR(__xludf.DUMMYFUNCTION("""COMPUTED_VALUE"""),"NALDI")</f>
        <v>NALDI</v>
      </c>
      <c r="AQ2065" s="213" t="str">
        <f>IFERROR(__xludf.DUMMYFUNCTION("""COMPUTED_VALUE"""),"Instalar antivirus, software CAD, diseño gráfico, edición de video, flujogramas y presupuestos")</f>
        <v>Instalar antivirus, software CAD, diseño gráfico, edición de video, flujogramas y presupuestos</v>
      </c>
      <c r="AR2065" s="213"/>
      <c r="AS2065" s="213" t="str">
        <f>IFERROR(__xludf.DUMMYFUNCTION("""COMPUTED_VALUE"""),"Adaptador de VGA a HDMI
Rack para pizarra
Instalar los programas")</f>
        <v>Adaptador de VGA a HDMI
Rack para pizarra
Instalar los programas</v>
      </c>
      <c r="AT2065" s="213"/>
      <c r="AU2065" s="213"/>
      <c r="AV2065" s="213"/>
      <c r="AW2065" s="213"/>
      <c r="AX2065" s="213"/>
      <c r="AY2065" s="213"/>
      <c r="AZ2065" s="213"/>
      <c r="BA2065" s="213"/>
      <c r="BB2065" s="213"/>
      <c r="BC2065" s="213"/>
      <c r="BD2065" s="213"/>
    </row>
    <row r="2066">
      <c r="A2066" s="213">
        <f>IFERROR(__xludf.DUMMYFUNCTION("""COMPUTED_VALUE"""),361.0)</f>
        <v>361</v>
      </c>
      <c r="B2066" s="213" t="str">
        <f>IFERROR(__xludf.DUMMYFUNCTION("""COMPUTED_VALUE"""),"2026 SIMON BOLIVAR")</f>
        <v>2026 SIMON BOLIVAR</v>
      </c>
      <c r="C2066" s="213" t="str">
        <f>IFERROR(__xludf.DUMMYFUNCTION("""COMPUTED_VALUE"""),"TALLER SFT DE ELECTRICIDAD")</f>
        <v>TALLER SFT DE ELECTRICIDAD</v>
      </c>
      <c r="D2066" s="213" t="str">
        <f>IFERROR(__xludf.DUMMYFUNCTION("""COMPUTED_VALUE"""),"TICS")</f>
        <v>TICS</v>
      </c>
      <c r="E2066" s="213" t="str">
        <f>IFERROR(__xludf.DUMMYFUNCTION("""COMPUTED_VALUE"""),"TEC-114")</f>
        <v>TEC-114</v>
      </c>
      <c r="F2066" s="213" t="str">
        <f>IFERROR(__xludf.DUMMYFUNCTION("""COMPUTED_VALUE"""),"TEC-114")</f>
        <v>TEC-114</v>
      </c>
      <c r="G2066" s="213"/>
      <c r="H2066" s="213" t="str">
        <f>IFERROR(__xludf.DUMMYFUNCTION("""COMPUTED_VALUE"""),"PIZARRA (PANTALLA) TÁCTIL INTERACTIVA MULTI-TOUCH")</f>
        <v>PIZARRA (PANTALLA) TÁCTIL INTERACTIVA MULTI-TOUCH</v>
      </c>
      <c r="I2066"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8"&amp;"02.11 ac ---- PUERTOS E/S: USB, HDMI, RS232, VGA, Audio y RJ45 --- AUDIO 10W --- VOLTAJE 220VAC /60 HZ ---                                
""SISTEMA OPERATIVO DE LA PANTALLA Windows y/o IOS y/o Android y/o Linux y/o del mismo fabricante --- SOFTWARE Contr"&amp;"ol del uso de la pantalla y/o
manejo de la clase --- CERTIFICADO Energy Star y/o CE y/o FCC y/o RoHS. --- 02 lapiceros y/o lapiz inalámbrico compatible con el equipo. --- 01 Cable de""                                
alimentación y 01 cable de conexión de"&amp;" video y 01 cable  --- USB y 01 Manual de Usuario --- 01 Kit de montaje con ruedas  --- GARANTIA Tres (03) años Onsite a                                
Nivel Nacional                                
CONTIENE:                                
. Softwares d"&amp;"e última generación y utilitarios instalados en 64 Bits. Instalados en la computadora, trabajan con y sin conexión a internet. / Software Microsoft                                
Office 2019 o superior (Word, Excel, PowerPoint, Visio, One Note y Ms Forms"&amp;"), idioma Español, de 64 Bits.                                
· Software Antivirus:                                
- Licenciada / Idioma español / Protección antivirus en tiempo real para proteger de virus, troyanos, adware, malware y phishing / Protecc"&amp;"ión contra firewall /                                
· Software - Programas CAD para dibujos en 2D, 3D y renderizado:                                
- Gratuitos /libres (de código abierto) / Idioma español / Compatible con el sistema operativo de la com"&amp;"putadora (Windows 11 o posterior) / Cuenta con                                
herramientas de edición y modelado de muebles / Cuenta con editor geométrico interactivo, procesamiento de imágenes y señales / Alta capacidad de                               "&amp;" 
renderizado / Entre las alternativas gratuitas: SketchUp, Polyboard, Sweet Home 3D, entre otros.                                
· Software para diseño gráfico publicitario:                                
- Gratuitos /libres (de código abierto) / Idiom"&amp;"a español / Compatible con el sistema operativo de la computadora (Windows 11 o posterior) / Permite crear                                
diseños, gráficos, fotografías y sitios web / Dispone de herramientas profesionales de diseño, edición de imágenes y"&amp;" fotografías y diseño de páginas web.                                
Funciones táctiles y para lápices intuitivos / Dispone de editor de gráficos vectoriales, textos y logos / Permite diseño de prototipos e interfaces para aplicaciones                   "&amp;"             
y sitios web / Entre las alternativas gratuitas /libres: Gimp, krita, Inkscape, Pencil Proyect, entre otros.                                
· Software para diseño y edición de videos – spot publicitarios:                                
- G"&amp;"ratuitos /libres (de código abierto) / Idioma español / Versión 2019 o superior / Compatible con el sistema operativo de la computadora (Windows 11 o                                
posterior) / Permite diseñar y editar videos / Trabaja con diferentes for"&amp;"matos: Un amplio soporte para diferentes formatos, incluyendo MP4, AVI, MOV, AVCHD y                                
más. / Permite crear videos de alta resolución: 4K, y trabajar en formato SD y HD / Dispone de las herramientas más utilizadas en los edit"&amp;"ores de vídeos: cortar,                                
recortar, dividir y combinar en unos pocos clics. / Permite generar acabados: Varios filtros y efectos visuales para retocar el vídeo, efectos especiales en 2D y 3D                                
/ "&amp;"Dispone de                                
herramientas para realizar diseños y animaciones en 3D y plantillas animadas gratuitas. / Permite editar, ajustar perfeccionar el audio / Entre las alternativas                                
gratuitas /libres: "&amp;"Windows Movie Maker, Video editor Wondershare filmadora, Lightworks, VSDC Free Video editor, Blender, entre otros.                                
· Software / programas para elaborar flujogramas:                                
- Gratuitos /libres (de có"&amp;"digo abierto) / Idioma español / Compatible con el sistema operativo de la computadora (Windows 11 o posterior) / Diseña diagramas de                                
flujos y organigramas / Contiene una variedad de símbolos y estilos de conexión de líneas"&amp;". / Edita, personaliza colores, rellenos y trazos / Entre las alternativas                                
gratuitas /libres: clickCharts, CreatelyDia, y Ed Graph Editor, Pencil project, entre otros.                                
· Software para elabora"&amp;"r presupuestos:                                
- Gratuitos /libres (de código abierto) / Idioma español / Compatible con el sistema operativo de la computadora (Windows 11 o posterior) / Crea presupuestos,                                
gestiona la fact"&amp;"uración y la planificación de presupuestos / Entre las alternativas gratuitas /libres: Holded, debitor, Billage, entre otros.                                ")</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                                </v>
      </c>
      <c r="J2066" s="213">
        <f>IFERROR(__xludf.DUMMYFUNCTION("""COMPUTED_VALUE"""),3.0)</f>
        <v>3</v>
      </c>
      <c r="K2066" s="213" t="str">
        <f>IFERROR(__xludf.DUMMYFUNCTION("""COMPUTED_VALUE"""),"170 DÍAS CALENDARIO")</f>
        <v>170 DÍAS CALENDARIO</v>
      </c>
      <c r="L2066"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66" s="213">
        <f>IFERROR(__xludf.DUMMYFUNCTION("""COMPUTED_VALUE"""),1.0)</f>
        <v>1</v>
      </c>
      <c r="N2066" s="213">
        <f>IFERROR(__xludf.DUMMYFUNCTION("""COMPUTED_VALUE"""),1.0)</f>
        <v>1</v>
      </c>
      <c r="O2066" s="213">
        <f>IFERROR(__xludf.DUMMYFUNCTION("""COMPUTED_VALUE"""),1.0)</f>
        <v>1</v>
      </c>
      <c r="P2066" s="213"/>
      <c r="Q2066" s="213"/>
      <c r="R2066" s="213"/>
      <c r="S2066" s="213"/>
      <c r="T2066" s="213" t="str">
        <f>IFERROR(__xludf.DUMMYFUNCTION("""COMPUTED_VALUE"""),"SI")</f>
        <v>SI</v>
      </c>
      <c r="U2066" s="213" t="str">
        <f>IFERROR(__xludf.DUMMYFUNCTION("""COMPUTED_VALUE"""),"NO")</f>
        <v>NO</v>
      </c>
      <c r="V2066" s="213" t="str">
        <f>IFERROR(__xludf.DUMMYFUNCTION("""COMPUTED_VALUE"""),"SUSTENTO")</f>
        <v>SUSTENTO</v>
      </c>
      <c r="W2066" s="213" t="str">
        <f>IFERROR(__xludf.DUMMYFUNCTION("""COMPUTED_VALUE"""),"CRÍTICO")</f>
        <v>CRÍTICO</v>
      </c>
      <c r="X2066" s="213" t="str">
        <f>IFERROR(__xludf.DUMMYFUNCTION("""COMPUTED_VALUE"""),"ViewSonic")</f>
        <v>ViewSonic</v>
      </c>
      <c r="Y2066" s="213" t="str">
        <f>IFERROR(__xludf.DUMMYFUNCTION("""COMPUTED_VALUE"""),"IFP7554")</f>
        <v>IFP7554</v>
      </c>
      <c r="Z2066" s="215" t="str">
        <f>IFERROR(__xludf.DUMMYFUNCTION("""COMPUTED_VALUE"""),"https://www.viewsonic.com/la/products/ifp7550.html#specTabs.specifications")</f>
        <v>https://www.viewsonic.com/la/products/ifp7550.html#specTabs.specifications</v>
      </c>
      <c r="AA2066" s="213" t="str">
        <f>IFERROR(__xludf.DUMMYFUNCTION("""COMPUTED_VALUE"""),"TEC-114 PIZARRA (PANTALLA) TÁCTIL INTERACTIVA MULTI-TOUCH - CET")</f>
        <v>TEC-114 PIZARRA (PANTALLA) TÁCTIL INTERACTIVA MULTI-TOUCH - CET</v>
      </c>
      <c r="AB2066" s="213"/>
      <c r="AC2066" s="213"/>
      <c r="AD2066" s="213"/>
      <c r="AE2066" s="213"/>
      <c r="AF2066" s="213"/>
      <c r="AG2066" s="213"/>
      <c r="AH2066" s="213"/>
      <c r="AI2066" s="213"/>
      <c r="AJ2066" s="213"/>
      <c r="AK2066" s="213"/>
      <c r="AL2066" s="213"/>
      <c r="AM2066" s="213"/>
      <c r="AN2066" s="213"/>
      <c r="AO2066" s="213"/>
      <c r="AP2066" s="213" t="str">
        <f>IFERROR(__xludf.DUMMYFUNCTION("""COMPUTED_VALUE"""),"NALDI")</f>
        <v>NALDI</v>
      </c>
      <c r="AQ2066" s="213" t="str">
        <f>IFERROR(__xludf.DUMMYFUNCTION("""COMPUTED_VALUE"""),"Instalar antivirus, software CAD, diseño gráfico, edición de video, flujogramas y presupuestos")</f>
        <v>Instalar antivirus, software CAD, diseño gráfico, edición de video, flujogramas y presupuestos</v>
      </c>
      <c r="AR2066" s="213"/>
      <c r="AS2066" s="213" t="str">
        <f>IFERROR(__xludf.DUMMYFUNCTION("""COMPUTED_VALUE"""),"Adaptador de VGA a HDMI
Rack para pizarra
Instalar los programas")</f>
        <v>Adaptador de VGA a HDMI
Rack para pizarra
Instalar los programas</v>
      </c>
      <c r="AT2066" s="213"/>
      <c r="AU2066" s="213"/>
      <c r="AV2066" s="213"/>
      <c r="AW2066" s="213"/>
      <c r="AX2066" s="213"/>
      <c r="AY2066" s="213"/>
      <c r="AZ2066" s="213"/>
      <c r="BA2066" s="213"/>
      <c r="BB2066" s="213"/>
      <c r="BC2066" s="213"/>
      <c r="BD2066" s="213"/>
    </row>
    <row r="2067">
      <c r="A2067" s="213">
        <f>IFERROR(__xludf.DUMMYFUNCTION("""COMPUTED_VALUE"""),539.0)</f>
        <v>539</v>
      </c>
      <c r="B2067" s="213" t="str">
        <f>IFERROR(__xludf.DUMMYFUNCTION("""COMPUTED_VALUE"""),"2026 SIMON BOLIVAR")</f>
        <v>2026 SIMON BOLIVAR</v>
      </c>
      <c r="C2067" s="213" t="str">
        <f>IFERROR(__xludf.DUMMYFUNCTION("""COMPUTED_VALUE"""),"TALLER SFT DE INDUSTRIA ALIMENTARIA")</f>
        <v>TALLER SFT DE INDUSTRIA ALIMENTARIA</v>
      </c>
      <c r="D2067" s="213" t="str">
        <f>IFERROR(__xludf.DUMMYFUNCTION("""COMPUTED_VALUE"""),"TICS")</f>
        <v>TICS</v>
      </c>
      <c r="E2067" s="213" t="str">
        <f>IFERROR(__xludf.DUMMYFUNCTION("""COMPUTED_VALUE"""),"TEC-114")</f>
        <v>TEC-114</v>
      </c>
      <c r="F2067" s="213" t="str">
        <f>IFERROR(__xludf.DUMMYFUNCTION("""COMPUTED_VALUE"""),"TEC-114")</f>
        <v>TEC-114</v>
      </c>
      <c r="G2067" s="213"/>
      <c r="H2067" s="213" t="str">
        <f>IFERROR(__xludf.DUMMYFUNCTION("""COMPUTED_VALUE"""),"PIZARRA (PANTALLA) TÁCTIL INTERACTIVA MULTI-TOUCH")</f>
        <v>PIZARRA (PANTALLA) TÁCTIL INTERACTIVA MULTI-TOUCH</v>
      </c>
      <c r="I2067"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E"&amp;"nergy Star y/o CE y/o FCC y/o RoHS        02 lapiceros y/o lapiz inalámbrico
compatible con el equipo. --- 01 Cable de alimentación y 01 cable de conexión de video y 01 cable  --- USB y 01 Manual de Usuario --- 01 Kit de montaje con ruedas        GARANTIA"&amp;"
Tres (03) años Onsite a Nivel Nacional CONTIENE:
. Softwares de última generación y utilitarios instalados en 64 Bits. Instalados en la computadora, trabajan con y sin conexión a internet. / Software Microsoft Office 2019 o superior (Word, Excel, PowerPo"&amp;"int, Visio, One Note y Ms Forms), idioma Español, de 64 Bits.
· Software Antivirus:
- Licenciada / Idioma español / Protección antivirus en tiempo real para proteger de virus, troyanos, adware, malware y phishing / Protección contra firewall /
· Software "&amp;"- Programas CAD para dibujos en 2D, 3D y renderizado:
- Gratuitos /libres (de código abierto) / Idioma español / Compatible con el sistema operativo de la computadora (Windows 11 o posterior) / Cuenta con herramientas de edición y modelado de muebles / Cu"&amp;"enta con editor geométrico interactivo, procesamiento de imágenes y señales / Alta capacidad de renderizado / Entre las alternativas gratuitas: SketchUp, Polyboard, Sweet Home 3D, entre otros.
· Software para diseño gráfico publicitario:
- Gratuitos /libr"&amp;"es (de código abierto) / Idioma español / Compatible con el sistema operativo de la computadora (Windows 11 o posterior) / Permite crear diseños, gráficos, fotografías   y sitios web / Dispone de herramientas profesionales de diseño, edición de imágenes y"&amp;" fotografías y diseño de páginas web. Funciones táctiles y para lápices intuitivos / Dispone de editor de gráficos vectoriales, textos y logos / Permite diseño de prototipos e interfaces para aplicaciones y sitios web / Entre las alternativas gratuitas /l"&amp;"ibres: Gimp, krita, Inkscape, Pencil Proyect, entre otros.
· Software para diseño y edición de videos – spot publicitarios:
- Gratuitos /libres (de código abierto) / Idioma español / Versión 2019 o superior / Compatible con el sistema operativo de la comp"&amp;"utadora (Windows 11 o posterior) / Permite diseñar y editar videos / Trabaja con diferentes formatos: Un amplio soporte para diferentes formatos, incluyendo MP4, AVI, MOV, AVCHD y más. / Permite crear videos de alta resolución: 4K, y trabajar en formato S"&amp;"D y HD / Dispone de las herramientas más utilizadas en los editores de vídeos: cortar, recortar, dividir y combinar en unos pocos clics. / Permite generar   acabados: Varios filtros y efectos visuales para retocar el vídeo, efectos especiales en 2D y 3D /"&amp;" Dispone de
herramientas para realizar diseños y animaciones en 3D y plantillas animadas gratuitas. / Permite editar, ajustar perfeccionar el audio / Entre las alternativas gratuitas /libres: Windows Movie Maker, Video editor Wondershare filmadora, Lightw"&amp;"orks, VSDC Free Video editor, Blender, entre otros.
· Software / programas para elaborar flujogramas:
- Gratuitos /libres (de código abierto) / Idioma español / Compatible con el sistema operativo de la computadora (Windows 11 o posterior) / Diseña diagra"&amp;"mas de flujos y organigramas / Contiene una variedad de símbolos y estilos de conexión de líneas. / Edita, personaliza colores, rellenos y trazos / Entre las alternativas gratuitas /libres: clickCharts, CreatelyDia, y Ed Graph Editor, Pencil project, entr"&amp;"e otros.
· Software para elaborar presupuestos:
- Gratuitos /libres (de código abierto) / Idioma español / Compatible con el sistema operativo de la computadora (Windows 11 o posterior) / Crea presupuestos, gestiona la facturación y  la planificación de p"&amp;"resupuestos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02 lapiceros y/o lapiz inalámbrico
compatible con el equipo. --- 01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67" s="213">
        <f>IFERROR(__xludf.DUMMYFUNCTION("""COMPUTED_VALUE"""),3.0)</f>
        <v>3</v>
      </c>
      <c r="K2067" s="213" t="str">
        <f>IFERROR(__xludf.DUMMYFUNCTION("""COMPUTED_VALUE"""),"170 DÍAS CALENDARIO")</f>
        <v>170 DÍAS CALENDARIO</v>
      </c>
      <c r="L2067"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67" s="213">
        <f>IFERROR(__xludf.DUMMYFUNCTION("""COMPUTED_VALUE"""),1.0)</f>
        <v>1</v>
      </c>
      <c r="N2067" s="213">
        <f>IFERROR(__xludf.DUMMYFUNCTION("""COMPUTED_VALUE"""),1.0)</f>
        <v>1</v>
      </c>
      <c r="O2067" s="213">
        <f>IFERROR(__xludf.DUMMYFUNCTION("""COMPUTED_VALUE"""),1.0)</f>
        <v>1</v>
      </c>
      <c r="P2067" s="213"/>
      <c r="Q2067" s="213"/>
      <c r="R2067" s="213"/>
      <c r="S2067" s="213"/>
      <c r="T2067" s="213" t="str">
        <f>IFERROR(__xludf.DUMMYFUNCTION("""COMPUTED_VALUE"""),"SI")</f>
        <v>SI</v>
      </c>
      <c r="U2067" s="213" t="str">
        <f>IFERROR(__xludf.DUMMYFUNCTION("""COMPUTED_VALUE"""),"NO")</f>
        <v>NO</v>
      </c>
      <c r="V2067" s="213" t="str">
        <f>IFERROR(__xludf.DUMMYFUNCTION("""COMPUTED_VALUE"""),"SUSTENTO")</f>
        <v>SUSTENTO</v>
      </c>
      <c r="W2067" s="213" t="str">
        <f>IFERROR(__xludf.DUMMYFUNCTION("""COMPUTED_VALUE"""),"CRÍTICO")</f>
        <v>CRÍTICO</v>
      </c>
      <c r="X2067" s="213" t="str">
        <f>IFERROR(__xludf.DUMMYFUNCTION("""COMPUTED_VALUE"""),"ViewSonic")</f>
        <v>ViewSonic</v>
      </c>
      <c r="Y2067" s="213" t="str">
        <f>IFERROR(__xludf.DUMMYFUNCTION("""COMPUTED_VALUE"""),"IFP7555")</f>
        <v>IFP7555</v>
      </c>
      <c r="Z2067" s="215" t="str">
        <f>IFERROR(__xludf.DUMMYFUNCTION("""COMPUTED_VALUE"""),"https://www.viewsonic.com/la/products/ifp7550.html#specTabs.specifications")</f>
        <v>https://www.viewsonic.com/la/products/ifp7550.html#specTabs.specifications</v>
      </c>
      <c r="AA2067" s="213" t="str">
        <f>IFERROR(__xludf.DUMMYFUNCTION("""COMPUTED_VALUE"""),"TEC-114 PIZARRA (PANTALLA) TÁCTIL INTERACTIVA MULTI-TOUCH - CET")</f>
        <v>TEC-114 PIZARRA (PANTALLA) TÁCTIL INTERACTIVA MULTI-TOUCH - CET</v>
      </c>
      <c r="AB2067" s="213"/>
      <c r="AC2067" s="213"/>
      <c r="AD2067" s="213"/>
      <c r="AE2067" s="213"/>
      <c r="AF2067" s="213"/>
      <c r="AG2067" s="213"/>
      <c r="AH2067" s="213"/>
      <c r="AI2067" s="213"/>
      <c r="AJ2067" s="213"/>
      <c r="AK2067" s="213"/>
      <c r="AL2067" s="213"/>
      <c r="AM2067" s="213"/>
      <c r="AN2067" s="213"/>
      <c r="AO2067" s="213"/>
      <c r="AP2067" s="213" t="str">
        <f>IFERROR(__xludf.DUMMYFUNCTION("""COMPUTED_VALUE"""),"NALDI")</f>
        <v>NALDI</v>
      </c>
      <c r="AQ2067" s="213" t="str">
        <f>IFERROR(__xludf.DUMMYFUNCTION("""COMPUTED_VALUE"""),"Instalar antivirus, software CAD, diseño gráfico, edición de video, flujogramas y presupuestos")</f>
        <v>Instalar antivirus, software CAD, diseño gráfico, edición de video, flujogramas y presupuestos</v>
      </c>
      <c r="AR2067" s="213"/>
      <c r="AS2067" s="213" t="str">
        <f>IFERROR(__xludf.DUMMYFUNCTION("""COMPUTED_VALUE"""),"Adaptador de VGA a HDMI
Rack para pizarra
Instalar los programas")</f>
        <v>Adaptador de VGA a HDMI
Rack para pizarra
Instalar los programas</v>
      </c>
      <c r="AT2067" s="213"/>
      <c r="AU2067" s="213"/>
      <c r="AV2067" s="213"/>
      <c r="AW2067" s="213"/>
      <c r="AX2067" s="213"/>
      <c r="AY2067" s="213"/>
      <c r="AZ2067" s="213"/>
      <c r="BA2067" s="213"/>
      <c r="BB2067" s="213"/>
      <c r="BC2067" s="213"/>
      <c r="BD2067" s="213"/>
    </row>
    <row r="2068">
      <c r="A2068" s="213">
        <f>IFERROR(__xludf.DUMMYFUNCTION("""COMPUTED_VALUE"""),649.0)</f>
        <v>649</v>
      </c>
      <c r="B2068" s="213" t="str">
        <f>IFERROR(__xludf.DUMMYFUNCTION("""COMPUTED_VALUE"""),"6049 RICARDO PALMA")</f>
        <v>6049 RICARDO PALMA</v>
      </c>
      <c r="C2068" s="213" t="str">
        <f>IFERROR(__xludf.DUMMYFUNCTION("""COMPUTED_VALUE"""),"TALLER SFT DE ELECTRÓNICA")</f>
        <v>TALLER SFT DE ELECTRÓNICA</v>
      </c>
      <c r="D2068" s="213" t="str">
        <f>IFERROR(__xludf.DUMMYFUNCTION("""COMPUTED_VALUE"""),"TICS")</f>
        <v>TICS</v>
      </c>
      <c r="E2068" s="213" t="str">
        <f>IFERROR(__xludf.DUMMYFUNCTION("""COMPUTED_VALUE"""),"TEC-114")</f>
        <v>TEC-114</v>
      </c>
      <c r="F2068" s="213" t="str">
        <f>IFERROR(__xludf.DUMMYFUNCTION("""COMPUTED_VALUE"""),"TEC-114")</f>
        <v>TEC-114</v>
      </c>
      <c r="G2068" s="213"/>
      <c r="H2068" s="213" t="str">
        <f>IFERROR(__xludf.DUMMYFUNCTION("""COMPUTED_VALUE"""),"PIZARRA (PANTALLA) TÁCTIL INTERACTIVA MULTI-TOUCH")</f>
        <v>PIZARRA (PANTALLA) TÁCTIL INTERACTIVA MULTI-TOUCH</v>
      </c>
      <c r="I2068"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P"&amp;"ANTALLA 75"" --- RESOLUCIÓN 3840 x 2160 --- CONTRASTE 2000:1 o superior --- MÉTODO DE ESCRITURA Tactil, lapiz y/o lapicero compatible con la pantalla --- NUMERO DE TOQUES 10 como minimo -
-- CONECTIVIDAD Inalambrica IEEE 802.11 ac ---- PUERTOS E/S: USB, H"&amp;"DMI, RS232, VGA, Audio y RJ45 --- AUDIO 10W  --- VOLTAJE 220VAC /60 HZ ---
SISTEMA OPERATIVO DE LA PANTALLA Windows y/o IOS y/o Android y/o Linux y/o del mismo fabricante --- SOFTWARE Control del uso de la pantalla y/o manejo de la clase --- CERTIFICADO E"&amp;"nergy Star y/o CE y/o FCC y/o RoHS. --- 02 lapiceros y/o lapiz inalámbrico compatible con el equipo. --- 01 Cable de alimentación y 01 cable de conexión de video y 01 cable   --- USB y 01 Manual de Usuario --- 01 Kit de montaje con ruedas   --- GARANTIA T"&amp;"res (03) años Onsite a Nivel Nacional
CONTIENE:
. Softwares de última generación y utilitarios instalados en 64 Bits. Instalados en la computadora, trabajan con y sin conexión a internet. / Software Microsoft Office 2019 o superior (Word, Excel, PowerPoin"&amp;"t, Visio, One Note y Ms Forms), idioma Español, de 64 Bits.
· Software Antivirus:
- Licenciada / Idioma español / Protección antivirus en tiempo real para proteger de virus, troyanos, adware, malware y phishing / Protección contra firewall /
· Software - "&amp;"Programas CAD para dibujos en 2D, 3D y renderizado:
- Gratuitos /libres (de código abierto) / Idioma español / Compatible con el sistema operativo de la computadora (Windows 11 o posterior) / Cuenta con herramientas de edición y modelado de muebles / Cuen"&amp;"ta con editor geométrico interactivo, procesamiento de imágenes y señales / Alta capacidad de renderizado / Entre las alternativas gratuitas: SketchUp, Polyboard, Sweet Home 3D, entre otros.
· Software para diseño gráfico publicitario:
- Gratuitos /libres"&amp;" (de código abierto) / Idioma español / Compatible con el sistema operativo de la computadora (Windows 11 o posterior) / Permite crear diseños, gráficos, fotografías y sitios web / Dispone de herramientas profesionales de diseño, edición de imágenes y fot"&amp;"ografías y diseño de páginas web. Funciones táctiles y para lápices intuitivos / Dispone de editor de gráficos vectoriales, textos y logos / Permite diseño de prototipos e interfaces para aplicaciones y sitios web / Entre las alternativas gratuitas /libre"&amp;"s: Gimp, krita, Inkscape, Pencil Proyect, entre otros.
· Software para diseño y edición de videos – spot publicitarios:
- Gratuitos /libres (de código abierto) / Idioma español / Versión 2019 o superior / Compatible con el sistema operativo de la computad"&amp;"ora (Windows 11 o posterior) / Permite diseñar y editar videos / Trabaja con diferentes formatos: Un amplio soporte para diferentes formatos, incluyendo MP4, AVI, MOV, AVCHD y más. / Permite crear videos de alta resolución: 4K, y trabajar en formato SD y "&amp;"HD / Dispone de las herramientas más utilizadas en los editores de vídeos: cortar, recortar, dividir y combinar en unos pocos clics. / Permite generar acabados: Varios filtros y efectos visuales para retocar el vídeo, efectos especiales  en 2D y 3D / Disp"&amp;"one de
herramientas para realizar diseños y animaciones en 3D y plantillas animadas gratuitas. / Permite editar, ajustar perfeccionar el audio / Entre las alternativas gratuitas /libres: Windows Movie Maker, Video editor Wondershare filmadora, Lightworks,"&amp;" VSDC Free Video editor, Blender, entre otros.
· Software / programas para elaborar flujogramas:
- Gratuitos /libres (de código abierto) / Idioma español / Compatible con el sistema operativo de la computadora (Windows 11 o posterior) / Diseña diagramas d"&amp;"e flujos y organigramas / Contiene una variedad de símbolos y estilos de conexión de líneas. / Edita, personaliza colores, rellenos y trazos / Entre las alternativas gratuitas /libres: clickCharts, CreatelyDia, y Ed Graph Editor, Pencil project, entre otr"&amp;"os.
· Software para elaborar presupuestos:
- Gratuitos /libres (de código abierto) / Idioma español / Compatible con el sistema operativo de la computadora (Windows 11 o posterior) / Crea presupuestos, gestiona la facturación y la planificación de presupu"&amp;"estos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68" s="213">
        <f>IFERROR(__xludf.DUMMYFUNCTION("""COMPUTED_VALUE"""),3.0)</f>
        <v>3</v>
      </c>
      <c r="K2068" s="213" t="str">
        <f>IFERROR(__xludf.DUMMYFUNCTION("""COMPUTED_VALUE"""),"170 DÍAS CALENDARIO")</f>
        <v>170 DÍAS CALENDARIO</v>
      </c>
      <c r="L2068"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68" s="213">
        <f>IFERROR(__xludf.DUMMYFUNCTION("""COMPUTED_VALUE"""),1.0)</f>
        <v>1</v>
      </c>
      <c r="N2068" s="213">
        <f>IFERROR(__xludf.DUMMYFUNCTION("""COMPUTED_VALUE"""),1.0)</f>
        <v>1</v>
      </c>
      <c r="O2068" s="213">
        <f>IFERROR(__xludf.DUMMYFUNCTION("""COMPUTED_VALUE"""),1.0)</f>
        <v>1</v>
      </c>
      <c r="P2068" s="213"/>
      <c r="Q2068" s="213"/>
      <c r="R2068" s="213"/>
      <c r="S2068" s="213"/>
      <c r="T2068" s="213" t="str">
        <f>IFERROR(__xludf.DUMMYFUNCTION("""COMPUTED_VALUE"""),"SI")</f>
        <v>SI</v>
      </c>
      <c r="U2068" s="213" t="str">
        <f>IFERROR(__xludf.DUMMYFUNCTION("""COMPUTED_VALUE"""),"NO")</f>
        <v>NO</v>
      </c>
      <c r="V2068" s="213" t="str">
        <f>IFERROR(__xludf.DUMMYFUNCTION("""COMPUTED_VALUE"""),"SUSTENTO")</f>
        <v>SUSTENTO</v>
      </c>
      <c r="W2068" s="213" t="str">
        <f>IFERROR(__xludf.DUMMYFUNCTION("""COMPUTED_VALUE"""),"CRÍTICO")</f>
        <v>CRÍTICO</v>
      </c>
      <c r="X2068" s="213" t="str">
        <f>IFERROR(__xludf.DUMMYFUNCTION("""COMPUTED_VALUE"""),"ViewSonic")</f>
        <v>ViewSonic</v>
      </c>
      <c r="Y2068" s="213" t="str">
        <f>IFERROR(__xludf.DUMMYFUNCTION("""COMPUTED_VALUE"""),"IFP7556")</f>
        <v>IFP7556</v>
      </c>
      <c r="Z2068" s="215" t="str">
        <f>IFERROR(__xludf.DUMMYFUNCTION("""COMPUTED_VALUE"""),"https://www.viewsonic.com/la/products/ifp7550.html#specTabs.specifications")</f>
        <v>https://www.viewsonic.com/la/products/ifp7550.html#specTabs.specifications</v>
      </c>
      <c r="AA2068" s="213" t="str">
        <f>IFERROR(__xludf.DUMMYFUNCTION("""COMPUTED_VALUE"""),"TEC-114 PIZARRA (PANTALLA) TÁCTIL INTERACTIVA MULTI-TOUCH - CET")</f>
        <v>TEC-114 PIZARRA (PANTALLA) TÁCTIL INTERACTIVA MULTI-TOUCH - CET</v>
      </c>
      <c r="AB2068" s="213"/>
      <c r="AC2068" s="213"/>
      <c r="AD2068" s="213"/>
      <c r="AE2068" s="213"/>
      <c r="AF2068" s="213"/>
      <c r="AG2068" s="213"/>
      <c r="AH2068" s="213"/>
      <c r="AI2068" s="213"/>
      <c r="AJ2068" s="213"/>
      <c r="AK2068" s="213"/>
      <c r="AL2068" s="213"/>
      <c r="AM2068" s="213"/>
      <c r="AN2068" s="213"/>
      <c r="AO2068" s="213"/>
      <c r="AP2068" s="213" t="str">
        <f>IFERROR(__xludf.DUMMYFUNCTION("""COMPUTED_VALUE"""),"NALDI")</f>
        <v>NALDI</v>
      </c>
      <c r="AQ2068" s="213" t="str">
        <f>IFERROR(__xludf.DUMMYFUNCTION("""COMPUTED_VALUE"""),"Instalar antivirus, software CAD, diseño gráfico, edición de video, flujogramas y presupuestos")</f>
        <v>Instalar antivirus, software CAD, diseño gráfico, edición de video, flujogramas y presupuestos</v>
      </c>
      <c r="AR2068" s="213"/>
      <c r="AS2068" s="213" t="str">
        <f>IFERROR(__xludf.DUMMYFUNCTION("""COMPUTED_VALUE"""),"Adaptador de VGA a HDMI
Rack para pizarra
Instalar los programas")</f>
        <v>Adaptador de VGA a HDMI
Rack para pizarra
Instalar los programas</v>
      </c>
      <c r="AT2068" s="213"/>
      <c r="AU2068" s="213"/>
      <c r="AV2068" s="213"/>
      <c r="AW2068" s="213"/>
      <c r="AX2068" s="213"/>
      <c r="AY2068" s="213"/>
      <c r="AZ2068" s="213"/>
      <c r="BA2068" s="213"/>
      <c r="BB2068" s="213"/>
      <c r="BC2068" s="213"/>
      <c r="BD2068" s="213"/>
    </row>
    <row r="2069">
      <c r="A2069" s="213">
        <f>IFERROR(__xludf.DUMMYFUNCTION("""COMPUTED_VALUE"""),756.0)</f>
        <v>756</v>
      </c>
      <c r="B2069" s="213" t="str">
        <f>IFERROR(__xludf.DUMMYFUNCTION("""COMPUTED_VALUE"""),"6049 RICARDO PALMA")</f>
        <v>6049 RICARDO PALMA</v>
      </c>
      <c r="C2069" s="213" t="str">
        <f>IFERROR(__xludf.DUMMYFUNCTION("""COMPUTED_VALUE"""),"TALLER SFT DE COMPUTACIÓN E INFORMÁTICA")</f>
        <v>TALLER SFT DE COMPUTACIÓN E INFORMÁTICA</v>
      </c>
      <c r="D2069" s="213" t="str">
        <f>IFERROR(__xludf.DUMMYFUNCTION("""COMPUTED_VALUE"""),"TICS")</f>
        <v>TICS</v>
      </c>
      <c r="E2069" s="213" t="str">
        <f>IFERROR(__xludf.DUMMYFUNCTION("""COMPUTED_VALUE"""),"TEC-114")</f>
        <v>TEC-114</v>
      </c>
      <c r="F2069" s="213" t="str">
        <f>IFERROR(__xludf.DUMMYFUNCTION("""COMPUTED_VALUE"""),"TEC-114")</f>
        <v>TEC-114</v>
      </c>
      <c r="G2069" s="213"/>
      <c r="H2069" s="213" t="str">
        <f>IFERROR(__xludf.DUMMYFUNCTION("""COMPUTED_VALUE"""),"PIZARRA (PANTALLA) TÁCTIL INTERACTIVA MULTI-TOUCH")</f>
        <v>PIZARRA (PANTALLA) TÁCTIL INTERACTIVA MULTI-TOUCH</v>
      </c>
      <c r="I2069"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En"&amp;"ergy Star y/o CE y/o FCC y/o RoHS. --- 02 lapiceros y/o lapiz inalámbrico compatible con el equipo       01 Cable de
alimentación y 01 cable de conexión de video y 01 cable  --- USB y 01 Manual de Usuario --- 01 Kit de montaje con ruedas       GARANTIA
Tr"&amp;"es (03) años Onsite a Nivel Nacional CONTIENE:
. Softwares de última generación y utilitarios instalados en 64 Bits. Instalados en la computadora, trabajan con y sin conexión a internet. / Software Microsoft Office 2019 o superior (Word, Excel, PowerPoint"&amp;", Visio, One Note y Ms Forms), idioma Español, de 64 Bits.
· Software Antivirus:
- Licenciada / Idioma español / Protección antivirus en tiempo real para proteger de virus, troyanos, adware, malware y phishing / Protección contra firewall /
· Software - P"&amp;"rogramas CAD para dibujos en 2D, 3D y renderizado:
- Gratuitos /libres (de código abierto) / Idioma español / Compatible con el sistema operativo de la computadora (Windows 11 o posterior)
/ Cuenta con herramientas de edición y modelado de muebles / Cuent"&amp;"a con editor geométrico interactivo, procesamiento de imágenes y señales / Alta capacidad de renderizado / Entre las alternativas gratuitas: SketchUp, Polyboard, Sweet Home 3D, entre otros.
· Software para diseño gráfico publicitario:
- Gratuitos /libres "&amp;"(de código abierto) / Idioma español / Compatible con el sistema operativo de la computadora (Windows 11 o posterior)
/ Permite crear diseños, gráficos, fotografías y sitios web / Dispone de herramientas profesionales de diseño, edición de imágenes y foto"&amp;"grafías y diseño de páginas web. Funciones táctiles y para lápices intuitivos / Dispone de editor de gráficos vectoriales, textos y logos
/ Permite diseño de prototipos e interfaces para aplicaciones y sitios web / Entre las alternativas gratuitas /libres"&amp;": Gimp, krita, Inkscape, Pencil Proyect, entre otros.
· Software para diseño y edición de videos – spot publicitarios:
- Gratuitos /libres (de código abierto) / Idioma español / Versión 2019 o superior / Compatible con el sistema operativo de la computado"&amp;"ra (Windows 11 o posterior) / Permite diseñar y editar videos / Trabaja con diferentes formatos: Un amplio soporte para diferentes formatos, incluyendo MP4, AVI, MOV, AVCHD y más. / Permite crear videos de alta resolución: 4K, y trabajar en formato SD y H"&amp;"D / Dispone de las herramientas más utilizadas en los editores de vídeos: cortar, recortar, dividir y combinar en unos pocos clics. / Permite generar acabados: Varios filtros y efectos visuales para retocar el vídeo, efectos especiales en 2D y 3D / Dispon"&amp;"e de
herramientas para realizar diseños y animaciones en 3D y plantillas animadas gratuitas. / Permite editar, ajustar perfeccionar el audio / Entre las alternativas gratuitas /libres: Windows Movie Maker, Video editor Wondershare filmadora, Lightworks, V"&amp;"SDC Free Video editor, Blender, entre otros.
· Software / programas para elaborar flujogramas:
- Gratuitos /libres (de código abierto) / Idioma español / Compatible con el sistema operativo de la computadora (Windows 11 o posterior)
/ Diseña diagramas de "&amp;"flujos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presupues"&amp;"tos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--- 02 lapiceros y/o lapiz inalámbrico compatible con el equipo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69" s="213">
        <f>IFERROR(__xludf.DUMMYFUNCTION("""COMPUTED_VALUE"""),3.0)</f>
        <v>3</v>
      </c>
      <c r="K2069" s="213" t="str">
        <f>IFERROR(__xludf.DUMMYFUNCTION("""COMPUTED_VALUE"""),"170 DÍAS CALENDARIO")</f>
        <v>170 DÍAS CALENDARIO</v>
      </c>
      <c r="L2069"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69" s="213">
        <f>IFERROR(__xludf.DUMMYFUNCTION("""COMPUTED_VALUE"""),1.0)</f>
        <v>1</v>
      </c>
      <c r="N2069" s="213">
        <f>IFERROR(__xludf.DUMMYFUNCTION("""COMPUTED_VALUE"""),1.0)</f>
        <v>1</v>
      </c>
      <c r="O2069" s="213">
        <f>IFERROR(__xludf.DUMMYFUNCTION("""COMPUTED_VALUE"""),1.0)</f>
        <v>1</v>
      </c>
      <c r="P2069" s="213"/>
      <c r="Q2069" s="213"/>
      <c r="R2069" s="213"/>
      <c r="S2069" s="213"/>
      <c r="T2069" s="213" t="str">
        <f>IFERROR(__xludf.DUMMYFUNCTION("""COMPUTED_VALUE"""),"SI")</f>
        <v>SI</v>
      </c>
      <c r="U2069" s="213" t="str">
        <f>IFERROR(__xludf.DUMMYFUNCTION("""COMPUTED_VALUE"""),"NO")</f>
        <v>NO</v>
      </c>
      <c r="V2069" s="213" t="str">
        <f>IFERROR(__xludf.DUMMYFUNCTION("""COMPUTED_VALUE"""),"SUSTENTO")</f>
        <v>SUSTENTO</v>
      </c>
      <c r="W2069" s="213" t="str">
        <f>IFERROR(__xludf.DUMMYFUNCTION("""COMPUTED_VALUE"""),"CRÍTICO")</f>
        <v>CRÍTICO</v>
      </c>
      <c r="X2069" s="213" t="str">
        <f>IFERROR(__xludf.DUMMYFUNCTION("""COMPUTED_VALUE"""),"ViewSonic")</f>
        <v>ViewSonic</v>
      </c>
      <c r="Y2069" s="213" t="str">
        <f>IFERROR(__xludf.DUMMYFUNCTION("""COMPUTED_VALUE"""),"IFP7557")</f>
        <v>IFP7557</v>
      </c>
      <c r="Z2069" s="215" t="str">
        <f>IFERROR(__xludf.DUMMYFUNCTION("""COMPUTED_VALUE"""),"https://www.viewsonic.com/la/products/ifp7550.html#specTabs.specifications")</f>
        <v>https://www.viewsonic.com/la/products/ifp7550.html#specTabs.specifications</v>
      </c>
      <c r="AA2069" s="213" t="str">
        <f>IFERROR(__xludf.DUMMYFUNCTION("""COMPUTED_VALUE"""),"TEC-114 PIZARRA (PANTALLA) TÁCTIL INTERACTIVA MULTI-TOUCH - CET")</f>
        <v>TEC-114 PIZARRA (PANTALLA) TÁCTIL INTERACTIVA MULTI-TOUCH - CET</v>
      </c>
      <c r="AB2069" s="213"/>
      <c r="AC2069" s="213"/>
      <c r="AD2069" s="213"/>
      <c r="AE2069" s="213"/>
      <c r="AF2069" s="213"/>
      <c r="AG2069" s="213"/>
      <c r="AH2069" s="213"/>
      <c r="AI2069" s="213"/>
      <c r="AJ2069" s="213"/>
      <c r="AK2069" s="213"/>
      <c r="AL2069" s="213"/>
      <c r="AM2069" s="213"/>
      <c r="AN2069" s="213"/>
      <c r="AO2069" s="213"/>
      <c r="AP2069" s="213" t="str">
        <f>IFERROR(__xludf.DUMMYFUNCTION("""COMPUTED_VALUE"""),"NALDI")</f>
        <v>NALDI</v>
      </c>
      <c r="AQ2069" s="213" t="str">
        <f>IFERROR(__xludf.DUMMYFUNCTION("""COMPUTED_VALUE"""),"Instalar antivirus, software CAD, diseño gráfico, edición de video, flujogramas y presupuestos")</f>
        <v>Instalar antivirus, software CAD, diseño gráfico, edición de video, flujogramas y presupuestos</v>
      </c>
      <c r="AR2069" s="213"/>
      <c r="AS2069" s="213" t="str">
        <f>IFERROR(__xludf.DUMMYFUNCTION("""COMPUTED_VALUE"""),"Adaptador de VGA a HDMI
Rack para pizarra
Instalar los programas")</f>
        <v>Adaptador de VGA a HDMI
Rack para pizarra
Instalar los programas</v>
      </c>
      <c r="AT2069" s="213"/>
      <c r="AU2069" s="213"/>
      <c r="AV2069" s="213"/>
      <c r="AW2069" s="213"/>
      <c r="AX2069" s="213"/>
      <c r="AY2069" s="213"/>
      <c r="AZ2069" s="213"/>
      <c r="BA2069" s="213"/>
      <c r="BB2069" s="213"/>
      <c r="BC2069" s="213"/>
      <c r="BD2069" s="213"/>
    </row>
    <row r="2070">
      <c r="A2070" s="213">
        <f>IFERROR(__xludf.DUMMYFUNCTION("""COMPUTED_VALUE"""),770.0)</f>
        <v>770</v>
      </c>
      <c r="B2070" s="213" t="str">
        <f>IFERROR(__xludf.DUMMYFUNCTION("""COMPUTED_VALUE"""),"6049 RICARDO PALMA")</f>
        <v>6049 RICARDO PALMA</v>
      </c>
      <c r="C2070" s="213" t="str">
        <f>IFERROR(__xludf.DUMMYFUNCTION("""COMPUTED_VALUE"""),"TALLER SFT DE COMPUTACIÓN E INFORMÁTICA")</f>
        <v>TALLER SFT DE COMPUTACIÓN E INFORMÁTICA</v>
      </c>
      <c r="D2070" s="213" t="str">
        <f>IFERROR(__xludf.DUMMYFUNCTION("""COMPUTED_VALUE"""),"TICS")</f>
        <v>TICS</v>
      </c>
      <c r="E2070" s="213" t="str">
        <f>IFERROR(__xludf.DUMMYFUNCTION("""COMPUTED_VALUE"""),"TEC-114")</f>
        <v>TEC-114</v>
      </c>
      <c r="F2070" s="213" t="str">
        <f>IFERROR(__xludf.DUMMYFUNCTION("""COMPUTED_VALUE"""),"TEC-114")</f>
        <v>TEC-114</v>
      </c>
      <c r="G2070" s="213"/>
      <c r="H2070" s="213" t="str">
        <f>IFERROR(__xludf.DUMMYFUNCTION("""COMPUTED_VALUE"""),"PIZARRA (PANTALLA) TÁCTIL INTERACTIVA MULTI-TOUCH")</f>
        <v>PIZARRA (PANTALLA) TÁCTIL INTERACTIVA MULTI-TOUCH</v>
      </c>
      <c r="I2070"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En"&amp;"ergy Star y/o CE y/o FCC y/o RoHS. --- 02 lapiceros y/o lapiz inalámbrico compatible con el equipo       01 Cable de
alimentación y 01 cable de conexión de video y 01 cable  --- USB y 01 Manual de Usuario --- 01 Kit de montaje con ruedas       GARANTIA
Tr"&amp;"es (03) años Onsite a Nivel Nacional CONTIENE:
. Softwares de última generación y utilitarios instalados en 64 Bits. Instalados en la computadora, trabajan con y sin conexión a internet. / Software Microsoft Office 2019 o superior (Word, Excel, PowerPoint"&amp;", Visio, One Note y Ms Forms), idioma Español, de 64 Bits.
· Software Antivirus:
- Licenciada / Idioma español / Protección antivirus en tiempo real para proteger de virus, troyanos, adware, malware y phishing / Protección contra firewall /
· Software - P"&amp;"rogramas CAD para dibujos en 2D, 3D y renderizado:
- Gratuitos /libres (de código abierto) / Idioma español / Compatible con el sistema operativo de la computadora (Windows 11 o posterior)
/ Cuenta con herramientas de edición y modelado de muebles / Cuent"&amp;"a con editor geométrico interactivo, procesamiento de imágenes y señales / Alta capacidad de renderizado / Entre las alternativas gratuitas: SketchUp, Polyboard, Sweet Home 3D, entre otros.
· Software para diseño gráfico publicitario:
- Gratuitos /libres "&amp;"(de código abierto) / Idioma español / Compatible con el sistema operativo de la computadora (Windows 11 o posterior)
/ Permite crear diseños, gráficos, fotografías y sitios web / Dispone de herramientas profesionales de diseño, edición de imágenes y foto"&amp;"grafías y diseño de páginas web. Funciones táctiles y para lápices intuitivos / Dispone de editor de gráficos vectoriales, textos y logos
/ Permite diseño de prototipos e interfaces para aplicaciones y sitios web / Entre las alternativas gratuitas /libres"&amp;": Gimp, krita, Inkscape, Pencil Proyect, entre otros.
· Software para diseño y edición de videos – spot publicitarios:
- Gratuitos /libres (de código abierto) / Idioma español / Versión 2019 o superior / Compatible con el sistema operativo de la computado"&amp;"ra (Windows 11 o posterior) / Permite diseñar y editar videos / Trabaja con diferentes formatos: Un amplio soporte para diferentes formatos, incluyendo MP4, AVI, MOV, AVCHD y más. / Permite crear videos de alta resolución: 4K, y trabajar en formato SD y H"&amp;"D / Dispone de las herramientas más utilizadas en los editores de vídeos: cortar, recortar, dividir y combinar en unos pocos clics. / Permite generar acabados: Varios filtros y efectos visuales para retocar el vídeo, efectos especiales en 2D y 3D / Dispon"&amp;"e de
herramientas para realizar diseños y animaciones en 3D y plantillas animadas gratuitas. / Permite editar, ajustar perfeccionar el audio / Entre las alternativas gratuitas /libres: Windows Movie Maker, Video editor Wondershare filmadora, Lightworks, V"&amp;"SDC Free Video editor, Blender, entre otros.
· Software / programas para elaborar flujogramas:
- Gratuitos /libres (de código abierto) / Idioma español / Compatible con el sistema operativo de la computadora (Windows 11 o posterior)
/ Diseña diagramas de "&amp;"flujos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presupues"&amp;"tos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--- 02 lapiceros y/o lapiz inalámbrico compatible con el equipo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70" s="213">
        <f>IFERROR(__xludf.DUMMYFUNCTION("""COMPUTED_VALUE"""),3.0)</f>
        <v>3</v>
      </c>
      <c r="K2070" s="213" t="str">
        <f>IFERROR(__xludf.DUMMYFUNCTION("""COMPUTED_VALUE"""),"170 DÍAS CALENDARIO")</f>
        <v>170 DÍAS CALENDARIO</v>
      </c>
      <c r="L2070"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0" s="213">
        <f>IFERROR(__xludf.DUMMYFUNCTION("""COMPUTED_VALUE"""),1.0)</f>
        <v>1</v>
      </c>
      <c r="N2070" s="213">
        <f>IFERROR(__xludf.DUMMYFUNCTION("""COMPUTED_VALUE"""),1.0)</f>
        <v>1</v>
      </c>
      <c r="O2070" s="213">
        <f>IFERROR(__xludf.DUMMYFUNCTION("""COMPUTED_VALUE"""),1.0)</f>
        <v>1</v>
      </c>
      <c r="P2070" s="213"/>
      <c r="Q2070" s="213"/>
      <c r="R2070" s="213"/>
      <c r="S2070" s="213"/>
      <c r="T2070" s="213" t="str">
        <f>IFERROR(__xludf.DUMMYFUNCTION("""COMPUTED_VALUE"""),"SI")</f>
        <v>SI</v>
      </c>
      <c r="U2070" s="213" t="str">
        <f>IFERROR(__xludf.DUMMYFUNCTION("""COMPUTED_VALUE"""),"NO")</f>
        <v>NO</v>
      </c>
      <c r="V2070" s="213" t="str">
        <f>IFERROR(__xludf.DUMMYFUNCTION("""COMPUTED_VALUE"""),"SUSTENTO")</f>
        <v>SUSTENTO</v>
      </c>
      <c r="W2070" s="213" t="str">
        <f>IFERROR(__xludf.DUMMYFUNCTION("""COMPUTED_VALUE"""),"CRÍTICO")</f>
        <v>CRÍTICO</v>
      </c>
      <c r="X2070" s="213" t="str">
        <f>IFERROR(__xludf.DUMMYFUNCTION("""COMPUTED_VALUE"""),"ViewSonic")</f>
        <v>ViewSonic</v>
      </c>
      <c r="Y2070" s="213" t="str">
        <f>IFERROR(__xludf.DUMMYFUNCTION("""COMPUTED_VALUE"""),"IFP7558")</f>
        <v>IFP7558</v>
      </c>
      <c r="Z2070" s="215" t="str">
        <f>IFERROR(__xludf.DUMMYFUNCTION("""COMPUTED_VALUE"""),"https://www.viewsonic.com/la/products/ifp7550.html#specTabs.specifications")</f>
        <v>https://www.viewsonic.com/la/products/ifp7550.html#specTabs.specifications</v>
      </c>
      <c r="AA2070" s="213" t="str">
        <f>IFERROR(__xludf.DUMMYFUNCTION("""COMPUTED_VALUE"""),"TEC-114 PIZARRA (PANTALLA) TÁCTIL INTERACTIVA MULTI-TOUCH - CET")</f>
        <v>TEC-114 PIZARRA (PANTALLA) TÁCTIL INTERACTIVA MULTI-TOUCH - CET</v>
      </c>
      <c r="AB2070" s="213"/>
      <c r="AC2070" s="213"/>
      <c r="AD2070" s="213"/>
      <c r="AE2070" s="213"/>
      <c r="AF2070" s="213"/>
      <c r="AG2070" s="213"/>
      <c r="AH2070" s="213"/>
      <c r="AI2070" s="213"/>
      <c r="AJ2070" s="213"/>
      <c r="AK2070" s="213"/>
      <c r="AL2070" s="213"/>
      <c r="AM2070" s="213"/>
      <c r="AN2070" s="213"/>
      <c r="AO2070" s="213"/>
      <c r="AP2070" s="213" t="str">
        <f>IFERROR(__xludf.DUMMYFUNCTION("""COMPUTED_VALUE"""),"NALDI")</f>
        <v>NALDI</v>
      </c>
      <c r="AQ2070" s="213" t="str">
        <f>IFERROR(__xludf.DUMMYFUNCTION("""COMPUTED_VALUE"""),"Instalar antivirus, software CAD, diseño gráfico, edición de video, flujogramas y presupuestos")</f>
        <v>Instalar antivirus, software CAD, diseño gráfico, edición de video, flujogramas y presupuestos</v>
      </c>
      <c r="AR2070" s="213"/>
      <c r="AS2070" s="213" t="str">
        <f>IFERROR(__xludf.DUMMYFUNCTION("""COMPUTED_VALUE"""),"Adaptador de VGA a HDMI
Rack para pizarra
Instalar los programas")</f>
        <v>Adaptador de VGA a HDMI
Rack para pizarra
Instalar los programas</v>
      </c>
      <c r="AT2070" s="213"/>
      <c r="AU2070" s="213"/>
      <c r="AV2070" s="213"/>
      <c r="AW2070" s="213"/>
      <c r="AX2070" s="213"/>
      <c r="AY2070" s="213"/>
      <c r="AZ2070" s="213"/>
      <c r="BA2070" s="213"/>
      <c r="BB2070" s="213"/>
      <c r="BC2070" s="213"/>
      <c r="BD2070" s="213"/>
    </row>
    <row r="2071">
      <c r="A2071" s="213">
        <f>IFERROR(__xludf.DUMMYFUNCTION("""COMPUTED_VALUE"""),847.0)</f>
        <v>847</v>
      </c>
      <c r="B2071" s="213" t="str">
        <f>IFERROR(__xludf.DUMMYFUNCTION("""COMPUTED_VALUE"""),"6049 RICARDO PALMA")</f>
        <v>6049 RICARDO PALMA</v>
      </c>
      <c r="C2071" s="213" t="str">
        <f>IFERROR(__xludf.DUMMYFUNCTION("""COMPUTED_VALUE"""),"TALLER SFT DE ELECTRICIDAD")</f>
        <v>TALLER SFT DE ELECTRICIDAD</v>
      </c>
      <c r="D2071" s="213" t="str">
        <f>IFERROR(__xludf.DUMMYFUNCTION("""COMPUTED_VALUE"""),"TICS")</f>
        <v>TICS</v>
      </c>
      <c r="E2071" s="213" t="str">
        <f>IFERROR(__xludf.DUMMYFUNCTION("""COMPUTED_VALUE"""),"TEC-114")</f>
        <v>TEC-114</v>
      </c>
      <c r="F2071" s="213" t="str">
        <f>IFERROR(__xludf.DUMMYFUNCTION("""COMPUTED_VALUE"""),"TEC-114")</f>
        <v>TEC-114</v>
      </c>
      <c r="G2071" s="213"/>
      <c r="H2071" s="213" t="str">
        <f>IFERROR(__xludf.DUMMYFUNCTION("""COMPUTED_VALUE"""),"PIZARRA (PANTALLA) TÁCTIL INTERACTIVA MULTI-TOUCH")</f>
        <v>PIZARRA (PANTALLA) TÁCTIL INTERACTIVA MULTI-TOUCH</v>
      </c>
      <c r="I2071"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8"&amp;"02.11 ac ---- PUERTOS E/S: USB, HDMI, RS232, VGA, Audio y RJ45 --- AUDIO 10W --- VOLTAJE 220VAC /60 HZ ---                                
""SISTEMA OPERATIVO DE LA PANTALLA Windows y/o IOS y/o Android y/o Linux y/o del mismo fabricante --- SOFTWARE Contr"&amp;"ol del uso de la pantalla y/o
manejo de la clase --- CERTIFICADO Energy Star y/o CE y/o FCC y/o RoHS. --- 02 lapiceros y/o lapiz inalámbrico compatible con el equipo. --- 01 Cable de""                                
alimentación y 01 cable de conexión de"&amp;" video y 01 cable  --- USB y 01 Manual de Usuario --- 01 Kit de montaje con ruedas  --- GARANTIA Tres (03) años Onsite a                                
Nivel Nacional                                
CONTIENE:                                
. Softwares d"&amp;"e última generación y utilitarios instalados en 64 Bits. Instalados en la computadora, trabajan con y sin conexión a internet. / Software Microsoft                                
Office 2019 o superior (Word, Excel, PowerPoint, Visio, One Note y Ms Forms"&amp;"), idioma Español, de 64 Bits.                                
· Software Antivirus:                                
- Licenciada / Idioma español / Protección antivirus en tiempo real para proteger de virus, troyanos, adware, malware y phishing / Protecc"&amp;"ión contra firewall /                                
· Software - Programas CAD para dibujos en 2D, 3D y renderizado:                                
- Gratuitos /libres (de código abierto) / Idioma español / Compatible con el sistema operativo de la com"&amp;"putadora (Windows 11 o posterior) / Cuenta con                                
herramientas de edición y modelado de muebles / Cuenta con editor geométrico interactivo, procesamiento de imágenes y señales / Alta capacidad de                               "&amp;" 
renderizado / Entre las alternativas gratuitas: SketchUp, Polyboard, Sweet Home 3D, entre otros.                                
· Software para diseño gráfico publicitario:                                
- Gratuitos /libres (de código abierto) / Idiom"&amp;"a español / Compatible con el sistema operativo de la computadora (Windows 11 o posterior) / Permite crear                                
diseños, gráficos, fotografías y sitios web / Dispone de herramientas profesionales de diseño, edición de imágenes y"&amp;" fotografías y diseño de páginas web.                                
Funciones táctiles y para lápices intuitivos / Dispone de editor de gráficos vectoriales, textos y logos / Permite diseño de prototipos e interfaces para aplicaciones                   "&amp;"             
y sitios web / Entre las alternativas gratuitas /libres: Gimp, krita, Inkscape, Pencil Proyect, entre otros.                                
· Software para diseño y edición de videos – spot publicitarios:                                
- G"&amp;"ratuitos /libres (de código abierto) / Idioma español / Versión 2019 o superior / Compatible con el sistema operativo de la computadora (Windows 11 o                                
posterior) / Permite diseñar y editar videos / Trabaja con diferentes for"&amp;"matos: Un amplio soporte para diferentes formatos, incluyendo MP4, AVI, MOV, AVCHD y                                
más. / Permite crear videos de alta resolución: 4K, y trabajar en formato SD y HD / Dispone de las herramientas más utilizadas en los edit"&amp;"ores de vídeos: cortar,                                
recortar, dividir y combinar en unos pocos clics. / Permite generar acabados: Varios filtros y efectos visuales para retocar el vídeo, efectos especiales en 2D y 3D                                
/ "&amp;"Dispone de                                
herramientas para realizar diseños y animaciones en 3D y plantillas animadas gratuitas. / Permite editar, ajustar perfeccionar el audio / Entre las alternativas                                
gratuitas /libres: "&amp;"Windows Movie Maker, Video editor Wondershare filmadora, Lightworks, VSDC Free Video editor, Blender, entre otros.                                
· Software / programas para elaborar flujogramas:                                
- Gratuitos /libres (de có"&amp;"digo abierto) / Idioma español / Compatible con el sistema operativo de la computadora (Windows 11 o posterior) / Diseña diagramas de                                
flujos y organigramas / Contiene una variedad de símbolos y estilos de conexión de líneas"&amp;". / Edita, personaliza colores, rellenos y trazos / Entre las alternativas                                
gratuitas /libres: clickCharts, CreatelyDia, y Ed Graph Editor, Pencil project, entre otros.                                
· Software para elabora"&amp;"r presupuestos:                                
- Gratuitos /libres (de código abierto) / Idioma español / Compatible con el sistema operativo de la computadora (Windows 11 o posterior) / Crea presupuestos,                                
gestiona la fact"&amp;"uración y la planificación de presupuestos / Entre las alternativas gratuitas /libres: Holded, debitor, Billage, entre otros.                                ")</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                                </v>
      </c>
      <c r="J2071" s="213">
        <f>IFERROR(__xludf.DUMMYFUNCTION("""COMPUTED_VALUE"""),3.0)</f>
        <v>3</v>
      </c>
      <c r="K2071" s="213" t="str">
        <f>IFERROR(__xludf.DUMMYFUNCTION("""COMPUTED_VALUE"""),"170 DÍAS CALENDARIO")</f>
        <v>170 DÍAS CALENDARIO</v>
      </c>
      <c r="L2071"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1" s="213">
        <f>IFERROR(__xludf.DUMMYFUNCTION("""COMPUTED_VALUE"""),1.0)</f>
        <v>1</v>
      </c>
      <c r="N2071" s="213">
        <f>IFERROR(__xludf.DUMMYFUNCTION("""COMPUTED_VALUE"""),1.0)</f>
        <v>1</v>
      </c>
      <c r="O2071" s="213">
        <f>IFERROR(__xludf.DUMMYFUNCTION("""COMPUTED_VALUE"""),1.0)</f>
        <v>1</v>
      </c>
      <c r="P2071" s="213"/>
      <c r="Q2071" s="213"/>
      <c r="R2071" s="213"/>
      <c r="S2071" s="213"/>
      <c r="T2071" s="213" t="str">
        <f>IFERROR(__xludf.DUMMYFUNCTION("""COMPUTED_VALUE"""),"SI")</f>
        <v>SI</v>
      </c>
      <c r="U2071" s="213" t="str">
        <f>IFERROR(__xludf.DUMMYFUNCTION("""COMPUTED_VALUE"""),"NO")</f>
        <v>NO</v>
      </c>
      <c r="V2071" s="213" t="str">
        <f>IFERROR(__xludf.DUMMYFUNCTION("""COMPUTED_VALUE"""),"SUSTENTO")</f>
        <v>SUSTENTO</v>
      </c>
      <c r="W2071" s="213" t="str">
        <f>IFERROR(__xludf.DUMMYFUNCTION("""COMPUTED_VALUE"""),"CRÍTICO")</f>
        <v>CRÍTICO</v>
      </c>
      <c r="X2071" s="213" t="str">
        <f>IFERROR(__xludf.DUMMYFUNCTION("""COMPUTED_VALUE"""),"ViewSonic")</f>
        <v>ViewSonic</v>
      </c>
      <c r="Y2071" s="213" t="str">
        <f>IFERROR(__xludf.DUMMYFUNCTION("""COMPUTED_VALUE"""),"IFP7559")</f>
        <v>IFP7559</v>
      </c>
      <c r="Z2071" s="215" t="str">
        <f>IFERROR(__xludf.DUMMYFUNCTION("""COMPUTED_VALUE"""),"https://www.viewsonic.com/la/products/ifp7550.html#specTabs.specifications")</f>
        <v>https://www.viewsonic.com/la/products/ifp7550.html#specTabs.specifications</v>
      </c>
      <c r="AA2071" s="213" t="str">
        <f>IFERROR(__xludf.DUMMYFUNCTION("""COMPUTED_VALUE"""),"TEC-114 PIZARRA (PANTALLA) TÁCTIL INTERACTIVA MULTI-TOUCH - CET")</f>
        <v>TEC-114 PIZARRA (PANTALLA) TÁCTIL INTERACTIVA MULTI-TOUCH - CET</v>
      </c>
      <c r="AB2071" s="213"/>
      <c r="AC2071" s="213"/>
      <c r="AD2071" s="213"/>
      <c r="AE2071" s="213"/>
      <c r="AF2071" s="213"/>
      <c r="AG2071" s="213"/>
      <c r="AH2071" s="213"/>
      <c r="AI2071" s="213"/>
      <c r="AJ2071" s="213"/>
      <c r="AK2071" s="213"/>
      <c r="AL2071" s="213"/>
      <c r="AM2071" s="213"/>
      <c r="AN2071" s="213"/>
      <c r="AO2071" s="213"/>
      <c r="AP2071" s="213" t="str">
        <f>IFERROR(__xludf.DUMMYFUNCTION("""COMPUTED_VALUE"""),"NALDI")</f>
        <v>NALDI</v>
      </c>
      <c r="AQ2071" s="213" t="str">
        <f>IFERROR(__xludf.DUMMYFUNCTION("""COMPUTED_VALUE"""),"Instalar antivirus, software CAD, diseño gráfico, edición de video, flujogramas y presupuestos")</f>
        <v>Instalar antivirus, software CAD, diseño gráfico, edición de video, flujogramas y presupuestos</v>
      </c>
      <c r="AR2071" s="213"/>
      <c r="AS2071" s="213" t="str">
        <f>IFERROR(__xludf.DUMMYFUNCTION("""COMPUTED_VALUE"""),"Adaptador de VGA a HDMI
Rack para pizarra
Instalar los programas")</f>
        <v>Adaptador de VGA a HDMI
Rack para pizarra
Instalar los programas</v>
      </c>
      <c r="AT2071" s="213"/>
      <c r="AU2071" s="213"/>
      <c r="AV2071" s="213"/>
      <c r="AW2071" s="213"/>
      <c r="AX2071" s="213"/>
      <c r="AY2071" s="213"/>
      <c r="AZ2071" s="213"/>
      <c r="BA2071" s="213"/>
      <c r="BB2071" s="213"/>
      <c r="BC2071" s="213"/>
      <c r="BD2071" s="213"/>
    </row>
    <row r="2072">
      <c r="A2072" s="213">
        <f>IFERROR(__xludf.DUMMYFUNCTION("""COMPUTED_VALUE"""),981.0)</f>
        <v>981</v>
      </c>
      <c r="B2072" s="213" t="str">
        <f>IFERROR(__xludf.DUMMYFUNCTION("""COMPUTED_VALUE"""),"FRANCISCO IRAZOLA")</f>
        <v>FRANCISCO IRAZOLA</v>
      </c>
      <c r="C2072" s="213" t="str">
        <f>IFERROR(__xludf.DUMMYFUNCTION("""COMPUTED_VALUE"""),"TALLER SFT DE MECÁNICA AUTOMOTRIZ")</f>
        <v>TALLER SFT DE MECÁNICA AUTOMOTRIZ</v>
      </c>
      <c r="D2072" s="213" t="str">
        <f>IFERROR(__xludf.DUMMYFUNCTION("""COMPUTED_VALUE"""),"TICS")</f>
        <v>TICS</v>
      </c>
      <c r="E2072" s="213" t="str">
        <f>IFERROR(__xludf.DUMMYFUNCTION("""COMPUTED_VALUE"""),"TEC-114")</f>
        <v>TEC-114</v>
      </c>
      <c r="F2072" s="213" t="str">
        <f>IFERROR(__xludf.DUMMYFUNCTION("""COMPUTED_VALUE"""),"TEC-114")</f>
        <v>TEC-114</v>
      </c>
      <c r="G2072" s="213"/>
      <c r="H2072" s="213" t="str">
        <f>IFERROR(__xludf.DUMMYFUNCTION("""COMPUTED_VALUE"""),"PIZARRA (PANTALLA) TÁCTIL INTERACTIVA MULTI-TOUCH")</f>
        <v>PIZARRA (PANTALLA) TÁCTIL INTERACTIVA MULTI-TOUCH</v>
      </c>
      <c r="I2072"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 PUERTOS E/S: USB, HDMI"&amp;", RS232, VGA, Audio y RJ45 --- AUDIO 10W --- VOLTAJE 220VAC /60 HZ --- SISTEMA OPERATIVO DE
LA PANTALLA Windows y/o IOS y/o Android y/o Linux y/o del mismo fabricante --- SOFTWARE Control del uso de la pantalla y/o manejo de la clase --- CERTIFICADO Energ"&amp;"y Star y/o CE y/o FCC y/o RoHS. --- 02 lapiceros y/o lapiz inalámbrico compatible con el equipo. --- 01 Cable de alimentación y 01 cable de conexión de video y 01 cable  --- USB y 01 Manual de Usuario --- 01 Kit de montaje con ruedas  --- GARANTIA Tres (0"&amp;"3) años Onsite a Nivel Nacional  CONTIENE:
. Softwares de última generación y utilitarios instalados en 64 Bits. Instalados en la computadora, trabajan con y sin conexión a internet. / Software Microsoft Office 2019 o superior (Word, Excel, PowerPoint, Vi"&amp;"sio, One Note y Ms Forms), idioma Español, de 64 Bits.
· Software Antivirus:
- Licenciada / Idioma español / Protección antivirus en tiempo real para proteger de virus, troyanos, adware, malware y phishing / Protección contra firewall /
· Software - Progr"&amp;"amas CAD para dibujos en 2D, 3D y renderizado:
- Gratuitos /libres (de código abierto) / Idioma español / Compatible con el sistema operativo de la computadora (Windows 11 o posterior) / Cuenta con  herramientas de edición y modelado de muebles / Cuenta c"&amp;"on editor geométrico interactivo, procesamiento de imágenes y señales / Alta capacidad de renderizado
/ Entre las alternativas gratuitas: SketchUp, Polyboard, Sweet Home 3D, entre otros.
· Software para diseño gráfico publicitario:
- Gratuitos /libres (de"&amp;" código abierto) / Idioma español / Compatible con el sistema operativo de la computadora (Windows 11 o posterior) / Permite crear diseños, gráficos, fotografías y sitios web / Dispone de herramientas profesionales de diseño, edición de imágenes y fotogra"&amp;"fías y diseño de páginas web. Funciones táctiles y para lápices intuitivos / Dispone de editor de gráficos vectoriales, textos y logos / Permite diseño de prototipos e interfaces para aplicaciones y sitios web / Entre  las alternativas gratuitas /libres: "&amp;"Gimp, krita, Inkscape, Pencil Proyect, entre otros.
· Software para diseño y edición de videos – spot publicitarios:
- Gratuitos /libres (de código abierto) / Idioma español / Versión 2019 o superior / Compatible con el sistema operativo de la computadora"&amp;" (Windows 11 o posterior) / Permite diseñar y editar videos / Trabaja con diferentes formatos: Un amplio soporte para diferentes formatos, incluyendo MP4, AVI, MOV, AVCHD y más. / Permite crear videos de alta resolución: 4K, y trabajar en formato SD y HD "&amp;"/ Dispone de las herramientas más utilizadas en los editores de vídeos: cortar, recortar, dividir y combinar en unos pocos clics. / Permite generar acabados: Varios filtros y efectos visuales para retocar el vídeo, efectos especiales en 2D y 3D / Dispone "&amp;"de herramientas para realizar diseños y animaciones en 3D y plantillas animadas gratuitas. / Permite editar, ajustar perfeccionar el audio / Entre las alternativas  gratuitas /libres: Windows Movie Maker, Video editor Wondershare filmadora, Lightworks, VS"&amp;"DC Free Video editor, Blender, entre otros.
· Software / programas para elaborar flujogramas:
- Gratuitos /libres (de código abierto) / Idioma español / Compatible con el sistema operativo de la computadora (Windows 11 o posterior) / Diseña diagramas de f"&amp;"lujos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presupuest"&amp;"os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72" s="213">
        <f>IFERROR(__xludf.DUMMYFUNCTION("""COMPUTED_VALUE"""),3.0)</f>
        <v>3</v>
      </c>
      <c r="K2072" s="213" t="str">
        <f>IFERROR(__xludf.DUMMYFUNCTION("""COMPUTED_VALUE"""),"170 DÍAS CALENDARIO")</f>
        <v>170 DÍAS CALENDARIO</v>
      </c>
      <c r="L2072"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2" s="213">
        <f>IFERROR(__xludf.DUMMYFUNCTION("""COMPUTED_VALUE"""),1.0)</f>
        <v>1</v>
      </c>
      <c r="N2072" s="213">
        <f>IFERROR(__xludf.DUMMYFUNCTION("""COMPUTED_VALUE"""),1.0)</f>
        <v>1</v>
      </c>
      <c r="O2072" s="213">
        <f>IFERROR(__xludf.DUMMYFUNCTION("""COMPUTED_VALUE"""),1.0)</f>
        <v>1</v>
      </c>
      <c r="P2072" s="213"/>
      <c r="Q2072" s="213"/>
      <c r="R2072" s="213"/>
      <c r="S2072" s="213"/>
      <c r="T2072" s="213" t="str">
        <f>IFERROR(__xludf.DUMMYFUNCTION("""COMPUTED_VALUE"""),"SI")</f>
        <v>SI</v>
      </c>
      <c r="U2072" s="213" t="str">
        <f>IFERROR(__xludf.DUMMYFUNCTION("""COMPUTED_VALUE"""),"NO")</f>
        <v>NO</v>
      </c>
      <c r="V2072" s="213" t="str">
        <f>IFERROR(__xludf.DUMMYFUNCTION("""COMPUTED_VALUE"""),"SUSTENTO")</f>
        <v>SUSTENTO</v>
      </c>
      <c r="W2072" s="213" t="str">
        <f>IFERROR(__xludf.DUMMYFUNCTION("""COMPUTED_VALUE"""),"CRÍTICO")</f>
        <v>CRÍTICO</v>
      </c>
      <c r="X2072" s="213" t="str">
        <f>IFERROR(__xludf.DUMMYFUNCTION("""COMPUTED_VALUE"""),"ViewSonic")</f>
        <v>ViewSonic</v>
      </c>
      <c r="Y2072" s="213" t="str">
        <f>IFERROR(__xludf.DUMMYFUNCTION("""COMPUTED_VALUE"""),"IFP7560")</f>
        <v>IFP7560</v>
      </c>
      <c r="Z2072" s="215" t="str">
        <f>IFERROR(__xludf.DUMMYFUNCTION("""COMPUTED_VALUE"""),"https://www.viewsonic.com/la/products/ifp7550.html#specTabs.specifications")</f>
        <v>https://www.viewsonic.com/la/products/ifp7550.html#specTabs.specifications</v>
      </c>
      <c r="AA2072" s="213" t="str">
        <f>IFERROR(__xludf.DUMMYFUNCTION("""COMPUTED_VALUE"""),"TEC-114 PIZARRA (PANTALLA) TÁCTIL INTERACTIVA MULTI-TOUCH - CET")</f>
        <v>TEC-114 PIZARRA (PANTALLA) TÁCTIL INTERACTIVA MULTI-TOUCH - CET</v>
      </c>
      <c r="AB2072" s="213"/>
      <c r="AC2072" s="213"/>
      <c r="AD2072" s="213"/>
      <c r="AE2072" s="213"/>
      <c r="AF2072" s="213"/>
      <c r="AG2072" s="213"/>
      <c r="AH2072" s="213"/>
      <c r="AI2072" s="213"/>
      <c r="AJ2072" s="213"/>
      <c r="AK2072" s="213"/>
      <c r="AL2072" s="213"/>
      <c r="AM2072" s="213"/>
      <c r="AN2072" s="213"/>
      <c r="AO2072" s="213"/>
      <c r="AP2072" s="213" t="str">
        <f>IFERROR(__xludf.DUMMYFUNCTION("""COMPUTED_VALUE"""),"NALDI")</f>
        <v>NALDI</v>
      </c>
      <c r="AQ2072" s="213" t="str">
        <f>IFERROR(__xludf.DUMMYFUNCTION("""COMPUTED_VALUE"""),"Instalar antivirus, software CAD, diseño gráfico, edición de video, flujogramas y presupuestos")</f>
        <v>Instalar antivirus, software CAD, diseño gráfico, edición de video, flujogramas y presupuestos</v>
      </c>
      <c r="AR2072" s="213"/>
      <c r="AS2072" s="213" t="str">
        <f>IFERROR(__xludf.DUMMYFUNCTION("""COMPUTED_VALUE"""),"Adaptador de VGA a HDMI
Rack para pizarra
Instalar los programas")</f>
        <v>Adaptador de VGA a HDMI
Rack para pizarra
Instalar los programas</v>
      </c>
      <c r="AT2072" s="213"/>
      <c r="AU2072" s="213"/>
      <c r="AV2072" s="213"/>
      <c r="AW2072" s="213"/>
      <c r="AX2072" s="213"/>
      <c r="AY2072" s="213"/>
      <c r="AZ2072" s="213"/>
      <c r="BA2072" s="213"/>
      <c r="BB2072" s="213"/>
      <c r="BC2072" s="213"/>
      <c r="BD2072" s="213"/>
    </row>
    <row r="2073">
      <c r="A2073" s="213">
        <f>IFERROR(__xludf.DUMMYFUNCTION("""COMPUTED_VALUE"""),1196.0)</f>
        <v>1196</v>
      </c>
      <c r="B2073" s="213" t="str">
        <f>IFERROR(__xludf.DUMMYFUNCTION("""COMPUTED_VALUE"""),"FRANCISCO IRAZOLA")</f>
        <v>FRANCISCO IRAZOLA</v>
      </c>
      <c r="C2073" s="213" t="str">
        <f>IFERROR(__xludf.DUMMYFUNCTION("""COMPUTED_VALUE"""),"TALLER SFT DE INDUSTRIA ALIMENTARIA")</f>
        <v>TALLER SFT DE INDUSTRIA ALIMENTARIA</v>
      </c>
      <c r="D2073" s="213" t="str">
        <f>IFERROR(__xludf.DUMMYFUNCTION("""COMPUTED_VALUE"""),"TICS")</f>
        <v>TICS</v>
      </c>
      <c r="E2073" s="213" t="str">
        <f>IFERROR(__xludf.DUMMYFUNCTION("""COMPUTED_VALUE"""),"TEC-114")</f>
        <v>TEC-114</v>
      </c>
      <c r="F2073" s="213" t="str">
        <f>IFERROR(__xludf.DUMMYFUNCTION("""COMPUTED_VALUE"""),"TEC-114")</f>
        <v>TEC-114</v>
      </c>
      <c r="G2073" s="213"/>
      <c r="H2073" s="213" t="str">
        <f>IFERROR(__xludf.DUMMYFUNCTION("""COMPUTED_VALUE"""),"PIZARRA (PANTALLA) TÁCTIL INTERACTIVA MULTI-TOUCH")</f>
        <v>PIZARRA (PANTALLA) TÁCTIL INTERACTIVA MULTI-TOUCH</v>
      </c>
      <c r="I2073"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E"&amp;"nergy Star y/o CE y/o FCC y/o RoHS        02 lapiceros y/o lapiz inalámbrico
compatible con el equipo. --- 01 Cable de alimentación y 01 cable de conexión de video y 01 cable  --- USB y 01 Manual de Usuario --- 01 Kit de montaje con ruedas        GARANTIA"&amp;"
Tres (03) años Onsite a Nivel Nacional CONTIENE:
. Softwares de última generación y utilitarios instalados en 64 Bits. Instalados en la computadora, trabajan con y sin conexión a internet. / Software Microsoft Office 2019 o superior (Word, Excel, PowerPo"&amp;"int, Visio, One Note y Ms Forms), idioma Español, de 64 Bits.
· Software Antivirus:
- Licenciada / Idioma español / Protección antivirus en tiempo real para proteger de virus, troyanos, adware, malware y phishing / Protección contra firewall /
· Software "&amp;"- Programas CAD para dibujos en 2D, 3D y renderizado:
- Gratuitos /libres (de código abierto) / Idioma español / Compatible con el sistema operativo de la computadora (Windows 11 o posterior) / Cuenta con herramientas de edición y modelado de muebles / Cu"&amp;"enta con editor geométrico interactivo, procesamiento de imágenes y señales / Alta capacidad de renderizado / Entre las alternativas gratuitas: SketchUp, Polyboard, Sweet Home 3D, entre otros.
· Software para diseño gráfico publicitario:
- Gratuitos /libr"&amp;"es (de código abierto) / Idioma español / Compatible con el sistema operativo de la computadora (Windows 11 o posterior) / Permite crear diseños, gráficos, fotografías   y sitios web / Dispone de herramientas profesionales de diseño, edición de imágenes y"&amp;" fotografías y diseño de páginas web. Funciones táctiles y para lápices intuitivos / Dispone de editor de gráficos vectoriales, textos y logos / Permite diseño de prototipos e interfaces para aplicaciones y sitios web / Entre las alternativas gratuitas /l"&amp;"ibres: Gimp, krita, Inkscape, Pencil Proyect, entre otros.
· Software para diseño y edición de videos – spot publicitarios:
- Gratuitos /libres (de código abierto) / Idioma español / Versión 2019 o superior / Compatible con el sistema operativo de la comp"&amp;"utadora (Windows 11 o posterior) / Permite diseñar y editar videos / Trabaja con diferentes formatos: Un amplio soporte para diferentes formatos, incluyendo MP4, AVI, MOV, AVCHD y más. / Permite crear videos de alta resolución: 4K, y trabajar en formato S"&amp;"D y HD / Dispone de las herramientas más utilizadas en los editores de vídeos: cortar, recortar, dividir y combinar en unos pocos clics. / Permite generar   acabados: Varios filtros y efectos visuales para retocar el vídeo, efectos especiales en 2D y 3D /"&amp;" Dispone de
herramientas para realizar diseños y animaciones en 3D y plantillas animadas gratuitas. / Permite editar, ajustar perfeccionar el audio / Entre las alternativas gratuitas /libres: Windows Movie Maker, Video editor Wondershare filmadora, Lightw"&amp;"orks, VSDC Free Video editor, Blender, entre otros.
· Software / programas para elaborar flujogramas:
- Gratuitos /libres (de código abierto) / Idioma español / Compatible con el sistema operativo de la computadora (Windows 11 o posterior) / Diseña diagra"&amp;"mas de flujos y organigramas / Contiene una variedad de símbolos y estilos de conexión de líneas. / Edita, personaliza colores, rellenos y trazos / Entre las alternativas gratuitas /libres: clickCharts, CreatelyDia, y Ed Graph Editor, Pencil project, entr"&amp;"e otros.
· Software para elaborar presupuestos:
- Gratuitos /libres (de código abierto) / Idioma español / Compatible con el sistema operativo de la computadora (Windows 11 o posterior) / Crea presupuestos, gestiona la facturación y  la planificación de p"&amp;"resupuestos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02 lapiceros y/o lapiz inalámbrico
compatible con el equipo. --- 01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73" s="213">
        <f>IFERROR(__xludf.DUMMYFUNCTION("""COMPUTED_VALUE"""),3.0)</f>
        <v>3</v>
      </c>
      <c r="K2073" s="213" t="str">
        <f>IFERROR(__xludf.DUMMYFUNCTION("""COMPUTED_VALUE"""),"170 DÍAS CALENDARIO")</f>
        <v>170 DÍAS CALENDARIO</v>
      </c>
      <c r="L2073"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3" s="213">
        <f>IFERROR(__xludf.DUMMYFUNCTION("""COMPUTED_VALUE"""),1.0)</f>
        <v>1</v>
      </c>
      <c r="N2073" s="213">
        <f>IFERROR(__xludf.DUMMYFUNCTION("""COMPUTED_VALUE"""),1.0)</f>
        <v>1</v>
      </c>
      <c r="O2073" s="213">
        <f>IFERROR(__xludf.DUMMYFUNCTION("""COMPUTED_VALUE"""),1.0)</f>
        <v>1</v>
      </c>
      <c r="P2073" s="213"/>
      <c r="Q2073" s="213"/>
      <c r="R2073" s="213"/>
      <c r="S2073" s="213"/>
      <c r="T2073" s="213" t="str">
        <f>IFERROR(__xludf.DUMMYFUNCTION("""COMPUTED_VALUE"""),"SI")</f>
        <v>SI</v>
      </c>
      <c r="U2073" s="213" t="str">
        <f>IFERROR(__xludf.DUMMYFUNCTION("""COMPUTED_VALUE"""),"NO")</f>
        <v>NO</v>
      </c>
      <c r="V2073" s="213" t="str">
        <f>IFERROR(__xludf.DUMMYFUNCTION("""COMPUTED_VALUE"""),"SUSTENTO")</f>
        <v>SUSTENTO</v>
      </c>
      <c r="W2073" s="213" t="str">
        <f>IFERROR(__xludf.DUMMYFUNCTION("""COMPUTED_VALUE"""),"CRÍTICO")</f>
        <v>CRÍTICO</v>
      </c>
      <c r="X2073" s="213" t="str">
        <f>IFERROR(__xludf.DUMMYFUNCTION("""COMPUTED_VALUE"""),"ViewSonic")</f>
        <v>ViewSonic</v>
      </c>
      <c r="Y2073" s="213" t="str">
        <f>IFERROR(__xludf.DUMMYFUNCTION("""COMPUTED_VALUE"""),"IFP7561")</f>
        <v>IFP7561</v>
      </c>
      <c r="Z2073" s="215" t="str">
        <f>IFERROR(__xludf.DUMMYFUNCTION("""COMPUTED_VALUE"""),"https://www.viewsonic.com/la/products/ifp7550.html#specTabs.specifications")</f>
        <v>https://www.viewsonic.com/la/products/ifp7550.html#specTabs.specifications</v>
      </c>
      <c r="AA2073" s="213" t="str">
        <f>IFERROR(__xludf.DUMMYFUNCTION("""COMPUTED_VALUE"""),"TEC-114 PIZARRA (PANTALLA) TÁCTIL INTERACTIVA MULTI-TOUCH - CET")</f>
        <v>TEC-114 PIZARRA (PANTALLA) TÁCTIL INTERACTIVA MULTI-TOUCH - CET</v>
      </c>
      <c r="AB2073" s="213"/>
      <c r="AC2073" s="213"/>
      <c r="AD2073" s="213"/>
      <c r="AE2073" s="213"/>
      <c r="AF2073" s="213"/>
      <c r="AG2073" s="213"/>
      <c r="AH2073" s="213"/>
      <c r="AI2073" s="213"/>
      <c r="AJ2073" s="213"/>
      <c r="AK2073" s="213"/>
      <c r="AL2073" s="213"/>
      <c r="AM2073" s="213"/>
      <c r="AN2073" s="213"/>
      <c r="AO2073" s="213"/>
      <c r="AP2073" s="213" t="str">
        <f>IFERROR(__xludf.DUMMYFUNCTION("""COMPUTED_VALUE"""),"NALDI")</f>
        <v>NALDI</v>
      </c>
      <c r="AQ2073" s="213" t="str">
        <f>IFERROR(__xludf.DUMMYFUNCTION("""COMPUTED_VALUE"""),"Instalar antivirus, software CAD, diseño gráfico, edición de video, flujogramas y presupuestos")</f>
        <v>Instalar antivirus, software CAD, diseño gráfico, edición de video, flujogramas y presupuestos</v>
      </c>
      <c r="AR2073" s="213"/>
      <c r="AS2073" s="213" t="str">
        <f>IFERROR(__xludf.DUMMYFUNCTION("""COMPUTED_VALUE"""),"Adaptador de VGA a HDMI
Rack para pizarra
Instalar los programas")</f>
        <v>Adaptador de VGA a HDMI
Rack para pizarra
Instalar los programas</v>
      </c>
      <c r="AT2073" s="213"/>
      <c r="AU2073" s="213"/>
      <c r="AV2073" s="213"/>
      <c r="AW2073" s="213"/>
      <c r="AX2073" s="213"/>
      <c r="AY2073" s="213"/>
      <c r="AZ2073" s="213"/>
      <c r="BA2073" s="213"/>
      <c r="BB2073" s="213"/>
      <c r="BC2073" s="213"/>
      <c r="BD2073" s="213"/>
    </row>
    <row r="2074">
      <c r="A2074" s="213">
        <f>IFERROR(__xludf.DUMMYFUNCTION("""COMPUTED_VALUE"""),1269.0)</f>
        <v>1269</v>
      </c>
      <c r="B2074" s="213" t="str">
        <f>IFERROR(__xludf.DUMMYFUNCTION("""COMPUTED_VALUE"""),"GUILLERMO E. BILLINGHURST ")</f>
        <v>GUILLERMO E. BILLINGHURST </v>
      </c>
      <c r="C2074" s="213" t="str">
        <f>IFERROR(__xludf.DUMMYFUNCTION("""COMPUTED_VALUE"""),"TALLER SFT DE ELECTRICIDAD")</f>
        <v>TALLER SFT DE ELECTRICIDAD</v>
      </c>
      <c r="D2074" s="213" t="str">
        <f>IFERROR(__xludf.DUMMYFUNCTION("""COMPUTED_VALUE"""),"TICS")</f>
        <v>TICS</v>
      </c>
      <c r="E2074" s="213" t="str">
        <f>IFERROR(__xludf.DUMMYFUNCTION("""COMPUTED_VALUE"""),"TEC-114")</f>
        <v>TEC-114</v>
      </c>
      <c r="F2074" s="213" t="str">
        <f>IFERROR(__xludf.DUMMYFUNCTION("""COMPUTED_VALUE"""),"TEC-114")</f>
        <v>TEC-114</v>
      </c>
      <c r="G2074" s="213"/>
      <c r="H2074" s="213" t="str">
        <f>IFERROR(__xludf.DUMMYFUNCTION("""COMPUTED_VALUE"""),"PIZARRA (PANTALLA) TÁCTIL INTERACTIVA MULTI-TOUCH")</f>
        <v>PIZARRA (PANTALLA) TÁCTIL INTERACTIVA MULTI-TOUCH</v>
      </c>
      <c r="I2074"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8"&amp;"02.11 ac ---- PUERTOS E/S: USB, HDMI, RS232, VGA, Audio y RJ45 --- AUDIO 10W --- VOLTAJE 220VAC /60 HZ ---                                
""SISTEMA OPERATIVO DE LA PANTALLA Windows y/o IOS y/o Android y/o Linux y/o del mismo fabricante --- SOFTWARE Contr"&amp;"ol del uso de la pantalla y/o
manejo de la clase --- CERTIFICADO Energy Star y/o CE y/o FCC y/o RoHS. --- 02 lapiceros y/o lapiz inalámbrico compatible con el equipo. --- 01 Cable de""                                
alimentación y 01 cable de conexión de"&amp;" video y 01 cable  --- USB y 01 Manual de Usuario --- 01 Kit de montaje con ruedas  --- GARANTIA Tres (03) años Onsite a                                
Nivel Nacional                                
CONTIENE:                                
. Softwares d"&amp;"e última generación y utilitarios instalados en 64 Bits. Instalados en la computadora, trabajan con y sin conexión a internet. / Software Microsoft                                
Office 2019 o superior (Word, Excel, PowerPoint, Visio, One Note y Ms Forms"&amp;"), idioma Español, de 64 Bits.                                
· Software Antivirus:                                
- Licenciada / Idioma español / Protección antivirus en tiempo real para proteger de virus, troyanos, adware, malware y phishing / Protecc"&amp;"ión contra firewall /                                
· Software - Programas CAD para dibujos en 2D, 3D y renderizado:                                
- Gratuitos /libres (de código abierto) / Idioma español / Compatible con el sistema operativo de la com"&amp;"putadora (Windows 11 o posterior) / Cuenta con                                
herramientas de edición y modelado de muebles / Cuenta con editor geométrico interactivo, procesamiento de imágenes y señales / Alta capacidad de                               "&amp;" 
renderizado / Entre las alternativas gratuitas: SketchUp, Polyboard, Sweet Home 3D, entre otros.                                
· Software para diseño gráfico publicitario:                                
- Gratuitos /libres (de código abierto) / Idiom"&amp;"a español / Compatible con el sistema operativo de la computadora (Windows 11 o posterior) / Permite crear                                
diseños, gráficos, fotografías y sitios web / Dispone de herramientas profesionales de diseño, edición de imágenes y"&amp;" fotografías y diseño de páginas web.                                
Funciones táctiles y para lápices intuitivos / Dispone de editor de gráficos vectoriales, textos y logos / Permite diseño de prototipos e interfaces para aplicaciones                   "&amp;"             
y sitios web / Entre las alternativas gratuitas /libres: Gimp, krita, Inkscape, Pencil Proyect, entre otros.                                
· Software para diseño y edición de videos – spot publicitarios:                                
- G"&amp;"ratuitos /libres (de código abierto) / Idioma español / Versión 2019 o superior / Compatible con el sistema operativo de la computadora (Windows 11 o                                
posterior) / Permite diseñar y editar videos / Trabaja con diferentes for"&amp;"matos: Un amplio soporte para diferentes formatos, incluyendo MP4, AVI, MOV, AVCHD y                                
más. / Permite crear videos de alta resolución: 4K, y trabajar en formato SD y HD / Dispone de las herramientas más utilizadas en los edit"&amp;"ores de vídeos: cortar,                                
recortar, dividir y combinar en unos pocos clics. / Permite generar acabados: Varios filtros y efectos visuales para retocar el vídeo, efectos especiales en 2D y 3D                                
/ "&amp;"Dispone de                                
herramientas para realizar diseños y animaciones en 3D y plantillas animadas gratuitas. / Permite editar, ajustar perfeccionar el audio / Entre las alternativas                                
gratuitas /libres: "&amp;"Windows Movie Maker, Video editor Wondershare filmadora, Lightworks, VSDC Free Video editor, Blender, entre otros.                                
· Software / programas para elaborar flujogramas:                                
- Gratuitos /libres (de có"&amp;"digo abierto) / Idioma español / Compatible con el sistema operativo de la computadora (Windows 11 o posterior) / Diseña diagramas de                                
flujos y organigramas / Contiene una variedad de símbolos y estilos de conexión de líneas"&amp;". / Edita, personaliza colores, rellenos y trazos / Entre las alternativas                                
gratuitas /libres: clickCharts, CreatelyDia, y Ed Graph Editor, Pencil project, entre otros.                                
· Software para elabora"&amp;"r presupuestos:                                
- Gratuitos /libres (de código abierto) / Idioma español / Compatible con el sistema operativo de la computadora (Windows 11 o posterior) / Crea presupuestos,                                
gestiona la fact"&amp;"uración y la planificación de presupuestos / Entre las alternativas gratuitas /libres: Holded, debitor, Billage, entre otros.                                ")</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                                </v>
      </c>
      <c r="J2074" s="213">
        <f>IFERROR(__xludf.DUMMYFUNCTION("""COMPUTED_VALUE"""),3.0)</f>
        <v>3</v>
      </c>
      <c r="K2074" s="213" t="str">
        <f>IFERROR(__xludf.DUMMYFUNCTION("""COMPUTED_VALUE"""),"170 DÍAS CALENDARIO")</f>
        <v>170 DÍAS CALENDARIO</v>
      </c>
      <c r="L2074"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4" s="213">
        <f>IFERROR(__xludf.DUMMYFUNCTION("""COMPUTED_VALUE"""),1.0)</f>
        <v>1</v>
      </c>
      <c r="N2074" s="213">
        <f>IFERROR(__xludf.DUMMYFUNCTION("""COMPUTED_VALUE"""),1.0)</f>
        <v>1</v>
      </c>
      <c r="O2074" s="213">
        <f>IFERROR(__xludf.DUMMYFUNCTION("""COMPUTED_VALUE"""),1.0)</f>
        <v>1</v>
      </c>
      <c r="P2074" s="213"/>
      <c r="Q2074" s="213"/>
      <c r="R2074" s="213"/>
      <c r="S2074" s="213"/>
      <c r="T2074" s="213" t="str">
        <f>IFERROR(__xludf.DUMMYFUNCTION("""COMPUTED_VALUE"""),"SI")</f>
        <v>SI</v>
      </c>
      <c r="U2074" s="213" t="str">
        <f>IFERROR(__xludf.DUMMYFUNCTION("""COMPUTED_VALUE"""),"NO")</f>
        <v>NO</v>
      </c>
      <c r="V2074" s="213" t="str">
        <f>IFERROR(__xludf.DUMMYFUNCTION("""COMPUTED_VALUE"""),"SUSTENTO")</f>
        <v>SUSTENTO</v>
      </c>
      <c r="W2074" s="213" t="str">
        <f>IFERROR(__xludf.DUMMYFUNCTION("""COMPUTED_VALUE"""),"CRÍTICO")</f>
        <v>CRÍTICO</v>
      </c>
      <c r="X2074" s="213" t="str">
        <f>IFERROR(__xludf.DUMMYFUNCTION("""COMPUTED_VALUE"""),"ViewSonic")</f>
        <v>ViewSonic</v>
      </c>
      <c r="Y2074" s="213" t="str">
        <f>IFERROR(__xludf.DUMMYFUNCTION("""COMPUTED_VALUE"""),"IFP7562")</f>
        <v>IFP7562</v>
      </c>
      <c r="Z2074" s="215" t="str">
        <f>IFERROR(__xludf.DUMMYFUNCTION("""COMPUTED_VALUE"""),"https://www.viewsonic.com/la/products/ifp7550.html#specTabs.specifications")</f>
        <v>https://www.viewsonic.com/la/products/ifp7550.html#specTabs.specifications</v>
      </c>
      <c r="AA2074" s="213" t="str">
        <f>IFERROR(__xludf.DUMMYFUNCTION("""COMPUTED_VALUE"""),"TEC-114 PIZARRA (PANTALLA) TÁCTIL INTERACTIVA MULTI-TOUCH - CET")</f>
        <v>TEC-114 PIZARRA (PANTALLA) TÁCTIL INTERACTIVA MULTI-TOUCH - CET</v>
      </c>
      <c r="AB2074" s="213"/>
      <c r="AC2074" s="213"/>
      <c r="AD2074" s="213"/>
      <c r="AE2074" s="213"/>
      <c r="AF2074" s="213"/>
      <c r="AG2074" s="213"/>
      <c r="AH2074" s="213"/>
      <c r="AI2074" s="213"/>
      <c r="AJ2074" s="213"/>
      <c r="AK2074" s="213"/>
      <c r="AL2074" s="213"/>
      <c r="AM2074" s="213"/>
      <c r="AN2074" s="213"/>
      <c r="AO2074" s="213"/>
      <c r="AP2074" s="213" t="str">
        <f>IFERROR(__xludf.DUMMYFUNCTION("""COMPUTED_VALUE"""),"NALDI")</f>
        <v>NALDI</v>
      </c>
      <c r="AQ2074" s="213" t="str">
        <f>IFERROR(__xludf.DUMMYFUNCTION("""COMPUTED_VALUE"""),"Instalar antivirus, software CAD, diseño gráfico, edición de video, flujogramas y presupuestos")</f>
        <v>Instalar antivirus, software CAD, diseño gráfico, edición de video, flujogramas y presupuestos</v>
      </c>
      <c r="AR2074" s="213"/>
      <c r="AS2074" s="213" t="str">
        <f>IFERROR(__xludf.DUMMYFUNCTION("""COMPUTED_VALUE"""),"Adaptador de VGA a HDMI
Rack para pizarra
Instalar los programas")</f>
        <v>Adaptador de VGA a HDMI
Rack para pizarra
Instalar los programas</v>
      </c>
      <c r="AT2074" s="213"/>
      <c r="AU2074" s="213"/>
      <c r="AV2074" s="213"/>
      <c r="AW2074" s="213"/>
      <c r="AX2074" s="213"/>
      <c r="AY2074" s="213"/>
      <c r="AZ2074" s="213"/>
      <c r="BA2074" s="213"/>
      <c r="BB2074" s="213"/>
      <c r="BC2074" s="213"/>
      <c r="BD2074" s="213"/>
    </row>
    <row r="2075">
      <c r="A2075" s="213">
        <f>IFERROR(__xludf.DUMMYFUNCTION("""COMPUTED_VALUE"""),1441.0)</f>
        <v>1441</v>
      </c>
      <c r="B2075" s="213" t="str">
        <f>IFERROR(__xludf.DUMMYFUNCTION("""COMPUTED_VALUE"""),"GUILLERMO E. BILLINGHURST ")</f>
        <v>GUILLERMO E. BILLINGHURST </v>
      </c>
      <c r="C2075" s="213" t="str">
        <f>IFERROR(__xludf.DUMMYFUNCTION("""COMPUTED_VALUE"""),"TALLER SFT DE INDUSTRIA ALIMENTARIA")</f>
        <v>TALLER SFT DE INDUSTRIA ALIMENTARIA</v>
      </c>
      <c r="D2075" s="213" t="str">
        <f>IFERROR(__xludf.DUMMYFUNCTION("""COMPUTED_VALUE"""),"TICS")</f>
        <v>TICS</v>
      </c>
      <c r="E2075" s="213" t="str">
        <f>IFERROR(__xludf.DUMMYFUNCTION("""COMPUTED_VALUE"""),"TEC-114")</f>
        <v>TEC-114</v>
      </c>
      <c r="F2075" s="213" t="str">
        <f>IFERROR(__xludf.DUMMYFUNCTION("""COMPUTED_VALUE"""),"TEC-114")</f>
        <v>TEC-114</v>
      </c>
      <c r="G2075" s="213"/>
      <c r="H2075" s="213" t="str">
        <f>IFERROR(__xludf.DUMMYFUNCTION("""COMPUTED_VALUE"""),"PIZARRA (PANTALLA) TÁCTIL INTERACTIVA MULTI-TOUCH")</f>
        <v>PIZARRA (PANTALLA) TÁCTIL INTERACTIVA MULTI-TOUCH</v>
      </c>
      <c r="I2075"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E"&amp;"nergy Star y/o CE y/o FCC y/o RoHS        02 lapiceros y/o lapiz inalámbrico
compatible con el equipo. --- 01 Cable de alimentación y 01 cable de conexión de video y 01 cable  --- USB y 01 Manual de Usuario --- 01 Kit de montaje con ruedas        GARANTIA"&amp;"
Tres (03) años Onsite a Nivel Nacional CONTIENE:
. Softwares de última generación y utilitarios instalados en 64 Bits. Instalados en la computadora, trabajan con y sin conexión a internet. / Software Microsoft Office 2019 o superior (Word, Excel, PowerPo"&amp;"int, Visio, One Note y Ms Forms), idioma Español, de 64 Bits.
· Software Antivirus:
- Licenciada / Idioma español / Protección antivirus en tiempo real para proteger de virus, troyanos, adware, malware y phishing / Protección contra firewall /
· Software "&amp;"- Programas CAD para dibujos en 2D, 3D y renderizado:
- Gratuitos /libres (de código abierto) / Idioma español / Compatible con el sistema operativo de la computadora (Windows 11 o posterior) / Cuenta con herramientas de edición y modelado de muebles / Cu"&amp;"enta con editor geométrico interactivo, procesamiento de imágenes y señales / Alta capacidad de renderizado / Entre las alternativas gratuitas: SketchUp, Polyboard, Sweet Home 3D, entre otros.
· Software para diseño gráfico publicitario:
- Gratuitos /libr"&amp;"es (de código abierto) / Idioma español / Compatible con el sistema operativo de la computadora (Windows 11 o posterior) / Permite crear diseños, gráficos, fotografías   y sitios web / Dispone de herramientas profesionales de diseño, edición de imágenes y"&amp;" fotografías y diseño de páginas web. Funciones táctiles y para lápices intuitivos / Dispone de editor de gráficos vectoriales, textos y logos / Permite diseño de prototipos e interfaces para aplicaciones y sitios web / Entre las alternativas gratuitas /l"&amp;"ibres: Gimp, krita, Inkscape, Pencil Proyect, entre otros.
· Software para diseño y edición de videos – spot publicitarios:
- Gratuitos /libres (de código abierto) / Idioma español / Versión 2019 o superior / Compatible con el sistema operativo de la comp"&amp;"utadora (Windows 11 o posterior) / Permite diseñar y editar videos / Trabaja con diferentes formatos: Un amplio soporte para diferentes formatos, incluyendo MP4, AVI, MOV, AVCHD y más. / Permite crear videos de alta resolución: 4K, y trabajar en formato S"&amp;"D y HD / Dispone de las herramientas más utilizadas en los editores de vídeos: cortar, recortar, dividir y combinar en unos pocos clics. / Permite generar   acabados: Varios filtros y efectos visuales para retocar el vídeo, efectos especiales en 2D y 3D /"&amp;" Dispone de
herramientas para realizar diseños y animaciones en 3D y plantillas animadas gratuitas. / Permite editar, ajustar perfeccionar el audio / Entre las alternativas gratuitas /libres: Windows Movie Maker, Video editor Wondershare filmadora, Lightw"&amp;"orks, VSDC Free Video editor, Blender, entre otros.
· Software / programas para elaborar flujogramas:
- Gratuitos /libres (de código abierto) / Idioma español / Compatible con el sistema operativo de la computadora (Windows 11 o posterior) / Diseña diagra"&amp;"mas de flujos y organigramas / Contiene una variedad de símbolos y estilos de conexión de líneas. / Edita, personaliza colores, rellenos y trazos / Entre las alternativas gratuitas /libres: clickCharts, CreatelyDia, y Ed Graph Editor, Pencil project, entr"&amp;"e otros.
· Software para elaborar presupuestos:
- Gratuitos /libres (de código abierto) / Idioma español / Compatible con el sistema operativo de la computadora (Windows 11 o posterior) / Crea presupuestos, gestiona la facturación y  la planificación de p"&amp;"resupuestos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02 lapiceros y/o lapiz inalámbrico
compatible con el equipo. --- 01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75" s="213">
        <f>IFERROR(__xludf.DUMMYFUNCTION("""COMPUTED_VALUE"""),3.0)</f>
        <v>3</v>
      </c>
      <c r="K2075" s="213" t="str">
        <f>IFERROR(__xludf.DUMMYFUNCTION("""COMPUTED_VALUE"""),"170 DÍAS CALENDARIO")</f>
        <v>170 DÍAS CALENDARIO</v>
      </c>
      <c r="L2075"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5" s="213">
        <f>IFERROR(__xludf.DUMMYFUNCTION("""COMPUTED_VALUE"""),1.0)</f>
        <v>1</v>
      </c>
      <c r="N2075" s="213">
        <f>IFERROR(__xludf.DUMMYFUNCTION("""COMPUTED_VALUE"""),0.0)</f>
        <v>0</v>
      </c>
      <c r="O2075" s="213">
        <f>IFERROR(__xludf.DUMMYFUNCTION("""COMPUTED_VALUE"""),0.0)</f>
        <v>0</v>
      </c>
      <c r="P2075" s="213"/>
      <c r="Q2075" s="213"/>
      <c r="R2075" s="213"/>
      <c r="S2075" s="213"/>
      <c r="T2075" s="213" t="str">
        <f>IFERROR(__xludf.DUMMYFUNCTION("""COMPUTED_VALUE"""),"SI")</f>
        <v>SI</v>
      </c>
      <c r="U2075" s="213" t="str">
        <f>IFERROR(__xludf.DUMMYFUNCTION("""COMPUTED_VALUE"""),"NO")</f>
        <v>NO</v>
      </c>
      <c r="V2075" s="213" t="str">
        <f>IFERROR(__xludf.DUMMYFUNCTION("""COMPUTED_VALUE"""),"SUSTENTO")</f>
        <v>SUSTENTO</v>
      </c>
      <c r="W2075" s="213" t="str">
        <f>IFERROR(__xludf.DUMMYFUNCTION("""COMPUTED_VALUE"""),"CRÍTICO")</f>
        <v>CRÍTICO</v>
      </c>
      <c r="X2075" s="213" t="str">
        <f>IFERROR(__xludf.DUMMYFUNCTION("""COMPUTED_VALUE"""),"ViewSonic")</f>
        <v>ViewSonic</v>
      </c>
      <c r="Y2075" s="213" t="str">
        <f>IFERROR(__xludf.DUMMYFUNCTION("""COMPUTED_VALUE"""),"IFP7563")</f>
        <v>IFP7563</v>
      </c>
      <c r="Z2075" s="215" t="str">
        <f>IFERROR(__xludf.DUMMYFUNCTION("""COMPUTED_VALUE"""),"https://www.viewsonic.com/la/products/ifp7550.html#specTabs.specifications")</f>
        <v>https://www.viewsonic.com/la/products/ifp7550.html#specTabs.specifications</v>
      </c>
      <c r="AA2075" s="213" t="str">
        <f>IFERROR(__xludf.DUMMYFUNCTION("""COMPUTED_VALUE"""),"TEC-114 PIZARRA (PANTALLA) TÁCTIL INTERACTIVA MULTI-TOUCH - CET")</f>
        <v>TEC-114 PIZARRA (PANTALLA) TÁCTIL INTERACTIVA MULTI-TOUCH - CET</v>
      </c>
      <c r="AB2075" s="213"/>
      <c r="AC2075" s="213"/>
      <c r="AD2075" s="213"/>
      <c r="AE2075" s="213"/>
      <c r="AF2075" s="213"/>
      <c r="AG2075" s="213"/>
      <c r="AH2075" s="213"/>
      <c r="AI2075" s="213"/>
      <c r="AJ2075" s="213"/>
      <c r="AK2075" s="213"/>
      <c r="AL2075" s="213"/>
      <c r="AM2075" s="213"/>
      <c r="AN2075" s="213"/>
      <c r="AO2075" s="213"/>
      <c r="AP2075" s="213" t="str">
        <f>IFERROR(__xludf.DUMMYFUNCTION("""COMPUTED_VALUE"""),"NALDI")</f>
        <v>NALDI</v>
      </c>
      <c r="AQ2075" s="213" t="str">
        <f>IFERROR(__xludf.DUMMYFUNCTION("""COMPUTED_VALUE"""),"Instalar antivirus, software CAD, diseño gráfico, edición de video, flujogramas y presupuestos")</f>
        <v>Instalar antivirus, software CAD, diseño gráfico, edición de video, flujogramas y presupuestos</v>
      </c>
      <c r="AR2075" s="213"/>
      <c r="AS2075" s="213" t="str">
        <f>IFERROR(__xludf.DUMMYFUNCTION("""COMPUTED_VALUE"""),"Adaptador de VGA a HDMI
Rack para pizarra
Instalar los programas")</f>
        <v>Adaptador de VGA a HDMI
Rack para pizarra
Instalar los programas</v>
      </c>
      <c r="AT2075" s="213"/>
      <c r="AU2075" s="213"/>
      <c r="AV2075" s="213"/>
      <c r="AW2075" s="213"/>
      <c r="AX2075" s="213"/>
      <c r="AY2075" s="213"/>
      <c r="AZ2075" s="213"/>
      <c r="BA2075" s="213"/>
      <c r="BB2075" s="213"/>
      <c r="BC2075" s="213"/>
      <c r="BD2075" s="213"/>
    </row>
    <row r="2076">
      <c r="A2076" s="213">
        <f>IFERROR(__xludf.DUMMYFUNCTION("""COMPUTED_VALUE"""),1582.0)</f>
        <v>1582</v>
      </c>
      <c r="B2076" s="213" t="str">
        <f>IFERROR(__xludf.DUMMYFUNCTION("""COMPUTED_VALUE"""),"GUILLERMO E. BILLINGHURST ")</f>
        <v>GUILLERMO E. BILLINGHURST </v>
      </c>
      <c r="C2076" s="213" t="str">
        <f>IFERROR(__xludf.DUMMYFUNCTION("""COMPUTED_VALUE"""),"TALLER SFT DE MECÁNICA AUTOMOTRIZ")</f>
        <v>TALLER SFT DE MECÁNICA AUTOMOTRIZ</v>
      </c>
      <c r="D2076" s="213" t="str">
        <f>IFERROR(__xludf.DUMMYFUNCTION("""COMPUTED_VALUE"""),"TICS")</f>
        <v>TICS</v>
      </c>
      <c r="E2076" s="213" t="str">
        <f>IFERROR(__xludf.DUMMYFUNCTION("""COMPUTED_VALUE"""),"TEC-114")</f>
        <v>TEC-114</v>
      </c>
      <c r="F2076" s="213" t="str">
        <f>IFERROR(__xludf.DUMMYFUNCTION("""COMPUTED_VALUE"""),"TEC-114")</f>
        <v>TEC-114</v>
      </c>
      <c r="G2076" s="213"/>
      <c r="H2076" s="213" t="str">
        <f>IFERROR(__xludf.DUMMYFUNCTION("""COMPUTED_VALUE"""),"PIZARRA (PANTALLA) TÁCTIL INTERACTIVA MULTI-TOUCH")</f>
        <v>PIZARRA (PANTALLA) TÁCTIL INTERACTIVA MULTI-TOUCH</v>
      </c>
      <c r="I2076"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 PUERTOS E/S: USB, HDMI"&amp;", RS232, VGA, Audio y RJ45 --- AUDIO 10W --- VOLTAJE 220VAC /60 HZ --- SISTEMA OPERATIVO DE
LA PANTALLA Windows y/o IOS y/o Android y/o Linux y/o del mismo fabricante --- SOFTWARE Control del uso de la pantalla y/o manejo de la clase --- CERTIFICADO Energ"&amp;"y Star y/o CE y/o FCC y/o RoHS. --- 02 lapiceros y/o lapiz inalámbrico compatible con el equipo. --- 01 Cable de alimentación y 01 cable de conexión de video y 01 cable  --- USB y 01 Manual de Usuario --- 01 Kit de montaje con ruedas  --- GARANTIA Tres (0"&amp;"3) años Onsite a Nivel Nacional  CONTIENE:
. Softwares de última generación y utilitarios instalados en 64 Bits. Instalados en la computadora, trabajan con y sin conexión a internet. / Software Microsoft Office 2019 o superior (Word, Excel, PowerPoint, Vi"&amp;"sio, One Note y Ms Forms), idioma Español, de 64 Bits.
· Software Antivirus:
- Licenciada / Idioma español / Protección antivirus en tiempo real para proteger de virus, troyanos, adware, malware y phishing / Protección contra firewall /
· Software - Progr"&amp;"amas CAD para dibujos en 2D, 3D y renderizado:
- Gratuitos /libres (de código abierto) / Idioma español / Compatible con el sistema operativo de la computadora (Windows 11 o posterior) / Cuenta con  herramientas de edición y modelado de muebles / Cuenta c"&amp;"on editor geométrico interactivo, procesamiento de imágenes y señales / Alta capacidad de renderizado
/ Entre las alternativas gratuitas: SketchUp, Polyboard, Sweet Home 3D, entre otros.
· Software para diseño gráfico publicitario:
- Gratuitos /libres (de"&amp;" código abierto) / Idioma español / Compatible con el sistema operativo de la computadora (Windows 11 o posterior) / Permite crear diseños, gráficos, fotografías y sitios web / Dispone de herramientas profesionales de diseño, edición de imágenes y fotogra"&amp;"fías y diseño de páginas web. Funciones táctiles y para lápices intuitivos / Dispone de editor de gráficos vectoriales, textos y logos / Permite diseño de prototipos e interfaces para aplicaciones y sitios web / Entre  las alternativas gratuitas /libres: "&amp;"Gimp, krita, Inkscape, Pencil Proyect, entre otros.
· Software para diseño y edición de videos – spot publicitarios:
- Gratuitos /libres (de código abierto) / Idioma español / Versión 2019 o superior / Compatible con el sistema operativo de la computadora"&amp;" (Windows 11 o posterior) / Permite diseñar y editar videos / Trabaja con diferentes formatos: Un amplio soporte para diferentes formatos, incluyendo MP4, AVI, MOV, AVCHD y más. / Permite crear videos de alta resolución: 4K, y trabajar en formato SD y HD "&amp;"/ Dispone de las herramientas más utilizadas en los editores de vídeos: cortar, recortar, dividir y combinar en unos pocos clics. / Permite generar acabados: Varios filtros y efectos visuales para retocar el vídeo, efectos especiales en 2D y 3D / Dispone "&amp;"de herramientas para realizar diseños y animaciones en 3D y plantillas animadas gratuitas. / Permite editar, ajustar perfeccionar el audio / Entre las alternativas  gratuitas /libres: Windows Movie Maker, Video editor Wondershare filmadora, Lightworks, VS"&amp;"DC Free Video editor, Blender, entre otros.
· Software / programas para elaborar flujogramas:
- Gratuitos /libres (de código abierto) / Idioma español / Compatible con el sistema operativo de la computadora (Windows 11 o posterior) / Diseña diagramas de f"&amp;"lujos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presupuest"&amp;"os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76" s="213">
        <f>IFERROR(__xludf.DUMMYFUNCTION("""COMPUTED_VALUE"""),3.0)</f>
        <v>3</v>
      </c>
      <c r="K2076" s="213" t="str">
        <f>IFERROR(__xludf.DUMMYFUNCTION("""COMPUTED_VALUE"""),"170 DÍAS CALENDARIO")</f>
        <v>170 DÍAS CALENDARIO</v>
      </c>
      <c r="L2076"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6" s="213">
        <f>IFERROR(__xludf.DUMMYFUNCTION("""COMPUTED_VALUE"""),1.0)</f>
        <v>1</v>
      </c>
      <c r="N2076" s="213">
        <f>IFERROR(__xludf.DUMMYFUNCTION("""COMPUTED_VALUE"""),1.0)</f>
        <v>1</v>
      </c>
      <c r="O2076" s="213">
        <f>IFERROR(__xludf.DUMMYFUNCTION("""COMPUTED_VALUE"""),1.0)</f>
        <v>1</v>
      </c>
      <c r="P2076" s="213"/>
      <c r="Q2076" s="213"/>
      <c r="R2076" s="213"/>
      <c r="S2076" s="213"/>
      <c r="T2076" s="213" t="str">
        <f>IFERROR(__xludf.DUMMYFUNCTION("""COMPUTED_VALUE"""),"SI")</f>
        <v>SI</v>
      </c>
      <c r="U2076" s="213" t="str">
        <f>IFERROR(__xludf.DUMMYFUNCTION("""COMPUTED_VALUE"""),"NO")</f>
        <v>NO</v>
      </c>
      <c r="V2076" s="213" t="str">
        <f>IFERROR(__xludf.DUMMYFUNCTION("""COMPUTED_VALUE"""),"SUSTENTO")</f>
        <v>SUSTENTO</v>
      </c>
      <c r="W2076" s="213" t="str">
        <f>IFERROR(__xludf.DUMMYFUNCTION("""COMPUTED_VALUE"""),"CRÍTICO")</f>
        <v>CRÍTICO</v>
      </c>
      <c r="X2076" s="213" t="str">
        <f>IFERROR(__xludf.DUMMYFUNCTION("""COMPUTED_VALUE"""),"ViewSonic")</f>
        <v>ViewSonic</v>
      </c>
      <c r="Y2076" s="213" t="str">
        <f>IFERROR(__xludf.DUMMYFUNCTION("""COMPUTED_VALUE"""),"IFP7564")</f>
        <v>IFP7564</v>
      </c>
      <c r="Z2076" s="215" t="str">
        <f>IFERROR(__xludf.DUMMYFUNCTION("""COMPUTED_VALUE"""),"https://www.viewsonic.com/la/products/ifp7550.html#specTabs.specifications")</f>
        <v>https://www.viewsonic.com/la/products/ifp7550.html#specTabs.specifications</v>
      </c>
      <c r="AA2076" s="213" t="str">
        <f>IFERROR(__xludf.DUMMYFUNCTION("""COMPUTED_VALUE"""),"TEC-114 PIZARRA (PANTALLA) TÁCTIL INTERACTIVA MULTI-TOUCH - CET")</f>
        <v>TEC-114 PIZARRA (PANTALLA) TÁCTIL INTERACTIVA MULTI-TOUCH - CET</v>
      </c>
      <c r="AB2076" s="213"/>
      <c r="AC2076" s="213"/>
      <c r="AD2076" s="213"/>
      <c r="AE2076" s="213"/>
      <c r="AF2076" s="213"/>
      <c r="AG2076" s="213"/>
      <c r="AH2076" s="213"/>
      <c r="AI2076" s="213"/>
      <c r="AJ2076" s="213"/>
      <c r="AK2076" s="213"/>
      <c r="AL2076" s="213"/>
      <c r="AM2076" s="213"/>
      <c r="AN2076" s="213"/>
      <c r="AO2076" s="213"/>
      <c r="AP2076" s="213" t="str">
        <f>IFERROR(__xludf.DUMMYFUNCTION("""COMPUTED_VALUE"""),"NALDI")</f>
        <v>NALDI</v>
      </c>
      <c r="AQ2076" s="213" t="str">
        <f>IFERROR(__xludf.DUMMYFUNCTION("""COMPUTED_VALUE"""),"Instalar antivirus, software CAD, diseño gráfico, edición de video, flujogramas y presupuestos")</f>
        <v>Instalar antivirus, software CAD, diseño gráfico, edición de video, flujogramas y presupuestos</v>
      </c>
      <c r="AR2076" s="213"/>
      <c r="AS2076" s="213" t="str">
        <f>IFERROR(__xludf.DUMMYFUNCTION("""COMPUTED_VALUE"""),"Adaptador de VGA a HDMI
Rack para pizarra
Instalar los programas")</f>
        <v>Adaptador de VGA a HDMI
Rack para pizarra
Instalar los programas</v>
      </c>
      <c r="AT2076" s="213"/>
      <c r="AU2076" s="213"/>
      <c r="AV2076" s="213"/>
      <c r="AW2076" s="213"/>
      <c r="AX2076" s="213"/>
      <c r="AY2076" s="213"/>
      <c r="AZ2076" s="213"/>
      <c r="BA2076" s="213"/>
      <c r="BB2076" s="213"/>
      <c r="BC2076" s="213"/>
      <c r="BD2076" s="213"/>
    </row>
    <row r="2077">
      <c r="A2077" s="213">
        <f>IFERROR(__xludf.DUMMYFUNCTION("""COMPUTED_VALUE"""),1694.0)</f>
        <v>1694</v>
      </c>
      <c r="B2077" s="213" t="str">
        <f>IFERROR(__xludf.DUMMYFUNCTION("""COMPUTED_VALUE"""),"GUILLERMO E. BILLINGHURST ")</f>
        <v>GUILLERMO E. BILLINGHURST </v>
      </c>
      <c r="C2077" s="213" t="str">
        <f>IFERROR(__xludf.DUMMYFUNCTION("""COMPUTED_VALUE"""),"TALLER SFT DE COMPUTACIÓN E INFORMÁTICA")</f>
        <v>TALLER SFT DE COMPUTACIÓN E INFORMÁTICA</v>
      </c>
      <c r="D2077" s="213" t="str">
        <f>IFERROR(__xludf.DUMMYFUNCTION("""COMPUTED_VALUE"""),"TICS")</f>
        <v>TICS</v>
      </c>
      <c r="E2077" s="213" t="str">
        <f>IFERROR(__xludf.DUMMYFUNCTION("""COMPUTED_VALUE"""),"TEC-114")</f>
        <v>TEC-114</v>
      </c>
      <c r="F2077" s="213" t="str">
        <f>IFERROR(__xludf.DUMMYFUNCTION("""COMPUTED_VALUE"""),"TEC-114")</f>
        <v>TEC-114</v>
      </c>
      <c r="G2077" s="213"/>
      <c r="H2077" s="213" t="str">
        <f>IFERROR(__xludf.DUMMYFUNCTION("""COMPUTED_VALUE"""),"PIZARRA (PANTALLA) TÁCTIL INTERACTIVA MULTI-TOUCH")</f>
        <v>PIZARRA (PANTALLA) TÁCTIL INTERACTIVA MULTI-TOUCH</v>
      </c>
      <c r="I2077"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En"&amp;"ergy Star y/o CE y/o FCC y/o RoHS. --- 02 lapiceros y/o lapiz inalámbrico compatible con el equipo       01 Cable de
alimentación y 01 cable de conexión de video y 01 cable  --- USB y 01 Manual de Usuario --- 01 Kit de montaje con ruedas       GARANTIA
Tr"&amp;"es (03) años Onsite a Nivel Nacional CONTIENE:
. Softwares de última generación y utilitarios instalados en 64 Bits. Instalados en la computadora, trabajan con y sin conexión a internet. / Software Microsoft Office 2019 o superior (Word, Excel, PowerPoint"&amp;", Visio, One Note y Ms Forms), idioma Español, de 64 Bits.
· Software Antivirus:
- Licenciada / Idioma español / Protección antivirus en tiempo real para proteger de virus, troyanos, adware, malware y phishing / Protección contra firewall /
· Software - P"&amp;"rogramas CAD para dibujos en 2D, 3D y renderizado:
- Gratuitos /libres (de código abierto) / Idioma español / Compatible con el sistema operativo de la computadora (Windows 11 o posterior)
/ Cuenta con herramientas de edición y modelado de muebles / Cuent"&amp;"a con editor geométrico interactivo, procesamiento de imágenes y señales / Alta capacidad de renderizado / Entre las alternativas gratuitas: SketchUp, Polyboard, Sweet Home 3D, entre otros.
· Software para diseño gráfico publicitario:
- Gratuitos /libres "&amp;"(de código abierto) / Idioma español / Compatible con el sistema operativo de la computadora (Windows 11 o posterior)
/ Permite crear diseños, gráficos, fotografías y sitios web / Dispone de herramientas profesionales de diseño, edición de imágenes y foto"&amp;"grafías y diseño de páginas web. Funciones táctiles y para lápices intuitivos / Dispone de editor de gráficos vectoriales, textos y logos
/ Permite diseño de prototipos e interfaces para aplicaciones y sitios web / Entre las alternativas gratuitas /libres"&amp;": Gimp, krita, Inkscape, Pencil Proyect, entre otros.
· Software para diseño y edición de videos – spot publicitarios:
- Gratuitos /libres (de código abierto) / Idioma español / Versión 2019 o superior / Compatible con el sistema operativo de la computado"&amp;"ra (Windows 11 o posterior) / Permite diseñar y editar videos / Trabaja con diferentes formatos: Un amplio soporte para diferentes formatos, incluyendo MP4, AVI, MOV, AVCHD y más. / Permite crear videos de alta resolución: 4K, y trabajar en formato SD y H"&amp;"D / Dispone de las herramientas más utilizadas en los editores de vídeos: cortar, recortar, dividir y combinar en unos pocos clics. / Permite generar acabados: Varios filtros y efectos visuales para retocar el vídeo, efectos especiales en 2D y 3D / Dispon"&amp;"e de
herramientas para realizar diseños y animaciones en 3D y plantillas animadas gratuitas. / Permite editar, ajustar perfeccionar el audio / Entre las alternativas gratuitas /libres: Windows Movie Maker, Video editor Wondershare filmadora, Lightworks, V"&amp;"SDC Free Video editor, Blender, entre otros.
· Software / programas para elaborar flujogramas:
- Gratuitos /libres (de código abierto) / Idioma español / Compatible con el sistema operativo de la computadora (Windows 11 o posterior)
/ Diseña diagramas de "&amp;"flujos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presupues"&amp;"tos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--- 02 lapiceros y/o lapiz inalámbrico compatible con el equipo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77" s="213">
        <f>IFERROR(__xludf.DUMMYFUNCTION("""COMPUTED_VALUE"""),3.0)</f>
        <v>3</v>
      </c>
      <c r="K2077" s="213" t="str">
        <f>IFERROR(__xludf.DUMMYFUNCTION("""COMPUTED_VALUE"""),"170 DÍAS CALENDARIO")</f>
        <v>170 DÍAS CALENDARIO</v>
      </c>
      <c r="L2077"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7" s="213">
        <f>IFERROR(__xludf.DUMMYFUNCTION("""COMPUTED_VALUE"""),1.0)</f>
        <v>1</v>
      </c>
      <c r="N2077" s="213">
        <f>IFERROR(__xludf.DUMMYFUNCTION("""COMPUTED_VALUE"""),1.0)</f>
        <v>1</v>
      </c>
      <c r="O2077" s="213">
        <f>IFERROR(__xludf.DUMMYFUNCTION("""COMPUTED_VALUE"""),1.0)</f>
        <v>1</v>
      </c>
      <c r="P2077" s="213"/>
      <c r="Q2077" s="213"/>
      <c r="R2077" s="213"/>
      <c r="S2077" s="213"/>
      <c r="T2077" s="213" t="str">
        <f>IFERROR(__xludf.DUMMYFUNCTION("""COMPUTED_VALUE"""),"SI")</f>
        <v>SI</v>
      </c>
      <c r="U2077" s="213" t="str">
        <f>IFERROR(__xludf.DUMMYFUNCTION("""COMPUTED_VALUE"""),"NO")</f>
        <v>NO</v>
      </c>
      <c r="V2077" s="213" t="str">
        <f>IFERROR(__xludf.DUMMYFUNCTION("""COMPUTED_VALUE"""),"SUSTENTO")</f>
        <v>SUSTENTO</v>
      </c>
      <c r="W2077" s="213" t="str">
        <f>IFERROR(__xludf.DUMMYFUNCTION("""COMPUTED_VALUE"""),"CRÍTICO")</f>
        <v>CRÍTICO</v>
      </c>
      <c r="X2077" s="213" t="str">
        <f>IFERROR(__xludf.DUMMYFUNCTION("""COMPUTED_VALUE"""),"ViewSonic")</f>
        <v>ViewSonic</v>
      </c>
      <c r="Y2077" s="213" t="str">
        <f>IFERROR(__xludf.DUMMYFUNCTION("""COMPUTED_VALUE"""),"IFP7565")</f>
        <v>IFP7565</v>
      </c>
      <c r="Z2077" s="215" t="str">
        <f>IFERROR(__xludf.DUMMYFUNCTION("""COMPUTED_VALUE"""),"https://www.viewsonic.com/la/products/ifp7550.html#specTabs.specifications")</f>
        <v>https://www.viewsonic.com/la/products/ifp7550.html#specTabs.specifications</v>
      </c>
      <c r="AA2077" s="213" t="str">
        <f>IFERROR(__xludf.DUMMYFUNCTION("""COMPUTED_VALUE"""),"TEC-114 PIZARRA (PANTALLA) TÁCTIL INTERACTIVA MULTI-TOUCH - CET")</f>
        <v>TEC-114 PIZARRA (PANTALLA) TÁCTIL INTERACTIVA MULTI-TOUCH - CET</v>
      </c>
      <c r="AB2077" s="213"/>
      <c r="AC2077" s="213"/>
      <c r="AD2077" s="213"/>
      <c r="AE2077" s="213"/>
      <c r="AF2077" s="213"/>
      <c r="AG2077" s="213"/>
      <c r="AH2077" s="213"/>
      <c r="AI2077" s="213"/>
      <c r="AJ2077" s="213"/>
      <c r="AK2077" s="213"/>
      <c r="AL2077" s="213"/>
      <c r="AM2077" s="213"/>
      <c r="AN2077" s="213"/>
      <c r="AO2077" s="213"/>
      <c r="AP2077" s="213" t="str">
        <f>IFERROR(__xludf.DUMMYFUNCTION("""COMPUTED_VALUE"""),"NALDI")</f>
        <v>NALDI</v>
      </c>
      <c r="AQ2077" s="213" t="str">
        <f>IFERROR(__xludf.DUMMYFUNCTION("""COMPUTED_VALUE"""),"Instalar antivirus, software CAD, diseño gráfico, edición de video, flujogramas y presupuestos")</f>
        <v>Instalar antivirus, software CAD, diseño gráfico, edición de video, flujogramas y presupuestos</v>
      </c>
      <c r="AR2077" s="213"/>
      <c r="AS2077" s="213" t="str">
        <f>IFERROR(__xludf.DUMMYFUNCTION("""COMPUTED_VALUE"""),"Adaptador de VGA a HDMI
Rack para pizarra
Instalar los programas")</f>
        <v>Adaptador de VGA a HDMI
Rack para pizarra
Instalar los programas</v>
      </c>
      <c r="AT2077" s="213"/>
      <c r="AU2077" s="213"/>
      <c r="AV2077" s="213"/>
      <c r="AW2077" s="213"/>
      <c r="AX2077" s="213"/>
      <c r="AY2077" s="213"/>
      <c r="AZ2077" s="213"/>
      <c r="BA2077" s="213"/>
      <c r="BB2077" s="213"/>
      <c r="BC2077" s="213"/>
      <c r="BD2077" s="213"/>
    </row>
    <row r="2078">
      <c r="A2078" s="213">
        <f>IFERROR(__xludf.DUMMYFUNCTION("""COMPUTED_VALUE"""),1709.0)</f>
        <v>1709</v>
      </c>
      <c r="B2078" s="213" t="str">
        <f>IFERROR(__xludf.DUMMYFUNCTION("""COMPUTED_VALUE"""),"GUILLERMO E. BILLINGHURST ")</f>
        <v>GUILLERMO E. BILLINGHURST </v>
      </c>
      <c r="C2078" s="213" t="str">
        <f>IFERROR(__xludf.DUMMYFUNCTION("""COMPUTED_VALUE"""),"TALLER SFT DE COMPUTACIÓN E INFORMÁTICA")</f>
        <v>TALLER SFT DE COMPUTACIÓN E INFORMÁTICA</v>
      </c>
      <c r="D2078" s="213" t="str">
        <f>IFERROR(__xludf.DUMMYFUNCTION("""COMPUTED_VALUE"""),"TICS")</f>
        <v>TICS</v>
      </c>
      <c r="E2078" s="213" t="str">
        <f>IFERROR(__xludf.DUMMYFUNCTION("""COMPUTED_VALUE"""),"TEC-114")</f>
        <v>TEC-114</v>
      </c>
      <c r="F2078" s="213" t="str">
        <f>IFERROR(__xludf.DUMMYFUNCTION("""COMPUTED_VALUE"""),"TEC-114")</f>
        <v>TEC-114</v>
      </c>
      <c r="G2078" s="213"/>
      <c r="H2078" s="213" t="str">
        <f>IFERROR(__xludf.DUMMYFUNCTION("""COMPUTED_VALUE"""),"PIZARRA (PANTALLA) TÁCTIL INTERACTIVA MULTI-TOUCH")</f>
        <v>PIZARRA (PANTALLA) TÁCTIL INTERACTIVA MULTI-TOUCH</v>
      </c>
      <c r="I2078"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En"&amp;"ergy Star y/o CE y/o FCC y/o RoHS. --- 02 lapiceros y/o lapiz inalámbrico compatible con el equipo       01 Cable de
alimentación y 01 cable de conexión de video y 01 cable  --- USB y 01 Manual de Usuario --- 01 Kit de montaje con ruedas       GARANTIA
Tr"&amp;"es (03) años Onsite a Nivel Nacional CONTIENE:
. Softwares de última generación y utilitarios instalados en 64 Bits. Instalados en la computadora, trabajan con y sin conexión a internet. / Software Microsoft Office 2019 o superior (Word, Excel, PowerPoint"&amp;", Visio, One Note y Ms Forms), idioma Español, de 64 Bits.
· Software Antivirus:
- Licenciada / Idioma español / Protección antivirus en tiempo real para proteger de virus, troyanos, adware, malware y phishing / Protección contra firewall /
· Software - P"&amp;"rogramas CAD para dibujos en 2D, 3D y renderizado:
- Gratuitos /libres (de código abierto) / Idioma español / Compatible con el sistema operativo de la computadora (Windows 11 o posterior)
/ Cuenta con herramientas de edición y modelado de muebles / Cuent"&amp;"a con editor geométrico interactivo, procesamiento de imágenes y señales / Alta capacidad de renderizado / Entre las alternativas gratuitas: SketchUp, Polyboard, Sweet Home 3D, entre otros.
· Software para diseño gráfico publicitario:
- Gratuitos /libres "&amp;"(de código abierto) / Idioma español / Compatible con el sistema operativo de la computadora (Windows 11 o posterior)
/ Permite crear diseños, gráficos, fotografías y sitios web / Dispone de herramientas profesionales de diseño, edición de imágenes y foto"&amp;"grafías y diseño de páginas web. Funciones táctiles y para lápices intuitivos / Dispone de editor de gráficos vectoriales, textos y logos
/ Permite diseño de prototipos e interfaces para aplicaciones y sitios web / Entre las alternativas gratuitas /libres"&amp;": Gimp, krita, Inkscape, Pencil Proyect, entre otros.
· Software para diseño y edición de videos – spot publicitarios:
- Gratuitos /libres (de código abierto) / Idioma español / Versión 2019 o superior / Compatible con el sistema operativo de la computado"&amp;"ra (Windows 11 o posterior) / Permite diseñar y editar videos / Trabaja con diferentes formatos: Un amplio soporte para diferentes formatos, incluyendo MP4, AVI, MOV, AVCHD y más. / Permite crear videos de alta resolución: 4K, y trabajar en formato SD y H"&amp;"D / Dispone de las herramientas más utilizadas en los editores de vídeos: cortar, recortar, dividir y combinar en unos pocos clics. / Permite generar acabados: Varios filtros y efectos visuales para retocar el vídeo, efectos especiales en 2D y 3D / Dispon"&amp;"e de
herramientas para realizar diseños y animaciones en 3D y plantillas animadas gratuitas. / Permite editar, ajustar perfeccionar el audio / Entre las alternativas gratuitas /libres: Windows Movie Maker, Video editor Wondershare filmadora, Lightworks, V"&amp;"SDC Free Video editor, Blender, entre otros.
· Software / programas para elaborar flujogramas:
- Gratuitos /libres (de código abierto) / Idioma español / Compatible con el sistema operativo de la computadora (Windows 11 o posterior)
/ Diseña diagramas de "&amp;"flujos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presupues"&amp;"tos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--- 02 lapiceros y/o lapiz inalámbrico compatible con el equipo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78" s="213">
        <f>IFERROR(__xludf.DUMMYFUNCTION("""COMPUTED_VALUE"""),3.0)</f>
        <v>3</v>
      </c>
      <c r="K2078" s="213" t="str">
        <f>IFERROR(__xludf.DUMMYFUNCTION("""COMPUTED_VALUE"""),"170 DÍAS CALENDARIO")</f>
        <v>170 DÍAS CALENDARIO</v>
      </c>
      <c r="L2078"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8" s="213">
        <f>IFERROR(__xludf.DUMMYFUNCTION("""COMPUTED_VALUE"""),1.0)</f>
        <v>1</v>
      </c>
      <c r="N2078" s="213">
        <f>IFERROR(__xludf.DUMMYFUNCTION("""COMPUTED_VALUE"""),1.0)</f>
        <v>1</v>
      </c>
      <c r="O2078" s="213">
        <f>IFERROR(__xludf.DUMMYFUNCTION("""COMPUTED_VALUE"""),1.0)</f>
        <v>1</v>
      </c>
      <c r="P2078" s="213"/>
      <c r="Q2078" s="213"/>
      <c r="R2078" s="213"/>
      <c r="S2078" s="213"/>
      <c r="T2078" s="213" t="str">
        <f>IFERROR(__xludf.DUMMYFUNCTION("""COMPUTED_VALUE"""),"SI")</f>
        <v>SI</v>
      </c>
      <c r="U2078" s="213" t="str">
        <f>IFERROR(__xludf.DUMMYFUNCTION("""COMPUTED_VALUE"""),"NO")</f>
        <v>NO</v>
      </c>
      <c r="V2078" s="213" t="str">
        <f>IFERROR(__xludf.DUMMYFUNCTION("""COMPUTED_VALUE"""),"SUSTENTO")</f>
        <v>SUSTENTO</v>
      </c>
      <c r="W2078" s="213" t="str">
        <f>IFERROR(__xludf.DUMMYFUNCTION("""COMPUTED_VALUE"""),"CRÍTICO")</f>
        <v>CRÍTICO</v>
      </c>
      <c r="X2078" s="213" t="str">
        <f>IFERROR(__xludf.DUMMYFUNCTION("""COMPUTED_VALUE"""),"ViewSonic")</f>
        <v>ViewSonic</v>
      </c>
      <c r="Y2078" s="213" t="str">
        <f>IFERROR(__xludf.DUMMYFUNCTION("""COMPUTED_VALUE"""),"IFP7566")</f>
        <v>IFP7566</v>
      </c>
      <c r="Z2078" s="215" t="str">
        <f>IFERROR(__xludf.DUMMYFUNCTION("""COMPUTED_VALUE"""),"https://www.viewsonic.com/la/products/ifp7550.html#specTabs.specifications")</f>
        <v>https://www.viewsonic.com/la/products/ifp7550.html#specTabs.specifications</v>
      </c>
      <c r="AA2078" s="213" t="str">
        <f>IFERROR(__xludf.DUMMYFUNCTION("""COMPUTED_VALUE"""),"TEC-114 PIZARRA (PANTALLA) TÁCTIL INTERACTIVA MULTI-TOUCH - CET")</f>
        <v>TEC-114 PIZARRA (PANTALLA) TÁCTIL INTERACTIVA MULTI-TOUCH - CET</v>
      </c>
      <c r="AB2078" s="213"/>
      <c r="AC2078" s="213"/>
      <c r="AD2078" s="213"/>
      <c r="AE2078" s="213"/>
      <c r="AF2078" s="213"/>
      <c r="AG2078" s="213"/>
      <c r="AH2078" s="213"/>
      <c r="AI2078" s="213"/>
      <c r="AJ2078" s="213"/>
      <c r="AK2078" s="213"/>
      <c r="AL2078" s="213"/>
      <c r="AM2078" s="213"/>
      <c r="AN2078" s="213"/>
      <c r="AO2078" s="213"/>
      <c r="AP2078" s="213" t="str">
        <f>IFERROR(__xludf.DUMMYFUNCTION("""COMPUTED_VALUE"""),"NALDI")</f>
        <v>NALDI</v>
      </c>
      <c r="AQ2078" s="213" t="str">
        <f>IFERROR(__xludf.DUMMYFUNCTION("""COMPUTED_VALUE"""),"Instalar antivirus, software CAD, diseño gráfico, edición de video, flujogramas y presupuestos")</f>
        <v>Instalar antivirus, software CAD, diseño gráfico, edición de video, flujogramas y presupuestos</v>
      </c>
      <c r="AR2078" s="213"/>
      <c r="AS2078" s="213" t="str">
        <f>IFERROR(__xludf.DUMMYFUNCTION("""COMPUTED_VALUE"""),"Adaptador de VGA a HDMI
Rack para pizarra
Instalar los programas")</f>
        <v>Adaptador de VGA a HDMI
Rack para pizarra
Instalar los programas</v>
      </c>
      <c r="AT2078" s="213"/>
      <c r="AU2078" s="213"/>
      <c r="AV2078" s="213"/>
      <c r="AW2078" s="213"/>
      <c r="AX2078" s="213"/>
      <c r="AY2078" s="213"/>
      <c r="AZ2078" s="213"/>
      <c r="BA2078" s="213"/>
      <c r="BB2078" s="213"/>
      <c r="BC2078" s="213"/>
      <c r="BD2078" s="213"/>
    </row>
    <row r="2079">
      <c r="A2079" s="213">
        <f>IFERROR(__xludf.DUMMYFUNCTION("""COMPUTED_VALUE"""),1852.0)</f>
        <v>1852</v>
      </c>
      <c r="B2079" s="213" t="str">
        <f>IFERROR(__xludf.DUMMYFUNCTION("""COMPUTED_VALUE"""),"GUILLERMO E. BILLINGHURST ")</f>
        <v>GUILLERMO E. BILLINGHURST </v>
      </c>
      <c r="C2079" s="213" t="str">
        <f>IFERROR(__xludf.DUMMYFUNCTION("""COMPUTED_VALUE"""),"TALLER SFT DE EBANISTERÍA")</f>
        <v>TALLER SFT DE EBANISTERÍA</v>
      </c>
      <c r="D2079" s="213" t="str">
        <f>IFERROR(__xludf.DUMMYFUNCTION("""COMPUTED_VALUE"""),"TICS")</f>
        <v>TICS</v>
      </c>
      <c r="E2079" s="213" t="str">
        <f>IFERROR(__xludf.DUMMYFUNCTION("""COMPUTED_VALUE"""),"TEC-114")</f>
        <v>TEC-114</v>
      </c>
      <c r="F2079" s="213" t="str">
        <f>IFERROR(__xludf.DUMMYFUNCTION("""COMPUTED_VALUE"""),"TEC-114")</f>
        <v>TEC-114</v>
      </c>
      <c r="G2079" s="213"/>
      <c r="H2079" s="213" t="str">
        <f>IFERROR(__xludf.DUMMYFUNCTION("""COMPUTED_VALUE"""),"PIZARRA (PANTALLA) TÁCTIL INTERACTIVA MULTI-TOUCH")</f>
        <v>PIZARRA (PANTALLA) TÁCTIL INTERACTIVA MULTI-TOUCH</v>
      </c>
      <c r="I2079"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 PUERTOS E/S: USB, HDMI"&amp;", RS232, VGA, Audio y RJ45 --- AUDIO 10W --- VOLTAJE 220VAC /60 HZ ---
SISTEMA OPERATIVO DE LA PANTALLA Windows y/o IOS y/o Android y/o Linux y/o del mismo fabricante --- SOFTWARE Control del uso de la pantalla y/o manejo de la clase --- CERTIFICADO Energ"&amp;"y Star y/o CE y/o FCC y/o RoHS. --- 02 lapiceros y/o lapiz inalámbrico compatible con el equipo. --- 01 Cable de alimentación y 01 cable de conexión de video y 01 cable  --- USB y 01 Manual de Usuario --- 01 Kit de montaje con ruedas  --- GARANTIA Tres (0"&amp;"3) años Onsite a Nivel Nacional
CONTIENE:
. Softwares de última generación y utilitarios instalados en 64 Bits. Instalados en la computadora, trabajan con y sin conexión a internet. / Software Microsoft Office 2019 o superior (Word, Excel, PowerPoint, Vis"&amp;"io, One Note y Ms Forms), idioma Español, de 64 Bits.
· Software Antivirus:
- Licenciada / Idioma español / Protección antivirus en tiempo real para proteger de virus, troyanos, adware, malware y phishing / Protección contra firewall /
· Software - Progra"&amp;"mas CAD para dibujos en 2D, 3D y renderizado:
- Gratuitos /libres (de código abierto) / Idioma español / Compatible con el sistema operativo de la computadora (Windows 11 o posterior) / Cuenta con herramientas de edición y modelado de muebles / Cuenta con"&amp;" editor geométrico interactivo, procesamiento de imágenes y señales / Alta capacidad de renderizado / Entre las alternativas gratuitas: SketchUp, Polyboard, Sweet Home 3D, entre otros.
· Software para diseño gráfico publicitario:
- Gratuitos /libres (de c"&amp;"ódigo abierto) / Idioma español / Compatible con el sistema operativo de la computadora (Windows 11 o posterior) / Permite crear diseños, gráficos, fotografías y sitios web / Dispone de herramientas profesionales de diseño, edición de imágenes y fotografí"&amp;"as y diseño de páginas web. Funciones táctiles y para lápices intuitivos / Dispone de editor de gráficos vectoriales, textos y logos / Permite diseño de prototipos e interfaces para aplicaciones y sitios web / Entre las alternativas gratuitas /libres: Gim"&amp;"p, krita, Inkscape, Pencil Proyect, entre otros.
· Software para diseño y edición de videos – spot publicitarios:
- Gratuitos /libres (de código abierto) / Idioma español / Versión 2019 o superior / Compatible con el sistema operativo de la computadora (W"&amp;"indows 11 o posterior) / Permite diseñar y editar videos / Trabaja con diferentes formatos: Un amplio soporte para diferentes formatos, incluyendo MP4, AVI, MOV, AVCHD y más. / Permite crear videos de alta resolución: 4K, y trabajar en formato SD y HD / D"&amp;"ispone de las herramientas más utilizadas en los editores de vídeos: cortar, recortar, dividir y combinar en unos pocos clics. / Permite generar acabados: Varios filtros y efectos visuales para retocar el vídeo, efectos especiales en 2D y 3D / Dispone de
"&amp;"herramientas para realizar diseños y animaciones en 3D y plantillas animadas gratuitas. / Permite editar, ajustar perfeccionar el audio / Entre las alternativas gratuitas /libres: Windows Movie Maker, Video editor Wondershare filmadora, Lightworks, VSDC F"&amp;"ree Video editor, Blender, entre otros.
· Software / programas para elaborar flujogramas:
- Gratuitos /libres (de código abierto) / Idioma español / Compatible con el sistema operativo de la computadora (Windows 11 o posterior) / Diseña diagramas de flujo"&amp;"s y organigramas / Contiene una variedad de símbolos y estilos de conexión de líneas. / Edita, personaliza colores, rellenos y trazos / Entre las alternativas gratuitas /libres: clickCharts, CreatelyDia, y Ed Graph Editor, Pencil project, entre otros.
· S"&amp;"oftware para elaborar presupuestos:
- Gratuitos /libres (de código abierto) / Idioma español / Compatible con el sistema operativo de la computadora (Windows 11 o posterior) / Crea presupuestos, gestiona la facturación y la planificación de presupuestos /"&amp;"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79" s="213">
        <f>IFERROR(__xludf.DUMMYFUNCTION("""COMPUTED_VALUE"""),3.0)</f>
        <v>3</v>
      </c>
      <c r="K2079" s="213" t="str">
        <f>IFERROR(__xludf.DUMMYFUNCTION("""COMPUTED_VALUE"""),"170 DÍAS CALENDARIO")</f>
        <v>170 DÍAS CALENDARIO</v>
      </c>
      <c r="L2079"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79" s="213">
        <f>IFERROR(__xludf.DUMMYFUNCTION("""COMPUTED_VALUE"""),1.0)</f>
        <v>1</v>
      </c>
      <c r="N2079" s="213">
        <f>IFERROR(__xludf.DUMMYFUNCTION("""COMPUTED_VALUE"""),1.0)</f>
        <v>1</v>
      </c>
      <c r="O2079" s="213">
        <f>IFERROR(__xludf.DUMMYFUNCTION("""COMPUTED_VALUE"""),1.0)</f>
        <v>1</v>
      </c>
      <c r="P2079" s="213"/>
      <c r="Q2079" s="213"/>
      <c r="R2079" s="213"/>
      <c r="S2079" s="213"/>
      <c r="T2079" s="213" t="str">
        <f>IFERROR(__xludf.DUMMYFUNCTION("""COMPUTED_VALUE"""),"SI")</f>
        <v>SI</v>
      </c>
      <c r="U2079" s="213" t="str">
        <f>IFERROR(__xludf.DUMMYFUNCTION("""COMPUTED_VALUE"""),"NO")</f>
        <v>NO</v>
      </c>
      <c r="V2079" s="213" t="str">
        <f>IFERROR(__xludf.DUMMYFUNCTION("""COMPUTED_VALUE"""),"SUSTENTO")</f>
        <v>SUSTENTO</v>
      </c>
      <c r="W2079" s="213" t="str">
        <f>IFERROR(__xludf.DUMMYFUNCTION("""COMPUTED_VALUE"""),"CRÍTICO")</f>
        <v>CRÍTICO</v>
      </c>
      <c r="X2079" s="213" t="str">
        <f>IFERROR(__xludf.DUMMYFUNCTION("""COMPUTED_VALUE"""),"ViewSonic")</f>
        <v>ViewSonic</v>
      </c>
      <c r="Y2079" s="213" t="str">
        <f>IFERROR(__xludf.DUMMYFUNCTION("""COMPUTED_VALUE"""),"IFP7567")</f>
        <v>IFP7567</v>
      </c>
      <c r="Z2079" s="215" t="str">
        <f>IFERROR(__xludf.DUMMYFUNCTION("""COMPUTED_VALUE"""),"https://www.viewsonic.com/la/products/ifp7550.html#specTabs.specifications")</f>
        <v>https://www.viewsonic.com/la/products/ifp7550.html#specTabs.specifications</v>
      </c>
      <c r="AA2079" s="213" t="str">
        <f>IFERROR(__xludf.DUMMYFUNCTION("""COMPUTED_VALUE"""),"TEC-114 PIZARRA (PANTALLA) TÁCTIL INTERACTIVA MULTI-TOUCH - CET")</f>
        <v>TEC-114 PIZARRA (PANTALLA) TÁCTIL INTERACTIVA MULTI-TOUCH - CET</v>
      </c>
      <c r="AB2079" s="213"/>
      <c r="AC2079" s="213"/>
      <c r="AD2079" s="213"/>
      <c r="AE2079" s="213"/>
      <c r="AF2079" s="213"/>
      <c r="AG2079" s="213"/>
      <c r="AH2079" s="213"/>
      <c r="AI2079" s="213"/>
      <c r="AJ2079" s="213"/>
      <c r="AK2079" s="213"/>
      <c r="AL2079" s="213"/>
      <c r="AM2079" s="213"/>
      <c r="AN2079" s="213"/>
      <c r="AO2079" s="213"/>
      <c r="AP2079" s="213" t="str">
        <f>IFERROR(__xludf.DUMMYFUNCTION("""COMPUTED_VALUE"""),"NALDI")</f>
        <v>NALDI</v>
      </c>
      <c r="AQ2079" s="213" t="str">
        <f>IFERROR(__xludf.DUMMYFUNCTION("""COMPUTED_VALUE"""),"Instalar antivirus, software CAD, diseño gráfico, edición de video, flujogramas y presupuestos")</f>
        <v>Instalar antivirus, software CAD, diseño gráfico, edición de video, flujogramas y presupuestos</v>
      </c>
      <c r="AR2079" s="213"/>
      <c r="AS2079" s="213" t="str">
        <f>IFERROR(__xludf.DUMMYFUNCTION("""COMPUTED_VALUE"""),"Adaptador de VGA a HDMI
Rack para pizarra
Instalar los programas")</f>
        <v>Adaptador de VGA a HDMI
Rack para pizarra
Instalar los programas</v>
      </c>
      <c r="AT2079" s="213"/>
      <c r="AU2079" s="213"/>
      <c r="AV2079" s="213"/>
      <c r="AW2079" s="213"/>
      <c r="AX2079" s="213"/>
      <c r="AY2079" s="213"/>
      <c r="AZ2079" s="213"/>
      <c r="BA2079" s="213"/>
      <c r="BB2079" s="213"/>
      <c r="BC2079" s="213"/>
      <c r="BD2079" s="213"/>
    </row>
    <row r="2080">
      <c r="A2080" s="213">
        <f>IFERROR(__xludf.DUMMYFUNCTION("""COMPUTED_VALUE"""),1946.0)</f>
        <v>1946</v>
      </c>
      <c r="B2080" s="213" t="str">
        <f>IFERROR(__xludf.DUMMYFUNCTION("""COMPUTED_VALUE"""),"JOSE GRANDA")</f>
        <v>JOSE GRANDA</v>
      </c>
      <c r="C2080" s="213" t="str">
        <f>IFERROR(__xludf.DUMMYFUNCTION("""COMPUTED_VALUE"""),"TALLER SFT DE COMPUTACIÓN E INFORMÁTICA")</f>
        <v>TALLER SFT DE COMPUTACIÓN E INFORMÁTICA</v>
      </c>
      <c r="D2080" s="213" t="str">
        <f>IFERROR(__xludf.DUMMYFUNCTION("""COMPUTED_VALUE"""),"TICS")</f>
        <v>TICS</v>
      </c>
      <c r="E2080" s="213" t="str">
        <f>IFERROR(__xludf.DUMMYFUNCTION("""COMPUTED_VALUE"""),"TEC-114")</f>
        <v>TEC-114</v>
      </c>
      <c r="F2080" s="213" t="str">
        <f>IFERROR(__xludf.DUMMYFUNCTION("""COMPUTED_VALUE"""),"TEC-114")</f>
        <v>TEC-114</v>
      </c>
      <c r="G2080" s="213"/>
      <c r="H2080" s="213" t="str">
        <f>IFERROR(__xludf.DUMMYFUNCTION("""COMPUTED_VALUE"""),"PIZARRA (PANTALLA) TÁCTIL INTERACTIVA MULTI-TOUCH")</f>
        <v>PIZARRA (PANTALLA) TÁCTIL INTERACTIVA MULTI-TOUCH</v>
      </c>
      <c r="I2080"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En"&amp;"ergy Star y/o CE y/o FCC y/o RoHS. --- 02 lapiceros y/o lapiz inalámbrico compatible con el equipo       01 Cable de
alimentación y 01 cable de conexión de video y 01 cable  --- USB y 01 Manual de Usuario --- 01 Kit de montaje con ruedas       GARANTIA
Tr"&amp;"es (03) años Onsite a Nivel Nacional CONTIENE:
. Softwares de última generación y utilitarios instalados en 64 Bits. Instalados en la computadora, trabajan con y sin conexión a internet. / Software Microsoft Office 2019 o superior (Word, Excel, PowerPoint"&amp;", Visio, One Note y Ms Forms), idioma Español, de 64 Bits.
· Software Antivirus:
- Licenciada / Idioma español / Protección antivirus en tiempo real para proteger de virus, troyanos, adware, malware y phishing / Protección contra firewall /
· Software - P"&amp;"rogramas CAD para dibujos en 2D, 3D y renderizado:
- Gratuitos /libres (de código abierto) / Idioma español / Compatible con el sistema operativo de la computadora (Windows 11 o posterior)
/ Cuenta con herramientas de edición y modelado de muebles / Cuent"&amp;"a con editor geométrico interactivo, procesamiento de imágenes y señales / Alta capacidad de renderizado / Entre las alternativas gratuitas: SketchUp, Polyboard, Sweet Home 3D, entre otros.
· Software para diseño gráfico publicitario:
- Gratuitos /libres "&amp;"(de código abierto) / Idioma español / Compatible con el sistema operativo de la computadora (Windows 11 o posterior)
/ Permite crear diseños, gráficos, fotografías y sitios web / Dispone de herramientas profesionales de diseño, edición de imágenes y foto"&amp;"grafías y diseño de páginas web. Funciones táctiles y para lápices intuitivos / Dispone de editor de gráficos vectoriales, textos y logos
/ Permite diseño de prototipos e interfaces para aplicaciones y sitios web / Entre las alternativas gratuitas /libres"&amp;": Gimp, krita, Inkscape, Pencil Proyect, entre otros.
· Software para diseño y edición de videos – spot publicitarios:
- Gratuitos /libres (de código abierto) / Idioma español / Versión 2019 o superior / Compatible con el sistema operativo de la computado"&amp;"ra (Windows 11 o posterior) / Permite diseñar y editar videos / Trabaja con diferentes formatos: Un amplio soporte para diferentes formatos, incluyendo MP4, AVI, MOV, AVCHD y más. / Permite crear videos de alta resolución: 4K, y trabajar en formato SD y H"&amp;"D / Dispone de las herramientas más utilizadas en los editores de vídeos: cortar, recortar, dividir y combinar en unos pocos clics. / Permite generar acabados: Varios filtros y efectos visuales para retocar el vídeo, efectos especiales en 2D y 3D / Dispon"&amp;"e de
herramientas para realizar diseños y animaciones en 3D y plantillas animadas gratuitas. / Permite editar, ajustar perfeccionar el audio / Entre las alternativas gratuitas /libres: Windows Movie Maker, Video editor Wondershare filmadora, Lightworks, V"&amp;"SDC Free Video editor, Blender, entre otros.
· Software / programas para elaborar flujogramas:
- Gratuitos /libres (de código abierto) / Idioma español / Compatible con el sistema operativo de la computadora (Windows 11 o posterior)
/ Diseña diagramas de "&amp;"flujos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presupues"&amp;"tos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--- 02 lapiceros y/o lapiz inalámbrico compatible con el equipo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80" s="213">
        <f>IFERROR(__xludf.DUMMYFUNCTION("""COMPUTED_VALUE"""),3.0)</f>
        <v>3</v>
      </c>
      <c r="K2080" s="213" t="str">
        <f>IFERROR(__xludf.DUMMYFUNCTION("""COMPUTED_VALUE"""),"170 DÍAS CALENDARIO")</f>
        <v>170 DÍAS CALENDARIO</v>
      </c>
      <c r="L2080"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80" s="213">
        <f>IFERROR(__xludf.DUMMYFUNCTION("""COMPUTED_VALUE"""),1.0)</f>
        <v>1</v>
      </c>
      <c r="N2080" s="213">
        <f>IFERROR(__xludf.DUMMYFUNCTION("""COMPUTED_VALUE"""),1.0)</f>
        <v>1</v>
      </c>
      <c r="O2080" s="213">
        <f>IFERROR(__xludf.DUMMYFUNCTION("""COMPUTED_VALUE"""),1.0)</f>
        <v>1</v>
      </c>
      <c r="P2080" s="213"/>
      <c r="Q2080" s="213"/>
      <c r="R2080" s="213"/>
      <c r="S2080" s="213"/>
      <c r="T2080" s="213" t="str">
        <f>IFERROR(__xludf.DUMMYFUNCTION("""COMPUTED_VALUE"""),"SI")</f>
        <v>SI</v>
      </c>
      <c r="U2080" s="213" t="str">
        <f>IFERROR(__xludf.DUMMYFUNCTION("""COMPUTED_VALUE"""),"NO")</f>
        <v>NO</v>
      </c>
      <c r="V2080" s="213" t="str">
        <f>IFERROR(__xludf.DUMMYFUNCTION("""COMPUTED_VALUE"""),"SUSTENTO")</f>
        <v>SUSTENTO</v>
      </c>
      <c r="W2080" s="213" t="str">
        <f>IFERROR(__xludf.DUMMYFUNCTION("""COMPUTED_VALUE"""),"CRÍTICO")</f>
        <v>CRÍTICO</v>
      </c>
      <c r="X2080" s="213" t="str">
        <f>IFERROR(__xludf.DUMMYFUNCTION("""COMPUTED_VALUE"""),"ViewSonic")</f>
        <v>ViewSonic</v>
      </c>
      <c r="Y2080" s="213" t="str">
        <f>IFERROR(__xludf.DUMMYFUNCTION("""COMPUTED_VALUE"""),"IFP7568")</f>
        <v>IFP7568</v>
      </c>
      <c r="Z2080" s="215" t="str">
        <f>IFERROR(__xludf.DUMMYFUNCTION("""COMPUTED_VALUE"""),"https://www.viewsonic.com/la/products/ifp7550.html#specTabs.specifications")</f>
        <v>https://www.viewsonic.com/la/products/ifp7550.html#specTabs.specifications</v>
      </c>
      <c r="AA2080" s="213" t="str">
        <f>IFERROR(__xludf.DUMMYFUNCTION("""COMPUTED_VALUE"""),"TEC-114 PIZARRA (PANTALLA) TÁCTIL INTERACTIVA MULTI-TOUCH - CET")</f>
        <v>TEC-114 PIZARRA (PANTALLA) TÁCTIL INTERACTIVA MULTI-TOUCH - CET</v>
      </c>
      <c r="AB2080" s="213"/>
      <c r="AC2080" s="213"/>
      <c r="AD2080" s="213"/>
      <c r="AE2080" s="213"/>
      <c r="AF2080" s="213"/>
      <c r="AG2080" s="213"/>
      <c r="AH2080" s="213"/>
      <c r="AI2080" s="213"/>
      <c r="AJ2080" s="213"/>
      <c r="AK2080" s="213"/>
      <c r="AL2080" s="213"/>
      <c r="AM2080" s="213"/>
      <c r="AN2080" s="213"/>
      <c r="AO2080" s="213"/>
      <c r="AP2080" s="213" t="str">
        <f>IFERROR(__xludf.DUMMYFUNCTION("""COMPUTED_VALUE"""),"NALDI")</f>
        <v>NALDI</v>
      </c>
      <c r="AQ2080" s="213" t="str">
        <f>IFERROR(__xludf.DUMMYFUNCTION("""COMPUTED_VALUE"""),"Instalar antivirus, software CAD, diseño gráfico, edición de video, flujogramas y presupuestos")</f>
        <v>Instalar antivirus, software CAD, diseño gráfico, edición de video, flujogramas y presupuestos</v>
      </c>
      <c r="AR2080" s="213"/>
      <c r="AS2080" s="213" t="str">
        <f>IFERROR(__xludf.DUMMYFUNCTION("""COMPUTED_VALUE"""),"Adaptador de VGA a HDMI
Rack para pizarra
Instalar los programas")</f>
        <v>Adaptador de VGA a HDMI
Rack para pizarra
Instalar los programas</v>
      </c>
      <c r="AT2080" s="213"/>
      <c r="AU2080" s="213"/>
      <c r="AV2080" s="213"/>
      <c r="AW2080" s="213"/>
      <c r="AX2080" s="213"/>
      <c r="AY2080" s="213"/>
      <c r="AZ2080" s="213"/>
      <c r="BA2080" s="213"/>
      <c r="BB2080" s="213"/>
      <c r="BC2080" s="213"/>
      <c r="BD2080" s="213"/>
    </row>
    <row r="2081">
      <c r="A2081" s="213">
        <f>IFERROR(__xludf.DUMMYFUNCTION("""COMPUTED_VALUE"""),1960.0)</f>
        <v>1960</v>
      </c>
      <c r="B2081" s="213" t="str">
        <f>IFERROR(__xludf.DUMMYFUNCTION("""COMPUTED_VALUE"""),"JOSE GRANDA")</f>
        <v>JOSE GRANDA</v>
      </c>
      <c r="C2081" s="213" t="str">
        <f>IFERROR(__xludf.DUMMYFUNCTION("""COMPUTED_VALUE"""),"TALLER SFT DE COMPUTACIÓN E INFORMÁTICA")</f>
        <v>TALLER SFT DE COMPUTACIÓN E INFORMÁTICA</v>
      </c>
      <c r="D2081" s="213" t="str">
        <f>IFERROR(__xludf.DUMMYFUNCTION("""COMPUTED_VALUE"""),"TICS")</f>
        <v>TICS</v>
      </c>
      <c r="E2081" s="213" t="str">
        <f>IFERROR(__xludf.DUMMYFUNCTION("""COMPUTED_VALUE"""),"TEC-114")</f>
        <v>TEC-114</v>
      </c>
      <c r="F2081" s="213" t="str">
        <f>IFERROR(__xludf.DUMMYFUNCTION("""COMPUTED_VALUE"""),"TEC-114")</f>
        <v>TEC-114</v>
      </c>
      <c r="G2081" s="213"/>
      <c r="H2081" s="213" t="str">
        <f>IFERROR(__xludf.DUMMYFUNCTION("""COMPUTED_VALUE"""),"PIZARRA (PANTALLA) TÁCTIL INTERACTIVA MULTI-TOUCH")</f>
        <v>PIZARRA (PANTALLA) TÁCTIL INTERACTIVA MULTI-TOUCH</v>
      </c>
      <c r="I2081"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En"&amp;"ergy Star y/o CE y/o FCC y/o RoHS. --- 02 lapiceros y/o lapiz inalámbrico compatible con el equipo       01 Cable de
alimentación y 01 cable de conexión de video y 01 cable  --- USB y 01 Manual de Usuario --- 01 Kit de montaje con ruedas       GARANTIA
Tr"&amp;"es (03) años Onsite a Nivel Nacional CONTIENE:
. Softwares de última generación y utilitarios instalados en 64 Bits. Instalados en la computadora, trabajan con y sin conexión a internet. / Software Microsoft Office 2019 o superior (Word, Excel, PowerPoint"&amp;", Visio, One Note y Ms Forms), idioma Español, de 64 Bits.
· Software Antivirus:
- Licenciada / Idioma español / Protección antivirus en tiempo real para proteger de virus, troyanos, adware, malware y phishing / Protección contra firewall /
· Software - P"&amp;"rogramas CAD para dibujos en 2D, 3D y renderizado:
- Gratuitos /libres (de código abierto) / Idioma español / Compatible con el sistema operativo de la computadora (Windows 11 o posterior)
/ Cuenta con herramientas de edición y modelado de muebles / Cuent"&amp;"a con editor geométrico interactivo, procesamiento de imágenes y señales / Alta capacidad de renderizado / Entre las alternativas gratuitas: SketchUp, Polyboard, Sweet Home 3D, entre otros.
· Software para diseño gráfico publicitario:
- Gratuitos /libres "&amp;"(de código abierto) / Idioma español / Compatible con el sistema operativo de la computadora (Windows 11 o posterior)
/ Permite crear diseños, gráficos, fotografías y sitios web / Dispone de herramientas profesionales de diseño, edición de imágenes y foto"&amp;"grafías y diseño de páginas web. Funciones táctiles y para lápices intuitivos / Dispone de editor de gráficos vectoriales, textos y logos
/ Permite diseño de prototipos e interfaces para aplicaciones y sitios web / Entre las alternativas gratuitas /libres"&amp;": Gimp, krita, Inkscape, Pencil Proyect, entre otros.
· Software para diseño y edición de videos – spot publicitarios:
- Gratuitos /libres (de código abierto) / Idioma español / Versión 2019 o superior / Compatible con el sistema operativo de la computado"&amp;"ra (Windows 11 o posterior) / Permite diseñar y editar videos / Trabaja con diferentes formatos: Un amplio soporte para diferentes formatos, incluyendo MP4, AVI, MOV, AVCHD y más. / Permite crear videos de alta resolución: 4K, y trabajar en formato SD y H"&amp;"D / Dispone de las herramientas más utilizadas en los editores de vídeos: cortar, recortar, dividir y combinar en unos pocos clics. / Permite generar acabados: Varios filtros y efectos visuales para retocar el vídeo, efectos especiales en 2D y 3D / Dispon"&amp;"e de
herramientas para realizar diseños y animaciones en 3D y plantillas animadas gratuitas. / Permite editar, ajustar perfeccionar el audio / Entre las alternativas gratuitas /libres: Windows Movie Maker, Video editor Wondershare filmadora, Lightworks, V"&amp;"SDC Free Video editor, Blender, entre otros.
· Software / programas para elaborar flujogramas:
- Gratuitos /libres (de código abierto) / Idioma español / Compatible con el sistema operativo de la computadora (Windows 11 o posterior)
/ Diseña diagramas de "&amp;"flujos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presupues"&amp;"tos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--- 02 lapiceros y/o lapiz inalámbrico compatible con el equipo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81" s="213">
        <f>IFERROR(__xludf.DUMMYFUNCTION("""COMPUTED_VALUE"""),3.0)</f>
        <v>3</v>
      </c>
      <c r="K2081" s="213" t="str">
        <f>IFERROR(__xludf.DUMMYFUNCTION("""COMPUTED_VALUE"""),"170 DÍAS CALENDARIO")</f>
        <v>170 DÍAS CALENDARIO</v>
      </c>
      <c r="L2081"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81" s="213">
        <f>IFERROR(__xludf.DUMMYFUNCTION("""COMPUTED_VALUE"""),1.0)</f>
        <v>1</v>
      </c>
      <c r="N2081" s="213">
        <f>IFERROR(__xludf.DUMMYFUNCTION("""COMPUTED_VALUE"""),1.0)</f>
        <v>1</v>
      </c>
      <c r="O2081" s="213">
        <f>IFERROR(__xludf.DUMMYFUNCTION("""COMPUTED_VALUE"""),1.0)</f>
        <v>1</v>
      </c>
      <c r="P2081" s="213"/>
      <c r="Q2081" s="213"/>
      <c r="R2081" s="213"/>
      <c r="S2081" s="213"/>
      <c r="T2081" s="213" t="str">
        <f>IFERROR(__xludf.DUMMYFUNCTION("""COMPUTED_VALUE"""),"SI")</f>
        <v>SI</v>
      </c>
      <c r="U2081" s="213" t="str">
        <f>IFERROR(__xludf.DUMMYFUNCTION("""COMPUTED_VALUE"""),"NO")</f>
        <v>NO</v>
      </c>
      <c r="V2081" s="213" t="str">
        <f>IFERROR(__xludf.DUMMYFUNCTION("""COMPUTED_VALUE"""),"SUSTENTO")</f>
        <v>SUSTENTO</v>
      </c>
      <c r="W2081" s="213" t="str">
        <f>IFERROR(__xludf.DUMMYFUNCTION("""COMPUTED_VALUE"""),"CRÍTICO")</f>
        <v>CRÍTICO</v>
      </c>
      <c r="X2081" s="213" t="str">
        <f>IFERROR(__xludf.DUMMYFUNCTION("""COMPUTED_VALUE"""),"ViewSonic")</f>
        <v>ViewSonic</v>
      </c>
      <c r="Y2081" s="213" t="str">
        <f>IFERROR(__xludf.DUMMYFUNCTION("""COMPUTED_VALUE"""),"IFP7569")</f>
        <v>IFP7569</v>
      </c>
      <c r="Z2081" s="215" t="str">
        <f>IFERROR(__xludf.DUMMYFUNCTION("""COMPUTED_VALUE"""),"https://www.viewsonic.com/la/products/ifp7550.html#specTabs.specifications")</f>
        <v>https://www.viewsonic.com/la/products/ifp7550.html#specTabs.specifications</v>
      </c>
      <c r="AA2081" s="213" t="str">
        <f>IFERROR(__xludf.DUMMYFUNCTION("""COMPUTED_VALUE"""),"TEC-114 PIZARRA (PANTALLA) TÁCTIL INTERACTIVA MULTI-TOUCH - CET")</f>
        <v>TEC-114 PIZARRA (PANTALLA) TÁCTIL INTERACTIVA MULTI-TOUCH - CET</v>
      </c>
      <c r="AB2081" s="213"/>
      <c r="AC2081" s="213"/>
      <c r="AD2081" s="213"/>
      <c r="AE2081" s="213"/>
      <c r="AF2081" s="213"/>
      <c r="AG2081" s="213"/>
      <c r="AH2081" s="213"/>
      <c r="AI2081" s="213"/>
      <c r="AJ2081" s="213"/>
      <c r="AK2081" s="213"/>
      <c r="AL2081" s="213"/>
      <c r="AM2081" s="213"/>
      <c r="AN2081" s="213"/>
      <c r="AO2081" s="213"/>
      <c r="AP2081" s="213" t="str">
        <f>IFERROR(__xludf.DUMMYFUNCTION("""COMPUTED_VALUE"""),"NALDI")</f>
        <v>NALDI</v>
      </c>
      <c r="AQ2081" s="213" t="str">
        <f>IFERROR(__xludf.DUMMYFUNCTION("""COMPUTED_VALUE"""),"Instalar antivirus, software CAD, diseño gráfico, edición de video, flujogramas y presupuestos")</f>
        <v>Instalar antivirus, software CAD, diseño gráfico, edición de video, flujogramas y presupuestos</v>
      </c>
      <c r="AR2081" s="213"/>
      <c r="AS2081" s="213" t="str">
        <f>IFERROR(__xludf.DUMMYFUNCTION("""COMPUTED_VALUE"""),"Adaptador de VGA a HDMI
Rack para pizarra
Instalar los programas")</f>
        <v>Adaptador de VGA a HDMI
Rack para pizarra
Instalar los programas</v>
      </c>
      <c r="AT2081" s="213"/>
      <c r="AU2081" s="213"/>
      <c r="AV2081" s="213"/>
      <c r="AW2081" s="213"/>
      <c r="AX2081" s="213"/>
      <c r="AY2081" s="213"/>
      <c r="AZ2081" s="213"/>
      <c r="BA2081" s="213"/>
      <c r="BB2081" s="213"/>
      <c r="BC2081" s="213"/>
      <c r="BD2081" s="213"/>
    </row>
    <row r="2082">
      <c r="A2082" s="213">
        <f>IFERROR(__xludf.DUMMYFUNCTION("""COMPUTED_VALUE"""),2128.0)</f>
        <v>2128</v>
      </c>
      <c r="B2082" s="213" t="str">
        <f>IFERROR(__xludf.DUMMYFUNCTION("""COMPUTED_VALUE"""),"JOSE GRANDA")</f>
        <v>JOSE GRANDA</v>
      </c>
      <c r="C2082" s="213" t="str">
        <f>IFERROR(__xludf.DUMMYFUNCTION("""COMPUTED_VALUE"""),"TALLER SFT DE INDUSTRIA ALIMENTARIA")</f>
        <v>TALLER SFT DE INDUSTRIA ALIMENTARIA</v>
      </c>
      <c r="D2082" s="213" t="str">
        <f>IFERROR(__xludf.DUMMYFUNCTION("""COMPUTED_VALUE"""),"TICS")</f>
        <v>TICS</v>
      </c>
      <c r="E2082" s="213" t="str">
        <f>IFERROR(__xludf.DUMMYFUNCTION("""COMPUTED_VALUE"""),"TEC-114")</f>
        <v>TEC-114</v>
      </c>
      <c r="F2082" s="213" t="str">
        <f>IFERROR(__xludf.DUMMYFUNCTION("""COMPUTED_VALUE"""),"TEC-114")</f>
        <v>TEC-114</v>
      </c>
      <c r="G2082" s="213"/>
      <c r="H2082" s="213" t="str">
        <f>IFERROR(__xludf.DUMMYFUNCTION("""COMPUTED_VALUE"""),"PIZARRA (PANTALLA) TÁCTIL INTERACTIVA MULTI-TOUCH")</f>
        <v>PIZARRA (PANTALLA) TÁCTIL INTERACTIVA MULTI-TOUCH</v>
      </c>
      <c r="I2082"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PUERTOS E/S: USB,
HD"&amp;"MI, RS232, VGA, Audio y RJ45 --- AUDIO 10W --- VOLTAJE 220VAC /60 HZ       SISTEMA OPERATIVO DE LA PANTALLA Windows y/o IOS y/o Android y/o Linux y/o del mismo
fabricante --- SOFTWARE Control del uso de la pantalla y/o manejo de la clase --- CERTIFICADO E"&amp;"nergy Star y/o CE y/o FCC y/o RoHS        02 lapiceros y/o lapiz inalámbrico
compatible con el equipo. --- 01 Cable de alimentación y 01 cable de conexión de video y 01 cable  --- USB y 01 Manual de Usuario --- 01 Kit de montaje con ruedas        GARANTIA"&amp;"
Tres (03) años Onsite a Nivel Nacional CONTIENE:
. Softwares de última generación y utilitarios instalados en 64 Bits. Instalados en la computadora, trabajan con y sin conexión a internet. / Software Microsoft Office 2019 o superior (Word, Excel, PowerPo"&amp;"int, Visio, One Note y Ms Forms), idioma Español, de 64 Bits.
· Software Antivirus:
- Licenciada / Idioma español / Protección antivirus en tiempo real para proteger de virus, troyanos, adware, malware y phishing / Protección contra firewall /
· Software "&amp;"- Programas CAD para dibujos en 2D, 3D y renderizado:
- Gratuitos /libres (de código abierto) / Idioma español / Compatible con el sistema operativo de la computadora (Windows 11 o posterior) / Cuenta con herramientas de edición y modelado de muebles / Cu"&amp;"enta con editor geométrico interactivo, procesamiento de imágenes y señales / Alta capacidad de renderizado / Entre las alternativas gratuitas: SketchUp, Polyboard, Sweet Home 3D, entre otros.
· Software para diseño gráfico publicitario:
- Gratuitos /libr"&amp;"es (de código abierto) / Idioma español / Compatible con el sistema operativo de la computadora (Windows 11 o posterior) / Permite crear diseños, gráficos, fotografías   y sitios web / Dispone de herramientas profesionales de diseño, edición de imágenes y"&amp;" fotografías y diseño de páginas web. Funciones táctiles y para lápices intuitivos / Dispone de editor de gráficos vectoriales, textos y logos / Permite diseño de prototipos e interfaces para aplicaciones y sitios web / Entre las alternativas gratuitas /l"&amp;"ibres: Gimp, krita, Inkscape, Pencil Proyect, entre otros.
· Software para diseño y edición de videos – spot publicitarios:
- Gratuitos /libres (de código abierto) / Idioma español / Versión 2019 o superior / Compatible con el sistema operativo de la comp"&amp;"utadora (Windows 11 o posterior) / Permite diseñar y editar videos / Trabaja con diferentes formatos: Un amplio soporte para diferentes formatos, incluyendo MP4, AVI, MOV, AVCHD y más. / Permite crear videos de alta resolución: 4K, y trabajar en formato S"&amp;"D y HD / Dispone de las herramientas más utilizadas en los editores de vídeos: cortar, recortar, dividir y combinar en unos pocos clics. / Permite generar   acabados: Varios filtros y efectos visuales para retocar el vídeo, efectos especiales en 2D y 3D /"&amp;" Dispone de
herramientas para realizar diseños y animaciones en 3D y plantillas animadas gratuitas. / Permite editar, ajustar perfeccionar el audio / Entre las alternativas gratuitas /libres: Windows Movie Maker, Video editor Wondershare filmadora, Lightw"&amp;"orks, VSDC Free Video editor, Blender, entre otros.
· Software / programas para elaborar flujogramas:
- Gratuitos /libres (de código abierto) / Idioma español / Compatible con el sistema operativo de la computadora (Windows 11 o posterior) / Diseña diagra"&amp;"mas de flujos y organigramas / Contiene una variedad de símbolos y estilos de conexión de líneas. / Edita, personaliza colores, rellenos y trazos / Entre las alternativas gratuitas /libres: clickCharts, CreatelyDia, y Ed Graph Editor, Pencil project, entr"&amp;"e otros.
· Software para elaborar presupuestos:
- Gratuitos /libres (de código abierto) / Idioma español / Compatible con el sistema operativo de la computadora (Windows 11 o posterior) / Crea presupuestos, gestiona la facturación y  la planificación de p"&amp;"resupuestos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PUERTOS E/S: USB,
HDMI, RS232, VGA, Audio y RJ45 --- AUDIO 10W --- VOLTAJE 220VAC /60 HZ       SISTEMA OPERATIVO DE LA PANTALLA Windows y/o IOS y/o Android y/o Linux y/o del mismo
fabricante --- SOFTWARE Control del uso de la pantalla y/o manejo de la clase --- CERTIFICADO Energy Star y/o CE y/o FCC y/o RoHS        02 lapiceros y/o lapiz inalámbrico
compatible con el equipo. --- 01 Cable de alimentación y 01 cable de conexión de video y 01 cable  --- USB y 01 Manual de Usuario --- 01 Kit de montaje con ruedas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82" s="213">
        <f>IFERROR(__xludf.DUMMYFUNCTION("""COMPUTED_VALUE"""),3.0)</f>
        <v>3</v>
      </c>
      <c r="K2082" s="213" t="str">
        <f>IFERROR(__xludf.DUMMYFUNCTION("""COMPUTED_VALUE"""),"170 DÍAS CALENDARIO")</f>
        <v>170 DÍAS CALENDARIO</v>
      </c>
      <c r="L2082"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82" s="213">
        <f>IFERROR(__xludf.DUMMYFUNCTION("""COMPUTED_VALUE"""),1.0)</f>
        <v>1</v>
      </c>
      <c r="N2082" s="213">
        <f>IFERROR(__xludf.DUMMYFUNCTION("""COMPUTED_VALUE"""),1.0)</f>
        <v>1</v>
      </c>
      <c r="O2082" s="213">
        <f>IFERROR(__xludf.DUMMYFUNCTION("""COMPUTED_VALUE"""),1.0)</f>
        <v>1</v>
      </c>
      <c r="P2082" s="213"/>
      <c r="Q2082" s="213"/>
      <c r="R2082" s="213"/>
      <c r="S2082" s="213"/>
      <c r="T2082" s="213" t="str">
        <f>IFERROR(__xludf.DUMMYFUNCTION("""COMPUTED_VALUE"""),"SI")</f>
        <v>SI</v>
      </c>
      <c r="U2082" s="213" t="str">
        <f>IFERROR(__xludf.DUMMYFUNCTION("""COMPUTED_VALUE"""),"NO")</f>
        <v>NO</v>
      </c>
      <c r="V2082" s="213" t="str">
        <f>IFERROR(__xludf.DUMMYFUNCTION("""COMPUTED_VALUE"""),"SUSTENTO")</f>
        <v>SUSTENTO</v>
      </c>
      <c r="W2082" s="213" t="str">
        <f>IFERROR(__xludf.DUMMYFUNCTION("""COMPUTED_VALUE"""),"CRÍTICO")</f>
        <v>CRÍTICO</v>
      </c>
      <c r="X2082" s="213" t="str">
        <f>IFERROR(__xludf.DUMMYFUNCTION("""COMPUTED_VALUE"""),"ViewSonic")</f>
        <v>ViewSonic</v>
      </c>
      <c r="Y2082" s="213" t="str">
        <f>IFERROR(__xludf.DUMMYFUNCTION("""COMPUTED_VALUE"""),"IFP7570")</f>
        <v>IFP7570</v>
      </c>
      <c r="Z2082" s="215" t="str">
        <f>IFERROR(__xludf.DUMMYFUNCTION("""COMPUTED_VALUE"""),"https://www.viewsonic.com/la/products/ifp7550.html#specTabs.specifications")</f>
        <v>https://www.viewsonic.com/la/products/ifp7550.html#specTabs.specifications</v>
      </c>
      <c r="AA2082" s="213" t="str">
        <f>IFERROR(__xludf.DUMMYFUNCTION("""COMPUTED_VALUE"""),"TEC-114 PIZARRA (PANTALLA) TÁCTIL INTERACTIVA MULTI-TOUCH - CET")</f>
        <v>TEC-114 PIZARRA (PANTALLA) TÁCTIL INTERACTIVA MULTI-TOUCH - CET</v>
      </c>
      <c r="AB2082" s="213"/>
      <c r="AC2082" s="213"/>
      <c r="AD2082" s="213"/>
      <c r="AE2082" s="213"/>
      <c r="AF2082" s="213"/>
      <c r="AG2082" s="213"/>
      <c r="AH2082" s="213"/>
      <c r="AI2082" s="213"/>
      <c r="AJ2082" s="213"/>
      <c r="AK2082" s="213"/>
      <c r="AL2082" s="213"/>
      <c r="AM2082" s="213"/>
      <c r="AN2082" s="213"/>
      <c r="AO2082" s="213"/>
      <c r="AP2082" s="213" t="str">
        <f>IFERROR(__xludf.DUMMYFUNCTION("""COMPUTED_VALUE"""),"NALDI")</f>
        <v>NALDI</v>
      </c>
      <c r="AQ2082" s="213" t="str">
        <f>IFERROR(__xludf.DUMMYFUNCTION("""COMPUTED_VALUE"""),"Instalar antivirus, software CAD, diseño gráfico, edición de video, flujogramas y presupuestos")</f>
        <v>Instalar antivirus, software CAD, diseño gráfico, edición de video, flujogramas y presupuestos</v>
      </c>
      <c r="AR2082" s="213"/>
      <c r="AS2082" s="213" t="str">
        <f>IFERROR(__xludf.DUMMYFUNCTION("""COMPUTED_VALUE"""),"Adaptador de VGA a HDMI
Rack para pizarra
Instalar los programas")</f>
        <v>Adaptador de VGA a HDMI
Rack para pizarra
Instalar los programas</v>
      </c>
      <c r="AT2082" s="213"/>
      <c r="AU2082" s="213"/>
      <c r="AV2082" s="213"/>
      <c r="AW2082" s="213"/>
      <c r="AX2082" s="213"/>
      <c r="AY2082" s="213"/>
      <c r="AZ2082" s="213"/>
      <c r="BA2082" s="213"/>
      <c r="BB2082" s="213"/>
      <c r="BC2082" s="213"/>
      <c r="BD2082" s="213"/>
    </row>
    <row r="2083">
      <c r="A2083" s="213">
        <f>IFERROR(__xludf.DUMMYFUNCTION("""COMPUTED_VALUE"""),2295.0)</f>
        <v>2295</v>
      </c>
      <c r="B2083" s="213" t="str">
        <f>IFERROR(__xludf.DUMMYFUNCTION("""COMPUTED_VALUE"""),"JOSE GRANDA")</f>
        <v>JOSE GRANDA</v>
      </c>
      <c r="C2083" s="213" t="str">
        <f>IFERROR(__xludf.DUMMYFUNCTION("""COMPUTED_VALUE"""),"TALLER SFT DE MECÁNICA AUTOMOTRIZ")</f>
        <v>TALLER SFT DE MECÁNICA AUTOMOTRIZ</v>
      </c>
      <c r="D2083" s="213" t="str">
        <f>IFERROR(__xludf.DUMMYFUNCTION("""COMPUTED_VALUE"""),"TICS")</f>
        <v>TICS</v>
      </c>
      <c r="E2083" s="213" t="str">
        <f>IFERROR(__xludf.DUMMYFUNCTION("""COMPUTED_VALUE"""),"TEC-114")</f>
        <v>TEC-114</v>
      </c>
      <c r="F2083" s="213" t="str">
        <f>IFERROR(__xludf.DUMMYFUNCTION("""COMPUTED_VALUE"""),"TEC-114")</f>
        <v>TEC-114</v>
      </c>
      <c r="G2083" s="213"/>
      <c r="H2083" s="213" t="str">
        <f>IFERROR(__xludf.DUMMYFUNCTION("""COMPUTED_VALUE"""),"PIZARRA (PANTALLA) TÁCTIL INTERACTIVA MULTI-TOUCH")</f>
        <v>PIZARRA (PANTALLA) TÁCTIL INTERACTIVA MULTI-TOUCH</v>
      </c>
      <c r="I2083"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 PUERTOS E/S: USB, HDMI"&amp;", RS232, VGA, Audio y RJ45 --- AUDIO 10W --- VOLTAJE 220VAC /60 HZ --- SISTEMA OPERATIVO DE
LA PANTALLA Windows y/o IOS y/o Android y/o Linux y/o del mismo fabricante --- SOFTWARE Control del uso de la pantalla y/o manejo de la clase --- CERTIFICADO Energ"&amp;"y Star y/o CE y/o FCC y/o RoHS. --- 02 lapiceros y/o lapiz inalámbrico compatible con el equipo. --- 01 Cable de alimentación y 01 cable de conexión de video y 01 cable  --- USB y 01 Manual de Usuario --- 01 Kit de montaje con ruedas  --- GARANTIA Tres (0"&amp;"3) años Onsite a Nivel Nacional  CONTIENE:
. Softwares de última generación y utilitarios instalados en 64 Bits. Instalados en la computadora, trabajan con y sin conexión a internet. / Software Microsoft Office 2019 o superior (Word, Excel, PowerPoint, Vi"&amp;"sio, One Note y Ms Forms), idioma Español, de 64 Bits.
· Software Antivirus:
- Licenciada / Idioma español / Protección antivirus en tiempo real para proteger de virus, troyanos, adware, malware y phishing / Protección contra firewall /
· Software - Progr"&amp;"amas CAD para dibujos en 2D, 3D y renderizado:
- Gratuitos /libres (de código abierto) / Idioma español / Compatible con el sistema operativo de la computadora (Windows 11 o posterior) / Cuenta con  herramientas de edición y modelado de muebles / Cuenta c"&amp;"on editor geométrico interactivo, procesamiento de imágenes y señales / Alta capacidad de renderizado
/ Entre las alternativas gratuitas: SketchUp, Polyboard, Sweet Home 3D, entre otros.
· Software para diseño gráfico publicitario:
- Gratuitos /libres (de"&amp;" código abierto) / Idioma español / Compatible con el sistema operativo de la computadora (Windows 11 o posterior) / Permite crear diseños, gráficos, fotografías y sitios web / Dispone de herramientas profesionales de diseño, edición de imágenes y fotogra"&amp;"fías y diseño de páginas web. Funciones táctiles y para lápices intuitivos / Dispone de editor de gráficos vectoriales, textos y logos / Permite diseño de prototipos e interfaces para aplicaciones y sitios web / Entre  las alternativas gratuitas /libres: "&amp;"Gimp, krita, Inkscape, Pencil Proyect, entre otros.
· Software para diseño y edición de videos – spot publicitarios:
- Gratuitos /libres (de código abierto) / Idioma español / Versión 2019 o superior / Compatible con el sistema operativo de la computadora"&amp;" (Windows 11 o posterior) / Permite diseñar y editar videos / Trabaja con diferentes formatos: Un amplio soporte para diferentes formatos, incluyendo MP4, AVI, MOV, AVCHD y más. / Permite crear videos de alta resolución: 4K, y trabajar en formato SD y HD "&amp;"/ Dispone de las herramientas más utilizadas en los editores de vídeos: cortar, recortar, dividir y combinar en unos pocos clics. / Permite generar acabados: Varios filtros y efectos visuales para retocar el vídeo, efectos especiales en 2D y 3D / Dispone "&amp;"de herramientas para realizar diseños y animaciones en 3D y plantillas animadas gratuitas. / Permite editar, ajustar perfeccionar el audio / Entre las alternativas  gratuitas /libres: Windows Movie Maker, Video editor Wondershare filmadora, Lightworks, VS"&amp;"DC Free Video editor, Blender, entre otros.
· Software / programas para elaborar flujogramas:
- Gratuitos /libres (de código abierto) / Idioma español / Compatible con el sistema operativo de la computadora (Windows 11 o posterior) / Diseña diagramas de f"&amp;"lujos y organigramas / Contiene una variedad de símbolos y estilos de conexión de líneas. / Edita, personaliza colores, rellenos y trazos / Entre las alternativas gratuitas /libres: clickCharts, CreatelyDia, y Ed Graph Editor, Pencil project, entre otros."&amp;"
· Software para elaborar presupuestos:
- Gratuitos /libres (de código abierto) / Idioma español / Compatible con el sistema operativo de la computadora (Windows 11 o posterior) / Crea presupuestos, gestiona la facturación y la planificación de presupuest"&amp;"os /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83" s="213">
        <f>IFERROR(__xludf.DUMMYFUNCTION("""COMPUTED_VALUE"""),3.0)</f>
        <v>3</v>
      </c>
      <c r="K2083" s="213" t="str">
        <f>IFERROR(__xludf.DUMMYFUNCTION("""COMPUTED_VALUE"""),"170 DÍAS CALENDARIO")</f>
        <v>170 DÍAS CALENDARIO</v>
      </c>
      <c r="L2083"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83" s="213">
        <f>IFERROR(__xludf.DUMMYFUNCTION("""COMPUTED_VALUE"""),1.0)</f>
        <v>1</v>
      </c>
      <c r="N2083" s="213">
        <f>IFERROR(__xludf.DUMMYFUNCTION("""COMPUTED_VALUE"""),1.0)</f>
        <v>1</v>
      </c>
      <c r="O2083" s="213">
        <f>IFERROR(__xludf.DUMMYFUNCTION("""COMPUTED_VALUE"""),1.0)</f>
        <v>1</v>
      </c>
      <c r="P2083" s="213"/>
      <c r="Q2083" s="213"/>
      <c r="R2083" s="213"/>
      <c r="S2083" s="213"/>
      <c r="T2083" s="213" t="str">
        <f>IFERROR(__xludf.DUMMYFUNCTION("""COMPUTED_VALUE"""),"SI")</f>
        <v>SI</v>
      </c>
      <c r="U2083" s="213" t="str">
        <f>IFERROR(__xludf.DUMMYFUNCTION("""COMPUTED_VALUE"""),"NO")</f>
        <v>NO</v>
      </c>
      <c r="V2083" s="213" t="str">
        <f>IFERROR(__xludf.DUMMYFUNCTION("""COMPUTED_VALUE"""),"SUSTENTO")</f>
        <v>SUSTENTO</v>
      </c>
      <c r="W2083" s="213" t="str">
        <f>IFERROR(__xludf.DUMMYFUNCTION("""COMPUTED_VALUE"""),"CRÍTICO")</f>
        <v>CRÍTICO</v>
      </c>
      <c r="X2083" s="213" t="str">
        <f>IFERROR(__xludf.DUMMYFUNCTION("""COMPUTED_VALUE"""),"ViewSonic")</f>
        <v>ViewSonic</v>
      </c>
      <c r="Y2083" s="213" t="str">
        <f>IFERROR(__xludf.DUMMYFUNCTION("""COMPUTED_VALUE"""),"IFP7571")</f>
        <v>IFP7571</v>
      </c>
      <c r="Z2083" s="215" t="str">
        <f>IFERROR(__xludf.DUMMYFUNCTION("""COMPUTED_VALUE"""),"https://www.viewsonic.com/la/products/ifp7550.html#specTabs.specifications")</f>
        <v>https://www.viewsonic.com/la/products/ifp7550.html#specTabs.specifications</v>
      </c>
      <c r="AA2083" s="213" t="str">
        <f>IFERROR(__xludf.DUMMYFUNCTION("""COMPUTED_VALUE"""),"TEC-114 PIZARRA (PANTALLA) TÁCTIL INTERACTIVA MULTI-TOUCH - CET")</f>
        <v>TEC-114 PIZARRA (PANTALLA) TÁCTIL INTERACTIVA MULTI-TOUCH - CET</v>
      </c>
      <c r="AB2083" s="213"/>
      <c r="AC2083" s="213"/>
      <c r="AD2083" s="213"/>
      <c r="AE2083" s="213"/>
      <c r="AF2083" s="213"/>
      <c r="AG2083" s="213"/>
      <c r="AH2083" s="213"/>
      <c r="AI2083" s="213"/>
      <c r="AJ2083" s="213"/>
      <c r="AK2083" s="213"/>
      <c r="AL2083" s="213"/>
      <c r="AM2083" s="213"/>
      <c r="AN2083" s="213"/>
      <c r="AO2083" s="213"/>
      <c r="AP2083" s="213" t="str">
        <f>IFERROR(__xludf.DUMMYFUNCTION("""COMPUTED_VALUE"""),"NALDI")</f>
        <v>NALDI</v>
      </c>
      <c r="AQ2083" s="213" t="str">
        <f>IFERROR(__xludf.DUMMYFUNCTION("""COMPUTED_VALUE"""),"Instalar antivirus, software CAD, diseño gráfico, edición de video, flujogramas y presupuestos")</f>
        <v>Instalar antivirus, software CAD, diseño gráfico, edición de video, flujogramas y presupuestos</v>
      </c>
      <c r="AR2083" s="213"/>
      <c r="AS2083" s="213" t="str">
        <f>IFERROR(__xludf.DUMMYFUNCTION("""COMPUTED_VALUE"""),"Adaptador de VGA a HDMI
Rack para pizarra
Instalar los programas")</f>
        <v>Adaptador de VGA a HDMI
Rack para pizarra
Instalar los programas</v>
      </c>
      <c r="AT2083" s="213"/>
      <c r="AU2083" s="213"/>
      <c r="AV2083" s="213"/>
      <c r="AW2083" s="213"/>
      <c r="AX2083" s="213"/>
      <c r="AY2083" s="213"/>
      <c r="AZ2083" s="213"/>
      <c r="BA2083" s="213"/>
      <c r="BB2083" s="213"/>
      <c r="BC2083" s="213"/>
      <c r="BD2083" s="213"/>
    </row>
    <row r="2084">
      <c r="A2084" s="213">
        <f>IFERROR(__xludf.DUMMYFUNCTION("""COMPUTED_VALUE"""),2412.0)</f>
        <v>2412</v>
      </c>
      <c r="B2084" s="213" t="str">
        <f>IFERROR(__xludf.DUMMYFUNCTION("""COMPUTED_VALUE"""),"MANUEL ANTONIO MESONES MURO")</f>
        <v>MANUEL ANTONIO MESONES MURO</v>
      </c>
      <c r="C2084" s="213" t="str">
        <f>IFERROR(__xludf.DUMMYFUNCTION("""COMPUTED_VALUE"""),"TALLER SFT DE INDUSTRIA DEL VESTIDO")</f>
        <v>TALLER SFT DE INDUSTRIA DEL VESTIDO</v>
      </c>
      <c r="D2084" s="213" t="str">
        <f>IFERROR(__xludf.DUMMYFUNCTION("""COMPUTED_VALUE"""),"TICS")</f>
        <v>TICS</v>
      </c>
      <c r="E2084" s="213" t="str">
        <f>IFERROR(__xludf.DUMMYFUNCTION("""COMPUTED_VALUE"""),"TEC-114")</f>
        <v>TEC-114</v>
      </c>
      <c r="F2084" s="213" t="str">
        <f>IFERROR(__xludf.DUMMYFUNCTION("""COMPUTED_VALUE"""),"TEC-114")</f>
        <v>TEC-114</v>
      </c>
      <c r="G2084" s="213"/>
      <c r="H2084" s="213" t="str">
        <f>IFERROR(__xludf.DUMMYFUNCTION("""COMPUTED_VALUE"""),"PIZARRA (PANTALLA) TÁCTIL INTERACTIVA MULTI-TOUCH")</f>
        <v>PIZARRA (PANTALLA) TÁCTIL INTERACTIVA MULTI-TOUCH</v>
      </c>
      <c r="I2084"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 PUERTOS E/S: USB, HDMI"&amp;", RS232, VGA, Audio y RJ45 --- AUDIO 10W --- VOLTAJE 220VAC /60 HZ ---
SISTEMA OPERATIVO DE LA PANTALLA Windows y/o IOS y/o Android y/o Linux y/o del mismo fabricante --- SOFTWARE Control del uso de la pantalla y/o manejo de la clase --- CERTIFICADO Energ"&amp;"y Star y/o CE y/o FCC y/o RoHS. --- 02 lapiceros y/o lapiz inalámbrico compatible con el equipo. --- 01 Cable de alimentación y 01 cable de conexión de video y 01 cable  --- USB y 01 Manual de Usuario --- 01 Kit de montaje con ruedas  --- GARANTIA Tres (0"&amp;"3) años Onsite a Nivel Nacional
CONTIENE:
. Softwares de última generación y utilitarios instalados en 64 Bits. Instalados en la computadora, trabajan con y sin conexión a internet. / Software Microsoft Office 2019 o superior (Word, Excel, PowerPoint, Vis"&amp;"io, One Note y Ms Forms), idioma Español, de 64 Bits.
· Software Antivirus:
- Licenciada / Idioma español / Protección antivirus en tiempo real para proteger de virus, troyanos, adware, malware y phishing / Protección contra firewall /
· Software - Progra"&amp;"mas CAD para dibujos en 2D, 3D y renderizado:
- Gratuitos /libres (de código abierto) / Idioma español / Compatible con el sistema operativo de la computadora (Windows 11 o posterior) / Cuenta con herramientas de edición y modelado de muebles / Cuenta con"&amp;" editor geométrico interactivo, procesamiento de imágenes y señales / Alta capacidad de renderizado / Entre las alternativas gratuitas: SketchUp, Polyboard, Sweet Home 3D, entre otros.
· Software para diseño gráfico publicitario:
- Gratuitos /libres (de c"&amp;"ódigo abierto) / Idioma español / Compatible con el sistema operativo de la computadora (Windows 11 o posterior) / Permite crear  diseños, gráficos, fotografías y sitios web / Dispone de herramientas profesionales de diseño, edición de imágenes y fotograf"&amp;"ías y diseño de páginas web. Funciones táctiles y para lápices intuitivos / Dispone de editor de gráficos vectoriales, textos y logos / Permite diseño de prototipos e interfaces para aplicaciones y sitios web / Entre las alternativas gratuitas /libres: Gi"&amp;"mp, krita, Inkscape, Pencil Proyect, entre otros.
· Software para diseño y edición de videos – spot publicitarios:
- Gratuitos /libres (de código abierto) / Idioma español / Versión 2019 o superior / Compatible con el sistema operativo de la computadora ("&amp;"Windows 11 o posterior) / Permite diseñar y editar videos / Trabaja con diferentes formatos: Un amplio soporte para diferentes formatos, incluyendo MP4, AVI, MOV, AVCHD y más. / Permite crear videos de alta resolución: 4K, y trabajar en formato SD y HD / "&amp;"Dispone de las herramientas más utilizadas en los editores de vídeos: cortar, recortar, dividir y combinar en unos pocos clics. / Permite generar acabados: Varios filtros y efectos visuales para retocar el vídeo, efectos especiales en 2D y 3D
/ Dispone de"&amp;"
herramientas para realizar diseños y animaciones en 3D y plantillas animadas gratuitas. / Permite editar, ajustar perfeccionar el audio / Entre las alternativas gratuitas /libres: Windows Movie Maker, Video editor Wondershare filmadora, Lightworks, VSDC "&amp;"Free Video editor, Blender, entre otros.
· Software / programas para elaborar flujogramas:
- Gratuitos /libres (de código abierto) / Idioma español / Compatible con el sistema operativo de la computadora (Windows 11 o posterior) / Diseña diagramas de fluj"&amp;"os y organigramas / Contiene una variedad de símbolos y estilos de conexión de líneas. / Edita, personaliza colores, rellenos y trazos / Entre las alternativas gratuitas /libres: clickCharts, CreatelyDia, y Ed Graph Editor, Pencil project, entre otros.
· "&amp;"Software para elaborar presupuestos:
- Gratuitos /libres (de código abierto) / Idioma español / Compatible con el sistema operativo de la computadora (Windows 11 o posterior) / Crea presupuestos, gestiona la facturación y la planificación de presupuestos "&amp;"/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84" s="213">
        <f>IFERROR(__xludf.DUMMYFUNCTION("""COMPUTED_VALUE"""),3.0)</f>
        <v>3</v>
      </c>
      <c r="K2084" s="213" t="str">
        <f>IFERROR(__xludf.DUMMYFUNCTION("""COMPUTED_VALUE"""),"170 DÍAS CALENDARIO")</f>
        <v>170 DÍAS CALENDARIO</v>
      </c>
      <c r="L2084"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84" s="213">
        <f>IFERROR(__xludf.DUMMYFUNCTION("""COMPUTED_VALUE"""),1.0)</f>
        <v>1</v>
      </c>
      <c r="N2084" s="213">
        <f>IFERROR(__xludf.DUMMYFUNCTION("""COMPUTED_VALUE"""),1.0)</f>
        <v>1</v>
      </c>
      <c r="O2084" s="213">
        <f>IFERROR(__xludf.DUMMYFUNCTION("""COMPUTED_VALUE"""),1.0)</f>
        <v>1</v>
      </c>
      <c r="P2084" s="213"/>
      <c r="Q2084" s="213"/>
      <c r="R2084" s="213"/>
      <c r="S2084" s="213"/>
      <c r="T2084" s="213" t="str">
        <f>IFERROR(__xludf.DUMMYFUNCTION("""COMPUTED_VALUE"""),"SI")</f>
        <v>SI</v>
      </c>
      <c r="U2084" s="213" t="str">
        <f>IFERROR(__xludf.DUMMYFUNCTION("""COMPUTED_VALUE"""),"NO")</f>
        <v>NO</v>
      </c>
      <c r="V2084" s="213" t="str">
        <f>IFERROR(__xludf.DUMMYFUNCTION("""COMPUTED_VALUE"""),"SUSTENTO")</f>
        <v>SUSTENTO</v>
      </c>
      <c r="W2084" s="213" t="str">
        <f>IFERROR(__xludf.DUMMYFUNCTION("""COMPUTED_VALUE"""),"CRÍTICO")</f>
        <v>CRÍTICO</v>
      </c>
      <c r="X2084" s="213" t="str">
        <f>IFERROR(__xludf.DUMMYFUNCTION("""COMPUTED_VALUE"""),"ViewSonic")</f>
        <v>ViewSonic</v>
      </c>
      <c r="Y2084" s="213" t="str">
        <f>IFERROR(__xludf.DUMMYFUNCTION("""COMPUTED_VALUE"""),"IFP7572")</f>
        <v>IFP7572</v>
      </c>
      <c r="Z2084" s="215" t="str">
        <f>IFERROR(__xludf.DUMMYFUNCTION("""COMPUTED_VALUE"""),"https://www.viewsonic.com/la/products/ifp7550.html#specTabs.specifications")</f>
        <v>https://www.viewsonic.com/la/products/ifp7550.html#specTabs.specifications</v>
      </c>
      <c r="AA2084" s="213" t="str">
        <f>IFERROR(__xludf.DUMMYFUNCTION("""COMPUTED_VALUE"""),"TEC-114 PIZARRA (PANTALLA) TÁCTIL INTERACTIVA MULTI-TOUCH - CET")</f>
        <v>TEC-114 PIZARRA (PANTALLA) TÁCTIL INTERACTIVA MULTI-TOUCH - CET</v>
      </c>
      <c r="AB2084" s="213"/>
      <c r="AC2084" s="213"/>
      <c r="AD2084" s="213"/>
      <c r="AE2084" s="213"/>
      <c r="AF2084" s="213"/>
      <c r="AG2084" s="213"/>
      <c r="AH2084" s="213"/>
      <c r="AI2084" s="213"/>
      <c r="AJ2084" s="213"/>
      <c r="AK2084" s="213"/>
      <c r="AL2084" s="213"/>
      <c r="AM2084" s="213"/>
      <c r="AN2084" s="213"/>
      <c r="AO2084" s="213"/>
      <c r="AP2084" s="213" t="str">
        <f>IFERROR(__xludf.DUMMYFUNCTION("""COMPUTED_VALUE"""),"NALDI")</f>
        <v>NALDI</v>
      </c>
      <c r="AQ2084" s="213" t="str">
        <f>IFERROR(__xludf.DUMMYFUNCTION("""COMPUTED_VALUE"""),"Instalar antivirus, software CAD, diseño gráfico, edición de video, flujogramas y presupuestos")</f>
        <v>Instalar antivirus, software CAD, diseño gráfico, edición de video, flujogramas y presupuestos</v>
      </c>
      <c r="AR2084" s="213"/>
      <c r="AS2084" s="213" t="str">
        <f>IFERROR(__xludf.DUMMYFUNCTION("""COMPUTED_VALUE"""),"Adaptador de VGA a HDMI
Rack para pizarra
Instalar los programas")</f>
        <v>Adaptador de VGA a HDMI
Rack para pizarra
Instalar los programas</v>
      </c>
      <c r="AT2084" s="213"/>
      <c r="AU2084" s="213"/>
      <c r="AV2084" s="213"/>
      <c r="AW2084" s="213"/>
      <c r="AX2084" s="213"/>
      <c r="AY2084" s="213"/>
      <c r="AZ2084" s="213"/>
      <c r="BA2084" s="213"/>
      <c r="BB2084" s="213"/>
      <c r="BC2084" s="213"/>
      <c r="BD2084" s="213"/>
    </row>
    <row r="2085">
      <c r="A2085" s="213">
        <f>IFERROR(__xludf.DUMMYFUNCTION("""COMPUTED_VALUE"""),2470.0)</f>
        <v>2470</v>
      </c>
      <c r="B2085" s="213" t="str">
        <f>IFERROR(__xludf.DUMMYFUNCTION("""COMPUTED_VALUE"""),"MANUEL ANTONIO MESONES MURO")</f>
        <v>MANUEL ANTONIO MESONES MURO</v>
      </c>
      <c r="C2085" s="213" t="str">
        <f>IFERROR(__xludf.DUMMYFUNCTION("""COMPUTED_VALUE"""),"TALLER SFT DE CONSTRUCCIONES METÁLICAS")</f>
        <v>TALLER SFT DE CONSTRUCCIONES METÁLICAS</v>
      </c>
      <c r="D2085" s="213" t="str">
        <f>IFERROR(__xludf.DUMMYFUNCTION("""COMPUTED_VALUE"""),"HERRAMIENTAS")</f>
        <v>HERRAMIENTAS</v>
      </c>
      <c r="E2085" s="213" t="str">
        <f>IFERROR(__xludf.DUMMYFUNCTION("""COMPUTED_VALUE"""),"COM-280")</f>
        <v>COM-280</v>
      </c>
      <c r="F2085" s="213" t="str">
        <f>IFERROR(__xludf.DUMMYFUNCTION("""COMPUTED_VALUE"""),"COM-280")</f>
        <v>COM-280</v>
      </c>
      <c r="G2085" s="213"/>
      <c r="H2085" s="213" t="str">
        <f>IFERROR(__xludf.DUMMYFUNCTION("""COMPUTED_VALUE"""),"REGULADOR CON FLUJO MANÓMETRO PARA CO2")</f>
        <v>REGULADOR CON FLUJO MANÓMETRO PARA CO2</v>
      </c>
      <c r="I2085" s="213" t="str">
        <f>IFERROR(__xludf.DUMMYFUNCTION("""COMPUTED_VALUE"""),"Para presión 3.5 bar
-       Regulador de flujo 5-30 L/mm")</f>
        <v>Para presión 3.5 bar
-       Regulador de flujo 5-30 L/mm</v>
      </c>
      <c r="J2085" s="213">
        <f>IFERROR(__xludf.DUMMYFUNCTION("""COMPUTED_VALUE"""),3.0)</f>
        <v>3</v>
      </c>
      <c r="K2085" s="213" t="str">
        <f>IFERROR(__xludf.DUMMYFUNCTION("""COMPUTED_VALUE"""),"90 DÍAS CALENDARIO")</f>
        <v>90 DÍAS CALENDARIO</v>
      </c>
      <c r="L2085" s="213" t="str">
        <f>IFERROR(__xludf.DUMMYFUNCTION("""COMPUTED_VALUE"""),"")</f>
        <v/>
      </c>
      <c r="M2085" s="213">
        <f>IFERROR(__xludf.DUMMYFUNCTION("""COMPUTED_VALUE"""),1.0)</f>
        <v>1</v>
      </c>
      <c r="N2085" s="213">
        <f>IFERROR(__xludf.DUMMYFUNCTION("""COMPUTED_VALUE"""),1.0)</f>
        <v>1</v>
      </c>
      <c r="O2085" s="213">
        <f>IFERROR(__xludf.DUMMYFUNCTION("""COMPUTED_VALUE"""),1.0)</f>
        <v>1</v>
      </c>
      <c r="P2085" s="213"/>
      <c r="Q2085" s="213"/>
      <c r="R2085" s="213" t="str">
        <f>IFERROR(__xludf.DUMMYFUNCTION("""COMPUTED_VALUE"""),"SI")</f>
        <v>SI</v>
      </c>
      <c r="S2085" s="213"/>
      <c r="T2085" s="213" t="str">
        <f>IFERROR(__xludf.DUMMYFUNCTION("""COMPUTED_VALUE"""),"SI")</f>
        <v>SI</v>
      </c>
      <c r="U2085" s="213" t="str">
        <f>IFERROR(__xludf.DUMMYFUNCTION("""COMPUTED_VALUE"""),"SI")</f>
        <v>SI</v>
      </c>
      <c r="V2085" s="213" t="str">
        <f>IFERROR(__xludf.DUMMYFUNCTION("""COMPUTED_VALUE"""),"-")</f>
        <v>-</v>
      </c>
      <c r="W2085" s="213" t="str">
        <f>IFERROR(__xludf.DUMMYFUNCTION("""COMPUTED_VALUE"""),"-")</f>
        <v>-</v>
      </c>
      <c r="X2085" s="213" t="str">
        <f>IFERROR(__xludf.DUMMYFUNCTION("""COMPUTED_VALUE"""),"CUTWELD")</f>
        <v>CUTWELD</v>
      </c>
      <c r="Y2085" s="213" t="str">
        <f>IFERROR(__xludf.DUMMYFUNCTION("""COMPUTED_VALUE"""),"RGC100FL-CW")</f>
        <v>RGC100FL-CW</v>
      </c>
      <c r="Z2085" s="215" t="str">
        <f>IFERROR(__xludf.DUMMYFUNCTION("""COMPUTED_VALUE"""),"https://www.amazon.com/SPARC-Regulador-arg%C3%B3n-medidor-flujo/dp/B01MU57K05/ref=sr_1_2_sspa?dib=eyJ2IjoiMSJ9.zeD1AyzrDGj7gZ9wSY9L0oNo5VpzYcWVun7PjNzjSL4xscSfU06stjLXY9Mz82Z5jvmHwDPF23uRkyRuohSrVcBL2QvIX0UUscqvbU76hxa8___Od_0G-J232V89j-pqjn9rIHhuDsWRITyL"&amp;"qLFXP_7zi2cg2iuB_-O2OiprES8cHp1S92PH6SHZf56nMu1wLk88wVSxdj-taO5fbayiZipug65xJaHYKPlRwHHv-A0.HTsSevZ0PE7UB_vdw-oUCkxWb_kLZ003TGT2zN_D_oI&amp;dib_tag=se&amp;keywords=regulador+de+argon&amp;qid=1759267851&amp;sr=8-2-spons&amp;sp_csd=d2lkZ2V0TmFtZT1zcF9hdGY&amp;psc=1")</f>
        <v>https://www.amazon.com/SPARC-Regulador-arg%C3%B3n-medidor-flujo/dp/B01MU57K05/ref=sr_1_2_sspa?dib=eyJ2IjoiMSJ9.zeD1AyzrDGj7gZ9wSY9L0oNo5VpzYcWVun7PjNzjSL4xscSfU06stjLXY9Mz82Z5jvmHwDPF23uRkyRuohSrVcBL2QvIX0UUscqvbU76hxa8___Od_0G-J232V89j-pqjn9rIHhuDsWRITyLqLFXP_7zi2cg2iuB_-O2OiprES8cHp1S92PH6SHZf56nMu1wLk88wVSxdj-taO5fbayiZipug65xJaHYKPlRwHHv-A0.HTsSevZ0PE7UB_vdw-oUCkxWb_kLZ003TGT2zN_D_oI&amp;dib_tag=se&amp;keywords=regulador+de+argon&amp;qid=1759267851&amp;sr=8-2-spons&amp;sp_csd=d2lkZ2V0TmFtZT1zcF9hdGY&amp;psc=1</v>
      </c>
      <c r="AA2085" s="213" t="str">
        <f>IFERROR(__xludf.DUMMYFUNCTION("""COMPUTED_VALUE"""),"COM-280 REGULADOR CON FLUJO MANOMETRO PARA CO2 - CET")</f>
        <v>COM-280 REGULADOR CON FLUJO MANOMETRO PARA CO2 - CET</v>
      </c>
      <c r="AB2085" s="213"/>
      <c r="AC2085" s="213"/>
      <c r="AD2085" s="213"/>
      <c r="AE2085" s="213"/>
      <c r="AF2085" s="213"/>
      <c r="AG2085" s="213"/>
      <c r="AH2085" s="213"/>
      <c r="AI2085" s="213"/>
      <c r="AJ2085" s="213"/>
      <c r="AK2085" s="213"/>
      <c r="AL2085" s="213"/>
      <c r="AM2085" s="213"/>
      <c r="AN2085" s="213"/>
      <c r="AO2085" s="213"/>
      <c r="AP2085" s="213" t="str">
        <f>IFERROR(__xludf.DUMMYFUNCTION("""COMPUTED_VALUE"""),"LUIS")</f>
        <v>LUIS</v>
      </c>
      <c r="AQ2085" s="213"/>
      <c r="AR2085" s="213"/>
      <c r="AS2085" s="213"/>
      <c r="AT2085" s="213"/>
      <c r="AU2085" s="213"/>
      <c r="AV2085" s="213"/>
      <c r="AW2085" s="213"/>
      <c r="AX2085" s="213"/>
      <c r="AY2085" s="213"/>
      <c r="AZ2085" s="213"/>
      <c r="BA2085" s="213"/>
      <c r="BB2085" s="213"/>
      <c r="BC2085" s="213"/>
      <c r="BD2085" s="213"/>
    </row>
    <row r="2086">
      <c r="A2086" s="213">
        <f>IFERROR(__xludf.DUMMYFUNCTION("""COMPUTED_VALUE"""),2634.0)</f>
        <v>2634</v>
      </c>
      <c r="B2086" s="213" t="str">
        <f>IFERROR(__xludf.DUMMYFUNCTION("""COMPUTED_VALUE"""),"MANUEL ANTONIO MESONES MURO")</f>
        <v>MANUEL ANTONIO MESONES MURO</v>
      </c>
      <c r="C2086" s="213" t="str">
        <f>IFERROR(__xludf.DUMMYFUNCTION("""COMPUTED_VALUE"""),"TALLER SFT DE EBANISTERÍA")</f>
        <v>TALLER SFT DE EBANISTERÍA</v>
      </c>
      <c r="D2086" s="213" t="str">
        <f>IFERROR(__xludf.DUMMYFUNCTION("""COMPUTED_VALUE"""),"TICS")</f>
        <v>TICS</v>
      </c>
      <c r="E2086" s="213" t="str">
        <f>IFERROR(__xludf.DUMMYFUNCTION("""COMPUTED_VALUE"""),"TEC-114")</f>
        <v>TEC-114</v>
      </c>
      <c r="F2086" s="213" t="str">
        <f>IFERROR(__xludf.DUMMYFUNCTION("""COMPUTED_VALUE"""),"TEC-114")</f>
        <v>TEC-114</v>
      </c>
      <c r="G2086" s="213"/>
      <c r="H2086" s="213" t="str">
        <f>IFERROR(__xludf.DUMMYFUNCTION("""COMPUTED_VALUE"""),"PIZARRA (PANTALLA) TÁCTIL INTERACTIVA MULTI-TOUCH")</f>
        <v>PIZARRA (PANTALLA) TÁCTIL INTERACTIVA MULTI-TOUCH</v>
      </c>
      <c r="I2086" s="213" t="str">
        <f>IFERROR(__xludf.DUMMYFUNCTION("""COMPUTED_VALUE"""),"TECNOLOGÍA: Pantalla Táctil, se debe pulsar con el dedo y/o cualquier otro puntero sobre la pantalla, debe permitir escribir, borrar e interconectar dispositivos tecnológicos. --- SUPERFICIE Antirreflectante --- TIPO DE PANEL LCD y/o LED --- TAMAÑO DE PAN"&amp;"TALLA 75"" --- RESOLUCIÓN 3840 x 2160 --- CONTRASTE 2000:1 o superior --- MÉTODO DE ESCRITURA Tactil, lapiz y/o lapicero compatible con la pantalla --- NUMERO DE TOQUES 10 como minimo
--- CONECTIVIDAD Inalambrica IEEE 802.11 ac ---- PUERTOS E/S: USB, HDMI"&amp;", RS232, VGA, Audio y RJ45 --- AUDIO 10W --- VOLTAJE 220VAC /60 HZ ---
SISTEMA OPERATIVO DE LA PANTALLA Windows y/o IOS y/o Android y/o Linux y/o del mismo fabricante --- SOFTWARE Control del uso de la pantalla y/o manejo de la clase --- CERTIFICADO Energ"&amp;"y Star y/o CE y/o FCC y/o RoHS. --- 02 lapiceros y/o lapiz inalámbrico compatible con el equipo. --- 01 Cable de alimentación y 01 cable de conexión de video y 01 cable  --- USB y 01 Manual de Usuario --- 01 Kit de montaje con ruedas  --- GARANTIA Tres (0"&amp;"3) años Onsite a Nivel Nacional
CONTIENE:
. Softwares de última generación y utilitarios instalados en 64 Bits. Instalados en la computadora, trabajan con y sin conexión a internet. / Software Microsoft Office 2019 o superior (Word, Excel, PowerPoint, Vis"&amp;"io, One Note y Ms Forms), idioma Español, de 64 Bits.
· Software Antivirus:
- Licenciada / Idioma español / Protección antivirus en tiempo real para proteger de virus, troyanos, adware, malware y phishing / Protección contra firewall /
· Software - Progra"&amp;"mas CAD para dibujos en 2D, 3D y renderizado:
- Gratuitos /libres (de código abierto) / Idioma español / Compatible con el sistema operativo de la computadora (Windows 11 o posterior) / Cuenta con herramientas de edición y modelado de muebles / Cuenta con"&amp;" editor geométrico interactivo, procesamiento de imágenes y señales / Alta capacidad de renderizado / Entre las alternativas gratuitas: SketchUp, Polyboard, Sweet Home 3D, entre otros.
· Software para diseño gráfico publicitario:
- Gratuitos /libres (de c"&amp;"ódigo abierto) / Idioma español / Compatible con el sistema operativo de la computadora (Windows 11 o posterior) / Permite crear diseños, gráficos, fotografías y sitios web / Dispone de herramientas profesionales de diseño, edición de imágenes y fotografí"&amp;"as y diseño de páginas web. Funciones táctiles y para lápices intuitivos / Dispone de editor de gráficos vectoriales, textos y logos / Permite diseño de prototipos e interfaces para aplicaciones y sitios web / Entre las alternativas gratuitas /libres: Gim"&amp;"p, krita, Inkscape, Pencil Proyect, entre otros.
· Software para diseño y edición de videos – spot publicitarios:
- Gratuitos /libres (de código abierto) / Idioma español / Versión 2019 o superior / Compatible con el sistema operativo de la computadora (W"&amp;"indows 11 o posterior) / Permite diseñar y editar videos / Trabaja con diferentes formatos: Un amplio soporte para diferentes formatos, incluyendo MP4, AVI, MOV, AVCHD y más. / Permite crear videos de alta resolución: 4K, y trabajar en formato SD y HD / D"&amp;"ispone de las herramientas más utilizadas en los editores de vídeos: cortar, recortar, dividir y combinar en unos pocos clics. / Permite generar acabados: Varios filtros y efectos visuales para retocar el vídeo, efectos especiales en 2D y 3D / Dispone de
"&amp;"herramientas para realizar diseños y animaciones en 3D y plantillas animadas gratuitas. / Permite editar, ajustar perfeccionar el audio / Entre las alternativas gratuitas /libres: Windows Movie Maker, Video editor Wondershare filmadora, Lightworks, VSDC F"&amp;"ree Video editor, Blender, entre otros.
· Software / programas para elaborar flujogramas:
- Gratuitos /libres (de código abierto) / Idioma español / Compatible con el sistema operativo de la computadora (Windows 11 o posterior) / Diseña diagramas de flujo"&amp;"s y organigramas / Contiene una variedad de símbolos y estilos de conexión de líneas. / Edita, personaliza colores, rellenos y trazos / Entre las alternativas gratuitas /libres: clickCharts, CreatelyDia, y Ed Graph Editor, Pencil project, entre otros.
· S"&amp;"oftware para elaborar presupuestos:
- Gratuitos /libres (de código abierto) / Idioma español / Compatible con el sistema operativo de la computadora (Windows 11 o posterior) / Crea presupuestos, gestiona la facturación y la planificación de presupuestos /"&amp;" Entre las alternativas gratuitas /libres: Holded, debitor, Billage, entre otros.")</f>
        <v>TECNOLOGÍA: Pantalla Táctil, se debe pulsar con el dedo y/o cualquier otro puntero sobre la pantalla, debe permitir escribir, borrar e interconectar dispositivos tecnológicos. --- SUPERFICIE Antirreflectante --- TIPO DE PANEL LCD y/o LED --- TAMAÑO DE PANTALLA 75" --- RESOLUCIÓN 3840 x 2160 --- CONTRASTE 2000:1 o superior --- MÉTODO DE ESCRITURA Tactil, lapiz y/o lapicero compatible con la pantalla --- NUMERO DE TOQUES 10 como minimo
--- CONECTIVIDAD Inalambrica IEEE 802.11 ac ---- PUERTOS E/S: USB, HDMI, RS232, VGA, Audio y RJ45 --- AUDIO 10W --- VOLTAJE 220VAC /60 HZ ---
SISTEMA OPERATIVO DE LA PANTALLA Windows y/o IOS y/o Android y/o Linux y/o del mismo fabricante --- SOFTWARE Control del uso de la pantalla y/o manejo de la clase --- CERTIFICADO Energy Star y/o CE y/o FCC y/o RoHS. --- 02 lapiceros y/o lapiz inalámbrico compatible con el equipo. --- 01 Cable de alimentación y 01 cable de conexión de video y 01 cable  --- USB y 01 Manual de Usuario --- 01 Kit de montaje con ruedas  --- GARANTIA Tres (03) años Onsite a Nivel Nacional
CONTIENE:
. Softwares de última generación y utilitarios instalados en 64 Bits. Instalados en la computadora, trabajan con y sin conexión a internet. / Software Microsoft Office 2019 o superior (Word, Excel, PowerPoint, Visio, One Note y Ms Forms), idioma Español, de 64 Bits.
· Software Antivirus:
- Licenciada / Idioma español / Protección antivirus en tiempo real para proteger de virus, troyanos, adware, malware y phishing / Protección contra firewall /
· Software - Programas CAD para dibujos en 2D, 3D y renderizado:
- Gratuitos /libres (de código abierto) / Idioma español / Compatible con el sistema operativo de la computadora (Windows 11 o posterior) / Cuenta con herramientas de edición y modelado de muebles / Cuenta con editor geométrico interactivo, procesamiento de imágenes y señales / Alta capacidad de renderizado / Entre las alternativas gratuitas: SketchUp, Polyboard, Sweet Home 3D, entre otros.
· Software para diseño gráfico publicitario:
- Gratuitos /libres (de código abierto) / Idioma español / Compatible con el sistema operativo de la computadora (Windows 11 o posterior) / Permite crear diseños, gráficos, fotografías y sitios web / Dispone de herramientas profesionales de diseño, edición de imágenes y fotografías y diseño de páginas web. Funciones táctiles y para lápices intuitivos / Dispone de editor de gráficos vectoriales, textos y logos / Permite diseño de prototipos e interfaces para aplicaciones y sitios web / Entre las alternativas gratuitas /libres: Gimp, krita, Inkscape, Pencil Proyect, entre otros.
· Software para diseño y edición de videos – spot publicitarios:
- Gratuitos /libres (de código abierto) / Idioma español / Versión 2019 o superior / Compatible con el sistema operativo de la computadora (Windows 11 o posterior) / Permite diseñar y editar videos / Trabaja con diferentes formatos: Un amplio soporte para diferentes formatos, incluyendo MP4, AVI, MOV, AVCHD y más. / Permite crear videos de alta resolución: 4K, y trabajar en formato SD y HD / Dispone de las herramientas más utilizadas en los editores de vídeos: cortar, recortar, dividir y combinar en unos pocos clics. / Permite generar acabados: Varios filtros y efectos visuales para retocar el vídeo, efectos especiales en 2D y 3D / Dispone de
herramientas para realizar diseños y animaciones en 3D y plantillas animadas gratuitas. / Permite editar, ajustar perfeccionar el audio / Entre las alternativas gratuitas /libres: Windows Movie Maker, Video editor Wondershare filmadora, Lightworks, VSDC Free Video editor, Blender, entre otros.
· Software / programas para elaborar flujogramas:
- Gratuitos /libres (de código abierto) / Idioma español / Compatible con el sistema operativo de la computadora (Windows 11 o posterior) / Diseña diagramas de flujos y organigramas / Contiene una variedad de símbolos y estilos de conexión de líneas. / Edita, personaliza colores, rellenos y trazos / Entre las alternativas gratuitas /libres: clickCharts, CreatelyDia, y Ed Graph Editor, Pencil project, entre otros.
· Software para elaborar presupuestos:
- Gratuitos /libres (de código abierto) / Idioma español / Compatible con el sistema operativo de la computadora (Windows 11 o posterior) / Crea presupuestos, gestiona la facturación y la planificación de presupuestos / Entre las alternativas gratuitas /libres: Holded, debitor, Billage, entre otros.</v>
      </c>
      <c r="J2086" s="213">
        <f>IFERROR(__xludf.DUMMYFUNCTION("""COMPUTED_VALUE"""),3.0)</f>
        <v>3</v>
      </c>
      <c r="K2086" s="213" t="str">
        <f>IFERROR(__xludf.DUMMYFUNCTION("""COMPUTED_VALUE"""),"170 DÍAS CALENDARIO")</f>
        <v>170 DÍAS CALENDARIO</v>
      </c>
      <c r="L2086" s="213" t="str">
        <f>IFERROR(__xludf.DUMMYFUNCTION("""COMPUTED_VALUE"""),"COCINA Y REPOSTERÍA, COMPUTACIÓN E INFORMÁTICA, CONSTRUCCIONES METÁLICAS, EBANISTERÍA, ELECTRICIDAD, ELECTRÓNICA, INDUSTRIA ALIMENTARIA, INDUSTRIA DEL VESTIDO, MECÁNICA AUTOMOTRÍZ")</f>
        <v>COCINA Y REPOSTERÍA, COMPUTACIÓN E INFORMÁTICA, CONSTRUCCIONES METÁLICAS, EBANISTERÍA, ELECTRICIDAD, ELECTRÓNICA, INDUSTRIA ALIMENTARIA, INDUSTRIA DEL VESTIDO, MECÁNICA AUTOMOTRÍZ</v>
      </c>
      <c r="M2086" s="213">
        <f>IFERROR(__xludf.DUMMYFUNCTION("""COMPUTED_VALUE"""),1.0)</f>
        <v>1</v>
      </c>
      <c r="N2086" s="213">
        <f>IFERROR(__xludf.DUMMYFUNCTION("""COMPUTED_VALUE"""),1.0)</f>
        <v>1</v>
      </c>
      <c r="O2086" s="213">
        <f>IFERROR(__xludf.DUMMYFUNCTION("""COMPUTED_VALUE"""),1.0)</f>
        <v>1</v>
      </c>
      <c r="P2086" s="213"/>
      <c r="Q2086" s="213"/>
      <c r="R2086" s="213"/>
      <c r="S2086" s="213"/>
      <c r="T2086" s="213" t="str">
        <f>IFERROR(__xludf.DUMMYFUNCTION("""COMPUTED_VALUE"""),"SI")</f>
        <v>SI</v>
      </c>
      <c r="U2086" s="213" t="str">
        <f>IFERROR(__xludf.DUMMYFUNCTION("""COMPUTED_VALUE"""),"NO")</f>
        <v>NO</v>
      </c>
      <c r="V2086" s="213" t="str">
        <f>IFERROR(__xludf.DUMMYFUNCTION("""COMPUTED_VALUE"""),"SUSTENTO")</f>
        <v>SUSTENTO</v>
      </c>
      <c r="W2086" s="213" t="str">
        <f>IFERROR(__xludf.DUMMYFUNCTION("""COMPUTED_VALUE"""),"CRÍTICO")</f>
        <v>CRÍTICO</v>
      </c>
      <c r="X2086" s="213" t="str">
        <f>IFERROR(__xludf.DUMMYFUNCTION("""COMPUTED_VALUE"""),"ViewSonic")</f>
        <v>ViewSonic</v>
      </c>
      <c r="Y2086" s="213" t="str">
        <f>IFERROR(__xludf.DUMMYFUNCTION("""COMPUTED_VALUE"""),"IFP7574")</f>
        <v>IFP7574</v>
      </c>
      <c r="Z2086" s="215" t="str">
        <f>IFERROR(__xludf.DUMMYFUNCTION("""COMPUTED_VALUE"""),"https://www.viewsonic.com/la/products/ifp7550.html#specTabs.specifications")</f>
        <v>https://www.viewsonic.com/la/products/ifp7550.html#specTabs.specifications</v>
      </c>
      <c r="AA2086" s="213" t="str">
        <f>IFERROR(__xludf.DUMMYFUNCTION("""COMPUTED_VALUE"""),"TEC-114 PIZARRA (PANTALLA) TÁCTIL INTERACTIVA MULTI-TOUCH - CET")</f>
        <v>TEC-114 PIZARRA (PANTALLA) TÁCTIL INTERACTIVA MULTI-TOUCH - CET</v>
      </c>
      <c r="AB2086" s="213"/>
      <c r="AC2086" s="213"/>
      <c r="AD2086" s="213"/>
      <c r="AE2086" s="213"/>
      <c r="AF2086" s="213"/>
      <c r="AG2086" s="213"/>
      <c r="AH2086" s="213"/>
      <c r="AI2086" s="213"/>
      <c r="AJ2086" s="213"/>
      <c r="AK2086" s="213"/>
      <c r="AL2086" s="213"/>
      <c r="AM2086" s="213"/>
      <c r="AN2086" s="213"/>
      <c r="AO2086" s="213"/>
      <c r="AP2086" s="213" t="str">
        <f>IFERROR(__xludf.DUMMYFUNCTION("""COMPUTED_VALUE"""),"NALDI")</f>
        <v>NALDI</v>
      </c>
      <c r="AQ2086" s="213" t="str">
        <f>IFERROR(__xludf.DUMMYFUNCTION("""COMPUTED_VALUE"""),"Instalar antivirus, software CAD, diseño gráfico, edición de video, flujogramas y presupuestos")</f>
        <v>Instalar antivirus, software CAD, diseño gráfico, edición de video, flujogramas y presupuestos</v>
      </c>
      <c r="AR2086" s="213"/>
      <c r="AS2086" s="213" t="str">
        <f>IFERROR(__xludf.DUMMYFUNCTION("""COMPUTED_VALUE"""),"Adaptador de VGA a HDMI
Rack para pizarra
Instalar los programas")</f>
        <v>Adaptador de VGA a HDMI
Rack para pizarra
Instalar los programas</v>
      </c>
      <c r="AT2086" s="213"/>
      <c r="AU2086" s="213"/>
      <c r="AV2086" s="213"/>
      <c r="AW2086" s="213"/>
      <c r="AX2086" s="213"/>
      <c r="AY2086" s="213"/>
      <c r="AZ2086" s="213"/>
      <c r="BA2086" s="213"/>
      <c r="BB2086" s="213"/>
      <c r="BC2086" s="213"/>
      <c r="BD2086" s="213"/>
    </row>
    <row r="2087">
      <c r="A2087" s="213">
        <f>IFERROR(__xludf.DUMMYFUNCTION("""COMPUTED_VALUE"""),202.0)</f>
        <v>202</v>
      </c>
      <c r="B2087" s="213" t="str">
        <f>IFERROR(__xludf.DUMMYFUNCTION("""COMPUTED_VALUE"""),"2026 SIMON BOLIVAR")</f>
        <v>2026 SIMON BOLIVAR</v>
      </c>
      <c r="C2087" s="213" t="str">
        <f>IFERROR(__xludf.DUMMYFUNCTION("""COMPUTED_VALUE"""),"TALLER SFT DE INDUSTRIA DEL VESTIDO")</f>
        <v>TALLER SFT DE INDUSTRIA DEL VESTIDO</v>
      </c>
      <c r="D2087" s="213" t="str">
        <f>IFERROR(__xludf.DUMMYFUNCTION("""COMPUTED_VALUE"""),"EQUIPOS")</f>
        <v>EQUIPOS</v>
      </c>
      <c r="E2087" s="213" t="str">
        <f>IFERROR(__xludf.DUMMYFUNCTION("""COMPUTED_VALUE"""),"ESP-299")</f>
        <v>ESP-299</v>
      </c>
      <c r="F2087" s="213" t="str">
        <f>IFERROR(__xludf.DUMMYFUNCTION("""COMPUTED_VALUE"""),"ESP-299")</f>
        <v>ESP-299</v>
      </c>
      <c r="G2087" s="213"/>
      <c r="H2087" s="213" t="str">
        <f>IFERROR(__xludf.DUMMYFUNCTION("""COMPUTED_VALUE"""),"PLANCHA A VAPOR")</f>
        <v>PLANCHA A VAPOR</v>
      </c>
      <c r="I2087" s="213" t="str">
        <f>IFERROR(__xludf.DUMMYFUNCTION("""COMPUTED_VALUE"""),"·        Cable giratorio de 180 grados para más libertad
·       Longitud del cable de alimentación 1,8  m
·       Capacidad de almacenamiento de agua 180  ml
·       Salida de vapor constante 17  gr./min.
·       Base Aluminio
·       Energía 1400  W
·  "&amp;"     Voltaje 220 /60Hz
·       Peso de la plancha aproximado 1,06  kg")</f>
        <v>·        Cable giratorio de 180 grados para más libertad
·       Longitud del cable de alimentación 1,8  m
·       Capacidad de almacenamiento de agua 180  ml
·       Salida de vapor constante 17  gr./min.
·       Base Aluminio
·       Energía 1400  W
·       Voltaje 220 /60Hz
·       Peso de la plancha aproximado 1,06  kg</v>
      </c>
      <c r="J2087" s="213">
        <f>IFERROR(__xludf.DUMMYFUNCTION("""COMPUTED_VALUE"""),3.0)</f>
        <v>3</v>
      </c>
      <c r="K2087" s="213" t="str">
        <f>IFERROR(__xludf.DUMMYFUNCTION("""COMPUTED_VALUE"""),"170 DÍAS CALENDARIO")</f>
        <v>170 DÍAS CALENDARIO</v>
      </c>
      <c r="L2087" s="213" t="str">
        <f>IFERROR(__xludf.DUMMYFUNCTION("""COMPUTED_VALUE"""),"")</f>
        <v/>
      </c>
      <c r="M2087" s="213">
        <f>IFERROR(__xludf.DUMMYFUNCTION("""COMPUTED_VALUE"""),1.0)</f>
        <v>1</v>
      </c>
      <c r="N2087" s="213">
        <f>IFERROR(__xludf.DUMMYFUNCTION("""COMPUTED_VALUE"""),2.0)</f>
        <v>2</v>
      </c>
      <c r="O2087" s="213">
        <f>IFERROR(__xludf.DUMMYFUNCTION("""COMPUTED_VALUE"""),2.0)</f>
        <v>2</v>
      </c>
      <c r="P2087" s="213"/>
      <c r="Q2087" s="213"/>
      <c r="R2087" s="213"/>
      <c r="S2087" s="213" t="str">
        <f>IFERROR(__xludf.DUMMYFUNCTION("""COMPUTED_VALUE"""),"SI")</f>
        <v>SI</v>
      </c>
      <c r="T2087" s="213" t="str">
        <f>IFERROR(__xludf.DUMMYFUNCTION("""COMPUTED_VALUE"""),"CONSULTA FINAL")</f>
        <v>CONSULTA FINAL</v>
      </c>
      <c r="U2087" s="213" t="str">
        <f>IFERROR(__xludf.DUMMYFUNCTION("""COMPUTED_VALUE"""),"NO")</f>
        <v>NO</v>
      </c>
      <c r="V2087" s="213" t="str">
        <f>IFERROR(__xludf.DUMMYFUNCTION("""COMPUTED_VALUE"""),"SUSTENTO")</f>
        <v>SUSTENTO</v>
      </c>
      <c r="W2087" s="213"/>
      <c r="X2087" s="213" t="str">
        <f>IFERROR(__xludf.DUMMYFUNCTION("""COMPUTED_VALUE"""),"PHILIPS")</f>
        <v>PHILIPS</v>
      </c>
      <c r="Y2087" s="213" t="str">
        <f>IFERROR(__xludf.DUMMYFUNCTION("""COMPUTED_VALUE"""),"GC1750/20")</f>
        <v>GC1750/20</v>
      </c>
      <c r="Z2087" s="215" t="str">
        <f>IFERROR(__xludf.DUMMYFUNCTION("""COMPUTED_VALUE"""),"https://drive.google.com/file/d/1g2d9B4aEMaxZIWhRWarKX1XIR3xUvXe9/view")</f>
        <v>https://drive.google.com/file/d/1g2d9B4aEMaxZIWhRWarKX1XIR3xUvXe9/view</v>
      </c>
      <c r="AA2087" s="213" t="str">
        <f>IFERROR(__xludf.DUMMYFUNCTION("""COMPUTED_VALUE"""),"ESP-299 PLANCHA A VAPOR - CET")</f>
        <v>ESP-299 PLANCHA A VAPOR - CET</v>
      </c>
      <c r="AB2087" s="215" t="str">
        <f>IFERROR(__xludf.DUMMYFUNCTION("""COMPUTED_VALUE"""),"https://drive.google.com/file/d/1g2d9B4aEMaxZIWhRWarKX1XIR3xUvXe9/view")</f>
        <v>https://drive.google.com/file/d/1g2d9B4aEMaxZIWhRWarKX1XIR3xUvXe9/view</v>
      </c>
      <c r="AC2087" s="213"/>
      <c r="AD2087" s="213"/>
      <c r="AE2087" s="213"/>
      <c r="AF2087" s="213"/>
      <c r="AG2087" s="213"/>
      <c r="AH2087" s="213"/>
      <c r="AI2087" s="213"/>
      <c r="AJ2087" s="213"/>
      <c r="AK2087" s="213"/>
      <c r="AL2087" s="213"/>
      <c r="AM2087" s="213"/>
      <c r="AN2087" s="213"/>
      <c r="AO2087" s="213"/>
      <c r="AP2087" s="213" t="str">
        <f>IFERROR(__xludf.DUMMYFUNCTION("""COMPUTED_VALUE"""),"ANTONELLA")</f>
        <v>ANTONELLA</v>
      </c>
      <c r="AQ2087" s="213" t="str">
        <f>IFERROR(__xludf.DUMMYFUNCTION("""COMPUTED_VALUE"""),"Las EETT hacen referencia a un modelo descontinuado, se ofrece uno de 2000W. Si consideran que está sobredimensionado, se podría ofrecer modelos de menores prestaciones pero se deben hacer consultas para ver si cumplen.")</f>
        <v>Las EETT hacen referencia a un modelo descontinuado, se ofrece uno de 2000W. Si consideran que está sobredimensionado, se podría ofrecer modelos de menores prestaciones pero se deben hacer consultas para ver si cumplen.</v>
      </c>
      <c r="AR2087" s="213"/>
      <c r="AS2087" s="213"/>
      <c r="AT2087" s="213"/>
      <c r="AU2087" s="213"/>
      <c r="AV2087" s="213"/>
      <c r="AW2087" s="213"/>
      <c r="AX2087" s="213"/>
      <c r="AY2087" s="213"/>
      <c r="AZ2087" s="213"/>
      <c r="BA2087" s="213"/>
      <c r="BB2087" s="213"/>
      <c r="BC2087" s="213"/>
      <c r="BD2087" s="213"/>
    </row>
    <row r="2088">
      <c r="A2088" s="213">
        <f>IFERROR(__xludf.DUMMYFUNCTION("""COMPUTED_VALUE"""),2424.0)</f>
        <v>2424</v>
      </c>
      <c r="B2088" s="213" t="str">
        <f>IFERROR(__xludf.DUMMYFUNCTION("""COMPUTED_VALUE"""),"MANUEL ANTONIO MESONES MURO")</f>
        <v>MANUEL ANTONIO MESONES MURO</v>
      </c>
      <c r="C2088" s="213" t="str">
        <f>IFERROR(__xludf.DUMMYFUNCTION("""COMPUTED_VALUE"""),"TALLER SFT DE INDUSTRIA DEL VESTIDO")</f>
        <v>TALLER SFT DE INDUSTRIA DEL VESTIDO</v>
      </c>
      <c r="D2088" s="213" t="str">
        <f>IFERROR(__xludf.DUMMYFUNCTION("""COMPUTED_VALUE"""),"EQUIPOS")</f>
        <v>EQUIPOS</v>
      </c>
      <c r="E2088" s="213" t="str">
        <f>IFERROR(__xludf.DUMMYFUNCTION("""COMPUTED_VALUE"""),"ESP-299")</f>
        <v>ESP-299</v>
      </c>
      <c r="F2088" s="213" t="str">
        <f>IFERROR(__xludf.DUMMYFUNCTION("""COMPUTED_VALUE"""),"ESP-299")</f>
        <v>ESP-299</v>
      </c>
      <c r="G2088" s="213"/>
      <c r="H2088" s="213" t="str">
        <f>IFERROR(__xludf.DUMMYFUNCTION("""COMPUTED_VALUE"""),"PLANCHA A VAPOR")</f>
        <v>PLANCHA A VAPOR</v>
      </c>
      <c r="I2088" s="213" t="str">
        <f>IFERROR(__xludf.DUMMYFUNCTION("""COMPUTED_VALUE"""),"·        Cable giratorio de 180 grados para más libertad
·       Longitud del cable de alimentación 1,8  m
·       Capacidad de almacenamiento de agua 180  ml
·       Salida de vapor constante 17  gr./min.
·       Base Aluminio
·       Energía 1400  W
·  "&amp;"     Voltaje 220 /60Hz
·       Peso de la plancha aproximado 1,06  kg")</f>
        <v>·        Cable giratorio de 180 grados para más libertad
·       Longitud del cable de alimentación 1,8  m
·       Capacidad de almacenamiento de agua 180  ml
·       Salida de vapor constante 17  gr./min.
·       Base Aluminio
·       Energía 1400  W
·       Voltaje 220 /60Hz
·       Peso de la plancha aproximado 1,06  kg</v>
      </c>
      <c r="J2088" s="213">
        <f>IFERROR(__xludf.DUMMYFUNCTION("""COMPUTED_VALUE"""),3.0)</f>
        <v>3</v>
      </c>
      <c r="K2088" s="213" t="str">
        <f>IFERROR(__xludf.DUMMYFUNCTION("""COMPUTED_VALUE"""),"170 DÍAS CALENDARIO")</f>
        <v>170 DÍAS CALENDARIO</v>
      </c>
      <c r="L2088" s="213" t="str">
        <f>IFERROR(__xludf.DUMMYFUNCTION("""COMPUTED_VALUE"""),"")</f>
        <v/>
      </c>
      <c r="M2088" s="213">
        <f>IFERROR(__xludf.DUMMYFUNCTION("""COMPUTED_VALUE"""),1.0)</f>
        <v>1</v>
      </c>
      <c r="N2088" s="213">
        <f>IFERROR(__xludf.DUMMYFUNCTION("""COMPUTED_VALUE"""),2.0)</f>
        <v>2</v>
      </c>
      <c r="O2088" s="213">
        <f>IFERROR(__xludf.DUMMYFUNCTION("""COMPUTED_VALUE"""),2.0)</f>
        <v>2</v>
      </c>
      <c r="P2088" s="213"/>
      <c r="Q2088" s="213"/>
      <c r="R2088" s="213"/>
      <c r="S2088" s="213" t="str">
        <f>IFERROR(__xludf.DUMMYFUNCTION("""COMPUTED_VALUE"""),"SI")</f>
        <v>SI</v>
      </c>
      <c r="T2088" s="213" t="str">
        <f>IFERROR(__xludf.DUMMYFUNCTION("""COMPUTED_VALUE"""),"CONSULTA FINAL")</f>
        <v>CONSULTA FINAL</v>
      </c>
      <c r="U2088" s="213" t="str">
        <f>IFERROR(__xludf.DUMMYFUNCTION("""COMPUTED_VALUE"""),"NO")</f>
        <v>NO</v>
      </c>
      <c r="V2088" s="213" t="str">
        <f>IFERROR(__xludf.DUMMYFUNCTION("""COMPUTED_VALUE"""),"SUSTENTO")</f>
        <v>SUSTENTO</v>
      </c>
      <c r="W2088" s="213"/>
      <c r="X2088" s="213" t="str">
        <f>IFERROR(__xludf.DUMMYFUNCTION("""COMPUTED_VALUE"""),"PHILIPS")</f>
        <v>PHILIPS</v>
      </c>
      <c r="Y2088" s="213" t="str">
        <f>IFERROR(__xludf.DUMMYFUNCTION("""COMPUTED_VALUE"""),"GC1750/20")</f>
        <v>GC1750/20</v>
      </c>
      <c r="Z2088" s="215" t="str">
        <f>IFERROR(__xludf.DUMMYFUNCTION("""COMPUTED_VALUE"""),"https://drive.google.com/file/d/1g2d9B4aEMaxZIWhRWarKX1XIR3xUvXe9/view")</f>
        <v>https://drive.google.com/file/d/1g2d9B4aEMaxZIWhRWarKX1XIR3xUvXe9/view</v>
      </c>
      <c r="AA2088" s="213" t="str">
        <f>IFERROR(__xludf.DUMMYFUNCTION("""COMPUTED_VALUE"""),"ESP-299 PLANCHA A VAPOR - CET")</f>
        <v>ESP-299 PLANCHA A VAPOR - CET</v>
      </c>
      <c r="AB2088" s="215" t="str">
        <f>IFERROR(__xludf.DUMMYFUNCTION("""COMPUTED_VALUE"""),"https://drive.google.com/file/d/1g2d9B4aEMaxZIWhRWarKX1XIR3xUvXe9/view")</f>
        <v>https://drive.google.com/file/d/1g2d9B4aEMaxZIWhRWarKX1XIR3xUvXe9/view</v>
      </c>
      <c r="AC2088" s="213"/>
      <c r="AD2088" s="213"/>
      <c r="AE2088" s="213"/>
      <c r="AF2088" s="213"/>
      <c r="AG2088" s="213"/>
      <c r="AH2088" s="213"/>
      <c r="AI2088" s="213"/>
      <c r="AJ2088" s="213"/>
      <c r="AK2088" s="213"/>
      <c r="AL2088" s="213"/>
      <c r="AM2088" s="213"/>
      <c r="AN2088" s="213"/>
      <c r="AO2088" s="213"/>
      <c r="AP2088" s="213" t="str">
        <f>IFERROR(__xludf.DUMMYFUNCTION("""COMPUTED_VALUE"""),"ANTONELLA")</f>
        <v>ANTONELLA</v>
      </c>
      <c r="AQ2088" s="213" t="str">
        <f>IFERROR(__xludf.DUMMYFUNCTION("""COMPUTED_VALUE"""),"Las EETT hacen referencia a un modelo descontinuado, se ofrece uno de 2000W. Si consideran que está sobredimensionado, se podría ofrecer modelos de menores prestaciones pero se deben hacer consultas para ver si cumplen.")</f>
        <v>Las EETT hacen referencia a un modelo descontinuado, se ofrece uno de 2000W. Si consideran que está sobredimensionado, se podría ofrecer modelos de menores prestaciones pero se deben hacer consultas para ver si cumplen.</v>
      </c>
      <c r="AR2088" s="213"/>
      <c r="AS2088" s="213"/>
      <c r="AT2088" s="213"/>
      <c r="AU2088" s="213"/>
      <c r="AV2088" s="213"/>
      <c r="AW2088" s="213"/>
      <c r="AX2088" s="213"/>
      <c r="AY2088" s="213"/>
      <c r="AZ2088" s="213"/>
      <c r="BA2088" s="213"/>
      <c r="BB2088" s="213"/>
      <c r="BC2088" s="213"/>
      <c r="BD2088" s="213"/>
    </row>
    <row r="2089">
      <c r="A2089" s="213">
        <f>IFERROR(__xludf.DUMMYFUNCTION("""COMPUTED_VALUE"""),225.0)</f>
        <v>225</v>
      </c>
      <c r="B2089" s="213" t="str">
        <f>IFERROR(__xludf.DUMMYFUNCTION("""COMPUTED_VALUE"""),"2026 SIMON BOLIVAR")</f>
        <v>2026 SIMON BOLIVAR</v>
      </c>
      <c r="C2089" s="213" t="str">
        <f>IFERROR(__xludf.DUMMYFUNCTION("""COMPUTED_VALUE"""),"TALLER SFT DE INDUSTRIA DEL VESTIDO")</f>
        <v>TALLER SFT DE INDUSTRIA DEL VESTIDO</v>
      </c>
      <c r="D2089" s="213" t="str">
        <f>IFERROR(__xludf.DUMMYFUNCTION("""COMPUTED_VALUE"""),"EQUIPOS")</f>
        <v>EQUIPOS</v>
      </c>
      <c r="E2089" s="213" t="str">
        <f>IFERROR(__xludf.DUMMYFUNCTION("""COMPUTED_VALUE"""),"ESP-300")</f>
        <v>ESP-300</v>
      </c>
      <c r="F2089" s="213" t="str">
        <f>IFERROR(__xludf.DUMMYFUNCTION("""COMPUTED_VALUE"""),"ESP-300")</f>
        <v>ESP-300</v>
      </c>
      <c r="G2089" s="213"/>
      <c r="H2089" s="213" t="str">
        <f>IFERROR(__xludf.DUMMYFUNCTION("""COMPUTED_VALUE"""),"PLANCHA A VAPOR VERTICAL")</f>
        <v>PLANCHA A VAPOR VERTICAL</v>
      </c>
      <c r="I2089" s="213" t="str">
        <f>IFERROR(__xludf.DUMMYFUNCTION("""COMPUTED_VALUE"""),"·          Longitud del cable: 2.75 m aproximadamente
·          Antiadherente
·          Con Niveles de temperatura
·          Regulador de vapor
·          Material de la base: Aluminio
·          Sistema de auto limpieza
·          Luz indicadora de en"&amp;"cendido
·          Potencia: 1500 w
·          Cable giratorio
·          Voltaje 220 / 60 Hz")</f>
        <v>·          Longitud del cable: 2.75 m aproximadamente
·          Antiadherente
·          Con Niveles de temperatura
·          Regulador de vapor
·          Material de la base: Aluminio
·          Sistema de auto limpieza
·          Luz indicadora de encendido
·          Potencia: 1500 w
·          Cable giratorio
·          Voltaje 220 / 60 Hz</v>
      </c>
      <c r="J2089" s="213">
        <f>IFERROR(__xludf.DUMMYFUNCTION("""COMPUTED_VALUE"""),3.0)</f>
        <v>3</v>
      </c>
      <c r="K2089" s="213" t="str">
        <f>IFERROR(__xludf.DUMMYFUNCTION("""COMPUTED_VALUE"""),"170 DÍAS CALENDARIO")</f>
        <v>170 DÍAS CALENDARIO</v>
      </c>
      <c r="L2089" s="213" t="str">
        <f>IFERROR(__xludf.DUMMYFUNCTION("""COMPUTED_VALUE"""),"")</f>
        <v/>
      </c>
      <c r="M2089" s="213">
        <f>IFERROR(__xludf.DUMMYFUNCTION("""COMPUTED_VALUE"""),1.0)</f>
        <v>1</v>
      </c>
      <c r="N2089" s="213">
        <f>IFERROR(__xludf.DUMMYFUNCTION("""COMPUTED_VALUE"""),1.0)</f>
        <v>1</v>
      </c>
      <c r="O2089" s="213">
        <f>IFERROR(__xludf.DUMMYFUNCTION("""COMPUTED_VALUE"""),1.0)</f>
        <v>1</v>
      </c>
      <c r="P2089" s="213"/>
      <c r="Q2089" s="213"/>
      <c r="R2089" s="213"/>
      <c r="S2089" s="213" t="str">
        <f>IFERROR(__xludf.DUMMYFUNCTION("""COMPUTED_VALUE"""),"SI")</f>
        <v>SI</v>
      </c>
      <c r="T2089" s="213" t="str">
        <f>IFERROR(__xludf.DUMMYFUNCTION("""COMPUTED_VALUE"""),"SI")</f>
        <v>SI</v>
      </c>
      <c r="U2089" s="213" t="str">
        <f>IFERROR(__xludf.DUMMYFUNCTION("""COMPUTED_VALUE"""),"SI")</f>
        <v>SI</v>
      </c>
      <c r="V2089" s="213" t="str">
        <f>IFERROR(__xludf.DUMMYFUNCTION("""COMPUTED_VALUE"""),"-")</f>
        <v>-</v>
      </c>
      <c r="W2089" s="213" t="str">
        <f>IFERROR(__xludf.DUMMYFUNCTION("""COMPUTED_VALUE"""),"-")</f>
        <v>-</v>
      </c>
      <c r="X2089" s="213" t="str">
        <f>IFERROR(__xludf.DUMMYFUNCTION("""COMPUTED_VALUE"""),"PHILIPS")</f>
        <v>PHILIPS</v>
      </c>
      <c r="Y2089" s="213" t="str">
        <f>IFERROR(__xludf.DUMMYFUNCTION("""COMPUTED_VALUE"""),"GC484")</f>
        <v>GC484</v>
      </c>
      <c r="Z2089" s="215" t="str">
        <f>IFERROR(__xludf.DUMMYFUNCTION("""COMPUTED_VALUE"""),"https://www.philips.com.pe/c-p/GC484_40/easy-touch-stand-steamer")</f>
        <v>https://www.philips.com.pe/c-p/GC484_40/easy-touch-stand-steamer</v>
      </c>
      <c r="AA2089" s="213" t="str">
        <f>IFERROR(__xludf.DUMMYFUNCTION("""COMPUTED_VALUE"""),"ESP-300 PLANCHA A VAPOR VERTICAL - CET")</f>
        <v>ESP-300 PLANCHA A VAPOR VERTICAL - CET</v>
      </c>
      <c r="AB2089" s="215" t="str">
        <f>IFERROR(__xludf.DUMMYFUNCTION("""COMPUTED_VALUE"""),"https://drive.google.com/file/d/1LzIVHsxp0SJkEDlQdUgANmsCyXsCCHiw/view")</f>
        <v>https://drive.google.com/file/d/1LzIVHsxp0SJkEDlQdUgANmsCyXsCCHiw/view</v>
      </c>
      <c r="AC2089" s="213"/>
      <c r="AD2089" s="213"/>
      <c r="AE2089" s="213"/>
      <c r="AF2089" s="213"/>
      <c r="AG2089" s="213"/>
      <c r="AH2089" s="213" t="str">
        <f>IFERROR(__xludf.DUMMYFUNCTION("""COMPUTED_VALUE"""),"NACIONAL")</f>
        <v>NACIONAL</v>
      </c>
      <c r="AI2089" s="213"/>
      <c r="AJ2089" s="213"/>
      <c r="AK2089" s="213"/>
      <c r="AL2089" s="213"/>
      <c r="AM2089" s="213"/>
      <c r="AN2089" s="213"/>
      <c r="AO2089" s="213"/>
      <c r="AP2089" s="213" t="str">
        <f>IFERROR(__xludf.DUMMYFUNCTION("""COMPUTED_VALUE"""),"ANTONELLA")</f>
        <v>ANTONELLA</v>
      </c>
      <c r="AQ2089" s="213" t="str">
        <f>IFERROR(__xludf.DUMMYFUNCTION("""COMPUTED_VALUE"""),"Las EETT hacen referencia a una plancha común, no una plancha vertical. Asimismo, varias de las EETT han sido extraídas de una página que no representa correctamente las cualidades del equipo.")</f>
        <v>Las EETT hacen referencia a una plancha común, no una plancha vertical. Asimismo, varias de las EETT han sido extraídas de una página que no representa correctamente las cualidades del equipo.</v>
      </c>
      <c r="AR2089" s="213"/>
      <c r="AS2089" s="213"/>
      <c r="AT2089" s="213"/>
      <c r="AU2089" s="213"/>
      <c r="AV2089" s="213"/>
      <c r="AW2089" s="213"/>
      <c r="AX2089" s="213"/>
      <c r="AY2089" s="213"/>
      <c r="AZ2089" s="213"/>
      <c r="BA2089" s="213"/>
      <c r="BB2089" s="213"/>
      <c r="BC2089" s="213"/>
      <c r="BD2089" s="213"/>
    </row>
    <row r="2090">
      <c r="A2090" s="213">
        <f>IFERROR(__xludf.DUMMYFUNCTION("""COMPUTED_VALUE"""),2440.0)</f>
        <v>2440</v>
      </c>
      <c r="B2090" s="213" t="str">
        <f>IFERROR(__xludf.DUMMYFUNCTION("""COMPUTED_VALUE"""),"MANUEL ANTONIO MESONES MURO")</f>
        <v>MANUEL ANTONIO MESONES MURO</v>
      </c>
      <c r="C2090" s="213" t="str">
        <f>IFERROR(__xludf.DUMMYFUNCTION("""COMPUTED_VALUE"""),"TALLER SFT DE INDUSTRIA DEL VESTIDO")</f>
        <v>TALLER SFT DE INDUSTRIA DEL VESTIDO</v>
      </c>
      <c r="D2090" s="213" t="str">
        <f>IFERROR(__xludf.DUMMYFUNCTION("""COMPUTED_VALUE"""),"EQUIPOS")</f>
        <v>EQUIPOS</v>
      </c>
      <c r="E2090" s="213" t="str">
        <f>IFERROR(__xludf.DUMMYFUNCTION("""COMPUTED_VALUE"""),"ESP-300")</f>
        <v>ESP-300</v>
      </c>
      <c r="F2090" s="213" t="str">
        <f>IFERROR(__xludf.DUMMYFUNCTION("""COMPUTED_VALUE"""),"ESP-300")</f>
        <v>ESP-300</v>
      </c>
      <c r="G2090" s="213"/>
      <c r="H2090" s="213" t="str">
        <f>IFERROR(__xludf.DUMMYFUNCTION("""COMPUTED_VALUE"""),"PLANCHA A VAPOR VERTICAL")</f>
        <v>PLANCHA A VAPOR VERTICAL</v>
      </c>
      <c r="I2090" s="213" t="str">
        <f>IFERROR(__xludf.DUMMYFUNCTION("""COMPUTED_VALUE"""),"·          Longitud del cable: 2.75 m aproximadamente
·          Antiadherente
·          Con Niveles de temperatura
·          Regulador de vapor
·          Material de la base: Aluminio
·          Sistema de auto limpieza
·          Luz indicadora de en"&amp;"cendido
·          Potencia: 1500 w
·          Cable giratorio
·          Voltaje 220 / 60 Hz")</f>
        <v>·          Longitud del cable: 2.75 m aproximadamente
·          Antiadherente
·          Con Niveles de temperatura
·          Regulador de vapor
·          Material de la base: Aluminio
·          Sistema de auto limpieza
·          Luz indicadora de encendido
·          Potencia: 1500 w
·          Cable giratorio
·          Voltaje 220 / 60 Hz</v>
      </c>
      <c r="J2090" s="213">
        <f>IFERROR(__xludf.DUMMYFUNCTION("""COMPUTED_VALUE"""),3.0)</f>
        <v>3</v>
      </c>
      <c r="K2090" s="213" t="str">
        <f>IFERROR(__xludf.DUMMYFUNCTION("""COMPUTED_VALUE"""),"170 DÍAS CALENDARIO")</f>
        <v>170 DÍAS CALENDARIO</v>
      </c>
      <c r="L2090" s="213" t="str">
        <f>IFERROR(__xludf.DUMMYFUNCTION("""COMPUTED_VALUE"""),"")</f>
        <v/>
      </c>
      <c r="M2090" s="213">
        <f>IFERROR(__xludf.DUMMYFUNCTION("""COMPUTED_VALUE"""),1.0)</f>
        <v>1</v>
      </c>
      <c r="N2090" s="213">
        <f>IFERROR(__xludf.DUMMYFUNCTION("""COMPUTED_VALUE"""),1.0)</f>
        <v>1</v>
      </c>
      <c r="O2090" s="213">
        <f>IFERROR(__xludf.DUMMYFUNCTION("""COMPUTED_VALUE"""),1.0)</f>
        <v>1</v>
      </c>
      <c r="P2090" s="213"/>
      <c r="Q2090" s="213"/>
      <c r="R2090" s="213"/>
      <c r="S2090" s="213" t="str">
        <f>IFERROR(__xludf.DUMMYFUNCTION("""COMPUTED_VALUE"""),"SI")</f>
        <v>SI</v>
      </c>
      <c r="T2090" s="213" t="str">
        <f>IFERROR(__xludf.DUMMYFUNCTION("""COMPUTED_VALUE"""),"SI")</f>
        <v>SI</v>
      </c>
      <c r="U2090" s="213" t="str">
        <f>IFERROR(__xludf.DUMMYFUNCTION("""COMPUTED_VALUE"""),"SI")</f>
        <v>SI</v>
      </c>
      <c r="V2090" s="213" t="str">
        <f>IFERROR(__xludf.DUMMYFUNCTION("""COMPUTED_VALUE"""),"-")</f>
        <v>-</v>
      </c>
      <c r="W2090" s="213" t="str">
        <f>IFERROR(__xludf.DUMMYFUNCTION("""COMPUTED_VALUE"""),"-")</f>
        <v>-</v>
      </c>
      <c r="X2090" s="213" t="str">
        <f>IFERROR(__xludf.DUMMYFUNCTION("""COMPUTED_VALUE"""),"PHILIPS")</f>
        <v>PHILIPS</v>
      </c>
      <c r="Y2090" s="213" t="str">
        <f>IFERROR(__xludf.DUMMYFUNCTION("""COMPUTED_VALUE"""),"GC484")</f>
        <v>GC484</v>
      </c>
      <c r="Z2090" s="215" t="str">
        <f>IFERROR(__xludf.DUMMYFUNCTION("""COMPUTED_VALUE"""),"https://www.philips.com.pe/c-p/GC484_40/easy-touch-stand-steamer")</f>
        <v>https://www.philips.com.pe/c-p/GC484_40/easy-touch-stand-steamer</v>
      </c>
      <c r="AA2090" s="213" t="str">
        <f>IFERROR(__xludf.DUMMYFUNCTION("""COMPUTED_VALUE"""),"ESP-300 PLANCHA A VAPOR VERTICAL - CET")</f>
        <v>ESP-300 PLANCHA A VAPOR VERTICAL - CET</v>
      </c>
      <c r="AB2090" s="215" t="str">
        <f>IFERROR(__xludf.DUMMYFUNCTION("""COMPUTED_VALUE"""),"https://drive.google.com/file/d/1LzIVHsxp0SJkEDlQdUgANmsCyXsCCHiw/view")</f>
        <v>https://drive.google.com/file/d/1LzIVHsxp0SJkEDlQdUgANmsCyXsCCHiw/view</v>
      </c>
      <c r="AC2090" s="213"/>
      <c r="AD2090" s="213"/>
      <c r="AE2090" s="213"/>
      <c r="AF2090" s="213"/>
      <c r="AG2090" s="213"/>
      <c r="AH2090" s="213" t="str">
        <f>IFERROR(__xludf.DUMMYFUNCTION("""COMPUTED_VALUE"""),"NACIONAL")</f>
        <v>NACIONAL</v>
      </c>
      <c r="AI2090" s="213"/>
      <c r="AJ2090" s="213"/>
      <c r="AK2090" s="213"/>
      <c r="AL2090" s="213"/>
      <c r="AM2090" s="213"/>
      <c r="AN2090" s="213"/>
      <c r="AO2090" s="213"/>
      <c r="AP2090" s="213" t="str">
        <f>IFERROR(__xludf.DUMMYFUNCTION("""COMPUTED_VALUE"""),"ANTONELLA")</f>
        <v>ANTONELLA</v>
      </c>
      <c r="AQ2090" s="213" t="str">
        <f>IFERROR(__xludf.DUMMYFUNCTION("""COMPUTED_VALUE"""),"Las EETT hacen referencia a una plancha común, no una plancha vertical. Asimismo, varias de las EETT han sido extraídas de una página que no representa correctamente las cualidades del equipo.")</f>
        <v>Las EETT hacen referencia a una plancha común, no una plancha vertical. Asimismo, varias de las EETT han sido extraídas de una página que no representa correctamente las cualidades del equipo.</v>
      </c>
      <c r="AR2090" s="213"/>
      <c r="AS2090" s="213"/>
      <c r="AT2090" s="213"/>
      <c r="AU2090" s="213"/>
      <c r="AV2090" s="213"/>
      <c r="AW2090" s="213"/>
      <c r="AX2090" s="213"/>
      <c r="AY2090" s="213"/>
      <c r="AZ2090" s="213"/>
      <c r="BA2090" s="213"/>
      <c r="BB2090" s="213"/>
      <c r="BC2090" s="213"/>
      <c r="BD2090" s="213"/>
    </row>
    <row r="2091">
      <c r="A2091" s="213">
        <f>IFERROR(__xludf.DUMMYFUNCTION("""COMPUTED_VALUE"""),85.0)</f>
        <v>85</v>
      </c>
      <c r="B2091" s="213" t="str">
        <f>IFERROR(__xludf.DUMMYFUNCTION("""COMPUTED_VALUE"""),"16449 ELOY SOBERON  FLORES")</f>
        <v>16449 ELOY SOBERON  FLORES</v>
      </c>
      <c r="C2091" s="213" t="str">
        <f>IFERROR(__xludf.DUMMYFUNCTION("""COMPUTED_VALUE"""),"TALLER SFT DE COCINA Y REPOSTERÍA")</f>
        <v>TALLER SFT DE COCINA Y REPOSTERÍA</v>
      </c>
      <c r="D2091" s="213" t="str">
        <f>IFERROR(__xludf.DUMMYFUNCTION("""COMPUTED_VALUE"""),"EQUIPOS")</f>
        <v>EQUIPOS</v>
      </c>
      <c r="E2091" s="213" t="str">
        <f>IFERROR(__xludf.DUMMYFUNCTION("""COMPUTED_VALUE"""),"ESP-302")</f>
        <v>ESP-302</v>
      </c>
      <c r="F2091" s="213" t="str">
        <f>IFERROR(__xludf.DUMMYFUNCTION("""COMPUTED_VALUE"""),"ESP-302")</f>
        <v>ESP-302</v>
      </c>
      <c r="G2091" s="213"/>
      <c r="H2091" s="213" t="str">
        <f>IFERROR(__xludf.DUMMYFUNCTION("""COMPUTED_VALUE"""),"PLANCHA DE SOBREMESA A GAS")</f>
        <v>PLANCHA DE SOBREMESA A GAS</v>
      </c>
      <c r="I2091" s="213" t="str">
        <f>IFERROR(__xludf.DUMMYFUNCTION("""COMPUTED_VALUE"""),".  Construcción en acero inoxidable.
.  Superficie minima : 30 dm2. Plancha de asado lisa.
.  Revestimiento de cromo de 50 micras de espesor.
.  Quemadores tubulares de acero inoxidable con piloto para el encendido.
.  Válvulas de gas con sistema de segur"&amp;"idad por termopar.
.  Cajón recogegrasas extraible.
. Tipo gas LPG
.  Potencia gas minima 9,00 kW
.  Consumo gas minima 0,750 kg/h
.  Regulado a LPG G30/G31 28-30/37 mba
·  Dimensiones minimas :  L 55 cm x A60 cm x H40 cm.")</f>
        <v>.  Construcción en acero inoxidable.
.  Superficie minima : 30 dm2. Plancha de asado lisa.
.  Revestimiento de cromo de 50 micras de espesor.
.  Quemadores tubulares de acero inoxidable con piloto para el encendido.
.  Válvulas de gas con sistema de seguridad por termopar.
.  Cajón recogegrasas extraible.
. Tipo gas LPG
.  Potencia gas minima 9,00 kW
.  Consumo gas minima 0,750 kg/h
.  Regulado a LPG G30/G31 28-30/37 mba
·  Dimensiones minimas :  L 55 cm x A60 cm x H40 cm.</v>
      </c>
      <c r="J2091" s="213">
        <f>IFERROR(__xludf.DUMMYFUNCTION("""COMPUTED_VALUE"""),3.0)</f>
        <v>3</v>
      </c>
      <c r="K2091" s="213" t="str">
        <f>IFERROR(__xludf.DUMMYFUNCTION("""COMPUTED_VALUE"""),"170 DÍAS CALENDARIO")</f>
        <v>170 DÍAS CALENDARIO</v>
      </c>
      <c r="L2091" s="213" t="str">
        <f>IFERROR(__xludf.DUMMYFUNCTION("""COMPUTED_VALUE"""),"")</f>
        <v/>
      </c>
      <c r="M2091" s="213">
        <f>IFERROR(__xludf.DUMMYFUNCTION("""COMPUTED_VALUE"""),1.0)</f>
        <v>1</v>
      </c>
      <c r="N2091" s="213">
        <f>IFERROR(__xludf.DUMMYFUNCTION("""COMPUTED_VALUE"""),1.0)</f>
        <v>1</v>
      </c>
      <c r="O2091" s="213">
        <f>IFERROR(__xludf.DUMMYFUNCTION("""COMPUTED_VALUE"""),1.0)</f>
        <v>1</v>
      </c>
      <c r="P2091" s="213"/>
      <c r="Q2091" s="213"/>
      <c r="R2091" s="213"/>
      <c r="S2091" s="213" t="str">
        <f>IFERROR(__xludf.DUMMYFUNCTION("""COMPUTED_VALUE"""),"SI")</f>
        <v>SI</v>
      </c>
      <c r="T2091" s="213" t="str">
        <f>IFERROR(__xludf.DUMMYFUNCTION("""COMPUTED_VALUE"""),"CONSULTA FINAL")</f>
        <v>CONSULTA FINAL</v>
      </c>
      <c r="U2091" s="213" t="str">
        <f>IFERROR(__xludf.DUMMYFUNCTION("""COMPUTED_VALUE"""),"SI")</f>
        <v>SI</v>
      </c>
      <c r="V2091" s="213" t="str">
        <f>IFERROR(__xludf.DUMMYFUNCTION("""COMPUTED_VALUE"""),"-")</f>
        <v>-</v>
      </c>
      <c r="W2091" s="213" t="str">
        <f>IFERROR(__xludf.DUMMYFUNCTION("""COMPUTED_VALUE"""),"-")</f>
        <v>-</v>
      </c>
      <c r="X2091" s="213" t="str">
        <f>IFERROR(__xludf.DUMMYFUNCTION("""COMPUTED_VALUE"""),"LICCNOX")</f>
        <v>LICCNOX</v>
      </c>
      <c r="Y2091" s="213" t="str">
        <f>IFERROR(__xludf.DUMMYFUNCTION("""COMPUTED_VALUE"""),"GL-P60")</f>
        <v>GL-P60</v>
      </c>
      <c r="Z2091" s="215" t="str">
        <f>IFERROR(__xludf.DUMMYFUNCTION("""COMPUTED_VALUE"""),"https://drive.google.com/file/d/1IcHy16s2wbkJLph8wKhs2jLlok4biAzo/view")</f>
        <v>https://drive.google.com/file/d/1IcHy16s2wbkJLph8wKhs2jLlok4biAzo/view</v>
      </c>
      <c r="AA2091" s="213" t="str">
        <f>IFERROR(__xludf.DUMMYFUNCTION("""COMPUTED_VALUE"""),"ESP-302 PLANCHA DE SOBREMESA A GAS- CET.xlsx")</f>
        <v>ESP-302 PLANCHA DE SOBREMESA A GAS- CET.xlsx</v>
      </c>
      <c r="AB2091" s="215" t="str">
        <f>IFERROR(__xludf.DUMMYFUNCTION("""COMPUTED_VALUE"""),"https://drive.google.com/file/d/1IcHy16s2wbkJLph8wKhs2jLlok4biAzo/view?usp=sharing")</f>
        <v>https://drive.google.com/file/d/1IcHy16s2wbkJLph8wKhs2jLlok4biAzo/view?usp=sharing</v>
      </c>
      <c r="AC2091" s="213"/>
      <c r="AD2091" s="213"/>
      <c r="AE2091" s="213"/>
      <c r="AF2091" s="213"/>
      <c r="AG2091" s="213"/>
      <c r="AH2091" s="213" t="str">
        <f>IFERROR(__xludf.DUMMYFUNCTION("""COMPUTED_VALUE"""),"NACIONAL")</f>
        <v>NACIONAL</v>
      </c>
      <c r="AI2091" s="213"/>
      <c r="AJ2091" s="213"/>
      <c r="AK2091" s="213"/>
      <c r="AL2091" s="213"/>
      <c r="AM2091" s="213"/>
      <c r="AN2091" s="213"/>
      <c r="AO2091" s="213"/>
      <c r="AP2091" s="213" t="str">
        <f>IFERROR(__xludf.DUMMYFUNCTION("""COMPUTED_VALUE"""),"JORGE")</f>
        <v>JORGE</v>
      </c>
      <c r="AQ2091" s="213"/>
      <c r="AR2091" s="213"/>
      <c r="AS2091" s="213" t="str">
        <f>IFERROR(__xludf.DUMMYFUNCTION("""COMPUTED_VALUE"""),"ACCESORIOS PARA INSTALACIÓN A GAS")</f>
        <v>ACCESORIOS PARA INSTALACIÓN A GAS</v>
      </c>
      <c r="AT2091" s="213"/>
      <c r="AU2091" s="213"/>
      <c r="AV2091" s="213"/>
      <c r="AW2091" s="213"/>
      <c r="AX2091" s="213"/>
      <c r="AY2091" s="213"/>
      <c r="AZ2091" s="213"/>
      <c r="BA2091" s="213"/>
      <c r="BB2091" s="213"/>
      <c r="BC2091" s="213"/>
      <c r="BD2091" s="213"/>
    </row>
    <row r="2092">
      <c r="A2092" s="213">
        <f>IFERROR(__xludf.DUMMYFUNCTION("""COMPUTED_VALUE"""),2469.0)</f>
        <v>2469</v>
      </c>
      <c r="B2092" s="213" t="str">
        <f>IFERROR(__xludf.DUMMYFUNCTION("""COMPUTED_VALUE"""),"MANUEL ANTONIO MESONES MURO")</f>
        <v>MANUEL ANTONIO MESONES MURO</v>
      </c>
      <c r="C2092" s="213" t="str">
        <f>IFERROR(__xludf.DUMMYFUNCTION("""COMPUTED_VALUE"""),"TALLER SFT DE CONSTRUCCIONES METÁLICAS")</f>
        <v>TALLER SFT DE CONSTRUCCIONES METÁLICAS</v>
      </c>
      <c r="D2092" s="213" t="str">
        <f>IFERROR(__xludf.DUMMYFUNCTION("""COMPUTED_VALUE"""),"HERRAMIENTAS")</f>
        <v>HERRAMIENTAS</v>
      </c>
      <c r="E2092" s="213" t="str">
        <f>IFERROR(__xludf.DUMMYFUNCTION("""COMPUTED_VALUE"""),"COM-281")</f>
        <v>COM-281</v>
      </c>
      <c r="F2092" s="213" t="str">
        <f>IFERROR(__xludf.DUMMYFUNCTION("""COMPUTED_VALUE"""),"COM-281")</f>
        <v>COM-281</v>
      </c>
      <c r="G2092" s="213"/>
      <c r="H2092" s="213" t="str">
        <f>IFERROR(__xludf.DUMMYFUNCTION("""COMPUTED_VALUE"""),"REGULADOR DE ARGÓN SOLDADOR TIG-MIG SOLDADURA CO2")</f>
        <v>REGULADOR DE ARGÓN SOLDADOR TIG-MIG SOLDADURA CO2</v>
      </c>
      <c r="I2092" s="213" t="str">
        <f>IFERROR(__xludf.DUMMYFUNCTION("""COMPUTED_VALUE"""),"Lectura de 0-60 CFH
Calibre de presión de 0.5 in. y de diámetro que lee de 0 - 4 000 psi")</f>
        <v>Lectura de 0-60 CFH
Calibre de presión de 0.5 in. y de diámetro que lee de 0 - 4 000 psi</v>
      </c>
      <c r="J2092" s="213">
        <f>IFERROR(__xludf.DUMMYFUNCTION("""COMPUTED_VALUE"""),3.0)</f>
        <v>3</v>
      </c>
      <c r="K2092" s="213" t="str">
        <f>IFERROR(__xludf.DUMMYFUNCTION("""COMPUTED_VALUE"""),"90 DÍAS CALENDARIO")</f>
        <v>90 DÍAS CALENDARIO</v>
      </c>
      <c r="L2092" s="213" t="str">
        <f>IFERROR(__xludf.DUMMYFUNCTION("""COMPUTED_VALUE"""),"")</f>
        <v/>
      </c>
      <c r="M2092" s="213">
        <f>IFERROR(__xludf.DUMMYFUNCTION("""COMPUTED_VALUE"""),1.0)</f>
        <v>1</v>
      </c>
      <c r="N2092" s="213">
        <f>IFERROR(__xludf.DUMMYFUNCTION("""COMPUTED_VALUE"""),1.0)</f>
        <v>1</v>
      </c>
      <c r="O2092" s="213">
        <f>IFERROR(__xludf.DUMMYFUNCTION("""COMPUTED_VALUE"""),1.0)</f>
        <v>1</v>
      </c>
      <c r="P2092" s="213"/>
      <c r="Q2092" s="213"/>
      <c r="R2092" s="213" t="str">
        <f>IFERROR(__xludf.DUMMYFUNCTION("""COMPUTED_VALUE"""),"SI")</f>
        <v>SI</v>
      </c>
      <c r="S2092" s="213"/>
      <c r="T2092" s="213" t="str">
        <f>IFERROR(__xludf.DUMMYFUNCTION("""COMPUTED_VALUE"""),"SI")</f>
        <v>SI</v>
      </c>
      <c r="U2092" s="213" t="str">
        <f>IFERROR(__xludf.DUMMYFUNCTION("""COMPUTED_VALUE"""),"SI")</f>
        <v>SI</v>
      </c>
      <c r="V2092" s="213" t="str">
        <f>IFERROR(__xludf.DUMMYFUNCTION("""COMPUTED_VALUE"""),"-")</f>
        <v>-</v>
      </c>
      <c r="W2092" s="213" t="str">
        <f>IFERROR(__xludf.DUMMYFUNCTION("""COMPUTED_VALUE"""),"-")</f>
        <v>-</v>
      </c>
      <c r="X2092" s="213" t="str">
        <f>IFERROR(__xludf.DUMMYFUNCTION("""COMPUTED_VALUE"""),"SPARC")</f>
        <v>SPARC</v>
      </c>
      <c r="Y2092" s="213" t="str">
        <f>IFERROR(__xludf.DUMMYFUNCTION("""COMPUTED_VALUE"""),"SPARC")</f>
        <v>SPARC</v>
      </c>
      <c r="Z2092" s="215" t="str">
        <f>IFERROR(__xludf.DUMMYFUNCTION("""COMPUTED_VALUE"""),"https://www.amazon.com/SPARC-Regulador-arg%C3%B3n-medidor-flujo/dp/B01MU57K05/ref=sr_1_2_sspa?dib=eyJ2IjoiMSJ9.zeD1AyzrDGj7gZ9wSY9L0oNo5VpzYcWVun7PjNzjSL4xscSfU06stjLXY9Mz82Z5jvmHwDPF23uRkyRuohSrVcBL2QvIX0UUscqvbU76hxa8___Od_0G-J232V89j-pqjn9rIHhuDsWRITyL"&amp;"qLFXP_7zi2cg2iuB_-O2OiprES8cHp1S92PH6SHZf56nMu1wLk88wVSxdj-taO5fbayiZipug65xJaHYKPlRwHHv-A0.HTsSevZ0PE7UB_vdw-oUCkxWb_kLZ003TGT2zN_D_oI&amp;dib_tag=se&amp;keywords=regulador+de+argon&amp;qid=1759267851&amp;sr=8-2-spons&amp;sp_csd=d2lkZ2V0TmFtZT1zcF9hdGY&amp;psc=1")</f>
        <v>https://www.amazon.com/SPARC-Regulador-arg%C3%B3n-medidor-flujo/dp/B01MU57K05/ref=sr_1_2_sspa?dib=eyJ2IjoiMSJ9.zeD1AyzrDGj7gZ9wSY9L0oNo5VpzYcWVun7PjNzjSL4xscSfU06stjLXY9Mz82Z5jvmHwDPF23uRkyRuohSrVcBL2QvIX0UUscqvbU76hxa8___Od_0G-J232V89j-pqjn9rIHhuDsWRITyLqLFXP_7zi2cg2iuB_-O2OiprES8cHp1S92PH6SHZf56nMu1wLk88wVSxdj-taO5fbayiZipug65xJaHYKPlRwHHv-A0.HTsSevZ0PE7UB_vdw-oUCkxWb_kLZ003TGT2zN_D_oI&amp;dib_tag=se&amp;keywords=regulador+de+argon&amp;qid=1759267851&amp;sr=8-2-spons&amp;sp_csd=d2lkZ2V0TmFtZT1zcF9hdGY&amp;psc=1</v>
      </c>
      <c r="AA2092" s="213" t="str">
        <f>IFERROR(__xludf.DUMMYFUNCTION("""COMPUTED_VALUE"""),"COM-281 REGULADOR DE ARGÓN SOLDADOR TIG-MIG SOLDADURA CO2 - CET")</f>
        <v>COM-281 REGULADOR DE ARGÓN SOLDADOR TIG-MIG SOLDADURA CO2 - CET</v>
      </c>
      <c r="AB2092" s="213"/>
      <c r="AC2092" s="213"/>
      <c r="AD2092" s="213"/>
      <c r="AE2092" s="213"/>
      <c r="AF2092" s="213"/>
      <c r="AG2092" s="213"/>
      <c r="AH2092" s="213"/>
      <c r="AI2092" s="213"/>
      <c r="AJ2092" s="213"/>
      <c r="AK2092" s="213"/>
      <c r="AL2092" s="213"/>
      <c r="AM2092" s="213"/>
      <c r="AN2092" s="213"/>
      <c r="AO2092" s="213"/>
      <c r="AP2092" s="213" t="str">
        <f>IFERROR(__xludf.DUMMYFUNCTION("""COMPUTED_VALUE"""),"LUIS")</f>
        <v>LUIS</v>
      </c>
      <c r="AQ2092" s="213"/>
      <c r="AR2092" s="213"/>
      <c r="AS2092" s="213"/>
      <c r="AT2092" s="213"/>
      <c r="AU2092" s="213"/>
      <c r="AV2092" s="213"/>
      <c r="AW2092" s="213"/>
      <c r="AX2092" s="213"/>
      <c r="AY2092" s="213"/>
      <c r="AZ2092" s="213"/>
      <c r="BA2092" s="213"/>
      <c r="BB2092" s="213"/>
      <c r="BC2092" s="213"/>
      <c r="BD2092" s="213"/>
    </row>
    <row r="2093">
      <c r="A2093" s="213">
        <f>IFERROR(__xludf.DUMMYFUNCTION("""COMPUTED_VALUE"""),276.0)</f>
        <v>276</v>
      </c>
      <c r="B2093" s="213" t="str">
        <f>IFERROR(__xludf.DUMMYFUNCTION("""COMPUTED_VALUE"""),"2026 SIMON BOLIVAR")</f>
        <v>2026 SIMON BOLIVAR</v>
      </c>
      <c r="C2093" s="213" t="str">
        <f>IFERROR(__xludf.DUMMYFUNCTION("""COMPUTED_VALUE"""),"TALLER SFT DE COMPUTACIÓN E INFORMÁTICA")</f>
        <v>TALLER SFT DE COMPUTACIÓN E INFORMÁTICA</v>
      </c>
      <c r="D2093" s="213" t="str">
        <f>IFERROR(__xludf.DUMMYFUNCTION("""COMPUTED_VALUE"""),"EQUIPOS")</f>
        <v>EQUIPOS</v>
      </c>
      <c r="E2093" s="213" t="str">
        <f>IFERROR(__xludf.DUMMYFUNCTION("""COMPUTED_VALUE"""),"ESP-305")</f>
        <v>ESP-305</v>
      </c>
      <c r="F2093" s="213" t="str">
        <f>IFERROR(__xludf.DUMMYFUNCTION("""COMPUTED_VALUE"""),"ESP-305")</f>
        <v>ESP-305</v>
      </c>
      <c r="G2093" s="213"/>
      <c r="H2093" s="213" t="str">
        <f>IFERROR(__xludf.DUMMYFUNCTION("""COMPUTED_VALUE"""),"PLOTTER")</f>
        <v>PLOTTER</v>
      </c>
      <c r="I2093" s="213" t="str">
        <f>IFERROR(__xludf.DUMMYFUNCTION("""COMPUTED_VALUE"""),"TAMAÑO DE ROLLO A SOPORTAR Desde 10"" y/o 11"" hasta 36""
CATEGORÍA Impresora Inyección TIPO: Color
PRECISIÓN DE LÍNEA  +/- 0.1% CONECTIVIDAD USB USB 2.0
CONECTIVIDAD LAN Fast Ethernet 10/100/1000 Base TX CONECTIVIDAD Inalambrica
MEMORIA INTERNA 1024 MB R"&amp;"AM
ALIMENTADOR AUTOMÁTICO DE DOCUMENTO Sí RESOLUCIÓN DE IMPRESORA 2400 x 1200 PPP FORMATO DE IMPRESIÓN CAD
LENGUAJES DE IMPRESIÓN  HP-GL/2 y HP RTL VOLTAJE 100VAC – 240VAC /60 HZ
ACCESORIOS 01 Cable de poder y Manual CERTIFICADO Energy Star y/o CE y/o FCC"&amp;" y/o RoHS.")</f>
        <v>TAMAÑO DE ROLLO A SOPORTAR Desde 10" y/o 11" hasta 36"
CATEGORÍA Impresora Inyección TIPO: Color
PRECISIÓN DE LÍNEA  +/- 0.1% CONECTIVIDAD USB USB 2.0
CONECTIVIDAD LAN Fast Ethernet 10/100/1000 Base TX CONECTIVIDAD Inalambrica
MEMORIA INTERNA 1024 MB RAM
ALIMENTADOR AUTOMÁTICO DE DOCUMENTO Sí RESOLUCIÓN DE IMPRESORA 2400 x 1200 PPP FORMATO DE IMPRESIÓN CAD
LENGUAJES DE IMPRESIÓN  HP-GL/2 y HP RTL VOLTAJE 100VAC – 240VAC /60 HZ
ACCESORIOS 01 Cable de poder y Manual CERTIFICADO Energy Star y/o CE y/o FCC y/o RoHS.</v>
      </c>
      <c r="J2093" s="213">
        <f>IFERROR(__xludf.DUMMYFUNCTION("""COMPUTED_VALUE"""),3.0)</f>
        <v>3</v>
      </c>
      <c r="K2093" s="213" t="str">
        <f>IFERROR(__xludf.DUMMYFUNCTION("""COMPUTED_VALUE"""),"170 DÍAS CALENDARIO")</f>
        <v>170 DÍAS CALENDARIO</v>
      </c>
      <c r="L2093" s="213" t="str">
        <f>IFERROR(__xludf.DUMMYFUNCTION("""COMPUTED_VALUE"""),"")</f>
        <v/>
      </c>
      <c r="M2093" s="213">
        <f>IFERROR(__xludf.DUMMYFUNCTION("""COMPUTED_VALUE"""),1.0)</f>
        <v>1</v>
      </c>
      <c r="N2093" s="213">
        <f>IFERROR(__xludf.DUMMYFUNCTION("""COMPUTED_VALUE"""),1.0)</f>
        <v>1</v>
      </c>
      <c r="O2093" s="213">
        <f>IFERROR(__xludf.DUMMYFUNCTION("""COMPUTED_VALUE"""),1.0)</f>
        <v>1</v>
      </c>
      <c r="P2093" s="213"/>
      <c r="Q2093" s="213"/>
      <c r="R2093" s="213"/>
      <c r="S2093" s="213" t="str">
        <f>IFERROR(__xludf.DUMMYFUNCTION("""COMPUTED_VALUE"""),"SI")</f>
        <v>SI</v>
      </c>
      <c r="T2093" s="213" t="str">
        <f>IFERROR(__xludf.DUMMYFUNCTION("""COMPUTED_VALUE"""),"SI")</f>
        <v>SI</v>
      </c>
      <c r="U2093" s="213" t="str">
        <f>IFERROR(__xludf.DUMMYFUNCTION("""COMPUTED_VALUE"""),"SI")</f>
        <v>SI</v>
      </c>
      <c r="V2093" s="213" t="str">
        <f>IFERROR(__xludf.DUMMYFUNCTION("""COMPUTED_VALUE"""),"-")</f>
        <v>-</v>
      </c>
      <c r="W2093" s="213" t="str">
        <f>IFERROR(__xludf.DUMMYFUNCTION("""COMPUTED_VALUE"""),"-")</f>
        <v>-</v>
      </c>
      <c r="X2093" s="213" t="str">
        <f>IFERROR(__xludf.DUMMYFUNCTION("""COMPUTED_VALUE"""),"HP")</f>
        <v>HP</v>
      </c>
      <c r="Y2093" s="213" t="str">
        <f>IFERROR(__xludf.DUMMYFUNCTION("""COMPUTED_VALUE"""),"DesignJet T650 de 36"" (5HB10D)")</f>
        <v>DesignJet T650 de 36" (5HB10D)</v>
      </c>
      <c r="Z2093" s="215" t="str">
        <f>IFERROR(__xludf.DUMMYFUNCTION("""COMPUTED_VALUE"""),"https://www.hp.com/pe-es/shop/impresora-hp-designjet-t650-de-36-5hb10d.html")</f>
        <v>https://www.hp.com/pe-es/shop/impresora-hp-designjet-t650-de-36-5hb10d.html</v>
      </c>
      <c r="AA2093" s="213" t="str">
        <f>IFERROR(__xludf.DUMMYFUNCTION("""COMPUTED_VALUE"""),"ESP-305 PLOTTER - CET")</f>
        <v>ESP-305 PLOTTER - CET</v>
      </c>
      <c r="AB2093" s="215" t="str">
        <f>IFERROR(__xludf.DUMMYFUNCTION("""COMPUTED_VALUE"""),"https://drive.google.com/file/d/1ooz8WkWkrCIblY37Qp50ieeuweAl3fGl/view?usp=sharing")</f>
        <v>https://drive.google.com/file/d/1ooz8WkWkrCIblY37Qp50ieeuweAl3fGl/view?usp=sharing</v>
      </c>
      <c r="AC2093" s="213"/>
      <c r="AD2093" s="213"/>
      <c r="AE2093" s="213"/>
      <c r="AF2093" s="213"/>
      <c r="AG2093" s="213"/>
      <c r="AH2093" s="213"/>
      <c r="AI2093" s="213"/>
      <c r="AJ2093" s="213"/>
      <c r="AK2093" s="213"/>
      <c r="AL2093" s="213"/>
      <c r="AM2093" s="213"/>
      <c r="AN2093" s="213"/>
      <c r="AO2093" s="213"/>
      <c r="AP2093" s="213" t="str">
        <f>IFERROR(__xludf.DUMMYFUNCTION("""COMPUTED_VALUE"""),"MICHEL")</f>
        <v>MICHEL</v>
      </c>
      <c r="AQ2093" s="213"/>
      <c r="AR2093" s="213"/>
      <c r="AS2093" s="213"/>
      <c r="AT2093" s="213"/>
      <c r="AU2093" s="213"/>
      <c r="AV2093" s="213"/>
      <c r="AW2093" s="213"/>
      <c r="AX2093" s="213"/>
      <c r="AY2093" s="213"/>
      <c r="AZ2093" s="213"/>
      <c r="BA2093" s="213"/>
      <c r="BB2093" s="213"/>
      <c r="BC2093" s="213"/>
      <c r="BD2093" s="213"/>
    </row>
    <row r="2094">
      <c r="A2094" s="213">
        <f>IFERROR(__xludf.DUMMYFUNCTION("""COMPUTED_VALUE"""),762.0)</f>
        <v>762</v>
      </c>
      <c r="B2094" s="213" t="str">
        <f>IFERROR(__xludf.DUMMYFUNCTION("""COMPUTED_VALUE"""),"6049 RICARDO PALMA")</f>
        <v>6049 RICARDO PALMA</v>
      </c>
      <c r="C2094" s="213" t="str">
        <f>IFERROR(__xludf.DUMMYFUNCTION("""COMPUTED_VALUE"""),"TALLER SFT DE COMPUTACIÓN E INFORMÁTICA")</f>
        <v>TALLER SFT DE COMPUTACIÓN E INFORMÁTICA</v>
      </c>
      <c r="D2094" s="213" t="str">
        <f>IFERROR(__xludf.DUMMYFUNCTION("""COMPUTED_VALUE"""),"EQUIPOS")</f>
        <v>EQUIPOS</v>
      </c>
      <c r="E2094" s="213" t="str">
        <f>IFERROR(__xludf.DUMMYFUNCTION("""COMPUTED_VALUE"""),"ESP-305")</f>
        <v>ESP-305</v>
      </c>
      <c r="F2094" s="213" t="str">
        <f>IFERROR(__xludf.DUMMYFUNCTION("""COMPUTED_VALUE"""),"ESP-305")</f>
        <v>ESP-305</v>
      </c>
      <c r="G2094" s="213"/>
      <c r="H2094" s="213" t="str">
        <f>IFERROR(__xludf.DUMMYFUNCTION("""COMPUTED_VALUE"""),"PLOTTER")</f>
        <v>PLOTTER</v>
      </c>
      <c r="I2094" s="213" t="str">
        <f>IFERROR(__xludf.DUMMYFUNCTION("""COMPUTED_VALUE"""),"TAMAÑO DE ROLLO A SOPORTAR Desde 10"" y/o 11"" hasta 36""
CATEGORÍA Impresora Inyección TIPO: Color
PRECISIÓN DE LÍNEA  +/- 0.1% CONECTIVIDAD USB USB 2.0
CONECTIVIDAD LAN Fast Ethernet 10/100/1000 Base TX CONECTIVIDAD Inalambrica
MEMORIA INTERNA 1024 MB R"&amp;"AM
ALIMENTADOR AUTOMÁTICO DE DOCUMENTO Sí RESOLUCIÓN DE IMPRESORA 2400 x 1200 PPP FORMATO DE IMPRESIÓN CAD
LENGUAJES DE IMPRESIÓN  HP-GL/2 y HP RTL VOLTAJE 100VAC – 240VAC /60 HZ
ACCESORIOS 01 Cable de poder y Manual CERTIFICADO Energy Star y/o CE y/o FCC"&amp;" y/o RoHS.")</f>
        <v>TAMAÑO DE ROLLO A SOPORTAR Desde 10" y/o 11" hasta 36"
CATEGORÍA Impresora Inyección TIPO: Color
PRECISIÓN DE LÍNEA  +/- 0.1% CONECTIVIDAD USB USB 2.0
CONECTIVIDAD LAN Fast Ethernet 10/100/1000 Base TX CONECTIVIDAD Inalambrica
MEMORIA INTERNA 1024 MB RAM
ALIMENTADOR AUTOMÁTICO DE DOCUMENTO Sí RESOLUCIÓN DE IMPRESORA 2400 x 1200 PPP FORMATO DE IMPRESIÓN CAD
LENGUAJES DE IMPRESIÓN  HP-GL/2 y HP RTL VOLTAJE 100VAC – 240VAC /60 HZ
ACCESORIOS 01 Cable de poder y Manual CERTIFICADO Energy Star y/o CE y/o FCC y/o RoHS.</v>
      </c>
      <c r="J2094" s="213">
        <f>IFERROR(__xludf.DUMMYFUNCTION("""COMPUTED_VALUE"""),3.0)</f>
        <v>3</v>
      </c>
      <c r="K2094" s="213" t="str">
        <f>IFERROR(__xludf.DUMMYFUNCTION("""COMPUTED_VALUE"""),"170 DÍAS CALENDARIO")</f>
        <v>170 DÍAS CALENDARIO</v>
      </c>
      <c r="L2094" s="213" t="str">
        <f>IFERROR(__xludf.DUMMYFUNCTION("""COMPUTED_VALUE"""),"")</f>
        <v/>
      </c>
      <c r="M2094" s="213">
        <f>IFERROR(__xludf.DUMMYFUNCTION("""COMPUTED_VALUE"""),1.0)</f>
        <v>1</v>
      </c>
      <c r="N2094" s="213">
        <f>IFERROR(__xludf.DUMMYFUNCTION("""COMPUTED_VALUE"""),1.0)</f>
        <v>1</v>
      </c>
      <c r="O2094" s="213">
        <f>IFERROR(__xludf.DUMMYFUNCTION("""COMPUTED_VALUE"""),1.0)</f>
        <v>1</v>
      </c>
      <c r="P2094" s="213"/>
      <c r="Q2094" s="213"/>
      <c r="R2094" s="213"/>
      <c r="S2094" s="213" t="str">
        <f>IFERROR(__xludf.DUMMYFUNCTION("""COMPUTED_VALUE"""),"SI")</f>
        <v>SI</v>
      </c>
      <c r="T2094" s="213" t="str">
        <f>IFERROR(__xludf.DUMMYFUNCTION("""COMPUTED_VALUE"""),"SI")</f>
        <v>SI</v>
      </c>
      <c r="U2094" s="213" t="str">
        <f>IFERROR(__xludf.DUMMYFUNCTION("""COMPUTED_VALUE"""),"SI")</f>
        <v>SI</v>
      </c>
      <c r="V2094" s="213" t="str">
        <f>IFERROR(__xludf.DUMMYFUNCTION("""COMPUTED_VALUE"""),"-")</f>
        <v>-</v>
      </c>
      <c r="W2094" s="213" t="str">
        <f>IFERROR(__xludf.DUMMYFUNCTION("""COMPUTED_VALUE"""),"-")</f>
        <v>-</v>
      </c>
      <c r="X2094" s="213" t="str">
        <f>IFERROR(__xludf.DUMMYFUNCTION("""COMPUTED_VALUE"""),"HP")</f>
        <v>HP</v>
      </c>
      <c r="Y2094" s="213" t="str">
        <f>IFERROR(__xludf.DUMMYFUNCTION("""COMPUTED_VALUE"""),"DesignJet T650 de 36"" (5HB10D)")</f>
        <v>DesignJet T650 de 36" (5HB10D)</v>
      </c>
      <c r="Z2094" s="215" t="str">
        <f>IFERROR(__xludf.DUMMYFUNCTION("""COMPUTED_VALUE"""),"https://www.hp.com/pe-es/shop/impresora-hp-designjet-t650-de-36-5hb10d.html")</f>
        <v>https://www.hp.com/pe-es/shop/impresora-hp-designjet-t650-de-36-5hb10d.html</v>
      </c>
      <c r="AA2094" s="213" t="str">
        <f>IFERROR(__xludf.DUMMYFUNCTION("""COMPUTED_VALUE"""),"ESP-305 PLOTTER - CET")</f>
        <v>ESP-305 PLOTTER - CET</v>
      </c>
      <c r="AB2094" s="215" t="str">
        <f>IFERROR(__xludf.DUMMYFUNCTION("""COMPUTED_VALUE"""),"https://drive.google.com/file/d/1ooz8WkWkrCIblY37Qp50ieeuweAl3fGl/view?usp=sharing")</f>
        <v>https://drive.google.com/file/d/1ooz8WkWkrCIblY37Qp50ieeuweAl3fGl/view?usp=sharing</v>
      </c>
      <c r="AC2094" s="213"/>
      <c r="AD2094" s="213"/>
      <c r="AE2094" s="213"/>
      <c r="AF2094" s="213"/>
      <c r="AG2094" s="213"/>
      <c r="AH2094" s="213"/>
      <c r="AI2094" s="213"/>
      <c r="AJ2094" s="213"/>
      <c r="AK2094" s="213"/>
      <c r="AL2094" s="213"/>
      <c r="AM2094" s="213"/>
      <c r="AN2094" s="213"/>
      <c r="AO2094" s="213"/>
      <c r="AP2094" s="213" t="str">
        <f>IFERROR(__xludf.DUMMYFUNCTION("""COMPUTED_VALUE"""),"MICHEL")</f>
        <v>MICHEL</v>
      </c>
      <c r="AQ2094" s="213"/>
      <c r="AR2094" s="213"/>
      <c r="AS2094" s="213"/>
      <c r="AT2094" s="213"/>
      <c r="AU2094" s="213"/>
      <c r="AV2094" s="213"/>
      <c r="AW2094" s="213"/>
      <c r="AX2094" s="213"/>
      <c r="AY2094" s="213"/>
      <c r="AZ2094" s="213"/>
      <c r="BA2094" s="213"/>
      <c r="BB2094" s="213"/>
      <c r="BC2094" s="213"/>
      <c r="BD2094" s="213"/>
    </row>
    <row r="2095">
      <c r="A2095" s="213">
        <f>IFERROR(__xludf.DUMMYFUNCTION("""COMPUTED_VALUE"""),1700.0)</f>
        <v>1700</v>
      </c>
      <c r="B2095" s="213" t="str">
        <f>IFERROR(__xludf.DUMMYFUNCTION("""COMPUTED_VALUE"""),"GUILLERMO E. BILLINGHURST ")</f>
        <v>GUILLERMO E. BILLINGHURST </v>
      </c>
      <c r="C2095" s="213" t="str">
        <f>IFERROR(__xludf.DUMMYFUNCTION("""COMPUTED_VALUE"""),"TALLER SFT DE COMPUTACIÓN E INFORMÁTICA")</f>
        <v>TALLER SFT DE COMPUTACIÓN E INFORMÁTICA</v>
      </c>
      <c r="D2095" s="213" t="str">
        <f>IFERROR(__xludf.DUMMYFUNCTION("""COMPUTED_VALUE"""),"EQUIPOS")</f>
        <v>EQUIPOS</v>
      </c>
      <c r="E2095" s="213" t="str">
        <f>IFERROR(__xludf.DUMMYFUNCTION("""COMPUTED_VALUE"""),"ESP-305")</f>
        <v>ESP-305</v>
      </c>
      <c r="F2095" s="213" t="str">
        <f>IFERROR(__xludf.DUMMYFUNCTION("""COMPUTED_VALUE"""),"ESP-305")</f>
        <v>ESP-305</v>
      </c>
      <c r="G2095" s="213"/>
      <c r="H2095" s="213" t="str">
        <f>IFERROR(__xludf.DUMMYFUNCTION("""COMPUTED_VALUE"""),"PLOTTER")</f>
        <v>PLOTTER</v>
      </c>
      <c r="I2095" s="213" t="str">
        <f>IFERROR(__xludf.DUMMYFUNCTION("""COMPUTED_VALUE"""),"TAMAÑO DE ROLLO A SOPORTAR Desde 10"" y/o 11"" hasta 36""
CATEGORÍA Impresora Inyección TIPO: Color
PRECISIÓN DE LÍNEA  +/- 0.1% CONECTIVIDAD USB USB 2.0
CONECTIVIDAD LAN Fast Ethernet 10/100/1000 Base TX CONECTIVIDAD Inalambrica
MEMORIA INTERNA 1024 MB R"&amp;"AM
ALIMENTADOR AUTOMÁTICO DE DOCUMENTO Sí RESOLUCIÓN DE IMPRESORA 2400 x 1200 PPP FORMATO DE IMPRESIÓN CAD
LENGUAJES DE IMPRESIÓN  HP-GL/2 y HP RTL VOLTAJE 100VAC – 240VAC /60 HZ
ACCESORIOS 01 Cable de poder y Manual CERTIFICADO Energy Star y/o CE y/o FCC"&amp;" y/o RoHS.")</f>
        <v>TAMAÑO DE ROLLO A SOPORTAR Desde 10" y/o 11" hasta 36"
CATEGORÍA Impresora Inyección TIPO: Color
PRECISIÓN DE LÍNEA  +/- 0.1% CONECTIVIDAD USB USB 2.0
CONECTIVIDAD LAN Fast Ethernet 10/100/1000 Base TX CONECTIVIDAD Inalambrica
MEMORIA INTERNA 1024 MB RAM
ALIMENTADOR AUTOMÁTICO DE DOCUMENTO Sí RESOLUCIÓN DE IMPRESORA 2400 x 1200 PPP FORMATO DE IMPRESIÓN CAD
LENGUAJES DE IMPRESIÓN  HP-GL/2 y HP RTL VOLTAJE 100VAC – 240VAC /60 HZ
ACCESORIOS 01 Cable de poder y Manual CERTIFICADO Energy Star y/o CE y/o FCC y/o RoHS.</v>
      </c>
      <c r="J2095" s="213">
        <f>IFERROR(__xludf.DUMMYFUNCTION("""COMPUTED_VALUE"""),3.0)</f>
        <v>3</v>
      </c>
      <c r="K2095" s="213" t="str">
        <f>IFERROR(__xludf.DUMMYFUNCTION("""COMPUTED_VALUE"""),"170 DÍAS CALENDARIO")</f>
        <v>170 DÍAS CALENDARIO</v>
      </c>
      <c r="L2095" s="213" t="str">
        <f>IFERROR(__xludf.DUMMYFUNCTION("""COMPUTED_VALUE"""),"")</f>
        <v/>
      </c>
      <c r="M2095" s="213">
        <f>IFERROR(__xludf.DUMMYFUNCTION("""COMPUTED_VALUE"""),1.0)</f>
        <v>1</v>
      </c>
      <c r="N2095" s="213">
        <f>IFERROR(__xludf.DUMMYFUNCTION("""COMPUTED_VALUE"""),1.0)</f>
        <v>1</v>
      </c>
      <c r="O2095" s="213">
        <f>IFERROR(__xludf.DUMMYFUNCTION("""COMPUTED_VALUE"""),1.0)</f>
        <v>1</v>
      </c>
      <c r="P2095" s="213"/>
      <c r="Q2095" s="213"/>
      <c r="R2095" s="213"/>
      <c r="S2095" s="213" t="str">
        <f>IFERROR(__xludf.DUMMYFUNCTION("""COMPUTED_VALUE"""),"SI")</f>
        <v>SI</v>
      </c>
      <c r="T2095" s="213" t="str">
        <f>IFERROR(__xludf.DUMMYFUNCTION("""COMPUTED_VALUE"""),"SI")</f>
        <v>SI</v>
      </c>
      <c r="U2095" s="213" t="str">
        <f>IFERROR(__xludf.DUMMYFUNCTION("""COMPUTED_VALUE"""),"SI")</f>
        <v>SI</v>
      </c>
      <c r="V2095" s="213" t="str">
        <f>IFERROR(__xludf.DUMMYFUNCTION("""COMPUTED_VALUE"""),"-")</f>
        <v>-</v>
      </c>
      <c r="W2095" s="213" t="str">
        <f>IFERROR(__xludf.DUMMYFUNCTION("""COMPUTED_VALUE"""),"-")</f>
        <v>-</v>
      </c>
      <c r="X2095" s="213" t="str">
        <f>IFERROR(__xludf.DUMMYFUNCTION("""COMPUTED_VALUE"""),"HP")</f>
        <v>HP</v>
      </c>
      <c r="Y2095" s="213" t="str">
        <f>IFERROR(__xludf.DUMMYFUNCTION("""COMPUTED_VALUE"""),"DesignJet T650 de 36"" (5HB10D)")</f>
        <v>DesignJet T650 de 36" (5HB10D)</v>
      </c>
      <c r="Z2095" s="215" t="str">
        <f>IFERROR(__xludf.DUMMYFUNCTION("""COMPUTED_VALUE"""),"https://www.hp.com/pe-es/shop/impresora-hp-designjet-t650-de-36-5hb10d.html")</f>
        <v>https://www.hp.com/pe-es/shop/impresora-hp-designjet-t650-de-36-5hb10d.html</v>
      </c>
      <c r="AA2095" s="213" t="str">
        <f>IFERROR(__xludf.DUMMYFUNCTION("""COMPUTED_VALUE"""),"ESP-305 PLOTTER - CET")</f>
        <v>ESP-305 PLOTTER - CET</v>
      </c>
      <c r="AB2095" s="215" t="str">
        <f>IFERROR(__xludf.DUMMYFUNCTION("""COMPUTED_VALUE"""),"https://drive.google.com/file/d/1ooz8WkWkrCIblY37Qp50ieeuweAl3fGl/view?usp=sharing")</f>
        <v>https://drive.google.com/file/d/1ooz8WkWkrCIblY37Qp50ieeuweAl3fGl/view?usp=sharing</v>
      </c>
      <c r="AC2095" s="213"/>
      <c r="AD2095" s="213"/>
      <c r="AE2095" s="213"/>
      <c r="AF2095" s="213"/>
      <c r="AG2095" s="213"/>
      <c r="AH2095" s="213"/>
      <c r="AI2095" s="213"/>
      <c r="AJ2095" s="213"/>
      <c r="AK2095" s="213"/>
      <c r="AL2095" s="213"/>
      <c r="AM2095" s="213"/>
      <c r="AN2095" s="213"/>
      <c r="AO2095" s="213"/>
      <c r="AP2095" s="213" t="str">
        <f>IFERROR(__xludf.DUMMYFUNCTION("""COMPUTED_VALUE"""),"MICHEL")</f>
        <v>MICHEL</v>
      </c>
      <c r="AQ2095" s="213"/>
      <c r="AR2095" s="213"/>
      <c r="AS2095" s="213"/>
      <c r="AT2095" s="213"/>
      <c r="AU2095" s="213"/>
      <c r="AV2095" s="213"/>
      <c r="AW2095" s="213"/>
      <c r="AX2095" s="213"/>
      <c r="AY2095" s="213"/>
      <c r="AZ2095" s="213"/>
      <c r="BA2095" s="213"/>
      <c r="BB2095" s="213"/>
      <c r="BC2095" s="213"/>
      <c r="BD2095" s="213"/>
    </row>
    <row r="2096">
      <c r="A2096" s="213">
        <f>IFERROR(__xludf.DUMMYFUNCTION("""COMPUTED_VALUE"""),1952.0)</f>
        <v>1952</v>
      </c>
      <c r="B2096" s="213" t="str">
        <f>IFERROR(__xludf.DUMMYFUNCTION("""COMPUTED_VALUE"""),"JOSE GRANDA")</f>
        <v>JOSE GRANDA</v>
      </c>
      <c r="C2096" s="213" t="str">
        <f>IFERROR(__xludf.DUMMYFUNCTION("""COMPUTED_VALUE"""),"TALLER SFT DE COMPUTACIÓN E INFORMÁTICA")</f>
        <v>TALLER SFT DE COMPUTACIÓN E INFORMÁTICA</v>
      </c>
      <c r="D2096" s="213" t="str">
        <f>IFERROR(__xludf.DUMMYFUNCTION("""COMPUTED_VALUE"""),"EQUIPOS")</f>
        <v>EQUIPOS</v>
      </c>
      <c r="E2096" s="213" t="str">
        <f>IFERROR(__xludf.DUMMYFUNCTION("""COMPUTED_VALUE"""),"ESP-305")</f>
        <v>ESP-305</v>
      </c>
      <c r="F2096" s="213" t="str">
        <f>IFERROR(__xludf.DUMMYFUNCTION("""COMPUTED_VALUE"""),"ESP-305")</f>
        <v>ESP-305</v>
      </c>
      <c r="G2096" s="213"/>
      <c r="H2096" s="213" t="str">
        <f>IFERROR(__xludf.DUMMYFUNCTION("""COMPUTED_VALUE"""),"PLOTTER")</f>
        <v>PLOTTER</v>
      </c>
      <c r="I2096" s="213" t="str">
        <f>IFERROR(__xludf.DUMMYFUNCTION("""COMPUTED_VALUE"""),"TAMAÑO DE ROLLO A SOPORTAR Desde 10"" y/o 11"" hasta 36""
CATEGORÍA Impresora Inyección TIPO: Color
PRECISIÓN DE LÍNEA  +/- 0.1% CONECTIVIDAD USB USB 2.0
CONECTIVIDAD LAN Fast Ethernet 10/100/1000 Base TX CONECTIVIDAD Inalambrica
MEMORIA INTERNA 1024 MB R"&amp;"AM
ALIMENTADOR AUTOMÁTICO DE DOCUMENTO Sí RESOLUCIÓN DE IMPRESORA 2400 x 1200 PPP FORMATO DE IMPRESIÓN CAD
LENGUAJES DE IMPRESIÓN  HP-GL/2 y HP RTL VOLTAJE 100VAC – 240VAC /60 HZ
ACCESORIOS 01 Cable de poder y Manual CERTIFICADO Energy Star y/o CE y/o FCC"&amp;" y/o RoHS.")</f>
        <v>TAMAÑO DE ROLLO A SOPORTAR Desde 10" y/o 11" hasta 36"
CATEGORÍA Impresora Inyección TIPO: Color
PRECISIÓN DE LÍNEA  +/- 0.1% CONECTIVIDAD USB USB 2.0
CONECTIVIDAD LAN Fast Ethernet 10/100/1000 Base TX CONECTIVIDAD Inalambrica
MEMORIA INTERNA 1024 MB RAM
ALIMENTADOR AUTOMÁTICO DE DOCUMENTO Sí RESOLUCIÓN DE IMPRESORA 2400 x 1200 PPP FORMATO DE IMPRESIÓN CAD
LENGUAJES DE IMPRESIÓN  HP-GL/2 y HP RTL VOLTAJE 100VAC – 240VAC /60 HZ
ACCESORIOS 01 Cable de poder y Manual CERTIFICADO Energy Star y/o CE y/o FCC y/o RoHS.</v>
      </c>
      <c r="J2096" s="213">
        <f>IFERROR(__xludf.DUMMYFUNCTION("""COMPUTED_VALUE"""),3.0)</f>
        <v>3</v>
      </c>
      <c r="K2096" s="213" t="str">
        <f>IFERROR(__xludf.DUMMYFUNCTION("""COMPUTED_VALUE"""),"170 DÍAS CALENDARIO")</f>
        <v>170 DÍAS CALENDARIO</v>
      </c>
      <c r="L2096" s="213" t="str">
        <f>IFERROR(__xludf.DUMMYFUNCTION("""COMPUTED_VALUE"""),"")</f>
        <v/>
      </c>
      <c r="M2096" s="213">
        <f>IFERROR(__xludf.DUMMYFUNCTION("""COMPUTED_VALUE"""),1.0)</f>
        <v>1</v>
      </c>
      <c r="N2096" s="213">
        <f>IFERROR(__xludf.DUMMYFUNCTION("""COMPUTED_VALUE"""),1.0)</f>
        <v>1</v>
      </c>
      <c r="O2096" s="213">
        <f>IFERROR(__xludf.DUMMYFUNCTION("""COMPUTED_VALUE"""),1.0)</f>
        <v>1</v>
      </c>
      <c r="P2096" s="213"/>
      <c r="Q2096" s="213"/>
      <c r="R2096" s="213"/>
      <c r="S2096" s="213" t="str">
        <f>IFERROR(__xludf.DUMMYFUNCTION("""COMPUTED_VALUE"""),"SI")</f>
        <v>SI</v>
      </c>
      <c r="T2096" s="213" t="str">
        <f>IFERROR(__xludf.DUMMYFUNCTION("""COMPUTED_VALUE"""),"SI")</f>
        <v>SI</v>
      </c>
      <c r="U2096" s="213" t="str">
        <f>IFERROR(__xludf.DUMMYFUNCTION("""COMPUTED_VALUE"""),"SI")</f>
        <v>SI</v>
      </c>
      <c r="V2096" s="213" t="str">
        <f>IFERROR(__xludf.DUMMYFUNCTION("""COMPUTED_VALUE"""),"-")</f>
        <v>-</v>
      </c>
      <c r="W2096" s="213" t="str">
        <f>IFERROR(__xludf.DUMMYFUNCTION("""COMPUTED_VALUE"""),"-")</f>
        <v>-</v>
      </c>
      <c r="X2096" s="213" t="str">
        <f>IFERROR(__xludf.DUMMYFUNCTION("""COMPUTED_VALUE"""),"HP")</f>
        <v>HP</v>
      </c>
      <c r="Y2096" s="213" t="str">
        <f>IFERROR(__xludf.DUMMYFUNCTION("""COMPUTED_VALUE"""),"DesignJet T650 de 36"" (5HB10D)")</f>
        <v>DesignJet T650 de 36" (5HB10D)</v>
      </c>
      <c r="Z2096" s="215" t="str">
        <f>IFERROR(__xludf.DUMMYFUNCTION("""COMPUTED_VALUE"""),"https://www.hp.com/pe-es/shop/impresora-hp-designjet-t650-de-36-5hb10d.html")</f>
        <v>https://www.hp.com/pe-es/shop/impresora-hp-designjet-t650-de-36-5hb10d.html</v>
      </c>
      <c r="AA2096" s="213" t="str">
        <f>IFERROR(__xludf.DUMMYFUNCTION("""COMPUTED_VALUE"""),"ESP-305 PLOTTER - CET")</f>
        <v>ESP-305 PLOTTER - CET</v>
      </c>
      <c r="AB2096" s="215" t="str">
        <f>IFERROR(__xludf.DUMMYFUNCTION("""COMPUTED_VALUE"""),"https://drive.google.com/file/d/1ooz8WkWkrCIblY37Qp50ieeuweAl3fGl/view?usp=sharing")</f>
        <v>https://drive.google.com/file/d/1ooz8WkWkrCIblY37Qp50ieeuweAl3fGl/view?usp=sharing</v>
      </c>
      <c r="AC2096" s="213"/>
      <c r="AD2096" s="213"/>
      <c r="AE2096" s="213"/>
      <c r="AF2096" s="213"/>
      <c r="AG2096" s="213"/>
      <c r="AH2096" s="213"/>
      <c r="AI2096" s="213"/>
      <c r="AJ2096" s="213"/>
      <c r="AK2096" s="213"/>
      <c r="AL2096" s="213"/>
      <c r="AM2096" s="213"/>
      <c r="AN2096" s="213"/>
      <c r="AO2096" s="213"/>
      <c r="AP2096" s="213" t="str">
        <f>IFERROR(__xludf.DUMMYFUNCTION("""COMPUTED_VALUE"""),"MICHEL")</f>
        <v>MICHEL</v>
      </c>
      <c r="AQ2096" s="213"/>
      <c r="AR2096" s="213"/>
      <c r="AS2096" s="213"/>
      <c r="AT2096" s="213"/>
      <c r="AU2096" s="213"/>
      <c r="AV2096" s="213"/>
      <c r="AW2096" s="213"/>
      <c r="AX2096" s="213"/>
      <c r="AY2096" s="213"/>
      <c r="AZ2096" s="213"/>
      <c r="BA2096" s="213"/>
      <c r="BB2096" s="213"/>
      <c r="BC2096" s="213"/>
      <c r="BD2096" s="213"/>
    </row>
    <row r="2097">
      <c r="A2097" s="213">
        <f>IFERROR(__xludf.DUMMYFUNCTION("""COMPUTED_VALUE"""),761.0)</f>
        <v>761</v>
      </c>
      <c r="B2097" s="213" t="str">
        <f>IFERROR(__xludf.DUMMYFUNCTION("""COMPUTED_VALUE"""),"6049 RICARDO PALMA")</f>
        <v>6049 RICARDO PALMA</v>
      </c>
      <c r="C2097" s="213" t="str">
        <f>IFERROR(__xludf.DUMMYFUNCTION("""COMPUTED_VALUE"""),"TALLER SFT DE COMPUTACIÓN E INFORMÁTICA")</f>
        <v>TALLER SFT DE COMPUTACIÓN E INFORMÁTICA</v>
      </c>
      <c r="D2097" s="213" t="str">
        <f>IFERROR(__xludf.DUMMYFUNCTION("""COMPUTED_VALUE"""),"EQUIPOS")</f>
        <v>EQUIPOS</v>
      </c>
      <c r="E2097" s="213" t="str">
        <f>IFERROR(__xludf.DUMMYFUNCTION("""COMPUTED_VALUE"""),"ESP-306")</f>
        <v>ESP-306</v>
      </c>
      <c r="F2097" s="213" t="str">
        <f>IFERROR(__xludf.DUMMYFUNCTION("""COMPUTED_VALUE"""),"ESP-306")</f>
        <v>ESP-306</v>
      </c>
      <c r="G2097" s="213"/>
      <c r="H2097" s="213" t="str">
        <f>IFERROR(__xludf.DUMMYFUNCTION("""COMPUTED_VALUE"""),"PLOTTER DE CORTE")</f>
        <v>PLOTTER DE CORTE</v>
      </c>
      <c r="I2097" s="213" t="str">
        <f>IFERROR(__xludf.DUMMYFUNCTION("""COMPUTED_VALUE"""),"ANCHO DE CARGA Desde 70 CM PANTALLA INTEGRADA Tecnología LCD VELOCIDAD DE CORTE 50 cm/s CONECTIVIDAD USB USB 2.0 MATERIAL DE CORTE Vinil
ACCESORIOS 01 Cable de poder y 01 Manual. FUENTE DE PODER 100VAC – 240VAC /60 HZ
SOFTWARE INCLUIDO Controladores, soft"&amp;"ware de Corte de Vinil CERTIFICADO Energy STAR y/o CE y/o FCC y/o RoHS.")</f>
        <v>ANCHO DE CARGA Desde 70 CM PANTALLA INTEGRADA Tecnología LCD VELOCIDAD DE CORTE 50 cm/s CONECTIVIDAD USB USB 2.0 MATERIAL DE CORTE Vinil
ACCESORIOS 01 Cable de poder y 01 Manual. FUENTE DE PODER 100VAC – 240VAC /60 HZ
SOFTWARE INCLUIDO Controladores, software de Corte de Vinil CERTIFICADO Energy STAR y/o CE y/o FCC y/o RoHS.</v>
      </c>
      <c r="J2097" s="213">
        <f>IFERROR(__xludf.DUMMYFUNCTION("""COMPUTED_VALUE"""),3.0)</f>
        <v>3</v>
      </c>
      <c r="K2097" s="213" t="str">
        <f>IFERROR(__xludf.DUMMYFUNCTION("""COMPUTED_VALUE"""),"170 DÍAS CALENDARIO")</f>
        <v>170 DÍAS CALENDARIO</v>
      </c>
      <c r="L2097" s="213" t="str">
        <f>IFERROR(__xludf.DUMMYFUNCTION("""COMPUTED_VALUE"""),"")</f>
        <v/>
      </c>
      <c r="M2097" s="213">
        <f>IFERROR(__xludf.DUMMYFUNCTION("""COMPUTED_VALUE"""),1.0)</f>
        <v>1</v>
      </c>
      <c r="N2097" s="213">
        <f>IFERROR(__xludf.DUMMYFUNCTION("""COMPUTED_VALUE"""),1.0)</f>
        <v>1</v>
      </c>
      <c r="O2097" s="213">
        <f>IFERROR(__xludf.DUMMYFUNCTION("""COMPUTED_VALUE"""),1.0)</f>
        <v>1</v>
      </c>
      <c r="P2097" s="213"/>
      <c r="Q2097" s="213"/>
      <c r="R2097" s="213"/>
      <c r="S2097" s="213" t="str">
        <f>IFERROR(__xludf.DUMMYFUNCTION("""COMPUTED_VALUE"""),"SI")</f>
        <v>SI</v>
      </c>
      <c r="T2097" s="213" t="str">
        <f>IFERROR(__xludf.DUMMYFUNCTION("""COMPUTED_VALUE"""),"SI")</f>
        <v>SI</v>
      </c>
      <c r="U2097" s="213" t="str">
        <f>IFERROR(__xludf.DUMMYFUNCTION("""COMPUTED_VALUE"""),"SI")</f>
        <v>SI</v>
      </c>
      <c r="V2097" s="213" t="str">
        <f>IFERROR(__xludf.DUMMYFUNCTION("""COMPUTED_VALUE"""),"-")</f>
        <v>-</v>
      </c>
      <c r="W2097" s="213" t="str">
        <f>IFERROR(__xludf.DUMMYFUNCTION("""COMPUTED_VALUE"""),"-")</f>
        <v>-</v>
      </c>
      <c r="X2097" s="213" t="str">
        <f>IFERROR(__xludf.DUMMYFUNCTION("""COMPUTED_VALUE"""),"ROLAND DGA")</f>
        <v>ROLAND DGA</v>
      </c>
      <c r="Y2097" s="213" t="str">
        <f>IFERROR(__xludf.DUMMYFUNCTION("""COMPUTED_VALUE"""),"VERSASTUDIO GS2-24")</f>
        <v>VERSASTUDIO GS2-24</v>
      </c>
      <c r="Z2097" s="215" t="str">
        <f>IFERROR(__xludf.DUMMYFUNCTION("""COMPUTED_VALUE"""),"https://www.rolanddga.com/es-la/productos/plotter-de-corte/cortadora-de-vinilo-de-sobremesa-versastudio-gs2-24")</f>
        <v>https://www.rolanddga.com/es-la/productos/plotter-de-corte/cortadora-de-vinilo-de-sobremesa-versastudio-gs2-24</v>
      </c>
      <c r="AA2097" s="213" t="str">
        <f>IFERROR(__xludf.DUMMYFUNCTION("""COMPUTED_VALUE"""),"ESP-306 PLOTTER DE CORTE - CET")</f>
        <v>ESP-306 PLOTTER DE CORTE - CET</v>
      </c>
      <c r="AB2097" s="215" t="str">
        <f>IFERROR(__xludf.DUMMYFUNCTION("""COMPUTED_VALUE"""),"https://drive.google.com/file/d/1EYc3aYNkfqUfwLXsedObhQ-iWg1zbZg9/view?usp=sharing")</f>
        <v>https://drive.google.com/file/d/1EYc3aYNkfqUfwLXsedObhQ-iWg1zbZg9/view?usp=sharing</v>
      </c>
      <c r="AC2097" s="213"/>
      <c r="AD2097" s="213"/>
      <c r="AE2097" s="213"/>
      <c r="AF2097" s="213"/>
      <c r="AG2097" s="213"/>
      <c r="AH2097" s="213" t="str">
        <f>IFERROR(__xludf.DUMMYFUNCTION("""COMPUTED_VALUE"""),"IMPORTADO")</f>
        <v>IMPORTADO</v>
      </c>
      <c r="AI2097" s="213"/>
      <c r="AJ2097" s="213"/>
      <c r="AK2097" s="213"/>
      <c r="AL2097" s="213"/>
      <c r="AM2097" s="213"/>
      <c r="AN2097" s="213"/>
      <c r="AO2097" s="213"/>
      <c r="AP2097" s="213" t="str">
        <f>IFERROR(__xludf.DUMMYFUNCTION("""COMPUTED_VALUE"""),"MICHEL")</f>
        <v>MICHEL</v>
      </c>
      <c r="AQ2097" s="213"/>
      <c r="AR2097" s="213"/>
      <c r="AS2097" s="213"/>
      <c r="AT2097" s="213"/>
      <c r="AU2097" s="213"/>
      <c r="AV2097" s="213"/>
      <c r="AW2097" s="213"/>
      <c r="AX2097" s="213"/>
      <c r="AY2097" s="213"/>
      <c r="AZ2097" s="213"/>
      <c r="BA2097" s="213"/>
      <c r="BB2097" s="213"/>
      <c r="BC2097" s="213"/>
      <c r="BD2097" s="213"/>
    </row>
    <row r="2098">
      <c r="A2098" s="213">
        <f>IFERROR(__xludf.DUMMYFUNCTION("""COMPUTED_VALUE"""),1699.0)</f>
        <v>1699</v>
      </c>
      <c r="B2098" s="213" t="str">
        <f>IFERROR(__xludf.DUMMYFUNCTION("""COMPUTED_VALUE"""),"GUILLERMO E. BILLINGHURST ")</f>
        <v>GUILLERMO E. BILLINGHURST </v>
      </c>
      <c r="C2098" s="213" t="str">
        <f>IFERROR(__xludf.DUMMYFUNCTION("""COMPUTED_VALUE"""),"TALLER SFT DE COMPUTACIÓN E INFORMÁTICA")</f>
        <v>TALLER SFT DE COMPUTACIÓN E INFORMÁTICA</v>
      </c>
      <c r="D2098" s="213" t="str">
        <f>IFERROR(__xludf.DUMMYFUNCTION("""COMPUTED_VALUE"""),"EQUIPOS")</f>
        <v>EQUIPOS</v>
      </c>
      <c r="E2098" s="213" t="str">
        <f>IFERROR(__xludf.DUMMYFUNCTION("""COMPUTED_VALUE"""),"ESP-306")</f>
        <v>ESP-306</v>
      </c>
      <c r="F2098" s="213" t="str">
        <f>IFERROR(__xludf.DUMMYFUNCTION("""COMPUTED_VALUE"""),"ESP-306")</f>
        <v>ESP-306</v>
      </c>
      <c r="G2098" s="213"/>
      <c r="H2098" s="213" t="str">
        <f>IFERROR(__xludf.DUMMYFUNCTION("""COMPUTED_VALUE"""),"PLOTTER DE CORTE")</f>
        <v>PLOTTER DE CORTE</v>
      </c>
      <c r="I2098" s="213" t="str">
        <f>IFERROR(__xludf.DUMMYFUNCTION("""COMPUTED_VALUE"""),"ANCHO DE CARGA Desde 70 CM PANTALLA INTEGRADA Tecnología LCD VELOCIDAD DE CORTE 50 cm/s CONECTIVIDAD USB USB 2.0 MATERIAL DE CORTE Vinil
ACCESORIOS 01 Cable de poder y 01 Manual. FUENTE DE PODER 100VAC – 240VAC /60 HZ
SOFTWARE INCLUIDO Controladores, soft"&amp;"ware de Corte de Vinil CERTIFICADO Energy STAR y/o CE y/o FCC y/o RoHS.")</f>
        <v>ANCHO DE CARGA Desde 70 CM PANTALLA INTEGRADA Tecnología LCD VELOCIDAD DE CORTE 50 cm/s CONECTIVIDAD USB USB 2.0 MATERIAL DE CORTE Vinil
ACCESORIOS 01 Cable de poder y 01 Manual. FUENTE DE PODER 100VAC – 240VAC /60 HZ
SOFTWARE INCLUIDO Controladores, software de Corte de Vinil CERTIFICADO Energy STAR y/o CE y/o FCC y/o RoHS.</v>
      </c>
      <c r="J2098" s="213">
        <f>IFERROR(__xludf.DUMMYFUNCTION("""COMPUTED_VALUE"""),3.0)</f>
        <v>3</v>
      </c>
      <c r="K2098" s="213" t="str">
        <f>IFERROR(__xludf.DUMMYFUNCTION("""COMPUTED_VALUE"""),"170 DÍAS CALENDARIO")</f>
        <v>170 DÍAS CALENDARIO</v>
      </c>
      <c r="L2098" s="213" t="str">
        <f>IFERROR(__xludf.DUMMYFUNCTION("""COMPUTED_VALUE"""),"")</f>
        <v/>
      </c>
      <c r="M2098" s="213">
        <f>IFERROR(__xludf.DUMMYFUNCTION("""COMPUTED_VALUE"""),1.0)</f>
        <v>1</v>
      </c>
      <c r="N2098" s="213">
        <f>IFERROR(__xludf.DUMMYFUNCTION("""COMPUTED_VALUE"""),1.0)</f>
        <v>1</v>
      </c>
      <c r="O2098" s="213">
        <f>IFERROR(__xludf.DUMMYFUNCTION("""COMPUTED_VALUE"""),1.0)</f>
        <v>1</v>
      </c>
      <c r="P2098" s="213"/>
      <c r="Q2098" s="213"/>
      <c r="R2098" s="213"/>
      <c r="S2098" s="213" t="str">
        <f>IFERROR(__xludf.DUMMYFUNCTION("""COMPUTED_VALUE"""),"SI")</f>
        <v>SI</v>
      </c>
      <c r="T2098" s="213" t="str">
        <f>IFERROR(__xludf.DUMMYFUNCTION("""COMPUTED_VALUE"""),"SI")</f>
        <v>SI</v>
      </c>
      <c r="U2098" s="213" t="str">
        <f>IFERROR(__xludf.DUMMYFUNCTION("""COMPUTED_VALUE"""),"SI")</f>
        <v>SI</v>
      </c>
      <c r="V2098" s="213" t="str">
        <f>IFERROR(__xludf.DUMMYFUNCTION("""COMPUTED_VALUE"""),"-")</f>
        <v>-</v>
      </c>
      <c r="W2098" s="213" t="str">
        <f>IFERROR(__xludf.DUMMYFUNCTION("""COMPUTED_VALUE"""),"-")</f>
        <v>-</v>
      </c>
      <c r="X2098" s="213" t="str">
        <f>IFERROR(__xludf.DUMMYFUNCTION("""COMPUTED_VALUE"""),"ROLAND DGA")</f>
        <v>ROLAND DGA</v>
      </c>
      <c r="Y2098" s="213" t="str">
        <f>IFERROR(__xludf.DUMMYFUNCTION("""COMPUTED_VALUE"""),"VERSASTUDIO GS2-24")</f>
        <v>VERSASTUDIO GS2-24</v>
      </c>
      <c r="Z2098" s="215" t="str">
        <f>IFERROR(__xludf.DUMMYFUNCTION("""COMPUTED_VALUE"""),"https://www.rolanddga.com/es-la/productos/plotter-de-corte/cortadora-de-vinilo-de-sobremesa-versastudio-gs2-24")</f>
        <v>https://www.rolanddga.com/es-la/productos/plotter-de-corte/cortadora-de-vinilo-de-sobremesa-versastudio-gs2-24</v>
      </c>
      <c r="AA2098" s="213" t="str">
        <f>IFERROR(__xludf.DUMMYFUNCTION("""COMPUTED_VALUE"""),"ESP-306 PLOTTER DE CORTE - CET")</f>
        <v>ESP-306 PLOTTER DE CORTE - CET</v>
      </c>
      <c r="AB2098" s="215" t="str">
        <f>IFERROR(__xludf.DUMMYFUNCTION("""COMPUTED_VALUE"""),"https://drive.google.com/file/d/1EYc3aYNkfqUfwLXsedObhQ-iWg1zbZg9/view?usp=sharing")</f>
        <v>https://drive.google.com/file/d/1EYc3aYNkfqUfwLXsedObhQ-iWg1zbZg9/view?usp=sharing</v>
      </c>
      <c r="AC2098" s="213"/>
      <c r="AD2098" s="213"/>
      <c r="AE2098" s="213"/>
      <c r="AF2098" s="213"/>
      <c r="AG2098" s="213"/>
      <c r="AH2098" s="213" t="str">
        <f>IFERROR(__xludf.DUMMYFUNCTION("""COMPUTED_VALUE"""),"IMPORTADO")</f>
        <v>IMPORTADO</v>
      </c>
      <c r="AI2098" s="213"/>
      <c r="AJ2098" s="213"/>
      <c r="AK2098" s="213"/>
      <c r="AL2098" s="213"/>
      <c r="AM2098" s="213"/>
      <c r="AN2098" s="213"/>
      <c r="AO2098" s="213"/>
      <c r="AP2098" s="213" t="str">
        <f>IFERROR(__xludf.DUMMYFUNCTION("""COMPUTED_VALUE"""),"MICHEL")</f>
        <v>MICHEL</v>
      </c>
      <c r="AQ2098" s="213"/>
      <c r="AR2098" s="213"/>
      <c r="AS2098" s="213"/>
      <c r="AT2098" s="213"/>
      <c r="AU2098" s="213"/>
      <c r="AV2098" s="213"/>
      <c r="AW2098" s="213"/>
      <c r="AX2098" s="213"/>
      <c r="AY2098" s="213"/>
      <c r="AZ2098" s="213"/>
      <c r="BA2098" s="213"/>
      <c r="BB2098" s="213"/>
      <c r="BC2098" s="213"/>
      <c r="BD2098" s="213"/>
    </row>
    <row r="2099">
      <c r="A2099" s="213">
        <f>IFERROR(__xludf.DUMMYFUNCTION("""COMPUTED_VALUE"""),1951.0)</f>
        <v>1951</v>
      </c>
      <c r="B2099" s="213" t="str">
        <f>IFERROR(__xludf.DUMMYFUNCTION("""COMPUTED_VALUE"""),"JOSE GRANDA")</f>
        <v>JOSE GRANDA</v>
      </c>
      <c r="C2099" s="213" t="str">
        <f>IFERROR(__xludf.DUMMYFUNCTION("""COMPUTED_VALUE"""),"TALLER SFT DE COMPUTACIÓN E INFORMÁTICA")</f>
        <v>TALLER SFT DE COMPUTACIÓN E INFORMÁTICA</v>
      </c>
      <c r="D2099" s="213" t="str">
        <f>IFERROR(__xludf.DUMMYFUNCTION("""COMPUTED_VALUE"""),"EQUIPOS")</f>
        <v>EQUIPOS</v>
      </c>
      <c r="E2099" s="213" t="str">
        <f>IFERROR(__xludf.DUMMYFUNCTION("""COMPUTED_VALUE"""),"ESP-306")</f>
        <v>ESP-306</v>
      </c>
      <c r="F2099" s="213" t="str">
        <f>IFERROR(__xludf.DUMMYFUNCTION("""COMPUTED_VALUE"""),"ESP-306")</f>
        <v>ESP-306</v>
      </c>
      <c r="G2099" s="213"/>
      <c r="H2099" s="213" t="str">
        <f>IFERROR(__xludf.DUMMYFUNCTION("""COMPUTED_VALUE"""),"PLOTTER DE CORTE")</f>
        <v>PLOTTER DE CORTE</v>
      </c>
      <c r="I2099" s="213" t="str">
        <f>IFERROR(__xludf.DUMMYFUNCTION("""COMPUTED_VALUE"""),"ANCHO DE CARGA Desde 70 CM PANTALLA INTEGRADA Tecnología LCD VELOCIDAD DE CORTE 50 cm/s CONECTIVIDAD USB USB 2.0 MATERIAL DE CORTE Vinil
ACCESORIOS 01 Cable de poder y 01 Manual. FUENTE DE PODER 100VAC – 240VAC /60 HZ
SOFTWARE INCLUIDO Controladores, soft"&amp;"ware de Corte de Vinil CERTIFICADO Energy STAR y/o CE y/o FCC y/o RoHS.")</f>
        <v>ANCHO DE CARGA Desde 70 CM PANTALLA INTEGRADA Tecnología LCD VELOCIDAD DE CORTE 50 cm/s CONECTIVIDAD USB USB 2.0 MATERIAL DE CORTE Vinil
ACCESORIOS 01 Cable de poder y 01 Manual. FUENTE DE PODER 100VAC – 240VAC /60 HZ
SOFTWARE INCLUIDO Controladores, software de Corte de Vinil CERTIFICADO Energy STAR y/o CE y/o FCC y/o RoHS.</v>
      </c>
      <c r="J2099" s="213">
        <f>IFERROR(__xludf.DUMMYFUNCTION("""COMPUTED_VALUE"""),3.0)</f>
        <v>3</v>
      </c>
      <c r="K2099" s="213" t="str">
        <f>IFERROR(__xludf.DUMMYFUNCTION("""COMPUTED_VALUE"""),"170 DÍAS CALENDARIO")</f>
        <v>170 DÍAS CALENDARIO</v>
      </c>
      <c r="L2099" s="213" t="str">
        <f>IFERROR(__xludf.DUMMYFUNCTION("""COMPUTED_VALUE"""),"")</f>
        <v/>
      </c>
      <c r="M2099" s="213">
        <f>IFERROR(__xludf.DUMMYFUNCTION("""COMPUTED_VALUE"""),1.0)</f>
        <v>1</v>
      </c>
      <c r="N2099" s="213">
        <f>IFERROR(__xludf.DUMMYFUNCTION("""COMPUTED_VALUE"""),1.0)</f>
        <v>1</v>
      </c>
      <c r="O2099" s="213">
        <f>IFERROR(__xludf.DUMMYFUNCTION("""COMPUTED_VALUE"""),1.0)</f>
        <v>1</v>
      </c>
      <c r="P2099" s="213"/>
      <c r="Q2099" s="213"/>
      <c r="R2099" s="213"/>
      <c r="S2099" s="213" t="str">
        <f>IFERROR(__xludf.DUMMYFUNCTION("""COMPUTED_VALUE"""),"SI")</f>
        <v>SI</v>
      </c>
      <c r="T2099" s="213" t="str">
        <f>IFERROR(__xludf.DUMMYFUNCTION("""COMPUTED_VALUE"""),"SI")</f>
        <v>SI</v>
      </c>
      <c r="U2099" s="213" t="str">
        <f>IFERROR(__xludf.DUMMYFUNCTION("""COMPUTED_VALUE"""),"SI")</f>
        <v>SI</v>
      </c>
      <c r="V2099" s="213" t="str">
        <f>IFERROR(__xludf.DUMMYFUNCTION("""COMPUTED_VALUE"""),"-")</f>
        <v>-</v>
      </c>
      <c r="W2099" s="213" t="str">
        <f>IFERROR(__xludf.DUMMYFUNCTION("""COMPUTED_VALUE"""),"-")</f>
        <v>-</v>
      </c>
      <c r="X2099" s="213" t="str">
        <f>IFERROR(__xludf.DUMMYFUNCTION("""COMPUTED_VALUE"""),"ROLAND DGA")</f>
        <v>ROLAND DGA</v>
      </c>
      <c r="Y2099" s="213" t="str">
        <f>IFERROR(__xludf.DUMMYFUNCTION("""COMPUTED_VALUE"""),"VERSASTUDIO GS2-24")</f>
        <v>VERSASTUDIO GS2-24</v>
      </c>
      <c r="Z2099" s="215" t="str">
        <f>IFERROR(__xludf.DUMMYFUNCTION("""COMPUTED_VALUE"""),"https://www.rolanddga.com/es-la/productos/plotter-de-corte/cortadora-de-vinilo-de-sobremesa-versastudio-gs2-24")</f>
        <v>https://www.rolanddga.com/es-la/productos/plotter-de-corte/cortadora-de-vinilo-de-sobremesa-versastudio-gs2-24</v>
      </c>
      <c r="AA2099" s="213" t="str">
        <f>IFERROR(__xludf.DUMMYFUNCTION("""COMPUTED_VALUE"""),"ESP-306 PLOTTER DE CORTE - CET")</f>
        <v>ESP-306 PLOTTER DE CORTE - CET</v>
      </c>
      <c r="AB2099" s="215" t="str">
        <f>IFERROR(__xludf.DUMMYFUNCTION("""COMPUTED_VALUE"""),"https://drive.google.com/file/d/1EYc3aYNkfqUfwLXsedObhQ-iWg1zbZg9/view?usp=sharing")</f>
        <v>https://drive.google.com/file/d/1EYc3aYNkfqUfwLXsedObhQ-iWg1zbZg9/view?usp=sharing</v>
      </c>
      <c r="AC2099" s="213"/>
      <c r="AD2099" s="213"/>
      <c r="AE2099" s="213"/>
      <c r="AF2099" s="213"/>
      <c r="AG2099" s="213"/>
      <c r="AH2099" s="213" t="str">
        <f>IFERROR(__xludf.DUMMYFUNCTION("""COMPUTED_VALUE"""),"IMPORTADO")</f>
        <v>IMPORTADO</v>
      </c>
      <c r="AI2099" s="213"/>
      <c r="AJ2099" s="213"/>
      <c r="AK2099" s="213"/>
      <c r="AL2099" s="213"/>
      <c r="AM2099" s="213"/>
      <c r="AN2099" s="213"/>
      <c r="AO2099" s="213"/>
      <c r="AP2099" s="213" t="str">
        <f>IFERROR(__xludf.DUMMYFUNCTION("""COMPUTED_VALUE"""),"MICHEL")</f>
        <v>MICHEL</v>
      </c>
      <c r="AQ2099" s="213"/>
      <c r="AR2099" s="213"/>
      <c r="AS2099" s="213"/>
      <c r="AT2099" s="213"/>
      <c r="AU2099" s="213"/>
      <c r="AV2099" s="213"/>
      <c r="AW2099" s="213"/>
      <c r="AX2099" s="213"/>
      <c r="AY2099" s="213"/>
      <c r="AZ2099" s="213"/>
      <c r="BA2099" s="213"/>
      <c r="BB2099" s="213"/>
      <c r="BC2099" s="213"/>
      <c r="BD2099" s="213"/>
    </row>
    <row r="2100">
      <c r="A2100" s="213">
        <f>IFERROR(__xludf.DUMMYFUNCTION("""COMPUTED_VALUE"""),1587.0)</f>
        <v>1587</v>
      </c>
      <c r="B2100" s="213" t="str">
        <f>IFERROR(__xludf.DUMMYFUNCTION("""COMPUTED_VALUE"""),"GUILLERMO E. BILLINGHURST ")</f>
        <v>GUILLERMO E. BILLINGHURST </v>
      </c>
      <c r="C2100" s="213" t="str">
        <f>IFERROR(__xludf.DUMMYFUNCTION("""COMPUTED_VALUE"""),"TALLER SFT DE MECÁNICA AUTOMOTRIZ")</f>
        <v>TALLER SFT DE MECÁNICA AUTOMOTRIZ</v>
      </c>
      <c r="D2100" s="213" t="str">
        <f>IFERROR(__xludf.DUMMYFUNCTION("""COMPUTED_VALUE"""),"EQUIPOS")</f>
        <v>EQUIPOS</v>
      </c>
      <c r="E2100" s="213" t="str">
        <f>IFERROR(__xludf.DUMMYFUNCTION("""COMPUTED_VALUE"""),"ESP-307")</f>
        <v>ESP-307</v>
      </c>
      <c r="F2100" s="213" t="str">
        <f>IFERROR(__xludf.DUMMYFUNCTION("""COMPUTED_VALUE"""),"ESP-307")</f>
        <v>ESP-307</v>
      </c>
      <c r="G2100" s="213"/>
      <c r="H2100" s="213" t="str">
        <f>IFERROR(__xludf.DUMMYFUNCTION("""COMPUTED_VALUE"""),"PLUMA HIDRÁULICA")</f>
        <v>PLUMA HIDRÁULICA</v>
      </c>
      <c r="I2100" s="213" t="str">
        <f>IFERROR(__xludf.DUMMYFUNCTION("""COMPUTED_VALUE"""),"· Capacidad máxima de 2 toneladas.
· Brazo ajustable.
· Cuerpo plegable.
· Provisto de ruedas para movilidad.
· Construcción de acero y marco reforzado.
· Control manual de ascenso y descenso.
· Dimensiones L 180 x A150 x H95 cm")</f>
        <v>· Capacidad máxima de 2 toneladas.
· Brazo ajustable.
· Cuerpo plegable.
· Provisto de ruedas para movilidad.
· Construcción de acero y marco reforzado.
· Control manual de ascenso y descenso.
· Dimensiones L 180 x A150 x H95 cm</v>
      </c>
      <c r="J2100" s="213">
        <f>IFERROR(__xludf.DUMMYFUNCTION("""COMPUTED_VALUE"""),3.0)</f>
        <v>3</v>
      </c>
      <c r="K2100" s="213" t="str">
        <f>IFERROR(__xludf.DUMMYFUNCTION("""COMPUTED_VALUE"""),"170 DÍAS CALENDARIO")</f>
        <v>170 DÍAS CALENDARIO</v>
      </c>
      <c r="L2100" s="213" t="str">
        <f>IFERROR(__xludf.DUMMYFUNCTION("""COMPUTED_VALUE"""),"")</f>
        <v/>
      </c>
      <c r="M2100" s="213">
        <f>IFERROR(__xludf.DUMMYFUNCTION("""COMPUTED_VALUE"""),1.0)</f>
        <v>1</v>
      </c>
      <c r="N2100" s="213">
        <f>IFERROR(__xludf.DUMMYFUNCTION("""COMPUTED_VALUE"""),1.0)</f>
        <v>1</v>
      </c>
      <c r="O2100" s="213">
        <f>IFERROR(__xludf.DUMMYFUNCTION("""COMPUTED_VALUE"""),1.0)</f>
        <v>1</v>
      </c>
      <c r="P2100" s="213"/>
      <c r="Q2100" s="213"/>
      <c r="R2100" s="213"/>
      <c r="S2100" s="213" t="str">
        <f>IFERROR(__xludf.DUMMYFUNCTION("""COMPUTED_VALUE"""),"SI")</f>
        <v>SI</v>
      </c>
      <c r="T2100" s="213" t="str">
        <f>IFERROR(__xludf.DUMMYFUNCTION("""COMPUTED_VALUE"""),"SI")</f>
        <v>SI</v>
      </c>
      <c r="U2100" s="213" t="str">
        <f>IFERROR(__xludf.DUMMYFUNCTION("""COMPUTED_VALUE"""),"NO")</f>
        <v>NO</v>
      </c>
      <c r="V2100" s="213" t="str">
        <f>IFERROR(__xludf.DUMMYFUNCTION("""COMPUTED_VALUE"""),"SUSTENTO")</f>
        <v>SUSTENTO</v>
      </c>
      <c r="W2100" s="213" t="str">
        <f>IFERROR(__xludf.DUMMYFUNCTION("""COMPUTED_VALUE"""),"DIMENSIONAL")</f>
        <v>DIMENSIONAL</v>
      </c>
      <c r="X2100" s="213" t="str">
        <f>IFERROR(__xludf.DUMMYFUNCTION("""COMPUTED_VALUE"""),"TRUPER")</f>
        <v>TRUPER</v>
      </c>
      <c r="Y2100" s="213" t="str">
        <f>IFERROR(__xludf.DUMMYFUNCTION("""COMPUTED_VALUE"""),"PHF-2")</f>
        <v>PHF-2</v>
      </c>
      <c r="Z2100" s="215" t="str">
        <f>IFERROR(__xludf.DUMMYFUNCTION("""COMPUTED_VALUE"""),"https://www.truper.com/ficha_merca/ficha-print.php?code=12888")</f>
        <v>https://www.truper.com/ficha_merca/ficha-print.php?code=12888</v>
      </c>
      <c r="AA2100" s="213" t="str">
        <f>IFERROR(__xludf.DUMMYFUNCTION("""COMPUTED_VALUE"""),"ESP-307 PLUMA HIDRÁULICA - CET")</f>
        <v>ESP-307 PLUMA HIDRÁULICA - CET</v>
      </c>
      <c r="AB2100" s="215" t="str">
        <f>IFERROR(__xludf.DUMMYFUNCTION("""COMPUTED_VALUE"""),"https://drive.google.com/file/d/1JqWy3tkbEDBrUE-Y2HmqPvRFkOjvKxkl/view")</f>
        <v>https://drive.google.com/file/d/1JqWy3tkbEDBrUE-Y2HmqPvRFkOjvKxkl/view</v>
      </c>
      <c r="AC2100" s="215" t="str">
        <f>IFERROR(__xludf.DUMMYFUNCTION("""COMPUTED_VALUE"""),"https://drive.google.com/file/d/1k9fyimlwG66ZHKXwD8wGt2GwEWJQCEk9/view")</f>
        <v>https://drive.google.com/file/d/1k9fyimlwG66ZHKXwD8wGt2GwEWJQCEk9/view</v>
      </c>
      <c r="AD2100" s="213"/>
      <c r="AE2100" s="213"/>
      <c r="AF2100" s="213"/>
      <c r="AG2100" s="213"/>
      <c r="AH2100" s="213" t="str">
        <f>IFERROR(__xludf.DUMMYFUNCTION("""COMPUTED_VALUE"""),"NACIONAL")</f>
        <v>NACIONAL</v>
      </c>
      <c r="AI2100" s="213"/>
      <c r="AJ2100" s="213"/>
      <c r="AK2100" s="213"/>
      <c r="AL2100" s="213"/>
      <c r="AM2100" s="213"/>
      <c r="AN2100" s="213"/>
      <c r="AO2100" s="213"/>
      <c r="AP2100" s="213" t="str">
        <f>IFERROR(__xludf.DUMMYFUNCTION("""COMPUTED_VALUE"""),"NALDI")</f>
        <v>NALDI</v>
      </c>
      <c r="AQ2100" s="213" t="str">
        <f>IFERROR(__xludf.DUMMYFUNCTION("""COMPUTED_VALUE"""),"-")</f>
        <v>-</v>
      </c>
      <c r="AR2100" s="213"/>
      <c r="AS2100" s="213" t="str">
        <f>IFERROR(__xludf.DUMMYFUNCTION("""COMPUTED_VALUE"""),"-")</f>
        <v>-</v>
      </c>
      <c r="AT2100" s="213" t="str">
        <f>IFERROR(__xludf.DUMMYFUNCTION("""COMPUTED_VALUE"""),"-")</f>
        <v>-</v>
      </c>
      <c r="AU2100" s="213"/>
      <c r="AV2100" s="213"/>
      <c r="AW2100" s="213"/>
      <c r="AX2100" s="213"/>
      <c r="AY2100" s="213"/>
      <c r="AZ2100" s="213"/>
      <c r="BA2100" s="213"/>
      <c r="BB2100" s="213"/>
      <c r="BC2100" s="213"/>
      <c r="BD2100" s="213"/>
    </row>
    <row r="2101">
      <c r="A2101" s="213">
        <f>IFERROR(__xludf.DUMMYFUNCTION("""COMPUTED_VALUE"""),2274.0)</f>
        <v>2274</v>
      </c>
      <c r="B2101" s="213" t="str">
        <f>IFERROR(__xludf.DUMMYFUNCTION("""COMPUTED_VALUE"""),"JOSE GRANDA")</f>
        <v>JOSE GRANDA</v>
      </c>
      <c r="C2101" s="213" t="str">
        <f>IFERROR(__xludf.DUMMYFUNCTION("""COMPUTED_VALUE"""),"TALLER SFT DE MECÁNICA AUTOMOTRIZ")</f>
        <v>TALLER SFT DE MECÁNICA AUTOMOTRIZ</v>
      </c>
      <c r="D2101" s="213" t="str">
        <f>IFERROR(__xludf.DUMMYFUNCTION("""COMPUTED_VALUE"""),"EQUIPOS")</f>
        <v>EQUIPOS</v>
      </c>
      <c r="E2101" s="213" t="str">
        <f>IFERROR(__xludf.DUMMYFUNCTION("""COMPUTED_VALUE"""),"ESP-307")</f>
        <v>ESP-307</v>
      </c>
      <c r="F2101" s="213" t="str">
        <f>IFERROR(__xludf.DUMMYFUNCTION("""COMPUTED_VALUE"""),"ESP-307")</f>
        <v>ESP-307</v>
      </c>
      <c r="G2101" s="213"/>
      <c r="H2101" s="213" t="str">
        <f>IFERROR(__xludf.DUMMYFUNCTION("""COMPUTED_VALUE"""),"PLUMA HIDRÁULICA")</f>
        <v>PLUMA HIDRÁULICA</v>
      </c>
      <c r="I2101" s="213" t="str">
        <f>IFERROR(__xludf.DUMMYFUNCTION("""COMPUTED_VALUE"""),"· Capacidad máxima de 2 toneladas.
· Brazo ajustable.
· Cuerpo plegable.
· Provisto de ruedas para movilidad.
· Construcción de acero y marco reforzado.
· Control manual de ascenso y descenso.
· Dimensiones L 180 x A150 x H95 cm")</f>
        <v>· Capacidad máxima de 2 toneladas.
· Brazo ajustable.
· Cuerpo plegable.
· Provisto de ruedas para movilidad.
· Construcción de acero y marco reforzado.
· Control manual de ascenso y descenso.
· Dimensiones L 180 x A150 x H95 cm</v>
      </c>
      <c r="J2101" s="213">
        <f>IFERROR(__xludf.DUMMYFUNCTION("""COMPUTED_VALUE"""),3.0)</f>
        <v>3</v>
      </c>
      <c r="K2101" s="213" t="str">
        <f>IFERROR(__xludf.DUMMYFUNCTION("""COMPUTED_VALUE"""),"170 DÍAS CALENDARIO")</f>
        <v>170 DÍAS CALENDARIO</v>
      </c>
      <c r="L2101" s="213" t="str">
        <f>IFERROR(__xludf.DUMMYFUNCTION("""COMPUTED_VALUE"""),"")</f>
        <v/>
      </c>
      <c r="M2101" s="213">
        <f>IFERROR(__xludf.DUMMYFUNCTION("""COMPUTED_VALUE"""),1.0)</f>
        <v>1</v>
      </c>
      <c r="N2101" s="213">
        <f>IFERROR(__xludf.DUMMYFUNCTION("""COMPUTED_VALUE"""),1.0)</f>
        <v>1</v>
      </c>
      <c r="O2101" s="213">
        <f>IFERROR(__xludf.DUMMYFUNCTION("""COMPUTED_VALUE"""),1.0)</f>
        <v>1</v>
      </c>
      <c r="P2101" s="213"/>
      <c r="Q2101" s="213"/>
      <c r="R2101" s="213"/>
      <c r="S2101" s="213" t="str">
        <f>IFERROR(__xludf.DUMMYFUNCTION("""COMPUTED_VALUE"""),"SI")</f>
        <v>SI</v>
      </c>
      <c r="T2101" s="213" t="str">
        <f>IFERROR(__xludf.DUMMYFUNCTION("""COMPUTED_VALUE"""),"SI")</f>
        <v>SI</v>
      </c>
      <c r="U2101" s="213" t="str">
        <f>IFERROR(__xludf.DUMMYFUNCTION("""COMPUTED_VALUE"""),"NO")</f>
        <v>NO</v>
      </c>
      <c r="V2101" s="213" t="str">
        <f>IFERROR(__xludf.DUMMYFUNCTION("""COMPUTED_VALUE"""),"SUSTENTO")</f>
        <v>SUSTENTO</v>
      </c>
      <c r="W2101" s="213" t="str">
        <f>IFERROR(__xludf.DUMMYFUNCTION("""COMPUTED_VALUE"""),"DIMENSIONAL")</f>
        <v>DIMENSIONAL</v>
      </c>
      <c r="X2101" s="213" t="str">
        <f>IFERROR(__xludf.DUMMYFUNCTION("""COMPUTED_VALUE"""),"TRUPER")</f>
        <v>TRUPER</v>
      </c>
      <c r="Y2101" s="213" t="str">
        <f>IFERROR(__xludf.DUMMYFUNCTION("""COMPUTED_VALUE"""),"PHF-2")</f>
        <v>PHF-2</v>
      </c>
      <c r="Z2101" s="215" t="str">
        <f>IFERROR(__xludf.DUMMYFUNCTION("""COMPUTED_VALUE"""),"https://www.truper.com/ficha_merca/ficha-print.php?code=12888")</f>
        <v>https://www.truper.com/ficha_merca/ficha-print.php?code=12888</v>
      </c>
      <c r="AA2101" s="213" t="str">
        <f>IFERROR(__xludf.DUMMYFUNCTION("""COMPUTED_VALUE"""),"ESP-307 PLUMA HIDRÁULICA - CET")</f>
        <v>ESP-307 PLUMA HIDRÁULICA - CET</v>
      </c>
      <c r="AB2101" s="215" t="str">
        <f>IFERROR(__xludf.DUMMYFUNCTION("""COMPUTED_VALUE"""),"https://drive.google.com/file/d/1JqWy3tkbEDBrUE-Y2HmqPvRFkOjvKxkl/view")</f>
        <v>https://drive.google.com/file/d/1JqWy3tkbEDBrUE-Y2HmqPvRFkOjvKxkl/view</v>
      </c>
      <c r="AC2101" s="215" t="str">
        <f>IFERROR(__xludf.DUMMYFUNCTION("""COMPUTED_VALUE"""),"https://drive.google.com/file/d/1k9fyimlwG66ZHKXwD8wGt2GwEWJQCEk9/view")</f>
        <v>https://drive.google.com/file/d/1k9fyimlwG66ZHKXwD8wGt2GwEWJQCEk9/view</v>
      </c>
      <c r="AD2101" s="213"/>
      <c r="AE2101" s="213"/>
      <c r="AF2101" s="213"/>
      <c r="AG2101" s="213"/>
      <c r="AH2101" s="213" t="str">
        <f>IFERROR(__xludf.DUMMYFUNCTION("""COMPUTED_VALUE"""),"NACIONAL")</f>
        <v>NACIONAL</v>
      </c>
      <c r="AI2101" s="213"/>
      <c r="AJ2101" s="213"/>
      <c r="AK2101" s="213"/>
      <c r="AL2101" s="213"/>
      <c r="AM2101" s="213"/>
      <c r="AN2101" s="213"/>
      <c r="AO2101" s="213"/>
      <c r="AP2101" s="213" t="str">
        <f>IFERROR(__xludf.DUMMYFUNCTION("""COMPUTED_VALUE"""),"NALDI")</f>
        <v>NALDI</v>
      </c>
      <c r="AQ2101" s="213" t="str">
        <f>IFERROR(__xludf.DUMMYFUNCTION("""COMPUTED_VALUE"""),"-")</f>
        <v>-</v>
      </c>
      <c r="AR2101" s="213"/>
      <c r="AS2101" s="213" t="str">
        <f>IFERROR(__xludf.DUMMYFUNCTION("""COMPUTED_VALUE"""),"-")</f>
        <v>-</v>
      </c>
      <c r="AT2101" s="213" t="str">
        <f>IFERROR(__xludf.DUMMYFUNCTION("""COMPUTED_VALUE"""),"-")</f>
        <v>-</v>
      </c>
      <c r="AU2101" s="213"/>
      <c r="AV2101" s="213"/>
      <c r="AW2101" s="213"/>
      <c r="AX2101" s="213"/>
      <c r="AY2101" s="213"/>
      <c r="AZ2101" s="213"/>
      <c r="BA2101" s="213"/>
      <c r="BB2101" s="213"/>
      <c r="BC2101" s="213"/>
      <c r="BD2101" s="213"/>
    </row>
    <row r="2102">
      <c r="A2102" s="213">
        <f>IFERROR(__xludf.DUMMYFUNCTION("""COMPUTED_VALUE"""),2072.0)</f>
        <v>2072</v>
      </c>
      <c r="B2102" s="213" t="str">
        <f>IFERROR(__xludf.DUMMYFUNCTION("""COMPUTED_VALUE"""),"JOSE GRANDA")</f>
        <v>JOSE GRANDA</v>
      </c>
      <c r="C2102" s="213" t="str">
        <f>IFERROR(__xludf.DUMMYFUNCTION("""COMPUTED_VALUE"""),"TALLER SFT DE INDUSTRIA ALIMENTARIA")</f>
        <v>TALLER SFT DE INDUSTRIA ALIMENTARIA</v>
      </c>
      <c r="D2102" s="213" t="str">
        <f>IFERROR(__xludf.DUMMYFUNCTION("""COMPUTED_VALUE"""),"HERRAMIENTAS")</f>
        <v>HERRAMIENTAS</v>
      </c>
      <c r="E2102" s="213" t="str">
        <f>IFERROR(__xludf.DUMMYFUNCTION("""COMPUTED_VALUE"""),"MAT-190")</f>
        <v>MAT-190</v>
      </c>
      <c r="F2102" s="213" t="str">
        <f>IFERROR(__xludf.DUMMYFUNCTION("""COMPUTED_VALUE"""),"MAT-190")</f>
        <v>MAT-190</v>
      </c>
      <c r="G2102" s="213"/>
      <c r="H2102" s="213" t="str">
        <f>IFERROR(__xludf.DUMMYFUNCTION("""COMPUTED_VALUE"""),"JARRA DE PLÁSTICO DE 2 LITROS")</f>
        <v>JARRA DE PLÁSTICO DE 2 LITROS</v>
      </c>
      <c r="I2102"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102" s="213">
        <f>IFERROR(__xludf.DUMMYFUNCTION("""COMPUTED_VALUE"""),3.0)</f>
        <v>3</v>
      </c>
      <c r="K2102" s="213" t="str">
        <f>IFERROR(__xludf.DUMMYFUNCTION("""COMPUTED_VALUE"""),"90 DÍAS CALENDARIO")</f>
        <v>90 DÍAS CALENDARIO</v>
      </c>
      <c r="L2102" s="213" t="str">
        <f>IFERROR(__xludf.DUMMYFUNCTION("""COMPUTED_VALUE"""),"")</f>
        <v/>
      </c>
      <c r="M2102" s="213">
        <f>IFERROR(__xludf.DUMMYFUNCTION("""COMPUTED_VALUE"""),1.0)</f>
        <v>1</v>
      </c>
      <c r="N2102" s="213">
        <f>IFERROR(__xludf.DUMMYFUNCTION("""COMPUTED_VALUE"""),5.0)</f>
        <v>5</v>
      </c>
      <c r="O2102" s="213">
        <f>IFERROR(__xludf.DUMMYFUNCTION("""COMPUTED_VALUE"""),5.0)</f>
        <v>5</v>
      </c>
      <c r="P2102" s="213"/>
      <c r="Q2102" s="213"/>
      <c r="R2102" s="213" t="str">
        <f>IFERROR(__xludf.DUMMYFUNCTION("""COMPUTED_VALUE"""),"SI")</f>
        <v>SI</v>
      </c>
      <c r="S2102" s="213"/>
      <c r="T2102" s="213" t="str">
        <f>IFERROR(__xludf.DUMMYFUNCTION("""COMPUTED_VALUE"""),"CONSULTA FINAL")</f>
        <v>CONSULTA FINAL</v>
      </c>
      <c r="U2102" s="213" t="str">
        <f>IFERROR(__xludf.DUMMYFUNCTION("""COMPUTED_VALUE"""),"NO")</f>
        <v>NO</v>
      </c>
      <c r="V2102" s="213" t="str">
        <f>IFERROR(__xludf.DUMMYFUNCTION("""COMPUTED_VALUE"""),"SUSTENTO")</f>
        <v>SUSTENTO</v>
      </c>
      <c r="W2102" s="213" t="str">
        <f>IFERROR(__xludf.DUMMYFUNCTION("""COMPUTED_VALUE"""),"DIMENSIONAL")</f>
        <v>DIMENSIONAL</v>
      </c>
      <c r="X2102" s="213" t="str">
        <f>IFERROR(__xludf.DUMMYFUNCTION("""COMPUTED_VALUE"""),"BASA")</f>
        <v>BASA</v>
      </c>
      <c r="Y2102" s="213">
        <f>IFERROR(__xludf.DUMMYFUNCTION("""COMPUTED_VALUE"""),7.0094018E7)</f>
        <v>70094018</v>
      </c>
      <c r="Z2102"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102" s="213" t="str">
        <f>IFERROR(__xludf.DUMMYFUNCTION("""COMPUTED_VALUE"""),"MAT-190 JARRA DE PLÁSTICO DE 2 LITROS - CET")</f>
        <v>MAT-190 JARRA DE PLÁSTICO DE 2 LITROS - CET</v>
      </c>
      <c r="AB2102" s="213"/>
      <c r="AC2102" s="213"/>
      <c r="AD2102" s="213"/>
      <c r="AE2102" s="213"/>
      <c r="AF2102" s="213"/>
      <c r="AG2102" s="213"/>
      <c r="AH2102" s="213"/>
      <c r="AI2102" s="213"/>
      <c r="AJ2102" s="213"/>
      <c r="AK2102" s="213"/>
      <c r="AL2102" s="213"/>
      <c r="AM2102" s="213"/>
      <c r="AN2102" s="213"/>
      <c r="AO2102" s="213"/>
      <c r="AP2102" s="213" t="str">
        <f>IFERROR(__xludf.DUMMYFUNCTION("""COMPUTED_VALUE"""),"LUIS")</f>
        <v>LUIS</v>
      </c>
      <c r="AQ2102" s="213"/>
      <c r="AR2102" s="213"/>
      <c r="AS2102" s="213"/>
      <c r="AT2102" s="213"/>
      <c r="AU2102" s="213"/>
      <c r="AV2102" s="213"/>
      <c r="AW2102" s="213"/>
      <c r="AX2102" s="213"/>
      <c r="AY2102" s="213"/>
      <c r="AZ2102" s="213"/>
      <c r="BA2102" s="213"/>
      <c r="BB2102" s="213"/>
      <c r="BC2102" s="213"/>
      <c r="BD2102" s="213"/>
    </row>
    <row r="2103">
      <c r="A2103" s="213">
        <f>IFERROR(__xludf.DUMMYFUNCTION("""COMPUTED_VALUE"""),2092.0)</f>
        <v>2092</v>
      </c>
      <c r="B2103" s="213" t="str">
        <f>IFERROR(__xludf.DUMMYFUNCTION("""COMPUTED_VALUE"""),"JOSE GRANDA")</f>
        <v>JOSE GRANDA</v>
      </c>
      <c r="C2103" s="213" t="str">
        <f>IFERROR(__xludf.DUMMYFUNCTION("""COMPUTED_VALUE"""),"TALLER SFT DE INDUSTRIA ALIMENTARIA")</f>
        <v>TALLER SFT DE INDUSTRIA ALIMENTARIA</v>
      </c>
      <c r="D2103" s="213" t="str">
        <f>IFERROR(__xludf.DUMMYFUNCTION("""COMPUTED_VALUE"""),"HERRAMIENTAS")</f>
        <v>HERRAMIENTAS</v>
      </c>
      <c r="E2103" s="213" t="str">
        <f>IFERROR(__xludf.DUMMYFUNCTION("""COMPUTED_VALUE"""),"MAT-190")</f>
        <v>MAT-190</v>
      </c>
      <c r="F2103" s="213" t="str">
        <f>IFERROR(__xludf.DUMMYFUNCTION("""COMPUTED_VALUE"""),"MAT-190")</f>
        <v>MAT-190</v>
      </c>
      <c r="G2103" s="213"/>
      <c r="H2103" s="213" t="str">
        <f>IFERROR(__xludf.DUMMYFUNCTION("""COMPUTED_VALUE"""),"JARRA DE PLÁSTICO DE 2 LITROS")</f>
        <v>JARRA DE PLÁSTICO DE 2 LITROS</v>
      </c>
      <c r="I2103"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103" s="213">
        <f>IFERROR(__xludf.DUMMYFUNCTION("""COMPUTED_VALUE"""),3.0)</f>
        <v>3</v>
      </c>
      <c r="K2103" s="213" t="str">
        <f>IFERROR(__xludf.DUMMYFUNCTION("""COMPUTED_VALUE"""),"90 DÍAS CALENDARIO")</f>
        <v>90 DÍAS CALENDARIO</v>
      </c>
      <c r="L2103" s="213" t="str">
        <f>IFERROR(__xludf.DUMMYFUNCTION("""COMPUTED_VALUE"""),"")</f>
        <v/>
      </c>
      <c r="M2103" s="213">
        <f>IFERROR(__xludf.DUMMYFUNCTION("""COMPUTED_VALUE"""),1.0)</f>
        <v>1</v>
      </c>
      <c r="N2103" s="213">
        <f>IFERROR(__xludf.DUMMYFUNCTION("""COMPUTED_VALUE"""),5.0)</f>
        <v>5</v>
      </c>
      <c r="O2103" s="213">
        <f>IFERROR(__xludf.DUMMYFUNCTION("""COMPUTED_VALUE"""),5.0)</f>
        <v>5</v>
      </c>
      <c r="P2103" s="213"/>
      <c r="Q2103" s="213"/>
      <c r="R2103" s="213" t="str">
        <f>IFERROR(__xludf.DUMMYFUNCTION("""COMPUTED_VALUE"""),"SI")</f>
        <v>SI</v>
      </c>
      <c r="S2103" s="213"/>
      <c r="T2103" s="213" t="str">
        <f>IFERROR(__xludf.DUMMYFUNCTION("""COMPUTED_VALUE"""),"CONSULTA FINAL")</f>
        <v>CONSULTA FINAL</v>
      </c>
      <c r="U2103" s="213" t="str">
        <f>IFERROR(__xludf.DUMMYFUNCTION("""COMPUTED_VALUE"""),"NO")</f>
        <v>NO</v>
      </c>
      <c r="V2103" s="213" t="str">
        <f>IFERROR(__xludf.DUMMYFUNCTION("""COMPUTED_VALUE"""),"SUSTENTO")</f>
        <v>SUSTENTO</v>
      </c>
      <c r="W2103" s="213" t="str">
        <f>IFERROR(__xludf.DUMMYFUNCTION("""COMPUTED_VALUE"""),"DIMENSIONAL")</f>
        <v>DIMENSIONAL</v>
      </c>
      <c r="X2103" s="213" t="str">
        <f>IFERROR(__xludf.DUMMYFUNCTION("""COMPUTED_VALUE"""),"BASA")</f>
        <v>BASA</v>
      </c>
      <c r="Y2103" s="213">
        <f>IFERROR(__xludf.DUMMYFUNCTION("""COMPUTED_VALUE"""),7.0094018E7)</f>
        <v>70094018</v>
      </c>
      <c r="Z2103"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103" s="213" t="str">
        <f>IFERROR(__xludf.DUMMYFUNCTION("""COMPUTED_VALUE"""),"MAT-190 JARRA DE PLÁSTICO DE 2 LITROS - CET")</f>
        <v>MAT-190 JARRA DE PLÁSTICO DE 2 LITROS - CET</v>
      </c>
      <c r="AB2103" s="213"/>
      <c r="AC2103" s="213"/>
      <c r="AD2103" s="213"/>
      <c r="AE2103" s="213"/>
      <c r="AF2103" s="213"/>
      <c r="AG2103" s="213"/>
      <c r="AH2103" s="213"/>
      <c r="AI2103" s="213"/>
      <c r="AJ2103" s="213"/>
      <c r="AK2103" s="213"/>
      <c r="AL2103" s="213"/>
      <c r="AM2103" s="213"/>
      <c r="AN2103" s="213"/>
      <c r="AO2103" s="213"/>
      <c r="AP2103" s="213" t="str">
        <f>IFERROR(__xludf.DUMMYFUNCTION("""COMPUTED_VALUE"""),"LUIS")</f>
        <v>LUIS</v>
      </c>
      <c r="AQ2103" s="213"/>
      <c r="AR2103" s="213"/>
      <c r="AS2103" s="213"/>
      <c r="AT2103" s="213"/>
      <c r="AU2103" s="213"/>
      <c r="AV2103" s="213"/>
      <c r="AW2103" s="213"/>
      <c r="AX2103" s="213"/>
      <c r="AY2103" s="213"/>
      <c r="AZ2103" s="213"/>
      <c r="BA2103" s="213"/>
      <c r="BB2103" s="213"/>
      <c r="BC2103" s="213"/>
      <c r="BD2103" s="213"/>
    </row>
    <row r="2104">
      <c r="A2104" s="213">
        <f>IFERROR(__xludf.DUMMYFUNCTION("""COMPUTED_VALUE"""),2110.0)</f>
        <v>2110</v>
      </c>
      <c r="B2104" s="213" t="str">
        <f>IFERROR(__xludf.DUMMYFUNCTION("""COMPUTED_VALUE"""),"JOSE GRANDA")</f>
        <v>JOSE GRANDA</v>
      </c>
      <c r="C2104" s="213" t="str">
        <f>IFERROR(__xludf.DUMMYFUNCTION("""COMPUTED_VALUE"""),"TALLER SFT DE INDUSTRIA ALIMENTARIA")</f>
        <v>TALLER SFT DE INDUSTRIA ALIMENTARIA</v>
      </c>
      <c r="D2104" s="213" t="str">
        <f>IFERROR(__xludf.DUMMYFUNCTION("""COMPUTED_VALUE"""),"HERRAMIENTAS")</f>
        <v>HERRAMIENTAS</v>
      </c>
      <c r="E2104" s="213" t="str">
        <f>IFERROR(__xludf.DUMMYFUNCTION("""COMPUTED_VALUE"""),"MAT-190")</f>
        <v>MAT-190</v>
      </c>
      <c r="F2104" s="213" t="str">
        <f>IFERROR(__xludf.DUMMYFUNCTION("""COMPUTED_VALUE"""),"MAT-190")</f>
        <v>MAT-190</v>
      </c>
      <c r="G2104" s="213"/>
      <c r="H2104" s="213" t="str">
        <f>IFERROR(__xludf.DUMMYFUNCTION("""COMPUTED_VALUE"""),"JARRA DE PLÁSTICO DE 2 LITROS")</f>
        <v>JARRA DE PLÁSTICO DE 2 LITROS</v>
      </c>
      <c r="I2104" s="213" t="str">
        <f>IFERROR(__xludf.DUMMYFUNCTION("""COMPUTED_VALUE"""),"· Material: Plástico
· Color: Blanco
· Características Jarra graduada hecha de 100% plástico virgen, su estructura y pico amoldable permitirá una mejor sujeción y cálculo del usuario
· Medidas minimas L235 mm X A 183 mm X H 155 mm
· Capacidad 2 Litros.")</f>
        <v>· Material: Plástico
· Color: Blanco
· Características Jarra graduada hecha de 100% plástico virgen, su estructura y pico amoldable permitirá una mejor sujeción y cálculo del usuario
· Medidas minimas L235 mm X A 183 mm X H 155 mm
· Capacidad 2 Litros.</v>
      </c>
      <c r="J2104" s="213">
        <f>IFERROR(__xludf.DUMMYFUNCTION("""COMPUTED_VALUE"""),3.0)</f>
        <v>3</v>
      </c>
      <c r="K2104" s="213" t="str">
        <f>IFERROR(__xludf.DUMMYFUNCTION("""COMPUTED_VALUE"""),"90 DÍAS CALENDARIO")</f>
        <v>90 DÍAS CALENDARIO</v>
      </c>
      <c r="L2104" s="213" t="str">
        <f>IFERROR(__xludf.DUMMYFUNCTION("""COMPUTED_VALUE"""),"")</f>
        <v/>
      </c>
      <c r="M2104" s="213">
        <f>IFERROR(__xludf.DUMMYFUNCTION("""COMPUTED_VALUE"""),1.0)</f>
        <v>1</v>
      </c>
      <c r="N2104" s="213">
        <f>IFERROR(__xludf.DUMMYFUNCTION("""COMPUTED_VALUE"""),5.0)</f>
        <v>5</v>
      </c>
      <c r="O2104" s="213">
        <f>IFERROR(__xludf.DUMMYFUNCTION("""COMPUTED_VALUE"""),5.0)</f>
        <v>5</v>
      </c>
      <c r="P2104" s="213"/>
      <c r="Q2104" s="213"/>
      <c r="R2104" s="213" t="str">
        <f>IFERROR(__xludf.DUMMYFUNCTION("""COMPUTED_VALUE"""),"SI")</f>
        <v>SI</v>
      </c>
      <c r="S2104" s="213"/>
      <c r="T2104" s="213" t="str">
        <f>IFERROR(__xludf.DUMMYFUNCTION("""COMPUTED_VALUE"""),"CONSULTA FINAL")</f>
        <v>CONSULTA FINAL</v>
      </c>
      <c r="U2104" s="213" t="str">
        <f>IFERROR(__xludf.DUMMYFUNCTION("""COMPUTED_VALUE"""),"NO")</f>
        <v>NO</v>
      </c>
      <c r="V2104" s="213" t="str">
        <f>IFERROR(__xludf.DUMMYFUNCTION("""COMPUTED_VALUE"""),"SUSTENTO")</f>
        <v>SUSTENTO</v>
      </c>
      <c r="W2104" s="213" t="str">
        <f>IFERROR(__xludf.DUMMYFUNCTION("""COMPUTED_VALUE"""),"DIMENSIONAL")</f>
        <v>DIMENSIONAL</v>
      </c>
      <c r="X2104" s="213" t="str">
        <f>IFERROR(__xludf.DUMMYFUNCTION("""COMPUTED_VALUE"""),"BASA")</f>
        <v>BASA</v>
      </c>
      <c r="Y2104" s="213">
        <f>IFERROR(__xludf.DUMMYFUNCTION("""COMPUTED_VALUE"""),7.0094018E7)</f>
        <v>70094018</v>
      </c>
      <c r="Z2104" s="215" t="str">
        <f>IFERROR(__xludf.DUMMYFUNCTION("""COMPUTED_VALUE"""),"https://www.uysa.com.pe/jarra-pvc-2-lt-transp-graduada-basa-70094018/p?srsltid=AfmBOoqQBwv2HJxzEkspl18l-0ryrEQNmRcxfVrw_fCrjdx11AV6GD6F")</f>
        <v>https://www.uysa.com.pe/jarra-pvc-2-lt-transp-graduada-basa-70094018/p?srsltid=AfmBOoqQBwv2HJxzEkspl18l-0ryrEQNmRcxfVrw_fCrjdx11AV6GD6F</v>
      </c>
      <c r="AA2104" s="213" t="str">
        <f>IFERROR(__xludf.DUMMYFUNCTION("""COMPUTED_VALUE"""),"MAT-190 JARRA DE PLÁSTICO DE 2 LITROS - CET")</f>
        <v>MAT-190 JARRA DE PLÁSTICO DE 2 LITROS - CET</v>
      </c>
      <c r="AB2104" s="213"/>
      <c r="AC2104" s="213"/>
      <c r="AD2104" s="213"/>
      <c r="AE2104" s="213"/>
      <c r="AF2104" s="213"/>
      <c r="AG2104" s="213"/>
      <c r="AH2104" s="213"/>
      <c r="AI2104" s="213"/>
      <c r="AJ2104" s="213"/>
      <c r="AK2104" s="213"/>
      <c r="AL2104" s="213"/>
      <c r="AM2104" s="213"/>
      <c r="AN2104" s="213"/>
      <c r="AO2104" s="213"/>
      <c r="AP2104" s="213" t="str">
        <f>IFERROR(__xludf.DUMMYFUNCTION("""COMPUTED_VALUE"""),"LUIS")</f>
        <v>LUIS</v>
      </c>
      <c r="AQ2104" s="213"/>
      <c r="AR2104" s="213"/>
      <c r="AS2104" s="213"/>
      <c r="AT2104" s="213"/>
      <c r="AU2104" s="213"/>
      <c r="AV2104" s="213"/>
      <c r="AW2104" s="213"/>
      <c r="AX2104" s="213"/>
      <c r="AY2104" s="213"/>
      <c r="AZ2104" s="213"/>
      <c r="BA2104" s="213"/>
      <c r="BB2104" s="213"/>
      <c r="BC2104" s="213"/>
      <c r="BD2104" s="213"/>
    </row>
    <row r="2105">
      <c r="A2105" s="213">
        <f>IFERROR(__xludf.DUMMYFUNCTION("""COMPUTED_VALUE"""),509.0)</f>
        <v>509</v>
      </c>
      <c r="B2105" s="213" t="str">
        <f>IFERROR(__xludf.DUMMYFUNCTION("""COMPUTED_VALUE"""),"2026 SIMON BOLIVAR")</f>
        <v>2026 SIMON BOLIVAR</v>
      </c>
      <c r="C2105" s="213" t="str">
        <f>IFERROR(__xludf.DUMMYFUNCTION("""COMPUTED_VALUE"""),"TALLER SFT DE INDUSTRIA ALIMENTARIA")</f>
        <v>TALLER SFT DE INDUSTRIA ALIMENTARIA</v>
      </c>
      <c r="D2105" s="213" t="str">
        <f>IFERROR(__xludf.DUMMYFUNCTION("""COMPUTED_VALUE"""),"HERRAMIENTAS")</f>
        <v>HERRAMIENTAS</v>
      </c>
      <c r="E2105" s="213" t="str">
        <f>IFERROR(__xludf.DUMMYFUNCTION("""COMPUTED_VALUE"""),"MAT-192")</f>
        <v>MAT-192</v>
      </c>
      <c r="F2105" s="213" t="str">
        <f>IFERROR(__xludf.DUMMYFUNCTION("""COMPUTED_VALUE"""),"MAT-192")</f>
        <v>MAT-192</v>
      </c>
      <c r="G2105" s="213"/>
      <c r="H2105" s="213" t="str">
        <f>IFERROR(__xludf.DUMMYFUNCTION("""COMPUTED_VALUE"""),"JUEGO DE BOQUILLAS DECORATIVAS + MANGAS")</f>
        <v>JUEGO DE BOQUILLAS DECORATIVAS + MANGAS</v>
      </c>
      <c r="I2105" s="213" t="str">
        <f>IFERROR(__xludf.DUMMYFUNCTION("""COMPUTED_VALUE"""),".  Material: acero inoxidable 304.(material de grado alimentario)
.  Color: plata
. Tamaño: 3.7cm (boquilla)*4.2cm de diámetro inferior (Altura)*3 cm (Boquilla de diámetro superior) Bolsa de pastelería: 30 cm (12 pulgadas) X18cm")</f>
        <v>.  Material: acero inoxidable 304.(material de grado alimentario)
.  Color: plata
. Tamaño: 3.7cm (boquilla)*4.2cm de diámetro inferior (Altura)*3 cm (Boquilla de diámetro superior) Bolsa de pastelería: 30 cm (12 pulgadas) X18cm</v>
      </c>
      <c r="J2105" s="213">
        <f>IFERROR(__xludf.DUMMYFUNCTION("""COMPUTED_VALUE"""),3.0)</f>
        <v>3</v>
      </c>
      <c r="K2105" s="213" t="str">
        <f>IFERROR(__xludf.DUMMYFUNCTION("""COMPUTED_VALUE"""),"90 DÍAS CALENDARIO")</f>
        <v>90 DÍAS CALENDARIO</v>
      </c>
      <c r="L2105" s="213" t="str">
        <f>IFERROR(__xludf.DUMMYFUNCTION("""COMPUTED_VALUE"""),"")</f>
        <v/>
      </c>
      <c r="M2105" s="213">
        <f>IFERROR(__xludf.DUMMYFUNCTION("""COMPUTED_VALUE"""),1.0)</f>
        <v>1</v>
      </c>
      <c r="N2105" s="213">
        <f>IFERROR(__xludf.DUMMYFUNCTION("""COMPUTED_VALUE"""),4.0)</f>
        <v>4</v>
      </c>
      <c r="O2105" s="213">
        <f>IFERROR(__xludf.DUMMYFUNCTION("""COMPUTED_VALUE"""),4.0)</f>
        <v>4</v>
      </c>
      <c r="P2105" s="213"/>
      <c r="Q2105" s="213"/>
      <c r="R2105" s="213" t="str">
        <f>IFERROR(__xludf.DUMMYFUNCTION("""COMPUTED_VALUE"""),"SI")</f>
        <v>SI</v>
      </c>
      <c r="S2105" s="213"/>
      <c r="T2105" s="213" t="str">
        <f>IFERROR(__xludf.DUMMYFUNCTION("""COMPUTED_VALUE"""),"SI")</f>
        <v>SI</v>
      </c>
      <c r="U2105" s="213" t="str">
        <f>IFERROR(__xludf.DUMMYFUNCTION("""COMPUTED_VALUE"""),"SI")</f>
        <v>SI</v>
      </c>
      <c r="V2105" s="213" t="str">
        <f>IFERROR(__xludf.DUMMYFUNCTION("""COMPUTED_VALUE"""),"-")</f>
        <v>-</v>
      </c>
      <c r="W2105" s="213" t="str">
        <f>IFERROR(__xludf.DUMMYFUNCTION("""COMPUTED_VALUE"""),"-")</f>
        <v>-</v>
      </c>
      <c r="X2105" s="213" t="str">
        <f>IFERROR(__xludf.DUMMYFUNCTION("""COMPUTED_VALUE"""),"VYNFLICK")</f>
        <v>VYNFLICK</v>
      </c>
      <c r="Y2105" s="213" t="str">
        <f>IFERROR(__xludf.DUMMYFUNCTION("""COMPUTED_VALUE"""),"Juego de puntas grandes para tuberías – 14")</f>
        <v>Juego de puntas grandes para tuberías – 14</v>
      </c>
      <c r="Z2105" s="215" t="str">
        <f>IFERROR(__xludf.DUMMYFUNCTION("""COMPUTED_VALUE"""),"https://www.amazon.com/Juego-puntas-grandes-para-tuber%C3%ADas/dp/B0FN349NJZ/ref=sr_1_2_sspa?__mk_es_US=%C3%85M%C3%85%C5%BD%C3%95%C3%91&amp;crid=36GF2PP6MKQ21&amp;dib=eyJ2IjoiMSJ9.UsBRZXphD07QYI4zl44sqhJLju7V23uj77PFAUa57_RrNFCnlFruBEus0K4wSXOVLeycJSoJNv-0u_djQxz"&amp;"ZPsLivyjuaYy5uvZJtvdzHuR932YkfPsWTbURsrLcGce9gQanNGohZgZgpXjgq4pO7WabEPmeiqdpvL02c3t-UwQpVD8LL-geNMuM7tIQvXpdtC20UTaBQuwqsE5HRvNyf_nGrFuHo_3WmbCVb5p2JDwkcMBdIT1cbSxZIUFK6dBnckWiHo-43Yc9LveK1XFHiTqcsIMYG-MyGFIPjPSC3l8.OBUvrINbLNB3BMpABH8kJpf6HKuWdw7IPbI5g3"&amp;"5X46Q&amp;dib_tag=se&amp;keywords=Juego+de+boquillas+de+acero+inoxidable&amp;qid=1761661237&amp;sprefix=juego+de+boquillas+de+acero+inoxidable%2Caps%2C194&amp;sr=8-2-spons&amp;sp_csd=d2lkZ2V0TmFtZT1zcF9hdGY&amp;psc=1")</f>
        <v>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v>
      </c>
      <c r="AA2105" s="213" t="str">
        <f>IFERROR(__xludf.DUMMYFUNCTION("""COMPUTED_VALUE"""),"MAT-192 JUEGO DE BOQUILLAS DECORATIVAS + MANGAS - CET")</f>
        <v>MAT-192 JUEGO DE BOQUILLAS DECORATIVAS + MANGAS - CET</v>
      </c>
      <c r="AB2105" s="213"/>
      <c r="AC2105" s="213"/>
      <c r="AD2105" s="213"/>
      <c r="AE2105" s="213"/>
      <c r="AF2105" s="213"/>
      <c r="AG2105" s="213"/>
      <c r="AH2105" s="213"/>
      <c r="AI2105" s="213"/>
      <c r="AJ2105" s="213"/>
      <c r="AK2105" s="213"/>
      <c r="AL2105" s="213"/>
      <c r="AM2105" s="213"/>
      <c r="AN2105" s="213"/>
      <c r="AO2105" s="213"/>
      <c r="AP2105" s="213" t="str">
        <f>IFERROR(__xludf.DUMMYFUNCTION("""COMPUTED_VALUE"""),"LUIS")</f>
        <v>LUIS</v>
      </c>
      <c r="AQ2105" s="213"/>
      <c r="AR2105" s="213"/>
      <c r="AS2105" s="213"/>
      <c r="AT2105" s="213"/>
      <c r="AU2105" s="213"/>
      <c r="AV2105" s="213"/>
      <c r="AW2105" s="213"/>
      <c r="AX2105" s="213"/>
      <c r="AY2105" s="213"/>
      <c r="AZ2105" s="213"/>
      <c r="BA2105" s="213"/>
      <c r="BB2105" s="213"/>
      <c r="BC2105" s="213"/>
      <c r="BD2105" s="213"/>
    </row>
    <row r="2106">
      <c r="A2106" s="213">
        <f>IFERROR(__xludf.DUMMYFUNCTION("""COMPUTED_VALUE"""),1139.0)</f>
        <v>1139</v>
      </c>
      <c r="B2106" s="213" t="str">
        <f>IFERROR(__xludf.DUMMYFUNCTION("""COMPUTED_VALUE"""),"FRANCISCO IRAZOLA")</f>
        <v>FRANCISCO IRAZOLA</v>
      </c>
      <c r="C2106" s="213" t="str">
        <f>IFERROR(__xludf.DUMMYFUNCTION("""COMPUTED_VALUE"""),"TALLER SFT DE INDUSTRIA ALIMENTARIA")</f>
        <v>TALLER SFT DE INDUSTRIA ALIMENTARIA</v>
      </c>
      <c r="D2106" s="213" t="str">
        <f>IFERROR(__xludf.DUMMYFUNCTION("""COMPUTED_VALUE"""),"HERRAMIENTAS")</f>
        <v>HERRAMIENTAS</v>
      </c>
      <c r="E2106" s="213" t="str">
        <f>IFERROR(__xludf.DUMMYFUNCTION("""COMPUTED_VALUE"""),"MAT-192")</f>
        <v>MAT-192</v>
      </c>
      <c r="F2106" s="213" t="str">
        <f>IFERROR(__xludf.DUMMYFUNCTION("""COMPUTED_VALUE"""),"MAT-192")</f>
        <v>MAT-192</v>
      </c>
      <c r="G2106" s="213"/>
      <c r="H2106" s="213" t="str">
        <f>IFERROR(__xludf.DUMMYFUNCTION("""COMPUTED_VALUE"""),"JUEGO DE BOQUILLAS DECORATIVAS + MANGAS")</f>
        <v>JUEGO DE BOQUILLAS DECORATIVAS + MANGAS</v>
      </c>
      <c r="I2106" s="213" t="str">
        <f>IFERROR(__xludf.DUMMYFUNCTION("""COMPUTED_VALUE"""),".  Material: acero inoxidable 304.(material de grado alimentario)
.  Color: plata
. Tamaño: 3.7cm (boquilla)*4.2cm de diámetro inferior (Altura)*3 cm (Boquilla de diámetro superior) Bolsa de pastelería: 30 cm (12 pulgadas) X18cm")</f>
        <v>.  Material: acero inoxidable 304.(material de grado alimentario)
.  Color: plata
. Tamaño: 3.7cm (boquilla)*4.2cm de diámetro inferior (Altura)*3 cm (Boquilla de diámetro superior) Bolsa de pastelería: 30 cm (12 pulgadas) X18cm</v>
      </c>
      <c r="J2106" s="213">
        <f>IFERROR(__xludf.DUMMYFUNCTION("""COMPUTED_VALUE"""),3.0)</f>
        <v>3</v>
      </c>
      <c r="K2106" s="213" t="str">
        <f>IFERROR(__xludf.DUMMYFUNCTION("""COMPUTED_VALUE"""),"90 DÍAS CALENDARIO")</f>
        <v>90 DÍAS CALENDARIO</v>
      </c>
      <c r="L2106" s="213" t="str">
        <f>IFERROR(__xludf.DUMMYFUNCTION("""COMPUTED_VALUE"""),"")</f>
        <v/>
      </c>
      <c r="M2106" s="213">
        <f>IFERROR(__xludf.DUMMYFUNCTION("""COMPUTED_VALUE"""),1.0)</f>
        <v>1</v>
      </c>
      <c r="N2106" s="213">
        <f>IFERROR(__xludf.DUMMYFUNCTION("""COMPUTED_VALUE"""),4.0)</f>
        <v>4</v>
      </c>
      <c r="O2106" s="213">
        <f>IFERROR(__xludf.DUMMYFUNCTION("""COMPUTED_VALUE"""),4.0)</f>
        <v>4</v>
      </c>
      <c r="P2106" s="213"/>
      <c r="Q2106" s="213"/>
      <c r="R2106" s="213" t="str">
        <f>IFERROR(__xludf.DUMMYFUNCTION("""COMPUTED_VALUE"""),"SI")</f>
        <v>SI</v>
      </c>
      <c r="S2106" s="213"/>
      <c r="T2106" s="213" t="str">
        <f>IFERROR(__xludf.DUMMYFUNCTION("""COMPUTED_VALUE"""),"SI")</f>
        <v>SI</v>
      </c>
      <c r="U2106" s="213" t="str">
        <f>IFERROR(__xludf.DUMMYFUNCTION("""COMPUTED_VALUE"""),"SI")</f>
        <v>SI</v>
      </c>
      <c r="V2106" s="213" t="str">
        <f>IFERROR(__xludf.DUMMYFUNCTION("""COMPUTED_VALUE"""),"-")</f>
        <v>-</v>
      </c>
      <c r="W2106" s="213" t="str">
        <f>IFERROR(__xludf.DUMMYFUNCTION("""COMPUTED_VALUE"""),"-")</f>
        <v>-</v>
      </c>
      <c r="X2106" s="213" t="str">
        <f>IFERROR(__xludf.DUMMYFUNCTION("""COMPUTED_VALUE"""),"VYNFLICK")</f>
        <v>VYNFLICK</v>
      </c>
      <c r="Y2106" s="213" t="str">
        <f>IFERROR(__xludf.DUMMYFUNCTION("""COMPUTED_VALUE"""),"Juego de puntas grandes para tuberías – 15")</f>
        <v>Juego de puntas grandes para tuberías – 15</v>
      </c>
      <c r="Z2106" s="215" t="str">
        <f>IFERROR(__xludf.DUMMYFUNCTION("""COMPUTED_VALUE"""),"https://www.amazon.com/Juego-puntas-grandes-para-tuber%C3%ADas/dp/B0FN349NJZ/ref=sr_1_2_sspa?__mk_es_US=%C3%85M%C3%85%C5%BD%C3%95%C3%91&amp;crid=36GF2PP6MKQ21&amp;dib=eyJ2IjoiMSJ9.UsBRZXphD07QYI4zl44sqhJLju7V23uj77PFAUa57_RrNFCnlFruBEus0K4wSXOVLeycJSoJNv-0u_djQxz"&amp;"ZPsLivyjuaYy5uvZJtvdzHuR932YkfPsWTbURsrLcGce9gQanNGohZgZgpXjgq4pO7WabEPmeiqdpvL02c3t-UwQpVD8LL-geNMuM7tIQvXpdtC20UTaBQuwqsE5HRvNyf_nGrFuHo_3WmbCVb5p2JDwkcMBdIT1cbSxZIUFK6dBnckWiHo-43Yc9LveK1XFHiTqcsIMYG-MyGFIPjPSC3l8.OBUvrINbLNB3BMpABH8kJpf6HKuWdw7IPbI5g3"&amp;"5X46Q&amp;dib_tag=se&amp;keywords=Juego+de+boquillas+de+acero+inoxidable&amp;qid=1761661237&amp;sprefix=juego+de+boquillas+de+acero+inoxidable%2Caps%2C194&amp;sr=8-2-spons&amp;sp_csd=d2lkZ2V0TmFtZT1zcF9hdGY&amp;psc=1")</f>
        <v>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v>
      </c>
      <c r="AA2106" s="213" t="str">
        <f>IFERROR(__xludf.DUMMYFUNCTION("""COMPUTED_VALUE"""),"MAT-192 JUEGO DE BOQUILLAS DECORATIVAS + MANGAS - CET")</f>
        <v>MAT-192 JUEGO DE BOQUILLAS DECORATIVAS + MANGAS - CET</v>
      </c>
      <c r="AB2106" s="213"/>
      <c r="AC2106" s="213"/>
      <c r="AD2106" s="213"/>
      <c r="AE2106" s="213"/>
      <c r="AF2106" s="213"/>
      <c r="AG2106" s="213"/>
      <c r="AH2106" s="213"/>
      <c r="AI2106" s="213"/>
      <c r="AJ2106" s="213"/>
      <c r="AK2106" s="213"/>
      <c r="AL2106" s="213"/>
      <c r="AM2106" s="213"/>
      <c r="AN2106" s="213"/>
      <c r="AO2106" s="213"/>
      <c r="AP2106" s="213" t="str">
        <f>IFERROR(__xludf.DUMMYFUNCTION("""COMPUTED_VALUE"""),"LUIS")</f>
        <v>LUIS</v>
      </c>
      <c r="AQ2106" s="213"/>
      <c r="AR2106" s="213"/>
      <c r="AS2106" s="213"/>
      <c r="AT2106" s="213"/>
      <c r="AU2106" s="213"/>
      <c r="AV2106" s="213"/>
      <c r="AW2106" s="213"/>
      <c r="AX2106" s="213"/>
      <c r="AY2106" s="213"/>
      <c r="AZ2106" s="213"/>
      <c r="BA2106" s="213"/>
      <c r="BB2106" s="213"/>
      <c r="BC2106" s="213"/>
      <c r="BD2106" s="213"/>
    </row>
    <row r="2107">
      <c r="A2107" s="213">
        <f>IFERROR(__xludf.DUMMYFUNCTION("""COMPUTED_VALUE"""),1411.0)</f>
        <v>1411</v>
      </c>
      <c r="B2107" s="213" t="str">
        <f>IFERROR(__xludf.DUMMYFUNCTION("""COMPUTED_VALUE"""),"GUILLERMO E. BILLINGHURST ")</f>
        <v>GUILLERMO E. BILLINGHURST </v>
      </c>
      <c r="C2107" s="213" t="str">
        <f>IFERROR(__xludf.DUMMYFUNCTION("""COMPUTED_VALUE"""),"TALLER SFT DE INDUSTRIA ALIMENTARIA")</f>
        <v>TALLER SFT DE INDUSTRIA ALIMENTARIA</v>
      </c>
      <c r="D2107" s="213" t="str">
        <f>IFERROR(__xludf.DUMMYFUNCTION("""COMPUTED_VALUE"""),"HERRAMIENTAS")</f>
        <v>HERRAMIENTAS</v>
      </c>
      <c r="E2107" s="213" t="str">
        <f>IFERROR(__xludf.DUMMYFUNCTION("""COMPUTED_VALUE"""),"MAT-192")</f>
        <v>MAT-192</v>
      </c>
      <c r="F2107" s="213" t="str">
        <f>IFERROR(__xludf.DUMMYFUNCTION("""COMPUTED_VALUE"""),"MAT-192")</f>
        <v>MAT-192</v>
      </c>
      <c r="G2107" s="213"/>
      <c r="H2107" s="213" t="str">
        <f>IFERROR(__xludf.DUMMYFUNCTION("""COMPUTED_VALUE"""),"JUEGO DE BOQUILLAS DECORATIVAS + MANGAS")</f>
        <v>JUEGO DE BOQUILLAS DECORATIVAS + MANGAS</v>
      </c>
      <c r="I2107" s="213" t="str">
        <f>IFERROR(__xludf.DUMMYFUNCTION("""COMPUTED_VALUE"""),".  Material: acero inoxidable 304.(material de grado alimentario)
.  Color: plata
. Tamaño: 3.7cm (boquilla)*4.2cm de diámetro inferior (Altura)*3 cm (Boquilla de diámetro superior) Bolsa de pastelería: 30 cm (12 pulgadas) X18cm")</f>
        <v>.  Material: acero inoxidable 304.(material de grado alimentario)
.  Color: plata
. Tamaño: 3.7cm (boquilla)*4.2cm de diámetro inferior (Altura)*3 cm (Boquilla de diámetro superior) Bolsa de pastelería: 30 cm (12 pulgadas) X18cm</v>
      </c>
      <c r="J2107" s="213">
        <f>IFERROR(__xludf.DUMMYFUNCTION("""COMPUTED_VALUE"""),3.0)</f>
        <v>3</v>
      </c>
      <c r="K2107" s="213" t="str">
        <f>IFERROR(__xludf.DUMMYFUNCTION("""COMPUTED_VALUE"""),"90 DÍAS CALENDARIO")</f>
        <v>90 DÍAS CALENDARIO</v>
      </c>
      <c r="L2107" s="213" t="str">
        <f>IFERROR(__xludf.DUMMYFUNCTION("""COMPUTED_VALUE"""),"")</f>
        <v/>
      </c>
      <c r="M2107" s="213">
        <f>IFERROR(__xludf.DUMMYFUNCTION("""COMPUTED_VALUE"""),1.0)</f>
        <v>1</v>
      </c>
      <c r="N2107" s="213">
        <f>IFERROR(__xludf.DUMMYFUNCTION("""COMPUTED_VALUE"""),4.0)</f>
        <v>4</v>
      </c>
      <c r="O2107" s="213">
        <f>IFERROR(__xludf.DUMMYFUNCTION("""COMPUTED_VALUE"""),4.0)</f>
        <v>4</v>
      </c>
      <c r="P2107" s="213"/>
      <c r="Q2107" s="213"/>
      <c r="R2107" s="213" t="str">
        <f>IFERROR(__xludf.DUMMYFUNCTION("""COMPUTED_VALUE"""),"SI")</f>
        <v>SI</v>
      </c>
      <c r="S2107" s="213"/>
      <c r="T2107" s="213" t="str">
        <f>IFERROR(__xludf.DUMMYFUNCTION("""COMPUTED_VALUE"""),"SI")</f>
        <v>SI</v>
      </c>
      <c r="U2107" s="213" t="str">
        <f>IFERROR(__xludf.DUMMYFUNCTION("""COMPUTED_VALUE"""),"SI")</f>
        <v>SI</v>
      </c>
      <c r="V2107" s="213" t="str">
        <f>IFERROR(__xludf.DUMMYFUNCTION("""COMPUTED_VALUE"""),"-")</f>
        <v>-</v>
      </c>
      <c r="W2107" s="213" t="str">
        <f>IFERROR(__xludf.DUMMYFUNCTION("""COMPUTED_VALUE"""),"-")</f>
        <v>-</v>
      </c>
      <c r="X2107" s="213" t="str">
        <f>IFERROR(__xludf.DUMMYFUNCTION("""COMPUTED_VALUE"""),"VYNFLICK")</f>
        <v>VYNFLICK</v>
      </c>
      <c r="Y2107" s="213" t="str">
        <f>IFERROR(__xludf.DUMMYFUNCTION("""COMPUTED_VALUE"""),"Juego de puntas grandes para tuberías – 16")</f>
        <v>Juego de puntas grandes para tuberías – 16</v>
      </c>
      <c r="Z2107" s="215" t="str">
        <f>IFERROR(__xludf.DUMMYFUNCTION("""COMPUTED_VALUE"""),"https://www.amazon.com/Juego-puntas-grandes-para-tuber%C3%ADas/dp/B0FN349NJZ/ref=sr_1_2_sspa?__mk_es_US=%C3%85M%C3%85%C5%BD%C3%95%C3%91&amp;crid=36GF2PP6MKQ21&amp;dib=eyJ2IjoiMSJ9.UsBRZXphD07QYI4zl44sqhJLju7V23uj77PFAUa57_RrNFCnlFruBEus0K4wSXOVLeycJSoJNv-0u_djQxz"&amp;"ZPsLivyjuaYy5uvZJtvdzHuR932YkfPsWTbURsrLcGce9gQanNGohZgZgpXjgq4pO7WabEPmeiqdpvL02c3t-UwQpVD8LL-geNMuM7tIQvXpdtC20UTaBQuwqsE5HRvNyf_nGrFuHo_3WmbCVb5p2JDwkcMBdIT1cbSxZIUFK6dBnckWiHo-43Yc9LveK1XFHiTqcsIMYG-MyGFIPjPSC3l8.OBUvrINbLNB3BMpABH8kJpf6HKuWdw7IPbI5g3"&amp;"5X46Q&amp;dib_tag=se&amp;keywords=Juego+de+boquillas+de+acero+inoxidable&amp;qid=1761661237&amp;sprefix=juego+de+boquillas+de+acero+inoxidable%2Caps%2C194&amp;sr=8-2-spons&amp;sp_csd=d2lkZ2V0TmFtZT1zcF9hdGY&amp;psc=1")</f>
        <v>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v>
      </c>
      <c r="AA2107" s="213" t="str">
        <f>IFERROR(__xludf.DUMMYFUNCTION("""COMPUTED_VALUE"""),"MAT-192 JUEGO DE BOQUILLAS DECORATIVAS + MANGAS - CET")</f>
        <v>MAT-192 JUEGO DE BOQUILLAS DECORATIVAS + MANGAS - CET</v>
      </c>
      <c r="AB2107" s="213"/>
      <c r="AC2107" s="213"/>
      <c r="AD2107" s="213"/>
      <c r="AE2107" s="213"/>
      <c r="AF2107" s="213"/>
      <c r="AG2107" s="213"/>
      <c r="AH2107" s="213"/>
      <c r="AI2107" s="213"/>
      <c r="AJ2107" s="213"/>
      <c r="AK2107" s="213"/>
      <c r="AL2107" s="213"/>
      <c r="AM2107" s="213"/>
      <c r="AN2107" s="213"/>
      <c r="AO2107" s="213"/>
      <c r="AP2107" s="213" t="str">
        <f>IFERROR(__xludf.DUMMYFUNCTION("""COMPUTED_VALUE"""),"LUIS")</f>
        <v>LUIS</v>
      </c>
      <c r="AQ2107" s="213"/>
      <c r="AR2107" s="213"/>
      <c r="AS2107" s="213"/>
      <c r="AT2107" s="213"/>
      <c r="AU2107" s="213"/>
      <c r="AV2107" s="213"/>
      <c r="AW2107" s="213"/>
      <c r="AX2107" s="213"/>
      <c r="AY2107" s="213"/>
      <c r="AZ2107" s="213"/>
      <c r="BA2107" s="213"/>
      <c r="BB2107" s="213"/>
      <c r="BC2107" s="213"/>
      <c r="BD2107" s="213"/>
    </row>
    <row r="2108">
      <c r="A2108" s="213">
        <f>IFERROR(__xludf.DUMMYFUNCTION("""COMPUTED_VALUE"""),2098.0)</f>
        <v>2098</v>
      </c>
      <c r="B2108" s="213" t="str">
        <f>IFERROR(__xludf.DUMMYFUNCTION("""COMPUTED_VALUE"""),"JOSE GRANDA")</f>
        <v>JOSE GRANDA</v>
      </c>
      <c r="C2108" s="213" t="str">
        <f>IFERROR(__xludf.DUMMYFUNCTION("""COMPUTED_VALUE"""),"TALLER SFT DE INDUSTRIA ALIMENTARIA")</f>
        <v>TALLER SFT DE INDUSTRIA ALIMENTARIA</v>
      </c>
      <c r="D2108" s="213" t="str">
        <f>IFERROR(__xludf.DUMMYFUNCTION("""COMPUTED_VALUE"""),"HERRAMIENTAS")</f>
        <v>HERRAMIENTAS</v>
      </c>
      <c r="E2108" s="213" t="str">
        <f>IFERROR(__xludf.DUMMYFUNCTION("""COMPUTED_VALUE"""),"MAT-192")</f>
        <v>MAT-192</v>
      </c>
      <c r="F2108" s="213" t="str">
        <f>IFERROR(__xludf.DUMMYFUNCTION("""COMPUTED_VALUE"""),"MAT-192")</f>
        <v>MAT-192</v>
      </c>
      <c r="G2108" s="213"/>
      <c r="H2108" s="213" t="str">
        <f>IFERROR(__xludf.DUMMYFUNCTION("""COMPUTED_VALUE"""),"JUEGO DE BOQUILLAS DECORATIVAS + MANGAS")</f>
        <v>JUEGO DE BOQUILLAS DECORATIVAS + MANGAS</v>
      </c>
      <c r="I2108" s="213" t="str">
        <f>IFERROR(__xludf.DUMMYFUNCTION("""COMPUTED_VALUE"""),".  Material: acero inoxidable 304.(material de grado alimentario)
.  Color: plata
. Tamaño: 3.7cm (boquilla)*4.2cm de diámetro inferior (Altura)*3 cm (Boquilla de diámetro superior) Bolsa de pastelería: 30 cm (12 pulgadas) X18cm")</f>
        <v>.  Material: acero inoxidable 304.(material de grado alimentario)
.  Color: plata
. Tamaño: 3.7cm (boquilla)*4.2cm de diámetro inferior (Altura)*3 cm (Boquilla de diámetro superior) Bolsa de pastelería: 30 cm (12 pulgadas) X18cm</v>
      </c>
      <c r="J2108" s="213">
        <f>IFERROR(__xludf.DUMMYFUNCTION("""COMPUTED_VALUE"""),3.0)</f>
        <v>3</v>
      </c>
      <c r="K2108" s="213" t="str">
        <f>IFERROR(__xludf.DUMMYFUNCTION("""COMPUTED_VALUE"""),"90 DÍAS CALENDARIO")</f>
        <v>90 DÍAS CALENDARIO</v>
      </c>
      <c r="L2108" s="213" t="str">
        <f>IFERROR(__xludf.DUMMYFUNCTION("""COMPUTED_VALUE"""),"")</f>
        <v/>
      </c>
      <c r="M2108" s="213">
        <f>IFERROR(__xludf.DUMMYFUNCTION("""COMPUTED_VALUE"""),1.0)</f>
        <v>1</v>
      </c>
      <c r="N2108" s="213">
        <f>IFERROR(__xludf.DUMMYFUNCTION("""COMPUTED_VALUE"""),4.0)</f>
        <v>4</v>
      </c>
      <c r="O2108" s="213">
        <f>IFERROR(__xludf.DUMMYFUNCTION("""COMPUTED_VALUE"""),4.0)</f>
        <v>4</v>
      </c>
      <c r="P2108" s="213"/>
      <c r="Q2108" s="213"/>
      <c r="R2108" s="213" t="str">
        <f>IFERROR(__xludf.DUMMYFUNCTION("""COMPUTED_VALUE"""),"SI")</f>
        <v>SI</v>
      </c>
      <c r="S2108" s="213"/>
      <c r="T2108" s="213" t="str">
        <f>IFERROR(__xludf.DUMMYFUNCTION("""COMPUTED_VALUE"""),"SI")</f>
        <v>SI</v>
      </c>
      <c r="U2108" s="213" t="str">
        <f>IFERROR(__xludf.DUMMYFUNCTION("""COMPUTED_VALUE"""),"SI")</f>
        <v>SI</v>
      </c>
      <c r="V2108" s="213" t="str">
        <f>IFERROR(__xludf.DUMMYFUNCTION("""COMPUTED_VALUE"""),"-")</f>
        <v>-</v>
      </c>
      <c r="W2108" s="213" t="str">
        <f>IFERROR(__xludf.DUMMYFUNCTION("""COMPUTED_VALUE"""),"-")</f>
        <v>-</v>
      </c>
      <c r="X2108" s="213" t="str">
        <f>IFERROR(__xludf.DUMMYFUNCTION("""COMPUTED_VALUE"""),"VYNFLICK")</f>
        <v>VYNFLICK</v>
      </c>
      <c r="Y2108" s="213" t="str">
        <f>IFERROR(__xludf.DUMMYFUNCTION("""COMPUTED_VALUE"""),"Juego de puntas grandes para tuberías – 17")</f>
        <v>Juego de puntas grandes para tuberías – 17</v>
      </c>
      <c r="Z2108" s="215" t="str">
        <f>IFERROR(__xludf.DUMMYFUNCTION("""COMPUTED_VALUE"""),"https://www.amazon.com/Juego-puntas-grandes-para-tuber%C3%ADas/dp/B0FN349NJZ/ref=sr_1_2_sspa?__mk_es_US=%C3%85M%C3%85%C5%BD%C3%95%C3%91&amp;crid=36GF2PP6MKQ21&amp;dib=eyJ2IjoiMSJ9.UsBRZXphD07QYI4zl44sqhJLju7V23uj77PFAUa57_RrNFCnlFruBEus0K4wSXOVLeycJSoJNv-0u_djQxz"&amp;"ZPsLivyjuaYy5uvZJtvdzHuR932YkfPsWTbURsrLcGce9gQanNGohZgZgpXjgq4pO7WabEPmeiqdpvL02c3t-UwQpVD8LL-geNMuM7tIQvXpdtC20UTaBQuwqsE5HRvNyf_nGrFuHo_3WmbCVb5p2JDwkcMBdIT1cbSxZIUFK6dBnckWiHo-43Yc9LveK1XFHiTqcsIMYG-MyGFIPjPSC3l8.OBUvrINbLNB3BMpABH8kJpf6HKuWdw7IPbI5g3"&amp;"5X46Q&amp;dib_tag=se&amp;keywords=Juego+de+boquillas+de+acero+inoxidable&amp;qid=1761661237&amp;sprefix=juego+de+boquillas+de+acero+inoxidable%2Caps%2C194&amp;sr=8-2-spons&amp;sp_csd=d2lkZ2V0TmFtZT1zcF9hdGY&amp;psc=1")</f>
        <v>https://www.amazon.com/Juego-puntas-grandes-para-tuber%C3%ADas/dp/B0FN349NJZ/ref=sr_1_2_sspa?__mk_es_US=%C3%85M%C3%85%C5%BD%C3%95%C3%91&amp;crid=36GF2PP6MKQ21&amp;dib=eyJ2IjoiMSJ9.UsBRZXphD07QYI4zl44sqhJLju7V23uj77PFAUa57_RrNFCnlFruBEus0K4wSXOVLeycJSoJNv-0u_djQxzZPsLivyjuaYy5uvZJtvdzHuR932YkfPsWTbURsrLcGce9gQanNGohZgZgpXjgq4pO7WabEPmeiqdpvL02c3t-UwQpVD8LL-geNMuM7tIQvXpdtC20UTaBQuwqsE5HRvNyf_nGrFuHo_3WmbCVb5p2JDwkcMBdIT1cbSxZIUFK6dBnckWiHo-43Yc9LveK1XFHiTqcsIMYG-MyGFIPjPSC3l8.OBUvrINbLNB3BMpABH8kJpf6HKuWdw7IPbI5g35X46Q&amp;dib_tag=se&amp;keywords=Juego+de+boquillas+de+acero+inoxidable&amp;qid=1761661237&amp;sprefix=juego+de+boquillas+de+acero+inoxidable%2Caps%2C194&amp;sr=8-2-spons&amp;sp_csd=d2lkZ2V0TmFtZT1zcF9hdGY&amp;psc=1</v>
      </c>
      <c r="AA2108" s="213" t="str">
        <f>IFERROR(__xludf.DUMMYFUNCTION("""COMPUTED_VALUE"""),"MAT-192 JUEGO DE BOQUILLAS DECORATIVAS + MANGAS - CET")</f>
        <v>MAT-192 JUEGO DE BOQUILLAS DECORATIVAS + MANGAS - CET</v>
      </c>
      <c r="AB2108" s="213"/>
      <c r="AC2108" s="213"/>
      <c r="AD2108" s="213"/>
      <c r="AE2108" s="213"/>
      <c r="AF2108" s="213"/>
      <c r="AG2108" s="213"/>
      <c r="AH2108" s="213"/>
      <c r="AI2108" s="213"/>
      <c r="AJ2108" s="213"/>
      <c r="AK2108" s="213"/>
      <c r="AL2108" s="213"/>
      <c r="AM2108" s="213"/>
      <c r="AN2108" s="213"/>
      <c r="AO2108" s="213"/>
      <c r="AP2108" s="213" t="str">
        <f>IFERROR(__xludf.DUMMYFUNCTION("""COMPUTED_VALUE"""),"LUIS")</f>
        <v>LUIS</v>
      </c>
      <c r="AQ2108" s="213"/>
      <c r="AR2108" s="213"/>
      <c r="AS2108" s="213"/>
      <c r="AT2108" s="213"/>
      <c r="AU2108" s="213"/>
      <c r="AV2108" s="213"/>
      <c r="AW2108" s="213"/>
      <c r="AX2108" s="213"/>
      <c r="AY2108" s="213"/>
      <c r="AZ2108" s="213"/>
      <c r="BA2108" s="213"/>
      <c r="BB2108" s="213"/>
      <c r="BC2108" s="213"/>
      <c r="BD2108" s="213"/>
    </row>
    <row r="2109">
      <c r="A2109" s="213">
        <f>IFERROR(__xludf.DUMMYFUNCTION("""COMPUTED_VALUE"""),32.0)</f>
        <v>32</v>
      </c>
      <c r="B2109" s="213" t="str">
        <f>IFERROR(__xludf.DUMMYFUNCTION("""COMPUTED_VALUE"""),"16449 ELOY SOBERON  FLORES")</f>
        <v>16449 ELOY SOBERON  FLORES</v>
      </c>
      <c r="C2109" s="213" t="str">
        <f>IFERROR(__xludf.DUMMYFUNCTION("""COMPUTED_VALUE"""),"TALLER SFT DE COCINA Y REPOSTERÍA")</f>
        <v>TALLER SFT DE COCINA Y REPOSTERÍA</v>
      </c>
      <c r="D2109" s="213" t="str">
        <f>IFERROR(__xludf.DUMMYFUNCTION("""COMPUTED_VALUE"""),"HERRAMIENTAS")</f>
        <v>HERRAMIENTAS</v>
      </c>
      <c r="E2109" s="213" t="str">
        <f>IFERROR(__xludf.DUMMYFUNCTION("""COMPUTED_VALUE"""),"MAT-193")</f>
        <v>MAT-193</v>
      </c>
      <c r="F2109" s="213" t="str">
        <f>IFERROR(__xludf.DUMMYFUNCTION("""COMPUTED_VALUE"""),"MAT-193")</f>
        <v>MAT-193</v>
      </c>
      <c r="G2109" s="213"/>
      <c r="H2109" s="213" t="str">
        <f>IFERROR(__xludf.DUMMYFUNCTION("""COMPUTED_VALUE"""),"JUEGO DE CACEROLAS PARA COCINA DE INDUCCIÓN")</f>
        <v>JUEGO DE CACEROLAS PARA COCINA DE INDUCCIÓN</v>
      </c>
      <c r="I2109" s="213" t="str">
        <f>IFERROR(__xludf.DUMMYFUNCTION("""COMPUTED_VALUE"""),".  Acero Inoxidable 18/10 Mate. Gran resistencia y durabilidad.
.  Aptas para el lavavajillas.
.  Aptas para todo tipo de cocinas: Gas, eléctrica, vitrocerámica e inducción.
.  El acero de acabado mate, hace que no se arañe tan fácilmente como las normale"&amp;"s, ante la frenética actividad diaria en la cocina.
.  Doble fondo difusor: Distribuye uniformemente el calor y todas las piezas de comida se cocinan por igual. Mantiene mejor el calor con el consiguiente ahorro energético.
.  Diseño Antibacteriano.
.  Fá"&amp;"cil limpieza.
.  Tapaderas de cristal.
.  Ligeras y manejables.
1 Cacerola de 3,5l (24cm x 10 cm.aprox +- 3 cm ). 1 Cacerola de 4,5l (26 cm x 11 cm.aprox +- 3 cm).
1 Cacerola de 6l (28 cm x 12 cm.aprox +- 3 cm).
1 Cacerola de 8l (30 cm x 13 cm aprox +- 3 "&amp;"cm.).")</f>
        <v>.  Acero Inoxidable 18/10 Mate. Gran resistencia y durabilidad.
.  Aptas para el lavavajillas.
.  Aptas para todo tipo de cocinas: Gas, eléctrica, vitrocerámica e inducción.
.  El acero de acabado mate, hace que no se arañe tan fácilmente como las normales, ante la frenética actividad diaria en la cocina.
.  Doble fondo difusor: Distribuye uniformemente el calor y todas las piezas de comida se cocinan por igual. Mantiene mejor el calor con el consiguiente ahorro energético.
.  Diseño Antibacteriano.
.  Fácil limpieza.
.  Tapaderas de cristal.
.  Ligeras y manejables.
1 Cacerola de 3,5l (24cm x 10 cm.aprox +- 3 cm ). 1 Cacerola de 4,5l (26 cm x 11 cm.aprox +- 3 cm).
1 Cacerola de 6l (28 cm x 12 cm.aprox +- 3 cm).
1 Cacerola de 8l (30 cm x 13 cm aprox +- 3 cm.).</v>
      </c>
      <c r="J2109" s="213">
        <f>IFERROR(__xludf.DUMMYFUNCTION("""COMPUTED_VALUE"""),3.0)</f>
        <v>3</v>
      </c>
      <c r="K2109" s="213" t="str">
        <f>IFERROR(__xludf.DUMMYFUNCTION("""COMPUTED_VALUE"""),"90 DÍAS CALENDARIO")</f>
        <v>90 DÍAS CALENDARIO</v>
      </c>
      <c r="L2109" s="213" t="str">
        <f>IFERROR(__xludf.DUMMYFUNCTION("""COMPUTED_VALUE"""),"")</f>
        <v/>
      </c>
      <c r="M2109" s="213">
        <f>IFERROR(__xludf.DUMMYFUNCTION("""COMPUTED_VALUE"""),1.0)</f>
        <v>1</v>
      </c>
      <c r="N2109" s="213">
        <f>IFERROR(__xludf.DUMMYFUNCTION("""COMPUTED_VALUE"""),2.0)</f>
        <v>2</v>
      </c>
      <c r="O2109" s="213">
        <f>IFERROR(__xludf.DUMMYFUNCTION("""COMPUTED_VALUE"""),2.0)</f>
        <v>2</v>
      </c>
      <c r="P2109" s="213"/>
      <c r="Q2109" s="213"/>
      <c r="R2109" s="213" t="str">
        <f>IFERROR(__xludf.DUMMYFUNCTION("""COMPUTED_VALUE"""),"SI")</f>
        <v>SI</v>
      </c>
      <c r="S2109" s="213"/>
      <c r="T2109" s="213" t="str">
        <f>IFERROR(__xludf.DUMMYFUNCTION("""COMPUTED_VALUE"""),"CONSULTA FINAL")</f>
        <v>CONSULTA FINAL</v>
      </c>
      <c r="U2109" s="213" t="str">
        <f>IFERROR(__xludf.DUMMYFUNCTION("""COMPUTED_VALUE"""),"NO")</f>
        <v>NO</v>
      </c>
      <c r="V2109" s="213" t="str">
        <f>IFERROR(__xludf.DUMMYFUNCTION("""COMPUTED_VALUE"""),"SUSTENTO")</f>
        <v>SUSTENTO</v>
      </c>
      <c r="W2109" s="213" t="str">
        <f>IFERROR(__xludf.DUMMYFUNCTION("""COMPUTED_VALUE"""),"DIMENSIONAL")</f>
        <v>DIMENSIONAL</v>
      </c>
      <c r="X2109" s="213" t="str">
        <f>IFERROR(__xludf.DUMMYFUNCTION("""COMPUTED_VALUE"""),"ZWILLING")</f>
        <v>ZWILLING</v>
      </c>
      <c r="Y2109" s="213" t="str">
        <f>IFERROR(__xludf.DUMMYFUNCTION("""COMPUTED_VALUE"""),"ZW1006229 ")</f>
        <v>ZW1006229 </v>
      </c>
      <c r="Z2109" s="215" t="str">
        <f>IFERROR(__xludf.DUMMYFUNCTION("""COMPUTED_VALUE"""),"https://dcocina.pe/producto/olla-alta-8-1-lts-de-acero-inoxidable-o24-cm-zwilling-pro-zwilling/")</f>
        <v>https://dcocina.pe/producto/olla-alta-8-1-lts-de-acero-inoxidable-o24-cm-zwilling-pro-zwilling/</v>
      </c>
      <c r="AA2109" s="213" t="str">
        <f>IFERROR(__xludf.DUMMYFUNCTION("""COMPUTED_VALUE"""),"MAT-193 JUEGO DE CACEROLAS PARA COCINA DE INDUCCIÓN - CET")</f>
        <v>MAT-193 JUEGO DE CACEROLAS PARA COCINA DE INDUCCIÓN - CET</v>
      </c>
      <c r="AB2109" s="213"/>
      <c r="AC2109" s="213"/>
      <c r="AD2109" s="213"/>
      <c r="AE2109" s="213"/>
      <c r="AF2109" s="213"/>
      <c r="AG2109" s="213"/>
      <c r="AH2109" s="213"/>
      <c r="AI2109" s="213"/>
      <c r="AJ2109" s="213"/>
      <c r="AK2109" s="213"/>
      <c r="AL2109" s="213"/>
      <c r="AM2109" s="213"/>
      <c r="AN2109" s="213"/>
      <c r="AO2109" s="213"/>
      <c r="AP2109" s="213" t="str">
        <f>IFERROR(__xludf.DUMMYFUNCTION("""COMPUTED_VALUE"""),"SEBASTIAN")</f>
        <v>SEBASTIAN</v>
      </c>
      <c r="AQ2109" s="213"/>
      <c r="AR2109" s="213"/>
      <c r="AS2109" s="213"/>
      <c r="AT2109" s="213"/>
      <c r="AU2109" s="213"/>
      <c r="AV2109" s="213"/>
      <c r="AW2109" s="213"/>
      <c r="AX2109" s="213"/>
      <c r="AY2109" s="213"/>
      <c r="AZ2109" s="213"/>
      <c r="BA2109" s="213"/>
      <c r="BB2109" s="213"/>
      <c r="BC2109" s="213"/>
      <c r="BD2109" s="213"/>
    </row>
    <row r="2110">
      <c r="A2110" s="213">
        <f>IFERROR(__xludf.DUMMYFUNCTION("""COMPUTED_VALUE"""),513.0)</f>
        <v>513</v>
      </c>
      <c r="B2110" s="213" t="str">
        <f>IFERROR(__xludf.DUMMYFUNCTION("""COMPUTED_VALUE"""),"2026 SIMON BOLIVAR")</f>
        <v>2026 SIMON BOLIVAR</v>
      </c>
      <c r="C2110" s="213" t="str">
        <f>IFERROR(__xludf.DUMMYFUNCTION("""COMPUTED_VALUE"""),"TALLER SFT DE INDUSTRIA ALIMENTARIA")</f>
        <v>TALLER SFT DE INDUSTRIA ALIMENTARIA</v>
      </c>
      <c r="D2110" s="213" t="str">
        <f>IFERROR(__xludf.DUMMYFUNCTION("""COMPUTED_VALUE"""),"HERRAMIENTAS")</f>
        <v>HERRAMIENTAS</v>
      </c>
      <c r="E2110" s="213" t="str">
        <f>IFERROR(__xludf.DUMMYFUNCTION("""COMPUTED_VALUE"""),"MAT-196")</f>
        <v>MAT-196</v>
      </c>
      <c r="F2110" s="213" t="str">
        <f>IFERROR(__xludf.DUMMYFUNCTION("""COMPUTED_VALUE"""),"MAT-196")</f>
        <v>MAT-196</v>
      </c>
      <c r="G2110" s="213"/>
      <c r="H2110" s="213" t="str">
        <f>IFERROR(__xludf.DUMMYFUNCTION("""COMPUTED_VALUE"""),"JUEGO DE COLADERAS")</f>
        <v>JUEGO DE COLADERAS</v>
      </c>
      <c r="I2110" s="213" t="str">
        <f>IFERROR(__xludf.DUMMYFUNCTION("""COMPUTED_VALUE"""),"· Coladeras:
· Acero inoxidable
· En tres diferentes tamaños
- 20 cm
- 14 cm
- 8 cm")</f>
        <v>· Coladeras:
· Acero inoxidable
· En tres diferentes tamaños
- 20 cm
- 14 cm
- 8 cm</v>
      </c>
      <c r="J2110" s="213">
        <f>IFERROR(__xludf.DUMMYFUNCTION("""COMPUTED_VALUE"""),3.0)</f>
        <v>3</v>
      </c>
      <c r="K2110" s="213" t="str">
        <f>IFERROR(__xludf.DUMMYFUNCTION("""COMPUTED_VALUE"""),"90 DÍAS CALENDARIO")</f>
        <v>90 DÍAS CALENDARIO</v>
      </c>
      <c r="L2110" s="213" t="str">
        <f>IFERROR(__xludf.DUMMYFUNCTION("""COMPUTED_VALUE"""),"")</f>
        <v/>
      </c>
      <c r="M2110" s="213">
        <f>IFERROR(__xludf.DUMMYFUNCTION("""COMPUTED_VALUE"""),1.0)</f>
        <v>1</v>
      </c>
      <c r="N2110" s="213">
        <f>IFERROR(__xludf.DUMMYFUNCTION("""COMPUTED_VALUE"""),4.0)</f>
        <v>4</v>
      </c>
      <c r="O2110" s="213">
        <f>IFERROR(__xludf.DUMMYFUNCTION("""COMPUTED_VALUE"""),4.0)</f>
        <v>4</v>
      </c>
      <c r="P2110" s="213"/>
      <c r="Q2110" s="213"/>
      <c r="R2110" s="213" t="str">
        <f>IFERROR(__xludf.DUMMYFUNCTION("""COMPUTED_VALUE"""),"SI")</f>
        <v>SI</v>
      </c>
      <c r="S2110" s="213"/>
      <c r="T2110" s="213" t="str">
        <f>IFERROR(__xludf.DUMMYFUNCTION("""COMPUTED_VALUE"""),"SI")</f>
        <v>SI</v>
      </c>
      <c r="U2110" s="213" t="str">
        <f>IFERROR(__xludf.DUMMYFUNCTION("""COMPUTED_VALUE"""),"SI")</f>
        <v>SI</v>
      </c>
      <c r="V2110" s="213" t="str">
        <f>IFERROR(__xludf.DUMMYFUNCTION("""COMPUTED_VALUE"""),"-")</f>
        <v>-</v>
      </c>
      <c r="W2110" s="213" t="str">
        <f>IFERROR(__xludf.DUMMYFUNCTION("""COMPUTED_VALUE"""),"-")</f>
        <v>-</v>
      </c>
      <c r="X2110" s="213" t="str">
        <f>IFERROR(__xludf.DUMMYFUNCTION("""COMPUTED_VALUE"""),"GENERICO")</f>
        <v>GENERICO</v>
      </c>
      <c r="Y2110" s="213" t="str">
        <f>IFERROR(__xludf.DUMMYFUNCTION("""COMPUTED_VALUE"""),"Acero Inoxidable Con Madera de medidas: 20 cm, 14cm y 8cm")</f>
        <v>Acero Inoxidable Con Madera de medidas: 20 cm, 14cm y 8cm</v>
      </c>
      <c r="Z2110" s="215" t="str">
        <f>IFERROR(__xludf.DUMMYFUNCTION("""COMPUTED_VALUE"""),"https://tiendamia.com/pe/producto?amz=b088jvms6r")</f>
        <v>https://tiendamia.com/pe/producto?amz=b088jvms6r</v>
      </c>
      <c r="AA2110" s="213" t="str">
        <f>IFERROR(__xludf.DUMMYFUNCTION("""COMPUTED_VALUE"""),"MAT-196 JUEGO DE COLADERAS - CET")</f>
        <v>MAT-196 JUEGO DE COLADERAS - CET</v>
      </c>
      <c r="AB2110" s="213"/>
      <c r="AC2110" s="213"/>
      <c r="AD2110" s="213"/>
      <c r="AE2110" s="213"/>
      <c r="AF2110" s="213"/>
      <c r="AG2110" s="213"/>
      <c r="AH2110" s="213"/>
      <c r="AI2110" s="213"/>
      <c r="AJ2110" s="213"/>
      <c r="AK2110" s="213"/>
      <c r="AL2110" s="213"/>
      <c r="AM2110" s="213"/>
      <c r="AN2110" s="213"/>
      <c r="AO2110" s="213"/>
      <c r="AP2110" s="213" t="str">
        <f>IFERROR(__xludf.DUMMYFUNCTION("""COMPUTED_VALUE"""),"LUIS")</f>
        <v>LUIS</v>
      </c>
      <c r="AQ2110" s="213"/>
      <c r="AR2110" s="213"/>
      <c r="AS2110" s="213"/>
      <c r="AT2110" s="213"/>
      <c r="AU2110" s="213"/>
      <c r="AV2110" s="213"/>
      <c r="AW2110" s="213"/>
      <c r="AX2110" s="213"/>
      <c r="AY2110" s="213"/>
      <c r="AZ2110" s="213"/>
      <c r="BA2110" s="213"/>
      <c r="BB2110" s="213"/>
      <c r="BC2110" s="213"/>
      <c r="BD2110" s="213"/>
    </row>
    <row r="2111">
      <c r="A2111" s="213">
        <f>IFERROR(__xludf.DUMMYFUNCTION("""COMPUTED_VALUE"""),1143.0)</f>
        <v>1143</v>
      </c>
      <c r="B2111" s="213" t="str">
        <f>IFERROR(__xludf.DUMMYFUNCTION("""COMPUTED_VALUE"""),"FRANCISCO IRAZOLA")</f>
        <v>FRANCISCO IRAZOLA</v>
      </c>
      <c r="C2111" s="213" t="str">
        <f>IFERROR(__xludf.DUMMYFUNCTION("""COMPUTED_VALUE"""),"TALLER SFT DE INDUSTRIA ALIMENTARIA")</f>
        <v>TALLER SFT DE INDUSTRIA ALIMENTARIA</v>
      </c>
      <c r="D2111" s="213" t="str">
        <f>IFERROR(__xludf.DUMMYFUNCTION("""COMPUTED_VALUE"""),"HERRAMIENTAS")</f>
        <v>HERRAMIENTAS</v>
      </c>
      <c r="E2111" s="213" t="str">
        <f>IFERROR(__xludf.DUMMYFUNCTION("""COMPUTED_VALUE"""),"MAT-196")</f>
        <v>MAT-196</v>
      </c>
      <c r="F2111" s="213" t="str">
        <f>IFERROR(__xludf.DUMMYFUNCTION("""COMPUTED_VALUE"""),"MAT-196")</f>
        <v>MAT-196</v>
      </c>
      <c r="G2111" s="213"/>
      <c r="H2111" s="213" t="str">
        <f>IFERROR(__xludf.DUMMYFUNCTION("""COMPUTED_VALUE"""),"JUEGO DE COLADERAS")</f>
        <v>JUEGO DE COLADERAS</v>
      </c>
      <c r="I2111" s="213" t="str">
        <f>IFERROR(__xludf.DUMMYFUNCTION("""COMPUTED_VALUE"""),"· Coladeras:
· Acero inoxidable
· En tres diferentes tamaños
- 20 cm
- 14 cm
- 8 cm")</f>
        <v>· Coladeras:
· Acero inoxidable
· En tres diferentes tamaños
- 20 cm
- 14 cm
- 8 cm</v>
      </c>
      <c r="J2111" s="213">
        <f>IFERROR(__xludf.DUMMYFUNCTION("""COMPUTED_VALUE"""),3.0)</f>
        <v>3</v>
      </c>
      <c r="K2111" s="213" t="str">
        <f>IFERROR(__xludf.DUMMYFUNCTION("""COMPUTED_VALUE"""),"90 DÍAS CALENDARIO")</f>
        <v>90 DÍAS CALENDARIO</v>
      </c>
      <c r="L2111" s="213" t="str">
        <f>IFERROR(__xludf.DUMMYFUNCTION("""COMPUTED_VALUE"""),"")</f>
        <v/>
      </c>
      <c r="M2111" s="213">
        <f>IFERROR(__xludf.DUMMYFUNCTION("""COMPUTED_VALUE"""),1.0)</f>
        <v>1</v>
      </c>
      <c r="N2111" s="213">
        <f>IFERROR(__xludf.DUMMYFUNCTION("""COMPUTED_VALUE"""),4.0)</f>
        <v>4</v>
      </c>
      <c r="O2111" s="213">
        <f>IFERROR(__xludf.DUMMYFUNCTION("""COMPUTED_VALUE"""),4.0)</f>
        <v>4</v>
      </c>
      <c r="P2111" s="213"/>
      <c r="Q2111" s="213"/>
      <c r="R2111" s="213" t="str">
        <f>IFERROR(__xludf.DUMMYFUNCTION("""COMPUTED_VALUE"""),"SI")</f>
        <v>SI</v>
      </c>
      <c r="S2111" s="213"/>
      <c r="T2111" s="213" t="str">
        <f>IFERROR(__xludf.DUMMYFUNCTION("""COMPUTED_VALUE"""),"SI")</f>
        <v>SI</v>
      </c>
      <c r="U2111" s="213" t="str">
        <f>IFERROR(__xludf.DUMMYFUNCTION("""COMPUTED_VALUE"""),"SI")</f>
        <v>SI</v>
      </c>
      <c r="V2111" s="213" t="str">
        <f>IFERROR(__xludf.DUMMYFUNCTION("""COMPUTED_VALUE"""),"-")</f>
        <v>-</v>
      </c>
      <c r="W2111" s="213" t="str">
        <f>IFERROR(__xludf.DUMMYFUNCTION("""COMPUTED_VALUE"""),"-")</f>
        <v>-</v>
      </c>
      <c r="X2111" s="213" t="str">
        <f>IFERROR(__xludf.DUMMYFUNCTION("""COMPUTED_VALUE"""),"GENERICO")</f>
        <v>GENERICO</v>
      </c>
      <c r="Y2111" s="213" t="str">
        <f>IFERROR(__xludf.DUMMYFUNCTION("""COMPUTED_VALUE"""),"Acero Inoxidable Con Madera de medidas: 20 cm, 14cm y 8cm")</f>
        <v>Acero Inoxidable Con Madera de medidas: 20 cm, 14cm y 8cm</v>
      </c>
      <c r="Z2111" s="215" t="str">
        <f>IFERROR(__xludf.DUMMYFUNCTION("""COMPUTED_VALUE"""),"https://tiendamia.com/pe/producto?amz=b088jvms6r")</f>
        <v>https://tiendamia.com/pe/producto?amz=b088jvms6r</v>
      </c>
      <c r="AA2111" s="213" t="str">
        <f>IFERROR(__xludf.DUMMYFUNCTION("""COMPUTED_VALUE"""),"MAT-196 JUEGO DE COLADERAS - CET")</f>
        <v>MAT-196 JUEGO DE COLADERAS - CET</v>
      </c>
      <c r="AB2111" s="213"/>
      <c r="AC2111" s="213"/>
      <c r="AD2111" s="213"/>
      <c r="AE2111" s="213"/>
      <c r="AF2111" s="213"/>
      <c r="AG2111" s="213"/>
      <c r="AH2111" s="213"/>
      <c r="AI2111" s="213"/>
      <c r="AJ2111" s="213"/>
      <c r="AK2111" s="213"/>
      <c r="AL2111" s="213"/>
      <c r="AM2111" s="213"/>
      <c r="AN2111" s="213"/>
      <c r="AO2111" s="213"/>
      <c r="AP2111" s="213" t="str">
        <f>IFERROR(__xludf.DUMMYFUNCTION("""COMPUTED_VALUE"""),"LUIS")</f>
        <v>LUIS</v>
      </c>
      <c r="AQ2111" s="213"/>
      <c r="AR2111" s="213"/>
      <c r="AS2111" s="213"/>
      <c r="AT2111" s="213"/>
      <c r="AU2111" s="213"/>
      <c r="AV2111" s="213"/>
      <c r="AW2111" s="213"/>
      <c r="AX2111" s="213"/>
      <c r="AY2111" s="213"/>
      <c r="AZ2111" s="213"/>
      <c r="BA2111" s="213"/>
      <c r="BB2111" s="213"/>
      <c r="BC2111" s="213"/>
      <c r="BD2111" s="213"/>
    </row>
    <row r="2112">
      <c r="A2112" s="213">
        <f>IFERROR(__xludf.DUMMYFUNCTION("""COMPUTED_VALUE"""),984.0)</f>
        <v>984</v>
      </c>
      <c r="B2112" s="213" t="str">
        <f>IFERROR(__xludf.DUMMYFUNCTION("""COMPUTED_VALUE"""),"FRANCISCO IRAZOLA")</f>
        <v>FRANCISCO IRAZOLA</v>
      </c>
      <c r="C2112" s="213" t="str">
        <f>IFERROR(__xludf.DUMMYFUNCTION("""COMPUTED_VALUE"""),"TALLER SFT DE MECÁNICA AUTOMOTRIZ")</f>
        <v>TALLER SFT DE MECÁNICA AUTOMOTRIZ</v>
      </c>
      <c r="D2112" s="213" t="str">
        <f>IFERROR(__xludf.DUMMYFUNCTION("""COMPUTED_VALUE"""),"EQUIPOS")</f>
        <v>EQUIPOS</v>
      </c>
      <c r="E2112" s="213" t="str">
        <f>IFERROR(__xludf.DUMMYFUNCTION("""COMPUTED_VALUE"""),"ESP-308")</f>
        <v>ESP-308</v>
      </c>
      <c r="F2112" s="213" t="str">
        <f>IFERROR(__xludf.DUMMYFUNCTION("""COMPUTED_VALUE"""),"ESP-308")</f>
        <v>ESP-308</v>
      </c>
      <c r="G2112" s="213"/>
      <c r="H2112" s="213" t="str">
        <f>IFERROR(__xludf.DUMMYFUNCTION("""COMPUTED_VALUE"""),"PRENSA HIDRÁULICA")</f>
        <v>PRENSA HIDRÁULICA</v>
      </c>
      <c r="I2112" s="213" t="str">
        <f>IFERROR(__xludf.DUMMYFUNCTION("""COMPUTED_VALUE"""),"· Capacidad: mínima de 18 toneladas.
· Construcción en acero.
· Posee sistema de regulación de altura.
· El amordazado de la pieza facilita que se realice una operación exitosa.
· Bastidor en H de acero.
· Dimensiones L 80 x A80 x H180 cm")</f>
        <v>· Capacidad: mínima de 18 toneladas.
· Construcción en acero.
· Posee sistema de regulación de altura.
· El amordazado de la pieza facilita que se realice una operación exitosa.
· Bastidor en H de acero.
· Dimensiones L 80 x A80 x H180 cm</v>
      </c>
      <c r="J2112" s="213">
        <f>IFERROR(__xludf.DUMMYFUNCTION("""COMPUTED_VALUE"""),3.0)</f>
        <v>3</v>
      </c>
      <c r="K2112" s="213" t="str">
        <f>IFERROR(__xludf.DUMMYFUNCTION("""COMPUTED_VALUE"""),"170 DÍAS CALENDARIO")</f>
        <v>170 DÍAS CALENDARIO</v>
      </c>
      <c r="L2112" s="213" t="str">
        <f>IFERROR(__xludf.DUMMYFUNCTION("""COMPUTED_VALUE"""),"")</f>
        <v/>
      </c>
      <c r="M2112" s="213">
        <f>IFERROR(__xludf.DUMMYFUNCTION("""COMPUTED_VALUE"""),1.0)</f>
        <v>1</v>
      </c>
      <c r="N2112" s="213">
        <f>IFERROR(__xludf.DUMMYFUNCTION("""COMPUTED_VALUE"""),1.0)</f>
        <v>1</v>
      </c>
      <c r="O2112" s="213">
        <f>IFERROR(__xludf.DUMMYFUNCTION("""COMPUTED_VALUE"""),1.0)</f>
        <v>1</v>
      </c>
      <c r="P2112" s="213"/>
      <c r="Q2112" s="213"/>
      <c r="R2112" s="213"/>
      <c r="S2112" s="213" t="str">
        <f>IFERROR(__xludf.DUMMYFUNCTION("""COMPUTED_VALUE"""),"SI")</f>
        <v>SI</v>
      </c>
      <c r="T2112" s="213" t="str">
        <f>IFERROR(__xludf.DUMMYFUNCTION("""COMPUTED_VALUE"""),"SI")</f>
        <v>SI</v>
      </c>
      <c r="U2112" s="213" t="str">
        <f>IFERROR(__xludf.DUMMYFUNCTION("""COMPUTED_VALUE"""),"NO")</f>
        <v>NO</v>
      </c>
      <c r="V2112" s="213" t="str">
        <f>IFERROR(__xludf.DUMMYFUNCTION("""COMPUTED_VALUE"""),"SUSTENTO")</f>
        <v>SUSTENTO</v>
      </c>
      <c r="W2112" s="213" t="str">
        <f>IFERROR(__xludf.DUMMYFUNCTION("""COMPUTED_VALUE"""),"DIMENSIONAL")</f>
        <v>DIMENSIONAL</v>
      </c>
      <c r="X2112" s="213" t="str">
        <f>IFERROR(__xludf.DUMMYFUNCTION("""COMPUTED_VALUE"""),"TRUPER")</f>
        <v>TRUPER</v>
      </c>
      <c r="Y2112" s="213" t="str">
        <f>IFERROR(__xludf.DUMMYFUNCTION("""COMPUTED_VALUE"""),"PREH-20")</f>
        <v>PREH-20</v>
      </c>
      <c r="Z2112" s="215" t="str">
        <f>IFERROR(__xludf.DUMMYFUNCTION("""COMPUTED_VALUE"""),"https://www.truper.com/ficha_merca/ficha-print.php?code=17685")</f>
        <v>https://www.truper.com/ficha_merca/ficha-print.php?code=17685</v>
      </c>
      <c r="AA2112" s="213" t="str">
        <f>IFERROR(__xludf.DUMMYFUNCTION("""COMPUTED_VALUE"""),"ESP-308 PRENSA HIDRÁULICA - CET")</f>
        <v>ESP-308 PRENSA HIDRÁULICA - CET</v>
      </c>
      <c r="AB2112" s="215" t="str">
        <f>IFERROR(__xludf.DUMMYFUNCTION("""COMPUTED_VALUE"""),"https://prosinfer.com.pe/wp-content/uploads/2022/06/17685.pdf")</f>
        <v>https://prosinfer.com.pe/wp-content/uploads/2022/06/17685.pdf</v>
      </c>
      <c r="AC2112" s="215" t="str">
        <f>IFERROR(__xludf.DUMMYFUNCTION("""COMPUTED_VALUE"""),"https://drive.google.com/file/d/1k9fyimlwG66ZHKXwD8wGt2GwEWJQCEk9/view")</f>
        <v>https://drive.google.com/file/d/1k9fyimlwG66ZHKXwD8wGt2GwEWJQCEk9/view</v>
      </c>
      <c r="AD2112" s="213"/>
      <c r="AE2112" s="213"/>
      <c r="AF2112" s="213"/>
      <c r="AG2112" s="213"/>
      <c r="AH2112" s="213" t="str">
        <f>IFERROR(__xludf.DUMMYFUNCTION("""COMPUTED_VALUE"""),"NACIONAL")</f>
        <v>NACIONAL</v>
      </c>
      <c r="AI2112" s="213"/>
      <c r="AJ2112" s="213"/>
      <c r="AK2112" s="213"/>
      <c r="AL2112" s="213"/>
      <c r="AM2112" s="213"/>
      <c r="AN2112" s="213"/>
      <c r="AO2112" s="213"/>
      <c r="AP2112" s="213" t="str">
        <f>IFERROR(__xludf.DUMMYFUNCTION("""COMPUTED_VALUE"""),"NALDI")</f>
        <v>NALDI</v>
      </c>
      <c r="AQ2112" s="213" t="str">
        <f>IFERROR(__xludf.DUMMYFUNCTION("""COMPUTED_VALUE"""),"-")</f>
        <v>-</v>
      </c>
      <c r="AR2112" s="213"/>
      <c r="AS2112" s="213" t="str">
        <f>IFERROR(__xludf.DUMMYFUNCTION("""COMPUTED_VALUE"""),"-")</f>
        <v>-</v>
      </c>
      <c r="AT2112" s="213" t="str">
        <f>IFERROR(__xludf.DUMMYFUNCTION("""COMPUTED_VALUE"""),"-")</f>
        <v>-</v>
      </c>
      <c r="AU2112" s="213"/>
      <c r="AV2112" s="213"/>
      <c r="AW2112" s="213"/>
      <c r="AX2112" s="213"/>
      <c r="AY2112" s="213"/>
      <c r="AZ2112" s="213"/>
      <c r="BA2112" s="213"/>
      <c r="BB2112" s="213"/>
      <c r="BC2112" s="213"/>
      <c r="BD2112" s="213"/>
    </row>
    <row r="2113">
      <c r="A2113" s="213">
        <f>IFERROR(__xludf.DUMMYFUNCTION("""COMPUTED_VALUE"""),1588.0)</f>
        <v>1588</v>
      </c>
      <c r="B2113" s="213" t="str">
        <f>IFERROR(__xludf.DUMMYFUNCTION("""COMPUTED_VALUE"""),"GUILLERMO E. BILLINGHURST ")</f>
        <v>GUILLERMO E. BILLINGHURST </v>
      </c>
      <c r="C2113" s="213" t="str">
        <f>IFERROR(__xludf.DUMMYFUNCTION("""COMPUTED_VALUE"""),"TALLER SFT DE MECÁNICA AUTOMOTRIZ")</f>
        <v>TALLER SFT DE MECÁNICA AUTOMOTRIZ</v>
      </c>
      <c r="D2113" s="213" t="str">
        <f>IFERROR(__xludf.DUMMYFUNCTION("""COMPUTED_VALUE"""),"EQUIPOS")</f>
        <v>EQUIPOS</v>
      </c>
      <c r="E2113" s="213" t="str">
        <f>IFERROR(__xludf.DUMMYFUNCTION("""COMPUTED_VALUE"""),"ESP-308")</f>
        <v>ESP-308</v>
      </c>
      <c r="F2113" s="213" t="str">
        <f>IFERROR(__xludf.DUMMYFUNCTION("""COMPUTED_VALUE"""),"ESP-308")</f>
        <v>ESP-308</v>
      </c>
      <c r="G2113" s="213"/>
      <c r="H2113" s="213" t="str">
        <f>IFERROR(__xludf.DUMMYFUNCTION("""COMPUTED_VALUE"""),"PRENSA HIDRÁULICA")</f>
        <v>PRENSA HIDRÁULICA</v>
      </c>
      <c r="I2113" s="213" t="str">
        <f>IFERROR(__xludf.DUMMYFUNCTION("""COMPUTED_VALUE"""),"· Capacidad: mínima de 18 toneladas.
· Construcción en acero.
· Posee sistema de regulación de altura.
· El amordazado de la pieza facilita que se realice una operación exitosa.
· Bastidor en H de acero.
· Dimensiones L 80 x A80 x H180 cm")</f>
        <v>· Capacidad: mínima de 18 toneladas.
· Construcción en acero.
· Posee sistema de regulación de altura.
· El amordazado de la pieza facilita que se realice una operación exitosa.
· Bastidor en H de acero.
· Dimensiones L 80 x A80 x H180 cm</v>
      </c>
      <c r="J2113" s="213">
        <f>IFERROR(__xludf.DUMMYFUNCTION("""COMPUTED_VALUE"""),3.0)</f>
        <v>3</v>
      </c>
      <c r="K2113" s="213" t="str">
        <f>IFERROR(__xludf.DUMMYFUNCTION("""COMPUTED_VALUE"""),"170 DÍAS CALENDARIO")</f>
        <v>170 DÍAS CALENDARIO</v>
      </c>
      <c r="L2113" s="213" t="str">
        <f>IFERROR(__xludf.DUMMYFUNCTION("""COMPUTED_VALUE"""),"")</f>
        <v/>
      </c>
      <c r="M2113" s="213">
        <f>IFERROR(__xludf.DUMMYFUNCTION("""COMPUTED_VALUE"""),1.0)</f>
        <v>1</v>
      </c>
      <c r="N2113" s="213">
        <f>IFERROR(__xludf.DUMMYFUNCTION("""COMPUTED_VALUE"""),1.0)</f>
        <v>1</v>
      </c>
      <c r="O2113" s="213">
        <f>IFERROR(__xludf.DUMMYFUNCTION("""COMPUTED_VALUE"""),1.0)</f>
        <v>1</v>
      </c>
      <c r="P2113" s="213"/>
      <c r="Q2113" s="213"/>
      <c r="R2113" s="213"/>
      <c r="S2113" s="213" t="str">
        <f>IFERROR(__xludf.DUMMYFUNCTION("""COMPUTED_VALUE"""),"SI")</f>
        <v>SI</v>
      </c>
      <c r="T2113" s="213" t="str">
        <f>IFERROR(__xludf.DUMMYFUNCTION("""COMPUTED_VALUE"""),"SI")</f>
        <v>SI</v>
      </c>
      <c r="U2113" s="213" t="str">
        <f>IFERROR(__xludf.DUMMYFUNCTION("""COMPUTED_VALUE"""),"NO")</f>
        <v>NO</v>
      </c>
      <c r="V2113" s="213" t="str">
        <f>IFERROR(__xludf.DUMMYFUNCTION("""COMPUTED_VALUE"""),"SUSTENTO")</f>
        <v>SUSTENTO</v>
      </c>
      <c r="W2113" s="213" t="str">
        <f>IFERROR(__xludf.DUMMYFUNCTION("""COMPUTED_VALUE"""),"DIMENSIONAL")</f>
        <v>DIMENSIONAL</v>
      </c>
      <c r="X2113" s="213" t="str">
        <f>IFERROR(__xludf.DUMMYFUNCTION("""COMPUTED_VALUE"""),"TRUPER")</f>
        <v>TRUPER</v>
      </c>
      <c r="Y2113" s="213" t="str">
        <f>IFERROR(__xludf.DUMMYFUNCTION("""COMPUTED_VALUE"""),"PREH-20")</f>
        <v>PREH-20</v>
      </c>
      <c r="Z2113" s="215" t="str">
        <f>IFERROR(__xludf.DUMMYFUNCTION("""COMPUTED_VALUE"""),"https://www.truper.com/ficha_merca/ficha-print.php?code=17686")</f>
        <v>https://www.truper.com/ficha_merca/ficha-print.php?code=17686</v>
      </c>
      <c r="AA2113" s="213" t="str">
        <f>IFERROR(__xludf.DUMMYFUNCTION("""COMPUTED_VALUE"""),"ESP-308 PRENSA HIDRÁULICA - CET")</f>
        <v>ESP-308 PRENSA HIDRÁULICA - CET</v>
      </c>
      <c r="AB2113" s="215" t="str">
        <f>IFERROR(__xludf.DUMMYFUNCTION("""COMPUTED_VALUE"""),"https://prosinfer.com.pe/wp-content/uploads/2022/06/17685.pdf")</f>
        <v>https://prosinfer.com.pe/wp-content/uploads/2022/06/17685.pdf</v>
      </c>
      <c r="AC2113" s="215" t="str">
        <f>IFERROR(__xludf.DUMMYFUNCTION("""COMPUTED_VALUE"""),"https://drive.google.com/file/d/1k9fyimlwG66ZHKXwD8wGt2GwEWJQCEk9/view")</f>
        <v>https://drive.google.com/file/d/1k9fyimlwG66ZHKXwD8wGt2GwEWJQCEk9/view</v>
      </c>
      <c r="AD2113" s="213"/>
      <c r="AE2113" s="213"/>
      <c r="AF2113" s="213"/>
      <c r="AG2113" s="213"/>
      <c r="AH2113" s="213" t="str">
        <f>IFERROR(__xludf.DUMMYFUNCTION("""COMPUTED_VALUE"""),"NACIONAL")</f>
        <v>NACIONAL</v>
      </c>
      <c r="AI2113" s="213"/>
      <c r="AJ2113" s="213"/>
      <c r="AK2113" s="213"/>
      <c r="AL2113" s="213"/>
      <c r="AM2113" s="213"/>
      <c r="AN2113" s="213"/>
      <c r="AO2113" s="213"/>
      <c r="AP2113" s="213" t="str">
        <f>IFERROR(__xludf.DUMMYFUNCTION("""COMPUTED_VALUE"""),"NALDI")</f>
        <v>NALDI</v>
      </c>
      <c r="AQ2113" s="213"/>
      <c r="AR2113" s="213"/>
      <c r="AS2113" s="213"/>
      <c r="AT2113" s="213"/>
      <c r="AU2113" s="213"/>
      <c r="AV2113" s="213"/>
      <c r="AW2113" s="213"/>
      <c r="AX2113" s="213"/>
      <c r="AY2113" s="213"/>
      <c r="AZ2113" s="213"/>
      <c r="BA2113" s="213"/>
      <c r="BB2113" s="213"/>
      <c r="BC2113" s="213"/>
      <c r="BD2113" s="213"/>
    </row>
    <row r="2114">
      <c r="A2114" s="213">
        <f>IFERROR(__xludf.DUMMYFUNCTION("""COMPUTED_VALUE"""),2275.0)</f>
        <v>2275</v>
      </c>
      <c r="B2114" s="213" t="str">
        <f>IFERROR(__xludf.DUMMYFUNCTION("""COMPUTED_VALUE"""),"JOSE GRANDA")</f>
        <v>JOSE GRANDA</v>
      </c>
      <c r="C2114" s="213" t="str">
        <f>IFERROR(__xludf.DUMMYFUNCTION("""COMPUTED_VALUE"""),"TALLER SFT DE MECÁNICA AUTOMOTRIZ")</f>
        <v>TALLER SFT DE MECÁNICA AUTOMOTRIZ</v>
      </c>
      <c r="D2114" s="213" t="str">
        <f>IFERROR(__xludf.DUMMYFUNCTION("""COMPUTED_VALUE"""),"EQUIPOS")</f>
        <v>EQUIPOS</v>
      </c>
      <c r="E2114" s="213" t="str">
        <f>IFERROR(__xludf.DUMMYFUNCTION("""COMPUTED_VALUE"""),"ESP-308")</f>
        <v>ESP-308</v>
      </c>
      <c r="F2114" s="213" t="str">
        <f>IFERROR(__xludf.DUMMYFUNCTION("""COMPUTED_VALUE"""),"ESP-308")</f>
        <v>ESP-308</v>
      </c>
      <c r="G2114" s="213"/>
      <c r="H2114" s="213" t="str">
        <f>IFERROR(__xludf.DUMMYFUNCTION("""COMPUTED_VALUE"""),"PRENSA HIDRÁULICA")</f>
        <v>PRENSA HIDRÁULICA</v>
      </c>
      <c r="I2114" s="213" t="str">
        <f>IFERROR(__xludf.DUMMYFUNCTION("""COMPUTED_VALUE"""),"· Capacidad: mínima de 18 toneladas.
· Construcción en acero.
· Posee sistema de regulación de altura.
· El amordazado de la pieza facilita que se realice una operación exitosa.
· Bastidor en H de acero.
· Dimensiones L 80 x A80 x H180 cm")</f>
        <v>· Capacidad: mínima de 18 toneladas.
· Construcción en acero.
· Posee sistema de regulación de altura.
· El amordazado de la pieza facilita que se realice una operación exitosa.
· Bastidor en H de acero.
· Dimensiones L 80 x A80 x H180 cm</v>
      </c>
      <c r="J2114" s="213">
        <f>IFERROR(__xludf.DUMMYFUNCTION("""COMPUTED_VALUE"""),3.0)</f>
        <v>3</v>
      </c>
      <c r="K2114" s="213" t="str">
        <f>IFERROR(__xludf.DUMMYFUNCTION("""COMPUTED_VALUE"""),"170 DÍAS CALENDARIO")</f>
        <v>170 DÍAS CALENDARIO</v>
      </c>
      <c r="L2114" s="213" t="str">
        <f>IFERROR(__xludf.DUMMYFUNCTION("""COMPUTED_VALUE"""),"")</f>
        <v/>
      </c>
      <c r="M2114" s="213">
        <f>IFERROR(__xludf.DUMMYFUNCTION("""COMPUTED_VALUE"""),1.0)</f>
        <v>1</v>
      </c>
      <c r="N2114" s="213">
        <f>IFERROR(__xludf.DUMMYFUNCTION("""COMPUTED_VALUE"""),1.0)</f>
        <v>1</v>
      </c>
      <c r="O2114" s="213">
        <f>IFERROR(__xludf.DUMMYFUNCTION("""COMPUTED_VALUE"""),1.0)</f>
        <v>1</v>
      </c>
      <c r="P2114" s="213"/>
      <c r="Q2114" s="213"/>
      <c r="R2114" s="213"/>
      <c r="S2114" s="213" t="str">
        <f>IFERROR(__xludf.DUMMYFUNCTION("""COMPUTED_VALUE"""),"SI")</f>
        <v>SI</v>
      </c>
      <c r="T2114" s="213" t="str">
        <f>IFERROR(__xludf.DUMMYFUNCTION("""COMPUTED_VALUE"""),"SI")</f>
        <v>SI</v>
      </c>
      <c r="U2114" s="213" t="str">
        <f>IFERROR(__xludf.DUMMYFUNCTION("""COMPUTED_VALUE"""),"NO")</f>
        <v>NO</v>
      </c>
      <c r="V2114" s="213" t="str">
        <f>IFERROR(__xludf.DUMMYFUNCTION("""COMPUTED_VALUE"""),"SUSTENTO")</f>
        <v>SUSTENTO</v>
      </c>
      <c r="W2114" s="213" t="str">
        <f>IFERROR(__xludf.DUMMYFUNCTION("""COMPUTED_VALUE"""),"DIMENSIONAL")</f>
        <v>DIMENSIONAL</v>
      </c>
      <c r="X2114" s="213" t="str">
        <f>IFERROR(__xludf.DUMMYFUNCTION("""COMPUTED_VALUE"""),"TRUPER")</f>
        <v>TRUPER</v>
      </c>
      <c r="Y2114" s="213" t="str">
        <f>IFERROR(__xludf.DUMMYFUNCTION("""COMPUTED_VALUE"""),"PREH-20")</f>
        <v>PREH-20</v>
      </c>
      <c r="Z2114" s="215" t="str">
        <f>IFERROR(__xludf.DUMMYFUNCTION("""COMPUTED_VALUE"""),"https://www.truper.com/ficha_merca/ficha-print.php?code=17687")</f>
        <v>https://www.truper.com/ficha_merca/ficha-print.php?code=17687</v>
      </c>
      <c r="AA2114" s="213" t="str">
        <f>IFERROR(__xludf.DUMMYFUNCTION("""COMPUTED_VALUE"""),"ESP-308 PRENSA HIDRÁULICA - CET")</f>
        <v>ESP-308 PRENSA HIDRÁULICA - CET</v>
      </c>
      <c r="AB2114" s="215" t="str">
        <f>IFERROR(__xludf.DUMMYFUNCTION("""COMPUTED_VALUE"""),"https://prosinfer.com.pe/wp-content/uploads/2022/06/17685.pdf")</f>
        <v>https://prosinfer.com.pe/wp-content/uploads/2022/06/17685.pdf</v>
      </c>
      <c r="AC2114" s="215" t="str">
        <f>IFERROR(__xludf.DUMMYFUNCTION("""COMPUTED_VALUE"""),"https://drive.google.com/file/d/1k9fyimlwG66ZHKXwD8wGt2GwEWJQCEk9/view")</f>
        <v>https://drive.google.com/file/d/1k9fyimlwG66ZHKXwD8wGt2GwEWJQCEk9/view</v>
      </c>
      <c r="AD2114" s="213"/>
      <c r="AE2114" s="213"/>
      <c r="AF2114" s="213"/>
      <c r="AG2114" s="213"/>
      <c r="AH2114" s="213" t="str">
        <f>IFERROR(__xludf.DUMMYFUNCTION("""COMPUTED_VALUE"""),"NACIONAL")</f>
        <v>NACIONAL</v>
      </c>
      <c r="AI2114" s="213"/>
      <c r="AJ2114" s="213"/>
      <c r="AK2114" s="213"/>
      <c r="AL2114" s="213"/>
      <c r="AM2114" s="213"/>
      <c r="AN2114" s="213"/>
      <c r="AO2114" s="213"/>
      <c r="AP2114" s="213" t="str">
        <f>IFERROR(__xludf.DUMMYFUNCTION("""COMPUTED_VALUE"""),"NALDI")</f>
        <v>NALDI</v>
      </c>
      <c r="AQ2114" s="213"/>
      <c r="AR2114" s="213"/>
      <c r="AS2114" s="213"/>
      <c r="AT2114" s="213"/>
      <c r="AU2114" s="213"/>
      <c r="AV2114" s="213"/>
      <c r="AW2114" s="213"/>
      <c r="AX2114" s="213"/>
      <c r="AY2114" s="213"/>
      <c r="AZ2114" s="213"/>
      <c r="BA2114" s="213"/>
      <c r="BB2114" s="213"/>
      <c r="BC2114" s="213"/>
      <c r="BD2114" s="213"/>
    </row>
    <row r="2115">
      <c r="A2115" s="213">
        <f>IFERROR(__xludf.DUMMYFUNCTION("""COMPUTED_VALUE"""),1415.0)</f>
        <v>1415</v>
      </c>
      <c r="B2115" s="213" t="str">
        <f>IFERROR(__xludf.DUMMYFUNCTION("""COMPUTED_VALUE"""),"GUILLERMO E. BILLINGHURST ")</f>
        <v>GUILLERMO E. BILLINGHURST </v>
      </c>
      <c r="C2115" s="213" t="str">
        <f>IFERROR(__xludf.DUMMYFUNCTION("""COMPUTED_VALUE"""),"TALLER SFT DE INDUSTRIA ALIMENTARIA")</f>
        <v>TALLER SFT DE INDUSTRIA ALIMENTARIA</v>
      </c>
      <c r="D2115" s="213" t="str">
        <f>IFERROR(__xludf.DUMMYFUNCTION("""COMPUTED_VALUE"""),"HERRAMIENTAS")</f>
        <v>HERRAMIENTAS</v>
      </c>
      <c r="E2115" s="213" t="str">
        <f>IFERROR(__xludf.DUMMYFUNCTION("""COMPUTED_VALUE"""),"MAT-196")</f>
        <v>MAT-196</v>
      </c>
      <c r="F2115" s="213" t="str">
        <f>IFERROR(__xludf.DUMMYFUNCTION("""COMPUTED_VALUE"""),"MAT-196")</f>
        <v>MAT-196</v>
      </c>
      <c r="G2115" s="213"/>
      <c r="H2115" s="213" t="str">
        <f>IFERROR(__xludf.DUMMYFUNCTION("""COMPUTED_VALUE"""),"JUEGO DE COLADERAS")</f>
        <v>JUEGO DE COLADERAS</v>
      </c>
      <c r="I2115" s="213" t="str">
        <f>IFERROR(__xludf.DUMMYFUNCTION("""COMPUTED_VALUE"""),"· Coladeras:
· Acero inoxidable
· En tres diferentes tamaños
- 20 cm
- 14 cm
- 8 cm")</f>
        <v>· Coladeras:
· Acero inoxidable
· En tres diferentes tamaños
- 20 cm
- 14 cm
- 8 cm</v>
      </c>
      <c r="J2115" s="213">
        <f>IFERROR(__xludf.DUMMYFUNCTION("""COMPUTED_VALUE"""),3.0)</f>
        <v>3</v>
      </c>
      <c r="K2115" s="213" t="str">
        <f>IFERROR(__xludf.DUMMYFUNCTION("""COMPUTED_VALUE"""),"90 DÍAS CALENDARIO")</f>
        <v>90 DÍAS CALENDARIO</v>
      </c>
      <c r="L2115" s="213" t="str">
        <f>IFERROR(__xludf.DUMMYFUNCTION("""COMPUTED_VALUE"""),"")</f>
        <v/>
      </c>
      <c r="M2115" s="213">
        <f>IFERROR(__xludf.DUMMYFUNCTION("""COMPUTED_VALUE"""),1.0)</f>
        <v>1</v>
      </c>
      <c r="N2115" s="213">
        <f>IFERROR(__xludf.DUMMYFUNCTION("""COMPUTED_VALUE"""),4.0)</f>
        <v>4</v>
      </c>
      <c r="O2115" s="213">
        <f>IFERROR(__xludf.DUMMYFUNCTION("""COMPUTED_VALUE"""),4.0)</f>
        <v>4</v>
      </c>
      <c r="P2115" s="213"/>
      <c r="Q2115" s="213"/>
      <c r="R2115" s="213" t="str">
        <f>IFERROR(__xludf.DUMMYFUNCTION("""COMPUTED_VALUE"""),"SI")</f>
        <v>SI</v>
      </c>
      <c r="S2115" s="213"/>
      <c r="T2115" s="213" t="str">
        <f>IFERROR(__xludf.DUMMYFUNCTION("""COMPUTED_VALUE"""),"SI")</f>
        <v>SI</v>
      </c>
      <c r="U2115" s="213" t="str">
        <f>IFERROR(__xludf.DUMMYFUNCTION("""COMPUTED_VALUE"""),"SI")</f>
        <v>SI</v>
      </c>
      <c r="V2115" s="213" t="str">
        <f>IFERROR(__xludf.DUMMYFUNCTION("""COMPUTED_VALUE"""),"-")</f>
        <v>-</v>
      </c>
      <c r="W2115" s="213" t="str">
        <f>IFERROR(__xludf.DUMMYFUNCTION("""COMPUTED_VALUE"""),"-")</f>
        <v>-</v>
      </c>
      <c r="X2115" s="213" t="str">
        <f>IFERROR(__xludf.DUMMYFUNCTION("""COMPUTED_VALUE"""),"GENERICO")</f>
        <v>GENERICO</v>
      </c>
      <c r="Y2115" s="213" t="str">
        <f>IFERROR(__xludf.DUMMYFUNCTION("""COMPUTED_VALUE"""),"Acero Inoxidable Con Madera de medidas: 20 cm, 14cm y 8cm")</f>
        <v>Acero Inoxidable Con Madera de medidas: 20 cm, 14cm y 8cm</v>
      </c>
      <c r="Z2115" s="215" t="str">
        <f>IFERROR(__xludf.DUMMYFUNCTION("""COMPUTED_VALUE"""),"https://tiendamia.com/pe/producto?amz=b088jvms6r")</f>
        <v>https://tiendamia.com/pe/producto?amz=b088jvms6r</v>
      </c>
      <c r="AA2115" s="213" t="str">
        <f>IFERROR(__xludf.DUMMYFUNCTION("""COMPUTED_VALUE"""),"MAT-196 JUEGO DE COLADERAS - CET")</f>
        <v>MAT-196 JUEGO DE COLADERAS - CET</v>
      </c>
      <c r="AB2115" s="213"/>
      <c r="AC2115" s="213"/>
      <c r="AD2115" s="213"/>
      <c r="AE2115" s="213"/>
      <c r="AF2115" s="213"/>
      <c r="AG2115" s="213"/>
      <c r="AH2115" s="213"/>
      <c r="AI2115" s="213"/>
      <c r="AJ2115" s="213"/>
      <c r="AK2115" s="213"/>
      <c r="AL2115" s="213"/>
      <c r="AM2115" s="213"/>
      <c r="AN2115" s="213"/>
      <c r="AO2115" s="213"/>
      <c r="AP2115" s="213" t="str">
        <f>IFERROR(__xludf.DUMMYFUNCTION("""COMPUTED_VALUE"""),"LUIS")</f>
        <v>LUIS</v>
      </c>
      <c r="AQ2115" s="213"/>
      <c r="AR2115" s="213"/>
      <c r="AS2115" s="213"/>
      <c r="AT2115" s="213"/>
      <c r="AU2115" s="213"/>
      <c r="AV2115" s="213"/>
      <c r="AW2115" s="213"/>
      <c r="AX2115" s="213"/>
      <c r="AY2115" s="213"/>
      <c r="AZ2115" s="213"/>
      <c r="BA2115" s="213"/>
      <c r="BB2115" s="213"/>
      <c r="BC2115" s="213"/>
      <c r="BD2115" s="213"/>
    </row>
    <row r="2116">
      <c r="A2116" s="213">
        <f>IFERROR(__xludf.DUMMYFUNCTION("""COMPUTED_VALUE"""),2102.0)</f>
        <v>2102</v>
      </c>
      <c r="B2116" s="213" t="str">
        <f>IFERROR(__xludf.DUMMYFUNCTION("""COMPUTED_VALUE"""),"JOSE GRANDA")</f>
        <v>JOSE GRANDA</v>
      </c>
      <c r="C2116" s="213" t="str">
        <f>IFERROR(__xludf.DUMMYFUNCTION("""COMPUTED_VALUE"""),"TALLER SFT DE INDUSTRIA ALIMENTARIA")</f>
        <v>TALLER SFT DE INDUSTRIA ALIMENTARIA</v>
      </c>
      <c r="D2116" s="213" t="str">
        <f>IFERROR(__xludf.DUMMYFUNCTION("""COMPUTED_VALUE"""),"HERRAMIENTAS")</f>
        <v>HERRAMIENTAS</v>
      </c>
      <c r="E2116" s="213" t="str">
        <f>IFERROR(__xludf.DUMMYFUNCTION("""COMPUTED_VALUE"""),"MAT-196")</f>
        <v>MAT-196</v>
      </c>
      <c r="F2116" s="213" t="str">
        <f>IFERROR(__xludf.DUMMYFUNCTION("""COMPUTED_VALUE"""),"MAT-196")</f>
        <v>MAT-196</v>
      </c>
      <c r="G2116" s="213"/>
      <c r="H2116" s="213" t="str">
        <f>IFERROR(__xludf.DUMMYFUNCTION("""COMPUTED_VALUE"""),"JUEGO DE COLADERAS")</f>
        <v>JUEGO DE COLADERAS</v>
      </c>
      <c r="I2116" s="213" t="str">
        <f>IFERROR(__xludf.DUMMYFUNCTION("""COMPUTED_VALUE"""),"· Coladeras:
· Acero inoxidable
· En tres diferentes tamaños
- 20 cm
- 14 cm
- 8 cm")</f>
        <v>· Coladeras:
· Acero inoxidable
· En tres diferentes tamaños
- 20 cm
- 14 cm
- 8 cm</v>
      </c>
      <c r="J2116" s="213">
        <f>IFERROR(__xludf.DUMMYFUNCTION("""COMPUTED_VALUE"""),3.0)</f>
        <v>3</v>
      </c>
      <c r="K2116" s="213" t="str">
        <f>IFERROR(__xludf.DUMMYFUNCTION("""COMPUTED_VALUE"""),"90 DÍAS CALENDARIO")</f>
        <v>90 DÍAS CALENDARIO</v>
      </c>
      <c r="L2116" s="213" t="str">
        <f>IFERROR(__xludf.DUMMYFUNCTION("""COMPUTED_VALUE"""),"")</f>
        <v/>
      </c>
      <c r="M2116" s="213">
        <f>IFERROR(__xludf.DUMMYFUNCTION("""COMPUTED_VALUE"""),1.0)</f>
        <v>1</v>
      </c>
      <c r="N2116" s="213">
        <f>IFERROR(__xludf.DUMMYFUNCTION("""COMPUTED_VALUE"""),4.0)</f>
        <v>4</v>
      </c>
      <c r="O2116" s="213">
        <f>IFERROR(__xludf.DUMMYFUNCTION("""COMPUTED_VALUE"""),4.0)</f>
        <v>4</v>
      </c>
      <c r="P2116" s="213"/>
      <c r="Q2116" s="213"/>
      <c r="R2116" s="213" t="str">
        <f>IFERROR(__xludf.DUMMYFUNCTION("""COMPUTED_VALUE"""),"SI")</f>
        <v>SI</v>
      </c>
      <c r="S2116" s="213"/>
      <c r="T2116" s="213" t="str">
        <f>IFERROR(__xludf.DUMMYFUNCTION("""COMPUTED_VALUE"""),"SI")</f>
        <v>SI</v>
      </c>
      <c r="U2116" s="213" t="str">
        <f>IFERROR(__xludf.DUMMYFUNCTION("""COMPUTED_VALUE"""),"SI")</f>
        <v>SI</v>
      </c>
      <c r="V2116" s="213" t="str">
        <f>IFERROR(__xludf.DUMMYFUNCTION("""COMPUTED_VALUE"""),"-")</f>
        <v>-</v>
      </c>
      <c r="W2116" s="213" t="str">
        <f>IFERROR(__xludf.DUMMYFUNCTION("""COMPUTED_VALUE"""),"-")</f>
        <v>-</v>
      </c>
      <c r="X2116" s="213" t="str">
        <f>IFERROR(__xludf.DUMMYFUNCTION("""COMPUTED_VALUE"""),"GENERICO")</f>
        <v>GENERICO</v>
      </c>
      <c r="Y2116" s="213" t="str">
        <f>IFERROR(__xludf.DUMMYFUNCTION("""COMPUTED_VALUE"""),"Acero Inoxidable Con Madera de medidas: 20 cm, 14cm y 8cm")</f>
        <v>Acero Inoxidable Con Madera de medidas: 20 cm, 14cm y 8cm</v>
      </c>
      <c r="Z2116" s="215" t="str">
        <f>IFERROR(__xludf.DUMMYFUNCTION("""COMPUTED_VALUE"""),"https://tiendamia.com/pe/producto?amz=b088jvms6r")</f>
        <v>https://tiendamia.com/pe/producto?amz=b088jvms6r</v>
      </c>
      <c r="AA2116" s="213" t="str">
        <f>IFERROR(__xludf.DUMMYFUNCTION("""COMPUTED_VALUE"""),"MAT-196 JUEGO DE COLADERAS - CET")</f>
        <v>MAT-196 JUEGO DE COLADERAS - CET</v>
      </c>
      <c r="AB2116" s="213"/>
      <c r="AC2116" s="213"/>
      <c r="AD2116" s="213"/>
      <c r="AE2116" s="213"/>
      <c r="AF2116" s="213"/>
      <c r="AG2116" s="213"/>
      <c r="AH2116" s="213"/>
      <c r="AI2116" s="213"/>
      <c r="AJ2116" s="213"/>
      <c r="AK2116" s="213"/>
      <c r="AL2116" s="213"/>
      <c r="AM2116" s="213"/>
      <c r="AN2116" s="213"/>
      <c r="AO2116" s="213"/>
      <c r="AP2116" s="213" t="str">
        <f>IFERROR(__xludf.DUMMYFUNCTION("""COMPUTED_VALUE"""),"LUIS")</f>
        <v>LUIS</v>
      </c>
      <c r="AQ2116" s="213"/>
      <c r="AR2116" s="213"/>
      <c r="AS2116" s="213"/>
      <c r="AT2116" s="213"/>
      <c r="AU2116" s="213"/>
      <c r="AV2116" s="213"/>
      <c r="AW2116" s="213"/>
      <c r="AX2116" s="213"/>
      <c r="AY2116" s="213"/>
      <c r="AZ2116" s="213"/>
      <c r="BA2116" s="213"/>
      <c r="BB2116" s="213"/>
      <c r="BC2116" s="213"/>
      <c r="BD2116" s="213"/>
    </row>
    <row r="2117">
      <c r="A2117" s="213">
        <f>IFERROR(__xludf.DUMMYFUNCTION("""COMPUTED_VALUE"""),33.0)</f>
        <v>33</v>
      </c>
      <c r="B2117" s="213" t="str">
        <f>IFERROR(__xludf.DUMMYFUNCTION("""COMPUTED_VALUE"""),"16449 ELOY SOBERON  FLORES")</f>
        <v>16449 ELOY SOBERON  FLORES</v>
      </c>
      <c r="C2117" s="213" t="str">
        <f>IFERROR(__xludf.DUMMYFUNCTION("""COMPUTED_VALUE"""),"TALLER SFT DE COCINA Y REPOSTERÍA")</f>
        <v>TALLER SFT DE COCINA Y REPOSTERÍA</v>
      </c>
      <c r="D2117" s="213" t="str">
        <f>IFERROR(__xludf.DUMMYFUNCTION("""COMPUTED_VALUE"""),"HERRAMIENTAS")</f>
        <v>HERRAMIENTAS</v>
      </c>
      <c r="E2117" s="213" t="str">
        <f>IFERROR(__xludf.DUMMYFUNCTION("""COMPUTED_VALUE"""),"MAT-197")</f>
        <v>MAT-197</v>
      </c>
      <c r="F2117" s="213" t="str">
        <f>IFERROR(__xludf.DUMMYFUNCTION("""COMPUTED_VALUE"""),"MAT-197")</f>
        <v>MAT-197</v>
      </c>
      <c r="G2117" s="213"/>
      <c r="H2117" s="213" t="str">
        <f>IFERROR(__xludf.DUMMYFUNCTION("""COMPUTED_VALUE"""),"JUEGO DE COLADORES Y ESCURRIDORES")</f>
        <v>JUEGO DE COLADORES Y ESCURRIDORES</v>
      </c>
      <c r="I2117" s="213" t="str">
        <f>IFERROR(__xludf.DUMMYFUNCTION("""COMPUTED_VALUE"""),"Coladeras:
.  Acero inoxidable
.  En tres diferentes tamaños
.  20 cm
.  14 cm
.  8 cm
Escurridor:
.  Acero inoxidable
.  En tres diferentes tamaños diámetro:
.  22 cm
.  25 cm
.  30 cm")</f>
        <v>Coladeras:
.  Acero inoxidable
.  En tres diferentes tamaños
.  20 cm
.  14 cm
.  8 cm
Escurridor:
.  Acero inoxidable
.  En tres diferentes tamaños diámetro:
.  22 cm
.  25 cm
.  30 cm</v>
      </c>
      <c r="J2117" s="213">
        <f>IFERROR(__xludf.DUMMYFUNCTION("""COMPUTED_VALUE"""),3.0)</f>
        <v>3</v>
      </c>
      <c r="K2117" s="213" t="str">
        <f>IFERROR(__xludf.DUMMYFUNCTION("""COMPUTED_VALUE"""),"90 DÍAS CALENDARIO")</f>
        <v>90 DÍAS CALENDARIO</v>
      </c>
      <c r="L2117" s="213" t="str">
        <f>IFERROR(__xludf.DUMMYFUNCTION("""COMPUTED_VALUE"""),"")</f>
        <v/>
      </c>
      <c r="M2117" s="213">
        <f>IFERROR(__xludf.DUMMYFUNCTION("""COMPUTED_VALUE"""),1.0)</f>
        <v>1</v>
      </c>
      <c r="N2117" s="213">
        <f>IFERROR(__xludf.DUMMYFUNCTION("""COMPUTED_VALUE"""),2.0)</f>
        <v>2</v>
      </c>
      <c r="O2117" s="213">
        <f>IFERROR(__xludf.DUMMYFUNCTION("""COMPUTED_VALUE"""),2.0)</f>
        <v>2</v>
      </c>
      <c r="P2117" s="213"/>
      <c r="Q2117" s="213"/>
      <c r="R2117" s="213" t="str">
        <f>IFERROR(__xludf.DUMMYFUNCTION("""COMPUTED_VALUE"""),"SI")</f>
        <v>SI</v>
      </c>
      <c r="S2117" s="213"/>
      <c r="T2117" s="213" t="str">
        <f>IFERROR(__xludf.DUMMYFUNCTION("""COMPUTED_VALUE"""),"SI")</f>
        <v>SI</v>
      </c>
      <c r="U2117" s="213" t="str">
        <f>IFERROR(__xludf.DUMMYFUNCTION("""COMPUTED_VALUE"""),"SI")</f>
        <v>SI</v>
      </c>
      <c r="V2117" s="213" t="str">
        <f>IFERROR(__xludf.DUMMYFUNCTION("""COMPUTED_VALUE"""),"-")</f>
        <v>-</v>
      </c>
      <c r="W2117" s="213" t="str">
        <f>IFERROR(__xludf.DUMMYFUNCTION("""COMPUTED_VALUE"""),"-")</f>
        <v>-</v>
      </c>
      <c r="X2117" s="213" t="str">
        <f>IFERROR(__xludf.DUMMYFUNCTION("""COMPUTED_VALUE"""),"Proto Future / G&amp;L Hogar")</f>
        <v>Proto Future / G&amp;L Hogar</v>
      </c>
      <c r="Y2117" s="213" t="str">
        <f>IFERROR(__xludf.DUMMYFUNCTION("""COMPUTED_VALUE"""),"premium (18/8) / 13860")</f>
        <v>premium (18/8) / 13860</v>
      </c>
      <c r="Z2117" s="215" t="str">
        <f>IFERROR(__xludf.DUMMYFUNCTION("""COMPUTED_VALUE"""),"https://www.amazon.com/dp/B07Z6D34HK/ref=twister_B08264MDF9?_encoding=UTF8&amp;th=1")</f>
        <v>https://www.amazon.com/dp/B07Z6D34HK/ref=twister_B08264MDF9?_encoding=UTF8&amp;th=1</v>
      </c>
      <c r="AA2117" s="213" t="str">
        <f>IFERROR(__xludf.DUMMYFUNCTION("""COMPUTED_VALUE"""),"MAT-197 JUEGO DE COLADORES Y ESCURRIDORES - CET")</f>
        <v>MAT-197 JUEGO DE COLADORES Y ESCURRIDORES - CET</v>
      </c>
      <c r="AB2117" s="213"/>
      <c r="AC2117" s="213"/>
      <c r="AD2117" s="213"/>
      <c r="AE2117" s="213"/>
      <c r="AF2117" s="213"/>
      <c r="AG2117" s="213"/>
      <c r="AH2117" s="213"/>
      <c r="AI2117" s="213"/>
      <c r="AJ2117" s="213"/>
      <c r="AK2117" s="213"/>
      <c r="AL2117" s="213"/>
      <c r="AM2117" s="213"/>
      <c r="AN2117" s="213"/>
      <c r="AO2117" s="213"/>
      <c r="AP2117" s="213" t="str">
        <f>IFERROR(__xludf.DUMMYFUNCTION("""COMPUTED_VALUE"""),"SEBASTIAN")</f>
        <v>SEBASTIAN</v>
      </c>
      <c r="AQ2117" s="213"/>
      <c r="AR2117" s="213"/>
      <c r="AS2117" s="213"/>
      <c r="AT2117" s="213"/>
      <c r="AU2117" s="213"/>
      <c r="AV2117" s="213"/>
      <c r="AW2117" s="213"/>
      <c r="AX2117" s="213"/>
      <c r="AY2117" s="213"/>
      <c r="AZ2117" s="213"/>
      <c r="BA2117" s="213"/>
      <c r="BB2117" s="213"/>
      <c r="BC2117" s="213"/>
      <c r="BD2117" s="213"/>
    </row>
    <row r="2118">
      <c r="A2118" s="213">
        <f>IFERROR(__xludf.DUMMYFUNCTION("""COMPUTED_VALUE"""),66.0)</f>
        <v>66</v>
      </c>
      <c r="B2118" s="213" t="str">
        <f>IFERROR(__xludf.DUMMYFUNCTION("""COMPUTED_VALUE"""),"16449 ELOY SOBERON  FLORES")</f>
        <v>16449 ELOY SOBERON  FLORES</v>
      </c>
      <c r="C2118" s="213" t="str">
        <f>IFERROR(__xludf.DUMMYFUNCTION("""COMPUTED_VALUE"""),"TALLER SFT DE COCINA Y REPOSTERÍA")</f>
        <v>TALLER SFT DE COCINA Y REPOSTERÍA</v>
      </c>
      <c r="D2118" s="213" t="str">
        <f>IFERROR(__xludf.DUMMYFUNCTION("""COMPUTED_VALUE"""),"HERRAMIENTAS")</f>
        <v>HERRAMIENTAS</v>
      </c>
      <c r="E2118" s="213" t="str">
        <f>IFERROR(__xludf.DUMMYFUNCTION("""COMPUTED_VALUE"""),"MAT-198")</f>
        <v>MAT-198</v>
      </c>
      <c r="F2118" s="213" t="str">
        <f>IFERROR(__xludf.DUMMYFUNCTION("""COMPUTED_VALUE"""),"MAT-198-X")</f>
        <v>MAT-198-X</v>
      </c>
      <c r="G2118" s="213"/>
      <c r="H2118" s="213" t="str">
        <f>IFERROR(__xludf.DUMMYFUNCTION("""COMPUTED_VALUE"""),"JUEGO DE CORTADORES")</f>
        <v>JUEGO DE CORTADORES</v>
      </c>
      <c r="I2118" s="213" t="str">
        <f>IFERROR(__xludf.DUMMYFUNCTION("""COMPUTED_VALUE"""),"· Material: acero inoxidable 304 de grado alimentario
· Tamaño: variable para cortar alfajores, galletas
· Adecuado para uso doméstico o profesional.
· Uso: hacer distintas formas cortes masa.")</f>
        <v>· Material: acero inoxidable 304 de grado alimentario
· Tamaño: variable para cortar alfajores, galletas
· Adecuado para uso doméstico o profesional.
· Uso: hacer distintas formas cortes masa.</v>
      </c>
      <c r="J2118" s="213">
        <f>IFERROR(__xludf.DUMMYFUNCTION("""COMPUTED_VALUE"""),3.0)</f>
        <v>3</v>
      </c>
      <c r="K2118" s="213" t="str">
        <f>IFERROR(__xludf.DUMMYFUNCTION("""COMPUTED_VALUE"""),"90 DÍAS CALENDARIO")</f>
        <v>90 DÍAS CALENDARIO</v>
      </c>
      <c r="L2118" s="213" t="str">
        <f>IFERROR(__xludf.DUMMYFUNCTION("""COMPUTED_VALUE"""),"")</f>
        <v/>
      </c>
      <c r="M2118" s="213">
        <f>IFERROR(__xludf.DUMMYFUNCTION("""COMPUTED_VALUE"""),1.0)</f>
        <v>1</v>
      </c>
      <c r="N2118" s="213">
        <f>IFERROR(__xludf.DUMMYFUNCTION("""COMPUTED_VALUE"""),4.0)</f>
        <v>4</v>
      </c>
      <c r="O2118" s="213">
        <f>IFERROR(__xludf.DUMMYFUNCTION("""COMPUTED_VALUE"""),4.0)</f>
        <v>4</v>
      </c>
      <c r="P2118" s="213"/>
      <c r="Q2118" s="213"/>
      <c r="R2118" s="213" t="str">
        <f>IFERROR(__xludf.DUMMYFUNCTION("""COMPUTED_VALUE"""),"SI")</f>
        <v>SI</v>
      </c>
      <c r="S2118" s="213"/>
      <c r="T2118" s="213" t="str">
        <f>IFERROR(__xludf.DUMMYFUNCTION("""COMPUTED_VALUE"""),"CONSULTA FINAL")</f>
        <v>CONSULTA FINAL</v>
      </c>
      <c r="U2118" s="213" t="str">
        <f>IFERROR(__xludf.DUMMYFUNCTION("""COMPUTED_VALUE"""),"SI")</f>
        <v>SI</v>
      </c>
      <c r="V2118" s="213" t="str">
        <f>IFERROR(__xludf.DUMMYFUNCTION("""COMPUTED_VALUE"""),"-")</f>
        <v>-</v>
      </c>
      <c r="W2118" s="213" t="str">
        <f>IFERROR(__xludf.DUMMYFUNCTION("""COMPUTED_VALUE"""),"-")</f>
        <v>-</v>
      </c>
      <c r="X2118" s="213" t="str">
        <f>IFERROR(__xludf.DUMMYFUNCTION("""COMPUTED_VALUE"""),"YXCLIFE")</f>
        <v>YXCLIFE</v>
      </c>
      <c r="Y2118" s="213" t="str">
        <f>IFERROR(__xludf.DUMMYFUNCTION("""COMPUTED_VALUE"""),"Estrella, flor, circulo, corazon")</f>
        <v>Estrella, flor, circulo, corazon</v>
      </c>
      <c r="Z2118" s="215" t="str">
        <f>IFERROR(__xludf.DUMMYFUNCTION("""COMPUTED_VALUE"""),"https://www.amazon.com/-/es/cortadores-galletas-coraz%C3%B3n-estrella-cortador/dp/B08VD2R23T?th=1")</f>
        <v>https://www.amazon.com/-/es/cortadores-galletas-coraz%C3%B3n-estrella-cortador/dp/B08VD2R23T?th=1</v>
      </c>
      <c r="AA2118" s="213" t="str">
        <f>IFERROR(__xludf.DUMMYFUNCTION("""COMPUTED_VALUE"""),"MAT-198-X JUEGO DE CORTADORES- CET")</f>
        <v>MAT-198-X JUEGO DE CORTADORES- CET</v>
      </c>
      <c r="AB2118" s="213"/>
      <c r="AC2118" s="213"/>
      <c r="AD2118" s="213"/>
      <c r="AE2118" s="213"/>
      <c r="AF2118" s="213"/>
      <c r="AG2118" s="213"/>
      <c r="AH2118" s="213"/>
      <c r="AI2118" s="213"/>
      <c r="AJ2118" s="213"/>
      <c r="AK2118" s="213"/>
      <c r="AL2118" s="213"/>
      <c r="AM2118" s="213"/>
      <c r="AN2118" s="213"/>
      <c r="AO2118" s="213"/>
      <c r="AP2118" s="213" t="str">
        <f>IFERROR(__xludf.DUMMYFUNCTION("""COMPUTED_VALUE"""),"LUIS")</f>
        <v>LUIS</v>
      </c>
      <c r="AQ2118" s="213"/>
      <c r="AR2118" s="213"/>
      <c r="AS2118" s="213"/>
      <c r="AT2118" s="213"/>
      <c r="AU2118" s="213"/>
      <c r="AV2118" s="213"/>
      <c r="AW2118" s="213"/>
      <c r="AX2118" s="213"/>
      <c r="AY2118" s="213"/>
      <c r="AZ2118" s="213"/>
      <c r="BA2118" s="213"/>
      <c r="BB2118" s="213"/>
      <c r="BC2118" s="213"/>
      <c r="BD2118" s="213"/>
    </row>
    <row r="2119">
      <c r="A2119" s="213">
        <f>IFERROR(__xludf.DUMMYFUNCTION("""COMPUTED_VALUE"""),516.0)</f>
        <v>516</v>
      </c>
      <c r="B2119" s="213" t="str">
        <f>IFERROR(__xludf.DUMMYFUNCTION("""COMPUTED_VALUE"""),"2026 SIMON BOLIVAR")</f>
        <v>2026 SIMON BOLIVAR</v>
      </c>
      <c r="C2119" s="213" t="str">
        <f>IFERROR(__xludf.DUMMYFUNCTION("""COMPUTED_VALUE"""),"TALLER SFT DE INDUSTRIA ALIMENTARIA")</f>
        <v>TALLER SFT DE INDUSTRIA ALIMENTARIA</v>
      </c>
      <c r="D2119" s="213" t="str">
        <f>IFERROR(__xludf.DUMMYFUNCTION("""COMPUTED_VALUE"""),"HERRAMIENTAS")</f>
        <v>HERRAMIENTAS</v>
      </c>
      <c r="E2119" s="213" t="str">
        <f>IFERROR(__xludf.DUMMYFUNCTION("""COMPUTED_VALUE"""),"MAT-198")</f>
        <v>MAT-198</v>
      </c>
      <c r="F2119" s="213" t="str">
        <f>IFERROR(__xludf.DUMMYFUNCTION("""COMPUTED_VALUE"""),"MAT-198-Y")</f>
        <v>MAT-198-Y</v>
      </c>
      <c r="G2119" s="213"/>
      <c r="H2119" s="213" t="str">
        <f>IFERROR(__xludf.DUMMYFUNCTION("""COMPUTED_VALUE"""),"JUEGO DE CORTADORES")</f>
        <v>JUEGO DE CORTADORES</v>
      </c>
      <c r="I2119" s="213" t="str">
        <f>IFERROR(__xludf.DUMMYFUNCTION("""COMPUTED_VALUE"""),"Especificaciones:
· Material: acero inoxidable 304.(material de grado alimentario)
· Color: plata
· Tamaño: variable para cortar alfajores, galletas
· Adecuado para uso doméstico o profesional.
· Uso: hacer distintas formas cortes masa.")</f>
        <v>Especificaciones:
· Material: acero inoxidable 304.(material de grado alimentario)
· Color: plata
· Tamaño: variable para cortar alfajores, galletas
· Adecuado para uso doméstico o profesional.
· Uso: hacer distintas formas cortes masa.</v>
      </c>
      <c r="J2119" s="213">
        <f>IFERROR(__xludf.DUMMYFUNCTION("""COMPUTED_VALUE"""),3.0)</f>
        <v>3</v>
      </c>
      <c r="K2119" s="213" t="str">
        <f>IFERROR(__xludf.DUMMYFUNCTION("""COMPUTED_VALUE"""),"90 DÍAS CALENDARIO")</f>
        <v>90 DÍAS CALENDARIO</v>
      </c>
      <c r="L2119" s="213" t="str">
        <f>IFERROR(__xludf.DUMMYFUNCTION("""COMPUTED_VALUE"""),"")</f>
        <v/>
      </c>
      <c r="M2119" s="213">
        <f>IFERROR(__xludf.DUMMYFUNCTION("""COMPUTED_VALUE"""),1.0)</f>
        <v>1</v>
      </c>
      <c r="N2119" s="213">
        <f>IFERROR(__xludf.DUMMYFUNCTION("""COMPUTED_VALUE"""),4.0)</f>
        <v>4</v>
      </c>
      <c r="O2119" s="213">
        <f>IFERROR(__xludf.DUMMYFUNCTION("""COMPUTED_VALUE"""),4.0)</f>
        <v>4</v>
      </c>
      <c r="P2119" s="213"/>
      <c r="Q2119" s="213"/>
      <c r="R2119" s="213" t="str">
        <f>IFERROR(__xludf.DUMMYFUNCTION("""COMPUTED_VALUE"""),"SI")</f>
        <v>SI</v>
      </c>
      <c r="S2119" s="213"/>
      <c r="T2119" s="213" t="str">
        <f>IFERROR(__xludf.DUMMYFUNCTION("""COMPUTED_VALUE"""),"CONSULTA FINAL")</f>
        <v>CONSULTA FINAL</v>
      </c>
      <c r="U2119" s="213" t="str">
        <f>IFERROR(__xludf.DUMMYFUNCTION("""COMPUTED_VALUE"""),"SI")</f>
        <v>SI</v>
      </c>
      <c r="V2119" s="213" t="str">
        <f>IFERROR(__xludf.DUMMYFUNCTION("""COMPUTED_VALUE"""),"-")</f>
        <v>-</v>
      </c>
      <c r="W2119" s="213" t="str">
        <f>IFERROR(__xludf.DUMMYFUNCTION("""COMPUTED_VALUE"""),"-")</f>
        <v>-</v>
      </c>
      <c r="X2119" s="213" t="str">
        <f>IFERROR(__xludf.DUMMYFUNCTION("""COMPUTED_VALUE"""),"YXCLIFE")</f>
        <v>YXCLIFE</v>
      </c>
      <c r="Y2119" s="213" t="str">
        <f>IFERROR(__xludf.DUMMYFUNCTION("""COMPUTED_VALUE"""),"Estrella, flor, circulo, corazon")</f>
        <v>Estrella, flor, circulo, corazon</v>
      </c>
      <c r="Z2119" s="215" t="str">
        <f>IFERROR(__xludf.DUMMYFUNCTION("""COMPUTED_VALUE"""),"https://www.amazon.com/-/es/cortadores-galletas-coraz%C3%B3n-estrella-cortador/dp/B08VD2R23T?th=2")</f>
        <v>https://www.amazon.com/-/es/cortadores-galletas-coraz%C3%B3n-estrella-cortador/dp/B08VD2R23T?th=2</v>
      </c>
      <c r="AA2119" s="213" t="str">
        <f>IFERROR(__xludf.DUMMYFUNCTION("""COMPUTED_VALUE"""),"MAT-198-Y JUEGO DE CORTADORES- CET")</f>
        <v>MAT-198-Y JUEGO DE CORTADORES- CET</v>
      </c>
      <c r="AB2119" s="213"/>
      <c r="AC2119" s="213"/>
      <c r="AD2119" s="213"/>
      <c r="AE2119" s="213"/>
      <c r="AF2119" s="213"/>
      <c r="AG2119" s="213"/>
      <c r="AH2119" s="213"/>
      <c r="AI2119" s="213"/>
      <c r="AJ2119" s="213"/>
      <c r="AK2119" s="213"/>
      <c r="AL2119" s="213"/>
      <c r="AM2119" s="213"/>
      <c r="AN2119" s="213"/>
      <c r="AO2119" s="213"/>
      <c r="AP2119" s="213" t="str">
        <f>IFERROR(__xludf.DUMMYFUNCTION("""COMPUTED_VALUE"""),"LUIS")</f>
        <v>LUIS</v>
      </c>
      <c r="AQ2119" s="213"/>
      <c r="AR2119" s="213"/>
      <c r="AS2119" s="213"/>
      <c r="AT2119" s="213"/>
      <c r="AU2119" s="213"/>
      <c r="AV2119" s="213"/>
      <c r="AW2119" s="213"/>
      <c r="AX2119" s="213"/>
      <c r="AY2119" s="213"/>
      <c r="AZ2119" s="213"/>
      <c r="BA2119" s="213"/>
      <c r="BB2119" s="213"/>
      <c r="BC2119" s="213"/>
      <c r="BD2119" s="213"/>
    </row>
    <row r="2120">
      <c r="A2120" s="213">
        <f>IFERROR(__xludf.DUMMYFUNCTION("""COMPUTED_VALUE"""),1146.0)</f>
        <v>1146</v>
      </c>
      <c r="B2120" s="213" t="str">
        <f>IFERROR(__xludf.DUMMYFUNCTION("""COMPUTED_VALUE"""),"FRANCISCO IRAZOLA")</f>
        <v>FRANCISCO IRAZOLA</v>
      </c>
      <c r="C2120" s="213" t="str">
        <f>IFERROR(__xludf.DUMMYFUNCTION("""COMPUTED_VALUE"""),"TALLER SFT DE INDUSTRIA ALIMENTARIA")</f>
        <v>TALLER SFT DE INDUSTRIA ALIMENTARIA</v>
      </c>
      <c r="D2120" s="213" t="str">
        <f>IFERROR(__xludf.DUMMYFUNCTION("""COMPUTED_VALUE"""),"HERRAMIENTAS")</f>
        <v>HERRAMIENTAS</v>
      </c>
      <c r="E2120" s="213" t="str">
        <f>IFERROR(__xludf.DUMMYFUNCTION("""COMPUTED_VALUE"""),"MAT-198")</f>
        <v>MAT-198</v>
      </c>
      <c r="F2120" s="213" t="str">
        <f>IFERROR(__xludf.DUMMYFUNCTION("""COMPUTED_VALUE"""),"MAT-198-Y")</f>
        <v>MAT-198-Y</v>
      </c>
      <c r="G2120" s="213"/>
      <c r="H2120" s="213" t="str">
        <f>IFERROR(__xludf.DUMMYFUNCTION("""COMPUTED_VALUE"""),"JUEGO DE CORTADORES")</f>
        <v>JUEGO DE CORTADORES</v>
      </c>
      <c r="I2120" s="213" t="str">
        <f>IFERROR(__xludf.DUMMYFUNCTION("""COMPUTED_VALUE"""),"Especificaciones:
· Material: acero inoxidable 304.(material de grado alimentario)
· Color: plata
· Tamaño: variable para cortar alfajores, galletas
· Adecuado para uso doméstico o profesional.
· Uso: hacer distintas formas cortes masa.")</f>
        <v>Especificaciones:
· Material: acero inoxidable 304.(material de grado alimentario)
· Color: plata
· Tamaño: variable para cortar alfajores, galletas
· Adecuado para uso doméstico o profesional.
· Uso: hacer distintas formas cortes masa.</v>
      </c>
      <c r="J2120" s="213">
        <f>IFERROR(__xludf.DUMMYFUNCTION("""COMPUTED_VALUE"""),3.0)</f>
        <v>3</v>
      </c>
      <c r="K2120" s="213" t="str">
        <f>IFERROR(__xludf.DUMMYFUNCTION("""COMPUTED_VALUE"""),"90 DÍAS CALENDARIO")</f>
        <v>90 DÍAS CALENDARIO</v>
      </c>
      <c r="L2120" s="213" t="str">
        <f>IFERROR(__xludf.DUMMYFUNCTION("""COMPUTED_VALUE"""),"")</f>
        <v/>
      </c>
      <c r="M2120" s="213">
        <f>IFERROR(__xludf.DUMMYFUNCTION("""COMPUTED_VALUE"""),1.0)</f>
        <v>1</v>
      </c>
      <c r="N2120" s="213">
        <f>IFERROR(__xludf.DUMMYFUNCTION("""COMPUTED_VALUE"""),4.0)</f>
        <v>4</v>
      </c>
      <c r="O2120" s="213">
        <f>IFERROR(__xludf.DUMMYFUNCTION("""COMPUTED_VALUE"""),4.0)</f>
        <v>4</v>
      </c>
      <c r="P2120" s="213"/>
      <c r="Q2120" s="213"/>
      <c r="R2120" s="213" t="str">
        <f>IFERROR(__xludf.DUMMYFUNCTION("""COMPUTED_VALUE"""),"SI")</f>
        <v>SI</v>
      </c>
      <c r="S2120" s="213"/>
      <c r="T2120" s="213" t="str">
        <f>IFERROR(__xludf.DUMMYFUNCTION("""COMPUTED_VALUE"""),"CONSULTA FINAL")</f>
        <v>CONSULTA FINAL</v>
      </c>
      <c r="U2120" s="213" t="str">
        <f>IFERROR(__xludf.DUMMYFUNCTION("""COMPUTED_VALUE"""),"SI")</f>
        <v>SI</v>
      </c>
      <c r="V2120" s="213" t="str">
        <f>IFERROR(__xludf.DUMMYFUNCTION("""COMPUTED_VALUE"""),"-")</f>
        <v>-</v>
      </c>
      <c r="W2120" s="213" t="str">
        <f>IFERROR(__xludf.DUMMYFUNCTION("""COMPUTED_VALUE"""),"-")</f>
        <v>-</v>
      </c>
      <c r="X2120" s="213" t="str">
        <f>IFERROR(__xludf.DUMMYFUNCTION("""COMPUTED_VALUE"""),"YXCLIFE")</f>
        <v>YXCLIFE</v>
      </c>
      <c r="Y2120" s="213" t="str">
        <f>IFERROR(__xludf.DUMMYFUNCTION("""COMPUTED_VALUE"""),"Estrella, flor, circulo, corazon")</f>
        <v>Estrella, flor, circulo, corazon</v>
      </c>
      <c r="Z2120" s="215" t="str">
        <f>IFERROR(__xludf.DUMMYFUNCTION("""COMPUTED_VALUE"""),"https://www.amazon.com/-/es/cortadores-galletas-coraz%C3%B3n-estrella-cortador/dp/B08VD2R23T?th=3")</f>
        <v>https://www.amazon.com/-/es/cortadores-galletas-coraz%C3%B3n-estrella-cortador/dp/B08VD2R23T?th=3</v>
      </c>
      <c r="AA2120" s="213" t="str">
        <f>IFERROR(__xludf.DUMMYFUNCTION("""COMPUTED_VALUE"""),"MAT-198-Y JUEGO DE CORTADORES- CET")</f>
        <v>MAT-198-Y JUEGO DE CORTADORES- CET</v>
      </c>
      <c r="AB2120" s="213"/>
      <c r="AC2120" s="213"/>
      <c r="AD2120" s="213"/>
      <c r="AE2120" s="213"/>
      <c r="AF2120" s="213"/>
      <c r="AG2120" s="213"/>
      <c r="AH2120" s="213"/>
      <c r="AI2120" s="213"/>
      <c r="AJ2120" s="213"/>
      <c r="AK2120" s="213"/>
      <c r="AL2120" s="213"/>
      <c r="AM2120" s="213"/>
      <c r="AN2120" s="213"/>
      <c r="AO2120" s="213"/>
      <c r="AP2120" s="213" t="str">
        <f>IFERROR(__xludf.DUMMYFUNCTION("""COMPUTED_VALUE"""),"LUIS")</f>
        <v>LUIS</v>
      </c>
      <c r="AQ2120" s="213"/>
      <c r="AR2120" s="213"/>
      <c r="AS2120" s="213"/>
      <c r="AT2120" s="213"/>
      <c r="AU2120" s="213"/>
      <c r="AV2120" s="213"/>
      <c r="AW2120" s="213"/>
      <c r="AX2120" s="213"/>
      <c r="AY2120" s="213"/>
      <c r="AZ2120" s="213"/>
      <c r="BA2120" s="213"/>
      <c r="BB2120" s="213"/>
      <c r="BC2120" s="213"/>
      <c r="BD2120" s="213"/>
    </row>
    <row r="2121">
      <c r="A2121" s="213">
        <f>IFERROR(__xludf.DUMMYFUNCTION("""COMPUTED_VALUE"""),1418.0)</f>
        <v>1418</v>
      </c>
      <c r="B2121" s="213" t="str">
        <f>IFERROR(__xludf.DUMMYFUNCTION("""COMPUTED_VALUE"""),"GUILLERMO E. BILLINGHURST ")</f>
        <v>GUILLERMO E. BILLINGHURST </v>
      </c>
      <c r="C2121" s="213" t="str">
        <f>IFERROR(__xludf.DUMMYFUNCTION("""COMPUTED_VALUE"""),"TALLER SFT DE INDUSTRIA ALIMENTARIA")</f>
        <v>TALLER SFT DE INDUSTRIA ALIMENTARIA</v>
      </c>
      <c r="D2121" s="213" t="str">
        <f>IFERROR(__xludf.DUMMYFUNCTION("""COMPUTED_VALUE"""),"HERRAMIENTAS")</f>
        <v>HERRAMIENTAS</v>
      </c>
      <c r="E2121" s="213" t="str">
        <f>IFERROR(__xludf.DUMMYFUNCTION("""COMPUTED_VALUE"""),"MAT-198")</f>
        <v>MAT-198</v>
      </c>
      <c r="F2121" s="213" t="str">
        <f>IFERROR(__xludf.DUMMYFUNCTION("""COMPUTED_VALUE"""),"MAT-198-Y")</f>
        <v>MAT-198-Y</v>
      </c>
      <c r="G2121" s="213"/>
      <c r="H2121" s="213" t="str">
        <f>IFERROR(__xludf.DUMMYFUNCTION("""COMPUTED_VALUE"""),"JUEGO DE CORTADORES")</f>
        <v>JUEGO DE CORTADORES</v>
      </c>
      <c r="I2121" s="213" t="str">
        <f>IFERROR(__xludf.DUMMYFUNCTION("""COMPUTED_VALUE"""),"Especificaciones:
· Material: acero inoxidable 304.(material de grado alimentario)
· Color: plata
· Tamaño: variable para cortar alfajores, galletas
· Adecuado para uso doméstico o profesional.
· Uso: hacer distintas formas cortes masa.")</f>
        <v>Especificaciones:
· Material: acero inoxidable 304.(material de grado alimentario)
· Color: plata
· Tamaño: variable para cortar alfajores, galletas
· Adecuado para uso doméstico o profesional.
· Uso: hacer distintas formas cortes masa.</v>
      </c>
      <c r="J2121" s="213">
        <f>IFERROR(__xludf.DUMMYFUNCTION("""COMPUTED_VALUE"""),3.0)</f>
        <v>3</v>
      </c>
      <c r="K2121" s="213" t="str">
        <f>IFERROR(__xludf.DUMMYFUNCTION("""COMPUTED_VALUE"""),"90 DÍAS CALENDARIO")</f>
        <v>90 DÍAS CALENDARIO</v>
      </c>
      <c r="L2121" s="213" t="str">
        <f>IFERROR(__xludf.DUMMYFUNCTION("""COMPUTED_VALUE"""),"")</f>
        <v/>
      </c>
      <c r="M2121" s="213">
        <f>IFERROR(__xludf.DUMMYFUNCTION("""COMPUTED_VALUE"""),1.0)</f>
        <v>1</v>
      </c>
      <c r="N2121" s="213">
        <f>IFERROR(__xludf.DUMMYFUNCTION("""COMPUTED_VALUE"""),4.0)</f>
        <v>4</v>
      </c>
      <c r="O2121" s="213">
        <f>IFERROR(__xludf.DUMMYFUNCTION("""COMPUTED_VALUE"""),4.0)</f>
        <v>4</v>
      </c>
      <c r="P2121" s="213"/>
      <c r="Q2121" s="213"/>
      <c r="R2121" s="213" t="str">
        <f>IFERROR(__xludf.DUMMYFUNCTION("""COMPUTED_VALUE"""),"SI")</f>
        <v>SI</v>
      </c>
      <c r="S2121" s="213"/>
      <c r="T2121" s="213" t="str">
        <f>IFERROR(__xludf.DUMMYFUNCTION("""COMPUTED_VALUE"""),"CONSULTA FINAL")</f>
        <v>CONSULTA FINAL</v>
      </c>
      <c r="U2121" s="213" t="str">
        <f>IFERROR(__xludf.DUMMYFUNCTION("""COMPUTED_VALUE"""),"SI")</f>
        <v>SI</v>
      </c>
      <c r="V2121" s="213" t="str">
        <f>IFERROR(__xludf.DUMMYFUNCTION("""COMPUTED_VALUE"""),"-")</f>
        <v>-</v>
      </c>
      <c r="W2121" s="213" t="str">
        <f>IFERROR(__xludf.DUMMYFUNCTION("""COMPUTED_VALUE"""),"-")</f>
        <v>-</v>
      </c>
      <c r="X2121" s="213" t="str">
        <f>IFERROR(__xludf.DUMMYFUNCTION("""COMPUTED_VALUE"""),"YXCLIFE")</f>
        <v>YXCLIFE</v>
      </c>
      <c r="Y2121" s="213" t="str">
        <f>IFERROR(__xludf.DUMMYFUNCTION("""COMPUTED_VALUE"""),"Estrella, flor, circulo, corazon")</f>
        <v>Estrella, flor, circulo, corazon</v>
      </c>
      <c r="Z2121" s="215" t="str">
        <f>IFERROR(__xludf.DUMMYFUNCTION("""COMPUTED_VALUE"""),"https://www.amazon.com/-/es/cortadores-galletas-coraz%C3%B3n-estrella-cortador/dp/B08VD2R23T?th=4")</f>
        <v>https://www.amazon.com/-/es/cortadores-galletas-coraz%C3%B3n-estrella-cortador/dp/B08VD2R23T?th=4</v>
      </c>
      <c r="AA2121" s="213" t="str">
        <f>IFERROR(__xludf.DUMMYFUNCTION("""COMPUTED_VALUE"""),"MAT-198-Y JUEGO DE CORTADORES- CET")</f>
        <v>MAT-198-Y JUEGO DE CORTADORES- CET</v>
      </c>
      <c r="AB2121" s="213"/>
      <c r="AC2121" s="213"/>
      <c r="AD2121" s="213"/>
      <c r="AE2121" s="213"/>
      <c r="AF2121" s="213"/>
      <c r="AG2121" s="213"/>
      <c r="AH2121" s="213"/>
      <c r="AI2121" s="213"/>
      <c r="AJ2121" s="213"/>
      <c r="AK2121" s="213"/>
      <c r="AL2121" s="213"/>
      <c r="AM2121" s="213"/>
      <c r="AN2121" s="213"/>
      <c r="AO2121" s="213"/>
      <c r="AP2121" s="213" t="str">
        <f>IFERROR(__xludf.DUMMYFUNCTION("""COMPUTED_VALUE"""),"LUIS")</f>
        <v>LUIS</v>
      </c>
      <c r="AQ2121" s="213"/>
      <c r="AR2121" s="213"/>
      <c r="AS2121" s="213"/>
      <c r="AT2121" s="213"/>
      <c r="AU2121" s="213"/>
      <c r="AV2121" s="213"/>
      <c r="AW2121" s="213"/>
      <c r="AX2121" s="213"/>
      <c r="AY2121" s="213"/>
      <c r="AZ2121" s="213"/>
      <c r="BA2121" s="213"/>
      <c r="BB2121" s="213"/>
      <c r="BC2121" s="213"/>
      <c r="BD2121" s="213"/>
    </row>
    <row r="2122">
      <c r="A2122" s="213">
        <f>IFERROR(__xludf.DUMMYFUNCTION("""COMPUTED_VALUE"""),2105.0)</f>
        <v>2105</v>
      </c>
      <c r="B2122" s="213" t="str">
        <f>IFERROR(__xludf.DUMMYFUNCTION("""COMPUTED_VALUE"""),"JOSE GRANDA")</f>
        <v>JOSE GRANDA</v>
      </c>
      <c r="C2122" s="213" t="str">
        <f>IFERROR(__xludf.DUMMYFUNCTION("""COMPUTED_VALUE"""),"TALLER SFT DE INDUSTRIA ALIMENTARIA")</f>
        <v>TALLER SFT DE INDUSTRIA ALIMENTARIA</v>
      </c>
      <c r="D2122" s="213" t="str">
        <f>IFERROR(__xludf.DUMMYFUNCTION("""COMPUTED_VALUE"""),"HERRAMIENTAS")</f>
        <v>HERRAMIENTAS</v>
      </c>
      <c r="E2122" s="213" t="str">
        <f>IFERROR(__xludf.DUMMYFUNCTION("""COMPUTED_VALUE"""),"MAT-198")</f>
        <v>MAT-198</v>
      </c>
      <c r="F2122" s="213" t="str">
        <f>IFERROR(__xludf.DUMMYFUNCTION("""COMPUTED_VALUE"""),"MAT-198-Y")</f>
        <v>MAT-198-Y</v>
      </c>
      <c r="G2122" s="213"/>
      <c r="H2122" s="213" t="str">
        <f>IFERROR(__xludf.DUMMYFUNCTION("""COMPUTED_VALUE"""),"JUEGO DE CORTADORES")</f>
        <v>JUEGO DE CORTADORES</v>
      </c>
      <c r="I2122" s="213" t="str">
        <f>IFERROR(__xludf.DUMMYFUNCTION("""COMPUTED_VALUE"""),"Especificaciones:
· Material: acero inoxidable 304.(material de grado alimentario)
· Color: plata
· Tamaño: variable para cortar alfajores, galletas
· Adecuado para uso doméstico o profesional.
· Uso: hacer distintas formas cortes masa.")</f>
        <v>Especificaciones:
· Material: acero inoxidable 304.(material de grado alimentario)
· Color: plata
· Tamaño: variable para cortar alfajores, galletas
· Adecuado para uso doméstico o profesional.
· Uso: hacer distintas formas cortes masa.</v>
      </c>
      <c r="J2122" s="213">
        <f>IFERROR(__xludf.DUMMYFUNCTION("""COMPUTED_VALUE"""),3.0)</f>
        <v>3</v>
      </c>
      <c r="K2122" s="213" t="str">
        <f>IFERROR(__xludf.DUMMYFUNCTION("""COMPUTED_VALUE"""),"90 DÍAS CALENDARIO")</f>
        <v>90 DÍAS CALENDARIO</v>
      </c>
      <c r="L2122" s="213" t="str">
        <f>IFERROR(__xludf.DUMMYFUNCTION("""COMPUTED_VALUE"""),"")</f>
        <v/>
      </c>
      <c r="M2122" s="213">
        <f>IFERROR(__xludf.DUMMYFUNCTION("""COMPUTED_VALUE"""),1.0)</f>
        <v>1</v>
      </c>
      <c r="N2122" s="213">
        <f>IFERROR(__xludf.DUMMYFUNCTION("""COMPUTED_VALUE"""),4.0)</f>
        <v>4</v>
      </c>
      <c r="O2122" s="213">
        <f>IFERROR(__xludf.DUMMYFUNCTION("""COMPUTED_VALUE"""),4.0)</f>
        <v>4</v>
      </c>
      <c r="P2122" s="213"/>
      <c r="Q2122" s="213"/>
      <c r="R2122" s="213" t="str">
        <f>IFERROR(__xludf.DUMMYFUNCTION("""COMPUTED_VALUE"""),"SI")</f>
        <v>SI</v>
      </c>
      <c r="S2122" s="213"/>
      <c r="T2122" s="213" t="str">
        <f>IFERROR(__xludf.DUMMYFUNCTION("""COMPUTED_VALUE"""),"CONSULTA FINAL")</f>
        <v>CONSULTA FINAL</v>
      </c>
      <c r="U2122" s="213" t="str">
        <f>IFERROR(__xludf.DUMMYFUNCTION("""COMPUTED_VALUE"""),"SI")</f>
        <v>SI</v>
      </c>
      <c r="V2122" s="213" t="str">
        <f>IFERROR(__xludf.DUMMYFUNCTION("""COMPUTED_VALUE"""),"-")</f>
        <v>-</v>
      </c>
      <c r="W2122" s="213" t="str">
        <f>IFERROR(__xludf.DUMMYFUNCTION("""COMPUTED_VALUE"""),"-")</f>
        <v>-</v>
      </c>
      <c r="X2122" s="213" t="str">
        <f>IFERROR(__xludf.DUMMYFUNCTION("""COMPUTED_VALUE"""),"YXCLIFE")</f>
        <v>YXCLIFE</v>
      </c>
      <c r="Y2122" s="213" t="str">
        <f>IFERROR(__xludf.DUMMYFUNCTION("""COMPUTED_VALUE"""),"Estrella, flor, circulo, corazon")</f>
        <v>Estrella, flor, circulo, corazon</v>
      </c>
      <c r="Z2122" s="215" t="str">
        <f>IFERROR(__xludf.DUMMYFUNCTION("""COMPUTED_VALUE"""),"https://www.amazon.com/-/es/cortadores-galletas-coraz%C3%B3n-estrella-cortador/dp/B08VD2R23T?th=5")</f>
        <v>https://www.amazon.com/-/es/cortadores-galletas-coraz%C3%B3n-estrella-cortador/dp/B08VD2R23T?th=5</v>
      </c>
      <c r="AA2122" s="213" t="str">
        <f>IFERROR(__xludf.DUMMYFUNCTION("""COMPUTED_VALUE"""),"MAT-198-Y JUEGO DE CORTADORES- CET")</f>
        <v>MAT-198-Y JUEGO DE CORTADORES- CET</v>
      </c>
      <c r="AB2122" s="213"/>
      <c r="AC2122" s="213"/>
      <c r="AD2122" s="213"/>
      <c r="AE2122" s="213"/>
      <c r="AF2122" s="213"/>
      <c r="AG2122" s="213"/>
      <c r="AH2122" s="213"/>
      <c r="AI2122" s="213"/>
      <c r="AJ2122" s="213"/>
      <c r="AK2122" s="213"/>
      <c r="AL2122" s="213"/>
      <c r="AM2122" s="213"/>
      <c r="AN2122" s="213"/>
      <c r="AO2122" s="213"/>
      <c r="AP2122" s="213" t="str">
        <f>IFERROR(__xludf.DUMMYFUNCTION("""COMPUTED_VALUE"""),"LUIS")</f>
        <v>LUIS</v>
      </c>
      <c r="AQ2122" s="213"/>
      <c r="AR2122" s="213"/>
      <c r="AS2122" s="213"/>
      <c r="AT2122" s="213"/>
      <c r="AU2122" s="213"/>
      <c r="AV2122" s="213"/>
      <c r="AW2122" s="213"/>
      <c r="AX2122" s="213"/>
      <c r="AY2122" s="213"/>
      <c r="AZ2122" s="213"/>
      <c r="BA2122" s="213"/>
      <c r="BB2122" s="213"/>
      <c r="BC2122" s="213"/>
      <c r="BD2122" s="213"/>
    </row>
    <row r="2123">
      <c r="A2123" s="213">
        <f>IFERROR(__xludf.DUMMYFUNCTION("""COMPUTED_VALUE"""),57.0)</f>
        <v>57</v>
      </c>
      <c r="B2123" s="213" t="str">
        <f>IFERROR(__xludf.DUMMYFUNCTION("""COMPUTED_VALUE"""),"16449 ELOY SOBERON  FLORES")</f>
        <v>16449 ELOY SOBERON  FLORES</v>
      </c>
      <c r="C2123" s="213" t="str">
        <f>IFERROR(__xludf.DUMMYFUNCTION("""COMPUTED_VALUE"""),"TALLER SFT DE COCINA Y REPOSTERÍA")</f>
        <v>TALLER SFT DE COCINA Y REPOSTERÍA</v>
      </c>
      <c r="D2123" s="213" t="str">
        <f>IFERROR(__xludf.DUMMYFUNCTION("""COMPUTED_VALUE"""),"HERRAMIENTAS")</f>
        <v>HERRAMIENTAS</v>
      </c>
      <c r="E2123" s="213" t="str">
        <f>IFERROR(__xludf.DUMMYFUNCTION("""COMPUTED_VALUE"""),"MAT-199")</f>
        <v>MAT-199</v>
      </c>
      <c r="F2123" s="213" t="str">
        <f>IFERROR(__xludf.DUMMYFUNCTION("""COMPUTED_VALUE"""),"MAT-199")</f>
        <v>MAT-199</v>
      </c>
      <c r="G2123" s="213"/>
      <c r="H2123" s="213" t="str">
        <f>IFERROR(__xludf.DUMMYFUNCTION("""COMPUTED_VALUE"""),"JUEGO DE CUCHARONES DE MADERA")</f>
        <v>JUEGO DE CUCHARONES DE MADERA</v>
      </c>
      <c r="I2123" s="213" t="str">
        <f>IFERROR(__xludf.DUMMYFUNCTION("""COMPUTED_VALUE"""),"· Peso aproximado del producto: 449g
· Juego de 5 cucharónes con mango de madera como minimo
· Tamaño: 7 - 14 pulgadas""
· Material: Madera")</f>
        <v>· Peso aproximado del producto: 449g
· Juego de 5 cucharónes con mango de madera como minimo
· Tamaño: 7 - 14 pulgadas"
· Material: Madera</v>
      </c>
      <c r="J2123" s="213">
        <f>IFERROR(__xludf.DUMMYFUNCTION("""COMPUTED_VALUE"""),3.0)</f>
        <v>3</v>
      </c>
      <c r="K2123" s="213" t="str">
        <f>IFERROR(__xludf.DUMMYFUNCTION("""COMPUTED_VALUE"""),"90 DÍAS CALENDARIO")</f>
        <v>90 DÍAS CALENDARIO</v>
      </c>
      <c r="L2123" s="213" t="str">
        <f>IFERROR(__xludf.DUMMYFUNCTION("""COMPUTED_VALUE"""),"")</f>
        <v/>
      </c>
      <c r="M2123" s="213">
        <f>IFERROR(__xludf.DUMMYFUNCTION("""COMPUTED_VALUE"""),1.0)</f>
        <v>1</v>
      </c>
      <c r="N2123" s="213">
        <f>IFERROR(__xludf.DUMMYFUNCTION("""COMPUTED_VALUE"""),4.0)</f>
        <v>4</v>
      </c>
      <c r="O2123" s="213">
        <f>IFERROR(__xludf.DUMMYFUNCTION("""COMPUTED_VALUE"""),4.0)</f>
        <v>4</v>
      </c>
      <c r="P2123" s="213"/>
      <c r="Q2123" s="213"/>
      <c r="R2123" s="213" t="str">
        <f>IFERROR(__xludf.DUMMYFUNCTION("""COMPUTED_VALUE"""),"SI")</f>
        <v>SI</v>
      </c>
      <c r="S2123" s="213"/>
      <c r="T2123" s="213" t="str">
        <f>IFERROR(__xludf.DUMMYFUNCTION("""COMPUTED_VALUE"""),"CONSULTA FINAL")</f>
        <v>CONSULTA FINAL</v>
      </c>
      <c r="U2123" s="213" t="str">
        <f>IFERROR(__xludf.DUMMYFUNCTION("""COMPUTED_VALUE"""),"NO")</f>
        <v>NO</v>
      </c>
      <c r="V2123" s="213" t="str">
        <f>IFERROR(__xludf.DUMMYFUNCTION("""COMPUTED_VALUE"""),"SUSTENTO")</f>
        <v>SUSTENTO</v>
      </c>
      <c r="W2123" s="213" t="str">
        <f>IFERROR(__xludf.DUMMYFUNCTION("""COMPUTED_VALUE"""),"DIMENSIONAL")</f>
        <v>DIMENSIONAL</v>
      </c>
      <c r="X2123" s="213" t="str">
        <f>IFERROR(__xludf.DUMMYFUNCTION("""COMPUTED_VALUE"""),"Fiunkes")</f>
        <v>Fiunkes</v>
      </c>
      <c r="Y2123" s="213" t="str">
        <f>IFERROR(__xludf.DUMMYFUNCTION("""COMPUTED_VALUE"""),"Cucharones 5pzas")</f>
        <v>Cucharones 5pzas</v>
      </c>
      <c r="Z2123" s="215" t="str">
        <f>IFERROR(__xludf.DUMMYFUNCTION("""COMPUTED_VALUE"""),"https://www.amazon.com/-/es/Utensilios-cocina-cucharas-pulgadas-manualidades/dp/B0BKT2Y7PY?th=1")</f>
        <v>https://www.amazon.com/-/es/Utensilios-cocina-cucharas-pulgadas-manualidades/dp/B0BKT2Y7PY?th=1</v>
      </c>
      <c r="AA2123" s="213" t="str">
        <f>IFERROR(__xludf.DUMMYFUNCTION("""COMPUTED_VALUE"""),"MAT-199 JUEGO DE CUCHARONES DE MADERA - CET")</f>
        <v>MAT-199 JUEGO DE CUCHARONES DE MADERA - CET</v>
      </c>
      <c r="AB2123" s="213"/>
      <c r="AC2123" s="213"/>
      <c r="AD2123" s="213"/>
      <c r="AE2123" s="213"/>
      <c r="AF2123" s="213"/>
      <c r="AG2123" s="213"/>
      <c r="AH2123" s="213"/>
      <c r="AI2123" s="213"/>
      <c r="AJ2123" s="213"/>
      <c r="AK2123" s="213"/>
      <c r="AL2123" s="213"/>
      <c r="AM2123" s="213"/>
      <c r="AN2123" s="213"/>
      <c r="AO2123" s="213"/>
      <c r="AP2123" s="213" t="str">
        <f>IFERROR(__xludf.DUMMYFUNCTION("""COMPUTED_VALUE"""),"SEBASTIAN")</f>
        <v>SEBASTIAN</v>
      </c>
      <c r="AQ2123" s="213"/>
      <c r="AR2123" s="213"/>
      <c r="AS2123" s="213"/>
      <c r="AT2123" s="213"/>
      <c r="AU2123" s="213"/>
      <c r="AV2123" s="213"/>
      <c r="AW2123" s="213"/>
      <c r="AX2123" s="213"/>
      <c r="AY2123" s="213"/>
      <c r="AZ2123" s="213"/>
      <c r="BA2123" s="213"/>
      <c r="BB2123" s="213"/>
      <c r="BC2123" s="213"/>
      <c r="BD2123" s="213"/>
    </row>
    <row r="2124">
      <c r="A2124" s="213">
        <f>IFERROR(__xludf.DUMMYFUNCTION("""COMPUTED_VALUE"""),26.0)</f>
        <v>26</v>
      </c>
      <c r="B2124" s="213" t="str">
        <f>IFERROR(__xludf.DUMMYFUNCTION("""COMPUTED_VALUE"""),"16449 ELOY SOBERON  FLORES")</f>
        <v>16449 ELOY SOBERON  FLORES</v>
      </c>
      <c r="C2124" s="213" t="str">
        <f>IFERROR(__xludf.DUMMYFUNCTION("""COMPUTED_VALUE"""),"TALLER SFT DE COCINA Y REPOSTERÍA")</f>
        <v>TALLER SFT DE COCINA Y REPOSTERÍA</v>
      </c>
      <c r="D2124" s="213" t="str">
        <f>IFERROR(__xludf.DUMMYFUNCTION("""COMPUTED_VALUE"""),"HERRAMIENTAS")</f>
        <v>HERRAMIENTAS</v>
      </c>
      <c r="E2124" s="213" t="str">
        <f>IFERROR(__xludf.DUMMYFUNCTION("""COMPUTED_VALUE"""),"MAT-200")</f>
        <v>MAT-200</v>
      </c>
      <c r="F2124" s="213" t="str">
        <f>IFERROR(__xludf.DUMMYFUNCTION("""COMPUTED_VALUE"""),"MAT-200")</f>
        <v>MAT-200</v>
      </c>
      <c r="G2124" s="213"/>
      <c r="H2124" s="213" t="str">
        <f>IFERROR(__xludf.DUMMYFUNCTION("""COMPUTED_VALUE"""),"JUEGO DE CUCHARONES, ESPÁTULAS Y ESPUMADERAS")</f>
        <v>JUEGO DE CUCHARONES, ESPÁTULAS Y ESPUMADERAS</v>
      </c>
      <c r="I2124" s="213" t="str">
        <f>IFERROR(__xludf.DUMMYFUNCTION("""COMPUTED_VALUE"""),".  Fabricados en acero inoxidable 18/10, con un diseño elegante que combina con cualquier cocina y aptos para el lavavajillas.
Está compuesto por 7 piezas como  minimo :
- Cucharón
- Espumadera
-  Espátula rasera
-  Batidor de varillas
-  Pelador
-  Pala
"&amp;"-  Soporte para colgar los utensilios de 42,5cm de altura como minimo")</f>
        <v>.  Fabricados en acero inoxidable 18/10, con un diseño elegante que combina con cualquier cocina y aptos para el lavavajillas.
Está compuesto por 7 piezas como  minimo :
- Cucharón
- Espumadera
-  Espátula rasera
-  Batidor de varillas
-  Pelador
-  Pala
-  Soporte para colgar los utensilios de 42,5cm de altura como minimo</v>
      </c>
      <c r="J2124" s="213">
        <f>IFERROR(__xludf.DUMMYFUNCTION("""COMPUTED_VALUE"""),3.0)</f>
        <v>3</v>
      </c>
      <c r="K2124" s="213" t="str">
        <f>IFERROR(__xludf.DUMMYFUNCTION("""COMPUTED_VALUE"""),"90 DÍAS CALENDARIO")</f>
        <v>90 DÍAS CALENDARIO</v>
      </c>
      <c r="L2124" s="213" t="str">
        <f>IFERROR(__xludf.DUMMYFUNCTION("""COMPUTED_VALUE"""),"")</f>
        <v/>
      </c>
      <c r="M2124" s="213">
        <f>IFERROR(__xludf.DUMMYFUNCTION("""COMPUTED_VALUE"""),1.0)</f>
        <v>1</v>
      </c>
      <c r="N2124" s="213">
        <f>IFERROR(__xludf.DUMMYFUNCTION("""COMPUTED_VALUE"""),2.0)</f>
        <v>2</v>
      </c>
      <c r="O2124" s="213">
        <f>IFERROR(__xludf.DUMMYFUNCTION("""COMPUTED_VALUE"""),2.0)</f>
        <v>2</v>
      </c>
      <c r="P2124" s="213"/>
      <c r="Q2124" s="213"/>
      <c r="R2124" s="213" t="str">
        <f>IFERROR(__xludf.DUMMYFUNCTION("""COMPUTED_VALUE"""),"SI")</f>
        <v>SI</v>
      </c>
      <c r="S2124" s="213"/>
      <c r="T2124" s="213" t="str">
        <f>IFERROR(__xludf.DUMMYFUNCTION("""COMPUTED_VALUE"""),"SI")</f>
        <v>SI</v>
      </c>
      <c r="U2124" s="213" t="str">
        <f>IFERROR(__xludf.DUMMYFUNCTION("""COMPUTED_VALUE"""),"SI")</f>
        <v>SI</v>
      </c>
      <c r="V2124" s="213" t="str">
        <f>IFERROR(__xludf.DUMMYFUNCTION("""COMPUTED_VALUE"""),"-")</f>
        <v>-</v>
      </c>
      <c r="W2124" s="213" t="str">
        <f>IFERROR(__xludf.DUMMYFUNCTION("""COMPUTED_VALUE"""),"-")</f>
        <v>-</v>
      </c>
      <c r="X2124" s="213" t="str">
        <f>IFERROR(__xludf.DUMMYFUNCTION("""COMPUTED_VALUE"""),"WMF")</f>
        <v>WMF</v>
      </c>
      <c r="Y2124" s="213" t="str">
        <f>IFERROR(__xludf.DUMMYFUNCTION("""COMPUTED_VALUE"""),"Profi Plus 7-Piece Set")</f>
        <v>Profi Plus 7-Piece Set</v>
      </c>
      <c r="Z2124" s="215" t="str">
        <f>IFERROR(__xludf.DUMMYFUNCTION("""COMPUTED_VALUE"""),"https://www.amazon.com.be/-/en/7-Piece-Vegetable-Cromargan-Stainless-Dishwasher/dp/B01237RWFI?th=1")</f>
        <v>https://www.amazon.com.be/-/en/7-Piece-Vegetable-Cromargan-Stainless-Dishwasher/dp/B01237RWFI?th=1</v>
      </c>
      <c r="AA2124" s="213" t="str">
        <f>IFERROR(__xludf.DUMMYFUNCTION("""COMPUTED_VALUE"""),"MAT-200 JUEGO DE CUCHARONES, ESPÁTULAS Y ESPUMADERAS - CET")</f>
        <v>MAT-200 JUEGO DE CUCHARONES, ESPÁTULAS Y ESPUMADERAS - CET</v>
      </c>
      <c r="AB2124" s="213"/>
      <c r="AC2124" s="213"/>
      <c r="AD2124" s="213"/>
      <c r="AE2124" s="213"/>
      <c r="AF2124" s="213"/>
      <c r="AG2124" s="213"/>
      <c r="AH2124" s="213"/>
      <c r="AI2124" s="213"/>
      <c r="AJ2124" s="213"/>
      <c r="AK2124" s="213"/>
      <c r="AL2124" s="213"/>
      <c r="AM2124" s="213"/>
      <c r="AN2124" s="213"/>
      <c r="AO2124" s="213"/>
      <c r="AP2124" s="213" t="str">
        <f>IFERROR(__xludf.DUMMYFUNCTION("""COMPUTED_VALUE"""),"SEBASTIAN")</f>
        <v>SEBASTIAN</v>
      </c>
      <c r="AQ2124" s="213"/>
      <c r="AR2124" s="213"/>
      <c r="AS2124" s="213"/>
      <c r="AT2124" s="213"/>
      <c r="AU2124" s="213"/>
      <c r="AV2124" s="213"/>
      <c r="AW2124" s="213"/>
      <c r="AX2124" s="213"/>
      <c r="AY2124" s="213"/>
      <c r="AZ2124" s="213"/>
      <c r="BA2124" s="213"/>
      <c r="BB2124" s="213"/>
      <c r="BC2124" s="213"/>
      <c r="BD2124" s="213"/>
    </row>
    <row r="2125">
      <c r="A2125" s="213">
        <f>IFERROR(__xludf.DUMMYFUNCTION("""COMPUTED_VALUE"""),520.0)</f>
        <v>520</v>
      </c>
      <c r="B2125" s="213" t="str">
        <f>IFERROR(__xludf.DUMMYFUNCTION("""COMPUTED_VALUE"""),"2026 SIMON BOLIVAR")</f>
        <v>2026 SIMON BOLIVAR</v>
      </c>
      <c r="C2125" s="213" t="str">
        <f>IFERROR(__xludf.DUMMYFUNCTION("""COMPUTED_VALUE"""),"TALLER SFT DE INDUSTRIA ALIMENTARIA")</f>
        <v>TALLER SFT DE INDUSTRIA ALIMENTARIA</v>
      </c>
      <c r="D2125" s="213" t="str">
        <f>IFERROR(__xludf.DUMMYFUNCTION("""COMPUTED_VALUE"""),"HERRAMIENTAS")</f>
        <v>HERRAMIENTAS</v>
      </c>
      <c r="E2125" s="213" t="str">
        <f>IFERROR(__xludf.DUMMYFUNCTION("""COMPUTED_VALUE"""),"MAT-201")</f>
        <v>MAT-201</v>
      </c>
      <c r="F2125" s="213" t="str">
        <f>IFERROR(__xludf.DUMMYFUNCTION("""COMPUTED_VALUE"""),"MAT-201")</f>
        <v>MAT-201</v>
      </c>
      <c r="G2125" s="213"/>
      <c r="H2125" s="213" t="str">
        <f>IFERROR(__xludf.DUMMYFUNCTION("""COMPUTED_VALUE"""),"CUCHILLO PARA PASTELERIA")</f>
        <v>CUCHILLO PARA PASTELERIA</v>
      </c>
      <c r="I2125" s="213" t="str">
        <f>IFERROR(__xludf.DUMMYFUNCTION("""COMPUTED_VALUE"""),".  Material: Acero inoxidable
.  Medida Mínima: 20cm x 2 cm
.  Mango de Pom. Resina acetalica muy resistente, tacto muy cálido y perfecto equilibrio.")</f>
        <v>.  Material: Acero inoxidable
.  Medida Mínima: 20cm x 2 cm
.  Mango de Pom. Resina acetalica muy resistente, tacto muy cálido y perfecto equilibrio.</v>
      </c>
      <c r="J2125" s="213">
        <f>IFERROR(__xludf.DUMMYFUNCTION("""COMPUTED_VALUE"""),3.0)</f>
        <v>3</v>
      </c>
      <c r="K2125" s="213" t="str">
        <f>IFERROR(__xludf.DUMMYFUNCTION("""COMPUTED_VALUE"""),"90 DÍAS CALENDARIO")</f>
        <v>90 DÍAS CALENDARIO</v>
      </c>
      <c r="L2125" s="213" t="str">
        <f>IFERROR(__xludf.DUMMYFUNCTION("""COMPUTED_VALUE"""),"")</f>
        <v/>
      </c>
      <c r="M2125" s="213">
        <f>IFERROR(__xludf.DUMMYFUNCTION("""COMPUTED_VALUE"""),1.0)</f>
        <v>1</v>
      </c>
      <c r="N2125" s="213">
        <f>IFERROR(__xludf.DUMMYFUNCTION("""COMPUTED_VALUE"""),5.0)</f>
        <v>5</v>
      </c>
      <c r="O2125" s="213">
        <f>IFERROR(__xludf.DUMMYFUNCTION("""COMPUTED_VALUE"""),5.0)</f>
        <v>5</v>
      </c>
      <c r="P2125" s="213"/>
      <c r="Q2125" s="213"/>
      <c r="R2125" s="213"/>
      <c r="S2125" s="213"/>
      <c r="T2125" s="213" t="str">
        <f>IFERROR(__xludf.DUMMYFUNCTION("""COMPUTED_VALUE"""),"SI")</f>
        <v>SI</v>
      </c>
      <c r="U2125" s="213" t="str">
        <f>IFERROR(__xludf.DUMMYFUNCTION("""COMPUTED_VALUE"""),"SI")</f>
        <v>SI</v>
      </c>
      <c r="V2125" s="213" t="str">
        <f>IFERROR(__xludf.DUMMYFUNCTION("""COMPUTED_VALUE"""),"-")</f>
        <v>-</v>
      </c>
      <c r="W2125" s="213" t="str">
        <f>IFERROR(__xludf.DUMMYFUNCTION("""COMPUTED_VALUE"""),"-")</f>
        <v>-</v>
      </c>
      <c r="X2125" s="213" t="str">
        <f>IFERROR(__xludf.DUMMYFUNCTION("""COMPUTED_VALUE"""),"Quttin")</f>
        <v>Quttin</v>
      </c>
      <c r="Y2125" s="213" t="str">
        <f>IFERROR(__xludf.DUMMYFUNCTION("""COMPUTED_VALUE"""),"QT-721143V")</f>
        <v>QT-721143V</v>
      </c>
      <c r="Z2125" s="215" t="str">
        <f>IFERROR(__xludf.DUMMYFUNCTION("""COMPUTED_VALUE"""),"https://www.tiendaquttin.com/sybarite/272-cuchillo-panero-sierra-19cm-sybarite-8423607211433.html")</f>
        <v>https://www.tiendaquttin.com/sybarite/272-cuchillo-panero-sierra-19cm-sybarite-8423607211433.html</v>
      </c>
      <c r="AA2125" s="213" t="str">
        <f>IFERROR(__xludf.DUMMYFUNCTION("""COMPUTED_VALUE"""),"MAT-201 CUCHILLO PARA PASTELERIA - CET")</f>
        <v>MAT-201 CUCHILLO PARA PASTELERIA - CET</v>
      </c>
      <c r="AB2125" s="213"/>
      <c r="AC2125" s="213"/>
      <c r="AD2125" s="213"/>
      <c r="AE2125" s="213"/>
      <c r="AF2125" s="213"/>
      <c r="AG2125" s="213"/>
      <c r="AH2125" s="213"/>
      <c r="AI2125" s="213"/>
      <c r="AJ2125" s="213"/>
      <c r="AK2125" s="213"/>
      <c r="AL2125" s="213"/>
      <c r="AM2125" s="213"/>
      <c r="AN2125" s="213"/>
      <c r="AO2125" s="213"/>
      <c r="AP2125" s="213" t="str">
        <f>IFERROR(__xludf.DUMMYFUNCTION("""COMPUTED_VALUE"""),"BRUNO")</f>
        <v>BRUNO</v>
      </c>
      <c r="AQ2125" s="213"/>
      <c r="AR2125" s="213"/>
      <c r="AS2125" s="213"/>
      <c r="AT2125" s="213"/>
      <c r="AU2125" s="213"/>
      <c r="AV2125" s="213"/>
      <c r="AW2125" s="213"/>
      <c r="AX2125" s="213"/>
      <c r="AY2125" s="213"/>
      <c r="AZ2125" s="213"/>
      <c r="BA2125" s="213"/>
      <c r="BB2125" s="213"/>
      <c r="BC2125" s="213"/>
      <c r="BD2125" s="213"/>
    </row>
    <row r="2126">
      <c r="A2126" s="213">
        <f>IFERROR(__xludf.DUMMYFUNCTION("""COMPUTED_VALUE"""),1150.0)</f>
        <v>1150</v>
      </c>
      <c r="B2126" s="213" t="str">
        <f>IFERROR(__xludf.DUMMYFUNCTION("""COMPUTED_VALUE"""),"FRANCISCO IRAZOLA")</f>
        <v>FRANCISCO IRAZOLA</v>
      </c>
      <c r="C2126" s="213" t="str">
        <f>IFERROR(__xludf.DUMMYFUNCTION("""COMPUTED_VALUE"""),"TALLER SFT DE INDUSTRIA ALIMENTARIA")</f>
        <v>TALLER SFT DE INDUSTRIA ALIMENTARIA</v>
      </c>
      <c r="D2126" s="213" t="str">
        <f>IFERROR(__xludf.DUMMYFUNCTION("""COMPUTED_VALUE"""),"HERRAMIENTAS")</f>
        <v>HERRAMIENTAS</v>
      </c>
      <c r="E2126" s="213" t="str">
        <f>IFERROR(__xludf.DUMMYFUNCTION("""COMPUTED_VALUE"""),"MAT-201")</f>
        <v>MAT-201</v>
      </c>
      <c r="F2126" s="213" t="str">
        <f>IFERROR(__xludf.DUMMYFUNCTION("""COMPUTED_VALUE"""),"MAT-201")</f>
        <v>MAT-201</v>
      </c>
      <c r="G2126" s="213"/>
      <c r="H2126" s="213" t="str">
        <f>IFERROR(__xludf.DUMMYFUNCTION("""COMPUTED_VALUE"""),"CUCHILLO PARA PASTELERIA")</f>
        <v>CUCHILLO PARA PASTELERIA</v>
      </c>
      <c r="I2126" s="213" t="str">
        <f>IFERROR(__xludf.DUMMYFUNCTION("""COMPUTED_VALUE"""),".  Material: Acero inoxidable
.  Medida Mínima: 20cm x 2 cm
.  Mango de Pom. Resina acetalica muy resistente, tacto muy cálido y perfecto equilibrio.")</f>
        <v>.  Material: Acero inoxidable
.  Medida Mínima: 20cm x 2 cm
.  Mango de Pom. Resina acetalica muy resistente, tacto muy cálido y perfecto equilibrio.</v>
      </c>
      <c r="J2126" s="213">
        <f>IFERROR(__xludf.DUMMYFUNCTION("""COMPUTED_VALUE"""),3.0)</f>
        <v>3</v>
      </c>
      <c r="K2126" s="213" t="str">
        <f>IFERROR(__xludf.DUMMYFUNCTION("""COMPUTED_VALUE"""),"90 DÍAS CALENDARIO")</f>
        <v>90 DÍAS CALENDARIO</v>
      </c>
      <c r="L2126" s="213" t="str">
        <f>IFERROR(__xludf.DUMMYFUNCTION("""COMPUTED_VALUE"""),"")</f>
        <v/>
      </c>
      <c r="M2126" s="213">
        <f>IFERROR(__xludf.DUMMYFUNCTION("""COMPUTED_VALUE"""),1.0)</f>
        <v>1</v>
      </c>
      <c r="N2126" s="213">
        <f>IFERROR(__xludf.DUMMYFUNCTION("""COMPUTED_VALUE"""),5.0)</f>
        <v>5</v>
      </c>
      <c r="O2126" s="213">
        <f>IFERROR(__xludf.DUMMYFUNCTION("""COMPUTED_VALUE"""),5.0)</f>
        <v>5</v>
      </c>
      <c r="P2126" s="213"/>
      <c r="Q2126" s="213"/>
      <c r="R2126" s="213"/>
      <c r="S2126" s="213"/>
      <c r="T2126" s="213" t="str">
        <f>IFERROR(__xludf.DUMMYFUNCTION("""COMPUTED_VALUE"""),"SI")</f>
        <v>SI</v>
      </c>
      <c r="U2126" s="213" t="str">
        <f>IFERROR(__xludf.DUMMYFUNCTION("""COMPUTED_VALUE"""),"SI")</f>
        <v>SI</v>
      </c>
      <c r="V2126" s="213" t="str">
        <f>IFERROR(__xludf.DUMMYFUNCTION("""COMPUTED_VALUE"""),"-")</f>
        <v>-</v>
      </c>
      <c r="W2126" s="213" t="str">
        <f>IFERROR(__xludf.DUMMYFUNCTION("""COMPUTED_VALUE"""),"-")</f>
        <v>-</v>
      </c>
      <c r="X2126" s="213" t="str">
        <f>IFERROR(__xludf.DUMMYFUNCTION("""COMPUTED_VALUE"""),"Quttin")</f>
        <v>Quttin</v>
      </c>
      <c r="Y2126" s="213" t="str">
        <f>IFERROR(__xludf.DUMMYFUNCTION("""COMPUTED_VALUE"""),"QT-721143V")</f>
        <v>QT-721143V</v>
      </c>
      <c r="Z2126" s="215" t="str">
        <f>IFERROR(__xludf.DUMMYFUNCTION("""COMPUTED_VALUE"""),"https://www.tiendaquttin.com/sybarite/272-cuchillo-panero-sierra-19cm-sybarite-8423607211433.html")</f>
        <v>https://www.tiendaquttin.com/sybarite/272-cuchillo-panero-sierra-19cm-sybarite-8423607211433.html</v>
      </c>
      <c r="AA2126" s="213" t="str">
        <f>IFERROR(__xludf.DUMMYFUNCTION("""COMPUTED_VALUE"""),"MAT-201 CUCHILLO PARA PASTELERIA - CET")</f>
        <v>MAT-201 CUCHILLO PARA PASTELERIA - CET</v>
      </c>
      <c r="AB2126" s="213"/>
      <c r="AC2126" s="213"/>
      <c r="AD2126" s="213"/>
      <c r="AE2126" s="213"/>
      <c r="AF2126" s="213"/>
      <c r="AG2126" s="213"/>
      <c r="AH2126" s="213"/>
      <c r="AI2126" s="213"/>
      <c r="AJ2126" s="213"/>
      <c r="AK2126" s="213"/>
      <c r="AL2126" s="213"/>
      <c r="AM2126" s="213"/>
      <c r="AN2126" s="213"/>
      <c r="AO2126" s="213"/>
      <c r="AP2126" s="213" t="str">
        <f>IFERROR(__xludf.DUMMYFUNCTION("""COMPUTED_VALUE"""),"BRUNO")</f>
        <v>BRUNO</v>
      </c>
      <c r="AQ2126" s="213"/>
      <c r="AR2126" s="213"/>
      <c r="AS2126" s="213"/>
      <c r="AT2126" s="213"/>
      <c r="AU2126" s="213"/>
      <c r="AV2126" s="213"/>
      <c r="AW2126" s="213"/>
      <c r="AX2126" s="213"/>
      <c r="AY2126" s="213"/>
      <c r="AZ2126" s="213"/>
      <c r="BA2126" s="213"/>
      <c r="BB2126" s="213"/>
      <c r="BC2126" s="213"/>
      <c r="BD2126" s="213"/>
    </row>
    <row r="2127">
      <c r="A2127" s="213">
        <f>IFERROR(__xludf.DUMMYFUNCTION("""COMPUTED_VALUE"""),1422.0)</f>
        <v>1422</v>
      </c>
      <c r="B2127" s="213" t="str">
        <f>IFERROR(__xludf.DUMMYFUNCTION("""COMPUTED_VALUE"""),"GUILLERMO E. BILLINGHURST ")</f>
        <v>GUILLERMO E. BILLINGHURST </v>
      </c>
      <c r="C2127" s="213" t="str">
        <f>IFERROR(__xludf.DUMMYFUNCTION("""COMPUTED_VALUE"""),"TALLER SFT DE INDUSTRIA ALIMENTARIA")</f>
        <v>TALLER SFT DE INDUSTRIA ALIMENTARIA</v>
      </c>
      <c r="D2127" s="213" t="str">
        <f>IFERROR(__xludf.DUMMYFUNCTION("""COMPUTED_VALUE"""),"HERRAMIENTAS")</f>
        <v>HERRAMIENTAS</v>
      </c>
      <c r="E2127" s="213" t="str">
        <f>IFERROR(__xludf.DUMMYFUNCTION("""COMPUTED_VALUE"""),"MAT-201")</f>
        <v>MAT-201</v>
      </c>
      <c r="F2127" s="213" t="str">
        <f>IFERROR(__xludf.DUMMYFUNCTION("""COMPUTED_VALUE"""),"MAT-201")</f>
        <v>MAT-201</v>
      </c>
      <c r="G2127" s="213"/>
      <c r="H2127" s="213" t="str">
        <f>IFERROR(__xludf.DUMMYFUNCTION("""COMPUTED_VALUE"""),"CUCHILLO PARA PASTELERIA")</f>
        <v>CUCHILLO PARA PASTELERIA</v>
      </c>
      <c r="I2127" s="213" t="str">
        <f>IFERROR(__xludf.DUMMYFUNCTION("""COMPUTED_VALUE"""),".  Material: Acero inoxidable
.  Medida Mínima: 20cm x 2 cm
.  Mango de Pom. Resina acetalica muy resistente, tacto muy cálido y perfecto equilibrio.")</f>
        <v>.  Material: Acero inoxidable
.  Medida Mínima: 20cm x 2 cm
.  Mango de Pom. Resina acetalica muy resistente, tacto muy cálido y perfecto equilibrio.</v>
      </c>
      <c r="J2127" s="213">
        <f>IFERROR(__xludf.DUMMYFUNCTION("""COMPUTED_VALUE"""),3.0)</f>
        <v>3</v>
      </c>
      <c r="K2127" s="213" t="str">
        <f>IFERROR(__xludf.DUMMYFUNCTION("""COMPUTED_VALUE"""),"90 DÍAS CALENDARIO")</f>
        <v>90 DÍAS CALENDARIO</v>
      </c>
      <c r="L2127" s="213" t="str">
        <f>IFERROR(__xludf.DUMMYFUNCTION("""COMPUTED_VALUE"""),"")</f>
        <v/>
      </c>
      <c r="M2127" s="213">
        <f>IFERROR(__xludf.DUMMYFUNCTION("""COMPUTED_VALUE"""),1.0)</f>
        <v>1</v>
      </c>
      <c r="N2127" s="213">
        <f>IFERROR(__xludf.DUMMYFUNCTION("""COMPUTED_VALUE"""),5.0)</f>
        <v>5</v>
      </c>
      <c r="O2127" s="213">
        <f>IFERROR(__xludf.DUMMYFUNCTION("""COMPUTED_VALUE"""),5.0)</f>
        <v>5</v>
      </c>
      <c r="P2127" s="213"/>
      <c r="Q2127" s="213"/>
      <c r="R2127" s="213"/>
      <c r="S2127" s="213"/>
      <c r="T2127" s="213" t="str">
        <f>IFERROR(__xludf.DUMMYFUNCTION("""COMPUTED_VALUE"""),"SI")</f>
        <v>SI</v>
      </c>
      <c r="U2127" s="213" t="str">
        <f>IFERROR(__xludf.DUMMYFUNCTION("""COMPUTED_VALUE"""),"SI")</f>
        <v>SI</v>
      </c>
      <c r="V2127" s="213" t="str">
        <f>IFERROR(__xludf.DUMMYFUNCTION("""COMPUTED_VALUE"""),"-")</f>
        <v>-</v>
      </c>
      <c r="W2127" s="213" t="str">
        <f>IFERROR(__xludf.DUMMYFUNCTION("""COMPUTED_VALUE"""),"-")</f>
        <v>-</v>
      </c>
      <c r="X2127" s="213" t="str">
        <f>IFERROR(__xludf.DUMMYFUNCTION("""COMPUTED_VALUE"""),"Quttin")</f>
        <v>Quttin</v>
      </c>
      <c r="Y2127" s="213" t="str">
        <f>IFERROR(__xludf.DUMMYFUNCTION("""COMPUTED_VALUE"""),"QT-721143V")</f>
        <v>QT-721143V</v>
      </c>
      <c r="Z2127" s="215" t="str">
        <f>IFERROR(__xludf.DUMMYFUNCTION("""COMPUTED_VALUE"""),"https://www.tiendaquttin.com/sybarite/272-cuchillo-panero-sierra-19cm-sybarite-8423607211433.html")</f>
        <v>https://www.tiendaquttin.com/sybarite/272-cuchillo-panero-sierra-19cm-sybarite-8423607211433.html</v>
      </c>
      <c r="AA2127" s="213" t="str">
        <f>IFERROR(__xludf.DUMMYFUNCTION("""COMPUTED_VALUE"""),"MAT-201 CUCHILLO PARA PASTELERIA - CET")</f>
        <v>MAT-201 CUCHILLO PARA PASTELERIA - CET</v>
      </c>
      <c r="AB2127" s="213"/>
      <c r="AC2127" s="213"/>
      <c r="AD2127" s="213"/>
      <c r="AE2127" s="213"/>
      <c r="AF2127" s="213"/>
      <c r="AG2127" s="213"/>
      <c r="AH2127" s="213"/>
      <c r="AI2127" s="213"/>
      <c r="AJ2127" s="213"/>
      <c r="AK2127" s="213"/>
      <c r="AL2127" s="213"/>
      <c r="AM2127" s="213"/>
      <c r="AN2127" s="213"/>
      <c r="AO2127" s="213"/>
      <c r="AP2127" s="213" t="str">
        <f>IFERROR(__xludf.DUMMYFUNCTION("""COMPUTED_VALUE"""),"BRUNO")</f>
        <v>BRUNO</v>
      </c>
      <c r="AQ2127" s="213"/>
      <c r="AR2127" s="213"/>
      <c r="AS2127" s="213"/>
      <c r="AT2127" s="213"/>
      <c r="AU2127" s="213"/>
      <c r="AV2127" s="213"/>
      <c r="AW2127" s="213"/>
      <c r="AX2127" s="213"/>
      <c r="AY2127" s="213"/>
      <c r="AZ2127" s="213"/>
      <c r="BA2127" s="213"/>
      <c r="BB2127" s="213"/>
      <c r="BC2127" s="213"/>
      <c r="BD2127" s="213"/>
    </row>
    <row r="2128">
      <c r="A2128" s="213">
        <f>IFERROR(__xludf.DUMMYFUNCTION("""COMPUTED_VALUE"""),2109.0)</f>
        <v>2109</v>
      </c>
      <c r="B2128" s="213" t="str">
        <f>IFERROR(__xludf.DUMMYFUNCTION("""COMPUTED_VALUE"""),"JOSE GRANDA")</f>
        <v>JOSE GRANDA</v>
      </c>
      <c r="C2128" s="213" t="str">
        <f>IFERROR(__xludf.DUMMYFUNCTION("""COMPUTED_VALUE"""),"TALLER SFT DE INDUSTRIA ALIMENTARIA")</f>
        <v>TALLER SFT DE INDUSTRIA ALIMENTARIA</v>
      </c>
      <c r="D2128" s="213" t="str">
        <f>IFERROR(__xludf.DUMMYFUNCTION("""COMPUTED_VALUE"""),"HERRAMIENTAS")</f>
        <v>HERRAMIENTAS</v>
      </c>
      <c r="E2128" s="213" t="str">
        <f>IFERROR(__xludf.DUMMYFUNCTION("""COMPUTED_VALUE"""),"MAT-201")</f>
        <v>MAT-201</v>
      </c>
      <c r="F2128" s="213" t="str">
        <f>IFERROR(__xludf.DUMMYFUNCTION("""COMPUTED_VALUE"""),"MAT-201")</f>
        <v>MAT-201</v>
      </c>
      <c r="G2128" s="213"/>
      <c r="H2128" s="213" t="str">
        <f>IFERROR(__xludf.DUMMYFUNCTION("""COMPUTED_VALUE"""),"CUCHILLO PARA PASTELERIA")</f>
        <v>CUCHILLO PARA PASTELERIA</v>
      </c>
      <c r="I2128" s="213" t="str">
        <f>IFERROR(__xludf.DUMMYFUNCTION("""COMPUTED_VALUE"""),".  Material: Acero inoxidable
.  Medida Mínima: 20cm x 2 cm
.  Mango de Pom. Resina acetalica muy resistente, tacto muy cálido y perfecto equilibrio.")</f>
        <v>.  Material: Acero inoxidable
.  Medida Mínima: 20cm x 2 cm
.  Mango de Pom. Resina acetalica muy resistente, tacto muy cálido y perfecto equilibrio.</v>
      </c>
      <c r="J2128" s="213">
        <f>IFERROR(__xludf.DUMMYFUNCTION("""COMPUTED_VALUE"""),3.0)</f>
        <v>3</v>
      </c>
      <c r="K2128" s="213" t="str">
        <f>IFERROR(__xludf.DUMMYFUNCTION("""COMPUTED_VALUE"""),"90 DÍAS CALENDARIO")</f>
        <v>90 DÍAS CALENDARIO</v>
      </c>
      <c r="L2128" s="213" t="str">
        <f>IFERROR(__xludf.DUMMYFUNCTION("""COMPUTED_VALUE"""),"")</f>
        <v/>
      </c>
      <c r="M2128" s="213">
        <f>IFERROR(__xludf.DUMMYFUNCTION("""COMPUTED_VALUE"""),1.0)</f>
        <v>1</v>
      </c>
      <c r="N2128" s="213">
        <f>IFERROR(__xludf.DUMMYFUNCTION("""COMPUTED_VALUE"""),5.0)</f>
        <v>5</v>
      </c>
      <c r="O2128" s="213">
        <f>IFERROR(__xludf.DUMMYFUNCTION("""COMPUTED_VALUE"""),5.0)</f>
        <v>5</v>
      </c>
      <c r="P2128" s="213"/>
      <c r="Q2128" s="213"/>
      <c r="R2128" s="213"/>
      <c r="S2128" s="213"/>
      <c r="T2128" s="213" t="str">
        <f>IFERROR(__xludf.DUMMYFUNCTION("""COMPUTED_VALUE"""),"SI")</f>
        <v>SI</v>
      </c>
      <c r="U2128" s="213" t="str">
        <f>IFERROR(__xludf.DUMMYFUNCTION("""COMPUTED_VALUE"""),"SI")</f>
        <v>SI</v>
      </c>
      <c r="V2128" s="213" t="str">
        <f>IFERROR(__xludf.DUMMYFUNCTION("""COMPUTED_VALUE"""),"-")</f>
        <v>-</v>
      </c>
      <c r="W2128" s="213" t="str">
        <f>IFERROR(__xludf.DUMMYFUNCTION("""COMPUTED_VALUE"""),"-")</f>
        <v>-</v>
      </c>
      <c r="X2128" s="213" t="str">
        <f>IFERROR(__xludf.DUMMYFUNCTION("""COMPUTED_VALUE"""),"Quttin")</f>
        <v>Quttin</v>
      </c>
      <c r="Y2128" s="213" t="str">
        <f>IFERROR(__xludf.DUMMYFUNCTION("""COMPUTED_VALUE"""),"QT-721143V")</f>
        <v>QT-721143V</v>
      </c>
      <c r="Z2128" s="215" t="str">
        <f>IFERROR(__xludf.DUMMYFUNCTION("""COMPUTED_VALUE"""),"https://www.tiendaquttin.com/sybarite/272-cuchillo-panero-sierra-19cm-sybarite-8423607211433.html")</f>
        <v>https://www.tiendaquttin.com/sybarite/272-cuchillo-panero-sierra-19cm-sybarite-8423607211433.html</v>
      </c>
      <c r="AA2128" s="213" t="str">
        <f>IFERROR(__xludf.DUMMYFUNCTION("""COMPUTED_VALUE"""),"MAT-201 CUCHILLO PARA PASTELERIA - CET")</f>
        <v>MAT-201 CUCHILLO PARA PASTELERIA - CET</v>
      </c>
      <c r="AB2128" s="213"/>
      <c r="AC2128" s="213"/>
      <c r="AD2128" s="213"/>
      <c r="AE2128" s="213"/>
      <c r="AF2128" s="213"/>
      <c r="AG2128" s="213"/>
      <c r="AH2128" s="213"/>
      <c r="AI2128" s="213"/>
      <c r="AJ2128" s="213"/>
      <c r="AK2128" s="213"/>
      <c r="AL2128" s="213"/>
      <c r="AM2128" s="213"/>
      <c r="AN2128" s="213"/>
      <c r="AO2128" s="213"/>
      <c r="AP2128" s="213" t="str">
        <f>IFERROR(__xludf.DUMMYFUNCTION("""COMPUTED_VALUE"""),"BRUNO")</f>
        <v>BRUNO</v>
      </c>
      <c r="AQ2128" s="213"/>
      <c r="AR2128" s="213"/>
      <c r="AS2128" s="213"/>
      <c r="AT2128" s="213"/>
      <c r="AU2128" s="213"/>
      <c r="AV2128" s="213"/>
      <c r="AW2128" s="213"/>
      <c r="AX2128" s="213"/>
      <c r="AY2128" s="213"/>
      <c r="AZ2128" s="213"/>
      <c r="BA2128" s="213"/>
      <c r="BB2128" s="213"/>
      <c r="BC2128" s="213"/>
      <c r="BD2128" s="213"/>
    </row>
    <row r="2129">
      <c r="A2129" s="213">
        <f>IFERROR(__xludf.DUMMYFUNCTION("""COMPUTED_VALUE"""),24.0)</f>
        <v>24</v>
      </c>
      <c r="B2129" s="213" t="str">
        <f>IFERROR(__xludf.DUMMYFUNCTION("""COMPUTED_VALUE"""),"16449 ELOY SOBERON  FLORES")</f>
        <v>16449 ELOY SOBERON  FLORES</v>
      </c>
      <c r="C2129" s="213" t="str">
        <f>IFERROR(__xludf.DUMMYFUNCTION("""COMPUTED_VALUE"""),"TALLER SFT DE COCINA Y REPOSTERÍA")</f>
        <v>TALLER SFT DE COCINA Y REPOSTERÍA</v>
      </c>
      <c r="D2129" s="213" t="str">
        <f>IFERROR(__xludf.DUMMYFUNCTION("""COMPUTED_VALUE"""),"HERRAMIENTAS")</f>
        <v>HERRAMIENTAS</v>
      </c>
      <c r="E2129" s="213" t="str">
        <f>IFERROR(__xludf.DUMMYFUNCTION("""COMPUTED_VALUE"""),"MAT-202")</f>
        <v>MAT-202</v>
      </c>
      <c r="F2129" s="213" t="str">
        <f>IFERROR(__xludf.DUMMYFUNCTION("""COMPUTED_VALUE"""),"MAT-202")</f>
        <v>MAT-202</v>
      </c>
      <c r="G2129" s="213"/>
      <c r="H2129" s="213" t="str">
        <f>IFERROR(__xludf.DUMMYFUNCTION("""COMPUTED_VALUE"""),"JUEGO DE CUCHILLOS")</f>
        <v>JUEGO DE CUCHILLOS</v>
      </c>
      <c r="I2129" s="213" t="str">
        <f>IFERROR(__xludf.DUMMYFUNCTION("""COMPUTED_VALUE"""),"• 01 Cuchillo de chef.  su hoja ancha y alargada permite cortar, picar y rebanar hortalizas y verduras, así como también carne o pescado.
• 01 Cuchillo chuletero. Gracias a su hoja delgada, firme y algo dentada es perfecto cortar filetes, chuleta o carne "&amp;"asada.
• 01 Cuchillo deshuesador. La hoja fina, flexible y algo curva de este cuchillo permite entrar en la carne y retirar huesos, grasas y tendones evitando que ésta pierda su forma.
• 01 Cuchillo filetear. Como su nombre indica, este cuchillo es perfec"&amp;"to para filetear carne y pescado gracias a su hoja delgada, fina y alargada.
• 01 Cuchillo jamonero De hoja fina y alargada, este cuchillo es perfecto para cortar jamón serrano. ** Para su almacenamiento se requiere un porta cuchillos.")</f>
        <v>• 01 Cuchillo de chef.  su hoja ancha y alargada permite cortar, picar y rebanar hortalizas y verduras, así como también carne o pescado.
• 01 Cuchillo chuletero. Gracias a su hoja delgada, firme y algo dentada es perfecto cortar filetes, chuleta o carne asada.
• 01 Cuchillo deshuesador. La hoja fina, flexible y algo curva de este cuchillo permite entrar en la carne y retirar huesos, grasas y tendones evitando que ésta pierda su forma.
• 01 Cuchillo filetear. Como su nombre indica, este cuchillo es perfecto para filetear carne y pescado gracias a su hoja delgada, fina y alargada.
• 01 Cuchillo jamonero De hoja fina y alargada, este cuchillo es perfecto para cortar jamón serrano. ** Para su almacenamiento se requiere un porta cuchillos.</v>
      </c>
      <c r="J2129" s="213">
        <f>IFERROR(__xludf.DUMMYFUNCTION("""COMPUTED_VALUE"""),3.0)</f>
        <v>3</v>
      </c>
      <c r="K2129" s="213" t="str">
        <f>IFERROR(__xludf.DUMMYFUNCTION("""COMPUTED_VALUE"""),"90 DÍAS CALENDARIO")</f>
        <v>90 DÍAS CALENDARIO</v>
      </c>
      <c r="L2129" s="213" t="str">
        <f>IFERROR(__xludf.DUMMYFUNCTION("""COMPUTED_VALUE"""),"")</f>
        <v/>
      </c>
      <c r="M2129" s="213">
        <f>IFERROR(__xludf.DUMMYFUNCTION("""COMPUTED_VALUE"""),1.0)</f>
        <v>1</v>
      </c>
      <c r="N2129" s="213">
        <f>IFERROR(__xludf.DUMMYFUNCTION("""COMPUTED_VALUE"""),2.0)</f>
        <v>2</v>
      </c>
      <c r="O2129" s="213">
        <f>IFERROR(__xludf.DUMMYFUNCTION("""COMPUTED_VALUE"""),2.0)</f>
        <v>2</v>
      </c>
      <c r="P2129" s="213"/>
      <c r="Q2129" s="213"/>
      <c r="R2129" s="213" t="str">
        <f>IFERROR(__xludf.DUMMYFUNCTION("""COMPUTED_VALUE"""),"SI")</f>
        <v>SI</v>
      </c>
      <c r="S2129" s="213"/>
      <c r="T2129" s="213" t="str">
        <f>IFERROR(__xludf.DUMMYFUNCTION("""COMPUTED_VALUE"""),"SI")</f>
        <v>SI</v>
      </c>
      <c r="U2129" s="213" t="str">
        <f>IFERROR(__xludf.DUMMYFUNCTION("""COMPUTED_VALUE"""),"SI")</f>
        <v>SI</v>
      </c>
      <c r="V2129" s="213" t="str">
        <f>IFERROR(__xludf.DUMMYFUNCTION("""COMPUTED_VALUE"""),"-")</f>
        <v>-</v>
      </c>
      <c r="W2129" s="213" t="str">
        <f>IFERROR(__xludf.DUMMYFUNCTION("""COMPUTED_VALUE"""),"-")</f>
        <v>-</v>
      </c>
      <c r="X2129" s="213" t="str">
        <f>IFERROR(__xludf.DUMMYFUNCTION("""COMPUTED_VALUE"""),"TRAMONTINA")</f>
        <v>TRAMONTINA</v>
      </c>
      <c r="Y2129" s="213" t="str">
        <f>IFERROR(__xludf.DUMMYFUNCTION("""COMPUTED_VALUE"""),"TRAMONTINA")</f>
        <v>TRAMONTINA</v>
      </c>
      <c r="Z2129" s="215" t="str">
        <f>IFERROR(__xludf.DUMMYFUNCTION("""COMPUTED_VALUE"""),"https://www.tramontina.com.pe/cuchillo-chef-8-_24011008/p?srsltid=AfmBOoqu6ic-Gx4cspsQbpngJtQ60l0XyMncSDgjPDPq5KbZn-BeODCG")</f>
        <v>https://www.tramontina.com.pe/cuchillo-chef-8-_24011008/p?srsltid=AfmBOoqu6ic-Gx4cspsQbpngJtQ60l0XyMncSDgjPDPq5KbZn-BeODCG</v>
      </c>
      <c r="AA2129" s="213" t="str">
        <f>IFERROR(__xludf.DUMMYFUNCTION("""COMPUTED_VALUE"""),"MAT-202 JUEGO DE CUCHILLOS - CET")</f>
        <v>MAT-202 JUEGO DE CUCHILLOS - CET</v>
      </c>
      <c r="AB2129" s="213"/>
      <c r="AC2129" s="213"/>
      <c r="AD2129" s="213"/>
      <c r="AE2129" s="213"/>
      <c r="AF2129" s="213"/>
      <c r="AG2129" s="213"/>
      <c r="AH2129" s="213"/>
      <c r="AI2129" s="213"/>
      <c r="AJ2129" s="213"/>
      <c r="AK2129" s="213"/>
      <c r="AL2129" s="213"/>
      <c r="AM2129" s="213"/>
      <c r="AN2129" s="213"/>
      <c r="AO2129" s="213"/>
      <c r="AP2129" s="213" t="str">
        <f>IFERROR(__xludf.DUMMYFUNCTION("""COMPUTED_VALUE"""),"LUIS")</f>
        <v>LUIS</v>
      </c>
      <c r="AQ2129" s="213"/>
      <c r="AR2129" s="213"/>
      <c r="AS2129" s="213"/>
      <c r="AT2129" s="213"/>
      <c r="AU2129" s="213"/>
      <c r="AV2129" s="213"/>
      <c r="AW2129" s="213"/>
      <c r="AX2129" s="213"/>
      <c r="AY2129" s="213"/>
      <c r="AZ2129" s="213"/>
      <c r="BA2129" s="213"/>
      <c r="BB2129" s="213"/>
      <c r="BC2129" s="213"/>
      <c r="BD2129" s="213"/>
    </row>
    <row r="2130">
      <c r="A2130" s="213">
        <f>IFERROR(__xludf.DUMMYFUNCTION("""COMPUTED_VALUE"""),35.0)</f>
        <v>35</v>
      </c>
      <c r="B2130" s="213" t="str">
        <f>IFERROR(__xludf.DUMMYFUNCTION("""COMPUTED_VALUE"""),"16449 ELOY SOBERON  FLORES")</f>
        <v>16449 ELOY SOBERON  FLORES</v>
      </c>
      <c r="C2130" s="213" t="str">
        <f>IFERROR(__xludf.DUMMYFUNCTION("""COMPUTED_VALUE"""),"TALLER SFT DE COCINA Y REPOSTERÍA")</f>
        <v>TALLER SFT DE COCINA Y REPOSTERÍA</v>
      </c>
      <c r="D2130" s="213" t="str">
        <f>IFERROR(__xludf.DUMMYFUNCTION("""COMPUTED_VALUE"""),"HERRAMIENTAS")</f>
        <v>HERRAMIENTAS</v>
      </c>
      <c r="E2130" s="213" t="str">
        <f>IFERROR(__xludf.DUMMYFUNCTION("""COMPUTED_VALUE"""),"MAT-203")</f>
        <v>MAT-203</v>
      </c>
      <c r="F2130" s="213" t="str">
        <f>IFERROR(__xludf.DUMMYFUNCTION("""COMPUTED_VALUE"""),"MAT-203")</f>
        <v>MAT-203</v>
      </c>
      <c r="G2130" s="213"/>
      <c r="H2130" s="213" t="str">
        <f>IFERROR(__xludf.DUMMYFUNCTION("""COMPUTED_VALUE"""),"JUEGO DE FUENTES DE VIDRIO REFRACTÁRIO")</f>
        <v>JUEGO DE FUENTES DE VIDRIO REFRACTÁRIO</v>
      </c>
      <c r="I2130" s="213" t="str">
        <f>IFERROR(__xludf.DUMMYFUNCTION("""COMPUTED_VALUE"""),"Juego de 3 fuentes de vidrio refractario, de diferentes capacidades.
.Apto para uso en hornos convencionales,
.Soportando temperaturas hasta 300 grados centígrados. Material saludable y resistente a arañazos.
Medidas aproximadas:
-Pequeña 5 cm x 17,8 cm x"&amp;" 29,6 cm.
-Mediana 5 cm x 20,9 cm x 34,6 cm.
-Grande 5 cm x 23,9 cm x 39,4 cm.
para usarse en:Horno, Frigorífico, Congelador, Lavavajillas y  microondas")</f>
        <v>Juego de 3 fuentes de vidrio refractario, de diferentes capacidades.
.Apto para uso en hornos convencionales,
.Soportando temperaturas hasta 300 grados centígrados. Material saludable y resistente a arañazos.
Medidas aproximadas:
-Pequeña 5 cm x 17,8 cm x 29,6 cm.
-Mediana 5 cm x 20,9 cm x 34,6 cm.
-Grande 5 cm x 23,9 cm x 39,4 cm.
para usarse en:Horno, Frigorífico, Congelador, Lavavajillas y  microondas</v>
      </c>
      <c r="J2130" s="213">
        <f>IFERROR(__xludf.DUMMYFUNCTION("""COMPUTED_VALUE"""),3.0)</f>
        <v>3</v>
      </c>
      <c r="K2130" s="213" t="str">
        <f>IFERROR(__xludf.DUMMYFUNCTION("""COMPUTED_VALUE"""),"90 DÍAS CALENDARIO")</f>
        <v>90 DÍAS CALENDARIO</v>
      </c>
      <c r="L2130" s="213" t="str">
        <f>IFERROR(__xludf.DUMMYFUNCTION("""COMPUTED_VALUE"""),"")</f>
        <v/>
      </c>
      <c r="M2130" s="213">
        <f>IFERROR(__xludf.DUMMYFUNCTION("""COMPUTED_VALUE"""),1.0)</f>
        <v>1</v>
      </c>
      <c r="N2130" s="213">
        <f>IFERROR(__xludf.DUMMYFUNCTION("""COMPUTED_VALUE"""),2.0)</f>
        <v>2</v>
      </c>
      <c r="O2130" s="213">
        <f>IFERROR(__xludf.DUMMYFUNCTION("""COMPUTED_VALUE"""),2.0)</f>
        <v>2</v>
      </c>
      <c r="P2130" s="213"/>
      <c r="Q2130" s="213"/>
      <c r="R2130" s="213" t="str">
        <f>IFERROR(__xludf.DUMMYFUNCTION("""COMPUTED_VALUE"""),"SI")</f>
        <v>SI</v>
      </c>
      <c r="S2130" s="213"/>
      <c r="T2130" s="213" t="str">
        <f>IFERROR(__xludf.DUMMYFUNCTION("""COMPUTED_VALUE"""),"SI")</f>
        <v>SI</v>
      </c>
      <c r="U2130" s="213" t="str">
        <f>IFERROR(__xludf.DUMMYFUNCTION("""COMPUTED_VALUE"""),"SI")</f>
        <v>SI</v>
      </c>
      <c r="V2130" s="213" t="str">
        <f>IFERROR(__xludf.DUMMYFUNCTION("""COMPUTED_VALUE"""),"-")</f>
        <v>-</v>
      </c>
      <c r="W2130" s="213" t="str">
        <f>IFERROR(__xludf.DUMMYFUNCTION("""COMPUTED_VALUE"""),"-")</f>
        <v>-</v>
      </c>
      <c r="X2130" s="213" t="str">
        <f>IFERROR(__xludf.DUMMYFUNCTION("""COMPUTED_VALUE"""),"MARINEX")</f>
        <v>MARINEX</v>
      </c>
      <c r="Y2130" s="213" t="str">
        <f>IFERROR(__xludf.DUMMYFUNCTION("""COMPUTED_VALUE"""),"GENÉRICO")</f>
        <v>GENÉRICO</v>
      </c>
      <c r="Z2130" s="215" t="str">
        <f>IFERROR(__xludf.DUMMYFUNCTION("""COMPUTED_VALUE"""),"https://www.falabella.com.pe/falabella-pe/product/145269875/Fuente-Bandeja-para-Horno-de-Vidrio-Templado-Marinex-Set-3-Piezas/145269876?kid=shopp44fc&amp;gclsrc=aw.ds&amp;gad_source=1&amp;gad_campaignid=20114538213&amp;gbraid=0AAAAADs9MO0j1HshM0h3wB7T9bpIUVkC3&amp;gclid=Cj0K"&amp;"CQjwvJHIBhCgARIsAEQnWlDeUnejj8LJp0SgngfwfWC4HcGvoPBVkKa_7ZXUVB8aRAYgOZgbnskaAmG_EALw_wcB")</f>
        <v>https://www.falabella.com.pe/falabella-pe/product/145269875/Fuente-Bandeja-para-Horno-de-Vidrio-Templado-Marinex-Set-3-Piezas/145269876?kid=shopp44fc&amp;gclsrc=aw.ds&amp;gad_source=1&amp;gad_campaignid=20114538213&amp;gbraid=0AAAAADs9MO0j1HshM0h3wB7T9bpIUVkC3&amp;gclid=Cj0KCQjwvJHIBhCgARIsAEQnWlDeUnejj8LJp0SgngfwfWC4HcGvoPBVkKa_7ZXUVB8aRAYgOZgbnskaAmG_EALw_wcB</v>
      </c>
      <c r="AA2130" s="213" t="str">
        <f>IFERROR(__xludf.DUMMYFUNCTION("""COMPUTED_VALUE"""),"MAT-203 JUEGO DE FUENTES DE VIDRIO REFRACTÁRIO - CET")</f>
        <v>MAT-203 JUEGO DE FUENTES DE VIDRIO REFRACTÁRIO - CET</v>
      </c>
      <c r="AB2130" s="213"/>
      <c r="AC2130" s="213"/>
      <c r="AD2130" s="213"/>
      <c r="AE2130" s="213"/>
      <c r="AF2130" s="213"/>
      <c r="AG2130" s="213"/>
      <c r="AH2130" s="213"/>
      <c r="AI2130" s="213"/>
      <c r="AJ2130" s="213"/>
      <c r="AK2130" s="213"/>
      <c r="AL2130" s="213"/>
      <c r="AM2130" s="213"/>
      <c r="AN2130" s="213"/>
      <c r="AO2130" s="213"/>
      <c r="AP2130" s="213" t="str">
        <f>IFERROR(__xludf.DUMMYFUNCTION("""COMPUTED_VALUE"""),"SEBASTIAN")</f>
        <v>SEBASTIAN</v>
      </c>
      <c r="AQ2130" s="213"/>
      <c r="AR2130" s="213"/>
      <c r="AS2130" s="213"/>
      <c r="AT2130" s="213"/>
      <c r="AU2130" s="213"/>
      <c r="AV2130" s="213"/>
      <c r="AW2130" s="213"/>
      <c r="AX2130" s="213"/>
      <c r="AY2130" s="213"/>
      <c r="AZ2130" s="213"/>
      <c r="BA2130" s="213"/>
      <c r="BB2130" s="213"/>
      <c r="BC2130" s="213"/>
      <c r="BD2130" s="213"/>
    </row>
    <row r="2131">
      <c r="A2131" s="213">
        <f>IFERROR(__xludf.DUMMYFUNCTION("""COMPUTED_VALUE"""),30.0)</f>
        <v>30</v>
      </c>
      <c r="B2131" s="213" t="str">
        <f>IFERROR(__xludf.DUMMYFUNCTION("""COMPUTED_VALUE"""),"16449 ELOY SOBERON  FLORES")</f>
        <v>16449 ELOY SOBERON  FLORES</v>
      </c>
      <c r="C2131" s="213" t="str">
        <f>IFERROR(__xludf.DUMMYFUNCTION("""COMPUTED_VALUE"""),"TALLER SFT DE COCINA Y REPOSTERÍA")</f>
        <v>TALLER SFT DE COCINA Y REPOSTERÍA</v>
      </c>
      <c r="D2131" s="213" t="str">
        <f>IFERROR(__xludf.DUMMYFUNCTION("""COMPUTED_VALUE"""),"HERRAMIENTAS")</f>
        <v>HERRAMIENTAS</v>
      </c>
      <c r="E2131" s="213" t="str">
        <f>IFERROR(__xludf.DUMMYFUNCTION("""COMPUTED_VALUE"""),"MAT-205")</f>
        <v>MAT-205</v>
      </c>
      <c r="F2131" s="213" t="str">
        <f>IFERROR(__xludf.DUMMYFUNCTION("""COMPUTED_VALUE"""),"MAT-205")</f>
        <v>MAT-205</v>
      </c>
      <c r="G2131" s="213"/>
      <c r="H2131" s="213" t="str">
        <f>IFERROR(__xludf.DUMMYFUNCTION("""COMPUTED_VALUE"""),"JUEGO DE OLLAS PARA COCINA DE INDUCCIÓN")</f>
        <v>JUEGO DE OLLAS PARA COCINA DE INDUCCIÓN</v>
      </c>
      <c r="I2131" s="213" t="str">
        <f>IFERROR(__xludf.DUMMYFUNCTION("""COMPUTED_VALUE"""),".  Ollas en acero inoxidable 304
.  Las ollas presentan una base encapsulada de 1 mm de espesor
.  Las paredes son de 0.4 mm de espesor
.  Este set es apto para utilizar en cocinas a gas, eléctricas, o de inducción.
.  El material lo resiste todo.
- Numer"&amp;"o de piezas: 2 caserolas, 4 ollas y 2 sartenes
.Cacerola 16 cm
.Cacerola 18 cm
.Olla 20 cm
.Olla 22 cm
.Olla 24 cm
.Guisera 24 cm
.Sartén 24 cm
.Sartén 20 cm")</f>
        <v>.  Ollas en acero inoxidable 304
.  Las ollas presentan una base encapsulada de 1 mm de espesor
.  Las paredes son de 0.4 mm de espesor
.  Este set es apto para utilizar en cocinas a gas, eléctricas, o de inducción.
.  El material lo resiste todo.
- Numero de piezas: 2 caserolas, 4 ollas y 2 sartenes
.Cacerola 16 cm
.Cacerola 18 cm
.Olla 20 cm
.Olla 22 cm
.Olla 24 cm
.Guisera 24 cm
.Sartén 24 cm
.Sartén 20 cm</v>
      </c>
      <c r="J2131" s="213">
        <f>IFERROR(__xludf.DUMMYFUNCTION("""COMPUTED_VALUE"""),3.0)</f>
        <v>3</v>
      </c>
      <c r="K2131" s="213" t="str">
        <f>IFERROR(__xludf.DUMMYFUNCTION("""COMPUTED_VALUE"""),"90 DÍAS CALENDARIO")</f>
        <v>90 DÍAS CALENDARIO</v>
      </c>
      <c r="L2131" s="213" t="str">
        <f>IFERROR(__xludf.DUMMYFUNCTION("""COMPUTED_VALUE"""),"")</f>
        <v/>
      </c>
      <c r="M2131" s="213">
        <f>IFERROR(__xludf.DUMMYFUNCTION("""COMPUTED_VALUE"""),1.0)</f>
        <v>1</v>
      </c>
      <c r="N2131" s="213">
        <f>IFERROR(__xludf.DUMMYFUNCTION("""COMPUTED_VALUE"""),2.0)</f>
        <v>2</v>
      </c>
      <c r="O2131" s="213">
        <f>IFERROR(__xludf.DUMMYFUNCTION("""COMPUTED_VALUE"""),2.0)</f>
        <v>2</v>
      </c>
      <c r="P2131" s="213"/>
      <c r="Q2131" s="213"/>
      <c r="R2131" s="213"/>
      <c r="S2131" s="213"/>
      <c r="T2131" s="213" t="str">
        <f>IFERROR(__xludf.DUMMYFUNCTION("""COMPUTED_VALUE"""),"CONSULTA FINAL")</f>
        <v>CONSULTA FINAL</v>
      </c>
      <c r="U2131" s="213" t="str">
        <f>IFERROR(__xludf.DUMMYFUNCTION("""COMPUTED_VALUE"""),"NO")</f>
        <v>NO</v>
      </c>
      <c r="V2131" s="213" t="str">
        <f>IFERROR(__xludf.DUMMYFUNCTION("""COMPUTED_VALUE"""),"SUSTENTO")</f>
        <v>SUSTENTO</v>
      </c>
      <c r="W2131" s="213" t="str">
        <f>IFERROR(__xludf.DUMMYFUNCTION("""COMPUTED_VALUE"""),"DIMENSIONAL")</f>
        <v>DIMENSIONAL</v>
      </c>
      <c r="X2131" s="213" t="str">
        <f>IFERROR(__xludf.DUMMYFUNCTION("""COMPUTED_VALUE"""),"GENÉRICO")</f>
        <v>GENÉRICO</v>
      </c>
      <c r="Y2131" s="213" t="str">
        <f>IFERROR(__xludf.DUMMYFUNCTION("""COMPUTED_VALUE"""),"GENÉRICO")</f>
        <v>GENÉRICO</v>
      </c>
      <c r="Z2131" s="215" t="str">
        <f>IFERROR(__xludf.DUMMYFUNCTION("""COMPUTED_VALUE"""),"https://hiraoka.com.pe/juego-de-ollas-acero-inoxidable-7-piezas-intuition-t-fal?utm_id=22793891402&amp;gad_source=1&amp;gad_campaignid=22793891402&amp;gbraid=0AAAAACkNDqnkEcADNxW4HW8NVEeh9eeEb&amp;gclid=CjwKCAjwu9fHBhAWEiwAzGRC_-_9Zwj5L_IVQ3CIkdHbYzbDvRiaJirGQy35X8_m5IXD"&amp;"Iby08QB2vRoCuVcQAvD_BwE")</f>
        <v>https://hiraoka.com.pe/juego-de-ollas-acero-inoxidable-7-piezas-intuition-t-fal?utm_id=22793891402&amp;gad_source=1&amp;gad_campaignid=22793891402&amp;gbraid=0AAAAACkNDqnkEcADNxW4HW8NVEeh9eeEb&amp;gclid=CjwKCAjwu9fHBhAWEiwAzGRC_-_9Zwj5L_IVQ3CIkdHbYzbDvRiaJirGQy35X8_m5IXDIby08QB2vRoCuVcQAvD_BwE</v>
      </c>
      <c r="AA2131" s="213" t="str">
        <f>IFERROR(__xludf.DUMMYFUNCTION("""COMPUTED_VALUE"""),"MAT-205 JUEGO DE OLLAS PARA COCINA DE INDUCCIÓN - CET")</f>
        <v>MAT-205 JUEGO DE OLLAS PARA COCINA DE INDUCCIÓN - CET</v>
      </c>
      <c r="AB2131" s="213"/>
      <c r="AC2131" s="213"/>
      <c r="AD2131" s="213"/>
      <c r="AE2131" s="213"/>
      <c r="AF2131" s="213"/>
      <c r="AG2131" s="213"/>
      <c r="AH2131" s="213"/>
      <c r="AI2131" s="213"/>
      <c r="AJ2131" s="213"/>
      <c r="AK2131" s="213"/>
      <c r="AL2131" s="213"/>
      <c r="AM2131" s="213"/>
      <c r="AN2131" s="213"/>
      <c r="AO2131" s="213"/>
      <c r="AP2131" s="213" t="str">
        <f>IFERROR(__xludf.DUMMYFUNCTION("""COMPUTED_VALUE"""),"BRUNO")</f>
        <v>BRUNO</v>
      </c>
      <c r="AQ2131" s="213"/>
      <c r="AR2131" s="213"/>
      <c r="AS2131" s="213"/>
      <c r="AT2131" s="213"/>
      <c r="AU2131" s="213"/>
      <c r="AV2131" s="213"/>
      <c r="AW2131" s="213"/>
      <c r="AX2131" s="213"/>
      <c r="AY2131" s="213"/>
      <c r="AZ2131" s="213"/>
      <c r="BA2131" s="213"/>
      <c r="BB2131" s="213"/>
      <c r="BC2131" s="213"/>
      <c r="BD2131" s="213"/>
    </row>
    <row r="2132">
      <c r="A2132" s="213">
        <f>IFERROR(__xludf.DUMMYFUNCTION("""COMPUTED_VALUE"""),638.0)</f>
        <v>638</v>
      </c>
      <c r="B2132" s="213" t="str">
        <f>IFERROR(__xludf.DUMMYFUNCTION("""COMPUTED_VALUE"""),"6049 RICARDO PALMA")</f>
        <v>6049 RICARDO PALMA</v>
      </c>
      <c r="C2132" s="213" t="str">
        <f>IFERROR(__xludf.DUMMYFUNCTION("""COMPUTED_VALUE"""),"TALLER SFT DE ELECTRÓNICA")</f>
        <v>TALLER SFT DE ELECTRÓNICA</v>
      </c>
      <c r="D2132" s="213" t="str">
        <f>IFERROR(__xludf.DUMMYFUNCTION("""COMPUTED_VALUE"""),"HERRAMIENTAS")</f>
        <v>HERRAMIENTAS</v>
      </c>
      <c r="E2132" s="213" t="str">
        <f>IFERROR(__xludf.DUMMYFUNCTION("""COMPUTED_VALUE"""),"MAT-211")</f>
        <v>MAT-211</v>
      </c>
      <c r="F2132" s="213" t="str">
        <f>IFERROR(__xludf.DUMMYFUNCTION("""COMPUTED_VALUE"""),"MAT-211")</f>
        <v>MAT-211</v>
      </c>
      <c r="G2132" s="213"/>
      <c r="H2132" s="213" t="str">
        <f>IFERROR(__xludf.DUMMYFUNCTION("""COMPUTED_VALUE"""),"JUEGO DE PINZAS")</f>
        <v>JUEGO DE PINZAS</v>
      </c>
      <c r="I2132" s="213" t="str">
        <f>IFERROR(__xludf.DUMMYFUNCTION("""COMPUTED_VALUE"""),"*Juego de 2 pinzas para trabajos de ensamblaje, reemplazar piezas, soldar y desoldar *componentes electrónicos.
*Material: Acero inoxidable, antimagnético, antiácido. Composición:
*Pinza estándar para trabajos en general.
*Pinza de pico de águila con punt"&amp;"a doblada 45 °
*Tamaño mínimo 100 mm")</f>
        <v>*Juego de 2 pinzas para trabajos de ensamblaje, reemplazar piezas, soldar y desoldar *componentes electrónicos.
*Material: Acero inoxidable, antimagnético, antiácido. Composición:
*Pinza estándar para trabajos en general.
*Pinza de pico de águila con punta doblada 45 °
*Tamaño mínimo 100 mm</v>
      </c>
      <c r="J2132" s="213">
        <f>IFERROR(__xludf.DUMMYFUNCTION("""COMPUTED_VALUE"""),3.0)</f>
        <v>3</v>
      </c>
      <c r="K2132" s="213" t="str">
        <f>IFERROR(__xludf.DUMMYFUNCTION("""COMPUTED_VALUE"""),"90 DÍAS CALENDARIO")</f>
        <v>90 DÍAS CALENDARIO</v>
      </c>
      <c r="L2132" s="213" t="str">
        <f>IFERROR(__xludf.DUMMYFUNCTION("""COMPUTED_VALUE"""),"")</f>
        <v/>
      </c>
      <c r="M2132" s="213">
        <f>IFERROR(__xludf.DUMMYFUNCTION("""COMPUTED_VALUE"""),1.0)</f>
        <v>1</v>
      </c>
      <c r="N2132" s="213">
        <f>IFERROR(__xludf.DUMMYFUNCTION("""COMPUTED_VALUE"""),4.0)</f>
        <v>4</v>
      </c>
      <c r="O2132" s="213">
        <f>IFERROR(__xludf.DUMMYFUNCTION("""COMPUTED_VALUE"""),4.0)</f>
        <v>4</v>
      </c>
      <c r="P2132" s="213"/>
      <c r="Q2132" s="213"/>
      <c r="R2132" s="213"/>
      <c r="S2132" s="213"/>
      <c r="T2132" s="213" t="str">
        <f>IFERROR(__xludf.DUMMYFUNCTION("""COMPUTED_VALUE"""),"SI")</f>
        <v>SI</v>
      </c>
      <c r="U2132" s="213" t="str">
        <f>IFERROR(__xludf.DUMMYFUNCTION("""COMPUTED_VALUE"""),"SI")</f>
        <v>SI</v>
      </c>
      <c r="V2132" s="213" t="str">
        <f>IFERROR(__xludf.DUMMYFUNCTION("""COMPUTED_VALUE"""),"-")</f>
        <v>-</v>
      </c>
      <c r="W2132" s="213" t="str">
        <f>IFERROR(__xludf.DUMMYFUNCTION("""COMPUTED_VALUE"""),"-")</f>
        <v>-</v>
      </c>
      <c r="X2132" s="213" t="str">
        <f>IFERROR(__xludf.DUMMYFUNCTION("""COMPUTED_VALUE"""),"DIYPHONE")</f>
        <v>DIYPHONE</v>
      </c>
      <c r="Y2132" s="213" t="str">
        <f>IFERROR(__xludf.DUMMYFUNCTION("""COMPUTED_VALUE"""),"Pinzas industriales electrónicas antiestáticas curvadas punta recta precisión pinzas de acero inoxidable reparación de placa base de teléfono Herramientas manuales")</f>
        <v>Pinzas industriales electrónicas antiestáticas curvadas punta recta precisión pinzas de acero inoxidable reparación de placa base de teléfono Herramientas manuales</v>
      </c>
      <c r="Z2132" s="215" t="str">
        <f>IFERROR(__xludf.DUMMYFUNCTION("""COMPUTED_VALUE"""),"https://www.amazon.com/-/es/industriales-electr%C3%B3nicas-antiest%C3%A1ticas-inoxidable-Herramientas/dp/B07R13T63J")</f>
        <v>https://www.amazon.com/-/es/industriales-electr%C3%B3nicas-antiest%C3%A1ticas-inoxidable-Herramientas/dp/B07R13T63J</v>
      </c>
      <c r="AA2132" s="213" t="str">
        <f>IFERROR(__xludf.DUMMYFUNCTION("""COMPUTED_VALUE"""),"MAT-211 JUEGO DE PINZAS - CET")</f>
        <v>MAT-211 JUEGO DE PINZAS - CET</v>
      </c>
      <c r="AB2132" s="213"/>
      <c r="AC2132" s="213"/>
      <c r="AD2132" s="213"/>
      <c r="AE2132" s="213"/>
      <c r="AF2132" s="213"/>
      <c r="AG2132" s="213"/>
      <c r="AH2132" s="213"/>
      <c r="AI2132" s="213"/>
      <c r="AJ2132" s="213"/>
      <c r="AK2132" s="213"/>
      <c r="AL2132" s="213"/>
      <c r="AM2132" s="213"/>
      <c r="AN2132" s="213"/>
      <c r="AO2132" s="213"/>
      <c r="AP2132" s="213" t="str">
        <f>IFERROR(__xludf.DUMMYFUNCTION("""COMPUTED_VALUE"""),"BRUNO")</f>
        <v>BRUNO</v>
      </c>
      <c r="AQ2132" s="213"/>
      <c r="AR2132" s="213"/>
      <c r="AS2132" s="213"/>
      <c r="AT2132" s="213"/>
      <c r="AU2132" s="213"/>
      <c r="AV2132" s="213"/>
      <c r="AW2132" s="213"/>
      <c r="AX2132" s="213"/>
      <c r="AY2132" s="213"/>
      <c r="AZ2132" s="213"/>
      <c r="BA2132" s="213"/>
      <c r="BB2132" s="213"/>
      <c r="BC2132" s="213"/>
      <c r="BD2132" s="213"/>
    </row>
    <row r="2133">
      <c r="A2133" s="213">
        <f>IFERROR(__xludf.DUMMYFUNCTION("""COMPUTED_VALUE"""),323.0)</f>
        <v>323</v>
      </c>
      <c r="B2133" s="213" t="str">
        <f>IFERROR(__xludf.DUMMYFUNCTION("""COMPUTED_VALUE"""),"2026 SIMON BOLIVAR")</f>
        <v>2026 SIMON BOLIVAR</v>
      </c>
      <c r="C2133" s="213" t="str">
        <f>IFERROR(__xludf.DUMMYFUNCTION("""COMPUTED_VALUE"""),"TALLER SFT DE COMPUTACIÓN E INFORMÁTICA")</f>
        <v>TALLER SFT DE COMPUTACIÓN E INFORMÁTICA</v>
      </c>
      <c r="D2133" s="213" t="str">
        <f>IFERROR(__xludf.DUMMYFUNCTION("""COMPUTED_VALUE"""),"EQUIPOS")</f>
        <v>EQUIPOS</v>
      </c>
      <c r="E2133" s="213" t="str">
        <f>IFERROR(__xludf.DUMMYFUNCTION("""COMPUTED_VALUE"""),"ESP-311")</f>
        <v>ESP-311</v>
      </c>
      <c r="F2133" s="213" t="str">
        <f>IFERROR(__xludf.DUMMYFUNCTION("""COMPUTED_VALUE"""),"ESP-311")</f>
        <v>ESP-311</v>
      </c>
      <c r="G2133" s="213"/>
      <c r="H2133" s="213" t="str">
        <f>IFERROR(__xludf.DUMMYFUNCTION("""COMPUTED_VALUE"""),"PROBADOR DE CABLES DE RED")</f>
        <v>PROBADOR DE CABLES DE RED</v>
      </c>
      <c r="I2133" s="213" t="str">
        <f>IFERROR(__xludf.DUMMYFUNCTION("""COMPUTED_VALUE"""),"·  Para conectores RJ45, RJ11 y RJ12 en instalaciones de cables
·  Para verificar esquemas de conexión tanto de datos como telefónicos, que incluyen RJ45, 10 Base-T, Redes Token Ring, RJ11/RJ12
·  Posee indicadores LED y mapas de pines fáciles de leer, qu"&amp;"e ayudan al usuario a identificar las conexiones correctas.
·  Incluye una unidad principal y un módulo remoto.")</f>
        <v>·  Para conectores RJ45, RJ11 y RJ12 en instalaciones de cables
·  Para verificar esquemas de conexión tanto de datos como telefónicos, que incluyen RJ45, 10 Base-T, Redes Token Ring, RJ11/RJ12
·  Posee indicadores LED y mapas de pines fáciles de leer, que ayudan al usuario a identificar las conexiones correctas.
·  Incluye una unidad principal y un módulo remoto.</v>
      </c>
      <c r="J2133" s="213">
        <f>IFERROR(__xludf.DUMMYFUNCTION("""COMPUTED_VALUE"""),3.0)</f>
        <v>3</v>
      </c>
      <c r="K2133" s="213" t="str">
        <f>IFERROR(__xludf.DUMMYFUNCTION("""COMPUTED_VALUE"""),"170 DÍAS CALENDARIO")</f>
        <v>170 DÍAS CALENDARIO</v>
      </c>
      <c r="L2133" s="213" t="str">
        <f>IFERROR(__xludf.DUMMYFUNCTION("""COMPUTED_VALUE"""),"")</f>
        <v/>
      </c>
      <c r="M2133" s="213">
        <f>IFERROR(__xludf.DUMMYFUNCTION("""COMPUTED_VALUE"""),1.0)</f>
        <v>1</v>
      </c>
      <c r="N2133" s="213">
        <f>IFERROR(__xludf.DUMMYFUNCTION("""COMPUTED_VALUE"""),4.0)</f>
        <v>4</v>
      </c>
      <c r="O2133" s="213">
        <f>IFERROR(__xludf.DUMMYFUNCTION("""COMPUTED_VALUE"""),4.0)</f>
        <v>4</v>
      </c>
      <c r="P2133" s="213"/>
      <c r="Q2133" s="213"/>
      <c r="R2133" s="213"/>
      <c r="S2133" s="213" t="str">
        <f>IFERROR(__xludf.DUMMYFUNCTION("""COMPUTED_VALUE"""),"SI")</f>
        <v>SI</v>
      </c>
      <c r="T2133" s="213" t="str">
        <f>IFERROR(__xludf.DUMMYFUNCTION("""COMPUTED_VALUE"""),"SI")</f>
        <v>SI</v>
      </c>
      <c r="U2133" s="213" t="str">
        <f>IFERROR(__xludf.DUMMYFUNCTION("""COMPUTED_VALUE"""),"SI")</f>
        <v>SI</v>
      </c>
      <c r="V2133" s="213" t="str">
        <f>IFERROR(__xludf.DUMMYFUNCTION("""COMPUTED_VALUE"""),"-")</f>
        <v>-</v>
      </c>
      <c r="W2133" s="213" t="str">
        <f>IFERROR(__xludf.DUMMYFUNCTION("""COMPUTED_VALUE"""),"-")</f>
        <v>-</v>
      </c>
      <c r="X2133" s="213" t="str">
        <f>IFERROR(__xludf.DUMMYFUNCTION("""COMPUTED_VALUE"""),"NEXXT")</f>
        <v>NEXXT</v>
      </c>
      <c r="Y2133" s="213" t="str">
        <f>IFERROR(__xludf.DUMMYFUNCTION("""COMPUTED_VALUE"""),"AW250NXT03")</f>
        <v>AW250NXT03</v>
      </c>
      <c r="Z2133" s="215" t="str">
        <f>IFERROR(__xludf.DUMMYFUNCTION("""COMPUTED_VALUE"""),"https://www.nexxtsolutions.com/es/infraestructura/interna-productos/AW250NXT03-es")</f>
        <v>https://www.nexxtsolutions.com/es/infraestructura/interna-productos/AW250NXT03-es</v>
      </c>
      <c r="AA2133" s="213" t="str">
        <f>IFERROR(__xludf.DUMMYFUNCTION("""COMPUTED_VALUE"""),"ESP-311 PROBADOR DE CABLES DE RED - CET")</f>
        <v>ESP-311 PROBADOR DE CABLES DE RED - CET</v>
      </c>
      <c r="AB2133" s="215" t="str">
        <f>IFERROR(__xludf.DUMMYFUNCTION("""COMPUTED_VALUE"""),"https://drive.google.com/file/d/1YBgsAR15i_IQ73pKQ5KLGE0gKwU_T0e7/view?usp=drive_link")</f>
        <v>https://drive.google.com/file/d/1YBgsAR15i_IQ73pKQ5KLGE0gKwU_T0e7/view?usp=drive_link</v>
      </c>
      <c r="AC2133" s="213"/>
      <c r="AD2133" s="213"/>
      <c r="AE2133" s="213"/>
      <c r="AF2133" s="213"/>
      <c r="AG2133" s="213"/>
      <c r="AH2133" s="213"/>
      <c r="AI2133" s="213"/>
      <c r="AJ2133" s="213"/>
      <c r="AK2133" s="213"/>
      <c r="AL2133" s="213"/>
      <c r="AM2133" s="213"/>
      <c r="AN2133" s="213"/>
      <c r="AO2133" s="213"/>
      <c r="AP2133" s="213" t="str">
        <f>IFERROR(__xludf.DUMMYFUNCTION("""COMPUTED_VALUE"""),"MICHEL")</f>
        <v>MICHEL</v>
      </c>
      <c r="AQ2133" s="213"/>
      <c r="AR2133" s="213"/>
      <c r="AS2133" s="213" t="str">
        <f>IFERROR(__xludf.DUMMYFUNCTION("""COMPUTED_VALUE"""),"Batería rectangular 9V")</f>
        <v>Batería rectangular 9V</v>
      </c>
      <c r="AT2133" s="213"/>
      <c r="AU2133" s="213"/>
      <c r="AV2133" s="213"/>
      <c r="AW2133" s="213"/>
      <c r="AX2133" s="213"/>
      <c r="AY2133" s="213"/>
      <c r="AZ2133" s="213"/>
      <c r="BA2133" s="213"/>
      <c r="BB2133" s="213"/>
      <c r="BC2133" s="213"/>
      <c r="BD2133" s="213"/>
    </row>
    <row r="2134">
      <c r="A2134" s="213">
        <f>IFERROR(__xludf.DUMMYFUNCTION("""COMPUTED_VALUE"""),809.0)</f>
        <v>809</v>
      </c>
      <c r="B2134" s="213" t="str">
        <f>IFERROR(__xludf.DUMMYFUNCTION("""COMPUTED_VALUE"""),"6049 RICARDO PALMA")</f>
        <v>6049 RICARDO PALMA</v>
      </c>
      <c r="C2134" s="213" t="str">
        <f>IFERROR(__xludf.DUMMYFUNCTION("""COMPUTED_VALUE"""),"TALLER SFT DE COMPUTACIÓN E INFORMÁTICA")</f>
        <v>TALLER SFT DE COMPUTACIÓN E INFORMÁTICA</v>
      </c>
      <c r="D2134" s="213" t="str">
        <f>IFERROR(__xludf.DUMMYFUNCTION("""COMPUTED_VALUE"""),"EQUIPOS")</f>
        <v>EQUIPOS</v>
      </c>
      <c r="E2134" s="213" t="str">
        <f>IFERROR(__xludf.DUMMYFUNCTION("""COMPUTED_VALUE"""),"ESP-311")</f>
        <v>ESP-311</v>
      </c>
      <c r="F2134" s="213" t="str">
        <f>IFERROR(__xludf.DUMMYFUNCTION("""COMPUTED_VALUE"""),"ESP-311")</f>
        <v>ESP-311</v>
      </c>
      <c r="G2134" s="213"/>
      <c r="H2134" s="213" t="str">
        <f>IFERROR(__xludf.DUMMYFUNCTION("""COMPUTED_VALUE"""),"PROBADOR DE CABLES DE RED")</f>
        <v>PROBADOR DE CABLES DE RED</v>
      </c>
      <c r="I2134" s="213" t="str">
        <f>IFERROR(__xludf.DUMMYFUNCTION("""COMPUTED_VALUE"""),"·  Para conectores RJ45, RJ11 y RJ12 en instalaciones de cables
·  Para verificar esquemas de conexión tanto de datos como telefónicos, que incluyen RJ45, 10 Base-T, Redes Token Ring, RJ11/RJ12
·  Posee indicadores LED y mapas de pines fáciles de leer, qu"&amp;"e ayudan al usuario a identificar las conexiones correctas.
·  Incluye una unidad principal y un módulo remoto.")</f>
        <v>·  Para conectores RJ45, RJ11 y RJ12 en instalaciones de cables
·  Para verificar esquemas de conexión tanto de datos como telefónicos, que incluyen RJ45, 10 Base-T, Redes Token Ring, RJ11/RJ12
·  Posee indicadores LED y mapas de pines fáciles de leer, que ayudan al usuario a identificar las conexiones correctas.
·  Incluye una unidad principal y un módulo remoto.</v>
      </c>
      <c r="J2134" s="213">
        <f>IFERROR(__xludf.DUMMYFUNCTION("""COMPUTED_VALUE"""),3.0)</f>
        <v>3</v>
      </c>
      <c r="K2134" s="213" t="str">
        <f>IFERROR(__xludf.DUMMYFUNCTION("""COMPUTED_VALUE"""),"170 DÍAS CALENDARIO")</f>
        <v>170 DÍAS CALENDARIO</v>
      </c>
      <c r="L2134" s="213" t="str">
        <f>IFERROR(__xludf.DUMMYFUNCTION("""COMPUTED_VALUE"""),"")</f>
        <v/>
      </c>
      <c r="M2134" s="213">
        <f>IFERROR(__xludf.DUMMYFUNCTION("""COMPUTED_VALUE"""),1.0)</f>
        <v>1</v>
      </c>
      <c r="N2134" s="213">
        <f>IFERROR(__xludf.DUMMYFUNCTION("""COMPUTED_VALUE"""),4.0)</f>
        <v>4</v>
      </c>
      <c r="O2134" s="213">
        <f>IFERROR(__xludf.DUMMYFUNCTION("""COMPUTED_VALUE"""),4.0)</f>
        <v>4</v>
      </c>
      <c r="P2134" s="213"/>
      <c r="Q2134" s="213"/>
      <c r="R2134" s="213"/>
      <c r="S2134" s="213" t="str">
        <f>IFERROR(__xludf.DUMMYFUNCTION("""COMPUTED_VALUE"""),"SI")</f>
        <v>SI</v>
      </c>
      <c r="T2134" s="213" t="str">
        <f>IFERROR(__xludf.DUMMYFUNCTION("""COMPUTED_VALUE"""),"SI")</f>
        <v>SI</v>
      </c>
      <c r="U2134" s="213" t="str">
        <f>IFERROR(__xludf.DUMMYFUNCTION("""COMPUTED_VALUE"""),"SI")</f>
        <v>SI</v>
      </c>
      <c r="V2134" s="213" t="str">
        <f>IFERROR(__xludf.DUMMYFUNCTION("""COMPUTED_VALUE"""),"-")</f>
        <v>-</v>
      </c>
      <c r="W2134" s="213" t="str">
        <f>IFERROR(__xludf.DUMMYFUNCTION("""COMPUTED_VALUE"""),"-")</f>
        <v>-</v>
      </c>
      <c r="X2134" s="213" t="str">
        <f>IFERROR(__xludf.DUMMYFUNCTION("""COMPUTED_VALUE"""),"NEXXT")</f>
        <v>NEXXT</v>
      </c>
      <c r="Y2134" s="213" t="str">
        <f>IFERROR(__xludf.DUMMYFUNCTION("""COMPUTED_VALUE"""),"AW250NXT03")</f>
        <v>AW250NXT03</v>
      </c>
      <c r="Z2134" s="215" t="str">
        <f>IFERROR(__xludf.DUMMYFUNCTION("""COMPUTED_VALUE"""),"https://www.nexxtsolutions.com/es/infraestructura/interna-productos/AW250NXT03-es")</f>
        <v>https://www.nexxtsolutions.com/es/infraestructura/interna-productos/AW250NXT03-es</v>
      </c>
      <c r="AA2134" s="213" t="str">
        <f>IFERROR(__xludf.DUMMYFUNCTION("""COMPUTED_VALUE"""),"ESP-311 PROBADOR DE CABLES DE RED - CET")</f>
        <v>ESP-311 PROBADOR DE CABLES DE RED - CET</v>
      </c>
      <c r="AB2134" s="215" t="str">
        <f>IFERROR(__xludf.DUMMYFUNCTION("""COMPUTED_VALUE"""),"https://drive.google.com/file/d/1YBgsAR15i_IQ73pKQ5KLGE0gKwU_T0e7/view?usp=drive_link")</f>
        <v>https://drive.google.com/file/d/1YBgsAR15i_IQ73pKQ5KLGE0gKwU_T0e7/view?usp=drive_link</v>
      </c>
      <c r="AC2134" s="213"/>
      <c r="AD2134" s="213"/>
      <c r="AE2134" s="213"/>
      <c r="AF2134" s="213"/>
      <c r="AG2134" s="213"/>
      <c r="AH2134" s="213"/>
      <c r="AI2134" s="213"/>
      <c r="AJ2134" s="213"/>
      <c r="AK2134" s="213"/>
      <c r="AL2134" s="213"/>
      <c r="AM2134" s="213"/>
      <c r="AN2134" s="213"/>
      <c r="AO2134" s="213"/>
      <c r="AP2134" s="213" t="str">
        <f>IFERROR(__xludf.DUMMYFUNCTION("""COMPUTED_VALUE"""),"MICHEL")</f>
        <v>MICHEL</v>
      </c>
      <c r="AQ2134" s="213"/>
      <c r="AR2134" s="213"/>
      <c r="AS2134" s="213" t="str">
        <f>IFERROR(__xludf.DUMMYFUNCTION("""COMPUTED_VALUE"""),"Batería rectangular 9V")</f>
        <v>Batería rectangular 9V</v>
      </c>
      <c r="AT2134" s="213"/>
      <c r="AU2134" s="213"/>
      <c r="AV2134" s="213"/>
      <c r="AW2134" s="213"/>
      <c r="AX2134" s="213"/>
      <c r="AY2134" s="213"/>
      <c r="AZ2134" s="213"/>
      <c r="BA2134" s="213"/>
      <c r="BB2134" s="213"/>
      <c r="BC2134" s="213"/>
      <c r="BD2134" s="213"/>
    </row>
    <row r="2135">
      <c r="A2135" s="213">
        <f>IFERROR(__xludf.DUMMYFUNCTION("""COMPUTED_VALUE"""),1746.0)</f>
        <v>1746</v>
      </c>
      <c r="B2135" s="213" t="str">
        <f>IFERROR(__xludf.DUMMYFUNCTION("""COMPUTED_VALUE"""),"GUILLERMO E. BILLINGHURST ")</f>
        <v>GUILLERMO E. BILLINGHURST </v>
      </c>
      <c r="C2135" s="213" t="str">
        <f>IFERROR(__xludf.DUMMYFUNCTION("""COMPUTED_VALUE"""),"TALLER SFT DE COMPUTACIÓN E INFORMÁTICA")</f>
        <v>TALLER SFT DE COMPUTACIÓN E INFORMÁTICA</v>
      </c>
      <c r="D2135" s="213" t="str">
        <f>IFERROR(__xludf.DUMMYFUNCTION("""COMPUTED_VALUE"""),"EQUIPOS")</f>
        <v>EQUIPOS</v>
      </c>
      <c r="E2135" s="213" t="str">
        <f>IFERROR(__xludf.DUMMYFUNCTION("""COMPUTED_VALUE"""),"ESP-311")</f>
        <v>ESP-311</v>
      </c>
      <c r="F2135" s="213" t="str">
        <f>IFERROR(__xludf.DUMMYFUNCTION("""COMPUTED_VALUE"""),"ESP-311")</f>
        <v>ESP-311</v>
      </c>
      <c r="G2135" s="213"/>
      <c r="H2135" s="213" t="str">
        <f>IFERROR(__xludf.DUMMYFUNCTION("""COMPUTED_VALUE"""),"PROBADOR DE CABLES DE RED")</f>
        <v>PROBADOR DE CABLES DE RED</v>
      </c>
      <c r="I2135" s="213" t="str">
        <f>IFERROR(__xludf.DUMMYFUNCTION("""COMPUTED_VALUE"""),"·  Para conectores RJ45, RJ11 y RJ12 en instalaciones de cables
·  Para verificar esquemas de conexión tanto de datos como telefónicos, que incluyen RJ45, 10 Base-T, Redes Token Ring, RJ11/RJ12
·  Posee indicadores LED y mapas de pines fáciles de leer, qu"&amp;"e ayudan al usuario a identificar las conexiones correctas.
·  Incluye una unidad principal y un módulo remoto.")</f>
        <v>·  Para conectores RJ45, RJ11 y RJ12 en instalaciones de cables
·  Para verificar esquemas de conexión tanto de datos como telefónicos, que incluyen RJ45, 10 Base-T, Redes Token Ring, RJ11/RJ12
·  Posee indicadores LED y mapas de pines fáciles de leer, que ayudan al usuario a identificar las conexiones correctas.
·  Incluye una unidad principal y un módulo remoto.</v>
      </c>
      <c r="J2135" s="213">
        <f>IFERROR(__xludf.DUMMYFUNCTION("""COMPUTED_VALUE"""),3.0)</f>
        <v>3</v>
      </c>
      <c r="K2135" s="213" t="str">
        <f>IFERROR(__xludf.DUMMYFUNCTION("""COMPUTED_VALUE"""),"170 DÍAS CALENDARIO")</f>
        <v>170 DÍAS CALENDARIO</v>
      </c>
      <c r="L2135" s="213" t="str">
        <f>IFERROR(__xludf.DUMMYFUNCTION("""COMPUTED_VALUE"""),"")</f>
        <v/>
      </c>
      <c r="M2135" s="213">
        <f>IFERROR(__xludf.DUMMYFUNCTION("""COMPUTED_VALUE"""),1.0)</f>
        <v>1</v>
      </c>
      <c r="N2135" s="213">
        <f>IFERROR(__xludf.DUMMYFUNCTION("""COMPUTED_VALUE"""),4.0)</f>
        <v>4</v>
      </c>
      <c r="O2135" s="213">
        <f>IFERROR(__xludf.DUMMYFUNCTION("""COMPUTED_VALUE"""),4.0)</f>
        <v>4</v>
      </c>
      <c r="P2135" s="213"/>
      <c r="Q2135" s="213"/>
      <c r="R2135" s="213"/>
      <c r="S2135" s="213" t="str">
        <f>IFERROR(__xludf.DUMMYFUNCTION("""COMPUTED_VALUE"""),"SI")</f>
        <v>SI</v>
      </c>
      <c r="T2135" s="213" t="str">
        <f>IFERROR(__xludf.DUMMYFUNCTION("""COMPUTED_VALUE"""),"SI")</f>
        <v>SI</v>
      </c>
      <c r="U2135" s="213" t="str">
        <f>IFERROR(__xludf.DUMMYFUNCTION("""COMPUTED_VALUE"""),"SI")</f>
        <v>SI</v>
      </c>
      <c r="V2135" s="213" t="str">
        <f>IFERROR(__xludf.DUMMYFUNCTION("""COMPUTED_VALUE"""),"-")</f>
        <v>-</v>
      </c>
      <c r="W2135" s="213" t="str">
        <f>IFERROR(__xludf.DUMMYFUNCTION("""COMPUTED_VALUE"""),"-")</f>
        <v>-</v>
      </c>
      <c r="X2135" s="213" t="str">
        <f>IFERROR(__xludf.DUMMYFUNCTION("""COMPUTED_VALUE"""),"NEXXT")</f>
        <v>NEXXT</v>
      </c>
      <c r="Y2135" s="213" t="str">
        <f>IFERROR(__xludf.DUMMYFUNCTION("""COMPUTED_VALUE"""),"AW250NXT03")</f>
        <v>AW250NXT03</v>
      </c>
      <c r="Z2135" s="215" t="str">
        <f>IFERROR(__xludf.DUMMYFUNCTION("""COMPUTED_VALUE"""),"https://www.nexxtsolutions.com/es/infraestructura/interna-productos/AW250NXT03-es")</f>
        <v>https://www.nexxtsolutions.com/es/infraestructura/interna-productos/AW250NXT03-es</v>
      </c>
      <c r="AA2135" s="213" t="str">
        <f>IFERROR(__xludf.DUMMYFUNCTION("""COMPUTED_VALUE"""),"ESP-311 PROBADOR DE CABLES DE RED - CET")</f>
        <v>ESP-311 PROBADOR DE CABLES DE RED - CET</v>
      </c>
      <c r="AB2135" s="215" t="str">
        <f>IFERROR(__xludf.DUMMYFUNCTION("""COMPUTED_VALUE"""),"https://drive.google.com/file/d/1YBgsAR15i_IQ73pKQ5KLGE0gKwU_T0e7/view?usp=drive_link")</f>
        <v>https://drive.google.com/file/d/1YBgsAR15i_IQ73pKQ5KLGE0gKwU_T0e7/view?usp=drive_link</v>
      </c>
      <c r="AC2135" s="213"/>
      <c r="AD2135" s="213"/>
      <c r="AE2135" s="213"/>
      <c r="AF2135" s="213"/>
      <c r="AG2135" s="213"/>
      <c r="AH2135" s="213"/>
      <c r="AI2135" s="213"/>
      <c r="AJ2135" s="213"/>
      <c r="AK2135" s="213"/>
      <c r="AL2135" s="213"/>
      <c r="AM2135" s="213"/>
      <c r="AN2135" s="213"/>
      <c r="AO2135" s="213"/>
      <c r="AP2135" s="213" t="str">
        <f>IFERROR(__xludf.DUMMYFUNCTION("""COMPUTED_VALUE"""),"MICHEL")</f>
        <v>MICHEL</v>
      </c>
      <c r="AQ2135" s="213"/>
      <c r="AR2135" s="213"/>
      <c r="AS2135" s="213" t="str">
        <f>IFERROR(__xludf.DUMMYFUNCTION("""COMPUTED_VALUE"""),"Batería rectangular 9V")</f>
        <v>Batería rectangular 9V</v>
      </c>
      <c r="AT2135" s="213"/>
      <c r="AU2135" s="213"/>
      <c r="AV2135" s="213"/>
      <c r="AW2135" s="213"/>
      <c r="AX2135" s="213"/>
      <c r="AY2135" s="213"/>
      <c r="AZ2135" s="213"/>
      <c r="BA2135" s="213"/>
      <c r="BB2135" s="213"/>
      <c r="BC2135" s="213"/>
      <c r="BD2135" s="213"/>
    </row>
    <row r="2136">
      <c r="A2136" s="213">
        <f>IFERROR(__xludf.DUMMYFUNCTION("""COMPUTED_VALUE"""),1997.0)</f>
        <v>1997</v>
      </c>
      <c r="B2136" s="213" t="str">
        <f>IFERROR(__xludf.DUMMYFUNCTION("""COMPUTED_VALUE"""),"JOSE GRANDA")</f>
        <v>JOSE GRANDA</v>
      </c>
      <c r="C2136" s="213" t="str">
        <f>IFERROR(__xludf.DUMMYFUNCTION("""COMPUTED_VALUE"""),"TALLER SFT DE COMPUTACIÓN E INFORMÁTICA")</f>
        <v>TALLER SFT DE COMPUTACIÓN E INFORMÁTICA</v>
      </c>
      <c r="D2136" s="213" t="str">
        <f>IFERROR(__xludf.DUMMYFUNCTION("""COMPUTED_VALUE"""),"EQUIPOS")</f>
        <v>EQUIPOS</v>
      </c>
      <c r="E2136" s="213" t="str">
        <f>IFERROR(__xludf.DUMMYFUNCTION("""COMPUTED_VALUE"""),"ESP-311")</f>
        <v>ESP-311</v>
      </c>
      <c r="F2136" s="213" t="str">
        <f>IFERROR(__xludf.DUMMYFUNCTION("""COMPUTED_VALUE"""),"ESP-311")</f>
        <v>ESP-311</v>
      </c>
      <c r="G2136" s="213"/>
      <c r="H2136" s="213" t="str">
        <f>IFERROR(__xludf.DUMMYFUNCTION("""COMPUTED_VALUE"""),"PROBADOR DE CABLES DE RED")</f>
        <v>PROBADOR DE CABLES DE RED</v>
      </c>
      <c r="I2136" s="213" t="str">
        <f>IFERROR(__xludf.DUMMYFUNCTION("""COMPUTED_VALUE"""),"·  Para conectores RJ45, RJ11 y RJ12 en instalaciones de cables
·  Para verificar esquemas de conexión tanto de datos como telefónicos, que incluyen RJ45, 10 Base-T, Redes Token Ring, RJ11/RJ12
·  Posee indicadores LED y mapas de pines fáciles de leer, qu"&amp;"e ayudan al usuario a identificar las conexiones correctas.
·  Incluye una unidad principal y un módulo remoto.")</f>
        <v>·  Para conectores RJ45, RJ11 y RJ12 en instalaciones de cables
·  Para verificar esquemas de conexión tanto de datos como telefónicos, que incluyen RJ45, 10 Base-T, Redes Token Ring, RJ11/RJ12
·  Posee indicadores LED y mapas de pines fáciles de leer, que ayudan al usuario a identificar las conexiones correctas.
·  Incluye una unidad principal y un módulo remoto.</v>
      </c>
      <c r="J2136" s="213">
        <f>IFERROR(__xludf.DUMMYFUNCTION("""COMPUTED_VALUE"""),3.0)</f>
        <v>3</v>
      </c>
      <c r="K2136" s="213" t="str">
        <f>IFERROR(__xludf.DUMMYFUNCTION("""COMPUTED_VALUE"""),"170 DÍAS CALENDARIO")</f>
        <v>170 DÍAS CALENDARIO</v>
      </c>
      <c r="L2136" s="213" t="str">
        <f>IFERROR(__xludf.DUMMYFUNCTION("""COMPUTED_VALUE"""),"")</f>
        <v/>
      </c>
      <c r="M2136" s="213">
        <f>IFERROR(__xludf.DUMMYFUNCTION("""COMPUTED_VALUE"""),1.0)</f>
        <v>1</v>
      </c>
      <c r="N2136" s="213">
        <f>IFERROR(__xludf.DUMMYFUNCTION("""COMPUTED_VALUE"""),4.0)</f>
        <v>4</v>
      </c>
      <c r="O2136" s="213">
        <f>IFERROR(__xludf.DUMMYFUNCTION("""COMPUTED_VALUE"""),4.0)</f>
        <v>4</v>
      </c>
      <c r="P2136" s="213"/>
      <c r="Q2136" s="213"/>
      <c r="R2136" s="213"/>
      <c r="S2136" s="213" t="str">
        <f>IFERROR(__xludf.DUMMYFUNCTION("""COMPUTED_VALUE"""),"SI")</f>
        <v>SI</v>
      </c>
      <c r="T2136" s="213" t="str">
        <f>IFERROR(__xludf.DUMMYFUNCTION("""COMPUTED_VALUE"""),"SI")</f>
        <v>SI</v>
      </c>
      <c r="U2136" s="213" t="str">
        <f>IFERROR(__xludf.DUMMYFUNCTION("""COMPUTED_VALUE"""),"SI")</f>
        <v>SI</v>
      </c>
      <c r="V2136" s="213" t="str">
        <f>IFERROR(__xludf.DUMMYFUNCTION("""COMPUTED_VALUE"""),"-")</f>
        <v>-</v>
      </c>
      <c r="W2136" s="213" t="str">
        <f>IFERROR(__xludf.DUMMYFUNCTION("""COMPUTED_VALUE"""),"-")</f>
        <v>-</v>
      </c>
      <c r="X2136" s="213" t="str">
        <f>IFERROR(__xludf.DUMMYFUNCTION("""COMPUTED_VALUE"""),"NEXXT")</f>
        <v>NEXXT</v>
      </c>
      <c r="Y2136" s="213" t="str">
        <f>IFERROR(__xludf.DUMMYFUNCTION("""COMPUTED_VALUE"""),"AW250NXT03")</f>
        <v>AW250NXT03</v>
      </c>
      <c r="Z2136" s="215" t="str">
        <f>IFERROR(__xludf.DUMMYFUNCTION("""COMPUTED_VALUE"""),"https://www.nexxtsolutions.com/es/infraestructura/interna-productos/AW250NXT03-es")</f>
        <v>https://www.nexxtsolutions.com/es/infraestructura/interna-productos/AW250NXT03-es</v>
      </c>
      <c r="AA2136" s="213" t="str">
        <f>IFERROR(__xludf.DUMMYFUNCTION("""COMPUTED_VALUE"""),"ESP-311 PROBADOR DE CABLES DE RED - CET")</f>
        <v>ESP-311 PROBADOR DE CABLES DE RED - CET</v>
      </c>
      <c r="AB2136" s="215" t="str">
        <f>IFERROR(__xludf.DUMMYFUNCTION("""COMPUTED_VALUE"""),"https://drive.google.com/file/d/1YBgsAR15i_IQ73pKQ5KLGE0gKwU_T0e7/view?usp=drive_link")</f>
        <v>https://drive.google.com/file/d/1YBgsAR15i_IQ73pKQ5KLGE0gKwU_T0e7/view?usp=drive_link</v>
      </c>
      <c r="AC2136" s="213"/>
      <c r="AD2136" s="213"/>
      <c r="AE2136" s="213"/>
      <c r="AF2136" s="213"/>
      <c r="AG2136" s="213"/>
      <c r="AH2136" s="213"/>
      <c r="AI2136" s="213"/>
      <c r="AJ2136" s="213"/>
      <c r="AK2136" s="213"/>
      <c r="AL2136" s="213"/>
      <c r="AM2136" s="213"/>
      <c r="AN2136" s="213"/>
      <c r="AO2136" s="213"/>
      <c r="AP2136" s="213" t="str">
        <f>IFERROR(__xludf.DUMMYFUNCTION("""COMPUTED_VALUE"""),"MICHEL")</f>
        <v>MICHEL</v>
      </c>
      <c r="AQ2136" s="213"/>
      <c r="AR2136" s="213"/>
      <c r="AS2136" s="213" t="str">
        <f>IFERROR(__xludf.DUMMYFUNCTION("""COMPUTED_VALUE"""),"Batería rectangular 9V")</f>
        <v>Batería rectangular 9V</v>
      </c>
      <c r="AT2136" s="213"/>
      <c r="AU2136" s="213"/>
      <c r="AV2136" s="213"/>
      <c r="AW2136" s="213"/>
      <c r="AX2136" s="213"/>
      <c r="AY2136" s="213"/>
      <c r="AZ2136" s="213"/>
      <c r="BA2136" s="213"/>
      <c r="BB2136" s="213"/>
      <c r="BC2136" s="213"/>
      <c r="BD2136" s="213"/>
    </row>
    <row r="2137">
      <c r="A2137" s="213">
        <f>IFERROR(__xludf.DUMMYFUNCTION("""COMPUTED_VALUE"""),1042.0)</f>
        <v>1042</v>
      </c>
      <c r="B2137" s="213" t="str">
        <f>IFERROR(__xludf.DUMMYFUNCTION("""COMPUTED_VALUE"""),"FRANCISCO IRAZOLA")</f>
        <v>FRANCISCO IRAZOLA</v>
      </c>
      <c r="C2137" s="213" t="str">
        <f>IFERROR(__xludf.DUMMYFUNCTION("""COMPUTED_VALUE"""),"TALLER SFT DE MECÁNICA AUTOMOTRIZ")</f>
        <v>TALLER SFT DE MECÁNICA AUTOMOTRIZ</v>
      </c>
      <c r="D2137" s="213" t="str">
        <f>IFERROR(__xludf.DUMMYFUNCTION("""COMPUTED_VALUE"""),"EQUIPOS")</f>
        <v>EQUIPOS</v>
      </c>
      <c r="E2137" s="213" t="str">
        <f>IFERROR(__xludf.DUMMYFUNCTION("""COMPUTED_VALUE"""),"ESP-312")</f>
        <v>ESP-312</v>
      </c>
      <c r="F2137" s="213" t="str">
        <f>IFERROR(__xludf.DUMMYFUNCTION("""COMPUTED_VALUE"""),"ESP-312")</f>
        <v>ESP-312</v>
      </c>
      <c r="G2137" s="213"/>
      <c r="H2137" s="213" t="str">
        <f>IFERROR(__xludf.DUMMYFUNCTION("""COMPUTED_VALUE"""),"PROBADOR DE CABLES ELÉCTRICOS")</f>
        <v>PROBADOR DE CABLES ELÉCTRICOS</v>
      </c>
      <c r="I2137" s="213" t="str">
        <f>IFERROR(__xludf.DUMMYFUNCTION("""COMPUTED_VALUE"""),"Piloto electrónico, para realizar revisión rápida y precisa al diagnóstico de sistemas eléctricos. Integrado por un multímetro, luz de prueba y linterna.
Realiza pruebas de comprobación de componentes, tierra, control de polaridad, continuidad, entre otro"&amp;"s. Permite la revisión de circuitos en un solo paso.
Localiza cortos rápidos sin perder fusibles. Facilidad para ser usado con una sola mano.")</f>
        <v>Piloto electrónico, para realizar revisión rápida y precisa al diagnóstico de sistemas eléctricos. Integrado por un multímetro, luz de prueba y linterna.
Realiza pruebas de comprobación de componentes, tierra, control de polaridad, continuidad, entre otros. Permite la revisión de circuitos en un solo paso.
Localiza cortos rápidos sin perder fusibles. Facilidad para ser usado con una sola mano.</v>
      </c>
      <c r="J2137" s="213">
        <f>IFERROR(__xludf.DUMMYFUNCTION("""COMPUTED_VALUE"""),3.0)</f>
        <v>3</v>
      </c>
      <c r="K2137" s="213" t="str">
        <f>IFERROR(__xludf.DUMMYFUNCTION("""COMPUTED_VALUE"""),"170 DÍAS CALENDARIO")</f>
        <v>170 DÍAS CALENDARIO</v>
      </c>
      <c r="L2137" s="213" t="str">
        <f>IFERROR(__xludf.DUMMYFUNCTION("""COMPUTED_VALUE"""),"")</f>
        <v/>
      </c>
      <c r="M2137" s="213">
        <f>IFERROR(__xludf.DUMMYFUNCTION("""COMPUTED_VALUE"""),1.0)</f>
        <v>1</v>
      </c>
      <c r="N2137" s="213">
        <f>IFERROR(__xludf.DUMMYFUNCTION("""COMPUTED_VALUE"""),1.0)</f>
        <v>1</v>
      </c>
      <c r="O2137" s="213">
        <f>IFERROR(__xludf.DUMMYFUNCTION("""COMPUTED_VALUE"""),1.0)</f>
        <v>1</v>
      </c>
      <c r="P2137" s="213"/>
      <c r="Q2137" s="213"/>
      <c r="R2137" s="213"/>
      <c r="S2137" s="213" t="str">
        <f>IFERROR(__xludf.DUMMYFUNCTION("""COMPUTED_VALUE"""),"SI")</f>
        <v>SI</v>
      </c>
      <c r="T2137" s="213" t="str">
        <f>IFERROR(__xludf.DUMMYFUNCTION("""COMPUTED_VALUE"""),"SI")</f>
        <v>SI</v>
      </c>
      <c r="U2137" s="213" t="str">
        <f>IFERROR(__xludf.DUMMYFUNCTION("""COMPUTED_VALUE"""),"SI")</f>
        <v>SI</v>
      </c>
      <c r="V2137" s="213" t="str">
        <f>IFERROR(__xludf.DUMMYFUNCTION("""COMPUTED_VALUE"""),"-")</f>
        <v>-</v>
      </c>
      <c r="W2137" s="213" t="str">
        <f>IFERROR(__xludf.DUMMYFUNCTION("""COMPUTED_VALUE"""),"-")</f>
        <v>-</v>
      </c>
      <c r="X2137" s="213" t="str">
        <f>IFERROR(__xludf.DUMMYFUNCTION("""COMPUTED_VALUE"""),"Autel")</f>
        <v>Autel</v>
      </c>
      <c r="Y2137" s="213" t="str">
        <f>IFERROR(__xludf.DUMMYFUNCTION("""COMPUTED_VALUE"""),"PowerScan PS102")</f>
        <v>PowerScan PS102</v>
      </c>
      <c r="Z2137" s="215" t="str">
        <f>IFERROR(__xludf.DUMMYFUNCTION("""COMPUTED_VALUE"""),"https://www.amazon.com/Autel-PowerScan-PS100-alimentaci%C3%B3n-cortocircuito/dp/B0BW48DKFG")</f>
        <v>https://www.amazon.com/Autel-PowerScan-PS100-alimentaci%C3%B3n-cortocircuito/dp/B0BW48DKFG</v>
      </c>
      <c r="AA2137" s="213" t="str">
        <f>IFERROR(__xludf.DUMMYFUNCTION("""COMPUTED_VALUE"""),"ESP-312 PROBADOR DE CABLES ELÉCTRICOS - CET")</f>
        <v>ESP-312 PROBADOR DE CABLES ELÉCTRICOS - CET</v>
      </c>
      <c r="AB2137" s="213"/>
      <c r="AC2137" s="213"/>
      <c r="AD2137" s="213"/>
      <c r="AE2137" s="213"/>
      <c r="AF2137" s="213"/>
      <c r="AG2137" s="213"/>
      <c r="AH2137" s="213" t="str">
        <f>IFERROR(__xludf.DUMMYFUNCTION("""COMPUTED_VALUE"""),"IMPORTADO")</f>
        <v>IMPORTADO</v>
      </c>
      <c r="AI2137" s="213"/>
      <c r="AJ2137" s="213"/>
      <c r="AK2137" s="213"/>
      <c r="AL2137" s="213"/>
      <c r="AM2137" s="213"/>
      <c r="AN2137" s="213"/>
      <c r="AO2137" s="213"/>
      <c r="AP2137" s="213" t="str">
        <f>IFERROR(__xludf.DUMMYFUNCTION("""COMPUTED_VALUE"""),"NALDI")</f>
        <v>NALDI</v>
      </c>
      <c r="AQ2137" s="213"/>
      <c r="AR2137" s="213"/>
      <c r="AS2137" s="213"/>
      <c r="AT2137" s="213"/>
      <c r="AU2137" s="213"/>
      <c r="AV2137" s="213"/>
      <c r="AW2137" s="213"/>
      <c r="AX2137" s="213"/>
      <c r="AY2137" s="213"/>
      <c r="AZ2137" s="213"/>
      <c r="BA2137" s="213"/>
      <c r="BB2137" s="213"/>
      <c r="BC2137" s="213"/>
      <c r="BD2137" s="213"/>
    </row>
    <row r="2138">
      <c r="A2138" s="213">
        <f>IFERROR(__xludf.DUMMYFUNCTION("""COMPUTED_VALUE"""),1647.0)</f>
        <v>1647</v>
      </c>
      <c r="B2138" s="213" t="str">
        <f>IFERROR(__xludf.DUMMYFUNCTION("""COMPUTED_VALUE"""),"GUILLERMO E. BILLINGHURST ")</f>
        <v>GUILLERMO E. BILLINGHURST </v>
      </c>
      <c r="C2138" s="213" t="str">
        <f>IFERROR(__xludf.DUMMYFUNCTION("""COMPUTED_VALUE"""),"TALLER SFT DE MECÁNICA AUTOMOTRIZ")</f>
        <v>TALLER SFT DE MECÁNICA AUTOMOTRIZ</v>
      </c>
      <c r="D2138" s="213" t="str">
        <f>IFERROR(__xludf.DUMMYFUNCTION("""COMPUTED_VALUE"""),"EQUIPOS")</f>
        <v>EQUIPOS</v>
      </c>
      <c r="E2138" s="213" t="str">
        <f>IFERROR(__xludf.DUMMYFUNCTION("""COMPUTED_VALUE"""),"ESP-312")</f>
        <v>ESP-312</v>
      </c>
      <c r="F2138" s="213" t="str">
        <f>IFERROR(__xludf.DUMMYFUNCTION("""COMPUTED_VALUE"""),"ESP-312")</f>
        <v>ESP-312</v>
      </c>
      <c r="G2138" s="213"/>
      <c r="H2138" s="213" t="str">
        <f>IFERROR(__xludf.DUMMYFUNCTION("""COMPUTED_VALUE"""),"PROBADOR DE CABLES ELÉCTRICOS")</f>
        <v>PROBADOR DE CABLES ELÉCTRICOS</v>
      </c>
      <c r="I2138" s="213" t="str">
        <f>IFERROR(__xludf.DUMMYFUNCTION("""COMPUTED_VALUE"""),"Piloto electrónico, para realizar revisión rápida y precisa al diagnóstico de sistemas eléctricos. Integrado por un multímetro, luz de prueba y linterna.
Realiza pruebas de comprobación de componentes, tierra, control de polaridad, continuidad, entre otro"&amp;"s. Permite la revisión de circuitos en un solo paso.
Localiza cortos rápidos sin perder fusibles. Facilidad para ser usado con una sola mano.")</f>
        <v>Piloto electrónico, para realizar revisión rápida y precisa al diagnóstico de sistemas eléctricos. Integrado por un multímetro, luz de prueba y linterna.
Realiza pruebas de comprobación de componentes, tierra, control de polaridad, continuidad, entre otros. Permite la revisión de circuitos en un solo paso.
Localiza cortos rápidos sin perder fusibles. Facilidad para ser usado con una sola mano.</v>
      </c>
      <c r="J2138" s="213">
        <f>IFERROR(__xludf.DUMMYFUNCTION("""COMPUTED_VALUE"""),3.0)</f>
        <v>3</v>
      </c>
      <c r="K2138" s="213" t="str">
        <f>IFERROR(__xludf.DUMMYFUNCTION("""COMPUTED_VALUE"""),"170 DÍAS CALENDARIO")</f>
        <v>170 DÍAS CALENDARIO</v>
      </c>
      <c r="L2138" s="213" t="str">
        <f>IFERROR(__xludf.DUMMYFUNCTION("""COMPUTED_VALUE"""),"")</f>
        <v/>
      </c>
      <c r="M2138" s="213">
        <f>IFERROR(__xludf.DUMMYFUNCTION("""COMPUTED_VALUE"""),1.0)</f>
        <v>1</v>
      </c>
      <c r="N2138" s="213">
        <f>IFERROR(__xludf.DUMMYFUNCTION("""COMPUTED_VALUE"""),1.0)</f>
        <v>1</v>
      </c>
      <c r="O2138" s="213">
        <f>IFERROR(__xludf.DUMMYFUNCTION("""COMPUTED_VALUE"""),1.0)</f>
        <v>1</v>
      </c>
      <c r="P2138" s="213"/>
      <c r="Q2138" s="213"/>
      <c r="R2138" s="213"/>
      <c r="S2138" s="213" t="str">
        <f>IFERROR(__xludf.DUMMYFUNCTION("""COMPUTED_VALUE"""),"SI")</f>
        <v>SI</v>
      </c>
      <c r="T2138" s="213" t="str">
        <f>IFERROR(__xludf.DUMMYFUNCTION("""COMPUTED_VALUE"""),"SI")</f>
        <v>SI</v>
      </c>
      <c r="U2138" s="213" t="str">
        <f>IFERROR(__xludf.DUMMYFUNCTION("""COMPUTED_VALUE"""),"SI")</f>
        <v>SI</v>
      </c>
      <c r="V2138" s="213" t="str">
        <f>IFERROR(__xludf.DUMMYFUNCTION("""COMPUTED_VALUE"""),"-")</f>
        <v>-</v>
      </c>
      <c r="W2138" s="213" t="str">
        <f>IFERROR(__xludf.DUMMYFUNCTION("""COMPUTED_VALUE"""),"-")</f>
        <v>-</v>
      </c>
      <c r="X2138" s="213" t="str">
        <f>IFERROR(__xludf.DUMMYFUNCTION("""COMPUTED_VALUE"""),"Autel")</f>
        <v>Autel</v>
      </c>
      <c r="Y2138" s="213" t="str">
        <f>IFERROR(__xludf.DUMMYFUNCTION("""COMPUTED_VALUE"""),"PowerScan PS100")</f>
        <v>PowerScan PS100</v>
      </c>
      <c r="Z2138" s="215" t="str">
        <f>IFERROR(__xludf.DUMMYFUNCTION("""COMPUTED_VALUE"""),"https://www.amazon.com/Autel-PowerScan-PS100-alimentaci%C3%B3n-cortocircuito/dp/B0BW48DKFG")</f>
        <v>https://www.amazon.com/Autel-PowerScan-PS100-alimentaci%C3%B3n-cortocircuito/dp/B0BW48DKFG</v>
      </c>
      <c r="AA2138" s="213" t="str">
        <f>IFERROR(__xludf.DUMMYFUNCTION("""COMPUTED_VALUE"""),"ESP-312 PROBADOR DE CABLES ELÉCTRICOS - CET")</f>
        <v>ESP-312 PROBADOR DE CABLES ELÉCTRICOS - CET</v>
      </c>
      <c r="AB2138" s="213"/>
      <c r="AC2138" s="213"/>
      <c r="AD2138" s="213"/>
      <c r="AE2138" s="213"/>
      <c r="AF2138" s="213"/>
      <c r="AG2138" s="213"/>
      <c r="AH2138" s="213" t="str">
        <f>IFERROR(__xludf.DUMMYFUNCTION("""COMPUTED_VALUE"""),"IMPORTADO")</f>
        <v>IMPORTADO</v>
      </c>
      <c r="AI2138" s="213"/>
      <c r="AJ2138" s="213"/>
      <c r="AK2138" s="213"/>
      <c r="AL2138" s="213"/>
      <c r="AM2138" s="213"/>
      <c r="AN2138" s="213"/>
      <c r="AO2138" s="213"/>
      <c r="AP2138" s="213" t="str">
        <f>IFERROR(__xludf.DUMMYFUNCTION("""COMPUTED_VALUE"""),"NALDI")</f>
        <v>NALDI</v>
      </c>
      <c r="AQ2138" s="213"/>
      <c r="AR2138" s="213"/>
      <c r="AS2138" s="213"/>
      <c r="AT2138" s="213"/>
      <c r="AU2138" s="213"/>
      <c r="AV2138" s="213"/>
      <c r="AW2138" s="213"/>
      <c r="AX2138" s="213"/>
      <c r="AY2138" s="213"/>
      <c r="AZ2138" s="213"/>
      <c r="BA2138" s="213"/>
      <c r="BB2138" s="213"/>
      <c r="BC2138" s="213"/>
      <c r="BD2138" s="213"/>
    </row>
    <row r="2139">
      <c r="A2139" s="213">
        <f>IFERROR(__xludf.DUMMYFUNCTION("""COMPUTED_VALUE"""),2338.0)</f>
        <v>2338</v>
      </c>
      <c r="B2139" s="213" t="str">
        <f>IFERROR(__xludf.DUMMYFUNCTION("""COMPUTED_VALUE"""),"JOSE GRANDA")</f>
        <v>JOSE GRANDA</v>
      </c>
      <c r="C2139" s="213" t="str">
        <f>IFERROR(__xludf.DUMMYFUNCTION("""COMPUTED_VALUE"""),"TALLER SFT DE MECÁNICA AUTOMOTRIZ")</f>
        <v>TALLER SFT DE MECÁNICA AUTOMOTRIZ</v>
      </c>
      <c r="D2139" s="213" t="str">
        <f>IFERROR(__xludf.DUMMYFUNCTION("""COMPUTED_VALUE"""),"EQUIPOS")</f>
        <v>EQUIPOS</v>
      </c>
      <c r="E2139" s="213" t="str">
        <f>IFERROR(__xludf.DUMMYFUNCTION("""COMPUTED_VALUE"""),"ESP-312")</f>
        <v>ESP-312</v>
      </c>
      <c r="F2139" s="213" t="str">
        <f>IFERROR(__xludf.DUMMYFUNCTION("""COMPUTED_VALUE"""),"ESP-312")</f>
        <v>ESP-312</v>
      </c>
      <c r="G2139" s="213"/>
      <c r="H2139" s="213" t="str">
        <f>IFERROR(__xludf.DUMMYFUNCTION("""COMPUTED_VALUE"""),"PROBADOR DE CABLES ELÉCTRICOS")</f>
        <v>PROBADOR DE CABLES ELÉCTRICOS</v>
      </c>
      <c r="I2139" s="213" t="str">
        <f>IFERROR(__xludf.DUMMYFUNCTION("""COMPUTED_VALUE"""),"Piloto electrónico, para realizar revisión rápida y precisa al diagnóstico de sistemas eléctricos. Integrado por un multímetro, luz de prueba y linterna.
Realiza pruebas de comprobación de componentes, tierra, control de polaridad, continuidad, entre otro"&amp;"s. Permite la revisión de circuitos en un solo paso.
Localiza cortos rápidos sin perder fusibles. Facilidad para ser usado con una sola mano.")</f>
        <v>Piloto electrónico, para realizar revisión rápida y precisa al diagnóstico de sistemas eléctricos. Integrado por un multímetro, luz de prueba y linterna.
Realiza pruebas de comprobación de componentes, tierra, control de polaridad, continuidad, entre otros. Permite la revisión de circuitos en un solo paso.
Localiza cortos rápidos sin perder fusibles. Facilidad para ser usado con una sola mano.</v>
      </c>
      <c r="J2139" s="213">
        <f>IFERROR(__xludf.DUMMYFUNCTION("""COMPUTED_VALUE"""),3.0)</f>
        <v>3</v>
      </c>
      <c r="K2139" s="213" t="str">
        <f>IFERROR(__xludf.DUMMYFUNCTION("""COMPUTED_VALUE"""),"170 DÍAS CALENDARIO")</f>
        <v>170 DÍAS CALENDARIO</v>
      </c>
      <c r="L2139" s="213" t="str">
        <f>IFERROR(__xludf.DUMMYFUNCTION("""COMPUTED_VALUE"""),"")</f>
        <v/>
      </c>
      <c r="M2139" s="213">
        <f>IFERROR(__xludf.DUMMYFUNCTION("""COMPUTED_VALUE"""),1.0)</f>
        <v>1</v>
      </c>
      <c r="N2139" s="213">
        <f>IFERROR(__xludf.DUMMYFUNCTION("""COMPUTED_VALUE"""),1.0)</f>
        <v>1</v>
      </c>
      <c r="O2139" s="213">
        <f>IFERROR(__xludf.DUMMYFUNCTION("""COMPUTED_VALUE"""),1.0)</f>
        <v>1</v>
      </c>
      <c r="P2139" s="213"/>
      <c r="Q2139" s="213"/>
      <c r="R2139" s="213"/>
      <c r="S2139" s="213" t="str">
        <f>IFERROR(__xludf.DUMMYFUNCTION("""COMPUTED_VALUE"""),"SI")</f>
        <v>SI</v>
      </c>
      <c r="T2139" s="213" t="str">
        <f>IFERROR(__xludf.DUMMYFUNCTION("""COMPUTED_VALUE"""),"SI")</f>
        <v>SI</v>
      </c>
      <c r="U2139" s="213" t="str">
        <f>IFERROR(__xludf.DUMMYFUNCTION("""COMPUTED_VALUE"""),"SI")</f>
        <v>SI</v>
      </c>
      <c r="V2139" s="213" t="str">
        <f>IFERROR(__xludf.DUMMYFUNCTION("""COMPUTED_VALUE"""),"-")</f>
        <v>-</v>
      </c>
      <c r="W2139" s="213" t="str">
        <f>IFERROR(__xludf.DUMMYFUNCTION("""COMPUTED_VALUE"""),"-")</f>
        <v>-</v>
      </c>
      <c r="X2139" s="213" t="str">
        <f>IFERROR(__xludf.DUMMYFUNCTION("""COMPUTED_VALUE"""),"Autel")</f>
        <v>Autel</v>
      </c>
      <c r="Y2139" s="213" t="str">
        <f>IFERROR(__xludf.DUMMYFUNCTION("""COMPUTED_VALUE"""),"PowerScan PS101")</f>
        <v>PowerScan PS101</v>
      </c>
      <c r="Z2139" s="215" t="str">
        <f>IFERROR(__xludf.DUMMYFUNCTION("""COMPUTED_VALUE"""),"https://www.amazon.com/Autel-PowerScan-PS100-alimentaci%C3%B3n-cortocircuito/dp/B0BW48DKFG")</f>
        <v>https://www.amazon.com/Autel-PowerScan-PS100-alimentaci%C3%B3n-cortocircuito/dp/B0BW48DKFG</v>
      </c>
      <c r="AA2139" s="213" t="str">
        <f>IFERROR(__xludf.DUMMYFUNCTION("""COMPUTED_VALUE"""),"ESP-312 PROBADOR DE CABLES ELÉCTRICOS - CET")</f>
        <v>ESP-312 PROBADOR DE CABLES ELÉCTRICOS - CET</v>
      </c>
      <c r="AB2139" s="213"/>
      <c r="AC2139" s="213"/>
      <c r="AD2139" s="213"/>
      <c r="AE2139" s="213"/>
      <c r="AF2139" s="213"/>
      <c r="AG2139" s="213"/>
      <c r="AH2139" s="213" t="str">
        <f>IFERROR(__xludf.DUMMYFUNCTION("""COMPUTED_VALUE"""),"IMPORTADO")</f>
        <v>IMPORTADO</v>
      </c>
      <c r="AI2139" s="213"/>
      <c r="AJ2139" s="213"/>
      <c r="AK2139" s="213"/>
      <c r="AL2139" s="213"/>
      <c r="AM2139" s="213"/>
      <c r="AN2139" s="213"/>
      <c r="AO2139" s="213"/>
      <c r="AP2139" s="213" t="str">
        <f>IFERROR(__xludf.DUMMYFUNCTION("""COMPUTED_VALUE"""),"NALDI")</f>
        <v>NALDI</v>
      </c>
      <c r="AQ2139" s="213"/>
      <c r="AR2139" s="213"/>
      <c r="AS2139" s="213"/>
      <c r="AT2139" s="213"/>
      <c r="AU2139" s="213"/>
      <c r="AV2139" s="213"/>
      <c r="AW2139" s="213"/>
      <c r="AX2139" s="213"/>
      <c r="AY2139" s="213"/>
      <c r="AZ2139" s="213"/>
      <c r="BA2139" s="213"/>
      <c r="BB2139" s="213"/>
      <c r="BC2139" s="213"/>
      <c r="BD2139" s="213"/>
    </row>
    <row r="2140">
      <c r="A2140" s="213">
        <f>IFERROR(__xludf.DUMMYFUNCTION("""COMPUTED_VALUE"""),1047.0)</f>
        <v>1047</v>
      </c>
      <c r="B2140" s="213" t="str">
        <f>IFERROR(__xludf.DUMMYFUNCTION("""COMPUTED_VALUE"""),"FRANCISCO IRAZOLA")</f>
        <v>FRANCISCO IRAZOLA</v>
      </c>
      <c r="C2140" s="213" t="str">
        <f>IFERROR(__xludf.DUMMYFUNCTION("""COMPUTED_VALUE"""),"TALLER SFT DE MECÁNICA AUTOMOTRIZ")</f>
        <v>TALLER SFT DE MECÁNICA AUTOMOTRIZ</v>
      </c>
      <c r="D2140" s="213" t="str">
        <f>IFERROR(__xludf.DUMMYFUNCTION("""COMPUTED_VALUE"""),"EQUIPOS")</f>
        <v>EQUIPOS</v>
      </c>
      <c r="E2140" s="213" t="str">
        <f>IFERROR(__xludf.DUMMYFUNCTION("""COMPUTED_VALUE"""),"ESP-313")</f>
        <v>ESP-313</v>
      </c>
      <c r="F2140" s="213" t="str">
        <f>IFERROR(__xludf.DUMMYFUNCTION("""COMPUTED_VALUE"""),"ESP-313")</f>
        <v>ESP-313</v>
      </c>
      <c r="G2140" s="213"/>
      <c r="H2140" s="213" t="str">
        <f>IFERROR(__xludf.DUMMYFUNCTION("""COMPUTED_VALUE"""),"PROBADOR DE PRESIÓN DE COMBUSTIBLE")</f>
        <v>PROBADOR DE PRESIÓN DE COMBUSTIBLE</v>
      </c>
      <c r="I2140" s="213" t="str">
        <f>IFERROR(__xludf.DUMMYFUNCTION("""COMPUTED_VALUE"""),"Posee manómetro de presión de combustible con escala de mínimo 0-100 PSI. Manómetro con gancho u otro sitema que permita tener las manos libres
Con Válvula de alivio de presión.
Incluye varios adaptadores para los diferentes sistemas de líneas e combustib"&amp;"le, mangueras, derivaciones tipo ""T"", Etc.
El kit debe venir en un maletín o similara para su adecuado almacenamiento y conservación.")</f>
        <v>Posee manómetro de presión de combustible con escala de mínimo 0-100 PSI. Manómetro con gancho u otro sitema que permita tener las manos libres
Con Válvula de alivio de presión.
Incluye varios adaptadores para los diferentes sistemas de líneas e combustible, mangueras, derivaciones tipo "T", Etc.
El kit debe venir en un maletín o similara para su adecuado almacenamiento y conservación.</v>
      </c>
      <c r="J2140" s="213">
        <f>IFERROR(__xludf.DUMMYFUNCTION("""COMPUTED_VALUE"""),3.0)</f>
        <v>3</v>
      </c>
      <c r="K2140" s="213" t="str">
        <f>IFERROR(__xludf.DUMMYFUNCTION("""COMPUTED_VALUE"""),"170 DÍAS CALENDARIO")</f>
        <v>170 DÍAS CALENDARIO</v>
      </c>
      <c r="L2140" s="213" t="str">
        <f>IFERROR(__xludf.DUMMYFUNCTION("""COMPUTED_VALUE"""),"")</f>
        <v/>
      </c>
      <c r="M2140" s="213">
        <f>IFERROR(__xludf.DUMMYFUNCTION("""COMPUTED_VALUE"""),1.0)</f>
        <v>1</v>
      </c>
      <c r="N2140" s="213">
        <f>IFERROR(__xludf.DUMMYFUNCTION("""COMPUTED_VALUE"""),1.0)</f>
        <v>1</v>
      </c>
      <c r="O2140" s="213">
        <f>IFERROR(__xludf.DUMMYFUNCTION("""COMPUTED_VALUE"""),1.0)</f>
        <v>1</v>
      </c>
      <c r="P2140" s="213"/>
      <c r="Q2140" s="213"/>
      <c r="R2140" s="213"/>
      <c r="S2140" s="213" t="str">
        <f>IFERROR(__xludf.DUMMYFUNCTION("""COMPUTED_VALUE"""),"SI")</f>
        <v>SI</v>
      </c>
      <c r="T2140" s="213" t="str">
        <f>IFERROR(__xludf.DUMMYFUNCTION("""COMPUTED_VALUE"""),"SI")</f>
        <v>SI</v>
      </c>
      <c r="U2140" s="213" t="str">
        <f>IFERROR(__xludf.DUMMYFUNCTION("""COMPUTED_VALUE"""),"SI")</f>
        <v>SI</v>
      </c>
      <c r="V2140" s="213" t="str">
        <f>IFERROR(__xludf.DUMMYFUNCTION("""COMPUTED_VALUE"""),"-")</f>
        <v>-</v>
      </c>
      <c r="W2140" s="213" t="str">
        <f>IFERROR(__xludf.DUMMYFUNCTION("""COMPUTED_VALUE"""),"-")</f>
        <v>-</v>
      </c>
      <c r="X2140" s="213" t="str">
        <f>IFERROR(__xludf.DUMMYFUNCTION("""COMPUTED_VALUE"""),"Genérico")</f>
        <v>Genérico</v>
      </c>
      <c r="Y2140" s="213" t="str">
        <f>IFERROR(__xludf.DUMMYFUNCTION("""COMPUTED_VALUE"""),"7005 - MEDIDOR DE PRESIÓN DE BOMBA DE GASOLINA COMPLETO")</f>
        <v>7005 - MEDIDOR DE PRESIÓN DE BOMBA DE GASOLINA COMPLETO</v>
      </c>
      <c r="Z2140" s="213" t="str">
        <f>IFERROR(__xludf.DUMMYFUNCTION("""COMPUTED_VALUE"""),"https://www.edipesa.com.pe/tienda/taller-automotriz/big-red-medidor-presion-trhs-a1011/
https://www.pronellomaquinarias.com/product-page/medidor-de-presi%C3%B3n-de-bomba-de-gasolinacompleto?srsltid=AfmBOorT8npyLD9QgkxG4dX6RG5IlfDGNUXSOfeiyvAzFL2oihdl9L80")</f>
        <v>https://www.edipesa.com.pe/tienda/taller-automotriz/big-red-medidor-presion-trhs-a1011/
https://www.pronellomaquinarias.com/product-page/medidor-de-presi%C3%B3n-de-bomba-de-gasolinacompleto?srsltid=AfmBOorT8npyLD9QgkxG4dX6RG5IlfDGNUXSOfeiyvAzFL2oihdl9L80</v>
      </c>
      <c r="AA2140" s="213" t="str">
        <f>IFERROR(__xludf.DUMMYFUNCTION("""COMPUTED_VALUE"""),"ESP-313 PROBADOR DE PRESIÓN DE COMBUSTIBLE - CET")</f>
        <v>ESP-313 PROBADOR DE PRESIÓN DE COMBUSTIBLE - CET</v>
      </c>
      <c r="AB2140" s="213"/>
      <c r="AC2140" s="213"/>
      <c r="AD2140" s="213"/>
      <c r="AE2140" s="213"/>
      <c r="AF2140" s="213"/>
      <c r="AG2140" s="213"/>
      <c r="AH2140" s="213" t="str">
        <f>IFERROR(__xludf.DUMMYFUNCTION("""COMPUTED_VALUE"""),"NACIONAL")</f>
        <v>NACIONAL</v>
      </c>
      <c r="AI2140" s="213"/>
      <c r="AJ2140" s="213"/>
      <c r="AK2140" s="213"/>
      <c r="AL2140" s="213"/>
      <c r="AM2140" s="213"/>
      <c r="AN2140" s="213"/>
      <c r="AO2140" s="213"/>
      <c r="AP2140" s="213" t="str">
        <f>IFERROR(__xludf.DUMMYFUNCTION("""COMPUTED_VALUE"""),"NALDI")</f>
        <v>NALDI</v>
      </c>
      <c r="AQ2140" s="213"/>
      <c r="AR2140" s="213"/>
      <c r="AS2140" s="213"/>
      <c r="AT2140" s="213"/>
      <c r="AU2140" s="213"/>
      <c r="AV2140" s="213"/>
      <c r="AW2140" s="213"/>
      <c r="AX2140" s="213"/>
      <c r="AY2140" s="213"/>
      <c r="AZ2140" s="213"/>
      <c r="BA2140" s="213"/>
      <c r="BB2140" s="213"/>
      <c r="BC2140" s="213"/>
      <c r="BD2140" s="213"/>
    </row>
    <row r="2141">
      <c r="A2141" s="213">
        <f>IFERROR(__xludf.DUMMYFUNCTION("""COMPUTED_VALUE"""),1652.0)</f>
        <v>1652</v>
      </c>
      <c r="B2141" s="213" t="str">
        <f>IFERROR(__xludf.DUMMYFUNCTION("""COMPUTED_VALUE"""),"GUILLERMO E. BILLINGHURST ")</f>
        <v>GUILLERMO E. BILLINGHURST </v>
      </c>
      <c r="C2141" s="213" t="str">
        <f>IFERROR(__xludf.DUMMYFUNCTION("""COMPUTED_VALUE"""),"TALLER SFT DE MECÁNICA AUTOMOTRIZ")</f>
        <v>TALLER SFT DE MECÁNICA AUTOMOTRIZ</v>
      </c>
      <c r="D2141" s="213" t="str">
        <f>IFERROR(__xludf.DUMMYFUNCTION("""COMPUTED_VALUE"""),"EQUIPOS")</f>
        <v>EQUIPOS</v>
      </c>
      <c r="E2141" s="213" t="str">
        <f>IFERROR(__xludf.DUMMYFUNCTION("""COMPUTED_VALUE"""),"ESP-313")</f>
        <v>ESP-313</v>
      </c>
      <c r="F2141" s="213" t="str">
        <f>IFERROR(__xludf.DUMMYFUNCTION("""COMPUTED_VALUE"""),"ESP-313")</f>
        <v>ESP-313</v>
      </c>
      <c r="G2141" s="213"/>
      <c r="H2141" s="213" t="str">
        <f>IFERROR(__xludf.DUMMYFUNCTION("""COMPUTED_VALUE"""),"PROBADOR DE PRESIÓN DE COMBUSTIBLE")</f>
        <v>PROBADOR DE PRESIÓN DE COMBUSTIBLE</v>
      </c>
      <c r="I2141" s="213" t="str">
        <f>IFERROR(__xludf.DUMMYFUNCTION("""COMPUTED_VALUE"""),"Posee manómetro de presión de combustible con escala de mínimo 0-100 PSI. Manómetro con gancho u otro sitema que permita tener las manos libres
Con Válvula de alivio de presión.
Incluye varios adaptadores para los diferentes sistemas de líneas e combustib"&amp;"le, mangueras, derivaciones tipo ""T"", Etc.
El kit debe venir en un maletín o similara para su adecuado almacenamiento y conservación.")</f>
        <v>Posee manómetro de presión de combustible con escala de mínimo 0-100 PSI. Manómetro con gancho u otro sitema que permita tener las manos libres
Con Válvula de alivio de presión.
Incluye varios adaptadores para los diferentes sistemas de líneas e combustible, mangueras, derivaciones tipo "T", Etc.
El kit debe venir en un maletín o similara para su adecuado almacenamiento y conservación.</v>
      </c>
      <c r="J2141" s="213">
        <f>IFERROR(__xludf.DUMMYFUNCTION("""COMPUTED_VALUE"""),3.0)</f>
        <v>3</v>
      </c>
      <c r="K2141" s="213" t="str">
        <f>IFERROR(__xludf.DUMMYFUNCTION("""COMPUTED_VALUE"""),"170 DÍAS CALENDARIO")</f>
        <v>170 DÍAS CALENDARIO</v>
      </c>
      <c r="L2141" s="213" t="str">
        <f>IFERROR(__xludf.DUMMYFUNCTION("""COMPUTED_VALUE"""),"")</f>
        <v/>
      </c>
      <c r="M2141" s="213">
        <f>IFERROR(__xludf.DUMMYFUNCTION("""COMPUTED_VALUE"""),1.0)</f>
        <v>1</v>
      </c>
      <c r="N2141" s="213">
        <f>IFERROR(__xludf.DUMMYFUNCTION("""COMPUTED_VALUE"""),1.0)</f>
        <v>1</v>
      </c>
      <c r="O2141" s="213">
        <f>IFERROR(__xludf.DUMMYFUNCTION("""COMPUTED_VALUE"""),1.0)</f>
        <v>1</v>
      </c>
      <c r="P2141" s="213"/>
      <c r="Q2141" s="213"/>
      <c r="R2141" s="213"/>
      <c r="S2141" s="213" t="str">
        <f>IFERROR(__xludf.DUMMYFUNCTION("""COMPUTED_VALUE"""),"SI")</f>
        <v>SI</v>
      </c>
      <c r="T2141" s="213" t="str">
        <f>IFERROR(__xludf.DUMMYFUNCTION("""COMPUTED_VALUE"""),"SI")</f>
        <v>SI</v>
      </c>
      <c r="U2141" s="213" t="str">
        <f>IFERROR(__xludf.DUMMYFUNCTION("""COMPUTED_VALUE"""),"SI")</f>
        <v>SI</v>
      </c>
      <c r="V2141" s="213" t="str">
        <f>IFERROR(__xludf.DUMMYFUNCTION("""COMPUTED_VALUE"""),"-")</f>
        <v>-</v>
      </c>
      <c r="W2141" s="213" t="str">
        <f>IFERROR(__xludf.DUMMYFUNCTION("""COMPUTED_VALUE"""),"-")</f>
        <v>-</v>
      </c>
      <c r="X2141" s="213" t="str">
        <f>IFERROR(__xludf.DUMMYFUNCTION("""COMPUTED_VALUE"""),"Genérico")</f>
        <v>Genérico</v>
      </c>
      <c r="Y2141" s="213" t="str">
        <f>IFERROR(__xludf.DUMMYFUNCTION("""COMPUTED_VALUE"""),"7006 - MEDIDOR DE PRESIÓN DE BOMBA DE GASOLINA COMPLETO")</f>
        <v>7006 - MEDIDOR DE PRESIÓN DE BOMBA DE GASOLINA COMPLETO</v>
      </c>
      <c r="Z2141" s="213" t="str">
        <f>IFERROR(__xludf.DUMMYFUNCTION("""COMPUTED_VALUE"""),"https://www.edipesa.com.pe/tienda/taller-automotriz/big-red-medidor-presion-trhs-a1011/
https://www.pronellomaquinarias.com/product-page/medidor-de-presi%C3%B3n-de-bomba-de-gasolinacompleto?srsltid=AfmBOorT8npyLD9QgkxG4dX6RG5IlfDGNUXSOfeiyvAzFL2oihdl9L80")</f>
        <v>https://www.edipesa.com.pe/tienda/taller-automotriz/big-red-medidor-presion-trhs-a1011/
https://www.pronellomaquinarias.com/product-page/medidor-de-presi%C3%B3n-de-bomba-de-gasolinacompleto?srsltid=AfmBOorT8npyLD9QgkxG4dX6RG5IlfDGNUXSOfeiyvAzFL2oihdl9L80</v>
      </c>
      <c r="AA2141" s="213" t="str">
        <f>IFERROR(__xludf.DUMMYFUNCTION("""COMPUTED_VALUE"""),"ESP-313 PROBADOR DE PRESIÓN DE COMBUSTIBLE - CET")</f>
        <v>ESP-313 PROBADOR DE PRESIÓN DE COMBUSTIBLE - CET</v>
      </c>
      <c r="AB2141" s="213"/>
      <c r="AC2141" s="213"/>
      <c r="AD2141" s="213"/>
      <c r="AE2141" s="213"/>
      <c r="AF2141" s="213"/>
      <c r="AG2141" s="213"/>
      <c r="AH2141" s="213" t="str">
        <f>IFERROR(__xludf.DUMMYFUNCTION("""COMPUTED_VALUE"""),"NACIONAL")</f>
        <v>NACIONAL</v>
      </c>
      <c r="AI2141" s="213"/>
      <c r="AJ2141" s="213"/>
      <c r="AK2141" s="213"/>
      <c r="AL2141" s="213"/>
      <c r="AM2141" s="213"/>
      <c r="AN2141" s="213"/>
      <c r="AO2141" s="213"/>
      <c r="AP2141" s="213" t="str">
        <f>IFERROR(__xludf.DUMMYFUNCTION("""COMPUTED_VALUE"""),"NALDI")</f>
        <v>NALDI</v>
      </c>
      <c r="AQ2141" s="213"/>
      <c r="AR2141" s="213"/>
      <c r="AS2141" s="213"/>
      <c r="AT2141" s="213"/>
      <c r="AU2141" s="213"/>
      <c r="AV2141" s="213"/>
      <c r="AW2141" s="213"/>
      <c r="AX2141" s="213"/>
      <c r="AY2141" s="213"/>
      <c r="AZ2141" s="213"/>
      <c r="BA2141" s="213"/>
      <c r="BB2141" s="213"/>
      <c r="BC2141" s="213"/>
      <c r="BD2141" s="213"/>
    </row>
    <row r="2142">
      <c r="A2142" s="213">
        <f>IFERROR(__xludf.DUMMYFUNCTION("""COMPUTED_VALUE"""),2343.0)</f>
        <v>2343</v>
      </c>
      <c r="B2142" s="213" t="str">
        <f>IFERROR(__xludf.DUMMYFUNCTION("""COMPUTED_VALUE"""),"JOSE GRANDA")</f>
        <v>JOSE GRANDA</v>
      </c>
      <c r="C2142" s="213" t="str">
        <f>IFERROR(__xludf.DUMMYFUNCTION("""COMPUTED_VALUE"""),"TALLER SFT DE MECÁNICA AUTOMOTRIZ")</f>
        <v>TALLER SFT DE MECÁNICA AUTOMOTRIZ</v>
      </c>
      <c r="D2142" s="213" t="str">
        <f>IFERROR(__xludf.DUMMYFUNCTION("""COMPUTED_VALUE"""),"EQUIPOS")</f>
        <v>EQUIPOS</v>
      </c>
      <c r="E2142" s="213" t="str">
        <f>IFERROR(__xludf.DUMMYFUNCTION("""COMPUTED_VALUE"""),"ESP-313")</f>
        <v>ESP-313</v>
      </c>
      <c r="F2142" s="213" t="str">
        <f>IFERROR(__xludf.DUMMYFUNCTION("""COMPUTED_VALUE"""),"ESP-313")</f>
        <v>ESP-313</v>
      </c>
      <c r="G2142" s="213"/>
      <c r="H2142" s="213" t="str">
        <f>IFERROR(__xludf.DUMMYFUNCTION("""COMPUTED_VALUE"""),"PROBADOR DE PRESIÓN DE COMBUSTIBLE")</f>
        <v>PROBADOR DE PRESIÓN DE COMBUSTIBLE</v>
      </c>
      <c r="I2142" s="213" t="str">
        <f>IFERROR(__xludf.DUMMYFUNCTION("""COMPUTED_VALUE"""),"Posee manómetro de presión de combustible con escala de mínimo 0-100 PSI. Manómetro con gancho u otro sitema que permita tener las manos libres
Con Válvula de alivio de presión.
Incluye varios adaptadores para los diferentes sistemas de líneas e combustib"&amp;"le, mangueras, derivaciones tipo ""T"", Etc.
El kit debe venir en un maletín o similara para su adecuado almacenamiento y conservación.")</f>
        <v>Posee manómetro de presión de combustible con escala de mínimo 0-100 PSI. Manómetro con gancho u otro sitema que permita tener las manos libres
Con Válvula de alivio de presión.
Incluye varios adaptadores para los diferentes sistemas de líneas e combustible, mangueras, derivaciones tipo "T", Etc.
El kit debe venir en un maletín o similara para su adecuado almacenamiento y conservación.</v>
      </c>
      <c r="J2142" s="213">
        <f>IFERROR(__xludf.DUMMYFUNCTION("""COMPUTED_VALUE"""),3.0)</f>
        <v>3</v>
      </c>
      <c r="K2142" s="213" t="str">
        <f>IFERROR(__xludf.DUMMYFUNCTION("""COMPUTED_VALUE"""),"170 DÍAS CALENDARIO")</f>
        <v>170 DÍAS CALENDARIO</v>
      </c>
      <c r="L2142" s="213" t="str">
        <f>IFERROR(__xludf.DUMMYFUNCTION("""COMPUTED_VALUE"""),"")</f>
        <v/>
      </c>
      <c r="M2142" s="213">
        <f>IFERROR(__xludf.DUMMYFUNCTION("""COMPUTED_VALUE"""),1.0)</f>
        <v>1</v>
      </c>
      <c r="N2142" s="213">
        <f>IFERROR(__xludf.DUMMYFUNCTION("""COMPUTED_VALUE"""),1.0)</f>
        <v>1</v>
      </c>
      <c r="O2142" s="213">
        <f>IFERROR(__xludf.DUMMYFUNCTION("""COMPUTED_VALUE"""),1.0)</f>
        <v>1</v>
      </c>
      <c r="P2142" s="213"/>
      <c r="Q2142" s="213"/>
      <c r="R2142" s="213"/>
      <c r="S2142" s="213" t="str">
        <f>IFERROR(__xludf.DUMMYFUNCTION("""COMPUTED_VALUE"""),"SI")</f>
        <v>SI</v>
      </c>
      <c r="T2142" s="213" t="str">
        <f>IFERROR(__xludf.DUMMYFUNCTION("""COMPUTED_VALUE"""),"SI")</f>
        <v>SI</v>
      </c>
      <c r="U2142" s="213" t="str">
        <f>IFERROR(__xludf.DUMMYFUNCTION("""COMPUTED_VALUE"""),"SI")</f>
        <v>SI</v>
      </c>
      <c r="V2142" s="213" t="str">
        <f>IFERROR(__xludf.DUMMYFUNCTION("""COMPUTED_VALUE"""),"-")</f>
        <v>-</v>
      </c>
      <c r="W2142" s="213" t="str">
        <f>IFERROR(__xludf.DUMMYFUNCTION("""COMPUTED_VALUE"""),"-")</f>
        <v>-</v>
      </c>
      <c r="X2142" s="213" t="str">
        <f>IFERROR(__xludf.DUMMYFUNCTION("""COMPUTED_VALUE"""),"Genérico")</f>
        <v>Genérico</v>
      </c>
      <c r="Y2142" s="213" t="str">
        <f>IFERROR(__xludf.DUMMYFUNCTION("""COMPUTED_VALUE"""),"7007 - MEDIDOR DE PRESIÓN DE BOMBA DE GASOLINA COMPLETO")</f>
        <v>7007 - MEDIDOR DE PRESIÓN DE BOMBA DE GASOLINA COMPLETO</v>
      </c>
      <c r="Z2142" s="213" t="str">
        <f>IFERROR(__xludf.DUMMYFUNCTION("""COMPUTED_VALUE"""),"https://www.edipesa.com.pe/tienda/taller-automotriz/big-red-medidor-presion-trhs-a1011/
https://www.pronellomaquinarias.com/product-page/medidor-de-presi%C3%B3n-de-bomba-de-gasolinacompleto?srsltid=AfmBOorT8npyLD9QgkxG4dX6RG5IlfDGNUXSOfeiyvAzFL2oihdl9L80")</f>
        <v>https://www.edipesa.com.pe/tienda/taller-automotriz/big-red-medidor-presion-trhs-a1011/
https://www.pronellomaquinarias.com/product-page/medidor-de-presi%C3%B3n-de-bomba-de-gasolinacompleto?srsltid=AfmBOorT8npyLD9QgkxG4dX6RG5IlfDGNUXSOfeiyvAzFL2oihdl9L80</v>
      </c>
      <c r="AA2142" s="213" t="str">
        <f>IFERROR(__xludf.DUMMYFUNCTION("""COMPUTED_VALUE"""),"ESP-313 PROBADOR DE PRESIÓN DE COMBUSTIBLE - CET")</f>
        <v>ESP-313 PROBADOR DE PRESIÓN DE COMBUSTIBLE - CET</v>
      </c>
      <c r="AB2142" s="213"/>
      <c r="AC2142" s="213"/>
      <c r="AD2142" s="213"/>
      <c r="AE2142" s="213"/>
      <c r="AF2142" s="213"/>
      <c r="AG2142" s="213"/>
      <c r="AH2142" s="213" t="str">
        <f>IFERROR(__xludf.DUMMYFUNCTION("""COMPUTED_VALUE"""),"NACIONAL")</f>
        <v>NACIONAL</v>
      </c>
      <c r="AI2142" s="213"/>
      <c r="AJ2142" s="213"/>
      <c r="AK2142" s="213"/>
      <c r="AL2142" s="213"/>
      <c r="AM2142" s="213"/>
      <c r="AN2142" s="213"/>
      <c r="AO2142" s="213"/>
      <c r="AP2142" s="213" t="str">
        <f>IFERROR(__xludf.DUMMYFUNCTION("""COMPUTED_VALUE"""),"NALDI")</f>
        <v>NALDI</v>
      </c>
      <c r="AQ2142" s="213"/>
      <c r="AR2142" s="213"/>
      <c r="AS2142" s="213"/>
      <c r="AT2142" s="213"/>
      <c r="AU2142" s="213"/>
      <c r="AV2142" s="213"/>
      <c r="AW2142" s="213"/>
      <c r="AX2142" s="213"/>
      <c r="AY2142" s="213"/>
      <c r="AZ2142" s="213"/>
      <c r="BA2142" s="213"/>
      <c r="BB2142" s="213"/>
      <c r="BC2142" s="213"/>
      <c r="BD2142" s="213"/>
    </row>
    <row r="2143">
      <c r="A2143" s="213">
        <f>IFERROR(__xludf.DUMMYFUNCTION("""COMPUTED_VALUE"""),1048.0)</f>
        <v>1048</v>
      </c>
      <c r="B2143" s="213" t="str">
        <f>IFERROR(__xludf.DUMMYFUNCTION("""COMPUTED_VALUE"""),"FRANCISCO IRAZOLA")</f>
        <v>FRANCISCO IRAZOLA</v>
      </c>
      <c r="C2143" s="213" t="str">
        <f>IFERROR(__xludf.DUMMYFUNCTION("""COMPUTED_VALUE"""),"TALLER SFT DE MECÁNICA AUTOMOTRIZ")</f>
        <v>TALLER SFT DE MECÁNICA AUTOMOTRIZ</v>
      </c>
      <c r="D2143" s="213" t="str">
        <f>IFERROR(__xludf.DUMMYFUNCTION("""COMPUTED_VALUE"""),"EQUIPOS")</f>
        <v>EQUIPOS</v>
      </c>
      <c r="E2143" s="213" t="str">
        <f>IFERROR(__xludf.DUMMYFUNCTION("""COMPUTED_VALUE"""),"ESP-314")</f>
        <v>ESP-314</v>
      </c>
      <c r="F2143" s="213" t="str">
        <f>IFERROR(__xludf.DUMMYFUNCTION("""COMPUTED_VALUE"""),"ESP-314")</f>
        <v>ESP-314</v>
      </c>
      <c r="G2143" s="213"/>
      <c r="H2143" s="213" t="str">
        <f>IFERROR(__xludf.DUMMYFUNCTION("""COMPUTED_VALUE"""),"PROBADORES DE PRESIÓN Y VACÍO")</f>
        <v>PROBADORES DE PRESIÓN Y VACÍO</v>
      </c>
      <c r="I2143" s="213" t="str">
        <f>IFERROR(__xludf.DUMMYFUNCTION("""COMPUTED_VALUE"""),"Kit para probar líneas y componentes de vacío.
kit con varios adaptadores, para la mayoría de las aplicaciones. Posee manómetro para lectura de vacío
Rango mínimo de medición de vacío: 0-60 cmHg Rango mínimo de presión 0-14 psig")</f>
        <v>Kit para probar líneas y componentes de vacío.
kit con varios adaptadores, para la mayoría de las aplicaciones. Posee manómetro para lectura de vacío
Rango mínimo de medición de vacío: 0-60 cmHg Rango mínimo de presión 0-14 psig</v>
      </c>
      <c r="J2143" s="213">
        <f>IFERROR(__xludf.DUMMYFUNCTION("""COMPUTED_VALUE"""),3.0)</f>
        <v>3</v>
      </c>
      <c r="K2143" s="213" t="str">
        <f>IFERROR(__xludf.DUMMYFUNCTION("""COMPUTED_VALUE"""),"170 DÍAS CALENDARIO")</f>
        <v>170 DÍAS CALENDARIO</v>
      </c>
      <c r="L2143" s="213" t="str">
        <f>IFERROR(__xludf.DUMMYFUNCTION("""COMPUTED_VALUE"""),"")</f>
        <v/>
      </c>
      <c r="M2143" s="213">
        <f>IFERROR(__xludf.DUMMYFUNCTION("""COMPUTED_VALUE"""),1.0)</f>
        <v>1</v>
      </c>
      <c r="N2143" s="213">
        <f>IFERROR(__xludf.DUMMYFUNCTION("""COMPUTED_VALUE"""),1.0)</f>
        <v>1</v>
      </c>
      <c r="O2143" s="213">
        <f>IFERROR(__xludf.DUMMYFUNCTION("""COMPUTED_VALUE"""),1.0)</f>
        <v>1</v>
      </c>
      <c r="P2143" s="213"/>
      <c r="Q2143" s="213"/>
      <c r="R2143" s="213"/>
      <c r="S2143" s="213" t="str">
        <f>IFERROR(__xludf.DUMMYFUNCTION("""COMPUTED_VALUE"""),"SI")</f>
        <v>SI</v>
      </c>
      <c r="T2143" s="213" t="str">
        <f>IFERROR(__xludf.DUMMYFUNCTION("""COMPUTED_VALUE"""),"SI")</f>
        <v>SI</v>
      </c>
      <c r="U2143" s="213" t="str">
        <f>IFERROR(__xludf.DUMMYFUNCTION("""COMPUTED_VALUE"""),"SI")</f>
        <v>SI</v>
      </c>
      <c r="V2143" s="213" t="str">
        <f>IFERROR(__xludf.DUMMYFUNCTION("""COMPUTED_VALUE"""),"-")</f>
        <v>-</v>
      </c>
      <c r="W2143" s="213" t="str">
        <f>IFERROR(__xludf.DUMMYFUNCTION("""COMPUTED_VALUE"""),"-")</f>
        <v>-</v>
      </c>
      <c r="X2143" s="213" t="str">
        <f>IFERROR(__xludf.DUMMYFUNCTION("""COMPUTED_VALUE"""),"OTC")</f>
        <v>OTC</v>
      </c>
      <c r="Y2143" s="213" t="str">
        <f>IFERROR(__xludf.DUMMYFUNCTION("""COMPUTED_VALUE"""),"MANOMERO DE VACÍO/ PRESIÓN")</f>
        <v>MANOMERO DE VACÍO/ PRESIÓN</v>
      </c>
      <c r="Z2143" s="215" t="str">
        <f>IFERROR(__xludf.DUMMYFUNCTION("""COMPUTED_VALUE"""),"https://tesinperu.com/product/manometro-de-vacio-presion-b3-5613/")</f>
        <v>https://tesinperu.com/product/manometro-de-vacio-presion-b3-5613/</v>
      </c>
      <c r="AA2143" s="213" t="str">
        <f>IFERROR(__xludf.DUMMYFUNCTION("""COMPUTED_VALUE"""),"ESP-314 PROBADORES DE PRESIÓN Y VACÍO - CET")</f>
        <v>ESP-314 PROBADORES DE PRESIÓN Y VACÍO - CET</v>
      </c>
      <c r="AB2143" s="215" t="str">
        <f>IFERROR(__xludf.DUMMYFUNCTION("""COMPUTED_VALUE"""),"https://drive.google.com/file/d/1PKb_QvR7VLSQU7jY3UJVF5CSND8-ial7/view?usp=sharing")</f>
        <v>https://drive.google.com/file/d/1PKb_QvR7VLSQU7jY3UJVF5CSND8-ial7/view?usp=sharing</v>
      </c>
      <c r="AC2143" s="213"/>
      <c r="AD2143" s="213"/>
      <c r="AE2143" s="213"/>
      <c r="AF2143" s="213"/>
      <c r="AG2143" s="213"/>
      <c r="AH2143" s="213" t="str">
        <f>IFERROR(__xludf.DUMMYFUNCTION("""COMPUTED_VALUE"""),"NACIONAL")</f>
        <v>NACIONAL</v>
      </c>
      <c r="AI2143" s="213"/>
      <c r="AJ2143" s="213"/>
      <c r="AK2143" s="213"/>
      <c r="AL2143" s="213"/>
      <c r="AM2143" s="213"/>
      <c r="AN2143" s="213"/>
      <c r="AO2143" s="213"/>
      <c r="AP2143" s="213" t="str">
        <f>IFERROR(__xludf.DUMMYFUNCTION("""COMPUTED_VALUE"""),"NALDI")</f>
        <v>NALDI</v>
      </c>
      <c r="AQ2143" s="213"/>
      <c r="AR2143" s="213"/>
      <c r="AS2143" s="213"/>
      <c r="AT2143" s="213"/>
      <c r="AU2143" s="213"/>
      <c r="AV2143" s="213"/>
      <c r="AW2143" s="213"/>
      <c r="AX2143" s="213"/>
      <c r="AY2143" s="213"/>
      <c r="AZ2143" s="213"/>
      <c r="BA2143" s="213"/>
      <c r="BB2143" s="213"/>
      <c r="BC2143" s="213"/>
      <c r="BD2143" s="213"/>
    </row>
    <row r="2144">
      <c r="A2144" s="213">
        <f>IFERROR(__xludf.DUMMYFUNCTION("""COMPUTED_VALUE"""),1653.0)</f>
        <v>1653</v>
      </c>
      <c r="B2144" s="213" t="str">
        <f>IFERROR(__xludf.DUMMYFUNCTION("""COMPUTED_VALUE"""),"GUILLERMO E. BILLINGHURST ")</f>
        <v>GUILLERMO E. BILLINGHURST </v>
      </c>
      <c r="C2144" s="213" t="str">
        <f>IFERROR(__xludf.DUMMYFUNCTION("""COMPUTED_VALUE"""),"TALLER SFT DE MECÁNICA AUTOMOTRIZ")</f>
        <v>TALLER SFT DE MECÁNICA AUTOMOTRIZ</v>
      </c>
      <c r="D2144" s="213" t="str">
        <f>IFERROR(__xludf.DUMMYFUNCTION("""COMPUTED_VALUE"""),"EQUIPOS")</f>
        <v>EQUIPOS</v>
      </c>
      <c r="E2144" s="213" t="str">
        <f>IFERROR(__xludf.DUMMYFUNCTION("""COMPUTED_VALUE"""),"ESP-314")</f>
        <v>ESP-314</v>
      </c>
      <c r="F2144" s="213" t="str">
        <f>IFERROR(__xludf.DUMMYFUNCTION("""COMPUTED_VALUE"""),"ESP-314")</f>
        <v>ESP-314</v>
      </c>
      <c r="G2144" s="213"/>
      <c r="H2144" s="213" t="str">
        <f>IFERROR(__xludf.DUMMYFUNCTION("""COMPUTED_VALUE"""),"PROBADORES DE PRESIÓN Y VACÍO")</f>
        <v>PROBADORES DE PRESIÓN Y VACÍO</v>
      </c>
      <c r="I2144" s="213" t="str">
        <f>IFERROR(__xludf.DUMMYFUNCTION("""COMPUTED_VALUE"""),"Kit para probar líneas y componentes de vacío.
kit con varios adaptadores, para la mayoría de las aplicaciones. Posee manómetro para lectura de vacío
Rango mínimo de medición de vacío: 0-60 cmHg Rango mínimo de presión 0-14 psig")</f>
        <v>Kit para probar líneas y componentes de vacío.
kit con varios adaptadores, para la mayoría de las aplicaciones. Posee manómetro para lectura de vacío
Rango mínimo de medición de vacío: 0-60 cmHg Rango mínimo de presión 0-14 psig</v>
      </c>
      <c r="J2144" s="213">
        <f>IFERROR(__xludf.DUMMYFUNCTION("""COMPUTED_VALUE"""),3.0)</f>
        <v>3</v>
      </c>
      <c r="K2144" s="213" t="str">
        <f>IFERROR(__xludf.DUMMYFUNCTION("""COMPUTED_VALUE"""),"170 DÍAS CALENDARIO")</f>
        <v>170 DÍAS CALENDARIO</v>
      </c>
      <c r="L2144" s="213" t="str">
        <f>IFERROR(__xludf.DUMMYFUNCTION("""COMPUTED_VALUE"""),"")</f>
        <v/>
      </c>
      <c r="M2144" s="213">
        <f>IFERROR(__xludf.DUMMYFUNCTION("""COMPUTED_VALUE"""),1.0)</f>
        <v>1</v>
      </c>
      <c r="N2144" s="213">
        <f>IFERROR(__xludf.DUMMYFUNCTION("""COMPUTED_VALUE"""),1.0)</f>
        <v>1</v>
      </c>
      <c r="O2144" s="213">
        <f>IFERROR(__xludf.DUMMYFUNCTION("""COMPUTED_VALUE"""),1.0)</f>
        <v>1</v>
      </c>
      <c r="P2144" s="213"/>
      <c r="Q2144" s="213"/>
      <c r="R2144" s="213"/>
      <c r="S2144" s="213" t="str">
        <f>IFERROR(__xludf.DUMMYFUNCTION("""COMPUTED_VALUE"""),"SI")</f>
        <v>SI</v>
      </c>
      <c r="T2144" s="213" t="str">
        <f>IFERROR(__xludf.DUMMYFUNCTION("""COMPUTED_VALUE"""),"SI")</f>
        <v>SI</v>
      </c>
      <c r="U2144" s="213" t="str">
        <f>IFERROR(__xludf.DUMMYFUNCTION("""COMPUTED_VALUE"""),"SI")</f>
        <v>SI</v>
      </c>
      <c r="V2144" s="213" t="str">
        <f>IFERROR(__xludf.DUMMYFUNCTION("""COMPUTED_VALUE"""),"-")</f>
        <v>-</v>
      </c>
      <c r="W2144" s="213" t="str">
        <f>IFERROR(__xludf.DUMMYFUNCTION("""COMPUTED_VALUE"""),"-")</f>
        <v>-</v>
      </c>
      <c r="X2144" s="213" t="str">
        <f>IFERROR(__xludf.DUMMYFUNCTION("""COMPUTED_VALUE"""),"OTC")</f>
        <v>OTC</v>
      </c>
      <c r="Y2144" s="213" t="str">
        <f>IFERROR(__xludf.DUMMYFUNCTION("""COMPUTED_VALUE"""),"MANOMERO DE VACÍO/ PRESIÓN")</f>
        <v>MANOMERO DE VACÍO/ PRESIÓN</v>
      </c>
      <c r="Z2144" s="215" t="str">
        <f>IFERROR(__xludf.DUMMYFUNCTION("""COMPUTED_VALUE"""),"https://tesinperu.com/product/manometro-de-vacio-presion-b3-5613/")</f>
        <v>https://tesinperu.com/product/manometro-de-vacio-presion-b3-5613/</v>
      </c>
      <c r="AA2144" s="213" t="str">
        <f>IFERROR(__xludf.DUMMYFUNCTION("""COMPUTED_VALUE"""),"ESP-314 PROBADORES DE PRESIÓN Y VACÍO - CET")</f>
        <v>ESP-314 PROBADORES DE PRESIÓN Y VACÍO - CET</v>
      </c>
      <c r="AB2144" s="215" t="str">
        <f>IFERROR(__xludf.DUMMYFUNCTION("""COMPUTED_VALUE"""),"https://drive.google.com/file/d/1PKb_QvR7VLSQU7jY3UJVF5CSND8-ial7/view?usp=sharing")</f>
        <v>https://drive.google.com/file/d/1PKb_QvR7VLSQU7jY3UJVF5CSND8-ial7/view?usp=sharing</v>
      </c>
      <c r="AC2144" s="213"/>
      <c r="AD2144" s="213"/>
      <c r="AE2144" s="213"/>
      <c r="AF2144" s="213"/>
      <c r="AG2144" s="213"/>
      <c r="AH2144" s="213" t="str">
        <f>IFERROR(__xludf.DUMMYFUNCTION("""COMPUTED_VALUE"""),"NACIONAL")</f>
        <v>NACIONAL</v>
      </c>
      <c r="AI2144" s="213"/>
      <c r="AJ2144" s="213"/>
      <c r="AK2144" s="213"/>
      <c r="AL2144" s="213"/>
      <c r="AM2144" s="213"/>
      <c r="AN2144" s="213"/>
      <c r="AO2144" s="213"/>
      <c r="AP2144" s="213" t="str">
        <f>IFERROR(__xludf.DUMMYFUNCTION("""COMPUTED_VALUE"""),"NALDI")</f>
        <v>NALDI</v>
      </c>
      <c r="AQ2144" s="213"/>
      <c r="AR2144" s="213"/>
      <c r="AS2144" s="213"/>
      <c r="AT2144" s="213"/>
      <c r="AU2144" s="213"/>
      <c r="AV2144" s="213"/>
      <c r="AW2144" s="213"/>
      <c r="AX2144" s="213"/>
      <c r="AY2144" s="213"/>
      <c r="AZ2144" s="213"/>
      <c r="BA2144" s="213"/>
      <c r="BB2144" s="213"/>
      <c r="BC2144" s="213"/>
      <c r="BD2144" s="213"/>
    </row>
    <row r="2145">
      <c r="A2145" s="213">
        <f>IFERROR(__xludf.DUMMYFUNCTION("""COMPUTED_VALUE"""),2344.0)</f>
        <v>2344</v>
      </c>
      <c r="B2145" s="213" t="str">
        <f>IFERROR(__xludf.DUMMYFUNCTION("""COMPUTED_VALUE"""),"JOSE GRANDA")</f>
        <v>JOSE GRANDA</v>
      </c>
      <c r="C2145" s="213" t="str">
        <f>IFERROR(__xludf.DUMMYFUNCTION("""COMPUTED_VALUE"""),"TALLER SFT DE MECÁNICA AUTOMOTRIZ")</f>
        <v>TALLER SFT DE MECÁNICA AUTOMOTRIZ</v>
      </c>
      <c r="D2145" s="213" t="str">
        <f>IFERROR(__xludf.DUMMYFUNCTION("""COMPUTED_VALUE"""),"EQUIPOS")</f>
        <v>EQUIPOS</v>
      </c>
      <c r="E2145" s="213" t="str">
        <f>IFERROR(__xludf.DUMMYFUNCTION("""COMPUTED_VALUE"""),"ESP-314")</f>
        <v>ESP-314</v>
      </c>
      <c r="F2145" s="213" t="str">
        <f>IFERROR(__xludf.DUMMYFUNCTION("""COMPUTED_VALUE"""),"ESP-314")</f>
        <v>ESP-314</v>
      </c>
      <c r="G2145" s="213"/>
      <c r="H2145" s="213" t="str">
        <f>IFERROR(__xludf.DUMMYFUNCTION("""COMPUTED_VALUE"""),"PROBADORES DE PRESIÓN Y VACÍO")</f>
        <v>PROBADORES DE PRESIÓN Y VACÍO</v>
      </c>
      <c r="I2145" s="213" t="str">
        <f>IFERROR(__xludf.DUMMYFUNCTION("""COMPUTED_VALUE"""),"Kit para probar líneas y componentes de vacío.
kit con varios adaptadores, para la mayoría de las aplicaciones. Posee manómetro para lectura de vacío
Rango mínimo de medición de vacío: 0-60 cmHg Rango mínimo de presión 0-14 psig")</f>
        <v>Kit para probar líneas y componentes de vacío.
kit con varios adaptadores, para la mayoría de las aplicaciones. Posee manómetro para lectura de vacío
Rango mínimo de medición de vacío: 0-60 cmHg Rango mínimo de presión 0-14 psig</v>
      </c>
      <c r="J2145" s="213">
        <f>IFERROR(__xludf.DUMMYFUNCTION("""COMPUTED_VALUE"""),3.0)</f>
        <v>3</v>
      </c>
      <c r="K2145" s="213" t="str">
        <f>IFERROR(__xludf.DUMMYFUNCTION("""COMPUTED_VALUE"""),"170 DÍAS CALENDARIO")</f>
        <v>170 DÍAS CALENDARIO</v>
      </c>
      <c r="L2145" s="213" t="str">
        <f>IFERROR(__xludf.DUMMYFUNCTION("""COMPUTED_VALUE"""),"")</f>
        <v/>
      </c>
      <c r="M2145" s="213">
        <f>IFERROR(__xludf.DUMMYFUNCTION("""COMPUTED_VALUE"""),1.0)</f>
        <v>1</v>
      </c>
      <c r="N2145" s="213">
        <f>IFERROR(__xludf.DUMMYFUNCTION("""COMPUTED_VALUE"""),1.0)</f>
        <v>1</v>
      </c>
      <c r="O2145" s="213">
        <f>IFERROR(__xludf.DUMMYFUNCTION("""COMPUTED_VALUE"""),1.0)</f>
        <v>1</v>
      </c>
      <c r="P2145" s="213"/>
      <c r="Q2145" s="213"/>
      <c r="R2145" s="213"/>
      <c r="S2145" s="213" t="str">
        <f>IFERROR(__xludf.DUMMYFUNCTION("""COMPUTED_VALUE"""),"SI")</f>
        <v>SI</v>
      </c>
      <c r="T2145" s="213" t="str">
        <f>IFERROR(__xludf.DUMMYFUNCTION("""COMPUTED_VALUE"""),"SI")</f>
        <v>SI</v>
      </c>
      <c r="U2145" s="213" t="str">
        <f>IFERROR(__xludf.DUMMYFUNCTION("""COMPUTED_VALUE"""),"SI")</f>
        <v>SI</v>
      </c>
      <c r="V2145" s="213" t="str">
        <f>IFERROR(__xludf.DUMMYFUNCTION("""COMPUTED_VALUE"""),"-")</f>
        <v>-</v>
      </c>
      <c r="W2145" s="213" t="str">
        <f>IFERROR(__xludf.DUMMYFUNCTION("""COMPUTED_VALUE"""),"-")</f>
        <v>-</v>
      </c>
      <c r="X2145" s="213" t="str">
        <f>IFERROR(__xludf.DUMMYFUNCTION("""COMPUTED_VALUE"""),"OTC")</f>
        <v>OTC</v>
      </c>
      <c r="Y2145" s="213" t="str">
        <f>IFERROR(__xludf.DUMMYFUNCTION("""COMPUTED_VALUE"""),"MANOMERO DE VACÍO/ PRESIÓN")</f>
        <v>MANOMERO DE VACÍO/ PRESIÓN</v>
      </c>
      <c r="Z2145" s="215" t="str">
        <f>IFERROR(__xludf.DUMMYFUNCTION("""COMPUTED_VALUE"""),"https://tesinperu.com/product/manometro-de-vacio-presion-b3-5613/")</f>
        <v>https://tesinperu.com/product/manometro-de-vacio-presion-b3-5613/</v>
      </c>
      <c r="AA2145" s="213" t="str">
        <f>IFERROR(__xludf.DUMMYFUNCTION("""COMPUTED_VALUE"""),"ESP-314 PROBADORES DE PRESIÓN Y VACÍO - CET")</f>
        <v>ESP-314 PROBADORES DE PRESIÓN Y VACÍO - CET</v>
      </c>
      <c r="AB2145" s="215" t="str">
        <f>IFERROR(__xludf.DUMMYFUNCTION("""COMPUTED_VALUE"""),"https://drive.google.com/file/d/1PKb_QvR7VLSQU7jY3UJVF5CSND8-ial7/view?usp=sharing")</f>
        <v>https://drive.google.com/file/d/1PKb_QvR7VLSQU7jY3UJVF5CSND8-ial7/view?usp=sharing</v>
      </c>
      <c r="AC2145" s="213"/>
      <c r="AD2145" s="213"/>
      <c r="AE2145" s="213"/>
      <c r="AF2145" s="213"/>
      <c r="AG2145" s="213"/>
      <c r="AH2145" s="213" t="str">
        <f>IFERROR(__xludf.DUMMYFUNCTION("""COMPUTED_VALUE"""),"NACIONAL")</f>
        <v>NACIONAL</v>
      </c>
      <c r="AI2145" s="213"/>
      <c r="AJ2145" s="213"/>
      <c r="AK2145" s="213"/>
      <c r="AL2145" s="213"/>
      <c r="AM2145" s="213"/>
      <c r="AN2145" s="213"/>
      <c r="AO2145" s="213"/>
      <c r="AP2145" s="213" t="str">
        <f>IFERROR(__xludf.DUMMYFUNCTION("""COMPUTED_VALUE"""),"NALDI")</f>
        <v>NALDI</v>
      </c>
      <c r="AQ2145" s="213"/>
      <c r="AR2145" s="213"/>
      <c r="AS2145" s="213"/>
      <c r="AT2145" s="213"/>
      <c r="AU2145" s="213"/>
      <c r="AV2145" s="213"/>
      <c r="AW2145" s="213"/>
      <c r="AX2145" s="213"/>
      <c r="AY2145" s="213"/>
      <c r="AZ2145" s="213"/>
      <c r="BA2145" s="213"/>
      <c r="BB2145" s="213"/>
      <c r="BC2145" s="213"/>
      <c r="BD2145" s="213"/>
    </row>
    <row r="2146">
      <c r="A2146" s="213">
        <f>IFERROR(__xludf.DUMMYFUNCTION("""COMPUTED_VALUE"""),705.0)</f>
        <v>705</v>
      </c>
      <c r="B2146" s="213" t="str">
        <f>IFERROR(__xludf.DUMMYFUNCTION("""COMPUTED_VALUE"""),"6049 RICARDO PALMA")</f>
        <v>6049 RICARDO PALMA</v>
      </c>
      <c r="C2146" s="213" t="str">
        <f>IFERROR(__xludf.DUMMYFUNCTION("""COMPUTED_VALUE"""),"TALLER SFT DE ELECTRÓNICA")</f>
        <v>TALLER SFT DE ELECTRÓNICA</v>
      </c>
      <c r="D2146" s="213" t="str">
        <f>IFERROR(__xludf.DUMMYFUNCTION("""COMPUTED_VALUE"""),"EQUIPOS")</f>
        <v>EQUIPOS</v>
      </c>
      <c r="E2146" s="213" t="str">
        <f>IFERROR(__xludf.DUMMYFUNCTION("""COMPUTED_VALUE"""),"ESP-315")</f>
        <v>ESP-315</v>
      </c>
      <c r="F2146" s="213" t="str">
        <f>IFERROR(__xludf.DUMMYFUNCTION("""COMPUTED_VALUE"""),"ESP-315")</f>
        <v>ESP-315</v>
      </c>
      <c r="G2146" s="213"/>
      <c r="H2146" s="213" t="str">
        <f>IFERROR(__xludf.DUMMYFUNCTION("""COMPUTED_VALUE"""),"PROTOBOARD: PLACA DE PRUEBAS")</f>
        <v>PROTOBOARD: PLACA DE PRUEBAS</v>
      </c>
      <c r="I2146" s="213" t="str">
        <f>IFERROR(__xludf.DUMMYFUNCTION("""COMPUTED_VALUE"""),"· Placa para hacer pruebas de diferentes circuitos electrónicos y así poder verificar su funcionamiento.
· Contiene 4 tiras de terminal que contiene 2560 puntos de amarre.
· Contiene 7 tiras de distribución que contiene 700 puntos de amarre.
· Contiene 4 "&amp;"conectores tipo banana para enlace, con descripción de sus nombres.
· En total posee 3260 puntos de contactos.
· las pistas están formadas por agujeros en los cuales se conectan los componentes.
· Incluye cables de conexión para los puntos de contacto.
· "&amp;"Incluye cables para conexión entre puntos.")</f>
        <v>· Placa para hacer pruebas de diferentes circuitos electrónicos y así poder verificar su funcionamiento.
· Contiene 4 tiras de terminal que contiene 2560 puntos de amarre.
· Contiene 7 tiras de distribución que contiene 700 puntos de amarre.
· Contiene 4 conectores tipo banana para enlace, con descripción de sus nombres.
· En total posee 3260 puntos de contactos.
· las pistas están formadas por agujeros en los cuales se conectan los componentes.
· Incluye cables de conexión para los puntos de contacto.
· Incluye cables para conexión entre puntos.</v>
      </c>
      <c r="J2146" s="213">
        <f>IFERROR(__xludf.DUMMYFUNCTION("""COMPUTED_VALUE"""),3.0)</f>
        <v>3</v>
      </c>
      <c r="K2146" s="213" t="str">
        <f>IFERROR(__xludf.DUMMYFUNCTION("""COMPUTED_VALUE"""),"170 DÍAS CALENDARIO")</f>
        <v>170 DÍAS CALENDARIO</v>
      </c>
      <c r="L2146" s="213" t="str">
        <f>IFERROR(__xludf.DUMMYFUNCTION("""COMPUTED_VALUE"""),"")</f>
        <v/>
      </c>
      <c r="M2146" s="213">
        <f>IFERROR(__xludf.DUMMYFUNCTION("""COMPUTED_VALUE"""),1.0)</f>
        <v>1</v>
      </c>
      <c r="N2146" s="213">
        <f>IFERROR(__xludf.DUMMYFUNCTION("""COMPUTED_VALUE"""),4.0)</f>
        <v>4</v>
      </c>
      <c r="O2146" s="213">
        <f>IFERROR(__xludf.DUMMYFUNCTION("""COMPUTED_VALUE"""),4.0)</f>
        <v>4</v>
      </c>
      <c r="P2146" s="213"/>
      <c r="Q2146" s="213"/>
      <c r="R2146" s="213"/>
      <c r="S2146" s="213" t="str">
        <f>IFERROR(__xludf.DUMMYFUNCTION("""COMPUTED_VALUE"""),"SI")</f>
        <v>SI</v>
      </c>
      <c r="T2146" s="213" t="str">
        <f>IFERROR(__xludf.DUMMYFUNCTION("""COMPUTED_VALUE"""),"SI")</f>
        <v>SI</v>
      </c>
      <c r="U2146" s="213" t="str">
        <f>IFERROR(__xludf.DUMMYFUNCTION("""COMPUTED_VALUE"""),"SI")</f>
        <v>SI</v>
      </c>
      <c r="V2146" s="213" t="str">
        <f>IFERROR(__xludf.DUMMYFUNCTION("""COMPUTED_VALUE"""),"-")</f>
        <v>-</v>
      </c>
      <c r="W2146" s="213" t="str">
        <f>IFERROR(__xludf.DUMMYFUNCTION("""COMPUTED_VALUE"""),"-")</f>
        <v>-</v>
      </c>
      <c r="X2146" s="213" t="str">
        <f>IFERROR(__xludf.DUMMYFUNCTION("""COMPUTED_VALUE"""),"WanJie")</f>
        <v>WanJie</v>
      </c>
      <c r="Y2146" s="213" t="str">
        <f>IFERROR(__xludf.DUMMYFUNCTION("""COMPUTED_VALUE""")," PR-4T7D-02")</f>
        <v> PR-4T7D-02</v>
      </c>
      <c r="Z2146" s="215" t="str">
        <f>IFERROR(__xludf.DUMMYFUNCTION("""COMPUTED_VALUE"""),"https://naylampmechatronics.com/protoboard/623-protoboard-premium-con-base-pr-4t7d-02.html")</f>
        <v>https://naylampmechatronics.com/protoboard/623-protoboard-premium-con-base-pr-4t7d-02.html</v>
      </c>
      <c r="AA2146" s="213" t="str">
        <f>IFERROR(__xludf.DUMMYFUNCTION("""COMPUTED_VALUE"""),"ESP-315 PROTOBOARD: PLACA DE PRUEBAS - CET")</f>
        <v>ESP-315 PROTOBOARD: PLACA DE PRUEBAS - CET</v>
      </c>
      <c r="AB2146" s="213"/>
      <c r="AC2146" s="213"/>
      <c r="AD2146" s="213"/>
      <c r="AE2146" s="213"/>
      <c r="AF2146" s="213"/>
      <c r="AG2146" s="213"/>
      <c r="AH2146" s="213"/>
      <c r="AI2146" s="213"/>
      <c r="AJ2146" s="213"/>
      <c r="AK2146" s="213"/>
      <c r="AL2146" s="213"/>
      <c r="AM2146" s="213"/>
      <c r="AN2146" s="213"/>
      <c r="AO2146" s="213"/>
      <c r="AP2146" s="213" t="str">
        <f>IFERROR(__xludf.DUMMYFUNCTION("""COMPUTED_VALUE"""),"BRUNO")</f>
        <v>BRUNO</v>
      </c>
      <c r="AQ2146" s="213" t="str">
        <f>IFERROR(__xludf.DUMMYFUNCTION("""COMPUTED_VALUE"""),"Agregar cables de conexión para los puntos de contacto.Incluye cables para conexión entre puntos.")</f>
        <v>Agregar cables de conexión para los puntos de contacto.Incluye cables para conexión entre puntos.</v>
      </c>
      <c r="AR2146" s="213"/>
      <c r="AS2146" s="213" t="str">
        <f>IFERROR(__xludf.DUMMYFUNCTION("""COMPUTED_VALUE"""),"Cable para protoboard /   Cable Jumper Dupont macho a macho 10cm / 20Und.   ")</f>
        <v>Cable para protoboard /   Cable Jumper Dupont macho a macho 10cm / 20Und.   </v>
      </c>
      <c r="AT2146" s="216" t="str">
        <f>IFERROR(__xludf.DUMMYFUNCTION("""COMPUTED_VALUE"""),"https://naylampmechatronics.com/cables/26-cable-para-protoboard.html
https://naylampmechatronics.com/cables/449-cable-jumper-dupont-macho-a-macho-10cm-20und.html")</f>
        <v>https://naylampmechatronics.com/cables/26-cable-para-protoboard.html
https://naylampmechatronics.com/cables/449-cable-jumper-dupont-macho-a-macho-10cm-20und.html</v>
      </c>
      <c r="AU2146" s="213"/>
      <c r="AV2146" s="213"/>
      <c r="AW2146" s="213"/>
      <c r="AX2146" s="213"/>
      <c r="AY2146" s="213"/>
      <c r="AZ2146" s="213"/>
      <c r="BA2146" s="213"/>
      <c r="BB2146" s="213"/>
      <c r="BC2146" s="213"/>
      <c r="BD2146" s="213"/>
    </row>
    <row r="2147">
      <c r="A2147" s="213">
        <f>IFERROR(__xludf.DUMMYFUNCTION("""COMPUTED_VALUE"""),282.0)</f>
        <v>282</v>
      </c>
      <c r="B2147" s="213" t="str">
        <f>IFERROR(__xludf.DUMMYFUNCTION("""COMPUTED_VALUE"""),"2026 SIMON BOLIVAR")</f>
        <v>2026 SIMON BOLIVAR</v>
      </c>
      <c r="C2147" s="213" t="str">
        <f>IFERROR(__xludf.DUMMYFUNCTION("""COMPUTED_VALUE"""),"TALLER SFT DE COMPUTACIÓN E INFORMÁTICA")</f>
        <v>TALLER SFT DE COMPUTACIÓN E INFORMÁTICA</v>
      </c>
      <c r="D2147" s="213" t="str">
        <f>IFERROR(__xludf.DUMMYFUNCTION("""COMPUTED_VALUE"""),"TICS")</f>
        <v>TICS</v>
      </c>
      <c r="E2147" s="213" t="str">
        <f>IFERROR(__xludf.DUMMYFUNCTION("""COMPUTED_VALUE"""),"TEC-115")</f>
        <v>TEC-115</v>
      </c>
      <c r="F2147" s="213" t="str">
        <f>IFERROR(__xludf.DUMMYFUNCTION("""COMPUTED_VALUE"""),"TEC-115")</f>
        <v>TEC-115</v>
      </c>
      <c r="G2147" s="213"/>
      <c r="H2147" s="213" t="str">
        <f>IFERROR(__xludf.DUMMYFUNCTION("""COMPUTED_VALUE"""),"PROYECTOR MULTIMEDIA")</f>
        <v>PROYECTOR MULTIMEDIA</v>
      </c>
      <c r="I2147" s="213"/>
      <c r="J2147" s="213">
        <f>IFERROR(__xludf.DUMMYFUNCTION("""COMPUTED_VALUE"""),3.0)</f>
        <v>3</v>
      </c>
      <c r="K2147" s="213" t="str">
        <f>IFERROR(__xludf.DUMMYFUNCTION("""COMPUTED_VALUE"""),"170 DÍAS CALENDARIO")</f>
        <v>170 DÍAS CALENDARIO</v>
      </c>
      <c r="L2147" s="213" t="str">
        <f>IFERROR(__xludf.DUMMYFUNCTION("""COMPUTED_VALUE"""),"")</f>
        <v/>
      </c>
      <c r="M2147" s="213">
        <f>IFERROR(__xludf.DUMMYFUNCTION("""COMPUTED_VALUE"""),1.0)</f>
        <v>1</v>
      </c>
      <c r="N2147" s="213">
        <f>IFERROR(__xludf.DUMMYFUNCTION("""COMPUTED_VALUE"""),1.0)</f>
        <v>1</v>
      </c>
      <c r="O2147" s="213">
        <f>IFERROR(__xludf.DUMMYFUNCTION("""COMPUTED_VALUE"""),1.0)</f>
        <v>1</v>
      </c>
      <c r="P2147" s="213"/>
      <c r="Q2147" s="213"/>
      <c r="R2147" s="213"/>
      <c r="S2147" s="213"/>
      <c r="T2147" s="213" t="str">
        <f>IFERROR(__xludf.DUMMYFUNCTION("""COMPUTED_VALUE"""),"CONSULTA FINAL")</f>
        <v>CONSULTA FINAL</v>
      </c>
      <c r="U2147" s="213" t="str">
        <f>IFERROR(__xludf.DUMMYFUNCTION("""COMPUTED_VALUE"""),"NO")</f>
        <v>NO</v>
      </c>
      <c r="V2147" s="213" t="str">
        <f>IFERROR(__xludf.DUMMYFUNCTION("""COMPUTED_VALUE"""),"SUSTENTO")</f>
        <v>SUSTENTO</v>
      </c>
      <c r="W2147" s="213"/>
      <c r="X2147" s="213" t="str">
        <f>IFERROR(__xludf.DUMMYFUNCTION("""COMPUTED_VALUE"""),"VIEWSONIC")</f>
        <v>VIEWSONIC</v>
      </c>
      <c r="Y2147" s="213" t="str">
        <f>IFERROR(__xludf.DUMMYFUNCTION("""COMPUTED_VALUE"""),"LS 740W")</f>
        <v>LS 740W</v>
      </c>
      <c r="Z2147" s="215" t="str">
        <f>IFERROR(__xludf.DUMMYFUNCTION("""COMPUTED_VALUE"""),"https://www.viewsonic.com/es/products/projectors/LS740W#specs")</f>
        <v>https://www.viewsonic.com/es/products/projectors/LS740W#specs</v>
      </c>
      <c r="AA2147" s="213" t="str">
        <f>IFERROR(__xludf.DUMMYFUNCTION("""COMPUTED_VALUE"""),"TEC-115 PROYECTOR MULTIMEDIA - CET")</f>
        <v>TEC-115 PROYECTOR MULTIMEDIA - CET</v>
      </c>
      <c r="AB2147" s="213"/>
      <c r="AC2147" s="213"/>
      <c r="AD2147" s="213"/>
      <c r="AE2147" s="213"/>
      <c r="AF2147" s="213"/>
      <c r="AG2147" s="213"/>
      <c r="AH2147" s="213"/>
      <c r="AI2147" s="213"/>
      <c r="AJ2147" s="213"/>
      <c r="AK2147" s="213"/>
      <c r="AL2147" s="213"/>
      <c r="AM2147" s="213"/>
      <c r="AN2147" s="213"/>
      <c r="AO2147" s="213"/>
      <c r="AP2147" s="213" t="str">
        <f>IFERROR(__xludf.DUMMYFUNCTION("""COMPUTED_VALUE"""),"NALDI")</f>
        <v>NALDI</v>
      </c>
      <c r="AQ2147" s="213"/>
      <c r="AR2147" s="213"/>
      <c r="AS2147" s="213"/>
      <c r="AT2147" s="213"/>
      <c r="AU2147" s="213"/>
      <c r="AV2147" s="213"/>
      <c r="AW2147" s="213"/>
      <c r="AX2147" s="213"/>
      <c r="AY2147" s="213"/>
      <c r="AZ2147" s="213"/>
      <c r="BA2147" s="213"/>
      <c r="BB2147" s="213"/>
      <c r="BC2147" s="213"/>
      <c r="BD2147" s="213"/>
    </row>
    <row r="2148">
      <c r="A2148" s="213">
        <f>IFERROR(__xludf.DUMMYFUNCTION("""COMPUTED_VALUE"""),768.0)</f>
        <v>768</v>
      </c>
      <c r="B2148" s="213" t="str">
        <f>IFERROR(__xludf.DUMMYFUNCTION("""COMPUTED_VALUE"""),"6049 RICARDO PALMA")</f>
        <v>6049 RICARDO PALMA</v>
      </c>
      <c r="C2148" s="213" t="str">
        <f>IFERROR(__xludf.DUMMYFUNCTION("""COMPUTED_VALUE"""),"TALLER SFT DE COMPUTACIÓN E INFORMÁTICA")</f>
        <v>TALLER SFT DE COMPUTACIÓN E INFORMÁTICA</v>
      </c>
      <c r="D2148" s="213" t="str">
        <f>IFERROR(__xludf.DUMMYFUNCTION("""COMPUTED_VALUE"""),"TICS")</f>
        <v>TICS</v>
      </c>
      <c r="E2148" s="213" t="str">
        <f>IFERROR(__xludf.DUMMYFUNCTION("""COMPUTED_VALUE"""),"TEC-115")</f>
        <v>TEC-115</v>
      </c>
      <c r="F2148" s="213" t="str">
        <f>IFERROR(__xludf.DUMMYFUNCTION("""COMPUTED_VALUE"""),"TEC-115")</f>
        <v>TEC-115</v>
      </c>
      <c r="G2148" s="213"/>
      <c r="H2148" s="213" t="str">
        <f>IFERROR(__xludf.DUMMYFUNCTION("""COMPUTED_VALUE"""),"PROYECTOR MULTIMEDIA")</f>
        <v>PROYECTOR MULTIMEDIA</v>
      </c>
      <c r="I2148" s="213"/>
      <c r="J2148" s="213">
        <f>IFERROR(__xludf.DUMMYFUNCTION("""COMPUTED_VALUE"""),3.0)</f>
        <v>3</v>
      </c>
      <c r="K2148" s="213" t="str">
        <f>IFERROR(__xludf.DUMMYFUNCTION("""COMPUTED_VALUE"""),"170 DÍAS CALENDARIO")</f>
        <v>170 DÍAS CALENDARIO</v>
      </c>
      <c r="L2148" s="213" t="str">
        <f>IFERROR(__xludf.DUMMYFUNCTION("""COMPUTED_VALUE"""),"")</f>
        <v/>
      </c>
      <c r="M2148" s="213">
        <f>IFERROR(__xludf.DUMMYFUNCTION("""COMPUTED_VALUE"""),1.0)</f>
        <v>1</v>
      </c>
      <c r="N2148" s="213">
        <f>IFERROR(__xludf.DUMMYFUNCTION("""COMPUTED_VALUE"""),1.0)</f>
        <v>1</v>
      </c>
      <c r="O2148" s="213">
        <f>IFERROR(__xludf.DUMMYFUNCTION("""COMPUTED_VALUE"""),1.0)</f>
        <v>1</v>
      </c>
      <c r="P2148" s="213"/>
      <c r="Q2148" s="213"/>
      <c r="R2148" s="213"/>
      <c r="S2148" s="213"/>
      <c r="T2148" s="213" t="str">
        <f>IFERROR(__xludf.DUMMYFUNCTION("""COMPUTED_VALUE"""),"CONSULTA FINAL")</f>
        <v>CONSULTA FINAL</v>
      </c>
      <c r="U2148" s="213" t="str">
        <f>IFERROR(__xludf.DUMMYFUNCTION("""COMPUTED_VALUE"""),"NO")</f>
        <v>NO</v>
      </c>
      <c r="V2148" s="213" t="str">
        <f>IFERROR(__xludf.DUMMYFUNCTION("""COMPUTED_VALUE"""),"SUSTENTO")</f>
        <v>SUSTENTO</v>
      </c>
      <c r="W2148" s="213"/>
      <c r="X2148" s="213" t="str">
        <f>IFERROR(__xludf.DUMMYFUNCTION("""COMPUTED_VALUE"""),"VIEWSONIC")</f>
        <v>VIEWSONIC</v>
      </c>
      <c r="Y2148" s="213" t="str">
        <f>IFERROR(__xludf.DUMMYFUNCTION("""COMPUTED_VALUE"""),"LS 740W")</f>
        <v>LS 740W</v>
      </c>
      <c r="Z2148" s="215" t="str">
        <f>IFERROR(__xludf.DUMMYFUNCTION("""COMPUTED_VALUE"""),"https://www.viewsonic.com/es/products/projectors/LS740W#specs")</f>
        <v>https://www.viewsonic.com/es/products/projectors/LS740W#specs</v>
      </c>
      <c r="AA2148" s="213" t="str">
        <f>IFERROR(__xludf.DUMMYFUNCTION("""COMPUTED_VALUE"""),"TEC-115 PROYECTOR MULTIMEDIA - CET")</f>
        <v>TEC-115 PROYECTOR MULTIMEDIA - CET</v>
      </c>
      <c r="AB2148" s="213"/>
      <c r="AC2148" s="213"/>
      <c r="AD2148" s="213"/>
      <c r="AE2148" s="213"/>
      <c r="AF2148" s="213"/>
      <c r="AG2148" s="213"/>
      <c r="AH2148" s="213"/>
      <c r="AI2148" s="213"/>
      <c r="AJ2148" s="213"/>
      <c r="AK2148" s="213"/>
      <c r="AL2148" s="213"/>
      <c r="AM2148" s="213"/>
      <c r="AN2148" s="213"/>
      <c r="AO2148" s="213"/>
      <c r="AP2148" s="213" t="str">
        <f>IFERROR(__xludf.DUMMYFUNCTION("""COMPUTED_VALUE"""),"NALDI")</f>
        <v>NALDI</v>
      </c>
      <c r="AQ2148" s="213"/>
      <c r="AR2148" s="213"/>
      <c r="AS2148" s="213"/>
      <c r="AT2148" s="213"/>
      <c r="AU2148" s="213"/>
      <c r="AV2148" s="213"/>
      <c r="AW2148" s="213"/>
      <c r="AX2148" s="213"/>
      <c r="AY2148" s="213"/>
      <c r="AZ2148" s="213"/>
      <c r="BA2148" s="213"/>
      <c r="BB2148" s="213"/>
      <c r="BC2148" s="213"/>
      <c r="BD2148" s="213"/>
    </row>
    <row r="2149">
      <c r="A2149" s="213">
        <f>IFERROR(__xludf.DUMMYFUNCTION("""COMPUTED_VALUE"""),1707.0)</f>
        <v>1707</v>
      </c>
      <c r="B2149" s="213" t="str">
        <f>IFERROR(__xludf.DUMMYFUNCTION("""COMPUTED_VALUE"""),"GUILLERMO E. BILLINGHURST ")</f>
        <v>GUILLERMO E. BILLINGHURST </v>
      </c>
      <c r="C2149" s="213" t="str">
        <f>IFERROR(__xludf.DUMMYFUNCTION("""COMPUTED_VALUE"""),"TALLER SFT DE COMPUTACIÓN E INFORMÁTICA")</f>
        <v>TALLER SFT DE COMPUTACIÓN E INFORMÁTICA</v>
      </c>
      <c r="D2149" s="213" t="str">
        <f>IFERROR(__xludf.DUMMYFUNCTION("""COMPUTED_VALUE"""),"TICS")</f>
        <v>TICS</v>
      </c>
      <c r="E2149" s="213" t="str">
        <f>IFERROR(__xludf.DUMMYFUNCTION("""COMPUTED_VALUE"""),"TEC-115")</f>
        <v>TEC-115</v>
      </c>
      <c r="F2149" s="213" t="str">
        <f>IFERROR(__xludf.DUMMYFUNCTION("""COMPUTED_VALUE"""),"TEC-115")</f>
        <v>TEC-115</v>
      </c>
      <c r="G2149" s="213"/>
      <c r="H2149" s="213" t="str">
        <f>IFERROR(__xludf.DUMMYFUNCTION("""COMPUTED_VALUE"""),"PROYECTOR MULTIMEDIA")</f>
        <v>PROYECTOR MULTIMEDIA</v>
      </c>
      <c r="I2149" s="213"/>
      <c r="J2149" s="213">
        <f>IFERROR(__xludf.DUMMYFUNCTION("""COMPUTED_VALUE"""),3.0)</f>
        <v>3</v>
      </c>
      <c r="K2149" s="213" t="str">
        <f>IFERROR(__xludf.DUMMYFUNCTION("""COMPUTED_VALUE"""),"170 DÍAS CALENDARIO")</f>
        <v>170 DÍAS CALENDARIO</v>
      </c>
      <c r="L2149" s="213" t="str">
        <f>IFERROR(__xludf.DUMMYFUNCTION("""COMPUTED_VALUE"""),"")</f>
        <v/>
      </c>
      <c r="M2149" s="213">
        <f>IFERROR(__xludf.DUMMYFUNCTION("""COMPUTED_VALUE"""),1.0)</f>
        <v>1</v>
      </c>
      <c r="N2149" s="213">
        <f>IFERROR(__xludf.DUMMYFUNCTION("""COMPUTED_VALUE"""),1.0)</f>
        <v>1</v>
      </c>
      <c r="O2149" s="213">
        <f>IFERROR(__xludf.DUMMYFUNCTION("""COMPUTED_VALUE"""),1.0)</f>
        <v>1</v>
      </c>
      <c r="P2149" s="213"/>
      <c r="Q2149" s="213"/>
      <c r="R2149" s="213"/>
      <c r="S2149" s="213"/>
      <c r="T2149" s="213" t="str">
        <f>IFERROR(__xludf.DUMMYFUNCTION("""COMPUTED_VALUE"""),"CONSULTA FINAL")</f>
        <v>CONSULTA FINAL</v>
      </c>
      <c r="U2149" s="213" t="str">
        <f>IFERROR(__xludf.DUMMYFUNCTION("""COMPUTED_VALUE"""),"NO")</f>
        <v>NO</v>
      </c>
      <c r="V2149" s="213" t="str">
        <f>IFERROR(__xludf.DUMMYFUNCTION("""COMPUTED_VALUE"""),"SUSTENTO")</f>
        <v>SUSTENTO</v>
      </c>
      <c r="W2149" s="213"/>
      <c r="X2149" s="213" t="str">
        <f>IFERROR(__xludf.DUMMYFUNCTION("""COMPUTED_VALUE"""),"VIEWSONIC")</f>
        <v>VIEWSONIC</v>
      </c>
      <c r="Y2149" s="213" t="str">
        <f>IFERROR(__xludf.DUMMYFUNCTION("""COMPUTED_VALUE"""),"LS 740W")</f>
        <v>LS 740W</v>
      </c>
      <c r="Z2149" s="215" t="str">
        <f>IFERROR(__xludf.DUMMYFUNCTION("""COMPUTED_VALUE"""),"https://www.viewsonic.com/es/products/projectors/LS740W#specs")</f>
        <v>https://www.viewsonic.com/es/products/projectors/LS740W#specs</v>
      </c>
      <c r="AA2149" s="213" t="str">
        <f>IFERROR(__xludf.DUMMYFUNCTION("""COMPUTED_VALUE"""),"TEC-115 PROYECTOR MULTIMEDIA - CET")</f>
        <v>TEC-115 PROYECTOR MULTIMEDIA - CET</v>
      </c>
      <c r="AB2149" s="213"/>
      <c r="AC2149" s="213"/>
      <c r="AD2149" s="213"/>
      <c r="AE2149" s="213"/>
      <c r="AF2149" s="213"/>
      <c r="AG2149" s="213"/>
      <c r="AH2149" s="213"/>
      <c r="AI2149" s="213"/>
      <c r="AJ2149" s="213"/>
      <c r="AK2149" s="213"/>
      <c r="AL2149" s="213"/>
      <c r="AM2149" s="213"/>
      <c r="AN2149" s="213"/>
      <c r="AO2149" s="213"/>
      <c r="AP2149" s="213" t="str">
        <f>IFERROR(__xludf.DUMMYFUNCTION("""COMPUTED_VALUE"""),"NALDI")</f>
        <v>NALDI</v>
      </c>
      <c r="AQ2149" s="213"/>
      <c r="AR2149" s="213"/>
      <c r="AS2149" s="213"/>
      <c r="AT2149" s="213"/>
      <c r="AU2149" s="213"/>
      <c r="AV2149" s="213"/>
      <c r="AW2149" s="213"/>
      <c r="AX2149" s="213"/>
      <c r="AY2149" s="213"/>
      <c r="AZ2149" s="213"/>
      <c r="BA2149" s="213"/>
      <c r="BB2149" s="213"/>
      <c r="BC2149" s="213"/>
      <c r="BD2149" s="213"/>
    </row>
    <row r="2150">
      <c r="A2150" s="213">
        <f>IFERROR(__xludf.DUMMYFUNCTION("""COMPUTED_VALUE"""),1958.0)</f>
        <v>1958</v>
      </c>
      <c r="B2150" s="213" t="str">
        <f>IFERROR(__xludf.DUMMYFUNCTION("""COMPUTED_VALUE"""),"JOSE GRANDA")</f>
        <v>JOSE GRANDA</v>
      </c>
      <c r="C2150" s="213" t="str">
        <f>IFERROR(__xludf.DUMMYFUNCTION("""COMPUTED_VALUE"""),"TALLER SFT DE COMPUTACIÓN E INFORMÁTICA")</f>
        <v>TALLER SFT DE COMPUTACIÓN E INFORMÁTICA</v>
      </c>
      <c r="D2150" s="213" t="str">
        <f>IFERROR(__xludf.DUMMYFUNCTION("""COMPUTED_VALUE"""),"TICS")</f>
        <v>TICS</v>
      </c>
      <c r="E2150" s="213" t="str">
        <f>IFERROR(__xludf.DUMMYFUNCTION("""COMPUTED_VALUE"""),"TEC-115")</f>
        <v>TEC-115</v>
      </c>
      <c r="F2150" s="213" t="str">
        <f>IFERROR(__xludf.DUMMYFUNCTION("""COMPUTED_VALUE"""),"TEC-115")</f>
        <v>TEC-115</v>
      </c>
      <c r="G2150" s="213"/>
      <c r="H2150" s="213" t="str">
        <f>IFERROR(__xludf.DUMMYFUNCTION("""COMPUTED_VALUE"""),"PROYECTOR MULTIMEDIA")</f>
        <v>PROYECTOR MULTIMEDIA</v>
      </c>
      <c r="I2150" s="213"/>
      <c r="J2150" s="213">
        <f>IFERROR(__xludf.DUMMYFUNCTION("""COMPUTED_VALUE"""),3.0)</f>
        <v>3</v>
      </c>
      <c r="K2150" s="213" t="str">
        <f>IFERROR(__xludf.DUMMYFUNCTION("""COMPUTED_VALUE"""),"170 DÍAS CALENDARIO")</f>
        <v>170 DÍAS CALENDARIO</v>
      </c>
      <c r="L2150" s="213" t="str">
        <f>IFERROR(__xludf.DUMMYFUNCTION("""COMPUTED_VALUE"""),"")</f>
        <v/>
      </c>
      <c r="M2150" s="213">
        <f>IFERROR(__xludf.DUMMYFUNCTION("""COMPUTED_VALUE"""),1.0)</f>
        <v>1</v>
      </c>
      <c r="N2150" s="213">
        <f>IFERROR(__xludf.DUMMYFUNCTION("""COMPUTED_VALUE"""),1.0)</f>
        <v>1</v>
      </c>
      <c r="O2150" s="213">
        <f>IFERROR(__xludf.DUMMYFUNCTION("""COMPUTED_VALUE"""),1.0)</f>
        <v>1</v>
      </c>
      <c r="P2150" s="213"/>
      <c r="Q2150" s="213"/>
      <c r="R2150" s="213"/>
      <c r="S2150" s="213"/>
      <c r="T2150" s="213" t="str">
        <f>IFERROR(__xludf.DUMMYFUNCTION("""COMPUTED_VALUE"""),"CONSULTA FINAL")</f>
        <v>CONSULTA FINAL</v>
      </c>
      <c r="U2150" s="213" t="str">
        <f>IFERROR(__xludf.DUMMYFUNCTION("""COMPUTED_VALUE"""),"NO")</f>
        <v>NO</v>
      </c>
      <c r="V2150" s="213" t="str">
        <f>IFERROR(__xludf.DUMMYFUNCTION("""COMPUTED_VALUE"""),"SUSTENTO")</f>
        <v>SUSTENTO</v>
      </c>
      <c r="W2150" s="213"/>
      <c r="X2150" s="213" t="str">
        <f>IFERROR(__xludf.DUMMYFUNCTION("""COMPUTED_VALUE"""),"VIEWSONIC")</f>
        <v>VIEWSONIC</v>
      </c>
      <c r="Y2150" s="213" t="str">
        <f>IFERROR(__xludf.DUMMYFUNCTION("""COMPUTED_VALUE"""),"LS 740W")</f>
        <v>LS 740W</v>
      </c>
      <c r="Z2150" s="215" t="str">
        <f>IFERROR(__xludf.DUMMYFUNCTION("""COMPUTED_VALUE"""),"https://www.viewsonic.com/es/products/projectors/LS740W#specs")</f>
        <v>https://www.viewsonic.com/es/products/projectors/LS740W#specs</v>
      </c>
      <c r="AA2150" s="213" t="str">
        <f>IFERROR(__xludf.DUMMYFUNCTION("""COMPUTED_VALUE"""),"TEC-115 PROYECTOR MULTIMEDIA - CET")</f>
        <v>TEC-115 PROYECTOR MULTIMEDIA - CET</v>
      </c>
      <c r="AB2150" s="213"/>
      <c r="AC2150" s="213"/>
      <c r="AD2150" s="213"/>
      <c r="AE2150" s="213"/>
      <c r="AF2150" s="213"/>
      <c r="AG2150" s="213"/>
      <c r="AH2150" s="213"/>
      <c r="AI2150" s="213"/>
      <c r="AJ2150" s="213"/>
      <c r="AK2150" s="213"/>
      <c r="AL2150" s="213"/>
      <c r="AM2150" s="213"/>
      <c r="AN2150" s="213"/>
      <c r="AO2150" s="213"/>
      <c r="AP2150" s="213" t="str">
        <f>IFERROR(__xludf.DUMMYFUNCTION("""COMPUTED_VALUE"""),"NALDI")</f>
        <v>NALDI</v>
      </c>
      <c r="AQ2150" s="213"/>
      <c r="AR2150" s="213"/>
      <c r="AS2150" s="213"/>
      <c r="AT2150" s="213"/>
      <c r="AU2150" s="213"/>
      <c r="AV2150" s="213"/>
      <c r="AW2150" s="213"/>
      <c r="AX2150" s="213"/>
      <c r="AY2150" s="213"/>
      <c r="AZ2150" s="213"/>
      <c r="BA2150" s="213"/>
      <c r="BB2150" s="213"/>
      <c r="BC2150" s="213"/>
      <c r="BD2150" s="213"/>
    </row>
    <row r="2151">
      <c r="A2151" s="213">
        <f>IFERROR(__xludf.DUMMYFUNCTION("""COMPUTED_VALUE"""),1043.0)</f>
        <v>1043</v>
      </c>
      <c r="B2151" s="213" t="str">
        <f>IFERROR(__xludf.DUMMYFUNCTION("""COMPUTED_VALUE"""),"FRANCISCO IRAZOLA")</f>
        <v>FRANCISCO IRAZOLA</v>
      </c>
      <c r="C2151" s="213" t="str">
        <f>IFERROR(__xludf.DUMMYFUNCTION("""COMPUTED_VALUE"""),"TALLER SFT DE MECÁNICA AUTOMOTRIZ")</f>
        <v>TALLER SFT DE MECÁNICA AUTOMOTRIZ</v>
      </c>
      <c r="D2151" s="213" t="str">
        <f>IFERROR(__xludf.DUMMYFUNCTION("""COMPUTED_VALUE"""),"EQUIPOS")</f>
        <v>EQUIPOS</v>
      </c>
      <c r="E2151" s="213" t="str">
        <f>IFERROR(__xludf.DUMMYFUNCTION("""COMPUTED_VALUE"""),"ESP-318")</f>
        <v>ESP-318</v>
      </c>
      <c r="F2151" s="213" t="str">
        <f>IFERROR(__xludf.DUMMYFUNCTION("""COMPUTED_VALUE"""),"ESP-318")</f>
        <v>ESP-318</v>
      </c>
      <c r="G2151" s="213"/>
      <c r="H2151" s="213" t="str">
        <f>IFERROR(__xludf.DUMMYFUNCTION("""COMPUTED_VALUE"""),"PUNTA LÓGICA AUTOMOTOR")</f>
        <v>PUNTA LÓGICA AUTOMOTOR</v>
      </c>
      <c r="I2151" s="213" t="str">
        <f>IFERROR(__xludf.DUMMYFUNCTION("""COMPUTED_VALUE"""),"Realiza verificación de circuitos.
Trabaja con sistemas de 6, 12, 24 voltios. Construcción de buena resistencia.
Terminales aislados.
Posee luz para interpretar las señales.")</f>
        <v>Realiza verificación de circuitos.
Trabaja con sistemas de 6, 12, 24 voltios. Construcción de buena resistencia.
Terminales aislados.
Posee luz para interpretar las señales.</v>
      </c>
      <c r="J2151" s="213">
        <f>IFERROR(__xludf.DUMMYFUNCTION("""COMPUTED_VALUE"""),3.0)</f>
        <v>3</v>
      </c>
      <c r="K2151" s="213" t="str">
        <f>IFERROR(__xludf.DUMMYFUNCTION("""COMPUTED_VALUE"""),"170 DÍAS CALENDARIO")</f>
        <v>170 DÍAS CALENDARIO</v>
      </c>
      <c r="L2151" s="213" t="str">
        <f>IFERROR(__xludf.DUMMYFUNCTION("""COMPUTED_VALUE"""),"")</f>
        <v/>
      </c>
      <c r="M2151" s="213">
        <f>IFERROR(__xludf.DUMMYFUNCTION("""COMPUTED_VALUE"""),1.0)</f>
        <v>1</v>
      </c>
      <c r="N2151" s="213">
        <f>IFERROR(__xludf.DUMMYFUNCTION("""COMPUTED_VALUE"""),4.0)</f>
        <v>4</v>
      </c>
      <c r="O2151" s="213">
        <f>IFERROR(__xludf.DUMMYFUNCTION("""COMPUTED_VALUE"""),4.0)</f>
        <v>4</v>
      </c>
      <c r="P2151" s="213"/>
      <c r="Q2151" s="213"/>
      <c r="R2151" s="213"/>
      <c r="S2151" s="213" t="str">
        <f>IFERROR(__xludf.DUMMYFUNCTION("""COMPUTED_VALUE"""),"SI")</f>
        <v>SI</v>
      </c>
      <c r="T2151" s="213" t="str">
        <f>IFERROR(__xludf.DUMMYFUNCTION("""COMPUTED_VALUE"""),"SI")</f>
        <v>SI</v>
      </c>
      <c r="U2151" s="213" t="str">
        <f>IFERROR(__xludf.DUMMYFUNCTION("""COMPUTED_VALUE"""),"SI")</f>
        <v>SI</v>
      </c>
      <c r="V2151" s="213" t="str">
        <f>IFERROR(__xludf.DUMMYFUNCTION("""COMPUTED_VALUE"""),"-")</f>
        <v>-</v>
      </c>
      <c r="W2151" s="213" t="str">
        <f>IFERROR(__xludf.DUMMYFUNCTION("""COMPUTED_VALUE"""),"-")</f>
        <v>-</v>
      </c>
      <c r="X2151" s="213" t="str">
        <f>IFERROR(__xludf.DUMMYFUNCTION("""COMPUTED_VALUE"""),"OTC")</f>
        <v>OTC</v>
      </c>
      <c r="Y2151" s="213" t="str">
        <f>IFERROR(__xludf.DUMMYFUNCTION("""COMPUTED_VALUE"""),"B3.3631")</f>
        <v>B3.3631</v>
      </c>
      <c r="Z2151" s="215" t="str">
        <f>IFERROR(__xludf.DUMMYFUNCTION("""COMPUTED_VALUE"""),"https://tesinperu.com/product/punta-logica-b3-3631/")</f>
        <v>https://tesinperu.com/product/punta-logica-b3-3631/</v>
      </c>
      <c r="AA2151" s="213" t="str">
        <f>IFERROR(__xludf.DUMMYFUNCTION("""COMPUTED_VALUE"""),"ESP-318 PUNTA LÓGICA AUTOMOTOR - CET")</f>
        <v>ESP-318 PUNTA LÓGICA AUTOMOTOR - CET</v>
      </c>
      <c r="AB2151" s="215" t="str">
        <f>IFERROR(__xludf.DUMMYFUNCTION("""COMPUTED_VALUE"""),"https://drive.google.com/file/d/1GpJ-tVzSf_pfdUWkt6r67eqmdiwluUNr/view")</f>
        <v>https://drive.google.com/file/d/1GpJ-tVzSf_pfdUWkt6r67eqmdiwluUNr/view</v>
      </c>
      <c r="AC2151" s="213"/>
      <c r="AD2151" s="213"/>
      <c r="AE2151" s="213"/>
      <c r="AF2151" s="213"/>
      <c r="AG2151" s="213"/>
      <c r="AH2151" s="213" t="str">
        <f>IFERROR(__xludf.DUMMYFUNCTION("""COMPUTED_VALUE"""),"NACIONAL")</f>
        <v>NACIONAL</v>
      </c>
      <c r="AI2151" s="213"/>
      <c r="AJ2151" s="213"/>
      <c r="AK2151" s="213"/>
      <c r="AL2151" s="213"/>
      <c r="AM2151" s="213"/>
      <c r="AN2151" s="213"/>
      <c r="AO2151" s="213"/>
      <c r="AP2151" s="213" t="str">
        <f>IFERROR(__xludf.DUMMYFUNCTION("""COMPUTED_VALUE"""),"NALDI")</f>
        <v>NALDI</v>
      </c>
      <c r="AQ2151" s="213"/>
      <c r="AR2151" s="213"/>
      <c r="AS2151" s="213"/>
      <c r="AT2151" s="213"/>
      <c r="AU2151" s="213"/>
      <c r="AV2151" s="213"/>
      <c r="AW2151" s="213"/>
      <c r="AX2151" s="213"/>
      <c r="AY2151" s="213"/>
      <c r="AZ2151" s="213"/>
      <c r="BA2151" s="213"/>
      <c r="BB2151" s="213"/>
      <c r="BC2151" s="213"/>
      <c r="BD2151" s="213"/>
    </row>
    <row r="2152">
      <c r="A2152" s="213">
        <f>IFERROR(__xludf.DUMMYFUNCTION("""COMPUTED_VALUE"""),1648.0)</f>
        <v>1648</v>
      </c>
      <c r="B2152" s="213" t="str">
        <f>IFERROR(__xludf.DUMMYFUNCTION("""COMPUTED_VALUE"""),"GUILLERMO E. BILLINGHURST ")</f>
        <v>GUILLERMO E. BILLINGHURST </v>
      </c>
      <c r="C2152" s="213" t="str">
        <f>IFERROR(__xludf.DUMMYFUNCTION("""COMPUTED_VALUE"""),"TALLER SFT DE MECÁNICA AUTOMOTRIZ")</f>
        <v>TALLER SFT DE MECÁNICA AUTOMOTRIZ</v>
      </c>
      <c r="D2152" s="213" t="str">
        <f>IFERROR(__xludf.DUMMYFUNCTION("""COMPUTED_VALUE"""),"EQUIPOS")</f>
        <v>EQUIPOS</v>
      </c>
      <c r="E2152" s="213" t="str">
        <f>IFERROR(__xludf.DUMMYFUNCTION("""COMPUTED_VALUE"""),"ESP-318")</f>
        <v>ESP-318</v>
      </c>
      <c r="F2152" s="213" t="str">
        <f>IFERROR(__xludf.DUMMYFUNCTION("""COMPUTED_VALUE"""),"ESP-318")</f>
        <v>ESP-318</v>
      </c>
      <c r="G2152" s="213"/>
      <c r="H2152" s="213" t="str">
        <f>IFERROR(__xludf.DUMMYFUNCTION("""COMPUTED_VALUE"""),"PUNTA LÓGICA AUTOMOTOR")</f>
        <v>PUNTA LÓGICA AUTOMOTOR</v>
      </c>
      <c r="I2152" s="213" t="str">
        <f>IFERROR(__xludf.DUMMYFUNCTION("""COMPUTED_VALUE"""),"Realiza verificación de circuitos.
Trabaja con sistemas de 6, 12, 24 voltios. Construcción de buena resistencia.
Terminales aislados.
Posee luz para interpretar las señales.")</f>
        <v>Realiza verificación de circuitos.
Trabaja con sistemas de 6, 12, 24 voltios. Construcción de buena resistencia.
Terminales aislados.
Posee luz para interpretar las señales.</v>
      </c>
      <c r="J2152" s="213">
        <f>IFERROR(__xludf.DUMMYFUNCTION("""COMPUTED_VALUE"""),3.0)</f>
        <v>3</v>
      </c>
      <c r="K2152" s="213" t="str">
        <f>IFERROR(__xludf.DUMMYFUNCTION("""COMPUTED_VALUE"""),"170 DÍAS CALENDARIO")</f>
        <v>170 DÍAS CALENDARIO</v>
      </c>
      <c r="L2152" s="213" t="str">
        <f>IFERROR(__xludf.DUMMYFUNCTION("""COMPUTED_VALUE"""),"")</f>
        <v/>
      </c>
      <c r="M2152" s="213">
        <f>IFERROR(__xludf.DUMMYFUNCTION("""COMPUTED_VALUE"""),1.0)</f>
        <v>1</v>
      </c>
      <c r="N2152" s="213">
        <f>IFERROR(__xludf.DUMMYFUNCTION("""COMPUTED_VALUE"""),4.0)</f>
        <v>4</v>
      </c>
      <c r="O2152" s="213">
        <f>IFERROR(__xludf.DUMMYFUNCTION("""COMPUTED_VALUE"""),4.0)</f>
        <v>4</v>
      </c>
      <c r="P2152" s="213"/>
      <c r="Q2152" s="213"/>
      <c r="R2152" s="213"/>
      <c r="S2152" s="213" t="str">
        <f>IFERROR(__xludf.DUMMYFUNCTION("""COMPUTED_VALUE"""),"SI")</f>
        <v>SI</v>
      </c>
      <c r="T2152" s="213" t="str">
        <f>IFERROR(__xludf.DUMMYFUNCTION("""COMPUTED_VALUE"""),"SI")</f>
        <v>SI</v>
      </c>
      <c r="U2152" s="213" t="str">
        <f>IFERROR(__xludf.DUMMYFUNCTION("""COMPUTED_VALUE"""),"SI")</f>
        <v>SI</v>
      </c>
      <c r="V2152" s="213" t="str">
        <f>IFERROR(__xludf.DUMMYFUNCTION("""COMPUTED_VALUE"""),"-")</f>
        <v>-</v>
      </c>
      <c r="W2152" s="213" t="str">
        <f>IFERROR(__xludf.DUMMYFUNCTION("""COMPUTED_VALUE"""),"-")</f>
        <v>-</v>
      </c>
      <c r="X2152" s="213" t="str">
        <f>IFERROR(__xludf.DUMMYFUNCTION("""COMPUTED_VALUE"""),"OTC")</f>
        <v>OTC</v>
      </c>
      <c r="Y2152" s="213" t="str">
        <f>IFERROR(__xludf.DUMMYFUNCTION("""COMPUTED_VALUE"""),"B3.3632")</f>
        <v>B3.3632</v>
      </c>
      <c r="Z2152" s="215" t="str">
        <f>IFERROR(__xludf.DUMMYFUNCTION("""COMPUTED_VALUE"""),"https://tesinperu.com/product/punta-logica-b3-3631/")</f>
        <v>https://tesinperu.com/product/punta-logica-b3-3631/</v>
      </c>
      <c r="AA2152" s="213" t="str">
        <f>IFERROR(__xludf.DUMMYFUNCTION("""COMPUTED_VALUE"""),"ESP-318 PUNTA LÓGICA AUTOMOTOR - CET")</f>
        <v>ESP-318 PUNTA LÓGICA AUTOMOTOR - CET</v>
      </c>
      <c r="AB2152" s="215" t="str">
        <f>IFERROR(__xludf.DUMMYFUNCTION("""COMPUTED_VALUE"""),"https://drive.google.com/file/d/1GpJ-tVzSf_pfdUWkt6r67eqmdiwluUNr/view")</f>
        <v>https://drive.google.com/file/d/1GpJ-tVzSf_pfdUWkt6r67eqmdiwluUNr/view</v>
      </c>
      <c r="AC2152" s="213"/>
      <c r="AD2152" s="213"/>
      <c r="AE2152" s="213"/>
      <c r="AF2152" s="213"/>
      <c r="AG2152" s="213"/>
      <c r="AH2152" s="213" t="str">
        <f>IFERROR(__xludf.DUMMYFUNCTION("""COMPUTED_VALUE"""),"NACIONAL")</f>
        <v>NACIONAL</v>
      </c>
      <c r="AI2152" s="213"/>
      <c r="AJ2152" s="213"/>
      <c r="AK2152" s="213"/>
      <c r="AL2152" s="213"/>
      <c r="AM2152" s="213"/>
      <c r="AN2152" s="213"/>
      <c r="AO2152" s="213"/>
      <c r="AP2152" s="213" t="str">
        <f>IFERROR(__xludf.DUMMYFUNCTION("""COMPUTED_VALUE"""),"NALDI")</f>
        <v>NALDI</v>
      </c>
      <c r="AQ2152" s="213"/>
      <c r="AR2152" s="213"/>
      <c r="AS2152" s="213"/>
      <c r="AT2152" s="213"/>
      <c r="AU2152" s="213"/>
      <c r="AV2152" s="213"/>
      <c r="AW2152" s="213"/>
      <c r="AX2152" s="213"/>
      <c r="AY2152" s="213"/>
      <c r="AZ2152" s="213"/>
      <c r="BA2152" s="213"/>
      <c r="BB2152" s="213"/>
      <c r="BC2152" s="213"/>
      <c r="BD2152" s="213"/>
    </row>
    <row r="2153">
      <c r="A2153" s="213">
        <f>IFERROR(__xludf.DUMMYFUNCTION("""COMPUTED_VALUE"""),2339.0)</f>
        <v>2339</v>
      </c>
      <c r="B2153" s="213" t="str">
        <f>IFERROR(__xludf.DUMMYFUNCTION("""COMPUTED_VALUE"""),"JOSE GRANDA")</f>
        <v>JOSE GRANDA</v>
      </c>
      <c r="C2153" s="213" t="str">
        <f>IFERROR(__xludf.DUMMYFUNCTION("""COMPUTED_VALUE"""),"TALLER SFT DE MECÁNICA AUTOMOTRIZ")</f>
        <v>TALLER SFT DE MECÁNICA AUTOMOTRIZ</v>
      </c>
      <c r="D2153" s="213" t="str">
        <f>IFERROR(__xludf.DUMMYFUNCTION("""COMPUTED_VALUE"""),"EQUIPOS")</f>
        <v>EQUIPOS</v>
      </c>
      <c r="E2153" s="213" t="str">
        <f>IFERROR(__xludf.DUMMYFUNCTION("""COMPUTED_VALUE"""),"ESP-318")</f>
        <v>ESP-318</v>
      </c>
      <c r="F2153" s="213" t="str">
        <f>IFERROR(__xludf.DUMMYFUNCTION("""COMPUTED_VALUE"""),"ESP-318")</f>
        <v>ESP-318</v>
      </c>
      <c r="G2153" s="213"/>
      <c r="H2153" s="213" t="str">
        <f>IFERROR(__xludf.DUMMYFUNCTION("""COMPUTED_VALUE"""),"PUNTA LÓGICA AUTOMOTOR")</f>
        <v>PUNTA LÓGICA AUTOMOTOR</v>
      </c>
      <c r="I2153" s="213" t="str">
        <f>IFERROR(__xludf.DUMMYFUNCTION("""COMPUTED_VALUE"""),"Realiza verificación de circuitos.
Trabaja con sistemas de 6, 12, 24 voltios. Construcción de buena resistencia.
Terminales aislados.
Posee luz para interpretar las señales.")</f>
        <v>Realiza verificación de circuitos.
Trabaja con sistemas de 6, 12, 24 voltios. Construcción de buena resistencia.
Terminales aislados.
Posee luz para interpretar las señales.</v>
      </c>
      <c r="J2153" s="213">
        <f>IFERROR(__xludf.DUMMYFUNCTION("""COMPUTED_VALUE"""),3.0)</f>
        <v>3</v>
      </c>
      <c r="K2153" s="213" t="str">
        <f>IFERROR(__xludf.DUMMYFUNCTION("""COMPUTED_VALUE"""),"170 DÍAS CALENDARIO")</f>
        <v>170 DÍAS CALENDARIO</v>
      </c>
      <c r="L2153" s="213" t="str">
        <f>IFERROR(__xludf.DUMMYFUNCTION("""COMPUTED_VALUE"""),"")</f>
        <v/>
      </c>
      <c r="M2153" s="213">
        <f>IFERROR(__xludf.DUMMYFUNCTION("""COMPUTED_VALUE"""),1.0)</f>
        <v>1</v>
      </c>
      <c r="N2153" s="213">
        <f>IFERROR(__xludf.DUMMYFUNCTION("""COMPUTED_VALUE"""),4.0)</f>
        <v>4</v>
      </c>
      <c r="O2153" s="213">
        <f>IFERROR(__xludf.DUMMYFUNCTION("""COMPUTED_VALUE"""),4.0)</f>
        <v>4</v>
      </c>
      <c r="P2153" s="213"/>
      <c r="Q2153" s="213"/>
      <c r="R2153" s="213"/>
      <c r="S2153" s="213" t="str">
        <f>IFERROR(__xludf.DUMMYFUNCTION("""COMPUTED_VALUE"""),"SI")</f>
        <v>SI</v>
      </c>
      <c r="T2153" s="213" t="str">
        <f>IFERROR(__xludf.DUMMYFUNCTION("""COMPUTED_VALUE"""),"SI")</f>
        <v>SI</v>
      </c>
      <c r="U2153" s="213" t="str">
        <f>IFERROR(__xludf.DUMMYFUNCTION("""COMPUTED_VALUE"""),"SI")</f>
        <v>SI</v>
      </c>
      <c r="V2153" s="213" t="str">
        <f>IFERROR(__xludf.DUMMYFUNCTION("""COMPUTED_VALUE"""),"-")</f>
        <v>-</v>
      </c>
      <c r="W2153" s="213" t="str">
        <f>IFERROR(__xludf.DUMMYFUNCTION("""COMPUTED_VALUE"""),"-")</f>
        <v>-</v>
      </c>
      <c r="X2153" s="213" t="str">
        <f>IFERROR(__xludf.DUMMYFUNCTION("""COMPUTED_VALUE"""),"OTC")</f>
        <v>OTC</v>
      </c>
      <c r="Y2153" s="213" t="str">
        <f>IFERROR(__xludf.DUMMYFUNCTION("""COMPUTED_VALUE"""),"B3.3633")</f>
        <v>B3.3633</v>
      </c>
      <c r="Z2153" s="215" t="str">
        <f>IFERROR(__xludf.DUMMYFUNCTION("""COMPUTED_VALUE"""),"https://tesinperu.com/product/punta-logica-b3-3631/")</f>
        <v>https://tesinperu.com/product/punta-logica-b3-3631/</v>
      </c>
      <c r="AA2153" s="213" t="str">
        <f>IFERROR(__xludf.DUMMYFUNCTION("""COMPUTED_VALUE"""),"ESP-318 PUNTA LÓGICA AUTOMOTOR - CET")</f>
        <v>ESP-318 PUNTA LÓGICA AUTOMOTOR - CET</v>
      </c>
      <c r="AB2153" s="215" t="str">
        <f>IFERROR(__xludf.DUMMYFUNCTION("""COMPUTED_VALUE"""),"https://drive.google.com/file/d/1GpJ-tVzSf_pfdUWkt6r67eqmdiwluUNr/view")</f>
        <v>https://drive.google.com/file/d/1GpJ-tVzSf_pfdUWkt6r67eqmdiwluUNr/view</v>
      </c>
      <c r="AC2153" s="213"/>
      <c r="AD2153" s="213"/>
      <c r="AE2153" s="213"/>
      <c r="AF2153" s="213"/>
      <c r="AG2153" s="213"/>
      <c r="AH2153" s="213" t="str">
        <f>IFERROR(__xludf.DUMMYFUNCTION("""COMPUTED_VALUE"""),"NACIONAL")</f>
        <v>NACIONAL</v>
      </c>
      <c r="AI2153" s="213"/>
      <c r="AJ2153" s="213"/>
      <c r="AK2153" s="213"/>
      <c r="AL2153" s="213"/>
      <c r="AM2153" s="213"/>
      <c r="AN2153" s="213"/>
      <c r="AO2153" s="213"/>
      <c r="AP2153" s="213" t="str">
        <f>IFERROR(__xludf.DUMMYFUNCTION("""COMPUTED_VALUE"""),"NALDI")</f>
        <v>NALDI</v>
      </c>
      <c r="AQ2153" s="213"/>
      <c r="AR2153" s="213"/>
      <c r="AS2153" s="213"/>
      <c r="AT2153" s="213"/>
      <c r="AU2153" s="213"/>
      <c r="AV2153" s="213"/>
      <c r="AW2153" s="213"/>
      <c r="AX2153" s="213"/>
      <c r="AY2153" s="213"/>
      <c r="AZ2153" s="213"/>
      <c r="BA2153" s="213"/>
      <c r="BB2153" s="213"/>
      <c r="BC2153" s="213"/>
      <c r="BD2153" s="213"/>
    </row>
    <row r="2154">
      <c r="A2154" s="213">
        <f>IFERROR(__xludf.DUMMYFUNCTION("""COMPUTED_VALUE"""),27.0)</f>
        <v>27</v>
      </c>
      <c r="B2154" s="213" t="str">
        <f>IFERROR(__xludf.DUMMYFUNCTION("""COMPUTED_VALUE"""),"16449 ELOY SOBERON  FLORES")</f>
        <v>16449 ELOY SOBERON  FLORES</v>
      </c>
      <c r="C2154" s="213" t="str">
        <f>IFERROR(__xludf.DUMMYFUNCTION("""COMPUTED_VALUE"""),"TALLER SFT DE COCINA Y REPOSTERÍA")</f>
        <v>TALLER SFT DE COCINA Y REPOSTERÍA</v>
      </c>
      <c r="D2154" s="213" t="str">
        <f>IFERROR(__xludf.DUMMYFUNCTION("""COMPUTED_VALUE"""),"HERRAMIENTAS")</f>
        <v>HERRAMIENTAS</v>
      </c>
      <c r="E2154" s="213" t="str">
        <f>IFERROR(__xludf.DUMMYFUNCTION("""COMPUTED_VALUE"""),"MAT-212")</f>
        <v>MAT-212</v>
      </c>
      <c r="F2154" s="213" t="str">
        <f>IFERROR(__xludf.DUMMYFUNCTION("""COMPUTED_VALUE"""),"MAT-212")</f>
        <v>MAT-212</v>
      </c>
      <c r="G2154" s="213"/>
      <c r="H2154" s="213" t="str">
        <f>IFERROR(__xludf.DUMMYFUNCTION("""COMPUTED_VALUE"""),"JUEGO DE PINZAS DE COCINA")</f>
        <v>JUEGO DE PINZAS DE COCINA</v>
      </c>
      <c r="I2154" s="213" t="str">
        <f>IFERROR(__xludf.DUMMYFUNCTION("""COMPUTED_VALUE"""),"•   Antiadherente, resistente al calor y apto para lavavajillas.
•   100% silicona de grado alimenticio y acero inoxidable que no raya sus sartenes antiadherentes o rejillas de parrilla.
•   Equipado con una tecnología de anillo y cabezales de silicona no"&amp;" desmontables.
•   Tecnología de anillo de tracción mantendrá tus pinzas de apertura y cierre accidentalmente que te permitirá facilitar un mejor control mientras las usas.
•   Contiene 3 tamaños: pequeño 7 pulgadas, mediano 9 pulgadas, grande 12 pulgadas"&amp;"
• Es 100% libre de BPA y es capaz de resistir hasta 480 °F de calor")</f>
        <v>•   Antiadherente, resistente al calor y apto para lavavajillas.
•   100% silicona de grado alimenticio y acero inoxidable que no raya sus sartenes antiadherentes o rejillas de parrilla.
•   Equipado con una tecnología de anillo y cabezales de silicona no desmontables.
•   Tecnología de anillo de tracción mantendrá tus pinzas de apertura y cierre accidentalmente que te permitirá facilitar un mejor control mientras las usas.
•   Contiene 3 tamaños: pequeño 7 pulgadas, mediano 9 pulgadas, grande 12 pulgadas
• Es 100% libre de BPA y es capaz de resistir hasta 480 °F de calor</v>
      </c>
      <c r="J2154" s="213">
        <f>IFERROR(__xludf.DUMMYFUNCTION("""COMPUTED_VALUE"""),3.0)</f>
        <v>3</v>
      </c>
      <c r="K2154" s="213" t="str">
        <f>IFERROR(__xludf.DUMMYFUNCTION("""COMPUTED_VALUE"""),"90 DÍAS CALENDARIO")</f>
        <v>90 DÍAS CALENDARIO</v>
      </c>
      <c r="L2154" s="213" t="str">
        <f>IFERROR(__xludf.DUMMYFUNCTION("""COMPUTED_VALUE"""),"")</f>
        <v/>
      </c>
      <c r="M2154" s="213">
        <f>IFERROR(__xludf.DUMMYFUNCTION("""COMPUTED_VALUE"""),1.0)</f>
        <v>1</v>
      </c>
      <c r="N2154" s="213">
        <f>IFERROR(__xludf.DUMMYFUNCTION("""COMPUTED_VALUE"""),4.0)</f>
        <v>4</v>
      </c>
      <c r="O2154" s="213">
        <f>IFERROR(__xludf.DUMMYFUNCTION("""COMPUTED_VALUE"""),4.0)</f>
        <v>4</v>
      </c>
      <c r="P2154" s="213"/>
      <c r="Q2154" s="213"/>
      <c r="R2154" s="213"/>
      <c r="S2154" s="213"/>
      <c r="T2154" s="213" t="str">
        <f>IFERROR(__xludf.DUMMYFUNCTION("""COMPUTED_VALUE"""),"SI")</f>
        <v>SI</v>
      </c>
      <c r="U2154" s="213" t="str">
        <f>IFERROR(__xludf.DUMMYFUNCTION("""COMPUTED_VALUE"""),"SI")</f>
        <v>SI</v>
      </c>
      <c r="V2154" s="213" t="str">
        <f>IFERROR(__xludf.DUMMYFUNCTION("""COMPUTED_VALUE"""),"-")</f>
        <v>-</v>
      </c>
      <c r="W2154" s="213" t="str">
        <f>IFERROR(__xludf.DUMMYFUNCTION("""COMPUTED_VALUE"""),"-")</f>
        <v>-</v>
      </c>
      <c r="X2154" s="213" t="str">
        <f>IFERROR(__xludf.DUMMYFUNCTION("""COMPUTED_VALUE"""),"Walfos")</f>
        <v>Walfos</v>
      </c>
      <c r="Y2154" s="213" t="str">
        <f>IFERROR(__xludf.DUMMYFUNCTION("""COMPUTED_VALUE"""),"Juego de pinzas de silicona resistentes al calor, 600 grados, pinzas de cocina para cocinar, asar a la parrilla, torneado, puntas de silicona sin BPA (7, 9 y 12 pulgadas)")</f>
        <v>Juego de pinzas de silicona resistentes al calor, 600 grados, pinzas de cocina para cocinar, asar a la parrilla, torneado, puntas de silicona sin BPA (7, 9 y 12 pulgadas)</v>
      </c>
      <c r="Z2154" s="215" t="str">
        <f>IFERROR(__xludf.DUMMYFUNCTION("""COMPUTED_VALUE"""),"https://www.amazon.com/-/es/silicona-resistentes-parrilla-torneado-pulgadas/dp/B0BVRDWNS7?th=1")</f>
        <v>https://www.amazon.com/-/es/silicona-resistentes-parrilla-torneado-pulgadas/dp/B0BVRDWNS7?th=1</v>
      </c>
      <c r="AA2154" s="213" t="str">
        <f>IFERROR(__xludf.DUMMYFUNCTION("""COMPUTED_VALUE"""),"MAT-212 JUEGO DE PINZAS DE COCINA - CET")</f>
        <v>MAT-212 JUEGO DE PINZAS DE COCINA - CET</v>
      </c>
      <c r="AB2154" s="213"/>
      <c r="AC2154" s="213"/>
      <c r="AD2154" s="213"/>
      <c r="AE2154" s="213"/>
      <c r="AF2154" s="213"/>
      <c r="AG2154" s="213"/>
      <c r="AH2154" s="213"/>
      <c r="AI2154" s="213"/>
      <c r="AJ2154" s="213"/>
      <c r="AK2154" s="213"/>
      <c r="AL2154" s="213"/>
      <c r="AM2154" s="213"/>
      <c r="AN2154" s="213"/>
      <c r="AO2154" s="213"/>
      <c r="AP2154" s="213" t="str">
        <f>IFERROR(__xludf.DUMMYFUNCTION("""COMPUTED_VALUE"""),"BRUNO")</f>
        <v>BRUNO</v>
      </c>
      <c r="AQ2154" s="213"/>
      <c r="AR2154" s="213"/>
      <c r="AS2154" s="213"/>
      <c r="AT2154" s="213"/>
      <c r="AU2154" s="213"/>
      <c r="AV2154" s="213"/>
      <c r="AW2154" s="213"/>
      <c r="AX2154" s="213"/>
      <c r="AY2154" s="213"/>
      <c r="AZ2154" s="213"/>
      <c r="BA2154" s="213"/>
      <c r="BB2154" s="213"/>
      <c r="BC2154" s="213"/>
      <c r="BD2154" s="213"/>
    </row>
    <row r="2155">
      <c r="A2155" s="213">
        <f>IFERROR(__xludf.DUMMYFUNCTION("""COMPUTED_VALUE"""),1786.0)</f>
        <v>1786</v>
      </c>
      <c r="B2155" s="213" t="str">
        <f>IFERROR(__xludf.DUMMYFUNCTION("""COMPUTED_VALUE"""),"GUILLERMO E. BILLINGHURST ")</f>
        <v>GUILLERMO E. BILLINGHURST </v>
      </c>
      <c r="C2155" s="213" t="str">
        <f>IFERROR(__xludf.DUMMYFUNCTION("""COMPUTED_VALUE"""),"TALLER SFT DE EBANISTERÍA")</f>
        <v>TALLER SFT DE EBANISTERÍA</v>
      </c>
      <c r="D2155" s="213" t="str">
        <f>IFERROR(__xludf.DUMMYFUNCTION("""COMPUTED_VALUE"""),"HERRAMIENTAS")</f>
        <v>HERRAMIENTAS</v>
      </c>
      <c r="E2155" s="213" t="str">
        <f>IFERROR(__xludf.DUMMYFUNCTION("""COMPUTED_VALUE"""),"MAT-214")</f>
        <v>MAT-214</v>
      </c>
      <c r="F2155" s="213" t="str">
        <f>IFERROR(__xludf.DUMMYFUNCTION("""COMPUTED_VALUE"""),"MAT-214")</f>
        <v>MAT-214</v>
      </c>
      <c r="G2155" s="213"/>
      <c r="H2155" s="213" t="str">
        <f>IFERROR(__xludf.DUMMYFUNCTION("""COMPUTED_VALUE"""),"JUEGO DE REGLAS METÁLICAS DE 30 CM, 60 CM Y 100 CM")</f>
        <v>JUEGO DE REGLAS METÁLICAS DE 30 CM, 60 CM Y 100 CM</v>
      </c>
      <c r="I2155" s="213" t="str">
        <f>IFERROR(__xludf.DUMMYFUNCTION("""COMPUTED_VALUE"""),"Tres reglas graduadas en milimetros y en pulgadas Mínimo de 300 mm, 600 mm  y de 1000 mm.
Anchura y grosor de la reglas: mínimo 25 mm x 0,9 mm. Material: acero inoxidable.")</f>
        <v>Tres reglas graduadas en milimetros y en pulgadas Mínimo de 300 mm, 600 mm  y de 1000 mm.
Anchura y grosor de la reglas: mínimo 25 mm x 0,9 mm. Material: acero inoxidable.</v>
      </c>
      <c r="J2155" s="213">
        <f>IFERROR(__xludf.DUMMYFUNCTION("""COMPUTED_VALUE"""),3.0)</f>
        <v>3</v>
      </c>
      <c r="K2155" s="213" t="str">
        <f>IFERROR(__xludf.DUMMYFUNCTION("""COMPUTED_VALUE"""),"90 DÍAS CALENDARIO")</f>
        <v>90 DÍAS CALENDARIO</v>
      </c>
      <c r="L2155" s="213" t="str">
        <f>IFERROR(__xludf.DUMMYFUNCTION("""COMPUTED_VALUE"""),"")</f>
        <v/>
      </c>
      <c r="M2155" s="213">
        <f>IFERROR(__xludf.DUMMYFUNCTION("""COMPUTED_VALUE"""),1.0)</f>
        <v>1</v>
      </c>
      <c r="N2155" s="213">
        <f>IFERROR(__xludf.DUMMYFUNCTION("""COMPUTED_VALUE"""),4.0)</f>
        <v>4</v>
      </c>
      <c r="O2155" s="213">
        <f>IFERROR(__xludf.DUMMYFUNCTION("""COMPUTED_VALUE"""),4.0)</f>
        <v>4</v>
      </c>
      <c r="P2155" s="213"/>
      <c r="Q2155" s="213"/>
      <c r="R2155" s="213"/>
      <c r="S2155" s="213"/>
      <c r="T2155" s="213" t="str">
        <f>IFERROR(__xludf.DUMMYFUNCTION("""COMPUTED_VALUE"""),"SI")</f>
        <v>SI</v>
      </c>
      <c r="U2155" s="213" t="str">
        <f>IFERROR(__xludf.DUMMYFUNCTION("""COMPUTED_VALUE"""),"SI")</f>
        <v>SI</v>
      </c>
      <c r="V2155" s="213" t="str">
        <f>IFERROR(__xludf.DUMMYFUNCTION("""COMPUTED_VALUE"""),"-")</f>
        <v>-</v>
      </c>
      <c r="W2155" s="213" t="str">
        <f>IFERROR(__xludf.DUMMYFUNCTION("""COMPUTED_VALUE"""),"-")</f>
        <v>-</v>
      </c>
      <c r="X2155" s="213" t="str">
        <f>IFERROR(__xludf.DUMMYFUNCTION("""COMPUTED_VALUE"""),"Foska")</f>
        <v>Foska</v>
      </c>
      <c r="Y2155" s="213" t="str">
        <f>IFERROR(__xludf.DUMMYFUNCTION("""COMPUTED_VALUE"""),"SG030")</f>
        <v>SG030</v>
      </c>
      <c r="Z2155" s="215" t="str">
        <f>IFERROR(__xludf.DUMMYFUNCTION("""COMPUTED_VALUE"""),"https://foskamic.en.made-in-china.com/product/itUYpkTyvIcL/China-Foska-20cm-30cm-50cm-60cm-100cm-Classic-Stainless-Steel-Metal-Rulers-for-Surveying-Drawing.html")</f>
        <v>https://foskamic.en.made-in-china.com/product/itUYpkTyvIcL/China-Foska-20cm-30cm-50cm-60cm-100cm-Classic-Stainless-Steel-Metal-Rulers-for-Surveying-Drawing.html</v>
      </c>
      <c r="AA2155" s="213" t="str">
        <f>IFERROR(__xludf.DUMMYFUNCTION("""COMPUTED_VALUE"""),"MAT-214 JUEGO DE REGLAS METÁLICAS DE 30 CM, 60 CM Y 100 CM - CET")</f>
        <v>MAT-214 JUEGO DE REGLAS METÁLICAS DE 30 CM, 60 CM Y 100 CM - CET</v>
      </c>
      <c r="AB2155" s="213"/>
      <c r="AC2155" s="213"/>
      <c r="AD2155" s="213"/>
      <c r="AE2155" s="213"/>
      <c r="AF2155" s="213"/>
      <c r="AG2155" s="213"/>
      <c r="AH2155" s="213"/>
      <c r="AI2155" s="213"/>
      <c r="AJ2155" s="213"/>
      <c r="AK2155" s="213"/>
      <c r="AL2155" s="213"/>
      <c r="AM2155" s="213"/>
      <c r="AN2155" s="213"/>
      <c r="AO2155" s="213"/>
      <c r="AP2155" s="213" t="str">
        <f>IFERROR(__xludf.DUMMYFUNCTION("""COMPUTED_VALUE"""),"SEBASTIAN")</f>
        <v>SEBASTIAN</v>
      </c>
      <c r="AQ2155" s="213"/>
      <c r="AR2155" s="213"/>
      <c r="AS2155" s="213">
        <f>IFERROR(__xludf.DUMMYFUNCTION("""COMPUTED_VALUE"""),0.0)</f>
        <v>0</v>
      </c>
      <c r="AT2155" s="213"/>
      <c r="AU2155" s="213"/>
      <c r="AV2155" s="213"/>
      <c r="AW2155" s="213"/>
      <c r="AX2155" s="213"/>
      <c r="AY2155" s="213"/>
      <c r="AZ2155" s="213"/>
      <c r="BA2155" s="213"/>
      <c r="BB2155" s="213"/>
      <c r="BC2155" s="213"/>
      <c r="BD2155" s="213"/>
    </row>
    <row r="2156">
      <c r="A2156" s="213">
        <f>IFERROR(__xludf.DUMMYFUNCTION("""COMPUTED_VALUE"""),2568.0)</f>
        <v>2568</v>
      </c>
      <c r="B2156" s="213" t="str">
        <f>IFERROR(__xludf.DUMMYFUNCTION("""COMPUTED_VALUE"""),"MANUEL ANTONIO MESONES MURO")</f>
        <v>MANUEL ANTONIO MESONES MURO</v>
      </c>
      <c r="C2156" s="213" t="str">
        <f>IFERROR(__xludf.DUMMYFUNCTION("""COMPUTED_VALUE"""),"TALLER SFT DE EBANISTERÍA")</f>
        <v>TALLER SFT DE EBANISTERÍA</v>
      </c>
      <c r="D2156" s="213" t="str">
        <f>IFERROR(__xludf.DUMMYFUNCTION("""COMPUTED_VALUE"""),"HERRAMIENTAS")</f>
        <v>HERRAMIENTAS</v>
      </c>
      <c r="E2156" s="213" t="str">
        <f>IFERROR(__xludf.DUMMYFUNCTION("""COMPUTED_VALUE"""),"MAT-214")</f>
        <v>MAT-214</v>
      </c>
      <c r="F2156" s="213" t="str">
        <f>IFERROR(__xludf.DUMMYFUNCTION("""COMPUTED_VALUE"""),"MAT-214")</f>
        <v>MAT-214</v>
      </c>
      <c r="G2156" s="213"/>
      <c r="H2156" s="213" t="str">
        <f>IFERROR(__xludf.DUMMYFUNCTION("""COMPUTED_VALUE"""),"JUEGO DE REGLAS METÁLICAS DE 30 CM, 60 CM Y 100 CM")</f>
        <v>JUEGO DE REGLAS METÁLICAS DE 30 CM, 60 CM Y 100 CM</v>
      </c>
      <c r="I2156" s="213" t="str">
        <f>IFERROR(__xludf.DUMMYFUNCTION("""COMPUTED_VALUE"""),"Tres reglas graduadas en milimetros y en pulgadas Mínimo de 300 mm, 600 mm  y de 1000 mm.
Anchura y grosor de la reglas: mínimo 25 mm x 0,9 mm. Material: acero inoxidable.")</f>
        <v>Tres reglas graduadas en milimetros y en pulgadas Mínimo de 300 mm, 600 mm  y de 1000 mm.
Anchura y grosor de la reglas: mínimo 25 mm x 0,9 mm. Material: acero inoxidable.</v>
      </c>
      <c r="J2156" s="213">
        <f>IFERROR(__xludf.DUMMYFUNCTION("""COMPUTED_VALUE"""),3.0)</f>
        <v>3</v>
      </c>
      <c r="K2156" s="213" t="str">
        <f>IFERROR(__xludf.DUMMYFUNCTION("""COMPUTED_VALUE"""),"90 DÍAS CALENDARIO")</f>
        <v>90 DÍAS CALENDARIO</v>
      </c>
      <c r="L2156" s="213" t="str">
        <f>IFERROR(__xludf.DUMMYFUNCTION("""COMPUTED_VALUE"""),"")</f>
        <v/>
      </c>
      <c r="M2156" s="213">
        <f>IFERROR(__xludf.DUMMYFUNCTION("""COMPUTED_VALUE"""),1.0)</f>
        <v>1</v>
      </c>
      <c r="N2156" s="213">
        <f>IFERROR(__xludf.DUMMYFUNCTION("""COMPUTED_VALUE"""),4.0)</f>
        <v>4</v>
      </c>
      <c r="O2156" s="213">
        <f>IFERROR(__xludf.DUMMYFUNCTION("""COMPUTED_VALUE"""),4.0)</f>
        <v>4</v>
      </c>
      <c r="P2156" s="213"/>
      <c r="Q2156" s="213"/>
      <c r="R2156" s="213"/>
      <c r="S2156" s="213"/>
      <c r="T2156" s="213" t="str">
        <f>IFERROR(__xludf.DUMMYFUNCTION("""COMPUTED_VALUE"""),"SI")</f>
        <v>SI</v>
      </c>
      <c r="U2156" s="213" t="str">
        <f>IFERROR(__xludf.DUMMYFUNCTION("""COMPUTED_VALUE"""),"SI")</f>
        <v>SI</v>
      </c>
      <c r="V2156" s="213" t="str">
        <f>IFERROR(__xludf.DUMMYFUNCTION("""COMPUTED_VALUE"""),"-")</f>
        <v>-</v>
      </c>
      <c r="W2156" s="213" t="str">
        <f>IFERROR(__xludf.DUMMYFUNCTION("""COMPUTED_VALUE"""),"-")</f>
        <v>-</v>
      </c>
      <c r="X2156" s="213" t="str">
        <f>IFERROR(__xludf.DUMMYFUNCTION("""COMPUTED_VALUE"""),"Foska")</f>
        <v>Foska</v>
      </c>
      <c r="Y2156" s="213" t="str">
        <f>IFERROR(__xludf.DUMMYFUNCTION("""COMPUTED_VALUE"""),"SG030")</f>
        <v>SG030</v>
      </c>
      <c r="Z2156" s="215" t="str">
        <f>IFERROR(__xludf.DUMMYFUNCTION("""COMPUTED_VALUE"""),"https://foskamic.en.made-in-china.com/product/itUYpkTyvIcL/China-Foska-20cm-30cm-50cm-60cm-100cm-Classic-Stainless-Steel-Metal-Rulers-for-Surveying-Drawing.html")</f>
        <v>https://foskamic.en.made-in-china.com/product/itUYpkTyvIcL/China-Foska-20cm-30cm-50cm-60cm-100cm-Classic-Stainless-Steel-Metal-Rulers-for-Surveying-Drawing.html</v>
      </c>
      <c r="AA2156" s="213" t="str">
        <f>IFERROR(__xludf.DUMMYFUNCTION("""COMPUTED_VALUE"""),"MAT-214 JUEGO DE REGLAS METÁLICAS DE 30 CM, 60 CM Y 100 CM - CET")</f>
        <v>MAT-214 JUEGO DE REGLAS METÁLICAS DE 30 CM, 60 CM Y 100 CM - CET</v>
      </c>
      <c r="AB2156" s="213"/>
      <c r="AC2156" s="213"/>
      <c r="AD2156" s="213"/>
      <c r="AE2156" s="213"/>
      <c r="AF2156" s="213"/>
      <c r="AG2156" s="213"/>
      <c r="AH2156" s="213"/>
      <c r="AI2156" s="213"/>
      <c r="AJ2156" s="213"/>
      <c r="AK2156" s="213"/>
      <c r="AL2156" s="213"/>
      <c r="AM2156" s="213"/>
      <c r="AN2156" s="213"/>
      <c r="AO2156" s="213"/>
      <c r="AP2156" s="213" t="str">
        <f>IFERROR(__xludf.DUMMYFUNCTION("""COMPUTED_VALUE"""),"SEBASTIAN")</f>
        <v>SEBASTIAN</v>
      </c>
      <c r="AQ2156" s="213"/>
      <c r="AR2156" s="213"/>
      <c r="AS2156" s="213">
        <f>IFERROR(__xludf.DUMMYFUNCTION("""COMPUTED_VALUE"""),0.0)</f>
        <v>0</v>
      </c>
      <c r="AT2156" s="213"/>
      <c r="AU2156" s="213"/>
      <c r="AV2156" s="213"/>
      <c r="AW2156" s="213"/>
      <c r="AX2156" s="213"/>
      <c r="AY2156" s="213"/>
      <c r="AZ2156" s="213"/>
      <c r="BA2156" s="213"/>
      <c r="BB2156" s="213"/>
      <c r="BC2156" s="213"/>
      <c r="BD2156" s="213"/>
    </row>
    <row r="2157">
      <c r="A2157" s="213">
        <f>IFERROR(__xludf.DUMMYFUNCTION("""COMPUTED_VALUE"""),31.0)</f>
        <v>31</v>
      </c>
      <c r="B2157" s="213" t="str">
        <f>IFERROR(__xludf.DUMMYFUNCTION("""COMPUTED_VALUE"""),"16449 ELOY SOBERON  FLORES")</f>
        <v>16449 ELOY SOBERON  FLORES</v>
      </c>
      <c r="C2157" s="213" t="str">
        <f>IFERROR(__xludf.DUMMYFUNCTION("""COMPUTED_VALUE"""),"TALLER SFT DE COCINA Y REPOSTERÍA")</f>
        <v>TALLER SFT DE COCINA Y REPOSTERÍA</v>
      </c>
      <c r="D2157" s="213" t="str">
        <f>IFERROR(__xludf.DUMMYFUNCTION("""COMPUTED_VALUE"""),"HERRAMIENTAS")</f>
        <v>HERRAMIENTAS</v>
      </c>
      <c r="E2157" s="213" t="str">
        <f>IFERROR(__xludf.DUMMYFUNCTION("""COMPUTED_VALUE"""),"MAT-215")</f>
        <v>MAT-215</v>
      </c>
      <c r="F2157" s="213" t="str">
        <f>IFERROR(__xludf.DUMMYFUNCTION("""COMPUTED_VALUE"""),"MAT-215")</f>
        <v>MAT-215</v>
      </c>
      <c r="G2157" s="213"/>
      <c r="H2157" s="213" t="str">
        <f>IFERROR(__xludf.DUMMYFUNCTION("""COMPUTED_VALUE"""),"JUEGO DE SARTENES PARA COCINA DE INDUCCIÓN")</f>
        <v>JUEGO DE SARTENES PARA COCINA DE INDUCCIÓN</v>
      </c>
      <c r="I2157" s="213" t="str">
        <f>IFERROR(__xludf.DUMMYFUNCTION("""COMPUTED_VALUE"""),"La caracteristica principal evita que los alimentos no se peguen facilitando su limpieza. Resistente a rayaduras.
- Mango de bakelita aislante del calor en color negro, con un diseño ergonómico para un manejo cómodo y seguro.
- Cuenta con un fondo difusor"&amp;" que distribuye rápida y homogéneamente el calor permitiendo cocinar en menor tiempo haciendo que los alimentos conserven mejor sus nutrientes y ahorro de energía.
- Marcador para el aceite en base interna. Ideal para uso en cocinas a gas, eléctrica, vitr"&amp;"ocerámica e inducción.
- Numero de piezas minimas : 3 sartenes")</f>
        <v>La caracteristica principal evita que los alimentos no se peguen facilitando su limpieza. Resistente a rayaduras.
- Mango de bakelita aislante del calor en color negro, con un diseño ergonómico para un manejo cómodo y seguro.
- Cuenta con un fondo difusor que distribuye rápida y homogéneamente el calor permitiendo cocinar en menor tiempo haciendo que los alimentos conserven mejor sus nutrientes y ahorro de energía.
- Marcador para el aceite en base interna. Ideal para uso en cocinas a gas, eléctrica, vitrocerámica e inducción.
- Numero de piezas minimas : 3 sartenes</v>
      </c>
      <c r="J2157" s="213">
        <f>IFERROR(__xludf.DUMMYFUNCTION("""COMPUTED_VALUE"""),3.0)</f>
        <v>3</v>
      </c>
      <c r="K2157" s="213" t="str">
        <f>IFERROR(__xludf.DUMMYFUNCTION("""COMPUTED_VALUE"""),"90 DÍAS CALENDARIO")</f>
        <v>90 DÍAS CALENDARIO</v>
      </c>
      <c r="L2157" s="213" t="str">
        <f>IFERROR(__xludf.DUMMYFUNCTION("""COMPUTED_VALUE"""),"")</f>
        <v/>
      </c>
      <c r="M2157" s="213">
        <f>IFERROR(__xludf.DUMMYFUNCTION("""COMPUTED_VALUE"""),1.0)</f>
        <v>1</v>
      </c>
      <c r="N2157" s="213">
        <f>IFERROR(__xludf.DUMMYFUNCTION("""COMPUTED_VALUE"""),2.0)</f>
        <v>2</v>
      </c>
      <c r="O2157" s="213">
        <f>IFERROR(__xludf.DUMMYFUNCTION("""COMPUTED_VALUE"""),2.0)</f>
        <v>2</v>
      </c>
      <c r="P2157" s="213"/>
      <c r="Q2157" s="213"/>
      <c r="R2157" s="213"/>
      <c r="S2157" s="213"/>
      <c r="T2157" s="213" t="str">
        <f>IFERROR(__xludf.DUMMYFUNCTION("""COMPUTED_VALUE"""),"SI")</f>
        <v>SI</v>
      </c>
      <c r="U2157" s="213" t="str">
        <f>IFERROR(__xludf.DUMMYFUNCTION("""COMPUTED_VALUE"""),"SI")</f>
        <v>SI</v>
      </c>
      <c r="V2157" s="213" t="str">
        <f>IFERROR(__xludf.DUMMYFUNCTION("""COMPUTED_VALUE"""),"-")</f>
        <v>-</v>
      </c>
      <c r="W2157" s="213" t="str">
        <f>IFERROR(__xludf.DUMMYFUNCTION("""COMPUTED_VALUE"""),"-")</f>
        <v>-</v>
      </c>
      <c r="X2157" s="213" t="str">
        <f>IFERROR(__xludf.DUMMYFUNCTION("""COMPUTED_VALUE"""),"LABAN")</f>
        <v>LABAN</v>
      </c>
      <c r="Y2157" s="213" t="str">
        <f>IFERROR(__xludf.DUMMYFUNCTION("""COMPUTED_VALUE"""),"SARTEN RECORD CRONO 26CM C/ANTIADERENTE")</f>
        <v>SARTEN RECORD CRONO 26CM C/ANTIADERENTE</v>
      </c>
      <c r="Z2157" s="215" t="str">
        <f>IFERROR(__xludf.DUMMYFUNCTION("""COMPUTED_VALUE"""),"https://www.falabella.com.pe/falabella-pe/product/18135056/Sarten-Aluminio-Antiadherente-Induccion-Unlimited-26cm/18135056")</f>
        <v>https://www.falabella.com.pe/falabella-pe/product/18135056/Sarten-Aluminio-Antiadherente-Induccion-Unlimited-26cm/18135056</v>
      </c>
      <c r="AA2157" s="213" t="str">
        <f>IFERROR(__xludf.DUMMYFUNCTION("""COMPUTED_VALUE"""),"MAT-215 JUEGO DE SARTENES PARA COCINA DE INDUCCIÓN - CET")</f>
        <v>MAT-215 JUEGO DE SARTENES PARA COCINA DE INDUCCIÓN - CET</v>
      </c>
      <c r="AB2157" s="213"/>
      <c r="AC2157" s="213"/>
      <c r="AD2157" s="213"/>
      <c r="AE2157" s="213"/>
      <c r="AF2157" s="213"/>
      <c r="AG2157" s="213"/>
      <c r="AH2157" s="213"/>
      <c r="AI2157" s="213"/>
      <c r="AJ2157" s="213"/>
      <c r="AK2157" s="213"/>
      <c r="AL2157" s="213"/>
      <c r="AM2157" s="213"/>
      <c r="AN2157" s="213"/>
      <c r="AO2157" s="213"/>
      <c r="AP2157" s="213" t="str">
        <f>IFERROR(__xludf.DUMMYFUNCTION("""COMPUTED_VALUE"""),"BRUNO")</f>
        <v>BRUNO</v>
      </c>
      <c r="AQ2157" s="213" t="str">
        <f>IFERROR(__xludf.DUMMYFUNCTION("""COMPUTED_VALUE"""),"Piden un juego de 3, para ello comprar 3 veces el producto")</f>
        <v>Piden un juego de 3, para ello comprar 3 veces el producto</v>
      </c>
      <c r="AR2157" s="213"/>
      <c r="AS2157" s="213"/>
      <c r="AT2157" s="213"/>
      <c r="AU2157" s="213"/>
      <c r="AV2157" s="213"/>
      <c r="AW2157" s="213"/>
      <c r="AX2157" s="213"/>
      <c r="AY2157" s="213"/>
      <c r="AZ2157" s="213"/>
      <c r="BA2157" s="213"/>
      <c r="BB2157" s="213"/>
      <c r="BC2157" s="213"/>
      <c r="BD2157" s="213"/>
    </row>
    <row r="2158">
      <c r="A2158" s="213">
        <f>IFERROR(__xludf.DUMMYFUNCTION("""COMPUTED_VALUE"""),37.0)</f>
        <v>37</v>
      </c>
      <c r="B2158" s="213" t="str">
        <f>IFERROR(__xludf.DUMMYFUNCTION("""COMPUTED_VALUE"""),"16449 ELOY SOBERON  FLORES")</f>
        <v>16449 ELOY SOBERON  FLORES</v>
      </c>
      <c r="C2158" s="213" t="str">
        <f>IFERROR(__xludf.DUMMYFUNCTION("""COMPUTED_VALUE"""),"TALLER SFT DE COCINA Y REPOSTERÍA")</f>
        <v>TALLER SFT DE COCINA Y REPOSTERÍA</v>
      </c>
      <c r="D2158" s="213" t="str">
        <f>IFERROR(__xludf.DUMMYFUNCTION("""COMPUTED_VALUE"""),"HERRAMIENTAS")</f>
        <v>HERRAMIENTAS</v>
      </c>
      <c r="E2158" s="213" t="str">
        <f>IFERROR(__xludf.DUMMYFUNCTION("""COMPUTED_VALUE"""),"MAT-216")</f>
        <v>MAT-216</v>
      </c>
      <c r="F2158" s="213" t="str">
        <f>IFERROR(__xludf.DUMMYFUNCTION("""COMPUTED_VALUE"""),"MAT-216")</f>
        <v>MAT-216</v>
      </c>
      <c r="G2158" s="213"/>
      <c r="H2158" s="213" t="str">
        <f>IFERROR(__xludf.DUMMYFUNCTION("""COMPUTED_VALUE"""),"JUEGO DE TABLAS PICADORAS")</f>
        <v>JUEGO DE TABLAS PICADORAS</v>
      </c>
      <c r="I2158" s="213" t="str">
        <f>IFERROR(__xludf.DUMMYFUNCTION("""COMPUTED_VALUE"""),"Tabla con medidas referenciales: L: 29 cm A: 2Ocm H: 0.7 cm
.  01 Color amarillo, carnes blancas (pollo, pavo, …).
.  01 Color azul, Pescados y mariscos.
.  01 Color verde, frutas y verduras.
L. V0E1 RCAoloHr irlodjao, carnes rojas (ternera, cordero, …).
"&amp;"0. 90918Csoloofrtmarrón, carnes cocinadas y fiambres.
.  01 Color blanco, pastas, pan, bollería y quesos.
A")</f>
        <v>Tabla con medidas referenciales: L: 29 cm A: 2Ocm H: 0.7 cm
.  01 Color amarillo, carnes blancas (pollo, pavo, …).
.  01 Color azul, Pescados y mariscos.
.  01 Color verde, frutas y verduras.
L. V0E1 RCAoloHr irlodjao, carnes rojas (ternera, cordero, …).
0. 90918Csoloofrtmarrón, carnes cocinadas y fiambres.
.  01 Color blanco, pastas, pan, bollería y quesos.
A</v>
      </c>
      <c r="J2158" s="213">
        <f>IFERROR(__xludf.DUMMYFUNCTION("""COMPUTED_VALUE"""),3.0)</f>
        <v>3</v>
      </c>
      <c r="K2158" s="213" t="str">
        <f>IFERROR(__xludf.DUMMYFUNCTION("""COMPUTED_VALUE"""),"90 DÍAS CALENDARIO")</f>
        <v>90 DÍAS CALENDARIO</v>
      </c>
      <c r="L2158" s="213" t="str">
        <f>IFERROR(__xludf.DUMMYFUNCTION("""COMPUTED_VALUE"""),"")</f>
        <v/>
      </c>
      <c r="M2158" s="213">
        <f>IFERROR(__xludf.DUMMYFUNCTION("""COMPUTED_VALUE"""),1.0)</f>
        <v>1</v>
      </c>
      <c r="N2158" s="213">
        <f>IFERROR(__xludf.DUMMYFUNCTION("""COMPUTED_VALUE"""),4.0)</f>
        <v>4</v>
      </c>
      <c r="O2158" s="213">
        <f>IFERROR(__xludf.DUMMYFUNCTION("""COMPUTED_VALUE"""),4.0)</f>
        <v>4</v>
      </c>
      <c r="P2158" s="213"/>
      <c r="Q2158" s="213"/>
      <c r="R2158" s="213"/>
      <c r="S2158" s="213"/>
      <c r="T2158" s="213" t="str">
        <f>IFERROR(__xludf.DUMMYFUNCTION("""COMPUTED_VALUE"""),"SI")</f>
        <v>SI</v>
      </c>
      <c r="U2158" s="213" t="str">
        <f>IFERROR(__xludf.DUMMYFUNCTION("""COMPUTED_VALUE"""),"SI")</f>
        <v>SI</v>
      </c>
      <c r="V2158" s="213" t="str">
        <f>IFERROR(__xludf.DUMMYFUNCTION("""COMPUTED_VALUE"""),"-")</f>
        <v>-</v>
      </c>
      <c r="W2158" s="213" t="str">
        <f>IFERROR(__xludf.DUMMYFUNCTION("""COMPUTED_VALUE"""),"-")</f>
        <v>-</v>
      </c>
      <c r="X2158" s="213" t="str">
        <f>IFERROR(__xludf.DUMMYFUNCTION("""COMPUTED_VALUE"""),"Progelcone")</f>
        <v>Progelcone</v>
      </c>
      <c r="Y2158" s="213" t="str">
        <f>IFERROR(__xludf.DUMMYFUNCTION("""COMPUTED_VALUE"""),"Tabla para Cortar Varios Colores LDPE 400x300x10mm 6 uds")</f>
        <v>Tabla para Cortar Varios Colores LDPE 400x300x10mm 6 uds</v>
      </c>
      <c r="Z2158" s="215" t="str">
        <f>IFERROR(__xludf.DUMMYFUNCTION("""COMPUTED_VALUE"""),"https://www.progelcone.com/store/produto.asp?c=ses768267")</f>
        <v>https://www.progelcone.com/store/produto.asp?c=ses768267</v>
      </c>
      <c r="AA2158" s="213" t="str">
        <f>IFERROR(__xludf.DUMMYFUNCTION("""COMPUTED_VALUE"""),"MAT-216 JUEGO DE TABLAS PICADORAS - CET")</f>
        <v>MAT-216 JUEGO DE TABLAS PICADORAS - CET</v>
      </c>
      <c r="AB2158" s="213"/>
      <c r="AC2158" s="213"/>
      <c r="AD2158" s="213"/>
      <c r="AE2158" s="213"/>
      <c r="AF2158" s="213"/>
      <c r="AG2158" s="213"/>
      <c r="AH2158" s="213"/>
      <c r="AI2158" s="213"/>
      <c r="AJ2158" s="213"/>
      <c r="AK2158" s="213"/>
      <c r="AL2158" s="213"/>
      <c r="AM2158" s="213"/>
      <c r="AN2158" s="213"/>
      <c r="AO2158" s="213"/>
      <c r="AP2158" s="213" t="str">
        <f>IFERROR(__xludf.DUMMYFUNCTION("""COMPUTED_VALUE"""),"BRUNO")</f>
        <v>BRUNO</v>
      </c>
      <c r="AQ2158" s="213"/>
      <c r="AR2158" s="213"/>
      <c r="AS2158" s="213"/>
      <c r="AT2158" s="213"/>
      <c r="AU2158" s="213"/>
      <c r="AV2158" s="213"/>
      <c r="AW2158" s="213"/>
      <c r="AX2158" s="213"/>
      <c r="AY2158" s="213"/>
      <c r="AZ2158" s="213"/>
      <c r="BA2158" s="213"/>
      <c r="BB2158" s="213"/>
      <c r="BC2158" s="213"/>
      <c r="BD2158" s="213"/>
    </row>
    <row r="2159">
      <c r="A2159" s="213">
        <f>IFERROR(__xludf.DUMMYFUNCTION("""COMPUTED_VALUE"""),36.0)</f>
        <v>36</v>
      </c>
      <c r="B2159" s="213" t="str">
        <f>IFERROR(__xludf.DUMMYFUNCTION("""COMPUTED_VALUE"""),"16449 ELOY SOBERON  FLORES")</f>
        <v>16449 ELOY SOBERON  FLORES</v>
      </c>
      <c r="C2159" s="213" t="str">
        <f>IFERROR(__xludf.DUMMYFUNCTION("""COMPUTED_VALUE"""),"TALLER SFT DE COCINA Y REPOSTERÍA")</f>
        <v>TALLER SFT DE COCINA Y REPOSTERÍA</v>
      </c>
      <c r="D2159" s="213" t="str">
        <f>IFERROR(__xludf.DUMMYFUNCTION("""COMPUTED_VALUE"""),"HERRAMIENTAS")</f>
        <v>HERRAMIENTAS</v>
      </c>
      <c r="E2159" s="213" t="str">
        <f>IFERROR(__xludf.DUMMYFUNCTION("""COMPUTED_VALUE"""),"MAT-217")</f>
        <v>MAT-217</v>
      </c>
      <c r="F2159" s="213" t="str">
        <f>IFERROR(__xludf.DUMMYFUNCTION("""COMPUTED_VALUE"""),"MAT-217")</f>
        <v>MAT-217</v>
      </c>
      <c r="G2159" s="213"/>
      <c r="H2159" s="213" t="str">
        <f>IFERROR(__xludf.DUMMYFUNCTION("""COMPUTED_VALUE"""),"JUEGO DE TAZONES (BOWL) DE ACERO INOXIDABLE")</f>
        <v>JUEGO DE TAZONES (BOWL) DE ACERO INOXIDABLE</v>
      </c>
      <c r="I2159" s="213" t="str">
        <f>IFERROR(__xludf.DUMMYFUNCTION("""COMPUTED_VALUE"""),".  03 tazones Nº 14-18-22
-  Acero Inoxidable quirúrgico.
-   Acabado brillante.
-   Con bordes reforzados.
-   Altamente resistentes y durables.
-   Capacidad mínima de los tazones: 0.9L, 1.8L , 3L")</f>
        <v>.  03 tazones Nº 14-18-22
-  Acero Inoxidable quirúrgico.
-   Acabado brillante.
-   Con bordes reforzados.
-   Altamente resistentes y durables.
-   Capacidad mínima de los tazones: 0.9L, 1.8L , 3L</v>
      </c>
      <c r="J2159" s="213">
        <f>IFERROR(__xludf.DUMMYFUNCTION("""COMPUTED_VALUE"""),3.0)</f>
        <v>3</v>
      </c>
      <c r="K2159" s="213" t="str">
        <f>IFERROR(__xludf.DUMMYFUNCTION("""COMPUTED_VALUE"""),"90 DÍAS CALENDARIO")</f>
        <v>90 DÍAS CALENDARIO</v>
      </c>
      <c r="L2159" s="213" t="str">
        <f>IFERROR(__xludf.DUMMYFUNCTION("""COMPUTED_VALUE"""),"")</f>
        <v/>
      </c>
      <c r="M2159" s="213">
        <f>IFERROR(__xludf.DUMMYFUNCTION("""COMPUTED_VALUE"""),1.0)</f>
        <v>1</v>
      </c>
      <c r="N2159" s="213">
        <f>IFERROR(__xludf.DUMMYFUNCTION("""COMPUTED_VALUE"""),2.0)</f>
        <v>2</v>
      </c>
      <c r="O2159" s="213">
        <f>IFERROR(__xludf.DUMMYFUNCTION("""COMPUTED_VALUE"""),2.0)</f>
        <v>2</v>
      </c>
      <c r="P2159" s="213"/>
      <c r="Q2159" s="213"/>
      <c r="R2159" s="213"/>
      <c r="S2159" s="213"/>
      <c r="T2159" s="213" t="str">
        <f>IFERROR(__xludf.DUMMYFUNCTION("""COMPUTED_VALUE"""),"SI")</f>
        <v>SI</v>
      </c>
      <c r="U2159" s="213" t="str">
        <f>IFERROR(__xludf.DUMMYFUNCTION("""COMPUTED_VALUE"""),"SI")</f>
        <v>SI</v>
      </c>
      <c r="V2159" s="213" t="str">
        <f>IFERROR(__xludf.DUMMYFUNCTION("""COMPUTED_VALUE"""),"-")</f>
        <v>-</v>
      </c>
      <c r="W2159" s="213" t="str">
        <f>IFERROR(__xludf.DUMMYFUNCTION("""COMPUTED_VALUE"""),"-")</f>
        <v>-</v>
      </c>
      <c r="X2159" s="213" t="str">
        <f>IFERROR(__xludf.DUMMYFUNCTION("""COMPUTED_VALUE"""),"RECORD")</f>
        <v>RECORD</v>
      </c>
      <c r="Y2159" s="213" t="str">
        <f>IFERROR(__xludf.DUMMYFUNCTION("""COMPUTED_VALUE"""),"Set de Bowls Record 0840030100")</f>
        <v>Set de Bowls Record 0840030100</v>
      </c>
      <c r="Z2159" s="215" t="str">
        <f>IFERROR(__xludf.DUMMYFUNCTION("""COMPUTED_VALUE"""),"https://hiraoka.com.pe/set-de-bowls-record-840030100?srsltid=AfmBOooBrGgAvRpOFqwBoyq45f9HWEY82yV4GoI1ixn3lIiq0Xp45KyG")</f>
        <v>https://hiraoka.com.pe/set-de-bowls-record-840030100?srsltid=AfmBOooBrGgAvRpOFqwBoyq45f9HWEY82yV4GoI1ixn3lIiq0Xp45KyG</v>
      </c>
      <c r="AA2159" s="213" t="str">
        <f>IFERROR(__xludf.DUMMYFUNCTION("""COMPUTED_VALUE"""),"MAT-217 JUEGO DE TAZONES (BOWL) DE ACERO INOXIDABLE - CET")</f>
        <v>MAT-217 JUEGO DE TAZONES (BOWL) DE ACERO INOXIDABLE - CET</v>
      </c>
      <c r="AB2159" s="213"/>
      <c r="AC2159" s="213"/>
      <c r="AD2159" s="213"/>
      <c r="AE2159" s="213"/>
      <c r="AF2159" s="213"/>
      <c r="AG2159" s="213"/>
      <c r="AH2159" s="213"/>
      <c r="AI2159" s="213"/>
      <c r="AJ2159" s="213"/>
      <c r="AK2159" s="213"/>
      <c r="AL2159" s="213"/>
      <c r="AM2159" s="213"/>
      <c r="AN2159" s="213"/>
      <c r="AO2159" s="213"/>
      <c r="AP2159" s="213" t="str">
        <f>IFERROR(__xludf.DUMMYFUNCTION("""COMPUTED_VALUE"""),"BRUNO")</f>
        <v>BRUNO</v>
      </c>
      <c r="AQ2159" s="213"/>
      <c r="AR2159" s="213"/>
      <c r="AS2159" s="213"/>
      <c r="AT2159" s="213"/>
      <c r="AU2159" s="213"/>
      <c r="AV2159" s="213"/>
      <c r="AW2159" s="213"/>
      <c r="AX2159" s="213"/>
      <c r="AY2159" s="213"/>
      <c r="AZ2159" s="213"/>
      <c r="BA2159" s="213"/>
      <c r="BB2159" s="213"/>
      <c r="BC2159" s="213"/>
      <c r="BD2159" s="213"/>
    </row>
    <row r="2160">
      <c r="A2160" s="213">
        <f>IFERROR(__xludf.DUMMYFUNCTION("""COMPUTED_VALUE"""),558.0)</f>
        <v>558</v>
      </c>
      <c r="B2160" s="213" t="str">
        <f>IFERROR(__xludf.DUMMYFUNCTION("""COMPUTED_VALUE"""),"2026 SIMON BOLIVAR")</f>
        <v>2026 SIMON BOLIVAR</v>
      </c>
      <c r="C2160" s="213" t="str">
        <f>IFERROR(__xludf.DUMMYFUNCTION("""COMPUTED_VALUE"""),"TALLER SFT DE INDUSTRIA ALIMENTARIA")</f>
        <v>TALLER SFT DE INDUSTRIA ALIMENTARIA</v>
      </c>
      <c r="D2160" s="213" t="str">
        <f>IFERROR(__xludf.DUMMYFUNCTION("""COMPUTED_VALUE"""),"EQUIPOS")</f>
        <v>EQUIPOS</v>
      </c>
      <c r="E2160" s="213" t="str">
        <f>IFERROR(__xludf.DUMMYFUNCTION("""COMPUTED_VALUE"""),"ESP-320")</f>
        <v>ESP-320</v>
      </c>
      <c r="F2160" s="213" t="str">
        <f>IFERROR(__xludf.DUMMYFUNCTION("""COMPUTED_VALUE"""),"ESP-320")</f>
        <v>ESP-320</v>
      </c>
      <c r="G2160" s="213"/>
      <c r="H2160" s="213" t="str">
        <f>IFERROR(__xludf.DUMMYFUNCTION("""COMPUTED_VALUE"""),"REBANADORA DE PAN")</f>
        <v>REBANADORA DE PAN</v>
      </c>
      <c r="I2160" s="213" t="str">
        <f>IFERROR(__xludf.DUMMYFUNCTION("""COMPUTED_VALUE"""),"· Cortadora de pan con aparato para embolsar.
· Dimensiones aproximadas: ancho 490mm x fondo 670mm x alto 515mm.
. Peso aproximado: 105 Kg.
· Altura Max. de pan: 160 mm.
· Largura Max. de pan: 300 mm.
· Grosor de rebanada mínima de 7 mm.
· Potencia mínima"&amp;": 0.55 KW.  Voltaje: 220 V, 60 Hz.")</f>
        <v>· Cortadora de pan con aparato para embolsar.
· Dimensiones aproximadas: ancho 490mm x fondo 670mm x alto 515mm.
. Peso aproximado: 105 Kg.
· Altura Max. de pan: 160 mm.
· Largura Max. de pan: 300 mm.
· Grosor de rebanada mínima de 7 mm.
· Potencia mínima: 0.55 KW.  Voltaje: 220 V, 60 Hz.</v>
      </c>
      <c r="J2160" s="213">
        <f>IFERROR(__xludf.DUMMYFUNCTION("""COMPUTED_VALUE"""),3.0)</f>
        <v>3</v>
      </c>
      <c r="K2160" s="213" t="str">
        <f>IFERROR(__xludf.DUMMYFUNCTION("""COMPUTED_VALUE"""),"170 DÍAS CALENDARIO")</f>
        <v>170 DÍAS CALENDARIO</v>
      </c>
      <c r="L2160" s="213" t="str">
        <f>IFERROR(__xludf.DUMMYFUNCTION("""COMPUTED_VALUE"""),"")</f>
        <v/>
      </c>
      <c r="M2160" s="213">
        <f>IFERROR(__xludf.DUMMYFUNCTION("""COMPUTED_VALUE"""),1.0)</f>
        <v>1</v>
      </c>
      <c r="N2160" s="213">
        <f>IFERROR(__xludf.DUMMYFUNCTION("""COMPUTED_VALUE"""),1.0)</f>
        <v>1</v>
      </c>
      <c r="O2160" s="213">
        <f>IFERROR(__xludf.DUMMYFUNCTION("""COMPUTED_VALUE"""),1.0)</f>
        <v>1</v>
      </c>
      <c r="P2160" s="213"/>
      <c r="Q2160" s="213"/>
      <c r="R2160" s="213"/>
      <c r="S2160" s="213" t="str">
        <f>IFERROR(__xludf.DUMMYFUNCTION("""COMPUTED_VALUE"""),"SI")</f>
        <v>SI</v>
      </c>
      <c r="T2160" s="213" t="str">
        <f>IFERROR(__xludf.DUMMYFUNCTION("""COMPUTED_VALUE"""),"CONSULTA FINAL")</f>
        <v>CONSULTA FINAL</v>
      </c>
      <c r="U2160" s="213" t="str">
        <f>IFERROR(__xludf.DUMMYFUNCTION("""COMPUTED_VALUE"""),"NO")</f>
        <v>NO</v>
      </c>
      <c r="V2160" s="213" t="str">
        <f>IFERROR(__xludf.DUMMYFUNCTION("""COMPUTED_VALUE"""),"SUPERA")</f>
        <v>SUPERA</v>
      </c>
      <c r="W2160" s="213" t="str">
        <f>IFERROR(__xludf.DUMMYFUNCTION("""COMPUTED_VALUE"""),"ERROR EETT")</f>
        <v>ERROR EETT</v>
      </c>
      <c r="X2160" s="213" t="str">
        <f>IFERROR(__xludf.DUMMYFUNCTION("""COMPUTED_VALUE"""),"GABARRO")</f>
        <v>GABARRO</v>
      </c>
      <c r="Y2160" s="213" t="str">
        <f>IFERROR(__xludf.DUMMYFUNCTION("""COMPUTED_VALUE"""),"TP-30")</f>
        <v>TP-30</v>
      </c>
      <c r="Z2160" s="215" t="str">
        <f>IFERROR(__xludf.DUMMYFUNCTION("""COMPUTED_VALUE"""),"http://www.egabarro.com/tp.html")</f>
        <v>http://www.egabarro.com/tp.html</v>
      </c>
      <c r="AA2160" s="213" t="str">
        <f>IFERROR(__xludf.DUMMYFUNCTION("""COMPUTED_VALUE"""),"ESP-320 REBANADORA DE PAN - CET")</f>
        <v>ESP-320 REBANADORA DE PAN - CET</v>
      </c>
      <c r="AB2160" s="215" t="str">
        <f>IFERROR(__xludf.DUMMYFUNCTION("""COMPUTED_VALUE"""),"https://drive.google.com/file/d/1AuZW6lA6nGS5YLgBuTnLyrTgmqgJZaq0/view?usp=sharing")</f>
        <v>https://drive.google.com/file/d/1AuZW6lA6nGS5YLgBuTnLyrTgmqgJZaq0/view?usp=sharing</v>
      </c>
      <c r="AC2160" s="213"/>
      <c r="AD2160" s="213"/>
      <c r="AE2160" s="213"/>
      <c r="AF2160" s="213"/>
      <c r="AG2160" s="213"/>
      <c r="AH2160" s="213"/>
      <c r="AI2160" s="213"/>
      <c r="AJ2160" s="213"/>
      <c r="AK2160" s="213"/>
      <c r="AL2160" s="213"/>
      <c r="AM2160" s="213"/>
      <c r="AN2160" s="213"/>
      <c r="AO2160" s="213"/>
      <c r="AP2160" s="213" t="str">
        <f>IFERROR(__xludf.DUMMYFUNCTION("""COMPUTED_VALUE"""),"ANTONELLA")</f>
        <v>ANTONELLA</v>
      </c>
      <c r="AQ2160" s="213"/>
      <c r="AR2160" s="213"/>
      <c r="AS2160" s="213"/>
      <c r="AT2160" s="213"/>
      <c r="AU2160" s="213"/>
      <c r="AV2160" s="213"/>
      <c r="AW2160" s="213"/>
      <c r="AX2160" s="213"/>
      <c r="AY2160" s="213"/>
      <c r="AZ2160" s="213"/>
      <c r="BA2160" s="213"/>
      <c r="BB2160" s="213"/>
      <c r="BC2160" s="213"/>
      <c r="BD2160" s="213"/>
    </row>
    <row r="2161">
      <c r="A2161" s="213">
        <f>IFERROR(__xludf.DUMMYFUNCTION("""COMPUTED_VALUE"""),1185.0)</f>
        <v>1185</v>
      </c>
      <c r="B2161" s="213" t="str">
        <f>IFERROR(__xludf.DUMMYFUNCTION("""COMPUTED_VALUE"""),"FRANCISCO IRAZOLA")</f>
        <v>FRANCISCO IRAZOLA</v>
      </c>
      <c r="C2161" s="213" t="str">
        <f>IFERROR(__xludf.DUMMYFUNCTION("""COMPUTED_VALUE"""),"TALLER SFT DE INDUSTRIA ALIMENTARIA")</f>
        <v>TALLER SFT DE INDUSTRIA ALIMENTARIA</v>
      </c>
      <c r="D2161" s="213" t="str">
        <f>IFERROR(__xludf.DUMMYFUNCTION("""COMPUTED_VALUE"""),"EQUIPOS")</f>
        <v>EQUIPOS</v>
      </c>
      <c r="E2161" s="213" t="str">
        <f>IFERROR(__xludf.DUMMYFUNCTION("""COMPUTED_VALUE"""),"ESP-320")</f>
        <v>ESP-320</v>
      </c>
      <c r="F2161" s="213" t="str">
        <f>IFERROR(__xludf.DUMMYFUNCTION("""COMPUTED_VALUE"""),"ESP-320")</f>
        <v>ESP-320</v>
      </c>
      <c r="G2161" s="213"/>
      <c r="H2161" s="213" t="str">
        <f>IFERROR(__xludf.DUMMYFUNCTION("""COMPUTED_VALUE"""),"REBANADORA DE PAN")</f>
        <v>REBANADORA DE PAN</v>
      </c>
      <c r="I2161" s="213" t="str">
        <f>IFERROR(__xludf.DUMMYFUNCTION("""COMPUTED_VALUE"""),"· Cortadora de pan con aparato para embolsar.
· Dimensiones aproximadas: ancho 490mm x fondo 670mm x alto 515mm.
. Peso aproximado: 105 Kg.
· Altura Max. de pan: 160 mm.
· Largura Max. de pan: 300 mm.
· Grosor de rebanada mínima de 7 mm.
· Potencia mínima"&amp;": 0.55 KW.  Voltaje: 220 V, 60 Hz.")</f>
        <v>· Cortadora de pan con aparato para embolsar.
· Dimensiones aproximadas: ancho 490mm x fondo 670mm x alto 515mm.
. Peso aproximado: 105 Kg.
· Altura Max. de pan: 160 mm.
· Largura Max. de pan: 300 mm.
· Grosor de rebanada mínima de 7 mm.
· Potencia mínima: 0.55 KW.  Voltaje: 220 V, 60 Hz.</v>
      </c>
      <c r="J2161" s="213">
        <f>IFERROR(__xludf.DUMMYFUNCTION("""COMPUTED_VALUE"""),3.0)</f>
        <v>3</v>
      </c>
      <c r="K2161" s="213" t="str">
        <f>IFERROR(__xludf.DUMMYFUNCTION("""COMPUTED_VALUE"""),"170 DÍAS CALENDARIO")</f>
        <v>170 DÍAS CALENDARIO</v>
      </c>
      <c r="L2161" s="213" t="str">
        <f>IFERROR(__xludf.DUMMYFUNCTION("""COMPUTED_VALUE"""),"")</f>
        <v/>
      </c>
      <c r="M2161" s="213">
        <f>IFERROR(__xludf.DUMMYFUNCTION("""COMPUTED_VALUE"""),1.0)</f>
        <v>1</v>
      </c>
      <c r="N2161" s="213">
        <f>IFERROR(__xludf.DUMMYFUNCTION("""COMPUTED_VALUE"""),1.0)</f>
        <v>1</v>
      </c>
      <c r="O2161" s="213">
        <f>IFERROR(__xludf.DUMMYFUNCTION("""COMPUTED_VALUE"""),1.0)</f>
        <v>1</v>
      </c>
      <c r="P2161" s="213"/>
      <c r="Q2161" s="213"/>
      <c r="R2161" s="213"/>
      <c r="S2161" s="213" t="str">
        <f>IFERROR(__xludf.DUMMYFUNCTION("""COMPUTED_VALUE"""),"SI")</f>
        <v>SI</v>
      </c>
      <c r="T2161" s="213" t="str">
        <f>IFERROR(__xludf.DUMMYFUNCTION("""COMPUTED_VALUE"""),"CONSULTA FINAL")</f>
        <v>CONSULTA FINAL</v>
      </c>
      <c r="U2161" s="213" t="str">
        <f>IFERROR(__xludf.DUMMYFUNCTION("""COMPUTED_VALUE"""),"NO")</f>
        <v>NO</v>
      </c>
      <c r="V2161" s="213" t="str">
        <f>IFERROR(__xludf.DUMMYFUNCTION("""COMPUTED_VALUE"""),"SUPERA")</f>
        <v>SUPERA</v>
      </c>
      <c r="W2161" s="213" t="str">
        <f>IFERROR(__xludf.DUMMYFUNCTION("""COMPUTED_VALUE"""),"ERROR EETT")</f>
        <v>ERROR EETT</v>
      </c>
      <c r="X2161" s="213" t="str">
        <f>IFERROR(__xludf.DUMMYFUNCTION("""COMPUTED_VALUE"""),"GABARRO")</f>
        <v>GABARRO</v>
      </c>
      <c r="Y2161" s="213" t="str">
        <f>IFERROR(__xludf.DUMMYFUNCTION("""COMPUTED_VALUE"""),"TP-30")</f>
        <v>TP-30</v>
      </c>
      <c r="Z2161" s="215" t="str">
        <f>IFERROR(__xludf.DUMMYFUNCTION("""COMPUTED_VALUE"""),"http://www.egabarro.com/tp.html")</f>
        <v>http://www.egabarro.com/tp.html</v>
      </c>
      <c r="AA2161" s="213" t="str">
        <f>IFERROR(__xludf.DUMMYFUNCTION("""COMPUTED_VALUE"""),"ESP-320 REBANADORA DE PAN - CET")</f>
        <v>ESP-320 REBANADORA DE PAN - CET</v>
      </c>
      <c r="AB2161" s="215" t="str">
        <f>IFERROR(__xludf.DUMMYFUNCTION("""COMPUTED_VALUE"""),"https://drive.google.com/file/d/1AuZW6lA6nGS5YLgBuTnLyrTgmqgJZaq0/view?usp=sharing")</f>
        <v>https://drive.google.com/file/d/1AuZW6lA6nGS5YLgBuTnLyrTgmqgJZaq0/view?usp=sharing</v>
      </c>
      <c r="AC2161" s="213"/>
      <c r="AD2161" s="213"/>
      <c r="AE2161" s="213"/>
      <c r="AF2161" s="213"/>
      <c r="AG2161" s="213"/>
      <c r="AH2161" s="213"/>
      <c r="AI2161" s="213"/>
      <c r="AJ2161" s="213"/>
      <c r="AK2161" s="213"/>
      <c r="AL2161" s="213"/>
      <c r="AM2161" s="213"/>
      <c r="AN2161" s="213"/>
      <c r="AO2161" s="213"/>
      <c r="AP2161" s="213" t="str">
        <f>IFERROR(__xludf.DUMMYFUNCTION("""COMPUTED_VALUE"""),"ANTONELLA")</f>
        <v>ANTONELLA</v>
      </c>
      <c r="AQ2161" s="213"/>
      <c r="AR2161" s="213"/>
      <c r="AS2161" s="213"/>
      <c r="AT2161" s="213"/>
      <c r="AU2161" s="213"/>
      <c r="AV2161" s="213"/>
      <c r="AW2161" s="213"/>
      <c r="AX2161" s="213"/>
      <c r="AY2161" s="213"/>
      <c r="AZ2161" s="213"/>
      <c r="BA2161" s="213"/>
      <c r="BB2161" s="213"/>
      <c r="BC2161" s="213"/>
      <c r="BD2161" s="213"/>
    </row>
    <row r="2162">
      <c r="A2162" s="213">
        <f>IFERROR(__xludf.DUMMYFUNCTION("""COMPUTED_VALUE"""),1460.0)</f>
        <v>1460</v>
      </c>
      <c r="B2162" s="213" t="str">
        <f>IFERROR(__xludf.DUMMYFUNCTION("""COMPUTED_VALUE"""),"GUILLERMO E. BILLINGHURST ")</f>
        <v>GUILLERMO E. BILLINGHURST </v>
      </c>
      <c r="C2162" s="213" t="str">
        <f>IFERROR(__xludf.DUMMYFUNCTION("""COMPUTED_VALUE"""),"TALLER SFT DE INDUSTRIA ALIMENTARIA")</f>
        <v>TALLER SFT DE INDUSTRIA ALIMENTARIA</v>
      </c>
      <c r="D2162" s="213" t="str">
        <f>IFERROR(__xludf.DUMMYFUNCTION("""COMPUTED_VALUE"""),"EQUIPOS")</f>
        <v>EQUIPOS</v>
      </c>
      <c r="E2162" s="213" t="str">
        <f>IFERROR(__xludf.DUMMYFUNCTION("""COMPUTED_VALUE"""),"ESP-320")</f>
        <v>ESP-320</v>
      </c>
      <c r="F2162" s="213" t="str">
        <f>IFERROR(__xludf.DUMMYFUNCTION("""COMPUTED_VALUE"""),"ESP-320")</f>
        <v>ESP-320</v>
      </c>
      <c r="G2162" s="213"/>
      <c r="H2162" s="213" t="str">
        <f>IFERROR(__xludf.DUMMYFUNCTION("""COMPUTED_VALUE"""),"REBANADORA DE PAN")</f>
        <v>REBANADORA DE PAN</v>
      </c>
      <c r="I2162" s="213" t="str">
        <f>IFERROR(__xludf.DUMMYFUNCTION("""COMPUTED_VALUE"""),"· Cortadora de pan con aparato para embolsar.
· Dimensiones aproximadas: ancho 490mm x fondo 670mm x alto 515mm.
. Peso aproximado: 105 Kg.
· Altura Max. de pan: 160 mm.
· Largura Max. de pan: 300 mm.
· Grosor de rebanada mínima de 7 mm.
· Potencia mínima"&amp;": 0.55 KW.  Voltaje: 220 V, 60 Hz.")</f>
        <v>· Cortadora de pan con aparato para embolsar.
· Dimensiones aproximadas: ancho 490mm x fondo 670mm x alto 515mm.
. Peso aproximado: 105 Kg.
· Altura Max. de pan: 160 mm.
· Largura Max. de pan: 300 mm.
· Grosor de rebanada mínima de 7 mm.
· Potencia mínima: 0.55 KW.  Voltaje: 220 V, 60 Hz.</v>
      </c>
      <c r="J2162" s="213">
        <f>IFERROR(__xludf.DUMMYFUNCTION("""COMPUTED_VALUE"""),3.0)</f>
        <v>3</v>
      </c>
      <c r="K2162" s="213" t="str">
        <f>IFERROR(__xludf.DUMMYFUNCTION("""COMPUTED_VALUE"""),"170 DÍAS CALENDARIO")</f>
        <v>170 DÍAS CALENDARIO</v>
      </c>
      <c r="L2162" s="213" t="str">
        <f>IFERROR(__xludf.DUMMYFUNCTION("""COMPUTED_VALUE"""),"")</f>
        <v/>
      </c>
      <c r="M2162" s="213">
        <f>IFERROR(__xludf.DUMMYFUNCTION("""COMPUTED_VALUE"""),1.0)</f>
        <v>1</v>
      </c>
      <c r="N2162" s="213">
        <f>IFERROR(__xludf.DUMMYFUNCTION("""COMPUTED_VALUE"""),1.0)</f>
        <v>1</v>
      </c>
      <c r="O2162" s="213">
        <f>IFERROR(__xludf.DUMMYFUNCTION("""COMPUTED_VALUE"""),1.0)</f>
        <v>1</v>
      </c>
      <c r="P2162" s="213"/>
      <c r="Q2162" s="213"/>
      <c r="R2162" s="213"/>
      <c r="S2162" s="213" t="str">
        <f>IFERROR(__xludf.DUMMYFUNCTION("""COMPUTED_VALUE"""),"SI")</f>
        <v>SI</v>
      </c>
      <c r="T2162" s="213" t="str">
        <f>IFERROR(__xludf.DUMMYFUNCTION("""COMPUTED_VALUE"""),"CONSULTA FINAL")</f>
        <v>CONSULTA FINAL</v>
      </c>
      <c r="U2162" s="213" t="str">
        <f>IFERROR(__xludf.DUMMYFUNCTION("""COMPUTED_VALUE"""),"NO")</f>
        <v>NO</v>
      </c>
      <c r="V2162" s="213" t="str">
        <f>IFERROR(__xludf.DUMMYFUNCTION("""COMPUTED_VALUE"""),"SUPERA")</f>
        <v>SUPERA</v>
      </c>
      <c r="W2162" s="213" t="str">
        <f>IFERROR(__xludf.DUMMYFUNCTION("""COMPUTED_VALUE"""),"ERROR EETT")</f>
        <v>ERROR EETT</v>
      </c>
      <c r="X2162" s="213" t="str">
        <f>IFERROR(__xludf.DUMMYFUNCTION("""COMPUTED_VALUE"""),"GABARRO")</f>
        <v>GABARRO</v>
      </c>
      <c r="Y2162" s="213" t="str">
        <f>IFERROR(__xludf.DUMMYFUNCTION("""COMPUTED_VALUE"""),"TP-30")</f>
        <v>TP-30</v>
      </c>
      <c r="Z2162" s="215" t="str">
        <f>IFERROR(__xludf.DUMMYFUNCTION("""COMPUTED_VALUE"""),"http://www.egabarro.com/tp.html")</f>
        <v>http://www.egabarro.com/tp.html</v>
      </c>
      <c r="AA2162" s="213" t="str">
        <f>IFERROR(__xludf.DUMMYFUNCTION("""COMPUTED_VALUE"""),"ESP-320 REBANADORA DE PAN - CET")</f>
        <v>ESP-320 REBANADORA DE PAN - CET</v>
      </c>
      <c r="AB2162" s="215" t="str">
        <f>IFERROR(__xludf.DUMMYFUNCTION("""COMPUTED_VALUE"""),"https://drive.google.com/file/d/1AuZW6lA6nGS5YLgBuTnLyrTgmqgJZaq0/view?usp=sharing")</f>
        <v>https://drive.google.com/file/d/1AuZW6lA6nGS5YLgBuTnLyrTgmqgJZaq0/view?usp=sharing</v>
      </c>
      <c r="AC2162" s="213"/>
      <c r="AD2162" s="213"/>
      <c r="AE2162" s="213"/>
      <c r="AF2162" s="213"/>
      <c r="AG2162" s="213"/>
      <c r="AH2162" s="213"/>
      <c r="AI2162" s="213"/>
      <c r="AJ2162" s="213"/>
      <c r="AK2162" s="213"/>
      <c r="AL2162" s="213"/>
      <c r="AM2162" s="213"/>
      <c r="AN2162" s="213"/>
      <c r="AO2162" s="213"/>
      <c r="AP2162" s="213" t="str">
        <f>IFERROR(__xludf.DUMMYFUNCTION("""COMPUTED_VALUE"""),"ANTONELLA")</f>
        <v>ANTONELLA</v>
      </c>
      <c r="AQ2162" s="213"/>
      <c r="AR2162" s="213"/>
      <c r="AS2162" s="213"/>
      <c r="AT2162" s="213"/>
      <c r="AU2162" s="213"/>
      <c r="AV2162" s="213"/>
      <c r="AW2162" s="213"/>
      <c r="AX2162" s="213"/>
      <c r="AY2162" s="213"/>
      <c r="AZ2162" s="213"/>
      <c r="BA2162" s="213"/>
      <c r="BB2162" s="213"/>
      <c r="BC2162" s="213"/>
      <c r="BD2162" s="213"/>
    </row>
    <row r="2163">
      <c r="A2163" s="213">
        <f>IFERROR(__xludf.DUMMYFUNCTION("""COMPUTED_VALUE"""),2147.0)</f>
        <v>2147</v>
      </c>
      <c r="B2163" s="213" t="str">
        <f>IFERROR(__xludf.DUMMYFUNCTION("""COMPUTED_VALUE"""),"JOSE GRANDA")</f>
        <v>JOSE GRANDA</v>
      </c>
      <c r="C2163" s="213" t="str">
        <f>IFERROR(__xludf.DUMMYFUNCTION("""COMPUTED_VALUE"""),"TALLER SFT DE INDUSTRIA ALIMENTARIA")</f>
        <v>TALLER SFT DE INDUSTRIA ALIMENTARIA</v>
      </c>
      <c r="D2163" s="213" t="str">
        <f>IFERROR(__xludf.DUMMYFUNCTION("""COMPUTED_VALUE"""),"EQUIPOS")</f>
        <v>EQUIPOS</v>
      </c>
      <c r="E2163" s="213" t="str">
        <f>IFERROR(__xludf.DUMMYFUNCTION("""COMPUTED_VALUE"""),"ESP-320")</f>
        <v>ESP-320</v>
      </c>
      <c r="F2163" s="213" t="str">
        <f>IFERROR(__xludf.DUMMYFUNCTION("""COMPUTED_VALUE"""),"ESP-320")</f>
        <v>ESP-320</v>
      </c>
      <c r="G2163" s="213"/>
      <c r="H2163" s="213" t="str">
        <f>IFERROR(__xludf.DUMMYFUNCTION("""COMPUTED_VALUE"""),"REBANADORA DE PAN")</f>
        <v>REBANADORA DE PAN</v>
      </c>
      <c r="I2163" s="213" t="str">
        <f>IFERROR(__xludf.DUMMYFUNCTION("""COMPUTED_VALUE"""),"· Cortadora de pan con aparato para embolsar.
· Dimensiones aproximadas: ancho 490mm x fondo 670mm x alto 515mm.
. Peso aproximado: 105 Kg.
· Altura Max. de pan: 160 mm.
· Largura Max. de pan: 300 mm.
· Grosor de rebanada mínima de 7 mm.
· Potencia mínima"&amp;": 0.55 KW.  Voltaje: 220 V, 60 Hz.")</f>
        <v>· Cortadora de pan con aparato para embolsar.
· Dimensiones aproximadas: ancho 490mm x fondo 670mm x alto 515mm.
. Peso aproximado: 105 Kg.
· Altura Max. de pan: 160 mm.
· Largura Max. de pan: 300 mm.
· Grosor de rebanada mínima de 7 mm.
· Potencia mínima: 0.55 KW.  Voltaje: 220 V, 60 Hz.</v>
      </c>
      <c r="J2163" s="213">
        <f>IFERROR(__xludf.DUMMYFUNCTION("""COMPUTED_VALUE"""),3.0)</f>
        <v>3</v>
      </c>
      <c r="K2163" s="213" t="str">
        <f>IFERROR(__xludf.DUMMYFUNCTION("""COMPUTED_VALUE"""),"170 DÍAS CALENDARIO")</f>
        <v>170 DÍAS CALENDARIO</v>
      </c>
      <c r="L2163" s="213" t="str">
        <f>IFERROR(__xludf.DUMMYFUNCTION("""COMPUTED_VALUE"""),"")</f>
        <v/>
      </c>
      <c r="M2163" s="213">
        <f>IFERROR(__xludf.DUMMYFUNCTION("""COMPUTED_VALUE"""),1.0)</f>
        <v>1</v>
      </c>
      <c r="N2163" s="213">
        <f>IFERROR(__xludf.DUMMYFUNCTION("""COMPUTED_VALUE"""),1.0)</f>
        <v>1</v>
      </c>
      <c r="O2163" s="213">
        <f>IFERROR(__xludf.DUMMYFUNCTION("""COMPUTED_VALUE"""),1.0)</f>
        <v>1</v>
      </c>
      <c r="P2163" s="213"/>
      <c r="Q2163" s="213"/>
      <c r="R2163" s="213"/>
      <c r="S2163" s="213" t="str">
        <f>IFERROR(__xludf.DUMMYFUNCTION("""COMPUTED_VALUE"""),"SI")</f>
        <v>SI</v>
      </c>
      <c r="T2163" s="213" t="str">
        <f>IFERROR(__xludf.DUMMYFUNCTION("""COMPUTED_VALUE"""),"CONSULTA FINAL")</f>
        <v>CONSULTA FINAL</v>
      </c>
      <c r="U2163" s="213" t="str">
        <f>IFERROR(__xludf.DUMMYFUNCTION("""COMPUTED_VALUE"""),"NO")</f>
        <v>NO</v>
      </c>
      <c r="V2163" s="213" t="str">
        <f>IFERROR(__xludf.DUMMYFUNCTION("""COMPUTED_VALUE"""),"SUPERA")</f>
        <v>SUPERA</v>
      </c>
      <c r="W2163" s="213" t="str">
        <f>IFERROR(__xludf.DUMMYFUNCTION("""COMPUTED_VALUE"""),"ERROR EETT")</f>
        <v>ERROR EETT</v>
      </c>
      <c r="X2163" s="213" t="str">
        <f>IFERROR(__xludf.DUMMYFUNCTION("""COMPUTED_VALUE"""),"GABARRO")</f>
        <v>GABARRO</v>
      </c>
      <c r="Y2163" s="213" t="str">
        <f>IFERROR(__xludf.DUMMYFUNCTION("""COMPUTED_VALUE"""),"TP-30")</f>
        <v>TP-30</v>
      </c>
      <c r="Z2163" s="215" t="str">
        <f>IFERROR(__xludf.DUMMYFUNCTION("""COMPUTED_VALUE"""),"http://www.egabarro.com/tp.html")</f>
        <v>http://www.egabarro.com/tp.html</v>
      </c>
      <c r="AA2163" s="213" t="str">
        <f>IFERROR(__xludf.DUMMYFUNCTION("""COMPUTED_VALUE"""),"ESP-320 REBANADORA DE PAN - CET")</f>
        <v>ESP-320 REBANADORA DE PAN - CET</v>
      </c>
      <c r="AB2163" s="215" t="str">
        <f>IFERROR(__xludf.DUMMYFUNCTION("""COMPUTED_VALUE"""),"https://drive.google.com/file/d/1AuZW6lA6nGS5YLgBuTnLyrTgmqgJZaq0/view?usp=sharing")</f>
        <v>https://drive.google.com/file/d/1AuZW6lA6nGS5YLgBuTnLyrTgmqgJZaq0/view?usp=sharing</v>
      </c>
      <c r="AC2163" s="213"/>
      <c r="AD2163" s="213"/>
      <c r="AE2163" s="213"/>
      <c r="AF2163" s="213"/>
      <c r="AG2163" s="213"/>
      <c r="AH2163" s="213"/>
      <c r="AI2163" s="213"/>
      <c r="AJ2163" s="213"/>
      <c r="AK2163" s="213"/>
      <c r="AL2163" s="213"/>
      <c r="AM2163" s="213"/>
      <c r="AN2163" s="213"/>
      <c r="AO2163" s="213"/>
      <c r="AP2163" s="213" t="str">
        <f>IFERROR(__xludf.DUMMYFUNCTION("""COMPUTED_VALUE"""),"ANTONELLA")</f>
        <v>ANTONELLA</v>
      </c>
      <c r="AQ2163" s="213"/>
      <c r="AR2163" s="213"/>
      <c r="AS2163" s="213"/>
      <c r="AT2163" s="213"/>
      <c r="AU2163" s="213"/>
      <c r="AV2163" s="213"/>
      <c r="AW2163" s="213"/>
      <c r="AX2163" s="213"/>
      <c r="AY2163" s="213"/>
      <c r="AZ2163" s="213"/>
      <c r="BA2163" s="213"/>
      <c r="BB2163" s="213"/>
      <c r="BC2163" s="213"/>
      <c r="BD2163" s="213"/>
    </row>
    <row r="2164">
      <c r="A2164" s="213">
        <f>IFERROR(__xludf.DUMMYFUNCTION("""COMPUTED_VALUE"""),49.0)</f>
        <v>49</v>
      </c>
      <c r="B2164" s="213" t="str">
        <f>IFERROR(__xludf.DUMMYFUNCTION("""COMPUTED_VALUE"""),"16449 ELOY SOBERON  FLORES")</f>
        <v>16449 ELOY SOBERON  FLORES</v>
      </c>
      <c r="C2164" s="213" t="str">
        <f>IFERROR(__xludf.DUMMYFUNCTION("""COMPUTED_VALUE"""),"TALLER SFT DE COCINA Y REPOSTERÍA")</f>
        <v>TALLER SFT DE COCINA Y REPOSTERÍA</v>
      </c>
      <c r="D2164" s="213" t="str">
        <f>IFERROR(__xludf.DUMMYFUNCTION("""COMPUTED_VALUE"""),"HERRAMIENTAS")</f>
        <v>HERRAMIENTAS</v>
      </c>
      <c r="E2164" s="213" t="str">
        <f>IFERROR(__xludf.DUMMYFUNCTION("""COMPUTED_VALUE"""),"MAT-218")</f>
        <v>MAT-218</v>
      </c>
      <c r="F2164" s="213" t="str">
        <f>IFERROR(__xludf.DUMMYFUNCTION("""COMPUTED_VALUE"""),"MAT-218")</f>
        <v>MAT-218</v>
      </c>
      <c r="G2164" s="213"/>
      <c r="H2164" s="213" t="str">
        <f>IFERROR(__xludf.DUMMYFUNCTION("""COMPUTED_VALUE"""),"JUEGO DE VAJILLAS")</f>
        <v>JUEGO DE VAJILLAS</v>
      </c>
      <c r="I2164" s="213" t="str">
        <f>IFERROR(__xludf.DUMMYFUNCTION("""COMPUTED_VALUE"""),"Juego de vajilla de minimo 30 piezas
· Material: porcelana
· Color: blanco
· Uso: diario")</f>
        <v>Juego de vajilla de minimo 30 piezas
· Material: porcelana
· Color: blanco
· Uso: diario</v>
      </c>
      <c r="J2164" s="213">
        <f>IFERROR(__xludf.DUMMYFUNCTION("""COMPUTED_VALUE"""),3.0)</f>
        <v>3</v>
      </c>
      <c r="K2164" s="213" t="str">
        <f>IFERROR(__xludf.DUMMYFUNCTION("""COMPUTED_VALUE"""),"90 DÍAS CALENDARIO")</f>
        <v>90 DÍAS CALENDARIO</v>
      </c>
      <c r="L2164" s="213" t="str">
        <f>IFERROR(__xludf.DUMMYFUNCTION("""COMPUTED_VALUE"""),"")</f>
        <v/>
      </c>
      <c r="M2164" s="213">
        <f>IFERROR(__xludf.DUMMYFUNCTION("""COMPUTED_VALUE"""),1.0)</f>
        <v>1</v>
      </c>
      <c r="N2164" s="213">
        <f>IFERROR(__xludf.DUMMYFUNCTION("""COMPUTED_VALUE"""),4.0)</f>
        <v>4</v>
      </c>
      <c r="O2164" s="213">
        <f>IFERROR(__xludf.DUMMYFUNCTION("""COMPUTED_VALUE"""),4.0)</f>
        <v>4</v>
      </c>
      <c r="P2164" s="213"/>
      <c r="Q2164" s="213"/>
      <c r="R2164" s="213"/>
      <c r="S2164" s="213"/>
      <c r="T2164" s="213" t="str">
        <f>IFERROR(__xludf.DUMMYFUNCTION("""COMPUTED_VALUE"""),"SI")</f>
        <v>SI</v>
      </c>
      <c r="U2164" s="213" t="str">
        <f>IFERROR(__xludf.DUMMYFUNCTION("""COMPUTED_VALUE"""),"SI")</f>
        <v>SI</v>
      </c>
      <c r="V2164" s="213" t="str">
        <f>IFERROR(__xludf.DUMMYFUNCTION("""COMPUTED_VALUE"""),"-")</f>
        <v>-</v>
      </c>
      <c r="W2164" s="213" t="str">
        <f>IFERROR(__xludf.DUMMYFUNCTION("""COMPUTED_VALUE"""),"-")</f>
        <v>-</v>
      </c>
      <c r="X2164" s="213" t="str">
        <f>IFERROR(__xludf.DUMMYFUNCTION("""COMPUTED_VALUE"""),"JUST HOME COLLECTION")</f>
        <v>JUST HOME COLLECTION</v>
      </c>
      <c r="Y2164" s="213">
        <f>IFERROR(__xludf.DUMMYFUNCTION("""COMPUTED_VALUE"""),1.13531044E8)</f>
        <v>113531044</v>
      </c>
      <c r="Z2164" s="215" t="str">
        <f>IFERROR(__xludf.DUMMYFUNCTION("""COMPUTED_VALUE"""),"https://www.sodimac.com.pe/sodimac-pe/articulo/113531034/Juego-de-vajillas-Porcelana-Nordico-Blanco-30-Piezas/113531044?kid=goosho_669284&amp;shop=googleShopping&amp;gad_source=1&amp;gad_campaignid=21524773673&amp;gbraid=0AAAAADOx_1-v0XR7n3odujWtxRhupW8e4&amp;gclid=CjwKCAjwg"&amp;"eLHBhBuEiwAL5gNEdWSvjKkxDuEwr4mVirzQHJp457Wo6gKqolbLpcXV-OIWCIfJVmL5hoC9YQQAvD_BwE")</f>
        <v>https://www.sodimac.com.pe/sodimac-pe/articulo/113531034/Juego-de-vajillas-Porcelana-Nordico-Blanco-30-Piezas/113531044?kid=goosho_669284&amp;shop=googleShopping&amp;gad_source=1&amp;gad_campaignid=21524773673&amp;gbraid=0AAAAADOx_1-v0XR7n3odujWtxRhupW8e4&amp;gclid=CjwKCAjwgeLHBhBuEiwAL5gNEdWSvjKkxDuEwr4mVirzQHJp457Wo6gKqolbLpcXV-OIWCIfJVmL5hoC9YQQAvD_BwE</v>
      </c>
      <c r="AA2164" s="213" t="str">
        <f>IFERROR(__xludf.DUMMYFUNCTION("""COMPUTED_VALUE"""),"MAT-218 JUEGO DE VAJILLAS - CET")</f>
        <v>MAT-218 JUEGO DE VAJILLAS - CET</v>
      </c>
      <c r="AB2164" s="213"/>
      <c r="AC2164" s="213"/>
      <c r="AD2164" s="213"/>
      <c r="AE2164" s="213"/>
      <c r="AF2164" s="213"/>
      <c r="AG2164" s="213"/>
      <c r="AH2164" s="213"/>
      <c r="AI2164" s="213"/>
      <c r="AJ2164" s="213"/>
      <c r="AK2164" s="213"/>
      <c r="AL2164" s="213"/>
      <c r="AM2164" s="213"/>
      <c r="AN2164" s="213"/>
      <c r="AO2164" s="213"/>
      <c r="AP2164" s="213" t="str">
        <f>IFERROR(__xludf.DUMMYFUNCTION("""COMPUTED_VALUE"""),"LUIS")</f>
        <v>LUIS</v>
      </c>
      <c r="AQ2164" s="213"/>
      <c r="AR2164" s="213"/>
      <c r="AS2164" s="213"/>
      <c r="AT2164" s="213"/>
      <c r="AU2164" s="213"/>
      <c r="AV2164" s="213"/>
      <c r="AW2164" s="213"/>
      <c r="AX2164" s="213"/>
      <c r="AY2164" s="213"/>
      <c r="AZ2164" s="213"/>
      <c r="BA2164" s="213"/>
      <c r="BB2164" s="213"/>
      <c r="BC2164" s="213"/>
      <c r="BD2164" s="213"/>
    </row>
    <row r="2165">
      <c r="A2165" s="213">
        <f>IFERROR(__xludf.DUMMYFUNCTION("""COMPUTED_VALUE"""),34.0)</f>
        <v>34</v>
      </c>
      <c r="B2165" s="213" t="str">
        <f>IFERROR(__xludf.DUMMYFUNCTION("""COMPUTED_VALUE"""),"16449 ELOY SOBERON  FLORES")</f>
        <v>16449 ELOY SOBERON  FLORES</v>
      </c>
      <c r="C2165" s="213" t="str">
        <f>IFERROR(__xludf.DUMMYFUNCTION("""COMPUTED_VALUE"""),"TALLER SFT DE COCINA Y REPOSTERÍA")</f>
        <v>TALLER SFT DE COCINA Y REPOSTERÍA</v>
      </c>
      <c r="D2165" s="213" t="str">
        <f>IFERROR(__xludf.DUMMYFUNCTION("""COMPUTED_VALUE"""),"HERRAMIENTAS")</f>
        <v>HERRAMIENTAS</v>
      </c>
      <c r="E2165" s="213" t="str">
        <f>IFERROR(__xludf.DUMMYFUNCTION("""COMPUTED_VALUE"""),"MAT-219")</f>
        <v>MAT-219</v>
      </c>
      <c r="F2165" s="213" t="str">
        <f>IFERROR(__xludf.DUMMYFUNCTION("""COMPUTED_VALUE"""),"MAT-219")</f>
        <v>MAT-219</v>
      </c>
      <c r="G2165" s="213"/>
      <c r="H2165" s="213" t="str">
        <f>IFERROR(__xludf.DUMMYFUNCTION("""COMPUTED_VALUE"""),"JUEGOS DE BANDEJAS DE ACERO")</f>
        <v>JUEGOS DE BANDEJAS DE ACERO</v>
      </c>
      <c r="I2165" s="213" t="str">
        <f>IFERROR(__xludf.DUMMYFUNCTION("""COMPUTED_VALUE"""),"DISEÑO TRADICIONAL con fino acabado plata y laterales planos en forma de alas para un fácil agarre. MULTIPLES USOS: Adecuado para servir todo tipo de comidas. Puede ser usada como rustidera o bandeja de horno.
Set de 3 Bandejas como minimo  con las siguie"&amp;"nte medidas: 01: 40 cm x 30 cm
01: 36 cm x 27 cm
01: 32 cm x  22 cm.
Altura 5 cm")</f>
        <v>DISEÑO TRADICIONAL con fino acabado plata y laterales planos en forma de alas para un fácil agarre. MULTIPLES USOS: Adecuado para servir todo tipo de comidas. Puede ser usada como rustidera o bandeja de horno.
Set de 3 Bandejas como minimo  con las siguiente medidas: 01: 40 cm x 30 cm
01: 36 cm x 27 cm
01: 32 cm x  22 cm.
Altura 5 cm</v>
      </c>
      <c r="J2165" s="213">
        <f>IFERROR(__xludf.DUMMYFUNCTION("""COMPUTED_VALUE"""),3.0)</f>
        <v>3</v>
      </c>
      <c r="K2165" s="213" t="str">
        <f>IFERROR(__xludf.DUMMYFUNCTION("""COMPUTED_VALUE"""),"90 DÍAS CALENDARIO")</f>
        <v>90 DÍAS CALENDARIO</v>
      </c>
      <c r="L2165" s="213" t="str">
        <f>IFERROR(__xludf.DUMMYFUNCTION("""COMPUTED_VALUE"""),"")</f>
        <v/>
      </c>
      <c r="M2165" s="213">
        <f>IFERROR(__xludf.DUMMYFUNCTION("""COMPUTED_VALUE"""),1.0)</f>
        <v>1</v>
      </c>
      <c r="N2165" s="213">
        <f>IFERROR(__xludf.DUMMYFUNCTION("""COMPUTED_VALUE"""),2.0)</f>
        <v>2</v>
      </c>
      <c r="O2165" s="213">
        <f>IFERROR(__xludf.DUMMYFUNCTION("""COMPUTED_VALUE"""),2.0)</f>
        <v>2</v>
      </c>
      <c r="P2165" s="213"/>
      <c r="Q2165" s="213"/>
      <c r="R2165" s="213"/>
      <c r="S2165" s="213"/>
      <c r="T2165" s="213" t="str">
        <f>IFERROR(__xludf.DUMMYFUNCTION("""COMPUTED_VALUE"""),"CONSULTA FINAL")</f>
        <v>CONSULTA FINAL</v>
      </c>
      <c r="U2165" s="213" t="str">
        <f>IFERROR(__xludf.DUMMYFUNCTION("""COMPUTED_VALUE"""),"NO")</f>
        <v>NO</v>
      </c>
      <c r="V2165" s="213" t="str">
        <f>IFERROR(__xludf.DUMMYFUNCTION("""COMPUTED_VALUE"""),"SUSTENTO")</f>
        <v>SUSTENTO</v>
      </c>
      <c r="W2165" s="213" t="str">
        <f>IFERROR(__xludf.DUMMYFUNCTION("""COMPUTED_VALUE"""),"DIMENSIONAL")</f>
        <v>DIMENSIONAL</v>
      </c>
      <c r="X2165" s="213" t="str">
        <f>IFERROR(__xludf.DUMMYFUNCTION("""COMPUTED_VALUE"""),"XIAN ZHU")</f>
        <v>XIAN ZHU</v>
      </c>
      <c r="Y2165" s="213" t="str">
        <f>IFERROR(__xludf.DUMMYFUNCTION("""COMPUTED_VALUE"""),"XIAN ZHU")</f>
        <v>XIAN ZHU</v>
      </c>
      <c r="Z2165" s="215" t="str">
        <f>IFERROR(__xludf.DUMMYFUNCTION("""COMPUTED_VALUE"""),"https://xianzhu.cl/producto/bandeja-metalica-40x30/")</f>
        <v>https://xianzhu.cl/producto/bandeja-metalica-40x30/</v>
      </c>
      <c r="AA2165" s="213" t="str">
        <f>IFERROR(__xludf.DUMMYFUNCTION("""COMPUTED_VALUE"""),"MAT-219 JUEGOS DE BANDEJAS DE ACERO - CET")</f>
        <v>MAT-219 JUEGOS DE BANDEJAS DE ACERO - CET</v>
      </c>
      <c r="AB2165" s="213"/>
      <c r="AC2165" s="213"/>
      <c r="AD2165" s="213"/>
      <c r="AE2165" s="213"/>
      <c r="AF2165" s="213"/>
      <c r="AG2165" s="213"/>
      <c r="AH2165" s="213"/>
      <c r="AI2165" s="213"/>
      <c r="AJ2165" s="213"/>
      <c r="AK2165" s="213"/>
      <c r="AL2165" s="213"/>
      <c r="AM2165" s="213"/>
      <c r="AN2165" s="213"/>
      <c r="AO2165" s="213"/>
      <c r="AP2165" s="213" t="str">
        <f>IFERROR(__xludf.DUMMYFUNCTION("""COMPUTED_VALUE"""),"LUIS")</f>
        <v>LUIS</v>
      </c>
      <c r="AQ2165" s="213"/>
      <c r="AR2165" s="213"/>
      <c r="AS2165" s="213"/>
      <c r="AT2165" s="213"/>
      <c r="AU2165" s="213"/>
      <c r="AV2165" s="213"/>
      <c r="AW2165" s="213"/>
      <c r="AX2165" s="213"/>
      <c r="AY2165" s="213"/>
      <c r="AZ2165" s="213"/>
      <c r="BA2165" s="213"/>
      <c r="BB2165" s="213"/>
      <c r="BC2165" s="213"/>
      <c r="BD2165" s="213"/>
    </row>
    <row r="2166">
      <c r="A2166" s="213">
        <f>IFERROR(__xludf.DUMMYFUNCTION("""COMPUTED_VALUE"""),1847.0)</f>
        <v>1847</v>
      </c>
      <c r="B2166" s="213" t="str">
        <f>IFERROR(__xludf.DUMMYFUNCTION("""COMPUTED_VALUE"""),"GUILLERMO E. BILLINGHURST ")</f>
        <v>GUILLERMO E. BILLINGHURST </v>
      </c>
      <c r="C2166" s="213" t="str">
        <f>IFERROR(__xludf.DUMMYFUNCTION("""COMPUTED_VALUE"""),"TALLER SFT DE EBANISTERÍA")</f>
        <v>TALLER SFT DE EBANISTERÍA</v>
      </c>
      <c r="D2166" s="213" t="str">
        <f>IFERROR(__xludf.DUMMYFUNCTION("""COMPUTED_VALUE"""),"HERRAMIENTAS")</f>
        <v>HERRAMIENTAS</v>
      </c>
      <c r="E2166" s="213" t="str">
        <f>IFERROR(__xludf.DUMMYFUNCTION("""COMPUTED_VALUE"""),"MAT-228")</f>
        <v>MAT-228</v>
      </c>
      <c r="F2166" s="213" t="str">
        <f>IFERROR(__xludf.DUMMYFUNCTION("""COMPUTED_VALUE"""),"MAT-228")</f>
        <v>MAT-228</v>
      </c>
      <c r="G2166" s="213"/>
      <c r="H2166" s="213" t="str">
        <f>IFERROR(__xludf.DUMMYFUNCTION("""COMPUTED_VALUE"""),"KIT RESPIRADOR")</f>
        <v>KIT RESPIRADOR</v>
      </c>
      <c r="I2166" s="213" t="str">
        <f>IFERROR(__xludf.DUMMYFUNCTION("""COMPUTED_VALUE"""),"El kit contiene:
- dos vías, con dos juegos de filtros, para soldeo y pintura.
- válvulas de exhalación e inhalación, para mejor ventilación al respirar.
- Incluye un juego de filtro, para polvo y pintura.
Se usa para trabajos con vapores, polvo y partícu"&amp;"las. Trabaja con cartuchos renovables.
Es limpiable.
Material de elastómero termoplástico hipoalergénico. Buen equilibrio del peso de los cartuchos.")</f>
        <v>El kit contiene:
- dos vías, con dos juegos de filtros, para soldeo y pintura.
- válvulas de exhalación e inhalación, para mejor ventilación al respirar.
- Incluye un juego de filtro, para polvo y pintura.
Se usa para trabajos con vapores, polvo y partículas. Trabaja con cartuchos renovables.
Es limpiable.
Material de elastómero termoplástico hipoalergénico. Buen equilibrio del peso de los cartuchos.</v>
      </c>
      <c r="J2166" s="213">
        <f>IFERROR(__xludf.DUMMYFUNCTION("""COMPUTED_VALUE"""),3.0)</f>
        <v>3</v>
      </c>
      <c r="K2166" s="213" t="str">
        <f>IFERROR(__xludf.DUMMYFUNCTION("""COMPUTED_VALUE"""),"90 DÍAS CALENDARIO")</f>
        <v>90 DÍAS CALENDARIO</v>
      </c>
      <c r="L2166" s="213" t="str">
        <f>IFERROR(__xludf.DUMMYFUNCTION("""COMPUTED_VALUE"""),"")</f>
        <v/>
      </c>
      <c r="M2166" s="213">
        <f>IFERROR(__xludf.DUMMYFUNCTION("""COMPUTED_VALUE"""),1.0)</f>
        <v>1</v>
      </c>
      <c r="N2166" s="213">
        <f>IFERROR(__xludf.DUMMYFUNCTION("""COMPUTED_VALUE"""),8.0)</f>
        <v>8</v>
      </c>
      <c r="O2166" s="213">
        <f>IFERROR(__xludf.DUMMYFUNCTION("""COMPUTED_VALUE"""),8.0)</f>
        <v>8</v>
      </c>
      <c r="P2166" s="213"/>
      <c r="Q2166" s="213"/>
      <c r="R2166" s="213"/>
      <c r="S2166" s="213"/>
      <c r="T2166" s="213" t="str">
        <f>IFERROR(__xludf.DUMMYFUNCTION("""COMPUTED_VALUE"""),"SI")</f>
        <v>SI</v>
      </c>
      <c r="U2166" s="213" t="str">
        <f>IFERROR(__xludf.DUMMYFUNCTION("""COMPUTED_VALUE"""),"SI")</f>
        <v>SI</v>
      </c>
      <c r="V2166" s="213" t="str">
        <f>IFERROR(__xludf.DUMMYFUNCTION("""COMPUTED_VALUE"""),"-")</f>
        <v>-</v>
      </c>
      <c r="W2166" s="213" t="str">
        <f>IFERROR(__xludf.DUMMYFUNCTION("""COMPUTED_VALUE"""),"-")</f>
        <v>-</v>
      </c>
      <c r="X2166" s="213" t="str">
        <f>IFERROR(__xludf.DUMMYFUNCTION("""COMPUTED_VALUE"""),"3M")</f>
        <v>3M</v>
      </c>
      <c r="Y2166" s="213" t="str">
        <f>IFERROR(__xludf.DUMMYFUNCTION("""COMPUTED_VALUE"""),"Serie 6000")</f>
        <v>Serie 6000</v>
      </c>
      <c r="Z2166" s="215" t="str">
        <f>IFERROR(__xludf.DUMMYFUNCTION("""COMPUTED_VALUE"""),"https://gemplers.com/products/3m-6000-series-half-mask-kit-with-pesticide-organic-vapor-p100-filter-cartridges?srsltid=AfmBOoq8BRT_byH9CVorP0aWiKVDrShrNl4PBQyHS9gOiiQVezukq0-J&amp;utm_source=chatgpt.com")</f>
        <v>https://gemplers.com/products/3m-6000-series-half-mask-kit-with-pesticide-organic-vapor-p100-filter-cartridges?srsltid=AfmBOoq8BRT_byH9CVorP0aWiKVDrShrNl4PBQyHS9gOiiQVezukq0-J&amp;utm_source=chatgpt.com</v>
      </c>
      <c r="AA2166" s="213" t="str">
        <f>IFERROR(__xludf.DUMMYFUNCTION("""COMPUTED_VALUE"""),"MAT-228 KIT RESPIRADOR - CET")</f>
        <v>MAT-228 KIT RESPIRADOR - CET</v>
      </c>
      <c r="AB2166" s="213"/>
      <c r="AC2166" s="213"/>
      <c r="AD2166" s="213"/>
      <c r="AE2166" s="213"/>
      <c r="AF2166" s="213"/>
      <c r="AG2166" s="213"/>
      <c r="AH2166" s="213"/>
      <c r="AI2166" s="213"/>
      <c r="AJ2166" s="213"/>
      <c r="AK2166" s="213"/>
      <c r="AL2166" s="213"/>
      <c r="AM2166" s="213"/>
      <c r="AN2166" s="213"/>
      <c r="AO2166" s="213"/>
      <c r="AP2166" s="213" t="str">
        <f>IFERROR(__xludf.DUMMYFUNCTION("""COMPUTED_VALUE"""),"SEBASTIAN")</f>
        <v>SEBASTIAN</v>
      </c>
      <c r="AQ2166" s="213"/>
      <c r="AR2166" s="213"/>
      <c r="AS2166" s="213"/>
      <c r="AT2166" s="213"/>
      <c r="AU2166" s="213"/>
      <c r="AV2166" s="213"/>
      <c r="AW2166" s="213"/>
      <c r="AX2166" s="213"/>
      <c r="AY2166" s="213"/>
      <c r="AZ2166" s="213"/>
      <c r="BA2166" s="213"/>
      <c r="BB2166" s="213"/>
      <c r="BC2166" s="213"/>
      <c r="BD2166" s="213"/>
    </row>
    <row r="2167">
      <c r="A2167" s="213">
        <f>IFERROR(__xludf.DUMMYFUNCTION("""COMPUTED_VALUE"""),2629.0)</f>
        <v>2629</v>
      </c>
      <c r="B2167" s="213" t="str">
        <f>IFERROR(__xludf.DUMMYFUNCTION("""COMPUTED_VALUE"""),"MANUEL ANTONIO MESONES MURO")</f>
        <v>MANUEL ANTONIO MESONES MURO</v>
      </c>
      <c r="C2167" s="213" t="str">
        <f>IFERROR(__xludf.DUMMYFUNCTION("""COMPUTED_VALUE"""),"TALLER SFT DE EBANISTERÍA")</f>
        <v>TALLER SFT DE EBANISTERÍA</v>
      </c>
      <c r="D2167" s="213" t="str">
        <f>IFERROR(__xludf.DUMMYFUNCTION("""COMPUTED_VALUE"""),"HERRAMIENTAS")</f>
        <v>HERRAMIENTAS</v>
      </c>
      <c r="E2167" s="213" t="str">
        <f>IFERROR(__xludf.DUMMYFUNCTION("""COMPUTED_VALUE"""),"MAT-228")</f>
        <v>MAT-228</v>
      </c>
      <c r="F2167" s="213" t="str">
        <f>IFERROR(__xludf.DUMMYFUNCTION("""COMPUTED_VALUE"""),"MAT-228")</f>
        <v>MAT-228</v>
      </c>
      <c r="G2167" s="213"/>
      <c r="H2167" s="213" t="str">
        <f>IFERROR(__xludf.DUMMYFUNCTION("""COMPUTED_VALUE"""),"KIT RESPIRADOR")</f>
        <v>KIT RESPIRADOR</v>
      </c>
      <c r="I2167" s="213" t="str">
        <f>IFERROR(__xludf.DUMMYFUNCTION("""COMPUTED_VALUE"""),"El kit contiene:
- dos vías, con dos juegos de filtros, para soldeo y pintura.
- válvulas de exhalación e inhalación, para mejor ventilación al respirar.
- Incluye un juego de filtro, para polvo y pintura.
Se usa para trabajos con vapores, polvo y partícu"&amp;"las. Trabaja con cartuchos renovables.
Es limpiable.
Material de elastómero termoplástico hipoalergénico. Buen equilibrio del peso de los cartuchos.")</f>
        <v>El kit contiene:
- dos vías, con dos juegos de filtros, para soldeo y pintura.
- válvulas de exhalación e inhalación, para mejor ventilación al respirar.
- Incluye un juego de filtro, para polvo y pintura.
Se usa para trabajos con vapores, polvo y partículas. Trabaja con cartuchos renovables.
Es limpiable.
Material de elastómero termoplástico hipoalergénico. Buen equilibrio del peso de los cartuchos.</v>
      </c>
      <c r="J2167" s="213">
        <f>IFERROR(__xludf.DUMMYFUNCTION("""COMPUTED_VALUE"""),3.0)</f>
        <v>3</v>
      </c>
      <c r="K2167" s="213" t="str">
        <f>IFERROR(__xludf.DUMMYFUNCTION("""COMPUTED_VALUE"""),"90 DÍAS CALENDARIO")</f>
        <v>90 DÍAS CALENDARIO</v>
      </c>
      <c r="L2167" s="213" t="str">
        <f>IFERROR(__xludf.DUMMYFUNCTION("""COMPUTED_VALUE"""),"")</f>
        <v/>
      </c>
      <c r="M2167" s="213">
        <f>IFERROR(__xludf.DUMMYFUNCTION("""COMPUTED_VALUE"""),1.0)</f>
        <v>1</v>
      </c>
      <c r="N2167" s="213">
        <f>IFERROR(__xludf.DUMMYFUNCTION("""COMPUTED_VALUE"""),8.0)</f>
        <v>8</v>
      </c>
      <c r="O2167" s="213">
        <f>IFERROR(__xludf.DUMMYFUNCTION("""COMPUTED_VALUE"""),8.0)</f>
        <v>8</v>
      </c>
      <c r="P2167" s="213"/>
      <c r="Q2167" s="213"/>
      <c r="R2167" s="213"/>
      <c r="S2167" s="213"/>
      <c r="T2167" s="213" t="str">
        <f>IFERROR(__xludf.DUMMYFUNCTION("""COMPUTED_VALUE"""),"SI")</f>
        <v>SI</v>
      </c>
      <c r="U2167" s="213" t="str">
        <f>IFERROR(__xludf.DUMMYFUNCTION("""COMPUTED_VALUE"""),"SI")</f>
        <v>SI</v>
      </c>
      <c r="V2167" s="213" t="str">
        <f>IFERROR(__xludf.DUMMYFUNCTION("""COMPUTED_VALUE"""),"-")</f>
        <v>-</v>
      </c>
      <c r="W2167" s="213" t="str">
        <f>IFERROR(__xludf.DUMMYFUNCTION("""COMPUTED_VALUE"""),"-")</f>
        <v>-</v>
      </c>
      <c r="X2167" s="213" t="str">
        <f>IFERROR(__xludf.DUMMYFUNCTION("""COMPUTED_VALUE"""),"3M")</f>
        <v>3M</v>
      </c>
      <c r="Y2167" s="213" t="str">
        <f>IFERROR(__xludf.DUMMYFUNCTION("""COMPUTED_VALUE"""),"Serie 6000")</f>
        <v>Serie 6000</v>
      </c>
      <c r="Z2167" s="215" t="str">
        <f>IFERROR(__xludf.DUMMYFUNCTION("""COMPUTED_VALUE"""),"https://gemplers.com/products/3m-6000-series-half-mask-kit-with-pesticide-organic-vapor-p100-filter-cartridges?srsltid=AfmBOoq8BRT_byH9CVorP0aWiKVDrShrNl4PBQyHS9gOiiQVezukq0-J&amp;utm_source=chatgpt.com")</f>
        <v>https://gemplers.com/products/3m-6000-series-half-mask-kit-with-pesticide-organic-vapor-p100-filter-cartridges?srsltid=AfmBOoq8BRT_byH9CVorP0aWiKVDrShrNl4PBQyHS9gOiiQVezukq0-J&amp;utm_source=chatgpt.com</v>
      </c>
      <c r="AA2167" s="213" t="str">
        <f>IFERROR(__xludf.DUMMYFUNCTION("""COMPUTED_VALUE"""),"MAT-228 KIT RESPIRADOR - CET")</f>
        <v>MAT-228 KIT RESPIRADOR - CET</v>
      </c>
      <c r="AB2167" s="213"/>
      <c r="AC2167" s="213"/>
      <c r="AD2167" s="213"/>
      <c r="AE2167" s="213"/>
      <c r="AF2167" s="213"/>
      <c r="AG2167" s="213"/>
      <c r="AH2167" s="213"/>
      <c r="AI2167" s="213"/>
      <c r="AJ2167" s="213"/>
      <c r="AK2167" s="213"/>
      <c r="AL2167" s="213"/>
      <c r="AM2167" s="213"/>
      <c r="AN2167" s="213"/>
      <c r="AO2167" s="213"/>
      <c r="AP2167" s="213" t="str">
        <f>IFERROR(__xludf.DUMMYFUNCTION("""COMPUTED_VALUE"""),"SEBASTIAN")</f>
        <v>SEBASTIAN</v>
      </c>
      <c r="AQ2167" s="213"/>
      <c r="AR2167" s="213"/>
      <c r="AS2167" s="213"/>
      <c r="AT2167" s="213"/>
      <c r="AU2167" s="213"/>
      <c r="AV2167" s="213"/>
      <c r="AW2167" s="213"/>
      <c r="AX2167" s="213"/>
      <c r="AY2167" s="213"/>
      <c r="AZ2167" s="213"/>
      <c r="BA2167" s="213"/>
      <c r="BB2167" s="213"/>
      <c r="BC2167" s="213"/>
      <c r="BD2167" s="213"/>
    </row>
    <row r="2168">
      <c r="A2168" s="213">
        <f>IFERROR(__xludf.DUMMYFUNCTION("""COMPUTED_VALUE"""),1845.0)</f>
        <v>1845</v>
      </c>
      <c r="B2168" s="213" t="str">
        <f>IFERROR(__xludf.DUMMYFUNCTION("""COMPUTED_VALUE"""),"GUILLERMO E. BILLINGHURST ")</f>
        <v>GUILLERMO E. BILLINGHURST </v>
      </c>
      <c r="C2168" s="213" t="str">
        <f>IFERROR(__xludf.DUMMYFUNCTION("""COMPUTED_VALUE"""),"TALLER SFT DE EBANISTERÍA")</f>
        <v>TALLER SFT DE EBANISTERÍA</v>
      </c>
      <c r="D2168" s="213" t="str">
        <f>IFERROR(__xludf.DUMMYFUNCTION("""COMPUTED_VALUE"""),"HERRAMIENTAS")</f>
        <v>HERRAMIENTAS</v>
      </c>
      <c r="E2168" s="213" t="str">
        <f>IFERROR(__xludf.DUMMYFUNCTION("""COMPUTED_VALUE"""),"MAT-230")</f>
        <v>MAT-230</v>
      </c>
      <c r="F2168" s="213" t="str">
        <f>IFERROR(__xludf.DUMMYFUNCTION("""COMPUTED_VALUE"""),"MAT-230")</f>
        <v>MAT-230</v>
      </c>
      <c r="G2168" s="213"/>
      <c r="H2168" s="213" t="str">
        <f>IFERROR(__xludf.DUMMYFUNCTION("""COMPUTED_VALUE"""),"LENTES DE PROTECCIÓN DE PLÁSTICO")</f>
        <v>LENTES DE PROTECCIÓN DE PLÁSTICO</v>
      </c>
      <c r="I2168" s="213" t="str">
        <f>IFERROR(__xludf.DUMMYFUNCTION("""COMPUTED_VALUE"""),"Visor tipo antiparra, compacto, ligero y cómodo. Con filtro de protección ante rayos UV.
Para trabajos Contra impacto y salpicadura química. Material de plástico.
Posee ventilación indirecta y ocular transparente.")</f>
        <v>Visor tipo antiparra, compacto, ligero y cómodo. Con filtro de protección ante rayos UV.
Para trabajos Contra impacto y salpicadura química. Material de plástico.
Posee ventilación indirecta y ocular transparente.</v>
      </c>
      <c r="J2168" s="213">
        <f>IFERROR(__xludf.DUMMYFUNCTION("""COMPUTED_VALUE"""),3.0)</f>
        <v>3</v>
      </c>
      <c r="K2168" s="213" t="str">
        <f>IFERROR(__xludf.DUMMYFUNCTION("""COMPUTED_VALUE"""),"90 DÍAS CALENDARIO")</f>
        <v>90 DÍAS CALENDARIO</v>
      </c>
      <c r="L2168" s="213" t="str">
        <f>IFERROR(__xludf.DUMMYFUNCTION("""COMPUTED_VALUE"""),"")</f>
        <v/>
      </c>
      <c r="M2168" s="213">
        <f>IFERROR(__xludf.DUMMYFUNCTION("""COMPUTED_VALUE"""),1.0)</f>
        <v>1</v>
      </c>
      <c r="N2168" s="213">
        <f>IFERROR(__xludf.DUMMYFUNCTION("""COMPUTED_VALUE"""),8.0)</f>
        <v>8</v>
      </c>
      <c r="O2168" s="213">
        <f>IFERROR(__xludf.DUMMYFUNCTION("""COMPUTED_VALUE"""),8.0)</f>
        <v>8</v>
      </c>
      <c r="P2168" s="213"/>
      <c r="Q2168" s="213"/>
      <c r="R2168" s="213"/>
      <c r="S2168" s="213"/>
      <c r="T2168" s="213" t="str">
        <f>IFERROR(__xludf.DUMMYFUNCTION("""COMPUTED_VALUE"""),"SI")</f>
        <v>SI</v>
      </c>
      <c r="U2168" s="213" t="str">
        <f>IFERROR(__xludf.DUMMYFUNCTION("""COMPUTED_VALUE"""),"SI")</f>
        <v>SI</v>
      </c>
      <c r="V2168" s="213" t="str">
        <f>IFERROR(__xludf.DUMMYFUNCTION("""COMPUTED_VALUE"""),"-")</f>
        <v>-</v>
      </c>
      <c r="W2168" s="213" t="str">
        <f>IFERROR(__xludf.DUMMYFUNCTION("""COMPUTED_VALUE"""),"-")</f>
        <v>-</v>
      </c>
      <c r="X2168" s="213" t="str">
        <f>IFERROR(__xludf.DUMMYFUNCTION("""COMPUTED_VALUE"""),"3M")</f>
        <v>3M</v>
      </c>
      <c r="Y2168" s="213" t="str">
        <f>IFERROR(__xludf.DUMMYFUNCTION("""COMPUTED_VALUE"""),"Contra impacto y quimicos")</f>
        <v>Contra impacto y quimicos</v>
      </c>
      <c r="Z2168" s="215" t="str">
        <f>IFERROR(__xludf.DUMMYFUNCTION("""COMPUTED_VALUE"""),"https://www.promart.pe/lentes-para-impactos-y-quimicos-91264-52107/p")</f>
        <v>https://www.promart.pe/lentes-para-impactos-y-quimicos-91264-52107/p</v>
      </c>
      <c r="AA2168" s="213" t="str">
        <f>IFERROR(__xludf.DUMMYFUNCTION("""COMPUTED_VALUE"""),"MAT-230 LENTES DE PROTECCIÓN DE PLÁSTICO - CET")</f>
        <v>MAT-230 LENTES DE PROTECCIÓN DE PLÁSTICO - CET</v>
      </c>
      <c r="AB2168" s="213"/>
      <c r="AC2168" s="213"/>
      <c r="AD2168" s="213"/>
      <c r="AE2168" s="213"/>
      <c r="AF2168" s="213"/>
      <c r="AG2168" s="213"/>
      <c r="AH2168" s="213"/>
      <c r="AI2168" s="213"/>
      <c r="AJ2168" s="213"/>
      <c r="AK2168" s="213"/>
      <c r="AL2168" s="213"/>
      <c r="AM2168" s="213"/>
      <c r="AN2168" s="213"/>
      <c r="AO2168" s="213"/>
      <c r="AP2168" s="213" t="str">
        <f>IFERROR(__xludf.DUMMYFUNCTION("""COMPUTED_VALUE"""),"BRUNO")</f>
        <v>BRUNO</v>
      </c>
      <c r="AQ2168" s="213"/>
      <c r="AR2168" s="213"/>
      <c r="AS2168" s="213"/>
      <c r="AT2168" s="213"/>
      <c r="AU2168" s="213"/>
      <c r="AV2168" s="213"/>
      <c r="AW2168" s="213"/>
      <c r="AX2168" s="213"/>
      <c r="AY2168" s="213"/>
      <c r="AZ2168" s="213"/>
      <c r="BA2168" s="213"/>
      <c r="BB2168" s="213"/>
      <c r="BC2168" s="213"/>
      <c r="BD2168" s="213"/>
    </row>
    <row r="2169">
      <c r="A2169" s="213">
        <f>IFERROR(__xludf.DUMMYFUNCTION("""COMPUTED_VALUE"""),2627.0)</f>
        <v>2627</v>
      </c>
      <c r="B2169" s="213" t="str">
        <f>IFERROR(__xludf.DUMMYFUNCTION("""COMPUTED_VALUE"""),"MANUEL ANTONIO MESONES MURO")</f>
        <v>MANUEL ANTONIO MESONES MURO</v>
      </c>
      <c r="C2169" s="213" t="str">
        <f>IFERROR(__xludf.DUMMYFUNCTION("""COMPUTED_VALUE"""),"TALLER SFT DE EBANISTERÍA")</f>
        <v>TALLER SFT DE EBANISTERÍA</v>
      </c>
      <c r="D2169" s="213" t="str">
        <f>IFERROR(__xludf.DUMMYFUNCTION("""COMPUTED_VALUE"""),"HERRAMIENTAS")</f>
        <v>HERRAMIENTAS</v>
      </c>
      <c r="E2169" s="213" t="str">
        <f>IFERROR(__xludf.DUMMYFUNCTION("""COMPUTED_VALUE"""),"MAT-230")</f>
        <v>MAT-230</v>
      </c>
      <c r="F2169" s="213" t="str">
        <f>IFERROR(__xludf.DUMMYFUNCTION("""COMPUTED_VALUE"""),"MAT-230")</f>
        <v>MAT-230</v>
      </c>
      <c r="G2169" s="213"/>
      <c r="H2169" s="213" t="str">
        <f>IFERROR(__xludf.DUMMYFUNCTION("""COMPUTED_VALUE"""),"LENTES DE PROTECCIÓN DE PLÁSTICO")</f>
        <v>LENTES DE PROTECCIÓN DE PLÁSTICO</v>
      </c>
      <c r="I2169" s="213" t="str">
        <f>IFERROR(__xludf.DUMMYFUNCTION("""COMPUTED_VALUE"""),"Visor tipo antiparra, compacto, ligero y cómodo. Con filtro de protección ante rayos UV.
Para trabajos Contra impacto y salpicadura química. Material de plástico.
Posee ventilación indirecta y ocular transparente.")</f>
        <v>Visor tipo antiparra, compacto, ligero y cómodo. Con filtro de protección ante rayos UV.
Para trabajos Contra impacto y salpicadura química. Material de plástico.
Posee ventilación indirecta y ocular transparente.</v>
      </c>
      <c r="J2169" s="213">
        <f>IFERROR(__xludf.DUMMYFUNCTION("""COMPUTED_VALUE"""),3.0)</f>
        <v>3</v>
      </c>
      <c r="K2169" s="213" t="str">
        <f>IFERROR(__xludf.DUMMYFUNCTION("""COMPUTED_VALUE"""),"90 DÍAS CALENDARIO")</f>
        <v>90 DÍAS CALENDARIO</v>
      </c>
      <c r="L2169" s="213" t="str">
        <f>IFERROR(__xludf.DUMMYFUNCTION("""COMPUTED_VALUE"""),"")</f>
        <v/>
      </c>
      <c r="M2169" s="213">
        <f>IFERROR(__xludf.DUMMYFUNCTION("""COMPUTED_VALUE"""),1.0)</f>
        <v>1</v>
      </c>
      <c r="N2169" s="213">
        <f>IFERROR(__xludf.DUMMYFUNCTION("""COMPUTED_VALUE"""),8.0)</f>
        <v>8</v>
      </c>
      <c r="O2169" s="213">
        <f>IFERROR(__xludf.DUMMYFUNCTION("""COMPUTED_VALUE"""),8.0)</f>
        <v>8</v>
      </c>
      <c r="P2169" s="213"/>
      <c r="Q2169" s="213"/>
      <c r="R2169" s="213"/>
      <c r="S2169" s="213"/>
      <c r="T2169" s="213" t="str">
        <f>IFERROR(__xludf.DUMMYFUNCTION("""COMPUTED_VALUE"""),"SI")</f>
        <v>SI</v>
      </c>
      <c r="U2169" s="213" t="str">
        <f>IFERROR(__xludf.DUMMYFUNCTION("""COMPUTED_VALUE"""),"SI")</f>
        <v>SI</v>
      </c>
      <c r="V2169" s="213" t="str">
        <f>IFERROR(__xludf.DUMMYFUNCTION("""COMPUTED_VALUE"""),"-")</f>
        <v>-</v>
      </c>
      <c r="W2169" s="213" t="str">
        <f>IFERROR(__xludf.DUMMYFUNCTION("""COMPUTED_VALUE"""),"-")</f>
        <v>-</v>
      </c>
      <c r="X2169" s="213" t="str">
        <f>IFERROR(__xludf.DUMMYFUNCTION("""COMPUTED_VALUE"""),"3M")</f>
        <v>3M</v>
      </c>
      <c r="Y2169" s="213" t="str">
        <f>IFERROR(__xludf.DUMMYFUNCTION("""COMPUTED_VALUE"""),"Contra impacto y quimicos")</f>
        <v>Contra impacto y quimicos</v>
      </c>
      <c r="Z2169" s="215" t="str">
        <f>IFERROR(__xludf.DUMMYFUNCTION("""COMPUTED_VALUE"""),"https://www.promart.pe/lentes-para-impactos-y-quimicos-91264-52107/p")</f>
        <v>https://www.promart.pe/lentes-para-impactos-y-quimicos-91264-52107/p</v>
      </c>
      <c r="AA2169" s="213" t="str">
        <f>IFERROR(__xludf.DUMMYFUNCTION("""COMPUTED_VALUE"""),"MAT-230 LENTES DE PROTECCIÓN DE PLÁSTICO - CET")</f>
        <v>MAT-230 LENTES DE PROTECCIÓN DE PLÁSTICO - CET</v>
      </c>
      <c r="AB2169" s="213"/>
      <c r="AC2169" s="213"/>
      <c r="AD2169" s="213"/>
      <c r="AE2169" s="213"/>
      <c r="AF2169" s="213"/>
      <c r="AG2169" s="213"/>
      <c r="AH2169" s="213"/>
      <c r="AI2169" s="213"/>
      <c r="AJ2169" s="213"/>
      <c r="AK2169" s="213"/>
      <c r="AL2169" s="213"/>
      <c r="AM2169" s="213"/>
      <c r="AN2169" s="213"/>
      <c r="AO2169" s="213"/>
      <c r="AP2169" s="213" t="str">
        <f>IFERROR(__xludf.DUMMYFUNCTION("""COMPUTED_VALUE"""),"BRUNO")</f>
        <v>BRUNO</v>
      </c>
      <c r="AQ2169" s="213"/>
      <c r="AR2169" s="213"/>
      <c r="AS2169" s="213"/>
      <c r="AT2169" s="213"/>
      <c r="AU2169" s="213"/>
      <c r="AV2169" s="213"/>
      <c r="AW2169" s="213"/>
      <c r="AX2169" s="213"/>
      <c r="AY2169" s="213"/>
      <c r="AZ2169" s="213"/>
      <c r="BA2169" s="213"/>
      <c r="BB2169" s="213"/>
      <c r="BC2169" s="213"/>
      <c r="BD2169" s="213"/>
    </row>
    <row r="2170">
      <c r="A2170" s="213">
        <f>IFERROR(__xludf.DUMMYFUNCTION("""COMPUTED_VALUE"""),925.0)</f>
        <v>925</v>
      </c>
      <c r="B2170" s="213" t="str">
        <f>IFERROR(__xludf.DUMMYFUNCTION("""COMPUTED_VALUE"""),"FRANCISCO IRAZOLA")</f>
        <v>FRANCISCO IRAZOLA</v>
      </c>
      <c r="C2170" s="213" t="str">
        <f>IFERROR(__xludf.DUMMYFUNCTION("""COMPUTED_VALUE"""),"TALLER SFT DE MECÁNICA AUTOMOTRIZ")</f>
        <v>TALLER SFT DE MECÁNICA AUTOMOTRIZ</v>
      </c>
      <c r="D2170" s="213" t="str">
        <f>IFERROR(__xludf.DUMMYFUNCTION("""COMPUTED_VALUE"""),"HERRAMIENTAS")</f>
        <v>HERRAMIENTAS</v>
      </c>
      <c r="E2170" s="213" t="str">
        <f>IFERROR(__xludf.DUMMYFUNCTION("""COMPUTED_VALUE"""),"MAT-231")</f>
        <v>MAT-231</v>
      </c>
      <c r="F2170" s="213" t="str">
        <f>IFERROR(__xludf.DUMMYFUNCTION("""COMPUTED_VALUE"""),"MAT-231-Y")</f>
        <v>MAT-231-Y</v>
      </c>
      <c r="G2170" s="213"/>
      <c r="H2170" s="213" t="str">
        <f>IFERROR(__xludf.DUMMYFUNCTION("""COMPUTED_VALUE"""),"LENTES DE PROTECCIÓN DE POLICARBONATO")</f>
        <v>LENTES DE PROTECCIÓN DE POLICARBONATO</v>
      </c>
      <c r="I2170" s="213" t="str">
        <f>IFERROR(__xludf.DUMMYFUNCTION("""COMPUTED_VALUE"""),"Lentes de seguridad con diseño liso sin obstrucciones. Con resguardo lateral.
Cumple con Norma ANSI Z87.
Absorben el 99.9% de la radiación ultravioleta Antirayadura y antiempañamiento.
Calidad óptica Clase 1
Ancho : 15 -22cm      Alto : 7- 18 cm   Fondo: "&amp;"9- 13 cm")</f>
        <v>Lentes de seguridad con diseño liso sin obstrucciones. Con resguardo lateral.
Cumple con Norma ANSI Z87.
Absorben el 99.9% de la radiación ultravioleta Antirayadura y antiempañamiento.
Calidad óptica Clase 1
Ancho : 15 -22cm      Alto : 7- 18 cm   Fondo: 9- 13 cm</v>
      </c>
      <c r="J2170" s="213">
        <f>IFERROR(__xludf.DUMMYFUNCTION("""COMPUTED_VALUE"""),3.0)</f>
        <v>3</v>
      </c>
      <c r="K2170" s="213" t="str">
        <f>IFERROR(__xludf.DUMMYFUNCTION("""COMPUTED_VALUE"""),"90 DÍAS CALENDARIO")</f>
        <v>90 DÍAS CALENDARIO</v>
      </c>
      <c r="L2170" s="213" t="str">
        <f>IFERROR(__xludf.DUMMYFUNCTION("""COMPUTED_VALUE"""),"")</f>
        <v/>
      </c>
      <c r="M2170" s="213">
        <f>IFERROR(__xludf.DUMMYFUNCTION("""COMPUTED_VALUE"""),1.0)</f>
        <v>1</v>
      </c>
      <c r="N2170" s="213">
        <f>IFERROR(__xludf.DUMMYFUNCTION("""COMPUTED_VALUE"""),21.0)</f>
        <v>21</v>
      </c>
      <c r="O2170" s="213">
        <f>IFERROR(__xludf.DUMMYFUNCTION("""COMPUTED_VALUE"""),21.0)</f>
        <v>21</v>
      </c>
      <c r="P2170" s="213"/>
      <c r="Q2170" s="213"/>
      <c r="R2170" s="213" t="str">
        <f>IFERROR(__xludf.DUMMYFUNCTION("""COMPUTED_VALUE"""),"SI")</f>
        <v>SI</v>
      </c>
      <c r="S2170" s="213"/>
      <c r="T2170" s="213" t="str">
        <f>IFERROR(__xludf.DUMMYFUNCTION("""COMPUTED_VALUE"""),"CONSULTA FINAL")</f>
        <v>CONSULTA FINAL</v>
      </c>
      <c r="U2170" s="213" t="str">
        <f>IFERROR(__xludf.DUMMYFUNCTION("""COMPUTED_VALUE"""),"NO")</f>
        <v>NO</v>
      </c>
      <c r="V2170" s="213" t="str">
        <f>IFERROR(__xludf.DUMMYFUNCTION("""COMPUTED_VALUE"""),"SUSTENTO")</f>
        <v>SUSTENTO</v>
      </c>
      <c r="W2170" s="213" t="str">
        <f>IFERROR(__xludf.DUMMYFUNCTION("""COMPUTED_VALUE"""),"DIMENSIONAL")</f>
        <v>DIMENSIONAL</v>
      </c>
      <c r="X2170" s="213" t="str">
        <f>IFERROR(__xludf.DUMMYFUNCTION("""COMPUTED_VALUE"""),"3M")</f>
        <v>3M</v>
      </c>
      <c r="Y2170" s="213">
        <f>IFERROR(__xludf.DUMMYFUNCTION("""COMPUTED_VALUE"""),1.13307451E8)</f>
        <v>113307451</v>
      </c>
      <c r="Z2170" s="215" t="str">
        <f>IFERROR(__xludf.DUMMYFUNCTION("""COMPUTED_VALUE"""),"https://sodimac.falabella.com.pe/sodimac-pe/product/113307449/Lentes-de-Seguridad-3M-Clasico/113307451")</f>
        <v>https://sodimac.falabella.com.pe/sodimac-pe/product/113307449/Lentes-de-Seguridad-3M-Clasico/113307451</v>
      </c>
      <c r="AA2170" s="213" t="str">
        <f>IFERROR(__xludf.DUMMYFUNCTION("""COMPUTED_VALUE"""),"MAT-231-Y LENTES DE PROTECCIÓN DE POLICARBONATO - CET")</f>
        <v>MAT-231-Y LENTES DE PROTECCIÓN DE POLICARBONATO - CET</v>
      </c>
      <c r="AB2170" s="213"/>
      <c r="AC2170" s="213"/>
      <c r="AD2170" s="213"/>
      <c r="AE2170" s="213"/>
      <c r="AF2170" s="213"/>
      <c r="AG2170" s="213"/>
      <c r="AH2170" s="213"/>
      <c r="AI2170" s="213"/>
      <c r="AJ2170" s="213"/>
      <c r="AK2170" s="213"/>
      <c r="AL2170" s="213"/>
      <c r="AM2170" s="213"/>
      <c r="AN2170" s="213"/>
      <c r="AO2170" s="213"/>
      <c r="AP2170" s="213" t="str">
        <f>IFERROR(__xludf.DUMMYFUNCTION("""COMPUTED_VALUE"""),"SEBASTIAN")</f>
        <v>SEBASTIAN</v>
      </c>
      <c r="AQ2170" s="213"/>
      <c r="AR2170" s="213"/>
      <c r="AS2170" s="213"/>
      <c r="AT2170" s="213"/>
      <c r="AU2170" s="213"/>
      <c r="AV2170" s="213"/>
      <c r="AW2170" s="213"/>
      <c r="AX2170" s="213"/>
      <c r="AY2170" s="213"/>
      <c r="AZ2170" s="213"/>
      <c r="BA2170" s="213"/>
      <c r="BB2170" s="213"/>
      <c r="BC2170" s="213"/>
      <c r="BD2170" s="213"/>
    </row>
    <row r="2171">
      <c r="A2171" s="213">
        <f>IFERROR(__xludf.DUMMYFUNCTION("""COMPUTED_VALUE"""),1526.0)</f>
        <v>1526</v>
      </c>
      <c r="B2171" s="213" t="str">
        <f>IFERROR(__xludf.DUMMYFUNCTION("""COMPUTED_VALUE"""),"GUILLERMO E. BILLINGHURST ")</f>
        <v>GUILLERMO E. BILLINGHURST </v>
      </c>
      <c r="C2171" s="213" t="str">
        <f>IFERROR(__xludf.DUMMYFUNCTION("""COMPUTED_VALUE"""),"TALLER SFT DE MECÁNICA AUTOMOTRIZ")</f>
        <v>TALLER SFT DE MECÁNICA AUTOMOTRIZ</v>
      </c>
      <c r="D2171" s="213" t="str">
        <f>IFERROR(__xludf.DUMMYFUNCTION("""COMPUTED_VALUE"""),"HERRAMIENTAS")</f>
        <v>HERRAMIENTAS</v>
      </c>
      <c r="E2171" s="213" t="str">
        <f>IFERROR(__xludf.DUMMYFUNCTION("""COMPUTED_VALUE"""),"MAT-231")</f>
        <v>MAT-231</v>
      </c>
      <c r="F2171" s="213" t="str">
        <f>IFERROR(__xludf.DUMMYFUNCTION("""COMPUTED_VALUE"""),"MAT-231-Y")</f>
        <v>MAT-231-Y</v>
      </c>
      <c r="G2171" s="213"/>
      <c r="H2171" s="213" t="str">
        <f>IFERROR(__xludf.DUMMYFUNCTION("""COMPUTED_VALUE"""),"LENTES DE PROTECCIÓN DE POLICARBONATO")</f>
        <v>LENTES DE PROTECCIÓN DE POLICARBONATO</v>
      </c>
      <c r="I2171" s="213" t="str">
        <f>IFERROR(__xludf.DUMMYFUNCTION("""COMPUTED_VALUE"""),"Lentes de seguridad con diseño liso sin obstrucciones. Con resguardo lateral.
Cumple con Norma ANSI Z87.
Absorben el 99.9% de la radiación ultravioleta Antirayadura y antiempañamiento.
Calidad óptica Clase 1
Ancho : 15 -22cm      Alto : 7- 18 cm   Fondo: "&amp;"9- 13 cm")</f>
        <v>Lentes de seguridad con diseño liso sin obstrucciones. Con resguardo lateral.
Cumple con Norma ANSI Z87.
Absorben el 99.9% de la radiación ultravioleta Antirayadura y antiempañamiento.
Calidad óptica Clase 1
Ancho : 15 -22cm      Alto : 7- 18 cm   Fondo: 9- 13 cm</v>
      </c>
      <c r="J2171" s="213">
        <f>IFERROR(__xludf.DUMMYFUNCTION("""COMPUTED_VALUE"""),3.0)</f>
        <v>3</v>
      </c>
      <c r="K2171" s="213" t="str">
        <f>IFERROR(__xludf.DUMMYFUNCTION("""COMPUTED_VALUE"""),"90 DÍAS CALENDARIO")</f>
        <v>90 DÍAS CALENDARIO</v>
      </c>
      <c r="L2171" s="213" t="str">
        <f>IFERROR(__xludf.DUMMYFUNCTION("""COMPUTED_VALUE"""),"")</f>
        <v/>
      </c>
      <c r="M2171" s="213">
        <f>IFERROR(__xludf.DUMMYFUNCTION("""COMPUTED_VALUE"""),1.0)</f>
        <v>1</v>
      </c>
      <c r="N2171" s="213">
        <f>IFERROR(__xludf.DUMMYFUNCTION("""COMPUTED_VALUE"""),21.0)</f>
        <v>21</v>
      </c>
      <c r="O2171" s="213">
        <f>IFERROR(__xludf.DUMMYFUNCTION("""COMPUTED_VALUE"""),21.0)</f>
        <v>21</v>
      </c>
      <c r="P2171" s="213"/>
      <c r="Q2171" s="213"/>
      <c r="R2171" s="213" t="str">
        <f>IFERROR(__xludf.DUMMYFUNCTION("""COMPUTED_VALUE"""),"SI")</f>
        <v>SI</v>
      </c>
      <c r="S2171" s="213"/>
      <c r="T2171" s="213" t="str">
        <f>IFERROR(__xludf.DUMMYFUNCTION("""COMPUTED_VALUE"""),"CONSULTA FINAL")</f>
        <v>CONSULTA FINAL</v>
      </c>
      <c r="U2171" s="213" t="str">
        <f>IFERROR(__xludf.DUMMYFUNCTION("""COMPUTED_VALUE"""),"NO")</f>
        <v>NO</v>
      </c>
      <c r="V2171" s="213" t="str">
        <f>IFERROR(__xludf.DUMMYFUNCTION("""COMPUTED_VALUE"""),"SUSTENTO")</f>
        <v>SUSTENTO</v>
      </c>
      <c r="W2171" s="213" t="str">
        <f>IFERROR(__xludf.DUMMYFUNCTION("""COMPUTED_VALUE"""),"DIMENSIONAL")</f>
        <v>DIMENSIONAL</v>
      </c>
      <c r="X2171" s="213" t="str">
        <f>IFERROR(__xludf.DUMMYFUNCTION("""COMPUTED_VALUE"""),"3M")</f>
        <v>3M</v>
      </c>
      <c r="Y2171" s="213">
        <f>IFERROR(__xludf.DUMMYFUNCTION("""COMPUTED_VALUE"""),1.13307451E8)</f>
        <v>113307451</v>
      </c>
      <c r="Z2171" s="215" t="str">
        <f>IFERROR(__xludf.DUMMYFUNCTION("""COMPUTED_VALUE"""),"https://sodimac.falabella.com.pe/sodimac-pe/product/113307449/Lentes-de-Seguridad-3M-Clasico/113307451")</f>
        <v>https://sodimac.falabella.com.pe/sodimac-pe/product/113307449/Lentes-de-Seguridad-3M-Clasico/113307451</v>
      </c>
      <c r="AA2171" s="213" t="str">
        <f>IFERROR(__xludf.DUMMYFUNCTION("""COMPUTED_VALUE"""),"MAT-231-Y LENTES DE PROTECCIÓN DE POLICARBONATO - CET")</f>
        <v>MAT-231-Y LENTES DE PROTECCIÓN DE POLICARBONATO - CET</v>
      </c>
      <c r="AB2171" s="213"/>
      <c r="AC2171" s="213"/>
      <c r="AD2171" s="213"/>
      <c r="AE2171" s="213"/>
      <c r="AF2171" s="213"/>
      <c r="AG2171" s="213"/>
      <c r="AH2171" s="213"/>
      <c r="AI2171" s="213"/>
      <c r="AJ2171" s="213"/>
      <c r="AK2171" s="213"/>
      <c r="AL2171" s="213"/>
      <c r="AM2171" s="213"/>
      <c r="AN2171" s="213"/>
      <c r="AO2171" s="213"/>
      <c r="AP2171" s="213" t="str">
        <f>IFERROR(__xludf.DUMMYFUNCTION("""COMPUTED_VALUE"""),"SEBASTIAN")</f>
        <v>SEBASTIAN</v>
      </c>
      <c r="AQ2171" s="213"/>
      <c r="AR2171" s="213"/>
      <c r="AS2171" s="213"/>
      <c r="AT2171" s="213"/>
      <c r="AU2171" s="213"/>
      <c r="AV2171" s="213"/>
      <c r="AW2171" s="213"/>
      <c r="AX2171" s="213"/>
      <c r="AY2171" s="213"/>
      <c r="AZ2171" s="213"/>
      <c r="BA2171" s="213"/>
      <c r="BB2171" s="213"/>
      <c r="BC2171" s="213"/>
      <c r="BD2171" s="213"/>
    </row>
    <row r="2172">
      <c r="A2172" s="213">
        <f>IFERROR(__xludf.DUMMYFUNCTION("""COMPUTED_VALUE"""),1842.0)</f>
        <v>1842</v>
      </c>
      <c r="B2172" s="213" t="str">
        <f>IFERROR(__xludf.DUMMYFUNCTION("""COMPUTED_VALUE"""),"GUILLERMO E. BILLINGHURST ")</f>
        <v>GUILLERMO E. BILLINGHURST </v>
      </c>
      <c r="C2172" s="213" t="str">
        <f>IFERROR(__xludf.DUMMYFUNCTION("""COMPUTED_VALUE"""),"TALLER SFT DE EBANISTERÍA")</f>
        <v>TALLER SFT DE EBANISTERÍA</v>
      </c>
      <c r="D2172" s="213" t="str">
        <f>IFERROR(__xludf.DUMMYFUNCTION("""COMPUTED_VALUE"""),"HERRAMIENTAS")</f>
        <v>HERRAMIENTAS</v>
      </c>
      <c r="E2172" s="213" t="str">
        <f>IFERROR(__xludf.DUMMYFUNCTION("""COMPUTED_VALUE"""),"MAT-231")</f>
        <v>MAT-231</v>
      </c>
      <c r="F2172" s="213" t="str">
        <f>IFERROR(__xludf.DUMMYFUNCTION("""COMPUTED_VALUE"""),"MAT-231-X")</f>
        <v>MAT-231-X</v>
      </c>
      <c r="G2172" s="213"/>
      <c r="H2172" s="213" t="str">
        <f>IFERROR(__xludf.DUMMYFUNCTION("""COMPUTED_VALUE"""),"LENTES DE PROTECCIÓN DE POLICARBONATO")</f>
        <v>LENTES DE PROTECCIÓN DE POLICARBONATO</v>
      </c>
      <c r="I2172" s="213" t="str">
        <f>IFERROR(__xludf.DUMMYFUNCTION("""COMPUTED_VALUE"""),"Lente de seguridad con protector lateral Color claro (transparente)
Material del lente: Policarbonato Cumple norma ANSI Z87")</f>
        <v>Lente de seguridad con protector lateral Color claro (transparente)
Material del lente: Policarbonato Cumple norma ANSI Z87</v>
      </c>
      <c r="J2172" s="213">
        <f>IFERROR(__xludf.DUMMYFUNCTION("""COMPUTED_VALUE"""),3.0)</f>
        <v>3</v>
      </c>
      <c r="K2172" s="213" t="str">
        <f>IFERROR(__xludf.DUMMYFUNCTION("""COMPUTED_VALUE"""),"90 DÍAS CALENDARIO")</f>
        <v>90 DÍAS CALENDARIO</v>
      </c>
      <c r="L2172" s="213" t="str">
        <f>IFERROR(__xludf.DUMMYFUNCTION("""COMPUTED_VALUE"""),"")</f>
        <v/>
      </c>
      <c r="M2172" s="213">
        <f>IFERROR(__xludf.DUMMYFUNCTION("""COMPUTED_VALUE"""),1.0)</f>
        <v>1</v>
      </c>
      <c r="N2172" s="213">
        <f>IFERROR(__xludf.DUMMYFUNCTION("""COMPUTED_VALUE"""),21.0)</f>
        <v>21</v>
      </c>
      <c r="O2172" s="213">
        <f>IFERROR(__xludf.DUMMYFUNCTION("""COMPUTED_VALUE"""),21.0)</f>
        <v>21</v>
      </c>
      <c r="P2172" s="213"/>
      <c r="Q2172" s="213"/>
      <c r="R2172" s="213" t="str">
        <f>IFERROR(__xludf.DUMMYFUNCTION("""COMPUTED_VALUE"""),"SI")</f>
        <v>SI</v>
      </c>
      <c r="S2172" s="213"/>
      <c r="T2172" s="213" t="str">
        <f>IFERROR(__xludf.DUMMYFUNCTION("""COMPUTED_VALUE"""),"SI")</f>
        <v>SI</v>
      </c>
      <c r="U2172" s="213" t="str">
        <f>IFERROR(__xludf.DUMMYFUNCTION("""COMPUTED_VALUE"""),"SI")</f>
        <v>SI</v>
      </c>
      <c r="V2172" s="213" t="str">
        <f>IFERROR(__xludf.DUMMYFUNCTION("""COMPUTED_VALUE"""),"-")</f>
        <v>-</v>
      </c>
      <c r="W2172" s="213" t="str">
        <f>IFERROR(__xludf.DUMMYFUNCTION("""COMPUTED_VALUE"""),"-")</f>
        <v>-</v>
      </c>
      <c r="X2172" s="213" t="str">
        <f>IFERROR(__xludf.DUMMYFUNCTION("""COMPUTED_VALUE"""),"3M")</f>
        <v>3M</v>
      </c>
      <c r="Y2172" s="213">
        <f>IFERROR(__xludf.DUMMYFUNCTION("""COMPUTED_VALUE"""),1.13307451E8)</f>
        <v>113307451</v>
      </c>
      <c r="Z2172" s="215" t="str">
        <f>IFERROR(__xludf.DUMMYFUNCTION("""COMPUTED_VALUE"""),"https://sodimac.falabella.com.pe/sodimac-pe/product/113307449/3M-Lentes-de-Seguridad-Clasico/113307451")</f>
        <v>https://sodimac.falabella.com.pe/sodimac-pe/product/113307449/3M-Lentes-de-Seguridad-Clasico/113307451</v>
      </c>
      <c r="AA2172" s="213" t="str">
        <f>IFERROR(__xludf.DUMMYFUNCTION("""COMPUTED_VALUE"""),"MAT-231-X LENTES DE PROTECCIÓN DE POLICARBONATO - CET")</f>
        <v>MAT-231-X LENTES DE PROTECCIÓN DE POLICARBONATO - CET</v>
      </c>
      <c r="AB2172" s="213"/>
      <c r="AC2172" s="213"/>
      <c r="AD2172" s="213"/>
      <c r="AE2172" s="213"/>
      <c r="AF2172" s="213"/>
      <c r="AG2172" s="213"/>
      <c r="AH2172" s="213"/>
      <c r="AI2172" s="213"/>
      <c r="AJ2172" s="213"/>
      <c r="AK2172" s="213"/>
      <c r="AL2172" s="213"/>
      <c r="AM2172" s="213"/>
      <c r="AN2172" s="213"/>
      <c r="AO2172" s="213"/>
      <c r="AP2172" s="213" t="str">
        <f>IFERROR(__xludf.DUMMYFUNCTION("""COMPUTED_VALUE"""),"SEBASTIAN")</f>
        <v>SEBASTIAN</v>
      </c>
      <c r="AQ2172" s="213"/>
      <c r="AR2172" s="213"/>
      <c r="AS2172" s="213"/>
      <c r="AT2172" s="213"/>
      <c r="AU2172" s="213"/>
      <c r="AV2172" s="213"/>
      <c r="AW2172" s="213"/>
      <c r="AX2172" s="213"/>
      <c r="AY2172" s="213"/>
      <c r="AZ2172" s="213"/>
      <c r="BA2172" s="213"/>
      <c r="BB2172" s="213"/>
      <c r="BC2172" s="213"/>
      <c r="BD2172" s="213"/>
    </row>
    <row r="2173">
      <c r="A2173" s="213">
        <f>IFERROR(__xludf.DUMMYFUNCTION("""COMPUTED_VALUE"""),2218.0)</f>
        <v>2218</v>
      </c>
      <c r="B2173" s="213" t="str">
        <f>IFERROR(__xludf.DUMMYFUNCTION("""COMPUTED_VALUE"""),"JOSE GRANDA")</f>
        <v>JOSE GRANDA</v>
      </c>
      <c r="C2173" s="213" t="str">
        <f>IFERROR(__xludf.DUMMYFUNCTION("""COMPUTED_VALUE"""),"TALLER SFT DE MECÁNICA AUTOMOTRIZ")</f>
        <v>TALLER SFT DE MECÁNICA AUTOMOTRIZ</v>
      </c>
      <c r="D2173" s="213" t="str">
        <f>IFERROR(__xludf.DUMMYFUNCTION("""COMPUTED_VALUE"""),"HERRAMIENTAS")</f>
        <v>HERRAMIENTAS</v>
      </c>
      <c r="E2173" s="213" t="str">
        <f>IFERROR(__xludf.DUMMYFUNCTION("""COMPUTED_VALUE"""),"MAT-231")</f>
        <v>MAT-231</v>
      </c>
      <c r="F2173" s="213" t="str">
        <f>IFERROR(__xludf.DUMMYFUNCTION("""COMPUTED_VALUE"""),"MAT-231-Y")</f>
        <v>MAT-231-Y</v>
      </c>
      <c r="G2173" s="213"/>
      <c r="H2173" s="213" t="str">
        <f>IFERROR(__xludf.DUMMYFUNCTION("""COMPUTED_VALUE"""),"LENTES DE PROTECCIÓN DE POLICARBONATO")</f>
        <v>LENTES DE PROTECCIÓN DE POLICARBONATO</v>
      </c>
      <c r="I2173" s="213" t="str">
        <f>IFERROR(__xludf.DUMMYFUNCTION("""COMPUTED_VALUE"""),"Lentes de seguridad con diseño liso sin obstrucciones. Con resguardo lateral.
Cumple con Norma ANSI Z87.
Absorben el 99.9% de la radiación ultravioleta Antirayadura y antiempañamiento.
Calidad óptica Clase 1
Ancho : 15 -22cm      Alto : 7- 18 cm   Fondo: "&amp;"9- 13 cm")</f>
        <v>Lentes de seguridad con diseño liso sin obstrucciones. Con resguardo lateral.
Cumple con Norma ANSI Z87.
Absorben el 99.9% de la radiación ultravioleta Antirayadura y antiempañamiento.
Calidad óptica Clase 1
Ancho : 15 -22cm      Alto : 7- 18 cm   Fondo: 9- 13 cm</v>
      </c>
      <c r="J2173" s="213">
        <f>IFERROR(__xludf.DUMMYFUNCTION("""COMPUTED_VALUE"""),3.0)</f>
        <v>3</v>
      </c>
      <c r="K2173" s="213" t="str">
        <f>IFERROR(__xludf.DUMMYFUNCTION("""COMPUTED_VALUE"""),"90 DÍAS CALENDARIO")</f>
        <v>90 DÍAS CALENDARIO</v>
      </c>
      <c r="L2173" s="213" t="str">
        <f>IFERROR(__xludf.DUMMYFUNCTION("""COMPUTED_VALUE"""),"")</f>
        <v/>
      </c>
      <c r="M2173" s="213">
        <f>IFERROR(__xludf.DUMMYFUNCTION("""COMPUTED_VALUE"""),1.0)</f>
        <v>1</v>
      </c>
      <c r="N2173" s="213">
        <f>IFERROR(__xludf.DUMMYFUNCTION("""COMPUTED_VALUE"""),21.0)</f>
        <v>21</v>
      </c>
      <c r="O2173" s="213">
        <f>IFERROR(__xludf.DUMMYFUNCTION("""COMPUTED_VALUE"""),21.0)</f>
        <v>21</v>
      </c>
      <c r="P2173" s="213"/>
      <c r="Q2173" s="213"/>
      <c r="R2173" s="213" t="str">
        <f>IFERROR(__xludf.DUMMYFUNCTION("""COMPUTED_VALUE"""),"SI")</f>
        <v>SI</v>
      </c>
      <c r="S2173" s="213"/>
      <c r="T2173" s="213" t="str">
        <f>IFERROR(__xludf.DUMMYFUNCTION("""COMPUTED_VALUE"""),"CONSULTA FINAL")</f>
        <v>CONSULTA FINAL</v>
      </c>
      <c r="U2173" s="213" t="str">
        <f>IFERROR(__xludf.DUMMYFUNCTION("""COMPUTED_VALUE"""),"NO")</f>
        <v>NO</v>
      </c>
      <c r="V2173" s="213" t="str">
        <f>IFERROR(__xludf.DUMMYFUNCTION("""COMPUTED_VALUE"""),"SUSTENTO")</f>
        <v>SUSTENTO</v>
      </c>
      <c r="W2173" s="213" t="str">
        <f>IFERROR(__xludf.DUMMYFUNCTION("""COMPUTED_VALUE"""),"DIMENSIONAL")</f>
        <v>DIMENSIONAL</v>
      </c>
      <c r="X2173" s="213" t="str">
        <f>IFERROR(__xludf.DUMMYFUNCTION("""COMPUTED_VALUE"""),"3M")</f>
        <v>3M</v>
      </c>
      <c r="Y2173" s="213">
        <f>IFERROR(__xludf.DUMMYFUNCTION("""COMPUTED_VALUE"""),1.13307451E8)</f>
        <v>113307451</v>
      </c>
      <c r="Z2173" s="215" t="str">
        <f>IFERROR(__xludf.DUMMYFUNCTION("""COMPUTED_VALUE"""),"https://sodimac.falabella.com.pe/sodimac-pe/product/113307449/Lentes-de-Seguridad-3M-Clasico/113307451")</f>
        <v>https://sodimac.falabella.com.pe/sodimac-pe/product/113307449/Lentes-de-Seguridad-3M-Clasico/113307451</v>
      </c>
      <c r="AA2173" s="213" t="str">
        <f>IFERROR(__xludf.DUMMYFUNCTION("""COMPUTED_VALUE"""),"MAT-231-Y LENTES DE PROTECCIÓN DE POLICARBONATO - CET")</f>
        <v>MAT-231-Y LENTES DE PROTECCIÓN DE POLICARBONATO - CET</v>
      </c>
      <c r="AB2173" s="213"/>
      <c r="AC2173" s="213"/>
      <c r="AD2173" s="213"/>
      <c r="AE2173" s="213"/>
      <c r="AF2173" s="213"/>
      <c r="AG2173" s="213"/>
      <c r="AH2173" s="213"/>
      <c r="AI2173" s="213"/>
      <c r="AJ2173" s="213"/>
      <c r="AK2173" s="213"/>
      <c r="AL2173" s="213"/>
      <c r="AM2173" s="213"/>
      <c r="AN2173" s="213"/>
      <c r="AO2173" s="213"/>
      <c r="AP2173" s="213" t="str">
        <f>IFERROR(__xludf.DUMMYFUNCTION("""COMPUTED_VALUE"""),"SEBASTIAN")</f>
        <v>SEBASTIAN</v>
      </c>
      <c r="AQ2173" s="213"/>
      <c r="AR2173" s="213"/>
      <c r="AS2173" s="213"/>
      <c r="AT2173" s="213"/>
      <c r="AU2173" s="213"/>
      <c r="AV2173" s="213"/>
      <c r="AW2173" s="213"/>
      <c r="AX2173" s="213"/>
      <c r="AY2173" s="213"/>
      <c r="AZ2173" s="213"/>
      <c r="BA2173" s="213"/>
      <c r="BB2173" s="213"/>
      <c r="BC2173" s="213"/>
      <c r="BD2173" s="213"/>
    </row>
    <row r="2174">
      <c r="A2174" s="213">
        <f>IFERROR(__xludf.DUMMYFUNCTION("""COMPUTED_VALUE"""),2624.0)</f>
        <v>2624</v>
      </c>
      <c r="B2174" s="213" t="str">
        <f>IFERROR(__xludf.DUMMYFUNCTION("""COMPUTED_VALUE"""),"MANUEL ANTONIO MESONES MURO")</f>
        <v>MANUEL ANTONIO MESONES MURO</v>
      </c>
      <c r="C2174" s="213" t="str">
        <f>IFERROR(__xludf.DUMMYFUNCTION("""COMPUTED_VALUE"""),"TALLER SFT DE EBANISTERÍA")</f>
        <v>TALLER SFT DE EBANISTERÍA</v>
      </c>
      <c r="D2174" s="213" t="str">
        <f>IFERROR(__xludf.DUMMYFUNCTION("""COMPUTED_VALUE"""),"HERRAMIENTAS")</f>
        <v>HERRAMIENTAS</v>
      </c>
      <c r="E2174" s="213" t="str">
        <f>IFERROR(__xludf.DUMMYFUNCTION("""COMPUTED_VALUE"""),"MAT-231")</f>
        <v>MAT-231</v>
      </c>
      <c r="F2174" s="213" t="str">
        <f>IFERROR(__xludf.DUMMYFUNCTION("""COMPUTED_VALUE"""),"MAT-231-X")</f>
        <v>MAT-231-X</v>
      </c>
      <c r="G2174" s="213"/>
      <c r="H2174" s="213" t="str">
        <f>IFERROR(__xludf.DUMMYFUNCTION("""COMPUTED_VALUE"""),"LENTES DE PROTECCIÓN DE POLICARBONATO")</f>
        <v>LENTES DE PROTECCIÓN DE POLICARBONATO</v>
      </c>
      <c r="I2174" s="213" t="str">
        <f>IFERROR(__xludf.DUMMYFUNCTION("""COMPUTED_VALUE"""),"Lente de seguridad con protector lateral Color claro (transparente)
Material del lente: Policarbonato Cumple norma ANSI Z87")</f>
        <v>Lente de seguridad con protector lateral Color claro (transparente)
Material del lente: Policarbonato Cumple norma ANSI Z87</v>
      </c>
      <c r="J2174" s="213">
        <f>IFERROR(__xludf.DUMMYFUNCTION("""COMPUTED_VALUE"""),3.0)</f>
        <v>3</v>
      </c>
      <c r="K2174" s="213" t="str">
        <f>IFERROR(__xludf.DUMMYFUNCTION("""COMPUTED_VALUE"""),"90 DÍAS CALENDARIO")</f>
        <v>90 DÍAS CALENDARIO</v>
      </c>
      <c r="L2174" s="213" t="str">
        <f>IFERROR(__xludf.DUMMYFUNCTION("""COMPUTED_VALUE"""),"")</f>
        <v/>
      </c>
      <c r="M2174" s="213">
        <f>IFERROR(__xludf.DUMMYFUNCTION("""COMPUTED_VALUE"""),1.0)</f>
        <v>1</v>
      </c>
      <c r="N2174" s="213">
        <f>IFERROR(__xludf.DUMMYFUNCTION("""COMPUTED_VALUE"""),21.0)</f>
        <v>21</v>
      </c>
      <c r="O2174" s="213">
        <f>IFERROR(__xludf.DUMMYFUNCTION("""COMPUTED_VALUE"""),21.0)</f>
        <v>21</v>
      </c>
      <c r="P2174" s="213"/>
      <c r="Q2174" s="213"/>
      <c r="R2174" s="213" t="str">
        <f>IFERROR(__xludf.DUMMYFUNCTION("""COMPUTED_VALUE"""),"SI")</f>
        <v>SI</v>
      </c>
      <c r="S2174" s="213"/>
      <c r="T2174" s="213" t="str">
        <f>IFERROR(__xludf.DUMMYFUNCTION("""COMPUTED_VALUE"""),"SI")</f>
        <v>SI</v>
      </c>
      <c r="U2174" s="213" t="str">
        <f>IFERROR(__xludf.DUMMYFUNCTION("""COMPUTED_VALUE"""),"SI")</f>
        <v>SI</v>
      </c>
      <c r="V2174" s="213" t="str">
        <f>IFERROR(__xludf.DUMMYFUNCTION("""COMPUTED_VALUE"""),"-")</f>
        <v>-</v>
      </c>
      <c r="W2174" s="213" t="str">
        <f>IFERROR(__xludf.DUMMYFUNCTION("""COMPUTED_VALUE"""),"-")</f>
        <v>-</v>
      </c>
      <c r="X2174" s="213" t="str">
        <f>IFERROR(__xludf.DUMMYFUNCTION("""COMPUTED_VALUE"""),"3M")</f>
        <v>3M</v>
      </c>
      <c r="Y2174" s="213">
        <f>IFERROR(__xludf.DUMMYFUNCTION("""COMPUTED_VALUE"""),1.13307451E8)</f>
        <v>113307451</v>
      </c>
      <c r="Z2174" s="215" t="str">
        <f>IFERROR(__xludf.DUMMYFUNCTION("""COMPUTED_VALUE"""),"https://sodimac.falabella.com.pe/sodimac-pe/product/113307449/3M-Lentes-de-Seguridad-Clasico/113307451")</f>
        <v>https://sodimac.falabella.com.pe/sodimac-pe/product/113307449/3M-Lentes-de-Seguridad-Clasico/113307451</v>
      </c>
      <c r="AA2174" s="213" t="str">
        <f>IFERROR(__xludf.DUMMYFUNCTION("""COMPUTED_VALUE"""),"MAT-231-X LENTES DE PROTECCIÓN DE POLICARBONATO - CET")</f>
        <v>MAT-231-X LENTES DE PROTECCIÓN DE POLICARBONATO - CET</v>
      </c>
      <c r="AB2174" s="213"/>
      <c r="AC2174" s="213"/>
      <c r="AD2174" s="213"/>
      <c r="AE2174" s="213"/>
      <c r="AF2174" s="213"/>
      <c r="AG2174" s="213"/>
      <c r="AH2174" s="213"/>
      <c r="AI2174" s="213"/>
      <c r="AJ2174" s="213"/>
      <c r="AK2174" s="213"/>
      <c r="AL2174" s="213"/>
      <c r="AM2174" s="213"/>
      <c r="AN2174" s="213"/>
      <c r="AO2174" s="213"/>
      <c r="AP2174" s="213" t="str">
        <f>IFERROR(__xludf.DUMMYFUNCTION("""COMPUTED_VALUE"""),"SEBASTIAN")</f>
        <v>SEBASTIAN</v>
      </c>
      <c r="AQ2174" s="213"/>
      <c r="AR2174" s="213"/>
      <c r="AS2174" s="213"/>
      <c r="AT2174" s="213"/>
      <c r="AU2174" s="213"/>
      <c r="AV2174" s="213"/>
      <c r="AW2174" s="213"/>
      <c r="AX2174" s="213"/>
      <c r="AY2174" s="213"/>
      <c r="AZ2174" s="213"/>
      <c r="BA2174" s="213"/>
      <c r="BB2174" s="213"/>
      <c r="BC2174" s="213"/>
      <c r="BD2174" s="213"/>
    </row>
    <row r="2175">
      <c r="A2175" s="213">
        <f>IFERROR(__xludf.DUMMYFUNCTION("""COMPUTED_VALUE"""),497.0)</f>
        <v>497</v>
      </c>
      <c r="B2175" s="213" t="str">
        <f>IFERROR(__xludf.DUMMYFUNCTION("""COMPUTED_VALUE"""),"2026 SIMON BOLIVAR")</f>
        <v>2026 SIMON BOLIVAR</v>
      </c>
      <c r="C2175" s="213" t="str">
        <f>IFERROR(__xludf.DUMMYFUNCTION("""COMPUTED_VALUE"""),"TALLER SFT DE INDUSTRIA ALIMENTARIA")</f>
        <v>TALLER SFT DE INDUSTRIA ALIMENTARIA</v>
      </c>
      <c r="D2175" s="213" t="str">
        <f>IFERROR(__xludf.DUMMYFUNCTION("""COMPUTED_VALUE"""),"HERRAMIENTAS")</f>
        <v>HERRAMIENTAS</v>
      </c>
      <c r="E2175" s="213" t="str">
        <f>IFERROR(__xludf.DUMMYFUNCTION("""COMPUTED_VALUE"""),"MAT-232")</f>
        <v>MAT-232</v>
      </c>
      <c r="F2175" s="213" t="str">
        <f>IFERROR(__xludf.DUMMYFUNCTION("""COMPUTED_VALUE"""),"MAT-232")</f>
        <v>MAT-232</v>
      </c>
      <c r="G2175" s="213"/>
      <c r="H2175" s="213" t="str">
        <f>IFERROR(__xludf.DUMMYFUNCTION("""COMPUTED_VALUE"""),"LIRAS DE CORTE DE QUESO")</f>
        <v>LIRAS DE CORTE DE QUESO</v>
      </c>
      <c r="I2175" s="213" t="str">
        <f>IFERROR(__xludf.DUMMYFUNCTION("""COMPUTED_VALUE"""),".  De posición reajustable (horizontal y vertical).
.  Medida de 30cmx45cm
.  También son fabricadas según las necesidades del cliente.
.  Acero inoxidable tipo 304, grado alimenticio.")</f>
        <v>.  De posición reajustable (horizontal y vertical).
.  Medida de 30cmx45cm
.  También son fabricadas según las necesidades del cliente.
.  Acero inoxidable tipo 304, grado alimenticio.</v>
      </c>
      <c r="J2175" s="213">
        <f>IFERROR(__xludf.DUMMYFUNCTION("""COMPUTED_VALUE"""),3.0)</f>
        <v>3</v>
      </c>
      <c r="K2175" s="213" t="str">
        <f>IFERROR(__xludf.DUMMYFUNCTION("""COMPUTED_VALUE"""),"90 DÍAS CALENDARIO")</f>
        <v>90 DÍAS CALENDARIO</v>
      </c>
      <c r="L2175" s="213" t="str">
        <f>IFERROR(__xludf.DUMMYFUNCTION("""COMPUTED_VALUE"""),"")</f>
        <v/>
      </c>
      <c r="M2175" s="213">
        <f>IFERROR(__xludf.DUMMYFUNCTION("""COMPUTED_VALUE"""),1.0)</f>
        <v>1</v>
      </c>
      <c r="N2175" s="213">
        <f>IFERROR(__xludf.DUMMYFUNCTION("""COMPUTED_VALUE"""),4.0)</f>
        <v>4</v>
      </c>
      <c r="O2175" s="213">
        <f>IFERROR(__xludf.DUMMYFUNCTION("""COMPUTED_VALUE"""),4.0)</f>
        <v>4</v>
      </c>
      <c r="P2175" s="213"/>
      <c r="Q2175" s="213"/>
      <c r="R2175" s="213"/>
      <c r="S2175" s="213"/>
      <c r="T2175" s="213" t="str">
        <f>IFERROR(__xludf.DUMMYFUNCTION("""COMPUTED_VALUE"""),"SI")</f>
        <v>SI</v>
      </c>
      <c r="U2175" s="213" t="str">
        <f>IFERROR(__xludf.DUMMYFUNCTION("""COMPUTED_VALUE"""),"SI")</f>
        <v>SI</v>
      </c>
      <c r="V2175" s="213" t="str">
        <f>IFERROR(__xludf.DUMMYFUNCTION("""COMPUTED_VALUE"""),"-")</f>
        <v>-</v>
      </c>
      <c r="W2175" s="213" t="str">
        <f>IFERROR(__xludf.DUMMYFUNCTION("""COMPUTED_VALUE"""),"-")</f>
        <v>-</v>
      </c>
      <c r="X2175" s="213" t="str">
        <f>IFERROR(__xludf.DUMMYFUNCTION("""COMPUTED_VALUE"""),"TAUBER")</f>
        <v>TAUBER</v>
      </c>
      <c r="Y2175" s="213" t="str">
        <f>IFERROR(__xludf.DUMMYFUNCTION("""COMPUTED_VALUE"""),"JUEGO DE LIRAS")</f>
        <v>JUEGO DE LIRAS</v>
      </c>
      <c r="Z2175" s="215" t="str">
        <f>IFERROR(__xludf.DUMMYFUNCTION("""COMPUTED_VALUE"""),"https://tauber.mx/producto/juego-de-liras/")</f>
        <v>https://tauber.mx/producto/juego-de-liras/</v>
      </c>
      <c r="AA2175" s="213" t="str">
        <f>IFERROR(__xludf.DUMMYFUNCTION("""COMPUTED_VALUE"""),"MAT-232 LIRAS DE CORTE DE QUESO - CET")</f>
        <v>MAT-232 LIRAS DE CORTE DE QUESO - CET</v>
      </c>
      <c r="AB2175" s="213"/>
      <c r="AC2175" s="213"/>
      <c r="AD2175" s="213"/>
      <c r="AE2175" s="213"/>
      <c r="AF2175" s="213"/>
      <c r="AG2175" s="213"/>
      <c r="AH2175" s="213"/>
      <c r="AI2175" s="213"/>
      <c r="AJ2175" s="213"/>
      <c r="AK2175" s="213"/>
      <c r="AL2175" s="213"/>
      <c r="AM2175" s="213"/>
      <c r="AN2175" s="213"/>
      <c r="AO2175" s="213"/>
      <c r="AP2175" s="213" t="str">
        <f>IFERROR(__xludf.DUMMYFUNCTION("""COMPUTED_VALUE"""),"BRUNO")</f>
        <v>BRUNO</v>
      </c>
      <c r="AQ2175" s="213"/>
      <c r="AR2175" s="213"/>
      <c r="AS2175" s="213"/>
      <c r="AT2175" s="213"/>
      <c r="AU2175" s="213"/>
      <c r="AV2175" s="213"/>
      <c r="AW2175" s="213"/>
      <c r="AX2175" s="213"/>
      <c r="AY2175" s="213"/>
      <c r="AZ2175" s="213"/>
      <c r="BA2175" s="213"/>
      <c r="BB2175" s="213"/>
      <c r="BC2175" s="213"/>
      <c r="BD2175" s="213"/>
    </row>
    <row r="2176">
      <c r="A2176" s="213">
        <f>IFERROR(__xludf.DUMMYFUNCTION("""COMPUTED_VALUE"""),1127.0)</f>
        <v>1127</v>
      </c>
      <c r="B2176" s="213" t="str">
        <f>IFERROR(__xludf.DUMMYFUNCTION("""COMPUTED_VALUE"""),"FRANCISCO IRAZOLA")</f>
        <v>FRANCISCO IRAZOLA</v>
      </c>
      <c r="C2176" s="213" t="str">
        <f>IFERROR(__xludf.DUMMYFUNCTION("""COMPUTED_VALUE"""),"TALLER SFT DE INDUSTRIA ALIMENTARIA")</f>
        <v>TALLER SFT DE INDUSTRIA ALIMENTARIA</v>
      </c>
      <c r="D2176" s="213" t="str">
        <f>IFERROR(__xludf.DUMMYFUNCTION("""COMPUTED_VALUE"""),"HERRAMIENTAS")</f>
        <v>HERRAMIENTAS</v>
      </c>
      <c r="E2176" s="213" t="str">
        <f>IFERROR(__xludf.DUMMYFUNCTION("""COMPUTED_VALUE"""),"MAT-232")</f>
        <v>MAT-232</v>
      </c>
      <c r="F2176" s="213" t="str">
        <f>IFERROR(__xludf.DUMMYFUNCTION("""COMPUTED_VALUE"""),"MAT-232")</f>
        <v>MAT-232</v>
      </c>
      <c r="G2176" s="213"/>
      <c r="H2176" s="213" t="str">
        <f>IFERROR(__xludf.DUMMYFUNCTION("""COMPUTED_VALUE"""),"LIRAS DE CORTE DE QUESO")</f>
        <v>LIRAS DE CORTE DE QUESO</v>
      </c>
      <c r="I2176" s="213" t="str">
        <f>IFERROR(__xludf.DUMMYFUNCTION("""COMPUTED_VALUE"""),".  De posición reajustable (horizontal y vertical).
.  Medida de 30cmx45cm
.  También son fabricadas según las necesidades del cliente.
.  Acero inoxidable tipo 304, grado alimenticio.")</f>
        <v>.  De posición reajustable (horizontal y vertical).
.  Medida de 30cmx45cm
.  También son fabricadas según las necesidades del cliente.
.  Acero inoxidable tipo 304, grado alimenticio.</v>
      </c>
      <c r="J2176" s="213">
        <f>IFERROR(__xludf.DUMMYFUNCTION("""COMPUTED_VALUE"""),3.0)</f>
        <v>3</v>
      </c>
      <c r="K2176" s="213" t="str">
        <f>IFERROR(__xludf.DUMMYFUNCTION("""COMPUTED_VALUE"""),"90 DÍAS CALENDARIO")</f>
        <v>90 DÍAS CALENDARIO</v>
      </c>
      <c r="L2176" s="213" t="str">
        <f>IFERROR(__xludf.DUMMYFUNCTION("""COMPUTED_VALUE"""),"")</f>
        <v/>
      </c>
      <c r="M2176" s="213">
        <f>IFERROR(__xludf.DUMMYFUNCTION("""COMPUTED_VALUE"""),1.0)</f>
        <v>1</v>
      </c>
      <c r="N2176" s="213">
        <f>IFERROR(__xludf.DUMMYFUNCTION("""COMPUTED_VALUE"""),4.0)</f>
        <v>4</v>
      </c>
      <c r="O2176" s="213">
        <f>IFERROR(__xludf.DUMMYFUNCTION("""COMPUTED_VALUE"""),4.0)</f>
        <v>4</v>
      </c>
      <c r="P2176" s="213"/>
      <c r="Q2176" s="213"/>
      <c r="R2176" s="213"/>
      <c r="S2176" s="213"/>
      <c r="T2176" s="213" t="str">
        <f>IFERROR(__xludf.DUMMYFUNCTION("""COMPUTED_VALUE"""),"SI")</f>
        <v>SI</v>
      </c>
      <c r="U2176" s="213" t="str">
        <f>IFERROR(__xludf.DUMMYFUNCTION("""COMPUTED_VALUE"""),"SI")</f>
        <v>SI</v>
      </c>
      <c r="V2176" s="213" t="str">
        <f>IFERROR(__xludf.DUMMYFUNCTION("""COMPUTED_VALUE"""),"-")</f>
        <v>-</v>
      </c>
      <c r="W2176" s="213" t="str">
        <f>IFERROR(__xludf.DUMMYFUNCTION("""COMPUTED_VALUE"""),"-")</f>
        <v>-</v>
      </c>
      <c r="X2176" s="213" t="str">
        <f>IFERROR(__xludf.DUMMYFUNCTION("""COMPUTED_VALUE"""),"TAUBER")</f>
        <v>TAUBER</v>
      </c>
      <c r="Y2176" s="213" t="str">
        <f>IFERROR(__xludf.DUMMYFUNCTION("""COMPUTED_VALUE"""),"JUEGO DE LIRAS")</f>
        <v>JUEGO DE LIRAS</v>
      </c>
      <c r="Z2176" s="215" t="str">
        <f>IFERROR(__xludf.DUMMYFUNCTION("""COMPUTED_VALUE"""),"https://tauber.mx/producto/juego-de-liras/")</f>
        <v>https://tauber.mx/producto/juego-de-liras/</v>
      </c>
      <c r="AA2176" s="213" t="str">
        <f>IFERROR(__xludf.DUMMYFUNCTION("""COMPUTED_VALUE"""),"MAT-232 LIRAS DE CORTE DE QUESO - CET")</f>
        <v>MAT-232 LIRAS DE CORTE DE QUESO - CET</v>
      </c>
      <c r="AB2176" s="213"/>
      <c r="AC2176" s="213"/>
      <c r="AD2176" s="213"/>
      <c r="AE2176" s="213"/>
      <c r="AF2176" s="213"/>
      <c r="AG2176" s="213"/>
      <c r="AH2176" s="213"/>
      <c r="AI2176" s="213"/>
      <c r="AJ2176" s="213"/>
      <c r="AK2176" s="213"/>
      <c r="AL2176" s="213"/>
      <c r="AM2176" s="213"/>
      <c r="AN2176" s="213"/>
      <c r="AO2176" s="213"/>
      <c r="AP2176" s="213" t="str">
        <f>IFERROR(__xludf.DUMMYFUNCTION("""COMPUTED_VALUE"""),"BRUNO")</f>
        <v>BRUNO</v>
      </c>
      <c r="AQ2176" s="213"/>
      <c r="AR2176" s="213"/>
      <c r="AS2176" s="213"/>
      <c r="AT2176" s="213"/>
      <c r="AU2176" s="213"/>
      <c r="AV2176" s="213"/>
      <c r="AW2176" s="213"/>
      <c r="AX2176" s="213"/>
      <c r="AY2176" s="213"/>
      <c r="AZ2176" s="213"/>
      <c r="BA2176" s="213"/>
      <c r="BB2176" s="213"/>
      <c r="BC2176" s="213"/>
      <c r="BD2176" s="213"/>
    </row>
    <row r="2177">
      <c r="A2177" s="213">
        <f>IFERROR(__xludf.DUMMYFUNCTION("""COMPUTED_VALUE"""),1399.0)</f>
        <v>1399</v>
      </c>
      <c r="B2177" s="213" t="str">
        <f>IFERROR(__xludf.DUMMYFUNCTION("""COMPUTED_VALUE"""),"GUILLERMO E. BILLINGHURST ")</f>
        <v>GUILLERMO E. BILLINGHURST </v>
      </c>
      <c r="C2177" s="213" t="str">
        <f>IFERROR(__xludf.DUMMYFUNCTION("""COMPUTED_VALUE"""),"TALLER SFT DE INDUSTRIA ALIMENTARIA")</f>
        <v>TALLER SFT DE INDUSTRIA ALIMENTARIA</v>
      </c>
      <c r="D2177" s="213" t="str">
        <f>IFERROR(__xludf.DUMMYFUNCTION("""COMPUTED_VALUE"""),"HERRAMIENTAS")</f>
        <v>HERRAMIENTAS</v>
      </c>
      <c r="E2177" s="213" t="str">
        <f>IFERROR(__xludf.DUMMYFUNCTION("""COMPUTED_VALUE"""),"MAT-232")</f>
        <v>MAT-232</v>
      </c>
      <c r="F2177" s="213" t="str">
        <f>IFERROR(__xludf.DUMMYFUNCTION("""COMPUTED_VALUE"""),"MAT-232")</f>
        <v>MAT-232</v>
      </c>
      <c r="G2177" s="213"/>
      <c r="H2177" s="213" t="str">
        <f>IFERROR(__xludf.DUMMYFUNCTION("""COMPUTED_VALUE"""),"LIRAS DE CORTE DE QUESO")</f>
        <v>LIRAS DE CORTE DE QUESO</v>
      </c>
      <c r="I2177" s="213" t="str">
        <f>IFERROR(__xludf.DUMMYFUNCTION("""COMPUTED_VALUE"""),".  De posición reajustable (horizontal y vertical).
.  Medida de 30cmx45cm
.  También son fabricadas según las necesidades del cliente.
.  Acero inoxidable tipo 304, grado alimenticio.")</f>
        <v>.  De posición reajustable (horizontal y vertical).
.  Medida de 30cmx45cm
.  También son fabricadas según las necesidades del cliente.
.  Acero inoxidable tipo 304, grado alimenticio.</v>
      </c>
      <c r="J2177" s="213">
        <f>IFERROR(__xludf.DUMMYFUNCTION("""COMPUTED_VALUE"""),3.0)</f>
        <v>3</v>
      </c>
      <c r="K2177" s="213" t="str">
        <f>IFERROR(__xludf.DUMMYFUNCTION("""COMPUTED_VALUE"""),"90 DÍAS CALENDARIO")</f>
        <v>90 DÍAS CALENDARIO</v>
      </c>
      <c r="L2177" s="213" t="str">
        <f>IFERROR(__xludf.DUMMYFUNCTION("""COMPUTED_VALUE"""),"")</f>
        <v/>
      </c>
      <c r="M2177" s="213">
        <f>IFERROR(__xludf.DUMMYFUNCTION("""COMPUTED_VALUE"""),1.0)</f>
        <v>1</v>
      </c>
      <c r="N2177" s="213">
        <f>IFERROR(__xludf.DUMMYFUNCTION("""COMPUTED_VALUE"""),4.0)</f>
        <v>4</v>
      </c>
      <c r="O2177" s="213">
        <f>IFERROR(__xludf.DUMMYFUNCTION("""COMPUTED_VALUE"""),4.0)</f>
        <v>4</v>
      </c>
      <c r="P2177" s="213"/>
      <c r="Q2177" s="213"/>
      <c r="R2177" s="213"/>
      <c r="S2177" s="213"/>
      <c r="T2177" s="213" t="str">
        <f>IFERROR(__xludf.DUMMYFUNCTION("""COMPUTED_VALUE"""),"SI")</f>
        <v>SI</v>
      </c>
      <c r="U2177" s="213" t="str">
        <f>IFERROR(__xludf.DUMMYFUNCTION("""COMPUTED_VALUE"""),"SI")</f>
        <v>SI</v>
      </c>
      <c r="V2177" s="213" t="str">
        <f>IFERROR(__xludf.DUMMYFUNCTION("""COMPUTED_VALUE"""),"-")</f>
        <v>-</v>
      </c>
      <c r="W2177" s="213" t="str">
        <f>IFERROR(__xludf.DUMMYFUNCTION("""COMPUTED_VALUE"""),"-")</f>
        <v>-</v>
      </c>
      <c r="X2177" s="213" t="str">
        <f>IFERROR(__xludf.DUMMYFUNCTION("""COMPUTED_VALUE"""),"TAUBER")</f>
        <v>TAUBER</v>
      </c>
      <c r="Y2177" s="213" t="str">
        <f>IFERROR(__xludf.DUMMYFUNCTION("""COMPUTED_VALUE"""),"JUEGO DE LIRAS")</f>
        <v>JUEGO DE LIRAS</v>
      </c>
      <c r="Z2177" s="215" t="str">
        <f>IFERROR(__xludf.DUMMYFUNCTION("""COMPUTED_VALUE"""),"https://tauber.mx/producto/juego-de-liras/")</f>
        <v>https://tauber.mx/producto/juego-de-liras/</v>
      </c>
      <c r="AA2177" s="213" t="str">
        <f>IFERROR(__xludf.DUMMYFUNCTION("""COMPUTED_VALUE"""),"MAT-232 LIRAS DE CORTE DE QUESO - CET")</f>
        <v>MAT-232 LIRAS DE CORTE DE QUESO - CET</v>
      </c>
      <c r="AB2177" s="213"/>
      <c r="AC2177" s="213"/>
      <c r="AD2177" s="213"/>
      <c r="AE2177" s="213"/>
      <c r="AF2177" s="213"/>
      <c r="AG2177" s="213"/>
      <c r="AH2177" s="213"/>
      <c r="AI2177" s="213"/>
      <c r="AJ2177" s="213"/>
      <c r="AK2177" s="213"/>
      <c r="AL2177" s="213"/>
      <c r="AM2177" s="213"/>
      <c r="AN2177" s="213"/>
      <c r="AO2177" s="213"/>
      <c r="AP2177" s="213" t="str">
        <f>IFERROR(__xludf.DUMMYFUNCTION("""COMPUTED_VALUE"""),"BRUNO")</f>
        <v>BRUNO</v>
      </c>
      <c r="AQ2177" s="213"/>
      <c r="AR2177" s="213"/>
      <c r="AS2177" s="213"/>
      <c r="AT2177" s="213"/>
      <c r="AU2177" s="213"/>
      <c r="AV2177" s="213"/>
      <c r="AW2177" s="213"/>
      <c r="AX2177" s="213"/>
      <c r="AY2177" s="213"/>
      <c r="AZ2177" s="213"/>
      <c r="BA2177" s="213"/>
      <c r="BB2177" s="213"/>
      <c r="BC2177" s="213"/>
      <c r="BD2177" s="213"/>
    </row>
    <row r="2178">
      <c r="A2178" s="213">
        <f>IFERROR(__xludf.DUMMYFUNCTION("""COMPUTED_VALUE"""),93.0)</f>
        <v>93</v>
      </c>
      <c r="B2178" s="213" t="str">
        <f>IFERROR(__xludf.DUMMYFUNCTION("""COMPUTED_VALUE"""),"16449 ELOY SOBERON  FLORES")</f>
        <v>16449 ELOY SOBERON  FLORES</v>
      </c>
      <c r="C2178" s="213" t="str">
        <f>IFERROR(__xludf.DUMMYFUNCTION("""COMPUTED_VALUE"""),"TALLER SFT DE COCINA Y REPOSTERÍA")</f>
        <v>TALLER SFT DE COCINA Y REPOSTERÍA</v>
      </c>
      <c r="D2178" s="213" t="str">
        <f>IFERROR(__xludf.DUMMYFUNCTION("""COMPUTED_VALUE"""),"EQUIPOS")</f>
        <v>EQUIPOS</v>
      </c>
      <c r="E2178" s="213" t="str">
        <f>IFERROR(__xludf.DUMMYFUNCTION("""COMPUTED_VALUE"""),"ESP-321")</f>
        <v>ESP-321</v>
      </c>
      <c r="F2178" s="213" t="str">
        <f>IFERROR(__xludf.DUMMYFUNCTION("""COMPUTED_VALUE"""),"ESP-321")</f>
        <v>ESP-321</v>
      </c>
      <c r="G2178" s="213"/>
      <c r="H2178" s="213" t="str">
        <f>IFERROR(__xludf.DUMMYFUNCTION("""COMPUTED_VALUE"""),"REFRESQUERA ENFRIADOR DE BEBIDAS")</f>
        <v>REFRESQUERA ENFRIADOR DE BEBIDAS</v>
      </c>
      <c r="I2178" s="213" t="str">
        <f>IFERROR(__xludf.DUMMYFUNCTION("""COMPUTED_VALUE"""),"· De mínima dos tolvas de policarbonato, transparente, resistente golpes.
· Gabinete de acero inoxidable.
· Diseño con líneas de limpieza.
· Refrigeración con compresor Hermético de alto rendimiento silencioso.
· Base de plastico de color blanco fácil par"&amp;"a elaborar refrescos.
· Capacidad de 16 litros por tolva.
. Voltaje: 220V/60HZ.
. Dimensiones aproximadas ( +-5 cm) : A 50 cm X  L 55 cm X H60 cm")</f>
        <v>· De mínima dos tolvas de policarbonato, transparente, resistente golpes.
· Gabinete de acero inoxidable.
· Diseño con líneas de limpieza.
· Refrigeración con compresor Hermético de alto rendimiento silencioso.
· Base de plastico de color blanco fácil para elaborar refrescos.
· Capacidad de 16 litros por tolva.
. Voltaje: 220V/60HZ.
. Dimensiones aproximadas ( +-5 cm) : A 50 cm X  L 55 cm X H60 cm</v>
      </c>
      <c r="J2178" s="213">
        <f>IFERROR(__xludf.DUMMYFUNCTION("""COMPUTED_VALUE"""),3.0)</f>
        <v>3</v>
      </c>
      <c r="K2178" s="213" t="str">
        <f>IFERROR(__xludf.DUMMYFUNCTION("""COMPUTED_VALUE"""),"170 DÍAS CALENDARIO")</f>
        <v>170 DÍAS CALENDARIO</v>
      </c>
      <c r="L2178" s="213" t="str">
        <f>IFERROR(__xludf.DUMMYFUNCTION("""COMPUTED_VALUE"""),"")</f>
        <v/>
      </c>
      <c r="M2178" s="213">
        <f>IFERROR(__xludf.DUMMYFUNCTION("""COMPUTED_VALUE"""),1.0)</f>
        <v>1</v>
      </c>
      <c r="N2178" s="213">
        <f>IFERROR(__xludf.DUMMYFUNCTION("""COMPUTED_VALUE"""),1.0)</f>
        <v>1</v>
      </c>
      <c r="O2178" s="213">
        <f>IFERROR(__xludf.DUMMYFUNCTION("""COMPUTED_VALUE"""),1.0)</f>
        <v>1</v>
      </c>
      <c r="P2178" s="213"/>
      <c r="Q2178" s="213"/>
      <c r="R2178" s="213"/>
      <c r="S2178" s="213" t="str">
        <f>IFERROR(__xludf.DUMMYFUNCTION("""COMPUTED_VALUE"""),"SI")</f>
        <v>SI</v>
      </c>
      <c r="T2178" s="213" t="str">
        <f>IFERROR(__xludf.DUMMYFUNCTION("""COMPUTED_VALUE"""),"SI")</f>
        <v>SI</v>
      </c>
      <c r="U2178" s="213" t="str">
        <f>IFERROR(__xludf.DUMMYFUNCTION("""COMPUTED_VALUE"""),"NO")</f>
        <v>NO</v>
      </c>
      <c r="V2178" s="213" t="str">
        <f>IFERROR(__xludf.DUMMYFUNCTION("""COMPUTED_VALUE"""),"SUSTENTO")</f>
        <v>SUSTENTO</v>
      </c>
      <c r="W2178" s="213" t="str">
        <f>IFERROR(__xludf.DUMMYFUNCTION("""COMPUTED_VALUE"""),"DIMENSIONAL")</f>
        <v>DIMENSIONAL</v>
      </c>
      <c r="X2178" s="213" t="str">
        <f>IFERROR(__xludf.DUMMYFUNCTION("""COMPUTED_VALUE"""),"DAKOTA")</f>
        <v>DAKOTA</v>
      </c>
      <c r="Y2178" s="213" t="str">
        <f>IFERROR(__xludf.DUMMYFUNCTION("""COMPUTED_VALUE"""),"RDK-182")</f>
        <v>RDK-182</v>
      </c>
      <c r="Z2178" s="215" t="str">
        <f>IFERROR(__xludf.DUMMYFUNCTION("""COMPUTED_VALUE"""),"https://www.electrogarline.com/linea-fria/refresqueras/refresquera-2-tolvas-18-litros-dakota.html?srsltid=AfmBOor2WRl3GAZXrUeN8pP4pwC8fbSVr31VOM06af_msJgrbsn-MXXI")</f>
        <v>https://www.electrogarline.com/linea-fria/refresqueras/refresquera-2-tolvas-18-litros-dakota.html?srsltid=AfmBOor2WRl3GAZXrUeN8pP4pwC8fbSVr31VOM06af_msJgrbsn-MXXI</v>
      </c>
      <c r="AA2178" s="213" t="str">
        <f>IFERROR(__xludf.DUMMYFUNCTION("""COMPUTED_VALUE"""),"ESP-321 REFRESQUERA ENFRIADOR DE BEBIDAS - CET.xlsx")</f>
        <v>ESP-321 REFRESQUERA ENFRIADOR DE BEBIDAS - CET.xlsx</v>
      </c>
      <c r="AB2178" s="213"/>
      <c r="AC2178" s="213"/>
      <c r="AD2178" s="213"/>
      <c r="AE2178" s="213"/>
      <c r="AF2178" s="213"/>
      <c r="AG2178" s="213"/>
      <c r="AH2178" s="213" t="str">
        <f>IFERROR(__xludf.DUMMYFUNCTION("""COMPUTED_VALUE"""),"NACIONAL")</f>
        <v>NACIONAL</v>
      </c>
      <c r="AI2178" s="213"/>
      <c r="AJ2178" s="213"/>
      <c r="AK2178" s="213"/>
      <c r="AL2178" s="213"/>
      <c r="AM2178" s="213"/>
      <c r="AN2178" s="213"/>
      <c r="AO2178" s="213"/>
      <c r="AP2178" s="213" t="str">
        <f>IFERROR(__xludf.DUMMYFUNCTION("""COMPUTED_VALUE"""),"JORGE")</f>
        <v>JORGE</v>
      </c>
      <c r="AQ2178" s="213"/>
      <c r="AR2178" s="213"/>
      <c r="AS2178" s="213"/>
      <c r="AT2178" s="213"/>
      <c r="AU2178" s="213"/>
      <c r="AV2178" s="213"/>
      <c r="AW2178" s="213"/>
      <c r="AX2178" s="213"/>
      <c r="AY2178" s="213"/>
      <c r="AZ2178" s="213"/>
      <c r="BA2178" s="213"/>
      <c r="BB2178" s="213"/>
      <c r="BC2178" s="213"/>
      <c r="BD2178" s="213"/>
    </row>
    <row r="2179">
      <c r="A2179" s="213">
        <f>IFERROR(__xludf.DUMMYFUNCTION("""COMPUTED_VALUE"""),549.0)</f>
        <v>549</v>
      </c>
      <c r="B2179" s="213" t="str">
        <f>IFERROR(__xludf.DUMMYFUNCTION("""COMPUTED_VALUE"""),"2026 SIMON BOLIVAR")</f>
        <v>2026 SIMON BOLIVAR</v>
      </c>
      <c r="C2179" s="213" t="str">
        <f>IFERROR(__xludf.DUMMYFUNCTION("""COMPUTED_VALUE"""),"TALLER SFT DE INDUSTRIA ALIMENTARIA")</f>
        <v>TALLER SFT DE INDUSTRIA ALIMENTARIA</v>
      </c>
      <c r="D2179" s="213" t="str">
        <f>IFERROR(__xludf.DUMMYFUNCTION("""COMPUTED_VALUE"""),"EQUIPOS")</f>
        <v>EQUIPOS</v>
      </c>
      <c r="E2179" s="213" t="str">
        <f>IFERROR(__xludf.DUMMYFUNCTION("""COMPUTED_VALUE"""),"ESP-322")</f>
        <v>ESP-322</v>
      </c>
      <c r="F2179" s="213" t="str">
        <f>IFERROR(__xludf.DUMMYFUNCTION("""COMPUTED_VALUE"""),"ESP-322")</f>
        <v>ESP-322</v>
      </c>
      <c r="G2179" s="213"/>
      <c r="H2179" s="213" t="str">
        <f>IFERROR(__xludf.DUMMYFUNCTION("""COMPUTED_VALUE"""),"REFRIGERADORA (CAPACIDAD 187L)")</f>
        <v>REFRIGERADORA (CAPACIDAD 187L)</v>
      </c>
      <c r="I2179" s="213" t="str">
        <f>IFERROR(__xludf.DUMMYFUNCTION("""COMPUTED_VALUE"""),". Capacidad Total Útil (L): 187
. Capacidad freezer (L): 44
. Sistema de Enfriamiento: No Frost
. Número de Bandejas: 6
.  Número de Cajones: 1
.  Medidas aproximadas: Alto (cm): 140,  Ancho (cm): 55,5, Profundidad (cm): 58,5
. Número de Puertas: 2
. Ilum"&amp;"inación: Sí
.  Descripción: Cuenta con un cajón de 28 Litros
. Material bandejas: vidrio templado
· Refrigerante Ecológico R600
· Voltaje: 220 V, 60 Hz.")</f>
        <v>. Capacidad Total Útil (L): 187
. Capacidad freezer (L): 44
. Sistema de Enfriamiento: No Frost
. Número de Bandejas: 6
.  Número de Cajones: 1
.  Medidas aproximadas: Alto (cm): 140,  Ancho (cm): 55,5, Profundidad (cm): 58,5
. Número de Puertas: 2
. Iluminación: Sí
.  Descripción: Cuenta con un cajón de 28 Litros
. Material bandejas: vidrio templado
· Refrigerante Ecológico R600
· Voltaje: 220 V, 60 Hz.</v>
      </c>
      <c r="J2179" s="213">
        <f>IFERROR(__xludf.DUMMYFUNCTION("""COMPUTED_VALUE"""),3.0)</f>
        <v>3</v>
      </c>
      <c r="K2179" s="213" t="str">
        <f>IFERROR(__xludf.DUMMYFUNCTION("""COMPUTED_VALUE"""),"170 DÍAS CALENDARIO")</f>
        <v>170 DÍAS CALENDARIO</v>
      </c>
      <c r="L2179" s="213" t="str">
        <f>IFERROR(__xludf.DUMMYFUNCTION("""COMPUTED_VALUE"""),"")</f>
        <v/>
      </c>
      <c r="M2179" s="213">
        <f>IFERROR(__xludf.DUMMYFUNCTION("""COMPUTED_VALUE"""),1.0)</f>
        <v>1</v>
      </c>
      <c r="N2179" s="213">
        <f>IFERROR(__xludf.DUMMYFUNCTION("""COMPUTED_VALUE"""),1.0)</f>
        <v>1</v>
      </c>
      <c r="O2179" s="213">
        <f>IFERROR(__xludf.DUMMYFUNCTION("""COMPUTED_VALUE"""),1.0)</f>
        <v>1</v>
      </c>
      <c r="P2179" s="213"/>
      <c r="Q2179" s="213"/>
      <c r="R2179" s="213"/>
      <c r="S2179" s="213" t="str">
        <f>IFERROR(__xludf.DUMMYFUNCTION("""COMPUTED_VALUE"""),"SI")</f>
        <v>SI</v>
      </c>
      <c r="T2179" s="213" t="str">
        <f>IFERROR(__xludf.DUMMYFUNCTION("""COMPUTED_VALUE"""),"SI")</f>
        <v>SI</v>
      </c>
      <c r="U2179" s="213" t="str">
        <f>IFERROR(__xludf.DUMMYFUNCTION("""COMPUTED_VALUE"""),"SI")</f>
        <v>SI</v>
      </c>
      <c r="V2179" s="213" t="str">
        <f>IFERROR(__xludf.DUMMYFUNCTION("""COMPUTED_VALUE"""),"-")</f>
        <v>-</v>
      </c>
      <c r="W2179" s="213" t="str">
        <f>IFERROR(__xludf.DUMMYFUNCTION("""COMPUTED_VALUE"""),"-")</f>
        <v>-</v>
      </c>
      <c r="X2179" s="213" t="str">
        <f>IFERROR(__xludf.DUMMYFUNCTION("""COMPUTED_VALUE"""),"LG")</f>
        <v>LG</v>
      </c>
      <c r="Y2179" s="213" t="str">
        <f>IFERROR(__xludf.DUMMYFUNCTION("""COMPUTED_VALUE"""),"LG GT22BPPD No Frost 187L")</f>
        <v>LG GT22BPPD No Frost 187L</v>
      </c>
      <c r="Z2179" s="215" t="str">
        <f>IFERROR(__xludf.DUMMYFUNCTION("""COMPUTED_VALUE"""),"https://hiraoka.com.pe/refrigeradora-lg-gt22bppd-no-frost-187l?srsltid=AfmBOooLyaSV_z87Gv-0KPBcGt1a63-eSfCbVfR4SdN5Nlw-O3HmoYl9bandeja")</f>
        <v>https://hiraoka.com.pe/refrigeradora-lg-gt22bppd-no-frost-187l?srsltid=AfmBOooLyaSV_z87Gv-0KPBcGt1a63-eSfCbVfR4SdN5Nlw-O3HmoYl9bandeja</v>
      </c>
      <c r="AA2179" s="213" t="str">
        <f>IFERROR(__xludf.DUMMYFUNCTION("""COMPUTED_VALUE"""),"ESP-322 REFRIGERADORA (CAPACIDAD 187L) - CET")</f>
        <v>ESP-322 REFRIGERADORA (CAPACIDAD 187L) - CET</v>
      </c>
      <c r="AB2179" s="213"/>
      <c r="AC2179" s="213"/>
      <c r="AD2179" s="213"/>
      <c r="AE2179" s="213"/>
      <c r="AF2179" s="213"/>
      <c r="AG2179" s="213"/>
      <c r="AH2179" s="213" t="str">
        <f>IFERROR(__xludf.DUMMYFUNCTION("""COMPUTED_VALUE"""),"NACIONAL")</f>
        <v>NACIONAL</v>
      </c>
      <c r="AI2179" s="213"/>
      <c r="AJ2179" s="213"/>
      <c r="AK2179" s="213"/>
      <c r="AL2179" s="213"/>
      <c r="AM2179" s="213"/>
      <c r="AN2179" s="213"/>
      <c r="AO2179" s="213"/>
      <c r="AP2179" s="213" t="str">
        <f>IFERROR(__xludf.DUMMYFUNCTION("""COMPUTED_VALUE"""),"ANTONELLA")</f>
        <v>ANTONELLA</v>
      </c>
      <c r="AQ2179" s="213" t="str">
        <f>IFERROR(__xludf.DUMMYFUNCTION("""COMPUTED_VALUE"""),"Solicitan 6 bandejas pero el máximo es 4.")</f>
        <v>Solicitan 6 bandejas pero el máximo es 4.</v>
      </c>
      <c r="AR2179" s="213"/>
      <c r="AS2179" s="213" t="str">
        <f>IFERROR(__xludf.DUMMYFUNCTION("""COMPUTED_VALUE"""),"BANDEJA")</f>
        <v>BANDEJA</v>
      </c>
      <c r="AT2179" s="213"/>
      <c r="AU2179" s="213"/>
      <c r="AV2179" s="213"/>
      <c r="AW2179" s="213"/>
      <c r="AX2179" s="213"/>
      <c r="AY2179" s="213"/>
      <c r="AZ2179" s="213"/>
      <c r="BA2179" s="213"/>
      <c r="BB2179" s="213"/>
      <c r="BC2179" s="213"/>
      <c r="BD2179" s="213"/>
    </row>
    <row r="2180">
      <c r="A2180" s="213">
        <f>IFERROR(__xludf.DUMMYFUNCTION("""COMPUTED_VALUE"""),1176.0)</f>
        <v>1176</v>
      </c>
      <c r="B2180" s="213" t="str">
        <f>IFERROR(__xludf.DUMMYFUNCTION("""COMPUTED_VALUE"""),"FRANCISCO IRAZOLA")</f>
        <v>FRANCISCO IRAZOLA</v>
      </c>
      <c r="C2180" s="213" t="str">
        <f>IFERROR(__xludf.DUMMYFUNCTION("""COMPUTED_VALUE"""),"TALLER SFT DE INDUSTRIA ALIMENTARIA")</f>
        <v>TALLER SFT DE INDUSTRIA ALIMENTARIA</v>
      </c>
      <c r="D2180" s="213" t="str">
        <f>IFERROR(__xludf.DUMMYFUNCTION("""COMPUTED_VALUE"""),"EQUIPOS")</f>
        <v>EQUIPOS</v>
      </c>
      <c r="E2180" s="213" t="str">
        <f>IFERROR(__xludf.DUMMYFUNCTION("""COMPUTED_VALUE"""),"ESP-322")</f>
        <v>ESP-322</v>
      </c>
      <c r="F2180" s="213" t="str">
        <f>IFERROR(__xludf.DUMMYFUNCTION("""COMPUTED_VALUE"""),"ESP-322")</f>
        <v>ESP-322</v>
      </c>
      <c r="G2180" s="213"/>
      <c r="H2180" s="213" t="str">
        <f>IFERROR(__xludf.DUMMYFUNCTION("""COMPUTED_VALUE"""),"REFRIGERADORA (CAPACIDAD 187L)")</f>
        <v>REFRIGERADORA (CAPACIDAD 187L)</v>
      </c>
      <c r="I2180" s="213" t="str">
        <f>IFERROR(__xludf.DUMMYFUNCTION("""COMPUTED_VALUE"""),". Capacidad Total Útil (L): 187
. Capacidad freezer (L): 44
. Sistema de Enfriamiento: No Frost
. Número de Bandejas: 6
.  Número de Cajones: 1
.  Medidas aproximadas: Alto (cm): 140,  Ancho (cm): 55,5, Profundidad (cm): 58,5
. Número de Puertas: 2
. Ilum"&amp;"inación: Sí
.  Descripción: Cuenta con un cajón de 28 Litros
. Material bandejas: vidrio templado
· Refrigerante Ecológico R600
· Voltaje: 220 V, 60 Hz.")</f>
        <v>. Capacidad Total Útil (L): 187
. Capacidad freezer (L): 44
. Sistema de Enfriamiento: No Frost
. Número de Bandejas: 6
.  Número de Cajones: 1
.  Medidas aproximadas: Alto (cm): 140,  Ancho (cm): 55,5, Profundidad (cm): 58,5
. Número de Puertas: 2
. Iluminación: Sí
.  Descripción: Cuenta con un cajón de 28 Litros
. Material bandejas: vidrio templado
· Refrigerante Ecológico R600
· Voltaje: 220 V, 60 Hz.</v>
      </c>
      <c r="J2180" s="213">
        <f>IFERROR(__xludf.DUMMYFUNCTION("""COMPUTED_VALUE"""),3.0)</f>
        <v>3</v>
      </c>
      <c r="K2180" s="213" t="str">
        <f>IFERROR(__xludf.DUMMYFUNCTION("""COMPUTED_VALUE"""),"170 DÍAS CALENDARIO")</f>
        <v>170 DÍAS CALENDARIO</v>
      </c>
      <c r="L2180" s="213" t="str">
        <f>IFERROR(__xludf.DUMMYFUNCTION("""COMPUTED_VALUE"""),"")</f>
        <v/>
      </c>
      <c r="M2180" s="213">
        <f>IFERROR(__xludf.DUMMYFUNCTION("""COMPUTED_VALUE"""),1.0)</f>
        <v>1</v>
      </c>
      <c r="N2180" s="213">
        <f>IFERROR(__xludf.DUMMYFUNCTION("""COMPUTED_VALUE"""),1.0)</f>
        <v>1</v>
      </c>
      <c r="O2180" s="213">
        <f>IFERROR(__xludf.DUMMYFUNCTION("""COMPUTED_VALUE"""),1.0)</f>
        <v>1</v>
      </c>
      <c r="P2180" s="213"/>
      <c r="Q2180" s="213"/>
      <c r="R2180" s="213"/>
      <c r="S2180" s="213" t="str">
        <f>IFERROR(__xludf.DUMMYFUNCTION("""COMPUTED_VALUE"""),"SI")</f>
        <v>SI</v>
      </c>
      <c r="T2180" s="213" t="str">
        <f>IFERROR(__xludf.DUMMYFUNCTION("""COMPUTED_VALUE"""),"SI")</f>
        <v>SI</v>
      </c>
      <c r="U2180" s="213" t="str">
        <f>IFERROR(__xludf.DUMMYFUNCTION("""COMPUTED_VALUE"""),"SI")</f>
        <v>SI</v>
      </c>
      <c r="V2180" s="213" t="str">
        <f>IFERROR(__xludf.DUMMYFUNCTION("""COMPUTED_VALUE"""),"-")</f>
        <v>-</v>
      </c>
      <c r="W2180" s="213" t="str">
        <f>IFERROR(__xludf.DUMMYFUNCTION("""COMPUTED_VALUE"""),"-")</f>
        <v>-</v>
      </c>
      <c r="X2180" s="213" t="str">
        <f>IFERROR(__xludf.DUMMYFUNCTION("""COMPUTED_VALUE"""),"LG")</f>
        <v>LG</v>
      </c>
      <c r="Y2180" s="213" t="str">
        <f>IFERROR(__xludf.DUMMYFUNCTION("""COMPUTED_VALUE"""),"LG GT22BPPD No Frost 187L")</f>
        <v>LG GT22BPPD No Frost 187L</v>
      </c>
      <c r="Z2180" s="215" t="str">
        <f>IFERROR(__xludf.DUMMYFUNCTION("""COMPUTED_VALUE"""),"https://hiraoka.com.pe/refrigeradora-lg-gt22bppd-no-frost-187l?srsltid=AfmBOooLyaSV_z87Gv-0KPBcGt1a63-eSfCbVfR4SdN5Nlw-O3HmoYl9bandeja")</f>
        <v>https://hiraoka.com.pe/refrigeradora-lg-gt22bppd-no-frost-187l?srsltid=AfmBOooLyaSV_z87Gv-0KPBcGt1a63-eSfCbVfR4SdN5Nlw-O3HmoYl9bandeja</v>
      </c>
      <c r="AA2180" s="213" t="str">
        <f>IFERROR(__xludf.DUMMYFUNCTION("""COMPUTED_VALUE"""),"ESP-322 REFRIGERADORA (CAPACIDAD 187L) - CET")</f>
        <v>ESP-322 REFRIGERADORA (CAPACIDAD 187L) - CET</v>
      </c>
      <c r="AB2180" s="213"/>
      <c r="AC2180" s="213"/>
      <c r="AD2180" s="213"/>
      <c r="AE2180" s="213"/>
      <c r="AF2180" s="213"/>
      <c r="AG2180" s="213"/>
      <c r="AH2180" s="213" t="str">
        <f>IFERROR(__xludf.DUMMYFUNCTION("""COMPUTED_VALUE"""),"NACIONAL")</f>
        <v>NACIONAL</v>
      </c>
      <c r="AI2180" s="213"/>
      <c r="AJ2180" s="213"/>
      <c r="AK2180" s="213"/>
      <c r="AL2180" s="213"/>
      <c r="AM2180" s="213"/>
      <c r="AN2180" s="213"/>
      <c r="AO2180" s="213"/>
      <c r="AP2180" s="213" t="str">
        <f>IFERROR(__xludf.DUMMYFUNCTION("""COMPUTED_VALUE"""),"ANTONELLA")</f>
        <v>ANTONELLA</v>
      </c>
      <c r="AQ2180" s="213" t="str">
        <f>IFERROR(__xludf.DUMMYFUNCTION("""COMPUTED_VALUE"""),"Solicitan 6 bandejas pero el máximo es 4.")</f>
        <v>Solicitan 6 bandejas pero el máximo es 4.</v>
      </c>
      <c r="AR2180" s="213"/>
      <c r="AS2180" s="213" t="str">
        <f>IFERROR(__xludf.DUMMYFUNCTION("""COMPUTED_VALUE"""),"BANDEJA")</f>
        <v>BANDEJA</v>
      </c>
      <c r="AT2180" s="213"/>
      <c r="AU2180" s="213"/>
      <c r="AV2180" s="213"/>
      <c r="AW2180" s="213"/>
      <c r="AX2180" s="213"/>
      <c r="AY2180" s="213"/>
      <c r="AZ2180" s="213"/>
      <c r="BA2180" s="213"/>
      <c r="BB2180" s="213"/>
      <c r="BC2180" s="213"/>
      <c r="BD2180" s="213"/>
    </row>
    <row r="2181">
      <c r="A2181" s="213">
        <f>IFERROR(__xludf.DUMMYFUNCTION("""COMPUTED_VALUE"""),1451.0)</f>
        <v>1451</v>
      </c>
      <c r="B2181" s="213" t="str">
        <f>IFERROR(__xludf.DUMMYFUNCTION("""COMPUTED_VALUE"""),"GUILLERMO E. BILLINGHURST ")</f>
        <v>GUILLERMO E. BILLINGHURST </v>
      </c>
      <c r="C2181" s="213" t="str">
        <f>IFERROR(__xludf.DUMMYFUNCTION("""COMPUTED_VALUE"""),"TALLER SFT DE INDUSTRIA ALIMENTARIA")</f>
        <v>TALLER SFT DE INDUSTRIA ALIMENTARIA</v>
      </c>
      <c r="D2181" s="213" t="str">
        <f>IFERROR(__xludf.DUMMYFUNCTION("""COMPUTED_VALUE"""),"EQUIPOS")</f>
        <v>EQUIPOS</v>
      </c>
      <c r="E2181" s="213" t="str">
        <f>IFERROR(__xludf.DUMMYFUNCTION("""COMPUTED_VALUE"""),"ESP-322")</f>
        <v>ESP-322</v>
      </c>
      <c r="F2181" s="213" t="str">
        <f>IFERROR(__xludf.DUMMYFUNCTION("""COMPUTED_VALUE"""),"ESP-322")</f>
        <v>ESP-322</v>
      </c>
      <c r="G2181" s="213"/>
      <c r="H2181" s="213" t="str">
        <f>IFERROR(__xludf.DUMMYFUNCTION("""COMPUTED_VALUE"""),"REFRIGERADORA (CAPACIDAD 187L)")</f>
        <v>REFRIGERADORA (CAPACIDAD 187L)</v>
      </c>
      <c r="I2181" s="213" t="str">
        <f>IFERROR(__xludf.DUMMYFUNCTION("""COMPUTED_VALUE"""),". Capacidad Total Útil (L): 187
. Capacidad freezer (L): 44
. Sistema de Enfriamiento: No Frost
. Número de Bandejas: 6
.  Número de Cajones: 1
.  Medidas aproximadas: Alto (cm): 140,  Ancho (cm): 55,5, Profundidad (cm): 58,5
. Número de Puertas: 2
. Ilum"&amp;"inación: Sí
.  Descripción: Cuenta con un cajón de 28 Litros
. Material bandejas: vidrio templado
· Refrigerante Ecológico R600
· Voltaje: 220 V, 60 Hz.")</f>
        <v>. Capacidad Total Útil (L): 187
. Capacidad freezer (L): 44
. Sistema de Enfriamiento: No Frost
. Número de Bandejas: 6
.  Número de Cajones: 1
.  Medidas aproximadas: Alto (cm): 140,  Ancho (cm): 55,5, Profundidad (cm): 58,5
. Número de Puertas: 2
. Iluminación: Sí
.  Descripción: Cuenta con un cajón de 28 Litros
. Material bandejas: vidrio templado
· Refrigerante Ecológico R600
· Voltaje: 220 V, 60 Hz.</v>
      </c>
      <c r="J2181" s="213">
        <f>IFERROR(__xludf.DUMMYFUNCTION("""COMPUTED_VALUE"""),3.0)</f>
        <v>3</v>
      </c>
      <c r="K2181" s="213" t="str">
        <f>IFERROR(__xludf.DUMMYFUNCTION("""COMPUTED_VALUE"""),"170 DÍAS CALENDARIO")</f>
        <v>170 DÍAS CALENDARIO</v>
      </c>
      <c r="L2181" s="213" t="str">
        <f>IFERROR(__xludf.DUMMYFUNCTION("""COMPUTED_VALUE"""),"")</f>
        <v/>
      </c>
      <c r="M2181" s="213">
        <f>IFERROR(__xludf.DUMMYFUNCTION("""COMPUTED_VALUE"""),1.0)</f>
        <v>1</v>
      </c>
      <c r="N2181" s="213">
        <f>IFERROR(__xludf.DUMMYFUNCTION("""COMPUTED_VALUE"""),1.0)</f>
        <v>1</v>
      </c>
      <c r="O2181" s="213">
        <f>IFERROR(__xludf.DUMMYFUNCTION("""COMPUTED_VALUE"""),1.0)</f>
        <v>1</v>
      </c>
      <c r="P2181" s="213"/>
      <c r="Q2181" s="213"/>
      <c r="R2181" s="213"/>
      <c r="S2181" s="213" t="str">
        <f>IFERROR(__xludf.DUMMYFUNCTION("""COMPUTED_VALUE"""),"SI")</f>
        <v>SI</v>
      </c>
      <c r="T2181" s="213" t="str">
        <f>IFERROR(__xludf.DUMMYFUNCTION("""COMPUTED_VALUE"""),"SI")</f>
        <v>SI</v>
      </c>
      <c r="U2181" s="213" t="str">
        <f>IFERROR(__xludf.DUMMYFUNCTION("""COMPUTED_VALUE"""),"SI")</f>
        <v>SI</v>
      </c>
      <c r="V2181" s="213" t="str">
        <f>IFERROR(__xludf.DUMMYFUNCTION("""COMPUTED_VALUE"""),"-")</f>
        <v>-</v>
      </c>
      <c r="W2181" s="213" t="str">
        <f>IFERROR(__xludf.DUMMYFUNCTION("""COMPUTED_VALUE"""),"-")</f>
        <v>-</v>
      </c>
      <c r="X2181" s="213" t="str">
        <f>IFERROR(__xludf.DUMMYFUNCTION("""COMPUTED_VALUE"""),"LG")</f>
        <v>LG</v>
      </c>
      <c r="Y2181" s="213" t="str">
        <f>IFERROR(__xludf.DUMMYFUNCTION("""COMPUTED_VALUE"""),"LG GT22BPPD No Frost 187L")</f>
        <v>LG GT22BPPD No Frost 187L</v>
      </c>
      <c r="Z2181" s="215" t="str">
        <f>IFERROR(__xludf.DUMMYFUNCTION("""COMPUTED_VALUE"""),"https://hiraoka.com.pe/refrigeradora-lg-gt22bppd-no-frost-187l?srsltid=AfmBOooLyaSV_z87Gv-0KPBcGt1a63-eSfCbVfR4SdN5Nlw-O3HmoYl9bandeja")</f>
        <v>https://hiraoka.com.pe/refrigeradora-lg-gt22bppd-no-frost-187l?srsltid=AfmBOooLyaSV_z87Gv-0KPBcGt1a63-eSfCbVfR4SdN5Nlw-O3HmoYl9bandeja</v>
      </c>
      <c r="AA2181" s="213" t="str">
        <f>IFERROR(__xludf.DUMMYFUNCTION("""COMPUTED_VALUE"""),"ESP-322 REFRIGERADORA (CAPACIDAD 187L) - CET")</f>
        <v>ESP-322 REFRIGERADORA (CAPACIDAD 187L) - CET</v>
      </c>
      <c r="AB2181" s="213"/>
      <c r="AC2181" s="213"/>
      <c r="AD2181" s="213"/>
      <c r="AE2181" s="213"/>
      <c r="AF2181" s="213"/>
      <c r="AG2181" s="213"/>
      <c r="AH2181" s="213" t="str">
        <f>IFERROR(__xludf.DUMMYFUNCTION("""COMPUTED_VALUE"""),"NACIONAL")</f>
        <v>NACIONAL</v>
      </c>
      <c r="AI2181" s="213"/>
      <c r="AJ2181" s="213"/>
      <c r="AK2181" s="213"/>
      <c r="AL2181" s="213"/>
      <c r="AM2181" s="213"/>
      <c r="AN2181" s="213"/>
      <c r="AO2181" s="213"/>
      <c r="AP2181" s="213" t="str">
        <f>IFERROR(__xludf.DUMMYFUNCTION("""COMPUTED_VALUE"""),"ANTONELLA")</f>
        <v>ANTONELLA</v>
      </c>
      <c r="AQ2181" s="213" t="str">
        <f>IFERROR(__xludf.DUMMYFUNCTION("""COMPUTED_VALUE"""),"Solicitan 6 bandejas pero el máximo es 4.")</f>
        <v>Solicitan 6 bandejas pero el máximo es 4.</v>
      </c>
      <c r="AR2181" s="213"/>
      <c r="AS2181" s="213" t="str">
        <f>IFERROR(__xludf.DUMMYFUNCTION("""COMPUTED_VALUE"""),"BANDEJA")</f>
        <v>BANDEJA</v>
      </c>
      <c r="AT2181" s="213"/>
      <c r="AU2181" s="213"/>
      <c r="AV2181" s="213"/>
      <c r="AW2181" s="213"/>
      <c r="AX2181" s="213"/>
      <c r="AY2181" s="213"/>
      <c r="AZ2181" s="213"/>
      <c r="BA2181" s="213"/>
      <c r="BB2181" s="213"/>
      <c r="BC2181" s="213"/>
      <c r="BD2181" s="213"/>
    </row>
    <row r="2182">
      <c r="A2182" s="213">
        <f>IFERROR(__xludf.DUMMYFUNCTION("""COMPUTED_VALUE"""),2138.0)</f>
        <v>2138</v>
      </c>
      <c r="B2182" s="213" t="str">
        <f>IFERROR(__xludf.DUMMYFUNCTION("""COMPUTED_VALUE"""),"JOSE GRANDA")</f>
        <v>JOSE GRANDA</v>
      </c>
      <c r="C2182" s="213" t="str">
        <f>IFERROR(__xludf.DUMMYFUNCTION("""COMPUTED_VALUE"""),"TALLER SFT DE INDUSTRIA ALIMENTARIA")</f>
        <v>TALLER SFT DE INDUSTRIA ALIMENTARIA</v>
      </c>
      <c r="D2182" s="213" t="str">
        <f>IFERROR(__xludf.DUMMYFUNCTION("""COMPUTED_VALUE"""),"EQUIPOS")</f>
        <v>EQUIPOS</v>
      </c>
      <c r="E2182" s="213" t="str">
        <f>IFERROR(__xludf.DUMMYFUNCTION("""COMPUTED_VALUE"""),"ESP-322")</f>
        <v>ESP-322</v>
      </c>
      <c r="F2182" s="213" t="str">
        <f>IFERROR(__xludf.DUMMYFUNCTION("""COMPUTED_VALUE"""),"ESP-322")</f>
        <v>ESP-322</v>
      </c>
      <c r="G2182" s="213"/>
      <c r="H2182" s="213" t="str">
        <f>IFERROR(__xludf.DUMMYFUNCTION("""COMPUTED_VALUE"""),"REFRIGERADORA (CAPACIDAD 187L)")</f>
        <v>REFRIGERADORA (CAPACIDAD 187L)</v>
      </c>
      <c r="I2182" s="213" t="str">
        <f>IFERROR(__xludf.DUMMYFUNCTION("""COMPUTED_VALUE"""),". Capacidad Total Útil (L): 187
. Capacidad freezer (L): 44
. Sistema de Enfriamiento: No Frost
. Número de Bandejas: 6
.  Número de Cajones: 1
.  Medidas aproximadas: Alto (cm): 140,  Ancho (cm): 55,5, Profundidad (cm): 58,5
. Número de Puertas: 2
. Ilum"&amp;"inación: Sí
.  Descripción: Cuenta con un cajón de 28 Litros
. Material bandejas: vidrio templado
· Refrigerante Ecológico R600
· Voltaje: 220 V, 60 Hz.")</f>
        <v>. Capacidad Total Útil (L): 187
. Capacidad freezer (L): 44
. Sistema de Enfriamiento: No Frost
. Número de Bandejas: 6
.  Número de Cajones: 1
.  Medidas aproximadas: Alto (cm): 140,  Ancho (cm): 55,5, Profundidad (cm): 58,5
. Número de Puertas: 2
. Iluminación: Sí
.  Descripción: Cuenta con un cajón de 28 Litros
. Material bandejas: vidrio templado
· Refrigerante Ecológico R600
· Voltaje: 220 V, 60 Hz.</v>
      </c>
      <c r="J2182" s="213">
        <f>IFERROR(__xludf.DUMMYFUNCTION("""COMPUTED_VALUE"""),3.0)</f>
        <v>3</v>
      </c>
      <c r="K2182" s="213" t="str">
        <f>IFERROR(__xludf.DUMMYFUNCTION("""COMPUTED_VALUE"""),"170 DÍAS CALENDARIO")</f>
        <v>170 DÍAS CALENDARIO</v>
      </c>
      <c r="L2182" s="213" t="str">
        <f>IFERROR(__xludf.DUMMYFUNCTION("""COMPUTED_VALUE"""),"")</f>
        <v/>
      </c>
      <c r="M2182" s="213">
        <f>IFERROR(__xludf.DUMMYFUNCTION("""COMPUTED_VALUE"""),1.0)</f>
        <v>1</v>
      </c>
      <c r="N2182" s="213">
        <f>IFERROR(__xludf.DUMMYFUNCTION("""COMPUTED_VALUE"""),1.0)</f>
        <v>1</v>
      </c>
      <c r="O2182" s="213">
        <f>IFERROR(__xludf.DUMMYFUNCTION("""COMPUTED_VALUE"""),1.0)</f>
        <v>1</v>
      </c>
      <c r="P2182" s="213"/>
      <c r="Q2182" s="213"/>
      <c r="R2182" s="213"/>
      <c r="S2182" s="213" t="str">
        <f>IFERROR(__xludf.DUMMYFUNCTION("""COMPUTED_VALUE"""),"SI")</f>
        <v>SI</v>
      </c>
      <c r="T2182" s="213" t="str">
        <f>IFERROR(__xludf.DUMMYFUNCTION("""COMPUTED_VALUE"""),"SI")</f>
        <v>SI</v>
      </c>
      <c r="U2182" s="213" t="str">
        <f>IFERROR(__xludf.DUMMYFUNCTION("""COMPUTED_VALUE"""),"SI")</f>
        <v>SI</v>
      </c>
      <c r="V2182" s="213" t="str">
        <f>IFERROR(__xludf.DUMMYFUNCTION("""COMPUTED_VALUE"""),"-")</f>
        <v>-</v>
      </c>
      <c r="W2182" s="213" t="str">
        <f>IFERROR(__xludf.DUMMYFUNCTION("""COMPUTED_VALUE"""),"-")</f>
        <v>-</v>
      </c>
      <c r="X2182" s="213" t="str">
        <f>IFERROR(__xludf.DUMMYFUNCTION("""COMPUTED_VALUE"""),"LG")</f>
        <v>LG</v>
      </c>
      <c r="Y2182" s="213" t="str">
        <f>IFERROR(__xludf.DUMMYFUNCTION("""COMPUTED_VALUE"""),"LG GT22BPPD No Frost 187L")</f>
        <v>LG GT22BPPD No Frost 187L</v>
      </c>
      <c r="Z2182" s="215" t="str">
        <f>IFERROR(__xludf.DUMMYFUNCTION("""COMPUTED_VALUE"""),"https://hiraoka.com.pe/refrigeradora-lg-gt22bppd-no-frost-187l?srsltid=AfmBOooLyaSV_z87Gv-0KPBcGt1a63-eSfCbVfR4SdN5Nlw-O3HmoYl9bandeja")</f>
        <v>https://hiraoka.com.pe/refrigeradora-lg-gt22bppd-no-frost-187l?srsltid=AfmBOooLyaSV_z87Gv-0KPBcGt1a63-eSfCbVfR4SdN5Nlw-O3HmoYl9bandeja</v>
      </c>
      <c r="AA2182" s="213" t="str">
        <f>IFERROR(__xludf.DUMMYFUNCTION("""COMPUTED_VALUE"""),"ESP-322 REFRIGERADORA (CAPACIDAD 187L) - CET")</f>
        <v>ESP-322 REFRIGERADORA (CAPACIDAD 187L) - CET</v>
      </c>
      <c r="AB2182" s="213"/>
      <c r="AC2182" s="213"/>
      <c r="AD2182" s="213"/>
      <c r="AE2182" s="213"/>
      <c r="AF2182" s="213"/>
      <c r="AG2182" s="213"/>
      <c r="AH2182" s="213" t="str">
        <f>IFERROR(__xludf.DUMMYFUNCTION("""COMPUTED_VALUE"""),"NACIONAL")</f>
        <v>NACIONAL</v>
      </c>
      <c r="AI2182" s="213"/>
      <c r="AJ2182" s="213"/>
      <c r="AK2182" s="213"/>
      <c r="AL2182" s="213"/>
      <c r="AM2182" s="213"/>
      <c r="AN2182" s="213"/>
      <c r="AO2182" s="213"/>
      <c r="AP2182" s="213" t="str">
        <f>IFERROR(__xludf.DUMMYFUNCTION("""COMPUTED_VALUE"""),"ANTONELLA")</f>
        <v>ANTONELLA</v>
      </c>
      <c r="AQ2182" s="213" t="str">
        <f>IFERROR(__xludf.DUMMYFUNCTION("""COMPUTED_VALUE"""),"Solicitan 6 bandejas pero el máximo es 4.")</f>
        <v>Solicitan 6 bandejas pero el máximo es 4.</v>
      </c>
      <c r="AR2182" s="213"/>
      <c r="AS2182" s="213" t="str">
        <f>IFERROR(__xludf.DUMMYFUNCTION("""COMPUTED_VALUE"""),"BANDEJA")</f>
        <v>BANDEJA</v>
      </c>
      <c r="AT2182" s="213"/>
      <c r="AU2182" s="213"/>
      <c r="AV2182" s="213"/>
      <c r="AW2182" s="213"/>
      <c r="AX2182" s="213"/>
      <c r="AY2182" s="213"/>
      <c r="AZ2182" s="213"/>
      <c r="BA2182" s="213"/>
      <c r="BB2182" s="213"/>
      <c r="BC2182" s="213"/>
      <c r="BD2182" s="213"/>
    </row>
    <row r="2183">
      <c r="A2183" s="213">
        <f>IFERROR(__xludf.DUMMYFUNCTION("""COMPUTED_VALUE"""),544.0)</f>
        <v>544</v>
      </c>
      <c r="B2183" s="213" t="str">
        <f>IFERROR(__xludf.DUMMYFUNCTION("""COMPUTED_VALUE"""),"2026 SIMON BOLIVAR")</f>
        <v>2026 SIMON BOLIVAR</v>
      </c>
      <c r="C2183" s="213" t="str">
        <f>IFERROR(__xludf.DUMMYFUNCTION("""COMPUTED_VALUE"""),"TALLER SFT DE INDUSTRIA ALIMENTARIA")</f>
        <v>TALLER SFT DE INDUSTRIA ALIMENTARIA</v>
      </c>
      <c r="D2183" s="213" t="str">
        <f>IFERROR(__xludf.DUMMYFUNCTION("""COMPUTED_VALUE"""),"EQUIPOS")</f>
        <v>EQUIPOS</v>
      </c>
      <c r="E2183" s="213" t="str">
        <f>IFERROR(__xludf.DUMMYFUNCTION("""COMPUTED_VALUE"""),"ESP-323")</f>
        <v>ESP-323</v>
      </c>
      <c r="F2183" s="213" t="str">
        <f>IFERROR(__xludf.DUMMYFUNCTION("""COMPUTED_VALUE"""),"ESP-323")</f>
        <v>ESP-323</v>
      </c>
      <c r="G2183" s="213"/>
      <c r="H2183" s="213" t="str">
        <f>IFERROR(__xludf.DUMMYFUNCTION("""COMPUTED_VALUE"""),"REFRIGERADORA (CAPACIDAD 255L)")</f>
        <v>REFRIGERADORA (CAPACIDAD 255L)</v>
      </c>
      <c r="I2183" s="213" t="str">
        <f>IFERROR(__xludf.DUMMYFUNCTION("""COMPUTED_VALUE"""),"· Compresor Digital Inverter.
· Que tenga la capacidad de fabricar hielo.
· Luz: LED
· Capacidad: 255 Litros.
· Enfriamiento No frost
· Tipo 2 puertas, una para refrigeradora y otra para congelador.
· Color Silver o similar
· Material bandejas: Vidrio tem"&amp;"plado
· Descongelamiento: Automático
· Refrigerante Ecológico R600
· Medidas aproximadas: 60 cm x 65 cm x 165 cm
· Voltaje: 220 V, 60 Hz.")</f>
        <v>· Compresor Digital Inverter.
· Que tenga la capacidad de fabricar hielo.
· Luz: LED
· Capacidad: 255 Litros.
· Enfriamiento No frost
· Tipo 2 puertas, una para refrigeradora y otra para congelador.
· Color Silver o similar
· Material bandejas: Vidrio templado
· Descongelamiento: Automático
· Refrigerante Ecológico R600
· Medidas aproximadas: 60 cm x 65 cm x 165 cm
· Voltaje: 220 V, 60 Hz.</v>
      </c>
      <c r="J2183" s="213">
        <f>IFERROR(__xludf.DUMMYFUNCTION("""COMPUTED_VALUE"""),3.0)</f>
        <v>3</v>
      </c>
      <c r="K2183" s="213" t="str">
        <f>IFERROR(__xludf.DUMMYFUNCTION("""COMPUTED_VALUE"""),"170 DÍAS CALENDARIO")</f>
        <v>170 DÍAS CALENDARIO</v>
      </c>
      <c r="L2183" s="213" t="str">
        <f>IFERROR(__xludf.DUMMYFUNCTION("""COMPUTED_VALUE"""),"")</f>
        <v/>
      </c>
      <c r="M2183" s="213">
        <f>IFERROR(__xludf.DUMMYFUNCTION("""COMPUTED_VALUE"""),1.0)</f>
        <v>1</v>
      </c>
      <c r="N2183" s="213">
        <f>IFERROR(__xludf.DUMMYFUNCTION("""COMPUTED_VALUE"""),1.0)</f>
        <v>1</v>
      </c>
      <c r="O2183" s="213">
        <f>IFERROR(__xludf.DUMMYFUNCTION("""COMPUTED_VALUE"""),1.0)</f>
        <v>1</v>
      </c>
      <c r="P2183" s="213"/>
      <c r="Q2183" s="213"/>
      <c r="R2183" s="213"/>
      <c r="S2183" s="213" t="str">
        <f>IFERROR(__xludf.DUMMYFUNCTION("""COMPUTED_VALUE"""),"SI")</f>
        <v>SI</v>
      </c>
      <c r="T2183" s="213" t="str">
        <f>IFERROR(__xludf.DUMMYFUNCTION("""COMPUTED_VALUE"""),"CONSULTA FINAL")</f>
        <v>CONSULTA FINAL</v>
      </c>
      <c r="U2183" s="213" t="str">
        <f>IFERROR(__xludf.DUMMYFUNCTION("""COMPUTED_VALUE"""),"SI")</f>
        <v>SI</v>
      </c>
      <c r="V2183" s="213" t="str">
        <f>IFERROR(__xludf.DUMMYFUNCTION("""COMPUTED_VALUE"""),"-")</f>
        <v>-</v>
      </c>
      <c r="W2183" s="213" t="str">
        <f>IFERROR(__xludf.DUMMYFUNCTION("""COMPUTED_VALUE"""),"-")</f>
        <v>-</v>
      </c>
      <c r="X2183" s="213" t="str">
        <f>IFERROR(__xludf.DUMMYFUNCTION("""COMPUTED_VALUE"""),"SAMSUNG")</f>
        <v>SAMSUNG</v>
      </c>
      <c r="Y2183" s="213" t="str">
        <f>IFERROR(__xludf.DUMMYFUNCTION("""COMPUTED_VALUE"""),"RT25FARADS8/PE")</f>
        <v>RT25FARADS8/PE</v>
      </c>
      <c r="Z2183" s="215" t="str">
        <f>IFERROR(__xludf.DUMMYFUNCTION("""COMPUTED_VALUE"""),"https://www.falabella.com.pe/falabella-pe/product/146506074/REFRIGERADORA-SAMSUNG-RT25FARADS8-255Lt-SILVER/146506075?kid=shopp44fc&amp;gclsrc=aw.ds&amp;gad_source=1&amp;gad_campaignid=20114538213&amp;gbraid=0AAAAADs9MO2mPk77cdzCkqFHvUwFqJRv7&amp;gclid=Cj0KCQjwovPGBhDxARIsAFh"&amp;"gkwQtYMX2q9mOYzyto5cNkVdQXxEvtQLEwn_f5CFAEJtFdUhuDPjGNQUaAhOrEALw_wcB")</f>
        <v>https://www.falabella.com.pe/falabella-pe/product/146506074/REFRIGERADORA-SAMSUNG-RT25FARADS8-255Lt-SILVER/146506075?kid=shopp44fc&amp;gclsrc=aw.ds&amp;gad_source=1&amp;gad_campaignid=20114538213&amp;gbraid=0AAAAADs9MO2mPk77cdzCkqFHvUwFqJRv7&amp;gclid=Cj0KCQjwovPGBhDxARIsAFhgkwQtYMX2q9mOYzyto5cNkVdQXxEvtQLEwn_f5CFAEJtFdUhuDPjGNQUaAhOrEALw_wcB</v>
      </c>
      <c r="AA2183" s="213" t="str">
        <f>IFERROR(__xludf.DUMMYFUNCTION("""COMPUTED_VALUE"""),"ESP-323 REFRIGERADORA (CAPACIDAD 255L) - CET")</f>
        <v>ESP-323 REFRIGERADORA (CAPACIDAD 255L) - CET</v>
      </c>
      <c r="AB2183" s="213"/>
      <c r="AC2183" s="213"/>
      <c r="AD2183" s="213"/>
      <c r="AE2183" s="213"/>
      <c r="AF2183" s="213"/>
      <c r="AG2183" s="213"/>
      <c r="AH2183" s="213"/>
      <c r="AI2183" s="213"/>
      <c r="AJ2183" s="213"/>
      <c r="AK2183" s="213"/>
      <c r="AL2183" s="213"/>
      <c r="AM2183" s="213"/>
      <c r="AN2183" s="213"/>
      <c r="AO2183" s="213"/>
      <c r="AP2183" s="213" t="str">
        <f>IFERROR(__xludf.DUMMYFUNCTION("""COMPUTED_VALUE"""),"ANTONELLA")</f>
        <v>ANTONELLA</v>
      </c>
      <c r="AQ2183" s="213" t="str">
        <f>IFERROR(__xludf.DUMMYFUNCTION("""COMPUTED_VALUE"""),"No se visualizan características eléctricas.")</f>
        <v>No se visualizan características eléctricas.</v>
      </c>
      <c r="AR2183" s="213"/>
      <c r="AS2183" s="213"/>
      <c r="AT2183" s="213"/>
      <c r="AU2183" s="213"/>
      <c r="AV2183" s="213"/>
      <c r="AW2183" s="213"/>
      <c r="AX2183" s="213"/>
      <c r="AY2183" s="213"/>
      <c r="AZ2183" s="213"/>
      <c r="BA2183" s="213"/>
      <c r="BB2183" s="213"/>
      <c r="BC2183" s="213"/>
      <c r="BD2183" s="213"/>
    </row>
    <row r="2184">
      <c r="A2184" s="213">
        <f>IFERROR(__xludf.DUMMYFUNCTION("""COMPUTED_VALUE"""),1171.0)</f>
        <v>1171</v>
      </c>
      <c r="B2184" s="213" t="str">
        <f>IFERROR(__xludf.DUMMYFUNCTION("""COMPUTED_VALUE"""),"FRANCISCO IRAZOLA")</f>
        <v>FRANCISCO IRAZOLA</v>
      </c>
      <c r="C2184" s="213" t="str">
        <f>IFERROR(__xludf.DUMMYFUNCTION("""COMPUTED_VALUE"""),"TALLER SFT DE INDUSTRIA ALIMENTARIA")</f>
        <v>TALLER SFT DE INDUSTRIA ALIMENTARIA</v>
      </c>
      <c r="D2184" s="213" t="str">
        <f>IFERROR(__xludf.DUMMYFUNCTION("""COMPUTED_VALUE"""),"EQUIPOS")</f>
        <v>EQUIPOS</v>
      </c>
      <c r="E2184" s="213" t="str">
        <f>IFERROR(__xludf.DUMMYFUNCTION("""COMPUTED_VALUE"""),"ESP-323")</f>
        <v>ESP-323</v>
      </c>
      <c r="F2184" s="213" t="str">
        <f>IFERROR(__xludf.DUMMYFUNCTION("""COMPUTED_VALUE"""),"ESP-323")</f>
        <v>ESP-323</v>
      </c>
      <c r="G2184" s="213"/>
      <c r="H2184" s="213" t="str">
        <f>IFERROR(__xludf.DUMMYFUNCTION("""COMPUTED_VALUE"""),"REFRIGERADORA (CAPACIDAD 255L)")</f>
        <v>REFRIGERADORA (CAPACIDAD 255L)</v>
      </c>
      <c r="I2184" s="213" t="str">
        <f>IFERROR(__xludf.DUMMYFUNCTION("""COMPUTED_VALUE"""),"· Compresor Digital Inverter.
· Que tenga la capacidad de fabricar hielo.
· Luz: LED
· Capacidad: 255 Litros.
· Enfriamiento No frost
· Tipo 2 puertas, una para refrigeradora y otra para congelador.
· Color Silver o similar
· Material bandejas: Vidrio tem"&amp;"plado
· Descongelamiento: Automático
· Refrigerante Ecológico R600
· Medidas aproximadas: 60 cm x 65 cm x 165 cm
· Voltaje: 220 V, 60 Hz.")</f>
        <v>· Compresor Digital Inverter.
· Que tenga la capacidad de fabricar hielo.
· Luz: LED
· Capacidad: 255 Litros.
· Enfriamiento No frost
· Tipo 2 puertas, una para refrigeradora y otra para congelador.
· Color Silver o similar
· Material bandejas: Vidrio templado
· Descongelamiento: Automático
· Refrigerante Ecológico R600
· Medidas aproximadas: 60 cm x 65 cm x 165 cm
· Voltaje: 220 V, 60 Hz.</v>
      </c>
      <c r="J2184" s="213">
        <f>IFERROR(__xludf.DUMMYFUNCTION("""COMPUTED_VALUE"""),3.0)</f>
        <v>3</v>
      </c>
      <c r="K2184" s="213" t="str">
        <f>IFERROR(__xludf.DUMMYFUNCTION("""COMPUTED_VALUE"""),"170 DÍAS CALENDARIO")</f>
        <v>170 DÍAS CALENDARIO</v>
      </c>
      <c r="L2184" s="213" t="str">
        <f>IFERROR(__xludf.DUMMYFUNCTION("""COMPUTED_VALUE"""),"")</f>
        <v/>
      </c>
      <c r="M2184" s="213">
        <f>IFERROR(__xludf.DUMMYFUNCTION("""COMPUTED_VALUE"""),1.0)</f>
        <v>1</v>
      </c>
      <c r="N2184" s="213">
        <f>IFERROR(__xludf.DUMMYFUNCTION("""COMPUTED_VALUE"""),1.0)</f>
        <v>1</v>
      </c>
      <c r="O2184" s="213">
        <f>IFERROR(__xludf.DUMMYFUNCTION("""COMPUTED_VALUE"""),1.0)</f>
        <v>1</v>
      </c>
      <c r="P2184" s="213"/>
      <c r="Q2184" s="213"/>
      <c r="R2184" s="213"/>
      <c r="S2184" s="213" t="str">
        <f>IFERROR(__xludf.DUMMYFUNCTION("""COMPUTED_VALUE"""),"SI")</f>
        <v>SI</v>
      </c>
      <c r="T2184" s="213" t="str">
        <f>IFERROR(__xludf.DUMMYFUNCTION("""COMPUTED_VALUE"""),"CONSULTA FINAL")</f>
        <v>CONSULTA FINAL</v>
      </c>
      <c r="U2184" s="213" t="str">
        <f>IFERROR(__xludf.DUMMYFUNCTION("""COMPUTED_VALUE"""),"SI")</f>
        <v>SI</v>
      </c>
      <c r="V2184" s="213" t="str">
        <f>IFERROR(__xludf.DUMMYFUNCTION("""COMPUTED_VALUE"""),"-")</f>
        <v>-</v>
      </c>
      <c r="W2184" s="213" t="str">
        <f>IFERROR(__xludf.DUMMYFUNCTION("""COMPUTED_VALUE"""),"-")</f>
        <v>-</v>
      </c>
      <c r="X2184" s="213" t="str">
        <f>IFERROR(__xludf.DUMMYFUNCTION("""COMPUTED_VALUE"""),"SAMSUNG")</f>
        <v>SAMSUNG</v>
      </c>
      <c r="Y2184" s="213" t="str">
        <f>IFERROR(__xludf.DUMMYFUNCTION("""COMPUTED_VALUE"""),"RT25FARADS8/PE")</f>
        <v>RT25FARADS8/PE</v>
      </c>
      <c r="Z2184" s="215" t="str">
        <f>IFERROR(__xludf.DUMMYFUNCTION("""COMPUTED_VALUE"""),"https://www.falabella.com.pe/falabella-pe/product/146506074/REFRIGERADORA-SAMSUNG-RT25FARADS8-255Lt-SILVER/146506075?kid=shopp44fc&amp;gclsrc=aw.ds&amp;gad_source=1&amp;gad_campaignid=20114538213&amp;gbraid=0AAAAADs9MO2mPk77cdzCkqFHvUwFqJRv7&amp;gclid=Cj0KCQjwovPGBhDxARIsAFh"&amp;"gkwQtYMX2q9mOYzyto5cNkVdQXxEvtQLEwn_f5CFAEJtFdUhuDPjGNQUaAhOrEALw_wcB")</f>
        <v>https://www.falabella.com.pe/falabella-pe/product/146506074/REFRIGERADORA-SAMSUNG-RT25FARADS8-255Lt-SILVER/146506075?kid=shopp44fc&amp;gclsrc=aw.ds&amp;gad_source=1&amp;gad_campaignid=20114538213&amp;gbraid=0AAAAADs9MO2mPk77cdzCkqFHvUwFqJRv7&amp;gclid=Cj0KCQjwovPGBhDxARIsAFhgkwQtYMX2q9mOYzyto5cNkVdQXxEvtQLEwn_f5CFAEJtFdUhuDPjGNQUaAhOrEALw_wcB</v>
      </c>
      <c r="AA2184" s="213" t="str">
        <f>IFERROR(__xludf.DUMMYFUNCTION("""COMPUTED_VALUE"""),"ESP-323 REFRIGERADORA (CAPACIDAD 255L) - CET")</f>
        <v>ESP-323 REFRIGERADORA (CAPACIDAD 255L) - CET</v>
      </c>
      <c r="AB2184" s="213"/>
      <c r="AC2184" s="213"/>
      <c r="AD2184" s="213"/>
      <c r="AE2184" s="213"/>
      <c r="AF2184" s="213"/>
      <c r="AG2184" s="213"/>
      <c r="AH2184" s="213"/>
      <c r="AI2184" s="213"/>
      <c r="AJ2184" s="213"/>
      <c r="AK2184" s="213"/>
      <c r="AL2184" s="213"/>
      <c r="AM2184" s="213"/>
      <c r="AN2184" s="213"/>
      <c r="AO2184" s="213"/>
      <c r="AP2184" s="213" t="str">
        <f>IFERROR(__xludf.DUMMYFUNCTION("""COMPUTED_VALUE"""),"ANTONELLA")</f>
        <v>ANTONELLA</v>
      </c>
      <c r="AQ2184" s="213" t="str">
        <f>IFERROR(__xludf.DUMMYFUNCTION("""COMPUTED_VALUE"""),"No se visualizan características eléctricas.")</f>
        <v>No se visualizan características eléctricas.</v>
      </c>
      <c r="AR2184" s="213"/>
      <c r="AS2184" s="213"/>
      <c r="AT2184" s="213"/>
      <c r="AU2184" s="213"/>
      <c r="AV2184" s="213"/>
      <c r="AW2184" s="213"/>
      <c r="AX2184" s="213"/>
      <c r="AY2184" s="213"/>
      <c r="AZ2184" s="213"/>
      <c r="BA2184" s="213"/>
      <c r="BB2184" s="213"/>
      <c r="BC2184" s="213"/>
      <c r="BD2184" s="213"/>
    </row>
    <row r="2185">
      <c r="A2185" s="213">
        <f>IFERROR(__xludf.DUMMYFUNCTION("""COMPUTED_VALUE"""),1446.0)</f>
        <v>1446</v>
      </c>
      <c r="B2185" s="213" t="str">
        <f>IFERROR(__xludf.DUMMYFUNCTION("""COMPUTED_VALUE"""),"GUILLERMO E. BILLINGHURST ")</f>
        <v>GUILLERMO E. BILLINGHURST </v>
      </c>
      <c r="C2185" s="213" t="str">
        <f>IFERROR(__xludf.DUMMYFUNCTION("""COMPUTED_VALUE"""),"TALLER SFT DE INDUSTRIA ALIMENTARIA")</f>
        <v>TALLER SFT DE INDUSTRIA ALIMENTARIA</v>
      </c>
      <c r="D2185" s="213" t="str">
        <f>IFERROR(__xludf.DUMMYFUNCTION("""COMPUTED_VALUE"""),"EQUIPOS")</f>
        <v>EQUIPOS</v>
      </c>
      <c r="E2185" s="213" t="str">
        <f>IFERROR(__xludf.DUMMYFUNCTION("""COMPUTED_VALUE"""),"ESP-323")</f>
        <v>ESP-323</v>
      </c>
      <c r="F2185" s="213" t="str">
        <f>IFERROR(__xludf.DUMMYFUNCTION("""COMPUTED_VALUE"""),"ESP-323")</f>
        <v>ESP-323</v>
      </c>
      <c r="G2185" s="213"/>
      <c r="H2185" s="213" t="str">
        <f>IFERROR(__xludf.DUMMYFUNCTION("""COMPUTED_VALUE"""),"REFRIGERADORA (CAPACIDAD 255L)")</f>
        <v>REFRIGERADORA (CAPACIDAD 255L)</v>
      </c>
      <c r="I2185" s="213" t="str">
        <f>IFERROR(__xludf.DUMMYFUNCTION("""COMPUTED_VALUE"""),"· Compresor Digital Inverter.
· Que tenga la capacidad de fabricar hielo.
· Luz: LED
· Capacidad: 255 Litros.
· Enfriamiento No frost
· Tipo 2 puertas, una para refrigeradora y otra para congelador.
· Color Silver o similar
· Material bandejas: Vidrio tem"&amp;"plado
· Descongelamiento: Automático
· Refrigerante Ecológico R600
· Medidas aproximadas: 60 cm x 65 cm x 165 cm
· Voltaje: 220 V, 60 Hz.")</f>
        <v>· Compresor Digital Inverter.
· Que tenga la capacidad de fabricar hielo.
· Luz: LED
· Capacidad: 255 Litros.
· Enfriamiento No frost
· Tipo 2 puertas, una para refrigeradora y otra para congelador.
· Color Silver o similar
· Material bandejas: Vidrio templado
· Descongelamiento: Automático
· Refrigerante Ecológico R600
· Medidas aproximadas: 60 cm x 65 cm x 165 cm
· Voltaje: 220 V, 60 Hz.</v>
      </c>
      <c r="J2185" s="213">
        <f>IFERROR(__xludf.DUMMYFUNCTION("""COMPUTED_VALUE"""),3.0)</f>
        <v>3</v>
      </c>
      <c r="K2185" s="213" t="str">
        <f>IFERROR(__xludf.DUMMYFUNCTION("""COMPUTED_VALUE"""),"170 DÍAS CALENDARIO")</f>
        <v>170 DÍAS CALENDARIO</v>
      </c>
      <c r="L2185" s="213" t="str">
        <f>IFERROR(__xludf.DUMMYFUNCTION("""COMPUTED_VALUE"""),"")</f>
        <v/>
      </c>
      <c r="M2185" s="213">
        <f>IFERROR(__xludf.DUMMYFUNCTION("""COMPUTED_VALUE"""),1.0)</f>
        <v>1</v>
      </c>
      <c r="N2185" s="213">
        <f>IFERROR(__xludf.DUMMYFUNCTION("""COMPUTED_VALUE"""),1.0)</f>
        <v>1</v>
      </c>
      <c r="O2185" s="213">
        <f>IFERROR(__xludf.DUMMYFUNCTION("""COMPUTED_VALUE"""),1.0)</f>
        <v>1</v>
      </c>
      <c r="P2185" s="213"/>
      <c r="Q2185" s="213"/>
      <c r="R2185" s="213"/>
      <c r="S2185" s="213" t="str">
        <f>IFERROR(__xludf.DUMMYFUNCTION("""COMPUTED_VALUE"""),"SI")</f>
        <v>SI</v>
      </c>
      <c r="T2185" s="213" t="str">
        <f>IFERROR(__xludf.DUMMYFUNCTION("""COMPUTED_VALUE"""),"CONSULTA FINAL")</f>
        <v>CONSULTA FINAL</v>
      </c>
      <c r="U2185" s="213" t="str">
        <f>IFERROR(__xludf.DUMMYFUNCTION("""COMPUTED_VALUE"""),"SI")</f>
        <v>SI</v>
      </c>
      <c r="V2185" s="213" t="str">
        <f>IFERROR(__xludf.DUMMYFUNCTION("""COMPUTED_VALUE"""),"-")</f>
        <v>-</v>
      </c>
      <c r="W2185" s="213" t="str">
        <f>IFERROR(__xludf.DUMMYFUNCTION("""COMPUTED_VALUE"""),"-")</f>
        <v>-</v>
      </c>
      <c r="X2185" s="213" t="str">
        <f>IFERROR(__xludf.DUMMYFUNCTION("""COMPUTED_VALUE"""),"SAMSUNG")</f>
        <v>SAMSUNG</v>
      </c>
      <c r="Y2185" s="213" t="str">
        <f>IFERROR(__xludf.DUMMYFUNCTION("""COMPUTED_VALUE"""),"RT25FARADS8/PE")</f>
        <v>RT25FARADS8/PE</v>
      </c>
      <c r="Z2185" s="215" t="str">
        <f>IFERROR(__xludf.DUMMYFUNCTION("""COMPUTED_VALUE"""),"https://www.falabella.com.pe/falabella-pe/product/146506074/REFRIGERADORA-SAMSUNG-RT25FARADS8-255Lt-SILVER/146506075?kid=shopp44fc&amp;gclsrc=aw.ds&amp;gad_source=1&amp;gad_campaignid=20114538213&amp;gbraid=0AAAAADs9MO2mPk77cdzCkqFHvUwFqJRv7&amp;gclid=Cj0KCQjwovPGBhDxARIsAFh"&amp;"gkwQtYMX2q9mOYzyto5cNkVdQXxEvtQLEwn_f5CFAEJtFdUhuDPjGNQUaAhOrEALw_wcB")</f>
        <v>https://www.falabella.com.pe/falabella-pe/product/146506074/REFRIGERADORA-SAMSUNG-RT25FARADS8-255Lt-SILVER/146506075?kid=shopp44fc&amp;gclsrc=aw.ds&amp;gad_source=1&amp;gad_campaignid=20114538213&amp;gbraid=0AAAAADs9MO2mPk77cdzCkqFHvUwFqJRv7&amp;gclid=Cj0KCQjwovPGBhDxARIsAFhgkwQtYMX2q9mOYzyto5cNkVdQXxEvtQLEwn_f5CFAEJtFdUhuDPjGNQUaAhOrEALw_wcB</v>
      </c>
      <c r="AA2185" s="213" t="str">
        <f>IFERROR(__xludf.DUMMYFUNCTION("""COMPUTED_VALUE"""),"ESP-323 REFRIGERADORA (CAPACIDAD 255L) - CET")</f>
        <v>ESP-323 REFRIGERADORA (CAPACIDAD 255L) - CET</v>
      </c>
      <c r="AB2185" s="213"/>
      <c r="AC2185" s="213"/>
      <c r="AD2185" s="213"/>
      <c r="AE2185" s="213"/>
      <c r="AF2185" s="213"/>
      <c r="AG2185" s="213"/>
      <c r="AH2185" s="213"/>
      <c r="AI2185" s="213"/>
      <c r="AJ2185" s="213"/>
      <c r="AK2185" s="213"/>
      <c r="AL2185" s="213"/>
      <c r="AM2185" s="213"/>
      <c r="AN2185" s="213"/>
      <c r="AO2185" s="213"/>
      <c r="AP2185" s="213" t="str">
        <f>IFERROR(__xludf.DUMMYFUNCTION("""COMPUTED_VALUE"""),"ANTONELLA")</f>
        <v>ANTONELLA</v>
      </c>
      <c r="AQ2185" s="213" t="str">
        <f>IFERROR(__xludf.DUMMYFUNCTION("""COMPUTED_VALUE"""),"No se visualizan características eléctricas.")</f>
        <v>No se visualizan características eléctricas.</v>
      </c>
      <c r="AR2185" s="213"/>
      <c r="AS2185" s="213"/>
      <c r="AT2185" s="213"/>
      <c r="AU2185" s="213"/>
      <c r="AV2185" s="213"/>
      <c r="AW2185" s="213"/>
      <c r="AX2185" s="213"/>
      <c r="AY2185" s="213"/>
      <c r="AZ2185" s="213"/>
      <c r="BA2185" s="213"/>
      <c r="BB2185" s="213"/>
      <c r="BC2185" s="213"/>
      <c r="BD2185" s="213"/>
    </row>
    <row r="2186">
      <c r="A2186" s="213">
        <f>IFERROR(__xludf.DUMMYFUNCTION("""COMPUTED_VALUE"""),2133.0)</f>
        <v>2133</v>
      </c>
      <c r="B2186" s="213" t="str">
        <f>IFERROR(__xludf.DUMMYFUNCTION("""COMPUTED_VALUE"""),"JOSE GRANDA")</f>
        <v>JOSE GRANDA</v>
      </c>
      <c r="C2186" s="213" t="str">
        <f>IFERROR(__xludf.DUMMYFUNCTION("""COMPUTED_VALUE"""),"TALLER SFT DE INDUSTRIA ALIMENTARIA")</f>
        <v>TALLER SFT DE INDUSTRIA ALIMENTARIA</v>
      </c>
      <c r="D2186" s="213" t="str">
        <f>IFERROR(__xludf.DUMMYFUNCTION("""COMPUTED_VALUE"""),"EQUIPOS")</f>
        <v>EQUIPOS</v>
      </c>
      <c r="E2186" s="213" t="str">
        <f>IFERROR(__xludf.DUMMYFUNCTION("""COMPUTED_VALUE"""),"ESP-323")</f>
        <v>ESP-323</v>
      </c>
      <c r="F2186" s="213" t="str">
        <f>IFERROR(__xludf.DUMMYFUNCTION("""COMPUTED_VALUE"""),"ESP-323")</f>
        <v>ESP-323</v>
      </c>
      <c r="G2186" s="213"/>
      <c r="H2186" s="213" t="str">
        <f>IFERROR(__xludf.DUMMYFUNCTION("""COMPUTED_VALUE"""),"REFRIGERADORA (CAPACIDAD 255L)")</f>
        <v>REFRIGERADORA (CAPACIDAD 255L)</v>
      </c>
      <c r="I2186" s="213" t="str">
        <f>IFERROR(__xludf.DUMMYFUNCTION("""COMPUTED_VALUE"""),"· Compresor Digital Inverter.
· Que tenga la capacidad de fabricar hielo.
· Luz: LED
· Capacidad: 255 Litros.
· Enfriamiento No frost
· Tipo 2 puertas, una para refrigeradora y otra para congelador.
· Color Silver o similar
· Material bandejas: Vidrio tem"&amp;"plado
· Descongelamiento: Automático
· Refrigerante Ecológico R600
· Medidas aproximadas: 60 cm x 65 cm x 165 cm
· Voltaje: 220 V, 60 Hz.")</f>
        <v>· Compresor Digital Inverter.
· Que tenga la capacidad de fabricar hielo.
· Luz: LED
· Capacidad: 255 Litros.
· Enfriamiento No frost
· Tipo 2 puertas, una para refrigeradora y otra para congelador.
· Color Silver o similar
· Material bandejas: Vidrio templado
· Descongelamiento: Automático
· Refrigerante Ecológico R600
· Medidas aproximadas: 60 cm x 65 cm x 165 cm
· Voltaje: 220 V, 60 Hz.</v>
      </c>
      <c r="J2186" s="213">
        <f>IFERROR(__xludf.DUMMYFUNCTION("""COMPUTED_VALUE"""),3.0)</f>
        <v>3</v>
      </c>
      <c r="K2186" s="213" t="str">
        <f>IFERROR(__xludf.DUMMYFUNCTION("""COMPUTED_VALUE"""),"170 DÍAS CALENDARIO")</f>
        <v>170 DÍAS CALENDARIO</v>
      </c>
      <c r="L2186" s="213" t="str">
        <f>IFERROR(__xludf.DUMMYFUNCTION("""COMPUTED_VALUE"""),"")</f>
        <v/>
      </c>
      <c r="M2186" s="213">
        <f>IFERROR(__xludf.DUMMYFUNCTION("""COMPUTED_VALUE"""),1.0)</f>
        <v>1</v>
      </c>
      <c r="N2186" s="213">
        <f>IFERROR(__xludf.DUMMYFUNCTION("""COMPUTED_VALUE"""),1.0)</f>
        <v>1</v>
      </c>
      <c r="O2186" s="213">
        <f>IFERROR(__xludf.DUMMYFUNCTION("""COMPUTED_VALUE"""),1.0)</f>
        <v>1</v>
      </c>
      <c r="P2186" s="213"/>
      <c r="Q2186" s="213"/>
      <c r="R2186" s="213"/>
      <c r="S2186" s="213" t="str">
        <f>IFERROR(__xludf.DUMMYFUNCTION("""COMPUTED_VALUE"""),"SI")</f>
        <v>SI</v>
      </c>
      <c r="T2186" s="213" t="str">
        <f>IFERROR(__xludf.DUMMYFUNCTION("""COMPUTED_VALUE"""),"CONSULTA FINAL")</f>
        <v>CONSULTA FINAL</v>
      </c>
      <c r="U2186" s="213" t="str">
        <f>IFERROR(__xludf.DUMMYFUNCTION("""COMPUTED_VALUE"""),"SI")</f>
        <v>SI</v>
      </c>
      <c r="V2186" s="213" t="str">
        <f>IFERROR(__xludf.DUMMYFUNCTION("""COMPUTED_VALUE"""),"-")</f>
        <v>-</v>
      </c>
      <c r="W2186" s="213" t="str">
        <f>IFERROR(__xludf.DUMMYFUNCTION("""COMPUTED_VALUE"""),"-")</f>
        <v>-</v>
      </c>
      <c r="X2186" s="213" t="str">
        <f>IFERROR(__xludf.DUMMYFUNCTION("""COMPUTED_VALUE"""),"SAMSUNG")</f>
        <v>SAMSUNG</v>
      </c>
      <c r="Y2186" s="213" t="str">
        <f>IFERROR(__xludf.DUMMYFUNCTION("""COMPUTED_VALUE"""),"RT25FARADS8/PE")</f>
        <v>RT25FARADS8/PE</v>
      </c>
      <c r="Z2186" s="215" t="str">
        <f>IFERROR(__xludf.DUMMYFUNCTION("""COMPUTED_VALUE"""),"https://www.falabella.com.pe/falabella-pe/product/146506074/REFRIGERADORA-SAMSUNG-RT25FARADS8-255Lt-SILVER/146506075?kid=shopp44fc&amp;gclsrc=aw.ds&amp;gad_source=1&amp;gad_campaignid=20114538213&amp;gbraid=0AAAAADs9MO2mPk77cdzCkqFHvUwFqJRv7&amp;gclid=Cj0KCQjwovPGBhDxARIsAFh"&amp;"gkwQtYMX2q9mOYzyto5cNkVdQXxEvtQLEwn_f5CFAEJtFdUhuDPjGNQUaAhOrEALw_wcB")</f>
        <v>https://www.falabella.com.pe/falabella-pe/product/146506074/REFRIGERADORA-SAMSUNG-RT25FARADS8-255Lt-SILVER/146506075?kid=shopp44fc&amp;gclsrc=aw.ds&amp;gad_source=1&amp;gad_campaignid=20114538213&amp;gbraid=0AAAAADs9MO2mPk77cdzCkqFHvUwFqJRv7&amp;gclid=Cj0KCQjwovPGBhDxARIsAFhgkwQtYMX2q9mOYzyto5cNkVdQXxEvtQLEwn_f5CFAEJtFdUhuDPjGNQUaAhOrEALw_wcB</v>
      </c>
      <c r="AA2186" s="213" t="str">
        <f>IFERROR(__xludf.DUMMYFUNCTION("""COMPUTED_VALUE"""),"ESP-323 REFRIGERADORA (CAPACIDAD 255L) - CET")</f>
        <v>ESP-323 REFRIGERADORA (CAPACIDAD 255L) - CET</v>
      </c>
      <c r="AB2186" s="213"/>
      <c r="AC2186" s="213"/>
      <c r="AD2186" s="213"/>
      <c r="AE2186" s="213"/>
      <c r="AF2186" s="213"/>
      <c r="AG2186" s="213"/>
      <c r="AH2186" s="213"/>
      <c r="AI2186" s="213"/>
      <c r="AJ2186" s="213"/>
      <c r="AK2186" s="213"/>
      <c r="AL2186" s="213"/>
      <c r="AM2186" s="213"/>
      <c r="AN2186" s="213"/>
      <c r="AO2186" s="213"/>
      <c r="AP2186" s="213" t="str">
        <f>IFERROR(__xludf.DUMMYFUNCTION("""COMPUTED_VALUE"""),"ANTONELLA")</f>
        <v>ANTONELLA</v>
      </c>
      <c r="AQ2186" s="213" t="str">
        <f>IFERROR(__xludf.DUMMYFUNCTION("""COMPUTED_VALUE"""),"No se visualizan características eléctricas.")</f>
        <v>No se visualizan características eléctricas.</v>
      </c>
      <c r="AR2186" s="213"/>
      <c r="AS2186" s="213"/>
      <c r="AT2186" s="213"/>
      <c r="AU2186" s="213"/>
      <c r="AV2186" s="213"/>
      <c r="AW2186" s="213"/>
      <c r="AX2186" s="213"/>
      <c r="AY2186" s="213"/>
      <c r="AZ2186" s="213"/>
      <c r="BA2186" s="213"/>
      <c r="BB2186" s="213"/>
      <c r="BC2186" s="213"/>
      <c r="BD2186" s="213"/>
    </row>
    <row r="2187">
      <c r="A2187" s="213">
        <f>IFERROR(__xludf.DUMMYFUNCTION("""COMPUTED_VALUE"""),89.0)</f>
        <v>89</v>
      </c>
      <c r="B2187" s="213" t="str">
        <f>IFERROR(__xludf.DUMMYFUNCTION("""COMPUTED_VALUE"""),"16449 ELOY SOBERON  FLORES")</f>
        <v>16449 ELOY SOBERON  FLORES</v>
      </c>
      <c r="C2187" s="213" t="str">
        <f>IFERROR(__xludf.DUMMYFUNCTION("""COMPUTED_VALUE"""),"TALLER SFT DE COCINA Y REPOSTERÍA")</f>
        <v>TALLER SFT DE COCINA Y REPOSTERÍA</v>
      </c>
      <c r="D2187" s="213" t="str">
        <f>IFERROR(__xludf.DUMMYFUNCTION("""COMPUTED_VALUE"""),"EQUIPOS")</f>
        <v>EQUIPOS</v>
      </c>
      <c r="E2187" s="213" t="str">
        <f>IFERROR(__xludf.DUMMYFUNCTION("""COMPUTED_VALUE"""),"ESP-324")</f>
        <v>ESP-324</v>
      </c>
      <c r="F2187" s="213" t="str">
        <f>IFERROR(__xludf.DUMMYFUNCTION("""COMPUTED_VALUE"""),"ESP-324")</f>
        <v>ESP-324</v>
      </c>
      <c r="G2187" s="213"/>
      <c r="H2187" s="213" t="str">
        <f>IFERROR(__xludf.DUMMYFUNCTION("""COMPUTED_VALUE"""),"REFRIGERADORA (CAPACIDAD 617L)")</f>
        <v>REFRIGERADORA (CAPACIDAD 617L)</v>
      </c>
      <c r="I2187" s="213" t="str">
        <f>IFERROR(__xludf.DUMMYFUNCTION("""COMPUTED_VALUE"""),"· Capacidad específica (litros) 617
· Tipo de frío no frost
· Número de bandejas minimo de vidrio templado : 8
· Material de la(s) bandeja(s) vidrio templado
· Número de cajones minimas : 4
· Número de compartimentos minimo 2
· Dispensador de hielo sí
· P"&amp;"antalla led sí
· Puertas 2
· Dimensiones aproximadas L 90 cm x A70 cm x H180 cm.
· Voltaje: 220 V, 60 Hz")</f>
        <v>· Capacidad específica (litros) 617
· Tipo de frío no frost
· Número de bandejas minimo de vidrio templado : 8
· Material de la(s) bandeja(s) vidrio templado
· Número de cajones minimas : 4
· Número de compartimentos minimo 2
· Dispensador de hielo sí
· Pantalla led sí
· Puertas 2
· Dimensiones aproximadas L 90 cm x A70 cm x H180 cm.
· Voltaje: 220 V, 60 Hz</v>
      </c>
      <c r="J2187" s="213">
        <f>IFERROR(__xludf.DUMMYFUNCTION("""COMPUTED_VALUE"""),3.0)</f>
        <v>3</v>
      </c>
      <c r="K2187" s="213" t="str">
        <f>IFERROR(__xludf.DUMMYFUNCTION("""COMPUTED_VALUE"""),"170 DÍAS CALENDARIO")</f>
        <v>170 DÍAS CALENDARIO</v>
      </c>
      <c r="L2187" s="213" t="str">
        <f>IFERROR(__xludf.DUMMYFUNCTION("""COMPUTED_VALUE"""),"")</f>
        <v/>
      </c>
      <c r="M2187" s="213">
        <f>IFERROR(__xludf.DUMMYFUNCTION("""COMPUTED_VALUE"""),1.0)</f>
        <v>1</v>
      </c>
      <c r="N2187" s="213">
        <f>IFERROR(__xludf.DUMMYFUNCTION("""COMPUTED_VALUE"""),1.0)</f>
        <v>1</v>
      </c>
      <c r="O2187" s="213">
        <f>IFERROR(__xludf.DUMMYFUNCTION("""COMPUTED_VALUE"""),1.0)</f>
        <v>1</v>
      </c>
      <c r="P2187" s="213"/>
      <c r="Q2187" s="213"/>
      <c r="R2187" s="213"/>
      <c r="S2187" s="213" t="str">
        <f>IFERROR(__xludf.DUMMYFUNCTION("""COMPUTED_VALUE"""),"SI")</f>
        <v>SI</v>
      </c>
      <c r="T2187" s="213" t="str">
        <f>IFERROR(__xludf.DUMMYFUNCTION("""COMPUTED_VALUE"""),"SI")</f>
        <v>SI</v>
      </c>
      <c r="U2187" s="213" t="str">
        <f>IFERROR(__xludf.DUMMYFUNCTION("""COMPUTED_VALUE"""),"SI")</f>
        <v>SI</v>
      </c>
      <c r="V2187" s="213" t="str">
        <f>IFERROR(__xludf.DUMMYFUNCTION("""COMPUTED_VALUE"""),"-")</f>
        <v>-</v>
      </c>
      <c r="W2187" s="213" t="str">
        <f>IFERROR(__xludf.DUMMYFUNCTION("""COMPUTED_VALUE"""),"-")</f>
        <v>-</v>
      </c>
      <c r="X2187" s="213" t="str">
        <f>IFERROR(__xludf.DUMMYFUNCTION("""COMPUTED_VALUE"""),"LG")</f>
        <v>LG</v>
      </c>
      <c r="Y2187" s="213" t="str">
        <f>IFERROR(__xludf.DUMMYFUNCTION("""COMPUTED_VALUE"""),"GS66SXN")</f>
        <v>GS66SXN</v>
      </c>
      <c r="Z2187" s="215" t="str">
        <f>IFERROR(__xludf.DUMMYFUNCTION("""COMPUTED_VALUE"""),"https://hiraoka.com.pe/refrigeradora-lg-side-by-side-gs66sxn-instaview-617l")</f>
        <v>https://hiraoka.com.pe/refrigeradora-lg-side-by-side-gs66sxn-instaview-617l</v>
      </c>
      <c r="AA2187" s="213" t="str">
        <f>IFERROR(__xludf.DUMMYFUNCTION("""COMPUTED_VALUE"""),"ESP-324 REFRIGERADORA (CAPACIDAD 617L) - CET.xlsx")</f>
        <v>ESP-324 REFRIGERADORA (CAPACIDAD 617L) - CET.xlsx</v>
      </c>
      <c r="AB2187" s="215" t="str">
        <f>IFERROR(__xludf.DUMMYFUNCTION("""COMPUTED_VALUE"""),"https://drive.google.com/file/d/1e-OWNKjkmfkID1L8F0ClELlMJ2WKS5u6/view?usp=sharing")</f>
        <v>https://drive.google.com/file/d/1e-OWNKjkmfkID1L8F0ClELlMJ2WKS5u6/view?usp=sharing</v>
      </c>
      <c r="AC2187" s="213"/>
      <c r="AD2187" s="215" t="str">
        <f>IFERROR(__xludf.DUMMYFUNCTION("""COMPUTED_VALUE"""),"https://hiraoka.com.pe/refrigeradora-lg-side-by-side-gs66sxn-instaview-617l")</f>
        <v>https://hiraoka.com.pe/refrigeradora-lg-side-by-side-gs66sxn-instaview-617l</v>
      </c>
      <c r="AE2187" s="213"/>
      <c r="AF2187" s="213"/>
      <c r="AG2187" s="213"/>
      <c r="AH2187" s="213" t="str">
        <f>IFERROR(__xludf.DUMMYFUNCTION("""COMPUTED_VALUE"""),"NACIONAL")</f>
        <v>NACIONAL</v>
      </c>
      <c r="AI2187" s="213"/>
      <c r="AJ2187" s="213"/>
      <c r="AK2187" s="213"/>
      <c r="AL2187" s="213"/>
      <c r="AM2187" s="213"/>
      <c r="AN2187" s="213"/>
      <c r="AO2187" s="213"/>
      <c r="AP2187" s="213" t="str">
        <f>IFERROR(__xludf.DUMMYFUNCTION("""COMPUTED_VALUE"""),"JORGE")</f>
        <v>JORGE</v>
      </c>
      <c r="AQ2187" s="213"/>
      <c r="AR2187" s="213"/>
      <c r="AS2187" s="213"/>
      <c r="AT2187" s="213"/>
      <c r="AU2187" s="213"/>
      <c r="AV2187" s="213"/>
      <c r="AW2187" s="213"/>
      <c r="AX2187" s="213"/>
      <c r="AY2187" s="213"/>
      <c r="AZ2187" s="213"/>
      <c r="BA2187" s="213"/>
      <c r="BB2187" s="213"/>
      <c r="BC2187" s="213"/>
      <c r="BD2187" s="213"/>
    </row>
    <row r="2188">
      <c r="A2188" s="213">
        <f>IFERROR(__xludf.DUMMYFUNCTION("""COMPUTED_VALUE"""),2086.0)</f>
        <v>2086</v>
      </c>
      <c r="B2188" s="213" t="str">
        <f>IFERROR(__xludf.DUMMYFUNCTION("""COMPUTED_VALUE"""),"JOSE GRANDA")</f>
        <v>JOSE GRANDA</v>
      </c>
      <c r="C2188" s="213" t="str">
        <f>IFERROR(__xludf.DUMMYFUNCTION("""COMPUTED_VALUE"""),"TALLER SFT DE INDUSTRIA ALIMENTARIA")</f>
        <v>TALLER SFT DE INDUSTRIA ALIMENTARIA</v>
      </c>
      <c r="D2188" s="213" t="str">
        <f>IFERROR(__xludf.DUMMYFUNCTION("""COMPUTED_VALUE"""),"HERRAMIENTAS")</f>
        <v>HERRAMIENTAS</v>
      </c>
      <c r="E2188" s="213" t="str">
        <f>IFERROR(__xludf.DUMMYFUNCTION("""COMPUTED_VALUE"""),"MAT-232")</f>
        <v>MAT-232</v>
      </c>
      <c r="F2188" s="213" t="str">
        <f>IFERROR(__xludf.DUMMYFUNCTION("""COMPUTED_VALUE"""),"MAT-232")</f>
        <v>MAT-232</v>
      </c>
      <c r="G2188" s="213"/>
      <c r="H2188" s="213" t="str">
        <f>IFERROR(__xludf.DUMMYFUNCTION("""COMPUTED_VALUE"""),"LIRAS DE CORTE DE QUESO")</f>
        <v>LIRAS DE CORTE DE QUESO</v>
      </c>
      <c r="I2188" s="213" t="str">
        <f>IFERROR(__xludf.DUMMYFUNCTION("""COMPUTED_VALUE"""),".  De posición reajustable (horizontal y vertical).
.  Medida de 30cmx45cm
.  También son fabricadas según las necesidades del cliente.
.  Acero inoxidable tipo 304, grado alimenticio.")</f>
        <v>.  De posición reajustable (horizontal y vertical).
.  Medida de 30cmx45cm
.  También son fabricadas según las necesidades del cliente.
.  Acero inoxidable tipo 304, grado alimenticio.</v>
      </c>
      <c r="J2188" s="213">
        <f>IFERROR(__xludf.DUMMYFUNCTION("""COMPUTED_VALUE"""),3.0)</f>
        <v>3</v>
      </c>
      <c r="K2188" s="213" t="str">
        <f>IFERROR(__xludf.DUMMYFUNCTION("""COMPUTED_VALUE"""),"90 DÍAS CALENDARIO")</f>
        <v>90 DÍAS CALENDARIO</v>
      </c>
      <c r="L2188" s="213" t="str">
        <f>IFERROR(__xludf.DUMMYFUNCTION("""COMPUTED_VALUE"""),"")</f>
        <v/>
      </c>
      <c r="M2188" s="213">
        <f>IFERROR(__xludf.DUMMYFUNCTION("""COMPUTED_VALUE"""),1.0)</f>
        <v>1</v>
      </c>
      <c r="N2188" s="213">
        <f>IFERROR(__xludf.DUMMYFUNCTION("""COMPUTED_VALUE"""),4.0)</f>
        <v>4</v>
      </c>
      <c r="O2188" s="213">
        <f>IFERROR(__xludf.DUMMYFUNCTION("""COMPUTED_VALUE"""),4.0)</f>
        <v>4</v>
      </c>
      <c r="P2188" s="213"/>
      <c r="Q2188" s="213"/>
      <c r="R2188" s="213"/>
      <c r="S2188" s="213"/>
      <c r="T2188" s="213" t="str">
        <f>IFERROR(__xludf.DUMMYFUNCTION("""COMPUTED_VALUE"""),"SI")</f>
        <v>SI</v>
      </c>
      <c r="U2188" s="213" t="str">
        <f>IFERROR(__xludf.DUMMYFUNCTION("""COMPUTED_VALUE"""),"SI")</f>
        <v>SI</v>
      </c>
      <c r="V2188" s="213" t="str">
        <f>IFERROR(__xludf.DUMMYFUNCTION("""COMPUTED_VALUE"""),"-")</f>
        <v>-</v>
      </c>
      <c r="W2188" s="213" t="str">
        <f>IFERROR(__xludf.DUMMYFUNCTION("""COMPUTED_VALUE"""),"-")</f>
        <v>-</v>
      </c>
      <c r="X2188" s="213" t="str">
        <f>IFERROR(__xludf.DUMMYFUNCTION("""COMPUTED_VALUE"""),"TAUBER")</f>
        <v>TAUBER</v>
      </c>
      <c r="Y2188" s="213" t="str">
        <f>IFERROR(__xludf.DUMMYFUNCTION("""COMPUTED_VALUE"""),"JUEGO DE LIRAS")</f>
        <v>JUEGO DE LIRAS</v>
      </c>
      <c r="Z2188" s="215" t="str">
        <f>IFERROR(__xludf.DUMMYFUNCTION("""COMPUTED_VALUE"""),"https://tauber.mx/producto/juego-de-liras/")</f>
        <v>https://tauber.mx/producto/juego-de-liras/</v>
      </c>
      <c r="AA2188" s="213" t="str">
        <f>IFERROR(__xludf.DUMMYFUNCTION("""COMPUTED_VALUE"""),"MAT-232 LIRAS DE CORTE DE QUESO - CET")</f>
        <v>MAT-232 LIRAS DE CORTE DE QUESO - CET</v>
      </c>
      <c r="AB2188" s="213"/>
      <c r="AC2188" s="213"/>
      <c r="AD2188" s="213"/>
      <c r="AE2188" s="213"/>
      <c r="AF2188" s="213"/>
      <c r="AG2188" s="213"/>
      <c r="AH2188" s="213"/>
      <c r="AI2188" s="213"/>
      <c r="AJ2188" s="213"/>
      <c r="AK2188" s="213"/>
      <c r="AL2188" s="213"/>
      <c r="AM2188" s="213"/>
      <c r="AN2188" s="213"/>
      <c r="AO2188" s="213"/>
      <c r="AP2188" s="213" t="str">
        <f>IFERROR(__xludf.DUMMYFUNCTION("""COMPUTED_VALUE"""),"BRUNO")</f>
        <v>BRUNO</v>
      </c>
      <c r="AQ2188" s="213"/>
      <c r="AR2188" s="213"/>
      <c r="AS2188" s="213"/>
      <c r="AT2188" s="213"/>
      <c r="AU2188" s="213"/>
      <c r="AV2188" s="213"/>
      <c r="AW2188" s="213"/>
      <c r="AX2188" s="213"/>
      <c r="AY2188" s="213"/>
      <c r="AZ2188" s="213"/>
      <c r="BA2188" s="213"/>
      <c r="BB2188" s="213"/>
      <c r="BC2188" s="213"/>
      <c r="BD2188" s="213"/>
    </row>
    <row r="2189">
      <c r="A2189" s="213">
        <f>IFERROR(__xludf.DUMMYFUNCTION("""COMPUTED_VALUE"""),1846.0)</f>
        <v>1846</v>
      </c>
      <c r="B2189" s="213" t="str">
        <f>IFERROR(__xludf.DUMMYFUNCTION("""COMPUTED_VALUE"""),"GUILLERMO E. BILLINGHURST ")</f>
        <v>GUILLERMO E. BILLINGHURST </v>
      </c>
      <c r="C2189" s="213" t="str">
        <f>IFERROR(__xludf.DUMMYFUNCTION("""COMPUTED_VALUE"""),"TALLER SFT DE EBANISTERÍA")</f>
        <v>TALLER SFT DE EBANISTERÍA</v>
      </c>
      <c r="D2189" s="213" t="str">
        <f>IFERROR(__xludf.DUMMYFUNCTION("""COMPUTED_VALUE"""),"HERRAMIENTAS")</f>
        <v>HERRAMIENTAS</v>
      </c>
      <c r="E2189" s="213" t="str">
        <f>IFERROR(__xludf.DUMMYFUNCTION("""COMPUTED_VALUE"""),"MAT-233")</f>
        <v>MAT-233</v>
      </c>
      <c r="F2189" s="213" t="str">
        <f>IFERROR(__xludf.DUMMYFUNCTION("""COMPUTED_VALUE"""),"MAT-233")</f>
        <v>MAT-233</v>
      </c>
      <c r="G2189" s="213"/>
      <c r="H2189" s="213" t="str">
        <f>IFERROR(__xludf.DUMMYFUNCTION("""COMPUTED_VALUE"""),"MAMELUCO DE PROTECCIÓN PARA PINTOR")</f>
        <v>MAMELUCO DE PROTECCIÓN PARA PINTOR</v>
      </c>
      <c r="I2189" s="213" t="str">
        <f>IFERROR(__xludf.DUMMYFUNCTION("""COMPUTED_VALUE"""),"Overol con capucha.
Las mangas y tobillos contienen elástico. Material: tela microporosa.
Tamaño estándar.
Para protección contra líquidos y partículas secas.")</f>
        <v>Overol con capucha.
Las mangas y tobillos contienen elástico. Material: tela microporosa.
Tamaño estándar.
Para protección contra líquidos y partículas secas.</v>
      </c>
      <c r="J2189" s="213">
        <f>IFERROR(__xludf.DUMMYFUNCTION("""COMPUTED_VALUE"""),3.0)</f>
        <v>3</v>
      </c>
      <c r="K2189" s="213" t="str">
        <f>IFERROR(__xludf.DUMMYFUNCTION("""COMPUTED_VALUE"""),"90 DÍAS CALENDARIO")</f>
        <v>90 DÍAS CALENDARIO</v>
      </c>
      <c r="L2189" s="213" t="str">
        <f>IFERROR(__xludf.DUMMYFUNCTION("""COMPUTED_VALUE"""),"")</f>
        <v/>
      </c>
      <c r="M2189" s="213">
        <f>IFERROR(__xludf.DUMMYFUNCTION("""COMPUTED_VALUE"""),1.0)</f>
        <v>1</v>
      </c>
      <c r="N2189" s="213">
        <f>IFERROR(__xludf.DUMMYFUNCTION("""COMPUTED_VALUE"""),8.0)</f>
        <v>8</v>
      </c>
      <c r="O2189" s="213">
        <f>IFERROR(__xludf.DUMMYFUNCTION("""COMPUTED_VALUE"""),8.0)</f>
        <v>8</v>
      </c>
      <c r="P2189" s="213"/>
      <c r="Q2189" s="213"/>
      <c r="R2189" s="213"/>
      <c r="S2189" s="213"/>
      <c r="T2189" s="213" t="str">
        <f>IFERROR(__xludf.DUMMYFUNCTION("""COMPUTED_VALUE"""),"SI")</f>
        <v>SI</v>
      </c>
      <c r="U2189" s="213" t="str">
        <f>IFERROR(__xludf.DUMMYFUNCTION("""COMPUTED_VALUE"""),"SI")</f>
        <v>SI</v>
      </c>
      <c r="V2189" s="213" t="str">
        <f>IFERROR(__xludf.DUMMYFUNCTION("""COMPUTED_VALUE"""),"-")</f>
        <v>-</v>
      </c>
      <c r="W2189" s="213" t="str">
        <f>IFERROR(__xludf.DUMMYFUNCTION("""COMPUTED_VALUE"""),"-")</f>
        <v>-</v>
      </c>
      <c r="X2189" s="213" t="str">
        <f>IFERROR(__xludf.DUMMYFUNCTION("""COMPUTED_VALUE"""),"3M / FAGY")</f>
        <v>3M / FAGY</v>
      </c>
      <c r="Y2189" s="213" t="str">
        <f>IFERROR(__xludf.DUMMYFUNCTION("""COMPUTED_VALUE"""),"4510 / 11101001")</f>
        <v>4510 / 11101001</v>
      </c>
      <c r="Z2189" s="215" t="str">
        <f>IFERROR(__xludf.DUMMYFUNCTION("""COMPUTED_VALUE"""),"https://www.3m.com.pe/3M/es_PE/p/d/b00046819/")</f>
        <v>https://www.3m.com.pe/3M/es_PE/p/d/b00046819/</v>
      </c>
      <c r="AA2189" s="215" t="str">
        <f>IFERROR(__xludf.DUMMYFUNCTION("""COMPUTED_VALUE"""),"https://docs.google.com/spreadsheets/d/1GzhtSXk2eOX3AAbSFEiE7O7tec7_pziTzIHRBuI40l8/edit?gid=0#gid=0")</f>
        <v>https://docs.google.com/spreadsheets/d/1GzhtSXk2eOX3AAbSFEiE7O7tec7_pziTzIHRBuI40l8/edit?gid=0#gid=0</v>
      </c>
      <c r="AB2189" s="213"/>
      <c r="AC2189" s="213"/>
      <c r="AD2189" s="213"/>
      <c r="AE2189" s="213"/>
      <c r="AF2189" s="213"/>
      <c r="AG2189" s="213"/>
      <c r="AH2189" s="213"/>
      <c r="AI2189" s="213"/>
      <c r="AJ2189" s="213"/>
      <c r="AK2189" s="213"/>
      <c r="AL2189" s="213"/>
      <c r="AM2189" s="213"/>
      <c r="AN2189" s="213"/>
      <c r="AO2189" s="213"/>
      <c r="AP2189" s="213" t="str">
        <f>IFERROR(__xludf.DUMMYFUNCTION("""COMPUTED_VALUE"""),"SEBASTIAN")</f>
        <v>SEBASTIAN</v>
      </c>
      <c r="AQ2189" s="213"/>
      <c r="AR2189" s="213"/>
      <c r="AS2189" s="213"/>
      <c r="AT2189" s="213"/>
      <c r="AU2189" s="213"/>
      <c r="AV2189" s="213"/>
      <c r="AW2189" s="213"/>
      <c r="AX2189" s="213"/>
      <c r="AY2189" s="213"/>
      <c r="AZ2189" s="213"/>
      <c r="BA2189" s="213"/>
      <c r="BB2189" s="213"/>
      <c r="BC2189" s="213"/>
      <c r="BD2189" s="213"/>
    </row>
    <row r="2190">
      <c r="A2190" s="213">
        <f>IFERROR(__xludf.DUMMYFUNCTION("""COMPUTED_VALUE"""),2628.0)</f>
        <v>2628</v>
      </c>
      <c r="B2190" s="213" t="str">
        <f>IFERROR(__xludf.DUMMYFUNCTION("""COMPUTED_VALUE"""),"MANUEL ANTONIO MESONES MURO")</f>
        <v>MANUEL ANTONIO MESONES MURO</v>
      </c>
      <c r="C2190" s="213" t="str">
        <f>IFERROR(__xludf.DUMMYFUNCTION("""COMPUTED_VALUE"""),"TALLER SFT DE EBANISTERÍA")</f>
        <v>TALLER SFT DE EBANISTERÍA</v>
      </c>
      <c r="D2190" s="213" t="str">
        <f>IFERROR(__xludf.DUMMYFUNCTION("""COMPUTED_VALUE"""),"HERRAMIENTAS")</f>
        <v>HERRAMIENTAS</v>
      </c>
      <c r="E2190" s="213" t="str">
        <f>IFERROR(__xludf.DUMMYFUNCTION("""COMPUTED_VALUE"""),"MAT-233")</f>
        <v>MAT-233</v>
      </c>
      <c r="F2190" s="213" t="str">
        <f>IFERROR(__xludf.DUMMYFUNCTION("""COMPUTED_VALUE"""),"MAT-233")</f>
        <v>MAT-233</v>
      </c>
      <c r="G2190" s="213"/>
      <c r="H2190" s="213" t="str">
        <f>IFERROR(__xludf.DUMMYFUNCTION("""COMPUTED_VALUE"""),"MAMELUCO DE PROTECCIÓN PARA PINTOR")</f>
        <v>MAMELUCO DE PROTECCIÓN PARA PINTOR</v>
      </c>
      <c r="I2190" s="213" t="str">
        <f>IFERROR(__xludf.DUMMYFUNCTION("""COMPUTED_VALUE"""),"Overol con capucha.
Las mangas y tobillos contienen elástico. Material: tela microporosa.
Tamaño estándar.
Para protección contra líquidos y partículas secas.")</f>
        <v>Overol con capucha.
Las mangas y tobillos contienen elástico. Material: tela microporosa.
Tamaño estándar.
Para protección contra líquidos y partículas secas.</v>
      </c>
      <c r="J2190" s="213">
        <f>IFERROR(__xludf.DUMMYFUNCTION("""COMPUTED_VALUE"""),3.0)</f>
        <v>3</v>
      </c>
      <c r="K2190" s="213" t="str">
        <f>IFERROR(__xludf.DUMMYFUNCTION("""COMPUTED_VALUE"""),"90 DÍAS CALENDARIO")</f>
        <v>90 DÍAS CALENDARIO</v>
      </c>
      <c r="L2190" s="213" t="str">
        <f>IFERROR(__xludf.DUMMYFUNCTION("""COMPUTED_VALUE"""),"")</f>
        <v/>
      </c>
      <c r="M2190" s="213">
        <f>IFERROR(__xludf.DUMMYFUNCTION("""COMPUTED_VALUE"""),1.0)</f>
        <v>1</v>
      </c>
      <c r="N2190" s="213">
        <f>IFERROR(__xludf.DUMMYFUNCTION("""COMPUTED_VALUE"""),8.0)</f>
        <v>8</v>
      </c>
      <c r="O2190" s="213">
        <f>IFERROR(__xludf.DUMMYFUNCTION("""COMPUTED_VALUE"""),8.0)</f>
        <v>8</v>
      </c>
      <c r="P2190" s="213"/>
      <c r="Q2190" s="213"/>
      <c r="R2190" s="213"/>
      <c r="S2190" s="213"/>
      <c r="T2190" s="213" t="str">
        <f>IFERROR(__xludf.DUMMYFUNCTION("""COMPUTED_VALUE"""),"SI")</f>
        <v>SI</v>
      </c>
      <c r="U2190" s="213" t="str">
        <f>IFERROR(__xludf.DUMMYFUNCTION("""COMPUTED_VALUE"""),"SI")</f>
        <v>SI</v>
      </c>
      <c r="V2190" s="213" t="str">
        <f>IFERROR(__xludf.DUMMYFUNCTION("""COMPUTED_VALUE"""),"-")</f>
        <v>-</v>
      </c>
      <c r="W2190" s="213" t="str">
        <f>IFERROR(__xludf.DUMMYFUNCTION("""COMPUTED_VALUE"""),"-")</f>
        <v>-</v>
      </c>
      <c r="X2190" s="213" t="str">
        <f>IFERROR(__xludf.DUMMYFUNCTION("""COMPUTED_VALUE"""),"3M / FAGY")</f>
        <v>3M / FAGY</v>
      </c>
      <c r="Y2190" s="213" t="str">
        <f>IFERROR(__xludf.DUMMYFUNCTION("""COMPUTED_VALUE"""),"4511 / 11101001")</f>
        <v>4511 / 11101001</v>
      </c>
      <c r="Z2190" s="215" t="str">
        <f>IFERROR(__xludf.DUMMYFUNCTION("""COMPUTED_VALUE"""),"https://www.3m.com.pe/3M/es_PE/p/d/b00046819/")</f>
        <v>https://www.3m.com.pe/3M/es_PE/p/d/b00046819/</v>
      </c>
      <c r="AA2190" s="215" t="str">
        <f>IFERROR(__xludf.DUMMYFUNCTION("""COMPUTED_VALUE"""),"https://docs.google.com/spreadsheets/d/1GzhtSXk2eOX3AAbSFEiE7O7tec7_pziTzIHRBuI40l8/edit?gid=0#gid=1")</f>
        <v>https://docs.google.com/spreadsheets/d/1GzhtSXk2eOX3AAbSFEiE7O7tec7_pziTzIHRBuI40l8/edit?gid=0#gid=1</v>
      </c>
      <c r="AB2190" s="213"/>
      <c r="AC2190" s="213"/>
      <c r="AD2190" s="213"/>
      <c r="AE2190" s="213"/>
      <c r="AF2190" s="213"/>
      <c r="AG2190" s="213"/>
      <c r="AH2190" s="213"/>
      <c r="AI2190" s="213"/>
      <c r="AJ2190" s="213"/>
      <c r="AK2190" s="213"/>
      <c r="AL2190" s="213"/>
      <c r="AM2190" s="213"/>
      <c r="AN2190" s="213"/>
      <c r="AO2190" s="213"/>
      <c r="AP2190" s="213" t="str">
        <f>IFERROR(__xludf.DUMMYFUNCTION("""COMPUTED_VALUE"""),"SEBASTIAN")</f>
        <v>SEBASTIAN</v>
      </c>
      <c r="AQ2190" s="213"/>
      <c r="AR2190" s="213"/>
      <c r="AS2190" s="213"/>
      <c r="AT2190" s="213"/>
      <c r="AU2190" s="213"/>
      <c r="AV2190" s="213"/>
      <c r="AW2190" s="213"/>
      <c r="AX2190" s="213"/>
      <c r="AY2190" s="213"/>
      <c r="AZ2190" s="213"/>
      <c r="BA2190" s="213"/>
      <c r="BB2190" s="213"/>
      <c r="BC2190" s="213"/>
      <c r="BD2190" s="213"/>
    </row>
    <row r="2191">
      <c r="A2191" s="213">
        <f>IFERROR(__xludf.DUMMYFUNCTION("""COMPUTED_VALUE"""),1860.0)</f>
        <v>1860</v>
      </c>
      <c r="B2191" s="213" t="str">
        <f>IFERROR(__xludf.DUMMYFUNCTION("""COMPUTED_VALUE"""),"GUILLERMO E. BILLINGHURST ")</f>
        <v>GUILLERMO E. BILLINGHURST </v>
      </c>
      <c r="C2191" s="213" t="str">
        <f>IFERROR(__xludf.DUMMYFUNCTION("""COMPUTED_VALUE"""),"TALLER SFT DE EBANISTERÍA")</f>
        <v>TALLER SFT DE EBANISTERÍA</v>
      </c>
      <c r="D2191" s="213" t="str">
        <f>IFERROR(__xludf.DUMMYFUNCTION("""COMPUTED_VALUE"""),"EQUIPOS")</f>
        <v>EQUIPOS</v>
      </c>
      <c r="E2191" s="213" t="str">
        <f>IFERROR(__xludf.DUMMYFUNCTION("""COMPUTED_VALUE"""),"ESP-325")</f>
        <v>ESP-325</v>
      </c>
      <c r="F2191" s="213" t="str">
        <f>IFERROR(__xludf.DUMMYFUNCTION("""COMPUTED_VALUE"""),"ESP-325")</f>
        <v>ESP-325</v>
      </c>
      <c r="G2191" s="213"/>
      <c r="H2191" s="213" t="str">
        <f>IFERROR(__xludf.DUMMYFUNCTION("""COMPUTED_VALUE"""),"REGRUESADORA (DE MESA)")</f>
        <v>REGRUESADORA (DE MESA)</v>
      </c>
      <c r="I2191" s="213" t="str">
        <f>IFERROR(__xludf.DUMMYFUNCTION("""COMPUTED_VALUE"""),"· Subida y bajada manual de la mesa de trabajo.
· Dimensiones de la mesa: mínimo  600 mm x 316 mm.
· Ancho de trabajo: mínimo 407 mm.
· Rodillo de entrada y salida.
· Altura máxima de trabajo: 225 mm.
· Diámetro de eje de cuchillas: mínimo 70 mm.
· Numero"&amp;" de cuchillas: 3 unidades.
· Velocidad en rpm: mínimo 4500.
· Velocidad de avance: mínimo 7 m/min.
· Diámetro de toma de aspiración: entre 100 - 120 mm.
· Espesor mínimo a regruesar: 3 mm.
· Potencia del motor: mínimo 2,2 kW.
· Voltaje, frecuencia: 220 V,"&amp;" 60 Hz.
· Dimensiones (LxAxAlt.): 800 mm x 750 mm x 1100 mm.")</f>
        <v>· Subida y bajada manual de la mesa de trabajo.
· Dimensiones de la mesa: mínimo  600 mm x 316 mm.
· Ancho de trabajo: mínimo 407 mm.
· Rodillo de entrada y salida.
· Altura máxima de trabajo: 225 mm.
· Diámetro de eje de cuchillas: mínimo 70 mm.
· Numero de cuchillas: 3 unidades.
· Velocidad en rpm: mínimo 4500.
· Velocidad de avance: mínimo 7 m/min.
· Diámetro de toma de aspiración: entre 100 - 120 mm.
· Espesor mínimo a regruesar: 3 mm.
· Potencia del motor: mínimo 2,2 kW.
· Voltaje, frecuencia: 220 V, 60 Hz.
· Dimensiones (LxAxAlt.): 800 mm x 750 mm x 1100 mm.</v>
      </c>
      <c r="J2191" s="213">
        <f>IFERROR(__xludf.DUMMYFUNCTION("""COMPUTED_VALUE"""),3.0)</f>
        <v>3</v>
      </c>
      <c r="K2191" s="213" t="str">
        <f>IFERROR(__xludf.DUMMYFUNCTION("""COMPUTED_VALUE"""),"170 DÍAS CALENDARIO")</f>
        <v>170 DÍAS CALENDARIO</v>
      </c>
      <c r="L2191" s="213" t="str">
        <f>IFERROR(__xludf.DUMMYFUNCTION("""COMPUTED_VALUE"""),"")</f>
        <v/>
      </c>
      <c r="M2191" s="213">
        <f>IFERROR(__xludf.DUMMYFUNCTION("""COMPUTED_VALUE"""),1.0)</f>
        <v>1</v>
      </c>
      <c r="N2191" s="213">
        <f>IFERROR(__xludf.DUMMYFUNCTION("""COMPUTED_VALUE"""),1.0)</f>
        <v>1</v>
      </c>
      <c r="O2191" s="213">
        <f>IFERROR(__xludf.DUMMYFUNCTION("""COMPUTED_VALUE"""),1.0)</f>
        <v>1</v>
      </c>
      <c r="P2191" s="213"/>
      <c r="Q2191" s="213"/>
      <c r="R2191" s="213"/>
      <c r="S2191" s="213" t="str">
        <f>IFERROR(__xludf.DUMMYFUNCTION("""COMPUTED_VALUE"""),"SI")</f>
        <v>SI</v>
      </c>
      <c r="T2191" s="213" t="str">
        <f>IFERROR(__xludf.DUMMYFUNCTION("""COMPUTED_VALUE"""),"SI")</f>
        <v>SI</v>
      </c>
      <c r="U2191" s="213" t="str">
        <f>IFERROR(__xludf.DUMMYFUNCTION("""COMPUTED_VALUE"""),"NO")</f>
        <v>NO</v>
      </c>
      <c r="V2191" s="213" t="str">
        <f>IFERROR(__xludf.DUMMYFUNCTION("""COMPUTED_VALUE"""),"SUSTENTO")</f>
        <v>SUSTENTO</v>
      </c>
      <c r="W2191" s="213" t="str">
        <f>IFERROR(__xludf.DUMMYFUNCTION("""COMPUTED_VALUE"""),"DIMENSIONAL, ELÉCTRICO")</f>
        <v>DIMENSIONAL, ELÉCTRICO</v>
      </c>
      <c r="X2191" s="213" t="str">
        <f>IFERROR(__xludf.DUMMYFUNCTION("""COMPUTED_VALUE"""),"SCM")</f>
        <v>SCM</v>
      </c>
      <c r="Y2191" s="213" t="str">
        <f>IFERROR(__xludf.DUMMYFUNCTION("""COMPUTED_VALUE"""),"MINIMAX S 41 ES (230V MONOFÁSICA)")</f>
        <v>MINIMAX S 41 ES (230V MONOFÁSICA)</v>
      </c>
      <c r="Z2191" s="215" t="str">
        <f>IFERROR(__xludf.DUMMYFUNCTION("""COMPUTED_VALUE"""),"https://www.makxilia.biz/es/producto/maquinas-transformacion-madera/regruesadora/cepilladora-scm-group-mod-minimax-s41-es-ce/")</f>
        <v>https://www.makxilia.biz/es/producto/maquinas-transformacion-madera/regruesadora/cepilladora-scm-group-mod-minimax-s41-es-ce/</v>
      </c>
      <c r="AA2191" s="213" t="str">
        <f>IFERROR(__xludf.DUMMYFUNCTION("""COMPUTED_VALUE"""),"ESP-325 REGRUESADORA (DE MESA) - CET")</f>
        <v>ESP-325 REGRUESADORA (DE MESA) - CET</v>
      </c>
      <c r="AB2191" s="215" t="str">
        <f>IFERROR(__xludf.DUMMYFUNCTION("""COMPUTED_VALUE"""),"https://drive.google.com/file/d/1cTRnDRbu85hEVCK72DNMxmJWuypzq6HC/view?usp=drive_link")</f>
        <v>https://drive.google.com/file/d/1cTRnDRbu85hEVCK72DNMxmJWuypzq6HC/view?usp=drive_link</v>
      </c>
      <c r="AC2191" s="213"/>
      <c r="AD2191" s="213"/>
      <c r="AE2191" s="213"/>
      <c r="AF2191" s="213"/>
      <c r="AG2191" s="213"/>
      <c r="AH2191" s="213"/>
      <c r="AI2191" s="213"/>
      <c r="AJ2191" s="213"/>
      <c r="AK2191" s="213"/>
      <c r="AL2191" s="213"/>
      <c r="AM2191" s="213"/>
      <c r="AN2191" s="213"/>
      <c r="AO2191" s="213"/>
      <c r="AP2191" s="213" t="str">
        <f>IFERROR(__xludf.DUMMYFUNCTION("""COMPUTED_VALUE"""),"MICHEL")</f>
        <v>MICHEL</v>
      </c>
      <c r="AQ2191" s="213" t="str">
        <f>IFERROR(__xludf.DUMMYFUNCTION("""COMPUTED_VALUE"""),"Se debe solicitar motor monofásico. Dependiendo la longitud de las tablas que se desee regruesar, se debe dejar ese espacio en la parte trasera.")</f>
        <v>Se debe solicitar motor monofásico. Dependiendo la longitud de las tablas que se desee regruesar, se debe dejar ese espacio en la parte trasera.</v>
      </c>
      <c r="AR2191" s="213"/>
      <c r="AS2191" s="213" t="str">
        <f>IFERROR(__xludf.DUMMYFUNCTION("""COMPUTED_VALUE"""),"3kW (4HP) 50Hz motor monofásico (+€ 354,12)")</f>
        <v>3kW (4HP) 50Hz motor monofásico (+€ 354,12)</v>
      </c>
      <c r="AT2191" s="216" t="str">
        <f>IFERROR(__xludf.DUMMYFUNCTION("""COMPUTED_VALUE"""),"https://www.makxilia.biz/es/producto/maquinas-transformacion-madera/regruesadora/cepilladora-scm-group-mod-minimax-s41-es-ce/")</f>
        <v>https://www.makxilia.biz/es/producto/maquinas-transformacion-madera/regruesadora/cepilladora-scm-group-mod-minimax-s41-es-ce/</v>
      </c>
      <c r="AU2191" s="213"/>
      <c r="AV2191" s="213"/>
      <c r="AW2191" s="213"/>
      <c r="AX2191" s="213"/>
      <c r="AY2191" s="213"/>
      <c r="AZ2191" s="213"/>
      <c r="BA2191" s="213"/>
      <c r="BB2191" s="213"/>
      <c r="BC2191" s="213"/>
      <c r="BD2191" s="213"/>
    </row>
    <row r="2192">
      <c r="A2192" s="213">
        <f>IFERROR(__xludf.DUMMYFUNCTION("""COMPUTED_VALUE"""),2641.0)</f>
        <v>2641</v>
      </c>
      <c r="B2192" s="213" t="str">
        <f>IFERROR(__xludf.DUMMYFUNCTION("""COMPUTED_VALUE"""),"MANUEL ANTONIO MESONES MURO")</f>
        <v>MANUEL ANTONIO MESONES MURO</v>
      </c>
      <c r="C2192" s="213" t="str">
        <f>IFERROR(__xludf.DUMMYFUNCTION("""COMPUTED_VALUE"""),"TALLER SFT DE EBANISTERÍA")</f>
        <v>TALLER SFT DE EBANISTERÍA</v>
      </c>
      <c r="D2192" s="213" t="str">
        <f>IFERROR(__xludf.DUMMYFUNCTION("""COMPUTED_VALUE"""),"EQUIPOS")</f>
        <v>EQUIPOS</v>
      </c>
      <c r="E2192" s="213" t="str">
        <f>IFERROR(__xludf.DUMMYFUNCTION("""COMPUTED_VALUE"""),"ESP-325")</f>
        <v>ESP-325</v>
      </c>
      <c r="F2192" s="213" t="str">
        <f>IFERROR(__xludf.DUMMYFUNCTION("""COMPUTED_VALUE"""),"ESP-325")</f>
        <v>ESP-325</v>
      </c>
      <c r="G2192" s="213"/>
      <c r="H2192" s="213" t="str">
        <f>IFERROR(__xludf.DUMMYFUNCTION("""COMPUTED_VALUE"""),"REGRUESADORA (DE MESA)")</f>
        <v>REGRUESADORA (DE MESA)</v>
      </c>
      <c r="I2192" s="213" t="str">
        <f>IFERROR(__xludf.DUMMYFUNCTION("""COMPUTED_VALUE"""),"· Subida y bajada manual de la mesa de trabajo.
· Dimensiones de la mesa: mínimo  600 mm x 316 mm.
· Ancho de trabajo: mínimo 407 mm.
· Rodillo de entrada y salida.
· Altura máxima de trabajo: 225 mm.
· Diámetro de eje de cuchillas: mínimo 70 mm.
· Numero"&amp;" de cuchillas: 3 unidades.
· Velocidad en rpm: mínimo 4500.
· Velocidad de avance: mínimo 7 m/min.
· Diámetro de toma de aspiración: entre 100 - 120 mm.
· Espesor mínimo a regruesar: 3 mm.
· Potencia del motor: mínimo 2,2 kW.
· Voltaje, frecuencia: 220 V,"&amp;" 60 Hz.
· Dimensiones (LxAxAlt.): 800 mm x 750 mm x 1100 mm.")</f>
        <v>· Subida y bajada manual de la mesa de trabajo.
· Dimensiones de la mesa: mínimo  600 mm x 316 mm.
· Ancho de trabajo: mínimo 407 mm.
· Rodillo de entrada y salida.
· Altura máxima de trabajo: 225 mm.
· Diámetro de eje de cuchillas: mínimo 70 mm.
· Numero de cuchillas: 3 unidades.
· Velocidad en rpm: mínimo 4500.
· Velocidad de avance: mínimo 7 m/min.
· Diámetro de toma de aspiración: entre 100 - 120 mm.
· Espesor mínimo a regruesar: 3 mm.
· Potencia del motor: mínimo 2,2 kW.
· Voltaje, frecuencia: 220 V, 60 Hz.
· Dimensiones (LxAxAlt.): 800 mm x 750 mm x 1100 mm.</v>
      </c>
      <c r="J2192" s="213">
        <f>IFERROR(__xludf.DUMMYFUNCTION("""COMPUTED_VALUE"""),3.0)</f>
        <v>3</v>
      </c>
      <c r="K2192" s="213" t="str">
        <f>IFERROR(__xludf.DUMMYFUNCTION("""COMPUTED_VALUE"""),"170 DÍAS CALENDARIO")</f>
        <v>170 DÍAS CALENDARIO</v>
      </c>
      <c r="L2192" s="213" t="str">
        <f>IFERROR(__xludf.DUMMYFUNCTION("""COMPUTED_VALUE"""),"")</f>
        <v/>
      </c>
      <c r="M2192" s="213">
        <f>IFERROR(__xludf.DUMMYFUNCTION("""COMPUTED_VALUE"""),1.0)</f>
        <v>1</v>
      </c>
      <c r="N2192" s="213">
        <f>IFERROR(__xludf.DUMMYFUNCTION("""COMPUTED_VALUE"""),1.0)</f>
        <v>1</v>
      </c>
      <c r="O2192" s="213">
        <f>IFERROR(__xludf.DUMMYFUNCTION("""COMPUTED_VALUE"""),1.0)</f>
        <v>1</v>
      </c>
      <c r="P2192" s="213"/>
      <c r="Q2192" s="213"/>
      <c r="R2192" s="213"/>
      <c r="S2192" s="213" t="str">
        <f>IFERROR(__xludf.DUMMYFUNCTION("""COMPUTED_VALUE"""),"SI")</f>
        <v>SI</v>
      </c>
      <c r="T2192" s="213" t="str">
        <f>IFERROR(__xludf.DUMMYFUNCTION("""COMPUTED_VALUE"""),"SI")</f>
        <v>SI</v>
      </c>
      <c r="U2192" s="213" t="str">
        <f>IFERROR(__xludf.DUMMYFUNCTION("""COMPUTED_VALUE"""),"NO")</f>
        <v>NO</v>
      </c>
      <c r="V2192" s="213" t="str">
        <f>IFERROR(__xludf.DUMMYFUNCTION("""COMPUTED_VALUE"""),"SUSTENTO")</f>
        <v>SUSTENTO</v>
      </c>
      <c r="W2192" s="213" t="str">
        <f>IFERROR(__xludf.DUMMYFUNCTION("""COMPUTED_VALUE"""),"DIMENSIONAL, ELÉCTRICO")</f>
        <v>DIMENSIONAL, ELÉCTRICO</v>
      </c>
      <c r="X2192" s="213" t="str">
        <f>IFERROR(__xludf.DUMMYFUNCTION("""COMPUTED_VALUE"""),"SCM")</f>
        <v>SCM</v>
      </c>
      <c r="Y2192" s="213" t="str">
        <f>IFERROR(__xludf.DUMMYFUNCTION("""COMPUTED_VALUE"""),"MINIMAX S 41 ES (230V MONOFÁSICA)")</f>
        <v>MINIMAX S 41 ES (230V MONOFÁSICA)</v>
      </c>
      <c r="Z2192" s="215" t="str">
        <f>IFERROR(__xludf.DUMMYFUNCTION("""COMPUTED_VALUE"""),"https://www.makxilia.biz/es/producto/maquinas-transformacion-madera/regruesadora/cepilladora-scm-group-mod-minimax-s41-es-ce/")</f>
        <v>https://www.makxilia.biz/es/producto/maquinas-transformacion-madera/regruesadora/cepilladora-scm-group-mod-minimax-s41-es-ce/</v>
      </c>
      <c r="AA2192" s="213" t="str">
        <f>IFERROR(__xludf.DUMMYFUNCTION("""COMPUTED_VALUE"""),"ESP-325 REGRUESADORA (DE MESA) - CET")</f>
        <v>ESP-325 REGRUESADORA (DE MESA) - CET</v>
      </c>
      <c r="AB2192" s="215" t="str">
        <f>IFERROR(__xludf.DUMMYFUNCTION("""COMPUTED_VALUE"""),"https://drive.google.com/file/d/1cTRnDRbu85hEVCK72DNMxmJWuypzq6HC/view?usp=drive_link")</f>
        <v>https://drive.google.com/file/d/1cTRnDRbu85hEVCK72DNMxmJWuypzq6HC/view?usp=drive_link</v>
      </c>
      <c r="AC2192" s="213"/>
      <c r="AD2192" s="213"/>
      <c r="AE2192" s="213"/>
      <c r="AF2192" s="213"/>
      <c r="AG2192" s="213"/>
      <c r="AH2192" s="213"/>
      <c r="AI2192" s="213"/>
      <c r="AJ2192" s="213"/>
      <c r="AK2192" s="213"/>
      <c r="AL2192" s="213"/>
      <c r="AM2192" s="213"/>
      <c r="AN2192" s="213"/>
      <c r="AO2192" s="213"/>
      <c r="AP2192" s="213" t="str">
        <f>IFERROR(__xludf.DUMMYFUNCTION("""COMPUTED_VALUE"""),"MICHEL")</f>
        <v>MICHEL</v>
      </c>
      <c r="AQ2192" s="213" t="str">
        <f>IFERROR(__xludf.DUMMYFUNCTION("""COMPUTED_VALUE"""),"Se debe solicitar motor monofásico. Dependiendo la longitud de las tablas que se desee regruesar, se debe dejar ese espacio en la parte trasera.")</f>
        <v>Se debe solicitar motor monofásico. Dependiendo la longitud de las tablas que se desee regruesar, se debe dejar ese espacio en la parte trasera.</v>
      </c>
      <c r="AR2192" s="213"/>
      <c r="AS2192" s="213" t="str">
        <f>IFERROR(__xludf.DUMMYFUNCTION("""COMPUTED_VALUE"""),"3kW (4HP) 50Hz motor monofásico (+€ 354,12)")</f>
        <v>3kW (4HP) 50Hz motor monofásico (+€ 354,12)</v>
      </c>
      <c r="AT2192" s="216" t="str">
        <f>IFERROR(__xludf.DUMMYFUNCTION("""COMPUTED_VALUE"""),"https://www.makxilia.biz/es/producto/maquinas-transformacion-madera/regruesadora/cepilladora-scm-group-mod-minimax-s41-es-ce/")</f>
        <v>https://www.makxilia.biz/es/producto/maquinas-transformacion-madera/regruesadora/cepilladora-scm-group-mod-minimax-s41-es-ce/</v>
      </c>
      <c r="AU2192" s="213"/>
      <c r="AV2192" s="213"/>
      <c r="AW2192" s="213"/>
      <c r="AX2192" s="213"/>
      <c r="AY2192" s="213"/>
      <c r="AZ2192" s="213"/>
      <c r="BA2192" s="213"/>
      <c r="BB2192" s="213"/>
      <c r="BC2192" s="213"/>
      <c r="BD2192" s="213"/>
    </row>
    <row r="2193">
      <c r="A2193" s="213">
        <f>IFERROR(__xludf.DUMMYFUNCTION("""COMPUTED_VALUE"""),929.0)</f>
        <v>929</v>
      </c>
      <c r="B2193" s="213" t="str">
        <f>IFERROR(__xludf.DUMMYFUNCTION("""COMPUTED_VALUE"""),"FRANCISCO IRAZOLA")</f>
        <v>FRANCISCO IRAZOLA</v>
      </c>
      <c r="C2193" s="213" t="str">
        <f>IFERROR(__xludf.DUMMYFUNCTION("""COMPUTED_VALUE"""),"TALLER SFT DE MECÁNICA AUTOMOTRIZ")</f>
        <v>TALLER SFT DE MECÁNICA AUTOMOTRIZ</v>
      </c>
      <c r="D2193" s="213" t="str">
        <f>IFERROR(__xludf.DUMMYFUNCTION("""COMPUTED_VALUE"""),"HERRAMIENTAS")</f>
        <v>HERRAMIENTAS</v>
      </c>
      <c r="E2193" s="213" t="str">
        <f>IFERROR(__xludf.DUMMYFUNCTION("""COMPUTED_VALUE"""),"MAT-236")</f>
        <v>MAT-236</v>
      </c>
      <c r="F2193" s="213" t="str">
        <f>IFERROR(__xludf.DUMMYFUNCTION("""COMPUTED_VALUE"""),"MAT-236")</f>
        <v>MAT-236</v>
      </c>
      <c r="G2193" s="213"/>
      <c r="H2193" s="213" t="str">
        <f>IFERROR(__xludf.DUMMYFUNCTION("""COMPUTED_VALUE"""),"MANDIL DE SERRAJE")</f>
        <v>MANDIL DE SERRAJE</v>
      </c>
      <c r="I2193" s="213" t="str">
        <f>IFERROR(__xludf.DUMMYFUNCTION("""COMPUTED_VALUE"""),"Brinda efectiva protección para la parte torácica del cuerpo durante los proceso de soldadura y tareas relacionados
Cumplen la normativa EN 11611 y EN 13688. Fabricado de carnaza al cromo.
Diseño sin costuras.
Correa de cuero laqueado fijadas con doble re"&amp;"mache Espesor minimo de 0.9 mm
Medidas aproximadas 60,9x91,4 cm")</f>
        <v>Brinda efectiva protección para la parte torácica del cuerpo durante los proceso de soldadura y tareas relacionados
Cumplen la normativa EN 11611 y EN 13688. Fabricado de carnaza al cromo.
Diseño sin costuras.
Correa de cuero laqueado fijadas con doble remache Espesor minimo de 0.9 mm
Medidas aproximadas 60,9x91,4 cm</v>
      </c>
      <c r="J2193" s="213">
        <f>IFERROR(__xludf.DUMMYFUNCTION("""COMPUTED_VALUE"""),3.0)</f>
        <v>3</v>
      </c>
      <c r="K2193" s="213" t="str">
        <f>IFERROR(__xludf.DUMMYFUNCTION("""COMPUTED_VALUE"""),"90 DÍAS CALENDARIO")</f>
        <v>90 DÍAS CALENDARIO</v>
      </c>
      <c r="L2193" s="213" t="str">
        <f>IFERROR(__xludf.DUMMYFUNCTION("""COMPUTED_VALUE"""),"")</f>
        <v/>
      </c>
      <c r="M2193" s="213">
        <f>IFERROR(__xludf.DUMMYFUNCTION("""COMPUTED_VALUE"""),1.0)</f>
        <v>1</v>
      </c>
      <c r="N2193" s="213">
        <f>IFERROR(__xludf.DUMMYFUNCTION("""COMPUTED_VALUE"""),21.0)</f>
        <v>21</v>
      </c>
      <c r="O2193" s="213">
        <f>IFERROR(__xludf.DUMMYFUNCTION("""COMPUTED_VALUE"""),21.0)</f>
        <v>21</v>
      </c>
      <c r="P2193" s="213"/>
      <c r="Q2193" s="213"/>
      <c r="R2193" s="213"/>
      <c r="S2193" s="213"/>
      <c r="T2193" s="213" t="str">
        <f>IFERROR(__xludf.DUMMYFUNCTION("""COMPUTED_VALUE"""),"CONSULTA FINAL")</f>
        <v>CONSULTA FINAL</v>
      </c>
      <c r="U2193" s="213" t="str">
        <f>IFERROR(__xludf.DUMMYFUNCTION("""COMPUTED_VALUE"""),"NO")</f>
        <v>NO</v>
      </c>
      <c r="V2193" s="213" t="str">
        <f>IFERROR(__xludf.DUMMYFUNCTION("""COMPUTED_VALUE"""),"SUSTENTO")</f>
        <v>SUSTENTO</v>
      </c>
      <c r="W2193" s="213" t="str">
        <f>IFERROR(__xludf.DUMMYFUNCTION("""COMPUTED_VALUE"""),"NORMATIVA")</f>
        <v>NORMATIVA</v>
      </c>
      <c r="X2193" s="213" t="str">
        <f>IFERROR(__xludf.DUMMYFUNCTION("""COMPUTED_VALUE"""),"CLUTE")</f>
        <v>CLUTE</v>
      </c>
      <c r="Y2193" s="213">
        <f>IFERROR(__xludf.DUMMYFUNCTION("""COMPUTED_VALUE"""),3.1003001E7)</f>
        <v>31003001</v>
      </c>
      <c r="Z2193" s="215" t="str">
        <f>IFERROR(__xludf.DUMMYFUNCTION("""COMPUTED_VALUE"""),"https://clute.com.pe/tienda/proteccion-soldador/mandil-de-cuero-cromo/?utm_source=chatgpt.com")</f>
        <v>https://clute.com.pe/tienda/proteccion-soldador/mandil-de-cuero-cromo/?utm_source=chatgpt.com</v>
      </c>
      <c r="AA2193" s="215" t="str">
        <f>IFERROR(__xludf.DUMMYFUNCTION("""COMPUTED_VALUE"""),"https://docs.google.com/spreadsheets/d/12GUsyMWy4406psaMlML0FNUQ4JGGnVwMX5QSIr3I_bo/edit?gid=0#gid=0")</f>
        <v>https://docs.google.com/spreadsheets/d/12GUsyMWy4406psaMlML0FNUQ4JGGnVwMX5QSIr3I_bo/edit?gid=0#gid=0</v>
      </c>
      <c r="AB2193" s="213"/>
      <c r="AC2193" s="213"/>
      <c r="AD2193" s="213"/>
      <c r="AE2193" s="213"/>
      <c r="AF2193" s="213"/>
      <c r="AG2193" s="213"/>
      <c r="AH2193" s="213"/>
      <c r="AI2193" s="213"/>
      <c r="AJ2193" s="213"/>
      <c r="AK2193" s="213"/>
      <c r="AL2193" s="213"/>
      <c r="AM2193" s="213"/>
      <c r="AN2193" s="213"/>
      <c r="AO2193" s="213"/>
      <c r="AP2193" s="213" t="str">
        <f>IFERROR(__xludf.DUMMYFUNCTION("""COMPUTED_VALUE"""),"SEBASTIAN")</f>
        <v>SEBASTIAN</v>
      </c>
      <c r="AQ2193" s="213"/>
      <c r="AR2193" s="213"/>
      <c r="AS2193" s="213"/>
      <c r="AT2193" s="213"/>
      <c r="AU2193" s="213"/>
      <c r="AV2193" s="213"/>
      <c r="AW2193" s="213"/>
      <c r="AX2193" s="213"/>
      <c r="AY2193" s="213"/>
      <c r="AZ2193" s="213"/>
      <c r="BA2193" s="213"/>
      <c r="BB2193" s="213"/>
      <c r="BC2193" s="213"/>
      <c r="BD2193" s="213"/>
    </row>
    <row r="2194">
      <c r="A2194" s="213">
        <f>IFERROR(__xludf.DUMMYFUNCTION("""COMPUTED_VALUE"""),1530.0)</f>
        <v>1530</v>
      </c>
      <c r="B2194" s="213" t="str">
        <f>IFERROR(__xludf.DUMMYFUNCTION("""COMPUTED_VALUE"""),"GUILLERMO E. BILLINGHURST ")</f>
        <v>GUILLERMO E. BILLINGHURST </v>
      </c>
      <c r="C2194" s="213" t="str">
        <f>IFERROR(__xludf.DUMMYFUNCTION("""COMPUTED_VALUE"""),"TALLER SFT DE MECÁNICA AUTOMOTRIZ")</f>
        <v>TALLER SFT DE MECÁNICA AUTOMOTRIZ</v>
      </c>
      <c r="D2194" s="213" t="str">
        <f>IFERROR(__xludf.DUMMYFUNCTION("""COMPUTED_VALUE"""),"HERRAMIENTAS")</f>
        <v>HERRAMIENTAS</v>
      </c>
      <c r="E2194" s="213" t="str">
        <f>IFERROR(__xludf.DUMMYFUNCTION("""COMPUTED_VALUE"""),"MAT-236")</f>
        <v>MAT-236</v>
      </c>
      <c r="F2194" s="213" t="str">
        <f>IFERROR(__xludf.DUMMYFUNCTION("""COMPUTED_VALUE"""),"MAT-236")</f>
        <v>MAT-236</v>
      </c>
      <c r="G2194" s="213"/>
      <c r="H2194" s="213" t="str">
        <f>IFERROR(__xludf.DUMMYFUNCTION("""COMPUTED_VALUE"""),"MANDIL DE SERRAJE")</f>
        <v>MANDIL DE SERRAJE</v>
      </c>
      <c r="I2194" s="213" t="str">
        <f>IFERROR(__xludf.DUMMYFUNCTION("""COMPUTED_VALUE"""),"Brinda efectiva protección para la parte torácica del cuerpo durante los proceso de soldadura y tareas relacionados
Cumplen la normativa EN 11611 y EN 13688. Fabricado de carnaza al cromo.
Diseño sin costuras.
Correa de cuero laqueado fijadas con doble re"&amp;"mache Espesor minimo de 0.9 mm
Medidas aproximadas 60,9x91,4 cm")</f>
        <v>Brinda efectiva protección para la parte torácica del cuerpo durante los proceso de soldadura y tareas relacionados
Cumplen la normativa EN 11611 y EN 13688. Fabricado de carnaza al cromo.
Diseño sin costuras.
Correa de cuero laqueado fijadas con doble remache Espesor minimo de 0.9 mm
Medidas aproximadas 60,9x91,4 cm</v>
      </c>
      <c r="J2194" s="213">
        <f>IFERROR(__xludf.DUMMYFUNCTION("""COMPUTED_VALUE"""),3.0)</f>
        <v>3</v>
      </c>
      <c r="K2194" s="213" t="str">
        <f>IFERROR(__xludf.DUMMYFUNCTION("""COMPUTED_VALUE"""),"90 DÍAS CALENDARIO")</f>
        <v>90 DÍAS CALENDARIO</v>
      </c>
      <c r="L2194" s="213" t="str">
        <f>IFERROR(__xludf.DUMMYFUNCTION("""COMPUTED_VALUE"""),"")</f>
        <v/>
      </c>
      <c r="M2194" s="213">
        <f>IFERROR(__xludf.DUMMYFUNCTION("""COMPUTED_VALUE"""),1.0)</f>
        <v>1</v>
      </c>
      <c r="N2194" s="213">
        <f>IFERROR(__xludf.DUMMYFUNCTION("""COMPUTED_VALUE"""),21.0)</f>
        <v>21</v>
      </c>
      <c r="O2194" s="213">
        <f>IFERROR(__xludf.DUMMYFUNCTION("""COMPUTED_VALUE"""),21.0)</f>
        <v>21</v>
      </c>
      <c r="P2194" s="213"/>
      <c r="Q2194" s="213"/>
      <c r="R2194" s="213"/>
      <c r="S2194" s="213"/>
      <c r="T2194" s="213" t="str">
        <f>IFERROR(__xludf.DUMMYFUNCTION("""COMPUTED_VALUE"""),"CONSULTA FINAL")</f>
        <v>CONSULTA FINAL</v>
      </c>
      <c r="U2194" s="213" t="str">
        <f>IFERROR(__xludf.DUMMYFUNCTION("""COMPUTED_VALUE"""),"NO")</f>
        <v>NO</v>
      </c>
      <c r="V2194" s="213" t="str">
        <f>IFERROR(__xludf.DUMMYFUNCTION("""COMPUTED_VALUE"""),"SUSTENTO")</f>
        <v>SUSTENTO</v>
      </c>
      <c r="W2194" s="213" t="str">
        <f>IFERROR(__xludf.DUMMYFUNCTION("""COMPUTED_VALUE"""),"NORMATIVA")</f>
        <v>NORMATIVA</v>
      </c>
      <c r="X2194" s="213" t="str">
        <f>IFERROR(__xludf.DUMMYFUNCTION("""COMPUTED_VALUE"""),"CLUTE")</f>
        <v>CLUTE</v>
      </c>
      <c r="Y2194" s="213">
        <f>IFERROR(__xludf.DUMMYFUNCTION("""COMPUTED_VALUE"""),3.1003001E7)</f>
        <v>31003001</v>
      </c>
      <c r="Z2194" s="215" t="str">
        <f>IFERROR(__xludf.DUMMYFUNCTION("""COMPUTED_VALUE"""),"https://clute.com.pe/tienda/proteccion-soldador/mandil-de-cuero-cromo/?utm_source=chatgpt.com")</f>
        <v>https://clute.com.pe/tienda/proteccion-soldador/mandil-de-cuero-cromo/?utm_source=chatgpt.com</v>
      </c>
      <c r="AA2194" s="215" t="str">
        <f>IFERROR(__xludf.DUMMYFUNCTION("""COMPUTED_VALUE"""),"https://docs.google.com/spreadsheets/d/12GUsyMWy4406psaMlML0FNUQ4JGGnVwMX5QSIr3I_bo/edit?gid=0#gid=0")</f>
        <v>https://docs.google.com/spreadsheets/d/12GUsyMWy4406psaMlML0FNUQ4JGGnVwMX5QSIr3I_bo/edit?gid=0#gid=0</v>
      </c>
      <c r="AB2194" s="213"/>
      <c r="AC2194" s="213"/>
      <c r="AD2194" s="213"/>
      <c r="AE2194" s="213"/>
      <c r="AF2194" s="213"/>
      <c r="AG2194" s="213"/>
      <c r="AH2194" s="213"/>
      <c r="AI2194" s="213"/>
      <c r="AJ2194" s="213"/>
      <c r="AK2194" s="213"/>
      <c r="AL2194" s="213"/>
      <c r="AM2194" s="213"/>
      <c r="AN2194" s="213"/>
      <c r="AO2194" s="213"/>
      <c r="AP2194" s="213" t="str">
        <f>IFERROR(__xludf.DUMMYFUNCTION("""COMPUTED_VALUE"""),"SEBASTIAN")</f>
        <v>SEBASTIAN</v>
      </c>
      <c r="AQ2194" s="213"/>
      <c r="AR2194" s="213"/>
      <c r="AS2194" s="213"/>
      <c r="AT2194" s="213"/>
      <c r="AU2194" s="213"/>
      <c r="AV2194" s="213"/>
      <c r="AW2194" s="213"/>
      <c r="AX2194" s="213"/>
      <c r="AY2194" s="213"/>
      <c r="AZ2194" s="213"/>
      <c r="BA2194" s="213"/>
      <c r="BB2194" s="213"/>
      <c r="BC2194" s="213"/>
      <c r="BD2194" s="213"/>
    </row>
    <row r="2195">
      <c r="A2195" s="213">
        <f>IFERROR(__xludf.DUMMYFUNCTION("""COMPUTED_VALUE"""),2222.0)</f>
        <v>2222</v>
      </c>
      <c r="B2195" s="213" t="str">
        <f>IFERROR(__xludf.DUMMYFUNCTION("""COMPUTED_VALUE"""),"JOSE GRANDA")</f>
        <v>JOSE GRANDA</v>
      </c>
      <c r="C2195" s="213" t="str">
        <f>IFERROR(__xludf.DUMMYFUNCTION("""COMPUTED_VALUE"""),"TALLER SFT DE MECÁNICA AUTOMOTRIZ")</f>
        <v>TALLER SFT DE MECÁNICA AUTOMOTRIZ</v>
      </c>
      <c r="D2195" s="213" t="str">
        <f>IFERROR(__xludf.DUMMYFUNCTION("""COMPUTED_VALUE"""),"HERRAMIENTAS")</f>
        <v>HERRAMIENTAS</v>
      </c>
      <c r="E2195" s="213" t="str">
        <f>IFERROR(__xludf.DUMMYFUNCTION("""COMPUTED_VALUE"""),"MAT-236")</f>
        <v>MAT-236</v>
      </c>
      <c r="F2195" s="213" t="str">
        <f>IFERROR(__xludf.DUMMYFUNCTION("""COMPUTED_VALUE"""),"MAT-236")</f>
        <v>MAT-236</v>
      </c>
      <c r="G2195" s="213"/>
      <c r="H2195" s="213" t="str">
        <f>IFERROR(__xludf.DUMMYFUNCTION("""COMPUTED_VALUE"""),"MANDIL DE SERRAJE")</f>
        <v>MANDIL DE SERRAJE</v>
      </c>
      <c r="I2195" s="213" t="str">
        <f>IFERROR(__xludf.DUMMYFUNCTION("""COMPUTED_VALUE"""),"Brinda efectiva protección para la parte torácica del cuerpo durante los proceso de soldadura y tareas relacionados
Cumplen la normativa EN 11611 y EN 13688. Fabricado de carnaza al cromo.
Diseño sin costuras.
Correa de cuero laqueado fijadas con doble re"&amp;"mache Espesor minimo de 0.9 mm
Medidas aproximadas 60,9x91,4 cm")</f>
        <v>Brinda efectiva protección para la parte torácica del cuerpo durante los proceso de soldadura y tareas relacionados
Cumplen la normativa EN 11611 y EN 13688. Fabricado de carnaza al cromo.
Diseño sin costuras.
Correa de cuero laqueado fijadas con doble remache Espesor minimo de 0.9 mm
Medidas aproximadas 60,9x91,4 cm</v>
      </c>
      <c r="J2195" s="213">
        <f>IFERROR(__xludf.DUMMYFUNCTION("""COMPUTED_VALUE"""),3.0)</f>
        <v>3</v>
      </c>
      <c r="K2195" s="213" t="str">
        <f>IFERROR(__xludf.DUMMYFUNCTION("""COMPUTED_VALUE"""),"90 DÍAS CALENDARIO")</f>
        <v>90 DÍAS CALENDARIO</v>
      </c>
      <c r="L2195" s="213" t="str">
        <f>IFERROR(__xludf.DUMMYFUNCTION("""COMPUTED_VALUE"""),"")</f>
        <v/>
      </c>
      <c r="M2195" s="213">
        <f>IFERROR(__xludf.DUMMYFUNCTION("""COMPUTED_VALUE"""),1.0)</f>
        <v>1</v>
      </c>
      <c r="N2195" s="213">
        <f>IFERROR(__xludf.DUMMYFUNCTION("""COMPUTED_VALUE"""),21.0)</f>
        <v>21</v>
      </c>
      <c r="O2195" s="213">
        <f>IFERROR(__xludf.DUMMYFUNCTION("""COMPUTED_VALUE"""),21.0)</f>
        <v>21</v>
      </c>
      <c r="P2195" s="213"/>
      <c r="Q2195" s="213"/>
      <c r="R2195" s="213"/>
      <c r="S2195" s="213"/>
      <c r="T2195" s="213" t="str">
        <f>IFERROR(__xludf.DUMMYFUNCTION("""COMPUTED_VALUE"""),"CONSULTA FINAL")</f>
        <v>CONSULTA FINAL</v>
      </c>
      <c r="U2195" s="213" t="str">
        <f>IFERROR(__xludf.DUMMYFUNCTION("""COMPUTED_VALUE"""),"NO")</f>
        <v>NO</v>
      </c>
      <c r="V2195" s="213" t="str">
        <f>IFERROR(__xludf.DUMMYFUNCTION("""COMPUTED_VALUE"""),"SUSTENTO")</f>
        <v>SUSTENTO</v>
      </c>
      <c r="W2195" s="213" t="str">
        <f>IFERROR(__xludf.DUMMYFUNCTION("""COMPUTED_VALUE"""),"NORMATIVA")</f>
        <v>NORMATIVA</v>
      </c>
      <c r="X2195" s="213" t="str">
        <f>IFERROR(__xludf.DUMMYFUNCTION("""COMPUTED_VALUE"""),"CLUTE")</f>
        <v>CLUTE</v>
      </c>
      <c r="Y2195" s="213">
        <f>IFERROR(__xludf.DUMMYFUNCTION("""COMPUTED_VALUE"""),3.1003001E7)</f>
        <v>31003001</v>
      </c>
      <c r="Z2195" s="215" t="str">
        <f>IFERROR(__xludf.DUMMYFUNCTION("""COMPUTED_VALUE"""),"https://clute.com.pe/tienda/proteccion-soldador/mandil-de-cuero-cromo/?utm_source=chatgpt.com")</f>
        <v>https://clute.com.pe/tienda/proteccion-soldador/mandil-de-cuero-cromo/?utm_source=chatgpt.com</v>
      </c>
      <c r="AA2195" s="215" t="str">
        <f>IFERROR(__xludf.DUMMYFUNCTION("""COMPUTED_VALUE"""),"https://docs.google.com/spreadsheets/d/12GUsyMWy4406psaMlML0FNUQ4JGGnVwMX5QSIr3I_bo/edit?gid=0#gid=0")</f>
        <v>https://docs.google.com/spreadsheets/d/12GUsyMWy4406psaMlML0FNUQ4JGGnVwMX5QSIr3I_bo/edit?gid=0#gid=0</v>
      </c>
      <c r="AB2195" s="213"/>
      <c r="AC2195" s="213"/>
      <c r="AD2195" s="213"/>
      <c r="AE2195" s="213"/>
      <c r="AF2195" s="213"/>
      <c r="AG2195" s="213"/>
      <c r="AH2195" s="213"/>
      <c r="AI2195" s="213"/>
      <c r="AJ2195" s="213"/>
      <c r="AK2195" s="213"/>
      <c r="AL2195" s="213"/>
      <c r="AM2195" s="213"/>
      <c r="AN2195" s="213"/>
      <c r="AO2195" s="213"/>
      <c r="AP2195" s="213" t="str">
        <f>IFERROR(__xludf.DUMMYFUNCTION("""COMPUTED_VALUE"""),"SEBASTIAN")</f>
        <v>SEBASTIAN</v>
      </c>
      <c r="AQ2195" s="213"/>
      <c r="AR2195" s="213"/>
      <c r="AS2195" s="213"/>
      <c r="AT2195" s="213"/>
      <c r="AU2195" s="213"/>
      <c r="AV2195" s="213"/>
      <c r="AW2195" s="213"/>
      <c r="AX2195" s="213"/>
      <c r="AY2195" s="213"/>
      <c r="AZ2195" s="213"/>
      <c r="BA2195" s="213"/>
      <c r="BB2195" s="213"/>
      <c r="BC2195" s="213"/>
      <c r="BD2195" s="213"/>
    </row>
    <row r="2196">
      <c r="A2196" s="213">
        <f>IFERROR(__xludf.DUMMYFUNCTION("""COMPUTED_VALUE"""),406.0)</f>
        <v>406</v>
      </c>
      <c r="B2196" s="213" t="str">
        <f>IFERROR(__xludf.DUMMYFUNCTION("""COMPUTED_VALUE"""),"2026 SIMON BOLIVAR")</f>
        <v>2026 SIMON BOLIVAR</v>
      </c>
      <c r="C2196" s="213" t="str">
        <f>IFERROR(__xludf.DUMMYFUNCTION("""COMPUTED_VALUE"""),"TALLER SFT DE ELECTRICIDAD")</f>
        <v>TALLER SFT DE ELECTRICIDAD</v>
      </c>
      <c r="D2196" s="213" t="str">
        <f>IFERROR(__xludf.DUMMYFUNCTION("""COMPUTED_VALUE"""),"EQUIPOS")</f>
        <v>EQUIPOS</v>
      </c>
      <c r="E2196" s="213" t="str">
        <f>IFERROR(__xludf.DUMMYFUNCTION("""COMPUTED_VALUE"""),"ESP-326")</f>
        <v>ESP-326</v>
      </c>
      <c r="F2196" s="213" t="str">
        <f>IFERROR(__xludf.DUMMYFUNCTION("""COMPUTED_VALUE"""),"ESP-326")</f>
        <v>ESP-326</v>
      </c>
      <c r="G2196" s="213"/>
      <c r="H2196" s="213" t="str">
        <f>IFERROR(__xludf.DUMMYFUNCTION("""COMPUTED_VALUE"""),"RELÉ PROGRAMABLE")</f>
        <v>RELÉ PROGRAMABLE</v>
      </c>
      <c r="I2196" s="213" t="str">
        <f>IFERROR(__xludf.DUMMYFUNCTION("""COMPUTED_VALUE"""),"· Características del Relé Programable:
- Con Programación mediante pulsadores
- Con Pantalla LCD
- Tensión de alimentación 12/24 Voltios
- De 8 entradas binarias, 4 entradas analógicas
- 4 salidas binarias.
- Carga inductiva a 3 A. max.
- Montaje "&amp;"sobre perfil normalizado de 35mm.")</f>
        <v>· Características del Relé Programable:
- Con Programación mediante pulsadores
- Con Pantalla LCD
- Tensión de alimentación 12/24 Voltios
- De 8 entradas binarias, 4 entradas analógicas
- 4 salidas binarias.
- Carga inductiva a 3 A. max.
- Montaje sobre perfil normalizado de 35mm.</v>
      </c>
      <c r="J2196" s="213">
        <f>IFERROR(__xludf.DUMMYFUNCTION("""COMPUTED_VALUE"""),3.0)</f>
        <v>3</v>
      </c>
      <c r="K2196" s="213" t="str">
        <f>IFERROR(__xludf.DUMMYFUNCTION("""COMPUTED_VALUE"""),"170 DÍAS CALENDARIO")</f>
        <v>170 DÍAS CALENDARIO</v>
      </c>
      <c r="L2196" s="213" t="str">
        <f>IFERROR(__xludf.DUMMYFUNCTION("""COMPUTED_VALUE"""),"")</f>
        <v/>
      </c>
      <c r="M2196" s="213">
        <f>IFERROR(__xludf.DUMMYFUNCTION("""COMPUTED_VALUE"""),1.0)</f>
        <v>1</v>
      </c>
      <c r="N2196" s="213">
        <f>IFERROR(__xludf.DUMMYFUNCTION("""COMPUTED_VALUE"""),4.0)</f>
        <v>4</v>
      </c>
      <c r="O2196" s="213">
        <f>IFERROR(__xludf.DUMMYFUNCTION("""COMPUTED_VALUE"""),4.0)</f>
        <v>4</v>
      </c>
      <c r="P2196" s="213"/>
      <c r="Q2196" s="213"/>
      <c r="R2196" s="213"/>
      <c r="S2196" s="213" t="str">
        <f>IFERROR(__xludf.DUMMYFUNCTION("""COMPUTED_VALUE"""),"SI")</f>
        <v>SI</v>
      </c>
      <c r="T2196" s="213" t="str">
        <f>IFERROR(__xludf.DUMMYFUNCTION("""COMPUTED_VALUE"""),"SI")</f>
        <v>SI</v>
      </c>
      <c r="U2196" s="213" t="str">
        <f>IFERROR(__xludf.DUMMYFUNCTION("""COMPUTED_VALUE"""),"SI")</f>
        <v>SI</v>
      </c>
      <c r="V2196" s="213" t="str">
        <f>IFERROR(__xludf.DUMMYFUNCTION("""COMPUTED_VALUE"""),"-")</f>
        <v>-</v>
      </c>
      <c r="W2196" s="213" t="str">
        <f>IFERROR(__xludf.DUMMYFUNCTION("""COMPUTED_VALUE"""),"-")</f>
        <v>-</v>
      </c>
      <c r="X2196" s="213" t="str">
        <f>IFERROR(__xludf.DUMMYFUNCTION("""COMPUTED_VALUE"""),"Siemens ")</f>
        <v>Siemens </v>
      </c>
      <c r="Y2196" s="213" t="str">
        <f>IFERROR(__xludf.DUMMYFUNCTION("""COMPUTED_VALUE"""),"6ED1052-1MD08-0BA2")</f>
        <v>6ED1052-1MD08-0BA2</v>
      </c>
      <c r="Z2196" s="215" t="str">
        <f>IFERROR(__xludf.DUMMYFUNCTION("""COMPUTED_VALUE"""),"https://mall.industry.siemens.com/mall/es/ms/Catalog/Product/6ED1052-1MD08-0BA2")</f>
        <v>https://mall.industry.siemens.com/mall/es/ms/Catalog/Product/6ED1052-1MD08-0BA2</v>
      </c>
      <c r="AA2196" s="213" t="str">
        <f>IFERROR(__xludf.DUMMYFUNCTION("""COMPUTED_VALUE"""),"ESP-326 RELÉ PROGRAMABLE - CET.xlsx")</f>
        <v>ESP-326 RELÉ PROGRAMABLE - CET.xlsx</v>
      </c>
      <c r="AB2196" s="215" t="str">
        <f>IFERROR(__xludf.DUMMYFUNCTION("""COMPUTED_VALUE"""),"https://drive.google.com/file/d/1F1YvDARfFEmJLigHWWO_ogpw-tjlYeh_/view?usp=drive_link ")</f>
        <v>https://drive.google.com/file/d/1F1YvDARfFEmJLigHWWO_ogpw-tjlYeh_/view?usp=drive_link </v>
      </c>
      <c r="AC2196" s="213"/>
      <c r="AD2196" s="213"/>
      <c r="AE2196" s="213"/>
      <c r="AF2196" s="213"/>
      <c r="AG2196" s="213"/>
      <c r="AH2196" s="213"/>
      <c r="AI2196" s="213"/>
      <c r="AJ2196" s="213"/>
      <c r="AK2196" s="213"/>
      <c r="AL2196" s="213"/>
      <c r="AM2196" s="213"/>
      <c r="AN2196" s="213"/>
      <c r="AO2196" s="213"/>
      <c r="AP2196" s="213" t="str">
        <f>IFERROR(__xludf.DUMMYFUNCTION("""COMPUTED_VALUE"""),"JORGE")</f>
        <v>JORGE</v>
      </c>
      <c r="AQ2196" s="213"/>
      <c r="AR2196" s="213"/>
      <c r="AS2196" s="213"/>
      <c r="AT2196" s="213"/>
      <c r="AU2196" s="213"/>
      <c r="AV2196" s="213"/>
      <c r="AW2196" s="213"/>
      <c r="AX2196" s="213"/>
      <c r="AY2196" s="213"/>
      <c r="AZ2196" s="213"/>
      <c r="BA2196" s="213"/>
      <c r="BB2196" s="213"/>
      <c r="BC2196" s="213"/>
      <c r="BD2196" s="213"/>
    </row>
    <row r="2197">
      <c r="A2197" s="213">
        <f>IFERROR(__xludf.DUMMYFUNCTION("""COMPUTED_VALUE"""),892.0)</f>
        <v>892</v>
      </c>
      <c r="B2197" s="213" t="str">
        <f>IFERROR(__xludf.DUMMYFUNCTION("""COMPUTED_VALUE"""),"6049 RICARDO PALMA")</f>
        <v>6049 RICARDO PALMA</v>
      </c>
      <c r="C2197" s="213" t="str">
        <f>IFERROR(__xludf.DUMMYFUNCTION("""COMPUTED_VALUE"""),"TALLER SFT DE ELECTRICIDAD")</f>
        <v>TALLER SFT DE ELECTRICIDAD</v>
      </c>
      <c r="D2197" s="213" t="str">
        <f>IFERROR(__xludf.DUMMYFUNCTION("""COMPUTED_VALUE"""),"EQUIPOS")</f>
        <v>EQUIPOS</v>
      </c>
      <c r="E2197" s="213" t="str">
        <f>IFERROR(__xludf.DUMMYFUNCTION("""COMPUTED_VALUE"""),"ESP-326")</f>
        <v>ESP-326</v>
      </c>
      <c r="F2197" s="213" t="str">
        <f>IFERROR(__xludf.DUMMYFUNCTION("""COMPUTED_VALUE"""),"ESP-326")</f>
        <v>ESP-326</v>
      </c>
      <c r="G2197" s="213"/>
      <c r="H2197" s="213" t="str">
        <f>IFERROR(__xludf.DUMMYFUNCTION("""COMPUTED_VALUE"""),"RELÉ PROGRAMABLE")</f>
        <v>RELÉ PROGRAMABLE</v>
      </c>
      <c r="I2197" s="213" t="str">
        <f>IFERROR(__xludf.DUMMYFUNCTION("""COMPUTED_VALUE"""),"· Características del Relé Programable:
- Con Programación mediante pulsadores
- Con Pantalla LCD
- Tensión de alimentación 12/24 Voltios
- De 8 entradas binarias, 4 entradas analógicas
- 4 salidas binarias.
- Carga inductiva a 3 A. max.
- Montaje "&amp;"sobre perfil normalizado de 35mm.")</f>
        <v>· Características del Relé Programable:
- Con Programación mediante pulsadores
- Con Pantalla LCD
- Tensión de alimentación 12/24 Voltios
- De 8 entradas binarias, 4 entradas analógicas
- 4 salidas binarias.
- Carga inductiva a 3 A. max.
- Montaje sobre perfil normalizado de 35mm.</v>
      </c>
      <c r="J2197" s="213">
        <f>IFERROR(__xludf.DUMMYFUNCTION("""COMPUTED_VALUE"""),3.0)</f>
        <v>3</v>
      </c>
      <c r="K2197" s="213" t="str">
        <f>IFERROR(__xludf.DUMMYFUNCTION("""COMPUTED_VALUE"""),"170 DÍAS CALENDARIO")</f>
        <v>170 DÍAS CALENDARIO</v>
      </c>
      <c r="L2197" s="213" t="str">
        <f>IFERROR(__xludf.DUMMYFUNCTION("""COMPUTED_VALUE"""),"")</f>
        <v/>
      </c>
      <c r="M2197" s="213">
        <f>IFERROR(__xludf.DUMMYFUNCTION("""COMPUTED_VALUE"""),1.0)</f>
        <v>1</v>
      </c>
      <c r="N2197" s="213">
        <f>IFERROR(__xludf.DUMMYFUNCTION("""COMPUTED_VALUE"""),4.0)</f>
        <v>4</v>
      </c>
      <c r="O2197" s="213">
        <f>IFERROR(__xludf.DUMMYFUNCTION("""COMPUTED_VALUE"""),4.0)</f>
        <v>4</v>
      </c>
      <c r="P2197" s="213"/>
      <c r="Q2197" s="213"/>
      <c r="R2197" s="213"/>
      <c r="S2197" s="213" t="str">
        <f>IFERROR(__xludf.DUMMYFUNCTION("""COMPUTED_VALUE"""),"SI")</f>
        <v>SI</v>
      </c>
      <c r="T2197" s="213" t="str">
        <f>IFERROR(__xludf.DUMMYFUNCTION("""COMPUTED_VALUE"""),"SI")</f>
        <v>SI</v>
      </c>
      <c r="U2197" s="213" t="str">
        <f>IFERROR(__xludf.DUMMYFUNCTION("""COMPUTED_VALUE"""),"SI")</f>
        <v>SI</v>
      </c>
      <c r="V2197" s="213" t="str">
        <f>IFERROR(__xludf.DUMMYFUNCTION("""COMPUTED_VALUE"""),"-")</f>
        <v>-</v>
      </c>
      <c r="W2197" s="213" t="str">
        <f>IFERROR(__xludf.DUMMYFUNCTION("""COMPUTED_VALUE"""),"-")</f>
        <v>-</v>
      </c>
      <c r="X2197" s="213" t="str">
        <f>IFERROR(__xludf.DUMMYFUNCTION("""COMPUTED_VALUE"""),"Siemens ")</f>
        <v>Siemens </v>
      </c>
      <c r="Y2197" s="213" t="str">
        <f>IFERROR(__xludf.DUMMYFUNCTION("""COMPUTED_VALUE"""),"6ED1052-1MD08-0BA2")</f>
        <v>6ED1052-1MD08-0BA2</v>
      </c>
      <c r="Z2197" s="215" t="str">
        <f>IFERROR(__xludf.DUMMYFUNCTION("""COMPUTED_VALUE"""),"https://mall.industry.siemens.com/mall/es/ms/Catalog/Product/6ED1052-1MD08-0BA2")</f>
        <v>https://mall.industry.siemens.com/mall/es/ms/Catalog/Product/6ED1052-1MD08-0BA2</v>
      </c>
      <c r="AA2197" s="213" t="str">
        <f>IFERROR(__xludf.DUMMYFUNCTION("""COMPUTED_VALUE"""),"ESP-326 RELÉ PROGRAMABLE - CET.xlsx")</f>
        <v>ESP-326 RELÉ PROGRAMABLE - CET.xlsx</v>
      </c>
      <c r="AB2197" s="215" t="str">
        <f>IFERROR(__xludf.DUMMYFUNCTION("""COMPUTED_VALUE"""),"https://drive.google.com/file/d/1F1YvDARfFEmJLigHWWO_ogpw-tjlYeh_/view?usp=drive_link ")</f>
        <v>https://drive.google.com/file/d/1F1YvDARfFEmJLigHWWO_ogpw-tjlYeh_/view?usp=drive_link </v>
      </c>
      <c r="AC2197" s="213"/>
      <c r="AD2197" s="213"/>
      <c r="AE2197" s="213"/>
      <c r="AF2197" s="213"/>
      <c r="AG2197" s="213"/>
      <c r="AH2197" s="213"/>
      <c r="AI2197" s="213"/>
      <c r="AJ2197" s="213"/>
      <c r="AK2197" s="213"/>
      <c r="AL2197" s="213"/>
      <c r="AM2197" s="213"/>
      <c r="AN2197" s="213"/>
      <c r="AO2197" s="213"/>
      <c r="AP2197" s="213" t="str">
        <f>IFERROR(__xludf.DUMMYFUNCTION("""COMPUTED_VALUE"""),"JORGE")</f>
        <v>JORGE</v>
      </c>
      <c r="AQ2197" s="213"/>
      <c r="AR2197" s="213"/>
      <c r="AS2197" s="213"/>
      <c r="AT2197" s="213"/>
      <c r="AU2197" s="213"/>
      <c r="AV2197" s="213"/>
      <c r="AW2197" s="213"/>
      <c r="AX2197" s="213"/>
      <c r="AY2197" s="213"/>
      <c r="AZ2197" s="213"/>
      <c r="BA2197" s="213"/>
      <c r="BB2197" s="213"/>
      <c r="BC2197" s="213"/>
      <c r="BD2197" s="213"/>
    </row>
    <row r="2198">
      <c r="A2198" s="213">
        <f>IFERROR(__xludf.DUMMYFUNCTION("""COMPUTED_VALUE"""),1314.0)</f>
        <v>1314</v>
      </c>
      <c r="B2198" s="213" t="str">
        <f>IFERROR(__xludf.DUMMYFUNCTION("""COMPUTED_VALUE"""),"GUILLERMO E. BILLINGHURST ")</f>
        <v>GUILLERMO E. BILLINGHURST </v>
      </c>
      <c r="C2198" s="213" t="str">
        <f>IFERROR(__xludf.DUMMYFUNCTION("""COMPUTED_VALUE"""),"TALLER SFT DE ELECTRICIDAD")</f>
        <v>TALLER SFT DE ELECTRICIDAD</v>
      </c>
      <c r="D2198" s="213" t="str">
        <f>IFERROR(__xludf.DUMMYFUNCTION("""COMPUTED_VALUE"""),"EQUIPOS")</f>
        <v>EQUIPOS</v>
      </c>
      <c r="E2198" s="213" t="str">
        <f>IFERROR(__xludf.DUMMYFUNCTION("""COMPUTED_VALUE"""),"ESP-326")</f>
        <v>ESP-326</v>
      </c>
      <c r="F2198" s="213" t="str">
        <f>IFERROR(__xludf.DUMMYFUNCTION("""COMPUTED_VALUE"""),"ESP-326")</f>
        <v>ESP-326</v>
      </c>
      <c r="G2198" s="213"/>
      <c r="H2198" s="213" t="str">
        <f>IFERROR(__xludf.DUMMYFUNCTION("""COMPUTED_VALUE"""),"RELÉ PROGRAMABLE")</f>
        <v>RELÉ PROGRAMABLE</v>
      </c>
      <c r="I2198" s="213" t="str">
        <f>IFERROR(__xludf.DUMMYFUNCTION("""COMPUTED_VALUE"""),"· Características del Relé Programable:
- Con Programación mediante pulsadores
- Con Pantalla LCD
- Tensión de alimentación 12/24 Voltios
- De 8 entradas binarias, 4 entradas analógicas
- 4 salidas binarias.
- Carga inductiva a 3 A. max.
- Montaje "&amp;"sobre perfil normalizado de 35mm.")</f>
        <v>· Características del Relé Programable:
- Con Programación mediante pulsadores
- Con Pantalla LCD
- Tensión de alimentación 12/24 Voltios
- De 8 entradas binarias, 4 entradas analógicas
- 4 salidas binarias.
- Carga inductiva a 3 A. max.
- Montaje sobre perfil normalizado de 35mm.</v>
      </c>
      <c r="J2198" s="213">
        <f>IFERROR(__xludf.DUMMYFUNCTION("""COMPUTED_VALUE"""),3.0)</f>
        <v>3</v>
      </c>
      <c r="K2198" s="213" t="str">
        <f>IFERROR(__xludf.DUMMYFUNCTION("""COMPUTED_VALUE"""),"170 DÍAS CALENDARIO")</f>
        <v>170 DÍAS CALENDARIO</v>
      </c>
      <c r="L2198" s="213" t="str">
        <f>IFERROR(__xludf.DUMMYFUNCTION("""COMPUTED_VALUE"""),"")</f>
        <v/>
      </c>
      <c r="M2198" s="213">
        <f>IFERROR(__xludf.DUMMYFUNCTION("""COMPUTED_VALUE"""),1.0)</f>
        <v>1</v>
      </c>
      <c r="N2198" s="213">
        <f>IFERROR(__xludf.DUMMYFUNCTION("""COMPUTED_VALUE"""),4.0)</f>
        <v>4</v>
      </c>
      <c r="O2198" s="213">
        <f>IFERROR(__xludf.DUMMYFUNCTION("""COMPUTED_VALUE"""),4.0)</f>
        <v>4</v>
      </c>
      <c r="P2198" s="213"/>
      <c r="Q2198" s="213"/>
      <c r="R2198" s="213"/>
      <c r="S2198" s="213" t="str">
        <f>IFERROR(__xludf.DUMMYFUNCTION("""COMPUTED_VALUE"""),"SI")</f>
        <v>SI</v>
      </c>
      <c r="T2198" s="213" t="str">
        <f>IFERROR(__xludf.DUMMYFUNCTION("""COMPUTED_VALUE"""),"SI")</f>
        <v>SI</v>
      </c>
      <c r="U2198" s="213" t="str">
        <f>IFERROR(__xludf.DUMMYFUNCTION("""COMPUTED_VALUE"""),"SI")</f>
        <v>SI</v>
      </c>
      <c r="V2198" s="213" t="str">
        <f>IFERROR(__xludf.DUMMYFUNCTION("""COMPUTED_VALUE"""),"-")</f>
        <v>-</v>
      </c>
      <c r="W2198" s="213" t="str">
        <f>IFERROR(__xludf.DUMMYFUNCTION("""COMPUTED_VALUE"""),"-")</f>
        <v>-</v>
      </c>
      <c r="X2198" s="213" t="str">
        <f>IFERROR(__xludf.DUMMYFUNCTION("""COMPUTED_VALUE"""),"Siemens ")</f>
        <v>Siemens </v>
      </c>
      <c r="Y2198" s="213" t="str">
        <f>IFERROR(__xludf.DUMMYFUNCTION("""COMPUTED_VALUE"""),"6ED1052-1MD08-0BA2")</f>
        <v>6ED1052-1MD08-0BA2</v>
      </c>
      <c r="Z2198" s="215" t="str">
        <f>IFERROR(__xludf.DUMMYFUNCTION("""COMPUTED_VALUE"""),"https://mall.industry.siemens.com/mall/es/ms/Catalog/Product/6ED1052-1MD08-0BA2")</f>
        <v>https://mall.industry.siemens.com/mall/es/ms/Catalog/Product/6ED1052-1MD08-0BA2</v>
      </c>
      <c r="AA2198" s="213" t="str">
        <f>IFERROR(__xludf.DUMMYFUNCTION("""COMPUTED_VALUE"""),"ESP-326 RELÉ PROGRAMABLE - CET.xlsx")</f>
        <v>ESP-326 RELÉ PROGRAMABLE - CET.xlsx</v>
      </c>
      <c r="AB2198" s="215" t="str">
        <f>IFERROR(__xludf.DUMMYFUNCTION("""COMPUTED_VALUE"""),"https://drive.google.com/file/d/1F1YvDARfFEmJLigHWWO_ogpw-tjlYeh_/view?usp=drive_link ")</f>
        <v>https://drive.google.com/file/d/1F1YvDARfFEmJLigHWWO_ogpw-tjlYeh_/view?usp=drive_link </v>
      </c>
      <c r="AC2198" s="213"/>
      <c r="AD2198" s="213"/>
      <c r="AE2198" s="213"/>
      <c r="AF2198" s="213"/>
      <c r="AG2198" s="213"/>
      <c r="AH2198" s="213"/>
      <c r="AI2198" s="213"/>
      <c r="AJ2198" s="213"/>
      <c r="AK2198" s="213"/>
      <c r="AL2198" s="213"/>
      <c r="AM2198" s="213"/>
      <c r="AN2198" s="213"/>
      <c r="AO2198" s="213"/>
      <c r="AP2198" s="213" t="str">
        <f>IFERROR(__xludf.DUMMYFUNCTION("""COMPUTED_VALUE"""),"JORGE")</f>
        <v>JORGE</v>
      </c>
      <c r="AQ2198" s="213"/>
      <c r="AR2198" s="213"/>
      <c r="AS2198" s="213"/>
      <c r="AT2198" s="213"/>
      <c r="AU2198" s="213"/>
      <c r="AV2198" s="213"/>
      <c r="AW2198" s="213"/>
      <c r="AX2198" s="213"/>
      <c r="AY2198" s="213"/>
      <c r="AZ2198" s="213"/>
      <c r="BA2198" s="213"/>
      <c r="BB2198" s="213"/>
      <c r="BC2198" s="213"/>
      <c r="BD2198" s="213"/>
    </row>
    <row r="2199">
      <c r="A2199" s="213">
        <f>IFERROR(__xludf.DUMMYFUNCTION("""COMPUTED_VALUE"""),930.0)</f>
        <v>930</v>
      </c>
      <c r="B2199" s="213" t="str">
        <f>IFERROR(__xludf.DUMMYFUNCTION("""COMPUTED_VALUE"""),"FRANCISCO IRAZOLA")</f>
        <v>FRANCISCO IRAZOLA</v>
      </c>
      <c r="C2199" s="213" t="str">
        <f>IFERROR(__xludf.DUMMYFUNCTION("""COMPUTED_VALUE"""),"TALLER SFT DE MECÁNICA AUTOMOTRIZ")</f>
        <v>TALLER SFT DE MECÁNICA AUTOMOTRIZ</v>
      </c>
      <c r="D2199" s="213" t="str">
        <f>IFERROR(__xludf.DUMMYFUNCTION("""COMPUTED_VALUE"""),"HERRAMIENTAS")</f>
        <v>HERRAMIENTAS</v>
      </c>
      <c r="E2199" s="213" t="str">
        <f>IFERROR(__xludf.DUMMYFUNCTION("""COMPUTED_VALUE"""),"MAT-237")</f>
        <v>MAT-237</v>
      </c>
      <c r="F2199" s="213" t="str">
        <f>IFERROR(__xludf.DUMMYFUNCTION("""COMPUTED_VALUE"""),"MAT-237")</f>
        <v>MAT-237</v>
      </c>
      <c r="G2199" s="213"/>
      <c r="H2199" s="213" t="str">
        <f>IFERROR(__xludf.DUMMYFUNCTION("""COMPUTED_VALUE"""),"MANGA PARA SOLDAR")</f>
        <v>MANGA PARA SOLDAR</v>
      </c>
      <c r="I2199" s="213" t="str">
        <f>IFERROR(__xludf.DUMMYFUNCTION("""COMPUTED_VALUE"""),"Brinda efectiva protección de brazos y hombros del cuerpo Cumplen la normativa EN 11611
Fabricado de carnaza de cuero al cromo. Costuras reforzadas.
Espesor minimo de 1.8 mm Cintas de polipropileno.
Talla: Unitalla")</f>
        <v>Brinda efectiva protección de brazos y hombros del cuerpo Cumplen la normativa EN 11611
Fabricado de carnaza de cuero al cromo. Costuras reforzadas.
Espesor minimo de 1.8 mm Cintas de polipropileno.
Talla: Unitalla</v>
      </c>
      <c r="J2199" s="213">
        <f>IFERROR(__xludf.DUMMYFUNCTION("""COMPUTED_VALUE"""),3.0)</f>
        <v>3</v>
      </c>
      <c r="K2199" s="213" t="str">
        <f>IFERROR(__xludf.DUMMYFUNCTION("""COMPUTED_VALUE"""),"90 DÍAS CALENDARIO")</f>
        <v>90 DÍAS CALENDARIO</v>
      </c>
      <c r="L2199" s="213" t="str">
        <f>IFERROR(__xludf.DUMMYFUNCTION("""COMPUTED_VALUE"""),"")</f>
        <v/>
      </c>
      <c r="M2199" s="213">
        <f>IFERROR(__xludf.DUMMYFUNCTION("""COMPUTED_VALUE"""),1.0)</f>
        <v>1</v>
      </c>
      <c r="N2199" s="213">
        <f>IFERROR(__xludf.DUMMYFUNCTION("""COMPUTED_VALUE"""),21.0)</f>
        <v>21</v>
      </c>
      <c r="O2199" s="213">
        <f>IFERROR(__xludf.DUMMYFUNCTION("""COMPUTED_VALUE"""),21.0)</f>
        <v>21</v>
      </c>
      <c r="P2199" s="213"/>
      <c r="Q2199" s="213"/>
      <c r="R2199" s="213"/>
      <c r="S2199" s="213"/>
      <c r="T2199" s="213" t="str">
        <f>IFERROR(__xludf.DUMMYFUNCTION("""COMPUTED_VALUE"""),"CONSULTA FINAL")</f>
        <v>CONSULTA FINAL</v>
      </c>
      <c r="U2199" s="213" t="str">
        <f>IFERROR(__xludf.DUMMYFUNCTION("""COMPUTED_VALUE"""),"NO")</f>
        <v>NO</v>
      </c>
      <c r="V2199" s="213" t="str">
        <f>IFERROR(__xludf.DUMMYFUNCTION("""COMPUTED_VALUE"""),"SUSTENTO")</f>
        <v>SUSTENTO</v>
      </c>
      <c r="W2199" s="213" t="str">
        <f>IFERROR(__xludf.DUMMYFUNCTION("""COMPUTED_VALUE"""),"NORMATIVA")</f>
        <v>NORMATIVA</v>
      </c>
      <c r="X2199" s="213" t="str">
        <f>IFERROR(__xludf.DUMMYFUNCTION("""COMPUTED_VALUE"""),"Werken")</f>
        <v>Werken</v>
      </c>
      <c r="Y2199" s="213">
        <f>IFERROR(__xludf.DUMMYFUNCTION("""COMPUTED_VALUE"""),84818.0)</f>
        <v>84818</v>
      </c>
      <c r="Z2199" s="215" t="str">
        <f>IFERROR(__xludf.DUMMYFUNCTION("""COMPUTED_VALUE"""),"https://www.promart.pe/mangas-para-soldador/p?srsltid=AfmBOor_-6Y1MGVnTHcdKUpGcUwzAVcASqztDw-5VPnPpS1WtgjBwVWY&amp;utm_source=chatgpt.com")</f>
        <v>https://www.promart.pe/mangas-para-soldador/p?srsltid=AfmBOor_-6Y1MGVnTHcdKUpGcUwzAVcASqztDw-5VPnPpS1WtgjBwVWY&amp;utm_source=chatgpt.com</v>
      </c>
      <c r="AA2199" s="215" t="str">
        <f>IFERROR(__xludf.DUMMYFUNCTION("""COMPUTED_VALUE"""),"https://docs.google.com/spreadsheets/d/1vZ6fyrXxKeoLSAimaLAUVqDwVg8sEAtpYoDBrYht9Nk/edit?gid=0#gid=0")</f>
        <v>https://docs.google.com/spreadsheets/d/1vZ6fyrXxKeoLSAimaLAUVqDwVg8sEAtpYoDBrYht9Nk/edit?gid=0#gid=0</v>
      </c>
      <c r="AB2199" s="213"/>
      <c r="AC2199" s="213"/>
      <c r="AD2199" s="213"/>
      <c r="AE2199" s="213"/>
      <c r="AF2199" s="213"/>
      <c r="AG2199" s="213"/>
      <c r="AH2199" s="213"/>
      <c r="AI2199" s="213"/>
      <c r="AJ2199" s="213"/>
      <c r="AK2199" s="213"/>
      <c r="AL2199" s="213"/>
      <c r="AM2199" s="213"/>
      <c r="AN2199" s="213"/>
      <c r="AO2199" s="213"/>
      <c r="AP2199" s="213" t="str">
        <f>IFERROR(__xludf.DUMMYFUNCTION("""COMPUTED_VALUE"""),"SEBASTIAN")</f>
        <v>SEBASTIAN</v>
      </c>
      <c r="AQ2199" s="213"/>
      <c r="AR2199" s="213"/>
      <c r="AS2199" s="213" t="str">
        <f>IFERROR(__xludf.DUMMYFUNCTION("""COMPUTED_VALUE"""),"No cuenta con cintas de polipropileno ni se especifica el cumplimiento de la normativa EN-11611")</f>
        <v>No cuenta con cintas de polipropileno ni se especifica el cumplimiento de la normativa EN-11611</v>
      </c>
      <c r="AT2199" s="213"/>
      <c r="AU2199" s="213"/>
      <c r="AV2199" s="213"/>
      <c r="AW2199" s="213"/>
      <c r="AX2199" s="213"/>
      <c r="AY2199" s="213"/>
      <c r="AZ2199" s="213"/>
      <c r="BA2199" s="213"/>
      <c r="BB2199" s="213"/>
      <c r="BC2199" s="213"/>
      <c r="BD2199" s="213"/>
    </row>
    <row r="2200">
      <c r="A2200" s="213">
        <f>IFERROR(__xludf.DUMMYFUNCTION("""COMPUTED_VALUE"""),1531.0)</f>
        <v>1531</v>
      </c>
      <c r="B2200" s="213" t="str">
        <f>IFERROR(__xludf.DUMMYFUNCTION("""COMPUTED_VALUE"""),"GUILLERMO E. BILLINGHURST ")</f>
        <v>GUILLERMO E. BILLINGHURST </v>
      </c>
      <c r="C2200" s="213" t="str">
        <f>IFERROR(__xludf.DUMMYFUNCTION("""COMPUTED_VALUE"""),"TALLER SFT DE MECÁNICA AUTOMOTRIZ")</f>
        <v>TALLER SFT DE MECÁNICA AUTOMOTRIZ</v>
      </c>
      <c r="D2200" s="213" t="str">
        <f>IFERROR(__xludf.DUMMYFUNCTION("""COMPUTED_VALUE"""),"HERRAMIENTAS")</f>
        <v>HERRAMIENTAS</v>
      </c>
      <c r="E2200" s="213" t="str">
        <f>IFERROR(__xludf.DUMMYFUNCTION("""COMPUTED_VALUE"""),"MAT-237")</f>
        <v>MAT-237</v>
      </c>
      <c r="F2200" s="213" t="str">
        <f>IFERROR(__xludf.DUMMYFUNCTION("""COMPUTED_VALUE"""),"MAT-237")</f>
        <v>MAT-237</v>
      </c>
      <c r="G2200" s="213"/>
      <c r="H2200" s="213" t="str">
        <f>IFERROR(__xludf.DUMMYFUNCTION("""COMPUTED_VALUE"""),"MANGA PARA SOLDAR")</f>
        <v>MANGA PARA SOLDAR</v>
      </c>
      <c r="I2200" s="213" t="str">
        <f>IFERROR(__xludf.DUMMYFUNCTION("""COMPUTED_VALUE"""),"Brinda efectiva protección de brazos y hombros del cuerpo Cumplen la normativa EN 11611
Fabricado de carnaza de cuero al cromo. Costuras reforzadas.
Espesor minimo de 1.8 mm Cintas de polipropileno.
Talla: Unitalla")</f>
        <v>Brinda efectiva protección de brazos y hombros del cuerpo Cumplen la normativa EN 11611
Fabricado de carnaza de cuero al cromo. Costuras reforzadas.
Espesor minimo de 1.8 mm Cintas de polipropileno.
Talla: Unitalla</v>
      </c>
      <c r="J2200" s="213">
        <f>IFERROR(__xludf.DUMMYFUNCTION("""COMPUTED_VALUE"""),3.0)</f>
        <v>3</v>
      </c>
      <c r="K2200" s="213" t="str">
        <f>IFERROR(__xludf.DUMMYFUNCTION("""COMPUTED_VALUE"""),"90 DÍAS CALENDARIO")</f>
        <v>90 DÍAS CALENDARIO</v>
      </c>
      <c r="L2200" s="213" t="str">
        <f>IFERROR(__xludf.DUMMYFUNCTION("""COMPUTED_VALUE"""),"")</f>
        <v/>
      </c>
      <c r="M2200" s="213">
        <f>IFERROR(__xludf.DUMMYFUNCTION("""COMPUTED_VALUE"""),1.0)</f>
        <v>1</v>
      </c>
      <c r="N2200" s="213">
        <f>IFERROR(__xludf.DUMMYFUNCTION("""COMPUTED_VALUE"""),21.0)</f>
        <v>21</v>
      </c>
      <c r="O2200" s="213">
        <f>IFERROR(__xludf.DUMMYFUNCTION("""COMPUTED_VALUE"""),21.0)</f>
        <v>21</v>
      </c>
      <c r="P2200" s="213"/>
      <c r="Q2200" s="213"/>
      <c r="R2200" s="213"/>
      <c r="S2200" s="213"/>
      <c r="T2200" s="213" t="str">
        <f>IFERROR(__xludf.DUMMYFUNCTION("""COMPUTED_VALUE"""),"CONSULTA FINAL")</f>
        <v>CONSULTA FINAL</v>
      </c>
      <c r="U2200" s="213" t="str">
        <f>IFERROR(__xludf.DUMMYFUNCTION("""COMPUTED_VALUE"""),"NO")</f>
        <v>NO</v>
      </c>
      <c r="V2200" s="213" t="str">
        <f>IFERROR(__xludf.DUMMYFUNCTION("""COMPUTED_VALUE"""),"SUSTENTO")</f>
        <v>SUSTENTO</v>
      </c>
      <c r="W2200" s="213" t="str">
        <f>IFERROR(__xludf.DUMMYFUNCTION("""COMPUTED_VALUE"""),"NORMATIVA")</f>
        <v>NORMATIVA</v>
      </c>
      <c r="X2200" s="213" t="str">
        <f>IFERROR(__xludf.DUMMYFUNCTION("""COMPUTED_VALUE"""),"Werken")</f>
        <v>Werken</v>
      </c>
      <c r="Y2200" s="213">
        <f>IFERROR(__xludf.DUMMYFUNCTION("""COMPUTED_VALUE"""),84818.0)</f>
        <v>84818</v>
      </c>
      <c r="Z2200" s="215" t="str">
        <f>IFERROR(__xludf.DUMMYFUNCTION("""COMPUTED_VALUE"""),"https://www.promart.pe/mangas-para-soldador/p?srsltid=AfmBOor_-6Y1MGVnTHcdKUpGcUwzAVcASqztDw-5VPnPpS1WtgjBwVWY&amp;utm_source=chatgpt.com")</f>
        <v>https://www.promart.pe/mangas-para-soldador/p?srsltid=AfmBOor_-6Y1MGVnTHcdKUpGcUwzAVcASqztDw-5VPnPpS1WtgjBwVWY&amp;utm_source=chatgpt.com</v>
      </c>
      <c r="AA2200" s="215" t="str">
        <f>IFERROR(__xludf.DUMMYFUNCTION("""COMPUTED_VALUE"""),"https://docs.google.com/spreadsheets/d/1vZ6fyrXxKeoLSAimaLAUVqDwVg8sEAtpYoDBrYht9Nk/edit?gid=0#gid=0")</f>
        <v>https://docs.google.com/spreadsheets/d/1vZ6fyrXxKeoLSAimaLAUVqDwVg8sEAtpYoDBrYht9Nk/edit?gid=0#gid=0</v>
      </c>
      <c r="AB2200" s="213"/>
      <c r="AC2200" s="213"/>
      <c r="AD2200" s="213"/>
      <c r="AE2200" s="213"/>
      <c r="AF2200" s="213"/>
      <c r="AG2200" s="213"/>
      <c r="AH2200" s="213"/>
      <c r="AI2200" s="213"/>
      <c r="AJ2200" s="213"/>
      <c r="AK2200" s="213"/>
      <c r="AL2200" s="213"/>
      <c r="AM2200" s="213"/>
      <c r="AN2200" s="213"/>
      <c r="AO2200" s="213"/>
      <c r="AP2200" s="213" t="str">
        <f>IFERROR(__xludf.DUMMYFUNCTION("""COMPUTED_VALUE"""),"SEBASTIAN")</f>
        <v>SEBASTIAN</v>
      </c>
      <c r="AQ2200" s="213"/>
      <c r="AR2200" s="213"/>
      <c r="AS2200" s="213" t="str">
        <f>IFERROR(__xludf.DUMMYFUNCTION("""COMPUTED_VALUE"""),"No cuenta con cintas de polipropileno ni se especifica el cumplimiento de la normativa EN-11611")</f>
        <v>No cuenta con cintas de polipropileno ni se especifica el cumplimiento de la normativa EN-11611</v>
      </c>
      <c r="AT2200" s="213"/>
      <c r="AU2200" s="213"/>
      <c r="AV2200" s="213"/>
      <c r="AW2200" s="213"/>
      <c r="AX2200" s="213"/>
      <c r="AY2200" s="213"/>
      <c r="AZ2200" s="213"/>
      <c r="BA2200" s="213"/>
      <c r="BB2200" s="213"/>
      <c r="BC2200" s="213"/>
      <c r="BD2200" s="213"/>
    </row>
    <row r="2201">
      <c r="A2201" s="213">
        <f>IFERROR(__xludf.DUMMYFUNCTION("""COMPUTED_VALUE"""),2223.0)</f>
        <v>2223</v>
      </c>
      <c r="B2201" s="213" t="str">
        <f>IFERROR(__xludf.DUMMYFUNCTION("""COMPUTED_VALUE"""),"JOSE GRANDA")</f>
        <v>JOSE GRANDA</v>
      </c>
      <c r="C2201" s="213" t="str">
        <f>IFERROR(__xludf.DUMMYFUNCTION("""COMPUTED_VALUE"""),"TALLER SFT DE MECÁNICA AUTOMOTRIZ")</f>
        <v>TALLER SFT DE MECÁNICA AUTOMOTRIZ</v>
      </c>
      <c r="D2201" s="213" t="str">
        <f>IFERROR(__xludf.DUMMYFUNCTION("""COMPUTED_VALUE"""),"HERRAMIENTAS")</f>
        <v>HERRAMIENTAS</v>
      </c>
      <c r="E2201" s="213" t="str">
        <f>IFERROR(__xludf.DUMMYFUNCTION("""COMPUTED_VALUE"""),"MAT-237")</f>
        <v>MAT-237</v>
      </c>
      <c r="F2201" s="213" t="str">
        <f>IFERROR(__xludf.DUMMYFUNCTION("""COMPUTED_VALUE"""),"MAT-237")</f>
        <v>MAT-237</v>
      </c>
      <c r="G2201" s="213"/>
      <c r="H2201" s="213" t="str">
        <f>IFERROR(__xludf.DUMMYFUNCTION("""COMPUTED_VALUE"""),"MANGA PARA SOLDAR")</f>
        <v>MANGA PARA SOLDAR</v>
      </c>
      <c r="I2201" s="213" t="str">
        <f>IFERROR(__xludf.DUMMYFUNCTION("""COMPUTED_VALUE"""),"Brinda efectiva protección de brazos y hombros del cuerpo Cumplen la normativa EN 11611
Fabricado de carnaza de cuero al cromo. Costuras reforzadas.
Espesor minimo de 1.8 mm Cintas de polipropileno.
Talla: Unitalla")</f>
        <v>Brinda efectiva protección de brazos y hombros del cuerpo Cumplen la normativa EN 11611
Fabricado de carnaza de cuero al cromo. Costuras reforzadas.
Espesor minimo de 1.8 mm Cintas de polipropileno.
Talla: Unitalla</v>
      </c>
      <c r="J2201" s="213">
        <f>IFERROR(__xludf.DUMMYFUNCTION("""COMPUTED_VALUE"""),3.0)</f>
        <v>3</v>
      </c>
      <c r="K2201" s="213" t="str">
        <f>IFERROR(__xludf.DUMMYFUNCTION("""COMPUTED_VALUE"""),"90 DÍAS CALENDARIO")</f>
        <v>90 DÍAS CALENDARIO</v>
      </c>
      <c r="L2201" s="213" t="str">
        <f>IFERROR(__xludf.DUMMYFUNCTION("""COMPUTED_VALUE"""),"")</f>
        <v/>
      </c>
      <c r="M2201" s="213">
        <f>IFERROR(__xludf.DUMMYFUNCTION("""COMPUTED_VALUE"""),1.0)</f>
        <v>1</v>
      </c>
      <c r="N2201" s="213">
        <f>IFERROR(__xludf.DUMMYFUNCTION("""COMPUTED_VALUE"""),21.0)</f>
        <v>21</v>
      </c>
      <c r="O2201" s="213">
        <f>IFERROR(__xludf.DUMMYFUNCTION("""COMPUTED_VALUE"""),21.0)</f>
        <v>21</v>
      </c>
      <c r="P2201" s="213"/>
      <c r="Q2201" s="213"/>
      <c r="R2201" s="213"/>
      <c r="S2201" s="213"/>
      <c r="T2201" s="213" t="str">
        <f>IFERROR(__xludf.DUMMYFUNCTION("""COMPUTED_VALUE"""),"CONSULTA FINAL")</f>
        <v>CONSULTA FINAL</v>
      </c>
      <c r="U2201" s="213" t="str">
        <f>IFERROR(__xludf.DUMMYFUNCTION("""COMPUTED_VALUE"""),"NO")</f>
        <v>NO</v>
      </c>
      <c r="V2201" s="213" t="str">
        <f>IFERROR(__xludf.DUMMYFUNCTION("""COMPUTED_VALUE"""),"SUSTENTO")</f>
        <v>SUSTENTO</v>
      </c>
      <c r="W2201" s="213" t="str">
        <f>IFERROR(__xludf.DUMMYFUNCTION("""COMPUTED_VALUE"""),"NORMATIVA")</f>
        <v>NORMATIVA</v>
      </c>
      <c r="X2201" s="213" t="str">
        <f>IFERROR(__xludf.DUMMYFUNCTION("""COMPUTED_VALUE"""),"Werken")</f>
        <v>Werken</v>
      </c>
      <c r="Y2201" s="213">
        <f>IFERROR(__xludf.DUMMYFUNCTION("""COMPUTED_VALUE"""),84818.0)</f>
        <v>84818</v>
      </c>
      <c r="Z2201" s="215" t="str">
        <f>IFERROR(__xludf.DUMMYFUNCTION("""COMPUTED_VALUE"""),"https://www.promart.pe/mangas-para-soldador/p?srsltid=AfmBOor_-6Y1MGVnTHcdKUpGcUwzAVcASqztDw-5VPnPpS1WtgjBwVWY&amp;utm_source=chatgpt.com")</f>
        <v>https://www.promart.pe/mangas-para-soldador/p?srsltid=AfmBOor_-6Y1MGVnTHcdKUpGcUwzAVcASqztDw-5VPnPpS1WtgjBwVWY&amp;utm_source=chatgpt.com</v>
      </c>
      <c r="AA2201" s="215" t="str">
        <f>IFERROR(__xludf.DUMMYFUNCTION("""COMPUTED_VALUE"""),"https://docs.google.com/spreadsheets/d/1vZ6fyrXxKeoLSAimaLAUVqDwVg8sEAtpYoDBrYht9Nk/edit?gid=0#gid=0")</f>
        <v>https://docs.google.com/spreadsheets/d/1vZ6fyrXxKeoLSAimaLAUVqDwVg8sEAtpYoDBrYht9Nk/edit?gid=0#gid=0</v>
      </c>
      <c r="AB2201" s="213"/>
      <c r="AC2201" s="213"/>
      <c r="AD2201" s="213"/>
      <c r="AE2201" s="213"/>
      <c r="AF2201" s="213"/>
      <c r="AG2201" s="213"/>
      <c r="AH2201" s="213"/>
      <c r="AI2201" s="213"/>
      <c r="AJ2201" s="213"/>
      <c r="AK2201" s="213"/>
      <c r="AL2201" s="213"/>
      <c r="AM2201" s="213"/>
      <c r="AN2201" s="213"/>
      <c r="AO2201" s="213"/>
      <c r="AP2201" s="213" t="str">
        <f>IFERROR(__xludf.DUMMYFUNCTION("""COMPUTED_VALUE"""),"SEBASTIAN")</f>
        <v>SEBASTIAN</v>
      </c>
      <c r="AQ2201" s="213"/>
      <c r="AR2201" s="213"/>
      <c r="AS2201" s="213" t="str">
        <f>IFERROR(__xludf.DUMMYFUNCTION("""COMPUTED_VALUE"""),"No cuenta con cintas de polipropileno ni se especifica el cumplimiento de la normativa EN-11611")</f>
        <v>No cuenta con cintas de polipropileno ni se especifica el cumplimiento de la normativa EN-11611</v>
      </c>
      <c r="AT2201" s="213"/>
      <c r="AU2201" s="213"/>
      <c r="AV2201" s="213"/>
      <c r="AW2201" s="213"/>
      <c r="AX2201" s="213"/>
      <c r="AY2201" s="213"/>
      <c r="AZ2201" s="213"/>
      <c r="BA2201" s="213"/>
      <c r="BB2201" s="213"/>
      <c r="BC2201" s="213"/>
      <c r="BD2201" s="213"/>
    </row>
    <row r="2202">
      <c r="A2202" s="213">
        <f>IFERROR(__xludf.DUMMYFUNCTION("""COMPUTED_VALUE"""),927.0)</f>
        <v>927</v>
      </c>
      <c r="B2202" s="213" t="str">
        <f>IFERROR(__xludf.DUMMYFUNCTION("""COMPUTED_VALUE"""),"FRANCISCO IRAZOLA")</f>
        <v>FRANCISCO IRAZOLA</v>
      </c>
      <c r="C2202" s="213" t="str">
        <f>IFERROR(__xludf.DUMMYFUNCTION("""COMPUTED_VALUE"""),"TALLER SFT DE MECÁNICA AUTOMOTRIZ")</f>
        <v>TALLER SFT DE MECÁNICA AUTOMOTRIZ</v>
      </c>
      <c r="D2202" s="213" t="str">
        <f>IFERROR(__xludf.DUMMYFUNCTION("""COMPUTED_VALUE"""),"HERRAMIENTAS")</f>
        <v>HERRAMIENTAS</v>
      </c>
      <c r="E2202" s="213" t="str">
        <f>IFERROR(__xludf.DUMMYFUNCTION("""COMPUTED_VALUE"""),"MAT-385")</f>
        <v>MAT-385</v>
      </c>
      <c r="F2202" s="213" t="str">
        <f>IFERROR(__xludf.DUMMYFUNCTION("""COMPUTED_VALUE"""),"MAT-385")</f>
        <v>MAT-385</v>
      </c>
      <c r="G2202" s="213"/>
      <c r="H2202" s="213" t="str">
        <f>IFERROR(__xludf.DUMMYFUNCTION("""COMPUTED_VALUE"""),"MÁSCARA ELECTRÓNICA PARA SOLDAR")</f>
        <v>MÁSCARA ELECTRÓNICA PARA SOLDAR</v>
      </c>
      <c r="I2202" s="213" t="str">
        <f>IFERROR(__xludf.DUMMYFUNCTION("""COMPUTED_VALUE"""),"Protección visual y facial. Protección de cabeza avanzada. Tonos oscuros ADF-5-8-9-13.
Número de sensores: 03. Sensibilidad (TIG-MIG/MAG). Tipo de batería 3V + solar cell.
Vida Mínima de batería: 2 500 horas")</f>
        <v>Protección visual y facial. Protección de cabeza avanzada. Tonos oscuros ADF-5-8-9-13.
Número de sensores: 03. Sensibilidad (TIG-MIG/MAG). Tipo de batería 3V + solar cell.
Vida Mínima de batería: 2 500 horas</v>
      </c>
      <c r="J2202" s="213">
        <f>IFERROR(__xludf.DUMMYFUNCTION("""COMPUTED_VALUE"""),3.0)</f>
        <v>3</v>
      </c>
      <c r="K2202" s="213" t="str">
        <f>IFERROR(__xludf.DUMMYFUNCTION("""COMPUTED_VALUE"""),"90 DÍAS CALENDARIO")</f>
        <v>90 DÍAS CALENDARIO</v>
      </c>
      <c r="L2202" s="213" t="str">
        <f>IFERROR(__xludf.DUMMYFUNCTION("""COMPUTED_VALUE"""),"")</f>
        <v/>
      </c>
      <c r="M2202" s="213">
        <f>IFERROR(__xludf.DUMMYFUNCTION("""COMPUTED_VALUE"""),1.0)</f>
        <v>1</v>
      </c>
      <c r="N2202" s="213">
        <f>IFERROR(__xludf.DUMMYFUNCTION("""COMPUTED_VALUE"""),21.0)</f>
        <v>21</v>
      </c>
      <c r="O2202" s="213">
        <f>IFERROR(__xludf.DUMMYFUNCTION("""COMPUTED_VALUE"""),21.0)</f>
        <v>21</v>
      </c>
      <c r="P2202" s="213"/>
      <c r="Q2202" s="213"/>
      <c r="R2202" s="213" t="str">
        <f>IFERROR(__xludf.DUMMYFUNCTION("""COMPUTED_VALUE"""),"SI")</f>
        <v>SI</v>
      </c>
      <c r="S2202" s="213"/>
      <c r="T2202" s="213" t="str">
        <f>IFERROR(__xludf.DUMMYFUNCTION("""COMPUTED_VALUE"""),"CONSULTA FINAL")</f>
        <v>CONSULTA FINAL</v>
      </c>
      <c r="U2202" s="213" t="str">
        <f>IFERROR(__xludf.DUMMYFUNCTION("""COMPUTED_VALUE"""),"NO")</f>
        <v>NO</v>
      </c>
      <c r="V2202" s="213" t="str">
        <f>IFERROR(__xludf.DUMMYFUNCTION("""COMPUTED_VALUE"""),"SUSTENTO")</f>
        <v>SUSTENTO</v>
      </c>
      <c r="W2202" s="213" t="str">
        <f>IFERROR(__xludf.DUMMYFUNCTION("""COMPUTED_VALUE"""),"EQU TEC")</f>
        <v>EQU TEC</v>
      </c>
      <c r="X2202" s="213" t="str">
        <f>IFERROR(__xludf.DUMMYFUNCTION("""COMPUTED_VALUE"""),"SELLSTROM")</f>
        <v>SELLSTROM</v>
      </c>
      <c r="Y2202" s="213" t="str">
        <f>IFERROR(__xludf.DUMMYFUNCTION("""COMPUTED_VALUE"""),"WHP4000")</f>
        <v>WHP4000</v>
      </c>
      <c r="Z2202" s="215" t="str">
        <f>IFERROR(__xludf.DUMMYFUNCTION("""COMPUTED_VALUE"""),"https://www.cimasafety.com/careta-para-soldar-sellstrom-whp4000-adf-5-13--det--SEL-S26400")</f>
        <v>https://www.cimasafety.com/careta-para-soldar-sellstrom-whp4000-adf-5-13--det--SEL-S26400</v>
      </c>
      <c r="AA2202" s="213" t="str">
        <f>IFERROR(__xludf.DUMMYFUNCTION("""COMPUTED_VALUE"""),"MAT-385 MÁSCARA ELECTRÓNICA PARA SOLDAR - CET")</f>
        <v>MAT-385 MÁSCARA ELECTRÓNICA PARA SOLDAR - CET</v>
      </c>
      <c r="AB2202" s="213"/>
      <c r="AC2202" s="213"/>
      <c r="AD2202" s="213"/>
      <c r="AE2202" s="213"/>
      <c r="AF2202" s="213"/>
      <c r="AG2202" s="213"/>
      <c r="AH2202" s="213"/>
      <c r="AI2202" s="213"/>
      <c r="AJ2202" s="213"/>
      <c r="AK2202" s="213"/>
      <c r="AL2202" s="213"/>
      <c r="AM2202" s="213"/>
      <c r="AN2202" s="213"/>
      <c r="AO2202" s="213"/>
      <c r="AP2202" s="213" t="str">
        <f>IFERROR(__xludf.DUMMYFUNCTION("""COMPUTED_VALUE"""),"LUIS")</f>
        <v>LUIS</v>
      </c>
      <c r="AQ2202" s="213"/>
      <c r="AR2202" s="213"/>
      <c r="AS2202" s="213"/>
      <c r="AT2202" s="213"/>
      <c r="AU2202" s="213"/>
      <c r="AV2202" s="213"/>
      <c r="AW2202" s="213"/>
      <c r="AX2202" s="213"/>
      <c r="AY2202" s="213"/>
      <c r="AZ2202" s="213"/>
      <c r="BA2202" s="213"/>
      <c r="BB2202" s="213"/>
      <c r="BC2202" s="213"/>
      <c r="BD2202" s="213"/>
    </row>
    <row r="2203">
      <c r="A2203" s="213">
        <f>IFERROR(__xludf.DUMMYFUNCTION("""COMPUTED_VALUE"""),1528.0)</f>
        <v>1528</v>
      </c>
      <c r="B2203" s="213" t="str">
        <f>IFERROR(__xludf.DUMMYFUNCTION("""COMPUTED_VALUE"""),"GUILLERMO E. BILLINGHURST ")</f>
        <v>GUILLERMO E. BILLINGHURST </v>
      </c>
      <c r="C2203" s="213" t="str">
        <f>IFERROR(__xludf.DUMMYFUNCTION("""COMPUTED_VALUE"""),"TALLER SFT DE MECÁNICA AUTOMOTRIZ")</f>
        <v>TALLER SFT DE MECÁNICA AUTOMOTRIZ</v>
      </c>
      <c r="D2203" s="213" t="str">
        <f>IFERROR(__xludf.DUMMYFUNCTION("""COMPUTED_VALUE"""),"HERRAMIENTAS")</f>
        <v>HERRAMIENTAS</v>
      </c>
      <c r="E2203" s="213" t="str">
        <f>IFERROR(__xludf.DUMMYFUNCTION("""COMPUTED_VALUE"""),"MAT-385")</f>
        <v>MAT-385</v>
      </c>
      <c r="F2203" s="213" t="str">
        <f>IFERROR(__xludf.DUMMYFUNCTION("""COMPUTED_VALUE"""),"MAT-385")</f>
        <v>MAT-385</v>
      </c>
      <c r="G2203" s="213"/>
      <c r="H2203" s="213" t="str">
        <f>IFERROR(__xludf.DUMMYFUNCTION("""COMPUTED_VALUE"""),"MÁSCARA ELECTRÓNICA PARA SOLDAR")</f>
        <v>MÁSCARA ELECTRÓNICA PARA SOLDAR</v>
      </c>
      <c r="I2203" s="213" t="str">
        <f>IFERROR(__xludf.DUMMYFUNCTION("""COMPUTED_VALUE"""),"Protección visual y facial. Protección de cabeza avanzada. Tonos oscuros ADF-5-8-9-13.
Número de sensores: 03. Sensibilidad (TIG-MIG/MAG). Tipo de batería 3V + solar cell.
Vida Mínima de batería: 2 500 horas")</f>
        <v>Protección visual y facial. Protección de cabeza avanzada. Tonos oscuros ADF-5-8-9-13.
Número de sensores: 03. Sensibilidad (TIG-MIG/MAG). Tipo de batería 3V + solar cell.
Vida Mínima de batería: 2 500 horas</v>
      </c>
      <c r="J2203" s="213">
        <f>IFERROR(__xludf.DUMMYFUNCTION("""COMPUTED_VALUE"""),3.0)</f>
        <v>3</v>
      </c>
      <c r="K2203" s="213" t="str">
        <f>IFERROR(__xludf.DUMMYFUNCTION("""COMPUTED_VALUE"""),"90 DÍAS CALENDARIO")</f>
        <v>90 DÍAS CALENDARIO</v>
      </c>
      <c r="L2203" s="213" t="str">
        <f>IFERROR(__xludf.DUMMYFUNCTION("""COMPUTED_VALUE"""),"")</f>
        <v/>
      </c>
      <c r="M2203" s="213">
        <f>IFERROR(__xludf.DUMMYFUNCTION("""COMPUTED_VALUE"""),1.0)</f>
        <v>1</v>
      </c>
      <c r="N2203" s="213">
        <f>IFERROR(__xludf.DUMMYFUNCTION("""COMPUTED_VALUE"""),21.0)</f>
        <v>21</v>
      </c>
      <c r="O2203" s="213">
        <f>IFERROR(__xludf.DUMMYFUNCTION("""COMPUTED_VALUE"""),21.0)</f>
        <v>21</v>
      </c>
      <c r="P2203" s="213"/>
      <c r="Q2203" s="213"/>
      <c r="R2203" s="213" t="str">
        <f>IFERROR(__xludf.DUMMYFUNCTION("""COMPUTED_VALUE"""),"SI")</f>
        <v>SI</v>
      </c>
      <c r="S2203" s="213"/>
      <c r="T2203" s="213" t="str">
        <f>IFERROR(__xludf.DUMMYFUNCTION("""COMPUTED_VALUE"""),"CONSULTA FINAL")</f>
        <v>CONSULTA FINAL</v>
      </c>
      <c r="U2203" s="213" t="str">
        <f>IFERROR(__xludf.DUMMYFUNCTION("""COMPUTED_VALUE"""),"NO")</f>
        <v>NO</v>
      </c>
      <c r="V2203" s="213" t="str">
        <f>IFERROR(__xludf.DUMMYFUNCTION("""COMPUTED_VALUE"""),"SUSTENTO")</f>
        <v>SUSTENTO</v>
      </c>
      <c r="W2203" s="213" t="str">
        <f>IFERROR(__xludf.DUMMYFUNCTION("""COMPUTED_VALUE"""),"EQU TEC")</f>
        <v>EQU TEC</v>
      </c>
      <c r="X2203" s="213" t="str">
        <f>IFERROR(__xludf.DUMMYFUNCTION("""COMPUTED_VALUE"""),"SELLSTROM")</f>
        <v>SELLSTROM</v>
      </c>
      <c r="Y2203" s="213" t="str">
        <f>IFERROR(__xludf.DUMMYFUNCTION("""COMPUTED_VALUE"""),"WHP4000")</f>
        <v>WHP4000</v>
      </c>
      <c r="Z2203" s="215" t="str">
        <f>IFERROR(__xludf.DUMMYFUNCTION("""COMPUTED_VALUE"""),"https://www.cimasafety.com/careta-para-soldar-sellstrom-whp4000-adf-5-13--det--SEL-S26400")</f>
        <v>https://www.cimasafety.com/careta-para-soldar-sellstrom-whp4000-adf-5-13--det--SEL-S26400</v>
      </c>
      <c r="AA2203" s="213" t="str">
        <f>IFERROR(__xludf.DUMMYFUNCTION("""COMPUTED_VALUE"""),"MAT-385 MÁSCARA ELECTRÓNICA PARA SOLDAR - CET")</f>
        <v>MAT-385 MÁSCARA ELECTRÓNICA PARA SOLDAR - CET</v>
      </c>
      <c r="AB2203" s="213"/>
      <c r="AC2203" s="213"/>
      <c r="AD2203" s="213"/>
      <c r="AE2203" s="213"/>
      <c r="AF2203" s="213"/>
      <c r="AG2203" s="213"/>
      <c r="AH2203" s="213"/>
      <c r="AI2203" s="213"/>
      <c r="AJ2203" s="213"/>
      <c r="AK2203" s="213"/>
      <c r="AL2203" s="213"/>
      <c r="AM2203" s="213"/>
      <c r="AN2203" s="213"/>
      <c r="AO2203" s="213"/>
      <c r="AP2203" s="213" t="str">
        <f>IFERROR(__xludf.DUMMYFUNCTION("""COMPUTED_VALUE"""),"LUIS")</f>
        <v>LUIS</v>
      </c>
      <c r="AQ2203" s="213"/>
      <c r="AR2203" s="213"/>
      <c r="AS2203" s="213"/>
      <c r="AT2203" s="213"/>
      <c r="AU2203" s="213"/>
      <c r="AV2203" s="213"/>
      <c r="AW2203" s="213"/>
      <c r="AX2203" s="213"/>
      <c r="AY2203" s="213"/>
      <c r="AZ2203" s="213"/>
      <c r="BA2203" s="213"/>
      <c r="BB2203" s="213"/>
      <c r="BC2203" s="213"/>
      <c r="BD2203" s="213"/>
    </row>
    <row r="2204">
      <c r="A2204" s="213">
        <f>IFERROR(__xludf.DUMMYFUNCTION("""COMPUTED_VALUE"""),2220.0)</f>
        <v>2220</v>
      </c>
      <c r="B2204" s="213" t="str">
        <f>IFERROR(__xludf.DUMMYFUNCTION("""COMPUTED_VALUE"""),"JOSE GRANDA")</f>
        <v>JOSE GRANDA</v>
      </c>
      <c r="C2204" s="213" t="str">
        <f>IFERROR(__xludf.DUMMYFUNCTION("""COMPUTED_VALUE"""),"TALLER SFT DE MECÁNICA AUTOMOTRIZ")</f>
        <v>TALLER SFT DE MECÁNICA AUTOMOTRIZ</v>
      </c>
      <c r="D2204" s="213" t="str">
        <f>IFERROR(__xludf.DUMMYFUNCTION("""COMPUTED_VALUE"""),"HERRAMIENTAS")</f>
        <v>HERRAMIENTAS</v>
      </c>
      <c r="E2204" s="213" t="str">
        <f>IFERROR(__xludf.DUMMYFUNCTION("""COMPUTED_VALUE"""),"MAT-385")</f>
        <v>MAT-385</v>
      </c>
      <c r="F2204" s="213" t="str">
        <f>IFERROR(__xludf.DUMMYFUNCTION("""COMPUTED_VALUE"""),"MAT-385")</f>
        <v>MAT-385</v>
      </c>
      <c r="G2204" s="213"/>
      <c r="H2204" s="213" t="str">
        <f>IFERROR(__xludf.DUMMYFUNCTION("""COMPUTED_VALUE"""),"MÁSCARA ELECTRÓNICA PARA SOLDAR")</f>
        <v>MÁSCARA ELECTRÓNICA PARA SOLDAR</v>
      </c>
      <c r="I2204" s="213" t="str">
        <f>IFERROR(__xludf.DUMMYFUNCTION("""COMPUTED_VALUE"""),"Protección visual y facial. Protección de cabeza avanzada. Tonos oscuros ADF-5-8-9-13.
Número de sensores: 03. Sensibilidad (TIG-MIG/MAG). Tipo de batería 3V + solar cell.
Vida Mínima de batería: 2 500 horas")</f>
        <v>Protección visual y facial. Protección de cabeza avanzada. Tonos oscuros ADF-5-8-9-13.
Número de sensores: 03. Sensibilidad (TIG-MIG/MAG). Tipo de batería 3V + solar cell.
Vida Mínima de batería: 2 500 horas</v>
      </c>
      <c r="J2204" s="213">
        <f>IFERROR(__xludf.DUMMYFUNCTION("""COMPUTED_VALUE"""),3.0)</f>
        <v>3</v>
      </c>
      <c r="K2204" s="213" t="str">
        <f>IFERROR(__xludf.DUMMYFUNCTION("""COMPUTED_VALUE"""),"90 DÍAS CALENDARIO")</f>
        <v>90 DÍAS CALENDARIO</v>
      </c>
      <c r="L2204" s="213" t="str">
        <f>IFERROR(__xludf.DUMMYFUNCTION("""COMPUTED_VALUE"""),"")</f>
        <v/>
      </c>
      <c r="M2204" s="213">
        <f>IFERROR(__xludf.DUMMYFUNCTION("""COMPUTED_VALUE"""),1.0)</f>
        <v>1</v>
      </c>
      <c r="N2204" s="213">
        <f>IFERROR(__xludf.DUMMYFUNCTION("""COMPUTED_VALUE"""),21.0)</f>
        <v>21</v>
      </c>
      <c r="O2204" s="213">
        <f>IFERROR(__xludf.DUMMYFUNCTION("""COMPUTED_VALUE"""),21.0)</f>
        <v>21</v>
      </c>
      <c r="P2204" s="213"/>
      <c r="Q2204" s="213"/>
      <c r="R2204" s="213" t="str">
        <f>IFERROR(__xludf.DUMMYFUNCTION("""COMPUTED_VALUE"""),"SI")</f>
        <v>SI</v>
      </c>
      <c r="S2204" s="213"/>
      <c r="T2204" s="213" t="str">
        <f>IFERROR(__xludf.DUMMYFUNCTION("""COMPUTED_VALUE"""),"CONSULTA FINAL")</f>
        <v>CONSULTA FINAL</v>
      </c>
      <c r="U2204" s="213" t="str">
        <f>IFERROR(__xludf.DUMMYFUNCTION("""COMPUTED_VALUE"""),"NO")</f>
        <v>NO</v>
      </c>
      <c r="V2204" s="213" t="str">
        <f>IFERROR(__xludf.DUMMYFUNCTION("""COMPUTED_VALUE"""),"SUSTENTO")</f>
        <v>SUSTENTO</v>
      </c>
      <c r="W2204" s="213" t="str">
        <f>IFERROR(__xludf.DUMMYFUNCTION("""COMPUTED_VALUE"""),"EQU TEC")</f>
        <v>EQU TEC</v>
      </c>
      <c r="X2204" s="213" t="str">
        <f>IFERROR(__xludf.DUMMYFUNCTION("""COMPUTED_VALUE"""),"SELLSTROM")</f>
        <v>SELLSTROM</v>
      </c>
      <c r="Y2204" s="213" t="str">
        <f>IFERROR(__xludf.DUMMYFUNCTION("""COMPUTED_VALUE"""),"WHP4000")</f>
        <v>WHP4000</v>
      </c>
      <c r="Z2204" s="215" t="str">
        <f>IFERROR(__xludf.DUMMYFUNCTION("""COMPUTED_VALUE"""),"https://www.cimasafety.com/careta-para-soldar-sellstrom-whp4000-adf-5-13--det--SEL-S26400")</f>
        <v>https://www.cimasafety.com/careta-para-soldar-sellstrom-whp4000-adf-5-13--det--SEL-S26400</v>
      </c>
      <c r="AA2204" s="213" t="str">
        <f>IFERROR(__xludf.DUMMYFUNCTION("""COMPUTED_VALUE"""),"MAT-385 MÁSCARA ELECTRÓNICA PARA SOLDAR - CET")</f>
        <v>MAT-385 MÁSCARA ELECTRÓNICA PARA SOLDAR - CET</v>
      </c>
      <c r="AB2204" s="213"/>
      <c r="AC2204" s="213"/>
      <c r="AD2204" s="213"/>
      <c r="AE2204" s="213"/>
      <c r="AF2204" s="213"/>
      <c r="AG2204" s="213"/>
      <c r="AH2204" s="213"/>
      <c r="AI2204" s="213"/>
      <c r="AJ2204" s="213"/>
      <c r="AK2204" s="213"/>
      <c r="AL2204" s="213"/>
      <c r="AM2204" s="213"/>
      <c r="AN2204" s="213"/>
      <c r="AO2204" s="213"/>
      <c r="AP2204" s="213" t="str">
        <f>IFERROR(__xludf.DUMMYFUNCTION("""COMPUTED_VALUE"""),"LUIS")</f>
        <v>LUIS</v>
      </c>
      <c r="AQ2204" s="213"/>
      <c r="AR2204" s="213"/>
      <c r="AS2204" s="213"/>
      <c r="AT2204" s="213"/>
      <c r="AU2204" s="213"/>
      <c r="AV2204" s="213"/>
      <c r="AW2204" s="213"/>
      <c r="AX2204" s="213"/>
      <c r="AY2204" s="213"/>
      <c r="AZ2204" s="213"/>
      <c r="BA2204" s="213"/>
      <c r="BB2204" s="213"/>
      <c r="BC2204" s="213"/>
      <c r="BD2204" s="213"/>
    </row>
    <row r="2205">
      <c r="A2205" s="213">
        <f>IFERROR(__xludf.DUMMYFUNCTION("""COMPUTED_VALUE"""),223.0)</f>
        <v>223</v>
      </c>
      <c r="B2205" s="213" t="str">
        <f>IFERROR(__xludf.DUMMYFUNCTION("""COMPUTED_VALUE"""),"2026 SIMON BOLIVAR")</f>
        <v>2026 SIMON BOLIVAR</v>
      </c>
      <c r="C2205" s="213" t="str">
        <f>IFERROR(__xludf.DUMMYFUNCTION("""COMPUTED_VALUE"""),"TALLER SFT DE INDUSTRIA DEL VESTIDO")</f>
        <v>TALLER SFT DE INDUSTRIA DEL VESTIDO</v>
      </c>
      <c r="D2205" s="213" t="str">
        <f>IFERROR(__xludf.DUMMYFUNCTION("""COMPUTED_VALUE"""),"HERRAMIENTAS")</f>
        <v>HERRAMIENTAS</v>
      </c>
      <c r="E2205" s="213" t="str">
        <f>IFERROR(__xludf.DUMMYFUNCTION("""COMPUTED_VALUE"""),"MAT-386")</f>
        <v>MAT-386</v>
      </c>
      <c r="F2205" s="213" t="str">
        <f>IFERROR(__xludf.DUMMYFUNCTION("""COMPUTED_VALUE"""),"MAT-386-X")</f>
        <v>MAT-386-X</v>
      </c>
      <c r="G2205" s="213"/>
      <c r="H2205" s="213" t="str">
        <f>IFERROR(__xludf.DUMMYFUNCTION("""COMPUTED_VALUE"""),"MASCARILLA")</f>
        <v>MASCARILLA</v>
      </c>
      <c r="I2205" s="213" t="str">
        <f>IFERROR(__xludf.DUMMYFUNCTION("""COMPUTED_VALUE"""),"Respirador fabricado con un medio filtrante electrostático, avanzado y antitaponamiento, color blanco para la protección respiratoria contra polvos y neblinas a base de líquidos sin aceites.
- Fabricada conforme a la norma NIOSH-N95.")</f>
        <v>Respirador fabricado con un medio filtrante electrostático, avanzado y antitaponamiento, color blanco para la protección respiratoria contra polvos y neblinas a base de líquidos sin aceites.
- Fabricada conforme a la norma NIOSH-N95.</v>
      </c>
      <c r="J2205" s="213">
        <f>IFERROR(__xludf.DUMMYFUNCTION("""COMPUTED_VALUE"""),3.0)</f>
        <v>3</v>
      </c>
      <c r="K2205" s="213" t="str">
        <f>IFERROR(__xludf.DUMMYFUNCTION("""COMPUTED_VALUE"""),"90 DÍAS CALENDARIO")</f>
        <v>90 DÍAS CALENDARIO</v>
      </c>
      <c r="L2205" s="213" t="str">
        <f>IFERROR(__xludf.DUMMYFUNCTION("""COMPUTED_VALUE"""),"")</f>
        <v/>
      </c>
      <c r="M2205" s="213">
        <f>IFERROR(__xludf.DUMMYFUNCTION("""COMPUTED_VALUE"""),1.0)</f>
        <v>1</v>
      </c>
      <c r="N2205" s="213">
        <f>IFERROR(__xludf.DUMMYFUNCTION("""COMPUTED_VALUE"""),20.0)</f>
        <v>20</v>
      </c>
      <c r="O2205" s="213">
        <f>IFERROR(__xludf.DUMMYFUNCTION("""COMPUTED_VALUE"""),20.0)</f>
        <v>20</v>
      </c>
      <c r="P2205" s="213"/>
      <c r="Q2205" s="213"/>
      <c r="R2205" s="213" t="str">
        <f>IFERROR(__xludf.DUMMYFUNCTION("""COMPUTED_VALUE"""),"SI")</f>
        <v>SI</v>
      </c>
      <c r="S2205" s="213"/>
      <c r="T2205" s="213" t="str">
        <f>IFERROR(__xludf.DUMMYFUNCTION("""COMPUTED_VALUE"""),"SI")</f>
        <v>SI</v>
      </c>
      <c r="U2205" s="213" t="str">
        <f>IFERROR(__xludf.DUMMYFUNCTION("""COMPUTED_VALUE"""),"SI")</f>
        <v>SI</v>
      </c>
      <c r="V2205" s="213" t="str">
        <f>IFERROR(__xludf.DUMMYFUNCTION("""COMPUTED_VALUE"""),"-")</f>
        <v>-</v>
      </c>
      <c r="W2205" s="213" t="str">
        <f>IFERROR(__xludf.DUMMYFUNCTION("""COMPUTED_VALUE"""),"-")</f>
        <v>-</v>
      </c>
      <c r="X2205" s="213" t="str">
        <f>IFERROR(__xludf.DUMMYFUNCTION("""COMPUTED_VALUE"""),"3M")</f>
        <v>3M</v>
      </c>
      <c r="Y2205" s="213">
        <f>IFERROR(__xludf.DUMMYFUNCTION("""COMPUTED_VALUE"""),7.0070799534E10)</f>
        <v>70070799534</v>
      </c>
      <c r="Z2205" s="215" t="str">
        <f>IFERROR(__xludf.DUMMYFUNCTION("""COMPUTED_VALUE"""),"https://eppsperu.pe/producto/respirador-para-particulas-8214-3m/")</f>
        <v>https://eppsperu.pe/producto/respirador-para-particulas-8214-3m/</v>
      </c>
      <c r="AA2205" s="213" t="str">
        <f>IFERROR(__xludf.DUMMYFUNCTION("""COMPUTED_VALUE"""),"MAT-386-X MASCARILLA - CET")</f>
        <v>MAT-386-X MASCARILLA - CET</v>
      </c>
      <c r="AB2205" s="213"/>
      <c r="AC2205" s="213"/>
      <c r="AD2205" s="213"/>
      <c r="AE2205" s="213"/>
      <c r="AF2205" s="213"/>
      <c r="AG2205" s="213"/>
      <c r="AH2205" s="213"/>
      <c r="AI2205" s="213"/>
      <c r="AJ2205" s="213"/>
      <c r="AK2205" s="213"/>
      <c r="AL2205" s="213"/>
      <c r="AM2205" s="213"/>
      <c r="AN2205" s="213"/>
      <c r="AO2205" s="213"/>
      <c r="AP2205" s="213" t="str">
        <f>IFERROR(__xludf.DUMMYFUNCTION("""COMPUTED_VALUE"""),"SEBASTIAN")</f>
        <v>SEBASTIAN</v>
      </c>
      <c r="AQ2205" s="213"/>
      <c r="AR2205" s="213"/>
      <c r="AS2205" s="213"/>
      <c r="AT2205" s="213"/>
      <c r="AU2205" s="213"/>
      <c r="AV2205" s="213"/>
      <c r="AW2205" s="213"/>
      <c r="AX2205" s="213"/>
      <c r="AY2205" s="213"/>
      <c r="AZ2205" s="213"/>
      <c r="BA2205" s="213"/>
      <c r="BB2205" s="213"/>
      <c r="BC2205" s="213"/>
      <c r="BD2205" s="213"/>
    </row>
    <row r="2206">
      <c r="A2206" s="213">
        <f>IFERROR(__xludf.DUMMYFUNCTION("""COMPUTED_VALUE"""),83.0)</f>
        <v>83</v>
      </c>
      <c r="B2206" s="213" t="str">
        <f>IFERROR(__xludf.DUMMYFUNCTION("""COMPUTED_VALUE"""),"16449 ELOY SOBERON  FLORES")</f>
        <v>16449 ELOY SOBERON  FLORES</v>
      </c>
      <c r="C2206" s="213" t="str">
        <f>IFERROR(__xludf.DUMMYFUNCTION("""COMPUTED_VALUE"""),"TALLER SFT DE COCINA Y REPOSTERÍA")</f>
        <v>TALLER SFT DE COCINA Y REPOSTERÍA</v>
      </c>
      <c r="D2206" s="213" t="str">
        <f>IFERROR(__xludf.DUMMYFUNCTION("""COMPUTED_VALUE"""),"PEDAGOGICO")</f>
        <v>PEDAGOGICO</v>
      </c>
      <c r="E2206" s="213" t="str">
        <f>IFERROR(__xludf.DUMMYFUNCTION("""COMPUTED_VALUE"""),"MAT-423")</f>
        <v>MAT-423</v>
      </c>
      <c r="F2206" s="213" t="str">
        <f>IFERROR(__xludf.DUMMYFUNCTION("""COMPUTED_VALUE"""),"MAT-423")</f>
        <v>MAT-423</v>
      </c>
      <c r="G2206" s="213"/>
      <c r="H2206" s="213" t="str">
        <f>IFERROR(__xludf.DUMMYFUNCTION("""COMPUTED_VALUE"""),"ROTAFOLIO CON LAMINAS DE LA GASTRONOMIA PERUANA E INTERNACIONAL RELACIONADAS CON CODIGO QR A INFORMACION DIGITAL")</f>
        <v>ROTAFOLIO CON LAMINAS DE LA GASTRONOMIA PERUANA E INTERNACIONAL RELACIONADAS CON CODIGO QR A INFORMACION DIGITAL</v>
      </c>
      <c r="I2206" s="213" t="str">
        <f>IFERROR(__xludf.DUMMYFUNCTION("""COMPUTED_VALUE"""),"Calidad física
· Tamaño A2 (420mm x 594mm)
· Base de cartón grueso elaborado en una sola pieza
· Comprende 6 láminas impresas a todo color en papel couche de 350gr/m2, enmicados por ambos lados y con bordes boleados.
· La laminas van anilladas en la parte"&amp;" superior a la base de cartón.
Calidad Pedagógica
- Lamina 1: Comida de la costa (Ceviche, Lomo saltado)
- Lamina 2: Comida de la selva (Juane, tacacho con cesina)
- Lamina 3: Comida de la sierra (Pachamanca,  papa a la huancaina)
- Lamina 4: comida Basil"&amp;"eña (Caldo de Aipim)
- Lamina 5: Comida  Turca (Ensalada Saksuka Turca)
- Lamina 5: Comida Española (Tortilla Española)
- Lamina 6: Comida Sueca  (Paella de Mariscos)
· Interactúa  con dispositivos  digitales (Tablet, Laptop,Smarphone, a través  de marcas"&amp;"  digitales como código QR  que los enlaza a una página web  que tiene  información detallada y complementaria
· La información que presenta es rigurosa y actualizada deacuerdo a las innovaciones tecnologicas y para el nivel.")</f>
        <v>Calidad física
· Tamaño A2 (420mm x 594mm)
· Base de cartón grueso elaborado en una sola pieza
· Comprende 6 láminas impresas a todo color en papel couche de 350gr/m2, enmicados por ambos lados y con bordes boleados.
· La laminas van anilladas en la parte superior a la base de cartón.
Calidad Pedagógica
- Lamina 1: Comida de la costa (Ceviche, Lomo saltado)
- Lamina 2: Comida de la selva (Juane, tacacho con cesina)
- Lamina 3: Comida de la sierra (Pachamanca,  papa a la huancaina)
- Lamina 4: comida Basileña (Caldo de Aipim)
- Lamina 5: Comida  Turca (Ensalada Saksuka Turca)
- Lamina 5: Comida Española (Tortilla Española)
- Lamina 6: Comida Sueca  (Paella de Mariscos)
· Interactúa  con dispositivos  digitales (Tablet, Laptop,Smarphone, a través  de marcas  digitales como código QR  que los enlaza a una página web  que tiene  información detallada y complementaria
· La información que presenta es rigurosa y actualizada deacuerdo a las innovaciones tecnologicas y para el nivel.</v>
      </c>
      <c r="J2206" s="213">
        <f>IFERROR(__xludf.DUMMYFUNCTION("""COMPUTED_VALUE"""),3.0)</f>
        <v>3</v>
      </c>
      <c r="K2206" s="213" t="str">
        <f>IFERROR(__xludf.DUMMYFUNCTION("""COMPUTED_VALUE"""),"170 DÍAS CALENDARIO")</f>
        <v>170 DÍAS CALENDARIO</v>
      </c>
      <c r="L2206" s="213" t="str">
        <f>IFERROR(__xludf.DUMMYFUNCTION("""COMPUTED_VALUE"""),"")</f>
        <v/>
      </c>
      <c r="M2206" s="213">
        <f>IFERROR(__xludf.DUMMYFUNCTION("""COMPUTED_VALUE"""),1.0)</f>
        <v>1</v>
      </c>
      <c r="N2206" s="213">
        <f>IFERROR(__xludf.DUMMYFUNCTION("""COMPUTED_VALUE"""),2.0)</f>
        <v>2</v>
      </c>
      <c r="O2206" s="213">
        <f>IFERROR(__xludf.DUMMYFUNCTION("""COMPUTED_VALUE"""),2.0)</f>
        <v>2</v>
      </c>
      <c r="P2206" s="213"/>
      <c r="Q2206" s="213"/>
      <c r="R2206" s="213"/>
      <c r="S2206" s="213"/>
      <c r="T2206" s="213"/>
      <c r="U2206" s="213"/>
      <c r="V2206" s="213"/>
      <c r="W2206" s="213"/>
      <c r="X2206" s="213"/>
      <c r="Y2206" s="213"/>
      <c r="Z2206" s="213"/>
      <c r="AA2206" s="213"/>
      <c r="AB2206" s="213"/>
      <c r="AC2206" s="213"/>
      <c r="AD2206" s="213"/>
      <c r="AE2206" s="213"/>
      <c r="AF2206" s="213"/>
      <c r="AG2206" s="213"/>
      <c r="AH2206" s="213"/>
      <c r="AI2206" s="213"/>
      <c r="AJ2206" s="213"/>
      <c r="AK2206" s="213"/>
      <c r="AL2206" s="213"/>
      <c r="AM2206" s="213"/>
      <c r="AN2206" s="213"/>
      <c r="AO2206" s="213"/>
      <c r="AP2206" s="213"/>
      <c r="AQ2206" s="213"/>
      <c r="AR2206" s="213"/>
      <c r="AS2206" s="213"/>
      <c r="AT2206" s="213"/>
      <c r="AU2206" s="213"/>
      <c r="AV2206" s="213"/>
      <c r="AW2206" s="213"/>
      <c r="AX2206" s="213"/>
      <c r="AY2206" s="213"/>
      <c r="AZ2206" s="213"/>
      <c r="BA2206" s="213"/>
      <c r="BB2206" s="213"/>
      <c r="BC2206" s="213"/>
      <c r="BD2206" s="213"/>
    </row>
    <row r="2207">
      <c r="A2207" s="213">
        <f>IFERROR(__xludf.DUMMYFUNCTION("""COMPUTED_VALUE"""),2512.0)</f>
        <v>2512</v>
      </c>
      <c r="B2207" s="213" t="str">
        <f>IFERROR(__xludf.DUMMYFUNCTION("""COMPUTED_VALUE"""),"MANUEL ANTONIO MESONES MURO")</f>
        <v>MANUEL ANTONIO MESONES MURO</v>
      </c>
      <c r="C2207" s="213" t="str">
        <f>IFERROR(__xludf.DUMMYFUNCTION("""COMPUTED_VALUE"""),"TALLER SFT DE CONSTRUCCIONES METÁLICAS")</f>
        <v>TALLER SFT DE CONSTRUCCIONES METÁLICAS</v>
      </c>
      <c r="D2207" s="213" t="str">
        <f>IFERROR(__xludf.DUMMYFUNCTION("""COMPUTED_VALUE"""),"PEDAGOGICO")</f>
        <v>PEDAGOGICO</v>
      </c>
      <c r="E2207" s="213" t="str">
        <f>IFERROR(__xludf.DUMMYFUNCTION("""COMPUTED_VALUE"""),"MAT-428")</f>
        <v>MAT-428</v>
      </c>
      <c r="F2207" s="213" t="str">
        <f>IFERROR(__xludf.DUMMYFUNCTION("""COMPUTED_VALUE"""),"MAT-428")</f>
        <v>MAT-428</v>
      </c>
      <c r="G2207" s="213"/>
      <c r="H2207" s="213" t="str">
        <f>IFERROR(__xludf.DUMMYFUNCTION("""COMPUTED_VALUE"""),"Rotafolio de láminas con información visual de las partes y uso de las herramientas e instrumentos")</f>
        <v>Rotafolio de láminas con información visual de las partes y uso de las herramientas e instrumentos</v>
      </c>
      <c r="I2207" s="213" t="str">
        <f>IFERROR(__xludf.DUMMYFUNCTION("""COMPUTED_VALUE"""),"Características:
· Portada
· Objetivo de aprendizaje
· Desarrollo del tema
· Síntesis
· Cartel soporte de exhibición soporte vertical
· Material en aleación de aluminio
· Estilo: sencillo y moderno
· Tamaño A2 (420 mm x 594 mm)
· Soporte regulable en altu"&amp;"ra: 700-1200 mm.")</f>
        <v>Características:
· Portada
· Objetivo de aprendizaje
· Desarrollo del tema
· Síntesis
· Cartel soporte de exhibición soporte vertical
· Material en aleación de aluminio
· Estilo: sencillo y moderno
· Tamaño A2 (420 mm x 594 mm)
· Soporte regulable en altura: 700-1200 mm.</v>
      </c>
      <c r="J2207" s="213">
        <f>IFERROR(__xludf.DUMMYFUNCTION("""COMPUTED_VALUE"""),3.0)</f>
        <v>3</v>
      </c>
      <c r="K2207" s="213" t="str">
        <f>IFERROR(__xludf.DUMMYFUNCTION("""COMPUTED_VALUE"""),"170 DÍAS CALENDARIO")</f>
        <v>170 DÍAS CALENDARIO</v>
      </c>
      <c r="L2207" s="213" t="str">
        <f>IFERROR(__xludf.DUMMYFUNCTION("""COMPUTED_VALUE"""),"")</f>
        <v/>
      </c>
      <c r="M2207" s="213">
        <f>IFERROR(__xludf.DUMMYFUNCTION("""COMPUTED_VALUE"""),1.0)</f>
        <v>1</v>
      </c>
      <c r="N2207" s="213">
        <f>IFERROR(__xludf.DUMMYFUNCTION("""COMPUTED_VALUE"""),1.0)</f>
        <v>1</v>
      </c>
      <c r="O2207" s="213">
        <f>IFERROR(__xludf.DUMMYFUNCTION("""COMPUTED_VALUE"""),1.0)</f>
        <v>1</v>
      </c>
      <c r="P2207" s="213"/>
      <c r="Q2207" s="213"/>
      <c r="R2207" s="213"/>
      <c r="S2207" s="213"/>
      <c r="T2207" s="213"/>
      <c r="U2207" s="213"/>
      <c r="V2207" s="213"/>
      <c r="W2207" s="213"/>
      <c r="X2207" s="213"/>
      <c r="Y2207" s="213"/>
      <c r="Z2207" s="213"/>
      <c r="AA2207" s="213"/>
      <c r="AB2207" s="213"/>
      <c r="AC2207" s="213"/>
      <c r="AD2207" s="213"/>
      <c r="AE2207" s="213"/>
      <c r="AF2207" s="213"/>
      <c r="AG2207" s="213"/>
      <c r="AH2207" s="213"/>
      <c r="AI2207" s="213"/>
      <c r="AJ2207" s="213"/>
      <c r="AK2207" s="213"/>
      <c r="AL2207" s="213"/>
      <c r="AM2207" s="213"/>
      <c r="AN2207" s="213"/>
      <c r="AO2207" s="213"/>
      <c r="AP2207" s="213"/>
      <c r="AQ2207" s="213"/>
      <c r="AR2207" s="213"/>
      <c r="AS2207" s="213"/>
      <c r="AT2207" s="213"/>
      <c r="AU2207" s="213"/>
      <c r="AV2207" s="213"/>
      <c r="AW2207" s="213"/>
      <c r="AX2207" s="213"/>
      <c r="AY2207" s="213"/>
      <c r="AZ2207" s="213"/>
      <c r="BA2207" s="213"/>
      <c r="BB2207" s="213"/>
      <c r="BC2207" s="213"/>
      <c r="BD2207" s="213"/>
    </row>
    <row r="2208">
      <c r="A2208" s="213">
        <f>IFERROR(__xludf.DUMMYFUNCTION("""COMPUTED_VALUE"""),999.0)</f>
        <v>999</v>
      </c>
      <c r="B2208" s="213" t="str">
        <f>IFERROR(__xludf.DUMMYFUNCTION("""COMPUTED_VALUE"""),"FRANCISCO IRAZOLA")</f>
        <v>FRANCISCO IRAZOLA</v>
      </c>
      <c r="C2208" s="213" t="str">
        <f>IFERROR(__xludf.DUMMYFUNCTION("""COMPUTED_VALUE"""),"TALLER SFT DE MECÁNICA AUTOMOTRIZ")</f>
        <v>TALLER SFT DE MECÁNICA AUTOMOTRIZ</v>
      </c>
      <c r="D2208" s="213" t="str">
        <f>IFERROR(__xludf.DUMMYFUNCTION("""COMPUTED_VALUE"""),"PEDAGOGICO")</f>
        <v>PEDAGOGICO</v>
      </c>
      <c r="E2208" s="213" t="str">
        <f>IFERROR(__xludf.DUMMYFUNCTION("""COMPUTED_VALUE"""),"MAT-429")</f>
        <v>MAT-429</v>
      </c>
      <c r="F2208" s="213" t="str">
        <f>IFERROR(__xludf.DUMMYFUNCTION("""COMPUTED_VALUE"""),"MAT-429")</f>
        <v>MAT-429</v>
      </c>
      <c r="G2208" s="213"/>
      <c r="H2208" s="213" t="str">
        <f>IFERROR(__xludf.DUMMYFUNCTION("""COMPUTED_VALUE"""),"ROTAFOLIO DE LÁMINAS CON INFORMACIÓN VISUAL DE LAS PARTES Y USO DE LAS MÁQUINAS,  HERRAMIENTAS E INSTRUMENTOS PARA MANTENIMIENTO DE VEHÍCULOS, VINCULADAS MEDIANTE CÓDIGO QR A INFORMACIÓN DIGITAL")</f>
        <v>ROTAFOLIO DE LÁMINAS CON INFORMACIÓN VISUAL DE LAS PARTES Y USO DE LAS MÁQUINAS,  HERRAMIENTAS E INSTRUMENTOS PARA MANTENIMIENTO DE VEHÍCULOS, VINCULADAS MEDIANTE CÓDIGO QR A INFORMACIÓN DIGITAL</v>
      </c>
      <c r="I2208" s="213" t="str">
        <f>IFERROR(__xludf.DUMMYFUNCTION("""COMPUTED_VALUE"""),"Calidad física
-         Tamaño A2 (420 mm x 594 mm)
-         Base cartón grueso elaborado en una sola pieza
-         Comprende 12 láminas impresas a todo color en papel couche de 350 gr/m2, enmicados por ambos lados y con bordes boleados
-         Las "&amp;"láminas van anillados en la parte superior a la base de cartón Calidad pedagógica
-         Las láminas tienen como contenido:
·          Lámina 1: calibrador
·          Lámina 1: Tipos de llaves mixta boca – corona
·          Lámina 2: Martillo de bola
·"&amp;"          Lámina 3: Mazo de goma
·          Lámina 4: Alicates
·          Lámina 5: Juego de destornillador
·          Lámina 6: Cuenta hilos
·          Lámina 7: Terrajas  y machos en pulgadas y en milímetros
·          Lámina 8: Torquimetro
·          L"&amp;"ámina 9: Batería  y Cargador de baterías
·          Lámina 10: Compresor de anillos
·          Lámina 11: Compresor de muelles de válvulas universal
·          Lámina 12: Extractor de rodajes
·          Lámina 13: Extractor de resortes de suspensión
·    "&amp;"      Lámina 14: Extractor universal de juntas homocinéticas
·          Lámina 15: Desmontador de poleas universal
·          Lámina 16: Interiores y exteriores
·          Lámina 17: Juego  de pistola neumática y vaso de impacto
·          Lámina 18: Mart"&amp;"illo neumático reversible
-         Interactúa con dispositivos digitales  (Tablet, laptop, Smartphone a través de marcas digitales como códigos QR que los enlaza a una página web que tiene información detallada y complementaria.
-         La información "&amp;"que presenta es rigurosa y actualizada de acuerdo a las innovaciones tecnológicas y para el nivel Educación Superior Tecnológica.")</f>
        <v>Calidad física
-         Tamaño A2 (420 mm x 594 mm)
-         Base cartón grueso elaborado en una sola pieza
-         Comprende 12 láminas impresas a todo color en papel couche de 350 gr/m2, enmicados por ambos lados y con bordes boleados
-         Las láminas van anillados en la parte superior a la base de cartón Calidad pedagógica
-         Las láminas tienen como contenido:
·          Lámina 1: calibrador
·          Lámina 1: Tipos de llaves mixta boca – corona
·          Lámina 2: Martillo de bola
·          Lámina 3: Mazo de goma
·          Lámina 4: Alicates
·          Lámina 5: Juego de destornillador
·          Lámina 6: Cuenta hilos
·          Lámina 7: Terrajas  y machos en pulgadas y en milímetros
·          Lámina 8: Torquimetro
·          Lámina 9: Batería  y Cargador de baterías
·          Lámina 10: Compresor de anillos
·          Lámina 11: Compresor de muelles de válvulas universal
·          Lámina 12: Extractor de rodajes
·          Lámina 13: Extractor de resortes de suspensión
·          Lámina 14: Extractor universal de juntas homocinéticas
·          Lámina 15: Desmontador de poleas universal
·          Lámina 16: Interiores y exteriores
·          Lámina 17: Juego  de pistola neumática y vaso de impacto
·          Lámina 18: Martillo neumático reversible
-         Interactúa con dispositivos digitales  (Tablet, laptop, Smartphone a través de marcas digitales como códigos QR que los enlaza a una página web que tiene información detallada y complementaria.
-         La información que presenta es rigurosa y actualizada de acuerdo a las innovaciones tecnológicas y para el nivel Educación Superior Tecnológica.</v>
      </c>
      <c r="J2208" s="213">
        <f>IFERROR(__xludf.DUMMYFUNCTION("""COMPUTED_VALUE"""),3.0)</f>
        <v>3</v>
      </c>
      <c r="K2208" s="213" t="str">
        <f>IFERROR(__xludf.DUMMYFUNCTION("""COMPUTED_VALUE"""),"170 DÍAS CALENDARIO")</f>
        <v>170 DÍAS CALENDARIO</v>
      </c>
      <c r="L2208" s="213" t="str">
        <f>IFERROR(__xludf.DUMMYFUNCTION("""COMPUTED_VALUE"""),"")</f>
        <v/>
      </c>
      <c r="M2208" s="213">
        <f>IFERROR(__xludf.DUMMYFUNCTION("""COMPUTED_VALUE"""),1.0)</f>
        <v>1</v>
      </c>
      <c r="N2208" s="213">
        <f>IFERROR(__xludf.DUMMYFUNCTION("""COMPUTED_VALUE"""),1.0)</f>
        <v>1</v>
      </c>
      <c r="O2208" s="213">
        <f>IFERROR(__xludf.DUMMYFUNCTION("""COMPUTED_VALUE"""),1.0)</f>
        <v>1</v>
      </c>
      <c r="P2208" s="213"/>
      <c r="Q2208" s="213"/>
      <c r="R2208" s="213"/>
      <c r="S2208" s="213"/>
      <c r="T2208" s="213"/>
      <c r="U2208" s="213"/>
      <c r="V2208" s="213"/>
      <c r="W2208" s="213"/>
      <c r="X2208" s="213"/>
      <c r="Y2208" s="213"/>
      <c r="Z2208" s="213"/>
      <c r="AA2208" s="213"/>
      <c r="AB2208" s="213"/>
      <c r="AC2208" s="213"/>
      <c r="AD2208" s="213"/>
      <c r="AE2208" s="213"/>
      <c r="AF2208" s="213"/>
      <c r="AG2208" s="213"/>
      <c r="AH2208" s="213"/>
      <c r="AI2208" s="213"/>
      <c r="AJ2208" s="213"/>
      <c r="AK2208" s="213"/>
      <c r="AL2208" s="213"/>
      <c r="AM2208" s="213"/>
      <c r="AN2208" s="213"/>
      <c r="AO2208" s="213"/>
      <c r="AP2208" s="213"/>
      <c r="AQ2208" s="213"/>
      <c r="AR2208" s="213"/>
      <c r="AS2208" s="213"/>
      <c r="AT2208" s="213"/>
      <c r="AU2208" s="213"/>
      <c r="AV2208" s="213"/>
      <c r="AW2208" s="213"/>
      <c r="AX2208" s="213"/>
      <c r="AY2208" s="213"/>
      <c r="AZ2208" s="213"/>
      <c r="BA2208" s="213"/>
      <c r="BB2208" s="213"/>
      <c r="BC2208" s="213"/>
      <c r="BD2208" s="213"/>
    </row>
    <row r="2209">
      <c r="A2209" s="213">
        <f>IFERROR(__xludf.DUMMYFUNCTION("""COMPUTED_VALUE"""),1604.0)</f>
        <v>1604</v>
      </c>
      <c r="B2209" s="213" t="str">
        <f>IFERROR(__xludf.DUMMYFUNCTION("""COMPUTED_VALUE"""),"GUILLERMO E. BILLINGHURST ")</f>
        <v>GUILLERMO E. BILLINGHURST </v>
      </c>
      <c r="C2209" s="213" t="str">
        <f>IFERROR(__xludf.DUMMYFUNCTION("""COMPUTED_VALUE"""),"TALLER SFT DE MECÁNICA AUTOMOTRIZ")</f>
        <v>TALLER SFT DE MECÁNICA AUTOMOTRIZ</v>
      </c>
      <c r="D2209" s="213" t="str">
        <f>IFERROR(__xludf.DUMMYFUNCTION("""COMPUTED_VALUE"""),"PEDAGOGICO")</f>
        <v>PEDAGOGICO</v>
      </c>
      <c r="E2209" s="213" t="str">
        <f>IFERROR(__xludf.DUMMYFUNCTION("""COMPUTED_VALUE"""),"MAT-429")</f>
        <v>MAT-429</v>
      </c>
      <c r="F2209" s="213" t="str">
        <f>IFERROR(__xludf.DUMMYFUNCTION("""COMPUTED_VALUE"""),"MAT-429")</f>
        <v>MAT-429</v>
      </c>
      <c r="G2209" s="213"/>
      <c r="H2209" s="213" t="str">
        <f>IFERROR(__xludf.DUMMYFUNCTION("""COMPUTED_VALUE"""),"ROTAFOLIO DE LÁMINAS CON INFORMACIÓN VISUAL DE LAS PARTES Y USO DE LAS MÁQUINAS,  HERRAMIENTAS E INSTRUMENTOS PARA MANTENIMIENTO DE VEHÍCULOS, VINCULADAS MEDIANTE CÓDIGO QR A INFORMACIÓN DIGITAL")</f>
        <v>ROTAFOLIO DE LÁMINAS CON INFORMACIÓN VISUAL DE LAS PARTES Y USO DE LAS MÁQUINAS,  HERRAMIENTAS E INSTRUMENTOS PARA MANTENIMIENTO DE VEHÍCULOS, VINCULADAS MEDIANTE CÓDIGO QR A INFORMACIÓN DIGITAL</v>
      </c>
      <c r="I2209" s="213" t="str">
        <f>IFERROR(__xludf.DUMMYFUNCTION("""COMPUTED_VALUE"""),"Calidad física
-         Tamaño A2 (420 mm x 594 mm)
-         Base cartón grueso elaborado en una sola pieza
-         Comprende 12 láminas impresas a todo color en papel couche de 350 gr/m2, enmicados por ambos lados y con bordes boleados
-         Las "&amp;"láminas van anillados en la parte superior a la base de cartón Calidad pedagógica
-         Las láminas tienen como contenido:
·          Lámina 1: calibrador
·          Lámina 1: Tipos de llaves mixta boca – corona
·          Lámina 2: Martillo de bola
·"&amp;"          Lámina 3: Mazo de goma
·          Lámina 4: Alicates
·          Lámina 5: Juego de destornillador
·          Lámina 6: Cuenta hilos
·          Lámina 7: Terrajas  y machos en pulgadas y en milímetros
·          Lámina 8: Torquimetro
·          L"&amp;"ámina 9: Batería  y Cargador de baterías
·          Lámina 10: Compresor de anillos
·          Lámina 11: Compresor de muelles de válvulas universal
·          Lámina 12: Extractor de rodajes
·          Lámina 13: Extractor de resortes de suspensión
·    "&amp;"      Lámina 14: Extractor universal de juntas homocinéticas
·          Lámina 15: Desmontador de poleas universal
·          Lámina 16: Interiores y exteriores
·          Lámina 17: Juego  de pistola neumática y vaso de impacto
·          Lámina 18: Mart"&amp;"illo neumático reversible
-         Interactúa con dispositivos digitales  (Tablet, laptop, Smartphone a través de marcas digitales como códigos QR que los enlaza a una página web que tiene información detallada y complementaria.
-         La información "&amp;"que presenta es rigurosa y actualizada de acuerdo a las innovaciones tecnológicas y para el nivel Educación Superior Tecnológica.")</f>
        <v>Calidad física
-         Tamaño A2 (420 mm x 594 mm)
-         Base cartón grueso elaborado en una sola pieza
-         Comprende 12 láminas impresas a todo color en papel couche de 350 gr/m2, enmicados por ambos lados y con bordes boleados
-         Las láminas van anillados en la parte superior a la base de cartón Calidad pedagógica
-         Las láminas tienen como contenido:
·          Lámina 1: calibrador
·          Lámina 1: Tipos de llaves mixta boca – corona
·          Lámina 2: Martillo de bola
·          Lámina 3: Mazo de goma
·          Lámina 4: Alicates
·          Lámina 5: Juego de destornillador
·          Lámina 6: Cuenta hilos
·          Lámina 7: Terrajas  y machos en pulgadas y en milímetros
·          Lámina 8: Torquimetro
·          Lámina 9: Batería  y Cargador de baterías
·          Lámina 10: Compresor de anillos
·          Lámina 11: Compresor de muelles de válvulas universal
·          Lámina 12: Extractor de rodajes
·          Lámina 13: Extractor de resortes de suspensión
·          Lámina 14: Extractor universal de juntas homocinéticas
·          Lámina 15: Desmontador de poleas universal
·          Lámina 16: Interiores y exteriores
·          Lámina 17: Juego  de pistola neumática y vaso de impacto
·          Lámina 18: Martillo neumático reversible
-         Interactúa con dispositivos digitales  (Tablet, laptop, Smartphone a través de marcas digitales como códigos QR que los enlaza a una página web que tiene información detallada y complementaria.
-         La información que presenta es rigurosa y actualizada de acuerdo a las innovaciones tecnológicas y para el nivel Educación Superior Tecnológica.</v>
      </c>
      <c r="J2209" s="213">
        <f>IFERROR(__xludf.DUMMYFUNCTION("""COMPUTED_VALUE"""),3.0)</f>
        <v>3</v>
      </c>
      <c r="K2209" s="213" t="str">
        <f>IFERROR(__xludf.DUMMYFUNCTION("""COMPUTED_VALUE"""),"170 DÍAS CALENDARIO")</f>
        <v>170 DÍAS CALENDARIO</v>
      </c>
      <c r="L2209" s="213" t="str">
        <f>IFERROR(__xludf.DUMMYFUNCTION("""COMPUTED_VALUE"""),"")</f>
        <v/>
      </c>
      <c r="M2209" s="213">
        <f>IFERROR(__xludf.DUMMYFUNCTION("""COMPUTED_VALUE"""),1.0)</f>
        <v>1</v>
      </c>
      <c r="N2209" s="213">
        <f>IFERROR(__xludf.DUMMYFUNCTION("""COMPUTED_VALUE"""),1.0)</f>
        <v>1</v>
      </c>
      <c r="O2209" s="213">
        <f>IFERROR(__xludf.DUMMYFUNCTION("""COMPUTED_VALUE"""),1.0)</f>
        <v>1</v>
      </c>
      <c r="P2209" s="213"/>
      <c r="Q2209" s="213"/>
      <c r="R2209" s="213"/>
      <c r="S2209" s="213"/>
      <c r="T2209" s="213"/>
      <c r="U2209" s="213"/>
      <c r="V2209" s="213"/>
      <c r="W2209" s="213"/>
      <c r="X2209" s="213"/>
      <c r="Y2209" s="213"/>
      <c r="Z2209" s="213"/>
      <c r="AA2209" s="213"/>
      <c r="AB2209" s="213"/>
      <c r="AC2209" s="213"/>
      <c r="AD2209" s="213"/>
      <c r="AE2209" s="213"/>
      <c r="AF2209" s="213"/>
      <c r="AG2209" s="213"/>
      <c r="AH2209" s="213"/>
      <c r="AI2209" s="213"/>
      <c r="AJ2209" s="213"/>
      <c r="AK2209" s="213"/>
      <c r="AL2209" s="213"/>
      <c r="AM2209" s="213"/>
      <c r="AN2209" s="213"/>
      <c r="AO2209" s="213"/>
      <c r="AP2209" s="213"/>
      <c r="AQ2209" s="213"/>
      <c r="AR2209" s="213"/>
      <c r="AS2209" s="213"/>
      <c r="AT2209" s="213"/>
      <c r="AU2209" s="213"/>
      <c r="AV2209" s="213"/>
      <c r="AW2209" s="213"/>
      <c r="AX2209" s="213"/>
      <c r="AY2209" s="213"/>
      <c r="AZ2209" s="213"/>
      <c r="BA2209" s="213"/>
      <c r="BB2209" s="213"/>
      <c r="BC2209" s="213"/>
      <c r="BD2209" s="213"/>
    </row>
    <row r="2210">
      <c r="A2210" s="213">
        <f>IFERROR(__xludf.DUMMYFUNCTION("""COMPUTED_VALUE"""),2291.0)</f>
        <v>2291</v>
      </c>
      <c r="B2210" s="213" t="str">
        <f>IFERROR(__xludf.DUMMYFUNCTION("""COMPUTED_VALUE"""),"JOSE GRANDA")</f>
        <v>JOSE GRANDA</v>
      </c>
      <c r="C2210" s="213" t="str">
        <f>IFERROR(__xludf.DUMMYFUNCTION("""COMPUTED_VALUE"""),"TALLER SFT DE MECÁNICA AUTOMOTRIZ")</f>
        <v>TALLER SFT DE MECÁNICA AUTOMOTRIZ</v>
      </c>
      <c r="D2210" s="213" t="str">
        <f>IFERROR(__xludf.DUMMYFUNCTION("""COMPUTED_VALUE"""),"PEDAGOGICO")</f>
        <v>PEDAGOGICO</v>
      </c>
      <c r="E2210" s="213" t="str">
        <f>IFERROR(__xludf.DUMMYFUNCTION("""COMPUTED_VALUE"""),"MAT-429")</f>
        <v>MAT-429</v>
      </c>
      <c r="F2210" s="213" t="str">
        <f>IFERROR(__xludf.DUMMYFUNCTION("""COMPUTED_VALUE"""),"MAT-429")</f>
        <v>MAT-429</v>
      </c>
      <c r="G2210" s="213"/>
      <c r="H2210" s="213" t="str">
        <f>IFERROR(__xludf.DUMMYFUNCTION("""COMPUTED_VALUE"""),"ROTAFOLIO DE LÁMINAS CON INFORMACIÓN VISUAL DE LAS PARTES Y USO DE LAS MÁQUINAS,  HERRAMIENTAS E INSTRUMENTOS PARA MANTENIMIENTO DE VEHÍCULOS, VINCULADAS MEDIANTE CÓDIGO QR A INFORMACIÓN DIGITAL")</f>
        <v>ROTAFOLIO DE LÁMINAS CON INFORMACIÓN VISUAL DE LAS PARTES Y USO DE LAS MÁQUINAS,  HERRAMIENTAS E INSTRUMENTOS PARA MANTENIMIENTO DE VEHÍCULOS, VINCULADAS MEDIANTE CÓDIGO QR A INFORMACIÓN DIGITAL</v>
      </c>
      <c r="I2210" s="213" t="str">
        <f>IFERROR(__xludf.DUMMYFUNCTION("""COMPUTED_VALUE"""),"Calidad física
-         Tamaño A2 (420 mm x 594 mm)
-         Base cartón grueso elaborado en una sola pieza
-         Comprende 12 láminas impresas a todo color en papel couche de 350 gr/m2, enmicados por ambos lados y con bordes boleados
-         Las "&amp;"láminas van anillados en la parte superior a la base de cartón Calidad pedagógica
-         Las láminas tienen como contenido:
·          Lámina 1: calibrador
·          Lámina 1: Tipos de llaves mixta boca – corona
·          Lámina 2: Martillo de bola
·"&amp;"          Lámina 3: Mazo de goma
·          Lámina 4: Alicates
·          Lámina 5: Juego de destornillador
·          Lámina 6: Cuenta hilos
·          Lámina 7: Terrajas  y machos en pulgadas y en milímetros
·          Lámina 8: Torquimetro
·          L"&amp;"ámina 9: Batería  y Cargador de baterías
·          Lámina 10: Compresor de anillos
·          Lámina 11: Compresor de muelles de válvulas universal
·          Lámina 12: Extractor de rodajes
·          Lámina 13: Extractor de resortes de suspensión
·    "&amp;"      Lámina 14: Extractor universal de juntas homocinéticas
·          Lámina 15: Desmontador de poleas universal
·          Lámina 16: Interiores y exteriores
·          Lámina 17: Juego  de pistola neumática y vaso de impacto
·          Lámina 18: Mart"&amp;"illo neumático reversible
-         Interactúa con dispositivos digitales  (Tablet, laptop, Smartphone a través de marcas digitales como códigos QR que los enlaza a una página web que tiene información detallada y complementaria.
-         La información "&amp;"que presenta es rigurosa y actualizada de acuerdo a las innovaciones tecnológicas y para el nivel Educación Superior Tecnológica.")</f>
        <v>Calidad física
-         Tamaño A2 (420 mm x 594 mm)
-         Base cartón grueso elaborado en una sola pieza
-         Comprende 12 láminas impresas a todo color en papel couche de 350 gr/m2, enmicados por ambos lados y con bordes boleados
-         Las láminas van anillados en la parte superior a la base de cartón Calidad pedagógica
-         Las láminas tienen como contenido:
·          Lámina 1: calibrador
·          Lámina 1: Tipos de llaves mixta boca – corona
·          Lámina 2: Martillo de bola
·          Lámina 3: Mazo de goma
·          Lámina 4: Alicates
·          Lámina 5: Juego de destornillador
·          Lámina 6: Cuenta hilos
·          Lámina 7: Terrajas  y machos en pulgadas y en milímetros
·          Lámina 8: Torquimetro
·          Lámina 9: Batería  y Cargador de baterías
·          Lámina 10: Compresor de anillos
·          Lámina 11: Compresor de muelles de válvulas universal
·          Lámina 12: Extractor de rodajes
·          Lámina 13: Extractor de resortes de suspensión
·          Lámina 14: Extractor universal de juntas homocinéticas
·          Lámina 15: Desmontador de poleas universal
·          Lámina 16: Interiores y exteriores
·          Lámina 17: Juego  de pistola neumática y vaso de impacto
·          Lámina 18: Martillo neumático reversible
-         Interactúa con dispositivos digitales  (Tablet, laptop, Smartphone a través de marcas digitales como códigos QR que los enlaza a una página web que tiene información detallada y complementaria.
-         La información que presenta es rigurosa y actualizada de acuerdo a las innovaciones tecnológicas y para el nivel Educación Superior Tecnológica.</v>
      </c>
      <c r="J2210" s="213">
        <f>IFERROR(__xludf.DUMMYFUNCTION("""COMPUTED_VALUE"""),3.0)</f>
        <v>3</v>
      </c>
      <c r="K2210" s="213" t="str">
        <f>IFERROR(__xludf.DUMMYFUNCTION("""COMPUTED_VALUE"""),"170 DÍAS CALENDARIO")</f>
        <v>170 DÍAS CALENDARIO</v>
      </c>
      <c r="L2210" s="213" t="str">
        <f>IFERROR(__xludf.DUMMYFUNCTION("""COMPUTED_VALUE"""),"")</f>
        <v/>
      </c>
      <c r="M2210" s="213">
        <f>IFERROR(__xludf.DUMMYFUNCTION("""COMPUTED_VALUE"""),1.0)</f>
        <v>1</v>
      </c>
      <c r="N2210" s="213">
        <f>IFERROR(__xludf.DUMMYFUNCTION("""COMPUTED_VALUE"""),1.0)</f>
        <v>1</v>
      </c>
      <c r="O2210" s="213">
        <f>IFERROR(__xludf.DUMMYFUNCTION("""COMPUTED_VALUE"""),1.0)</f>
        <v>1</v>
      </c>
      <c r="P2210" s="213"/>
      <c r="Q2210" s="213"/>
      <c r="R2210" s="213"/>
      <c r="S2210" s="213"/>
      <c r="T2210" s="213"/>
      <c r="U2210" s="213"/>
      <c r="V2210" s="213"/>
      <c r="W2210" s="213"/>
      <c r="X2210" s="213"/>
      <c r="Y2210" s="213"/>
      <c r="Z2210" s="213"/>
      <c r="AA2210" s="213"/>
      <c r="AB2210" s="213"/>
      <c r="AC2210" s="213"/>
      <c r="AD2210" s="213"/>
      <c r="AE2210" s="213"/>
      <c r="AF2210" s="213"/>
      <c r="AG2210" s="213"/>
      <c r="AH2210" s="213"/>
      <c r="AI2210" s="213"/>
      <c r="AJ2210" s="213"/>
      <c r="AK2210" s="213"/>
      <c r="AL2210" s="213"/>
      <c r="AM2210" s="213"/>
      <c r="AN2210" s="213"/>
      <c r="AO2210" s="213"/>
      <c r="AP2210" s="213"/>
      <c r="AQ2210" s="213"/>
      <c r="AR2210" s="213"/>
      <c r="AS2210" s="213"/>
      <c r="AT2210" s="213"/>
      <c r="AU2210" s="213"/>
      <c r="AV2210" s="213"/>
      <c r="AW2210" s="213"/>
      <c r="AX2210" s="213"/>
      <c r="AY2210" s="213"/>
      <c r="AZ2210" s="213"/>
      <c r="BA2210" s="213"/>
      <c r="BB2210" s="213"/>
      <c r="BC2210" s="213"/>
      <c r="BD2210" s="213"/>
    </row>
    <row r="2211">
      <c r="A2211" s="213">
        <f>IFERROR(__xludf.DUMMYFUNCTION("""COMPUTED_VALUE"""),82.0)</f>
        <v>82</v>
      </c>
      <c r="B2211" s="213" t="str">
        <f>IFERROR(__xludf.DUMMYFUNCTION("""COMPUTED_VALUE"""),"16449 ELOY SOBERON  FLORES")</f>
        <v>16449 ELOY SOBERON  FLORES</v>
      </c>
      <c r="C2211" s="213" t="str">
        <f>IFERROR(__xludf.DUMMYFUNCTION("""COMPUTED_VALUE"""),"TALLER SFT DE COCINA Y REPOSTERÍA")</f>
        <v>TALLER SFT DE COCINA Y REPOSTERÍA</v>
      </c>
      <c r="D2211" s="213" t="str">
        <f>IFERROR(__xludf.DUMMYFUNCTION("""COMPUTED_VALUE"""),"PEDAGOGICO")</f>
        <v>PEDAGOGICO</v>
      </c>
      <c r="E2211" s="213" t="str">
        <f>IFERROR(__xludf.DUMMYFUNCTION("""COMPUTED_VALUE"""),"MAT-431")</f>
        <v>MAT-431</v>
      </c>
      <c r="F2211" s="213" t="str">
        <f>IFERROR(__xludf.DUMMYFUNCTION("""COMPUTED_VALUE"""),"MAT-431")</f>
        <v>MAT-431</v>
      </c>
      <c r="G2211" s="213"/>
      <c r="H2211" s="213" t="str">
        <f>IFERROR(__xludf.DUMMYFUNCTION("""COMPUTED_VALUE"""),"ROTAFOLIO DE LAMINAS LOS UTENSILIOS Y VAJILLAS DE COCINA, RELACIONADAS CON QR A INFORMACION DIGITAL")</f>
        <v>ROTAFOLIO DE LAMINAS LOS UTENSILIOS Y VAJILLAS DE COCINA, RELACIONADAS CON QR A INFORMACION DIGITAL</v>
      </c>
      <c r="I2211" s="213" t="str">
        <f>IFERROR(__xludf.DUMMYFUNCTION("""COMPUTED_VALUE"""),"Calidad física
· Tamaño A2 (420mm x 594mm)
· Base de cartón grueso elaborado en una sola pieza
· Comprende 12 láminas impresas a todo color en papel couche de 350gr/m2, enmicados por ambos lados y con bordes boleados.
· La laminas van anilladas en la part"&amp;"e superior a la base de cartón.
Calidad Pedagógica
- Lamina 1: Juego de Cuchillo
- Lamina 2: Juego de cucharones, espumadera y espátulas
- Lamina 3: Juego de Pinzas
- Lamina 4: Juego de cacerolas
- Lamina 5: Juego de coladeras
- Lamina 5 Juego e tasas med"&amp;"idoras
- Lamina 6: Juego de Sartenes
- Lamina 7: Juego de Ollas
- Lamina 8: juego de cortadores
- Lamina 9: Bandejas de Acero
- Lamina 10: Juego de Fuentes de Vidrio
- Lamina 11: Vajilla para entrada y fondo
- Lamina 12: Espátula de silicona
· Interactúa "&amp;" con dispositivos  digitales (Tablet, Laptop, Smarphone, a través  de marcas  digitales como código QR  que los enlaza a una página web  que tiene  información detallada y complementaria
· La información que presenta es rigurosa y actualizada de acuerdo a"&amp;" las innovaciones tecnológicas y para el nivel.")</f>
        <v>Calidad física
· Tamaño A2 (420mm x 594mm)
· Base de cartón grueso elaborado en una sola pieza
· Comprende 12 láminas impresas a todo color en papel couche de 350gr/m2, enmicados por ambos lados y con bordes boleados.
· La laminas van anilladas en la parte superior a la base de cartón.
Calidad Pedagógica
- Lamina 1: Juego de Cuchillo
- Lamina 2: Juego de cucharones, espumadera y espátulas
- Lamina 3: Juego de Pinzas
- Lamina 4: Juego de cacerolas
- Lamina 5: Juego de coladeras
- Lamina 5 Juego e tasas medidoras
- Lamina 6: Juego de Sartenes
- Lamina 7: Juego de Ollas
- Lamina 8: juego de cortadores
- Lamina 9: Bandejas de Acero
- Lamina 10: Juego de Fuentes de Vidrio
- Lamina 11: Vajilla para entrada y fondo
- Lamina 12: Espátula de silicona
· Interactúa  con dispositivos  digitales (Tablet, Laptop, Smarphone, a través  de marcas  digitales como código QR  que los enlaza a una página web  que tiene  información detallada y complementaria
· La información que presenta es rigurosa y actualizada de acuerdo a las innovaciones tecnológicas y para el nivel.</v>
      </c>
      <c r="J2211" s="213">
        <f>IFERROR(__xludf.DUMMYFUNCTION("""COMPUTED_VALUE"""),3.0)</f>
        <v>3</v>
      </c>
      <c r="K2211" s="213" t="str">
        <f>IFERROR(__xludf.DUMMYFUNCTION("""COMPUTED_VALUE"""),"170 DÍAS CALENDARIO")</f>
        <v>170 DÍAS CALENDARIO</v>
      </c>
      <c r="L2211" s="213" t="str">
        <f>IFERROR(__xludf.DUMMYFUNCTION("""COMPUTED_VALUE"""),"")</f>
        <v/>
      </c>
      <c r="M2211" s="213">
        <f>IFERROR(__xludf.DUMMYFUNCTION("""COMPUTED_VALUE"""),1.0)</f>
        <v>1</v>
      </c>
      <c r="N2211" s="213">
        <f>IFERROR(__xludf.DUMMYFUNCTION("""COMPUTED_VALUE"""),2.0)</f>
        <v>2</v>
      </c>
      <c r="O2211" s="213">
        <f>IFERROR(__xludf.DUMMYFUNCTION("""COMPUTED_VALUE"""),2.0)</f>
        <v>2</v>
      </c>
      <c r="P2211" s="213"/>
      <c r="Q2211" s="213"/>
      <c r="R2211" s="213"/>
      <c r="S2211" s="213"/>
      <c r="T2211" s="213"/>
      <c r="U2211" s="213"/>
      <c r="V2211" s="213"/>
      <c r="W2211" s="213"/>
      <c r="X2211" s="213"/>
      <c r="Y2211" s="213"/>
      <c r="Z2211" s="213"/>
      <c r="AA2211" s="213"/>
      <c r="AB2211" s="213"/>
      <c r="AC2211" s="213"/>
      <c r="AD2211" s="213"/>
      <c r="AE2211" s="213"/>
      <c r="AF2211" s="213"/>
      <c r="AG2211" s="213"/>
      <c r="AH2211" s="213"/>
      <c r="AI2211" s="213"/>
      <c r="AJ2211" s="213"/>
      <c r="AK2211" s="213"/>
      <c r="AL2211" s="213"/>
      <c r="AM2211" s="213"/>
      <c r="AN2211" s="213"/>
      <c r="AO2211" s="213"/>
      <c r="AP2211" s="213"/>
      <c r="AQ2211" s="213"/>
      <c r="AR2211" s="213"/>
      <c r="AS2211" s="213"/>
      <c r="AT2211" s="213"/>
      <c r="AU2211" s="213"/>
      <c r="AV2211" s="213"/>
      <c r="AW2211" s="213"/>
      <c r="AX2211" s="213"/>
      <c r="AY2211" s="213"/>
      <c r="AZ2211" s="213"/>
      <c r="BA2211" s="213"/>
      <c r="BB2211" s="213"/>
      <c r="BC2211" s="213"/>
      <c r="BD2211" s="213"/>
    </row>
    <row r="2212">
      <c r="A2212" s="213">
        <f>IFERROR(__xludf.DUMMYFUNCTION("""COMPUTED_VALUE"""),531.0)</f>
        <v>531</v>
      </c>
      <c r="B2212" s="213" t="str">
        <f>IFERROR(__xludf.DUMMYFUNCTION("""COMPUTED_VALUE"""),"2026 SIMON BOLIVAR")</f>
        <v>2026 SIMON BOLIVAR</v>
      </c>
      <c r="C2212" s="213" t="str">
        <f>IFERROR(__xludf.DUMMYFUNCTION("""COMPUTED_VALUE"""),"TALLER SFT DE INDUSTRIA ALIMENTARIA")</f>
        <v>TALLER SFT DE INDUSTRIA ALIMENTARIA</v>
      </c>
      <c r="D2212" s="213" t="str">
        <f>IFERROR(__xludf.DUMMYFUNCTION("""COMPUTED_VALUE"""),"HERRAMIENTAS")</f>
        <v>HERRAMIENTAS</v>
      </c>
      <c r="E2212" s="213" t="str">
        <f>IFERROR(__xludf.DUMMYFUNCTION("""COMPUTED_VALUE"""),"MAT-386")</f>
        <v>MAT-386</v>
      </c>
      <c r="F2212" s="213" t="str">
        <f>IFERROR(__xludf.DUMMYFUNCTION("""COMPUTED_VALUE"""),"MAT-386-Y")</f>
        <v>MAT-386-Y</v>
      </c>
      <c r="G2212" s="213"/>
      <c r="H2212" s="213" t="str">
        <f>IFERROR(__xludf.DUMMYFUNCTION("""COMPUTED_VALUE"""),"MASCARILLA")</f>
        <v>MASCARILLA</v>
      </c>
      <c r="I2212" s="213" t="str">
        <f>IFERROR(__xludf.DUMMYFUNCTION("""COMPUTED_VALUE"""),"· Mascarilla de 3 capas.
· Capacidad de filtración: BFE 99.5%.
· Estándar médico.
· Gomas elásticas.
· Clip nasal.")</f>
        <v>· Mascarilla de 3 capas.
· Capacidad de filtración: BFE 99.5%.
· Estándar médico.
· Gomas elásticas.
· Clip nasal.</v>
      </c>
      <c r="J2212" s="213">
        <f>IFERROR(__xludf.DUMMYFUNCTION("""COMPUTED_VALUE"""),3.0)</f>
        <v>3</v>
      </c>
      <c r="K2212" s="213" t="str">
        <f>IFERROR(__xludf.DUMMYFUNCTION("""COMPUTED_VALUE"""),"90 DÍAS CALENDARIO")</f>
        <v>90 DÍAS CALENDARIO</v>
      </c>
      <c r="L2212" s="213" t="str">
        <f>IFERROR(__xludf.DUMMYFUNCTION("""COMPUTED_VALUE"""),"")</f>
        <v/>
      </c>
      <c r="M2212" s="213">
        <f>IFERROR(__xludf.DUMMYFUNCTION("""COMPUTED_VALUE"""),1.0)</f>
        <v>1</v>
      </c>
      <c r="N2212" s="213">
        <f>IFERROR(__xludf.DUMMYFUNCTION("""COMPUTED_VALUE"""),20.0)</f>
        <v>20</v>
      </c>
      <c r="O2212" s="213">
        <f>IFERROR(__xludf.DUMMYFUNCTION("""COMPUTED_VALUE"""),20.0)</f>
        <v>20</v>
      </c>
      <c r="P2212" s="213"/>
      <c r="Q2212" s="213"/>
      <c r="R2212" s="213" t="str">
        <f>IFERROR(__xludf.DUMMYFUNCTION("""COMPUTED_VALUE"""),"SI")</f>
        <v>SI</v>
      </c>
      <c r="S2212" s="213"/>
      <c r="T2212" s="213" t="str">
        <f>IFERROR(__xludf.DUMMYFUNCTION("""COMPUTED_VALUE"""),"SI")</f>
        <v>SI</v>
      </c>
      <c r="U2212" s="213" t="str">
        <f>IFERROR(__xludf.DUMMYFUNCTION("""COMPUTED_VALUE"""),"SI")</f>
        <v>SI</v>
      </c>
      <c r="V2212" s="213" t="str">
        <f>IFERROR(__xludf.DUMMYFUNCTION("""COMPUTED_VALUE"""),"-")</f>
        <v>-</v>
      </c>
      <c r="W2212" s="213" t="str">
        <f>IFERROR(__xludf.DUMMYFUNCTION("""COMPUTED_VALUE"""),"-")</f>
        <v>-</v>
      </c>
      <c r="X2212" s="213" t="str">
        <f>IFERROR(__xludf.DUMMYFUNCTION("""COMPUTED_VALUE"""),"R&amp;G")</f>
        <v>R&amp;G</v>
      </c>
      <c r="Y2212" s="213">
        <f>IFERROR(__xludf.DUMMYFUNCTION("""COMPUTED_VALUE"""),1.000194057E9)</f>
        <v>1000194057</v>
      </c>
      <c r="Z2212" s="215" t="str">
        <f>IFERROR(__xludf.DUMMYFUNCTION("""COMPUTED_VALUE"""),"https://www.promart.pe/mascarilla-quirurgica-r-g-3-capas-3-pliegues-caja-50und-1000175500/p?srsltid=AfmBOoooMhuWzP_n9FQs405lrxSGjxUwEPmvrCs3aI8urGeX1dAba4GM")</f>
        <v>https://www.promart.pe/mascarilla-quirurgica-r-g-3-capas-3-pliegues-caja-50und-1000175500/p?srsltid=AfmBOoooMhuWzP_n9FQs405lrxSGjxUwEPmvrCs3aI8urGeX1dAba4GM</v>
      </c>
      <c r="AA2212" s="213" t="str">
        <f>IFERROR(__xludf.DUMMYFUNCTION("""COMPUTED_VALUE"""),"MAT-386-Y MASCARILLA - CET")</f>
        <v>MAT-386-Y MASCARILLA - CET</v>
      </c>
      <c r="AB2212" s="213"/>
      <c r="AC2212" s="213"/>
      <c r="AD2212" s="213"/>
      <c r="AE2212" s="213"/>
      <c r="AF2212" s="213"/>
      <c r="AG2212" s="213"/>
      <c r="AH2212" s="213"/>
      <c r="AI2212" s="213"/>
      <c r="AJ2212" s="213"/>
      <c r="AK2212" s="213"/>
      <c r="AL2212" s="213"/>
      <c r="AM2212" s="213"/>
      <c r="AN2212" s="213"/>
      <c r="AO2212" s="213"/>
      <c r="AP2212" s="213" t="str">
        <f>IFERROR(__xludf.DUMMYFUNCTION("""COMPUTED_VALUE"""),"LUIS")</f>
        <v>LUIS</v>
      </c>
      <c r="AQ2212" s="213"/>
      <c r="AR2212" s="213"/>
      <c r="AS2212" s="213"/>
      <c r="AT2212" s="213"/>
      <c r="AU2212" s="213"/>
      <c r="AV2212" s="213"/>
      <c r="AW2212" s="213"/>
      <c r="AX2212" s="213"/>
      <c r="AY2212" s="213"/>
      <c r="AZ2212" s="213"/>
      <c r="BA2212" s="213"/>
      <c r="BB2212" s="213"/>
      <c r="BC2212" s="213"/>
      <c r="BD2212" s="213"/>
    </row>
    <row r="2213">
      <c r="A2213" s="213">
        <f>IFERROR(__xludf.DUMMYFUNCTION("""COMPUTED_VALUE"""),1161.0)</f>
        <v>1161</v>
      </c>
      <c r="B2213" s="213" t="str">
        <f>IFERROR(__xludf.DUMMYFUNCTION("""COMPUTED_VALUE"""),"FRANCISCO IRAZOLA")</f>
        <v>FRANCISCO IRAZOLA</v>
      </c>
      <c r="C2213" s="213" t="str">
        <f>IFERROR(__xludf.DUMMYFUNCTION("""COMPUTED_VALUE"""),"TALLER SFT DE INDUSTRIA ALIMENTARIA")</f>
        <v>TALLER SFT DE INDUSTRIA ALIMENTARIA</v>
      </c>
      <c r="D2213" s="213" t="str">
        <f>IFERROR(__xludf.DUMMYFUNCTION("""COMPUTED_VALUE"""),"HERRAMIENTAS")</f>
        <v>HERRAMIENTAS</v>
      </c>
      <c r="E2213" s="213" t="str">
        <f>IFERROR(__xludf.DUMMYFUNCTION("""COMPUTED_VALUE"""),"MAT-386")</f>
        <v>MAT-386</v>
      </c>
      <c r="F2213" s="213" t="str">
        <f>IFERROR(__xludf.DUMMYFUNCTION("""COMPUTED_VALUE"""),"MAT-386-Y")</f>
        <v>MAT-386-Y</v>
      </c>
      <c r="G2213" s="213"/>
      <c r="H2213" s="213" t="str">
        <f>IFERROR(__xludf.DUMMYFUNCTION("""COMPUTED_VALUE"""),"MASCARILLA")</f>
        <v>MASCARILLA</v>
      </c>
      <c r="I2213" s="213" t="str">
        <f>IFERROR(__xludf.DUMMYFUNCTION("""COMPUTED_VALUE"""),"· Mascarilla de 3 capas.
· Capacidad de filtración: BFE 99.5%.
· Estándar médico.
· Gomas elásticas.
· Clip nasal.")</f>
        <v>· Mascarilla de 3 capas.
· Capacidad de filtración: BFE 99.5%.
· Estándar médico.
· Gomas elásticas.
· Clip nasal.</v>
      </c>
      <c r="J2213" s="213">
        <f>IFERROR(__xludf.DUMMYFUNCTION("""COMPUTED_VALUE"""),3.0)</f>
        <v>3</v>
      </c>
      <c r="K2213" s="213" t="str">
        <f>IFERROR(__xludf.DUMMYFUNCTION("""COMPUTED_VALUE"""),"90 DÍAS CALENDARIO")</f>
        <v>90 DÍAS CALENDARIO</v>
      </c>
      <c r="L2213" s="213" t="str">
        <f>IFERROR(__xludf.DUMMYFUNCTION("""COMPUTED_VALUE"""),"")</f>
        <v/>
      </c>
      <c r="M2213" s="213">
        <f>IFERROR(__xludf.DUMMYFUNCTION("""COMPUTED_VALUE"""),1.0)</f>
        <v>1</v>
      </c>
      <c r="N2213" s="213">
        <f>IFERROR(__xludf.DUMMYFUNCTION("""COMPUTED_VALUE"""),20.0)</f>
        <v>20</v>
      </c>
      <c r="O2213" s="213">
        <f>IFERROR(__xludf.DUMMYFUNCTION("""COMPUTED_VALUE"""),20.0)</f>
        <v>20</v>
      </c>
      <c r="P2213" s="213"/>
      <c r="Q2213" s="213"/>
      <c r="R2213" s="213" t="str">
        <f>IFERROR(__xludf.DUMMYFUNCTION("""COMPUTED_VALUE"""),"SI")</f>
        <v>SI</v>
      </c>
      <c r="S2213" s="213"/>
      <c r="T2213" s="213" t="str">
        <f>IFERROR(__xludf.DUMMYFUNCTION("""COMPUTED_VALUE"""),"SI")</f>
        <v>SI</v>
      </c>
      <c r="U2213" s="213" t="str">
        <f>IFERROR(__xludf.DUMMYFUNCTION("""COMPUTED_VALUE"""),"SI")</f>
        <v>SI</v>
      </c>
      <c r="V2213" s="213" t="str">
        <f>IFERROR(__xludf.DUMMYFUNCTION("""COMPUTED_VALUE"""),"-")</f>
        <v>-</v>
      </c>
      <c r="W2213" s="213" t="str">
        <f>IFERROR(__xludf.DUMMYFUNCTION("""COMPUTED_VALUE"""),"-")</f>
        <v>-</v>
      </c>
      <c r="X2213" s="213" t="str">
        <f>IFERROR(__xludf.DUMMYFUNCTION("""COMPUTED_VALUE"""),"R&amp;G")</f>
        <v>R&amp;G</v>
      </c>
      <c r="Y2213" s="213">
        <f>IFERROR(__xludf.DUMMYFUNCTION("""COMPUTED_VALUE"""),1.000194057E9)</f>
        <v>1000194057</v>
      </c>
      <c r="Z2213" s="215" t="str">
        <f>IFERROR(__xludf.DUMMYFUNCTION("""COMPUTED_VALUE"""),"https://www.promart.pe/mascarilla-quirurgica-r-g-3-capas-3-pliegues-caja-50und-1000175500/p?srsltid=AfmBOoooMhuWzP_n9FQs405lrxSGjxUwEPmvrCs3aI8urGeX1dAba4GM")</f>
        <v>https://www.promart.pe/mascarilla-quirurgica-r-g-3-capas-3-pliegues-caja-50und-1000175500/p?srsltid=AfmBOoooMhuWzP_n9FQs405lrxSGjxUwEPmvrCs3aI8urGeX1dAba4GM</v>
      </c>
      <c r="AA2213" s="213" t="str">
        <f>IFERROR(__xludf.DUMMYFUNCTION("""COMPUTED_VALUE"""),"MAT-386-Y MASCARILLA - CET")</f>
        <v>MAT-386-Y MASCARILLA - CET</v>
      </c>
      <c r="AB2213" s="213"/>
      <c r="AC2213" s="213"/>
      <c r="AD2213" s="213"/>
      <c r="AE2213" s="213"/>
      <c r="AF2213" s="213"/>
      <c r="AG2213" s="213"/>
      <c r="AH2213" s="213"/>
      <c r="AI2213" s="213"/>
      <c r="AJ2213" s="213"/>
      <c r="AK2213" s="213"/>
      <c r="AL2213" s="213"/>
      <c r="AM2213" s="213"/>
      <c r="AN2213" s="213"/>
      <c r="AO2213" s="213"/>
      <c r="AP2213" s="213" t="str">
        <f>IFERROR(__xludf.DUMMYFUNCTION("""COMPUTED_VALUE"""),"LUIS")</f>
        <v>LUIS</v>
      </c>
      <c r="AQ2213" s="213"/>
      <c r="AR2213" s="213"/>
      <c r="AS2213" s="213"/>
      <c r="AT2213" s="213"/>
      <c r="AU2213" s="213"/>
      <c r="AV2213" s="213"/>
      <c r="AW2213" s="213"/>
      <c r="AX2213" s="213"/>
      <c r="AY2213" s="213"/>
      <c r="AZ2213" s="213"/>
      <c r="BA2213" s="213"/>
      <c r="BB2213" s="213"/>
      <c r="BC2213" s="213"/>
      <c r="BD2213" s="213"/>
    </row>
    <row r="2214">
      <c r="A2214" s="213">
        <f>IFERROR(__xludf.DUMMYFUNCTION("""COMPUTED_VALUE"""),1433.0)</f>
        <v>1433</v>
      </c>
      <c r="B2214" s="213" t="str">
        <f>IFERROR(__xludf.DUMMYFUNCTION("""COMPUTED_VALUE"""),"GUILLERMO E. BILLINGHURST ")</f>
        <v>GUILLERMO E. BILLINGHURST </v>
      </c>
      <c r="C2214" s="213" t="str">
        <f>IFERROR(__xludf.DUMMYFUNCTION("""COMPUTED_VALUE"""),"TALLER SFT DE INDUSTRIA ALIMENTARIA")</f>
        <v>TALLER SFT DE INDUSTRIA ALIMENTARIA</v>
      </c>
      <c r="D2214" s="213" t="str">
        <f>IFERROR(__xludf.DUMMYFUNCTION("""COMPUTED_VALUE"""),"HERRAMIENTAS")</f>
        <v>HERRAMIENTAS</v>
      </c>
      <c r="E2214" s="213" t="str">
        <f>IFERROR(__xludf.DUMMYFUNCTION("""COMPUTED_VALUE"""),"MAT-386")</f>
        <v>MAT-386</v>
      </c>
      <c r="F2214" s="213" t="str">
        <f>IFERROR(__xludf.DUMMYFUNCTION("""COMPUTED_VALUE"""),"MAT-386-Y")</f>
        <v>MAT-386-Y</v>
      </c>
      <c r="G2214" s="213"/>
      <c r="H2214" s="213" t="str">
        <f>IFERROR(__xludf.DUMMYFUNCTION("""COMPUTED_VALUE"""),"MASCARILLA")</f>
        <v>MASCARILLA</v>
      </c>
      <c r="I2214" s="213" t="str">
        <f>IFERROR(__xludf.DUMMYFUNCTION("""COMPUTED_VALUE"""),"· Mascarilla de 3 capas.
· Capacidad de filtración: BFE 99.5%.
· Estándar médico.
· Gomas elásticas.
· Clip nasal.")</f>
        <v>· Mascarilla de 3 capas.
· Capacidad de filtración: BFE 99.5%.
· Estándar médico.
· Gomas elásticas.
· Clip nasal.</v>
      </c>
      <c r="J2214" s="213">
        <f>IFERROR(__xludf.DUMMYFUNCTION("""COMPUTED_VALUE"""),3.0)</f>
        <v>3</v>
      </c>
      <c r="K2214" s="213" t="str">
        <f>IFERROR(__xludf.DUMMYFUNCTION("""COMPUTED_VALUE"""),"90 DÍAS CALENDARIO")</f>
        <v>90 DÍAS CALENDARIO</v>
      </c>
      <c r="L2214" s="213" t="str">
        <f>IFERROR(__xludf.DUMMYFUNCTION("""COMPUTED_VALUE"""),"")</f>
        <v/>
      </c>
      <c r="M2214" s="213">
        <f>IFERROR(__xludf.DUMMYFUNCTION("""COMPUTED_VALUE"""),1.0)</f>
        <v>1</v>
      </c>
      <c r="N2214" s="213">
        <f>IFERROR(__xludf.DUMMYFUNCTION("""COMPUTED_VALUE"""),20.0)</f>
        <v>20</v>
      </c>
      <c r="O2214" s="213">
        <f>IFERROR(__xludf.DUMMYFUNCTION("""COMPUTED_VALUE"""),20.0)</f>
        <v>20</v>
      </c>
      <c r="P2214" s="213"/>
      <c r="Q2214" s="213"/>
      <c r="R2214" s="213" t="str">
        <f>IFERROR(__xludf.DUMMYFUNCTION("""COMPUTED_VALUE"""),"SI")</f>
        <v>SI</v>
      </c>
      <c r="S2214" s="213"/>
      <c r="T2214" s="213" t="str">
        <f>IFERROR(__xludf.DUMMYFUNCTION("""COMPUTED_VALUE"""),"SI")</f>
        <v>SI</v>
      </c>
      <c r="U2214" s="213" t="str">
        <f>IFERROR(__xludf.DUMMYFUNCTION("""COMPUTED_VALUE"""),"SI")</f>
        <v>SI</v>
      </c>
      <c r="V2214" s="213" t="str">
        <f>IFERROR(__xludf.DUMMYFUNCTION("""COMPUTED_VALUE"""),"-")</f>
        <v>-</v>
      </c>
      <c r="W2214" s="213" t="str">
        <f>IFERROR(__xludf.DUMMYFUNCTION("""COMPUTED_VALUE"""),"-")</f>
        <v>-</v>
      </c>
      <c r="X2214" s="213" t="str">
        <f>IFERROR(__xludf.DUMMYFUNCTION("""COMPUTED_VALUE"""),"R&amp;G")</f>
        <v>R&amp;G</v>
      </c>
      <c r="Y2214" s="213">
        <f>IFERROR(__xludf.DUMMYFUNCTION("""COMPUTED_VALUE"""),1.000194057E9)</f>
        <v>1000194057</v>
      </c>
      <c r="Z2214" s="215" t="str">
        <f>IFERROR(__xludf.DUMMYFUNCTION("""COMPUTED_VALUE"""),"https://www.promart.pe/mascarilla-quirurgica-r-g-3-capas-3-pliegues-caja-50und-1000175500/p?srsltid=AfmBOoooMhuWzP_n9FQs405lrxSGjxUwEPmvrCs3aI8urGeX1dAba4GM")</f>
        <v>https://www.promart.pe/mascarilla-quirurgica-r-g-3-capas-3-pliegues-caja-50und-1000175500/p?srsltid=AfmBOoooMhuWzP_n9FQs405lrxSGjxUwEPmvrCs3aI8urGeX1dAba4GM</v>
      </c>
      <c r="AA2214" s="213" t="str">
        <f>IFERROR(__xludf.DUMMYFUNCTION("""COMPUTED_VALUE"""),"MAT-386-Y MASCARILLA - CET")</f>
        <v>MAT-386-Y MASCARILLA - CET</v>
      </c>
      <c r="AB2214" s="213"/>
      <c r="AC2214" s="213"/>
      <c r="AD2214" s="213"/>
      <c r="AE2214" s="213"/>
      <c r="AF2214" s="213"/>
      <c r="AG2214" s="213"/>
      <c r="AH2214" s="213"/>
      <c r="AI2214" s="213"/>
      <c r="AJ2214" s="213"/>
      <c r="AK2214" s="213"/>
      <c r="AL2214" s="213"/>
      <c r="AM2214" s="213"/>
      <c r="AN2214" s="213"/>
      <c r="AO2214" s="213"/>
      <c r="AP2214" s="213" t="str">
        <f>IFERROR(__xludf.DUMMYFUNCTION("""COMPUTED_VALUE"""),"LUIS")</f>
        <v>LUIS</v>
      </c>
      <c r="AQ2214" s="213"/>
      <c r="AR2214" s="213"/>
      <c r="AS2214" s="213"/>
      <c r="AT2214" s="213"/>
      <c r="AU2214" s="213"/>
      <c r="AV2214" s="213"/>
      <c r="AW2214" s="213"/>
      <c r="AX2214" s="213"/>
      <c r="AY2214" s="213"/>
      <c r="AZ2214" s="213"/>
      <c r="BA2214" s="213"/>
      <c r="BB2214" s="213"/>
      <c r="BC2214" s="213"/>
      <c r="BD2214" s="213"/>
    </row>
    <row r="2215">
      <c r="A2215" s="213">
        <f>IFERROR(__xludf.DUMMYFUNCTION("""COMPUTED_VALUE"""),2120.0)</f>
        <v>2120</v>
      </c>
      <c r="B2215" s="213" t="str">
        <f>IFERROR(__xludf.DUMMYFUNCTION("""COMPUTED_VALUE"""),"JOSE GRANDA")</f>
        <v>JOSE GRANDA</v>
      </c>
      <c r="C2215" s="213" t="str">
        <f>IFERROR(__xludf.DUMMYFUNCTION("""COMPUTED_VALUE"""),"TALLER SFT DE INDUSTRIA ALIMENTARIA")</f>
        <v>TALLER SFT DE INDUSTRIA ALIMENTARIA</v>
      </c>
      <c r="D2215" s="213" t="str">
        <f>IFERROR(__xludf.DUMMYFUNCTION("""COMPUTED_VALUE"""),"HERRAMIENTAS")</f>
        <v>HERRAMIENTAS</v>
      </c>
      <c r="E2215" s="213" t="str">
        <f>IFERROR(__xludf.DUMMYFUNCTION("""COMPUTED_VALUE"""),"MAT-386")</f>
        <v>MAT-386</v>
      </c>
      <c r="F2215" s="213" t="str">
        <f>IFERROR(__xludf.DUMMYFUNCTION("""COMPUTED_VALUE"""),"MAT-386-Y")</f>
        <v>MAT-386-Y</v>
      </c>
      <c r="G2215" s="213"/>
      <c r="H2215" s="213" t="str">
        <f>IFERROR(__xludf.DUMMYFUNCTION("""COMPUTED_VALUE"""),"MASCARILLA")</f>
        <v>MASCARILLA</v>
      </c>
      <c r="I2215" s="213" t="str">
        <f>IFERROR(__xludf.DUMMYFUNCTION("""COMPUTED_VALUE"""),"· Mascarilla de 3 capas.
· Capacidad de filtración: BFE 99.5%.
· Estándar médico.
· Gomas elásticas.
· Clip nasal.")</f>
        <v>· Mascarilla de 3 capas.
· Capacidad de filtración: BFE 99.5%.
· Estándar médico.
· Gomas elásticas.
· Clip nasal.</v>
      </c>
      <c r="J2215" s="213">
        <f>IFERROR(__xludf.DUMMYFUNCTION("""COMPUTED_VALUE"""),3.0)</f>
        <v>3</v>
      </c>
      <c r="K2215" s="213" t="str">
        <f>IFERROR(__xludf.DUMMYFUNCTION("""COMPUTED_VALUE"""),"90 DÍAS CALENDARIO")</f>
        <v>90 DÍAS CALENDARIO</v>
      </c>
      <c r="L2215" s="213" t="str">
        <f>IFERROR(__xludf.DUMMYFUNCTION("""COMPUTED_VALUE"""),"")</f>
        <v/>
      </c>
      <c r="M2215" s="213">
        <f>IFERROR(__xludf.DUMMYFUNCTION("""COMPUTED_VALUE"""),1.0)</f>
        <v>1</v>
      </c>
      <c r="N2215" s="213">
        <f>IFERROR(__xludf.DUMMYFUNCTION("""COMPUTED_VALUE"""),20.0)</f>
        <v>20</v>
      </c>
      <c r="O2215" s="213">
        <f>IFERROR(__xludf.DUMMYFUNCTION("""COMPUTED_VALUE"""),20.0)</f>
        <v>20</v>
      </c>
      <c r="P2215" s="213"/>
      <c r="Q2215" s="213"/>
      <c r="R2215" s="213" t="str">
        <f>IFERROR(__xludf.DUMMYFUNCTION("""COMPUTED_VALUE"""),"SI")</f>
        <v>SI</v>
      </c>
      <c r="S2215" s="213"/>
      <c r="T2215" s="213" t="str">
        <f>IFERROR(__xludf.DUMMYFUNCTION("""COMPUTED_VALUE"""),"SI")</f>
        <v>SI</v>
      </c>
      <c r="U2215" s="213" t="str">
        <f>IFERROR(__xludf.DUMMYFUNCTION("""COMPUTED_VALUE"""),"SI")</f>
        <v>SI</v>
      </c>
      <c r="V2215" s="213" t="str">
        <f>IFERROR(__xludf.DUMMYFUNCTION("""COMPUTED_VALUE"""),"-")</f>
        <v>-</v>
      </c>
      <c r="W2215" s="213" t="str">
        <f>IFERROR(__xludf.DUMMYFUNCTION("""COMPUTED_VALUE"""),"-")</f>
        <v>-</v>
      </c>
      <c r="X2215" s="213" t="str">
        <f>IFERROR(__xludf.DUMMYFUNCTION("""COMPUTED_VALUE"""),"R&amp;G")</f>
        <v>R&amp;G</v>
      </c>
      <c r="Y2215" s="213">
        <f>IFERROR(__xludf.DUMMYFUNCTION("""COMPUTED_VALUE"""),1.000194057E9)</f>
        <v>1000194057</v>
      </c>
      <c r="Z2215" s="215" t="str">
        <f>IFERROR(__xludf.DUMMYFUNCTION("""COMPUTED_VALUE"""),"https://www.promart.pe/mascarilla-quirurgica-r-g-3-capas-3-pliegues-caja-50und-1000175500/p?srsltid=AfmBOoooMhuWzP_n9FQs405lrxSGjxUwEPmvrCs3aI8urGeX1dAba4GM")</f>
        <v>https://www.promart.pe/mascarilla-quirurgica-r-g-3-capas-3-pliegues-caja-50und-1000175500/p?srsltid=AfmBOoooMhuWzP_n9FQs405lrxSGjxUwEPmvrCs3aI8urGeX1dAba4GM</v>
      </c>
      <c r="AA2215" s="213" t="str">
        <f>IFERROR(__xludf.DUMMYFUNCTION("""COMPUTED_VALUE"""),"MAT-386-Y MASCARILLA - CET")</f>
        <v>MAT-386-Y MASCARILLA - CET</v>
      </c>
      <c r="AB2215" s="213"/>
      <c r="AC2215" s="213"/>
      <c r="AD2215" s="213"/>
      <c r="AE2215" s="213"/>
      <c r="AF2215" s="213"/>
      <c r="AG2215" s="213"/>
      <c r="AH2215" s="213"/>
      <c r="AI2215" s="213"/>
      <c r="AJ2215" s="213"/>
      <c r="AK2215" s="213"/>
      <c r="AL2215" s="213"/>
      <c r="AM2215" s="213"/>
      <c r="AN2215" s="213"/>
      <c r="AO2215" s="213"/>
      <c r="AP2215" s="213" t="str">
        <f>IFERROR(__xludf.DUMMYFUNCTION("""COMPUTED_VALUE"""),"LUIS")</f>
        <v>LUIS</v>
      </c>
      <c r="AQ2215" s="213"/>
      <c r="AR2215" s="213"/>
      <c r="AS2215" s="213"/>
      <c r="AT2215" s="213"/>
      <c r="AU2215" s="213"/>
      <c r="AV2215" s="213"/>
      <c r="AW2215" s="213"/>
      <c r="AX2215" s="213"/>
      <c r="AY2215" s="213"/>
      <c r="AZ2215" s="213"/>
      <c r="BA2215" s="213"/>
      <c r="BB2215" s="213"/>
      <c r="BC2215" s="213"/>
      <c r="BD2215" s="213"/>
    </row>
    <row r="2216">
      <c r="A2216" s="213">
        <f>IFERROR(__xludf.DUMMYFUNCTION("""COMPUTED_VALUE"""),1901.0)</f>
        <v>1901</v>
      </c>
      <c r="B2216" s="213" t="str">
        <f>IFERROR(__xludf.DUMMYFUNCTION("""COMPUTED_VALUE"""),"GUILLERMO E. BILLINGHURST ")</f>
        <v>GUILLERMO E. BILLINGHURST </v>
      </c>
      <c r="C2216" s="213" t="str">
        <f>IFERROR(__xludf.DUMMYFUNCTION("""COMPUTED_VALUE"""),"TALLER SFT DE EBANISTERÍA")</f>
        <v>TALLER SFT DE EBANISTERÍA</v>
      </c>
      <c r="D2216" s="213" t="str">
        <f>IFERROR(__xludf.DUMMYFUNCTION("""COMPUTED_VALUE"""),"EQUIPOS")</f>
        <v>EQUIPOS</v>
      </c>
      <c r="E2216" s="213" t="str">
        <f>IFERROR(__xludf.DUMMYFUNCTION("""COMPUTED_VALUE"""),"ESP-328")</f>
        <v>ESP-328</v>
      </c>
      <c r="F2216" s="213" t="str">
        <f>IFERROR(__xludf.DUMMYFUNCTION("""COMPUTED_VALUE"""),"ESP-328")</f>
        <v>ESP-328</v>
      </c>
      <c r="G2216" s="213"/>
      <c r="H2216" s="213" t="str">
        <f>IFERROR(__xludf.DUMMYFUNCTION("""COMPUTED_VALUE"""),"RUTEADORA  PORTATIL")</f>
        <v>RUTEADORA  PORTATIL</v>
      </c>
      <c r="I2216" s="213" t="str">
        <f>IFERROR(__xludf.DUMMYFUNCTION("""COMPUTED_VALUE"""),"Diseñado para recortar y perfilar madera. Fresadora con base de superficie.
Con sistema de cambio rápido, con un ajuste preciso y seguro de la base de superficie. Recorrido de la bandeja, máximo: 76 mm.
Buje adaptador para portaherramientas, mínimo: 8 mm."&amp;" Velocidad de giro en vacío, entre: 10,000 - 25,000 rpm. Potencia absorbida: minimo 1600 W.
Voltaje, frecuencia: 220 V, 60 Hz.
Incluye un juego de 12 fresas con inserción de 8 mm.")</f>
        <v>Diseñado para recortar y perfilar madera. Fresadora con base de superficie.
Con sistema de cambio rápido, con un ajuste preciso y seguro de la base de superficie. Recorrido de la bandeja, máximo: 76 mm.
Buje adaptador para portaherramientas, mínimo: 8 mm. Velocidad de giro en vacío, entre: 10,000 - 25,000 rpm. Potencia absorbida: minimo 1600 W.
Voltaje, frecuencia: 220 V, 60 Hz.
Incluye un juego de 12 fresas con inserción de 8 mm.</v>
      </c>
      <c r="J2216" s="213">
        <f>IFERROR(__xludf.DUMMYFUNCTION("""COMPUTED_VALUE"""),3.0)</f>
        <v>3</v>
      </c>
      <c r="K2216" s="213" t="str">
        <f>IFERROR(__xludf.DUMMYFUNCTION("""COMPUTED_VALUE"""),"170 DÍAS CALENDARIO")</f>
        <v>170 DÍAS CALENDARIO</v>
      </c>
      <c r="L2216" s="213" t="str">
        <f>IFERROR(__xludf.DUMMYFUNCTION("""COMPUTED_VALUE"""),"")</f>
        <v/>
      </c>
      <c r="M2216" s="213">
        <f>IFERROR(__xludf.DUMMYFUNCTION("""COMPUTED_VALUE"""),1.0)</f>
        <v>1</v>
      </c>
      <c r="N2216" s="213">
        <f>IFERROR(__xludf.DUMMYFUNCTION("""COMPUTED_VALUE"""),1.0)</f>
        <v>1</v>
      </c>
      <c r="O2216" s="213">
        <f>IFERROR(__xludf.DUMMYFUNCTION("""COMPUTED_VALUE"""),1.0)</f>
        <v>1</v>
      </c>
      <c r="P2216" s="213"/>
      <c r="Q2216" s="213"/>
      <c r="R2216" s="213"/>
      <c r="S2216" s="213" t="str">
        <f>IFERROR(__xludf.DUMMYFUNCTION("""COMPUTED_VALUE"""),"SI")</f>
        <v>SI</v>
      </c>
      <c r="T2216" s="213" t="str">
        <f>IFERROR(__xludf.DUMMYFUNCTION("""COMPUTED_VALUE"""),"SI")</f>
        <v>SI</v>
      </c>
      <c r="U2216" s="213" t="str">
        <f>IFERROR(__xludf.DUMMYFUNCTION("""COMPUTED_VALUE"""),"SI")</f>
        <v>SI</v>
      </c>
      <c r="V2216" s="213" t="str">
        <f>IFERROR(__xludf.DUMMYFUNCTION("""COMPUTED_VALUE"""),"-")</f>
        <v>-</v>
      </c>
      <c r="W2216" s="213" t="str">
        <f>IFERROR(__xludf.DUMMYFUNCTION("""COMPUTED_VALUE"""),"-")</f>
        <v>-</v>
      </c>
      <c r="X2216" s="213" t="str">
        <f>IFERROR(__xludf.DUMMYFUNCTION("""COMPUTED_VALUE"""),"BOSCH")</f>
        <v>BOSCH</v>
      </c>
      <c r="Y2216" s="213" t="str">
        <f>IFERROR(__xludf.DUMMYFUNCTION("""COMPUTED_VALUE"""),"GOF 1600 CE")</f>
        <v>GOF 1600 CE</v>
      </c>
      <c r="Z2216" s="215" t="str">
        <f>IFERROR(__xludf.DUMMYFUNCTION("""COMPUTED_VALUE"""),"https://www.mercadolibre.cl/fresadora-bosch-gof-1600-ce-1600w-guia-llave/p/MLC13832787")</f>
        <v>https://www.mercadolibre.cl/fresadora-bosch-gof-1600-ce-1600w-guia-llave/p/MLC13832787</v>
      </c>
      <c r="AA2216" s="213" t="str">
        <f>IFERROR(__xludf.DUMMYFUNCTION("""COMPUTED_VALUE"""),"ESP-328 RUTEADORA  PORTATIL - CET")</f>
        <v>ESP-328 RUTEADORA  PORTATIL - CET</v>
      </c>
      <c r="AB2216" s="215" t="str">
        <f>IFERROR(__xludf.DUMMYFUNCTION("""COMPUTED_VALUE"""),"https://drive.google.com/file/d/1ZZNXU4cqtZk2aGqXmyTPTavgaYhWX6yI/view?usp=sharing")</f>
        <v>https://drive.google.com/file/d/1ZZNXU4cqtZk2aGqXmyTPTavgaYhWX6yI/view?usp=sharing</v>
      </c>
      <c r="AC2216" s="213"/>
      <c r="AD2216" s="213"/>
      <c r="AE2216" s="213"/>
      <c r="AF2216" s="213"/>
      <c r="AG2216" s="213"/>
      <c r="AH2216" s="213"/>
      <c r="AI2216" s="213"/>
      <c r="AJ2216" s="213"/>
      <c r="AK2216" s="213"/>
      <c r="AL2216" s="213"/>
      <c r="AM2216" s="213"/>
      <c r="AN2216" s="213"/>
      <c r="AO2216" s="213"/>
      <c r="AP2216" s="213" t="str">
        <f>IFERROR(__xludf.DUMMYFUNCTION("""COMPUTED_VALUE"""),"MICHEL")</f>
        <v>MICHEL</v>
      </c>
      <c r="AQ2216" s="213"/>
      <c r="AR2216" s="213"/>
      <c r="AS2216" s="213" t="str">
        <f>IFERROR(__xludf.DUMMYFUNCTION("""COMPUTED_VALUE"""),"Juego de 12 fresas con encastre de 8 mm")</f>
        <v>Juego de 12 fresas con encastre de 8 mm</v>
      </c>
      <c r="AT2216" s="216" t="str">
        <f>IFERROR(__xludf.DUMMYFUNCTION("""COMPUTED_VALUE"""),"https://sodimac.falabella.com.pe/sodimac-pe/product/117078584/SET-DE-12-FRESAS-PARA-RUTEADORA-8MM-INDUSTRIAL-TOTAL-TACSR1121/117078585?exp=sodimac")</f>
        <v>https://sodimac.falabella.com.pe/sodimac-pe/product/117078584/SET-DE-12-FRESAS-PARA-RUTEADORA-8MM-INDUSTRIAL-TOTAL-TACSR1121/117078585?exp=sodimac</v>
      </c>
      <c r="AU2216" s="213"/>
      <c r="AV2216" s="213"/>
      <c r="AW2216" s="213"/>
      <c r="AX2216" s="213"/>
      <c r="AY2216" s="213"/>
      <c r="AZ2216" s="213"/>
      <c r="BA2216" s="213"/>
      <c r="BB2216" s="213"/>
      <c r="BC2216" s="213"/>
      <c r="BD2216" s="213"/>
    </row>
    <row r="2217">
      <c r="A2217" s="213">
        <f>IFERROR(__xludf.DUMMYFUNCTION("""COMPUTED_VALUE"""),2682.0)</f>
        <v>2682</v>
      </c>
      <c r="B2217" s="213" t="str">
        <f>IFERROR(__xludf.DUMMYFUNCTION("""COMPUTED_VALUE"""),"MANUEL ANTONIO MESONES MURO")</f>
        <v>MANUEL ANTONIO MESONES MURO</v>
      </c>
      <c r="C2217" s="213" t="str">
        <f>IFERROR(__xludf.DUMMYFUNCTION("""COMPUTED_VALUE"""),"TALLER SFT DE EBANISTERÍA")</f>
        <v>TALLER SFT DE EBANISTERÍA</v>
      </c>
      <c r="D2217" s="213" t="str">
        <f>IFERROR(__xludf.DUMMYFUNCTION("""COMPUTED_VALUE"""),"EQUIPOS")</f>
        <v>EQUIPOS</v>
      </c>
      <c r="E2217" s="213" t="str">
        <f>IFERROR(__xludf.DUMMYFUNCTION("""COMPUTED_VALUE"""),"ESP-328")</f>
        <v>ESP-328</v>
      </c>
      <c r="F2217" s="213" t="str">
        <f>IFERROR(__xludf.DUMMYFUNCTION("""COMPUTED_VALUE"""),"ESP-328")</f>
        <v>ESP-328</v>
      </c>
      <c r="G2217" s="213"/>
      <c r="H2217" s="213" t="str">
        <f>IFERROR(__xludf.DUMMYFUNCTION("""COMPUTED_VALUE"""),"RUTEADORA  PORTATIL")</f>
        <v>RUTEADORA  PORTATIL</v>
      </c>
      <c r="I2217" s="213" t="str">
        <f>IFERROR(__xludf.DUMMYFUNCTION("""COMPUTED_VALUE"""),"Diseñado para recortar y perfilar madera. Fresadora con base de superficie.
Con sistema de cambio rápido, con un ajuste preciso y seguro de la base de superficie. Recorrido de la bandeja, máximo: 76 mm.
Buje adaptador para portaherramientas, mínimo: 8 mm."&amp;" Velocidad de giro en vacío, entre: 10,000 - 25,000 rpm. Potencia absorbida: minimo 1600 W.
Voltaje, frecuencia: 220 V, 60 Hz.
Incluye un juego de 12 fresas con inserción de 8 mm.")</f>
        <v>Diseñado para recortar y perfilar madera. Fresadora con base de superficie.
Con sistema de cambio rápido, con un ajuste preciso y seguro de la base de superficie. Recorrido de la bandeja, máximo: 76 mm.
Buje adaptador para portaherramientas, mínimo: 8 mm. Velocidad de giro en vacío, entre: 10,000 - 25,000 rpm. Potencia absorbida: minimo 1600 W.
Voltaje, frecuencia: 220 V, 60 Hz.
Incluye un juego de 12 fresas con inserción de 8 mm.</v>
      </c>
      <c r="J2217" s="213">
        <f>IFERROR(__xludf.DUMMYFUNCTION("""COMPUTED_VALUE"""),3.0)</f>
        <v>3</v>
      </c>
      <c r="K2217" s="213" t="str">
        <f>IFERROR(__xludf.DUMMYFUNCTION("""COMPUTED_VALUE"""),"170 DÍAS CALENDARIO")</f>
        <v>170 DÍAS CALENDARIO</v>
      </c>
      <c r="L2217" s="213" t="str">
        <f>IFERROR(__xludf.DUMMYFUNCTION("""COMPUTED_VALUE"""),"")</f>
        <v/>
      </c>
      <c r="M2217" s="213">
        <f>IFERROR(__xludf.DUMMYFUNCTION("""COMPUTED_VALUE"""),1.0)</f>
        <v>1</v>
      </c>
      <c r="N2217" s="213">
        <f>IFERROR(__xludf.DUMMYFUNCTION("""COMPUTED_VALUE"""),1.0)</f>
        <v>1</v>
      </c>
      <c r="O2217" s="213">
        <f>IFERROR(__xludf.DUMMYFUNCTION("""COMPUTED_VALUE"""),1.0)</f>
        <v>1</v>
      </c>
      <c r="P2217" s="213"/>
      <c r="Q2217" s="213"/>
      <c r="R2217" s="213"/>
      <c r="S2217" s="213" t="str">
        <f>IFERROR(__xludf.DUMMYFUNCTION("""COMPUTED_VALUE"""),"SI")</f>
        <v>SI</v>
      </c>
      <c r="T2217" s="213" t="str">
        <f>IFERROR(__xludf.DUMMYFUNCTION("""COMPUTED_VALUE"""),"SI")</f>
        <v>SI</v>
      </c>
      <c r="U2217" s="213" t="str">
        <f>IFERROR(__xludf.DUMMYFUNCTION("""COMPUTED_VALUE"""),"SI")</f>
        <v>SI</v>
      </c>
      <c r="V2217" s="213" t="str">
        <f>IFERROR(__xludf.DUMMYFUNCTION("""COMPUTED_VALUE"""),"-")</f>
        <v>-</v>
      </c>
      <c r="W2217" s="213" t="str">
        <f>IFERROR(__xludf.DUMMYFUNCTION("""COMPUTED_VALUE"""),"-")</f>
        <v>-</v>
      </c>
      <c r="X2217" s="213" t="str">
        <f>IFERROR(__xludf.DUMMYFUNCTION("""COMPUTED_VALUE"""),"BOSCH")</f>
        <v>BOSCH</v>
      </c>
      <c r="Y2217" s="213" t="str">
        <f>IFERROR(__xludf.DUMMYFUNCTION("""COMPUTED_VALUE"""),"GOF 1600 CE")</f>
        <v>GOF 1600 CE</v>
      </c>
      <c r="Z2217" s="215" t="str">
        <f>IFERROR(__xludf.DUMMYFUNCTION("""COMPUTED_VALUE"""),"https://www.mercadolibre.cl/fresadora-bosch-gof-1600-ce-1600w-guia-llave/p/MLC13832787")</f>
        <v>https://www.mercadolibre.cl/fresadora-bosch-gof-1600-ce-1600w-guia-llave/p/MLC13832787</v>
      </c>
      <c r="AA2217" s="213" t="str">
        <f>IFERROR(__xludf.DUMMYFUNCTION("""COMPUTED_VALUE"""),"ESP-328 RUTEADORA  PORTATIL - CET")</f>
        <v>ESP-328 RUTEADORA  PORTATIL - CET</v>
      </c>
      <c r="AB2217" s="215" t="str">
        <f>IFERROR(__xludf.DUMMYFUNCTION("""COMPUTED_VALUE"""),"https://drive.google.com/file/d/1ZZNXU4cqtZk2aGqXmyTPTavgaYhWX6yI/view?usp=sharing")</f>
        <v>https://drive.google.com/file/d/1ZZNXU4cqtZk2aGqXmyTPTavgaYhWX6yI/view?usp=sharing</v>
      </c>
      <c r="AC2217" s="213"/>
      <c r="AD2217" s="213"/>
      <c r="AE2217" s="213"/>
      <c r="AF2217" s="213"/>
      <c r="AG2217" s="213"/>
      <c r="AH2217" s="213"/>
      <c r="AI2217" s="213"/>
      <c r="AJ2217" s="213"/>
      <c r="AK2217" s="213"/>
      <c r="AL2217" s="213"/>
      <c r="AM2217" s="213"/>
      <c r="AN2217" s="213"/>
      <c r="AO2217" s="213"/>
      <c r="AP2217" s="213" t="str">
        <f>IFERROR(__xludf.DUMMYFUNCTION("""COMPUTED_VALUE"""),"MICHEL")</f>
        <v>MICHEL</v>
      </c>
      <c r="AQ2217" s="213"/>
      <c r="AR2217" s="213"/>
      <c r="AS2217" s="213" t="str">
        <f>IFERROR(__xludf.DUMMYFUNCTION("""COMPUTED_VALUE"""),"Juego de 12 fresas con encastre de 8 mm")</f>
        <v>Juego de 12 fresas con encastre de 8 mm</v>
      </c>
      <c r="AT2217" s="216" t="str">
        <f>IFERROR(__xludf.DUMMYFUNCTION("""COMPUTED_VALUE"""),"https://sodimac.falabella.com.pe/sodimac-pe/product/117078584/SET-DE-12-FRESAS-PARA-RUTEADORA-8MM-INDUSTRIAL-TOTAL-TACSR1121/117078585?exp=sodimac")</f>
        <v>https://sodimac.falabella.com.pe/sodimac-pe/product/117078584/SET-DE-12-FRESAS-PARA-RUTEADORA-8MM-INDUSTRIAL-TOTAL-TACSR1121/117078585?exp=sodimac</v>
      </c>
      <c r="AU2217" s="213"/>
      <c r="AV2217" s="213"/>
      <c r="AW2217" s="213"/>
      <c r="AX2217" s="213"/>
      <c r="AY2217" s="213"/>
      <c r="AZ2217" s="213"/>
      <c r="BA2217" s="213"/>
      <c r="BB2217" s="213"/>
      <c r="BC2217" s="213"/>
      <c r="BD2217" s="213"/>
    </row>
    <row r="2218">
      <c r="A2218" s="213">
        <f>IFERROR(__xludf.DUMMYFUNCTION("""COMPUTED_VALUE"""),1864.0)</f>
        <v>1864</v>
      </c>
      <c r="B2218" s="213" t="str">
        <f>IFERROR(__xludf.DUMMYFUNCTION("""COMPUTED_VALUE"""),"GUILLERMO E. BILLINGHURST ")</f>
        <v>GUILLERMO E. BILLINGHURST </v>
      </c>
      <c r="C2218" s="213" t="str">
        <f>IFERROR(__xludf.DUMMYFUNCTION("""COMPUTED_VALUE"""),"TALLER SFT DE EBANISTERÍA")</f>
        <v>TALLER SFT DE EBANISTERÍA</v>
      </c>
      <c r="D2218" s="213" t="str">
        <f>IFERROR(__xludf.DUMMYFUNCTION("""COMPUTED_VALUE"""),"EQUIPOS")</f>
        <v>EQUIPOS</v>
      </c>
      <c r="E2218" s="213" t="str">
        <f>IFERROR(__xludf.DUMMYFUNCTION("""COMPUTED_VALUE"""),"ESP-329")</f>
        <v>ESP-329</v>
      </c>
      <c r="F2218" s="213" t="str">
        <f>IFERROR(__xludf.DUMMYFUNCTION("""COMPUTED_VALUE"""),"ESP-329")</f>
        <v>ESP-329</v>
      </c>
      <c r="G2218" s="213"/>
      <c r="H2218" s="213" t="str">
        <f>IFERROR(__xludf.DUMMYFUNCTION("""COMPUTED_VALUE"""),"RUTEADORA CNC")</f>
        <v>RUTEADORA CNC</v>
      </c>
      <c r="I2218" s="213" t="str">
        <f>IFERROR(__xludf.DUMMYFUNCTION("""COMPUTED_VALUE"""),"Potencia de router : minima  900 W
Potencia de salida de router: minima 620 W
Velocidad sin carga: 16000-27000 rpm
Recorrido vertical: minima 55 mm Portafresas: 6-8 mm
Máx. diámetro de la cuchilla: 36 mm
Dimensiones de trabajo aproximado (+-5 mm) : 750x75"&amp;"0x65 mm (X x Y x Z)
Dimensiones de máquina aproximada (+-50mm) : 1250 x 1000 x 350 mm
Torque detenido: minimo 9Kg.cm
Diámetro del eje: minimo 8mm 
Requisitos Eléctricos: 220VAC, 60Hz
Estructura Metálica (perfiles de aluminio )
Desplazamiento de Ejes por: "&amp;"Correa GT2
Materiales: Maderas, MDF, Triplay, Acrílico,Plexiglás, PVC, Celtex, Aluminio
Incluye mesa soporte de longitudes aproximadas  (L150 x A120 x H90 cm) para el equipo, laptop de longitudes aproximadas (L40 x A25 x H25 cm) para el equipo, herramient"&amp;"as y accesorios para el correcto funcionamiento.")</f>
        <v>Potencia de router : minima  900 W
Potencia de salida de router: minima 620 W
Velocidad sin carga: 16000-27000 rpm
Recorrido vertical: minima 55 mm Portafresas: 6-8 mm
Máx. diámetro de la cuchilla: 36 mm
Dimensiones de trabajo aproximado (+-5 mm) : 750x750x65 mm (X x Y x Z)
Dimensiones de máquina aproximada (+-50mm) : 1250 x 1000 x 350 mm
Torque detenido: minimo 9Kg.cm
Diámetro del eje: minimo 8mm 
Requisitos Eléctricos: 220VAC, 60Hz
Estructura Metálica (perfiles de aluminio )
Desplazamiento de Ejes por: Correa GT2
Materiales: Maderas, MDF, Triplay, Acrílico,Plexiglás, PVC, Celtex, Aluminio
Incluye mesa soporte de longitudes aproximadas  (L150 x A120 x H90 cm) para el equipo, laptop de longitudes aproximadas (L40 x A25 x H25 cm) para el equipo, herramientas y accesorios para el correcto funcionamiento.</v>
      </c>
      <c r="J2218" s="213">
        <f>IFERROR(__xludf.DUMMYFUNCTION("""COMPUTED_VALUE"""),3.0)</f>
        <v>3</v>
      </c>
      <c r="K2218" s="213" t="str">
        <f>IFERROR(__xludf.DUMMYFUNCTION("""COMPUTED_VALUE"""),"170 DÍAS CALENDARIO")</f>
        <v>170 DÍAS CALENDARIO</v>
      </c>
      <c r="L2218" s="213" t="str">
        <f>IFERROR(__xludf.DUMMYFUNCTION("""COMPUTED_VALUE"""),"")</f>
        <v/>
      </c>
      <c r="M2218" s="213">
        <f>IFERROR(__xludf.DUMMYFUNCTION("""COMPUTED_VALUE"""),1.0)</f>
        <v>1</v>
      </c>
      <c r="N2218" s="213">
        <f>IFERROR(__xludf.DUMMYFUNCTION("""COMPUTED_VALUE"""),1.0)</f>
        <v>1</v>
      </c>
      <c r="O2218" s="213">
        <f>IFERROR(__xludf.DUMMYFUNCTION("""COMPUTED_VALUE"""),1.0)</f>
        <v>1</v>
      </c>
      <c r="P2218" s="213"/>
      <c r="Q2218" s="213"/>
      <c r="R2218" s="213"/>
      <c r="S2218" s="213" t="str">
        <f>IFERROR(__xludf.DUMMYFUNCTION("""COMPUTED_VALUE"""),"SI")</f>
        <v>SI</v>
      </c>
      <c r="T2218" s="213" t="str">
        <f>IFERROR(__xludf.DUMMYFUNCTION("""COMPUTED_VALUE"""),"CONSULTA FINAL")</f>
        <v>CONSULTA FINAL</v>
      </c>
      <c r="U2218" s="213" t="str">
        <f>IFERROR(__xludf.DUMMYFUNCTION("""COMPUTED_VALUE"""),"NO")</f>
        <v>NO</v>
      </c>
      <c r="V2218" s="213" t="str">
        <f>IFERROR(__xludf.DUMMYFUNCTION("""COMPUTED_VALUE"""),"NO")</f>
        <v>NO</v>
      </c>
      <c r="W2218" s="213"/>
      <c r="X2218" s="213" t="str">
        <f>IFERROR(__xludf.DUMMYFUNCTION("""COMPUTED_VALUE"""),"OPENBUILDS")</f>
        <v>OPENBUILDS</v>
      </c>
      <c r="Y2218" s="213" t="str">
        <f>IFERROR(__xludf.DUMMYFUNCTION("""COMPUTED_VALUE"""),"LEAD 1010")</f>
        <v>LEAD 1010</v>
      </c>
      <c r="Z2218" s="215" t="str">
        <f>IFERROR(__xludf.DUMMYFUNCTION("""COMPUTED_VALUE"""),"https://us.openbuilds.com/lead-cnc-machine-1010-40-x-40/")</f>
        <v>https://us.openbuilds.com/lead-cnc-machine-1010-40-x-40/</v>
      </c>
      <c r="AA2218" s="213" t="str">
        <f>IFERROR(__xludf.DUMMYFUNCTION("""COMPUTED_VALUE"""),"ESP-329 RUTEADORA CNC - CET")</f>
        <v>ESP-329 RUTEADORA CNC - CET</v>
      </c>
      <c r="AB2218" s="215" t="str">
        <f>IFERROR(__xludf.DUMMYFUNCTION("""COMPUTED_VALUE"""),"https://drive.google.com/file/d/1gzsMMMNKzOnbKJhX8JZps32fDi5Err_K/view?usp=sharing")</f>
        <v>https://drive.google.com/file/d/1gzsMMMNKzOnbKJhX8JZps32fDi5Err_K/view?usp=sharing</v>
      </c>
      <c r="AC2218" s="213"/>
      <c r="AD2218" s="213"/>
      <c r="AE2218" s="213"/>
      <c r="AF2218" s="213"/>
      <c r="AG2218" s="213"/>
      <c r="AH2218" s="213"/>
      <c r="AI2218" s="213"/>
      <c r="AJ2218" s="213"/>
      <c r="AK2218" s="213"/>
      <c r="AL2218" s="213"/>
      <c r="AM2218" s="213"/>
      <c r="AN2218" s="213"/>
      <c r="AO2218" s="213"/>
      <c r="AP2218" s="213" t="str">
        <f>IFERROR(__xludf.DUMMYFUNCTION("""COMPUTED_VALUE"""),"MICHEL")</f>
        <v>MICHEL</v>
      </c>
      <c r="AQ2218" s="213" t="str">
        <f>IFERROR(__xludf.DUMMYFUNCTION("""COMPUTED_VALUE"""),"No se cumplen las dimensiones de trabajo ni de la máquina. No se detalla torque detenido de los motores paso a paso.")</f>
        <v>No se cumplen las dimensiones de trabajo ni de la máquina. No se detalla torque detenido de los motores paso a paso.</v>
      </c>
      <c r="AR2218" s="213"/>
      <c r="AS2218" s="213" t="str">
        <f>IFERROR(__xludf.DUMMYFUNCTION("""COMPUTED_VALUE"""),"Incluye mesa soporte de longitudes aproximadas  (L150 x A120 x H90 cm) para el equipo (mesa de soporte para ruteadora cnc (DVC EPT-AR-09), laptop de longitudes aproximadas (L40 x A25 x H25 cm) para el equipo (Laptop básica), herramientas y accesorios para"&amp;" el correcto funcionamiento.  tablero de madera")</f>
        <v>Incluye mesa soporte de longitudes aproximadas  (L150 x A120 x H90 cm) para el equipo (mesa de soporte para ruteadora cnc (DVC EPT-AR-09), laptop de longitudes aproximadas (L40 x A25 x H25 cm) para el equipo (Laptop básica), herramientas y accesorios para el correcto funcionamiento.  tablero de madera</v>
      </c>
      <c r="AT2218" s="213"/>
      <c r="AU2218" s="213"/>
      <c r="AV2218" s="213"/>
      <c r="AW2218" s="213"/>
      <c r="AX2218" s="213"/>
      <c r="AY2218" s="213"/>
      <c r="AZ2218" s="213"/>
      <c r="BA2218" s="213"/>
      <c r="BB2218" s="213"/>
      <c r="BC2218" s="213"/>
      <c r="BD2218" s="213"/>
    </row>
    <row r="2219">
      <c r="A2219" s="213">
        <f>IFERROR(__xludf.DUMMYFUNCTION("""COMPUTED_VALUE"""),2645.0)</f>
        <v>2645</v>
      </c>
      <c r="B2219" s="213" t="str">
        <f>IFERROR(__xludf.DUMMYFUNCTION("""COMPUTED_VALUE"""),"MANUEL ANTONIO MESONES MURO")</f>
        <v>MANUEL ANTONIO MESONES MURO</v>
      </c>
      <c r="C2219" s="213" t="str">
        <f>IFERROR(__xludf.DUMMYFUNCTION("""COMPUTED_VALUE"""),"TALLER SFT DE EBANISTERÍA")</f>
        <v>TALLER SFT DE EBANISTERÍA</v>
      </c>
      <c r="D2219" s="213" t="str">
        <f>IFERROR(__xludf.DUMMYFUNCTION("""COMPUTED_VALUE"""),"EQUIPOS")</f>
        <v>EQUIPOS</v>
      </c>
      <c r="E2219" s="213" t="str">
        <f>IFERROR(__xludf.DUMMYFUNCTION("""COMPUTED_VALUE"""),"ESP-329")</f>
        <v>ESP-329</v>
      </c>
      <c r="F2219" s="213" t="str">
        <f>IFERROR(__xludf.DUMMYFUNCTION("""COMPUTED_VALUE"""),"ESP-329")</f>
        <v>ESP-329</v>
      </c>
      <c r="G2219" s="213"/>
      <c r="H2219" s="213" t="str">
        <f>IFERROR(__xludf.DUMMYFUNCTION("""COMPUTED_VALUE"""),"RUTEADORA CNC")</f>
        <v>RUTEADORA CNC</v>
      </c>
      <c r="I2219" s="213" t="str">
        <f>IFERROR(__xludf.DUMMYFUNCTION("""COMPUTED_VALUE"""),"Potencia de router : minima  900 W Potencia de salida de router: minima 620 W Velocidad sin carga: 16000-27000 rpm Recorrido vertical: minima 55 mm Portafresas: 6-8 mm
Máx. diámetro de la cuchilla: 36 mm
Dimensiones de trabajo aproximado (+-5 mm) : 750x75"&amp;"0x65 mm (X x Y x Z) Dimensiones de máquina aproximada (+-50mm) : 1250 x 1000 x 350 mm Torque detenido: minimo 9Kg.cm
Diámetro del eje: minimo 8mm  Requisitos Eléctricos: 220VAC, 60Hz Estructura Metálica (perfiles de aluminio ) Desplazamiento de Ejes por: "&amp;"Correa GT2
Materiales: Maderas, MDF, Triplay, Acrílico,Plexiglás, PVC, Celtex, Aluminio
Incluye mesa soporte de longitudes aproximadas  (L150 x A120 x H90 cm) para el equipo, laptop de longitudes aproximadas (L40 x A25 x H25 cm) para el equipo, herramient"&amp;"as y accesorios para el correcto funcionamiento.")</f>
        <v>Potencia de router : minima  900 W Potencia de salida de router: minima 620 W Velocidad sin carga: 16000-27000 rpm Recorrido vertical: minima 55 mm Portafresas: 6-8 mm
Máx. diámetro de la cuchilla: 36 mm
Dimensiones de trabajo aproximado (+-5 mm) : 750x750x65 mm (X x Y x Z) Dimensiones de máquina aproximada (+-50mm) : 1250 x 1000 x 350 mm Torque detenido: minimo 9Kg.cm
Diámetro del eje: minimo 8mm  Requisitos Eléctricos: 220VAC, 60Hz Estructura Metálica (perfiles de aluminio ) Desplazamiento de Ejes por: Correa GT2
Materiales: Maderas, MDF, Triplay, Acrílico,Plexiglás, PVC, Celtex, Aluminio
Incluye mesa soporte de longitudes aproximadas  (L150 x A120 x H90 cm) para el equipo, laptop de longitudes aproximadas (L40 x A25 x H25 cm) para el equipo, herramientas y accesorios para el correcto funcionamiento.</v>
      </c>
      <c r="J2219" s="213">
        <f>IFERROR(__xludf.DUMMYFUNCTION("""COMPUTED_VALUE"""),3.0)</f>
        <v>3</v>
      </c>
      <c r="K2219" s="213" t="str">
        <f>IFERROR(__xludf.DUMMYFUNCTION("""COMPUTED_VALUE"""),"170 DÍAS CALENDARIO")</f>
        <v>170 DÍAS CALENDARIO</v>
      </c>
      <c r="L2219" s="213" t="str">
        <f>IFERROR(__xludf.DUMMYFUNCTION("""COMPUTED_VALUE"""),"")</f>
        <v/>
      </c>
      <c r="M2219" s="213">
        <f>IFERROR(__xludf.DUMMYFUNCTION("""COMPUTED_VALUE"""),1.0)</f>
        <v>1</v>
      </c>
      <c r="N2219" s="213">
        <f>IFERROR(__xludf.DUMMYFUNCTION("""COMPUTED_VALUE"""),1.0)</f>
        <v>1</v>
      </c>
      <c r="O2219" s="213">
        <f>IFERROR(__xludf.DUMMYFUNCTION("""COMPUTED_VALUE"""),1.0)</f>
        <v>1</v>
      </c>
      <c r="P2219" s="213"/>
      <c r="Q2219" s="213"/>
      <c r="R2219" s="213"/>
      <c r="S2219" s="213" t="str">
        <f>IFERROR(__xludf.DUMMYFUNCTION("""COMPUTED_VALUE"""),"SI")</f>
        <v>SI</v>
      </c>
      <c r="T2219" s="213" t="str">
        <f>IFERROR(__xludf.DUMMYFUNCTION("""COMPUTED_VALUE"""),"CONSULTA FINAL")</f>
        <v>CONSULTA FINAL</v>
      </c>
      <c r="U2219" s="213" t="str">
        <f>IFERROR(__xludf.DUMMYFUNCTION("""COMPUTED_VALUE"""),"NO")</f>
        <v>NO</v>
      </c>
      <c r="V2219" s="213" t="str">
        <f>IFERROR(__xludf.DUMMYFUNCTION("""COMPUTED_VALUE"""),"NO")</f>
        <v>NO</v>
      </c>
      <c r="W2219" s="213"/>
      <c r="X2219" s="213" t="str">
        <f>IFERROR(__xludf.DUMMYFUNCTION("""COMPUTED_VALUE"""),"OPENBUILDS")</f>
        <v>OPENBUILDS</v>
      </c>
      <c r="Y2219" s="213" t="str">
        <f>IFERROR(__xludf.DUMMYFUNCTION("""COMPUTED_VALUE"""),"LEAD 1010")</f>
        <v>LEAD 1010</v>
      </c>
      <c r="Z2219" s="215" t="str">
        <f>IFERROR(__xludf.DUMMYFUNCTION("""COMPUTED_VALUE"""),"https://us.openbuilds.com/lead-cnc-machine-1010-40-x-40/")</f>
        <v>https://us.openbuilds.com/lead-cnc-machine-1010-40-x-40/</v>
      </c>
      <c r="AA2219" s="213" t="str">
        <f>IFERROR(__xludf.DUMMYFUNCTION("""COMPUTED_VALUE"""),"ESP-329 RUTEADORA CNC - CET")</f>
        <v>ESP-329 RUTEADORA CNC - CET</v>
      </c>
      <c r="AB2219" s="215" t="str">
        <f>IFERROR(__xludf.DUMMYFUNCTION("""COMPUTED_VALUE"""),"https://drive.google.com/file/d/1gzsMMMNKzOnbKJhX8JZps32fDi5Err_K/view?usp=sharing")</f>
        <v>https://drive.google.com/file/d/1gzsMMMNKzOnbKJhX8JZps32fDi5Err_K/view?usp=sharing</v>
      </c>
      <c r="AC2219" s="213"/>
      <c r="AD2219" s="213"/>
      <c r="AE2219" s="213"/>
      <c r="AF2219" s="213"/>
      <c r="AG2219" s="213"/>
      <c r="AH2219" s="213"/>
      <c r="AI2219" s="213"/>
      <c r="AJ2219" s="213"/>
      <c r="AK2219" s="213"/>
      <c r="AL2219" s="213"/>
      <c r="AM2219" s="213"/>
      <c r="AN2219" s="213"/>
      <c r="AO2219" s="213"/>
      <c r="AP2219" s="213" t="str">
        <f>IFERROR(__xludf.DUMMYFUNCTION("""COMPUTED_VALUE"""),"MICHEL")</f>
        <v>MICHEL</v>
      </c>
      <c r="AQ2219" s="213" t="str">
        <f>IFERROR(__xludf.DUMMYFUNCTION("""COMPUTED_VALUE"""),"No se cumplen las dimensiones de trabajo ni de la máquina. No se detalla torque detenido de los motores paso a paso.")</f>
        <v>No se cumplen las dimensiones de trabajo ni de la máquina. No se detalla torque detenido de los motores paso a paso.</v>
      </c>
      <c r="AR2219" s="213"/>
      <c r="AS2219" s="213" t="str">
        <f>IFERROR(__xludf.DUMMYFUNCTION("""COMPUTED_VALUE"""),"Incluye mesa soporte de longitudes aproximadas  (L150 x A120 x H90 cm) para el equipo (mesa de soporte para ruteadora cnc (DVC EPT-AR-09), laptop de longitudes aproximadas (L40 x A25 x H25 cm) para el equipo (Laptop básica), herramientas y accesorios para"&amp;" el correcto funcionamiento.  tablero de madera")</f>
        <v>Incluye mesa soporte de longitudes aproximadas  (L150 x A120 x H90 cm) para el equipo (mesa de soporte para ruteadora cnc (DVC EPT-AR-09), laptop de longitudes aproximadas (L40 x A25 x H25 cm) para el equipo (Laptop básica), herramientas y accesorios para el correcto funcionamiento.  tablero de madera</v>
      </c>
      <c r="AT2219" s="213"/>
      <c r="AU2219" s="213"/>
      <c r="AV2219" s="213"/>
      <c r="AW2219" s="213"/>
      <c r="AX2219" s="213"/>
      <c r="AY2219" s="213"/>
      <c r="AZ2219" s="213"/>
      <c r="BA2219" s="213"/>
      <c r="BB2219" s="213"/>
      <c r="BC2219" s="213"/>
      <c r="BD2219" s="213"/>
    </row>
    <row r="2220">
      <c r="A2220" s="213">
        <f>IFERROR(__xludf.DUMMYFUNCTION("""COMPUTED_VALUE"""),2397.0)</f>
        <v>2397</v>
      </c>
      <c r="B2220" s="213" t="str">
        <f>IFERROR(__xludf.DUMMYFUNCTION("""COMPUTED_VALUE"""),"MANUEL ANTONIO MESONES MURO")</f>
        <v>MANUEL ANTONIO MESONES MURO</v>
      </c>
      <c r="C2220" s="213" t="str">
        <f>IFERROR(__xludf.DUMMYFUNCTION("""COMPUTED_VALUE"""),"TALLER SFT DE INDUSTRIA DEL VESTIDO")</f>
        <v>TALLER SFT DE INDUSTRIA DEL VESTIDO</v>
      </c>
      <c r="D2220" s="213" t="str">
        <f>IFERROR(__xludf.DUMMYFUNCTION("""COMPUTED_VALUE"""),"HERRAMIENTAS")</f>
        <v>HERRAMIENTAS</v>
      </c>
      <c r="E2220" s="213" t="str">
        <f>IFERROR(__xludf.DUMMYFUNCTION("""COMPUTED_VALUE"""),"MAT-386")</f>
        <v>MAT-386</v>
      </c>
      <c r="F2220" s="213" t="str">
        <f>IFERROR(__xludf.DUMMYFUNCTION("""COMPUTED_VALUE"""),"MAT-386-X")</f>
        <v>MAT-386-X</v>
      </c>
      <c r="G2220" s="213"/>
      <c r="H2220" s="213" t="str">
        <f>IFERROR(__xludf.DUMMYFUNCTION("""COMPUTED_VALUE"""),"MASCARILLA")</f>
        <v>MASCARILLA</v>
      </c>
      <c r="I2220" s="213" t="str">
        <f>IFERROR(__xludf.DUMMYFUNCTION("""COMPUTED_VALUE"""),"Respirador fabricado con un medio filtrante electrostático, avanzado y antitaponamiento, color blanco para la protección respiratoria contra polvos y neblinas a base de líquidos sin aceites.
- Fabricada conforme a la norma NIOSH-N95.")</f>
        <v>Respirador fabricado con un medio filtrante electrostático, avanzado y antitaponamiento, color blanco para la protección respiratoria contra polvos y neblinas a base de líquidos sin aceites.
- Fabricada conforme a la norma NIOSH-N95.</v>
      </c>
      <c r="J2220" s="213">
        <f>IFERROR(__xludf.DUMMYFUNCTION("""COMPUTED_VALUE"""),3.0)</f>
        <v>3</v>
      </c>
      <c r="K2220" s="213" t="str">
        <f>IFERROR(__xludf.DUMMYFUNCTION("""COMPUTED_VALUE"""),"90 DÍAS CALENDARIO")</f>
        <v>90 DÍAS CALENDARIO</v>
      </c>
      <c r="L2220" s="213" t="str">
        <f>IFERROR(__xludf.DUMMYFUNCTION("""COMPUTED_VALUE"""),"")</f>
        <v/>
      </c>
      <c r="M2220" s="213">
        <f>IFERROR(__xludf.DUMMYFUNCTION("""COMPUTED_VALUE"""),1.0)</f>
        <v>1</v>
      </c>
      <c r="N2220" s="213">
        <f>IFERROR(__xludf.DUMMYFUNCTION("""COMPUTED_VALUE"""),20.0)</f>
        <v>20</v>
      </c>
      <c r="O2220" s="213">
        <f>IFERROR(__xludf.DUMMYFUNCTION("""COMPUTED_VALUE"""),20.0)</f>
        <v>20</v>
      </c>
      <c r="P2220" s="213"/>
      <c r="Q2220" s="213"/>
      <c r="R2220" s="213" t="str">
        <f>IFERROR(__xludf.DUMMYFUNCTION("""COMPUTED_VALUE"""),"SI")</f>
        <v>SI</v>
      </c>
      <c r="S2220" s="213"/>
      <c r="T2220" s="213" t="str">
        <f>IFERROR(__xludf.DUMMYFUNCTION("""COMPUTED_VALUE"""),"SI")</f>
        <v>SI</v>
      </c>
      <c r="U2220" s="213" t="str">
        <f>IFERROR(__xludf.DUMMYFUNCTION("""COMPUTED_VALUE"""),"SI")</f>
        <v>SI</v>
      </c>
      <c r="V2220" s="213" t="str">
        <f>IFERROR(__xludf.DUMMYFUNCTION("""COMPUTED_VALUE"""),"-")</f>
        <v>-</v>
      </c>
      <c r="W2220" s="213" t="str">
        <f>IFERROR(__xludf.DUMMYFUNCTION("""COMPUTED_VALUE"""),"-")</f>
        <v>-</v>
      </c>
      <c r="X2220" s="213" t="str">
        <f>IFERROR(__xludf.DUMMYFUNCTION("""COMPUTED_VALUE"""),"3M")</f>
        <v>3M</v>
      </c>
      <c r="Y2220" s="213">
        <f>IFERROR(__xludf.DUMMYFUNCTION("""COMPUTED_VALUE"""),7.0070799534E10)</f>
        <v>70070799534</v>
      </c>
      <c r="Z2220" s="215" t="str">
        <f>IFERROR(__xludf.DUMMYFUNCTION("""COMPUTED_VALUE"""),"https://eppsperu.pe/producto/respirador-para-particulas-8214-3m/")</f>
        <v>https://eppsperu.pe/producto/respirador-para-particulas-8214-3m/</v>
      </c>
      <c r="AA2220" s="213" t="str">
        <f>IFERROR(__xludf.DUMMYFUNCTION("""COMPUTED_VALUE"""),"MAT-386-X MASCARILLA - CET")</f>
        <v>MAT-386-X MASCARILLA - CET</v>
      </c>
      <c r="AB2220" s="213"/>
      <c r="AC2220" s="213"/>
      <c r="AD2220" s="213"/>
      <c r="AE2220" s="213"/>
      <c r="AF2220" s="213"/>
      <c r="AG2220" s="213"/>
      <c r="AH2220" s="213"/>
      <c r="AI2220" s="213"/>
      <c r="AJ2220" s="213"/>
      <c r="AK2220" s="213"/>
      <c r="AL2220" s="213"/>
      <c r="AM2220" s="213"/>
      <c r="AN2220" s="213"/>
      <c r="AO2220" s="213"/>
      <c r="AP2220" s="213" t="str">
        <f>IFERROR(__xludf.DUMMYFUNCTION("""COMPUTED_VALUE"""),"SEBASTIAN")</f>
        <v>SEBASTIAN</v>
      </c>
      <c r="AQ2220" s="213"/>
      <c r="AR2220" s="213"/>
      <c r="AS2220" s="213"/>
      <c r="AT2220" s="213"/>
      <c r="AU2220" s="213"/>
      <c r="AV2220" s="213"/>
      <c r="AW2220" s="213"/>
      <c r="AX2220" s="213"/>
      <c r="AY2220" s="213"/>
      <c r="AZ2220" s="213"/>
      <c r="BA2220" s="213"/>
      <c r="BB2220" s="213"/>
      <c r="BC2220" s="213"/>
      <c r="BD2220" s="213"/>
    </row>
    <row r="2221">
      <c r="A2221" s="213">
        <f>IFERROR(__xludf.DUMMYFUNCTION("""COMPUTED_VALUE"""),475.0)</f>
        <v>475</v>
      </c>
      <c r="B2221" s="213" t="str">
        <f>IFERROR(__xludf.DUMMYFUNCTION("""COMPUTED_VALUE"""),"2026 SIMON BOLIVAR")</f>
        <v>2026 SIMON BOLIVAR</v>
      </c>
      <c r="C2221" s="213" t="str">
        <f>IFERROR(__xludf.DUMMYFUNCTION("""COMPUTED_VALUE"""),"TALLER SFT DE INDUSTRIA ALIMENTARIA")</f>
        <v>TALLER SFT DE INDUSTRIA ALIMENTARIA</v>
      </c>
      <c r="D2221" s="213" t="str">
        <f>IFERROR(__xludf.DUMMYFUNCTION("""COMPUTED_VALUE"""),"HERRAMIENTAS")</f>
        <v>HERRAMIENTAS</v>
      </c>
      <c r="E2221" s="213" t="str">
        <f>IFERROR(__xludf.DUMMYFUNCTION("""COMPUTED_VALUE"""),"MAT-392")</f>
        <v>MAT-392</v>
      </c>
      <c r="F2221" s="213" t="str">
        <f>IFERROR(__xludf.DUMMYFUNCTION("""COMPUTED_VALUE"""),"MAT-392")</f>
        <v>MAT-392</v>
      </c>
      <c r="G2221" s="213"/>
      <c r="H2221" s="213" t="str">
        <f>IFERROR(__xludf.DUMMYFUNCTION("""COMPUTED_VALUE"""),"OLLA 10 LITROS")</f>
        <v>OLLA 10 LITROS</v>
      </c>
      <c r="I2221" s="213" t="str">
        <f>IFERROR(__xludf.DUMMYFUNCTION("""COMPUTED_VALUE"""),"· Material: Acero inoxidable
· Fondo inducción con placa de aluminio en su interior, mejora la distribución del calor
· Capacidad 10 litros
· Espesor lados: 1mm mínimo.
· Espesor de la base: 3mm  mínimo.
· Alto: 19cm  mínimo.
· Diámetro 28cm  mínimo.")</f>
        <v>· Material: Acero inoxidable
· Fondo inducción con placa de aluminio en su interior, mejora la distribución del calor
· Capacidad 10 litros
· Espesor lados: 1mm mínimo.
· Espesor de la base: 3mm  mínimo.
· Alto: 19cm  mínimo.
· Diámetro 28cm  mínimo.</v>
      </c>
      <c r="J2221" s="213">
        <f>IFERROR(__xludf.DUMMYFUNCTION("""COMPUTED_VALUE"""),3.0)</f>
        <v>3</v>
      </c>
      <c r="K2221" s="213" t="str">
        <f>IFERROR(__xludf.DUMMYFUNCTION("""COMPUTED_VALUE"""),"90 DÍAS CALENDARIO")</f>
        <v>90 DÍAS CALENDARIO</v>
      </c>
      <c r="L2221" s="213" t="str">
        <f>IFERROR(__xludf.DUMMYFUNCTION("""COMPUTED_VALUE"""),"")</f>
        <v/>
      </c>
      <c r="M2221" s="213">
        <f>IFERROR(__xludf.DUMMYFUNCTION("""COMPUTED_VALUE"""),1.0)</f>
        <v>1</v>
      </c>
      <c r="N2221" s="213">
        <f>IFERROR(__xludf.DUMMYFUNCTION("""COMPUTED_VALUE"""),2.0)</f>
        <v>2</v>
      </c>
      <c r="O2221" s="213">
        <f>IFERROR(__xludf.DUMMYFUNCTION("""COMPUTED_VALUE"""),2.0)</f>
        <v>2</v>
      </c>
      <c r="P2221" s="213"/>
      <c r="Q2221" s="213"/>
      <c r="R2221" s="213" t="str">
        <f>IFERROR(__xludf.DUMMYFUNCTION("""COMPUTED_VALUE"""),"SI")</f>
        <v>SI</v>
      </c>
      <c r="S2221" s="213"/>
      <c r="T2221" s="213" t="str">
        <f>IFERROR(__xludf.DUMMYFUNCTION("""COMPUTED_VALUE"""),"CONSULTA FINAL")</f>
        <v>CONSULTA FINAL</v>
      </c>
      <c r="U2221" s="213" t="str">
        <f>IFERROR(__xludf.DUMMYFUNCTION("""COMPUTED_VALUE"""),"SI")</f>
        <v>SI</v>
      </c>
      <c r="V2221" s="213" t="str">
        <f>IFERROR(__xludf.DUMMYFUNCTION("""COMPUTED_VALUE"""),"-")</f>
        <v>-</v>
      </c>
      <c r="W2221" s="213" t="str">
        <f>IFERROR(__xludf.DUMMYFUNCTION("""COMPUTED_VALUE"""),"-")</f>
        <v>-</v>
      </c>
      <c r="X2221" s="213" t="str">
        <f>IFERROR(__xludf.DUMMYFUNCTION("""COMPUTED_VALUE"""),"TEAMFAR")</f>
        <v>TEAMFAR</v>
      </c>
      <c r="Y2221" s="213" t="str">
        <f>IFERROR(__xludf.DUMMYFUNCTION("""COMPUTED_VALUE"""),"TEAMFAR")</f>
        <v>TEAMFAR</v>
      </c>
      <c r="Z2221" s="215" t="str">
        <f>IFERROR(__xludf.DUMMYFUNCTION("""COMPUTED_VALUE"""),"https://www.amazon.com/-/es/inoxidable-inferior-inducci%C3%B3n-saludable-resistente/dp/B0D22MDF9Y/ref=sr_1_14?crid=17Y0BY3Y5LBF2&amp;dib=eyJ2IjoiMSJ9.NPjiVxPGx1MtggfVC_gJRD370f2ciqQLAQGMdtxDIwWJf_Ei08skr3DcciU1VOA2SUcvWj7cNv7jSND0LgSPbueeJHPP8kRw80bKnMKEi56jc"&amp;"s-avDcqWGlB3fkct5s_K2iYRMZfpRQ7AZQtByaff27jh1QhU3PSnuL85Re2HBUNHrgPpzj2rcFBrKPUseDgxsvkJYTY33WNVyf1B3o_HVNhhcKbpcfF_sn0lwPi9-k.6Q61sDR7t_F5AEoQUrVi8uBXoqR_nVdsNjmdMuqkF7g&amp;dib_tag=se&amp;keywords=olla%2B10%2Blitros%2Bacero%2Binoxidable&amp;qid=1759155238&amp;sprefix=o"&amp;"lla%2B10%2Blitros%2Bacero%2Binoxidable%2Caps%2C243&amp;sr=8-14&amp;th=1")</f>
        <v>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v>
      </c>
      <c r="AA2221" s="213" t="str">
        <f>IFERROR(__xludf.DUMMYFUNCTION("""COMPUTED_VALUE"""),"MAT-392 OLLA 10 LITROS - CET")</f>
        <v>MAT-392 OLLA 10 LITROS - CET</v>
      </c>
      <c r="AB2221" s="213"/>
      <c r="AC2221" s="213"/>
      <c r="AD2221" s="213"/>
      <c r="AE2221" s="213"/>
      <c r="AF2221" s="213"/>
      <c r="AG2221" s="213"/>
      <c r="AH2221" s="213"/>
      <c r="AI2221" s="213"/>
      <c r="AJ2221" s="213"/>
      <c r="AK2221" s="213"/>
      <c r="AL2221" s="213"/>
      <c r="AM2221" s="213"/>
      <c r="AN2221" s="213"/>
      <c r="AO2221" s="213"/>
      <c r="AP2221" s="213" t="str">
        <f>IFERROR(__xludf.DUMMYFUNCTION("""COMPUTED_VALUE"""),"LUIS")</f>
        <v>LUIS</v>
      </c>
      <c r="AQ2221" s="213"/>
      <c r="AR2221" s="213"/>
      <c r="AS2221" s="213"/>
      <c r="AT2221" s="213"/>
      <c r="AU2221" s="213"/>
      <c r="AV2221" s="213"/>
      <c r="AW2221" s="213"/>
      <c r="AX2221" s="213"/>
      <c r="AY2221" s="213"/>
      <c r="AZ2221" s="213"/>
      <c r="BA2221" s="213"/>
      <c r="BB2221" s="213"/>
      <c r="BC2221" s="213"/>
      <c r="BD2221" s="213"/>
    </row>
    <row r="2222">
      <c r="A2222" s="213">
        <f>IFERROR(__xludf.DUMMYFUNCTION("""COMPUTED_VALUE"""),563.0)</f>
        <v>563</v>
      </c>
      <c r="B2222" s="213" t="str">
        <f>IFERROR(__xludf.DUMMYFUNCTION("""COMPUTED_VALUE"""),"2026 SIMON BOLIVAR")</f>
        <v>2026 SIMON BOLIVAR</v>
      </c>
      <c r="C2222" s="213" t="str">
        <f>IFERROR(__xludf.DUMMYFUNCTION("""COMPUTED_VALUE"""),"TALLER SFT DE INDUSTRIA ALIMENTARIA")</f>
        <v>TALLER SFT DE INDUSTRIA ALIMENTARIA</v>
      </c>
      <c r="D2222" s="213" t="str">
        <f>IFERROR(__xludf.DUMMYFUNCTION("""COMPUTED_VALUE"""),"EQUIPOS")</f>
        <v>EQUIPOS</v>
      </c>
      <c r="E2222" s="213" t="str">
        <f>IFERROR(__xludf.DUMMYFUNCTION("""COMPUTED_VALUE"""),"ESP-334")</f>
        <v>ESP-334</v>
      </c>
      <c r="F2222" s="213" t="str">
        <f>IFERROR(__xludf.DUMMYFUNCTION("""COMPUTED_VALUE"""),"ESP-334")</f>
        <v>ESP-334</v>
      </c>
      <c r="G2222" s="213"/>
      <c r="H2222" s="213" t="str">
        <f>IFERROR(__xludf.DUMMYFUNCTION("""COMPUTED_VALUE"""),"SECADOR DE CÁMARA VERTICAL")</f>
        <v>SECADOR DE CÁMARA VERTICAL</v>
      </c>
      <c r="I2222" s="213" t="str">
        <f>IFERROR(__xludf.DUMMYFUNCTION("""COMPUTED_VALUE"""),"· Potencia 0,20
· Voltaje: 220 v /60hz
· Peso: 90 kg
· Material: acero 304 inoxidable
· 6 Bandejas
· Temperatura: 0 - 90 C
· Medidas aproximadas L80 cm x A75 cm x H115 cm")</f>
        <v>· Potencia 0,20
· Voltaje: 220 v /60hz
· Peso: 90 kg
· Material: acero 304 inoxidable
· 6 Bandejas
· Temperatura: 0 - 90 C
· Medidas aproximadas L80 cm x A75 cm x H115 cm</v>
      </c>
      <c r="J2222" s="213">
        <f>IFERROR(__xludf.DUMMYFUNCTION("""COMPUTED_VALUE"""),3.0)</f>
        <v>3</v>
      </c>
      <c r="K2222" s="213" t="str">
        <f>IFERROR(__xludf.DUMMYFUNCTION("""COMPUTED_VALUE"""),"170 DÍAS CALENDARIO")</f>
        <v>170 DÍAS CALENDARIO</v>
      </c>
      <c r="L2222" s="213" t="str">
        <f>IFERROR(__xludf.DUMMYFUNCTION("""COMPUTED_VALUE"""),"")</f>
        <v/>
      </c>
      <c r="M2222" s="213">
        <f>IFERROR(__xludf.DUMMYFUNCTION("""COMPUTED_VALUE"""),1.0)</f>
        <v>1</v>
      </c>
      <c r="N2222" s="213">
        <f>IFERROR(__xludf.DUMMYFUNCTION("""COMPUTED_VALUE"""),1.0)</f>
        <v>1</v>
      </c>
      <c r="O2222" s="213">
        <f>IFERROR(__xludf.DUMMYFUNCTION("""COMPUTED_VALUE"""),1.0)</f>
        <v>1</v>
      </c>
      <c r="P2222" s="213"/>
      <c r="Q2222" s="213"/>
      <c r="R2222" s="213"/>
      <c r="S2222" s="213" t="str">
        <f>IFERROR(__xludf.DUMMYFUNCTION("""COMPUTED_VALUE"""),"SI")</f>
        <v>SI</v>
      </c>
      <c r="T2222" s="213" t="str">
        <f>IFERROR(__xludf.DUMMYFUNCTION("""COMPUTED_VALUE"""),"CONSULTA FINAL")</f>
        <v>CONSULTA FINAL</v>
      </c>
      <c r="U2222" s="213" t="str">
        <f>IFERROR(__xludf.DUMMYFUNCTION("""COMPUTED_VALUE"""),"NO")</f>
        <v>NO</v>
      </c>
      <c r="V2222" s="213" t="str">
        <f>IFERROR(__xludf.DUMMYFUNCTION("""COMPUTED_VALUE"""),"SUSTENTO")</f>
        <v>SUSTENTO</v>
      </c>
      <c r="W2222" s="213" t="str">
        <f>IFERROR(__xludf.DUMMYFUNCTION("""COMPUTED_VALUE"""),"CRÍTICO")</f>
        <v>CRÍTICO</v>
      </c>
      <c r="X2222" s="213" t="str">
        <f>IFERROR(__xludf.DUMMYFUNCTION("""COMPUTED_VALUE"""),"QDMECH")</f>
        <v>QDMECH</v>
      </c>
      <c r="Y2222" s="213" t="str">
        <f>IFERROR(__xludf.DUMMYFUNCTION("""COMPUTED_VALUE"""),"QDG-145")</f>
        <v>QDG-145</v>
      </c>
      <c r="Z2222" s="215" t="str">
        <f>IFERROR(__xludf.DUMMYFUNCTION("""COMPUTED_VALUE"""),"https://spanish.alibaba.com/product-detail/QDMECH-High-Capacity-Industrial-Commercial-Food-1601445359936.html")</f>
        <v>https://spanish.alibaba.com/product-detail/QDMECH-High-Capacity-Industrial-Commercial-Food-1601445359936.html</v>
      </c>
      <c r="AA2222" s="213" t="str">
        <f>IFERROR(__xludf.DUMMYFUNCTION("""COMPUTED_VALUE"""),"ESP-334 SECADOR DE CÁMARA VERTICAL - CET")</f>
        <v>ESP-334 SECADOR DE CÁMARA VERTICAL - CET</v>
      </c>
      <c r="AB2222" s="213"/>
      <c r="AC2222" s="213"/>
      <c r="AD2222" s="213"/>
      <c r="AE2222" s="213"/>
      <c r="AF2222" s="213"/>
      <c r="AG2222" s="213"/>
      <c r="AH2222" s="213" t="str">
        <f>IFERROR(__xludf.DUMMYFUNCTION("""COMPUTED_VALUE"""),"IMPORTADO")</f>
        <v>IMPORTADO</v>
      </c>
      <c r="AI2222" s="213"/>
      <c r="AJ2222" s="213"/>
      <c r="AK2222" s="213"/>
      <c r="AL2222" s="213"/>
      <c r="AM2222" s="213"/>
      <c r="AN2222" s="213"/>
      <c r="AO2222" s="213"/>
      <c r="AP2222" s="213" t="str">
        <f>IFERROR(__xludf.DUMMYFUNCTION("""COMPUTED_VALUE"""),"ANTONELLA")</f>
        <v>ANTONELLA</v>
      </c>
      <c r="AQ2222" s="213"/>
      <c r="AR2222" s="213"/>
      <c r="AS2222" s="213"/>
      <c r="AT2222" s="213"/>
      <c r="AU2222" s="213"/>
      <c r="AV2222" s="213"/>
      <c r="AW2222" s="213"/>
      <c r="AX2222" s="213"/>
      <c r="AY2222" s="213"/>
      <c r="AZ2222" s="213"/>
      <c r="BA2222" s="213"/>
      <c r="BB2222" s="213"/>
      <c r="BC2222" s="213"/>
      <c r="BD2222" s="213"/>
    </row>
    <row r="2223">
      <c r="A2223" s="213">
        <f>IFERROR(__xludf.DUMMYFUNCTION("""COMPUTED_VALUE"""),1190.0)</f>
        <v>1190</v>
      </c>
      <c r="B2223" s="213" t="str">
        <f>IFERROR(__xludf.DUMMYFUNCTION("""COMPUTED_VALUE"""),"FRANCISCO IRAZOLA")</f>
        <v>FRANCISCO IRAZOLA</v>
      </c>
      <c r="C2223" s="213" t="str">
        <f>IFERROR(__xludf.DUMMYFUNCTION("""COMPUTED_VALUE"""),"TALLER SFT DE INDUSTRIA ALIMENTARIA")</f>
        <v>TALLER SFT DE INDUSTRIA ALIMENTARIA</v>
      </c>
      <c r="D2223" s="213" t="str">
        <f>IFERROR(__xludf.DUMMYFUNCTION("""COMPUTED_VALUE"""),"EQUIPOS")</f>
        <v>EQUIPOS</v>
      </c>
      <c r="E2223" s="213" t="str">
        <f>IFERROR(__xludf.DUMMYFUNCTION("""COMPUTED_VALUE"""),"ESP-334")</f>
        <v>ESP-334</v>
      </c>
      <c r="F2223" s="213" t="str">
        <f>IFERROR(__xludf.DUMMYFUNCTION("""COMPUTED_VALUE"""),"ESP-334")</f>
        <v>ESP-334</v>
      </c>
      <c r="G2223" s="213"/>
      <c r="H2223" s="213" t="str">
        <f>IFERROR(__xludf.DUMMYFUNCTION("""COMPUTED_VALUE"""),"SECADOR DE CÁMARA VERTICAL")</f>
        <v>SECADOR DE CÁMARA VERTICAL</v>
      </c>
      <c r="I2223" s="213" t="str">
        <f>IFERROR(__xludf.DUMMYFUNCTION("""COMPUTED_VALUE"""),"· Potencia 0,20
· Voltaje: 220 v /60hz
· Peso: 90 kg
· Material: acero 304 inoxidable
· 6 Bandejas
· Temperatura: 0 - 90 C
· Medidas aproximadas L80 cm x A75 cm x H115 cm")</f>
        <v>· Potencia 0,20
· Voltaje: 220 v /60hz
· Peso: 90 kg
· Material: acero 304 inoxidable
· 6 Bandejas
· Temperatura: 0 - 90 C
· Medidas aproximadas L80 cm x A75 cm x H115 cm</v>
      </c>
      <c r="J2223" s="213">
        <f>IFERROR(__xludf.DUMMYFUNCTION("""COMPUTED_VALUE"""),3.0)</f>
        <v>3</v>
      </c>
      <c r="K2223" s="213" t="str">
        <f>IFERROR(__xludf.DUMMYFUNCTION("""COMPUTED_VALUE"""),"170 DÍAS CALENDARIO")</f>
        <v>170 DÍAS CALENDARIO</v>
      </c>
      <c r="L2223" s="213" t="str">
        <f>IFERROR(__xludf.DUMMYFUNCTION("""COMPUTED_VALUE"""),"")</f>
        <v/>
      </c>
      <c r="M2223" s="213">
        <f>IFERROR(__xludf.DUMMYFUNCTION("""COMPUTED_VALUE"""),1.0)</f>
        <v>1</v>
      </c>
      <c r="N2223" s="213">
        <f>IFERROR(__xludf.DUMMYFUNCTION("""COMPUTED_VALUE"""),1.0)</f>
        <v>1</v>
      </c>
      <c r="O2223" s="213">
        <f>IFERROR(__xludf.DUMMYFUNCTION("""COMPUTED_VALUE"""),1.0)</f>
        <v>1</v>
      </c>
      <c r="P2223" s="213"/>
      <c r="Q2223" s="213"/>
      <c r="R2223" s="213"/>
      <c r="S2223" s="213" t="str">
        <f>IFERROR(__xludf.DUMMYFUNCTION("""COMPUTED_VALUE"""),"SI")</f>
        <v>SI</v>
      </c>
      <c r="T2223" s="213" t="str">
        <f>IFERROR(__xludf.DUMMYFUNCTION("""COMPUTED_VALUE"""),"CONSULTA FINAL")</f>
        <v>CONSULTA FINAL</v>
      </c>
      <c r="U2223" s="213" t="str">
        <f>IFERROR(__xludf.DUMMYFUNCTION("""COMPUTED_VALUE"""),"NO")</f>
        <v>NO</v>
      </c>
      <c r="V2223" s="213" t="str">
        <f>IFERROR(__xludf.DUMMYFUNCTION("""COMPUTED_VALUE"""),"SUSTENTO")</f>
        <v>SUSTENTO</v>
      </c>
      <c r="W2223" s="213" t="str">
        <f>IFERROR(__xludf.DUMMYFUNCTION("""COMPUTED_VALUE"""),"CRÍTICO")</f>
        <v>CRÍTICO</v>
      </c>
      <c r="X2223" s="213" t="str">
        <f>IFERROR(__xludf.DUMMYFUNCTION("""COMPUTED_VALUE"""),"QDMECH")</f>
        <v>QDMECH</v>
      </c>
      <c r="Y2223" s="213" t="str">
        <f>IFERROR(__xludf.DUMMYFUNCTION("""COMPUTED_VALUE"""),"QDG-145")</f>
        <v>QDG-145</v>
      </c>
      <c r="Z2223" s="215" t="str">
        <f>IFERROR(__xludf.DUMMYFUNCTION("""COMPUTED_VALUE"""),"https://spanish.alibaba.com/product-detail/QDMECH-High-Capacity-Industrial-Commercial-Food-1601445359936.html")</f>
        <v>https://spanish.alibaba.com/product-detail/QDMECH-High-Capacity-Industrial-Commercial-Food-1601445359936.html</v>
      </c>
      <c r="AA2223" s="213" t="str">
        <f>IFERROR(__xludf.DUMMYFUNCTION("""COMPUTED_VALUE"""),"ESP-334 SECADOR DE CÁMARA VERTICAL - CET")</f>
        <v>ESP-334 SECADOR DE CÁMARA VERTICAL - CET</v>
      </c>
      <c r="AB2223" s="213"/>
      <c r="AC2223" s="213"/>
      <c r="AD2223" s="213"/>
      <c r="AE2223" s="213"/>
      <c r="AF2223" s="213"/>
      <c r="AG2223" s="213"/>
      <c r="AH2223" s="213" t="str">
        <f>IFERROR(__xludf.DUMMYFUNCTION("""COMPUTED_VALUE"""),"IMPORTADO")</f>
        <v>IMPORTADO</v>
      </c>
      <c r="AI2223" s="213"/>
      <c r="AJ2223" s="213"/>
      <c r="AK2223" s="213"/>
      <c r="AL2223" s="213"/>
      <c r="AM2223" s="213"/>
      <c r="AN2223" s="213"/>
      <c r="AO2223" s="213"/>
      <c r="AP2223" s="213" t="str">
        <f>IFERROR(__xludf.DUMMYFUNCTION("""COMPUTED_VALUE"""),"ANTONELLA")</f>
        <v>ANTONELLA</v>
      </c>
      <c r="AQ2223" s="213"/>
      <c r="AR2223" s="213"/>
      <c r="AS2223" s="213"/>
      <c r="AT2223" s="213"/>
      <c r="AU2223" s="213"/>
      <c r="AV2223" s="213"/>
      <c r="AW2223" s="213"/>
      <c r="AX2223" s="213"/>
      <c r="AY2223" s="213"/>
      <c r="AZ2223" s="213"/>
      <c r="BA2223" s="213"/>
      <c r="BB2223" s="213"/>
      <c r="BC2223" s="213"/>
      <c r="BD2223" s="213"/>
    </row>
    <row r="2224">
      <c r="A2224" s="213">
        <f>IFERROR(__xludf.DUMMYFUNCTION("""COMPUTED_VALUE"""),1465.0)</f>
        <v>1465</v>
      </c>
      <c r="B2224" s="213" t="str">
        <f>IFERROR(__xludf.DUMMYFUNCTION("""COMPUTED_VALUE"""),"GUILLERMO E. BILLINGHURST ")</f>
        <v>GUILLERMO E. BILLINGHURST </v>
      </c>
      <c r="C2224" s="213" t="str">
        <f>IFERROR(__xludf.DUMMYFUNCTION("""COMPUTED_VALUE"""),"TALLER SFT DE INDUSTRIA ALIMENTARIA")</f>
        <v>TALLER SFT DE INDUSTRIA ALIMENTARIA</v>
      </c>
      <c r="D2224" s="213" t="str">
        <f>IFERROR(__xludf.DUMMYFUNCTION("""COMPUTED_VALUE"""),"EQUIPOS")</f>
        <v>EQUIPOS</v>
      </c>
      <c r="E2224" s="213" t="str">
        <f>IFERROR(__xludf.DUMMYFUNCTION("""COMPUTED_VALUE"""),"ESP-334")</f>
        <v>ESP-334</v>
      </c>
      <c r="F2224" s="213" t="str">
        <f>IFERROR(__xludf.DUMMYFUNCTION("""COMPUTED_VALUE"""),"ESP-334")</f>
        <v>ESP-334</v>
      </c>
      <c r="G2224" s="213"/>
      <c r="H2224" s="213" t="str">
        <f>IFERROR(__xludf.DUMMYFUNCTION("""COMPUTED_VALUE"""),"SECADOR DE CÁMARA VERTICAL")</f>
        <v>SECADOR DE CÁMARA VERTICAL</v>
      </c>
      <c r="I2224" s="213" t="str">
        <f>IFERROR(__xludf.DUMMYFUNCTION("""COMPUTED_VALUE"""),"· Potencia 0,20
· Voltaje: 220 v /60hz
· Peso: 90 kg
· Material: acero 304 inoxidable
· 6 Bandejas
· Temperatura: 0 - 90 C
· Medidas aproximadas L80 cm x A75 cm x H115 cm")</f>
        <v>· Potencia 0,20
· Voltaje: 220 v /60hz
· Peso: 90 kg
· Material: acero 304 inoxidable
· 6 Bandejas
· Temperatura: 0 - 90 C
· Medidas aproximadas L80 cm x A75 cm x H115 cm</v>
      </c>
      <c r="J2224" s="213">
        <f>IFERROR(__xludf.DUMMYFUNCTION("""COMPUTED_VALUE"""),3.0)</f>
        <v>3</v>
      </c>
      <c r="K2224" s="213" t="str">
        <f>IFERROR(__xludf.DUMMYFUNCTION("""COMPUTED_VALUE"""),"170 DÍAS CALENDARIO")</f>
        <v>170 DÍAS CALENDARIO</v>
      </c>
      <c r="L2224" s="213" t="str">
        <f>IFERROR(__xludf.DUMMYFUNCTION("""COMPUTED_VALUE"""),"")</f>
        <v/>
      </c>
      <c r="M2224" s="213">
        <f>IFERROR(__xludf.DUMMYFUNCTION("""COMPUTED_VALUE"""),1.0)</f>
        <v>1</v>
      </c>
      <c r="N2224" s="213">
        <f>IFERROR(__xludf.DUMMYFUNCTION("""COMPUTED_VALUE"""),1.0)</f>
        <v>1</v>
      </c>
      <c r="O2224" s="213">
        <f>IFERROR(__xludf.DUMMYFUNCTION("""COMPUTED_VALUE"""),1.0)</f>
        <v>1</v>
      </c>
      <c r="P2224" s="213"/>
      <c r="Q2224" s="213"/>
      <c r="R2224" s="213"/>
      <c r="S2224" s="213" t="str">
        <f>IFERROR(__xludf.DUMMYFUNCTION("""COMPUTED_VALUE"""),"SI")</f>
        <v>SI</v>
      </c>
      <c r="T2224" s="213" t="str">
        <f>IFERROR(__xludf.DUMMYFUNCTION("""COMPUTED_VALUE"""),"CONSULTA FINAL")</f>
        <v>CONSULTA FINAL</v>
      </c>
      <c r="U2224" s="213" t="str">
        <f>IFERROR(__xludf.DUMMYFUNCTION("""COMPUTED_VALUE"""),"NO")</f>
        <v>NO</v>
      </c>
      <c r="V2224" s="213" t="str">
        <f>IFERROR(__xludf.DUMMYFUNCTION("""COMPUTED_VALUE"""),"SUSTENTO")</f>
        <v>SUSTENTO</v>
      </c>
      <c r="W2224" s="213" t="str">
        <f>IFERROR(__xludf.DUMMYFUNCTION("""COMPUTED_VALUE"""),"CRÍTICO")</f>
        <v>CRÍTICO</v>
      </c>
      <c r="X2224" s="213" t="str">
        <f>IFERROR(__xludf.DUMMYFUNCTION("""COMPUTED_VALUE"""),"QDMECH")</f>
        <v>QDMECH</v>
      </c>
      <c r="Y2224" s="213" t="str">
        <f>IFERROR(__xludf.DUMMYFUNCTION("""COMPUTED_VALUE"""),"QDG-145")</f>
        <v>QDG-145</v>
      </c>
      <c r="Z2224" s="215" t="str">
        <f>IFERROR(__xludf.DUMMYFUNCTION("""COMPUTED_VALUE"""),"https://spanish.alibaba.com/product-detail/QDMECH-High-Capacity-Industrial-Commercial-Food-1601445359936.html")</f>
        <v>https://spanish.alibaba.com/product-detail/QDMECH-High-Capacity-Industrial-Commercial-Food-1601445359936.html</v>
      </c>
      <c r="AA2224" s="213" t="str">
        <f>IFERROR(__xludf.DUMMYFUNCTION("""COMPUTED_VALUE"""),"ESP-334 SECADOR DE CÁMARA VERTICAL - CET")</f>
        <v>ESP-334 SECADOR DE CÁMARA VERTICAL - CET</v>
      </c>
      <c r="AB2224" s="213"/>
      <c r="AC2224" s="213"/>
      <c r="AD2224" s="213"/>
      <c r="AE2224" s="213"/>
      <c r="AF2224" s="213"/>
      <c r="AG2224" s="213"/>
      <c r="AH2224" s="213" t="str">
        <f>IFERROR(__xludf.DUMMYFUNCTION("""COMPUTED_VALUE"""),"IMPORTADO")</f>
        <v>IMPORTADO</v>
      </c>
      <c r="AI2224" s="213"/>
      <c r="AJ2224" s="213"/>
      <c r="AK2224" s="213"/>
      <c r="AL2224" s="213"/>
      <c r="AM2224" s="213"/>
      <c r="AN2224" s="213"/>
      <c r="AO2224" s="213"/>
      <c r="AP2224" s="213" t="str">
        <f>IFERROR(__xludf.DUMMYFUNCTION("""COMPUTED_VALUE"""),"ANTONELLA")</f>
        <v>ANTONELLA</v>
      </c>
      <c r="AQ2224" s="213"/>
      <c r="AR2224" s="213"/>
      <c r="AS2224" s="213"/>
      <c r="AT2224" s="213"/>
      <c r="AU2224" s="213"/>
      <c r="AV2224" s="213"/>
      <c r="AW2224" s="213"/>
      <c r="AX2224" s="213"/>
      <c r="AY2224" s="213"/>
      <c r="AZ2224" s="213"/>
      <c r="BA2224" s="213"/>
      <c r="BB2224" s="213"/>
      <c r="BC2224" s="213"/>
      <c r="BD2224" s="213"/>
    </row>
    <row r="2225">
      <c r="A2225" s="213">
        <f>IFERROR(__xludf.DUMMYFUNCTION("""COMPUTED_VALUE"""),2152.0)</f>
        <v>2152</v>
      </c>
      <c r="B2225" s="213" t="str">
        <f>IFERROR(__xludf.DUMMYFUNCTION("""COMPUTED_VALUE"""),"JOSE GRANDA")</f>
        <v>JOSE GRANDA</v>
      </c>
      <c r="C2225" s="213" t="str">
        <f>IFERROR(__xludf.DUMMYFUNCTION("""COMPUTED_VALUE"""),"TALLER SFT DE INDUSTRIA ALIMENTARIA")</f>
        <v>TALLER SFT DE INDUSTRIA ALIMENTARIA</v>
      </c>
      <c r="D2225" s="213" t="str">
        <f>IFERROR(__xludf.DUMMYFUNCTION("""COMPUTED_VALUE"""),"EQUIPOS")</f>
        <v>EQUIPOS</v>
      </c>
      <c r="E2225" s="213" t="str">
        <f>IFERROR(__xludf.DUMMYFUNCTION("""COMPUTED_VALUE"""),"ESP-334")</f>
        <v>ESP-334</v>
      </c>
      <c r="F2225" s="213" t="str">
        <f>IFERROR(__xludf.DUMMYFUNCTION("""COMPUTED_VALUE"""),"ESP-334")</f>
        <v>ESP-334</v>
      </c>
      <c r="G2225" s="213"/>
      <c r="H2225" s="213" t="str">
        <f>IFERROR(__xludf.DUMMYFUNCTION("""COMPUTED_VALUE"""),"SECADOR DE CÁMARA VERTICAL")</f>
        <v>SECADOR DE CÁMARA VERTICAL</v>
      </c>
      <c r="I2225" s="213" t="str">
        <f>IFERROR(__xludf.DUMMYFUNCTION("""COMPUTED_VALUE"""),"· Potencia 0,20
· Voltaje: 220 v /60hz
· Peso: 90 kg
· Material: acero 304 inoxidable
· 6 Bandejas
· Temperatura: 0 - 90 C
· Medidas aproximadas L80 cm x A75 cm x H115 cm")</f>
        <v>· Potencia 0,20
· Voltaje: 220 v /60hz
· Peso: 90 kg
· Material: acero 304 inoxidable
· 6 Bandejas
· Temperatura: 0 - 90 C
· Medidas aproximadas L80 cm x A75 cm x H115 cm</v>
      </c>
      <c r="J2225" s="213">
        <f>IFERROR(__xludf.DUMMYFUNCTION("""COMPUTED_VALUE"""),3.0)</f>
        <v>3</v>
      </c>
      <c r="K2225" s="213" t="str">
        <f>IFERROR(__xludf.DUMMYFUNCTION("""COMPUTED_VALUE"""),"170 DÍAS CALENDARIO")</f>
        <v>170 DÍAS CALENDARIO</v>
      </c>
      <c r="L2225" s="213" t="str">
        <f>IFERROR(__xludf.DUMMYFUNCTION("""COMPUTED_VALUE"""),"")</f>
        <v/>
      </c>
      <c r="M2225" s="213">
        <f>IFERROR(__xludf.DUMMYFUNCTION("""COMPUTED_VALUE"""),1.0)</f>
        <v>1</v>
      </c>
      <c r="N2225" s="213">
        <f>IFERROR(__xludf.DUMMYFUNCTION("""COMPUTED_VALUE"""),1.0)</f>
        <v>1</v>
      </c>
      <c r="O2225" s="213">
        <f>IFERROR(__xludf.DUMMYFUNCTION("""COMPUTED_VALUE"""),1.0)</f>
        <v>1</v>
      </c>
      <c r="P2225" s="213"/>
      <c r="Q2225" s="213"/>
      <c r="R2225" s="213"/>
      <c r="S2225" s="213" t="str">
        <f>IFERROR(__xludf.DUMMYFUNCTION("""COMPUTED_VALUE"""),"SI")</f>
        <v>SI</v>
      </c>
      <c r="T2225" s="213" t="str">
        <f>IFERROR(__xludf.DUMMYFUNCTION("""COMPUTED_VALUE"""),"CONSULTA FINAL")</f>
        <v>CONSULTA FINAL</v>
      </c>
      <c r="U2225" s="213" t="str">
        <f>IFERROR(__xludf.DUMMYFUNCTION("""COMPUTED_VALUE"""),"NO")</f>
        <v>NO</v>
      </c>
      <c r="V2225" s="213" t="str">
        <f>IFERROR(__xludf.DUMMYFUNCTION("""COMPUTED_VALUE"""),"SUSTENTO")</f>
        <v>SUSTENTO</v>
      </c>
      <c r="W2225" s="213" t="str">
        <f>IFERROR(__xludf.DUMMYFUNCTION("""COMPUTED_VALUE"""),"CRÍTICO")</f>
        <v>CRÍTICO</v>
      </c>
      <c r="X2225" s="213" t="str">
        <f>IFERROR(__xludf.DUMMYFUNCTION("""COMPUTED_VALUE"""),"QDMECH")</f>
        <v>QDMECH</v>
      </c>
      <c r="Y2225" s="213" t="str">
        <f>IFERROR(__xludf.DUMMYFUNCTION("""COMPUTED_VALUE"""),"QDG-145")</f>
        <v>QDG-145</v>
      </c>
      <c r="Z2225" s="215" t="str">
        <f>IFERROR(__xludf.DUMMYFUNCTION("""COMPUTED_VALUE"""),"https://spanish.alibaba.com/product-detail/QDMECH-High-Capacity-Industrial-Commercial-Food-1601445359936.html")</f>
        <v>https://spanish.alibaba.com/product-detail/QDMECH-High-Capacity-Industrial-Commercial-Food-1601445359936.html</v>
      </c>
      <c r="AA2225" s="213" t="str">
        <f>IFERROR(__xludf.DUMMYFUNCTION("""COMPUTED_VALUE"""),"ESP-334 SECADOR DE CÁMARA VERTICAL - CET")</f>
        <v>ESP-334 SECADOR DE CÁMARA VERTICAL - CET</v>
      </c>
      <c r="AB2225" s="213"/>
      <c r="AC2225" s="213"/>
      <c r="AD2225" s="213"/>
      <c r="AE2225" s="213"/>
      <c r="AF2225" s="213"/>
      <c r="AG2225" s="213"/>
      <c r="AH2225" s="213" t="str">
        <f>IFERROR(__xludf.DUMMYFUNCTION("""COMPUTED_VALUE"""),"IMPORTADO")</f>
        <v>IMPORTADO</v>
      </c>
      <c r="AI2225" s="213"/>
      <c r="AJ2225" s="213"/>
      <c r="AK2225" s="213"/>
      <c r="AL2225" s="213"/>
      <c r="AM2225" s="213"/>
      <c r="AN2225" s="213"/>
      <c r="AO2225" s="213"/>
      <c r="AP2225" s="213" t="str">
        <f>IFERROR(__xludf.DUMMYFUNCTION("""COMPUTED_VALUE"""),"ANTONELLA")</f>
        <v>ANTONELLA</v>
      </c>
      <c r="AQ2225" s="213"/>
      <c r="AR2225" s="213"/>
      <c r="AS2225" s="213"/>
      <c r="AT2225" s="213"/>
      <c r="AU2225" s="213"/>
      <c r="AV2225" s="213"/>
      <c r="AW2225" s="213"/>
      <c r="AX2225" s="213"/>
      <c r="AY2225" s="213"/>
      <c r="AZ2225" s="213"/>
      <c r="BA2225" s="213"/>
      <c r="BB2225" s="213"/>
      <c r="BC2225" s="213"/>
      <c r="BD2225" s="213"/>
    </row>
    <row r="2226">
      <c r="A2226" s="213">
        <f>IFERROR(__xludf.DUMMYFUNCTION("""COMPUTED_VALUE"""),564.0)</f>
        <v>564</v>
      </c>
      <c r="B2226" s="213" t="str">
        <f>IFERROR(__xludf.DUMMYFUNCTION("""COMPUTED_VALUE"""),"2026 SIMON BOLIVAR")</f>
        <v>2026 SIMON BOLIVAR</v>
      </c>
      <c r="C2226" s="213" t="str">
        <f>IFERROR(__xludf.DUMMYFUNCTION("""COMPUTED_VALUE"""),"TALLER SFT DE INDUSTRIA ALIMENTARIA")</f>
        <v>TALLER SFT DE INDUSTRIA ALIMENTARIA</v>
      </c>
      <c r="D2226" s="213" t="str">
        <f>IFERROR(__xludf.DUMMYFUNCTION("""COMPUTED_VALUE"""),"EQUIPOS")</f>
        <v>EQUIPOS</v>
      </c>
      <c r="E2226" s="213" t="str">
        <f>IFERROR(__xludf.DUMMYFUNCTION("""COMPUTED_VALUE"""),"ESP-337")</f>
        <v>ESP-337</v>
      </c>
      <c r="F2226" s="213" t="str">
        <f>IFERROR(__xludf.DUMMYFUNCTION("""COMPUTED_VALUE"""),"ESP-337")</f>
        <v>ESP-337</v>
      </c>
      <c r="G2226" s="213"/>
      <c r="H2226" s="213" t="str">
        <f>IFERROR(__xludf.DUMMYFUNCTION("""COMPUTED_VALUE"""),"SELECCIONADORA DE ZARANDA")</f>
        <v>SELECCIONADORA DE ZARANDA</v>
      </c>
      <c r="I2226" s="213" t="str">
        <f>IFERROR(__xludf.DUMMYFUNCTION("""COMPUTED_VALUE"""),"· Tipo: circular
· Energía (W):0.25kw
· Material: Acero inoxidable
· Motor: Vibrante
· Cubiertas: 1-5 cubiertas
· Tamaño de malla: 0.02-20mm
· Diámetro de la pantalla: 450mm
· Altura: 790mm
·  Incluye una funda protectora impermeable para su almacenamient"&amp;"o.
· Medidas L45 cm x A45 cm x H80 cm")</f>
        <v>· Tipo: circular
· Energía (W):0.25kw
· Material: Acero inoxidable
· Motor: Vibrante
· Cubiertas: 1-5 cubiertas
· Tamaño de malla: 0.02-20mm
· Diámetro de la pantalla: 450mm
· Altura: 790mm
·  Incluye una funda protectora impermeable para su almacenamiento.
· Medidas L45 cm x A45 cm x H80 cm</v>
      </c>
      <c r="J2226" s="213">
        <f>IFERROR(__xludf.DUMMYFUNCTION("""COMPUTED_VALUE"""),3.0)</f>
        <v>3</v>
      </c>
      <c r="K2226" s="213" t="str">
        <f>IFERROR(__xludf.DUMMYFUNCTION("""COMPUTED_VALUE"""),"170 DÍAS CALENDARIO")</f>
        <v>170 DÍAS CALENDARIO</v>
      </c>
      <c r="L2226" s="213" t="str">
        <f>IFERROR(__xludf.DUMMYFUNCTION("""COMPUTED_VALUE"""),"")</f>
        <v/>
      </c>
      <c r="M2226" s="213">
        <f>IFERROR(__xludf.DUMMYFUNCTION("""COMPUTED_VALUE"""),1.0)</f>
        <v>1</v>
      </c>
      <c r="N2226" s="213">
        <f>IFERROR(__xludf.DUMMYFUNCTION("""COMPUTED_VALUE"""),1.0)</f>
        <v>1</v>
      </c>
      <c r="O2226" s="213">
        <f>IFERROR(__xludf.DUMMYFUNCTION("""COMPUTED_VALUE"""),1.0)</f>
        <v>1</v>
      </c>
      <c r="P2226" s="213"/>
      <c r="Q2226" s="213"/>
      <c r="R2226" s="213"/>
      <c r="S2226" s="213" t="str">
        <f>IFERROR(__xludf.DUMMYFUNCTION("""COMPUTED_VALUE"""),"SI")</f>
        <v>SI</v>
      </c>
      <c r="T2226" s="213" t="str">
        <f>IFERROR(__xludf.DUMMYFUNCTION("""COMPUTED_VALUE"""),"CONSULTA FINAL")</f>
        <v>CONSULTA FINAL</v>
      </c>
      <c r="U2226" s="213" t="str">
        <f>IFERROR(__xludf.DUMMYFUNCTION("""COMPUTED_VALUE"""),"NO")</f>
        <v>NO</v>
      </c>
      <c r="V2226" s="213" t="str">
        <f>IFERROR(__xludf.DUMMYFUNCTION("""COMPUTED_VALUE"""),"NO")</f>
        <v>NO</v>
      </c>
      <c r="W2226" s="213"/>
      <c r="X2226" s="213" t="str">
        <f>IFERROR(__xludf.DUMMYFUNCTION("""COMPUTED_VALUE"""),"DAHAN VIBRATING MACHINERY")</f>
        <v>DAHAN VIBRATING MACHINERY</v>
      </c>
      <c r="Y2226" s="213" t="str">
        <f>IFERROR(__xludf.DUMMYFUNCTION("""COMPUTED_VALUE"""),"DH-600-4S")</f>
        <v>DH-600-4S</v>
      </c>
      <c r="Z2226" s="213" t="str">
        <f>IFERROR(__xludf.DUMMYFUNCTION("""COMPUTED_VALUE"""),"Se debe solicitar modelo acorde.")</f>
        <v>Se debe solicitar modelo acorde.</v>
      </c>
      <c r="AA2226" s="213" t="str">
        <f>IFERROR(__xludf.DUMMYFUNCTION("""COMPUTED_VALUE"""),"ESP-337 SELECCIONADORA DE ZARANDA - CET")</f>
        <v>ESP-337 SELECCIONADORA DE ZARANDA - CET</v>
      </c>
      <c r="AB2226" s="213"/>
      <c r="AC2226" s="213"/>
      <c r="AD2226" s="213"/>
      <c r="AE2226" s="213"/>
      <c r="AF2226" s="213"/>
      <c r="AG2226" s="213"/>
      <c r="AH2226" s="213"/>
      <c r="AI2226" s="213"/>
      <c r="AJ2226" s="213"/>
      <c r="AK2226" s="213"/>
      <c r="AL2226" s="213"/>
      <c r="AM2226" s="213"/>
      <c r="AN2226" s="213"/>
      <c r="AO2226" s="213"/>
      <c r="AP2226" s="213" t="str">
        <f>IFERROR(__xludf.DUMMYFUNCTION("""COMPUTED_VALUE"""),"ANTONELLA")</f>
        <v>ANTONELLA</v>
      </c>
      <c r="AQ2226" s="213" t="str">
        <f>IFERROR(__xludf.DUMMYFUNCTION("""COMPUTED_VALUE"""),"Se debe solicitar una adecuación al equipo.")</f>
        <v>Se debe solicitar una adecuación al equipo.</v>
      </c>
      <c r="AR2226" s="213"/>
      <c r="AS2226" s="213" t="str">
        <f>IFERROR(__xludf.DUMMYFUNCTION("""COMPUTED_VALUE"""),"FUNDA PROTECTORA")</f>
        <v>FUNDA PROTECTORA</v>
      </c>
      <c r="AT2226" s="213"/>
      <c r="AU2226" s="213"/>
      <c r="AV2226" s="213"/>
      <c r="AW2226" s="213"/>
      <c r="AX2226" s="213"/>
      <c r="AY2226" s="213"/>
      <c r="AZ2226" s="213"/>
      <c r="BA2226" s="213"/>
      <c r="BB2226" s="213"/>
      <c r="BC2226" s="213"/>
      <c r="BD2226" s="213"/>
    </row>
    <row r="2227">
      <c r="A2227" s="213">
        <f>IFERROR(__xludf.DUMMYFUNCTION("""COMPUTED_VALUE"""),1191.0)</f>
        <v>1191</v>
      </c>
      <c r="B2227" s="213" t="str">
        <f>IFERROR(__xludf.DUMMYFUNCTION("""COMPUTED_VALUE"""),"FRANCISCO IRAZOLA")</f>
        <v>FRANCISCO IRAZOLA</v>
      </c>
      <c r="C2227" s="213" t="str">
        <f>IFERROR(__xludf.DUMMYFUNCTION("""COMPUTED_VALUE"""),"TALLER SFT DE INDUSTRIA ALIMENTARIA")</f>
        <v>TALLER SFT DE INDUSTRIA ALIMENTARIA</v>
      </c>
      <c r="D2227" s="213" t="str">
        <f>IFERROR(__xludf.DUMMYFUNCTION("""COMPUTED_VALUE"""),"EQUIPOS")</f>
        <v>EQUIPOS</v>
      </c>
      <c r="E2227" s="213" t="str">
        <f>IFERROR(__xludf.DUMMYFUNCTION("""COMPUTED_VALUE"""),"ESP-337")</f>
        <v>ESP-337</v>
      </c>
      <c r="F2227" s="213" t="str">
        <f>IFERROR(__xludf.DUMMYFUNCTION("""COMPUTED_VALUE"""),"ESP-337")</f>
        <v>ESP-337</v>
      </c>
      <c r="G2227" s="213"/>
      <c r="H2227" s="213" t="str">
        <f>IFERROR(__xludf.DUMMYFUNCTION("""COMPUTED_VALUE"""),"SELECCIONADORA DE ZARANDA")</f>
        <v>SELECCIONADORA DE ZARANDA</v>
      </c>
      <c r="I2227" s="213" t="str">
        <f>IFERROR(__xludf.DUMMYFUNCTION("""COMPUTED_VALUE"""),"· Tipo: circular
· Energía (W):0.25kw
· Material: Acero inoxidable
· Motor: Vibrante
· Cubiertas: 1-5 cubiertas
· Tamaño de malla: 0.02-20mm
· Diámetro de la pantalla: 450mm
· Altura: 790mm
·  Incluye una funda protectora impermeable para su almacenamient"&amp;"o.
· Medidas L45 cm x A45 cm x H80 cm")</f>
        <v>· Tipo: circular
· Energía (W):0.25kw
· Material: Acero inoxidable
· Motor: Vibrante
· Cubiertas: 1-5 cubiertas
· Tamaño de malla: 0.02-20mm
· Diámetro de la pantalla: 450mm
· Altura: 790mm
·  Incluye una funda protectora impermeable para su almacenamiento.
· Medidas L45 cm x A45 cm x H80 cm</v>
      </c>
      <c r="J2227" s="213">
        <f>IFERROR(__xludf.DUMMYFUNCTION("""COMPUTED_VALUE"""),3.0)</f>
        <v>3</v>
      </c>
      <c r="K2227" s="213" t="str">
        <f>IFERROR(__xludf.DUMMYFUNCTION("""COMPUTED_VALUE"""),"170 DÍAS CALENDARIO")</f>
        <v>170 DÍAS CALENDARIO</v>
      </c>
      <c r="L2227" s="213" t="str">
        <f>IFERROR(__xludf.DUMMYFUNCTION("""COMPUTED_VALUE"""),"")</f>
        <v/>
      </c>
      <c r="M2227" s="213">
        <f>IFERROR(__xludf.DUMMYFUNCTION("""COMPUTED_VALUE"""),1.0)</f>
        <v>1</v>
      </c>
      <c r="N2227" s="213">
        <f>IFERROR(__xludf.DUMMYFUNCTION("""COMPUTED_VALUE"""),1.0)</f>
        <v>1</v>
      </c>
      <c r="O2227" s="213">
        <f>IFERROR(__xludf.DUMMYFUNCTION("""COMPUTED_VALUE"""),1.0)</f>
        <v>1</v>
      </c>
      <c r="P2227" s="213"/>
      <c r="Q2227" s="213"/>
      <c r="R2227" s="213"/>
      <c r="S2227" s="213" t="str">
        <f>IFERROR(__xludf.DUMMYFUNCTION("""COMPUTED_VALUE"""),"SI")</f>
        <v>SI</v>
      </c>
      <c r="T2227" s="213" t="str">
        <f>IFERROR(__xludf.DUMMYFUNCTION("""COMPUTED_VALUE"""),"CONSULTA FINAL")</f>
        <v>CONSULTA FINAL</v>
      </c>
      <c r="U2227" s="213" t="str">
        <f>IFERROR(__xludf.DUMMYFUNCTION("""COMPUTED_VALUE"""),"NO")</f>
        <v>NO</v>
      </c>
      <c r="V2227" s="213" t="str">
        <f>IFERROR(__xludf.DUMMYFUNCTION("""COMPUTED_VALUE"""),"NO")</f>
        <v>NO</v>
      </c>
      <c r="W2227" s="213"/>
      <c r="X2227" s="213" t="str">
        <f>IFERROR(__xludf.DUMMYFUNCTION("""COMPUTED_VALUE"""),"DAHAN VIBRATING MACHINERY")</f>
        <v>DAHAN VIBRATING MACHINERY</v>
      </c>
      <c r="Y2227" s="213" t="str">
        <f>IFERROR(__xludf.DUMMYFUNCTION("""COMPUTED_VALUE"""),"DH-600-4S")</f>
        <v>DH-600-4S</v>
      </c>
      <c r="Z2227" s="213" t="str">
        <f>IFERROR(__xludf.DUMMYFUNCTION("""COMPUTED_VALUE"""),"Se debe solicitar modelo acorde.")</f>
        <v>Se debe solicitar modelo acorde.</v>
      </c>
      <c r="AA2227" s="213" t="str">
        <f>IFERROR(__xludf.DUMMYFUNCTION("""COMPUTED_VALUE"""),"ESP-337 SELECCIONADORA DE ZARANDA - CET")</f>
        <v>ESP-337 SELECCIONADORA DE ZARANDA - CET</v>
      </c>
      <c r="AB2227" s="213"/>
      <c r="AC2227" s="213"/>
      <c r="AD2227" s="213"/>
      <c r="AE2227" s="213"/>
      <c r="AF2227" s="213"/>
      <c r="AG2227" s="213"/>
      <c r="AH2227" s="213"/>
      <c r="AI2227" s="213"/>
      <c r="AJ2227" s="213"/>
      <c r="AK2227" s="213"/>
      <c r="AL2227" s="213"/>
      <c r="AM2227" s="213"/>
      <c r="AN2227" s="213"/>
      <c r="AO2227" s="213"/>
      <c r="AP2227" s="213" t="str">
        <f>IFERROR(__xludf.DUMMYFUNCTION("""COMPUTED_VALUE"""),"ANTONELLA")</f>
        <v>ANTONELLA</v>
      </c>
      <c r="AQ2227" s="213" t="str">
        <f>IFERROR(__xludf.DUMMYFUNCTION("""COMPUTED_VALUE"""),"Se debe solicitar una adecuación al equipo.")</f>
        <v>Se debe solicitar una adecuación al equipo.</v>
      </c>
      <c r="AR2227" s="213"/>
      <c r="AS2227" s="213" t="str">
        <f>IFERROR(__xludf.DUMMYFUNCTION("""COMPUTED_VALUE"""),"FUNDA PROTECTORA")</f>
        <v>FUNDA PROTECTORA</v>
      </c>
      <c r="AT2227" s="213"/>
      <c r="AU2227" s="213"/>
      <c r="AV2227" s="213"/>
      <c r="AW2227" s="213"/>
      <c r="AX2227" s="213"/>
      <c r="AY2227" s="213"/>
      <c r="AZ2227" s="213"/>
      <c r="BA2227" s="213"/>
      <c r="BB2227" s="213"/>
      <c r="BC2227" s="213"/>
      <c r="BD2227" s="213"/>
    </row>
    <row r="2228">
      <c r="A2228" s="213">
        <f>IFERROR(__xludf.DUMMYFUNCTION("""COMPUTED_VALUE"""),1466.0)</f>
        <v>1466</v>
      </c>
      <c r="B2228" s="213" t="str">
        <f>IFERROR(__xludf.DUMMYFUNCTION("""COMPUTED_VALUE"""),"GUILLERMO E. BILLINGHURST ")</f>
        <v>GUILLERMO E. BILLINGHURST </v>
      </c>
      <c r="C2228" s="213" t="str">
        <f>IFERROR(__xludf.DUMMYFUNCTION("""COMPUTED_VALUE"""),"TALLER SFT DE INDUSTRIA ALIMENTARIA")</f>
        <v>TALLER SFT DE INDUSTRIA ALIMENTARIA</v>
      </c>
      <c r="D2228" s="213" t="str">
        <f>IFERROR(__xludf.DUMMYFUNCTION("""COMPUTED_VALUE"""),"EQUIPOS")</f>
        <v>EQUIPOS</v>
      </c>
      <c r="E2228" s="213" t="str">
        <f>IFERROR(__xludf.DUMMYFUNCTION("""COMPUTED_VALUE"""),"ESP-337")</f>
        <v>ESP-337</v>
      </c>
      <c r="F2228" s="213" t="str">
        <f>IFERROR(__xludf.DUMMYFUNCTION("""COMPUTED_VALUE"""),"ESP-337")</f>
        <v>ESP-337</v>
      </c>
      <c r="G2228" s="213"/>
      <c r="H2228" s="213" t="str">
        <f>IFERROR(__xludf.DUMMYFUNCTION("""COMPUTED_VALUE"""),"SELECCIONADORA DE ZARANDA")</f>
        <v>SELECCIONADORA DE ZARANDA</v>
      </c>
      <c r="I2228" s="213" t="str">
        <f>IFERROR(__xludf.DUMMYFUNCTION("""COMPUTED_VALUE"""),"· Tipo: circular
· Energía (W):0.25kw
· Material: Acero inoxidable
· Motor: Vibrante
· Cubiertas: 1-5 cubiertas
· Tamaño de malla: 0.02-20mm
· Diámetro de la pantalla: 450mm
· Altura: 790mm
·  Incluye una funda protectora impermeable para su almacenamient"&amp;"o.
· Medidas L45 cm x A45 cm x H80 cm")</f>
        <v>· Tipo: circular
· Energía (W):0.25kw
· Material: Acero inoxidable
· Motor: Vibrante
· Cubiertas: 1-5 cubiertas
· Tamaño de malla: 0.02-20mm
· Diámetro de la pantalla: 450mm
· Altura: 790mm
·  Incluye una funda protectora impermeable para su almacenamiento.
· Medidas L45 cm x A45 cm x H80 cm</v>
      </c>
      <c r="J2228" s="213">
        <f>IFERROR(__xludf.DUMMYFUNCTION("""COMPUTED_VALUE"""),3.0)</f>
        <v>3</v>
      </c>
      <c r="K2228" s="213" t="str">
        <f>IFERROR(__xludf.DUMMYFUNCTION("""COMPUTED_VALUE"""),"170 DÍAS CALENDARIO")</f>
        <v>170 DÍAS CALENDARIO</v>
      </c>
      <c r="L2228" s="213" t="str">
        <f>IFERROR(__xludf.DUMMYFUNCTION("""COMPUTED_VALUE"""),"")</f>
        <v/>
      </c>
      <c r="M2228" s="213">
        <f>IFERROR(__xludf.DUMMYFUNCTION("""COMPUTED_VALUE"""),1.0)</f>
        <v>1</v>
      </c>
      <c r="N2228" s="213">
        <f>IFERROR(__xludf.DUMMYFUNCTION("""COMPUTED_VALUE"""),1.0)</f>
        <v>1</v>
      </c>
      <c r="O2228" s="213">
        <f>IFERROR(__xludf.DUMMYFUNCTION("""COMPUTED_VALUE"""),1.0)</f>
        <v>1</v>
      </c>
      <c r="P2228" s="213"/>
      <c r="Q2228" s="213"/>
      <c r="R2228" s="213"/>
      <c r="S2228" s="213" t="str">
        <f>IFERROR(__xludf.DUMMYFUNCTION("""COMPUTED_VALUE"""),"SI")</f>
        <v>SI</v>
      </c>
      <c r="T2228" s="213" t="str">
        <f>IFERROR(__xludf.DUMMYFUNCTION("""COMPUTED_VALUE"""),"CONSULTA FINAL")</f>
        <v>CONSULTA FINAL</v>
      </c>
      <c r="U2228" s="213" t="str">
        <f>IFERROR(__xludf.DUMMYFUNCTION("""COMPUTED_VALUE"""),"NO")</f>
        <v>NO</v>
      </c>
      <c r="V2228" s="213" t="str">
        <f>IFERROR(__xludf.DUMMYFUNCTION("""COMPUTED_VALUE"""),"NO")</f>
        <v>NO</v>
      </c>
      <c r="W2228" s="213"/>
      <c r="X2228" s="213" t="str">
        <f>IFERROR(__xludf.DUMMYFUNCTION("""COMPUTED_VALUE"""),"DAHAN VIBRATING MACHINERY")</f>
        <v>DAHAN VIBRATING MACHINERY</v>
      </c>
      <c r="Y2228" s="213" t="str">
        <f>IFERROR(__xludf.DUMMYFUNCTION("""COMPUTED_VALUE"""),"DH-600-4S")</f>
        <v>DH-600-4S</v>
      </c>
      <c r="Z2228" s="213" t="str">
        <f>IFERROR(__xludf.DUMMYFUNCTION("""COMPUTED_VALUE"""),"Se debe solicitar modelo acorde.")</f>
        <v>Se debe solicitar modelo acorde.</v>
      </c>
      <c r="AA2228" s="213" t="str">
        <f>IFERROR(__xludf.DUMMYFUNCTION("""COMPUTED_VALUE"""),"ESP-337 SELECCIONADORA DE ZARANDA - CET")</f>
        <v>ESP-337 SELECCIONADORA DE ZARANDA - CET</v>
      </c>
      <c r="AB2228" s="213"/>
      <c r="AC2228" s="213"/>
      <c r="AD2228" s="213"/>
      <c r="AE2228" s="213"/>
      <c r="AF2228" s="213"/>
      <c r="AG2228" s="213"/>
      <c r="AH2228" s="213"/>
      <c r="AI2228" s="213"/>
      <c r="AJ2228" s="213"/>
      <c r="AK2228" s="213"/>
      <c r="AL2228" s="213"/>
      <c r="AM2228" s="213"/>
      <c r="AN2228" s="213"/>
      <c r="AO2228" s="213"/>
      <c r="AP2228" s="213" t="str">
        <f>IFERROR(__xludf.DUMMYFUNCTION("""COMPUTED_VALUE"""),"ANTONELLA")</f>
        <v>ANTONELLA</v>
      </c>
      <c r="AQ2228" s="213" t="str">
        <f>IFERROR(__xludf.DUMMYFUNCTION("""COMPUTED_VALUE"""),"Se debe solicitar una adecuación al equipo.")</f>
        <v>Se debe solicitar una adecuación al equipo.</v>
      </c>
      <c r="AR2228" s="213"/>
      <c r="AS2228" s="213" t="str">
        <f>IFERROR(__xludf.DUMMYFUNCTION("""COMPUTED_VALUE"""),"FUNDA PROTECTORA")</f>
        <v>FUNDA PROTECTORA</v>
      </c>
      <c r="AT2228" s="213"/>
      <c r="AU2228" s="213"/>
      <c r="AV2228" s="213"/>
      <c r="AW2228" s="213"/>
      <c r="AX2228" s="213"/>
      <c r="AY2228" s="213"/>
      <c r="AZ2228" s="213"/>
      <c r="BA2228" s="213"/>
      <c r="BB2228" s="213"/>
      <c r="BC2228" s="213"/>
      <c r="BD2228" s="213"/>
    </row>
    <row r="2229">
      <c r="A2229" s="213">
        <f>IFERROR(__xludf.DUMMYFUNCTION("""COMPUTED_VALUE"""),2153.0)</f>
        <v>2153</v>
      </c>
      <c r="B2229" s="213" t="str">
        <f>IFERROR(__xludf.DUMMYFUNCTION("""COMPUTED_VALUE"""),"JOSE GRANDA")</f>
        <v>JOSE GRANDA</v>
      </c>
      <c r="C2229" s="213" t="str">
        <f>IFERROR(__xludf.DUMMYFUNCTION("""COMPUTED_VALUE"""),"TALLER SFT DE INDUSTRIA ALIMENTARIA")</f>
        <v>TALLER SFT DE INDUSTRIA ALIMENTARIA</v>
      </c>
      <c r="D2229" s="213" t="str">
        <f>IFERROR(__xludf.DUMMYFUNCTION("""COMPUTED_VALUE"""),"EQUIPOS")</f>
        <v>EQUIPOS</v>
      </c>
      <c r="E2229" s="213" t="str">
        <f>IFERROR(__xludf.DUMMYFUNCTION("""COMPUTED_VALUE"""),"ESP-337")</f>
        <v>ESP-337</v>
      </c>
      <c r="F2229" s="213" t="str">
        <f>IFERROR(__xludf.DUMMYFUNCTION("""COMPUTED_VALUE"""),"ESP-337")</f>
        <v>ESP-337</v>
      </c>
      <c r="G2229" s="213"/>
      <c r="H2229" s="213" t="str">
        <f>IFERROR(__xludf.DUMMYFUNCTION("""COMPUTED_VALUE"""),"SELECCIONADORA DE ZARANDA")</f>
        <v>SELECCIONADORA DE ZARANDA</v>
      </c>
      <c r="I2229" s="213" t="str">
        <f>IFERROR(__xludf.DUMMYFUNCTION("""COMPUTED_VALUE"""),"· Tipo: circular
· Energía (W):0.25kw
· Material: Acero inoxidable
· Motor: Vibrante
· Cubiertas: 1-5 cubiertas
· Tamaño de malla: 0.02-20mm
· Diámetro de la pantalla: 450mm
· Altura: 790mm
·  Incluye una funda protectora impermeable para su almacenamient"&amp;"o.
· Medidas L45 cm x A45 cm x H80 cm")</f>
        <v>· Tipo: circular
· Energía (W):0.25kw
· Material: Acero inoxidable
· Motor: Vibrante
· Cubiertas: 1-5 cubiertas
· Tamaño de malla: 0.02-20mm
· Diámetro de la pantalla: 450mm
· Altura: 790mm
·  Incluye una funda protectora impermeable para su almacenamiento.
· Medidas L45 cm x A45 cm x H80 cm</v>
      </c>
      <c r="J2229" s="213">
        <f>IFERROR(__xludf.DUMMYFUNCTION("""COMPUTED_VALUE"""),3.0)</f>
        <v>3</v>
      </c>
      <c r="K2229" s="213" t="str">
        <f>IFERROR(__xludf.DUMMYFUNCTION("""COMPUTED_VALUE"""),"170 DÍAS CALENDARIO")</f>
        <v>170 DÍAS CALENDARIO</v>
      </c>
      <c r="L2229" s="213" t="str">
        <f>IFERROR(__xludf.DUMMYFUNCTION("""COMPUTED_VALUE"""),"")</f>
        <v/>
      </c>
      <c r="M2229" s="213">
        <f>IFERROR(__xludf.DUMMYFUNCTION("""COMPUTED_VALUE"""),1.0)</f>
        <v>1</v>
      </c>
      <c r="N2229" s="213">
        <f>IFERROR(__xludf.DUMMYFUNCTION("""COMPUTED_VALUE"""),1.0)</f>
        <v>1</v>
      </c>
      <c r="O2229" s="213">
        <f>IFERROR(__xludf.DUMMYFUNCTION("""COMPUTED_VALUE"""),1.0)</f>
        <v>1</v>
      </c>
      <c r="P2229" s="213"/>
      <c r="Q2229" s="213"/>
      <c r="R2229" s="213"/>
      <c r="S2229" s="213" t="str">
        <f>IFERROR(__xludf.DUMMYFUNCTION("""COMPUTED_VALUE"""),"SI")</f>
        <v>SI</v>
      </c>
      <c r="T2229" s="213" t="str">
        <f>IFERROR(__xludf.DUMMYFUNCTION("""COMPUTED_VALUE"""),"CONSULTA FINAL")</f>
        <v>CONSULTA FINAL</v>
      </c>
      <c r="U2229" s="213" t="str">
        <f>IFERROR(__xludf.DUMMYFUNCTION("""COMPUTED_VALUE"""),"NO")</f>
        <v>NO</v>
      </c>
      <c r="V2229" s="213" t="str">
        <f>IFERROR(__xludf.DUMMYFUNCTION("""COMPUTED_VALUE"""),"NO")</f>
        <v>NO</v>
      </c>
      <c r="W2229" s="213"/>
      <c r="X2229" s="213" t="str">
        <f>IFERROR(__xludf.DUMMYFUNCTION("""COMPUTED_VALUE"""),"DAHAN VIBRATING MACHINERY")</f>
        <v>DAHAN VIBRATING MACHINERY</v>
      </c>
      <c r="Y2229" s="213" t="str">
        <f>IFERROR(__xludf.DUMMYFUNCTION("""COMPUTED_VALUE"""),"DH-600-4S")</f>
        <v>DH-600-4S</v>
      </c>
      <c r="Z2229" s="213" t="str">
        <f>IFERROR(__xludf.DUMMYFUNCTION("""COMPUTED_VALUE"""),"Se debe solicitar modelo acorde.")</f>
        <v>Se debe solicitar modelo acorde.</v>
      </c>
      <c r="AA2229" s="213" t="str">
        <f>IFERROR(__xludf.DUMMYFUNCTION("""COMPUTED_VALUE"""),"ESP-337 SELECCIONADORA DE ZARANDA - CET")</f>
        <v>ESP-337 SELECCIONADORA DE ZARANDA - CET</v>
      </c>
      <c r="AB2229" s="213"/>
      <c r="AC2229" s="213"/>
      <c r="AD2229" s="213"/>
      <c r="AE2229" s="213"/>
      <c r="AF2229" s="213"/>
      <c r="AG2229" s="213"/>
      <c r="AH2229" s="213"/>
      <c r="AI2229" s="213"/>
      <c r="AJ2229" s="213"/>
      <c r="AK2229" s="213"/>
      <c r="AL2229" s="213"/>
      <c r="AM2229" s="213"/>
      <c r="AN2229" s="213"/>
      <c r="AO2229" s="213"/>
      <c r="AP2229" s="213" t="str">
        <f>IFERROR(__xludf.DUMMYFUNCTION("""COMPUTED_VALUE"""),"ANTONELLA")</f>
        <v>ANTONELLA</v>
      </c>
      <c r="AQ2229" s="213" t="str">
        <f>IFERROR(__xludf.DUMMYFUNCTION("""COMPUTED_VALUE"""),"Se debe solicitar una adecuación al equipo.")</f>
        <v>Se debe solicitar una adecuación al equipo.</v>
      </c>
      <c r="AR2229" s="213"/>
      <c r="AS2229" s="213" t="str">
        <f>IFERROR(__xludf.DUMMYFUNCTION("""COMPUTED_VALUE"""),"FUNDA PROTECTORA")</f>
        <v>FUNDA PROTECTORA</v>
      </c>
      <c r="AT2229" s="213"/>
      <c r="AU2229" s="213"/>
      <c r="AV2229" s="213"/>
      <c r="AW2229" s="213"/>
      <c r="AX2229" s="213"/>
      <c r="AY2229" s="213"/>
      <c r="AZ2229" s="213"/>
      <c r="BA2229" s="213"/>
      <c r="BB2229" s="213"/>
      <c r="BC2229" s="213"/>
      <c r="BD2229" s="213"/>
    </row>
    <row r="2230">
      <c r="A2230" s="213">
        <f>IFERROR(__xludf.DUMMYFUNCTION("""COMPUTED_VALUE"""),606.0)</f>
        <v>606</v>
      </c>
      <c r="B2230" s="213" t="str">
        <f>IFERROR(__xludf.DUMMYFUNCTION("""COMPUTED_VALUE"""),"2026 SIMON BOLIVAR")</f>
        <v>2026 SIMON BOLIVAR</v>
      </c>
      <c r="C2230" s="213" t="str">
        <f>IFERROR(__xludf.DUMMYFUNCTION("""COMPUTED_VALUE"""),"TALLER SFT DE INDUSTRIA ALIMENTARIA")</f>
        <v>TALLER SFT DE INDUSTRIA ALIMENTARIA</v>
      </c>
      <c r="D2230" s="213" t="str">
        <f>IFERROR(__xludf.DUMMYFUNCTION("""COMPUTED_VALUE"""),"EQUIPOS")</f>
        <v>EQUIPOS</v>
      </c>
      <c r="E2230" s="213" t="str">
        <f>IFERROR(__xludf.DUMMYFUNCTION("""COMPUTED_VALUE"""),"ESP-338")</f>
        <v>ESP-338</v>
      </c>
      <c r="F2230" s="213" t="str">
        <f>IFERROR(__xludf.DUMMYFUNCTION("""COMPUTED_VALUE"""),"ESP-338")</f>
        <v>ESP-338</v>
      </c>
      <c r="G2230" s="213"/>
      <c r="H2230" s="213" t="str">
        <f>IFERROR(__xludf.DUMMYFUNCTION("""COMPUTED_VALUE"""),"SELLADORA AL VACÍO")</f>
        <v>SELLADORA AL VACÍO</v>
      </c>
      <c r="I2230" s="213"/>
      <c r="J2230" s="213">
        <f>IFERROR(__xludf.DUMMYFUNCTION("""COMPUTED_VALUE"""),3.0)</f>
        <v>3</v>
      </c>
      <c r="K2230" s="213" t="str">
        <f>IFERROR(__xludf.DUMMYFUNCTION("""COMPUTED_VALUE"""),"170 DÍAS CALENDARIO")</f>
        <v>170 DÍAS CALENDARIO</v>
      </c>
      <c r="L2230" s="213" t="str">
        <f>IFERROR(__xludf.DUMMYFUNCTION("""COMPUTED_VALUE"""),"")</f>
        <v/>
      </c>
      <c r="M2230" s="213">
        <f>IFERROR(__xludf.DUMMYFUNCTION("""COMPUTED_VALUE"""),1.0)</f>
        <v>1</v>
      </c>
      <c r="N2230" s="213">
        <f>IFERROR(__xludf.DUMMYFUNCTION("""COMPUTED_VALUE"""),1.0)</f>
        <v>1</v>
      </c>
      <c r="O2230" s="213">
        <f>IFERROR(__xludf.DUMMYFUNCTION("""COMPUTED_VALUE"""),1.0)</f>
        <v>1</v>
      </c>
      <c r="P2230" s="213"/>
      <c r="Q2230" s="213"/>
      <c r="R2230" s="213"/>
      <c r="S2230" s="213" t="str">
        <f>IFERROR(__xludf.DUMMYFUNCTION("""COMPUTED_VALUE"""),"SI")</f>
        <v>SI</v>
      </c>
      <c r="T2230" s="213" t="str">
        <f>IFERROR(__xludf.DUMMYFUNCTION("""COMPUTED_VALUE"""),"SI")</f>
        <v>SI</v>
      </c>
      <c r="U2230" s="213" t="str">
        <f>IFERROR(__xludf.DUMMYFUNCTION("""COMPUTED_VALUE"""),"NO")</f>
        <v>NO</v>
      </c>
      <c r="V2230" s="213" t="str">
        <f>IFERROR(__xludf.DUMMYFUNCTION("""COMPUTED_VALUE"""),"SUSTENTO")</f>
        <v>SUSTENTO</v>
      </c>
      <c r="W2230" s="213"/>
      <c r="X2230" s="213" t="str">
        <f>IFERROR(__xludf.DUMMYFUNCTION("""COMPUTED_VALUE"""),"GRONDOY")</f>
        <v>GRONDOY</v>
      </c>
      <c r="Y2230" s="213" t="str">
        <f>IFERROR(__xludf.DUMMYFUNCTION("""COMPUTED_VALUE"""),"EV28")</f>
        <v>EV28</v>
      </c>
      <c r="Z2230" s="215" t="str">
        <f>IFERROR(__xludf.DUMMYFUNCTION("""COMPUTED_VALUE"""),"https://grondoy.com/productos/Empacadoras/empacadora-selladora-al-vacio-de-01-sello-de-28cm-en-acero-inoxidable?srsltid=AfmBOopMoapn6qungdjgKvIGOPK8u1OD9bN7hZlgZp3MOThjpwZr6eyZ")</f>
        <v>https://grondoy.com/productos/Empacadoras/empacadora-selladora-al-vacio-de-01-sello-de-28cm-en-acero-inoxidable?srsltid=AfmBOopMoapn6qungdjgKvIGOPK8u1OD9bN7hZlgZp3MOThjpwZr6eyZ</v>
      </c>
      <c r="AA2230" s="213" t="str">
        <f>IFERROR(__xludf.DUMMYFUNCTION("""COMPUTED_VALUE"""),"ESP-338 SELLADORA AL VACÍO - CET")</f>
        <v>ESP-338 SELLADORA AL VACÍO - CET</v>
      </c>
      <c r="AB2230" s="213"/>
      <c r="AC2230" s="213"/>
      <c r="AD2230" s="213"/>
      <c r="AE2230" s="213"/>
      <c r="AF2230" s="213"/>
      <c r="AG2230" s="213"/>
      <c r="AH2230" s="213" t="str">
        <f>IFERROR(__xludf.DUMMYFUNCTION("""COMPUTED_VALUE"""),"NACIONAL")</f>
        <v>NACIONAL</v>
      </c>
      <c r="AI2230" s="213"/>
      <c r="AJ2230" s="213"/>
      <c r="AK2230" s="213"/>
      <c r="AL2230" s="213"/>
      <c r="AM2230" s="213"/>
      <c r="AN2230" s="213"/>
      <c r="AO2230" s="213"/>
      <c r="AP2230" s="213" t="str">
        <f>IFERROR(__xludf.DUMMYFUNCTION("""COMPUTED_VALUE"""),"ANTONELLA")</f>
        <v>ANTONELLA</v>
      </c>
      <c r="AQ2230" s="213" t="str">
        <f>IFERROR(__xludf.DUMMYFUNCTION("""COMPUTED_VALUE"""),"Las dimensiones son menores a las solicitadas, pero las características de cámara de trabajo y potencia son superiores. Asimismo, no se menciona por el fabricante cual es el trabajo mínimo.")</f>
        <v>Las dimensiones son menores a las solicitadas, pero las características de cámara de trabajo y potencia son superiores. Asimismo, no se menciona por el fabricante cual es el trabajo mínimo.</v>
      </c>
      <c r="AR2230" s="213"/>
      <c r="AS2230" s="213"/>
      <c r="AT2230" s="213"/>
      <c r="AU2230" s="213"/>
      <c r="AV2230" s="213"/>
      <c r="AW2230" s="213"/>
      <c r="AX2230" s="213"/>
      <c r="AY2230" s="213"/>
      <c r="AZ2230" s="213"/>
      <c r="BA2230" s="213"/>
      <c r="BB2230" s="213"/>
      <c r="BC2230" s="213"/>
      <c r="BD2230" s="213"/>
    </row>
    <row r="2231">
      <c r="A2231" s="213">
        <f>IFERROR(__xludf.DUMMYFUNCTION("""COMPUTED_VALUE"""),1232.0)</f>
        <v>1232</v>
      </c>
      <c r="B2231" s="213" t="str">
        <f>IFERROR(__xludf.DUMMYFUNCTION("""COMPUTED_VALUE"""),"FRANCISCO IRAZOLA")</f>
        <v>FRANCISCO IRAZOLA</v>
      </c>
      <c r="C2231" s="213" t="str">
        <f>IFERROR(__xludf.DUMMYFUNCTION("""COMPUTED_VALUE"""),"TALLER SFT DE INDUSTRIA ALIMENTARIA")</f>
        <v>TALLER SFT DE INDUSTRIA ALIMENTARIA</v>
      </c>
      <c r="D2231" s="213" t="str">
        <f>IFERROR(__xludf.DUMMYFUNCTION("""COMPUTED_VALUE"""),"EQUIPOS")</f>
        <v>EQUIPOS</v>
      </c>
      <c r="E2231" s="213" t="str">
        <f>IFERROR(__xludf.DUMMYFUNCTION("""COMPUTED_VALUE"""),"ESP-338")</f>
        <v>ESP-338</v>
      </c>
      <c r="F2231" s="213" t="str">
        <f>IFERROR(__xludf.DUMMYFUNCTION("""COMPUTED_VALUE"""),"ESP-338")</f>
        <v>ESP-338</v>
      </c>
      <c r="G2231" s="213"/>
      <c r="H2231" s="213" t="str">
        <f>IFERROR(__xludf.DUMMYFUNCTION("""COMPUTED_VALUE"""),"SELLADORA AL VACÍO")</f>
        <v>SELLADORA AL VACÍO</v>
      </c>
      <c r="I2231" s="213"/>
      <c r="J2231" s="213">
        <f>IFERROR(__xludf.DUMMYFUNCTION("""COMPUTED_VALUE"""),3.0)</f>
        <v>3</v>
      </c>
      <c r="K2231" s="213" t="str">
        <f>IFERROR(__xludf.DUMMYFUNCTION("""COMPUTED_VALUE"""),"170 DÍAS CALENDARIO")</f>
        <v>170 DÍAS CALENDARIO</v>
      </c>
      <c r="L2231" s="213" t="str">
        <f>IFERROR(__xludf.DUMMYFUNCTION("""COMPUTED_VALUE"""),"")</f>
        <v/>
      </c>
      <c r="M2231" s="213">
        <f>IFERROR(__xludf.DUMMYFUNCTION("""COMPUTED_VALUE"""),1.0)</f>
        <v>1</v>
      </c>
      <c r="N2231" s="213">
        <f>IFERROR(__xludf.DUMMYFUNCTION("""COMPUTED_VALUE"""),1.0)</f>
        <v>1</v>
      </c>
      <c r="O2231" s="213">
        <f>IFERROR(__xludf.DUMMYFUNCTION("""COMPUTED_VALUE"""),1.0)</f>
        <v>1</v>
      </c>
      <c r="P2231" s="213"/>
      <c r="Q2231" s="213"/>
      <c r="R2231" s="213"/>
      <c r="S2231" s="213" t="str">
        <f>IFERROR(__xludf.DUMMYFUNCTION("""COMPUTED_VALUE"""),"SI")</f>
        <v>SI</v>
      </c>
      <c r="T2231" s="213" t="str">
        <f>IFERROR(__xludf.DUMMYFUNCTION("""COMPUTED_VALUE"""),"SI")</f>
        <v>SI</v>
      </c>
      <c r="U2231" s="213" t="str">
        <f>IFERROR(__xludf.DUMMYFUNCTION("""COMPUTED_VALUE"""),"NO")</f>
        <v>NO</v>
      </c>
      <c r="V2231" s="213" t="str">
        <f>IFERROR(__xludf.DUMMYFUNCTION("""COMPUTED_VALUE"""),"SUSTENTO")</f>
        <v>SUSTENTO</v>
      </c>
      <c r="W2231" s="213"/>
      <c r="X2231" s="213" t="str">
        <f>IFERROR(__xludf.DUMMYFUNCTION("""COMPUTED_VALUE"""),"GRONDOY")</f>
        <v>GRONDOY</v>
      </c>
      <c r="Y2231" s="213" t="str">
        <f>IFERROR(__xludf.DUMMYFUNCTION("""COMPUTED_VALUE"""),"EV28")</f>
        <v>EV28</v>
      </c>
      <c r="Z2231" s="215" t="str">
        <f>IFERROR(__xludf.DUMMYFUNCTION("""COMPUTED_VALUE"""),"https://grondoy.com/productos/Empacadoras/empacadora-selladora-al-vacio-de-01-sello-de-28cm-en-acero-inoxidable?srsltid=AfmBOopMoapn6qungdjgKvIGOPK8u1OD9bN7hZlgZp3MOThjpwZr6eyZ")</f>
        <v>https://grondoy.com/productos/Empacadoras/empacadora-selladora-al-vacio-de-01-sello-de-28cm-en-acero-inoxidable?srsltid=AfmBOopMoapn6qungdjgKvIGOPK8u1OD9bN7hZlgZp3MOThjpwZr6eyZ</v>
      </c>
      <c r="AA2231" s="213" t="str">
        <f>IFERROR(__xludf.DUMMYFUNCTION("""COMPUTED_VALUE"""),"ESP-338 SELLADORA AL VACÍO - CET")</f>
        <v>ESP-338 SELLADORA AL VACÍO - CET</v>
      </c>
      <c r="AB2231" s="213"/>
      <c r="AC2231" s="213"/>
      <c r="AD2231" s="213"/>
      <c r="AE2231" s="213"/>
      <c r="AF2231" s="213"/>
      <c r="AG2231" s="213"/>
      <c r="AH2231" s="213" t="str">
        <f>IFERROR(__xludf.DUMMYFUNCTION("""COMPUTED_VALUE"""),"NACIONAL")</f>
        <v>NACIONAL</v>
      </c>
      <c r="AI2231" s="213"/>
      <c r="AJ2231" s="213"/>
      <c r="AK2231" s="213"/>
      <c r="AL2231" s="213"/>
      <c r="AM2231" s="213"/>
      <c r="AN2231" s="213"/>
      <c r="AO2231" s="213"/>
      <c r="AP2231" s="213" t="str">
        <f>IFERROR(__xludf.DUMMYFUNCTION("""COMPUTED_VALUE"""),"ANTONELLA")</f>
        <v>ANTONELLA</v>
      </c>
      <c r="AQ2231" s="213" t="str">
        <f>IFERROR(__xludf.DUMMYFUNCTION("""COMPUTED_VALUE"""),"Las dimensiones son menores a las solicitadas, pero las características de cámara de trabajo y potencia son superiores. Asimismo, no se menciona por el fabricante cual es el trabajo mínimo.")</f>
        <v>Las dimensiones son menores a las solicitadas, pero las características de cámara de trabajo y potencia son superiores. Asimismo, no se menciona por el fabricante cual es el trabajo mínimo.</v>
      </c>
      <c r="AR2231" s="213"/>
      <c r="AS2231" s="213"/>
      <c r="AT2231" s="213"/>
      <c r="AU2231" s="213"/>
      <c r="AV2231" s="213"/>
      <c r="AW2231" s="213"/>
      <c r="AX2231" s="213"/>
      <c r="AY2231" s="213"/>
      <c r="AZ2231" s="213"/>
      <c r="BA2231" s="213"/>
      <c r="BB2231" s="213"/>
      <c r="BC2231" s="213"/>
      <c r="BD2231" s="213"/>
    </row>
    <row r="2232">
      <c r="A2232" s="213">
        <f>IFERROR(__xludf.DUMMYFUNCTION("""COMPUTED_VALUE"""),1503.0)</f>
        <v>1503</v>
      </c>
      <c r="B2232" s="213" t="str">
        <f>IFERROR(__xludf.DUMMYFUNCTION("""COMPUTED_VALUE"""),"GUILLERMO E. BILLINGHURST ")</f>
        <v>GUILLERMO E. BILLINGHURST </v>
      </c>
      <c r="C2232" s="213" t="str">
        <f>IFERROR(__xludf.DUMMYFUNCTION("""COMPUTED_VALUE"""),"TALLER SFT DE INDUSTRIA ALIMENTARIA")</f>
        <v>TALLER SFT DE INDUSTRIA ALIMENTARIA</v>
      </c>
      <c r="D2232" s="213" t="str">
        <f>IFERROR(__xludf.DUMMYFUNCTION("""COMPUTED_VALUE"""),"EQUIPOS")</f>
        <v>EQUIPOS</v>
      </c>
      <c r="E2232" s="213" t="str">
        <f>IFERROR(__xludf.DUMMYFUNCTION("""COMPUTED_VALUE"""),"ESP-338")</f>
        <v>ESP-338</v>
      </c>
      <c r="F2232" s="213" t="str">
        <f>IFERROR(__xludf.DUMMYFUNCTION("""COMPUTED_VALUE"""),"ESP-338")</f>
        <v>ESP-338</v>
      </c>
      <c r="G2232" s="213"/>
      <c r="H2232" s="213" t="str">
        <f>IFERROR(__xludf.DUMMYFUNCTION("""COMPUTED_VALUE"""),"SELLADORA AL VACÍO")</f>
        <v>SELLADORA AL VACÍO</v>
      </c>
      <c r="I2232" s="213"/>
      <c r="J2232" s="213">
        <f>IFERROR(__xludf.DUMMYFUNCTION("""COMPUTED_VALUE"""),3.0)</f>
        <v>3</v>
      </c>
      <c r="K2232" s="213" t="str">
        <f>IFERROR(__xludf.DUMMYFUNCTION("""COMPUTED_VALUE"""),"170 DÍAS CALENDARIO")</f>
        <v>170 DÍAS CALENDARIO</v>
      </c>
      <c r="L2232" s="213" t="str">
        <f>IFERROR(__xludf.DUMMYFUNCTION("""COMPUTED_VALUE"""),"")</f>
        <v/>
      </c>
      <c r="M2232" s="213">
        <f>IFERROR(__xludf.DUMMYFUNCTION("""COMPUTED_VALUE"""),1.0)</f>
        <v>1</v>
      </c>
      <c r="N2232" s="213">
        <f>IFERROR(__xludf.DUMMYFUNCTION("""COMPUTED_VALUE"""),1.0)</f>
        <v>1</v>
      </c>
      <c r="O2232" s="213">
        <f>IFERROR(__xludf.DUMMYFUNCTION("""COMPUTED_VALUE"""),1.0)</f>
        <v>1</v>
      </c>
      <c r="P2232" s="213"/>
      <c r="Q2232" s="213"/>
      <c r="R2232" s="213"/>
      <c r="S2232" s="213" t="str">
        <f>IFERROR(__xludf.DUMMYFUNCTION("""COMPUTED_VALUE"""),"SI")</f>
        <v>SI</v>
      </c>
      <c r="T2232" s="213" t="str">
        <f>IFERROR(__xludf.DUMMYFUNCTION("""COMPUTED_VALUE"""),"SI")</f>
        <v>SI</v>
      </c>
      <c r="U2232" s="213" t="str">
        <f>IFERROR(__xludf.DUMMYFUNCTION("""COMPUTED_VALUE"""),"NO")</f>
        <v>NO</v>
      </c>
      <c r="V2232" s="213" t="str">
        <f>IFERROR(__xludf.DUMMYFUNCTION("""COMPUTED_VALUE"""),"SUSTENTO")</f>
        <v>SUSTENTO</v>
      </c>
      <c r="W2232" s="213"/>
      <c r="X2232" s="213" t="str">
        <f>IFERROR(__xludf.DUMMYFUNCTION("""COMPUTED_VALUE"""),"GRONDOY")</f>
        <v>GRONDOY</v>
      </c>
      <c r="Y2232" s="213" t="str">
        <f>IFERROR(__xludf.DUMMYFUNCTION("""COMPUTED_VALUE"""),"EV28")</f>
        <v>EV28</v>
      </c>
      <c r="Z2232" s="215" t="str">
        <f>IFERROR(__xludf.DUMMYFUNCTION("""COMPUTED_VALUE"""),"https://grondoy.com/productos/Empacadoras/empacadora-selladora-al-vacio-de-01-sello-de-28cm-en-acero-inoxidable?srsltid=AfmBOopMoapn6qungdjgKvIGOPK8u1OD9bN7hZlgZp3MOThjpwZr6eyZ")</f>
        <v>https://grondoy.com/productos/Empacadoras/empacadora-selladora-al-vacio-de-01-sello-de-28cm-en-acero-inoxidable?srsltid=AfmBOopMoapn6qungdjgKvIGOPK8u1OD9bN7hZlgZp3MOThjpwZr6eyZ</v>
      </c>
      <c r="AA2232" s="213" t="str">
        <f>IFERROR(__xludf.DUMMYFUNCTION("""COMPUTED_VALUE"""),"ESP-338 SELLADORA AL VACÍO - CET")</f>
        <v>ESP-338 SELLADORA AL VACÍO - CET</v>
      </c>
      <c r="AB2232" s="213"/>
      <c r="AC2232" s="213"/>
      <c r="AD2232" s="213"/>
      <c r="AE2232" s="213"/>
      <c r="AF2232" s="213"/>
      <c r="AG2232" s="213"/>
      <c r="AH2232" s="213" t="str">
        <f>IFERROR(__xludf.DUMMYFUNCTION("""COMPUTED_VALUE"""),"NACIONAL")</f>
        <v>NACIONAL</v>
      </c>
      <c r="AI2232" s="213"/>
      <c r="AJ2232" s="213"/>
      <c r="AK2232" s="213"/>
      <c r="AL2232" s="213"/>
      <c r="AM2232" s="213"/>
      <c r="AN2232" s="213"/>
      <c r="AO2232" s="213"/>
      <c r="AP2232" s="213" t="str">
        <f>IFERROR(__xludf.DUMMYFUNCTION("""COMPUTED_VALUE"""),"ANTONELLA")</f>
        <v>ANTONELLA</v>
      </c>
      <c r="AQ2232" s="213" t="str">
        <f>IFERROR(__xludf.DUMMYFUNCTION("""COMPUTED_VALUE"""),"Las dimensiones son menores a las solicitadas, pero las características de cámara de trabajo y potencia son superiores. Asimismo, no se menciona por el fabricante cual es el trabajo mínimo.")</f>
        <v>Las dimensiones son menores a las solicitadas, pero las características de cámara de trabajo y potencia son superiores. Asimismo, no se menciona por el fabricante cual es el trabajo mínimo.</v>
      </c>
      <c r="AR2232" s="213"/>
      <c r="AS2232" s="213"/>
      <c r="AT2232" s="213"/>
      <c r="AU2232" s="213"/>
      <c r="AV2232" s="213"/>
      <c r="AW2232" s="213"/>
      <c r="AX2232" s="213"/>
      <c r="AY2232" s="213"/>
      <c r="AZ2232" s="213"/>
      <c r="BA2232" s="213"/>
      <c r="BB2232" s="213"/>
      <c r="BC2232" s="213"/>
      <c r="BD2232" s="213"/>
    </row>
    <row r="2233">
      <c r="A2233" s="213">
        <f>IFERROR(__xludf.DUMMYFUNCTION("""COMPUTED_VALUE"""),2195.0)</f>
        <v>2195</v>
      </c>
      <c r="B2233" s="213" t="str">
        <f>IFERROR(__xludf.DUMMYFUNCTION("""COMPUTED_VALUE"""),"JOSE GRANDA")</f>
        <v>JOSE GRANDA</v>
      </c>
      <c r="C2233" s="213" t="str">
        <f>IFERROR(__xludf.DUMMYFUNCTION("""COMPUTED_VALUE"""),"TALLER SFT DE INDUSTRIA ALIMENTARIA")</f>
        <v>TALLER SFT DE INDUSTRIA ALIMENTARIA</v>
      </c>
      <c r="D2233" s="213" t="str">
        <f>IFERROR(__xludf.DUMMYFUNCTION("""COMPUTED_VALUE"""),"EQUIPOS")</f>
        <v>EQUIPOS</v>
      </c>
      <c r="E2233" s="213" t="str">
        <f>IFERROR(__xludf.DUMMYFUNCTION("""COMPUTED_VALUE"""),"ESP-338")</f>
        <v>ESP-338</v>
      </c>
      <c r="F2233" s="213" t="str">
        <f>IFERROR(__xludf.DUMMYFUNCTION("""COMPUTED_VALUE"""),"ESP-338")</f>
        <v>ESP-338</v>
      </c>
      <c r="G2233" s="213"/>
      <c r="H2233" s="213" t="str">
        <f>IFERROR(__xludf.DUMMYFUNCTION("""COMPUTED_VALUE"""),"SELLADORA AL VACÍO")</f>
        <v>SELLADORA AL VACÍO</v>
      </c>
      <c r="I2233" s="213"/>
      <c r="J2233" s="213">
        <f>IFERROR(__xludf.DUMMYFUNCTION("""COMPUTED_VALUE"""),3.0)</f>
        <v>3</v>
      </c>
      <c r="K2233" s="213" t="str">
        <f>IFERROR(__xludf.DUMMYFUNCTION("""COMPUTED_VALUE"""),"170 DÍAS CALENDARIO")</f>
        <v>170 DÍAS CALENDARIO</v>
      </c>
      <c r="L2233" s="213" t="str">
        <f>IFERROR(__xludf.DUMMYFUNCTION("""COMPUTED_VALUE"""),"")</f>
        <v/>
      </c>
      <c r="M2233" s="213">
        <f>IFERROR(__xludf.DUMMYFUNCTION("""COMPUTED_VALUE"""),1.0)</f>
        <v>1</v>
      </c>
      <c r="N2233" s="213">
        <f>IFERROR(__xludf.DUMMYFUNCTION("""COMPUTED_VALUE"""),1.0)</f>
        <v>1</v>
      </c>
      <c r="O2233" s="213">
        <f>IFERROR(__xludf.DUMMYFUNCTION("""COMPUTED_VALUE"""),1.0)</f>
        <v>1</v>
      </c>
      <c r="P2233" s="213"/>
      <c r="Q2233" s="213"/>
      <c r="R2233" s="213"/>
      <c r="S2233" s="213" t="str">
        <f>IFERROR(__xludf.DUMMYFUNCTION("""COMPUTED_VALUE"""),"SI")</f>
        <v>SI</v>
      </c>
      <c r="T2233" s="213" t="str">
        <f>IFERROR(__xludf.DUMMYFUNCTION("""COMPUTED_VALUE"""),"SI")</f>
        <v>SI</v>
      </c>
      <c r="U2233" s="213" t="str">
        <f>IFERROR(__xludf.DUMMYFUNCTION("""COMPUTED_VALUE"""),"NO")</f>
        <v>NO</v>
      </c>
      <c r="V2233" s="213" t="str">
        <f>IFERROR(__xludf.DUMMYFUNCTION("""COMPUTED_VALUE"""),"SUSTENTO")</f>
        <v>SUSTENTO</v>
      </c>
      <c r="W2233" s="213"/>
      <c r="X2233" s="213" t="str">
        <f>IFERROR(__xludf.DUMMYFUNCTION("""COMPUTED_VALUE"""),"GRONDOY")</f>
        <v>GRONDOY</v>
      </c>
      <c r="Y2233" s="213" t="str">
        <f>IFERROR(__xludf.DUMMYFUNCTION("""COMPUTED_VALUE"""),"EV28")</f>
        <v>EV28</v>
      </c>
      <c r="Z2233" s="215" t="str">
        <f>IFERROR(__xludf.DUMMYFUNCTION("""COMPUTED_VALUE"""),"https://grondoy.com/productos/Empacadoras/empacadora-selladora-al-vacio-de-01-sello-de-28cm-en-acero-inoxidable?srsltid=AfmBOopMoapn6qungdjgKvIGOPK8u1OD9bN7hZlgZp3MOThjpwZr6eyZ")</f>
        <v>https://grondoy.com/productos/Empacadoras/empacadora-selladora-al-vacio-de-01-sello-de-28cm-en-acero-inoxidable?srsltid=AfmBOopMoapn6qungdjgKvIGOPK8u1OD9bN7hZlgZp3MOThjpwZr6eyZ</v>
      </c>
      <c r="AA2233" s="213" t="str">
        <f>IFERROR(__xludf.DUMMYFUNCTION("""COMPUTED_VALUE"""),"ESP-338 SELLADORA AL VACÍO - CET")</f>
        <v>ESP-338 SELLADORA AL VACÍO - CET</v>
      </c>
      <c r="AB2233" s="213"/>
      <c r="AC2233" s="213"/>
      <c r="AD2233" s="213"/>
      <c r="AE2233" s="213"/>
      <c r="AF2233" s="213"/>
      <c r="AG2233" s="213"/>
      <c r="AH2233" s="213" t="str">
        <f>IFERROR(__xludf.DUMMYFUNCTION("""COMPUTED_VALUE"""),"NACIONAL")</f>
        <v>NACIONAL</v>
      </c>
      <c r="AI2233" s="213"/>
      <c r="AJ2233" s="213"/>
      <c r="AK2233" s="213"/>
      <c r="AL2233" s="213"/>
      <c r="AM2233" s="213"/>
      <c r="AN2233" s="213"/>
      <c r="AO2233" s="213"/>
      <c r="AP2233" s="213" t="str">
        <f>IFERROR(__xludf.DUMMYFUNCTION("""COMPUTED_VALUE"""),"ANTONELLA")</f>
        <v>ANTONELLA</v>
      </c>
      <c r="AQ2233" s="213" t="str">
        <f>IFERROR(__xludf.DUMMYFUNCTION("""COMPUTED_VALUE"""),"Las dimensiones son menores a las solicitadas, pero las características de cámara de trabajo y potencia son superiores. Asimismo, no se menciona por el fabricante cual es el trabajo mínimo.")</f>
        <v>Las dimensiones son menores a las solicitadas, pero las características de cámara de trabajo y potencia son superiores. Asimismo, no se menciona por el fabricante cual es el trabajo mínimo.</v>
      </c>
      <c r="AR2233" s="213"/>
      <c r="AS2233" s="213"/>
      <c r="AT2233" s="213"/>
      <c r="AU2233" s="213"/>
      <c r="AV2233" s="213"/>
      <c r="AW2233" s="213"/>
      <c r="AX2233" s="213"/>
      <c r="AY2233" s="213"/>
      <c r="AZ2233" s="213"/>
      <c r="BA2233" s="213"/>
      <c r="BB2233" s="213"/>
      <c r="BC2233" s="213"/>
      <c r="BD2233" s="213"/>
    </row>
    <row r="2234">
      <c r="A2234" s="213">
        <f>IFERROR(__xludf.DUMMYFUNCTION("""COMPUTED_VALUE"""),566.0)</f>
        <v>566</v>
      </c>
      <c r="B2234" s="213" t="str">
        <f>IFERROR(__xludf.DUMMYFUNCTION("""COMPUTED_VALUE"""),"2026 SIMON BOLIVAR")</f>
        <v>2026 SIMON BOLIVAR</v>
      </c>
      <c r="C2234" s="213" t="str">
        <f>IFERROR(__xludf.DUMMYFUNCTION("""COMPUTED_VALUE"""),"TALLER SFT DE INDUSTRIA ALIMENTARIA")</f>
        <v>TALLER SFT DE INDUSTRIA ALIMENTARIA</v>
      </c>
      <c r="D2234" s="213" t="str">
        <f>IFERROR(__xludf.DUMMYFUNCTION("""COMPUTED_VALUE"""),"EQUIPOS")</f>
        <v>EQUIPOS</v>
      </c>
      <c r="E2234" s="213" t="str">
        <f>IFERROR(__xludf.DUMMYFUNCTION("""COMPUTED_VALUE"""),"ESP-339")</f>
        <v>ESP-339</v>
      </c>
      <c r="F2234" s="213" t="str">
        <f>IFERROR(__xludf.DUMMYFUNCTION("""COMPUTED_VALUE"""),"ESP-339")</f>
        <v>ESP-339</v>
      </c>
      <c r="G2234" s="213"/>
      <c r="H2234" s="213" t="str">
        <f>IFERROR(__xludf.DUMMYFUNCTION("""COMPUTED_VALUE"""),"SELLADORA DE BOLSAS PLÁSTICAS")</f>
        <v>SELLADORA DE BOLSAS PLÁSTICAS</v>
      </c>
      <c r="I2234" s="213" t="str">
        <f>IFERROR(__xludf.DUMMYFUNCTION("""COMPUTED_VALUE"""),"· Longitud de sellado: 30cm
· Ancho de Sellado: 2mm
· Voltaje: 220V/60Hz
· Potencia mínima: 400W.
· Fabricación: Acero al Carbón Pintado.
· Control de temperatura: por tiempo.")</f>
        <v>· Longitud de sellado: 30cm
· Ancho de Sellado: 2mm
· Voltaje: 220V/60Hz
· Potencia mínima: 400W.
· Fabricación: Acero al Carbón Pintado.
· Control de temperatura: por tiempo.</v>
      </c>
      <c r="J2234" s="213">
        <f>IFERROR(__xludf.DUMMYFUNCTION("""COMPUTED_VALUE"""),3.0)</f>
        <v>3</v>
      </c>
      <c r="K2234" s="213" t="str">
        <f>IFERROR(__xludf.DUMMYFUNCTION("""COMPUTED_VALUE"""),"170 DÍAS CALENDARIO")</f>
        <v>170 DÍAS CALENDARIO</v>
      </c>
      <c r="L2234" s="213" t="str">
        <f>IFERROR(__xludf.DUMMYFUNCTION("""COMPUTED_VALUE"""),"")</f>
        <v/>
      </c>
      <c r="M2234" s="213">
        <f>IFERROR(__xludf.DUMMYFUNCTION("""COMPUTED_VALUE"""),1.0)</f>
        <v>1</v>
      </c>
      <c r="N2234" s="213">
        <f>IFERROR(__xludf.DUMMYFUNCTION("""COMPUTED_VALUE"""),2.0)</f>
        <v>2</v>
      </c>
      <c r="O2234" s="213">
        <f>IFERROR(__xludf.DUMMYFUNCTION("""COMPUTED_VALUE"""),2.0)</f>
        <v>2</v>
      </c>
      <c r="P2234" s="213"/>
      <c r="Q2234" s="213"/>
      <c r="R2234" s="213"/>
      <c r="S2234" s="213" t="str">
        <f>IFERROR(__xludf.DUMMYFUNCTION("""COMPUTED_VALUE"""),"SI")</f>
        <v>SI</v>
      </c>
      <c r="T2234" s="213" t="str">
        <f>IFERROR(__xludf.DUMMYFUNCTION("""COMPUTED_VALUE"""),"SI")</f>
        <v>SI</v>
      </c>
      <c r="U2234" s="213" t="str">
        <f>IFERROR(__xludf.DUMMYFUNCTION("""COMPUTED_VALUE"""),"SI")</f>
        <v>SI</v>
      </c>
      <c r="V2234" s="213" t="str">
        <f>IFERROR(__xludf.DUMMYFUNCTION("""COMPUTED_VALUE"""),"-")</f>
        <v>-</v>
      </c>
      <c r="W2234" s="213" t="str">
        <f>IFERROR(__xludf.DUMMYFUNCTION("""COMPUTED_VALUE"""),"-")</f>
        <v>-</v>
      </c>
      <c r="X2234" s="213" t="str">
        <f>IFERROR(__xludf.DUMMYFUNCTION("""COMPUTED_VALUE"""),"RYU")</f>
        <v>RYU</v>
      </c>
      <c r="Y2234" s="213" t="str">
        <f>IFERROR(__xludf.DUMMYFUNCTION("""COMPUTED_VALUE"""),"SBM-30")</f>
        <v>SBM-30</v>
      </c>
      <c r="Z2234" s="215" t="str">
        <f>IFERROR(__xludf.DUMMYFUNCTION("""COMPUTED_VALUE"""),"https://www.ryu.com.pe/p/selladora-bolsas-manual/")</f>
        <v>https://www.ryu.com.pe/p/selladora-bolsas-manual/</v>
      </c>
      <c r="AA2234" s="213" t="str">
        <f>IFERROR(__xludf.DUMMYFUNCTION("""COMPUTED_VALUE"""),"ESP-339 SELLADORA DE BOLSAS PLÁSTICAS - CET")</f>
        <v>ESP-339 SELLADORA DE BOLSAS PLÁSTICAS - CET</v>
      </c>
      <c r="AB2234" s="215" t="str">
        <f>IFERROR(__xludf.DUMMYFUNCTION("""COMPUTED_VALUE"""),"https://drive.google.com/file/d/1-XQs9iZUzsEhRBLNVtSZFgqYiwf7OgrH/view")</f>
        <v>https://drive.google.com/file/d/1-XQs9iZUzsEhRBLNVtSZFgqYiwf7OgrH/view</v>
      </c>
      <c r="AC2234" s="213"/>
      <c r="AD2234" s="213"/>
      <c r="AE2234" s="213"/>
      <c r="AF2234" s="213"/>
      <c r="AG2234" s="213"/>
      <c r="AH2234" s="213"/>
      <c r="AI2234" s="213"/>
      <c r="AJ2234" s="213"/>
      <c r="AK2234" s="213"/>
      <c r="AL2234" s="213"/>
      <c r="AM2234" s="213"/>
      <c r="AN2234" s="213"/>
      <c r="AO2234" s="213"/>
      <c r="AP2234" s="213" t="str">
        <f>IFERROR(__xludf.DUMMYFUNCTION("""COMPUTED_VALUE"""),"ANTONELLA")</f>
        <v>ANTONELLA</v>
      </c>
      <c r="AQ2234" s="213"/>
      <c r="AR2234" s="213"/>
      <c r="AS2234" s="213"/>
      <c r="AT2234" s="213"/>
      <c r="AU2234" s="213"/>
      <c r="AV2234" s="213"/>
      <c r="AW2234" s="213"/>
      <c r="AX2234" s="213"/>
      <c r="AY2234" s="213"/>
      <c r="AZ2234" s="213"/>
      <c r="BA2234" s="213"/>
      <c r="BB2234" s="213"/>
      <c r="BC2234" s="213"/>
      <c r="BD2234" s="213"/>
    </row>
    <row r="2235">
      <c r="A2235" s="213">
        <f>IFERROR(__xludf.DUMMYFUNCTION("""COMPUTED_VALUE"""),1193.0)</f>
        <v>1193</v>
      </c>
      <c r="B2235" s="213" t="str">
        <f>IFERROR(__xludf.DUMMYFUNCTION("""COMPUTED_VALUE"""),"FRANCISCO IRAZOLA")</f>
        <v>FRANCISCO IRAZOLA</v>
      </c>
      <c r="C2235" s="213" t="str">
        <f>IFERROR(__xludf.DUMMYFUNCTION("""COMPUTED_VALUE"""),"TALLER SFT DE INDUSTRIA ALIMENTARIA")</f>
        <v>TALLER SFT DE INDUSTRIA ALIMENTARIA</v>
      </c>
      <c r="D2235" s="213" t="str">
        <f>IFERROR(__xludf.DUMMYFUNCTION("""COMPUTED_VALUE"""),"EQUIPOS")</f>
        <v>EQUIPOS</v>
      </c>
      <c r="E2235" s="213" t="str">
        <f>IFERROR(__xludf.DUMMYFUNCTION("""COMPUTED_VALUE"""),"ESP-339")</f>
        <v>ESP-339</v>
      </c>
      <c r="F2235" s="213" t="str">
        <f>IFERROR(__xludf.DUMMYFUNCTION("""COMPUTED_VALUE"""),"ESP-339")</f>
        <v>ESP-339</v>
      </c>
      <c r="G2235" s="213"/>
      <c r="H2235" s="213" t="str">
        <f>IFERROR(__xludf.DUMMYFUNCTION("""COMPUTED_VALUE"""),"SELLADORA DE BOLSAS PLÁSTICAS")</f>
        <v>SELLADORA DE BOLSAS PLÁSTICAS</v>
      </c>
      <c r="I2235" s="213" t="str">
        <f>IFERROR(__xludf.DUMMYFUNCTION("""COMPUTED_VALUE"""),"· Longitud de sellado: 30cm
· Ancho de Sellado: 2mm
· Voltaje: 220V/60Hz
· Potencia mínima: 400W.
· Fabricación: Acero al Carbón Pintado.
· Control de temperatura: por tiempo.")</f>
        <v>· Longitud de sellado: 30cm
· Ancho de Sellado: 2mm
· Voltaje: 220V/60Hz
· Potencia mínima: 400W.
· Fabricación: Acero al Carbón Pintado.
· Control de temperatura: por tiempo.</v>
      </c>
      <c r="J2235" s="213">
        <f>IFERROR(__xludf.DUMMYFUNCTION("""COMPUTED_VALUE"""),3.0)</f>
        <v>3</v>
      </c>
      <c r="K2235" s="213" t="str">
        <f>IFERROR(__xludf.DUMMYFUNCTION("""COMPUTED_VALUE"""),"170 DÍAS CALENDARIO")</f>
        <v>170 DÍAS CALENDARIO</v>
      </c>
      <c r="L2235" s="213" t="str">
        <f>IFERROR(__xludf.DUMMYFUNCTION("""COMPUTED_VALUE"""),"")</f>
        <v/>
      </c>
      <c r="M2235" s="213">
        <f>IFERROR(__xludf.DUMMYFUNCTION("""COMPUTED_VALUE"""),1.0)</f>
        <v>1</v>
      </c>
      <c r="N2235" s="213">
        <f>IFERROR(__xludf.DUMMYFUNCTION("""COMPUTED_VALUE"""),1.0)</f>
        <v>1</v>
      </c>
      <c r="O2235" s="213">
        <f>IFERROR(__xludf.DUMMYFUNCTION("""COMPUTED_VALUE"""),1.0)</f>
        <v>1</v>
      </c>
      <c r="P2235" s="213"/>
      <c r="Q2235" s="213"/>
      <c r="R2235" s="213"/>
      <c r="S2235" s="213" t="str">
        <f>IFERROR(__xludf.DUMMYFUNCTION("""COMPUTED_VALUE"""),"SI")</f>
        <v>SI</v>
      </c>
      <c r="T2235" s="213" t="str">
        <f>IFERROR(__xludf.DUMMYFUNCTION("""COMPUTED_VALUE"""),"SI")</f>
        <v>SI</v>
      </c>
      <c r="U2235" s="213" t="str">
        <f>IFERROR(__xludf.DUMMYFUNCTION("""COMPUTED_VALUE"""),"SI")</f>
        <v>SI</v>
      </c>
      <c r="V2235" s="213" t="str">
        <f>IFERROR(__xludf.DUMMYFUNCTION("""COMPUTED_VALUE"""),"-")</f>
        <v>-</v>
      </c>
      <c r="W2235" s="213" t="str">
        <f>IFERROR(__xludf.DUMMYFUNCTION("""COMPUTED_VALUE"""),"-")</f>
        <v>-</v>
      </c>
      <c r="X2235" s="213" t="str">
        <f>IFERROR(__xludf.DUMMYFUNCTION("""COMPUTED_VALUE"""),"RYU")</f>
        <v>RYU</v>
      </c>
      <c r="Y2235" s="213" t="str">
        <f>IFERROR(__xludf.DUMMYFUNCTION("""COMPUTED_VALUE"""),"SBM-30")</f>
        <v>SBM-30</v>
      </c>
      <c r="Z2235" s="215" t="str">
        <f>IFERROR(__xludf.DUMMYFUNCTION("""COMPUTED_VALUE"""),"https://www.ryu.com.pe/p/selladora-bolsas-manual/")</f>
        <v>https://www.ryu.com.pe/p/selladora-bolsas-manual/</v>
      </c>
      <c r="AA2235" s="213" t="str">
        <f>IFERROR(__xludf.DUMMYFUNCTION("""COMPUTED_VALUE"""),"ESP-339 SELLADORA DE BOLSAS PLÁSTICAS - CET")</f>
        <v>ESP-339 SELLADORA DE BOLSAS PLÁSTICAS - CET</v>
      </c>
      <c r="AB2235" s="215" t="str">
        <f>IFERROR(__xludf.DUMMYFUNCTION("""COMPUTED_VALUE"""),"https://drive.google.com/file/d/1-XQs9iZUzsEhRBLNVtSZFgqYiwf7OgrH/view")</f>
        <v>https://drive.google.com/file/d/1-XQs9iZUzsEhRBLNVtSZFgqYiwf7OgrH/view</v>
      </c>
      <c r="AC2235" s="213"/>
      <c r="AD2235" s="213"/>
      <c r="AE2235" s="213"/>
      <c r="AF2235" s="213"/>
      <c r="AG2235" s="213"/>
      <c r="AH2235" s="213"/>
      <c r="AI2235" s="213"/>
      <c r="AJ2235" s="213"/>
      <c r="AK2235" s="213"/>
      <c r="AL2235" s="213"/>
      <c r="AM2235" s="213"/>
      <c r="AN2235" s="213"/>
      <c r="AO2235" s="213"/>
      <c r="AP2235" s="213" t="str">
        <f>IFERROR(__xludf.DUMMYFUNCTION("""COMPUTED_VALUE"""),"ANTONELLA")</f>
        <v>ANTONELLA</v>
      </c>
      <c r="AQ2235" s="213"/>
      <c r="AR2235" s="213"/>
      <c r="AS2235" s="213"/>
      <c r="AT2235" s="213"/>
      <c r="AU2235" s="213"/>
      <c r="AV2235" s="213"/>
      <c r="AW2235" s="213"/>
      <c r="AX2235" s="213"/>
      <c r="AY2235" s="213"/>
      <c r="AZ2235" s="213"/>
      <c r="BA2235" s="213"/>
      <c r="BB2235" s="213"/>
      <c r="BC2235" s="213"/>
      <c r="BD2235" s="213"/>
    </row>
    <row r="2236">
      <c r="A2236" s="213">
        <f>IFERROR(__xludf.DUMMYFUNCTION("""COMPUTED_VALUE"""),1468.0)</f>
        <v>1468</v>
      </c>
      <c r="B2236" s="213" t="str">
        <f>IFERROR(__xludf.DUMMYFUNCTION("""COMPUTED_VALUE"""),"GUILLERMO E. BILLINGHURST ")</f>
        <v>GUILLERMO E. BILLINGHURST </v>
      </c>
      <c r="C2236" s="213" t="str">
        <f>IFERROR(__xludf.DUMMYFUNCTION("""COMPUTED_VALUE"""),"TALLER SFT DE INDUSTRIA ALIMENTARIA")</f>
        <v>TALLER SFT DE INDUSTRIA ALIMENTARIA</v>
      </c>
      <c r="D2236" s="213" t="str">
        <f>IFERROR(__xludf.DUMMYFUNCTION("""COMPUTED_VALUE"""),"EQUIPOS")</f>
        <v>EQUIPOS</v>
      </c>
      <c r="E2236" s="213" t="str">
        <f>IFERROR(__xludf.DUMMYFUNCTION("""COMPUTED_VALUE"""),"ESP-339")</f>
        <v>ESP-339</v>
      </c>
      <c r="F2236" s="213" t="str">
        <f>IFERROR(__xludf.DUMMYFUNCTION("""COMPUTED_VALUE"""),"ESP-339")</f>
        <v>ESP-339</v>
      </c>
      <c r="G2236" s="213"/>
      <c r="H2236" s="213" t="str">
        <f>IFERROR(__xludf.DUMMYFUNCTION("""COMPUTED_VALUE"""),"SELLADORA DE BOLSAS PLÁSTICAS")</f>
        <v>SELLADORA DE BOLSAS PLÁSTICAS</v>
      </c>
      <c r="I2236" s="213" t="str">
        <f>IFERROR(__xludf.DUMMYFUNCTION("""COMPUTED_VALUE"""),"· Longitud de sellado: 30cm
· Ancho de Sellado: 2mm
· Voltaje: 220V/60Hz
· Potencia mínima: 400W.
· Fabricación: Acero al Carbón Pintado.
· Control de temperatura: por tiempo.")</f>
        <v>· Longitud de sellado: 30cm
· Ancho de Sellado: 2mm
· Voltaje: 220V/60Hz
· Potencia mínima: 400W.
· Fabricación: Acero al Carbón Pintado.
· Control de temperatura: por tiempo.</v>
      </c>
      <c r="J2236" s="213">
        <f>IFERROR(__xludf.DUMMYFUNCTION("""COMPUTED_VALUE"""),3.0)</f>
        <v>3</v>
      </c>
      <c r="K2236" s="213" t="str">
        <f>IFERROR(__xludf.DUMMYFUNCTION("""COMPUTED_VALUE"""),"170 DÍAS CALENDARIO")</f>
        <v>170 DÍAS CALENDARIO</v>
      </c>
      <c r="L2236" s="213" t="str">
        <f>IFERROR(__xludf.DUMMYFUNCTION("""COMPUTED_VALUE"""),"")</f>
        <v/>
      </c>
      <c r="M2236" s="213">
        <f>IFERROR(__xludf.DUMMYFUNCTION("""COMPUTED_VALUE"""),1.0)</f>
        <v>1</v>
      </c>
      <c r="N2236" s="213">
        <f>IFERROR(__xludf.DUMMYFUNCTION("""COMPUTED_VALUE"""),2.0)</f>
        <v>2</v>
      </c>
      <c r="O2236" s="213">
        <f>IFERROR(__xludf.DUMMYFUNCTION("""COMPUTED_VALUE"""),2.0)</f>
        <v>2</v>
      </c>
      <c r="P2236" s="213"/>
      <c r="Q2236" s="213"/>
      <c r="R2236" s="213"/>
      <c r="S2236" s="213" t="str">
        <f>IFERROR(__xludf.DUMMYFUNCTION("""COMPUTED_VALUE"""),"SI")</f>
        <v>SI</v>
      </c>
      <c r="T2236" s="213" t="str">
        <f>IFERROR(__xludf.DUMMYFUNCTION("""COMPUTED_VALUE"""),"SI")</f>
        <v>SI</v>
      </c>
      <c r="U2236" s="213" t="str">
        <f>IFERROR(__xludf.DUMMYFUNCTION("""COMPUTED_VALUE"""),"SI")</f>
        <v>SI</v>
      </c>
      <c r="V2236" s="213" t="str">
        <f>IFERROR(__xludf.DUMMYFUNCTION("""COMPUTED_VALUE"""),"-")</f>
        <v>-</v>
      </c>
      <c r="W2236" s="213" t="str">
        <f>IFERROR(__xludf.DUMMYFUNCTION("""COMPUTED_VALUE"""),"-")</f>
        <v>-</v>
      </c>
      <c r="X2236" s="213" t="str">
        <f>IFERROR(__xludf.DUMMYFUNCTION("""COMPUTED_VALUE"""),"RYU")</f>
        <v>RYU</v>
      </c>
      <c r="Y2236" s="213" t="str">
        <f>IFERROR(__xludf.DUMMYFUNCTION("""COMPUTED_VALUE"""),"SBM-30")</f>
        <v>SBM-30</v>
      </c>
      <c r="Z2236" s="215" t="str">
        <f>IFERROR(__xludf.DUMMYFUNCTION("""COMPUTED_VALUE"""),"https://www.ryu.com.pe/p/selladora-bolsas-manual/")</f>
        <v>https://www.ryu.com.pe/p/selladora-bolsas-manual/</v>
      </c>
      <c r="AA2236" s="213" t="str">
        <f>IFERROR(__xludf.DUMMYFUNCTION("""COMPUTED_VALUE"""),"ESP-339 SELLADORA DE BOLSAS PLÁSTICAS - CET")</f>
        <v>ESP-339 SELLADORA DE BOLSAS PLÁSTICAS - CET</v>
      </c>
      <c r="AB2236" s="215" t="str">
        <f>IFERROR(__xludf.DUMMYFUNCTION("""COMPUTED_VALUE"""),"https://drive.google.com/file/d/1-XQs9iZUzsEhRBLNVtSZFgqYiwf7OgrH/view")</f>
        <v>https://drive.google.com/file/d/1-XQs9iZUzsEhRBLNVtSZFgqYiwf7OgrH/view</v>
      </c>
      <c r="AC2236" s="213"/>
      <c r="AD2236" s="213"/>
      <c r="AE2236" s="213"/>
      <c r="AF2236" s="213"/>
      <c r="AG2236" s="213"/>
      <c r="AH2236" s="213"/>
      <c r="AI2236" s="213"/>
      <c r="AJ2236" s="213"/>
      <c r="AK2236" s="213"/>
      <c r="AL2236" s="213"/>
      <c r="AM2236" s="213"/>
      <c r="AN2236" s="213"/>
      <c r="AO2236" s="213"/>
      <c r="AP2236" s="213" t="str">
        <f>IFERROR(__xludf.DUMMYFUNCTION("""COMPUTED_VALUE"""),"ANTONELLA")</f>
        <v>ANTONELLA</v>
      </c>
      <c r="AQ2236" s="213"/>
      <c r="AR2236" s="213"/>
      <c r="AS2236" s="213"/>
      <c r="AT2236" s="213"/>
      <c r="AU2236" s="213"/>
      <c r="AV2236" s="213"/>
      <c r="AW2236" s="213"/>
      <c r="AX2236" s="213"/>
      <c r="AY2236" s="213"/>
      <c r="AZ2236" s="213"/>
      <c r="BA2236" s="213"/>
      <c r="BB2236" s="213"/>
      <c r="BC2236" s="213"/>
      <c r="BD2236" s="213"/>
    </row>
    <row r="2237">
      <c r="A2237" s="213">
        <f>IFERROR(__xludf.DUMMYFUNCTION("""COMPUTED_VALUE"""),2155.0)</f>
        <v>2155</v>
      </c>
      <c r="B2237" s="213" t="str">
        <f>IFERROR(__xludf.DUMMYFUNCTION("""COMPUTED_VALUE"""),"JOSE GRANDA")</f>
        <v>JOSE GRANDA</v>
      </c>
      <c r="C2237" s="213" t="str">
        <f>IFERROR(__xludf.DUMMYFUNCTION("""COMPUTED_VALUE"""),"TALLER SFT DE INDUSTRIA ALIMENTARIA")</f>
        <v>TALLER SFT DE INDUSTRIA ALIMENTARIA</v>
      </c>
      <c r="D2237" s="213" t="str">
        <f>IFERROR(__xludf.DUMMYFUNCTION("""COMPUTED_VALUE"""),"EQUIPOS")</f>
        <v>EQUIPOS</v>
      </c>
      <c r="E2237" s="213" t="str">
        <f>IFERROR(__xludf.DUMMYFUNCTION("""COMPUTED_VALUE"""),"ESP-339")</f>
        <v>ESP-339</v>
      </c>
      <c r="F2237" s="213" t="str">
        <f>IFERROR(__xludf.DUMMYFUNCTION("""COMPUTED_VALUE"""),"ESP-339")</f>
        <v>ESP-339</v>
      </c>
      <c r="G2237" s="213"/>
      <c r="H2237" s="213" t="str">
        <f>IFERROR(__xludf.DUMMYFUNCTION("""COMPUTED_VALUE"""),"SELLADORA DE BOLSAS PLÁSTICAS")</f>
        <v>SELLADORA DE BOLSAS PLÁSTICAS</v>
      </c>
      <c r="I2237" s="213" t="str">
        <f>IFERROR(__xludf.DUMMYFUNCTION("""COMPUTED_VALUE"""),"· Longitud de sellado: 30cm
· Ancho de Sellado: 2mm
· Voltaje: 220V/60Hz
· Potencia mínima: 400W.
· Fabricación: Acero al Carbón Pintado.
· Control de temperatura: por tiempo.")</f>
        <v>· Longitud de sellado: 30cm
· Ancho de Sellado: 2mm
· Voltaje: 220V/60Hz
· Potencia mínima: 400W.
· Fabricación: Acero al Carbón Pintado.
· Control de temperatura: por tiempo.</v>
      </c>
      <c r="J2237" s="213">
        <f>IFERROR(__xludf.DUMMYFUNCTION("""COMPUTED_VALUE"""),3.0)</f>
        <v>3</v>
      </c>
      <c r="K2237" s="213" t="str">
        <f>IFERROR(__xludf.DUMMYFUNCTION("""COMPUTED_VALUE"""),"170 DÍAS CALENDARIO")</f>
        <v>170 DÍAS CALENDARIO</v>
      </c>
      <c r="L2237" s="213" t="str">
        <f>IFERROR(__xludf.DUMMYFUNCTION("""COMPUTED_VALUE"""),"")</f>
        <v/>
      </c>
      <c r="M2237" s="213">
        <f>IFERROR(__xludf.DUMMYFUNCTION("""COMPUTED_VALUE"""),1.0)</f>
        <v>1</v>
      </c>
      <c r="N2237" s="213">
        <f>IFERROR(__xludf.DUMMYFUNCTION("""COMPUTED_VALUE"""),1.0)</f>
        <v>1</v>
      </c>
      <c r="O2237" s="213">
        <f>IFERROR(__xludf.DUMMYFUNCTION("""COMPUTED_VALUE"""),1.0)</f>
        <v>1</v>
      </c>
      <c r="P2237" s="213"/>
      <c r="Q2237" s="213"/>
      <c r="R2237" s="213"/>
      <c r="S2237" s="213" t="str">
        <f>IFERROR(__xludf.DUMMYFUNCTION("""COMPUTED_VALUE"""),"SI")</f>
        <v>SI</v>
      </c>
      <c r="T2237" s="213" t="str">
        <f>IFERROR(__xludf.DUMMYFUNCTION("""COMPUTED_VALUE"""),"SI")</f>
        <v>SI</v>
      </c>
      <c r="U2237" s="213" t="str">
        <f>IFERROR(__xludf.DUMMYFUNCTION("""COMPUTED_VALUE"""),"SI")</f>
        <v>SI</v>
      </c>
      <c r="V2237" s="213" t="str">
        <f>IFERROR(__xludf.DUMMYFUNCTION("""COMPUTED_VALUE"""),"-")</f>
        <v>-</v>
      </c>
      <c r="W2237" s="213" t="str">
        <f>IFERROR(__xludf.DUMMYFUNCTION("""COMPUTED_VALUE"""),"-")</f>
        <v>-</v>
      </c>
      <c r="X2237" s="213" t="str">
        <f>IFERROR(__xludf.DUMMYFUNCTION("""COMPUTED_VALUE"""),"RYU")</f>
        <v>RYU</v>
      </c>
      <c r="Y2237" s="213" t="str">
        <f>IFERROR(__xludf.DUMMYFUNCTION("""COMPUTED_VALUE"""),"SBM-30")</f>
        <v>SBM-30</v>
      </c>
      <c r="Z2237" s="215" t="str">
        <f>IFERROR(__xludf.DUMMYFUNCTION("""COMPUTED_VALUE"""),"https://www.ryu.com.pe/p/selladora-bolsas-manual/")</f>
        <v>https://www.ryu.com.pe/p/selladora-bolsas-manual/</v>
      </c>
      <c r="AA2237" s="213" t="str">
        <f>IFERROR(__xludf.DUMMYFUNCTION("""COMPUTED_VALUE"""),"ESP-339 SELLADORA DE BOLSAS PLÁSTICAS - CET")</f>
        <v>ESP-339 SELLADORA DE BOLSAS PLÁSTICAS - CET</v>
      </c>
      <c r="AB2237" s="215" t="str">
        <f>IFERROR(__xludf.DUMMYFUNCTION("""COMPUTED_VALUE"""),"https://drive.google.com/file/d/1-XQs9iZUzsEhRBLNVtSZFgqYiwf7OgrH/view")</f>
        <v>https://drive.google.com/file/d/1-XQs9iZUzsEhRBLNVtSZFgqYiwf7OgrH/view</v>
      </c>
      <c r="AC2237" s="213"/>
      <c r="AD2237" s="213"/>
      <c r="AE2237" s="213"/>
      <c r="AF2237" s="213"/>
      <c r="AG2237" s="213"/>
      <c r="AH2237" s="213"/>
      <c r="AI2237" s="213"/>
      <c r="AJ2237" s="213"/>
      <c r="AK2237" s="213"/>
      <c r="AL2237" s="213"/>
      <c r="AM2237" s="213"/>
      <c r="AN2237" s="213"/>
      <c r="AO2237" s="213"/>
      <c r="AP2237" s="213" t="str">
        <f>IFERROR(__xludf.DUMMYFUNCTION("""COMPUTED_VALUE"""),"ANTONELLA")</f>
        <v>ANTONELLA</v>
      </c>
      <c r="AQ2237" s="213"/>
      <c r="AR2237" s="213"/>
      <c r="AS2237" s="213"/>
      <c r="AT2237" s="213"/>
      <c r="AU2237" s="213"/>
      <c r="AV2237" s="213"/>
      <c r="AW2237" s="213"/>
      <c r="AX2237" s="213"/>
      <c r="AY2237" s="213"/>
      <c r="AZ2237" s="213"/>
      <c r="BA2237" s="213"/>
      <c r="BB2237" s="213"/>
      <c r="BC2237" s="213"/>
      <c r="BD2237" s="213"/>
    </row>
    <row r="2238">
      <c r="A2238" s="213">
        <f>IFERROR(__xludf.DUMMYFUNCTION("""COMPUTED_VALUE"""),414.0)</f>
        <v>414</v>
      </c>
      <c r="B2238" s="213" t="str">
        <f>IFERROR(__xludf.DUMMYFUNCTION("""COMPUTED_VALUE"""),"2026 SIMON BOLIVAR")</f>
        <v>2026 SIMON BOLIVAR</v>
      </c>
      <c r="C2238" s="213" t="str">
        <f>IFERROR(__xludf.DUMMYFUNCTION("""COMPUTED_VALUE"""),"TALLER SFT DE ELECTRICIDAD")</f>
        <v>TALLER SFT DE ELECTRICIDAD</v>
      </c>
      <c r="D2238" s="213" t="str">
        <f>IFERROR(__xludf.DUMMYFUNCTION("""COMPUTED_VALUE"""),"EQUIPOS")</f>
        <v>EQUIPOS</v>
      </c>
      <c r="E2238" s="213" t="str">
        <f>IFERROR(__xludf.DUMMYFUNCTION("""COMPUTED_VALUE"""),"ESP-340")</f>
        <v>ESP-340</v>
      </c>
      <c r="F2238" s="213" t="str">
        <f>IFERROR(__xludf.DUMMYFUNCTION("""COMPUTED_VALUE"""),"ESP-340")</f>
        <v>ESP-340</v>
      </c>
      <c r="G2238" s="213"/>
      <c r="H2238" s="213" t="str">
        <f>IFERROR(__xludf.DUMMYFUNCTION("""COMPUTED_VALUE"""),"SENSOR DE PROXIMIDAD CAPACITIVOS")</f>
        <v>SENSOR DE PROXIMIDAD CAPACITIVOS</v>
      </c>
      <c r="I2238" s="213" t="str">
        <f>IFERROR(__xludf.DUMMYFUNCTION("""COMPUTED_VALUE"""),"Características:
- Cantidad de hilos: 3 hilos.
- Voltaje de trabajo: 12 – 24 Vdc.
- Corriente de trabajo max: 20 mA.
- Salidas tipos: PNP y NPN.
- Longitud de cable minimo: 1.8m.
- Estructura del cuerpo: metálico")</f>
        <v>Características:
- Cantidad de hilos: 3 hilos.
- Voltaje de trabajo: 12 – 24 Vdc.
- Corriente de trabajo max: 20 mA.
- Salidas tipos: PNP y NPN.
- Longitud de cable minimo: 1.8m.
- Estructura del cuerpo: metálico</v>
      </c>
      <c r="J2238" s="213">
        <f>IFERROR(__xludf.DUMMYFUNCTION("""COMPUTED_VALUE"""),3.0)</f>
        <v>3</v>
      </c>
      <c r="K2238" s="213" t="str">
        <f>IFERROR(__xludf.DUMMYFUNCTION("""COMPUTED_VALUE"""),"170 DÍAS CALENDARIO")</f>
        <v>170 DÍAS CALENDARIO</v>
      </c>
      <c r="L2238" s="213" t="str">
        <f>IFERROR(__xludf.DUMMYFUNCTION("""COMPUTED_VALUE"""),"")</f>
        <v/>
      </c>
      <c r="M2238" s="213">
        <f>IFERROR(__xludf.DUMMYFUNCTION("""COMPUTED_VALUE"""),1.0)</f>
        <v>1</v>
      </c>
      <c r="N2238" s="213">
        <f>IFERROR(__xludf.DUMMYFUNCTION("""COMPUTED_VALUE"""),4.0)</f>
        <v>4</v>
      </c>
      <c r="O2238" s="213">
        <f>IFERROR(__xludf.DUMMYFUNCTION("""COMPUTED_VALUE"""),4.0)</f>
        <v>4</v>
      </c>
      <c r="P2238" s="213"/>
      <c r="Q2238" s="213"/>
      <c r="R2238" s="213"/>
      <c r="S2238" s="213" t="str">
        <f>IFERROR(__xludf.DUMMYFUNCTION("""COMPUTED_VALUE"""),"SI")</f>
        <v>SI</v>
      </c>
      <c r="T2238" s="213" t="str">
        <f>IFERROR(__xludf.DUMMYFUNCTION("""COMPUTED_VALUE"""),"SI")</f>
        <v>SI</v>
      </c>
      <c r="U2238" s="213" t="str">
        <f>IFERROR(__xludf.DUMMYFUNCTION("""COMPUTED_VALUE"""),"SI")</f>
        <v>SI</v>
      </c>
      <c r="V2238" s="213" t="str">
        <f>IFERROR(__xludf.DUMMYFUNCTION("""COMPUTED_VALUE"""),"-")</f>
        <v>-</v>
      </c>
      <c r="W2238" s="213" t="str">
        <f>IFERROR(__xludf.DUMMYFUNCTION("""COMPUTED_VALUE"""),"-")</f>
        <v>-</v>
      </c>
      <c r="X2238" s="213" t="str">
        <f>IFERROR(__xludf.DUMMYFUNCTION("""COMPUTED_VALUE"""),"Autonics ")</f>
        <v>Autonics </v>
      </c>
      <c r="Y2238" s="213" t="str">
        <f>IFERROR(__xludf.DUMMYFUNCTION("""COMPUTED_VALUE"""),"CR30-15DN")</f>
        <v>CR30-15DN</v>
      </c>
      <c r="Z2238" s="213" t="str">
        <f>IFERROR(__xludf.DUMMYFUNCTION("""COMPUTED_VALUE"""),"Sensor de proximidad capacitivos_FT.pdf")</f>
        <v>Sensor de proximidad capacitivos_FT.pdf</v>
      </c>
      <c r="AA2238" s="213" t="str">
        <f>IFERROR(__xludf.DUMMYFUNCTION("""COMPUTED_VALUE"""),"ESP-340 SENSOR DE PROXIMIDAD CAPACITIVOS- CET.xlsx")</f>
        <v>ESP-340 SENSOR DE PROXIMIDAD CAPACITIVOS- CET.xlsx</v>
      </c>
      <c r="AB2238" s="215" t="str">
        <f>IFERROR(__xludf.DUMMYFUNCTION("""COMPUTED_VALUE"""),"https://drive.google.com/file/d/1g0gbHtm-j9PdAfsp1TFYeCMDXzu6fGjp/view?usp=drive_link")</f>
        <v>https://drive.google.com/file/d/1g0gbHtm-j9PdAfsp1TFYeCMDXzu6fGjp/view?usp=drive_link</v>
      </c>
      <c r="AC2238" s="213"/>
      <c r="AD2238" s="213"/>
      <c r="AE2238" s="213"/>
      <c r="AF2238" s="213"/>
      <c r="AG2238" s="213"/>
      <c r="AH2238" s="213"/>
      <c r="AI2238" s="213"/>
      <c r="AJ2238" s="213"/>
      <c r="AK2238" s="213"/>
      <c r="AL2238" s="213"/>
      <c r="AM2238" s="213"/>
      <c r="AN2238" s="213"/>
      <c r="AO2238" s="213"/>
      <c r="AP2238" s="213" t="str">
        <f>IFERROR(__xludf.DUMMYFUNCTION("""COMPUTED_VALUE"""),"JORGE")</f>
        <v>JORGE</v>
      </c>
      <c r="AQ2238" s="213"/>
      <c r="AR2238" s="213"/>
      <c r="AS2238" s="213"/>
      <c r="AT2238" s="213"/>
      <c r="AU2238" s="213"/>
      <c r="AV2238" s="213"/>
      <c r="AW2238" s="213"/>
      <c r="AX2238" s="213"/>
      <c r="AY2238" s="213"/>
      <c r="AZ2238" s="213"/>
      <c r="BA2238" s="213"/>
      <c r="BB2238" s="213"/>
      <c r="BC2238" s="213"/>
      <c r="BD2238" s="213"/>
    </row>
    <row r="2239">
      <c r="A2239" s="213">
        <f>IFERROR(__xludf.DUMMYFUNCTION("""COMPUTED_VALUE"""),900.0)</f>
        <v>900</v>
      </c>
      <c r="B2239" s="213" t="str">
        <f>IFERROR(__xludf.DUMMYFUNCTION("""COMPUTED_VALUE"""),"6049 RICARDO PALMA")</f>
        <v>6049 RICARDO PALMA</v>
      </c>
      <c r="C2239" s="213" t="str">
        <f>IFERROR(__xludf.DUMMYFUNCTION("""COMPUTED_VALUE"""),"TALLER SFT DE ELECTRICIDAD")</f>
        <v>TALLER SFT DE ELECTRICIDAD</v>
      </c>
      <c r="D2239" s="213" t="str">
        <f>IFERROR(__xludf.DUMMYFUNCTION("""COMPUTED_VALUE"""),"EQUIPOS")</f>
        <v>EQUIPOS</v>
      </c>
      <c r="E2239" s="213" t="str">
        <f>IFERROR(__xludf.DUMMYFUNCTION("""COMPUTED_VALUE"""),"ESP-340")</f>
        <v>ESP-340</v>
      </c>
      <c r="F2239" s="213" t="str">
        <f>IFERROR(__xludf.DUMMYFUNCTION("""COMPUTED_VALUE"""),"ESP-340")</f>
        <v>ESP-340</v>
      </c>
      <c r="G2239" s="213"/>
      <c r="H2239" s="213" t="str">
        <f>IFERROR(__xludf.DUMMYFUNCTION("""COMPUTED_VALUE"""),"SENSOR DE PROXIMIDAD CAPACITIVOS")</f>
        <v>SENSOR DE PROXIMIDAD CAPACITIVOS</v>
      </c>
      <c r="I2239" s="213" t="str">
        <f>IFERROR(__xludf.DUMMYFUNCTION("""COMPUTED_VALUE"""),"Características:
- Cantidad de hilos: 3 hilos.
- Voltaje de trabajo: 12 – 24 Vdc.
- Corriente de trabajo max: 20 mA.
- Salidas tipos: PNP y NPN.
- Longitud de cable minimo: 1.8m.
- Estructura del cuerpo: metálico")</f>
        <v>Características:
- Cantidad de hilos: 3 hilos.
- Voltaje de trabajo: 12 – 24 Vdc.
- Corriente de trabajo max: 20 mA.
- Salidas tipos: PNP y NPN.
- Longitud de cable minimo: 1.8m.
- Estructura del cuerpo: metálico</v>
      </c>
      <c r="J2239" s="213">
        <f>IFERROR(__xludf.DUMMYFUNCTION("""COMPUTED_VALUE"""),3.0)</f>
        <v>3</v>
      </c>
      <c r="K2239" s="213" t="str">
        <f>IFERROR(__xludf.DUMMYFUNCTION("""COMPUTED_VALUE"""),"170 DÍAS CALENDARIO")</f>
        <v>170 DÍAS CALENDARIO</v>
      </c>
      <c r="L2239" s="213" t="str">
        <f>IFERROR(__xludf.DUMMYFUNCTION("""COMPUTED_VALUE"""),"")</f>
        <v/>
      </c>
      <c r="M2239" s="213">
        <f>IFERROR(__xludf.DUMMYFUNCTION("""COMPUTED_VALUE"""),1.0)</f>
        <v>1</v>
      </c>
      <c r="N2239" s="213">
        <f>IFERROR(__xludf.DUMMYFUNCTION("""COMPUTED_VALUE"""),4.0)</f>
        <v>4</v>
      </c>
      <c r="O2239" s="213">
        <f>IFERROR(__xludf.DUMMYFUNCTION("""COMPUTED_VALUE"""),4.0)</f>
        <v>4</v>
      </c>
      <c r="P2239" s="213"/>
      <c r="Q2239" s="213"/>
      <c r="R2239" s="213"/>
      <c r="S2239" s="213" t="str">
        <f>IFERROR(__xludf.DUMMYFUNCTION("""COMPUTED_VALUE"""),"SI")</f>
        <v>SI</v>
      </c>
      <c r="T2239" s="213" t="str">
        <f>IFERROR(__xludf.DUMMYFUNCTION("""COMPUTED_VALUE"""),"SI")</f>
        <v>SI</v>
      </c>
      <c r="U2239" s="213" t="str">
        <f>IFERROR(__xludf.DUMMYFUNCTION("""COMPUTED_VALUE"""),"SI")</f>
        <v>SI</v>
      </c>
      <c r="V2239" s="213" t="str">
        <f>IFERROR(__xludf.DUMMYFUNCTION("""COMPUTED_VALUE"""),"-")</f>
        <v>-</v>
      </c>
      <c r="W2239" s="213" t="str">
        <f>IFERROR(__xludf.DUMMYFUNCTION("""COMPUTED_VALUE"""),"-")</f>
        <v>-</v>
      </c>
      <c r="X2239" s="213" t="str">
        <f>IFERROR(__xludf.DUMMYFUNCTION("""COMPUTED_VALUE"""),"Autonics ")</f>
        <v>Autonics </v>
      </c>
      <c r="Y2239" s="213" t="str">
        <f>IFERROR(__xludf.DUMMYFUNCTION("""COMPUTED_VALUE"""),"CR30-15DN")</f>
        <v>CR30-15DN</v>
      </c>
      <c r="Z2239" s="213" t="str">
        <f>IFERROR(__xludf.DUMMYFUNCTION("""COMPUTED_VALUE"""),"Sensor de proximidad capacitivos_FT.pdf")</f>
        <v>Sensor de proximidad capacitivos_FT.pdf</v>
      </c>
      <c r="AA2239" s="213" t="str">
        <f>IFERROR(__xludf.DUMMYFUNCTION("""COMPUTED_VALUE"""),"ESP-340 SENSOR DE PROXIMIDAD CAPACITIVOS- CET.xlsx")</f>
        <v>ESP-340 SENSOR DE PROXIMIDAD CAPACITIVOS- CET.xlsx</v>
      </c>
      <c r="AB2239" s="215" t="str">
        <f>IFERROR(__xludf.DUMMYFUNCTION("""COMPUTED_VALUE"""),"https://drive.google.com/file/d/1g0gbHtm-j9PdAfsp1TFYeCMDXzu6fGjp/view?usp=drive_link")</f>
        <v>https://drive.google.com/file/d/1g0gbHtm-j9PdAfsp1TFYeCMDXzu6fGjp/view?usp=drive_link</v>
      </c>
      <c r="AC2239" s="213"/>
      <c r="AD2239" s="213"/>
      <c r="AE2239" s="213"/>
      <c r="AF2239" s="213"/>
      <c r="AG2239" s="213"/>
      <c r="AH2239" s="213"/>
      <c r="AI2239" s="213"/>
      <c r="AJ2239" s="213"/>
      <c r="AK2239" s="213"/>
      <c r="AL2239" s="213"/>
      <c r="AM2239" s="213"/>
      <c r="AN2239" s="213"/>
      <c r="AO2239" s="213"/>
      <c r="AP2239" s="213" t="str">
        <f>IFERROR(__xludf.DUMMYFUNCTION("""COMPUTED_VALUE"""),"JORGE")</f>
        <v>JORGE</v>
      </c>
      <c r="AQ2239" s="213"/>
      <c r="AR2239" s="213"/>
      <c r="AS2239" s="213"/>
      <c r="AT2239" s="213"/>
      <c r="AU2239" s="213"/>
      <c r="AV2239" s="213"/>
      <c r="AW2239" s="213"/>
      <c r="AX2239" s="213"/>
      <c r="AY2239" s="213"/>
      <c r="AZ2239" s="213"/>
      <c r="BA2239" s="213"/>
      <c r="BB2239" s="213"/>
      <c r="BC2239" s="213"/>
      <c r="BD2239" s="213"/>
    </row>
    <row r="2240">
      <c r="A2240" s="213">
        <f>IFERROR(__xludf.DUMMYFUNCTION("""COMPUTED_VALUE"""),1322.0)</f>
        <v>1322</v>
      </c>
      <c r="B2240" s="213" t="str">
        <f>IFERROR(__xludf.DUMMYFUNCTION("""COMPUTED_VALUE"""),"GUILLERMO E. BILLINGHURST ")</f>
        <v>GUILLERMO E. BILLINGHURST </v>
      </c>
      <c r="C2240" s="213" t="str">
        <f>IFERROR(__xludf.DUMMYFUNCTION("""COMPUTED_VALUE"""),"TALLER SFT DE ELECTRICIDAD")</f>
        <v>TALLER SFT DE ELECTRICIDAD</v>
      </c>
      <c r="D2240" s="213" t="str">
        <f>IFERROR(__xludf.DUMMYFUNCTION("""COMPUTED_VALUE"""),"EQUIPOS")</f>
        <v>EQUIPOS</v>
      </c>
      <c r="E2240" s="213" t="str">
        <f>IFERROR(__xludf.DUMMYFUNCTION("""COMPUTED_VALUE"""),"ESP-340")</f>
        <v>ESP-340</v>
      </c>
      <c r="F2240" s="213" t="str">
        <f>IFERROR(__xludf.DUMMYFUNCTION("""COMPUTED_VALUE"""),"ESP-340")</f>
        <v>ESP-340</v>
      </c>
      <c r="G2240" s="213"/>
      <c r="H2240" s="213" t="str">
        <f>IFERROR(__xludf.DUMMYFUNCTION("""COMPUTED_VALUE"""),"SENSOR DE PROXIMIDAD CAPACITIVOS")</f>
        <v>SENSOR DE PROXIMIDAD CAPACITIVOS</v>
      </c>
      <c r="I2240" s="213" t="str">
        <f>IFERROR(__xludf.DUMMYFUNCTION("""COMPUTED_VALUE"""),"Características:
- Cantidad de hilos: 3 hilos.
- Voltaje de trabajo: 12 – 24 Vdc.
- Corriente de trabajo max: 20 mA.
- Salidas tipos: PNP y NPN.
- Longitud de cable minimo: 1.8m.
- Estructura del cuerpo: metálico")</f>
        <v>Características:
- Cantidad de hilos: 3 hilos.
- Voltaje de trabajo: 12 – 24 Vdc.
- Corriente de trabajo max: 20 mA.
- Salidas tipos: PNP y NPN.
- Longitud de cable minimo: 1.8m.
- Estructura del cuerpo: metálico</v>
      </c>
      <c r="J2240" s="213">
        <f>IFERROR(__xludf.DUMMYFUNCTION("""COMPUTED_VALUE"""),3.0)</f>
        <v>3</v>
      </c>
      <c r="K2240" s="213" t="str">
        <f>IFERROR(__xludf.DUMMYFUNCTION("""COMPUTED_VALUE"""),"170 DÍAS CALENDARIO")</f>
        <v>170 DÍAS CALENDARIO</v>
      </c>
      <c r="L2240" s="213" t="str">
        <f>IFERROR(__xludf.DUMMYFUNCTION("""COMPUTED_VALUE"""),"")</f>
        <v/>
      </c>
      <c r="M2240" s="213">
        <f>IFERROR(__xludf.DUMMYFUNCTION("""COMPUTED_VALUE"""),1.0)</f>
        <v>1</v>
      </c>
      <c r="N2240" s="213">
        <f>IFERROR(__xludf.DUMMYFUNCTION("""COMPUTED_VALUE"""),4.0)</f>
        <v>4</v>
      </c>
      <c r="O2240" s="213">
        <f>IFERROR(__xludf.DUMMYFUNCTION("""COMPUTED_VALUE"""),4.0)</f>
        <v>4</v>
      </c>
      <c r="P2240" s="213"/>
      <c r="Q2240" s="213"/>
      <c r="R2240" s="213"/>
      <c r="S2240" s="213" t="str">
        <f>IFERROR(__xludf.DUMMYFUNCTION("""COMPUTED_VALUE"""),"SI")</f>
        <v>SI</v>
      </c>
      <c r="T2240" s="213" t="str">
        <f>IFERROR(__xludf.DUMMYFUNCTION("""COMPUTED_VALUE"""),"SI")</f>
        <v>SI</v>
      </c>
      <c r="U2240" s="213" t="str">
        <f>IFERROR(__xludf.DUMMYFUNCTION("""COMPUTED_VALUE"""),"SI")</f>
        <v>SI</v>
      </c>
      <c r="V2240" s="213" t="str">
        <f>IFERROR(__xludf.DUMMYFUNCTION("""COMPUTED_VALUE"""),"-")</f>
        <v>-</v>
      </c>
      <c r="W2240" s="213" t="str">
        <f>IFERROR(__xludf.DUMMYFUNCTION("""COMPUTED_VALUE"""),"-")</f>
        <v>-</v>
      </c>
      <c r="X2240" s="213" t="str">
        <f>IFERROR(__xludf.DUMMYFUNCTION("""COMPUTED_VALUE"""),"Autonics ")</f>
        <v>Autonics </v>
      </c>
      <c r="Y2240" s="213" t="str">
        <f>IFERROR(__xludf.DUMMYFUNCTION("""COMPUTED_VALUE"""),"CR30-15DN")</f>
        <v>CR30-15DN</v>
      </c>
      <c r="Z2240" s="213" t="str">
        <f>IFERROR(__xludf.DUMMYFUNCTION("""COMPUTED_VALUE"""),"Sensor de proximidad capacitivos_FT.pdf")</f>
        <v>Sensor de proximidad capacitivos_FT.pdf</v>
      </c>
      <c r="AA2240" s="213" t="str">
        <f>IFERROR(__xludf.DUMMYFUNCTION("""COMPUTED_VALUE"""),"ESP-340 SENSOR DE PROXIMIDAD CAPACITIVOS- CET.xlsx")</f>
        <v>ESP-340 SENSOR DE PROXIMIDAD CAPACITIVOS- CET.xlsx</v>
      </c>
      <c r="AB2240" s="215" t="str">
        <f>IFERROR(__xludf.DUMMYFUNCTION("""COMPUTED_VALUE"""),"https://drive.google.com/file/d/1g0gbHtm-j9PdAfsp1TFYeCMDXzu6fGjp/view?usp=drive_link")</f>
        <v>https://drive.google.com/file/d/1g0gbHtm-j9PdAfsp1TFYeCMDXzu6fGjp/view?usp=drive_link</v>
      </c>
      <c r="AC2240" s="213"/>
      <c r="AD2240" s="213"/>
      <c r="AE2240" s="213"/>
      <c r="AF2240" s="213"/>
      <c r="AG2240" s="213"/>
      <c r="AH2240" s="213"/>
      <c r="AI2240" s="213"/>
      <c r="AJ2240" s="213"/>
      <c r="AK2240" s="213"/>
      <c r="AL2240" s="213"/>
      <c r="AM2240" s="213"/>
      <c r="AN2240" s="213"/>
      <c r="AO2240" s="213"/>
      <c r="AP2240" s="213" t="str">
        <f>IFERROR(__xludf.DUMMYFUNCTION("""COMPUTED_VALUE"""),"JORGE")</f>
        <v>JORGE</v>
      </c>
      <c r="AQ2240" s="213"/>
      <c r="AR2240" s="213"/>
      <c r="AS2240" s="213"/>
      <c r="AT2240" s="213"/>
      <c r="AU2240" s="213"/>
      <c r="AV2240" s="213"/>
      <c r="AW2240" s="213"/>
      <c r="AX2240" s="213"/>
      <c r="AY2240" s="213"/>
      <c r="AZ2240" s="213"/>
      <c r="BA2240" s="213"/>
      <c r="BB2240" s="213"/>
      <c r="BC2240" s="213"/>
      <c r="BD2240" s="213"/>
    </row>
    <row r="2241">
      <c r="A2241" s="213">
        <f>IFERROR(__xludf.DUMMYFUNCTION("""COMPUTED_VALUE"""),413.0)</f>
        <v>413</v>
      </c>
      <c r="B2241" s="213" t="str">
        <f>IFERROR(__xludf.DUMMYFUNCTION("""COMPUTED_VALUE"""),"2026 SIMON BOLIVAR")</f>
        <v>2026 SIMON BOLIVAR</v>
      </c>
      <c r="C2241" s="213" t="str">
        <f>IFERROR(__xludf.DUMMYFUNCTION("""COMPUTED_VALUE"""),"TALLER SFT DE ELECTRICIDAD")</f>
        <v>TALLER SFT DE ELECTRICIDAD</v>
      </c>
      <c r="D2241" s="213" t="str">
        <f>IFERROR(__xludf.DUMMYFUNCTION("""COMPUTED_VALUE"""),"EQUIPOS")</f>
        <v>EQUIPOS</v>
      </c>
      <c r="E2241" s="213" t="str">
        <f>IFERROR(__xludf.DUMMYFUNCTION("""COMPUTED_VALUE"""),"ESP-341")</f>
        <v>ESP-341</v>
      </c>
      <c r="F2241" s="213" t="str">
        <f>IFERROR(__xludf.DUMMYFUNCTION("""COMPUTED_VALUE"""),"ESP-341")</f>
        <v>ESP-341</v>
      </c>
      <c r="G2241" s="213"/>
      <c r="H2241" s="213" t="str">
        <f>IFERROR(__xludf.DUMMYFUNCTION("""COMPUTED_VALUE"""),"SENSOR DE PROXIMIDAD INDUCTIVOS")</f>
        <v>SENSOR DE PROXIMIDAD INDUCTIVOS</v>
      </c>
      <c r="I2241" s="213" t="str">
        <f>IFERROR(__xludf.DUMMYFUNCTION("""COMPUTED_VALUE"""),"Características:
- Cantidad de hilos: 3 hilos.
- Voltaje de trabajo: 12 – 24 Vdc.
- Corriente de trabajo max: 20 mA.
- Salidas tipos: PNP y NPN.
- Longitud de cable minimo: 1.8m.
- Estructura del cuerpo: metálico")</f>
        <v>Características:
- Cantidad de hilos: 3 hilos.
- Voltaje de trabajo: 12 – 24 Vdc.
- Corriente de trabajo max: 20 mA.
- Salidas tipos: PNP y NPN.
- Longitud de cable minimo: 1.8m.
- Estructura del cuerpo: metálico</v>
      </c>
      <c r="J2241" s="213">
        <f>IFERROR(__xludf.DUMMYFUNCTION("""COMPUTED_VALUE"""),3.0)</f>
        <v>3</v>
      </c>
      <c r="K2241" s="213" t="str">
        <f>IFERROR(__xludf.DUMMYFUNCTION("""COMPUTED_VALUE"""),"170 DÍAS CALENDARIO")</f>
        <v>170 DÍAS CALENDARIO</v>
      </c>
      <c r="L2241" s="213" t="str">
        <f>IFERROR(__xludf.DUMMYFUNCTION("""COMPUTED_VALUE"""),"")</f>
        <v/>
      </c>
      <c r="M2241" s="213">
        <f>IFERROR(__xludf.DUMMYFUNCTION("""COMPUTED_VALUE"""),1.0)</f>
        <v>1</v>
      </c>
      <c r="N2241" s="213">
        <f>IFERROR(__xludf.DUMMYFUNCTION("""COMPUTED_VALUE"""),4.0)</f>
        <v>4</v>
      </c>
      <c r="O2241" s="213">
        <f>IFERROR(__xludf.DUMMYFUNCTION("""COMPUTED_VALUE"""),4.0)</f>
        <v>4</v>
      </c>
      <c r="P2241" s="213"/>
      <c r="Q2241" s="213"/>
      <c r="R2241" s="213"/>
      <c r="S2241" s="213" t="str">
        <f>IFERROR(__xludf.DUMMYFUNCTION("""COMPUTED_VALUE"""),"SI")</f>
        <v>SI</v>
      </c>
      <c r="T2241" s="213" t="str">
        <f>IFERROR(__xludf.DUMMYFUNCTION("""COMPUTED_VALUE"""),"CONSULTA FINAL")</f>
        <v>CONSULTA FINAL</v>
      </c>
      <c r="U2241" s="213" t="str">
        <f>IFERROR(__xludf.DUMMYFUNCTION("""COMPUTED_VALUE"""),"NO")</f>
        <v>NO</v>
      </c>
      <c r="V2241" s="213" t="str">
        <f>IFERROR(__xludf.DUMMYFUNCTION("""COMPUTED_VALUE"""),"SUSTENTO")</f>
        <v>SUSTENTO</v>
      </c>
      <c r="W2241" s="213"/>
      <c r="X2241" s="213" t="str">
        <f>IFERROR(__xludf.DUMMYFUNCTION("""COMPUTED_VALUE"""),"IME		")</f>
        <v>IME		</v>
      </c>
      <c r="Y2241" s="213" t="str">
        <f>IFERROR(__xludf.DUMMYFUNCTION("""COMPUTED_VALUE""")," Sensor inductivo M30 ")</f>
        <v> Sensor inductivo M30 </v>
      </c>
      <c r="Z2241" s="213" t="str">
        <f>IFERROR(__xludf.DUMMYFUNCTION("""COMPUTED_VALUE"""),"Sensor de proximidad inductivos_FT.pdf")</f>
        <v>Sensor de proximidad inductivos_FT.pdf</v>
      </c>
      <c r="AA2241" s="213" t="str">
        <f>IFERROR(__xludf.DUMMYFUNCTION("""COMPUTED_VALUE"""),"ESP-341 SENSOR DE PROXIMIDAD INDUCTIVOS - CET.xlsx")</f>
        <v>ESP-341 SENSOR DE PROXIMIDAD INDUCTIVOS - CET.xlsx</v>
      </c>
      <c r="AB2241" s="215" t="str">
        <f>IFERROR(__xludf.DUMMYFUNCTION("""COMPUTED_VALUE"""),"https://drive.google.com/file/d/12lRTFI3urC0PIpjaLJhmRwvjZuSGCRZb/view?usp=drive_link")</f>
        <v>https://drive.google.com/file/d/12lRTFI3urC0PIpjaLJhmRwvjZuSGCRZb/view?usp=drive_link</v>
      </c>
      <c r="AC2241" s="213"/>
      <c r="AD2241" s="213"/>
      <c r="AE2241" s="213"/>
      <c r="AF2241" s="213"/>
      <c r="AG2241" s="213"/>
      <c r="AH2241" s="213"/>
      <c r="AI2241" s="213"/>
      <c r="AJ2241" s="213"/>
      <c r="AK2241" s="213"/>
      <c r="AL2241" s="213"/>
      <c r="AM2241" s="213"/>
      <c r="AN2241" s="213"/>
      <c r="AO2241" s="213"/>
      <c r="AP2241" s="213" t="str">
        <f>IFERROR(__xludf.DUMMYFUNCTION("""COMPUTED_VALUE"""),"JORGE")</f>
        <v>JORGE</v>
      </c>
      <c r="AQ2241" s="213"/>
      <c r="AR2241" s="213"/>
      <c r="AS2241" s="213" t="str">
        <f>IFERROR(__xludf.DUMMYFUNCTION("""COMPUTED_VALUE"""),"Turck RKC4T-2/TEL")</f>
        <v>Turck RKC4T-2/TEL</v>
      </c>
      <c r="AT2241" s="213"/>
      <c r="AU2241" s="213"/>
      <c r="AV2241" s="213"/>
      <c r="AW2241" s="213"/>
      <c r="AX2241" s="213"/>
      <c r="AY2241" s="213"/>
      <c r="AZ2241" s="213"/>
      <c r="BA2241" s="213"/>
      <c r="BB2241" s="213"/>
      <c r="BC2241" s="213"/>
      <c r="BD2241" s="213"/>
    </row>
    <row r="2242">
      <c r="A2242" s="213">
        <f>IFERROR(__xludf.DUMMYFUNCTION("""COMPUTED_VALUE"""),899.0)</f>
        <v>899</v>
      </c>
      <c r="B2242" s="213" t="str">
        <f>IFERROR(__xludf.DUMMYFUNCTION("""COMPUTED_VALUE"""),"6049 RICARDO PALMA")</f>
        <v>6049 RICARDO PALMA</v>
      </c>
      <c r="C2242" s="213" t="str">
        <f>IFERROR(__xludf.DUMMYFUNCTION("""COMPUTED_VALUE"""),"TALLER SFT DE ELECTRICIDAD")</f>
        <v>TALLER SFT DE ELECTRICIDAD</v>
      </c>
      <c r="D2242" s="213" t="str">
        <f>IFERROR(__xludf.DUMMYFUNCTION("""COMPUTED_VALUE"""),"EQUIPOS")</f>
        <v>EQUIPOS</v>
      </c>
      <c r="E2242" s="213" t="str">
        <f>IFERROR(__xludf.DUMMYFUNCTION("""COMPUTED_VALUE"""),"ESP-341")</f>
        <v>ESP-341</v>
      </c>
      <c r="F2242" s="213" t="str">
        <f>IFERROR(__xludf.DUMMYFUNCTION("""COMPUTED_VALUE"""),"ESP-341")</f>
        <v>ESP-341</v>
      </c>
      <c r="G2242" s="213"/>
      <c r="H2242" s="213" t="str">
        <f>IFERROR(__xludf.DUMMYFUNCTION("""COMPUTED_VALUE"""),"SENSOR DE PROXIMIDAD INDUCTIVOS")</f>
        <v>SENSOR DE PROXIMIDAD INDUCTIVOS</v>
      </c>
      <c r="I2242" s="213" t="str">
        <f>IFERROR(__xludf.DUMMYFUNCTION("""COMPUTED_VALUE"""),"Características:
- Cantidad de hilos: 3 hilos.
- Voltaje de trabajo: 12 – 24 Vdc.
- Corriente de trabajo max: 20 mA.
- Salidas tipos: PNP y NPN.
- Longitud de cable minimo: 1.8m.
- Estructura del cuerpo: metálico")</f>
        <v>Características:
- Cantidad de hilos: 3 hilos.
- Voltaje de trabajo: 12 – 24 Vdc.
- Corriente de trabajo max: 20 mA.
- Salidas tipos: PNP y NPN.
- Longitud de cable minimo: 1.8m.
- Estructura del cuerpo: metálico</v>
      </c>
      <c r="J2242" s="213">
        <f>IFERROR(__xludf.DUMMYFUNCTION("""COMPUTED_VALUE"""),3.0)</f>
        <v>3</v>
      </c>
      <c r="K2242" s="213" t="str">
        <f>IFERROR(__xludf.DUMMYFUNCTION("""COMPUTED_VALUE"""),"170 DÍAS CALENDARIO")</f>
        <v>170 DÍAS CALENDARIO</v>
      </c>
      <c r="L2242" s="213" t="str">
        <f>IFERROR(__xludf.DUMMYFUNCTION("""COMPUTED_VALUE"""),"")</f>
        <v/>
      </c>
      <c r="M2242" s="213">
        <f>IFERROR(__xludf.DUMMYFUNCTION("""COMPUTED_VALUE"""),1.0)</f>
        <v>1</v>
      </c>
      <c r="N2242" s="213">
        <f>IFERROR(__xludf.DUMMYFUNCTION("""COMPUTED_VALUE"""),4.0)</f>
        <v>4</v>
      </c>
      <c r="O2242" s="213">
        <f>IFERROR(__xludf.DUMMYFUNCTION("""COMPUTED_VALUE"""),4.0)</f>
        <v>4</v>
      </c>
      <c r="P2242" s="213"/>
      <c r="Q2242" s="213"/>
      <c r="R2242" s="213"/>
      <c r="S2242" s="213" t="str">
        <f>IFERROR(__xludf.DUMMYFUNCTION("""COMPUTED_VALUE"""),"SI")</f>
        <v>SI</v>
      </c>
      <c r="T2242" s="213" t="str">
        <f>IFERROR(__xludf.DUMMYFUNCTION("""COMPUTED_VALUE"""),"CONSULTA FINAL")</f>
        <v>CONSULTA FINAL</v>
      </c>
      <c r="U2242" s="213" t="str">
        <f>IFERROR(__xludf.DUMMYFUNCTION("""COMPUTED_VALUE"""),"NO")</f>
        <v>NO</v>
      </c>
      <c r="V2242" s="213" t="str">
        <f>IFERROR(__xludf.DUMMYFUNCTION("""COMPUTED_VALUE"""),"SUSTENTO")</f>
        <v>SUSTENTO</v>
      </c>
      <c r="W2242" s="213"/>
      <c r="X2242" s="213" t="str">
        <f>IFERROR(__xludf.DUMMYFUNCTION("""COMPUTED_VALUE"""),"IME		")</f>
        <v>IME		</v>
      </c>
      <c r="Y2242" s="213" t="str">
        <f>IFERROR(__xludf.DUMMYFUNCTION("""COMPUTED_VALUE""")," Sensor inductivo M30 ")</f>
        <v> Sensor inductivo M30 </v>
      </c>
      <c r="Z2242" s="213" t="str">
        <f>IFERROR(__xludf.DUMMYFUNCTION("""COMPUTED_VALUE"""),"Sensor de proximidad inductivos_FT.pdf")</f>
        <v>Sensor de proximidad inductivos_FT.pdf</v>
      </c>
      <c r="AA2242" s="213" t="str">
        <f>IFERROR(__xludf.DUMMYFUNCTION("""COMPUTED_VALUE"""),"ESP-341 SENSOR DE PROXIMIDAD INDUCTIVOS - CET.xlsx")</f>
        <v>ESP-341 SENSOR DE PROXIMIDAD INDUCTIVOS - CET.xlsx</v>
      </c>
      <c r="AB2242" s="215" t="str">
        <f>IFERROR(__xludf.DUMMYFUNCTION("""COMPUTED_VALUE"""),"https://drive.google.com/file/d/12lRTFI3urC0PIpjaLJhmRwvjZuSGCRZb/view?usp=drive_link")</f>
        <v>https://drive.google.com/file/d/12lRTFI3urC0PIpjaLJhmRwvjZuSGCRZb/view?usp=drive_link</v>
      </c>
      <c r="AC2242" s="213"/>
      <c r="AD2242" s="213"/>
      <c r="AE2242" s="213"/>
      <c r="AF2242" s="213"/>
      <c r="AG2242" s="213"/>
      <c r="AH2242" s="213"/>
      <c r="AI2242" s="213"/>
      <c r="AJ2242" s="213"/>
      <c r="AK2242" s="213"/>
      <c r="AL2242" s="213"/>
      <c r="AM2242" s="213"/>
      <c r="AN2242" s="213"/>
      <c r="AO2242" s="213"/>
      <c r="AP2242" s="213" t="str">
        <f>IFERROR(__xludf.DUMMYFUNCTION("""COMPUTED_VALUE"""),"JORGE")</f>
        <v>JORGE</v>
      </c>
      <c r="AQ2242" s="213"/>
      <c r="AR2242" s="213"/>
      <c r="AS2242" s="213" t="str">
        <f>IFERROR(__xludf.DUMMYFUNCTION("""COMPUTED_VALUE"""),"Turck RKC4T-2/TEL")</f>
        <v>Turck RKC4T-2/TEL</v>
      </c>
      <c r="AT2242" s="213"/>
      <c r="AU2242" s="213"/>
      <c r="AV2242" s="213"/>
      <c r="AW2242" s="213"/>
      <c r="AX2242" s="213"/>
      <c r="AY2242" s="213"/>
      <c r="AZ2242" s="213"/>
      <c r="BA2242" s="213"/>
      <c r="BB2242" s="213"/>
      <c r="BC2242" s="213"/>
      <c r="BD2242" s="213"/>
    </row>
    <row r="2243">
      <c r="A2243" s="213">
        <f>IFERROR(__xludf.DUMMYFUNCTION("""COMPUTED_VALUE"""),1321.0)</f>
        <v>1321</v>
      </c>
      <c r="B2243" s="213" t="str">
        <f>IFERROR(__xludf.DUMMYFUNCTION("""COMPUTED_VALUE"""),"GUILLERMO E. BILLINGHURST ")</f>
        <v>GUILLERMO E. BILLINGHURST </v>
      </c>
      <c r="C2243" s="213" t="str">
        <f>IFERROR(__xludf.DUMMYFUNCTION("""COMPUTED_VALUE"""),"TALLER SFT DE ELECTRICIDAD")</f>
        <v>TALLER SFT DE ELECTRICIDAD</v>
      </c>
      <c r="D2243" s="213" t="str">
        <f>IFERROR(__xludf.DUMMYFUNCTION("""COMPUTED_VALUE"""),"EQUIPOS")</f>
        <v>EQUIPOS</v>
      </c>
      <c r="E2243" s="213" t="str">
        <f>IFERROR(__xludf.DUMMYFUNCTION("""COMPUTED_VALUE"""),"ESP-341")</f>
        <v>ESP-341</v>
      </c>
      <c r="F2243" s="213" t="str">
        <f>IFERROR(__xludf.DUMMYFUNCTION("""COMPUTED_VALUE"""),"ESP-341")</f>
        <v>ESP-341</v>
      </c>
      <c r="G2243" s="213"/>
      <c r="H2243" s="213" t="str">
        <f>IFERROR(__xludf.DUMMYFUNCTION("""COMPUTED_VALUE"""),"SENSOR DE PROXIMIDAD INDUCTIVOS")</f>
        <v>SENSOR DE PROXIMIDAD INDUCTIVOS</v>
      </c>
      <c r="I2243" s="213" t="str">
        <f>IFERROR(__xludf.DUMMYFUNCTION("""COMPUTED_VALUE"""),"Características:
- Cantidad de hilos: 3 hilos.
- Voltaje de trabajo: 12 – 24 Vdc.
- Corriente de trabajo max: 20 mA.
- Salidas tipos: PNP y NPN.
- Longitud de cable minimo: 1.8m.
- Estructura del cuerpo: metálico")</f>
        <v>Características:
- Cantidad de hilos: 3 hilos.
- Voltaje de trabajo: 12 – 24 Vdc.
- Corriente de trabajo max: 20 mA.
- Salidas tipos: PNP y NPN.
- Longitud de cable minimo: 1.8m.
- Estructura del cuerpo: metálico</v>
      </c>
      <c r="J2243" s="213">
        <f>IFERROR(__xludf.DUMMYFUNCTION("""COMPUTED_VALUE"""),3.0)</f>
        <v>3</v>
      </c>
      <c r="K2243" s="213" t="str">
        <f>IFERROR(__xludf.DUMMYFUNCTION("""COMPUTED_VALUE"""),"170 DÍAS CALENDARIO")</f>
        <v>170 DÍAS CALENDARIO</v>
      </c>
      <c r="L2243" s="213" t="str">
        <f>IFERROR(__xludf.DUMMYFUNCTION("""COMPUTED_VALUE"""),"")</f>
        <v/>
      </c>
      <c r="M2243" s="213">
        <f>IFERROR(__xludf.DUMMYFUNCTION("""COMPUTED_VALUE"""),1.0)</f>
        <v>1</v>
      </c>
      <c r="N2243" s="213">
        <f>IFERROR(__xludf.DUMMYFUNCTION("""COMPUTED_VALUE"""),4.0)</f>
        <v>4</v>
      </c>
      <c r="O2243" s="213">
        <f>IFERROR(__xludf.DUMMYFUNCTION("""COMPUTED_VALUE"""),4.0)</f>
        <v>4</v>
      </c>
      <c r="P2243" s="213"/>
      <c r="Q2243" s="213"/>
      <c r="R2243" s="213"/>
      <c r="S2243" s="213" t="str">
        <f>IFERROR(__xludf.DUMMYFUNCTION("""COMPUTED_VALUE"""),"SI")</f>
        <v>SI</v>
      </c>
      <c r="T2243" s="213" t="str">
        <f>IFERROR(__xludf.DUMMYFUNCTION("""COMPUTED_VALUE"""),"CONSULTA FINAL")</f>
        <v>CONSULTA FINAL</v>
      </c>
      <c r="U2243" s="213" t="str">
        <f>IFERROR(__xludf.DUMMYFUNCTION("""COMPUTED_VALUE"""),"NO")</f>
        <v>NO</v>
      </c>
      <c r="V2243" s="213" t="str">
        <f>IFERROR(__xludf.DUMMYFUNCTION("""COMPUTED_VALUE"""),"SUSTENTO")</f>
        <v>SUSTENTO</v>
      </c>
      <c r="W2243" s="213"/>
      <c r="X2243" s="213" t="str">
        <f>IFERROR(__xludf.DUMMYFUNCTION("""COMPUTED_VALUE"""),"IME		")</f>
        <v>IME		</v>
      </c>
      <c r="Y2243" s="213" t="str">
        <f>IFERROR(__xludf.DUMMYFUNCTION("""COMPUTED_VALUE""")," Sensor inductivo M30 ")</f>
        <v> Sensor inductivo M30 </v>
      </c>
      <c r="Z2243" s="213" t="str">
        <f>IFERROR(__xludf.DUMMYFUNCTION("""COMPUTED_VALUE"""),"Sensor de proximidad inductivos_FT.pdf")</f>
        <v>Sensor de proximidad inductivos_FT.pdf</v>
      </c>
      <c r="AA2243" s="213" t="str">
        <f>IFERROR(__xludf.DUMMYFUNCTION("""COMPUTED_VALUE"""),"ESP-341 SENSOR DE PROXIMIDAD INDUCTIVOS - CET.xlsx")</f>
        <v>ESP-341 SENSOR DE PROXIMIDAD INDUCTIVOS - CET.xlsx</v>
      </c>
      <c r="AB2243" s="215" t="str">
        <f>IFERROR(__xludf.DUMMYFUNCTION("""COMPUTED_VALUE"""),"https://drive.google.com/file/d/12lRTFI3urC0PIpjaLJhmRwvjZuSGCRZb/view?usp=drive_link")</f>
        <v>https://drive.google.com/file/d/12lRTFI3urC0PIpjaLJhmRwvjZuSGCRZb/view?usp=drive_link</v>
      </c>
      <c r="AC2243" s="213"/>
      <c r="AD2243" s="213"/>
      <c r="AE2243" s="213"/>
      <c r="AF2243" s="213"/>
      <c r="AG2243" s="213"/>
      <c r="AH2243" s="213"/>
      <c r="AI2243" s="213"/>
      <c r="AJ2243" s="213"/>
      <c r="AK2243" s="213"/>
      <c r="AL2243" s="213"/>
      <c r="AM2243" s="213"/>
      <c r="AN2243" s="213"/>
      <c r="AO2243" s="213"/>
      <c r="AP2243" s="213" t="str">
        <f>IFERROR(__xludf.DUMMYFUNCTION("""COMPUTED_VALUE"""),"JORGE")</f>
        <v>JORGE</v>
      </c>
      <c r="AQ2243" s="213"/>
      <c r="AR2243" s="213"/>
      <c r="AS2243" s="213" t="str">
        <f>IFERROR(__xludf.DUMMYFUNCTION("""COMPUTED_VALUE"""),"Turck RKC4T-2/TEL")</f>
        <v>Turck RKC4T-2/TEL</v>
      </c>
      <c r="AT2243" s="213"/>
      <c r="AU2243" s="213"/>
      <c r="AV2243" s="213"/>
      <c r="AW2243" s="213"/>
      <c r="AX2243" s="213"/>
      <c r="AY2243" s="213"/>
      <c r="AZ2243" s="213"/>
      <c r="BA2243" s="213"/>
      <c r="BB2243" s="213"/>
      <c r="BC2243" s="213"/>
      <c r="BD2243" s="213"/>
    </row>
    <row r="2244">
      <c r="A2244" s="213">
        <f>IFERROR(__xludf.DUMMYFUNCTION("""COMPUTED_VALUE"""),415.0)</f>
        <v>415</v>
      </c>
      <c r="B2244" s="213" t="str">
        <f>IFERROR(__xludf.DUMMYFUNCTION("""COMPUTED_VALUE"""),"2026 SIMON BOLIVAR")</f>
        <v>2026 SIMON BOLIVAR</v>
      </c>
      <c r="C2244" s="213" t="str">
        <f>IFERROR(__xludf.DUMMYFUNCTION("""COMPUTED_VALUE"""),"TALLER SFT DE ELECTRICIDAD")</f>
        <v>TALLER SFT DE ELECTRICIDAD</v>
      </c>
      <c r="D2244" s="213" t="str">
        <f>IFERROR(__xludf.DUMMYFUNCTION("""COMPUTED_VALUE"""),"EQUIPOS")</f>
        <v>EQUIPOS</v>
      </c>
      <c r="E2244" s="213" t="str">
        <f>IFERROR(__xludf.DUMMYFUNCTION("""COMPUTED_VALUE"""),"ESP-342")</f>
        <v>ESP-342</v>
      </c>
      <c r="F2244" s="213" t="str">
        <f>IFERROR(__xludf.DUMMYFUNCTION("""COMPUTED_VALUE"""),"ESP-342")</f>
        <v>ESP-342</v>
      </c>
      <c r="G2244" s="213"/>
      <c r="H2244" s="213" t="str">
        <f>IFERROR(__xludf.DUMMYFUNCTION("""COMPUTED_VALUE"""),"SENSORES FOTOELÉCTRICOS")</f>
        <v>SENSORES FOTOELÉCTRICOS</v>
      </c>
      <c r="I2244" s="213" t="str">
        <f>IFERROR(__xludf.DUMMYFUNCTION("""COMPUTED_VALUE"""),"· Características:
- Tiempo de respuesta: menor a 0,25 ms.
- Alcance: hasta 2m min.
- Sensibilidad a la suciedad casi nula.")</f>
        <v>· Características:
- Tiempo de respuesta: menor a 0,25 ms.
- Alcance: hasta 2m min.
- Sensibilidad a la suciedad casi nula.</v>
      </c>
      <c r="J2244" s="213">
        <f>IFERROR(__xludf.DUMMYFUNCTION("""COMPUTED_VALUE"""),3.0)</f>
        <v>3</v>
      </c>
      <c r="K2244" s="213" t="str">
        <f>IFERROR(__xludf.DUMMYFUNCTION("""COMPUTED_VALUE"""),"170 DÍAS CALENDARIO")</f>
        <v>170 DÍAS CALENDARIO</v>
      </c>
      <c r="L2244" s="213" t="str">
        <f>IFERROR(__xludf.DUMMYFUNCTION("""COMPUTED_VALUE"""),"")</f>
        <v/>
      </c>
      <c r="M2244" s="213">
        <f>IFERROR(__xludf.DUMMYFUNCTION("""COMPUTED_VALUE"""),1.0)</f>
        <v>1</v>
      </c>
      <c r="N2244" s="213">
        <f>IFERROR(__xludf.DUMMYFUNCTION("""COMPUTED_VALUE"""),4.0)</f>
        <v>4</v>
      </c>
      <c r="O2244" s="213">
        <f>IFERROR(__xludf.DUMMYFUNCTION("""COMPUTED_VALUE"""),4.0)</f>
        <v>4</v>
      </c>
      <c r="P2244" s="213"/>
      <c r="Q2244" s="213"/>
      <c r="R2244" s="213"/>
      <c r="S2244" s="213" t="str">
        <f>IFERROR(__xludf.DUMMYFUNCTION("""COMPUTED_VALUE"""),"SI")</f>
        <v>SI</v>
      </c>
      <c r="T2244" s="213" t="str">
        <f>IFERROR(__xludf.DUMMYFUNCTION("""COMPUTED_VALUE"""),"SI")</f>
        <v>SI</v>
      </c>
      <c r="U2244" s="213" t="str">
        <f>IFERROR(__xludf.DUMMYFUNCTION("""COMPUTED_VALUE"""),"SI")</f>
        <v>SI</v>
      </c>
      <c r="V2244" s="213" t="str">
        <f>IFERROR(__xludf.DUMMYFUNCTION("""COMPUTED_VALUE"""),"-")</f>
        <v>-</v>
      </c>
      <c r="W2244" s="213" t="str">
        <f>IFERROR(__xludf.DUMMYFUNCTION("""COMPUTED_VALUE"""),"-")</f>
        <v>-</v>
      </c>
      <c r="X2244" s="213" t="str">
        <f>IFERROR(__xludf.DUMMYFUNCTION("""COMPUTED_VALUE"""),"Pepperl+Fuchs")</f>
        <v>Pepperl+Fuchs</v>
      </c>
      <c r="Y2244" s="213" t="str">
        <f>IFERROR(__xludf.DUMMYFUNCTION("""COMPUTED_VALUE"""),"OBR12M-R101-2EP-IO-V31-L")</f>
        <v>OBR12M-R101-2EP-IO-V31-L</v>
      </c>
      <c r="Z2244" s="213" t="str">
        <f>IFERROR(__xludf.DUMMYFUNCTION("""COMPUTED_VALUE"""),"SENSORES FOTOELÉCTRICOS_FT.pdf")</f>
        <v>SENSORES FOTOELÉCTRICOS_FT.pdf</v>
      </c>
      <c r="AA2244" s="213" t="str">
        <f>IFERROR(__xludf.DUMMYFUNCTION("""COMPUTED_VALUE"""),"ESP-342 SENSORES FOTOELÉCTRICOS - CET.xlsx")</f>
        <v>ESP-342 SENSORES FOTOELÉCTRICOS - CET.xlsx</v>
      </c>
      <c r="AB2244" s="215" t="str">
        <f>IFERROR(__xludf.DUMMYFUNCTION("""COMPUTED_VALUE"""),"https://drive.google.com/file/d/1XrVhpMFbXO1xbA4La0C-Hjfyfv9aQW8g/view?usp=drive_link")</f>
        <v>https://drive.google.com/file/d/1XrVhpMFbXO1xbA4La0C-Hjfyfv9aQW8g/view?usp=drive_link</v>
      </c>
      <c r="AC2244" s="213"/>
      <c r="AD2244" s="213"/>
      <c r="AE2244" s="213"/>
      <c r="AF2244" s="213"/>
      <c r="AG2244" s="213"/>
      <c r="AH2244" s="213"/>
      <c r="AI2244" s="213"/>
      <c r="AJ2244" s="213"/>
      <c r="AK2244" s="213"/>
      <c r="AL2244" s="213"/>
      <c r="AM2244" s="213"/>
      <c r="AN2244" s="213"/>
      <c r="AO2244" s="213"/>
      <c r="AP2244" s="213" t="str">
        <f>IFERROR(__xludf.DUMMYFUNCTION("""COMPUTED_VALUE"""),"JORGE")</f>
        <v>JORGE</v>
      </c>
      <c r="AQ2244" s="213"/>
      <c r="AR2244" s="213"/>
      <c r="AS2244" s="213"/>
      <c r="AT2244" s="213"/>
      <c r="AU2244" s="213"/>
      <c r="AV2244" s="213"/>
      <c r="AW2244" s="213"/>
      <c r="AX2244" s="213"/>
      <c r="AY2244" s="213"/>
      <c r="AZ2244" s="213"/>
      <c r="BA2244" s="213"/>
      <c r="BB2244" s="213"/>
      <c r="BC2244" s="213"/>
      <c r="BD2244" s="213"/>
    </row>
    <row r="2245">
      <c r="A2245" s="213">
        <f>IFERROR(__xludf.DUMMYFUNCTION("""COMPUTED_VALUE"""),901.0)</f>
        <v>901</v>
      </c>
      <c r="B2245" s="213" t="str">
        <f>IFERROR(__xludf.DUMMYFUNCTION("""COMPUTED_VALUE"""),"6049 RICARDO PALMA")</f>
        <v>6049 RICARDO PALMA</v>
      </c>
      <c r="C2245" s="213" t="str">
        <f>IFERROR(__xludf.DUMMYFUNCTION("""COMPUTED_VALUE"""),"TALLER SFT DE ELECTRICIDAD")</f>
        <v>TALLER SFT DE ELECTRICIDAD</v>
      </c>
      <c r="D2245" s="213" t="str">
        <f>IFERROR(__xludf.DUMMYFUNCTION("""COMPUTED_VALUE"""),"EQUIPOS")</f>
        <v>EQUIPOS</v>
      </c>
      <c r="E2245" s="213" t="str">
        <f>IFERROR(__xludf.DUMMYFUNCTION("""COMPUTED_VALUE"""),"ESP-342")</f>
        <v>ESP-342</v>
      </c>
      <c r="F2245" s="213" t="str">
        <f>IFERROR(__xludf.DUMMYFUNCTION("""COMPUTED_VALUE"""),"ESP-342")</f>
        <v>ESP-342</v>
      </c>
      <c r="G2245" s="213"/>
      <c r="H2245" s="213" t="str">
        <f>IFERROR(__xludf.DUMMYFUNCTION("""COMPUTED_VALUE"""),"SENSORES FOTOELÉCTRICOS")</f>
        <v>SENSORES FOTOELÉCTRICOS</v>
      </c>
      <c r="I2245" s="213" t="str">
        <f>IFERROR(__xludf.DUMMYFUNCTION("""COMPUTED_VALUE"""),"· Características:
- Tiempo de respuesta: menor a 0,25 ms.
- Alcance: hasta 2m min.
- Sensibilidad a la suciedad casi nula.")</f>
        <v>· Características:
- Tiempo de respuesta: menor a 0,25 ms.
- Alcance: hasta 2m min.
- Sensibilidad a la suciedad casi nula.</v>
      </c>
      <c r="J2245" s="213">
        <f>IFERROR(__xludf.DUMMYFUNCTION("""COMPUTED_VALUE"""),3.0)</f>
        <v>3</v>
      </c>
      <c r="K2245" s="213" t="str">
        <f>IFERROR(__xludf.DUMMYFUNCTION("""COMPUTED_VALUE"""),"170 DÍAS CALENDARIO")</f>
        <v>170 DÍAS CALENDARIO</v>
      </c>
      <c r="L2245" s="213" t="str">
        <f>IFERROR(__xludf.DUMMYFUNCTION("""COMPUTED_VALUE"""),"")</f>
        <v/>
      </c>
      <c r="M2245" s="213">
        <f>IFERROR(__xludf.DUMMYFUNCTION("""COMPUTED_VALUE"""),1.0)</f>
        <v>1</v>
      </c>
      <c r="N2245" s="213">
        <f>IFERROR(__xludf.DUMMYFUNCTION("""COMPUTED_VALUE"""),4.0)</f>
        <v>4</v>
      </c>
      <c r="O2245" s="213">
        <f>IFERROR(__xludf.DUMMYFUNCTION("""COMPUTED_VALUE"""),4.0)</f>
        <v>4</v>
      </c>
      <c r="P2245" s="213"/>
      <c r="Q2245" s="213"/>
      <c r="R2245" s="213"/>
      <c r="S2245" s="213" t="str">
        <f>IFERROR(__xludf.DUMMYFUNCTION("""COMPUTED_VALUE"""),"SI")</f>
        <v>SI</v>
      </c>
      <c r="T2245" s="213" t="str">
        <f>IFERROR(__xludf.DUMMYFUNCTION("""COMPUTED_VALUE"""),"SI")</f>
        <v>SI</v>
      </c>
      <c r="U2245" s="213" t="str">
        <f>IFERROR(__xludf.DUMMYFUNCTION("""COMPUTED_VALUE"""),"SI")</f>
        <v>SI</v>
      </c>
      <c r="V2245" s="213" t="str">
        <f>IFERROR(__xludf.DUMMYFUNCTION("""COMPUTED_VALUE"""),"-")</f>
        <v>-</v>
      </c>
      <c r="W2245" s="213" t="str">
        <f>IFERROR(__xludf.DUMMYFUNCTION("""COMPUTED_VALUE"""),"-")</f>
        <v>-</v>
      </c>
      <c r="X2245" s="213" t="str">
        <f>IFERROR(__xludf.DUMMYFUNCTION("""COMPUTED_VALUE"""),"Pepperl+Fuchs")</f>
        <v>Pepperl+Fuchs</v>
      </c>
      <c r="Y2245" s="213" t="str">
        <f>IFERROR(__xludf.DUMMYFUNCTION("""COMPUTED_VALUE"""),"OBR12M-R101-2EP-IO-V31-L")</f>
        <v>OBR12M-R101-2EP-IO-V31-L</v>
      </c>
      <c r="Z2245" s="213" t="str">
        <f>IFERROR(__xludf.DUMMYFUNCTION("""COMPUTED_VALUE"""),"SENSORES FOTOELÉCTRICOS_FT.pdf")</f>
        <v>SENSORES FOTOELÉCTRICOS_FT.pdf</v>
      </c>
      <c r="AA2245" s="213" t="str">
        <f>IFERROR(__xludf.DUMMYFUNCTION("""COMPUTED_VALUE"""),"ESP-342 SENSORES FOTOELÉCTRICOS - CET.xlsx")</f>
        <v>ESP-342 SENSORES FOTOELÉCTRICOS - CET.xlsx</v>
      </c>
      <c r="AB2245" s="215" t="str">
        <f>IFERROR(__xludf.DUMMYFUNCTION("""COMPUTED_VALUE"""),"https://drive.google.com/file/d/1XrVhpMFbXO1xbA4La0C-Hjfyfv9aQW8g/view?usp=drive_link")</f>
        <v>https://drive.google.com/file/d/1XrVhpMFbXO1xbA4La0C-Hjfyfv9aQW8g/view?usp=drive_link</v>
      </c>
      <c r="AC2245" s="213"/>
      <c r="AD2245" s="213"/>
      <c r="AE2245" s="213"/>
      <c r="AF2245" s="213"/>
      <c r="AG2245" s="213"/>
      <c r="AH2245" s="213"/>
      <c r="AI2245" s="213"/>
      <c r="AJ2245" s="213"/>
      <c r="AK2245" s="213"/>
      <c r="AL2245" s="213"/>
      <c r="AM2245" s="213"/>
      <c r="AN2245" s="213"/>
      <c r="AO2245" s="213"/>
      <c r="AP2245" s="213" t="str">
        <f>IFERROR(__xludf.DUMMYFUNCTION("""COMPUTED_VALUE"""),"JORGE")</f>
        <v>JORGE</v>
      </c>
      <c r="AQ2245" s="213"/>
      <c r="AR2245" s="213"/>
      <c r="AS2245" s="213"/>
      <c r="AT2245" s="213"/>
      <c r="AU2245" s="213"/>
      <c r="AV2245" s="213"/>
      <c r="AW2245" s="213"/>
      <c r="AX2245" s="213"/>
      <c r="AY2245" s="213"/>
      <c r="AZ2245" s="213"/>
      <c r="BA2245" s="213"/>
      <c r="BB2245" s="213"/>
      <c r="BC2245" s="213"/>
      <c r="BD2245" s="213"/>
    </row>
    <row r="2246">
      <c r="A2246" s="213">
        <f>IFERROR(__xludf.DUMMYFUNCTION("""COMPUTED_VALUE"""),1323.0)</f>
        <v>1323</v>
      </c>
      <c r="B2246" s="213" t="str">
        <f>IFERROR(__xludf.DUMMYFUNCTION("""COMPUTED_VALUE"""),"GUILLERMO E. BILLINGHURST ")</f>
        <v>GUILLERMO E. BILLINGHURST </v>
      </c>
      <c r="C2246" s="213" t="str">
        <f>IFERROR(__xludf.DUMMYFUNCTION("""COMPUTED_VALUE"""),"TALLER SFT DE ELECTRICIDAD")</f>
        <v>TALLER SFT DE ELECTRICIDAD</v>
      </c>
      <c r="D2246" s="213" t="str">
        <f>IFERROR(__xludf.DUMMYFUNCTION("""COMPUTED_VALUE"""),"EQUIPOS")</f>
        <v>EQUIPOS</v>
      </c>
      <c r="E2246" s="213" t="str">
        <f>IFERROR(__xludf.DUMMYFUNCTION("""COMPUTED_VALUE"""),"ESP-342")</f>
        <v>ESP-342</v>
      </c>
      <c r="F2246" s="213" t="str">
        <f>IFERROR(__xludf.DUMMYFUNCTION("""COMPUTED_VALUE"""),"ESP-342")</f>
        <v>ESP-342</v>
      </c>
      <c r="G2246" s="213"/>
      <c r="H2246" s="213" t="str">
        <f>IFERROR(__xludf.DUMMYFUNCTION("""COMPUTED_VALUE"""),"SENSORES FOTOELÉCTRICOS")</f>
        <v>SENSORES FOTOELÉCTRICOS</v>
      </c>
      <c r="I2246" s="213" t="str">
        <f>IFERROR(__xludf.DUMMYFUNCTION("""COMPUTED_VALUE"""),"· Características:
- Tiempo de respuesta: menor a 0,25 ms.
- Alcance: hasta 2m min.
- Sensibilidad a la suciedad casi nula.")</f>
        <v>· Características:
- Tiempo de respuesta: menor a 0,25 ms.
- Alcance: hasta 2m min.
- Sensibilidad a la suciedad casi nula.</v>
      </c>
      <c r="J2246" s="213">
        <f>IFERROR(__xludf.DUMMYFUNCTION("""COMPUTED_VALUE"""),3.0)</f>
        <v>3</v>
      </c>
      <c r="K2246" s="213" t="str">
        <f>IFERROR(__xludf.DUMMYFUNCTION("""COMPUTED_VALUE"""),"170 DÍAS CALENDARIO")</f>
        <v>170 DÍAS CALENDARIO</v>
      </c>
      <c r="L2246" s="213" t="str">
        <f>IFERROR(__xludf.DUMMYFUNCTION("""COMPUTED_VALUE"""),"")</f>
        <v/>
      </c>
      <c r="M2246" s="213">
        <f>IFERROR(__xludf.DUMMYFUNCTION("""COMPUTED_VALUE"""),1.0)</f>
        <v>1</v>
      </c>
      <c r="N2246" s="213">
        <f>IFERROR(__xludf.DUMMYFUNCTION("""COMPUTED_VALUE"""),4.0)</f>
        <v>4</v>
      </c>
      <c r="O2246" s="213">
        <f>IFERROR(__xludf.DUMMYFUNCTION("""COMPUTED_VALUE"""),4.0)</f>
        <v>4</v>
      </c>
      <c r="P2246" s="213"/>
      <c r="Q2246" s="213"/>
      <c r="R2246" s="213"/>
      <c r="S2246" s="213" t="str">
        <f>IFERROR(__xludf.DUMMYFUNCTION("""COMPUTED_VALUE"""),"SI")</f>
        <v>SI</v>
      </c>
      <c r="T2246" s="213" t="str">
        <f>IFERROR(__xludf.DUMMYFUNCTION("""COMPUTED_VALUE"""),"SI")</f>
        <v>SI</v>
      </c>
      <c r="U2246" s="213" t="str">
        <f>IFERROR(__xludf.DUMMYFUNCTION("""COMPUTED_VALUE"""),"SI")</f>
        <v>SI</v>
      </c>
      <c r="V2246" s="213" t="str">
        <f>IFERROR(__xludf.DUMMYFUNCTION("""COMPUTED_VALUE"""),"-")</f>
        <v>-</v>
      </c>
      <c r="W2246" s="213" t="str">
        <f>IFERROR(__xludf.DUMMYFUNCTION("""COMPUTED_VALUE"""),"-")</f>
        <v>-</v>
      </c>
      <c r="X2246" s="213" t="str">
        <f>IFERROR(__xludf.DUMMYFUNCTION("""COMPUTED_VALUE"""),"Pepperl+Fuchs")</f>
        <v>Pepperl+Fuchs</v>
      </c>
      <c r="Y2246" s="213" t="str">
        <f>IFERROR(__xludf.DUMMYFUNCTION("""COMPUTED_VALUE"""),"OBR12M-R101-2EP-IO-V31-L")</f>
        <v>OBR12M-R101-2EP-IO-V31-L</v>
      </c>
      <c r="Z2246" s="213" t="str">
        <f>IFERROR(__xludf.DUMMYFUNCTION("""COMPUTED_VALUE"""),"SENSORES FOTOELÉCTRICOS_FT.pdf")</f>
        <v>SENSORES FOTOELÉCTRICOS_FT.pdf</v>
      </c>
      <c r="AA2246" s="213" t="str">
        <f>IFERROR(__xludf.DUMMYFUNCTION("""COMPUTED_VALUE"""),"ESP-342 SENSORES FOTOELÉCTRICOS - CET.xlsx")</f>
        <v>ESP-342 SENSORES FOTOELÉCTRICOS - CET.xlsx</v>
      </c>
      <c r="AB2246" s="215" t="str">
        <f>IFERROR(__xludf.DUMMYFUNCTION("""COMPUTED_VALUE"""),"https://drive.google.com/file/d/1XrVhpMFbXO1xbA4La0C-Hjfyfv9aQW8g/view?usp=drive_link")</f>
        <v>https://drive.google.com/file/d/1XrVhpMFbXO1xbA4La0C-Hjfyfv9aQW8g/view?usp=drive_link</v>
      </c>
      <c r="AC2246" s="213"/>
      <c r="AD2246" s="213"/>
      <c r="AE2246" s="213"/>
      <c r="AF2246" s="213"/>
      <c r="AG2246" s="213"/>
      <c r="AH2246" s="213"/>
      <c r="AI2246" s="213"/>
      <c r="AJ2246" s="213"/>
      <c r="AK2246" s="213"/>
      <c r="AL2246" s="213"/>
      <c r="AM2246" s="213"/>
      <c r="AN2246" s="213"/>
      <c r="AO2246" s="213"/>
      <c r="AP2246" s="213" t="str">
        <f>IFERROR(__xludf.DUMMYFUNCTION("""COMPUTED_VALUE"""),"JORGE")</f>
        <v>JORGE</v>
      </c>
      <c r="AQ2246" s="213"/>
      <c r="AR2246" s="213"/>
      <c r="AS2246" s="213"/>
      <c r="AT2246" s="213"/>
      <c r="AU2246" s="213"/>
      <c r="AV2246" s="213"/>
      <c r="AW2246" s="213"/>
      <c r="AX2246" s="213"/>
      <c r="AY2246" s="213"/>
      <c r="AZ2246" s="213"/>
      <c r="BA2246" s="213"/>
      <c r="BB2246" s="213"/>
      <c r="BC2246" s="213"/>
      <c r="BD2246" s="213"/>
    </row>
    <row r="2247">
      <c r="A2247" s="213">
        <f>IFERROR(__xludf.DUMMYFUNCTION("""COMPUTED_VALUE"""),501.0)</f>
        <v>501</v>
      </c>
      <c r="B2247" s="213" t="str">
        <f>IFERROR(__xludf.DUMMYFUNCTION("""COMPUTED_VALUE"""),"2026 SIMON BOLIVAR")</f>
        <v>2026 SIMON BOLIVAR</v>
      </c>
      <c r="C2247" s="213" t="str">
        <f>IFERROR(__xludf.DUMMYFUNCTION("""COMPUTED_VALUE"""),"TALLER SFT DE INDUSTRIA ALIMENTARIA")</f>
        <v>TALLER SFT DE INDUSTRIA ALIMENTARIA</v>
      </c>
      <c r="D2247" s="213" t="str">
        <f>IFERROR(__xludf.DUMMYFUNCTION("""COMPUTED_VALUE"""),"HERRAMIENTAS")</f>
        <v>HERRAMIENTAS</v>
      </c>
      <c r="E2247" s="213" t="str">
        <f>IFERROR(__xludf.DUMMYFUNCTION("""COMPUTED_VALUE"""),"MAT-392")</f>
        <v>MAT-392</v>
      </c>
      <c r="F2247" s="213" t="str">
        <f>IFERROR(__xludf.DUMMYFUNCTION("""COMPUTED_VALUE"""),"MAT-392")</f>
        <v>MAT-392</v>
      </c>
      <c r="G2247" s="213"/>
      <c r="H2247" s="213" t="str">
        <f>IFERROR(__xludf.DUMMYFUNCTION("""COMPUTED_VALUE"""),"OLLA 10 LITROS")</f>
        <v>OLLA 10 LITROS</v>
      </c>
      <c r="I2247" s="213" t="str">
        <f>IFERROR(__xludf.DUMMYFUNCTION("""COMPUTED_VALUE"""),"· Material: Acero inoxidable
· Fondo inducción con placa de aluminio en su interior, mejora la distribución del calor
· Capacidad 10 litros
· Espesor lados: 1mm mínimo.
· Espesor de la base: 3mm  mínimo.
· Alto: 19cm  mínimo.
· Diámetro 28cm  mínimo.")</f>
        <v>· Material: Acero inoxidable
· Fondo inducción con placa de aluminio en su interior, mejora la distribución del calor
· Capacidad 10 litros
· Espesor lados: 1mm mínimo.
· Espesor de la base: 3mm  mínimo.
· Alto: 19cm  mínimo.
· Diámetro 28cm  mínimo.</v>
      </c>
      <c r="J2247" s="213">
        <f>IFERROR(__xludf.DUMMYFUNCTION("""COMPUTED_VALUE"""),3.0)</f>
        <v>3</v>
      </c>
      <c r="K2247" s="213" t="str">
        <f>IFERROR(__xludf.DUMMYFUNCTION("""COMPUTED_VALUE"""),"90 DÍAS CALENDARIO")</f>
        <v>90 DÍAS CALENDARIO</v>
      </c>
      <c r="L2247" s="213" t="str">
        <f>IFERROR(__xludf.DUMMYFUNCTION("""COMPUTED_VALUE"""),"")</f>
        <v/>
      </c>
      <c r="M2247" s="213">
        <f>IFERROR(__xludf.DUMMYFUNCTION("""COMPUTED_VALUE"""),1.0)</f>
        <v>1</v>
      </c>
      <c r="N2247" s="213">
        <f>IFERROR(__xludf.DUMMYFUNCTION("""COMPUTED_VALUE"""),2.0)</f>
        <v>2</v>
      </c>
      <c r="O2247" s="213">
        <f>IFERROR(__xludf.DUMMYFUNCTION("""COMPUTED_VALUE"""),2.0)</f>
        <v>2</v>
      </c>
      <c r="P2247" s="213"/>
      <c r="Q2247" s="213"/>
      <c r="R2247" s="213" t="str">
        <f>IFERROR(__xludf.DUMMYFUNCTION("""COMPUTED_VALUE"""),"SI")</f>
        <v>SI</v>
      </c>
      <c r="S2247" s="213"/>
      <c r="T2247" s="213" t="str">
        <f>IFERROR(__xludf.DUMMYFUNCTION("""COMPUTED_VALUE"""),"CONSULTA FINAL")</f>
        <v>CONSULTA FINAL</v>
      </c>
      <c r="U2247" s="213" t="str">
        <f>IFERROR(__xludf.DUMMYFUNCTION("""COMPUTED_VALUE"""),"NO")</f>
        <v>NO</v>
      </c>
      <c r="V2247" s="213" t="str">
        <f>IFERROR(__xludf.DUMMYFUNCTION("""COMPUTED_VALUE"""),"SUSTENTO")</f>
        <v>SUSTENTO</v>
      </c>
      <c r="W2247" s="213" t="str">
        <f>IFERROR(__xludf.DUMMYFUNCTION("""COMPUTED_VALUE"""),"DIMENSIONAL")</f>
        <v>DIMENSIONAL</v>
      </c>
      <c r="X2247" s="213" t="str">
        <f>IFERROR(__xludf.DUMMYFUNCTION("""COMPUTED_VALUE"""),"TEAMFAR")</f>
        <v>TEAMFAR</v>
      </c>
      <c r="Y2247" s="213" t="str">
        <f>IFERROR(__xludf.DUMMYFUNCTION("""COMPUTED_VALUE"""),"TEAMFAR")</f>
        <v>TEAMFAR</v>
      </c>
      <c r="Z2247" s="215" t="str">
        <f>IFERROR(__xludf.DUMMYFUNCTION("""COMPUTED_VALUE"""),"https://www.amazon.com/-/es/inoxidable-inferior-inducci%C3%B3n-saludable-resistente/dp/B0D22MDF9Y/ref=sr_1_14?crid=17Y0BY3Y5LBF2&amp;dib=eyJ2IjoiMSJ9.NPjiVxPGx1MtggfVC_gJRD370f2ciqQLAQGMdtxDIwWJf_Ei08skr3DcciU1VOA2SUcvWj7cNv7jSND0LgSPbueeJHPP8kRw80bKnMKEi56jc"&amp;"s-avDcqWGlB3fkct5s_K2iYRMZfpRQ7AZQtByaff27jh1QhU3PSnuL85Re2HBUNHrgPpzj2rcFBrKPUseDgxsvkJYTY33WNVyf1B3o_HVNhhcKbpcfF_sn0lwPi9-k.6Q61sDR7t_F5AEoQUrVi8uBXoqR_nVdsNjmdMuqkF7g&amp;dib_tag=se&amp;keywords=olla%2B10%2Blitros%2Bacero%2Binoxidable&amp;qid=1759155238&amp;sprefix=o"&amp;"lla%2B10%2Blitros%2Bacero%2Binoxidable%2Caps%2C243&amp;sr=8-14&amp;th=1")</f>
        <v>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v>
      </c>
      <c r="AA2247" s="213" t="str">
        <f>IFERROR(__xludf.DUMMYFUNCTION("""COMPUTED_VALUE"""),"MAT-392 OLLA 10 LITROS - CET")</f>
        <v>MAT-392 OLLA 10 LITROS - CET</v>
      </c>
      <c r="AB2247" s="213"/>
      <c r="AC2247" s="213"/>
      <c r="AD2247" s="213"/>
      <c r="AE2247" s="213"/>
      <c r="AF2247" s="213"/>
      <c r="AG2247" s="213"/>
      <c r="AH2247" s="213"/>
      <c r="AI2247" s="213"/>
      <c r="AJ2247" s="213"/>
      <c r="AK2247" s="213"/>
      <c r="AL2247" s="213"/>
      <c r="AM2247" s="213"/>
      <c r="AN2247" s="213"/>
      <c r="AO2247" s="213"/>
      <c r="AP2247" s="213" t="str">
        <f>IFERROR(__xludf.DUMMYFUNCTION("""COMPUTED_VALUE"""),"LUIS")</f>
        <v>LUIS</v>
      </c>
      <c r="AQ2247" s="213"/>
      <c r="AR2247" s="213"/>
      <c r="AS2247" s="213"/>
      <c r="AT2247" s="213"/>
      <c r="AU2247" s="213"/>
      <c r="AV2247" s="213"/>
      <c r="AW2247" s="213"/>
      <c r="AX2247" s="213"/>
      <c r="AY2247" s="213"/>
      <c r="AZ2247" s="213"/>
      <c r="BA2247" s="213"/>
      <c r="BB2247" s="213"/>
      <c r="BC2247" s="213"/>
      <c r="BD2247" s="213"/>
    </row>
    <row r="2248">
      <c r="A2248" s="213">
        <f>IFERROR(__xludf.DUMMYFUNCTION("""COMPUTED_VALUE"""),1105.0)</f>
        <v>1105</v>
      </c>
      <c r="B2248" s="213" t="str">
        <f>IFERROR(__xludf.DUMMYFUNCTION("""COMPUTED_VALUE"""),"FRANCISCO IRAZOLA")</f>
        <v>FRANCISCO IRAZOLA</v>
      </c>
      <c r="C2248" s="213" t="str">
        <f>IFERROR(__xludf.DUMMYFUNCTION("""COMPUTED_VALUE"""),"TALLER SFT DE INDUSTRIA ALIMENTARIA")</f>
        <v>TALLER SFT DE INDUSTRIA ALIMENTARIA</v>
      </c>
      <c r="D2248" s="213" t="str">
        <f>IFERROR(__xludf.DUMMYFUNCTION("""COMPUTED_VALUE"""),"HERRAMIENTAS")</f>
        <v>HERRAMIENTAS</v>
      </c>
      <c r="E2248" s="213" t="str">
        <f>IFERROR(__xludf.DUMMYFUNCTION("""COMPUTED_VALUE"""),"MAT-392")</f>
        <v>MAT-392</v>
      </c>
      <c r="F2248" s="213" t="str">
        <f>IFERROR(__xludf.DUMMYFUNCTION("""COMPUTED_VALUE"""),"MAT-392")</f>
        <v>MAT-392</v>
      </c>
      <c r="G2248" s="213"/>
      <c r="H2248" s="213" t="str">
        <f>IFERROR(__xludf.DUMMYFUNCTION("""COMPUTED_VALUE"""),"OLLA 10 LITROS")</f>
        <v>OLLA 10 LITROS</v>
      </c>
      <c r="I2248" s="213" t="str">
        <f>IFERROR(__xludf.DUMMYFUNCTION("""COMPUTED_VALUE"""),"· Material: Acero inoxidable
· Fondo inducción con placa de aluminio en su interior, mejora la distribución del calor
· Capacidad 10 litros
· Espesor lados: 1mm mínimo.
· Espesor de la base: 3mm  mínimo.
· Alto: 19cm  mínimo.
· Diámetro 28cm  mínimo.")</f>
        <v>· Material: Acero inoxidable
· Fondo inducción con placa de aluminio en su interior, mejora la distribución del calor
· Capacidad 10 litros
· Espesor lados: 1mm mínimo.
· Espesor de la base: 3mm  mínimo.
· Alto: 19cm  mínimo.
· Diámetro 28cm  mínimo.</v>
      </c>
      <c r="J2248" s="213">
        <f>IFERROR(__xludf.DUMMYFUNCTION("""COMPUTED_VALUE"""),3.0)</f>
        <v>3</v>
      </c>
      <c r="K2248" s="213" t="str">
        <f>IFERROR(__xludf.DUMMYFUNCTION("""COMPUTED_VALUE"""),"90 DÍAS CALENDARIO")</f>
        <v>90 DÍAS CALENDARIO</v>
      </c>
      <c r="L2248" s="213" t="str">
        <f>IFERROR(__xludf.DUMMYFUNCTION("""COMPUTED_VALUE"""),"")</f>
        <v/>
      </c>
      <c r="M2248" s="213">
        <f>IFERROR(__xludf.DUMMYFUNCTION("""COMPUTED_VALUE"""),1.0)</f>
        <v>1</v>
      </c>
      <c r="N2248" s="213">
        <f>IFERROR(__xludf.DUMMYFUNCTION("""COMPUTED_VALUE"""),2.0)</f>
        <v>2</v>
      </c>
      <c r="O2248" s="213">
        <f>IFERROR(__xludf.DUMMYFUNCTION("""COMPUTED_VALUE"""),2.0)</f>
        <v>2</v>
      </c>
      <c r="P2248" s="213"/>
      <c r="Q2248" s="213"/>
      <c r="R2248" s="213" t="str">
        <f>IFERROR(__xludf.DUMMYFUNCTION("""COMPUTED_VALUE"""),"SI")</f>
        <v>SI</v>
      </c>
      <c r="S2248" s="213"/>
      <c r="T2248" s="213" t="str">
        <f>IFERROR(__xludf.DUMMYFUNCTION("""COMPUTED_VALUE"""),"CONSULTA FINAL")</f>
        <v>CONSULTA FINAL</v>
      </c>
      <c r="U2248" s="213" t="str">
        <f>IFERROR(__xludf.DUMMYFUNCTION("""COMPUTED_VALUE"""),"NO")</f>
        <v>NO</v>
      </c>
      <c r="V2248" s="213" t="str">
        <f>IFERROR(__xludf.DUMMYFUNCTION("""COMPUTED_VALUE"""),"SUSTENTO")</f>
        <v>SUSTENTO</v>
      </c>
      <c r="W2248" s="213" t="str">
        <f>IFERROR(__xludf.DUMMYFUNCTION("""COMPUTED_VALUE"""),"DIMENSIONAL")</f>
        <v>DIMENSIONAL</v>
      </c>
      <c r="X2248" s="213" t="str">
        <f>IFERROR(__xludf.DUMMYFUNCTION("""COMPUTED_VALUE"""),"TEAMFAR")</f>
        <v>TEAMFAR</v>
      </c>
      <c r="Y2248" s="213" t="str">
        <f>IFERROR(__xludf.DUMMYFUNCTION("""COMPUTED_VALUE"""),"TEAMFAR")</f>
        <v>TEAMFAR</v>
      </c>
      <c r="Z2248" s="215" t="str">
        <f>IFERROR(__xludf.DUMMYFUNCTION("""COMPUTED_VALUE"""),"https://www.amazon.com/-/es/inoxidable-inferior-inducci%C3%B3n-saludable-resistente/dp/B0D22MDF9Y/ref=sr_1_14?crid=17Y0BY3Y5LBF2&amp;dib=eyJ2IjoiMSJ9.NPjiVxPGx1MtggfVC_gJRD370f2ciqQLAQGMdtxDIwWJf_Ei08skr3DcciU1VOA2SUcvWj7cNv7jSND0LgSPbueeJHPP8kRw80bKnMKEi56jc"&amp;"s-avDcqWGlB3fkct5s_K2iYRMZfpRQ7AZQtByaff27jh1QhU3PSnuL85Re2HBUNHrgPpzj2rcFBrKPUseDgxsvkJYTY33WNVyf1B3o_HVNhhcKbpcfF_sn0lwPi9-k.6Q61sDR7t_F5AEoQUrVi8uBXoqR_nVdsNjmdMuqkF7g&amp;dib_tag=se&amp;keywords=olla%2B10%2Blitros%2Bacero%2Binoxidable&amp;qid=1759155238&amp;sprefix=o"&amp;"lla%2B10%2Blitros%2Bacero%2Binoxidable%2Caps%2C243&amp;sr=8-14&amp;th=1")</f>
        <v>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v>
      </c>
      <c r="AA2248" s="213" t="str">
        <f>IFERROR(__xludf.DUMMYFUNCTION("""COMPUTED_VALUE"""),"MAT-392 OLLA 10 LITROS - CET")</f>
        <v>MAT-392 OLLA 10 LITROS - CET</v>
      </c>
      <c r="AB2248" s="213"/>
      <c r="AC2248" s="213"/>
      <c r="AD2248" s="213"/>
      <c r="AE2248" s="213"/>
      <c r="AF2248" s="213"/>
      <c r="AG2248" s="213"/>
      <c r="AH2248" s="213"/>
      <c r="AI2248" s="213"/>
      <c r="AJ2248" s="213"/>
      <c r="AK2248" s="213"/>
      <c r="AL2248" s="213"/>
      <c r="AM2248" s="213"/>
      <c r="AN2248" s="213"/>
      <c r="AO2248" s="213"/>
      <c r="AP2248" s="213" t="str">
        <f>IFERROR(__xludf.DUMMYFUNCTION("""COMPUTED_VALUE"""),"LUIS")</f>
        <v>LUIS</v>
      </c>
      <c r="AQ2248" s="213"/>
      <c r="AR2248" s="213"/>
      <c r="AS2248" s="213"/>
      <c r="AT2248" s="213"/>
      <c r="AU2248" s="213"/>
      <c r="AV2248" s="213"/>
      <c r="AW2248" s="213"/>
      <c r="AX2248" s="213"/>
      <c r="AY2248" s="213"/>
      <c r="AZ2248" s="213"/>
      <c r="BA2248" s="213"/>
      <c r="BB2248" s="213"/>
      <c r="BC2248" s="213"/>
      <c r="BD2248" s="213"/>
    </row>
    <row r="2249">
      <c r="A2249" s="213">
        <f>IFERROR(__xludf.DUMMYFUNCTION("""COMPUTED_VALUE"""),1131.0)</f>
        <v>1131</v>
      </c>
      <c r="B2249" s="213" t="str">
        <f>IFERROR(__xludf.DUMMYFUNCTION("""COMPUTED_VALUE"""),"FRANCISCO IRAZOLA")</f>
        <v>FRANCISCO IRAZOLA</v>
      </c>
      <c r="C2249" s="213" t="str">
        <f>IFERROR(__xludf.DUMMYFUNCTION("""COMPUTED_VALUE"""),"TALLER SFT DE INDUSTRIA ALIMENTARIA")</f>
        <v>TALLER SFT DE INDUSTRIA ALIMENTARIA</v>
      </c>
      <c r="D2249" s="213" t="str">
        <f>IFERROR(__xludf.DUMMYFUNCTION("""COMPUTED_VALUE"""),"HERRAMIENTAS")</f>
        <v>HERRAMIENTAS</v>
      </c>
      <c r="E2249" s="213" t="str">
        <f>IFERROR(__xludf.DUMMYFUNCTION("""COMPUTED_VALUE"""),"MAT-392")</f>
        <v>MAT-392</v>
      </c>
      <c r="F2249" s="213" t="str">
        <f>IFERROR(__xludf.DUMMYFUNCTION("""COMPUTED_VALUE"""),"MAT-392")</f>
        <v>MAT-392</v>
      </c>
      <c r="G2249" s="213"/>
      <c r="H2249" s="213" t="str">
        <f>IFERROR(__xludf.DUMMYFUNCTION("""COMPUTED_VALUE"""),"OLLA 10 LITROS")</f>
        <v>OLLA 10 LITROS</v>
      </c>
      <c r="I2249" s="213" t="str">
        <f>IFERROR(__xludf.DUMMYFUNCTION("""COMPUTED_VALUE"""),"· Material: Acero inoxidable
· Fondo inducción con placa de aluminio en su interior, mejora la distribución del calor
· Capacidad 10 litros
· Espesor lados: 1mm mínimo.
· Espesor de la base: 3mm  mínimo.
· Alto: 19cm  mínimo.
· Diámetro 28cm  mínimo.")</f>
        <v>· Material: Acero inoxidable
· Fondo inducción con placa de aluminio en su interior, mejora la distribución del calor
· Capacidad 10 litros
· Espesor lados: 1mm mínimo.
· Espesor de la base: 3mm  mínimo.
· Alto: 19cm  mínimo.
· Diámetro 28cm  mínimo.</v>
      </c>
      <c r="J2249" s="213">
        <f>IFERROR(__xludf.DUMMYFUNCTION("""COMPUTED_VALUE"""),3.0)</f>
        <v>3</v>
      </c>
      <c r="K2249" s="213" t="str">
        <f>IFERROR(__xludf.DUMMYFUNCTION("""COMPUTED_VALUE"""),"90 DÍAS CALENDARIO")</f>
        <v>90 DÍAS CALENDARIO</v>
      </c>
      <c r="L2249" s="213" t="str">
        <f>IFERROR(__xludf.DUMMYFUNCTION("""COMPUTED_VALUE"""),"")</f>
        <v/>
      </c>
      <c r="M2249" s="213">
        <f>IFERROR(__xludf.DUMMYFUNCTION("""COMPUTED_VALUE"""),1.0)</f>
        <v>1</v>
      </c>
      <c r="N2249" s="213">
        <f>IFERROR(__xludf.DUMMYFUNCTION("""COMPUTED_VALUE"""),2.0)</f>
        <v>2</v>
      </c>
      <c r="O2249" s="213">
        <f>IFERROR(__xludf.DUMMYFUNCTION("""COMPUTED_VALUE"""),2.0)</f>
        <v>2</v>
      </c>
      <c r="P2249" s="213"/>
      <c r="Q2249" s="213"/>
      <c r="R2249" s="213" t="str">
        <f>IFERROR(__xludf.DUMMYFUNCTION("""COMPUTED_VALUE"""),"SI")</f>
        <v>SI</v>
      </c>
      <c r="S2249" s="213"/>
      <c r="T2249" s="213" t="str">
        <f>IFERROR(__xludf.DUMMYFUNCTION("""COMPUTED_VALUE"""),"CONSULTA FINAL")</f>
        <v>CONSULTA FINAL</v>
      </c>
      <c r="U2249" s="213" t="str">
        <f>IFERROR(__xludf.DUMMYFUNCTION("""COMPUTED_VALUE"""),"NO")</f>
        <v>NO</v>
      </c>
      <c r="V2249" s="213" t="str">
        <f>IFERROR(__xludf.DUMMYFUNCTION("""COMPUTED_VALUE"""),"SUSTENTO")</f>
        <v>SUSTENTO</v>
      </c>
      <c r="W2249" s="213" t="str">
        <f>IFERROR(__xludf.DUMMYFUNCTION("""COMPUTED_VALUE"""),"DIMENSIONAL")</f>
        <v>DIMENSIONAL</v>
      </c>
      <c r="X2249" s="213" t="str">
        <f>IFERROR(__xludf.DUMMYFUNCTION("""COMPUTED_VALUE"""),"TEAMFAR")</f>
        <v>TEAMFAR</v>
      </c>
      <c r="Y2249" s="213" t="str">
        <f>IFERROR(__xludf.DUMMYFUNCTION("""COMPUTED_VALUE"""),"TEAMFAR")</f>
        <v>TEAMFAR</v>
      </c>
      <c r="Z2249" s="215" t="str">
        <f>IFERROR(__xludf.DUMMYFUNCTION("""COMPUTED_VALUE"""),"https://www.amazon.com/-/es/inoxidable-inferior-inducci%C3%B3n-saludable-resistente/dp/B0D22MDF9Y/ref=sr_1_14?crid=17Y0BY3Y5LBF2&amp;dib=eyJ2IjoiMSJ9.NPjiVxPGx1MtggfVC_gJRD370f2ciqQLAQGMdtxDIwWJf_Ei08skr3DcciU1VOA2SUcvWj7cNv7jSND0LgSPbueeJHPP8kRw80bKnMKEi56jc"&amp;"s-avDcqWGlB3fkct5s_K2iYRMZfpRQ7AZQtByaff27jh1QhU3PSnuL85Re2HBUNHrgPpzj2rcFBrKPUseDgxsvkJYTY33WNVyf1B3o_HVNhhcKbpcfF_sn0lwPi9-k.6Q61sDR7t_F5AEoQUrVi8uBXoqR_nVdsNjmdMuqkF7g&amp;dib_tag=se&amp;keywords=olla%2B10%2Blitros%2Bacero%2Binoxidable&amp;qid=1759155238&amp;sprefix=o"&amp;"lla%2B10%2Blitros%2Bacero%2Binoxidable%2Caps%2C243&amp;sr=8-14&amp;th=1")</f>
        <v>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v>
      </c>
      <c r="AA2249" s="213" t="str">
        <f>IFERROR(__xludf.DUMMYFUNCTION("""COMPUTED_VALUE"""),"MAT-392 OLLA 10 LITROS - CET")</f>
        <v>MAT-392 OLLA 10 LITROS - CET</v>
      </c>
      <c r="AB2249" s="213"/>
      <c r="AC2249" s="213"/>
      <c r="AD2249" s="213"/>
      <c r="AE2249" s="213"/>
      <c r="AF2249" s="213"/>
      <c r="AG2249" s="213"/>
      <c r="AH2249" s="213"/>
      <c r="AI2249" s="213"/>
      <c r="AJ2249" s="213"/>
      <c r="AK2249" s="213"/>
      <c r="AL2249" s="213"/>
      <c r="AM2249" s="213"/>
      <c r="AN2249" s="213"/>
      <c r="AO2249" s="213"/>
      <c r="AP2249" s="213" t="str">
        <f>IFERROR(__xludf.DUMMYFUNCTION("""COMPUTED_VALUE"""),"LUIS")</f>
        <v>LUIS</v>
      </c>
      <c r="AQ2249" s="213"/>
      <c r="AR2249" s="213"/>
      <c r="AS2249" s="213"/>
      <c r="AT2249" s="213"/>
      <c r="AU2249" s="213"/>
      <c r="AV2249" s="213"/>
      <c r="AW2249" s="213"/>
      <c r="AX2249" s="213"/>
      <c r="AY2249" s="213"/>
      <c r="AZ2249" s="213"/>
      <c r="BA2249" s="213"/>
      <c r="BB2249" s="213"/>
      <c r="BC2249" s="213"/>
      <c r="BD2249" s="213"/>
    </row>
    <row r="2250">
      <c r="A2250" s="213">
        <f>IFERROR(__xludf.DUMMYFUNCTION("""COMPUTED_VALUE"""),1900.0)</f>
        <v>1900</v>
      </c>
      <c r="B2250" s="213" t="str">
        <f>IFERROR(__xludf.DUMMYFUNCTION("""COMPUTED_VALUE"""),"GUILLERMO E. BILLINGHURST ")</f>
        <v>GUILLERMO E. BILLINGHURST </v>
      </c>
      <c r="C2250" s="213" t="str">
        <f>IFERROR(__xludf.DUMMYFUNCTION("""COMPUTED_VALUE"""),"TALLER SFT DE EBANISTERÍA")</f>
        <v>TALLER SFT DE EBANISTERÍA</v>
      </c>
      <c r="D2250" s="213" t="str">
        <f>IFERROR(__xludf.DUMMYFUNCTION("""COMPUTED_VALUE"""),"EQUIPOS")</f>
        <v>EQUIPOS</v>
      </c>
      <c r="E2250" s="213" t="str">
        <f>IFERROR(__xludf.DUMMYFUNCTION("""COMPUTED_VALUE"""),"ESP-344")</f>
        <v>ESP-344</v>
      </c>
      <c r="F2250" s="213" t="str">
        <f>IFERROR(__xludf.DUMMYFUNCTION("""COMPUTED_VALUE"""),"ESP-344")</f>
        <v>ESP-344</v>
      </c>
      <c r="G2250" s="213"/>
      <c r="H2250" s="213" t="str">
        <f>IFERROR(__xludf.DUMMYFUNCTION("""COMPUTED_VALUE"""),"SIERRA CALADORA")</f>
        <v>SIERRA CALADORA</v>
      </c>
      <c r="I2250" s="213" t="str">
        <f>IFERROR(__xludf.DUMMYFUNCTION("""COMPUTED_VALUE"""),"· Facilidad en el cambio de la hoja de sierra.
· Velocidad variable.
· Número de carreras en vacío, entre: 500 - 3100.
· Capacidad de corte en madera, entre: 80 mm - 90 mm.
· Potencia absorbida: 650 W.
· Voltaje, frecuencia: 220 V, 60 Hz.
· Incluye maletí"&amp;"n de transporte.
· Medidas L45cm x A30 cm x H20 cm")</f>
        <v>· Facilidad en el cambio de la hoja de sierra.
· Velocidad variable.
· Número de carreras en vacío, entre: 500 - 3100.
· Capacidad de corte en madera, entre: 80 mm - 90 mm.
· Potencia absorbida: 650 W.
· Voltaje, frecuencia: 220 V, 60 Hz.
· Incluye maletín de transporte.
· Medidas L45cm x A30 cm x H20 cm</v>
      </c>
      <c r="J2250" s="213">
        <f>IFERROR(__xludf.DUMMYFUNCTION("""COMPUTED_VALUE"""),3.0)</f>
        <v>3</v>
      </c>
      <c r="K2250" s="213" t="str">
        <f>IFERROR(__xludf.DUMMYFUNCTION("""COMPUTED_VALUE"""),"170 DÍAS CALENDARIO")</f>
        <v>170 DÍAS CALENDARIO</v>
      </c>
      <c r="L2250" s="213" t="str">
        <f>IFERROR(__xludf.DUMMYFUNCTION("""COMPUTED_VALUE"""),"")</f>
        <v/>
      </c>
      <c r="M2250" s="213">
        <f>IFERROR(__xludf.DUMMYFUNCTION("""COMPUTED_VALUE"""),1.0)</f>
        <v>1</v>
      </c>
      <c r="N2250" s="213">
        <f>IFERROR(__xludf.DUMMYFUNCTION("""COMPUTED_VALUE"""),1.0)</f>
        <v>1</v>
      </c>
      <c r="O2250" s="213">
        <f>IFERROR(__xludf.DUMMYFUNCTION("""COMPUTED_VALUE"""),1.0)</f>
        <v>1</v>
      </c>
      <c r="P2250" s="213"/>
      <c r="Q2250" s="213"/>
      <c r="R2250" s="213"/>
      <c r="S2250" s="213" t="str">
        <f>IFERROR(__xludf.DUMMYFUNCTION("""COMPUTED_VALUE"""),"SI")</f>
        <v>SI</v>
      </c>
      <c r="T2250" s="213" t="str">
        <f>IFERROR(__xludf.DUMMYFUNCTION("""COMPUTED_VALUE"""),"SI")</f>
        <v>SI</v>
      </c>
      <c r="U2250" s="213" t="str">
        <f>IFERROR(__xludf.DUMMYFUNCTION("""COMPUTED_VALUE"""),"SI")</f>
        <v>SI</v>
      </c>
      <c r="V2250" s="213" t="str">
        <f>IFERROR(__xludf.DUMMYFUNCTION("""COMPUTED_VALUE"""),"-")</f>
        <v>-</v>
      </c>
      <c r="W2250" s="213" t="str">
        <f>IFERROR(__xludf.DUMMYFUNCTION("""COMPUTED_VALUE"""),"-")</f>
        <v>-</v>
      </c>
      <c r="X2250" s="213" t="str">
        <f>IFERROR(__xludf.DUMMYFUNCTION("""COMPUTED_VALUE"""),"BOSCH")</f>
        <v>BOSCH</v>
      </c>
      <c r="Y2250" s="213" t="str">
        <f>IFERROR(__xludf.DUMMYFUNCTION("""COMPUTED_VALUE"""),"GST 90 BE PROFESSIONAL")</f>
        <v>GST 90 BE PROFESSIONAL</v>
      </c>
      <c r="Z2250" s="215" t="str">
        <f>IFERROR(__xludf.DUMMYFUNCTION("""COMPUTED_VALUE"""),"https://www.bosch-professional.com/binary/manualsmedia/o224152v21_1_609_92A_2BZ_1406.pdf")</f>
        <v>https://www.bosch-professional.com/binary/manualsmedia/o224152v21_1_609_92A_2BZ_1406.pdf</v>
      </c>
      <c r="AA2250" s="213" t="str">
        <f>IFERROR(__xludf.DUMMYFUNCTION("""COMPUTED_VALUE"""),"ESP-344 SIERRA CALADORA - CET")</f>
        <v>ESP-344 SIERRA CALADORA - CET</v>
      </c>
      <c r="AB2250" s="215" t="str">
        <f>IFERROR(__xludf.DUMMYFUNCTION("""COMPUTED_VALUE"""),"https://drive.google.com/file/d/1l1Lp37hGaiqdnxXy-UAUADJBaKqDuRcR/view?usp=drive_link")</f>
        <v>https://drive.google.com/file/d/1l1Lp37hGaiqdnxXy-UAUADJBaKqDuRcR/view?usp=drive_link</v>
      </c>
      <c r="AC2250" s="213"/>
      <c r="AD2250" s="213"/>
      <c r="AE2250" s="213"/>
      <c r="AF2250" s="213"/>
      <c r="AG2250" s="213"/>
      <c r="AH2250" s="213"/>
      <c r="AI2250" s="213"/>
      <c r="AJ2250" s="213"/>
      <c r="AK2250" s="213"/>
      <c r="AL2250" s="213"/>
      <c r="AM2250" s="213"/>
      <c r="AN2250" s="213"/>
      <c r="AO2250" s="213"/>
      <c r="AP2250" s="213" t="str">
        <f>IFERROR(__xludf.DUMMYFUNCTION("""COMPUTED_VALUE"""),"MICHEL")</f>
        <v>MICHEL</v>
      </c>
      <c r="AQ2250" s="213"/>
      <c r="AR2250" s="213"/>
      <c r="AS2250" s="213"/>
      <c r="AT2250" s="213"/>
      <c r="AU2250" s="213"/>
      <c r="AV2250" s="213"/>
      <c r="AW2250" s="213"/>
      <c r="AX2250" s="213"/>
      <c r="AY2250" s="213"/>
      <c r="AZ2250" s="213"/>
      <c r="BA2250" s="213"/>
      <c r="BB2250" s="213"/>
      <c r="BC2250" s="213"/>
      <c r="BD2250" s="213"/>
    </row>
    <row r="2251">
      <c r="A2251" s="213">
        <f>IFERROR(__xludf.DUMMYFUNCTION("""COMPUTED_VALUE"""),2681.0)</f>
        <v>2681</v>
      </c>
      <c r="B2251" s="213" t="str">
        <f>IFERROR(__xludf.DUMMYFUNCTION("""COMPUTED_VALUE"""),"MANUEL ANTONIO MESONES MURO")</f>
        <v>MANUEL ANTONIO MESONES MURO</v>
      </c>
      <c r="C2251" s="213" t="str">
        <f>IFERROR(__xludf.DUMMYFUNCTION("""COMPUTED_VALUE"""),"TALLER SFT DE EBANISTERÍA")</f>
        <v>TALLER SFT DE EBANISTERÍA</v>
      </c>
      <c r="D2251" s="213" t="str">
        <f>IFERROR(__xludf.DUMMYFUNCTION("""COMPUTED_VALUE"""),"EQUIPOS")</f>
        <v>EQUIPOS</v>
      </c>
      <c r="E2251" s="213" t="str">
        <f>IFERROR(__xludf.DUMMYFUNCTION("""COMPUTED_VALUE"""),"ESP-344")</f>
        <v>ESP-344</v>
      </c>
      <c r="F2251" s="213" t="str">
        <f>IFERROR(__xludf.DUMMYFUNCTION("""COMPUTED_VALUE"""),"ESP-344")</f>
        <v>ESP-344</v>
      </c>
      <c r="G2251" s="213"/>
      <c r="H2251" s="213" t="str">
        <f>IFERROR(__xludf.DUMMYFUNCTION("""COMPUTED_VALUE"""),"SIERRA CALADORA")</f>
        <v>SIERRA CALADORA</v>
      </c>
      <c r="I2251" s="213" t="str">
        <f>IFERROR(__xludf.DUMMYFUNCTION("""COMPUTED_VALUE"""),"· Facilidad en el cambio de la hoja de sierra.
· Velocidad variable.
· Número de carreras en vacío, entre: 500 - 3100.
· Capacidad de corte en madera, entre: 80 mm - 90 mm.
· Potencia absorbida: 650 W.
· Voltaje, frecuencia: 220 V, 60 Hz.
· Incluye maletí"&amp;"n de transporte.
· Medidas L45cm x A30 cm x H20 cm")</f>
        <v>· Facilidad en el cambio de la hoja de sierra.
· Velocidad variable.
· Número de carreras en vacío, entre: 500 - 3100.
· Capacidad de corte en madera, entre: 80 mm - 90 mm.
· Potencia absorbida: 650 W.
· Voltaje, frecuencia: 220 V, 60 Hz.
· Incluye maletín de transporte.
· Medidas L45cm x A30 cm x H20 cm</v>
      </c>
      <c r="J2251" s="213">
        <f>IFERROR(__xludf.DUMMYFUNCTION("""COMPUTED_VALUE"""),3.0)</f>
        <v>3</v>
      </c>
      <c r="K2251" s="213" t="str">
        <f>IFERROR(__xludf.DUMMYFUNCTION("""COMPUTED_VALUE"""),"170 DÍAS CALENDARIO")</f>
        <v>170 DÍAS CALENDARIO</v>
      </c>
      <c r="L2251" s="213" t="str">
        <f>IFERROR(__xludf.DUMMYFUNCTION("""COMPUTED_VALUE"""),"")</f>
        <v/>
      </c>
      <c r="M2251" s="213">
        <f>IFERROR(__xludf.DUMMYFUNCTION("""COMPUTED_VALUE"""),1.0)</f>
        <v>1</v>
      </c>
      <c r="N2251" s="213">
        <f>IFERROR(__xludf.DUMMYFUNCTION("""COMPUTED_VALUE"""),1.0)</f>
        <v>1</v>
      </c>
      <c r="O2251" s="213">
        <f>IFERROR(__xludf.DUMMYFUNCTION("""COMPUTED_VALUE"""),1.0)</f>
        <v>1</v>
      </c>
      <c r="P2251" s="213"/>
      <c r="Q2251" s="213"/>
      <c r="R2251" s="213"/>
      <c r="S2251" s="213" t="str">
        <f>IFERROR(__xludf.DUMMYFUNCTION("""COMPUTED_VALUE"""),"SI")</f>
        <v>SI</v>
      </c>
      <c r="T2251" s="213" t="str">
        <f>IFERROR(__xludf.DUMMYFUNCTION("""COMPUTED_VALUE"""),"SI")</f>
        <v>SI</v>
      </c>
      <c r="U2251" s="213" t="str">
        <f>IFERROR(__xludf.DUMMYFUNCTION("""COMPUTED_VALUE"""),"SI")</f>
        <v>SI</v>
      </c>
      <c r="V2251" s="213" t="str">
        <f>IFERROR(__xludf.DUMMYFUNCTION("""COMPUTED_VALUE"""),"-")</f>
        <v>-</v>
      </c>
      <c r="W2251" s="213" t="str">
        <f>IFERROR(__xludf.DUMMYFUNCTION("""COMPUTED_VALUE"""),"-")</f>
        <v>-</v>
      </c>
      <c r="X2251" s="213" t="str">
        <f>IFERROR(__xludf.DUMMYFUNCTION("""COMPUTED_VALUE"""),"BOSCH")</f>
        <v>BOSCH</v>
      </c>
      <c r="Y2251" s="213" t="str">
        <f>IFERROR(__xludf.DUMMYFUNCTION("""COMPUTED_VALUE"""),"GST 90 BE PROFESSIONAL")</f>
        <v>GST 90 BE PROFESSIONAL</v>
      </c>
      <c r="Z2251" s="215" t="str">
        <f>IFERROR(__xludf.DUMMYFUNCTION("""COMPUTED_VALUE"""),"https://www.bosch-professional.com/binary/manualsmedia/o224152v21_1_609_92A_2BZ_1406.pdf")</f>
        <v>https://www.bosch-professional.com/binary/manualsmedia/o224152v21_1_609_92A_2BZ_1406.pdf</v>
      </c>
      <c r="AA2251" s="213" t="str">
        <f>IFERROR(__xludf.DUMMYFUNCTION("""COMPUTED_VALUE"""),"ESP-344 SIERRA CALADORA - CET")</f>
        <v>ESP-344 SIERRA CALADORA - CET</v>
      </c>
      <c r="AB2251" s="215" t="str">
        <f>IFERROR(__xludf.DUMMYFUNCTION("""COMPUTED_VALUE"""),"https://drive.google.com/file/d/1l1Lp37hGaiqdnxXy-UAUADJBaKqDuRcR/view?usp=drive_link")</f>
        <v>https://drive.google.com/file/d/1l1Lp37hGaiqdnxXy-UAUADJBaKqDuRcR/view?usp=drive_link</v>
      </c>
      <c r="AC2251" s="213"/>
      <c r="AD2251" s="213"/>
      <c r="AE2251" s="213"/>
      <c r="AF2251" s="213"/>
      <c r="AG2251" s="213"/>
      <c r="AH2251" s="213"/>
      <c r="AI2251" s="213"/>
      <c r="AJ2251" s="213"/>
      <c r="AK2251" s="213"/>
      <c r="AL2251" s="213"/>
      <c r="AM2251" s="213"/>
      <c r="AN2251" s="213"/>
      <c r="AO2251" s="213"/>
      <c r="AP2251" s="213" t="str">
        <f>IFERROR(__xludf.DUMMYFUNCTION("""COMPUTED_VALUE"""),"MICHEL")</f>
        <v>MICHEL</v>
      </c>
      <c r="AQ2251" s="213"/>
      <c r="AR2251" s="213"/>
      <c r="AS2251" s="213"/>
      <c r="AT2251" s="213"/>
      <c r="AU2251" s="213"/>
      <c r="AV2251" s="213"/>
      <c r="AW2251" s="213"/>
      <c r="AX2251" s="213"/>
      <c r="AY2251" s="213"/>
      <c r="AZ2251" s="213"/>
      <c r="BA2251" s="213"/>
      <c r="BB2251" s="213"/>
      <c r="BC2251" s="213"/>
      <c r="BD2251" s="213"/>
    </row>
    <row r="2252">
      <c r="A2252" s="213">
        <f>IFERROR(__xludf.DUMMYFUNCTION("""COMPUTED_VALUE"""),1863.0)</f>
        <v>1863</v>
      </c>
      <c r="B2252" s="213" t="str">
        <f>IFERROR(__xludf.DUMMYFUNCTION("""COMPUTED_VALUE"""),"GUILLERMO E. BILLINGHURST ")</f>
        <v>GUILLERMO E. BILLINGHURST </v>
      </c>
      <c r="C2252" s="213" t="str">
        <f>IFERROR(__xludf.DUMMYFUNCTION("""COMPUTED_VALUE"""),"TALLER SFT DE EBANISTERÍA")</f>
        <v>TALLER SFT DE EBANISTERÍA</v>
      </c>
      <c r="D2252" s="213" t="str">
        <f>IFERROR(__xludf.DUMMYFUNCTION("""COMPUTED_VALUE"""),"EQUIPOS")</f>
        <v>EQUIPOS</v>
      </c>
      <c r="E2252" s="213" t="str">
        <f>IFERROR(__xludf.DUMMYFUNCTION("""COMPUTED_VALUE"""),"ESP-345")</f>
        <v>ESP-345</v>
      </c>
      <c r="F2252" s="213" t="str">
        <f>IFERROR(__xludf.DUMMYFUNCTION("""COMPUTED_VALUE"""),"ESP-345")</f>
        <v>ESP-345</v>
      </c>
      <c r="G2252" s="213"/>
      <c r="H2252" s="213" t="str">
        <f>IFERROR(__xludf.DUMMYFUNCTION("""COMPUTED_VALUE"""),"SIERRA CINTA")</f>
        <v>SIERRA CINTA</v>
      </c>
      <c r="I2252" s="213" t="str">
        <f>IFERROR(__xludf.DUMMYFUNCTION("""COMPUTED_VALUE"""),"Volantes entre: 420 - 430 mm de diámetro.
· Velocidad de corte: mínimo 420 y 840 m/min.
· Dimensiones de la mesa: mínimo 550 mm x 430 mm.
· Inclinación de la mesa, entre: -10°grados a 45°grados.
· Tensionado de volante superior.
· Altura de corte: mínimo "&amp;"260 mm.
· Ancho máximo de corte sin tope: 410 mm.
· Ancho mínimo de corte con tope: 270 mm.
· Movimiento de subida y bajada de la guía.
· Indicador de tensión de la banda.
· Potencia del motor, mínimo: 2 HP.
· Voltaje, frecuencia: 220 V, 60 Hz.
· Medidas "&amp;"aproximadas (+- 5 cm)  L90 cm x A55 cm x H175 cm")</f>
        <v>Volantes entre: 420 - 430 mm de diámetro.
· Velocidad de corte: mínimo 420 y 840 m/min.
· Dimensiones de la mesa: mínimo 550 mm x 430 mm.
· Inclinación de la mesa, entre: -10°grados a 45°grados.
· Tensionado de volante superior.
· Altura de corte: mínimo 260 mm.
· Ancho máximo de corte sin tope: 410 mm.
· Ancho mínimo de corte con tope: 270 mm.
· Movimiento de subida y bajada de la guía.
· Indicador de tensión de la banda.
· Potencia del motor, mínimo: 2 HP.
· Voltaje, frecuencia: 220 V, 60 Hz.
· Medidas aproximadas (+- 5 cm)  L90 cm x A55 cm x H175 cm</v>
      </c>
      <c r="J2252" s="213">
        <f>IFERROR(__xludf.DUMMYFUNCTION("""COMPUTED_VALUE"""),3.0)</f>
        <v>3</v>
      </c>
      <c r="K2252" s="213" t="str">
        <f>IFERROR(__xludf.DUMMYFUNCTION("""COMPUTED_VALUE"""),"170 DÍAS CALENDARIO")</f>
        <v>170 DÍAS CALENDARIO</v>
      </c>
      <c r="L2252" s="213" t="str">
        <f>IFERROR(__xludf.DUMMYFUNCTION("""COMPUTED_VALUE"""),"")</f>
        <v/>
      </c>
      <c r="M2252" s="213">
        <f>IFERROR(__xludf.DUMMYFUNCTION("""COMPUTED_VALUE"""),1.0)</f>
        <v>1</v>
      </c>
      <c r="N2252" s="213">
        <f>IFERROR(__xludf.DUMMYFUNCTION("""COMPUTED_VALUE"""),1.0)</f>
        <v>1</v>
      </c>
      <c r="O2252" s="213">
        <f>IFERROR(__xludf.DUMMYFUNCTION("""COMPUTED_VALUE"""),1.0)</f>
        <v>1</v>
      </c>
      <c r="P2252" s="213"/>
      <c r="Q2252" s="213"/>
      <c r="R2252" s="213"/>
      <c r="S2252" s="213" t="str">
        <f>IFERROR(__xludf.DUMMYFUNCTION("""COMPUTED_VALUE"""),"SI")</f>
        <v>SI</v>
      </c>
      <c r="T2252" s="213" t="str">
        <f>IFERROR(__xludf.DUMMYFUNCTION("""COMPUTED_VALUE"""),"SI")</f>
        <v>SI</v>
      </c>
      <c r="U2252" s="213" t="str">
        <f>IFERROR(__xludf.DUMMYFUNCTION("""COMPUTED_VALUE"""),"NO")</f>
        <v>NO</v>
      </c>
      <c r="V2252" s="213" t="str">
        <f>IFERROR(__xludf.DUMMYFUNCTION("""COMPUTED_VALUE"""),"SUSTENTO")</f>
        <v>SUSTENTO</v>
      </c>
      <c r="W2252" s="213" t="str">
        <f>IFERROR(__xludf.DUMMYFUNCTION("""COMPUTED_VALUE"""),"DIMENSIONAL, ELÉCTRICO")</f>
        <v>DIMENSIONAL, ELÉCTRICO</v>
      </c>
      <c r="X2252" s="213" t="str">
        <f>IFERROR(__xludf.DUMMYFUNCTION("""COMPUTED_VALUE"""),"HOLZKRAFT")</f>
        <v>HOLZKRAFT</v>
      </c>
      <c r="Y2252" s="213" t="str">
        <f>IFERROR(__xludf.DUMMYFUNCTION("""COMPUTED_VALUE"""),"HBS 431 (IE2) - 230V")</f>
        <v>HBS 431 (IE2) - 230V</v>
      </c>
      <c r="Z2252" s="215" t="str">
        <f>IFERROR(__xludf.DUMMYFUNCTION("""COMPUTED_VALUE"""),"https://www.aslak.es/herramientas-electricas/sierra-de-cinta-hbs-431-ie2-230-v.html")</f>
        <v>https://www.aslak.es/herramientas-electricas/sierra-de-cinta-hbs-431-ie2-230-v.html</v>
      </c>
      <c r="AA2252" s="213" t="str">
        <f>IFERROR(__xludf.DUMMYFUNCTION("""COMPUTED_VALUE"""),"ESP-345 SIERRA CINTA - CET")</f>
        <v>ESP-345 SIERRA CINTA - CET</v>
      </c>
      <c r="AB2252" s="215" t="str">
        <f>IFERROR(__xludf.DUMMYFUNCTION("""COMPUTED_VALUE"""),"https://drive.google.com/file/d/13-lmopyptLgo_z9ySZy7oGSsGLcoTQ5N/view?usp=sharing")</f>
        <v>https://drive.google.com/file/d/13-lmopyptLgo_z9ySZy7oGSsGLcoTQ5N/view?usp=sharing</v>
      </c>
      <c r="AC2252" s="213"/>
      <c r="AD2252" s="213"/>
      <c r="AE2252" s="213"/>
      <c r="AF2252" s="213"/>
      <c r="AG2252" s="213"/>
      <c r="AH2252" s="213"/>
      <c r="AI2252" s="213"/>
      <c r="AJ2252" s="213"/>
      <c r="AK2252" s="213"/>
      <c r="AL2252" s="213"/>
      <c r="AM2252" s="213"/>
      <c r="AN2252" s="213"/>
      <c r="AO2252" s="213"/>
      <c r="AP2252" s="213" t="str">
        <f>IFERROR(__xludf.DUMMYFUNCTION("""COMPUTED_VALUE"""),"MICHEL")</f>
        <v>MICHEL</v>
      </c>
      <c r="AQ2252" s="213" t="str">
        <f>IFERROR(__xludf.DUMMYFUNCTION("""COMPUTED_VALUE"""),"Consultar la disponibilidad de la HBS 431 en versión monofásica")</f>
        <v>Consultar la disponibilidad de la HBS 431 en versión monofásica</v>
      </c>
      <c r="AR2252" s="213"/>
      <c r="AS2252" s="213"/>
      <c r="AT2252" s="213"/>
      <c r="AU2252" s="213"/>
      <c r="AV2252" s="213"/>
      <c r="AW2252" s="213"/>
      <c r="AX2252" s="213"/>
      <c r="AY2252" s="213"/>
      <c r="AZ2252" s="213"/>
      <c r="BA2252" s="213"/>
      <c r="BB2252" s="213"/>
      <c r="BC2252" s="213"/>
      <c r="BD2252" s="213"/>
    </row>
    <row r="2253">
      <c r="A2253" s="213">
        <f>IFERROR(__xludf.DUMMYFUNCTION("""COMPUTED_VALUE"""),2644.0)</f>
        <v>2644</v>
      </c>
      <c r="B2253" s="213" t="str">
        <f>IFERROR(__xludf.DUMMYFUNCTION("""COMPUTED_VALUE"""),"MANUEL ANTONIO MESONES MURO")</f>
        <v>MANUEL ANTONIO MESONES MURO</v>
      </c>
      <c r="C2253" s="213" t="str">
        <f>IFERROR(__xludf.DUMMYFUNCTION("""COMPUTED_VALUE"""),"TALLER SFT DE EBANISTERÍA")</f>
        <v>TALLER SFT DE EBANISTERÍA</v>
      </c>
      <c r="D2253" s="213" t="str">
        <f>IFERROR(__xludf.DUMMYFUNCTION("""COMPUTED_VALUE"""),"EQUIPOS")</f>
        <v>EQUIPOS</v>
      </c>
      <c r="E2253" s="213" t="str">
        <f>IFERROR(__xludf.DUMMYFUNCTION("""COMPUTED_VALUE"""),"ESP-345")</f>
        <v>ESP-345</v>
      </c>
      <c r="F2253" s="213" t="str">
        <f>IFERROR(__xludf.DUMMYFUNCTION("""COMPUTED_VALUE"""),"ESP-345")</f>
        <v>ESP-345</v>
      </c>
      <c r="G2253" s="213"/>
      <c r="H2253" s="213" t="str">
        <f>IFERROR(__xludf.DUMMYFUNCTION("""COMPUTED_VALUE"""),"SIERRA CINTA")</f>
        <v>SIERRA CINTA</v>
      </c>
      <c r="I2253" s="213" t="str">
        <f>IFERROR(__xludf.DUMMYFUNCTION("""COMPUTED_VALUE"""),"Volantes entre: 420 - 430 mm de diámetro.
· Velocidad de corte: mínimo 420 y 840 m/min.
· Dimensiones de la mesa: mínimo 550 mm x 430 mm.
· Inclinación de la mesa, entre: -10°grados a 45°grados.
· Tensionado de volante superior.
· Altura de corte: mínimo "&amp;"260 mm.
· Ancho máximo de corte sin tope: 410 mm.
· Ancho mínimo de corte con tope: 270 mm.
· Movimiento de subida y bajada de la guía.
· Indicador de tensión de la banda.
· Potencia del motor, mínimo: 2 HP.
· Voltaje, frecuencia: 220 V, 60 Hz.
· Medidas "&amp;"aproximadas (+- 5 cm)  L90 cm x A55 cm x H175 cm")</f>
        <v>Volantes entre: 420 - 430 mm de diámetro.
· Velocidad de corte: mínimo 420 y 840 m/min.
· Dimensiones de la mesa: mínimo 550 mm x 430 mm.
· Inclinación de la mesa, entre: -10°grados a 45°grados.
· Tensionado de volante superior.
· Altura de corte: mínimo 260 mm.
· Ancho máximo de corte sin tope: 410 mm.
· Ancho mínimo de corte con tope: 270 mm.
· Movimiento de subida y bajada de la guía.
· Indicador de tensión de la banda.
· Potencia del motor, mínimo: 2 HP.
· Voltaje, frecuencia: 220 V, 60 Hz.
· Medidas aproximadas (+- 5 cm)  L90 cm x A55 cm x H175 cm</v>
      </c>
      <c r="J2253" s="213">
        <f>IFERROR(__xludf.DUMMYFUNCTION("""COMPUTED_VALUE"""),3.0)</f>
        <v>3</v>
      </c>
      <c r="K2253" s="213" t="str">
        <f>IFERROR(__xludf.DUMMYFUNCTION("""COMPUTED_VALUE"""),"170 DÍAS CALENDARIO")</f>
        <v>170 DÍAS CALENDARIO</v>
      </c>
      <c r="L2253" s="213" t="str">
        <f>IFERROR(__xludf.DUMMYFUNCTION("""COMPUTED_VALUE"""),"")</f>
        <v/>
      </c>
      <c r="M2253" s="213">
        <f>IFERROR(__xludf.DUMMYFUNCTION("""COMPUTED_VALUE"""),1.0)</f>
        <v>1</v>
      </c>
      <c r="N2253" s="213">
        <f>IFERROR(__xludf.DUMMYFUNCTION("""COMPUTED_VALUE"""),1.0)</f>
        <v>1</v>
      </c>
      <c r="O2253" s="213">
        <f>IFERROR(__xludf.DUMMYFUNCTION("""COMPUTED_VALUE"""),1.0)</f>
        <v>1</v>
      </c>
      <c r="P2253" s="213"/>
      <c r="Q2253" s="213"/>
      <c r="R2253" s="213"/>
      <c r="S2253" s="213" t="str">
        <f>IFERROR(__xludf.DUMMYFUNCTION("""COMPUTED_VALUE"""),"SI")</f>
        <v>SI</v>
      </c>
      <c r="T2253" s="213" t="str">
        <f>IFERROR(__xludf.DUMMYFUNCTION("""COMPUTED_VALUE"""),"SI")</f>
        <v>SI</v>
      </c>
      <c r="U2253" s="213" t="str">
        <f>IFERROR(__xludf.DUMMYFUNCTION("""COMPUTED_VALUE"""),"NO")</f>
        <v>NO</v>
      </c>
      <c r="V2253" s="213" t="str">
        <f>IFERROR(__xludf.DUMMYFUNCTION("""COMPUTED_VALUE"""),"SUSTENTO")</f>
        <v>SUSTENTO</v>
      </c>
      <c r="W2253" s="213" t="str">
        <f>IFERROR(__xludf.DUMMYFUNCTION("""COMPUTED_VALUE"""),"DIMENSIONAL, ELÉCTRICO")</f>
        <v>DIMENSIONAL, ELÉCTRICO</v>
      </c>
      <c r="X2253" s="213" t="str">
        <f>IFERROR(__xludf.DUMMYFUNCTION("""COMPUTED_VALUE"""),"HOLZKRAFT")</f>
        <v>HOLZKRAFT</v>
      </c>
      <c r="Y2253" s="213" t="str">
        <f>IFERROR(__xludf.DUMMYFUNCTION("""COMPUTED_VALUE"""),"HBS 431 (IE2) - 230V")</f>
        <v>HBS 431 (IE2) - 230V</v>
      </c>
      <c r="Z2253" s="215" t="str">
        <f>IFERROR(__xludf.DUMMYFUNCTION("""COMPUTED_VALUE"""),"https://www.aslak.es/herramientas-electricas/sierra-de-cinta-hbs-431-ie2-230-v.html")</f>
        <v>https://www.aslak.es/herramientas-electricas/sierra-de-cinta-hbs-431-ie2-230-v.html</v>
      </c>
      <c r="AA2253" s="213" t="str">
        <f>IFERROR(__xludf.DUMMYFUNCTION("""COMPUTED_VALUE"""),"ESP-345 SIERRA CINTA - CET")</f>
        <v>ESP-345 SIERRA CINTA - CET</v>
      </c>
      <c r="AB2253" s="215" t="str">
        <f>IFERROR(__xludf.DUMMYFUNCTION("""COMPUTED_VALUE"""),"https://drive.google.com/file/d/13-lmopyptLgo_z9ySZy7oGSsGLcoTQ5N/view?usp=sharing")</f>
        <v>https://drive.google.com/file/d/13-lmopyptLgo_z9ySZy7oGSsGLcoTQ5N/view?usp=sharing</v>
      </c>
      <c r="AC2253" s="213"/>
      <c r="AD2253" s="213"/>
      <c r="AE2253" s="213"/>
      <c r="AF2253" s="213"/>
      <c r="AG2253" s="213"/>
      <c r="AH2253" s="213"/>
      <c r="AI2253" s="213"/>
      <c r="AJ2253" s="213"/>
      <c r="AK2253" s="213"/>
      <c r="AL2253" s="213"/>
      <c r="AM2253" s="213"/>
      <c r="AN2253" s="213"/>
      <c r="AO2253" s="213"/>
      <c r="AP2253" s="213" t="str">
        <f>IFERROR(__xludf.DUMMYFUNCTION("""COMPUTED_VALUE"""),"MICHEL")</f>
        <v>MICHEL</v>
      </c>
      <c r="AQ2253" s="213" t="str">
        <f>IFERROR(__xludf.DUMMYFUNCTION("""COMPUTED_VALUE"""),"Consultar la disponibilidad de la HBS 431 en versión monofásica")</f>
        <v>Consultar la disponibilidad de la HBS 431 en versión monofásica</v>
      </c>
      <c r="AR2253" s="213"/>
      <c r="AS2253" s="213"/>
      <c r="AT2253" s="213"/>
      <c r="AU2253" s="213"/>
      <c r="AV2253" s="213"/>
      <c r="AW2253" s="213"/>
      <c r="AX2253" s="213"/>
      <c r="AY2253" s="213"/>
      <c r="AZ2253" s="213"/>
      <c r="BA2253" s="213"/>
      <c r="BB2253" s="213"/>
      <c r="BC2253" s="213"/>
      <c r="BD2253" s="213"/>
    </row>
    <row r="2254">
      <c r="A2254" s="213">
        <f>IFERROR(__xludf.DUMMYFUNCTION("""COMPUTED_VALUE"""),1854.0)</f>
        <v>1854</v>
      </c>
      <c r="B2254" s="213" t="str">
        <f>IFERROR(__xludf.DUMMYFUNCTION("""COMPUTED_VALUE"""),"GUILLERMO E. BILLINGHURST ")</f>
        <v>GUILLERMO E. BILLINGHURST </v>
      </c>
      <c r="C2254" s="213" t="str">
        <f>IFERROR(__xludf.DUMMYFUNCTION("""COMPUTED_VALUE"""),"TALLER SFT DE EBANISTERÍA")</f>
        <v>TALLER SFT DE EBANISTERÍA</v>
      </c>
      <c r="D2254" s="213" t="str">
        <f>IFERROR(__xludf.DUMMYFUNCTION("""COMPUTED_VALUE"""),"EQUIPOS")</f>
        <v>EQUIPOS</v>
      </c>
      <c r="E2254" s="213" t="str">
        <f>IFERROR(__xludf.DUMMYFUNCTION("""COMPUTED_VALUE"""),"ESP-347")</f>
        <v>ESP-347</v>
      </c>
      <c r="F2254" s="213" t="str">
        <f>IFERROR(__xludf.DUMMYFUNCTION("""COMPUTED_VALUE"""),"ESP-347")</f>
        <v>ESP-347</v>
      </c>
      <c r="G2254" s="213"/>
      <c r="H2254" s="213" t="str">
        <f>IFERROR(__xludf.DUMMYFUNCTION("""COMPUTED_VALUE"""),"SIERRA CIRCULAR")</f>
        <v>SIERRA CIRCULAR</v>
      </c>
      <c r="I2254" s="213" t="str">
        <f>IFERROR(__xludf.DUMMYFUNCTION("""COMPUTED_VALUE"""),"· Diseñada para múltiples cortes en madera.
· Hoja de sierra de inclinación de 0° a 45° grados ajustable mediante volante.
· Grupo incisor para corte de material revestido ajustable mediante volante.
· Altura de la hoja regulable mediante un volante.
· Ho"&amp;"ja de sierra con protector integrado (guarda).
· Diámetro mínimo del disco: 200 mm.
· Altura máxima de corte a 45° / 90°: 42 mm / 80 mm.
· Velocidad del árbol porta disco: mínimo 3500 rpm.
· Potencia del motor minimo : 2,5 Kw.
· Voltaje, frecuencia: 220 V"&amp;", 60 Hz.
· Medidas aproximadas (+-5cm) : L80 cm x A65 cm x H85 cm")</f>
        <v>· Diseñada para múltiples cortes en madera.
· Hoja de sierra de inclinación de 0° a 45° grados ajustable mediante volante.
· Grupo incisor para corte de material revestido ajustable mediante volante.
· Altura de la hoja regulable mediante un volante.
· Hoja de sierra con protector integrado (guarda).
· Diámetro mínimo del disco: 200 mm.
· Altura máxima de corte a 45° / 90°: 42 mm / 80 mm.
· Velocidad del árbol porta disco: mínimo 3500 rpm.
· Potencia del motor minimo : 2,5 Kw.
· Voltaje, frecuencia: 220 V, 60 Hz.
· Medidas aproximadas (+-5cm) : L80 cm x A65 cm x H85 cm</v>
      </c>
      <c r="J2254" s="213">
        <f>IFERROR(__xludf.DUMMYFUNCTION("""COMPUTED_VALUE"""),3.0)</f>
        <v>3</v>
      </c>
      <c r="K2254" s="213" t="str">
        <f>IFERROR(__xludf.DUMMYFUNCTION("""COMPUTED_VALUE"""),"170 DÍAS CALENDARIO")</f>
        <v>170 DÍAS CALENDARIO</v>
      </c>
      <c r="L2254" s="213" t="str">
        <f>IFERROR(__xludf.DUMMYFUNCTION("""COMPUTED_VALUE"""),"")</f>
        <v/>
      </c>
      <c r="M2254" s="213">
        <f>IFERROR(__xludf.DUMMYFUNCTION("""COMPUTED_VALUE"""),1.0)</f>
        <v>1</v>
      </c>
      <c r="N2254" s="213">
        <f>IFERROR(__xludf.DUMMYFUNCTION("""COMPUTED_VALUE"""),1.0)</f>
        <v>1</v>
      </c>
      <c r="O2254" s="213">
        <f>IFERROR(__xludf.DUMMYFUNCTION("""COMPUTED_VALUE"""),1.0)</f>
        <v>1</v>
      </c>
      <c r="P2254" s="213"/>
      <c r="Q2254" s="213"/>
      <c r="R2254" s="213"/>
      <c r="S2254" s="213" t="str">
        <f>IFERROR(__xludf.DUMMYFUNCTION("""COMPUTED_VALUE"""),"SI")</f>
        <v>SI</v>
      </c>
      <c r="T2254" s="213" t="str">
        <f>IFERROR(__xludf.DUMMYFUNCTION("""COMPUTED_VALUE"""),"SI")</f>
        <v>SI</v>
      </c>
      <c r="U2254" s="213" t="str">
        <f>IFERROR(__xludf.DUMMYFUNCTION("""COMPUTED_VALUE"""),"NO")</f>
        <v>NO</v>
      </c>
      <c r="V2254" s="213" t="str">
        <f>IFERROR(__xludf.DUMMYFUNCTION("""COMPUTED_VALUE"""),"SUSTENTO")</f>
        <v>SUSTENTO</v>
      </c>
      <c r="W2254" s="213" t="str">
        <f>IFERROR(__xludf.DUMMYFUNCTION("""COMPUTED_VALUE"""),"DIMENSIONAL, CRÍTICO")</f>
        <v>DIMENSIONAL, CRÍTICO</v>
      </c>
      <c r="X2254" s="213" t="str">
        <f>IFERROR(__xludf.DUMMYFUNCTION("""COMPUTED_VALUE"""),"HAMMER")</f>
        <v>HAMMER</v>
      </c>
      <c r="Y2254" s="213" t="str">
        <f>IFERROR(__xludf.DUMMYFUNCTION("""COMPUTED_VALUE"""),"K3 BASIC")</f>
        <v>K3 BASIC</v>
      </c>
      <c r="Z2254" s="215" t="str">
        <f>IFERROR(__xludf.DUMMYFUNCTION("""COMPUTED_VALUE"""),"https://www.felder-group.com/es-es/productos/sierras-circulares-y-escuadradoras-c1947/escuadradora-k3-p144077?vid=3054")</f>
        <v>https://www.felder-group.com/es-es/productos/sierras-circulares-y-escuadradoras-c1947/escuadradora-k3-p144077?vid=3054</v>
      </c>
      <c r="AA2254" s="213" t="str">
        <f>IFERROR(__xludf.DUMMYFUNCTION("""COMPUTED_VALUE"""),"ESP-347 SIERRA CIRCULAR - CET")</f>
        <v>ESP-347 SIERRA CIRCULAR - CET</v>
      </c>
      <c r="AB2254" s="215" t="str">
        <f>IFERROR(__xludf.DUMMYFUNCTION("""COMPUTED_VALUE"""),"https://drive.google.com/file/d/1noHWzxENhG2e2pueHbHbgxz76q_mKoV9/view?usp=drive_link")</f>
        <v>https://drive.google.com/file/d/1noHWzxENhG2e2pueHbHbgxz76q_mKoV9/view?usp=drive_link</v>
      </c>
      <c r="AC2254" s="213"/>
      <c r="AD2254" s="213"/>
      <c r="AE2254" s="213"/>
      <c r="AF2254" s="213"/>
      <c r="AG2254" s="213"/>
      <c r="AH2254" s="213"/>
      <c r="AI2254" s="213"/>
      <c r="AJ2254" s="213"/>
      <c r="AK2254" s="213"/>
      <c r="AL2254" s="213"/>
      <c r="AM2254" s="213"/>
      <c r="AN2254" s="213"/>
      <c r="AO2254" s="213"/>
      <c r="AP2254" s="213" t="str">
        <f>IFERROR(__xludf.DUMMYFUNCTION("""COMPUTED_VALUE"""),"MICHEL")</f>
        <v>MICHEL</v>
      </c>
      <c r="AQ2254" s="213" t="str">
        <f>IFERROR(__xludf.DUMMYFUNCTION("""COMPUTED_VALUE"""),"Se debe solicitar que incluya el grupo incisor y configurar la orden para que se suministre la máquina con motor monofásico 220V/60Hz. Verificar si se incluye la guarda de protección de la hoja de sierra. Las medidas son superiores a las EETT debido a la "&amp;"mesa deslizable. Se comparó también la Felder K500 y la DeWalt DWE7470-B2. Seguir ejeplo de la t 55es para las dimensiones: https://www.scmgroup.com/products/docs/artis/minimax/Minimax%20SI%20X%20e%20gamma%20Elite%20S/Minimax%20SI%20X%20and%20Elite%20S%20"&amp;"range_EN.pdf")</f>
        <v>Se debe solicitar que incluya el grupo incisor y configurar la orden para que se suministre la máquina con motor monofásico 220V/60Hz. Verificar si se incluye la guarda de protección de la hoja de sierra. Las medidas son superiores a las EETT debido a la mesa deslizable. Se comparó también la Felder K500 y la DeWalt DWE7470-B2. Seguir ejeplo de la t 55es para las dimensiones: https://www.scmgroup.com/products/docs/artis/minimax/Minimax%20SI%20X%20e%20gamma%20Elite%20S/Minimax%20SI%20X%20and%20Elite%20S%20range_EN.pdf</v>
      </c>
      <c r="AR2254" s="213"/>
      <c r="AS2254" s="213" t="str">
        <f>IFERROR(__xludf.DUMMYFUNCTION("""COMPUTED_VALUE"""),"74 Incisor de transmisión mecánica Ø 80 mm
003 Tensión del motor 1x 230 V, potencia del motor 4,0 CV (3,0 kW) S6/40%
005 Frecuencia del motor 60 Hz")</f>
        <v>74 Incisor de transmisión mecánica Ø 80 mm
003 Tensión del motor 1x 230 V, potencia del motor 4,0 CV (3,0 kW) S6/40%
005 Frecuencia del motor 60 Hz</v>
      </c>
      <c r="AT2254" s="217" t="str">
        <f>IFERROR(__xludf.DUMMYFUNCTION("""COMPUTED_VALUE"""),"Se configura en el pedido.")</f>
        <v>Se configura en el pedido.</v>
      </c>
      <c r="AU2254" s="213"/>
      <c r="AV2254" s="213"/>
      <c r="AW2254" s="213"/>
      <c r="AX2254" s="213"/>
      <c r="AY2254" s="213"/>
      <c r="AZ2254" s="213"/>
      <c r="BA2254" s="213"/>
      <c r="BB2254" s="213"/>
      <c r="BC2254" s="213"/>
      <c r="BD2254" s="213"/>
    </row>
    <row r="2255">
      <c r="A2255" s="213">
        <f>IFERROR(__xludf.DUMMYFUNCTION("""COMPUTED_VALUE"""),2636.0)</f>
        <v>2636</v>
      </c>
      <c r="B2255" s="213" t="str">
        <f>IFERROR(__xludf.DUMMYFUNCTION("""COMPUTED_VALUE"""),"MANUEL ANTONIO MESONES MURO")</f>
        <v>MANUEL ANTONIO MESONES MURO</v>
      </c>
      <c r="C2255" s="213" t="str">
        <f>IFERROR(__xludf.DUMMYFUNCTION("""COMPUTED_VALUE"""),"TALLER SFT DE EBANISTERÍA")</f>
        <v>TALLER SFT DE EBANISTERÍA</v>
      </c>
      <c r="D2255" s="213" t="str">
        <f>IFERROR(__xludf.DUMMYFUNCTION("""COMPUTED_VALUE"""),"EQUIPOS")</f>
        <v>EQUIPOS</v>
      </c>
      <c r="E2255" s="213" t="str">
        <f>IFERROR(__xludf.DUMMYFUNCTION("""COMPUTED_VALUE"""),"ESP-347")</f>
        <v>ESP-347</v>
      </c>
      <c r="F2255" s="213" t="str">
        <f>IFERROR(__xludf.DUMMYFUNCTION("""COMPUTED_VALUE"""),"ESP-347")</f>
        <v>ESP-347</v>
      </c>
      <c r="G2255" s="213"/>
      <c r="H2255" s="213" t="str">
        <f>IFERROR(__xludf.DUMMYFUNCTION("""COMPUTED_VALUE"""),"SIERRA CIRCULAR")</f>
        <v>SIERRA CIRCULAR</v>
      </c>
      <c r="I2255" s="213" t="str">
        <f>IFERROR(__xludf.DUMMYFUNCTION("""COMPUTED_VALUE"""),"· Diseñada para múltiples cortes en madera.
· Hoja de sierra de inclinación de 0° a 45° grados ajustable mediante volante.
· Grupo incisor para corte de material revestido ajustable mediante volante.
· Altura de la hoja regulable mediante un volante.
· Ho"&amp;"ja de sierra con protector integrado (guarda).
· Diámetro mínimo del disco: 200 mm.
· Altura máxima de corte a 45° / 90°: 42 mm / 80 mm.
· Velocidad del árbol porta disco: mínimo 3500 rpm.
· Potencia del motor minimo : 2,5 Kw.
· Voltaje, frecuencia: 220 V"&amp;", 60 Hz.
· Medidas aproximadas (+-5cm) : L80 cm x A65 cm x H85 cm")</f>
        <v>· Diseñada para múltiples cortes en madera.
· Hoja de sierra de inclinación de 0° a 45° grados ajustable mediante volante.
· Grupo incisor para corte de material revestido ajustable mediante volante.
· Altura de la hoja regulable mediante un volante.
· Hoja de sierra con protector integrado (guarda).
· Diámetro mínimo del disco: 200 mm.
· Altura máxima de corte a 45° / 90°: 42 mm / 80 mm.
· Velocidad del árbol porta disco: mínimo 3500 rpm.
· Potencia del motor minimo : 2,5 Kw.
· Voltaje, frecuencia: 220 V, 60 Hz.
· Medidas aproximadas (+-5cm) : L80 cm x A65 cm x H85 cm</v>
      </c>
      <c r="J2255" s="213">
        <f>IFERROR(__xludf.DUMMYFUNCTION("""COMPUTED_VALUE"""),3.0)</f>
        <v>3</v>
      </c>
      <c r="K2255" s="213" t="str">
        <f>IFERROR(__xludf.DUMMYFUNCTION("""COMPUTED_VALUE"""),"170 DÍAS CALENDARIO")</f>
        <v>170 DÍAS CALENDARIO</v>
      </c>
      <c r="L2255" s="213" t="str">
        <f>IFERROR(__xludf.DUMMYFUNCTION("""COMPUTED_VALUE"""),"")</f>
        <v/>
      </c>
      <c r="M2255" s="213">
        <f>IFERROR(__xludf.DUMMYFUNCTION("""COMPUTED_VALUE"""),1.0)</f>
        <v>1</v>
      </c>
      <c r="N2255" s="213">
        <f>IFERROR(__xludf.DUMMYFUNCTION("""COMPUTED_VALUE"""),1.0)</f>
        <v>1</v>
      </c>
      <c r="O2255" s="213">
        <f>IFERROR(__xludf.DUMMYFUNCTION("""COMPUTED_VALUE"""),1.0)</f>
        <v>1</v>
      </c>
      <c r="P2255" s="213"/>
      <c r="Q2255" s="213"/>
      <c r="R2255" s="213"/>
      <c r="S2255" s="213" t="str">
        <f>IFERROR(__xludf.DUMMYFUNCTION("""COMPUTED_VALUE"""),"SI")</f>
        <v>SI</v>
      </c>
      <c r="T2255" s="213" t="str">
        <f>IFERROR(__xludf.DUMMYFUNCTION("""COMPUTED_VALUE"""),"SI")</f>
        <v>SI</v>
      </c>
      <c r="U2255" s="213" t="str">
        <f>IFERROR(__xludf.DUMMYFUNCTION("""COMPUTED_VALUE"""),"NO")</f>
        <v>NO</v>
      </c>
      <c r="V2255" s="213" t="str">
        <f>IFERROR(__xludf.DUMMYFUNCTION("""COMPUTED_VALUE"""),"SUSTENTO")</f>
        <v>SUSTENTO</v>
      </c>
      <c r="W2255" s="213" t="str">
        <f>IFERROR(__xludf.DUMMYFUNCTION("""COMPUTED_VALUE"""),"DIMENSIONAL, CRÍTICO")</f>
        <v>DIMENSIONAL, CRÍTICO</v>
      </c>
      <c r="X2255" s="213" t="str">
        <f>IFERROR(__xludf.DUMMYFUNCTION("""COMPUTED_VALUE"""),"HAMMER")</f>
        <v>HAMMER</v>
      </c>
      <c r="Y2255" s="213" t="str">
        <f>IFERROR(__xludf.DUMMYFUNCTION("""COMPUTED_VALUE"""),"K3 BASIC")</f>
        <v>K3 BASIC</v>
      </c>
      <c r="Z2255" s="215" t="str">
        <f>IFERROR(__xludf.DUMMYFUNCTION("""COMPUTED_VALUE"""),"https://www.felder-group.com/es-es/productos/sierras-circulares-y-escuadradoras-c1947/escuadradora-k3-p144077?vid=3054")</f>
        <v>https://www.felder-group.com/es-es/productos/sierras-circulares-y-escuadradoras-c1947/escuadradora-k3-p144077?vid=3054</v>
      </c>
      <c r="AA2255" s="213" t="str">
        <f>IFERROR(__xludf.DUMMYFUNCTION("""COMPUTED_VALUE"""),"ESP-347 SIERRA CIRCULAR - CET")</f>
        <v>ESP-347 SIERRA CIRCULAR - CET</v>
      </c>
      <c r="AB2255" s="215" t="str">
        <f>IFERROR(__xludf.DUMMYFUNCTION("""COMPUTED_VALUE"""),"https://drive.google.com/file/d/1noHWzxENhG2e2pueHbHbgxz76q_mKoV9/view?usp=drive_link")</f>
        <v>https://drive.google.com/file/d/1noHWzxENhG2e2pueHbHbgxz76q_mKoV9/view?usp=drive_link</v>
      </c>
      <c r="AC2255" s="213"/>
      <c r="AD2255" s="213"/>
      <c r="AE2255" s="213"/>
      <c r="AF2255" s="213"/>
      <c r="AG2255" s="213"/>
      <c r="AH2255" s="213"/>
      <c r="AI2255" s="213"/>
      <c r="AJ2255" s="213"/>
      <c r="AK2255" s="213"/>
      <c r="AL2255" s="213"/>
      <c r="AM2255" s="213"/>
      <c r="AN2255" s="213"/>
      <c r="AO2255" s="213"/>
      <c r="AP2255" s="213" t="str">
        <f>IFERROR(__xludf.DUMMYFUNCTION("""COMPUTED_VALUE"""),"MICHEL")</f>
        <v>MICHEL</v>
      </c>
      <c r="AQ2255" s="213" t="str">
        <f>IFERROR(__xludf.DUMMYFUNCTION("""COMPUTED_VALUE"""),"Se debe solicitar que incluya el grupo incisor y configurar la orden para que se suministre la máquina con motor monofásico 220V/60Hz. Verificar si se incluye la guarda de protección de la hoja de sierra. Las medidas son superiores a las EETT debido a la "&amp;"mesa deslizable. Se comparó también la Felder K500 y la DeWalt DWE7470-B2. Seguir ejeplo de la t 55es para las dimensiones: https://www.scmgroup.com/products/docs/artis/minimax/Minimax%20SI%20X%20e%20gamma%20Elite%20S/Minimax%20SI%20X%20and%20Elite%20S%20"&amp;"range_EN.pdf")</f>
        <v>Se debe solicitar que incluya el grupo incisor y configurar la orden para que se suministre la máquina con motor monofásico 220V/60Hz. Verificar si se incluye la guarda de protección de la hoja de sierra. Las medidas son superiores a las EETT debido a la mesa deslizable. Se comparó también la Felder K500 y la DeWalt DWE7470-B2. Seguir ejeplo de la t 55es para las dimensiones: https://www.scmgroup.com/products/docs/artis/minimax/Minimax%20SI%20X%20e%20gamma%20Elite%20S/Minimax%20SI%20X%20and%20Elite%20S%20range_EN.pdf</v>
      </c>
      <c r="AR2255" s="213"/>
      <c r="AS2255" s="213" t="str">
        <f>IFERROR(__xludf.DUMMYFUNCTION("""COMPUTED_VALUE"""),"74 Incisor de transmisión mecánica Ø 80 mm
003 Tensión del motor 1x 230 V, potencia del motor 4,0 CV (3,0 kW) S6/40%
005 Frecuencia del motor 60 Hz")</f>
        <v>74 Incisor de transmisión mecánica Ø 80 mm
003 Tensión del motor 1x 230 V, potencia del motor 4,0 CV (3,0 kW) S6/40%
005 Frecuencia del motor 60 Hz</v>
      </c>
      <c r="AT2255" s="217" t="str">
        <f>IFERROR(__xludf.DUMMYFUNCTION("""COMPUTED_VALUE"""),"Se configura en el pedido.")</f>
        <v>Se configura en el pedido.</v>
      </c>
      <c r="AU2255" s="213"/>
      <c r="AV2255" s="213"/>
      <c r="AW2255" s="213"/>
      <c r="AX2255" s="213"/>
      <c r="AY2255" s="213"/>
      <c r="AZ2255" s="213"/>
      <c r="BA2255" s="213"/>
      <c r="BB2255" s="213"/>
      <c r="BC2255" s="213"/>
      <c r="BD2255" s="213"/>
    </row>
    <row r="2256">
      <c r="A2256" s="213">
        <f>IFERROR(__xludf.DUMMYFUNCTION("""COMPUTED_VALUE"""),1855.0)</f>
        <v>1855</v>
      </c>
      <c r="B2256" s="213" t="str">
        <f>IFERROR(__xludf.DUMMYFUNCTION("""COMPUTED_VALUE"""),"GUILLERMO E. BILLINGHURST ")</f>
        <v>GUILLERMO E. BILLINGHURST </v>
      </c>
      <c r="C2256" s="213" t="str">
        <f>IFERROR(__xludf.DUMMYFUNCTION("""COMPUTED_VALUE"""),"TALLER SFT DE EBANISTERÍA")</f>
        <v>TALLER SFT DE EBANISTERÍA</v>
      </c>
      <c r="D2256" s="213" t="str">
        <f>IFERROR(__xludf.DUMMYFUNCTION("""COMPUTED_VALUE"""),"EQUIPOS")</f>
        <v>EQUIPOS</v>
      </c>
      <c r="E2256" s="213" t="str">
        <f>IFERROR(__xludf.DUMMYFUNCTION("""COMPUTED_VALUE"""),"ESP-349")</f>
        <v>ESP-349</v>
      </c>
      <c r="F2256" s="213" t="str">
        <f>IFERROR(__xludf.DUMMYFUNCTION("""COMPUTED_VALUE"""),"ESP-349")</f>
        <v>ESP-349</v>
      </c>
      <c r="G2256" s="213"/>
      <c r="H2256" s="213" t="str">
        <f>IFERROR(__xludf.DUMMYFUNCTION("""COMPUTED_VALUE"""),"SIERRA RADIAL")</f>
        <v>SIERRA RADIAL</v>
      </c>
      <c r="I2256" s="213" t="str">
        <f>IFERROR(__xludf.DUMMYFUNCTION("""COMPUTED_VALUE"""),"· Sierra radial de brazo libre con capacidad de ajuste que permiten establecer capacidad de corte transversal, de profundidad y angular.
· Diámetro del disco: mínimo 12"".
· Brazo de hierro fundido con mínimo 4 rodamientos.
· Motor de inducción libre de m"&amp;"antenimiento y proporciona una alta potencia, utilizando la máxima capacidad de la máquina.
· Velocidad de rotación: mínimo 3000 rpm.
· Incluye disco de corte.
· Voltaje, frecuencia: 220 V / 60 Hz.
· Medidas L90 cm x A60 cm x H75 cm")</f>
        <v>· Sierra radial de brazo libre con capacidad de ajuste que permiten establecer capacidad de corte transversal, de profundidad y angular.
· Diámetro del disco: mínimo 12".
· Brazo de hierro fundido con mínimo 4 rodamientos.
· Motor de inducción libre de mantenimiento y proporciona una alta potencia, utilizando la máxima capacidad de la máquina.
· Velocidad de rotación: mínimo 3000 rpm.
· Incluye disco de corte.
· Voltaje, frecuencia: 220 V / 60 Hz.
· Medidas L90 cm x A60 cm x H75 cm</v>
      </c>
      <c r="J2256" s="213">
        <f>IFERROR(__xludf.DUMMYFUNCTION("""COMPUTED_VALUE"""),3.0)</f>
        <v>3</v>
      </c>
      <c r="K2256" s="213" t="str">
        <f>IFERROR(__xludf.DUMMYFUNCTION("""COMPUTED_VALUE"""),"170 DÍAS CALENDARIO")</f>
        <v>170 DÍAS CALENDARIO</v>
      </c>
      <c r="L2256" s="213" t="str">
        <f>IFERROR(__xludf.DUMMYFUNCTION("""COMPUTED_VALUE"""),"")</f>
        <v/>
      </c>
      <c r="M2256" s="213">
        <f>IFERROR(__xludf.DUMMYFUNCTION("""COMPUTED_VALUE"""),1.0)</f>
        <v>1</v>
      </c>
      <c r="N2256" s="213">
        <f>IFERROR(__xludf.DUMMYFUNCTION("""COMPUTED_VALUE"""),1.0)</f>
        <v>1</v>
      </c>
      <c r="O2256" s="213">
        <f>IFERROR(__xludf.DUMMYFUNCTION("""COMPUTED_VALUE"""),1.0)</f>
        <v>1</v>
      </c>
      <c r="P2256" s="213"/>
      <c r="Q2256" s="213"/>
      <c r="R2256" s="213"/>
      <c r="S2256" s="213" t="str">
        <f>IFERROR(__xludf.DUMMYFUNCTION("""COMPUTED_VALUE"""),"SI")</f>
        <v>SI</v>
      </c>
      <c r="T2256" s="213" t="str">
        <f>IFERROR(__xludf.DUMMYFUNCTION("""COMPUTED_VALUE"""),"SI")</f>
        <v>SI</v>
      </c>
      <c r="U2256" s="213" t="str">
        <f>IFERROR(__xludf.DUMMYFUNCTION("""COMPUTED_VALUE"""),"NO")</f>
        <v>NO</v>
      </c>
      <c r="V2256" s="213" t="str">
        <f>IFERROR(__xludf.DUMMYFUNCTION("""COMPUTED_VALUE"""),"SUSTENTO")</f>
        <v>SUSTENTO</v>
      </c>
      <c r="W2256" s="213" t="str">
        <f>IFERROR(__xludf.DUMMYFUNCTION("""COMPUTED_VALUE"""),"DIMENSIONAL, CRÍTICO")</f>
        <v>DIMENSIONAL, CRÍTICO</v>
      </c>
      <c r="X2256" s="213" t="str">
        <f>IFERROR(__xludf.DUMMYFUNCTION("""COMPUTED_VALUE"""),"DEWALT")</f>
        <v>DEWALT</v>
      </c>
      <c r="Y2256" s="213" t="str">
        <f>IFERROR(__xludf.DUMMYFUNCTION("""COMPUTED_VALUE"""),"DW721KN-QS")</f>
        <v>DW721KN-QS</v>
      </c>
      <c r="Z2256" s="215" t="str">
        <f>IFERROR(__xludf.DUMMYFUNCTION("""COMPUTED_VALUE"""),"https://www.dewalt.es/producto/dw721kn-qs/sierra-de-brazo-radial-2000w-2-hp-o300mm-monofasica-prof-90mm")</f>
        <v>https://www.dewalt.es/producto/dw721kn-qs/sierra-de-brazo-radial-2000w-2-hp-o300mm-monofasica-prof-90mm</v>
      </c>
      <c r="AA2256" s="213" t="str">
        <f>IFERROR(__xludf.DUMMYFUNCTION("""COMPUTED_VALUE"""),"ESP-349 SIERRA RADIAL - CET")</f>
        <v>ESP-349 SIERRA RADIAL - CET</v>
      </c>
      <c r="AB2256" s="215" t="str">
        <f>IFERROR(__xludf.DUMMYFUNCTION("""COMPUTED_VALUE"""),"https://drive.google.com/file/d/1Znya-n68WXuvdR6VJsS4PmIfeLb4budp/view?usp=sharing")</f>
        <v>https://drive.google.com/file/d/1Znya-n68WXuvdR6VJsS4PmIfeLb4budp/view?usp=sharing</v>
      </c>
      <c r="AC2256" s="213"/>
      <c r="AD2256" s="213"/>
      <c r="AE2256" s="213"/>
      <c r="AF2256" s="213"/>
      <c r="AG2256" s="213"/>
      <c r="AH2256" s="213"/>
      <c r="AI2256" s="213"/>
      <c r="AJ2256" s="213"/>
      <c r="AK2256" s="213"/>
      <c r="AL2256" s="213"/>
      <c r="AM2256" s="213"/>
      <c r="AN2256" s="213"/>
      <c r="AO2256" s="213"/>
      <c r="AP2256" s="213" t="str">
        <f>IFERROR(__xludf.DUMMYFUNCTION("""COMPUTED_VALUE"""),"MICHEL")</f>
        <v>MICHEL</v>
      </c>
      <c r="AQ2256" s="213" t="str">
        <f>IFERROR(__xludf.DUMMYFUNCTION("""COMPUTED_VALUE"""),"Solicitar versión monofásica 220V. Dentro de la FT se incluye: disco sierra, herramientas de montaje, retorno de seguridad automático, freno de la hoja, banco. Se debe asegurar que todo ellos venga incluido y costeado.")</f>
        <v>Solicitar versión monofásica 220V. Dentro de la FT se incluye: disco sierra, herramientas de montaje, retorno de seguridad automático, freno de la hoja, banco. Se debe asegurar que todo ellos venga incluido y costeado.</v>
      </c>
      <c r="AR2256" s="213"/>
      <c r="AS2256" s="213"/>
      <c r="AT2256" s="213"/>
      <c r="AU2256" s="213"/>
      <c r="AV2256" s="213"/>
      <c r="AW2256" s="213"/>
      <c r="AX2256" s="213"/>
      <c r="AY2256" s="213"/>
      <c r="AZ2256" s="213"/>
      <c r="BA2256" s="213"/>
      <c r="BB2256" s="213"/>
      <c r="BC2256" s="213"/>
      <c r="BD2256" s="213"/>
    </row>
    <row r="2257">
      <c r="A2257" s="213">
        <f>IFERROR(__xludf.DUMMYFUNCTION("""COMPUTED_VALUE"""),2637.0)</f>
        <v>2637</v>
      </c>
      <c r="B2257" s="213" t="str">
        <f>IFERROR(__xludf.DUMMYFUNCTION("""COMPUTED_VALUE"""),"MANUEL ANTONIO MESONES MURO")</f>
        <v>MANUEL ANTONIO MESONES MURO</v>
      </c>
      <c r="C2257" s="213" t="str">
        <f>IFERROR(__xludf.DUMMYFUNCTION("""COMPUTED_VALUE"""),"TALLER SFT DE EBANISTERÍA")</f>
        <v>TALLER SFT DE EBANISTERÍA</v>
      </c>
      <c r="D2257" s="213" t="str">
        <f>IFERROR(__xludf.DUMMYFUNCTION("""COMPUTED_VALUE"""),"EQUIPOS")</f>
        <v>EQUIPOS</v>
      </c>
      <c r="E2257" s="213" t="str">
        <f>IFERROR(__xludf.DUMMYFUNCTION("""COMPUTED_VALUE"""),"ESP-349")</f>
        <v>ESP-349</v>
      </c>
      <c r="F2257" s="213" t="str">
        <f>IFERROR(__xludf.DUMMYFUNCTION("""COMPUTED_VALUE"""),"ESP-349")</f>
        <v>ESP-349</v>
      </c>
      <c r="G2257" s="213"/>
      <c r="H2257" s="213" t="str">
        <f>IFERROR(__xludf.DUMMYFUNCTION("""COMPUTED_VALUE"""),"SIERRA RADIAL")</f>
        <v>SIERRA RADIAL</v>
      </c>
      <c r="I2257" s="213" t="str">
        <f>IFERROR(__xludf.DUMMYFUNCTION("""COMPUTED_VALUE"""),"· Sierra radial de brazo libre con capacidad de ajuste que permiten establecer capacidad de corte transversal, de profundidad y angular.
· Diámetro del disco: mínimo 12"".
· Brazo de hierro fundido con mínimo 4 rodamientos.
· Motor de inducción libre de m"&amp;"antenimiento y proporciona una alta potencia, utilizando la máxima capacidad de la máquina.
· Velocidad de rotación: mínimo 3000 rpm.
· Incluye disco de corte.
· Voltaje, frecuencia: 220 V / 60 Hz.
· Medidas L90 cm x A60 cm x H75 cm")</f>
        <v>· Sierra radial de brazo libre con capacidad de ajuste que permiten establecer capacidad de corte transversal, de profundidad y angular.
· Diámetro del disco: mínimo 12".
· Brazo de hierro fundido con mínimo 4 rodamientos.
· Motor de inducción libre de mantenimiento y proporciona una alta potencia, utilizando la máxima capacidad de la máquina.
· Velocidad de rotación: mínimo 3000 rpm.
· Incluye disco de corte.
· Voltaje, frecuencia: 220 V / 60 Hz.
· Medidas L90 cm x A60 cm x H75 cm</v>
      </c>
      <c r="J2257" s="213">
        <f>IFERROR(__xludf.DUMMYFUNCTION("""COMPUTED_VALUE"""),3.0)</f>
        <v>3</v>
      </c>
      <c r="K2257" s="213" t="str">
        <f>IFERROR(__xludf.DUMMYFUNCTION("""COMPUTED_VALUE"""),"170 DÍAS CALENDARIO")</f>
        <v>170 DÍAS CALENDARIO</v>
      </c>
      <c r="L2257" s="213" t="str">
        <f>IFERROR(__xludf.DUMMYFUNCTION("""COMPUTED_VALUE"""),"")</f>
        <v/>
      </c>
      <c r="M2257" s="213">
        <f>IFERROR(__xludf.DUMMYFUNCTION("""COMPUTED_VALUE"""),1.0)</f>
        <v>1</v>
      </c>
      <c r="N2257" s="213">
        <f>IFERROR(__xludf.DUMMYFUNCTION("""COMPUTED_VALUE"""),1.0)</f>
        <v>1</v>
      </c>
      <c r="O2257" s="213">
        <f>IFERROR(__xludf.DUMMYFUNCTION("""COMPUTED_VALUE"""),1.0)</f>
        <v>1</v>
      </c>
      <c r="P2257" s="213"/>
      <c r="Q2257" s="213"/>
      <c r="R2257" s="213"/>
      <c r="S2257" s="213" t="str">
        <f>IFERROR(__xludf.DUMMYFUNCTION("""COMPUTED_VALUE"""),"SI")</f>
        <v>SI</v>
      </c>
      <c r="T2257" s="213" t="str">
        <f>IFERROR(__xludf.DUMMYFUNCTION("""COMPUTED_VALUE"""),"SI")</f>
        <v>SI</v>
      </c>
      <c r="U2257" s="213" t="str">
        <f>IFERROR(__xludf.DUMMYFUNCTION("""COMPUTED_VALUE"""),"NO")</f>
        <v>NO</v>
      </c>
      <c r="V2257" s="213" t="str">
        <f>IFERROR(__xludf.DUMMYFUNCTION("""COMPUTED_VALUE"""),"SUSTENTO")</f>
        <v>SUSTENTO</v>
      </c>
      <c r="W2257" s="213" t="str">
        <f>IFERROR(__xludf.DUMMYFUNCTION("""COMPUTED_VALUE"""),"DIMENSIONAL, CRÍTICO")</f>
        <v>DIMENSIONAL, CRÍTICO</v>
      </c>
      <c r="X2257" s="213" t="str">
        <f>IFERROR(__xludf.DUMMYFUNCTION("""COMPUTED_VALUE"""),"DEWALT")</f>
        <v>DEWALT</v>
      </c>
      <c r="Y2257" s="213" t="str">
        <f>IFERROR(__xludf.DUMMYFUNCTION("""COMPUTED_VALUE"""),"DW721KN-QS")</f>
        <v>DW721KN-QS</v>
      </c>
      <c r="Z2257" s="215" t="str">
        <f>IFERROR(__xludf.DUMMYFUNCTION("""COMPUTED_VALUE"""),"https://www.dewalt.es/producto/dw721kn-qs/sierra-de-brazo-radial-2000w-2-hp-o300mm-monofasica-prof-90mm")</f>
        <v>https://www.dewalt.es/producto/dw721kn-qs/sierra-de-brazo-radial-2000w-2-hp-o300mm-monofasica-prof-90mm</v>
      </c>
      <c r="AA2257" s="213" t="str">
        <f>IFERROR(__xludf.DUMMYFUNCTION("""COMPUTED_VALUE"""),"ESP-349 SIERRA RADIAL - CET")</f>
        <v>ESP-349 SIERRA RADIAL - CET</v>
      </c>
      <c r="AB2257" s="215" t="str">
        <f>IFERROR(__xludf.DUMMYFUNCTION("""COMPUTED_VALUE"""),"https://drive.google.com/file/d/1Znya-n68WXuvdR6VJsS4PmIfeLb4budp/view?usp=sharing")</f>
        <v>https://drive.google.com/file/d/1Znya-n68WXuvdR6VJsS4PmIfeLb4budp/view?usp=sharing</v>
      </c>
      <c r="AC2257" s="213"/>
      <c r="AD2257" s="213"/>
      <c r="AE2257" s="213"/>
      <c r="AF2257" s="213"/>
      <c r="AG2257" s="213"/>
      <c r="AH2257" s="213"/>
      <c r="AI2257" s="213"/>
      <c r="AJ2257" s="213"/>
      <c r="AK2257" s="213"/>
      <c r="AL2257" s="213"/>
      <c r="AM2257" s="213"/>
      <c r="AN2257" s="213"/>
      <c r="AO2257" s="213"/>
      <c r="AP2257" s="213" t="str">
        <f>IFERROR(__xludf.DUMMYFUNCTION("""COMPUTED_VALUE"""),"MICHEL")</f>
        <v>MICHEL</v>
      </c>
      <c r="AQ2257" s="213" t="str">
        <f>IFERROR(__xludf.DUMMYFUNCTION("""COMPUTED_VALUE"""),"Solicitar versión monofásica 220V. Dentro de la FT se incluye: disco sierra, herramientas de montaje, retorno de seguridad automático, freno de la hoja, banco. Se debe asegurar que todo ellos venga incluido y costeado.")</f>
        <v>Solicitar versión monofásica 220V. Dentro de la FT se incluye: disco sierra, herramientas de montaje, retorno de seguridad automático, freno de la hoja, banco. Se debe asegurar que todo ellos venga incluido y costeado.</v>
      </c>
      <c r="AR2257" s="213"/>
      <c r="AS2257" s="213"/>
      <c r="AT2257" s="213"/>
      <c r="AU2257" s="213"/>
      <c r="AV2257" s="213"/>
      <c r="AW2257" s="213"/>
      <c r="AX2257" s="213"/>
      <c r="AY2257" s="213"/>
      <c r="AZ2257" s="213"/>
      <c r="BA2257" s="213"/>
      <c r="BB2257" s="213"/>
      <c r="BC2257" s="213"/>
      <c r="BD2257" s="213"/>
    </row>
    <row r="2258">
      <c r="A2258" s="213">
        <f>IFERROR(__xludf.DUMMYFUNCTION("""COMPUTED_VALUE"""),1377.0)</f>
        <v>1377</v>
      </c>
      <c r="B2258" s="213" t="str">
        <f>IFERROR(__xludf.DUMMYFUNCTION("""COMPUTED_VALUE"""),"GUILLERMO E. BILLINGHURST ")</f>
        <v>GUILLERMO E. BILLINGHURST </v>
      </c>
      <c r="C2258" s="213" t="str">
        <f>IFERROR(__xludf.DUMMYFUNCTION("""COMPUTED_VALUE"""),"TALLER SFT DE INDUSTRIA ALIMENTARIA")</f>
        <v>TALLER SFT DE INDUSTRIA ALIMENTARIA</v>
      </c>
      <c r="D2258" s="213" t="str">
        <f>IFERROR(__xludf.DUMMYFUNCTION("""COMPUTED_VALUE"""),"HERRAMIENTAS")</f>
        <v>HERRAMIENTAS</v>
      </c>
      <c r="E2258" s="213" t="str">
        <f>IFERROR(__xludf.DUMMYFUNCTION("""COMPUTED_VALUE"""),"MAT-392")</f>
        <v>MAT-392</v>
      </c>
      <c r="F2258" s="213" t="str">
        <f>IFERROR(__xludf.DUMMYFUNCTION("""COMPUTED_VALUE"""),"MAT-392")</f>
        <v>MAT-392</v>
      </c>
      <c r="G2258" s="213"/>
      <c r="H2258" s="213" t="str">
        <f>IFERROR(__xludf.DUMMYFUNCTION("""COMPUTED_VALUE"""),"OLLA 10 LITROS")</f>
        <v>OLLA 10 LITROS</v>
      </c>
      <c r="I2258" s="213" t="str">
        <f>IFERROR(__xludf.DUMMYFUNCTION("""COMPUTED_VALUE"""),"· Material: Acero inoxidable
· Fondo inducción con placa de aluminio en su interior, mejora la distribución del calor
· Capacidad 10 litros
· Espesor lados: 1mm mínimo.
· Espesor de la base: 3mm  mínimo.
· Alto: 19cm  mínimo.
· Diámetro 28cm  mínimo.")</f>
        <v>· Material: Acero inoxidable
· Fondo inducción con placa de aluminio en su interior, mejora la distribución del calor
· Capacidad 10 litros
· Espesor lados: 1mm mínimo.
· Espesor de la base: 3mm  mínimo.
· Alto: 19cm  mínimo.
· Diámetro 28cm  mínimo.</v>
      </c>
      <c r="J2258" s="213">
        <f>IFERROR(__xludf.DUMMYFUNCTION("""COMPUTED_VALUE"""),3.0)</f>
        <v>3</v>
      </c>
      <c r="K2258" s="213" t="str">
        <f>IFERROR(__xludf.DUMMYFUNCTION("""COMPUTED_VALUE"""),"90 DÍAS CALENDARIO")</f>
        <v>90 DÍAS CALENDARIO</v>
      </c>
      <c r="L2258" s="213" t="str">
        <f>IFERROR(__xludf.DUMMYFUNCTION("""COMPUTED_VALUE"""),"")</f>
        <v/>
      </c>
      <c r="M2258" s="213">
        <f>IFERROR(__xludf.DUMMYFUNCTION("""COMPUTED_VALUE"""),1.0)</f>
        <v>1</v>
      </c>
      <c r="N2258" s="213">
        <f>IFERROR(__xludf.DUMMYFUNCTION("""COMPUTED_VALUE"""),2.0)</f>
        <v>2</v>
      </c>
      <c r="O2258" s="213">
        <f>IFERROR(__xludf.DUMMYFUNCTION("""COMPUTED_VALUE"""),2.0)</f>
        <v>2</v>
      </c>
      <c r="P2258" s="213"/>
      <c r="Q2258" s="213"/>
      <c r="R2258" s="213" t="str">
        <f>IFERROR(__xludf.DUMMYFUNCTION("""COMPUTED_VALUE"""),"SI")</f>
        <v>SI</v>
      </c>
      <c r="S2258" s="213"/>
      <c r="T2258" s="213" t="str">
        <f>IFERROR(__xludf.DUMMYFUNCTION("""COMPUTED_VALUE"""),"CONSULTA FINAL")</f>
        <v>CONSULTA FINAL</v>
      </c>
      <c r="U2258" s="213" t="str">
        <f>IFERROR(__xludf.DUMMYFUNCTION("""COMPUTED_VALUE"""),"NO")</f>
        <v>NO</v>
      </c>
      <c r="V2258" s="213" t="str">
        <f>IFERROR(__xludf.DUMMYFUNCTION("""COMPUTED_VALUE"""),"SUSTENTO")</f>
        <v>SUSTENTO</v>
      </c>
      <c r="W2258" s="213" t="str">
        <f>IFERROR(__xludf.DUMMYFUNCTION("""COMPUTED_VALUE"""),"DIMENSIONAL")</f>
        <v>DIMENSIONAL</v>
      </c>
      <c r="X2258" s="213" t="str">
        <f>IFERROR(__xludf.DUMMYFUNCTION("""COMPUTED_VALUE"""),"TEAMFAR")</f>
        <v>TEAMFAR</v>
      </c>
      <c r="Y2258" s="213" t="str">
        <f>IFERROR(__xludf.DUMMYFUNCTION("""COMPUTED_VALUE"""),"TEAMFAR")</f>
        <v>TEAMFAR</v>
      </c>
      <c r="Z2258" s="215" t="str">
        <f>IFERROR(__xludf.DUMMYFUNCTION("""COMPUTED_VALUE"""),"https://www.amazon.com/-/es/inoxidable-inferior-inducci%C3%B3n-saludable-resistente/dp/B0D22MDF9Y/ref=sr_1_14?crid=17Y0BY3Y5LBF2&amp;dib=eyJ2IjoiMSJ9.NPjiVxPGx1MtggfVC_gJRD370f2ciqQLAQGMdtxDIwWJf_Ei08skr3DcciU1VOA2SUcvWj7cNv7jSND0LgSPbueeJHPP8kRw80bKnMKEi56jc"&amp;"s-avDcqWGlB3fkct5s_K2iYRMZfpRQ7AZQtByaff27jh1QhU3PSnuL85Re2HBUNHrgPpzj2rcFBrKPUseDgxsvkJYTY33WNVyf1B3o_HVNhhcKbpcfF_sn0lwPi9-k.6Q61sDR7t_F5AEoQUrVi8uBXoqR_nVdsNjmdMuqkF7g&amp;dib_tag=se&amp;keywords=olla%2B10%2Blitros%2Bacero%2Binoxidable&amp;qid=1759155238&amp;sprefix=o"&amp;"lla%2B10%2Blitros%2Bacero%2Binoxidable%2Caps%2C243&amp;sr=8-14&amp;th=1")</f>
        <v>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v>
      </c>
      <c r="AA2258" s="213" t="str">
        <f>IFERROR(__xludf.DUMMYFUNCTION("""COMPUTED_VALUE"""),"MAT-392 OLLA 10 LITROS - CET")</f>
        <v>MAT-392 OLLA 10 LITROS - CET</v>
      </c>
      <c r="AB2258" s="213"/>
      <c r="AC2258" s="213"/>
      <c r="AD2258" s="213"/>
      <c r="AE2258" s="213"/>
      <c r="AF2258" s="213"/>
      <c r="AG2258" s="213"/>
      <c r="AH2258" s="213"/>
      <c r="AI2258" s="213"/>
      <c r="AJ2258" s="213"/>
      <c r="AK2258" s="213"/>
      <c r="AL2258" s="213"/>
      <c r="AM2258" s="213"/>
      <c r="AN2258" s="213"/>
      <c r="AO2258" s="213"/>
      <c r="AP2258" s="213" t="str">
        <f>IFERROR(__xludf.DUMMYFUNCTION("""COMPUTED_VALUE"""),"LUIS")</f>
        <v>LUIS</v>
      </c>
      <c r="AQ2258" s="213"/>
      <c r="AR2258" s="213"/>
      <c r="AS2258" s="213"/>
      <c r="AT2258" s="213"/>
      <c r="AU2258" s="213"/>
      <c r="AV2258" s="213"/>
      <c r="AW2258" s="213"/>
      <c r="AX2258" s="213"/>
      <c r="AY2258" s="213"/>
      <c r="AZ2258" s="213"/>
      <c r="BA2258" s="213"/>
      <c r="BB2258" s="213"/>
      <c r="BC2258" s="213"/>
      <c r="BD2258" s="213"/>
    </row>
    <row r="2259">
      <c r="A2259" s="213">
        <f>IFERROR(__xludf.DUMMYFUNCTION("""COMPUTED_VALUE"""),79.0)</f>
        <v>79</v>
      </c>
      <c r="B2259" s="213" t="str">
        <f>IFERROR(__xludf.DUMMYFUNCTION("""COMPUTED_VALUE"""),"16449 ELOY SOBERON  FLORES")</f>
        <v>16449 ELOY SOBERON  FLORES</v>
      </c>
      <c r="C2259" s="213" t="str">
        <f>IFERROR(__xludf.DUMMYFUNCTION("""COMPUTED_VALUE"""),"TALLER SFT DE COCINA Y REPOSTERÍA")</f>
        <v>TALLER SFT DE COCINA Y REPOSTERÍA</v>
      </c>
      <c r="D2259" s="213" t="str">
        <f>IFERROR(__xludf.DUMMYFUNCTION("""COMPUTED_VALUE"""),"MOBILIARIO")</f>
        <v>MOBILIARIO</v>
      </c>
      <c r="E2259" s="213" t="str">
        <f>IFERROR(__xludf.DUMMYFUNCTION("""COMPUTED_VALUE"""),"MOB-168")</f>
        <v>MOB-168</v>
      </c>
      <c r="F2259" s="213" t="str">
        <f>IFERROR(__xludf.DUMMYFUNCTION("""COMPUTED_VALUE"""),"MOB-168")</f>
        <v>MOB-168</v>
      </c>
      <c r="G2259" s="213"/>
      <c r="H2259" s="213" t="str">
        <f>IFERROR(__xludf.DUMMYFUNCTION("""COMPUTED_VALUE"""),"SILLA PARA EL DOCENTE")</f>
        <v>SILLA PARA EL DOCENTE</v>
      </c>
      <c r="I2259"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59" s="213">
        <f>IFERROR(__xludf.DUMMYFUNCTION("""COMPUTED_VALUE"""),3.0)</f>
        <v>3</v>
      </c>
      <c r="K2259" s="213" t="str">
        <f>IFERROR(__xludf.DUMMYFUNCTION("""COMPUTED_VALUE"""),"90 DÍAS CALENDARIO")</f>
        <v>90 DÍAS CALENDARIO</v>
      </c>
      <c r="L2259" s="213" t="str">
        <f>IFERROR(__xludf.DUMMYFUNCTION("""COMPUTED_VALUE"""),"")</f>
        <v/>
      </c>
      <c r="M2259" s="213">
        <f>IFERROR(__xludf.DUMMYFUNCTION("""COMPUTED_VALUE"""),1.0)</f>
        <v>1</v>
      </c>
      <c r="N2259" s="213">
        <f>IFERROR(__xludf.DUMMYFUNCTION("""COMPUTED_VALUE"""),1.0)</f>
        <v>1</v>
      </c>
      <c r="O2259" s="213">
        <f>IFERROR(__xludf.DUMMYFUNCTION("""COMPUTED_VALUE"""),1.0)</f>
        <v>1</v>
      </c>
      <c r="P2259" s="213"/>
      <c r="Q2259" s="213"/>
      <c r="R2259" s="213"/>
      <c r="S2259" s="213"/>
      <c r="T2259" s="213"/>
      <c r="U2259" s="213"/>
      <c r="V2259" s="213"/>
      <c r="W2259" s="213"/>
      <c r="X2259" s="213"/>
      <c r="Y2259" s="213"/>
      <c r="Z2259" s="213"/>
      <c r="AA2259" s="213"/>
      <c r="AB2259" s="213"/>
      <c r="AC2259" s="213"/>
      <c r="AD2259" s="213"/>
      <c r="AE2259" s="213"/>
      <c r="AF2259" s="213"/>
      <c r="AG2259" s="213"/>
      <c r="AH2259" s="213"/>
      <c r="AI2259" s="213"/>
      <c r="AJ2259" s="213"/>
      <c r="AK2259" s="213"/>
      <c r="AL2259" s="213"/>
      <c r="AM2259" s="213"/>
      <c r="AN2259" s="213"/>
      <c r="AO2259" s="213"/>
      <c r="AP2259" s="213"/>
      <c r="AQ2259" s="213"/>
      <c r="AR2259" s="213"/>
      <c r="AS2259" s="213"/>
      <c r="AT2259" s="213"/>
      <c r="AU2259" s="213"/>
      <c r="AV2259" s="213"/>
      <c r="AW2259" s="213"/>
      <c r="AX2259" s="213"/>
      <c r="AY2259" s="213"/>
      <c r="AZ2259" s="213"/>
      <c r="BA2259" s="213"/>
      <c r="BB2259" s="213"/>
      <c r="BC2259" s="213"/>
      <c r="BD2259" s="213"/>
    </row>
    <row r="2260">
      <c r="A2260" s="213">
        <f>IFERROR(__xludf.DUMMYFUNCTION("""COMPUTED_VALUE"""),142.0)</f>
        <v>142</v>
      </c>
      <c r="B2260" s="213" t="str">
        <f>IFERROR(__xludf.DUMMYFUNCTION("""COMPUTED_VALUE"""),"2026 SIMON BOLIVAR")</f>
        <v>2026 SIMON BOLIVAR</v>
      </c>
      <c r="C2260" s="213" t="str">
        <f>IFERROR(__xludf.DUMMYFUNCTION("""COMPUTED_VALUE"""),"TALLER SFT DE INDUSTRIA DEL VESTIDO")</f>
        <v>TALLER SFT DE INDUSTRIA DEL VESTIDO</v>
      </c>
      <c r="D2260" s="213" t="str">
        <f>IFERROR(__xludf.DUMMYFUNCTION("""COMPUTED_VALUE"""),"MOBILIARIO")</f>
        <v>MOBILIARIO</v>
      </c>
      <c r="E2260" s="213" t="str">
        <f>IFERROR(__xludf.DUMMYFUNCTION("""COMPUTED_VALUE"""),"MOB-168")</f>
        <v>MOB-168</v>
      </c>
      <c r="F2260" s="213" t="str">
        <f>IFERROR(__xludf.DUMMYFUNCTION("""COMPUTED_VALUE"""),"MOB-168")</f>
        <v>MOB-168</v>
      </c>
      <c r="G2260" s="213"/>
      <c r="H2260" s="213" t="str">
        <f>IFERROR(__xludf.DUMMYFUNCTION("""COMPUTED_VALUE"""),"SILLA PARA EL DOCENTE")</f>
        <v>SILLA PARA EL DOCENTE</v>
      </c>
      <c r="I2260"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0" s="213">
        <f>IFERROR(__xludf.DUMMYFUNCTION("""COMPUTED_VALUE"""),3.0)</f>
        <v>3</v>
      </c>
      <c r="K2260" s="213" t="str">
        <f>IFERROR(__xludf.DUMMYFUNCTION("""COMPUTED_VALUE"""),"90 DÍAS CALENDARIO")</f>
        <v>90 DÍAS CALENDARIO</v>
      </c>
      <c r="L2260" s="213" t="str">
        <f>IFERROR(__xludf.DUMMYFUNCTION("""COMPUTED_VALUE"""),"")</f>
        <v/>
      </c>
      <c r="M2260" s="213">
        <f>IFERROR(__xludf.DUMMYFUNCTION("""COMPUTED_VALUE"""),1.0)</f>
        <v>1</v>
      </c>
      <c r="N2260" s="213">
        <f>IFERROR(__xludf.DUMMYFUNCTION("""COMPUTED_VALUE"""),1.0)</f>
        <v>1</v>
      </c>
      <c r="O2260" s="213">
        <f>IFERROR(__xludf.DUMMYFUNCTION("""COMPUTED_VALUE"""),1.0)</f>
        <v>1</v>
      </c>
      <c r="P2260" s="213"/>
      <c r="Q2260" s="213"/>
      <c r="R2260" s="213"/>
      <c r="S2260" s="213"/>
      <c r="T2260" s="213"/>
      <c r="U2260" s="213"/>
      <c r="V2260" s="213"/>
      <c r="W2260" s="213"/>
      <c r="X2260" s="213"/>
      <c r="Y2260" s="213"/>
      <c r="Z2260" s="213"/>
      <c r="AA2260" s="213"/>
      <c r="AB2260" s="213"/>
      <c r="AC2260" s="213"/>
      <c r="AD2260" s="213"/>
      <c r="AE2260" s="213"/>
      <c r="AF2260" s="213"/>
      <c r="AG2260" s="213"/>
      <c r="AH2260" s="213"/>
      <c r="AI2260" s="213"/>
      <c r="AJ2260" s="213"/>
      <c r="AK2260" s="213"/>
      <c r="AL2260" s="213"/>
      <c r="AM2260" s="213"/>
      <c r="AN2260" s="213"/>
      <c r="AO2260" s="213"/>
      <c r="AP2260" s="213"/>
      <c r="AQ2260" s="213"/>
      <c r="AR2260" s="213"/>
      <c r="AS2260" s="213"/>
      <c r="AT2260" s="213"/>
      <c r="AU2260" s="213"/>
      <c r="AV2260" s="213"/>
      <c r="AW2260" s="213"/>
      <c r="AX2260" s="213"/>
      <c r="AY2260" s="213"/>
      <c r="AZ2260" s="213"/>
      <c r="BA2260" s="213"/>
      <c r="BB2260" s="213"/>
      <c r="BC2260" s="213"/>
      <c r="BD2260" s="213"/>
    </row>
    <row r="2261">
      <c r="A2261" s="213">
        <f>IFERROR(__xludf.DUMMYFUNCTION("""COMPUTED_VALUE"""),244.0)</f>
        <v>244</v>
      </c>
      <c r="B2261" s="213" t="str">
        <f>IFERROR(__xludf.DUMMYFUNCTION("""COMPUTED_VALUE"""),"2026 SIMON BOLIVAR")</f>
        <v>2026 SIMON BOLIVAR</v>
      </c>
      <c r="C2261" s="213" t="str">
        <f>IFERROR(__xludf.DUMMYFUNCTION("""COMPUTED_VALUE"""),"TALLER SFT DE COMPUTACIÓN E INFORMÁTICA")</f>
        <v>TALLER SFT DE COMPUTACIÓN E INFORMÁTICA</v>
      </c>
      <c r="D2261" s="213" t="str">
        <f>IFERROR(__xludf.DUMMYFUNCTION("""COMPUTED_VALUE"""),"MOBILIARIO")</f>
        <v>MOBILIARIO</v>
      </c>
      <c r="E2261" s="213" t="str">
        <f>IFERROR(__xludf.DUMMYFUNCTION("""COMPUTED_VALUE"""),"MOB-168")</f>
        <v>MOB-168</v>
      </c>
      <c r="F2261" s="213" t="str">
        <f>IFERROR(__xludf.DUMMYFUNCTION("""COMPUTED_VALUE"""),"MOB-168")</f>
        <v>MOB-168</v>
      </c>
      <c r="G2261" s="213"/>
      <c r="H2261" s="213" t="str">
        <f>IFERROR(__xludf.DUMMYFUNCTION("""COMPUTED_VALUE"""),"SILLA PARA EL DOCENTE")</f>
        <v>SILLA PARA EL DOCENTE</v>
      </c>
      <c r="I2261"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1" s="213">
        <f>IFERROR(__xludf.DUMMYFUNCTION("""COMPUTED_VALUE"""),3.0)</f>
        <v>3</v>
      </c>
      <c r="K2261" s="213" t="str">
        <f>IFERROR(__xludf.DUMMYFUNCTION("""COMPUTED_VALUE"""),"90 DÍAS CALENDARIO")</f>
        <v>90 DÍAS CALENDARIO</v>
      </c>
      <c r="L2261" s="213" t="str">
        <f>IFERROR(__xludf.DUMMYFUNCTION("""COMPUTED_VALUE"""),"")</f>
        <v/>
      </c>
      <c r="M2261" s="213">
        <f>IFERROR(__xludf.DUMMYFUNCTION("""COMPUTED_VALUE"""),1.0)</f>
        <v>1</v>
      </c>
      <c r="N2261" s="213">
        <f>IFERROR(__xludf.DUMMYFUNCTION("""COMPUTED_VALUE"""),1.0)</f>
        <v>1</v>
      </c>
      <c r="O2261" s="213">
        <f>IFERROR(__xludf.DUMMYFUNCTION("""COMPUTED_VALUE"""),1.0)</f>
        <v>1</v>
      </c>
      <c r="P2261" s="213"/>
      <c r="Q2261" s="213"/>
      <c r="R2261" s="213"/>
      <c r="S2261" s="213"/>
      <c r="T2261" s="213"/>
      <c r="U2261" s="213"/>
      <c r="V2261" s="213"/>
      <c r="W2261" s="213"/>
      <c r="X2261" s="213"/>
      <c r="Y2261" s="213"/>
      <c r="Z2261" s="213"/>
      <c r="AA2261" s="213"/>
      <c r="AB2261" s="213"/>
      <c r="AC2261" s="213"/>
      <c r="AD2261" s="213"/>
      <c r="AE2261" s="213"/>
      <c r="AF2261" s="213"/>
      <c r="AG2261" s="213"/>
      <c r="AH2261" s="213"/>
      <c r="AI2261" s="213"/>
      <c r="AJ2261" s="213"/>
      <c r="AK2261" s="213"/>
      <c r="AL2261" s="213"/>
      <c r="AM2261" s="213"/>
      <c r="AN2261" s="213"/>
      <c r="AO2261" s="213"/>
      <c r="AP2261" s="213"/>
      <c r="AQ2261" s="213"/>
      <c r="AR2261" s="213"/>
      <c r="AS2261" s="213"/>
      <c r="AT2261" s="213"/>
      <c r="AU2261" s="213"/>
      <c r="AV2261" s="213"/>
      <c r="AW2261" s="213"/>
      <c r="AX2261" s="213"/>
      <c r="AY2261" s="213"/>
      <c r="AZ2261" s="213"/>
      <c r="BA2261" s="213"/>
      <c r="BB2261" s="213"/>
      <c r="BC2261" s="213"/>
      <c r="BD2261" s="213"/>
    </row>
    <row r="2262">
      <c r="A2262" s="213">
        <f>IFERROR(__xludf.DUMMYFUNCTION("""COMPUTED_VALUE"""),261.0)</f>
        <v>261</v>
      </c>
      <c r="B2262" s="213" t="str">
        <f>IFERROR(__xludf.DUMMYFUNCTION("""COMPUTED_VALUE"""),"2026 SIMON BOLIVAR")</f>
        <v>2026 SIMON BOLIVAR</v>
      </c>
      <c r="C2262" s="213" t="str">
        <f>IFERROR(__xludf.DUMMYFUNCTION("""COMPUTED_VALUE"""),"TALLER SFT DE COMPUTACIÓN E INFORMÁTICA")</f>
        <v>TALLER SFT DE COMPUTACIÓN E INFORMÁTICA</v>
      </c>
      <c r="D2262" s="213" t="str">
        <f>IFERROR(__xludf.DUMMYFUNCTION("""COMPUTED_VALUE"""),"MOBILIARIO")</f>
        <v>MOBILIARIO</v>
      </c>
      <c r="E2262" s="213" t="str">
        <f>IFERROR(__xludf.DUMMYFUNCTION("""COMPUTED_VALUE"""),"MOB-168")</f>
        <v>MOB-168</v>
      </c>
      <c r="F2262" s="213" t="str">
        <f>IFERROR(__xludf.DUMMYFUNCTION("""COMPUTED_VALUE"""),"MOB-168")</f>
        <v>MOB-168</v>
      </c>
      <c r="G2262" s="213"/>
      <c r="H2262" s="213" t="str">
        <f>IFERROR(__xludf.DUMMYFUNCTION("""COMPUTED_VALUE"""),"SILLA PARA EL DOCENTE")</f>
        <v>SILLA PARA EL DOCENTE</v>
      </c>
      <c r="I2262"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2" s="213">
        <f>IFERROR(__xludf.DUMMYFUNCTION("""COMPUTED_VALUE"""),3.0)</f>
        <v>3</v>
      </c>
      <c r="K2262" s="213" t="str">
        <f>IFERROR(__xludf.DUMMYFUNCTION("""COMPUTED_VALUE"""),"90 DÍAS CALENDARIO")</f>
        <v>90 DÍAS CALENDARIO</v>
      </c>
      <c r="L2262" s="213" t="str">
        <f>IFERROR(__xludf.DUMMYFUNCTION("""COMPUTED_VALUE"""),"")</f>
        <v/>
      </c>
      <c r="M2262" s="213">
        <f>IFERROR(__xludf.DUMMYFUNCTION("""COMPUTED_VALUE"""),1.0)</f>
        <v>1</v>
      </c>
      <c r="N2262" s="213">
        <f>IFERROR(__xludf.DUMMYFUNCTION("""COMPUTED_VALUE"""),1.0)</f>
        <v>1</v>
      </c>
      <c r="O2262" s="213">
        <f>IFERROR(__xludf.DUMMYFUNCTION("""COMPUTED_VALUE"""),1.0)</f>
        <v>1</v>
      </c>
      <c r="P2262" s="213"/>
      <c r="Q2262" s="213"/>
      <c r="R2262" s="213"/>
      <c r="S2262" s="213"/>
      <c r="T2262" s="213"/>
      <c r="U2262" s="213"/>
      <c r="V2262" s="213"/>
      <c r="W2262" s="213"/>
      <c r="X2262" s="213"/>
      <c r="Y2262" s="213"/>
      <c r="Z2262" s="213"/>
      <c r="AA2262" s="213"/>
      <c r="AB2262" s="213"/>
      <c r="AC2262" s="213"/>
      <c r="AD2262" s="213"/>
      <c r="AE2262" s="213"/>
      <c r="AF2262" s="213"/>
      <c r="AG2262" s="213"/>
      <c r="AH2262" s="213"/>
      <c r="AI2262" s="213"/>
      <c r="AJ2262" s="213"/>
      <c r="AK2262" s="213"/>
      <c r="AL2262" s="213"/>
      <c r="AM2262" s="213"/>
      <c r="AN2262" s="213"/>
      <c r="AO2262" s="213"/>
      <c r="AP2262" s="213"/>
      <c r="AQ2262" s="213"/>
      <c r="AR2262" s="213"/>
      <c r="AS2262" s="213"/>
      <c r="AT2262" s="213"/>
      <c r="AU2262" s="213"/>
      <c r="AV2262" s="213"/>
      <c r="AW2262" s="213"/>
      <c r="AX2262" s="213"/>
      <c r="AY2262" s="213"/>
      <c r="AZ2262" s="213"/>
      <c r="BA2262" s="213"/>
      <c r="BB2262" s="213"/>
      <c r="BC2262" s="213"/>
      <c r="BD2262" s="213"/>
    </row>
    <row r="2263">
      <c r="A2263" s="213">
        <f>IFERROR(__xludf.DUMMYFUNCTION("""COMPUTED_VALUE"""),338.0)</f>
        <v>338</v>
      </c>
      <c r="B2263" s="213" t="str">
        <f>IFERROR(__xludf.DUMMYFUNCTION("""COMPUTED_VALUE"""),"2026 SIMON BOLIVAR")</f>
        <v>2026 SIMON BOLIVAR</v>
      </c>
      <c r="C2263" s="213" t="str">
        <f>IFERROR(__xludf.DUMMYFUNCTION("""COMPUTED_VALUE"""),"TALLER SFT DE ELECTRICIDAD")</f>
        <v>TALLER SFT DE ELECTRICIDAD</v>
      </c>
      <c r="D2263" s="213" t="str">
        <f>IFERROR(__xludf.DUMMYFUNCTION("""COMPUTED_VALUE"""),"MOBILIARIO")</f>
        <v>MOBILIARIO</v>
      </c>
      <c r="E2263" s="213" t="str">
        <f>IFERROR(__xludf.DUMMYFUNCTION("""COMPUTED_VALUE"""),"MOB-168")</f>
        <v>MOB-168</v>
      </c>
      <c r="F2263" s="213" t="str">
        <f>IFERROR(__xludf.DUMMYFUNCTION("""COMPUTED_VALUE"""),"MOB-168")</f>
        <v>MOB-168</v>
      </c>
      <c r="G2263" s="213"/>
      <c r="H2263" s="213" t="str">
        <f>IFERROR(__xludf.DUMMYFUNCTION("""COMPUTED_VALUE"""),"SILLA PARA EL DOCENTE")</f>
        <v>SILLA PARA EL DOCENTE</v>
      </c>
      <c r="I2263"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3" s="213">
        <f>IFERROR(__xludf.DUMMYFUNCTION("""COMPUTED_VALUE"""),3.0)</f>
        <v>3</v>
      </c>
      <c r="K2263" s="213" t="str">
        <f>IFERROR(__xludf.DUMMYFUNCTION("""COMPUTED_VALUE"""),"90 DÍAS CALENDARIO")</f>
        <v>90 DÍAS CALENDARIO</v>
      </c>
      <c r="L2263" s="213" t="str">
        <f>IFERROR(__xludf.DUMMYFUNCTION("""COMPUTED_VALUE"""),"")</f>
        <v/>
      </c>
      <c r="M2263" s="213">
        <f>IFERROR(__xludf.DUMMYFUNCTION("""COMPUTED_VALUE"""),1.0)</f>
        <v>1</v>
      </c>
      <c r="N2263" s="213">
        <f>IFERROR(__xludf.DUMMYFUNCTION("""COMPUTED_VALUE"""),1.0)</f>
        <v>1</v>
      </c>
      <c r="O2263" s="213">
        <f>IFERROR(__xludf.DUMMYFUNCTION("""COMPUTED_VALUE"""),1.0)</f>
        <v>1</v>
      </c>
      <c r="P2263" s="213"/>
      <c r="Q2263" s="213"/>
      <c r="R2263" s="213"/>
      <c r="S2263" s="213"/>
      <c r="T2263" s="213"/>
      <c r="U2263" s="213"/>
      <c r="V2263" s="213"/>
      <c r="W2263" s="213"/>
      <c r="X2263" s="213"/>
      <c r="Y2263" s="213"/>
      <c r="Z2263" s="213"/>
      <c r="AA2263" s="213"/>
      <c r="AB2263" s="213"/>
      <c r="AC2263" s="213"/>
      <c r="AD2263" s="213"/>
      <c r="AE2263" s="213"/>
      <c r="AF2263" s="213"/>
      <c r="AG2263" s="213"/>
      <c r="AH2263" s="213"/>
      <c r="AI2263" s="213"/>
      <c r="AJ2263" s="213"/>
      <c r="AK2263" s="213"/>
      <c r="AL2263" s="213"/>
      <c r="AM2263" s="213"/>
      <c r="AN2263" s="213"/>
      <c r="AO2263" s="213"/>
      <c r="AP2263" s="213"/>
      <c r="AQ2263" s="213"/>
      <c r="AR2263" s="213"/>
      <c r="AS2263" s="213"/>
      <c r="AT2263" s="213"/>
      <c r="AU2263" s="213"/>
      <c r="AV2263" s="213"/>
      <c r="AW2263" s="213"/>
      <c r="AX2263" s="213"/>
      <c r="AY2263" s="213"/>
      <c r="AZ2263" s="213"/>
      <c r="BA2263" s="213"/>
      <c r="BB2263" s="213"/>
      <c r="BC2263" s="213"/>
      <c r="BD2263" s="213"/>
    </row>
    <row r="2264">
      <c r="A2264" s="213">
        <f>IFERROR(__xludf.DUMMYFUNCTION("""COMPUTED_VALUE"""),423.0)</f>
        <v>423</v>
      </c>
      <c r="B2264" s="213" t="str">
        <f>IFERROR(__xludf.DUMMYFUNCTION("""COMPUTED_VALUE"""),"2026 SIMON BOLIVAR")</f>
        <v>2026 SIMON BOLIVAR</v>
      </c>
      <c r="C2264" s="213" t="str">
        <f>IFERROR(__xludf.DUMMYFUNCTION("""COMPUTED_VALUE"""),"TALLER SFT DE INDUSTRIA ALIMENTARIA")</f>
        <v>TALLER SFT DE INDUSTRIA ALIMENTARIA</v>
      </c>
      <c r="D2264" s="213" t="str">
        <f>IFERROR(__xludf.DUMMYFUNCTION("""COMPUTED_VALUE"""),"MOBILIARIO")</f>
        <v>MOBILIARIO</v>
      </c>
      <c r="E2264" s="213" t="str">
        <f>IFERROR(__xludf.DUMMYFUNCTION("""COMPUTED_VALUE"""),"MOB-168")</f>
        <v>MOB-168</v>
      </c>
      <c r="F2264" s="213" t="str">
        <f>IFERROR(__xludf.DUMMYFUNCTION("""COMPUTED_VALUE"""),"MOB-168")</f>
        <v>MOB-168</v>
      </c>
      <c r="G2264" s="213"/>
      <c r="H2264" s="213" t="str">
        <f>IFERROR(__xludf.DUMMYFUNCTION("""COMPUTED_VALUE"""),"SILLA PARA EL DOCENTE")</f>
        <v>SILLA PARA EL DOCENTE</v>
      </c>
      <c r="I2264"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4" s="213">
        <f>IFERROR(__xludf.DUMMYFUNCTION("""COMPUTED_VALUE"""),3.0)</f>
        <v>3</v>
      </c>
      <c r="K2264" s="213" t="str">
        <f>IFERROR(__xludf.DUMMYFUNCTION("""COMPUTED_VALUE"""),"90 DÍAS CALENDARIO")</f>
        <v>90 DÍAS CALENDARIO</v>
      </c>
      <c r="L2264" s="213" t="str">
        <f>IFERROR(__xludf.DUMMYFUNCTION("""COMPUTED_VALUE"""),"")</f>
        <v/>
      </c>
      <c r="M2264" s="213">
        <f>IFERROR(__xludf.DUMMYFUNCTION("""COMPUTED_VALUE"""),1.0)</f>
        <v>1</v>
      </c>
      <c r="N2264" s="213">
        <f>IFERROR(__xludf.DUMMYFUNCTION("""COMPUTED_VALUE"""),1.0)</f>
        <v>1</v>
      </c>
      <c r="O2264" s="213">
        <f>IFERROR(__xludf.DUMMYFUNCTION("""COMPUTED_VALUE"""),1.0)</f>
        <v>1</v>
      </c>
      <c r="P2264" s="213"/>
      <c r="Q2264" s="213"/>
      <c r="R2264" s="213"/>
      <c r="S2264" s="213"/>
      <c r="T2264" s="213"/>
      <c r="U2264" s="213"/>
      <c r="V2264" s="213"/>
      <c r="W2264" s="213"/>
      <c r="X2264" s="213"/>
      <c r="Y2264" s="213"/>
      <c r="Z2264" s="213"/>
      <c r="AA2264" s="213"/>
      <c r="AB2264" s="213"/>
      <c r="AC2264" s="213"/>
      <c r="AD2264" s="213"/>
      <c r="AE2264" s="213"/>
      <c r="AF2264" s="213"/>
      <c r="AG2264" s="213"/>
      <c r="AH2264" s="213"/>
      <c r="AI2264" s="213"/>
      <c r="AJ2264" s="213"/>
      <c r="AK2264" s="213"/>
      <c r="AL2264" s="213"/>
      <c r="AM2264" s="213"/>
      <c r="AN2264" s="213"/>
      <c r="AO2264" s="213"/>
      <c r="AP2264" s="213"/>
      <c r="AQ2264" s="213"/>
      <c r="AR2264" s="213"/>
      <c r="AS2264" s="213"/>
      <c r="AT2264" s="213"/>
      <c r="AU2264" s="213"/>
      <c r="AV2264" s="213"/>
      <c r="AW2264" s="213"/>
      <c r="AX2264" s="213"/>
      <c r="AY2264" s="213"/>
      <c r="AZ2264" s="213"/>
      <c r="BA2264" s="213"/>
      <c r="BB2264" s="213"/>
      <c r="BC2264" s="213"/>
      <c r="BD2264" s="213"/>
    </row>
    <row r="2265">
      <c r="A2265" s="213">
        <f>IFERROR(__xludf.DUMMYFUNCTION("""COMPUTED_VALUE"""),612.0)</f>
        <v>612</v>
      </c>
      <c r="B2265" s="213" t="str">
        <f>IFERROR(__xludf.DUMMYFUNCTION("""COMPUTED_VALUE"""),"6049 RICARDO PALMA")</f>
        <v>6049 RICARDO PALMA</v>
      </c>
      <c r="C2265" s="213" t="str">
        <f>IFERROR(__xludf.DUMMYFUNCTION("""COMPUTED_VALUE"""),"TALLER SFT DE ELECTRÓNICA")</f>
        <v>TALLER SFT DE ELECTRÓNICA</v>
      </c>
      <c r="D2265" s="213" t="str">
        <f>IFERROR(__xludf.DUMMYFUNCTION("""COMPUTED_VALUE"""),"MOBILIARIO")</f>
        <v>MOBILIARIO</v>
      </c>
      <c r="E2265" s="213" t="str">
        <f>IFERROR(__xludf.DUMMYFUNCTION("""COMPUTED_VALUE"""),"MOB-168")</f>
        <v>MOB-168</v>
      </c>
      <c r="F2265" s="213" t="str">
        <f>IFERROR(__xludf.DUMMYFUNCTION("""COMPUTED_VALUE"""),"MOB-168")</f>
        <v>MOB-168</v>
      </c>
      <c r="G2265" s="213"/>
      <c r="H2265" s="213" t="str">
        <f>IFERROR(__xludf.DUMMYFUNCTION("""COMPUTED_VALUE"""),"SILLA PARA EL DOCENTE")</f>
        <v>SILLA PARA EL DOCENTE</v>
      </c>
      <c r="I2265"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5" s="213">
        <f>IFERROR(__xludf.DUMMYFUNCTION("""COMPUTED_VALUE"""),3.0)</f>
        <v>3</v>
      </c>
      <c r="K2265" s="213" t="str">
        <f>IFERROR(__xludf.DUMMYFUNCTION("""COMPUTED_VALUE"""),"90 DÍAS CALENDARIO")</f>
        <v>90 DÍAS CALENDARIO</v>
      </c>
      <c r="L2265" s="213" t="str">
        <f>IFERROR(__xludf.DUMMYFUNCTION("""COMPUTED_VALUE"""),"")</f>
        <v/>
      </c>
      <c r="M2265" s="213">
        <f>IFERROR(__xludf.DUMMYFUNCTION("""COMPUTED_VALUE"""),1.0)</f>
        <v>1</v>
      </c>
      <c r="N2265" s="213">
        <f>IFERROR(__xludf.DUMMYFUNCTION("""COMPUTED_VALUE"""),1.0)</f>
        <v>1</v>
      </c>
      <c r="O2265" s="213">
        <f>IFERROR(__xludf.DUMMYFUNCTION("""COMPUTED_VALUE"""),1.0)</f>
        <v>1</v>
      </c>
      <c r="P2265" s="213"/>
      <c r="Q2265" s="213"/>
      <c r="R2265" s="213"/>
      <c r="S2265" s="213"/>
      <c r="T2265" s="213"/>
      <c r="U2265" s="213"/>
      <c r="V2265" s="213"/>
      <c r="W2265" s="213"/>
      <c r="X2265" s="213"/>
      <c r="Y2265" s="213"/>
      <c r="Z2265" s="213"/>
      <c r="AA2265" s="213"/>
      <c r="AB2265" s="213"/>
      <c r="AC2265" s="213"/>
      <c r="AD2265" s="213"/>
      <c r="AE2265" s="213"/>
      <c r="AF2265" s="213"/>
      <c r="AG2265" s="213"/>
      <c r="AH2265" s="213"/>
      <c r="AI2265" s="213"/>
      <c r="AJ2265" s="213"/>
      <c r="AK2265" s="213"/>
      <c r="AL2265" s="213"/>
      <c r="AM2265" s="213"/>
      <c r="AN2265" s="213"/>
      <c r="AO2265" s="213"/>
      <c r="AP2265" s="213"/>
      <c r="AQ2265" s="213"/>
      <c r="AR2265" s="213"/>
      <c r="AS2265" s="213"/>
      <c r="AT2265" s="213"/>
      <c r="AU2265" s="213"/>
      <c r="AV2265" s="213"/>
      <c r="AW2265" s="213"/>
      <c r="AX2265" s="213"/>
      <c r="AY2265" s="213"/>
      <c r="AZ2265" s="213"/>
      <c r="BA2265" s="213"/>
      <c r="BB2265" s="213"/>
      <c r="BC2265" s="213"/>
      <c r="BD2265" s="213"/>
    </row>
    <row r="2266">
      <c r="A2266" s="213">
        <f>IFERROR(__xludf.DUMMYFUNCTION("""COMPUTED_VALUE"""),746.0)</f>
        <v>746</v>
      </c>
      <c r="B2266" s="213" t="str">
        <f>IFERROR(__xludf.DUMMYFUNCTION("""COMPUTED_VALUE"""),"6049 RICARDO PALMA")</f>
        <v>6049 RICARDO PALMA</v>
      </c>
      <c r="C2266" s="213" t="str">
        <f>IFERROR(__xludf.DUMMYFUNCTION("""COMPUTED_VALUE"""),"TALLER SFT DE COMPUTACIÓN E INFORMÁTICA")</f>
        <v>TALLER SFT DE COMPUTACIÓN E INFORMÁTICA</v>
      </c>
      <c r="D2266" s="213" t="str">
        <f>IFERROR(__xludf.DUMMYFUNCTION("""COMPUTED_VALUE"""),"MOBILIARIO")</f>
        <v>MOBILIARIO</v>
      </c>
      <c r="E2266" s="213" t="str">
        <f>IFERROR(__xludf.DUMMYFUNCTION("""COMPUTED_VALUE"""),"MOB-168")</f>
        <v>MOB-168</v>
      </c>
      <c r="F2266" s="213" t="str">
        <f>IFERROR(__xludf.DUMMYFUNCTION("""COMPUTED_VALUE"""),"MOB-168")</f>
        <v>MOB-168</v>
      </c>
      <c r="G2266" s="213"/>
      <c r="H2266" s="213" t="str">
        <f>IFERROR(__xludf.DUMMYFUNCTION("""COMPUTED_VALUE"""),"SILLA PARA EL DOCENTE")</f>
        <v>SILLA PARA EL DOCENTE</v>
      </c>
      <c r="I2266"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6" s="213">
        <f>IFERROR(__xludf.DUMMYFUNCTION("""COMPUTED_VALUE"""),3.0)</f>
        <v>3</v>
      </c>
      <c r="K2266" s="213" t="str">
        <f>IFERROR(__xludf.DUMMYFUNCTION("""COMPUTED_VALUE"""),"90 DÍAS CALENDARIO")</f>
        <v>90 DÍAS CALENDARIO</v>
      </c>
      <c r="L2266" s="213" t="str">
        <f>IFERROR(__xludf.DUMMYFUNCTION("""COMPUTED_VALUE"""),"")</f>
        <v/>
      </c>
      <c r="M2266" s="213">
        <f>IFERROR(__xludf.DUMMYFUNCTION("""COMPUTED_VALUE"""),1.0)</f>
        <v>1</v>
      </c>
      <c r="N2266" s="213">
        <f>IFERROR(__xludf.DUMMYFUNCTION("""COMPUTED_VALUE"""),2.0)</f>
        <v>2</v>
      </c>
      <c r="O2266" s="213">
        <f>IFERROR(__xludf.DUMMYFUNCTION("""COMPUTED_VALUE"""),2.0)</f>
        <v>2</v>
      </c>
      <c r="P2266" s="213"/>
      <c r="Q2266" s="213"/>
      <c r="R2266" s="213"/>
      <c r="S2266" s="213"/>
      <c r="T2266" s="213"/>
      <c r="U2266" s="213"/>
      <c r="V2266" s="213"/>
      <c r="W2266" s="213"/>
      <c r="X2266" s="213"/>
      <c r="Y2266" s="213"/>
      <c r="Z2266" s="213"/>
      <c r="AA2266" s="213"/>
      <c r="AB2266" s="213"/>
      <c r="AC2266" s="213"/>
      <c r="AD2266" s="213"/>
      <c r="AE2266" s="213"/>
      <c r="AF2266" s="213"/>
      <c r="AG2266" s="213"/>
      <c r="AH2266" s="213"/>
      <c r="AI2266" s="213"/>
      <c r="AJ2266" s="213"/>
      <c r="AK2266" s="213"/>
      <c r="AL2266" s="213"/>
      <c r="AM2266" s="213"/>
      <c r="AN2266" s="213"/>
      <c r="AO2266" s="213"/>
      <c r="AP2266" s="213"/>
      <c r="AQ2266" s="213"/>
      <c r="AR2266" s="213"/>
      <c r="AS2266" s="213"/>
      <c r="AT2266" s="213"/>
      <c r="AU2266" s="213"/>
      <c r="AV2266" s="213"/>
      <c r="AW2266" s="213"/>
      <c r="AX2266" s="213"/>
      <c r="AY2266" s="213"/>
      <c r="AZ2266" s="213"/>
      <c r="BA2266" s="213"/>
      <c r="BB2266" s="213"/>
      <c r="BC2266" s="213"/>
      <c r="BD2266" s="213"/>
    </row>
    <row r="2267">
      <c r="A2267" s="213">
        <f>IFERROR(__xludf.DUMMYFUNCTION("""COMPUTED_VALUE"""),824.0)</f>
        <v>824</v>
      </c>
      <c r="B2267" s="213" t="str">
        <f>IFERROR(__xludf.DUMMYFUNCTION("""COMPUTED_VALUE"""),"6049 RICARDO PALMA")</f>
        <v>6049 RICARDO PALMA</v>
      </c>
      <c r="C2267" s="213" t="str">
        <f>IFERROR(__xludf.DUMMYFUNCTION("""COMPUTED_VALUE"""),"TALLER SFT DE ELECTRICIDAD")</f>
        <v>TALLER SFT DE ELECTRICIDAD</v>
      </c>
      <c r="D2267" s="213" t="str">
        <f>IFERROR(__xludf.DUMMYFUNCTION("""COMPUTED_VALUE"""),"MOBILIARIO")</f>
        <v>MOBILIARIO</v>
      </c>
      <c r="E2267" s="213" t="str">
        <f>IFERROR(__xludf.DUMMYFUNCTION("""COMPUTED_VALUE"""),"MOB-168")</f>
        <v>MOB-168</v>
      </c>
      <c r="F2267" s="213" t="str">
        <f>IFERROR(__xludf.DUMMYFUNCTION("""COMPUTED_VALUE"""),"MOB-168")</f>
        <v>MOB-168</v>
      </c>
      <c r="G2267" s="213"/>
      <c r="H2267" s="213" t="str">
        <f>IFERROR(__xludf.DUMMYFUNCTION("""COMPUTED_VALUE"""),"SILLA PARA EL DOCENTE")</f>
        <v>SILLA PARA EL DOCENTE</v>
      </c>
      <c r="I2267"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7" s="213">
        <f>IFERROR(__xludf.DUMMYFUNCTION("""COMPUTED_VALUE"""),3.0)</f>
        <v>3</v>
      </c>
      <c r="K2267" s="213" t="str">
        <f>IFERROR(__xludf.DUMMYFUNCTION("""COMPUTED_VALUE"""),"90 DÍAS CALENDARIO")</f>
        <v>90 DÍAS CALENDARIO</v>
      </c>
      <c r="L2267" s="213" t="str">
        <f>IFERROR(__xludf.DUMMYFUNCTION("""COMPUTED_VALUE"""),"")</f>
        <v/>
      </c>
      <c r="M2267" s="213">
        <f>IFERROR(__xludf.DUMMYFUNCTION("""COMPUTED_VALUE"""),1.0)</f>
        <v>1</v>
      </c>
      <c r="N2267" s="213">
        <f>IFERROR(__xludf.DUMMYFUNCTION("""COMPUTED_VALUE"""),1.0)</f>
        <v>1</v>
      </c>
      <c r="O2267" s="213">
        <f>IFERROR(__xludf.DUMMYFUNCTION("""COMPUTED_VALUE"""),1.0)</f>
        <v>1</v>
      </c>
      <c r="P2267" s="213"/>
      <c r="Q2267" s="213"/>
      <c r="R2267" s="213"/>
      <c r="S2267" s="213"/>
      <c r="T2267" s="213"/>
      <c r="U2267" s="213"/>
      <c r="V2267" s="213"/>
      <c r="W2267" s="213"/>
      <c r="X2267" s="213"/>
      <c r="Y2267" s="213"/>
      <c r="Z2267" s="213"/>
      <c r="AA2267" s="213"/>
      <c r="AB2267" s="213"/>
      <c r="AC2267" s="213"/>
      <c r="AD2267" s="213"/>
      <c r="AE2267" s="213"/>
      <c r="AF2267" s="213"/>
      <c r="AG2267" s="213"/>
      <c r="AH2267" s="213"/>
      <c r="AI2267" s="213"/>
      <c r="AJ2267" s="213"/>
      <c r="AK2267" s="213"/>
      <c r="AL2267" s="213"/>
      <c r="AM2267" s="213"/>
      <c r="AN2267" s="213"/>
      <c r="AO2267" s="213"/>
      <c r="AP2267" s="213"/>
      <c r="AQ2267" s="213"/>
      <c r="AR2267" s="213"/>
      <c r="AS2267" s="213"/>
      <c r="AT2267" s="213"/>
      <c r="AU2267" s="213"/>
      <c r="AV2267" s="213"/>
      <c r="AW2267" s="213"/>
      <c r="AX2267" s="213"/>
      <c r="AY2267" s="213"/>
      <c r="AZ2267" s="213"/>
      <c r="BA2267" s="213"/>
      <c r="BB2267" s="213"/>
      <c r="BC2267" s="213"/>
      <c r="BD2267" s="213"/>
    </row>
    <row r="2268">
      <c r="A2268" s="213">
        <f>IFERROR(__xludf.DUMMYFUNCTION("""COMPUTED_VALUE"""),908.0)</f>
        <v>908</v>
      </c>
      <c r="B2268" s="213" t="str">
        <f>IFERROR(__xludf.DUMMYFUNCTION("""COMPUTED_VALUE"""),"FRANCISCO IRAZOLA")</f>
        <v>FRANCISCO IRAZOLA</v>
      </c>
      <c r="C2268" s="213" t="str">
        <f>IFERROR(__xludf.DUMMYFUNCTION("""COMPUTED_VALUE"""),"TALLER SFT DE MECÁNICA AUTOMOTRIZ")</f>
        <v>TALLER SFT DE MECÁNICA AUTOMOTRIZ</v>
      </c>
      <c r="D2268" s="213" t="str">
        <f>IFERROR(__xludf.DUMMYFUNCTION("""COMPUTED_VALUE"""),"MOBILIARIO")</f>
        <v>MOBILIARIO</v>
      </c>
      <c r="E2268" s="213" t="str">
        <f>IFERROR(__xludf.DUMMYFUNCTION("""COMPUTED_VALUE"""),"MOB-168")</f>
        <v>MOB-168</v>
      </c>
      <c r="F2268" s="213" t="str">
        <f>IFERROR(__xludf.DUMMYFUNCTION("""COMPUTED_VALUE"""),"MOB-168")</f>
        <v>MOB-168</v>
      </c>
      <c r="G2268" s="213"/>
      <c r="H2268" s="213" t="str">
        <f>IFERROR(__xludf.DUMMYFUNCTION("""COMPUTED_VALUE"""),"SILLA PARA EL DOCENTE")</f>
        <v>SILLA PARA EL DOCENTE</v>
      </c>
      <c r="I2268"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8" s="213">
        <f>IFERROR(__xludf.DUMMYFUNCTION("""COMPUTED_VALUE"""),3.0)</f>
        <v>3</v>
      </c>
      <c r="K2268" s="213" t="str">
        <f>IFERROR(__xludf.DUMMYFUNCTION("""COMPUTED_VALUE"""),"90 DÍAS CALENDARIO")</f>
        <v>90 DÍAS CALENDARIO</v>
      </c>
      <c r="L2268" s="213" t="str">
        <f>IFERROR(__xludf.DUMMYFUNCTION("""COMPUTED_VALUE"""),"")</f>
        <v/>
      </c>
      <c r="M2268" s="213">
        <f>IFERROR(__xludf.DUMMYFUNCTION("""COMPUTED_VALUE"""),1.0)</f>
        <v>1</v>
      </c>
      <c r="N2268" s="213">
        <f>IFERROR(__xludf.DUMMYFUNCTION("""COMPUTED_VALUE"""),1.0)</f>
        <v>1</v>
      </c>
      <c r="O2268" s="213">
        <f>IFERROR(__xludf.DUMMYFUNCTION("""COMPUTED_VALUE"""),1.0)</f>
        <v>1</v>
      </c>
      <c r="P2268" s="213"/>
      <c r="Q2268" s="213"/>
      <c r="R2268" s="213"/>
      <c r="S2268" s="213"/>
      <c r="T2268" s="213"/>
      <c r="U2268" s="213"/>
      <c r="V2268" s="213"/>
      <c r="W2268" s="213"/>
      <c r="X2268" s="213"/>
      <c r="Y2268" s="213"/>
      <c r="Z2268" s="213"/>
      <c r="AA2268" s="213"/>
      <c r="AB2268" s="213"/>
      <c r="AC2268" s="213"/>
      <c r="AD2268" s="213"/>
      <c r="AE2268" s="213"/>
      <c r="AF2268" s="213"/>
      <c r="AG2268" s="213"/>
      <c r="AH2268" s="213"/>
      <c r="AI2268" s="213"/>
      <c r="AJ2268" s="213"/>
      <c r="AK2268" s="213"/>
      <c r="AL2268" s="213"/>
      <c r="AM2268" s="213"/>
      <c r="AN2268" s="213"/>
      <c r="AO2268" s="213"/>
      <c r="AP2268" s="213"/>
      <c r="AQ2268" s="213"/>
      <c r="AR2268" s="213"/>
      <c r="AS2268" s="213"/>
      <c r="AT2268" s="213"/>
      <c r="AU2268" s="213"/>
      <c r="AV2268" s="213"/>
      <c r="AW2268" s="213"/>
      <c r="AX2268" s="213"/>
      <c r="AY2268" s="213"/>
      <c r="AZ2268" s="213"/>
      <c r="BA2268" s="213"/>
      <c r="BB2268" s="213"/>
      <c r="BC2268" s="213"/>
      <c r="BD2268" s="213"/>
    </row>
    <row r="2269">
      <c r="A2269" s="213">
        <f>IFERROR(__xludf.DUMMYFUNCTION("""COMPUTED_VALUE"""),1095.0)</f>
        <v>1095</v>
      </c>
      <c r="B2269" s="213" t="str">
        <f>IFERROR(__xludf.DUMMYFUNCTION("""COMPUTED_VALUE"""),"FRANCISCO IRAZOLA")</f>
        <v>FRANCISCO IRAZOLA</v>
      </c>
      <c r="C2269" s="213" t="str">
        <f>IFERROR(__xludf.DUMMYFUNCTION("""COMPUTED_VALUE"""),"TALLER SFT DE INDUSTRIA ALIMENTARIA")</f>
        <v>TALLER SFT DE INDUSTRIA ALIMENTARIA</v>
      </c>
      <c r="D2269" s="213" t="str">
        <f>IFERROR(__xludf.DUMMYFUNCTION("""COMPUTED_VALUE"""),"MOBILIARIO")</f>
        <v>MOBILIARIO</v>
      </c>
      <c r="E2269" s="213" t="str">
        <f>IFERROR(__xludf.DUMMYFUNCTION("""COMPUTED_VALUE"""),"MOB-168")</f>
        <v>MOB-168</v>
      </c>
      <c r="F2269" s="213" t="str">
        <f>IFERROR(__xludf.DUMMYFUNCTION("""COMPUTED_VALUE"""),"MOB-168")</f>
        <v>MOB-168</v>
      </c>
      <c r="G2269" s="213"/>
      <c r="H2269" s="213" t="str">
        <f>IFERROR(__xludf.DUMMYFUNCTION("""COMPUTED_VALUE"""),"SILLA PARA EL DOCENTE")</f>
        <v>SILLA PARA EL DOCENTE</v>
      </c>
      <c r="I2269"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69" s="213">
        <f>IFERROR(__xludf.DUMMYFUNCTION("""COMPUTED_VALUE"""),3.0)</f>
        <v>3</v>
      </c>
      <c r="K2269" s="213" t="str">
        <f>IFERROR(__xludf.DUMMYFUNCTION("""COMPUTED_VALUE"""),"90 DÍAS CALENDARIO")</f>
        <v>90 DÍAS CALENDARIO</v>
      </c>
      <c r="L2269" s="213" t="str">
        <f>IFERROR(__xludf.DUMMYFUNCTION("""COMPUTED_VALUE"""),"")</f>
        <v/>
      </c>
      <c r="M2269" s="213">
        <f>IFERROR(__xludf.DUMMYFUNCTION("""COMPUTED_VALUE"""),1.0)</f>
        <v>1</v>
      </c>
      <c r="N2269" s="213">
        <f>IFERROR(__xludf.DUMMYFUNCTION("""COMPUTED_VALUE"""),1.0)</f>
        <v>1</v>
      </c>
      <c r="O2269" s="213">
        <f>IFERROR(__xludf.DUMMYFUNCTION("""COMPUTED_VALUE"""),1.0)</f>
        <v>1</v>
      </c>
      <c r="P2269" s="213"/>
      <c r="Q2269" s="213"/>
      <c r="R2269" s="213"/>
      <c r="S2269" s="213"/>
      <c r="T2269" s="213"/>
      <c r="U2269" s="213"/>
      <c r="V2269" s="213"/>
      <c r="W2269" s="213"/>
      <c r="X2269" s="213"/>
      <c r="Y2269" s="213"/>
      <c r="Z2269" s="213"/>
      <c r="AA2269" s="213"/>
      <c r="AB2269" s="213"/>
      <c r="AC2269" s="213"/>
      <c r="AD2269" s="213"/>
      <c r="AE2269" s="213"/>
      <c r="AF2269" s="213"/>
      <c r="AG2269" s="213"/>
      <c r="AH2269" s="213"/>
      <c r="AI2269" s="213"/>
      <c r="AJ2269" s="213"/>
      <c r="AK2269" s="213"/>
      <c r="AL2269" s="213"/>
      <c r="AM2269" s="213"/>
      <c r="AN2269" s="213"/>
      <c r="AO2269" s="213"/>
      <c r="AP2269" s="213"/>
      <c r="AQ2269" s="213"/>
      <c r="AR2269" s="213"/>
      <c r="AS2269" s="213"/>
      <c r="AT2269" s="213"/>
      <c r="AU2269" s="213"/>
      <c r="AV2269" s="213"/>
      <c r="AW2269" s="213"/>
      <c r="AX2269" s="213"/>
      <c r="AY2269" s="213"/>
      <c r="AZ2269" s="213"/>
      <c r="BA2269" s="213"/>
      <c r="BB2269" s="213"/>
      <c r="BC2269" s="213"/>
      <c r="BD2269" s="213"/>
    </row>
    <row r="2270">
      <c r="A2270" s="213">
        <f>IFERROR(__xludf.DUMMYFUNCTION("""COMPUTED_VALUE"""),1245.0)</f>
        <v>1245</v>
      </c>
      <c r="B2270" s="213" t="str">
        <f>IFERROR(__xludf.DUMMYFUNCTION("""COMPUTED_VALUE"""),"GUILLERMO E. BILLINGHURST ")</f>
        <v>GUILLERMO E. BILLINGHURST </v>
      </c>
      <c r="C2270" s="213" t="str">
        <f>IFERROR(__xludf.DUMMYFUNCTION("""COMPUTED_VALUE"""),"TALLER SFT DE ELECTRICIDAD")</f>
        <v>TALLER SFT DE ELECTRICIDAD</v>
      </c>
      <c r="D2270" s="213" t="str">
        <f>IFERROR(__xludf.DUMMYFUNCTION("""COMPUTED_VALUE"""),"MOBILIARIO")</f>
        <v>MOBILIARIO</v>
      </c>
      <c r="E2270" s="213" t="str">
        <f>IFERROR(__xludf.DUMMYFUNCTION("""COMPUTED_VALUE"""),"MOB-168")</f>
        <v>MOB-168</v>
      </c>
      <c r="F2270" s="213" t="str">
        <f>IFERROR(__xludf.DUMMYFUNCTION("""COMPUTED_VALUE"""),"MOB-168")</f>
        <v>MOB-168</v>
      </c>
      <c r="G2270" s="213"/>
      <c r="H2270" s="213" t="str">
        <f>IFERROR(__xludf.DUMMYFUNCTION("""COMPUTED_VALUE"""),"SILLA PARA EL DOCENTE")</f>
        <v>SILLA PARA EL DOCENTE</v>
      </c>
      <c r="I2270"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0" s="213">
        <f>IFERROR(__xludf.DUMMYFUNCTION("""COMPUTED_VALUE"""),3.0)</f>
        <v>3</v>
      </c>
      <c r="K2270" s="213" t="str">
        <f>IFERROR(__xludf.DUMMYFUNCTION("""COMPUTED_VALUE"""),"90 DÍAS CALENDARIO")</f>
        <v>90 DÍAS CALENDARIO</v>
      </c>
      <c r="L2270" s="213" t="str">
        <f>IFERROR(__xludf.DUMMYFUNCTION("""COMPUTED_VALUE"""),"")</f>
        <v/>
      </c>
      <c r="M2270" s="213">
        <f>IFERROR(__xludf.DUMMYFUNCTION("""COMPUTED_VALUE"""),1.0)</f>
        <v>1</v>
      </c>
      <c r="N2270" s="213">
        <f>IFERROR(__xludf.DUMMYFUNCTION("""COMPUTED_VALUE"""),1.0)</f>
        <v>1</v>
      </c>
      <c r="O2270" s="213">
        <f>IFERROR(__xludf.DUMMYFUNCTION("""COMPUTED_VALUE"""),1.0)</f>
        <v>1</v>
      </c>
      <c r="P2270" s="213"/>
      <c r="Q2270" s="213"/>
      <c r="R2270" s="213"/>
      <c r="S2270" s="213"/>
      <c r="T2270" s="213"/>
      <c r="U2270" s="213"/>
      <c r="V2270" s="213"/>
      <c r="W2270" s="213"/>
      <c r="X2270" s="213"/>
      <c r="Y2270" s="213"/>
      <c r="Z2270" s="213"/>
      <c r="AA2270" s="213"/>
      <c r="AB2270" s="213"/>
      <c r="AC2270" s="213"/>
      <c r="AD2270" s="213"/>
      <c r="AE2270" s="213"/>
      <c r="AF2270" s="213"/>
      <c r="AG2270" s="213"/>
      <c r="AH2270" s="213"/>
      <c r="AI2270" s="213"/>
      <c r="AJ2270" s="213"/>
      <c r="AK2270" s="213"/>
      <c r="AL2270" s="213"/>
      <c r="AM2270" s="213"/>
      <c r="AN2270" s="213"/>
      <c r="AO2270" s="213"/>
      <c r="AP2270" s="213"/>
      <c r="AQ2270" s="213"/>
      <c r="AR2270" s="213"/>
      <c r="AS2270" s="213"/>
      <c r="AT2270" s="213"/>
      <c r="AU2270" s="213"/>
      <c r="AV2270" s="213"/>
      <c r="AW2270" s="213"/>
      <c r="AX2270" s="213"/>
      <c r="AY2270" s="213"/>
      <c r="AZ2270" s="213"/>
      <c r="BA2270" s="213"/>
      <c r="BB2270" s="213"/>
      <c r="BC2270" s="213"/>
      <c r="BD2270" s="213"/>
    </row>
    <row r="2271">
      <c r="A2271" s="213">
        <f>IFERROR(__xludf.DUMMYFUNCTION("""COMPUTED_VALUE"""),1331.0)</f>
        <v>1331</v>
      </c>
      <c r="B2271" s="213" t="str">
        <f>IFERROR(__xludf.DUMMYFUNCTION("""COMPUTED_VALUE"""),"GUILLERMO E. BILLINGHURST ")</f>
        <v>GUILLERMO E. BILLINGHURST </v>
      </c>
      <c r="C2271" s="213" t="str">
        <f>IFERROR(__xludf.DUMMYFUNCTION("""COMPUTED_VALUE"""),"TALLER SFT DE INDUSTRIA ALIMENTARIA")</f>
        <v>TALLER SFT DE INDUSTRIA ALIMENTARIA</v>
      </c>
      <c r="D2271" s="213" t="str">
        <f>IFERROR(__xludf.DUMMYFUNCTION("""COMPUTED_VALUE"""),"MOBILIARIO")</f>
        <v>MOBILIARIO</v>
      </c>
      <c r="E2271" s="213" t="str">
        <f>IFERROR(__xludf.DUMMYFUNCTION("""COMPUTED_VALUE"""),"MOB-168")</f>
        <v>MOB-168</v>
      </c>
      <c r="F2271" s="213" t="str">
        <f>IFERROR(__xludf.DUMMYFUNCTION("""COMPUTED_VALUE"""),"MOB-168")</f>
        <v>MOB-168</v>
      </c>
      <c r="G2271" s="213"/>
      <c r="H2271" s="213" t="str">
        <f>IFERROR(__xludf.DUMMYFUNCTION("""COMPUTED_VALUE"""),"SILLA PARA EL DOCENTE")</f>
        <v>SILLA PARA EL DOCENTE</v>
      </c>
      <c r="I2271"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1" s="213">
        <f>IFERROR(__xludf.DUMMYFUNCTION("""COMPUTED_VALUE"""),3.0)</f>
        <v>3</v>
      </c>
      <c r="K2271" s="213" t="str">
        <f>IFERROR(__xludf.DUMMYFUNCTION("""COMPUTED_VALUE"""),"90 DÍAS CALENDARIO")</f>
        <v>90 DÍAS CALENDARIO</v>
      </c>
      <c r="L2271" s="213" t="str">
        <f>IFERROR(__xludf.DUMMYFUNCTION("""COMPUTED_VALUE"""),"")</f>
        <v/>
      </c>
      <c r="M2271" s="213">
        <f>IFERROR(__xludf.DUMMYFUNCTION("""COMPUTED_VALUE"""),1.0)</f>
        <v>1</v>
      </c>
      <c r="N2271" s="213">
        <f>IFERROR(__xludf.DUMMYFUNCTION("""COMPUTED_VALUE"""),0.0)</f>
        <v>0</v>
      </c>
      <c r="O2271" s="213">
        <f>IFERROR(__xludf.DUMMYFUNCTION("""COMPUTED_VALUE"""),0.0)</f>
        <v>0</v>
      </c>
      <c r="P2271" s="213"/>
      <c r="Q2271" s="213"/>
      <c r="R2271" s="213"/>
      <c r="S2271" s="213"/>
      <c r="T2271" s="213"/>
      <c r="U2271" s="213"/>
      <c r="V2271" s="213"/>
      <c r="W2271" s="213"/>
      <c r="X2271" s="213"/>
      <c r="Y2271" s="213"/>
      <c r="Z2271" s="213"/>
      <c r="AA2271" s="213"/>
      <c r="AB2271" s="213"/>
      <c r="AC2271" s="213"/>
      <c r="AD2271" s="213"/>
      <c r="AE2271" s="213"/>
      <c r="AF2271" s="213"/>
      <c r="AG2271" s="213"/>
      <c r="AH2271" s="213"/>
      <c r="AI2271" s="213"/>
      <c r="AJ2271" s="213"/>
      <c r="AK2271" s="213"/>
      <c r="AL2271" s="213"/>
      <c r="AM2271" s="213"/>
      <c r="AN2271" s="213"/>
      <c r="AO2271" s="213"/>
      <c r="AP2271" s="213"/>
      <c r="AQ2271" s="213"/>
      <c r="AR2271" s="213"/>
      <c r="AS2271" s="213"/>
      <c r="AT2271" s="213"/>
      <c r="AU2271" s="213"/>
      <c r="AV2271" s="213"/>
      <c r="AW2271" s="213"/>
      <c r="AX2271" s="213"/>
      <c r="AY2271" s="213"/>
      <c r="AZ2271" s="213"/>
      <c r="BA2271" s="213"/>
      <c r="BB2271" s="213"/>
      <c r="BC2271" s="213"/>
      <c r="BD2271" s="213"/>
    </row>
    <row r="2272">
      <c r="A2272" s="213">
        <f>IFERROR(__xludf.DUMMYFUNCTION("""COMPUTED_VALUE"""),1510.0)</f>
        <v>1510</v>
      </c>
      <c r="B2272" s="213" t="str">
        <f>IFERROR(__xludf.DUMMYFUNCTION("""COMPUTED_VALUE"""),"GUILLERMO E. BILLINGHURST ")</f>
        <v>GUILLERMO E. BILLINGHURST </v>
      </c>
      <c r="C2272" s="213" t="str">
        <f>IFERROR(__xludf.DUMMYFUNCTION("""COMPUTED_VALUE"""),"TALLER SFT DE MECÁNICA AUTOMOTRIZ")</f>
        <v>TALLER SFT DE MECÁNICA AUTOMOTRIZ</v>
      </c>
      <c r="D2272" s="213" t="str">
        <f>IFERROR(__xludf.DUMMYFUNCTION("""COMPUTED_VALUE"""),"MOBILIARIO")</f>
        <v>MOBILIARIO</v>
      </c>
      <c r="E2272" s="213" t="str">
        <f>IFERROR(__xludf.DUMMYFUNCTION("""COMPUTED_VALUE"""),"MOB-168")</f>
        <v>MOB-168</v>
      </c>
      <c r="F2272" s="213" t="str">
        <f>IFERROR(__xludf.DUMMYFUNCTION("""COMPUTED_VALUE"""),"MOB-168")</f>
        <v>MOB-168</v>
      </c>
      <c r="G2272" s="213"/>
      <c r="H2272" s="213" t="str">
        <f>IFERROR(__xludf.DUMMYFUNCTION("""COMPUTED_VALUE"""),"SILLA PARA EL DOCENTE")</f>
        <v>SILLA PARA EL DOCENTE</v>
      </c>
      <c r="I2272"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2" s="213">
        <f>IFERROR(__xludf.DUMMYFUNCTION("""COMPUTED_VALUE"""),3.0)</f>
        <v>3</v>
      </c>
      <c r="K2272" s="213" t="str">
        <f>IFERROR(__xludf.DUMMYFUNCTION("""COMPUTED_VALUE"""),"90 DÍAS CALENDARIO")</f>
        <v>90 DÍAS CALENDARIO</v>
      </c>
      <c r="L2272" s="213" t="str">
        <f>IFERROR(__xludf.DUMMYFUNCTION("""COMPUTED_VALUE"""),"")</f>
        <v/>
      </c>
      <c r="M2272" s="213">
        <f>IFERROR(__xludf.DUMMYFUNCTION("""COMPUTED_VALUE"""),1.0)</f>
        <v>1</v>
      </c>
      <c r="N2272" s="213">
        <f>IFERROR(__xludf.DUMMYFUNCTION("""COMPUTED_VALUE"""),1.0)</f>
        <v>1</v>
      </c>
      <c r="O2272" s="213">
        <f>IFERROR(__xludf.DUMMYFUNCTION("""COMPUTED_VALUE"""),1.0)</f>
        <v>1</v>
      </c>
      <c r="P2272" s="213"/>
      <c r="Q2272" s="213"/>
      <c r="R2272" s="213"/>
      <c r="S2272" s="213"/>
      <c r="T2272" s="213"/>
      <c r="U2272" s="213"/>
      <c r="V2272" s="213"/>
      <c r="W2272" s="213"/>
      <c r="X2272" s="213"/>
      <c r="Y2272" s="213"/>
      <c r="Z2272" s="213"/>
      <c r="AA2272" s="213"/>
      <c r="AB2272" s="213"/>
      <c r="AC2272" s="213"/>
      <c r="AD2272" s="213"/>
      <c r="AE2272" s="213"/>
      <c r="AF2272" s="213"/>
      <c r="AG2272" s="213"/>
      <c r="AH2272" s="213"/>
      <c r="AI2272" s="213"/>
      <c r="AJ2272" s="213"/>
      <c r="AK2272" s="213"/>
      <c r="AL2272" s="213"/>
      <c r="AM2272" s="213"/>
      <c r="AN2272" s="213"/>
      <c r="AO2272" s="213"/>
      <c r="AP2272" s="213"/>
      <c r="AQ2272" s="213"/>
      <c r="AR2272" s="213"/>
      <c r="AS2272" s="213"/>
      <c r="AT2272" s="213"/>
      <c r="AU2272" s="213"/>
      <c r="AV2272" s="213"/>
      <c r="AW2272" s="213"/>
      <c r="AX2272" s="213"/>
      <c r="AY2272" s="213"/>
      <c r="AZ2272" s="213"/>
      <c r="BA2272" s="213"/>
      <c r="BB2272" s="213"/>
      <c r="BC2272" s="213"/>
      <c r="BD2272" s="213"/>
    </row>
    <row r="2273">
      <c r="A2273" s="213">
        <f>IFERROR(__xludf.DUMMYFUNCTION("""COMPUTED_VALUE"""),1663.0)</f>
        <v>1663</v>
      </c>
      <c r="B2273" s="213" t="str">
        <f>IFERROR(__xludf.DUMMYFUNCTION("""COMPUTED_VALUE"""),"GUILLERMO E. BILLINGHURST ")</f>
        <v>GUILLERMO E. BILLINGHURST </v>
      </c>
      <c r="C2273" s="213" t="str">
        <f>IFERROR(__xludf.DUMMYFUNCTION("""COMPUTED_VALUE"""),"TALLER SFT DE COMPUTACIÓN E INFORMÁTICA")</f>
        <v>TALLER SFT DE COMPUTACIÓN E INFORMÁTICA</v>
      </c>
      <c r="D2273" s="213" t="str">
        <f>IFERROR(__xludf.DUMMYFUNCTION("""COMPUTED_VALUE"""),"MOBILIARIO")</f>
        <v>MOBILIARIO</v>
      </c>
      <c r="E2273" s="213" t="str">
        <f>IFERROR(__xludf.DUMMYFUNCTION("""COMPUTED_VALUE"""),"MOB-168")</f>
        <v>MOB-168</v>
      </c>
      <c r="F2273" s="213" t="str">
        <f>IFERROR(__xludf.DUMMYFUNCTION("""COMPUTED_VALUE"""),"MOB-168")</f>
        <v>MOB-168</v>
      </c>
      <c r="G2273" s="213"/>
      <c r="H2273" s="213" t="str">
        <f>IFERROR(__xludf.DUMMYFUNCTION("""COMPUTED_VALUE"""),"SILLA PARA EL DOCENTE")</f>
        <v>SILLA PARA EL DOCENTE</v>
      </c>
      <c r="I2273"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3" s="213">
        <f>IFERROR(__xludf.DUMMYFUNCTION("""COMPUTED_VALUE"""),3.0)</f>
        <v>3</v>
      </c>
      <c r="K2273" s="213" t="str">
        <f>IFERROR(__xludf.DUMMYFUNCTION("""COMPUTED_VALUE"""),"90 DÍAS CALENDARIO")</f>
        <v>90 DÍAS CALENDARIO</v>
      </c>
      <c r="L2273" s="213" t="str">
        <f>IFERROR(__xludf.DUMMYFUNCTION("""COMPUTED_VALUE"""),"")</f>
        <v/>
      </c>
      <c r="M2273" s="213">
        <f>IFERROR(__xludf.DUMMYFUNCTION("""COMPUTED_VALUE"""),1.0)</f>
        <v>1</v>
      </c>
      <c r="N2273" s="213">
        <f>IFERROR(__xludf.DUMMYFUNCTION("""COMPUTED_VALUE"""),1.0)</f>
        <v>1</v>
      </c>
      <c r="O2273" s="213">
        <f>IFERROR(__xludf.DUMMYFUNCTION("""COMPUTED_VALUE"""),1.0)</f>
        <v>1</v>
      </c>
      <c r="P2273" s="213"/>
      <c r="Q2273" s="213"/>
      <c r="R2273" s="213"/>
      <c r="S2273" s="213"/>
      <c r="T2273" s="213"/>
      <c r="U2273" s="213"/>
      <c r="V2273" s="213"/>
      <c r="W2273" s="213"/>
      <c r="X2273" s="213"/>
      <c r="Y2273" s="213"/>
      <c r="Z2273" s="213"/>
      <c r="AA2273" s="213"/>
      <c r="AB2273" s="213"/>
      <c r="AC2273" s="213"/>
      <c r="AD2273" s="213"/>
      <c r="AE2273" s="213"/>
      <c r="AF2273" s="213"/>
      <c r="AG2273" s="213"/>
      <c r="AH2273" s="213"/>
      <c r="AI2273" s="213"/>
      <c r="AJ2273" s="213"/>
      <c r="AK2273" s="213"/>
      <c r="AL2273" s="213"/>
      <c r="AM2273" s="213"/>
      <c r="AN2273" s="213"/>
      <c r="AO2273" s="213"/>
      <c r="AP2273" s="213"/>
      <c r="AQ2273" s="213"/>
      <c r="AR2273" s="213"/>
      <c r="AS2273" s="213"/>
      <c r="AT2273" s="213"/>
      <c r="AU2273" s="213"/>
      <c r="AV2273" s="213"/>
      <c r="AW2273" s="213"/>
      <c r="AX2273" s="213"/>
      <c r="AY2273" s="213"/>
      <c r="AZ2273" s="213"/>
      <c r="BA2273" s="213"/>
      <c r="BB2273" s="213"/>
      <c r="BC2273" s="213"/>
      <c r="BD2273" s="213"/>
    </row>
    <row r="2274">
      <c r="A2274" s="213">
        <f>IFERROR(__xludf.DUMMYFUNCTION("""COMPUTED_VALUE"""),1681.0)</f>
        <v>1681</v>
      </c>
      <c r="B2274" s="213" t="str">
        <f>IFERROR(__xludf.DUMMYFUNCTION("""COMPUTED_VALUE"""),"GUILLERMO E. BILLINGHURST ")</f>
        <v>GUILLERMO E. BILLINGHURST </v>
      </c>
      <c r="C2274" s="213" t="str">
        <f>IFERROR(__xludf.DUMMYFUNCTION("""COMPUTED_VALUE"""),"TALLER SFT DE COMPUTACIÓN E INFORMÁTICA")</f>
        <v>TALLER SFT DE COMPUTACIÓN E INFORMÁTICA</v>
      </c>
      <c r="D2274" s="213" t="str">
        <f>IFERROR(__xludf.DUMMYFUNCTION("""COMPUTED_VALUE"""),"MOBILIARIO")</f>
        <v>MOBILIARIO</v>
      </c>
      <c r="E2274" s="213" t="str">
        <f>IFERROR(__xludf.DUMMYFUNCTION("""COMPUTED_VALUE"""),"MOB-168")</f>
        <v>MOB-168</v>
      </c>
      <c r="F2274" s="213" t="str">
        <f>IFERROR(__xludf.DUMMYFUNCTION("""COMPUTED_VALUE"""),"MOB-168")</f>
        <v>MOB-168</v>
      </c>
      <c r="G2274" s="213"/>
      <c r="H2274" s="213" t="str">
        <f>IFERROR(__xludf.DUMMYFUNCTION("""COMPUTED_VALUE"""),"SILLA PARA EL DOCENTE")</f>
        <v>SILLA PARA EL DOCENTE</v>
      </c>
      <c r="I2274"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4" s="213">
        <f>IFERROR(__xludf.DUMMYFUNCTION("""COMPUTED_VALUE"""),3.0)</f>
        <v>3</v>
      </c>
      <c r="K2274" s="213" t="str">
        <f>IFERROR(__xludf.DUMMYFUNCTION("""COMPUTED_VALUE"""),"90 DÍAS CALENDARIO")</f>
        <v>90 DÍAS CALENDARIO</v>
      </c>
      <c r="L2274" s="213" t="str">
        <f>IFERROR(__xludf.DUMMYFUNCTION("""COMPUTED_VALUE"""),"")</f>
        <v/>
      </c>
      <c r="M2274" s="213">
        <f>IFERROR(__xludf.DUMMYFUNCTION("""COMPUTED_VALUE"""),1.0)</f>
        <v>1</v>
      </c>
      <c r="N2274" s="213">
        <f>IFERROR(__xludf.DUMMYFUNCTION("""COMPUTED_VALUE"""),1.0)</f>
        <v>1</v>
      </c>
      <c r="O2274" s="213">
        <f>IFERROR(__xludf.DUMMYFUNCTION("""COMPUTED_VALUE"""),1.0)</f>
        <v>1</v>
      </c>
      <c r="P2274" s="213"/>
      <c r="Q2274" s="213"/>
      <c r="R2274" s="213"/>
      <c r="S2274" s="213"/>
      <c r="T2274" s="213"/>
      <c r="U2274" s="213"/>
      <c r="V2274" s="213"/>
      <c r="W2274" s="213"/>
      <c r="X2274" s="213"/>
      <c r="Y2274" s="213"/>
      <c r="Z2274" s="213"/>
      <c r="AA2274" s="213"/>
      <c r="AB2274" s="213"/>
      <c r="AC2274" s="213"/>
      <c r="AD2274" s="213"/>
      <c r="AE2274" s="213"/>
      <c r="AF2274" s="213"/>
      <c r="AG2274" s="213"/>
      <c r="AH2274" s="213"/>
      <c r="AI2274" s="213"/>
      <c r="AJ2274" s="213"/>
      <c r="AK2274" s="213"/>
      <c r="AL2274" s="213"/>
      <c r="AM2274" s="213"/>
      <c r="AN2274" s="213"/>
      <c r="AO2274" s="213"/>
      <c r="AP2274" s="213"/>
      <c r="AQ2274" s="213"/>
      <c r="AR2274" s="213"/>
      <c r="AS2274" s="213"/>
      <c r="AT2274" s="213"/>
      <c r="AU2274" s="213"/>
      <c r="AV2274" s="213"/>
      <c r="AW2274" s="213"/>
      <c r="AX2274" s="213"/>
      <c r="AY2274" s="213"/>
      <c r="AZ2274" s="213"/>
      <c r="BA2274" s="213"/>
      <c r="BB2274" s="213"/>
      <c r="BC2274" s="213"/>
      <c r="BD2274" s="213"/>
    </row>
    <row r="2275">
      <c r="A2275" s="213">
        <f>IFERROR(__xludf.DUMMYFUNCTION("""COMPUTED_VALUE"""),1760.0)</f>
        <v>1760</v>
      </c>
      <c r="B2275" s="213" t="str">
        <f>IFERROR(__xludf.DUMMYFUNCTION("""COMPUTED_VALUE"""),"GUILLERMO E. BILLINGHURST ")</f>
        <v>GUILLERMO E. BILLINGHURST </v>
      </c>
      <c r="C2275" s="213" t="str">
        <f>IFERROR(__xludf.DUMMYFUNCTION("""COMPUTED_VALUE"""),"TALLER SFT DE EBANISTERÍA")</f>
        <v>TALLER SFT DE EBANISTERÍA</v>
      </c>
      <c r="D2275" s="213" t="str">
        <f>IFERROR(__xludf.DUMMYFUNCTION("""COMPUTED_VALUE"""),"MOBILIARIO")</f>
        <v>MOBILIARIO</v>
      </c>
      <c r="E2275" s="213" t="str">
        <f>IFERROR(__xludf.DUMMYFUNCTION("""COMPUTED_VALUE"""),"MOB-168")</f>
        <v>MOB-168</v>
      </c>
      <c r="F2275" s="213" t="str">
        <f>IFERROR(__xludf.DUMMYFUNCTION("""COMPUTED_VALUE"""),"MOB-168")</f>
        <v>MOB-168</v>
      </c>
      <c r="G2275" s="213"/>
      <c r="H2275" s="213" t="str">
        <f>IFERROR(__xludf.DUMMYFUNCTION("""COMPUTED_VALUE"""),"SILLA PARA EL DOCENTE")</f>
        <v>SILLA PARA EL DOCENTE</v>
      </c>
      <c r="I2275"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5" s="213">
        <f>IFERROR(__xludf.DUMMYFUNCTION("""COMPUTED_VALUE"""),3.0)</f>
        <v>3</v>
      </c>
      <c r="K2275" s="213" t="str">
        <f>IFERROR(__xludf.DUMMYFUNCTION("""COMPUTED_VALUE"""),"90 DÍAS CALENDARIO")</f>
        <v>90 DÍAS CALENDARIO</v>
      </c>
      <c r="L2275" s="213" t="str">
        <f>IFERROR(__xludf.DUMMYFUNCTION("""COMPUTED_VALUE"""),"")</f>
        <v/>
      </c>
      <c r="M2275" s="213">
        <f>IFERROR(__xludf.DUMMYFUNCTION("""COMPUTED_VALUE"""),1.0)</f>
        <v>1</v>
      </c>
      <c r="N2275" s="213">
        <f>IFERROR(__xludf.DUMMYFUNCTION("""COMPUTED_VALUE"""),1.0)</f>
        <v>1</v>
      </c>
      <c r="O2275" s="213">
        <f>IFERROR(__xludf.DUMMYFUNCTION("""COMPUTED_VALUE"""),1.0)</f>
        <v>1</v>
      </c>
      <c r="P2275" s="213"/>
      <c r="Q2275" s="213"/>
      <c r="R2275" s="213"/>
      <c r="S2275" s="213"/>
      <c r="T2275" s="213"/>
      <c r="U2275" s="213"/>
      <c r="V2275" s="213"/>
      <c r="W2275" s="213"/>
      <c r="X2275" s="213"/>
      <c r="Y2275" s="213"/>
      <c r="Z2275" s="213"/>
      <c r="AA2275" s="213"/>
      <c r="AB2275" s="213"/>
      <c r="AC2275" s="213"/>
      <c r="AD2275" s="213"/>
      <c r="AE2275" s="213"/>
      <c r="AF2275" s="213"/>
      <c r="AG2275" s="213"/>
      <c r="AH2275" s="213"/>
      <c r="AI2275" s="213"/>
      <c r="AJ2275" s="213"/>
      <c r="AK2275" s="213"/>
      <c r="AL2275" s="213"/>
      <c r="AM2275" s="213"/>
      <c r="AN2275" s="213"/>
      <c r="AO2275" s="213"/>
      <c r="AP2275" s="213"/>
      <c r="AQ2275" s="213"/>
      <c r="AR2275" s="213"/>
      <c r="AS2275" s="213"/>
      <c r="AT2275" s="213"/>
      <c r="AU2275" s="213"/>
      <c r="AV2275" s="213"/>
      <c r="AW2275" s="213"/>
      <c r="AX2275" s="213"/>
      <c r="AY2275" s="213"/>
      <c r="AZ2275" s="213"/>
      <c r="BA2275" s="213"/>
      <c r="BB2275" s="213"/>
      <c r="BC2275" s="213"/>
      <c r="BD2275" s="213"/>
    </row>
    <row r="2276">
      <c r="A2276" s="213">
        <f>IFERROR(__xludf.DUMMYFUNCTION("""COMPUTED_VALUE"""),1920.0)</f>
        <v>1920</v>
      </c>
      <c r="B2276" s="213" t="str">
        <f>IFERROR(__xludf.DUMMYFUNCTION("""COMPUTED_VALUE"""),"JOSE GRANDA")</f>
        <v>JOSE GRANDA</v>
      </c>
      <c r="C2276" s="213" t="str">
        <f>IFERROR(__xludf.DUMMYFUNCTION("""COMPUTED_VALUE"""),"TALLER SFT DE COMPUTACIÓN E INFORMÁTICA")</f>
        <v>TALLER SFT DE COMPUTACIÓN E INFORMÁTICA</v>
      </c>
      <c r="D2276" s="213" t="str">
        <f>IFERROR(__xludf.DUMMYFUNCTION("""COMPUTED_VALUE"""),"MOBILIARIO")</f>
        <v>MOBILIARIO</v>
      </c>
      <c r="E2276" s="213" t="str">
        <f>IFERROR(__xludf.DUMMYFUNCTION("""COMPUTED_VALUE"""),"MOB-168")</f>
        <v>MOB-168</v>
      </c>
      <c r="F2276" s="213" t="str">
        <f>IFERROR(__xludf.DUMMYFUNCTION("""COMPUTED_VALUE"""),"MOB-168")</f>
        <v>MOB-168</v>
      </c>
      <c r="G2276" s="213"/>
      <c r="H2276" s="213" t="str">
        <f>IFERROR(__xludf.DUMMYFUNCTION("""COMPUTED_VALUE"""),"SILLA PARA EL DOCENTE")</f>
        <v>SILLA PARA EL DOCENTE</v>
      </c>
      <c r="I2276"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6" s="213">
        <f>IFERROR(__xludf.DUMMYFUNCTION("""COMPUTED_VALUE"""),3.0)</f>
        <v>3</v>
      </c>
      <c r="K2276" s="213" t="str">
        <f>IFERROR(__xludf.DUMMYFUNCTION("""COMPUTED_VALUE"""),"90 DÍAS CALENDARIO")</f>
        <v>90 DÍAS CALENDARIO</v>
      </c>
      <c r="L2276" s="213" t="str">
        <f>IFERROR(__xludf.DUMMYFUNCTION("""COMPUTED_VALUE"""),"")</f>
        <v/>
      </c>
      <c r="M2276" s="213">
        <f>IFERROR(__xludf.DUMMYFUNCTION("""COMPUTED_VALUE"""),1.0)</f>
        <v>1</v>
      </c>
      <c r="N2276" s="213">
        <f>IFERROR(__xludf.DUMMYFUNCTION("""COMPUTED_VALUE"""),1.0)</f>
        <v>1</v>
      </c>
      <c r="O2276" s="213">
        <f>IFERROR(__xludf.DUMMYFUNCTION("""COMPUTED_VALUE"""),1.0)</f>
        <v>1</v>
      </c>
      <c r="P2276" s="213"/>
      <c r="Q2276" s="213"/>
      <c r="R2276" s="213"/>
      <c r="S2276" s="213"/>
      <c r="T2276" s="213"/>
      <c r="U2276" s="213"/>
      <c r="V2276" s="213"/>
      <c r="W2276" s="213"/>
      <c r="X2276" s="213"/>
      <c r="Y2276" s="213"/>
      <c r="Z2276" s="213"/>
      <c r="AA2276" s="213"/>
      <c r="AB2276" s="213"/>
      <c r="AC2276" s="213"/>
      <c r="AD2276" s="213"/>
      <c r="AE2276" s="213"/>
      <c r="AF2276" s="213"/>
      <c r="AG2276" s="213"/>
      <c r="AH2276" s="213"/>
      <c r="AI2276" s="213"/>
      <c r="AJ2276" s="213"/>
      <c r="AK2276" s="213"/>
      <c r="AL2276" s="213"/>
      <c r="AM2276" s="213"/>
      <c r="AN2276" s="213"/>
      <c r="AO2276" s="213"/>
      <c r="AP2276" s="213"/>
      <c r="AQ2276" s="213"/>
      <c r="AR2276" s="213"/>
      <c r="AS2276" s="213"/>
      <c r="AT2276" s="213"/>
      <c r="AU2276" s="213"/>
      <c r="AV2276" s="213"/>
      <c r="AW2276" s="213"/>
      <c r="AX2276" s="213"/>
      <c r="AY2276" s="213"/>
      <c r="AZ2276" s="213"/>
      <c r="BA2276" s="213"/>
      <c r="BB2276" s="213"/>
      <c r="BC2276" s="213"/>
      <c r="BD2276" s="213"/>
    </row>
    <row r="2277">
      <c r="A2277" s="213">
        <f>IFERROR(__xludf.DUMMYFUNCTION("""COMPUTED_VALUE"""),1932.0)</f>
        <v>1932</v>
      </c>
      <c r="B2277" s="213" t="str">
        <f>IFERROR(__xludf.DUMMYFUNCTION("""COMPUTED_VALUE"""),"JOSE GRANDA")</f>
        <v>JOSE GRANDA</v>
      </c>
      <c r="C2277" s="213" t="str">
        <f>IFERROR(__xludf.DUMMYFUNCTION("""COMPUTED_VALUE"""),"TALLER SFT DE COMPUTACIÓN E INFORMÁTICA")</f>
        <v>TALLER SFT DE COMPUTACIÓN E INFORMÁTICA</v>
      </c>
      <c r="D2277" s="213" t="str">
        <f>IFERROR(__xludf.DUMMYFUNCTION("""COMPUTED_VALUE"""),"MOBILIARIO")</f>
        <v>MOBILIARIO</v>
      </c>
      <c r="E2277" s="213" t="str">
        <f>IFERROR(__xludf.DUMMYFUNCTION("""COMPUTED_VALUE"""),"MOB-168")</f>
        <v>MOB-168</v>
      </c>
      <c r="F2277" s="213" t="str">
        <f>IFERROR(__xludf.DUMMYFUNCTION("""COMPUTED_VALUE"""),"MOB-168")</f>
        <v>MOB-168</v>
      </c>
      <c r="G2277" s="213"/>
      <c r="H2277" s="213" t="str">
        <f>IFERROR(__xludf.DUMMYFUNCTION("""COMPUTED_VALUE"""),"SILLA PARA EL DOCENTE")</f>
        <v>SILLA PARA EL DOCENTE</v>
      </c>
      <c r="I2277"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7" s="213">
        <f>IFERROR(__xludf.DUMMYFUNCTION("""COMPUTED_VALUE"""),3.0)</f>
        <v>3</v>
      </c>
      <c r="K2277" s="213" t="str">
        <f>IFERROR(__xludf.DUMMYFUNCTION("""COMPUTED_VALUE"""),"90 DÍAS CALENDARIO")</f>
        <v>90 DÍAS CALENDARIO</v>
      </c>
      <c r="L2277" s="213" t="str">
        <f>IFERROR(__xludf.DUMMYFUNCTION("""COMPUTED_VALUE"""),"")</f>
        <v/>
      </c>
      <c r="M2277" s="213">
        <f>IFERROR(__xludf.DUMMYFUNCTION("""COMPUTED_VALUE"""),1.0)</f>
        <v>1</v>
      </c>
      <c r="N2277" s="213">
        <f>IFERROR(__xludf.DUMMYFUNCTION("""COMPUTED_VALUE"""),1.0)</f>
        <v>1</v>
      </c>
      <c r="O2277" s="213">
        <f>IFERROR(__xludf.DUMMYFUNCTION("""COMPUTED_VALUE"""),1.0)</f>
        <v>1</v>
      </c>
      <c r="P2277" s="213"/>
      <c r="Q2277" s="213"/>
      <c r="R2277" s="213"/>
      <c r="S2277" s="213"/>
      <c r="T2277" s="213"/>
      <c r="U2277" s="213"/>
      <c r="V2277" s="213"/>
      <c r="W2277" s="213"/>
      <c r="X2277" s="213"/>
      <c r="Y2277" s="213"/>
      <c r="Z2277" s="213"/>
      <c r="AA2277" s="213"/>
      <c r="AB2277" s="213"/>
      <c r="AC2277" s="213"/>
      <c r="AD2277" s="213"/>
      <c r="AE2277" s="213"/>
      <c r="AF2277" s="213"/>
      <c r="AG2277" s="213"/>
      <c r="AH2277" s="213"/>
      <c r="AI2277" s="213"/>
      <c r="AJ2277" s="213"/>
      <c r="AK2277" s="213"/>
      <c r="AL2277" s="213"/>
      <c r="AM2277" s="213"/>
      <c r="AN2277" s="213"/>
      <c r="AO2277" s="213"/>
      <c r="AP2277" s="213"/>
      <c r="AQ2277" s="213"/>
      <c r="AR2277" s="213"/>
      <c r="AS2277" s="213"/>
      <c r="AT2277" s="213"/>
      <c r="AU2277" s="213"/>
      <c r="AV2277" s="213"/>
      <c r="AW2277" s="213"/>
      <c r="AX2277" s="213"/>
      <c r="AY2277" s="213"/>
      <c r="AZ2277" s="213"/>
      <c r="BA2277" s="213"/>
      <c r="BB2277" s="213"/>
      <c r="BC2277" s="213"/>
      <c r="BD2277" s="213"/>
    </row>
    <row r="2278">
      <c r="A2278" s="213">
        <f>IFERROR(__xludf.DUMMYFUNCTION("""COMPUTED_VALUE"""),2012.0)</f>
        <v>2012</v>
      </c>
      <c r="B2278" s="213" t="str">
        <f>IFERROR(__xludf.DUMMYFUNCTION("""COMPUTED_VALUE"""),"JOSE GRANDA")</f>
        <v>JOSE GRANDA</v>
      </c>
      <c r="C2278" s="213" t="str">
        <f>IFERROR(__xludf.DUMMYFUNCTION("""COMPUTED_VALUE"""),"TALLER SFT DE INDUSTRIA ALIMENTARIA")</f>
        <v>TALLER SFT DE INDUSTRIA ALIMENTARIA</v>
      </c>
      <c r="D2278" s="213" t="str">
        <f>IFERROR(__xludf.DUMMYFUNCTION("""COMPUTED_VALUE"""),"MOBILIARIO")</f>
        <v>MOBILIARIO</v>
      </c>
      <c r="E2278" s="213" t="str">
        <f>IFERROR(__xludf.DUMMYFUNCTION("""COMPUTED_VALUE"""),"MOB-168")</f>
        <v>MOB-168</v>
      </c>
      <c r="F2278" s="213" t="str">
        <f>IFERROR(__xludf.DUMMYFUNCTION("""COMPUTED_VALUE"""),"MOB-168")</f>
        <v>MOB-168</v>
      </c>
      <c r="G2278" s="213"/>
      <c r="H2278" s="213" t="str">
        <f>IFERROR(__xludf.DUMMYFUNCTION("""COMPUTED_VALUE"""),"SILLA PARA EL DOCENTE")</f>
        <v>SILLA PARA EL DOCENTE</v>
      </c>
      <c r="I2278"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8" s="213">
        <f>IFERROR(__xludf.DUMMYFUNCTION("""COMPUTED_VALUE"""),3.0)</f>
        <v>3</v>
      </c>
      <c r="K2278" s="213" t="str">
        <f>IFERROR(__xludf.DUMMYFUNCTION("""COMPUTED_VALUE"""),"90 DÍAS CALENDARIO")</f>
        <v>90 DÍAS CALENDARIO</v>
      </c>
      <c r="L2278" s="213" t="str">
        <f>IFERROR(__xludf.DUMMYFUNCTION("""COMPUTED_VALUE"""),"")</f>
        <v/>
      </c>
      <c r="M2278" s="213">
        <f>IFERROR(__xludf.DUMMYFUNCTION("""COMPUTED_VALUE"""),1.0)</f>
        <v>1</v>
      </c>
      <c r="N2278" s="213">
        <f>IFERROR(__xludf.DUMMYFUNCTION("""COMPUTED_VALUE"""),1.0)</f>
        <v>1</v>
      </c>
      <c r="O2278" s="213">
        <f>IFERROR(__xludf.DUMMYFUNCTION("""COMPUTED_VALUE"""),1.0)</f>
        <v>1</v>
      </c>
      <c r="P2278" s="213"/>
      <c r="Q2278" s="213"/>
      <c r="R2278" s="213"/>
      <c r="S2278" s="213"/>
      <c r="T2278" s="213"/>
      <c r="U2278" s="213"/>
      <c r="V2278" s="213"/>
      <c r="W2278" s="213"/>
      <c r="X2278" s="213"/>
      <c r="Y2278" s="213"/>
      <c r="Z2278" s="213"/>
      <c r="AA2278" s="213"/>
      <c r="AB2278" s="213"/>
      <c r="AC2278" s="213"/>
      <c r="AD2278" s="213"/>
      <c r="AE2278" s="213"/>
      <c r="AF2278" s="213"/>
      <c r="AG2278" s="213"/>
      <c r="AH2278" s="213"/>
      <c r="AI2278" s="213"/>
      <c r="AJ2278" s="213"/>
      <c r="AK2278" s="213"/>
      <c r="AL2278" s="213"/>
      <c r="AM2278" s="213"/>
      <c r="AN2278" s="213"/>
      <c r="AO2278" s="213"/>
      <c r="AP2278" s="213"/>
      <c r="AQ2278" s="213"/>
      <c r="AR2278" s="213"/>
      <c r="AS2278" s="213"/>
      <c r="AT2278" s="213"/>
      <c r="AU2278" s="213"/>
      <c r="AV2278" s="213"/>
      <c r="AW2278" s="213"/>
      <c r="AX2278" s="213"/>
      <c r="AY2278" s="213"/>
      <c r="AZ2278" s="213"/>
      <c r="BA2278" s="213"/>
      <c r="BB2278" s="213"/>
      <c r="BC2278" s="213"/>
      <c r="BD2278" s="213"/>
    </row>
    <row r="2279">
      <c r="A2279" s="213">
        <f>IFERROR(__xludf.DUMMYFUNCTION("""COMPUTED_VALUE"""),2212.0)</f>
        <v>2212</v>
      </c>
      <c r="B2279" s="213" t="str">
        <f>IFERROR(__xludf.DUMMYFUNCTION("""COMPUTED_VALUE"""),"JOSE GRANDA")</f>
        <v>JOSE GRANDA</v>
      </c>
      <c r="C2279" s="213" t="str">
        <f>IFERROR(__xludf.DUMMYFUNCTION("""COMPUTED_VALUE"""),"TALLER SFT DE MECÁNICA AUTOMOTRIZ")</f>
        <v>TALLER SFT DE MECÁNICA AUTOMOTRIZ</v>
      </c>
      <c r="D2279" s="213" t="str">
        <f>IFERROR(__xludf.DUMMYFUNCTION("""COMPUTED_VALUE"""),"MOBILIARIO")</f>
        <v>MOBILIARIO</v>
      </c>
      <c r="E2279" s="213" t="str">
        <f>IFERROR(__xludf.DUMMYFUNCTION("""COMPUTED_VALUE"""),"MOB-168")</f>
        <v>MOB-168</v>
      </c>
      <c r="F2279" s="213" t="str">
        <f>IFERROR(__xludf.DUMMYFUNCTION("""COMPUTED_VALUE"""),"MOB-168")</f>
        <v>MOB-168</v>
      </c>
      <c r="G2279" s="213"/>
      <c r="H2279" s="213" t="str">
        <f>IFERROR(__xludf.DUMMYFUNCTION("""COMPUTED_VALUE"""),"SILLA PARA EL DOCENTE")</f>
        <v>SILLA PARA EL DOCENTE</v>
      </c>
      <c r="I2279"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79" s="213">
        <f>IFERROR(__xludf.DUMMYFUNCTION("""COMPUTED_VALUE"""),3.0)</f>
        <v>3</v>
      </c>
      <c r="K2279" s="213" t="str">
        <f>IFERROR(__xludf.DUMMYFUNCTION("""COMPUTED_VALUE"""),"90 DÍAS CALENDARIO")</f>
        <v>90 DÍAS CALENDARIO</v>
      </c>
      <c r="L2279" s="213" t="str">
        <f>IFERROR(__xludf.DUMMYFUNCTION("""COMPUTED_VALUE"""),"")</f>
        <v/>
      </c>
      <c r="M2279" s="213">
        <f>IFERROR(__xludf.DUMMYFUNCTION("""COMPUTED_VALUE"""),1.0)</f>
        <v>1</v>
      </c>
      <c r="N2279" s="213">
        <f>IFERROR(__xludf.DUMMYFUNCTION("""COMPUTED_VALUE"""),1.0)</f>
        <v>1</v>
      </c>
      <c r="O2279" s="213">
        <f>IFERROR(__xludf.DUMMYFUNCTION("""COMPUTED_VALUE"""),1.0)</f>
        <v>1</v>
      </c>
      <c r="P2279" s="213"/>
      <c r="Q2279" s="213"/>
      <c r="R2279" s="213"/>
      <c r="S2279" s="213"/>
      <c r="T2279" s="213"/>
      <c r="U2279" s="213"/>
      <c r="V2279" s="213"/>
      <c r="W2279" s="213"/>
      <c r="X2279" s="213"/>
      <c r="Y2279" s="213"/>
      <c r="Z2279" s="213"/>
      <c r="AA2279" s="213"/>
      <c r="AB2279" s="213"/>
      <c r="AC2279" s="213"/>
      <c r="AD2279" s="213"/>
      <c r="AE2279" s="213"/>
      <c r="AF2279" s="213"/>
      <c r="AG2279" s="213"/>
      <c r="AH2279" s="213"/>
      <c r="AI2279" s="213"/>
      <c r="AJ2279" s="213"/>
      <c r="AK2279" s="213"/>
      <c r="AL2279" s="213"/>
      <c r="AM2279" s="213"/>
      <c r="AN2279" s="213"/>
      <c r="AO2279" s="213"/>
      <c r="AP2279" s="213"/>
      <c r="AQ2279" s="213"/>
      <c r="AR2279" s="213"/>
      <c r="AS2279" s="213"/>
      <c r="AT2279" s="213"/>
      <c r="AU2279" s="213"/>
      <c r="AV2279" s="213"/>
      <c r="AW2279" s="213"/>
      <c r="AX2279" s="213"/>
      <c r="AY2279" s="213"/>
      <c r="AZ2279" s="213"/>
      <c r="BA2279" s="213"/>
      <c r="BB2279" s="213"/>
      <c r="BC2279" s="213"/>
      <c r="BD2279" s="213"/>
    </row>
    <row r="2280">
      <c r="A2280" s="213">
        <f>IFERROR(__xludf.DUMMYFUNCTION("""COMPUTED_VALUE"""),2356.0)</f>
        <v>2356</v>
      </c>
      <c r="B2280" s="213" t="str">
        <f>IFERROR(__xludf.DUMMYFUNCTION("""COMPUTED_VALUE"""),"MANUEL ANTONIO MESONES MURO")</f>
        <v>MANUEL ANTONIO MESONES MURO</v>
      </c>
      <c r="C2280" s="213" t="str">
        <f>IFERROR(__xludf.DUMMYFUNCTION("""COMPUTED_VALUE"""),"TALLER SFT DE INDUSTRIA DEL VESTIDO")</f>
        <v>TALLER SFT DE INDUSTRIA DEL VESTIDO</v>
      </c>
      <c r="D2280" s="213" t="str">
        <f>IFERROR(__xludf.DUMMYFUNCTION("""COMPUTED_VALUE"""),"MOBILIARIO")</f>
        <v>MOBILIARIO</v>
      </c>
      <c r="E2280" s="213" t="str">
        <f>IFERROR(__xludf.DUMMYFUNCTION("""COMPUTED_VALUE"""),"MOB-168")</f>
        <v>MOB-168</v>
      </c>
      <c r="F2280" s="213" t="str">
        <f>IFERROR(__xludf.DUMMYFUNCTION("""COMPUTED_VALUE"""),"MOB-168")</f>
        <v>MOB-168</v>
      </c>
      <c r="G2280" s="213"/>
      <c r="H2280" s="213" t="str">
        <f>IFERROR(__xludf.DUMMYFUNCTION("""COMPUTED_VALUE"""),"SILLA PARA EL DOCENTE")</f>
        <v>SILLA PARA EL DOCENTE</v>
      </c>
      <c r="I2280"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80" s="213">
        <f>IFERROR(__xludf.DUMMYFUNCTION("""COMPUTED_VALUE"""),3.0)</f>
        <v>3</v>
      </c>
      <c r="K2280" s="213" t="str">
        <f>IFERROR(__xludf.DUMMYFUNCTION("""COMPUTED_VALUE"""),"90 DÍAS CALENDARIO")</f>
        <v>90 DÍAS CALENDARIO</v>
      </c>
      <c r="L2280" s="213" t="str">
        <f>IFERROR(__xludf.DUMMYFUNCTION("""COMPUTED_VALUE"""),"")</f>
        <v/>
      </c>
      <c r="M2280" s="213">
        <f>IFERROR(__xludf.DUMMYFUNCTION("""COMPUTED_VALUE"""),1.0)</f>
        <v>1</v>
      </c>
      <c r="N2280" s="213">
        <f>IFERROR(__xludf.DUMMYFUNCTION("""COMPUTED_VALUE"""),1.0)</f>
        <v>1</v>
      </c>
      <c r="O2280" s="213">
        <f>IFERROR(__xludf.DUMMYFUNCTION("""COMPUTED_VALUE"""),1.0)</f>
        <v>1</v>
      </c>
      <c r="P2280" s="213"/>
      <c r="Q2280" s="213"/>
      <c r="R2280" s="213"/>
      <c r="S2280" s="213"/>
      <c r="T2280" s="213"/>
      <c r="U2280" s="213"/>
      <c r="V2280" s="213"/>
      <c r="W2280" s="213"/>
      <c r="X2280" s="213"/>
      <c r="Y2280" s="213"/>
      <c r="Z2280" s="213"/>
      <c r="AA2280" s="213"/>
      <c r="AB2280" s="213"/>
      <c r="AC2280" s="213"/>
      <c r="AD2280" s="213"/>
      <c r="AE2280" s="213"/>
      <c r="AF2280" s="213"/>
      <c r="AG2280" s="213"/>
      <c r="AH2280" s="213"/>
      <c r="AI2280" s="213"/>
      <c r="AJ2280" s="213"/>
      <c r="AK2280" s="213"/>
      <c r="AL2280" s="213"/>
      <c r="AM2280" s="213"/>
      <c r="AN2280" s="213"/>
      <c r="AO2280" s="213"/>
      <c r="AP2280" s="213"/>
      <c r="AQ2280" s="213"/>
      <c r="AR2280" s="213"/>
      <c r="AS2280" s="213"/>
      <c r="AT2280" s="213"/>
      <c r="AU2280" s="213"/>
      <c r="AV2280" s="213"/>
      <c r="AW2280" s="213"/>
      <c r="AX2280" s="213"/>
      <c r="AY2280" s="213"/>
      <c r="AZ2280" s="213"/>
      <c r="BA2280" s="213"/>
      <c r="BB2280" s="213"/>
      <c r="BC2280" s="213"/>
      <c r="BD2280" s="213"/>
    </row>
    <row r="2281">
      <c r="A2281" s="213">
        <f>IFERROR(__xludf.DUMMYFUNCTION("""COMPUTED_VALUE"""),2491.0)</f>
        <v>2491</v>
      </c>
      <c r="B2281" s="213" t="str">
        <f>IFERROR(__xludf.DUMMYFUNCTION("""COMPUTED_VALUE"""),"MANUEL ANTONIO MESONES MURO")</f>
        <v>MANUEL ANTONIO MESONES MURO</v>
      </c>
      <c r="C2281" s="213" t="str">
        <f>IFERROR(__xludf.DUMMYFUNCTION("""COMPUTED_VALUE"""),"TALLER SFT DE CONSTRUCCIONES METÁLICAS")</f>
        <v>TALLER SFT DE CONSTRUCCIONES METÁLICAS</v>
      </c>
      <c r="D2281" s="213" t="str">
        <f>IFERROR(__xludf.DUMMYFUNCTION("""COMPUTED_VALUE"""),"HERRAMIENTAS")</f>
        <v>HERRAMIENTAS</v>
      </c>
      <c r="E2281" s="213" t="str">
        <f>IFERROR(__xludf.DUMMYFUNCTION("""COMPUTED_VALUE"""),"HER-192")</f>
        <v>HER-192</v>
      </c>
      <c r="F2281" s="213" t="str">
        <f>IFERROR(__xludf.DUMMYFUNCTION("""COMPUTED_VALUE"""),"HER-192")</f>
        <v>HER-192</v>
      </c>
      <c r="G2281" s="213"/>
      <c r="H2281" s="213" t="str">
        <f>IFERROR(__xludf.DUMMYFUNCTION("""COMPUTED_VALUE"""),"SET DE DESTORNILLADORES")</f>
        <v>SET DE DESTORNILLADORES</v>
      </c>
      <c r="I2281" s="213" t="str">
        <f>IFERROR(__xludf.DUMMYFUNCTION("""COMPUTED_VALUE"""),"De acero cromo vanadio Set de 08 destornilladores
-       03 de punta plana 1/8”x4”; ¼”x6”, 5/16”x8”)
-       04 destornilladores punta cruz (1x3”; 1x4”; 2x5”; 3x6”)
-       01 charola de 384 mm x x184 mm x 45 mm")</f>
        <v>De acero cromo vanadio Set de 08 destornilladores
-       03 de punta plana 1/8”x4”; ¼”x6”, 5/16”x8”)
-       04 destornilladores punta cruz (1x3”; 1x4”; 2x5”; 3x6”)
-       01 charola de 384 mm x x184 mm x 45 mm</v>
      </c>
      <c r="J2281" s="213">
        <f>IFERROR(__xludf.DUMMYFUNCTION("""COMPUTED_VALUE"""),3.0)</f>
        <v>3</v>
      </c>
      <c r="K2281" s="213" t="str">
        <f>IFERROR(__xludf.DUMMYFUNCTION("""COMPUTED_VALUE"""),"90 DÍAS CALENDARIO")</f>
        <v>90 DÍAS CALENDARIO</v>
      </c>
      <c r="L2281" s="213" t="str">
        <f>IFERROR(__xludf.DUMMYFUNCTION("""COMPUTED_VALUE"""),"")</f>
        <v/>
      </c>
      <c r="M2281" s="213">
        <f>IFERROR(__xludf.DUMMYFUNCTION("""COMPUTED_VALUE"""),1.0)</f>
        <v>1</v>
      </c>
      <c r="N2281" s="213">
        <f>IFERROR(__xludf.DUMMYFUNCTION("""COMPUTED_VALUE"""),3.0)</f>
        <v>3</v>
      </c>
      <c r="O2281" s="213">
        <f>IFERROR(__xludf.DUMMYFUNCTION("""COMPUTED_VALUE"""),3.0)</f>
        <v>3</v>
      </c>
      <c r="P2281" s="213"/>
      <c r="Q2281" s="213"/>
      <c r="R2281" s="213" t="str">
        <f>IFERROR(__xludf.DUMMYFUNCTION("""COMPUTED_VALUE"""),"SI")</f>
        <v>SI</v>
      </c>
      <c r="S2281" s="213"/>
      <c r="T2281" s="213" t="str">
        <f>IFERROR(__xludf.DUMMYFUNCTION("""COMPUTED_VALUE"""),"CONSULTA FINAL")</f>
        <v>CONSULTA FINAL</v>
      </c>
      <c r="U2281" s="213" t="str">
        <f>IFERROR(__xludf.DUMMYFUNCTION("""COMPUTED_VALUE"""),"NO")</f>
        <v>NO</v>
      </c>
      <c r="V2281" s="213" t="str">
        <f>IFERROR(__xludf.DUMMYFUNCTION("""COMPUTED_VALUE"""),"SUSTENTO")</f>
        <v>SUSTENTO</v>
      </c>
      <c r="W2281" s="213" t="str">
        <f>IFERROR(__xludf.DUMMYFUNCTION("""COMPUTED_VALUE"""),"EQU TEC")</f>
        <v>EQU TEC</v>
      </c>
      <c r="X2281" s="213" t="str">
        <f>IFERROR(__xludf.DUMMYFUNCTION("""COMPUTED_VALUE"""),"STANLEY")</f>
        <v>STANLEY</v>
      </c>
      <c r="Y2281" s="213">
        <f>IFERROR(__xludf.DUMMYFUNCTION("""COMPUTED_VALUE"""),6141134.0)</f>
        <v>6141134</v>
      </c>
      <c r="Z2281" s="215" t="str">
        <f>IFERROR(__xludf.DUMMYFUNCTION("""COMPUTED_VALUE"""),"https://massbusinessperu.com/destornillador-plano-18-x-4-p?srsltid=AfmBOophH5moEuwFg8vQOoG2_HsIrlJv1ZHtggWQjbvt_qPHZc8Ie6h_")</f>
        <v>https://massbusinessperu.com/destornillador-plano-18-x-4-p?srsltid=AfmBOophH5moEuwFg8vQOoG2_HsIrlJv1ZHtggWQjbvt_qPHZc8Ie6h_</v>
      </c>
      <c r="AA2281" s="213" t="str">
        <f>IFERROR(__xludf.DUMMYFUNCTION("""COMPUTED_VALUE"""),"HER-192 SET DE DESTORNILLADORES - CET")</f>
        <v>HER-192 SET DE DESTORNILLADORES - CET</v>
      </c>
      <c r="AB2281" s="213"/>
      <c r="AC2281" s="213"/>
      <c r="AD2281" s="213"/>
      <c r="AE2281" s="213"/>
      <c r="AF2281" s="213"/>
      <c r="AG2281" s="213"/>
      <c r="AH2281" s="213"/>
      <c r="AI2281" s="213"/>
      <c r="AJ2281" s="213"/>
      <c r="AK2281" s="213"/>
      <c r="AL2281" s="213"/>
      <c r="AM2281" s="213"/>
      <c r="AN2281" s="213"/>
      <c r="AO2281" s="213"/>
      <c r="AP2281" s="213" t="str">
        <f>IFERROR(__xludf.DUMMYFUNCTION("""COMPUTED_VALUE"""),"LUIS")</f>
        <v>LUIS</v>
      </c>
      <c r="AQ2281" s="213"/>
      <c r="AR2281" s="213"/>
      <c r="AS2281" s="213"/>
      <c r="AT2281" s="213"/>
      <c r="AU2281" s="213"/>
      <c r="AV2281" s="213"/>
      <c r="AW2281" s="213"/>
      <c r="AX2281" s="213"/>
      <c r="AY2281" s="213"/>
      <c r="AZ2281" s="213"/>
      <c r="BA2281" s="213"/>
      <c r="BB2281" s="213"/>
      <c r="BC2281" s="213"/>
      <c r="BD2281" s="213"/>
    </row>
    <row r="2282">
      <c r="A2282" s="213">
        <f>IFERROR(__xludf.DUMMYFUNCTION("""COMPUTED_VALUE"""),2545.0)</f>
        <v>2545</v>
      </c>
      <c r="B2282" s="213" t="str">
        <f>IFERROR(__xludf.DUMMYFUNCTION("""COMPUTED_VALUE"""),"MANUEL ANTONIO MESONES MURO")</f>
        <v>MANUEL ANTONIO MESONES MURO</v>
      </c>
      <c r="C2282" s="213" t="str">
        <f>IFERROR(__xludf.DUMMYFUNCTION("""COMPUTED_VALUE"""),"TALLER SFT DE EBANISTERÍA")</f>
        <v>TALLER SFT DE EBANISTERÍA</v>
      </c>
      <c r="D2282" s="213" t="str">
        <f>IFERROR(__xludf.DUMMYFUNCTION("""COMPUTED_VALUE"""),"MOBILIARIO")</f>
        <v>MOBILIARIO</v>
      </c>
      <c r="E2282" s="213" t="str">
        <f>IFERROR(__xludf.DUMMYFUNCTION("""COMPUTED_VALUE"""),"MOB-168")</f>
        <v>MOB-168</v>
      </c>
      <c r="F2282" s="213" t="str">
        <f>IFERROR(__xludf.DUMMYFUNCTION("""COMPUTED_VALUE"""),"MOB-168")</f>
        <v>MOB-168</v>
      </c>
      <c r="G2282" s="213"/>
      <c r="H2282" s="213" t="str">
        <f>IFERROR(__xludf.DUMMYFUNCTION("""COMPUTED_VALUE"""),"SILLA PARA EL DOCENTE")</f>
        <v>SILLA PARA EL DOCENTE</v>
      </c>
      <c r="I2282"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282" s="213">
        <f>IFERROR(__xludf.DUMMYFUNCTION("""COMPUTED_VALUE"""),3.0)</f>
        <v>3</v>
      </c>
      <c r="K2282" s="213" t="str">
        <f>IFERROR(__xludf.DUMMYFUNCTION("""COMPUTED_VALUE"""),"90 DÍAS CALENDARIO")</f>
        <v>90 DÍAS CALENDARIO</v>
      </c>
      <c r="L2282" s="213" t="str">
        <f>IFERROR(__xludf.DUMMYFUNCTION("""COMPUTED_VALUE"""),"")</f>
        <v/>
      </c>
      <c r="M2282" s="213">
        <f>IFERROR(__xludf.DUMMYFUNCTION("""COMPUTED_VALUE"""),1.0)</f>
        <v>1</v>
      </c>
      <c r="N2282" s="213">
        <f>IFERROR(__xludf.DUMMYFUNCTION("""COMPUTED_VALUE"""),1.0)</f>
        <v>1</v>
      </c>
      <c r="O2282" s="213">
        <f>IFERROR(__xludf.DUMMYFUNCTION("""COMPUTED_VALUE"""),1.0)</f>
        <v>1</v>
      </c>
      <c r="P2282" s="213"/>
      <c r="Q2282" s="213"/>
      <c r="R2282" s="213"/>
      <c r="S2282" s="213"/>
      <c r="T2282" s="213"/>
      <c r="U2282" s="213"/>
      <c r="V2282" s="213"/>
      <c r="W2282" s="213"/>
      <c r="X2282" s="213"/>
      <c r="Y2282" s="213"/>
      <c r="Z2282" s="213"/>
      <c r="AA2282" s="213"/>
      <c r="AB2282" s="213"/>
      <c r="AC2282" s="213"/>
      <c r="AD2282" s="213"/>
      <c r="AE2282" s="213"/>
      <c r="AF2282" s="213"/>
      <c r="AG2282" s="213"/>
      <c r="AH2282" s="213"/>
      <c r="AI2282" s="213"/>
      <c r="AJ2282" s="213"/>
      <c r="AK2282" s="213"/>
      <c r="AL2282" s="213"/>
      <c r="AM2282" s="213"/>
      <c r="AN2282" s="213"/>
      <c r="AO2282" s="213"/>
      <c r="AP2282" s="213"/>
      <c r="AQ2282" s="213"/>
      <c r="AR2282" s="213"/>
      <c r="AS2282" s="213"/>
      <c r="AT2282" s="213"/>
      <c r="AU2282" s="213"/>
      <c r="AV2282" s="213"/>
      <c r="AW2282" s="213"/>
      <c r="AX2282" s="213"/>
      <c r="AY2282" s="213"/>
      <c r="AZ2282" s="213"/>
      <c r="BA2282" s="213"/>
      <c r="BB2282" s="213"/>
      <c r="BC2282" s="213"/>
      <c r="BD2282" s="213"/>
    </row>
    <row r="2283">
      <c r="A2283" s="213">
        <f>IFERROR(__xludf.DUMMYFUNCTION("""COMPUTED_VALUE"""),77.0)</f>
        <v>77</v>
      </c>
      <c r="B2283" s="213" t="str">
        <f>IFERROR(__xludf.DUMMYFUNCTION("""COMPUTED_VALUE"""),"16449 ELOY SOBERON  FLORES")</f>
        <v>16449 ELOY SOBERON  FLORES</v>
      </c>
      <c r="C2283" s="213" t="str">
        <f>IFERROR(__xludf.DUMMYFUNCTION("""COMPUTED_VALUE"""),"TALLER SFT DE COCINA Y REPOSTERÍA")</f>
        <v>TALLER SFT DE COCINA Y REPOSTERÍA</v>
      </c>
      <c r="D2283" s="213" t="str">
        <f>IFERROR(__xludf.DUMMYFUNCTION("""COMPUTED_VALUE"""),"MOBILIARIO")</f>
        <v>MOBILIARIO</v>
      </c>
      <c r="E2283" s="213" t="str">
        <f>IFERROR(__xludf.DUMMYFUNCTION("""COMPUTED_VALUE"""),"MOB-169")</f>
        <v>MOB-169</v>
      </c>
      <c r="F2283" s="213" t="str">
        <f>IFERROR(__xludf.DUMMYFUNCTION("""COMPUTED_VALUE"""),"MOB-169")</f>
        <v>MOB-169</v>
      </c>
      <c r="G2283" s="213"/>
      <c r="H2283" s="213" t="str">
        <f>IFERROR(__xludf.DUMMYFUNCTION("""COMPUTED_VALUE"""),"SILLA PARA ESTUDIANTE")</f>
        <v>SILLA PARA ESTUDIANTE</v>
      </c>
      <c r="I2283"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83" s="213">
        <f>IFERROR(__xludf.DUMMYFUNCTION("""COMPUTED_VALUE"""),3.0)</f>
        <v>3</v>
      </c>
      <c r="K2283" s="213" t="str">
        <f>IFERROR(__xludf.DUMMYFUNCTION("""COMPUTED_VALUE"""),"90 DÍAS CALENDARIO")</f>
        <v>90 DÍAS CALENDARIO</v>
      </c>
      <c r="L2283" s="213" t="str">
        <f>IFERROR(__xludf.DUMMYFUNCTION("""COMPUTED_VALUE"""),"")</f>
        <v/>
      </c>
      <c r="M2283" s="213">
        <f>IFERROR(__xludf.DUMMYFUNCTION("""COMPUTED_VALUE"""),1.0)</f>
        <v>1</v>
      </c>
      <c r="N2283" s="213">
        <f>IFERROR(__xludf.DUMMYFUNCTION("""COMPUTED_VALUE"""),19.0)</f>
        <v>19</v>
      </c>
      <c r="O2283" s="213">
        <f>IFERROR(__xludf.DUMMYFUNCTION("""COMPUTED_VALUE"""),19.0)</f>
        <v>19</v>
      </c>
      <c r="P2283" s="213"/>
      <c r="Q2283" s="213"/>
      <c r="R2283" s="213"/>
      <c r="S2283" s="213"/>
      <c r="T2283" s="213"/>
      <c r="U2283" s="213"/>
      <c r="V2283" s="213"/>
      <c r="W2283" s="213"/>
      <c r="X2283" s="213"/>
      <c r="Y2283" s="213"/>
      <c r="Z2283" s="213"/>
      <c r="AA2283" s="213"/>
      <c r="AB2283" s="213"/>
      <c r="AC2283" s="213"/>
      <c r="AD2283" s="213"/>
      <c r="AE2283" s="213"/>
      <c r="AF2283" s="213"/>
      <c r="AG2283" s="213"/>
      <c r="AH2283" s="213"/>
      <c r="AI2283" s="213"/>
      <c r="AJ2283" s="213"/>
      <c r="AK2283" s="213"/>
      <c r="AL2283" s="213"/>
      <c r="AM2283" s="213"/>
      <c r="AN2283" s="213"/>
      <c r="AO2283" s="213"/>
      <c r="AP2283" s="213"/>
      <c r="AQ2283" s="213"/>
      <c r="AR2283" s="213"/>
      <c r="AS2283" s="213"/>
      <c r="AT2283" s="213"/>
      <c r="AU2283" s="213"/>
      <c r="AV2283" s="213"/>
      <c r="AW2283" s="213"/>
      <c r="AX2283" s="213"/>
      <c r="AY2283" s="213"/>
      <c r="AZ2283" s="213"/>
      <c r="BA2283" s="213"/>
      <c r="BB2283" s="213"/>
      <c r="BC2283" s="213"/>
      <c r="BD2283" s="213"/>
    </row>
    <row r="2284">
      <c r="A2284" s="213">
        <f>IFERROR(__xludf.DUMMYFUNCTION("""COMPUTED_VALUE"""),139.0)</f>
        <v>139</v>
      </c>
      <c r="B2284" s="213" t="str">
        <f>IFERROR(__xludf.DUMMYFUNCTION("""COMPUTED_VALUE"""),"2026 SIMON BOLIVAR")</f>
        <v>2026 SIMON BOLIVAR</v>
      </c>
      <c r="C2284" s="213" t="str">
        <f>IFERROR(__xludf.DUMMYFUNCTION("""COMPUTED_VALUE"""),"TALLER SFT DE INDUSTRIA DEL VESTIDO")</f>
        <v>TALLER SFT DE INDUSTRIA DEL VESTIDO</v>
      </c>
      <c r="D2284" s="213" t="str">
        <f>IFERROR(__xludf.DUMMYFUNCTION("""COMPUTED_VALUE"""),"MOBILIARIO")</f>
        <v>MOBILIARIO</v>
      </c>
      <c r="E2284" s="213" t="str">
        <f>IFERROR(__xludf.DUMMYFUNCTION("""COMPUTED_VALUE"""),"MOB-169")</f>
        <v>MOB-169</v>
      </c>
      <c r="F2284" s="213" t="str">
        <f>IFERROR(__xludf.DUMMYFUNCTION("""COMPUTED_VALUE"""),"MOB-169")</f>
        <v>MOB-169</v>
      </c>
      <c r="G2284" s="213"/>
      <c r="H2284" s="213" t="str">
        <f>IFERROR(__xludf.DUMMYFUNCTION("""COMPUTED_VALUE"""),"SILLA PARA ESTUDIANTE")</f>
        <v>SILLA PARA ESTUDIANTE</v>
      </c>
      <c r="I2284"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84" s="213">
        <f>IFERROR(__xludf.DUMMYFUNCTION("""COMPUTED_VALUE"""),3.0)</f>
        <v>3</v>
      </c>
      <c r="K2284" s="213" t="str">
        <f>IFERROR(__xludf.DUMMYFUNCTION("""COMPUTED_VALUE"""),"90 DÍAS CALENDARIO")</f>
        <v>90 DÍAS CALENDARIO</v>
      </c>
      <c r="L2284" s="213" t="str">
        <f>IFERROR(__xludf.DUMMYFUNCTION("""COMPUTED_VALUE"""),"")</f>
        <v/>
      </c>
      <c r="M2284" s="213">
        <f>IFERROR(__xludf.DUMMYFUNCTION("""COMPUTED_VALUE"""),1.0)</f>
        <v>1</v>
      </c>
      <c r="N2284" s="213">
        <f>IFERROR(__xludf.DUMMYFUNCTION("""COMPUTED_VALUE"""),15.0)</f>
        <v>15</v>
      </c>
      <c r="O2284" s="213">
        <f>IFERROR(__xludf.DUMMYFUNCTION("""COMPUTED_VALUE"""),15.0)</f>
        <v>15</v>
      </c>
      <c r="P2284" s="213"/>
      <c r="Q2284" s="213"/>
      <c r="R2284" s="213"/>
      <c r="S2284" s="213"/>
      <c r="T2284" s="213"/>
      <c r="U2284" s="213"/>
      <c r="V2284" s="213"/>
      <c r="W2284" s="213"/>
      <c r="X2284" s="213"/>
      <c r="Y2284" s="213"/>
      <c r="Z2284" s="213"/>
      <c r="AA2284" s="213"/>
      <c r="AB2284" s="213"/>
      <c r="AC2284" s="213"/>
      <c r="AD2284" s="213"/>
      <c r="AE2284" s="213"/>
      <c r="AF2284" s="213"/>
      <c r="AG2284" s="213"/>
      <c r="AH2284" s="213"/>
      <c r="AI2284" s="213"/>
      <c r="AJ2284" s="213"/>
      <c r="AK2284" s="213"/>
      <c r="AL2284" s="213"/>
      <c r="AM2284" s="213"/>
      <c r="AN2284" s="213"/>
      <c r="AO2284" s="213"/>
      <c r="AP2284" s="213"/>
      <c r="AQ2284" s="213"/>
      <c r="AR2284" s="213"/>
      <c r="AS2284" s="213"/>
      <c r="AT2284" s="213"/>
      <c r="AU2284" s="213"/>
      <c r="AV2284" s="213"/>
      <c r="AW2284" s="213"/>
      <c r="AX2284" s="213"/>
      <c r="AY2284" s="213"/>
      <c r="AZ2284" s="213"/>
      <c r="BA2284" s="213"/>
      <c r="BB2284" s="213"/>
      <c r="BC2284" s="213"/>
      <c r="BD2284" s="213"/>
    </row>
    <row r="2285">
      <c r="A2285" s="213">
        <f>IFERROR(__xludf.DUMMYFUNCTION("""COMPUTED_VALUE"""),145.0)</f>
        <v>145</v>
      </c>
      <c r="B2285" s="213" t="str">
        <f>IFERROR(__xludf.DUMMYFUNCTION("""COMPUTED_VALUE"""),"2026 SIMON BOLIVAR")</f>
        <v>2026 SIMON BOLIVAR</v>
      </c>
      <c r="C2285" s="213" t="str">
        <f>IFERROR(__xludf.DUMMYFUNCTION("""COMPUTED_VALUE"""),"TALLER SFT DE INDUSTRIA DEL VESTIDO")</f>
        <v>TALLER SFT DE INDUSTRIA DEL VESTIDO</v>
      </c>
      <c r="D2285" s="213" t="str">
        <f>IFERROR(__xludf.DUMMYFUNCTION("""COMPUTED_VALUE"""),"MOBILIARIO")</f>
        <v>MOBILIARIO</v>
      </c>
      <c r="E2285" s="213" t="str">
        <f>IFERROR(__xludf.DUMMYFUNCTION("""COMPUTED_VALUE"""),"MOB-169")</f>
        <v>MOB-169</v>
      </c>
      <c r="F2285" s="213" t="str">
        <f>IFERROR(__xludf.DUMMYFUNCTION("""COMPUTED_VALUE"""),"MOB-169")</f>
        <v>MOB-169</v>
      </c>
      <c r="G2285" s="213"/>
      <c r="H2285" s="213" t="str">
        <f>IFERROR(__xludf.DUMMYFUNCTION("""COMPUTED_VALUE"""),"SILLA PARA ESTUDIANTE")</f>
        <v>SILLA PARA ESTUDIANTE</v>
      </c>
      <c r="I2285"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85" s="213">
        <f>IFERROR(__xludf.DUMMYFUNCTION("""COMPUTED_VALUE"""),3.0)</f>
        <v>3</v>
      </c>
      <c r="K2285" s="213" t="str">
        <f>IFERROR(__xludf.DUMMYFUNCTION("""COMPUTED_VALUE"""),"90 DÍAS CALENDARIO")</f>
        <v>90 DÍAS CALENDARIO</v>
      </c>
      <c r="L2285" s="213" t="str">
        <f>IFERROR(__xludf.DUMMYFUNCTION("""COMPUTED_VALUE"""),"")</f>
        <v/>
      </c>
      <c r="M2285" s="213">
        <f>IFERROR(__xludf.DUMMYFUNCTION("""COMPUTED_VALUE"""),1.0)</f>
        <v>1</v>
      </c>
      <c r="N2285" s="213">
        <f>IFERROR(__xludf.DUMMYFUNCTION("""COMPUTED_VALUE"""),7.0)</f>
        <v>7</v>
      </c>
      <c r="O2285" s="213">
        <f>IFERROR(__xludf.DUMMYFUNCTION("""COMPUTED_VALUE"""),7.0)</f>
        <v>7</v>
      </c>
      <c r="P2285" s="213"/>
      <c r="Q2285" s="213"/>
      <c r="R2285" s="213"/>
      <c r="S2285" s="213"/>
      <c r="T2285" s="213"/>
      <c r="U2285" s="213"/>
      <c r="V2285" s="213"/>
      <c r="W2285" s="213"/>
      <c r="X2285" s="213"/>
      <c r="Y2285" s="213"/>
      <c r="Z2285" s="213"/>
      <c r="AA2285" s="213"/>
      <c r="AB2285" s="213"/>
      <c r="AC2285" s="213"/>
      <c r="AD2285" s="213"/>
      <c r="AE2285" s="213"/>
      <c r="AF2285" s="213"/>
      <c r="AG2285" s="213"/>
      <c r="AH2285" s="213"/>
      <c r="AI2285" s="213"/>
      <c r="AJ2285" s="213"/>
      <c r="AK2285" s="213"/>
      <c r="AL2285" s="213"/>
      <c r="AM2285" s="213"/>
      <c r="AN2285" s="213"/>
      <c r="AO2285" s="213"/>
      <c r="AP2285" s="213"/>
      <c r="AQ2285" s="213"/>
      <c r="AR2285" s="213"/>
      <c r="AS2285" s="213"/>
      <c r="AT2285" s="213"/>
      <c r="AU2285" s="213"/>
      <c r="AV2285" s="213"/>
      <c r="AW2285" s="213"/>
      <c r="AX2285" s="213"/>
      <c r="AY2285" s="213"/>
      <c r="AZ2285" s="213"/>
      <c r="BA2285" s="213"/>
      <c r="BB2285" s="213"/>
      <c r="BC2285" s="213"/>
      <c r="BD2285" s="213"/>
    </row>
    <row r="2286">
      <c r="A2286" s="213">
        <f>IFERROR(__xludf.DUMMYFUNCTION("""COMPUTED_VALUE"""),147.0)</f>
        <v>147</v>
      </c>
      <c r="B2286" s="213" t="str">
        <f>IFERROR(__xludf.DUMMYFUNCTION("""COMPUTED_VALUE"""),"2026 SIMON BOLIVAR")</f>
        <v>2026 SIMON BOLIVAR</v>
      </c>
      <c r="C2286" s="213" t="str">
        <f>IFERROR(__xludf.DUMMYFUNCTION("""COMPUTED_VALUE"""),"TALLER SFT DE INDUSTRIA DEL VESTIDO")</f>
        <v>TALLER SFT DE INDUSTRIA DEL VESTIDO</v>
      </c>
      <c r="D2286" s="213" t="str">
        <f>IFERROR(__xludf.DUMMYFUNCTION("""COMPUTED_VALUE"""),"MOBILIARIO")</f>
        <v>MOBILIARIO</v>
      </c>
      <c r="E2286" s="213" t="str">
        <f>IFERROR(__xludf.DUMMYFUNCTION("""COMPUTED_VALUE"""),"MOB-169")</f>
        <v>MOB-169</v>
      </c>
      <c r="F2286" s="213" t="str">
        <f>IFERROR(__xludf.DUMMYFUNCTION("""COMPUTED_VALUE"""),"MOB-169")</f>
        <v>MOB-169</v>
      </c>
      <c r="G2286" s="213"/>
      <c r="H2286" s="213" t="str">
        <f>IFERROR(__xludf.DUMMYFUNCTION("""COMPUTED_VALUE"""),"SILLA PARA ESTUDIANTE")</f>
        <v>SILLA PARA ESTUDIANTE</v>
      </c>
      <c r="I2286"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86" s="213">
        <f>IFERROR(__xludf.DUMMYFUNCTION("""COMPUTED_VALUE"""),3.0)</f>
        <v>3</v>
      </c>
      <c r="K2286" s="213" t="str">
        <f>IFERROR(__xludf.DUMMYFUNCTION("""COMPUTED_VALUE"""),"90 DÍAS CALENDARIO")</f>
        <v>90 DÍAS CALENDARIO</v>
      </c>
      <c r="L2286" s="213" t="str">
        <f>IFERROR(__xludf.DUMMYFUNCTION("""COMPUTED_VALUE"""),"")</f>
        <v/>
      </c>
      <c r="M2286" s="213">
        <f>IFERROR(__xludf.DUMMYFUNCTION("""COMPUTED_VALUE"""),1.0)</f>
        <v>1</v>
      </c>
      <c r="N2286" s="213">
        <f>IFERROR(__xludf.DUMMYFUNCTION("""COMPUTED_VALUE"""),7.0)</f>
        <v>7</v>
      </c>
      <c r="O2286" s="213">
        <f>IFERROR(__xludf.DUMMYFUNCTION("""COMPUTED_VALUE"""),7.0)</f>
        <v>7</v>
      </c>
      <c r="P2286" s="213"/>
      <c r="Q2286" s="213"/>
      <c r="R2286" s="213"/>
      <c r="S2286" s="213"/>
      <c r="T2286" s="213"/>
      <c r="U2286" s="213"/>
      <c r="V2286" s="213"/>
      <c r="W2286" s="213"/>
      <c r="X2286" s="213"/>
      <c r="Y2286" s="213"/>
      <c r="Z2286" s="213"/>
      <c r="AA2286" s="213"/>
      <c r="AB2286" s="213"/>
      <c r="AC2286" s="213"/>
      <c r="AD2286" s="213"/>
      <c r="AE2286" s="213"/>
      <c r="AF2286" s="213"/>
      <c r="AG2286" s="213"/>
      <c r="AH2286" s="213"/>
      <c r="AI2286" s="213"/>
      <c r="AJ2286" s="213"/>
      <c r="AK2286" s="213"/>
      <c r="AL2286" s="213"/>
      <c r="AM2286" s="213"/>
      <c r="AN2286" s="213"/>
      <c r="AO2286" s="213"/>
      <c r="AP2286" s="213"/>
      <c r="AQ2286" s="213"/>
      <c r="AR2286" s="213"/>
      <c r="AS2286" s="213"/>
      <c r="AT2286" s="213"/>
      <c r="AU2286" s="213"/>
      <c r="AV2286" s="213"/>
      <c r="AW2286" s="213"/>
      <c r="AX2286" s="213"/>
      <c r="AY2286" s="213"/>
      <c r="AZ2286" s="213"/>
      <c r="BA2286" s="213"/>
      <c r="BB2286" s="213"/>
      <c r="BC2286" s="213"/>
      <c r="BD2286" s="213"/>
    </row>
    <row r="2287">
      <c r="A2287" s="213">
        <f>IFERROR(__xludf.DUMMYFUNCTION("""COMPUTED_VALUE"""),151.0)</f>
        <v>151</v>
      </c>
      <c r="B2287" s="213" t="str">
        <f>IFERROR(__xludf.DUMMYFUNCTION("""COMPUTED_VALUE"""),"2026 SIMON BOLIVAR")</f>
        <v>2026 SIMON BOLIVAR</v>
      </c>
      <c r="C2287" s="213" t="str">
        <f>IFERROR(__xludf.DUMMYFUNCTION("""COMPUTED_VALUE"""),"TALLER SFT DE INDUSTRIA DEL VESTIDO")</f>
        <v>TALLER SFT DE INDUSTRIA DEL VESTIDO</v>
      </c>
      <c r="D2287" s="213" t="str">
        <f>IFERROR(__xludf.DUMMYFUNCTION("""COMPUTED_VALUE"""),"MOBILIARIO")</f>
        <v>MOBILIARIO</v>
      </c>
      <c r="E2287" s="213" t="str">
        <f>IFERROR(__xludf.DUMMYFUNCTION("""COMPUTED_VALUE"""),"MOB-169")</f>
        <v>MOB-169</v>
      </c>
      <c r="F2287" s="213" t="str">
        <f>IFERROR(__xludf.DUMMYFUNCTION("""COMPUTED_VALUE"""),"MOB-169")</f>
        <v>MOB-169</v>
      </c>
      <c r="G2287" s="213"/>
      <c r="H2287" s="213" t="str">
        <f>IFERROR(__xludf.DUMMYFUNCTION("""COMPUTED_VALUE"""),"SILLA PARA ESTUDIANTE")</f>
        <v>SILLA PARA ESTUDIANTE</v>
      </c>
      <c r="I2287"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87" s="213">
        <f>IFERROR(__xludf.DUMMYFUNCTION("""COMPUTED_VALUE"""),3.0)</f>
        <v>3</v>
      </c>
      <c r="K2287" s="213" t="str">
        <f>IFERROR(__xludf.DUMMYFUNCTION("""COMPUTED_VALUE"""),"90 DÍAS CALENDARIO")</f>
        <v>90 DÍAS CALENDARIO</v>
      </c>
      <c r="L2287" s="213" t="str">
        <f>IFERROR(__xludf.DUMMYFUNCTION("""COMPUTED_VALUE"""),"")</f>
        <v/>
      </c>
      <c r="M2287" s="213">
        <f>IFERROR(__xludf.DUMMYFUNCTION("""COMPUTED_VALUE"""),1.0)</f>
        <v>1</v>
      </c>
      <c r="N2287" s="213">
        <f>IFERROR(__xludf.DUMMYFUNCTION("""COMPUTED_VALUE"""),2.0)</f>
        <v>2</v>
      </c>
      <c r="O2287" s="213">
        <f>IFERROR(__xludf.DUMMYFUNCTION("""COMPUTED_VALUE"""),2.0)</f>
        <v>2</v>
      </c>
      <c r="P2287" s="213"/>
      <c r="Q2287" s="213"/>
      <c r="R2287" s="213"/>
      <c r="S2287" s="213"/>
      <c r="T2287" s="213"/>
      <c r="U2287" s="213"/>
      <c r="V2287" s="213"/>
      <c r="W2287" s="213"/>
      <c r="X2287" s="213"/>
      <c r="Y2287" s="213"/>
      <c r="Z2287" s="213"/>
      <c r="AA2287" s="213"/>
      <c r="AB2287" s="213"/>
      <c r="AC2287" s="213"/>
      <c r="AD2287" s="213"/>
      <c r="AE2287" s="213"/>
      <c r="AF2287" s="213"/>
      <c r="AG2287" s="213"/>
      <c r="AH2287" s="213"/>
      <c r="AI2287" s="213"/>
      <c r="AJ2287" s="213"/>
      <c r="AK2287" s="213"/>
      <c r="AL2287" s="213"/>
      <c r="AM2287" s="213"/>
      <c r="AN2287" s="213"/>
      <c r="AO2287" s="213"/>
      <c r="AP2287" s="213"/>
      <c r="AQ2287" s="213"/>
      <c r="AR2287" s="213"/>
      <c r="AS2287" s="213"/>
      <c r="AT2287" s="213"/>
      <c r="AU2287" s="213"/>
      <c r="AV2287" s="213"/>
      <c r="AW2287" s="213"/>
      <c r="AX2287" s="213"/>
      <c r="AY2287" s="213"/>
      <c r="AZ2287" s="213"/>
      <c r="BA2287" s="213"/>
      <c r="BB2287" s="213"/>
      <c r="BC2287" s="213"/>
      <c r="BD2287" s="213"/>
    </row>
    <row r="2288">
      <c r="A2288" s="213">
        <f>IFERROR(__xludf.DUMMYFUNCTION("""COMPUTED_VALUE"""),152.0)</f>
        <v>152</v>
      </c>
      <c r="B2288" s="213" t="str">
        <f>IFERROR(__xludf.DUMMYFUNCTION("""COMPUTED_VALUE"""),"2026 SIMON BOLIVAR")</f>
        <v>2026 SIMON BOLIVAR</v>
      </c>
      <c r="C2288" s="213" t="str">
        <f>IFERROR(__xludf.DUMMYFUNCTION("""COMPUTED_VALUE"""),"TALLER SFT DE INDUSTRIA DEL VESTIDO")</f>
        <v>TALLER SFT DE INDUSTRIA DEL VESTIDO</v>
      </c>
      <c r="D2288" s="213" t="str">
        <f>IFERROR(__xludf.DUMMYFUNCTION("""COMPUTED_VALUE"""),"MOBILIARIO")</f>
        <v>MOBILIARIO</v>
      </c>
      <c r="E2288" s="213" t="str">
        <f>IFERROR(__xludf.DUMMYFUNCTION("""COMPUTED_VALUE"""),"MOB-169")</f>
        <v>MOB-169</v>
      </c>
      <c r="F2288" s="213" t="str">
        <f>IFERROR(__xludf.DUMMYFUNCTION("""COMPUTED_VALUE"""),"MOB-169")</f>
        <v>MOB-169</v>
      </c>
      <c r="G2288" s="213"/>
      <c r="H2288" s="213" t="str">
        <f>IFERROR(__xludf.DUMMYFUNCTION("""COMPUTED_VALUE"""),"SILLA PARA ESTUDIANTE")</f>
        <v>SILLA PARA ESTUDIANTE</v>
      </c>
      <c r="I2288"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88" s="213">
        <f>IFERROR(__xludf.DUMMYFUNCTION("""COMPUTED_VALUE"""),3.0)</f>
        <v>3</v>
      </c>
      <c r="K2288" s="213" t="str">
        <f>IFERROR(__xludf.DUMMYFUNCTION("""COMPUTED_VALUE"""),"90 DÍAS CALENDARIO")</f>
        <v>90 DÍAS CALENDARIO</v>
      </c>
      <c r="L2288" s="213" t="str">
        <f>IFERROR(__xludf.DUMMYFUNCTION("""COMPUTED_VALUE"""),"")</f>
        <v/>
      </c>
      <c r="M2288" s="213">
        <f>IFERROR(__xludf.DUMMYFUNCTION("""COMPUTED_VALUE"""),1.0)</f>
        <v>1</v>
      </c>
      <c r="N2288" s="213">
        <f>IFERROR(__xludf.DUMMYFUNCTION("""COMPUTED_VALUE"""),1.0)</f>
        <v>1</v>
      </c>
      <c r="O2288" s="213">
        <f>IFERROR(__xludf.DUMMYFUNCTION("""COMPUTED_VALUE"""),1.0)</f>
        <v>1</v>
      </c>
      <c r="P2288" s="213"/>
      <c r="Q2288" s="213"/>
      <c r="R2288" s="213"/>
      <c r="S2288" s="213"/>
      <c r="T2288" s="213"/>
      <c r="U2288" s="213"/>
      <c r="V2288" s="213"/>
      <c r="W2288" s="213"/>
      <c r="X2288" s="213"/>
      <c r="Y2288" s="213"/>
      <c r="Z2288" s="213"/>
      <c r="AA2288" s="213"/>
      <c r="AB2288" s="213"/>
      <c r="AC2288" s="213"/>
      <c r="AD2288" s="213"/>
      <c r="AE2288" s="213"/>
      <c r="AF2288" s="213"/>
      <c r="AG2288" s="213"/>
      <c r="AH2288" s="213"/>
      <c r="AI2288" s="213"/>
      <c r="AJ2288" s="213"/>
      <c r="AK2288" s="213"/>
      <c r="AL2288" s="213"/>
      <c r="AM2288" s="213"/>
      <c r="AN2288" s="213"/>
      <c r="AO2288" s="213"/>
      <c r="AP2288" s="213"/>
      <c r="AQ2288" s="213"/>
      <c r="AR2288" s="213"/>
      <c r="AS2288" s="213"/>
      <c r="AT2288" s="213"/>
      <c r="AU2288" s="213"/>
      <c r="AV2288" s="213"/>
      <c r="AW2288" s="213"/>
      <c r="AX2288" s="213"/>
      <c r="AY2288" s="213"/>
      <c r="AZ2288" s="213"/>
      <c r="BA2288" s="213"/>
      <c r="BB2288" s="213"/>
      <c r="BC2288" s="213"/>
      <c r="BD2288" s="213"/>
    </row>
    <row r="2289">
      <c r="A2289" s="213">
        <f>IFERROR(__xludf.DUMMYFUNCTION("""COMPUTED_VALUE"""),154.0)</f>
        <v>154</v>
      </c>
      <c r="B2289" s="213" t="str">
        <f>IFERROR(__xludf.DUMMYFUNCTION("""COMPUTED_VALUE"""),"2026 SIMON BOLIVAR")</f>
        <v>2026 SIMON BOLIVAR</v>
      </c>
      <c r="C2289" s="213" t="str">
        <f>IFERROR(__xludf.DUMMYFUNCTION("""COMPUTED_VALUE"""),"TALLER SFT DE INDUSTRIA DEL VESTIDO")</f>
        <v>TALLER SFT DE INDUSTRIA DEL VESTIDO</v>
      </c>
      <c r="D2289" s="213" t="str">
        <f>IFERROR(__xludf.DUMMYFUNCTION("""COMPUTED_VALUE"""),"MOBILIARIO")</f>
        <v>MOBILIARIO</v>
      </c>
      <c r="E2289" s="213" t="str">
        <f>IFERROR(__xludf.DUMMYFUNCTION("""COMPUTED_VALUE"""),"MOB-169")</f>
        <v>MOB-169</v>
      </c>
      <c r="F2289" s="213" t="str">
        <f>IFERROR(__xludf.DUMMYFUNCTION("""COMPUTED_VALUE"""),"MOB-169")</f>
        <v>MOB-169</v>
      </c>
      <c r="G2289" s="213"/>
      <c r="H2289" s="213" t="str">
        <f>IFERROR(__xludf.DUMMYFUNCTION("""COMPUTED_VALUE"""),"SILLA PARA ESTUDIANTE")</f>
        <v>SILLA PARA ESTUDIANTE</v>
      </c>
      <c r="I2289"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89" s="213">
        <f>IFERROR(__xludf.DUMMYFUNCTION("""COMPUTED_VALUE"""),3.0)</f>
        <v>3</v>
      </c>
      <c r="K2289" s="213" t="str">
        <f>IFERROR(__xludf.DUMMYFUNCTION("""COMPUTED_VALUE"""),"90 DÍAS CALENDARIO")</f>
        <v>90 DÍAS CALENDARIO</v>
      </c>
      <c r="L2289" s="213" t="str">
        <f>IFERROR(__xludf.DUMMYFUNCTION("""COMPUTED_VALUE"""),"")</f>
        <v/>
      </c>
      <c r="M2289" s="213">
        <f>IFERROR(__xludf.DUMMYFUNCTION("""COMPUTED_VALUE"""),1.0)</f>
        <v>1</v>
      </c>
      <c r="N2289" s="213">
        <f>IFERROR(__xludf.DUMMYFUNCTION("""COMPUTED_VALUE"""),6.0)</f>
        <v>6</v>
      </c>
      <c r="O2289" s="213">
        <f>IFERROR(__xludf.DUMMYFUNCTION("""COMPUTED_VALUE"""),6.0)</f>
        <v>6</v>
      </c>
      <c r="P2289" s="213"/>
      <c r="Q2289" s="213"/>
      <c r="R2289" s="213"/>
      <c r="S2289" s="213"/>
      <c r="T2289" s="213"/>
      <c r="U2289" s="213"/>
      <c r="V2289" s="213"/>
      <c r="W2289" s="213"/>
      <c r="X2289" s="213"/>
      <c r="Y2289" s="213"/>
      <c r="Z2289" s="213"/>
      <c r="AA2289" s="213"/>
      <c r="AB2289" s="213"/>
      <c r="AC2289" s="213"/>
      <c r="AD2289" s="213"/>
      <c r="AE2289" s="213"/>
      <c r="AF2289" s="213"/>
      <c r="AG2289" s="213"/>
      <c r="AH2289" s="213"/>
      <c r="AI2289" s="213"/>
      <c r="AJ2289" s="213"/>
      <c r="AK2289" s="213"/>
      <c r="AL2289" s="213"/>
      <c r="AM2289" s="213"/>
      <c r="AN2289" s="213"/>
      <c r="AO2289" s="213"/>
      <c r="AP2289" s="213"/>
      <c r="AQ2289" s="213"/>
      <c r="AR2289" s="213"/>
      <c r="AS2289" s="213"/>
      <c r="AT2289" s="213"/>
      <c r="AU2289" s="213"/>
      <c r="AV2289" s="213"/>
      <c r="AW2289" s="213"/>
      <c r="AX2289" s="213"/>
      <c r="AY2289" s="213"/>
      <c r="AZ2289" s="213"/>
      <c r="BA2289" s="213"/>
      <c r="BB2289" s="213"/>
      <c r="BC2289" s="213"/>
      <c r="BD2289" s="213"/>
    </row>
    <row r="2290">
      <c r="A2290" s="213">
        <f>IFERROR(__xludf.DUMMYFUNCTION("""COMPUTED_VALUE"""),162.0)</f>
        <v>162</v>
      </c>
      <c r="B2290" s="213" t="str">
        <f>IFERROR(__xludf.DUMMYFUNCTION("""COMPUTED_VALUE"""),"2026 SIMON BOLIVAR")</f>
        <v>2026 SIMON BOLIVAR</v>
      </c>
      <c r="C2290" s="213" t="str">
        <f>IFERROR(__xludf.DUMMYFUNCTION("""COMPUTED_VALUE"""),"TALLER SFT DE INDUSTRIA DEL VESTIDO")</f>
        <v>TALLER SFT DE INDUSTRIA DEL VESTIDO</v>
      </c>
      <c r="D2290" s="213" t="str">
        <f>IFERROR(__xludf.DUMMYFUNCTION("""COMPUTED_VALUE"""),"MOBILIARIO")</f>
        <v>MOBILIARIO</v>
      </c>
      <c r="E2290" s="213" t="str">
        <f>IFERROR(__xludf.DUMMYFUNCTION("""COMPUTED_VALUE"""),"MOB-169")</f>
        <v>MOB-169</v>
      </c>
      <c r="F2290" s="213" t="str">
        <f>IFERROR(__xludf.DUMMYFUNCTION("""COMPUTED_VALUE"""),"MOB-169")</f>
        <v>MOB-169</v>
      </c>
      <c r="G2290" s="213"/>
      <c r="H2290" s="213" t="str">
        <f>IFERROR(__xludf.DUMMYFUNCTION("""COMPUTED_VALUE"""),"SILLA PARA ESTUDIANTE")</f>
        <v>SILLA PARA ESTUDIANTE</v>
      </c>
      <c r="I2290"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0" s="213">
        <f>IFERROR(__xludf.DUMMYFUNCTION("""COMPUTED_VALUE"""),3.0)</f>
        <v>3</v>
      </c>
      <c r="K2290" s="213" t="str">
        <f>IFERROR(__xludf.DUMMYFUNCTION("""COMPUTED_VALUE"""),"90 DÍAS CALENDARIO")</f>
        <v>90 DÍAS CALENDARIO</v>
      </c>
      <c r="L2290" s="213" t="str">
        <f>IFERROR(__xludf.DUMMYFUNCTION("""COMPUTED_VALUE"""),"")</f>
        <v/>
      </c>
      <c r="M2290" s="213">
        <f>IFERROR(__xludf.DUMMYFUNCTION("""COMPUTED_VALUE"""),1.0)</f>
        <v>1</v>
      </c>
      <c r="N2290" s="213">
        <f>IFERROR(__xludf.DUMMYFUNCTION("""COMPUTED_VALUE"""),7.0)</f>
        <v>7</v>
      </c>
      <c r="O2290" s="213">
        <f>IFERROR(__xludf.DUMMYFUNCTION("""COMPUTED_VALUE"""),7.0)</f>
        <v>7</v>
      </c>
      <c r="P2290" s="213"/>
      <c r="Q2290" s="213"/>
      <c r="R2290" s="213"/>
      <c r="S2290" s="213"/>
      <c r="T2290" s="213"/>
      <c r="U2290" s="213"/>
      <c r="V2290" s="213"/>
      <c r="W2290" s="213"/>
      <c r="X2290" s="213"/>
      <c r="Y2290" s="213"/>
      <c r="Z2290" s="213"/>
      <c r="AA2290" s="213"/>
      <c r="AB2290" s="213"/>
      <c r="AC2290" s="213"/>
      <c r="AD2290" s="213"/>
      <c r="AE2290" s="213"/>
      <c r="AF2290" s="213"/>
      <c r="AG2290" s="213"/>
      <c r="AH2290" s="213"/>
      <c r="AI2290" s="213"/>
      <c r="AJ2290" s="213"/>
      <c r="AK2290" s="213"/>
      <c r="AL2290" s="213"/>
      <c r="AM2290" s="213"/>
      <c r="AN2290" s="213"/>
      <c r="AO2290" s="213"/>
      <c r="AP2290" s="213"/>
      <c r="AQ2290" s="213"/>
      <c r="AR2290" s="213"/>
      <c r="AS2290" s="213"/>
      <c r="AT2290" s="213"/>
      <c r="AU2290" s="213"/>
      <c r="AV2290" s="213"/>
      <c r="AW2290" s="213"/>
      <c r="AX2290" s="213"/>
      <c r="AY2290" s="213"/>
      <c r="AZ2290" s="213"/>
      <c r="BA2290" s="213"/>
      <c r="BB2290" s="213"/>
      <c r="BC2290" s="213"/>
      <c r="BD2290" s="213"/>
    </row>
    <row r="2291">
      <c r="A2291" s="213">
        <f>IFERROR(__xludf.DUMMYFUNCTION("""COMPUTED_VALUE"""),163.0)</f>
        <v>163</v>
      </c>
      <c r="B2291" s="213" t="str">
        <f>IFERROR(__xludf.DUMMYFUNCTION("""COMPUTED_VALUE"""),"2026 SIMON BOLIVAR")</f>
        <v>2026 SIMON BOLIVAR</v>
      </c>
      <c r="C2291" s="213" t="str">
        <f>IFERROR(__xludf.DUMMYFUNCTION("""COMPUTED_VALUE"""),"TALLER SFT DE INDUSTRIA DEL VESTIDO")</f>
        <v>TALLER SFT DE INDUSTRIA DEL VESTIDO</v>
      </c>
      <c r="D2291" s="213" t="str">
        <f>IFERROR(__xludf.DUMMYFUNCTION("""COMPUTED_VALUE"""),"MOBILIARIO")</f>
        <v>MOBILIARIO</v>
      </c>
      <c r="E2291" s="213" t="str">
        <f>IFERROR(__xludf.DUMMYFUNCTION("""COMPUTED_VALUE"""),"MOB-169")</f>
        <v>MOB-169</v>
      </c>
      <c r="F2291" s="213" t="str">
        <f>IFERROR(__xludf.DUMMYFUNCTION("""COMPUTED_VALUE"""),"MOB-169")</f>
        <v>MOB-169</v>
      </c>
      <c r="G2291" s="213"/>
      <c r="H2291" s="213" t="str">
        <f>IFERROR(__xludf.DUMMYFUNCTION("""COMPUTED_VALUE"""),"SILLA PARA ESTUDIANTE")</f>
        <v>SILLA PARA ESTUDIANTE</v>
      </c>
      <c r="I2291"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1" s="213">
        <f>IFERROR(__xludf.DUMMYFUNCTION("""COMPUTED_VALUE"""),3.0)</f>
        <v>3</v>
      </c>
      <c r="K2291" s="213" t="str">
        <f>IFERROR(__xludf.DUMMYFUNCTION("""COMPUTED_VALUE"""),"90 DÍAS CALENDARIO")</f>
        <v>90 DÍAS CALENDARIO</v>
      </c>
      <c r="L2291" s="213" t="str">
        <f>IFERROR(__xludf.DUMMYFUNCTION("""COMPUTED_VALUE"""),"")</f>
        <v/>
      </c>
      <c r="M2291" s="213">
        <f>IFERROR(__xludf.DUMMYFUNCTION("""COMPUTED_VALUE"""),1.0)</f>
        <v>1</v>
      </c>
      <c r="N2291" s="213">
        <f>IFERROR(__xludf.DUMMYFUNCTION("""COMPUTED_VALUE"""),7.0)</f>
        <v>7</v>
      </c>
      <c r="O2291" s="213">
        <f>IFERROR(__xludf.DUMMYFUNCTION("""COMPUTED_VALUE"""),7.0)</f>
        <v>7</v>
      </c>
      <c r="P2291" s="213"/>
      <c r="Q2291" s="213"/>
      <c r="R2291" s="213"/>
      <c r="S2291" s="213"/>
      <c r="T2291" s="213"/>
      <c r="U2291" s="213"/>
      <c r="V2291" s="213"/>
      <c r="W2291" s="213"/>
      <c r="X2291" s="213"/>
      <c r="Y2291" s="213"/>
      <c r="Z2291" s="213"/>
      <c r="AA2291" s="213"/>
      <c r="AB2291" s="213"/>
      <c r="AC2291" s="213"/>
      <c r="AD2291" s="213"/>
      <c r="AE2291" s="213"/>
      <c r="AF2291" s="213"/>
      <c r="AG2291" s="213"/>
      <c r="AH2291" s="213"/>
      <c r="AI2291" s="213"/>
      <c r="AJ2291" s="213"/>
      <c r="AK2291" s="213"/>
      <c r="AL2291" s="213"/>
      <c r="AM2291" s="213"/>
      <c r="AN2291" s="213"/>
      <c r="AO2291" s="213"/>
      <c r="AP2291" s="213"/>
      <c r="AQ2291" s="213"/>
      <c r="AR2291" s="213"/>
      <c r="AS2291" s="213"/>
      <c r="AT2291" s="213"/>
      <c r="AU2291" s="213"/>
      <c r="AV2291" s="213"/>
      <c r="AW2291" s="213"/>
      <c r="AX2291" s="213"/>
      <c r="AY2291" s="213"/>
      <c r="AZ2291" s="213"/>
      <c r="BA2291" s="213"/>
      <c r="BB2291" s="213"/>
      <c r="BC2291" s="213"/>
      <c r="BD2291" s="213"/>
    </row>
    <row r="2292">
      <c r="A2292" s="213">
        <f>IFERROR(__xludf.DUMMYFUNCTION("""COMPUTED_VALUE"""),243.0)</f>
        <v>243</v>
      </c>
      <c r="B2292" s="213" t="str">
        <f>IFERROR(__xludf.DUMMYFUNCTION("""COMPUTED_VALUE"""),"2026 SIMON BOLIVAR")</f>
        <v>2026 SIMON BOLIVAR</v>
      </c>
      <c r="C2292" s="213" t="str">
        <f>IFERROR(__xludf.DUMMYFUNCTION("""COMPUTED_VALUE"""),"TALLER SFT DE COMPUTACIÓN E INFORMÁTICA")</f>
        <v>TALLER SFT DE COMPUTACIÓN E INFORMÁTICA</v>
      </c>
      <c r="D2292" s="213" t="str">
        <f>IFERROR(__xludf.DUMMYFUNCTION("""COMPUTED_VALUE"""),"MOBILIARIO")</f>
        <v>MOBILIARIO</v>
      </c>
      <c r="E2292" s="213" t="str">
        <f>IFERROR(__xludf.DUMMYFUNCTION("""COMPUTED_VALUE"""),"MOB-169")</f>
        <v>MOB-169</v>
      </c>
      <c r="F2292" s="213" t="str">
        <f>IFERROR(__xludf.DUMMYFUNCTION("""COMPUTED_VALUE"""),"MOB-169")</f>
        <v>MOB-169</v>
      </c>
      <c r="G2292" s="213"/>
      <c r="H2292" s="213" t="str">
        <f>IFERROR(__xludf.DUMMYFUNCTION("""COMPUTED_VALUE"""),"SILLA PARA ESTUDIANTE")</f>
        <v>SILLA PARA ESTUDIANTE</v>
      </c>
      <c r="I2292"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2" s="213">
        <f>IFERROR(__xludf.DUMMYFUNCTION("""COMPUTED_VALUE"""),3.0)</f>
        <v>3</v>
      </c>
      <c r="K2292" s="213" t="str">
        <f>IFERROR(__xludf.DUMMYFUNCTION("""COMPUTED_VALUE"""),"90 DÍAS CALENDARIO")</f>
        <v>90 DÍAS CALENDARIO</v>
      </c>
      <c r="L2292" s="213" t="str">
        <f>IFERROR(__xludf.DUMMYFUNCTION("""COMPUTED_VALUE"""),"")</f>
        <v/>
      </c>
      <c r="M2292" s="213">
        <f>IFERROR(__xludf.DUMMYFUNCTION("""COMPUTED_VALUE"""),1.0)</f>
        <v>1</v>
      </c>
      <c r="N2292" s="213">
        <f>IFERROR(__xludf.DUMMYFUNCTION("""COMPUTED_VALUE"""),15.0)</f>
        <v>15</v>
      </c>
      <c r="O2292" s="213">
        <f>IFERROR(__xludf.DUMMYFUNCTION("""COMPUTED_VALUE"""),15.0)</f>
        <v>15</v>
      </c>
      <c r="P2292" s="213"/>
      <c r="Q2292" s="213"/>
      <c r="R2292" s="213"/>
      <c r="S2292" s="213"/>
      <c r="T2292" s="213"/>
      <c r="U2292" s="213"/>
      <c r="V2292" s="213"/>
      <c r="W2292" s="213"/>
      <c r="X2292" s="213"/>
      <c r="Y2292" s="213"/>
      <c r="Z2292" s="213"/>
      <c r="AA2292" s="213"/>
      <c r="AB2292" s="213"/>
      <c r="AC2292" s="213"/>
      <c r="AD2292" s="213"/>
      <c r="AE2292" s="213"/>
      <c r="AF2292" s="213"/>
      <c r="AG2292" s="213"/>
      <c r="AH2292" s="213"/>
      <c r="AI2292" s="213"/>
      <c r="AJ2292" s="213"/>
      <c r="AK2292" s="213"/>
      <c r="AL2292" s="213"/>
      <c r="AM2292" s="213"/>
      <c r="AN2292" s="213"/>
      <c r="AO2292" s="213"/>
      <c r="AP2292" s="213"/>
      <c r="AQ2292" s="213"/>
      <c r="AR2292" s="213"/>
      <c r="AS2292" s="213"/>
      <c r="AT2292" s="213"/>
      <c r="AU2292" s="213"/>
      <c r="AV2292" s="213"/>
      <c r="AW2292" s="213"/>
      <c r="AX2292" s="213"/>
      <c r="AY2292" s="213"/>
      <c r="AZ2292" s="213"/>
      <c r="BA2292" s="213"/>
      <c r="BB2292" s="213"/>
      <c r="BC2292" s="213"/>
      <c r="BD2292" s="213"/>
    </row>
    <row r="2293">
      <c r="A2293" s="213">
        <f>IFERROR(__xludf.DUMMYFUNCTION("""COMPUTED_VALUE"""),335.0)</f>
        <v>335</v>
      </c>
      <c r="B2293" s="213" t="str">
        <f>IFERROR(__xludf.DUMMYFUNCTION("""COMPUTED_VALUE"""),"2026 SIMON BOLIVAR")</f>
        <v>2026 SIMON BOLIVAR</v>
      </c>
      <c r="C2293" s="213" t="str">
        <f>IFERROR(__xludf.DUMMYFUNCTION("""COMPUTED_VALUE"""),"TALLER SFT DE ELECTRICIDAD")</f>
        <v>TALLER SFT DE ELECTRICIDAD</v>
      </c>
      <c r="D2293" s="213" t="str">
        <f>IFERROR(__xludf.DUMMYFUNCTION("""COMPUTED_VALUE"""),"MOBILIARIO")</f>
        <v>MOBILIARIO</v>
      </c>
      <c r="E2293" s="213" t="str">
        <f>IFERROR(__xludf.DUMMYFUNCTION("""COMPUTED_VALUE"""),"MOB-169")</f>
        <v>MOB-169</v>
      </c>
      <c r="F2293" s="213" t="str">
        <f>IFERROR(__xludf.DUMMYFUNCTION("""COMPUTED_VALUE"""),"MOB-169")</f>
        <v>MOB-169</v>
      </c>
      <c r="G2293" s="213"/>
      <c r="H2293" s="213" t="str">
        <f>IFERROR(__xludf.DUMMYFUNCTION("""COMPUTED_VALUE"""),"SILLA PARA ESTUDIANTE")</f>
        <v>SILLA PARA ESTUDIANTE</v>
      </c>
      <c r="I2293"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3" s="213">
        <f>IFERROR(__xludf.DUMMYFUNCTION("""COMPUTED_VALUE"""),3.0)</f>
        <v>3</v>
      </c>
      <c r="K2293" s="213" t="str">
        <f>IFERROR(__xludf.DUMMYFUNCTION("""COMPUTED_VALUE"""),"90 DÍAS CALENDARIO")</f>
        <v>90 DÍAS CALENDARIO</v>
      </c>
      <c r="L2293" s="213" t="str">
        <f>IFERROR(__xludf.DUMMYFUNCTION("""COMPUTED_VALUE"""),"")</f>
        <v/>
      </c>
      <c r="M2293" s="213">
        <f>IFERROR(__xludf.DUMMYFUNCTION("""COMPUTED_VALUE"""),1.0)</f>
        <v>1</v>
      </c>
      <c r="N2293" s="213">
        <f>IFERROR(__xludf.DUMMYFUNCTION("""COMPUTED_VALUE"""),16.0)</f>
        <v>16</v>
      </c>
      <c r="O2293" s="213">
        <f>IFERROR(__xludf.DUMMYFUNCTION("""COMPUTED_VALUE"""),16.0)</f>
        <v>16</v>
      </c>
      <c r="P2293" s="213"/>
      <c r="Q2293" s="213"/>
      <c r="R2293" s="213"/>
      <c r="S2293" s="213"/>
      <c r="T2293" s="213"/>
      <c r="U2293" s="213"/>
      <c r="V2293" s="213"/>
      <c r="W2293" s="213"/>
      <c r="X2293" s="213"/>
      <c r="Y2293" s="213"/>
      <c r="Z2293" s="213"/>
      <c r="AA2293" s="213"/>
      <c r="AB2293" s="213"/>
      <c r="AC2293" s="213"/>
      <c r="AD2293" s="213"/>
      <c r="AE2293" s="213"/>
      <c r="AF2293" s="213"/>
      <c r="AG2293" s="213"/>
      <c r="AH2293" s="213"/>
      <c r="AI2293" s="213"/>
      <c r="AJ2293" s="213"/>
      <c r="AK2293" s="213"/>
      <c r="AL2293" s="213"/>
      <c r="AM2293" s="213"/>
      <c r="AN2293" s="213"/>
      <c r="AO2293" s="213"/>
      <c r="AP2293" s="213"/>
      <c r="AQ2293" s="213"/>
      <c r="AR2293" s="213"/>
      <c r="AS2293" s="213"/>
      <c r="AT2293" s="213"/>
      <c r="AU2293" s="213"/>
      <c r="AV2293" s="213"/>
      <c r="AW2293" s="213"/>
      <c r="AX2293" s="213"/>
      <c r="AY2293" s="213"/>
      <c r="AZ2293" s="213"/>
      <c r="BA2293" s="213"/>
      <c r="BB2293" s="213"/>
      <c r="BC2293" s="213"/>
      <c r="BD2293" s="213"/>
    </row>
    <row r="2294">
      <c r="A2294" s="213">
        <f>IFERROR(__xludf.DUMMYFUNCTION("""COMPUTED_VALUE"""),420.0)</f>
        <v>420</v>
      </c>
      <c r="B2294" s="213" t="str">
        <f>IFERROR(__xludf.DUMMYFUNCTION("""COMPUTED_VALUE"""),"2026 SIMON BOLIVAR")</f>
        <v>2026 SIMON BOLIVAR</v>
      </c>
      <c r="C2294" s="213" t="str">
        <f>IFERROR(__xludf.DUMMYFUNCTION("""COMPUTED_VALUE"""),"TALLER SFT DE INDUSTRIA ALIMENTARIA")</f>
        <v>TALLER SFT DE INDUSTRIA ALIMENTARIA</v>
      </c>
      <c r="D2294" s="213" t="str">
        <f>IFERROR(__xludf.DUMMYFUNCTION("""COMPUTED_VALUE"""),"MOBILIARIO")</f>
        <v>MOBILIARIO</v>
      </c>
      <c r="E2294" s="213" t="str">
        <f>IFERROR(__xludf.DUMMYFUNCTION("""COMPUTED_VALUE"""),"MOB-169")</f>
        <v>MOB-169</v>
      </c>
      <c r="F2294" s="213" t="str">
        <f>IFERROR(__xludf.DUMMYFUNCTION("""COMPUTED_VALUE"""),"MOB-169")</f>
        <v>MOB-169</v>
      </c>
      <c r="G2294" s="213"/>
      <c r="H2294" s="213" t="str">
        <f>IFERROR(__xludf.DUMMYFUNCTION("""COMPUTED_VALUE"""),"SILLA PARA ESTUDIANTE")</f>
        <v>SILLA PARA ESTUDIANTE</v>
      </c>
      <c r="I2294"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4" s="213">
        <f>IFERROR(__xludf.DUMMYFUNCTION("""COMPUTED_VALUE"""),3.0)</f>
        <v>3</v>
      </c>
      <c r="K2294" s="213" t="str">
        <f>IFERROR(__xludf.DUMMYFUNCTION("""COMPUTED_VALUE"""),"90 DÍAS CALENDARIO")</f>
        <v>90 DÍAS CALENDARIO</v>
      </c>
      <c r="L2294" s="213" t="str">
        <f>IFERROR(__xludf.DUMMYFUNCTION("""COMPUTED_VALUE"""),"")</f>
        <v/>
      </c>
      <c r="M2294" s="213">
        <f>IFERROR(__xludf.DUMMYFUNCTION("""COMPUTED_VALUE"""),1.0)</f>
        <v>1</v>
      </c>
      <c r="N2294" s="213">
        <f>IFERROR(__xludf.DUMMYFUNCTION("""COMPUTED_VALUE"""),19.0)</f>
        <v>19</v>
      </c>
      <c r="O2294" s="213">
        <f>IFERROR(__xludf.DUMMYFUNCTION("""COMPUTED_VALUE"""),19.0)</f>
        <v>19</v>
      </c>
      <c r="P2294" s="213"/>
      <c r="Q2294" s="213"/>
      <c r="R2294" s="213"/>
      <c r="S2294" s="213"/>
      <c r="T2294" s="213"/>
      <c r="U2294" s="213"/>
      <c r="V2294" s="213"/>
      <c r="W2294" s="213"/>
      <c r="X2294" s="213"/>
      <c r="Y2294" s="213"/>
      <c r="Z2294" s="213"/>
      <c r="AA2294" s="213"/>
      <c r="AB2294" s="213"/>
      <c r="AC2294" s="213"/>
      <c r="AD2294" s="213"/>
      <c r="AE2294" s="213"/>
      <c r="AF2294" s="213"/>
      <c r="AG2294" s="213"/>
      <c r="AH2294" s="213"/>
      <c r="AI2294" s="213"/>
      <c r="AJ2294" s="213"/>
      <c r="AK2294" s="213"/>
      <c r="AL2294" s="213"/>
      <c r="AM2294" s="213"/>
      <c r="AN2294" s="213"/>
      <c r="AO2294" s="213"/>
      <c r="AP2294" s="213"/>
      <c r="AQ2294" s="213"/>
      <c r="AR2294" s="213"/>
      <c r="AS2294" s="213"/>
      <c r="AT2294" s="213"/>
      <c r="AU2294" s="213"/>
      <c r="AV2294" s="213"/>
      <c r="AW2294" s="213"/>
      <c r="AX2294" s="213"/>
      <c r="AY2294" s="213"/>
      <c r="AZ2294" s="213"/>
      <c r="BA2294" s="213"/>
      <c r="BB2294" s="213"/>
      <c r="BC2294" s="213"/>
      <c r="BD2294" s="213"/>
    </row>
    <row r="2295">
      <c r="A2295" s="213">
        <f>IFERROR(__xludf.DUMMYFUNCTION("""COMPUTED_VALUE"""),610.0)</f>
        <v>610</v>
      </c>
      <c r="B2295" s="213" t="str">
        <f>IFERROR(__xludf.DUMMYFUNCTION("""COMPUTED_VALUE"""),"6049 RICARDO PALMA")</f>
        <v>6049 RICARDO PALMA</v>
      </c>
      <c r="C2295" s="213" t="str">
        <f>IFERROR(__xludf.DUMMYFUNCTION("""COMPUTED_VALUE"""),"TALLER SFT DE ELECTRÓNICA")</f>
        <v>TALLER SFT DE ELECTRÓNICA</v>
      </c>
      <c r="D2295" s="213" t="str">
        <f>IFERROR(__xludf.DUMMYFUNCTION("""COMPUTED_VALUE"""),"MOBILIARIO")</f>
        <v>MOBILIARIO</v>
      </c>
      <c r="E2295" s="213" t="str">
        <f>IFERROR(__xludf.DUMMYFUNCTION("""COMPUTED_VALUE"""),"MOB-169")</f>
        <v>MOB-169</v>
      </c>
      <c r="F2295" s="213" t="str">
        <f>IFERROR(__xludf.DUMMYFUNCTION("""COMPUTED_VALUE"""),"MOB-169")</f>
        <v>MOB-169</v>
      </c>
      <c r="G2295" s="213"/>
      <c r="H2295" s="213" t="str">
        <f>IFERROR(__xludf.DUMMYFUNCTION("""COMPUTED_VALUE"""),"SILLA PARA ESTUDIANTE")</f>
        <v>SILLA PARA ESTUDIANTE</v>
      </c>
      <c r="I2295"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5" s="213">
        <f>IFERROR(__xludf.DUMMYFUNCTION("""COMPUTED_VALUE"""),3.0)</f>
        <v>3</v>
      </c>
      <c r="K2295" s="213" t="str">
        <f>IFERROR(__xludf.DUMMYFUNCTION("""COMPUTED_VALUE"""),"90 DÍAS CALENDARIO")</f>
        <v>90 DÍAS CALENDARIO</v>
      </c>
      <c r="L2295" s="213" t="str">
        <f>IFERROR(__xludf.DUMMYFUNCTION("""COMPUTED_VALUE"""),"")</f>
        <v/>
      </c>
      <c r="M2295" s="213">
        <f>IFERROR(__xludf.DUMMYFUNCTION("""COMPUTED_VALUE"""),1.0)</f>
        <v>1</v>
      </c>
      <c r="N2295" s="213">
        <f>IFERROR(__xludf.DUMMYFUNCTION("""COMPUTED_VALUE"""),20.0)</f>
        <v>20</v>
      </c>
      <c r="O2295" s="213">
        <f>IFERROR(__xludf.DUMMYFUNCTION("""COMPUTED_VALUE"""),20.0)</f>
        <v>20</v>
      </c>
      <c r="P2295" s="213"/>
      <c r="Q2295" s="213"/>
      <c r="R2295" s="213"/>
      <c r="S2295" s="213"/>
      <c r="T2295" s="213"/>
      <c r="U2295" s="213"/>
      <c r="V2295" s="213"/>
      <c r="W2295" s="213"/>
      <c r="X2295" s="213"/>
      <c r="Y2295" s="213"/>
      <c r="Z2295" s="213"/>
      <c r="AA2295" s="213"/>
      <c r="AB2295" s="213"/>
      <c r="AC2295" s="213"/>
      <c r="AD2295" s="213"/>
      <c r="AE2295" s="213"/>
      <c r="AF2295" s="213"/>
      <c r="AG2295" s="213"/>
      <c r="AH2295" s="213"/>
      <c r="AI2295" s="213"/>
      <c r="AJ2295" s="213"/>
      <c r="AK2295" s="213"/>
      <c r="AL2295" s="213"/>
      <c r="AM2295" s="213"/>
      <c r="AN2295" s="213"/>
      <c r="AO2295" s="213"/>
      <c r="AP2295" s="213"/>
      <c r="AQ2295" s="213"/>
      <c r="AR2295" s="213"/>
      <c r="AS2295" s="213"/>
      <c r="AT2295" s="213"/>
      <c r="AU2295" s="213"/>
      <c r="AV2295" s="213"/>
      <c r="AW2295" s="213"/>
      <c r="AX2295" s="213"/>
      <c r="AY2295" s="213"/>
      <c r="AZ2295" s="213"/>
      <c r="BA2295" s="213"/>
      <c r="BB2295" s="213"/>
      <c r="BC2295" s="213"/>
      <c r="BD2295" s="213"/>
    </row>
    <row r="2296">
      <c r="A2296" s="213">
        <f>IFERROR(__xludf.DUMMYFUNCTION("""COMPUTED_VALUE"""),621.0)</f>
        <v>621</v>
      </c>
      <c r="B2296" s="213" t="str">
        <f>IFERROR(__xludf.DUMMYFUNCTION("""COMPUTED_VALUE"""),"6049 RICARDO PALMA")</f>
        <v>6049 RICARDO PALMA</v>
      </c>
      <c r="C2296" s="213" t="str">
        <f>IFERROR(__xludf.DUMMYFUNCTION("""COMPUTED_VALUE"""),"TALLER SFT DE ELECTRÓNICA")</f>
        <v>TALLER SFT DE ELECTRÓNICA</v>
      </c>
      <c r="D2296" s="213" t="str">
        <f>IFERROR(__xludf.DUMMYFUNCTION("""COMPUTED_VALUE"""),"MOBILIARIO")</f>
        <v>MOBILIARIO</v>
      </c>
      <c r="E2296" s="213" t="str">
        <f>IFERROR(__xludf.DUMMYFUNCTION("""COMPUTED_VALUE"""),"MOB-169")</f>
        <v>MOB-169</v>
      </c>
      <c r="F2296" s="213" t="str">
        <f>IFERROR(__xludf.DUMMYFUNCTION("""COMPUTED_VALUE"""),"MOB-169")</f>
        <v>MOB-169</v>
      </c>
      <c r="G2296" s="213"/>
      <c r="H2296" s="213" t="str">
        <f>IFERROR(__xludf.DUMMYFUNCTION("""COMPUTED_VALUE"""),"SILLA PARA ESTUDIANTE")</f>
        <v>SILLA PARA ESTUDIANTE</v>
      </c>
      <c r="I2296"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6" s="213">
        <f>IFERROR(__xludf.DUMMYFUNCTION("""COMPUTED_VALUE"""),3.0)</f>
        <v>3</v>
      </c>
      <c r="K2296" s="213" t="str">
        <f>IFERROR(__xludf.DUMMYFUNCTION("""COMPUTED_VALUE"""),"90 DÍAS CALENDARIO")</f>
        <v>90 DÍAS CALENDARIO</v>
      </c>
      <c r="L2296" s="213" t="str">
        <f>IFERROR(__xludf.DUMMYFUNCTION("""COMPUTED_VALUE"""),"")</f>
        <v/>
      </c>
      <c r="M2296" s="213">
        <f>IFERROR(__xludf.DUMMYFUNCTION("""COMPUTED_VALUE"""),1.0)</f>
        <v>1</v>
      </c>
      <c r="N2296" s="213">
        <f>IFERROR(__xludf.DUMMYFUNCTION("""COMPUTED_VALUE"""),20.0)</f>
        <v>20</v>
      </c>
      <c r="O2296" s="213">
        <f>IFERROR(__xludf.DUMMYFUNCTION("""COMPUTED_VALUE"""),20.0)</f>
        <v>20</v>
      </c>
      <c r="P2296" s="213"/>
      <c r="Q2296" s="213"/>
      <c r="R2296" s="213"/>
      <c r="S2296" s="213"/>
      <c r="T2296" s="213"/>
      <c r="U2296" s="213"/>
      <c r="V2296" s="213"/>
      <c r="W2296" s="213"/>
      <c r="X2296" s="213"/>
      <c r="Y2296" s="213"/>
      <c r="Z2296" s="213"/>
      <c r="AA2296" s="213"/>
      <c r="AB2296" s="213"/>
      <c r="AC2296" s="213"/>
      <c r="AD2296" s="213"/>
      <c r="AE2296" s="213"/>
      <c r="AF2296" s="213"/>
      <c r="AG2296" s="213"/>
      <c r="AH2296" s="213"/>
      <c r="AI2296" s="213"/>
      <c r="AJ2296" s="213"/>
      <c r="AK2296" s="213"/>
      <c r="AL2296" s="213"/>
      <c r="AM2296" s="213"/>
      <c r="AN2296" s="213"/>
      <c r="AO2296" s="213"/>
      <c r="AP2296" s="213"/>
      <c r="AQ2296" s="213"/>
      <c r="AR2296" s="213"/>
      <c r="AS2296" s="213"/>
      <c r="AT2296" s="213"/>
      <c r="AU2296" s="213"/>
      <c r="AV2296" s="213"/>
      <c r="AW2296" s="213"/>
      <c r="AX2296" s="213"/>
      <c r="AY2296" s="213"/>
      <c r="AZ2296" s="213"/>
      <c r="BA2296" s="213"/>
      <c r="BB2296" s="213"/>
      <c r="BC2296" s="213"/>
      <c r="BD2296" s="213"/>
    </row>
    <row r="2297">
      <c r="A2297" s="213">
        <f>IFERROR(__xludf.DUMMYFUNCTION("""COMPUTED_VALUE"""),728.0)</f>
        <v>728</v>
      </c>
      <c r="B2297" s="213" t="str">
        <f>IFERROR(__xludf.DUMMYFUNCTION("""COMPUTED_VALUE"""),"6049 RICARDO PALMA")</f>
        <v>6049 RICARDO PALMA</v>
      </c>
      <c r="C2297" s="213" t="str">
        <f>IFERROR(__xludf.DUMMYFUNCTION("""COMPUTED_VALUE"""),"TALLER SFT DE COMPUTACIÓN E INFORMÁTICA")</f>
        <v>TALLER SFT DE COMPUTACIÓN E INFORMÁTICA</v>
      </c>
      <c r="D2297" s="213" t="str">
        <f>IFERROR(__xludf.DUMMYFUNCTION("""COMPUTED_VALUE"""),"MOBILIARIO")</f>
        <v>MOBILIARIO</v>
      </c>
      <c r="E2297" s="213" t="str">
        <f>IFERROR(__xludf.DUMMYFUNCTION("""COMPUTED_VALUE"""),"MOB-169")</f>
        <v>MOB-169</v>
      </c>
      <c r="F2297" s="213" t="str">
        <f>IFERROR(__xludf.DUMMYFUNCTION("""COMPUTED_VALUE"""),"MOB-169")</f>
        <v>MOB-169</v>
      </c>
      <c r="G2297" s="213"/>
      <c r="H2297" s="213" t="str">
        <f>IFERROR(__xludf.DUMMYFUNCTION("""COMPUTED_VALUE"""),"SILLA PARA ESTUDIANTE")</f>
        <v>SILLA PARA ESTUDIANTE</v>
      </c>
      <c r="I2297"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7" s="213">
        <f>IFERROR(__xludf.DUMMYFUNCTION("""COMPUTED_VALUE"""),3.0)</f>
        <v>3</v>
      </c>
      <c r="K2297" s="213" t="str">
        <f>IFERROR(__xludf.DUMMYFUNCTION("""COMPUTED_VALUE"""),"90 DÍAS CALENDARIO")</f>
        <v>90 DÍAS CALENDARIO</v>
      </c>
      <c r="L2297" s="213" t="str">
        <f>IFERROR(__xludf.DUMMYFUNCTION("""COMPUTED_VALUE"""),"")</f>
        <v/>
      </c>
      <c r="M2297" s="213">
        <f>IFERROR(__xludf.DUMMYFUNCTION("""COMPUTED_VALUE"""),1.0)</f>
        <v>1</v>
      </c>
      <c r="N2297" s="213">
        <f>IFERROR(__xludf.DUMMYFUNCTION("""COMPUTED_VALUE"""),17.0)</f>
        <v>17</v>
      </c>
      <c r="O2297" s="213">
        <f>IFERROR(__xludf.DUMMYFUNCTION("""COMPUTED_VALUE"""),17.0)</f>
        <v>17</v>
      </c>
      <c r="P2297" s="213"/>
      <c r="Q2297" s="213"/>
      <c r="R2297" s="213"/>
      <c r="S2297" s="213"/>
      <c r="T2297" s="213"/>
      <c r="U2297" s="213"/>
      <c r="V2297" s="213"/>
      <c r="W2297" s="213"/>
      <c r="X2297" s="213"/>
      <c r="Y2297" s="213"/>
      <c r="Z2297" s="213"/>
      <c r="AA2297" s="213"/>
      <c r="AB2297" s="213"/>
      <c r="AC2297" s="213"/>
      <c r="AD2297" s="213"/>
      <c r="AE2297" s="213"/>
      <c r="AF2297" s="213"/>
      <c r="AG2297" s="213"/>
      <c r="AH2297" s="213"/>
      <c r="AI2297" s="213"/>
      <c r="AJ2297" s="213"/>
      <c r="AK2297" s="213"/>
      <c r="AL2297" s="213"/>
      <c r="AM2297" s="213"/>
      <c r="AN2297" s="213"/>
      <c r="AO2297" s="213"/>
      <c r="AP2297" s="213"/>
      <c r="AQ2297" s="213"/>
      <c r="AR2297" s="213"/>
      <c r="AS2297" s="213"/>
      <c r="AT2297" s="213"/>
      <c r="AU2297" s="213"/>
      <c r="AV2297" s="213"/>
      <c r="AW2297" s="213"/>
      <c r="AX2297" s="213"/>
      <c r="AY2297" s="213"/>
      <c r="AZ2297" s="213"/>
      <c r="BA2297" s="213"/>
      <c r="BB2297" s="213"/>
      <c r="BC2297" s="213"/>
      <c r="BD2297" s="213"/>
    </row>
    <row r="2298">
      <c r="A2298" s="213">
        <f>IFERROR(__xludf.DUMMYFUNCTION("""COMPUTED_VALUE"""),821.0)</f>
        <v>821</v>
      </c>
      <c r="B2298" s="213" t="str">
        <f>IFERROR(__xludf.DUMMYFUNCTION("""COMPUTED_VALUE"""),"6049 RICARDO PALMA")</f>
        <v>6049 RICARDO PALMA</v>
      </c>
      <c r="C2298" s="213" t="str">
        <f>IFERROR(__xludf.DUMMYFUNCTION("""COMPUTED_VALUE"""),"TALLER SFT DE ELECTRICIDAD")</f>
        <v>TALLER SFT DE ELECTRICIDAD</v>
      </c>
      <c r="D2298" s="213" t="str">
        <f>IFERROR(__xludf.DUMMYFUNCTION("""COMPUTED_VALUE"""),"MOBILIARIO")</f>
        <v>MOBILIARIO</v>
      </c>
      <c r="E2298" s="213" t="str">
        <f>IFERROR(__xludf.DUMMYFUNCTION("""COMPUTED_VALUE"""),"MOB-169")</f>
        <v>MOB-169</v>
      </c>
      <c r="F2298" s="213" t="str">
        <f>IFERROR(__xludf.DUMMYFUNCTION("""COMPUTED_VALUE"""),"MOB-169")</f>
        <v>MOB-169</v>
      </c>
      <c r="G2298" s="213"/>
      <c r="H2298" s="213" t="str">
        <f>IFERROR(__xludf.DUMMYFUNCTION("""COMPUTED_VALUE"""),"SILLA PARA ESTUDIANTE")</f>
        <v>SILLA PARA ESTUDIANTE</v>
      </c>
      <c r="I2298"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8" s="213">
        <f>IFERROR(__xludf.DUMMYFUNCTION("""COMPUTED_VALUE"""),3.0)</f>
        <v>3</v>
      </c>
      <c r="K2298" s="213" t="str">
        <f>IFERROR(__xludf.DUMMYFUNCTION("""COMPUTED_VALUE"""),"90 DÍAS CALENDARIO")</f>
        <v>90 DÍAS CALENDARIO</v>
      </c>
      <c r="L2298" s="213" t="str">
        <f>IFERROR(__xludf.DUMMYFUNCTION("""COMPUTED_VALUE"""),"")</f>
        <v/>
      </c>
      <c r="M2298" s="213">
        <f>IFERROR(__xludf.DUMMYFUNCTION("""COMPUTED_VALUE"""),1.0)</f>
        <v>1</v>
      </c>
      <c r="N2298" s="213">
        <f>IFERROR(__xludf.DUMMYFUNCTION("""COMPUTED_VALUE"""),18.0)</f>
        <v>18</v>
      </c>
      <c r="O2298" s="213">
        <f>IFERROR(__xludf.DUMMYFUNCTION("""COMPUTED_VALUE"""),18.0)</f>
        <v>18</v>
      </c>
      <c r="P2298" s="213"/>
      <c r="Q2298" s="213"/>
      <c r="R2298" s="213"/>
      <c r="S2298" s="213"/>
      <c r="T2298" s="213"/>
      <c r="U2298" s="213"/>
      <c r="V2298" s="213"/>
      <c r="W2298" s="213"/>
      <c r="X2298" s="213"/>
      <c r="Y2298" s="213"/>
      <c r="Z2298" s="213"/>
      <c r="AA2298" s="213"/>
      <c r="AB2298" s="213"/>
      <c r="AC2298" s="213"/>
      <c r="AD2298" s="213"/>
      <c r="AE2298" s="213"/>
      <c r="AF2298" s="213"/>
      <c r="AG2298" s="213"/>
      <c r="AH2298" s="213"/>
      <c r="AI2298" s="213"/>
      <c r="AJ2298" s="213"/>
      <c r="AK2298" s="213"/>
      <c r="AL2298" s="213"/>
      <c r="AM2298" s="213"/>
      <c r="AN2298" s="213"/>
      <c r="AO2298" s="213"/>
      <c r="AP2298" s="213"/>
      <c r="AQ2298" s="213"/>
      <c r="AR2298" s="213"/>
      <c r="AS2298" s="213"/>
      <c r="AT2298" s="213"/>
      <c r="AU2298" s="213"/>
      <c r="AV2298" s="213"/>
      <c r="AW2298" s="213"/>
      <c r="AX2298" s="213"/>
      <c r="AY2298" s="213"/>
      <c r="AZ2298" s="213"/>
      <c r="BA2298" s="213"/>
      <c r="BB2298" s="213"/>
      <c r="BC2298" s="213"/>
      <c r="BD2298" s="213"/>
    </row>
    <row r="2299">
      <c r="A2299" s="213">
        <f>IFERROR(__xludf.DUMMYFUNCTION("""COMPUTED_VALUE"""),906.0)</f>
        <v>906</v>
      </c>
      <c r="B2299" s="213" t="str">
        <f>IFERROR(__xludf.DUMMYFUNCTION("""COMPUTED_VALUE"""),"FRANCISCO IRAZOLA")</f>
        <v>FRANCISCO IRAZOLA</v>
      </c>
      <c r="C2299" s="213" t="str">
        <f>IFERROR(__xludf.DUMMYFUNCTION("""COMPUTED_VALUE"""),"TALLER SFT DE MECÁNICA AUTOMOTRIZ")</f>
        <v>TALLER SFT DE MECÁNICA AUTOMOTRIZ</v>
      </c>
      <c r="D2299" s="213" t="str">
        <f>IFERROR(__xludf.DUMMYFUNCTION("""COMPUTED_VALUE"""),"MOBILIARIO")</f>
        <v>MOBILIARIO</v>
      </c>
      <c r="E2299" s="213" t="str">
        <f>IFERROR(__xludf.DUMMYFUNCTION("""COMPUTED_VALUE"""),"MOB-169")</f>
        <v>MOB-169</v>
      </c>
      <c r="F2299" s="213" t="str">
        <f>IFERROR(__xludf.DUMMYFUNCTION("""COMPUTED_VALUE"""),"MOB-169")</f>
        <v>MOB-169</v>
      </c>
      <c r="G2299" s="213"/>
      <c r="H2299" s="213" t="str">
        <f>IFERROR(__xludf.DUMMYFUNCTION("""COMPUTED_VALUE"""),"SILLA PARA ESTUDIANTE")</f>
        <v>SILLA PARA ESTUDIANTE</v>
      </c>
      <c r="I2299"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299" s="213">
        <f>IFERROR(__xludf.DUMMYFUNCTION("""COMPUTED_VALUE"""),3.0)</f>
        <v>3</v>
      </c>
      <c r="K2299" s="213" t="str">
        <f>IFERROR(__xludf.DUMMYFUNCTION("""COMPUTED_VALUE"""),"90 DÍAS CALENDARIO")</f>
        <v>90 DÍAS CALENDARIO</v>
      </c>
      <c r="L2299" s="213" t="str">
        <f>IFERROR(__xludf.DUMMYFUNCTION("""COMPUTED_VALUE"""),"")</f>
        <v/>
      </c>
      <c r="M2299" s="213">
        <f>IFERROR(__xludf.DUMMYFUNCTION("""COMPUTED_VALUE"""),1.0)</f>
        <v>1</v>
      </c>
      <c r="N2299" s="213">
        <f>IFERROR(__xludf.DUMMYFUNCTION("""COMPUTED_VALUE"""),19.0)</f>
        <v>19</v>
      </c>
      <c r="O2299" s="213">
        <f>IFERROR(__xludf.DUMMYFUNCTION("""COMPUTED_VALUE"""),19.0)</f>
        <v>19</v>
      </c>
      <c r="P2299" s="213"/>
      <c r="Q2299" s="213"/>
      <c r="R2299" s="213"/>
      <c r="S2299" s="213"/>
      <c r="T2299" s="213"/>
      <c r="U2299" s="213"/>
      <c r="V2299" s="213"/>
      <c r="W2299" s="213"/>
      <c r="X2299" s="213"/>
      <c r="Y2299" s="213"/>
      <c r="Z2299" s="213"/>
      <c r="AA2299" s="213"/>
      <c r="AB2299" s="213"/>
      <c r="AC2299" s="213"/>
      <c r="AD2299" s="213"/>
      <c r="AE2299" s="213"/>
      <c r="AF2299" s="213"/>
      <c r="AG2299" s="213"/>
      <c r="AH2299" s="213"/>
      <c r="AI2299" s="213"/>
      <c r="AJ2299" s="213"/>
      <c r="AK2299" s="213"/>
      <c r="AL2299" s="213"/>
      <c r="AM2299" s="213"/>
      <c r="AN2299" s="213"/>
      <c r="AO2299" s="213"/>
      <c r="AP2299" s="213"/>
      <c r="AQ2299" s="213"/>
      <c r="AR2299" s="213"/>
      <c r="AS2299" s="213"/>
      <c r="AT2299" s="213"/>
      <c r="AU2299" s="213"/>
      <c r="AV2299" s="213"/>
      <c r="AW2299" s="213"/>
      <c r="AX2299" s="213"/>
      <c r="AY2299" s="213"/>
      <c r="AZ2299" s="213"/>
      <c r="BA2299" s="213"/>
      <c r="BB2299" s="213"/>
      <c r="BC2299" s="213"/>
      <c r="BD2299" s="213"/>
    </row>
    <row r="2300">
      <c r="A2300" s="213">
        <f>IFERROR(__xludf.DUMMYFUNCTION("""COMPUTED_VALUE"""),1092.0)</f>
        <v>1092</v>
      </c>
      <c r="B2300" s="213" t="str">
        <f>IFERROR(__xludf.DUMMYFUNCTION("""COMPUTED_VALUE"""),"FRANCISCO IRAZOLA")</f>
        <v>FRANCISCO IRAZOLA</v>
      </c>
      <c r="C2300" s="213" t="str">
        <f>IFERROR(__xludf.DUMMYFUNCTION("""COMPUTED_VALUE"""),"TALLER SFT DE INDUSTRIA ALIMENTARIA")</f>
        <v>TALLER SFT DE INDUSTRIA ALIMENTARIA</v>
      </c>
      <c r="D2300" s="213" t="str">
        <f>IFERROR(__xludf.DUMMYFUNCTION("""COMPUTED_VALUE"""),"MOBILIARIO")</f>
        <v>MOBILIARIO</v>
      </c>
      <c r="E2300" s="213" t="str">
        <f>IFERROR(__xludf.DUMMYFUNCTION("""COMPUTED_VALUE"""),"MOB-169")</f>
        <v>MOB-169</v>
      </c>
      <c r="F2300" s="213" t="str">
        <f>IFERROR(__xludf.DUMMYFUNCTION("""COMPUTED_VALUE"""),"MOB-169")</f>
        <v>MOB-169</v>
      </c>
      <c r="G2300" s="213"/>
      <c r="H2300" s="213" t="str">
        <f>IFERROR(__xludf.DUMMYFUNCTION("""COMPUTED_VALUE"""),"SILLA PARA ESTUDIANTE")</f>
        <v>SILLA PARA ESTUDIANTE</v>
      </c>
      <c r="I2300"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0" s="213">
        <f>IFERROR(__xludf.DUMMYFUNCTION("""COMPUTED_VALUE"""),3.0)</f>
        <v>3</v>
      </c>
      <c r="K2300" s="213" t="str">
        <f>IFERROR(__xludf.DUMMYFUNCTION("""COMPUTED_VALUE"""),"90 DÍAS CALENDARIO")</f>
        <v>90 DÍAS CALENDARIO</v>
      </c>
      <c r="L2300" s="213" t="str">
        <f>IFERROR(__xludf.DUMMYFUNCTION("""COMPUTED_VALUE"""),"")</f>
        <v/>
      </c>
      <c r="M2300" s="213">
        <f>IFERROR(__xludf.DUMMYFUNCTION("""COMPUTED_VALUE"""),1.0)</f>
        <v>1</v>
      </c>
      <c r="N2300" s="213">
        <f>IFERROR(__xludf.DUMMYFUNCTION("""COMPUTED_VALUE"""),19.0)</f>
        <v>19</v>
      </c>
      <c r="O2300" s="213">
        <f>IFERROR(__xludf.DUMMYFUNCTION("""COMPUTED_VALUE"""),19.0)</f>
        <v>19</v>
      </c>
      <c r="P2300" s="213"/>
      <c r="Q2300" s="213"/>
      <c r="R2300" s="213"/>
      <c r="S2300" s="213"/>
      <c r="T2300" s="213"/>
      <c r="U2300" s="213"/>
      <c r="V2300" s="213"/>
      <c r="W2300" s="213"/>
      <c r="X2300" s="213"/>
      <c r="Y2300" s="213"/>
      <c r="Z2300" s="213"/>
      <c r="AA2300" s="213"/>
      <c r="AB2300" s="213"/>
      <c r="AC2300" s="213"/>
      <c r="AD2300" s="213"/>
      <c r="AE2300" s="213"/>
      <c r="AF2300" s="213"/>
      <c r="AG2300" s="213"/>
      <c r="AH2300" s="213"/>
      <c r="AI2300" s="213"/>
      <c r="AJ2300" s="213"/>
      <c r="AK2300" s="213"/>
      <c r="AL2300" s="213"/>
      <c r="AM2300" s="213"/>
      <c r="AN2300" s="213"/>
      <c r="AO2300" s="213"/>
      <c r="AP2300" s="213"/>
      <c r="AQ2300" s="213"/>
      <c r="AR2300" s="213"/>
      <c r="AS2300" s="213"/>
      <c r="AT2300" s="213"/>
      <c r="AU2300" s="213"/>
      <c r="AV2300" s="213"/>
      <c r="AW2300" s="213"/>
      <c r="AX2300" s="213"/>
      <c r="AY2300" s="213"/>
      <c r="AZ2300" s="213"/>
      <c r="BA2300" s="213"/>
      <c r="BB2300" s="213"/>
      <c r="BC2300" s="213"/>
      <c r="BD2300" s="213"/>
    </row>
    <row r="2301">
      <c r="A2301" s="213">
        <f>IFERROR(__xludf.DUMMYFUNCTION("""COMPUTED_VALUE"""),1242.0)</f>
        <v>1242</v>
      </c>
      <c r="B2301" s="213" t="str">
        <f>IFERROR(__xludf.DUMMYFUNCTION("""COMPUTED_VALUE"""),"GUILLERMO E. BILLINGHURST ")</f>
        <v>GUILLERMO E. BILLINGHURST </v>
      </c>
      <c r="C2301" s="213" t="str">
        <f>IFERROR(__xludf.DUMMYFUNCTION("""COMPUTED_VALUE"""),"TALLER SFT DE ELECTRICIDAD")</f>
        <v>TALLER SFT DE ELECTRICIDAD</v>
      </c>
      <c r="D2301" s="213" t="str">
        <f>IFERROR(__xludf.DUMMYFUNCTION("""COMPUTED_VALUE"""),"MOBILIARIO")</f>
        <v>MOBILIARIO</v>
      </c>
      <c r="E2301" s="213" t="str">
        <f>IFERROR(__xludf.DUMMYFUNCTION("""COMPUTED_VALUE"""),"MOB-169")</f>
        <v>MOB-169</v>
      </c>
      <c r="F2301" s="213" t="str">
        <f>IFERROR(__xludf.DUMMYFUNCTION("""COMPUTED_VALUE"""),"MOB-169")</f>
        <v>MOB-169</v>
      </c>
      <c r="G2301" s="213"/>
      <c r="H2301" s="213" t="str">
        <f>IFERROR(__xludf.DUMMYFUNCTION("""COMPUTED_VALUE"""),"SILLA PARA ESTUDIANTE")</f>
        <v>SILLA PARA ESTUDIANTE</v>
      </c>
      <c r="I2301"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1" s="213">
        <f>IFERROR(__xludf.DUMMYFUNCTION("""COMPUTED_VALUE"""),3.0)</f>
        <v>3</v>
      </c>
      <c r="K2301" s="213" t="str">
        <f>IFERROR(__xludf.DUMMYFUNCTION("""COMPUTED_VALUE"""),"90 DÍAS CALENDARIO")</f>
        <v>90 DÍAS CALENDARIO</v>
      </c>
      <c r="L2301" s="213" t="str">
        <f>IFERROR(__xludf.DUMMYFUNCTION("""COMPUTED_VALUE"""),"")</f>
        <v/>
      </c>
      <c r="M2301" s="213">
        <f>IFERROR(__xludf.DUMMYFUNCTION("""COMPUTED_VALUE"""),1.0)</f>
        <v>1</v>
      </c>
      <c r="N2301" s="213">
        <f>IFERROR(__xludf.DUMMYFUNCTION("""COMPUTED_VALUE"""),19.0)</f>
        <v>19</v>
      </c>
      <c r="O2301" s="213">
        <f>IFERROR(__xludf.DUMMYFUNCTION("""COMPUTED_VALUE"""),19.0)</f>
        <v>19</v>
      </c>
      <c r="P2301" s="213"/>
      <c r="Q2301" s="213"/>
      <c r="R2301" s="213"/>
      <c r="S2301" s="213"/>
      <c r="T2301" s="213"/>
      <c r="U2301" s="213"/>
      <c r="V2301" s="213"/>
      <c r="W2301" s="213"/>
      <c r="X2301" s="213"/>
      <c r="Y2301" s="213"/>
      <c r="Z2301" s="213"/>
      <c r="AA2301" s="213"/>
      <c r="AB2301" s="213"/>
      <c r="AC2301" s="213"/>
      <c r="AD2301" s="213"/>
      <c r="AE2301" s="213"/>
      <c r="AF2301" s="213"/>
      <c r="AG2301" s="213"/>
      <c r="AH2301" s="213"/>
      <c r="AI2301" s="213"/>
      <c r="AJ2301" s="213"/>
      <c r="AK2301" s="213"/>
      <c r="AL2301" s="213"/>
      <c r="AM2301" s="213"/>
      <c r="AN2301" s="213"/>
      <c r="AO2301" s="213"/>
      <c r="AP2301" s="213"/>
      <c r="AQ2301" s="213"/>
      <c r="AR2301" s="213"/>
      <c r="AS2301" s="213"/>
      <c r="AT2301" s="213"/>
      <c r="AU2301" s="213"/>
      <c r="AV2301" s="213"/>
      <c r="AW2301" s="213"/>
      <c r="AX2301" s="213"/>
      <c r="AY2301" s="213"/>
      <c r="AZ2301" s="213"/>
      <c r="BA2301" s="213"/>
      <c r="BB2301" s="213"/>
      <c r="BC2301" s="213"/>
      <c r="BD2301" s="213"/>
    </row>
    <row r="2302">
      <c r="A2302" s="213">
        <f>IFERROR(__xludf.DUMMYFUNCTION("""COMPUTED_VALUE"""),1328.0)</f>
        <v>1328</v>
      </c>
      <c r="B2302" s="213" t="str">
        <f>IFERROR(__xludf.DUMMYFUNCTION("""COMPUTED_VALUE"""),"GUILLERMO E. BILLINGHURST ")</f>
        <v>GUILLERMO E. BILLINGHURST </v>
      </c>
      <c r="C2302" s="213" t="str">
        <f>IFERROR(__xludf.DUMMYFUNCTION("""COMPUTED_VALUE"""),"TALLER SFT DE INDUSTRIA ALIMENTARIA")</f>
        <v>TALLER SFT DE INDUSTRIA ALIMENTARIA</v>
      </c>
      <c r="D2302" s="213" t="str">
        <f>IFERROR(__xludf.DUMMYFUNCTION("""COMPUTED_VALUE"""),"MOBILIARIO")</f>
        <v>MOBILIARIO</v>
      </c>
      <c r="E2302" s="213" t="str">
        <f>IFERROR(__xludf.DUMMYFUNCTION("""COMPUTED_VALUE"""),"MOB-169")</f>
        <v>MOB-169</v>
      </c>
      <c r="F2302" s="213" t="str">
        <f>IFERROR(__xludf.DUMMYFUNCTION("""COMPUTED_VALUE"""),"MOB-169")</f>
        <v>MOB-169</v>
      </c>
      <c r="G2302" s="213"/>
      <c r="H2302" s="213" t="str">
        <f>IFERROR(__xludf.DUMMYFUNCTION("""COMPUTED_VALUE"""),"SILLA PARA ESTUDIANTE")</f>
        <v>SILLA PARA ESTUDIANTE</v>
      </c>
      <c r="I2302"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2" s="213">
        <f>IFERROR(__xludf.DUMMYFUNCTION("""COMPUTED_VALUE"""),3.0)</f>
        <v>3</v>
      </c>
      <c r="K2302" s="213" t="str">
        <f>IFERROR(__xludf.DUMMYFUNCTION("""COMPUTED_VALUE"""),"90 DÍAS CALENDARIO")</f>
        <v>90 DÍAS CALENDARIO</v>
      </c>
      <c r="L2302" s="213" t="str">
        <f>IFERROR(__xludf.DUMMYFUNCTION("""COMPUTED_VALUE"""),"")</f>
        <v/>
      </c>
      <c r="M2302" s="213">
        <f>IFERROR(__xludf.DUMMYFUNCTION("""COMPUTED_VALUE"""),1.0)</f>
        <v>1</v>
      </c>
      <c r="N2302" s="213">
        <f>IFERROR(__xludf.DUMMYFUNCTION("""COMPUTED_VALUE"""),0.0)</f>
        <v>0</v>
      </c>
      <c r="O2302" s="213">
        <f>IFERROR(__xludf.DUMMYFUNCTION("""COMPUTED_VALUE"""),0.0)</f>
        <v>0</v>
      </c>
      <c r="P2302" s="213"/>
      <c r="Q2302" s="213"/>
      <c r="R2302" s="213"/>
      <c r="S2302" s="213"/>
      <c r="T2302" s="213"/>
      <c r="U2302" s="213"/>
      <c r="V2302" s="213"/>
      <c r="W2302" s="213"/>
      <c r="X2302" s="213"/>
      <c r="Y2302" s="213"/>
      <c r="Z2302" s="213"/>
      <c r="AA2302" s="213"/>
      <c r="AB2302" s="213"/>
      <c r="AC2302" s="213"/>
      <c r="AD2302" s="213"/>
      <c r="AE2302" s="213"/>
      <c r="AF2302" s="213"/>
      <c r="AG2302" s="213"/>
      <c r="AH2302" s="213"/>
      <c r="AI2302" s="213"/>
      <c r="AJ2302" s="213"/>
      <c r="AK2302" s="213"/>
      <c r="AL2302" s="213"/>
      <c r="AM2302" s="213"/>
      <c r="AN2302" s="213"/>
      <c r="AO2302" s="213"/>
      <c r="AP2302" s="213"/>
      <c r="AQ2302" s="213"/>
      <c r="AR2302" s="213"/>
      <c r="AS2302" s="213"/>
      <c r="AT2302" s="213"/>
      <c r="AU2302" s="213"/>
      <c r="AV2302" s="213"/>
      <c r="AW2302" s="213"/>
      <c r="AX2302" s="213"/>
      <c r="AY2302" s="213"/>
      <c r="AZ2302" s="213"/>
      <c r="BA2302" s="213"/>
      <c r="BB2302" s="213"/>
      <c r="BC2302" s="213"/>
      <c r="BD2302" s="213"/>
    </row>
    <row r="2303">
      <c r="A2303" s="213">
        <f>IFERROR(__xludf.DUMMYFUNCTION("""COMPUTED_VALUE"""),1508.0)</f>
        <v>1508</v>
      </c>
      <c r="B2303" s="213" t="str">
        <f>IFERROR(__xludf.DUMMYFUNCTION("""COMPUTED_VALUE"""),"GUILLERMO E. BILLINGHURST ")</f>
        <v>GUILLERMO E. BILLINGHURST </v>
      </c>
      <c r="C2303" s="213" t="str">
        <f>IFERROR(__xludf.DUMMYFUNCTION("""COMPUTED_VALUE"""),"TALLER SFT DE MECÁNICA AUTOMOTRIZ")</f>
        <v>TALLER SFT DE MECÁNICA AUTOMOTRIZ</v>
      </c>
      <c r="D2303" s="213" t="str">
        <f>IFERROR(__xludf.DUMMYFUNCTION("""COMPUTED_VALUE"""),"MOBILIARIO")</f>
        <v>MOBILIARIO</v>
      </c>
      <c r="E2303" s="213" t="str">
        <f>IFERROR(__xludf.DUMMYFUNCTION("""COMPUTED_VALUE"""),"MOB-169")</f>
        <v>MOB-169</v>
      </c>
      <c r="F2303" s="213" t="str">
        <f>IFERROR(__xludf.DUMMYFUNCTION("""COMPUTED_VALUE"""),"MOB-169")</f>
        <v>MOB-169</v>
      </c>
      <c r="G2303" s="213"/>
      <c r="H2303" s="213" t="str">
        <f>IFERROR(__xludf.DUMMYFUNCTION("""COMPUTED_VALUE"""),"SILLA PARA ESTUDIANTE")</f>
        <v>SILLA PARA ESTUDIANTE</v>
      </c>
      <c r="I2303"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3" s="213">
        <f>IFERROR(__xludf.DUMMYFUNCTION("""COMPUTED_VALUE"""),3.0)</f>
        <v>3</v>
      </c>
      <c r="K2303" s="213" t="str">
        <f>IFERROR(__xludf.DUMMYFUNCTION("""COMPUTED_VALUE"""),"90 DÍAS CALENDARIO")</f>
        <v>90 DÍAS CALENDARIO</v>
      </c>
      <c r="L2303" s="213" t="str">
        <f>IFERROR(__xludf.DUMMYFUNCTION("""COMPUTED_VALUE"""),"")</f>
        <v/>
      </c>
      <c r="M2303" s="213">
        <f>IFERROR(__xludf.DUMMYFUNCTION("""COMPUTED_VALUE"""),1.0)</f>
        <v>1</v>
      </c>
      <c r="N2303" s="213">
        <f>IFERROR(__xludf.DUMMYFUNCTION("""COMPUTED_VALUE"""),19.0)</f>
        <v>19</v>
      </c>
      <c r="O2303" s="213">
        <f>IFERROR(__xludf.DUMMYFUNCTION("""COMPUTED_VALUE"""),19.0)</f>
        <v>19</v>
      </c>
      <c r="P2303" s="213"/>
      <c r="Q2303" s="213"/>
      <c r="R2303" s="213"/>
      <c r="S2303" s="213"/>
      <c r="T2303" s="213"/>
      <c r="U2303" s="213"/>
      <c r="V2303" s="213"/>
      <c r="W2303" s="213"/>
      <c r="X2303" s="213"/>
      <c r="Y2303" s="213"/>
      <c r="Z2303" s="213"/>
      <c r="AA2303" s="213"/>
      <c r="AB2303" s="213"/>
      <c r="AC2303" s="213"/>
      <c r="AD2303" s="213"/>
      <c r="AE2303" s="213"/>
      <c r="AF2303" s="213"/>
      <c r="AG2303" s="213"/>
      <c r="AH2303" s="213"/>
      <c r="AI2303" s="213"/>
      <c r="AJ2303" s="213"/>
      <c r="AK2303" s="213"/>
      <c r="AL2303" s="213"/>
      <c r="AM2303" s="213"/>
      <c r="AN2303" s="213"/>
      <c r="AO2303" s="213"/>
      <c r="AP2303" s="213"/>
      <c r="AQ2303" s="213"/>
      <c r="AR2303" s="213"/>
      <c r="AS2303" s="213"/>
      <c r="AT2303" s="213"/>
      <c r="AU2303" s="213"/>
      <c r="AV2303" s="213"/>
      <c r="AW2303" s="213"/>
      <c r="AX2303" s="213"/>
      <c r="AY2303" s="213"/>
      <c r="AZ2303" s="213"/>
      <c r="BA2303" s="213"/>
      <c r="BB2303" s="213"/>
      <c r="BC2303" s="213"/>
      <c r="BD2303" s="213"/>
    </row>
    <row r="2304">
      <c r="A2304" s="213">
        <f>IFERROR(__xludf.DUMMYFUNCTION("""COMPUTED_VALUE"""),1662.0)</f>
        <v>1662</v>
      </c>
      <c r="B2304" s="213" t="str">
        <f>IFERROR(__xludf.DUMMYFUNCTION("""COMPUTED_VALUE"""),"GUILLERMO E. BILLINGHURST ")</f>
        <v>GUILLERMO E. BILLINGHURST </v>
      </c>
      <c r="C2304" s="213" t="str">
        <f>IFERROR(__xludf.DUMMYFUNCTION("""COMPUTED_VALUE"""),"TALLER SFT DE COMPUTACIÓN E INFORMÁTICA")</f>
        <v>TALLER SFT DE COMPUTACIÓN E INFORMÁTICA</v>
      </c>
      <c r="D2304" s="213" t="str">
        <f>IFERROR(__xludf.DUMMYFUNCTION("""COMPUTED_VALUE"""),"MOBILIARIO")</f>
        <v>MOBILIARIO</v>
      </c>
      <c r="E2304" s="213" t="str">
        <f>IFERROR(__xludf.DUMMYFUNCTION("""COMPUTED_VALUE"""),"MOB-169")</f>
        <v>MOB-169</v>
      </c>
      <c r="F2304" s="213" t="str">
        <f>IFERROR(__xludf.DUMMYFUNCTION("""COMPUTED_VALUE"""),"MOB-169")</f>
        <v>MOB-169</v>
      </c>
      <c r="G2304" s="213"/>
      <c r="H2304" s="213" t="str">
        <f>IFERROR(__xludf.DUMMYFUNCTION("""COMPUTED_VALUE"""),"SILLA PARA ESTUDIANTE")</f>
        <v>SILLA PARA ESTUDIANTE</v>
      </c>
      <c r="I2304"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4" s="213">
        <f>IFERROR(__xludf.DUMMYFUNCTION("""COMPUTED_VALUE"""),3.0)</f>
        <v>3</v>
      </c>
      <c r="K2304" s="213" t="str">
        <f>IFERROR(__xludf.DUMMYFUNCTION("""COMPUTED_VALUE"""),"90 DÍAS CALENDARIO")</f>
        <v>90 DÍAS CALENDARIO</v>
      </c>
      <c r="L2304" s="213" t="str">
        <f>IFERROR(__xludf.DUMMYFUNCTION("""COMPUTED_VALUE"""),"")</f>
        <v/>
      </c>
      <c r="M2304" s="213">
        <f>IFERROR(__xludf.DUMMYFUNCTION("""COMPUTED_VALUE"""),1.0)</f>
        <v>1</v>
      </c>
      <c r="N2304" s="213">
        <f>IFERROR(__xludf.DUMMYFUNCTION("""COMPUTED_VALUE"""),19.0)</f>
        <v>19</v>
      </c>
      <c r="O2304" s="213">
        <f>IFERROR(__xludf.DUMMYFUNCTION("""COMPUTED_VALUE"""),19.0)</f>
        <v>19</v>
      </c>
      <c r="P2304" s="213"/>
      <c r="Q2304" s="213"/>
      <c r="R2304" s="213"/>
      <c r="S2304" s="213"/>
      <c r="T2304" s="213"/>
      <c r="U2304" s="213"/>
      <c r="V2304" s="213"/>
      <c r="W2304" s="213"/>
      <c r="X2304" s="213"/>
      <c r="Y2304" s="213"/>
      <c r="Z2304" s="213"/>
      <c r="AA2304" s="213"/>
      <c r="AB2304" s="213"/>
      <c r="AC2304" s="213"/>
      <c r="AD2304" s="213"/>
      <c r="AE2304" s="213"/>
      <c r="AF2304" s="213"/>
      <c r="AG2304" s="213"/>
      <c r="AH2304" s="213"/>
      <c r="AI2304" s="213"/>
      <c r="AJ2304" s="213"/>
      <c r="AK2304" s="213"/>
      <c r="AL2304" s="213"/>
      <c r="AM2304" s="213"/>
      <c r="AN2304" s="213"/>
      <c r="AO2304" s="213"/>
      <c r="AP2304" s="213"/>
      <c r="AQ2304" s="213"/>
      <c r="AR2304" s="213"/>
      <c r="AS2304" s="213"/>
      <c r="AT2304" s="213"/>
      <c r="AU2304" s="213"/>
      <c r="AV2304" s="213"/>
      <c r="AW2304" s="213"/>
      <c r="AX2304" s="213"/>
      <c r="AY2304" s="213"/>
      <c r="AZ2304" s="213"/>
      <c r="BA2304" s="213"/>
      <c r="BB2304" s="213"/>
      <c r="BC2304" s="213"/>
      <c r="BD2304" s="213"/>
    </row>
    <row r="2305">
      <c r="A2305" s="213">
        <f>IFERROR(__xludf.DUMMYFUNCTION("""COMPUTED_VALUE"""),1758.0)</f>
        <v>1758</v>
      </c>
      <c r="B2305" s="213" t="str">
        <f>IFERROR(__xludf.DUMMYFUNCTION("""COMPUTED_VALUE"""),"GUILLERMO E. BILLINGHURST ")</f>
        <v>GUILLERMO E. BILLINGHURST </v>
      </c>
      <c r="C2305" s="213" t="str">
        <f>IFERROR(__xludf.DUMMYFUNCTION("""COMPUTED_VALUE"""),"TALLER SFT DE EBANISTERÍA")</f>
        <v>TALLER SFT DE EBANISTERÍA</v>
      </c>
      <c r="D2305" s="213" t="str">
        <f>IFERROR(__xludf.DUMMYFUNCTION("""COMPUTED_VALUE"""),"MOBILIARIO")</f>
        <v>MOBILIARIO</v>
      </c>
      <c r="E2305" s="213" t="str">
        <f>IFERROR(__xludf.DUMMYFUNCTION("""COMPUTED_VALUE"""),"MOB-169")</f>
        <v>MOB-169</v>
      </c>
      <c r="F2305" s="213" t="str">
        <f>IFERROR(__xludf.DUMMYFUNCTION("""COMPUTED_VALUE"""),"MOB-169")</f>
        <v>MOB-169</v>
      </c>
      <c r="G2305" s="213"/>
      <c r="H2305" s="213" t="str">
        <f>IFERROR(__xludf.DUMMYFUNCTION("""COMPUTED_VALUE"""),"SILLA PARA ESTUDIANTE")</f>
        <v>SILLA PARA ESTUDIANTE</v>
      </c>
      <c r="I2305"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5" s="213">
        <f>IFERROR(__xludf.DUMMYFUNCTION("""COMPUTED_VALUE"""),3.0)</f>
        <v>3</v>
      </c>
      <c r="K2305" s="213" t="str">
        <f>IFERROR(__xludf.DUMMYFUNCTION("""COMPUTED_VALUE"""),"90 DÍAS CALENDARIO")</f>
        <v>90 DÍAS CALENDARIO</v>
      </c>
      <c r="L2305" s="213" t="str">
        <f>IFERROR(__xludf.DUMMYFUNCTION("""COMPUTED_VALUE"""),"")</f>
        <v/>
      </c>
      <c r="M2305" s="213">
        <f>IFERROR(__xludf.DUMMYFUNCTION("""COMPUTED_VALUE"""),1.0)</f>
        <v>1</v>
      </c>
      <c r="N2305" s="213">
        <f>IFERROR(__xludf.DUMMYFUNCTION("""COMPUTED_VALUE"""),15.0)</f>
        <v>15</v>
      </c>
      <c r="O2305" s="213">
        <f>IFERROR(__xludf.DUMMYFUNCTION("""COMPUTED_VALUE"""),15.0)</f>
        <v>15</v>
      </c>
      <c r="P2305" s="213"/>
      <c r="Q2305" s="213"/>
      <c r="R2305" s="213"/>
      <c r="S2305" s="213"/>
      <c r="T2305" s="213"/>
      <c r="U2305" s="213"/>
      <c r="V2305" s="213"/>
      <c r="W2305" s="213"/>
      <c r="X2305" s="213"/>
      <c r="Y2305" s="213"/>
      <c r="Z2305" s="213"/>
      <c r="AA2305" s="213"/>
      <c r="AB2305" s="213"/>
      <c r="AC2305" s="213"/>
      <c r="AD2305" s="213"/>
      <c r="AE2305" s="213"/>
      <c r="AF2305" s="213"/>
      <c r="AG2305" s="213"/>
      <c r="AH2305" s="213"/>
      <c r="AI2305" s="213"/>
      <c r="AJ2305" s="213"/>
      <c r="AK2305" s="213"/>
      <c r="AL2305" s="213"/>
      <c r="AM2305" s="213"/>
      <c r="AN2305" s="213"/>
      <c r="AO2305" s="213"/>
      <c r="AP2305" s="213"/>
      <c r="AQ2305" s="213"/>
      <c r="AR2305" s="213"/>
      <c r="AS2305" s="213"/>
      <c r="AT2305" s="213"/>
      <c r="AU2305" s="213"/>
      <c r="AV2305" s="213"/>
      <c r="AW2305" s="213"/>
      <c r="AX2305" s="213"/>
      <c r="AY2305" s="213"/>
      <c r="AZ2305" s="213"/>
      <c r="BA2305" s="213"/>
      <c r="BB2305" s="213"/>
      <c r="BC2305" s="213"/>
      <c r="BD2305" s="213"/>
    </row>
    <row r="2306">
      <c r="A2306" s="213">
        <f>IFERROR(__xludf.DUMMYFUNCTION("""COMPUTED_VALUE"""),1913.0)</f>
        <v>1913</v>
      </c>
      <c r="B2306" s="213" t="str">
        <f>IFERROR(__xludf.DUMMYFUNCTION("""COMPUTED_VALUE"""),"JOSE GRANDA")</f>
        <v>JOSE GRANDA</v>
      </c>
      <c r="C2306" s="213" t="str">
        <f>IFERROR(__xludf.DUMMYFUNCTION("""COMPUTED_VALUE"""),"TALLER SFT DE COMPUTACIÓN E INFORMÁTICA")</f>
        <v>TALLER SFT DE COMPUTACIÓN E INFORMÁTICA</v>
      </c>
      <c r="D2306" s="213" t="str">
        <f>IFERROR(__xludf.DUMMYFUNCTION("""COMPUTED_VALUE"""),"MOBILIARIO")</f>
        <v>MOBILIARIO</v>
      </c>
      <c r="E2306" s="213" t="str">
        <f>IFERROR(__xludf.DUMMYFUNCTION("""COMPUTED_VALUE"""),"MOB-169")</f>
        <v>MOB-169</v>
      </c>
      <c r="F2306" s="213" t="str">
        <f>IFERROR(__xludf.DUMMYFUNCTION("""COMPUTED_VALUE"""),"MOB-169")</f>
        <v>MOB-169</v>
      </c>
      <c r="G2306" s="213"/>
      <c r="H2306" s="213" t="str">
        <f>IFERROR(__xludf.DUMMYFUNCTION("""COMPUTED_VALUE"""),"SILLA PARA ESTUDIANTE")</f>
        <v>SILLA PARA ESTUDIANTE</v>
      </c>
      <c r="I2306"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6" s="213">
        <f>IFERROR(__xludf.DUMMYFUNCTION("""COMPUTED_VALUE"""),3.0)</f>
        <v>3</v>
      </c>
      <c r="K2306" s="213" t="str">
        <f>IFERROR(__xludf.DUMMYFUNCTION("""COMPUTED_VALUE"""),"90 DÍAS CALENDARIO")</f>
        <v>90 DÍAS CALENDARIO</v>
      </c>
      <c r="L2306" s="213" t="str">
        <f>IFERROR(__xludf.DUMMYFUNCTION("""COMPUTED_VALUE"""),"")</f>
        <v/>
      </c>
      <c r="M2306" s="213">
        <f>IFERROR(__xludf.DUMMYFUNCTION("""COMPUTED_VALUE"""),1.0)</f>
        <v>1</v>
      </c>
      <c r="N2306" s="213">
        <f>IFERROR(__xludf.DUMMYFUNCTION("""COMPUTED_VALUE"""),19.0)</f>
        <v>19</v>
      </c>
      <c r="O2306" s="213">
        <f>IFERROR(__xludf.DUMMYFUNCTION("""COMPUTED_VALUE"""),19.0)</f>
        <v>19</v>
      </c>
      <c r="P2306" s="213"/>
      <c r="Q2306" s="213"/>
      <c r="R2306" s="213"/>
      <c r="S2306" s="213"/>
      <c r="T2306" s="213"/>
      <c r="U2306" s="213"/>
      <c r="V2306" s="213"/>
      <c r="W2306" s="213"/>
      <c r="X2306" s="213"/>
      <c r="Y2306" s="213"/>
      <c r="Z2306" s="213"/>
      <c r="AA2306" s="213"/>
      <c r="AB2306" s="213"/>
      <c r="AC2306" s="213"/>
      <c r="AD2306" s="213"/>
      <c r="AE2306" s="213"/>
      <c r="AF2306" s="213"/>
      <c r="AG2306" s="213"/>
      <c r="AH2306" s="213"/>
      <c r="AI2306" s="213"/>
      <c r="AJ2306" s="213"/>
      <c r="AK2306" s="213"/>
      <c r="AL2306" s="213"/>
      <c r="AM2306" s="213"/>
      <c r="AN2306" s="213"/>
      <c r="AO2306" s="213"/>
      <c r="AP2306" s="213"/>
      <c r="AQ2306" s="213"/>
      <c r="AR2306" s="213"/>
      <c r="AS2306" s="213"/>
      <c r="AT2306" s="213"/>
      <c r="AU2306" s="213"/>
      <c r="AV2306" s="213"/>
      <c r="AW2306" s="213"/>
      <c r="AX2306" s="213"/>
      <c r="AY2306" s="213"/>
      <c r="AZ2306" s="213"/>
      <c r="BA2306" s="213"/>
      <c r="BB2306" s="213"/>
      <c r="BC2306" s="213"/>
      <c r="BD2306" s="213"/>
    </row>
    <row r="2307">
      <c r="A2307" s="213">
        <f>IFERROR(__xludf.DUMMYFUNCTION("""COMPUTED_VALUE"""),2009.0)</f>
        <v>2009</v>
      </c>
      <c r="B2307" s="213" t="str">
        <f>IFERROR(__xludf.DUMMYFUNCTION("""COMPUTED_VALUE"""),"JOSE GRANDA")</f>
        <v>JOSE GRANDA</v>
      </c>
      <c r="C2307" s="213" t="str">
        <f>IFERROR(__xludf.DUMMYFUNCTION("""COMPUTED_VALUE"""),"TALLER SFT DE INDUSTRIA ALIMENTARIA")</f>
        <v>TALLER SFT DE INDUSTRIA ALIMENTARIA</v>
      </c>
      <c r="D2307" s="213" t="str">
        <f>IFERROR(__xludf.DUMMYFUNCTION("""COMPUTED_VALUE"""),"MOBILIARIO")</f>
        <v>MOBILIARIO</v>
      </c>
      <c r="E2307" s="213" t="str">
        <f>IFERROR(__xludf.DUMMYFUNCTION("""COMPUTED_VALUE"""),"MOB-169")</f>
        <v>MOB-169</v>
      </c>
      <c r="F2307" s="213" t="str">
        <f>IFERROR(__xludf.DUMMYFUNCTION("""COMPUTED_VALUE"""),"MOB-169")</f>
        <v>MOB-169</v>
      </c>
      <c r="G2307" s="213"/>
      <c r="H2307" s="213" t="str">
        <f>IFERROR(__xludf.DUMMYFUNCTION("""COMPUTED_VALUE"""),"SILLA PARA ESTUDIANTE")</f>
        <v>SILLA PARA ESTUDIANTE</v>
      </c>
      <c r="I2307"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7" s="213">
        <f>IFERROR(__xludf.DUMMYFUNCTION("""COMPUTED_VALUE"""),3.0)</f>
        <v>3</v>
      </c>
      <c r="K2307" s="213" t="str">
        <f>IFERROR(__xludf.DUMMYFUNCTION("""COMPUTED_VALUE"""),"90 DÍAS CALENDARIO")</f>
        <v>90 DÍAS CALENDARIO</v>
      </c>
      <c r="L2307" s="213" t="str">
        <f>IFERROR(__xludf.DUMMYFUNCTION("""COMPUTED_VALUE"""),"")</f>
        <v/>
      </c>
      <c r="M2307" s="213">
        <f>IFERROR(__xludf.DUMMYFUNCTION("""COMPUTED_VALUE"""),1.0)</f>
        <v>1</v>
      </c>
      <c r="N2307" s="213">
        <f>IFERROR(__xludf.DUMMYFUNCTION("""COMPUTED_VALUE"""),18.0)</f>
        <v>18</v>
      </c>
      <c r="O2307" s="213">
        <f>IFERROR(__xludf.DUMMYFUNCTION("""COMPUTED_VALUE"""),18.0)</f>
        <v>18</v>
      </c>
      <c r="P2307" s="213"/>
      <c r="Q2307" s="213"/>
      <c r="R2307" s="213"/>
      <c r="S2307" s="213"/>
      <c r="T2307" s="213"/>
      <c r="U2307" s="213"/>
      <c r="V2307" s="213"/>
      <c r="W2307" s="213"/>
      <c r="X2307" s="213"/>
      <c r="Y2307" s="213"/>
      <c r="Z2307" s="213"/>
      <c r="AA2307" s="213"/>
      <c r="AB2307" s="213"/>
      <c r="AC2307" s="213"/>
      <c r="AD2307" s="213"/>
      <c r="AE2307" s="213"/>
      <c r="AF2307" s="213"/>
      <c r="AG2307" s="213"/>
      <c r="AH2307" s="213"/>
      <c r="AI2307" s="213"/>
      <c r="AJ2307" s="213"/>
      <c r="AK2307" s="213"/>
      <c r="AL2307" s="213"/>
      <c r="AM2307" s="213"/>
      <c r="AN2307" s="213"/>
      <c r="AO2307" s="213"/>
      <c r="AP2307" s="213"/>
      <c r="AQ2307" s="213"/>
      <c r="AR2307" s="213"/>
      <c r="AS2307" s="213"/>
      <c r="AT2307" s="213"/>
      <c r="AU2307" s="213"/>
      <c r="AV2307" s="213"/>
      <c r="AW2307" s="213"/>
      <c r="AX2307" s="213"/>
      <c r="AY2307" s="213"/>
      <c r="AZ2307" s="213"/>
      <c r="BA2307" s="213"/>
      <c r="BB2307" s="213"/>
      <c r="BC2307" s="213"/>
      <c r="BD2307" s="213"/>
    </row>
    <row r="2308">
      <c r="A2308" s="213">
        <f>IFERROR(__xludf.DUMMYFUNCTION("""COMPUTED_VALUE"""),2210.0)</f>
        <v>2210</v>
      </c>
      <c r="B2308" s="213" t="str">
        <f>IFERROR(__xludf.DUMMYFUNCTION("""COMPUTED_VALUE"""),"JOSE GRANDA")</f>
        <v>JOSE GRANDA</v>
      </c>
      <c r="C2308" s="213" t="str">
        <f>IFERROR(__xludf.DUMMYFUNCTION("""COMPUTED_VALUE"""),"TALLER SFT DE MECÁNICA AUTOMOTRIZ")</f>
        <v>TALLER SFT DE MECÁNICA AUTOMOTRIZ</v>
      </c>
      <c r="D2308" s="213" t="str">
        <f>IFERROR(__xludf.DUMMYFUNCTION("""COMPUTED_VALUE"""),"MOBILIARIO")</f>
        <v>MOBILIARIO</v>
      </c>
      <c r="E2308" s="213" t="str">
        <f>IFERROR(__xludf.DUMMYFUNCTION("""COMPUTED_VALUE"""),"MOB-169")</f>
        <v>MOB-169</v>
      </c>
      <c r="F2308" s="213" t="str">
        <f>IFERROR(__xludf.DUMMYFUNCTION("""COMPUTED_VALUE"""),"MOB-169")</f>
        <v>MOB-169</v>
      </c>
      <c r="G2308" s="213"/>
      <c r="H2308" s="213" t="str">
        <f>IFERROR(__xludf.DUMMYFUNCTION("""COMPUTED_VALUE"""),"SILLA PARA ESTUDIANTE")</f>
        <v>SILLA PARA ESTUDIANTE</v>
      </c>
      <c r="I2308"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8" s="213">
        <f>IFERROR(__xludf.DUMMYFUNCTION("""COMPUTED_VALUE"""),3.0)</f>
        <v>3</v>
      </c>
      <c r="K2308" s="213" t="str">
        <f>IFERROR(__xludf.DUMMYFUNCTION("""COMPUTED_VALUE"""),"90 DÍAS CALENDARIO")</f>
        <v>90 DÍAS CALENDARIO</v>
      </c>
      <c r="L2308" s="213" t="str">
        <f>IFERROR(__xludf.DUMMYFUNCTION("""COMPUTED_VALUE"""),"")</f>
        <v/>
      </c>
      <c r="M2308" s="213">
        <f>IFERROR(__xludf.DUMMYFUNCTION("""COMPUTED_VALUE"""),1.0)</f>
        <v>1</v>
      </c>
      <c r="N2308" s="213">
        <f>IFERROR(__xludf.DUMMYFUNCTION("""COMPUTED_VALUE"""),19.0)</f>
        <v>19</v>
      </c>
      <c r="O2308" s="213">
        <f>IFERROR(__xludf.DUMMYFUNCTION("""COMPUTED_VALUE"""),19.0)</f>
        <v>19</v>
      </c>
      <c r="P2308" s="213"/>
      <c r="Q2308" s="213"/>
      <c r="R2308" s="213"/>
      <c r="S2308" s="213"/>
      <c r="T2308" s="213"/>
      <c r="U2308" s="213"/>
      <c r="V2308" s="213"/>
      <c r="W2308" s="213"/>
      <c r="X2308" s="213"/>
      <c r="Y2308" s="213"/>
      <c r="Z2308" s="213"/>
      <c r="AA2308" s="213"/>
      <c r="AB2308" s="213"/>
      <c r="AC2308" s="213"/>
      <c r="AD2308" s="213"/>
      <c r="AE2308" s="213"/>
      <c r="AF2308" s="213"/>
      <c r="AG2308" s="213"/>
      <c r="AH2308" s="213"/>
      <c r="AI2308" s="213"/>
      <c r="AJ2308" s="213"/>
      <c r="AK2308" s="213"/>
      <c r="AL2308" s="213"/>
      <c r="AM2308" s="213"/>
      <c r="AN2308" s="213"/>
      <c r="AO2308" s="213"/>
      <c r="AP2308" s="213"/>
      <c r="AQ2308" s="213"/>
      <c r="AR2308" s="213"/>
      <c r="AS2308" s="213"/>
      <c r="AT2308" s="213"/>
      <c r="AU2308" s="213"/>
      <c r="AV2308" s="213"/>
      <c r="AW2308" s="213"/>
      <c r="AX2308" s="213"/>
      <c r="AY2308" s="213"/>
      <c r="AZ2308" s="213"/>
      <c r="BA2308" s="213"/>
      <c r="BB2308" s="213"/>
      <c r="BC2308" s="213"/>
      <c r="BD2308" s="213"/>
    </row>
    <row r="2309">
      <c r="A2309" s="213">
        <f>IFERROR(__xludf.DUMMYFUNCTION("""COMPUTED_VALUE"""),2353.0)</f>
        <v>2353</v>
      </c>
      <c r="B2309" s="213" t="str">
        <f>IFERROR(__xludf.DUMMYFUNCTION("""COMPUTED_VALUE"""),"MANUEL ANTONIO MESONES MURO")</f>
        <v>MANUEL ANTONIO MESONES MURO</v>
      </c>
      <c r="C2309" s="213" t="str">
        <f>IFERROR(__xludf.DUMMYFUNCTION("""COMPUTED_VALUE"""),"TALLER SFT DE INDUSTRIA DEL VESTIDO")</f>
        <v>TALLER SFT DE INDUSTRIA DEL VESTIDO</v>
      </c>
      <c r="D2309" s="213" t="str">
        <f>IFERROR(__xludf.DUMMYFUNCTION("""COMPUTED_VALUE"""),"MOBILIARIO")</f>
        <v>MOBILIARIO</v>
      </c>
      <c r="E2309" s="213" t="str">
        <f>IFERROR(__xludf.DUMMYFUNCTION("""COMPUTED_VALUE"""),"MOB-169")</f>
        <v>MOB-169</v>
      </c>
      <c r="F2309" s="213" t="str">
        <f>IFERROR(__xludf.DUMMYFUNCTION("""COMPUTED_VALUE"""),"MOB-169")</f>
        <v>MOB-169</v>
      </c>
      <c r="G2309" s="213"/>
      <c r="H2309" s="213" t="str">
        <f>IFERROR(__xludf.DUMMYFUNCTION("""COMPUTED_VALUE"""),"SILLA PARA ESTUDIANTE")</f>
        <v>SILLA PARA ESTUDIANTE</v>
      </c>
      <c r="I2309"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09" s="213">
        <f>IFERROR(__xludf.DUMMYFUNCTION("""COMPUTED_VALUE"""),3.0)</f>
        <v>3</v>
      </c>
      <c r="K2309" s="213" t="str">
        <f>IFERROR(__xludf.DUMMYFUNCTION("""COMPUTED_VALUE"""),"90 DÍAS CALENDARIO")</f>
        <v>90 DÍAS CALENDARIO</v>
      </c>
      <c r="L2309" s="213" t="str">
        <f>IFERROR(__xludf.DUMMYFUNCTION("""COMPUTED_VALUE"""),"")</f>
        <v/>
      </c>
      <c r="M2309" s="213">
        <f>IFERROR(__xludf.DUMMYFUNCTION("""COMPUTED_VALUE"""),1.0)</f>
        <v>1</v>
      </c>
      <c r="N2309" s="213">
        <f>IFERROR(__xludf.DUMMYFUNCTION("""COMPUTED_VALUE"""),19.0)</f>
        <v>19</v>
      </c>
      <c r="O2309" s="213">
        <f>IFERROR(__xludf.DUMMYFUNCTION("""COMPUTED_VALUE"""),19.0)</f>
        <v>19</v>
      </c>
      <c r="P2309" s="213"/>
      <c r="Q2309" s="213"/>
      <c r="R2309" s="213"/>
      <c r="S2309" s="213"/>
      <c r="T2309" s="213"/>
      <c r="U2309" s="213"/>
      <c r="V2309" s="213"/>
      <c r="W2309" s="213"/>
      <c r="X2309" s="213"/>
      <c r="Y2309" s="213"/>
      <c r="Z2309" s="213"/>
      <c r="AA2309" s="213"/>
      <c r="AB2309" s="213"/>
      <c r="AC2309" s="213"/>
      <c r="AD2309" s="213"/>
      <c r="AE2309" s="213"/>
      <c r="AF2309" s="213"/>
      <c r="AG2309" s="213"/>
      <c r="AH2309" s="213"/>
      <c r="AI2309" s="213"/>
      <c r="AJ2309" s="213"/>
      <c r="AK2309" s="213"/>
      <c r="AL2309" s="213"/>
      <c r="AM2309" s="213"/>
      <c r="AN2309" s="213"/>
      <c r="AO2309" s="213"/>
      <c r="AP2309" s="213"/>
      <c r="AQ2309" s="213"/>
      <c r="AR2309" s="213"/>
      <c r="AS2309" s="213"/>
      <c r="AT2309" s="213"/>
      <c r="AU2309" s="213"/>
      <c r="AV2309" s="213"/>
      <c r="AW2309" s="213"/>
      <c r="AX2309" s="213"/>
      <c r="AY2309" s="213"/>
      <c r="AZ2309" s="213"/>
      <c r="BA2309" s="213"/>
      <c r="BB2309" s="213"/>
      <c r="BC2309" s="213"/>
      <c r="BD2309" s="213"/>
    </row>
    <row r="2310">
      <c r="A2310" s="213">
        <f>IFERROR(__xludf.DUMMYFUNCTION("""COMPUTED_VALUE"""),2361.0)</f>
        <v>2361</v>
      </c>
      <c r="B2310" s="213" t="str">
        <f>IFERROR(__xludf.DUMMYFUNCTION("""COMPUTED_VALUE"""),"MANUEL ANTONIO MESONES MURO")</f>
        <v>MANUEL ANTONIO MESONES MURO</v>
      </c>
      <c r="C2310" s="213" t="str">
        <f>IFERROR(__xludf.DUMMYFUNCTION("""COMPUTED_VALUE"""),"TALLER SFT DE INDUSTRIA DEL VESTIDO")</f>
        <v>TALLER SFT DE INDUSTRIA DEL VESTIDO</v>
      </c>
      <c r="D2310" s="213" t="str">
        <f>IFERROR(__xludf.DUMMYFUNCTION("""COMPUTED_VALUE"""),"MOBILIARIO")</f>
        <v>MOBILIARIO</v>
      </c>
      <c r="E2310" s="213" t="str">
        <f>IFERROR(__xludf.DUMMYFUNCTION("""COMPUTED_VALUE"""),"MOB-169")</f>
        <v>MOB-169</v>
      </c>
      <c r="F2310" s="213" t="str">
        <f>IFERROR(__xludf.DUMMYFUNCTION("""COMPUTED_VALUE"""),"MOB-169")</f>
        <v>MOB-169</v>
      </c>
      <c r="G2310" s="213"/>
      <c r="H2310" s="213" t="str">
        <f>IFERROR(__xludf.DUMMYFUNCTION("""COMPUTED_VALUE"""),"SILLA PARA ESTUDIANTE")</f>
        <v>SILLA PARA ESTUDIANTE</v>
      </c>
      <c r="I2310"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10" s="213">
        <f>IFERROR(__xludf.DUMMYFUNCTION("""COMPUTED_VALUE"""),3.0)</f>
        <v>3</v>
      </c>
      <c r="K2310" s="213" t="str">
        <f>IFERROR(__xludf.DUMMYFUNCTION("""COMPUTED_VALUE"""),"90 DÍAS CALENDARIO")</f>
        <v>90 DÍAS CALENDARIO</v>
      </c>
      <c r="L2310" s="213" t="str">
        <f>IFERROR(__xludf.DUMMYFUNCTION("""COMPUTED_VALUE"""),"")</f>
        <v/>
      </c>
      <c r="M2310" s="213">
        <f>IFERROR(__xludf.DUMMYFUNCTION("""COMPUTED_VALUE"""),1.0)</f>
        <v>1</v>
      </c>
      <c r="N2310" s="213">
        <f>IFERROR(__xludf.DUMMYFUNCTION("""COMPUTED_VALUE"""),6.0)</f>
        <v>6</v>
      </c>
      <c r="O2310" s="213">
        <f>IFERROR(__xludf.DUMMYFUNCTION("""COMPUTED_VALUE"""),6.0)</f>
        <v>6</v>
      </c>
      <c r="P2310" s="213"/>
      <c r="Q2310" s="213"/>
      <c r="R2310" s="213"/>
      <c r="S2310" s="213"/>
      <c r="T2310" s="213"/>
      <c r="U2310" s="213"/>
      <c r="V2310" s="213"/>
      <c r="W2310" s="213"/>
      <c r="X2310" s="213"/>
      <c r="Y2310" s="213"/>
      <c r="Z2310" s="213"/>
      <c r="AA2310" s="213"/>
      <c r="AB2310" s="213"/>
      <c r="AC2310" s="213"/>
      <c r="AD2310" s="213"/>
      <c r="AE2310" s="213"/>
      <c r="AF2310" s="213"/>
      <c r="AG2310" s="213"/>
      <c r="AH2310" s="213"/>
      <c r="AI2310" s="213"/>
      <c r="AJ2310" s="213"/>
      <c r="AK2310" s="213"/>
      <c r="AL2310" s="213"/>
      <c r="AM2310" s="213"/>
      <c r="AN2310" s="213"/>
      <c r="AO2310" s="213"/>
      <c r="AP2310" s="213"/>
      <c r="AQ2310" s="213"/>
      <c r="AR2310" s="213"/>
      <c r="AS2310" s="213"/>
      <c r="AT2310" s="213"/>
      <c r="AU2310" s="213"/>
      <c r="AV2310" s="213"/>
      <c r="AW2310" s="213"/>
      <c r="AX2310" s="213"/>
      <c r="AY2310" s="213"/>
      <c r="AZ2310" s="213"/>
      <c r="BA2310" s="213"/>
      <c r="BB2310" s="213"/>
      <c r="BC2310" s="213"/>
      <c r="BD2310" s="213"/>
    </row>
    <row r="2311">
      <c r="A2311" s="213">
        <f>IFERROR(__xludf.DUMMYFUNCTION("""COMPUTED_VALUE"""),2363.0)</f>
        <v>2363</v>
      </c>
      <c r="B2311" s="213" t="str">
        <f>IFERROR(__xludf.DUMMYFUNCTION("""COMPUTED_VALUE"""),"MANUEL ANTONIO MESONES MURO")</f>
        <v>MANUEL ANTONIO MESONES MURO</v>
      </c>
      <c r="C2311" s="213" t="str">
        <f>IFERROR(__xludf.DUMMYFUNCTION("""COMPUTED_VALUE"""),"TALLER SFT DE INDUSTRIA DEL VESTIDO")</f>
        <v>TALLER SFT DE INDUSTRIA DEL VESTIDO</v>
      </c>
      <c r="D2311" s="213" t="str">
        <f>IFERROR(__xludf.DUMMYFUNCTION("""COMPUTED_VALUE"""),"MOBILIARIO")</f>
        <v>MOBILIARIO</v>
      </c>
      <c r="E2311" s="213" t="str">
        <f>IFERROR(__xludf.DUMMYFUNCTION("""COMPUTED_VALUE"""),"MOB-169")</f>
        <v>MOB-169</v>
      </c>
      <c r="F2311" s="213" t="str">
        <f>IFERROR(__xludf.DUMMYFUNCTION("""COMPUTED_VALUE"""),"MOB-169")</f>
        <v>MOB-169</v>
      </c>
      <c r="G2311" s="213"/>
      <c r="H2311" s="213" t="str">
        <f>IFERROR(__xludf.DUMMYFUNCTION("""COMPUTED_VALUE"""),"SILLA PARA ESTUDIANTE")</f>
        <v>SILLA PARA ESTUDIANTE</v>
      </c>
      <c r="I2311"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11" s="213">
        <f>IFERROR(__xludf.DUMMYFUNCTION("""COMPUTED_VALUE"""),3.0)</f>
        <v>3</v>
      </c>
      <c r="K2311" s="213" t="str">
        <f>IFERROR(__xludf.DUMMYFUNCTION("""COMPUTED_VALUE"""),"90 DÍAS CALENDARIO")</f>
        <v>90 DÍAS CALENDARIO</v>
      </c>
      <c r="L2311" s="213" t="str">
        <f>IFERROR(__xludf.DUMMYFUNCTION("""COMPUTED_VALUE"""),"")</f>
        <v/>
      </c>
      <c r="M2311" s="213">
        <f>IFERROR(__xludf.DUMMYFUNCTION("""COMPUTED_VALUE"""),1.0)</f>
        <v>1</v>
      </c>
      <c r="N2311" s="213">
        <f>IFERROR(__xludf.DUMMYFUNCTION("""COMPUTED_VALUE"""),6.0)</f>
        <v>6</v>
      </c>
      <c r="O2311" s="213">
        <f>IFERROR(__xludf.DUMMYFUNCTION("""COMPUTED_VALUE"""),6.0)</f>
        <v>6</v>
      </c>
      <c r="P2311" s="213"/>
      <c r="Q2311" s="213"/>
      <c r="R2311" s="213"/>
      <c r="S2311" s="213"/>
      <c r="T2311" s="213"/>
      <c r="U2311" s="213"/>
      <c r="V2311" s="213"/>
      <c r="W2311" s="213"/>
      <c r="X2311" s="213"/>
      <c r="Y2311" s="213"/>
      <c r="Z2311" s="213"/>
      <c r="AA2311" s="213"/>
      <c r="AB2311" s="213"/>
      <c r="AC2311" s="213"/>
      <c r="AD2311" s="213"/>
      <c r="AE2311" s="213"/>
      <c r="AF2311" s="213"/>
      <c r="AG2311" s="213"/>
      <c r="AH2311" s="213"/>
      <c r="AI2311" s="213"/>
      <c r="AJ2311" s="213"/>
      <c r="AK2311" s="213"/>
      <c r="AL2311" s="213"/>
      <c r="AM2311" s="213"/>
      <c r="AN2311" s="213"/>
      <c r="AO2311" s="213"/>
      <c r="AP2311" s="213"/>
      <c r="AQ2311" s="213"/>
      <c r="AR2311" s="213"/>
      <c r="AS2311" s="213"/>
      <c r="AT2311" s="213"/>
      <c r="AU2311" s="213"/>
      <c r="AV2311" s="213"/>
      <c r="AW2311" s="213"/>
      <c r="AX2311" s="213"/>
      <c r="AY2311" s="213"/>
      <c r="AZ2311" s="213"/>
      <c r="BA2311" s="213"/>
      <c r="BB2311" s="213"/>
      <c r="BC2311" s="213"/>
      <c r="BD2311" s="213"/>
    </row>
    <row r="2312">
      <c r="A2312" s="213">
        <f>IFERROR(__xludf.DUMMYFUNCTION("""COMPUTED_VALUE"""),2367.0)</f>
        <v>2367</v>
      </c>
      <c r="B2312" s="213" t="str">
        <f>IFERROR(__xludf.DUMMYFUNCTION("""COMPUTED_VALUE"""),"MANUEL ANTONIO MESONES MURO")</f>
        <v>MANUEL ANTONIO MESONES MURO</v>
      </c>
      <c r="C2312" s="213" t="str">
        <f>IFERROR(__xludf.DUMMYFUNCTION("""COMPUTED_VALUE"""),"TALLER SFT DE INDUSTRIA DEL VESTIDO")</f>
        <v>TALLER SFT DE INDUSTRIA DEL VESTIDO</v>
      </c>
      <c r="D2312" s="213" t="str">
        <f>IFERROR(__xludf.DUMMYFUNCTION("""COMPUTED_VALUE"""),"MOBILIARIO")</f>
        <v>MOBILIARIO</v>
      </c>
      <c r="E2312" s="213" t="str">
        <f>IFERROR(__xludf.DUMMYFUNCTION("""COMPUTED_VALUE"""),"MOB-169")</f>
        <v>MOB-169</v>
      </c>
      <c r="F2312" s="213" t="str">
        <f>IFERROR(__xludf.DUMMYFUNCTION("""COMPUTED_VALUE"""),"MOB-169")</f>
        <v>MOB-169</v>
      </c>
      <c r="G2312" s="213"/>
      <c r="H2312" s="213" t="str">
        <f>IFERROR(__xludf.DUMMYFUNCTION("""COMPUTED_VALUE"""),"SILLA PARA ESTUDIANTE")</f>
        <v>SILLA PARA ESTUDIANTE</v>
      </c>
      <c r="I2312"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12" s="213">
        <f>IFERROR(__xludf.DUMMYFUNCTION("""COMPUTED_VALUE"""),3.0)</f>
        <v>3</v>
      </c>
      <c r="K2312" s="213" t="str">
        <f>IFERROR(__xludf.DUMMYFUNCTION("""COMPUTED_VALUE"""),"90 DÍAS CALENDARIO")</f>
        <v>90 DÍAS CALENDARIO</v>
      </c>
      <c r="L2312" s="213" t="str">
        <f>IFERROR(__xludf.DUMMYFUNCTION("""COMPUTED_VALUE"""),"")</f>
        <v/>
      </c>
      <c r="M2312" s="213">
        <f>IFERROR(__xludf.DUMMYFUNCTION("""COMPUTED_VALUE"""),1.0)</f>
        <v>1</v>
      </c>
      <c r="N2312" s="213">
        <f>IFERROR(__xludf.DUMMYFUNCTION("""COMPUTED_VALUE"""),2.0)</f>
        <v>2</v>
      </c>
      <c r="O2312" s="213">
        <f>IFERROR(__xludf.DUMMYFUNCTION("""COMPUTED_VALUE"""),2.0)</f>
        <v>2</v>
      </c>
      <c r="P2312" s="213"/>
      <c r="Q2312" s="213"/>
      <c r="R2312" s="213"/>
      <c r="S2312" s="213"/>
      <c r="T2312" s="213"/>
      <c r="U2312" s="213"/>
      <c r="V2312" s="213"/>
      <c r="W2312" s="213"/>
      <c r="X2312" s="213"/>
      <c r="Y2312" s="213"/>
      <c r="Z2312" s="213"/>
      <c r="AA2312" s="213"/>
      <c r="AB2312" s="213"/>
      <c r="AC2312" s="213"/>
      <c r="AD2312" s="213"/>
      <c r="AE2312" s="213"/>
      <c r="AF2312" s="213"/>
      <c r="AG2312" s="213"/>
      <c r="AH2312" s="213"/>
      <c r="AI2312" s="213"/>
      <c r="AJ2312" s="213"/>
      <c r="AK2312" s="213"/>
      <c r="AL2312" s="213"/>
      <c r="AM2312" s="213"/>
      <c r="AN2312" s="213"/>
      <c r="AO2312" s="213"/>
      <c r="AP2312" s="213"/>
      <c r="AQ2312" s="213"/>
      <c r="AR2312" s="213"/>
      <c r="AS2312" s="213"/>
      <c r="AT2312" s="213"/>
      <c r="AU2312" s="213"/>
      <c r="AV2312" s="213"/>
      <c r="AW2312" s="213"/>
      <c r="AX2312" s="213"/>
      <c r="AY2312" s="213"/>
      <c r="AZ2312" s="213"/>
      <c r="BA2312" s="213"/>
      <c r="BB2312" s="213"/>
      <c r="BC2312" s="213"/>
      <c r="BD2312" s="213"/>
    </row>
    <row r="2313">
      <c r="A2313" s="213">
        <f>IFERROR(__xludf.DUMMYFUNCTION("""COMPUTED_VALUE"""),2368.0)</f>
        <v>2368</v>
      </c>
      <c r="B2313" s="213" t="str">
        <f>IFERROR(__xludf.DUMMYFUNCTION("""COMPUTED_VALUE"""),"MANUEL ANTONIO MESONES MURO")</f>
        <v>MANUEL ANTONIO MESONES MURO</v>
      </c>
      <c r="C2313" s="213" t="str">
        <f>IFERROR(__xludf.DUMMYFUNCTION("""COMPUTED_VALUE"""),"TALLER SFT DE INDUSTRIA DEL VESTIDO")</f>
        <v>TALLER SFT DE INDUSTRIA DEL VESTIDO</v>
      </c>
      <c r="D2313" s="213" t="str">
        <f>IFERROR(__xludf.DUMMYFUNCTION("""COMPUTED_VALUE"""),"MOBILIARIO")</f>
        <v>MOBILIARIO</v>
      </c>
      <c r="E2313" s="213" t="str">
        <f>IFERROR(__xludf.DUMMYFUNCTION("""COMPUTED_VALUE"""),"MOB-169")</f>
        <v>MOB-169</v>
      </c>
      <c r="F2313" s="213" t="str">
        <f>IFERROR(__xludf.DUMMYFUNCTION("""COMPUTED_VALUE"""),"MOB-169")</f>
        <v>MOB-169</v>
      </c>
      <c r="G2313" s="213"/>
      <c r="H2313" s="213" t="str">
        <f>IFERROR(__xludf.DUMMYFUNCTION("""COMPUTED_VALUE"""),"SILLA PARA ESTUDIANTE")</f>
        <v>SILLA PARA ESTUDIANTE</v>
      </c>
      <c r="I2313"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13" s="213">
        <f>IFERROR(__xludf.DUMMYFUNCTION("""COMPUTED_VALUE"""),3.0)</f>
        <v>3</v>
      </c>
      <c r="K2313" s="213" t="str">
        <f>IFERROR(__xludf.DUMMYFUNCTION("""COMPUTED_VALUE"""),"90 DÍAS CALENDARIO")</f>
        <v>90 DÍAS CALENDARIO</v>
      </c>
      <c r="L2313" s="213" t="str">
        <f>IFERROR(__xludf.DUMMYFUNCTION("""COMPUTED_VALUE"""),"")</f>
        <v/>
      </c>
      <c r="M2313" s="213">
        <f>IFERROR(__xludf.DUMMYFUNCTION("""COMPUTED_VALUE"""),1.0)</f>
        <v>1</v>
      </c>
      <c r="N2313" s="213">
        <f>IFERROR(__xludf.DUMMYFUNCTION("""COMPUTED_VALUE"""),1.0)</f>
        <v>1</v>
      </c>
      <c r="O2313" s="213">
        <f>IFERROR(__xludf.DUMMYFUNCTION("""COMPUTED_VALUE"""),1.0)</f>
        <v>1</v>
      </c>
      <c r="P2313" s="213"/>
      <c r="Q2313" s="213"/>
      <c r="R2313" s="213"/>
      <c r="S2313" s="213"/>
      <c r="T2313" s="213"/>
      <c r="U2313" s="213"/>
      <c r="V2313" s="213"/>
      <c r="W2313" s="213"/>
      <c r="X2313" s="213"/>
      <c r="Y2313" s="213"/>
      <c r="Z2313" s="213"/>
      <c r="AA2313" s="213"/>
      <c r="AB2313" s="213"/>
      <c r="AC2313" s="213"/>
      <c r="AD2313" s="213"/>
      <c r="AE2313" s="213"/>
      <c r="AF2313" s="213"/>
      <c r="AG2313" s="213"/>
      <c r="AH2313" s="213"/>
      <c r="AI2313" s="213"/>
      <c r="AJ2313" s="213"/>
      <c r="AK2313" s="213"/>
      <c r="AL2313" s="213"/>
      <c r="AM2313" s="213"/>
      <c r="AN2313" s="213"/>
      <c r="AO2313" s="213"/>
      <c r="AP2313" s="213"/>
      <c r="AQ2313" s="213"/>
      <c r="AR2313" s="213"/>
      <c r="AS2313" s="213"/>
      <c r="AT2313" s="213"/>
      <c r="AU2313" s="213"/>
      <c r="AV2313" s="213"/>
      <c r="AW2313" s="213"/>
      <c r="AX2313" s="213"/>
      <c r="AY2313" s="213"/>
      <c r="AZ2313" s="213"/>
      <c r="BA2313" s="213"/>
      <c r="BB2313" s="213"/>
      <c r="BC2313" s="213"/>
      <c r="BD2313" s="213"/>
    </row>
    <row r="2314">
      <c r="A2314" s="213">
        <f>IFERROR(__xludf.DUMMYFUNCTION("""COMPUTED_VALUE"""),2370.0)</f>
        <v>2370</v>
      </c>
      <c r="B2314" s="213" t="str">
        <f>IFERROR(__xludf.DUMMYFUNCTION("""COMPUTED_VALUE"""),"MANUEL ANTONIO MESONES MURO")</f>
        <v>MANUEL ANTONIO MESONES MURO</v>
      </c>
      <c r="C2314" s="213" t="str">
        <f>IFERROR(__xludf.DUMMYFUNCTION("""COMPUTED_VALUE"""),"TALLER SFT DE INDUSTRIA DEL VESTIDO")</f>
        <v>TALLER SFT DE INDUSTRIA DEL VESTIDO</v>
      </c>
      <c r="D2314" s="213" t="str">
        <f>IFERROR(__xludf.DUMMYFUNCTION("""COMPUTED_VALUE"""),"MOBILIARIO")</f>
        <v>MOBILIARIO</v>
      </c>
      <c r="E2314" s="213" t="str">
        <f>IFERROR(__xludf.DUMMYFUNCTION("""COMPUTED_VALUE"""),"MOB-169")</f>
        <v>MOB-169</v>
      </c>
      <c r="F2314" s="213" t="str">
        <f>IFERROR(__xludf.DUMMYFUNCTION("""COMPUTED_VALUE"""),"MOB-169")</f>
        <v>MOB-169</v>
      </c>
      <c r="G2314" s="213"/>
      <c r="H2314" s="213" t="str">
        <f>IFERROR(__xludf.DUMMYFUNCTION("""COMPUTED_VALUE"""),"SILLA PARA ESTUDIANTE")</f>
        <v>SILLA PARA ESTUDIANTE</v>
      </c>
      <c r="I2314"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14" s="213">
        <f>IFERROR(__xludf.DUMMYFUNCTION("""COMPUTED_VALUE"""),3.0)</f>
        <v>3</v>
      </c>
      <c r="K2314" s="213" t="str">
        <f>IFERROR(__xludf.DUMMYFUNCTION("""COMPUTED_VALUE"""),"90 DÍAS CALENDARIO")</f>
        <v>90 DÍAS CALENDARIO</v>
      </c>
      <c r="L2314" s="213" t="str">
        <f>IFERROR(__xludf.DUMMYFUNCTION("""COMPUTED_VALUE"""),"")</f>
        <v/>
      </c>
      <c r="M2314" s="213">
        <f>IFERROR(__xludf.DUMMYFUNCTION("""COMPUTED_VALUE"""),1.0)</f>
        <v>1</v>
      </c>
      <c r="N2314" s="213">
        <f>IFERROR(__xludf.DUMMYFUNCTION("""COMPUTED_VALUE"""),5.0)</f>
        <v>5</v>
      </c>
      <c r="O2314" s="213">
        <f>IFERROR(__xludf.DUMMYFUNCTION("""COMPUTED_VALUE"""),5.0)</f>
        <v>5</v>
      </c>
      <c r="P2314" s="213"/>
      <c r="Q2314" s="213"/>
      <c r="R2314" s="213"/>
      <c r="S2314" s="213"/>
      <c r="T2314" s="213"/>
      <c r="U2314" s="213"/>
      <c r="V2314" s="213"/>
      <c r="W2314" s="213"/>
      <c r="X2314" s="213"/>
      <c r="Y2314" s="213"/>
      <c r="Z2314" s="213"/>
      <c r="AA2314" s="213"/>
      <c r="AB2314" s="213"/>
      <c r="AC2314" s="213"/>
      <c r="AD2314" s="213"/>
      <c r="AE2314" s="213"/>
      <c r="AF2314" s="213"/>
      <c r="AG2314" s="213"/>
      <c r="AH2314" s="213"/>
      <c r="AI2314" s="213"/>
      <c r="AJ2314" s="213"/>
      <c r="AK2314" s="213"/>
      <c r="AL2314" s="213"/>
      <c r="AM2314" s="213"/>
      <c r="AN2314" s="213"/>
      <c r="AO2314" s="213"/>
      <c r="AP2314" s="213"/>
      <c r="AQ2314" s="213"/>
      <c r="AR2314" s="213"/>
      <c r="AS2314" s="213"/>
      <c r="AT2314" s="213"/>
      <c r="AU2314" s="213"/>
      <c r="AV2314" s="213"/>
      <c r="AW2314" s="213"/>
      <c r="AX2314" s="213"/>
      <c r="AY2314" s="213"/>
      <c r="AZ2314" s="213"/>
      <c r="BA2314" s="213"/>
      <c r="BB2314" s="213"/>
      <c r="BC2314" s="213"/>
      <c r="BD2314" s="213"/>
    </row>
    <row r="2315">
      <c r="A2315" s="213">
        <f>IFERROR(__xludf.DUMMYFUNCTION("""COMPUTED_VALUE"""),2376.0)</f>
        <v>2376</v>
      </c>
      <c r="B2315" s="213" t="str">
        <f>IFERROR(__xludf.DUMMYFUNCTION("""COMPUTED_VALUE"""),"MANUEL ANTONIO MESONES MURO")</f>
        <v>MANUEL ANTONIO MESONES MURO</v>
      </c>
      <c r="C2315" s="213" t="str">
        <f>IFERROR(__xludf.DUMMYFUNCTION("""COMPUTED_VALUE"""),"TALLER SFT DE INDUSTRIA DEL VESTIDO")</f>
        <v>TALLER SFT DE INDUSTRIA DEL VESTIDO</v>
      </c>
      <c r="D2315" s="213" t="str">
        <f>IFERROR(__xludf.DUMMYFUNCTION("""COMPUTED_VALUE"""),"MOBILIARIO")</f>
        <v>MOBILIARIO</v>
      </c>
      <c r="E2315" s="213" t="str">
        <f>IFERROR(__xludf.DUMMYFUNCTION("""COMPUTED_VALUE"""),"MOB-169")</f>
        <v>MOB-169</v>
      </c>
      <c r="F2315" s="213" t="str">
        <f>IFERROR(__xludf.DUMMYFUNCTION("""COMPUTED_VALUE"""),"MOB-169")</f>
        <v>MOB-169</v>
      </c>
      <c r="G2315" s="213"/>
      <c r="H2315" s="213" t="str">
        <f>IFERROR(__xludf.DUMMYFUNCTION("""COMPUTED_VALUE"""),"SILLA PARA ESTUDIANTE")</f>
        <v>SILLA PARA ESTUDIANTE</v>
      </c>
      <c r="I2315"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15" s="213">
        <f>IFERROR(__xludf.DUMMYFUNCTION("""COMPUTED_VALUE"""),3.0)</f>
        <v>3</v>
      </c>
      <c r="K2315" s="213" t="str">
        <f>IFERROR(__xludf.DUMMYFUNCTION("""COMPUTED_VALUE"""),"90 DÍAS CALENDARIO")</f>
        <v>90 DÍAS CALENDARIO</v>
      </c>
      <c r="L2315" s="213" t="str">
        <f>IFERROR(__xludf.DUMMYFUNCTION("""COMPUTED_VALUE"""),"")</f>
        <v/>
      </c>
      <c r="M2315" s="213">
        <f>IFERROR(__xludf.DUMMYFUNCTION("""COMPUTED_VALUE"""),1.0)</f>
        <v>1</v>
      </c>
      <c r="N2315" s="213">
        <f>IFERROR(__xludf.DUMMYFUNCTION("""COMPUTED_VALUE"""),6.0)</f>
        <v>6</v>
      </c>
      <c r="O2315" s="213">
        <f>IFERROR(__xludf.DUMMYFUNCTION("""COMPUTED_VALUE"""),6.0)</f>
        <v>6</v>
      </c>
      <c r="P2315" s="213"/>
      <c r="Q2315" s="213"/>
      <c r="R2315" s="213"/>
      <c r="S2315" s="213"/>
      <c r="T2315" s="213"/>
      <c r="U2315" s="213"/>
      <c r="V2315" s="213"/>
      <c r="W2315" s="213"/>
      <c r="X2315" s="213"/>
      <c r="Y2315" s="213"/>
      <c r="Z2315" s="213"/>
      <c r="AA2315" s="213"/>
      <c r="AB2315" s="213"/>
      <c r="AC2315" s="213"/>
      <c r="AD2315" s="213"/>
      <c r="AE2315" s="213"/>
      <c r="AF2315" s="213"/>
      <c r="AG2315" s="213"/>
      <c r="AH2315" s="213"/>
      <c r="AI2315" s="213"/>
      <c r="AJ2315" s="213"/>
      <c r="AK2315" s="213"/>
      <c r="AL2315" s="213"/>
      <c r="AM2315" s="213"/>
      <c r="AN2315" s="213"/>
      <c r="AO2315" s="213"/>
      <c r="AP2315" s="213"/>
      <c r="AQ2315" s="213"/>
      <c r="AR2315" s="213"/>
      <c r="AS2315" s="213"/>
      <c r="AT2315" s="213"/>
      <c r="AU2315" s="213"/>
      <c r="AV2315" s="213"/>
      <c r="AW2315" s="213"/>
      <c r="AX2315" s="213"/>
      <c r="AY2315" s="213"/>
      <c r="AZ2315" s="213"/>
      <c r="BA2315" s="213"/>
      <c r="BB2315" s="213"/>
      <c r="BC2315" s="213"/>
      <c r="BD2315" s="213"/>
    </row>
    <row r="2316">
      <c r="A2316" s="213">
        <f>IFERROR(__xludf.DUMMYFUNCTION("""COMPUTED_VALUE"""),2377.0)</f>
        <v>2377</v>
      </c>
      <c r="B2316" s="213" t="str">
        <f>IFERROR(__xludf.DUMMYFUNCTION("""COMPUTED_VALUE"""),"MANUEL ANTONIO MESONES MURO")</f>
        <v>MANUEL ANTONIO MESONES MURO</v>
      </c>
      <c r="C2316" s="213" t="str">
        <f>IFERROR(__xludf.DUMMYFUNCTION("""COMPUTED_VALUE"""),"TALLER SFT DE INDUSTRIA DEL VESTIDO")</f>
        <v>TALLER SFT DE INDUSTRIA DEL VESTIDO</v>
      </c>
      <c r="D2316" s="213" t="str">
        <f>IFERROR(__xludf.DUMMYFUNCTION("""COMPUTED_VALUE"""),"MOBILIARIO")</f>
        <v>MOBILIARIO</v>
      </c>
      <c r="E2316" s="213" t="str">
        <f>IFERROR(__xludf.DUMMYFUNCTION("""COMPUTED_VALUE"""),"MOB-169")</f>
        <v>MOB-169</v>
      </c>
      <c r="F2316" s="213" t="str">
        <f>IFERROR(__xludf.DUMMYFUNCTION("""COMPUTED_VALUE"""),"MOB-169")</f>
        <v>MOB-169</v>
      </c>
      <c r="G2316" s="213"/>
      <c r="H2316" s="213" t="str">
        <f>IFERROR(__xludf.DUMMYFUNCTION("""COMPUTED_VALUE"""),"SILLA PARA ESTUDIANTE")</f>
        <v>SILLA PARA ESTUDIANTE</v>
      </c>
      <c r="I2316"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16" s="213">
        <f>IFERROR(__xludf.DUMMYFUNCTION("""COMPUTED_VALUE"""),3.0)</f>
        <v>3</v>
      </c>
      <c r="K2316" s="213" t="str">
        <f>IFERROR(__xludf.DUMMYFUNCTION("""COMPUTED_VALUE"""),"90 DÍAS CALENDARIO")</f>
        <v>90 DÍAS CALENDARIO</v>
      </c>
      <c r="L2316" s="213" t="str">
        <f>IFERROR(__xludf.DUMMYFUNCTION("""COMPUTED_VALUE"""),"")</f>
        <v/>
      </c>
      <c r="M2316" s="213">
        <f>IFERROR(__xludf.DUMMYFUNCTION("""COMPUTED_VALUE"""),1.0)</f>
        <v>1</v>
      </c>
      <c r="N2316" s="213">
        <f>IFERROR(__xludf.DUMMYFUNCTION("""COMPUTED_VALUE"""),6.0)</f>
        <v>6</v>
      </c>
      <c r="O2316" s="213">
        <f>IFERROR(__xludf.DUMMYFUNCTION("""COMPUTED_VALUE"""),6.0)</f>
        <v>6</v>
      </c>
      <c r="P2316" s="213"/>
      <c r="Q2316" s="213"/>
      <c r="R2316" s="213"/>
      <c r="S2316" s="213"/>
      <c r="T2316" s="213"/>
      <c r="U2316" s="213"/>
      <c r="V2316" s="213"/>
      <c r="W2316" s="213"/>
      <c r="X2316" s="213"/>
      <c r="Y2316" s="213"/>
      <c r="Z2316" s="213"/>
      <c r="AA2316" s="213"/>
      <c r="AB2316" s="213"/>
      <c r="AC2316" s="213"/>
      <c r="AD2316" s="213"/>
      <c r="AE2316" s="213"/>
      <c r="AF2316" s="213"/>
      <c r="AG2316" s="213"/>
      <c r="AH2316" s="213"/>
      <c r="AI2316" s="213"/>
      <c r="AJ2316" s="213"/>
      <c r="AK2316" s="213"/>
      <c r="AL2316" s="213"/>
      <c r="AM2316" s="213"/>
      <c r="AN2316" s="213"/>
      <c r="AO2316" s="213"/>
      <c r="AP2316" s="213"/>
      <c r="AQ2316" s="213"/>
      <c r="AR2316" s="213"/>
      <c r="AS2316" s="213"/>
      <c r="AT2316" s="213"/>
      <c r="AU2316" s="213"/>
      <c r="AV2316" s="213"/>
      <c r="AW2316" s="213"/>
      <c r="AX2316" s="213"/>
      <c r="AY2316" s="213"/>
      <c r="AZ2316" s="213"/>
      <c r="BA2316" s="213"/>
      <c r="BB2316" s="213"/>
      <c r="BC2316" s="213"/>
      <c r="BD2316" s="213"/>
    </row>
    <row r="2317">
      <c r="A2317" s="213">
        <f>IFERROR(__xludf.DUMMYFUNCTION("""COMPUTED_VALUE"""),2457.0)</f>
        <v>2457</v>
      </c>
      <c r="B2317" s="213" t="str">
        <f>IFERROR(__xludf.DUMMYFUNCTION("""COMPUTED_VALUE"""),"MANUEL ANTONIO MESONES MURO")</f>
        <v>MANUEL ANTONIO MESONES MURO</v>
      </c>
      <c r="C2317" s="213" t="str">
        <f>IFERROR(__xludf.DUMMYFUNCTION("""COMPUTED_VALUE"""),"TALLER SFT DE CONSTRUCCIONES METÁLICAS")</f>
        <v>TALLER SFT DE CONSTRUCCIONES METÁLICAS</v>
      </c>
      <c r="D2317" s="213" t="str">
        <f>IFERROR(__xludf.DUMMYFUNCTION("""COMPUTED_VALUE"""),"MOBILIARIO")</f>
        <v>MOBILIARIO</v>
      </c>
      <c r="E2317" s="213" t="str">
        <f>IFERROR(__xludf.DUMMYFUNCTION("""COMPUTED_VALUE"""),"MOB-168")</f>
        <v>MOB-168</v>
      </c>
      <c r="F2317" s="213" t="str">
        <f>IFERROR(__xludf.DUMMYFUNCTION("""COMPUTED_VALUE"""),"MOB-168")</f>
        <v>MOB-168</v>
      </c>
      <c r="G2317" s="213"/>
      <c r="H2317" s="213" t="str">
        <f>IFERROR(__xludf.DUMMYFUNCTION("""COMPUTED_VALUE"""),"SILLA PARA EL DOCENTE")</f>
        <v>SILLA PARA EL DOCENTE</v>
      </c>
      <c r="I2317"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cm - 55 cm.
· Ergonómica, con respaldar"&amp;" y 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cm - 55 cm.
· Ergonómica, con respaldar y altura regulable.</v>
      </c>
      <c r="J2317" s="213">
        <f>IFERROR(__xludf.DUMMYFUNCTION("""COMPUTED_VALUE"""),3.0)</f>
        <v>3</v>
      </c>
      <c r="K2317" s="213" t="str">
        <f>IFERROR(__xludf.DUMMYFUNCTION("""COMPUTED_VALUE"""),"90 DÍAS CALENDARIO")</f>
        <v>90 DÍAS CALENDARIO</v>
      </c>
      <c r="L2317" s="213" t="str">
        <f>IFERROR(__xludf.DUMMYFUNCTION("""COMPUTED_VALUE"""),"")</f>
        <v/>
      </c>
      <c r="M2317" s="213">
        <f>IFERROR(__xludf.DUMMYFUNCTION("""COMPUTED_VALUE"""),1.0)</f>
        <v>1</v>
      </c>
      <c r="N2317" s="213">
        <f>IFERROR(__xludf.DUMMYFUNCTION("""COMPUTED_VALUE"""),1.0)</f>
        <v>1</v>
      </c>
      <c r="O2317" s="213">
        <f>IFERROR(__xludf.DUMMYFUNCTION("""COMPUTED_VALUE"""),1.0)</f>
        <v>1</v>
      </c>
      <c r="P2317" s="213"/>
      <c r="Q2317" s="213"/>
      <c r="R2317" s="213"/>
      <c r="S2317" s="213"/>
      <c r="T2317" s="213"/>
      <c r="U2317" s="213"/>
      <c r="V2317" s="213"/>
      <c r="W2317" s="213"/>
      <c r="X2317" s="213"/>
      <c r="Y2317" s="213"/>
      <c r="Z2317" s="213"/>
      <c r="AA2317" s="213"/>
      <c r="AB2317" s="213"/>
      <c r="AC2317" s="213"/>
      <c r="AD2317" s="213"/>
      <c r="AE2317" s="213"/>
      <c r="AF2317" s="213"/>
      <c r="AG2317" s="213"/>
      <c r="AH2317" s="213"/>
      <c r="AI2317" s="213"/>
      <c r="AJ2317" s="213"/>
      <c r="AK2317" s="213"/>
      <c r="AL2317" s="213"/>
      <c r="AM2317" s="213"/>
      <c r="AN2317" s="213"/>
      <c r="AO2317" s="213"/>
      <c r="AP2317" s="213"/>
      <c r="AQ2317" s="213"/>
      <c r="AR2317" s="213"/>
      <c r="AS2317" s="213"/>
      <c r="AT2317" s="213"/>
      <c r="AU2317" s="213"/>
      <c r="AV2317" s="213"/>
      <c r="AW2317" s="213"/>
      <c r="AX2317" s="213"/>
      <c r="AY2317" s="213"/>
      <c r="AZ2317" s="213"/>
      <c r="BA2317" s="213"/>
      <c r="BB2317" s="213"/>
      <c r="BC2317" s="213"/>
      <c r="BD2317" s="213"/>
    </row>
    <row r="2318">
      <c r="A2318" s="213">
        <f>IFERROR(__xludf.DUMMYFUNCTION("""COMPUTED_VALUE"""),2543.0)</f>
        <v>2543</v>
      </c>
      <c r="B2318" s="213" t="str">
        <f>IFERROR(__xludf.DUMMYFUNCTION("""COMPUTED_VALUE"""),"MANUEL ANTONIO MESONES MURO")</f>
        <v>MANUEL ANTONIO MESONES MURO</v>
      </c>
      <c r="C2318" s="213" t="str">
        <f>IFERROR(__xludf.DUMMYFUNCTION("""COMPUTED_VALUE"""),"TALLER SFT DE EBANISTERÍA")</f>
        <v>TALLER SFT DE EBANISTERÍA</v>
      </c>
      <c r="D2318" s="213" t="str">
        <f>IFERROR(__xludf.DUMMYFUNCTION("""COMPUTED_VALUE"""),"MOBILIARIO")</f>
        <v>MOBILIARIO</v>
      </c>
      <c r="E2318" s="213" t="str">
        <f>IFERROR(__xludf.DUMMYFUNCTION("""COMPUTED_VALUE"""),"MOB-169")</f>
        <v>MOB-169</v>
      </c>
      <c r="F2318" s="213" t="str">
        <f>IFERROR(__xludf.DUMMYFUNCTION("""COMPUTED_VALUE"""),"MOB-169")</f>
        <v>MOB-169</v>
      </c>
      <c r="G2318" s="213"/>
      <c r="H2318" s="213" t="str">
        <f>IFERROR(__xludf.DUMMYFUNCTION("""COMPUTED_VALUE"""),"SILLA PARA ESTUDIANTE")</f>
        <v>SILLA PARA ESTUDIANTE</v>
      </c>
      <c r="I2318"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18" s="213">
        <f>IFERROR(__xludf.DUMMYFUNCTION("""COMPUTED_VALUE"""),3.0)</f>
        <v>3</v>
      </c>
      <c r="K2318" s="213" t="str">
        <f>IFERROR(__xludf.DUMMYFUNCTION("""COMPUTED_VALUE"""),"90 DÍAS CALENDARIO")</f>
        <v>90 DÍAS CALENDARIO</v>
      </c>
      <c r="L2318" s="213" t="str">
        <f>IFERROR(__xludf.DUMMYFUNCTION("""COMPUTED_VALUE"""),"")</f>
        <v/>
      </c>
      <c r="M2318" s="213">
        <f>IFERROR(__xludf.DUMMYFUNCTION("""COMPUTED_VALUE"""),1.0)</f>
        <v>1</v>
      </c>
      <c r="N2318" s="213">
        <f>IFERROR(__xludf.DUMMYFUNCTION("""COMPUTED_VALUE"""),19.0)</f>
        <v>19</v>
      </c>
      <c r="O2318" s="213">
        <f>IFERROR(__xludf.DUMMYFUNCTION("""COMPUTED_VALUE"""),19.0)</f>
        <v>19</v>
      </c>
      <c r="P2318" s="213"/>
      <c r="Q2318" s="213"/>
      <c r="R2318" s="213"/>
      <c r="S2318" s="213"/>
      <c r="T2318" s="213"/>
      <c r="U2318" s="213"/>
      <c r="V2318" s="213"/>
      <c r="W2318" s="213"/>
      <c r="X2318" s="213"/>
      <c r="Y2318" s="213"/>
      <c r="Z2318" s="213"/>
      <c r="AA2318" s="213"/>
      <c r="AB2318" s="213"/>
      <c r="AC2318" s="213"/>
      <c r="AD2318" s="213"/>
      <c r="AE2318" s="213"/>
      <c r="AF2318" s="213"/>
      <c r="AG2318" s="213"/>
      <c r="AH2318" s="213"/>
      <c r="AI2318" s="213"/>
      <c r="AJ2318" s="213"/>
      <c r="AK2318" s="213"/>
      <c r="AL2318" s="213"/>
      <c r="AM2318" s="213"/>
      <c r="AN2318" s="213"/>
      <c r="AO2318" s="213"/>
      <c r="AP2318" s="213"/>
      <c r="AQ2318" s="213"/>
      <c r="AR2318" s="213"/>
      <c r="AS2318" s="213"/>
      <c r="AT2318" s="213"/>
      <c r="AU2318" s="213"/>
      <c r="AV2318" s="213"/>
      <c r="AW2318" s="213"/>
      <c r="AX2318" s="213"/>
      <c r="AY2318" s="213"/>
      <c r="AZ2318" s="213"/>
      <c r="BA2318" s="213"/>
      <c r="BB2318" s="213"/>
      <c r="BC2318" s="213"/>
      <c r="BD2318" s="213"/>
    </row>
    <row r="2319">
      <c r="A2319" s="213">
        <f>IFERROR(__xludf.DUMMYFUNCTION("""COMPUTED_VALUE"""),341.0)</f>
        <v>341</v>
      </c>
      <c r="B2319" s="213" t="str">
        <f>IFERROR(__xludf.DUMMYFUNCTION("""COMPUTED_VALUE"""),"2026 SIMON BOLIVAR")</f>
        <v>2026 SIMON BOLIVAR</v>
      </c>
      <c r="C2319" s="213" t="str">
        <f>IFERROR(__xludf.DUMMYFUNCTION("""COMPUTED_VALUE"""),"TALLER SFT DE ELECTRICIDAD")</f>
        <v>TALLER SFT DE ELECTRICIDAD</v>
      </c>
      <c r="D2319" s="213" t="str">
        <f>IFERROR(__xludf.DUMMYFUNCTION("""COMPUTED_VALUE"""),"MOBILIARIO")</f>
        <v>MOBILIARIO</v>
      </c>
      <c r="E2319" s="213" t="str">
        <f>IFERROR(__xludf.DUMMYFUNCTION("""COMPUTED_VALUE"""),"MOB-170")</f>
        <v>MOB-170</v>
      </c>
      <c r="F2319" s="213" t="str">
        <f>IFERROR(__xludf.DUMMYFUNCTION("""COMPUTED_VALUE"""),"MOB-170")</f>
        <v>MOB-170</v>
      </c>
      <c r="G2319" s="213"/>
      <c r="H2319" s="213" t="str">
        <f>IFERROR(__xludf.DUMMYFUNCTION("""COMPUTED_VALUE"""),"SILLA RODABLE PARA EL DOCENTE")</f>
        <v>SILLA RODABLE PARA EL DOCENTE</v>
      </c>
      <c r="I2319"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40 - 55 cm.
· Ergonómica, con respaldar y "&amp;"altura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40 - 55 cm.
· Ergonómica, con respaldar y altura regulable.</v>
      </c>
      <c r="J2319" s="213">
        <f>IFERROR(__xludf.DUMMYFUNCTION("""COMPUTED_VALUE"""),3.0)</f>
        <v>3</v>
      </c>
      <c r="K2319" s="213" t="str">
        <f>IFERROR(__xludf.DUMMYFUNCTION("""COMPUTED_VALUE"""),"90 DÍAS CALENDARIO")</f>
        <v>90 DÍAS CALENDARIO</v>
      </c>
      <c r="L2319" s="213" t="str">
        <f>IFERROR(__xludf.DUMMYFUNCTION("""COMPUTED_VALUE"""),"")</f>
        <v/>
      </c>
      <c r="M2319" s="213">
        <f>IFERROR(__xludf.DUMMYFUNCTION("""COMPUTED_VALUE"""),1.0)</f>
        <v>1</v>
      </c>
      <c r="N2319" s="213">
        <f>IFERROR(__xludf.DUMMYFUNCTION("""COMPUTED_VALUE"""),1.0)</f>
        <v>1</v>
      </c>
      <c r="O2319" s="213">
        <f>IFERROR(__xludf.DUMMYFUNCTION("""COMPUTED_VALUE"""),1.0)</f>
        <v>1</v>
      </c>
      <c r="P2319" s="213"/>
      <c r="Q2319" s="213"/>
      <c r="R2319" s="213"/>
      <c r="S2319" s="213"/>
      <c r="T2319" s="213"/>
      <c r="U2319" s="213"/>
      <c r="V2319" s="213"/>
      <c r="W2319" s="213"/>
      <c r="X2319" s="213"/>
      <c r="Y2319" s="213"/>
      <c r="Z2319" s="213"/>
      <c r="AA2319" s="213"/>
      <c r="AB2319" s="213"/>
      <c r="AC2319" s="213"/>
      <c r="AD2319" s="213"/>
      <c r="AE2319" s="213"/>
      <c r="AF2319" s="213"/>
      <c r="AG2319" s="213"/>
      <c r="AH2319" s="213"/>
      <c r="AI2319" s="213"/>
      <c r="AJ2319" s="213"/>
      <c r="AK2319" s="213"/>
      <c r="AL2319" s="213"/>
      <c r="AM2319" s="213"/>
      <c r="AN2319" s="213"/>
      <c r="AO2319" s="213"/>
      <c r="AP2319" s="213"/>
      <c r="AQ2319" s="213"/>
      <c r="AR2319" s="213"/>
      <c r="AS2319" s="213"/>
      <c r="AT2319" s="213"/>
      <c r="AU2319" s="213"/>
      <c r="AV2319" s="213"/>
      <c r="AW2319" s="213"/>
      <c r="AX2319" s="213"/>
      <c r="AY2319" s="213"/>
      <c r="AZ2319" s="213"/>
      <c r="BA2319" s="213"/>
      <c r="BB2319" s="213"/>
      <c r="BC2319" s="213"/>
      <c r="BD2319" s="213"/>
    </row>
    <row r="2320">
      <c r="A2320" s="213">
        <f>IFERROR(__xludf.DUMMYFUNCTION("""COMPUTED_VALUE"""),447.0)</f>
        <v>447</v>
      </c>
      <c r="B2320" s="213" t="str">
        <f>IFERROR(__xludf.DUMMYFUNCTION("""COMPUTED_VALUE"""),"2026 SIMON BOLIVAR")</f>
        <v>2026 SIMON BOLIVAR</v>
      </c>
      <c r="C2320" s="213" t="str">
        <f>IFERROR(__xludf.DUMMYFUNCTION("""COMPUTED_VALUE"""),"TALLER SFT DE INDUSTRIA ALIMENTARIA")</f>
        <v>TALLER SFT DE INDUSTRIA ALIMENTARIA</v>
      </c>
      <c r="D2320" s="213" t="str">
        <f>IFERROR(__xludf.DUMMYFUNCTION("""COMPUTED_VALUE"""),"MOBILIARIO")</f>
        <v>MOBILIARIO</v>
      </c>
      <c r="E2320" s="213" t="str">
        <f>IFERROR(__xludf.DUMMYFUNCTION("""COMPUTED_VALUE"""),"MOB-170")</f>
        <v>MOB-170</v>
      </c>
      <c r="F2320" s="213" t="str">
        <f>IFERROR(__xludf.DUMMYFUNCTION("""COMPUTED_VALUE"""),"MOB-170")</f>
        <v>MOB-170</v>
      </c>
      <c r="G2320" s="213"/>
      <c r="H2320" s="213" t="str">
        <f>IFERROR(__xludf.DUMMYFUNCTION("""COMPUTED_VALUE"""),"SILLA RODABLE PARA EL DOCENTE")</f>
        <v>SILLA RODABLE PARA EL DOCENTE</v>
      </c>
      <c r="I2320"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40 - 55 cm.
· Ergonómica, con respaldar y "&amp;"altura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40 - 55 cm.
· Ergonómica, con respaldar y altura regulable.</v>
      </c>
      <c r="J2320" s="213">
        <f>IFERROR(__xludf.DUMMYFUNCTION("""COMPUTED_VALUE"""),3.0)</f>
        <v>3</v>
      </c>
      <c r="K2320" s="213" t="str">
        <f>IFERROR(__xludf.DUMMYFUNCTION("""COMPUTED_VALUE"""),"90 DÍAS CALENDARIO")</f>
        <v>90 DÍAS CALENDARIO</v>
      </c>
      <c r="L2320" s="213" t="str">
        <f>IFERROR(__xludf.DUMMYFUNCTION("""COMPUTED_VALUE"""),"")</f>
        <v/>
      </c>
      <c r="M2320" s="213">
        <f>IFERROR(__xludf.DUMMYFUNCTION("""COMPUTED_VALUE"""),1.0)</f>
        <v>1</v>
      </c>
      <c r="N2320" s="213">
        <f>IFERROR(__xludf.DUMMYFUNCTION("""COMPUTED_VALUE"""),1.0)</f>
        <v>1</v>
      </c>
      <c r="O2320" s="213">
        <f>IFERROR(__xludf.DUMMYFUNCTION("""COMPUTED_VALUE"""),1.0)</f>
        <v>1</v>
      </c>
      <c r="P2320" s="213"/>
      <c r="Q2320" s="213"/>
      <c r="R2320" s="213"/>
      <c r="S2320" s="213"/>
      <c r="T2320" s="213"/>
      <c r="U2320" s="213"/>
      <c r="V2320" s="213"/>
      <c r="W2320" s="213"/>
      <c r="X2320" s="213"/>
      <c r="Y2320" s="213"/>
      <c r="Z2320" s="213"/>
      <c r="AA2320" s="213"/>
      <c r="AB2320" s="213"/>
      <c r="AC2320" s="213"/>
      <c r="AD2320" s="213"/>
      <c r="AE2320" s="213"/>
      <c r="AF2320" s="213"/>
      <c r="AG2320" s="213"/>
      <c r="AH2320" s="213"/>
      <c r="AI2320" s="213"/>
      <c r="AJ2320" s="213"/>
      <c r="AK2320" s="213"/>
      <c r="AL2320" s="213"/>
      <c r="AM2320" s="213"/>
      <c r="AN2320" s="213"/>
      <c r="AO2320" s="213"/>
      <c r="AP2320" s="213"/>
      <c r="AQ2320" s="213"/>
      <c r="AR2320" s="213"/>
      <c r="AS2320" s="213"/>
      <c r="AT2320" s="213"/>
      <c r="AU2320" s="213"/>
      <c r="AV2320" s="213"/>
      <c r="AW2320" s="213"/>
      <c r="AX2320" s="213"/>
      <c r="AY2320" s="213"/>
      <c r="AZ2320" s="213"/>
      <c r="BA2320" s="213"/>
      <c r="BB2320" s="213"/>
      <c r="BC2320" s="213"/>
      <c r="BD2320" s="213"/>
    </row>
    <row r="2321">
      <c r="A2321" s="213">
        <f>IFERROR(__xludf.DUMMYFUNCTION("""COMPUTED_VALUE"""),827.0)</f>
        <v>827</v>
      </c>
      <c r="B2321" s="213" t="str">
        <f>IFERROR(__xludf.DUMMYFUNCTION("""COMPUTED_VALUE"""),"6049 RICARDO PALMA")</f>
        <v>6049 RICARDO PALMA</v>
      </c>
      <c r="C2321" s="213" t="str">
        <f>IFERROR(__xludf.DUMMYFUNCTION("""COMPUTED_VALUE"""),"TALLER SFT DE ELECTRICIDAD")</f>
        <v>TALLER SFT DE ELECTRICIDAD</v>
      </c>
      <c r="D2321" s="213" t="str">
        <f>IFERROR(__xludf.DUMMYFUNCTION("""COMPUTED_VALUE"""),"MOBILIARIO")</f>
        <v>MOBILIARIO</v>
      </c>
      <c r="E2321" s="213" t="str">
        <f>IFERROR(__xludf.DUMMYFUNCTION("""COMPUTED_VALUE"""),"MOB-170")</f>
        <v>MOB-170</v>
      </c>
      <c r="F2321" s="213" t="str">
        <f>IFERROR(__xludf.DUMMYFUNCTION("""COMPUTED_VALUE"""),"MOB-170")</f>
        <v>MOB-170</v>
      </c>
      <c r="G2321" s="213"/>
      <c r="H2321" s="213" t="str">
        <f>IFERROR(__xludf.DUMMYFUNCTION("""COMPUTED_VALUE"""),"SILLA RODABLE PARA EL DOCENTE")</f>
        <v>SILLA RODABLE PARA EL DOCENTE</v>
      </c>
      <c r="I2321"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40 - 55 cm.
· Ergonómica, con respaldar y "&amp;"altura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40 - 55 cm.
· Ergonómica, con respaldar y altura regulable.</v>
      </c>
      <c r="J2321" s="213">
        <f>IFERROR(__xludf.DUMMYFUNCTION("""COMPUTED_VALUE"""),3.0)</f>
        <v>3</v>
      </c>
      <c r="K2321" s="213" t="str">
        <f>IFERROR(__xludf.DUMMYFUNCTION("""COMPUTED_VALUE"""),"90 DÍAS CALENDARIO")</f>
        <v>90 DÍAS CALENDARIO</v>
      </c>
      <c r="L2321" s="213" t="str">
        <f>IFERROR(__xludf.DUMMYFUNCTION("""COMPUTED_VALUE"""),"")</f>
        <v/>
      </c>
      <c r="M2321" s="213">
        <f>IFERROR(__xludf.DUMMYFUNCTION("""COMPUTED_VALUE"""),1.0)</f>
        <v>1</v>
      </c>
      <c r="N2321" s="213">
        <f>IFERROR(__xludf.DUMMYFUNCTION("""COMPUTED_VALUE"""),1.0)</f>
        <v>1</v>
      </c>
      <c r="O2321" s="213">
        <f>IFERROR(__xludf.DUMMYFUNCTION("""COMPUTED_VALUE"""),1.0)</f>
        <v>1</v>
      </c>
      <c r="P2321" s="213"/>
      <c r="Q2321" s="213"/>
      <c r="R2321" s="213"/>
      <c r="S2321" s="213"/>
      <c r="T2321" s="213"/>
      <c r="U2321" s="213"/>
      <c r="V2321" s="213"/>
      <c r="W2321" s="213"/>
      <c r="X2321" s="213"/>
      <c r="Y2321" s="213"/>
      <c r="Z2321" s="213"/>
      <c r="AA2321" s="213"/>
      <c r="AB2321" s="213"/>
      <c r="AC2321" s="213"/>
      <c r="AD2321" s="213"/>
      <c r="AE2321" s="213"/>
      <c r="AF2321" s="213"/>
      <c r="AG2321" s="213"/>
      <c r="AH2321" s="213"/>
      <c r="AI2321" s="213"/>
      <c r="AJ2321" s="213"/>
      <c r="AK2321" s="213"/>
      <c r="AL2321" s="213"/>
      <c r="AM2321" s="213"/>
      <c r="AN2321" s="213"/>
      <c r="AO2321" s="213"/>
      <c r="AP2321" s="213"/>
      <c r="AQ2321" s="213"/>
      <c r="AR2321" s="213"/>
      <c r="AS2321" s="213"/>
      <c r="AT2321" s="213"/>
      <c r="AU2321" s="213"/>
      <c r="AV2321" s="213"/>
      <c r="AW2321" s="213"/>
      <c r="AX2321" s="213"/>
      <c r="AY2321" s="213"/>
      <c r="AZ2321" s="213"/>
      <c r="BA2321" s="213"/>
      <c r="BB2321" s="213"/>
      <c r="BC2321" s="213"/>
      <c r="BD2321" s="213"/>
    </row>
    <row r="2322">
      <c r="A2322" s="213">
        <f>IFERROR(__xludf.DUMMYFUNCTION("""COMPUTED_VALUE"""),1352.0)</f>
        <v>1352</v>
      </c>
      <c r="B2322" s="213" t="str">
        <f>IFERROR(__xludf.DUMMYFUNCTION("""COMPUTED_VALUE"""),"GUILLERMO E. BILLINGHURST ")</f>
        <v>GUILLERMO E. BILLINGHURST </v>
      </c>
      <c r="C2322" s="213" t="str">
        <f>IFERROR(__xludf.DUMMYFUNCTION("""COMPUTED_VALUE"""),"TALLER SFT DE INDUSTRIA ALIMENTARIA")</f>
        <v>TALLER SFT DE INDUSTRIA ALIMENTARIA</v>
      </c>
      <c r="D2322" s="213" t="str">
        <f>IFERROR(__xludf.DUMMYFUNCTION("""COMPUTED_VALUE"""),"MOBILIARIO")</f>
        <v>MOBILIARIO</v>
      </c>
      <c r="E2322" s="213" t="str">
        <f>IFERROR(__xludf.DUMMYFUNCTION("""COMPUTED_VALUE"""),"MOB-170")</f>
        <v>MOB-170</v>
      </c>
      <c r="F2322" s="213" t="str">
        <f>IFERROR(__xludf.DUMMYFUNCTION("""COMPUTED_VALUE"""),"MOB-170")</f>
        <v>MOB-170</v>
      </c>
      <c r="G2322" s="213"/>
      <c r="H2322" s="213" t="str">
        <f>IFERROR(__xludf.DUMMYFUNCTION("""COMPUTED_VALUE"""),"SILLA RODABLE PARA EL DOCENTE")</f>
        <v>SILLA RODABLE PARA EL DOCENTE</v>
      </c>
      <c r="I2322"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40 - 55 cm.
· Ergonómica, con respaldar y "&amp;"altura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40 - 55 cm.
· Ergonómica, con respaldar y altura regulable.</v>
      </c>
      <c r="J2322" s="213">
        <f>IFERROR(__xludf.DUMMYFUNCTION("""COMPUTED_VALUE"""),3.0)</f>
        <v>3</v>
      </c>
      <c r="K2322" s="213" t="str">
        <f>IFERROR(__xludf.DUMMYFUNCTION("""COMPUTED_VALUE"""),"90 DÍAS CALENDARIO")</f>
        <v>90 DÍAS CALENDARIO</v>
      </c>
      <c r="L2322" s="213" t="str">
        <f>IFERROR(__xludf.DUMMYFUNCTION("""COMPUTED_VALUE"""),"")</f>
        <v/>
      </c>
      <c r="M2322" s="213">
        <f>IFERROR(__xludf.DUMMYFUNCTION("""COMPUTED_VALUE"""),1.0)</f>
        <v>1</v>
      </c>
      <c r="N2322" s="213">
        <f>IFERROR(__xludf.DUMMYFUNCTION("""COMPUTED_VALUE"""),1.0)</f>
        <v>1</v>
      </c>
      <c r="O2322" s="213">
        <f>IFERROR(__xludf.DUMMYFUNCTION("""COMPUTED_VALUE"""),1.0)</f>
        <v>1</v>
      </c>
      <c r="P2322" s="213"/>
      <c r="Q2322" s="213"/>
      <c r="R2322" s="213"/>
      <c r="S2322" s="213"/>
      <c r="T2322" s="213"/>
      <c r="U2322" s="213"/>
      <c r="V2322" s="213"/>
      <c r="W2322" s="213"/>
      <c r="X2322" s="213"/>
      <c r="Y2322" s="213"/>
      <c r="Z2322" s="213"/>
      <c r="AA2322" s="213"/>
      <c r="AB2322" s="213"/>
      <c r="AC2322" s="213"/>
      <c r="AD2322" s="213"/>
      <c r="AE2322" s="213"/>
      <c r="AF2322" s="213"/>
      <c r="AG2322" s="213"/>
      <c r="AH2322" s="213"/>
      <c r="AI2322" s="213"/>
      <c r="AJ2322" s="213"/>
      <c r="AK2322" s="213"/>
      <c r="AL2322" s="213"/>
      <c r="AM2322" s="213"/>
      <c r="AN2322" s="213"/>
      <c r="AO2322" s="213"/>
      <c r="AP2322" s="213"/>
      <c r="AQ2322" s="213"/>
      <c r="AR2322" s="213"/>
      <c r="AS2322" s="213"/>
      <c r="AT2322" s="213"/>
      <c r="AU2322" s="213"/>
      <c r="AV2322" s="213"/>
      <c r="AW2322" s="213"/>
      <c r="AX2322" s="213"/>
      <c r="AY2322" s="213"/>
      <c r="AZ2322" s="213"/>
      <c r="BA2322" s="213"/>
      <c r="BB2322" s="213"/>
      <c r="BC2322" s="213"/>
      <c r="BD2322" s="213"/>
    </row>
    <row r="2323">
      <c r="A2323" s="213">
        <f>IFERROR(__xludf.DUMMYFUNCTION("""COMPUTED_VALUE"""),2459.0)</f>
        <v>2459</v>
      </c>
      <c r="B2323" s="213" t="str">
        <f>IFERROR(__xludf.DUMMYFUNCTION("""COMPUTED_VALUE"""),"MANUEL ANTONIO MESONES MURO")</f>
        <v>MANUEL ANTONIO MESONES MURO</v>
      </c>
      <c r="C2323" s="213" t="str">
        <f>IFERROR(__xludf.DUMMYFUNCTION("""COMPUTED_VALUE"""),"TALLER SFT DE CONSTRUCCIONES METÁLICAS")</f>
        <v>TALLER SFT DE CONSTRUCCIONES METÁLICAS</v>
      </c>
      <c r="D2323" s="213" t="str">
        <f>IFERROR(__xludf.DUMMYFUNCTION("""COMPUTED_VALUE"""),"MOBILIARIO")</f>
        <v>MOBILIARIO</v>
      </c>
      <c r="E2323" s="213" t="str">
        <f>IFERROR(__xludf.DUMMYFUNCTION("""COMPUTED_VALUE"""),"MOB-169")</f>
        <v>MOB-169</v>
      </c>
      <c r="F2323" s="213" t="str">
        <f>IFERROR(__xludf.DUMMYFUNCTION("""COMPUTED_VALUE"""),"MOB-169")</f>
        <v>MOB-169</v>
      </c>
      <c r="G2323" s="213"/>
      <c r="H2323" s="213" t="str">
        <f>IFERROR(__xludf.DUMMYFUNCTION("""COMPUTED_VALUE"""),"SILLA PARA ESTUDIANTE")</f>
        <v>SILLA PARA ESTUDIANTE</v>
      </c>
      <c r="I2323"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patines resistentes.
· Posee regulación de altura mediante un cilindro neumático, con un desplazamiento mínimo de 150 mm.
· Altura con regulación entre: 40 cm - 55 cm. (se acepatará un márgen de +/- 5cm en las medidas)
· Ergonómica, con res"&amp;"paldar y altura regulable.")</f>
        <v>· Con respaldar, asiento giratorio y altura regulable.
· Asiento tapizado
· Soporte central de acero tubular redondo, mínimo de 2" de diámetro, 1,2 mm espesor (mínimo).
· Con cinco patas fabricados en acero tubular de 1 1/2 "(mínimo) x 1,2 mm de espesor (mínimo), con patines resistentes.
· Posee regulación de altura mediante un cilindro neumático, con un desplazamiento mínimo de 150 mm.
· Altura con regulación entre: 40 cm - 55 cm. (se acepatará un márgen de +/- 5cm en las medidas)
· Ergonómica, con respaldar y altura regulable.</v>
      </c>
      <c r="J2323" s="213">
        <f>IFERROR(__xludf.DUMMYFUNCTION("""COMPUTED_VALUE"""),3.0)</f>
        <v>3</v>
      </c>
      <c r="K2323" s="213" t="str">
        <f>IFERROR(__xludf.DUMMYFUNCTION("""COMPUTED_VALUE"""),"90 DÍAS CALENDARIO")</f>
        <v>90 DÍAS CALENDARIO</v>
      </c>
      <c r="L2323" s="213" t="str">
        <f>IFERROR(__xludf.DUMMYFUNCTION("""COMPUTED_VALUE"""),"")</f>
        <v/>
      </c>
      <c r="M2323" s="213">
        <f>IFERROR(__xludf.DUMMYFUNCTION("""COMPUTED_VALUE"""),1.0)</f>
        <v>1</v>
      </c>
      <c r="N2323" s="213">
        <f>IFERROR(__xludf.DUMMYFUNCTION("""COMPUTED_VALUE"""),19.0)</f>
        <v>19</v>
      </c>
      <c r="O2323" s="213">
        <f>IFERROR(__xludf.DUMMYFUNCTION("""COMPUTED_VALUE"""),19.0)</f>
        <v>19</v>
      </c>
      <c r="P2323" s="213"/>
      <c r="Q2323" s="213"/>
      <c r="R2323" s="213"/>
      <c r="S2323" s="213"/>
      <c r="T2323" s="213"/>
      <c r="U2323" s="213"/>
      <c r="V2323" s="213"/>
      <c r="W2323" s="213"/>
      <c r="X2323" s="213"/>
      <c r="Y2323" s="213"/>
      <c r="Z2323" s="213"/>
      <c r="AA2323" s="213"/>
      <c r="AB2323" s="213"/>
      <c r="AC2323" s="213"/>
      <c r="AD2323" s="213"/>
      <c r="AE2323" s="213"/>
      <c r="AF2323" s="213"/>
      <c r="AG2323" s="213"/>
      <c r="AH2323" s="213"/>
      <c r="AI2323" s="213"/>
      <c r="AJ2323" s="213"/>
      <c r="AK2323" s="213"/>
      <c r="AL2323" s="213"/>
      <c r="AM2323" s="213"/>
      <c r="AN2323" s="213"/>
      <c r="AO2323" s="213"/>
      <c r="AP2323" s="213"/>
      <c r="AQ2323" s="213"/>
      <c r="AR2323" s="213"/>
      <c r="AS2323" s="213"/>
      <c r="AT2323" s="213"/>
      <c r="AU2323" s="213"/>
      <c r="AV2323" s="213"/>
      <c r="AW2323" s="213"/>
      <c r="AX2323" s="213"/>
      <c r="AY2323" s="213"/>
      <c r="AZ2323" s="213"/>
      <c r="BA2323" s="213"/>
      <c r="BB2323" s="213"/>
      <c r="BC2323" s="213"/>
      <c r="BD2323" s="213"/>
    </row>
    <row r="2324">
      <c r="A2324" s="213">
        <f>IFERROR(__xludf.DUMMYFUNCTION("""COMPUTED_VALUE"""),256.0)</f>
        <v>256</v>
      </c>
      <c r="B2324" s="213" t="str">
        <f>IFERROR(__xludf.DUMMYFUNCTION("""COMPUTED_VALUE"""),"2026 SIMON BOLIVAR")</f>
        <v>2026 SIMON BOLIVAR</v>
      </c>
      <c r="C2324" s="213" t="str">
        <f>IFERROR(__xludf.DUMMYFUNCTION("""COMPUTED_VALUE"""),"TALLER SFT DE COMPUTACIÓN E INFORMÁTICA")</f>
        <v>TALLER SFT DE COMPUTACIÓN E INFORMÁTICA</v>
      </c>
      <c r="D2324" s="213" t="str">
        <f>IFERROR(__xludf.DUMMYFUNCTION("""COMPUTED_VALUE"""),"MOBILIARIO")</f>
        <v>MOBILIARIO</v>
      </c>
      <c r="E2324" s="213" t="str">
        <f>IFERROR(__xludf.DUMMYFUNCTION("""COMPUTED_VALUE"""),"MOB-173")</f>
        <v>MOB-173</v>
      </c>
      <c r="F2324" s="213" t="str">
        <f>IFERROR(__xludf.DUMMYFUNCTION("""COMPUTED_VALUE"""),"MOB-173")</f>
        <v>MOB-173</v>
      </c>
      <c r="G2324" s="213"/>
      <c r="H2324" s="213" t="str">
        <f>IFERROR(__xludf.DUMMYFUNCTION("""COMPUTED_VALUE"""),"SILLÓN PARA LOS SET DE GRABACIÓN Y PARA EL DOCENTE")</f>
        <v>SILLÓN PARA LOS SET DE GRABACIÓN Y PARA EL DOCENTE</v>
      </c>
      <c r="I2324"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x L50 cm. (margen de +/-5cm)
· Altura con regulación entre: 40 - 55 cm.
· Ergonómica, con respaldar y alt"&amp;"ura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x L50 cm. (margen de +/-5cm)
· Altura con regulación entre: 40 - 55 cm.
· Ergonómica, con respaldar y altura regulable.</v>
      </c>
      <c r="J2324" s="213">
        <f>IFERROR(__xludf.DUMMYFUNCTION("""COMPUTED_VALUE"""),3.0)</f>
        <v>3</v>
      </c>
      <c r="K2324" s="213" t="str">
        <f>IFERROR(__xludf.DUMMYFUNCTION("""COMPUTED_VALUE"""),"90 DÍAS CALENDARIO")</f>
        <v>90 DÍAS CALENDARIO</v>
      </c>
      <c r="L2324" s="213" t="str">
        <f>IFERROR(__xludf.DUMMYFUNCTION("""COMPUTED_VALUE"""),"")</f>
        <v/>
      </c>
      <c r="M2324" s="213">
        <f>IFERROR(__xludf.DUMMYFUNCTION("""COMPUTED_VALUE"""),1.0)</f>
        <v>1</v>
      </c>
      <c r="N2324" s="213">
        <f>IFERROR(__xludf.DUMMYFUNCTION("""COMPUTED_VALUE"""),21.0)</f>
        <v>21</v>
      </c>
      <c r="O2324" s="213">
        <f>IFERROR(__xludf.DUMMYFUNCTION("""COMPUTED_VALUE"""),21.0)</f>
        <v>21</v>
      </c>
      <c r="P2324" s="213"/>
      <c r="Q2324" s="213"/>
      <c r="R2324" s="213"/>
      <c r="S2324" s="213"/>
      <c r="T2324" s="213"/>
      <c r="U2324" s="213"/>
      <c r="V2324" s="213"/>
      <c r="W2324" s="213"/>
      <c r="X2324" s="213"/>
      <c r="Y2324" s="213"/>
      <c r="Z2324" s="213"/>
      <c r="AA2324" s="213"/>
      <c r="AB2324" s="213"/>
      <c r="AC2324" s="213"/>
      <c r="AD2324" s="213"/>
      <c r="AE2324" s="213"/>
      <c r="AF2324" s="213"/>
      <c r="AG2324" s="213"/>
      <c r="AH2324" s="213"/>
      <c r="AI2324" s="213"/>
      <c r="AJ2324" s="213"/>
      <c r="AK2324" s="213"/>
      <c r="AL2324" s="213"/>
      <c r="AM2324" s="213"/>
      <c r="AN2324" s="213"/>
      <c r="AO2324" s="213"/>
      <c r="AP2324" s="213"/>
      <c r="AQ2324" s="213"/>
      <c r="AR2324" s="213"/>
      <c r="AS2324" s="213"/>
      <c r="AT2324" s="213"/>
      <c r="AU2324" s="213"/>
      <c r="AV2324" s="213"/>
      <c r="AW2324" s="213"/>
      <c r="AX2324" s="213"/>
      <c r="AY2324" s="213"/>
      <c r="AZ2324" s="213"/>
      <c r="BA2324" s="213"/>
      <c r="BB2324" s="213"/>
      <c r="BC2324" s="213"/>
      <c r="BD2324" s="213"/>
    </row>
    <row r="2325">
      <c r="A2325" s="213">
        <f>IFERROR(__xludf.DUMMYFUNCTION("""COMPUTED_VALUE"""),741.0)</f>
        <v>741</v>
      </c>
      <c r="B2325" s="213" t="str">
        <f>IFERROR(__xludf.DUMMYFUNCTION("""COMPUTED_VALUE"""),"6049 RICARDO PALMA")</f>
        <v>6049 RICARDO PALMA</v>
      </c>
      <c r="C2325" s="213" t="str">
        <f>IFERROR(__xludf.DUMMYFUNCTION("""COMPUTED_VALUE"""),"TALLER SFT DE COMPUTACIÓN E INFORMÁTICA")</f>
        <v>TALLER SFT DE COMPUTACIÓN E INFORMÁTICA</v>
      </c>
      <c r="D2325" s="213" t="str">
        <f>IFERROR(__xludf.DUMMYFUNCTION("""COMPUTED_VALUE"""),"MOBILIARIO")</f>
        <v>MOBILIARIO</v>
      </c>
      <c r="E2325" s="213" t="str">
        <f>IFERROR(__xludf.DUMMYFUNCTION("""COMPUTED_VALUE"""),"MOB-173")</f>
        <v>MOB-173</v>
      </c>
      <c r="F2325" s="213" t="str">
        <f>IFERROR(__xludf.DUMMYFUNCTION("""COMPUTED_VALUE"""),"MOB-173")</f>
        <v>MOB-173</v>
      </c>
      <c r="G2325" s="213"/>
      <c r="H2325" s="213" t="str">
        <f>IFERROR(__xludf.DUMMYFUNCTION("""COMPUTED_VALUE"""),"SILLÓN PARA LOS SET DE GRABACIÓN Y PARA EL DOCENTE")</f>
        <v>SILLÓN PARA LOS SET DE GRABACIÓN Y PARA EL DOCENTE</v>
      </c>
      <c r="I2325"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x L50 cm. (margen de +/-5cm)
· Altura con regulación entre: 40 - 55 cm.
· Ergonómica, con respaldar y alt"&amp;"ura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x L50 cm. (margen de +/-5cm)
· Altura con regulación entre: 40 - 55 cm.
· Ergonómica, con respaldar y altura regulable.</v>
      </c>
      <c r="J2325" s="213">
        <f>IFERROR(__xludf.DUMMYFUNCTION("""COMPUTED_VALUE"""),3.0)</f>
        <v>3</v>
      </c>
      <c r="K2325" s="213" t="str">
        <f>IFERROR(__xludf.DUMMYFUNCTION("""COMPUTED_VALUE"""),"90 DÍAS CALENDARIO")</f>
        <v>90 DÍAS CALENDARIO</v>
      </c>
      <c r="L2325" s="213" t="str">
        <f>IFERROR(__xludf.DUMMYFUNCTION("""COMPUTED_VALUE"""),"")</f>
        <v/>
      </c>
      <c r="M2325" s="213">
        <f>IFERROR(__xludf.DUMMYFUNCTION("""COMPUTED_VALUE"""),1.0)</f>
        <v>1</v>
      </c>
      <c r="N2325" s="213">
        <f>IFERROR(__xludf.DUMMYFUNCTION("""COMPUTED_VALUE"""),21.0)</f>
        <v>21</v>
      </c>
      <c r="O2325" s="213">
        <f>IFERROR(__xludf.DUMMYFUNCTION("""COMPUTED_VALUE"""),21.0)</f>
        <v>21</v>
      </c>
      <c r="P2325" s="213"/>
      <c r="Q2325" s="213"/>
      <c r="R2325" s="213"/>
      <c r="S2325" s="213"/>
      <c r="T2325" s="213"/>
      <c r="U2325" s="213"/>
      <c r="V2325" s="213"/>
      <c r="W2325" s="213"/>
      <c r="X2325" s="213"/>
      <c r="Y2325" s="213"/>
      <c r="Z2325" s="213"/>
      <c r="AA2325" s="213"/>
      <c r="AB2325" s="213"/>
      <c r="AC2325" s="213"/>
      <c r="AD2325" s="213"/>
      <c r="AE2325" s="213"/>
      <c r="AF2325" s="213"/>
      <c r="AG2325" s="213"/>
      <c r="AH2325" s="213"/>
      <c r="AI2325" s="213"/>
      <c r="AJ2325" s="213"/>
      <c r="AK2325" s="213"/>
      <c r="AL2325" s="213"/>
      <c r="AM2325" s="213"/>
      <c r="AN2325" s="213"/>
      <c r="AO2325" s="213"/>
      <c r="AP2325" s="213"/>
      <c r="AQ2325" s="213"/>
      <c r="AR2325" s="213"/>
      <c r="AS2325" s="213"/>
      <c r="AT2325" s="213"/>
      <c r="AU2325" s="213"/>
      <c r="AV2325" s="213"/>
      <c r="AW2325" s="213"/>
      <c r="AX2325" s="213"/>
      <c r="AY2325" s="213"/>
      <c r="AZ2325" s="213"/>
      <c r="BA2325" s="213"/>
      <c r="BB2325" s="213"/>
      <c r="BC2325" s="213"/>
      <c r="BD2325" s="213"/>
    </row>
    <row r="2326">
      <c r="A2326" s="213">
        <f>IFERROR(__xludf.DUMMYFUNCTION("""COMPUTED_VALUE"""),1676.0)</f>
        <v>1676</v>
      </c>
      <c r="B2326" s="213" t="str">
        <f>IFERROR(__xludf.DUMMYFUNCTION("""COMPUTED_VALUE"""),"GUILLERMO E. BILLINGHURST ")</f>
        <v>GUILLERMO E. BILLINGHURST </v>
      </c>
      <c r="C2326" s="213" t="str">
        <f>IFERROR(__xludf.DUMMYFUNCTION("""COMPUTED_VALUE"""),"TALLER SFT DE COMPUTACIÓN E INFORMÁTICA")</f>
        <v>TALLER SFT DE COMPUTACIÓN E INFORMÁTICA</v>
      </c>
      <c r="D2326" s="213" t="str">
        <f>IFERROR(__xludf.DUMMYFUNCTION("""COMPUTED_VALUE"""),"MOBILIARIO")</f>
        <v>MOBILIARIO</v>
      </c>
      <c r="E2326" s="213" t="str">
        <f>IFERROR(__xludf.DUMMYFUNCTION("""COMPUTED_VALUE"""),"MOB-173")</f>
        <v>MOB-173</v>
      </c>
      <c r="F2326" s="213" t="str">
        <f>IFERROR(__xludf.DUMMYFUNCTION("""COMPUTED_VALUE"""),"MOB-173")</f>
        <v>MOB-173</v>
      </c>
      <c r="G2326" s="213"/>
      <c r="H2326" s="213" t="str">
        <f>IFERROR(__xludf.DUMMYFUNCTION("""COMPUTED_VALUE"""),"SILLÓN PARA LOS SET DE GRABACIÓN Y PARA EL DOCENTE")</f>
        <v>SILLÓN PARA LOS SET DE GRABACIÓN Y PARA EL DOCENTE</v>
      </c>
      <c r="I2326"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x L50 cm. (margen de +/-5cm)
· Altura con regulación entre: 40 - 55 cm.
· Ergonómica, con respaldar y alt"&amp;"ura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x L50 cm. (margen de +/-5cm)
· Altura con regulación entre: 40 - 55 cm.
· Ergonómica, con respaldar y altura regulable.</v>
      </c>
      <c r="J2326" s="213">
        <f>IFERROR(__xludf.DUMMYFUNCTION("""COMPUTED_VALUE"""),3.0)</f>
        <v>3</v>
      </c>
      <c r="K2326" s="213" t="str">
        <f>IFERROR(__xludf.DUMMYFUNCTION("""COMPUTED_VALUE"""),"90 DÍAS CALENDARIO")</f>
        <v>90 DÍAS CALENDARIO</v>
      </c>
      <c r="L2326" s="213" t="str">
        <f>IFERROR(__xludf.DUMMYFUNCTION("""COMPUTED_VALUE"""),"")</f>
        <v/>
      </c>
      <c r="M2326" s="213">
        <f>IFERROR(__xludf.DUMMYFUNCTION("""COMPUTED_VALUE"""),1.0)</f>
        <v>1</v>
      </c>
      <c r="N2326" s="213">
        <f>IFERROR(__xludf.DUMMYFUNCTION("""COMPUTED_VALUE"""),21.0)</f>
        <v>21</v>
      </c>
      <c r="O2326" s="213">
        <f>IFERROR(__xludf.DUMMYFUNCTION("""COMPUTED_VALUE"""),21.0)</f>
        <v>21</v>
      </c>
      <c r="P2326" s="213"/>
      <c r="Q2326" s="213"/>
      <c r="R2326" s="213"/>
      <c r="S2326" s="213"/>
      <c r="T2326" s="213"/>
      <c r="U2326" s="213"/>
      <c r="V2326" s="213"/>
      <c r="W2326" s="213"/>
      <c r="X2326" s="213"/>
      <c r="Y2326" s="213"/>
      <c r="Z2326" s="213"/>
      <c r="AA2326" s="213"/>
      <c r="AB2326" s="213"/>
      <c r="AC2326" s="213"/>
      <c r="AD2326" s="213"/>
      <c r="AE2326" s="213"/>
      <c r="AF2326" s="213"/>
      <c r="AG2326" s="213"/>
      <c r="AH2326" s="213"/>
      <c r="AI2326" s="213"/>
      <c r="AJ2326" s="213"/>
      <c r="AK2326" s="213"/>
      <c r="AL2326" s="213"/>
      <c r="AM2326" s="213"/>
      <c r="AN2326" s="213"/>
      <c r="AO2326" s="213"/>
      <c r="AP2326" s="213"/>
      <c r="AQ2326" s="213"/>
      <c r="AR2326" s="213"/>
      <c r="AS2326" s="213"/>
      <c r="AT2326" s="213"/>
      <c r="AU2326" s="213"/>
      <c r="AV2326" s="213"/>
      <c r="AW2326" s="213"/>
      <c r="AX2326" s="213"/>
      <c r="AY2326" s="213"/>
      <c r="AZ2326" s="213"/>
      <c r="BA2326" s="213"/>
      <c r="BB2326" s="213"/>
      <c r="BC2326" s="213"/>
      <c r="BD2326" s="213"/>
    </row>
    <row r="2327">
      <c r="A2327" s="213">
        <f>IFERROR(__xludf.DUMMYFUNCTION("""COMPUTED_VALUE"""),1927.0)</f>
        <v>1927</v>
      </c>
      <c r="B2327" s="213" t="str">
        <f>IFERROR(__xludf.DUMMYFUNCTION("""COMPUTED_VALUE"""),"JOSE GRANDA")</f>
        <v>JOSE GRANDA</v>
      </c>
      <c r="C2327" s="213" t="str">
        <f>IFERROR(__xludf.DUMMYFUNCTION("""COMPUTED_VALUE"""),"TALLER SFT DE COMPUTACIÓN E INFORMÁTICA")</f>
        <v>TALLER SFT DE COMPUTACIÓN E INFORMÁTICA</v>
      </c>
      <c r="D2327" s="213" t="str">
        <f>IFERROR(__xludf.DUMMYFUNCTION("""COMPUTED_VALUE"""),"MOBILIARIO")</f>
        <v>MOBILIARIO</v>
      </c>
      <c r="E2327" s="213" t="str">
        <f>IFERROR(__xludf.DUMMYFUNCTION("""COMPUTED_VALUE"""),"MOB-173")</f>
        <v>MOB-173</v>
      </c>
      <c r="F2327" s="213" t="str">
        <f>IFERROR(__xludf.DUMMYFUNCTION("""COMPUTED_VALUE"""),"MOB-173")</f>
        <v>MOB-173</v>
      </c>
      <c r="G2327" s="213"/>
      <c r="H2327" s="213" t="str">
        <f>IFERROR(__xludf.DUMMYFUNCTION("""COMPUTED_VALUE"""),"SILLÓN PARA LOS SET DE GRABACIÓN Y PARA EL DOCENTE")</f>
        <v>SILLÓN PARA LOS SET DE GRABACIÓN Y PARA EL DOCENTE</v>
      </c>
      <c r="I2327"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x L50 cm. (margen de +/-5cm)
· Altura con regulación entre: 40 - 55 cm.
· Ergonómica, con respaldar y alt"&amp;"ura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x L50 cm. (margen de +/-5cm)
· Altura con regulación entre: 40 - 55 cm.
· Ergonómica, con respaldar y altura regulable.</v>
      </c>
      <c r="J2327" s="213">
        <f>IFERROR(__xludf.DUMMYFUNCTION("""COMPUTED_VALUE"""),3.0)</f>
        <v>3</v>
      </c>
      <c r="K2327" s="213" t="str">
        <f>IFERROR(__xludf.DUMMYFUNCTION("""COMPUTED_VALUE"""),"90 DÍAS CALENDARIO")</f>
        <v>90 DÍAS CALENDARIO</v>
      </c>
      <c r="L2327" s="213" t="str">
        <f>IFERROR(__xludf.DUMMYFUNCTION("""COMPUTED_VALUE"""),"")</f>
        <v/>
      </c>
      <c r="M2327" s="213">
        <f>IFERROR(__xludf.DUMMYFUNCTION("""COMPUTED_VALUE"""),1.0)</f>
        <v>1</v>
      </c>
      <c r="N2327" s="213">
        <f>IFERROR(__xludf.DUMMYFUNCTION("""COMPUTED_VALUE"""),21.0)</f>
        <v>21</v>
      </c>
      <c r="O2327" s="213">
        <f>IFERROR(__xludf.DUMMYFUNCTION("""COMPUTED_VALUE"""),21.0)</f>
        <v>21</v>
      </c>
      <c r="P2327" s="213"/>
      <c r="Q2327" s="213"/>
      <c r="R2327" s="213"/>
      <c r="S2327" s="213"/>
      <c r="T2327" s="213"/>
      <c r="U2327" s="213"/>
      <c r="V2327" s="213"/>
      <c r="W2327" s="213"/>
      <c r="X2327" s="213"/>
      <c r="Y2327" s="213"/>
      <c r="Z2327" s="213"/>
      <c r="AA2327" s="213"/>
      <c r="AB2327" s="213"/>
      <c r="AC2327" s="213"/>
      <c r="AD2327" s="213"/>
      <c r="AE2327" s="213"/>
      <c r="AF2327" s="213"/>
      <c r="AG2327" s="213"/>
      <c r="AH2327" s="213"/>
      <c r="AI2327" s="213"/>
      <c r="AJ2327" s="213"/>
      <c r="AK2327" s="213"/>
      <c r="AL2327" s="213"/>
      <c r="AM2327" s="213"/>
      <c r="AN2327" s="213"/>
      <c r="AO2327" s="213"/>
      <c r="AP2327" s="213"/>
      <c r="AQ2327" s="213"/>
      <c r="AR2327" s="213"/>
      <c r="AS2327" s="213"/>
      <c r="AT2327" s="213"/>
      <c r="AU2327" s="213"/>
      <c r="AV2327" s="213"/>
      <c r="AW2327" s="213"/>
      <c r="AX2327" s="213"/>
      <c r="AY2327" s="213"/>
      <c r="AZ2327" s="213"/>
      <c r="BA2327" s="213"/>
      <c r="BB2327" s="213"/>
      <c r="BC2327" s="213"/>
      <c r="BD2327" s="213"/>
    </row>
    <row r="2328">
      <c r="A2328" s="213">
        <f>IFERROR(__xludf.DUMMYFUNCTION("""COMPUTED_VALUE"""),2464.0)</f>
        <v>2464</v>
      </c>
      <c r="B2328" s="213" t="str">
        <f>IFERROR(__xludf.DUMMYFUNCTION("""COMPUTED_VALUE"""),"MANUEL ANTONIO MESONES MURO")</f>
        <v>MANUEL ANTONIO MESONES MURO</v>
      </c>
      <c r="C2328" s="213" t="str">
        <f>IFERROR(__xludf.DUMMYFUNCTION("""COMPUTED_VALUE"""),"TALLER SFT DE CONSTRUCCIONES METÁLICAS")</f>
        <v>TALLER SFT DE CONSTRUCCIONES METÁLICAS</v>
      </c>
      <c r="D2328" s="213" t="str">
        <f>IFERROR(__xludf.DUMMYFUNCTION("""COMPUTED_VALUE"""),"MOBILIARIO")</f>
        <v>MOBILIARIO</v>
      </c>
      <c r="E2328" s="213" t="str">
        <f>IFERROR(__xludf.DUMMYFUNCTION("""COMPUTED_VALUE"""),"MOB-170")</f>
        <v>MOB-170</v>
      </c>
      <c r="F2328" s="213" t="str">
        <f>IFERROR(__xludf.DUMMYFUNCTION("""COMPUTED_VALUE"""),"MOB-170")</f>
        <v>MOB-170</v>
      </c>
      <c r="G2328" s="213"/>
      <c r="H2328" s="213" t="str">
        <f>IFERROR(__xludf.DUMMYFUNCTION("""COMPUTED_VALUE"""),"SILLA RODABLE PARA EL DOCENTE")</f>
        <v>SILLA RODABLE PARA EL DOCENTE</v>
      </c>
      <c r="I2328" s="213" t="str">
        <f>IFERROR(__xludf.DUMMYFUNCTION("""COMPUTED_VALUE"""),"· Con respaldar, asiento giratorio y altura regulable.
· Asiento tapizado
· Soporte central de acero tubular redondo, mínimo de 2"" de diámetro, 1,2 mm espesor (mínimo).
· Con cinco patas fabricados en acero tubular de 1 1/2 ""(mínimo) x 1,2 mm de espesor"&amp;" (mínimo), con ruedas resistentes.
· Posee regulación de altura mediante un cilindro neumático, con un desplazamiento mínimo de 150 mm.
· Medidas A45 cm x L50 cm. (margen de +/-5cm)
· Altura con regulación entre: 40 - 55 cm.
· Ergonómica, con respaldar y "&amp;"altura regulable.")</f>
        <v>· Con respaldar, asiento giratorio y altura regulable.
· Asiento tapizado
· Soporte central de acero tubular redondo, mínimo de 2" de diámetro, 1,2 mm espesor (mínimo).
· Con cinco patas fabricados en acero tubular de 1 1/2 "(mínimo) x 1,2 mm de espesor (mínimo), con ruedas resistentes.
· Posee regulación de altura mediante un cilindro neumático, con un desplazamiento mínimo de 150 mm.
· Medidas A45 cm x L50 cm. (margen de +/-5cm)
· Altura con regulación entre: 40 - 55 cm.
· Ergonómica, con respaldar y altura regulable.</v>
      </c>
      <c r="J2328" s="213">
        <f>IFERROR(__xludf.DUMMYFUNCTION("""COMPUTED_VALUE"""),3.0)</f>
        <v>3</v>
      </c>
      <c r="K2328" s="213" t="str">
        <f>IFERROR(__xludf.DUMMYFUNCTION("""COMPUTED_VALUE"""),"90 DÍAS CALENDARIO")</f>
        <v>90 DÍAS CALENDARIO</v>
      </c>
      <c r="L2328" s="213" t="str">
        <f>IFERROR(__xludf.DUMMYFUNCTION("""COMPUTED_VALUE"""),"")</f>
        <v/>
      </c>
      <c r="M2328" s="213">
        <f>IFERROR(__xludf.DUMMYFUNCTION("""COMPUTED_VALUE"""),1.0)</f>
        <v>1</v>
      </c>
      <c r="N2328" s="213">
        <f>IFERROR(__xludf.DUMMYFUNCTION("""COMPUTED_VALUE"""),1.0)</f>
        <v>1</v>
      </c>
      <c r="O2328" s="213">
        <f>IFERROR(__xludf.DUMMYFUNCTION("""COMPUTED_VALUE"""),1.0)</f>
        <v>1</v>
      </c>
      <c r="P2328" s="213"/>
      <c r="Q2328" s="213"/>
      <c r="R2328" s="213"/>
      <c r="S2328" s="213"/>
      <c r="T2328" s="213"/>
      <c r="U2328" s="213"/>
      <c r="V2328" s="213"/>
      <c r="W2328" s="213"/>
      <c r="X2328" s="213"/>
      <c r="Y2328" s="213"/>
      <c r="Z2328" s="213"/>
      <c r="AA2328" s="213"/>
      <c r="AB2328" s="213"/>
      <c r="AC2328" s="213"/>
      <c r="AD2328" s="213"/>
      <c r="AE2328" s="213"/>
      <c r="AF2328" s="213"/>
      <c r="AG2328" s="213"/>
      <c r="AH2328" s="213"/>
      <c r="AI2328" s="213"/>
      <c r="AJ2328" s="213"/>
      <c r="AK2328" s="213"/>
      <c r="AL2328" s="213"/>
      <c r="AM2328" s="213"/>
      <c r="AN2328" s="213"/>
      <c r="AO2328" s="213"/>
      <c r="AP2328" s="213"/>
      <c r="AQ2328" s="213"/>
      <c r="AR2328" s="213"/>
      <c r="AS2328" s="213"/>
      <c r="AT2328" s="213"/>
      <c r="AU2328" s="213"/>
      <c r="AV2328" s="213"/>
      <c r="AW2328" s="213"/>
      <c r="AX2328" s="213"/>
      <c r="AY2328" s="213"/>
      <c r="AZ2328" s="213"/>
      <c r="BA2328" s="213"/>
      <c r="BB2328" s="213"/>
      <c r="BC2328" s="213"/>
      <c r="BD2328" s="213"/>
    </row>
    <row r="2329">
      <c r="A2329" s="213">
        <f>IFERROR(__xludf.DUMMYFUNCTION("""COMPUTED_VALUE"""),1403.0)</f>
        <v>1403</v>
      </c>
      <c r="B2329" s="213" t="str">
        <f>IFERROR(__xludf.DUMMYFUNCTION("""COMPUTED_VALUE"""),"GUILLERMO E. BILLINGHURST ")</f>
        <v>GUILLERMO E. BILLINGHURST </v>
      </c>
      <c r="C2329" s="213" t="str">
        <f>IFERROR(__xludf.DUMMYFUNCTION("""COMPUTED_VALUE"""),"TALLER SFT DE INDUSTRIA ALIMENTARIA")</f>
        <v>TALLER SFT DE INDUSTRIA ALIMENTARIA</v>
      </c>
      <c r="D2329" s="213" t="str">
        <f>IFERROR(__xludf.DUMMYFUNCTION("""COMPUTED_VALUE"""),"HERRAMIENTAS")</f>
        <v>HERRAMIENTAS</v>
      </c>
      <c r="E2329" s="213" t="str">
        <f>IFERROR(__xludf.DUMMYFUNCTION("""COMPUTED_VALUE"""),"MAT-392")</f>
        <v>MAT-392</v>
      </c>
      <c r="F2329" s="213" t="str">
        <f>IFERROR(__xludf.DUMMYFUNCTION("""COMPUTED_VALUE"""),"MAT-392")</f>
        <v>MAT-392</v>
      </c>
      <c r="G2329" s="213"/>
      <c r="H2329" s="213" t="str">
        <f>IFERROR(__xludf.DUMMYFUNCTION("""COMPUTED_VALUE"""),"OLLA 10 LITROS")</f>
        <v>OLLA 10 LITROS</v>
      </c>
      <c r="I2329" s="213" t="str">
        <f>IFERROR(__xludf.DUMMYFUNCTION("""COMPUTED_VALUE"""),"· Material: Acero inoxidable
· Fondo inducción con placa de aluminio en su interior, mejora la distribución del calor
· Capacidad 10 litros
· Espesor lados: 1mm mínimo.
· Espesor de la base: 3mm  mínimo.
· Alto: 19cm  mínimo.
· Diámetro 28cm  mínimo.")</f>
        <v>· Material: Acero inoxidable
· Fondo inducción con placa de aluminio en su interior, mejora la distribución del calor
· Capacidad 10 litros
· Espesor lados: 1mm mínimo.
· Espesor de la base: 3mm  mínimo.
· Alto: 19cm  mínimo.
· Diámetro 28cm  mínimo.</v>
      </c>
      <c r="J2329" s="213">
        <f>IFERROR(__xludf.DUMMYFUNCTION("""COMPUTED_VALUE"""),3.0)</f>
        <v>3</v>
      </c>
      <c r="K2329" s="213" t="str">
        <f>IFERROR(__xludf.DUMMYFUNCTION("""COMPUTED_VALUE"""),"90 DÍAS CALENDARIO")</f>
        <v>90 DÍAS CALENDARIO</v>
      </c>
      <c r="L2329" s="213" t="str">
        <f>IFERROR(__xludf.DUMMYFUNCTION("""COMPUTED_VALUE"""),"")</f>
        <v/>
      </c>
      <c r="M2329" s="213">
        <f>IFERROR(__xludf.DUMMYFUNCTION("""COMPUTED_VALUE"""),1.0)</f>
        <v>1</v>
      </c>
      <c r="N2329" s="213">
        <f>IFERROR(__xludf.DUMMYFUNCTION("""COMPUTED_VALUE"""),2.0)</f>
        <v>2</v>
      </c>
      <c r="O2329" s="213">
        <f>IFERROR(__xludf.DUMMYFUNCTION("""COMPUTED_VALUE"""),2.0)</f>
        <v>2</v>
      </c>
      <c r="P2329" s="213"/>
      <c r="Q2329" s="213"/>
      <c r="R2329" s="213" t="str">
        <f>IFERROR(__xludf.DUMMYFUNCTION("""COMPUTED_VALUE"""),"SI")</f>
        <v>SI</v>
      </c>
      <c r="S2329" s="213"/>
      <c r="T2329" s="213" t="str">
        <f>IFERROR(__xludf.DUMMYFUNCTION("""COMPUTED_VALUE"""),"CONSULTA FINAL")</f>
        <v>CONSULTA FINAL</v>
      </c>
      <c r="U2329" s="213" t="str">
        <f>IFERROR(__xludf.DUMMYFUNCTION("""COMPUTED_VALUE"""),"NO")</f>
        <v>NO</v>
      </c>
      <c r="V2329" s="213" t="str">
        <f>IFERROR(__xludf.DUMMYFUNCTION("""COMPUTED_VALUE"""),"SUSTENTO")</f>
        <v>SUSTENTO</v>
      </c>
      <c r="W2329" s="213" t="str">
        <f>IFERROR(__xludf.DUMMYFUNCTION("""COMPUTED_VALUE"""),"DIMENSIONAL")</f>
        <v>DIMENSIONAL</v>
      </c>
      <c r="X2329" s="213" t="str">
        <f>IFERROR(__xludf.DUMMYFUNCTION("""COMPUTED_VALUE"""),"TEAMFAR")</f>
        <v>TEAMFAR</v>
      </c>
      <c r="Y2329" s="213" t="str">
        <f>IFERROR(__xludf.DUMMYFUNCTION("""COMPUTED_VALUE"""),"TEAMFAR")</f>
        <v>TEAMFAR</v>
      </c>
      <c r="Z2329" s="215" t="str">
        <f>IFERROR(__xludf.DUMMYFUNCTION("""COMPUTED_VALUE"""),"https://www.amazon.com/-/es/inoxidable-inferior-inducci%C3%B3n-saludable-resistente/dp/B0D22MDF9Y/ref=sr_1_14?crid=17Y0BY3Y5LBF2&amp;dib=eyJ2IjoiMSJ9.NPjiVxPGx1MtggfVC_gJRD370f2ciqQLAQGMdtxDIwWJf_Ei08skr3DcciU1VOA2SUcvWj7cNv7jSND0LgSPbueeJHPP8kRw80bKnMKEi56jc"&amp;"s-avDcqWGlB3fkct5s_K2iYRMZfpRQ7AZQtByaff27jh1QhU3PSnuL85Re2HBUNHrgPpzj2rcFBrKPUseDgxsvkJYTY33WNVyf1B3o_HVNhhcKbpcfF_sn0lwPi9-k.6Q61sDR7t_F5AEoQUrVi8uBXoqR_nVdsNjmdMuqkF7g&amp;dib_tag=se&amp;keywords=olla%2B10%2Blitros%2Bacero%2Binoxidable&amp;qid=1759155238&amp;sprefix=o"&amp;"lla%2B10%2Blitros%2Bacero%2Binoxidable%2Caps%2C243&amp;sr=8-14&amp;th=1")</f>
        <v>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v>
      </c>
      <c r="AA2329" s="213" t="str">
        <f>IFERROR(__xludf.DUMMYFUNCTION("""COMPUTED_VALUE"""),"MAT-392 OLLA 10 LITROS - CET")</f>
        <v>MAT-392 OLLA 10 LITROS - CET</v>
      </c>
      <c r="AB2329" s="213"/>
      <c r="AC2329" s="213"/>
      <c r="AD2329" s="213"/>
      <c r="AE2329" s="213"/>
      <c r="AF2329" s="213"/>
      <c r="AG2329" s="213"/>
      <c r="AH2329" s="213"/>
      <c r="AI2329" s="213"/>
      <c r="AJ2329" s="213"/>
      <c r="AK2329" s="213"/>
      <c r="AL2329" s="213"/>
      <c r="AM2329" s="213"/>
      <c r="AN2329" s="213"/>
      <c r="AO2329" s="213"/>
      <c r="AP2329" s="213" t="str">
        <f>IFERROR(__xludf.DUMMYFUNCTION("""COMPUTED_VALUE"""),"LUIS")</f>
        <v>LUIS</v>
      </c>
      <c r="AQ2329" s="213"/>
      <c r="AR2329" s="213"/>
      <c r="AS2329" s="213"/>
      <c r="AT2329" s="213"/>
      <c r="AU2329" s="213"/>
      <c r="AV2329" s="213"/>
      <c r="AW2329" s="213"/>
      <c r="AX2329" s="213"/>
      <c r="AY2329" s="213"/>
      <c r="AZ2329" s="213"/>
      <c r="BA2329" s="213"/>
      <c r="BB2329" s="213"/>
      <c r="BC2329" s="213"/>
      <c r="BD2329" s="213"/>
    </row>
    <row r="2330">
      <c r="A2330" s="213">
        <f>IFERROR(__xludf.DUMMYFUNCTION("""COMPUTED_VALUE"""),2064.0)</f>
        <v>2064</v>
      </c>
      <c r="B2330" s="213" t="str">
        <f>IFERROR(__xludf.DUMMYFUNCTION("""COMPUTED_VALUE"""),"JOSE GRANDA")</f>
        <v>JOSE GRANDA</v>
      </c>
      <c r="C2330" s="213" t="str">
        <f>IFERROR(__xludf.DUMMYFUNCTION("""COMPUTED_VALUE"""),"TALLER SFT DE INDUSTRIA ALIMENTARIA")</f>
        <v>TALLER SFT DE INDUSTRIA ALIMENTARIA</v>
      </c>
      <c r="D2330" s="213" t="str">
        <f>IFERROR(__xludf.DUMMYFUNCTION("""COMPUTED_VALUE"""),"HERRAMIENTAS")</f>
        <v>HERRAMIENTAS</v>
      </c>
      <c r="E2330" s="213" t="str">
        <f>IFERROR(__xludf.DUMMYFUNCTION("""COMPUTED_VALUE"""),"MAT-392")</f>
        <v>MAT-392</v>
      </c>
      <c r="F2330" s="213" t="str">
        <f>IFERROR(__xludf.DUMMYFUNCTION("""COMPUTED_VALUE"""),"MAT-392")</f>
        <v>MAT-392</v>
      </c>
      <c r="G2330" s="213"/>
      <c r="H2330" s="213" t="str">
        <f>IFERROR(__xludf.DUMMYFUNCTION("""COMPUTED_VALUE"""),"OLLA 10 LITROS")</f>
        <v>OLLA 10 LITROS</v>
      </c>
      <c r="I2330" s="213" t="str">
        <f>IFERROR(__xludf.DUMMYFUNCTION("""COMPUTED_VALUE"""),"· Material: Acero inoxidable
· Fondo inducción con placa de aluminio en su interior, mejora la distribución del calor
· Capacidad 10 litros
· Espesor lados: 1mm mínimo.
· Espesor de la base: 3mm  mínimo.
· Alto: 19cm  mínimo.
· Diámetro 28cm  mínimo.")</f>
        <v>· Material: Acero inoxidable
· Fondo inducción con placa de aluminio en su interior, mejora la distribución del calor
· Capacidad 10 litros
· Espesor lados: 1mm mínimo.
· Espesor de la base: 3mm  mínimo.
· Alto: 19cm  mínimo.
· Diámetro 28cm  mínimo.</v>
      </c>
      <c r="J2330" s="213">
        <f>IFERROR(__xludf.DUMMYFUNCTION("""COMPUTED_VALUE"""),3.0)</f>
        <v>3</v>
      </c>
      <c r="K2330" s="213" t="str">
        <f>IFERROR(__xludf.DUMMYFUNCTION("""COMPUTED_VALUE"""),"90 DÍAS CALENDARIO")</f>
        <v>90 DÍAS CALENDARIO</v>
      </c>
      <c r="L2330" s="213" t="str">
        <f>IFERROR(__xludf.DUMMYFUNCTION("""COMPUTED_VALUE"""),"")</f>
        <v/>
      </c>
      <c r="M2330" s="213">
        <f>IFERROR(__xludf.DUMMYFUNCTION("""COMPUTED_VALUE"""),1.0)</f>
        <v>1</v>
      </c>
      <c r="N2330" s="213">
        <f>IFERROR(__xludf.DUMMYFUNCTION("""COMPUTED_VALUE"""),2.0)</f>
        <v>2</v>
      </c>
      <c r="O2330" s="213">
        <f>IFERROR(__xludf.DUMMYFUNCTION("""COMPUTED_VALUE"""),2.0)</f>
        <v>2</v>
      </c>
      <c r="P2330" s="213"/>
      <c r="Q2330" s="213"/>
      <c r="R2330" s="213" t="str">
        <f>IFERROR(__xludf.DUMMYFUNCTION("""COMPUTED_VALUE"""),"SI")</f>
        <v>SI</v>
      </c>
      <c r="S2330" s="213"/>
      <c r="T2330" s="213" t="str">
        <f>IFERROR(__xludf.DUMMYFUNCTION("""COMPUTED_VALUE"""),"CONSULTA FINAL")</f>
        <v>CONSULTA FINAL</v>
      </c>
      <c r="U2330" s="213" t="str">
        <f>IFERROR(__xludf.DUMMYFUNCTION("""COMPUTED_VALUE"""),"NO")</f>
        <v>NO</v>
      </c>
      <c r="V2330" s="213" t="str">
        <f>IFERROR(__xludf.DUMMYFUNCTION("""COMPUTED_VALUE"""),"SUSTENTO")</f>
        <v>SUSTENTO</v>
      </c>
      <c r="W2330" s="213" t="str">
        <f>IFERROR(__xludf.DUMMYFUNCTION("""COMPUTED_VALUE"""),"DIMENSIONAL")</f>
        <v>DIMENSIONAL</v>
      </c>
      <c r="X2330" s="213" t="str">
        <f>IFERROR(__xludf.DUMMYFUNCTION("""COMPUTED_VALUE"""),"TEAMFAR")</f>
        <v>TEAMFAR</v>
      </c>
      <c r="Y2330" s="213" t="str">
        <f>IFERROR(__xludf.DUMMYFUNCTION("""COMPUTED_VALUE"""),"TEAMFAR")</f>
        <v>TEAMFAR</v>
      </c>
      <c r="Z2330" s="215" t="str">
        <f>IFERROR(__xludf.DUMMYFUNCTION("""COMPUTED_VALUE"""),"https://www.amazon.com/-/es/inoxidable-inferior-inducci%C3%B3n-saludable-resistente/dp/B0D22MDF9Y/ref=sr_1_14?crid=17Y0BY3Y5LBF2&amp;dib=eyJ2IjoiMSJ9.NPjiVxPGx1MtggfVC_gJRD370f2ciqQLAQGMdtxDIwWJf_Ei08skr3DcciU1VOA2SUcvWj7cNv7jSND0LgSPbueeJHPP8kRw80bKnMKEi56jc"&amp;"s-avDcqWGlB3fkct5s_K2iYRMZfpRQ7AZQtByaff27jh1QhU3PSnuL85Re2HBUNHrgPpzj2rcFBrKPUseDgxsvkJYTY33WNVyf1B3o_HVNhhcKbpcfF_sn0lwPi9-k.6Q61sDR7t_F5AEoQUrVi8uBXoqR_nVdsNjmdMuqkF7g&amp;dib_tag=se&amp;keywords=olla%2B10%2Blitros%2Bacero%2Binoxidable&amp;qid=1759155238&amp;sprefix=o"&amp;"lla%2B10%2Blitros%2Bacero%2Binoxidable%2Caps%2C243&amp;sr=8-14&amp;th=1")</f>
        <v>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v>
      </c>
      <c r="AA2330" s="213" t="str">
        <f>IFERROR(__xludf.DUMMYFUNCTION("""COMPUTED_VALUE"""),"MAT-392 OLLA 10 LITROS - CET")</f>
        <v>MAT-392 OLLA 10 LITROS - CET</v>
      </c>
      <c r="AB2330" s="213"/>
      <c r="AC2330" s="213"/>
      <c r="AD2330" s="213"/>
      <c r="AE2330" s="213"/>
      <c r="AF2330" s="213"/>
      <c r="AG2330" s="213"/>
      <c r="AH2330" s="213"/>
      <c r="AI2330" s="213"/>
      <c r="AJ2330" s="213"/>
      <c r="AK2330" s="213"/>
      <c r="AL2330" s="213"/>
      <c r="AM2330" s="213"/>
      <c r="AN2330" s="213"/>
      <c r="AO2330" s="213"/>
      <c r="AP2330" s="213" t="str">
        <f>IFERROR(__xludf.DUMMYFUNCTION("""COMPUTED_VALUE"""),"LUIS")</f>
        <v>LUIS</v>
      </c>
      <c r="AQ2330" s="213"/>
      <c r="AR2330" s="213"/>
      <c r="AS2330" s="213"/>
      <c r="AT2330" s="213"/>
      <c r="AU2330" s="213"/>
      <c r="AV2330" s="213"/>
      <c r="AW2330" s="213"/>
      <c r="AX2330" s="213"/>
      <c r="AY2330" s="213"/>
      <c r="AZ2330" s="213"/>
      <c r="BA2330" s="213"/>
      <c r="BB2330" s="213"/>
      <c r="BC2330" s="213"/>
      <c r="BD2330" s="213"/>
    </row>
    <row r="2331">
      <c r="A2331" s="213">
        <f>IFERROR(__xludf.DUMMYFUNCTION("""COMPUTED_VALUE"""),2090.0)</f>
        <v>2090</v>
      </c>
      <c r="B2331" s="213" t="str">
        <f>IFERROR(__xludf.DUMMYFUNCTION("""COMPUTED_VALUE"""),"JOSE GRANDA")</f>
        <v>JOSE GRANDA</v>
      </c>
      <c r="C2331" s="213" t="str">
        <f>IFERROR(__xludf.DUMMYFUNCTION("""COMPUTED_VALUE"""),"TALLER SFT DE INDUSTRIA ALIMENTARIA")</f>
        <v>TALLER SFT DE INDUSTRIA ALIMENTARIA</v>
      </c>
      <c r="D2331" s="213" t="str">
        <f>IFERROR(__xludf.DUMMYFUNCTION("""COMPUTED_VALUE"""),"HERRAMIENTAS")</f>
        <v>HERRAMIENTAS</v>
      </c>
      <c r="E2331" s="213" t="str">
        <f>IFERROR(__xludf.DUMMYFUNCTION("""COMPUTED_VALUE"""),"MAT-392")</f>
        <v>MAT-392</v>
      </c>
      <c r="F2331" s="213" t="str">
        <f>IFERROR(__xludf.DUMMYFUNCTION("""COMPUTED_VALUE"""),"MAT-392")</f>
        <v>MAT-392</v>
      </c>
      <c r="G2331" s="213"/>
      <c r="H2331" s="213" t="str">
        <f>IFERROR(__xludf.DUMMYFUNCTION("""COMPUTED_VALUE"""),"OLLA 10 LITROS")</f>
        <v>OLLA 10 LITROS</v>
      </c>
      <c r="I2331" s="213" t="str">
        <f>IFERROR(__xludf.DUMMYFUNCTION("""COMPUTED_VALUE"""),"· Material: Acero inoxidable
· Fondo inducción con placa de aluminio en su interior, mejora la distribución del calor
· Capacidad 10 litros
· Espesor lados: 1mm mínimo.
· Espesor de la base: 3mm  mínimo.
· Alto: 19cm  mínimo.
· Diámetro 28cm  mínimo.")</f>
        <v>· Material: Acero inoxidable
· Fondo inducción con placa de aluminio en su interior, mejora la distribución del calor
· Capacidad 10 litros
· Espesor lados: 1mm mínimo.
· Espesor de la base: 3mm  mínimo.
· Alto: 19cm  mínimo.
· Diámetro 28cm  mínimo.</v>
      </c>
      <c r="J2331" s="213">
        <f>IFERROR(__xludf.DUMMYFUNCTION("""COMPUTED_VALUE"""),3.0)</f>
        <v>3</v>
      </c>
      <c r="K2331" s="213" t="str">
        <f>IFERROR(__xludf.DUMMYFUNCTION("""COMPUTED_VALUE"""),"90 DÍAS CALENDARIO")</f>
        <v>90 DÍAS CALENDARIO</v>
      </c>
      <c r="L2331" s="213" t="str">
        <f>IFERROR(__xludf.DUMMYFUNCTION("""COMPUTED_VALUE"""),"")</f>
        <v/>
      </c>
      <c r="M2331" s="213">
        <f>IFERROR(__xludf.DUMMYFUNCTION("""COMPUTED_VALUE"""),1.0)</f>
        <v>1</v>
      </c>
      <c r="N2331" s="213">
        <f>IFERROR(__xludf.DUMMYFUNCTION("""COMPUTED_VALUE"""),2.0)</f>
        <v>2</v>
      </c>
      <c r="O2331" s="213">
        <f>IFERROR(__xludf.DUMMYFUNCTION("""COMPUTED_VALUE"""),2.0)</f>
        <v>2</v>
      </c>
      <c r="P2331" s="213"/>
      <c r="Q2331" s="213"/>
      <c r="R2331" s="213" t="str">
        <f>IFERROR(__xludf.DUMMYFUNCTION("""COMPUTED_VALUE"""),"SI")</f>
        <v>SI</v>
      </c>
      <c r="S2331" s="213"/>
      <c r="T2331" s="213" t="str">
        <f>IFERROR(__xludf.DUMMYFUNCTION("""COMPUTED_VALUE"""),"CONSULTA FINAL")</f>
        <v>CONSULTA FINAL</v>
      </c>
      <c r="U2331" s="213" t="str">
        <f>IFERROR(__xludf.DUMMYFUNCTION("""COMPUTED_VALUE"""),"NO")</f>
        <v>NO</v>
      </c>
      <c r="V2331" s="213" t="str">
        <f>IFERROR(__xludf.DUMMYFUNCTION("""COMPUTED_VALUE"""),"SUSTENTO")</f>
        <v>SUSTENTO</v>
      </c>
      <c r="W2331" s="213" t="str">
        <f>IFERROR(__xludf.DUMMYFUNCTION("""COMPUTED_VALUE"""),"DIMENSIONAL")</f>
        <v>DIMENSIONAL</v>
      </c>
      <c r="X2331" s="213" t="str">
        <f>IFERROR(__xludf.DUMMYFUNCTION("""COMPUTED_VALUE"""),"TEAMFAR")</f>
        <v>TEAMFAR</v>
      </c>
      <c r="Y2331" s="213" t="str">
        <f>IFERROR(__xludf.DUMMYFUNCTION("""COMPUTED_VALUE"""),"TEAMFAR")</f>
        <v>TEAMFAR</v>
      </c>
      <c r="Z2331" s="215" t="str">
        <f>IFERROR(__xludf.DUMMYFUNCTION("""COMPUTED_VALUE"""),"https://www.amazon.com/-/es/inoxidable-inferior-inducci%C3%B3n-saludable-resistente/dp/B0D22MDF9Y/ref=sr_1_14?crid=17Y0BY3Y5LBF2&amp;dib=eyJ2IjoiMSJ9.NPjiVxPGx1MtggfVC_gJRD370f2ciqQLAQGMdtxDIwWJf_Ei08skr3DcciU1VOA2SUcvWj7cNv7jSND0LgSPbueeJHPP8kRw80bKnMKEi56jc"&amp;"s-avDcqWGlB3fkct5s_K2iYRMZfpRQ7AZQtByaff27jh1QhU3PSnuL85Re2HBUNHrgPpzj2rcFBrKPUseDgxsvkJYTY33WNVyf1B3o_HVNhhcKbpcfF_sn0lwPi9-k.6Q61sDR7t_F5AEoQUrVi8uBXoqR_nVdsNjmdMuqkF7g&amp;dib_tag=se&amp;keywords=olla%2B10%2Blitros%2Bacero%2Binoxidable&amp;qid=1759155238&amp;sprefix=o"&amp;"lla%2B10%2Blitros%2Bacero%2Binoxidable%2Caps%2C243&amp;sr=8-14&amp;th=1")</f>
        <v>https://www.amazon.com/-/es/inoxidable-inferior-inducci%C3%B3n-saludable-resistente/dp/B0D22MDF9Y/ref=sr_1_14?crid=17Y0BY3Y5LBF2&amp;dib=eyJ2IjoiMSJ9.NPjiVxPGx1MtggfVC_gJRD370f2ciqQLAQGMdtxDIwWJf_Ei08skr3DcciU1VOA2SUcvWj7cNv7jSND0LgSPbueeJHPP8kRw80bKnMKEi56jcs-avDcqWGlB3fkct5s_K2iYRMZfpRQ7AZQtByaff27jh1QhU3PSnuL85Re2HBUNHrgPpzj2rcFBrKPUseDgxsvkJYTY33WNVyf1B3o_HVNhhcKbpcfF_sn0lwPi9-k.6Q61sDR7t_F5AEoQUrVi8uBXoqR_nVdsNjmdMuqkF7g&amp;dib_tag=se&amp;keywords=olla%2B10%2Blitros%2Bacero%2Binoxidable&amp;qid=1759155238&amp;sprefix=olla%2B10%2Blitros%2Bacero%2Binoxidable%2Caps%2C243&amp;sr=8-14&amp;th=1</v>
      </c>
      <c r="AA2331" s="213" t="str">
        <f>IFERROR(__xludf.DUMMYFUNCTION("""COMPUTED_VALUE"""),"MAT-392 OLLA 10 LITROS - CET")</f>
        <v>MAT-392 OLLA 10 LITROS - CET</v>
      </c>
      <c r="AB2331" s="213"/>
      <c r="AC2331" s="213"/>
      <c r="AD2331" s="213"/>
      <c r="AE2331" s="213"/>
      <c r="AF2331" s="213"/>
      <c r="AG2331" s="213"/>
      <c r="AH2331" s="213"/>
      <c r="AI2331" s="213"/>
      <c r="AJ2331" s="213"/>
      <c r="AK2331" s="213"/>
      <c r="AL2331" s="213"/>
      <c r="AM2331" s="213"/>
      <c r="AN2331" s="213"/>
      <c r="AO2331" s="213"/>
      <c r="AP2331" s="213" t="str">
        <f>IFERROR(__xludf.DUMMYFUNCTION("""COMPUTED_VALUE"""),"LUIS")</f>
        <v>LUIS</v>
      </c>
      <c r="AQ2331" s="213"/>
      <c r="AR2331" s="213"/>
      <c r="AS2331" s="213"/>
      <c r="AT2331" s="213"/>
      <c r="AU2331" s="213"/>
      <c r="AV2331" s="213"/>
      <c r="AW2331" s="213"/>
      <c r="AX2331" s="213"/>
      <c r="AY2331" s="213"/>
      <c r="AZ2331" s="213"/>
      <c r="BA2331" s="213"/>
      <c r="BB2331" s="213"/>
      <c r="BC2331" s="213"/>
      <c r="BD2331" s="213"/>
    </row>
    <row r="2332">
      <c r="A2332" s="213">
        <f>IFERROR(__xludf.DUMMYFUNCTION("""COMPUTED_VALUE"""),476.0)</f>
        <v>476</v>
      </c>
      <c r="B2332" s="213" t="str">
        <f>IFERROR(__xludf.DUMMYFUNCTION("""COMPUTED_VALUE"""),"2026 SIMON BOLIVAR")</f>
        <v>2026 SIMON BOLIVAR</v>
      </c>
      <c r="C2332" s="213" t="str">
        <f>IFERROR(__xludf.DUMMYFUNCTION("""COMPUTED_VALUE"""),"TALLER SFT DE INDUSTRIA ALIMENTARIA")</f>
        <v>TALLER SFT DE INDUSTRIA ALIMENTARIA</v>
      </c>
      <c r="D2332" s="213" t="str">
        <f>IFERROR(__xludf.DUMMYFUNCTION("""COMPUTED_VALUE"""),"HERRAMIENTAS")</f>
        <v>HERRAMIENTAS</v>
      </c>
      <c r="E2332" s="213" t="str">
        <f>IFERROR(__xludf.DUMMYFUNCTION("""COMPUTED_VALUE"""),"MAT-393")</f>
        <v>MAT-393</v>
      </c>
      <c r="F2332" s="213" t="str">
        <f>IFERROR(__xludf.DUMMYFUNCTION("""COMPUTED_VALUE"""),"MAT-393")</f>
        <v>MAT-393</v>
      </c>
      <c r="G2332" s="213"/>
      <c r="H2332" s="213" t="str">
        <f>IFERROR(__xludf.DUMMYFUNCTION("""COMPUTED_VALUE"""),"OLLA 5 LITROS")</f>
        <v>OLLA 5 LITROS</v>
      </c>
      <c r="I2332"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32" s="213">
        <f>IFERROR(__xludf.DUMMYFUNCTION("""COMPUTED_VALUE"""),3.0)</f>
        <v>3</v>
      </c>
      <c r="K2332" s="213" t="str">
        <f>IFERROR(__xludf.DUMMYFUNCTION("""COMPUTED_VALUE"""),"90 DÍAS CALENDARIO")</f>
        <v>90 DÍAS CALENDARIO</v>
      </c>
      <c r="L2332" s="213" t="str">
        <f>IFERROR(__xludf.DUMMYFUNCTION("""COMPUTED_VALUE"""),"")</f>
        <v/>
      </c>
      <c r="M2332" s="213">
        <f>IFERROR(__xludf.DUMMYFUNCTION("""COMPUTED_VALUE"""),1.0)</f>
        <v>1</v>
      </c>
      <c r="N2332" s="213">
        <f>IFERROR(__xludf.DUMMYFUNCTION("""COMPUTED_VALUE"""),3.0)</f>
        <v>3</v>
      </c>
      <c r="O2332" s="213">
        <f>IFERROR(__xludf.DUMMYFUNCTION("""COMPUTED_VALUE"""),3.0)</f>
        <v>3</v>
      </c>
      <c r="P2332" s="213"/>
      <c r="Q2332" s="213"/>
      <c r="R2332" s="213" t="str">
        <f>IFERROR(__xludf.DUMMYFUNCTION("""COMPUTED_VALUE"""),"SI")</f>
        <v>SI</v>
      </c>
      <c r="S2332" s="213"/>
      <c r="T2332" s="213" t="str">
        <f>IFERROR(__xludf.DUMMYFUNCTION("""COMPUTED_VALUE"""),"CONSULTA FINAL")</f>
        <v>CONSULTA FINAL</v>
      </c>
      <c r="U2332" s="213" t="str">
        <f>IFERROR(__xludf.DUMMYFUNCTION("""COMPUTED_VALUE"""),"NO")</f>
        <v>NO</v>
      </c>
      <c r="V2332" s="213" t="str">
        <f>IFERROR(__xludf.DUMMYFUNCTION("""COMPUTED_VALUE"""),"SUSTENTO")</f>
        <v>SUSTENTO</v>
      </c>
      <c r="W2332" s="213" t="str">
        <f>IFERROR(__xludf.DUMMYFUNCTION("""COMPUTED_VALUE"""),"DIMENSIONAL")</f>
        <v>DIMENSIONAL</v>
      </c>
      <c r="X2332" s="213" t="str">
        <f>IFERROR(__xludf.DUMMYFUNCTION("""COMPUTED_VALUE"""),"GENERICO")</f>
        <v>GENERICO</v>
      </c>
      <c r="Y2332" s="213" t="str">
        <f>IFERROR(__xludf.DUMMYFUNCTION("""COMPUTED_VALUE"""),"GENERICO")</f>
        <v>GENERICO</v>
      </c>
      <c r="Z2332" s="215" t="str">
        <f>IFERROR(__xludf.DUMMYFUNCTION("""COMPUTED_VALUE"""),"https://www.amazon.com.mx/Inoxidable-Cocinar-Calentar-Preparar-Alimentos/dp/B0BX2FP81N")</f>
        <v>https://www.amazon.com.mx/Inoxidable-Cocinar-Calentar-Preparar-Alimentos/dp/B0BX2FP81N</v>
      </c>
      <c r="AA2332" s="213" t="str">
        <f>IFERROR(__xludf.DUMMYFUNCTION("""COMPUTED_VALUE"""),"MAT-393 OLLA 5 LITROS - CET")</f>
        <v>MAT-393 OLLA 5 LITROS - CET</v>
      </c>
      <c r="AB2332" s="213"/>
      <c r="AC2332" s="213"/>
      <c r="AD2332" s="213"/>
      <c r="AE2332" s="213"/>
      <c r="AF2332" s="213"/>
      <c r="AG2332" s="213"/>
      <c r="AH2332" s="213"/>
      <c r="AI2332" s="213"/>
      <c r="AJ2332" s="213"/>
      <c r="AK2332" s="213"/>
      <c r="AL2332" s="213"/>
      <c r="AM2332" s="213"/>
      <c r="AN2332" s="213"/>
      <c r="AO2332" s="213"/>
      <c r="AP2332" s="213" t="str">
        <f>IFERROR(__xludf.DUMMYFUNCTION("""COMPUTED_VALUE"""),"LUIS")</f>
        <v>LUIS</v>
      </c>
      <c r="AQ2332" s="213"/>
      <c r="AR2332" s="213"/>
      <c r="AS2332" s="213"/>
      <c r="AT2332" s="213"/>
      <c r="AU2332" s="213"/>
      <c r="AV2332" s="213"/>
      <c r="AW2332" s="213"/>
      <c r="AX2332" s="213"/>
      <c r="AY2332" s="213"/>
      <c r="AZ2332" s="213"/>
      <c r="BA2332" s="213"/>
      <c r="BB2332" s="213"/>
      <c r="BC2332" s="213"/>
      <c r="BD2332" s="213"/>
    </row>
    <row r="2333">
      <c r="A2333" s="213">
        <f>IFERROR(__xludf.DUMMYFUNCTION("""COMPUTED_VALUE"""),500.0)</f>
        <v>500</v>
      </c>
      <c r="B2333" s="213" t="str">
        <f>IFERROR(__xludf.DUMMYFUNCTION("""COMPUTED_VALUE"""),"2026 SIMON BOLIVAR")</f>
        <v>2026 SIMON BOLIVAR</v>
      </c>
      <c r="C2333" s="213" t="str">
        <f>IFERROR(__xludf.DUMMYFUNCTION("""COMPUTED_VALUE"""),"TALLER SFT DE INDUSTRIA ALIMENTARIA")</f>
        <v>TALLER SFT DE INDUSTRIA ALIMENTARIA</v>
      </c>
      <c r="D2333" s="213" t="str">
        <f>IFERROR(__xludf.DUMMYFUNCTION("""COMPUTED_VALUE"""),"HERRAMIENTAS")</f>
        <v>HERRAMIENTAS</v>
      </c>
      <c r="E2333" s="213" t="str">
        <f>IFERROR(__xludf.DUMMYFUNCTION("""COMPUTED_VALUE"""),"MAT-393")</f>
        <v>MAT-393</v>
      </c>
      <c r="F2333" s="213" t="str">
        <f>IFERROR(__xludf.DUMMYFUNCTION("""COMPUTED_VALUE"""),"MAT-393")</f>
        <v>MAT-393</v>
      </c>
      <c r="G2333" s="213"/>
      <c r="H2333" s="213" t="str">
        <f>IFERROR(__xludf.DUMMYFUNCTION("""COMPUTED_VALUE"""),"OLLA 5 LITROS")</f>
        <v>OLLA 5 LITROS</v>
      </c>
      <c r="I2333"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33" s="213">
        <f>IFERROR(__xludf.DUMMYFUNCTION("""COMPUTED_VALUE"""),3.0)</f>
        <v>3</v>
      </c>
      <c r="K2333" s="213" t="str">
        <f>IFERROR(__xludf.DUMMYFUNCTION("""COMPUTED_VALUE"""),"90 DÍAS CALENDARIO")</f>
        <v>90 DÍAS CALENDARIO</v>
      </c>
      <c r="L2333" s="213" t="str">
        <f>IFERROR(__xludf.DUMMYFUNCTION("""COMPUTED_VALUE"""),"")</f>
        <v/>
      </c>
      <c r="M2333" s="213">
        <f>IFERROR(__xludf.DUMMYFUNCTION("""COMPUTED_VALUE"""),1.0)</f>
        <v>1</v>
      </c>
      <c r="N2333" s="213">
        <f>IFERROR(__xludf.DUMMYFUNCTION("""COMPUTED_VALUE"""),3.0)</f>
        <v>3</v>
      </c>
      <c r="O2333" s="213">
        <f>IFERROR(__xludf.DUMMYFUNCTION("""COMPUTED_VALUE"""),3.0)</f>
        <v>3</v>
      </c>
      <c r="P2333" s="213"/>
      <c r="Q2333" s="213"/>
      <c r="R2333" s="213" t="str">
        <f>IFERROR(__xludf.DUMMYFUNCTION("""COMPUTED_VALUE"""),"SI")</f>
        <v>SI</v>
      </c>
      <c r="S2333" s="213"/>
      <c r="T2333" s="213" t="str">
        <f>IFERROR(__xludf.DUMMYFUNCTION("""COMPUTED_VALUE"""),"CONSULTA FINAL")</f>
        <v>CONSULTA FINAL</v>
      </c>
      <c r="U2333" s="213" t="str">
        <f>IFERROR(__xludf.DUMMYFUNCTION("""COMPUTED_VALUE"""),"NO")</f>
        <v>NO</v>
      </c>
      <c r="V2333" s="213" t="str">
        <f>IFERROR(__xludf.DUMMYFUNCTION("""COMPUTED_VALUE"""),"SUSTENTO")</f>
        <v>SUSTENTO</v>
      </c>
      <c r="W2333" s="213" t="str">
        <f>IFERROR(__xludf.DUMMYFUNCTION("""COMPUTED_VALUE"""),"DIMENSIONAL")</f>
        <v>DIMENSIONAL</v>
      </c>
      <c r="X2333" s="213" t="str">
        <f>IFERROR(__xludf.DUMMYFUNCTION("""COMPUTED_VALUE"""),"GENERICO")</f>
        <v>GENERICO</v>
      </c>
      <c r="Y2333" s="213" t="str">
        <f>IFERROR(__xludf.DUMMYFUNCTION("""COMPUTED_VALUE"""),"GENERICO")</f>
        <v>GENERICO</v>
      </c>
      <c r="Z2333" s="215" t="str">
        <f>IFERROR(__xludf.DUMMYFUNCTION("""COMPUTED_VALUE"""),"https://www.amazon.com.mx/Inoxidable-Cocinar-Calentar-Preparar-Alimentos/dp/B0BX2FP81N")</f>
        <v>https://www.amazon.com.mx/Inoxidable-Cocinar-Calentar-Preparar-Alimentos/dp/B0BX2FP81N</v>
      </c>
      <c r="AA2333" s="213" t="str">
        <f>IFERROR(__xludf.DUMMYFUNCTION("""COMPUTED_VALUE"""),"MAT-393 OLLA 5 LITROS - CET")</f>
        <v>MAT-393 OLLA 5 LITROS - CET</v>
      </c>
      <c r="AB2333" s="213"/>
      <c r="AC2333" s="213"/>
      <c r="AD2333" s="213"/>
      <c r="AE2333" s="213"/>
      <c r="AF2333" s="213"/>
      <c r="AG2333" s="213"/>
      <c r="AH2333" s="213"/>
      <c r="AI2333" s="213"/>
      <c r="AJ2333" s="213"/>
      <c r="AK2333" s="213"/>
      <c r="AL2333" s="213"/>
      <c r="AM2333" s="213"/>
      <c r="AN2333" s="213"/>
      <c r="AO2333" s="213"/>
      <c r="AP2333" s="213" t="str">
        <f>IFERROR(__xludf.DUMMYFUNCTION("""COMPUTED_VALUE"""),"LUIS")</f>
        <v>LUIS</v>
      </c>
      <c r="AQ2333" s="213"/>
      <c r="AR2333" s="213"/>
      <c r="AS2333" s="213"/>
      <c r="AT2333" s="213"/>
      <c r="AU2333" s="213"/>
      <c r="AV2333" s="213"/>
      <c r="AW2333" s="213"/>
      <c r="AX2333" s="213"/>
      <c r="AY2333" s="213"/>
      <c r="AZ2333" s="213"/>
      <c r="BA2333" s="213"/>
      <c r="BB2333" s="213"/>
      <c r="BC2333" s="213"/>
      <c r="BD2333" s="213"/>
    </row>
    <row r="2334">
      <c r="A2334" s="213">
        <f>IFERROR(__xludf.DUMMYFUNCTION("""COMPUTED_VALUE"""),523.0)</f>
        <v>523</v>
      </c>
      <c r="B2334" s="213" t="str">
        <f>IFERROR(__xludf.DUMMYFUNCTION("""COMPUTED_VALUE"""),"2026 SIMON BOLIVAR")</f>
        <v>2026 SIMON BOLIVAR</v>
      </c>
      <c r="C2334" s="213" t="str">
        <f>IFERROR(__xludf.DUMMYFUNCTION("""COMPUTED_VALUE"""),"TALLER SFT DE INDUSTRIA ALIMENTARIA")</f>
        <v>TALLER SFT DE INDUSTRIA ALIMENTARIA</v>
      </c>
      <c r="D2334" s="213" t="str">
        <f>IFERROR(__xludf.DUMMYFUNCTION("""COMPUTED_VALUE"""),"HERRAMIENTAS")</f>
        <v>HERRAMIENTAS</v>
      </c>
      <c r="E2334" s="213" t="str">
        <f>IFERROR(__xludf.DUMMYFUNCTION("""COMPUTED_VALUE"""),"MAT-393")</f>
        <v>MAT-393</v>
      </c>
      <c r="F2334" s="213" t="str">
        <f>IFERROR(__xludf.DUMMYFUNCTION("""COMPUTED_VALUE"""),"MAT-393")</f>
        <v>MAT-393</v>
      </c>
      <c r="G2334" s="213"/>
      <c r="H2334" s="213" t="str">
        <f>IFERROR(__xludf.DUMMYFUNCTION("""COMPUTED_VALUE"""),"OLLA 5 LITROS")</f>
        <v>OLLA 5 LITROS</v>
      </c>
      <c r="I2334"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34" s="213">
        <f>IFERROR(__xludf.DUMMYFUNCTION("""COMPUTED_VALUE"""),3.0)</f>
        <v>3</v>
      </c>
      <c r="K2334" s="213" t="str">
        <f>IFERROR(__xludf.DUMMYFUNCTION("""COMPUTED_VALUE"""),"90 DÍAS CALENDARIO")</f>
        <v>90 DÍAS CALENDARIO</v>
      </c>
      <c r="L2334" s="213" t="str">
        <f>IFERROR(__xludf.DUMMYFUNCTION("""COMPUTED_VALUE"""),"")</f>
        <v/>
      </c>
      <c r="M2334" s="213">
        <f>IFERROR(__xludf.DUMMYFUNCTION("""COMPUTED_VALUE"""),1.0)</f>
        <v>1</v>
      </c>
      <c r="N2334" s="213">
        <f>IFERROR(__xludf.DUMMYFUNCTION("""COMPUTED_VALUE"""),3.0)</f>
        <v>3</v>
      </c>
      <c r="O2334" s="213">
        <f>IFERROR(__xludf.DUMMYFUNCTION("""COMPUTED_VALUE"""),3.0)</f>
        <v>3</v>
      </c>
      <c r="P2334" s="213"/>
      <c r="Q2334" s="213"/>
      <c r="R2334" s="213" t="str">
        <f>IFERROR(__xludf.DUMMYFUNCTION("""COMPUTED_VALUE"""),"SI")</f>
        <v>SI</v>
      </c>
      <c r="S2334" s="213"/>
      <c r="T2334" s="213" t="str">
        <f>IFERROR(__xludf.DUMMYFUNCTION("""COMPUTED_VALUE"""),"CONSULTA FINAL")</f>
        <v>CONSULTA FINAL</v>
      </c>
      <c r="U2334" s="213" t="str">
        <f>IFERROR(__xludf.DUMMYFUNCTION("""COMPUTED_VALUE"""),"NO")</f>
        <v>NO</v>
      </c>
      <c r="V2334" s="213" t="str">
        <f>IFERROR(__xludf.DUMMYFUNCTION("""COMPUTED_VALUE"""),"SUSTENTO")</f>
        <v>SUSTENTO</v>
      </c>
      <c r="W2334" s="213" t="str">
        <f>IFERROR(__xludf.DUMMYFUNCTION("""COMPUTED_VALUE"""),"DIMENSIONAL")</f>
        <v>DIMENSIONAL</v>
      </c>
      <c r="X2334" s="213" t="str">
        <f>IFERROR(__xludf.DUMMYFUNCTION("""COMPUTED_VALUE"""),"GENERICO")</f>
        <v>GENERICO</v>
      </c>
      <c r="Y2334" s="213" t="str">
        <f>IFERROR(__xludf.DUMMYFUNCTION("""COMPUTED_VALUE"""),"GENERICO")</f>
        <v>GENERICO</v>
      </c>
      <c r="Z2334" s="215" t="str">
        <f>IFERROR(__xludf.DUMMYFUNCTION("""COMPUTED_VALUE"""),"https://www.amazon.com.mx/Inoxidable-Cocinar-Calentar-Preparar-Alimentos/dp/B0BX2FP81N")</f>
        <v>https://www.amazon.com.mx/Inoxidable-Cocinar-Calentar-Preparar-Alimentos/dp/B0BX2FP81N</v>
      </c>
      <c r="AA2334" s="213" t="str">
        <f>IFERROR(__xludf.DUMMYFUNCTION("""COMPUTED_VALUE"""),"MAT-393 OLLA 5 LITROS - CET")</f>
        <v>MAT-393 OLLA 5 LITROS - CET</v>
      </c>
      <c r="AB2334" s="213"/>
      <c r="AC2334" s="213"/>
      <c r="AD2334" s="213"/>
      <c r="AE2334" s="213"/>
      <c r="AF2334" s="213"/>
      <c r="AG2334" s="213"/>
      <c r="AH2334" s="213"/>
      <c r="AI2334" s="213"/>
      <c r="AJ2334" s="213"/>
      <c r="AK2334" s="213"/>
      <c r="AL2334" s="213"/>
      <c r="AM2334" s="213"/>
      <c r="AN2334" s="213"/>
      <c r="AO2334" s="213"/>
      <c r="AP2334" s="213" t="str">
        <f>IFERROR(__xludf.DUMMYFUNCTION("""COMPUTED_VALUE"""),"LUIS")</f>
        <v>LUIS</v>
      </c>
      <c r="AQ2334" s="213"/>
      <c r="AR2334" s="213"/>
      <c r="AS2334" s="213"/>
      <c r="AT2334" s="213"/>
      <c r="AU2334" s="213"/>
      <c r="AV2334" s="213"/>
      <c r="AW2334" s="213"/>
      <c r="AX2334" s="213"/>
      <c r="AY2334" s="213"/>
      <c r="AZ2334" s="213"/>
      <c r="BA2334" s="213"/>
      <c r="BB2334" s="213"/>
      <c r="BC2334" s="213"/>
      <c r="BD2334" s="213"/>
    </row>
    <row r="2335">
      <c r="A2335" s="213">
        <f>IFERROR(__xludf.DUMMYFUNCTION("""COMPUTED_VALUE"""),1106.0)</f>
        <v>1106</v>
      </c>
      <c r="B2335" s="213" t="str">
        <f>IFERROR(__xludf.DUMMYFUNCTION("""COMPUTED_VALUE"""),"FRANCISCO IRAZOLA")</f>
        <v>FRANCISCO IRAZOLA</v>
      </c>
      <c r="C2335" s="213" t="str">
        <f>IFERROR(__xludf.DUMMYFUNCTION("""COMPUTED_VALUE"""),"TALLER SFT DE INDUSTRIA ALIMENTARIA")</f>
        <v>TALLER SFT DE INDUSTRIA ALIMENTARIA</v>
      </c>
      <c r="D2335" s="213" t="str">
        <f>IFERROR(__xludf.DUMMYFUNCTION("""COMPUTED_VALUE"""),"HERRAMIENTAS")</f>
        <v>HERRAMIENTAS</v>
      </c>
      <c r="E2335" s="213" t="str">
        <f>IFERROR(__xludf.DUMMYFUNCTION("""COMPUTED_VALUE"""),"MAT-393")</f>
        <v>MAT-393</v>
      </c>
      <c r="F2335" s="213" t="str">
        <f>IFERROR(__xludf.DUMMYFUNCTION("""COMPUTED_VALUE"""),"MAT-393")</f>
        <v>MAT-393</v>
      </c>
      <c r="G2335" s="213"/>
      <c r="H2335" s="213" t="str">
        <f>IFERROR(__xludf.DUMMYFUNCTION("""COMPUTED_VALUE"""),"OLLA 5 LITROS")</f>
        <v>OLLA 5 LITROS</v>
      </c>
      <c r="I2335"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35" s="213">
        <f>IFERROR(__xludf.DUMMYFUNCTION("""COMPUTED_VALUE"""),3.0)</f>
        <v>3</v>
      </c>
      <c r="K2335" s="213" t="str">
        <f>IFERROR(__xludf.DUMMYFUNCTION("""COMPUTED_VALUE"""),"90 DÍAS CALENDARIO")</f>
        <v>90 DÍAS CALENDARIO</v>
      </c>
      <c r="L2335" s="213" t="str">
        <f>IFERROR(__xludf.DUMMYFUNCTION("""COMPUTED_VALUE"""),"")</f>
        <v/>
      </c>
      <c r="M2335" s="213">
        <f>IFERROR(__xludf.DUMMYFUNCTION("""COMPUTED_VALUE"""),1.0)</f>
        <v>1</v>
      </c>
      <c r="N2335" s="213">
        <f>IFERROR(__xludf.DUMMYFUNCTION("""COMPUTED_VALUE"""),3.0)</f>
        <v>3</v>
      </c>
      <c r="O2335" s="213">
        <f>IFERROR(__xludf.DUMMYFUNCTION("""COMPUTED_VALUE"""),3.0)</f>
        <v>3</v>
      </c>
      <c r="P2335" s="213"/>
      <c r="Q2335" s="213"/>
      <c r="R2335" s="213" t="str">
        <f>IFERROR(__xludf.DUMMYFUNCTION("""COMPUTED_VALUE"""),"SI")</f>
        <v>SI</v>
      </c>
      <c r="S2335" s="213"/>
      <c r="T2335" s="213" t="str">
        <f>IFERROR(__xludf.DUMMYFUNCTION("""COMPUTED_VALUE"""),"CONSULTA FINAL")</f>
        <v>CONSULTA FINAL</v>
      </c>
      <c r="U2335" s="213" t="str">
        <f>IFERROR(__xludf.DUMMYFUNCTION("""COMPUTED_VALUE"""),"NO")</f>
        <v>NO</v>
      </c>
      <c r="V2335" s="213" t="str">
        <f>IFERROR(__xludf.DUMMYFUNCTION("""COMPUTED_VALUE"""),"SUSTENTO")</f>
        <v>SUSTENTO</v>
      </c>
      <c r="W2335" s="213" t="str">
        <f>IFERROR(__xludf.DUMMYFUNCTION("""COMPUTED_VALUE"""),"DIMENSIONAL")</f>
        <v>DIMENSIONAL</v>
      </c>
      <c r="X2335" s="213" t="str">
        <f>IFERROR(__xludf.DUMMYFUNCTION("""COMPUTED_VALUE"""),"GENERICO")</f>
        <v>GENERICO</v>
      </c>
      <c r="Y2335" s="213" t="str">
        <f>IFERROR(__xludf.DUMMYFUNCTION("""COMPUTED_VALUE"""),"GENERICO")</f>
        <v>GENERICO</v>
      </c>
      <c r="Z2335" s="215" t="str">
        <f>IFERROR(__xludf.DUMMYFUNCTION("""COMPUTED_VALUE"""),"https://www.amazon.com.mx/Inoxidable-Cocinar-Calentar-Preparar-Alimentos/dp/B0BX2FP81N")</f>
        <v>https://www.amazon.com.mx/Inoxidable-Cocinar-Calentar-Preparar-Alimentos/dp/B0BX2FP81N</v>
      </c>
      <c r="AA2335" s="213" t="str">
        <f>IFERROR(__xludf.DUMMYFUNCTION("""COMPUTED_VALUE"""),"MAT-393 OLLA 5 LITROS - CET")</f>
        <v>MAT-393 OLLA 5 LITROS - CET</v>
      </c>
      <c r="AB2335" s="213"/>
      <c r="AC2335" s="213"/>
      <c r="AD2335" s="213"/>
      <c r="AE2335" s="213"/>
      <c r="AF2335" s="213"/>
      <c r="AG2335" s="213"/>
      <c r="AH2335" s="213"/>
      <c r="AI2335" s="213"/>
      <c r="AJ2335" s="213"/>
      <c r="AK2335" s="213"/>
      <c r="AL2335" s="213"/>
      <c r="AM2335" s="213"/>
      <c r="AN2335" s="213"/>
      <c r="AO2335" s="213"/>
      <c r="AP2335" s="213" t="str">
        <f>IFERROR(__xludf.DUMMYFUNCTION("""COMPUTED_VALUE"""),"LUIS")</f>
        <v>LUIS</v>
      </c>
      <c r="AQ2335" s="213"/>
      <c r="AR2335" s="213"/>
      <c r="AS2335" s="213"/>
      <c r="AT2335" s="213"/>
      <c r="AU2335" s="213"/>
      <c r="AV2335" s="213"/>
      <c r="AW2335" s="213"/>
      <c r="AX2335" s="213"/>
      <c r="AY2335" s="213"/>
      <c r="AZ2335" s="213"/>
      <c r="BA2335" s="213"/>
      <c r="BB2335" s="213"/>
      <c r="BC2335" s="213"/>
      <c r="BD2335" s="213"/>
    </row>
    <row r="2336">
      <c r="A2336" s="213">
        <f>IFERROR(__xludf.DUMMYFUNCTION("""COMPUTED_VALUE"""),1130.0)</f>
        <v>1130</v>
      </c>
      <c r="B2336" s="213" t="str">
        <f>IFERROR(__xludf.DUMMYFUNCTION("""COMPUTED_VALUE"""),"FRANCISCO IRAZOLA")</f>
        <v>FRANCISCO IRAZOLA</v>
      </c>
      <c r="C2336" s="213" t="str">
        <f>IFERROR(__xludf.DUMMYFUNCTION("""COMPUTED_VALUE"""),"TALLER SFT DE INDUSTRIA ALIMENTARIA")</f>
        <v>TALLER SFT DE INDUSTRIA ALIMENTARIA</v>
      </c>
      <c r="D2336" s="213" t="str">
        <f>IFERROR(__xludf.DUMMYFUNCTION("""COMPUTED_VALUE"""),"HERRAMIENTAS")</f>
        <v>HERRAMIENTAS</v>
      </c>
      <c r="E2336" s="213" t="str">
        <f>IFERROR(__xludf.DUMMYFUNCTION("""COMPUTED_VALUE"""),"MAT-393")</f>
        <v>MAT-393</v>
      </c>
      <c r="F2336" s="213" t="str">
        <f>IFERROR(__xludf.DUMMYFUNCTION("""COMPUTED_VALUE"""),"MAT-393")</f>
        <v>MAT-393</v>
      </c>
      <c r="G2336" s="213"/>
      <c r="H2336" s="213" t="str">
        <f>IFERROR(__xludf.DUMMYFUNCTION("""COMPUTED_VALUE"""),"OLLA 5 LITROS")</f>
        <v>OLLA 5 LITROS</v>
      </c>
      <c r="I2336"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36" s="213">
        <f>IFERROR(__xludf.DUMMYFUNCTION("""COMPUTED_VALUE"""),3.0)</f>
        <v>3</v>
      </c>
      <c r="K2336" s="213" t="str">
        <f>IFERROR(__xludf.DUMMYFUNCTION("""COMPUTED_VALUE"""),"90 DÍAS CALENDARIO")</f>
        <v>90 DÍAS CALENDARIO</v>
      </c>
      <c r="L2336" s="213" t="str">
        <f>IFERROR(__xludf.DUMMYFUNCTION("""COMPUTED_VALUE"""),"")</f>
        <v/>
      </c>
      <c r="M2336" s="213">
        <f>IFERROR(__xludf.DUMMYFUNCTION("""COMPUTED_VALUE"""),1.0)</f>
        <v>1</v>
      </c>
      <c r="N2336" s="213">
        <f>IFERROR(__xludf.DUMMYFUNCTION("""COMPUTED_VALUE"""),3.0)</f>
        <v>3</v>
      </c>
      <c r="O2336" s="213">
        <f>IFERROR(__xludf.DUMMYFUNCTION("""COMPUTED_VALUE"""),3.0)</f>
        <v>3</v>
      </c>
      <c r="P2336" s="213"/>
      <c r="Q2336" s="213"/>
      <c r="R2336" s="213" t="str">
        <f>IFERROR(__xludf.DUMMYFUNCTION("""COMPUTED_VALUE"""),"SI")</f>
        <v>SI</v>
      </c>
      <c r="S2336" s="213"/>
      <c r="T2336" s="213" t="str">
        <f>IFERROR(__xludf.DUMMYFUNCTION("""COMPUTED_VALUE"""),"CONSULTA FINAL")</f>
        <v>CONSULTA FINAL</v>
      </c>
      <c r="U2336" s="213" t="str">
        <f>IFERROR(__xludf.DUMMYFUNCTION("""COMPUTED_VALUE"""),"NO")</f>
        <v>NO</v>
      </c>
      <c r="V2336" s="213" t="str">
        <f>IFERROR(__xludf.DUMMYFUNCTION("""COMPUTED_VALUE"""),"SUSTENTO")</f>
        <v>SUSTENTO</v>
      </c>
      <c r="W2336" s="213" t="str">
        <f>IFERROR(__xludf.DUMMYFUNCTION("""COMPUTED_VALUE"""),"DIMENSIONAL")</f>
        <v>DIMENSIONAL</v>
      </c>
      <c r="X2336" s="213" t="str">
        <f>IFERROR(__xludf.DUMMYFUNCTION("""COMPUTED_VALUE"""),"GENERICO")</f>
        <v>GENERICO</v>
      </c>
      <c r="Y2336" s="213" t="str">
        <f>IFERROR(__xludf.DUMMYFUNCTION("""COMPUTED_VALUE"""),"GENERICO")</f>
        <v>GENERICO</v>
      </c>
      <c r="Z2336" s="215" t="str">
        <f>IFERROR(__xludf.DUMMYFUNCTION("""COMPUTED_VALUE"""),"https://www.amazon.com.mx/Inoxidable-Cocinar-Calentar-Preparar-Alimentos/dp/B0BX2FP81N")</f>
        <v>https://www.amazon.com.mx/Inoxidable-Cocinar-Calentar-Preparar-Alimentos/dp/B0BX2FP81N</v>
      </c>
      <c r="AA2336" s="213" t="str">
        <f>IFERROR(__xludf.DUMMYFUNCTION("""COMPUTED_VALUE"""),"MAT-393 OLLA 5 LITROS - CET")</f>
        <v>MAT-393 OLLA 5 LITROS - CET</v>
      </c>
      <c r="AB2336" s="213"/>
      <c r="AC2336" s="213"/>
      <c r="AD2336" s="213"/>
      <c r="AE2336" s="213"/>
      <c r="AF2336" s="213"/>
      <c r="AG2336" s="213"/>
      <c r="AH2336" s="213"/>
      <c r="AI2336" s="213"/>
      <c r="AJ2336" s="213"/>
      <c r="AK2336" s="213"/>
      <c r="AL2336" s="213"/>
      <c r="AM2336" s="213"/>
      <c r="AN2336" s="213"/>
      <c r="AO2336" s="213"/>
      <c r="AP2336" s="213" t="str">
        <f>IFERROR(__xludf.DUMMYFUNCTION("""COMPUTED_VALUE"""),"LUIS")</f>
        <v>LUIS</v>
      </c>
      <c r="AQ2336" s="213"/>
      <c r="AR2336" s="213"/>
      <c r="AS2336" s="213"/>
      <c r="AT2336" s="213"/>
      <c r="AU2336" s="213"/>
      <c r="AV2336" s="213"/>
      <c r="AW2336" s="213"/>
      <c r="AX2336" s="213"/>
      <c r="AY2336" s="213"/>
      <c r="AZ2336" s="213"/>
      <c r="BA2336" s="213"/>
      <c r="BB2336" s="213"/>
      <c r="BC2336" s="213"/>
      <c r="BD2336" s="213"/>
    </row>
    <row r="2337">
      <c r="A2337" s="213">
        <f>IFERROR(__xludf.DUMMYFUNCTION("""COMPUTED_VALUE"""),1153.0)</f>
        <v>1153</v>
      </c>
      <c r="B2337" s="213" t="str">
        <f>IFERROR(__xludf.DUMMYFUNCTION("""COMPUTED_VALUE"""),"FRANCISCO IRAZOLA")</f>
        <v>FRANCISCO IRAZOLA</v>
      </c>
      <c r="C2337" s="213" t="str">
        <f>IFERROR(__xludf.DUMMYFUNCTION("""COMPUTED_VALUE"""),"TALLER SFT DE INDUSTRIA ALIMENTARIA")</f>
        <v>TALLER SFT DE INDUSTRIA ALIMENTARIA</v>
      </c>
      <c r="D2337" s="213" t="str">
        <f>IFERROR(__xludf.DUMMYFUNCTION("""COMPUTED_VALUE"""),"HERRAMIENTAS")</f>
        <v>HERRAMIENTAS</v>
      </c>
      <c r="E2337" s="213" t="str">
        <f>IFERROR(__xludf.DUMMYFUNCTION("""COMPUTED_VALUE"""),"MAT-393")</f>
        <v>MAT-393</v>
      </c>
      <c r="F2337" s="213" t="str">
        <f>IFERROR(__xludf.DUMMYFUNCTION("""COMPUTED_VALUE"""),"MAT-393")</f>
        <v>MAT-393</v>
      </c>
      <c r="G2337" s="213"/>
      <c r="H2337" s="213" t="str">
        <f>IFERROR(__xludf.DUMMYFUNCTION("""COMPUTED_VALUE"""),"OLLA 5 LITROS")</f>
        <v>OLLA 5 LITROS</v>
      </c>
      <c r="I2337"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37" s="213">
        <f>IFERROR(__xludf.DUMMYFUNCTION("""COMPUTED_VALUE"""),3.0)</f>
        <v>3</v>
      </c>
      <c r="K2337" s="213" t="str">
        <f>IFERROR(__xludf.DUMMYFUNCTION("""COMPUTED_VALUE"""),"90 DÍAS CALENDARIO")</f>
        <v>90 DÍAS CALENDARIO</v>
      </c>
      <c r="L2337" s="213" t="str">
        <f>IFERROR(__xludf.DUMMYFUNCTION("""COMPUTED_VALUE"""),"")</f>
        <v/>
      </c>
      <c r="M2337" s="213">
        <f>IFERROR(__xludf.DUMMYFUNCTION("""COMPUTED_VALUE"""),1.0)</f>
        <v>1</v>
      </c>
      <c r="N2337" s="213">
        <f>IFERROR(__xludf.DUMMYFUNCTION("""COMPUTED_VALUE"""),3.0)</f>
        <v>3</v>
      </c>
      <c r="O2337" s="213">
        <f>IFERROR(__xludf.DUMMYFUNCTION("""COMPUTED_VALUE"""),3.0)</f>
        <v>3</v>
      </c>
      <c r="P2337" s="213"/>
      <c r="Q2337" s="213"/>
      <c r="R2337" s="213" t="str">
        <f>IFERROR(__xludf.DUMMYFUNCTION("""COMPUTED_VALUE"""),"SI")</f>
        <v>SI</v>
      </c>
      <c r="S2337" s="213"/>
      <c r="T2337" s="213" t="str">
        <f>IFERROR(__xludf.DUMMYFUNCTION("""COMPUTED_VALUE"""),"CONSULTA FINAL")</f>
        <v>CONSULTA FINAL</v>
      </c>
      <c r="U2337" s="213" t="str">
        <f>IFERROR(__xludf.DUMMYFUNCTION("""COMPUTED_VALUE"""),"NO")</f>
        <v>NO</v>
      </c>
      <c r="V2337" s="213" t="str">
        <f>IFERROR(__xludf.DUMMYFUNCTION("""COMPUTED_VALUE"""),"SUSTENTO")</f>
        <v>SUSTENTO</v>
      </c>
      <c r="W2337" s="213" t="str">
        <f>IFERROR(__xludf.DUMMYFUNCTION("""COMPUTED_VALUE"""),"DIMENSIONAL")</f>
        <v>DIMENSIONAL</v>
      </c>
      <c r="X2337" s="213" t="str">
        <f>IFERROR(__xludf.DUMMYFUNCTION("""COMPUTED_VALUE"""),"GENERICO")</f>
        <v>GENERICO</v>
      </c>
      <c r="Y2337" s="213" t="str">
        <f>IFERROR(__xludf.DUMMYFUNCTION("""COMPUTED_VALUE"""),"GENERICO")</f>
        <v>GENERICO</v>
      </c>
      <c r="Z2337" s="215" t="str">
        <f>IFERROR(__xludf.DUMMYFUNCTION("""COMPUTED_VALUE"""),"https://www.amazon.com.mx/Inoxidable-Cocinar-Calentar-Preparar-Alimentos/dp/B0BX2FP81N")</f>
        <v>https://www.amazon.com.mx/Inoxidable-Cocinar-Calentar-Preparar-Alimentos/dp/B0BX2FP81N</v>
      </c>
      <c r="AA2337" s="213" t="str">
        <f>IFERROR(__xludf.DUMMYFUNCTION("""COMPUTED_VALUE"""),"MAT-393 OLLA 5 LITROS - CET")</f>
        <v>MAT-393 OLLA 5 LITROS - CET</v>
      </c>
      <c r="AB2337" s="213"/>
      <c r="AC2337" s="213"/>
      <c r="AD2337" s="213"/>
      <c r="AE2337" s="213"/>
      <c r="AF2337" s="213"/>
      <c r="AG2337" s="213"/>
      <c r="AH2337" s="213"/>
      <c r="AI2337" s="213"/>
      <c r="AJ2337" s="213"/>
      <c r="AK2337" s="213"/>
      <c r="AL2337" s="213"/>
      <c r="AM2337" s="213"/>
      <c r="AN2337" s="213"/>
      <c r="AO2337" s="213"/>
      <c r="AP2337" s="213" t="str">
        <f>IFERROR(__xludf.DUMMYFUNCTION("""COMPUTED_VALUE"""),"LUIS")</f>
        <v>LUIS</v>
      </c>
      <c r="AQ2337" s="213"/>
      <c r="AR2337" s="213"/>
      <c r="AS2337" s="213"/>
      <c r="AT2337" s="213"/>
      <c r="AU2337" s="213"/>
      <c r="AV2337" s="213"/>
      <c r="AW2337" s="213"/>
      <c r="AX2337" s="213"/>
      <c r="AY2337" s="213"/>
      <c r="AZ2337" s="213"/>
      <c r="BA2337" s="213"/>
      <c r="BB2337" s="213"/>
      <c r="BC2337" s="213"/>
      <c r="BD2337" s="213"/>
    </row>
    <row r="2338">
      <c r="A2338" s="213">
        <f>IFERROR(__xludf.DUMMYFUNCTION("""COMPUTED_VALUE"""),1378.0)</f>
        <v>1378</v>
      </c>
      <c r="B2338" s="213" t="str">
        <f>IFERROR(__xludf.DUMMYFUNCTION("""COMPUTED_VALUE"""),"GUILLERMO E. BILLINGHURST ")</f>
        <v>GUILLERMO E. BILLINGHURST </v>
      </c>
      <c r="C2338" s="213" t="str">
        <f>IFERROR(__xludf.DUMMYFUNCTION("""COMPUTED_VALUE"""),"TALLER SFT DE INDUSTRIA ALIMENTARIA")</f>
        <v>TALLER SFT DE INDUSTRIA ALIMENTARIA</v>
      </c>
      <c r="D2338" s="213" t="str">
        <f>IFERROR(__xludf.DUMMYFUNCTION("""COMPUTED_VALUE"""),"HERRAMIENTAS")</f>
        <v>HERRAMIENTAS</v>
      </c>
      <c r="E2338" s="213" t="str">
        <f>IFERROR(__xludf.DUMMYFUNCTION("""COMPUTED_VALUE"""),"MAT-393")</f>
        <v>MAT-393</v>
      </c>
      <c r="F2338" s="213" t="str">
        <f>IFERROR(__xludf.DUMMYFUNCTION("""COMPUTED_VALUE"""),"MAT-393")</f>
        <v>MAT-393</v>
      </c>
      <c r="G2338" s="213"/>
      <c r="H2338" s="213" t="str">
        <f>IFERROR(__xludf.DUMMYFUNCTION("""COMPUTED_VALUE"""),"OLLA 5 LITROS")</f>
        <v>OLLA 5 LITROS</v>
      </c>
      <c r="I2338"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38" s="213">
        <f>IFERROR(__xludf.DUMMYFUNCTION("""COMPUTED_VALUE"""),3.0)</f>
        <v>3</v>
      </c>
      <c r="K2338" s="213" t="str">
        <f>IFERROR(__xludf.DUMMYFUNCTION("""COMPUTED_VALUE"""),"90 DÍAS CALENDARIO")</f>
        <v>90 DÍAS CALENDARIO</v>
      </c>
      <c r="L2338" s="213" t="str">
        <f>IFERROR(__xludf.DUMMYFUNCTION("""COMPUTED_VALUE"""),"")</f>
        <v/>
      </c>
      <c r="M2338" s="213">
        <f>IFERROR(__xludf.DUMMYFUNCTION("""COMPUTED_VALUE"""),1.0)</f>
        <v>1</v>
      </c>
      <c r="N2338" s="213">
        <f>IFERROR(__xludf.DUMMYFUNCTION("""COMPUTED_VALUE"""),3.0)</f>
        <v>3</v>
      </c>
      <c r="O2338" s="213">
        <f>IFERROR(__xludf.DUMMYFUNCTION("""COMPUTED_VALUE"""),3.0)</f>
        <v>3</v>
      </c>
      <c r="P2338" s="213"/>
      <c r="Q2338" s="213"/>
      <c r="R2338" s="213" t="str">
        <f>IFERROR(__xludf.DUMMYFUNCTION("""COMPUTED_VALUE"""),"SI")</f>
        <v>SI</v>
      </c>
      <c r="S2338" s="213"/>
      <c r="T2338" s="213" t="str">
        <f>IFERROR(__xludf.DUMMYFUNCTION("""COMPUTED_VALUE"""),"CONSULTA FINAL")</f>
        <v>CONSULTA FINAL</v>
      </c>
      <c r="U2338" s="213" t="str">
        <f>IFERROR(__xludf.DUMMYFUNCTION("""COMPUTED_VALUE"""),"NO")</f>
        <v>NO</v>
      </c>
      <c r="V2338" s="213" t="str">
        <f>IFERROR(__xludf.DUMMYFUNCTION("""COMPUTED_VALUE"""),"SUSTENTO")</f>
        <v>SUSTENTO</v>
      </c>
      <c r="W2338" s="213" t="str">
        <f>IFERROR(__xludf.DUMMYFUNCTION("""COMPUTED_VALUE"""),"DIMENSIONAL")</f>
        <v>DIMENSIONAL</v>
      </c>
      <c r="X2338" s="213" t="str">
        <f>IFERROR(__xludf.DUMMYFUNCTION("""COMPUTED_VALUE"""),"GENERICO")</f>
        <v>GENERICO</v>
      </c>
      <c r="Y2338" s="213" t="str">
        <f>IFERROR(__xludf.DUMMYFUNCTION("""COMPUTED_VALUE"""),"GENERICO")</f>
        <v>GENERICO</v>
      </c>
      <c r="Z2338" s="215" t="str">
        <f>IFERROR(__xludf.DUMMYFUNCTION("""COMPUTED_VALUE"""),"https://www.amazon.com.mx/Inoxidable-Cocinar-Calentar-Preparar-Alimentos/dp/B0BX2FP81N")</f>
        <v>https://www.amazon.com.mx/Inoxidable-Cocinar-Calentar-Preparar-Alimentos/dp/B0BX2FP81N</v>
      </c>
      <c r="AA2338" s="213" t="str">
        <f>IFERROR(__xludf.DUMMYFUNCTION("""COMPUTED_VALUE"""),"MAT-393 OLLA 5 LITROS - CET")</f>
        <v>MAT-393 OLLA 5 LITROS - CET</v>
      </c>
      <c r="AB2338" s="213"/>
      <c r="AC2338" s="213"/>
      <c r="AD2338" s="213"/>
      <c r="AE2338" s="213"/>
      <c r="AF2338" s="213"/>
      <c r="AG2338" s="213"/>
      <c r="AH2338" s="213"/>
      <c r="AI2338" s="213"/>
      <c r="AJ2338" s="213"/>
      <c r="AK2338" s="213"/>
      <c r="AL2338" s="213"/>
      <c r="AM2338" s="213"/>
      <c r="AN2338" s="213"/>
      <c r="AO2338" s="213"/>
      <c r="AP2338" s="213" t="str">
        <f>IFERROR(__xludf.DUMMYFUNCTION("""COMPUTED_VALUE"""),"LUIS")</f>
        <v>LUIS</v>
      </c>
      <c r="AQ2338" s="213"/>
      <c r="AR2338" s="213"/>
      <c r="AS2338" s="213"/>
      <c r="AT2338" s="213"/>
      <c r="AU2338" s="213"/>
      <c r="AV2338" s="213"/>
      <c r="AW2338" s="213"/>
      <c r="AX2338" s="213"/>
      <c r="AY2338" s="213"/>
      <c r="AZ2338" s="213"/>
      <c r="BA2338" s="213"/>
      <c r="BB2338" s="213"/>
      <c r="BC2338" s="213"/>
      <c r="BD2338" s="213"/>
    </row>
    <row r="2339">
      <c r="A2339" s="213">
        <f>IFERROR(__xludf.DUMMYFUNCTION("""COMPUTED_VALUE"""),1402.0)</f>
        <v>1402</v>
      </c>
      <c r="B2339" s="213" t="str">
        <f>IFERROR(__xludf.DUMMYFUNCTION("""COMPUTED_VALUE"""),"GUILLERMO E. BILLINGHURST ")</f>
        <v>GUILLERMO E. BILLINGHURST </v>
      </c>
      <c r="C2339" s="213" t="str">
        <f>IFERROR(__xludf.DUMMYFUNCTION("""COMPUTED_VALUE"""),"TALLER SFT DE INDUSTRIA ALIMENTARIA")</f>
        <v>TALLER SFT DE INDUSTRIA ALIMENTARIA</v>
      </c>
      <c r="D2339" s="213" t="str">
        <f>IFERROR(__xludf.DUMMYFUNCTION("""COMPUTED_VALUE"""),"HERRAMIENTAS")</f>
        <v>HERRAMIENTAS</v>
      </c>
      <c r="E2339" s="213" t="str">
        <f>IFERROR(__xludf.DUMMYFUNCTION("""COMPUTED_VALUE"""),"MAT-393")</f>
        <v>MAT-393</v>
      </c>
      <c r="F2339" s="213" t="str">
        <f>IFERROR(__xludf.DUMMYFUNCTION("""COMPUTED_VALUE"""),"MAT-393")</f>
        <v>MAT-393</v>
      </c>
      <c r="G2339" s="213"/>
      <c r="H2339" s="213" t="str">
        <f>IFERROR(__xludf.DUMMYFUNCTION("""COMPUTED_VALUE"""),"OLLA 5 LITROS")</f>
        <v>OLLA 5 LITROS</v>
      </c>
      <c r="I2339"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39" s="213">
        <f>IFERROR(__xludf.DUMMYFUNCTION("""COMPUTED_VALUE"""),3.0)</f>
        <v>3</v>
      </c>
      <c r="K2339" s="213" t="str">
        <f>IFERROR(__xludf.DUMMYFUNCTION("""COMPUTED_VALUE"""),"90 DÍAS CALENDARIO")</f>
        <v>90 DÍAS CALENDARIO</v>
      </c>
      <c r="L2339" s="213" t="str">
        <f>IFERROR(__xludf.DUMMYFUNCTION("""COMPUTED_VALUE"""),"")</f>
        <v/>
      </c>
      <c r="M2339" s="213">
        <f>IFERROR(__xludf.DUMMYFUNCTION("""COMPUTED_VALUE"""),1.0)</f>
        <v>1</v>
      </c>
      <c r="N2339" s="213">
        <f>IFERROR(__xludf.DUMMYFUNCTION("""COMPUTED_VALUE"""),3.0)</f>
        <v>3</v>
      </c>
      <c r="O2339" s="213">
        <f>IFERROR(__xludf.DUMMYFUNCTION("""COMPUTED_VALUE"""),3.0)</f>
        <v>3</v>
      </c>
      <c r="P2339" s="213"/>
      <c r="Q2339" s="213"/>
      <c r="R2339" s="213" t="str">
        <f>IFERROR(__xludf.DUMMYFUNCTION("""COMPUTED_VALUE"""),"SI")</f>
        <v>SI</v>
      </c>
      <c r="S2339" s="213"/>
      <c r="T2339" s="213" t="str">
        <f>IFERROR(__xludf.DUMMYFUNCTION("""COMPUTED_VALUE"""),"CONSULTA FINAL")</f>
        <v>CONSULTA FINAL</v>
      </c>
      <c r="U2339" s="213" t="str">
        <f>IFERROR(__xludf.DUMMYFUNCTION("""COMPUTED_VALUE"""),"NO")</f>
        <v>NO</v>
      </c>
      <c r="V2339" s="213" t="str">
        <f>IFERROR(__xludf.DUMMYFUNCTION("""COMPUTED_VALUE"""),"SUSTENTO")</f>
        <v>SUSTENTO</v>
      </c>
      <c r="W2339" s="213" t="str">
        <f>IFERROR(__xludf.DUMMYFUNCTION("""COMPUTED_VALUE"""),"DIMENSIONAL")</f>
        <v>DIMENSIONAL</v>
      </c>
      <c r="X2339" s="213" t="str">
        <f>IFERROR(__xludf.DUMMYFUNCTION("""COMPUTED_VALUE"""),"GENERICO")</f>
        <v>GENERICO</v>
      </c>
      <c r="Y2339" s="213" t="str">
        <f>IFERROR(__xludf.DUMMYFUNCTION("""COMPUTED_VALUE"""),"GENERICO")</f>
        <v>GENERICO</v>
      </c>
      <c r="Z2339" s="215" t="str">
        <f>IFERROR(__xludf.DUMMYFUNCTION("""COMPUTED_VALUE"""),"https://www.amazon.com.mx/Inoxidable-Cocinar-Calentar-Preparar-Alimentos/dp/B0BX2FP81N")</f>
        <v>https://www.amazon.com.mx/Inoxidable-Cocinar-Calentar-Preparar-Alimentos/dp/B0BX2FP81N</v>
      </c>
      <c r="AA2339" s="213" t="str">
        <f>IFERROR(__xludf.DUMMYFUNCTION("""COMPUTED_VALUE"""),"MAT-393 OLLA 5 LITROS - CET")</f>
        <v>MAT-393 OLLA 5 LITROS - CET</v>
      </c>
      <c r="AB2339" s="213"/>
      <c r="AC2339" s="213"/>
      <c r="AD2339" s="213"/>
      <c r="AE2339" s="213"/>
      <c r="AF2339" s="213"/>
      <c r="AG2339" s="213"/>
      <c r="AH2339" s="213"/>
      <c r="AI2339" s="213"/>
      <c r="AJ2339" s="213"/>
      <c r="AK2339" s="213"/>
      <c r="AL2339" s="213"/>
      <c r="AM2339" s="213"/>
      <c r="AN2339" s="213"/>
      <c r="AO2339" s="213"/>
      <c r="AP2339" s="213" t="str">
        <f>IFERROR(__xludf.DUMMYFUNCTION("""COMPUTED_VALUE"""),"LUIS")</f>
        <v>LUIS</v>
      </c>
      <c r="AQ2339" s="213"/>
      <c r="AR2339" s="213"/>
      <c r="AS2339" s="213"/>
      <c r="AT2339" s="213"/>
      <c r="AU2339" s="213"/>
      <c r="AV2339" s="213"/>
      <c r="AW2339" s="213"/>
      <c r="AX2339" s="213"/>
      <c r="AY2339" s="213"/>
      <c r="AZ2339" s="213"/>
      <c r="BA2339" s="213"/>
      <c r="BB2339" s="213"/>
      <c r="BC2339" s="213"/>
      <c r="BD2339" s="213"/>
    </row>
    <row r="2340">
      <c r="A2340" s="213">
        <f>IFERROR(__xludf.DUMMYFUNCTION("""COMPUTED_VALUE"""),168.0)</f>
        <v>168</v>
      </c>
      <c r="B2340" s="213" t="str">
        <f>IFERROR(__xludf.DUMMYFUNCTION("""COMPUTED_VALUE"""),"2026 SIMON BOLIVAR")</f>
        <v>2026 SIMON BOLIVAR</v>
      </c>
      <c r="C2340" s="213" t="str">
        <f>IFERROR(__xludf.DUMMYFUNCTION("""COMPUTED_VALUE"""),"TALLER SFT DE INDUSTRIA DEL VESTIDO")</f>
        <v>TALLER SFT DE INDUSTRIA DEL VESTIDO</v>
      </c>
      <c r="D2340" s="213" t="str">
        <f>IFERROR(__xludf.DUMMYFUNCTION("""COMPUTED_VALUE"""),"MOBILIARIO")</f>
        <v>MOBILIARIO</v>
      </c>
      <c r="E2340" s="213" t="str">
        <f>IFERROR(__xludf.DUMMYFUNCTION("""COMPUTED_VALUE"""),"MOB-174")</f>
        <v>MOB-174</v>
      </c>
      <c r="F2340" s="213" t="str">
        <f>IFERROR(__xludf.DUMMYFUNCTION("""COMPUTED_VALUE"""),"MOB-174")</f>
        <v>MOB-174</v>
      </c>
      <c r="G2340" s="213"/>
      <c r="H2340" s="213" t="str">
        <f>IFERROR(__xludf.DUMMYFUNCTION("""COMPUTED_VALUE"""),"SOPORTE DE ROLLOS DE TELA")</f>
        <v>SOPORTE DE ROLLOS DE TELA</v>
      </c>
      <c r="I2340" s="213" t="str">
        <f>IFERROR(__xludf.DUMMYFUNCTION("""COMPUTED_VALUE"""),"· Soporte construido de acero tubular con una fuerte base de acero, ideal para almacenar y manipular los rollos de tela, tejidos y láminas especiales.
· La estructura ocupa un mínimo de espacio mientras proporciona comodidad en la carga, distribución y co"&amp;"rte de rollos.
· Se pueden disponer  rollos de tela en varios anchos, pesos y grosores.
· Acabado en esmalte horneado.
· Dimensiones 1.70 (Largo) x 0.40 (Ancho) x 1.55 (Alto)")</f>
        <v>· Soporte construido de acero tubular con una fuerte base de acero, ideal para almacenar y manipular los rollos de tela, tejidos y láminas especiales.
· La estructura ocupa un mínimo de espacio mientras proporciona comodidad en la carga, distribución y corte de rollos.
· Se pueden disponer  rollos de tela en varios anchos, pesos y grosores.
· Acabado en esmalte horneado.
· Dimensiones 1.70 (Largo) x 0.40 (Ancho) x 1.55 (Alto)</v>
      </c>
      <c r="J2340" s="213">
        <f>IFERROR(__xludf.DUMMYFUNCTION("""COMPUTED_VALUE"""),3.0)</f>
        <v>3</v>
      </c>
      <c r="K2340" s="213" t="str">
        <f>IFERROR(__xludf.DUMMYFUNCTION("""COMPUTED_VALUE"""),"90 DÍAS CALENDARIO")</f>
        <v>90 DÍAS CALENDARIO</v>
      </c>
      <c r="L2340" s="213" t="str">
        <f>IFERROR(__xludf.DUMMYFUNCTION("""COMPUTED_VALUE"""),"")</f>
        <v/>
      </c>
      <c r="M2340" s="213">
        <f>IFERROR(__xludf.DUMMYFUNCTION("""COMPUTED_VALUE"""),1.0)</f>
        <v>1</v>
      </c>
      <c r="N2340" s="213">
        <f>IFERROR(__xludf.DUMMYFUNCTION("""COMPUTED_VALUE"""),2.0)</f>
        <v>2</v>
      </c>
      <c r="O2340" s="213">
        <f>IFERROR(__xludf.DUMMYFUNCTION("""COMPUTED_VALUE"""),2.0)</f>
        <v>2</v>
      </c>
      <c r="P2340" s="213"/>
      <c r="Q2340" s="213"/>
      <c r="R2340" s="213"/>
      <c r="S2340" s="213"/>
      <c r="T2340" s="213"/>
      <c r="U2340" s="213"/>
      <c r="V2340" s="213"/>
      <c r="W2340" s="213"/>
      <c r="X2340" s="213"/>
      <c r="Y2340" s="213"/>
      <c r="Z2340" s="213"/>
      <c r="AA2340" s="213"/>
      <c r="AB2340" s="213"/>
      <c r="AC2340" s="213"/>
      <c r="AD2340" s="213"/>
      <c r="AE2340" s="213"/>
      <c r="AF2340" s="213"/>
      <c r="AG2340" s="213"/>
      <c r="AH2340" s="213"/>
      <c r="AI2340" s="213"/>
      <c r="AJ2340" s="213"/>
      <c r="AK2340" s="213"/>
      <c r="AL2340" s="213"/>
      <c r="AM2340" s="213"/>
      <c r="AN2340" s="213"/>
      <c r="AO2340" s="213"/>
      <c r="AP2340" s="213"/>
      <c r="AQ2340" s="213"/>
      <c r="AR2340" s="213"/>
      <c r="AS2340" s="213"/>
      <c r="AT2340" s="213"/>
      <c r="AU2340" s="213"/>
      <c r="AV2340" s="213"/>
      <c r="AW2340" s="213"/>
      <c r="AX2340" s="213"/>
      <c r="AY2340" s="213"/>
      <c r="AZ2340" s="213"/>
      <c r="BA2340" s="213"/>
      <c r="BB2340" s="213"/>
      <c r="BC2340" s="213"/>
      <c r="BD2340" s="213"/>
    </row>
    <row r="2341">
      <c r="A2341" s="213">
        <f>IFERROR(__xludf.DUMMYFUNCTION("""COMPUTED_VALUE"""),2382.0)</f>
        <v>2382</v>
      </c>
      <c r="B2341" s="213" t="str">
        <f>IFERROR(__xludf.DUMMYFUNCTION("""COMPUTED_VALUE"""),"MANUEL ANTONIO MESONES MURO")</f>
        <v>MANUEL ANTONIO MESONES MURO</v>
      </c>
      <c r="C2341" s="213" t="str">
        <f>IFERROR(__xludf.DUMMYFUNCTION("""COMPUTED_VALUE"""),"TALLER SFT DE INDUSTRIA DEL VESTIDO")</f>
        <v>TALLER SFT DE INDUSTRIA DEL VESTIDO</v>
      </c>
      <c r="D2341" s="213" t="str">
        <f>IFERROR(__xludf.DUMMYFUNCTION("""COMPUTED_VALUE"""),"MOBILIARIO")</f>
        <v>MOBILIARIO</v>
      </c>
      <c r="E2341" s="213" t="str">
        <f>IFERROR(__xludf.DUMMYFUNCTION("""COMPUTED_VALUE"""),"MOB-174")</f>
        <v>MOB-174</v>
      </c>
      <c r="F2341" s="213" t="str">
        <f>IFERROR(__xludf.DUMMYFUNCTION("""COMPUTED_VALUE"""),"MOB-174")</f>
        <v>MOB-174</v>
      </c>
      <c r="G2341" s="213"/>
      <c r="H2341" s="213" t="str">
        <f>IFERROR(__xludf.DUMMYFUNCTION("""COMPUTED_VALUE"""),"SOPORTE DE ROLLOS DE TELA")</f>
        <v>SOPORTE DE ROLLOS DE TELA</v>
      </c>
      <c r="I2341" s="213" t="str">
        <f>IFERROR(__xludf.DUMMYFUNCTION("""COMPUTED_VALUE"""),"· Soporte construido de acero tubular con una fuerte base de acero, ideal para almacenar y manipular los rollos de tela, tejidos y láminas especiales.
· La estructura ocupa un mínimo de espacio mientras proporciona comodidad en la carga, distribución y co"&amp;"rte de rollos.
· Se pueden disponer  rollos de tela en varios anchos, pesos y grosores.
· Acabado en esmalte horneado.
· Dimensiones 1.70 (Largo) x 0.40 (Ancho) x 1.55 (Alto)")</f>
        <v>· Soporte construido de acero tubular con una fuerte base de acero, ideal para almacenar y manipular los rollos de tela, tejidos y láminas especiales.
· La estructura ocupa un mínimo de espacio mientras proporciona comodidad en la carga, distribución y corte de rollos.
· Se pueden disponer  rollos de tela en varios anchos, pesos y grosores.
· Acabado en esmalte horneado.
· Dimensiones 1.70 (Largo) x 0.40 (Ancho) x 1.55 (Alto)</v>
      </c>
      <c r="J2341" s="213">
        <f>IFERROR(__xludf.DUMMYFUNCTION("""COMPUTED_VALUE"""),3.0)</f>
        <v>3</v>
      </c>
      <c r="K2341" s="213" t="str">
        <f>IFERROR(__xludf.DUMMYFUNCTION("""COMPUTED_VALUE"""),"90 DÍAS CALENDARIO")</f>
        <v>90 DÍAS CALENDARIO</v>
      </c>
      <c r="L2341" s="213" t="str">
        <f>IFERROR(__xludf.DUMMYFUNCTION("""COMPUTED_VALUE"""),"")</f>
        <v/>
      </c>
      <c r="M2341" s="213">
        <f>IFERROR(__xludf.DUMMYFUNCTION("""COMPUTED_VALUE"""),1.0)</f>
        <v>1</v>
      </c>
      <c r="N2341" s="213">
        <f>IFERROR(__xludf.DUMMYFUNCTION("""COMPUTED_VALUE"""),2.0)</f>
        <v>2</v>
      </c>
      <c r="O2341" s="213">
        <f>IFERROR(__xludf.DUMMYFUNCTION("""COMPUTED_VALUE"""),2.0)</f>
        <v>2</v>
      </c>
      <c r="P2341" s="213"/>
      <c r="Q2341" s="213"/>
      <c r="R2341" s="213"/>
      <c r="S2341" s="213"/>
      <c r="T2341" s="213"/>
      <c r="U2341" s="213"/>
      <c r="V2341" s="213"/>
      <c r="W2341" s="213"/>
      <c r="X2341" s="213"/>
      <c r="Y2341" s="213"/>
      <c r="Z2341" s="213"/>
      <c r="AA2341" s="213"/>
      <c r="AB2341" s="213"/>
      <c r="AC2341" s="213"/>
      <c r="AD2341" s="213"/>
      <c r="AE2341" s="213"/>
      <c r="AF2341" s="213"/>
      <c r="AG2341" s="213"/>
      <c r="AH2341" s="213"/>
      <c r="AI2341" s="213"/>
      <c r="AJ2341" s="213"/>
      <c r="AK2341" s="213"/>
      <c r="AL2341" s="213"/>
      <c r="AM2341" s="213"/>
      <c r="AN2341" s="213"/>
      <c r="AO2341" s="213"/>
      <c r="AP2341" s="213"/>
      <c r="AQ2341" s="213"/>
      <c r="AR2341" s="213"/>
      <c r="AS2341" s="213"/>
      <c r="AT2341" s="213"/>
      <c r="AU2341" s="213"/>
      <c r="AV2341" s="213"/>
      <c r="AW2341" s="213"/>
      <c r="AX2341" s="213"/>
      <c r="AY2341" s="213"/>
      <c r="AZ2341" s="213"/>
      <c r="BA2341" s="213"/>
      <c r="BB2341" s="213"/>
      <c r="BC2341" s="213"/>
      <c r="BD2341" s="213"/>
    </row>
    <row r="2342">
      <c r="A2342" s="213">
        <f>IFERROR(__xludf.DUMMYFUNCTION("""COMPUTED_VALUE"""),1425.0)</f>
        <v>1425</v>
      </c>
      <c r="B2342" s="213" t="str">
        <f>IFERROR(__xludf.DUMMYFUNCTION("""COMPUTED_VALUE"""),"GUILLERMO E. BILLINGHURST ")</f>
        <v>GUILLERMO E. BILLINGHURST </v>
      </c>
      <c r="C2342" s="213" t="str">
        <f>IFERROR(__xludf.DUMMYFUNCTION("""COMPUTED_VALUE"""),"TALLER SFT DE INDUSTRIA ALIMENTARIA")</f>
        <v>TALLER SFT DE INDUSTRIA ALIMENTARIA</v>
      </c>
      <c r="D2342" s="213" t="str">
        <f>IFERROR(__xludf.DUMMYFUNCTION("""COMPUTED_VALUE"""),"HERRAMIENTAS")</f>
        <v>HERRAMIENTAS</v>
      </c>
      <c r="E2342" s="213" t="str">
        <f>IFERROR(__xludf.DUMMYFUNCTION("""COMPUTED_VALUE"""),"MAT-393")</f>
        <v>MAT-393</v>
      </c>
      <c r="F2342" s="213" t="str">
        <f>IFERROR(__xludf.DUMMYFUNCTION("""COMPUTED_VALUE"""),"MAT-393")</f>
        <v>MAT-393</v>
      </c>
      <c r="G2342" s="213"/>
      <c r="H2342" s="213" t="str">
        <f>IFERROR(__xludf.DUMMYFUNCTION("""COMPUTED_VALUE"""),"OLLA 5 LITROS")</f>
        <v>OLLA 5 LITROS</v>
      </c>
      <c r="I2342"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42" s="213">
        <f>IFERROR(__xludf.DUMMYFUNCTION("""COMPUTED_VALUE"""),3.0)</f>
        <v>3</v>
      </c>
      <c r="K2342" s="213" t="str">
        <f>IFERROR(__xludf.DUMMYFUNCTION("""COMPUTED_VALUE"""),"90 DÍAS CALENDARIO")</f>
        <v>90 DÍAS CALENDARIO</v>
      </c>
      <c r="L2342" s="213" t="str">
        <f>IFERROR(__xludf.DUMMYFUNCTION("""COMPUTED_VALUE"""),"")</f>
        <v/>
      </c>
      <c r="M2342" s="213">
        <f>IFERROR(__xludf.DUMMYFUNCTION("""COMPUTED_VALUE"""),1.0)</f>
        <v>1</v>
      </c>
      <c r="N2342" s="213">
        <f>IFERROR(__xludf.DUMMYFUNCTION("""COMPUTED_VALUE"""),3.0)</f>
        <v>3</v>
      </c>
      <c r="O2342" s="213">
        <f>IFERROR(__xludf.DUMMYFUNCTION("""COMPUTED_VALUE"""),3.0)</f>
        <v>3</v>
      </c>
      <c r="P2342" s="213"/>
      <c r="Q2342" s="213"/>
      <c r="R2342" s="213" t="str">
        <f>IFERROR(__xludf.DUMMYFUNCTION("""COMPUTED_VALUE"""),"SI")</f>
        <v>SI</v>
      </c>
      <c r="S2342" s="213"/>
      <c r="T2342" s="213" t="str">
        <f>IFERROR(__xludf.DUMMYFUNCTION("""COMPUTED_VALUE"""),"CONSULTA FINAL")</f>
        <v>CONSULTA FINAL</v>
      </c>
      <c r="U2342" s="213" t="str">
        <f>IFERROR(__xludf.DUMMYFUNCTION("""COMPUTED_VALUE"""),"NO")</f>
        <v>NO</v>
      </c>
      <c r="V2342" s="213" t="str">
        <f>IFERROR(__xludf.DUMMYFUNCTION("""COMPUTED_VALUE"""),"SUSTENTO")</f>
        <v>SUSTENTO</v>
      </c>
      <c r="W2342" s="213" t="str">
        <f>IFERROR(__xludf.DUMMYFUNCTION("""COMPUTED_VALUE"""),"DIMENSIONAL")</f>
        <v>DIMENSIONAL</v>
      </c>
      <c r="X2342" s="213" t="str">
        <f>IFERROR(__xludf.DUMMYFUNCTION("""COMPUTED_VALUE"""),"GENERICO")</f>
        <v>GENERICO</v>
      </c>
      <c r="Y2342" s="213" t="str">
        <f>IFERROR(__xludf.DUMMYFUNCTION("""COMPUTED_VALUE"""),"GENERICO")</f>
        <v>GENERICO</v>
      </c>
      <c r="Z2342" s="215" t="str">
        <f>IFERROR(__xludf.DUMMYFUNCTION("""COMPUTED_VALUE"""),"https://www.amazon.com.mx/Inoxidable-Cocinar-Calentar-Preparar-Alimentos/dp/B0BX2FP81N")</f>
        <v>https://www.amazon.com.mx/Inoxidable-Cocinar-Calentar-Preparar-Alimentos/dp/B0BX2FP81N</v>
      </c>
      <c r="AA2342" s="213" t="str">
        <f>IFERROR(__xludf.DUMMYFUNCTION("""COMPUTED_VALUE"""),"MAT-393 OLLA 5 LITROS - CET")</f>
        <v>MAT-393 OLLA 5 LITROS - CET</v>
      </c>
      <c r="AB2342" s="213"/>
      <c r="AC2342" s="213"/>
      <c r="AD2342" s="213"/>
      <c r="AE2342" s="213"/>
      <c r="AF2342" s="213"/>
      <c r="AG2342" s="213"/>
      <c r="AH2342" s="213"/>
      <c r="AI2342" s="213"/>
      <c r="AJ2342" s="213"/>
      <c r="AK2342" s="213"/>
      <c r="AL2342" s="213"/>
      <c r="AM2342" s="213"/>
      <c r="AN2342" s="213"/>
      <c r="AO2342" s="213"/>
      <c r="AP2342" s="213" t="str">
        <f>IFERROR(__xludf.DUMMYFUNCTION("""COMPUTED_VALUE"""),"LUIS")</f>
        <v>LUIS</v>
      </c>
      <c r="AQ2342" s="213"/>
      <c r="AR2342" s="213"/>
      <c r="AS2342" s="213"/>
      <c r="AT2342" s="213"/>
      <c r="AU2342" s="213"/>
      <c r="AV2342" s="213"/>
      <c r="AW2342" s="213"/>
      <c r="AX2342" s="213"/>
      <c r="AY2342" s="213"/>
      <c r="AZ2342" s="213"/>
      <c r="BA2342" s="213"/>
      <c r="BB2342" s="213"/>
      <c r="BC2342" s="213"/>
      <c r="BD2342" s="213"/>
    </row>
    <row r="2343">
      <c r="A2343" s="213">
        <f>IFERROR(__xludf.DUMMYFUNCTION("""COMPUTED_VALUE"""),2065.0)</f>
        <v>2065</v>
      </c>
      <c r="B2343" s="213" t="str">
        <f>IFERROR(__xludf.DUMMYFUNCTION("""COMPUTED_VALUE"""),"JOSE GRANDA")</f>
        <v>JOSE GRANDA</v>
      </c>
      <c r="C2343" s="213" t="str">
        <f>IFERROR(__xludf.DUMMYFUNCTION("""COMPUTED_VALUE"""),"TALLER SFT DE INDUSTRIA ALIMENTARIA")</f>
        <v>TALLER SFT DE INDUSTRIA ALIMENTARIA</v>
      </c>
      <c r="D2343" s="213" t="str">
        <f>IFERROR(__xludf.DUMMYFUNCTION("""COMPUTED_VALUE"""),"HERRAMIENTAS")</f>
        <v>HERRAMIENTAS</v>
      </c>
      <c r="E2343" s="213" t="str">
        <f>IFERROR(__xludf.DUMMYFUNCTION("""COMPUTED_VALUE"""),"MAT-393")</f>
        <v>MAT-393</v>
      </c>
      <c r="F2343" s="213" t="str">
        <f>IFERROR(__xludf.DUMMYFUNCTION("""COMPUTED_VALUE"""),"MAT-393")</f>
        <v>MAT-393</v>
      </c>
      <c r="G2343" s="213"/>
      <c r="H2343" s="213" t="str">
        <f>IFERROR(__xludf.DUMMYFUNCTION("""COMPUTED_VALUE"""),"OLLA 5 LITROS")</f>
        <v>OLLA 5 LITROS</v>
      </c>
      <c r="I2343"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43" s="213">
        <f>IFERROR(__xludf.DUMMYFUNCTION("""COMPUTED_VALUE"""),3.0)</f>
        <v>3</v>
      </c>
      <c r="K2343" s="213" t="str">
        <f>IFERROR(__xludf.DUMMYFUNCTION("""COMPUTED_VALUE"""),"90 DÍAS CALENDARIO")</f>
        <v>90 DÍAS CALENDARIO</v>
      </c>
      <c r="L2343" s="213" t="str">
        <f>IFERROR(__xludf.DUMMYFUNCTION("""COMPUTED_VALUE"""),"")</f>
        <v/>
      </c>
      <c r="M2343" s="213">
        <f>IFERROR(__xludf.DUMMYFUNCTION("""COMPUTED_VALUE"""),1.0)</f>
        <v>1</v>
      </c>
      <c r="N2343" s="213">
        <f>IFERROR(__xludf.DUMMYFUNCTION("""COMPUTED_VALUE"""),3.0)</f>
        <v>3</v>
      </c>
      <c r="O2343" s="213">
        <f>IFERROR(__xludf.DUMMYFUNCTION("""COMPUTED_VALUE"""),3.0)</f>
        <v>3</v>
      </c>
      <c r="P2343" s="213"/>
      <c r="Q2343" s="213"/>
      <c r="R2343" s="213" t="str">
        <f>IFERROR(__xludf.DUMMYFUNCTION("""COMPUTED_VALUE"""),"SI")</f>
        <v>SI</v>
      </c>
      <c r="S2343" s="213"/>
      <c r="T2343" s="213" t="str">
        <f>IFERROR(__xludf.DUMMYFUNCTION("""COMPUTED_VALUE"""),"CONSULTA FINAL")</f>
        <v>CONSULTA FINAL</v>
      </c>
      <c r="U2343" s="213" t="str">
        <f>IFERROR(__xludf.DUMMYFUNCTION("""COMPUTED_VALUE"""),"NO")</f>
        <v>NO</v>
      </c>
      <c r="V2343" s="213" t="str">
        <f>IFERROR(__xludf.DUMMYFUNCTION("""COMPUTED_VALUE"""),"SUSTENTO")</f>
        <v>SUSTENTO</v>
      </c>
      <c r="W2343" s="213" t="str">
        <f>IFERROR(__xludf.DUMMYFUNCTION("""COMPUTED_VALUE"""),"DIMENSIONAL")</f>
        <v>DIMENSIONAL</v>
      </c>
      <c r="X2343" s="213" t="str">
        <f>IFERROR(__xludf.DUMMYFUNCTION("""COMPUTED_VALUE"""),"GENERICO")</f>
        <v>GENERICO</v>
      </c>
      <c r="Y2343" s="213" t="str">
        <f>IFERROR(__xludf.DUMMYFUNCTION("""COMPUTED_VALUE"""),"GENERICO")</f>
        <v>GENERICO</v>
      </c>
      <c r="Z2343" s="215" t="str">
        <f>IFERROR(__xludf.DUMMYFUNCTION("""COMPUTED_VALUE"""),"https://www.amazon.com.mx/Inoxidable-Cocinar-Calentar-Preparar-Alimentos/dp/B0BX2FP81N")</f>
        <v>https://www.amazon.com.mx/Inoxidable-Cocinar-Calentar-Preparar-Alimentos/dp/B0BX2FP81N</v>
      </c>
      <c r="AA2343" s="213" t="str">
        <f>IFERROR(__xludf.DUMMYFUNCTION("""COMPUTED_VALUE"""),"MAT-393 OLLA 5 LITROS - CET")</f>
        <v>MAT-393 OLLA 5 LITROS - CET</v>
      </c>
      <c r="AB2343" s="213"/>
      <c r="AC2343" s="213"/>
      <c r="AD2343" s="213"/>
      <c r="AE2343" s="213"/>
      <c r="AF2343" s="213"/>
      <c r="AG2343" s="213"/>
      <c r="AH2343" s="213"/>
      <c r="AI2343" s="213"/>
      <c r="AJ2343" s="213"/>
      <c r="AK2343" s="213"/>
      <c r="AL2343" s="213"/>
      <c r="AM2343" s="213"/>
      <c r="AN2343" s="213"/>
      <c r="AO2343" s="213"/>
      <c r="AP2343" s="213" t="str">
        <f>IFERROR(__xludf.DUMMYFUNCTION("""COMPUTED_VALUE"""),"LUIS")</f>
        <v>LUIS</v>
      </c>
      <c r="AQ2343" s="213"/>
      <c r="AR2343" s="213"/>
      <c r="AS2343" s="213"/>
      <c r="AT2343" s="213"/>
      <c r="AU2343" s="213"/>
      <c r="AV2343" s="213"/>
      <c r="AW2343" s="213"/>
      <c r="AX2343" s="213"/>
      <c r="AY2343" s="213"/>
      <c r="AZ2343" s="213"/>
      <c r="BA2343" s="213"/>
      <c r="BB2343" s="213"/>
      <c r="BC2343" s="213"/>
      <c r="BD2343" s="213"/>
    </row>
    <row r="2344">
      <c r="A2344" s="213">
        <f>IFERROR(__xludf.DUMMYFUNCTION("""COMPUTED_VALUE"""),2089.0)</f>
        <v>2089</v>
      </c>
      <c r="B2344" s="213" t="str">
        <f>IFERROR(__xludf.DUMMYFUNCTION("""COMPUTED_VALUE"""),"JOSE GRANDA")</f>
        <v>JOSE GRANDA</v>
      </c>
      <c r="C2344" s="213" t="str">
        <f>IFERROR(__xludf.DUMMYFUNCTION("""COMPUTED_VALUE"""),"TALLER SFT DE INDUSTRIA ALIMENTARIA")</f>
        <v>TALLER SFT DE INDUSTRIA ALIMENTARIA</v>
      </c>
      <c r="D2344" s="213" t="str">
        <f>IFERROR(__xludf.DUMMYFUNCTION("""COMPUTED_VALUE"""),"HERRAMIENTAS")</f>
        <v>HERRAMIENTAS</v>
      </c>
      <c r="E2344" s="213" t="str">
        <f>IFERROR(__xludf.DUMMYFUNCTION("""COMPUTED_VALUE"""),"MAT-393")</f>
        <v>MAT-393</v>
      </c>
      <c r="F2344" s="213" t="str">
        <f>IFERROR(__xludf.DUMMYFUNCTION("""COMPUTED_VALUE"""),"MAT-393")</f>
        <v>MAT-393</v>
      </c>
      <c r="G2344" s="213"/>
      <c r="H2344" s="213" t="str">
        <f>IFERROR(__xludf.DUMMYFUNCTION("""COMPUTED_VALUE"""),"OLLA 5 LITROS")</f>
        <v>OLLA 5 LITROS</v>
      </c>
      <c r="I2344"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44" s="213">
        <f>IFERROR(__xludf.DUMMYFUNCTION("""COMPUTED_VALUE"""),3.0)</f>
        <v>3</v>
      </c>
      <c r="K2344" s="213" t="str">
        <f>IFERROR(__xludf.DUMMYFUNCTION("""COMPUTED_VALUE"""),"90 DÍAS CALENDARIO")</f>
        <v>90 DÍAS CALENDARIO</v>
      </c>
      <c r="L2344" s="213" t="str">
        <f>IFERROR(__xludf.DUMMYFUNCTION("""COMPUTED_VALUE"""),"")</f>
        <v/>
      </c>
      <c r="M2344" s="213">
        <f>IFERROR(__xludf.DUMMYFUNCTION("""COMPUTED_VALUE"""),1.0)</f>
        <v>1</v>
      </c>
      <c r="N2344" s="213">
        <f>IFERROR(__xludf.DUMMYFUNCTION("""COMPUTED_VALUE"""),3.0)</f>
        <v>3</v>
      </c>
      <c r="O2344" s="213">
        <f>IFERROR(__xludf.DUMMYFUNCTION("""COMPUTED_VALUE"""),3.0)</f>
        <v>3</v>
      </c>
      <c r="P2344" s="213"/>
      <c r="Q2344" s="213"/>
      <c r="R2344" s="213" t="str">
        <f>IFERROR(__xludf.DUMMYFUNCTION("""COMPUTED_VALUE"""),"SI")</f>
        <v>SI</v>
      </c>
      <c r="S2344" s="213"/>
      <c r="T2344" s="213" t="str">
        <f>IFERROR(__xludf.DUMMYFUNCTION("""COMPUTED_VALUE"""),"CONSULTA FINAL")</f>
        <v>CONSULTA FINAL</v>
      </c>
      <c r="U2344" s="213" t="str">
        <f>IFERROR(__xludf.DUMMYFUNCTION("""COMPUTED_VALUE"""),"NO")</f>
        <v>NO</v>
      </c>
      <c r="V2344" s="213" t="str">
        <f>IFERROR(__xludf.DUMMYFUNCTION("""COMPUTED_VALUE"""),"SUSTENTO")</f>
        <v>SUSTENTO</v>
      </c>
      <c r="W2344" s="213" t="str">
        <f>IFERROR(__xludf.DUMMYFUNCTION("""COMPUTED_VALUE"""),"DIMENSIONAL")</f>
        <v>DIMENSIONAL</v>
      </c>
      <c r="X2344" s="213" t="str">
        <f>IFERROR(__xludf.DUMMYFUNCTION("""COMPUTED_VALUE"""),"GENERICO")</f>
        <v>GENERICO</v>
      </c>
      <c r="Y2344" s="213" t="str">
        <f>IFERROR(__xludf.DUMMYFUNCTION("""COMPUTED_VALUE"""),"GENERICO")</f>
        <v>GENERICO</v>
      </c>
      <c r="Z2344" s="215" t="str">
        <f>IFERROR(__xludf.DUMMYFUNCTION("""COMPUTED_VALUE"""),"https://www.amazon.com.mx/Inoxidable-Cocinar-Calentar-Preparar-Alimentos/dp/B0BX2FP81N")</f>
        <v>https://www.amazon.com.mx/Inoxidable-Cocinar-Calentar-Preparar-Alimentos/dp/B0BX2FP81N</v>
      </c>
      <c r="AA2344" s="213" t="str">
        <f>IFERROR(__xludf.DUMMYFUNCTION("""COMPUTED_VALUE"""),"MAT-393 OLLA 5 LITROS - CET")</f>
        <v>MAT-393 OLLA 5 LITROS - CET</v>
      </c>
      <c r="AB2344" s="213"/>
      <c r="AC2344" s="213"/>
      <c r="AD2344" s="213"/>
      <c r="AE2344" s="213"/>
      <c r="AF2344" s="213"/>
      <c r="AG2344" s="213"/>
      <c r="AH2344" s="213"/>
      <c r="AI2344" s="213"/>
      <c r="AJ2344" s="213"/>
      <c r="AK2344" s="213"/>
      <c r="AL2344" s="213"/>
      <c r="AM2344" s="213"/>
      <c r="AN2344" s="213"/>
      <c r="AO2344" s="213"/>
      <c r="AP2344" s="213" t="str">
        <f>IFERROR(__xludf.DUMMYFUNCTION("""COMPUTED_VALUE"""),"LUIS")</f>
        <v>LUIS</v>
      </c>
      <c r="AQ2344" s="213"/>
      <c r="AR2344" s="213"/>
      <c r="AS2344" s="213"/>
      <c r="AT2344" s="213"/>
      <c r="AU2344" s="213"/>
      <c r="AV2344" s="213"/>
      <c r="AW2344" s="213"/>
      <c r="AX2344" s="213"/>
      <c r="AY2344" s="213"/>
      <c r="AZ2344" s="213"/>
      <c r="BA2344" s="213"/>
      <c r="BB2344" s="213"/>
      <c r="BC2344" s="213"/>
      <c r="BD2344" s="213"/>
    </row>
    <row r="2345">
      <c r="A2345" s="213">
        <f>IFERROR(__xludf.DUMMYFUNCTION("""COMPUTED_VALUE"""),2112.0)</f>
        <v>2112</v>
      </c>
      <c r="B2345" s="213" t="str">
        <f>IFERROR(__xludf.DUMMYFUNCTION("""COMPUTED_VALUE"""),"JOSE GRANDA")</f>
        <v>JOSE GRANDA</v>
      </c>
      <c r="C2345" s="213" t="str">
        <f>IFERROR(__xludf.DUMMYFUNCTION("""COMPUTED_VALUE"""),"TALLER SFT DE INDUSTRIA ALIMENTARIA")</f>
        <v>TALLER SFT DE INDUSTRIA ALIMENTARIA</v>
      </c>
      <c r="D2345" s="213" t="str">
        <f>IFERROR(__xludf.DUMMYFUNCTION("""COMPUTED_VALUE"""),"HERRAMIENTAS")</f>
        <v>HERRAMIENTAS</v>
      </c>
      <c r="E2345" s="213" t="str">
        <f>IFERROR(__xludf.DUMMYFUNCTION("""COMPUTED_VALUE"""),"MAT-393")</f>
        <v>MAT-393</v>
      </c>
      <c r="F2345" s="213" t="str">
        <f>IFERROR(__xludf.DUMMYFUNCTION("""COMPUTED_VALUE"""),"MAT-393")</f>
        <v>MAT-393</v>
      </c>
      <c r="G2345" s="213"/>
      <c r="H2345" s="213" t="str">
        <f>IFERROR(__xludf.DUMMYFUNCTION("""COMPUTED_VALUE"""),"OLLA 5 LITROS")</f>
        <v>OLLA 5 LITROS</v>
      </c>
      <c r="I2345" s="213" t="str">
        <f>IFERROR(__xludf.DUMMYFUNCTION("""COMPUTED_VALUE"""),"· Material acero Inoxidable 304 grado alimentario
· Capacidad: 5 Litros
· Largo: 39 cm  mínimo.
· Alto: 16 cm  mínimo.
· Diámetro: 24 cm  mínimo.
· Características: asas remachadas")</f>
        <v>· Material acero Inoxidable 304 grado alimentario
· Capacidad: 5 Litros
· Largo: 39 cm  mínimo.
· Alto: 16 cm  mínimo.
· Diámetro: 24 cm  mínimo.
· Características: asas remachadas</v>
      </c>
      <c r="J2345" s="213">
        <f>IFERROR(__xludf.DUMMYFUNCTION("""COMPUTED_VALUE"""),3.0)</f>
        <v>3</v>
      </c>
      <c r="K2345" s="213" t="str">
        <f>IFERROR(__xludf.DUMMYFUNCTION("""COMPUTED_VALUE"""),"90 DÍAS CALENDARIO")</f>
        <v>90 DÍAS CALENDARIO</v>
      </c>
      <c r="L2345" s="213" t="str">
        <f>IFERROR(__xludf.DUMMYFUNCTION("""COMPUTED_VALUE"""),"")</f>
        <v/>
      </c>
      <c r="M2345" s="213">
        <f>IFERROR(__xludf.DUMMYFUNCTION("""COMPUTED_VALUE"""),1.0)</f>
        <v>1</v>
      </c>
      <c r="N2345" s="213">
        <f>IFERROR(__xludf.DUMMYFUNCTION("""COMPUTED_VALUE"""),3.0)</f>
        <v>3</v>
      </c>
      <c r="O2345" s="213">
        <f>IFERROR(__xludf.DUMMYFUNCTION("""COMPUTED_VALUE"""),3.0)</f>
        <v>3</v>
      </c>
      <c r="P2345" s="213"/>
      <c r="Q2345" s="213"/>
      <c r="R2345" s="213" t="str">
        <f>IFERROR(__xludf.DUMMYFUNCTION("""COMPUTED_VALUE"""),"SI")</f>
        <v>SI</v>
      </c>
      <c r="S2345" s="213"/>
      <c r="T2345" s="213" t="str">
        <f>IFERROR(__xludf.DUMMYFUNCTION("""COMPUTED_VALUE"""),"CONSULTA FINAL")</f>
        <v>CONSULTA FINAL</v>
      </c>
      <c r="U2345" s="213" t="str">
        <f>IFERROR(__xludf.DUMMYFUNCTION("""COMPUTED_VALUE"""),"NO")</f>
        <v>NO</v>
      </c>
      <c r="V2345" s="213" t="str">
        <f>IFERROR(__xludf.DUMMYFUNCTION("""COMPUTED_VALUE"""),"SUSTENTO")</f>
        <v>SUSTENTO</v>
      </c>
      <c r="W2345" s="213" t="str">
        <f>IFERROR(__xludf.DUMMYFUNCTION("""COMPUTED_VALUE"""),"DIMENSIONAL")</f>
        <v>DIMENSIONAL</v>
      </c>
      <c r="X2345" s="213" t="str">
        <f>IFERROR(__xludf.DUMMYFUNCTION("""COMPUTED_VALUE"""),"GENERICO")</f>
        <v>GENERICO</v>
      </c>
      <c r="Y2345" s="213" t="str">
        <f>IFERROR(__xludf.DUMMYFUNCTION("""COMPUTED_VALUE"""),"GENERICO")</f>
        <v>GENERICO</v>
      </c>
      <c r="Z2345" s="215" t="str">
        <f>IFERROR(__xludf.DUMMYFUNCTION("""COMPUTED_VALUE"""),"https://www.amazon.com.mx/Inoxidable-Cocinar-Calentar-Preparar-Alimentos/dp/B0BX2FP81N")</f>
        <v>https://www.amazon.com.mx/Inoxidable-Cocinar-Calentar-Preparar-Alimentos/dp/B0BX2FP81N</v>
      </c>
      <c r="AA2345" s="213" t="str">
        <f>IFERROR(__xludf.DUMMYFUNCTION("""COMPUTED_VALUE"""),"MAT-393 OLLA 5 LITROS - CET")</f>
        <v>MAT-393 OLLA 5 LITROS - CET</v>
      </c>
      <c r="AB2345" s="213"/>
      <c r="AC2345" s="213"/>
      <c r="AD2345" s="213"/>
      <c r="AE2345" s="213"/>
      <c r="AF2345" s="213"/>
      <c r="AG2345" s="213"/>
      <c r="AH2345" s="213"/>
      <c r="AI2345" s="213"/>
      <c r="AJ2345" s="213"/>
      <c r="AK2345" s="213"/>
      <c r="AL2345" s="213"/>
      <c r="AM2345" s="213"/>
      <c r="AN2345" s="213"/>
      <c r="AO2345" s="213"/>
      <c r="AP2345" s="213" t="str">
        <f>IFERROR(__xludf.DUMMYFUNCTION("""COMPUTED_VALUE"""),"LUIS")</f>
        <v>LUIS</v>
      </c>
      <c r="AQ2345" s="213"/>
      <c r="AR2345" s="213"/>
      <c r="AS2345" s="213"/>
      <c r="AT2345" s="213"/>
      <c r="AU2345" s="213"/>
      <c r="AV2345" s="213"/>
      <c r="AW2345" s="213"/>
      <c r="AX2345" s="213"/>
      <c r="AY2345" s="213"/>
      <c r="AZ2345" s="213"/>
      <c r="BA2345" s="213"/>
      <c r="BB2345" s="213"/>
      <c r="BC2345" s="213"/>
      <c r="BD2345" s="213"/>
    </row>
    <row r="2346">
      <c r="A2346" s="213">
        <f>IFERROR(__xludf.DUMMYFUNCTION("""COMPUTED_VALUE"""),133.0)</f>
        <v>133</v>
      </c>
      <c r="B2346" s="213" t="str">
        <f>IFERROR(__xludf.DUMMYFUNCTION("""COMPUTED_VALUE"""),"16449 ELOY SOBERON  FLORES")</f>
        <v>16449 ELOY SOBERON  FLORES</v>
      </c>
      <c r="C2346" s="213" t="str">
        <f>IFERROR(__xludf.DUMMYFUNCTION("""COMPUTED_VALUE"""),"TALLER SFT DE COCINA Y REPOSTERÍA")</f>
        <v>TALLER SFT DE COCINA Y REPOSTERÍA</v>
      </c>
      <c r="D2346" s="213" t="str">
        <f>IFERROR(__xludf.DUMMYFUNCTION("""COMPUTED_VALUE"""),"TICS")</f>
        <v>TICS</v>
      </c>
      <c r="E2346" s="213" t="str">
        <f>IFERROR(__xludf.DUMMYFUNCTION("""COMPUTED_VALUE"""),"TEC-117")</f>
        <v>TEC-117</v>
      </c>
      <c r="F2346" s="213" t="str">
        <f>IFERROR(__xludf.DUMMYFUNCTION("""COMPUTED_VALUE"""),"TEC-117")</f>
        <v>TEC-117</v>
      </c>
      <c r="G2346" s="213"/>
      <c r="H2346" s="213" t="str">
        <f>IFERROR(__xludf.DUMMYFUNCTION("""COMPUTED_VALUE"""),"TABLET")</f>
        <v>TABLET</v>
      </c>
      <c r="I2346"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46" s="213">
        <f>IFERROR(__xludf.DUMMYFUNCTION("""COMPUTED_VALUE"""),3.0)</f>
        <v>3</v>
      </c>
      <c r="K2346" s="213" t="str">
        <f>IFERROR(__xludf.DUMMYFUNCTION("""COMPUTED_VALUE"""),"170 DÍAS CALENDARIO")</f>
        <v>170 DÍAS CALENDARIO</v>
      </c>
      <c r="L2346"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46" s="213">
        <f>IFERROR(__xludf.DUMMYFUNCTION("""COMPUTED_VALUE"""),1.0)</f>
        <v>1</v>
      </c>
      <c r="N2346" s="213">
        <f>IFERROR(__xludf.DUMMYFUNCTION("""COMPUTED_VALUE"""),4.0)</f>
        <v>4</v>
      </c>
      <c r="O2346" s="213">
        <f>IFERROR(__xludf.DUMMYFUNCTION("""COMPUTED_VALUE"""),4.0)</f>
        <v>4</v>
      </c>
      <c r="P2346" s="213"/>
      <c r="Q2346" s="213"/>
      <c r="R2346" s="213"/>
      <c r="S2346" s="213"/>
      <c r="T2346" s="213" t="str">
        <f>IFERROR(__xludf.DUMMYFUNCTION("""COMPUTED_VALUE"""),"SI")</f>
        <v>SI</v>
      </c>
      <c r="U2346" s="213" t="str">
        <f>IFERROR(__xludf.DUMMYFUNCTION("""COMPUTED_VALUE"""),"SI")</f>
        <v>SI</v>
      </c>
      <c r="V2346" s="213" t="str">
        <f>IFERROR(__xludf.DUMMYFUNCTION("""COMPUTED_VALUE"""),"-")</f>
        <v>-</v>
      </c>
      <c r="W2346" s="213" t="str">
        <f>IFERROR(__xludf.DUMMYFUNCTION("""COMPUTED_VALUE"""),"-")</f>
        <v>-</v>
      </c>
      <c r="X2346" s="213" t="str">
        <f>IFERROR(__xludf.DUMMYFUNCTION("""COMPUTED_VALUE"""),"LENOVO")</f>
        <v>LENOVO</v>
      </c>
      <c r="Y2346" s="213" t="str">
        <f>IFERROR(__xludf.DUMMYFUNCTION("""COMPUTED_VALUE"""),"TAB LTE TB311XU")</f>
        <v>TAB LTE TB311XU</v>
      </c>
      <c r="Z2346" s="215" t="str">
        <f>IFERROR(__xludf.DUMMYFUNCTION("""COMPUTED_VALUE"""),"https://inquirecontent2.ingrammicro.com/Manufacturer-Brochure/1086740376.pdf")</f>
        <v>https://inquirecontent2.ingrammicro.com/Manufacturer-Brochure/1086740376.pdf</v>
      </c>
      <c r="AA2346" s="213" t="str">
        <f>IFERROR(__xludf.DUMMYFUNCTION("""COMPUTED_VALUE"""),"TEC-117 TABLET - CET")</f>
        <v>TEC-117 TABLET - CET</v>
      </c>
      <c r="AB2346" s="213"/>
      <c r="AC2346" s="213"/>
      <c r="AD2346" s="213"/>
      <c r="AE2346" s="213"/>
      <c r="AF2346" s="213"/>
      <c r="AG2346" s="213"/>
      <c r="AH2346" s="213"/>
      <c r="AI2346" s="213"/>
      <c r="AJ2346" s="213"/>
      <c r="AK2346" s="213"/>
      <c r="AL2346" s="213"/>
      <c r="AM2346" s="213"/>
      <c r="AN2346" s="213"/>
      <c r="AO2346" s="213"/>
      <c r="AP2346" s="213" t="str">
        <f>IFERROR(__xludf.DUMMYFUNCTION("""COMPUTED_VALUE"""),"NALDI")</f>
        <v>NALDI</v>
      </c>
      <c r="AQ2346" s="213" t="str">
        <f>IFERROR(__xludf.DUMMYFUNCTION("""COMPUTED_VALUE"""),"Consultar si llegan los siguientes accesorios: 01 cable de conexión USB y 01 cargador.")</f>
        <v>Consultar si llegan los siguientes accesorios: 01 cable de conexión USB y 01 cargador.</v>
      </c>
      <c r="AR2346" s="213"/>
      <c r="AS2346" s="213" t="str">
        <f>IFERROR(__xludf.DUMMYFUNCTION("""COMPUTED_VALUE"""),"Presenta un protector resistente a los golpes.")</f>
        <v>Presenta un protector resistente a los golpes.</v>
      </c>
      <c r="AT2346" s="213"/>
      <c r="AU2346" s="213"/>
      <c r="AV2346" s="213"/>
      <c r="AW2346" s="213"/>
      <c r="AX2346" s="213"/>
      <c r="AY2346" s="213"/>
      <c r="AZ2346" s="213"/>
      <c r="BA2346" s="213"/>
      <c r="BB2346" s="213"/>
      <c r="BC2346" s="213"/>
      <c r="BD2346" s="213"/>
    </row>
    <row r="2347">
      <c r="A2347" s="213">
        <f>IFERROR(__xludf.DUMMYFUNCTION("""COMPUTED_VALUE"""),206.0)</f>
        <v>206</v>
      </c>
      <c r="B2347" s="213" t="str">
        <f>IFERROR(__xludf.DUMMYFUNCTION("""COMPUTED_VALUE"""),"2026 SIMON BOLIVAR")</f>
        <v>2026 SIMON BOLIVAR</v>
      </c>
      <c r="C2347" s="213" t="str">
        <f>IFERROR(__xludf.DUMMYFUNCTION("""COMPUTED_VALUE"""),"TALLER SFT DE INDUSTRIA DEL VESTIDO")</f>
        <v>TALLER SFT DE INDUSTRIA DEL VESTIDO</v>
      </c>
      <c r="D2347" s="213" t="str">
        <f>IFERROR(__xludf.DUMMYFUNCTION("""COMPUTED_VALUE"""),"TICS")</f>
        <v>TICS</v>
      </c>
      <c r="E2347" s="213" t="str">
        <f>IFERROR(__xludf.DUMMYFUNCTION("""COMPUTED_VALUE"""),"TEC-117")</f>
        <v>TEC-117</v>
      </c>
      <c r="F2347" s="213" t="str">
        <f>IFERROR(__xludf.DUMMYFUNCTION("""COMPUTED_VALUE"""),"TEC-117")</f>
        <v>TEC-117</v>
      </c>
      <c r="G2347" s="213"/>
      <c r="H2347" s="213" t="str">
        <f>IFERROR(__xludf.DUMMYFUNCTION("""COMPUTED_VALUE"""),"TABLET")</f>
        <v>TABLET</v>
      </c>
      <c r="I2347"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47" s="213">
        <f>IFERROR(__xludf.DUMMYFUNCTION("""COMPUTED_VALUE"""),3.0)</f>
        <v>3</v>
      </c>
      <c r="K2347" s="213" t="str">
        <f>IFERROR(__xludf.DUMMYFUNCTION("""COMPUTED_VALUE"""),"170 DÍAS CALENDARIO")</f>
        <v>170 DÍAS CALENDARIO</v>
      </c>
      <c r="L2347"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47" s="213">
        <f>IFERROR(__xludf.DUMMYFUNCTION("""COMPUTED_VALUE"""),1.0)</f>
        <v>1</v>
      </c>
      <c r="N2347" s="213">
        <f>IFERROR(__xludf.DUMMYFUNCTION("""COMPUTED_VALUE"""),4.0)</f>
        <v>4</v>
      </c>
      <c r="O2347" s="213">
        <f>IFERROR(__xludf.DUMMYFUNCTION("""COMPUTED_VALUE"""),4.0)</f>
        <v>4</v>
      </c>
      <c r="P2347" s="213"/>
      <c r="Q2347" s="213"/>
      <c r="R2347" s="213"/>
      <c r="S2347" s="213"/>
      <c r="T2347" s="213" t="str">
        <f>IFERROR(__xludf.DUMMYFUNCTION("""COMPUTED_VALUE"""),"SI")</f>
        <v>SI</v>
      </c>
      <c r="U2347" s="213" t="str">
        <f>IFERROR(__xludf.DUMMYFUNCTION("""COMPUTED_VALUE"""),"SI")</f>
        <v>SI</v>
      </c>
      <c r="V2347" s="213" t="str">
        <f>IFERROR(__xludf.DUMMYFUNCTION("""COMPUTED_VALUE"""),"-")</f>
        <v>-</v>
      </c>
      <c r="W2347" s="213" t="str">
        <f>IFERROR(__xludf.DUMMYFUNCTION("""COMPUTED_VALUE"""),"-")</f>
        <v>-</v>
      </c>
      <c r="X2347" s="213" t="str">
        <f>IFERROR(__xludf.DUMMYFUNCTION("""COMPUTED_VALUE"""),"LENOVO")</f>
        <v>LENOVO</v>
      </c>
      <c r="Y2347" s="213" t="str">
        <f>IFERROR(__xludf.DUMMYFUNCTION("""COMPUTED_VALUE"""),"TAB LTE TB311XU")</f>
        <v>TAB LTE TB311XU</v>
      </c>
      <c r="Z2347" s="215" t="str">
        <f>IFERROR(__xludf.DUMMYFUNCTION("""COMPUTED_VALUE"""),"https://inquirecontent2.ingrammicro.com/Manufacturer-Brochure/1086740376.pdf")</f>
        <v>https://inquirecontent2.ingrammicro.com/Manufacturer-Brochure/1086740376.pdf</v>
      </c>
      <c r="AA2347" s="213" t="str">
        <f>IFERROR(__xludf.DUMMYFUNCTION("""COMPUTED_VALUE"""),"TEC-117 TABLET - CET")</f>
        <v>TEC-117 TABLET - CET</v>
      </c>
      <c r="AB2347" s="213"/>
      <c r="AC2347" s="213"/>
      <c r="AD2347" s="213"/>
      <c r="AE2347" s="213"/>
      <c r="AF2347" s="213"/>
      <c r="AG2347" s="213"/>
      <c r="AH2347" s="213"/>
      <c r="AI2347" s="213"/>
      <c r="AJ2347" s="213"/>
      <c r="AK2347" s="213"/>
      <c r="AL2347" s="213"/>
      <c r="AM2347" s="213"/>
      <c r="AN2347" s="213"/>
      <c r="AO2347" s="213"/>
      <c r="AP2347" s="213" t="str">
        <f>IFERROR(__xludf.DUMMYFUNCTION("""COMPUTED_VALUE"""),"NALDI")</f>
        <v>NALDI</v>
      </c>
      <c r="AQ2347" s="213" t="str">
        <f>IFERROR(__xludf.DUMMYFUNCTION("""COMPUTED_VALUE"""),"Consultar si llegan los siguientes accesorios: 01 cable de conexión USB y 01 cargador.")</f>
        <v>Consultar si llegan los siguientes accesorios: 01 cable de conexión USB y 01 cargador.</v>
      </c>
      <c r="AR2347" s="213"/>
      <c r="AS2347" s="213" t="str">
        <f>IFERROR(__xludf.DUMMYFUNCTION("""COMPUTED_VALUE"""),"Presenta un protector resistente a los golpes.")</f>
        <v>Presenta un protector resistente a los golpes.</v>
      </c>
      <c r="AT2347" s="213"/>
      <c r="AU2347" s="213"/>
      <c r="AV2347" s="213"/>
      <c r="AW2347" s="213"/>
      <c r="AX2347" s="213"/>
      <c r="AY2347" s="213"/>
      <c r="AZ2347" s="213"/>
      <c r="BA2347" s="213"/>
      <c r="BB2347" s="213"/>
      <c r="BC2347" s="213"/>
      <c r="BD2347" s="213"/>
    </row>
    <row r="2348">
      <c r="A2348" s="213">
        <f>IFERROR(__xludf.DUMMYFUNCTION("""COMPUTED_VALUE"""),293.0)</f>
        <v>293</v>
      </c>
      <c r="B2348" s="213" t="str">
        <f>IFERROR(__xludf.DUMMYFUNCTION("""COMPUTED_VALUE"""),"2026 SIMON BOLIVAR")</f>
        <v>2026 SIMON BOLIVAR</v>
      </c>
      <c r="C2348" s="213" t="str">
        <f>IFERROR(__xludf.DUMMYFUNCTION("""COMPUTED_VALUE"""),"TALLER SFT DE COMPUTACIÓN E INFORMÁTICA")</f>
        <v>TALLER SFT DE COMPUTACIÓN E INFORMÁTICA</v>
      </c>
      <c r="D2348" s="213" t="str">
        <f>IFERROR(__xludf.DUMMYFUNCTION("""COMPUTED_VALUE"""),"TICS")</f>
        <v>TICS</v>
      </c>
      <c r="E2348" s="213" t="str">
        <f>IFERROR(__xludf.DUMMYFUNCTION("""COMPUTED_VALUE"""),"TEC-117")</f>
        <v>TEC-117</v>
      </c>
      <c r="F2348" s="213" t="str">
        <f>IFERROR(__xludf.DUMMYFUNCTION("""COMPUTED_VALUE"""),"TEC-117")</f>
        <v>TEC-117</v>
      </c>
      <c r="G2348" s="213"/>
      <c r="H2348" s="213" t="str">
        <f>IFERROR(__xludf.DUMMYFUNCTION("""COMPUTED_VALUE"""),"TABLET")</f>
        <v>TABLET</v>
      </c>
      <c r="I2348"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48" s="213">
        <f>IFERROR(__xludf.DUMMYFUNCTION("""COMPUTED_VALUE"""),3.0)</f>
        <v>3</v>
      </c>
      <c r="K2348" s="213" t="str">
        <f>IFERROR(__xludf.DUMMYFUNCTION("""COMPUTED_VALUE"""),"170 DÍAS CALENDARIO")</f>
        <v>170 DÍAS CALENDARIO</v>
      </c>
      <c r="L2348"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48" s="213">
        <f>IFERROR(__xludf.DUMMYFUNCTION("""COMPUTED_VALUE"""),1.0)</f>
        <v>1</v>
      </c>
      <c r="N2348" s="213">
        <f>IFERROR(__xludf.DUMMYFUNCTION("""COMPUTED_VALUE"""),4.0)</f>
        <v>4</v>
      </c>
      <c r="O2348" s="213">
        <f>IFERROR(__xludf.DUMMYFUNCTION("""COMPUTED_VALUE"""),4.0)</f>
        <v>4</v>
      </c>
      <c r="P2348" s="213"/>
      <c r="Q2348" s="213"/>
      <c r="R2348" s="213"/>
      <c r="S2348" s="213"/>
      <c r="T2348" s="213" t="str">
        <f>IFERROR(__xludf.DUMMYFUNCTION("""COMPUTED_VALUE"""),"SI")</f>
        <v>SI</v>
      </c>
      <c r="U2348" s="213" t="str">
        <f>IFERROR(__xludf.DUMMYFUNCTION("""COMPUTED_VALUE"""),"SI")</f>
        <v>SI</v>
      </c>
      <c r="V2348" s="213" t="str">
        <f>IFERROR(__xludf.DUMMYFUNCTION("""COMPUTED_VALUE"""),"-")</f>
        <v>-</v>
      </c>
      <c r="W2348" s="213" t="str">
        <f>IFERROR(__xludf.DUMMYFUNCTION("""COMPUTED_VALUE"""),"-")</f>
        <v>-</v>
      </c>
      <c r="X2348" s="213" t="str">
        <f>IFERROR(__xludf.DUMMYFUNCTION("""COMPUTED_VALUE"""),"LENOVO")</f>
        <v>LENOVO</v>
      </c>
      <c r="Y2348" s="213" t="str">
        <f>IFERROR(__xludf.DUMMYFUNCTION("""COMPUTED_VALUE"""),"TAB LTE TB311XU")</f>
        <v>TAB LTE TB311XU</v>
      </c>
      <c r="Z2348" s="215" t="str">
        <f>IFERROR(__xludf.DUMMYFUNCTION("""COMPUTED_VALUE"""),"https://inquirecontent2.ingrammicro.com/Manufacturer-Brochure/1086740376.pdf")</f>
        <v>https://inquirecontent2.ingrammicro.com/Manufacturer-Brochure/1086740376.pdf</v>
      </c>
      <c r="AA2348" s="213" t="str">
        <f>IFERROR(__xludf.DUMMYFUNCTION("""COMPUTED_VALUE"""),"TEC-117 TABLET - CET")</f>
        <v>TEC-117 TABLET - CET</v>
      </c>
      <c r="AB2348" s="213"/>
      <c r="AC2348" s="213"/>
      <c r="AD2348" s="213"/>
      <c r="AE2348" s="213"/>
      <c r="AF2348" s="213"/>
      <c r="AG2348" s="213"/>
      <c r="AH2348" s="213"/>
      <c r="AI2348" s="213"/>
      <c r="AJ2348" s="213"/>
      <c r="AK2348" s="213"/>
      <c r="AL2348" s="213"/>
      <c r="AM2348" s="213"/>
      <c r="AN2348" s="213"/>
      <c r="AO2348" s="213"/>
      <c r="AP2348" s="213" t="str">
        <f>IFERROR(__xludf.DUMMYFUNCTION("""COMPUTED_VALUE"""),"NALDI")</f>
        <v>NALDI</v>
      </c>
      <c r="AQ2348" s="213" t="str">
        <f>IFERROR(__xludf.DUMMYFUNCTION("""COMPUTED_VALUE"""),"Consultar si llegan los siguientes accesorios: 01 cable de conexión USB y 01 cargador.")</f>
        <v>Consultar si llegan los siguientes accesorios: 01 cable de conexión USB y 01 cargador.</v>
      </c>
      <c r="AR2348" s="213"/>
      <c r="AS2348" s="213" t="str">
        <f>IFERROR(__xludf.DUMMYFUNCTION("""COMPUTED_VALUE"""),"Presenta un protector resistente a los golpes.")</f>
        <v>Presenta un protector resistente a los golpes.</v>
      </c>
      <c r="AT2348" s="213"/>
      <c r="AU2348" s="213"/>
      <c r="AV2348" s="213"/>
      <c r="AW2348" s="213"/>
      <c r="AX2348" s="213"/>
      <c r="AY2348" s="213"/>
      <c r="AZ2348" s="213"/>
      <c r="BA2348" s="213"/>
      <c r="BB2348" s="213"/>
      <c r="BC2348" s="213"/>
      <c r="BD2348" s="213"/>
    </row>
    <row r="2349">
      <c r="A2349" s="213">
        <f>IFERROR(__xludf.DUMMYFUNCTION("""COMPUTED_VALUE"""),373.0)</f>
        <v>373</v>
      </c>
      <c r="B2349" s="213" t="str">
        <f>IFERROR(__xludf.DUMMYFUNCTION("""COMPUTED_VALUE"""),"2026 SIMON BOLIVAR")</f>
        <v>2026 SIMON BOLIVAR</v>
      </c>
      <c r="C2349" s="213" t="str">
        <f>IFERROR(__xludf.DUMMYFUNCTION("""COMPUTED_VALUE"""),"TALLER SFT DE ELECTRICIDAD")</f>
        <v>TALLER SFT DE ELECTRICIDAD</v>
      </c>
      <c r="D2349" s="213" t="str">
        <f>IFERROR(__xludf.DUMMYFUNCTION("""COMPUTED_VALUE"""),"TICS")</f>
        <v>TICS</v>
      </c>
      <c r="E2349" s="213" t="str">
        <f>IFERROR(__xludf.DUMMYFUNCTION("""COMPUTED_VALUE"""),"TEC-117")</f>
        <v>TEC-117</v>
      </c>
      <c r="F2349" s="213" t="str">
        <f>IFERROR(__xludf.DUMMYFUNCTION("""COMPUTED_VALUE"""),"TEC-117")</f>
        <v>TEC-117</v>
      </c>
      <c r="G2349" s="213"/>
      <c r="H2349" s="213" t="str">
        <f>IFERROR(__xludf.DUMMYFUNCTION("""COMPUTED_VALUE"""),"TABLET")</f>
        <v>TABLET</v>
      </c>
      <c r="I2349"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hast"&amp;"a 11 """"
. Resolución 1920 x 1200
· Conectividad: Inhalambrica IEEE 802.11 b/g/n, Bluetooth, 4G LTE.
. Puertos: E/S - 01 conector de audio 3.5 mm, 01 USB tipo """"C"""", 01 ranura  micro SD.""				
"". Sonido parlantes integrados.
. Cámara: frontal  5 MPX"&amp;" mínimo, y posterior de 5 MPX mínimo.""				
· Batería LI-ION o LI-PO.				
. Certificado:  Energy Star y/o CE y/o FCC y/o RoHS.				
. Accesorios: 01 cable de conexión USB y 01 cargador.				
· Presenta un protector resistente a los golpes.				
INCLUYE:				
"&amp;"· Software para diseñar, recoger información en campo y procesar información de encuestas y entrevistas: características:				
· Software libre:				
- Formulario de google, Hojas de cálculo google, Google Docs				
- Sketchbook pro (Gratuito)				
- Oppen Of"&amp;"fice.				
· Libre Office				
- Versión 2018 o superior, Idioma español.				
- Para crear cuestionarios, entrevistas y aplicar en campo				
- Realizar colecta de datos de forma segura, confiable y amigable.				
- Permite realizar el análisis de datos de fo"&amp;"rma intuitiva				
-· Software Antivirus				
- Licenciada				
- Idioma español, Versión 2019 o superior				
- Protección antivirus en tiempo real para proteger de virus, troyanos, adware, malware y phishing.				
- Protección contra firewall				
- Protecció"&amp;"n de escudo web compatible con el sistema operativo de la tablet				
- Limpiador de disco para liberar espacio en el sistema operativo de la Tablet.		")</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		</v>
      </c>
      <c r="J2349" s="213">
        <f>IFERROR(__xludf.DUMMYFUNCTION("""COMPUTED_VALUE"""),3.0)</f>
        <v>3</v>
      </c>
      <c r="K2349" s="213" t="str">
        <f>IFERROR(__xludf.DUMMYFUNCTION("""COMPUTED_VALUE"""),"170 DÍAS CALENDARIO")</f>
        <v>170 DÍAS CALENDARIO</v>
      </c>
      <c r="L2349"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49" s="213">
        <f>IFERROR(__xludf.DUMMYFUNCTION("""COMPUTED_VALUE"""),1.0)</f>
        <v>1</v>
      </c>
      <c r="N2349" s="213">
        <f>IFERROR(__xludf.DUMMYFUNCTION("""COMPUTED_VALUE"""),4.0)</f>
        <v>4</v>
      </c>
      <c r="O2349" s="213">
        <f>IFERROR(__xludf.DUMMYFUNCTION("""COMPUTED_VALUE"""),4.0)</f>
        <v>4</v>
      </c>
      <c r="P2349" s="213"/>
      <c r="Q2349" s="213"/>
      <c r="R2349" s="213"/>
      <c r="S2349" s="213"/>
      <c r="T2349" s="213" t="str">
        <f>IFERROR(__xludf.DUMMYFUNCTION("""COMPUTED_VALUE"""),"SI")</f>
        <v>SI</v>
      </c>
      <c r="U2349" s="213" t="str">
        <f>IFERROR(__xludf.DUMMYFUNCTION("""COMPUTED_VALUE"""),"SI")</f>
        <v>SI</v>
      </c>
      <c r="V2349" s="213" t="str">
        <f>IFERROR(__xludf.DUMMYFUNCTION("""COMPUTED_VALUE"""),"-")</f>
        <v>-</v>
      </c>
      <c r="W2349" s="213" t="str">
        <f>IFERROR(__xludf.DUMMYFUNCTION("""COMPUTED_VALUE"""),"-")</f>
        <v>-</v>
      </c>
      <c r="X2349" s="213" t="str">
        <f>IFERROR(__xludf.DUMMYFUNCTION("""COMPUTED_VALUE"""),"LENOVO")</f>
        <v>LENOVO</v>
      </c>
      <c r="Y2349" s="213" t="str">
        <f>IFERROR(__xludf.DUMMYFUNCTION("""COMPUTED_VALUE"""),"TAB LTE TB311XU")</f>
        <v>TAB LTE TB311XU</v>
      </c>
      <c r="Z2349" s="215" t="str">
        <f>IFERROR(__xludf.DUMMYFUNCTION("""COMPUTED_VALUE"""),"https://inquirecontent2.ingrammicro.com/Manufacturer-Brochure/1086740376.pdf")</f>
        <v>https://inquirecontent2.ingrammicro.com/Manufacturer-Brochure/1086740376.pdf</v>
      </c>
      <c r="AA2349" s="213" t="str">
        <f>IFERROR(__xludf.DUMMYFUNCTION("""COMPUTED_VALUE"""),"TEC-117 TABLET - CET")</f>
        <v>TEC-117 TABLET - CET</v>
      </c>
      <c r="AB2349" s="213"/>
      <c r="AC2349" s="213"/>
      <c r="AD2349" s="213"/>
      <c r="AE2349" s="213"/>
      <c r="AF2349" s="213"/>
      <c r="AG2349" s="213"/>
      <c r="AH2349" s="213"/>
      <c r="AI2349" s="213"/>
      <c r="AJ2349" s="213"/>
      <c r="AK2349" s="213"/>
      <c r="AL2349" s="213"/>
      <c r="AM2349" s="213"/>
      <c r="AN2349" s="213"/>
      <c r="AO2349" s="213"/>
      <c r="AP2349" s="213" t="str">
        <f>IFERROR(__xludf.DUMMYFUNCTION("""COMPUTED_VALUE"""),"NALDI")</f>
        <v>NALDI</v>
      </c>
      <c r="AQ2349" s="213" t="str">
        <f>IFERROR(__xludf.DUMMYFUNCTION("""COMPUTED_VALUE"""),"Consultar si llegan los siguientes accesorios: 01 cable de conexión USB y 01 cargador.")</f>
        <v>Consultar si llegan los siguientes accesorios: 01 cable de conexión USB y 01 cargador.</v>
      </c>
      <c r="AR2349" s="213"/>
      <c r="AS2349" s="213" t="str">
        <f>IFERROR(__xludf.DUMMYFUNCTION("""COMPUTED_VALUE"""),"Presenta un protector resistente a los golpes.")</f>
        <v>Presenta un protector resistente a los golpes.</v>
      </c>
      <c r="AT2349" s="213"/>
      <c r="AU2349" s="213"/>
      <c r="AV2349" s="213"/>
      <c r="AW2349" s="213"/>
      <c r="AX2349" s="213"/>
      <c r="AY2349" s="213"/>
      <c r="AZ2349" s="213"/>
      <c r="BA2349" s="213"/>
      <c r="BB2349" s="213"/>
      <c r="BC2349" s="213"/>
      <c r="BD2349" s="213"/>
    </row>
    <row r="2350">
      <c r="A2350" s="213">
        <f>IFERROR(__xludf.DUMMYFUNCTION("""COMPUTED_VALUE"""),570.0)</f>
        <v>570</v>
      </c>
      <c r="B2350" s="213" t="str">
        <f>IFERROR(__xludf.DUMMYFUNCTION("""COMPUTED_VALUE"""),"2026 SIMON BOLIVAR")</f>
        <v>2026 SIMON BOLIVAR</v>
      </c>
      <c r="C2350" s="213" t="str">
        <f>IFERROR(__xludf.DUMMYFUNCTION("""COMPUTED_VALUE"""),"TALLER SFT DE INDUSTRIA ALIMENTARIA")</f>
        <v>TALLER SFT DE INDUSTRIA ALIMENTARIA</v>
      </c>
      <c r="D2350" s="213" t="str">
        <f>IFERROR(__xludf.DUMMYFUNCTION("""COMPUTED_VALUE"""),"TICS")</f>
        <v>TICS</v>
      </c>
      <c r="E2350" s="213" t="str">
        <f>IFERROR(__xludf.DUMMYFUNCTION("""COMPUTED_VALUE"""),"TEC-117")</f>
        <v>TEC-117</v>
      </c>
      <c r="F2350" s="213" t="str">
        <f>IFERROR(__xludf.DUMMYFUNCTION("""COMPUTED_VALUE"""),"TEC-117")</f>
        <v>TEC-117</v>
      </c>
      <c r="G2350" s="213"/>
      <c r="H2350" s="213" t="str">
        <f>IFERROR(__xludf.DUMMYFUNCTION("""COMPUTED_VALUE"""),"TABLET")</f>
        <v>TABLET</v>
      </c>
      <c r="I2350"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50" s="213">
        <f>IFERROR(__xludf.DUMMYFUNCTION("""COMPUTED_VALUE"""),3.0)</f>
        <v>3</v>
      </c>
      <c r="K2350" s="213" t="str">
        <f>IFERROR(__xludf.DUMMYFUNCTION("""COMPUTED_VALUE"""),"170 DÍAS CALENDARIO")</f>
        <v>170 DÍAS CALENDARIO</v>
      </c>
      <c r="L2350"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0" s="213">
        <f>IFERROR(__xludf.DUMMYFUNCTION("""COMPUTED_VALUE"""),1.0)</f>
        <v>1</v>
      </c>
      <c r="N2350" s="213">
        <f>IFERROR(__xludf.DUMMYFUNCTION("""COMPUTED_VALUE"""),4.0)</f>
        <v>4</v>
      </c>
      <c r="O2350" s="213">
        <f>IFERROR(__xludf.DUMMYFUNCTION("""COMPUTED_VALUE"""),4.0)</f>
        <v>4</v>
      </c>
      <c r="P2350" s="213"/>
      <c r="Q2350" s="213"/>
      <c r="R2350" s="213"/>
      <c r="S2350" s="213"/>
      <c r="T2350" s="213" t="str">
        <f>IFERROR(__xludf.DUMMYFUNCTION("""COMPUTED_VALUE"""),"SI")</f>
        <v>SI</v>
      </c>
      <c r="U2350" s="213" t="str">
        <f>IFERROR(__xludf.DUMMYFUNCTION("""COMPUTED_VALUE"""),"SI")</f>
        <v>SI</v>
      </c>
      <c r="V2350" s="213" t="str">
        <f>IFERROR(__xludf.DUMMYFUNCTION("""COMPUTED_VALUE"""),"-")</f>
        <v>-</v>
      </c>
      <c r="W2350" s="213" t="str">
        <f>IFERROR(__xludf.DUMMYFUNCTION("""COMPUTED_VALUE"""),"-")</f>
        <v>-</v>
      </c>
      <c r="X2350" s="213" t="str">
        <f>IFERROR(__xludf.DUMMYFUNCTION("""COMPUTED_VALUE"""),"LENOVO")</f>
        <v>LENOVO</v>
      </c>
      <c r="Y2350" s="213" t="str">
        <f>IFERROR(__xludf.DUMMYFUNCTION("""COMPUTED_VALUE"""),"TAB LTE TB311XU")</f>
        <v>TAB LTE TB311XU</v>
      </c>
      <c r="Z2350" s="215" t="str">
        <f>IFERROR(__xludf.DUMMYFUNCTION("""COMPUTED_VALUE"""),"https://inquirecontent2.ingrammicro.com/Manufacturer-Brochure/1086740376.pdf")</f>
        <v>https://inquirecontent2.ingrammicro.com/Manufacturer-Brochure/1086740376.pdf</v>
      </c>
      <c r="AA2350" s="213" t="str">
        <f>IFERROR(__xludf.DUMMYFUNCTION("""COMPUTED_VALUE"""),"TEC-117 TABLET - CET")</f>
        <v>TEC-117 TABLET - CET</v>
      </c>
      <c r="AB2350" s="213"/>
      <c r="AC2350" s="213"/>
      <c r="AD2350" s="213"/>
      <c r="AE2350" s="213"/>
      <c r="AF2350" s="213"/>
      <c r="AG2350" s="213"/>
      <c r="AH2350" s="213"/>
      <c r="AI2350" s="213"/>
      <c r="AJ2350" s="213"/>
      <c r="AK2350" s="213"/>
      <c r="AL2350" s="213"/>
      <c r="AM2350" s="213"/>
      <c r="AN2350" s="213"/>
      <c r="AO2350" s="213"/>
      <c r="AP2350" s="213" t="str">
        <f>IFERROR(__xludf.DUMMYFUNCTION("""COMPUTED_VALUE"""),"NALDI")</f>
        <v>NALDI</v>
      </c>
      <c r="AQ2350" s="213" t="str">
        <f>IFERROR(__xludf.DUMMYFUNCTION("""COMPUTED_VALUE"""),"Consultar si llegan los siguientes accesorios: 01 cable de conexión USB y 01 cargador.")</f>
        <v>Consultar si llegan los siguientes accesorios: 01 cable de conexión USB y 01 cargador.</v>
      </c>
      <c r="AR2350" s="213"/>
      <c r="AS2350" s="213" t="str">
        <f>IFERROR(__xludf.DUMMYFUNCTION("""COMPUTED_VALUE"""),"Presenta un protector resistente a los golpes.")</f>
        <v>Presenta un protector resistente a los golpes.</v>
      </c>
      <c r="AT2350" s="213"/>
      <c r="AU2350" s="213"/>
      <c r="AV2350" s="213"/>
      <c r="AW2350" s="213"/>
      <c r="AX2350" s="213"/>
      <c r="AY2350" s="213"/>
      <c r="AZ2350" s="213"/>
      <c r="BA2350" s="213"/>
      <c r="BB2350" s="213"/>
      <c r="BC2350" s="213"/>
      <c r="BD2350" s="213"/>
    </row>
    <row r="2351">
      <c r="A2351" s="213">
        <f>IFERROR(__xludf.DUMMYFUNCTION("""COMPUTED_VALUE"""),658.0)</f>
        <v>658</v>
      </c>
      <c r="B2351" s="213" t="str">
        <f>IFERROR(__xludf.DUMMYFUNCTION("""COMPUTED_VALUE"""),"6049 RICARDO PALMA")</f>
        <v>6049 RICARDO PALMA</v>
      </c>
      <c r="C2351" s="213" t="str">
        <f>IFERROR(__xludf.DUMMYFUNCTION("""COMPUTED_VALUE"""),"TALLER SFT DE ELECTRÓNICA")</f>
        <v>TALLER SFT DE ELECTRÓNICA</v>
      </c>
      <c r="D2351" s="213" t="str">
        <f>IFERROR(__xludf.DUMMYFUNCTION("""COMPUTED_VALUE"""),"TICS")</f>
        <v>TICS</v>
      </c>
      <c r="E2351" s="213" t="str">
        <f>IFERROR(__xludf.DUMMYFUNCTION("""COMPUTED_VALUE"""),"TEC-117")</f>
        <v>TEC-117</v>
      </c>
      <c r="F2351" s="213" t="str">
        <f>IFERROR(__xludf.DUMMYFUNCTION("""COMPUTED_VALUE"""),"TEC-117")</f>
        <v>TEC-117</v>
      </c>
      <c r="G2351" s="213"/>
      <c r="H2351" s="213" t="str">
        <f>IFERROR(__xludf.DUMMYFUNCTION("""COMPUTED_VALUE"""),"TABLET")</f>
        <v>TABLET</v>
      </c>
      <c r="I2351"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M"&amp;"PX mínimo.
· Batería LI-ION o LI-PO.
. Certificado:   Energy Star y/o CE y/o FCC y/o RoHS.
. Accesorios: 01 cable de conexión USB y 01 cargador.
· Presenta un protector resistente a los golpes. INCLUYE:
· Software para diseñar, recoger información en camp"&amp;"o y procesar información de encuestas y entrevistas: características:
· Software libre:
- Formulario de google, Hojas de cálculo google, Google Docs
- Sketchbook pro (Gratuito)
- Oppen Office.
· Libre Office
- Versión 2018 o superior, Idioma español.
- Pa"&amp;"ra crear cuestionarios, entrevistas y aplicar en campo
- Realizar colecta de datos de forma segura, confiable y amigable.
- Permite realizar el análisis de datos de forma intuitiva
· Software Antivirus
- Licenciada
- Idioma español, Versión 2019 o superio"&amp;"r
- Protección antivirus en tiempo real para proteger de virus, troyanos, adware, malware y phishing.
- Protección contra firewall
- Protección de escudo web compatible con el sistema operativo de la tablet
- Limpiador de disco para liberar espacio en el "&amp;"sistema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51" s="213">
        <f>IFERROR(__xludf.DUMMYFUNCTION("""COMPUTED_VALUE"""),3.0)</f>
        <v>3</v>
      </c>
      <c r="K2351" s="213" t="str">
        <f>IFERROR(__xludf.DUMMYFUNCTION("""COMPUTED_VALUE"""),"170 DÍAS CALENDARIO")</f>
        <v>170 DÍAS CALENDARIO</v>
      </c>
      <c r="L2351"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1" s="213">
        <f>IFERROR(__xludf.DUMMYFUNCTION("""COMPUTED_VALUE"""),1.0)</f>
        <v>1</v>
      </c>
      <c r="N2351" s="213">
        <f>IFERROR(__xludf.DUMMYFUNCTION("""COMPUTED_VALUE"""),4.0)</f>
        <v>4</v>
      </c>
      <c r="O2351" s="213">
        <f>IFERROR(__xludf.DUMMYFUNCTION("""COMPUTED_VALUE"""),4.0)</f>
        <v>4</v>
      </c>
      <c r="P2351" s="213"/>
      <c r="Q2351" s="213"/>
      <c r="R2351" s="213"/>
      <c r="S2351" s="213"/>
      <c r="T2351" s="213" t="str">
        <f>IFERROR(__xludf.DUMMYFUNCTION("""COMPUTED_VALUE"""),"SI")</f>
        <v>SI</v>
      </c>
      <c r="U2351" s="213" t="str">
        <f>IFERROR(__xludf.DUMMYFUNCTION("""COMPUTED_VALUE"""),"SI")</f>
        <v>SI</v>
      </c>
      <c r="V2351" s="213" t="str">
        <f>IFERROR(__xludf.DUMMYFUNCTION("""COMPUTED_VALUE"""),"-")</f>
        <v>-</v>
      </c>
      <c r="W2351" s="213" t="str">
        <f>IFERROR(__xludf.DUMMYFUNCTION("""COMPUTED_VALUE"""),"-")</f>
        <v>-</v>
      </c>
      <c r="X2351" s="213" t="str">
        <f>IFERROR(__xludf.DUMMYFUNCTION("""COMPUTED_VALUE"""),"LENOVO")</f>
        <v>LENOVO</v>
      </c>
      <c r="Y2351" s="213" t="str">
        <f>IFERROR(__xludf.DUMMYFUNCTION("""COMPUTED_VALUE"""),"TAB LTE TB311XU")</f>
        <v>TAB LTE TB311XU</v>
      </c>
      <c r="Z2351" s="215" t="str">
        <f>IFERROR(__xludf.DUMMYFUNCTION("""COMPUTED_VALUE"""),"https://inquirecontent2.ingrammicro.com/Manufacturer-Brochure/1086740376.pdf")</f>
        <v>https://inquirecontent2.ingrammicro.com/Manufacturer-Brochure/1086740376.pdf</v>
      </c>
      <c r="AA2351" s="213" t="str">
        <f>IFERROR(__xludf.DUMMYFUNCTION("""COMPUTED_VALUE"""),"TEC-117 TABLET - CET")</f>
        <v>TEC-117 TABLET - CET</v>
      </c>
      <c r="AB2351" s="213"/>
      <c r="AC2351" s="213"/>
      <c r="AD2351" s="213"/>
      <c r="AE2351" s="213"/>
      <c r="AF2351" s="213"/>
      <c r="AG2351" s="213"/>
      <c r="AH2351" s="213"/>
      <c r="AI2351" s="213"/>
      <c r="AJ2351" s="213"/>
      <c r="AK2351" s="213"/>
      <c r="AL2351" s="213"/>
      <c r="AM2351" s="213"/>
      <c r="AN2351" s="213"/>
      <c r="AO2351" s="213"/>
      <c r="AP2351" s="213" t="str">
        <f>IFERROR(__xludf.DUMMYFUNCTION("""COMPUTED_VALUE"""),"NALDI")</f>
        <v>NALDI</v>
      </c>
      <c r="AQ2351" s="213" t="str">
        <f>IFERROR(__xludf.DUMMYFUNCTION("""COMPUTED_VALUE"""),"Consultar si llegan los siguientes accesorios: 01 cable de conexión USB y 01 cargador.")</f>
        <v>Consultar si llegan los siguientes accesorios: 01 cable de conexión USB y 01 cargador.</v>
      </c>
      <c r="AR2351" s="213"/>
      <c r="AS2351" s="213" t="str">
        <f>IFERROR(__xludf.DUMMYFUNCTION("""COMPUTED_VALUE"""),"Presenta un protector resistente a los golpes.")</f>
        <v>Presenta un protector resistente a los golpes.</v>
      </c>
      <c r="AT2351" s="213"/>
      <c r="AU2351" s="213"/>
      <c r="AV2351" s="213"/>
      <c r="AW2351" s="213"/>
      <c r="AX2351" s="213"/>
      <c r="AY2351" s="213"/>
      <c r="AZ2351" s="213"/>
      <c r="BA2351" s="213"/>
      <c r="BB2351" s="213"/>
      <c r="BC2351" s="213"/>
      <c r="BD2351" s="213"/>
    </row>
    <row r="2352">
      <c r="A2352" s="213">
        <f>IFERROR(__xludf.DUMMYFUNCTION("""COMPUTED_VALUE"""),779.0)</f>
        <v>779</v>
      </c>
      <c r="B2352" s="213" t="str">
        <f>IFERROR(__xludf.DUMMYFUNCTION("""COMPUTED_VALUE"""),"6049 RICARDO PALMA")</f>
        <v>6049 RICARDO PALMA</v>
      </c>
      <c r="C2352" s="213" t="str">
        <f>IFERROR(__xludf.DUMMYFUNCTION("""COMPUTED_VALUE"""),"TALLER SFT DE COMPUTACIÓN E INFORMÁTICA")</f>
        <v>TALLER SFT DE COMPUTACIÓN E INFORMÁTICA</v>
      </c>
      <c r="D2352" s="213" t="str">
        <f>IFERROR(__xludf.DUMMYFUNCTION("""COMPUTED_VALUE"""),"TICS")</f>
        <v>TICS</v>
      </c>
      <c r="E2352" s="213" t="str">
        <f>IFERROR(__xludf.DUMMYFUNCTION("""COMPUTED_VALUE"""),"TEC-117")</f>
        <v>TEC-117</v>
      </c>
      <c r="F2352" s="213" t="str">
        <f>IFERROR(__xludf.DUMMYFUNCTION("""COMPUTED_VALUE"""),"TEC-117")</f>
        <v>TEC-117</v>
      </c>
      <c r="G2352" s="213"/>
      <c r="H2352" s="213" t="str">
        <f>IFERROR(__xludf.DUMMYFUNCTION("""COMPUTED_VALUE"""),"TABLET")</f>
        <v>TABLET</v>
      </c>
      <c r="I2352"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52" s="213">
        <f>IFERROR(__xludf.DUMMYFUNCTION("""COMPUTED_VALUE"""),3.0)</f>
        <v>3</v>
      </c>
      <c r="K2352" s="213" t="str">
        <f>IFERROR(__xludf.DUMMYFUNCTION("""COMPUTED_VALUE"""),"170 DÍAS CALENDARIO")</f>
        <v>170 DÍAS CALENDARIO</v>
      </c>
      <c r="L2352"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2" s="213">
        <f>IFERROR(__xludf.DUMMYFUNCTION("""COMPUTED_VALUE"""),1.0)</f>
        <v>1</v>
      </c>
      <c r="N2352" s="213">
        <f>IFERROR(__xludf.DUMMYFUNCTION("""COMPUTED_VALUE"""),4.0)</f>
        <v>4</v>
      </c>
      <c r="O2352" s="213">
        <f>IFERROR(__xludf.DUMMYFUNCTION("""COMPUTED_VALUE"""),4.0)</f>
        <v>4</v>
      </c>
      <c r="P2352" s="213"/>
      <c r="Q2352" s="213"/>
      <c r="R2352" s="213"/>
      <c r="S2352" s="213"/>
      <c r="T2352" s="213" t="str">
        <f>IFERROR(__xludf.DUMMYFUNCTION("""COMPUTED_VALUE"""),"SI")</f>
        <v>SI</v>
      </c>
      <c r="U2352" s="213" t="str">
        <f>IFERROR(__xludf.DUMMYFUNCTION("""COMPUTED_VALUE"""),"SI")</f>
        <v>SI</v>
      </c>
      <c r="V2352" s="213" t="str">
        <f>IFERROR(__xludf.DUMMYFUNCTION("""COMPUTED_VALUE"""),"-")</f>
        <v>-</v>
      </c>
      <c r="W2352" s="213" t="str">
        <f>IFERROR(__xludf.DUMMYFUNCTION("""COMPUTED_VALUE"""),"-")</f>
        <v>-</v>
      </c>
      <c r="X2352" s="213" t="str">
        <f>IFERROR(__xludf.DUMMYFUNCTION("""COMPUTED_VALUE"""),"LENOVO")</f>
        <v>LENOVO</v>
      </c>
      <c r="Y2352" s="213" t="str">
        <f>IFERROR(__xludf.DUMMYFUNCTION("""COMPUTED_VALUE"""),"TAB LTE TB311XU")</f>
        <v>TAB LTE TB311XU</v>
      </c>
      <c r="Z2352" s="215" t="str">
        <f>IFERROR(__xludf.DUMMYFUNCTION("""COMPUTED_VALUE"""),"https://inquirecontent2.ingrammicro.com/Manufacturer-Brochure/1086740376.pdf")</f>
        <v>https://inquirecontent2.ingrammicro.com/Manufacturer-Brochure/1086740376.pdf</v>
      </c>
      <c r="AA2352" s="213" t="str">
        <f>IFERROR(__xludf.DUMMYFUNCTION("""COMPUTED_VALUE"""),"TEC-117 TABLET - CET")</f>
        <v>TEC-117 TABLET - CET</v>
      </c>
      <c r="AB2352" s="213"/>
      <c r="AC2352" s="213"/>
      <c r="AD2352" s="213"/>
      <c r="AE2352" s="213"/>
      <c r="AF2352" s="213"/>
      <c r="AG2352" s="213"/>
      <c r="AH2352" s="213"/>
      <c r="AI2352" s="213"/>
      <c r="AJ2352" s="213"/>
      <c r="AK2352" s="213"/>
      <c r="AL2352" s="213"/>
      <c r="AM2352" s="213"/>
      <c r="AN2352" s="213"/>
      <c r="AO2352" s="213"/>
      <c r="AP2352" s="213" t="str">
        <f>IFERROR(__xludf.DUMMYFUNCTION("""COMPUTED_VALUE"""),"NALDI")</f>
        <v>NALDI</v>
      </c>
      <c r="AQ2352" s="213" t="str">
        <f>IFERROR(__xludf.DUMMYFUNCTION("""COMPUTED_VALUE"""),"Consultar si llegan los siguientes accesorios: 01 cable de conexión USB y 01 cargador.")</f>
        <v>Consultar si llegan los siguientes accesorios: 01 cable de conexión USB y 01 cargador.</v>
      </c>
      <c r="AR2352" s="213"/>
      <c r="AS2352" s="213" t="str">
        <f>IFERROR(__xludf.DUMMYFUNCTION("""COMPUTED_VALUE"""),"Presenta un protector resistente a los golpes.")</f>
        <v>Presenta un protector resistente a los golpes.</v>
      </c>
      <c r="AT2352" s="213"/>
      <c r="AU2352" s="213"/>
      <c r="AV2352" s="213"/>
      <c r="AW2352" s="213"/>
      <c r="AX2352" s="213"/>
      <c r="AY2352" s="213"/>
      <c r="AZ2352" s="213"/>
      <c r="BA2352" s="213"/>
      <c r="BB2352" s="213"/>
      <c r="BC2352" s="213"/>
      <c r="BD2352" s="213"/>
    </row>
    <row r="2353">
      <c r="A2353" s="213">
        <f>IFERROR(__xludf.DUMMYFUNCTION("""COMPUTED_VALUE"""),859.0)</f>
        <v>859</v>
      </c>
      <c r="B2353" s="213" t="str">
        <f>IFERROR(__xludf.DUMMYFUNCTION("""COMPUTED_VALUE"""),"6049 RICARDO PALMA")</f>
        <v>6049 RICARDO PALMA</v>
      </c>
      <c r="C2353" s="213" t="str">
        <f>IFERROR(__xludf.DUMMYFUNCTION("""COMPUTED_VALUE"""),"TALLER SFT DE ELECTRICIDAD")</f>
        <v>TALLER SFT DE ELECTRICIDAD</v>
      </c>
      <c r="D2353" s="213" t="str">
        <f>IFERROR(__xludf.DUMMYFUNCTION("""COMPUTED_VALUE"""),"TICS")</f>
        <v>TICS</v>
      </c>
      <c r="E2353" s="213" t="str">
        <f>IFERROR(__xludf.DUMMYFUNCTION("""COMPUTED_VALUE"""),"TEC-117")</f>
        <v>TEC-117</v>
      </c>
      <c r="F2353" s="213" t="str">
        <f>IFERROR(__xludf.DUMMYFUNCTION("""COMPUTED_VALUE"""),"TEC-117")</f>
        <v>TEC-117</v>
      </c>
      <c r="G2353" s="213"/>
      <c r="H2353" s="213" t="str">
        <f>IFERROR(__xludf.DUMMYFUNCTION("""COMPUTED_VALUE"""),"TABLET")</f>
        <v>TABLET</v>
      </c>
      <c r="I2353"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hast"&amp;"a 11 """"
. Resolución 1920 x 1200
· Conectividad: Inhalambrica IEEE 802.11 b/g/n, Bluetooth, 4G LTE.
. Puertos: E/S - 01 conector de audio 3.5 mm, 01 USB tipo """"C"""", 01 ranura  micro SD.""				
"". Sonido parlantes integrados.
. Cámara: frontal  5 MPX"&amp;" mínimo, y posterior de 5 MPX mínimo.""				
· Batería LI-ION o LI-PO.				
. Certificado:  Energy Star y/o CE y/o FCC y/o RoHS.				
. Accesorios: 01 cable de conexión USB y 01 cargador.				
· Presenta un protector resistente a los golpes.				
INCLUYE:				
"&amp;"· Software para diseñar, recoger información en campo y procesar información de encuestas y entrevistas: características:				
· Software libre:				
- Formulario de google, Hojas de cálculo google, Google Docs				
- Sketchbook pro (Gratuito)				
- Oppen Of"&amp;"fice.				
· Libre Office				
- Versión 2018 o superior, Idioma español.				
- Para crear cuestionarios, entrevistas y aplicar en campo				
- Realizar colecta de datos de forma segura, confiable y amigable.				
- Permite realizar el análisis de datos de fo"&amp;"rma intuitiva				
-· Software Antivirus				
- Licenciada				
- Idioma español, Versión 2019 o superior				
- Protección antivirus en tiempo real para proteger de virus, troyanos, adware, malware y phishing.				
- Protección contra firewall				
- Protecció"&amp;"n de escudo web compatible con el sistema operativo de la tablet				
- Limpiador de disco para liberar espacio en el sistema operativo de la Tablet.		")</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		</v>
      </c>
      <c r="J2353" s="213">
        <f>IFERROR(__xludf.DUMMYFUNCTION("""COMPUTED_VALUE"""),3.0)</f>
        <v>3</v>
      </c>
      <c r="K2353" s="213" t="str">
        <f>IFERROR(__xludf.DUMMYFUNCTION("""COMPUTED_VALUE"""),"170 DÍAS CALENDARIO")</f>
        <v>170 DÍAS CALENDARIO</v>
      </c>
      <c r="L2353"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3" s="213">
        <f>IFERROR(__xludf.DUMMYFUNCTION("""COMPUTED_VALUE"""),1.0)</f>
        <v>1</v>
      </c>
      <c r="N2353" s="213">
        <f>IFERROR(__xludf.DUMMYFUNCTION("""COMPUTED_VALUE"""),4.0)</f>
        <v>4</v>
      </c>
      <c r="O2353" s="213">
        <f>IFERROR(__xludf.DUMMYFUNCTION("""COMPUTED_VALUE"""),4.0)</f>
        <v>4</v>
      </c>
      <c r="P2353" s="213"/>
      <c r="Q2353" s="213"/>
      <c r="R2353" s="213"/>
      <c r="S2353" s="213"/>
      <c r="T2353" s="213" t="str">
        <f>IFERROR(__xludf.DUMMYFUNCTION("""COMPUTED_VALUE"""),"SI")</f>
        <v>SI</v>
      </c>
      <c r="U2353" s="213" t="str">
        <f>IFERROR(__xludf.DUMMYFUNCTION("""COMPUTED_VALUE"""),"SI")</f>
        <v>SI</v>
      </c>
      <c r="V2353" s="213" t="str">
        <f>IFERROR(__xludf.DUMMYFUNCTION("""COMPUTED_VALUE"""),"-")</f>
        <v>-</v>
      </c>
      <c r="W2353" s="213" t="str">
        <f>IFERROR(__xludf.DUMMYFUNCTION("""COMPUTED_VALUE"""),"-")</f>
        <v>-</v>
      </c>
      <c r="X2353" s="213" t="str">
        <f>IFERROR(__xludf.DUMMYFUNCTION("""COMPUTED_VALUE"""),"LENOVO")</f>
        <v>LENOVO</v>
      </c>
      <c r="Y2353" s="213" t="str">
        <f>IFERROR(__xludf.DUMMYFUNCTION("""COMPUTED_VALUE"""),"TAB LTE TB311XU")</f>
        <v>TAB LTE TB311XU</v>
      </c>
      <c r="Z2353" s="215" t="str">
        <f>IFERROR(__xludf.DUMMYFUNCTION("""COMPUTED_VALUE"""),"https://inquirecontent2.ingrammicro.com/Manufacturer-Brochure/1086740376.pdf")</f>
        <v>https://inquirecontent2.ingrammicro.com/Manufacturer-Brochure/1086740376.pdf</v>
      </c>
      <c r="AA2353" s="213" t="str">
        <f>IFERROR(__xludf.DUMMYFUNCTION("""COMPUTED_VALUE"""),"TEC-117 TABLET - CET")</f>
        <v>TEC-117 TABLET - CET</v>
      </c>
      <c r="AB2353" s="213"/>
      <c r="AC2353" s="213"/>
      <c r="AD2353" s="213"/>
      <c r="AE2353" s="213"/>
      <c r="AF2353" s="213"/>
      <c r="AG2353" s="213"/>
      <c r="AH2353" s="213"/>
      <c r="AI2353" s="213"/>
      <c r="AJ2353" s="213"/>
      <c r="AK2353" s="213"/>
      <c r="AL2353" s="213"/>
      <c r="AM2353" s="213"/>
      <c r="AN2353" s="213"/>
      <c r="AO2353" s="213"/>
      <c r="AP2353" s="213" t="str">
        <f>IFERROR(__xludf.DUMMYFUNCTION("""COMPUTED_VALUE"""),"NALDI")</f>
        <v>NALDI</v>
      </c>
      <c r="AQ2353" s="213" t="str">
        <f>IFERROR(__xludf.DUMMYFUNCTION("""COMPUTED_VALUE"""),"Consultar si llegan los siguientes accesorios: 01 cable de conexión USB y 01 cargador.")</f>
        <v>Consultar si llegan los siguientes accesorios: 01 cable de conexión USB y 01 cargador.</v>
      </c>
      <c r="AR2353" s="213"/>
      <c r="AS2353" s="213" t="str">
        <f>IFERROR(__xludf.DUMMYFUNCTION("""COMPUTED_VALUE"""),"Presenta un protector resistente a los golpes.")</f>
        <v>Presenta un protector resistente a los golpes.</v>
      </c>
      <c r="AT2353" s="213"/>
      <c r="AU2353" s="213"/>
      <c r="AV2353" s="213"/>
      <c r="AW2353" s="213"/>
      <c r="AX2353" s="213"/>
      <c r="AY2353" s="213"/>
      <c r="AZ2353" s="213"/>
      <c r="BA2353" s="213"/>
      <c r="BB2353" s="213"/>
      <c r="BC2353" s="213"/>
      <c r="BD2353" s="213"/>
    </row>
    <row r="2354">
      <c r="A2354" s="213">
        <f>IFERROR(__xludf.DUMMYFUNCTION("""COMPUTED_VALUE"""),1004.0)</f>
        <v>1004</v>
      </c>
      <c r="B2354" s="213" t="str">
        <f>IFERROR(__xludf.DUMMYFUNCTION("""COMPUTED_VALUE"""),"FRANCISCO IRAZOLA")</f>
        <v>FRANCISCO IRAZOLA</v>
      </c>
      <c r="C2354" s="213" t="str">
        <f>IFERROR(__xludf.DUMMYFUNCTION("""COMPUTED_VALUE"""),"TALLER SFT DE MECÁNICA AUTOMOTRIZ")</f>
        <v>TALLER SFT DE MECÁNICA AUTOMOTRIZ</v>
      </c>
      <c r="D2354" s="213" t="str">
        <f>IFERROR(__xludf.DUMMYFUNCTION("""COMPUTED_VALUE"""),"TICS")</f>
        <v>TICS</v>
      </c>
      <c r="E2354" s="213" t="str">
        <f>IFERROR(__xludf.DUMMYFUNCTION("""COMPUTED_VALUE"""),"TEC-117")</f>
        <v>TEC-117</v>
      </c>
      <c r="F2354" s="213" t="str">
        <f>IFERROR(__xludf.DUMMYFUNCTION("""COMPUTED_VALUE"""),"TEC-117")</f>
        <v>TEC-117</v>
      </c>
      <c r="G2354" s="213"/>
      <c r="H2354" s="213" t="str">
        <f>IFERROR(__xludf.DUMMYFUNCTION("""COMPUTED_VALUE"""),"TABLET")</f>
        <v>TABLET</v>
      </c>
      <c r="I2354"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54" s="213">
        <f>IFERROR(__xludf.DUMMYFUNCTION("""COMPUTED_VALUE"""),3.0)</f>
        <v>3</v>
      </c>
      <c r="K2354" s="213" t="str">
        <f>IFERROR(__xludf.DUMMYFUNCTION("""COMPUTED_VALUE"""),"170 DÍAS CALENDARIO")</f>
        <v>170 DÍAS CALENDARIO</v>
      </c>
      <c r="L2354"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4" s="213">
        <f>IFERROR(__xludf.DUMMYFUNCTION("""COMPUTED_VALUE"""),1.0)</f>
        <v>1</v>
      </c>
      <c r="N2354" s="213">
        <f>IFERROR(__xludf.DUMMYFUNCTION("""COMPUTED_VALUE"""),4.0)</f>
        <v>4</v>
      </c>
      <c r="O2354" s="213">
        <f>IFERROR(__xludf.DUMMYFUNCTION("""COMPUTED_VALUE"""),4.0)</f>
        <v>4</v>
      </c>
      <c r="P2354" s="213"/>
      <c r="Q2354" s="213"/>
      <c r="R2354" s="213"/>
      <c r="S2354" s="213"/>
      <c r="T2354" s="213" t="str">
        <f>IFERROR(__xludf.DUMMYFUNCTION("""COMPUTED_VALUE"""),"SI")</f>
        <v>SI</v>
      </c>
      <c r="U2354" s="213" t="str">
        <f>IFERROR(__xludf.DUMMYFUNCTION("""COMPUTED_VALUE"""),"SI")</f>
        <v>SI</v>
      </c>
      <c r="V2354" s="213" t="str">
        <f>IFERROR(__xludf.DUMMYFUNCTION("""COMPUTED_VALUE"""),"-")</f>
        <v>-</v>
      </c>
      <c r="W2354" s="213" t="str">
        <f>IFERROR(__xludf.DUMMYFUNCTION("""COMPUTED_VALUE"""),"-")</f>
        <v>-</v>
      </c>
      <c r="X2354" s="213" t="str">
        <f>IFERROR(__xludf.DUMMYFUNCTION("""COMPUTED_VALUE"""),"LENOVO")</f>
        <v>LENOVO</v>
      </c>
      <c r="Y2354" s="213" t="str">
        <f>IFERROR(__xludf.DUMMYFUNCTION("""COMPUTED_VALUE"""),"TAB LTE TB311XU")</f>
        <v>TAB LTE TB311XU</v>
      </c>
      <c r="Z2354" s="215" t="str">
        <f>IFERROR(__xludf.DUMMYFUNCTION("""COMPUTED_VALUE"""),"https://inquirecontent2.ingrammicro.com/Manufacturer-Brochure/1086740376.pdf")</f>
        <v>https://inquirecontent2.ingrammicro.com/Manufacturer-Brochure/1086740376.pdf</v>
      </c>
      <c r="AA2354" s="213" t="str">
        <f>IFERROR(__xludf.DUMMYFUNCTION("""COMPUTED_VALUE"""),"TEC-117 TABLET - CET")</f>
        <v>TEC-117 TABLET - CET</v>
      </c>
      <c r="AB2354" s="213"/>
      <c r="AC2354" s="213"/>
      <c r="AD2354" s="213"/>
      <c r="AE2354" s="213"/>
      <c r="AF2354" s="213"/>
      <c r="AG2354" s="213"/>
      <c r="AH2354" s="213"/>
      <c r="AI2354" s="213"/>
      <c r="AJ2354" s="213"/>
      <c r="AK2354" s="213"/>
      <c r="AL2354" s="213"/>
      <c r="AM2354" s="213"/>
      <c r="AN2354" s="213"/>
      <c r="AO2354" s="213"/>
      <c r="AP2354" s="213" t="str">
        <f>IFERROR(__xludf.DUMMYFUNCTION("""COMPUTED_VALUE"""),"NALDI")</f>
        <v>NALDI</v>
      </c>
      <c r="AQ2354" s="213" t="str">
        <f>IFERROR(__xludf.DUMMYFUNCTION("""COMPUTED_VALUE"""),"Consultar si llegan los siguientes accesorios: 01 cable de conexión USB y 01 cargador.")</f>
        <v>Consultar si llegan los siguientes accesorios: 01 cable de conexión USB y 01 cargador.</v>
      </c>
      <c r="AR2354" s="213"/>
      <c r="AS2354" s="213" t="str">
        <f>IFERROR(__xludf.DUMMYFUNCTION("""COMPUTED_VALUE"""),"Presenta un protector resistente a los golpes.")</f>
        <v>Presenta un protector resistente a los golpes.</v>
      </c>
      <c r="AT2354" s="213"/>
      <c r="AU2354" s="213"/>
      <c r="AV2354" s="213"/>
      <c r="AW2354" s="213"/>
      <c r="AX2354" s="213"/>
      <c r="AY2354" s="213"/>
      <c r="AZ2354" s="213"/>
      <c r="BA2354" s="213"/>
      <c r="BB2354" s="213"/>
      <c r="BC2354" s="213"/>
      <c r="BD2354" s="213"/>
    </row>
    <row r="2355">
      <c r="A2355" s="213">
        <f>IFERROR(__xludf.DUMMYFUNCTION("""COMPUTED_VALUE"""),1236.0)</f>
        <v>1236</v>
      </c>
      <c r="B2355" s="213" t="str">
        <f>IFERROR(__xludf.DUMMYFUNCTION("""COMPUTED_VALUE"""),"FRANCISCO IRAZOLA")</f>
        <v>FRANCISCO IRAZOLA</v>
      </c>
      <c r="C2355" s="213" t="str">
        <f>IFERROR(__xludf.DUMMYFUNCTION("""COMPUTED_VALUE"""),"TALLER SFT DE INDUSTRIA ALIMENTARIA")</f>
        <v>TALLER SFT DE INDUSTRIA ALIMENTARIA</v>
      </c>
      <c r="D2355" s="213" t="str">
        <f>IFERROR(__xludf.DUMMYFUNCTION("""COMPUTED_VALUE"""),"TICS")</f>
        <v>TICS</v>
      </c>
      <c r="E2355" s="213" t="str">
        <f>IFERROR(__xludf.DUMMYFUNCTION("""COMPUTED_VALUE"""),"TEC-117")</f>
        <v>TEC-117</v>
      </c>
      <c r="F2355" s="213" t="str">
        <f>IFERROR(__xludf.DUMMYFUNCTION("""COMPUTED_VALUE"""),"TEC-117")</f>
        <v>TEC-117</v>
      </c>
      <c r="G2355" s="213"/>
      <c r="H2355" s="213" t="str">
        <f>IFERROR(__xludf.DUMMYFUNCTION("""COMPUTED_VALUE"""),"TABLET")</f>
        <v>TABLET</v>
      </c>
      <c r="I2355"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55" s="213">
        <f>IFERROR(__xludf.DUMMYFUNCTION("""COMPUTED_VALUE"""),3.0)</f>
        <v>3</v>
      </c>
      <c r="K2355" s="213" t="str">
        <f>IFERROR(__xludf.DUMMYFUNCTION("""COMPUTED_VALUE"""),"170 DÍAS CALENDARIO")</f>
        <v>170 DÍAS CALENDARIO</v>
      </c>
      <c r="L2355"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5" s="213">
        <f>IFERROR(__xludf.DUMMYFUNCTION("""COMPUTED_VALUE"""),1.0)</f>
        <v>1</v>
      </c>
      <c r="N2355" s="213">
        <f>IFERROR(__xludf.DUMMYFUNCTION("""COMPUTED_VALUE"""),4.0)</f>
        <v>4</v>
      </c>
      <c r="O2355" s="213">
        <f>IFERROR(__xludf.DUMMYFUNCTION("""COMPUTED_VALUE"""),4.0)</f>
        <v>4</v>
      </c>
      <c r="P2355" s="213"/>
      <c r="Q2355" s="213"/>
      <c r="R2355" s="213"/>
      <c r="S2355" s="213"/>
      <c r="T2355" s="213" t="str">
        <f>IFERROR(__xludf.DUMMYFUNCTION("""COMPUTED_VALUE"""),"SI")</f>
        <v>SI</v>
      </c>
      <c r="U2355" s="213" t="str">
        <f>IFERROR(__xludf.DUMMYFUNCTION("""COMPUTED_VALUE"""),"SI")</f>
        <v>SI</v>
      </c>
      <c r="V2355" s="213" t="str">
        <f>IFERROR(__xludf.DUMMYFUNCTION("""COMPUTED_VALUE"""),"-")</f>
        <v>-</v>
      </c>
      <c r="W2355" s="213" t="str">
        <f>IFERROR(__xludf.DUMMYFUNCTION("""COMPUTED_VALUE"""),"-")</f>
        <v>-</v>
      </c>
      <c r="X2355" s="213" t="str">
        <f>IFERROR(__xludf.DUMMYFUNCTION("""COMPUTED_VALUE"""),"LENOVO")</f>
        <v>LENOVO</v>
      </c>
      <c r="Y2355" s="213" t="str">
        <f>IFERROR(__xludf.DUMMYFUNCTION("""COMPUTED_VALUE"""),"TAB LTE TB311XU")</f>
        <v>TAB LTE TB311XU</v>
      </c>
      <c r="Z2355" s="215" t="str">
        <f>IFERROR(__xludf.DUMMYFUNCTION("""COMPUTED_VALUE"""),"https://inquirecontent2.ingrammicro.com/Manufacturer-Brochure/1086740376.pdf")</f>
        <v>https://inquirecontent2.ingrammicro.com/Manufacturer-Brochure/1086740376.pdf</v>
      </c>
      <c r="AA2355" s="213" t="str">
        <f>IFERROR(__xludf.DUMMYFUNCTION("""COMPUTED_VALUE"""),"TEC-117 TABLET - CET")</f>
        <v>TEC-117 TABLET - CET</v>
      </c>
      <c r="AB2355" s="213"/>
      <c r="AC2355" s="213"/>
      <c r="AD2355" s="213"/>
      <c r="AE2355" s="213"/>
      <c r="AF2355" s="213"/>
      <c r="AG2355" s="213"/>
      <c r="AH2355" s="213"/>
      <c r="AI2355" s="213"/>
      <c r="AJ2355" s="213"/>
      <c r="AK2355" s="213"/>
      <c r="AL2355" s="213"/>
      <c r="AM2355" s="213"/>
      <c r="AN2355" s="213"/>
      <c r="AO2355" s="213"/>
      <c r="AP2355" s="213" t="str">
        <f>IFERROR(__xludf.DUMMYFUNCTION("""COMPUTED_VALUE"""),"NALDI")</f>
        <v>NALDI</v>
      </c>
      <c r="AQ2355" s="213" t="str">
        <f>IFERROR(__xludf.DUMMYFUNCTION("""COMPUTED_VALUE"""),"Consultar si llegan los siguientes accesorios: 01 cable de conexión USB y 01 cargador.")</f>
        <v>Consultar si llegan los siguientes accesorios: 01 cable de conexión USB y 01 cargador.</v>
      </c>
      <c r="AR2355" s="213"/>
      <c r="AS2355" s="213" t="str">
        <f>IFERROR(__xludf.DUMMYFUNCTION("""COMPUTED_VALUE"""),"Presenta un protector resistente a los golpes.")</f>
        <v>Presenta un protector resistente a los golpes.</v>
      </c>
      <c r="AT2355" s="213"/>
      <c r="AU2355" s="213"/>
      <c r="AV2355" s="213"/>
      <c r="AW2355" s="213"/>
      <c r="AX2355" s="213"/>
      <c r="AY2355" s="213"/>
      <c r="AZ2355" s="213"/>
      <c r="BA2355" s="213"/>
      <c r="BB2355" s="213"/>
      <c r="BC2355" s="213"/>
      <c r="BD2355" s="213"/>
    </row>
    <row r="2356">
      <c r="A2356" s="213">
        <f>IFERROR(__xludf.DUMMYFUNCTION("""COMPUTED_VALUE"""),1281.0)</f>
        <v>1281</v>
      </c>
      <c r="B2356" s="213" t="str">
        <f>IFERROR(__xludf.DUMMYFUNCTION("""COMPUTED_VALUE"""),"GUILLERMO E. BILLINGHURST ")</f>
        <v>GUILLERMO E. BILLINGHURST </v>
      </c>
      <c r="C2356" s="213" t="str">
        <f>IFERROR(__xludf.DUMMYFUNCTION("""COMPUTED_VALUE"""),"TALLER SFT DE ELECTRICIDAD")</f>
        <v>TALLER SFT DE ELECTRICIDAD</v>
      </c>
      <c r="D2356" s="213" t="str">
        <f>IFERROR(__xludf.DUMMYFUNCTION("""COMPUTED_VALUE"""),"TICS")</f>
        <v>TICS</v>
      </c>
      <c r="E2356" s="213" t="str">
        <f>IFERROR(__xludf.DUMMYFUNCTION("""COMPUTED_VALUE"""),"TEC-117")</f>
        <v>TEC-117</v>
      </c>
      <c r="F2356" s="213" t="str">
        <f>IFERROR(__xludf.DUMMYFUNCTION("""COMPUTED_VALUE"""),"TEC-117")</f>
        <v>TEC-117</v>
      </c>
      <c r="G2356" s="213"/>
      <c r="H2356" s="213" t="str">
        <f>IFERROR(__xludf.DUMMYFUNCTION("""COMPUTED_VALUE"""),"TABLET")</f>
        <v>TABLET</v>
      </c>
      <c r="I2356"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hast"&amp;"a 11 """"
. Resolución 1920 x 1200
· Conectividad: Inhalambrica IEEE 802.11 b/g/n, Bluetooth, 4G LTE.
. Puertos: E/S - 01 conector de audio 3.5 mm, 01 USB tipo """"C"""", 01 ranura  micro SD.""				
"". Sonido parlantes integrados.
. Cámara: frontal  5 MPX"&amp;" mínimo, y posterior de 5 MPX mínimo.""				
· Batería LI-ION o LI-PO.				
. Certificado:  Energy Star y/o CE y/o FCC y/o RoHS.				
. Accesorios: 01 cable de conexión USB y 01 cargador.				
· Presenta un protector resistente a los golpes.				
INCLUYE:				
"&amp;"· Software para diseñar, recoger información en campo y procesar información de encuestas y entrevistas: características:				
· Software libre:				
- Formulario de google, Hojas de cálculo google, Google Docs				
- Sketchbook pro (Gratuito)				
- Oppen Of"&amp;"fice.				
· Libre Office				
- Versión 2018 o superior, Idioma español.				
- Para crear cuestionarios, entrevistas y aplicar en campo				
- Realizar colecta de datos de forma segura, confiable y amigable.				
- Permite realizar el análisis de datos de fo"&amp;"rma intuitiva				
-· Software Antivirus				
- Licenciada				
- Idioma español, Versión 2019 o superior				
- Protección antivirus en tiempo real para proteger de virus, troyanos, adware, malware y phishing.				
- Protección contra firewall				
- Protecció"&amp;"n de escudo web compatible con el sistema operativo de la tablet				
- Limpiador de disco para liberar espacio en el sistema operativo de la Tablet.		")</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		</v>
      </c>
      <c r="J2356" s="213">
        <f>IFERROR(__xludf.DUMMYFUNCTION("""COMPUTED_VALUE"""),3.0)</f>
        <v>3</v>
      </c>
      <c r="K2356" s="213" t="str">
        <f>IFERROR(__xludf.DUMMYFUNCTION("""COMPUTED_VALUE"""),"170 DÍAS CALENDARIO")</f>
        <v>170 DÍAS CALENDARIO</v>
      </c>
      <c r="L2356"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6" s="213">
        <f>IFERROR(__xludf.DUMMYFUNCTION("""COMPUTED_VALUE"""),1.0)</f>
        <v>1</v>
      </c>
      <c r="N2356" s="213">
        <f>IFERROR(__xludf.DUMMYFUNCTION("""COMPUTED_VALUE"""),4.0)</f>
        <v>4</v>
      </c>
      <c r="O2356" s="213">
        <f>IFERROR(__xludf.DUMMYFUNCTION("""COMPUTED_VALUE"""),4.0)</f>
        <v>4</v>
      </c>
      <c r="P2356" s="213"/>
      <c r="Q2356" s="213"/>
      <c r="R2356" s="213"/>
      <c r="S2356" s="213"/>
      <c r="T2356" s="213" t="str">
        <f>IFERROR(__xludf.DUMMYFUNCTION("""COMPUTED_VALUE"""),"SI")</f>
        <v>SI</v>
      </c>
      <c r="U2356" s="213" t="str">
        <f>IFERROR(__xludf.DUMMYFUNCTION("""COMPUTED_VALUE"""),"SI")</f>
        <v>SI</v>
      </c>
      <c r="V2356" s="213" t="str">
        <f>IFERROR(__xludf.DUMMYFUNCTION("""COMPUTED_VALUE"""),"-")</f>
        <v>-</v>
      </c>
      <c r="W2356" s="213" t="str">
        <f>IFERROR(__xludf.DUMMYFUNCTION("""COMPUTED_VALUE"""),"-")</f>
        <v>-</v>
      </c>
      <c r="X2356" s="213" t="str">
        <f>IFERROR(__xludf.DUMMYFUNCTION("""COMPUTED_VALUE"""),"LENOVO")</f>
        <v>LENOVO</v>
      </c>
      <c r="Y2356" s="213" t="str">
        <f>IFERROR(__xludf.DUMMYFUNCTION("""COMPUTED_VALUE"""),"TAB LTE TB311XU")</f>
        <v>TAB LTE TB311XU</v>
      </c>
      <c r="Z2356" s="215" t="str">
        <f>IFERROR(__xludf.DUMMYFUNCTION("""COMPUTED_VALUE"""),"https://inquirecontent2.ingrammicro.com/Manufacturer-Brochure/1086740376.pdf")</f>
        <v>https://inquirecontent2.ingrammicro.com/Manufacturer-Brochure/1086740376.pdf</v>
      </c>
      <c r="AA2356" s="213" t="str">
        <f>IFERROR(__xludf.DUMMYFUNCTION("""COMPUTED_VALUE"""),"TEC-117 TABLET - CET")</f>
        <v>TEC-117 TABLET - CET</v>
      </c>
      <c r="AB2356" s="213"/>
      <c r="AC2356" s="213"/>
      <c r="AD2356" s="213"/>
      <c r="AE2356" s="213"/>
      <c r="AF2356" s="213"/>
      <c r="AG2356" s="213"/>
      <c r="AH2356" s="213"/>
      <c r="AI2356" s="213"/>
      <c r="AJ2356" s="213"/>
      <c r="AK2356" s="213"/>
      <c r="AL2356" s="213"/>
      <c r="AM2356" s="213"/>
      <c r="AN2356" s="213"/>
      <c r="AO2356" s="213"/>
      <c r="AP2356" s="213" t="str">
        <f>IFERROR(__xludf.DUMMYFUNCTION("""COMPUTED_VALUE"""),"NALDI")</f>
        <v>NALDI</v>
      </c>
      <c r="AQ2356" s="213" t="str">
        <f>IFERROR(__xludf.DUMMYFUNCTION("""COMPUTED_VALUE"""),"Consultar si llegan los siguientes accesorios: 01 cable de conexión USB y 01 cargador.")</f>
        <v>Consultar si llegan los siguientes accesorios: 01 cable de conexión USB y 01 cargador.</v>
      </c>
      <c r="AR2356" s="213"/>
      <c r="AS2356" s="213" t="str">
        <f>IFERROR(__xludf.DUMMYFUNCTION("""COMPUTED_VALUE"""),"Presenta un protector resistente a los golpes.")</f>
        <v>Presenta un protector resistente a los golpes.</v>
      </c>
      <c r="AT2356" s="213"/>
      <c r="AU2356" s="213"/>
      <c r="AV2356" s="213"/>
      <c r="AW2356" s="213"/>
      <c r="AX2356" s="213"/>
      <c r="AY2356" s="213"/>
      <c r="AZ2356" s="213"/>
      <c r="BA2356" s="213"/>
      <c r="BB2356" s="213"/>
      <c r="BC2356" s="213"/>
      <c r="BD2356" s="213"/>
    </row>
    <row r="2357">
      <c r="A2357" s="213">
        <f>IFERROR(__xludf.DUMMYFUNCTION("""COMPUTED_VALUE"""),1609.0)</f>
        <v>1609</v>
      </c>
      <c r="B2357" s="213" t="str">
        <f>IFERROR(__xludf.DUMMYFUNCTION("""COMPUTED_VALUE"""),"GUILLERMO E. BILLINGHURST ")</f>
        <v>GUILLERMO E. BILLINGHURST </v>
      </c>
      <c r="C2357" s="213" t="str">
        <f>IFERROR(__xludf.DUMMYFUNCTION("""COMPUTED_VALUE"""),"TALLER SFT DE MECÁNICA AUTOMOTRIZ")</f>
        <v>TALLER SFT DE MECÁNICA AUTOMOTRIZ</v>
      </c>
      <c r="D2357" s="213" t="str">
        <f>IFERROR(__xludf.DUMMYFUNCTION("""COMPUTED_VALUE"""),"TICS")</f>
        <v>TICS</v>
      </c>
      <c r="E2357" s="213" t="str">
        <f>IFERROR(__xludf.DUMMYFUNCTION("""COMPUTED_VALUE"""),"TEC-117")</f>
        <v>TEC-117</v>
      </c>
      <c r="F2357" s="213" t="str">
        <f>IFERROR(__xludf.DUMMYFUNCTION("""COMPUTED_VALUE"""),"TEC-117")</f>
        <v>TEC-117</v>
      </c>
      <c r="G2357" s="213"/>
      <c r="H2357" s="213" t="str">
        <f>IFERROR(__xludf.DUMMYFUNCTION("""COMPUTED_VALUE"""),"TABLET")</f>
        <v>TABLET</v>
      </c>
      <c r="I2357"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57" s="213">
        <f>IFERROR(__xludf.DUMMYFUNCTION("""COMPUTED_VALUE"""),3.0)</f>
        <v>3</v>
      </c>
      <c r="K2357" s="213" t="str">
        <f>IFERROR(__xludf.DUMMYFUNCTION("""COMPUTED_VALUE"""),"170 DÍAS CALENDARIO")</f>
        <v>170 DÍAS CALENDARIO</v>
      </c>
      <c r="L2357"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7" s="213">
        <f>IFERROR(__xludf.DUMMYFUNCTION("""COMPUTED_VALUE"""),1.0)</f>
        <v>1</v>
      </c>
      <c r="N2357" s="213">
        <f>IFERROR(__xludf.DUMMYFUNCTION("""COMPUTED_VALUE"""),4.0)</f>
        <v>4</v>
      </c>
      <c r="O2357" s="213">
        <f>IFERROR(__xludf.DUMMYFUNCTION("""COMPUTED_VALUE"""),4.0)</f>
        <v>4</v>
      </c>
      <c r="P2357" s="213"/>
      <c r="Q2357" s="213"/>
      <c r="R2357" s="213"/>
      <c r="S2357" s="213"/>
      <c r="T2357" s="213" t="str">
        <f>IFERROR(__xludf.DUMMYFUNCTION("""COMPUTED_VALUE"""),"SI")</f>
        <v>SI</v>
      </c>
      <c r="U2357" s="213" t="str">
        <f>IFERROR(__xludf.DUMMYFUNCTION("""COMPUTED_VALUE"""),"SI")</f>
        <v>SI</v>
      </c>
      <c r="V2357" s="213" t="str">
        <f>IFERROR(__xludf.DUMMYFUNCTION("""COMPUTED_VALUE"""),"-")</f>
        <v>-</v>
      </c>
      <c r="W2357" s="213" t="str">
        <f>IFERROR(__xludf.DUMMYFUNCTION("""COMPUTED_VALUE"""),"-")</f>
        <v>-</v>
      </c>
      <c r="X2357" s="213" t="str">
        <f>IFERROR(__xludf.DUMMYFUNCTION("""COMPUTED_VALUE"""),"LENOVO")</f>
        <v>LENOVO</v>
      </c>
      <c r="Y2357" s="213" t="str">
        <f>IFERROR(__xludf.DUMMYFUNCTION("""COMPUTED_VALUE"""),"TAB LTE TB311XU")</f>
        <v>TAB LTE TB311XU</v>
      </c>
      <c r="Z2357" s="215" t="str">
        <f>IFERROR(__xludf.DUMMYFUNCTION("""COMPUTED_VALUE"""),"https://inquirecontent2.ingrammicro.com/Manufacturer-Brochure/1086740376.pdf")</f>
        <v>https://inquirecontent2.ingrammicro.com/Manufacturer-Brochure/1086740376.pdf</v>
      </c>
      <c r="AA2357" s="213" t="str">
        <f>IFERROR(__xludf.DUMMYFUNCTION("""COMPUTED_VALUE"""),"TEC-117 TABLET - CET")</f>
        <v>TEC-117 TABLET - CET</v>
      </c>
      <c r="AB2357" s="213"/>
      <c r="AC2357" s="213"/>
      <c r="AD2357" s="213"/>
      <c r="AE2357" s="213"/>
      <c r="AF2357" s="213"/>
      <c r="AG2357" s="213"/>
      <c r="AH2357" s="213"/>
      <c r="AI2357" s="213"/>
      <c r="AJ2357" s="213"/>
      <c r="AK2357" s="213"/>
      <c r="AL2357" s="213"/>
      <c r="AM2357" s="213"/>
      <c r="AN2357" s="213"/>
      <c r="AO2357" s="213"/>
      <c r="AP2357" s="213" t="str">
        <f>IFERROR(__xludf.DUMMYFUNCTION("""COMPUTED_VALUE"""),"NALDI")</f>
        <v>NALDI</v>
      </c>
      <c r="AQ2357" s="213" t="str">
        <f>IFERROR(__xludf.DUMMYFUNCTION("""COMPUTED_VALUE"""),"Consultar si llegan los siguientes accesorios: 01 cable de conexión USB y 01 cargador.")</f>
        <v>Consultar si llegan los siguientes accesorios: 01 cable de conexión USB y 01 cargador.</v>
      </c>
      <c r="AR2357" s="213"/>
      <c r="AS2357" s="213" t="str">
        <f>IFERROR(__xludf.DUMMYFUNCTION("""COMPUTED_VALUE"""),"Presenta un protector resistente a los golpes.")</f>
        <v>Presenta un protector resistente a los golpes.</v>
      </c>
      <c r="AT2357" s="213"/>
      <c r="AU2357" s="213"/>
      <c r="AV2357" s="213"/>
      <c r="AW2357" s="213"/>
      <c r="AX2357" s="213"/>
      <c r="AY2357" s="213"/>
      <c r="AZ2357" s="213"/>
      <c r="BA2357" s="213"/>
      <c r="BB2357" s="213"/>
      <c r="BC2357" s="213"/>
      <c r="BD2357" s="213"/>
    </row>
    <row r="2358">
      <c r="A2358" s="213">
        <f>IFERROR(__xludf.DUMMYFUNCTION("""COMPUTED_VALUE"""),1717.0)</f>
        <v>1717</v>
      </c>
      <c r="B2358" s="213" t="str">
        <f>IFERROR(__xludf.DUMMYFUNCTION("""COMPUTED_VALUE"""),"GUILLERMO E. BILLINGHURST ")</f>
        <v>GUILLERMO E. BILLINGHURST </v>
      </c>
      <c r="C2358" s="213" t="str">
        <f>IFERROR(__xludf.DUMMYFUNCTION("""COMPUTED_VALUE"""),"TALLER SFT DE COMPUTACIÓN E INFORMÁTICA")</f>
        <v>TALLER SFT DE COMPUTACIÓN E INFORMÁTICA</v>
      </c>
      <c r="D2358" s="213" t="str">
        <f>IFERROR(__xludf.DUMMYFUNCTION("""COMPUTED_VALUE"""),"TICS")</f>
        <v>TICS</v>
      </c>
      <c r="E2358" s="213" t="str">
        <f>IFERROR(__xludf.DUMMYFUNCTION("""COMPUTED_VALUE"""),"TEC-117")</f>
        <v>TEC-117</v>
      </c>
      <c r="F2358" s="213" t="str">
        <f>IFERROR(__xludf.DUMMYFUNCTION("""COMPUTED_VALUE"""),"TEC-117")</f>
        <v>TEC-117</v>
      </c>
      <c r="G2358" s="213"/>
      <c r="H2358" s="213" t="str">
        <f>IFERROR(__xludf.DUMMYFUNCTION("""COMPUTED_VALUE"""),"TABLET")</f>
        <v>TABLET</v>
      </c>
      <c r="I2358"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58" s="213">
        <f>IFERROR(__xludf.DUMMYFUNCTION("""COMPUTED_VALUE"""),3.0)</f>
        <v>3</v>
      </c>
      <c r="K2358" s="213" t="str">
        <f>IFERROR(__xludf.DUMMYFUNCTION("""COMPUTED_VALUE"""),"170 DÍAS CALENDARIO")</f>
        <v>170 DÍAS CALENDARIO</v>
      </c>
      <c r="L2358"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8" s="213">
        <f>IFERROR(__xludf.DUMMYFUNCTION("""COMPUTED_VALUE"""),1.0)</f>
        <v>1</v>
      </c>
      <c r="N2358" s="213">
        <f>IFERROR(__xludf.DUMMYFUNCTION("""COMPUTED_VALUE"""),4.0)</f>
        <v>4</v>
      </c>
      <c r="O2358" s="213">
        <f>IFERROR(__xludf.DUMMYFUNCTION("""COMPUTED_VALUE"""),4.0)</f>
        <v>4</v>
      </c>
      <c r="P2358" s="213"/>
      <c r="Q2358" s="213"/>
      <c r="R2358" s="213"/>
      <c r="S2358" s="213"/>
      <c r="T2358" s="213" t="str">
        <f>IFERROR(__xludf.DUMMYFUNCTION("""COMPUTED_VALUE"""),"SI")</f>
        <v>SI</v>
      </c>
      <c r="U2358" s="213" t="str">
        <f>IFERROR(__xludf.DUMMYFUNCTION("""COMPUTED_VALUE"""),"SI")</f>
        <v>SI</v>
      </c>
      <c r="V2358" s="213" t="str">
        <f>IFERROR(__xludf.DUMMYFUNCTION("""COMPUTED_VALUE"""),"-")</f>
        <v>-</v>
      </c>
      <c r="W2358" s="213" t="str">
        <f>IFERROR(__xludf.DUMMYFUNCTION("""COMPUTED_VALUE"""),"-")</f>
        <v>-</v>
      </c>
      <c r="X2358" s="213" t="str">
        <f>IFERROR(__xludf.DUMMYFUNCTION("""COMPUTED_VALUE"""),"LENOVO")</f>
        <v>LENOVO</v>
      </c>
      <c r="Y2358" s="213" t="str">
        <f>IFERROR(__xludf.DUMMYFUNCTION("""COMPUTED_VALUE"""),"TAB LTE TB311XU")</f>
        <v>TAB LTE TB311XU</v>
      </c>
      <c r="Z2358" s="215" t="str">
        <f>IFERROR(__xludf.DUMMYFUNCTION("""COMPUTED_VALUE"""),"https://inquirecontent2.ingrammicro.com/Manufacturer-Brochure/1086740376.pdf")</f>
        <v>https://inquirecontent2.ingrammicro.com/Manufacturer-Brochure/1086740376.pdf</v>
      </c>
      <c r="AA2358" s="213" t="str">
        <f>IFERROR(__xludf.DUMMYFUNCTION("""COMPUTED_VALUE"""),"TEC-117 TABLET - CET")</f>
        <v>TEC-117 TABLET - CET</v>
      </c>
      <c r="AB2358" s="213"/>
      <c r="AC2358" s="213"/>
      <c r="AD2358" s="213"/>
      <c r="AE2358" s="213"/>
      <c r="AF2358" s="213"/>
      <c r="AG2358" s="213"/>
      <c r="AH2358" s="213"/>
      <c r="AI2358" s="213"/>
      <c r="AJ2358" s="213"/>
      <c r="AK2358" s="213"/>
      <c r="AL2358" s="213"/>
      <c r="AM2358" s="213"/>
      <c r="AN2358" s="213"/>
      <c r="AO2358" s="213"/>
      <c r="AP2358" s="213" t="str">
        <f>IFERROR(__xludf.DUMMYFUNCTION("""COMPUTED_VALUE"""),"NALDI")</f>
        <v>NALDI</v>
      </c>
      <c r="AQ2358" s="213" t="str">
        <f>IFERROR(__xludf.DUMMYFUNCTION("""COMPUTED_VALUE"""),"Consultar si llegan los siguientes accesorios: 01 cable de conexión USB y 01 cargador.")</f>
        <v>Consultar si llegan los siguientes accesorios: 01 cable de conexión USB y 01 cargador.</v>
      </c>
      <c r="AR2358" s="213"/>
      <c r="AS2358" s="213" t="str">
        <f>IFERROR(__xludf.DUMMYFUNCTION("""COMPUTED_VALUE"""),"Presenta un protector resistente a los golpes.")</f>
        <v>Presenta un protector resistente a los golpes.</v>
      </c>
      <c r="AT2358" s="213"/>
      <c r="AU2358" s="213"/>
      <c r="AV2358" s="213"/>
      <c r="AW2358" s="213"/>
      <c r="AX2358" s="213"/>
      <c r="AY2358" s="213"/>
      <c r="AZ2358" s="213"/>
      <c r="BA2358" s="213"/>
      <c r="BB2358" s="213"/>
      <c r="BC2358" s="213"/>
      <c r="BD2358" s="213"/>
    </row>
    <row r="2359">
      <c r="A2359" s="213">
        <f>IFERROR(__xludf.DUMMYFUNCTION("""COMPUTED_VALUE"""),1872.0)</f>
        <v>1872</v>
      </c>
      <c r="B2359" s="213" t="str">
        <f>IFERROR(__xludf.DUMMYFUNCTION("""COMPUTED_VALUE"""),"GUILLERMO E. BILLINGHURST ")</f>
        <v>GUILLERMO E. BILLINGHURST </v>
      </c>
      <c r="C2359" s="213" t="str">
        <f>IFERROR(__xludf.DUMMYFUNCTION("""COMPUTED_VALUE"""),"TALLER SFT DE EBANISTERÍA")</f>
        <v>TALLER SFT DE EBANISTERÍA</v>
      </c>
      <c r="D2359" s="213" t="str">
        <f>IFERROR(__xludf.DUMMYFUNCTION("""COMPUTED_VALUE"""),"TICS")</f>
        <v>TICS</v>
      </c>
      <c r="E2359" s="213" t="str">
        <f>IFERROR(__xludf.DUMMYFUNCTION("""COMPUTED_VALUE"""),"TEC-117")</f>
        <v>TEC-117</v>
      </c>
      <c r="F2359" s="213" t="str">
        <f>IFERROR(__xludf.DUMMYFUNCTION("""COMPUTED_VALUE"""),"TEC-117")</f>
        <v>TEC-117</v>
      </c>
      <c r="G2359" s="213"/>
      <c r="H2359" s="213" t="str">
        <f>IFERROR(__xludf.DUMMYFUNCTION("""COMPUTED_VALUE"""),"TABLET")</f>
        <v>TABLET</v>
      </c>
      <c r="I2359"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59" s="213">
        <f>IFERROR(__xludf.DUMMYFUNCTION("""COMPUTED_VALUE"""),3.0)</f>
        <v>3</v>
      </c>
      <c r="K2359" s="213" t="str">
        <f>IFERROR(__xludf.DUMMYFUNCTION("""COMPUTED_VALUE"""),"170 DÍAS CALENDARIO")</f>
        <v>170 DÍAS CALENDARIO</v>
      </c>
      <c r="L2359"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59" s="213">
        <f>IFERROR(__xludf.DUMMYFUNCTION("""COMPUTED_VALUE"""),1.0)</f>
        <v>1</v>
      </c>
      <c r="N2359" s="213">
        <f>IFERROR(__xludf.DUMMYFUNCTION("""COMPUTED_VALUE"""),4.0)</f>
        <v>4</v>
      </c>
      <c r="O2359" s="213">
        <f>IFERROR(__xludf.DUMMYFUNCTION("""COMPUTED_VALUE"""),4.0)</f>
        <v>4</v>
      </c>
      <c r="P2359" s="213"/>
      <c r="Q2359" s="213"/>
      <c r="R2359" s="213"/>
      <c r="S2359" s="213"/>
      <c r="T2359" s="213" t="str">
        <f>IFERROR(__xludf.DUMMYFUNCTION("""COMPUTED_VALUE"""),"SI")</f>
        <v>SI</v>
      </c>
      <c r="U2359" s="213" t="str">
        <f>IFERROR(__xludf.DUMMYFUNCTION("""COMPUTED_VALUE"""),"SI")</f>
        <v>SI</v>
      </c>
      <c r="V2359" s="213" t="str">
        <f>IFERROR(__xludf.DUMMYFUNCTION("""COMPUTED_VALUE"""),"-")</f>
        <v>-</v>
      </c>
      <c r="W2359" s="213" t="str">
        <f>IFERROR(__xludf.DUMMYFUNCTION("""COMPUTED_VALUE"""),"-")</f>
        <v>-</v>
      </c>
      <c r="X2359" s="213" t="str">
        <f>IFERROR(__xludf.DUMMYFUNCTION("""COMPUTED_VALUE"""),"LENOVO")</f>
        <v>LENOVO</v>
      </c>
      <c r="Y2359" s="213" t="str">
        <f>IFERROR(__xludf.DUMMYFUNCTION("""COMPUTED_VALUE"""),"TAB LTE TB311XU")</f>
        <v>TAB LTE TB311XU</v>
      </c>
      <c r="Z2359" s="215" t="str">
        <f>IFERROR(__xludf.DUMMYFUNCTION("""COMPUTED_VALUE"""),"https://inquirecontent2.ingrammicro.com/Manufacturer-Brochure/1086740376.pdf")</f>
        <v>https://inquirecontent2.ingrammicro.com/Manufacturer-Brochure/1086740376.pdf</v>
      </c>
      <c r="AA2359" s="213" t="str">
        <f>IFERROR(__xludf.DUMMYFUNCTION("""COMPUTED_VALUE"""),"TEC-117 TABLET - CET")</f>
        <v>TEC-117 TABLET - CET</v>
      </c>
      <c r="AB2359" s="213"/>
      <c r="AC2359" s="213"/>
      <c r="AD2359" s="213"/>
      <c r="AE2359" s="213"/>
      <c r="AF2359" s="213"/>
      <c r="AG2359" s="213"/>
      <c r="AH2359" s="213"/>
      <c r="AI2359" s="213"/>
      <c r="AJ2359" s="213"/>
      <c r="AK2359" s="213"/>
      <c r="AL2359" s="213"/>
      <c r="AM2359" s="213"/>
      <c r="AN2359" s="213"/>
      <c r="AO2359" s="213"/>
      <c r="AP2359" s="213" t="str">
        <f>IFERROR(__xludf.DUMMYFUNCTION("""COMPUTED_VALUE"""),"NALDI")</f>
        <v>NALDI</v>
      </c>
      <c r="AQ2359" s="213" t="str">
        <f>IFERROR(__xludf.DUMMYFUNCTION("""COMPUTED_VALUE"""),"Consultar si llegan los siguientes accesorios: 01 cable de conexión USB y 01 cargador.")</f>
        <v>Consultar si llegan los siguientes accesorios: 01 cable de conexión USB y 01 cargador.</v>
      </c>
      <c r="AR2359" s="213"/>
      <c r="AS2359" s="213" t="str">
        <f>IFERROR(__xludf.DUMMYFUNCTION("""COMPUTED_VALUE"""),"Presenta un protector resistente a los golpes.")</f>
        <v>Presenta un protector resistente a los golpes.</v>
      </c>
      <c r="AT2359" s="213"/>
      <c r="AU2359" s="213"/>
      <c r="AV2359" s="213"/>
      <c r="AW2359" s="213"/>
      <c r="AX2359" s="213"/>
      <c r="AY2359" s="213"/>
      <c r="AZ2359" s="213"/>
      <c r="BA2359" s="213"/>
      <c r="BB2359" s="213"/>
      <c r="BC2359" s="213"/>
      <c r="BD2359" s="213"/>
    </row>
    <row r="2360">
      <c r="A2360" s="213">
        <f>IFERROR(__xludf.DUMMYFUNCTION("""COMPUTED_VALUE"""),1967.0)</f>
        <v>1967</v>
      </c>
      <c r="B2360" s="213" t="str">
        <f>IFERROR(__xludf.DUMMYFUNCTION("""COMPUTED_VALUE"""),"JOSE GRANDA")</f>
        <v>JOSE GRANDA</v>
      </c>
      <c r="C2360" s="213" t="str">
        <f>IFERROR(__xludf.DUMMYFUNCTION("""COMPUTED_VALUE"""),"TALLER SFT DE COMPUTACIÓN E INFORMÁTICA")</f>
        <v>TALLER SFT DE COMPUTACIÓN E INFORMÁTICA</v>
      </c>
      <c r="D2360" s="213" t="str">
        <f>IFERROR(__xludf.DUMMYFUNCTION("""COMPUTED_VALUE"""),"TICS")</f>
        <v>TICS</v>
      </c>
      <c r="E2360" s="213" t="str">
        <f>IFERROR(__xludf.DUMMYFUNCTION("""COMPUTED_VALUE"""),"TEC-117")</f>
        <v>TEC-117</v>
      </c>
      <c r="F2360" s="213" t="str">
        <f>IFERROR(__xludf.DUMMYFUNCTION("""COMPUTED_VALUE"""),"TEC-117")</f>
        <v>TEC-117</v>
      </c>
      <c r="G2360" s="213"/>
      <c r="H2360" s="213" t="str">
        <f>IFERROR(__xludf.DUMMYFUNCTION("""COMPUTED_VALUE"""),"TABLET")</f>
        <v>TABLET</v>
      </c>
      <c r="I2360"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60" s="213">
        <f>IFERROR(__xludf.DUMMYFUNCTION("""COMPUTED_VALUE"""),3.0)</f>
        <v>3</v>
      </c>
      <c r="K2360" s="213" t="str">
        <f>IFERROR(__xludf.DUMMYFUNCTION("""COMPUTED_VALUE"""),"170 DÍAS CALENDARIO")</f>
        <v>170 DÍAS CALENDARIO</v>
      </c>
      <c r="L2360"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60" s="213">
        <f>IFERROR(__xludf.DUMMYFUNCTION("""COMPUTED_VALUE"""),1.0)</f>
        <v>1</v>
      </c>
      <c r="N2360" s="213">
        <f>IFERROR(__xludf.DUMMYFUNCTION("""COMPUTED_VALUE"""),4.0)</f>
        <v>4</v>
      </c>
      <c r="O2360" s="213">
        <f>IFERROR(__xludf.DUMMYFUNCTION("""COMPUTED_VALUE"""),4.0)</f>
        <v>4</v>
      </c>
      <c r="P2360" s="213"/>
      <c r="Q2360" s="213"/>
      <c r="R2360" s="213"/>
      <c r="S2360" s="213"/>
      <c r="T2360" s="213" t="str">
        <f>IFERROR(__xludf.DUMMYFUNCTION("""COMPUTED_VALUE"""),"SI")</f>
        <v>SI</v>
      </c>
      <c r="U2360" s="213" t="str">
        <f>IFERROR(__xludf.DUMMYFUNCTION("""COMPUTED_VALUE"""),"SI")</f>
        <v>SI</v>
      </c>
      <c r="V2360" s="213" t="str">
        <f>IFERROR(__xludf.DUMMYFUNCTION("""COMPUTED_VALUE"""),"-")</f>
        <v>-</v>
      </c>
      <c r="W2360" s="213" t="str">
        <f>IFERROR(__xludf.DUMMYFUNCTION("""COMPUTED_VALUE"""),"-")</f>
        <v>-</v>
      </c>
      <c r="X2360" s="213" t="str">
        <f>IFERROR(__xludf.DUMMYFUNCTION("""COMPUTED_VALUE"""),"LENOVO")</f>
        <v>LENOVO</v>
      </c>
      <c r="Y2360" s="213" t="str">
        <f>IFERROR(__xludf.DUMMYFUNCTION("""COMPUTED_VALUE"""),"TAB LTE TB311XU")</f>
        <v>TAB LTE TB311XU</v>
      </c>
      <c r="Z2360" s="215" t="str">
        <f>IFERROR(__xludf.DUMMYFUNCTION("""COMPUTED_VALUE"""),"https://inquirecontent2.ingrammicro.com/Manufacturer-Brochure/1086740376.pdf")</f>
        <v>https://inquirecontent2.ingrammicro.com/Manufacturer-Brochure/1086740376.pdf</v>
      </c>
      <c r="AA2360" s="213" t="str">
        <f>IFERROR(__xludf.DUMMYFUNCTION("""COMPUTED_VALUE"""),"TEC-117 TABLET - CET")</f>
        <v>TEC-117 TABLET - CET</v>
      </c>
      <c r="AB2360" s="213"/>
      <c r="AC2360" s="213"/>
      <c r="AD2360" s="213"/>
      <c r="AE2360" s="213"/>
      <c r="AF2360" s="213"/>
      <c r="AG2360" s="213"/>
      <c r="AH2360" s="213"/>
      <c r="AI2360" s="213"/>
      <c r="AJ2360" s="213"/>
      <c r="AK2360" s="213"/>
      <c r="AL2360" s="213"/>
      <c r="AM2360" s="213"/>
      <c r="AN2360" s="213"/>
      <c r="AO2360" s="213"/>
      <c r="AP2360" s="213" t="str">
        <f>IFERROR(__xludf.DUMMYFUNCTION("""COMPUTED_VALUE"""),"NALDI")</f>
        <v>NALDI</v>
      </c>
      <c r="AQ2360" s="213" t="str">
        <f>IFERROR(__xludf.DUMMYFUNCTION("""COMPUTED_VALUE"""),"Consultar si llegan los siguientes accesorios: 01 cable de conexión USB y 01 cargador.")</f>
        <v>Consultar si llegan los siguientes accesorios: 01 cable de conexión USB y 01 cargador.</v>
      </c>
      <c r="AR2360" s="213"/>
      <c r="AS2360" s="213" t="str">
        <f>IFERROR(__xludf.DUMMYFUNCTION("""COMPUTED_VALUE"""),"Presenta un protector resistente a los golpes.")</f>
        <v>Presenta un protector resistente a los golpes.</v>
      </c>
      <c r="AT2360" s="213"/>
      <c r="AU2360" s="213"/>
      <c r="AV2360" s="213"/>
      <c r="AW2360" s="213"/>
      <c r="AX2360" s="213"/>
      <c r="AY2360" s="213"/>
      <c r="AZ2360" s="213"/>
      <c r="BA2360" s="213"/>
      <c r="BB2360" s="213"/>
      <c r="BC2360" s="213"/>
      <c r="BD2360" s="213"/>
    </row>
    <row r="2361">
      <c r="A2361" s="213">
        <f>IFERROR(__xludf.DUMMYFUNCTION("""COMPUTED_VALUE"""),2159.0)</f>
        <v>2159</v>
      </c>
      <c r="B2361" s="213" t="str">
        <f>IFERROR(__xludf.DUMMYFUNCTION("""COMPUTED_VALUE"""),"JOSE GRANDA")</f>
        <v>JOSE GRANDA</v>
      </c>
      <c r="C2361" s="213" t="str">
        <f>IFERROR(__xludf.DUMMYFUNCTION("""COMPUTED_VALUE"""),"TALLER SFT DE INDUSTRIA ALIMENTARIA")</f>
        <v>TALLER SFT DE INDUSTRIA ALIMENTARIA</v>
      </c>
      <c r="D2361" s="213" t="str">
        <f>IFERROR(__xludf.DUMMYFUNCTION("""COMPUTED_VALUE"""),"TICS")</f>
        <v>TICS</v>
      </c>
      <c r="E2361" s="213" t="str">
        <f>IFERROR(__xludf.DUMMYFUNCTION("""COMPUTED_VALUE"""),"TEC-117")</f>
        <v>TEC-117</v>
      </c>
      <c r="F2361" s="213" t="str">
        <f>IFERROR(__xludf.DUMMYFUNCTION("""COMPUTED_VALUE"""),"TEC-117")</f>
        <v>TEC-117</v>
      </c>
      <c r="G2361" s="213"/>
      <c r="H2361" s="213" t="str">
        <f>IFERROR(__xludf.DUMMYFUNCTION("""COMPUTED_VALUE"""),"TABLET")</f>
        <v>TABLET</v>
      </c>
      <c r="I2361"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61" s="213">
        <f>IFERROR(__xludf.DUMMYFUNCTION("""COMPUTED_VALUE"""),3.0)</f>
        <v>3</v>
      </c>
      <c r="K2361" s="213" t="str">
        <f>IFERROR(__xludf.DUMMYFUNCTION("""COMPUTED_VALUE"""),"170 DÍAS CALENDARIO")</f>
        <v>170 DÍAS CALENDARIO</v>
      </c>
      <c r="L2361"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61" s="213">
        <f>IFERROR(__xludf.DUMMYFUNCTION("""COMPUTED_VALUE"""),1.0)</f>
        <v>1</v>
      </c>
      <c r="N2361" s="213">
        <f>IFERROR(__xludf.DUMMYFUNCTION("""COMPUTED_VALUE"""),4.0)</f>
        <v>4</v>
      </c>
      <c r="O2361" s="213">
        <f>IFERROR(__xludf.DUMMYFUNCTION("""COMPUTED_VALUE"""),4.0)</f>
        <v>4</v>
      </c>
      <c r="P2361" s="213"/>
      <c r="Q2361" s="213"/>
      <c r="R2361" s="213"/>
      <c r="S2361" s="213"/>
      <c r="T2361" s="213" t="str">
        <f>IFERROR(__xludf.DUMMYFUNCTION("""COMPUTED_VALUE"""),"SI")</f>
        <v>SI</v>
      </c>
      <c r="U2361" s="213" t="str">
        <f>IFERROR(__xludf.DUMMYFUNCTION("""COMPUTED_VALUE"""),"SI")</f>
        <v>SI</v>
      </c>
      <c r="V2361" s="213" t="str">
        <f>IFERROR(__xludf.DUMMYFUNCTION("""COMPUTED_VALUE"""),"-")</f>
        <v>-</v>
      </c>
      <c r="W2361" s="213" t="str">
        <f>IFERROR(__xludf.DUMMYFUNCTION("""COMPUTED_VALUE"""),"-")</f>
        <v>-</v>
      </c>
      <c r="X2361" s="213" t="str">
        <f>IFERROR(__xludf.DUMMYFUNCTION("""COMPUTED_VALUE"""),"LENOVO")</f>
        <v>LENOVO</v>
      </c>
      <c r="Y2361" s="213" t="str">
        <f>IFERROR(__xludf.DUMMYFUNCTION("""COMPUTED_VALUE"""),"TAB LTE TB311XU")</f>
        <v>TAB LTE TB311XU</v>
      </c>
      <c r="Z2361" s="215" t="str">
        <f>IFERROR(__xludf.DUMMYFUNCTION("""COMPUTED_VALUE"""),"https://inquirecontent2.ingrammicro.com/Manufacturer-Brochure/1086740376.pdf")</f>
        <v>https://inquirecontent2.ingrammicro.com/Manufacturer-Brochure/1086740376.pdf</v>
      </c>
      <c r="AA2361" s="213" t="str">
        <f>IFERROR(__xludf.DUMMYFUNCTION("""COMPUTED_VALUE"""),"TEC-117 TABLET - CET")</f>
        <v>TEC-117 TABLET - CET</v>
      </c>
      <c r="AB2361" s="213"/>
      <c r="AC2361" s="213"/>
      <c r="AD2361" s="213"/>
      <c r="AE2361" s="213"/>
      <c r="AF2361" s="213"/>
      <c r="AG2361" s="213"/>
      <c r="AH2361" s="213"/>
      <c r="AI2361" s="213"/>
      <c r="AJ2361" s="213"/>
      <c r="AK2361" s="213"/>
      <c r="AL2361" s="213"/>
      <c r="AM2361" s="213"/>
      <c r="AN2361" s="213"/>
      <c r="AO2361" s="213"/>
      <c r="AP2361" s="213" t="str">
        <f>IFERROR(__xludf.DUMMYFUNCTION("""COMPUTED_VALUE"""),"NALDI")</f>
        <v>NALDI</v>
      </c>
      <c r="AQ2361" s="213" t="str">
        <f>IFERROR(__xludf.DUMMYFUNCTION("""COMPUTED_VALUE"""),"Consultar si llegan los siguientes accesorios: 01 cable de conexión USB y 01 cargador.")</f>
        <v>Consultar si llegan los siguientes accesorios: 01 cable de conexión USB y 01 cargador.</v>
      </c>
      <c r="AR2361" s="213"/>
      <c r="AS2361" s="213" t="str">
        <f>IFERROR(__xludf.DUMMYFUNCTION("""COMPUTED_VALUE"""),"Presenta un protector resistente a los golpes.")</f>
        <v>Presenta un protector resistente a los golpes.</v>
      </c>
      <c r="AT2361" s="213"/>
      <c r="AU2361" s="213"/>
      <c r="AV2361" s="213"/>
      <c r="AW2361" s="213"/>
      <c r="AX2361" s="213"/>
      <c r="AY2361" s="213"/>
      <c r="AZ2361" s="213"/>
      <c r="BA2361" s="213"/>
      <c r="BB2361" s="213"/>
      <c r="BC2361" s="213"/>
      <c r="BD2361" s="213"/>
    </row>
    <row r="2362">
      <c r="A2362" s="213">
        <f>IFERROR(__xludf.DUMMYFUNCTION("""COMPUTED_VALUE"""),2300.0)</f>
        <v>2300</v>
      </c>
      <c r="B2362" s="213" t="str">
        <f>IFERROR(__xludf.DUMMYFUNCTION("""COMPUTED_VALUE"""),"JOSE GRANDA")</f>
        <v>JOSE GRANDA</v>
      </c>
      <c r="C2362" s="213" t="str">
        <f>IFERROR(__xludf.DUMMYFUNCTION("""COMPUTED_VALUE"""),"TALLER SFT DE MECÁNICA AUTOMOTRIZ")</f>
        <v>TALLER SFT DE MECÁNICA AUTOMOTRIZ</v>
      </c>
      <c r="D2362" s="213" t="str">
        <f>IFERROR(__xludf.DUMMYFUNCTION("""COMPUTED_VALUE"""),"TICS")</f>
        <v>TICS</v>
      </c>
      <c r="E2362" s="213" t="str">
        <f>IFERROR(__xludf.DUMMYFUNCTION("""COMPUTED_VALUE"""),"TEC-117")</f>
        <v>TEC-117</v>
      </c>
      <c r="F2362" s="213" t="str">
        <f>IFERROR(__xludf.DUMMYFUNCTION("""COMPUTED_VALUE"""),"TEC-117")</f>
        <v>TEC-117</v>
      </c>
      <c r="G2362" s="213"/>
      <c r="H2362" s="213" t="str">
        <f>IFERROR(__xludf.DUMMYFUNCTION("""COMPUTED_VALUE"""),"TABLET")</f>
        <v>TABLET</v>
      </c>
      <c r="I2362"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62" s="213">
        <f>IFERROR(__xludf.DUMMYFUNCTION("""COMPUTED_VALUE"""),3.0)</f>
        <v>3</v>
      </c>
      <c r="K2362" s="213" t="str">
        <f>IFERROR(__xludf.DUMMYFUNCTION("""COMPUTED_VALUE"""),"170 DÍAS CALENDARIO")</f>
        <v>170 DÍAS CALENDARIO</v>
      </c>
      <c r="L2362"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62" s="213">
        <f>IFERROR(__xludf.DUMMYFUNCTION("""COMPUTED_VALUE"""),1.0)</f>
        <v>1</v>
      </c>
      <c r="N2362" s="213">
        <f>IFERROR(__xludf.DUMMYFUNCTION("""COMPUTED_VALUE"""),4.0)</f>
        <v>4</v>
      </c>
      <c r="O2362" s="213">
        <f>IFERROR(__xludf.DUMMYFUNCTION("""COMPUTED_VALUE"""),4.0)</f>
        <v>4</v>
      </c>
      <c r="P2362" s="213"/>
      <c r="Q2362" s="213"/>
      <c r="R2362" s="213"/>
      <c r="S2362" s="213"/>
      <c r="T2362" s="213" t="str">
        <f>IFERROR(__xludf.DUMMYFUNCTION("""COMPUTED_VALUE"""),"SI")</f>
        <v>SI</v>
      </c>
      <c r="U2362" s="213" t="str">
        <f>IFERROR(__xludf.DUMMYFUNCTION("""COMPUTED_VALUE"""),"SI")</f>
        <v>SI</v>
      </c>
      <c r="V2362" s="213" t="str">
        <f>IFERROR(__xludf.DUMMYFUNCTION("""COMPUTED_VALUE"""),"-")</f>
        <v>-</v>
      </c>
      <c r="W2362" s="213" t="str">
        <f>IFERROR(__xludf.DUMMYFUNCTION("""COMPUTED_VALUE"""),"-")</f>
        <v>-</v>
      </c>
      <c r="X2362" s="213" t="str">
        <f>IFERROR(__xludf.DUMMYFUNCTION("""COMPUTED_VALUE"""),"LENOVO")</f>
        <v>LENOVO</v>
      </c>
      <c r="Y2362" s="213" t="str">
        <f>IFERROR(__xludf.DUMMYFUNCTION("""COMPUTED_VALUE"""),"TAB LTE TB311XU")</f>
        <v>TAB LTE TB311XU</v>
      </c>
      <c r="Z2362" s="215" t="str">
        <f>IFERROR(__xludf.DUMMYFUNCTION("""COMPUTED_VALUE"""),"https://inquirecontent2.ingrammicro.com/Manufacturer-Brochure/1086740376.pdf")</f>
        <v>https://inquirecontent2.ingrammicro.com/Manufacturer-Brochure/1086740376.pdf</v>
      </c>
      <c r="AA2362" s="213" t="str">
        <f>IFERROR(__xludf.DUMMYFUNCTION("""COMPUTED_VALUE"""),"TEC-117 TABLET - CET")</f>
        <v>TEC-117 TABLET - CET</v>
      </c>
      <c r="AB2362" s="213"/>
      <c r="AC2362" s="213"/>
      <c r="AD2362" s="213"/>
      <c r="AE2362" s="213"/>
      <c r="AF2362" s="213"/>
      <c r="AG2362" s="213"/>
      <c r="AH2362" s="213"/>
      <c r="AI2362" s="213"/>
      <c r="AJ2362" s="213"/>
      <c r="AK2362" s="213"/>
      <c r="AL2362" s="213"/>
      <c r="AM2362" s="213"/>
      <c r="AN2362" s="213"/>
      <c r="AO2362" s="213"/>
      <c r="AP2362" s="213" t="str">
        <f>IFERROR(__xludf.DUMMYFUNCTION("""COMPUTED_VALUE"""),"NALDI")</f>
        <v>NALDI</v>
      </c>
      <c r="AQ2362" s="213" t="str">
        <f>IFERROR(__xludf.DUMMYFUNCTION("""COMPUTED_VALUE"""),"Consultar si llegan los siguientes accesorios: 01 cable de conexión USB y 01 cargador.")</f>
        <v>Consultar si llegan los siguientes accesorios: 01 cable de conexión USB y 01 cargador.</v>
      </c>
      <c r="AR2362" s="213"/>
      <c r="AS2362" s="213" t="str">
        <f>IFERROR(__xludf.DUMMYFUNCTION("""COMPUTED_VALUE"""),"Presenta un protector resistente a los golpes.")</f>
        <v>Presenta un protector resistente a los golpes.</v>
      </c>
      <c r="AT2362" s="213"/>
      <c r="AU2362" s="213"/>
      <c r="AV2362" s="213"/>
      <c r="AW2362" s="213"/>
      <c r="AX2362" s="213"/>
      <c r="AY2362" s="213"/>
      <c r="AZ2362" s="213"/>
      <c r="BA2362" s="213"/>
      <c r="BB2362" s="213"/>
      <c r="BC2362" s="213"/>
      <c r="BD2362" s="213"/>
    </row>
    <row r="2363">
      <c r="A2363" s="213">
        <f>IFERROR(__xludf.DUMMYFUNCTION("""COMPUTED_VALUE"""),2428.0)</f>
        <v>2428</v>
      </c>
      <c r="B2363" s="213" t="str">
        <f>IFERROR(__xludf.DUMMYFUNCTION("""COMPUTED_VALUE"""),"MANUEL ANTONIO MESONES MURO")</f>
        <v>MANUEL ANTONIO MESONES MURO</v>
      </c>
      <c r="C2363" s="213" t="str">
        <f>IFERROR(__xludf.DUMMYFUNCTION("""COMPUTED_VALUE"""),"TALLER SFT DE INDUSTRIA DEL VESTIDO")</f>
        <v>TALLER SFT DE INDUSTRIA DEL VESTIDO</v>
      </c>
      <c r="D2363" s="213" t="str">
        <f>IFERROR(__xludf.DUMMYFUNCTION("""COMPUTED_VALUE"""),"TICS")</f>
        <v>TICS</v>
      </c>
      <c r="E2363" s="213" t="str">
        <f>IFERROR(__xludf.DUMMYFUNCTION("""COMPUTED_VALUE"""),"TEC-117")</f>
        <v>TEC-117</v>
      </c>
      <c r="F2363" s="213" t="str">
        <f>IFERROR(__xludf.DUMMYFUNCTION("""COMPUTED_VALUE"""),"TEC-117")</f>
        <v>TEC-117</v>
      </c>
      <c r="G2363" s="213"/>
      <c r="H2363" s="213" t="str">
        <f>IFERROR(__xludf.DUMMYFUNCTION("""COMPUTED_VALUE"""),"TABLET")</f>
        <v>TABLET</v>
      </c>
      <c r="I2363"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63" s="213">
        <f>IFERROR(__xludf.DUMMYFUNCTION("""COMPUTED_VALUE"""),3.0)</f>
        <v>3</v>
      </c>
      <c r="K2363" s="213" t="str">
        <f>IFERROR(__xludf.DUMMYFUNCTION("""COMPUTED_VALUE"""),"170 DÍAS CALENDARIO")</f>
        <v>170 DÍAS CALENDARIO</v>
      </c>
      <c r="L2363"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63" s="213">
        <f>IFERROR(__xludf.DUMMYFUNCTION("""COMPUTED_VALUE"""),1.0)</f>
        <v>1</v>
      </c>
      <c r="N2363" s="213">
        <f>IFERROR(__xludf.DUMMYFUNCTION("""COMPUTED_VALUE"""),4.0)</f>
        <v>4</v>
      </c>
      <c r="O2363" s="213">
        <f>IFERROR(__xludf.DUMMYFUNCTION("""COMPUTED_VALUE"""),4.0)</f>
        <v>4</v>
      </c>
      <c r="P2363" s="213"/>
      <c r="Q2363" s="213"/>
      <c r="R2363" s="213"/>
      <c r="S2363" s="213"/>
      <c r="T2363" s="213" t="str">
        <f>IFERROR(__xludf.DUMMYFUNCTION("""COMPUTED_VALUE"""),"SI")</f>
        <v>SI</v>
      </c>
      <c r="U2363" s="213" t="str">
        <f>IFERROR(__xludf.DUMMYFUNCTION("""COMPUTED_VALUE"""),"SI")</f>
        <v>SI</v>
      </c>
      <c r="V2363" s="213" t="str">
        <f>IFERROR(__xludf.DUMMYFUNCTION("""COMPUTED_VALUE"""),"-")</f>
        <v>-</v>
      </c>
      <c r="W2363" s="213" t="str">
        <f>IFERROR(__xludf.DUMMYFUNCTION("""COMPUTED_VALUE"""),"-")</f>
        <v>-</v>
      </c>
      <c r="X2363" s="213" t="str">
        <f>IFERROR(__xludf.DUMMYFUNCTION("""COMPUTED_VALUE"""),"LENOVO")</f>
        <v>LENOVO</v>
      </c>
      <c r="Y2363" s="213" t="str">
        <f>IFERROR(__xludf.DUMMYFUNCTION("""COMPUTED_VALUE"""),"TAB LTE TB311XU")</f>
        <v>TAB LTE TB311XU</v>
      </c>
      <c r="Z2363" s="215" t="str">
        <f>IFERROR(__xludf.DUMMYFUNCTION("""COMPUTED_VALUE"""),"https://inquirecontent2.ingrammicro.com/Manufacturer-Brochure/1086740376.pdf")</f>
        <v>https://inquirecontent2.ingrammicro.com/Manufacturer-Brochure/1086740376.pdf</v>
      </c>
      <c r="AA2363" s="213" t="str">
        <f>IFERROR(__xludf.DUMMYFUNCTION("""COMPUTED_VALUE"""),"TEC-117 TABLET - CET")</f>
        <v>TEC-117 TABLET - CET</v>
      </c>
      <c r="AB2363" s="213"/>
      <c r="AC2363" s="213"/>
      <c r="AD2363" s="213"/>
      <c r="AE2363" s="213"/>
      <c r="AF2363" s="213"/>
      <c r="AG2363" s="213"/>
      <c r="AH2363" s="213"/>
      <c r="AI2363" s="213"/>
      <c r="AJ2363" s="213"/>
      <c r="AK2363" s="213"/>
      <c r="AL2363" s="213"/>
      <c r="AM2363" s="213"/>
      <c r="AN2363" s="213"/>
      <c r="AO2363" s="213"/>
      <c r="AP2363" s="213" t="str">
        <f>IFERROR(__xludf.DUMMYFUNCTION("""COMPUTED_VALUE"""),"NALDI")</f>
        <v>NALDI</v>
      </c>
      <c r="AQ2363" s="213" t="str">
        <f>IFERROR(__xludf.DUMMYFUNCTION("""COMPUTED_VALUE"""),"Consultar si llegan los siguientes accesorios: 01 cable de conexión USB y 01 cargador.")</f>
        <v>Consultar si llegan los siguientes accesorios: 01 cable de conexión USB y 01 cargador.</v>
      </c>
      <c r="AR2363" s="213"/>
      <c r="AS2363" s="213" t="str">
        <f>IFERROR(__xludf.DUMMYFUNCTION("""COMPUTED_VALUE"""),"Presenta un protector resistente a los golpes.")</f>
        <v>Presenta un protector resistente a los golpes.</v>
      </c>
      <c r="AT2363" s="213"/>
      <c r="AU2363" s="213"/>
      <c r="AV2363" s="213"/>
      <c r="AW2363" s="213"/>
      <c r="AX2363" s="213"/>
      <c r="AY2363" s="213"/>
      <c r="AZ2363" s="213"/>
      <c r="BA2363" s="213"/>
      <c r="BB2363" s="213"/>
      <c r="BC2363" s="213"/>
      <c r="BD2363" s="213"/>
    </row>
    <row r="2364">
      <c r="A2364" s="213">
        <f>IFERROR(__xludf.DUMMYFUNCTION("""COMPUTED_VALUE"""),2513.0)</f>
        <v>2513</v>
      </c>
      <c r="B2364" s="213" t="str">
        <f>IFERROR(__xludf.DUMMYFUNCTION("""COMPUTED_VALUE"""),"MANUEL ANTONIO MESONES MURO")</f>
        <v>MANUEL ANTONIO MESONES MURO</v>
      </c>
      <c r="C2364" s="213" t="str">
        <f>IFERROR(__xludf.DUMMYFUNCTION("""COMPUTED_VALUE"""),"TALLER SFT DE CONSTRUCCIONES METÁLICAS")</f>
        <v>TALLER SFT DE CONSTRUCCIONES METÁLICAS</v>
      </c>
      <c r="D2364" s="213" t="str">
        <f>IFERROR(__xludf.DUMMYFUNCTION("""COMPUTED_VALUE"""),"EQUIPOS")</f>
        <v>EQUIPOS</v>
      </c>
      <c r="E2364" s="213" t="str">
        <f>IFERROR(__xludf.DUMMYFUNCTION("""COMPUTED_VALUE"""),"ESP-351")</f>
        <v>ESP-351</v>
      </c>
      <c r="F2364" s="213" t="str">
        <f>IFERROR(__xludf.DUMMYFUNCTION("""COMPUTED_VALUE"""),"ESP-351")</f>
        <v>ESP-351</v>
      </c>
      <c r="G2364" s="213"/>
      <c r="H2364" s="213" t="str">
        <f>IFERROR(__xludf.DUMMYFUNCTION("""COMPUTED_VALUE"""),"SIMULADOR DE SOLDADURA")</f>
        <v>SIMULADOR DE SOLDADURA</v>
      </c>
      <c r="I2364" s="213"/>
      <c r="J2364" s="213">
        <f>IFERROR(__xludf.DUMMYFUNCTION("""COMPUTED_VALUE"""),3.0)</f>
        <v>3</v>
      </c>
      <c r="K2364" s="213" t="str">
        <f>IFERROR(__xludf.DUMMYFUNCTION("""COMPUTED_VALUE"""),"170 DÍAS CALENDARIO")</f>
        <v>170 DÍAS CALENDARIO</v>
      </c>
      <c r="L2364" s="213" t="str">
        <f>IFERROR(__xludf.DUMMYFUNCTION("""COMPUTED_VALUE"""),"")</f>
        <v/>
      </c>
      <c r="M2364" s="213">
        <f>IFERROR(__xludf.DUMMYFUNCTION("""COMPUTED_VALUE"""),1.0)</f>
        <v>1</v>
      </c>
      <c r="N2364" s="213">
        <f>IFERROR(__xludf.DUMMYFUNCTION("""COMPUTED_VALUE"""),1.0)</f>
        <v>1</v>
      </c>
      <c r="O2364" s="213">
        <f>IFERROR(__xludf.DUMMYFUNCTION("""COMPUTED_VALUE"""),1.0)</f>
        <v>1</v>
      </c>
      <c r="P2364" s="213"/>
      <c r="Q2364" s="213"/>
      <c r="R2364" s="213"/>
      <c r="S2364" s="213" t="str">
        <f>IFERROR(__xludf.DUMMYFUNCTION("""COMPUTED_VALUE"""),"SI")</f>
        <v>SI</v>
      </c>
      <c r="T2364" s="213" t="str">
        <f>IFERROR(__xludf.DUMMYFUNCTION("""COMPUTED_VALUE"""),"CONSULTA FINAL")</f>
        <v>CONSULTA FINAL</v>
      </c>
      <c r="U2364" s="213" t="str">
        <f>IFERROR(__xludf.DUMMYFUNCTION("""COMPUTED_VALUE"""),"NO")</f>
        <v>NO</v>
      </c>
      <c r="V2364" s="213" t="str">
        <f>IFERROR(__xludf.DUMMYFUNCTION("""COMPUTED_VALUE"""),"SUSTENTO")</f>
        <v>SUSTENTO</v>
      </c>
      <c r="W2364" s="213" t="str">
        <f>IFERROR(__xludf.DUMMYFUNCTION("""COMPUTED_VALUE"""),"CRÍTICO")</f>
        <v>CRÍTICO</v>
      </c>
      <c r="X2364" s="213" t="str">
        <f>IFERROR(__xludf.DUMMYFUNCTION("""COMPUTED_VALUE"""),"ONEW")</f>
        <v>ONEW</v>
      </c>
      <c r="Y2364" s="213" t="str">
        <f>IFERROR(__xludf.DUMMYFUNCTION("""COMPUTED_VALUE"""),"360-MINI")</f>
        <v>360-MINI</v>
      </c>
      <c r="Z2364" s="215" t="str">
        <f>IFERROR(__xludf.DUMMYFUNCTION("""COMPUTED_VALUE"""),"https://drive.google.com/file/d/1V-xxSieO1pqnE7qQj8dp361-peNNC8P8/view?usp=drive_link")</f>
        <v>https://drive.google.com/file/d/1V-xxSieO1pqnE7qQj8dp361-peNNC8P8/view?usp=drive_link</v>
      </c>
      <c r="AA2364" s="213" t="str">
        <f>IFERROR(__xludf.DUMMYFUNCTION("""COMPUTED_VALUE"""),"ESP-351 SIMULADOR DE SOLDADURA - CET")</f>
        <v>ESP-351 SIMULADOR DE SOLDADURA - CET</v>
      </c>
      <c r="AB2364" s="213"/>
      <c r="AC2364" s="213"/>
      <c r="AD2364" s="213"/>
      <c r="AE2364" s="213"/>
      <c r="AF2364" s="213"/>
      <c r="AG2364" s="213"/>
      <c r="AH2364" s="213"/>
      <c r="AI2364" s="213"/>
      <c r="AJ2364" s="213"/>
      <c r="AK2364" s="213"/>
      <c r="AL2364" s="213"/>
      <c r="AM2364" s="213"/>
      <c r="AN2364" s="213"/>
      <c r="AO2364" s="213"/>
      <c r="AP2364" s="213" t="str">
        <f>IFERROR(__xludf.DUMMYFUNCTION("""COMPUTED_VALUE"""),"NALDI")</f>
        <v>NALDI</v>
      </c>
      <c r="AQ2364" s="213"/>
      <c r="AR2364" s="213"/>
      <c r="AS2364" s="213"/>
      <c r="AT2364" s="213"/>
      <c r="AU2364" s="213"/>
      <c r="AV2364" s="213"/>
      <c r="AW2364" s="213"/>
      <c r="AX2364" s="213"/>
      <c r="AY2364" s="213"/>
      <c r="AZ2364" s="213"/>
      <c r="BA2364" s="213"/>
      <c r="BB2364" s="213"/>
      <c r="BC2364" s="213"/>
      <c r="BD2364" s="213"/>
    </row>
    <row r="2365">
      <c r="A2365" s="213">
        <f>IFERROR(__xludf.DUMMYFUNCTION("""COMPUTED_VALUE"""),2653.0)</f>
        <v>2653</v>
      </c>
      <c r="B2365" s="213" t="str">
        <f>IFERROR(__xludf.DUMMYFUNCTION("""COMPUTED_VALUE"""),"MANUEL ANTONIO MESONES MURO")</f>
        <v>MANUEL ANTONIO MESONES MURO</v>
      </c>
      <c r="C2365" s="213" t="str">
        <f>IFERROR(__xludf.DUMMYFUNCTION("""COMPUTED_VALUE"""),"TALLER SFT DE EBANISTERÍA")</f>
        <v>TALLER SFT DE EBANISTERÍA</v>
      </c>
      <c r="D2365" s="213" t="str">
        <f>IFERROR(__xludf.DUMMYFUNCTION("""COMPUTED_VALUE"""),"TICS")</f>
        <v>TICS</v>
      </c>
      <c r="E2365" s="213" t="str">
        <f>IFERROR(__xludf.DUMMYFUNCTION("""COMPUTED_VALUE"""),"TEC-117")</f>
        <v>TEC-117</v>
      </c>
      <c r="F2365" s="213" t="str">
        <f>IFERROR(__xludf.DUMMYFUNCTION("""COMPUTED_VALUE"""),"TEC-117")</f>
        <v>TEC-117</v>
      </c>
      <c r="G2365" s="213"/>
      <c r="H2365" s="213" t="str">
        <f>IFERROR(__xludf.DUMMYFUNCTION("""COMPUTED_VALUE"""),"TABLET")</f>
        <v>TABLET</v>
      </c>
      <c r="I2365"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11 ""
. Reso"&amp;"lución 1920 x 1200
· Conectividad: Inhalambrica IEEE 802.11 b/g/n, Bluetooth, 4G LTE.
. Puertos: E/S - 01 conector de audio 3.5 mm, 01 USB tipo ""C"", 01 ranura  micro SD.
. Sonido parlantes integrados.
. Cámara: frontal  5 MPX mínimo, y posterior de 5 MP"&amp;"X mínimo.
· Batería LI-ION o LI-PO.
. Certificado:  Energy Star y/o CE y/o FCC y/o RoHS.
. Accesorios: 01 cable de conexión USB y 01 cargador.
· Presenta un protector resistente a los golpes. INCLUYE:
· Software para diseñar, recoger información en campo "&amp;"y procesar información de encuestas y entrevistas: características:
· Software libre:
- Formulario de google, Hojas de cálculo google, Google Docs
- Sketchbook pro (Gratuito)
- Oppen Office.
· Libre Office
- Versión 2018 o superior, Idioma español.
- Para"&amp;" crear cuestionarios, entrevistas y aplicar en campo
- Realizar colecta de datos de forma segura, confiable y amigable.
- Permite realizar el análisis de datos de forma intuitiva
· Software Antivirus
- Licenciada
- Idioma español, Versión 2019 o superior
"&amp;"- Protección antivirus en tiempo real para proteger de virus, troyanos, adware, malware y phishing.
- Protección contra firewall
- Protección de escudo web compatible con el sistema operativo de la tablet
- Limpiador de disco para liberar espacio en el si"&amp;"stema operativo de la Tablet.")</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v>
      </c>
      <c r="J2365" s="213">
        <f>IFERROR(__xludf.DUMMYFUNCTION("""COMPUTED_VALUE"""),3.0)</f>
        <v>3</v>
      </c>
      <c r="K2365" s="213" t="str">
        <f>IFERROR(__xludf.DUMMYFUNCTION("""COMPUTED_VALUE"""),"170 DÍAS CALENDARIO")</f>
        <v>170 DÍAS CALENDARIO</v>
      </c>
      <c r="L2365"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65" s="213">
        <f>IFERROR(__xludf.DUMMYFUNCTION("""COMPUTED_VALUE"""),1.0)</f>
        <v>1</v>
      </c>
      <c r="N2365" s="213">
        <f>IFERROR(__xludf.DUMMYFUNCTION("""COMPUTED_VALUE"""),4.0)</f>
        <v>4</v>
      </c>
      <c r="O2365" s="213">
        <f>IFERROR(__xludf.DUMMYFUNCTION("""COMPUTED_VALUE"""),4.0)</f>
        <v>4</v>
      </c>
      <c r="P2365" s="213"/>
      <c r="Q2365" s="213"/>
      <c r="R2365" s="213"/>
      <c r="S2365" s="213"/>
      <c r="T2365" s="213" t="str">
        <f>IFERROR(__xludf.DUMMYFUNCTION("""COMPUTED_VALUE"""),"SI")</f>
        <v>SI</v>
      </c>
      <c r="U2365" s="213" t="str">
        <f>IFERROR(__xludf.DUMMYFUNCTION("""COMPUTED_VALUE"""),"SI")</f>
        <v>SI</v>
      </c>
      <c r="V2365" s="213" t="str">
        <f>IFERROR(__xludf.DUMMYFUNCTION("""COMPUTED_VALUE"""),"-")</f>
        <v>-</v>
      </c>
      <c r="W2365" s="213" t="str">
        <f>IFERROR(__xludf.DUMMYFUNCTION("""COMPUTED_VALUE"""),"-")</f>
        <v>-</v>
      </c>
      <c r="X2365" s="213" t="str">
        <f>IFERROR(__xludf.DUMMYFUNCTION("""COMPUTED_VALUE"""),"LENOVO")</f>
        <v>LENOVO</v>
      </c>
      <c r="Y2365" s="213" t="str">
        <f>IFERROR(__xludf.DUMMYFUNCTION("""COMPUTED_VALUE"""),"TAB LTE TB311XU")</f>
        <v>TAB LTE TB311XU</v>
      </c>
      <c r="Z2365" s="215" t="str">
        <f>IFERROR(__xludf.DUMMYFUNCTION("""COMPUTED_VALUE"""),"https://inquirecontent2.ingrammicro.com/Manufacturer-Brochure/1086740376.pdf")</f>
        <v>https://inquirecontent2.ingrammicro.com/Manufacturer-Brochure/1086740376.pdf</v>
      </c>
      <c r="AA2365" s="213" t="str">
        <f>IFERROR(__xludf.DUMMYFUNCTION("""COMPUTED_VALUE"""),"TEC-117 TABLET - CET")</f>
        <v>TEC-117 TABLET - CET</v>
      </c>
      <c r="AB2365" s="213"/>
      <c r="AC2365" s="213"/>
      <c r="AD2365" s="213"/>
      <c r="AE2365" s="213"/>
      <c r="AF2365" s="213"/>
      <c r="AG2365" s="213"/>
      <c r="AH2365" s="213"/>
      <c r="AI2365" s="213"/>
      <c r="AJ2365" s="213"/>
      <c r="AK2365" s="213"/>
      <c r="AL2365" s="213"/>
      <c r="AM2365" s="213"/>
      <c r="AN2365" s="213"/>
      <c r="AO2365" s="213"/>
      <c r="AP2365" s="213" t="str">
        <f>IFERROR(__xludf.DUMMYFUNCTION("""COMPUTED_VALUE"""),"NALDI")</f>
        <v>NALDI</v>
      </c>
      <c r="AQ2365" s="213" t="str">
        <f>IFERROR(__xludf.DUMMYFUNCTION("""COMPUTED_VALUE"""),"Consultar si llegan los siguientes accesorios: 01 cable de conexión USB y 01 cargador.")</f>
        <v>Consultar si llegan los siguientes accesorios: 01 cable de conexión USB y 01 cargador.</v>
      </c>
      <c r="AR2365" s="213"/>
      <c r="AS2365" s="213" t="str">
        <f>IFERROR(__xludf.DUMMYFUNCTION("""COMPUTED_VALUE"""),"Presenta un protector resistente a los golpes.")</f>
        <v>Presenta un protector resistente a los golpes.</v>
      </c>
      <c r="AT2365" s="213"/>
      <c r="AU2365" s="213"/>
      <c r="AV2365" s="213"/>
      <c r="AW2365" s="213"/>
      <c r="AX2365" s="213"/>
      <c r="AY2365" s="213"/>
      <c r="AZ2365" s="213"/>
      <c r="BA2365" s="213"/>
      <c r="BB2365" s="213"/>
      <c r="BC2365" s="213"/>
      <c r="BD2365" s="213"/>
    </row>
    <row r="2366">
      <c r="A2366" s="213">
        <f>IFERROR(__xludf.DUMMYFUNCTION("""COMPUTED_VALUE"""),308.0)</f>
        <v>308</v>
      </c>
      <c r="B2366" s="213" t="str">
        <f>IFERROR(__xludf.DUMMYFUNCTION("""COMPUTED_VALUE"""),"2026 SIMON BOLIVAR")</f>
        <v>2026 SIMON BOLIVAR</v>
      </c>
      <c r="C2366" s="213" t="str">
        <f>IFERROR(__xludf.DUMMYFUNCTION("""COMPUTED_VALUE"""),"TALLER SFT DE COMPUTACIÓN E INFORMÁTICA")</f>
        <v>TALLER SFT DE COMPUTACIÓN E INFORMÁTICA</v>
      </c>
      <c r="D2366" s="213" t="str">
        <f>IFERROR(__xludf.DUMMYFUNCTION("""COMPUTED_VALUE"""),"TICS")</f>
        <v>TICS</v>
      </c>
      <c r="E2366" s="213" t="str">
        <f>IFERROR(__xludf.DUMMYFUNCTION("""COMPUTED_VALUE"""),"TEC-118")</f>
        <v>TEC-118</v>
      </c>
      <c r="F2366" s="213" t="str">
        <f>IFERROR(__xludf.DUMMYFUNCTION("""COMPUTED_VALUE"""),"TEC-118")</f>
        <v>TEC-118</v>
      </c>
      <c r="G2366" s="213"/>
      <c r="H2366" s="213" t="str">
        <f>IFERROR(__xludf.DUMMYFUNCTION("""COMPUTED_VALUE"""),"TABLETA GRÁFICA PORTÁTIL")</f>
        <v>TABLETA GRÁFICA PORTÁTIL</v>
      </c>
      <c r="I2366" s="213" t="str">
        <f>IFERROR(__xludf.DUMMYFUNCTION("""COMPUTED_VALUE"""),"·  Modelo: Artista 15.6
·  Área activa: 15.6 pulgadas
·  DPI: 1920 * 1080
·  Resolución: 5080 LPI
·  Ángulo visual: 178 grados
·  Color visualizable: 16.7M
·  Display Color Gamut: 75% Adobe RGB
·  Tasa de contraste: 800: 1
·  Pluma: pluma sin batería P03S"&amp;"
·  Presión de la pluma: 8192 niveles
·  Cable de datos: cable 3 en 1
·  Interfaz de entrada: Type-C
·  Compatibilidad con computadoras: para Windows 11 o Mac OS 10.8 y superior
·  Voltaje de entrada:220 V / 60Hz")</f>
        <v>·  Modelo: Artista 15.6
·  Área activa: 15.6 pulgadas
·  DPI: 1920 * 1080
·  Resolución: 5080 LPI
·  Ángulo visual: 178 grados
·  Color visualizable: 16.7M
·  Display Color Gamut: 75% Adobe RGB
·  Tasa de contraste: 800: 1
·  Pluma: pluma sin batería P03S
·  Presión de la pluma: 8192 niveles
·  Cable de datos: cable 3 en 1
·  Interfaz de entrada: Type-C
·  Compatibilidad con computadoras: para Windows 11 o Mac OS 10.8 y superior
·  Voltaje de entrada:220 V / 60Hz</v>
      </c>
      <c r="J2366" s="213">
        <f>IFERROR(__xludf.DUMMYFUNCTION("""COMPUTED_VALUE"""),3.0)</f>
        <v>3</v>
      </c>
      <c r="K2366" s="213" t="str">
        <f>IFERROR(__xludf.DUMMYFUNCTION("""COMPUTED_VALUE"""),"170 DÍAS CALENDARIO")</f>
        <v>170 DÍAS CALENDARIO</v>
      </c>
      <c r="L2366" s="213" t="str">
        <f>IFERROR(__xludf.DUMMYFUNCTION("""COMPUTED_VALUE"""),"")</f>
        <v/>
      </c>
      <c r="M2366" s="213">
        <f>IFERROR(__xludf.DUMMYFUNCTION("""COMPUTED_VALUE"""),1.0)</f>
        <v>1</v>
      </c>
      <c r="N2366" s="213">
        <f>IFERROR(__xludf.DUMMYFUNCTION("""COMPUTED_VALUE"""),21.0)</f>
        <v>21</v>
      </c>
      <c r="O2366" s="213">
        <f>IFERROR(__xludf.DUMMYFUNCTION("""COMPUTED_VALUE"""),21.0)</f>
        <v>21</v>
      </c>
      <c r="P2366" s="213"/>
      <c r="Q2366" s="213"/>
      <c r="R2366" s="213"/>
      <c r="S2366" s="213"/>
      <c r="T2366" s="213" t="str">
        <f>IFERROR(__xludf.DUMMYFUNCTION("""COMPUTED_VALUE"""),"SI")</f>
        <v>SI</v>
      </c>
      <c r="U2366" s="213" t="str">
        <f>IFERROR(__xludf.DUMMYFUNCTION("""COMPUTED_VALUE"""),"NO")</f>
        <v>NO</v>
      </c>
      <c r="V2366" s="213" t="str">
        <f>IFERROR(__xludf.DUMMYFUNCTION("""COMPUTED_VALUE"""),"SUSTENTO")</f>
        <v>SUSTENTO</v>
      </c>
      <c r="W2366" s="213" t="str">
        <f>IFERROR(__xludf.DUMMYFUNCTION("""COMPUTED_VALUE"""),"EQU TEC")</f>
        <v>EQU TEC</v>
      </c>
      <c r="X2366" s="213" t="str">
        <f>IFERROR(__xludf.DUMMYFUNCTION("""COMPUTED_VALUE"""),"XP-Pen")</f>
        <v>XP-Pen</v>
      </c>
      <c r="Y2366" s="213" t="str">
        <f>IFERROR(__xludf.DUMMYFUNCTION("""COMPUTED_VALUE"""),"Pantalla Grafica XPPen Artist 15.6 Pro")</f>
        <v>Pantalla Grafica XPPen Artist 15.6 Pro</v>
      </c>
      <c r="Z2366" s="215" t="str">
        <f>IFERROR(__xludf.DUMMYFUNCTION("""COMPUTED_VALUE"""),"https://todotec.com.pe/products/pantalla-grafica-xppen-artist-15-6-pro?srsltid=AfmBOopx98TWDyEYh1EKEUSoi0AWCXGgWD52r-JgkTXkl9ZvGakiI8wZ")</f>
        <v>https://todotec.com.pe/products/pantalla-grafica-xppen-artist-15-6-pro?srsltid=AfmBOopx98TWDyEYh1EKEUSoi0AWCXGgWD52r-JgkTXkl9ZvGakiI8wZ</v>
      </c>
      <c r="AA2366" s="213" t="str">
        <f>IFERROR(__xludf.DUMMYFUNCTION("""COMPUTED_VALUE"""),"TEC-118 TABLETA GRÁFICA PORTÁTIL - CET")</f>
        <v>TEC-118 TABLETA GRÁFICA PORTÁTIL - CET</v>
      </c>
      <c r="AB2366" s="213"/>
      <c r="AC2366" s="213"/>
      <c r="AD2366" s="213"/>
      <c r="AE2366" s="213"/>
      <c r="AF2366" s="213"/>
      <c r="AG2366" s="213"/>
      <c r="AH2366" s="213"/>
      <c r="AI2366" s="213"/>
      <c r="AJ2366" s="213"/>
      <c r="AK2366" s="213"/>
      <c r="AL2366" s="213"/>
      <c r="AM2366" s="213"/>
      <c r="AN2366" s="213"/>
      <c r="AO2366" s="213"/>
      <c r="AP2366" s="213" t="str">
        <f>IFERROR(__xludf.DUMMYFUNCTION("""COMPUTED_VALUE"""),"NALDI")</f>
        <v>NALDI</v>
      </c>
      <c r="AQ2366" s="213"/>
      <c r="AR2366" s="213"/>
      <c r="AS2366" s="217" t="str">
        <f>IFERROR(__xludf.DUMMYFUNCTION("""COMPUTED_VALUE"""),"Adaptador USB tipo A a tipo C")</f>
        <v>Adaptador USB tipo A a tipo C</v>
      </c>
      <c r="AT2366" s="218" t="str">
        <f>IFERROR(__xludf.DUMMYFUNCTION("""COMPUTED_VALUE"""),"https://www.memorykings.pe/producto/346964/adaptador-usb-c-a-usb-a-3-0-genius-acc-c2ac")</f>
        <v>https://www.memorykings.pe/producto/346964/adaptador-usb-c-a-usb-a-3-0-genius-acc-c2ac</v>
      </c>
      <c r="AU2366" s="213"/>
      <c r="AV2366" s="213"/>
      <c r="AW2366" s="213"/>
      <c r="AX2366" s="213"/>
      <c r="AY2366" s="213"/>
      <c r="AZ2366" s="213"/>
      <c r="BA2366" s="213"/>
      <c r="BB2366" s="213"/>
      <c r="BC2366" s="213"/>
      <c r="BD2366" s="213"/>
    </row>
    <row r="2367">
      <c r="A2367" s="213">
        <f>IFERROR(__xludf.DUMMYFUNCTION("""COMPUTED_VALUE"""),794.0)</f>
        <v>794</v>
      </c>
      <c r="B2367" s="213" t="str">
        <f>IFERROR(__xludf.DUMMYFUNCTION("""COMPUTED_VALUE"""),"6049 RICARDO PALMA")</f>
        <v>6049 RICARDO PALMA</v>
      </c>
      <c r="C2367" s="213" t="str">
        <f>IFERROR(__xludf.DUMMYFUNCTION("""COMPUTED_VALUE"""),"TALLER SFT DE COMPUTACIÓN E INFORMÁTICA")</f>
        <v>TALLER SFT DE COMPUTACIÓN E INFORMÁTICA</v>
      </c>
      <c r="D2367" s="213" t="str">
        <f>IFERROR(__xludf.DUMMYFUNCTION("""COMPUTED_VALUE"""),"TICS")</f>
        <v>TICS</v>
      </c>
      <c r="E2367" s="213" t="str">
        <f>IFERROR(__xludf.DUMMYFUNCTION("""COMPUTED_VALUE"""),"TEC-118")</f>
        <v>TEC-118</v>
      </c>
      <c r="F2367" s="213" t="str">
        <f>IFERROR(__xludf.DUMMYFUNCTION("""COMPUTED_VALUE"""),"TEC-118")</f>
        <v>TEC-118</v>
      </c>
      <c r="G2367" s="213"/>
      <c r="H2367" s="213" t="str">
        <f>IFERROR(__xludf.DUMMYFUNCTION("""COMPUTED_VALUE"""),"TABLETA GRÁFICA PORTÁTIL")</f>
        <v>TABLETA GRÁFICA PORTÁTIL</v>
      </c>
      <c r="I2367" s="213" t="str">
        <f>IFERROR(__xludf.DUMMYFUNCTION("""COMPUTED_VALUE"""),"·  Modelo: Artista 15.6
·  Área activa: 15.6 pulgadas
·  DPI: 1920 * 1080
·  Resolución: 5080 LPI
·  Ángulo visual: 178 grados
·  Color visualizable: 16.7M
·  Display Color Gamut: 75% Adobe RGB
·  Tasa de contraste: 800: 1
·  Pluma: pluma sin batería P03S"&amp;"
·  Presión de la pluma: 8192 niveles
·  Cable de datos: cable 3 en 1
·  Interfaz de entrada: Type-C
·  Compatibilidad con computadoras: para Windows 11 o Mac OS 10.8 y superior
·  Voltaje de entrada:220 V / 60Hz")</f>
        <v>·  Modelo: Artista 15.6
·  Área activa: 15.6 pulgadas
·  DPI: 1920 * 1080
·  Resolución: 5080 LPI
·  Ángulo visual: 178 grados
·  Color visualizable: 16.7M
·  Display Color Gamut: 75% Adobe RGB
·  Tasa de contraste: 800: 1
·  Pluma: pluma sin batería P03S
·  Presión de la pluma: 8192 niveles
·  Cable de datos: cable 3 en 1
·  Interfaz de entrada: Type-C
·  Compatibilidad con computadoras: para Windows 11 o Mac OS 10.8 y superior
·  Voltaje de entrada:220 V / 60Hz</v>
      </c>
      <c r="J2367" s="213">
        <f>IFERROR(__xludf.DUMMYFUNCTION("""COMPUTED_VALUE"""),3.0)</f>
        <v>3</v>
      </c>
      <c r="K2367" s="213" t="str">
        <f>IFERROR(__xludf.DUMMYFUNCTION("""COMPUTED_VALUE"""),"170 DÍAS CALENDARIO")</f>
        <v>170 DÍAS CALENDARIO</v>
      </c>
      <c r="L2367" s="213" t="str">
        <f>IFERROR(__xludf.DUMMYFUNCTION("""COMPUTED_VALUE"""),"")</f>
        <v/>
      </c>
      <c r="M2367" s="213">
        <f>IFERROR(__xludf.DUMMYFUNCTION("""COMPUTED_VALUE"""),1.0)</f>
        <v>1</v>
      </c>
      <c r="N2367" s="213">
        <f>IFERROR(__xludf.DUMMYFUNCTION("""COMPUTED_VALUE"""),21.0)</f>
        <v>21</v>
      </c>
      <c r="O2367" s="213">
        <f>IFERROR(__xludf.DUMMYFUNCTION("""COMPUTED_VALUE"""),21.0)</f>
        <v>21</v>
      </c>
      <c r="P2367" s="213"/>
      <c r="Q2367" s="213"/>
      <c r="R2367" s="213"/>
      <c r="S2367" s="213"/>
      <c r="T2367" s="213" t="str">
        <f>IFERROR(__xludf.DUMMYFUNCTION("""COMPUTED_VALUE"""),"SI")</f>
        <v>SI</v>
      </c>
      <c r="U2367" s="213" t="str">
        <f>IFERROR(__xludf.DUMMYFUNCTION("""COMPUTED_VALUE"""),"NO")</f>
        <v>NO</v>
      </c>
      <c r="V2367" s="213" t="str">
        <f>IFERROR(__xludf.DUMMYFUNCTION("""COMPUTED_VALUE"""),"SUSTENTO")</f>
        <v>SUSTENTO</v>
      </c>
      <c r="W2367" s="213" t="str">
        <f>IFERROR(__xludf.DUMMYFUNCTION("""COMPUTED_VALUE"""),"EQU TEC")</f>
        <v>EQU TEC</v>
      </c>
      <c r="X2367" s="213" t="str">
        <f>IFERROR(__xludf.DUMMYFUNCTION("""COMPUTED_VALUE"""),"XP-Pen")</f>
        <v>XP-Pen</v>
      </c>
      <c r="Y2367" s="213" t="str">
        <f>IFERROR(__xludf.DUMMYFUNCTION("""COMPUTED_VALUE"""),"Pantalla Grafica XPPen Artist 15.6 Pro")</f>
        <v>Pantalla Grafica XPPen Artist 15.6 Pro</v>
      </c>
      <c r="Z2367" s="215" t="str">
        <f>IFERROR(__xludf.DUMMYFUNCTION("""COMPUTED_VALUE"""),"https://todotec.com.pe/products/pantalla-grafica-xppen-artist-15-6-pro?srsltid=AfmBOopx98TWDyEYh1EKEUSoi0AWCXGgWD52r-JgkTXkl9ZvGakiI8wZ")</f>
        <v>https://todotec.com.pe/products/pantalla-grafica-xppen-artist-15-6-pro?srsltid=AfmBOopx98TWDyEYh1EKEUSoi0AWCXGgWD52r-JgkTXkl9ZvGakiI8wZ</v>
      </c>
      <c r="AA2367" s="213" t="str">
        <f>IFERROR(__xludf.DUMMYFUNCTION("""COMPUTED_VALUE"""),"TEC-118 TABLETA GRÁFICA PORTÁTIL - CET")</f>
        <v>TEC-118 TABLETA GRÁFICA PORTÁTIL - CET</v>
      </c>
      <c r="AB2367" s="213"/>
      <c r="AC2367" s="213"/>
      <c r="AD2367" s="213"/>
      <c r="AE2367" s="213"/>
      <c r="AF2367" s="213"/>
      <c r="AG2367" s="213"/>
      <c r="AH2367" s="213"/>
      <c r="AI2367" s="213"/>
      <c r="AJ2367" s="213"/>
      <c r="AK2367" s="213"/>
      <c r="AL2367" s="213"/>
      <c r="AM2367" s="213"/>
      <c r="AN2367" s="213"/>
      <c r="AO2367" s="213"/>
      <c r="AP2367" s="213" t="str">
        <f>IFERROR(__xludf.DUMMYFUNCTION("""COMPUTED_VALUE"""),"NALDI")</f>
        <v>NALDI</v>
      </c>
      <c r="AQ2367" s="213"/>
      <c r="AR2367" s="213"/>
      <c r="AS2367" s="217" t="str">
        <f>IFERROR(__xludf.DUMMYFUNCTION("""COMPUTED_VALUE"""),"Adaptador USB tipo A a tipo C")</f>
        <v>Adaptador USB tipo A a tipo C</v>
      </c>
      <c r="AT2367" s="218" t="str">
        <f>IFERROR(__xludf.DUMMYFUNCTION("""COMPUTED_VALUE"""),"https://www.memorykings.pe/producto/346964/adaptador-usb-c-a-usb-a-3-0-genius-acc-c2ac")</f>
        <v>https://www.memorykings.pe/producto/346964/adaptador-usb-c-a-usb-a-3-0-genius-acc-c2ac</v>
      </c>
      <c r="AU2367" s="213"/>
      <c r="AV2367" s="213"/>
      <c r="AW2367" s="213"/>
      <c r="AX2367" s="213"/>
      <c r="AY2367" s="213"/>
      <c r="AZ2367" s="213"/>
      <c r="BA2367" s="213"/>
      <c r="BB2367" s="213"/>
      <c r="BC2367" s="213"/>
      <c r="BD2367" s="213"/>
    </row>
    <row r="2368">
      <c r="A2368" s="213">
        <f>IFERROR(__xludf.DUMMYFUNCTION("""COMPUTED_VALUE"""),1732.0)</f>
        <v>1732</v>
      </c>
      <c r="B2368" s="213" t="str">
        <f>IFERROR(__xludf.DUMMYFUNCTION("""COMPUTED_VALUE"""),"GUILLERMO E. BILLINGHURST ")</f>
        <v>GUILLERMO E. BILLINGHURST </v>
      </c>
      <c r="C2368" s="213" t="str">
        <f>IFERROR(__xludf.DUMMYFUNCTION("""COMPUTED_VALUE"""),"TALLER SFT DE COMPUTACIÓN E INFORMÁTICA")</f>
        <v>TALLER SFT DE COMPUTACIÓN E INFORMÁTICA</v>
      </c>
      <c r="D2368" s="213" t="str">
        <f>IFERROR(__xludf.DUMMYFUNCTION("""COMPUTED_VALUE"""),"TICS")</f>
        <v>TICS</v>
      </c>
      <c r="E2368" s="213" t="str">
        <f>IFERROR(__xludf.DUMMYFUNCTION("""COMPUTED_VALUE"""),"TEC-118")</f>
        <v>TEC-118</v>
      </c>
      <c r="F2368" s="213" t="str">
        <f>IFERROR(__xludf.DUMMYFUNCTION("""COMPUTED_VALUE"""),"TEC-118")</f>
        <v>TEC-118</v>
      </c>
      <c r="G2368" s="213"/>
      <c r="H2368" s="213" t="str">
        <f>IFERROR(__xludf.DUMMYFUNCTION("""COMPUTED_VALUE"""),"TABLETA GRÁFICA PORTÁTIL")</f>
        <v>TABLETA GRÁFICA PORTÁTIL</v>
      </c>
      <c r="I2368" s="213" t="str">
        <f>IFERROR(__xludf.DUMMYFUNCTION("""COMPUTED_VALUE"""),"·  Modelo: Artista 15.6
·  Área activa: 15.6 pulgadas
·  DPI: 1920 * 1080
·  Resolución: 5080 LPI
·  Ángulo visual: 178 grados
·  Color visualizable: 16.7M
·  Display Color Gamut: 75% Adobe RGB
·  Tasa de contraste: 800: 1
·  Pluma: pluma sin batería P03S"&amp;"
·  Presión de la pluma: 8192 niveles
·  Cable de datos: cable 3 en 1
·  Interfaz de entrada: Type-C
·  Compatibilidad con computadoras: para Windows 11 o Mac OS 10.8 y superior
·  Voltaje de entrada:220 V / 60Hz")</f>
        <v>·  Modelo: Artista 15.6
·  Área activa: 15.6 pulgadas
·  DPI: 1920 * 1080
·  Resolución: 5080 LPI
·  Ángulo visual: 178 grados
·  Color visualizable: 16.7M
·  Display Color Gamut: 75% Adobe RGB
·  Tasa de contraste: 800: 1
·  Pluma: pluma sin batería P03S
·  Presión de la pluma: 8192 niveles
·  Cable de datos: cable 3 en 1
·  Interfaz de entrada: Type-C
·  Compatibilidad con computadoras: para Windows 11 o Mac OS 10.8 y superior
·  Voltaje de entrada:220 V / 60Hz</v>
      </c>
      <c r="J2368" s="213">
        <f>IFERROR(__xludf.DUMMYFUNCTION("""COMPUTED_VALUE"""),3.0)</f>
        <v>3</v>
      </c>
      <c r="K2368" s="213" t="str">
        <f>IFERROR(__xludf.DUMMYFUNCTION("""COMPUTED_VALUE"""),"170 DÍAS CALENDARIO")</f>
        <v>170 DÍAS CALENDARIO</v>
      </c>
      <c r="L2368" s="213" t="str">
        <f>IFERROR(__xludf.DUMMYFUNCTION("""COMPUTED_VALUE"""),"")</f>
        <v/>
      </c>
      <c r="M2368" s="213">
        <f>IFERROR(__xludf.DUMMYFUNCTION("""COMPUTED_VALUE"""),1.0)</f>
        <v>1</v>
      </c>
      <c r="N2368" s="213">
        <f>IFERROR(__xludf.DUMMYFUNCTION("""COMPUTED_VALUE"""),21.0)</f>
        <v>21</v>
      </c>
      <c r="O2368" s="213">
        <f>IFERROR(__xludf.DUMMYFUNCTION("""COMPUTED_VALUE"""),21.0)</f>
        <v>21</v>
      </c>
      <c r="P2368" s="213"/>
      <c r="Q2368" s="213"/>
      <c r="R2368" s="213"/>
      <c r="S2368" s="213"/>
      <c r="T2368" s="213" t="str">
        <f>IFERROR(__xludf.DUMMYFUNCTION("""COMPUTED_VALUE"""),"SI")</f>
        <v>SI</v>
      </c>
      <c r="U2368" s="213" t="str">
        <f>IFERROR(__xludf.DUMMYFUNCTION("""COMPUTED_VALUE"""),"NO")</f>
        <v>NO</v>
      </c>
      <c r="V2368" s="213" t="str">
        <f>IFERROR(__xludf.DUMMYFUNCTION("""COMPUTED_VALUE"""),"SUSTENTO")</f>
        <v>SUSTENTO</v>
      </c>
      <c r="W2368" s="213" t="str">
        <f>IFERROR(__xludf.DUMMYFUNCTION("""COMPUTED_VALUE"""),"EQU TEC")</f>
        <v>EQU TEC</v>
      </c>
      <c r="X2368" s="213" t="str">
        <f>IFERROR(__xludf.DUMMYFUNCTION("""COMPUTED_VALUE"""),"XP-Pen")</f>
        <v>XP-Pen</v>
      </c>
      <c r="Y2368" s="213" t="str">
        <f>IFERROR(__xludf.DUMMYFUNCTION("""COMPUTED_VALUE"""),"Pantalla Grafica XPPen Artist 15.6 Pro")</f>
        <v>Pantalla Grafica XPPen Artist 15.6 Pro</v>
      </c>
      <c r="Z2368" s="215" t="str">
        <f>IFERROR(__xludf.DUMMYFUNCTION("""COMPUTED_VALUE"""),"https://todotec.com.pe/products/pantalla-grafica-xppen-artist-15-6-pro?srsltid=AfmBOopx98TWDyEYh1EKEUSoi0AWCXGgWD52r-JgkTXkl9ZvGakiI8wZ")</f>
        <v>https://todotec.com.pe/products/pantalla-grafica-xppen-artist-15-6-pro?srsltid=AfmBOopx98TWDyEYh1EKEUSoi0AWCXGgWD52r-JgkTXkl9ZvGakiI8wZ</v>
      </c>
      <c r="AA2368" s="213" t="str">
        <f>IFERROR(__xludf.DUMMYFUNCTION("""COMPUTED_VALUE"""),"TEC-118 TABLETA GRÁFICA PORTÁTIL - CET")</f>
        <v>TEC-118 TABLETA GRÁFICA PORTÁTIL - CET</v>
      </c>
      <c r="AB2368" s="213"/>
      <c r="AC2368" s="213"/>
      <c r="AD2368" s="213"/>
      <c r="AE2368" s="213"/>
      <c r="AF2368" s="213"/>
      <c r="AG2368" s="213"/>
      <c r="AH2368" s="213"/>
      <c r="AI2368" s="213"/>
      <c r="AJ2368" s="213"/>
      <c r="AK2368" s="213"/>
      <c r="AL2368" s="213"/>
      <c r="AM2368" s="213"/>
      <c r="AN2368" s="213"/>
      <c r="AO2368" s="213"/>
      <c r="AP2368" s="213" t="str">
        <f>IFERROR(__xludf.DUMMYFUNCTION("""COMPUTED_VALUE"""),"NALDI")</f>
        <v>NALDI</v>
      </c>
      <c r="AQ2368" s="213"/>
      <c r="AR2368" s="213"/>
      <c r="AS2368" s="217" t="str">
        <f>IFERROR(__xludf.DUMMYFUNCTION("""COMPUTED_VALUE"""),"Adaptador USB tipo A a tipo C")</f>
        <v>Adaptador USB tipo A a tipo C</v>
      </c>
      <c r="AT2368" s="218" t="str">
        <f>IFERROR(__xludf.DUMMYFUNCTION("""COMPUTED_VALUE"""),"https://www.memorykings.pe/producto/346964/adaptador-usb-c-a-usb-a-3-0-genius-acc-c2ac")</f>
        <v>https://www.memorykings.pe/producto/346964/adaptador-usb-c-a-usb-a-3-0-genius-acc-c2ac</v>
      </c>
      <c r="AU2368" s="213"/>
      <c r="AV2368" s="213"/>
      <c r="AW2368" s="213"/>
      <c r="AX2368" s="213"/>
      <c r="AY2368" s="213"/>
      <c r="AZ2368" s="213"/>
      <c r="BA2368" s="213"/>
      <c r="BB2368" s="213"/>
      <c r="BC2368" s="213"/>
      <c r="BD2368" s="213"/>
    </row>
    <row r="2369">
      <c r="A2369" s="213">
        <f>IFERROR(__xludf.DUMMYFUNCTION("""COMPUTED_VALUE"""),1982.0)</f>
        <v>1982</v>
      </c>
      <c r="B2369" s="213" t="str">
        <f>IFERROR(__xludf.DUMMYFUNCTION("""COMPUTED_VALUE"""),"JOSE GRANDA")</f>
        <v>JOSE GRANDA</v>
      </c>
      <c r="C2369" s="213" t="str">
        <f>IFERROR(__xludf.DUMMYFUNCTION("""COMPUTED_VALUE"""),"TALLER SFT DE COMPUTACIÓN E INFORMÁTICA")</f>
        <v>TALLER SFT DE COMPUTACIÓN E INFORMÁTICA</v>
      </c>
      <c r="D2369" s="213" t="str">
        <f>IFERROR(__xludf.DUMMYFUNCTION("""COMPUTED_VALUE"""),"TICS")</f>
        <v>TICS</v>
      </c>
      <c r="E2369" s="213" t="str">
        <f>IFERROR(__xludf.DUMMYFUNCTION("""COMPUTED_VALUE"""),"TEC-118")</f>
        <v>TEC-118</v>
      </c>
      <c r="F2369" s="213" t="str">
        <f>IFERROR(__xludf.DUMMYFUNCTION("""COMPUTED_VALUE"""),"TEC-118")</f>
        <v>TEC-118</v>
      </c>
      <c r="G2369" s="213"/>
      <c r="H2369" s="213" t="str">
        <f>IFERROR(__xludf.DUMMYFUNCTION("""COMPUTED_VALUE"""),"TABLETA GRÁFICA PORTÁTIL")</f>
        <v>TABLETA GRÁFICA PORTÁTIL</v>
      </c>
      <c r="I2369" s="213" t="str">
        <f>IFERROR(__xludf.DUMMYFUNCTION("""COMPUTED_VALUE"""),"·  Modelo: Artista 15.6
·  Área activa: 15.6 pulgadas
·  DPI: 1920 * 1080
·  Resolución: 5080 LPI
·  Ángulo visual: 178 grados
·  Color visualizable: 16.7M
·  Display Color Gamut: 75% Adobe RGB
·  Tasa de contraste: 800: 1
·  Pluma: pluma sin batería P03S"&amp;"
·  Presión de la pluma: 8192 niveles
·  Cable de datos: cable 3 en 1
·  Interfaz de entrada: Type-C
·  Compatibilidad con computadoras: para Windows 11 o Mac OS 10.8 y superior
·  Voltaje de entrada:220 V / 60Hz")</f>
        <v>·  Modelo: Artista 15.6
·  Área activa: 15.6 pulgadas
·  DPI: 1920 * 1080
·  Resolución: 5080 LPI
·  Ángulo visual: 178 grados
·  Color visualizable: 16.7M
·  Display Color Gamut: 75% Adobe RGB
·  Tasa de contraste: 800: 1
·  Pluma: pluma sin batería P03S
·  Presión de la pluma: 8192 niveles
·  Cable de datos: cable 3 en 1
·  Interfaz de entrada: Type-C
·  Compatibilidad con computadoras: para Windows 11 o Mac OS 10.8 y superior
·  Voltaje de entrada:220 V / 60Hz</v>
      </c>
      <c r="J2369" s="213">
        <f>IFERROR(__xludf.DUMMYFUNCTION("""COMPUTED_VALUE"""),3.0)</f>
        <v>3</v>
      </c>
      <c r="K2369" s="213" t="str">
        <f>IFERROR(__xludf.DUMMYFUNCTION("""COMPUTED_VALUE"""),"170 DÍAS CALENDARIO")</f>
        <v>170 DÍAS CALENDARIO</v>
      </c>
      <c r="L2369" s="213" t="str">
        <f>IFERROR(__xludf.DUMMYFUNCTION("""COMPUTED_VALUE"""),"")</f>
        <v/>
      </c>
      <c r="M2369" s="213">
        <f>IFERROR(__xludf.DUMMYFUNCTION("""COMPUTED_VALUE"""),1.0)</f>
        <v>1</v>
      </c>
      <c r="N2369" s="213">
        <f>IFERROR(__xludf.DUMMYFUNCTION("""COMPUTED_VALUE"""),21.0)</f>
        <v>21</v>
      </c>
      <c r="O2369" s="213">
        <f>IFERROR(__xludf.DUMMYFUNCTION("""COMPUTED_VALUE"""),21.0)</f>
        <v>21</v>
      </c>
      <c r="P2369" s="213"/>
      <c r="Q2369" s="213"/>
      <c r="R2369" s="213"/>
      <c r="S2369" s="213"/>
      <c r="T2369" s="213" t="str">
        <f>IFERROR(__xludf.DUMMYFUNCTION("""COMPUTED_VALUE"""),"SI")</f>
        <v>SI</v>
      </c>
      <c r="U2369" s="213" t="str">
        <f>IFERROR(__xludf.DUMMYFUNCTION("""COMPUTED_VALUE"""),"NO")</f>
        <v>NO</v>
      </c>
      <c r="V2369" s="213" t="str">
        <f>IFERROR(__xludf.DUMMYFUNCTION("""COMPUTED_VALUE"""),"SUSTENTO")</f>
        <v>SUSTENTO</v>
      </c>
      <c r="W2369" s="213" t="str">
        <f>IFERROR(__xludf.DUMMYFUNCTION("""COMPUTED_VALUE"""),"EQU TEC")</f>
        <v>EQU TEC</v>
      </c>
      <c r="X2369" s="213" t="str">
        <f>IFERROR(__xludf.DUMMYFUNCTION("""COMPUTED_VALUE"""),"XP-Pen")</f>
        <v>XP-Pen</v>
      </c>
      <c r="Y2369" s="213" t="str">
        <f>IFERROR(__xludf.DUMMYFUNCTION("""COMPUTED_VALUE"""),"Pantalla Grafica XPPen Artist 15.6 Pro")</f>
        <v>Pantalla Grafica XPPen Artist 15.6 Pro</v>
      </c>
      <c r="Z2369" s="215" t="str">
        <f>IFERROR(__xludf.DUMMYFUNCTION("""COMPUTED_VALUE"""),"https://todotec.com.pe/products/pantalla-grafica-xppen-artist-15-6-pro?srsltid=AfmBOopx98TWDyEYh1EKEUSoi0AWCXGgWD52r-JgkTXkl9ZvGakiI8wZ")</f>
        <v>https://todotec.com.pe/products/pantalla-grafica-xppen-artist-15-6-pro?srsltid=AfmBOopx98TWDyEYh1EKEUSoi0AWCXGgWD52r-JgkTXkl9ZvGakiI8wZ</v>
      </c>
      <c r="AA2369" s="213" t="str">
        <f>IFERROR(__xludf.DUMMYFUNCTION("""COMPUTED_VALUE"""),"TEC-118 TABLETA GRÁFICA PORTÁTIL - CET")</f>
        <v>TEC-118 TABLETA GRÁFICA PORTÁTIL - CET</v>
      </c>
      <c r="AB2369" s="213"/>
      <c r="AC2369" s="213"/>
      <c r="AD2369" s="213"/>
      <c r="AE2369" s="213"/>
      <c r="AF2369" s="213"/>
      <c r="AG2369" s="213"/>
      <c r="AH2369" s="213"/>
      <c r="AI2369" s="213"/>
      <c r="AJ2369" s="213"/>
      <c r="AK2369" s="213"/>
      <c r="AL2369" s="213"/>
      <c r="AM2369" s="213"/>
      <c r="AN2369" s="213"/>
      <c r="AO2369" s="213"/>
      <c r="AP2369" s="213" t="str">
        <f>IFERROR(__xludf.DUMMYFUNCTION("""COMPUTED_VALUE"""),"NALDI")</f>
        <v>NALDI</v>
      </c>
      <c r="AQ2369" s="213"/>
      <c r="AR2369" s="213"/>
      <c r="AS2369" s="217" t="str">
        <f>IFERROR(__xludf.DUMMYFUNCTION("""COMPUTED_VALUE"""),"Adaptador USB tipo A a tipo C")</f>
        <v>Adaptador USB tipo A a tipo C</v>
      </c>
      <c r="AT2369" s="218" t="str">
        <f>IFERROR(__xludf.DUMMYFUNCTION("""COMPUTED_VALUE"""),"https://www.memorykings.pe/producto/346964/adaptador-usb-c-a-usb-a-3-0-genius-acc-c2ac")</f>
        <v>https://www.memorykings.pe/producto/346964/adaptador-usb-c-a-usb-a-3-0-genius-acc-c2ac</v>
      </c>
      <c r="AU2369" s="213"/>
      <c r="AV2369" s="213"/>
      <c r="AW2369" s="213"/>
      <c r="AX2369" s="213"/>
      <c r="AY2369" s="213"/>
      <c r="AZ2369" s="213"/>
      <c r="BA2369" s="213"/>
      <c r="BB2369" s="213"/>
      <c r="BC2369" s="213"/>
      <c r="BD2369" s="213"/>
    </row>
    <row r="2370">
      <c r="A2370" s="213">
        <f>IFERROR(__xludf.DUMMYFUNCTION("""COMPUTED_VALUE"""),1052.0)</f>
        <v>1052</v>
      </c>
      <c r="B2370" s="213" t="str">
        <f>IFERROR(__xludf.DUMMYFUNCTION("""COMPUTED_VALUE"""),"FRANCISCO IRAZOLA")</f>
        <v>FRANCISCO IRAZOLA</v>
      </c>
      <c r="C2370" s="213" t="str">
        <f>IFERROR(__xludf.DUMMYFUNCTION("""COMPUTED_VALUE"""),"TALLER SFT DE MECÁNICA AUTOMOTRIZ")</f>
        <v>TALLER SFT DE MECÁNICA AUTOMOTRIZ</v>
      </c>
      <c r="D2370" s="213" t="str">
        <f>IFERROR(__xludf.DUMMYFUNCTION("""COMPUTED_VALUE"""),"EQUIPOS")</f>
        <v>EQUIPOS</v>
      </c>
      <c r="E2370" s="213" t="str">
        <f>IFERROR(__xludf.DUMMYFUNCTION("""COMPUTED_VALUE"""),"ESP-352")</f>
        <v>ESP-352</v>
      </c>
      <c r="F2370" s="213" t="str">
        <f>IFERROR(__xludf.DUMMYFUNCTION("""COMPUTED_VALUE"""),"ESP-352")</f>
        <v>ESP-352</v>
      </c>
      <c r="G2370" s="213"/>
      <c r="H2370" s="213" t="str">
        <f>IFERROR(__xludf.DUMMYFUNCTION("""COMPUTED_VALUE"""),"TACÓMETRO")</f>
        <v>TACÓMETRO</v>
      </c>
      <c r="I2370" s="213" t="str">
        <f>IFERROR(__xludf.DUMMYFUNCTION("""COMPUTED_VALUE"""),"Este dispositivo mide la velocidad de giro de un eje (en este caso del motor), en revoluciones por minuto (rpm).
El tacómetro puede ser usado en contacto o sin contacto. Mínimo, juego de tres adaptadores de contacto.
Equipado con puntero laser y cinta ref"&amp;"lectante (colocada en un objeto giratorio). Se puede medir en distancias, entre: ≤ 2"" a ≥ 19""
Rango de medición de velocidad, entre: ≤ 3 a ≥ 99,000 rpm.")</f>
        <v>Este dispositivo mide la velocidad de giro de un eje (en este caso del motor), en revoluciones por minuto (rpm).
El tacómetro puede ser usado en contacto o sin contacto. Mínimo, juego de tres adaptadores de contacto.
Equipado con puntero laser y cinta reflectante (colocada en un objeto giratorio). Se puede medir en distancias, entre: ≤ 2" a ≥ 19"
Rango de medición de velocidad, entre: ≤ 3 a ≥ 99,000 rpm.</v>
      </c>
      <c r="J2370" s="213">
        <f>IFERROR(__xludf.DUMMYFUNCTION("""COMPUTED_VALUE"""),3.0)</f>
        <v>3</v>
      </c>
      <c r="K2370" s="213" t="str">
        <f>IFERROR(__xludf.DUMMYFUNCTION("""COMPUTED_VALUE"""),"170 DÍAS CALENDARIO")</f>
        <v>170 DÍAS CALENDARIO</v>
      </c>
      <c r="L2370" s="213" t="str">
        <f>IFERROR(__xludf.DUMMYFUNCTION("""COMPUTED_VALUE"""),"")</f>
        <v/>
      </c>
      <c r="M2370" s="213">
        <f>IFERROR(__xludf.DUMMYFUNCTION("""COMPUTED_VALUE"""),1.0)</f>
        <v>1</v>
      </c>
      <c r="N2370" s="213">
        <f>IFERROR(__xludf.DUMMYFUNCTION("""COMPUTED_VALUE"""),1.0)</f>
        <v>1</v>
      </c>
      <c r="O2370" s="213">
        <f>IFERROR(__xludf.DUMMYFUNCTION("""COMPUTED_VALUE"""),1.0)</f>
        <v>1</v>
      </c>
      <c r="P2370" s="213"/>
      <c r="Q2370" s="213"/>
      <c r="R2370" s="213"/>
      <c r="S2370" s="213" t="str">
        <f>IFERROR(__xludf.DUMMYFUNCTION("""COMPUTED_VALUE"""),"SI")</f>
        <v>SI</v>
      </c>
      <c r="T2370" s="213" t="str">
        <f>IFERROR(__xludf.DUMMYFUNCTION("""COMPUTED_VALUE"""),"SI")</f>
        <v>SI</v>
      </c>
      <c r="U2370" s="213" t="str">
        <f>IFERROR(__xludf.DUMMYFUNCTION("""COMPUTED_VALUE"""),"SI")</f>
        <v>SI</v>
      </c>
      <c r="V2370" s="213" t="str">
        <f>IFERROR(__xludf.DUMMYFUNCTION("""COMPUTED_VALUE"""),"-")</f>
        <v>-</v>
      </c>
      <c r="W2370" s="213" t="str">
        <f>IFERROR(__xludf.DUMMYFUNCTION("""COMPUTED_VALUE"""),"-")</f>
        <v>-</v>
      </c>
      <c r="X2370" s="213"/>
      <c r="Y2370" s="213" t="str">
        <f>IFERROR(__xludf.DUMMYFUNCTION("""COMPUTED_VALUE"""),"DT2236B ")</f>
        <v>DT2236B </v>
      </c>
      <c r="Z2370" s="215" t="str">
        <f>IFERROR(__xludf.DUMMYFUNCTION("""COMPUTED_VALUE"""),"https://www.amazon.com/-/es/Tac%C3%B3metro-Contacto-Handhold-Medici%C3%B3n-Veloc%C3%ADmetro/dp/B08MPLCNPH/ref=sr_1_4?__mk_es_US=%C3%85M%C3%85%C5%BD%C3%95%C3%91&amp;crid=VP94G1LLMQI1&amp;dib=eyJ2IjoiMSJ9.DdlLTGJyL8pJmrahA1c2raWG9zcNTcPbY3B6phitJ_MNenNqezvXkDMYnl_X"&amp;"4XOgIrGMs6lFUY1jWIMkYOCVsuL_8FIZ8W7G52DNVhST1gw.vXHczq_f1mB9hu6PaO8TqiZg-WXU0BC5dKteohdEWfA&amp;dib_tag=se&amp;keywords=DT2236B&amp;qid=1759337521&amp;s=industrial&amp;sprefix=dt2236b%2Cindustrial%2C246&amp;sr=1-4")</f>
        <v>https://www.amazon.com/-/es/Tac%C3%B3metro-Contacto-Handhold-Medici%C3%B3n-Veloc%C3%ADmetro/dp/B08MPLCNPH/ref=sr_1_4?__mk_es_US=%C3%85M%C3%85%C5%BD%C3%95%C3%91&amp;crid=VP94G1LLMQI1&amp;dib=eyJ2IjoiMSJ9.DdlLTGJyL8pJmrahA1c2raWG9zcNTcPbY3B6phitJ_MNenNqezvXkDMYnl_X4XOgIrGMs6lFUY1jWIMkYOCVsuL_8FIZ8W7G52DNVhST1gw.vXHczq_f1mB9hu6PaO8TqiZg-WXU0BC5dKteohdEWfA&amp;dib_tag=se&amp;keywords=DT2236B&amp;qid=1759337521&amp;s=industrial&amp;sprefix=dt2236b%2Cindustrial%2C246&amp;sr=1-4</v>
      </c>
      <c r="AA2370" s="213" t="str">
        <f>IFERROR(__xludf.DUMMYFUNCTION("""COMPUTED_VALUE"""),"ESP-352 TACÓMETRO - CET")</f>
        <v>ESP-352 TACÓMETRO - CET</v>
      </c>
      <c r="AB2370" s="213"/>
      <c r="AC2370" s="213"/>
      <c r="AD2370" s="213"/>
      <c r="AE2370" s="213"/>
      <c r="AF2370" s="213"/>
      <c r="AG2370" s="213"/>
      <c r="AH2370" s="213" t="str">
        <f>IFERROR(__xludf.DUMMYFUNCTION("""COMPUTED_VALUE"""),"IMPORTADO")</f>
        <v>IMPORTADO</v>
      </c>
      <c r="AI2370" s="213"/>
      <c r="AJ2370" s="213"/>
      <c r="AK2370" s="213"/>
      <c r="AL2370" s="213"/>
      <c r="AM2370" s="213"/>
      <c r="AN2370" s="213"/>
      <c r="AO2370" s="213"/>
      <c r="AP2370" s="213" t="str">
        <f>IFERROR(__xludf.DUMMYFUNCTION("""COMPUTED_VALUE"""),"NALDI")</f>
        <v>NALDI</v>
      </c>
      <c r="AQ2370" s="213"/>
      <c r="AR2370" s="213"/>
      <c r="AS2370" s="213" t="str">
        <f>IFERROR(__xludf.DUMMYFUNCTION("""COMPUTED_VALUE"""),"4 pilas AA de 1.5 V")</f>
        <v>4 pilas AA de 1.5 V</v>
      </c>
      <c r="AT2370" s="213"/>
      <c r="AU2370" s="213"/>
      <c r="AV2370" s="213"/>
      <c r="AW2370" s="213"/>
      <c r="AX2370" s="213"/>
      <c r="AY2370" s="213"/>
      <c r="AZ2370" s="213"/>
      <c r="BA2370" s="213"/>
      <c r="BB2370" s="213"/>
      <c r="BC2370" s="213"/>
      <c r="BD2370" s="213"/>
    </row>
    <row r="2371">
      <c r="A2371" s="213">
        <f>IFERROR(__xludf.DUMMYFUNCTION("""COMPUTED_VALUE"""),1657.0)</f>
        <v>1657</v>
      </c>
      <c r="B2371" s="213" t="str">
        <f>IFERROR(__xludf.DUMMYFUNCTION("""COMPUTED_VALUE"""),"GUILLERMO E. BILLINGHURST ")</f>
        <v>GUILLERMO E. BILLINGHURST </v>
      </c>
      <c r="C2371" s="213" t="str">
        <f>IFERROR(__xludf.DUMMYFUNCTION("""COMPUTED_VALUE"""),"TALLER SFT DE MECÁNICA AUTOMOTRIZ")</f>
        <v>TALLER SFT DE MECÁNICA AUTOMOTRIZ</v>
      </c>
      <c r="D2371" s="213" t="str">
        <f>IFERROR(__xludf.DUMMYFUNCTION("""COMPUTED_VALUE"""),"EQUIPOS")</f>
        <v>EQUIPOS</v>
      </c>
      <c r="E2371" s="213" t="str">
        <f>IFERROR(__xludf.DUMMYFUNCTION("""COMPUTED_VALUE"""),"ESP-352")</f>
        <v>ESP-352</v>
      </c>
      <c r="F2371" s="213" t="str">
        <f>IFERROR(__xludf.DUMMYFUNCTION("""COMPUTED_VALUE"""),"ESP-352")</f>
        <v>ESP-352</v>
      </c>
      <c r="G2371" s="213"/>
      <c r="H2371" s="213" t="str">
        <f>IFERROR(__xludf.DUMMYFUNCTION("""COMPUTED_VALUE"""),"TACÓMETRO")</f>
        <v>TACÓMETRO</v>
      </c>
      <c r="I2371" s="213" t="str">
        <f>IFERROR(__xludf.DUMMYFUNCTION("""COMPUTED_VALUE"""),"Este dispositivo mide la velocidad de giro de un eje (en este caso del motor), en revoluciones por minuto (rpm).
El tacómetro puede ser usado en contacto o sin contacto. Mínimo, juego de tres adaptadores de contacto.
Equipado con puntero laser y cinta ref"&amp;"lectante (colocada en un objeto giratorio). Se puede medir en distancias, entre: ≤ 2"" a ≥ 19""
Rango de medición de velocidad, entre: ≤ 3 a ≥ 99,000 rpm.")</f>
        <v>Este dispositivo mide la velocidad de giro de un eje (en este caso del motor), en revoluciones por minuto (rpm).
El tacómetro puede ser usado en contacto o sin contacto. Mínimo, juego de tres adaptadores de contacto.
Equipado con puntero laser y cinta reflectante (colocada en un objeto giratorio). Se puede medir en distancias, entre: ≤ 2" a ≥ 19"
Rango de medición de velocidad, entre: ≤ 3 a ≥ 99,000 rpm.</v>
      </c>
      <c r="J2371" s="213">
        <f>IFERROR(__xludf.DUMMYFUNCTION("""COMPUTED_VALUE"""),3.0)</f>
        <v>3</v>
      </c>
      <c r="K2371" s="213" t="str">
        <f>IFERROR(__xludf.DUMMYFUNCTION("""COMPUTED_VALUE"""),"170 DÍAS CALENDARIO")</f>
        <v>170 DÍAS CALENDARIO</v>
      </c>
      <c r="L2371" s="213" t="str">
        <f>IFERROR(__xludf.DUMMYFUNCTION("""COMPUTED_VALUE"""),"")</f>
        <v/>
      </c>
      <c r="M2371" s="213">
        <f>IFERROR(__xludf.DUMMYFUNCTION("""COMPUTED_VALUE"""),1.0)</f>
        <v>1</v>
      </c>
      <c r="N2371" s="213">
        <f>IFERROR(__xludf.DUMMYFUNCTION("""COMPUTED_VALUE"""),1.0)</f>
        <v>1</v>
      </c>
      <c r="O2371" s="213">
        <f>IFERROR(__xludf.DUMMYFUNCTION("""COMPUTED_VALUE"""),1.0)</f>
        <v>1</v>
      </c>
      <c r="P2371" s="213"/>
      <c r="Q2371" s="213"/>
      <c r="R2371" s="213"/>
      <c r="S2371" s="213" t="str">
        <f>IFERROR(__xludf.DUMMYFUNCTION("""COMPUTED_VALUE"""),"SI")</f>
        <v>SI</v>
      </c>
      <c r="T2371" s="213" t="str">
        <f>IFERROR(__xludf.DUMMYFUNCTION("""COMPUTED_VALUE"""),"SI")</f>
        <v>SI</v>
      </c>
      <c r="U2371" s="213" t="str">
        <f>IFERROR(__xludf.DUMMYFUNCTION("""COMPUTED_VALUE"""),"SI")</f>
        <v>SI</v>
      </c>
      <c r="V2371" s="213" t="str">
        <f>IFERROR(__xludf.DUMMYFUNCTION("""COMPUTED_VALUE"""),"-")</f>
        <v>-</v>
      </c>
      <c r="W2371" s="213" t="str">
        <f>IFERROR(__xludf.DUMMYFUNCTION("""COMPUTED_VALUE"""),"-")</f>
        <v>-</v>
      </c>
      <c r="X2371" s="213"/>
      <c r="Y2371" s="213" t="str">
        <f>IFERROR(__xludf.DUMMYFUNCTION("""COMPUTED_VALUE"""),"DT2236B ")</f>
        <v>DT2236B </v>
      </c>
      <c r="Z2371" s="215" t="str">
        <f>IFERROR(__xludf.DUMMYFUNCTION("""COMPUTED_VALUE"""),"https://www.amazon.com/-/es/Tac%C3%B3metro-Contacto-Handhold-Medici%C3%B3n-Veloc%C3%ADmetro/dp/B08MPLCNPH/ref=sr_1_4?__mk_es_US=%C3%85M%C3%85%C5%BD%C3%95%C3%91&amp;crid=VP94G1LLMQI1&amp;dib=eyJ2IjoiMSJ9.DdlLTGJyL8pJmrahA1c2raWG9zcNTcPbY3B6phitJ_MNenNqezvXkDMYnl_X"&amp;"4XOgIrGMs6lFUY1jWIMkYOCVsuL_8FIZ8W7G52DNVhST1gw.vXHczq_f1mB9hu6PaO8TqiZg-WXU0BC5dKteohdEWfA&amp;dib_tag=se&amp;keywords=DT2236B&amp;qid=1759337521&amp;s=industrial&amp;sprefix=dt2236b%2Cindustrial%2C246&amp;sr=1-5")</f>
        <v>https://www.amazon.com/-/es/Tac%C3%B3metro-Contacto-Handhold-Medici%C3%B3n-Veloc%C3%ADmetro/dp/B08MPLCNPH/ref=sr_1_4?__mk_es_US=%C3%85M%C3%85%C5%BD%C3%95%C3%91&amp;crid=VP94G1LLMQI1&amp;dib=eyJ2IjoiMSJ9.DdlLTGJyL8pJmrahA1c2raWG9zcNTcPbY3B6phitJ_MNenNqezvXkDMYnl_X4XOgIrGMs6lFUY1jWIMkYOCVsuL_8FIZ8W7G52DNVhST1gw.vXHczq_f1mB9hu6PaO8TqiZg-WXU0BC5dKteohdEWfA&amp;dib_tag=se&amp;keywords=DT2236B&amp;qid=1759337521&amp;s=industrial&amp;sprefix=dt2236b%2Cindustrial%2C246&amp;sr=1-5</v>
      </c>
      <c r="AA2371" s="213" t="str">
        <f>IFERROR(__xludf.DUMMYFUNCTION("""COMPUTED_VALUE"""),"ESP-352 TACÓMETRO - CET")</f>
        <v>ESP-352 TACÓMETRO - CET</v>
      </c>
      <c r="AB2371" s="213"/>
      <c r="AC2371" s="213"/>
      <c r="AD2371" s="213"/>
      <c r="AE2371" s="213"/>
      <c r="AF2371" s="213"/>
      <c r="AG2371" s="213"/>
      <c r="AH2371" s="213" t="str">
        <f>IFERROR(__xludf.DUMMYFUNCTION("""COMPUTED_VALUE"""),"IMPORTADO")</f>
        <v>IMPORTADO</v>
      </c>
      <c r="AI2371" s="213"/>
      <c r="AJ2371" s="213"/>
      <c r="AK2371" s="213"/>
      <c r="AL2371" s="213"/>
      <c r="AM2371" s="213"/>
      <c r="AN2371" s="213"/>
      <c r="AO2371" s="213"/>
      <c r="AP2371" s="213" t="str">
        <f>IFERROR(__xludf.DUMMYFUNCTION("""COMPUTED_VALUE"""),"NALDI")</f>
        <v>NALDI</v>
      </c>
      <c r="AQ2371" s="213"/>
      <c r="AR2371" s="213"/>
      <c r="AS2371" s="213" t="str">
        <f>IFERROR(__xludf.DUMMYFUNCTION("""COMPUTED_VALUE"""),"4 pilas AA de 1.5 V")</f>
        <v>4 pilas AA de 1.5 V</v>
      </c>
      <c r="AT2371" s="213"/>
      <c r="AU2371" s="213"/>
      <c r="AV2371" s="213"/>
      <c r="AW2371" s="213"/>
      <c r="AX2371" s="213"/>
      <c r="AY2371" s="213"/>
      <c r="AZ2371" s="213"/>
      <c r="BA2371" s="213"/>
      <c r="BB2371" s="213"/>
      <c r="BC2371" s="213"/>
      <c r="BD2371" s="213"/>
    </row>
    <row r="2372">
      <c r="A2372" s="213">
        <f>IFERROR(__xludf.DUMMYFUNCTION("""COMPUTED_VALUE"""),2348.0)</f>
        <v>2348</v>
      </c>
      <c r="B2372" s="213" t="str">
        <f>IFERROR(__xludf.DUMMYFUNCTION("""COMPUTED_VALUE"""),"JOSE GRANDA")</f>
        <v>JOSE GRANDA</v>
      </c>
      <c r="C2372" s="213" t="str">
        <f>IFERROR(__xludf.DUMMYFUNCTION("""COMPUTED_VALUE"""),"TALLER SFT DE MECÁNICA AUTOMOTRIZ")</f>
        <v>TALLER SFT DE MECÁNICA AUTOMOTRIZ</v>
      </c>
      <c r="D2372" s="213" t="str">
        <f>IFERROR(__xludf.DUMMYFUNCTION("""COMPUTED_VALUE"""),"EQUIPOS")</f>
        <v>EQUIPOS</v>
      </c>
      <c r="E2372" s="213" t="str">
        <f>IFERROR(__xludf.DUMMYFUNCTION("""COMPUTED_VALUE"""),"ESP-352")</f>
        <v>ESP-352</v>
      </c>
      <c r="F2372" s="213" t="str">
        <f>IFERROR(__xludf.DUMMYFUNCTION("""COMPUTED_VALUE"""),"ESP-352")</f>
        <v>ESP-352</v>
      </c>
      <c r="G2372" s="213"/>
      <c r="H2372" s="213" t="str">
        <f>IFERROR(__xludf.DUMMYFUNCTION("""COMPUTED_VALUE"""),"TACÓMETRO")</f>
        <v>TACÓMETRO</v>
      </c>
      <c r="I2372" s="213" t="str">
        <f>IFERROR(__xludf.DUMMYFUNCTION("""COMPUTED_VALUE"""),"Este dispositivo mide la velocidad de giro de un eje (en este caso del motor), en revoluciones por minuto (rpm).
El tacómetro puede ser usado en contacto o sin contacto. Mínimo, juego de tres adaptadores de contacto.
Equipado con puntero laser y cinta ref"&amp;"lectante (colocada en un objeto giratorio). Se puede medir en distancias, entre: ≤ 2"" a ≥ 19""
Rango de medición de velocidad, entre: ≤ 3 a ≥ 99,000 rpm.")</f>
        <v>Este dispositivo mide la velocidad de giro de un eje (en este caso del motor), en revoluciones por minuto (rpm).
El tacómetro puede ser usado en contacto o sin contacto. Mínimo, juego de tres adaptadores de contacto.
Equipado con puntero laser y cinta reflectante (colocada en un objeto giratorio). Se puede medir en distancias, entre: ≤ 2" a ≥ 19"
Rango de medición de velocidad, entre: ≤ 3 a ≥ 99,000 rpm.</v>
      </c>
      <c r="J2372" s="213">
        <f>IFERROR(__xludf.DUMMYFUNCTION("""COMPUTED_VALUE"""),3.0)</f>
        <v>3</v>
      </c>
      <c r="K2372" s="213" t="str">
        <f>IFERROR(__xludf.DUMMYFUNCTION("""COMPUTED_VALUE"""),"170 DÍAS CALENDARIO")</f>
        <v>170 DÍAS CALENDARIO</v>
      </c>
      <c r="L2372" s="213" t="str">
        <f>IFERROR(__xludf.DUMMYFUNCTION("""COMPUTED_VALUE"""),"")</f>
        <v/>
      </c>
      <c r="M2372" s="213">
        <f>IFERROR(__xludf.DUMMYFUNCTION("""COMPUTED_VALUE"""),1.0)</f>
        <v>1</v>
      </c>
      <c r="N2372" s="213">
        <f>IFERROR(__xludf.DUMMYFUNCTION("""COMPUTED_VALUE"""),1.0)</f>
        <v>1</v>
      </c>
      <c r="O2372" s="213">
        <f>IFERROR(__xludf.DUMMYFUNCTION("""COMPUTED_VALUE"""),1.0)</f>
        <v>1</v>
      </c>
      <c r="P2372" s="213"/>
      <c r="Q2372" s="213"/>
      <c r="R2372" s="213"/>
      <c r="S2372" s="213" t="str">
        <f>IFERROR(__xludf.DUMMYFUNCTION("""COMPUTED_VALUE"""),"SI")</f>
        <v>SI</v>
      </c>
      <c r="T2372" s="213" t="str">
        <f>IFERROR(__xludf.DUMMYFUNCTION("""COMPUTED_VALUE"""),"SI")</f>
        <v>SI</v>
      </c>
      <c r="U2372" s="213" t="str">
        <f>IFERROR(__xludf.DUMMYFUNCTION("""COMPUTED_VALUE"""),"SI")</f>
        <v>SI</v>
      </c>
      <c r="V2372" s="213" t="str">
        <f>IFERROR(__xludf.DUMMYFUNCTION("""COMPUTED_VALUE"""),"-")</f>
        <v>-</v>
      </c>
      <c r="W2372" s="213" t="str">
        <f>IFERROR(__xludf.DUMMYFUNCTION("""COMPUTED_VALUE"""),"-")</f>
        <v>-</v>
      </c>
      <c r="X2372" s="213"/>
      <c r="Y2372" s="213" t="str">
        <f>IFERROR(__xludf.DUMMYFUNCTION("""COMPUTED_VALUE"""),"DT2236B ")</f>
        <v>DT2236B </v>
      </c>
      <c r="Z2372" s="215" t="str">
        <f>IFERROR(__xludf.DUMMYFUNCTION("""COMPUTED_VALUE"""),"https://www.amazon.com/-/es/Tac%C3%B3metro-Contacto-Handhold-Medici%C3%B3n-Veloc%C3%ADmetro/dp/B08MPLCNPH/ref=sr_1_4?__mk_es_US=%C3%85M%C3%85%C5%BD%C3%95%C3%91&amp;crid=VP94G1LLMQI1&amp;dib=eyJ2IjoiMSJ9.DdlLTGJyL8pJmrahA1c2raWG9zcNTcPbY3B6phitJ_MNenNqezvXkDMYnl_X"&amp;"4XOgIrGMs6lFUY1jWIMkYOCVsuL_8FIZ8W7G52DNVhST1gw.vXHczq_f1mB9hu6PaO8TqiZg-WXU0BC5dKteohdEWfA&amp;dib_tag=se&amp;keywords=DT2236B&amp;qid=1759337521&amp;s=industrial&amp;sprefix=dt2236b%2Cindustrial%2C246&amp;sr=1-6")</f>
        <v>https://www.amazon.com/-/es/Tac%C3%B3metro-Contacto-Handhold-Medici%C3%B3n-Veloc%C3%ADmetro/dp/B08MPLCNPH/ref=sr_1_4?__mk_es_US=%C3%85M%C3%85%C5%BD%C3%95%C3%91&amp;crid=VP94G1LLMQI1&amp;dib=eyJ2IjoiMSJ9.DdlLTGJyL8pJmrahA1c2raWG9zcNTcPbY3B6phitJ_MNenNqezvXkDMYnl_X4XOgIrGMs6lFUY1jWIMkYOCVsuL_8FIZ8W7G52DNVhST1gw.vXHczq_f1mB9hu6PaO8TqiZg-WXU0BC5dKteohdEWfA&amp;dib_tag=se&amp;keywords=DT2236B&amp;qid=1759337521&amp;s=industrial&amp;sprefix=dt2236b%2Cindustrial%2C246&amp;sr=1-6</v>
      </c>
      <c r="AA2372" s="213" t="str">
        <f>IFERROR(__xludf.DUMMYFUNCTION("""COMPUTED_VALUE"""),"ESP-352 TACÓMETRO - CET")</f>
        <v>ESP-352 TACÓMETRO - CET</v>
      </c>
      <c r="AB2372" s="213"/>
      <c r="AC2372" s="213"/>
      <c r="AD2372" s="213"/>
      <c r="AE2372" s="213"/>
      <c r="AF2372" s="213"/>
      <c r="AG2372" s="213"/>
      <c r="AH2372" s="213" t="str">
        <f>IFERROR(__xludf.DUMMYFUNCTION("""COMPUTED_VALUE"""),"IMPORTADO")</f>
        <v>IMPORTADO</v>
      </c>
      <c r="AI2372" s="213"/>
      <c r="AJ2372" s="213"/>
      <c r="AK2372" s="213"/>
      <c r="AL2372" s="213"/>
      <c r="AM2372" s="213"/>
      <c r="AN2372" s="213"/>
      <c r="AO2372" s="213"/>
      <c r="AP2372" s="213" t="str">
        <f>IFERROR(__xludf.DUMMYFUNCTION("""COMPUTED_VALUE"""),"NALDI")</f>
        <v>NALDI</v>
      </c>
      <c r="AQ2372" s="213"/>
      <c r="AR2372" s="213"/>
      <c r="AS2372" s="213" t="str">
        <f>IFERROR(__xludf.DUMMYFUNCTION("""COMPUTED_VALUE"""),"4 pilas AA de 1.5 V")</f>
        <v>4 pilas AA de 1.5 V</v>
      </c>
      <c r="AT2372" s="213"/>
      <c r="AU2372" s="213"/>
      <c r="AV2372" s="213"/>
      <c r="AW2372" s="213"/>
      <c r="AX2372" s="213"/>
      <c r="AY2372" s="213"/>
      <c r="AZ2372" s="213"/>
      <c r="BA2372" s="213"/>
      <c r="BB2372" s="213"/>
      <c r="BC2372" s="213"/>
      <c r="BD2372" s="213"/>
    </row>
    <row r="2373">
      <c r="A2373" s="213">
        <f>IFERROR(__xludf.DUMMYFUNCTION("""COMPUTED_VALUE"""),985.0)</f>
        <v>985</v>
      </c>
      <c r="B2373" s="213" t="str">
        <f>IFERROR(__xludf.DUMMYFUNCTION("""COMPUTED_VALUE"""),"FRANCISCO IRAZOLA")</f>
        <v>FRANCISCO IRAZOLA</v>
      </c>
      <c r="C2373" s="213" t="str">
        <f>IFERROR(__xludf.DUMMYFUNCTION("""COMPUTED_VALUE"""),"TALLER SFT DE MECÁNICA AUTOMOTRIZ")</f>
        <v>TALLER SFT DE MECÁNICA AUTOMOTRIZ</v>
      </c>
      <c r="D2373" s="213" t="str">
        <f>IFERROR(__xludf.DUMMYFUNCTION("""COMPUTED_VALUE"""),"EQUIPOS")</f>
        <v>EQUIPOS</v>
      </c>
      <c r="E2373" s="213" t="str">
        <f>IFERROR(__xludf.DUMMYFUNCTION("""COMPUTED_VALUE"""),"ESP-354")</f>
        <v>ESP-354</v>
      </c>
      <c r="F2373" s="213" t="str">
        <f>IFERROR(__xludf.DUMMYFUNCTION("""COMPUTED_VALUE"""),"ESP-354-Y")</f>
        <v>ESP-354-Y</v>
      </c>
      <c r="G2373" s="213"/>
      <c r="H2373" s="213" t="str">
        <f>IFERROR(__xludf.DUMMYFUNCTION("""COMPUTED_VALUE"""),"TALADRO DE COLUMNA")</f>
        <v>TALADRO DE COLUMNA</v>
      </c>
      <c r="I2373" s="213" t="str">
        <f>IFERROR(__xludf.DUMMYFUNCTION("""COMPUTED_VALUE"""),"· Taladro de columna con portabrocas.
· Funcionamiento suave con poleas de aluminio y faja dentada, para una mejor transmisión de fuerzas.
· Precisión de concentricidad: menor a 0.03 mm.
· Husillo con rodamientos de bolas de precisión.
· Cono morse MT3.
·"&amp;" Diámetro máximo de taladro: 25 mm.
· Interruptor de seguridad en la tapa de poleas, parada de emergencia independiente.
· Mesa de trabajo con ranuras en T (transversales), inclinable de -45° a +45° y orientable de 360°.
· Altura de la mesa regulable medi"&amp;"ante mecanismo de cremallera.
· Altura del taladro: entre 1550 hasta 1650 mm.
· Potencia: entre 550 - 750 W.
· Revoluciones del husillo: entre 200 - 2440 rpm.
· Voltaje, frecuencia: 220 V, 60 Hz.
· Tornillo de banco para la mesa de trabajo del taladro: co"&amp;"n mínimo ancho de mandíbula de 100 mm.
· Incluye un juego de brocas de titanio de mínimo 25 unidades, de diámetros entre 1 - 13 mm, y 6 und. de brocas para metal, entre 14 - 24 mm de diámetro.
· Dimensiones (+- 2 cm) L 80 x A40 x H180 cm")</f>
        <v>· Taladro de columna con portabrocas.
· Funcionamiento suave con poleas de aluminio y faja dentada, para una mejor transmisión de fuerzas.
· Precisión de concentricidad: menor a 0.03 mm.
· Husillo con rodamientos de bolas de precisión.
· Cono morse MT3.
· Diámetro máximo de taladro: 25 mm.
· Interruptor de seguridad en la tapa de poleas, parada de emergencia independiente.
· Mesa de trabajo con ranuras en T (transversales), inclinable de -45° a +45° y orientable de 360°.
· Altura de la mesa regulable mediante mecanismo de cremallera.
· Altura del taladro: entre 1550 hasta 1650 mm.
· Potencia: entre 550 - 750 W.
· Revoluciones del husillo: entre 200 - 2440 rpm.
· Voltaje, frecuencia: 220 V, 60 Hz.
· Tornillo de banco para la mesa de trabajo del taladro: con mínimo ancho de mandíbula de 100 mm.
· Incluye un juego de brocas de titanio de mínimo 25 unidades, de diámetros entre 1 - 13 mm, y 6 und. de brocas para metal, entre 14 - 24 mm de diámetro.
· Dimensiones (+- 2 cm) L 80 x A40 x H180 cm</v>
      </c>
      <c r="J2373" s="213">
        <f>IFERROR(__xludf.DUMMYFUNCTION("""COMPUTED_VALUE"""),3.0)</f>
        <v>3</v>
      </c>
      <c r="K2373" s="213" t="str">
        <f>IFERROR(__xludf.DUMMYFUNCTION("""COMPUTED_VALUE"""),"170 DÍAS CALENDARIO")</f>
        <v>170 DÍAS CALENDARIO</v>
      </c>
      <c r="L2373" s="213" t="str">
        <f>IFERROR(__xludf.DUMMYFUNCTION("""COMPUTED_VALUE"""),"")</f>
        <v/>
      </c>
      <c r="M2373" s="213">
        <f>IFERROR(__xludf.DUMMYFUNCTION("""COMPUTED_VALUE"""),1.0)</f>
        <v>1</v>
      </c>
      <c r="N2373" s="213">
        <f>IFERROR(__xludf.DUMMYFUNCTION("""COMPUTED_VALUE"""),1.0)</f>
        <v>1</v>
      </c>
      <c r="O2373" s="213">
        <f>IFERROR(__xludf.DUMMYFUNCTION("""COMPUTED_VALUE"""),1.0)</f>
        <v>1</v>
      </c>
      <c r="P2373" s="213"/>
      <c r="Q2373" s="213"/>
      <c r="R2373" s="213"/>
      <c r="S2373" s="213" t="str">
        <f>IFERROR(__xludf.DUMMYFUNCTION("""COMPUTED_VALUE"""),"SI")</f>
        <v>SI</v>
      </c>
      <c r="T2373" s="213" t="str">
        <f>IFERROR(__xludf.DUMMYFUNCTION("""COMPUTED_VALUE"""),"SI")</f>
        <v>SI</v>
      </c>
      <c r="U2373" s="213" t="str">
        <f>IFERROR(__xludf.DUMMYFUNCTION("""COMPUTED_VALUE"""),"NO")</f>
        <v>NO</v>
      </c>
      <c r="V2373" s="213" t="str">
        <f>IFERROR(__xludf.DUMMYFUNCTION("""COMPUTED_VALUE"""),"SUSTENTO")</f>
        <v>SUSTENTO</v>
      </c>
      <c r="W2373" s="213" t="str">
        <f>IFERROR(__xludf.DUMMYFUNCTION("""COMPUTED_VALUE"""),"ELÉCTRICO")</f>
        <v>ELÉCTRICO</v>
      </c>
      <c r="X2373" s="213" t="str">
        <f>IFERROR(__xludf.DUMMYFUNCTION("""COMPUTED_VALUE"""),"OPTIMUM")</f>
        <v>OPTIMUM</v>
      </c>
      <c r="Y2373" s="213" t="str">
        <f>IFERROR(__xludf.DUMMYFUNCTION("""COMPUTED_VALUE"""),"OPTIDRILL D 26 PRO")</f>
        <v>OPTIDRILL D 26 PRO</v>
      </c>
      <c r="Z2373" s="215" t="str">
        <f>IFERROR(__xludf.DUMMYFUNCTION("""COMPUTED_VALUE"""),"https://www.aslak.es/herramientas-electricas/taladro-de-columna-optidrill-d-26pro-230v-1ph-optidrill-d-26pro-230v-1ph.html")</f>
        <v>https://www.aslak.es/herramientas-electricas/taladro-de-columna-optidrill-d-26pro-230v-1ph-optidrill-d-26pro-230v-1ph.html</v>
      </c>
      <c r="AA2373" s="213" t="str">
        <f>IFERROR(__xludf.DUMMYFUNCTION("""COMPUTED_VALUE"""),"ESP-354-Y  TALADRO DE COLUMNA - CET")</f>
        <v>ESP-354-Y  TALADRO DE COLUMNA - CET</v>
      </c>
      <c r="AB2373" s="215" t="str">
        <f>IFERROR(__xludf.DUMMYFUNCTION("""COMPUTED_VALUE"""),"https://drive.google.com/file/d/1ph17z69pyucu9Rqw4U2S3qzLdKhCF5hQ/view?usp=sharing")</f>
        <v>https://drive.google.com/file/d/1ph17z69pyucu9Rqw4U2S3qzLdKhCF5hQ/view?usp=sharing</v>
      </c>
      <c r="AC2373" s="213"/>
      <c r="AD2373" s="213"/>
      <c r="AE2373" s="213"/>
      <c r="AF2373" s="213"/>
      <c r="AG2373" s="213"/>
      <c r="AH2373" s="213" t="str">
        <f>IFERROR(__xludf.DUMMYFUNCTION("""COMPUTED_VALUE"""),"IMPORTADO")</f>
        <v>IMPORTADO</v>
      </c>
      <c r="AI2373" s="213"/>
      <c r="AJ2373" s="213"/>
      <c r="AK2373" s="213"/>
      <c r="AL2373" s="213"/>
      <c r="AM2373" s="213"/>
      <c r="AN2373" s="213"/>
      <c r="AO2373" s="213"/>
      <c r="AP2373" s="213" t="str">
        <f>IFERROR(__xludf.DUMMYFUNCTION("""COMPUTED_VALUE"""),"NALDI")</f>
        <v>NALDI</v>
      </c>
      <c r="AQ2373" s="213"/>
      <c r="AR2373" s="213"/>
      <c r="AS2373" s="213" t="str">
        <f>IFERROR(__xludf.DUMMYFUNCTION("""COMPUTED_VALUE"""),"· Tornillo de banco para la mesa de trabajo del taladro: con mínimo ancho de mandíbula de 100 mm.
· Incluye un juego de brocas de titanio de mínimo 25 unidades, de diámetros entre 1 - 13 mm, y 6 und. de brocas para metal, entre 14 - 24 mm de diámetro.")</f>
        <v>· Tornillo de banco para la mesa de trabajo del taladro: con mínimo ancho de mandíbula de 100 mm.
· Incluye un juego de brocas de titanio de mínimo 25 unidades, de diámetros entre 1 - 13 mm, y 6 und. de brocas para metal, entre 14 - 24 mm de diámetro.</v>
      </c>
      <c r="AT2373" s="213"/>
      <c r="AU2373" s="213"/>
      <c r="AV2373" s="213"/>
      <c r="AW2373" s="213"/>
      <c r="AX2373" s="213"/>
      <c r="AY2373" s="213"/>
      <c r="AZ2373" s="213"/>
      <c r="BA2373" s="213"/>
      <c r="BB2373" s="213"/>
      <c r="BC2373" s="213"/>
      <c r="BD2373" s="213"/>
    </row>
    <row r="2374">
      <c r="A2374" s="213">
        <f>IFERROR(__xludf.DUMMYFUNCTION("""COMPUTED_VALUE"""),1589.0)</f>
        <v>1589</v>
      </c>
      <c r="B2374" s="213" t="str">
        <f>IFERROR(__xludf.DUMMYFUNCTION("""COMPUTED_VALUE"""),"GUILLERMO E. BILLINGHURST ")</f>
        <v>GUILLERMO E. BILLINGHURST </v>
      </c>
      <c r="C2374" s="213" t="str">
        <f>IFERROR(__xludf.DUMMYFUNCTION("""COMPUTED_VALUE"""),"TALLER SFT DE MECÁNICA AUTOMOTRIZ")</f>
        <v>TALLER SFT DE MECÁNICA AUTOMOTRIZ</v>
      </c>
      <c r="D2374" s="213" t="str">
        <f>IFERROR(__xludf.DUMMYFUNCTION("""COMPUTED_VALUE"""),"EQUIPOS")</f>
        <v>EQUIPOS</v>
      </c>
      <c r="E2374" s="213" t="str">
        <f>IFERROR(__xludf.DUMMYFUNCTION("""COMPUTED_VALUE"""),"ESP-354")</f>
        <v>ESP-354</v>
      </c>
      <c r="F2374" s="213" t="str">
        <f>IFERROR(__xludf.DUMMYFUNCTION("""COMPUTED_VALUE"""),"ESP-354-Y")</f>
        <v>ESP-354-Y</v>
      </c>
      <c r="G2374" s="213"/>
      <c r="H2374" s="213" t="str">
        <f>IFERROR(__xludf.DUMMYFUNCTION("""COMPUTED_VALUE"""),"TALADRO DE COLUMNA")</f>
        <v>TALADRO DE COLUMNA</v>
      </c>
      <c r="I2374" s="213" t="str">
        <f>IFERROR(__xludf.DUMMYFUNCTION("""COMPUTED_VALUE"""),"· Taladro de columna con portabrocas.
· Funcionamiento suave con poleas de aluminio y faja dentada, para una mejor transmisión de fuerzas.
· Precisión de concentricidad: menor a 0.03 mm.
· Husillo con rodamientos de bolas de precisión.
· Cono morse MT3.
·"&amp;" Diámetro máximo de taladro: 25 mm.
· Interruptor de seguridad en la tapa de poleas, parada de emergencia independiente.
· Mesa de trabajo con ranuras en T (transversales), inclinable de -45° a +45° y orientable de 360°.
· Altura de la mesa regulable medi"&amp;"ante mecanismo de cremallera.
· Altura del taladro: entre 1550 hasta 1650 mm.
· Potencia: entre 550 - 750 W.
· Revoluciones del husillo: entre 200 - 2440 rpm.
· Voltaje, frecuencia: 220 V, 60 Hz.
· Tornillo de banco para la mesa de trabajo del taladro: co"&amp;"n mínimo ancho de mandíbula de 100 mm.
· Incluye un juego de brocas de titanio de mínimo 25 unidades, de diámetros entre 1 - 13 mm, y 6 und. de brocas para metal, entre 14 - 24 mm de diámetro.
· Dimensiones (+- 2 cm) L 80 x A40 x H180 cm")</f>
        <v>· Taladro de columna con portabrocas.
· Funcionamiento suave con poleas de aluminio y faja dentada, para una mejor transmisión de fuerzas.
· Precisión de concentricidad: menor a 0.03 mm.
· Husillo con rodamientos de bolas de precisión.
· Cono morse MT3.
· Diámetro máximo de taladro: 25 mm.
· Interruptor de seguridad en la tapa de poleas, parada de emergencia independiente.
· Mesa de trabajo con ranuras en T (transversales), inclinable de -45° a +45° y orientable de 360°.
· Altura de la mesa regulable mediante mecanismo de cremallera.
· Altura del taladro: entre 1550 hasta 1650 mm.
· Potencia: entre 550 - 750 W.
· Revoluciones del husillo: entre 200 - 2440 rpm.
· Voltaje, frecuencia: 220 V, 60 Hz.
· Tornillo de banco para la mesa de trabajo del taladro: con mínimo ancho de mandíbula de 100 mm.
· Incluye un juego de brocas de titanio de mínimo 25 unidades, de diámetros entre 1 - 13 mm, y 6 und. de brocas para metal, entre 14 - 24 mm de diámetro.
· Dimensiones (+- 2 cm) L 80 x A40 x H180 cm</v>
      </c>
      <c r="J2374" s="213">
        <f>IFERROR(__xludf.DUMMYFUNCTION("""COMPUTED_VALUE"""),3.0)</f>
        <v>3</v>
      </c>
      <c r="K2374" s="213" t="str">
        <f>IFERROR(__xludf.DUMMYFUNCTION("""COMPUTED_VALUE"""),"170 DÍAS CALENDARIO")</f>
        <v>170 DÍAS CALENDARIO</v>
      </c>
      <c r="L2374" s="213" t="str">
        <f>IFERROR(__xludf.DUMMYFUNCTION("""COMPUTED_VALUE"""),"")</f>
        <v/>
      </c>
      <c r="M2374" s="213">
        <f>IFERROR(__xludf.DUMMYFUNCTION("""COMPUTED_VALUE"""),1.0)</f>
        <v>1</v>
      </c>
      <c r="N2374" s="213">
        <f>IFERROR(__xludf.DUMMYFUNCTION("""COMPUTED_VALUE"""),1.0)</f>
        <v>1</v>
      </c>
      <c r="O2374" s="213">
        <f>IFERROR(__xludf.DUMMYFUNCTION("""COMPUTED_VALUE"""),1.0)</f>
        <v>1</v>
      </c>
      <c r="P2374" s="213"/>
      <c r="Q2374" s="213"/>
      <c r="R2374" s="213"/>
      <c r="S2374" s="213" t="str">
        <f>IFERROR(__xludf.DUMMYFUNCTION("""COMPUTED_VALUE"""),"SI")</f>
        <v>SI</v>
      </c>
      <c r="T2374" s="213" t="str">
        <f>IFERROR(__xludf.DUMMYFUNCTION("""COMPUTED_VALUE"""),"SI")</f>
        <v>SI</v>
      </c>
      <c r="U2374" s="213" t="str">
        <f>IFERROR(__xludf.DUMMYFUNCTION("""COMPUTED_VALUE"""),"NO")</f>
        <v>NO</v>
      </c>
      <c r="V2374" s="213" t="str">
        <f>IFERROR(__xludf.DUMMYFUNCTION("""COMPUTED_VALUE"""),"SUSTENTO")</f>
        <v>SUSTENTO</v>
      </c>
      <c r="W2374" s="213" t="str">
        <f>IFERROR(__xludf.DUMMYFUNCTION("""COMPUTED_VALUE"""),"ELÉCTRICO")</f>
        <v>ELÉCTRICO</v>
      </c>
      <c r="X2374" s="213" t="str">
        <f>IFERROR(__xludf.DUMMYFUNCTION("""COMPUTED_VALUE"""),"OPTIMUM")</f>
        <v>OPTIMUM</v>
      </c>
      <c r="Y2374" s="213" t="str">
        <f>IFERROR(__xludf.DUMMYFUNCTION("""COMPUTED_VALUE"""),"OPTIDRILL D 26 PRO")</f>
        <v>OPTIDRILL D 26 PRO</v>
      </c>
      <c r="Z2374" s="215" t="str">
        <f>IFERROR(__xludf.DUMMYFUNCTION("""COMPUTED_VALUE"""),"https://www.aslak.es/herramientas-electricas/taladro-de-columna-optidrill-d-26pro-230v-1ph-optidrill-d-26pro-230v-1ph.html")</f>
        <v>https://www.aslak.es/herramientas-electricas/taladro-de-columna-optidrill-d-26pro-230v-1ph-optidrill-d-26pro-230v-1ph.html</v>
      </c>
      <c r="AA2374" s="213" t="str">
        <f>IFERROR(__xludf.DUMMYFUNCTION("""COMPUTED_VALUE"""),"ESP-354-Y  TALADRO DE COLUMNA - CET")</f>
        <v>ESP-354-Y  TALADRO DE COLUMNA - CET</v>
      </c>
      <c r="AB2374" s="215" t="str">
        <f>IFERROR(__xludf.DUMMYFUNCTION("""COMPUTED_VALUE"""),"https://drive.google.com/file/d/1ph17z69pyucu9Rqw4U2S3qzLdKhCF5hQ/view?usp=sharing")</f>
        <v>https://drive.google.com/file/d/1ph17z69pyucu9Rqw4U2S3qzLdKhCF5hQ/view?usp=sharing</v>
      </c>
      <c r="AC2374" s="213"/>
      <c r="AD2374" s="213"/>
      <c r="AE2374" s="213"/>
      <c r="AF2374" s="213"/>
      <c r="AG2374" s="213"/>
      <c r="AH2374" s="213" t="str">
        <f>IFERROR(__xludf.DUMMYFUNCTION("""COMPUTED_VALUE"""),"IMPORTADO")</f>
        <v>IMPORTADO</v>
      </c>
      <c r="AI2374" s="213"/>
      <c r="AJ2374" s="213"/>
      <c r="AK2374" s="213"/>
      <c r="AL2374" s="213"/>
      <c r="AM2374" s="213"/>
      <c r="AN2374" s="213"/>
      <c r="AO2374" s="213"/>
      <c r="AP2374" s="213" t="str">
        <f>IFERROR(__xludf.DUMMYFUNCTION("""COMPUTED_VALUE"""),"NALDI")</f>
        <v>NALDI</v>
      </c>
      <c r="AQ2374" s="213"/>
      <c r="AR2374" s="213"/>
      <c r="AS2374" s="213" t="str">
        <f>IFERROR(__xludf.DUMMYFUNCTION("""COMPUTED_VALUE"""),"· Tornillo de banco para la mesa de trabajo del taladro: con mínimo ancho de mandíbula de 100 mm.
· Incluye un juego de brocas de titanio de mínimo 25 unidades, de diámetros entre 1 - 13 mm, y 6 und. de brocas para metal, entre 14 - 24 mm de diámetro.")</f>
        <v>· Tornillo de banco para la mesa de trabajo del taladro: con mínimo ancho de mandíbula de 100 mm.
· Incluye un juego de brocas de titanio de mínimo 25 unidades, de diámetros entre 1 - 13 mm, y 6 und. de brocas para metal, entre 14 - 24 mm de diámetro.</v>
      </c>
      <c r="AT2374" s="213"/>
      <c r="AU2374" s="213"/>
      <c r="AV2374" s="213"/>
      <c r="AW2374" s="213"/>
      <c r="AX2374" s="213"/>
      <c r="AY2374" s="213"/>
      <c r="AZ2374" s="213"/>
      <c r="BA2374" s="213"/>
      <c r="BB2374" s="213"/>
      <c r="BC2374" s="213"/>
      <c r="BD2374" s="213"/>
    </row>
    <row r="2375">
      <c r="A2375" s="213">
        <f>IFERROR(__xludf.DUMMYFUNCTION("""COMPUTED_VALUE"""),2276.0)</f>
        <v>2276</v>
      </c>
      <c r="B2375" s="213" t="str">
        <f>IFERROR(__xludf.DUMMYFUNCTION("""COMPUTED_VALUE"""),"JOSE GRANDA")</f>
        <v>JOSE GRANDA</v>
      </c>
      <c r="C2375" s="213" t="str">
        <f>IFERROR(__xludf.DUMMYFUNCTION("""COMPUTED_VALUE"""),"TALLER SFT DE MECÁNICA AUTOMOTRIZ")</f>
        <v>TALLER SFT DE MECÁNICA AUTOMOTRIZ</v>
      </c>
      <c r="D2375" s="213" t="str">
        <f>IFERROR(__xludf.DUMMYFUNCTION("""COMPUTED_VALUE"""),"EQUIPOS")</f>
        <v>EQUIPOS</v>
      </c>
      <c r="E2375" s="213" t="str">
        <f>IFERROR(__xludf.DUMMYFUNCTION("""COMPUTED_VALUE"""),"ESP-354")</f>
        <v>ESP-354</v>
      </c>
      <c r="F2375" s="213" t="str">
        <f>IFERROR(__xludf.DUMMYFUNCTION("""COMPUTED_VALUE"""),"ESP-354-Y")</f>
        <v>ESP-354-Y</v>
      </c>
      <c r="G2375" s="213"/>
      <c r="H2375" s="213" t="str">
        <f>IFERROR(__xludf.DUMMYFUNCTION("""COMPUTED_VALUE"""),"TALADRO DE COLUMNA")</f>
        <v>TALADRO DE COLUMNA</v>
      </c>
      <c r="I2375" s="213" t="str">
        <f>IFERROR(__xludf.DUMMYFUNCTION("""COMPUTED_VALUE"""),"· Taladro de columna con portabrocas.
· Funcionamiento suave con poleas de aluminio y faja dentada, para una mejor transmisión de fuerzas.
· Precisión de concentricidad: menor a 0.03 mm.
· Husillo con rodamientos de bolas de precisión.
· Cono morse MT3.
·"&amp;" Diámetro máximo de taladro: 25 mm.
· Interruptor de seguridad en la tapa de poleas, parada de emergencia independiente.
· Mesa de trabajo con ranuras en T (transversales), inclinable de -45° a +45° y orientable de 360°.
· Altura de la mesa regulable medi"&amp;"ante mecanismo de cremallera.
· Altura del taladro: entre 1550 hasta 1650 mm.
· Potencia: entre 550 - 750 W.
· Revoluciones del husillo: entre 200 - 2440 rpm.
· Voltaje, frecuencia: 220 V, 60 Hz.
· Tornillo de banco para la mesa de trabajo del taladro: co"&amp;"n mínimo ancho de mandíbula de 100 mm.
· Incluye un juego de brocas de titanio de mínimo 25 unidades, de diámetros entre 1 - 13 mm, y 6 und. de brocas para metal, entre 14 - 24 mm de diámetro.
· Dimensiones (+- 2 cm) L 80 x A40 x H180 cm")</f>
        <v>· Taladro de columna con portabrocas.
· Funcionamiento suave con poleas de aluminio y faja dentada, para una mejor transmisión de fuerzas.
· Precisión de concentricidad: menor a 0.03 mm.
· Husillo con rodamientos de bolas de precisión.
· Cono morse MT3.
· Diámetro máximo de taladro: 25 mm.
· Interruptor de seguridad en la tapa de poleas, parada de emergencia independiente.
· Mesa de trabajo con ranuras en T (transversales), inclinable de -45° a +45° y orientable de 360°.
· Altura de la mesa regulable mediante mecanismo de cremallera.
· Altura del taladro: entre 1550 hasta 1650 mm.
· Potencia: entre 550 - 750 W.
· Revoluciones del husillo: entre 200 - 2440 rpm.
· Voltaje, frecuencia: 220 V, 60 Hz.
· Tornillo de banco para la mesa de trabajo del taladro: con mínimo ancho de mandíbula de 100 mm.
· Incluye un juego de brocas de titanio de mínimo 25 unidades, de diámetros entre 1 - 13 mm, y 6 und. de brocas para metal, entre 14 - 24 mm de diámetro.
· Dimensiones (+- 2 cm) L 80 x A40 x H180 cm</v>
      </c>
      <c r="J2375" s="213">
        <f>IFERROR(__xludf.DUMMYFUNCTION("""COMPUTED_VALUE"""),3.0)</f>
        <v>3</v>
      </c>
      <c r="K2375" s="213" t="str">
        <f>IFERROR(__xludf.DUMMYFUNCTION("""COMPUTED_VALUE"""),"170 DÍAS CALENDARIO")</f>
        <v>170 DÍAS CALENDARIO</v>
      </c>
      <c r="L2375" s="213" t="str">
        <f>IFERROR(__xludf.DUMMYFUNCTION("""COMPUTED_VALUE"""),"")</f>
        <v/>
      </c>
      <c r="M2375" s="213">
        <f>IFERROR(__xludf.DUMMYFUNCTION("""COMPUTED_VALUE"""),1.0)</f>
        <v>1</v>
      </c>
      <c r="N2375" s="213">
        <f>IFERROR(__xludf.DUMMYFUNCTION("""COMPUTED_VALUE"""),1.0)</f>
        <v>1</v>
      </c>
      <c r="O2375" s="213">
        <f>IFERROR(__xludf.DUMMYFUNCTION("""COMPUTED_VALUE"""),1.0)</f>
        <v>1</v>
      </c>
      <c r="P2375" s="213"/>
      <c r="Q2375" s="213"/>
      <c r="R2375" s="213"/>
      <c r="S2375" s="213" t="str">
        <f>IFERROR(__xludf.DUMMYFUNCTION("""COMPUTED_VALUE"""),"SI")</f>
        <v>SI</v>
      </c>
      <c r="T2375" s="213" t="str">
        <f>IFERROR(__xludf.DUMMYFUNCTION("""COMPUTED_VALUE"""),"SI")</f>
        <v>SI</v>
      </c>
      <c r="U2375" s="213" t="str">
        <f>IFERROR(__xludf.DUMMYFUNCTION("""COMPUTED_VALUE"""),"NO")</f>
        <v>NO</v>
      </c>
      <c r="V2375" s="213" t="str">
        <f>IFERROR(__xludf.DUMMYFUNCTION("""COMPUTED_VALUE"""),"SUSTENTO")</f>
        <v>SUSTENTO</v>
      </c>
      <c r="W2375" s="213" t="str">
        <f>IFERROR(__xludf.DUMMYFUNCTION("""COMPUTED_VALUE"""),"ELÉCTRICO")</f>
        <v>ELÉCTRICO</v>
      </c>
      <c r="X2375" s="213" t="str">
        <f>IFERROR(__xludf.DUMMYFUNCTION("""COMPUTED_VALUE"""),"OPTIMUM")</f>
        <v>OPTIMUM</v>
      </c>
      <c r="Y2375" s="213" t="str">
        <f>IFERROR(__xludf.DUMMYFUNCTION("""COMPUTED_VALUE"""),"OPTIDRILL D 26 PRO")</f>
        <v>OPTIDRILL D 26 PRO</v>
      </c>
      <c r="Z2375" s="215" t="str">
        <f>IFERROR(__xludf.DUMMYFUNCTION("""COMPUTED_VALUE"""),"https://www.aslak.es/herramientas-electricas/taladro-de-columna-optidrill-d-26pro-230v-1ph-optidrill-d-26pro-230v-1ph.html")</f>
        <v>https://www.aslak.es/herramientas-electricas/taladro-de-columna-optidrill-d-26pro-230v-1ph-optidrill-d-26pro-230v-1ph.html</v>
      </c>
      <c r="AA2375" s="213" t="str">
        <f>IFERROR(__xludf.DUMMYFUNCTION("""COMPUTED_VALUE"""),"ESP-354-Y  TALADRO DE COLUMNA - CET")</f>
        <v>ESP-354-Y  TALADRO DE COLUMNA - CET</v>
      </c>
      <c r="AB2375" s="215" t="str">
        <f>IFERROR(__xludf.DUMMYFUNCTION("""COMPUTED_VALUE"""),"https://drive.google.com/file/d/1ph17z69pyucu9Rqw4U2S3qzLdKhCF5hQ/view?usp=sharing")</f>
        <v>https://drive.google.com/file/d/1ph17z69pyucu9Rqw4U2S3qzLdKhCF5hQ/view?usp=sharing</v>
      </c>
      <c r="AC2375" s="213"/>
      <c r="AD2375" s="213"/>
      <c r="AE2375" s="213"/>
      <c r="AF2375" s="213"/>
      <c r="AG2375" s="213"/>
      <c r="AH2375" s="213" t="str">
        <f>IFERROR(__xludf.DUMMYFUNCTION("""COMPUTED_VALUE"""),"IMPORTADO")</f>
        <v>IMPORTADO</v>
      </c>
      <c r="AI2375" s="213"/>
      <c r="AJ2375" s="213"/>
      <c r="AK2375" s="213"/>
      <c r="AL2375" s="213"/>
      <c r="AM2375" s="213"/>
      <c r="AN2375" s="213"/>
      <c r="AO2375" s="213"/>
      <c r="AP2375" s="213" t="str">
        <f>IFERROR(__xludf.DUMMYFUNCTION("""COMPUTED_VALUE"""),"NALDI")</f>
        <v>NALDI</v>
      </c>
      <c r="AQ2375" s="213"/>
      <c r="AR2375" s="213"/>
      <c r="AS2375" s="213" t="str">
        <f>IFERROR(__xludf.DUMMYFUNCTION("""COMPUTED_VALUE"""),"· Tornillo de banco para la mesa de trabajo del taladro: con mínimo ancho de mandíbula de 100 mm.
· Incluye un juego de brocas de titanio de mínimo 25 unidades, de diámetros entre 1 - 13 mm, y 6 und. de brocas para metal, entre 14 - 24 mm de diámetro.")</f>
        <v>· Tornillo de banco para la mesa de trabajo del taladro: con mínimo ancho de mandíbula de 100 mm.
· Incluye un juego de brocas de titanio de mínimo 25 unidades, de diámetros entre 1 - 13 mm, y 6 und. de brocas para metal, entre 14 - 24 mm de diámetro.</v>
      </c>
      <c r="AT2375" s="213"/>
      <c r="AU2375" s="213"/>
      <c r="AV2375" s="213"/>
      <c r="AW2375" s="213"/>
      <c r="AX2375" s="213"/>
      <c r="AY2375" s="213"/>
      <c r="AZ2375" s="213"/>
      <c r="BA2375" s="213"/>
      <c r="BB2375" s="213"/>
      <c r="BC2375" s="213"/>
      <c r="BD2375" s="213"/>
    </row>
    <row r="2376">
      <c r="A2376" s="213">
        <f>IFERROR(__xludf.DUMMYFUNCTION("""COMPUTED_VALUE"""),2526.0)</f>
        <v>2526</v>
      </c>
      <c r="B2376" s="213" t="str">
        <f>IFERROR(__xludf.DUMMYFUNCTION("""COMPUTED_VALUE"""),"MANUEL ANTONIO MESONES MURO")</f>
        <v>MANUEL ANTONIO MESONES MURO</v>
      </c>
      <c r="C2376" s="213" t="str">
        <f>IFERROR(__xludf.DUMMYFUNCTION("""COMPUTED_VALUE"""),"TALLER SFT DE CONSTRUCCIONES METÁLICAS")</f>
        <v>TALLER SFT DE CONSTRUCCIONES METÁLICAS</v>
      </c>
      <c r="D2376" s="213" t="str">
        <f>IFERROR(__xludf.DUMMYFUNCTION("""COMPUTED_VALUE"""),"TICS")</f>
        <v>TICS</v>
      </c>
      <c r="E2376" s="213" t="str">
        <f>IFERROR(__xludf.DUMMYFUNCTION("""COMPUTED_VALUE"""),"TEC-117")</f>
        <v>TEC-117</v>
      </c>
      <c r="F2376" s="213" t="str">
        <f>IFERROR(__xludf.DUMMYFUNCTION("""COMPUTED_VALUE"""),"TEC-117")</f>
        <v>TEC-117</v>
      </c>
      <c r="G2376" s="213"/>
      <c r="H2376" s="213" t="str">
        <f>IFERROR(__xludf.DUMMYFUNCTION("""COMPUTED_VALUE"""),"TABLET")</f>
        <v>TABLET</v>
      </c>
      <c r="I2376" s="213" t="str">
        <f>IFERROR(__xludf.DUMMYFUNCTION("""COMPUTED_VALUE"""),"""· Tecnología Pantalla Táctil
. Procesador 1,7 GHz. o superior
· Sistema operativo: Android versión 10 o superior.
· Memoria RAM 4 GB.o superior
· Almacenamiento: 64 GB o superior""		
· Pantalla: LCD o LED		
"". Tamaño de Pantalla: desde de 10"""" hasta "&amp;"11 """"
. Resolución 1920 x 1200""		
· Conectividad: Inhalambrica IEEE 802.11 b/g/n, Bluetooth, 4G LTE.		
. Puertos: E/S - 01 conector de audio 3.5 mm, 01 USB tipo ""C"", 01 ranura  micro SD.		
. Sonido parlantes integrados.		
. Cámara: frontal  5 MPX mín"&amp;"imo, y posterior de 5 MPX mínimo.		
· Batería LI-ION o LI-PO.		
. Certificado:  Energy Star y/o CE y/o FCC y/o RoHS.		
. Accesorios: 01 cable de conexión USB y 01 cargador.		
· Presenta un protector resistente a los golpes.		
INCLUYE:		
· Software para di"&amp;"señar, recoger información en campo y procesar información de encuestas y entrevistas: características:		
· Software libre:		
- Formulario de google, Hojas de cálculo google, Google Docs		
- Sketchbook pro (Gratuito)		
- Oppen Office.		
· Libre Office		
-"&amp;" Versión 2018 o superior, Idioma español.		
- Para crear cuestionarios, entrevistas y aplicar en campo		
- Realizar colecta de datos de forma segura, confiable y amigable.		
- Permite realizar el análisis de datos de forma intuitiva		
· Software Antivirus"&amp;"		
- Licenciada		
- Idioma español, Versión 2019 o superior		
- Protección antivirus en tiempo real para proteger de virus, troyanos, adware, malware y phishing.		
- Protección contra firewall		
- Protección de escudo web compatible con el sistema operati"&amp;"vo de la tablet		
- Limpiador de disco para liberar espacio en el sistema operativo de la Tablet.		")</f>
        <v>"· Tecnología Pantalla Táctil
. Procesador 1,7 GHz. o superior
· Sistema operativo: Android versión 10 o superior.
· Memoria RAM 4 GB.o superior
· Almacenamiento: 64 GB o superior"		
· Pantalla: LCD o LED		
". Tamaño de Pantalla: desde de 10"" hasta 11 ""
. Resolución 1920 x 1200"		
· Conectividad: Inhalambrica IEEE 802.11 b/g/n, Bluetooth, 4G LTE.		
. Puertos: E/S - 01 conector de audio 3.5 mm, 01 USB tipo "C", 01 ranura  micro SD.		
. Sonido parlantes integrados.		
. Cámara: frontal  5 MPX mínimo, y posterior de 5 MPX mínimo.		
· Batería LI-ION o LI-PO.		
. Certificado:  Energy Star y/o CE y/o FCC y/o RoHS.		
. Accesorios: 01 cable de conexión USB y 01 cargador.		
· Presenta un protector resistente a los golpes.		
INCLUYE:		
· Software para diseñar, recoger información en campo y procesar información de encuestas y entrevistas: características:		
· Software libre:		
- Formulario de google, Hojas de cálculo google, Google Docs		
- Sketchbook pro (Gratuito)		
- Oppen Office.		
· Libre Office		
- Versión 2018 o superior, Idioma español.		
- Para crear cuestionarios, entrevistas y aplicar en campo		
- Realizar colecta de datos de forma segura, confiable y amigable.		
- Permite realizar el análisis de datos de forma intuitiva		
· Software Antivirus		
- Licenciada		
- Idioma español, Versión 2019 o superior		
- Protección antivirus en tiempo real para proteger de virus, troyanos, adware, malware y phishing.		
- Protección contra firewall		
- Protección de escudo web compatible con el sistema operativo de la tablet		
- Limpiador de disco para liberar espacio en el sistema operativo de la Tablet.		</v>
      </c>
      <c r="J2376" s="213">
        <f>IFERROR(__xludf.DUMMYFUNCTION("""COMPUTED_VALUE"""),3.0)</f>
        <v>3</v>
      </c>
      <c r="K2376" s="213" t="str">
        <f>IFERROR(__xludf.DUMMYFUNCTION("""COMPUTED_VALUE"""),"170 DÍAS CALENDARIO")</f>
        <v>170 DÍAS CALENDARIO</v>
      </c>
      <c r="L2376" s="213" t="str">
        <f>IFERROR(__xludf.DUMMYFUNCTION("""COMPUTED_VALUE"""),"ELECTRÓNICA, COMPUTACIÓN E INFORMÁTICA, COCINA Y REPOSTERÍA, EBANISTERÍA, INDUSTRIA ALIMENTARIA, CONSTRUCCIONES METÁLICAS, ELECTRICIDAD, INDUSTRIA DEL VESTIDO, MECÁNICA AUTOMOTRÍZ")</f>
        <v>ELECTRÓNICA, COMPUTACIÓN E INFORMÁTICA, COCINA Y REPOSTERÍA, EBANISTERÍA, INDUSTRIA ALIMENTARIA, CONSTRUCCIONES METÁLICAS, ELECTRICIDAD, INDUSTRIA DEL VESTIDO, MECÁNICA AUTOMOTRÍZ</v>
      </c>
      <c r="M2376" s="213">
        <f>IFERROR(__xludf.DUMMYFUNCTION("""COMPUTED_VALUE"""),1.0)</f>
        <v>1</v>
      </c>
      <c r="N2376" s="213">
        <f>IFERROR(__xludf.DUMMYFUNCTION("""COMPUTED_VALUE"""),5.0)</f>
        <v>5</v>
      </c>
      <c r="O2376" s="213">
        <f>IFERROR(__xludf.DUMMYFUNCTION("""COMPUTED_VALUE"""),5.0)</f>
        <v>5</v>
      </c>
      <c r="P2376" s="213"/>
      <c r="Q2376" s="213"/>
      <c r="R2376" s="213"/>
      <c r="S2376" s="213"/>
      <c r="T2376" s="213" t="str">
        <f>IFERROR(__xludf.DUMMYFUNCTION("""COMPUTED_VALUE"""),"SI")</f>
        <v>SI</v>
      </c>
      <c r="U2376" s="213" t="str">
        <f>IFERROR(__xludf.DUMMYFUNCTION("""COMPUTED_VALUE"""),"SI")</f>
        <v>SI</v>
      </c>
      <c r="V2376" s="213" t="str">
        <f>IFERROR(__xludf.DUMMYFUNCTION("""COMPUTED_VALUE"""),"-")</f>
        <v>-</v>
      </c>
      <c r="W2376" s="213" t="str">
        <f>IFERROR(__xludf.DUMMYFUNCTION("""COMPUTED_VALUE"""),"-")</f>
        <v>-</v>
      </c>
      <c r="X2376" s="213" t="str">
        <f>IFERROR(__xludf.DUMMYFUNCTION("""COMPUTED_VALUE"""),"LENOVO")</f>
        <v>LENOVO</v>
      </c>
      <c r="Y2376" s="213" t="str">
        <f>IFERROR(__xludf.DUMMYFUNCTION("""COMPUTED_VALUE"""),"TAB LTE TB311XU")</f>
        <v>TAB LTE TB311XU</v>
      </c>
      <c r="Z2376" s="215" t="str">
        <f>IFERROR(__xludf.DUMMYFUNCTION("""COMPUTED_VALUE"""),"https://inquirecontent2.ingrammicro.com/Manufacturer-Brochure/1086740376.pdf")</f>
        <v>https://inquirecontent2.ingrammicro.com/Manufacturer-Brochure/1086740376.pdf</v>
      </c>
      <c r="AA2376" s="213" t="str">
        <f>IFERROR(__xludf.DUMMYFUNCTION("""COMPUTED_VALUE"""),"TEC-117 TABLET - CET")</f>
        <v>TEC-117 TABLET - CET</v>
      </c>
      <c r="AB2376" s="213"/>
      <c r="AC2376" s="213"/>
      <c r="AD2376" s="213"/>
      <c r="AE2376" s="213"/>
      <c r="AF2376" s="213"/>
      <c r="AG2376" s="213"/>
      <c r="AH2376" s="213"/>
      <c r="AI2376" s="213"/>
      <c r="AJ2376" s="213"/>
      <c r="AK2376" s="213"/>
      <c r="AL2376" s="213"/>
      <c r="AM2376" s="213"/>
      <c r="AN2376" s="213"/>
      <c r="AO2376" s="213"/>
      <c r="AP2376" s="213" t="str">
        <f>IFERROR(__xludf.DUMMYFUNCTION("""COMPUTED_VALUE"""),"NALDI")</f>
        <v>NALDI</v>
      </c>
      <c r="AQ2376" s="213" t="str">
        <f>IFERROR(__xludf.DUMMYFUNCTION("""COMPUTED_VALUE"""),"Consultar si llegan los siguientes accesorios: 01 cable de conexión USB y 01 cargador.")</f>
        <v>Consultar si llegan los siguientes accesorios: 01 cable de conexión USB y 01 cargador.</v>
      </c>
      <c r="AR2376" s="213"/>
      <c r="AS2376" s="213" t="str">
        <f>IFERROR(__xludf.DUMMYFUNCTION("""COMPUTED_VALUE"""),"Presenta un protector resistente a los golpes.")</f>
        <v>Presenta un protector resistente a los golpes.</v>
      </c>
      <c r="AT2376" s="213"/>
      <c r="AU2376" s="213"/>
      <c r="AV2376" s="213"/>
      <c r="AW2376" s="213"/>
      <c r="AX2376" s="213"/>
      <c r="AY2376" s="213"/>
      <c r="AZ2376" s="213"/>
      <c r="BA2376" s="213"/>
      <c r="BB2376" s="213"/>
      <c r="BC2376" s="213"/>
      <c r="BD2376" s="213"/>
    </row>
    <row r="2377">
      <c r="A2377" s="213">
        <f>IFERROR(__xludf.DUMMYFUNCTION("""COMPUTED_VALUE"""),1861.0)</f>
        <v>1861</v>
      </c>
      <c r="B2377" s="213" t="str">
        <f>IFERROR(__xludf.DUMMYFUNCTION("""COMPUTED_VALUE"""),"GUILLERMO E. BILLINGHURST ")</f>
        <v>GUILLERMO E. BILLINGHURST </v>
      </c>
      <c r="C2377" s="213" t="str">
        <f>IFERROR(__xludf.DUMMYFUNCTION("""COMPUTED_VALUE"""),"TALLER SFT DE EBANISTERÍA")</f>
        <v>TALLER SFT DE EBANISTERÍA</v>
      </c>
      <c r="D2377" s="213" t="str">
        <f>IFERROR(__xludf.DUMMYFUNCTION("""COMPUTED_VALUE"""),"EQUIPOS")</f>
        <v>EQUIPOS</v>
      </c>
      <c r="E2377" s="213" t="str">
        <f>IFERROR(__xludf.DUMMYFUNCTION("""COMPUTED_VALUE"""),"ESP-355")</f>
        <v>ESP-355</v>
      </c>
      <c r="F2377" s="213" t="str">
        <f>IFERROR(__xludf.DUMMYFUNCTION("""COMPUTED_VALUE"""),"ESP-355")</f>
        <v>ESP-355</v>
      </c>
      <c r="G2377" s="213"/>
      <c r="H2377" s="213" t="str">
        <f>IFERROR(__xludf.DUMMYFUNCTION("""COMPUTED_VALUE"""),"TALADRO DE COLUMNA DE MESA")</f>
        <v>TALADRO DE COLUMNA DE MESA</v>
      </c>
      <c r="I2377" s="213" t="str">
        <f>IFERROR(__xludf.DUMMYFUNCTION("""COMPUTED_VALUE"""),"· Taladro de columna con porta brocas.
· Funcionamiento suave con poleas de aluminio y faja dentada para una mejor transmisión de fuerzas.
· Husillo con rodamientos de bolas de precisión.
· Cono morse MT3.
· Diámetro máximo de taladro: 25 mm.
· Interrupto"&amp;"r de seguridad en la tapa de poleas, parada de emergencia independiente.
· Mesa de trabajo con ranuras en T (transversales), inclinable de + 45° (grados) y orientable 360° (grados).
· Altura de la mesa regulable mediante mecanismo de cremallera.
· Altura "&amp;"del taladro: entre 1550 mm - 1650 mm.
· Potencia: entre 550 - 750 W.
· Revoluciones del husillo: entre 200 - 2440 rpm.
· Voltaje, frecuencia: 220 V, 60 Hz.
· Tornillo de banco para la mesa de trabajo del taladro, con mínimo ancho de mandíbula de 100 mm.
·"&amp;" Incluye: juego de brocas HSS de tres puntas mínimo 14 unidades, (diámetros: 3 mm, 4 mm, 5 mm, 6 mm, 7 mm, 8 mm, 9 mm, 10 mm, 11 mm, 12 mm, 13 mm, 14 mm, 15 mm, 16 mm).
· Incluye: juego de brocas de titanio de mínimo 25 unidades de brocas para metal, de d"&amp;"iámetros entre 1 mm a 13 mm, y 6 und de brocas para metal, entre: 14 mm a 25 mm de diámetro.
·  Medidas aproximadas ( +- 8 cm) L70 cm x A40 cm x H155 cm")</f>
        <v>· Taladro de columna con porta brocas.
· Funcionamiento suave con poleas de aluminio y faja dentada para una mejor transmisión de fuerzas.
· Husillo con rodamientos de bolas de precisión.
· Cono morse MT3.
· Diámetro máximo de taladro: 25 mm.
· Interruptor de seguridad en la tapa de poleas, parada de emergencia independiente.
· Mesa de trabajo con ranuras en T (transversales), inclinable de + 45° (grados) y orientable 360° (grados).
· Altura de la mesa regulable mediante mecanismo de cremallera.
· Altura del taladro: entre 1550 mm - 1650 mm.
· Potencia: entre 550 - 750 W.
· Revoluciones del husillo: entre 200 - 2440 rpm.
· Voltaje, frecuencia: 220 V, 60 Hz.
· Tornillo de banco para la mesa de trabajo del taladro, con mínimo ancho de mandíbula de 100 mm.
· Incluye: juego de brocas HSS de tres puntas mínimo 14 unidades, (diámetros: 3 mm, 4 mm, 5 mm, 6 mm, 7 mm, 8 mm, 9 mm, 10 mm, 11 mm, 12 mm, 13 mm, 14 mm, 15 mm, 16 mm).
· Incluye: juego de brocas de titanio de mínimo 25 unidades de brocas para metal, de diámetros entre 1 mm a 13 mm, y 6 und de brocas para metal, entre: 14 mm a 25 mm de diámetro.
·  Medidas aproximadas ( +- 8 cm) L70 cm x A40 cm x H155 cm</v>
      </c>
      <c r="J2377" s="213">
        <f>IFERROR(__xludf.DUMMYFUNCTION("""COMPUTED_VALUE"""),3.0)</f>
        <v>3</v>
      </c>
      <c r="K2377" s="213" t="str">
        <f>IFERROR(__xludf.DUMMYFUNCTION("""COMPUTED_VALUE"""),"170 DÍAS CALENDARIO")</f>
        <v>170 DÍAS CALENDARIO</v>
      </c>
      <c r="L2377" s="213" t="str">
        <f>IFERROR(__xludf.DUMMYFUNCTION("""COMPUTED_VALUE"""),"")</f>
        <v/>
      </c>
      <c r="M2377" s="213">
        <f>IFERROR(__xludf.DUMMYFUNCTION("""COMPUTED_VALUE"""),1.0)</f>
        <v>1</v>
      </c>
      <c r="N2377" s="213">
        <f>IFERROR(__xludf.DUMMYFUNCTION("""COMPUTED_VALUE"""),1.0)</f>
        <v>1</v>
      </c>
      <c r="O2377" s="213">
        <f>IFERROR(__xludf.DUMMYFUNCTION("""COMPUTED_VALUE"""),1.0)</f>
        <v>1</v>
      </c>
      <c r="P2377" s="213"/>
      <c r="Q2377" s="213"/>
      <c r="R2377" s="213"/>
      <c r="S2377" s="213" t="str">
        <f>IFERROR(__xludf.DUMMYFUNCTION("""COMPUTED_VALUE"""),"SI")</f>
        <v>SI</v>
      </c>
      <c r="T2377" s="213" t="str">
        <f>IFERROR(__xludf.DUMMYFUNCTION("""COMPUTED_VALUE"""),"SI")</f>
        <v>SI</v>
      </c>
      <c r="U2377" s="213" t="str">
        <f>IFERROR(__xludf.DUMMYFUNCTION("""COMPUTED_VALUE"""),"NO")</f>
        <v>NO</v>
      </c>
      <c r="V2377" s="213" t="str">
        <f>IFERROR(__xludf.DUMMYFUNCTION("""COMPUTED_VALUE"""),"SUSTENTO")</f>
        <v>SUSTENTO</v>
      </c>
      <c r="W2377" s="213" t="str">
        <f>IFERROR(__xludf.DUMMYFUNCTION("""COMPUTED_VALUE"""),"ELÉCTRICO")</f>
        <v>ELÉCTRICO</v>
      </c>
      <c r="X2377" s="213" t="str">
        <f>IFERROR(__xludf.DUMMYFUNCTION("""COMPUTED_VALUE"""),"OPTIMUM")</f>
        <v>OPTIMUM</v>
      </c>
      <c r="Y2377" s="213" t="str">
        <f>IFERROR(__xludf.DUMMYFUNCTION("""COMPUTED_VALUE"""),"OPTIDRILL D 26 PRO - 230V 1 HP")</f>
        <v>OPTIDRILL D 26 PRO - 230V 1 HP</v>
      </c>
      <c r="Z2377" s="215" t="str">
        <f>IFERROR(__xludf.DUMMYFUNCTION("""COMPUTED_VALUE"""),"https://www.aslak.es/herramientas-electricas/taladro-de-columna-optidrill-d-26pro-230v-1ph-optidrill-d-26pro-230v-1ph.html")</f>
        <v>https://www.aslak.es/herramientas-electricas/taladro-de-columna-optidrill-d-26pro-230v-1ph-optidrill-d-26pro-230v-1ph.html</v>
      </c>
      <c r="AA2377" s="213" t="str">
        <f>IFERROR(__xludf.DUMMYFUNCTION("""COMPUTED_VALUE"""),"ESP-355 TALADRO DE COLUMNA DE MESA - CET")</f>
        <v>ESP-355 TALADRO DE COLUMNA DE MESA - CET</v>
      </c>
      <c r="AB2377" s="215" t="str">
        <f>IFERROR(__xludf.DUMMYFUNCTION("""COMPUTED_VALUE"""),"https://drive.google.com/file/d/1MvFccfT2p_bbZqqiJ2u_YDl780oYqo_n/view?usp=drive_link")</f>
        <v>https://drive.google.com/file/d/1MvFccfT2p_bbZqqiJ2u_YDl780oYqo_n/view?usp=drive_link</v>
      </c>
      <c r="AC2377" s="213"/>
      <c r="AD2377" s="213"/>
      <c r="AE2377" s="213"/>
      <c r="AF2377" s="213"/>
      <c r="AG2377" s="213"/>
      <c r="AH2377" s="213"/>
      <c r="AI2377" s="213"/>
      <c r="AJ2377" s="213"/>
      <c r="AK2377" s="213"/>
      <c r="AL2377" s="213"/>
      <c r="AM2377" s="213"/>
      <c r="AN2377" s="213"/>
      <c r="AO2377" s="213"/>
      <c r="AP2377" s="213" t="str">
        <f>IFERROR(__xludf.DUMMYFUNCTION("""COMPUTED_VALUE"""),"MICHEL")</f>
        <v>MICHEL</v>
      </c>
      <c r="AQ2377" s="213" t="str">
        <f>IFERROR(__xludf.DUMMYFUNCTION("""COMPUTED_VALUE"""),"Considerar la compra de los accesorios solicitados")</f>
        <v>Considerar la compra de los accesorios solicitados</v>
      </c>
      <c r="AR2377" s="213"/>
      <c r="AS2377" s="213" t="str">
        <f>IFERROR(__xludf.DUMMYFUNCTION("""COMPUTED_VALUE"""),"· Tornillo de banco para la mesa de trabajo del taladro, con mínimo ancho de mandíbula de 100 mm.
· Incluye: juego de brocas HSS de tres puntas mínimo 14 unidades, (diámetros: 3 mm, 4 mm, 5 mm, 6 mm, 7 mm, 8 mm, 9 mm, 10 mm, 11 mm, 12 mm, 13 mm, 14 mm, 15"&amp;" mm, 16 mm).
· Incluye: juego de brocas de titanio de mínimo 25 unidades de brocas para metal, de diámetros entre 1 mm a 13 mm
6 und de brocas para metal, entre: 14 mm a 25 mm de diámetro.")</f>
        <v>· Tornillo de banco para la mesa de trabajo del taladro, con mínimo ancho de mandíbula de 100 mm.
· Incluye: juego de brocas HSS de tres puntas mínimo 14 unidades, (diámetros: 3 mm, 4 mm, 5 mm, 6 mm, 7 mm, 8 mm, 9 mm, 10 mm, 11 mm, 12 mm, 13 mm, 14 mm, 15 mm, 16 mm).
· Incluye: juego de brocas de titanio de mínimo 25 unidades de brocas para metal, de diámetros entre 1 mm a 13 mm
6 und de brocas para metal, entre: 14 mm a 25 mm de diámetro.</v>
      </c>
      <c r="AT2377" s="213" t="str">
        <f>IFERROR(__xludf.DUMMYFUNCTION("""COMPUTED_VALUE"""),"5 in: https://www.amazon.com/-/es/diapositiva-cruzada-tornillo-compuesto-pulgadas/dp/B00L5RZ6MO/ref=sr_1_6
""1 - 13 mm: https://www.amazon.com/1mm-10mm-Titanium-High-Speed-Woodworking-Engraving/dp/B0B2DNZ5CQ?th=1
+
14 mm: https://rodavigo.net/es/p/broca-e"&amp;"n-espiral-para-madera-estandar-diametro-14-mm-longitud-de-trabajo-95-mm-ref-bosch-2-608-596-311/5282608596311
+
15 mm: https://rodavigo.net/es/p/broca-en-espiral-para-madera-estandar-diametro-15-mm-longitud-de-trabajo-100-mm-ref-bosch-2-608-596-312/528260"&amp;"8596312
+
16 mm: https://rodavigo.net/es/p/broca-en-espiral-para-madera-estandar-diametro-16-mm-longitud-de-trabajo-105-mm-ref-bosch-2-608-596-313/5282608596313""
""Titanio: https://www.aslak.es/herramientas-electricas/748182500-jgo-brocas-titanio-mwbt25-"&amp;"25piezas-jgo-brocas-titanio-25-piezas.html
""
""Metal (4 uds): https://www.amazon.es/BGS-8986-brocas-Juego-piezas/dp/B01FQPLODU?th=1
+
Metal (3 uds): https://www.amazon.es/BGS-8986-brocas-Juego-piezas/dp/B01FQPLQQA?th=1""")</f>
        <v>5 in: https://www.amazon.com/-/es/diapositiva-cruzada-tornillo-compuesto-pulgadas/dp/B00L5RZ6MO/ref=sr_1_6
"1 - 13 mm: https://www.amazon.com/1mm-10mm-Titanium-High-Speed-Woodworking-Engraving/dp/B0B2DNZ5CQ?th=1
+
14 mm: https://rodavigo.net/es/p/broca-en-espiral-para-madera-estandar-diametro-14-mm-longitud-de-trabajo-95-mm-ref-bosch-2-608-596-311/5282608596311
+
15 mm: https://rodavigo.net/es/p/broca-en-espiral-para-madera-estandar-diametro-15-mm-longitud-de-trabajo-100-mm-ref-bosch-2-608-596-312/5282608596312
+
16 mm: https://rodavigo.net/es/p/broca-en-espiral-para-madera-estandar-diametro-16-mm-longitud-de-trabajo-105-mm-ref-bosch-2-608-596-313/5282608596313"
"Titanio: https://www.aslak.es/herramientas-electricas/748182500-jgo-brocas-titanio-mwbt25-25piezas-jgo-brocas-titanio-25-piezas.html
"
"Metal (4 uds): https://www.amazon.es/BGS-8986-brocas-Juego-piezas/dp/B01FQPLODU?th=1
+
Metal (3 uds): https://www.amazon.es/BGS-8986-brocas-Juego-piezas/dp/B01FQPLQQA?th=1"</v>
      </c>
      <c r="AU2377" s="213"/>
      <c r="AV2377" s="213"/>
      <c r="AW2377" s="213"/>
      <c r="AX2377" s="213"/>
      <c r="AY2377" s="213"/>
      <c r="AZ2377" s="213"/>
      <c r="BA2377" s="213"/>
      <c r="BB2377" s="213"/>
      <c r="BC2377" s="213"/>
      <c r="BD2377" s="213"/>
    </row>
    <row r="2378">
      <c r="A2378" s="213">
        <f>IFERROR(__xludf.DUMMYFUNCTION("""COMPUTED_VALUE"""),2642.0)</f>
        <v>2642</v>
      </c>
      <c r="B2378" s="213" t="str">
        <f>IFERROR(__xludf.DUMMYFUNCTION("""COMPUTED_VALUE"""),"MANUEL ANTONIO MESONES MURO")</f>
        <v>MANUEL ANTONIO MESONES MURO</v>
      </c>
      <c r="C2378" s="213" t="str">
        <f>IFERROR(__xludf.DUMMYFUNCTION("""COMPUTED_VALUE"""),"TALLER SFT DE EBANISTERÍA")</f>
        <v>TALLER SFT DE EBANISTERÍA</v>
      </c>
      <c r="D2378" s="213" t="str">
        <f>IFERROR(__xludf.DUMMYFUNCTION("""COMPUTED_VALUE"""),"EQUIPOS")</f>
        <v>EQUIPOS</v>
      </c>
      <c r="E2378" s="213" t="str">
        <f>IFERROR(__xludf.DUMMYFUNCTION("""COMPUTED_VALUE"""),"ESP-355")</f>
        <v>ESP-355</v>
      </c>
      <c r="F2378" s="213" t="str">
        <f>IFERROR(__xludf.DUMMYFUNCTION("""COMPUTED_VALUE"""),"ESP-355")</f>
        <v>ESP-355</v>
      </c>
      <c r="G2378" s="213"/>
      <c r="H2378" s="213" t="str">
        <f>IFERROR(__xludf.DUMMYFUNCTION("""COMPUTED_VALUE"""),"TALADRO DE COLUMNA DE MESA")</f>
        <v>TALADRO DE COLUMNA DE MESA</v>
      </c>
      <c r="I2378" s="213" t="str">
        <f>IFERROR(__xludf.DUMMYFUNCTION("""COMPUTED_VALUE"""),"· Taladro de columna con porta brocas.
· Funcionamiento suave con poleas de aluminio y faja dentada para una mejor transmisión de fuerzas.
· Husillo con rodamientos de bolas de precisión.
· Cono morse MT3.
· Diámetro máximo de taladro: 25 mm.
· Interrupto"&amp;"r de seguridad en la tapa de poleas, parada de emergencia independiente.
· Mesa de trabajo con ranuras en T (transversales), inclinable de + 45° (grados) y orientable 360° (grados).
· Altura de la mesa regulable mediante mecanismo de cremallera.
· Altura "&amp;"del taladro: entre 1550 mm - 1650 mm.
· Potencia: entre 550 - 750 W.
· Revoluciones del husillo: entre 200 - 2440 rpm.
· Voltaje, frecuencia: 220 V, 60 Hz.
· Tornillo de banco para la mesa de trabajo del taladro, con mínimo ancho de mandíbula de 100 mm.
·"&amp;" Incluye: juego de brocas HSS de tres puntas mínimo 14 unidades, (diámetros: 3 mm, 4 mm, 5 mm, 6 mm, 7 mm, 8 mm, 9 mm, 10 mm, 11 mm, 12 mm, 13 mm, 14 mm, 15 mm, 16 mm).
· Incluye: juego de brocas de titanio de mínimo 25 unidades de brocas para metal, de d"&amp;"iámetros entre 1 mm a 13 mm, y 6 und de brocas para metal, entre: 14 mm a 25 mm de diámetro.
·  Medidas aproximadas ( +- 8 cm) L70 cm x A40 cm x H155 cm")</f>
        <v>· Taladro de columna con porta brocas.
· Funcionamiento suave con poleas de aluminio y faja dentada para una mejor transmisión de fuerzas.
· Husillo con rodamientos de bolas de precisión.
· Cono morse MT3.
· Diámetro máximo de taladro: 25 mm.
· Interruptor de seguridad en la tapa de poleas, parada de emergencia independiente.
· Mesa de trabajo con ranuras en T (transversales), inclinable de + 45° (grados) y orientable 360° (grados).
· Altura de la mesa regulable mediante mecanismo de cremallera.
· Altura del taladro: entre 1550 mm - 1650 mm.
· Potencia: entre 550 - 750 W.
· Revoluciones del husillo: entre 200 - 2440 rpm.
· Voltaje, frecuencia: 220 V, 60 Hz.
· Tornillo de banco para la mesa de trabajo del taladro, con mínimo ancho de mandíbula de 100 mm.
· Incluye: juego de brocas HSS de tres puntas mínimo 14 unidades, (diámetros: 3 mm, 4 mm, 5 mm, 6 mm, 7 mm, 8 mm, 9 mm, 10 mm, 11 mm, 12 mm, 13 mm, 14 mm, 15 mm, 16 mm).
· Incluye: juego de brocas de titanio de mínimo 25 unidades de brocas para metal, de diámetros entre 1 mm a 13 mm, y 6 und de brocas para metal, entre: 14 mm a 25 mm de diámetro.
·  Medidas aproximadas ( +- 8 cm) L70 cm x A40 cm x H155 cm</v>
      </c>
      <c r="J2378" s="213">
        <f>IFERROR(__xludf.DUMMYFUNCTION("""COMPUTED_VALUE"""),3.0)</f>
        <v>3</v>
      </c>
      <c r="K2378" s="213" t="str">
        <f>IFERROR(__xludf.DUMMYFUNCTION("""COMPUTED_VALUE"""),"170 DÍAS CALENDARIO")</f>
        <v>170 DÍAS CALENDARIO</v>
      </c>
      <c r="L2378" s="213" t="str">
        <f>IFERROR(__xludf.DUMMYFUNCTION("""COMPUTED_VALUE"""),"")</f>
        <v/>
      </c>
      <c r="M2378" s="213">
        <f>IFERROR(__xludf.DUMMYFUNCTION("""COMPUTED_VALUE"""),1.0)</f>
        <v>1</v>
      </c>
      <c r="N2378" s="213">
        <f>IFERROR(__xludf.DUMMYFUNCTION("""COMPUTED_VALUE"""),1.0)</f>
        <v>1</v>
      </c>
      <c r="O2378" s="213">
        <f>IFERROR(__xludf.DUMMYFUNCTION("""COMPUTED_VALUE"""),1.0)</f>
        <v>1</v>
      </c>
      <c r="P2378" s="213"/>
      <c r="Q2378" s="213"/>
      <c r="R2378" s="213"/>
      <c r="S2378" s="213" t="str">
        <f>IFERROR(__xludf.DUMMYFUNCTION("""COMPUTED_VALUE"""),"SI")</f>
        <v>SI</v>
      </c>
      <c r="T2378" s="213" t="str">
        <f>IFERROR(__xludf.DUMMYFUNCTION("""COMPUTED_VALUE"""),"SI")</f>
        <v>SI</v>
      </c>
      <c r="U2378" s="213" t="str">
        <f>IFERROR(__xludf.DUMMYFUNCTION("""COMPUTED_VALUE"""),"NO")</f>
        <v>NO</v>
      </c>
      <c r="V2378" s="213" t="str">
        <f>IFERROR(__xludf.DUMMYFUNCTION("""COMPUTED_VALUE"""),"SUSTENTO")</f>
        <v>SUSTENTO</v>
      </c>
      <c r="W2378" s="213" t="str">
        <f>IFERROR(__xludf.DUMMYFUNCTION("""COMPUTED_VALUE"""),"ELÉCTRICO")</f>
        <v>ELÉCTRICO</v>
      </c>
      <c r="X2378" s="213" t="str">
        <f>IFERROR(__xludf.DUMMYFUNCTION("""COMPUTED_VALUE"""),"OPTIMUM")</f>
        <v>OPTIMUM</v>
      </c>
      <c r="Y2378" s="213" t="str">
        <f>IFERROR(__xludf.DUMMYFUNCTION("""COMPUTED_VALUE"""),"OPTIDRILL D 26 PRO - 230V 1 HP")</f>
        <v>OPTIDRILL D 26 PRO - 230V 1 HP</v>
      </c>
      <c r="Z2378" s="215" t="str">
        <f>IFERROR(__xludf.DUMMYFUNCTION("""COMPUTED_VALUE"""),"https://www.aslak.es/herramientas-electricas/taladro-de-columna-optidrill-d-26pro-230v-1ph-optidrill-d-26pro-230v-1ph.html")</f>
        <v>https://www.aslak.es/herramientas-electricas/taladro-de-columna-optidrill-d-26pro-230v-1ph-optidrill-d-26pro-230v-1ph.html</v>
      </c>
      <c r="AA2378" s="213" t="str">
        <f>IFERROR(__xludf.DUMMYFUNCTION("""COMPUTED_VALUE"""),"ESP-355 TALADRO DE COLUMNA DE MESA - CET")</f>
        <v>ESP-355 TALADRO DE COLUMNA DE MESA - CET</v>
      </c>
      <c r="AB2378" s="215" t="str">
        <f>IFERROR(__xludf.DUMMYFUNCTION("""COMPUTED_VALUE"""),"https://drive.google.com/file/d/1MvFccfT2p_bbZqqiJ2u_YDl780oYqo_n/view?usp=drive_link")</f>
        <v>https://drive.google.com/file/d/1MvFccfT2p_bbZqqiJ2u_YDl780oYqo_n/view?usp=drive_link</v>
      </c>
      <c r="AC2378" s="213"/>
      <c r="AD2378" s="213"/>
      <c r="AE2378" s="213"/>
      <c r="AF2378" s="213"/>
      <c r="AG2378" s="213"/>
      <c r="AH2378" s="213"/>
      <c r="AI2378" s="213"/>
      <c r="AJ2378" s="213"/>
      <c r="AK2378" s="213"/>
      <c r="AL2378" s="213"/>
      <c r="AM2378" s="213"/>
      <c r="AN2378" s="213"/>
      <c r="AO2378" s="213"/>
      <c r="AP2378" s="213" t="str">
        <f>IFERROR(__xludf.DUMMYFUNCTION("""COMPUTED_VALUE"""),"MICHEL")</f>
        <v>MICHEL</v>
      </c>
      <c r="AQ2378" s="213" t="str">
        <f>IFERROR(__xludf.DUMMYFUNCTION("""COMPUTED_VALUE"""),"Considerar la compra de los accesorios solicitados")</f>
        <v>Considerar la compra de los accesorios solicitados</v>
      </c>
      <c r="AR2378" s="213"/>
      <c r="AS2378" s="213" t="str">
        <f>IFERROR(__xludf.DUMMYFUNCTION("""COMPUTED_VALUE"""),"· Tornillo de banco para la mesa de trabajo del taladro, con mínimo ancho de mandíbula de 100 mm.
· Incluye: juego de brocas HSS de tres puntas mínimo 14 unidades, (diámetros: 3 mm, 4 mm, 5 mm, 6 mm, 7 mm, 8 mm, 9 mm, 10 mm, 11 mm, 12 mm, 13 mm, 14 mm, 15"&amp;" mm, 16 mm).
· Incluye: juego de brocas de titanio de mínimo 25 unidades de brocas para metal, de diámetros entre 1 mm a 13 mm
6 und de brocas para metal, entre: 14 mm a 25 mm de diámetro.")</f>
        <v>· Tornillo de banco para la mesa de trabajo del taladro, con mínimo ancho de mandíbula de 100 mm.
· Incluye: juego de brocas HSS de tres puntas mínimo 14 unidades, (diámetros: 3 mm, 4 mm, 5 mm, 6 mm, 7 mm, 8 mm, 9 mm, 10 mm, 11 mm, 12 mm, 13 mm, 14 mm, 15 mm, 16 mm).
· Incluye: juego de brocas de titanio de mínimo 25 unidades de brocas para metal, de diámetros entre 1 mm a 13 mm
6 und de brocas para metal, entre: 14 mm a 25 mm de diámetro.</v>
      </c>
      <c r="AT2378" s="213" t="str">
        <f>IFERROR(__xludf.DUMMYFUNCTION("""COMPUTED_VALUE"""),"5 in: https://www.amazon.com/-/es/diapositiva-cruzada-tornillo-compuesto-pulgadas/dp/B00L5RZ6MO/ref=sr_1_6
""1 - 13 mm: https://www.amazon.com/1mm-10mm-Titanium-High-Speed-Woodworking-Engraving/dp/B0B2DNZ5CQ?th=1
+
14 mm: https://rodavigo.net/es/p/broca-e"&amp;"n-espiral-para-madera-estandar-diametro-14-mm-longitud-de-trabajo-95-mm-ref-bosch-2-608-596-311/5282608596311
+
15 mm: https://rodavigo.net/es/p/broca-en-espiral-para-madera-estandar-diametro-15-mm-longitud-de-trabajo-100-mm-ref-bosch-2-608-596-312/528260"&amp;"8596312
+
16 mm: https://rodavigo.net/es/p/broca-en-espiral-para-madera-estandar-diametro-16-mm-longitud-de-trabajo-105-mm-ref-bosch-2-608-596-313/5282608596313""
""Titanio: https://www.aslak.es/herramientas-electricas/748182500-jgo-brocas-titanio-mwbt25-"&amp;"25piezas-jgo-brocas-titanio-25-piezas.html
""
""Metal (4 uds): https://www.amazon.es/BGS-8986-brocas-Juego-piezas/dp/B01FQPLODU?th=1
+
Metal (3 uds): https://www.amazon.es/BGS-8986-brocas-Juego-piezas/dp/B01FQPLQQA?th=1""")</f>
        <v>5 in: https://www.amazon.com/-/es/diapositiva-cruzada-tornillo-compuesto-pulgadas/dp/B00L5RZ6MO/ref=sr_1_6
"1 - 13 mm: https://www.amazon.com/1mm-10mm-Titanium-High-Speed-Woodworking-Engraving/dp/B0B2DNZ5CQ?th=1
+
14 mm: https://rodavigo.net/es/p/broca-en-espiral-para-madera-estandar-diametro-14-mm-longitud-de-trabajo-95-mm-ref-bosch-2-608-596-311/5282608596311
+
15 mm: https://rodavigo.net/es/p/broca-en-espiral-para-madera-estandar-diametro-15-mm-longitud-de-trabajo-100-mm-ref-bosch-2-608-596-312/5282608596312
+
16 mm: https://rodavigo.net/es/p/broca-en-espiral-para-madera-estandar-diametro-16-mm-longitud-de-trabajo-105-mm-ref-bosch-2-608-596-313/5282608596313"
"Titanio: https://www.aslak.es/herramientas-electricas/748182500-jgo-brocas-titanio-mwbt25-25piezas-jgo-brocas-titanio-25-piezas.html
"
"Metal (4 uds): https://www.amazon.es/BGS-8986-brocas-Juego-piezas/dp/B01FQPLODU?th=1
+
Metal (3 uds): https://www.amazon.es/BGS-8986-brocas-Juego-piezas/dp/B01FQPLQQA?th=1"</v>
      </c>
      <c r="AU2378" s="213"/>
      <c r="AV2378" s="213"/>
      <c r="AW2378" s="213"/>
      <c r="AX2378" s="213"/>
      <c r="AY2378" s="213"/>
      <c r="AZ2378" s="213"/>
      <c r="BA2378" s="213"/>
      <c r="BB2378" s="213"/>
      <c r="BC2378" s="213"/>
      <c r="BD2378" s="213"/>
    </row>
    <row r="2379">
      <c r="A2379" s="213">
        <f>IFERROR(__xludf.DUMMYFUNCTION("""COMPUTED_VALUE"""),1862.0)</f>
        <v>1862</v>
      </c>
      <c r="B2379" s="213" t="str">
        <f>IFERROR(__xludf.DUMMYFUNCTION("""COMPUTED_VALUE"""),"GUILLERMO E. BILLINGHURST ")</f>
        <v>GUILLERMO E. BILLINGHURST </v>
      </c>
      <c r="C2379" s="213" t="str">
        <f>IFERROR(__xludf.DUMMYFUNCTION("""COMPUTED_VALUE"""),"TALLER SFT DE EBANISTERÍA")</f>
        <v>TALLER SFT DE EBANISTERÍA</v>
      </c>
      <c r="D2379" s="213" t="str">
        <f>IFERROR(__xludf.DUMMYFUNCTION("""COMPUTED_VALUE"""),"EQUIPOS")</f>
        <v>EQUIPOS</v>
      </c>
      <c r="E2379" s="213" t="str">
        <f>IFERROR(__xludf.DUMMYFUNCTION("""COMPUTED_VALUE"""),"ESP-356")</f>
        <v>ESP-356</v>
      </c>
      <c r="F2379" s="213" t="str">
        <f>IFERROR(__xludf.DUMMYFUNCTION("""COMPUTED_VALUE"""),"ESP-356")</f>
        <v>ESP-356</v>
      </c>
      <c r="G2379" s="213"/>
      <c r="H2379" s="213" t="str">
        <f>IFERROR(__xludf.DUMMYFUNCTION("""COMPUTED_VALUE"""),"TALADRO HORIZONTAL / ESCOPLEADORA")</f>
        <v>TALADRO HORIZONTAL / ESCOPLEADORA</v>
      </c>
      <c r="I2379" s="213" t="str">
        <f>IFERROR(__xludf.DUMMYFUNCTION("""COMPUTED_VALUE"""),"· Facilidad de movimiento en la mesa operada por palancas.
· Ajuste manual de la altura de la tabla.
· Disponibilidad de diferentes posiciones de la mesa.
· Capacidad del portabrocas: entre 0 - 16 mm.
· Recorrido vertical de la mesa: mínimo 140 mm.
· Reco"&amp;"rrido longitudinal de la mesa: mínimo 250 mm.
· Recorrido transversal de la mesa (profundidad): mínimo 140 mm.
· Medidas de la mesa: mínimo 500 mm x 210 mm.
· Velocidad de rotación: mínimo 2800 rpm.
· Potencia del motor minimo: 3 hp (2,2 kW).
· Voltaje, f"&amp;"recuencia: 220 V, 60 Hz.
· Incluye: Juego de 6 brocas de orificio largo, diámetros entre: 6 - 16 mm.
· Medidas aproximadas (+- 5cm):  L90 cm x A60  cm x H75 cm")</f>
        <v>· Facilidad de movimiento en la mesa operada por palancas.
· Ajuste manual de la altura de la tabla.
· Disponibilidad de diferentes posiciones de la mesa.
· Capacidad del portabrocas: entre 0 - 16 mm.
· Recorrido vertical de la mesa: mínimo 140 mm.
· Recorrido longitudinal de la mesa: mínimo 250 mm.
· Recorrido transversal de la mesa (profundidad): mínimo 140 mm.
· Medidas de la mesa: mínimo 500 mm x 210 mm.
· Velocidad de rotación: mínimo 2800 rpm.
· Potencia del motor minimo: 3 hp (2,2 kW).
· Voltaje, frecuencia: 220 V, 60 Hz.
· Incluye: Juego de 6 brocas de orificio largo, diámetros entre: 6 - 16 mm.
· Medidas aproximadas (+- 5cm):  L90 cm x A60  cm x H75 cm</v>
      </c>
      <c r="J2379" s="213">
        <f>IFERROR(__xludf.DUMMYFUNCTION("""COMPUTED_VALUE"""),3.0)</f>
        <v>3</v>
      </c>
      <c r="K2379" s="213" t="str">
        <f>IFERROR(__xludf.DUMMYFUNCTION("""COMPUTED_VALUE"""),"170 DÍAS CALENDARIO")</f>
        <v>170 DÍAS CALENDARIO</v>
      </c>
      <c r="L2379" s="213" t="str">
        <f>IFERROR(__xludf.DUMMYFUNCTION("""COMPUTED_VALUE"""),"")</f>
        <v/>
      </c>
      <c r="M2379" s="213">
        <f>IFERROR(__xludf.DUMMYFUNCTION("""COMPUTED_VALUE"""),1.0)</f>
        <v>1</v>
      </c>
      <c r="N2379" s="213">
        <f>IFERROR(__xludf.DUMMYFUNCTION("""COMPUTED_VALUE"""),1.0)</f>
        <v>1</v>
      </c>
      <c r="O2379" s="213">
        <f>IFERROR(__xludf.DUMMYFUNCTION("""COMPUTED_VALUE"""),1.0)</f>
        <v>1</v>
      </c>
      <c r="P2379" s="213"/>
      <c r="Q2379" s="213"/>
      <c r="R2379" s="213"/>
      <c r="S2379" s="213" t="str">
        <f>IFERROR(__xludf.DUMMYFUNCTION("""COMPUTED_VALUE"""),"SI")</f>
        <v>SI</v>
      </c>
      <c r="T2379" s="213" t="str">
        <f>IFERROR(__xludf.DUMMYFUNCTION("""COMPUTED_VALUE"""),"SI")</f>
        <v>SI</v>
      </c>
      <c r="U2379" s="213" t="str">
        <f>IFERROR(__xludf.DUMMYFUNCTION("""COMPUTED_VALUE"""),"NO")</f>
        <v>NO</v>
      </c>
      <c r="V2379" s="213" t="str">
        <f>IFERROR(__xludf.DUMMYFUNCTION("""COMPUTED_VALUE"""),"SUSTENTO")</f>
        <v>SUSTENTO</v>
      </c>
      <c r="W2379" s="213" t="str">
        <f>IFERROR(__xludf.DUMMYFUNCTION("""COMPUTED_VALUE"""),"DIMENSIONAL, ELÉCTRICO")</f>
        <v>DIMENSIONAL, ELÉCTRICO</v>
      </c>
      <c r="X2379" s="213" t="str">
        <f>IFERROR(__xludf.DUMMYFUNCTION("""COMPUTED_VALUE"""),"HOLZMANN")</f>
        <v>HOLZMANN</v>
      </c>
      <c r="Y2379" s="213" t="str">
        <f>IFERROR(__xludf.DUMMYFUNCTION("""COMPUTED_VALUE"""),"LBM290_230V")</f>
        <v>LBM290_230V</v>
      </c>
      <c r="Z2379" s="215" t="str">
        <f>IFERROR(__xludf.DUMMYFUNCTION("""COMPUTED_VALUE"""),"https://www.holzmann-maschinen.at/ES/Mortajadora-horizontal-845")</f>
        <v>https://www.holzmann-maschinen.at/ES/Mortajadora-horizontal-845</v>
      </c>
      <c r="AA2379" s="213" t="str">
        <f>IFERROR(__xludf.DUMMYFUNCTION("""COMPUTED_VALUE"""),"ESP-356 TALADRO HORIZONTAL / ESCOPLEADORA - CET")</f>
        <v>ESP-356 TALADRO HORIZONTAL / ESCOPLEADORA - CET</v>
      </c>
      <c r="AB2379" s="215" t="str">
        <f>IFERROR(__xludf.DUMMYFUNCTION("""COMPUTED_VALUE"""),"https://drive.google.com/file/d/123bWoMzkLzOyWfd2wXP8Vx5nNOwUUwBw/view?usp=sharing")</f>
        <v>https://drive.google.com/file/d/123bWoMzkLzOyWfd2wXP8Vx5nNOwUUwBw/view?usp=sharing</v>
      </c>
      <c r="AC2379" s="213"/>
      <c r="AD2379" s="213"/>
      <c r="AE2379" s="213"/>
      <c r="AF2379" s="213"/>
      <c r="AG2379" s="213"/>
      <c r="AH2379" s="213"/>
      <c r="AI2379" s="213"/>
      <c r="AJ2379" s="213"/>
      <c r="AK2379" s="213"/>
      <c r="AL2379" s="213"/>
      <c r="AM2379" s="213"/>
      <c r="AN2379" s="213"/>
      <c r="AO2379" s="213"/>
      <c r="AP2379" s="213" t="str">
        <f>IFERROR(__xludf.DUMMYFUNCTION("""COMPUTED_VALUE"""),"MICHEL")</f>
        <v>MICHEL</v>
      </c>
      <c r="AQ2379" s="213"/>
      <c r="AR2379" s="213"/>
      <c r="AS2379" s="213" t="str">
        <f>IFERROR(__xludf.DUMMYFUNCTION("""COMPUTED_VALUE"""),"Set de 6 brocas de 6 - 16 mm")</f>
        <v>Set de 6 brocas de 6 - 16 mm</v>
      </c>
      <c r="AT2379" s="216" t="str">
        <f>IFERROR(__xludf.DUMMYFUNCTION("""COMPUTED_VALUE"""),"https://www.maquinasyherramientasonline.com/set-de-brocas-mortajadora-holzmann-ll6tlgl-2/")</f>
        <v>https://www.maquinasyherramientasonline.com/set-de-brocas-mortajadora-holzmann-ll6tlgl-2/</v>
      </c>
      <c r="AU2379" s="213"/>
      <c r="AV2379" s="213"/>
      <c r="AW2379" s="213"/>
      <c r="AX2379" s="213"/>
      <c r="AY2379" s="213"/>
      <c r="AZ2379" s="213"/>
      <c r="BA2379" s="213"/>
      <c r="BB2379" s="213"/>
      <c r="BC2379" s="213"/>
      <c r="BD2379" s="213"/>
    </row>
    <row r="2380">
      <c r="A2380" s="213">
        <f>IFERROR(__xludf.DUMMYFUNCTION("""COMPUTED_VALUE"""),2643.0)</f>
        <v>2643</v>
      </c>
      <c r="B2380" s="213" t="str">
        <f>IFERROR(__xludf.DUMMYFUNCTION("""COMPUTED_VALUE"""),"MANUEL ANTONIO MESONES MURO")</f>
        <v>MANUEL ANTONIO MESONES MURO</v>
      </c>
      <c r="C2380" s="213" t="str">
        <f>IFERROR(__xludf.DUMMYFUNCTION("""COMPUTED_VALUE"""),"TALLER SFT DE EBANISTERÍA")</f>
        <v>TALLER SFT DE EBANISTERÍA</v>
      </c>
      <c r="D2380" s="213" t="str">
        <f>IFERROR(__xludf.DUMMYFUNCTION("""COMPUTED_VALUE"""),"EQUIPOS")</f>
        <v>EQUIPOS</v>
      </c>
      <c r="E2380" s="213" t="str">
        <f>IFERROR(__xludf.DUMMYFUNCTION("""COMPUTED_VALUE"""),"ESP-356")</f>
        <v>ESP-356</v>
      </c>
      <c r="F2380" s="213" t="str">
        <f>IFERROR(__xludf.DUMMYFUNCTION("""COMPUTED_VALUE"""),"ESP-356")</f>
        <v>ESP-356</v>
      </c>
      <c r="G2380" s="213"/>
      <c r="H2380" s="213" t="str">
        <f>IFERROR(__xludf.DUMMYFUNCTION("""COMPUTED_VALUE"""),"TALADRO HORIZONTAL / ESCOPLEADORA")</f>
        <v>TALADRO HORIZONTAL / ESCOPLEADORA</v>
      </c>
      <c r="I2380" s="213" t="str">
        <f>IFERROR(__xludf.DUMMYFUNCTION("""COMPUTED_VALUE"""),"· Facilidad de movimiento en la mesa operada por palancas.
· Ajuste manual de la altura de la tabla.
· Disponibilidad de diferentes posiciones de la mesa.
· Capacidad del portabrocas: entre 0 - 16 mm.
· Recorrido vertical de la mesa: mínimo 140 mm.
· Reco"&amp;"rrido longitudinal de la mesa: mínimo 250 mm.
· Recorrido transversal de la mesa (profundidad): mínimo 140 mm.
· Medidas de la mesa: mínimo 500 mm x 210 mm.
· Velocidad de rotación: mínimo 2800 rpm.
· Potencia del motor minimo: 3 hp (2,2 kW).
· Voltaje, f"&amp;"recuencia: 220 V, 60 Hz.
· Incluye: Juego de 6 brocas de orificio largo, diámetros entre: 6 - 16 mm.
· Medidas aproximadas (+- 5cm):  L90 cm x A60  cm x H75 cm")</f>
        <v>· Facilidad de movimiento en la mesa operada por palancas.
· Ajuste manual de la altura de la tabla.
· Disponibilidad de diferentes posiciones de la mesa.
· Capacidad del portabrocas: entre 0 - 16 mm.
· Recorrido vertical de la mesa: mínimo 140 mm.
· Recorrido longitudinal de la mesa: mínimo 250 mm.
· Recorrido transversal de la mesa (profundidad): mínimo 140 mm.
· Medidas de la mesa: mínimo 500 mm x 210 mm.
· Velocidad de rotación: mínimo 2800 rpm.
· Potencia del motor minimo: 3 hp (2,2 kW).
· Voltaje, frecuencia: 220 V, 60 Hz.
· Incluye: Juego de 6 brocas de orificio largo, diámetros entre: 6 - 16 mm.
· Medidas aproximadas (+- 5cm):  L90 cm x A60  cm x H75 cm</v>
      </c>
      <c r="J2380" s="213">
        <f>IFERROR(__xludf.DUMMYFUNCTION("""COMPUTED_VALUE"""),3.0)</f>
        <v>3</v>
      </c>
      <c r="K2380" s="213" t="str">
        <f>IFERROR(__xludf.DUMMYFUNCTION("""COMPUTED_VALUE"""),"170 DÍAS CALENDARIO")</f>
        <v>170 DÍAS CALENDARIO</v>
      </c>
      <c r="L2380" s="213" t="str">
        <f>IFERROR(__xludf.DUMMYFUNCTION("""COMPUTED_VALUE"""),"")</f>
        <v/>
      </c>
      <c r="M2380" s="213">
        <f>IFERROR(__xludf.DUMMYFUNCTION("""COMPUTED_VALUE"""),1.0)</f>
        <v>1</v>
      </c>
      <c r="N2380" s="213">
        <f>IFERROR(__xludf.DUMMYFUNCTION("""COMPUTED_VALUE"""),1.0)</f>
        <v>1</v>
      </c>
      <c r="O2380" s="213">
        <f>IFERROR(__xludf.DUMMYFUNCTION("""COMPUTED_VALUE"""),1.0)</f>
        <v>1</v>
      </c>
      <c r="P2380" s="213"/>
      <c r="Q2380" s="213"/>
      <c r="R2380" s="213"/>
      <c r="S2380" s="213" t="str">
        <f>IFERROR(__xludf.DUMMYFUNCTION("""COMPUTED_VALUE"""),"SI")</f>
        <v>SI</v>
      </c>
      <c r="T2380" s="213" t="str">
        <f>IFERROR(__xludf.DUMMYFUNCTION("""COMPUTED_VALUE"""),"SI")</f>
        <v>SI</v>
      </c>
      <c r="U2380" s="213" t="str">
        <f>IFERROR(__xludf.DUMMYFUNCTION("""COMPUTED_VALUE"""),"NO")</f>
        <v>NO</v>
      </c>
      <c r="V2380" s="213" t="str">
        <f>IFERROR(__xludf.DUMMYFUNCTION("""COMPUTED_VALUE"""),"SUSTENTO")</f>
        <v>SUSTENTO</v>
      </c>
      <c r="W2380" s="213" t="str">
        <f>IFERROR(__xludf.DUMMYFUNCTION("""COMPUTED_VALUE"""),"DIMENSIONAL, ELÉCTRICO")</f>
        <v>DIMENSIONAL, ELÉCTRICO</v>
      </c>
      <c r="X2380" s="213" t="str">
        <f>IFERROR(__xludf.DUMMYFUNCTION("""COMPUTED_VALUE"""),"HOLZMANN")</f>
        <v>HOLZMANN</v>
      </c>
      <c r="Y2380" s="213" t="str">
        <f>IFERROR(__xludf.DUMMYFUNCTION("""COMPUTED_VALUE"""),"LBM290_230V")</f>
        <v>LBM290_230V</v>
      </c>
      <c r="Z2380" s="215" t="str">
        <f>IFERROR(__xludf.DUMMYFUNCTION("""COMPUTED_VALUE"""),"https://www.holzmann-maschinen.at/ES/Mortajadora-horizontal-845")</f>
        <v>https://www.holzmann-maschinen.at/ES/Mortajadora-horizontal-845</v>
      </c>
      <c r="AA2380" s="213" t="str">
        <f>IFERROR(__xludf.DUMMYFUNCTION("""COMPUTED_VALUE"""),"ESP-356 TALADRO HORIZONTAL / ESCOPLEADORA - CET")</f>
        <v>ESP-356 TALADRO HORIZONTAL / ESCOPLEADORA - CET</v>
      </c>
      <c r="AB2380" s="215" t="str">
        <f>IFERROR(__xludf.DUMMYFUNCTION("""COMPUTED_VALUE"""),"https://drive.google.com/file/d/123bWoMzkLzOyWfd2wXP8Vx5nNOwUUwBw/view?usp=sharing")</f>
        <v>https://drive.google.com/file/d/123bWoMzkLzOyWfd2wXP8Vx5nNOwUUwBw/view?usp=sharing</v>
      </c>
      <c r="AC2380" s="213"/>
      <c r="AD2380" s="213"/>
      <c r="AE2380" s="213"/>
      <c r="AF2380" s="213"/>
      <c r="AG2380" s="213"/>
      <c r="AH2380" s="213"/>
      <c r="AI2380" s="213"/>
      <c r="AJ2380" s="213"/>
      <c r="AK2380" s="213"/>
      <c r="AL2380" s="213"/>
      <c r="AM2380" s="213"/>
      <c r="AN2380" s="213"/>
      <c r="AO2380" s="213"/>
      <c r="AP2380" s="213" t="str">
        <f>IFERROR(__xludf.DUMMYFUNCTION("""COMPUTED_VALUE"""),"MICHEL")</f>
        <v>MICHEL</v>
      </c>
      <c r="AQ2380" s="213"/>
      <c r="AR2380" s="213"/>
      <c r="AS2380" s="213" t="str">
        <f>IFERROR(__xludf.DUMMYFUNCTION("""COMPUTED_VALUE"""),"Set de 6 brocas de 6 - 16 mm")</f>
        <v>Set de 6 brocas de 6 - 16 mm</v>
      </c>
      <c r="AT2380" s="216" t="str">
        <f>IFERROR(__xludf.DUMMYFUNCTION("""COMPUTED_VALUE"""),"https://www.maquinasyherramientasonline.com/set-de-brocas-mortajadora-holzmann-ll6tlgl-2/")</f>
        <v>https://www.maquinasyherramientasonline.com/set-de-brocas-mortajadora-holzmann-ll6tlgl-2/</v>
      </c>
      <c r="AU2380" s="213"/>
      <c r="AV2380" s="213"/>
      <c r="AW2380" s="213"/>
      <c r="AX2380" s="213"/>
      <c r="AY2380" s="213"/>
      <c r="AZ2380" s="213"/>
      <c r="BA2380" s="213"/>
      <c r="BB2380" s="213"/>
      <c r="BC2380" s="213"/>
      <c r="BD2380" s="213"/>
    </row>
    <row r="2381">
      <c r="A2381" s="213">
        <f>IFERROR(__xludf.DUMMYFUNCTION("""COMPUTED_VALUE"""),2507.0)</f>
        <v>2507</v>
      </c>
      <c r="B2381" s="213" t="str">
        <f>IFERROR(__xludf.DUMMYFUNCTION("""COMPUTED_VALUE"""),"MANUEL ANTONIO MESONES MURO")</f>
        <v>MANUEL ANTONIO MESONES MURO</v>
      </c>
      <c r="C2381" s="213" t="str">
        <f>IFERROR(__xludf.DUMMYFUNCTION("""COMPUTED_VALUE"""),"TALLER SFT DE CONSTRUCCIONES METÁLICAS")</f>
        <v>TALLER SFT DE CONSTRUCCIONES METÁLICAS</v>
      </c>
      <c r="D2381" s="213" t="str">
        <f>IFERROR(__xludf.DUMMYFUNCTION("""COMPUTED_VALUE"""),"EQUIPOS")</f>
        <v>EQUIPOS</v>
      </c>
      <c r="E2381" s="213" t="str">
        <f>IFERROR(__xludf.DUMMYFUNCTION("""COMPUTED_VALUE"""),"ESP-354")</f>
        <v>ESP-354</v>
      </c>
      <c r="F2381" s="213" t="str">
        <f>IFERROR(__xludf.DUMMYFUNCTION("""COMPUTED_VALUE"""),"ESP-354-X")</f>
        <v>ESP-354-X</v>
      </c>
      <c r="G2381" s="213"/>
      <c r="H2381" s="213" t="str">
        <f>IFERROR(__xludf.DUMMYFUNCTION("""COMPUTED_VALUE"""),"TALADRO DE COLUMNA")</f>
        <v>TALADRO DE COLUMNA</v>
      </c>
      <c r="I2381" s="213"/>
      <c r="J2381" s="213">
        <f>IFERROR(__xludf.DUMMYFUNCTION("""COMPUTED_VALUE"""),3.0)</f>
        <v>3</v>
      </c>
      <c r="K2381" s="213" t="str">
        <f>IFERROR(__xludf.DUMMYFUNCTION("""COMPUTED_VALUE"""),"170 DÍAS CALENDARIO")</f>
        <v>170 DÍAS CALENDARIO</v>
      </c>
      <c r="L2381" s="213" t="str">
        <f>IFERROR(__xludf.DUMMYFUNCTION("""COMPUTED_VALUE"""),"")</f>
        <v/>
      </c>
      <c r="M2381" s="213">
        <f>IFERROR(__xludf.DUMMYFUNCTION("""COMPUTED_VALUE"""),1.0)</f>
        <v>1</v>
      </c>
      <c r="N2381" s="213">
        <f>IFERROR(__xludf.DUMMYFUNCTION("""COMPUTED_VALUE"""),1.0)</f>
        <v>1</v>
      </c>
      <c r="O2381" s="213">
        <f>IFERROR(__xludf.DUMMYFUNCTION("""COMPUTED_VALUE"""),1.0)</f>
        <v>1</v>
      </c>
      <c r="P2381" s="213"/>
      <c r="Q2381" s="213"/>
      <c r="R2381" s="213"/>
      <c r="S2381" s="213" t="str">
        <f>IFERROR(__xludf.DUMMYFUNCTION("""COMPUTED_VALUE"""),"SI")</f>
        <v>SI</v>
      </c>
      <c r="T2381" s="213" t="str">
        <f>IFERROR(__xludf.DUMMYFUNCTION("""COMPUTED_VALUE"""),"SI")</f>
        <v>SI</v>
      </c>
      <c r="U2381" s="213" t="str">
        <f>IFERROR(__xludf.DUMMYFUNCTION("""COMPUTED_VALUE"""),"NO")</f>
        <v>NO</v>
      </c>
      <c r="V2381" s="213" t="str">
        <f>IFERROR(__xludf.DUMMYFUNCTION("""COMPUTED_VALUE"""),"SUSTENTO")</f>
        <v>SUSTENTO</v>
      </c>
      <c r="W2381" s="213" t="str">
        <f>IFERROR(__xludf.DUMMYFUNCTION("""COMPUTED_VALUE"""),"DIMENSIONAL")</f>
        <v>DIMENSIONAL</v>
      </c>
      <c r="X2381" s="213" t="str">
        <f>IFERROR(__xludf.DUMMYFUNCTION("""COMPUTED_VALUE"""),"KAILI")</f>
        <v>KAILI</v>
      </c>
      <c r="Y2381" s="213" t="str">
        <f>IFERROR(__xludf.DUMMYFUNCTION("""COMPUTED_VALUE"""),"KL837 TB4120P")</f>
        <v>KL837 TB4120P</v>
      </c>
      <c r="Z2381" s="215" t="str">
        <f>IFERROR(__xludf.DUMMYFUNCTION("""COMPUTED_VALUE"""),"https://prosinfer.pe/product/taladro-de-banco-3-4-1hp-tb4120p-kaili-kl835/ ")</f>
        <v>https://prosinfer.pe/product/taladro-de-banco-3-4-1hp-tb4120p-kaili-kl835/ </v>
      </c>
      <c r="AA2381" s="213" t="str">
        <f>IFERROR(__xludf.DUMMYFUNCTION("""COMPUTED_VALUE"""),"ESP-354-X  TALADRO DE COLUMNA - CET")</f>
        <v>ESP-354-X  TALADRO DE COLUMNA - CET</v>
      </c>
      <c r="AB2381" s="215" t="str">
        <f>IFERROR(__xludf.DUMMYFUNCTION("""COMPUTED_VALUE"""),"https://drive.google.com/file/d/1J-YOe1t7tr6oHgkHZMhcgya1tX7UDeM7/view?usp=drive_link")</f>
        <v>https://drive.google.com/file/d/1J-YOe1t7tr6oHgkHZMhcgya1tX7UDeM7/view?usp=drive_link</v>
      </c>
      <c r="AC2381" s="213"/>
      <c r="AD2381" s="213"/>
      <c r="AE2381" s="213"/>
      <c r="AF2381" s="213"/>
      <c r="AG2381" s="213"/>
      <c r="AH2381" s="213" t="str">
        <f>IFERROR(__xludf.DUMMYFUNCTION("""COMPUTED_VALUE"""),"NACIONAL")</f>
        <v>NACIONAL</v>
      </c>
      <c r="AI2381" s="213"/>
      <c r="AJ2381" s="213"/>
      <c r="AK2381" s="213"/>
      <c r="AL2381" s="213"/>
      <c r="AM2381" s="213"/>
      <c r="AN2381" s="213"/>
      <c r="AO2381" s="213"/>
      <c r="AP2381" s="213" t="str">
        <f>IFERROR(__xludf.DUMMYFUNCTION("""COMPUTED_VALUE"""),"NALDI")</f>
        <v>NALDI</v>
      </c>
      <c r="AQ2381" s="213"/>
      <c r="AR2381" s="213"/>
      <c r="AS2381" s="213"/>
      <c r="AT2381" s="213"/>
      <c r="AU2381" s="213"/>
      <c r="AV2381" s="213"/>
      <c r="AW2381" s="213"/>
      <c r="AX2381" s="213"/>
      <c r="AY2381" s="213"/>
      <c r="AZ2381" s="213"/>
      <c r="BA2381" s="213"/>
      <c r="BB2381" s="213"/>
      <c r="BC2381" s="213"/>
      <c r="BD2381" s="213"/>
    </row>
    <row r="2382">
      <c r="A2382" s="213">
        <f>IFERROR(__xludf.DUMMYFUNCTION("""COMPUTED_VALUE"""),325.0)</f>
        <v>325</v>
      </c>
      <c r="B2382" s="213" t="str">
        <f>IFERROR(__xludf.DUMMYFUNCTION("""COMPUTED_VALUE"""),"2026 SIMON BOLIVAR")</f>
        <v>2026 SIMON BOLIVAR</v>
      </c>
      <c r="C2382" s="213" t="str">
        <f>IFERROR(__xludf.DUMMYFUNCTION("""COMPUTED_VALUE"""),"TALLER SFT DE COMPUTACIÓN E INFORMÁTICA")</f>
        <v>TALLER SFT DE COMPUTACIÓN E INFORMÁTICA</v>
      </c>
      <c r="D2382" s="213" t="str">
        <f>IFERROR(__xludf.DUMMYFUNCTION("""COMPUTED_VALUE"""),"EQUIPOS")</f>
        <v>EQUIPOS</v>
      </c>
      <c r="E2382" s="213" t="str">
        <f>IFERROR(__xludf.DUMMYFUNCTION("""COMPUTED_VALUE"""),"ESP-359")</f>
        <v>ESP-359</v>
      </c>
      <c r="F2382" s="213" t="str">
        <f>IFERROR(__xludf.DUMMYFUNCTION("""COMPUTED_VALUE"""),"ESP-359-X")</f>
        <v>ESP-359-X</v>
      </c>
      <c r="G2382" s="213"/>
      <c r="H2382" s="213" t="str">
        <f>IFERROR(__xludf.DUMMYFUNCTION("""COMPUTED_VALUE"""),"TALADRO PORTÁTIL")</f>
        <v>TALADRO PORTÁTIL</v>
      </c>
      <c r="I2382" s="213" t="str">
        <f>IFERROR(__xludf.DUMMYFUNCTION("""COMPUTED_VALUE"""),"·  Taladro percutor, con selector de función de percusión y velocidad variable reversible.
·  Potencia: 650 W - 750 W.
·  Velocidad en vacío: 2800 RPM
·  Capacidad sujeción de porta broca: Ø 1.5 - Ø 13 mm
·  Material a trabajar: Metal, madera, concreto
· "&amp;" Capacidad máxima de perforación: madera Ø 25 mm, acero Ø 13 mm, concreto Ø 16 mm.
·  Voltaje: 220 V, 60 Hz
·  Incluye un maletín para transporte.
·  Set de brocas diamantadas, mínimo 20 unidades, diámetro entre 1 - 13 mm.")</f>
        <v>·  Taladro percutor, con selector de función de percusión y velocidad variable reversible.
·  Potencia: 650 W - 750 W.
·  Velocidad en vacío: 2800 RPM
·  Capacidad sujeción de porta broca: Ø 1.5 - Ø 13 mm
·  Material a trabajar: Metal, madera, concreto
·  Capacidad máxima de perforación: madera Ø 25 mm, acero Ø 13 mm, concreto Ø 16 mm.
·  Voltaje: 220 V, 60 Hz
·  Incluye un maletín para transporte.
·  Set de brocas diamantadas, mínimo 20 unidades, diámetro entre 1 - 13 mm.</v>
      </c>
      <c r="J2382" s="213">
        <f>IFERROR(__xludf.DUMMYFUNCTION("""COMPUTED_VALUE"""),3.0)</f>
        <v>3</v>
      </c>
      <c r="K2382" s="213" t="str">
        <f>IFERROR(__xludf.DUMMYFUNCTION("""COMPUTED_VALUE"""),"170 DÍAS CALENDARIO")</f>
        <v>170 DÍAS CALENDARIO</v>
      </c>
      <c r="L2382" s="213" t="str">
        <f>IFERROR(__xludf.DUMMYFUNCTION("""COMPUTED_VALUE"""),"")</f>
        <v/>
      </c>
      <c r="M2382" s="213">
        <f>IFERROR(__xludf.DUMMYFUNCTION("""COMPUTED_VALUE"""),1.0)</f>
        <v>1</v>
      </c>
      <c r="N2382" s="213">
        <f>IFERROR(__xludf.DUMMYFUNCTION("""COMPUTED_VALUE"""),1.0)</f>
        <v>1</v>
      </c>
      <c r="O2382" s="213">
        <f>IFERROR(__xludf.DUMMYFUNCTION("""COMPUTED_VALUE"""),1.0)</f>
        <v>1</v>
      </c>
      <c r="P2382" s="213"/>
      <c r="Q2382" s="213"/>
      <c r="R2382" s="213"/>
      <c r="S2382" s="213" t="str">
        <f>IFERROR(__xludf.DUMMYFUNCTION("""COMPUTED_VALUE"""),"SI")</f>
        <v>SI</v>
      </c>
      <c r="T2382" s="213" t="str">
        <f>IFERROR(__xludf.DUMMYFUNCTION("""COMPUTED_VALUE"""),"SI")</f>
        <v>SI</v>
      </c>
      <c r="U2382" s="213" t="str">
        <f>IFERROR(__xludf.DUMMYFUNCTION("""COMPUTED_VALUE"""),"SI")</f>
        <v>SI</v>
      </c>
      <c r="V2382" s="213" t="str">
        <f>IFERROR(__xludf.DUMMYFUNCTION("""COMPUTED_VALUE"""),"-")</f>
        <v>-</v>
      </c>
      <c r="W2382" s="213" t="str">
        <f>IFERROR(__xludf.DUMMYFUNCTION("""COMPUTED_VALUE"""),"-")</f>
        <v>-</v>
      </c>
      <c r="X2382" s="213" t="str">
        <f>IFERROR(__xludf.DUMMYFUNCTION("""COMPUTED_VALUE"""),"BOSCH")</f>
        <v>BOSCH</v>
      </c>
      <c r="Y2382" s="213" t="str">
        <f>IFERROR(__xludf.DUMMYFUNCTION("""COMPUTED_VALUE"""),"GSB 16 RE Professional")</f>
        <v>GSB 16 RE Professional</v>
      </c>
      <c r="Z2382" s="215" t="str">
        <f>IFERROR(__xludf.DUMMYFUNCTION("""COMPUTED_VALUE"""),"https://www.bosch-professional.com/pe/es/products/gsb-16-re-060114E500")</f>
        <v>https://www.bosch-professional.com/pe/es/products/gsb-16-re-060114E500</v>
      </c>
      <c r="AA2382" s="213" t="str">
        <f>IFERROR(__xludf.DUMMYFUNCTION("""COMPUTED_VALUE"""),"ESP-359-X TALADRO PORTÁTIL - CET CI")</f>
        <v>ESP-359-X TALADRO PORTÁTIL - CET CI</v>
      </c>
      <c r="AB2382" s="215" t="str">
        <f>IFERROR(__xludf.DUMMYFUNCTION("""COMPUTED_VALUE"""),"https://drive.google.com/file/d/17ekB_IWNRiAEXz5Y736eMGxHv2hnFBLE/view?usp=sharing")</f>
        <v>https://drive.google.com/file/d/17ekB_IWNRiAEXz5Y736eMGxHv2hnFBLE/view?usp=sharing</v>
      </c>
      <c r="AC2382" s="213"/>
      <c r="AD2382" s="213"/>
      <c r="AE2382" s="213"/>
      <c r="AF2382" s="213"/>
      <c r="AG2382" s="213"/>
      <c r="AH2382" s="213"/>
      <c r="AI2382" s="213"/>
      <c r="AJ2382" s="213"/>
      <c r="AK2382" s="213"/>
      <c r="AL2382" s="213"/>
      <c r="AM2382" s="213"/>
      <c r="AN2382" s="213"/>
      <c r="AO2382" s="213"/>
      <c r="AP2382" s="213" t="str">
        <f>IFERROR(__xludf.DUMMYFUNCTION("""COMPUTED_VALUE"""),"MICHEL")</f>
        <v>MICHEL</v>
      </c>
      <c r="AQ2382" s="213" t="str">
        <f>IFERROR(__xludf.DUMMYFUNCTION("""COMPUTED_VALUE"""),"Comprar accesorio solicitados y verificar que se incluya maletín")</f>
        <v>Comprar accesorio solicitados y verificar que se incluya maletín</v>
      </c>
      <c r="AR2382" s="213"/>
      <c r="AS2382" s="213" t="str">
        <f>IFERROR(__xludf.DUMMYFUNCTION("""COMPUTED_VALUE"""),"Set de brocas diamantadas, mínimo 20 unidades, diámetro entre 1 mm - 4 mm
Set de brocas diamantadas, diámetro entre 5 mm - 12 mm
Luz LED recargable")</f>
        <v>Set de brocas diamantadas, mínimo 20 unidades, diámetro entre 1 mm - 4 mm
Set de brocas diamantadas, diámetro entre 5 mm - 12 mm
Luz LED recargable</v>
      </c>
      <c r="AT2382" s="217" t="str">
        <f>IFERROR(__xludf.DUMMYFUNCTION("""COMPUTED_VALUE"""),"https://www.amazon.com/-/es/Honoson-diamante-torcida-resistentes-azulejos/dp/B09HWXQPY2/
https://www.amazon.in/Diamond-Luxiv-Granite-Ceramic-Porcelain/dp/B0CT353BYC
https://www.promart.pe/linterna-recargable-faro-120-lumenes-werken-158564/p")</f>
        <v>https://www.amazon.com/-/es/Honoson-diamante-torcida-resistentes-azulejos/dp/B09HWXQPY2/
https://www.amazon.in/Diamond-Luxiv-Granite-Ceramic-Porcelain/dp/B0CT353BYC
https://www.promart.pe/linterna-recargable-faro-120-lumenes-werken-158564/p</v>
      </c>
      <c r="AU2382" s="213"/>
      <c r="AV2382" s="213"/>
      <c r="AW2382" s="213"/>
      <c r="AX2382" s="213"/>
      <c r="AY2382" s="213"/>
      <c r="AZ2382" s="213"/>
      <c r="BA2382" s="213"/>
      <c r="BB2382" s="213"/>
      <c r="BC2382" s="213"/>
      <c r="BD2382" s="213"/>
    </row>
    <row r="2383">
      <c r="A2383" s="213">
        <f>IFERROR(__xludf.DUMMYFUNCTION("""COMPUTED_VALUE"""),707.0)</f>
        <v>707</v>
      </c>
      <c r="B2383" s="213" t="str">
        <f>IFERROR(__xludf.DUMMYFUNCTION("""COMPUTED_VALUE"""),"6049 RICARDO PALMA")</f>
        <v>6049 RICARDO PALMA</v>
      </c>
      <c r="C2383" s="213" t="str">
        <f>IFERROR(__xludf.DUMMYFUNCTION("""COMPUTED_VALUE"""),"TALLER SFT DE ELECTRÓNICA")</f>
        <v>TALLER SFT DE ELECTRÓNICA</v>
      </c>
      <c r="D2383" s="213" t="str">
        <f>IFERROR(__xludf.DUMMYFUNCTION("""COMPUTED_VALUE"""),"EQUIPOS")</f>
        <v>EQUIPOS</v>
      </c>
      <c r="E2383" s="213" t="str">
        <f>IFERROR(__xludf.DUMMYFUNCTION("""COMPUTED_VALUE"""),"ESP-359")</f>
        <v>ESP-359</v>
      </c>
      <c r="F2383" s="213" t="str">
        <f>IFERROR(__xludf.DUMMYFUNCTION("""COMPUTED_VALUE"""),"ESP-359-Y")</f>
        <v>ESP-359-Y</v>
      </c>
      <c r="G2383" s="213"/>
      <c r="H2383" s="213" t="str">
        <f>IFERROR(__xludf.DUMMYFUNCTION("""COMPUTED_VALUE"""),"TALADRO PORTÁTIL")</f>
        <v>TALADRO PORTÁTIL</v>
      </c>
      <c r="I2383" s="213" t="str">
        <f>IFERROR(__xludf.DUMMYFUNCTION("""COMPUTED_VALUE"""),"· Taladro percutor, con selector de función de percusión y velocidad variable reversible.
· Potencia: 650 W  - 750 W.
· Velocidad mínima en vacío: 3000 RPM
· Capacidad sujeción de porta broca: Ø 1.5 mm - Ø 13 mm
· Material a trabajar: Metal, madera, concr"&amp;"eto
· Capacidad máxima de perforación: madera Ø 25 mm, acero Ø 13 mm, concreto Ø 16 mm.
· Voltaje: 220 V, 60 Hz
. Con luz LED para la iluminación de la zona de trabajo
· Incluye un maletín para transporte.
· Set de brocas diamantadas, mínimo 20 unidades, "&amp;"diámetro entre 1 mm - 13 mm.")</f>
        <v>· Taladro percutor, con selector de función de percusión y velocidad variable reversible.
· Potencia: 650 W  - 750 W.
· Velocidad mínima en vacío: 3000 RPM
· Capacidad sujeción de porta broca: Ø 1.5 mm - Ø 13 mm
· Material a trabajar: Metal, madera, concreto
· Capacidad máxima de perforación: madera Ø 25 mm, acero Ø 13 mm, concreto Ø 16 mm.
· Voltaje: 220 V, 60 Hz
. Con luz LED para la iluminación de la zona de trabajo
· Incluye un maletín para transporte.
· Set de brocas diamantadas, mínimo 20 unidades, diámetro entre 1 mm - 13 mm.</v>
      </c>
      <c r="J2383" s="213">
        <f>IFERROR(__xludf.DUMMYFUNCTION("""COMPUTED_VALUE"""),3.0)</f>
        <v>3</v>
      </c>
      <c r="K2383" s="213" t="str">
        <f>IFERROR(__xludf.DUMMYFUNCTION("""COMPUTED_VALUE"""),"170 DÍAS CALENDARIO")</f>
        <v>170 DÍAS CALENDARIO</v>
      </c>
      <c r="L2383" s="213" t="str">
        <f>IFERROR(__xludf.DUMMYFUNCTION("""COMPUTED_VALUE"""),"")</f>
        <v/>
      </c>
      <c r="M2383" s="213">
        <f>IFERROR(__xludf.DUMMYFUNCTION("""COMPUTED_VALUE"""),1.0)</f>
        <v>1</v>
      </c>
      <c r="N2383" s="213">
        <f>IFERROR(__xludf.DUMMYFUNCTION("""COMPUTED_VALUE"""),3.0)</f>
        <v>3</v>
      </c>
      <c r="O2383" s="213">
        <f>IFERROR(__xludf.DUMMYFUNCTION("""COMPUTED_VALUE"""),3.0)</f>
        <v>3</v>
      </c>
      <c r="P2383" s="213"/>
      <c r="Q2383" s="213"/>
      <c r="R2383" s="213"/>
      <c r="S2383" s="213" t="str">
        <f>IFERROR(__xludf.DUMMYFUNCTION("""COMPUTED_VALUE"""),"SI")</f>
        <v>SI</v>
      </c>
      <c r="T2383" s="213" t="str">
        <f>IFERROR(__xludf.DUMMYFUNCTION("""COMPUTED_VALUE"""),"SI")</f>
        <v>SI</v>
      </c>
      <c r="U2383" s="213" t="str">
        <f>IFERROR(__xludf.DUMMYFUNCTION("""COMPUTED_VALUE"""),"SI")</f>
        <v>SI</v>
      </c>
      <c r="V2383" s="213" t="str">
        <f>IFERROR(__xludf.DUMMYFUNCTION("""COMPUTED_VALUE"""),"-")</f>
        <v>-</v>
      </c>
      <c r="W2383" s="213" t="str">
        <f>IFERROR(__xludf.DUMMYFUNCTION("""COMPUTED_VALUE"""),"-")</f>
        <v>-</v>
      </c>
      <c r="X2383" s="213" t="str">
        <f>IFERROR(__xludf.DUMMYFUNCTION("""COMPUTED_VALUE"""),"BOSCH")</f>
        <v>BOSCH</v>
      </c>
      <c r="Y2383" s="213" t="str">
        <f>IFERROR(__xludf.DUMMYFUNCTION("""COMPUTED_VALUE"""),"GSB 16RE MALETÍN Professional")</f>
        <v>GSB 16RE MALETÍN Professional</v>
      </c>
      <c r="Z2383" s="215" t="str">
        <f>IFERROR(__xludf.DUMMYFUNCTION("""COMPUTED_VALUE"""),"https://www.bosch-professional.com/cl/es/products/gsb-16re-maletin-06012B90E1")</f>
        <v>https://www.bosch-professional.com/cl/es/products/gsb-16re-maletin-06012B90E1</v>
      </c>
      <c r="AA2383" s="213" t="str">
        <f>IFERROR(__xludf.DUMMYFUNCTION("""COMPUTED_VALUE"""),"ESP-359-Y TALADRO PORTÁTIL - CET")</f>
        <v>ESP-359-Y TALADRO PORTÁTIL - CET</v>
      </c>
      <c r="AB2383" s="215" t="str">
        <f>IFERROR(__xludf.DUMMYFUNCTION("""COMPUTED_VALUE"""),"https://www.bosch-professional.com/binary/manualsmedia/o388482v21_160992A6YY_202205.pdf")</f>
        <v>https://www.bosch-professional.com/binary/manualsmedia/o388482v21_160992A6YY_202205.pdf</v>
      </c>
      <c r="AC2383" s="213"/>
      <c r="AD2383" s="213"/>
      <c r="AE2383" s="213"/>
      <c r="AF2383" s="213"/>
      <c r="AG2383" s="213"/>
      <c r="AH2383" s="213"/>
      <c r="AI2383" s="213"/>
      <c r="AJ2383" s="213"/>
      <c r="AK2383" s="213"/>
      <c r="AL2383" s="213"/>
      <c r="AM2383" s="213"/>
      <c r="AN2383" s="213"/>
      <c r="AO2383" s="213"/>
      <c r="AP2383" s="213" t="str">
        <f>IFERROR(__xludf.DUMMYFUNCTION("""COMPUTED_VALUE"""),"BRUNO")</f>
        <v>BRUNO</v>
      </c>
      <c r="AQ2383" s="213" t="str">
        <f>IFERROR(__xludf.DUMMYFUNCTION("""COMPUTED_VALUE"""),"Agregar Set de brocas diamantadas, mínimo 20 unidades, diámetro entre 1 mm - 13 mm")</f>
        <v>Agregar Set de brocas diamantadas, mínimo 20 unidades, diámetro entre 1 mm - 13 mm</v>
      </c>
      <c r="AR2383" s="213"/>
      <c r="AS2383" s="213" t="str">
        <f>IFERROR(__xludf.DUMMYFUNCTION("""COMPUTED_VALUE"""),"Honoson Juego de 20 brocas de diamante para brocas de punta torcida de piedra, juego de micro juego de micro juego para joyería de azulejos de vidrio 0.031 in 0.039 in 0.047 in 0.059 in 0.071 in 0.079")</f>
        <v>Honoson Juego de 20 brocas de diamante para brocas de punta torcida de piedra, juego de micro juego de micro juego para joyería de azulejos de vidrio 0.031 in 0.039 in 0.047 in 0.059 in 0.071 in 0.079</v>
      </c>
      <c r="AT2383" s="216" t="str">
        <f>IFERROR(__xludf.DUMMYFUNCTION("""COMPUTED_VALUE"""),"https://www.amazon.com/-/es/Honoson-diamante-torcida-joyer%C3%ADa-azulejos/dp/B09HWXQPY2/ref=sr_1_9?__mk_es_US=%C3%85M%C3%85%C5%BD%C3%95%C3%91&amp;crid=1BJ0QOI48545L&amp;dib=eyJ2IjoiMSJ9.CUJd64Q8dkXsIx6YHz2fPuba9Vzwd6F7oBJRcj-L7l1IFOuqE8G5FdggbdLX3PeBe3cNhHkiZBZa"&amp;"rIz0r8sMJ5jewspdJKA03rWQ6a6cnHHiBuv93ktWg2y0RXoBZPT0bLpj4kl8AxI18d7Z-MNFTtI1DrbUEbeWe0CbqAXJGwUkY3fXKtAyhffA7UoyBVui9WH8i1C8GtVBzhIE3rJ7n8M3uzz5oMML2iK-Ud-4Y4TsHkvM6GLn4drKuUKK8Fg6PevtRZEn9cAtL_SH1NfatgZqxPZybvBLTq6uI1fTZwI.l722XaeqHCtc5ZFmWZrPdrda6tqYrF5"&amp;"TPz19DNvA5Qk&amp;dib_tag=se&amp;keywords=Juego+de+brocas+de+diamante+1mm+Taladros+percutores&amp;qid=1759433728&amp;sprefix=juego+de+brocas+de+diamante+1mm+taladros+percutores%2Caps%2C159&amp;sr=8-9")</f>
        <v>https://www.amazon.com/-/es/Honoson-diamante-torcida-joyer%C3%ADa-azulejos/dp/B09HWXQPY2/ref=sr_1_9?__mk_es_US=%C3%85M%C3%85%C5%BD%C3%95%C3%91&amp;crid=1BJ0QOI48545L&amp;dib=eyJ2IjoiMSJ9.CUJd64Q8dkXsIx6YHz2fPuba9Vzwd6F7oBJRcj-L7l1IFOuqE8G5FdggbdLX3PeBe3cNhHkiZBZarIz0r8sMJ5jewspdJKA03rWQ6a6cnHHiBuv93ktWg2y0RXoBZPT0bLpj4kl8AxI18d7Z-MNFTtI1DrbUEbeWe0CbqAXJGwUkY3fXKtAyhffA7UoyBVui9WH8i1C8GtVBzhIE3rJ7n8M3uzz5oMML2iK-Ud-4Y4TsHkvM6GLn4drKuUKK8Fg6PevtRZEn9cAtL_SH1NfatgZqxPZybvBLTq6uI1fTZwI.l722XaeqHCtc5ZFmWZrPdrda6tqYrF5TPz19DNvA5Qk&amp;dib_tag=se&amp;keywords=Juego+de+brocas+de+diamante+1mm+Taladros+percutores&amp;qid=1759433728&amp;sprefix=juego+de+brocas+de+diamante+1mm+taladros+percutores%2Caps%2C159&amp;sr=8-9</v>
      </c>
      <c r="AU2383" s="213"/>
      <c r="AV2383" s="213"/>
      <c r="AW2383" s="213"/>
      <c r="AX2383" s="213"/>
      <c r="AY2383" s="213"/>
      <c r="AZ2383" s="213"/>
      <c r="BA2383" s="213"/>
      <c r="BB2383" s="213"/>
      <c r="BC2383" s="213"/>
      <c r="BD2383" s="213"/>
    </row>
    <row r="2384">
      <c r="A2384" s="213">
        <f>IFERROR(__xludf.DUMMYFUNCTION("""COMPUTED_VALUE"""),811.0)</f>
        <v>811</v>
      </c>
      <c r="B2384" s="213" t="str">
        <f>IFERROR(__xludf.DUMMYFUNCTION("""COMPUTED_VALUE"""),"6049 RICARDO PALMA")</f>
        <v>6049 RICARDO PALMA</v>
      </c>
      <c r="C2384" s="213" t="str">
        <f>IFERROR(__xludf.DUMMYFUNCTION("""COMPUTED_VALUE"""),"TALLER SFT DE COMPUTACIÓN E INFORMÁTICA")</f>
        <v>TALLER SFT DE COMPUTACIÓN E INFORMÁTICA</v>
      </c>
      <c r="D2384" s="213" t="str">
        <f>IFERROR(__xludf.DUMMYFUNCTION("""COMPUTED_VALUE"""),"EQUIPOS")</f>
        <v>EQUIPOS</v>
      </c>
      <c r="E2384" s="213" t="str">
        <f>IFERROR(__xludf.DUMMYFUNCTION("""COMPUTED_VALUE"""),"ESP-359")</f>
        <v>ESP-359</v>
      </c>
      <c r="F2384" s="213" t="str">
        <f>IFERROR(__xludf.DUMMYFUNCTION("""COMPUTED_VALUE"""),"ESP-359-X")</f>
        <v>ESP-359-X</v>
      </c>
      <c r="G2384" s="213"/>
      <c r="H2384" s="213" t="str">
        <f>IFERROR(__xludf.DUMMYFUNCTION("""COMPUTED_VALUE"""),"TALADRO PORTÁTIL")</f>
        <v>TALADRO PORTÁTIL</v>
      </c>
      <c r="I2384" s="213" t="str">
        <f>IFERROR(__xludf.DUMMYFUNCTION("""COMPUTED_VALUE"""),"·  Taladro percutor, con selector de función de percusión y velocidad variable reversible.
·  Potencia: 650 W - 750 W.
·  Velocidad en vacío: 2800 RPM
·  Capacidad sujeción de porta broca: Ø 1.5 - Ø 13 mm
·  Material a trabajar: Metal, madera, concreto
· "&amp;" Capacidad máxima de perforación: madera Ø 25 mm, acero Ø 13 mm, concreto Ø 16 mm.
·  Voltaje: 220 V, 60 Hz
·  Incluye un maletín para transporte.
·  Set de brocas diamantadas, mínimo 20 unidades, diámetro entre 1 - 13 mm.")</f>
        <v>·  Taladro percutor, con selector de función de percusión y velocidad variable reversible.
·  Potencia: 650 W - 750 W.
·  Velocidad en vacío: 2800 RPM
·  Capacidad sujeción de porta broca: Ø 1.5 - Ø 13 mm
·  Material a trabajar: Metal, madera, concreto
·  Capacidad máxima de perforación: madera Ø 25 mm, acero Ø 13 mm, concreto Ø 16 mm.
·  Voltaje: 220 V, 60 Hz
·  Incluye un maletín para transporte.
·  Set de brocas diamantadas, mínimo 20 unidades, diámetro entre 1 - 13 mm.</v>
      </c>
      <c r="J2384" s="213">
        <f>IFERROR(__xludf.DUMMYFUNCTION("""COMPUTED_VALUE"""),3.0)</f>
        <v>3</v>
      </c>
      <c r="K2384" s="213" t="str">
        <f>IFERROR(__xludf.DUMMYFUNCTION("""COMPUTED_VALUE"""),"170 DÍAS CALENDARIO")</f>
        <v>170 DÍAS CALENDARIO</v>
      </c>
      <c r="L2384" s="213" t="str">
        <f>IFERROR(__xludf.DUMMYFUNCTION("""COMPUTED_VALUE"""),"")</f>
        <v/>
      </c>
      <c r="M2384" s="213">
        <f>IFERROR(__xludf.DUMMYFUNCTION("""COMPUTED_VALUE"""),1.0)</f>
        <v>1</v>
      </c>
      <c r="N2384" s="213">
        <f>IFERROR(__xludf.DUMMYFUNCTION("""COMPUTED_VALUE"""),1.0)</f>
        <v>1</v>
      </c>
      <c r="O2384" s="213">
        <f>IFERROR(__xludf.DUMMYFUNCTION("""COMPUTED_VALUE"""),1.0)</f>
        <v>1</v>
      </c>
      <c r="P2384" s="213"/>
      <c r="Q2384" s="213"/>
      <c r="R2384" s="213"/>
      <c r="S2384" s="213" t="str">
        <f>IFERROR(__xludf.DUMMYFUNCTION("""COMPUTED_VALUE"""),"SI")</f>
        <v>SI</v>
      </c>
      <c r="T2384" s="213" t="str">
        <f>IFERROR(__xludf.DUMMYFUNCTION("""COMPUTED_VALUE"""),"SI")</f>
        <v>SI</v>
      </c>
      <c r="U2384" s="213" t="str">
        <f>IFERROR(__xludf.DUMMYFUNCTION("""COMPUTED_VALUE"""),"SI")</f>
        <v>SI</v>
      </c>
      <c r="V2384" s="213" t="str">
        <f>IFERROR(__xludf.DUMMYFUNCTION("""COMPUTED_VALUE"""),"-")</f>
        <v>-</v>
      </c>
      <c r="W2384" s="213" t="str">
        <f>IFERROR(__xludf.DUMMYFUNCTION("""COMPUTED_VALUE"""),"-")</f>
        <v>-</v>
      </c>
      <c r="X2384" s="213" t="str">
        <f>IFERROR(__xludf.DUMMYFUNCTION("""COMPUTED_VALUE"""),"BOSCH")</f>
        <v>BOSCH</v>
      </c>
      <c r="Y2384" s="213" t="str">
        <f>IFERROR(__xludf.DUMMYFUNCTION("""COMPUTED_VALUE"""),"GSB 16 RE Professional")</f>
        <v>GSB 16 RE Professional</v>
      </c>
      <c r="Z2384" s="215" t="str">
        <f>IFERROR(__xludf.DUMMYFUNCTION("""COMPUTED_VALUE"""),"https://www.bosch-professional.com/pe/es/products/gsb-16-re-060114E500")</f>
        <v>https://www.bosch-professional.com/pe/es/products/gsb-16-re-060114E500</v>
      </c>
      <c r="AA2384" s="213" t="str">
        <f>IFERROR(__xludf.DUMMYFUNCTION("""COMPUTED_VALUE"""),"ESP-359-X TALADRO PORTÁTIL - CET CI")</f>
        <v>ESP-359-X TALADRO PORTÁTIL - CET CI</v>
      </c>
      <c r="AB2384" s="215" t="str">
        <f>IFERROR(__xludf.DUMMYFUNCTION("""COMPUTED_VALUE"""),"https://drive.google.com/file/d/17ekB_IWNRiAEXz5Y736eMGxHv2hnFBLE/view?usp=sharing")</f>
        <v>https://drive.google.com/file/d/17ekB_IWNRiAEXz5Y736eMGxHv2hnFBLE/view?usp=sharing</v>
      </c>
      <c r="AC2384" s="213"/>
      <c r="AD2384" s="213"/>
      <c r="AE2384" s="213"/>
      <c r="AF2384" s="213"/>
      <c r="AG2384" s="213"/>
      <c r="AH2384" s="213"/>
      <c r="AI2384" s="213"/>
      <c r="AJ2384" s="213"/>
      <c r="AK2384" s="213"/>
      <c r="AL2384" s="213"/>
      <c r="AM2384" s="213"/>
      <c r="AN2384" s="213"/>
      <c r="AO2384" s="213"/>
      <c r="AP2384" s="213" t="str">
        <f>IFERROR(__xludf.DUMMYFUNCTION("""COMPUTED_VALUE"""),"MICHEL")</f>
        <v>MICHEL</v>
      </c>
      <c r="AQ2384" s="213" t="str">
        <f>IFERROR(__xludf.DUMMYFUNCTION("""COMPUTED_VALUE"""),"Comprar accesorio solicitados y verificar que se incluya maletín")</f>
        <v>Comprar accesorio solicitados y verificar que se incluya maletín</v>
      </c>
      <c r="AR2384" s="213"/>
      <c r="AS2384" s="213" t="str">
        <f>IFERROR(__xludf.DUMMYFUNCTION("""COMPUTED_VALUE"""),"Set de brocas diamantadas, mínimo 20 unidades, diámetro entre 1 mm - 4 mm
Set de brocas diamantadas, diámetro entre 5 mm - 12 mm
Luz LED recargable")</f>
        <v>Set de brocas diamantadas, mínimo 20 unidades, diámetro entre 1 mm - 4 mm
Set de brocas diamantadas, diámetro entre 5 mm - 12 mm
Luz LED recargable</v>
      </c>
      <c r="AT2384" s="217" t="str">
        <f>IFERROR(__xludf.DUMMYFUNCTION("""COMPUTED_VALUE"""),"https://www.amazon.com/-/es/Honoson-diamante-torcida-resistentes-azulejos/dp/B09HWXQPY2/
https://www.amazon.in/Diamond-Luxiv-Granite-Ceramic-Porcelain/dp/B0CT353BYC
https://www.promart.pe/linterna-recargable-faro-120-lumenes-werken-158564/p")</f>
        <v>https://www.amazon.com/-/es/Honoson-diamante-torcida-resistentes-azulejos/dp/B09HWXQPY2/
https://www.amazon.in/Diamond-Luxiv-Granite-Ceramic-Porcelain/dp/B0CT353BYC
https://www.promart.pe/linterna-recargable-faro-120-lumenes-werken-158564/p</v>
      </c>
      <c r="AU2384" s="213"/>
      <c r="AV2384" s="213"/>
      <c r="AW2384" s="213"/>
      <c r="AX2384" s="213"/>
      <c r="AY2384" s="213"/>
      <c r="AZ2384" s="213"/>
      <c r="BA2384" s="213"/>
      <c r="BB2384" s="213"/>
      <c r="BC2384" s="213"/>
      <c r="BD2384" s="213"/>
    </row>
    <row r="2385">
      <c r="A2385" s="213">
        <f>IFERROR(__xludf.DUMMYFUNCTION("""COMPUTED_VALUE"""),1748.0)</f>
        <v>1748</v>
      </c>
      <c r="B2385" s="213" t="str">
        <f>IFERROR(__xludf.DUMMYFUNCTION("""COMPUTED_VALUE"""),"GUILLERMO E. BILLINGHURST ")</f>
        <v>GUILLERMO E. BILLINGHURST </v>
      </c>
      <c r="C2385" s="213" t="str">
        <f>IFERROR(__xludf.DUMMYFUNCTION("""COMPUTED_VALUE"""),"TALLER SFT DE COMPUTACIÓN E INFORMÁTICA")</f>
        <v>TALLER SFT DE COMPUTACIÓN E INFORMÁTICA</v>
      </c>
      <c r="D2385" s="213" t="str">
        <f>IFERROR(__xludf.DUMMYFUNCTION("""COMPUTED_VALUE"""),"EQUIPOS")</f>
        <v>EQUIPOS</v>
      </c>
      <c r="E2385" s="213" t="str">
        <f>IFERROR(__xludf.DUMMYFUNCTION("""COMPUTED_VALUE"""),"ESP-359")</f>
        <v>ESP-359</v>
      </c>
      <c r="F2385" s="213" t="str">
        <f>IFERROR(__xludf.DUMMYFUNCTION("""COMPUTED_VALUE"""),"ESP-359-X")</f>
        <v>ESP-359-X</v>
      </c>
      <c r="G2385" s="213"/>
      <c r="H2385" s="213" t="str">
        <f>IFERROR(__xludf.DUMMYFUNCTION("""COMPUTED_VALUE"""),"TALADRO PORTÁTIL")</f>
        <v>TALADRO PORTÁTIL</v>
      </c>
      <c r="I2385" s="213" t="str">
        <f>IFERROR(__xludf.DUMMYFUNCTION("""COMPUTED_VALUE"""),"·  Taladro percutor, con selector de función de percusión y velocidad variable reversible.
·  Potencia: 650 W - 750 W.
·  Velocidad en vacío: 2800 RPM
·  Capacidad sujeción de porta broca: Ø 1.5 - Ø 13 mm
·  Material a trabajar: Metal, madera, concreto
· "&amp;" Capacidad máxima de perforación: madera Ø 25 mm, acero Ø 13 mm, concreto Ø 16 mm.
·  Voltaje: 220 V, 60 Hz
·  Incluye un maletín para transporte.
·  Set de brocas diamantadas, mínimo 20 unidades, diámetro entre 1 - 13 mm.")</f>
        <v>·  Taladro percutor, con selector de función de percusión y velocidad variable reversible.
·  Potencia: 650 W - 750 W.
·  Velocidad en vacío: 2800 RPM
·  Capacidad sujeción de porta broca: Ø 1.5 - Ø 13 mm
·  Material a trabajar: Metal, madera, concreto
·  Capacidad máxima de perforación: madera Ø 25 mm, acero Ø 13 mm, concreto Ø 16 mm.
·  Voltaje: 220 V, 60 Hz
·  Incluye un maletín para transporte.
·  Set de brocas diamantadas, mínimo 20 unidades, diámetro entre 1 - 13 mm.</v>
      </c>
      <c r="J2385" s="213">
        <f>IFERROR(__xludf.DUMMYFUNCTION("""COMPUTED_VALUE"""),3.0)</f>
        <v>3</v>
      </c>
      <c r="K2385" s="213" t="str">
        <f>IFERROR(__xludf.DUMMYFUNCTION("""COMPUTED_VALUE"""),"170 DÍAS CALENDARIO")</f>
        <v>170 DÍAS CALENDARIO</v>
      </c>
      <c r="L2385" s="213" t="str">
        <f>IFERROR(__xludf.DUMMYFUNCTION("""COMPUTED_VALUE"""),"")</f>
        <v/>
      </c>
      <c r="M2385" s="213">
        <f>IFERROR(__xludf.DUMMYFUNCTION("""COMPUTED_VALUE"""),1.0)</f>
        <v>1</v>
      </c>
      <c r="N2385" s="213">
        <f>IFERROR(__xludf.DUMMYFUNCTION("""COMPUTED_VALUE"""),1.0)</f>
        <v>1</v>
      </c>
      <c r="O2385" s="213">
        <f>IFERROR(__xludf.DUMMYFUNCTION("""COMPUTED_VALUE"""),1.0)</f>
        <v>1</v>
      </c>
      <c r="P2385" s="213"/>
      <c r="Q2385" s="213"/>
      <c r="R2385" s="213"/>
      <c r="S2385" s="213" t="str">
        <f>IFERROR(__xludf.DUMMYFUNCTION("""COMPUTED_VALUE"""),"SI")</f>
        <v>SI</v>
      </c>
      <c r="T2385" s="213" t="str">
        <f>IFERROR(__xludf.DUMMYFUNCTION("""COMPUTED_VALUE"""),"SI")</f>
        <v>SI</v>
      </c>
      <c r="U2385" s="213" t="str">
        <f>IFERROR(__xludf.DUMMYFUNCTION("""COMPUTED_VALUE"""),"SI")</f>
        <v>SI</v>
      </c>
      <c r="V2385" s="213" t="str">
        <f>IFERROR(__xludf.DUMMYFUNCTION("""COMPUTED_VALUE"""),"-")</f>
        <v>-</v>
      </c>
      <c r="W2385" s="213" t="str">
        <f>IFERROR(__xludf.DUMMYFUNCTION("""COMPUTED_VALUE"""),"-")</f>
        <v>-</v>
      </c>
      <c r="X2385" s="213" t="str">
        <f>IFERROR(__xludf.DUMMYFUNCTION("""COMPUTED_VALUE"""),"BOSCH")</f>
        <v>BOSCH</v>
      </c>
      <c r="Y2385" s="213" t="str">
        <f>IFERROR(__xludf.DUMMYFUNCTION("""COMPUTED_VALUE"""),"GSB 16 RE Professional")</f>
        <v>GSB 16 RE Professional</v>
      </c>
      <c r="Z2385" s="215" t="str">
        <f>IFERROR(__xludf.DUMMYFUNCTION("""COMPUTED_VALUE"""),"https://www.bosch-professional.com/pe/es/products/gsb-16-re-060114E500")</f>
        <v>https://www.bosch-professional.com/pe/es/products/gsb-16-re-060114E500</v>
      </c>
      <c r="AA2385" s="213" t="str">
        <f>IFERROR(__xludf.DUMMYFUNCTION("""COMPUTED_VALUE"""),"ESP-359-X TALADRO PORTÁTIL - CET CI")</f>
        <v>ESP-359-X TALADRO PORTÁTIL - CET CI</v>
      </c>
      <c r="AB2385" s="215" t="str">
        <f>IFERROR(__xludf.DUMMYFUNCTION("""COMPUTED_VALUE"""),"https://drive.google.com/file/d/17ekB_IWNRiAEXz5Y736eMGxHv2hnFBLE/view?usp=sharing")</f>
        <v>https://drive.google.com/file/d/17ekB_IWNRiAEXz5Y736eMGxHv2hnFBLE/view?usp=sharing</v>
      </c>
      <c r="AC2385" s="213"/>
      <c r="AD2385" s="213"/>
      <c r="AE2385" s="213"/>
      <c r="AF2385" s="213"/>
      <c r="AG2385" s="213"/>
      <c r="AH2385" s="213"/>
      <c r="AI2385" s="213"/>
      <c r="AJ2385" s="213"/>
      <c r="AK2385" s="213"/>
      <c r="AL2385" s="213"/>
      <c r="AM2385" s="213"/>
      <c r="AN2385" s="213"/>
      <c r="AO2385" s="213"/>
      <c r="AP2385" s="213" t="str">
        <f>IFERROR(__xludf.DUMMYFUNCTION("""COMPUTED_VALUE"""),"MICHEL")</f>
        <v>MICHEL</v>
      </c>
      <c r="AQ2385" s="213" t="str">
        <f>IFERROR(__xludf.DUMMYFUNCTION("""COMPUTED_VALUE"""),"Comprar accesorio solicitados y verificar que se incluya maletín")</f>
        <v>Comprar accesorio solicitados y verificar que se incluya maletín</v>
      </c>
      <c r="AR2385" s="213"/>
      <c r="AS2385" s="213" t="str">
        <f>IFERROR(__xludf.DUMMYFUNCTION("""COMPUTED_VALUE"""),"Set de brocas diamantadas, mínimo 20 unidades, diámetro entre 1 mm - 4 mm
Set de brocas diamantadas, diámetro entre 5 mm - 12 mm
Luz LED recargable")</f>
        <v>Set de brocas diamantadas, mínimo 20 unidades, diámetro entre 1 mm - 4 mm
Set de brocas diamantadas, diámetro entre 5 mm - 12 mm
Luz LED recargable</v>
      </c>
      <c r="AT2385" s="217" t="str">
        <f>IFERROR(__xludf.DUMMYFUNCTION("""COMPUTED_VALUE"""),"https://www.amazon.com/-/es/Honoson-diamante-torcida-resistentes-azulejos/dp/B09HWXQPY2/
https://www.amazon.in/Diamond-Luxiv-Granite-Ceramic-Porcelain/dp/B0CT353BYC
https://www.promart.pe/linterna-recargable-faro-120-lumenes-werken-158564/p")</f>
        <v>https://www.amazon.com/-/es/Honoson-diamante-torcida-resistentes-azulejos/dp/B09HWXQPY2/
https://www.amazon.in/Diamond-Luxiv-Granite-Ceramic-Porcelain/dp/B0CT353BYC
https://www.promart.pe/linterna-recargable-faro-120-lumenes-werken-158564/p</v>
      </c>
      <c r="AU2385" s="213"/>
      <c r="AV2385" s="213"/>
      <c r="AW2385" s="213"/>
      <c r="AX2385" s="213"/>
      <c r="AY2385" s="213"/>
      <c r="AZ2385" s="213"/>
      <c r="BA2385" s="213"/>
      <c r="BB2385" s="213"/>
      <c r="BC2385" s="213"/>
      <c r="BD2385" s="213"/>
    </row>
    <row r="2386">
      <c r="A2386" s="213">
        <f>IFERROR(__xludf.DUMMYFUNCTION("""COMPUTED_VALUE"""),1899.0)</f>
        <v>1899</v>
      </c>
      <c r="B2386" s="213" t="str">
        <f>IFERROR(__xludf.DUMMYFUNCTION("""COMPUTED_VALUE"""),"GUILLERMO E. BILLINGHURST ")</f>
        <v>GUILLERMO E. BILLINGHURST </v>
      </c>
      <c r="C2386" s="213" t="str">
        <f>IFERROR(__xludf.DUMMYFUNCTION("""COMPUTED_VALUE"""),"TALLER SFT DE EBANISTERÍA")</f>
        <v>TALLER SFT DE EBANISTERÍA</v>
      </c>
      <c r="D2386" s="213" t="str">
        <f>IFERROR(__xludf.DUMMYFUNCTION("""COMPUTED_VALUE"""),"EQUIPOS")</f>
        <v>EQUIPOS</v>
      </c>
      <c r="E2386" s="213" t="str">
        <f>IFERROR(__xludf.DUMMYFUNCTION("""COMPUTED_VALUE"""),"ESP-360")</f>
        <v>ESP-360</v>
      </c>
      <c r="F2386" s="213" t="str">
        <f>IFERROR(__xludf.DUMMYFUNCTION("""COMPUTED_VALUE"""),"ESP-360")</f>
        <v>ESP-360</v>
      </c>
      <c r="G2386" s="213"/>
      <c r="H2386" s="213" t="str">
        <f>IFERROR(__xludf.DUMMYFUNCTION("""COMPUTED_VALUE"""),"TALADRO PORTÁTIL")</f>
        <v>TALADRO PORTÁTIL</v>
      </c>
      <c r="I2386" s="213" t="str">
        <f>IFERROR(__xludf.DUMMYFUNCTION("""COMPUTED_VALUE"""),"Taladro percutor, con selector de función de percusión y velocidad variable reversible. Potencia: 650 - 750 W.
Velocidad en vacío: 2800 rpm.
Capacidad de sujeción de porta brocas: Ø 1.5 - Ø 13 mm Material a trabajar: Metal, madera, concreto
Capacidad máxi"&amp;"ma de perforación: madera Ø 25 mm, acero Ø 13 mm, concreto Ø 16 mm. Voltaje: 220 V, 60 Hz
Incluye un maletín para transporte.
Set de brocas sierra corona, mínimo 6 unidades, medidas  Ø entre: 19 - 76 mm. Set de brocas de titanio, mínimo 25 unidades, diáme"&amp;"tro entre 1 - 13 mm.")</f>
        <v>Taladro percutor, con selector de función de percusión y velocidad variable reversible. Potencia: 650 - 750 W.
Velocidad en vacío: 2800 rpm.
Capacidad de sujeción de porta brocas: Ø 1.5 - Ø 13 mm Material a trabajar: Metal, madera, concreto
Capacidad máxima de perforación: madera Ø 25 mm, acero Ø 13 mm, concreto Ø 16 mm. Voltaje: 220 V, 60 Hz
Incluye un maletín para transporte.
Set de brocas sierra corona, mínimo 6 unidades, medidas  Ø entre: 19 - 76 mm. Set de brocas de titanio, mínimo 25 unidades, diámetro entre 1 - 13 mm.</v>
      </c>
      <c r="J2386" s="213">
        <f>IFERROR(__xludf.DUMMYFUNCTION("""COMPUTED_VALUE"""),3.0)</f>
        <v>3</v>
      </c>
      <c r="K2386" s="213" t="str">
        <f>IFERROR(__xludf.DUMMYFUNCTION("""COMPUTED_VALUE"""),"170 DÍAS CALENDARIO")</f>
        <v>170 DÍAS CALENDARIO</v>
      </c>
      <c r="L2386" s="213" t="str">
        <f>IFERROR(__xludf.DUMMYFUNCTION("""COMPUTED_VALUE"""),"")</f>
        <v/>
      </c>
      <c r="M2386" s="213">
        <f>IFERROR(__xludf.DUMMYFUNCTION("""COMPUTED_VALUE"""),1.0)</f>
        <v>1</v>
      </c>
      <c r="N2386" s="213">
        <f>IFERROR(__xludf.DUMMYFUNCTION("""COMPUTED_VALUE"""),4.0)</f>
        <v>4</v>
      </c>
      <c r="O2386" s="213">
        <f>IFERROR(__xludf.DUMMYFUNCTION("""COMPUTED_VALUE"""),4.0)</f>
        <v>4</v>
      </c>
      <c r="P2386" s="213"/>
      <c r="Q2386" s="213"/>
      <c r="R2386" s="213"/>
      <c r="S2386" s="213" t="str">
        <f>IFERROR(__xludf.DUMMYFUNCTION("""COMPUTED_VALUE"""),"SI")</f>
        <v>SI</v>
      </c>
      <c r="T2386" s="213" t="str">
        <f>IFERROR(__xludf.DUMMYFUNCTION("""COMPUTED_VALUE"""),"SI")</f>
        <v>SI</v>
      </c>
      <c r="U2386" s="213" t="str">
        <f>IFERROR(__xludf.DUMMYFUNCTION("""COMPUTED_VALUE"""),"SI")</f>
        <v>SI</v>
      </c>
      <c r="V2386" s="213" t="str">
        <f>IFERROR(__xludf.DUMMYFUNCTION("""COMPUTED_VALUE"""),"-")</f>
        <v>-</v>
      </c>
      <c r="W2386" s="213" t="str">
        <f>IFERROR(__xludf.DUMMYFUNCTION("""COMPUTED_VALUE"""),"-")</f>
        <v>-</v>
      </c>
      <c r="X2386" s="213" t="str">
        <f>IFERROR(__xludf.DUMMYFUNCTION("""COMPUTED_VALUE"""),"BOSCH")</f>
        <v>BOSCH</v>
      </c>
      <c r="Y2386" s="213" t="str">
        <f>IFERROR(__xludf.DUMMYFUNCTION("""COMPUTED_VALUE"""),"GSB 16 RE Professional")</f>
        <v>GSB 16 RE Professional</v>
      </c>
      <c r="Z2386" s="215" t="str">
        <f>IFERROR(__xludf.DUMMYFUNCTION("""COMPUTED_VALUE"""),"https://www.bosch-professional.com/pe/es/products/gsb-16-re-060114E500")</f>
        <v>https://www.bosch-professional.com/pe/es/products/gsb-16-re-060114E500</v>
      </c>
      <c r="AA2386" s="213" t="str">
        <f>IFERROR(__xludf.DUMMYFUNCTION("""COMPUTED_VALUE"""),"ESP-360 TALADRO PORTÁTIL - CET")</f>
        <v>ESP-360 TALADRO PORTÁTIL - CET</v>
      </c>
      <c r="AB2386" s="215" t="str">
        <f>IFERROR(__xludf.DUMMYFUNCTION("""COMPUTED_VALUE"""),"https://drive.google.com/file/d/17ekB_IWNRiAEXz5Y736eMGxHv2hnFBLE/view?usp=sharing")</f>
        <v>https://drive.google.com/file/d/17ekB_IWNRiAEXz5Y736eMGxHv2hnFBLE/view?usp=sharing</v>
      </c>
      <c r="AC2386" s="213"/>
      <c r="AD2386" s="213"/>
      <c r="AE2386" s="213"/>
      <c r="AF2386" s="213"/>
      <c r="AG2386" s="213"/>
      <c r="AH2386" s="213"/>
      <c r="AI2386" s="213"/>
      <c r="AJ2386" s="213"/>
      <c r="AK2386" s="213"/>
      <c r="AL2386" s="213"/>
      <c r="AM2386" s="213"/>
      <c r="AN2386" s="213"/>
      <c r="AO2386" s="213"/>
      <c r="AP2386" s="213" t="str">
        <f>IFERROR(__xludf.DUMMYFUNCTION("""COMPUTED_VALUE"""),"MICHEL")</f>
        <v>MICHEL</v>
      </c>
      <c r="AQ2386" s="213" t="str">
        <f>IFERROR(__xludf.DUMMYFUNCTION("""COMPUTED_VALUE"""),"Comprar accesorio solicitados y verificar que se incluya maletín")</f>
        <v>Comprar accesorio solicitados y verificar que se incluya maletín</v>
      </c>
      <c r="AR2386" s="213"/>
      <c r="AS2386" s="213" t="str">
        <f>IFERROR(__xludf.DUMMYFUNCTION("""COMPUTED_VALUE"""),"Set de brocas sierra corona, mínimo 6 unidades, medidas  Ø entre: 19 - 76 mm. Set de brocas de titanio, mínimo 25 unidades, diámetro entre 1 - 13 mm.")</f>
        <v>Set de brocas sierra corona, mínimo 6 unidades, medidas  Ø entre: 19 - 76 mm. Set de brocas de titanio, mínimo 25 unidades, diámetro entre 1 - 13 mm.</v>
      </c>
      <c r="AT2386" s="217" t="str">
        <f>IFERROR(__xludf.DUMMYFUNCTION("""COMPUTED_VALUE"""),"https://carpintec.com.pe/products/juego-de-sierra-copa-15-piezas-kamasa
https://www.amazon.com/1mm-10mm-Titanium-High-Speed-Woodworking-Engraving/dp/B0B2DNZ5CQ?th=1")</f>
        <v>https://carpintec.com.pe/products/juego-de-sierra-copa-15-piezas-kamasa
https://www.amazon.com/1mm-10mm-Titanium-High-Speed-Woodworking-Engraving/dp/B0B2DNZ5CQ?th=1</v>
      </c>
      <c r="AU2386" s="213"/>
      <c r="AV2386" s="213"/>
      <c r="AW2386" s="213"/>
      <c r="AX2386" s="213"/>
      <c r="AY2386" s="213"/>
      <c r="AZ2386" s="213"/>
      <c r="BA2386" s="213"/>
      <c r="BB2386" s="213"/>
      <c r="BC2386" s="213"/>
      <c r="BD2386" s="213"/>
    </row>
    <row r="2387">
      <c r="A2387" s="213">
        <f>IFERROR(__xludf.DUMMYFUNCTION("""COMPUTED_VALUE"""),1999.0)</f>
        <v>1999</v>
      </c>
      <c r="B2387" s="213" t="str">
        <f>IFERROR(__xludf.DUMMYFUNCTION("""COMPUTED_VALUE"""),"JOSE GRANDA")</f>
        <v>JOSE GRANDA</v>
      </c>
      <c r="C2387" s="213" t="str">
        <f>IFERROR(__xludf.DUMMYFUNCTION("""COMPUTED_VALUE"""),"TALLER SFT DE COMPUTACIÓN E INFORMÁTICA")</f>
        <v>TALLER SFT DE COMPUTACIÓN E INFORMÁTICA</v>
      </c>
      <c r="D2387" s="213" t="str">
        <f>IFERROR(__xludf.DUMMYFUNCTION("""COMPUTED_VALUE"""),"EQUIPOS")</f>
        <v>EQUIPOS</v>
      </c>
      <c r="E2387" s="213" t="str">
        <f>IFERROR(__xludf.DUMMYFUNCTION("""COMPUTED_VALUE"""),"ESP-359")</f>
        <v>ESP-359</v>
      </c>
      <c r="F2387" s="213" t="str">
        <f>IFERROR(__xludf.DUMMYFUNCTION("""COMPUTED_VALUE"""),"ESP-359-X")</f>
        <v>ESP-359-X</v>
      </c>
      <c r="G2387" s="213"/>
      <c r="H2387" s="213" t="str">
        <f>IFERROR(__xludf.DUMMYFUNCTION("""COMPUTED_VALUE"""),"TALADRO PORTÁTIL")</f>
        <v>TALADRO PORTÁTIL</v>
      </c>
      <c r="I2387" s="213" t="str">
        <f>IFERROR(__xludf.DUMMYFUNCTION("""COMPUTED_VALUE"""),"·  Taladro percutor, con selector de función de percusión y velocidad variable reversible.
·  Potencia: 650 W - 750 W.
·  Velocidad en vacío: 2800 RPM
·  Capacidad sujeción de porta broca: Ø 1.5 - Ø 13 mm
·  Material a trabajar: Metal, madera, concreto
· "&amp;" Capacidad máxima de perforación: madera Ø 25 mm, acero Ø 13 mm, concreto Ø 16 mm.
·  Voltaje: 220 V, 60 Hz
·  Incluye un maletín para transporte.
·  Set de brocas diamantadas, mínimo 20 unidades, diámetro entre 1 - 13 mm.")</f>
        <v>·  Taladro percutor, con selector de función de percusión y velocidad variable reversible.
·  Potencia: 650 W - 750 W.
·  Velocidad en vacío: 2800 RPM
·  Capacidad sujeción de porta broca: Ø 1.5 - Ø 13 mm
·  Material a trabajar: Metal, madera, concreto
·  Capacidad máxima de perforación: madera Ø 25 mm, acero Ø 13 mm, concreto Ø 16 mm.
·  Voltaje: 220 V, 60 Hz
·  Incluye un maletín para transporte.
·  Set de brocas diamantadas, mínimo 20 unidades, diámetro entre 1 - 13 mm.</v>
      </c>
      <c r="J2387" s="213">
        <f>IFERROR(__xludf.DUMMYFUNCTION("""COMPUTED_VALUE"""),3.0)</f>
        <v>3</v>
      </c>
      <c r="K2387" s="213" t="str">
        <f>IFERROR(__xludf.DUMMYFUNCTION("""COMPUTED_VALUE"""),"170 DÍAS CALENDARIO")</f>
        <v>170 DÍAS CALENDARIO</v>
      </c>
      <c r="L2387" s="213" t="str">
        <f>IFERROR(__xludf.DUMMYFUNCTION("""COMPUTED_VALUE"""),"")</f>
        <v/>
      </c>
      <c r="M2387" s="213">
        <f>IFERROR(__xludf.DUMMYFUNCTION("""COMPUTED_VALUE"""),1.0)</f>
        <v>1</v>
      </c>
      <c r="N2387" s="213">
        <f>IFERROR(__xludf.DUMMYFUNCTION("""COMPUTED_VALUE"""),1.0)</f>
        <v>1</v>
      </c>
      <c r="O2387" s="213">
        <f>IFERROR(__xludf.DUMMYFUNCTION("""COMPUTED_VALUE"""),1.0)</f>
        <v>1</v>
      </c>
      <c r="P2387" s="213"/>
      <c r="Q2387" s="213"/>
      <c r="R2387" s="213"/>
      <c r="S2387" s="213" t="str">
        <f>IFERROR(__xludf.DUMMYFUNCTION("""COMPUTED_VALUE"""),"SI")</f>
        <v>SI</v>
      </c>
      <c r="T2387" s="213" t="str">
        <f>IFERROR(__xludf.DUMMYFUNCTION("""COMPUTED_VALUE"""),"SI")</f>
        <v>SI</v>
      </c>
      <c r="U2387" s="213" t="str">
        <f>IFERROR(__xludf.DUMMYFUNCTION("""COMPUTED_VALUE"""),"SI")</f>
        <v>SI</v>
      </c>
      <c r="V2387" s="213" t="str">
        <f>IFERROR(__xludf.DUMMYFUNCTION("""COMPUTED_VALUE"""),"-")</f>
        <v>-</v>
      </c>
      <c r="W2387" s="213" t="str">
        <f>IFERROR(__xludf.DUMMYFUNCTION("""COMPUTED_VALUE"""),"-")</f>
        <v>-</v>
      </c>
      <c r="X2387" s="213" t="str">
        <f>IFERROR(__xludf.DUMMYFUNCTION("""COMPUTED_VALUE"""),"BOSCH")</f>
        <v>BOSCH</v>
      </c>
      <c r="Y2387" s="213" t="str">
        <f>IFERROR(__xludf.DUMMYFUNCTION("""COMPUTED_VALUE"""),"GSB 16 RE Professional")</f>
        <v>GSB 16 RE Professional</v>
      </c>
      <c r="Z2387" s="215" t="str">
        <f>IFERROR(__xludf.DUMMYFUNCTION("""COMPUTED_VALUE"""),"https://www.bosch-professional.com/pe/es/products/gsb-16-re-060114E500")</f>
        <v>https://www.bosch-professional.com/pe/es/products/gsb-16-re-060114E500</v>
      </c>
      <c r="AA2387" s="213" t="str">
        <f>IFERROR(__xludf.DUMMYFUNCTION("""COMPUTED_VALUE"""),"ESP-359-X TALADRO PORTÁTIL - CET CI")</f>
        <v>ESP-359-X TALADRO PORTÁTIL - CET CI</v>
      </c>
      <c r="AB2387" s="215" t="str">
        <f>IFERROR(__xludf.DUMMYFUNCTION("""COMPUTED_VALUE"""),"https://drive.google.com/file/d/17ekB_IWNRiAEXz5Y736eMGxHv2hnFBLE/view?usp=sharing")</f>
        <v>https://drive.google.com/file/d/17ekB_IWNRiAEXz5Y736eMGxHv2hnFBLE/view?usp=sharing</v>
      </c>
      <c r="AC2387" s="213"/>
      <c r="AD2387" s="213"/>
      <c r="AE2387" s="213"/>
      <c r="AF2387" s="213"/>
      <c r="AG2387" s="213"/>
      <c r="AH2387" s="213"/>
      <c r="AI2387" s="213"/>
      <c r="AJ2387" s="213"/>
      <c r="AK2387" s="213"/>
      <c r="AL2387" s="213"/>
      <c r="AM2387" s="213"/>
      <c r="AN2387" s="213"/>
      <c r="AO2387" s="213"/>
      <c r="AP2387" s="213" t="str">
        <f>IFERROR(__xludf.DUMMYFUNCTION("""COMPUTED_VALUE"""),"MICHEL")</f>
        <v>MICHEL</v>
      </c>
      <c r="AQ2387" s="213" t="str">
        <f>IFERROR(__xludf.DUMMYFUNCTION("""COMPUTED_VALUE"""),"Comprar accesorio solicitados y verificar que se incluya maletín")</f>
        <v>Comprar accesorio solicitados y verificar que se incluya maletín</v>
      </c>
      <c r="AR2387" s="213"/>
      <c r="AS2387" s="213" t="str">
        <f>IFERROR(__xludf.DUMMYFUNCTION("""COMPUTED_VALUE"""),"Set de brocas diamantadas, mínimo 20 unidades, diámetro entre 1 mm - 4 mm
Set de brocas diamantadas, diámetro entre 5 mm - 12 mm
Luz LED recargable")</f>
        <v>Set de brocas diamantadas, mínimo 20 unidades, diámetro entre 1 mm - 4 mm
Set de brocas diamantadas, diámetro entre 5 mm - 12 mm
Luz LED recargable</v>
      </c>
      <c r="AT2387" s="217" t="str">
        <f>IFERROR(__xludf.DUMMYFUNCTION("""COMPUTED_VALUE"""),"https://www.amazon.com/-/es/Honoson-diamante-torcida-resistentes-azulejos/dp/B09HWXQPY2/
https://www.amazon.in/Diamond-Luxiv-Granite-Ceramic-Porcelain/dp/B0CT353BYC
https://www.promart.pe/linterna-recargable-faro-120-lumenes-werken-158564/p")</f>
        <v>https://www.amazon.com/-/es/Honoson-diamante-torcida-resistentes-azulejos/dp/B09HWXQPY2/
https://www.amazon.in/Diamond-Luxiv-Granite-Ceramic-Porcelain/dp/B0CT353BYC
https://www.promart.pe/linterna-recargable-faro-120-lumenes-werken-158564/p</v>
      </c>
      <c r="AU2387" s="213"/>
      <c r="AV2387" s="213"/>
      <c r="AW2387" s="213"/>
      <c r="AX2387" s="213"/>
      <c r="AY2387" s="213"/>
      <c r="AZ2387" s="213"/>
      <c r="BA2387" s="213"/>
      <c r="BB2387" s="213"/>
      <c r="BC2387" s="213"/>
      <c r="BD2387" s="213"/>
    </row>
    <row r="2388">
      <c r="A2388" s="213">
        <f>IFERROR(__xludf.DUMMYFUNCTION("""COMPUTED_VALUE"""),2680.0)</f>
        <v>2680</v>
      </c>
      <c r="B2388" s="213" t="str">
        <f>IFERROR(__xludf.DUMMYFUNCTION("""COMPUTED_VALUE"""),"MANUEL ANTONIO MESONES MURO")</f>
        <v>MANUEL ANTONIO MESONES MURO</v>
      </c>
      <c r="C2388" s="213" t="str">
        <f>IFERROR(__xludf.DUMMYFUNCTION("""COMPUTED_VALUE"""),"TALLER SFT DE EBANISTERÍA")</f>
        <v>TALLER SFT DE EBANISTERÍA</v>
      </c>
      <c r="D2388" s="213" t="str">
        <f>IFERROR(__xludf.DUMMYFUNCTION("""COMPUTED_VALUE"""),"EQUIPOS")</f>
        <v>EQUIPOS</v>
      </c>
      <c r="E2388" s="213" t="str">
        <f>IFERROR(__xludf.DUMMYFUNCTION("""COMPUTED_VALUE"""),"ESP-360")</f>
        <v>ESP-360</v>
      </c>
      <c r="F2388" s="213" t="str">
        <f>IFERROR(__xludf.DUMMYFUNCTION("""COMPUTED_VALUE"""),"ESP-360")</f>
        <v>ESP-360</v>
      </c>
      <c r="G2388" s="213"/>
      <c r="H2388" s="213" t="str">
        <f>IFERROR(__xludf.DUMMYFUNCTION("""COMPUTED_VALUE"""),"TALADRO PORTÁTIL")</f>
        <v>TALADRO PORTÁTIL</v>
      </c>
      <c r="I2388" s="213" t="str">
        <f>IFERROR(__xludf.DUMMYFUNCTION("""COMPUTED_VALUE"""),"Taladro percutor, con selector de función de percusión y velocidad variable reversible. Potencia: 650 - 750 W.
Velocidad en vacío: 2800 rpm.
Capacidad de sujeción de porta brocas: Ø 1.5 - Ø 13 mm Material a trabajar: Metal, madera, concreto
Capacidad máxi"&amp;"ma de perforación: madera Ø 25 mm, acero Ø 13 mm, concreto Ø 16 mm. Voltaje: 220 V, 60 Hz
Incluye un maletín para transporte.
Set de brocas sierra corona, mínimo 6 unidades, medidas  Ø entre: 19 - 76 mm. Set de brocas de titanio, mínimo 25 unidades, diáme"&amp;"tro entre 1 - 13 mm.")</f>
        <v>Taladro percutor, con selector de función de percusión y velocidad variable reversible. Potencia: 650 - 750 W.
Velocidad en vacío: 2800 rpm.
Capacidad de sujeción de porta brocas: Ø 1.5 - Ø 13 mm Material a trabajar: Metal, madera, concreto
Capacidad máxima de perforación: madera Ø 25 mm, acero Ø 13 mm, concreto Ø 16 mm. Voltaje: 220 V, 60 Hz
Incluye un maletín para transporte.
Set de brocas sierra corona, mínimo 6 unidades, medidas  Ø entre: 19 - 76 mm. Set de brocas de titanio, mínimo 25 unidades, diámetro entre 1 - 13 mm.</v>
      </c>
      <c r="J2388" s="213">
        <f>IFERROR(__xludf.DUMMYFUNCTION("""COMPUTED_VALUE"""),3.0)</f>
        <v>3</v>
      </c>
      <c r="K2388" s="213" t="str">
        <f>IFERROR(__xludf.DUMMYFUNCTION("""COMPUTED_VALUE"""),"170 DÍAS CALENDARIO")</f>
        <v>170 DÍAS CALENDARIO</v>
      </c>
      <c r="L2388" s="213" t="str">
        <f>IFERROR(__xludf.DUMMYFUNCTION("""COMPUTED_VALUE"""),"")</f>
        <v/>
      </c>
      <c r="M2388" s="213">
        <f>IFERROR(__xludf.DUMMYFUNCTION("""COMPUTED_VALUE"""),1.0)</f>
        <v>1</v>
      </c>
      <c r="N2388" s="213">
        <f>IFERROR(__xludf.DUMMYFUNCTION("""COMPUTED_VALUE"""),4.0)</f>
        <v>4</v>
      </c>
      <c r="O2388" s="213">
        <f>IFERROR(__xludf.DUMMYFUNCTION("""COMPUTED_VALUE"""),4.0)</f>
        <v>4</v>
      </c>
      <c r="P2388" s="213"/>
      <c r="Q2388" s="213"/>
      <c r="R2388" s="213"/>
      <c r="S2388" s="213" t="str">
        <f>IFERROR(__xludf.DUMMYFUNCTION("""COMPUTED_VALUE"""),"SI")</f>
        <v>SI</v>
      </c>
      <c r="T2388" s="213" t="str">
        <f>IFERROR(__xludf.DUMMYFUNCTION("""COMPUTED_VALUE"""),"SI")</f>
        <v>SI</v>
      </c>
      <c r="U2388" s="213" t="str">
        <f>IFERROR(__xludf.DUMMYFUNCTION("""COMPUTED_VALUE"""),"SI")</f>
        <v>SI</v>
      </c>
      <c r="V2388" s="213" t="str">
        <f>IFERROR(__xludf.DUMMYFUNCTION("""COMPUTED_VALUE"""),"-")</f>
        <v>-</v>
      </c>
      <c r="W2388" s="213" t="str">
        <f>IFERROR(__xludf.DUMMYFUNCTION("""COMPUTED_VALUE"""),"-")</f>
        <v>-</v>
      </c>
      <c r="X2388" s="213" t="str">
        <f>IFERROR(__xludf.DUMMYFUNCTION("""COMPUTED_VALUE"""),"BOSCH")</f>
        <v>BOSCH</v>
      </c>
      <c r="Y2388" s="213" t="str">
        <f>IFERROR(__xludf.DUMMYFUNCTION("""COMPUTED_VALUE"""),"GSB 16 RE Professional")</f>
        <v>GSB 16 RE Professional</v>
      </c>
      <c r="Z2388" s="215" t="str">
        <f>IFERROR(__xludf.DUMMYFUNCTION("""COMPUTED_VALUE"""),"https://www.bosch-professional.com/pe/es/products/gsb-16-re-060114E500")</f>
        <v>https://www.bosch-professional.com/pe/es/products/gsb-16-re-060114E500</v>
      </c>
      <c r="AA2388" s="213" t="str">
        <f>IFERROR(__xludf.DUMMYFUNCTION("""COMPUTED_VALUE"""),"ESP-360 TALADRO PORTÁTIL - CET")</f>
        <v>ESP-360 TALADRO PORTÁTIL - CET</v>
      </c>
      <c r="AB2388" s="215" t="str">
        <f>IFERROR(__xludf.DUMMYFUNCTION("""COMPUTED_VALUE"""),"https://drive.google.com/file/d/17ekB_IWNRiAEXz5Y736eMGxHv2hnFBLE/view?usp=sharing")</f>
        <v>https://drive.google.com/file/d/17ekB_IWNRiAEXz5Y736eMGxHv2hnFBLE/view?usp=sharing</v>
      </c>
      <c r="AC2388" s="213"/>
      <c r="AD2388" s="213"/>
      <c r="AE2388" s="213"/>
      <c r="AF2388" s="213"/>
      <c r="AG2388" s="213"/>
      <c r="AH2388" s="213"/>
      <c r="AI2388" s="213"/>
      <c r="AJ2388" s="213"/>
      <c r="AK2388" s="213"/>
      <c r="AL2388" s="213"/>
      <c r="AM2388" s="213"/>
      <c r="AN2388" s="213"/>
      <c r="AO2388" s="213"/>
      <c r="AP2388" s="213" t="str">
        <f>IFERROR(__xludf.DUMMYFUNCTION("""COMPUTED_VALUE"""),"MICHEL")</f>
        <v>MICHEL</v>
      </c>
      <c r="AQ2388" s="213" t="str">
        <f>IFERROR(__xludf.DUMMYFUNCTION("""COMPUTED_VALUE"""),"Comprar accesorio solicitados y verificar que se incluya maletín")</f>
        <v>Comprar accesorio solicitados y verificar que se incluya maletín</v>
      </c>
      <c r="AR2388" s="213"/>
      <c r="AS2388" s="213" t="str">
        <f>IFERROR(__xludf.DUMMYFUNCTION("""COMPUTED_VALUE"""),"Set de brocas sierra corona, mínimo 6 unidades, medidas  Ø entre: 19 - 76 mm. Set de brocas de titanio, mínimo 25 unidades, diámetro entre 1 - 13 mm.")</f>
        <v>Set de brocas sierra corona, mínimo 6 unidades, medidas  Ø entre: 19 - 76 mm. Set de brocas de titanio, mínimo 25 unidades, diámetro entre 1 - 13 mm.</v>
      </c>
      <c r="AT2388" s="217" t="str">
        <f>IFERROR(__xludf.DUMMYFUNCTION("""COMPUTED_VALUE"""),"https://carpintec.com.pe/products/juego-de-sierra-copa-15-piezas-kamasa
https://www.amazon.com/1mm-10mm-Titanium-High-Speed-Woodworking-Engraving/dp/B0B2DNZ5CQ?th=1")</f>
        <v>https://carpintec.com.pe/products/juego-de-sierra-copa-15-piezas-kamasa
https://www.amazon.com/1mm-10mm-Titanium-High-Speed-Woodworking-Engraving/dp/B0B2DNZ5CQ?th=1</v>
      </c>
      <c r="AU2388" s="213"/>
      <c r="AV2388" s="213"/>
      <c r="AW2388" s="213"/>
      <c r="AX2388" s="213"/>
      <c r="AY2388" s="213"/>
      <c r="AZ2388" s="213"/>
      <c r="BA2388" s="213"/>
      <c r="BB2388" s="213"/>
      <c r="BC2388" s="213"/>
      <c r="BD2388" s="213"/>
    </row>
    <row r="2389">
      <c r="A2389" s="213">
        <f>IFERROR(__xludf.DUMMYFUNCTION("""COMPUTED_VALUE"""),404.0)</f>
        <v>404</v>
      </c>
      <c r="B2389" s="213" t="str">
        <f>IFERROR(__xludf.DUMMYFUNCTION("""COMPUTED_VALUE"""),"2026 SIMON BOLIVAR")</f>
        <v>2026 SIMON BOLIVAR</v>
      </c>
      <c r="C2389" s="213" t="str">
        <f>IFERROR(__xludf.DUMMYFUNCTION("""COMPUTED_VALUE"""),"TALLER SFT DE ELECTRICIDAD")</f>
        <v>TALLER SFT DE ELECTRICIDAD</v>
      </c>
      <c r="D2389" s="213" t="str">
        <f>IFERROR(__xludf.DUMMYFUNCTION("""COMPUTED_VALUE"""),"EQUIPOS")</f>
        <v>EQUIPOS</v>
      </c>
      <c r="E2389" s="213" t="str">
        <f>IFERROR(__xludf.DUMMYFUNCTION("""COMPUTED_VALUE"""),"ESP-362")</f>
        <v>ESP-362</v>
      </c>
      <c r="F2389" s="213" t="str">
        <f>IFERROR(__xludf.DUMMYFUNCTION("""COMPUTED_VALUE"""),"ESP-362")</f>
        <v>ESP-362</v>
      </c>
      <c r="G2389" s="213"/>
      <c r="H2389" s="213" t="str">
        <f>IFERROR(__xludf.DUMMYFUNCTION("""COMPUTED_VALUE"""),"TALADRO PORTÁTIL INALÁMBRICO CON SET DE BROCAS")</f>
        <v>TALADRO PORTÁTIL INALÁMBRICO CON SET DE BROCAS</v>
      </c>
      <c r="I2389" s="213" t="str">
        <f>IFERROR(__xludf.DUMMYFUNCTION("""COMPUTED_VALUE"""),"· Características Técnicas:
- Con capacidad de taladrado en madera y acero.
- Con sistema de baterías recargables e intercambiables de 20 V max.
- Portabrocas con máximo diámetro de abertura de: 13 mm
- Torque mínimo: 170 Nm.
- Velocidad de giro, mínimo: "&amp;"3000 rpm.
- Control de Velocidad Electrónico: Con presión en el gatillo.
- Triple modo de operación: Fijación, Perforación,  Percusión.
- Con Mandril autoajustable.
- Con inversión de giro.
· Características de Seguridad:
- Cubierta de material aislante P"&amp;"VC y mango de goma, protección anticaidas.
- Con diseño ergonómico para mayor comodidad durante el trabajo.
- Con luz LED para la  iluminación de la zona de trabajo.
· Accesorios:
- Maletín para transporte
- Cargador de batería
- Set de máximo 32 piezas d"&amp;"e puntas de brocas diferentes.")</f>
        <v>· Características Técnicas:
- Con capacidad de taladrado en madera y acero.
- Con sistema de baterías recargables e intercambiables de 20 V max.
- Portabrocas con máximo diámetro de abertura de: 13 mm
- Torque mínimo: 170 Nm.
- Velocidad de giro, mínimo: 3000 rpm.
- Control de Velocidad Electrónico: Con presión en el gatillo.
- Triple modo de operación: Fijación, Perforación,  Percusión.
- Con Mandril autoajustable.
- Con inversión de giro.
· Características de Seguridad:
- Cubierta de material aislante PVC y mango de goma, protección anticaidas.
- Con diseño ergonómico para mayor comodidad durante el trabajo.
- Con luz LED para la  iluminación de la zona de trabajo.
· Accesorios:
- Maletín para transporte
- Cargador de batería
- Set de máximo 32 piezas de puntas de brocas diferentes.</v>
      </c>
      <c r="J2389" s="213">
        <f>IFERROR(__xludf.DUMMYFUNCTION("""COMPUTED_VALUE"""),3.0)</f>
        <v>3</v>
      </c>
      <c r="K2389" s="213" t="str">
        <f>IFERROR(__xludf.DUMMYFUNCTION("""COMPUTED_VALUE"""),"170 DÍAS CALENDARIO")</f>
        <v>170 DÍAS CALENDARIO</v>
      </c>
      <c r="L2389" s="213" t="str">
        <f>IFERROR(__xludf.DUMMYFUNCTION("""COMPUTED_VALUE"""),"")</f>
        <v/>
      </c>
      <c r="M2389" s="213">
        <f>IFERROR(__xludf.DUMMYFUNCTION("""COMPUTED_VALUE"""),1.0)</f>
        <v>1</v>
      </c>
      <c r="N2389" s="213">
        <f>IFERROR(__xludf.DUMMYFUNCTION("""COMPUTED_VALUE"""),4.0)</f>
        <v>4</v>
      </c>
      <c r="O2389" s="213">
        <f>IFERROR(__xludf.DUMMYFUNCTION("""COMPUTED_VALUE"""),4.0)</f>
        <v>4</v>
      </c>
      <c r="P2389" s="213"/>
      <c r="Q2389" s="213"/>
      <c r="R2389" s="213"/>
      <c r="S2389" s="213" t="str">
        <f>IFERROR(__xludf.DUMMYFUNCTION("""COMPUTED_VALUE"""),"SI")</f>
        <v>SI</v>
      </c>
      <c r="T2389" s="213" t="str">
        <f>IFERROR(__xludf.DUMMYFUNCTION("""COMPUTED_VALUE"""),"SI")</f>
        <v>SI</v>
      </c>
      <c r="U2389" s="213" t="str">
        <f>IFERROR(__xludf.DUMMYFUNCTION("""COMPUTED_VALUE"""),"NO")</f>
        <v>NO</v>
      </c>
      <c r="V2389" s="213" t="str">
        <f>IFERROR(__xludf.DUMMYFUNCTION("""COMPUTED_VALUE"""),"SUSTENTO")</f>
        <v>SUSTENTO</v>
      </c>
      <c r="W2389" s="213" t="str">
        <f>IFERROR(__xludf.DUMMYFUNCTION("""COMPUTED_VALUE"""),"EQU TEC, ERROR EETT")</f>
        <v>EQU TEC, ERROR EETT</v>
      </c>
      <c r="X2389" s="213" t="str">
        <f>IFERROR(__xludf.DUMMYFUNCTION("""COMPUTED_VALUE"""),"BOSCH")</f>
        <v>BOSCH</v>
      </c>
      <c r="Y2389" s="213" t="str">
        <f>IFERROR(__xludf.DUMMYFUNCTION("""COMPUTED_VALUE"""),"GSB 185-LI")</f>
        <v>GSB 185-LI</v>
      </c>
      <c r="Z2389" s="213" t="str">
        <f>IFERROR(__xludf.DUMMYFUNCTION("""COMPUTED_VALUE"""),"KIT DE TALADRO DESTORNILLADOR INALÁMBRICO - FT.pdf")</f>
        <v>KIT DE TALADRO DESTORNILLADOR INALÁMBRICO - FT.pdf</v>
      </c>
      <c r="AA2389" s="213" t="str">
        <f>IFERROR(__xludf.DUMMYFUNCTION("""COMPUTED_VALUE"""),"ESP-362 TALADRO PORTÁTIL INALÁMBRICO CON SET DE BROCAS - CET")</f>
        <v>ESP-362 TALADRO PORTÁTIL INALÁMBRICO CON SET DE BROCAS - CET</v>
      </c>
      <c r="AB2389" s="213"/>
      <c r="AC2389" s="213"/>
      <c r="AD2389" s="213"/>
      <c r="AE2389" s="213"/>
      <c r="AF2389" s="213"/>
      <c r="AG2389" s="213"/>
      <c r="AH2389" s="213"/>
      <c r="AI2389" s="213"/>
      <c r="AJ2389" s="213"/>
      <c r="AK2389" s="213"/>
      <c r="AL2389" s="213"/>
      <c r="AM2389" s="213"/>
      <c r="AN2389" s="213"/>
      <c r="AO2389" s="213"/>
      <c r="AP2389" s="213" t="str">
        <f>IFERROR(__xludf.DUMMYFUNCTION("""COMPUTED_VALUE"""),"NALDI")</f>
        <v>NALDI</v>
      </c>
      <c r="AQ2389" s="213" t="str">
        <f>IFERROR(__xludf.DUMMYFUNCTION("""COMPUTED_VALUE"""),"Considerar el modelo incluye (2) Baterías ")</f>
        <v>Considerar el modelo incluye (2) Baterías </v>
      </c>
      <c r="AR2389" s="213"/>
      <c r="AS2389" s="213"/>
      <c r="AT2389" s="213"/>
      <c r="AU2389" s="213"/>
      <c r="AV2389" s="213"/>
      <c r="AW2389" s="213"/>
      <c r="AX2389" s="213"/>
      <c r="AY2389" s="213"/>
      <c r="AZ2389" s="213"/>
      <c r="BA2389" s="213"/>
      <c r="BB2389" s="213"/>
      <c r="BC2389" s="213"/>
      <c r="BD2389" s="213"/>
    </row>
    <row r="2390">
      <c r="A2390" s="213">
        <f>IFERROR(__xludf.DUMMYFUNCTION("""COMPUTED_VALUE"""),890.0)</f>
        <v>890</v>
      </c>
      <c r="B2390" s="213" t="str">
        <f>IFERROR(__xludf.DUMMYFUNCTION("""COMPUTED_VALUE"""),"6049 RICARDO PALMA")</f>
        <v>6049 RICARDO PALMA</v>
      </c>
      <c r="C2390" s="213" t="str">
        <f>IFERROR(__xludf.DUMMYFUNCTION("""COMPUTED_VALUE"""),"TALLER SFT DE ELECTRICIDAD")</f>
        <v>TALLER SFT DE ELECTRICIDAD</v>
      </c>
      <c r="D2390" s="213" t="str">
        <f>IFERROR(__xludf.DUMMYFUNCTION("""COMPUTED_VALUE"""),"EQUIPOS")</f>
        <v>EQUIPOS</v>
      </c>
      <c r="E2390" s="213" t="str">
        <f>IFERROR(__xludf.DUMMYFUNCTION("""COMPUTED_VALUE"""),"ESP-362")</f>
        <v>ESP-362</v>
      </c>
      <c r="F2390" s="213" t="str">
        <f>IFERROR(__xludf.DUMMYFUNCTION("""COMPUTED_VALUE"""),"ESP-362")</f>
        <v>ESP-362</v>
      </c>
      <c r="G2390" s="213"/>
      <c r="H2390" s="213" t="str">
        <f>IFERROR(__xludf.DUMMYFUNCTION("""COMPUTED_VALUE"""),"TALADRO PORTÁTIL INALÁMBRICO CON SET DE BROCAS")</f>
        <v>TALADRO PORTÁTIL INALÁMBRICO CON SET DE BROCAS</v>
      </c>
      <c r="I2390" s="213" t="str">
        <f>IFERROR(__xludf.DUMMYFUNCTION("""COMPUTED_VALUE"""),"· Características Técnicas:
- Con capacidad de taladrado en madera y acero.
- Con sistema de baterías recargables e intercambiables de 20 V max.
- Portabrocas con máximo diámetro de abertura de: 13 mm
- Torque mínimo: 170 Nm.
- Velocidad de giro, mínimo: "&amp;"3000 rpm.
- Control de Velocidad Electrónico: Con presión en el gatillo.
- Triple modo de operación: Fijación, Perforación,  Percusión.
- Con Mandril autoajustable.
- Con inversión de giro.
· Características de Seguridad:
- Cubierta de material aislante P"&amp;"VC y mango de goma, protección anticaidas.
- Con diseño ergonómico para mayor comodidad durante el trabajo.
- Con luz LED para la  iluminación de la zona de trabajo.
· Accesorios:
- Maletín para transporte
- Cargador de batería
- Set de máximo 32 piezas d"&amp;"e puntas de brocas diferentes.")</f>
        <v>· Características Técnicas:
- Con capacidad de taladrado en madera y acero.
- Con sistema de baterías recargables e intercambiables de 20 V max.
- Portabrocas con máximo diámetro de abertura de: 13 mm
- Torque mínimo: 170 Nm.
- Velocidad de giro, mínimo: 3000 rpm.
- Control de Velocidad Electrónico: Con presión en el gatillo.
- Triple modo de operación: Fijación, Perforación,  Percusión.
- Con Mandril autoajustable.
- Con inversión de giro.
· Características de Seguridad:
- Cubierta de material aislante PVC y mango de goma, protección anticaidas.
- Con diseño ergonómico para mayor comodidad durante el trabajo.
- Con luz LED para la  iluminación de la zona de trabajo.
· Accesorios:
- Maletín para transporte
- Cargador de batería
- Set de máximo 32 piezas de puntas de brocas diferentes.</v>
      </c>
      <c r="J2390" s="213">
        <f>IFERROR(__xludf.DUMMYFUNCTION("""COMPUTED_VALUE"""),3.0)</f>
        <v>3</v>
      </c>
      <c r="K2390" s="213" t="str">
        <f>IFERROR(__xludf.DUMMYFUNCTION("""COMPUTED_VALUE"""),"170 DÍAS CALENDARIO")</f>
        <v>170 DÍAS CALENDARIO</v>
      </c>
      <c r="L2390" s="213" t="str">
        <f>IFERROR(__xludf.DUMMYFUNCTION("""COMPUTED_VALUE"""),"")</f>
        <v/>
      </c>
      <c r="M2390" s="213">
        <f>IFERROR(__xludf.DUMMYFUNCTION("""COMPUTED_VALUE"""),1.0)</f>
        <v>1</v>
      </c>
      <c r="N2390" s="213">
        <f>IFERROR(__xludf.DUMMYFUNCTION("""COMPUTED_VALUE"""),4.0)</f>
        <v>4</v>
      </c>
      <c r="O2390" s="213">
        <f>IFERROR(__xludf.DUMMYFUNCTION("""COMPUTED_VALUE"""),4.0)</f>
        <v>4</v>
      </c>
      <c r="P2390" s="213"/>
      <c r="Q2390" s="213"/>
      <c r="R2390" s="213"/>
      <c r="S2390" s="213" t="str">
        <f>IFERROR(__xludf.DUMMYFUNCTION("""COMPUTED_VALUE"""),"SI")</f>
        <v>SI</v>
      </c>
      <c r="T2390" s="213" t="str">
        <f>IFERROR(__xludf.DUMMYFUNCTION("""COMPUTED_VALUE"""),"SI")</f>
        <v>SI</v>
      </c>
      <c r="U2390" s="213" t="str">
        <f>IFERROR(__xludf.DUMMYFUNCTION("""COMPUTED_VALUE"""),"NO")</f>
        <v>NO</v>
      </c>
      <c r="V2390" s="213" t="str">
        <f>IFERROR(__xludf.DUMMYFUNCTION("""COMPUTED_VALUE"""),"SUSTENTO")</f>
        <v>SUSTENTO</v>
      </c>
      <c r="W2390" s="213" t="str">
        <f>IFERROR(__xludf.DUMMYFUNCTION("""COMPUTED_VALUE"""),"EQU TEC, ERROR EETT")</f>
        <v>EQU TEC, ERROR EETT</v>
      </c>
      <c r="X2390" s="213" t="str">
        <f>IFERROR(__xludf.DUMMYFUNCTION("""COMPUTED_VALUE"""),"BOSCH")</f>
        <v>BOSCH</v>
      </c>
      <c r="Y2390" s="213" t="str">
        <f>IFERROR(__xludf.DUMMYFUNCTION("""COMPUTED_VALUE"""),"GSB 185-LI")</f>
        <v>GSB 185-LI</v>
      </c>
      <c r="Z2390" s="213" t="str">
        <f>IFERROR(__xludf.DUMMYFUNCTION("""COMPUTED_VALUE"""),"KIT DE TALADRO DESTORNILLADOR INALÁMBRICO - FT.pdf")</f>
        <v>KIT DE TALADRO DESTORNILLADOR INALÁMBRICO - FT.pdf</v>
      </c>
      <c r="AA2390" s="213" t="str">
        <f>IFERROR(__xludf.DUMMYFUNCTION("""COMPUTED_VALUE"""),"ESP-362 TALADRO PORTÁTIL INALÁMBRICO CON SET DE BROCAS - CET")</f>
        <v>ESP-362 TALADRO PORTÁTIL INALÁMBRICO CON SET DE BROCAS - CET</v>
      </c>
      <c r="AB2390" s="213"/>
      <c r="AC2390" s="213"/>
      <c r="AD2390" s="213"/>
      <c r="AE2390" s="213"/>
      <c r="AF2390" s="213"/>
      <c r="AG2390" s="213"/>
      <c r="AH2390" s="213"/>
      <c r="AI2390" s="213"/>
      <c r="AJ2390" s="213"/>
      <c r="AK2390" s="213"/>
      <c r="AL2390" s="213"/>
      <c r="AM2390" s="213"/>
      <c r="AN2390" s="213"/>
      <c r="AO2390" s="213"/>
      <c r="AP2390" s="213" t="str">
        <f>IFERROR(__xludf.DUMMYFUNCTION("""COMPUTED_VALUE"""),"NALDI")</f>
        <v>NALDI</v>
      </c>
      <c r="AQ2390" s="213" t="str">
        <f>IFERROR(__xludf.DUMMYFUNCTION("""COMPUTED_VALUE"""),"Considerar el modelo incluye (2) Baterías ")</f>
        <v>Considerar el modelo incluye (2) Baterías </v>
      </c>
      <c r="AR2390" s="213"/>
      <c r="AS2390" s="213"/>
      <c r="AT2390" s="213"/>
      <c r="AU2390" s="213"/>
      <c r="AV2390" s="213"/>
      <c r="AW2390" s="213"/>
      <c r="AX2390" s="213"/>
      <c r="AY2390" s="213"/>
      <c r="AZ2390" s="213"/>
      <c r="BA2390" s="213"/>
      <c r="BB2390" s="213"/>
      <c r="BC2390" s="213"/>
      <c r="BD2390" s="213"/>
    </row>
    <row r="2391">
      <c r="A2391" s="213">
        <f>IFERROR(__xludf.DUMMYFUNCTION("""COMPUTED_VALUE"""),1312.0)</f>
        <v>1312</v>
      </c>
      <c r="B2391" s="213" t="str">
        <f>IFERROR(__xludf.DUMMYFUNCTION("""COMPUTED_VALUE"""),"GUILLERMO E. BILLINGHURST ")</f>
        <v>GUILLERMO E. BILLINGHURST </v>
      </c>
      <c r="C2391" s="213" t="str">
        <f>IFERROR(__xludf.DUMMYFUNCTION("""COMPUTED_VALUE"""),"TALLER SFT DE ELECTRICIDAD")</f>
        <v>TALLER SFT DE ELECTRICIDAD</v>
      </c>
      <c r="D2391" s="213" t="str">
        <f>IFERROR(__xludf.DUMMYFUNCTION("""COMPUTED_VALUE"""),"EQUIPOS")</f>
        <v>EQUIPOS</v>
      </c>
      <c r="E2391" s="213" t="str">
        <f>IFERROR(__xludf.DUMMYFUNCTION("""COMPUTED_VALUE"""),"ESP-362")</f>
        <v>ESP-362</v>
      </c>
      <c r="F2391" s="213" t="str">
        <f>IFERROR(__xludf.DUMMYFUNCTION("""COMPUTED_VALUE"""),"ESP-362")</f>
        <v>ESP-362</v>
      </c>
      <c r="G2391" s="213"/>
      <c r="H2391" s="213" t="str">
        <f>IFERROR(__xludf.DUMMYFUNCTION("""COMPUTED_VALUE"""),"TALADRO PORTÁTIL INALÁMBRICO CON SET DE BROCAS")</f>
        <v>TALADRO PORTÁTIL INALÁMBRICO CON SET DE BROCAS</v>
      </c>
      <c r="I2391" s="213" t="str">
        <f>IFERROR(__xludf.DUMMYFUNCTION("""COMPUTED_VALUE"""),"· Características Técnicas:
- Con capacidad de taladrado en madera y acero.
- Con sistema de baterías recargables e intercambiables de 20 V max.
- Portabrocas con máximo diámetro de abertura de: 13 mm
- Torque mínimo: 170 Nm.
- Velocidad de giro, mínimo: "&amp;"3000 rpm.
- Control de Velocidad Electrónico: Con presión en el gatillo.
- Triple modo de operación: Fijación, Perforación,  Percusión.
- Con Mandril autoajustable.
- Con inversión de giro.
· Características de Seguridad:
- Cubierta de material aislante P"&amp;"VC y mango de goma, protección anticaidas.
- Con diseño ergonómico para mayor comodidad durante el trabajo.
- Con luz LED para la  iluminación de la zona de trabajo.
· Accesorios:
- Maletín para transporte
- Cargador de batería
- Set de máximo 32 piezas d"&amp;"e puntas de brocas diferentes.")</f>
        <v>· Características Técnicas:
- Con capacidad de taladrado en madera y acero.
- Con sistema de baterías recargables e intercambiables de 20 V max.
- Portabrocas con máximo diámetro de abertura de: 13 mm
- Torque mínimo: 170 Nm.
- Velocidad de giro, mínimo: 3000 rpm.
- Control de Velocidad Electrónico: Con presión en el gatillo.
- Triple modo de operación: Fijación, Perforación,  Percusión.
- Con Mandril autoajustable.
- Con inversión de giro.
· Características de Seguridad:
- Cubierta de material aislante PVC y mango de goma, protección anticaidas.
- Con diseño ergonómico para mayor comodidad durante el trabajo.
- Con luz LED para la  iluminación de la zona de trabajo.
· Accesorios:
- Maletín para transporte
- Cargador de batería
- Set de máximo 32 piezas de puntas de brocas diferentes.</v>
      </c>
      <c r="J2391" s="213">
        <f>IFERROR(__xludf.DUMMYFUNCTION("""COMPUTED_VALUE"""),3.0)</f>
        <v>3</v>
      </c>
      <c r="K2391" s="213" t="str">
        <f>IFERROR(__xludf.DUMMYFUNCTION("""COMPUTED_VALUE"""),"170 DÍAS CALENDARIO")</f>
        <v>170 DÍAS CALENDARIO</v>
      </c>
      <c r="L2391" s="213" t="str">
        <f>IFERROR(__xludf.DUMMYFUNCTION("""COMPUTED_VALUE"""),"")</f>
        <v/>
      </c>
      <c r="M2391" s="213">
        <f>IFERROR(__xludf.DUMMYFUNCTION("""COMPUTED_VALUE"""),1.0)</f>
        <v>1</v>
      </c>
      <c r="N2391" s="213">
        <f>IFERROR(__xludf.DUMMYFUNCTION("""COMPUTED_VALUE"""),4.0)</f>
        <v>4</v>
      </c>
      <c r="O2391" s="213">
        <f>IFERROR(__xludf.DUMMYFUNCTION("""COMPUTED_VALUE"""),4.0)</f>
        <v>4</v>
      </c>
      <c r="P2391" s="213"/>
      <c r="Q2391" s="213"/>
      <c r="R2391" s="213"/>
      <c r="S2391" s="213" t="str">
        <f>IFERROR(__xludf.DUMMYFUNCTION("""COMPUTED_VALUE"""),"SI")</f>
        <v>SI</v>
      </c>
      <c r="T2391" s="213" t="str">
        <f>IFERROR(__xludf.DUMMYFUNCTION("""COMPUTED_VALUE"""),"SI")</f>
        <v>SI</v>
      </c>
      <c r="U2391" s="213" t="str">
        <f>IFERROR(__xludf.DUMMYFUNCTION("""COMPUTED_VALUE"""),"NO")</f>
        <v>NO</v>
      </c>
      <c r="V2391" s="213" t="str">
        <f>IFERROR(__xludf.DUMMYFUNCTION("""COMPUTED_VALUE"""),"SUSTENTO")</f>
        <v>SUSTENTO</v>
      </c>
      <c r="W2391" s="213" t="str">
        <f>IFERROR(__xludf.DUMMYFUNCTION("""COMPUTED_VALUE"""),"EQU TEC, ERROR EETT")</f>
        <v>EQU TEC, ERROR EETT</v>
      </c>
      <c r="X2391" s="213" t="str">
        <f>IFERROR(__xludf.DUMMYFUNCTION("""COMPUTED_VALUE"""),"BOSCH")</f>
        <v>BOSCH</v>
      </c>
      <c r="Y2391" s="213" t="str">
        <f>IFERROR(__xludf.DUMMYFUNCTION("""COMPUTED_VALUE"""),"GSB 185-LI")</f>
        <v>GSB 185-LI</v>
      </c>
      <c r="Z2391" s="213" t="str">
        <f>IFERROR(__xludf.DUMMYFUNCTION("""COMPUTED_VALUE"""),"KIT DE TALADRO DESTORNILLADOR INALÁMBRICO - FT.pdf")</f>
        <v>KIT DE TALADRO DESTORNILLADOR INALÁMBRICO - FT.pdf</v>
      </c>
      <c r="AA2391" s="213" t="str">
        <f>IFERROR(__xludf.DUMMYFUNCTION("""COMPUTED_VALUE"""),"ESP-362 TALADRO PORTÁTIL INALÁMBRICO CON SET DE BROCAS - CET")</f>
        <v>ESP-362 TALADRO PORTÁTIL INALÁMBRICO CON SET DE BROCAS - CET</v>
      </c>
      <c r="AB2391" s="213"/>
      <c r="AC2391" s="213"/>
      <c r="AD2391" s="213"/>
      <c r="AE2391" s="213"/>
      <c r="AF2391" s="213"/>
      <c r="AG2391" s="213"/>
      <c r="AH2391" s="213"/>
      <c r="AI2391" s="213"/>
      <c r="AJ2391" s="213"/>
      <c r="AK2391" s="213"/>
      <c r="AL2391" s="213"/>
      <c r="AM2391" s="213"/>
      <c r="AN2391" s="213"/>
      <c r="AO2391" s="213"/>
      <c r="AP2391" s="213" t="str">
        <f>IFERROR(__xludf.DUMMYFUNCTION("""COMPUTED_VALUE"""),"NALDI")</f>
        <v>NALDI</v>
      </c>
      <c r="AQ2391" s="213" t="str">
        <f>IFERROR(__xludf.DUMMYFUNCTION("""COMPUTED_VALUE"""),"Considerar el modelo incluye (2) Baterías ")</f>
        <v>Considerar el modelo incluye (2) Baterías </v>
      </c>
      <c r="AR2391" s="213"/>
      <c r="AS2391" s="213"/>
      <c r="AT2391" s="213"/>
      <c r="AU2391" s="213"/>
      <c r="AV2391" s="213"/>
      <c r="AW2391" s="213"/>
      <c r="AX2391" s="213"/>
      <c r="AY2391" s="213"/>
      <c r="AZ2391" s="213"/>
      <c r="BA2391" s="213"/>
      <c r="BB2391" s="213"/>
      <c r="BC2391" s="213"/>
      <c r="BD2391" s="213"/>
    </row>
    <row r="2392">
      <c r="A2392" s="213">
        <f>IFERROR(__xludf.DUMMYFUNCTION("""COMPUTED_VALUE"""),135.0)</f>
        <v>135</v>
      </c>
      <c r="B2392" s="213" t="str">
        <f>IFERROR(__xludf.DUMMYFUNCTION("""COMPUTED_VALUE"""),"16449 ELOY SOBERON  FLORES")</f>
        <v>16449 ELOY SOBERON  FLORES</v>
      </c>
      <c r="C2392" s="213" t="str">
        <f>IFERROR(__xludf.DUMMYFUNCTION("""COMPUTED_VALUE"""),"TALLER SFT DE COCINA Y REPOSTERÍA")</f>
        <v>TALLER SFT DE COCINA Y REPOSTERÍA</v>
      </c>
      <c r="D2392" s="213" t="str">
        <f>IFERROR(__xludf.DUMMYFUNCTION("""COMPUTED_VALUE"""),"PEDAGOGICO")</f>
        <v>PEDAGOGICO</v>
      </c>
      <c r="E2392" s="213" t="str">
        <f>IFERROR(__xludf.DUMMYFUNCTION("""COMPUTED_VALUE"""),"-")</f>
        <v>-</v>
      </c>
      <c r="F2392" s="213" t="str">
        <f>IFERROR(__xludf.DUMMYFUNCTION("""COMPUTED_VALUE"""),"CAPA-COCI")</f>
        <v>CAPA-COCI</v>
      </c>
      <c r="G2392" s="213"/>
      <c r="H2392" s="213" t="str">
        <f>IFERROR(__xludf.DUMMYFUNCTION("""COMPUTED_VALUE"""),"TALLER DE CAPACITACIÓN PRESENCIAL")</f>
        <v>TALLER DE CAPACITACIÓN PRESENCIAL</v>
      </c>
      <c r="I2392" s="213"/>
      <c r="J2392" s="213">
        <f>IFERROR(__xludf.DUMMYFUNCTION("""COMPUTED_VALUE"""),3.0)</f>
        <v>3</v>
      </c>
      <c r="K2392" s="213" t="str">
        <f>IFERROR(__xludf.DUMMYFUNCTION("""COMPUTED_VALUE"""),"170 DÍAS CALENDARIO")</f>
        <v>170 DÍAS CALENDARIO</v>
      </c>
      <c r="L2392" s="213" t="str">
        <f>IFERROR(__xludf.DUMMYFUNCTION("""COMPUTED_VALUE"""),"")</f>
        <v/>
      </c>
      <c r="M2392" s="213">
        <f>IFERROR(__xludf.DUMMYFUNCTION("""COMPUTED_VALUE"""),1.0)</f>
        <v>1</v>
      </c>
      <c r="N2392" s="213">
        <f>IFERROR(__xludf.DUMMYFUNCTION("""COMPUTED_VALUE"""),1.0)</f>
        <v>1</v>
      </c>
      <c r="O2392" s="213">
        <f>IFERROR(__xludf.DUMMYFUNCTION("""COMPUTED_VALUE"""),1.0)</f>
        <v>1</v>
      </c>
      <c r="P2392" s="213"/>
      <c r="Q2392" s="213"/>
      <c r="R2392" s="213"/>
      <c r="S2392" s="213"/>
      <c r="T2392" s="213"/>
      <c r="U2392" s="213"/>
      <c r="V2392" s="213"/>
      <c r="W2392" s="213"/>
      <c r="X2392" s="213"/>
      <c r="Y2392" s="213"/>
      <c r="Z2392" s="213"/>
      <c r="AA2392" s="213"/>
      <c r="AB2392" s="213"/>
      <c r="AC2392" s="213"/>
      <c r="AD2392" s="213"/>
      <c r="AE2392" s="213"/>
      <c r="AF2392" s="213"/>
      <c r="AG2392" s="213"/>
      <c r="AH2392" s="213"/>
      <c r="AI2392" s="213"/>
      <c r="AJ2392" s="213"/>
      <c r="AK2392" s="213"/>
      <c r="AL2392" s="213"/>
      <c r="AM2392" s="213"/>
      <c r="AN2392" s="213"/>
      <c r="AO2392" s="213"/>
      <c r="AP2392" s="213"/>
      <c r="AQ2392" s="213"/>
      <c r="AR2392" s="213"/>
      <c r="AS2392" s="213"/>
      <c r="AT2392" s="213"/>
      <c r="AU2392" s="213"/>
      <c r="AV2392" s="213"/>
      <c r="AW2392" s="213"/>
      <c r="AX2392" s="213"/>
      <c r="AY2392" s="213"/>
      <c r="AZ2392" s="213"/>
      <c r="BA2392" s="213"/>
      <c r="BB2392" s="213"/>
      <c r="BC2392" s="213"/>
      <c r="BD2392" s="213"/>
    </row>
    <row r="2393">
      <c r="A2393" s="213">
        <f>IFERROR(__xludf.DUMMYFUNCTION("""COMPUTED_VALUE"""),239.0)</f>
        <v>239</v>
      </c>
      <c r="B2393" s="213" t="str">
        <f>IFERROR(__xludf.DUMMYFUNCTION("""COMPUTED_VALUE"""),"2026 SIMON BOLIVAR")</f>
        <v>2026 SIMON BOLIVAR</v>
      </c>
      <c r="C2393" s="213" t="str">
        <f>IFERROR(__xludf.DUMMYFUNCTION("""COMPUTED_VALUE"""),"TALLER SFT DE INDUSTRIA DEL VESTIDO")</f>
        <v>TALLER SFT DE INDUSTRIA DEL VESTIDO</v>
      </c>
      <c r="D2393" s="213" t="str">
        <f>IFERROR(__xludf.DUMMYFUNCTION("""COMPUTED_VALUE"""),"PEDAGOGICO")</f>
        <v>PEDAGOGICO</v>
      </c>
      <c r="E2393" s="213" t="str">
        <f>IFERROR(__xludf.DUMMYFUNCTION("""COMPUTED_VALUE"""),"-")</f>
        <v>-</v>
      </c>
      <c r="F2393" s="213" t="str">
        <f>IFERROR(__xludf.DUMMYFUNCTION("""COMPUTED_VALUE"""),"CAPA-VEST")</f>
        <v>CAPA-VEST</v>
      </c>
      <c r="G2393" s="213"/>
      <c r="H2393" s="213" t="str">
        <f>IFERROR(__xludf.DUMMYFUNCTION("""COMPUTED_VALUE"""),"TALLER DE CAPACITACIÓN PRESENCIAL")</f>
        <v>TALLER DE CAPACITACIÓN PRESENCIAL</v>
      </c>
      <c r="I2393" s="213"/>
      <c r="J2393" s="213">
        <f>IFERROR(__xludf.DUMMYFUNCTION("""COMPUTED_VALUE"""),3.0)</f>
        <v>3</v>
      </c>
      <c r="K2393" s="213" t="str">
        <f>IFERROR(__xludf.DUMMYFUNCTION("""COMPUTED_VALUE"""),"170 DÍAS CALENDARIO")</f>
        <v>170 DÍAS CALENDARIO</v>
      </c>
      <c r="L2393" s="213" t="str">
        <f>IFERROR(__xludf.DUMMYFUNCTION("""COMPUTED_VALUE"""),"")</f>
        <v/>
      </c>
      <c r="M2393" s="213">
        <f>IFERROR(__xludf.DUMMYFUNCTION("""COMPUTED_VALUE"""),1.0)</f>
        <v>1</v>
      </c>
      <c r="N2393" s="213">
        <f>IFERROR(__xludf.DUMMYFUNCTION("""COMPUTED_VALUE"""),1.0)</f>
        <v>1</v>
      </c>
      <c r="O2393" s="213">
        <f>IFERROR(__xludf.DUMMYFUNCTION("""COMPUTED_VALUE"""),1.0)</f>
        <v>1</v>
      </c>
      <c r="P2393" s="213"/>
      <c r="Q2393" s="213"/>
      <c r="R2393" s="213"/>
      <c r="S2393" s="213"/>
      <c r="T2393" s="213"/>
      <c r="U2393" s="213"/>
      <c r="V2393" s="213"/>
      <c r="W2393" s="213"/>
      <c r="X2393" s="213"/>
      <c r="Y2393" s="213"/>
      <c r="Z2393" s="213"/>
      <c r="AA2393" s="213"/>
      <c r="AB2393" s="213"/>
      <c r="AC2393" s="213"/>
      <c r="AD2393" s="213"/>
      <c r="AE2393" s="213"/>
      <c r="AF2393" s="213"/>
      <c r="AG2393" s="213"/>
      <c r="AH2393" s="213"/>
      <c r="AI2393" s="213"/>
      <c r="AJ2393" s="213"/>
      <c r="AK2393" s="213"/>
      <c r="AL2393" s="213"/>
      <c r="AM2393" s="213"/>
      <c r="AN2393" s="213"/>
      <c r="AO2393" s="213"/>
      <c r="AP2393" s="213"/>
      <c r="AQ2393" s="213"/>
      <c r="AR2393" s="213"/>
      <c r="AS2393" s="213"/>
      <c r="AT2393" s="213"/>
      <c r="AU2393" s="213"/>
      <c r="AV2393" s="213"/>
      <c r="AW2393" s="213"/>
      <c r="AX2393" s="213"/>
      <c r="AY2393" s="213"/>
      <c r="AZ2393" s="213"/>
      <c r="BA2393" s="213"/>
      <c r="BB2393" s="213"/>
      <c r="BC2393" s="213"/>
      <c r="BD2393" s="213"/>
    </row>
    <row r="2394">
      <c r="A2394" s="213">
        <f>IFERROR(__xludf.DUMMYFUNCTION("""COMPUTED_VALUE"""),331.0)</f>
        <v>331</v>
      </c>
      <c r="B2394" s="213" t="str">
        <f>IFERROR(__xludf.DUMMYFUNCTION("""COMPUTED_VALUE"""),"2026 SIMON BOLIVAR")</f>
        <v>2026 SIMON BOLIVAR</v>
      </c>
      <c r="C2394" s="213" t="str">
        <f>IFERROR(__xludf.DUMMYFUNCTION("""COMPUTED_VALUE"""),"TALLER SFT DE COMPUTACIÓN E INFORMÁTICA")</f>
        <v>TALLER SFT DE COMPUTACIÓN E INFORMÁTICA</v>
      </c>
      <c r="D2394" s="213" t="str">
        <f>IFERROR(__xludf.DUMMYFUNCTION("""COMPUTED_VALUE"""),"PEDAGOGICO")</f>
        <v>PEDAGOGICO</v>
      </c>
      <c r="E2394" s="213" t="str">
        <f>IFERROR(__xludf.DUMMYFUNCTION("""COMPUTED_VALUE"""),"-")</f>
        <v>-</v>
      </c>
      <c r="F2394" s="213" t="str">
        <f>IFERROR(__xludf.DUMMYFUNCTION("""COMPUTED_VALUE"""),"CAPA-COM")</f>
        <v>CAPA-COM</v>
      </c>
      <c r="G2394" s="213"/>
      <c r="H2394" s="213" t="str">
        <f>IFERROR(__xludf.DUMMYFUNCTION("""COMPUTED_VALUE"""),"TALLER DE CAPACITACIÓN PRESENCIAL")</f>
        <v>TALLER DE CAPACITACIÓN PRESENCIAL</v>
      </c>
      <c r="I2394" s="213"/>
      <c r="J2394" s="213">
        <f>IFERROR(__xludf.DUMMYFUNCTION("""COMPUTED_VALUE"""),3.0)</f>
        <v>3</v>
      </c>
      <c r="K2394" s="213" t="str">
        <f>IFERROR(__xludf.DUMMYFUNCTION("""COMPUTED_VALUE"""),"170 DÍAS CALENDARIO")</f>
        <v>170 DÍAS CALENDARIO</v>
      </c>
      <c r="L2394" s="213" t="str">
        <f>IFERROR(__xludf.DUMMYFUNCTION("""COMPUTED_VALUE"""),"")</f>
        <v/>
      </c>
      <c r="M2394" s="213">
        <f>IFERROR(__xludf.DUMMYFUNCTION("""COMPUTED_VALUE"""),1.0)</f>
        <v>1</v>
      </c>
      <c r="N2394" s="213">
        <f>IFERROR(__xludf.DUMMYFUNCTION("""COMPUTED_VALUE"""),1.0)</f>
        <v>1</v>
      </c>
      <c r="O2394" s="213">
        <f>IFERROR(__xludf.DUMMYFUNCTION("""COMPUTED_VALUE"""),1.0)</f>
        <v>1</v>
      </c>
      <c r="P2394" s="213"/>
      <c r="Q2394" s="213"/>
      <c r="R2394" s="213"/>
      <c r="S2394" s="213"/>
      <c r="T2394" s="213"/>
      <c r="U2394" s="213"/>
      <c r="V2394" s="213"/>
      <c r="W2394" s="213"/>
      <c r="X2394" s="213"/>
      <c r="Y2394" s="213"/>
      <c r="Z2394" s="213"/>
      <c r="AA2394" s="213"/>
      <c r="AB2394" s="213"/>
      <c r="AC2394" s="213"/>
      <c r="AD2394" s="213"/>
      <c r="AE2394" s="213"/>
      <c r="AF2394" s="213"/>
      <c r="AG2394" s="213"/>
      <c r="AH2394" s="213"/>
      <c r="AI2394" s="213"/>
      <c r="AJ2394" s="213"/>
      <c r="AK2394" s="213"/>
      <c r="AL2394" s="213"/>
      <c r="AM2394" s="213"/>
      <c r="AN2394" s="213"/>
      <c r="AO2394" s="213"/>
      <c r="AP2394" s="213"/>
      <c r="AQ2394" s="213"/>
      <c r="AR2394" s="213"/>
      <c r="AS2394" s="213"/>
      <c r="AT2394" s="213"/>
      <c r="AU2394" s="213"/>
      <c r="AV2394" s="213"/>
      <c r="AW2394" s="213"/>
      <c r="AX2394" s="213"/>
      <c r="AY2394" s="213"/>
      <c r="AZ2394" s="213"/>
      <c r="BA2394" s="213"/>
      <c r="BB2394" s="213"/>
      <c r="BC2394" s="213"/>
      <c r="BD2394" s="213"/>
    </row>
    <row r="2395">
      <c r="A2395" s="213">
        <f>IFERROR(__xludf.DUMMYFUNCTION("""COMPUTED_VALUE"""),416.0)</f>
        <v>416</v>
      </c>
      <c r="B2395" s="213" t="str">
        <f>IFERROR(__xludf.DUMMYFUNCTION("""COMPUTED_VALUE"""),"2026 SIMON BOLIVAR")</f>
        <v>2026 SIMON BOLIVAR</v>
      </c>
      <c r="C2395" s="213" t="str">
        <f>IFERROR(__xludf.DUMMYFUNCTION("""COMPUTED_VALUE"""),"TALLER SFT DE ELECTRICIDAD")</f>
        <v>TALLER SFT DE ELECTRICIDAD</v>
      </c>
      <c r="D2395" s="213" t="str">
        <f>IFERROR(__xludf.DUMMYFUNCTION("""COMPUTED_VALUE"""),"PEDAGOGICO")</f>
        <v>PEDAGOGICO</v>
      </c>
      <c r="E2395" s="213" t="str">
        <f>IFERROR(__xludf.DUMMYFUNCTION("""COMPUTED_VALUE"""),"-")</f>
        <v>-</v>
      </c>
      <c r="F2395" s="213" t="str">
        <f>IFERROR(__xludf.DUMMYFUNCTION("""COMPUTED_VALUE"""),"CAPA-ELECTRI")</f>
        <v>CAPA-ELECTRI</v>
      </c>
      <c r="G2395" s="213"/>
      <c r="H2395" s="213" t="str">
        <f>IFERROR(__xludf.DUMMYFUNCTION("""COMPUTED_VALUE"""),"TALLER DE CAPACITACIÓN PRESENCIAL")</f>
        <v>TALLER DE CAPACITACIÓN PRESENCIAL</v>
      </c>
      <c r="I2395" s="213"/>
      <c r="J2395" s="213">
        <f>IFERROR(__xludf.DUMMYFUNCTION("""COMPUTED_VALUE"""),3.0)</f>
        <v>3</v>
      </c>
      <c r="K2395" s="213" t="str">
        <f>IFERROR(__xludf.DUMMYFUNCTION("""COMPUTED_VALUE"""),"170 DÍAS CALENDARIO")</f>
        <v>170 DÍAS CALENDARIO</v>
      </c>
      <c r="L2395" s="213" t="str">
        <f>IFERROR(__xludf.DUMMYFUNCTION("""COMPUTED_VALUE"""),"")</f>
        <v/>
      </c>
      <c r="M2395" s="213">
        <f>IFERROR(__xludf.DUMMYFUNCTION("""COMPUTED_VALUE"""),1.0)</f>
        <v>1</v>
      </c>
      <c r="N2395" s="213">
        <f>IFERROR(__xludf.DUMMYFUNCTION("""COMPUTED_VALUE"""),1.0)</f>
        <v>1</v>
      </c>
      <c r="O2395" s="213">
        <f>IFERROR(__xludf.DUMMYFUNCTION("""COMPUTED_VALUE"""),1.0)</f>
        <v>1</v>
      </c>
      <c r="P2395" s="213"/>
      <c r="Q2395" s="213"/>
      <c r="R2395" s="213"/>
      <c r="S2395" s="213"/>
      <c r="T2395" s="213"/>
      <c r="U2395" s="213"/>
      <c r="V2395" s="213"/>
      <c r="W2395" s="213"/>
      <c r="X2395" s="213"/>
      <c r="Y2395" s="213"/>
      <c r="Z2395" s="213"/>
      <c r="AA2395" s="213"/>
      <c r="AB2395" s="213"/>
      <c r="AC2395" s="213"/>
      <c r="AD2395" s="213"/>
      <c r="AE2395" s="213"/>
      <c r="AF2395" s="213"/>
      <c r="AG2395" s="213"/>
      <c r="AH2395" s="213"/>
      <c r="AI2395" s="213"/>
      <c r="AJ2395" s="213"/>
      <c r="AK2395" s="213"/>
      <c r="AL2395" s="213"/>
      <c r="AM2395" s="213"/>
      <c r="AN2395" s="213"/>
      <c r="AO2395" s="213"/>
      <c r="AP2395" s="213"/>
      <c r="AQ2395" s="213"/>
      <c r="AR2395" s="213"/>
      <c r="AS2395" s="213"/>
      <c r="AT2395" s="213"/>
      <c r="AU2395" s="213"/>
      <c r="AV2395" s="213"/>
      <c r="AW2395" s="213"/>
      <c r="AX2395" s="213"/>
      <c r="AY2395" s="213"/>
      <c r="AZ2395" s="213"/>
      <c r="BA2395" s="213"/>
      <c r="BB2395" s="213"/>
      <c r="BC2395" s="213"/>
      <c r="BD2395" s="213"/>
    </row>
    <row r="2396">
      <c r="A2396" s="213">
        <f>IFERROR(__xludf.DUMMYFUNCTION("""COMPUTED_VALUE"""),607.0)</f>
        <v>607</v>
      </c>
      <c r="B2396" s="213" t="str">
        <f>IFERROR(__xludf.DUMMYFUNCTION("""COMPUTED_VALUE"""),"2026 SIMON BOLIVAR")</f>
        <v>2026 SIMON BOLIVAR</v>
      </c>
      <c r="C2396" s="213" t="str">
        <f>IFERROR(__xludf.DUMMYFUNCTION("""COMPUTED_VALUE"""),"TALLER SFT DE INDUSTRIA ALIMENTARIA")</f>
        <v>TALLER SFT DE INDUSTRIA ALIMENTARIA</v>
      </c>
      <c r="D2396" s="213" t="str">
        <f>IFERROR(__xludf.DUMMYFUNCTION("""COMPUTED_VALUE"""),"PEDAGOGICO")</f>
        <v>PEDAGOGICO</v>
      </c>
      <c r="E2396" s="213" t="str">
        <f>IFERROR(__xludf.DUMMYFUNCTION("""COMPUTED_VALUE"""),"-")</f>
        <v>-</v>
      </c>
      <c r="F2396" s="213" t="str">
        <f>IFERROR(__xludf.DUMMYFUNCTION("""COMPUTED_VALUE"""),"CAPA-ALI")</f>
        <v>CAPA-ALI</v>
      </c>
      <c r="G2396" s="213"/>
      <c r="H2396" s="213" t="str">
        <f>IFERROR(__xludf.DUMMYFUNCTION("""COMPUTED_VALUE"""),"TALLER DE CAPACITACIÓN PRESENCIAL")</f>
        <v>TALLER DE CAPACITACIÓN PRESENCIAL</v>
      </c>
      <c r="I2396" s="213"/>
      <c r="J2396" s="213">
        <f>IFERROR(__xludf.DUMMYFUNCTION("""COMPUTED_VALUE"""),3.0)</f>
        <v>3</v>
      </c>
      <c r="K2396" s="213" t="str">
        <f>IFERROR(__xludf.DUMMYFUNCTION("""COMPUTED_VALUE"""),"170 DÍAS CALENDARIO")</f>
        <v>170 DÍAS CALENDARIO</v>
      </c>
      <c r="L2396" s="213" t="str">
        <f>IFERROR(__xludf.DUMMYFUNCTION("""COMPUTED_VALUE"""),"")</f>
        <v/>
      </c>
      <c r="M2396" s="213">
        <f>IFERROR(__xludf.DUMMYFUNCTION("""COMPUTED_VALUE"""),1.0)</f>
        <v>1</v>
      </c>
      <c r="N2396" s="213">
        <f>IFERROR(__xludf.DUMMYFUNCTION("""COMPUTED_VALUE"""),1.0)</f>
        <v>1</v>
      </c>
      <c r="O2396" s="213">
        <f>IFERROR(__xludf.DUMMYFUNCTION("""COMPUTED_VALUE"""),1.0)</f>
        <v>1</v>
      </c>
      <c r="P2396" s="213"/>
      <c r="Q2396" s="213"/>
      <c r="R2396" s="213"/>
      <c r="S2396" s="213"/>
      <c r="T2396" s="213"/>
      <c r="U2396" s="213"/>
      <c r="V2396" s="213"/>
      <c r="W2396" s="213"/>
      <c r="X2396" s="213"/>
      <c r="Y2396" s="213"/>
      <c r="Z2396" s="213"/>
      <c r="AA2396" s="213"/>
      <c r="AB2396" s="213"/>
      <c r="AC2396" s="213"/>
      <c r="AD2396" s="213"/>
      <c r="AE2396" s="213"/>
      <c r="AF2396" s="213"/>
      <c r="AG2396" s="213"/>
      <c r="AH2396" s="213"/>
      <c r="AI2396" s="213"/>
      <c r="AJ2396" s="213"/>
      <c r="AK2396" s="213"/>
      <c r="AL2396" s="213"/>
      <c r="AM2396" s="213"/>
      <c r="AN2396" s="213"/>
      <c r="AO2396" s="213"/>
      <c r="AP2396" s="213"/>
      <c r="AQ2396" s="213"/>
      <c r="AR2396" s="213"/>
      <c r="AS2396" s="213"/>
      <c r="AT2396" s="213"/>
      <c r="AU2396" s="213"/>
      <c r="AV2396" s="213"/>
      <c r="AW2396" s="213"/>
      <c r="AX2396" s="213"/>
      <c r="AY2396" s="213"/>
      <c r="AZ2396" s="213"/>
      <c r="BA2396" s="213"/>
      <c r="BB2396" s="213"/>
      <c r="BC2396" s="213"/>
      <c r="BD2396" s="213"/>
    </row>
    <row r="2397">
      <c r="A2397" s="213">
        <f>IFERROR(__xludf.DUMMYFUNCTION("""COMPUTED_VALUE"""),724.0)</f>
        <v>724</v>
      </c>
      <c r="B2397" s="213" t="str">
        <f>IFERROR(__xludf.DUMMYFUNCTION("""COMPUTED_VALUE"""),"6049 RICARDO PALMA")</f>
        <v>6049 RICARDO PALMA</v>
      </c>
      <c r="C2397" s="213" t="str">
        <f>IFERROR(__xludf.DUMMYFUNCTION("""COMPUTED_VALUE"""),"TALLER SFT DE ELECTRÓNICA")</f>
        <v>TALLER SFT DE ELECTRÓNICA</v>
      </c>
      <c r="D2397" s="213" t="str">
        <f>IFERROR(__xludf.DUMMYFUNCTION("""COMPUTED_VALUE"""),"PEDAGOGICO")</f>
        <v>PEDAGOGICO</v>
      </c>
      <c r="E2397" s="213" t="str">
        <f>IFERROR(__xludf.DUMMYFUNCTION("""COMPUTED_VALUE"""),"-")</f>
        <v>-</v>
      </c>
      <c r="F2397" s="213" t="str">
        <f>IFERROR(__xludf.DUMMYFUNCTION("""COMPUTED_VALUE"""),"CAPA-ELECTRO")</f>
        <v>CAPA-ELECTRO</v>
      </c>
      <c r="G2397" s="213"/>
      <c r="H2397" s="213" t="str">
        <f>IFERROR(__xludf.DUMMYFUNCTION("""COMPUTED_VALUE"""),"TALLER DE CAPACITACIÓN PRESENCIAL")</f>
        <v>TALLER DE CAPACITACIÓN PRESENCIAL</v>
      </c>
      <c r="I2397" s="213"/>
      <c r="J2397" s="213">
        <f>IFERROR(__xludf.DUMMYFUNCTION("""COMPUTED_VALUE"""),3.0)</f>
        <v>3</v>
      </c>
      <c r="K2397" s="213" t="str">
        <f>IFERROR(__xludf.DUMMYFUNCTION("""COMPUTED_VALUE"""),"170 DÍAS CALENDARIO")</f>
        <v>170 DÍAS CALENDARIO</v>
      </c>
      <c r="L2397" s="213" t="str">
        <f>IFERROR(__xludf.DUMMYFUNCTION("""COMPUTED_VALUE"""),"")</f>
        <v/>
      </c>
      <c r="M2397" s="213">
        <f>IFERROR(__xludf.DUMMYFUNCTION("""COMPUTED_VALUE"""),1.0)</f>
        <v>1</v>
      </c>
      <c r="N2397" s="213">
        <f>IFERROR(__xludf.DUMMYFUNCTION("""COMPUTED_VALUE"""),1.0)</f>
        <v>1</v>
      </c>
      <c r="O2397" s="213">
        <f>IFERROR(__xludf.DUMMYFUNCTION("""COMPUTED_VALUE"""),1.0)</f>
        <v>1</v>
      </c>
      <c r="P2397" s="213"/>
      <c r="Q2397" s="213"/>
      <c r="R2397" s="213"/>
      <c r="S2397" s="213"/>
      <c r="T2397" s="213"/>
      <c r="U2397" s="213"/>
      <c r="V2397" s="213"/>
      <c r="W2397" s="213"/>
      <c r="X2397" s="213"/>
      <c r="Y2397" s="213"/>
      <c r="Z2397" s="213"/>
      <c r="AA2397" s="213"/>
      <c r="AB2397" s="213"/>
      <c r="AC2397" s="213"/>
      <c r="AD2397" s="213"/>
      <c r="AE2397" s="213"/>
      <c r="AF2397" s="213"/>
      <c r="AG2397" s="213"/>
      <c r="AH2397" s="213"/>
      <c r="AI2397" s="213"/>
      <c r="AJ2397" s="213"/>
      <c r="AK2397" s="213"/>
      <c r="AL2397" s="213"/>
      <c r="AM2397" s="213"/>
      <c r="AN2397" s="213"/>
      <c r="AO2397" s="213"/>
      <c r="AP2397" s="213"/>
      <c r="AQ2397" s="213"/>
      <c r="AR2397" s="213"/>
      <c r="AS2397" s="213"/>
      <c r="AT2397" s="213"/>
      <c r="AU2397" s="213"/>
      <c r="AV2397" s="213"/>
      <c r="AW2397" s="213"/>
      <c r="AX2397" s="213"/>
      <c r="AY2397" s="213"/>
      <c r="AZ2397" s="213"/>
      <c r="BA2397" s="213"/>
      <c r="BB2397" s="213"/>
      <c r="BC2397" s="213"/>
      <c r="BD2397" s="213"/>
    </row>
    <row r="2398">
      <c r="A2398" s="213">
        <f>IFERROR(__xludf.DUMMYFUNCTION("""COMPUTED_VALUE"""),817.0)</f>
        <v>817</v>
      </c>
      <c r="B2398" s="213" t="str">
        <f>IFERROR(__xludf.DUMMYFUNCTION("""COMPUTED_VALUE"""),"6049 RICARDO PALMA")</f>
        <v>6049 RICARDO PALMA</v>
      </c>
      <c r="C2398" s="213" t="str">
        <f>IFERROR(__xludf.DUMMYFUNCTION("""COMPUTED_VALUE"""),"TALLER SFT DE COMPUTACIÓN E INFORMÁTICA")</f>
        <v>TALLER SFT DE COMPUTACIÓN E INFORMÁTICA</v>
      </c>
      <c r="D2398" s="213" t="str">
        <f>IFERROR(__xludf.DUMMYFUNCTION("""COMPUTED_VALUE"""),"PEDAGOGICO")</f>
        <v>PEDAGOGICO</v>
      </c>
      <c r="E2398" s="213" t="str">
        <f>IFERROR(__xludf.DUMMYFUNCTION("""COMPUTED_VALUE"""),"-")</f>
        <v>-</v>
      </c>
      <c r="F2398" s="213" t="str">
        <f>IFERROR(__xludf.DUMMYFUNCTION("""COMPUTED_VALUE"""),"CAPA-COM")</f>
        <v>CAPA-COM</v>
      </c>
      <c r="G2398" s="213"/>
      <c r="H2398" s="213" t="str">
        <f>IFERROR(__xludf.DUMMYFUNCTION("""COMPUTED_VALUE"""),"TALLER DE CAPACITACIÓN PRESENCIAL")</f>
        <v>TALLER DE CAPACITACIÓN PRESENCIAL</v>
      </c>
      <c r="I2398" s="213"/>
      <c r="J2398" s="213">
        <f>IFERROR(__xludf.DUMMYFUNCTION("""COMPUTED_VALUE"""),3.0)</f>
        <v>3</v>
      </c>
      <c r="K2398" s="213" t="str">
        <f>IFERROR(__xludf.DUMMYFUNCTION("""COMPUTED_VALUE"""),"170 DÍAS CALENDARIO")</f>
        <v>170 DÍAS CALENDARIO</v>
      </c>
      <c r="L2398" s="213" t="str">
        <f>IFERROR(__xludf.DUMMYFUNCTION("""COMPUTED_VALUE"""),"")</f>
        <v/>
      </c>
      <c r="M2398" s="213">
        <f>IFERROR(__xludf.DUMMYFUNCTION("""COMPUTED_VALUE"""),1.0)</f>
        <v>1</v>
      </c>
      <c r="N2398" s="213">
        <f>IFERROR(__xludf.DUMMYFUNCTION("""COMPUTED_VALUE"""),1.0)</f>
        <v>1</v>
      </c>
      <c r="O2398" s="213">
        <f>IFERROR(__xludf.DUMMYFUNCTION("""COMPUTED_VALUE"""),1.0)</f>
        <v>1</v>
      </c>
      <c r="P2398" s="213"/>
      <c r="Q2398" s="213"/>
      <c r="R2398" s="213"/>
      <c r="S2398" s="213"/>
      <c r="T2398" s="213"/>
      <c r="U2398" s="213"/>
      <c r="V2398" s="213"/>
      <c r="W2398" s="213"/>
      <c r="X2398" s="213"/>
      <c r="Y2398" s="213"/>
      <c r="Z2398" s="213"/>
      <c r="AA2398" s="213"/>
      <c r="AB2398" s="213"/>
      <c r="AC2398" s="213"/>
      <c r="AD2398" s="213"/>
      <c r="AE2398" s="213"/>
      <c r="AF2398" s="213"/>
      <c r="AG2398" s="213"/>
      <c r="AH2398" s="213"/>
      <c r="AI2398" s="213"/>
      <c r="AJ2398" s="213"/>
      <c r="AK2398" s="213"/>
      <c r="AL2398" s="213"/>
      <c r="AM2398" s="213"/>
      <c r="AN2398" s="213"/>
      <c r="AO2398" s="213"/>
      <c r="AP2398" s="213"/>
      <c r="AQ2398" s="213"/>
      <c r="AR2398" s="213"/>
      <c r="AS2398" s="213"/>
      <c r="AT2398" s="213"/>
      <c r="AU2398" s="213"/>
      <c r="AV2398" s="213"/>
      <c r="AW2398" s="213"/>
      <c r="AX2398" s="213"/>
      <c r="AY2398" s="213"/>
      <c r="AZ2398" s="213"/>
      <c r="BA2398" s="213"/>
      <c r="BB2398" s="213"/>
      <c r="BC2398" s="213"/>
      <c r="BD2398" s="213"/>
    </row>
    <row r="2399">
      <c r="A2399" s="213">
        <f>IFERROR(__xludf.DUMMYFUNCTION("""COMPUTED_VALUE"""),902.0)</f>
        <v>902</v>
      </c>
      <c r="B2399" s="213" t="str">
        <f>IFERROR(__xludf.DUMMYFUNCTION("""COMPUTED_VALUE"""),"6049 RICARDO PALMA")</f>
        <v>6049 RICARDO PALMA</v>
      </c>
      <c r="C2399" s="213" t="str">
        <f>IFERROR(__xludf.DUMMYFUNCTION("""COMPUTED_VALUE"""),"TALLER SFT DE ELECTRICIDAD")</f>
        <v>TALLER SFT DE ELECTRICIDAD</v>
      </c>
      <c r="D2399" s="213" t="str">
        <f>IFERROR(__xludf.DUMMYFUNCTION("""COMPUTED_VALUE"""),"PEDAGOGICO")</f>
        <v>PEDAGOGICO</v>
      </c>
      <c r="E2399" s="213" t="str">
        <f>IFERROR(__xludf.DUMMYFUNCTION("""COMPUTED_VALUE"""),"-")</f>
        <v>-</v>
      </c>
      <c r="F2399" s="213" t="str">
        <f>IFERROR(__xludf.DUMMYFUNCTION("""COMPUTED_VALUE"""),"CAPA-ELECTRI")</f>
        <v>CAPA-ELECTRI</v>
      </c>
      <c r="G2399" s="213"/>
      <c r="H2399" s="213" t="str">
        <f>IFERROR(__xludf.DUMMYFUNCTION("""COMPUTED_VALUE"""),"TALLER DE CAPACITACIÓN PRESENCIAL")</f>
        <v>TALLER DE CAPACITACIÓN PRESENCIAL</v>
      </c>
      <c r="I2399" s="213"/>
      <c r="J2399" s="213">
        <f>IFERROR(__xludf.DUMMYFUNCTION("""COMPUTED_VALUE"""),3.0)</f>
        <v>3</v>
      </c>
      <c r="K2399" s="213" t="str">
        <f>IFERROR(__xludf.DUMMYFUNCTION("""COMPUTED_VALUE"""),"170 DÍAS CALENDARIO")</f>
        <v>170 DÍAS CALENDARIO</v>
      </c>
      <c r="L2399" s="213" t="str">
        <f>IFERROR(__xludf.DUMMYFUNCTION("""COMPUTED_VALUE"""),"")</f>
        <v/>
      </c>
      <c r="M2399" s="213">
        <f>IFERROR(__xludf.DUMMYFUNCTION("""COMPUTED_VALUE"""),1.0)</f>
        <v>1</v>
      </c>
      <c r="N2399" s="213">
        <f>IFERROR(__xludf.DUMMYFUNCTION("""COMPUTED_VALUE"""),1.0)</f>
        <v>1</v>
      </c>
      <c r="O2399" s="213">
        <f>IFERROR(__xludf.DUMMYFUNCTION("""COMPUTED_VALUE"""),1.0)</f>
        <v>1</v>
      </c>
      <c r="P2399" s="213"/>
      <c r="Q2399" s="213"/>
      <c r="R2399" s="213"/>
      <c r="S2399" s="213"/>
      <c r="T2399" s="213"/>
      <c r="U2399" s="213"/>
      <c r="V2399" s="213"/>
      <c r="W2399" s="213"/>
      <c r="X2399" s="213"/>
      <c r="Y2399" s="213"/>
      <c r="Z2399" s="213"/>
      <c r="AA2399" s="213"/>
      <c r="AB2399" s="213"/>
      <c r="AC2399" s="213"/>
      <c r="AD2399" s="213"/>
      <c r="AE2399" s="213"/>
      <c r="AF2399" s="213"/>
      <c r="AG2399" s="213"/>
      <c r="AH2399" s="213"/>
      <c r="AI2399" s="213"/>
      <c r="AJ2399" s="213"/>
      <c r="AK2399" s="213"/>
      <c r="AL2399" s="213"/>
      <c r="AM2399" s="213"/>
      <c r="AN2399" s="213"/>
      <c r="AO2399" s="213"/>
      <c r="AP2399" s="213"/>
      <c r="AQ2399" s="213"/>
      <c r="AR2399" s="213"/>
      <c r="AS2399" s="213"/>
      <c r="AT2399" s="213"/>
      <c r="AU2399" s="213"/>
      <c r="AV2399" s="213"/>
      <c r="AW2399" s="213"/>
      <c r="AX2399" s="213"/>
      <c r="AY2399" s="213"/>
      <c r="AZ2399" s="213"/>
      <c r="BA2399" s="213"/>
      <c r="BB2399" s="213"/>
      <c r="BC2399" s="213"/>
      <c r="BD2399" s="213"/>
    </row>
    <row r="2400">
      <c r="A2400" s="213">
        <f>IFERROR(__xludf.DUMMYFUNCTION("""COMPUTED_VALUE"""),1053.0)</f>
        <v>1053</v>
      </c>
      <c r="B2400" s="213" t="str">
        <f>IFERROR(__xludf.DUMMYFUNCTION("""COMPUTED_VALUE"""),"FRANCISCO IRAZOLA")</f>
        <v>FRANCISCO IRAZOLA</v>
      </c>
      <c r="C2400" s="213" t="str">
        <f>IFERROR(__xludf.DUMMYFUNCTION("""COMPUTED_VALUE"""),"TALLER SFT DE MECÁNICA AUTOMOTRIZ")</f>
        <v>TALLER SFT DE MECÁNICA AUTOMOTRIZ</v>
      </c>
      <c r="D2400" s="213" t="str">
        <f>IFERROR(__xludf.DUMMYFUNCTION("""COMPUTED_VALUE"""),"PEDAGOGICO")</f>
        <v>PEDAGOGICO</v>
      </c>
      <c r="E2400" s="213" t="str">
        <f>IFERROR(__xludf.DUMMYFUNCTION("""COMPUTED_VALUE"""),"-")</f>
        <v>-</v>
      </c>
      <c r="F2400" s="213" t="str">
        <f>IFERROR(__xludf.DUMMYFUNCTION("""COMPUTED_VALUE"""),"CAPA-AUTO")</f>
        <v>CAPA-AUTO</v>
      </c>
      <c r="G2400" s="213"/>
      <c r="H2400" s="213" t="str">
        <f>IFERROR(__xludf.DUMMYFUNCTION("""COMPUTED_VALUE"""),"TALLER DE CAPACITACIÓN PRESENCIAL")</f>
        <v>TALLER DE CAPACITACIÓN PRESENCIAL</v>
      </c>
      <c r="I2400" s="213"/>
      <c r="J2400" s="213">
        <f>IFERROR(__xludf.DUMMYFUNCTION("""COMPUTED_VALUE"""),3.0)</f>
        <v>3</v>
      </c>
      <c r="K2400" s="213" t="str">
        <f>IFERROR(__xludf.DUMMYFUNCTION("""COMPUTED_VALUE"""),"170 DÍAS CALENDARIO")</f>
        <v>170 DÍAS CALENDARIO</v>
      </c>
      <c r="L2400" s="213" t="str">
        <f>IFERROR(__xludf.DUMMYFUNCTION("""COMPUTED_VALUE"""),"")</f>
        <v/>
      </c>
      <c r="M2400" s="213">
        <f>IFERROR(__xludf.DUMMYFUNCTION("""COMPUTED_VALUE"""),1.0)</f>
        <v>1</v>
      </c>
      <c r="N2400" s="213">
        <f>IFERROR(__xludf.DUMMYFUNCTION("""COMPUTED_VALUE"""),1.0)</f>
        <v>1</v>
      </c>
      <c r="O2400" s="213">
        <f>IFERROR(__xludf.DUMMYFUNCTION("""COMPUTED_VALUE"""),1.0)</f>
        <v>1</v>
      </c>
      <c r="P2400" s="213"/>
      <c r="Q2400" s="213"/>
      <c r="R2400" s="213"/>
      <c r="S2400" s="213"/>
      <c r="T2400" s="213"/>
      <c r="U2400" s="213"/>
      <c r="V2400" s="213"/>
      <c r="W2400" s="213"/>
      <c r="X2400" s="213"/>
      <c r="Y2400" s="213"/>
      <c r="Z2400" s="213"/>
      <c r="AA2400" s="213"/>
      <c r="AB2400" s="213"/>
      <c r="AC2400" s="213"/>
      <c r="AD2400" s="213"/>
      <c r="AE2400" s="213"/>
      <c r="AF2400" s="213"/>
      <c r="AG2400" s="213"/>
      <c r="AH2400" s="213"/>
      <c r="AI2400" s="213"/>
      <c r="AJ2400" s="213"/>
      <c r="AK2400" s="213"/>
      <c r="AL2400" s="213"/>
      <c r="AM2400" s="213"/>
      <c r="AN2400" s="213"/>
      <c r="AO2400" s="213"/>
      <c r="AP2400" s="213"/>
      <c r="AQ2400" s="213"/>
      <c r="AR2400" s="213"/>
      <c r="AS2400" s="213"/>
      <c r="AT2400" s="213"/>
      <c r="AU2400" s="213"/>
      <c r="AV2400" s="213"/>
      <c r="AW2400" s="213"/>
      <c r="AX2400" s="213"/>
      <c r="AY2400" s="213"/>
      <c r="AZ2400" s="213"/>
      <c r="BA2400" s="213"/>
      <c r="BB2400" s="213"/>
      <c r="BC2400" s="213"/>
      <c r="BD2400" s="213"/>
    </row>
    <row r="2401">
      <c r="A2401" s="213">
        <f>IFERROR(__xludf.DUMMYFUNCTION("""COMPUTED_VALUE"""),1238.0)</f>
        <v>1238</v>
      </c>
      <c r="B2401" s="213" t="str">
        <f>IFERROR(__xludf.DUMMYFUNCTION("""COMPUTED_VALUE"""),"FRANCISCO IRAZOLA")</f>
        <v>FRANCISCO IRAZOLA</v>
      </c>
      <c r="C2401" s="213" t="str">
        <f>IFERROR(__xludf.DUMMYFUNCTION("""COMPUTED_VALUE"""),"TALLER SFT DE INDUSTRIA ALIMENTARIA")</f>
        <v>TALLER SFT DE INDUSTRIA ALIMENTARIA</v>
      </c>
      <c r="D2401" s="213" t="str">
        <f>IFERROR(__xludf.DUMMYFUNCTION("""COMPUTED_VALUE"""),"PEDAGOGICO")</f>
        <v>PEDAGOGICO</v>
      </c>
      <c r="E2401" s="213" t="str">
        <f>IFERROR(__xludf.DUMMYFUNCTION("""COMPUTED_VALUE"""),"-")</f>
        <v>-</v>
      </c>
      <c r="F2401" s="213" t="str">
        <f>IFERROR(__xludf.DUMMYFUNCTION("""COMPUTED_VALUE"""),"CAPA-ALI")</f>
        <v>CAPA-ALI</v>
      </c>
      <c r="G2401" s="213"/>
      <c r="H2401" s="213" t="str">
        <f>IFERROR(__xludf.DUMMYFUNCTION("""COMPUTED_VALUE"""),"TALLER DE CAPACITACIÓN PRESENCIAL")</f>
        <v>TALLER DE CAPACITACIÓN PRESENCIAL</v>
      </c>
      <c r="I2401" s="213"/>
      <c r="J2401" s="213">
        <f>IFERROR(__xludf.DUMMYFUNCTION("""COMPUTED_VALUE"""),3.0)</f>
        <v>3</v>
      </c>
      <c r="K2401" s="213" t="str">
        <f>IFERROR(__xludf.DUMMYFUNCTION("""COMPUTED_VALUE"""),"170 DÍAS CALENDARIO")</f>
        <v>170 DÍAS CALENDARIO</v>
      </c>
      <c r="L2401" s="213" t="str">
        <f>IFERROR(__xludf.DUMMYFUNCTION("""COMPUTED_VALUE"""),"")</f>
        <v/>
      </c>
      <c r="M2401" s="213">
        <f>IFERROR(__xludf.DUMMYFUNCTION("""COMPUTED_VALUE"""),1.0)</f>
        <v>1</v>
      </c>
      <c r="N2401" s="213">
        <f>IFERROR(__xludf.DUMMYFUNCTION("""COMPUTED_VALUE"""),1.0)</f>
        <v>1</v>
      </c>
      <c r="O2401" s="213">
        <f>IFERROR(__xludf.DUMMYFUNCTION("""COMPUTED_VALUE"""),1.0)</f>
        <v>1</v>
      </c>
      <c r="P2401" s="213"/>
      <c r="Q2401" s="213"/>
      <c r="R2401" s="213"/>
      <c r="S2401" s="213"/>
      <c r="T2401" s="213"/>
      <c r="U2401" s="213"/>
      <c r="V2401" s="213"/>
      <c r="W2401" s="213"/>
      <c r="X2401" s="213"/>
      <c r="Y2401" s="213"/>
      <c r="Z2401" s="213"/>
      <c r="AA2401" s="213"/>
      <c r="AB2401" s="213"/>
      <c r="AC2401" s="213"/>
      <c r="AD2401" s="213"/>
      <c r="AE2401" s="213"/>
      <c r="AF2401" s="213"/>
      <c r="AG2401" s="213"/>
      <c r="AH2401" s="213"/>
      <c r="AI2401" s="213"/>
      <c r="AJ2401" s="213"/>
      <c r="AK2401" s="213"/>
      <c r="AL2401" s="213"/>
      <c r="AM2401" s="213"/>
      <c r="AN2401" s="213"/>
      <c r="AO2401" s="213"/>
      <c r="AP2401" s="213"/>
      <c r="AQ2401" s="213"/>
      <c r="AR2401" s="213"/>
      <c r="AS2401" s="213"/>
      <c r="AT2401" s="213"/>
      <c r="AU2401" s="213"/>
      <c r="AV2401" s="213"/>
      <c r="AW2401" s="213"/>
      <c r="AX2401" s="213"/>
      <c r="AY2401" s="213"/>
      <c r="AZ2401" s="213"/>
      <c r="BA2401" s="213"/>
      <c r="BB2401" s="213"/>
      <c r="BC2401" s="213"/>
      <c r="BD2401" s="213"/>
    </row>
    <row r="2402">
      <c r="A2402" s="213">
        <f>IFERROR(__xludf.DUMMYFUNCTION("""COMPUTED_VALUE"""),1324.0)</f>
        <v>1324</v>
      </c>
      <c r="B2402" s="213" t="str">
        <f>IFERROR(__xludf.DUMMYFUNCTION("""COMPUTED_VALUE"""),"GUILLERMO E. BILLINGHURST ")</f>
        <v>GUILLERMO E. BILLINGHURST </v>
      </c>
      <c r="C2402" s="213" t="str">
        <f>IFERROR(__xludf.DUMMYFUNCTION("""COMPUTED_VALUE"""),"TALLER SFT DE ELECTRICIDAD")</f>
        <v>TALLER SFT DE ELECTRICIDAD</v>
      </c>
      <c r="D2402" s="213" t="str">
        <f>IFERROR(__xludf.DUMMYFUNCTION("""COMPUTED_VALUE"""),"PEDAGOGICO")</f>
        <v>PEDAGOGICO</v>
      </c>
      <c r="E2402" s="213" t="str">
        <f>IFERROR(__xludf.DUMMYFUNCTION("""COMPUTED_VALUE"""),"-")</f>
        <v>-</v>
      </c>
      <c r="F2402" s="213" t="str">
        <f>IFERROR(__xludf.DUMMYFUNCTION("""COMPUTED_VALUE"""),"CAPA-ELECTRI")</f>
        <v>CAPA-ELECTRI</v>
      </c>
      <c r="G2402" s="213"/>
      <c r="H2402" s="213" t="str">
        <f>IFERROR(__xludf.DUMMYFUNCTION("""COMPUTED_VALUE"""),"TALLER DE CAPACITACIÓN PRESENCIAL")</f>
        <v>TALLER DE CAPACITACIÓN PRESENCIAL</v>
      </c>
      <c r="I2402" s="213"/>
      <c r="J2402" s="213">
        <f>IFERROR(__xludf.DUMMYFUNCTION("""COMPUTED_VALUE"""),3.0)</f>
        <v>3</v>
      </c>
      <c r="K2402" s="213" t="str">
        <f>IFERROR(__xludf.DUMMYFUNCTION("""COMPUTED_VALUE"""),"170 DÍAS CALENDARIO")</f>
        <v>170 DÍAS CALENDARIO</v>
      </c>
      <c r="L2402" s="213" t="str">
        <f>IFERROR(__xludf.DUMMYFUNCTION("""COMPUTED_VALUE"""),"")</f>
        <v/>
      </c>
      <c r="M2402" s="213">
        <f>IFERROR(__xludf.DUMMYFUNCTION("""COMPUTED_VALUE"""),1.0)</f>
        <v>1</v>
      </c>
      <c r="N2402" s="213">
        <f>IFERROR(__xludf.DUMMYFUNCTION("""COMPUTED_VALUE"""),1.0)</f>
        <v>1</v>
      </c>
      <c r="O2402" s="213">
        <f>IFERROR(__xludf.DUMMYFUNCTION("""COMPUTED_VALUE"""),1.0)</f>
        <v>1</v>
      </c>
      <c r="P2402" s="213"/>
      <c r="Q2402" s="213"/>
      <c r="R2402" s="213"/>
      <c r="S2402" s="213"/>
      <c r="T2402" s="213"/>
      <c r="U2402" s="213"/>
      <c r="V2402" s="213"/>
      <c r="W2402" s="213"/>
      <c r="X2402" s="213"/>
      <c r="Y2402" s="213"/>
      <c r="Z2402" s="213"/>
      <c r="AA2402" s="213"/>
      <c r="AB2402" s="213"/>
      <c r="AC2402" s="213"/>
      <c r="AD2402" s="213"/>
      <c r="AE2402" s="213"/>
      <c r="AF2402" s="213"/>
      <c r="AG2402" s="213"/>
      <c r="AH2402" s="213"/>
      <c r="AI2402" s="213"/>
      <c r="AJ2402" s="213"/>
      <c r="AK2402" s="213"/>
      <c r="AL2402" s="213"/>
      <c r="AM2402" s="213"/>
      <c r="AN2402" s="213"/>
      <c r="AO2402" s="213"/>
      <c r="AP2402" s="213"/>
      <c r="AQ2402" s="213"/>
      <c r="AR2402" s="213"/>
      <c r="AS2402" s="213"/>
      <c r="AT2402" s="213"/>
      <c r="AU2402" s="213"/>
      <c r="AV2402" s="213"/>
      <c r="AW2402" s="213"/>
      <c r="AX2402" s="213"/>
      <c r="AY2402" s="213"/>
      <c r="AZ2402" s="213"/>
      <c r="BA2402" s="213"/>
      <c r="BB2402" s="213"/>
      <c r="BC2402" s="213"/>
      <c r="BD2402" s="213"/>
    </row>
    <row r="2403">
      <c r="A2403" s="213">
        <f>IFERROR(__xludf.DUMMYFUNCTION("""COMPUTED_VALUE"""),1504.0)</f>
        <v>1504</v>
      </c>
      <c r="B2403" s="213" t="str">
        <f>IFERROR(__xludf.DUMMYFUNCTION("""COMPUTED_VALUE"""),"GUILLERMO E. BILLINGHURST ")</f>
        <v>GUILLERMO E. BILLINGHURST </v>
      </c>
      <c r="C2403" s="213" t="str">
        <f>IFERROR(__xludf.DUMMYFUNCTION("""COMPUTED_VALUE"""),"TALLER SFT DE INDUSTRIA ALIMENTARIA")</f>
        <v>TALLER SFT DE INDUSTRIA ALIMENTARIA</v>
      </c>
      <c r="D2403" s="213" t="str">
        <f>IFERROR(__xludf.DUMMYFUNCTION("""COMPUTED_VALUE"""),"PEDAGOGICO")</f>
        <v>PEDAGOGICO</v>
      </c>
      <c r="E2403" s="213" t="str">
        <f>IFERROR(__xludf.DUMMYFUNCTION("""COMPUTED_VALUE"""),"-")</f>
        <v>-</v>
      </c>
      <c r="F2403" s="213" t="str">
        <f>IFERROR(__xludf.DUMMYFUNCTION("""COMPUTED_VALUE"""),"CAPA-ALI")</f>
        <v>CAPA-ALI</v>
      </c>
      <c r="G2403" s="213"/>
      <c r="H2403" s="213" t="str">
        <f>IFERROR(__xludf.DUMMYFUNCTION("""COMPUTED_VALUE"""),"TALLER DE CAPACITACIÓN PRESENCIAL")</f>
        <v>TALLER DE CAPACITACIÓN PRESENCIAL</v>
      </c>
      <c r="I2403" s="213"/>
      <c r="J2403" s="213">
        <f>IFERROR(__xludf.DUMMYFUNCTION("""COMPUTED_VALUE"""),3.0)</f>
        <v>3</v>
      </c>
      <c r="K2403" s="213" t="str">
        <f>IFERROR(__xludf.DUMMYFUNCTION("""COMPUTED_VALUE"""),"170 DÍAS CALENDARIO")</f>
        <v>170 DÍAS CALENDARIO</v>
      </c>
      <c r="L2403" s="213" t="str">
        <f>IFERROR(__xludf.DUMMYFUNCTION("""COMPUTED_VALUE"""),"")</f>
        <v/>
      </c>
      <c r="M2403" s="213">
        <f>IFERROR(__xludf.DUMMYFUNCTION("""COMPUTED_VALUE"""),1.0)</f>
        <v>1</v>
      </c>
      <c r="N2403" s="213">
        <f>IFERROR(__xludf.DUMMYFUNCTION("""COMPUTED_VALUE"""),1.0)</f>
        <v>1</v>
      </c>
      <c r="O2403" s="213">
        <f>IFERROR(__xludf.DUMMYFUNCTION("""COMPUTED_VALUE"""),1.0)</f>
        <v>1</v>
      </c>
      <c r="P2403" s="213"/>
      <c r="Q2403" s="213"/>
      <c r="R2403" s="213"/>
      <c r="S2403" s="213"/>
      <c r="T2403" s="213"/>
      <c r="U2403" s="213"/>
      <c r="V2403" s="213"/>
      <c r="W2403" s="213"/>
      <c r="X2403" s="213"/>
      <c r="Y2403" s="213"/>
      <c r="Z2403" s="213"/>
      <c r="AA2403" s="213"/>
      <c r="AB2403" s="213"/>
      <c r="AC2403" s="213"/>
      <c r="AD2403" s="213"/>
      <c r="AE2403" s="213"/>
      <c r="AF2403" s="213"/>
      <c r="AG2403" s="213"/>
      <c r="AH2403" s="213"/>
      <c r="AI2403" s="213"/>
      <c r="AJ2403" s="213"/>
      <c r="AK2403" s="213"/>
      <c r="AL2403" s="213"/>
      <c r="AM2403" s="213"/>
      <c r="AN2403" s="213"/>
      <c r="AO2403" s="213"/>
      <c r="AP2403" s="213"/>
      <c r="AQ2403" s="213"/>
      <c r="AR2403" s="213"/>
      <c r="AS2403" s="213"/>
      <c r="AT2403" s="213"/>
      <c r="AU2403" s="213"/>
      <c r="AV2403" s="213"/>
      <c r="AW2403" s="213"/>
      <c r="AX2403" s="213"/>
      <c r="AY2403" s="213"/>
      <c r="AZ2403" s="213"/>
      <c r="BA2403" s="213"/>
      <c r="BB2403" s="213"/>
      <c r="BC2403" s="213"/>
      <c r="BD2403" s="213"/>
    </row>
    <row r="2404">
      <c r="A2404" s="213">
        <f>IFERROR(__xludf.DUMMYFUNCTION("""COMPUTED_VALUE"""),1658.0)</f>
        <v>1658</v>
      </c>
      <c r="B2404" s="213" t="str">
        <f>IFERROR(__xludf.DUMMYFUNCTION("""COMPUTED_VALUE"""),"GUILLERMO E. BILLINGHURST ")</f>
        <v>GUILLERMO E. BILLINGHURST </v>
      </c>
      <c r="C2404" s="213" t="str">
        <f>IFERROR(__xludf.DUMMYFUNCTION("""COMPUTED_VALUE"""),"TALLER SFT DE MECÁNICA AUTOMOTRIZ")</f>
        <v>TALLER SFT DE MECÁNICA AUTOMOTRIZ</v>
      </c>
      <c r="D2404" s="213" t="str">
        <f>IFERROR(__xludf.DUMMYFUNCTION("""COMPUTED_VALUE"""),"PEDAGOGICO")</f>
        <v>PEDAGOGICO</v>
      </c>
      <c r="E2404" s="213" t="str">
        <f>IFERROR(__xludf.DUMMYFUNCTION("""COMPUTED_VALUE"""),"-")</f>
        <v>-</v>
      </c>
      <c r="F2404" s="213" t="str">
        <f>IFERROR(__xludf.DUMMYFUNCTION("""COMPUTED_VALUE"""),"CAPA-AUTO")</f>
        <v>CAPA-AUTO</v>
      </c>
      <c r="G2404" s="213"/>
      <c r="H2404" s="213" t="str">
        <f>IFERROR(__xludf.DUMMYFUNCTION("""COMPUTED_VALUE"""),"TALLER DE CAPACITACIÓN PRESENCIAL")</f>
        <v>TALLER DE CAPACITACIÓN PRESENCIAL</v>
      </c>
      <c r="I2404" s="213"/>
      <c r="J2404" s="213">
        <f>IFERROR(__xludf.DUMMYFUNCTION("""COMPUTED_VALUE"""),3.0)</f>
        <v>3</v>
      </c>
      <c r="K2404" s="213" t="str">
        <f>IFERROR(__xludf.DUMMYFUNCTION("""COMPUTED_VALUE"""),"170 DÍAS CALENDARIO")</f>
        <v>170 DÍAS CALENDARIO</v>
      </c>
      <c r="L2404" s="213" t="str">
        <f>IFERROR(__xludf.DUMMYFUNCTION("""COMPUTED_VALUE"""),"")</f>
        <v/>
      </c>
      <c r="M2404" s="213">
        <f>IFERROR(__xludf.DUMMYFUNCTION("""COMPUTED_VALUE"""),1.0)</f>
        <v>1</v>
      </c>
      <c r="N2404" s="213">
        <f>IFERROR(__xludf.DUMMYFUNCTION("""COMPUTED_VALUE"""),1.0)</f>
        <v>1</v>
      </c>
      <c r="O2404" s="213">
        <f>IFERROR(__xludf.DUMMYFUNCTION("""COMPUTED_VALUE"""),1.0)</f>
        <v>1</v>
      </c>
      <c r="P2404" s="213"/>
      <c r="Q2404" s="213"/>
      <c r="R2404" s="213"/>
      <c r="S2404" s="213"/>
      <c r="T2404" s="213"/>
      <c r="U2404" s="213"/>
      <c r="V2404" s="213"/>
      <c r="W2404" s="213"/>
      <c r="X2404" s="213"/>
      <c r="Y2404" s="213"/>
      <c r="Z2404" s="213"/>
      <c r="AA2404" s="213"/>
      <c r="AB2404" s="213"/>
      <c r="AC2404" s="213"/>
      <c r="AD2404" s="213"/>
      <c r="AE2404" s="213"/>
      <c r="AF2404" s="213"/>
      <c r="AG2404" s="213"/>
      <c r="AH2404" s="213"/>
      <c r="AI2404" s="213"/>
      <c r="AJ2404" s="213"/>
      <c r="AK2404" s="213"/>
      <c r="AL2404" s="213"/>
      <c r="AM2404" s="213"/>
      <c r="AN2404" s="213"/>
      <c r="AO2404" s="213"/>
      <c r="AP2404" s="213"/>
      <c r="AQ2404" s="213"/>
      <c r="AR2404" s="213"/>
      <c r="AS2404" s="213"/>
      <c r="AT2404" s="213"/>
      <c r="AU2404" s="213"/>
      <c r="AV2404" s="213"/>
      <c r="AW2404" s="213"/>
      <c r="AX2404" s="213"/>
      <c r="AY2404" s="213"/>
      <c r="AZ2404" s="213"/>
      <c r="BA2404" s="213"/>
      <c r="BB2404" s="213"/>
      <c r="BC2404" s="213"/>
      <c r="BD2404" s="213"/>
    </row>
    <row r="2405">
      <c r="A2405" s="213">
        <f>IFERROR(__xludf.DUMMYFUNCTION("""COMPUTED_VALUE"""),1754.0)</f>
        <v>1754</v>
      </c>
      <c r="B2405" s="213" t="str">
        <f>IFERROR(__xludf.DUMMYFUNCTION("""COMPUTED_VALUE"""),"GUILLERMO E. BILLINGHURST ")</f>
        <v>GUILLERMO E. BILLINGHURST </v>
      </c>
      <c r="C2405" s="213" t="str">
        <f>IFERROR(__xludf.DUMMYFUNCTION("""COMPUTED_VALUE"""),"TALLER SFT DE COMPUTACIÓN E INFORMÁTICA")</f>
        <v>TALLER SFT DE COMPUTACIÓN E INFORMÁTICA</v>
      </c>
      <c r="D2405" s="213" t="str">
        <f>IFERROR(__xludf.DUMMYFUNCTION("""COMPUTED_VALUE"""),"PEDAGOGICO")</f>
        <v>PEDAGOGICO</v>
      </c>
      <c r="E2405" s="213" t="str">
        <f>IFERROR(__xludf.DUMMYFUNCTION("""COMPUTED_VALUE"""),"-")</f>
        <v>-</v>
      </c>
      <c r="F2405" s="213" t="str">
        <f>IFERROR(__xludf.DUMMYFUNCTION("""COMPUTED_VALUE"""),"CAPA-COM")</f>
        <v>CAPA-COM</v>
      </c>
      <c r="G2405" s="213"/>
      <c r="H2405" s="213" t="str">
        <f>IFERROR(__xludf.DUMMYFUNCTION("""COMPUTED_VALUE"""),"TALLER DE CAPACITACIÓN PRESENCIAL")</f>
        <v>TALLER DE CAPACITACIÓN PRESENCIAL</v>
      </c>
      <c r="I2405" s="213"/>
      <c r="J2405" s="213">
        <f>IFERROR(__xludf.DUMMYFUNCTION("""COMPUTED_VALUE"""),3.0)</f>
        <v>3</v>
      </c>
      <c r="K2405" s="213" t="str">
        <f>IFERROR(__xludf.DUMMYFUNCTION("""COMPUTED_VALUE"""),"170 DÍAS CALENDARIO")</f>
        <v>170 DÍAS CALENDARIO</v>
      </c>
      <c r="L2405" s="213" t="str">
        <f>IFERROR(__xludf.DUMMYFUNCTION("""COMPUTED_VALUE"""),"")</f>
        <v/>
      </c>
      <c r="M2405" s="213">
        <f>IFERROR(__xludf.DUMMYFUNCTION("""COMPUTED_VALUE"""),1.0)</f>
        <v>1</v>
      </c>
      <c r="N2405" s="213">
        <f>IFERROR(__xludf.DUMMYFUNCTION("""COMPUTED_VALUE"""),1.0)</f>
        <v>1</v>
      </c>
      <c r="O2405" s="213">
        <f>IFERROR(__xludf.DUMMYFUNCTION("""COMPUTED_VALUE"""),1.0)</f>
        <v>1</v>
      </c>
      <c r="P2405" s="213"/>
      <c r="Q2405" s="213"/>
      <c r="R2405" s="213"/>
      <c r="S2405" s="213"/>
      <c r="T2405" s="213"/>
      <c r="U2405" s="213"/>
      <c r="V2405" s="213"/>
      <c r="W2405" s="213"/>
      <c r="X2405" s="213"/>
      <c r="Y2405" s="213"/>
      <c r="Z2405" s="213"/>
      <c r="AA2405" s="213"/>
      <c r="AB2405" s="213"/>
      <c r="AC2405" s="213"/>
      <c r="AD2405" s="213"/>
      <c r="AE2405" s="213"/>
      <c r="AF2405" s="213"/>
      <c r="AG2405" s="213"/>
      <c r="AH2405" s="213"/>
      <c r="AI2405" s="213"/>
      <c r="AJ2405" s="213"/>
      <c r="AK2405" s="213"/>
      <c r="AL2405" s="213"/>
      <c r="AM2405" s="213"/>
      <c r="AN2405" s="213"/>
      <c r="AO2405" s="213"/>
      <c r="AP2405" s="213"/>
      <c r="AQ2405" s="213"/>
      <c r="AR2405" s="213"/>
      <c r="AS2405" s="213"/>
      <c r="AT2405" s="213"/>
      <c r="AU2405" s="213"/>
      <c r="AV2405" s="213"/>
      <c r="AW2405" s="213"/>
      <c r="AX2405" s="213"/>
      <c r="AY2405" s="213"/>
      <c r="AZ2405" s="213"/>
      <c r="BA2405" s="213"/>
      <c r="BB2405" s="213"/>
      <c r="BC2405" s="213"/>
      <c r="BD2405" s="213"/>
    </row>
    <row r="2406">
      <c r="A2406" s="213">
        <f>IFERROR(__xludf.DUMMYFUNCTION("""COMPUTED_VALUE"""),1909.0)</f>
        <v>1909</v>
      </c>
      <c r="B2406" s="213" t="str">
        <f>IFERROR(__xludf.DUMMYFUNCTION("""COMPUTED_VALUE"""),"GUILLERMO E. BILLINGHURST ")</f>
        <v>GUILLERMO E. BILLINGHURST </v>
      </c>
      <c r="C2406" s="213" t="str">
        <f>IFERROR(__xludf.DUMMYFUNCTION("""COMPUTED_VALUE"""),"TALLER SFT DE EBANISTERÍA")</f>
        <v>TALLER SFT DE EBANISTERÍA</v>
      </c>
      <c r="D2406" s="213" t="str">
        <f>IFERROR(__xludf.DUMMYFUNCTION("""COMPUTED_VALUE"""),"PEDAGOGICO")</f>
        <v>PEDAGOGICO</v>
      </c>
      <c r="E2406" s="213" t="str">
        <f>IFERROR(__xludf.DUMMYFUNCTION("""COMPUTED_VALUE"""),"-")</f>
        <v>-</v>
      </c>
      <c r="F2406" s="213" t="str">
        <f>IFERROR(__xludf.DUMMYFUNCTION("""COMPUTED_VALUE"""),"CAPA-EBA")</f>
        <v>CAPA-EBA</v>
      </c>
      <c r="G2406" s="213"/>
      <c r="H2406" s="213" t="str">
        <f>IFERROR(__xludf.DUMMYFUNCTION("""COMPUTED_VALUE"""),"TALLER DE CAPACITACIÓN PRESENCIAL")</f>
        <v>TALLER DE CAPACITACIÓN PRESENCIAL</v>
      </c>
      <c r="I2406" s="213"/>
      <c r="J2406" s="213">
        <f>IFERROR(__xludf.DUMMYFUNCTION("""COMPUTED_VALUE"""),3.0)</f>
        <v>3</v>
      </c>
      <c r="K2406" s="213" t="str">
        <f>IFERROR(__xludf.DUMMYFUNCTION("""COMPUTED_VALUE"""),"170 DÍAS CALENDARIO")</f>
        <v>170 DÍAS CALENDARIO</v>
      </c>
      <c r="L2406" s="213" t="str">
        <f>IFERROR(__xludf.DUMMYFUNCTION("""COMPUTED_VALUE"""),"")</f>
        <v/>
      </c>
      <c r="M2406" s="213">
        <f>IFERROR(__xludf.DUMMYFUNCTION("""COMPUTED_VALUE"""),1.0)</f>
        <v>1</v>
      </c>
      <c r="N2406" s="213">
        <f>IFERROR(__xludf.DUMMYFUNCTION("""COMPUTED_VALUE"""),1.0)</f>
        <v>1</v>
      </c>
      <c r="O2406" s="213">
        <f>IFERROR(__xludf.DUMMYFUNCTION("""COMPUTED_VALUE"""),1.0)</f>
        <v>1</v>
      </c>
      <c r="P2406" s="213"/>
      <c r="Q2406" s="213"/>
      <c r="R2406" s="213"/>
      <c r="S2406" s="213"/>
      <c r="T2406" s="213"/>
      <c r="U2406" s="213"/>
      <c r="V2406" s="213"/>
      <c r="W2406" s="213"/>
      <c r="X2406" s="213"/>
      <c r="Y2406" s="213"/>
      <c r="Z2406" s="213"/>
      <c r="AA2406" s="213"/>
      <c r="AB2406" s="213"/>
      <c r="AC2406" s="213"/>
      <c r="AD2406" s="213"/>
      <c r="AE2406" s="213"/>
      <c r="AF2406" s="213"/>
      <c r="AG2406" s="213"/>
      <c r="AH2406" s="213"/>
      <c r="AI2406" s="213"/>
      <c r="AJ2406" s="213"/>
      <c r="AK2406" s="213"/>
      <c r="AL2406" s="213"/>
      <c r="AM2406" s="213"/>
      <c r="AN2406" s="213"/>
      <c r="AO2406" s="213"/>
      <c r="AP2406" s="213"/>
      <c r="AQ2406" s="213"/>
      <c r="AR2406" s="213"/>
      <c r="AS2406" s="213"/>
      <c r="AT2406" s="213"/>
      <c r="AU2406" s="213"/>
      <c r="AV2406" s="213"/>
      <c r="AW2406" s="213"/>
      <c r="AX2406" s="213"/>
      <c r="AY2406" s="213"/>
      <c r="AZ2406" s="213"/>
      <c r="BA2406" s="213"/>
      <c r="BB2406" s="213"/>
      <c r="BC2406" s="213"/>
      <c r="BD2406" s="213"/>
    </row>
    <row r="2407">
      <c r="A2407" s="213">
        <f>IFERROR(__xludf.DUMMYFUNCTION("""COMPUTED_VALUE"""),2005.0)</f>
        <v>2005</v>
      </c>
      <c r="B2407" s="213" t="str">
        <f>IFERROR(__xludf.DUMMYFUNCTION("""COMPUTED_VALUE"""),"JOSE GRANDA")</f>
        <v>JOSE GRANDA</v>
      </c>
      <c r="C2407" s="213" t="str">
        <f>IFERROR(__xludf.DUMMYFUNCTION("""COMPUTED_VALUE"""),"TALLER SFT DE COMPUTACIÓN E INFORMÁTICA")</f>
        <v>TALLER SFT DE COMPUTACIÓN E INFORMÁTICA</v>
      </c>
      <c r="D2407" s="213" t="str">
        <f>IFERROR(__xludf.DUMMYFUNCTION("""COMPUTED_VALUE"""),"PEDAGOGICO")</f>
        <v>PEDAGOGICO</v>
      </c>
      <c r="E2407" s="213" t="str">
        <f>IFERROR(__xludf.DUMMYFUNCTION("""COMPUTED_VALUE"""),"-")</f>
        <v>-</v>
      </c>
      <c r="F2407" s="213" t="str">
        <f>IFERROR(__xludf.DUMMYFUNCTION("""COMPUTED_VALUE"""),"CAPA-COM")</f>
        <v>CAPA-COM</v>
      </c>
      <c r="G2407" s="213"/>
      <c r="H2407" s="213" t="str">
        <f>IFERROR(__xludf.DUMMYFUNCTION("""COMPUTED_VALUE"""),"TALLER DE CAPACITACIÓN PRESENCIAL")</f>
        <v>TALLER DE CAPACITACIÓN PRESENCIAL</v>
      </c>
      <c r="I2407" s="213"/>
      <c r="J2407" s="213">
        <f>IFERROR(__xludf.DUMMYFUNCTION("""COMPUTED_VALUE"""),3.0)</f>
        <v>3</v>
      </c>
      <c r="K2407" s="213" t="str">
        <f>IFERROR(__xludf.DUMMYFUNCTION("""COMPUTED_VALUE"""),"170 DÍAS CALENDARIO")</f>
        <v>170 DÍAS CALENDARIO</v>
      </c>
      <c r="L2407" s="213" t="str">
        <f>IFERROR(__xludf.DUMMYFUNCTION("""COMPUTED_VALUE"""),"")</f>
        <v/>
      </c>
      <c r="M2407" s="213">
        <f>IFERROR(__xludf.DUMMYFUNCTION("""COMPUTED_VALUE"""),1.0)</f>
        <v>1</v>
      </c>
      <c r="N2407" s="213">
        <f>IFERROR(__xludf.DUMMYFUNCTION("""COMPUTED_VALUE"""),1.0)</f>
        <v>1</v>
      </c>
      <c r="O2407" s="213">
        <f>IFERROR(__xludf.DUMMYFUNCTION("""COMPUTED_VALUE"""),1.0)</f>
        <v>1</v>
      </c>
      <c r="P2407" s="213"/>
      <c r="Q2407" s="213"/>
      <c r="R2407" s="213"/>
      <c r="S2407" s="213"/>
      <c r="T2407" s="213"/>
      <c r="U2407" s="213"/>
      <c r="V2407" s="213"/>
      <c r="W2407" s="213"/>
      <c r="X2407" s="213"/>
      <c r="Y2407" s="213"/>
      <c r="Z2407" s="213"/>
      <c r="AA2407" s="213"/>
      <c r="AB2407" s="213"/>
      <c r="AC2407" s="213"/>
      <c r="AD2407" s="213"/>
      <c r="AE2407" s="213"/>
      <c r="AF2407" s="213"/>
      <c r="AG2407" s="213"/>
      <c r="AH2407" s="213"/>
      <c r="AI2407" s="213"/>
      <c r="AJ2407" s="213"/>
      <c r="AK2407" s="213"/>
      <c r="AL2407" s="213"/>
      <c r="AM2407" s="213"/>
      <c r="AN2407" s="213"/>
      <c r="AO2407" s="213"/>
      <c r="AP2407" s="213"/>
      <c r="AQ2407" s="213"/>
      <c r="AR2407" s="213"/>
      <c r="AS2407" s="213"/>
      <c r="AT2407" s="213"/>
      <c r="AU2407" s="213"/>
      <c r="AV2407" s="213"/>
      <c r="AW2407" s="213"/>
      <c r="AX2407" s="213"/>
      <c r="AY2407" s="213"/>
      <c r="AZ2407" s="213"/>
      <c r="BA2407" s="213"/>
      <c r="BB2407" s="213"/>
      <c r="BC2407" s="213"/>
      <c r="BD2407" s="213"/>
    </row>
    <row r="2408">
      <c r="A2408" s="213">
        <f>IFERROR(__xludf.DUMMYFUNCTION("""COMPUTED_VALUE"""),2196.0)</f>
        <v>2196</v>
      </c>
      <c r="B2408" s="213" t="str">
        <f>IFERROR(__xludf.DUMMYFUNCTION("""COMPUTED_VALUE"""),"JOSE GRANDA")</f>
        <v>JOSE GRANDA</v>
      </c>
      <c r="C2408" s="213" t="str">
        <f>IFERROR(__xludf.DUMMYFUNCTION("""COMPUTED_VALUE"""),"TALLER SFT DE INDUSTRIA ALIMENTARIA")</f>
        <v>TALLER SFT DE INDUSTRIA ALIMENTARIA</v>
      </c>
      <c r="D2408" s="213" t="str">
        <f>IFERROR(__xludf.DUMMYFUNCTION("""COMPUTED_VALUE"""),"PEDAGOGICO")</f>
        <v>PEDAGOGICO</v>
      </c>
      <c r="E2408" s="213" t="str">
        <f>IFERROR(__xludf.DUMMYFUNCTION("""COMPUTED_VALUE"""),"-")</f>
        <v>-</v>
      </c>
      <c r="F2408" s="213" t="str">
        <f>IFERROR(__xludf.DUMMYFUNCTION("""COMPUTED_VALUE"""),"CAPA-ALI")</f>
        <v>CAPA-ALI</v>
      </c>
      <c r="G2408" s="213"/>
      <c r="H2408" s="213" t="str">
        <f>IFERROR(__xludf.DUMMYFUNCTION("""COMPUTED_VALUE"""),"TALLER DE CAPACITACIÓN PRESENCIAL")</f>
        <v>TALLER DE CAPACITACIÓN PRESENCIAL</v>
      </c>
      <c r="I2408" s="213"/>
      <c r="J2408" s="213">
        <f>IFERROR(__xludf.DUMMYFUNCTION("""COMPUTED_VALUE"""),3.0)</f>
        <v>3</v>
      </c>
      <c r="K2408" s="213" t="str">
        <f>IFERROR(__xludf.DUMMYFUNCTION("""COMPUTED_VALUE"""),"170 DÍAS CALENDARIO")</f>
        <v>170 DÍAS CALENDARIO</v>
      </c>
      <c r="L2408" s="213" t="str">
        <f>IFERROR(__xludf.DUMMYFUNCTION("""COMPUTED_VALUE"""),"")</f>
        <v/>
      </c>
      <c r="M2408" s="213">
        <f>IFERROR(__xludf.DUMMYFUNCTION("""COMPUTED_VALUE"""),1.0)</f>
        <v>1</v>
      </c>
      <c r="N2408" s="213">
        <f>IFERROR(__xludf.DUMMYFUNCTION("""COMPUTED_VALUE"""),1.0)</f>
        <v>1</v>
      </c>
      <c r="O2408" s="213">
        <f>IFERROR(__xludf.DUMMYFUNCTION("""COMPUTED_VALUE"""),1.0)</f>
        <v>1</v>
      </c>
      <c r="P2408" s="213"/>
      <c r="Q2408" s="213"/>
      <c r="R2408" s="213"/>
      <c r="S2408" s="213"/>
      <c r="T2408" s="213"/>
      <c r="U2408" s="213"/>
      <c r="V2408" s="213"/>
      <c r="W2408" s="213"/>
      <c r="X2408" s="213"/>
      <c r="Y2408" s="213"/>
      <c r="Z2408" s="213"/>
      <c r="AA2408" s="213"/>
      <c r="AB2408" s="213"/>
      <c r="AC2408" s="213"/>
      <c r="AD2408" s="213"/>
      <c r="AE2408" s="213"/>
      <c r="AF2408" s="213"/>
      <c r="AG2408" s="213"/>
      <c r="AH2408" s="213"/>
      <c r="AI2408" s="213"/>
      <c r="AJ2408" s="213"/>
      <c r="AK2408" s="213"/>
      <c r="AL2408" s="213"/>
      <c r="AM2408" s="213"/>
      <c r="AN2408" s="213"/>
      <c r="AO2408" s="213"/>
      <c r="AP2408" s="213"/>
      <c r="AQ2408" s="213"/>
      <c r="AR2408" s="213"/>
      <c r="AS2408" s="213"/>
      <c r="AT2408" s="213"/>
      <c r="AU2408" s="213"/>
      <c r="AV2408" s="213"/>
      <c r="AW2408" s="213"/>
      <c r="AX2408" s="213"/>
      <c r="AY2408" s="213"/>
      <c r="AZ2408" s="213"/>
      <c r="BA2408" s="213"/>
      <c r="BB2408" s="213"/>
      <c r="BC2408" s="213"/>
      <c r="BD2408" s="213"/>
    </row>
    <row r="2409">
      <c r="A2409" s="213">
        <f>IFERROR(__xludf.DUMMYFUNCTION("""COMPUTED_VALUE"""),2349.0)</f>
        <v>2349</v>
      </c>
      <c r="B2409" s="213" t="str">
        <f>IFERROR(__xludf.DUMMYFUNCTION("""COMPUTED_VALUE"""),"JOSE GRANDA")</f>
        <v>JOSE GRANDA</v>
      </c>
      <c r="C2409" s="213" t="str">
        <f>IFERROR(__xludf.DUMMYFUNCTION("""COMPUTED_VALUE"""),"TALLER SFT DE MECÁNICA AUTOMOTRIZ")</f>
        <v>TALLER SFT DE MECÁNICA AUTOMOTRIZ</v>
      </c>
      <c r="D2409" s="213" t="str">
        <f>IFERROR(__xludf.DUMMYFUNCTION("""COMPUTED_VALUE"""),"PEDAGOGICO")</f>
        <v>PEDAGOGICO</v>
      </c>
      <c r="E2409" s="213" t="str">
        <f>IFERROR(__xludf.DUMMYFUNCTION("""COMPUTED_VALUE"""),"-")</f>
        <v>-</v>
      </c>
      <c r="F2409" s="213" t="str">
        <f>IFERROR(__xludf.DUMMYFUNCTION("""COMPUTED_VALUE"""),"CAPA-AUTO")</f>
        <v>CAPA-AUTO</v>
      </c>
      <c r="G2409" s="213"/>
      <c r="H2409" s="213" t="str">
        <f>IFERROR(__xludf.DUMMYFUNCTION("""COMPUTED_VALUE"""),"TALLER DE CAPACITACIÓN PRESENCIAL")</f>
        <v>TALLER DE CAPACITACIÓN PRESENCIAL</v>
      </c>
      <c r="I2409" s="213"/>
      <c r="J2409" s="213">
        <f>IFERROR(__xludf.DUMMYFUNCTION("""COMPUTED_VALUE"""),3.0)</f>
        <v>3</v>
      </c>
      <c r="K2409" s="213" t="str">
        <f>IFERROR(__xludf.DUMMYFUNCTION("""COMPUTED_VALUE"""),"170 DÍAS CALENDARIO")</f>
        <v>170 DÍAS CALENDARIO</v>
      </c>
      <c r="L2409" s="213" t="str">
        <f>IFERROR(__xludf.DUMMYFUNCTION("""COMPUTED_VALUE"""),"")</f>
        <v/>
      </c>
      <c r="M2409" s="213">
        <f>IFERROR(__xludf.DUMMYFUNCTION("""COMPUTED_VALUE"""),1.0)</f>
        <v>1</v>
      </c>
      <c r="N2409" s="213">
        <f>IFERROR(__xludf.DUMMYFUNCTION("""COMPUTED_VALUE"""),1.0)</f>
        <v>1</v>
      </c>
      <c r="O2409" s="213">
        <f>IFERROR(__xludf.DUMMYFUNCTION("""COMPUTED_VALUE"""),1.0)</f>
        <v>1</v>
      </c>
      <c r="P2409" s="213"/>
      <c r="Q2409" s="213"/>
      <c r="R2409" s="213"/>
      <c r="S2409" s="213"/>
      <c r="T2409" s="213"/>
      <c r="U2409" s="213"/>
      <c r="V2409" s="213"/>
      <c r="W2409" s="213"/>
      <c r="X2409" s="213"/>
      <c r="Y2409" s="213"/>
      <c r="Z2409" s="213"/>
      <c r="AA2409" s="213"/>
      <c r="AB2409" s="213"/>
      <c r="AC2409" s="213"/>
      <c r="AD2409" s="213"/>
      <c r="AE2409" s="213"/>
      <c r="AF2409" s="213"/>
      <c r="AG2409" s="213"/>
      <c r="AH2409" s="213"/>
      <c r="AI2409" s="213"/>
      <c r="AJ2409" s="213"/>
      <c r="AK2409" s="213"/>
      <c r="AL2409" s="213"/>
      <c r="AM2409" s="213"/>
      <c r="AN2409" s="213"/>
      <c r="AO2409" s="213"/>
      <c r="AP2409" s="213"/>
      <c r="AQ2409" s="213"/>
      <c r="AR2409" s="213"/>
      <c r="AS2409" s="213"/>
      <c r="AT2409" s="213"/>
      <c r="AU2409" s="213"/>
      <c r="AV2409" s="213"/>
      <c r="AW2409" s="213"/>
      <c r="AX2409" s="213"/>
      <c r="AY2409" s="213"/>
      <c r="AZ2409" s="213"/>
      <c r="BA2409" s="213"/>
      <c r="BB2409" s="213"/>
      <c r="BC2409" s="213"/>
      <c r="BD2409" s="213"/>
    </row>
    <row r="2410">
      <c r="A2410" s="213">
        <f>IFERROR(__xludf.DUMMYFUNCTION("""COMPUTED_VALUE"""),2453.0)</f>
        <v>2453</v>
      </c>
      <c r="B2410" s="213" t="str">
        <f>IFERROR(__xludf.DUMMYFUNCTION("""COMPUTED_VALUE"""),"MANUEL ANTONIO MESONES MURO")</f>
        <v>MANUEL ANTONIO MESONES MURO</v>
      </c>
      <c r="C2410" s="213" t="str">
        <f>IFERROR(__xludf.DUMMYFUNCTION("""COMPUTED_VALUE"""),"TALLER SFT DE INDUSTRIA DEL VESTIDO")</f>
        <v>TALLER SFT DE INDUSTRIA DEL VESTIDO</v>
      </c>
      <c r="D2410" s="213" t="str">
        <f>IFERROR(__xludf.DUMMYFUNCTION("""COMPUTED_VALUE"""),"PEDAGOGICO")</f>
        <v>PEDAGOGICO</v>
      </c>
      <c r="E2410" s="213" t="str">
        <f>IFERROR(__xludf.DUMMYFUNCTION("""COMPUTED_VALUE"""),"-")</f>
        <v>-</v>
      </c>
      <c r="F2410" s="213" t="str">
        <f>IFERROR(__xludf.DUMMYFUNCTION("""COMPUTED_VALUE"""),"CAPA-VEST")</f>
        <v>CAPA-VEST</v>
      </c>
      <c r="G2410" s="213"/>
      <c r="H2410" s="213" t="str">
        <f>IFERROR(__xludf.DUMMYFUNCTION("""COMPUTED_VALUE"""),"TALLER DE CAPACITACIÓN PRESENCIAL")</f>
        <v>TALLER DE CAPACITACIÓN PRESENCIAL</v>
      </c>
      <c r="I2410" s="213"/>
      <c r="J2410" s="213">
        <f>IFERROR(__xludf.DUMMYFUNCTION("""COMPUTED_VALUE"""),3.0)</f>
        <v>3</v>
      </c>
      <c r="K2410" s="213" t="str">
        <f>IFERROR(__xludf.DUMMYFUNCTION("""COMPUTED_VALUE"""),"170 DÍAS CALENDARIO")</f>
        <v>170 DÍAS CALENDARIO</v>
      </c>
      <c r="L2410" s="213" t="str">
        <f>IFERROR(__xludf.DUMMYFUNCTION("""COMPUTED_VALUE"""),"")</f>
        <v/>
      </c>
      <c r="M2410" s="213">
        <f>IFERROR(__xludf.DUMMYFUNCTION("""COMPUTED_VALUE"""),1.0)</f>
        <v>1</v>
      </c>
      <c r="N2410" s="213">
        <f>IFERROR(__xludf.DUMMYFUNCTION("""COMPUTED_VALUE"""),1.0)</f>
        <v>1</v>
      </c>
      <c r="O2410" s="213">
        <f>IFERROR(__xludf.DUMMYFUNCTION("""COMPUTED_VALUE"""),1.0)</f>
        <v>1</v>
      </c>
      <c r="P2410" s="213"/>
      <c r="Q2410" s="213"/>
      <c r="R2410" s="213"/>
      <c r="S2410" s="213"/>
      <c r="T2410" s="213"/>
      <c r="U2410" s="213"/>
      <c r="V2410" s="213"/>
      <c r="W2410" s="213"/>
      <c r="X2410" s="213"/>
      <c r="Y2410" s="213"/>
      <c r="Z2410" s="213"/>
      <c r="AA2410" s="213"/>
      <c r="AB2410" s="213"/>
      <c r="AC2410" s="213"/>
      <c r="AD2410" s="213"/>
      <c r="AE2410" s="213"/>
      <c r="AF2410" s="213"/>
      <c r="AG2410" s="213"/>
      <c r="AH2410" s="213"/>
      <c r="AI2410" s="213"/>
      <c r="AJ2410" s="213"/>
      <c r="AK2410" s="213"/>
      <c r="AL2410" s="213"/>
      <c r="AM2410" s="213"/>
      <c r="AN2410" s="213"/>
      <c r="AO2410" s="213"/>
      <c r="AP2410" s="213"/>
      <c r="AQ2410" s="213"/>
      <c r="AR2410" s="213"/>
      <c r="AS2410" s="213"/>
      <c r="AT2410" s="213"/>
      <c r="AU2410" s="213"/>
      <c r="AV2410" s="213"/>
      <c r="AW2410" s="213"/>
      <c r="AX2410" s="213"/>
      <c r="AY2410" s="213"/>
      <c r="AZ2410" s="213"/>
      <c r="BA2410" s="213"/>
      <c r="BB2410" s="213"/>
      <c r="BC2410" s="213"/>
      <c r="BD2410" s="213"/>
    </row>
    <row r="2411">
      <c r="A2411" s="213">
        <f>IFERROR(__xludf.DUMMYFUNCTION("""COMPUTED_VALUE"""),2537.0)</f>
        <v>2537</v>
      </c>
      <c r="B2411" s="213" t="str">
        <f>IFERROR(__xludf.DUMMYFUNCTION("""COMPUTED_VALUE"""),"MANUEL ANTONIO MESONES MURO")</f>
        <v>MANUEL ANTONIO MESONES MURO</v>
      </c>
      <c r="C2411" s="213" t="str">
        <f>IFERROR(__xludf.DUMMYFUNCTION("""COMPUTED_VALUE"""),"TALLER SFT DE CONSTRUCCIONES METÁLICAS")</f>
        <v>TALLER SFT DE CONSTRUCCIONES METÁLICAS</v>
      </c>
      <c r="D2411" s="213" t="str">
        <f>IFERROR(__xludf.DUMMYFUNCTION("""COMPUTED_VALUE"""),"EQUIPOS")</f>
        <v>EQUIPOS</v>
      </c>
      <c r="E2411" s="213" t="str">
        <f>IFERROR(__xludf.DUMMYFUNCTION("""COMPUTED_VALUE"""),"ESP-358")</f>
        <v>ESP-358</v>
      </c>
      <c r="F2411" s="213" t="str">
        <f>IFERROR(__xludf.DUMMYFUNCTION("""COMPUTED_VALUE"""),"ESP-358")</f>
        <v>ESP-358</v>
      </c>
      <c r="G2411" s="213"/>
      <c r="H2411" s="213" t="str">
        <f>IFERROR(__xludf.DUMMYFUNCTION("""COMPUTED_VALUE"""),"TALADRO PERCUTOR PORTÁTIL")</f>
        <v>TALADRO PERCUTOR PORTÁTIL</v>
      </c>
      <c r="I2411" s="213"/>
      <c r="J2411" s="213">
        <f>IFERROR(__xludf.DUMMYFUNCTION("""COMPUTED_VALUE"""),3.0)</f>
        <v>3</v>
      </c>
      <c r="K2411" s="213" t="str">
        <f>IFERROR(__xludf.DUMMYFUNCTION("""COMPUTED_VALUE"""),"170 DÍAS CALENDARIO")</f>
        <v>170 DÍAS CALENDARIO</v>
      </c>
      <c r="L2411" s="213" t="str">
        <f>IFERROR(__xludf.DUMMYFUNCTION("""COMPUTED_VALUE"""),"")</f>
        <v/>
      </c>
      <c r="M2411" s="213">
        <f>IFERROR(__xludf.DUMMYFUNCTION("""COMPUTED_VALUE"""),1.0)</f>
        <v>1</v>
      </c>
      <c r="N2411" s="213">
        <f>IFERROR(__xludf.DUMMYFUNCTION("""COMPUTED_VALUE"""),1.0)</f>
        <v>1</v>
      </c>
      <c r="O2411" s="213">
        <f>IFERROR(__xludf.DUMMYFUNCTION("""COMPUTED_VALUE"""),1.0)</f>
        <v>1</v>
      </c>
      <c r="P2411" s="213"/>
      <c r="Q2411" s="213"/>
      <c r="R2411" s="213"/>
      <c r="S2411" s="213" t="str">
        <f>IFERROR(__xludf.DUMMYFUNCTION("""COMPUTED_VALUE"""),"SI")</f>
        <v>SI</v>
      </c>
      <c r="T2411" s="213" t="str">
        <f>IFERROR(__xludf.DUMMYFUNCTION("""COMPUTED_VALUE"""),"SI")</f>
        <v>SI</v>
      </c>
      <c r="U2411" s="213" t="str">
        <f>IFERROR(__xludf.DUMMYFUNCTION("""COMPUTED_VALUE"""),"NO")</f>
        <v>NO</v>
      </c>
      <c r="V2411" s="213" t="str">
        <f>IFERROR(__xludf.DUMMYFUNCTION("""COMPUTED_VALUE"""),"SUSTENTO")</f>
        <v>SUSTENTO</v>
      </c>
      <c r="W2411" s="213" t="str">
        <f>IFERROR(__xludf.DUMMYFUNCTION("""COMPUTED_VALUE"""),"ERROR EETT")</f>
        <v>ERROR EETT</v>
      </c>
      <c r="X2411" s="213" t="str">
        <f>IFERROR(__xludf.DUMMYFUNCTION("""COMPUTED_VALUE"""),"BOSCH")</f>
        <v>BOSCH</v>
      </c>
      <c r="Y2411" s="213" t="str">
        <f>IFERROR(__xludf.DUMMYFUNCTION("""COMPUTED_VALUE"""),"GSB 16 RE Professional")</f>
        <v>GSB 16 RE Professional</v>
      </c>
      <c r="Z2411" s="215" t="str">
        <f>IFERROR(__xludf.DUMMYFUNCTION("""COMPUTED_VALUE"""),"https://www.bosch-professional.com/pe/es/products/gsb-16-re-060114E500")</f>
        <v>https://www.bosch-professional.com/pe/es/products/gsb-16-re-060114E500</v>
      </c>
      <c r="AA2411" s="213" t="str">
        <f>IFERROR(__xludf.DUMMYFUNCTION("""COMPUTED_VALUE"""),"ESP-358 TALADRO PERCUTOR PORTÁTIL - CET")</f>
        <v>ESP-358 TALADRO PERCUTOR PORTÁTIL - CET</v>
      </c>
      <c r="AB2411" s="215" t="str">
        <f>IFERROR(__xludf.DUMMYFUNCTION("""COMPUTED_VALUE"""),"https://drive.google.com/file/d/1BQnNQUhXPj5WOsktzwK60dTyCfhionNH/view?usp=sharing")</f>
        <v>https://drive.google.com/file/d/1BQnNQUhXPj5WOsktzwK60dTyCfhionNH/view?usp=sharing</v>
      </c>
      <c r="AC2411" s="213"/>
      <c r="AD2411" s="213"/>
      <c r="AE2411" s="213"/>
      <c r="AF2411" s="213"/>
      <c r="AG2411" s="213"/>
      <c r="AH2411" s="213" t="str">
        <f>IFERROR(__xludf.DUMMYFUNCTION("""COMPUTED_VALUE"""),"NACIONAL")</f>
        <v>NACIONAL</v>
      </c>
      <c r="AI2411" s="213"/>
      <c r="AJ2411" s="213"/>
      <c r="AK2411" s="213"/>
      <c r="AL2411" s="213"/>
      <c r="AM2411" s="213"/>
      <c r="AN2411" s="213"/>
      <c r="AO2411" s="213"/>
      <c r="AP2411" s="213" t="str">
        <f>IFERROR(__xludf.DUMMYFUNCTION("""COMPUTED_VALUE"""),"NALDI")</f>
        <v>NALDI</v>
      </c>
      <c r="AQ2411" s="213" t="str">
        <f>IFERROR(__xludf.DUMMYFUNCTION("""COMPUTED_VALUE"""),"Considerar el modelo que mínimo trae: 
Empuñadura auxiliar
Maletín de transporte
Limitador de profundidad de 210 mm
Portabrocas de sujeción rápida de 13 mm")</f>
        <v>Considerar el modelo que mínimo trae: 
Empuñadura auxiliar
Maletín de transporte
Limitador de profundidad de 210 mm
Portabrocas de sujeción rápida de 13 mm</v>
      </c>
      <c r="AR2411" s="213"/>
      <c r="AS2411" s="213" t="str">
        <f>IFERROR(__xludf.DUMMYFUNCTION("""COMPUTED_VALUE"""),"Considerar el modelo que mínimo trae: 
Empuñadura auxiliar
Maletín de transporte
Limitador de profundidad de 210 mm
Portabrocas de sujeción rápida de 13 mm")</f>
        <v>Considerar el modelo que mínimo trae: 
Empuñadura auxiliar
Maletín de transporte
Limitador de profundidad de 210 mm
Portabrocas de sujeción rápida de 13 mm</v>
      </c>
      <c r="AT2411" s="213"/>
      <c r="AU2411" s="213"/>
      <c r="AV2411" s="213"/>
      <c r="AW2411" s="213"/>
      <c r="AX2411" s="213"/>
      <c r="AY2411" s="213"/>
      <c r="AZ2411" s="213"/>
      <c r="BA2411" s="213"/>
      <c r="BB2411" s="213"/>
      <c r="BC2411" s="213"/>
      <c r="BD2411" s="213"/>
    </row>
    <row r="2412">
      <c r="A2412" s="213">
        <f>IFERROR(__xludf.DUMMYFUNCTION("""COMPUTED_VALUE"""),2690.0)</f>
        <v>2690</v>
      </c>
      <c r="B2412" s="213" t="str">
        <f>IFERROR(__xludf.DUMMYFUNCTION("""COMPUTED_VALUE"""),"MANUEL ANTONIO MESONES MURO")</f>
        <v>MANUEL ANTONIO MESONES MURO</v>
      </c>
      <c r="C2412" s="213" t="str">
        <f>IFERROR(__xludf.DUMMYFUNCTION("""COMPUTED_VALUE"""),"TALLER SFT DE EBANISTERÍA")</f>
        <v>TALLER SFT DE EBANISTERÍA</v>
      </c>
      <c r="D2412" s="213" t="str">
        <f>IFERROR(__xludf.DUMMYFUNCTION("""COMPUTED_VALUE"""),"PEDAGOGICO")</f>
        <v>PEDAGOGICO</v>
      </c>
      <c r="E2412" s="213" t="str">
        <f>IFERROR(__xludf.DUMMYFUNCTION("""COMPUTED_VALUE"""),"-")</f>
        <v>-</v>
      </c>
      <c r="F2412" s="213" t="str">
        <f>IFERROR(__xludf.DUMMYFUNCTION("""COMPUTED_VALUE"""),"CAPA-EBA")</f>
        <v>CAPA-EBA</v>
      </c>
      <c r="G2412" s="213"/>
      <c r="H2412" s="213" t="str">
        <f>IFERROR(__xludf.DUMMYFUNCTION("""COMPUTED_VALUE"""),"TALLER DE CAPACITACIÓN PRESENCIAL")</f>
        <v>TALLER DE CAPACITACIÓN PRESENCIAL</v>
      </c>
      <c r="I2412" s="213"/>
      <c r="J2412" s="213">
        <f>IFERROR(__xludf.DUMMYFUNCTION("""COMPUTED_VALUE"""),3.0)</f>
        <v>3</v>
      </c>
      <c r="K2412" s="213" t="str">
        <f>IFERROR(__xludf.DUMMYFUNCTION("""COMPUTED_VALUE"""),"170 DÍAS CALENDARIO")</f>
        <v>170 DÍAS CALENDARIO</v>
      </c>
      <c r="L2412" s="213" t="str">
        <f>IFERROR(__xludf.DUMMYFUNCTION("""COMPUTED_VALUE"""),"")</f>
        <v/>
      </c>
      <c r="M2412" s="213">
        <f>IFERROR(__xludf.DUMMYFUNCTION("""COMPUTED_VALUE"""),1.0)</f>
        <v>1</v>
      </c>
      <c r="N2412" s="213">
        <f>IFERROR(__xludf.DUMMYFUNCTION("""COMPUTED_VALUE"""),1.0)</f>
        <v>1</v>
      </c>
      <c r="O2412" s="213">
        <f>IFERROR(__xludf.DUMMYFUNCTION("""COMPUTED_VALUE"""),1.0)</f>
        <v>1</v>
      </c>
      <c r="P2412" s="213"/>
      <c r="Q2412" s="213"/>
      <c r="R2412" s="213"/>
      <c r="S2412" s="213"/>
      <c r="T2412" s="213"/>
      <c r="U2412" s="213"/>
      <c r="V2412" s="213"/>
      <c r="W2412" s="213"/>
      <c r="X2412" s="213"/>
      <c r="Y2412" s="213"/>
      <c r="Z2412" s="213"/>
      <c r="AA2412" s="213"/>
      <c r="AB2412" s="213"/>
      <c r="AC2412" s="213"/>
      <c r="AD2412" s="213"/>
      <c r="AE2412" s="213"/>
      <c r="AF2412" s="213"/>
      <c r="AG2412" s="213"/>
      <c r="AH2412" s="213"/>
      <c r="AI2412" s="213"/>
      <c r="AJ2412" s="213"/>
      <c r="AK2412" s="213"/>
      <c r="AL2412" s="213"/>
      <c r="AM2412" s="213"/>
      <c r="AN2412" s="213"/>
      <c r="AO2412" s="213"/>
      <c r="AP2412" s="213"/>
      <c r="AQ2412" s="213"/>
      <c r="AR2412" s="213"/>
      <c r="AS2412" s="213"/>
      <c r="AT2412" s="213"/>
      <c r="AU2412" s="213"/>
      <c r="AV2412" s="213"/>
      <c r="AW2412" s="213"/>
      <c r="AX2412" s="213"/>
      <c r="AY2412" s="213"/>
      <c r="AZ2412" s="213"/>
      <c r="BA2412" s="213"/>
      <c r="BB2412" s="213"/>
      <c r="BC2412" s="213"/>
      <c r="BD2412" s="213"/>
    </row>
    <row r="2413">
      <c r="A2413" s="213">
        <f>IFERROR(__xludf.DUMMYFUNCTION("""COMPUTED_VALUE"""),474.0)</f>
        <v>474</v>
      </c>
      <c r="B2413" s="213" t="str">
        <f>IFERROR(__xludf.DUMMYFUNCTION("""COMPUTED_VALUE"""),"2026 SIMON BOLIVAR")</f>
        <v>2026 SIMON BOLIVAR</v>
      </c>
      <c r="C2413" s="213" t="str">
        <f>IFERROR(__xludf.DUMMYFUNCTION("""COMPUTED_VALUE"""),"TALLER SFT DE INDUSTRIA ALIMENTARIA")</f>
        <v>TALLER SFT DE INDUSTRIA ALIMENTARIA</v>
      </c>
      <c r="D2413" s="213" t="str">
        <f>IFERROR(__xludf.DUMMYFUNCTION("""COMPUTED_VALUE"""),"HERRAMIENTAS")</f>
        <v>HERRAMIENTAS</v>
      </c>
      <c r="E2413" s="213" t="str">
        <f>IFERROR(__xludf.DUMMYFUNCTION("""COMPUTED_VALUE"""),"MAT-394")</f>
        <v>MAT-394</v>
      </c>
      <c r="F2413" s="213" t="str">
        <f>IFERROR(__xludf.DUMMYFUNCTION("""COMPUTED_VALUE"""),"MAT-394")</f>
        <v>MAT-394</v>
      </c>
      <c r="G2413" s="213"/>
      <c r="H2413" s="213" t="str">
        <f>IFERROR(__xludf.DUMMYFUNCTION("""COMPUTED_VALUE"""),"OLLA 50 LITROS")</f>
        <v>OLLA 50 LITROS</v>
      </c>
      <c r="I2413" s="213" t="str">
        <f>IFERROR(__xludf.DUMMYFUNCTION("""COMPUTED_VALUE"""),"· Olla de acero inoxidable quirúrgico exclusivamente para alimentos bebidas, lácteos
· Calidad 304 capacidad para 50 litros fabricada en placas de 1/16 de acero inoxidable.
· Material: acero  Inoxidable
· Espesor: 1.2 mm
· Acabado pulido interno y externo"&amp;", acabado de lujo, tapa plana con asa de acero
· Varilla soldadas con argón para mayor resistencia, cuerpo suave al tacto, fáciles de limpiar.
· Capacidad 50 Litros
· Medidas 40 x 40 cm como mínimo.")</f>
        <v>· Olla de acero inoxidable quirúrgico exclusivamente para alimentos bebidas, lácteos
· Calidad 304 capacidad para 50 litros fabricada en placas de 1/16 de acero inoxidable.
· Material: acero  Inoxidable
· Espesor: 1.2 mm
· Acabado pulido interno y externo, acabado de lujo, tapa plana con asa de acero
· Varilla soldadas con argón para mayor resistencia, cuerpo suave al tacto, fáciles de limpiar.
· Capacidad 50 Litros
· Medidas 40 x 40 cm como mínimo.</v>
      </c>
      <c r="J2413" s="213">
        <f>IFERROR(__xludf.DUMMYFUNCTION("""COMPUTED_VALUE"""),3.0)</f>
        <v>3</v>
      </c>
      <c r="K2413" s="213" t="str">
        <f>IFERROR(__xludf.DUMMYFUNCTION("""COMPUTED_VALUE"""),"90 DÍAS CALENDARIO")</f>
        <v>90 DÍAS CALENDARIO</v>
      </c>
      <c r="L2413" s="213" t="str">
        <f>IFERROR(__xludf.DUMMYFUNCTION("""COMPUTED_VALUE"""),"")</f>
        <v/>
      </c>
      <c r="M2413" s="213">
        <f>IFERROR(__xludf.DUMMYFUNCTION("""COMPUTED_VALUE"""),1.0)</f>
        <v>1</v>
      </c>
      <c r="N2413" s="213">
        <f>IFERROR(__xludf.DUMMYFUNCTION("""COMPUTED_VALUE"""),1.0)</f>
        <v>1</v>
      </c>
      <c r="O2413" s="213">
        <f>IFERROR(__xludf.DUMMYFUNCTION("""COMPUTED_VALUE"""),1.0)</f>
        <v>1</v>
      </c>
      <c r="P2413" s="213"/>
      <c r="Q2413" s="213"/>
      <c r="R2413" s="213" t="str">
        <f>IFERROR(__xludf.DUMMYFUNCTION("""COMPUTED_VALUE"""),"SI")</f>
        <v>SI</v>
      </c>
      <c r="S2413" s="213"/>
      <c r="T2413" s="213" t="str">
        <f>IFERROR(__xludf.DUMMYFUNCTION("""COMPUTED_VALUE"""),"SI")</f>
        <v>SI</v>
      </c>
      <c r="U2413" s="213" t="str">
        <f>IFERROR(__xludf.DUMMYFUNCTION("""COMPUTED_VALUE"""),"SI")</f>
        <v>SI</v>
      </c>
      <c r="V2413" s="213" t="str">
        <f>IFERROR(__xludf.DUMMYFUNCTION("""COMPUTED_VALUE"""),"-")</f>
        <v>-</v>
      </c>
      <c r="W2413" s="213" t="str">
        <f>IFERROR(__xludf.DUMMYFUNCTION("""COMPUTED_VALUE"""),"-")</f>
        <v>-</v>
      </c>
      <c r="X2413" s="213" t="str">
        <f>IFERROR(__xludf.DUMMYFUNCTION("""COMPUTED_VALUE"""),"MOLAH")</f>
        <v>MOLAH</v>
      </c>
      <c r="Y2413" s="213" t="str">
        <f>IFERROR(__xludf.DUMMYFUNCTION("""COMPUTED_VALUE"""),"MOLAH")</f>
        <v>MOLAH</v>
      </c>
      <c r="Z2413" s="215" t="str">
        <f>IFERROR(__xludf.DUMMYFUNCTION("""COMPUTED_VALUE"""),"https://www.amazon.com.mx/Inoxidable-Alimenticio-Capacidad-Industrial-Profesional/dp/B08TB3W74W")</f>
        <v>https://www.amazon.com.mx/Inoxidable-Alimenticio-Capacidad-Industrial-Profesional/dp/B08TB3W74W</v>
      </c>
      <c r="AA2413" s="213" t="str">
        <f>IFERROR(__xludf.DUMMYFUNCTION("""COMPUTED_VALUE"""),"MAT-394 OLLA 50 LITROS - CET")</f>
        <v>MAT-394 OLLA 50 LITROS - CET</v>
      </c>
      <c r="AB2413" s="213"/>
      <c r="AC2413" s="213"/>
      <c r="AD2413" s="213"/>
      <c r="AE2413" s="213"/>
      <c r="AF2413" s="213"/>
      <c r="AG2413" s="213"/>
      <c r="AH2413" s="213"/>
      <c r="AI2413" s="213"/>
      <c r="AJ2413" s="213"/>
      <c r="AK2413" s="213"/>
      <c r="AL2413" s="213"/>
      <c r="AM2413" s="213"/>
      <c r="AN2413" s="213"/>
      <c r="AO2413" s="213"/>
      <c r="AP2413" s="213" t="str">
        <f>IFERROR(__xludf.DUMMYFUNCTION("""COMPUTED_VALUE"""),"LUIS")</f>
        <v>LUIS</v>
      </c>
      <c r="AQ2413" s="213"/>
      <c r="AR2413" s="213"/>
      <c r="AS2413" s="213"/>
      <c r="AT2413" s="213"/>
      <c r="AU2413" s="213"/>
      <c r="AV2413" s="213"/>
      <c r="AW2413" s="213"/>
      <c r="AX2413" s="213"/>
      <c r="AY2413" s="213"/>
      <c r="AZ2413" s="213"/>
      <c r="BA2413" s="213"/>
      <c r="BB2413" s="213"/>
      <c r="BC2413" s="213"/>
      <c r="BD2413" s="213"/>
    </row>
    <row r="2414">
      <c r="A2414" s="213">
        <f>IFERROR(__xludf.DUMMYFUNCTION("""COMPUTED_VALUE"""),388.0)</f>
        <v>388</v>
      </c>
      <c r="B2414" s="213" t="str">
        <f>IFERROR(__xludf.DUMMYFUNCTION("""COMPUTED_VALUE"""),"2026 SIMON BOLIVAR")</f>
        <v>2026 SIMON BOLIVAR</v>
      </c>
      <c r="C2414" s="213" t="str">
        <f>IFERROR(__xludf.DUMMYFUNCTION("""COMPUTED_VALUE"""),"TALLER SFT DE ELECTRICIDAD")</f>
        <v>TALLER SFT DE ELECTRICIDAD</v>
      </c>
      <c r="D2414" s="213" t="str">
        <f>IFERROR(__xludf.DUMMYFUNCTION("""COMPUTED_VALUE"""),"EQUIPOS")</f>
        <v>EQUIPOS</v>
      </c>
      <c r="E2414" s="213" t="str">
        <f>IFERROR(__xludf.DUMMYFUNCTION("""COMPUTED_VALUE"""),"ESP-365")</f>
        <v>ESP-365</v>
      </c>
      <c r="F2414" s="213" t="str">
        <f>IFERROR(__xludf.DUMMYFUNCTION("""COMPUTED_VALUE"""),"ESP-365")</f>
        <v>ESP-365</v>
      </c>
      <c r="G2414" s="213"/>
      <c r="H2414" s="213" t="str">
        <f>IFERROR(__xludf.DUMMYFUNCTION("""COMPUTED_VALUE"""),"TARJETA O PLATAFORMA DE ELECTRÓNICA DE CÓDIGO ABIERTO")</f>
        <v>TARJETA O PLATAFORMA DE ELECTRÓNICA DE CÓDIGO ABIERTO</v>
      </c>
      <c r="I2414" s="213"/>
      <c r="J2414" s="213">
        <f>IFERROR(__xludf.DUMMYFUNCTION("""COMPUTED_VALUE"""),3.0)</f>
        <v>3</v>
      </c>
      <c r="K2414" s="213" t="str">
        <f>IFERROR(__xludf.DUMMYFUNCTION("""COMPUTED_VALUE"""),"170 DÍAS CALENDARIO")</f>
        <v>170 DÍAS CALENDARIO</v>
      </c>
      <c r="L2414" s="213" t="str">
        <f>IFERROR(__xludf.DUMMYFUNCTION("""COMPUTED_VALUE"""),"")</f>
        <v/>
      </c>
      <c r="M2414" s="213">
        <f>IFERROR(__xludf.DUMMYFUNCTION("""COMPUTED_VALUE"""),1.0)</f>
        <v>1</v>
      </c>
      <c r="N2414" s="213">
        <f>IFERROR(__xludf.DUMMYFUNCTION("""COMPUTED_VALUE"""),4.0)</f>
        <v>4</v>
      </c>
      <c r="O2414" s="213">
        <f>IFERROR(__xludf.DUMMYFUNCTION("""COMPUTED_VALUE"""),4.0)</f>
        <v>4</v>
      </c>
      <c r="P2414" s="213"/>
      <c r="Q2414" s="213"/>
      <c r="R2414" s="213"/>
      <c r="S2414" s="213" t="str">
        <f>IFERROR(__xludf.DUMMYFUNCTION("""COMPUTED_VALUE"""),"SI")</f>
        <v>SI</v>
      </c>
      <c r="T2414" s="213" t="str">
        <f>IFERROR(__xludf.DUMMYFUNCTION("""COMPUTED_VALUE"""),"SI")</f>
        <v>SI</v>
      </c>
      <c r="U2414" s="213" t="str">
        <f>IFERROR(__xludf.DUMMYFUNCTION("""COMPUTED_VALUE"""),"SI")</f>
        <v>SI</v>
      </c>
      <c r="V2414" s="213" t="str">
        <f>IFERROR(__xludf.DUMMYFUNCTION("""COMPUTED_VALUE"""),"-")</f>
        <v>-</v>
      </c>
      <c r="W2414" s="213" t="str">
        <f>IFERROR(__xludf.DUMMYFUNCTION("""COMPUTED_VALUE"""),"-")</f>
        <v>-</v>
      </c>
      <c r="X2414" s="213" t="str">
        <f>IFERROR(__xludf.DUMMYFUNCTION("""COMPUTED_VALUE"""),"ARDUINO")</f>
        <v>ARDUINO</v>
      </c>
      <c r="Y2414" s="213" t="str">
        <f>IFERROR(__xludf.DUMMYFUNCTION("""COMPUTED_VALUE"""),"UNO")</f>
        <v>UNO</v>
      </c>
      <c r="Z2414" s="213" t="str">
        <f>IFERROR(__xludf.DUMMYFUNCTION("""COMPUTED_VALUE"""),"TARJETA O PLATAFORMA DE ELECTRONICA DE CODIGO ABIERTO.pdf")</f>
        <v>TARJETA O PLATAFORMA DE ELECTRONICA DE CODIGO ABIERTO.pdf</v>
      </c>
      <c r="AA2414" s="213" t="str">
        <f>IFERROR(__xludf.DUMMYFUNCTION("""COMPUTED_VALUE"""),"ESP-365 TARJETA O PLATAFORMA DE ELECTRÓNICA DE CÓDIGO ABIERTO - CET")</f>
        <v>ESP-365 TARJETA O PLATAFORMA DE ELECTRÓNICA DE CÓDIGO ABIERTO - CET</v>
      </c>
      <c r="AB2414" s="213"/>
      <c r="AC2414" s="213"/>
      <c r="AD2414" s="213"/>
      <c r="AE2414" s="213"/>
      <c r="AF2414" s="213"/>
      <c r="AG2414" s="213"/>
      <c r="AH2414" s="213" t="str">
        <f>IFERROR(__xludf.DUMMYFUNCTION("""COMPUTED_VALUE"""),"IMPORTADO")</f>
        <v>IMPORTADO</v>
      </c>
      <c r="AI2414" s="213"/>
      <c r="AJ2414" s="213"/>
      <c r="AK2414" s="213"/>
      <c r="AL2414" s="213"/>
      <c r="AM2414" s="213"/>
      <c r="AN2414" s="213"/>
      <c r="AO2414" s="213"/>
      <c r="AP2414" s="213" t="str">
        <f>IFERROR(__xludf.DUMMYFUNCTION("""COMPUTED_VALUE"""),"ANTONELLA")</f>
        <v>ANTONELLA</v>
      </c>
      <c r="AQ2414" s="213"/>
      <c r="AR2414" s="213"/>
      <c r="AS2414" s="213"/>
      <c r="AT2414" s="213"/>
      <c r="AU2414" s="213"/>
      <c r="AV2414" s="213"/>
      <c r="AW2414" s="213"/>
      <c r="AX2414" s="213"/>
      <c r="AY2414" s="213"/>
      <c r="AZ2414" s="213"/>
      <c r="BA2414" s="213"/>
      <c r="BB2414" s="213"/>
      <c r="BC2414" s="213"/>
      <c r="BD2414" s="213"/>
    </row>
    <row r="2415">
      <c r="A2415" s="213">
        <f>IFERROR(__xludf.DUMMYFUNCTION("""COMPUTED_VALUE"""),874.0)</f>
        <v>874</v>
      </c>
      <c r="B2415" s="213" t="str">
        <f>IFERROR(__xludf.DUMMYFUNCTION("""COMPUTED_VALUE"""),"6049 RICARDO PALMA")</f>
        <v>6049 RICARDO PALMA</v>
      </c>
      <c r="C2415" s="213" t="str">
        <f>IFERROR(__xludf.DUMMYFUNCTION("""COMPUTED_VALUE"""),"TALLER SFT DE ELECTRICIDAD")</f>
        <v>TALLER SFT DE ELECTRICIDAD</v>
      </c>
      <c r="D2415" s="213" t="str">
        <f>IFERROR(__xludf.DUMMYFUNCTION("""COMPUTED_VALUE"""),"EQUIPOS")</f>
        <v>EQUIPOS</v>
      </c>
      <c r="E2415" s="213" t="str">
        <f>IFERROR(__xludf.DUMMYFUNCTION("""COMPUTED_VALUE"""),"ESP-365")</f>
        <v>ESP-365</v>
      </c>
      <c r="F2415" s="213" t="str">
        <f>IFERROR(__xludf.DUMMYFUNCTION("""COMPUTED_VALUE"""),"ESP-365")</f>
        <v>ESP-365</v>
      </c>
      <c r="G2415" s="213"/>
      <c r="H2415" s="213" t="str">
        <f>IFERROR(__xludf.DUMMYFUNCTION("""COMPUTED_VALUE"""),"TARJETA O PLATAFORMA DE ELECTRÓNICA DE CÓDIGO ABIERTO")</f>
        <v>TARJETA O PLATAFORMA DE ELECTRÓNICA DE CÓDIGO ABIERTO</v>
      </c>
      <c r="I2415" s="213"/>
      <c r="J2415" s="213">
        <f>IFERROR(__xludf.DUMMYFUNCTION("""COMPUTED_VALUE"""),3.0)</f>
        <v>3</v>
      </c>
      <c r="K2415" s="213" t="str">
        <f>IFERROR(__xludf.DUMMYFUNCTION("""COMPUTED_VALUE"""),"170 DÍAS CALENDARIO")</f>
        <v>170 DÍAS CALENDARIO</v>
      </c>
      <c r="L2415" s="213" t="str">
        <f>IFERROR(__xludf.DUMMYFUNCTION("""COMPUTED_VALUE"""),"")</f>
        <v/>
      </c>
      <c r="M2415" s="213">
        <f>IFERROR(__xludf.DUMMYFUNCTION("""COMPUTED_VALUE"""),1.0)</f>
        <v>1</v>
      </c>
      <c r="N2415" s="213">
        <f>IFERROR(__xludf.DUMMYFUNCTION("""COMPUTED_VALUE"""),4.0)</f>
        <v>4</v>
      </c>
      <c r="O2415" s="213">
        <f>IFERROR(__xludf.DUMMYFUNCTION("""COMPUTED_VALUE"""),4.0)</f>
        <v>4</v>
      </c>
      <c r="P2415" s="213"/>
      <c r="Q2415" s="213"/>
      <c r="R2415" s="213"/>
      <c r="S2415" s="213" t="str">
        <f>IFERROR(__xludf.DUMMYFUNCTION("""COMPUTED_VALUE"""),"SI")</f>
        <v>SI</v>
      </c>
      <c r="T2415" s="213" t="str">
        <f>IFERROR(__xludf.DUMMYFUNCTION("""COMPUTED_VALUE"""),"SI")</f>
        <v>SI</v>
      </c>
      <c r="U2415" s="213" t="str">
        <f>IFERROR(__xludf.DUMMYFUNCTION("""COMPUTED_VALUE"""),"SI")</f>
        <v>SI</v>
      </c>
      <c r="V2415" s="213" t="str">
        <f>IFERROR(__xludf.DUMMYFUNCTION("""COMPUTED_VALUE"""),"-")</f>
        <v>-</v>
      </c>
      <c r="W2415" s="213" t="str">
        <f>IFERROR(__xludf.DUMMYFUNCTION("""COMPUTED_VALUE"""),"-")</f>
        <v>-</v>
      </c>
      <c r="X2415" s="213" t="str">
        <f>IFERROR(__xludf.DUMMYFUNCTION("""COMPUTED_VALUE"""),"ARDUINO")</f>
        <v>ARDUINO</v>
      </c>
      <c r="Y2415" s="213" t="str">
        <f>IFERROR(__xludf.DUMMYFUNCTION("""COMPUTED_VALUE"""),"UNO")</f>
        <v>UNO</v>
      </c>
      <c r="Z2415" s="213" t="str">
        <f>IFERROR(__xludf.DUMMYFUNCTION("""COMPUTED_VALUE"""),"TARJETA O PLATAFORMA DE ELECTRONICA DE CODIGO ABIERTO.pdf")</f>
        <v>TARJETA O PLATAFORMA DE ELECTRONICA DE CODIGO ABIERTO.pdf</v>
      </c>
      <c r="AA2415" s="213" t="str">
        <f>IFERROR(__xludf.DUMMYFUNCTION("""COMPUTED_VALUE"""),"ESP-365 TARJETA O PLATAFORMA DE ELECTRÓNICA DE CÓDIGO ABIERTO - CET")</f>
        <v>ESP-365 TARJETA O PLATAFORMA DE ELECTRÓNICA DE CÓDIGO ABIERTO - CET</v>
      </c>
      <c r="AB2415" s="213"/>
      <c r="AC2415" s="213"/>
      <c r="AD2415" s="213"/>
      <c r="AE2415" s="213"/>
      <c r="AF2415" s="213"/>
      <c r="AG2415" s="213"/>
      <c r="AH2415" s="213" t="str">
        <f>IFERROR(__xludf.DUMMYFUNCTION("""COMPUTED_VALUE"""),"IMPORTADO")</f>
        <v>IMPORTADO</v>
      </c>
      <c r="AI2415" s="213"/>
      <c r="AJ2415" s="213"/>
      <c r="AK2415" s="213"/>
      <c r="AL2415" s="213"/>
      <c r="AM2415" s="213"/>
      <c r="AN2415" s="213"/>
      <c r="AO2415" s="213"/>
      <c r="AP2415" s="213" t="str">
        <f>IFERROR(__xludf.DUMMYFUNCTION("""COMPUTED_VALUE"""),"ANTONELLA")</f>
        <v>ANTONELLA</v>
      </c>
      <c r="AQ2415" s="213"/>
      <c r="AR2415" s="213"/>
      <c r="AS2415" s="213"/>
      <c r="AT2415" s="213"/>
      <c r="AU2415" s="213"/>
      <c r="AV2415" s="213"/>
      <c r="AW2415" s="213"/>
      <c r="AX2415" s="213"/>
      <c r="AY2415" s="213"/>
      <c r="AZ2415" s="213"/>
      <c r="BA2415" s="213"/>
      <c r="BB2415" s="213"/>
      <c r="BC2415" s="213"/>
      <c r="BD2415" s="213"/>
    </row>
    <row r="2416">
      <c r="A2416" s="213">
        <f>IFERROR(__xludf.DUMMYFUNCTION("""COMPUTED_VALUE"""),1296.0)</f>
        <v>1296</v>
      </c>
      <c r="B2416" s="213" t="str">
        <f>IFERROR(__xludf.DUMMYFUNCTION("""COMPUTED_VALUE"""),"GUILLERMO E. BILLINGHURST ")</f>
        <v>GUILLERMO E. BILLINGHURST </v>
      </c>
      <c r="C2416" s="213" t="str">
        <f>IFERROR(__xludf.DUMMYFUNCTION("""COMPUTED_VALUE"""),"TALLER SFT DE ELECTRICIDAD")</f>
        <v>TALLER SFT DE ELECTRICIDAD</v>
      </c>
      <c r="D2416" s="213" t="str">
        <f>IFERROR(__xludf.DUMMYFUNCTION("""COMPUTED_VALUE"""),"EQUIPOS")</f>
        <v>EQUIPOS</v>
      </c>
      <c r="E2416" s="213" t="str">
        <f>IFERROR(__xludf.DUMMYFUNCTION("""COMPUTED_VALUE"""),"ESP-365")</f>
        <v>ESP-365</v>
      </c>
      <c r="F2416" s="213" t="str">
        <f>IFERROR(__xludf.DUMMYFUNCTION("""COMPUTED_VALUE"""),"ESP-365")</f>
        <v>ESP-365</v>
      </c>
      <c r="G2416" s="213"/>
      <c r="H2416" s="213" t="str">
        <f>IFERROR(__xludf.DUMMYFUNCTION("""COMPUTED_VALUE"""),"TARJETA O PLATAFORMA DE ELECTRÓNICA DE CÓDIGO ABIERTO")</f>
        <v>TARJETA O PLATAFORMA DE ELECTRÓNICA DE CÓDIGO ABIERTO</v>
      </c>
      <c r="I2416" s="213"/>
      <c r="J2416" s="213">
        <f>IFERROR(__xludf.DUMMYFUNCTION("""COMPUTED_VALUE"""),3.0)</f>
        <v>3</v>
      </c>
      <c r="K2416" s="213" t="str">
        <f>IFERROR(__xludf.DUMMYFUNCTION("""COMPUTED_VALUE"""),"170 DÍAS CALENDARIO")</f>
        <v>170 DÍAS CALENDARIO</v>
      </c>
      <c r="L2416" s="213" t="str">
        <f>IFERROR(__xludf.DUMMYFUNCTION("""COMPUTED_VALUE"""),"")</f>
        <v/>
      </c>
      <c r="M2416" s="213">
        <f>IFERROR(__xludf.DUMMYFUNCTION("""COMPUTED_VALUE"""),1.0)</f>
        <v>1</v>
      </c>
      <c r="N2416" s="213">
        <f>IFERROR(__xludf.DUMMYFUNCTION("""COMPUTED_VALUE"""),4.0)</f>
        <v>4</v>
      </c>
      <c r="O2416" s="213">
        <f>IFERROR(__xludf.DUMMYFUNCTION("""COMPUTED_VALUE"""),4.0)</f>
        <v>4</v>
      </c>
      <c r="P2416" s="213"/>
      <c r="Q2416" s="213"/>
      <c r="R2416" s="213"/>
      <c r="S2416" s="213" t="str">
        <f>IFERROR(__xludf.DUMMYFUNCTION("""COMPUTED_VALUE"""),"SI")</f>
        <v>SI</v>
      </c>
      <c r="T2416" s="213" t="str">
        <f>IFERROR(__xludf.DUMMYFUNCTION("""COMPUTED_VALUE"""),"SI")</f>
        <v>SI</v>
      </c>
      <c r="U2416" s="213" t="str">
        <f>IFERROR(__xludf.DUMMYFUNCTION("""COMPUTED_VALUE"""),"SI")</f>
        <v>SI</v>
      </c>
      <c r="V2416" s="213" t="str">
        <f>IFERROR(__xludf.DUMMYFUNCTION("""COMPUTED_VALUE"""),"-")</f>
        <v>-</v>
      </c>
      <c r="W2416" s="213" t="str">
        <f>IFERROR(__xludf.DUMMYFUNCTION("""COMPUTED_VALUE"""),"-")</f>
        <v>-</v>
      </c>
      <c r="X2416" s="213" t="str">
        <f>IFERROR(__xludf.DUMMYFUNCTION("""COMPUTED_VALUE"""),"ARDUINO")</f>
        <v>ARDUINO</v>
      </c>
      <c r="Y2416" s="213" t="str">
        <f>IFERROR(__xludf.DUMMYFUNCTION("""COMPUTED_VALUE"""),"UNO")</f>
        <v>UNO</v>
      </c>
      <c r="Z2416" s="213" t="str">
        <f>IFERROR(__xludf.DUMMYFUNCTION("""COMPUTED_VALUE"""),"TARJETA O PLATAFORMA DE ELECTRONICA DE CODIGO ABIERTO.pdf")</f>
        <v>TARJETA O PLATAFORMA DE ELECTRONICA DE CODIGO ABIERTO.pdf</v>
      </c>
      <c r="AA2416" s="213" t="str">
        <f>IFERROR(__xludf.DUMMYFUNCTION("""COMPUTED_VALUE"""),"ESP-365 TARJETA O PLATAFORMA DE ELECTRÓNICA DE CÓDIGO ABIERTO - CET")</f>
        <v>ESP-365 TARJETA O PLATAFORMA DE ELECTRÓNICA DE CÓDIGO ABIERTO - CET</v>
      </c>
      <c r="AB2416" s="213"/>
      <c r="AC2416" s="213"/>
      <c r="AD2416" s="213"/>
      <c r="AE2416" s="213"/>
      <c r="AF2416" s="213"/>
      <c r="AG2416" s="213"/>
      <c r="AH2416" s="213" t="str">
        <f>IFERROR(__xludf.DUMMYFUNCTION("""COMPUTED_VALUE"""),"IMPORTADO")</f>
        <v>IMPORTADO</v>
      </c>
      <c r="AI2416" s="213"/>
      <c r="AJ2416" s="213"/>
      <c r="AK2416" s="213"/>
      <c r="AL2416" s="213"/>
      <c r="AM2416" s="213"/>
      <c r="AN2416" s="213"/>
      <c r="AO2416" s="213"/>
      <c r="AP2416" s="213" t="str">
        <f>IFERROR(__xludf.DUMMYFUNCTION("""COMPUTED_VALUE"""),"ANTONELLA")</f>
        <v>ANTONELLA</v>
      </c>
      <c r="AQ2416" s="213"/>
      <c r="AR2416" s="213"/>
      <c r="AS2416" s="213"/>
      <c r="AT2416" s="213"/>
      <c r="AU2416" s="213"/>
      <c r="AV2416" s="213"/>
      <c r="AW2416" s="213"/>
      <c r="AX2416" s="213"/>
      <c r="AY2416" s="213"/>
      <c r="AZ2416" s="213"/>
      <c r="BA2416" s="213"/>
      <c r="BB2416" s="213"/>
      <c r="BC2416" s="213"/>
      <c r="BD2416" s="213"/>
    </row>
    <row r="2417">
      <c r="A2417" s="213">
        <f>IFERROR(__xludf.DUMMYFUNCTION("""COMPUTED_VALUE"""),1104.0)</f>
        <v>1104</v>
      </c>
      <c r="B2417" s="213" t="str">
        <f>IFERROR(__xludf.DUMMYFUNCTION("""COMPUTED_VALUE"""),"FRANCISCO IRAZOLA")</f>
        <v>FRANCISCO IRAZOLA</v>
      </c>
      <c r="C2417" s="213" t="str">
        <f>IFERROR(__xludf.DUMMYFUNCTION("""COMPUTED_VALUE"""),"TALLER SFT DE INDUSTRIA ALIMENTARIA")</f>
        <v>TALLER SFT DE INDUSTRIA ALIMENTARIA</v>
      </c>
      <c r="D2417" s="213" t="str">
        <f>IFERROR(__xludf.DUMMYFUNCTION("""COMPUTED_VALUE"""),"HERRAMIENTAS")</f>
        <v>HERRAMIENTAS</v>
      </c>
      <c r="E2417" s="213" t="str">
        <f>IFERROR(__xludf.DUMMYFUNCTION("""COMPUTED_VALUE"""),"MAT-394")</f>
        <v>MAT-394</v>
      </c>
      <c r="F2417" s="213" t="str">
        <f>IFERROR(__xludf.DUMMYFUNCTION("""COMPUTED_VALUE"""),"MAT-394")</f>
        <v>MAT-394</v>
      </c>
      <c r="G2417" s="213"/>
      <c r="H2417" s="213" t="str">
        <f>IFERROR(__xludf.DUMMYFUNCTION("""COMPUTED_VALUE"""),"OLLA 50 LITROS")</f>
        <v>OLLA 50 LITROS</v>
      </c>
      <c r="I2417" s="213" t="str">
        <f>IFERROR(__xludf.DUMMYFUNCTION("""COMPUTED_VALUE"""),"· Olla de acero inoxidable quirúrgico exclusivamente para alimentos bebidas, lácteos
· Calidad 304 capacidad para 50 litros fabricada en placas de 1/16 de acero inoxidable.
· Material: acero  Inoxidable
· Espesor: 1.2 mm
· Acabado pulido interno y externo"&amp;", acabado de lujo, tapa plana con asa de acero
· Varilla soldadas con argón para mayor resistencia, cuerpo suave al tacto, fáciles de limpiar.
· Capacidad 50 Litros
· Medidas 40 x 40 cm como mínimo.")</f>
        <v>· Olla de acero inoxidable quirúrgico exclusivamente para alimentos bebidas, lácteos
· Calidad 304 capacidad para 50 litros fabricada en placas de 1/16 de acero inoxidable.
· Material: acero  Inoxidable
· Espesor: 1.2 mm
· Acabado pulido interno y externo, acabado de lujo, tapa plana con asa de acero
· Varilla soldadas con argón para mayor resistencia, cuerpo suave al tacto, fáciles de limpiar.
· Capacidad 50 Litros
· Medidas 40 x 40 cm como mínimo.</v>
      </c>
      <c r="J2417" s="213">
        <f>IFERROR(__xludf.DUMMYFUNCTION("""COMPUTED_VALUE"""),3.0)</f>
        <v>3</v>
      </c>
      <c r="K2417" s="213" t="str">
        <f>IFERROR(__xludf.DUMMYFUNCTION("""COMPUTED_VALUE"""),"90 DÍAS CALENDARIO")</f>
        <v>90 DÍAS CALENDARIO</v>
      </c>
      <c r="L2417" s="213" t="str">
        <f>IFERROR(__xludf.DUMMYFUNCTION("""COMPUTED_VALUE"""),"")</f>
        <v/>
      </c>
      <c r="M2417" s="213">
        <f>IFERROR(__xludf.DUMMYFUNCTION("""COMPUTED_VALUE"""),1.0)</f>
        <v>1</v>
      </c>
      <c r="N2417" s="213">
        <f>IFERROR(__xludf.DUMMYFUNCTION("""COMPUTED_VALUE"""),1.0)</f>
        <v>1</v>
      </c>
      <c r="O2417" s="213">
        <f>IFERROR(__xludf.DUMMYFUNCTION("""COMPUTED_VALUE"""),1.0)</f>
        <v>1</v>
      </c>
      <c r="P2417" s="213"/>
      <c r="Q2417" s="213"/>
      <c r="R2417" s="213" t="str">
        <f>IFERROR(__xludf.DUMMYFUNCTION("""COMPUTED_VALUE"""),"SI")</f>
        <v>SI</v>
      </c>
      <c r="S2417" s="213"/>
      <c r="T2417" s="213" t="str">
        <f>IFERROR(__xludf.DUMMYFUNCTION("""COMPUTED_VALUE"""),"SI")</f>
        <v>SI</v>
      </c>
      <c r="U2417" s="213" t="str">
        <f>IFERROR(__xludf.DUMMYFUNCTION("""COMPUTED_VALUE"""),"SI")</f>
        <v>SI</v>
      </c>
      <c r="V2417" s="213" t="str">
        <f>IFERROR(__xludf.DUMMYFUNCTION("""COMPUTED_VALUE"""),"-")</f>
        <v>-</v>
      </c>
      <c r="W2417" s="213" t="str">
        <f>IFERROR(__xludf.DUMMYFUNCTION("""COMPUTED_VALUE"""),"-")</f>
        <v>-</v>
      </c>
      <c r="X2417" s="213" t="str">
        <f>IFERROR(__xludf.DUMMYFUNCTION("""COMPUTED_VALUE"""),"MOLAH")</f>
        <v>MOLAH</v>
      </c>
      <c r="Y2417" s="213" t="str">
        <f>IFERROR(__xludf.DUMMYFUNCTION("""COMPUTED_VALUE"""),"MOLAH")</f>
        <v>MOLAH</v>
      </c>
      <c r="Z2417" s="215" t="str">
        <f>IFERROR(__xludf.DUMMYFUNCTION("""COMPUTED_VALUE"""),"https://www.amazon.com.mx/Inoxidable-Alimenticio-Capacidad-Industrial-Profesional/dp/B08TB3W74W")</f>
        <v>https://www.amazon.com.mx/Inoxidable-Alimenticio-Capacidad-Industrial-Profesional/dp/B08TB3W74W</v>
      </c>
      <c r="AA2417" s="213" t="str">
        <f>IFERROR(__xludf.DUMMYFUNCTION("""COMPUTED_VALUE"""),"MAT-394 OLLA 50 LITROS - CET")</f>
        <v>MAT-394 OLLA 50 LITROS - CET</v>
      </c>
      <c r="AB2417" s="213"/>
      <c r="AC2417" s="213"/>
      <c r="AD2417" s="213"/>
      <c r="AE2417" s="213"/>
      <c r="AF2417" s="213"/>
      <c r="AG2417" s="213"/>
      <c r="AH2417" s="213"/>
      <c r="AI2417" s="213"/>
      <c r="AJ2417" s="213"/>
      <c r="AK2417" s="213"/>
      <c r="AL2417" s="213"/>
      <c r="AM2417" s="213"/>
      <c r="AN2417" s="213"/>
      <c r="AO2417" s="213"/>
      <c r="AP2417" s="213" t="str">
        <f>IFERROR(__xludf.DUMMYFUNCTION("""COMPUTED_VALUE"""),"LUIS")</f>
        <v>LUIS</v>
      </c>
      <c r="AQ2417" s="213"/>
      <c r="AR2417" s="213"/>
      <c r="AS2417" s="213"/>
      <c r="AT2417" s="213"/>
      <c r="AU2417" s="213"/>
      <c r="AV2417" s="213"/>
      <c r="AW2417" s="213"/>
      <c r="AX2417" s="213"/>
      <c r="AY2417" s="213"/>
      <c r="AZ2417" s="213"/>
      <c r="BA2417" s="213"/>
      <c r="BB2417" s="213"/>
      <c r="BC2417" s="213"/>
      <c r="BD2417" s="213"/>
    </row>
    <row r="2418">
      <c r="A2418" s="213">
        <f>IFERROR(__xludf.DUMMYFUNCTION("""COMPUTED_VALUE"""),1376.0)</f>
        <v>1376</v>
      </c>
      <c r="B2418" s="213" t="str">
        <f>IFERROR(__xludf.DUMMYFUNCTION("""COMPUTED_VALUE"""),"GUILLERMO E. BILLINGHURST ")</f>
        <v>GUILLERMO E. BILLINGHURST </v>
      </c>
      <c r="C2418" s="213" t="str">
        <f>IFERROR(__xludf.DUMMYFUNCTION("""COMPUTED_VALUE"""),"TALLER SFT DE INDUSTRIA ALIMENTARIA")</f>
        <v>TALLER SFT DE INDUSTRIA ALIMENTARIA</v>
      </c>
      <c r="D2418" s="213" t="str">
        <f>IFERROR(__xludf.DUMMYFUNCTION("""COMPUTED_VALUE"""),"HERRAMIENTAS")</f>
        <v>HERRAMIENTAS</v>
      </c>
      <c r="E2418" s="213" t="str">
        <f>IFERROR(__xludf.DUMMYFUNCTION("""COMPUTED_VALUE"""),"MAT-394")</f>
        <v>MAT-394</v>
      </c>
      <c r="F2418" s="213" t="str">
        <f>IFERROR(__xludf.DUMMYFUNCTION("""COMPUTED_VALUE"""),"MAT-394")</f>
        <v>MAT-394</v>
      </c>
      <c r="G2418" s="213"/>
      <c r="H2418" s="213" t="str">
        <f>IFERROR(__xludf.DUMMYFUNCTION("""COMPUTED_VALUE"""),"OLLA 50 LITROS")</f>
        <v>OLLA 50 LITROS</v>
      </c>
      <c r="I2418" s="213" t="str">
        <f>IFERROR(__xludf.DUMMYFUNCTION("""COMPUTED_VALUE"""),"· Olla de acero inoxidable quirúrgico exclusivamente para alimentos bebidas, lácteos
· Calidad 304 capacidad para 50 litros fabricada en placas de 1/16 de acero inoxidable.
· Material: acero  Inoxidable
· Espesor: 1.2 mm
· Acabado pulido interno y externo"&amp;", acabado de lujo, tapa plana con asa de acero
· Varilla soldadas con argón para mayor resistencia, cuerpo suave al tacto, fáciles de limpiar.
· Capacidad 50 Litros
· Medidas 40 x 40 cm como mínimo.")</f>
        <v>· Olla de acero inoxidable quirúrgico exclusivamente para alimentos bebidas, lácteos
· Calidad 304 capacidad para 50 litros fabricada en placas de 1/16 de acero inoxidable.
· Material: acero  Inoxidable
· Espesor: 1.2 mm
· Acabado pulido interno y externo, acabado de lujo, tapa plana con asa de acero
· Varilla soldadas con argón para mayor resistencia, cuerpo suave al tacto, fáciles de limpiar.
· Capacidad 50 Litros
· Medidas 40 x 40 cm como mínimo.</v>
      </c>
      <c r="J2418" s="213">
        <f>IFERROR(__xludf.DUMMYFUNCTION("""COMPUTED_VALUE"""),3.0)</f>
        <v>3</v>
      </c>
      <c r="K2418" s="213" t="str">
        <f>IFERROR(__xludf.DUMMYFUNCTION("""COMPUTED_VALUE"""),"90 DÍAS CALENDARIO")</f>
        <v>90 DÍAS CALENDARIO</v>
      </c>
      <c r="L2418" s="213" t="str">
        <f>IFERROR(__xludf.DUMMYFUNCTION("""COMPUTED_VALUE"""),"")</f>
        <v/>
      </c>
      <c r="M2418" s="213">
        <f>IFERROR(__xludf.DUMMYFUNCTION("""COMPUTED_VALUE"""),1.0)</f>
        <v>1</v>
      </c>
      <c r="N2418" s="213">
        <f>IFERROR(__xludf.DUMMYFUNCTION("""COMPUTED_VALUE"""),1.0)</f>
        <v>1</v>
      </c>
      <c r="O2418" s="213">
        <f>IFERROR(__xludf.DUMMYFUNCTION("""COMPUTED_VALUE"""),1.0)</f>
        <v>1</v>
      </c>
      <c r="P2418" s="213"/>
      <c r="Q2418" s="213"/>
      <c r="R2418" s="213" t="str">
        <f>IFERROR(__xludf.DUMMYFUNCTION("""COMPUTED_VALUE"""),"SI")</f>
        <v>SI</v>
      </c>
      <c r="S2418" s="213"/>
      <c r="T2418" s="213" t="str">
        <f>IFERROR(__xludf.DUMMYFUNCTION("""COMPUTED_VALUE"""),"SI")</f>
        <v>SI</v>
      </c>
      <c r="U2418" s="213" t="str">
        <f>IFERROR(__xludf.DUMMYFUNCTION("""COMPUTED_VALUE"""),"SI")</f>
        <v>SI</v>
      </c>
      <c r="V2418" s="213" t="str">
        <f>IFERROR(__xludf.DUMMYFUNCTION("""COMPUTED_VALUE"""),"-")</f>
        <v>-</v>
      </c>
      <c r="W2418" s="213" t="str">
        <f>IFERROR(__xludf.DUMMYFUNCTION("""COMPUTED_VALUE"""),"-")</f>
        <v>-</v>
      </c>
      <c r="X2418" s="213" t="str">
        <f>IFERROR(__xludf.DUMMYFUNCTION("""COMPUTED_VALUE"""),"MOLAH")</f>
        <v>MOLAH</v>
      </c>
      <c r="Y2418" s="213" t="str">
        <f>IFERROR(__xludf.DUMMYFUNCTION("""COMPUTED_VALUE"""),"MOLAH")</f>
        <v>MOLAH</v>
      </c>
      <c r="Z2418" s="215" t="str">
        <f>IFERROR(__xludf.DUMMYFUNCTION("""COMPUTED_VALUE"""),"https://www.amazon.com.mx/Inoxidable-Alimenticio-Capacidad-Industrial-Profesional/dp/B08TB3W74W")</f>
        <v>https://www.amazon.com.mx/Inoxidable-Alimenticio-Capacidad-Industrial-Profesional/dp/B08TB3W74W</v>
      </c>
      <c r="AA2418" s="213" t="str">
        <f>IFERROR(__xludf.DUMMYFUNCTION("""COMPUTED_VALUE"""),"MAT-394 OLLA 50 LITROS - CET")</f>
        <v>MAT-394 OLLA 50 LITROS - CET</v>
      </c>
      <c r="AB2418" s="213"/>
      <c r="AC2418" s="213"/>
      <c r="AD2418" s="213"/>
      <c r="AE2418" s="213"/>
      <c r="AF2418" s="213"/>
      <c r="AG2418" s="213"/>
      <c r="AH2418" s="213"/>
      <c r="AI2418" s="213"/>
      <c r="AJ2418" s="213"/>
      <c r="AK2418" s="213"/>
      <c r="AL2418" s="213"/>
      <c r="AM2418" s="213"/>
      <c r="AN2418" s="213"/>
      <c r="AO2418" s="213"/>
      <c r="AP2418" s="213" t="str">
        <f>IFERROR(__xludf.DUMMYFUNCTION("""COMPUTED_VALUE"""),"LUIS")</f>
        <v>LUIS</v>
      </c>
      <c r="AQ2418" s="213"/>
      <c r="AR2418" s="213"/>
      <c r="AS2418" s="213"/>
      <c r="AT2418" s="213"/>
      <c r="AU2418" s="213"/>
      <c r="AV2418" s="213"/>
      <c r="AW2418" s="213"/>
      <c r="AX2418" s="213"/>
      <c r="AY2418" s="213"/>
      <c r="AZ2418" s="213"/>
      <c r="BA2418" s="213"/>
      <c r="BB2418" s="213"/>
      <c r="BC2418" s="213"/>
      <c r="BD2418" s="213"/>
    </row>
    <row r="2419">
      <c r="A2419" s="213">
        <f>IFERROR(__xludf.DUMMYFUNCTION("""COMPUTED_VALUE"""),2063.0)</f>
        <v>2063</v>
      </c>
      <c r="B2419" s="213" t="str">
        <f>IFERROR(__xludf.DUMMYFUNCTION("""COMPUTED_VALUE"""),"JOSE GRANDA")</f>
        <v>JOSE GRANDA</v>
      </c>
      <c r="C2419" s="213" t="str">
        <f>IFERROR(__xludf.DUMMYFUNCTION("""COMPUTED_VALUE"""),"TALLER SFT DE INDUSTRIA ALIMENTARIA")</f>
        <v>TALLER SFT DE INDUSTRIA ALIMENTARIA</v>
      </c>
      <c r="D2419" s="213" t="str">
        <f>IFERROR(__xludf.DUMMYFUNCTION("""COMPUTED_VALUE"""),"HERRAMIENTAS")</f>
        <v>HERRAMIENTAS</v>
      </c>
      <c r="E2419" s="213" t="str">
        <f>IFERROR(__xludf.DUMMYFUNCTION("""COMPUTED_VALUE"""),"MAT-394")</f>
        <v>MAT-394</v>
      </c>
      <c r="F2419" s="213" t="str">
        <f>IFERROR(__xludf.DUMMYFUNCTION("""COMPUTED_VALUE"""),"MAT-394")</f>
        <v>MAT-394</v>
      </c>
      <c r="G2419" s="213"/>
      <c r="H2419" s="213" t="str">
        <f>IFERROR(__xludf.DUMMYFUNCTION("""COMPUTED_VALUE"""),"OLLA 50 LITROS")</f>
        <v>OLLA 50 LITROS</v>
      </c>
      <c r="I2419" s="213" t="str">
        <f>IFERROR(__xludf.DUMMYFUNCTION("""COMPUTED_VALUE"""),"· Olla de acero inoxidable quirúrgico exclusivamente para alimentos bebidas, lácteos
· Calidad 304 capacidad para 50 litros fabricada en placas de 1/16 de acero inoxidable.
· Material: acero  Inoxidable
· Espesor: 1.2 mm
· Acabado pulido interno y externo"&amp;", acabado de lujo, tapa plana con asa de acero
· Varilla soldadas con argón para mayor resistencia, cuerpo suave al tacto, fáciles de limpiar.
· Capacidad 50 Litros
· Medidas 40 x 40 cm como mínimo.")</f>
        <v>· Olla de acero inoxidable quirúrgico exclusivamente para alimentos bebidas, lácteos
· Calidad 304 capacidad para 50 litros fabricada en placas de 1/16 de acero inoxidable.
· Material: acero  Inoxidable
· Espesor: 1.2 mm
· Acabado pulido interno y externo, acabado de lujo, tapa plana con asa de acero
· Varilla soldadas con argón para mayor resistencia, cuerpo suave al tacto, fáciles de limpiar.
· Capacidad 50 Litros
· Medidas 40 x 40 cm como mínimo.</v>
      </c>
      <c r="J2419" s="213">
        <f>IFERROR(__xludf.DUMMYFUNCTION("""COMPUTED_VALUE"""),3.0)</f>
        <v>3</v>
      </c>
      <c r="K2419" s="213" t="str">
        <f>IFERROR(__xludf.DUMMYFUNCTION("""COMPUTED_VALUE"""),"90 DÍAS CALENDARIO")</f>
        <v>90 DÍAS CALENDARIO</v>
      </c>
      <c r="L2419" s="213" t="str">
        <f>IFERROR(__xludf.DUMMYFUNCTION("""COMPUTED_VALUE"""),"")</f>
        <v/>
      </c>
      <c r="M2419" s="213">
        <f>IFERROR(__xludf.DUMMYFUNCTION("""COMPUTED_VALUE"""),1.0)</f>
        <v>1</v>
      </c>
      <c r="N2419" s="213">
        <f>IFERROR(__xludf.DUMMYFUNCTION("""COMPUTED_VALUE"""),1.0)</f>
        <v>1</v>
      </c>
      <c r="O2419" s="213">
        <f>IFERROR(__xludf.DUMMYFUNCTION("""COMPUTED_VALUE"""),1.0)</f>
        <v>1</v>
      </c>
      <c r="P2419" s="213"/>
      <c r="Q2419" s="213"/>
      <c r="R2419" s="213" t="str">
        <f>IFERROR(__xludf.DUMMYFUNCTION("""COMPUTED_VALUE"""),"SI")</f>
        <v>SI</v>
      </c>
      <c r="S2419" s="213"/>
      <c r="T2419" s="213" t="str">
        <f>IFERROR(__xludf.DUMMYFUNCTION("""COMPUTED_VALUE"""),"SI")</f>
        <v>SI</v>
      </c>
      <c r="U2419" s="213" t="str">
        <f>IFERROR(__xludf.DUMMYFUNCTION("""COMPUTED_VALUE"""),"SI")</f>
        <v>SI</v>
      </c>
      <c r="V2419" s="213" t="str">
        <f>IFERROR(__xludf.DUMMYFUNCTION("""COMPUTED_VALUE"""),"-")</f>
        <v>-</v>
      </c>
      <c r="W2419" s="213" t="str">
        <f>IFERROR(__xludf.DUMMYFUNCTION("""COMPUTED_VALUE"""),"-")</f>
        <v>-</v>
      </c>
      <c r="X2419" s="213" t="str">
        <f>IFERROR(__xludf.DUMMYFUNCTION("""COMPUTED_VALUE"""),"MOLAH")</f>
        <v>MOLAH</v>
      </c>
      <c r="Y2419" s="213" t="str">
        <f>IFERROR(__xludf.DUMMYFUNCTION("""COMPUTED_VALUE"""),"MOLAH")</f>
        <v>MOLAH</v>
      </c>
      <c r="Z2419" s="215" t="str">
        <f>IFERROR(__xludf.DUMMYFUNCTION("""COMPUTED_VALUE"""),"https://www.amazon.com.mx/Inoxidable-Alimenticio-Capacidad-Industrial-Profesional/dp/B08TB3W74W")</f>
        <v>https://www.amazon.com.mx/Inoxidable-Alimenticio-Capacidad-Industrial-Profesional/dp/B08TB3W74W</v>
      </c>
      <c r="AA2419" s="213" t="str">
        <f>IFERROR(__xludf.DUMMYFUNCTION("""COMPUTED_VALUE"""),"MAT-394 OLLA 50 LITROS - CET")</f>
        <v>MAT-394 OLLA 50 LITROS - CET</v>
      </c>
      <c r="AB2419" s="213"/>
      <c r="AC2419" s="213"/>
      <c r="AD2419" s="213"/>
      <c r="AE2419" s="213"/>
      <c r="AF2419" s="213"/>
      <c r="AG2419" s="213"/>
      <c r="AH2419" s="213"/>
      <c r="AI2419" s="213"/>
      <c r="AJ2419" s="213"/>
      <c r="AK2419" s="213"/>
      <c r="AL2419" s="213"/>
      <c r="AM2419" s="213"/>
      <c r="AN2419" s="213"/>
      <c r="AO2419" s="213"/>
      <c r="AP2419" s="213" t="str">
        <f>IFERROR(__xludf.DUMMYFUNCTION("""COMPUTED_VALUE"""),"LUIS")</f>
        <v>LUIS</v>
      </c>
      <c r="AQ2419" s="213"/>
      <c r="AR2419" s="213"/>
      <c r="AS2419" s="213"/>
      <c r="AT2419" s="213"/>
      <c r="AU2419" s="213"/>
      <c r="AV2419" s="213"/>
      <c r="AW2419" s="213"/>
      <c r="AX2419" s="213"/>
      <c r="AY2419" s="213"/>
      <c r="AZ2419" s="213"/>
      <c r="BA2419" s="213"/>
      <c r="BB2419" s="213"/>
      <c r="BC2419" s="213"/>
      <c r="BD2419" s="213"/>
    </row>
    <row r="2420">
      <c r="A2420" s="213">
        <f>IFERROR(__xludf.DUMMYFUNCTION("""COMPUTED_VALUE"""),54.0)</f>
        <v>54</v>
      </c>
      <c r="B2420" s="213" t="str">
        <f>IFERROR(__xludf.DUMMYFUNCTION("""COMPUTED_VALUE"""),"16449 ELOY SOBERON  FLORES")</f>
        <v>16449 ELOY SOBERON  FLORES</v>
      </c>
      <c r="C2420" s="213" t="str">
        <f>IFERROR(__xludf.DUMMYFUNCTION("""COMPUTED_VALUE"""),"TALLER SFT DE COCINA Y REPOSTERÍA")</f>
        <v>TALLER SFT DE COCINA Y REPOSTERÍA</v>
      </c>
      <c r="D2420" s="213" t="str">
        <f>IFERROR(__xludf.DUMMYFUNCTION("""COMPUTED_VALUE"""),"HERRAMIENTAS")</f>
        <v>HERRAMIENTAS</v>
      </c>
      <c r="E2420" s="213" t="str">
        <f>IFERROR(__xludf.DUMMYFUNCTION("""COMPUTED_VALUE"""),"MAT-395")</f>
        <v>MAT-395</v>
      </c>
      <c r="F2420" s="213" t="str">
        <f>IFERROR(__xludf.DUMMYFUNCTION("""COMPUTED_VALUE"""),"MAT-395")</f>
        <v>MAT-395</v>
      </c>
      <c r="G2420" s="213"/>
      <c r="H2420" s="213" t="str">
        <f>IFERROR(__xludf.DUMMYFUNCTION("""COMPUTED_VALUE"""),"OLLA DE BARRO")</f>
        <v>OLLA DE BARRO</v>
      </c>
      <c r="I2420" s="213" t="str">
        <f>IFERROR(__xludf.DUMMYFUNCTION("""COMPUTED_VALUE"""),"· Elaborada con cerámica.
· Forma cilíndrica
· Capacidad mínima 5Litros.")</f>
        <v>· Elaborada con cerámica.
· Forma cilíndrica
· Capacidad mínima 5Litros.</v>
      </c>
      <c r="J2420" s="213">
        <f>IFERROR(__xludf.DUMMYFUNCTION("""COMPUTED_VALUE"""),3.0)</f>
        <v>3</v>
      </c>
      <c r="K2420" s="213" t="str">
        <f>IFERROR(__xludf.DUMMYFUNCTION("""COMPUTED_VALUE"""),"90 DÍAS CALENDARIO")</f>
        <v>90 DÍAS CALENDARIO</v>
      </c>
      <c r="L2420" s="213" t="str">
        <f>IFERROR(__xludf.DUMMYFUNCTION("""COMPUTED_VALUE"""),"")</f>
        <v/>
      </c>
      <c r="M2420" s="213">
        <f>IFERROR(__xludf.DUMMYFUNCTION("""COMPUTED_VALUE"""),1.0)</f>
        <v>1</v>
      </c>
      <c r="N2420" s="213">
        <f>IFERROR(__xludf.DUMMYFUNCTION("""COMPUTED_VALUE"""),4.0)</f>
        <v>4</v>
      </c>
      <c r="O2420" s="213">
        <f>IFERROR(__xludf.DUMMYFUNCTION("""COMPUTED_VALUE"""),4.0)</f>
        <v>4</v>
      </c>
      <c r="P2420" s="213"/>
      <c r="Q2420" s="213"/>
      <c r="R2420" s="213" t="str">
        <f>IFERROR(__xludf.DUMMYFUNCTION("""COMPUTED_VALUE"""),"SI")</f>
        <v>SI</v>
      </c>
      <c r="S2420" s="213"/>
      <c r="T2420" s="213" t="str">
        <f>IFERROR(__xludf.DUMMYFUNCTION("""COMPUTED_VALUE"""),"SI")</f>
        <v>SI</v>
      </c>
      <c r="U2420" s="213" t="str">
        <f>IFERROR(__xludf.DUMMYFUNCTION("""COMPUTED_VALUE"""),"SI")</f>
        <v>SI</v>
      </c>
      <c r="V2420" s="213" t="str">
        <f>IFERROR(__xludf.DUMMYFUNCTION("""COMPUTED_VALUE"""),"-")</f>
        <v>-</v>
      </c>
      <c r="W2420" s="213" t="str">
        <f>IFERROR(__xludf.DUMMYFUNCTION("""COMPUTED_VALUE"""),"-")</f>
        <v>-</v>
      </c>
      <c r="X2420" s="213" t="str">
        <f>IFERROR(__xludf.DUMMYFUNCTION("""COMPUTED_VALUE"""),"OB")</f>
        <v>OB</v>
      </c>
      <c r="Y2420" s="213" t="str">
        <f>IFERROR(__xludf.DUMMYFUNCTION("""COMPUTED_VALUE"""),"OLL000005")</f>
        <v>OLL000005</v>
      </c>
      <c r="Z2420" s="215" t="str">
        <f>IFERROR(__xludf.DUMMYFUNCTION("""COMPUTED_VALUE"""),"https://ollasdebarro.com/producto/olla-5-kilos-barro-peruano/")</f>
        <v>https://ollasdebarro.com/producto/olla-5-kilos-barro-peruano/</v>
      </c>
      <c r="AA2420" s="213" t="str">
        <f>IFERROR(__xludf.DUMMYFUNCTION("""COMPUTED_VALUE"""),"MAT-395 OLLA DE BARRO - CET")</f>
        <v>MAT-395 OLLA DE BARRO - CET</v>
      </c>
      <c r="AB2420" s="213"/>
      <c r="AC2420" s="213"/>
      <c r="AD2420" s="213"/>
      <c r="AE2420" s="213"/>
      <c r="AF2420" s="213"/>
      <c r="AG2420" s="213"/>
      <c r="AH2420" s="213"/>
      <c r="AI2420" s="213"/>
      <c r="AJ2420" s="213"/>
      <c r="AK2420" s="213"/>
      <c r="AL2420" s="213"/>
      <c r="AM2420" s="213"/>
      <c r="AN2420" s="213"/>
      <c r="AO2420" s="213"/>
      <c r="AP2420" s="213" t="str">
        <f>IFERROR(__xludf.DUMMYFUNCTION("""COMPUTED_VALUE"""),"SEBASTIAN")</f>
        <v>SEBASTIAN</v>
      </c>
      <c r="AQ2420" s="213"/>
      <c r="AR2420" s="213"/>
      <c r="AS2420" s="213"/>
      <c r="AT2420" s="213"/>
      <c r="AU2420" s="213"/>
      <c r="AV2420" s="213"/>
      <c r="AW2420" s="213"/>
      <c r="AX2420" s="213"/>
      <c r="AY2420" s="213"/>
      <c r="AZ2420" s="213"/>
      <c r="BA2420" s="213"/>
      <c r="BB2420" s="213"/>
      <c r="BC2420" s="213"/>
      <c r="BD2420" s="213"/>
    </row>
    <row r="2421">
      <c r="A2421" s="213">
        <f>IFERROR(__xludf.DUMMYFUNCTION("""COMPUTED_VALUE"""),48.0)</f>
        <v>48</v>
      </c>
      <c r="B2421" s="213" t="str">
        <f>IFERROR(__xludf.DUMMYFUNCTION("""COMPUTED_VALUE"""),"16449 ELOY SOBERON  FLORES")</f>
        <v>16449 ELOY SOBERON  FLORES</v>
      </c>
      <c r="C2421" s="213" t="str">
        <f>IFERROR(__xludf.DUMMYFUNCTION("""COMPUTED_VALUE"""),"TALLER SFT DE COCINA Y REPOSTERÍA")</f>
        <v>TALLER SFT DE COCINA Y REPOSTERÍA</v>
      </c>
      <c r="D2421" s="213" t="str">
        <f>IFERROR(__xludf.DUMMYFUNCTION("""COMPUTED_VALUE"""),"HERRAMIENTAS")</f>
        <v>HERRAMIENTAS</v>
      </c>
      <c r="E2421" s="213" t="str">
        <f>IFERROR(__xludf.DUMMYFUNCTION("""COMPUTED_VALUE"""),"MAT-396")</f>
        <v>MAT-396</v>
      </c>
      <c r="F2421" s="213" t="str">
        <f>IFERROR(__xludf.DUMMYFUNCTION("""COMPUTED_VALUE"""),"MAT-396")</f>
        <v>MAT-396</v>
      </c>
      <c r="G2421" s="213"/>
      <c r="H2421" s="213" t="str">
        <f>IFERROR(__xludf.DUMMYFUNCTION("""COMPUTED_VALUE"""),"OLLA PARA PASTAS")</f>
        <v>OLLA PARA PASTAS</v>
      </c>
      <c r="I2421" s="213" t="str">
        <f>IFERROR(__xludf.DUMMYFUNCTION("""COMPUTED_VALUE"""),"· Tipo de olla: vaporizado pastas
· Diámetro mínimo: 22 cm
· Material: acero inoxidable
· Material: tapa de vidrio
· Altura mínima: 26 cm.")</f>
        <v>· Tipo de olla: vaporizado pastas
· Diámetro mínimo: 22 cm
· Material: acero inoxidable
· Material: tapa de vidrio
· Altura mínima: 26 cm.</v>
      </c>
      <c r="J2421" s="213">
        <f>IFERROR(__xludf.DUMMYFUNCTION("""COMPUTED_VALUE"""),3.0)</f>
        <v>3</v>
      </c>
      <c r="K2421" s="213" t="str">
        <f>IFERROR(__xludf.DUMMYFUNCTION("""COMPUTED_VALUE"""),"90 DÍAS CALENDARIO")</f>
        <v>90 DÍAS CALENDARIO</v>
      </c>
      <c r="L2421" s="213" t="str">
        <f>IFERROR(__xludf.DUMMYFUNCTION("""COMPUTED_VALUE"""),"")</f>
        <v/>
      </c>
      <c r="M2421" s="213">
        <f>IFERROR(__xludf.DUMMYFUNCTION("""COMPUTED_VALUE"""),1.0)</f>
        <v>1</v>
      </c>
      <c r="N2421" s="213">
        <f>IFERROR(__xludf.DUMMYFUNCTION("""COMPUTED_VALUE"""),4.0)</f>
        <v>4</v>
      </c>
      <c r="O2421" s="213">
        <f>IFERROR(__xludf.DUMMYFUNCTION("""COMPUTED_VALUE"""),4.0)</f>
        <v>4</v>
      </c>
      <c r="P2421" s="213"/>
      <c r="Q2421" s="213"/>
      <c r="R2421" s="213" t="str">
        <f>IFERROR(__xludf.DUMMYFUNCTION("""COMPUTED_VALUE"""),"SI")</f>
        <v>SI</v>
      </c>
      <c r="S2421" s="213"/>
      <c r="T2421" s="213" t="str">
        <f>IFERROR(__xludf.DUMMYFUNCTION("""COMPUTED_VALUE"""),"SI")</f>
        <v>SI</v>
      </c>
      <c r="U2421" s="213" t="str">
        <f>IFERROR(__xludf.DUMMYFUNCTION("""COMPUTED_VALUE"""),"SI")</f>
        <v>SI</v>
      </c>
      <c r="V2421" s="213" t="str">
        <f>IFERROR(__xludf.DUMMYFUNCTION("""COMPUTED_VALUE"""),"-")</f>
        <v>-</v>
      </c>
      <c r="W2421" s="213" t="str">
        <f>IFERROR(__xludf.DUMMYFUNCTION("""COMPUTED_VALUE"""),"-")</f>
        <v>-</v>
      </c>
      <c r="X2421" s="213" t="str">
        <f>IFERROR(__xludf.DUMMYFUNCTION("""COMPUTED_VALUE"""),"Tramontina")</f>
        <v>Tramontina</v>
      </c>
      <c r="Y2421" s="213">
        <f>IFERROR(__xludf.DUMMYFUNCTION("""COMPUTED_VALUE"""),6.213724E7)</f>
        <v>62137240</v>
      </c>
      <c r="Z2421" s="215" t="str">
        <f>IFERROR(__xludf.DUMMYFUNCTION("""COMPUTED_VALUE"""),"https://www.tramontina.com.pe/olla-para-spaghetti-solar-silicone-de-acero-inoxidable-con-fondo-triple-con-tapa-de-vidrio-de-24-cm-y-61l-tramontina_62137240/p?srsltid=AfmBOoqczef5Mref2cMntqcYOiDLYM_E8acgYDlhpzSYW1KJj79eDCBu")</f>
        <v>https://www.tramontina.com.pe/olla-para-spaghetti-solar-silicone-de-acero-inoxidable-con-fondo-triple-con-tapa-de-vidrio-de-24-cm-y-61l-tramontina_62137240/p?srsltid=AfmBOoqczef5Mref2cMntqcYOiDLYM_E8acgYDlhpzSYW1KJj79eDCBu</v>
      </c>
      <c r="AA2421" s="213" t="str">
        <f>IFERROR(__xludf.DUMMYFUNCTION("""COMPUTED_VALUE"""),"MAT-396 OLLA PARA PASTAS - CET")</f>
        <v>MAT-396 OLLA PARA PASTAS - CET</v>
      </c>
      <c r="AB2421" s="213"/>
      <c r="AC2421" s="213"/>
      <c r="AD2421" s="213"/>
      <c r="AE2421" s="213"/>
      <c r="AF2421" s="213"/>
      <c r="AG2421" s="213"/>
      <c r="AH2421" s="213"/>
      <c r="AI2421" s="213"/>
      <c r="AJ2421" s="213"/>
      <c r="AK2421" s="213"/>
      <c r="AL2421" s="213"/>
      <c r="AM2421" s="213"/>
      <c r="AN2421" s="213"/>
      <c r="AO2421" s="213"/>
      <c r="AP2421" s="213" t="str">
        <f>IFERROR(__xludf.DUMMYFUNCTION("""COMPUTED_VALUE"""),"SEBASTIAN")</f>
        <v>SEBASTIAN</v>
      </c>
      <c r="AQ2421" s="213"/>
      <c r="AR2421" s="213"/>
      <c r="AS2421" s="213"/>
      <c r="AT2421" s="213"/>
      <c r="AU2421" s="213"/>
      <c r="AV2421" s="213"/>
      <c r="AW2421" s="213"/>
      <c r="AX2421" s="213"/>
      <c r="AY2421" s="213"/>
      <c r="AZ2421" s="213"/>
      <c r="BA2421" s="213"/>
      <c r="BB2421" s="213"/>
      <c r="BC2421" s="213"/>
      <c r="BD2421" s="213"/>
    </row>
    <row r="2422">
      <c r="A2422" s="213">
        <f>IFERROR(__xludf.DUMMYFUNCTION("""COMPUTED_VALUE"""),45.0)</f>
        <v>45</v>
      </c>
      <c r="B2422" s="213" t="str">
        <f>IFERROR(__xludf.DUMMYFUNCTION("""COMPUTED_VALUE"""),"16449 ELOY SOBERON  FLORES")</f>
        <v>16449 ELOY SOBERON  FLORES</v>
      </c>
      <c r="C2422" s="213" t="str">
        <f>IFERROR(__xludf.DUMMYFUNCTION("""COMPUTED_VALUE"""),"TALLER SFT DE COCINA Y REPOSTERÍA")</f>
        <v>TALLER SFT DE COCINA Y REPOSTERÍA</v>
      </c>
      <c r="D2422" s="213" t="str">
        <f>IFERROR(__xludf.DUMMYFUNCTION("""COMPUTED_VALUE"""),"HERRAMIENTAS")</f>
        <v>HERRAMIENTAS</v>
      </c>
      <c r="E2422" s="213" t="str">
        <f>IFERROR(__xludf.DUMMYFUNCTION("""COMPUTED_VALUE"""),"MAT-397")</f>
        <v>MAT-397</v>
      </c>
      <c r="F2422" s="213" t="str">
        <f>IFERROR(__xludf.DUMMYFUNCTION("""COMPUTED_VALUE"""),"MAT-397")</f>
        <v>MAT-397</v>
      </c>
      <c r="G2422" s="213"/>
      <c r="H2422" s="213" t="str">
        <f>IFERROR(__xludf.DUMMYFUNCTION("""COMPUTED_VALUE"""),"OLLA PARA SOPAS Y RESERVA")</f>
        <v>OLLA PARA SOPAS Y RESERVA</v>
      </c>
      <c r="I2422" s="213" t="str">
        <f>IFERROR(__xludf.DUMMYFUNCTION("""COMPUTED_VALUE"""),"· Uso: sopas y reservas
· Tamaño aproximado:  29  cm de diámetro
· Material: aluminio
· Espesor mínimo: 1.5 mm.
· Con tapa de aluminio")</f>
        <v>· Uso: sopas y reservas
· Tamaño aproximado:  29  cm de diámetro
· Material: aluminio
· Espesor mínimo: 1.5 mm.
· Con tapa de aluminio</v>
      </c>
      <c r="J2422" s="213">
        <f>IFERROR(__xludf.DUMMYFUNCTION("""COMPUTED_VALUE"""),3.0)</f>
        <v>3</v>
      </c>
      <c r="K2422" s="213" t="str">
        <f>IFERROR(__xludf.DUMMYFUNCTION("""COMPUTED_VALUE"""),"90 DÍAS CALENDARIO")</f>
        <v>90 DÍAS CALENDARIO</v>
      </c>
      <c r="L2422" s="213" t="str">
        <f>IFERROR(__xludf.DUMMYFUNCTION("""COMPUTED_VALUE"""),"")</f>
        <v/>
      </c>
      <c r="M2422" s="213">
        <f>IFERROR(__xludf.DUMMYFUNCTION("""COMPUTED_VALUE"""),1.0)</f>
        <v>1</v>
      </c>
      <c r="N2422" s="213">
        <f>IFERROR(__xludf.DUMMYFUNCTION("""COMPUTED_VALUE"""),4.0)</f>
        <v>4</v>
      </c>
      <c r="O2422" s="213">
        <f>IFERROR(__xludf.DUMMYFUNCTION("""COMPUTED_VALUE"""),4.0)</f>
        <v>4</v>
      </c>
      <c r="P2422" s="213"/>
      <c r="Q2422" s="213"/>
      <c r="R2422" s="213" t="str">
        <f>IFERROR(__xludf.DUMMYFUNCTION("""COMPUTED_VALUE"""),"SI")</f>
        <v>SI</v>
      </c>
      <c r="S2422" s="213"/>
      <c r="T2422" s="213" t="str">
        <f>IFERROR(__xludf.DUMMYFUNCTION("""COMPUTED_VALUE"""),"SI")</f>
        <v>SI</v>
      </c>
      <c r="U2422" s="213" t="str">
        <f>IFERROR(__xludf.DUMMYFUNCTION("""COMPUTED_VALUE"""),"SI")</f>
        <v>SI</v>
      </c>
      <c r="V2422" s="213" t="str">
        <f>IFERROR(__xludf.DUMMYFUNCTION("""COMPUTED_VALUE"""),"-")</f>
        <v>-</v>
      </c>
      <c r="W2422" s="213" t="str">
        <f>IFERROR(__xludf.DUMMYFUNCTION("""COMPUTED_VALUE"""),"-")</f>
        <v>-</v>
      </c>
      <c r="X2422" s="213" t="str">
        <f>IFERROR(__xludf.DUMMYFUNCTION("""COMPUTED_VALUE"""),"Uniware")</f>
        <v>Uniware</v>
      </c>
      <c r="Y2422" s="213" t="str">
        <f>IFERROR(__xludf.DUMMYFUNCTION("""COMPUTED_VALUE"""),"Caldero")</f>
        <v>Caldero</v>
      </c>
      <c r="Z2422" s="215" t="str">
        <f>IFERROR(__xludf.DUMMYFUNCTION("""COMPUTED_VALUE"""),"https://www.amazon.com/-/es/Uniware-Caldero-aluminio-calidad-estupenda/dp/B00V5IS55S?utm_source=chatgpt.com")</f>
        <v>https://www.amazon.com/-/es/Uniware-Caldero-aluminio-calidad-estupenda/dp/B00V5IS55S?utm_source=chatgpt.com</v>
      </c>
      <c r="AA2422" s="213" t="str">
        <f>IFERROR(__xludf.DUMMYFUNCTION("""COMPUTED_VALUE"""),"MAT-397 OLLA PARA SOPAS Y RESERVA - CET")</f>
        <v>MAT-397 OLLA PARA SOPAS Y RESERVA - CET</v>
      </c>
      <c r="AB2422" s="213"/>
      <c r="AC2422" s="213"/>
      <c r="AD2422" s="213"/>
      <c r="AE2422" s="213"/>
      <c r="AF2422" s="213"/>
      <c r="AG2422" s="213"/>
      <c r="AH2422" s="213"/>
      <c r="AI2422" s="213"/>
      <c r="AJ2422" s="213"/>
      <c r="AK2422" s="213"/>
      <c r="AL2422" s="213"/>
      <c r="AM2422" s="213"/>
      <c r="AN2422" s="213"/>
      <c r="AO2422" s="213"/>
      <c r="AP2422" s="213" t="str">
        <f>IFERROR(__xludf.DUMMYFUNCTION("""COMPUTED_VALUE"""),"SEBASTIAN")</f>
        <v>SEBASTIAN</v>
      </c>
      <c r="AQ2422" s="213"/>
      <c r="AR2422" s="213"/>
      <c r="AS2422" s="213"/>
      <c r="AT2422" s="213"/>
      <c r="AU2422" s="213"/>
      <c r="AV2422" s="213"/>
      <c r="AW2422" s="213"/>
      <c r="AX2422" s="213"/>
      <c r="AY2422" s="213"/>
      <c r="AZ2422" s="213"/>
      <c r="BA2422" s="213"/>
      <c r="BB2422" s="213"/>
      <c r="BC2422" s="213"/>
      <c r="BD2422" s="213"/>
    </row>
    <row r="2423">
      <c r="A2423" s="213">
        <f>IFERROR(__xludf.DUMMYFUNCTION("""COMPUTED_VALUE"""),1843.0)</f>
        <v>1843</v>
      </c>
      <c r="B2423" s="213" t="str">
        <f>IFERROR(__xludf.DUMMYFUNCTION("""COMPUTED_VALUE"""),"GUILLERMO E. BILLINGHURST ")</f>
        <v>GUILLERMO E. BILLINGHURST </v>
      </c>
      <c r="C2423" s="213" t="str">
        <f>IFERROR(__xludf.DUMMYFUNCTION("""COMPUTED_VALUE"""),"TALLER SFT DE EBANISTERÍA")</f>
        <v>TALLER SFT DE EBANISTERÍA</v>
      </c>
      <c r="D2423" s="213" t="str">
        <f>IFERROR(__xludf.DUMMYFUNCTION("""COMPUTED_VALUE"""),"HERRAMIENTAS")</f>
        <v>HERRAMIENTAS</v>
      </c>
      <c r="E2423" s="213" t="str">
        <f>IFERROR(__xludf.DUMMYFUNCTION("""COMPUTED_VALUE"""),"MAT-398")</f>
        <v>MAT-398</v>
      </c>
      <c r="F2423" s="213" t="str">
        <f>IFERROR(__xludf.DUMMYFUNCTION("""COMPUTED_VALUE"""),"MAT-398")</f>
        <v>MAT-398</v>
      </c>
      <c r="G2423" s="213"/>
      <c r="H2423" s="213" t="str">
        <f>IFERROR(__xludf.DUMMYFUNCTION("""COMPUTED_VALUE"""),"OREJERAS")</f>
        <v>OREJERAS</v>
      </c>
      <c r="I2423" s="213" t="str">
        <f>IFERROR(__xludf.DUMMYFUNCTION("""COMPUTED_VALUE"""),"Regulables. Material: plástico.
Trabajos con altos decibeles. Cumple norma ANSI S3.19.")</f>
        <v>Regulables. Material: plástico.
Trabajos con altos decibeles. Cumple norma ANSI S3.19.</v>
      </c>
      <c r="J2423" s="213">
        <f>IFERROR(__xludf.DUMMYFUNCTION("""COMPUTED_VALUE"""),3.0)</f>
        <v>3</v>
      </c>
      <c r="K2423" s="213" t="str">
        <f>IFERROR(__xludf.DUMMYFUNCTION("""COMPUTED_VALUE"""),"90 DÍAS CALENDARIO")</f>
        <v>90 DÍAS CALENDARIO</v>
      </c>
      <c r="L2423" s="213" t="str">
        <f>IFERROR(__xludf.DUMMYFUNCTION("""COMPUTED_VALUE"""),"")</f>
        <v/>
      </c>
      <c r="M2423" s="213">
        <f>IFERROR(__xludf.DUMMYFUNCTION("""COMPUTED_VALUE"""),1.0)</f>
        <v>1</v>
      </c>
      <c r="N2423" s="213">
        <f>IFERROR(__xludf.DUMMYFUNCTION("""COMPUTED_VALUE"""),21.0)</f>
        <v>21</v>
      </c>
      <c r="O2423" s="213">
        <f>IFERROR(__xludf.DUMMYFUNCTION("""COMPUTED_VALUE"""),21.0)</f>
        <v>21</v>
      </c>
      <c r="P2423" s="213"/>
      <c r="Q2423" s="213"/>
      <c r="R2423" s="213" t="str">
        <f>IFERROR(__xludf.DUMMYFUNCTION("""COMPUTED_VALUE"""),"SI")</f>
        <v>SI</v>
      </c>
      <c r="S2423" s="213"/>
      <c r="T2423" s="213" t="str">
        <f>IFERROR(__xludf.DUMMYFUNCTION("""COMPUTED_VALUE"""),"SI")</f>
        <v>SI</v>
      </c>
      <c r="U2423" s="213" t="str">
        <f>IFERROR(__xludf.DUMMYFUNCTION("""COMPUTED_VALUE"""),"SI")</f>
        <v>SI</v>
      </c>
      <c r="V2423" s="213" t="str">
        <f>IFERROR(__xludf.DUMMYFUNCTION("""COMPUTED_VALUE"""),"-")</f>
        <v>-</v>
      </c>
      <c r="W2423" s="213" t="str">
        <f>IFERROR(__xludf.DUMMYFUNCTION("""COMPUTED_VALUE"""),"-")</f>
        <v>-</v>
      </c>
      <c r="X2423" s="213" t="str">
        <f>IFERROR(__xludf.DUMMYFUNCTION("""COMPUTED_VALUE"""),"TR Industrial")</f>
        <v>TR Industrial</v>
      </c>
      <c r="Y2423" s="213" t="str">
        <f>IFERROR(__xludf.DUMMYFUNCTION("""COMPUTED_VALUE"""),"-")</f>
        <v>-</v>
      </c>
      <c r="Z2423" s="215" t="str">
        <f>IFERROR(__xludf.DUMMYFUNCTION("""COMPUTED_VALUE"""),"https://www.amazon.com/-/es/Orejeras-seguridad-industrial-cumplen-normas/dp/B00PUX97U6?th=1")</f>
        <v>https://www.amazon.com/-/es/Orejeras-seguridad-industrial-cumplen-normas/dp/B00PUX97U6?th=1</v>
      </c>
      <c r="AA2423" s="213" t="str">
        <f>IFERROR(__xludf.DUMMYFUNCTION("""COMPUTED_VALUE"""),"MAT-398 OREJERAS - CET")</f>
        <v>MAT-398 OREJERAS - CET</v>
      </c>
      <c r="AB2423" s="213"/>
      <c r="AC2423" s="213"/>
      <c r="AD2423" s="213"/>
      <c r="AE2423" s="213"/>
      <c r="AF2423" s="213"/>
      <c r="AG2423" s="213"/>
      <c r="AH2423" s="213"/>
      <c r="AI2423" s="213"/>
      <c r="AJ2423" s="213"/>
      <c r="AK2423" s="213"/>
      <c r="AL2423" s="213"/>
      <c r="AM2423" s="213"/>
      <c r="AN2423" s="213"/>
      <c r="AO2423" s="213"/>
      <c r="AP2423" s="213" t="str">
        <f>IFERROR(__xludf.DUMMYFUNCTION("""COMPUTED_VALUE"""),"SEBASTIAN")</f>
        <v>SEBASTIAN</v>
      </c>
      <c r="AQ2423" s="213"/>
      <c r="AR2423" s="213"/>
      <c r="AS2423" s="213"/>
      <c r="AT2423" s="213"/>
      <c r="AU2423" s="213"/>
      <c r="AV2423" s="213"/>
      <c r="AW2423" s="213"/>
      <c r="AX2423" s="213"/>
      <c r="AY2423" s="213"/>
      <c r="AZ2423" s="213"/>
      <c r="BA2423" s="213"/>
      <c r="BB2423" s="213"/>
      <c r="BC2423" s="213"/>
      <c r="BD2423" s="213"/>
    </row>
    <row r="2424">
      <c r="A2424" s="213">
        <f>IFERROR(__xludf.DUMMYFUNCTION("""COMPUTED_VALUE"""),2625.0)</f>
        <v>2625</v>
      </c>
      <c r="B2424" s="213" t="str">
        <f>IFERROR(__xludf.DUMMYFUNCTION("""COMPUTED_VALUE"""),"MANUEL ANTONIO MESONES MURO")</f>
        <v>MANUEL ANTONIO MESONES MURO</v>
      </c>
      <c r="C2424" s="213" t="str">
        <f>IFERROR(__xludf.DUMMYFUNCTION("""COMPUTED_VALUE"""),"TALLER SFT DE EBANISTERÍA")</f>
        <v>TALLER SFT DE EBANISTERÍA</v>
      </c>
      <c r="D2424" s="213" t="str">
        <f>IFERROR(__xludf.DUMMYFUNCTION("""COMPUTED_VALUE"""),"HERRAMIENTAS")</f>
        <v>HERRAMIENTAS</v>
      </c>
      <c r="E2424" s="213" t="str">
        <f>IFERROR(__xludf.DUMMYFUNCTION("""COMPUTED_VALUE"""),"MAT-398")</f>
        <v>MAT-398</v>
      </c>
      <c r="F2424" s="213" t="str">
        <f>IFERROR(__xludf.DUMMYFUNCTION("""COMPUTED_VALUE"""),"MAT-398")</f>
        <v>MAT-398</v>
      </c>
      <c r="G2424" s="213"/>
      <c r="H2424" s="213" t="str">
        <f>IFERROR(__xludf.DUMMYFUNCTION("""COMPUTED_VALUE"""),"OREJERAS")</f>
        <v>OREJERAS</v>
      </c>
      <c r="I2424" s="213" t="str">
        <f>IFERROR(__xludf.DUMMYFUNCTION("""COMPUTED_VALUE"""),"Regulables. Material: plástico.
Trabajos con altos decibeles. Cumple norma ANSI S3.19.")</f>
        <v>Regulables. Material: plástico.
Trabajos con altos decibeles. Cumple norma ANSI S3.19.</v>
      </c>
      <c r="J2424" s="213">
        <f>IFERROR(__xludf.DUMMYFUNCTION("""COMPUTED_VALUE"""),3.0)</f>
        <v>3</v>
      </c>
      <c r="K2424" s="213" t="str">
        <f>IFERROR(__xludf.DUMMYFUNCTION("""COMPUTED_VALUE"""),"90 DÍAS CALENDARIO")</f>
        <v>90 DÍAS CALENDARIO</v>
      </c>
      <c r="L2424" s="213" t="str">
        <f>IFERROR(__xludf.DUMMYFUNCTION("""COMPUTED_VALUE"""),"")</f>
        <v/>
      </c>
      <c r="M2424" s="213">
        <f>IFERROR(__xludf.DUMMYFUNCTION("""COMPUTED_VALUE"""),1.0)</f>
        <v>1</v>
      </c>
      <c r="N2424" s="213">
        <f>IFERROR(__xludf.DUMMYFUNCTION("""COMPUTED_VALUE"""),21.0)</f>
        <v>21</v>
      </c>
      <c r="O2424" s="213">
        <f>IFERROR(__xludf.DUMMYFUNCTION("""COMPUTED_VALUE"""),21.0)</f>
        <v>21</v>
      </c>
      <c r="P2424" s="213"/>
      <c r="Q2424" s="213"/>
      <c r="R2424" s="213" t="str">
        <f>IFERROR(__xludf.DUMMYFUNCTION("""COMPUTED_VALUE"""),"SI")</f>
        <v>SI</v>
      </c>
      <c r="S2424" s="213"/>
      <c r="T2424" s="213" t="str">
        <f>IFERROR(__xludf.DUMMYFUNCTION("""COMPUTED_VALUE"""),"SI")</f>
        <v>SI</v>
      </c>
      <c r="U2424" s="213" t="str">
        <f>IFERROR(__xludf.DUMMYFUNCTION("""COMPUTED_VALUE"""),"SI")</f>
        <v>SI</v>
      </c>
      <c r="V2424" s="213" t="str">
        <f>IFERROR(__xludf.DUMMYFUNCTION("""COMPUTED_VALUE"""),"-")</f>
        <v>-</v>
      </c>
      <c r="W2424" s="213" t="str">
        <f>IFERROR(__xludf.DUMMYFUNCTION("""COMPUTED_VALUE"""),"-")</f>
        <v>-</v>
      </c>
      <c r="X2424" s="213" t="str">
        <f>IFERROR(__xludf.DUMMYFUNCTION("""COMPUTED_VALUE"""),"TR Industrial")</f>
        <v>TR Industrial</v>
      </c>
      <c r="Y2424" s="213" t="str">
        <f>IFERROR(__xludf.DUMMYFUNCTION("""COMPUTED_VALUE"""),"-")</f>
        <v>-</v>
      </c>
      <c r="Z2424" s="215" t="str">
        <f>IFERROR(__xludf.DUMMYFUNCTION("""COMPUTED_VALUE"""),"https://www.amazon.com/-/es/Orejeras-seguridad-industrial-cumplen-normas/dp/B00PUX97U6?th=1")</f>
        <v>https://www.amazon.com/-/es/Orejeras-seguridad-industrial-cumplen-normas/dp/B00PUX97U6?th=1</v>
      </c>
      <c r="AA2424" s="213" t="str">
        <f>IFERROR(__xludf.DUMMYFUNCTION("""COMPUTED_VALUE"""),"MAT-398 OREJERAS - CET")</f>
        <v>MAT-398 OREJERAS - CET</v>
      </c>
      <c r="AB2424" s="213"/>
      <c r="AC2424" s="213"/>
      <c r="AD2424" s="213"/>
      <c r="AE2424" s="213"/>
      <c r="AF2424" s="213"/>
      <c r="AG2424" s="213"/>
      <c r="AH2424" s="213"/>
      <c r="AI2424" s="213"/>
      <c r="AJ2424" s="213"/>
      <c r="AK2424" s="213"/>
      <c r="AL2424" s="213"/>
      <c r="AM2424" s="213"/>
      <c r="AN2424" s="213"/>
      <c r="AO2424" s="213"/>
      <c r="AP2424" s="213" t="str">
        <f>IFERROR(__xludf.DUMMYFUNCTION("""COMPUTED_VALUE"""),"SEBASTIAN")</f>
        <v>SEBASTIAN</v>
      </c>
      <c r="AQ2424" s="213"/>
      <c r="AR2424" s="213"/>
      <c r="AS2424" s="213"/>
      <c r="AT2424" s="213"/>
      <c r="AU2424" s="213"/>
      <c r="AV2424" s="213"/>
      <c r="AW2424" s="213"/>
      <c r="AX2424" s="213"/>
      <c r="AY2424" s="213"/>
      <c r="AZ2424" s="213"/>
      <c r="BA2424" s="213"/>
      <c r="BB2424" s="213"/>
      <c r="BC2424" s="213"/>
      <c r="BD2424" s="213"/>
    </row>
    <row r="2425">
      <c r="A2425" s="213">
        <f>IFERROR(__xludf.DUMMYFUNCTION("""COMPUTED_VALUE"""),495.0)</f>
        <v>495</v>
      </c>
      <c r="B2425" s="213" t="str">
        <f>IFERROR(__xludf.DUMMYFUNCTION("""COMPUTED_VALUE"""),"2026 SIMON BOLIVAR")</f>
        <v>2026 SIMON BOLIVAR</v>
      </c>
      <c r="C2425" s="213" t="str">
        <f>IFERROR(__xludf.DUMMYFUNCTION("""COMPUTED_VALUE"""),"TALLER SFT DE INDUSTRIA ALIMENTARIA")</f>
        <v>TALLER SFT DE INDUSTRIA ALIMENTARIA</v>
      </c>
      <c r="D2425" s="213" t="str">
        <f>IFERROR(__xludf.DUMMYFUNCTION("""COMPUTED_VALUE"""),"HERRAMIENTAS")</f>
        <v>HERRAMIENTAS</v>
      </c>
      <c r="E2425" s="213" t="str">
        <f>IFERROR(__xludf.DUMMYFUNCTION("""COMPUTED_VALUE"""),"MAT-399")</f>
        <v>MAT-399</v>
      </c>
      <c r="F2425" s="213" t="str">
        <f>IFERROR(__xludf.DUMMYFUNCTION("""COMPUTED_VALUE"""),"MAT-399")</f>
        <v>MAT-399</v>
      </c>
      <c r="G2425" s="213"/>
      <c r="H2425" s="213" t="str">
        <f>IFERROR(__xludf.DUMMYFUNCTION("""COMPUTED_VALUE"""),"PALA PARA QUESO")</f>
        <v>PALA PARA QUESO</v>
      </c>
      <c r="I2425" s="213" t="str">
        <f>IFERROR(__xludf.DUMMYFUNCTION("""COMPUTED_VALUE"""),". Material: Acero Inoxidable
. Medidas
. Tubo  30 cm altura
. Plancha 15 cm x 20 cm Espesor 2mm
. Acabado sanitario")</f>
        <v>. Material: Acero Inoxidable
. Medidas
. Tubo  30 cm altura
. Plancha 15 cm x 20 cm Espesor 2mm
. Acabado sanitario</v>
      </c>
      <c r="J2425" s="213">
        <f>IFERROR(__xludf.DUMMYFUNCTION("""COMPUTED_VALUE"""),3.0)</f>
        <v>3</v>
      </c>
      <c r="K2425" s="213" t="str">
        <f>IFERROR(__xludf.DUMMYFUNCTION("""COMPUTED_VALUE"""),"90 DÍAS CALENDARIO")</f>
        <v>90 DÍAS CALENDARIO</v>
      </c>
      <c r="L2425" s="213" t="str">
        <f>IFERROR(__xludf.DUMMYFUNCTION("""COMPUTED_VALUE"""),"")</f>
        <v/>
      </c>
      <c r="M2425" s="213">
        <f>IFERROR(__xludf.DUMMYFUNCTION("""COMPUTED_VALUE"""),1.0)</f>
        <v>1</v>
      </c>
      <c r="N2425" s="213">
        <f>IFERROR(__xludf.DUMMYFUNCTION("""COMPUTED_VALUE"""),4.0)</f>
        <v>4</v>
      </c>
      <c r="O2425" s="213">
        <f>IFERROR(__xludf.DUMMYFUNCTION("""COMPUTED_VALUE"""),4.0)</f>
        <v>4</v>
      </c>
      <c r="P2425" s="213"/>
      <c r="Q2425" s="213"/>
      <c r="R2425" s="213" t="str">
        <f>IFERROR(__xludf.DUMMYFUNCTION("""COMPUTED_VALUE"""),"SI")</f>
        <v>SI</v>
      </c>
      <c r="S2425" s="213"/>
      <c r="T2425" s="213" t="str">
        <f>IFERROR(__xludf.DUMMYFUNCTION("""COMPUTED_VALUE"""),"CONSULTA FINAL")</f>
        <v>CONSULTA FINAL</v>
      </c>
      <c r="U2425" s="213"/>
      <c r="V2425" s="213" t="str">
        <f>IFERROR(__xludf.DUMMYFUNCTION("""COMPUTED_VALUE"""),"-")</f>
        <v>-</v>
      </c>
      <c r="W2425" s="213" t="str">
        <f>IFERROR(__xludf.DUMMYFUNCTION("""COMPUTED_VALUE"""),"CRÍTICO")</f>
        <v>CRÍTICO</v>
      </c>
      <c r="X2425" s="213" t="str">
        <f>IFERROR(__xludf.DUMMYFUNCTION("""COMPUTED_VALUE"""),"A MEDIDA")</f>
        <v>A MEDIDA</v>
      </c>
      <c r="Y2425" s="213" t="str">
        <f>IFERROR(__xludf.DUMMYFUNCTION("""COMPUTED_VALUE"""),"A MEDIDA")</f>
        <v>A MEDIDA</v>
      </c>
      <c r="Z2425" s="213" t="str">
        <f>IFERROR(__xludf.DUMMYFUNCTION("""COMPUTED_VALUE"""),"A MEDIDA")</f>
        <v>A MEDIDA</v>
      </c>
      <c r="AA2425" s="213" t="str">
        <f>IFERROR(__xludf.DUMMYFUNCTION("""COMPUTED_VALUE"""),"MAT-399 PALA PARA QUESO - CET")</f>
        <v>MAT-399 PALA PARA QUESO - CET</v>
      </c>
      <c r="AB2425" s="213"/>
      <c r="AC2425" s="213"/>
      <c r="AD2425" s="213"/>
      <c r="AE2425" s="213"/>
      <c r="AF2425" s="213"/>
      <c r="AG2425" s="213"/>
      <c r="AH2425" s="213"/>
      <c r="AI2425" s="213"/>
      <c r="AJ2425" s="213"/>
      <c r="AK2425" s="213"/>
      <c r="AL2425" s="213"/>
      <c r="AM2425" s="213"/>
      <c r="AN2425" s="213"/>
      <c r="AO2425" s="213"/>
      <c r="AP2425" s="213" t="str">
        <f>IFERROR(__xludf.DUMMYFUNCTION("""COMPUTED_VALUE"""),"LUIS")</f>
        <v>LUIS</v>
      </c>
      <c r="AQ2425" s="213"/>
      <c r="AR2425" s="213"/>
      <c r="AS2425" s="213"/>
      <c r="AT2425" s="213"/>
      <c r="AU2425" s="213"/>
      <c r="AV2425" s="213"/>
      <c r="AW2425" s="213"/>
      <c r="AX2425" s="213"/>
      <c r="AY2425" s="213"/>
      <c r="AZ2425" s="213"/>
      <c r="BA2425" s="213"/>
      <c r="BB2425" s="213"/>
      <c r="BC2425" s="213"/>
      <c r="BD2425" s="213"/>
    </row>
    <row r="2426">
      <c r="A2426" s="213">
        <f>IFERROR(__xludf.DUMMYFUNCTION("""COMPUTED_VALUE"""),1125.0)</f>
        <v>1125</v>
      </c>
      <c r="B2426" s="213" t="str">
        <f>IFERROR(__xludf.DUMMYFUNCTION("""COMPUTED_VALUE"""),"FRANCISCO IRAZOLA")</f>
        <v>FRANCISCO IRAZOLA</v>
      </c>
      <c r="C2426" s="213" t="str">
        <f>IFERROR(__xludf.DUMMYFUNCTION("""COMPUTED_VALUE"""),"TALLER SFT DE INDUSTRIA ALIMENTARIA")</f>
        <v>TALLER SFT DE INDUSTRIA ALIMENTARIA</v>
      </c>
      <c r="D2426" s="213" t="str">
        <f>IFERROR(__xludf.DUMMYFUNCTION("""COMPUTED_VALUE"""),"HERRAMIENTAS")</f>
        <v>HERRAMIENTAS</v>
      </c>
      <c r="E2426" s="213" t="str">
        <f>IFERROR(__xludf.DUMMYFUNCTION("""COMPUTED_VALUE"""),"MAT-399")</f>
        <v>MAT-399</v>
      </c>
      <c r="F2426" s="213" t="str">
        <f>IFERROR(__xludf.DUMMYFUNCTION("""COMPUTED_VALUE"""),"MAT-399")</f>
        <v>MAT-399</v>
      </c>
      <c r="G2426" s="213"/>
      <c r="H2426" s="213" t="str">
        <f>IFERROR(__xludf.DUMMYFUNCTION("""COMPUTED_VALUE"""),"PALA PARA QUESO")</f>
        <v>PALA PARA QUESO</v>
      </c>
      <c r="I2426" s="213" t="str">
        <f>IFERROR(__xludf.DUMMYFUNCTION("""COMPUTED_VALUE"""),". Material: Acero Inoxidable
. Medidas
. Tubo  30 cm altura
. Plancha 15 cm x 20 cm Espesor 2mm
. Acabado sanitario")</f>
        <v>. Material: Acero Inoxidable
. Medidas
. Tubo  30 cm altura
. Plancha 15 cm x 20 cm Espesor 2mm
. Acabado sanitario</v>
      </c>
      <c r="J2426" s="213">
        <f>IFERROR(__xludf.DUMMYFUNCTION("""COMPUTED_VALUE"""),3.0)</f>
        <v>3</v>
      </c>
      <c r="K2426" s="213" t="str">
        <f>IFERROR(__xludf.DUMMYFUNCTION("""COMPUTED_VALUE"""),"90 DÍAS CALENDARIO")</f>
        <v>90 DÍAS CALENDARIO</v>
      </c>
      <c r="L2426" s="213" t="str">
        <f>IFERROR(__xludf.DUMMYFUNCTION("""COMPUTED_VALUE"""),"")</f>
        <v/>
      </c>
      <c r="M2426" s="213">
        <f>IFERROR(__xludf.DUMMYFUNCTION("""COMPUTED_VALUE"""),1.0)</f>
        <v>1</v>
      </c>
      <c r="N2426" s="213">
        <f>IFERROR(__xludf.DUMMYFUNCTION("""COMPUTED_VALUE"""),4.0)</f>
        <v>4</v>
      </c>
      <c r="O2426" s="213">
        <f>IFERROR(__xludf.DUMMYFUNCTION("""COMPUTED_VALUE"""),4.0)</f>
        <v>4</v>
      </c>
      <c r="P2426" s="213"/>
      <c r="Q2426" s="213"/>
      <c r="R2426" s="213" t="str">
        <f>IFERROR(__xludf.DUMMYFUNCTION("""COMPUTED_VALUE"""),"SI")</f>
        <v>SI</v>
      </c>
      <c r="S2426" s="213"/>
      <c r="T2426" s="213" t="str">
        <f>IFERROR(__xludf.DUMMYFUNCTION("""COMPUTED_VALUE"""),"CONSULTA FINAL")</f>
        <v>CONSULTA FINAL</v>
      </c>
      <c r="U2426" s="213"/>
      <c r="V2426" s="213" t="str">
        <f>IFERROR(__xludf.DUMMYFUNCTION("""COMPUTED_VALUE"""),"-")</f>
        <v>-</v>
      </c>
      <c r="W2426" s="213" t="str">
        <f>IFERROR(__xludf.DUMMYFUNCTION("""COMPUTED_VALUE"""),"CRÍTICO")</f>
        <v>CRÍTICO</v>
      </c>
      <c r="X2426" s="213" t="str">
        <f>IFERROR(__xludf.DUMMYFUNCTION("""COMPUTED_VALUE"""),"A MEDIDA")</f>
        <v>A MEDIDA</v>
      </c>
      <c r="Y2426" s="213" t="str">
        <f>IFERROR(__xludf.DUMMYFUNCTION("""COMPUTED_VALUE"""),"A MEDIDA")</f>
        <v>A MEDIDA</v>
      </c>
      <c r="Z2426" s="213" t="str">
        <f>IFERROR(__xludf.DUMMYFUNCTION("""COMPUTED_VALUE"""),"A MEDIDA")</f>
        <v>A MEDIDA</v>
      </c>
      <c r="AA2426" s="213" t="str">
        <f>IFERROR(__xludf.DUMMYFUNCTION("""COMPUTED_VALUE"""),"MAT-399 PALA PARA QUESO - CET")</f>
        <v>MAT-399 PALA PARA QUESO - CET</v>
      </c>
      <c r="AB2426" s="213"/>
      <c r="AC2426" s="213"/>
      <c r="AD2426" s="213"/>
      <c r="AE2426" s="213"/>
      <c r="AF2426" s="213"/>
      <c r="AG2426" s="213"/>
      <c r="AH2426" s="213"/>
      <c r="AI2426" s="213"/>
      <c r="AJ2426" s="213"/>
      <c r="AK2426" s="213"/>
      <c r="AL2426" s="213"/>
      <c r="AM2426" s="213"/>
      <c r="AN2426" s="213"/>
      <c r="AO2426" s="213"/>
      <c r="AP2426" s="213" t="str">
        <f>IFERROR(__xludf.DUMMYFUNCTION("""COMPUTED_VALUE"""),"LUIS")</f>
        <v>LUIS</v>
      </c>
      <c r="AQ2426" s="213"/>
      <c r="AR2426" s="213"/>
      <c r="AS2426" s="213"/>
      <c r="AT2426" s="213"/>
      <c r="AU2426" s="213"/>
      <c r="AV2426" s="213"/>
      <c r="AW2426" s="213"/>
      <c r="AX2426" s="213"/>
      <c r="AY2426" s="213"/>
      <c r="AZ2426" s="213"/>
      <c r="BA2426" s="213"/>
      <c r="BB2426" s="213"/>
      <c r="BC2426" s="213"/>
      <c r="BD2426" s="213"/>
    </row>
    <row r="2427">
      <c r="A2427" s="213">
        <f>IFERROR(__xludf.DUMMYFUNCTION("""COMPUTED_VALUE"""),1397.0)</f>
        <v>1397</v>
      </c>
      <c r="B2427" s="213" t="str">
        <f>IFERROR(__xludf.DUMMYFUNCTION("""COMPUTED_VALUE"""),"GUILLERMO E. BILLINGHURST ")</f>
        <v>GUILLERMO E. BILLINGHURST </v>
      </c>
      <c r="C2427" s="213" t="str">
        <f>IFERROR(__xludf.DUMMYFUNCTION("""COMPUTED_VALUE"""),"TALLER SFT DE INDUSTRIA ALIMENTARIA")</f>
        <v>TALLER SFT DE INDUSTRIA ALIMENTARIA</v>
      </c>
      <c r="D2427" s="213" t="str">
        <f>IFERROR(__xludf.DUMMYFUNCTION("""COMPUTED_VALUE"""),"HERRAMIENTAS")</f>
        <v>HERRAMIENTAS</v>
      </c>
      <c r="E2427" s="213" t="str">
        <f>IFERROR(__xludf.DUMMYFUNCTION("""COMPUTED_VALUE"""),"MAT-399")</f>
        <v>MAT-399</v>
      </c>
      <c r="F2427" s="213" t="str">
        <f>IFERROR(__xludf.DUMMYFUNCTION("""COMPUTED_VALUE"""),"MAT-399")</f>
        <v>MAT-399</v>
      </c>
      <c r="G2427" s="213"/>
      <c r="H2427" s="213" t="str">
        <f>IFERROR(__xludf.DUMMYFUNCTION("""COMPUTED_VALUE"""),"PALA PARA QUESO")</f>
        <v>PALA PARA QUESO</v>
      </c>
      <c r="I2427" s="213" t="str">
        <f>IFERROR(__xludf.DUMMYFUNCTION("""COMPUTED_VALUE"""),". Material: Acero Inoxidable
. Medidas
. Tubo  30 cm altura
. Plancha 15 cm x 20 cm Espesor 2mm
. Acabado sanitario")</f>
        <v>. Material: Acero Inoxidable
. Medidas
. Tubo  30 cm altura
. Plancha 15 cm x 20 cm Espesor 2mm
. Acabado sanitario</v>
      </c>
      <c r="J2427" s="213">
        <f>IFERROR(__xludf.DUMMYFUNCTION("""COMPUTED_VALUE"""),3.0)</f>
        <v>3</v>
      </c>
      <c r="K2427" s="213" t="str">
        <f>IFERROR(__xludf.DUMMYFUNCTION("""COMPUTED_VALUE"""),"90 DÍAS CALENDARIO")</f>
        <v>90 DÍAS CALENDARIO</v>
      </c>
      <c r="L2427" s="213" t="str">
        <f>IFERROR(__xludf.DUMMYFUNCTION("""COMPUTED_VALUE"""),"")</f>
        <v/>
      </c>
      <c r="M2427" s="213">
        <f>IFERROR(__xludf.DUMMYFUNCTION("""COMPUTED_VALUE"""),1.0)</f>
        <v>1</v>
      </c>
      <c r="N2427" s="213">
        <f>IFERROR(__xludf.DUMMYFUNCTION("""COMPUTED_VALUE"""),4.0)</f>
        <v>4</v>
      </c>
      <c r="O2427" s="213">
        <f>IFERROR(__xludf.DUMMYFUNCTION("""COMPUTED_VALUE"""),4.0)</f>
        <v>4</v>
      </c>
      <c r="P2427" s="213"/>
      <c r="Q2427" s="213"/>
      <c r="R2427" s="213" t="str">
        <f>IFERROR(__xludf.DUMMYFUNCTION("""COMPUTED_VALUE"""),"SI")</f>
        <v>SI</v>
      </c>
      <c r="S2427" s="213"/>
      <c r="T2427" s="213" t="str">
        <f>IFERROR(__xludf.DUMMYFUNCTION("""COMPUTED_VALUE"""),"CONSULTA FINAL")</f>
        <v>CONSULTA FINAL</v>
      </c>
      <c r="U2427" s="213"/>
      <c r="V2427" s="213" t="str">
        <f>IFERROR(__xludf.DUMMYFUNCTION("""COMPUTED_VALUE"""),"-")</f>
        <v>-</v>
      </c>
      <c r="W2427" s="213" t="str">
        <f>IFERROR(__xludf.DUMMYFUNCTION("""COMPUTED_VALUE"""),"CRÍTICO")</f>
        <v>CRÍTICO</v>
      </c>
      <c r="X2427" s="213" t="str">
        <f>IFERROR(__xludf.DUMMYFUNCTION("""COMPUTED_VALUE"""),"A MEDIDA")</f>
        <v>A MEDIDA</v>
      </c>
      <c r="Y2427" s="213" t="str">
        <f>IFERROR(__xludf.DUMMYFUNCTION("""COMPUTED_VALUE"""),"A MEDIDA")</f>
        <v>A MEDIDA</v>
      </c>
      <c r="Z2427" s="213" t="str">
        <f>IFERROR(__xludf.DUMMYFUNCTION("""COMPUTED_VALUE"""),"A MEDIDA")</f>
        <v>A MEDIDA</v>
      </c>
      <c r="AA2427" s="213" t="str">
        <f>IFERROR(__xludf.DUMMYFUNCTION("""COMPUTED_VALUE"""),"MAT-399 PALA PARA QUESO - CET")</f>
        <v>MAT-399 PALA PARA QUESO - CET</v>
      </c>
      <c r="AB2427" s="213"/>
      <c r="AC2427" s="213"/>
      <c r="AD2427" s="213"/>
      <c r="AE2427" s="213"/>
      <c r="AF2427" s="213"/>
      <c r="AG2427" s="213"/>
      <c r="AH2427" s="213"/>
      <c r="AI2427" s="213"/>
      <c r="AJ2427" s="213"/>
      <c r="AK2427" s="213"/>
      <c r="AL2427" s="213"/>
      <c r="AM2427" s="213"/>
      <c r="AN2427" s="213"/>
      <c r="AO2427" s="213"/>
      <c r="AP2427" s="213" t="str">
        <f>IFERROR(__xludf.DUMMYFUNCTION("""COMPUTED_VALUE"""),"LUIS")</f>
        <v>LUIS</v>
      </c>
      <c r="AQ2427" s="213"/>
      <c r="AR2427" s="213"/>
      <c r="AS2427" s="213"/>
      <c r="AT2427" s="213"/>
      <c r="AU2427" s="213"/>
      <c r="AV2427" s="213"/>
      <c r="AW2427" s="213"/>
      <c r="AX2427" s="213"/>
      <c r="AY2427" s="213"/>
      <c r="AZ2427" s="213"/>
      <c r="BA2427" s="213"/>
      <c r="BB2427" s="213"/>
      <c r="BC2427" s="213"/>
      <c r="BD2427" s="213"/>
    </row>
    <row r="2428">
      <c r="A2428" s="213">
        <f>IFERROR(__xludf.DUMMYFUNCTION("""COMPUTED_VALUE"""),2084.0)</f>
        <v>2084</v>
      </c>
      <c r="B2428" s="213" t="str">
        <f>IFERROR(__xludf.DUMMYFUNCTION("""COMPUTED_VALUE"""),"JOSE GRANDA")</f>
        <v>JOSE GRANDA</v>
      </c>
      <c r="C2428" s="213" t="str">
        <f>IFERROR(__xludf.DUMMYFUNCTION("""COMPUTED_VALUE"""),"TALLER SFT DE INDUSTRIA ALIMENTARIA")</f>
        <v>TALLER SFT DE INDUSTRIA ALIMENTARIA</v>
      </c>
      <c r="D2428" s="213" t="str">
        <f>IFERROR(__xludf.DUMMYFUNCTION("""COMPUTED_VALUE"""),"HERRAMIENTAS")</f>
        <v>HERRAMIENTAS</v>
      </c>
      <c r="E2428" s="213" t="str">
        <f>IFERROR(__xludf.DUMMYFUNCTION("""COMPUTED_VALUE"""),"MAT-399")</f>
        <v>MAT-399</v>
      </c>
      <c r="F2428" s="213" t="str">
        <f>IFERROR(__xludf.DUMMYFUNCTION("""COMPUTED_VALUE"""),"MAT-399")</f>
        <v>MAT-399</v>
      </c>
      <c r="G2428" s="213"/>
      <c r="H2428" s="213" t="str">
        <f>IFERROR(__xludf.DUMMYFUNCTION("""COMPUTED_VALUE"""),"PALA PARA QUESO")</f>
        <v>PALA PARA QUESO</v>
      </c>
      <c r="I2428" s="213" t="str">
        <f>IFERROR(__xludf.DUMMYFUNCTION("""COMPUTED_VALUE"""),". Material: Acero Inoxidable
. Medidas
. Tubo  30 cm altura
. Plancha 15 cm x 20 cm Espesor 2mm
. Acabado sanitario")</f>
        <v>. Material: Acero Inoxidable
. Medidas
. Tubo  30 cm altura
. Plancha 15 cm x 20 cm Espesor 2mm
. Acabado sanitario</v>
      </c>
      <c r="J2428" s="213">
        <f>IFERROR(__xludf.DUMMYFUNCTION("""COMPUTED_VALUE"""),3.0)</f>
        <v>3</v>
      </c>
      <c r="K2428" s="213" t="str">
        <f>IFERROR(__xludf.DUMMYFUNCTION("""COMPUTED_VALUE"""),"90 DÍAS CALENDARIO")</f>
        <v>90 DÍAS CALENDARIO</v>
      </c>
      <c r="L2428" s="213" t="str">
        <f>IFERROR(__xludf.DUMMYFUNCTION("""COMPUTED_VALUE"""),"")</f>
        <v/>
      </c>
      <c r="M2428" s="213">
        <f>IFERROR(__xludf.DUMMYFUNCTION("""COMPUTED_VALUE"""),1.0)</f>
        <v>1</v>
      </c>
      <c r="N2428" s="213">
        <f>IFERROR(__xludf.DUMMYFUNCTION("""COMPUTED_VALUE"""),4.0)</f>
        <v>4</v>
      </c>
      <c r="O2428" s="213">
        <f>IFERROR(__xludf.DUMMYFUNCTION("""COMPUTED_VALUE"""),4.0)</f>
        <v>4</v>
      </c>
      <c r="P2428" s="213"/>
      <c r="Q2428" s="213"/>
      <c r="R2428" s="213" t="str">
        <f>IFERROR(__xludf.DUMMYFUNCTION("""COMPUTED_VALUE"""),"SI")</f>
        <v>SI</v>
      </c>
      <c r="S2428" s="213"/>
      <c r="T2428" s="213" t="str">
        <f>IFERROR(__xludf.DUMMYFUNCTION("""COMPUTED_VALUE"""),"CONSULTA FINAL")</f>
        <v>CONSULTA FINAL</v>
      </c>
      <c r="U2428" s="213"/>
      <c r="V2428" s="213" t="str">
        <f>IFERROR(__xludf.DUMMYFUNCTION("""COMPUTED_VALUE"""),"-")</f>
        <v>-</v>
      </c>
      <c r="W2428" s="213" t="str">
        <f>IFERROR(__xludf.DUMMYFUNCTION("""COMPUTED_VALUE"""),"CRÍTICO")</f>
        <v>CRÍTICO</v>
      </c>
      <c r="X2428" s="213" t="str">
        <f>IFERROR(__xludf.DUMMYFUNCTION("""COMPUTED_VALUE"""),"A MEDIDA")</f>
        <v>A MEDIDA</v>
      </c>
      <c r="Y2428" s="213" t="str">
        <f>IFERROR(__xludf.DUMMYFUNCTION("""COMPUTED_VALUE"""),"A MEDIDA")</f>
        <v>A MEDIDA</v>
      </c>
      <c r="Z2428" s="213" t="str">
        <f>IFERROR(__xludf.DUMMYFUNCTION("""COMPUTED_VALUE"""),"A MEDIDA")</f>
        <v>A MEDIDA</v>
      </c>
      <c r="AA2428" s="213" t="str">
        <f>IFERROR(__xludf.DUMMYFUNCTION("""COMPUTED_VALUE"""),"MAT-399 PALA PARA QUESO - CET")</f>
        <v>MAT-399 PALA PARA QUESO - CET</v>
      </c>
      <c r="AB2428" s="213"/>
      <c r="AC2428" s="213"/>
      <c r="AD2428" s="213"/>
      <c r="AE2428" s="213"/>
      <c r="AF2428" s="213"/>
      <c r="AG2428" s="213"/>
      <c r="AH2428" s="213"/>
      <c r="AI2428" s="213"/>
      <c r="AJ2428" s="213"/>
      <c r="AK2428" s="213"/>
      <c r="AL2428" s="213"/>
      <c r="AM2428" s="213"/>
      <c r="AN2428" s="213"/>
      <c r="AO2428" s="213"/>
      <c r="AP2428" s="213" t="str">
        <f>IFERROR(__xludf.DUMMYFUNCTION("""COMPUTED_VALUE"""),"LUIS")</f>
        <v>LUIS</v>
      </c>
      <c r="AQ2428" s="213"/>
      <c r="AR2428" s="213"/>
      <c r="AS2428" s="213"/>
      <c r="AT2428" s="213"/>
      <c r="AU2428" s="213"/>
      <c r="AV2428" s="213"/>
      <c r="AW2428" s="213"/>
      <c r="AX2428" s="213"/>
      <c r="AY2428" s="213"/>
      <c r="AZ2428" s="213"/>
      <c r="BA2428" s="213"/>
      <c r="BB2428" s="213"/>
      <c r="BC2428" s="213"/>
      <c r="BD2428" s="213"/>
    </row>
    <row r="2429">
      <c r="A2429" s="213">
        <f>IFERROR(__xludf.DUMMYFUNCTION("""COMPUTED_VALUE"""),25.0)</f>
        <v>25</v>
      </c>
      <c r="B2429" s="213" t="str">
        <f>IFERROR(__xludf.DUMMYFUNCTION("""COMPUTED_VALUE"""),"16449 ELOY SOBERON  FLORES")</f>
        <v>16449 ELOY SOBERON  FLORES</v>
      </c>
      <c r="C2429" s="213" t="str">
        <f>IFERROR(__xludf.DUMMYFUNCTION("""COMPUTED_VALUE"""),"TALLER SFT DE COCINA Y REPOSTERÍA")</f>
        <v>TALLER SFT DE COCINA Y REPOSTERÍA</v>
      </c>
      <c r="D2429" s="213" t="str">
        <f>IFERROR(__xludf.DUMMYFUNCTION("""COMPUTED_VALUE"""),"HERRAMIENTAS")</f>
        <v>HERRAMIENTAS</v>
      </c>
      <c r="E2429" s="213" t="str">
        <f>IFERROR(__xludf.DUMMYFUNCTION("""COMPUTED_VALUE"""),"MAT-401")</f>
        <v>MAT-401</v>
      </c>
      <c r="F2429" s="213" t="str">
        <f>IFERROR(__xludf.DUMMYFUNCTION("""COMPUTED_VALUE"""),"MAT-401")</f>
        <v>MAT-401</v>
      </c>
      <c r="G2429" s="213"/>
      <c r="H2429" s="213" t="str">
        <f>IFERROR(__xludf.DUMMYFUNCTION("""COMPUTED_VALUE"""),"PELADOR DE PAPAS MANUAL")</f>
        <v>PELADOR DE PAPAS MANUAL</v>
      </c>
      <c r="I2429" s="213" t="str">
        <f>IFERROR(__xludf.DUMMYFUNCTION("""COMPUTED_VALUE"""),".  Material Acero inoxidable
.  Medidas Largo 16 cm
.  Mango: Madera")</f>
        <v>.  Material Acero inoxidable
.  Medidas Largo 16 cm
.  Mango: Madera</v>
      </c>
      <c r="J2429" s="213">
        <f>IFERROR(__xludf.DUMMYFUNCTION("""COMPUTED_VALUE"""),3.0)</f>
        <v>3</v>
      </c>
      <c r="K2429" s="213" t="str">
        <f>IFERROR(__xludf.DUMMYFUNCTION("""COMPUTED_VALUE"""),"90 DÍAS CALENDARIO")</f>
        <v>90 DÍAS CALENDARIO</v>
      </c>
      <c r="L2429" s="213" t="str">
        <f>IFERROR(__xludf.DUMMYFUNCTION("""COMPUTED_VALUE"""),"")</f>
        <v/>
      </c>
      <c r="M2429" s="213">
        <f>IFERROR(__xludf.DUMMYFUNCTION("""COMPUTED_VALUE"""),1.0)</f>
        <v>1</v>
      </c>
      <c r="N2429" s="213">
        <f>IFERROR(__xludf.DUMMYFUNCTION("""COMPUTED_VALUE"""),4.0)</f>
        <v>4</v>
      </c>
      <c r="O2429" s="213">
        <f>IFERROR(__xludf.DUMMYFUNCTION("""COMPUTED_VALUE"""),4.0)</f>
        <v>4</v>
      </c>
      <c r="P2429" s="213"/>
      <c r="Q2429" s="213"/>
      <c r="R2429" s="213" t="str">
        <f>IFERROR(__xludf.DUMMYFUNCTION("""COMPUTED_VALUE"""),"SI")</f>
        <v>SI</v>
      </c>
      <c r="S2429" s="213"/>
      <c r="T2429" s="213" t="str">
        <f>IFERROR(__xludf.DUMMYFUNCTION("""COMPUTED_VALUE"""),"SI")</f>
        <v>SI</v>
      </c>
      <c r="U2429" s="213" t="str">
        <f>IFERROR(__xludf.DUMMYFUNCTION("""COMPUTED_VALUE"""),"SI")</f>
        <v>SI</v>
      </c>
      <c r="V2429" s="213" t="str">
        <f>IFERROR(__xludf.DUMMYFUNCTION("""COMPUTED_VALUE"""),"-")</f>
        <v>-</v>
      </c>
      <c r="W2429" s="213" t="str">
        <f>IFERROR(__xludf.DUMMYFUNCTION("""COMPUTED_VALUE"""),"-")</f>
        <v>-</v>
      </c>
      <c r="X2429" s="213" t="str">
        <f>IFERROR(__xludf.DUMMYFUNCTION("""COMPUTED_VALUE"""),"FACUSA")</f>
        <v>FACUSA</v>
      </c>
      <c r="Y2429" s="213">
        <f>IFERROR(__xludf.DUMMYFUNCTION("""COMPUTED_VALUE"""),1.13535204E8)</f>
        <v>113535204</v>
      </c>
      <c r="Z2429" s="215" t="str">
        <f>IFERROR(__xludf.DUMMYFUNCTION("""COMPUTED_VALUE"""),"https://www.sodimac.com.pe/sodimac-pe/articulo/113535203/Pelador-mango-madera-16-cm/113535204?srsltid=AfmBOopc2b4hgPvThN1KUz16hGR7O86-_7XwVnuhBZrCk1bopbTXBWf8")</f>
        <v>https://www.sodimac.com.pe/sodimac-pe/articulo/113535203/Pelador-mango-madera-16-cm/113535204?srsltid=AfmBOopc2b4hgPvThN1KUz16hGR7O86-_7XwVnuhBZrCk1bopbTXBWf8</v>
      </c>
      <c r="AA2429" s="213" t="str">
        <f>IFERROR(__xludf.DUMMYFUNCTION("""COMPUTED_VALUE"""),"MAT-401 PELADOR DE PAPAS MANUAL - CET")</f>
        <v>MAT-401 PELADOR DE PAPAS MANUAL - CET</v>
      </c>
      <c r="AB2429" s="213"/>
      <c r="AC2429" s="213"/>
      <c r="AD2429" s="213"/>
      <c r="AE2429" s="213"/>
      <c r="AF2429" s="213"/>
      <c r="AG2429" s="213"/>
      <c r="AH2429" s="213"/>
      <c r="AI2429" s="213"/>
      <c r="AJ2429" s="213"/>
      <c r="AK2429" s="213"/>
      <c r="AL2429" s="213"/>
      <c r="AM2429" s="213"/>
      <c r="AN2429" s="213"/>
      <c r="AO2429" s="213"/>
      <c r="AP2429" s="213" t="str">
        <f>IFERROR(__xludf.DUMMYFUNCTION("""COMPUTED_VALUE"""),"SEBASTIAN")</f>
        <v>SEBASTIAN</v>
      </c>
      <c r="AQ2429" s="213"/>
      <c r="AR2429" s="213"/>
      <c r="AS2429" s="213"/>
      <c r="AT2429" s="213"/>
      <c r="AU2429" s="213"/>
      <c r="AV2429" s="213"/>
      <c r="AW2429" s="213"/>
      <c r="AX2429" s="213"/>
      <c r="AY2429" s="213"/>
      <c r="AZ2429" s="213"/>
      <c r="BA2429" s="213"/>
      <c r="BB2429" s="213"/>
      <c r="BC2429" s="213"/>
      <c r="BD2429" s="213"/>
    </row>
    <row r="2430">
      <c r="A2430" s="213">
        <f>IFERROR(__xludf.DUMMYFUNCTION("""COMPUTED_VALUE"""),2539.0)</f>
        <v>2539</v>
      </c>
      <c r="B2430" s="213" t="str">
        <f>IFERROR(__xludf.DUMMYFUNCTION("""COMPUTED_VALUE"""),"MANUEL ANTONIO MESONES MURO")</f>
        <v>MANUEL ANTONIO MESONES MURO</v>
      </c>
      <c r="C2430" s="213" t="str">
        <f>IFERROR(__xludf.DUMMYFUNCTION("""COMPUTED_VALUE"""),"TALLER SFT DE CONSTRUCCIONES METÁLICAS")</f>
        <v>TALLER SFT DE CONSTRUCCIONES METÁLICAS</v>
      </c>
      <c r="D2430" s="213" t="str">
        <f>IFERROR(__xludf.DUMMYFUNCTION("""COMPUTED_VALUE"""),"PEDAGOGICO")</f>
        <v>PEDAGOGICO</v>
      </c>
      <c r="E2430" s="213" t="str">
        <f>IFERROR(__xludf.DUMMYFUNCTION("""COMPUTED_VALUE"""),"-")</f>
        <v>-</v>
      </c>
      <c r="F2430" s="213" t="str">
        <f>IFERROR(__xludf.DUMMYFUNCTION("""COMPUTED_VALUE"""),"CAPA-CONST")</f>
        <v>CAPA-CONST</v>
      </c>
      <c r="G2430" s="213"/>
      <c r="H2430" s="213" t="str">
        <f>IFERROR(__xludf.DUMMYFUNCTION("""COMPUTED_VALUE"""),"TALLER DE CAPACITACIÓN PRESENCIAL")</f>
        <v>TALLER DE CAPACITACIÓN PRESENCIAL</v>
      </c>
      <c r="I2430" s="213"/>
      <c r="J2430" s="213">
        <f>IFERROR(__xludf.DUMMYFUNCTION("""COMPUTED_VALUE"""),3.0)</f>
        <v>3</v>
      </c>
      <c r="K2430" s="213" t="str">
        <f>IFERROR(__xludf.DUMMYFUNCTION("""COMPUTED_VALUE"""),"170 DÍAS CALENDARIO")</f>
        <v>170 DÍAS CALENDARIO</v>
      </c>
      <c r="L2430" s="213" t="str">
        <f>IFERROR(__xludf.DUMMYFUNCTION("""COMPUTED_VALUE"""),"")</f>
        <v/>
      </c>
      <c r="M2430" s="213">
        <f>IFERROR(__xludf.DUMMYFUNCTION("""COMPUTED_VALUE"""),1.0)</f>
        <v>1</v>
      </c>
      <c r="N2430" s="213">
        <f>IFERROR(__xludf.DUMMYFUNCTION("""COMPUTED_VALUE"""),1.0)</f>
        <v>1</v>
      </c>
      <c r="O2430" s="213">
        <f>IFERROR(__xludf.DUMMYFUNCTION("""COMPUTED_VALUE"""),1.0)</f>
        <v>1</v>
      </c>
      <c r="P2430" s="213"/>
      <c r="Q2430" s="213"/>
      <c r="R2430" s="213"/>
      <c r="S2430" s="213"/>
      <c r="T2430" s="213"/>
      <c r="U2430" s="213"/>
      <c r="V2430" s="213"/>
      <c r="W2430" s="213"/>
      <c r="X2430" s="213"/>
      <c r="Y2430" s="213"/>
      <c r="Z2430" s="213"/>
      <c r="AA2430" s="213"/>
      <c r="AB2430" s="213"/>
      <c r="AC2430" s="213"/>
      <c r="AD2430" s="213"/>
      <c r="AE2430" s="213"/>
      <c r="AF2430" s="213"/>
      <c r="AG2430" s="213"/>
      <c r="AH2430" s="213"/>
      <c r="AI2430" s="213"/>
      <c r="AJ2430" s="213"/>
      <c r="AK2430" s="213"/>
      <c r="AL2430" s="213"/>
      <c r="AM2430" s="213"/>
      <c r="AN2430" s="213"/>
      <c r="AO2430" s="213"/>
      <c r="AP2430" s="213"/>
      <c r="AQ2430" s="213"/>
      <c r="AR2430" s="213"/>
      <c r="AS2430" s="213"/>
      <c r="AT2430" s="213"/>
      <c r="AU2430" s="213"/>
      <c r="AV2430" s="213"/>
      <c r="AW2430" s="213"/>
      <c r="AX2430" s="213"/>
      <c r="AY2430" s="213"/>
      <c r="AZ2430" s="213"/>
      <c r="BA2430" s="213"/>
      <c r="BB2430" s="213"/>
      <c r="BC2430" s="213"/>
      <c r="BD2430" s="213"/>
    </row>
    <row r="2431">
      <c r="A2431" s="213">
        <f>IFERROR(__xludf.DUMMYFUNCTION("""COMPUTED_VALUE"""),2511.0)</f>
        <v>2511</v>
      </c>
      <c r="B2431" s="213" t="str">
        <f>IFERROR(__xludf.DUMMYFUNCTION("""COMPUTED_VALUE"""),"MANUEL ANTONIO MESONES MURO")</f>
        <v>MANUEL ANTONIO MESONES MURO</v>
      </c>
      <c r="C2431" s="213" t="str">
        <f>IFERROR(__xludf.DUMMYFUNCTION("""COMPUTED_VALUE"""),"TALLER SFT DE CONSTRUCCIONES METÁLICAS")</f>
        <v>TALLER SFT DE CONSTRUCCIONES METÁLICAS</v>
      </c>
      <c r="D2431" s="213" t="str">
        <f>IFERROR(__xludf.DUMMYFUNCTION("""COMPUTED_VALUE"""),"EQUIPOS")</f>
        <v>EQUIPOS</v>
      </c>
      <c r="E2431" s="213" t="str">
        <f>IFERROR(__xludf.DUMMYFUNCTION("""COMPUTED_VALUE"""),"ESP-373")</f>
        <v>ESP-373</v>
      </c>
      <c r="F2431" s="213" t="str">
        <f>IFERROR(__xludf.DUMMYFUNCTION("""COMPUTED_VALUE"""),"ESP-373")</f>
        <v>ESP-373</v>
      </c>
      <c r="G2431" s="213"/>
      <c r="H2431" s="213" t="str">
        <f>IFERROR(__xludf.DUMMYFUNCTION("""COMPUTED_VALUE"""),"TRONZADORA DE METAL")</f>
        <v>TRONZADORA DE METAL</v>
      </c>
      <c r="I2431" s="213" t="str">
        <f>IFERROR(__xludf.DUMMYFUNCTION("""COMPUTED_VALUE"""),"Herramienta para corte de metales
. Potencia mínima: 2 200 W
. Velocidad mínima: 4 000 RPM
. Tamaño de disco: 14” (335 mm)
. Peso aproximado (+- 100 gr): 17.6 kg
. Voltaje primario: 220 V . 60 Hz
. Monofásico")</f>
        <v>Herramienta para corte de metales
. Potencia mínima: 2 200 W
. Velocidad mínima: 4 000 RPM
. Tamaño de disco: 14” (335 mm)
. Peso aproximado (+- 100 gr): 17.6 kg
. Voltaje primario: 220 V . 60 Hz
. Monofásico</v>
      </c>
      <c r="J2431" s="213">
        <f>IFERROR(__xludf.DUMMYFUNCTION("""COMPUTED_VALUE"""),3.0)</f>
        <v>3</v>
      </c>
      <c r="K2431" s="213" t="str">
        <f>IFERROR(__xludf.DUMMYFUNCTION("""COMPUTED_VALUE"""),"170 DÍAS CALENDARIO")</f>
        <v>170 DÍAS CALENDARIO</v>
      </c>
      <c r="L2431" s="213" t="str">
        <f>IFERROR(__xludf.DUMMYFUNCTION("""COMPUTED_VALUE"""),"")</f>
        <v/>
      </c>
      <c r="M2431" s="213">
        <f>IFERROR(__xludf.DUMMYFUNCTION("""COMPUTED_VALUE"""),1.0)</f>
        <v>1</v>
      </c>
      <c r="N2431" s="213">
        <f>IFERROR(__xludf.DUMMYFUNCTION("""COMPUTED_VALUE"""),1.0)</f>
        <v>1</v>
      </c>
      <c r="O2431" s="213">
        <f>IFERROR(__xludf.DUMMYFUNCTION("""COMPUTED_VALUE"""),1.0)</f>
        <v>1</v>
      </c>
      <c r="P2431" s="213"/>
      <c r="Q2431" s="213"/>
      <c r="R2431" s="213"/>
      <c r="S2431" s="213" t="str">
        <f>IFERROR(__xludf.DUMMYFUNCTION("""COMPUTED_VALUE"""),"SI")</f>
        <v>SI</v>
      </c>
      <c r="T2431" s="213" t="str">
        <f>IFERROR(__xludf.DUMMYFUNCTION("""COMPUTED_VALUE"""),"SI")</f>
        <v>SI</v>
      </c>
      <c r="U2431" s="213" t="str">
        <f>IFERROR(__xludf.DUMMYFUNCTION("""COMPUTED_VALUE"""),"SI")</f>
        <v>SI</v>
      </c>
      <c r="V2431" s="213" t="str">
        <f>IFERROR(__xludf.DUMMYFUNCTION("""COMPUTED_VALUE"""),"-")</f>
        <v>-</v>
      </c>
      <c r="W2431" s="213" t="str">
        <f>IFERROR(__xludf.DUMMYFUNCTION("""COMPUTED_VALUE"""),"-")</f>
        <v>-</v>
      </c>
      <c r="X2431" s="213" t="str">
        <f>IFERROR(__xludf.DUMMYFUNCTION("""COMPUTED_VALUE"""),"DeWalt")</f>
        <v>DeWalt</v>
      </c>
      <c r="Y2431" s="213" t="str">
        <f>IFERROR(__xludf.DUMMYFUNCTION("""COMPUTED_VALUE"""),"D28730-B2")</f>
        <v>D28730-B2</v>
      </c>
      <c r="Z2431" s="215" t="str">
        <f>IFERROR(__xludf.DUMMYFUNCTION("""COMPUTED_VALUE"""),"https://www.maqcenter.pe/product/tronzadora-de-metales-14-2300w-dewalt-d28730-b2")</f>
        <v>https://www.maqcenter.pe/product/tronzadora-de-metales-14-2300w-dewalt-d28730-b2</v>
      </c>
      <c r="AA2431" s="213" t="str">
        <f>IFERROR(__xludf.DUMMYFUNCTION("""COMPUTED_VALUE"""),"ESP-373  TRONZADORA DE METAL- CET")</f>
        <v>ESP-373  TRONZADORA DE METAL- CET</v>
      </c>
      <c r="AB2431" s="215" t="str">
        <f>IFERROR(__xludf.DUMMYFUNCTION("""COMPUTED_VALUE"""),"https://drive.google.com/file/d/1ieINXElR3R1OWw3mr3xxzqyirkp5YFrt/view")</f>
        <v>https://drive.google.com/file/d/1ieINXElR3R1OWw3mr3xxzqyirkp5YFrt/view</v>
      </c>
      <c r="AC2431" s="213"/>
      <c r="AD2431" s="213"/>
      <c r="AE2431" s="213"/>
      <c r="AF2431" s="213"/>
      <c r="AG2431" s="213"/>
      <c r="AH2431" s="213" t="str">
        <f>IFERROR(__xludf.DUMMYFUNCTION("""COMPUTED_VALUE"""),"NACIONAL")</f>
        <v>NACIONAL</v>
      </c>
      <c r="AI2431" s="213"/>
      <c r="AJ2431" s="213"/>
      <c r="AK2431" s="213"/>
      <c r="AL2431" s="213"/>
      <c r="AM2431" s="213"/>
      <c r="AN2431" s="213"/>
      <c r="AO2431" s="213"/>
      <c r="AP2431" s="213" t="str">
        <f>IFERROR(__xludf.DUMMYFUNCTION("""COMPUTED_VALUE"""),"NALDI")</f>
        <v>NALDI</v>
      </c>
      <c r="AQ2431" s="213"/>
      <c r="AR2431" s="213"/>
      <c r="AS2431" s="213"/>
      <c r="AT2431" s="213"/>
      <c r="AU2431" s="213"/>
      <c r="AV2431" s="213"/>
      <c r="AW2431" s="213"/>
      <c r="AX2431" s="213"/>
      <c r="AY2431" s="213"/>
      <c r="AZ2431" s="213"/>
      <c r="BA2431" s="213"/>
      <c r="BB2431" s="213"/>
      <c r="BC2431" s="213"/>
      <c r="BD2431" s="213"/>
    </row>
    <row r="2432">
      <c r="A2432" s="213">
        <f>IFERROR(__xludf.DUMMYFUNCTION("""COMPUTED_VALUE"""),218.0)</f>
        <v>218</v>
      </c>
      <c r="B2432" s="213" t="str">
        <f>IFERROR(__xludf.DUMMYFUNCTION("""COMPUTED_VALUE"""),"2026 SIMON BOLIVAR")</f>
        <v>2026 SIMON BOLIVAR</v>
      </c>
      <c r="C2432" s="213" t="str">
        <f>IFERROR(__xludf.DUMMYFUNCTION("""COMPUTED_VALUE"""),"TALLER SFT DE INDUSTRIA DEL VESTIDO")</f>
        <v>TALLER SFT DE INDUSTRIA DEL VESTIDO</v>
      </c>
      <c r="D2432" s="213" t="str">
        <f>IFERROR(__xludf.DUMMYFUNCTION("""COMPUTED_VALUE"""),"HERRAMIENTAS")</f>
        <v>HERRAMIENTAS</v>
      </c>
      <c r="E2432" s="213" t="str">
        <f>IFERROR(__xludf.DUMMYFUNCTION("""COMPUTED_VALUE"""),"MAT-420")</f>
        <v>MAT-420</v>
      </c>
      <c r="F2432" s="213" t="str">
        <f>IFERROR(__xludf.DUMMYFUNCTION("""COMPUTED_VALUE"""),"MAT-420")</f>
        <v>MAT-420</v>
      </c>
      <c r="G2432" s="213"/>
      <c r="H2432" s="213" t="str">
        <f>IFERROR(__xludf.DUMMYFUNCTION("""COMPUTED_VALUE"""),"REGLAS DE METAL")</f>
        <v>REGLAS DE METAL</v>
      </c>
      <c r="I2432" s="213" t="str">
        <f>IFERROR(__xludf.DUMMYFUNCTION("""COMPUTED_VALUE"""),"·       Fabricada de acero inoxidable, de alta calidad para una máxima duración.
·       Graduación: en milímetros, centímetros  y pulgadas.
·       Ancho de 30 mm.
·       Longitud útil hasta 1000 mm.
·       Presentación con funda plástica.")</f>
        <v>·       Fabricada de acero inoxidable, de alta calidad para una máxima duración.
·       Graduación: en milímetros, centímetros  y pulgadas.
·       Ancho de 30 mm.
·       Longitud útil hasta 1000 mm.
·       Presentación con funda plástica.</v>
      </c>
      <c r="J2432" s="213">
        <f>IFERROR(__xludf.DUMMYFUNCTION("""COMPUTED_VALUE"""),3.0)</f>
        <v>3</v>
      </c>
      <c r="K2432" s="213" t="str">
        <f>IFERROR(__xludf.DUMMYFUNCTION("""COMPUTED_VALUE"""),"90 DÍAS CALENDARIO")</f>
        <v>90 DÍAS CALENDARIO</v>
      </c>
      <c r="L2432" s="213" t="str">
        <f>IFERROR(__xludf.DUMMYFUNCTION("""COMPUTED_VALUE"""),"")</f>
        <v/>
      </c>
      <c r="M2432" s="213">
        <f>IFERROR(__xludf.DUMMYFUNCTION("""COMPUTED_VALUE"""),1.0)</f>
        <v>1</v>
      </c>
      <c r="N2432" s="213">
        <f>IFERROR(__xludf.DUMMYFUNCTION("""COMPUTED_VALUE"""),10.0)</f>
        <v>10</v>
      </c>
      <c r="O2432" s="213">
        <f>IFERROR(__xludf.DUMMYFUNCTION("""COMPUTED_VALUE"""),10.0)</f>
        <v>10</v>
      </c>
      <c r="P2432" s="213"/>
      <c r="Q2432" s="213"/>
      <c r="R2432" s="213" t="str">
        <f>IFERROR(__xludf.DUMMYFUNCTION("""COMPUTED_VALUE"""),"SI")</f>
        <v>SI</v>
      </c>
      <c r="S2432" s="213"/>
      <c r="T2432" s="213" t="str">
        <f>IFERROR(__xludf.DUMMYFUNCTION("""COMPUTED_VALUE"""),"CONSULTA FINAL")</f>
        <v>CONSULTA FINAL</v>
      </c>
      <c r="U2432" s="213" t="str">
        <f>IFERROR(__xludf.DUMMYFUNCTION("""COMPUTED_VALUE"""),"NO")</f>
        <v>NO</v>
      </c>
      <c r="V2432" s="213" t="str">
        <f>IFERROR(__xludf.DUMMYFUNCTION("""COMPUTED_VALUE"""),"SUSTENTO")</f>
        <v>SUSTENTO</v>
      </c>
      <c r="W2432" s="213" t="str">
        <f>IFERROR(__xludf.DUMMYFUNCTION("""COMPUTED_VALUE"""),"ESTUCHE")</f>
        <v>ESTUCHE</v>
      </c>
      <c r="X2432" s="213" t="str">
        <f>IFERROR(__xludf.DUMMYFUNCTION("""COMPUTED_VALUE"""),"   ‎Wood River")</f>
        <v>   ‎Wood River</v>
      </c>
      <c r="Y2432" s="213" t="str">
        <f>IFERROR(__xludf.DUMMYFUNCTION("""COMPUTED_VALUE"""),"‎SR/40-SPL")</f>
        <v>‎SR/40-SPL</v>
      </c>
      <c r="Z2432" s="215" t="str">
        <f>IFERROR(__xludf.DUMMYFUNCTION("""COMPUTED_VALUE"""),"https://www.amazon.com/Regla-ebanista-acero-inoxidable-1000mm/dp/B0036UHV8K/ref=sr_1_2_sspa?crid=2PETHOZU9T9AH&amp;dib=eyJ2IjoiMSJ9.fYv6OuEF9_DM1G8Hd2sxWRCNieX11dxy1CUw5QJBBXTmUYMjeq1pkYeDdS-bXaa1NomGLajPS7tIwGQlwiYNJVeWsORMcYpb7IFjLWuBHyVT7MnE1MJQXSRIdW5Rpdg"&amp;"dvjeKIuHaCB3Ugqwn1CbcQt7TcSROl3_O7LkYKl9HxNlp1QfpBI3uZizpC287-T7E3H1P8sYT2QYm1VeV1v3WwPfQp2se0QPERbemJBFaTjM.jkNTuEWpTJUQeZuXRVgP3xHbpkUalhBIDv5pXJHdJys&amp;dib_tag=se&amp;keywords=reglas+de+metal+40+in&amp;qid=1759261358&amp;sprefix=reglas+de+metal+40+in%2Caps%2C152&amp;sr="&amp;"8-2-spons&amp;sp_csd=d2lkZ2V0TmFtZT1zcF9hdGY&amp;psc=1")</f>
        <v>https://www.amazon.com/Regla-ebanista-acero-inoxidable-1000mm/dp/B0036UHV8K/ref=sr_1_2_sspa?crid=2PETHOZU9T9AH&amp;dib=eyJ2IjoiMSJ9.fYv6OuEF9_DM1G8Hd2sxWRCNieX11dxy1CUw5QJBBXTmUYMjeq1pkYeDdS-bXaa1NomGLajPS7tIwGQlwiYNJVeWsORMcYpb7IFjLWuBHyVT7MnE1MJQXSRIdW5RpdgdvjeKIuHaCB3Ugqwn1CbcQt7TcSROl3_O7LkYKl9HxNlp1QfpBI3uZizpC287-T7E3H1P8sYT2QYm1VeV1v3WwPfQp2se0QPERbemJBFaTjM.jkNTuEWpTJUQeZuXRVgP3xHbpkUalhBIDv5pXJHdJys&amp;dib_tag=se&amp;keywords=reglas+de+metal+40+in&amp;qid=1759261358&amp;sprefix=reglas+de+metal+40+in%2Caps%2C152&amp;sr=8-2-spons&amp;sp_csd=d2lkZ2V0TmFtZT1zcF9hdGY&amp;psc=1</v>
      </c>
      <c r="AA2432" s="213" t="str">
        <f>IFERROR(__xludf.DUMMYFUNCTION("""COMPUTED_VALUE"""),"MAT-420 REGLAS DE METAL - CET")</f>
        <v>MAT-420 REGLAS DE METAL - CET</v>
      </c>
      <c r="AB2432" s="213"/>
      <c r="AC2432" s="213"/>
      <c r="AD2432" s="213"/>
      <c r="AE2432" s="213"/>
      <c r="AF2432" s="213"/>
      <c r="AG2432" s="213"/>
      <c r="AH2432" s="213"/>
      <c r="AI2432" s="213"/>
      <c r="AJ2432" s="213"/>
      <c r="AK2432" s="213"/>
      <c r="AL2432" s="213"/>
      <c r="AM2432" s="213"/>
      <c r="AN2432" s="213"/>
      <c r="AO2432" s="213"/>
      <c r="AP2432" s="213" t="str">
        <f>IFERROR(__xludf.DUMMYFUNCTION("""COMPUTED_VALUE"""),"SEBASTIAN")</f>
        <v>SEBASTIAN</v>
      </c>
      <c r="AQ2432" s="213"/>
      <c r="AR2432" s="213"/>
      <c r="AS2432" s="213"/>
      <c r="AT2432" s="213"/>
      <c r="AU2432" s="213"/>
      <c r="AV2432" s="213"/>
      <c r="AW2432" s="213"/>
      <c r="AX2432" s="213"/>
      <c r="AY2432" s="213"/>
      <c r="AZ2432" s="213"/>
      <c r="BA2432" s="213"/>
      <c r="BB2432" s="213"/>
      <c r="BC2432" s="213"/>
      <c r="BD2432" s="213"/>
    </row>
    <row r="2433">
      <c r="A2433" s="213">
        <f>IFERROR(__xludf.DUMMYFUNCTION("""COMPUTED_VALUE"""),2388.0)</f>
        <v>2388</v>
      </c>
      <c r="B2433" s="213" t="str">
        <f>IFERROR(__xludf.DUMMYFUNCTION("""COMPUTED_VALUE"""),"MANUEL ANTONIO MESONES MURO")</f>
        <v>MANUEL ANTONIO MESONES MURO</v>
      </c>
      <c r="C2433" s="213" t="str">
        <f>IFERROR(__xludf.DUMMYFUNCTION("""COMPUTED_VALUE"""),"TALLER SFT DE INDUSTRIA DEL VESTIDO")</f>
        <v>TALLER SFT DE INDUSTRIA DEL VESTIDO</v>
      </c>
      <c r="D2433" s="213" t="str">
        <f>IFERROR(__xludf.DUMMYFUNCTION("""COMPUTED_VALUE"""),"HERRAMIENTAS")</f>
        <v>HERRAMIENTAS</v>
      </c>
      <c r="E2433" s="213" t="str">
        <f>IFERROR(__xludf.DUMMYFUNCTION("""COMPUTED_VALUE"""),"MAT-420")</f>
        <v>MAT-420</v>
      </c>
      <c r="F2433" s="213" t="str">
        <f>IFERROR(__xludf.DUMMYFUNCTION("""COMPUTED_VALUE"""),"MAT-420")</f>
        <v>MAT-420</v>
      </c>
      <c r="G2433" s="213"/>
      <c r="H2433" s="213" t="str">
        <f>IFERROR(__xludf.DUMMYFUNCTION("""COMPUTED_VALUE"""),"REGLAS DE METAL")</f>
        <v>REGLAS DE METAL</v>
      </c>
      <c r="I2433" s="213" t="str">
        <f>IFERROR(__xludf.DUMMYFUNCTION("""COMPUTED_VALUE"""),"·       Fabricada de acero inoxidable, de alta calidad para una máxima duración.
·       Graduación: en milímetros, centímetros  y pulgadas.
·       Ancho de 30 mm.
·       Longitud útil hasta 1000 mm.
·       Presentación con funda plástica.")</f>
        <v>·       Fabricada de acero inoxidable, de alta calidad para una máxima duración.
·       Graduación: en milímetros, centímetros  y pulgadas.
·       Ancho de 30 mm.
·       Longitud útil hasta 1000 mm.
·       Presentación con funda plástica.</v>
      </c>
      <c r="J2433" s="213">
        <f>IFERROR(__xludf.DUMMYFUNCTION("""COMPUTED_VALUE"""),3.0)</f>
        <v>3</v>
      </c>
      <c r="K2433" s="213" t="str">
        <f>IFERROR(__xludf.DUMMYFUNCTION("""COMPUTED_VALUE"""),"90 DÍAS CALENDARIO")</f>
        <v>90 DÍAS CALENDARIO</v>
      </c>
      <c r="L2433" s="213" t="str">
        <f>IFERROR(__xludf.DUMMYFUNCTION("""COMPUTED_VALUE"""),"")</f>
        <v/>
      </c>
      <c r="M2433" s="213">
        <f>IFERROR(__xludf.DUMMYFUNCTION("""COMPUTED_VALUE"""),1.0)</f>
        <v>1</v>
      </c>
      <c r="N2433" s="213">
        <f>IFERROR(__xludf.DUMMYFUNCTION("""COMPUTED_VALUE"""),10.0)</f>
        <v>10</v>
      </c>
      <c r="O2433" s="213">
        <f>IFERROR(__xludf.DUMMYFUNCTION("""COMPUTED_VALUE"""),10.0)</f>
        <v>10</v>
      </c>
      <c r="P2433" s="213"/>
      <c r="Q2433" s="213"/>
      <c r="R2433" s="213" t="str">
        <f>IFERROR(__xludf.DUMMYFUNCTION("""COMPUTED_VALUE"""),"SI")</f>
        <v>SI</v>
      </c>
      <c r="S2433" s="213"/>
      <c r="T2433" s="213" t="str">
        <f>IFERROR(__xludf.DUMMYFUNCTION("""COMPUTED_VALUE"""),"CONSULTA FINAL")</f>
        <v>CONSULTA FINAL</v>
      </c>
      <c r="U2433" s="213" t="str">
        <f>IFERROR(__xludf.DUMMYFUNCTION("""COMPUTED_VALUE"""),"NO")</f>
        <v>NO</v>
      </c>
      <c r="V2433" s="213" t="str">
        <f>IFERROR(__xludf.DUMMYFUNCTION("""COMPUTED_VALUE"""),"SUSTENTO")</f>
        <v>SUSTENTO</v>
      </c>
      <c r="W2433" s="213" t="str">
        <f>IFERROR(__xludf.DUMMYFUNCTION("""COMPUTED_VALUE"""),"ESTUCHE")</f>
        <v>ESTUCHE</v>
      </c>
      <c r="X2433" s="213" t="str">
        <f>IFERROR(__xludf.DUMMYFUNCTION("""COMPUTED_VALUE"""),"   ‎Wood River")</f>
        <v>   ‎Wood River</v>
      </c>
      <c r="Y2433" s="213" t="str">
        <f>IFERROR(__xludf.DUMMYFUNCTION("""COMPUTED_VALUE"""),"‎SR/40-SPL")</f>
        <v>‎SR/40-SPL</v>
      </c>
      <c r="Z2433" s="215" t="str">
        <f>IFERROR(__xludf.DUMMYFUNCTION("""COMPUTED_VALUE"""),"https://www.amazon.com/Regla-ebanista-acero-inoxidable-1000mm/dp/B0036UHV8K/ref=sr_1_2_sspa?crid=2PETHOZU9T9AH&amp;dib=eyJ2IjoiMSJ9.fYv6OuEF9_DM1G8Hd2sxWRCNieX11dxy1CUw5QJBBXTmUYMjeq1pkYeDdS-bXaa1NomGLajPS7tIwGQlwiYNJVeWsORMcYpb7IFjLWuBHyVT7MnE1MJQXSRIdW5Rpdg"&amp;"dvjeKIuHaCB3Ugqwn1CbcQt7TcSROl3_O7LkYKl9HxNlp1QfpBI3uZizpC287-T7E3H1P8sYT2QYm1VeV1v3WwPfQp2se0QPERbemJBFaTjM.jkNTuEWpTJUQeZuXRVgP3xHbpkUalhBIDv5pXJHdJys&amp;dib_tag=se&amp;keywords=reglas+de+metal+40+in&amp;qid=1759261358&amp;sprefix=reglas+de+metal+40+in%2Caps%2C152&amp;sr="&amp;"8-2-spons&amp;sp_csd=d2lkZ2V0TmFtZT1zcF9hdGY&amp;psc=1")</f>
        <v>https://www.amazon.com/Regla-ebanista-acero-inoxidable-1000mm/dp/B0036UHV8K/ref=sr_1_2_sspa?crid=2PETHOZU9T9AH&amp;dib=eyJ2IjoiMSJ9.fYv6OuEF9_DM1G8Hd2sxWRCNieX11dxy1CUw5QJBBXTmUYMjeq1pkYeDdS-bXaa1NomGLajPS7tIwGQlwiYNJVeWsORMcYpb7IFjLWuBHyVT7MnE1MJQXSRIdW5RpdgdvjeKIuHaCB3Ugqwn1CbcQt7TcSROl3_O7LkYKl9HxNlp1QfpBI3uZizpC287-T7E3H1P8sYT2QYm1VeV1v3WwPfQp2se0QPERbemJBFaTjM.jkNTuEWpTJUQeZuXRVgP3xHbpkUalhBIDv5pXJHdJys&amp;dib_tag=se&amp;keywords=reglas+de+metal+40+in&amp;qid=1759261358&amp;sprefix=reglas+de+metal+40+in%2Caps%2C152&amp;sr=8-2-spons&amp;sp_csd=d2lkZ2V0TmFtZT1zcF9hdGY&amp;psc=1</v>
      </c>
      <c r="AA2433" s="213" t="str">
        <f>IFERROR(__xludf.DUMMYFUNCTION("""COMPUTED_VALUE"""),"MAT-420 REGLAS DE METAL - CET")</f>
        <v>MAT-420 REGLAS DE METAL - CET</v>
      </c>
      <c r="AB2433" s="213"/>
      <c r="AC2433" s="213"/>
      <c r="AD2433" s="213"/>
      <c r="AE2433" s="213"/>
      <c r="AF2433" s="213"/>
      <c r="AG2433" s="213"/>
      <c r="AH2433" s="213"/>
      <c r="AI2433" s="213"/>
      <c r="AJ2433" s="213"/>
      <c r="AK2433" s="213"/>
      <c r="AL2433" s="213"/>
      <c r="AM2433" s="213"/>
      <c r="AN2433" s="213"/>
      <c r="AO2433" s="213"/>
      <c r="AP2433" s="213" t="str">
        <f>IFERROR(__xludf.DUMMYFUNCTION("""COMPUTED_VALUE"""),"SEBASTIAN")</f>
        <v>SEBASTIAN</v>
      </c>
      <c r="AQ2433" s="213"/>
      <c r="AR2433" s="213"/>
      <c r="AS2433" s="213"/>
      <c r="AT2433" s="213"/>
      <c r="AU2433" s="213"/>
      <c r="AV2433" s="213"/>
      <c r="AW2433" s="213"/>
      <c r="AX2433" s="213"/>
      <c r="AY2433" s="213"/>
      <c r="AZ2433" s="213"/>
      <c r="BA2433" s="213"/>
      <c r="BB2433" s="213"/>
      <c r="BC2433" s="213"/>
      <c r="BD2433" s="213"/>
    </row>
    <row r="2434">
      <c r="A2434" s="213">
        <f>IFERROR(__xludf.DUMMYFUNCTION("""COMPUTED_VALUE"""),219.0)</f>
        <v>219</v>
      </c>
      <c r="B2434" s="213" t="str">
        <f>IFERROR(__xludf.DUMMYFUNCTION("""COMPUTED_VALUE"""),"2026 SIMON BOLIVAR")</f>
        <v>2026 SIMON BOLIVAR</v>
      </c>
      <c r="C2434" s="213" t="str">
        <f>IFERROR(__xludf.DUMMYFUNCTION("""COMPUTED_VALUE"""),"TALLER SFT DE INDUSTRIA DEL VESTIDO")</f>
        <v>TALLER SFT DE INDUSTRIA DEL VESTIDO</v>
      </c>
      <c r="D2434" s="213" t="str">
        <f>IFERROR(__xludf.DUMMYFUNCTION("""COMPUTED_VALUE"""),"HERRAMIENTAS")</f>
        <v>HERRAMIENTAS</v>
      </c>
      <c r="E2434" s="213" t="str">
        <f>IFERROR(__xludf.DUMMYFUNCTION("""COMPUTED_VALUE"""),"MAT-421")</f>
        <v>MAT-421</v>
      </c>
      <c r="F2434" s="213" t="str">
        <f>IFERROR(__xludf.DUMMYFUNCTION("""COMPUTED_VALUE"""),"MAT-421")</f>
        <v>MAT-421</v>
      </c>
      <c r="G2434" s="213"/>
      <c r="H2434" s="213" t="str">
        <f>IFERROR(__xludf.DUMMYFUNCTION("""COMPUTED_VALUE"""),"JUEGO DE REGLAS DE PATRONAJE")</f>
        <v>JUEGO DE REGLAS DE PATRONAJE</v>
      </c>
      <c r="I2434" s="213" t="str">
        <f>IFERROR(__xludf.DUMMYFUNCTION("""COMPUTED_VALUE"""),"·       Juego de dos reglas: media lágrima y cadera.
·       Fabricadas de material acrílico transparente, resistente.
·       Graduación en milímetros y centímetros.
·       Ideal para sisas, cuellos y caderas.
·       Las reglas son de tamaño estándar")</f>
        <v>·       Juego de dos reglas: media lágrima y cadera.
·       Fabricadas de material acrílico transparente, resistente.
·       Graduación en milímetros y centímetros.
·       Ideal para sisas, cuellos y caderas.
·       Las reglas son de tamaño estándar</v>
      </c>
      <c r="J2434" s="213">
        <f>IFERROR(__xludf.DUMMYFUNCTION("""COMPUTED_VALUE"""),3.0)</f>
        <v>3</v>
      </c>
      <c r="K2434" s="213" t="str">
        <f>IFERROR(__xludf.DUMMYFUNCTION("""COMPUTED_VALUE"""),"90 DÍAS CALENDARIO")</f>
        <v>90 DÍAS CALENDARIO</v>
      </c>
      <c r="L2434" s="213" t="str">
        <f>IFERROR(__xludf.DUMMYFUNCTION("""COMPUTED_VALUE"""),"")</f>
        <v/>
      </c>
      <c r="M2434" s="213">
        <f>IFERROR(__xludf.DUMMYFUNCTION("""COMPUTED_VALUE"""),1.0)</f>
        <v>1</v>
      </c>
      <c r="N2434" s="213">
        <f>IFERROR(__xludf.DUMMYFUNCTION("""COMPUTED_VALUE"""),5.0)</f>
        <v>5</v>
      </c>
      <c r="O2434" s="213">
        <f>IFERROR(__xludf.DUMMYFUNCTION("""COMPUTED_VALUE"""),5.0)</f>
        <v>5</v>
      </c>
      <c r="P2434" s="213"/>
      <c r="Q2434" s="213"/>
      <c r="R2434" s="213"/>
      <c r="S2434" s="213"/>
      <c r="T2434" s="213" t="str">
        <f>IFERROR(__xludf.DUMMYFUNCTION("""COMPUTED_VALUE"""),"SI")</f>
        <v>SI</v>
      </c>
      <c r="U2434" s="213" t="str">
        <f>IFERROR(__xludf.DUMMYFUNCTION("""COMPUTED_VALUE"""),"SI")</f>
        <v>SI</v>
      </c>
      <c r="V2434" s="213" t="str">
        <f>IFERROR(__xludf.DUMMYFUNCTION("""COMPUTED_VALUE"""),"-")</f>
        <v>-</v>
      </c>
      <c r="W2434" s="213" t="str">
        <f>IFERROR(__xludf.DUMMYFUNCTION("""COMPUTED_VALUE"""),"-")</f>
        <v>-</v>
      </c>
      <c r="X2434" s="213" t="str">
        <f>IFERROR(__xludf.DUMMYFUNCTION("""COMPUTED_VALUE"""),"Lutterloh System")</f>
        <v>Lutterloh System</v>
      </c>
      <c r="Y2434" s="213" t="str">
        <f>IFERROR(__xludf.DUMMYFUNCTION("""COMPUTED_VALUE"""),"Set de Reglas de Patronaje")</f>
        <v>Set de Reglas de Patronaje</v>
      </c>
      <c r="Z2434" s="215" t="str">
        <f>IFERROR(__xludf.DUMMYFUNCTION("""COMPUTED_VALUE"""),"https://merceriasarabia.com/reglas-de-plastico/3588-set-de-reglas-de-patronaje-lutterloh.html")</f>
        <v>https://merceriasarabia.com/reglas-de-plastico/3588-set-de-reglas-de-patronaje-lutterloh.html</v>
      </c>
      <c r="AA2434" s="213" t="str">
        <f>IFERROR(__xludf.DUMMYFUNCTION("""COMPUTED_VALUE"""),"MAT-421 JUEGO DE REGLAS DE PATRONAJE - CET")</f>
        <v>MAT-421 JUEGO DE REGLAS DE PATRONAJE - CET</v>
      </c>
      <c r="AB2434" s="213"/>
      <c r="AC2434" s="213"/>
      <c r="AD2434" s="213"/>
      <c r="AE2434" s="213"/>
      <c r="AF2434" s="213"/>
      <c r="AG2434" s="213"/>
      <c r="AH2434" s="213"/>
      <c r="AI2434" s="213"/>
      <c r="AJ2434" s="213"/>
      <c r="AK2434" s="213"/>
      <c r="AL2434" s="213"/>
      <c r="AM2434" s="213"/>
      <c r="AN2434" s="213"/>
      <c r="AO2434" s="213"/>
      <c r="AP2434" s="213" t="str">
        <f>IFERROR(__xludf.DUMMYFUNCTION("""COMPUTED_VALUE"""),"BRUNO")</f>
        <v>BRUNO</v>
      </c>
      <c r="AQ2434" s="213"/>
      <c r="AR2434" s="213"/>
      <c r="AS2434" s="213"/>
      <c r="AT2434" s="213"/>
      <c r="AU2434" s="213"/>
      <c r="AV2434" s="213"/>
      <c r="AW2434" s="213"/>
      <c r="AX2434" s="213"/>
      <c r="AY2434" s="213"/>
      <c r="AZ2434" s="213"/>
      <c r="BA2434" s="213"/>
      <c r="BB2434" s="213"/>
      <c r="BC2434" s="213"/>
      <c r="BD2434" s="213"/>
    </row>
    <row r="2435">
      <c r="A2435" s="213">
        <f>IFERROR(__xludf.DUMMYFUNCTION("""COMPUTED_VALUE"""),2389.0)</f>
        <v>2389</v>
      </c>
      <c r="B2435" s="213" t="str">
        <f>IFERROR(__xludf.DUMMYFUNCTION("""COMPUTED_VALUE"""),"MANUEL ANTONIO MESONES MURO")</f>
        <v>MANUEL ANTONIO MESONES MURO</v>
      </c>
      <c r="C2435" s="213" t="str">
        <f>IFERROR(__xludf.DUMMYFUNCTION("""COMPUTED_VALUE"""),"TALLER SFT DE INDUSTRIA DEL VESTIDO")</f>
        <v>TALLER SFT DE INDUSTRIA DEL VESTIDO</v>
      </c>
      <c r="D2435" s="213" t="str">
        <f>IFERROR(__xludf.DUMMYFUNCTION("""COMPUTED_VALUE"""),"HERRAMIENTAS")</f>
        <v>HERRAMIENTAS</v>
      </c>
      <c r="E2435" s="213" t="str">
        <f>IFERROR(__xludf.DUMMYFUNCTION("""COMPUTED_VALUE"""),"MAT-421")</f>
        <v>MAT-421</v>
      </c>
      <c r="F2435" s="213" t="str">
        <f>IFERROR(__xludf.DUMMYFUNCTION("""COMPUTED_VALUE"""),"MAT-421")</f>
        <v>MAT-421</v>
      </c>
      <c r="G2435" s="213"/>
      <c r="H2435" s="213" t="str">
        <f>IFERROR(__xludf.DUMMYFUNCTION("""COMPUTED_VALUE"""),"JUEGO DE REGLAS DE PATRONAJE")</f>
        <v>JUEGO DE REGLAS DE PATRONAJE</v>
      </c>
      <c r="I2435" s="213" t="str">
        <f>IFERROR(__xludf.DUMMYFUNCTION("""COMPUTED_VALUE"""),"·       Juego de dos reglas: media lágrima y cadera.
·       Fabricadas de material acrílico transparente, resistente.
·       Graduación en milímetros y centímetros.
·       Ideal para sisas, cuellos y caderas.
·       Las reglas son de tamaño estándar")</f>
        <v>·       Juego de dos reglas: media lágrima y cadera.
·       Fabricadas de material acrílico transparente, resistente.
·       Graduación en milímetros y centímetros.
·       Ideal para sisas, cuellos y caderas.
·       Las reglas son de tamaño estándar</v>
      </c>
      <c r="J2435" s="213">
        <f>IFERROR(__xludf.DUMMYFUNCTION("""COMPUTED_VALUE"""),3.0)</f>
        <v>3</v>
      </c>
      <c r="K2435" s="213" t="str">
        <f>IFERROR(__xludf.DUMMYFUNCTION("""COMPUTED_VALUE"""),"90 DÍAS CALENDARIO")</f>
        <v>90 DÍAS CALENDARIO</v>
      </c>
      <c r="L2435" s="213" t="str">
        <f>IFERROR(__xludf.DUMMYFUNCTION("""COMPUTED_VALUE"""),"")</f>
        <v/>
      </c>
      <c r="M2435" s="213">
        <f>IFERROR(__xludf.DUMMYFUNCTION("""COMPUTED_VALUE"""),1.0)</f>
        <v>1</v>
      </c>
      <c r="N2435" s="213">
        <f>IFERROR(__xludf.DUMMYFUNCTION("""COMPUTED_VALUE"""),5.0)</f>
        <v>5</v>
      </c>
      <c r="O2435" s="213">
        <f>IFERROR(__xludf.DUMMYFUNCTION("""COMPUTED_VALUE"""),5.0)</f>
        <v>5</v>
      </c>
      <c r="P2435" s="213"/>
      <c r="Q2435" s="213"/>
      <c r="R2435" s="213"/>
      <c r="S2435" s="213"/>
      <c r="T2435" s="213" t="str">
        <f>IFERROR(__xludf.DUMMYFUNCTION("""COMPUTED_VALUE"""),"SI")</f>
        <v>SI</v>
      </c>
      <c r="U2435" s="213" t="str">
        <f>IFERROR(__xludf.DUMMYFUNCTION("""COMPUTED_VALUE"""),"SI")</f>
        <v>SI</v>
      </c>
      <c r="V2435" s="213" t="str">
        <f>IFERROR(__xludf.DUMMYFUNCTION("""COMPUTED_VALUE"""),"-")</f>
        <v>-</v>
      </c>
      <c r="W2435" s="213" t="str">
        <f>IFERROR(__xludf.DUMMYFUNCTION("""COMPUTED_VALUE"""),"-")</f>
        <v>-</v>
      </c>
      <c r="X2435" s="213" t="str">
        <f>IFERROR(__xludf.DUMMYFUNCTION("""COMPUTED_VALUE"""),"Lutterloh System")</f>
        <v>Lutterloh System</v>
      </c>
      <c r="Y2435" s="213" t="str">
        <f>IFERROR(__xludf.DUMMYFUNCTION("""COMPUTED_VALUE"""),"Set de Reglas de Patronaje")</f>
        <v>Set de Reglas de Patronaje</v>
      </c>
      <c r="Z2435" s="215" t="str">
        <f>IFERROR(__xludf.DUMMYFUNCTION("""COMPUTED_VALUE"""),"https://merceriasarabia.com/reglas-de-plastico/3588-set-de-reglas-de-patronaje-lutterloh.html")</f>
        <v>https://merceriasarabia.com/reglas-de-plastico/3588-set-de-reglas-de-patronaje-lutterloh.html</v>
      </c>
      <c r="AA2435" s="213" t="str">
        <f>IFERROR(__xludf.DUMMYFUNCTION("""COMPUTED_VALUE"""),"MAT-421 JUEGO DE REGLAS DE PATRONAJE - CET")</f>
        <v>MAT-421 JUEGO DE REGLAS DE PATRONAJE - CET</v>
      </c>
      <c r="AB2435" s="213"/>
      <c r="AC2435" s="213"/>
      <c r="AD2435" s="213"/>
      <c r="AE2435" s="213"/>
      <c r="AF2435" s="213"/>
      <c r="AG2435" s="213"/>
      <c r="AH2435" s="213"/>
      <c r="AI2435" s="213"/>
      <c r="AJ2435" s="213"/>
      <c r="AK2435" s="213"/>
      <c r="AL2435" s="213"/>
      <c r="AM2435" s="213"/>
      <c r="AN2435" s="213"/>
      <c r="AO2435" s="213"/>
      <c r="AP2435" s="213" t="str">
        <f>IFERROR(__xludf.DUMMYFUNCTION("""COMPUTED_VALUE"""),"BRUNO")</f>
        <v>BRUNO</v>
      </c>
      <c r="AQ2435" s="213"/>
      <c r="AR2435" s="213"/>
      <c r="AS2435" s="213"/>
      <c r="AT2435" s="213"/>
      <c r="AU2435" s="213"/>
      <c r="AV2435" s="213"/>
      <c r="AW2435" s="213"/>
      <c r="AX2435" s="213"/>
      <c r="AY2435" s="213"/>
      <c r="AZ2435" s="213"/>
      <c r="BA2435" s="213"/>
      <c r="BB2435" s="213"/>
      <c r="BC2435" s="213"/>
      <c r="BD2435" s="213"/>
    </row>
    <row r="2436">
      <c r="A2436" s="213">
        <f>IFERROR(__xludf.DUMMYFUNCTION("""COMPUTED_VALUE"""),710.0)</f>
        <v>710</v>
      </c>
      <c r="B2436" s="213" t="str">
        <f>IFERROR(__xludf.DUMMYFUNCTION("""COMPUTED_VALUE"""),"6049 RICARDO PALMA")</f>
        <v>6049 RICARDO PALMA</v>
      </c>
      <c r="C2436" s="213" t="str">
        <f>IFERROR(__xludf.DUMMYFUNCTION("""COMPUTED_VALUE"""),"TALLER SFT DE ELECTRÓNICA")</f>
        <v>TALLER SFT DE ELECTRÓNICA</v>
      </c>
      <c r="D2436" s="213" t="str">
        <f>IFERROR(__xludf.DUMMYFUNCTION("""COMPUTED_VALUE"""),"HERRAMIENTAS")</f>
        <v>HERRAMIENTAS</v>
      </c>
      <c r="E2436" s="213" t="str">
        <f>IFERROR(__xludf.DUMMYFUNCTION("""COMPUTED_VALUE"""),"MAT-439")</f>
        <v>MAT-439</v>
      </c>
      <c r="F2436" s="213" t="str">
        <f>IFERROR(__xludf.DUMMYFUNCTION("""COMPUTED_VALUE"""),"MAT-439")</f>
        <v>MAT-439</v>
      </c>
      <c r="G2436" s="213"/>
      <c r="H2436" s="213" t="str">
        <f>IFERROR(__xludf.DUMMYFUNCTION("""COMPUTED_VALUE"""),"SIMULADOR VIRTUAL DE CIRCUITOS ELECTRÓNICOS ANALÓGICOS Y DIGITALES")</f>
        <v>SIMULADOR VIRTUAL DE CIRCUITOS ELECTRÓNICOS ANALÓGICOS Y DIGITALES</v>
      </c>
      <c r="I2436" s="213" t="str">
        <f>IFERROR(__xludf.DUMMYFUNCTION("""COMPUTED_VALUE"""),"· Software para diseño de circuitos y simulación para electrónica de potencia, analógica y digital.
· Para aplicación en la enseñanza de circuitos, en cursos y laboratorios de electrónica.
· Integra simulación estándar en la industria con un entorno inter"&amp;"activo para visualizar y analizar el comportamiento de los circuitos electrónicos.
· Su interfaz ayuda a los profesores a reforzar la teoría de circuitos y mejorar la retención de la teoría en todo el plan de estudios.
· En la simulación de circuitos y an"&amp;"álisis, ayuda a los estudiantes a reducir las interacciones de prototipos de tarjeta de circuito impreso.
· Estación de entrenamiento para prácticas del estudio, en automatización residencial.")</f>
        <v>· Software para diseño de circuitos y simulación para electrónica de potencia, analógica y digital.
· Para aplicación en la enseñanza de circuitos, en cursos y laboratorios de electrónica.
· Integra simulación estándar en la industria con un entorno interactivo para visualizar y analizar el comportamiento de los circuitos electrónicos.
· Su interfaz ayuda a los profesores a reforzar la teoría de circuitos y mejorar la retención de la teoría en todo el plan de estudios.
· En la simulación de circuitos y análisis, ayuda a los estudiantes a reducir las interacciones de prototipos de tarjeta de circuito impreso.
· Estación de entrenamiento para prácticas del estudio, en automatización residencial.</v>
      </c>
      <c r="J2436" s="213">
        <f>IFERROR(__xludf.DUMMYFUNCTION("""COMPUTED_VALUE"""),3.0)</f>
        <v>3</v>
      </c>
      <c r="K2436" s="213" t="str">
        <f>IFERROR(__xludf.DUMMYFUNCTION("""COMPUTED_VALUE"""),"170 DÍAS CALENDARIO")</f>
        <v>170 DÍAS CALENDARIO</v>
      </c>
      <c r="L2436" s="213" t="str">
        <f>IFERROR(__xludf.DUMMYFUNCTION("""COMPUTED_VALUE"""),"")</f>
        <v/>
      </c>
      <c r="M2436" s="213">
        <f>IFERROR(__xludf.DUMMYFUNCTION("""COMPUTED_VALUE"""),1.0)</f>
        <v>1</v>
      </c>
      <c r="N2436" s="213">
        <f>IFERROR(__xludf.DUMMYFUNCTION("""COMPUTED_VALUE"""),4.0)</f>
        <v>4</v>
      </c>
      <c r="O2436" s="213">
        <f>IFERROR(__xludf.DUMMYFUNCTION("""COMPUTED_VALUE"""),4.0)</f>
        <v>4</v>
      </c>
      <c r="P2436" s="213"/>
      <c r="Q2436" s="213"/>
      <c r="R2436" s="213" t="str">
        <f>IFERROR(__xludf.DUMMYFUNCTION("""COMPUTED_VALUE"""),"SI")</f>
        <v>SI</v>
      </c>
      <c r="S2436" s="213"/>
      <c r="T2436" s="213" t="str">
        <f>IFERROR(__xludf.DUMMYFUNCTION("""COMPUTED_VALUE"""),"NO")</f>
        <v>NO</v>
      </c>
      <c r="U2436" s="213"/>
      <c r="V2436" s="213"/>
      <c r="W2436" s="213"/>
      <c r="X2436" s="213"/>
      <c r="Y2436" s="213"/>
      <c r="Z2436" s="213"/>
      <c r="AA2436" s="213" t="str">
        <f>IFERROR(__xludf.DUMMYFUNCTION("""COMPUTED_VALUE"""),"MAT-439 SIMULADOR VIRTUAL DE CIRCUITOS ELECTRÓNICOS ANALÓGICOS Y DIGITALES - CET")</f>
        <v>MAT-439 SIMULADOR VIRTUAL DE CIRCUITOS ELECTRÓNICOS ANALÓGICOS Y DIGITALES - CET</v>
      </c>
      <c r="AB2436" s="213"/>
      <c r="AC2436" s="213"/>
      <c r="AD2436" s="213"/>
      <c r="AE2436" s="213"/>
      <c r="AF2436" s="213"/>
      <c r="AG2436" s="213"/>
      <c r="AH2436" s="213"/>
      <c r="AI2436" s="213"/>
      <c r="AJ2436" s="213"/>
      <c r="AK2436" s="213"/>
      <c r="AL2436" s="213"/>
      <c r="AM2436" s="213"/>
      <c r="AN2436" s="213"/>
      <c r="AO2436" s="213"/>
      <c r="AP2436" s="213"/>
      <c r="AQ2436" s="213"/>
      <c r="AR2436" s="213"/>
      <c r="AS2436" s="213"/>
      <c r="AT2436" s="213"/>
      <c r="AU2436" s="213"/>
      <c r="AV2436" s="213"/>
      <c r="AW2436" s="213"/>
      <c r="AX2436" s="213"/>
      <c r="AY2436" s="213"/>
      <c r="AZ2436" s="213"/>
      <c r="BA2436" s="213"/>
      <c r="BB2436" s="213"/>
      <c r="BC2436" s="213"/>
      <c r="BD2436" s="213"/>
    </row>
    <row r="2437">
      <c r="A2437" s="213">
        <f>IFERROR(__xludf.DUMMYFUNCTION("""COMPUTED_VALUE"""),397.0)</f>
        <v>397</v>
      </c>
      <c r="B2437" s="213" t="str">
        <f>IFERROR(__xludf.DUMMYFUNCTION("""COMPUTED_VALUE"""),"2026 SIMON BOLIVAR")</f>
        <v>2026 SIMON BOLIVAR</v>
      </c>
      <c r="C2437" s="213" t="str">
        <f>IFERROR(__xludf.DUMMYFUNCTION("""COMPUTED_VALUE"""),"TALLER SFT DE ELECTRICIDAD")</f>
        <v>TALLER SFT DE ELECTRICIDAD</v>
      </c>
      <c r="D2437" s="213" t="str">
        <f>IFERROR(__xludf.DUMMYFUNCTION("""COMPUTED_VALUE"""),"EQUIPOS")</f>
        <v>EQUIPOS</v>
      </c>
      <c r="E2437" s="213" t="str">
        <f>IFERROR(__xludf.DUMMYFUNCTION("""COMPUTED_VALUE"""),"ESP-366")</f>
        <v>ESP-366</v>
      </c>
      <c r="F2437" s="213" t="str">
        <f>IFERROR(__xludf.DUMMYFUNCTION("""COMPUTED_VALUE"""),"ESP-366")</f>
        <v>ESP-366</v>
      </c>
      <c r="G2437" s="213"/>
      <c r="H2437" s="213" t="str">
        <f>IFERROR(__xludf.DUMMYFUNCTION("""COMPUTED_VALUE"""),"TELURÓMETRO DIGITAL")</f>
        <v>TELURÓMETRO DIGITAL</v>
      </c>
      <c r="I2437" s="213" t="str">
        <f>IFERROR(__xludf.DUMMYFUNCTION("""COMPUTED_VALUE"""),"· Telurómetro profesional y versátil para medir la resistividad y de tensión de la toma de tierra.
· Funciones de medición:
- Medición de resistencia del aislamiento
- Medición de tensión de toma de tierra
- Funciones de retención y almacenamiento de dato"&amp;"s
- Pruebas de alta precisión.
- Pantalla LCD con iluminación
- Con Data Hold.
· Datos Técnicos de medición:
1. Medición de voltaje de tierra: 0 - 300V AC  (50/60 Hz)
2. Medición de resistencia de toma de tierra: 20Ω, 200Ω y 2000Ω.
3. Rango de resistivida"&amp;"d aprox: 0.06~6.28kΩm, 0.62~62.8kΩm y 6.28~628kΩm
· Características de Seguridad:
1. Con estuche de protección anti golpes y antideslizante: Estuche de goma.
2. Con soporte para posicionarlo en forma inclinada.
3. Aislamiento seguro de su estructura y sus"&amp;" terminales.
· Accesorios:
1. 03 cables de prueba (verde, rojo, amarillo), picos de tierra auxiliares, cable de transmisión de datos, disco compacto (CD) para 5 interfaz de PC.
2. Con maletín de transporte.
3. Con pilas o baterías.
4. Que cumpla con: EN 6"&amp;"1326-1, EN 61010-1
5. Que cuente con certificado de calibración y manual de instrucciones.")</f>
        <v>· Telurómetro profesional y versátil para medir la resistividad y de tensión de la toma de tierra.
· Funciones de medición:
- Medición de resistencia del aislamiento
- Medición de tensión de toma de tierra
- Funciones de retención y almacenamiento de datos
- Pruebas de alta precisión.
- Pantalla LCD con iluminación
- Con Data Hold.
· Datos Técnicos de medición:
1. Medición de voltaje de tierra: 0 - 300V AC  (50/60 Hz)
2. Medición de resistencia de toma de tierra: 20Ω, 200Ω y 2000Ω.
3. Rango de resistividad aprox: 0.06~6.28kΩm, 0.62~62.8kΩm y 6.28~628kΩm
· Características de Seguridad:
1. Con estuche de protección anti golpes y antideslizante: Estuche de goma.
2. Con soporte para posicionarlo en forma inclinada.
3. Aislamiento seguro de su estructura y sus terminales.
· Accesorios:
1. 03 cables de prueba (verde, rojo, amarillo), picos de tierra auxiliares, cable de transmisión de datos, disco compacto (CD) para 5 interfaz de PC.
2. Con maletín de transporte.
3. Con pilas o baterías.
4. Que cumpla con: EN 61326-1, EN 61010-1
5. Que cuente con certificado de calibración y manual de instrucciones.</v>
      </c>
      <c r="J2437" s="213">
        <f>IFERROR(__xludf.DUMMYFUNCTION("""COMPUTED_VALUE"""),3.0)</f>
        <v>3</v>
      </c>
      <c r="K2437" s="213" t="str">
        <f>IFERROR(__xludf.DUMMYFUNCTION("""COMPUTED_VALUE"""),"170 DÍAS CALENDARIO")</f>
        <v>170 DÍAS CALENDARIO</v>
      </c>
      <c r="L2437" s="213" t="str">
        <f>IFERROR(__xludf.DUMMYFUNCTION("""COMPUTED_VALUE"""),"")</f>
        <v/>
      </c>
      <c r="M2437" s="213">
        <f>IFERROR(__xludf.DUMMYFUNCTION("""COMPUTED_VALUE"""),1.0)</f>
        <v>1</v>
      </c>
      <c r="N2437" s="213">
        <f>IFERROR(__xludf.DUMMYFUNCTION("""COMPUTED_VALUE"""),4.0)</f>
        <v>4</v>
      </c>
      <c r="O2437" s="213">
        <f>IFERROR(__xludf.DUMMYFUNCTION("""COMPUTED_VALUE"""),4.0)</f>
        <v>4</v>
      </c>
      <c r="P2437" s="213"/>
      <c r="Q2437" s="213"/>
      <c r="R2437" s="213"/>
      <c r="S2437" s="213" t="str">
        <f>IFERROR(__xludf.DUMMYFUNCTION("""COMPUTED_VALUE"""),"SI")</f>
        <v>SI</v>
      </c>
      <c r="T2437" s="213" t="str">
        <f>IFERROR(__xludf.DUMMYFUNCTION("""COMPUTED_VALUE"""),"SI")</f>
        <v>SI</v>
      </c>
      <c r="U2437" s="213" t="str">
        <f>IFERROR(__xludf.DUMMYFUNCTION("""COMPUTED_VALUE"""),"SI")</f>
        <v>SI</v>
      </c>
      <c r="V2437" s="213" t="str">
        <f>IFERROR(__xludf.DUMMYFUNCTION("""COMPUTED_VALUE"""),"-")</f>
        <v>-</v>
      </c>
      <c r="W2437" s="213" t="str">
        <f>IFERROR(__xludf.DUMMYFUNCTION("""COMPUTED_VALUE"""),"-")</f>
        <v>-</v>
      </c>
      <c r="X2437" s="213" t="str">
        <f>IFERROR(__xludf.DUMMYFUNCTION("""COMPUTED_VALUE"""),"SEW")</f>
        <v>SEW</v>
      </c>
      <c r="Y2437" s="213" t="str">
        <f>IFERROR(__xludf.DUMMYFUNCTION("""COMPUTED_VALUE""")," 4235 ES")</f>
        <v> 4235 ES</v>
      </c>
      <c r="Z2437" s="215" t="str">
        <f>IFERROR(__xludf.DUMMYFUNCTION("""COMPUTED_VALUE"""),"https://radiosurtidora.com/products/medidor-de-resistencia-de-tierras-sew-4235-er")</f>
        <v>https://radiosurtidora.com/products/medidor-de-resistencia-de-tierras-sew-4235-er</v>
      </c>
      <c r="AA2437" s="213" t="str">
        <f>IFERROR(__xludf.DUMMYFUNCTION("""COMPUTED_VALUE"""),"ESP-366 TELURÓMETRO DIGITAL - CET")</f>
        <v>ESP-366 TELURÓMETRO DIGITAL - CET</v>
      </c>
      <c r="AB2437" s="215" t="str">
        <f>IFERROR(__xludf.DUMMYFUNCTION("""COMPUTED_VALUE"""),"https://drive.google.com/file/d/1x7L_vULwmY2q3Ctw9ES93brMSOF4tqeb/view")</f>
        <v>https://drive.google.com/file/d/1x7L_vULwmY2q3Ctw9ES93brMSOF4tqeb/view</v>
      </c>
      <c r="AC2437" s="213"/>
      <c r="AD2437" s="213"/>
      <c r="AE2437" s="213"/>
      <c r="AF2437" s="213"/>
      <c r="AG2437" s="213"/>
      <c r="AH2437" s="213"/>
      <c r="AI2437" s="213"/>
      <c r="AJ2437" s="213"/>
      <c r="AK2437" s="213"/>
      <c r="AL2437" s="213"/>
      <c r="AM2437" s="213"/>
      <c r="AN2437" s="213"/>
      <c r="AO2437" s="213"/>
      <c r="AP2437" s="213" t="str">
        <f>IFERROR(__xludf.DUMMYFUNCTION("""COMPUTED_VALUE"""),"BRUNO")</f>
        <v>BRUNO</v>
      </c>
      <c r="AQ2437" s="213" t="str">
        <f>IFERROR(__xludf.DUMMYFUNCTION("""COMPUTED_VALUE"""),"EETT PIDE TENER CARACTERISTICA DE MEDIDOR DE RESISTENCIA DE AISLAMIENTO, ESTO CORRESPONDE A UN MEGOMETRO, POR LO QUE NO SE PODRIA CUMPLIR CON LA EETT. SE PUEDE SUSTENTAR CON QUE EN EL TALLER YA EXISTE UN EQUIPO MEGOMETRO. OTRA OPCIÓN SERÍA COMPRAR UN MEGO"&amp;"MÉTRO.")</f>
        <v>EETT PIDE TENER CARACTERISTICA DE MEDIDOR DE RESISTENCIA DE AISLAMIENTO, ESTO CORRESPONDE A UN MEGOMETRO, POR LO QUE NO SE PODRIA CUMPLIR CON LA EETT. SE PUEDE SUSTENTAR CON QUE EN EL TALLER YA EXISTE UN EQUIPO MEGOMETRO. OTRA OPCIÓN SERÍA COMPRAR UN MEGOMÉTRO.</v>
      </c>
      <c r="AR2437" s="213"/>
      <c r="AS2437" s="213"/>
      <c r="AT2437" s="213"/>
      <c r="AU2437" s="213"/>
      <c r="AV2437" s="213"/>
      <c r="AW2437" s="213"/>
      <c r="AX2437" s="213"/>
      <c r="AY2437" s="213"/>
      <c r="AZ2437" s="213"/>
      <c r="BA2437" s="213"/>
      <c r="BB2437" s="213"/>
      <c r="BC2437" s="213"/>
      <c r="BD2437" s="213"/>
    </row>
    <row r="2438">
      <c r="A2438" s="213">
        <f>IFERROR(__xludf.DUMMYFUNCTION("""COMPUTED_VALUE"""),883.0)</f>
        <v>883</v>
      </c>
      <c r="B2438" s="213" t="str">
        <f>IFERROR(__xludf.DUMMYFUNCTION("""COMPUTED_VALUE"""),"6049 RICARDO PALMA")</f>
        <v>6049 RICARDO PALMA</v>
      </c>
      <c r="C2438" s="213" t="str">
        <f>IFERROR(__xludf.DUMMYFUNCTION("""COMPUTED_VALUE"""),"TALLER SFT DE ELECTRICIDAD")</f>
        <v>TALLER SFT DE ELECTRICIDAD</v>
      </c>
      <c r="D2438" s="213" t="str">
        <f>IFERROR(__xludf.DUMMYFUNCTION("""COMPUTED_VALUE"""),"EQUIPOS")</f>
        <v>EQUIPOS</v>
      </c>
      <c r="E2438" s="213" t="str">
        <f>IFERROR(__xludf.DUMMYFUNCTION("""COMPUTED_VALUE"""),"ESP-366")</f>
        <v>ESP-366</v>
      </c>
      <c r="F2438" s="213" t="str">
        <f>IFERROR(__xludf.DUMMYFUNCTION("""COMPUTED_VALUE"""),"ESP-366")</f>
        <v>ESP-366</v>
      </c>
      <c r="G2438" s="213"/>
      <c r="H2438" s="213" t="str">
        <f>IFERROR(__xludf.DUMMYFUNCTION("""COMPUTED_VALUE"""),"TELURÓMETRO DIGITAL")</f>
        <v>TELURÓMETRO DIGITAL</v>
      </c>
      <c r="I2438" s="213" t="str">
        <f>IFERROR(__xludf.DUMMYFUNCTION("""COMPUTED_VALUE"""),"· Telurómetro profesional y versátil para medir la resistividad y de tensión de la toma de tierra.
· Funciones de medición:
- Medición de resistencia del aislamiento
- Medición de tensión de toma de tierra
- Funciones de retención y almacenamiento de dato"&amp;"s
- Pruebas de alta precisión.
- Pantalla LCD con iluminación
- Con Data Hold.
· Datos Técnicos de medición:
1. Medición de voltaje de tierra: 0 - 300V AC  (50/60 Hz)
2. Medición de resistencia de toma de tierra: 20Ω, 200Ω y 2000Ω.
3. Rango de resistivida"&amp;"d aprox: 0.06~6.28kΩm, 0.62~62.8kΩm y 6.28~628kΩm
· Características de Seguridad:
1. Con estuche de protección anti golpes y antideslizante: Estuche de goma.
2. Con soporte para posicionarlo en forma inclinada.
3. Aislamiento seguro de su estructura y sus"&amp;" terminales.
· Accesorios:
1. 03 cables de prueba (verde, rojo, amarillo), picos de tierra auxiliares, cable de transmisión de datos, disco compacto (CD) para 5 interfaz de PC.
2. Con maletín de transporte.
3. Con pilas o baterías.
4. Que cumpla con: EN 6"&amp;"1326-1, EN 61010-1
5. Que cuente con certificado de calibración y manual de instrucciones.")</f>
        <v>· Telurómetro profesional y versátil para medir la resistividad y de tensión de la toma de tierra.
· Funciones de medición:
- Medición de resistencia del aislamiento
- Medición de tensión de toma de tierra
- Funciones de retención y almacenamiento de datos
- Pruebas de alta precisión.
- Pantalla LCD con iluminación
- Con Data Hold.
· Datos Técnicos de medición:
1. Medición de voltaje de tierra: 0 - 300V AC  (50/60 Hz)
2. Medición de resistencia de toma de tierra: 20Ω, 200Ω y 2000Ω.
3. Rango de resistividad aprox: 0.06~6.28kΩm, 0.62~62.8kΩm y 6.28~628kΩm
· Características de Seguridad:
1. Con estuche de protección anti golpes y antideslizante: Estuche de goma.
2. Con soporte para posicionarlo en forma inclinada.
3. Aislamiento seguro de su estructura y sus terminales.
· Accesorios:
1. 03 cables de prueba (verde, rojo, amarillo), picos de tierra auxiliares, cable de transmisión de datos, disco compacto (CD) para 5 interfaz de PC.
2. Con maletín de transporte.
3. Con pilas o baterías.
4. Que cumpla con: EN 61326-1, EN 61010-1
5. Que cuente con certificado de calibración y manual de instrucciones.</v>
      </c>
      <c r="J2438" s="213">
        <f>IFERROR(__xludf.DUMMYFUNCTION("""COMPUTED_VALUE"""),3.0)</f>
        <v>3</v>
      </c>
      <c r="K2438" s="213" t="str">
        <f>IFERROR(__xludf.DUMMYFUNCTION("""COMPUTED_VALUE"""),"170 DÍAS CALENDARIO")</f>
        <v>170 DÍAS CALENDARIO</v>
      </c>
      <c r="L2438" s="213" t="str">
        <f>IFERROR(__xludf.DUMMYFUNCTION("""COMPUTED_VALUE"""),"")</f>
        <v/>
      </c>
      <c r="M2438" s="213">
        <f>IFERROR(__xludf.DUMMYFUNCTION("""COMPUTED_VALUE"""),1.0)</f>
        <v>1</v>
      </c>
      <c r="N2438" s="213">
        <f>IFERROR(__xludf.DUMMYFUNCTION("""COMPUTED_VALUE"""),4.0)</f>
        <v>4</v>
      </c>
      <c r="O2438" s="213">
        <f>IFERROR(__xludf.DUMMYFUNCTION("""COMPUTED_VALUE"""),4.0)</f>
        <v>4</v>
      </c>
      <c r="P2438" s="213"/>
      <c r="Q2438" s="213"/>
      <c r="R2438" s="213"/>
      <c r="S2438" s="213" t="str">
        <f>IFERROR(__xludf.DUMMYFUNCTION("""COMPUTED_VALUE"""),"SI")</f>
        <v>SI</v>
      </c>
      <c r="T2438" s="213" t="str">
        <f>IFERROR(__xludf.DUMMYFUNCTION("""COMPUTED_VALUE"""),"SI")</f>
        <v>SI</v>
      </c>
      <c r="U2438" s="213" t="str">
        <f>IFERROR(__xludf.DUMMYFUNCTION("""COMPUTED_VALUE"""),"SI")</f>
        <v>SI</v>
      </c>
      <c r="V2438" s="213" t="str">
        <f>IFERROR(__xludf.DUMMYFUNCTION("""COMPUTED_VALUE"""),"-")</f>
        <v>-</v>
      </c>
      <c r="W2438" s="213" t="str">
        <f>IFERROR(__xludf.DUMMYFUNCTION("""COMPUTED_VALUE"""),"-")</f>
        <v>-</v>
      </c>
      <c r="X2438" s="213" t="str">
        <f>IFERROR(__xludf.DUMMYFUNCTION("""COMPUTED_VALUE"""),"SEW")</f>
        <v>SEW</v>
      </c>
      <c r="Y2438" s="213" t="str">
        <f>IFERROR(__xludf.DUMMYFUNCTION("""COMPUTED_VALUE""")," 4235 ES")</f>
        <v> 4235 ES</v>
      </c>
      <c r="Z2438" s="215" t="str">
        <f>IFERROR(__xludf.DUMMYFUNCTION("""COMPUTED_VALUE"""),"https://radiosurtidora.com/products/medidor-de-resistencia-de-tierras-sew-4235-er")</f>
        <v>https://radiosurtidora.com/products/medidor-de-resistencia-de-tierras-sew-4235-er</v>
      </c>
      <c r="AA2438" s="213" t="str">
        <f>IFERROR(__xludf.DUMMYFUNCTION("""COMPUTED_VALUE"""),"ESP-366 TELURÓMETRO DIGITAL - CET")</f>
        <v>ESP-366 TELURÓMETRO DIGITAL - CET</v>
      </c>
      <c r="AB2438" s="215" t="str">
        <f>IFERROR(__xludf.DUMMYFUNCTION("""COMPUTED_VALUE"""),"https://drive.google.com/file/d/1x7L_vULwmY2q3Ctw9ES93brMSOF4tqeb/view")</f>
        <v>https://drive.google.com/file/d/1x7L_vULwmY2q3Ctw9ES93brMSOF4tqeb/view</v>
      </c>
      <c r="AC2438" s="213"/>
      <c r="AD2438" s="213"/>
      <c r="AE2438" s="213"/>
      <c r="AF2438" s="213"/>
      <c r="AG2438" s="213"/>
      <c r="AH2438" s="213"/>
      <c r="AI2438" s="213"/>
      <c r="AJ2438" s="213"/>
      <c r="AK2438" s="213"/>
      <c r="AL2438" s="213"/>
      <c r="AM2438" s="213"/>
      <c r="AN2438" s="213"/>
      <c r="AO2438" s="213"/>
      <c r="AP2438" s="213" t="str">
        <f>IFERROR(__xludf.DUMMYFUNCTION("""COMPUTED_VALUE"""),"BRUNO")</f>
        <v>BRUNO</v>
      </c>
      <c r="AQ2438" s="213"/>
      <c r="AR2438" s="213"/>
      <c r="AS2438" s="213" t="str">
        <f>IFERROR(__xludf.DUMMYFUNCTION("""COMPUTED_VALUE"""),"EETT PIDE TENER CARACTERISTICA DE MEDIDOR DE RESISTENCIA DE AISLAMIENTO, ESTO CORRESPONDE A UN MEGOMETRO, POR LO QUE NO SE PODRIA CUMPLIR CON LA EETT. SE PUEDE SUSTENTAR CON QUE EN EL TALLER YA EXISTE UN EQUIPO MEGOMETRO. OTRA OPCIÓN SERÍA COMPRAR UN MEGO"&amp;"MÉTRO.")</f>
        <v>EETT PIDE TENER CARACTERISTICA DE MEDIDOR DE RESISTENCIA DE AISLAMIENTO, ESTO CORRESPONDE A UN MEGOMETRO, POR LO QUE NO SE PODRIA CUMPLIR CON LA EETT. SE PUEDE SUSTENTAR CON QUE EN EL TALLER YA EXISTE UN EQUIPO MEGOMETRO. OTRA OPCIÓN SERÍA COMPRAR UN MEGOMÉTRO.</v>
      </c>
      <c r="AT2438" s="213"/>
      <c r="AU2438" s="213"/>
      <c r="AV2438" s="213"/>
      <c r="AW2438" s="213"/>
      <c r="AX2438" s="213"/>
      <c r="AY2438" s="213"/>
      <c r="AZ2438" s="213"/>
      <c r="BA2438" s="213"/>
      <c r="BB2438" s="213"/>
      <c r="BC2438" s="213"/>
      <c r="BD2438" s="213"/>
    </row>
    <row r="2439">
      <c r="A2439" s="213">
        <f>IFERROR(__xludf.DUMMYFUNCTION("""COMPUTED_VALUE"""),1305.0)</f>
        <v>1305</v>
      </c>
      <c r="B2439" s="213" t="str">
        <f>IFERROR(__xludf.DUMMYFUNCTION("""COMPUTED_VALUE"""),"GUILLERMO E. BILLINGHURST ")</f>
        <v>GUILLERMO E. BILLINGHURST </v>
      </c>
      <c r="C2439" s="213" t="str">
        <f>IFERROR(__xludf.DUMMYFUNCTION("""COMPUTED_VALUE"""),"TALLER SFT DE ELECTRICIDAD")</f>
        <v>TALLER SFT DE ELECTRICIDAD</v>
      </c>
      <c r="D2439" s="213" t="str">
        <f>IFERROR(__xludf.DUMMYFUNCTION("""COMPUTED_VALUE"""),"EQUIPOS")</f>
        <v>EQUIPOS</v>
      </c>
      <c r="E2439" s="213" t="str">
        <f>IFERROR(__xludf.DUMMYFUNCTION("""COMPUTED_VALUE"""),"ESP-366")</f>
        <v>ESP-366</v>
      </c>
      <c r="F2439" s="213" t="str">
        <f>IFERROR(__xludf.DUMMYFUNCTION("""COMPUTED_VALUE"""),"ESP-366")</f>
        <v>ESP-366</v>
      </c>
      <c r="G2439" s="213"/>
      <c r="H2439" s="213" t="str">
        <f>IFERROR(__xludf.DUMMYFUNCTION("""COMPUTED_VALUE"""),"TELURÓMETRO DIGITAL")</f>
        <v>TELURÓMETRO DIGITAL</v>
      </c>
      <c r="I2439" s="213" t="str">
        <f>IFERROR(__xludf.DUMMYFUNCTION("""COMPUTED_VALUE"""),"· Telurómetro profesional y versátil para medir la resistividad y de tensión de la toma de tierra.
· Funciones de medición:
- Medición de resistencia del aislamiento
- Medición de tensión de toma de tierra
- Funciones de retención y almacenamiento de dato"&amp;"s
- Pruebas de alta precisión.
- Pantalla LCD con iluminación
- Con Data Hold.
· Datos Técnicos de medición:
1. Medición de voltaje de tierra: 0 - 300V AC  (50/60 Hz)
2. Medición de resistencia de toma de tierra: 20Ω, 200Ω y 2000Ω.
3. Rango de resistivida"&amp;"d aprox: 0.06~6.28kΩm, 0.62~62.8kΩm y 6.28~628kΩm
· Características de Seguridad:
1. Con estuche de protección anti golpes y antideslizante: Estuche de goma.
2. Con soporte para posicionarlo en forma inclinada.
3. Aislamiento seguro de su estructura y sus"&amp;" terminales.
· Accesorios:
1. 03 cables de prueba (verde, rojo, amarillo), picos de tierra auxiliares, cable de transmisión de datos, disco compacto (CD) para 5 interfaz de PC.
2. Con maletín de transporte.
3. Con pilas o baterías.
4. Que cumpla con: EN 6"&amp;"1326-1, EN 61010-1
5. Que cuente con certificado de calibración y manual de instrucciones.")</f>
        <v>· Telurómetro profesional y versátil para medir la resistividad y de tensión de la toma de tierra.
· Funciones de medición:
- Medición de resistencia del aislamiento
- Medición de tensión de toma de tierra
- Funciones de retención y almacenamiento de datos
- Pruebas de alta precisión.
- Pantalla LCD con iluminación
- Con Data Hold.
· Datos Técnicos de medición:
1. Medición de voltaje de tierra: 0 - 300V AC  (50/60 Hz)
2. Medición de resistencia de toma de tierra: 20Ω, 200Ω y 2000Ω.
3. Rango de resistividad aprox: 0.06~6.28kΩm, 0.62~62.8kΩm y 6.28~628kΩm
· Características de Seguridad:
1. Con estuche de protección anti golpes y antideslizante: Estuche de goma.
2. Con soporte para posicionarlo en forma inclinada.
3. Aislamiento seguro de su estructura y sus terminales.
· Accesorios:
1. 03 cables de prueba (verde, rojo, amarillo), picos de tierra auxiliares, cable de transmisión de datos, disco compacto (CD) para 5 interfaz de PC.
2. Con maletín de transporte.
3. Con pilas o baterías.
4. Que cumpla con: EN 61326-1, EN 61010-1
5. Que cuente con certificado de calibración y manual de instrucciones.</v>
      </c>
      <c r="J2439" s="213">
        <f>IFERROR(__xludf.DUMMYFUNCTION("""COMPUTED_VALUE"""),3.0)</f>
        <v>3</v>
      </c>
      <c r="K2439" s="213" t="str">
        <f>IFERROR(__xludf.DUMMYFUNCTION("""COMPUTED_VALUE"""),"170 DÍAS CALENDARIO")</f>
        <v>170 DÍAS CALENDARIO</v>
      </c>
      <c r="L2439" s="213" t="str">
        <f>IFERROR(__xludf.DUMMYFUNCTION("""COMPUTED_VALUE"""),"")</f>
        <v/>
      </c>
      <c r="M2439" s="213">
        <f>IFERROR(__xludf.DUMMYFUNCTION("""COMPUTED_VALUE"""),1.0)</f>
        <v>1</v>
      </c>
      <c r="N2439" s="213">
        <f>IFERROR(__xludf.DUMMYFUNCTION("""COMPUTED_VALUE"""),4.0)</f>
        <v>4</v>
      </c>
      <c r="O2439" s="213">
        <f>IFERROR(__xludf.DUMMYFUNCTION("""COMPUTED_VALUE"""),4.0)</f>
        <v>4</v>
      </c>
      <c r="P2439" s="213"/>
      <c r="Q2439" s="213"/>
      <c r="R2439" s="213"/>
      <c r="S2439" s="213" t="str">
        <f>IFERROR(__xludf.DUMMYFUNCTION("""COMPUTED_VALUE"""),"SI")</f>
        <v>SI</v>
      </c>
      <c r="T2439" s="213" t="str">
        <f>IFERROR(__xludf.DUMMYFUNCTION("""COMPUTED_VALUE"""),"SI")</f>
        <v>SI</v>
      </c>
      <c r="U2439" s="213" t="str">
        <f>IFERROR(__xludf.DUMMYFUNCTION("""COMPUTED_VALUE"""),"SI")</f>
        <v>SI</v>
      </c>
      <c r="V2439" s="213" t="str">
        <f>IFERROR(__xludf.DUMMYFUNCTION("""COMPUTED_VALUE"""),"-")</f>
        <v>-</v>
      </c>
      <c r="W2439" s="213" t="str">
        <f>IFERROR(__xludf.DUMMYFUNCTION("""COMPUTED_VALUE"""),"-")</f>
        <v>-</v>
      </c>
      <c r="X2439" s="213" t="str">
        <f>IFERROR(__xludf.DUMMYFUNCTION("""COMPUTED_VALUE"""),"SEW")</f>
        <v>SEW</v>
      </c>
      <c r="Y2439" s="213" t="str">
        <f>IFERROR(__xludf.DUMMYFUNCTION("""COMPUTED_VALUE""")," 4235 ES")</f>
        <v> 4235 ES</v>
      </c>
      <c r="Z2439" s="215" t="str">
        <f>IFERROR(__xludf.DUMMYFUNCTION("""COMPUTED_VALUE"""),"https://radiosurtidora.com/products/medidor-de-resistencia-de-tierras-sew-4235-er")</f>
        <v>https://radiosurtidora.com/products/medidor-de-resistencia-de-tierras-sew-4235-er</v>
      </c>
      <c r="AA2439" s="213" t="str">
        <f>IFERROR(__xludf.DUMMYFUNCTION("""COMPUTED_VALUE"""),"ESP-366 TELURÓMETRO DIGITAL - CET")</f>
        <v>ESP-366 TELURÓMETRO DIGITAL - CET</v>
      </c>
      <c r="AB2439" s="215" t="str">
        <f>IFERROR(__xludf.DUMMYFUNCTION("""COMPUTED_VALUE"""),"https://drive.google.com/file/d/1x7L_vULwmY2q3Ctw9ES93brMSOF4tqeb/view")</f>
        <v>https://drive.google.com/file/d/1x7L_vULwmY2q3Ctw9ES93brMSOF4tqeb/view</v>
      </c>
      <c r="AC2439" s="213"/>
      <c r="AD2439" s="213"/>
      <c r="AE2439" s="213"/>
      <c r="AF2439" s="213"/>
      <c r="AG2439" s="213"/>
      <c r="AH2439" s="213"/>
      <c r="AI2439" s="213"/>
      <c r="AJ2439" s="213"/>
      <c r="AK2439" s="213"/>
      <c r="AL2439" s="213"/>
      <c r="AM2439" s="213"/>
      <c r="AN2439" s="213"/>
      <c r="AO2439" s="213"/>
      <c r="AP2439" s="213" t="str">
        <f>IFERROR(__xludf.DUMMYFUNCTION("""COMPUTED_VALUE"""),"BRUNO")</f>
        <v>BRUNO</v>
      </c>
      <c r="AQ2439" s="213"/>
      <c r="AR2439" s="213"/>
      <c r="AS2439" s="213" t="str">
        <f>IFERROR(__xludf.DUMMYFUNCTION("""COMPUTED_VALUE"""),"EETT PIDE TENER CARACTERISTICA DE MEDIDOR DE RESISTENCIA DE AISLAMIENTO, ESTO CORRESPONDE A UN MEGOMETRO, POR LO QUE NO SE PODRIA CUMPLIR CON LA EETT. SE PUEDE SUSTENTAR CON QUE EN EL TALLER YA EXISTE UN EQUIPO MEGOMETRO. OTRA OPCIÓN SERÍA COMPRAR UN MEGO"&amp;"MÉTRO.")</f>
        <v>EETT PIDE TENER CARACTERISTICA DE MEDIDOR DE RESISTENCIA DE AISLAMIENTO, ESTO CORRESPONDE A UN MEGOMETRO, POR LO QUE NO SE PODRIA CUMPLIR CON LA EETT. SE PUEDE SUSTENTAR CON QUE EN EL TALLER YA EXISTE UN EQUIPO MEGOMETRO. OTRA OPCIÓN SERÍA COMPRAR UN MEGOMÉTRO.</v>
      </c>
      <c r="AT2439" s="213"/>
      <c r="AU2439" s="213"/>
      <c r="AV2439" s="213"/>
      <c r="AW2439" s="213"/>
      <c r="AX2439" s="213"/>
      <c r="AY2439" s="213"/>
      <c r="AZ2439" s="213"/>
      <c r="BA2439" s="213"/>
      <c r="BB2439" s="213"/>
      <c r="BC2439" s="213"/>
      <c r="BD2439" s="213"/>
    </row>
    <row r="2440">
      <c r="A2440" s="213">
        <f>IFERROR(__xludf.DUMMYFUNCTION("""COMPUTED_VALUE"""),392.0)</f>
        <v>392</v>
      </c>
      <c r="B2440" s="213" t="str">
        <f>IFERROR(__xludf.DUMMYFUNCTION("""COMPUTED_VALUE"""),"2026 SIMON BOLIVAR")</f>
        <v>2026 SIMON BOLIVAR</v>
      </c>
      <c r="C2440" s="213" t="str">
        <f>IFERROR(__xludf.DUMMYFUNCTION("""COMPUTED_VALUE"""),"TALLER SFT DE ELECTRICIDAD")</f>
        <v>TALLER SFT DE ELECTRICIDAD</v>
      </c>
      <c r="D2440" s="213" t="str">
        <f>IFERROR(__xludf.DUMMYFUNCTION("""COMPUTED_VALUE"""),"HERRAMIENTAS")</f>
        <v>HERRAMIENTAS</v>
      </c>
      <c r="E2440" s="213" t="str">
        <f>IFERROR(__xludf.DUMMYFUNCTION("""COMPUTED_VALUE"""),"MAT-440")</f>
        <v>MAT-440</v>
      </c>
      <c r="F2440" s="213" t="str">
        <f>IFERROR(__xludf.DUMMYFUNCTION("""COMPUTED_VALUE"""),"MAT-440")</f>
        <v>MAT-440</v>
      </c>
      <c r="G2440" s="213"/>
      <c r="H2440" s="213" t="str">
        <f>IFERROR(__xludf.DUMMYFUNCTION("""COMPUTED_VALUE"""),"SOFTWARE PARA PLATAFORMA ELECTRÓNICA DE CÓDIGO ABIERTO")</f>
        <v>SOFTWARE PARA PLATAFORMA ELECTRÓNICA DE CÓDIGO ABIERTO</v>
      </c>
      <c r="I2440" s="213"/>
      <c r="J2440" s="213">
        <f>IFERROR(__xludf.DUMMYFUNCTION("""COMPUTED_VALUE"""),3.0)</f>
        <v>3</v>
      </c>
      <c r="K2440" s="213" t="str">
        <f>IFERROR(__xludf.DUMMYFUNCTION("""COMPUTED_VALUE"""),"170 DÍAS CALENDARIO")</f>
        <v>170 DÍAS CALENDARIO</v>
      </c>
      <c r="L2440" s="213" t="str">
        <f>IFERROR(__xludf.DUMMYFUNCTION("""COMPUTED_VALUE"""),"")</f>
        <v/>
      </c>
      <c r="M2440" s="213">
        <f>IFERROR(__xludf.DUMMYFUNCTION("""COMPUTED_VALUE"""),1.0)</f>
        <v>1</v>
      </c>
      <c r="N2440" s="213">
        <f>IFERROR(__xludf.DUMMYFUNCTION("""COMPUTED_VALUE"""),4.0)</f>
        <v>4</v>
      </c>
      <c r="O2440" s="213">
        <f>IFERROR(__xludf.DUMMYFUNCTION("""COMPUTED_VALUE"""),4.0)</f>
        <v>4</v>
      </c>
      <c r="P2440" s="213"/>
      <c r="Q2440" s="213"/>
      <c r="R2440" s="213" t="str">
        <f>IFERROR(__xludf.DUMMYFUNCTION("""COMPUTED_VALUE"""),"SI")</f>
        <v>SI</v>
      </c>
      <c r="S2440" s="213"/>
      <c r="T2440" s="213" t="str">
        <f>IFERROR(__xludf.DUMMYFUNCTION("""COMPUTED_VALUE"""),"NO")</f>
        <v>NO</v>
      </c>
      <c r="U2440" s="213"/>
      <c r="V2440" s="213"/>
      <c r="W2440" s="213"/>
      <c r="X2440" s="213"/>
      <c r="Y2440" s="213"/>
      <c r="Z2440" s="213"/>
      <c r="AA2440" s="213" t="str">
        <f>IFERROR(__xludf.DUMMYFUNCTION("""COMPUTED_VALUE"""),"MAT-440 SOFTWARE PARA PLATAFORMA ELECTRÓNICA DE CÓDIGO ABIERTO - CET")</f>
        <v>MAT-440 SOFTWARE PARA PLATAFORMA ELECTRÓNICA DE CÓDIGO ABIERTO - CET</v>
      </c>
      <c r="AB2440" s="213"/>
      <c r="AC2440" s="213"/>
      <c r="AD2440" s="213"/>
      <c r="AE2440" s="213"/>
      <c r="AF2440" s="213"/>
      <c r="AG2440" s="213"/>
      <c r="AH2440" s="213"/>
      <c r="AI2440" s="213"/>
      <c r="AJ2440" s="213"/>
      <c r="AK2440" s="213"/>
      <c r="AL2440" s="213"/>
      <c r="AM2440" s="213"/>
      <c r="AN2440" s="213"/>
      <c r="AO2440" s="213"/>
      <c r="AP2440" s="213"/>
      <c r="AQ2440" s="213"/>
      <c r="AR2440" s="213"/>
      <c r="AS2440" s="213"/>
      <c r="AT2440" s="213"/>
      <c r="AU2440" s="213"/>
      <c r="AV2440" s="213"/>
      <c r="AW2440" s="213"/>
      <c r="AX2440" s="213"/>
      <c r="AY2440" s="213"/>
      <c r="AZ2440" s="213"/>
      <c r="BA2440" s="213"/>
      <c r="BB2440" s="213"/>
      <c r="BC2440" s="213"/>
      <c r="BD2440" s="213"/>
    </row>
    <row r="2441">
      <c r="A2441" s="213">
        <f>IFERROR(__xludf.DUMMYFUNCTION("""COMPUTED_VALUE"""),878.0)</f>
        <v>878</v>
      </c>
      <c r="B2441" s="213" t="str">
        <f>IFERROR(__xludf.DUMMYFUNCTION("""COMPUTED_VALUE"""),"6049 RICARDO PALMA")</f>
        <v>6049 RICARDO PALMA</v>
      </c>
      <c r="C2441" s="213" t="str">
        <f>IFERROR(__xludf.DUMMYFUNCTION("""COMPUTED_VALUE"""),"TALLER SFT DE ELECTRICIDAD")</f>
        <v>TALLER SFT DE ELECTRICIDAD</v>
      </c>
      <c r="D2441" s="213" t="str">
        <f>IFERROR(__xludf.DUMMYFUNCTION("""COMPUTED_VALUE"""),"HERRAMIENTAS")</f>
        <v>HERRAMIENTAS</v>
      </c>
      <c r="E2441" s="213" t="str">
        <f>IFERROR(__xludf.DUMMYFUNCTION("""COMPUTED_VALUE"""),"MAT-440")</f>
        <v>MAT-440</v>
      </c>
      <c r="F2441" s="213" t="str">
        <f>IFERROR(__xludf.DUMMYFUNCTION("""COMPUTED_VALUE"""),"MAT-440")</f>
        <v>MAT-440</v>
      </c>
      <c r="G2441" s="213"/>
      <c r="H2441" s="213" t="str">
        <f>IFERROR(__xludf.DUMMYFUNCTION("""COMPUTED_VALUE"""),"SOFTWARE PARA PLATAFORMA ELECTRÓNICA DE CÓDIGO ABIERTO")</f>
        <v>SOFTWARE PARA PLATAFORMA ELECTRÓNICA DE CÓDIGO ABIERTO</v>
      </c>
      <c r="I2441" s="213"/>
      <c r="J2441" s="213">
        <f>IFERROR(__xludf.DUMMYFUNCTION("""COMPUTED_VALUE"""),3.0)</f>
        <v>3</v>
      </c>
      <c r="K2441" s="213" t="str">
        <f>IFERROR(__xludf.DUMMYFUNCTION("""COMPUTED_VALUE"""),"170 DÍAS CALENDARIO")</f>
        <v>170 DÍAS CALENDARIO</v>
      </c>
      <c r="L2441" s="213" t="str">
        <f>IFERROR(__xludf.DUMMYFUNCTION("""COMPUTED_VALUE"""),"")</f>
        <v/>
      </c>
      <c r="M2441" s="213">
        <f>IFERROR(__xludf.DUMMYFUNCTION("""COMPUTED_VALUE"""),1.0)</f>
        <v>1</v>
      </c>
      <c r="N2441" s="213">
        <f>IFERROR(__xludf.DUMMYFUNCTION("""COMPUTED_VALUE"""),4.0)</f>
        <v>4</v>
      </c>
      <c r="O2441" s="213">
        <f>IFERROR(__xludf.DUMMYFUNCTION("""COMPUTED_VALUE"""),4.0)</f>
        <v>4</v>
      </c>
      <c r="P2441" s="213"/>
      <c r="Q2441" s="213"/>
      <c r="R2441" s="213" t="str">
        <f>IFERROR(__xludf.DUMMYFUNCTION("""COMPUTED_VALUE"""),"SI")</f>
        <v>SI</v>
      </c>
      <c r="S2441" s="213"/>
      <c r="T2441" s="213" t="str">
        <f>IFERROR(__xludf.DUMMYFUNCTION("""COMPUTED_VALUE"""),"NO")</f>
        <v>NO</v>
      </c>
      <c r="U2441" s="213"/>
      <c r="V2441" s="213"/>
      <c r="W2441" s="213"/>
      <c r="X2441" s="213"/>
      <c r="Y2441" s="213"/>
      <c r="Z2441" s="213"/>
      <c r="AA2441" s="213" t="str">
        <f>IFERROR(__xludf.DUMMYFUNCTION("""COMPUTED_VALUE"""),"MAT-440 SOFTWARE PARA PLATAFORMA ELECTRÓNICA DE CÓDIGO ABIERTO - CET")</f>
        <v>MAT-440 SOFTWARE PARA PLATAFORMA ELECTRÓNICA DE CÓDIGO ABIERTO - CET</v>
      </c>
      <c r="AB2441" s="213"/>
      <c r="AC2441" s="213"/>
      <c r="AD2441" s="213"/>
      <c r="AE2441" s="213"/>
      <c r="AF2441" s="213"/>
      <c r="AG2441" s="213"/>
      <c r="AH2441" s="213"/>
      <c r="AI2441" s="213"/>
      <c r="AJ2441" s="213"/>
      <c r="AK2441" s="213"/>
      <c r="AL2441" s="213"/>
      <c r="AM2441" s="213"/>
      <c r="AN2441" s="213"/>
      <c r="AO2441" s="213"/>
      <c r="AP2441" s="213"/>
      <c r="AQ2441" s="213"/>
      <c r="AR2441" s="213"/>
      <c r="AS2441" s="213"/>
      <c r="AT2441" s="213"/>
      <c r="AU2441" s="213"/>
      <c r="AV2441" s="213"/>
      <c r="AW2441" s="213"/>
      <c r="AX2441" s="213"/>
      <c r="AY2441" s="213"/>
      <c r="AZ2441" s="213"/>
      <c r="BA2441" s="213"/>
      <c r="BB2441" s="213"/>
      <c r="BC2441" s="213"/>
      <c r="BD2441" s="213"/>
    </row>
    <row r="2442">
      <c r="A2442" s="213">
        <f>IFERROR(__xludf.DUMMYFUNCTION("""COMPUTED_VALUE"""),1300.0)</f>
        <v>1300</v>
      </c>
      <c r="B2442" s="213" t="str">
        <f>IFERROR(__xludf.DUMMYFUNCTION("""COMPUTED_VALUE"""),"GUILLERMO E. BILLINGHURST ")</f>
        <v>GUILLERMO E. BILLINGHURST </v>
      </c>
      <c r="C2442" s="213" t="str">
        <f>IFERROR(__xludf.DUMMYFUNCTION("""COMPUTED_VALUE"""),"TALLER SFT DE ELECTRICIDAD")</f>
        <v>TALLER SFT DE ELECTRICIDAD</v>
      </c>
      <c r="D2442" s="213" t="str">
        <f>IFERROR(__xludf.DUMMYFUNCTION("""COMPUTED_VALUE"""),"HERRAMIENTAS")</f>
        <v>HERRAMIENTAS</v>
      </c>
      <c r="E2442" s="213" t="str">
        <f>IFERROR(__xludf.DUMMYFUNCTION("""COMPUTED_VALUE"""),"MAT-440")</f>
        <v>MAT-440</v>
      </c>
      <c r="F2442" s="213" t="str">
        <f>IFERROR(__xludf.DUMMYFUNCTION("""COMPUTED_VALUE"""),"MAT-440")</f>
        <v>MAT-440</v>
      </c>
      <c r="G2442" s="213"/>
      <c r="H2442" s="213" t="str">
        <f>IFERROR(__xludf.DUMMYFUNCTION("""COMPUTED_VALUE"""),"SOFTWARE PARA PLATAFORMA ELECTRÓNICA DE CÓDIGO ABIERTO")</f>
        <v>SOFTWARE PARA PLATAFORMA ELECTRÓNICA DE CÓDIGO ABIERTO</v>
      </c>
      <c r="I2442" s="213"/>
      <c r="J2442" s="213">
        <f>IFERROR(__xludf.DUMMYFUNCTION("""COMPUTED_VALUE"""),3.0)</f>
        <v>3</v>
      </c>
      <c r="K2442" s="213" t="str">
        <f>IFERROR(__xludf.DUMMYFUNCTION("""COMPUTED_VALUE"""),"170 DÍAS CALENDARIO")</f>
        <v>170 DÍAS CALENDARIO</v>
      </c>
      <c r="L2442" s="213" t="str">
        <f>IFERROR(__xludf.DUMMYFUNCTION("""COMPUTED_VALUE"""),"")</f>
        <v/>
      </c>
      <c r="M2442" s="213">
        <f>IFERROR(__xludf.DUMMYFUNCTION("""COMPUTED_VALUE"""),1.0)</f>
        <v>1</v>
      </c>
      <c r="N2442" s="213">
        <f>IFERROR(__xludf.DUMMYFUNCTION("""COMPUTED_VALUE"""),4.0)</f>
        <v>4</v>
      </c>
      <c r="O2442" s="213">
        <f>IFERROR(__xludf.DUMMYFUNCTION("""COMPUTED_VALUE"""),4.0)</f>
        <v>4</v>
      </c>
      <c r="P2442" s="213"/>
      <c r="Q2442" s="213"/>
      <c r="R2442" s="213" t="str">
        <f>IFERROR(__xludf.DUMMYFUNCTION("""COMPUTED_VALUE"""),"SI")</f>
        <v>SI</v>
      </c>
      <c r="S2442" s="213"/>
      <c r="T2442" s="213" t="str">
        <f>IFERROR(__xludf.DUMMYFUNCTION("""COMPUTED_VALUE"""),"NO")</f>
        <v>NO</v>
      </c>
      <c r="U2442" s="213"/>
      <c r="V2442" s="213"/>
      <c r="W2442" s="213"/>
      <c r="X2442" s="213"/>
      <c r="Y2442" s="213"/>
      <c r="Z2442" s="213"/>
      <c r="AA2442" s="213" t="str">
        <f>IFERROR(__xludf.DUMMYFUNCTION("""COMPUTED_VALUE"""),"MAT-440 SOFTWARE PARA PLATAFORMA ELECTRÓNICA DE CÓDIGO ABIERTO - CET")</f>
        <v>MAT-440 SOFTWARE PARA PLATAFORMA ELECTRÓNICA DE CÓDIGO ABIERTO - CET</v>
      </c>
      <c r="AB2442" s="213"/>
      <c r="AC2442" s="213"/>
      <c r="AD2442" s="213"/>
      <c r="AE2442" s="213"/>
      <c r="AF2442" s="213"/>
      <c r="AG2442" s="213"/>
      <c r="AH2442" s="213"/>
      <c r="AI2442" s="213"/>
      <c r="AJ2442" s="213"/>
      <c r="AK2442" s="213"/>
      <c r="AL2442" s="213"/>
      <c r="AM2442" s="213"/>
      <c r="AN2442" s="213"/>
      <c r="AO2442" s="213"/>
      <c r="AP2442" s="213"/>
      <c r="AQ2442" s="213"/>
      <c r="AR2442" s="213"/>
      <c r="AS2442" s="213"/>
      <c r="AT2442" s="213"/>
      <c r="AU2442" s="213"/>
      <c r="AV2442" s="213"/>
      <c r="AW2442" s="213"/>
      <c r="AX2442" s="213"/>
      <c r="AY2442" s="213"/>
      <c r="AZ2442" s="213"/>
      <c r="BA2442" s="213"/>
      <c r="BB2442" s="213"/>
      <c r="BC2442" s="213"/>
      <c r="BD2442" s="213"/>
    </row>
    <row r="2443">
      <c r="A2443" s="213">
        <f>IFERROR(__xludf.DUMMYFUNCTION("""COMPUTED_VALUE"""),394.0)</f>
        <v>394</v>
      </c>
      <c r="B2443" s="213" t="str">
        <f>IFERROR(__xludf.DUMMYFUNCTION("""COMPUTED_VALUE"""),"2026 SIMON BOLIVAR")</f>
        <v>2026 SIMON BOLIVAR</v>
      </c>
      <c r="C2443" s="213" t="str">
        <f>IFERROR(__xludf.DUMMYFUNCTION("""COMPUTED_VALUE"""),"TALLER SFT DE ELECTRICIDAD")</f>
        <v>TALLER SFT DE ELECTRICIDAD</v>
      </c>
      <c r="D2443" s="213" t="str">
        <f>IFERROR(__xludf.DUMMYFUNCTION("""COMPUTED_VALUE"""),"HERRAMIENTAS")</f>
        <v>HERRAMIENTAS</v>
      </c>
      <c r="E2443" s="213" t="str">
        <f>IFERROR(__xludf.DUMMYFUNCTION("""COMPUTED_VALUE"""),"MAT-448")</f>
        <v>MAT-448</v>
      </c>
      <c r="F2443" s="213" t="str">
        <f>IFERROR(__xludf.DUMMYFUNCTION("""COMPUTED_VALUE"""),"MAT-448")</f>
        <v>MAT-448</v>
      </c>
      <c r="G2443" s="213"/>
      <c r="H2443" s="213" t="str">
        <f>IFERROR(__xludf.DUMMYFUNCTION("""COMPUTED_VALUE"""),"SOFTWARE PARA RELÉ PROGRAMABLE")</f>
        <v>SOFTWARE PARA RELÉ PROGRAMABLE</v>
      </c>
      <c r="I2443" s="213" t="str">
        <f>IFERROR(__xludf.DUMMYFUNCTION("""COMPUTED_VALUE"""),"· Características del software:
- Software más reciente para Windows 7 a más
- Software multiplataforma
-Instalado en la pc y Los instaladores vienen guardados en una memoria USB de uso común de estos recurso")</f>
        <v>· Características del software:
- Software más reciente para Windows 7 a más
- Software multiplataforma
-Instalado en la pc y Los instaladores vienen guardados en una memoria USB de uso común de estos recurso</v>
      </c>
      <c r="J2443" s="213">
        <f>IFERROR(__xludf.DUMMYFUNCTION("""COMPUTED_VALUE"""),3.0)</f>
        <v>3</v>
      </c>
      <c r="K2443" s="213" t="str">
        <f>IFERROR(__xludf.DUMMYFUNCTION("""COMPUTED_VALUE"""),"170 DÍAS CALENDARIO")</f>
        <v>170 DÍAS CALENDARIO</v>
      </c>
      <c r="L2443" s="213" t="str">
        <f>IFERROR(__xludf.DUMMYFUNCTION("""COMPUTED_VALUE"""),"")</f>
        <v/>
      </c>
      <c r="M2443" s="213">
        <f>IFERROR(__xludf.DUMMYFUNCTION("""COMPUTED_VALUE"""),1.0)</f>
        <v>1</v>
      </c>
      <c r="N2443" s="213">
        <f>IFERROR(__xludf.DUMMYFUNCTION("""COMPUTED_VALUE"""),4.0)</f>
        <v>4</v>
      </c>
      <c r="O2443" s="213">
        <f>IFERROR(__xludf.DUMMYFUNCTION("""COMPUTED_VALUE"""),4.0)</f>
        <v>4</v>
      </c>
      <c r="P2443" s="213"/>
      <c r="Q2443" s="213"/>
      <c r="R2443" s="213" t="str">
        <f>IFERROR(__xludf.DUMMYFUNCTION("""COMPUTED_VALUE"""),"SI")</f>
        <v>SI</v>
      </c>
      <c r="S2443" s="213"/>
      <c r="T2443" s="213" t="str">
        <f>IFERROR(__xludf.DUMMYFUNCTION("""COMPUTED_VALUE"""),"NO")</f>
        <v>NO</v>
      </c>
      <c r="U2443" s="213"/>
      <c r="V2443" s="213"/>
      <c r="W2443" s="213"/>
      <c r="X2443" s="213"/>
      <c r="Y2443" s="213"/>
      <c r="Z2443" s="213"/>
      <c r="AA2443" s="213" t="str">
        <f>IFERROR(__xludf.DUMMYFUNCTION("""COMPUTED_VALUE"""),"MAT-448 SOFTWARE PARA RELÉ PROGRAMABLE - CET")</f>
        <v>MAT-448 SOFTWARE PARA RELÉ PROGRAMABLE - CET</v>
      </c>
      <c r="AB2443" s="213"/>
      <c r="AC2443" s="213"/>
      <c r="AD2443" s="213"/>
      <c r="AE2443" s="213"/>
      <c r="AF2443" s="213"/>
      <c r="AG2443" s="213"/>
      <c r="AH2443" s="213"/>
      <c r="AI2443" s="213"/>
      <c r="AJ2443" s="213"/>
      <c r="AK2443" s="213"/>
      <c r="AL2443" s="213"/>
      <c r="AM2443" s="213"/>
      <c r="AN2443" s="213"/>
      <c r="AO2443" s="213"/>
      <c r="AP2443" s="213"/>
      <c r="AQ2443" s="213"/>
      <c r="AR2443" s="213"/>
      <c r="AS2443" s="213"/>
      <c r="AT2443" s="213"/>
      <c r="AU2443" s="213"/>
      <c r="AV2443" s="213"/>
      <c r="AW2443" s="213"/>
      <c r="AX2443" s="213"/>
      <c r="AY2443" s="213"/>
      <c r="AZ2443" s="213"/>
      <c r="BA2443" s="213"/>
      <c r="BB2443" s="213"/>
      <c r="BC2443" s="213"/>
      <c r="BD2443" s="213"/>
    </row>
    <row r="2444">
      <c r="A2444" s="213">
        <f>IFERROR(__xludf.DUMMYFUNCTION("""COMPUTED_VALUE"""),880.0)</f>
        <v>880</v>
      </c>
      <c r="B2444" s="213" t="str">
        <f>IFERROR(__xludf.DUMMYFUNCTION("""COMPUTED_VALUE"""),"6049 RICARDO PALMA")</f>
        <v>6049 RICARDO PALMA</v>
      </c>
      <c r="C2444" s="213" t="str">
        <f>IFERROR(__xludf.DUMMYFUNCTION("""COMPUTED_VALUE"""),"TALLER SFT DE ELECTRICIDAD")</f>
        <v>TALLER SFT DE ELECTRICIDAD</v>
      </c>
      <c r="D2444" s="213" t="str">
        <f>IFERROR(__xludf.DUMMYFUNCTION("""COMPUTED_VALUE"""),"HERRAMIENTAS")</f>
        <v>HERRAMIENTAS</v>
      </c>
      <c r="E2444" s="213" t="str">
        <f>IFERROR(__xludf.DUMMYFUNCTION("""COMPUTED_VALUE"""),"MAT-448")</f>
        <v>MAT-448</v>
      </c>
      <c r="F2444" s="213" t="str">
        <f>IFERROR(__xludf.DUMMYFUNCTION("""COMPUTED_VALUE"""),"MAT-448")</f>
        <v>MAT-448</v>
      </c>
      <c r="G2444" s="213"/>
      <c r="H2444" s="213" t="str">
        <f>IFERROR(__xludf.DUMMYFUNCTION("""COMPUTED_VALUE"""),"SOFTWARE PARA RELÉ PROGRAMABLE")</f>
        <v>SOFTWARE PARA RELÉ PROGRAMABLE</v>
      </c>
      <c r="I2444" s="213" t="str">
        <f>IFERROR(__xludf.DUMMYFUNCTION("""COMPUTED_VALUE"""),"· Características del software:
- Software más reciente para Windows 7 a más
- Software multiplataforma
-Instalado en la pc y Los instaladores vienen guardados en una memoria USB de uso común de estos recurso")</f>
        <v>· Características del software:
- Software más reciente para Windows 7 a más
- Software multiplataforma
-Instalado en la pc y Los instaladores vienen guardados en una memoria USB de uso común de estos recurso</v>
      </c>
      <c r="J2444" s="213">
        <f>IFERROR(__xludf.DUMMYFUNCTION("""COMPUTED_VALUE"""),3.0)</f>
        <v>3</v>
      </c>
      <c r="K2444" s="213" t="str">
        <f>IFERROR(__xludf.DUMMYFUNCTION("""COMPUTED_VALUE"""),"170 DÍAS CALENDARIO")</f>
        <v>170 DÍAS CALENDARIO</v>
      </c>
      <c r="L2444" s="213" t="str">
        <f>IFERROR(__xludf.DUMMYFUNCTION("""COMPUTED_VALUE"""),"")</f>
        <v/>
      </c>
      <c r="M2444" s="213">
        <f>IFERROR(__xludf.DUMMYFUNCTION("""COMPUTED_VALUE"""),1.0)</f>
        <v>1</v>
      </c>
      <c r="N2444" s="213">
        <f>IFERROR(__xludf.DUMMYFUNCTION("""COMPUTED_VALUE"""),4.0)</f>
        <v>4</v>
      </c>
      <c r="O2444" s="213">
        <f>IFERROR(__xludf.DUMMYFUNCTION("""COMPUTED_VALUE"""),4.0)</f>
        <v>4</v>
      </c>
      <c r="P2444" s="213"/>
      <c r="Q2444" s="213"/>
      <c r="R2444" s="213" t="str">
        <f>IFERROR(__xludf.DUMMYFUNCTION("""COMPUTED_VALUE"""),"SI")</f>
        <v>SI</v>
      </c>
      <c r="S2444" s="213"/>
      <c r="T2444" s="213" t="str">
        <f>IFERROR(__xludf.DUMMYFUNCTION("""COMPUTED_VALUE"""),"NO")</f>
        <v>NO</v>
      </c>
      <c r="U2444" s="213"/>
      <c r="V2444" s="213"/>
      <c r="W2444" s="213"/>
      <c r="X2444" s="213"/>
      <c r="Y2444" s="213"/>
      <c r="Z2444" s="213"/>
      <c r="AA2444" s="213" t="str">
        <f>IFERROR(__xludf.DUMMYFUNCTION("""COMPUTED_VALUE"""),"MAT-448 SOFTWARE PARA RELÉ PROGRAMABLE - CET")</f>
        <v>MAT-448 SOFTWARE PARA RELÉ PROGRAMABLE - CET</v>
      </c>
      <c r="AB2444" s="213"/>
      <c r="AC2444" s="213"/>
      <c r="AD2444" s="213"/>
      <c r="AE2444" s="213"/>
      <c r="AF2444" s="213"/>
      <c r="AG2444" s="213"/>
      <c r="AH2444" s="213"/>
      <c r="AI2444" s="213"/>
      <c r="AJ2444" s="213"/>
      <c r="AK2444" s="213"/>
      <c r="AL2444" s="213"/>
      <c r="AM2444" s="213"/>
      <c r="AN2444" s="213"/>
      <c r="AO2444" s="213"/>
      <c r="AP2444" s="213"/>
      <c r="AQ2444" s="213"/>
      <c r="AR2444" s="213"/>
      <c r="AS2444" s="213"/>
      <c r="AT2444" s="213"/>
      <c r="AU2444" s="213"/>
      <c r="AV2444" s="213"/>
      <c r="AW2444" s="213"/>
      <c r="AX2444" s="213"/>
      <c r="AY2444" s="213"/>
      <c r="AZ2444" s="213"/>
      <c r="BA2444" s="213"/>
      <c r="BB2444" s="213"/>
      <c r="BC2444" s="213"/>
      <c r="BD2444" s="213"/>
    </row>
    <row r="2445">
      <c r="A2445" s="213">
        <f>IFERROR(__xludf.DUMMYFUNCTION("""COMPUTED_VALUE"""),1302.0)</f>
        <v>1302</v>
      </c>
      <c r="B2445" s="213" t="str">
        <f>IFERROR(__xludf.DUMMYFUNCTION("""COMPUTED_VALUE"""),"GUILLERMO E. BILLINGHURST ")</f>
        <v>GUILLERMO E. BILLINGHURST </v>
      </c>
      <c r="C2445" s="213" t="str">
        <f>IFERROR(__xludf.DUMMYFUNCTION("""COMPUTED_VALUE"""),"TALLER SFT DE ELECTRICIDAD")</f>
        <v>TALLER SFT DE ELECTRICIDAD</v>
      </c>
      <c r="D2445" s="213" t="str">
        <f>IFERROR(__xludf.DUMMYFUNCTION("""COMPUTED_VALUE"""),"HERRAMIENTAS")</f>
        <v>HERRAMIENTAS</v>
      </c>
      <c r="E2445" s="213" t="str">
        <f>IFERROR(__xludf.DUMMYFUNCTION("""COMPUTED_VALUE"""),"MAT-448")</f>
        <v>MAT-448</v>
      </c>
      <c r="F2445" s="213" t="str">
        <f>IFERROR(__xludf.DUMMYFUNCTION("""COMPUTED_VALUE"""),"MAT-448")</f>
        <v>MAT-448</v>
      </c>
      <c r="G2445" s="213"/>
      <c r="H2445" s="213" t="str">
        <f>IFERROR(__xludf.DUMMYFUNCTION("""COMPUTED_VALUE"""),"SOFTWARE PARA RELÉ PROGRAMABLE")</f>
        <v>SOFTWARE PARA RELÉ PROGRAMABLE</v>
      </c>
      <c r="I2445" s="213" t="str">
        <f>IFERROR(__xludf.DUMMYFUNCTION("""COMPUTED_VALUE"""),"· Características del software:
- Software más reciente para Windows 7 a más
- Software multiplataforma
-Instalado en la pc y Los instaladores vienen guardados en una memoria USB de uso común de estos recurso")</f>
        <v>· Características del software:
- Software más reciente para Windows 7 a más
- Software multiplataforma
-Instalado en la pc y Los instaladores vienen guardados en una memoria USB de uso común de estos recurso</v>
      </c>
      <c r="J2445" s="213">
        <f>IFERROR(__xludf.DUMMYFUNCTION("""COMPUTED_VALUE"""),3.0)</f>
        <v>3</v>
      </c>
      <c r="K2445" s="213" t="str">
        <f>IFERROR(__xludf.DUMMYFUNCTION("""COMPUTED_VALUE"""),"170 DÍAS CALENDARIO")</f>
        <v>170 DÍAS CALENDARIO</v>
      </c>
      <c r="L2445" s="213" t="str">
        <f>IFERROR(__xludf.DUMMYFUNCTION("""COMPUTED_VALUE"""),"")</f>
        <v/>
      </c>
      <c r="M2445" s="213">
        <f>IFERROR(__xludf.DUMMYFUNCTION("""COMPUTED_VALUE"""),1.0)</f>
        <v>1</v>
      </c>
      <c r="N2445" s="213">
        <f>IFERROR(__xludf.DUMMYFUNCTION("""COMPUTED_VALUE"""),4.0)</f>
        <v>4</v>
      </c>
      <c r="O2445" s="213">
        <f>IFERROR(__xludf.DUMMYFUNCTION("""COMPUTED_VALUE"""),4.0)</f>
        <v>4</v>
      </c>
      <c r="P2445" s="213"/>
      <c r="Q2445" s="213"/>
      <c r="R2445" s="213" t="str">
        <f>IFERROR(__xludf.DUMMYFUNCTION("""COMPUTED_VALUE"""),"SI")</f>
        <v>SI</v>
      </c>
      <c r="S2445" s="213"/>
      <c r="T2445" s="213" t="str">
        <f>IFERROR(__xludf.DUMMYFUNCTION("""COMPUTED_VALUE"""),"NO")</f>
        <v>NO</v>
      </c>
      <c r="U2445" s="213"/>
      <c r="V2445" s="213"/>
      <c r="W2445" s="213"/>
      <c r="X2445" s="213"/>
      <c r="Y2445" s="213"/>
      <c r="Z2445" s="213"/>
      <c r="AA2445" s="213" t="str">
        <f>IFERROR(__xludf.DUMMYFUNCTION("""COMPUTED_VALUE"""),"MAT-448 SOFTWARE PARA RELÉ PROGRAMABLE - CET")</f>
        <v>MAT-448 SOFTWARE PARA RELÉ PROGRAMABLE - CET</v>
      </c>
      <c r="AB2445" s="213"/>
      <c r="AC2445" s="213"/>
      <c r="AD2445" s="213"/>
      <c r="AE2445" s="213"/>
      <c r="AF2445" s="213"/>
      <c r="AG2445" s="213"/>
      <c r="AH2445" s="213"/>
      <c r="AI2445" s="213"/>
      <c r="AJ2445" s="213"/>
      <c r="AK2445" s="213"/>
      <c r="AL2445" s="213"/>
      <c r="AM2445" s="213"/>
      <c r="AN2445" s="213"/>
      <c r="AO2445" s="213"/>
      <c r="AP2445" s="213"/>
      <c r="AQ2445" s="213"/>
      <c r="AR2445" s="213"/>
      <c r="AS2445" s="213"/>
      <c r="AT2445" s="213"/>
      <c r="AU2445" s="213"/>
      <c r="AV2445" s="213"/>
      <c r="AW2445" s="213"/>
      <c r="AX2445" s="213"/>
      <c r="AY2445" s="213"/>
      <c r="AZ2445" s="213"/>
      <c r="BA2445" s="213"/>
      <c r="BB2445" s="213"/>
      <c r="BC2445" s="213"/>
      <c r="BD2445" s="213"/>
    </row>
    <row r="2446">
      <c r="A2446" s="213">
        <f>IFERROR(__xludf.DUMMYFUNCTION("""COMPUTED_VALUE"""),386.0)</f>
        <v>386</v>
      </c>
      <c r="B2446" s="213" t="str">
        <f>IFERROR(__xludf.DUMMYFUNCTION("""COMPUTED_VALUE"""),"2026 SIMON BOLIVAR")</f>
        <v>2026 SIMON BOLIVAR</v>
      </c>
      <c r="C2446" s="213" t="str">
        <f>IFERROR(__xludf.DUMMYFUNCTION("""COMPUTED_VALUE"""),"TALLER SFT DE ELECTRICIDAD")</f>
        <v>TALLER SFT DE ELECTRICIDAD</v>
      </c>
      <c r="D2446" s="213" t="str">
        <f>IFERROR(__xludf.DUMMYFUNCTION("""COMPUTED_VALUE"""),"HERRAMIENTAS")</f>
        <v>HERRAMIENTAS</v>
      </c>
      <c r="E2446" s="213" t="str">
        <f>IFERROR(__xludf.DUMMYFUNCTION("""COMPUTED_VALUE"""),"MAT-449")</f>
        <v>MAT-449</v>
      </c>
      <c r="F2446" s="213" t="str">
        <f>IFERROR(__xludf.DUMMYFUNCTION("""COMPUTED_VALUE"""),"MAT-449")</f>
        <v>MAT-449</v>
      </c>
      <c r="G2446" s="213"/>
      <c r="H2446" s="213" t="str">
        <f>IFERROR(__xludf.DUMMYFUNCTION("""COMPUTED_VALUE"""),"SOFTWARE SIMULADOR DE INSTALACIONES ELÉCTRICAS DOMICILIARIAS EN ESPAÑOL (SOFTWARE LIBRE)")</f>
        <v>SOFTWARE SIMULADOR DE INSTALACIONES ELÉCTRICAS DOMICILIARIAS EN ESPAÑOL (SOFTWARE LIBRE)</v>
      </c>
      <c r="I2446" s="213" t="str">
        <f>IFERROR(__xludf.DUMMYFUNCTION("""COMPUTED_VALUE"""),"Contiene:
· Cocodrile Clip:    Versión 3.5 o mas reciente
Es un simulador eléctrico simple y sencillo de utilizar, con este software se pueden crear circuitos utilizando simbología y gráficos de componentes reales. En ella se pueden simular circuitos bási"&amp;"cos, interruptores, bombillas, baterías, compuertas lógicas, contactores, etc.
. Características del software: Cuenta con una biblioteca de 50 ejemplos de diseños / Realiza la simulación de circuitos eléctricos, electrónicos (tanto digitales como analógic"&amp;"os) y sistemas mecánicos / Las medidas eléctricas se pueden realizar utilizando la instrumentación adecuada voltímetros, amperímetros o sondas para osciloscopio, o por burbujas de información, , es decir situando el ratón sobre el cable o el componente / "&amp;"Permite la modificación de las características de los componentes especiales como interruptores de nivel  de líquidos, potenciómetros, fototransistores, resistencias LDR, NTC, etc. / Los Componentes mecánicos disponibles en esta versión son: Motor, Motor "&amp;"de Velocidad Constante, Fuerza, Masa, Resorte, Par de fuerzas, Volante, Engranajes, Mando de cadena, Piñón y cremallera, Generador, Solenoide, Micro interruptor / Los Componentes eléctricos añadidos en esta versión son: Pantalla de 7 Segmentos, Decimal Co"&amp;"dificado Binario a decodificador de 7 Segmentos, Lámpara de Filamento, Interruptor de flotador, Optoaislador Fototransistor con lámpara, altavoz, transistores (se puede ajustar la ganancia de cada transistor haciendo un doble clic en el símbolo de transis"&amp;"tor).
· KiCad: Versión 5.0.0 o mas reciente
Es un paquete de software libre para la automatización del diseño electrónico. Facilita el diseño esquemático para circuitos electrónicos y su conversión a placa de circuito impreso.
KiCad cuenta con un entorno "&amp;"integrado para captura esquemática y de diseño de PCB. Existen herramientas dentro del software para crear una lista de materiales, ilustraciones, archivos Gerber y vistas 3D de la PCB y sus componentes.
. Características del software: Utiliza un entorno "&amp;"integrado para todas las etapas del proceso de diseño: captura esquemática, diseño de PCB, generación/visualización de archivos Gerber y edición de librerías de componentes (para símbolos y footprints) / Tiene muchas bibliotecas de componentes y los usuar"&amp;"ios pueden agregar y personalizar sus componentes / Posee herramientas para ayudar a importar componentes de otras aplicaciones / Licencia: Libre / Idioma: Múltiple (incluye el español) / Se instala sobre la plataforma Windows 7 y superior.
· CYPELEC NF, "&amp;"versión más reciente:
Es un programa con una interfaz sencilla e intuitiva y de muy fácil manejo: Sus instrucciones están basadas principalmente en la normatividad francesa.
. Características del software: Diseño de instalaciones eléctricas de baja tensió"&amp;"n como para: locales comerciales, edificios residenciales y edificios comerciales o industriales / Crea esquemas unifilares y su cálculo de la instalación eléctrica / Posibilita la inserción de diferentes componentes eléctricos en los planos de la instala"&amp;"ción / Permite el diseño de esquemas eléctricos en planos de planta / Genera informes de resultados y listado de materiales / Se instala sobre la plataforma Windows 8 y superior.")</f>
        <v>Contiene:
· Cocodrile Clip:    Versión 3.5 o mas reciente
Es un simulador eléctrico simple y sencillo de utilizar, con este software se pueden crear circuitos utilizando simbología y gráficos de componentes reales. En ella se pueden simular circuitos básicos, interruptores, bombillas, baterías, compuertas lógicas, contactores, etc.
. Características del software: Cuenta con una biblioteca de 50 ejemplos de diseños / Realiza la simulación de circuitos eléctricos, electrónicos (tanto digitales como analógicos) y sistemas mecánicos / Las medidas eléctricas se pueden realizar utilizando la instrumentación adecuada voltímetros, amperímetros o sondas para osciloscopio, o por burbujas de información, , es decir situando el ratón sobre el cable o el componente / Permite la modificación de las características de los componentes especiales como interruptores de nivel  de líquidos, potenciómetros, fototransistores, resistencias LDR, NTC, etc. / Los Componentes mecánicos disponibles en esta versión son: Motor, Motor de Velocidad Constante, Fuerza, Masa, Resorte, Par de fuerzas, Volante, Engranajes, Mando de cadena, Piñón y cremallera, Generador, Solenoide, Micro interruptor / Los Componentes eléctricos añadidos en esta versión son: Pantalla de 7 Segmentos, Decimal Codificado Binario a decodificador de 7 Segmentos, Lámpara de Filamento, Interruptor de flotador, Optoaislador Fototransistor con lámpara, altavoz, transistores (se puede ajustar la ganancia de cada transistor haciendo un doble clic en el símbolo de transistor).
· KiCad: Versión 5.0.0 o mas reciente
Es un paquete de software libre para la automatización del diseño electrónico. Facilita el diseño esquemático para circuitos electrónicos y su conversión a placa de circuito impreso.
KiCad cuenta con un entorno integrado para captura esquemática y de diseño de PCB. Existen herramientas dentro del software para crear una lista de materiales, ilustraciones, archivos Gerber y vistas 3D de la PCB y sus componentes.
. Características del software: Utiliza un entorno integrado para todas las etapas del proceso de diseño: captura esquemática, diseño de PCB, generación/visualización de archivos Gerber y edición de librerías de componentes (para símbolos y footprints) / Tiene muchas bibliotecas de componentes y los usuarios pueden agregar y personalizar sus componentes / Posee herramientas para ayudar a importar componentes de otras aplicaciones / Licencia: Libre / Idioma: Múltiple (incluye el español) / Se instala sobre la plataforma Windows 7 y superior.
· CYPELEC NF, versión más reciente:
Es un programa con una interfaz sencilla e intuitiva y de muy fácil manejo: Sus instrucciones están basadas principalmente en la normatividad francesa.
. Características del software: Diseño de instalaciones eléctricas de baja tensión como para: locales comerciales, edificios residenciales y edificios comerciales o industriales / Crea esquemas unifilares y su cálculo de la instalación eléctrica / Posibilita la inserción de diferentes componentes eléctricos en los planos de la instalación / Permite el diseño de esquemas eléctricos en planos de planta / Genera informes de resultados y listado de materiales / Se instala sobre la plataforma Windows 8 y superior.</v>
      </c>
      <c r="J2446" s="213">
        <f>IFERROR(__xludf.DUMMYFUNCTION("""COMPUTED_VALUE"""),3.0)</f>
        <v>3</v>
      </c>
      <c r="K2446" s="213" t="str">
        <f>IFERROR(__xludf.DUMMYFUNCTION("""COMPUTED_VALUE"""),"170 DÍAS CALENDARIO")</f>
        <v>170 DÍAS CALENDARIO</v>
      </c>
      <c r="L2446" s="213" t="str">
        <f>IFERROR(__xludf.DUMMYFUNCTION("""COMPUTED_VALUE"""),"")</f>
        <v/>
      </c>
      <c r="M2446" s="213">
        <f>IFERROR(__xludf.DUMMYFUNCTION("""COMPUTED_VALUE"""),1.0)</f>
        <v>1</v>
      </c>
      <c r="N2446" s="213">
        <f>IFERROR(__xludf.DUMMYFUNCTION("""COMPUTED_VALUE"""),21.0)</f>
        <v>21</v>
      </c>
      <c r="O2446" s="213">
        <f>IFERROR(__xludf.DUMMYFUNCTION("""COMPUTED_VALUE"""),21.0)</f>
        <v>21</v>
      </c>
      <c r="P2446" s="213"/>
      <c r="Q2446" s="213"/>
      <c r="R2446" s="213" t="str">
        <f>IFERROR(__xludf.DUMMYFUNCTION("""COMPUTED_VALUE"""),"SI")</f>
        <v>SI</v>
      </c>
      <c r="S2446" s="213"/>
      <c r="T2446" s="213" t="str">
        <f>IFERROR(__xludf.DUMMYFUNCTION("""COMPUTED_VALUE"""),"NO")</f>
        <v>NO</v>
      </c>
      <c r="U2446" s="213"/>
      <c r="V2446" s="213"/>
      <c r="W2446" s="213"/>
      <c r="X2446" s="213"/>
      <c r="Y2446" s="213"/>
      <c r="Z2446" s="213"/>
      <c r="AA2446" s="213" t="str">
        <f>IFERROR(__xludf.DUMMYFUNCTION("""COMPUTED_VALUE"""),"MAT-449  SOFTWARE SIMULADOR DE INSTALACIONES ELÉCTRICAS DOMICILIARIAS EN ESPAÑOL (SOFTWARE LIBRE) - CET")</f>
        <v>MAT-449  SOFTWARE SIMULADOR DE INSTALACIONES ELÉCTRICAS DOMICILIARIAS EN ESPAÑOL (SOFTWARE LIBRE) - CET</v>
      </c>
      <c r="AB2446" s="213"/>
      <c r="AC2446" s="213"/>
      <c r="AD2446" s="213"/>
      <c r="AE2446" s="213"/>
      <c r="AF2446" s="213"/>
      <c r="AG2446" s="213"/>
      <c r="AH2446" s="213"/>
      <c r="AI2446" s="213"/>
      <c r="AJ2446" s="213"/>
      <c r="AK2446" s="213"/>
      <c r="AL2446" s="213"/>
      <c r="AM2446" s="213"/>
      <c r="AN2446" s="213"/>
      <c r="AO2446" s="213"/>
      <c r="AP2446" s="213"/>
      <c r="AQ2446" s="213"/>
      <c r="AR2446" s="213"/>
      <c r="AS2446" s="213"/>
      <c r="AT2446" s="213"/>
      <c r="AU2446" s="213"/>
      <c r="AV2446" s="213"/>
      <c r="AW2446" s="213"/>
      <c r="AX2446" s="213"/>
      <c r="AY2446" s="213"/>
      <c r="AZ2446" s="213"/>
      <c r="BA2446" s="213"/>
      <c r="BB2446" s="213"/>
      <c r="BC2446" s="213"/>
      <c r="BD2446" s="213"/>
    </row>
    <row r="2447">
      <c r="A2447" s="213">
        <f>IFERROR(__xludf.DUMMYFUNCTION("""COMPUTED_VALUE"""),872.0)</f>
        <v>872</v>
      </c>
      <c r="B2447" s="213" t="str">
        <f>IFERROR(__xludf.DUMMYFUNCTION("""COMPUTED_VALUE"""),"6049 RICARDO PALMA")</f>
        <v>6049 RICARDO PALMA</v>
      </c>
      <c r="C2447" s="213" t="str">
        <f>IFERROR(__xludf.DUMMYFUNCTION("""COMPUTED_VALUE"""),"TALLER SFT DE ELECTRICIDAD")</f>
        <v>TALLER SFT DE ELECTRICIDAD</v>
      </c>
      <c r="D2447" s="213" t="str">
        <f>IFERROR(__xludf.DUMMYFUNCTION("""COMPUTED_VALUE"""),"HERRAMIENTAS")</f>
        <v>HERRAMIENTAS</v>
      </c>
      <c r="E2447" s="213" t="str">
        <f>IFERROR(__xludf.DUMMYFUNCTION("""COMPUTED_VALUE"""),"MAT-449")</f>
        <v>MAT-449</v>
      </c>
      <c r="F2447" s="213" t="str">
        <f>IFERROR(__xludf.DUMMYFUNCTION("""COMPUTED_VALUE"""),"MAT-449")</f>
        <v>MAT-449</v>
      </c>
      <c r="G2447" s="213"/>
      <c r="H2447" s="213" t="str">
        <f>IFERROR(__xludf.DUMMYFUNCTION("""COMPUTED_VALUE"""),"SOFTWARE SIMULADOR DE INSTALACIONES ELÉCTRICAS DOMICILIARIAS EN ESPAÑOL (SOFTWARE LIBRE)")</f>
        <v>SOFTWARE SIMULADOR DE INSTALACIONES ELÉCTRICAS DOMICILIARIAS EN ESPAÑOL (SOFTWARE LIBRE)</v>
      </c>
      <c r="I2447" s="213" t="str">
        <f>IFERROR(__xludf.DUMMYFUNCTION("""COMPUTED_VALUE"""),"Contiene:
· Cocodrile Clip:    Versión 3.5 o mas reciente
Es un simulador eléctrico simple y sencillo de utilizar, con este software se pueden crear circuitos utilizando simbología y gráficos de componentes reales. En ella se pueden simular circuitos bási"&amp;"cos, interruptores, bombillas, baterías, compuertas lógicas, contactores, etc.
. Características del software: Cuenta con una biblioteca de 50 ejemplos de diseños / Realiza la simulación de circuitos eléctricos, electrónicos (tanto digitales como analógic"&amp;"os) y sistemas mecánicos / Las medidas eléctricas se pueden realizar utilizando la instrumentación adecuada voltímetros, amperímetros o sondas para osciloscopio, o por burbujas de información, , es decir situando el ratón sobre el cable o el componente / "&amp;"Permite la modificación de las características de los componentes especiales como interruptores de nivel  de líquidos, potenciómetros, fototransistores, resistencias LDR, NTC, etc. / Los Componentes mecánicos disponibles en esta versión son: Motor, Motor "&amp;"de Velocidad Constante, Fuerza, Masa, Resorte, Par de fuerzas, Volante, Engranajes, Mando de cadena, Piñón y cremallera, Generador, Solenoide, Micro interruptor / Los Componentes eléctricos añadidos en esta versión son: Pantalla de 7 Segmentos, Decimal Co"&amp;"dificado Binario a decodificador de 7 Segmentos, Lámpara de Filamento, Interruptor de flotador, Optoaislador Fototransistor con lámpara, altavoz, transistores (se puede ajustar la ganancia de cada transistor haciendo un doble clic en el símbolo de transis"&amp;"tor).
· KiCad: Versión 5.0.0 o mas reciente
Es un paquete de software libre para la automatización del diseño electrónico. Facilita el diseño esquemático para circuitos electrónicos y su conversión a placa de circuito impreso.
KiCad cuenta con un entorno "&amp;"integrado para captura esquemática y de diseño de PCB. Existen herramientas dentro del software para crear una lista de materiales, ilustraciones, archivos Gerber y vistas 3D de la PCB y sus componentes.
. Características del software: Utiliza un entorno "&amp;"integrado para todas las etapas del proceso de diseño: captura esquemática, diseño de PCB, generación/visualización de archivos Gerber y edición de librerías de componentes (para símbolos y footprints) / Tiene muchas bibliotecas de componentes y los usuar"&amp;"ios pueden agregar y personalizar sus componentes / Posee herramientas para ayudar a importar componentes de otras aplicaciones / Licencia: Libre / Idioma: Múltiple (incluye el español) / Se instala sobre la plataforma Windows 7 y superior.
· CYPELEC NF, "&amp;"versión más reciente:
Es un programa con una interfaz sencilla e intuitiva y de muy fácil manejo: Sus instrucciones están basadas principalmente en la normatividad francesa.
. Características del software: Diseño de instalaciones eléctricas de baja tensió"&amp;"n como para: locales comerciales, edificios residenciales y edificios comerciales o industriales / Crea esquemas unifilares y su cálculo de la instalación eléctrica / Posibilita la inserción de diferentes componentes eléctricos en los planos de la instala"&amp;"ción / Permite el diseño de esquemas eléctricos en planos de planta / Genera informes de resultados y listado de materiales / Se instala sobre la plataforma Windows 8 y superior.")</f>
        <v>Contiene:
· Cocodrile Clip:    Versión 3.5 o mas reciente
Es un simulador eléctrico simple y sencillo de utilizar, con este software se pueden crear circuitos utilizando simbología y gráficos de componentes reales. En ella se pueden simular circuitos básicos, interruptores, bombillas, baterías, compuertas lógicas, contactores, etc.
. Características del software: Cuenta con una biblioteca de 50 ejemplos de diseños / Realiza la simulación de circuitos eléctricos, electrónicos (tanto digitales como analógicos) y sistemas mecánicos / Las medidas eléctricas se pueden realizar utilizando la instrumentación adecuada voltímetros, amperímetros o sondas para osciloscopio, o por burbujas de información, , es decir situando el ratón sobre el cable o el componente / Permite la modificación de las características de los componentes especiales como interruptores de nivel  de líquidos, potenciómetros, fototransistores, resistencias LDR, NTC, etc. / Los Componentes mecánicos disponibles en esta versión son: Motor, Motor de Velocidad Constante, Fuerza, Masa, Resorte, Par de fuerzas, Volante, Engranajes, Mando de cadena, Piñón y cremallera, Generador, Solenoide, Micro interruptor / Los Componentes eléctricos añadidos en esta versión son: Pantalla de 7 Segmentos, Decimal Codificado Binario a decodificador de 7 Segmentos, Lámpara de Filamento, Interruptor de flotador, Optoaislador Fototransistor con lámpara, altavoz, transistores (se puede ajustar la ganancia de cada transistor haciendo un doble clic en el símbolo de transistor).
· KiCad: Versión 5.0.0 o mas reciente
Es un paquete de software libre para la automatización del diseño electrónico. Facilita el diseño esquemático para circuitos electrónicos y su conversión a placa de circuito impreso.
KiCad cuenta con un entorno integrado para captura esquemática y de diseño de PCB. Existen herramientas dentro del software para crear una lista de materiales, ilustraciones, archivos Gerber y vistas 3D de la PCB y sus componentes.
. Características del software: Utiliza un entorno integrado para todas las etapas del proceso de diseño: captura esquemática, diseño de PCB, generación/visualización de archivos Gerber y edición de librerías de componentes (para símbolos y footprints) / Tiene muchas bibliotecas de componentes y los usuarios pueden agregar y personalizar sus componentes / Posee herramientas para ayudar a importar componentes de otras aplicaciones / Licencia: Libre / Idioma: Múltiple (incluye el español) / Se instala sobre la plataforma Windows 7 y superior.
· CYPELEC NF, versión más reciente:
Es un programa con una interfaz sencilla e intuitiva y de muy fácil manejo: Sus instrucciones están basadas principalmente en la normatividad francesa.
. Características del software: Diseño de instalaciones eléctricas de baja tensión como para: locales comerciales, edificios residenciales y edificios comerciales o industriales / Crea esquemas unifilares y su cálculo de la instalación eléctrica / Posibilita la inserción de diferentes componentes eléctricos en los planos de la instalación / Permite el diseño de esquemas eléctricos en planos de planta / Genera informes de resultados y listado de materiales / Se instala sobre la plataforma Windows 8 y superior.</v>
      </c>
      <c r="J2447" s="213">
        <f>IFERROR(__xludf.DUMMYFUNCTION("""COMPUTED_VALUE"""),3.0)</f>
        <v>3</v>
      </c>
      <c r="K2447" s="213" t="str">
        <f>IFERROR(__xludf.DUMMYFUNCTION("""COMPUTED_VALUE"""),"170 DÍAS CALENDARIO")</f>
        <v>170 DÍAS CALENDARIO</v>
      </c>
      <c r="L2447" s="213" t="str">
        <f>IFERROR(__xludf.DUMMYFUNCTION("""COMPUTED_VALUE"""),"")</f>
        <v/>
      </c>
      <c r="M2447" s="213">
        <f>IFERROR(__xludf.DUMMYFUNCTION("""COMPUTED_VALUE"""),1.0)</f>
        <v>1</v>
      </c>
      <c r="N2447" s="213">
        <f>IFERROR(__xludf.DUMMYFUNCTION("""COMPUTED_VALUE"""),21.0)</f>
        <v>21</v>
      </c>
      <c r="O2447" s="213">
        <f>IFERROR(__xludf.DUMMYFUNCTION("""COMPUTED_VALUE"""),21.0)</f>
        <v>21</v>
      </c>
      <c r="P2447" s="213"/>
      <c r="Q2447" s="213"/>
      <c r="R2447" s="213" t="str">
        <f>IFERROR(__xludf.DUMMYFUNCTION("""COMPUTED_VALUE"""),"SI")</f>
        <v>SI</v>
      </c>
      <c r="S2447" s="213"/>
      <c r="T2447" s="213" t="str">
        <f>IFERROR(__xludf.DUMMYFUNCTION("""COMPUTED_VALUE"""),"NO")</f>
        <v>NO</v>
      </c>
      <c r="U2447" s="213"/>
      <c r="V2447" s="213"/>
      <c r="W2447" s="213"/>
      <c r="X2447" s="213"/>
      <c r="Y2447" s="213"/>
      <c r="Z2447" s="213"/>
      <c r="AA2447" s="213"/>
      <c r="AB2447" s="213"/>
      <c r="AC2447" s="213"/>
      <c r="AD2447" s="213"/>
      <c r="AE2447" s="213"/>
      <c r="AF2447" s="213"/>
      <c r="AG2447" s="213"/>
      <c r="AH2447" s="213"/>
      <c r="AI2447" s="213"/>
      <c r="AJ2447" s="213"/>
      <c r="AK2447" s="213"/>
      <c r="AL2447" s="213"/>
      <c r="AM2447" s="213"/>
      <c r="AN2447" s="213"/>
      <c r="AO2447" s="213"/>
      <c r="AP2447" s="213"/>
      <c r="AQ2447" s="213"/>
      <c r="AR2447" s="213"/>
      <c r="AS2447" s="213"/>
      <c r="AT2447" s="213"/>
      <c r="AU2447" s="213"/>
      <c r="AV2447" s="213"/>
      <c r="AW2447" s="213"/>
      <c r="AX2447" s="213"/>
      <c r="AY2447" s="213"/>
      <c r="AZ2447" s="213"/>
      <c r="BA2447" s="213"/>
      <c r="BB2447" s="213"/>
      <c r="BC2447" s="213"/>
      <c r="BD2447" s="213"/>
    </row>
    <row r="2448">
      <c r="A2448" s="213">
        <f>IFERROR(__xludf.DUMMYFUNCTION("""COMPUTED_VALUE"""),1294.0)</f>
        <v>1294</v>
      </c>
      <c r="B2448" s="213" t="str">
        <f>IFERROR(__xludf.DUMMYFUNCTION("""COMPUTED_VALUE"""),"GUILLERMO E. BILLINGHURST ")</f>
        <v>GUILLERMO E. BILLINGHURST </v>
      </c>
      <c r="C2448" s="213" t="str">
        <f>IFERROR(__xludf.DUMMYFUNCTION("""COMPUTED_VALUE"""),"TALLER SFT DE ELECTRICIDAD")</f>
        <v>TALLER SFT DE ELECTRICIDAD</v>
      </c>
      <c r="D2448" s="213" t="str">
        <f>IFERROR(__xludf.DUMMYFUNCTION("""COMPUTED_VALUE"""),"HERRAMIENTAS")</f>
        <v>HERRAMIENTAS</v>
      </c>
      <c r="E2448" s="213" t="str">
        <f>IFERROR(__xludf.DUMMYFUNCTION("""COMPUTED_VALUE"""),"MAT-449")</f>
        <v>MAT-449</v>
      </c>
      <c r="F2448" s="213" t="str">
        <f>IFERROR(__xludf.DUMMYFUNCTION("""COMPUTED_VALUE"""),"MAT-449")</f>
        <v>MAT-449</v>
      </c>
      <c r="G2448" s="213"/>
      <c r="H2448" s="213" t="str">
        <f>IFERROR(__xludf.DUMMYFUNCTION("""COMPUTED_VALUE"""),"SOFTWARE SIMULADOR DE INSTALACIONES ELÉCTRICAS DOMICILIARIAS EN ESPAÑOL (SOFTWARE LIBRE)")</f>
        <v>SOFTWARE SIMULADOR DE INSTALACIONES ELÉCTRICAS DOMICILIARIAS EN ESPAÑOL (SOFTWARE LIBRE)</v>
      </c>
      <c r="I2448" s="213" t="str">
        <f>IFERROR(__xludf.DUMMYFUNCTION("""COMPUTED_VALUE"""),"Contiene:
· Cocodrile Clip:    Versión 3.5 o mas reciente
Es un simulador eléctrico simple y sencillo de utilizar, con este software se pueden crear circuitos utilizando simbología y gráficos de componentes reales. En ella se pueden simular circuitos bási"&amp;"cos, interruptores, bombillas, baterías, compuertas lógicas, contactores, etc.
. Características del software: Cuenta con una biblioteca de 50 ejemplos de diseños / Realiza la simulación de circuitos eléctricos, electrónicos (tanto digitales como analógic"&amp;"os) y sistemas mecánicos / Las medidas eléctricas se pueden realizar utilizando la instrumentación adecuada voltímetros, amperímetros o sondas para osciloscopio, o por burbujas de información, , es decir situando el ratón sobre el cable o el componente / "&amp;"Permite la modificación de las características de los componentes especiales como interruptores de nivel  de líquidos, potenciómetros, fototransistores, resistencias LDR, NTC, etc. / Los Componentes mecánicos disponibles en esta versión son: Motor, Motor "&amp;"de Velocidad Constante, Fuerza, Masa, Resorte, Par de fuerzas, Volante, Engranajes, Mando de cadena, Piñón y cremallera, Generador, Solenoide, Micro interruptor / Los Componentes eléctricos añadidos en esta versión son: Pantalla de 7 Segmentos, Decimal Co"&amp;"dificado Binario a decodificador de 7 Segmentos, Lámpara de Filamento, Interruptor de flotador, Optoaislador Fototransistor con lámpara, altavoz, transistores (se puede ajustar la ganancia de cada transistor haciendo un doble clic en el símbolo de transis"&amp;"tor).
· KiCad: Versión 5.0.0 o mas reciente
Es un paquete de software libre para la automatización del diseño electrónico. Facilita el diseño esquemático para circuitos electrónicos y su conversión a placa de circuito impreso.
KiCad cuenta con un entorno "&amp;"integrado para captura esquemática y de diseño de PCB. Existen herramientas dentro del software para crear una lista de materiales, ilustraciones, archivos Gerber y vistas 3D de la PCB y sus componentes.
. Características del software: Utiliza un entorno "&amp;"integrado para todas las etapas del proceso de diseño: captura esquemática, diseño de PCB, generación/visualización de archivos Gerber y edición de librerías de componentes (para símbolos y footprints) / Tiene muchas bibliotecas de componentes y los usuar"&amp;"ios pueden agregar y personalizar sus componentes / Posee herramientas para ayudar a importar componentes de otras aplicaciones / Licencia: Libre / Idioma: Múltiple (incluye el español) / Se instala sobre la plataforma Windows 7 y superior.
· CYPELEC NF, "&amp;"versión más reciente:
Es un programa con una interfaz sencilla e intuitiva y de muy fácil manejo: Sus instrucciones están basadas principalmente en la normatividad francesa.
. Características del software: Diseño de instalaciones eléctricas de baja tensió"&amp;"n como para: locales comerciales, edificios residenciales y edificios comerciales o industriales / Crea esquemas unifilares y su cálculo de la instalación eléctrica / Posibilita la inserción de diferentes componentes eléctricos en los planos de la instala"&amp;"ción / Permite el diseño de esquemas eléctricos en planos de planta / Genera informes de resultados y listado de materiales / Se instala sobre la plataforma Windows 8 y superior.")</f>
        <v>Contiene:
· Cocodrile Clip:    Versión 3.5 o mas reciente
Es un simulador eléctrico simple y sencillo de utilizar, con este software se pueden crear circuitos utilizando simbología y gráficos de componentes reales. En ella se pueden simular circuitos básicos, interruptores, bombillas, baterías, compuertas lógicas, contactores, etc.
. Características del software: Cuenta con una biblioteca de 50 ejemplos de diseños / Realiza la simulación de circuitos eléctricos, electrónicos (tanto digitales como analógicos) y sistemas mecánicos / Las medidas eléctricas se pueden realizar utilizando la instrumentación adecuada voltímetros, amperímetros o sondas para osciloscopio, o por burbujas de información, , es decir situando el ratón sobre el cable o el componente / Permite la modificación de las características de los componentes especiales como interruptores de nivel  de líquidos, potenciómetros, fototransistores, resistencias LDR, NTC, etc. / Los Componentes mecánicos disponibles en esta versión son: Motor, Motor de Velocidad Constante, Fuerza, Masa, Resorte, Par de fuerzas, Volante, Engranajes, Mando de cadena, Piñón y cremallera, Generador, Solenoide, Micro interruptor / Los Componentes eléctricos añadidos en esta versión son: Pantalla de 7 Segmentos, Decimal Codificado Binario a decodificador de 7 Segmentos, Lámpara de Filamento, Interruptor de flotador, Optoaislador Fototransistor con lámpara, altavoz, transistores (se puede ajustar la ganancia de cada transistor haciendo un doble clic en el símbolo de transistor).
· KiCad: Versión 5.0.0 o mas reciente
Es un paquete de software libre para la automatización del diseño electrónico. Facilita el diseño esquemático para circuitos electrónicos y su conversión a placa de circuito impreso.
KiCad cuenta con un entorno integrado para captura esquemática y de diseño de PCB. Existen herramientas dentro del software para crear una lista de materiales, ilustraciones, archivos Gerber y vistas 3D de la PCB y sus componentes.
. Características del software: Utiliza un entorno integrado para todas las etapas del proceso de diseño: captura esquemática, diseño de PCB, generación/visualización de archivos Gerber y edición de librerías de componentes (para símbolos y footprints) / Tiene muchas bibliotecas de componentes y los usuarios pueden agregar y personalizar sus componentes / Posee herramientas para ayudar a importar componentes de otras aplicaciones / Licencia: Libre / Idioma: Múltiple (incluye el español) / Se instala sobre la plataforma Windows 7 y superior.
· CYPELEC NF, versión más reciente:
Es un programa con una interfaz sencilla e intuitiva y de muy fácil manejo: Sus instrucciones están basadas principalmente en la normatividad francesa.
. Características del software: Diseño de instalaciones eléctricas de baja tensión como para: locales comerciales, edificios residenciales y edificios comerciales o industriales / Crea esquemas unifilares y su cálculo de la instalación eléctrica / Posibilita la inserción de diferentes componentes eléctricos en los planos de la instalación / Permite el diseño de esquemas eléctricos en planos de planta / Genera informes de resultados y listado de materiales / Se instala sobre la plataforma Windows 8 y superior.</v>
      </c>
      <c r="J2448" s="213">
        <f>IFERROR(__xludf.DUMMYFUNCTION("""COMPUTED_VALUE"""),3.0)</f>
        <v>3</v>
      </c>
      <c r="K2448" s="213" t="str">
        <f>IFERROR(__xludf.DUMMYFUNCTION("""COMPUTED_VALUE"""),"170 DÍAS CALENDARIO")</f>
        <v>170 DÍAS CALENDARIO</v>
      </c>
      <c r="L2448" s="213" t="str">
        <f>IFERROR(__xludf.DUMMYFUNCTION("""COMPUTED_VALUE"""),"")</f>
        <v/>
      </c>
      <c r="M2448" s="213">
        <f>IFERROR(__xludf.DUMMYFUNCTION("""COMPUTED_VALUE"""),1.0)</f>
        <v>1</v>
      </c>
      <c r="N2448" s="213">
        <f>IFERROR(__xludf.DUMMYFUNCTION("""COMPUTED_VALUE"""),21.0)</f>
        <v>21</v>
      </c>
      <c r="O2448" s="213">
        <f>IFERROR(__xludf.DUMMYFUNCTION("""COMPUTED_VALUE"""),21.0)</f>
        <v>21</v>
      </c>
      <c r="P2448" s="213"/>
      <c r="Q2448" s="213"/>
      <c r="R2448" s="213" t="str">
        <f>IFERROR(__xludf.DUMMYFUNCTION("""COMPUTED_VALUE"""),"SI")</f>
        <v>SI</v>
      </c>
      <c r="S2448" s="213"/>
      <c r="T2448" s="213" t="str">
        <f>IFERROR(__xludf.DUMMYFUNCTION("""COMPUTED_VALUE"""),"NO")</f>
        <v>NO</v>
      </c>
      <c r="U2448" s="213"/>
      <c r="V2448" s="213"/>
      <c r="W2448" s="213"/>
      <c r="X2448" s="213"/>
      <c r="Y2448" s="213"/>
      <c r="Z2448" s="213"/>
      <c r="AA2448" s="213"/>
      <c r="AB2448" s="213"/>
      <c r="AC2448" s="213"/>
      <c r="AD2448" s="213"/>
      <c r="AE2448" s="213"/>
      <c r="AF2448" s="213"/>
      <c r="AG2448" s="213"/>
      <c r="AH2448" s="213"/>
      <c r="AI2448" s="213"/>
      <c r="AJ2448" s="213"/>
      <c r="AK2448" s="213"/>
      <c r="AL2448" s="213"/>
      <c r="AM2448" s="213"/>
      <c r="AN2448" s="213"/>
      <c r="AO2448" s="213"/>
      <c r="AP2448" s="213"/>
      <c r="AQ2448" s="213"/>
      <c r="AR2448" s="213"/>
      <c r="AS2448" s="213"/>
      <c r="AT2448" s="213"/>
      <c r="AU2448" s="213"/>
      <c r="AV2448" s="213"/>
      <c r="AW2448" s="213"/>
      <c r="AX2448" s="213"/>
      <c r="AY2448" s="213"/>
      <c r="AZ2448" s="213"/>
      <c r="BA2448" s="213"/>
      <c r="BB2448" s="213"/>
      <c r="BC2448" s="213"/>
      <c r="BD2448" s="213"/>
    </row>
    <row r="2449">
      <c r="A2449" s="213">
        <f>IFERROR(__xludf.DUMMYFUNCTION("""COMPUTED_VALUE"""),477.0)</f>
        <v>477</v>
      </c>
      <c r="B2449" s="213" t="str">
        <f>IFERROR(__xludf.DUMMYFUNCTION("""COMPUTED_VALUE"""),"2026 SIMON BOLIVAR")</f>
        <v>2026 SIMON BOLIVAR</v>
      </c>
      <c r="C2449" s="213" t="str">
        <f>IFERROR(__xludf.DUMMYFUNCTION("""COMPUTED_VALUE"""),"TALLER SFT DE INDUSTRIA ALIMENTARIA")</f>
        <v>TALLER SFT DE INDUSTRIA ALIMENTARIA</v>
      </c>
      <c r="D2449" s="213" t="str">
        <f>IFERROR(__xludf.DUMMYFUNCTION("""COMPUTED_VALUE"""),"HERRAMIENTAS")</f>
        <v>HERRAMIENTAS</v>
      </c>
      <c r="E2449" s="213" t="str">
        <f>IFERROR(__xludf.DUMMYFUNCTION("""COMPUTED_VALUE"""),"MAT-453")</f>
        <v>MAT-453</v>
      </c>
      <c r="F2449" s="213" t="str">
        <f>IFERROR(__xludf.DUMMYFUNCTION("""COMPUTED_VALUE"""),"MAT-453")</f>
        <v>MAT-453</v>
      </c>
      <c r="G2449" s="213"/>
      <c r="H2449" s="213" t="str">
        <f>IFERROR(__xludf.DUMMYFUNCTION("""COMPUTED_VALUE"""),"TABLA DE PICAR")</f>
        <v>TABLA DE PICAR</v>
      </c>
      <c r="I2449" s="213" t="str">
        <f>IFERROR(__xludf.DUMMYFUNCTION("""COMPUTED_VALUE"""),"· Polietileno de alta calidad.
· Sanitario, no absorbe humedad, fisiológicamente inerte
· Limitación resistencia a la temperatura máx. 80 °C, moderada rigidez, y poca resistencia a fluencia.
· Color Blanco.
· Elevada resistencia a bajas temperaturas.
· Me"&amp;"didas mínimas: 40 cm X 25 cm X 1.5 cm.")</f>
        <v>· Polietileno de alta calidad.
· Sanitario, no absorbe humedad, fisiológicamente inerte
· Limitación resistencia a la temperatura máx. 80 °C, moderada rigidez, y poca resistencia a fluencia.
· Color Blanco.
· Elevada resistencia a bajas temperaturas.
· Medidas mínimas: 40 cm X 25 cm X 1.5 cm.</v>
      </c>
      <c r="J2449" s="213">
        <f>IFERROR(__xludf.DUMMYFUNCTION("""COMPUTED_VALUE"""),3.0)</f>
        <v>3</v>
      </c>
      <c r="K2449" s="213" t="str">
        <f>IFERROR(__xludf.DUMMYFUNCTION("""COMPUTED_VALUE"""),"90 DÍAS CALENDARIO")</f>
        <v>90 DÍAS CALENDARIO</v>
      </c>
      <c r="L2449" s="213" t="str">
        <f>IFERROR(__xludf.DUMMYFUNCTION("""COMPUTED_VALUE"""),"")</f>
        <v/>
      </c>
      <c r="M2449" s="213">
        <f>IFERROR(__xludf.DUMMYFUNCTION("""COMPUTED_VALUE"""),1.0)</f>
        <v>1</v>
      </c>
      <c r="N2449" s="213">
        <f>IFERROR(__xludf.DUMMYFUNCTION("""COMPUTED_VALUE"""),4.0)</f>
        <v>4</v>
      </c>
      <c r="O2449" s="213">
        <f>IFERROR(__xludf.DUMMYFUNCTION("""COMPUTED_VALUE"""),4.0)</f>
        <v>4</v>
      </c>
      <c r="P2449" s="213"/>
      <c r="Q2449" s="213"/>
      <c r="R2449" s="213" t="str">
        <f>IFERROR(__xludf.DUMMYFUNCTION("""COMPUTED_VALUE"""),"SI")</f>
        <v>SI</v>
      </c>
      <c r="S2449" s="213"/>
      <c r="T2449" s="213" t="str">
        <f>IFERROR(__xludf.DUMMYFUNCTION("""COMPUTED_VALUE"""),"SI")</f>
        <v>SI</v>
      </c>
      <c r="U2449" s="213" t="str">
        <f>IFERROR(__xludf.DUMMYFUNCTION("""COMPUTED_VALUE"""),"SI")</f>
        <v>SI</v>
      </c>
      <c r="V2449" s="213" t="str">
        <f>IFERROR(__xludf.DUMMYFUNCTION("""COMPUTED_VALUE"""),"-")</f>
        <v>-</v>
      </c>
      <c r="W2449" s="213" t="str">
        <f>IFERROR(__xludf.DUMMYFUNCTION("""COMPUTED_VALUE"""),"-")</f>
        <v>-</v>
      </c>
      <c r="X2449" s="213" t="str">
        <f>IFERROR(__xludf.DUMMYFUNCTION("""COMPUTED_VALUE"""),"GENERICO")</f>
        <v>GENERICO</v>
      </c>
      <c r="Y2449" s="213" t="str">
        <f>IFERROR(__xludf.DUMMYFUNCTION("""COMPUTED_VALUE"""),"GENERICO")</f>
        <v>GENERICO</v>
      </c>
      <c r="Z2449" s="215" t="str">
        <f>IFERROR(__xludf.DUMMYFUNCTION("""COMPUTED_VALUE"""),"https://articulo.mercadolibre.com.pe/MPE-702602766-tabla-de-picar-profesional-45x30x2cm-de-polietileno-nueva-_JM?searchVariation=182930502034#polycard_client=recommendations_vip-v2p&amp;reco_backend=ranker_retrieval_system_org&amp;reco_model=rk_ent_v3_retsys_org&amp;"&amp;"reco_client=vip-v2p&amp;reco_item_pos=0&amp;reco_backend_type=low_level&amp;reco_id=df200d9f-25f1-44ed-ab1b-fea13595db2b")</f>
        <v>https://articulo.mercadolibre.com.pe/MPE-702602766-tabla-de-picar-profesional-45x30x2cm-de-polietileno-nueva-_JM?searchVariation=182930502034#polycard_client=recommendations_vip-v2p&amp;reco_backend=ranker_retrieval_system_org&amp;reco_model=rk_ent_v3_retsys_org&amp;reco_client=vip-v2p&amp;reco_item_pos=0&amp;reco_backend_type=low_level&amp;reco_id=df200d9f-25f1-44ed-ab1b-fea13595db2b</v>
      </c>
      <c r="AA2449" s="213" t="str">
        <f>IFERROR(__xludf.DUMMYFUNCTION("""COMPUTED_VALUE"""),"MAT-453 TABLA DE PICAR - CET")</f>
        <v>MAT-453 TABLA DE PICAR - CET</v>
      </c>
      <c r="AB2449" s="213"/>
      <c r="AC2449" s="213"/>
      <c r="AD2449" s="213"/>
      <c r="AE2449" s="213"/>
      <c r="AF2449" s="213"/>
      <c r="AG2449" s="213"/>
      <c r="AH2449" s="213"/>
      <c r="AI2449" s="213"/>
      <c r="AJ2449" s="213"/>
      <c r="AK2449" s="213"/>
      <c r="AL2449" s="213"/>
      <c r="AM2449" s="213"/>
      <c r="AN2449" s="213"/>
      <c r="AO2449" s="213"/>
      <c r="AP2449" s="213" t="str">
        <f>IFERROR(__xludf.DUMMYFUNCTION("""COMPUTED_VALUE"""),"LUIS")</f>
        <v>LUIS</v>
      </c>
      <c r="AQ2449" s="213"/>
      <c r="AR2449" s="213"/>
      <c r="AS2449" s="213"/>
      <c r="AT2449" s="213"/>
      <c r="AU2449" s="213"/>
      <c r="AV2449" s="213"/>
      <c r="AW2449" s="213"/>
      <c r="AX2449" s="213"/>
      <c r="AY2449" s="213"/>
      <c r="AZ2449" s="213"/>
      <c r="BA2449" s="213"/>
      <c r="BB2449" s="213"/>
      <c r="BC2449" s="213"/>
      <c r="BD2449" s="213"/>
    </row>
    <row r="2450">
      <c r="A2450" s="213">
        <f>IFERROR(__xludf.DUMMYFUNCTION("""COMPUTED_VALUE"""),1107.0)</f>
        <v>1107</v>
      </c>
      <c r="B2450" s="213" t="str">
        <f>IFERROR(__xludf.DUMMYFUNCTION("""COMPUTED_VALUE"""),"FRANCISCO IRAZOLA")</f>
        <v>FRANCISCO IRAZOLA</v>
      </c>
      <c r="C2450" s="213" t="str">
        <f>IFERROR(__xludf.DUMMYFUNCTION("""COMPUTED_VALUE"""),"TALLER SFT DE INDUSTRIA ALIMENTARIA")</f>
        <v>TALLER SFT DE INDUSTRIA ALIMENTARIA</v>
      </c>
      <c r="D2450" s="213" t="str">
        <f>IFERROR(__xludf.DUMMYFUNCTION("""COMPUTED_VALUE"""),"HERRAMIENTAS")</f>
        <v>HERRAMIENTAS</v>
      </c>
      <c r="E2450" s="213" t="str">
        <f>IFERROR(__xludf.DUMMYFUNCTION("""COMPUTED_VALUE"""),"MAT-453")</f>
        <v>MAT-453</v>
      </c>
      <c r="F2450" s="213" t="str">
        <f>IFERROR(__xludf.DUMMYFUNCTION("""COMPUTED_VALUE"""),"MAT-453")</f>
        <v>MAT-453</v>
      </c>
      <c r="G2450" s="213"/>
      <c r="H2450" s="213" t="str">
        <f>IFERROR(__xludf.DUMMYFUNCTION("""COMPUTED_VALUE"""),"TABLA DE PICAR")</f>
        <v>TABLA DE PICAR</v>
      </c>
      <c r="I2450" s="213" t="str">
        <f>IFERROR(__xludf.DUMMYFUNCTION("""COMPUTED_VALUE"""),"· Polietileno de alta calidad.
· Sanitario, no absorbe humedad, fisiológicamente inerte
· Limitación resistencia a la temperatura máx. 80 °C, moderada rigidez, y poca resistencia a fluencia.
· Color Blanco.
· Elevada resistencia a bajas temperaturas.
· Me"&amp;"didas mínimas: 40 cm X 25 cm X 1.5 cm.")</f>
        <v>· Polietileno de alta calidad.
· Sanitario, no absorbe humedad, fisiológicamente inerte
· Limitación resistencia a la temperatura máx. 80 °C, moderada rigidez, y poca resistencia a fluencia.
· Color Blanco.
· Elevada resistencia a bajas temperaturas.
· Medidas mínimas: 40 cm X 25 cm X 1.5 cm.</v>
      </c>
      <c r="J2450" s="213">
        <f>IFERROR(__xludf.DUMMYFUNCTION("""COMPUTED_VALUE"""),3.0)</f>
        <v>3</v>
      </c>
      <c r="K2450" s="213" t="str">
        <f>IFERROR(__xludf.DUMMYFUNCTION("""COMPUTED_VALUE"""),"90 DÍAS CALENDARIO")</f>
        <v>90 DÍAS CALENDARIO</v>
      </c>
      <c r="L2450" s="213" t="str">
        <f>IFERROR(__xludf.DUMMYFUNCTION("""COMPUTED_VALUE"""),"")</f>
        <v/>
      </c>
      <c r="M2450" s="213">
        <f>IFERROR(__xludf.DUMMYFUNCTION("""COMPUTED_VALUE"""),1.0)</f>
        <v>1</v>
      </c>
      <c r="N2450" s="213">
        <f>IFERROR(__xludf.DUMMYFUNCTION("""COMPUTED_VALUE"""),4.0)</f>
        <v>4</v>
      </c>
      <c r="O2450" s="213">
        <f>IFERROR(__xludf.DUMMYFUNCTION("""COMPUTED_VALUE"""),4.0)</f>
        <v>4</v>
      </c>
      <c r="P2450" s="213"/>
      <c r="Q2450" s="213"/>
      <c r="R2450" s="213" t="str">
        <f>IFERROR(__xludf.DUMMYFUNCTION("""COMPUTED_VALUE"""),"SI")</f>
        <v>SI</v>
      </c>
      <c r="S2450" s="213"/>
      <c r="T2450" s="213" t="str">
        <f>IFERROR(__xludf.DUMMYFUNCTION("""COMPUTED_VALUE"""),"SI")</f>
        <v>SI</v>
      </c>
      <c r="U2450" s="213" t="str">
        <f>IFERROR(__xludf.DUMMYFUNCTION("""COMPUTED_VALUE"""),"SI")</f>
        <v>SI</v>
      </c>
      <c r="V2450" s="213" t="str">
        <f>IFERROR(__xludf.DUMMYFUNCTION("""COMPUTED_VALUE"""),"-")</f>
        <v>-</v>
      </c>
      <c r="W2450" s="213" t="str">
        <f>IFERROR(__xludf.DUMMYFUNCTION("""COMPUTED_VALUE"""),"-")</f>
        <v>-</v>
      </c>
      <c r="X2450" s="213" t="str">
        <f>IFERROR(__xludf.DUMMYFUNCTION("""COMPUTED_VALUE"""),"GENERICO")</f>
        <v>GENERICO</v>
      </c>
      <c r="Y2450" s="213" t="str">
        <f>IFERROR(__xludf.DUMMYFUNCTION("""COMPUTED_VALUE"""),"GENERICO")</f>
        <v>GENERICO</v>
      </c>
      <c r="Z2450" s="215" t="str">
        <f>IFERROR(__xludf.DUMMYFUNCTION("""COMPUTED_VALUE"""),"https://articulo.mercadolibre.com.pe/MPE-702602766-tabla-de-picar-profesional-45x30x2cm-de-polietileno-nueva-_JM?searchVariation=182930502034#polycard_client=recommendations_vip-v2p&amp;reco_backend=ranker_retrieval_system_org&amp;reco_model=rk_ent_v3_retsys_org&amp;"&amp;"reco_client=vip-v2p&amp;reco_item_pos=0&amp;reco_backend_type=low_level&amp;reco_id=df200d9f-25f1-44ed-ab1b-fea13595db2b")</f>
        <v>https://articulo.mercadolibre.com.pe/MPE-702602766-tabla-de-picar-profesional-45x30x2cm-de-polietileno-nueva-_JM?searchVariation=182930502034#polycard_client=recommendations_vip-v2p&amp;reco_backend=ranker_retrieval_system_org&amp;reco_model=rk_ent_v3_retsys_org&amp;reco_client=vip-v2p&amp;reco_item_pos=0&amp;reco_backend_type=low_level&amp;reco_id=df200d9f-25f1-44ed-ab1b-fea13595db2b</v>
      </c>
      <c r="AA2450" s="213" t="str">
        <f>IFERROR(__xludf.DUMMYFUNCTION("""COMPUTED_VALUE"""),"MAT-453 TABLA DE PICAR - CET")</f>
        <v>MAT-453 TABLA DE PICAR - CET</v>
      </c>
      <c r="AB2450" s="213"/>
      <c r="AC2450" s="213"/>
      <c r="AD2450" s="213"/>
      <c r="AE2450" s="213"/>
      <c r="AF2450" s="213"/>
      <c r="AG2450" s="213"/>
      <c r="AH2450" s="213"/>
      <c r="AI2450" s="213"/>
      <c r="AJ2450" s="213"/>
      <c r="AK2450" s="213"/>
      <c r="AL2450" s="213"/>
      <c r="AM2450" s="213"/>
      <c r="AN2450" s="213"/>
      <c r="AO2450" s="213"/>
      <c r="AP2450" s="213" t="str">
        <f>IFERROR(__xludf.DUMMYFUNCTION("""COMPUTED_VALUE"""),"LUIS")</f>
        <v>LUIS</v>
      </c>
      <c r="AQ2450" s="213"/>
      <c r="AR2450" s="213"/>
      <c r="AS2450" s="213"/>
      <c r="AT2450" s="213"/>
      <c r="AU2450" s="213"/>
      <c r="AV2450" s="213"/>
      <c r="AW2450" s="213"/>
      <c r="AX2450" s="213"/>
      <c r="AY2450" s="213"/>
      <c r="AZ2450" s="213"/>
      <c r="BA2450" s="213"/>
      <c r="BB2450" s="213"/>
      <c r="BC2450" s="213"/>
      <c r="BD2450" s="213"/>
    </row>
    <row r="2451">
      <c r="A2451" s="213">
        <f>IFERROR(__xludf.DUMMYFUNCTION("""COMPUTED_VALUE"""),1379.0)</f>
        <v>1379</v>
      </c>
      <c r="B2451" s="213" t="str">
        <f>IFERROR(__xludf.DUMMYFUNCTION("""COMPUTED_VALUE"""),"GUILLERMO E. BILLINGHURST ")</f>
        <v>GUILLERMO E. BILLINGHURST </v>
      </c>
      <c r="C2451" s="213" t="str">
        <f>IFERROR(__xludf.DUMMYFUNCTION("""COMPUTED_VALUE"""),"TALLER SFT DE INDUSTRIA ALIMENTARIA")</f>
        <v>TALLER SFT DE INDUSTRIA ALIMENTARIA</v>
      </c>
      <c r="D2451" s="213" t="str">
        <f>IFERROR(__xludf.DUMMYFUNCTION("""COMPUTED_VALUE"""),"HERRAMIENTAS")</f>
        <v>HERRAMIENTAS</v>
      </c>
      <c r="E2451" s="213" t="str">
        <f>IFERROR(__xludf.DUMMYFUNCTION("""COMPUTED_VALUE"""),"MAT-453")</f>
        <v>MAT-453</v>
      </c>
      <c r="F2451" s="213" t="str">
        <f>IFERROR(__xludf.DUMMYFUNCTION("""COMPUTED_VALUE"""),"MAT-453")</f>
        <v>MAT-453</v>
      </c>
      <c r="G2451" s="213"/>
      <c r="H2451" s="213" t="str">
        <f>IFERROR(__xludf.DUMMYFUNCTION("""COMPUTED_VALUE"""),"TABLA DE PICAR")</f>
        <v>TABLA DE PICAR</v>
      </c>
      <c r="I2451" s="213" t="str">
        <f>IFERROR(__xludf.DUMMYFUNCTION("""COMPUTED_VALUE"""),"· Polietileno de alta calidad.
· Sanitario, no absorbe humedad, fisiológicamente inerte
· Limitación resistencia a la temperatura máx. 80 °C, moderada rigidez, y poca resistencia a fluencia.
· Color Blanco.
· Elevada resistencia a bajas temperaturas.
· Me"&amp;"didas mínimas: 40 cm X 25 cm X 1.5 cm.")</f>
        <v>· Polietileno de alta calidad.
· Sanitario, no absorbe humedad, fisiológicamente inerte
· Limitación resistencia a la temperatura máx. 80 °C, moderada rigidez, y poca resistencia a fluencia.
· Color Blanco.
· Elevada resistencia a bajas temperaturas.
· Medidas mínimas: 40 cm X 25 cm X 1.5 cm.</v>
      </c>
      <c r="J2451" s="213">
        <f>IFERROR(__xludf.DUMMYFUNCTION("""COMPUTED_VALUE"""),3.0)</f>
        <v>3</v>
      </c>
      <c r="K2451" s="213" t="str">
        <f>IFERROR(__xludf.DUMMYFUNCTION("""COMPUTED_VALUE"""),"90 DÍAS CALENDARIO")</f>
        <v>90 DÍAS CALENDARIO</v>
      </c>
      <c r="L2451" s="213" t="str">
        <f>IFERROR(__xludf.DUMMYFUNCTION("""COMPUTED_VALUE"""),"")</f>
        <v/>
      </c>
      <c r="M2451" s="213">
        <f>IFERROR(__xludf.DUMMYFUNCTION("""COMPUTED_VALUE"""),1.0)</f>
        <v>1</v>
      </c>
      <c r="N2451" s="213">
        <f>IFERROR(__xludf.DUMMYFUNCTION("""COMPUTED_VALUE"""),4.0)</f>
        <v>4</v>
      </c>
      <c r="O2451" s="213">
        <f>IFERROR(__xludf.DUMMYFUNCTION("""COMPUTED_VALUE"""),4.0)</f>
        <v>4</v>
      </c>
      <c r="P2451" s="213"/>
      <c r="Q2451" s="213"/>
      <c r="R2451" s="213" t="str">
        <f>IFERROR(__xludf.DUMMYFUNCTION("""COMPUTED_VALUE"""),"SI")</f>
        <v>SI</v>
      </c>
      <c r="S2451" s="213"/>
      <c r="T2451" s="213" t="str">
        <f>IFERROR(__xludf.DUMMYFUNCTION("""COMPUTED_VALUE"""),"SI")</f>
        <v>SI</v>
      </c>
      <c r="U2451" s="213" t="str">
        <f>IFERROR(__xludf.DUMMYFUNCTION("""COMPUTED_VALUE"""),"SI")</f>
        <v>SI</v>
      </c>
      <c r="V2451" s="213" t="str">
        <f>IFERROR(__xludf.DUMMYFUNCTION("""COMPUTED_VALUE"""),"-")</f>
        <v>-</v>
      </c>
      <c r="W2451" s="213" t="str">
        <f>IFERROR(__xludf.DUMMYFUNCTION("""COMPUTED_VALUE"""),"-")</f>
        <v>-</v>
      </c>
      <c r="X2451" s="213" t="str">
        <f>IFERROR(__xludf.DUMMYFUNCTION("""COMPUTED_VALUE"""),"GENERICO")</f>
        <v>GENERICO</v>
      </c>
      <c r="Y2451" s="213" t="str">
        <f>IFERROR(__xludf.DUMMYFUNCTION("""COMPUTED_VALUE"""),"GENERICO")</f>
        <v>GENERICO</v>
      </c>
      <c r="Z2451" s="215" t="str">
        <f>IFERROR(__xludf.DUMMYFUNCTION("""COMPUTED_VALUE"""),"https://articulo.mercadolibre.com.pe/MPE-702602766-tabla-de-picar-profesional-45x30x2cm-de-polietileno-nueva-_JM?searchVariation=182930502034#polycard_client=recommendations_vip-v2p&amp;reco_backend=ranker_retrieval_system_org&amp;reco_model=rk_ent_v3_retsys_org&amp;"&amp;"reco_client=vip-v2p&amp;reco_item_pos=0&amp;reco_backend_type=low_level&amp;reco_id=df200d9f-25f1-44ed-ab1b-fea13595db2b")</f>
        <v>https://articulo.mercadolibre.com.pe/MPE-702602766-tabla-de-picar-profesional-45x30x2cm-de-polietileno-nueva-_JM?searchVariation=182930502034#polycard_client=recommendations_vip-v2p&amp;reco_backend=ranker_retrieval_system_org&amp;reco_model=rk_ent_v3_retsys_org&amp;reco_client=vip-v2p&amp;reco_item_pos=0&amp;reco_backend_type=low_level&amp;reco_id=df200d9f-25f1-44ed-ab1b-fea13595db2b</v>
      </c>
      <c r="AA2451" s="213" t="str">
        <f>IFERROR(__xludf.DUMMYFUNCTION("""COMPUTED_VALUE"""),"MAT-453 TABLA DE PICAR - CET")</f>
        <v>MAT-453 TABLA DE PICAR - CET</v>
      </c>
      <c r="AB2451" s="213"/>
      <c r="AC2451" s="213"/>
      <c r="AD2451" s="213"/>
      <c r="AE2451" s="213"/>
      <c r="AF2451" s="213"/>
      <c r="AG2451" s="213"/>
      <c r="AH2451" s="213"/>
      <c r="AI2451" s="213"/>
      <c r="AJ2451" s="213"/>
      <c r="AK2451" s="213"/>
      <c r="AL2451" s="213"/>
      <c r="AM2451" s="213"/>
      <c r="AN2451" s="213"/>
      <c r="AO2451" s="213"/>
      <c r="AP2451" s="213" t="str">
        <f>IFERROR(__xludf.DUMMYFUNCTION("""COMPUTED_VALUE"""),"LUIS")</f>
        <v>LUIS</v>
      </c>
      <c r="AQ2451" s="213"/>
      <c r="AR2451" s="213"/>
      <c r="AS2451" s="213"/>
      <c r="AT2451" s="213"/>
      <c r="AU2451" s="213"/>
      <c r="AV2451" s="213"/>
      <c r="AW2451" s="213"/>
      <c r="AX2451" s="213"/>
      <c r="AY2451" s="213"/>
      <c r="AZ2451" s="213"/>
      <c r="BA2451" s="213"/>
      <c r="BB2451" s="213"/>
      <c r="BC2451" s="213"/>
      <c r="BD2451" s="213"/>
    </row>
    <row r="2452">
      <c r="A2452" s="213">
        <f>IFERROR(__xludf.DUMMYFUNCTION("""COMPUTED_VALUE"""),2066.0)</f>
        <v>2066</v>
      </c>
      <c r="B2452" s="213" t="str">
        <f>IFERROR(__xludf.DUMMYFUNCTION("""COMPUTED_VALUE"""),"JOSE GRANDA")</f>
        <v>JOSE GRANDA</v>
      </c>
      <c r="C2452" s="213" t="str">
        <f>IFERROR(__xludf.DUMMYFUNCTION("""COMPUTED_VALUE"""),"TALLER SFT DE INDUSTRIA ALIMENTARIA")</f>
        <v>TALLER SFT DE INDUSTRIA ALIMENTARIA</v>
      </c>
      <c r="D2452" s="213" t="str">
        <f>IFERROR(__xludf.DUMMYFUNCTION("""COMPUTED_VALUE"""),"HERRAMIENTAS")</f>
        <v>HERRAMIENTAS</v>
      </c>
      <c r="E2452" s="213" t="str">
        <f>IFERROR(__xludf.DUMMYFUNCTION("""COMPUTED_VALUE"""),"MAT-453")</f>
        <v>MAT-453</v>
      </c>
      <c r="F2452" s="213" t="str">
        <f>IFERROR(__xludf.DUMMYFUNCTION("""COMPUTED_VALUE"""),"MAT-453")</f>
        <v>MAT-453</v>
      </c>
      <c r="G2452" s="213"/>
      <c r="H2452" s="213" t="str">
        <f>IFERROR(__xludf.DUMMYFUNCTION("""COMPUTED_VALUE"""),"TABLA DE PICAR")</f>
        <v>TABLA DE PICAR</v>
      </c>
      <c r="I2452" s="213" t="str">
        <f>IFERROR(__xludf.DUMMYFUNCTION("""COMPUTED_VALUE"""),"· Polietileno de alta calidad.
· Sanitario, no absorbe humedad, fisiológicamente inerte
· Limitación resistencia a la temperatura máx. 80 °C, moderada rigidez, y poca resistencia a fluencia.
· Color Blanco.
· Elevada resistencia a bajas temperaturas.
· Me"&amp;"didas mínimas: 40 cm X 25 cm X 1.5 cm.")</f>
        <v>· Polietileno de alta calidad.
· Sanitario, no absorbe humedad, fisiológicamente inerte
· Limitación resistencia a la temperatura máx. 80 °C, moderada rigidez, y poca resistencia a fluencia.
· Color Blanco.
· Elevada resistencia a bajas temperaturas.
· Medidas mínimas: 40 cm X 25 cm X 1.5 cm.</v>
      </c>
      <c r="J2452" s="213">
        <f>IFERROR(__xludf.DUMMYFUNCTION("""COMPUTED_VALUE"""),3.0)</f>
        <v>3</v>
      </c>
      <c r="K2452" s="213" t="str">
        <f>IFERROR(__xludf.DUMMYFUNCTION("""COMPUTED_VALUE"""),"90 DÍAS CALENDARIO")</f>
        <v>90 DÍAS CALENDARIO</v>
      </c>
      <c r="L2452" s="213" t="str">
        <f>IFERROR(__xludf.DUMMYFUNCTION("""COMPUTED_VALUE"""),"")</f>
        <v/>
      </c>
      <c r="M2452" s="213">
        <f>IFERROR(__xludf.DUMMYFUNCTION("""COMPUTED_VALUE"""),1.0)</f>
        <v>1</v>
      </c>
      <c r="N2452" s="213">
        <f>IFERROR(__xludf.DUMMYFUNCTION("""COMPUTED_VALUE"""),4.0)</f>
        <v>4</v>
      </c>
      <c r="O2452" s="213">
        <f>IFERROR(__xludf.DUMMYFUNCTION("""COMPUTED_VALUE"""),4.0)</f>
        <v>4</v>
      </c>
      <c r="P2452" s="213"/>
      <c r="Q2452" s="213"/>
      <c r="R2452" s="213" t="str">
        <f>IFERROR(__xludf.DUMMYFUNCTION("""COMPUTED_VALUE"""),"SI")</f>
        <v>SI</v>
      </c>
      <c r="S2452" s="213"/>
      <c r="T2452" s="213" t="str">
        <f>IFERROR(__xludf.DUMMYFUNCTION("""COMPUTED_VALUE"""),"SI")</f>
        <v>SI</v>
      </c>
      <c r="U2452" s="213" t="str">
        <f>IFERROR(__xludf.DUMMYFUNCTION("""COMPUTED_VALUE"""),"SI")</f>
        <v>SI</v>
      </c>
      <c r="V2452" s="213" t="str">
        <f>IFERROR(__xludf.DUMMYFUNCTION("""COMPUTED_VALUE"""),"-")</f>
        <v>-</v>
      </c>
      <c r="W2452" s="213" t="str">
        <f>IFERROR(__xludf.DUMMYFUNCTION("""COMPUTED_VALUE"""),"-")</f>
        <v>-</v>
      </c>
      <c r="X2452" s="213" t="str">
        <f>IFERROR(__xludf.DUMMYFUNCTION("""COMPUTED_VALUE"""),"GENERICO")</f>
        <v>GENERICO</v>
      </c>
      <c r="Y2452" s="213" t="str">
        <f>IFERROR(__xludf.DUMMYFUNCTION("""COMPUTED_VALUE"""),"GENERICO")</f>
        <v>GENERICO</v>
      </c>
      <c r="Z2452" s="215" t="str">
        <f>IFERROR(__xludf.DUMMYFUNCTION("""COMPUTED_VALUE"""),"https://articulo.mercadolibre.com.pe/MPE-702602766-tabla-de-picar-profesional-45x30x2cm-de-polietileno-nueva-_JM?searchVariation=182930502034#polycard_client=recommendations_vip-v2p&amp;reco_backend=ranker_retrieval_system_org&amp;reco_model=rk_ent_v3_retsys_org&amp;"&amp;"reco_client=vip-v2p&amp;reco_item_pos=0&amp;reco_backend_type=low_level&amp;reco_id=df200d9f-25f1-44ed-ab1b-fea13595db2b")</f>
        <v>https://articulo.mercadolibre.com.pe/MPE-702602766-tabla-de-picar-profesional-45x30x2cm-de-polietileno-nueva-_JM?searchVariation=182930502034#polycard_client=recommendations_vip-v2p&amp;reco_backend=ranker_retrieval_system_org&amp;reco_model=rk_ent_v3_retsys_org&amp;reco_client=vip-v2p&amp;reco_item_pos=0&amp;reco_backend_type=low_level&amp;reco_id=df200d9f-25f1-44ed-ab1b-fea13595db2b</v>
      </c>
      <c r="AA2452" s="213" t="str">
        <f>IFERROR(__xludf.DUMMYFUNCTION("""COMPUTED_VALUE"""),"MAT-453 TABLA DE PICAR - CET")</f>
        <v>MAT-453 TABLA DE PICAR - CET</v>
      </c>
      <c r="AB2452" s="213"/>
      <c r="AC2452" s="213"/>
      <c r="AD2452" s="213"/>
      <c r="AE2452" s="213"/>
      <c r="AF2452" s="213"/>
      <c r="AG2452" s="213"/>
      <c r="AH2452" s="213"/>
      <c r="AI2452" s="213"/>
      <c r="AJ2452" s="213"/>
      <c r="AK2452" s="213"/>
      <c r="AL2452" s="213"/>
      <c r="AM2452" s="213"/>
      <c r="AN2452" s="213"/>
      <c r="AO2452" s="213"/>
      <c r="AP2452" s="213" t="str">
        <f>IFERROR(__xludf.DUMMYFUNCTION("""COMPUTED_VALUE"""),"LUIS")</f>
        <v>LUIS</v>
      </c>
      <c r="AQ2452" s="213"/>
      <c r="AR2452" s="213"/>
      <c r="AS2452" s="213"/>
      <c r="AT2452" s="213"/>
      <c r="AU2452" s="213"/>
      <c r="AV2452" s="213"/>
      <c r="AW2452" s="213"/>
      <c r="AX2452" s="213"/>
      <c r="AY2452" s="213"/>
      <c r="AZ2452" s="213"/>
      <c r="BA2452" s="213"/>
      <c r="BB2452" s="213"/>
      <c r="BC2452" s="213"/>
      <c r="BD2452" s="213"/>
    </row>
    <row r="2453">
      <c r="A2453" s="213">
        <f>IFERROR(__xludf.DUMMYFUNCTION("""COMPUTED_VALUE"""),38.0)</f>
        <v>38</v>
      </c>
      <c r="B2453" s="213" t="str">
        <f>IFERROR(__xludf.DUMMYFUNCTION("""COMPUTED_VALUE"""),"16449 ELOY SOBERON  FLORES")</f>
        <v>16449 ELOY SOBERON  FLORES</v>
      </c>
      <c r="C2453" s="213" t="str">
        <f>IFERROR(__xludf.DUMMYFUNCTION("""COMPUTED_VALUE"""),"TALLER SFT DE COCINA Y REPOSTERÍA")</f>
        <v>TALLER SFT DE COCINA Y REPOSTERÍA</v>
      </c>
      <c r="D2453" s="213" t="str">
        <f>IFERROR(__xludf.DUMMYFUNCTION("""COMPUTED_VALUE"""),"HERRAMIENTAS")</f>
        <v>HERRAMIENTAS</v>
      </c>
      <c r="E2453" s="213" t="str">
        <f>IFERROR(__xludf.DUMMYFUNCTION("""COMPUTED_VALUE"""),"MAT-454")</f>
        <v>MAT-454</v>
      </c>
      <c r="F2453" s="213" t="str">
        <f>IFERROR(__xludf.DUMMYFUNCTION("""COMPUTED_VALUE"""),"MAT-454")</f>
        <v>MAT-454</v>
      </c>
      <c r="G2453" s="213"/>
      <c r="H2453" s="213" t="str">
        <f>IFERROR(__xludf.DUMMYFUNCTION("""COMPUTED_VALUE"""),"JUEGO DE TAZAS MEDIDORAS")</f>
        <v>JUEGO DE TAZAS MEDIDORAS</v>
      </c>
      <c r="I2453" s="213" t="str">
        <f>IFERROR(__xludf.DUMMYFUNCTION("""COMPUTED_VALUE"""),".  Incluye 5
.  Material Acero inoxidable
. Capacidades marcadas en el cuerpo.")</f>
        <v>.  Incluye 5
.  Material Acero inoxidable
. Capacidades marcadas en el cuerpo.</v>
      </c>
      <c r="J2453" s="213">
        <f>IFERROR(__xludf.DUMMYFUNCTION("""COMPUTED_VALUE"""),3.0)</f>
        <v>3</v>
      </c>
      <c r="K2453" s="213" t="str">
        <f>IFERROR(__xludf.DUMMYFUNCTION("""COMPUTED_VALUE"""),"90 DÍAS CALENDARIO")</f>
        <v>90 DÍAS CALENDARIO</v>
      </c>
      <c r="L2453" s="213" t="str">
        <f>IFERROR(__xludf.DUMMYFUNCTION("""COMPUTED_VALUE"""),"")</f>
        <v/>
      </c>
      <c r="M2453" s="213">
        <f>IFERROR(__xludf.DUMMYFUNCTION("""COMPUTED_VALUE"""),1.0)</f>
        <v>1</v>
      </c>
      <c r="N2453" s="213">
        <f>IFERROR(__xludf.DUMMYFUNCTION("""COMPUTED_VALUE"""),4.0)</f>
        <v>4</v>
      </c>
      <c r="O2453" s="213">
        <f>IFERROR(__xludf.DUMMYFUNCTION("""COMPUTED_VALUE"""),4.0)</f>
        <v>4</v>
      </c>
      <c r="P2453" s="213"/>
      <c r="Q2453" s="213"/>
      <c r="R2453" s="213"/>
      <c r="S2453" s="213"/>
      <c r="T2453" s="213" t="str">
        <f>IFERROR(__xludf.DUMMYFUNCTION("""COMPUTED_VALUE"""),"SI")</f>
        <v>SI</v>
      </c>
      <c r="U2453" s="213" t="str">
        <f>IFERROR(__xludf.DUMMYFUNCTION("""COMPUTED_VALUE"""),"SI")</f>
        <v>SI</v>
      </c>
      <c r="V2453" s="213" t="str">
        <f>IFERROR(__xludf.DUMMYFUNCTION("""COMPUTED_VALUE"""),"-")</f>
        <v>-</v>
      </c>
      <c r="W2453" s="213" t="str">
        <f>IFERROR(__xludf.DUMMYFUNCTION("""COMPUTED_VALUE"""),"-")</f>
        <v>-</v>
      </c>
      <c r="X2453" s="213" t="str">
        <f>IFERROR(__xludf.DUMMYFUNCTION("""COMPUTED_VALUE"""),"Facusa")</f>
        <v>Facusa</v>
      </c>
      <c r="Y2453" s="213" t="str">
        <f>IFERROR(__xludf.DUMMYFUNCTION("""COMPUTED_VALUE"""),"Tazas Medidoras X 5 Blister - Facusa")</f>
        <v>Tazas Medidoras X 5 Blister - Facusa</v>
      </c>
      <c r="Z2453" s="215" t="str">
        <f>IFERROR(__xludf.DUMMYFUNCTION("""COMPUTED_VALUE"""),"https://www.uysa.com.pe/tazas-medidoras-x-5-blister-facusa-10286053/p?srsltid=AfmBOoqTInDPBKpYPGuPUEemumsEdbx3_1rg6mS1_YEnDKePZ8mLhDXV")</f>
        <v>https://www.uysa.com.pe/tazas-medidoras-x-5-blister-facusa-10286053/p?srsltid=AfmBOoqTInDPBKpYPGuPUEemumsEdbx3_1rg6mS1_YEnDKePZ8mLhDXV</v>
      </c>
      <c r="AA2453" s="213" t="str">
        <f>IFERROR(__xludf.DUMMYFUNCTION("""COMPUTED_VALUE"""),"MAT-454 JUEGO DE TAZAS MEDIDORAS - CET")</f>
        <v>MAT-454 JUEGO DE TAZAS MEDIDORAS - CET</v>
      </c>
      <c r="AB2453" s="213"/>
      <c r="AC2453" s="213"/>
      <c r="AD2453" s="213"/>
      <c r="AE2453" s="213"/>
      <c r="AF2453" s="213"/>
      <c r="AG2453" s="213"/>
      <c r="AH2453" s="213"/>
      <c r="AI2453" s="213"/>
      <c r="AJ2453" s="213"/>
      <c r="AK2453" s="213"/>
      <c r="AL2453" s="213"/>
      <c r="AM2453" s="213"/>
      <c r="AN2453" s="213"/>
      <c r="AO2453" s="213"/>
      <c r="AP2453" s="213" t="str">
        <f>IFERROR(__xludf.DUMMYFUNCTION("""COMPUTED_VALUE"""),"BRUNO")</f>
        <v>BRUNO</v>
      </c>
      <c r="AQ2453" s="213"/>
      <c r="AR2453" s="213"/>
      <c r="AS2453" s="213"/>
      <c r="AT2453" s="213"/>
      <c r="AU2453" s="213"/>
      <c r="AV2453" s="213"/>
      <c r="AW2453" s="213"/>
      <c r="AX2453" s="213"/>
      <c r="AY2453" s="213"/>
      <c r="AZ2453" s="213"/>
      <c r="BA2453" s="213"/>
      <c r="BB2453" s="213"/>
      <c r="BC2453" s="213"/>
      <c r="BD2453" s="213"/>
    </row>
    <row r="2454">
      <c r="A2454" s="213">
        <f>IFERROR(__xludf.DUMMYFUNCTION("""COMPUTED_VALUE"""),488.0)</f>
        <v>488</v>
      </c>
      <c r="B2454" s="213" t="str">
        <f>IFERROR(__xludf.DUMMYFUNCTION("""COMPUTED_VALUE"""),"2026 SIMON BOLIVAR")</f>
        <v>2026 SIMON BOLIVAR</v>
      </c>
      <c r="C2454" s="213" t="str">
        <f>IFERROR(__xludf.DUMMYFUNCTION("""COMPUTED_VALUE"""),"TALLER SFT DE INDUSTRIA ALIMENTARIA")</f>
        <v>TALLER SFT DE INDUSTRIA ALIMENTARIA</v>
      </c>
      <c r="D2454" s="213" t="str">
        <f>IFERROR(__xludf.DUMMYFUNCTION("""COMPUTED_VALUE"""),"HERRAMIENTAS")</f>
        <v>HERRAMIENTAS</v>
      </c>
      <c r="E2454" s="213" t="str">
        <f>IFERROR(__xludf.DUMMYFUNCTION("""COMPUTED_VALUE"""),"MAT-455")</f>
        <v>MAT-455</v>
      </c>
      <c r="F2454" s="213" t="str">
        <f>IFERROR(__xludf.DUMMYFUNCTION("""COMPUTED_VALUE"""),"MAT-455")</f>
        <v>MAT-455</v>
      </c>
      <c r="G2454" s="213"/>
      <c r="H2454" s="213" t="str">
        <f>IFERROR(__xludf.DUMMYFUNCTION("""COMPUTED_VALUE"""),"TAZÓN BOWL N° 20")</f>
        <v>TAZÓN BOWL N° 20</v>
      </c>
      <c r="I2454" s="213" t="str">
        <f>IFERROR(__xludf.DUMMYFUNCTION("""COMPUTED_VALUE"""),"· Material: acero inoxidable.
· Forma: Redondo
· Capacidad: 2 Litros
· Diámetro: 20cm")</f>
        <v>· Material: acero inoxidable.
· Forma: Redondo
· Capacidad: 2 Litros
· Diámetro: 20cm</v>
      </c>
      <c r="J2454" s="213">
        <f>IFERROR(__xludf.DUMMYFUNCTION("""COMPUTED_VALUE"""),3.0)</f>
        <v>3</v>
      </c>
      <c r="K2454" s="213" t="str">
        <f>IFERROR(__xludf.DUMMYFUNCTION("""COMPUTED_VALUE"""),"90 DÍAS CALENDARIO")</f>
        <v>90 DÍAS CALENDARIO</v>
      </c>
      <c r="L2454" s="213" t="str">
        <f>IFERROR(__xludf.DUMMYFUNCTION("""COMPUTED_VALUE"""),"")</f>
        <v/>
      </c>
      <c r="M2454" s="213">
        <f>IFERROR(__xludf.DUMMYFUNCTION("""COMPUTED_VALUE"""),1.0)</f>
        <v>1</v>
      </c>
      <c r="N2454" s="213">
        <f>IFERROR(__xludf.DUMMYFUNCTION("""COMPUTED_VALUE"""),5.0)</f>
        <v>5</v>
      </c>
      <c r="O2454" s="213">
        <f>IFERROR(__xludf.DUMMYFUNCTION("""COMPUTED_VALUE"""),5.0)</f>
        <v>5</v>
      </c>
      <c r="P2454" s="213"/>
      <c r="Q2454" s="213"/>
      <c r="R2454" s="213" t="str">
        <f>IFERROR(__xludf.DUMMYFUNCTION("""COMPUTED_VALUE"""),"SI")</f>
        <v>SI</v>
      </c>
      <c r="S2454" s="213"/>
      <c r="T2454" s="213" t="str">
        <f>IFERROR(__xludf.DUMMYFUNCTION("""COMPUTED_VALUE"""),"CONSULTA FINAL")</f>
        <v>CONSULTA FINAL</v>
      </c>
      <c r="U2454" s="213" t="str">
        <f>IFERROR(__xludf.DUMMYFUNCTION("""COMPUTED_VALUE"""),"NO")</f>
        <v>NO</v>
      </c>
      <c r="V2454" s="213" t="str">
        <f>IFERROR(__xludf.DUMMYFUNCTION("""COMPUTED_VALUE"""),"SUSTENTO")</f>
        <v>SUSTENTO</v>
      </c>
      <c r="W2454" s="213" t="str">
        <f>IFERROR(__xludf.DUMMYFUNCTION("""COMPUTED_VALUE"""),"DIMENSIONAL")</f>
        <v>DIMENSIONAL</v>
      </c>
      <c r="X2454" s="213" t="str">
        <f>IFERROR(__xludf.DUMMYFUNCTION("""COMPUTED_VALUE"""),"CASA JOVEN")</f>
        <v>CASA JOVEN</v>
      </c>
      <c r="Y2454" s="213">
        <f>IFERROR(__xludf.DUMMYFUNCTION("""COMPUTED_VALUE"""),1.14023191E8)</f>
        <v>114023191</v>
      </c>
      <c r="Z2454" s="215" t="str">
        <f>IFERROR(__xludf.DUMMYFUNCTION("""COMPUTED_VALUE"""),"https://tottus.falabella.com.pe/tottus-pe/product/114023189/bolo-20cm-acero-inoxidable/114023191")</f>
        <v>https://tottus.falabella.com.pe/tottus-pe/product/114023189/bolo-20cm-acero-inoxidable/114023191</v>
      </c>
      <c r="AA2454" s="213" t="str">
        <f>IFERROR(__xludf.DUMMYFUNCTION("""COMPUTED_VALUE"""),"MAT-455 TAZÓN BOWL N° 20 - CET")</f>
        <v>MAT-455 TAZÓN BOWL N° 20 - CET</v>
      </c>
      <c r="AB2454" s="213"/>
      <c r="AC2454" s="213"/>
      <c r="AD2454" s="213"/>
      <c r="AE2454" s="213"/>
      <c r="AF2454" s="213"/>
      <c r="AG2454" s="213"/>
      <c r="AH2454" s="213"/>
      <c r="AI2454" s="213"/>
      <c r="AJ2454" s="213"/>
      <c r="AK2454" s="213"/>
      <c r="AL2454" s="213"/>
      <c r="AM2454" s="213"/>
      <c r="AN2454" s="213"/>
      <c r="AO2454" s="213"/>
      <c r="AP2454" s="213" t="str">
        <f>IFERROR(__xludf.DUMMYFUNCTION("""COMPUTED_VALUE"""),"SEBASTIAN")</f>
        <v>SEBASTIAN</v>
      </c>
      <c r="AQ2454" s="213"/>
      <c r="AR2454" s="213"/>
      <c r="AS2454" s="213"/>
      <c r="AT2454" s="213"/>
      <c r="AU2454" s="213"/>
      <c r="AV2454" s="213"/>
      <c r="AW2454" s="213"/>
      <c r="AX2454" s="213"/>
      <c r="AY2454" s="213"/>
      <c r="AZ2454" s="213"/>
      <c r="BA2454" s="213"/>
      <c r="BB2454" s="213"/>
      <c r="BC2454" s="213"/>
      <c r="BD2454" s="213"/>
    </row>
    <row r="2455">
      <c r="A2455" s="213">
        <f>IFERROR(__xludf.DUMMYFUNCTION("""COMPUTED_VALUE"""),518.0)</f>
        <v>518</v>
      </c>
      <c r="B2455" s="213" t="str">
        <f>IFERROR(__xludf.DUMMYFUNCTION("""COMPUTED_VALUE"""),"2026 SIMON BOLIVAR")</f>
        <v>2026 SIMON BOLIVAR</v>
      </c>
      <c r="C2455" s="213" t="str">
        <f>IFERROR(__xludf.DUMMYFUNCTION("""COMPUTED_VALUE"""),"TALLER SFT DE INDUSTRIA ALIMENTARIA")</f>
        <v>TALLER SFT DE INDUSTRIA ALIMENTARIA</v>
      </c>
      <c r="D2455" s="213" t="str">
        <f>IFERROR(__xludf.DUMMYFUNCTION("""COMPUTED_VALUE"""),"HERRAMIENTAS")</f>
        <v>HERRAMIENTAS</v>
      </c>
      <c r="E2455" s="213" t="str">
        <f>IFERROR(__xludf.DUMMYFUNCTION("""COMPUTED_VALUE"""),"MAT-455")</f>
        <v>MAT-455</v>
      </c>
      <c r="F2455" s="213" t="str">
        <f>IFERROR(__xludf.DUMMYFUNCTION("""COMPUTED_VALUE"""),"MAT-455")</f>
        <v>MAT-455</v>
      </c>
      <c r="G2455" s="213"/>
      <c r="H2455" s="213" t="str">
        <f>IFERROR(__xludf.DUMMYFUNCTION("""COMPUTED_VALUE"""),"TAZÓN BOWL N° 20")</f>
        <v>TAZÓN BOWL N° 20</v>
      </c>
      <c r="I2455" s="213" t="str">
        <f>IFERROR(__xludf.DUMMYFUNCTION("""COMPUTED_VALUE"""),"· Material: acero inoxidable.
· Forma: Redondo
· Capacidad: 2 Litros
· Diámetro: 20cm")</f>
        <v>· Material: acero inoxidable.
· Forma: Redondo
· Capacidad: 2 Litros
· Diámetro: 20cm</v>
      </c>
      <c r="J2455" s="213">
        <f>IFERROR(__xludf.DUMMYFUNCTION("""COMPUTED_VALUE"""),3.0)</f>
        <v>3</v>
      </c>
      <c r="K2455" s="213" t="str">
        <f>IFERROR(__xludf.DUMMYFUNCTION("""COMPUTED_VALUE"""),"90 DÍAS CALENDARIO")</f>
        <v>90 DÍAS CALENDARIO</v>
      </c>
      <c r="L2455" s="213" t="str">
        <f>IFERROR(__xludf.DUMMYFUNCTION("""COMPUTED_VALUE"""),"")</f>
        <v/>
      </c>
      <c r="M2455" s="213">
        <f>IFERROR(__xludf.DUMMYFUNCTION("""COMPUTED_VALUE"""),1.0)</f>
        <v>1</v>
      </c>
      <c r="N2455" s="213">
        <f>IFERROR(__xludf.DUMMYFUNCTION("""COMPUTED_VALUE"""),5.0)</f>
        <v>5</v>
      </c>
      <c r="O2455" s="213">
        <f>IFERROR(__xludf.DUMMYFUNCTION("""COMPUTED_VALUE"""),5.0)</f>
        <v>5</v>
      </c>
      <c r="P2455" s="213"/>
      <c r="Q2455" s="213"/>
      <c r="R2455" s="213" t="str">
        <f>IFERROR(__xludf.DUMMYFUNCTION("""COMPUTED_VALUE"""),"SI")</f>
        <v>SI</v>
      </c>
      <c r="S2455" s="213"/>
      <c r="T2455" s="213" t="str">
        <f>IFERROR(__xludf.DUMMYFUNCTION("""COMPUTED_VALUE"""),"CONSULTA FINAL")</f>
        <v>CONSULTA FINAL</v>
      </c>
      <c r="U2455" s="213" t="str">
        <f>IFERROR(__xludf.DUMMYFUNCTION("""COMPUTED_VALUE"""),"NO")</f>
        <v>NO</v>
      </c>
      <c r="V2455" s="213" t="str">
        <f>IFERROR(__xludf.DUMMYFUNCTION("""COMPUTED_VALUE"""),"SUSTENTO")</f>
        <v>SUSTENTO</v>
      </c>
      <c r="W2455" s="213" t="str">
        <f>IFERROR(__xludf.DUMMYFUNCTION("""COMPUTED_VALUE"""),"DIMENSIONAL")</f>
        <v>DIMENSIONAL</v>
      </c>
      <c r="X2455" s="213" t="str">
        <f>IFERROR(__xludf.DUMMYFUNCTION("""COMPUTED_VALUE"""),"CASA JOVEN")</f>
        <v>CASA JOVEN</v>
      </c>
      <c r="Y2455" s="213">
        <f>IFERROR(__xludf.DUMMYFUNCTION("""COMPUTED_VALUE"""),1.14023191E8)</f>
        <v>114023191</v>
      </c>
      <c r="Z2455" s="215" t="str">
        <f>IFERROR(__xludf.DUMMYFUNCTION("""COMPUTED_VALUE"""),"https://tottus.falabella.com.pe/tottus-pe/product/114023189/bolo-20cm-acero-inoxidable/114023192")</f>
        <v>https://tottus.falabella.com.pe/tottus-pe/product/114023189/bolo-20cm-acero-inoxidable/114023192</v>
      </c>
      <c r="AA2455" s="215" t="str">
        <f>IFERROR(__xludf.DUMMYFUNCTION("""COMPUTED_VALUE"""),"https://docs.google.com/spreadsheets/d/1C5rTeXaWRGfwn03xrf-xPHWnRk1lMETIlpaoWdQfNkE/edit?gid=0#gid=1")</f>
        <v>https://docs.google.com/spreadsheets/d/1C5rTeXaWRGfwn03xrf-xPHWnRk1lMETIlpaoWdQfNkE/edit?gid=0#gid=1</v>
      </c>
      <c r="AB2455" s="213"/>
      <c r="AC2455" s="213"/>
      <c r="AD2455" s="213"/>
      <c r="AE2455" s="213"/>
      <c r="AF2455" s="213"/>
      <c r="AG2455" s="213"/>
      <c r="AH2455" s="213"/>
      <c r="AI2455" s="213"/>
      <c r="AJ2455" s="213"/>
      <c r="AK2455" s="213"/>
      <c r="AL2455" s="213"/>
      <c r="AM2455" s="213"/>
      <c r="AN2455" s="213"/>
      <c r="AO2455" s="213"/>
      <c r="AP2455" s="213" t="str">
        <f>IFERROR(__xludf.DUMMYFUNCTION("""COMPUTED_VALUE"""),"SEBASTIAN")</f>
        <v>SEBASTIAN</v>
      </c>
      <c r="AQ2455" s="213"/>
      <c r="AR2455" s="213"/>
      <c r="AS2455" s="213"/>
      <c r="AT2455" s="213"/>
      <c r="AU2455" s="213"/>
      <c r="AV2455" s="213"/>
      <c r="AW2455" s="213"/>
      <c r="AX2455" s="213"/>
      <c r="AY2455" s="213"/>
      <c r="AZ2455" s="213"/>
      <c r="BA2455" s="213"/>
      <c r="BB2455" s="213"/>
      <c r="BC2455" s="213"/>
      <c r="BD2455" s="213"/>
    </row>
    <row r="2456">
      <c r="A2456" s="213">
        <f>IFERROR(__xludf.DUMMYFUNCTION("""COMPUTED_VALUE"""),1118.0)</f>
        <v>1118</v>
      </c>
      <c r="B2456" s="213" t="str">
        <f>IFERROR(__xludf.DUMMYFUNCTION("""COMPUTED_VALUE"""),"FRANCISCO IRAZOLA")</f>
        <v>FRANCISCO IRAZOLA</v>
      </c>
      <c r="C2456" s="213" t="str">
        <f>IFERROR(__xludf.DUMMYFUNCTION("""COMPUTED_VALUE"""),"TALLER SFT DE INDUSTRIA ALIMENTARIA")</f>
        <v>TALLER SFT DE INDUSTRIA ALIMENTARIA</v>
      </c>
      <c r="D2456" s="213" t="str">
        <f>IFERROR(__xludf.DUMMYFUNCTION("""COMPUTED_VALUE"""),"HERRAMIENTAS")</f>
        <v>HERRAMIENTAS</v>
      </c>
      <c r="E2456" s="213" t="str">
        <f>IFERROR(__xludf.DUMMYFUNCTION("""COMPUTED_VALUE"""),"MAT-455")</f>
        <v>MAT-455</v>
      </c>
      <c r="F2456" s="213" t="str">
        <f>IFERROR(__xludf.DUMMYFUNCTION("""COMPUTED_VALUE"""),"MAT-455")</f>
        <v>MAT-455</v>
      </c>
      <c r="G2456" s="213"/>
      <c r="H2456" s="213" t="str">
        <f>IFERROR(__xludf.DUMMYFUNCTION("""COMPUTED_VALUE"""),"TAZÓN BOWL N° 20")</f>
        <v>TAZÓN BOWL N° 20</v>
      </c>
      <c r="I2456" s="213" t="str">
        <f>IFERROR(__xludf.DUMMYFUNCTION("""COMPUTED_VALUE"""),"· Material: acero inoxidable.
· Forma: Redondo
· Capacidad: 2 Litros
· Diámetro: 20cm")</f>
        <v>· Material: acero inoxidable.
· Forma: Redondo
· Capacidad: 2 Litros
· Diámetro: 20cm</v>
      </c>
      <c r="J2456" s="213">
        <f>IFERROR(__xludf.DUMMYFUNCTION("""COMPUTED_VALUE"""),3.0)</f>
        <v>3</v>
      </c>
      <c r="K2456" s="213" t="str">
        <f>IFERROR(__xludf.DUMMYFUNCTION("""COMPUTED_VALUE"""),"90 DÍAS CALENDARIO")</f>
        <v>90 DÍAS CALENDARIO</v>
      </c>
      <c r="L2456" s="213" t="str">
        <f>IFERROR(__xludf.DUMMYFUNCTION("""COMPUTED_VALUE"""),"")</f>
        <v/>
      </c>
      <c r="M2456" s="213">
        <f>IFERROR(__xludf.DUMMYFUNCTION("""COMPUTED_VALUE"""),1.0)</f>
        <v>1</v>
      </c>
      <c r="N2456" s="213">
        <f>IFERROR(__xludf.DUMMYFUNCTION("""COMPUTED_VALUE"""),5.0)</f>
        <v>5</v>
      </c>
      <c r="O2456" s="213">
        <f>IFERROR(__xludf.DUMMYFUNCTION("""COMPUTED_VALUE"""),5.0)</f>
        <v>5</v>
      </c>
      <c r="P2456" s="213"/>
      <c r="Q2456" s="213"/>
      <c r="R2456" s="213" t="str">
        <f>IFERROR(__xludf.DUMMYFUNCTION("""COMPUTED_VALUE"""),"SI")</f>
        <v>SI</v>
      </c>
      <c r="S2456" s="213"/>
      <c r="T2456" s="213" t="str">
        <f>IFERROR(__xludf.DUMMYFUNCTION("""COMPUTED_VALUE"""),"CONSULTA FINAL")</f>
        <v>CONSULTA FINAL</v>
      </c>
      <c r="U2456" s="213" t="str">
        <f>IFERROR(__xludf.DUMMYFUNCTION("""COMPUTED_VALUE"""),"NO")</f>
        <v>NO</v>
      </c>
      <c r="V2456" s="213" t="str">
        <f>IFERROR(__xludf.DUMMYFUNCTION("""COMPUTED_VALUE"""),"SUSTENTO")</f>
        <v>SUSTENTO</v>
      </c>
      <c r="W2456" s="213" t="str">
        <f>IFERROR(__xludf.DUMMYFUNCTION("""COMPUTED_VALUE"""),"DIMENSIONAL")</f>
        <v>DIMENSIONAL</v>
      </c>
      <c r="X2456" s="213" t="str">
        <f>IFERROR(__xludf.DUMMYFUNCTION("""COMPUTED_VALUE"""),"CASA JOVEN")</f>
        <v>CASA JOVEN</v>
      </c>
      <c r="Y2456" s="213">
        <f>IFERROR(__xludf.DUMMYFUNCTION("""COMPUTED_VALUE"""),1.14023191E8)</f>
        <v>114023191</v>
      </c>
      <c r="Z2456" s="215" t="str">
        <f>IFERROR(__xludf.DUMMYFUNCTION("""COMPUTED_VALUE"""),"https://tottus.falabella.com.pe/tottus-pe/product/114023189/bolo-20cm-acero-inoxidable/114023193")</f>
        <v>https://tottus.falabella.com.pe/tottus-pe/product/114023189/bolo-20cm-acero-inoxidable/114023193</v>
      </c>
      <c r="AA2456" s="215" t="str">
        <f>IFERROR(__xludf.DUMMYFUNCTION("""COMPUTED_VALUE"""),"https://docs.google.com/spreadsheets/d/1C5rTeXaWRGfwn03xrf-xPHWnRk1lMETIlpaoWdQfNkE/edit?gid=0#gid=1")</f>
        <v>https://docs.google.com/spreadsheets/d/1C5rTeXaWRGfwn03xrf-xPHWnRk1lMETIlpaoWdQfNkE/edit?gid=0#gid=1</v>
      </c>
      <c r="AB2456" s="213"/>
      <c r="AC2456" s="213"/>
      <c r="AD2456" s="213"/>
      <c r="AE2456" s="213"/>
      <c r="AF2456" s="213"/>
      <c r="AG2456" s="213"/>
      <c r="AH2456" s="213"/>
      <c r="AI2456" s="213"/>
      <c r="AJ2456" s="213"/>
      <c r="AK2456" s="213"/>
      <c r="AL2456" s="213"/>
      <c r="AM2456" s="213"/>
      <c r="AN2456" s="213"/>
      <c r="AO2456" s="213"/>
      <c r="AP2456" s="213" t="str">
        <f>IFERROR(__xludf.DUMMYFUNCTION("""COMPUTED_VALUE"""),"SEBASTIAN")</f>
        <v>SEBASTIAN</v>
      </c>
      <c r="AQ2456" s="213"/>
      <c r="AR2456" s="213"/>
      <c r="AS2456" s="213"/>
      <c r="AT2456" s="213"/>
      <c r="AU2456" s="213"/>
      <c r="AV2456" s="213"/>
      <c r="AW2456" s="213"/>
      <c r="AX2456" s="213"/>
      <c r="AY2456" s="213"/>
      <c r="AZ2456" s="213"/>
      <c r="BA2456" s="213"/>
      <c r="BB2456" s="213"/>
      <c r="BC2456" s="213"/>
      <c r="BD2456" s="213"/>
    </row>
    <row r="2457">
      <c r="A2457" s="213">
        <f>IFERROR(__xludf.DUMMYFUNCTION("""COMPUTED_VALUE"""),1148.0)</f>
        <v>1148</v>
      </c>
      <c r="B2457" s="213" t="str">
        <f>IFERROR(__xludf.DUMMYFUNCTION("""COMPUTED_VALUE"""),"FRANCISCO IRAZOLA")</f>
        <v>FRANCISCO IRAZOLA</v>
      </c>
      <c r="C2457" s="213" t="str">
        <f>IFERROR(__xludf.DUMMYFUNCTION("""COMPUTED_VALUE"""),"TALLER SFT DE INDUSTRIA ALIMENTARIA")</f>
        <v>TALLER SFT DE INDUSTRIA ALIMENTARIA</v>
      </c>
      <c r="D2457" s="213" t="str">
        <f>IFERROR(__xludf.DUMMYFUNCTION("""COMPUTED_VALUE"""),"HERRAMIENTAS")</f>
        <v>HERRAMIENTAS</v>
      </c>
      <c r="E2457" s="213" t="str">
        <f>IFERROR(__xludf.DUMMYFUNCTION("""COMPUTED_VALUE"""),"MAT-455")</f>
        <v>MAT-455</v>
      </c>
      <c r="F2457" s="213" t="str">
        <f>IFERROR(__xludf.DUMMYFUNCTION("""COMPUTED_VALUE"""),"MAT-455")</f>
        <v>MAT-455</v>
      </c>
      <c r="G2457" s="213"/>
      <c r="H2457" s="213" t="str">
        <f>IFERROR(__xludf.DUMMYFUNCTION("""COMPUTED_VALUE"""),"TAZÓN BOWL N° 20")</f>
        <v>TAZÓN BOWL N° 20</v>
      </c>
      <c r="I2457" s="213" t="str">
        <f>IFERROR(__xludf.DUMMYFUNCTION("""COMPUTED_VALUE"""),"· Material: acero inoxidable.
· Forma: Redondo
· Capacidad: 2 Litros
· Diámetro: 20cm")</f>
        <v>· Material: acero inoxidable.
· Forma: Redondo
· Capacidad: 2 Litros
· Diámetro: 20cm</v>
      </c>
      <c r="J2457" s="213">
        <f>IFERROR(__xludf.DUMMYFUNCTION("""COMPUTED_VALUE"""),3.0)</f>
        <v>3</v>
      </c>
      <c r="K2457" s="213" t="str">
        <f>IFERROR(__xludf.DUMMYFUNCTION("""COMPUTED_VALUE"""),"90 DÍAS CALENDARIO")</f>
        <v>90 DÍAS CALENDARIO</v>
      </c>
      <c r="L2457" s="213" t="str">
        <f>IFERROR(__xludf.DUMMYFUNCTION("""COMPUTED_VALUE"""),"")</f>
        <v/>
      </c>
      <c r="M2457" s="213">
        <f>IFERROR(__xludf.DUMMYFUNCTION("""COMPUTED_VALUE"""),1.0)</f>
        <v>1</v>
      </c>
      <c r="N2457" s="213">
        <f>IFERROR(__xludf.DUMMYFUNCTION("""COMPUTED_VALUE"""),5.0)</f>
        <v>5</v>
      </c>
      <c r="O2457" s="213">
        <f>IFERROR(__xludf.DUMMYFUNCTION("""COMPUTED_VALUE"""),5.0)</f>
        <v>5</v>
      </c>
      <c r="P2457" s="213"/>
      <c r="Q2457" s="213"/>
      <c r="R2457" s="213" t="str">
        <f>IFERROR(__xludf.DUMMYFUNCTION("""COMPUTED_VALUE"""),"SI")</f>
        <v>SI</v>
      </c>
      <c r="S2457" s="213"/>
      <c r="T2457" s="213" t="str">
        <f>IFERROR(__xludf.DUMMYFUNCTION("""COMPUTED_VALUE"""),"CONSULTA FINAL")</f>
        <v>CONSULTA FINAL</v>
      </c>
      <c r="U2457" s="213" t="str">
        <f>IFERROR(__xludf.DUMMYFUNCTION("""COMPUTED_VALUE"""),"NO")</f>
        <v>NO</v>
      </c>
      <c r="V2457" s="213" t="str">
        <f>IFERROR(__xludf.DUMMYFUNCTION("""COMPUTED_VALUE"""),"SUSTENTO")</f>
        <v>SUSTENTO</v>
      </c>
      <c r="W2457" s="213" t="str">
        <f>IFERROR(__xludf.DUMMYFUNCTION("""COMPUTED_VALUE"""),"DIMENSIONAL")</f>
        <v>DIMENSIONAL</v>
      </c>
      <c r="X2457" s="213" t="str">
        <f>IFERROR(__xludf.DUMMYFUNCTION("""COMPUTED_VALUE"""),"CASA JOVEN")</f>
        <v>CASA JOVEN</v>
      </c>
      <c r="Y2457" s="213">
        <f>IFERROR(__xludf.DUMMYFUNCTION("""COMPUTED_VALUE"""),1.14023191E8)</f>
        <v>114023191</v>
      </c>
      <c r="Z2457" s="215" t="str">
        <f>IFERROR(__xludf.DUMMYFUNCTION("""COMPUTED_VALUE"""),"https://tottus.falabella.com.pe/tottus-pe/product/114023189/bolo-20cm-acero-inoxidable/114023194")</f>
        <v>https://tottus.falabella.com.pe/tottus-pe/product/114023189/bolo-20cm-acero-inoxidable/114023194</v>
      </c>
      <c r="AA2457" s="215" t="str">
        <f>IFERROR(__xludf.DUMMYFUNCTION("""COMPUTED_VALUE"""),"https://docs.google.com/spreadsheets/d/1C5rTeXaWRGfwn03xrf-xPHWnRk1lMETIlpaoWdQfNkE/edit?gid=0#gid=1")</f>
        <v>https://docs.google.com/spreadsheets/d/1C5rTeXaWRGfwn03xrf-xPHWnRk1lMETIlpaoWdQfNkE/edit?gid=0#gid=1</v>
      </c>
      <c r="AB2457" s="213"/>
      <c r="AC2457" s="213"/>
      <c r="AD2457" s="213"/>
      <c r="AE2457" s="213"/>
      <c r="AF2457" s="213"/>
      <c r="AG2457" s="213"/>
      <c r="AH2457" s="213"/>
      <c r="AI2457" s="213"/>
      <c r="AJ2457" s="213"/>
      <c r="AK2457" s="213"/>
      <c r="AL2457" s="213"/>
      <c r="AM2457" s="213"/>
      <c r="AN2457" s="213"/>
      <c r="AO2457" s="213"/>
      <c r="AP2457" s="213" t="str">
        <f>IFERROR(__xludf.DUMMYFUNCTION("""COMPUTED_VALUE"""),"SEBASTIAN")</f>
        <v>SEBASTIAN</v>
      </c>
      <c r="AQ2457" s="213"/>
      <c r="AR2457" s="213"/>
      <c r="AS2457" s="213"/>
      <c r="AT2457" s="213"/>
      <c r="AU2457" s="213"/>
      <c r="AV2457" s="213"/>
      <c r="AW2457" s="213"/>
      <c r="AX2457" s="213"/>
      <c r="AY2457" s="213"/>
      <c r="AZ2457" s="213"/>
      <c r="BA2457" s="213"/>
      <c r="BB2457" s="213"/>
      <c r="BC2457" s="213"/>
      <c r="BD2457" s="213"/>
    </row>
    <row r="2458">
      <c r="A2458" s="213">
        <f>IFERROR(__xludf.DUMMYFUNCTION("""COMPUTED_VALUE"""),1390.0)</f>
        <v>1390</v>
      </c>
      <c r="B2458" s="213" t="str">
        <f>IFERROR(__xludf.DUMMYFUNCTION("""COMPUTED_VALUE"""),"GUILLERMO E. BILLINGHURST ")</f>
        <v>GUILLERMO E. BILLINGHURST </v>
      </c>
      <c r="C2458" s="213" t="str">
        <f>IFERROR(__xludf.DUMMYFUNCTION("""COMPUTED_VALUE"""),"TALLER SFT DE INDUSTRIA ALIMENTARIA")</f>
        <v>TALLER SFT DE INDUSTRIA ALIMENTARIA</v>
      </c>
      <c r="D2458" s="213" t="str">
        <f>IFERROR(__xludf.DUMMYFUNCTION("""COMPUTED_VALUE"""),"HERRAMIENTAS")</f>
        <v>HERRAMIENTAS</v>
      </c>
      <c r="E2458" s="213" t="str">
        <f>IFERROR(__xludf.DUMMYFUNCTION("""COMPUTED_VALUE"""),"MAT-455")</f>
        <v>MAT-455</v>
      </c>
      <c r="F2458" s="213" t="str">
        <f>IFERROR(__xludf.DUMMYFUNCTION("""COMPUTED_VALUE"""),"MAT-455")</f>
        <v>MAT-455</v>
      </c>
      <c r="G2458" s="213"/>
      <c r="H2458" s="213" t="str">
        <f>IFERROR(__xludf.DUMMYFUNCTION("""COMPUTED_VALUE"""),"TAZÓN BOWL N° 20")</f>
        <v>TAZÓN BOWL N° 20</v>
      </c>
      <c r="I2458" s="213" t="str">
        <f>IFERROR(__xludf.DUMMYFUNCTION("""COMPUTED_VALUE"""),"· Material: acero inoxidable.
· Forma: Redondo
· Capacidad: 2 Litros
· Diámetro: 20cm")</f>
        <v>· Material: acero inoxidable.
· Forma: Redondo
· Capacidad: 2 Litros
· Diámetro: 20cm</v>
      </c>
      <c r="J2458" s="213">
        <f>IFERROR(__xludf.DUMMYFUNCTION("""COMPUTED_VALUE"""),3.0)</f>
        <v>3</v>
      </c>
      <c r="K2458" s="213" t="str">
        <f>IFERROR(__xludf.DUMMYFUNCTION("""COMPUTED_VALUE"""),"90 DÍAS CALENDARIO")</f>
        <v>90 DÍAS CALENDARIO</v>
      </c>
      <c r="L2458" s="213" t="str">
        <f>IFERROR(__xludf.DUMMYFUNCTION("""COMPUTED_VALUE"""),"")</f>
        <v/>
      </c>
      <c r="M2458" s="213">
        <f>IFERROR(__xludf.DUMMYFUNCTION("""COMPUTED_VALUE"""),1.0)</f>
        <v>1</v>
      </c>
      <c r="N2458" s="213">
        <f>IFERROR(__xludf.DUMMYFUNCTION("""COMPUTED_VALUE"""),5.0)</f>
        <v>5</v>
      </c>
      <c r="O2458" s="213">
        <f>IFERROR(__xludf.DUMMYFUNCTION("""COMPUTED_VALUE"""),5.0)</f>
        <v>5</v>
      </c>
      <c r="P2458" s="213"/>
      <c r="Q2458" s="213"/>
      <c r="R2458" s="213" t="str">
        <f>IFERROR(__xludf.DUMMYFUNCTION("""COMPUTED_VALUE"""),"SI")</f>
        <v>SI</v>
      </c>
      <c r="S2458" s="213"/>
      <c r="T2458" s="213" t="str">
        <f>IFERROR(__xludf.DUMMYFUNCTION("""COMPUTED_VALUE"""),"CONSULTA FINAL")</f>
        <v>CONSULTA FINAL</v>
      </c>
      <c r="U2458" s="213" t="str">
        <f>IFERROR(__xludf.DUMMYFUNCTION("""COMPUTED_VALUE"""),"NO")</f>
        <v>NO</v>
      </c>
      <c r="V2458" s="213" t="str">
        <f>IFERROR(__xludf.DUMMYFUNCTION("""COMPUTED_VALUE"""),"SUSTENTO")</f>
        <v>SUSTENTO</v>
      </c>
      <c r="W2458" s="213" t="str">
        <f>IFERROR(__xludf.DUMMYFUNCTION("""COMPUTED_VALUE"""),"DIMENSIONAL")</f>
        <v>DIMENSIONAL</v>
      </c>
      <c r="X2458" s="213" t="str">
        <f>IFERROR(__xludf.DUMMYFUNCTION("""COMPUTED_VALUE"""),"CASA JOVEN")</f>
        <v>CASA JOVEN</v>
      </c>
      <c r="Y2458" s="213">
        <f>IFERROR(__xludf.DUMMYFUNCTION("""COMPUTED_VALUE"""),1.14023191E8)</f>
        <v>114023191</v>
      </c>
      <c r="Z2458" s="215" t="str">
        <f>IFERROR(__xludf.DUMMYFUNCTION("""COMPUTED_VALUE"""),"https://tottus.falabella.com.pe/tottus-pe/product/114023189/bolo-20cm-acero-inoxidable/114023195")</f>
        <v>https://tottus.falabella.com.pe/tottus-pe/product/114023189/bolo-20cm-acero-inoxidable/114023195</v>
      </c>
      <c r="AA2458" s="215" t="str">
        <f>IFERROR(__xludf.DUMMYFUNCTION("""COMPUTED_VALUE"""),"https://docs.google.com/spreadsheets/d/1C5rTeXaWRGfwn03xrf-xPHWnRk1lMETIlpaoWdQfNkE/edit?gid=0#gid=1")</f>
        <v>https://docs.google.com/spreadsheets/d/1C5rTeXaWRGfwn03xrf-xPHWnRk1lMETIlpaoWdQfNkE/edit?gid=0#gid=1</v>
      </c>
      <c r="AB2458" s="213"/>
      <c r="AC2458" s="213"/>
      <c r="AD2458" s="213"/>
      <c r="AE2458" s="213"/>
      <c r="AF2458" s="213"/>
      <c r="AG2458" s="213"/>
      <c r="AH2458" s="213"/>
      <c r="AI2458" s="213"/>
      <c r="AJ2458" s="213"/>
      <c r="AK2458" s="213"/>
      <c r="AL2458" s="213"/>
      <c r="AM2458" s="213"/>
      <c r="AN2458" s="213"/>
      <c r="AO2458" s="213"/>
      <c r="AP2458" s="213" t="str">
        <f>IFERROR(__xludf.DUMMYFUNCTION("""COMPUTED_VALUE"""),"SEBASTIAN")</f>
        <v>SEBASTIAN</v>
      </c>
      <c r="AQ2458" s="213"/>
      <c r="AR2458" s="213"/>
      <c r="AS2458" s="213"/>
      <c r="AT2458" s="213"/>
      <c r="AU2458" s="213"/>
      <c r="AV2458" s="213"/>
      <c r="AW2458" s="213"/>
      <c r="AX2458" s="213"/>
      <c r="AY2458" s="213"/>
      <c r="AZ2458" s="213"/>
      <c r="BA2458" s="213"/>
      <c r="BB2458" s="213"/>
      <c r="BC2458" s="213"/>
      <c r="BD2458" s="213"/>
    </row>
    <row r="2459">
      <c r="A2459" s="213">
        <f>IFERROR(__xludf.DUMMYFUNCTION("""COMPUTED_VALUE"""),1420.0)</f>
        <v>1420</v>
      </c>
      <c r="B2459" s="213" t="str">
        <f>IFERROR(__xludf.DUMMYFUNCTION("""COMPUTED_VALUE"""),"GUILLERMO E. BILLINGHURST ")</f>
        <v>GUILLERMO E. BILLINGHURST </v>
      </c>
      <c r="C2459" s="213" t="str">
        <f>IFERROR(__xludf.DUMMYFUNCTION("""COMPUTED_VALUE"""),"TALLER SFT DE INDUSTRIA ALIMENTARIA")</f>
        <v>TALLER SFT DE INDUSTRIA ALIMENTARIA</v>
      </c>
      <c r="D2459" s="213" t="str">
        <f>IFERROR(__xludf.DUMMYFUNCTION("""COMPUTED_VALUE"""),"HERRAMIENTAS")</f>
        <v>HERRAMIENTAS</v>
      </c>
      <c r="E2459" s="213" t="str">
        <f>IFERROR(__xludf.DUMMYFUNCTION("""COMPUTED_VALUE"""),"MAT-455")</f>
        <v>MAT-455</v>
      </c>
      <c r="F2459" s="213" t="str">
        <f>IFERROR(__xludf.DUMMYFUNCTION("""COMPUTED_VALUE"""),"MAT-455")</f>
        <v>MAT-455</v>
      </c>
      <c r="G2459" s="213"/>
      <c r="H2459" s="213" t="str">
        <f>IFERROR(__xludf.DUMMYFUNCTION("""COMPUTED_VALUE"""),"TAZÓN BOWL N° 20")</f>
        <v>TAZÓN BOWL N° 20</v>
      </c>
      <c r="I2459" s="213" t="str">
        <f>IFERROR(__xludf.DUMMYFUNCTION("""COMPUTED_VALUE"""),"· Material: acero inoxidable.
· Forma: Redondo
· Capacidad: 2 Litros
· Diámetro: 20cm")</f>
        <v>· Material: acero inoxidable.
· Forma: Redondo
· Capacidad: 2 Litros
· Diámetro: 20cm</v>
      </c>
      <c r="J2459" s="213">
        <f>IFERROR(__xludf.DUMMYFUNCTION("""COMPUTED_VALUE"""),3.0)</f>
        <v>3</v>
      </c>
      <c r="K2459" s="213" t="str">
        <f>IFERROR(__xludf.DUMMYFUNCTION("""COMPUTED_VALUE"""),"90 DÍAS CALENDARIO")</f>
        <v>90 DÍAS CALENDARIO</v>
      </c>
      <c r="L2459" s="213" t="str">
        <f>IFERROR(__xludf.DUMMYFUNCTION("""COMPUTED_VALUE"""),"")</f>
        <v/>
      </c>
      <c r="M2459" s="213">
        <f>IFERROR(__xludf.DUMMYFUNCTION("""COMPUTED_VALUE"""),1.0)</f>
        <v>1</v>
      </c>
      <c r="N2459" s="213">
        <f>IFERROR(__xludf.DUMMYFUNCTION("""COMPUTED_VALUE"""),5.0)</f>
        <v>5</v>
      </c>
      <c r="O2459" s="213">
        <f>IFERROR(__xludf.DUMMYFUNCTION("""COMPUTED_VALUE"""),5.0)</f>
        <v>5</v>
      </c>
      <c r="P2459" s="213"/>
      <c r="Q2459" s="213"/>
      <c r="R2459" s="213" t="str">
        <f>IFERROR(__xludf.DUMMYFUNCTION("""COMPUTED_VALUE"""),"SI")</f>
        <v>SI</v>
      </c>
      <c r="S2459" s="213"/>
      <c r="T2459" s="213" t="str">
        <f>IFERROR(__xludf.DUMMYFUNCTION("""COMPUTED_VALUE"""),"CONSULTA FINAL")</f>
        <v>CONSULTA FINAL</v>
      </c>
      <c r="U2459" s="213" t="str">
        <f>IFERROR(__xludf.DUMMYFUNCTION("""COMPUTED_VALUE"""),"NO")</f>
        <v>NO</v>
      </c>
      <c r="V2459" s="213" t="str">
        <f>IFERROR(__xludf.DUMMYFUNCTION("""COMPUTED_VALUE"""),"SUSTENTO")</f>
        <v>SUSTENTO</v>
      </c>
      <c r="W2459" s="213" t="str">
        <f>IFERROR(__xludf.DUMMYFUNCTION("""COMPUTED_VALUE"""),"DIMENSIONAL")</f>
        <v>DIMENSIONAL</v>
      </c>
      <c r="X2459" s="213" t="str">
        <f>IFERROR(__xludf.DUMMYFUNCTION("""COMPUTED_VALUE"""),"CASA JOVEN")</f>
        <v>CASA JOVEN</v>
      </c>
      <c r="Y2459" s="213">
        <f>IFERROR(__xludf.DUMMYFUNCTION("""COMPUTED_VALUE"""),1.14023191E8)</f>
        <v>114023191</v>
      </c>
      <c r="Z2459" s="215" t="str">
        <f>IFERROR(__xludf.DUMMYFUNCTION("""COMPUTED_VALUE"""),"https://tottus.falabella.com.pe/tottus-pe/product/114023189/bolo-20cm-acero-inoxidable/114023196")</f>
        <v>https://tottus.falabella.com.pe/tottus-pe/product/114023189/bolo-20cm-acero-inoxidable/114023196</v>
      </c>
      <c r="AA2459" s="215" t="str">
        <f>IFERROR(__xludf.DUMMYFUNCTION("""COMPUTED_VALUE"""),"https://docs.google.com/spreadsheets/d/1C5rTeXaWRGfwn03xrf-xPHWnRk1lMETIlpaoWdQfNkE/edit?gid=0#gid=1")</f>
        <v>https://docs.google.com/spreadsheets/d/1C5rTeXaWRGfwn03xrf-xPHWnRk1lMETIlpaoWdQfNkE/edit?gid=0#gid=1</v>
      </c>
      <c r="AB2459" s="213"/>
      <c r="AC2459" s="213"/>
      <c r="AD2459" s="213"/>
      <c r="AE2459" s="213"/>
      <c r="AF2459" s="213"/>
      <c r="AG2459" s="213"/>
      <c r="AH2459" s="213"/>
      <c r="AI2459" s="213"/>
      <c r="AJ2459" s="213"/>
      <c r="AK2459" s="213"/>
      <c r="AL2459" s="213"/>
      <c r="AM2459" s="213"/>
      <c r="AN2459" s="213"/>
      <c r="AO2459" s="213"/>
      <c r="AP2459" s="213" t="str">
        <f>IFERROR(__xludf.DUMMYFUNCTION("""COMPUTED_VALUE"""),"SEBASTIAN")</f>
        <v>SEBASTIAN</v>
      </c>
      <c r="AQ2459" s="213"/>
      <c r="AR2459" s="213"/>
      <c r="AS2459" s="213"/>
      <c r="AT2459" s="213"/>
      <c r="AU2459" s="213"/>
      <c r="AV2459" s="213"/>
      <c r="AW2459" s="213"/>
      <c r="AX2459" s="213"/>
      <c r="AY2459" s="213"/>
      <c r="AZ2459" s="213"/>
      <c r="BA2459" s="213"/>
      <c r="BB2459" s="213"/>
      <c r="BC2459" s="213"/>
      <c r="BD2459" s="213"/>
    </row>
    <row r="2460">
      <c r="A2460" s="213">
        <f>IFERROR(__xludf.DUMMYFUNCTION("""COMPUTED_VALUE"""),2077.0)</f>
        <v>2077</v>
      </c>
      <c r="B2460" s="213" t="str">
        <f>IFERROR(__xludf.DUMMYFUNCTION("""COMPUTED_VALUE"""),"JOSE GRANDA")</f>
        <v>JOSE GRANDA</v>
      </c>
      <c r="C2460" s="213" t="str">
        <f>IFERROR(__xludf.DUMMYFUNCTION("""COMPUTED_VALUE"""),"TALLER SFT DE INDUSTRIA ALIMENTARIA")</f>
        <v>TALLER SFT DE INDUSTRIA ALIMENTARIA</v>
      </c>
      <c r="D2460" s="213" t="str">
        <f>IFERROR(__xludf.DUMMYFUNCTION("""COMPUTED_VALUE"""),"HERRAMIENTAS")</f>
        <v>HERRAMIENTAS</v>
      </c>
      <c r="E2460" s="213" t="str">
        <f>IFERROR(__xludf.DUMMYFUNCTION("""COMPUTED_VALUE"""),"MAT-455")</f>
        <v>MAT-455</v>
      </c>
      <c r="F2460" s="213" t="str">
        <f>IFERROR(__xludf.DUMMYFUNCTION("""COMPUTED_VALUE"""),"MAT-455")</f>
        <v>MAT-455</v>
      </c>
      <c r="G2460" s="213"/>
      <c r="H2460" s="213" t="str">
        <f>IFERROR(__xludf.DUMMYFUNCTION("""COMPUTED_VALUE"""),"TAZÓN BOWL N° 20")</f>
        <v>TAZÓN BOWL N° 20</v>
      </c>
      <c r="I2460" s="213" t="str">
        <f>IFERROR(__xludf.DUMMYFUNCTION("""COMPUTED_VALUE"""),"· Material: acero inoxidable.
· Forma: Redondo
· Capacidad: 2 Litros
· Diámetro: 20cm")</f>
        <v>· Material: acero inoxidable.
· Forma: Redondo
· Capacidad: 2 Litros
· Diámetro: 20cm</v>
      </c>
      <c r="J2460" s="213">
        <f>IFERROR(__xludf.DUMMYFUNCTION("""COMPUTED_VALUE"""),3.0)</f>
        <v>3</v>
      </c>
      <c r="K2460" s="213" t="str">
        <f>IFERROR(__xludf.DUMMYFUNCTION("""COMPUTED_VALUE"""),"90 DÍAS CALENDARIO")</f>
        <v>90 DÍAS CALENDARIO</v>
      </c>
      <c r="L2460" s="213" t="str">
        <f>IFERROR(__xludf.DUMMYFUNCTION("""COMPUTED_VALUE"""),"")</f>
        <v/>
      </c>
      <c r="M2460" s="213">
        <f>IFERROR(__xludf.DUMMYFUNCTION("""COMPUTED_VALUE"""),1.0)</f>
        <v>1</v>
      </c>
      <c r="N2460" s="213">
        <f>IFERROR(__xludf.DUMMYFUNCTION("""COMPUTED_VALUE"""),5.0)</f>
        <v>5</v>
      </c>
      <c r="O2460" s="213">
        <f>IFERROR(__xludf.DUMMYFUNCTION("""COMPUTED_VALUE"""),5.0)</f>
        <v>5</v>
      </c>
      <c r="P2460" s="213"/>
      <c r="Q2460" s="213"/>
      <c r="R2460" s="213" t="str">
        <f>IFERROR(__xludf.DUMMYFUNCTION("""COMPUTED_VALUE"""),"SI")</f>
        <v>SI</v>
      </c>
      <c r="S2460" s="213"/>
      <c r="T2460" s="213" t="str">
        <f>IFERROR(__xludf.DUMMYFUNCTION("""COMPUTED_VALUE"""),"CONSULTA FINAL")</f>
        <v>CONSULTA FINAL</v>
      </c>
      <c r="U2460" s="213" t="str">
        <f>IFERROR(__xludf.DUMMYFUNCTION("""COMPUTED_VALUE"""),"NO")</f>
        <v>NO</v>
      </c>
      <c r="V2460" s="213" t="str">
        <f>IFERROR(__xludf.DUMMYFUNCTION("""COMPUTED_VALUE"""),"SUSTENTO")</f>
        <v>SUSTENTO</v>
      </c>
      <c r="W2460" s="213" t="str">
        <f>IFERROR(__xludf.DUMMYFUNCTION("""COMPUTED_VALUE"""),"DIMENSIONAL")</f>
        <v>DIMENSIONAL</v>
      </c>
      <c r="X2460" s="213" t="str">
        <f>IFERROR(__xludf.DUMMYFUNCTION("""COMPUTED_VALUE"""),"CASA JOVEN")</f>
        <v>CASA JOVEN</v>
      </c>
      <c r="Y2460" s="213">
        <f>IFERROR(__xludf.DUMMYFUNCTION("""COMPUTED_VALUE"""),1.14023191E8)</f>
        <v>114023191</v>
      </c>
      <c r="Z2460" s="215" t="str">
        <f>IFERROR(__xludf.DUMMYFUNCTION("""COMPUTED_VALUE"""),"https://tottus.falabella.com.pe/tottus-pe/product/114023189/bolo-20cm-acero-inoxidable/114023197")</f>
        <v>https://tottus.falabella.com.pe/tottus-pe/product/114023189/bolo-20cm-acero-inoxidable/114023197</v>
      </c>
      <c r="AA2460" s="215" t="str">
        <f>IFERROR(__xludf.DUMMYFUNCTION("""COMPUTED_VALUE"""),"https://docs.google.com/spreadsheets/d/1C5rTeXaWRGfwn03xrf-xPHWnRk1lMETIlpaoWdQfNkE/edit?gid=0#gid=1")</f>
        <v>https://docs.google.com/spreadsheets/d/1C5rTeXaWRGfwn03xrf-xPHWnRk1lMETIlpaoWdQfNkE/edit?gid=0#gid=1</v>
      </c>
      <c r="AB2460" s="213"/>
      <c r="AC2460" s="213"/>
      <c r="AD2460" s="213"/>
      <c r="AE2460" s="213"/>
      <c r="AF2460" s="213"/>
      <c r="AG2460" s="213"/>
      <c r="AH2460" s="213"/>
      <c r="AI2460" s="213"/>
      <c r="AJ2460" s="213"/>
      <c r="AK2460" s="213"/>
      <c r="AL2460" s="213"/>
      <c r="AM2460" s="213"/>
      <c r="AN2460" s="213"/>
      <c r="AO2460" s="213"/>
      <c r="AP2460" s="213" t="str">
        <f>IFERROR(__xludf.DUMMYFUNCTION("""COMPUTED_VALUE"""),"SEBASTIAN")</f>
        <v>SEBASTIAN</v>
      </c>
      <c r="AQ2460" s="213"/>
      <c r="AR2460" s="213"/>
      <c r="AS2460" s="213"/>
      <c r="AT2460" s="213"/>
      <c r="AU2460" s="213"/>
      <c r="AV2460" s="213"/>
      <c r="AW2460" s="213"/>
      <c r="AX2460" s="213"/>
      <c r="AY2460" s="213"/>
      <c r="AZ2460" s="213"/>
      <c r="BA2460" s="213"/>
      <c r="BB2460" s="213"/>
      <c r="BC2460" s="213"/>
      <c r="BD2460" s="213"/>
    </row>
    <row r="2461">
      <c r="A2461" s="213">
        <f>IFERROR(__xludf.DUMMYFUNCTION("""COMPUTED_VALUE"""),2107.0)</f>
        <v>2107</v>
      </c>
      <c r="B2461" s="213" t="str">
        <f>IFERROR(__xludf.DUMMYFUNCTION("""COMPUTED_VALUE"""),"JOSE GRANDA")</f>
        <v>JOSE GRANDA</v>
      </c>
      <c r="C2461" s="213" t="str">
        <f>IFERROR(__xludf.DUMMYFUNCTION("""COMPUTED_VALUE"""),"TALLER SFT DE INDUSTRIA ALIMENTARIA")</f>
        <v>TALLER SFT DE INDUSTRIA ALIMENTARIA</v>
      </c>
      <c r="D2461" s="213" t="str">
        <f>IFERROR(__xludf.DUMMYFUNCTION("""COMPUTED_VALUE"""),"HERRAMIENTAS")</f>
        <v>HERRAMIENTAS</v>
      </c>
      <c r="E2461" s="213" t="str">
        <f>IFERROR(__xludf.DUMMYFUNCTION("""COMPUTED_VALUE"""),"MAT-455")</f>
        <v>MAT-455</v>
      </c>
      <c r="F2461" s="213" t="str">
        <f>IFERROR(__xludf.DUMMYFUNCTION("""COMPUTED_VALUE"""),"MAT-455")</f>
        <v>MAT-455</v>
      </c>
      <c r="G2461" s="213"/>
      <c r="H2461" s="213" t="str">
        <f>IFERROR(__xludf.DUMMYFUNCTION("""COMPUTED_VALUE"""),"TAZÓN BOWL N° 20")</f>
        <v>TAZÓN BOWL N° 20</v>
      </c>
      <c r="I2461" s="213" t="str">
        <f>IFERROR(__xludf.DUMMYFUNCTION("""COMPUTED_VALUE"""),"· Material: acero inoxidable.
· Forma: Redondo
· Capacidad: 2 Litros
· Diámetro: 20cm")</f>
        <v>· Material: acero inoxidable.
· Forma: Redondo
· Capacidad: 2 Litros
· Diámetro: 20cm</v>
      </c>
      <c r="J2461" s="213">
        <f>IFERROR(__xludf.DUMMYFUNCTION("""COMPUTED_VALUE"""),3.0)</f>
        <v>3</v>
      </c>
      <c r="K2461" s="213" t="str">
        <f>IFERROR(__xludf.DUMMYFUNCTION("""COMPUTED_VALUE"""),"90 DÍAS CALENDARIO")</f>
        <v>90 DÍAS CALENDARIO</v>
      </c>
      <c r="L2461" s="213" t="str">
        <f>IFERROR(__xludf.DUMMYFUNCTION("""COMPUTED_VALUE"""),"")</f>
        <v/>
      </c>
      <c r="M2461" s="213">
        <f>IFERROR(__xludf.DUMMYFUNCTION("""COMPUTED_VALUE"""),1.0)</f>
        <v>1</v>
      </c>
      <c r="N2461" s="213">
        <f>IFERROR(__xludf.DUMMYFUNCTION("""COMPUTED_VALUE"""),5.0)</f>
        <v>5</v>
      </c>
      <c r="O2461" s="213">
        <f>IFERROR(__xludf.DUMMYFUNCTION("""COMPUTED_VALUE"""),5.0)</f>
        <v>5</v>
      </c>
      <c r="P2461" s="213"/>
      <c r="Q2461" s="213"/>
      <c r="R2461" s="213" t="str">
        <f>IFERROR(__xludf.DUMMYFUNCTION("""COMPUTED_VALUE"""),"SI")</f>
        <v>SI</v>
      </c>
      <c r="S2461" s="213"/>
      <c r="T2461" s="213" t="str">
        <f>IFERROR(__xludf.DUMMYFUNCTION("""COMPUTED_VALUE"""),"CONSULTA FINAL")</f>
        <v>CONSULTA FINAL</v>
      </c>
      <c r="U2461" s="213" t="str">
        <f>IFERROR(__xludf.DUMMYFUNCTION("""COMPUTED_VALUE"""),"NO")</f>
        <v>NO</v>
      </c>
      <c r="V2461" s="213" t="str">
        <f>IFERROR(__xludf.DUMMYFUNCTION("""COMPUTED_VALUE"""),"SUSTENTO")</f>
        <v>SUSTENTO</v>
      </c>
      <c r="W2461" s="213" t="str">
        <f>IFERROR(__xludf.DUMMYFUNCTION("""COMPUTED_VALUE"""),"DIMENSIONAL")</f>
        <v>DIMENSIONAL</v>
      </c>
      <c r="X2461" s="213" t="str">
        <f>IFERROR(__xludf.DUMMYFUNCTION("""COMPUTED_VALUE"""),"CASA JOVEN")</f>
        <v>CASA JOVEN</v>
      </c>
      <c r="Y2461" s="213">
        <f>IFERROR(__xludf.DUMMYFUNCTION("""COMPUTED_VALUE"""),1.14023191E8)</f>
        <v>114023191</v>
      </c>
      <c r="Z2461" s="215" t="str">
        <f>IFERROR(__xludf.DUMMYFUNCTION("""COMPUTED_VALUE"""),"https://tottus.falabella.com.pe/tottus-pe/product/114023189/bolo-20cm-acero-inoxidable/114023198")</f>
        <v>https://tottus.falabella.com.pe/tottus-pe/product/114023189/bolo-20cm-acero-inoxidable/114023198</v>
      </c>
      <c r="AA2461" s="215" t="str">
        <f>IFERROR(__xludf.DUMMYFUNCTION("""COMPUTED_VALUE"""),"https://docs.google.com/spreadsheets/d/1C5rTeXaWRGfwn03xrf-xPHWnRk1lMETIlpaoWdQfNkE/edit?gid=0#gid=1")</f>
        <v>https://docs.google.com/spreadsheets/d/1C5rTeXaWRGfwn03xrf-xPHWnRk1lMETIlpaoWdQfNkE/edit?gid=0#gid=1</v>
      </c>
      <c r="AB2461" s="213"/>
      <c r="AC2461" s="213"/>
      <c r="AD2461" s="213"/>
      <c r="AE2461" s="213"/>
      <c r="AF2461" s="213"/>
      <c r="AG2461" s="213"/>
      <c r="AH2461" s="213"/>
      <c r="AI2461" s="213"/>
      <c r="AJ2461" s="213"/>
      <c r="AK2461" s="213"/>
      <c r="AL2461" s="213"/>
      <c r="AM2461" s="213"/>
      <c r="AN2461" s="213"/>
      <c r="AO2461" s="213"/>
      <c r="AP2461" s="213" t="str">
        <f>IFERROR(__xludf.DUMMYFUNCTION("""COMPUTED_VALUE"""),"SEBASTIAN")</f>
        <v>SEBASTIAN</v>
      </c>
      <c r="AQ2461" s="213"/>
      <c r="AR2461" s="213"/>
      <c r="AS2461" s="213"/>
      <c r="AT2461" s="213"/>
      <c r="AU2461" s="213"/>
      <c r="AV2461" s="213"/>
      <c r="AW2461" s="213"/>
      <c r="AX2461" s="213"/>
      <c r="AY2461" s="213"/>
      <c r="AZ2461" s="213"/>
      <c r="BA2461" s="213"/>
      <c r="BB2461" s="213"/>
      <c r="BC2461" s="213"/>
      <c r="BD2461" s="213"/>
    </row>
    <row r="2462">
      <c r="A2462" s="213">
        <f>IFERROR(__xludf.DUMMYFUNCTION("""COMPUTED_VALUE"""),553.0)</f>
        <v>553</v>
      </c>
      <c r="B2462" s="213" t="str">
        <f>IFERROR(__xludf.DUMMYFUNCTION("""COMPUTED_VALUE"""),"2026 SIMON BOLIVAR")</f>
        <v>2026 SIMON BOLIVAR</v>
      </c>
      <c r="C2462" s="213" t="str">
        <f>IFERROR(__xludf.DUMMYFUNCTION("""COMPUTED_VALUE"""),"TALLER SFT DE INDUSTRIA ALIMENTARIA")</f>
        <v>TALLER SFT DE INDUSTRIA ALIMENTARIA</v>
      </c>
      <c r="D2462" s="213" t="str">
        <f>IFERROR(__xludf.DUMMYFUNCTION("""COMPUTED_VALUE"""),"EQUIPOS")</f>
        <v>EQUIPOS</v>
      </c>
      <c r="E2462" s="213" t="str">
        <f>IFERROR(__xludf.DUMMYFUNCTION("""COMPUTED_VALUE"""),"ESP-368")</f>
        <v>ESP-368</v>
      </c>
      <c r="F2462" s="213" t="str">
        <f>IFERROR(__xludf.DUMMYFUNCTION("""COMPUTED_VALUE"""),"ESP-368")</f>
        <v>ESP-368</v>
      </c>
      <c r="G2462" s="213"/>
      <c r="H2462" s="213" t="str">
        <f>IFERROR(__xludf.DUMMYFUNCTION("""COMPUTED_VALUE"""),"TINA QUESERA A GAS")</f>
        <v>TINA QUESERA A GAS</v>
      </c>
      <c r="I2462" s="213" t="str">
        <f>IFERROR(__xludf.DUMMYFUNCTION("""COMPUTED_VALUE"""),". Medida arpoximada 20 cm x 25 cm
.  Material: acero inoxidable.
.  Forma: Rectángulo
.  Capacidad: 30 Litros
. Un quemador")</f>
        <v>. Medida arpoximada 20 cm x 25 cm
.  Material: acero inoxidable.
.  Forma: Rectángulo
.  Capacidad: 30 Litros
. Un quemador</v>
      </c>
      <c r="J2462" s="213">
        <f>IFERROR(__xludf.DUMMYFUNCTION("""COMPUTED_VALUE"""),3.0)</f>
        <v>3</v>
      </c>
      <c r="K2462" s="213" t="str">
        <f>IFERROR(__xludf.DUMMYFUNCTION("""COMPUTED_VALUE"""),"170 DÍAS CALENDARIO")</f>
        <v>170 DÍAS CALENDARIO</v>
      </c>
      <c r="L2462" s="213" t="str">
        <f>IFERROR(__xludf.DUMMYFUNCTION("""COMPUTED_VALUE"""),"")</f>
        <v/>
      </c>
      <c r="M2462" s="213">
        <f>IFERROR(__xludf.DUMMYFUNCTION("""COMPUTED_VALUE"""),1.0)</f>
        <v>1</v>
      </c>
      <c r="N2462" s="213">
        <f>IFERROR(__xludf.DUMMYFUNCTION("""COMPUTED_VALUE"""),1.0)</f>
        <v>1</v>
      </c>
      <c r="O2462" s="213">
        <f>IFERROR(__xludf.DUMMYFUNCTION("""COMPUTED_VALUE"""),1.0)</f>
        <v>1</v>
      </c>
      <c r="P2462" s="213"/>
      <c r="Q2462" s="213"/>
      <c r="R2462" s="213"/>
      <c r="S2462" s="213" t="str">
        <f>IFERROR(__xludf.DUMMYFUNCTION("""COMPUTED_VALUE"""),"SI")</f>
        <v>SI</v>
      </c>
      <c r="T2462" s="213" t="str">
        <f>IFERROR(__xludf.DUMMYFUNCTION("""COMPUTED_VALUE"""),"SI")</f>
        <v>SI</v>
      </c>
      <c r="U2462" s="213" t="str">
        <f>IFERROR(__xludf.DUMMYFUNCTION("""COMPUTED_VALUE"""),"NO")</f>
        <v>NO</v>
      </c>
      <c r="V2462" s="213" t="str">
        <f>IFERROR(__xludf.DUMMYFUNCTION("""COMPUTED_VALUE"""),"SUSTENTO")</f>
        <v>SUSTENTO</v>
      </c>
      <c r="W2462" s="213" t="str">
        <f>IFERROR(__xludf.DUMMYFUNCTION("""COMPUTED_VALUE"""),"DIMENSIONAL")</f>
        <v>DIMENSIONAL</v>
      </c>
      <c r="X2462" s="213" t="str">
        <f>IFERROR(__xludf.DUMMYFUNCTION("""COMPUTED_VALUE"""),"INOXOR")</f>
        <v>INOXOR</v>
      </c>
      <c r="Y2462" s="213" t="str">
        <f>IFERROR(__xludf.DUMMYFUNCTION("""COMPUTED_VALUE"""),"TQ-30")</f>
        <v>TQ-30</v>
      </c>
      <c r="Z2462" s="213" t="str">
        <f>IFERROR(__xludf.DUMMYFUNCTION("""COMPUTED_VALUE"""),"TINA QUESERA A GAS_FT.pdf")</f>
        <v>TINA QUESERA A GAS_FT.pdf</v>
      </c>
      <c r="AA2462" s="213" t="str">
        <f>IFERROR(__xludf.DUMMYFUNCTION("""COMPUTED_VALUE"""),"ESP-368 TINA QUESERA A GAS - CET")</f>
        <v>ESP-368 TINA QUESERA A GAS - CET</v>
      </c>
      <c r="AB2462" s="213"/>
      <c r="AC2462" s="213"/>
      <c r="AD2462" s="213"/>
      <c r="AE2462" s="213"/>
      <c r="AF2462" s="213"/>
      <c r="AG2462" s="213"/>
      <c r="AH2462" s="213" t="str">
        <f>IFERROR(__xludf.DUMMYFUNCTION("""COMPUTED_VALUE"""),"NACIONAL")</f>
        <v>NACIONAL</v>
      </c>
      <c r="AI2462" s="213"/>
      <c r="AJ2462" s="213"/>
      <c r="AK2462" s="213"/>
      <c r="AL2462" s="213"/>
      <c r="AM2462" s="213"/>
      <c r="AN2462" s="213"/>
      <c r="AO2462" s="213"/>
      <c r="AP2462" s="213" t="str">
        <f>IFERROR(__xludf.DUMMYFUNCTION("""COMPUTED_VALUE"""),"ANTONELLA")</f>
        <v>ANTONELLA</v>
      </c>
      <c r="AQ2462" s="213" t="str">
        <f>IFERROR(__xludf.DUMMYFUNCTION("""COMPUTED_VALUE"""),"Las dimensiones solicitadas no concuerdan con la capacidad de litraje del equipo.")</f>
        <v>Las dimensiones solicitadas no concuerdan con la capacidad de litraje del equipo.</v>
      </c>
      <c r="AR2462" s="213"/>
      <c r="AS2462" s="213" t="str">
        <f>IFERROR(__xludf.DUMMYFUNCTION("""COMPUTED_VALUE"""),"MANGUERA PARA CONDUCCIÓN DE AGUA
MANGUERA PARA CONDUCCIÓN DE  AIRE")</f>
        <v>MANGUERA PARA CONDUCCIÓN DE AGUA
MANGUERA PARA CONDUCCIÓN DE  AIRE</v>
      </c>
      <c r="AT2462" s="213"/>
      <c r="AU2462" s="213"/>
      <c r="AV2462" s="213"/>
      <c r="AW2462" s="213"/>
      <c r="AX2462" s="213"/>
      <c r="AY2462" s="213"/>
      <c r="AZ2462" s="213"/>
      <c r="BA2462" s="213"/>
      <c r="BB2462" s="213"/>
      <c r="BC2462" s="213"/>
      <c r="BD2462" s="213"/>
    </row>
    <row r="2463">
      <c r="A2463" s="213">
        <f>IFERROR(__xludf.DUMMYFUNCTION("""COMPUTED_VALUE"""),1180.0)</f>
        <v>1180</v>
      </c>
      <c r="B2463" s="213" t="str">
        <f>IFERROR(__xludf.DUMMYFUNCTION("""COMPUTED_VALUE"""),"FRANCISCO IRAZOLA")</f>
        <v>FRANCISCO IRAZOLA</v>
      </c>
      <c r="C2463" s="213" t="str">
        <f>IFERROR(__xludf.DUMMYFUNCTION("""COMPUTED_VALUE"""),"TALLER SFT DE INDUSTRIA ALIMENTARIA")</f>
        <v>TALLER SFT DE INDUSTRIA ALIMENTARIA</v>
      </c>
      <c r="D2463" s="213" t="str">
        <f>IFERROR(__xludf.DUMMYFUNCTION("""COMPUTED_VALUE"""),"EQUIPOS")</f>
        <v>EQUIPOS</v>
      </c>
      <c r="E2463" s="213" t="str">
        <f>IFERROR(__xludf.DUMMYFUNCTION("""COMPUTED_VALUE"""),"ESP-368")</f>
        <v>ESP-368</v>
      </c>
      <c r="F2463" s="213" t="str">
        <f>IFERROR(__xludf.DUMMYFUNCTION("""COMPUTED_VALUE"""),"ESP-368")</f>
        <v>ESP-368</v>
      </c>
      <c r="G2463" s="213"/>
      <c r="H2463" s="213" t="str">
        <f>IFERROR(__xludf.DUMMYFUNCTION("""COMPUTED_VALUE"""),"TINA QUESERA A GAS")</f>
        <v>TINA QUESERA A GAS</v>
      </c>
      <c r="I2463" s="213" t="str">
        <f>IFERROR(__xludf.DUMMYFUNCTION("""COMPUTED_VALUE"""),". Medida arpoximada 20 cm x 25 cm
.  Material: acero inoxidable.
.  Forma: Rectángulo
.  Capacidad: 30 Litros
. Un quemador")</f>
        <v>. Medida arpoximada 20 cm x 25 cm
.  Material: acero inoxidable.
.  Forma: Rectángulo
.  Capacidad: 30 Litros
. Un quemador</v>
      </c>
      <c r="J2463" s="213">
        <f>IFERROR(__xludf.DUMMYFUNCTION("""COMPUTED_VALUE"""),3.0)</f>
        <v>3</v>
      </c>
      <c r="K2463" s="213" t="str">
        <f>IFERROR(__xludf.DUMMYFUNCTION("""COMPUTED_VALUE"""),"170 DÍAS CALENDARIO")</f>
        <v>170 DÍAS CALENDARIO</v>
      </c>
      <c r="L2463" s="213" t="str">
        <f>IFERROR(__xludf.DUMMYFUNCTION("""COMPUTED_VALUE"""),"")</f>
        <v/>
      </c>
      <c r="M2463" s="213">
        <f>IFERROR(__xludf.DUMMYFUNCTION("""COMPUTED_VALUE"""),1.0)</f>
        <v>1</v>
      </c>
      <c r="N2463" s="213">
        <f>IFERROR(__xludf.DUMMYFUNCTION("""COMPUTED_VALUE"""),1.0)</f>
        <v>1</v>
      </c>
      <c r="O2463" s="213">
        <f>IFERROR(__xludf.DUMMYFUNCTION("""COMPUTED_VALUE"""),1.0)</f>
        <v>1</v>
      </c>
      <c r="P2463" s="213"/>
      <c r="Q2463" s="213"/>
      <c r="R2463" s="213"/>
      <c r="S2463" s="213" t="str">
        <f>IFERROR(__xludf.DUMMYFUNCTION("""COMPUTED_VALUE"""),"SI")</f>
        <v>SI</v>
      </c>
      <c r="T2463" s="213" t="str">
        <f>IFERROR(__xludf.DUMMYFUNCTION("""COMPUTED_VALUE"""),"SI")</f>
        <v>SI</v>
      </c>
      <c r="U2463" s="213" t="str">
        <f>IFERROR(__xludf.DUMMYFUNCTION("""COMPUTED_VALUE"""),"NO")</f>
        <v>NO</v>
      </c>
      <c r="V2463" s="213" t="str">
        <f>IFERROR(__xludf.DUMMYFUNCTION("""COMPUTED_VALUE"""),"SUSTENTO")</f>
        <v>SUSTENTO</v>
      </c>
      <c r="W2463" s="213" t="str">
        <f>IFERROR(__xludf.DUMMYFUNCTION("""COMPUTED_VALUE"""),"DIMENSIONAL")</f>
        <v>DIMENSIONAL</v>
      </c>
      <c r="X2463" s="213" t="str">
        <f>IFERROR(__xludf.DUMMYFUNCTION("""COMPUTED_VALUE"""),"INOXOR")</f>
        <v>INOXOR</v>
      </c>
      <c r="Y2463" s="213" t="str">
        <f>IFERROR(__xludf.DUMMYFUNCTION("""COMPUTED_VALUE"""),"TQ-30")</f>
        <v>TQ-30</v>
      </c>
      <c r="Z2463" s="213" t="str">
        <f>IFERROR(__xludf.DUMMYFUNCTION("""COMPUTED_VALUE"""),"TINA QUESERA A GAS_FT.pdf")</f>
        <v>TINA QUESERA A GAS_FT.pdf</v>
      </c>
      <c r="AA2463" s="213" t="str">
        <f>IFERROR(__xludf.DUMMYFUNCTION("""COMPUTED_VALUE"""),"ESP-368 TINA QUESERA A GAS - CET")</f>
        <v>ESP-368 TINA QUESERA A GAS - CET</v>
      </c>
      <c r="AB2463" s="213"/>
      <c r="AC2463" s="213"/>
      <c r="AD2463" s="213"/>
      <c r="AE2463" s="213"/>
      <c r="AF2463" s="213"/>
      <c r="AG2463" s="213"/>
      <c r="AH2463" s="213" t="str">
        <f>IFERROR(__xludf.DUMMYFUNCTION("""COMPUTED_VALUE"""),"NACIONAL")</f>
        <v>NACIONAL</v>
      </c>
      <c r="AI2463" s="213"/>
      <c r="AJ2463" s="213"/>
      <c r="AK2463" s="213"/>
      <c r="AL2463" s="213"/>
      <c r="AM2463" s="213"/>
      <c r="AN2463" s="213"/>
      <c r="AO2463" s="213"/>
      <c r="AP2463" s="213" t="str">
        <f>IFERROR(__xludf.DUMMYFUNCTION("""COMPUTED_VALUE"""),"ANTONELLA")</f>
        <v>ANTONELLA</v>
      </c>
      <c r="AQ2463" s="213" t="str">
        <f>IFERROR(__xludf.DUMMYFUNCTION("""COMPUTED_VALUE"""),"Las dimensiones solicitadas no concuerdan con la capacidad de litraje del equipo.")</f>
        <v>Las dimensiones solicitadas no concuerdan con la capacidad de litraje del equipo.</v>
      </c>
      <c r="AR2463" s="213"/>
      <c r="AS2463" s="213" t="str">
        <f>IFERROR(__xludf.DUMMYFUNCTION("""COMPUTED_VALUE"""),"MANGUERA PARA CONDUCCIÓN DE AGUA
MANGUERA PARA CONDUCCIÓN DE  AIRE")</f>
        <v>MANGUERA PARA CONDUCCIÓN DE AGUA
MANGUERA PARA CONDUCCIÓN DE  AIRE</v>
      </c>
      <c r="AT2463" s="213"/>
      <c r="AU2463" s="213"/>
      <c r="AV2463" s="213"/>
      <c r="AW2463" s="213"/>
      <c r="AX2463" s="213"/>
      <c r="AY2463" s="213"/>
      <c r="AZ2463" s="213"/>
      <c r="BA2463" s="213"/>
      <c r="BB2463" s="213"/>
      <c r="BC2463" s="213"/>
      <c r="BD2463" s="213"/>
    </row>
    <row r="2464">
      <c r="A2464" s="213">
        <f>IFERROR(__xludf.DUMMYFUNCTION("""COMPUTED_VALUE"""),1455.0)</f>
        <v>1455</v>
      </c>
      <c r="B2464" s="213" t="str">
        <f>IFERROR(__xludf.DUMMYFUNCTION("""COMPUTED_VALUE"""),"GUILLERMO E. BILLINGHURST ")</f>
        <v>GUILLERMO E. BILLINGHURST </v>
      </c>
      <c r="C2464" s="213" t="str">
        <f>IFERROR(__xludf.DUMMYFUNCTION("""COMPUTED_VALUE"""),"TALLER SFT DE INDUSTRIA ALIMENTARIA")</f>
        <v>TALLER SFT DE INDUSTRIA ALIMENTARIA</v>
      </c>
      <c r="D2464" s="213" t="str">
        <f>IFERROR(__xludf.DUMMYFUNCTION("""COMPUTED_VALUE"""),"EQUIPOS")</f>
        <v>EQUIPOS</v>
      </c>
      <c r="E2464" s="213" t="str">
        <f>IFERROR(__xludf.DUMMYFUNCTION("""COMPUTED_VALUE"""),"ESP-368")</f>
        <v>ESP-368</v>
      </c>
      <c r="F2464" s="213" t="str">
        <f>IFERROR(__xludf.DUMMYFUNCTION("""COMPUTED_VALUE"""),"ESP-368")</f>
        <v>ESP-368</v>
      </c>
      <c r="G2464" s="213"/>
      <c r="H2464" s="213" t="str">
        <f>IFERROR(__xludf.DUMMYFUNCTION("""COMPUTED_VALUE"""),"TINA QUESERA A GAS")</f>
        <v>TINA QUESERA A GAS</v>
      </c>
      <c r="I2464" s="213" t="str">
        <f>IFERROR(__xludf.DUMMYFUNCTION("""COMPUTED_VALUE"""),". Medida arpoximada 20 cm x 25 cm
.  Material: acero inoxidable.
.  Forma: Rectángulo
.  Capacidad: 30 Litros
. Un quemador")</f>
        <v>. Medida arpoximada 20 cm x 25 cm
.  Material: acero inoxidable.
.  Forma: Rectángulo
.  Capacidad: 30 Litros
. Un quemador</v>
      </c>
      <c r="J2464" s="213">
        <f>IFERROR(__xludf.DUMMYFUNCTION("""COMPUTED_VALUE"""),3.0)</f>
        <v>3</v>
      </c>
      <c r="K2464" s="213" t="str">
        <f>IFERROR(__xludf.DUMMYFUNCTION("""COMPUTED_VALUE"""),"170 DÍAS CALENDARIO")</f>
        <v>170 DÍAS CALENDARIO</v>
      </c>
      <c r="L2464" s="213" t="str">
        <f>IFERROR(__xludf.DUMMYFUNCTION("""COMPUTED_VALUE"""),"")</f>
        <v/>
      </c>
      <c r="M2464" s="213">
        <f>IFERROR(__xludf.DUMMYFUNCTION("""COMPUTED_VALUE"""),1.0)</f>
        <v>1</v>
      </c>
      <c r="N2464" s="213">
        <f>IFERROR(__xludf.DUMMYFUNCTION("""COMPUTED_VALUE"""),1.0)</f>
        <v>1</v>
      </c>
      <c r="O2464" s="213">
        <f>IFERROR(__xludf.DUMMYFUNCTION("""COMPUTED_VALUE"""),1.0)</f>
        <v>1</v>
      </c>
      <c r="P2464" s="213"/>
      <c r="Q2464" s="213"/>
      <c r="R2464" s="213"/>
      <c r="S2464" s="213" t="str">
        <f>IFERROR(__xludf.DUMMYFUNCTION("""COMPUTED_VALUE"""),"SI")</f>
        <v>SI</v>
      </c>
      <c r="T2464" s="213" t="str">
        <f>IFERROR(__xludf.DUMMYFUNCTION("""COMPUTED_VALUE"""),"SI")</f>
        <v>SI</v>
      </c>
      <c r="U2464" s="213" t="str">
        <f>IFERROR(__xludf.DUMMYFUNCTION("""COMPUTED_VALUE"""),"NO")</f>
        <v>NO</v>
      </c>
      <c r="V2464" s="213" t="str">
        <f>IFERROR(__xludf.DUMMYFUNCTION("""COMPUTED_VALUE"""),"SUSTENTO")</f>
        <v>SUSTENTO</v>
      </c>
      <c r="W2464" s="213" t="str">
        <f>IFERROR(__xludf.DUMMYFUNCTION("""COMPUTED_VALUE"""),"DIMENSIONAL")</f>
        <v>DIMENSIONAL</v>
      </c>
      <c r="X2464" s="213" t="str">
        <f>IFERROR(__xludf.DUMMYFUNCTION("""COMPUTED_VALUE"""),"INOXOR")</f>
        <v>INOXOR</v>
      </c>
      <c r="Y2464" s="213" t="str">
        <f>IFERROR(__xludf.DUMMYFUNCTION("""COMPUTED_VALUE"""),"TQ-30")</f>
        <v>TQ-30</v>
      </c>
      <c r="Z2464" s="213" t="str">
        <f>IFERROR(__xludf.DUMMYFUNCTION("""COMPUTED_VALUE"""),"TINA QUESERA A GAS_FT.pdf")</f>
        <v>TINA QUESERA A GAS_FT.pdf</v>
      </c>
      <c r="AA2464" s="213" t="str">
        <f>IFERROR(__xludf.DUMMYFUNCTION("""COMPUTED_VALUE"""),"ESP-368 TINA QUESERA A GAS - CET")</f>
        <v>ESP-368 TINA QUESERA A GAS - CET</v>
      </c>
      <c r="AB2464" s="213"/>
      <c r="AC2464" s="213"/>
      <c r="AD2464" s="213"/>
      <c r="AE2464" s="213"/>
      <c r="AF2464" s="213"/>
      <c r="AG2464" s="213"/>
      <c r="AH2464" s="213" t="str">
        <f>IFERROR(__xludf.DUMMYFUNCTION("""COMPUTED_VALUE"""),"NACIONAL")</f>
        <v>NACIONAL</v>
      </c>
      <c r="AI2464" s="213"/>
      <c r="AJ2464" s="213"/>
      <c r="AK2464" s="213"/>
      <c r="AL2464" s="213"/>
      <c r="AM2464" s="213"/>
      <c r="AN2464" s="213"/>
      <c r="AO2464" s="213"/>
      <c r="AP2464" s="213" t="str">
        <f>IFERROR(__xludf.DUMMYFUNCTION("""COMPUTED_VALUE"""),"ANTONELLA")</f>
        <v>ANTONELLA</v>
      </c>
      <c r="AQ2464" s="213" t="str">
        <f>IFERROR(__xludf.DUMMYFUNCTION("""COMPUTED_VALUE"""),"Las dimensiones solicitadas no concuerdan con la capacidad de litraje del equipo.")</f>
        <v>Las dimensiones solicitadas no concuerdan con la capacidad de litraje del equipo.</v>
      </c>
      <c r="AR2464" s="213"/>
      <c r="AS2464" s="213" t="str">
        <f>IFERROR(__xludf.DUMMYFUNCTION("""COMPUTED_VALUE"""),"MANGUERA PARA CONDUCCIÓN DE AGUA
MANGUERA PARA CONDUCCIÓN DE  AIRE")</f>
        <v>MANGUERA PARA CONDUCCIÓN DE AGUA
MANGUERA PARA CONDUCCIÓN DE  AIRE</v>
      </c>
      <c r="AT2464" s="213"/>
      <c r="AU2464" s="213"/>
      <c r="AV2464" s="213"/>
      <c r="AW2464" s="213"/>
      <c r="AX2464" s="213"/>
      <c r="AY2464" s="213"/>
      <c r="AZ2464" s="213"/>
      <c r="BA2464" s="213"/>
      <c r="BB2464" s="213"/>
      <c r="BC2464" s="213"/>
      <c r="BD2464" s="213"/>
    </row>
    <row r="2465">
      <c r="A2465" s="213">
        <f>IFERROR(__xludf.DUMMYFUNCTION("""COMPUTED_VALUE"""),2142.0)</f>
        <v>2142</v>
      </c>
      <c r="B2465" s="213" t="str">
        <f>IFERROR(__xludf.DUMMYFUNCTION("""COMPUTED_VALUE"""),"JOSE GRANDA")</f>
        <v>JOSE GRANDA</v>
      </c>
      <c r="C2465" s="213" t="str">
        <f>IFERROR(__xludf.DUMMYFUNCTION("""COMPUTED_VALUE"""),"TALLER SFT DE INDUSTRIA ALIMENTARIA")</f>
        <v>TALLER SFT DE INDUSTRIA ALIMENTARIA</v>
      </c>
      <c r="D2465" s="213" t="str">
        <f>IFERROR(__xludf.DUMMYFUNCTION("""COMPUTED_VALUE"""),"EQUIPOS")</f>
        <v>EQUIPOS</v>
      </c>
      <c r="E2465" s="213" t="str">
        <f>IFERROR(__xludf.DUMMYFUNCTION("""COMPUTED_VALUE"""),"ESP-368")</f>
        <v>ESP-368</v>
      </c>
      <c r="F2465" s="213" t="str">
        <f>IFERROR(__xludf.DUMMYFUNCTION("""COMPUTED_VALUE"""),"ESP-368")</f>
        <v>ESP-368</v>
      </c>
      <c r="G2465" s="213"/>
      <c r="H2465" s="213" t="str">
        <f>IFERROR(__xludf.DUMMYFUNCTION("""COMPUTED_VALUE"""),"TINA QUESERA A GAS")</f>
        <v>TINA QUESERA A GAS</v>
      </c>
      <c r="I2465" s="213" t="str">
        <f>IFERROR(__xludf.DUMMYFUNCTION("""COMPUTED_VALUE"""),". Medida arpoximada 20 cm x 25 cm
.  Material: acero inoxidable.
.  Forma: Rectángulo
.  Capacidad: 30 Litros
. Un quemador")</f>
        <v>. Medida arpoximada 20 cm x 25 cm
.  Material: acero inoxidable.
.  Forma: Rectángulo
.  Capacidad: 30 Litros
. Un quemador</v>
      </c>
      <c r="J2465" s="213">
        <f>IFERROR(__xludf.DUMMYFUNCTION("""COMPUTED_VALUE"""),3.0)</f>
        <v>3</v>
      </c>
      <c r="K2465" s="213" t="str">
        <f>IFERROR(__xludf.DUMMYFUNCTION("""COMPUTED_VALUE"""),"170 DÍAS CALENDARIO")</f>
        <v>170 DÍAS CALENDARIO</v>
      </c>
      <c r="L2465" s="213" t="str">
        <f>IFERROR(__xludf.DUMMYFUNCTION("""COMPUTED_VALUE"""),"")</f>
        <v/>
      </c>
      <c r="M2465" s="213">
        <f>IFERROR(__xludf.DUMMYFUNCTION("""COMPUTED_VALUE"""),1.0)</f>
        <v>1</v>
      </c>
      <c r="N2465" s="213">
        <f>IFERROR(__xludf.DUMMYFUNCTION("""COMPUTED_VALUE"""),1.0)</f>
        <v>1</v>
      </c>
      <c r="O2465" s="213">
        <f>IFERROR(__xludf.DUMMYFUNCTION("""COMPUTED_VALUE"""),1.0)</f>
        <v>1</v>
      </c>
      <c r="P2465" s="213"/>
      <c r="Q2465" s="213"/>
      <c r="R2465" s="213"/>
      <c r="S2465" s="213" t="str">
        <f>IFERROR(__xludf.DUMMYFUNCTION("""COMPUTED_VALUE"""),"SI")</f>
        <v>SI</v>
      </c>
      <c r="T2465" s="213" t="str">
        <f>IFERROR(__xludf.DUMMYFUNCTION("""COMPUTED_VALUE"""),"SI")</f>
        <v>SI</v>
      </c>
      <c r="U2465" s="213" t="str">
        <f>IFERROR(__xludf.DUMMYFUNCTION("""COMPUTED_VALUE"""),"NO")</f>
        <v>NO</v>
      </c>
      <c r="V2465" s="213" t="str">
        <f>IFERROR(__xludf.DUMMYFUNCTION("""COMPUTED_VALUE"""),"SUSTENTO")</f>
        <v>SUSTENTO</v>
      </c>
      <c r="W2465" s="213" t="str">
        <f>IFERROR(__xludf.DUMMYFUNCTION("""COMPUTED_VALUE"""),"DIMENSIONAL")</f>
        <v>DIMENSIONAL</v>
      </c>
      <c r="X2465" s="213" t="str">
        <f>IFERROR(__xludf.DUMMYFUNCTION("""COMPUTED_VALUE"""),"INOXOR")</f>
        <v>INOXOR</v>
      </c>
      <c r="Y2465" s="213" t="str">
        <f>IFERROR(__xludf.DUMMYFUNCTION("""COMPUTED_VALUE"""),"TQ-30")</f>
        <v>TQ-30</v>
      </c>
      <c r="Z2465" s="213" t="str">
        <f>IFERROR(__xludf.DUMMYFUNCTION("""COMPUTED_VALUE"""),"TINA QUESERA A GAS_FT.pdf")</f>
        <v>TINA QUESERA A GAS_FT.pdf</v>
      </c>
      <c r="AA2465" s="213" t="str">
        <f>IFERROR(__xludf.DUMMYFUNCTION("""COMPUTED_VALUE"""),"ESP-368 TINA QUESERA A GAS - CET")</f>
        <v>ESP-368 TINA QUESERA A GAS - CET</v>
      </c>
      <c r="AB2465" s="213"/>
      <c r="AC2465" s="213"/>
      <c r="AD2465" s="213"/>
      <c r="AE2465" s="213"/>
      <c r="AF2465" s="213"/>
      <c r="AG2465" s="213"/>
      <c r="AH2465" s="213" t="str">
        <f>IFERROR(__xludf.DUMMYFUNCTION("""COMPUTED_VALUE"""),"NACIONAL")</f>
        <v>NACIONAL</v>
      </c>
      <c r="AI2465" s="213"/>
      <c r="AJ2465" s="213"/>
      <c r="AK2465" s="213"/>
      <c r="AL2465" s="213"/>
      <c r="AM2465" s="213"/>
      <c r="AN2465" s="213"/>
      <c r="AO2465" s="213"/>
      <c r="AP2465" s="213" t="str">
        <f>IFERROR(__xludf.DUMMYFUNCTION("""COMPUTED_VALUE"""),"ANTONELLA")</f>
        <v>ANTONELLA</v>
      </c>
      <c r="AQ2465" s="213" t="str">
        <f>IFERROR(__xludf.DUMMYFUNCTION("""COMPUTED_VALUE"""),"Las dimensiones solicitadas no concuerdan con la capacidad de litraje del equipo.")</f>
        <v>Las dimensiones solicitadas no concuerdan con la capacidad de litraje del equipo.</v>
      </c>
      <c r="AR2465" s="213"/>
      <c r="AS2465" s="213" t="str">
        <f>IFERROR(__xludf.DUMMYFUNCTION("""COMPUTED_VALUE"""),"MANGUERA PARA CONDUCCIÓN DE AGUA
MANGUERA PARA CONDUCCIÓN DE  AIRE")</f>
        <v>MANGUERA PARA CONDUCCIÓN DE AGUA
MANGUERA PARA CONDUCCIÓN DE  AIRE</v>
      </c>
      <c r="AT2465" s="213"/>
      <c r="AU2465" s="213"/>
      <c r="AV2465" s="213"/>
      <c r="AW2465" s="213"/>
      <c r="AX2465" s="213"/>
      <c r="AY2465" s="213"/>
      <c r="AZ2465" s="213"/>
      <c r="BA2465" s="213"/>
      <c r="BB2465" s="213"/>
      <c r="BC2465" s="213"/>
      <c r="BD2465" s="213"/>
    </row>
    <row r="2466">
      <c r="A2466" s="213">
        <f>IFERROR(__xludf.DUMMYFUNCTION("""COMPUTED_VALUE"""),489.0)</f>
        <v>489</v>
      </c>
      <c r="B2466" s="213" t="str">
        <f>IFERROR(__xludf.DUMMYFUNCTION("""COMPUTED_VALUE"""),"2026 SIMON BOLIVAR")</f>
        <v>2026 SIMON BOLIVAR</v>
      </c>
      <c r="C2466" s="213" t="str">
        <f>IFERROR(__xludf.DUMMYFUNCTION("""COMPUTED_VALUE"""),"TALLER SFT DE INDUSTRIA ALIMENTARIA")</f>
        <v>TALLER SFT DE INDUSTRIA ALIMENTARIA</v>
      </c>
      <c r="D2466" s="213" t="str">
        <f>IFERROR(__xludf.DUMMYFUNCTION("""COMPUTED_VALUE"""),"HERRAMIENTAS")</f>
        <v>HERRAMIENTAS</v>
      </c>
      <c r="E2466" s="213" t="str">
        <f>IFERROR(__xludf.DUMMYFUNCTION("""COMPUTED_VALUE"""),"MAT-456")</f>
        <v>MAT-456</v>
      </c>
      <c r="F2466" s="213" t="str">
        <f>IFERROR(__xludf.DUMMYFUNCTION("""COMPUTED_VALUE"""),"MAT-456")</f>
        <v>MAT-456</v>
      </c>
      <c r="G2466" s="213"/>
      <c r="H2466" s="213" t="str">
        <f>IFERROR(__xludf.DUMMYFUNCTION("""COMPUTED_VALUE"""),"TAZÓN BOWL N° 24")</f>
        <v>TAZÓN BOWL N° 24</v>
      </c>
      <c r="I2466" s="213" t="str">
        <f>IFERROR(__xludf.DUMMYFUNCTION("""COMPUTED_VALUE"""),"· Material: acero inoxidable.
· Forma: Redondo
· Capacidad: 2.5 Litros
· Diámetro: 24cm")</f>
        <v>· Material: acero inoxidable.
· Forma: Redondo
· Capacidad: 2.5 Litros
· Diámetro: 24cm</v>
      </c>
      <c r="J2466" s="213">
        <f>IFERROR(__xludf.DUMMYFUNCTION("""COMPUTED_VALUE"""),3.0)</f>
        <v>3</v>
      </c>
      <c r="K2466" s="213" t="str">
        <f>IFERROR(__xludf.DUMMYFUNCTION("""COMPUTED_VALUE"""),"90 DÍAS CALENDARIO")</f>
        <v>90 DÍAS CALENDARIO</v>
      </c>
      <c r="L2466" s="213" t="str">
        <f>IFERROR(__xludf.DUMMYFUNCTION("""COMPUTED_VALUE"""),"")</f>
        <v/>
      </c>
      <c r="M2466" s="213">
        <f>IFERROR(__xludf.DUMMYFUNCTION("""COMPUTED_VALUE"""),1.0)</f>
        <v>1</v>
      </c>
      <c r="N2466" s="213">
        <f>IFERROR(__xludf.DUMMYFUNCTION("""COMPUTED_VALUE"""),5.0)</f>
        <v>5</v>
      </c>
      <c r="O2466" s="213">
        <f>IFERROR(__xludf.DUMMYFUNCTION("""COMPUTED_VALUE"""),5.0)</f>
        <v>5</v>
      </c>
      <c r="P2466" s="213"/>
      <c r="Q2466" s="213"/>
      <c r="R2466" s="213" t="str">
        <f>IFERROR(__xludf.DUMMYFUNCTION("""COMPUTED_VALUE"""),"SI")</f>
        <v>SI</v>
      </c>
      <c r="S2466" s="213"/>
      <c r="T2466" s="213" t="str">
        <f>IFERROR(__xludf.DUMMYFUNCTION("""COMPUTED_VALUE"""),"CONSULTA FINAL")</f>
        <v>CONSULTA FINAL</v>
      </c>
      <c r="U2466" s="213" t="str">
        <f>IFERROR(__xludf.DUMMYFUNCTION("""COMPUTED_VALUE"""),"NO")</f>
        <v>NO</v>
      </c>
      <c r="V2466" s="213" t="str">
        <f>IFERROR(__xludf.DUMMYFUNCTION("""COMPUTED_VALUE"""),"SUSTENTO")</f>
        <v>SUSTENTO</v>
      </c>
      <c r="W2466" s="213" t="str">
        <f>IFERROR(__xludf.DUMMYFUNCTION("""COMPUTED_VALUE"""),"DIMENSIONAL")</f>
        <v>DIMENSIONAL</v>
      </c>
      <c r="X2466" s="213" t="str">
        <f>IFERROR(__xludf.DUMMYFUNCTION("""COMPUTED_VALUE"""),"CASA JOVEN")</f>
        <v>CASA JOVEN</v>
      </c>
      <c r="Y2466" s="213">
        <f>IFERROR(__xludf.DUMMYFUNCTION("""COMPUTED_VALUE"""),1.16230342E8)</f>
        <v>116230342</v>
      </c>
      <c r="Z2466" s="215" t="str">
        <f>IFERROR(__xludf.DUMMYFUNCTION("""COMPUTED_VALUE"""),"https://www.tottus.com.pe/tottus-pe/articulo/116230341/bolo-de-acero-inoxidable-24cm/116230342")</f>
        <v>https://www.tottus.com.pe/tottus-pe/articulo/116230341/bolo-de-acero-inoxidable-24cm/116230342</v>
      </c>
      <c r="AA2466" s="213" t="str">
        <f>IFERROR(__xludf.DUMMYFUNCTION("""COMPUTED_VALUE"""),"MAT-456 TAZÓN BOWL N° 24 - CET")</f>
        <v>MAT-456 TAZÓN BOWL N° 24 - CET</v>
      </c>
      <c r="AB2466" s="213"/>
      <c r="AC2466" s="213"/>
      <c r="AD2466" s="213"/>
      <c r="AE2466" s="213"/>
      <c r="AF2466" s="213"/>
      <c r="AG2466" s="213"/>
      <c r="AH2466" s="213"/>
      <c r="AI2466" s="213"/>
      <c r="AJ2466" s="213"/>
      <c r="AK2466" s="213"/>
      <c r="AL2466" s="213"/>
      <c r="AM2466" s="213"/>
      <c r="AN2466" s="213"/>
      <c r="AO2466" s="213"/>
      <c r="AP2466" s="213" t="str">
        <f>IFERROR(__xludf.DUMMYFUNCTION("""COMPUTED_VALUE"""),"SEBASTIAN")</f>
        <v>SEBASTIAN</v>
      </c>
      <c r="AQ2466" s="213"/>
      <c r="AR2466" s="213"/>
      <c r="AS2466" s="213"/>
      <c r="AT2466" s="213"/>
      <c r="AU2466" s="213"/>
      <c r="AV2466" s="213"/>
      <c r="AW2466" s="213"/>
      <c r="AX2466" s="213"/>
      <c r="AY2466" s="213"/>
      <c r="AZ2466" s="213"/>
      <c r="BA2466" s="213"/>
      <c r="BB2466" s="213"/>
      <c r="BC2466" s="213"/>
      <c r="BD2466" s="213"/>
    </row>
    <row r="2467">
      <c r="A2467" s="213">
        <f>IFERROR(__xludf.DUMMYFUNCTION("""COMPUTED_VALUE"""),519.0)</f>
        <v>519</v>
      </c>
      <c r="B2467" s="213" t="str">
        <f>IFERROR(__xludf.DUMMYFUNCTION("""COMPUTED_VALUE"""),"2026 SIMON BOLIVAR")</f>
        <v>2026 SIMON BOLIVAR</v>
      </c>
      <c r="C2467" s="213" t="str">
        <f>IFERROR(__xludf.DUMMYFUNCTION("""COMPUTED_VALUE"""),"TALLER SFT DE INDUSTRIA ALIMENTARIA")</f>
        <v>TALLER SFT DE INDUSTRIA ALIMENTARIA</v>
      </c>
      <c r="D2467" s="213" t="str">
        <f>IFERROR(__xludf.DUMMYFUNCTION("""COMPUTED_VALUE"""),"HERRAMIENTAS")</f>
        <v>HERRAMIENTAS</v>
      </c>
      <c r="E2467" s="213" t="str">
        <f>IFERROR(__xludf.DUMMYFUNCTION("""COMPUTED_VALUE"""),"MAT-456")</f>
        <v>MAT-456</v>
      </c>
      <c r="F2467" s="213" t="str">
        <f>IFERROR(__xludf.DUMMYFUNCTION("""COMPUTED_VALUE"""),"MAT-456")</f>
        <v>MAT-456</v>
      </c>
      <c r="G2467" s="213"/>
      <c r="H2467" s="213" t="str">
        <f>IFERROR(__xludf.DUMMYFUNCTION("""COMPUTED_VALUE"""),"TAZÓN BOWL N° 24")</f>
        <v>TAZÓN BOWL N° 24</v>
      </c>
      <c r="I2467" s="213" t="str">
        <f>IFERROR(__xludf.DUMMYFUNCTION("""COMPUTED_VALUE"""),"· Material: acero inoxidable.
· Forma: Redondo
· Capacidad: 2.5 Litros
· Diámetro: 24cm")</f>
        <v>· Material: acero inoxidable.
· Forma: Redondo
· Capacidad: 2.5 Litros
· Diámetro: 24cm</v>
      </c>
      <c r="J2467" s="213">
        <f>IFERROR(__xludf.DUMMYFUNCTION("""COMPUTED_VALUE"""),3.0)</f>
        <v>3</v>
      </c>
      <c r="K2467" s="213" t="str">
        <f>IFERROR(__xludf.DUMMYFUNCTION("""COMPUTED_VALUE"""),"90 DÍAS CALENDARIO")</f>
        <v>90 DÍAS CALENDARIO</v>
      </c>
      <c r="L2467" s="213" t="str">
        <f>IFERROR(__xludf.DUMMYFUNCTION("""COMPUTED_VALUE"""),"")</f>
        <v/>
      </c>
      <c r="M2467" s="213">
        <f>IFERROR(__xludf.DUMMYFUNCTION("""COMPUTED_VALUE"""),1.0)</f>
        <v>1</v>
      </c>
      <c r="N2467" s="213">
        <f>IFERROR(__xludf.DUMMYFUNCTION("""COMPUTED_VALUE"""),5.0)</f>
        <v>5</v>
      </c>
      <c r="O2467" s="213">
        <f>IFERROR(__xludf.DUMMYFUNCTION("""COMPUTED_VALUE"""),5.0)</f>
        <v>5</v>
      </c>
      <c r="P2467" s="213"/>
      <c r="Q2467" s="213"/>
      <c r="R2467" s="213" t="str">
        <f>IFERROR(__xludf.DUMMYFUNCTION("""COMPUTED_VALUE"""),"SI")</f>
        <v>SI</v>
      </c>
      <c r="S2467" s="213"/>
      <c r="T2467" s="213" t="str">
        <f>IFERROR(__xludf.DUMMYFUNCTION("""COMPUTED_VALUE"""),"CONSULTA FINAL")</f>
        <v>CONSULTA FINAL</v>
      </c>
      <c r="U2467" s="213" t="str">
        <f>IFERROR(__xludf.DUMMYFUNCTION("""COMPUTED_VALUE"""),"NO")</f>
        <v>NO</v>
      </c>
      <c r="V2467" s="213" t="str">
        <f>IFERROR(__xludf.DUMMYFUNCTION("""COMPUTED_VALUE"""),"SUSTENTO")</f>
        <v>SUSTENTO</v>
      </c>
      <c r="W2467" s="213" t="str">
        <f>IFERROR(__xludf.DUMMYFUNCTION("""COMPUTED_VALUE"""),"DIMENSIONAL")</f>
        <v>DIMENSIONAL</v>
      </c>
      <c r="X2467" s="213" t="str">
        <f>IFERROR(__xludf.DUMMYFUNCTION("""COMPUTED_VALUE"""),"CASA JOVEN")</f>
        <v>CASA JOVEN</v>
      </c>
      <c r="Y2467" s="213">
        <f>IFERROR(__xludf.DUMMYFUNCTION("""COMPUTED_VALUE"""),1.16230342E8)</f>
        <v>116230342</v>
      </c>
      <c r="Z2467" s="215" t="str">
        <f>IFERROR(__xludf.DUMMYFUNCTION("""COMPUTED_VALUE"""),"https://www.tottus.com.pe/tottus-pe/articulo/116230341/bolo-de-acero-inoxidable-24cm/116230343")</f>
        <v>https://www.tottus.com.pe/tottus-pe/articulo/116230341/bolo-de-acero-inoxidable-24cm/116230343</v>
      </c>
      <c r="AA2467" s="215" t="str">
        <f>IFERROR(__xludf.DUMMYFUNCTION("""COMPUTED_VALUE"""),"https://docs.google.com/spreadsheets/d/1iZtQ9oSN4OfQ6bhL9YJAlIOSFOmi6I4mMKfAWIPxqlE/edit?gid=0#gid=1")</f>
        <v>https://docs.google.com/spreadsheets/d/1iZtQ9oSN4OfQ6bhL9YJAlIOSFOmi6I4mMKfAWIPxqlE/edit?gid=0#gid=1</v>
      </c>
      <c r="AB2467" s="213"/>
      <c r="AC2467" s="213"/>
      <c r="AD2467" s="213"/>
      <c r="AE2467" s="213"/>
      <c r="AF2467" s="213"/>
      <c r="AG2467" s="213"/>
      <c r="AH2467" s="213"/>
      <c r="AI2467" s="213"/>
      <c r="AJ2467" s="213"/>
      <c r="AK2467" s="213"/>
      <c r="AL2467" s="213"/>
      <c r="AM2467" s="213"/>
      <c r="AN2467" s="213"/>
      <c r="AO2467" s="213"/>
      <c r="AP2467" s="213" t="str">
        <f>IFERROR(__xludf.DUMMYFUNCTION("""COMPUTED_VALUE"""),"SEBASTIAN")</f>
        <v>SEBASTIAN</v>
      </c>
      <c r="AQ2467" s="213"/>
      <c r="AR2467" s="213"/>
      <c r="AS2467" s="213"/>
      <c r="AT2467" s="213"/>
      <c r="AU2467" s="213"/>
      <c r="AV2467" s="213"/>
      <c r="AW2467" s="213"/>
      <c r="AX2467" s="213"/>
      <c r="AY2467" s="213"/>
      <c r="AZ2467" s="213"/>
      <c r="BA2467" s="213"/>
      <c r="BB2467" s="213"/>
      <c r="BC2467" s="213"/>
      <c r="BD2467" s="213"/>
    </row>
    <row r="2468">
      <c r="A2468" s="213">
        <f>IFERROR(__xludf.DUMMYFUNCTION("""COMPUTED_VALUE"""),1119.0)</f>
        <v>1119</v>
      </c>
      <c r="B2468" s="213" t="str">
        <f>IFERROR(__xludf.DUMMYFUNCTION("""COMPUTED_VALUE"""),"FRANCISCO IRAZOLA")</f>
        <v>FRANCISCO IRAZOLA</v>
      </c>
      <c r="C2468" s="213" t="str">
        <f>IFERROR(__xludf.DUMMYFUNCTION("""COMPUTED_VALUE"""),"TALLER SFT DE INDUSTRIA ALIMENTARIA")</f>
        <v>TALLER SFT DE INDUSTRIA ALIMENTARIA</v>
      </c>
      <c r="D2468" s="213" t="str">
        <f>IFERROR(__xludf.DUMMYFUNCTION("""COMPUTED_VALUE"""),"HERRAMIENTAS")</f>
        <v>HERRAMIENTAS</v>
      </c>
      <c r="E2468" s="213" t="str">
        <f>IFERROR(__xludf.DUMMYFUNCTION("""COMPUTED_VALUE"""),"MAT-456")</f>
        <v>MAT-456</v>
      </c>
      <c r="F2468" s="213" t="str">
        <f>IFERROR(__xludf.DUMMYFUNCTION("""COMPUTED_VALUE"""),"MAT-456")</f>
        <v>MAT-456</v>
      </c>
      <c r="G2468" s="213"/>
      <c r="H2468" s="213" t="str">
        <f>IFERROR(__xludf.DUMMYFUNCTION("""COMPUTED_VALUE"""),"TAZÓN BOWL N° 24")</f>
        <v>TAZÓN BOWL N° 24</v>
      </c>
      <c r="I2468" s="213" t="str">
        <f>IFERROR(__xludf.DUMMYFUNCTION("""COMPUTED_VALUE"""),"· Material: acero inoxidable.
· Forma: Redondo
· Capacidad: 2.5 Litros
· Diámetro: 24cm")</f>
        <v>· Material: acero inoxidable.
· Forma: Redondo
· Capacidad: 2.5 Litros
· Diámetro: 24cm</v>
      </c>
      <c r="J2468" s="213">
        <f>IFERROR(__xludf.DUMMYFUNCTION("""COMPUTED_VALUE"""),3.0)</f>
        <v>3</v>
      </c>
      <c r="K2468" s="213" t="str">
        <f>IFERROR(__xludf.DUMMYFUNCTION("""COMPUTED_VALUE"""),"90 DÍAS CALENDARIO")</f>
        <v>90 DÍAS CALENDARIO</v>
      </c>
      <c r="L2468" s="213" t="str">
        <f>IFERROR(__xludf.DUMMYFUNCTION("""COMPUTED_VALUE"""),"")</f>
        <v/>
      </c>
      <c r="M2468" s="213">
        <f>IFERROR(__xludf.DUMMYFUNCTION("""COMPUTED_VALUE"""),1.0)</f>
        <v>1</v>
      </c>
      <c r="N2468" s="213">
        <f>IFERROR(__xludf.DUMMYFUNCTION("""COMPUTED_VALUE"""),5.0)</f>
        <v>5</v>
      </c>
      <c r="O2468" s="213">
        <f>IFERROR(__xludf.DUMMYFUNCTION("""COMPUTED_VALUE"""),5.0)</f>
        <v>5</v>
      </c>
      <c r="P2468" s="213"/>
      <c r="Q2468" s="213"/>
      <c r="R2468" s="213" t="str">
        <f>IFERROR(__xludf.DUMMYFUNCTION("""COMPUTED_VALUE"""),"SI")</f>
        <v>SI</v>
      </c>
      <c r="S2468" s="213"/>
      <c r="T2468" s="213" t="str">
        <f>IFERROR(__xludf.DUMMYFUNCTION("""COMPUTED_VALUE"""),"CONSULTA FINAL")</f>
        <v>CONSULTA FINAL</v>
      </c>
      <c r="U2468" s="213" t="str">
        <f>IFERROR(__xludf.DUMMYFUNCTION("""COMPUTED_VALUE"""),"NO")</f>
        <v>NO</v>
      </c>
      <c r="V2468" s="213" t="str">
        <f>IFERROR(__xludf.DUMMYFUNCTION("""COMPUTED_VALUE"""),"SUSTENTO")</f>
        <v>SUSTENTO</v>
      </c>
      <c r="W2468" s="213" t="str">
        <f>IFERROR(__xludf.DUMMYFUNCTION("""COMPUTED_VALUE"""),"DIMENSIONAL")</f>
        <v>DIMENSIONAL</v>
      </c>
      <c r="X2468" s="213" t="str">
        <f>IFERROR(__xludf.DUMMYFUNCTION("""COMPUTED_VALUE"""),"CASA JOVEN")</f>
        <v>CASA JOVEN</v>
      </c>
      <c r="Y2468" s="213">
        <f>IFERROR(__xludf.DUMMYFUNCTION("""COMPUTED_VALUE"""),1.16230342E8)</f>
        <v>116230342</v>
      </c>
      <c r="Z2468" s="215" t="str">
        <f>IFERROR(__xludf.DUMMYFUNCTION("""COMPUTED_VALUE"""),"https://www.tottus.com.pe/tottus-pe/articulo/116230341/bolo-de-acero-inoxidable-24cm/116230344")</f>
        <v>https://www.tottus.com.pe/tottus-pe/articulo/116230341/bolo-de-acero-inoxidable-24cm/116230344</v>
      </c>
      <c r="AA2468" s="215" t="str">
        <f>IFERROR(__xludf.DUMMYFUNCTION("""COMPUTED_VALUE"""),"https://docs.google.com/spreadsheets/d/1iZtQ9oSN4OfQ6bhL9YJAlIOSFOmi6I4mMKfAWIPxqlE/edit?gid=0#gid=1")</f>
        <v>https://docs.google.com/spreadsheets/d/1iZtQ9oSN4OfQ6bhL9YJAlIOSFOmi6I4mMKfAWIPxqlE/edit?gid=0#gid=1</v>
      </c>
      <c r="AB2468" s="213"/>
      <c r="AC2468" s="213"/>
      <c r="AD2468" s="213"/>
      <c r="AE2468" s="213"/>
      <c r="AF2468" s="213"/>
      <c r="AG2468" s="213"/>
      <c r="AH2468" s="213"/>
      <c r="AI2468" s="213"/>
      <c r="AJ2468" s="213"/>
      <c r="AK2468" s="213"/>
      <c r="AL2468" s="213"/>
      <c r="AM2468" s="213"/>
      <c r="AN2468" s="213"/>
      <c r="AO2468" s="213"/>
      <c r="AP2468" s="213" t="str">
        <f>IFERROR(__xludf.DUMMYFUNCTION("""COMPUTED_VALUE"""),"SEBASTIAN")</f>
        <v>SEBASTIAN</v>
      </c>
      <c r="AQ2468" s="213"/>
      <c r="AR2468" s="213"/>
      <c r="AS2468" s="213"/>
      <c r="AT2468" s="213"/>
      <c r="AU2468" s="213"/>
      <c r="AV2468" s="213"/>
      <c r="AW2468" s="213"/>
      <c r="AX2468" s="213"/>
      <c r="AY2468" s="213"/>
      <c r="AZ2468" s="213"/>
      <c r="BA2468" s="213"/>
      <c r="BB2468" s="213"/>
      <c r="BC2468" s="213"/>
      <c r="BD2468" s="213"/>
    </row>
    <row r="2469">
      <c r="A2469" s="213">
        <f>IFERROR(__xludf.DUMMYFUNCTION("""COMPUTED_VALUE"""),1865.0)</f>
        <v>1865</v>
      </c>
      <c r="B2469" s="213" t="str">
        <f>IFERROR(__xludf.DUMMYFUNCTION("""COMPUTED_VALUE"""),"GUILLERMO E. BILLINGHURST ")</f>
        <v>GUILLERMO E. BILLINGHURST </v>
      </c>
      <c r="C2469" s="213" t="str">
        <f>IFERROR(__xludf.DUMMYFUNCTION("""COMPUTED_VALUE"""),"TALLER SFT DE EBANISTERÍA")</f>
        <v>TALLER SFT DE EBANISTERÍA</v>
      </c>
      <c r="D2469" s="213" t="str">
        <f>IFERROR(__xludf.DUMMYFUNCTION("""COMPUTED_VALUE"""),"EQUIPOS")</f>
        <v>EQUIPOS</v>
      </c>
      <c r="E2469" s="213" t="str">
        <f>IFERROR(__xludf.DUMMYFUNCTION("""COMPUTED_VALUE"""),"ESP-371")</f>
        <v>ESP-371</v>
      </c>
      <c r="F2469" s="213" t="str">
        <f>IFERROR(__xludf.DUMMYFUNCTION("""COMPUTED_VALUE"""),"ESP-371")</f>
        <v>ESP-371</v>
      </c>
      <c r="G2469" s="213"/>
      <c r="H2469" s="213" t="str">
        <f>IFERROR(__xludf.DUMMYFUNCTION("""COMPUTED_VALUE"""),"TORNO DE MADERA DE 90 CM ENTRE PUNTAS")</f>
        <v>TORNO DE MADERA DE 90 CM ENTRE PUNTAS</v>
      </c>
      <c r="I2469" s="213" t="str">
        <f>IFERROR(__xludf.DUMMYFUNCTION("""COMPUTED_VALUE"""),"· Torno con regulación variable de velocidad.
· Mínimo N° de velocidades: 10.
· Diámetro de torneado: entre 300 mm - 355 mm.
· Altura de la bancada: mínimo 150 mm.
· Diámetro de plato frontal: mínimo 100 mm.
· Distancia entre centros: mínimo 900 mm.
· Ros"&amp;"ca de husillo: M33 x 3,5.
· N° de revoluciones del husillo: 500 - 2500 rpm.
· Cono morse de la contrapunta: MT 2.
· Potencia del motor: entre 550 - 750 W.
· Voltaje, frecuencia: 220 V, 60 Hz.
· Medidas  aproximadas (+- 3cm) : L120 cm x A30 cm x H75 cm")</f>
        <v>· Torno con regulación variable de velocidad.
· Mínimo N° de velocidades: 10.
· Diámetro de torneado: entre 300 mm - 355 mm.
· Altura de la bancada: mínimo 150 mm.
· Diámetro de plato frontal: mínimo 100 mm.
· Distancia entre centros: mínimo 900 mm.
· Rosca de husillo: M33 x 3,5.
· N° de revoluciones del husillo: 500 - 2500 rpm.
· Cono morse de la contrapunta: MT 2.
· Potencia del motor: entre 550 - 750 W.
· Voltaje, frecuencia: 220 V, 60 Hz.
· Medidas  aproximadas (+- 3cm) : L120 cm x A30 cm x H75 cm</v>
      </c>
      <c r="J2469" s="213">
        <f>IFERROR(__xludf.DUMMYFUNCTION("""COMPUTED_VALUE"""),3.0)</f>
        <v>3</v>
      </c>
      <c r="K2469" s="213" t="str">
        <f>IFERROR(__xludf.DUMMYFUNCTION("""COMPUTED_VALUE"""),"170 DÍAS CALENDARIO")</f>
        <v>170 DÍAS CALENDARIO</v>
      </c>
      <c r="L2469" s="213" t="str">
        <f>IFERROR(__xludf.DUMMYFUNCTION("""COMPUTED_VALUE"""),"")</f>
        <v/>
      </c>
      <c r="M2469" s="213">
        <f>IFERROR(__xludf.DUMMYFUNCTION("""COMPUTED_VALUE"""),1.0)</f>
        <v>1</v>
      </c>
      <c r="N2469" s="213">
        <f>IFERROR(__xludf.DUMMYFUNCTION("""COMPUTED_VALUE"""),4.0)</f>
        <v>4</v>
      </c>
      <c r="O2469" s="213">
        <f>IFERROR(__xludf.DUMMYFUNCTION("""COMPUTED_VALUE"""),4.0)</f>
        <v>4</v>
      </c>
      <c r="P2469" s="213"/>
      <c r="Q2469" s="213"/>
      <c r="R2469" s="213"/>
      <c r="S2469" s="213" t="str">
        <f>IFERROR(__xludf.DUMMYFUNCTION("""COMPUTED_VALUE"""),"SI")</f>
        <v>SI</v>
      </c>
      <c r="T2469" s="213" t="str">
        <f>IFERROR(__xludf.DUMMYFUNCTION("""COMPUTED_VALUE"""),"SI")</f>
        <v>SI</v>
      </c>
      <c r="U2469" s="213" t="str">
        <f>IFERROR(__xludf.DUMMYFUNCTION("""COMPUTED_VALUE"""),"NO")</f>
        <v>NO</v>
      </c>
      <c r="V2469" s="213" t="str">
        <f>IFERROR(__xludf.DUMMYFUNCTION("""COMPUTED_VALUE"""),"SUSTENTO")</f>
        <v>SUSTENTO</v>
      </c>
      <c r="W2469" s="213" t="str">
        <f>IFERROR(__xludf.DUMMYFUNCTION("""COMPUTED_VALUE"""),"DIMENSIONAL, ELÉCTRICO")</f>
        <v>DIMENSIONAL, ELÉCTRICO</v>
      </c>
      <c r="X2469" s="213" t="str">
        <f>IFERROR(__xludf.DUMMYFUNCTION("""COMPUTED_VALUE"""),"HOLZSTAR")</f>
        <v>HOLZSTAR</v>
      </c>
      <c r="Y2469" s="213" t="str">
        <f>IFERROR(__xludf.DUMMYFUNCTION("""COMPUTED_VALUE"""),"DB 900")</f>
        <v>DB 900</v>
      </c>
      <c r="Z2469" s="215" t="str">
        <f>IFERROR(__xludf.DUMMYFUNCTION("""COMPUTED_VALUE"""),"https://www.aslak.es/madera/5920900-torno-para-madera-db-900.html")</f>
        <v>https://www.aslak.es/madera/5920900-torno-para-madera-db-900.html</v>
      </c>
      <c r="AA2469" s="213" t="str">
        <f>IFERROR(__xludf.DUMMYFUNCTION("""COMPUTED_VALUE"""),"ESP-371 TORNO DE MADERA DE 90 CM ENTRE PUNTAS - CET")</f>
        <v>ESP-371 TORNO DE MADERA DE 90 CM ENTRE PUNTAS - CET</v>
      </c>
      <c r="AB2469" s="215" t="str">
        <f>IFERROR(__xludf.DUMMYFUNCTION("""COMPUTED_VALUE"""),"https://drive.google.com/file/d/1BApQCFTMDNd7Fh4oOiE318QbZFungbVW/view?usp=drive_link")</f>
        <v>https://drive.google.com/file/d/1BApQCFTMDNd7Fh4oOiE318QbZFungbVW/view?usp=drive_link</v>
      </c>
      <c r="AC2469" s="213"/>
      <c r="AD2469" s="213"/>
      <c r="AE2469" s="213"/>
      <c r="AF2469" s="213"/>
      <c r="AG2469" s="213"/>
      <c r="AH2469" s="213" t="str">
        <f>IFERROR(__xludf.DUMMYFUNCTION("""COMPUTED_VALUE"""),"IMPORTADO")</f>
        <v>IMPORTADO</v>
      </c>
      <c r="AI2469" s="213"/>
      <c r="AJ2469" s="213"/>
      <c r="AK2469" s="213"/>
      <c r="AL2469" s="213"/>
      <c r="AM2469" s="213"/>
      <c r="AN2469" s="213"/>
      <c r="AO2469" s="213"/>
      <c r="AP2469" s="213" t="str">
        <f>IFERROR(__xludf.DUMMYFUNCTION("""COMPUTED_VALUE"""),"MICHEL")</f>
        <v>MICHEL</v>
      </c>
      <c r="AQ2469" s="213" t="str">
        <f>IFERROR(__xludf.DUMMYFUNCTION("""COMPUTED_VALUE"""),"La DB900 se ajusta mejor a lo solicitado, pero también se evaluó la DB 1102 VARIO.")</f>
        <v>La DB900 se ajusta mejor a lo solicitado, pero también se evaluó la DB 1102 VARIO.</v>
      </c>
      <c r="AR2469" s="213"/>
      <c r="AS2469" s="213" t="str">
        <f>IFERROR(__xludf.DUMMYFUNCTION("""COMPUTED_VALUE"""),"Plato de 4 garras para torno de madera diam. 100 mm - m33x3,5")</f>
        <v>Plato de 4 garras para torno de madera diam. 100 mm - m33x3,5</v>
      </c>
      <c r="AT2469" s="216" t="str">
        <f>IFERROR(__xludf.DUMMYFUNCTION("""COMPUTED_VALUE"""),"https://www.aslak.es/madera/5931021-plato-t-madera-100m-4-garras-set-1.html")</f>
        <v>https://www.aslak.es/madera/5931021-plato-t-madera-100m-4-garras-set-1.html</v>
      </c>
      <c r="AU2469" s="213"/>
      <c r="AV2469" s="213"/>
      <c r="AW2469" s="213"/>
      <c r="AX2469" s="213"/>
      <c r="AY2469" s="213"/>
      <c r="AZ2469" s="213"/>
      <c r="BA2469" s="213"/>
      <c r="BB2469" s="213"/>
      <c r="BC2469" s="213"/>
      <c r="BD2469" s="213"/>
    </row>
    <row r="2470">
      <c r="A2470" s="213">
        <f>IFERROR(__xludf.DUMMYFUNCTION("""COMPUTED_VALUE"""),2646.0)</f>
        <v>2646</v>
      </c>
      <c r="B2470" s="213" t="str">
        <f>IFERROR(__xludf.DUMMYFUNCTION("""COMPUTED_VALUE"""),"MANUEL ANTONIO MESONES MURO")</f>
        <v>MANUEL ANTONIO MESONES MURO</v>
      </c>
      <c r="C2470" s="213" t="str">
        <f>IFERROR(__xludf.DUMMYFUNCTION("""COMPUTED_VALUE"""),"TALLER SFT DE EBANISTERÍA")</f>
        <v>TALLER SFT DE EBANISTERÍA</v>
      </c>
      <c r="D2470" s="213" t="str">
        <f>IFERROR(__xludf.DUMMYFUNCTION("""COMPUTED_VALUE"""),"EQUIPOS")</f>
        <v>EQUIPOS</v>
      </c>
      <c r="E2470" s="213" t="str">
        <f>IFERROR(__xludf.DUMMYFUNCTION("""COMPUTED_VALUE"""),"ESP-371")</f>
        <v>ESP-371</v>
      </c>
      <c r="F2470" s="213" t="str">
        <f>IFERROR(__xludf.DUMMYFUNCTION("""COMPUTED_VALUE"""),"ESP-371")</f>
        <v>ESP-371</v>
      </c>
      <c r="G2470" s="213"/>
      <c r="H2470" s="213" t="str">
        <f>IFERROR(__xludf.DUMMYFUNCTION("""COMPUTED_VALUE"""),"TORNO DE MADERA DE 90 CM ENTRE PUNTAS")</f>
        <v>TORNO DE MADERA DE 90 CM ENTRE PUNTAS</v>
      </c>
      <c r="I2470" s="213" t="str">
        <f>IFERROR(__xludf.DUMMYFUNCTION("""COMPUTED_VALUE"""),"· Torno con regulación variable de velocidad.
· Mínimo N° de velocidades: 10.
· Diámetro de torneado: entre 300 mm - 355 mm.
· Altura de la bancada: mínimo 150 mm.
· Diámetro de plato frontal: mínimo 100 mm.
· Distancia entre centros: mínimo 900 mm.
· Ros"&amp;"ca de husillo: M33 x 3,5.
· N° de revoluciones del husillo: 500 - 2500 rpm.
· Cono morse de la contrapunta: MT 2.
· Potencia del motor: entre 550 - 750 W.
· Voltaje, frecuencia: 220 V, 60 Hz.
· Medidas  aproximadas (+- 3cm) : L120 cm x A30 cm x H75 cm")</f>
        <v>· Torno con regulación variable de velocidad.
· Mínimo N° de velocidades: 10.
· Diámetro de torneado: entre 300 mm - 355 mm.
· Altura de la bancada: mínimo 150 mm.
· Diámetro de plato frontal: mínimo 100 mm.
· Distancia entre centros: mínimo 900 mm.
· Rosca de husillo: M33 x 3,5.
· N° de revoluciones del husillo: 500 - 2500 rpm.
· Cono morse de la contrapunta: MT 2.
· Potencia del motor: entre 550 - 750 W.
· Voltaje, frecuencia: 220 V, 60 Hz.
· Medidas  aproximadas (+- 3cm) : L120 cm x A30 cm x H75 cm</v>
      </c>
      <c r="J2470" s="213">
        <f>IFERROR(__xludf.DUMMYFUNCTION("""COMPUTED_VALUE"""),3.0)</f>
        <v>3</v>
      </c>
      <c r="K2470" s="213" t="str">
        <f>IFERROR(__xludf.DUMMYFUNCTION("""COMPUTED_VALUE"""),"170 DÍAS CALENDARIO")</f>
        <v>170 DÍAS CALENDARIO</v>
      </c>
      <c r="L2470" s="213" t="str">
        <f>IFERROR(__xludf.DUMMYFUNCTION("""COMPUTED_VALUE"""),"")</f>
        <v/>
      </c>
      <c r="M2470" s="213">
        <f>IFERROR(__xludf.DUMMYFUNCTION("""COMPUTED_VALUE"""),1.0)</f>
        <v>1</v>
      </c>
      <c r="N2470" s="213">
        <f>IFERROR(__xludf.DUMMYFUNCTION("""COMPUTED_VALUE"""),1.0)</f>
        <v>1</v>
      </c>
      <c r="O2470" s="213">
        <f>IFERROR(__xludf.DUMMYFUNCTION("""COMPUTED_VALUE"""),1.0)</f>
        <v>1</v>
      </c>
      <c r="P2470" s="213"/>
      <c r="Q2470" s="213"/>
      <c r="R2470" s="213"/>
      <c r="S2470" s="213" t="str">
        <f>IFERROR(__xludf.DUMMYFUNCTION("""COMPUTED_VALUE"""),"SI")</f>
        <v>SI</v>
      </c>
      <c r="T2470" s="213" t="str">
        <f>IFERROR(__xludf.DUMMYFUNCTION("""COMPUTED_VALUE"""),"SI")</f>
        <v>SI</v>
      </c>
      <c r="U2470" s="213" t="str">
        <f>IFERROR(__xludf.DUMMYFUNCTION("""COMPUTED_VALUE"""),"NO")</f>
        <v>NO</v>
      </c>
      <c r="V2470" s="213" t="str">
        <f>IFERROR(__xludf.DUMMYFUNCTION("""COMPUTED_VALUE"""),"SUSTENTO")</f>
        <v>SUSTENTO</v>
      </c>
      <c r="W2470" s="213" t="str">
        <f>IFERROR(__xludf.DUMMYFUNCTION("""COMPUTED_VALUE"""),"DIMENSIONAL, ELÉCTRICO")</f>
        <v>DIMENSIONAL, ELÉCTRICO</v>
      </c>
      <c r="X2470" s="213" t="str">
        <f>IFERROR(__xludf.DUMMYFUNCTION("""COMPUTED_VALUE"""),"HOLZSTAR")</f>
        <v>HOLZSTAR</v>
      </c>
      <c r="Y2470" s="213" t="str">
        <f>IFERROR(__xludf.DUMMYFUNCTION("""COMPUTED_VALUE"""),"DB 900")</f>
        <v>DB 900</v>
      </c>
      <c r="Z2470" s="215" t="str">
        <f>IFERROR(__xludf.DUMMYFUNCTION("""COMPUTED_VALUE"""),"https://www.aslak.es/madera/5920900-torno-para-madera-db-900.html")</f>
        <v>https://www.aslak.es/madera/5920900-torno-para-madera-db-900.html</v>
      </c>
      <c r="AA2470" s="213" t="str">
        <f>IFERROR(__xludf.DUMMYFUNCTION("""COMPUTED_VALUE"""),"ESP-371 TORNO DE MADERA DE 90 CM ENTRE PUNTAS - CET")</f>
        <v>ESP-371 TORNO DE MADERA DE 90 CM ENTRE PUNTAS - CET</v>
      </c>
      <c r="AB2470" s="215" t="str">
        <f>IFERROR(__xludf.DUMMYFUNCTION("""COMPUTED_VALUE"""),"https://drive.google.com/file/d/1BApQCFTMDNd7Fh4oOiE318QbZFungbVW/view?usp=drive_link")</f>
        <v>https://drive.google.com/file/d/1BApQCFTMDNd7Fh4oOiE318QbZFungbVW/view?usp=drive_link</v>
      </c>
      <c r="AC2470" s="213"/>
      <c r="AD2470" s="213"/>
      <c r="AE2470" s="213"/>
      <c r="AF2470" s="213"/>
      <c r="AG2470" s="213"/>
      <c r="AH2470" s="213" t="str">
        <f>IFERROR(__xludf.DUMMYFUNCTION("""COMPUTED_VALUE"""),"IMPORTADO")</f>
        <v>IMPORTADO</v>
      </c>
      <c r="AI2470" s="213"/>
      <c r="AJ2470" s="213"/>
      <c r="AK2470" s="213"/>
      <c r="AL2470" s="213"/>
      <c r="AM2470" s="213"/>
      <c r="AN2470" s="213"/>
      <c r="AO2470" s="213"/>
      <c r="AP2470" s="213" t="str">
        <f>IFERROR(__xludf.DUMMYFUNCTION("""COMPUTED_VALUE"""),"MICHEL")</f>
        <v>MICHEL</v>
      </c>
      <c r="AQ2470" s="213" t="str">
        <f>IFERROR(__xludf.DUMMYFUNCTION("""COMPUTED_VALUE"""),"La DB900 se ajusta mejor a lo solicitado, pero también se evaluó la DB 1102 VARIO.")</f>
        <v>La DB900 se ajusta mejor a lo solicitado, pero también se evaluó la DB 1102 VARIO.</v>
      </c>
      <c r="AR2470" s="213"/>
      <c r="AS2470" s="213" t="str">
        <f>IFERROR(__xludf.DUMMYFUNCTION("""COMPUTED_VALUE"""),"Plato de 4 garras para torno de madera diam. 100 mm - m33x3,5")</f>
        <v>Plato de 4 garras para torno de madera diam. 100 mm - m33x3,5</v>
      </c>
      <c r="AT2470" s="216" t="str">
        <f>IFERROR(__xludf.DUMMYFUNCTION("""COMPUTED_VALUE"""),"https://www.aslak.es/madera/5931021-plato-t-madera-100m-4-garras-set-1.html")</f>
        <v>https://www.aslak.es/madera/5931021-plato-t-madera-100m-4-garras-set-1.html</v>
      </c>
      <c r="AU2470" s="213"/>
      <c r="AV2470" s="213"/>
      <c r="AW2470" s="213"/>
      <c r="AX2470" s="213"/>
      <c r="AY2470" s="213"/>
      <c r="AZ2470" s="213"/>
      <c r="BA2470" s="213"/>
      <c r="BB2470" s="213"/>
      <c r="BC2470" s="213"/>
      <c r="BD2470" s="213"/>
    </row>
    <row r="2471">
      <c r="A2471" s="213">
        <f>IFERROR(__xludf.DUMMYFUNCTION("""COMPUTED_VALUE"""),1149.0)</f>
        <v>1149</v>
      </c>
      <c r="B2471" s="213" t="str">
        <f>IFERROR(__xludf.DUMMYFUNCTION("""COMPUTED_VALUE"""),"FRANCISCO IRAZOLA")</f>
        <v>FRANCISCO IRAZOLA</v>
      </c>
      <c r="C2471" s="213" t="str">
        <f>IFERROR(__xludf.DUMMYFUNCTION("""COMPUTED_VALUE"""),"TALLER SFT DE INDUSTRIA ALIMENTARIA")</f>
        <v>TALLER SFT DE INDUSTRIA ALIMENTARIA</v>
      </c>
      <c r="D2471" s="213" t="str">
        <f>IFERROR(__xludf.DUMMYFUNCTION("""COMPUTED_VALUE"""),"HERRAMIENTAS")</f>
        <v>HERRAMIENTAS</v>
      </c>
      <c r="E2471" s="213" t="str">
        <f>IFERROR(__xludf.DUMMYFUNCTION("""COMPUTED_VALUE"""),"MAT-456")</f>
        <v>MAT-456</v>
      </c>
      <c r="F2471" s="213" t="str">
        <f>IFERROR(__xludf.DUMMYFUNCTION("""COMPUTED_VALUE"""),"MAT-456")</f>
        <v>MAT-456</v>
      </c>
      <c r="G2471" s="213"/>
      <c r="H2471" s="213" t="str">
        <f>IFERROR(__xludf.DUMMYFUNCTION("""COMPUTED_VALUE"""),"TAZÓN BOWL N° 24")</f>
        <v>TAZÓN BOWL N° 24</v>
      </c>
      <c r="I2471" s="213" t="str">
        <f>IFERROR(__xludf.DUMMYFUNCTION("""COMPUTED_VALUE"""),"· Material: acero inoxidable.
· Forma: Redondo
· Capacidad: 2.5 Litros
· Diámetro: 24cm")</f>
        <v>· Material: acero inoxidable.
· Forma: Redondo
· Capacidad: 2.5 Litros
· Diámetro: 24cm</v>
      </c>
      <c r="J2471" s="213">
        <f>IFERROR(__xludf.DUMMYFUNCTION("""COMPUTED_VALUE"""),3.0)</f>
        <v>3</v>
      </c>
      <c r="K2471" s="213" t="str">
        <f>IFERROR(__xludf.DUMMYFUNCTION("""COMPUTED_VALUE"""),"90 DÍAS CALENDARIO")</f>
        <v>90 DÍAS CALENDARIO</v>
      </c>
      <c r="L2471" s="213" t="str">
        <f>IFERROR(__xludf.DUMMYFUNCTION("""COMPUTED_VALUE"""),"")</f>
        <v/>
      </c>
      <c r="M2471" s="213">
        <f>IFERROR(__xludf.DUMMYFUNCTION("""COMPUTED_VALUE"""),1.0)</f>
        <v>1</v>
      </c>
      <c r="N2471" s="213">
        <f>IFERROR(__xludf.DUMMYFUNCTION("""COMPUTED_VALUE"""),5.0)</f>
        <v>5</v>
      </c>
      <c r="O2471" s="213">
        <f>IFERROR(__xludf.DUMMYFUNCTION("""COMPUTED_VALUE"""),5.0)</f>
        <v>5</v>
      </c>
      <c r="P2471" s="213"/>
      <c r="Q2471" s="213"/>
      <c r="R2471" s="213" t="str">
        <f>IFERROR(__xludf.DUMMYFUNCTION("""COMPUTED_VALUE"""),"SI")</f>
        <v>SI</v>
      </c>
      <c r="S2471" s="213"/>
      <c r="T2471" s="213" t="str">
        <f>IFERROR(__xludf.DUMMYFUNCTION("""COMPUTED_VALUE"""),"CONSULTA FINAL")</f>
        <v>CONSULTA FINAL</v>
      </c>
      <c r="U2471" s="213" t="str">
        <f>IFERROR(__xludf.DUMMYFUNCTION("""COMPUTED_VALUE"""),"NO")</f>
        <v>NO</v>
      </c>
      <c r="V2471" s="213" t="str">
        <f>IFERROR(__xludf.DUMMYFUNCTION("""COMPUTED_VALUE"""),"SUSTENTO")</f>
        <v>SUSTENTO</v>
      </c>
      <c r="W2471" s="213" t="str">
        <f>IFERROR(__xludf.DUMMYFUNCTION("""COMPUTED_VALUE"""),"DIMENSIONAL")</f>
        <v>DIMENSIONAL</v>
      </c>
      <c r="X2471" s="213" t="str">
        <f>IFERROR(__xludf.DUMMYFUNCTION("""COMPUTED_VALUE"""),"CASA JOVEN")</f>
        <v>CASA JOVEN</v>
      </c>
      <c r="Y2471" s="213">
        <f>IFERROR(__xludf.DUMMYFUNCTION("""COMPUTED_VALUE"""),1.16230342E8)</f>
        <v>116230342</v>
      </c>
      <c r="Z2471" s="215" t="str">
        <f>IFERROR(__xludf.DUMMYFUNCTION("""COMPUTED_VALUE"""),"https://www.tottus.com.pe/tottus-pe/articulo/116230341/bolo-de-acero-inoxidable-24cm/116230345")</f>
        <v>https://www.tottus.com.pe/tottus-pe/articulo/116230341/bolo-de-acero-inoxidable-24cm/116230345</v>
      </c>
      <c r="AA2471" s="215" t="str">
        <f>IFERROR(__xludf.DUMMYFUNCTION("""COMPUTED_VALUE"""),"https://docs.google.com/spreadsheets/d/1iZtQ9oSN4OfQ6bhL9YJAlIOSFOmi6I4mMKfAWIPxqlE/edit?gid=0#gid=1")</f>
        <v>https://docs.google.com/spreadsheets/d/1iZtQ9oSN4OfQ6bhL9YJAlIOSFOmi6I4mMKfAWIPxqlE/edit?gid=0#gid=1</v>
      </c>
      <c r="AB2471" s="213"/>
      <c r="AC2471" s="213"/>
      <c r="AD2471" s="213"/>
      <c r="AE2471" s="213"/>
      <c r="AF2471" s="213"/>
      <c r="AG2471" s="213"/>
      <c r="AH2471" s="213"/>
      <c r="AI2471" s="213"/>
      <c r="AJ2471" s="213"/>
      <c r="AK2471" s="213"/>
      <c r="AL2471" s="213"/>
      <c r="AM2471" s="213"/>
      <c r="AN2471" s="213"/>
      <c r="AO2471" s="213"/>
      <c r="AP2471" s="213" t="str">
        <f>IFERROR(__xludf.DUMMYFUNCTION("""COMPUTED_VALUE"""),"SEBASTIAN")</f>
        <v>SEBASTIAN</v>
      </c>
      <c r="AQ2471" s="213"/>
      <c r="AR2471" s="213"/>
      <c r="AS2471" s="213"/>
      <c r="AT2471" s="213"/>
      <c r="AU2471" s="213"/>
      <c r="AV2471" s="213"/>
      <c r="AW2471" s="213"/>
      <c r="AX2471" s="213"/>
      <c r="AY2471" s="213"/>
      <c r="AZ2471" s="213"/>
      <c r="BA2471" s="213"/>
      <c r="BB2471" s="213"/>
      <c r="BC2471" s="213"/>
      <c r="BD2471" s="213"/>
    </row>
    <row r="2472">
      <c r="A2472" s="213">
        <f>IFERROR(__xludf.DUMMYFUNCTION("""COMPUTED_VALUE"""),1391.0)</f>
        <v>1391</v>
      </c>
      <c r="B2472" s="213" t="str">
        <f>IFERROR(__xludf.DUMMYFUNCTION("""COMPUTED_VALUE"""),"GUILLERMO E. BILLINGHURST ")</f>
        <v>GUILLERMO E. BILLINGHURST </v>
      </c>
      <c r="C2472" s="213" t="str">
        <f>IFERROR(__xludf.DUMMYFUNCTION("""COMPUTED_VALUE"""),"TALLER SFT DE INDUSTRIA ALIMENTARIA")</f>
        <v>TALLER SFT DE INDUSTRIA ALIMENTARIA</v>
      </c>
      <c r="D2472" s="213" t="str">
        <f>IFERROR(__xludf.DUMMYFUNCTION("""COMPUTED_VALUE"""),"HERRAMIENTAS")</f>
        <v>HERRAMIENTAS</v>
      </c>
      <c r="E2472" s="213" t="str">
        <f>IFERROR(__xludf.DUMMYFUNCTION("""COMPUTED_VALUE"""),"MAT-456")</f>
        <v>MAT-456</v>
      </c>
      <c r="F2472" s="213" t="str">
        <f>IFERROR(__xludf.DUMMYFUNCTION("""COMPUTED_VALUE"""),"MAT-456")</f>
        <v>MAT-456</v>
      </c>
      <c r="G2472" s="213"/>
      <c r="H2472" s="213" t="str">
        <f>IFERROR(__xludf.DUMMYFUNCTION("""COMPUTED_VALUE"""),"TAZÓN BOWL N° 24")</f>
        <v>TAZÓN BOWL N° 24</v>
      </c>
      <c r="I2472" s="213" t="str">
        <f>IFERROR(__xludf.DUMMYFUNCTION("""COMPUTED_VALUE"""),"· Material: acero inoxidable.
· Forma: Redondo
· Capacidad: 2.5 Litros
· Diámetro: 24cm")</f>
        <v>· Material: acero inoxidable.
· Forma: Redondo
· Capacidad: 2.5 Litros
· Diámetro: 24cm</v>
      </c>
      <c r="J2472" s="213">
        <f>IFERROR(__xludf.DUMMYFUNCTION("""COMPUTED_VALUE"""),3.0)</f>
        <v>3</v>
      </c>
      <c r="K2472" s="213" t="str">
        <f>IFERROR(__xludf.DUMMYFUNCTION("""COMPUTED_VALUE"""),"90 DÍAS CALENDARIO")</f>
        <v>90 DÍAS CALENDARIO</v>
      </c>
      <c r="L2472" s="213" t="str">
        <f>IFERROR(__xludf.DUMMYFUNCTION("""COMPUTED_VALUE"""),"")</f>
        <v/>
      </c>
      <c r="M2472" s="213">
        <f>IFERROR(__xludf.DUMMYFUNCTION("""COMPUTED_VALUE"""),1.0)</f>
        <v>1</v>
      </c>
      <c r="N2472" s="213">
        <f>IFERROR(__xludf.DUMMYFUNCTION("""COMPUTED_VALUE"""),5.0)</f>
        <v>5</v>
      </c>
      <c r="O2472" s="213">
        <f>IFERROR(__xludf.DUMMYFUNCTION("""COMPUTED_VALUE"""),5.0)</f>
        <v>5</v>
      </c>
      <c r="P2472" s="213"/>
      <c r="Q2472" s="213"/>
      <c r="R2472" s="213" t="str">
        <f>IFERROR(__xludf.DUMMYFUNCTION("""COMPUTED_VALUE"""),"SI")</f>
        <v>SI</v>
      </c>
      <c r="S2472" s="213"/>
      <c r="T2472" s="213" t="str">
        <f>IFERROR(__xludf.DUMMYFUNCTION("""COMPUTED_VALUE"""),"CONSULTA FINAL")</f>
        <v>CONSULTA FINAL</v>
      </c>
      <c r="U2472" s="213" t="str">
        <f>IFERROR(__xludf.DUMMYFUNCTION("""COMPUTED_VALUE"""),"NO")</f>
        <v>NO</v>
      </c>
      <c r="V2472" s="213" t="str">
        <f>IFERROR(__xludf.DUMMYFUNCTION("""COMPUTED_VALUE"""),"SUSTENTO")</f>
        <v>SUSTENTO</v>
      </c>
      <c r="W2472" s="213" t="str">
        <f>IFERROR(__xludf.DUMMYFUNCTION("""COMPUTED_VALUE"""),"DIMENSIONAL")</f>
        <v>DIMENSIONAL</v>
      </c>
      <c r="X2472" s="213" t="str">
        <f>IFERROR(__xludf.DUMMYFUNCTION("""COMPUTED_VALUE"""),"CASA JOVEN")</f>
        <v>CASA JOVEN</v>
      </c>
      <c r="Y2472" s="213">
        <f>IFERROR(__xludf.DUMMYFUNCTION("""COMPUTED_VALUE"""),1.16230342E8)</f>
        <v>116230342</v>
      </c>
      <c r="Z2472" s="215" t="str">
        <f>IFERROR(__xludf.DUMMYFUNCTION("""COMPUTED_VALUE"""),"https://www.tottus.com.pe/tottus-pe/articulo/116230341/bolo-de-acero-inoxidable-24cm/116230346")</f>
        <v>https://www.tottus.com.pe/tottus-pe/articulo/116230341/bolo-de-acero-inoxidable-24cm/116230346</v>
      </c>
      <c r="AA2472" s="215" t="str">
        <f>IFERROR(__xludf.DUMMYFUNCTION("""COMPUTED_VALUE"""),"https://docs.google.com/spreadsheets/d/1iZtQ9oSN4OfQ6bhL9YJAlIOSFOmi6I4mMKfAWIPxqlE/edit?gid=0#gid=1")</f>
        <v>https://docs.google.com/spreadsheets/d/1iZtQ9oSN4OfQ6bhL9YJAlIOSFOmi6I4mMKfAWIPxqlE/edit?gid=0#gid=1</v>
      </c>
      <c r="AB2472" s="213"/>
      <c r="AC2472" s="213"/>
      <c r="AD2472" s="213"/>
      <c r="AE2472" s="213"/>
      <c r="AF2472" s="213"/>
      <c r="AG2472" s="213"/>
      <c r="AH2472" s="213"/>
      <c r="AI2472" s="213"/>
      <c r="AJ2472" s="213"/>
      <c r="AK2472" s="213"/>
      <c r="AL2472" s="213"/>
      <c r="AM2472" s="213"/>
      <c r="AN2472" s="213"/>
      <c r="AO2472" s="213"/>
      <c r="AP2472" s="213" t="str">
        <f>IFERROR(__xludf.DUMMYFUNCTION("""COMPUTED_VALUE"""),"SEBASTIAN")</f>
        <v>SEBASTIAN</v>
      </c>
      <c r="AQ2472" s="213"/>
      <c r="AR2472" s="213"/>
      <c r="AS2472" s="213"/>
      <c r="AT2472" s="213"/>
      <c r="AU2472" s="213"/>
      <c r="AV2472" s="213"/>
      <c r="AW2472" s="213"/>
      <c r="AX2472" s="213"/>
      <c r="AY2472" s="213"/>
      <c r="AZ2472" s="213"/>
      <c r="BA2472" s="213"/>
      <c r="BB2472" s="213"/>
      <c r="BC2472" s="213"/>
      <c r="BD2472" s="213"/>
    </row>
    <row r="2473">
      <c r="A2473" s="213">
        <f>IFERROR(__xludf.DUMMYFUNCTION("""COMPUTED_VALUE"""),1421.0)</f>
        <v>1421</v>
      </c>
      <c r="B2473" s="213" t="str">
        <f>IFERROR(__xludf.DUMMYFUNCTION("""COMPUTED_VALUE"""),"GUILLERMO E. BILLINGHURST ")</f>
        <v>GUILLERMO E. BILLINGHURST </v>
      </c>
      <c r="C2473" s="213" t="str">
        <f>IFERROR(__xludf.DUMMYFUNCTION("""COMPUTED_VALUE"""),"TALLER SFT DE INDUSTRIA ALIMENTARIA")</f>
        <v>TALLER SFT DE INDUSTRIA ALIMENTARIA</v>
      </c>
      <c r="D2473" s="213" t="str">
        <f>IFERROR(__xludf.DUMMYFUNCTION("""COMPUTED_VALUE"""),"HERRAMIENTAS")</f>
        <v>HERRAMIENTAS</v>
      </c>
      <c r="E2473" s="213" t="str">
        <f>IFERROR(__xludf.DUMMYFUNCTION("""COMPUTED_VALUE"""),"MAT-456")</f>
        <v>MAT-456</v>
      </c>
      <c r="F2473" s="213" t="str">
        <f>IFERROR(__xludf.DUMMYFUNCTION("""COMPUTED_VALUE"""),"MAT-456")</f>
        <v>MAT-456</v>
      </c>
      <c r="G2473" s="213"/>
      <c r="H2473" s="213" t="str">
        <f>IFERROR(__xludf.DUMMYFUNCTION("""COMPUTED_VALUE"""),"TAZÓN BOWL N° 24")</f>
        <v>TAZÓN BOWL N° 24</v>
      </c>
      <c r="I2473" s="213" t="str">
        <f>IFERROR(__xludf.DUMMYFUNCTION("""COMPUTED_VALUE"""),"· Material: acero inoxidable.
· Forma: Redondo
· Capacidad: 2.5 Litros
· Diámetro: 24cm")</f>
        <v>· Material: acero inoxidable.
· Forma: Redondo
· Capacidad: 2.5 Litros
· Diámetro: 24cm</v>
      </c>
      <c r="J2473" s="213">
        <f>IFERROR(__xludf.DUMMYFUNCTION("""COMPUTED_VALUE"""),3.0)</f>
        <v>3</v>
      </c>
      <c r="K2473" s="213" t="str">
        <f>IFERROR(__xludf.DUMMYFUNCTION("""COMPUTED_VALUE"""),"90 DÍAS CALENDARIO")</f>
        <v>90 DÍAS CALENDARIO</v>
      </c>
      <c r="L2473" s="213" t="str">
        <f>IFERROR(__xludf.DUMMYFUNCTION("""COMPUTED_VALUE"""),"")</f>
        <v/>
      </c>
      <c r="M2473" s="213">
        <f>IFERROR(__xludf.DUMMYFUNCTION("""COMPUTED_VALUE"""),1.0)</f>
        <v>1</v>
      </c>
      <c r="N2473" s="213">
        <f>IFERROR(__xludf.DUMMYFUNCTION("""COMPUTED_VALUE"""),5.0)</f>
        <v>5</v>
      </c>
      <c r="O2473" s="213">
        <f>IFERROR(__xludf.DUMMYFUNCTION("""COMPUTED_VALUE"""),5.0)</f>
        <v>5</v>
      </c>
      <c r="P2473" s="213"/>
      <c r="Q2473" s="213"/>
      <c r="R2473" s="213" t="str">
        <f>IFERROR(__xludf.DUMMYFUNCTION("""COMPUTED_VALUE"""),"SI")</f>
        <v>SI</v>
      </c>
      <c r="S2473" s="213"/>
      <c r="T2473" s="213" t="str">
        <f>IFERROR(__xludf.DUMMYFUNCTION("""COMPUTED_VALUE"""),"CONSULTA FINAL")</f>
        <v>CONSULTA FINAL</v>
      </c>
      <c r="U2473" s="213" t="str">
        <f>IFERROR(__xludf.DUMMYFUNCTION("""COMPUTED_VALUE"""),"NO")</f>
        <v>NO</v>
      </c>
      <c r="V2473" s="213" t="str">
        <f>IFERROR(__xludf.DUMMYFUNCTION("""COMPUTED_VALUE"""),"SUSTENTO")</f>
        <v>SUSTENTO</v>
      </c>
      <c r="W2473" s="213" t="str">
        <f>IFERROR(__xludf.DUMMYFUNCTION("""COMPUTED_VALUE"""),"DIMENSIONAL")</f>
        <v>DIMENSIONAL</v>
      </c>
      <c r="X2473" s="213" t="str">
        <f>IFERROR(__xludf.DUMMYFUNCTION("""COMPUTED_VALUE"""),"CASA JOVEN")</f>
        <v>CASA JOVEN</v>
      </c>
      <c r="Y2473" s="213">
        <f>IFERROR(__xludf.DUMMYFUNCTION("""COMPUTED_VALUE"""),1.16230342E8)</f>
        <v>116230342</v>
      </c>
      <c r="Z2473" s="215" t="str">
        <f>IFERROR(__xludf.DUMMYFUNCTION("""COMPUTED_VALUE"""),"https://www.tottus.com.pe/tottus-pe/articulo/116230341/bolo-de-acero-inoxidable-24cm/116230347")</f>
        <v>https://www.tottus.com.pe/tottus-pe/articulo/116230341/bolo-de-acero-inoxidable-24cm/116230347</v>
      </c>
      <c r="AA2473" s="215" t="str">
        <f>IFERROR(__xludf.DUMMYFUNCTION("""COMPUTED_VALUE"""),"https://docs.google.com/spreadsheets/d/1iZtQ9oSN4OfQ6bhL9YJAlIOSFOmi6I4mMKfAWIPxqlE/edit?gid=0#gid=1")</f>
        <v>https://docs.google.com/spreadsheets/d/1iZtQ9oSN4OfQ6bhL9YJAlIOSFOmi6I4mMKfAWIPxqlE/edit?gid=0#gid=1</v>
      </c>
      <c r="AB2473" s="213"/>
      <c r="AC2473" s="213"/>
      <c r="AD2473" s="213"/>
      <c r="AE2473" s="213"/>
      <c r="AF2473" s="213"/>
      <c r="AG2473" s="213"/>
      <c r="AH2473" s="213"/>
      <c r="AI2473" s="213"/>
      <c r="AJ2473" s="213"/>
      <c r="AK2473" s="213"/>
      <c r="AL2473" s="213"/>
      <c r="AM2473" s="213"/>
      <c r="AN2473" s="213"/>
      <c r="AO2473" s="213"/>
      <c r="AP2473" s="213" t="str">
        <f>IFERROR(__xludf.DUMMYFUNCTION("""COMPUTED_VALUE"""),"SEBASTIAN")</f>
        <v>SEBASTIAN</v>
      </c>
      <c r="AQ2473" s="213"/>
      <c r="AR2473" s="213"/>
      <c r="AS2473" s="213"/>
      <c r="AT2473" s="213"/>
      <c r="AU2473" s="213"/>
      <c r="AV2473" s="213"/>
      <c r="AW2473" s="213"/>
      <c r="AX2473" s="213"/>
      <c r="AY2473" s="213"/>
      <c r="AZ2473" s="213"/>
      <c r="BA2473" s="213"/>
      <c r="BB2473" s="213"/>
      <c r="BC2473" s="213"/>
      <c r="BD2473" s="213"/>
    </row>
    <row r="2474">
      <c r="A2474" s="213">
        <f>IFERROR(__xludf.DUMMYFUNCTION("""COMPUTED_VALUE"""),2078.0)</f>
        <v>2078</v>
      </c>
      <c r="B2474" s="213" t="str">
        <f>IFERROR(__xludf.DUMMYFUNCTION("""COMPUTED_VALUE"""),"JOSE GRANDA")</f>
        <v>JOSE GRANDA</v>
      </c>
      <c r="C2474" s="213" t="str">
        <f>IFERROR(__xludf.DUMMYFUNCTION("""COMPUTED_VALUE"""),"TALLER SFT DE INDUSTRIA ALIMENTARIA")</f>
        <v>TALLER SFT DE INDUSTRIA ALIMENTARIA</v>
      </c>
      <c r="D2474" s="213" t="str">
        <f>IFERROR(__xludf.DUMMYFUNCTION("""COMPUTED_VALUE"""),"HERRAMIENTAS")</f>
        <v>HERRAMIENTAS</v>
      </c>
      <c r="E2474" s="213" t="str">
        <f>IFERROR(__xludf.DUMMYFUNCTION("""COMPUTED_VALUE"""),"MAT-456")</f>
        <v>MAT-456</v>
      </c>
      <c r="F2474" s="213" t="str">
        <f>IFERROR(__xludf.DUMMYFUNCTION("""COMPUTED_VALUE"""),"MAT-456")</f>
        <v>MAT-456</v>
      </c>
      <c r="G2474" s="213"/>
      <c r="H2474" s="213" t="str">
        <f>IFERROR(__xludf.DUMMYFUNCTION("""COMPUTED_VALUE"""),"TAZÓN BOWL N° 24")</f>
        <v>TAZÓN BOWL N° 24</v>
      </c>
      <c r="I2474" s="213" t="str">
        <f>IFERROR(__xludf.DUMMYFUNCTION("""COMPUTED_VALUE"""),"· Material: acero inoxidable.
· Forma: Redondo
· Capacidad: 2.5 Litros
· Diámetro: 24cm")</f>
        <v>· Material: acero inoxidable.
· Forma: Redondo
· Capacidad: 2.5 Litros
· Diámetro: 24cm</v>
      </c>
      <c r="J2474" s="213">
        <f>IFERROR(__xludf.DUMMYFUNCTION("""COMPUTED_VALUE"""),3.0)</f>
        <v>3</v>
      </c>
      <c r="K2474" s="213" t="str">
        <f>IFERROR(__xludf.DUMMYFUNCTION("""COMPUTED_VALUE"""),"90 DÍAS CALENDARIO")</f>
        <v>90 DÍAS CALENDARIO</v>
      </c>
      <c r="L2474" s="213" t="str">
        <f>IFERROR(__xludf.DUMMYFUNCTION("""COMPUTED_VALUE"""),"")</f>
        <v/>
      </c>
      <c r="M2474" s="213">
        <f>IFERROR(__xludf.DUMMYFUNCTION("""COMPUTED_VALUE"""),1.0)</f>
        <v>1</v>
      </c>
      <c r="N2474" s="213">
        <f>IFERROR(__xludf.DUMMYFUNCTION("""COMPUTED_VALUE"""),5.0)</f>
        <v>5</v>
      </c>
      <c r="O2474" s="213">
        <f>IFERROR(__xludf.DUMMYFUNCTION("""COMPUTED_VALUE"""),5.0)</f>
        <v>5</v>
      </c>
      <c r="P2474" s="213"/>
      <c r="Q2474" s="213"/>
      <c r="R2474" s="213" t="str">
        <f>IFERROR(__xludf.DUMMYFUNCTION("""COMPUTED_VALUE"""),"SI")</f>
        <v>SI</v>
      </c>
      <c r="S2474" s="213"/>
      <c r="T2474" s="213" t="str">
        <f>IFERROR(__xludf.DUMMYFUNCTION("""COMPUTED_VALUE"""),"CONSULTA FINAL")</f>
        <v>CONSULTA FINAL</v>
      </c>
      <c r="U2474" s="213" t="str">
        <f>IFERROR(__xludf.DUMMYFUNCTION("""COMPUTED_VALUE"""),"NO")</f>
        <v>NO</v>
      </c>
      <c r="V2474" s="213" t="str">
        <f>IFERROR(__xludf.DUMMYFUNCTION("""COMPUTED_VALUE"""),"SUSTENTO")</f>
        <v>SUSTENTO</v>
      </c>
      <c r="W2474" s="213" t="str">
        <f>IFERROR(__xludf.DUMMYFUNCTION("""COMPUTED_VALUE"""),"DIMENSIONAL")</f>
        <v>DIMENSIONAL</v>
      </c>
      <c r="X2474" s="213" t="str">
        <f>IFERROR(__xludf.DUMMYFUNCTION("""COMPUTED_VALUE"""),"CASA JOVEN")</f>
        <v>CASA JOVEN</v>
      </c>
      <c r="Y2474" s="213">
        <f>IFERROR(__xludf.DUMMYFUNCTION("""COMPUTED_VALUE"""),1.16230342E8)</f>
        <v>116230342</v>
      </c>
      <c r="Z2474" s="215" t="str">
        <f>IFERROR(__xludf.DUMMYFUNCTION("""COMPUTED_VALUE"""),"https://www.tottus.com.pe/tottus-pe/articulo/116230341/bolo-de-acero-inoxidable-24cm/116230348")</f>
        <v>https://www.tottus.com.pe/tottus-pe/articulo/116230341/bolo-de-acero-inoxidable-24cm/116230348</v>
      </c>
      <c r="AA2474" s="215" t="str">
        <f>IFERROR(__xludf.DUMMYFUNCTION("""COMPUTED_VALUE"""),"https://docs.google.com/spreadsheets/d/1iZtQ9oSN4OfQ6bhL9YJAlIOSFOmi6I4mMKfAWIPxqlE/edit?gid=0#gid=1")</f>
        <v>https://docs.google.com/spreadsheets/d/1iZtQ9oSN4OfQ6bhL9YJAlIOSFOmi6I4mMKfAWIPxqlE/edit?gid=0#gid=1</v>
      </c>
      <c r="AB2474" s="213"/>
      <c r="AC2474" s="213"/>
      <c r="AD2474" s="213"/>
      <c r="AE2474" s="213"/>
      <c r="AF2474" s="213"/>
      <c r="AG2474" s="213"/>
      <c r="AH2474" s="213"/>
      <c r="AI2474" s="213"/>
      <c r="AJ2474" s="213"/>
      <c r="AK2474" s="213"/>
      <c r="AL2474" s="213"/>
      <c r="AM2474" s="213"/>
      <c r="AN2474" s="213"/>
      <c r="AO2474" s="213"/>
      <c r="AP2474" s="213" t="str">
        <f>IFERROR(__xludf.DUMMYFUNCTION("""COMPUTED_VALUE"""),"SEBASTIAN")</f>
        <v>SEBASTIAN</v>
      </c>
      <c r="AQ2474" s="213"/>
      <c r="AR2474" s="213"/>
      <c r="AS2474" s="213"/>
      <c r="AT2474" s="213"/>
      <c r="AU2474" s="213"/>
      <c r="AV2474" s="213"/>
      <c r="AW2474" s="213"/>
      <c r="AX2474" s="213"/>
      <c r="AY2474" s="213"/>
      <c r="AZ2474" s="213"/>
      <c r="BA2474" s="213"/>
      <c r="BB2474" s="213"/>
      <c r="BC2474" s="213"/>
      <c r="BD2474" s="213"/>
    </row>
    <row r="2475">
      <c r="A2475" s="213">
        <f>IFERROR(__xludf.DUMMYFUNCTION("""COMPUTED_VALUE"""),2108.0)</f>
        <v>2108</v>
      </c>
      <c r="B2475" s="213" t="str">
        <f>IFERROR(__xludf.DUMMYFUNCTION("""COMPUTED_VALUE"""),"JOSE GRANDA")</f>
        <v>JOSE GRANDA</v>
      </c>
      <c r="C2475" s="213" t="str">
        <f>IFERROR(__xludf.DUMMYFUNCTION("""COMPUTED_VALUE"""),"TALLER SFT DE INDUSTRIA ALIMENTARIA")</f>
        <v>TALLER SFT DE INDUSTRIA ALIMENTARIA</v>
      </c>
      <c r="D2475" s="213" t="str">
        <f>IFERROR(__xludf.DUMMYFUNCTION("""COMPUTED_VALUE"""),"HERRAMIENTAS")</f>
        <v>HERRAMIENTAS</v>
      </c>
      <c r="E2475" s="213" t="str">
        <f>IFERROR(__xludf.DUMMYFUNCTION("""COMPUTED_VALUE"""),"MAT-456")</f>
        <v>MAT-456</v>
      </c>
      <c r="F2475" s="213" t="str">
        <f>IFERROR(__xludf.DUMMYFUNCTION("""COMPUTED_VALUE"""),"MAT-456")</f>
        <v>MAT-456</v>
      </c>
      <c r="G2475" s="213"/>
      <c r="H2475" s="213" t="str">
        <f>IFERROR(__xludf.DUMMYFUNCTION("""COMPUTED_VALUE"""),"TAZÓN BOWL N° 24")</f>
        <v>TAZÓN BOWL N° 24</v>
      </c>
      <c r="I2475" s="213" t="str">
        <f>IFERROR(__xludf.DUMMYFUNCTION("""COMPUTED_VALUE"""),"· Material: acero inoxidable.
· Forma: Redondo
· Capacidad: 2.5 Litros
· Diámetro: 24cm")</f>
        <v>· Material: acero inoxidable.
· Forma: Redondo
· Capacidad: 2.5 Litros
· Diámetro: 24cm</v>
      </c>
      <c r="J2475" s="213">
        <f>IFERROR(__xludf.DUMMYFUNCTION("""COMPUTED_VALUE"""),3.0)</f>
        <v>3</v>
      </c>
      <c r="K2475" s="213" t="str">
        <f>IFERROR(__xludf.DUMMYFUNCTION("""COMPUTED_VALUE"""),"90 DÍAS CALENDARIO")</f>
        <v>90 DÍAS CALENDARIO</v>
      </c>
      <c r="L2475" s="213" t="str">
        <f>IFERROR(__xludf.DUMMYFUNCTION("""COMPUTED_VALUE"""),"")</f>
        <v/>
      </c>
      <c r="M2475" s="213">
        <f>IFERROR(__xludf.DUMMYFUNCTION("""COMPUTED_VALUE"""),1.0)</f>
        <v>1</v>
      </c>
      <c r="N2475" s="213">
        <f>IFERROR(__xludf.DUMMYFUNCTION("""COMPUTED_VALUE"""),5.0)</f>
        <v>5</v>
      </c>
      <c r="O2475" s="213">
        <f>IFERROR(__xludf.DUMMYFUNCTION("""COMPUTED_VALUE"""),5.0)</f>
        <v>5</v>
      </c>
      <c r="P2475" s="213"/>
      <c r="Q2475" s="213"/>
      <c r="R2475" s="213" t="str">
        <f>IFERROR(__xludf.DUMMYFUNCTION("""COMPUTED_VALUE"""),"SI")</f>
        <v>SI</v>
      </c>
      <c r="S2475" s="213"/>
      <c r="T2475" s="213" t="str">
        <f>IFERROR(__xludf.DUMMYFUNCTION("""COMPUTED_VALUE"""),"CONSULTA FINAL")</f>
        <v>CONSULTA FINAL</v>
      </c>
      <c r="U2475" s="213" t="str">
        <f>IFERROR(__xludf.DUMMYFUNCTION("""COMPUTED_VALUE"""),"NO")</f>
        <v>NO</v>
      </c>
      <c r="V2475" s="213" t="str">
        <f>IFERROR(__xludf.DUMMYFUNCTION("""COMPUTED_VALUE"""),"SUSTENTO")</f>
        <v>SUSTENTO</v>
      </c>
      <c r="W2475" s="213" t="str">
        <f>IFERROR(__xludf.DUMMYFUNCTION("""COMPUTED_VALUE"""),"DIMENSIONAL")</f>
        <v>DIMENSIONAL</v>
      </c>
      <c r="X2475" s="213" t="str">
        <f>IFERROR(__xludf.DUMMYFUNCTION("""COMPUTED_VALUE"""),"CASA JOVEN")</f>
        <v>CASA JOVEN</v>
      </c>
      <c r="Y2475" s="213">
        <f>IFERROR(__xludf.DUMMYFUNCTION("""COMPUTED_VALUE"""),1.16230342E8)</f>
        <v>116230342</v>
      </c>
      <c r="Z2475" s="215" t="str">
        <f>IFERROR(__xludf.DUMMYFUNCTION("""COMPUTED_VALUE"""),"https://www.tottus.com.pe/tottus-pe/articulo/116230341/bolo-de-acero-inoxidable-24cm/116230349")</f>
        <v>https://www.tottus.com.pe/tottus-pe/articulo/116230341/bolo-de-acero-inoxidable-24cm/116230349</v>
      </c>
      <c r="AA2475" s="215" t="str">
        <f>IFERROR(__xludf.DUMMYFUNCTION("""COMPUTED_VALUE"""),"https://docs.google.com/spreadsheets/d/1iZtQ9oSN4OfQ6bhL9YJAlIOSFOmi6I4mMKfAWIPxqlE/edit?gid=0#gid=1")</f>
        <v>https://docs.google.com/spreadsheets/d/1iZtQ9oSN4OfQ6bhL9YJAlIOSFOmi6I4mMKfAWIPxqlE/edit?gid=0#gid=1</v>
      </c>
      <c r="AB2475" s="213"/>
      <c r="AC2475" s="213"/>
      <c r="AD2475" s="213"/>
      <c r="AE2475" s="213"/>
      <c r="AF2475" s="213"/>
      <c r="AG2475" s="213"/>
      <c r="AH2475" s="213"/>
      <c r="AI2475" s="213"/>
      <c r="AJ2475" s="213"/>
      <c r="AK2475" s="213"/>
      <c r="AL2475" s="213"/>
      <c r="AM2475" s="213"/>
      <c r="AN2475" s="213"/>
      <c r="AO2475" s="213"/>
      <c r="AP2475" s="213" t="str">
        <f>IFERROR(__xludf.DUMMYFUNCTION("""COMPUTED_VALUE"""),"SEBASTIAN")</f>
        <v>SEBASTIAN</v>
      </c>
      <c r="AQ2475" s="213"/>
      <c r="AR2475" s="213"/>
      <c r="AS2475" s="213"/>
      <c r="AT2475" s="213"/>
      <c r="AU2475" s="213"/>
      <c r="AV2475" s="213"/>
      <c r="AW2475" s="213"/>
      <c r="AX2475" s="213"/>
      <c r="AY2475" s="213"/>
      <c r="AZ2475" s="213"/>
      <c r="BA2475" s="213"/>
      <c r="BB2475" s="213"/>
      <c r="BC2475" s="213"/>
      <c r="BD2475" s="213"/>
    </row>
    <row r="2476">
      <c r="A2476" s="213">
        <f>IFERROR(__xludf.DUMMYFUNCTION("""COMPUTED_VALUE"""),2540.0)</f>
        <v>2540</v>
      </c>
      <c r="B2476" s="213" t="str">
        <f>IFERROR(__xludf.DUMMYFUNCTION("""COMPUTED_VALUE"""),"MANUEL ANTONIO MESONES MURO")</f>
        <v>MANUEL ANTONIO MESONES MURO</v>
      </c>
      <c r="C2476" s="213" t="str">
        <f>IFERROR(__xludf.DUMMYFUNCTION("""COMPUTED_VALUE"""),"TALLER SFT DE CONSTRUCCIONES METÁLICAS")</f>
        <v>TALLER SFT DE CONSTRUCCIONES METÁLICAS</v>
      </c>
      <c r="D2476" s="213" t="str">
        <f>IFERROR(__xludf.DUMMYFUNCTION("""COMPUTED_VALUE"""),"PEDAGOGICO")</f>
        <v>PEDAGOGICO</v>
      </c>
      <c r="E2476" s="213" t="str">
        <f>IFERROR(__xludf.DUMMYFUNCTION("""COMPUTED_VALUE"""),"-")</f>
        <v>-</v>
      </c>
      <c r="F2476" s="213" t="str">
        <f>IFERROR(__xludf.DUMMYFUNCTION("""COMPUTED_VALUE"""),"USB-CONST")</f>
        <v>USB-CONST</v>
      </c>
      <c r="G2476" s="213"/>
      <c r="H2476" s="213" t="str">
        <f>IFERROR(__xludf.DUMMYFUNCTION("""COMPUTED_VALUE"""),"USB CON MATERIAL PARA LA CAPACITACIÓN")</f>
        <v>USB CON MATERIAL PARA LA CAPACITACIÓN</v>
      </c>
      <c r="I2476" s="213"/>
      <c r="J2476" s="213">
        <f>IFERROR(__xludf.DUMMYFUNCTION("""COMPUTED_VALUE"""),3.0)</f>
        <v>3</v>
      </c>
      <c r="K2476" s="213" t="str">
        <f>IFERROR(__xludf.DUMMYFUNCTION("""COMPUTED_VALUE"""),"170 DÍAS CALENDARIO")</f>
        <v>170 DÍAS CALENDARIO</v>
      </c>
      <c r="L2476" s="213" t="str">
        <f>IFERROR(__xludf.DUMMYFUNCTION("""COMPUTED_VALUE"""),"")</f>
        <v/>
      </c>
      <c r="M2476" s="213">
        <f>IFERROR(__xludf.DUMMYFUNCTION("""COMPUTED_VALUE"""),1.0)</f>
        <v>1</v>
      </c>
      <c r="N2476" s="213">
        <f>IFERROR(__xludf.DUMMYFUNCTION("""COMPUTED_VALUE"""),4.0)</f>
        <v>4</v>
      </c>
      <c r="O2476" s="213">
        <f>IFERROR(__xludf.DUMMYFUNCTION("""COMPUTED_VALUE"""),4.0)</f>
        <v>4</v>
      </c>
      <c r="P2476" s="213"/>
      <c r="Q2476" s="213"/>
      <c r="R2476" s="213"/>
      <c r="S2476" s="213"/>
      <c r="T2476" s="213"/>
      <c r="U2476" s="213"/>
      <c r="V2476" s="213"/>
      <c r="W2476" s="213"/>
      <c r="X2476" s="213"/>
      <c r="Y2476" s="213"/>
      <c r="Z2476" s="213"/>
      <c r="AA2476" s="213"/>
      <c r="AB2476" s="213"/>
      <c r="AC2476" s="213"/>
      <c r="AD2476" s="213"/>
      <c r="AE2476" s="213"/>
      <c r="AF2476" s="213"/>
      <c r="AG2476" s="213"/>
      <c r="AH2476" s="213"/>
      <c r="AI2476" s="213"/>
      <c r="AJ2476" s="213"/>
      <c r="AK2476" s="213"/>
      <c r="AL2476" s="213"/>
      <c r="AM2476" s="213"/>
      <c r="AN2476" s="213"/>
      <c r="AO2476" s="213"/>
      <c r="AP2476" s="213"/>
      <c r="AQ2476" s="213"/>
      <c r="AR2476" s="213"/>
      <c r="AS2476" s="213"/>
      <c r="AT2476" s="213"/>
      <c r="AU2476" s="213"/>
      <c r="AV2476" s="213"/>
      <c r="AW2476" s="213"/>
      <c r="AX2476" s="213"/>
      <c r="AY2476" s="213"/>
      <c r="AZ2476" s="213"/>
      <c r="BA2476" s="213"/>
      <c r="BB2476" s="213"/>
      <c r="BC2476" s="213"/>
      <c r="BD2476" s="213"/>
    </row>
    <row r="2477">
      <c r="A2477" s="213">
        <f>IFERROR(__xludf.DUMMYFUNCTION("""COMPUTED_VALUE"""),100.0)</f>
        <v>100</v>
      </c>
      <c r="B2477" s="213" t="str">
        <f>IFERROR(__xludf.DUMMYFUNCTION("""COMPUTED_VALUE"""),"16449 ELOY SOBERON  FLORES")</f>
        <v>16449 ELOY SOBERON  FLORES</v>
      </c>
      <c r="C2477" s="213" t="str">
        <f>IFERROR(__xludf.DUMMYFUNCTION("""COMPUTED_VALUE"""),"TALLER SFT DE COCINA Y REPOSTERÍA")</f>
        <v>TALLER SFT DE COCINA Y REPOSTERÍA</v>
      </c>
      <c r="D2477" s="213" t="str">
        <f>IFERROR(__xludf.DUMMYFUNCTION("""COMPUTED_VALUE"""),"PEDAGOGICO")</f>
        <v>PEDAGOGICO</v>
      </c>
      <c r="E2477" s="213" t="str">
        <f>IFERROR(__xludf.DUMMYFUNCTION("""COMPUTED_VALUE"""),"MAT-465")</f>
        <v>MAT-465</v>
      </c>
      <c r="F2477" s="213" t="str">
        <f>IFERROR(__xludf.DUMMYFUNCTION("""COMPUTED_VALUE"""),"MAT-465")</f>
        <v>MAT-465</v>
      </c>
      <c r="G2477" s="213"/>
      <c r="H2477" s="213" t="str">
        <f>IFERROR(__xludf.DUMMYFUNCTION("""COMPUTED_VALUE"""),"USB CON INFORMACIÓN DE LOS MANUALES")</f>
        <v>USB CON INFORMACIÓN DE LOS MANUALES</v>
      </c>
      <c r="I2477"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Así mismo contiene información complementaria en videos, imágenes y textos digitales sobre identificación de necesidades y problemas del cliente.
· La información y las imágenes tienen calidad de resolución mínima, que no se distorsiona al ser impres"&amp;"a.
· El USB tiene 3 tipos de conectores: para conectarse con la PC, Tablet y móvil (conector USB 3.0, conector micro USB, conector tipo C), o en su defecto se proporciona adicionalmente un conector  (cable) con las 3 posibles conexiones.
· El USB es compa"&amp;"tible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77" s="213">
        <f>IFERROR(__xludf.DUMMYFUNCTION("""COMPUTED_VALUE"""),3.0)</f>
        <v>3</v>
      </c>
      <c r="K2477" s="213" t="str">
        <f>IFERROR(__xludf.DUMMYFUNCTION("""COMPUTED_VALUE"""),"170 DÍAS CALENDARIO")</f>
        <v>170 DÍAS CALENDARIO</v>
      </c>
      <c r="L2477" s="213" t="str">
        <f>IFERROR(__xludf.DUMMYFUNCTION("""COMPUTED_VALUE"""),"")</f>
        <v/>
      </c>
      <c r="M2477" s="213">
        <f>IFERROR(__xludf.DUMMYFUNCTION("""COMPUTED_VALUE"""),1.0)</f>
        <v>1</v>
      </c>
      <c r="N2477" s="213">
        <f>IFERROR(__xludf.DUMMYFUNCTION("""COMPUTED_VALUE"""),2.0)</f>
        <v>2</v>
      </c>
      <c r="O2477" s="213">
        <f>IFERROR(__xludf.DUMMYFUNCTION("""COMPUTED_VALUE"""),2.0)</f>
        <v>2</v>
      </c>
      <c r="P2477" s="213"/>
      <c r="Q2477" s="213"/>
      <c r="R2477" s="213"/>
      <c r="S2477" s="213"/>
      <c r="T2477" s="213"/>
      <c r="U2477" s="213"/>
      <c r="V2477" s="213"/>
      <c r="W2477" s="213"/>
      <c r="X2477" s="213"/>
      <c r="Y2477" s="213"/>
      <c r="Z2477" s="213"/>
      <c r="AA2477" s="213"/>
      <c r="AB2477" s="213"/>
      <c r="AC2477" s="213"/>
      <c r="AD2477" s="213"/>
      <c r="AE2477" s="213"/>
      <c r="AF2477" s="213"/>
      <c r="AG2477" s="213"/>
      <c r="AH2477" s="213"/>
      <c r="AI2477" s="213"/>
      <c r="AJ2477" s="213"/>
      <c r="AK2477" s="213"/>
      <c r="AL2477" s="213"/>
      <c r="AM2477" s="213"/>
      <c r="AN2477" s="213"/>
      <c r="AO2477" s="213"/>
      <c r="AP2477" s="213"/>
      <c r="AQ2477" s="213"/>
      <c r="AR2477" s="213"/>
      <c r="AS2477" s="213"/>
      <c r="AT2477" s="213"/>
      <c r="AU2477" s="213"/>
      <c r="AV2477" s="213"/>
      <c r="AW2477" s="213"/>
      <c r="AX2477" s="213"/>
      <c r="AY2477" s="213"/>
      <c r="AZ2477" s="213"/>
      <c r="BA2477" s="213"/>
      <c r="BB2477" s="213"/>
      <c r="BC2477" s="213"/>
      <c r="BD2477" s="213"/>
    </row>
    <row r="2478">
      <c r="A2478" s="213">
        <f>IFERROR(__xludf.DUMMYFUNCTION("""COMPUTED_VALUE"""),105.0)</f>
        <v>105</v>
      </c>
      <c r="B2478" s="213" t="str">
        <f>IFERROR(__xludf.DUMMYFUNCTION("""COMPUTED_VALUE"""),"16449 ELOY SOBERON  FLORES")</f>
        <v>16449 ELOY SOBERON  FLORES</v>
      </c>
      <c r="C2478" s="213" t="str">
        <f>IFERROR(__xludf.DUMMYFUNCTION("""COMPUTED_VALUE"""),"TALLER SFT DE COCINA Y REPOSTERÍA")</f>
        <v>TALLER SFT DE COCINA Y REPOSTERÍA</v>
      </c>
      <c r="D2478" s="213" t="str">
        <f>IFERROR(__xludf.DUMMYFUNCTION("""COMPUTED_VALUE"""),"PEDAGOGICO")</f>
        <v>PEDAGOGICO</v>
      </c>
      <c r="E2478" s="213" t="str">
        <f>IFERROR(__xludf.DUMMYFUNCTION("""COMPUTED_VALUE"""),"MAT-465")</f>
        <v>MAT-465</v>
      </c>
      <c r="F2478" s="213" t="str">
        <f>IFERROR(__xludf.DUMMYFUNCTION("""COMPUTED_VALUE"""),"MAT-465")</f>
        <v>MAT-465</v>
      </c>
      <c r="G2478" s="213"/>
      <c r="H2478" s="213" t="str">
        <f>IFERROR(__xludf.DUMMYFUNCTION("""COMPUTED_VALUE"""),"USB CON INFORMACIÓN DE LOS MANUALES")</f>
        <v>USB CON INFORMACIÓN DE LOS MANUALES</v>
      </c>
      <c r="I247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Así mismo contiene información complementaria en videos, imágenes y textos digitales sobre identificación de necesidades y problemas del cliente.
· La información y las imágenes tienen calidad de resolución mínima, que no se distorsiona al ser impres"&amp;"a.
· El USB tiene 3 tipos de conectores: para conectarse con la PC, Tablet y móvil (conector USB 3.0, conector micro USB, conector tipo C), o en su defecto se proporciona adicionalmente un conector  (cable) con las 3 posibles conexiones.
· El USB es compa"&amp;"tible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78" s="213">
        <f>IFERROR(__xludf.DUMMYFUNCTION("""COMPUTED_VALUE"""),3.0)</f>
        <v>3</v>
      </c>
      <c r="K2478" s="213" t="str">
        <f>IFERROR(__xludf.DUMMYFUNCTION("""COMPUTED_VALUE"""),"170 DÍAS CALENDARIO")</f>
        <v>170 DÍAS CALENDARIO</v>
      </c>
      <c r="L2478" s="213" t="str">
        <f>IFERROR(__xludf.DUMMYFUNCTION("""COMPUTED_VALUE"""),"")</f>
        <v/>
      </c>
      <c r="M2478" s="213">
        <f>IFERROR(__xludf.DUMMYFUNCTION("""COMPUTED_VALUE"""),1.0)</f>
        <v>1</v>
      </c>
      <c r="N2478" s="213">
        <f>IFERROR(__xludf.DUMMYFUNCTION("""COMPUTED_VALUE"""),2.0)</f>
        <v>2</v>
      </c>
      <c r="O2478" s="213">
        <f>IFERROR(__xludf.DUMMYFUNCTION("""COMPUTED_VALUE"""),2.0)</f>
        <v>2</v>
      </c>
      <c r="P2478" s="213"/>
      <c r="Q2478" s="213"/>
      <c r="R2478" s="213"/>
      <c r="S2478" s="213"/>
      <c r="T2478" s="213"/>
      <c r="U2478" s="213"/>
      <c r="V2478" s="213"/>
      <c r="W2478" s="213"/>
      <c r="X2478" s="213"/>
      <c r="Y2478" s="213"/>
      <c r="Z2478" s="213"/>
      <c r="AA2478" s="213"/>
      <c r="AB2478" s="213"/>
      <c r="AC2478" s="213"/>
      <c r="AD2478" s="213"/>
      <c r="AE2478" s="213"/>
      <c r="AF2478" s="213"/>
      <c r="AG2478" s="213"/>
      <c r="AH2478" s="213"/>
      <c r="AI2478" s="213"/>
      <c r="AJ2478" s="213"/>
      <c r="AK2478" s="213"/>
      <c r="AL2478" s="213"/>
      <c r="AM2478" s="213"/>
      <c r="AN2478" s="213"/>
      <c r="AO2478" s="213"/>
      <c r="AP2478" s="213"/>
      <c r="AQ2478" s="213"/>
      <c r="AR2478" s="213"/>
      <c r="AS2478" s="213"/>
      <c r="AT2478" s="213"/>
      <c r="AU2478" s="213"/>
      <c r="AV2478" s="213"/>
      <c r="AW2478" s="213"/>
      <c r="AX2478" s="213"/>
      <c r="AY2478" s="213"/>
      <c r="AZ2478" s="213"/>
      <c r="BA2478" s="213"/>
      <c r="BB2478" s="213"/>
      <c r="BC2478" s="213"/>
      <c r="BD2478" s="213"/>
    </row>
    <row r="2479">
      <c r="A2479" s="213">
        <f>IFERROR(__xludf.DUMMYFUNCTION("""COMPUTED_VALUE"""),109.0)</f>
        <v>109</v>
      </c>
      <c r="B2479" s="213" t="str">
        <f>IFERROR(__xludf.DUMMYFUNCTION("""COMPUTED_VALUE"""),"16449 ELOY SOBERON  FLORES")</f>
        <v>16449 ELOY SOBERON  FLORES</v>
      </c>
      <c r="C2479" s="213" t="str">
        <f>IFERROR(__xludf.DUMMYFUNCTION("""COMPUTED_VALUE"""),"TALLER SFT DE COCINA Y REPOSTERÍA")</f>
        <v>TALLER SFT DE COCINA Y REPOSTERÍA</v>
      </c>
      <c r="D2479" s="213" t="str">
        <f>IFERROR(__xludf.DUMMYFUNCTION("""COMPUTED_VALUE"""),"PEDAGOGICO")</f>
        <v>PEDAGOGICO</v>
      </c>
      <c r="E2479" s="213" t="str">
        <f>IFERROR(__xludf.DUMMYFUNCTION("""COMPUTED_VALUE"""),"MAT-465")</f>
        <v>MAT-465</v>
      </c>
      <c r="F2479" s="213" t="str">
        <f>IFERROR(__xludf.DUMMYFUNCTION("""COMPUTED_VALUE"""),"MAT-465")</f>
        <v>MAT-465</v>
      </c>
      <c r="G2479" s="213"/>
      <c r="H2479" s="213" t="str">
        <f>IFERROR(__xludf.DUMMYFUNCTION("""COMPUTED_VALUE"""),"USB CON INFORMACIÓN DE LOS MANUALES")</f>
        <v>USB CON INFORMACIÓN DE LOS MANUALES</v>
      </c>
      <c r="I2479"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Así mismo contiene información complementaria en videos, imágenes y textos digitales sobre identificación de necesidades y problemas del cliente.
· La información y las imágenes tienen calidad de resolución mínima, que no se distorsiona al ser impres"&amp;"a.
· El USB tiene 3 tipos de conectores: para conectarse con la PC, Tablet y móvil (conector USB 3.0, conector micro USB, conector tipo C), o en su defecto se proporciona adicionalmente un conector  (cable) con las 3 posibles conexiones.
· El USB es compa"&amp;"tible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79" s="213">
        <f>IFERROR(__xludf.DUMMYFUNCTION("""COMPUTED_VALUE"""),3.0)</f>
        <v>3</v>
      </c>
      <c r="K2479" s="213" t="str">
        <f>IFERROR(__xludf.DUMMYFUNCTION("""COMPUTED_VALUE"""),"170 DÍAS CALENDARIO")</f>
        <v>170 DÍAS CALENDARIO</v>
      </c>
      <c r="L2479" s="213" t="str">
        <f>IFERROR(__xludf.DUMMYFUNCTION("""COMPUTED_VALUE"""),"")</f>
        <v/>
      </c>
      <c r="M2479" s="213">
        <f>IFERROR(__xludf.DUMMYFUNCTION("""COMPUTED_VALUE"""),1.0)</f>
        <v>1</v>
      </c>
      <c r="N2479" s="213">
        <f>IFERROR(__xludf.DUMMYFUNCTION("""COMPUTED_VALUE"""),2.0)</f>
        <v>2</v>
      </c>
      <c r="O2479" s="213">
        <f>IFERROR(__xludf.DUMMYFUNCTION("""COMPUTED_VALUE"""),2.0)</f>
        <v>2</v>
      </c>
      <c r="P2479" s="213"/>
      <c r="Q2479" s="213"/>
      <c r="R2479" s="213"/>
      <c r="S2479" s="213"/>
      <c r="T2479" s="213"/>
      <c r="U2479" s="213"/>
      <c r="V2479" s="213"/>
      <c r="W2479" s="213"/>
      <c r="X2479" s="213"/>
      <c r="Y2479" s="213"/>
      <c r="Z2479" s="213"/>
      <c r="AA2479" s="213"/>
      <c r="AB2479" s="213"/>
      <c r="AC2479" s="213"/>
      <c r="AD2479" s="213"/>
      <c r="AE2479" s="213"/>
      <c r="AF2479" s="213"/>
      <c r="AG2479" s="213"/>
      <c r="AH2479" s="213"/>
      <c r="AI2479" s="213"/>
      <c r="AJ2479" s="213"/>
      <c r="AK2479" s="213"/>
      <c r="AL2479" s="213"/>
      <c r="AM2479" s="213"/>
      <c r="AN2479" s="213"/>
      <c r="AO2479" s="213"/>
      <c r="AP2479" s="213"/>
      <c r="AQ2479" s="213"/>
      <c r="AR2479" s="213"/>
      <c r="AS2479" s="213"/>
      <c r="AT2479" s="213"/>
      <c r="AU2479" s="213"/>
      <c r="AV2479" s="213"/>
      <c r="AW2479" s="213"/>
      <c r="AX2479" s="213"/>
      <c r="AY2479" s="213"/>
      <c r="AZ2479" s="213"/>
      <c r="BA2479" s="213"/>
      <c r="BB2479" s="213"/>
      <c r="BC2479" s="213"/>
      <c r="BD2479" s="213"/>
    </row>
    <row r="2480">
      <c r="A2480" s="213">
        <f>IFERROR(__xludf.DUMMYFUNCTION("""COMPUTED_VALUE"""),113.0)</f>
        <v>113</v>
      </c>
      <c r="B2480" s="213" t="str">
        <f>IFERROR(__xludf.DUMMYFUNCTION("""COMPUTED_VALUE"""),"16449 ELOY SOBERON  FLORES")</f>
        <v>16449 ELOY SOBERON  FLORES</v>
      </c>
      <c r="C2480" s="213" t="str">
        <f>IFERROR(__xludf.DUMMYFUNCTION("""COMPUTED_VALUE"""),"TALLER SFT DE COCINA Y REPOSTERÍA")</f>
        <v>TALLER SFT DE COCINA Y REPOSTERÍA</v>
      </c>
      <c r="D2480" s="213" t="str">
        <f>IFERROR(__xludf.DUMMYFUNCTION("""COMPUTED_VALUE"""),"PEDAGOGICO")</f>
        <v>PEDAGOGICO</v>
      </c>
      <c r="E2480" s="213" t="str">
        <f>IFERROR(__xludf.DUMMYFUNCTION("""COMPUTED_VALUE"""),"MAT-465")</f>
        <v>MAT-465</v>
      </c>
      <c r="F2480" s="213" t="str">
        <f>IFERROR(__xludf.DUMMYFUNCTION("""COMPUTED_VALUE"""),"MAT-465")</f>
        <v>MAT-465</v>
      </c>
      <c r="G2480" s="213"/>
      <c r="H2480" s="213" t="str">
        <f>IFERROR(__xludf.DUMMYFUNCTION("""COMPUTED_VALUE"""),"USB CON INFORMACIÓN DE LOS MANUALES")</f>
        <v>USB CON INFORMACIÓN DE LOS MANUALES</v>
      </c>
      <c r="I2480"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Así mismo contiene información complementaria en videos, imágenes y textos digitales sobre identificación de necesidades y problemas del cliente.
· La información y las imágenes tienen calidad de resolución mínima, que no se distorsiona al ser impres"&amp;"a.
· El USB tiene 3 tipos de conectores: para conectarse con la PC, Tablet y móvil (conector USB 3.0, conector micro USB, conector tipo C), o en su defecto se proporciona adicionalmente un conector  (cable) con las 3 posibles conexiones.
· El USB es compa"&amp;"tible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80" s="213">
        <f>IFERROR(__xludf.DUMMYFUNCTION("""COMPUTED_VALUE"""),3.0)</f>
        <v>3</v>
      </c>
      <c r="K2480" s="213" t="str">
        <f>IFERROR(__xludf.DUMMYFUNCTION("""COMPUTED_VALUE"""),"170 DÍAS CALENDARIO")</f>
        <v>170 DÍAS CALENDARIO</v>
      </c>
      <c r="L2480" s="213" t="str">
        <f>IFERROR(__xludf.DUMMYFUNCTION("""COMPUTED_VALUE"""),"")</f>
        <v/>
      </c>
      <c r="M2480" s="213">
        <f>IFERROR(__xludf.DUMMYFUNCTION("""COMPUTED_VALUE"""),1.0)</f>
        <v>1</v>
      </c>
      <c r="N2480" s="213">
        <f>IFERROR(__xludf.DUMMYFUNCTION("""COMPUTED_VALUE"""),2.0)</f>
        <v>2</v>
      </c>
      <c r="O2480" s="213">
        <f>IFERROR(__xludf.DUMMYFUNCTION("""COMPUTED_VALUE"""),2.0)</f>
        <v>2</v>
      </c>
      <c r="P2480" s="213"/>
      <c r="Q2480" s="213"/>
      <c r="R2480" s="213"/>
      <c r="S2480" s="213"/>
      <c r="T2480" s="213"/>
      <c r="U2480" s="213"/>
      <c r="V2480" s="213"/>
      <c r="W2480" s="213"/>
      <c r="X2480" s="213"/>
      <c r="Y2480" s="213"/>
      <c r="Z2480" s="213"/>
      <c r="AA2480" s="213"/>
      <c r="AB2480" s="213"/>
      <c r="AC2480" s="213"/>
      <c r="AD2480" s="213"/>
      <c r="AE2480" s="213"/>
      <c r="AF2480" s="213"/>
      <c r="AG2480" s="213"/>
      <c r="AH2480" s="213"/>
      <c r="AI2480" s="213"/>
      <c r="AJ2480" s="213"/>
      <c r="AK2480" s="213"/>
      <c r="AL2480" s="213"/>
      <c r="AM2480" s="213"/>
      <c r="AN2480" s="213"/>
      <c r="AO2480" s="213"/>
      <c r="AP2480" s="213"/>
      <c r="AQ2480" s="213"/>
      <c r="AR2480" s="213"/>
      <c r="AS2480" s="213"/>
      <c r="AT2480" s="213"/>
      <c r="AU2480" s="213"/>
      <c r="AV2480" s="213"/>
      <c r="AW2480" s="213"/>
      <c r="AX2480" s="213"/>
      <c r="AY2480" s="213"/>
      <c r="AZ2480" s="213"/>
      <c r="BA2480" s="213"/>
      <c r="BB2480" s="213"/>
      <c r="BC2480" s="213"/>
      <c r="BD2480" s="213"/>
    </row>
    <row r="2481">
      <c r="A2481" s="213">
        <f>IFERROR(__xludf.DUMMYFUNCTION("""COMPUTED_VALUE"""),116.0)</f>
        <v>116</v>
      </c>
      <c r="B2481" s="213" t="str">
        <f>IFERROR(__xludf.DUMMYFUNCTION("""COMPUTED_VALUE"""),"16449 ELOY SOBERON  FLORES")</f>
        <v>16449 ELOY SOBERON  FLORES</v>
      </c>
      <c r="C2481" s="213" t="str">
        <f>IFERROR(__xludf.DUMMYFUNCTION("""COMPUTED_VALUE"""),"TALLER SFT DE COCINA Y REPOSTERÍA")</f>
        <v>TALLER SFT DE COCINA Y REPOSTERÍA</v>
      </c>
      <c r="D2481" s="213" t="str">
        <f>IFERROR(__xludf.DUMMYFUNCTION("""COMPUTED_VALUE"""),"PEDAGOGICO")</f>
        <v>PEDAGOGICO</v>
      </c>
      <c r="E2481" s="213" t="str">
        <f>IFERROR(__xludf.DUMMYFUNCTION("""COMPUTED_VALUE"""),"MAT-465")</f>
        <v>MAT-465</v>
      </c>
      <c r="F2481" s="213" t="str">
        <f>IFERROR(__xludf.DUMMYFUNCTION("""COMPUTED_VALUE"""),"MAT-465")</f>
        <v>MAT-465</v>
      </c>
      <c r="G2481" s="213"/>
      <c r="H2481" s="213" t="str">
        <f>IFERROR(__xludf.DUMMYFUNCTION("""COMPUTED_VALUE"""),"USB CON INFORMACIÓN DE LOS MANUALES")</f>
        <v>USB CON INFORMACIÓN DE LOS MANUALES</v>
      </c>
      <c r="I2481"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Así mismo contiene información complementaria en videos, imágenes y textos digitales sobre identificación de necesidades y problemas del cliente.
· La información y las imágenes tienen calidad de resolución mínima, que no se distorsiona al ser impres"&amp;"a.
· El USB tiene 3 tipos de conectores: para conectarse con la PC, Tablet y móvil (conector USB 3.0, conector micro USB, conector tipo C), o en su defecto se proporciona adicionalmente un conector  (cable) con las 3 posibles conexiones.
· El USB es compa"&amp;"tible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81" s="213">
        <f>IFERROR(__xludf.DUMMYFUNCTION("""COMPUTED_VALUE"""),3.0)</f>
        <v>3</v>
      </c>
      <c r="K2481" s="213" t="str">
        <f>IFERROR(__xludf.DUMMYFUNCTION("""COMPUTED_VALUE"""),"170 DÍAS CALENDARIO")</f>
        <v>170 DÍAS CALENDARIO</v>
      </c>
      <c r="L2481" s="213" t="str">
        <f>IFERROR(__xludf.DUMMYFUNCTION("""COMPUTED_VALUE"""),"")</f>
        <v/>
      </c>
      <c r="M2481" s="213">
        <f>IFERROR(__xludf.DUMMYFUNCTION("""COMPUTED_VALUE"""),1.0)</f>
        <v>1</v>
      </c>
      <c r="N2481" s="213">
        <f>IFERROR(__xludf.DUMMYFUNCTION("""COMPUTED_VALUE"""),2.0)</f>
        <v>2</v>
      </c>
      <c r="O2481" s="213">
        <f>IFERROR(__xludf.DUMMYFUNCTION("""COMPUTED_VALUE"""),2.0)</f>
        <v>2</v>
      </c>
      <c r="P2481" s="213"/>
      <c r="Q2481" s="213"/>
      <c r="R2481" s="213"/>
      <c r="S2481" s="213"/>
      <c r="T2481" s="213"/>
      <c r="U2481" s="213"/>
      <c r="V2481" s="213"/>
      <c r="W2481" s="213"/>
      <c r="X2481" s="213"/>
      <c r="Y2481" s="213"/>
      <c r="Z2481" s="213"/>
      <c r="AA2481" s="213"/>
      <c r="AB2481" s="213"/>
      <c r="AC2481" s="213"/>
      <c r="AD2481" s="213"/>
      <c r="AE2481" s="213"/>
      <c r="AF2481" s="213"/>
      <c r="AG2481" s="213"/>
      <c r="AH2481" s="213"/>
      <c r="AI2481" s="213"/>
      <c r="AJ2481" s="213"/>
      <c r="AK2481" s="213"/>
      <c r="AL2481" s="213"/>
      <c r="AM2481" s="213"/>
      <c r="AN2481" s="213"/>
      <c r="AO2481" s="213"/>
      <c r="AP2481" s="213"/>
      <c r="AQ2481" s="213"/>
      <c r="AR2481" s="213"/>
      <c r="AS2481" s="213"/>
      <c r="AT2481" s="213"/>
      <c r="AU2481" s="213"/>
      <c r="AV2481" s="213"/>
      <c r="AW2481" s="213"/>
      <c r="AX2481" s="213"/>
      <c r="AY2481" s="213"/>
      <c r="AZ2481" s="213"/>
      <c r="BA2481" s="213"/>
      <c r="BB2481" s="213"/>
      <c r="BC2481" s="213"/>
      <c r="BD2481" s="213"/>
    </row>
    <row r="2482">
      <c r="A2482" s="213">
        <f>IFERROR(__xludf.DUMMYFUNCTION("""COMPUTED_VALUE"""),121.0)</f>
        <v>121</v>
      </c>
      <c r="B2482" s="213" t="str">
        <f>IFERROR(__xludf.DUMMYFUNCTION("""COMPUTED_VALUE"""),"16449 ELOY SOBERON  FLORES")</f>
        <v>16449 ELOY SOBERON  FLORES</v>
      </c>
      <c r="C2482" s="213" t="str">
        <f>IFERROR(__xludf.DUMMYFUNCTION("""COMPUTED_VALUE"""),"TALLER SFT DE COCINA Y REPOSTERÍA")</f>
        <v>TALLER SFT DE COCINA Y REPOSTERÍA</v>
      </c>
      <c r="D2482" s="213" t="str">
        <f>IFERROR(__xludf.DUMMYFUNCTION("""COMPUTED_VALUE"""),"PEDAGOGICO")</f>
        <v>PEDAGOGICO</v>
      </c>
      <c r="E2482" s="213" t="str">
        <f>IFERROR(__xludf.DUMMYFUNCTION("""COMPUTED_VALUE"""),"MAT-465")</f>
        <v>MAT-465</v>
      </c>
      <c r="F2482" s="213" t="str">
        <f>IFERROR(__xludf.DUMMYFUNCTION("""COMPUTED_VALUE"""),"MAT-465")</f>
        <v>MAT-465</v>
      </c>
      <c r="G2482" s="213"/>
      <c r="H2482" s="213" t="str">
        <f>IFERROR(__xludf.DUMMYFUNCTION("""COMPUTED_VALUE"""),"USB CON INFORMACIÓN DE LOS MANUALES")</f>
        <v>USB CON INFORMACIÓN DE LOS MANUALES</v>
      </c>
      <c r="I2482"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Así mismo contiene información complementaria en videos, imágenes y textos digitales sobre identificación de necesidades y problemas del cliente.
· La información y las imágenes tienen calidad de resolución mínima, que no se distorsiona al ser impres"&amp;"a.
· El USB tiene 3 tipos de conectores: para conectarse con la PC, Tablet y móvil (conector USB 3.0, conector micro USB, conector tipo C), o en su defecto se proporciona adicionalmente un conector  (cable) con las 3 posibles conexiones.
· El USB es compa"&amp;"tible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82" s="213">
        <f>IFERROR(__xludf.DUMMYFUNCTION("""COMPUTED_VALUE"""),3.0)</f>
        <v>3</v>
      </c>
      <c r="K2482" s="213" t="str">
        <f>IFERROR(__xludf.DUMMYFUNCTION("""COMPUTED_VALUE"""),"170 DÍAS CALENDARIO")</f>
        <v>170 DÍAS CALENDARIO</v>
      </c>
      <c r="L2482" s="213" t="str">
        <f>IFERROR(__xludf.DUMMYFUNCTION("""COMPUTED_VALUE"""),"")</f>
        <v/>
      </c>
      <c r="M2482" s="213">
        <f>IFERROR(__xludf.DUMMYFUNCTION("""COMPUTED_VALUE"""),1.0)</f>
        <v>1</v>
      </c>
      <c r="N2482" s="213">
        <f>IFERROR(__xludf.DUMMYFUNCTION("""COMPUTED_VALUE"""),2.0)</f>
        <v>2</v>
      </c>
      <c r="O2482" s="213">
        <f>IFERROR(__xludf.DUMMYFUNCTION("""COMPUTED_VALUE"""),2.0)</f>
        <v>2</v>
      </c>
      <c r="P2482" s="213"/>
      <c r="Q2482" s="213"/>
      <c r="R2482" s="213"/>
      <c r="S2482" s="213"/>
      <c r="T2482" s="213"/>
      <c r="U2482" s="213"/>
      <c r="V2482" s="213"/>
      <c r="W2482" s="213"/>
      <c r="X2482" s="213"/>
      <c r="Y2482" s="213"/>
      <c r="Z2482" s="213"/>
      <c r="AA2482" s="213"/>
      <c r="AB2482" s="213"/>
      <c r="AC2482" s="213"/>
      <c r="AD2482" s="213"/>
      <c r="AE2482" s="213"/>
      <c r="AF2482" s="213"/>
      <c r="AG2482" s="213"/>
      <c r="AH2482" s="213"/>
      <c r="AI2482" s="213"/>
      <c r="AJ2482" s="213"/>
      <c r="AK2482" s="213"/>
      <c r="AL2482" s="213"/>
      <c r="AM2482" s="213"/>
      <c r="AN2482" s="213"/>
      <c r="AO2482" s="213"/>
      <c r="AP2482" s="213"/>
      <c r="AQ2482" s="213"/>
      <c r="AR2482" s="213"/>
      <c r="AS2482" s="213"/>
      <c r="AT2482" s="213"/>
      <c r="AU2482" s="213"/>
      <c r="AV2482" s="213"/>
      <c r="AW2482" s="213"/>
      <c r="AX2482" s="213"/>
      <c r="AY2482" s="213"/>
      <c r="AZ2482" s="213"/>
      <c r="BA2482" s="213"/>
      <c r="BB2482" s="213"/>
      <c r="BC2482" s="213"/>
      <c r="BD2482" s="213"/>
    </row>
    <row r="2483">
      <c r="A2483" s="213">
        <f>IFERROR(__xludf.DUMMYFUNCTION("""COMPUTED_VALUE"""),210.0)</f>
        <v>210</v>
      </c>
      <c r="B2483" s="213" t="str">
        <f>IFERROR(__xludf.DUMMYFUNCTION("""COMPUTED_VALUE"""),"2026 SIMON BOLIVAR")</f>
        <v>2026 SIMON BOLIVAR</v>
      </c>
      <c r="C2483" s="213" t="str">
        <f>IFERROR(__xludf.DUMMYFUNCTION("""COMPUTED_VALUE"""),"TALLER SFT DE INDUSTRIA DEL VESTIDO")</f>
        <v>TALLER SFT DE INDUSTRIA DEL VESTIDO</v>
      </c>
      <c r="D2483" s="213" t="str">
        <f>IFERROR(__xludf.DUMMYFUNCTION("""COMPUTED_VALUE"""),"PEDAGOGICO")</f>
        <v>PEDAGOGICO</v>
      </c>
      <c r="E2483" s="213" t="str">
        <f>IFERROR(__xludf.DUMMYFUNCTION("""COMPUTED_VALUE"""),"MAT-465")</f>
        <v>MAT-465</v>
      </c>
      <c r="F2483" s="213" t="str">
        <f>IFERROR(__xludf.DUMMYFUNCTION("""COMPUTED_VALUE"""),"MAT-465")</f>
        <v>MAT-465</v>
      </c>
      <c r="G2483" s="213"/>
      <c r="H2483" s="213" t="str">
        <f>IFERROR(__xludf.DUMMYFUNCTION("""COMPUTED_VALUE"""),"USB CON INFORMACIÓN DE LOS MANUALES")</f>
        <v>USB CON INFORMACIÓN DE LOS MANUALES</v>
      </c>
      <c r="I2483"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83" s="213">
        <f>IFERROR(__xludf.DUMMYFUNCTION("""COMPUTED_VALUE"""),3.0)</f>
        <v>3</v>
      </c>
      <c r="K2483" s="213" t="str">
        <f>IFERROR(__xludf.DUMMYFUNCTION("""COMPUTED_VALUE"""),"170 DÍAS CALENDARIO")</f>
        <v>170 DÍAS CALENDARIO</v>
      </c>
      <c r="L2483" s="213" t="str">
        <f>IFERROR(__xludf.DUMMYFUNCTION("""COMPUTED_VALUE"""),"")</f>
        <v/>
      </c>
      <c r="M2483" s="213">
        <f>IFERROR(__xludf.DUMMYFUNCTION("""COMPUTED_VALUE"""),1.0)</f>
        <v>1</v>
      </c>
      <c r="N2483" s="213">
        <f>IFERROR(__xludf.DUMMYFUNCTION("""COMPUTED_VALUE"""),2.0)</f>
        <v>2</v>
      </c>
      <c r="O2483" s="213">
        <f>IFERROR(__xludf.DUMMYFUNCTION("""COMPUTED_VALUE"""),2.0)</f>
        <v>2</v>
      </c>
      <c r="P2483" s="213"/>
      <c r="Q2483" s="213"/>
      <c r="R2483" s="213"/>
      <c r="S2483" s="213"/>
      <c r="T2483" s="213"/>
      <c r="U2483" s="213"/>
      <c r="V2483" s="213"/>
      <c r="W2483" s="213"/>
      <c r="X2483" s="213"/>
      <c r="Y2483" s="213"/>
      <c r="Z2483" s="213"/>
      <c r="AA2483" s="213"/>
      <c r="AB2483" s="213"/>
      <c r="AC2483" s="213"/>
      <c r="AD2483" s="213"/>
      <c r="AE2483" s="213"/>
      <c r="AF2483" s="213"/>
      <c r="AG2483" s="213"/>
      <c r="AH2483" s="213"/>
      <c r="AI2483" s="213"/>
      <c r="AJ2483" s="213"/>
      <c r="AK2483" s="213"/>
      <c r="AL2483" s="213"/>
      <c r="AM2483" s="213"/>
      <c r="AN2483" s="213"/>
      <c r="AO2483" s="213"/>
      <c r="AP2483" s="213"/>
      <c r="AQ2483" s="213"/>
      <c r="AR2483" s="213"/>
      <c r="AS2483" s="213"/>
      <c r="AT2483" s="213"/>
      <c r="AU2483" s="213"/>
      <c r="AV2483" s="213"/>
      <c r="AW2483" s="213"/>
      <c r="AX2483" s="213"/>
      <c r="AY2483" s="213"/>
      <c r="AZ2483" s="213"/>
      <c r="BA2483" s="213"/>
      <c r="BB2483" s="213"/>
      <c r="BC2483" s="213"/>
      <c r="BD2483" s="213"/>
    </row>
    <row r="2484">
      <c r="A2484" s="213">
        <f>IFERROR(__xludf.DUMMYFUNCTION("""COMPUTED_VALUE"""),216.0)</f>
        <v>216</v>
      </c>
      <c r="B2484" s="213" t="str">
        <f>IFERROR(__xludf.DUMMYFUNCTION("""COMPUTED_VALUE"""),"2026 SIMON BOLIVAR")</f>
        <v>2026 SIMON BOLIVAR</v>
      </c>
      <c r="C2484" s="213" t="str">
        <f>IFERROR(__xludf.DUMMYFUNCTION("""COMPUTED_VALUE"""),"TALLER SFT DE INDUSTRIA DEL VESTIDO")</f>
        <v>TALLER SFT DE INDUSTRIA DEL VESTIDO</v>
      </c>
      <c r="D2484" s="213" t="str">
        <f>IFERROR(__xludf.DUMMYFUNCTION("""COMPUTED_VALUE"""),"PEDAGOGICO")</f>
        <v>PEDAGOGICO</v>
      </c>
      <c r="E2484" s="213" t="str">
        <f>IFERROR(__xludf.DUMMYFUNCTION("""COMPUTED_VALUE"""),"MAT-465")</f>
        <v>MAT-465</v>
      </c>
      <c r="F2484" s="213" t="str">
        <f>IFERROR(__xludf.DUMMYFUNCTION("""COMPUTED_VALUE"""),"MAT-465")</f>
        <v>MAT-465</v>
      </c>
      <c r="G2484" s="213"/>
      <c r="H2484" s="213" t="str">
        <f>IFERROR(__xludf.DUMMYFUNCTION("""COMPUTED_VALUE"""),"USB CON INFORMACIÓN DE LOS MANUALES")</f>
        <v>USB CON INFORMACIÓN DE LOS MANUALES</v>
      </c>
      <c r="I2484"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84" s="213">
        <f>IFERROR(__xludf.DUMMYFUNCTION("""COMPUTED_VALUE"""),3.0)</f>
        <v>3</v>
      </c>
      <c r="K2484" s="213" t="str">
        <f>IFERROR(__xludf.DUMMYFUNCTION("""COMPUTED_VALUE"""),"170 DÍAS CALENDARIO")</f>
        <v>170 DÍAS CALENDARIO</v>
      </c>
      <c r="L2484" s="213" t="str">
        <f>IFERROR(__xludf.DUMMYFUNCTION("""COMPUTED_VALUE"""),"")</f>
        <v/>
      </c>
      <c r="M2484" s="213">
        <f>IFERROR(__xludf.DUMMYFUNCTION("""COMPUTED_VALUE"""),1.0)</f>
        <v>1</v>
      </c>
      <c r="N2484" s="213">
        <f>IFERROR(__xludf.DUMMYFUNCTION("""COMPUTED_VALUE"""),2.0)</f>
        <v>2</v>
      </c>
      <c r="O2484" s="213">
        <f>IFERROR(__xludf.DUMMYFUNCTION("""COMPUTED_VALUE"""),2.0)</f>
        <v>2</v>
      </c>
      <c r="P2484" s="213"/>
      <c r="Q2484" s="213"/>
      <c r="R2484" s="213"/>
      <c r="S2484" s="213"/>
      <c r="T2484" s="213"/>
      <c r="U2484" s="213"/>
      <c r="V2484" s="213"/>
      <c r="W2484" s="213"/>
      <c r="X2484" s="213"/>
      <c r="Y2484" s="213"/>
      <c r="Z2484" s="213"/>
      <c r="AA2484" s="213"/>
      <c r="AB2484" s="213"/>
      <c r="AC2484" s="213"/>
      <c r="AD2484" s="213"/>
      <c r="AE2484" s="213"/>
      <c r="AF2484" s="213"/>
      <c r="AG2484" s="213"/>
      <c r="AH2484" s="213"/>
      <c r="AI2484" s="213"/>
      <c r="AJ2484" s="213"/>
      <c r="AK2484" s="213"/>
      <c r="AL2484" s="213"/>
      <c r="AM2484" s="213"/>
      <c r="AN2484" s="213"/>
      <c r="AO2484" s="213"/>
      <c r="AP2484" s="213"/>
      <c r="AQ2484" s="213"/>
      <c r="AR2484" s="213"/>
      <c r="AS2484" s="213"/>
      <c r="AT2484" s="213"/>
      <c r="AU2484" s="213"/>
      <c r="AV2484" s="213"/>
      <c r="AW2484" s="213"/>
      <c r="AX2484" s="213"/>
      <c r="AY2484" s="213"/>
      <c r="AZ2484" s="213"/>
      <c r="BA2484" s="213"/>
      <c r="BB2484" s="213"/>
      <c r="BC2484" s="213"/>
      <c r="BD2484" s="213"/>
    </row>
    <row r="2485">
      <c r="A2485" s="213">
        <f>IFERROR(__xludf.DUMMYFUNCTION("""COMPUTED_VALUE"""),230.0)</f>
        <v>230</v>
      </c>
      <c r="B2485" s="213" t="str">
        <f>IFERROR(__xludf.DUMMYFUNCTION("""COMPUTED_VALUE"""),"2026 SIMON BOLIVAR")</f>
        <v>2026 SIMON BOLIVAR</v>
      </c>
      <c r="C2485" s="213" t="str">
        <f>IFERROR(__xludf.DUMMYFUNCTION("""COMPUTED_VALUE"""),"TALLER SFT DE INDUSTRIA DEL VESTIDO")</f>
        <v>TALLER SFT DE INDUSTRIA DEL VESTIDO</v>
      </c>
      <c r="D2485" s="213" t="str">
        <f>IFERROR(__xludf.DUMMYFUNCTION("""COMPUTED_VALUE"""),"PEDAGOGICO")</f>
        <v>PEDAGOGICO</v>
      </c>
      <c r="E2485" s="213" t="str">
        <f>IFERROR(__xludf.DUMMYFUNCTION("""COMPUTED_VALUE"""),"MAT-464")</f>
        <v>MAT-464</v>
      </c>
      <c r="F2485" s="213" t="str">
        <f>IFERROR(__xludf.DUMMYFUNCTION("""COMPUTED_VALUE"""),"MAT-464")</f>
        <v>MAT-464</v>
      </c>
      <c r="G2485" s="213"/>
      <c r="H2485" s="213" t="str">
        <f>IFERROR(__xludf.DUMMYFUNCTION("""COMPUTED_VALUE"""),"USB CON INFORMACIÓN DE LOS MANUALES")</f>
        <v>USB CON INFORMACIÓN DE LOS MANUALES</v>
      </c>
      <c r="I2485" s="213"/>
      <c r="J2485" s="213">
        <f>IFERROR(__xludf.DUMMYFUNCTION("""COMPUTED_VALUE"""),3.0)</f>
        <v>3</v>
      </c>
      <c r="K2485" s="213" t="str">
        <f>IFERROR(__xludf.DUMMYFUNCTION("""COMPUTED_VALUE"""),"170 DÍAS CALENDARIO")</f>
        <v>170 DÍAS CALENDARIO</v>
      </c>
      <c r="L2485" s="213" t="str">
        <f>IFERROR(__xludf.DUMMYFUNCTION("""COMPUTED_VALUE"""),"")</f>
        <v/>
      </c>
      <c r="M2485" s="213">
        <f>IFERROR(__xludf.DUMMYFUNCTION("""COMPUTED_VALUE"""),1.0)</f>
        <v>1</v>
      </c>
      <c r="N2485" s="213">
        <f>IFERROR(__xludf.DUMMYFUNCTION("""COMPUTED_VALUE"""),2.0)</f>
        <v>2</v>
      </c>
      <c r="O2485" s="213">
        <f>IFERROR(__xludf.DUMMYFUNCTION("""COMPUTED_VALUE"""),2.0)</f>
        <v>2</v>
      </c>
      <c r="P2485" s="213"/>
      <c r="Q2485" s="213"/>
      <c r="R2485" s="213"/>
      <c r="S2485" s="213"/>
      <c r="T2485" s="213"/>
      <c r="U2485" s="213"/>
      <c r="V2485" s="213"/>
      <c r="W2485" s="213"/>
      <c r="X2485" s="213"/>
      <c r="Y2485" s="213"/>
      <c r="Z2485" s="213"/>
      <c r="AA2485" s="213"/>
      <c r="AB2485" s="213"/>
      <c r="AC2485" s="213"/>
      <c r="AD2485" s="213"/>
      <c r="AE2485" s="213"/>
      <c r="AF2485" s="213"/>
      <c r="AG2485" s="213"/>
      <c r="AH2485" s="213"/>
      <c r="AI2485" s="213"/>
      <c r="AJ2485" s="213"/>
      <c r="AK2485" s="213"/>
      <c r="AL2485" s="213"/>
      <c r="AM2485" s="213"/>
      <c r="AN2485" s="213"/>
      <c r="AO2485" s="213"/>
      <c r="AP2485" s="213"/>
      <c r="AQ2485" s="213"/>
      <c r="AR2485" s="213"/>
      <c r="AS2485" s="213"/>
      <c r="AT2485" s="213"/>
      <c r="AU2485" s="213"/>
      <c r="AV2485" s="213"/>
      <c r="AW2485" s="213"/>
      <c r="AX2485" s="213"/>
      <c r="AY2485" s="213"/>
      <c r="AZ2485" s="213"/>
      <c r="BA2485" s="213"/>
      <c r="BB2485" s="213"/>
      <c r="BC2485" s="213"/>
      <c r="BD2485" s="213"/>
    </row>
    <row r="2486">
      <c r="A2486" s="213">
        <f>IFERROR(__xludf.DUMMYFUNCTION("""COMPUTED_VALUE"""),297.0)</f>
        <v>297</v>
      </c>
      <c r="B2486" s="213" t="str">
        <f>IFERROR(__xludf.DUMMYFUNCTION("""COMPUTED_VALUE"""),"2026 SIMON BOLIVAR")</f>
        <v>2026 SIMON BOLIVAR</v>
      </c>
      <c r="C2486" s="213" t="str">
        <f>IFERROR(__xludf.DUMMYFUNCTION("""COMPUTED_VALUE"""),"TALLER SFT DE COMPUTACIÓN E INFORMÁTICA")</f>
        <v>TALLER SFT DE COMPUTACIÓN E INFORMÁTICA</v>
      </c>
      <c r="D2486" s="213" t="str">
        <f>IFERROR(__xludf.DUMMYFUNCTION("""COMPUTED_VALUE"""),"PEDAGOGICO")</f>
        <v>PEDAGOGICO</v>
      </c>
      <c r="E2486" s="213" t="str">
        <f>IFERROR(__xludf.DUMMYFUNCTION("""COMPUTED_VALUE"""),"MAT-465")</f>
        <v>MAT-465</v>
      </c>
      <c r="F2486" s="213" t="str">
        <f>IFERROR(__xludf.DUMMYFUNCTION("""COMPUTED_VALUE"""),"MAT-465")</f>
        <v>MAT-465</v>
      </c>
      <c r="G2486" s="213"/>
      <c r="H2486" s="213" t="str">
        <f>IFERROR(__xludf.DUMMYFUNCTION("""COMPUTED_VALUE"""),"USB CON INFORMACIÓN DE LOS MANUALES")</f>
        <v>USB CON INFORMACIÓN DE LOS MANUALES</v>
      </c>
      <c r="I2486"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86" s="213">
        <f>IFERROR(__xludf.DUMMYFUNCTION("""COMPUTED_VALUE"""),3.0)</f>
        <v>3</v>
      </c>
      <c r="K2486" s="213" t="str">
        <f>IFERROR(__xludf.DUMMYFUNCTION("""COMPUTED_VALUE"""),"170 DÍAS CALENDARIO")</f>
        <v>170 DÍAS CALENDARIO</v>
      </c>
      <c r="L2486" s="213" t="str">
        <f>IFERROR(__xludf.DUMMYFUNCTION("""COMPUTED_VALUE"""),"")</f>
        <v/>
      </c>
      <c r="M2486" s="213">
        <f>IFERROR(__xludf.DUMMYFUNCTION("""COMPUTED_VALUE"""),1.0)</f>
        <v>1</v>
      </c>
      <c r="N2486" s="213">
        <f>IFERROR(__xludf.DUMMYFUNCTION("""COMPUTED_VALUE"""),2.0)</f>
        <v>2</v>
      </c>
      <c r="O2486" s="213">
        <f>IFERROR(__xludf.DUMMYFUNCTION("""COMPUTED_VALUE"""),2.0)</f>
        <v>2</v>
      </c>
      <c r="P2486" s="213"/>
      <c r="Q2486" s="213"/>
      <c r="R2486" s="213"/>
      <c r="S2486" s="213"/>
      <c r="T2486" s="213"/>
      <c r="U2486" s="213"/>
      <c r="V2486" s="213"/>
      <c r="W2486" s="213"/>
      <c r="X2486" s="213"/>
      <c r="Y2486" s="213"/>
      <c r="Z2486" s="213"/>
      <c r="AA2486" s="213"/>
      <c r="AB2486" s="213"/>
      <c r="AC2486" s="213"/>
      <c r="AD2486" s="213"/>
      <c r="AE2486" s="213"/>
      <c r="AF2486" s="213"/>
      <c r="AG2486" s="213"/>
      <c r="AH2486" s="213"/>
      <c r="AI2486" s="213"/>
      <c r="AJ2486" s="213"/>
      <c r="AK2486" s="213"/>
      <c r="AL2486" s="213"/>
      <c r="AM2486" s="213"/>
      <c r="AN2486" s="213"/>
      <c r="AO2486" s="213"/>
      <c r="AP2486" s="213"/>
      <c r="AQ2486" s="213"/>
      <c r="AR2486" s="213"/>
      <c r="AS2486" s="213"/>
      <c r="AT2486" s="213"/>
      <c r="AU2486" s="213"/>
      <c r="AV2486" s="213"/>
      <c r="AW2486" s="213"/>
      <c r="AX2486" s="213"/>
      <c r="AY2486" s="213"/>
      <c r="AZ2486" s="213"/>
      <c r="BA2486" s="213"/>
      <c r="BB2486" s="213"/>
      <c r="BC2486" s="213"/>
      <c r="BD2486" s="213"/>
    </row>
    <row r="2487">
      <c r="A2487" s="213">
        <f>IFERROR(__xludf.DUMMYFUNCTION("""COMPUTED_VALUE"""),303.0)</f>
        <v>303</v>
      </c>
      <c r="B2487" s="213" t="str">
        <f>IFERROR(__xludf.DUMMYFUNCTION("""COMPUTED_VALUE"""),"2026 SIMON BOLIVAR")</f>
        <v>2026 SIMON BOLIVAR</v>
      </c>
      <c r="C2487" s="213" t="str">
        <f>IFERROR(__xludf.DUMMYFUNCTION("""COMPUTED_VALUE"""),"TALLER SFT DE COMPUTACIÓN E INFORMÁTICA")</f>
        <v>TALLER SFT DE COMPUTACIÓN E INFORMÁTICA</v>
      </c>
      <c r="D2487" s="213" t="str">
        <f>IFERROR(__xludf.DUMMYFUNCTION("""COMPUTED_VALUE"""),"PEDAGOGICO")</f>
        <v>PEDAGOGICO</v>
      </c>
      <c r="E2487" s="213" t="str">
        <f>IFERROR(__xludf.DUMMYFUNCTION("""COMPUTED_VALUE"""),"MAT-465")</f>
        <v>MAT-465</v>
      </c>
      <c r="F2487" s="213" t="str">
        <f>IFERROR(__xludf.DUMMYFUNCTION("""COMPUTED_VALUE"""),"MAT-465")</f>
        <v>MAT-465</v>
      </c>
      <c r="G2487" s="213"/>
      <c r="H2487" s="213" t="str">
        <f>IFERROR(__xludf.DUMMYFUNCTION("""COMPUTED_VALUE"""),"USB CON INFORMACIÓN DE LOS MANUALES")</f>
        <v>USB CON INFORMACIÓN DE LOS MANUALES</v>
      </c>
      <c r="I2487"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87" s="213">
        <f>IFERROR(__xludf.DUMMYFUNCTION("""COMPUTED_VALUE"""),3.0)</f>
        <v>3</v>
      </c>
      <c r="K2487" s="213" t="str">
        <f>IFERROR(__xludf.DUMMYFUNCTION("""COMPUTED_VALUE"""),"170 DÍAS CALENDARIO")</f>
        <v>170 DÍAS CALENDARIO</v>
      </c>
      <c r="L2487" s="213" t="str">
        <f>IFERROR(__xludf.DUMMYFUNCTION("""COMPUTED_VALUE"""),"")</f>
        <v/>
      </c>
      <c r="M2487" s="213">
        <f>IFERROR(__xludf.DUMMYFUNCTION("""COMPUTED_VALUE"""),1.0)</f>
        <v>1</v>
      </c>
      <c r="N2487" s="213">
        <f>IFERROR(__xludf.DUMMYFUNCTION("""COMPUTED_VALUE"""),2.0)</f>
        <v>2</v>
      </c>
      <c r="O2487" s="213">
        <f>IFERROR(__xludf.DUMMYFUNCTION("""COMPUTED_VALUE"""),2.0)</f>
        <v>2</v>
      </c>
      <c r="P2487" s="213"/>
      <c r="Q2487" s="213"/>
      <c r="R2487" s="213"/>
      <c r="S2487" s="213"/>
      <c r="T2487" s="213"/>
      <c r="U2487" s="213"/>
      <c r="V2487" s="213"/>
      <c r="W2487" s="213"/>
      <c r="X2487" s="213"/>
      <c r="Y2487" s="213"/>
      <c r="Z2487" s="213"/>
      <c r="AA2487" s="213"/>
      <c r="AB2487" s="213"/>
      <c r="AC2487" s="213"/>
      <c r="AD2487" s="213"/>
      <c r="AE2487" s="213"/>
      <c r="AF2487" s="213"/>
      <c r="AG2487" s="213"/>
      <c r="AH2487" s="213"/>
      <c r="AI2487" s="213"/>
      <c r="AJ2487" s="213"/>
      <c r="AK2487" s="213"/>
      <c r="AL2487" s="213"/>
      <c r="AM2487" s="213"/>
      <c r="AN2487" s="213"/>
      <c r="AO2487" s="213"/>
      <c r="AP2487" s="213"/>
      <c r="AQ2487" s="213"/>
      <c r="AR2487" s="213"/>
      <c r="AS2487" s="213"/>
      <c r="AT2487" s="213"/>
      <c r="AU2487" s="213"/>
      <c r="AV2487" s="213"/>
      <c r="AW2487" s="213"/>
      <c r="AX2487" s="213"/>
      <c r="AY2487" s="213"/>
      <c r="AZ2487" s="213"/>
      <c r="BA2487" s="213"/>
      <c r="BB2487" s="213"/>
      <c r="BC2487" s="213"/>
      <c r="BD2487" s="213"/>
    </row>
    <row r="2488">
      <c r="A2488" s="213">
        <f>IFERROR(__xludf.DUMMYFUNCTION("""COMPUTED_VALUE"""),307.0)</f>
        <v>307</v>
      </c>
      <c r="B2488" s="213" t="str">
        <f>IFERROR(__xludf.DUMMYFUNCTION("""COMPUTED_VALUE"""),"2026 SIMON BOLIVAR")</f>
        <v>2026 SIMON BOLIVAR</v>
      </c>
      <c r="C2488" s="213" t="str">
        <f>IFERROR(__xludf.DUMMYFUNCTION("""COMPUTED_VALUE"""),"TALLER SFT DE COMPUTACIÓN E INFORMÁTICA")</f>
        <v>TALLER SFT DE COMPUTACIÓN E INFORMÁTICA</v>
      </c>
      <c r="D2488" s="213" t="str">
        <f>IFERROR(__xludf.DUMMYFUNCTION("""COMPUTED_VALUE"""),"PEDAGOGICO")</f>
        <v>PEDAGOGICO</v>
      </c>
      <c r="E2488" s="213" t="str">
        <f>IFERROR(__xludf.DUMMYFUNCTION("""COMPUTED_VALUE"""),"MAT-465")</f>
        <v>MAT-465</v>
      </c>
      <c r="F2488" s="213" t="str">
        <f>IFERROR(__xludf.DUMMYFUNCTION("""COMPUTED_VALUE"""),"MAT-465")</f>
        <v>MAT-465</v>
      </c>
      <c r="G2488" s="213"/>
      <c r="H2488" s="213" t="str">
        <f>IFERROR(__xludf.DUMMYFUNCTION("""COMPUTED_VALUE"""),"USB CON INFORMACIÓN DE LOS MANUALES")</f>
        <v>USB CON INFORMACIÓN DE LOS MANUALES</v>
      </c>
      <c r="I248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88" s="213">
        <f>IFERROR(__xludf.DUMMYFUNCTION("""COMPUTED_VALUE"""),3.0)</f>
        <v>3</v>
      </c>
      <c r="K2488" s="213" t="str">
        <f>IFERROR(__xludf.DUMMYFUNCTION("""COMPUTED_VALUE"""),"170 DÍAS CALENDARIO")</f>
        <v>170 DÍAS CALENDARIO</v>
      </c>
      <c r="L2488" s="213" t="str">
        <f>IFERROR(__xludf.DUMMYFUNCTION("""COMPUTED_VALUE"""),"")</f>
        <v/>
      </c>
      <c r="M2488" s="213">
        <f>IFERROR(__xludf.DUMMYFUNCTION("""COMPUTED_VALUE"""),1.0)</f>
        <v>1</v>
      </c>
      <c r="N2488" s="213">
        <f>IFERROR(__xludf.DUMMYFUNCTION("""COMPUTED_VALUE"""),2.0)</f>
        <v>2</v>
      </c>
      <c r="O2488" s="213">
        <f>IFERROR(__xludf.DUMMYFUNCTION("""COMPUTED_VALUE"""),2.0)</f>
        <v>2</v>
      </c>
      <c r="P2488" s="213"/>
      <c r="Q2488" s="213"/>
      <c r="R2488" s="213"/>
      <c r="S2488" s="213"/>
      <c r="T2488" s="213"/>
      <c r="U2488" s="213"/>
      <c r="V2488" s="213"/>
      <c r="W2488" s="213"/>
      <c r="X2488" s="213"/>
      <c r="Y2488" s="213"/>
      <c r="Z2488" s="213"/>
      <c r="AA2488" s="213"/>
      <c r="AB2488" s="213"/>
      <c r="AC2488" s="213"/>
      <c r="AD2488" s="213"/>
      <c r="AE2488" s="213"/>
      <c r="AF2488" s="213"/>
      <c r="AG2488" s="213"/>
      <c r="AH2488" s="213"/>
      <c r="AI2488" s="213"/>
      <c r="AJ2488" s="213"/>
      <c r="AK2488" s="213"/>
      <c r="AL2488" s="213"/>
      <c r="AM2488" s="213"/>
      <c r="AN2488" s="213"/>
      <c r="AO2488" s="213"/>
      <c r="AP2488" s="213"/>
      <c r="AQ2488" s="213"/>
      <c r="AR2488" s="213"/>
      <c r="AS2488" s="213"/>
      <c r="AT2488" s="213"/>
      <c r="AU2488" s="213"/>
      <c r="AV2488" s="213"/>
      <c r="AW2488" s="213"/>
      <c r="AX2488" s="213"/>
      <c r="AY2488" s="213"/>
      <c r="AZ2488" s="213"/>
      <c r="BA2488" s="213"/>
      <c r="BB2488" s="213"/>
      <c r="BC2488" s="213"/>
      <c r="BD2488" s="213"/>
    </row>
    <row r="2489">
      <c r="A2489" s="213">
        <f>IFERROR(__xludf.DUMMYFUNCTION("""COMPUTED_VALUE"""),312.0)</f>
        <v>312</v>
      </c>
      <c r="B2489" s="213" t="str">
        <f>IFERROR(__xludf.DUMMYFUNCTION("""COMPUTED_VALUE"""),"2026 SIMON BOLIVAR")</f>
        <v>2026 SIMON BOLIVAR</v>
      </c>
      <c r="C2489" s="213" t="str">
        <f>IFERROR(__xludf.DUMMYFUNCTION("""COMPUTED_VALUE"""),"TALLER SFT DE COMPUTACIÓN E INFORMÁTICA")</f>
        <v>TALLER SFT DE COMPUTACIÓN E INFORMÁTICA</v>
      </c>
      <c r="D2489" s="213" t="str">
        <f>IFERROR(__xludf.DUMMYFUNCTION("""COMPUTED_VALUE"""),"PEDAGOGICO")</f>
        <v>PEDAGOGICO</v>
      </c>
      <c r="E2489" s="213" t="str">
        <f>IFERROR(__xludf.DUMMYFUNCTION("""COMPUTED_VALUE"""),"MAT-465")</f>
        <v>MAT-465</v>
      </c>
      <c r="F2489" s="213" t="str">
        <f>IFERROR(__xludf.DUMMYFUNCTION("""COMPUTED_VALUE"""),"MAT-465")</f>
        <v>MAT-465</v>
      </c>
      <c r="G2489" s="213"/>
      <c r="H2489" s="213" t="str">
        <f>IFERROR(__xludf.DUMMYFUNCTION("""COMPUTED_VALUE"""),"USB CON INFORMACIÓN DE LOS MANUALES")</f>
        <v>USB CON INFORMACIÓN DE LOS MANUALES</v>
      </c>
      <c r="I2489"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89" s="213">
        <f>IFERROR(__xludf.DUMMYFUNCTION("""COMPUTED_VALUE"""),3.0)</f>
        <v>3</v>
      </c>
      <c r="K2489" s="213" t="str">
        <f>IFERROR(__xludf.DUMMYFUNCTION("""COMPUTED_VALUE"""),"170 DÍAS CALENDARIO")</f>
        <v>170 DÍAS CALENDARIO</v>
      </c>
      <c r="L2489" s="213" t="str">
        <f>IFERROR(__xludf.DUMMYFUNCTION("""COMPUTED_VALUE"""),"")</f>
        <v/>
      </c>
      <c r="M2489" s="213">
        <f>IFERROR(__xludf.DUMMYFUNCTION("""COMPUTED_VALUE"""),1.0)</f>
        <v>1</v>
      </c>
      <c r="N2489" s="213">
        <f>IFERROR(__xludf.DUMMYFUNCTION("""COMPUTED_VALUE"""),2.0)</f>
        <v>2</v>
      </c>
      <c r="O2489" s="213">
        <f>IFERROR(__xludf.DUMMYFUNCTION("""COMPUTED_VALUE"""),2.0)</f>
        <v>2</v>
      </c>
      <c r="P2489" s="213"/>
      <c r="Q2489" s="213"/>
      <c r="R2489" s="213"/>
      <c r="S2489" s="213"/>
      <c r="T2489" s="213"/>
      <c r="U2489" s="213"/>
      <c r="V2489" s="213"/>
      <c r="W2489" s="213"/>
      <c r="X2489" s="213"/>
      <c r="Y2489" s="213"/>
      <c r="Z2489" s="213"/>
      <c r="AA2489" s="213"/>
      <c r="AB2489" s="213"/>
      <c r="AC2489" s="213"/>
      <c r="AD2489" s="213"/>
      <c r="AE2489" s="213"/>
      <c r="AF2489" s="213"/>
      <c r="AG2489" s="213"/>
      <c r="AH2489" s="213"/>
      <c r="AI2489" s="213"/>
      <c r="AJ2489" s="213"/>
      <c r="AK2489" s="213"/>
      <c r="AL2489" s="213"/>
      <c r="AM2489" s="213"/>
      <c r="AN2489" s="213"/>
      <c r="AO2489" s="213"/>
      <c r="AP2489" s="213"/>
      <c r="AQ2489" s="213"/>
      <c r="AR2489" s="213"/>
      <c r="AS2489" s="213"/>
      <c r="AT2489" s="213"/>
      <c r="AU2489" s="213"/>
      <c r="AV2489" s="213"/>
      <c r="AW2489" s="213"/>
      <c r="AX2489" s="213"/>
      <c r="AY2489" s="213"/>
      <c r="AZ2489" s="213"/>
      <c r="BA2489" s="213"/>
      <c r="BB2489" s="213"/>
      <c r="BC2489" s="213"/>
      <c r="BD2489" s="213"/>
    </row>
    <row r="2490">
      <c r="A2490" s="213">
        <f>IFERROR(__xludf.DUMMYFUNCTION("""COMPUTED_VALUE"""),320.0)</f>
        <v>320</v>
      </c>
      <c r="B2490" s="213" t="str">
        <f>IFERROR(__xludf.DUMMYFUNCTION("""COMPUTED_VALUE"""),"2026 SIMON BOLIVAR")</f>
        <v>2026 SIMON BOLIVAR</v>
      </c>
      <c r="C2490" s="213" t="str">
        <f>IFERROR(__xludf.DUMMYFUNCTION("""COMPUTED_VALUE"""),"TALLER SFT DE COMPUTACIÓN E INFORMÁTICA")</f>
        <v>TALLER SFT DE COMPUTACIÓN E INFORMÁTICA</v>
      </c>
      <c r="D2490" s="213" t="str">
        <f>IFERROR(__xludf.DUMMYFUNCTION("""COMPUTED_VALUE"""),"PEDAGOGICO")</f>
        <v>PEDAGOGICO</v>
      </c>
      <c r="E2490" s="213" t="str">
        <f>IFERROR(__xludf.DUMMYFUNCTION("""COMPUTED_VALUE"""),"MAT-465")</f>
        <v>MAT-465</v>
      </c>
      <c r="F2490" s="213" t="str">
        <f>IFERROR(__xludf.DUMMYFUNCTION("""COMPUTED_VALUE"""),"MAT-465")</f>
        <v>MAT-465</v>
      </c>
      <c r="G2490" s="213"/>
      <c r="H2490" s="213" t="str">
        <f>IFERROR(__xludf.DUMMYFUNCTION("""COMPUTED_VALUE"""),"USB CON INFORMACIÓN DE LOS MANUALES")</f>
        <v>USB CON INFORMACIÓN DE LOS MANUALES</v>
      </c>
      <c r="I2490"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90" s="213">
        <f>IFERROR(__xludf.DUMMYFUNCTION("""COMPUTED_VALUE"""),3.0)</f>
        <v>3</v>
      </c>
      <c r="K2490" s="213" t="str">
        <f>IFERROR(__xludf.DUMMYFUNCTION("""COMPUTED_VALUE"""),"170 DÍAS CALENDARIO")</f>
        <v>170 DÍAS CALENDARIO</v>
      </c>
      <c r="L2490" s="213" t="str">
        <f>IFERROR(__xludf.DUMMYFUNCTION("""COMPUTED_VALUE"""),"")</f>
        <v/>
      </c>
      <c r="M2490" s="213">
        <f>IFERROR(__xludf.DUMMYFUNCTION("""COMPUTED_VALUE"""),1.0)</f>
        <v>1</v>
      </c>
      <c r="N2490" s="213">
        <f>IFERROR(__xludf.DUMMYFUNCTION("""COMPUTED_VALUE"""),2.0)</f>
        <v>2</v>
      </c>
      <c r="O2490" s="213">
        <f>IFERROR(__xludf.DUMMYFUNCTION("""COMPUTED_VALUE"""),2.0)</f>
        <v>2</v>
      </c>
      <c r="P2490" s="213"/>
      <c r="Q2490" s="213"/>
      <c r="R2490" s="213"/>
      <c r="S2490" s="213"/>
      <c r="T2490" s="213"/>
      <c r="U2490" s="213"/>
      <c r="V2490" s="213"/>
      <c r="W2490" s="213"/>
      <c r="X2490" s="213"/>
      <c r="Y2490" s="213"/>
      <c r="Z2490" s="213"/>
      <c r="AA2490" s="213"/>
      <c r="AB2490" s="213"/>
      <c r="AC2490" s="213"/>
      <c r="AD2490" s="213"/>
      <c r="AE2490" s="213"/>
      <c r="AF2490" s="213"/>
      <c r="AG2490" s="213"/>
      <c r="AH2490" s="213"/>
      <c r="AI2490" s="213"/>
      <c r="AJ2490" s="213"/>
      <c r="AK2490" s="213"/>
      <c r="AL2490" s="213"/>
      <c r="AM2490" s="213"/>
      <c r="AN2490" s="213"/>
      <c r="AO2490" s="213"/>
      <c r="AP2490" s="213"/>
      <c r="AQ2490" s="213"/>
      <c r="AR2490" s="213"/>
      <c r="AS2490" s="213"/>
      <c r="AT2490" s="213"/>
      <c r="AU2490" s="213"/>
      <c r="AV2490" s="213"/>
      <c r="AW2490" s="213"/>
      <c r="AX2490" s="213"/>
      <c r="AY2490" s="213"/>
      <c r="AZ2490" s="213"/>
      <c r="BA2490" s="213"/>
      <c r="BB2490" s="213"/>
      <c r="BC2490" s="213"/>
      <c r="BD2490" s="213"/>
    </row>
    <row r="2491">
      <c r="A2491" s="213">
        <f>IFERROR(__xludf.DUMMYFUNCTION("""COMPUTED_VALUE"""),330.0)</f>
        <v>330</v>
      </c>
      <c r="B2491" s="213" t="str">
        <f>IFERROR(__xludf.DUMMYFUNCTION("""COMPUTED_VALUE"""),"2026 SIMON BOLIVAR")</f>
        <v>2026 SIMON BOLIVAR</v>
      </c>
      <c r="C2491" s="213" t="str">
        <f>IFERROR(__xludf.DUMMYFUNCTION("""COMPUTED_VALUE"""),"TALLER SFT DE COMPUTACIÓN E INFORMÁTICA")</f>
        <v>TALLER SFT DE COMPUTACIÓN E INFORMÁTICA</v>
      </c>
      <c r="D2491" s="213" t="str">
        <f>IFERROR(__xludf.DUMMYFUNCTION("""COMPUTED_VALUE"""),"PEDAGOGICO")</f>
        <v>PEDAGOGICO</v>
      </c>
      <c r="E2491" s="213" t="str">
        <f>IFERROR(__xludf.DUMMYFUNCTION("""COMPUTED_VALUE"""),"MAT-465")</f>
        <v>MAT-465</v>
      </c>
      <c r="F2491" s="213" t="str">
        <f>IFERROR(__xludf.DUMMYFUNCTION("""COMPUTED_VALUE"""),"MAT-465")</f>
        <v>MAT-465</v>
      </c>
      <c r="G2491" s="213"/>
      <c r="H2491" s="213" t="str">
        <f>IFERROR(__xludf.DUMMYFUNCTION("""COMPUTED_VALUE"""),"USB CON INFORMACIÓN DE LOS MANUALES")</f>
        <v>USB CON INFORMACIÓN DE LOS MANUALES</v>
      </c>
      <c r="I2491"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91" s="213">
        <f>IFERROR(__xludf.DUMMYFUNCTION("""COMPUTED_VALUE"""),3.0)</f>
        <v>3</v>
      </c>
      <c r="K2491" s="213" t="str">
        <f>IFERROR(__xludf.DUMMYFUNCTION("""COMPUTED_VALUE"""),"170 DÍAS CALENDARIO")</f>
        <v>170 DÍAS CALENDARIO</v>
      </c>
      <c r="L2491" s="213" t="str">
        <f>IFERROR(__xludf.DUMMYFUNCTION("""COMPUTED_VALUE"""),"")</f>
        <v/>
      </c>
      <c r="M2491" s="213">
        <f>IFERROR(__xludf.DUMMYFUNCTION("""COMPUTED_VALUE"""),1.0)</f>
        <v>1</v>
      </c>
      <c r="N2491" s="213">
        <f>IFERROR(__xludf.DUMMYFUNCTION("""COMPUTED_VALUE"""),2.0)</f>
        <v>2</v>
      </c>
      <c r="O2491" s="213">
        <f>IFERROR(__xludf.DUMMYFUNCTION("""COMPUTED_VALUE"""),2.0)</f>
        <v>2</v>
      </c>
      <c r="P2491" s="213"/>
      <c r="Q2491" s="213"/>
      <c r="R2491" s="213"/>
      <c r="S2491" s="213"/>
      <c r="T2491" s="213"/>
      <c r="U2491" s="213"/>
      <c r="V2491" s="213"/>
      <c r="W2491" s="213"/>
      <c r="X2491" s="213"/>
      <c r="Y2491" s="213"/>
      <c r="Z2491" s="213"/>
      <c r="AA2491" s="213"/>
      <c r="AB2491" s="213"/>
      <c r="AC2491" s="213"/>
      <c r="AD2491" s="213"/>
      <c r="AE2491" s="213"/>
      <c r="AF2491" s="213"/>
      <c r="AG2491" s="213"/>
      <c r="AH2491" s="213"/>
      <c r="AI2491" s="213"/>
      <c r="AJ2491" s="213"/>
      <c r="AK2491" s="213"/>
      <c r="AL2491" s="213"/>
      <c r="AM2491" s="213"/>
      <c r="AN2491" s="213"/>
      <c r="AO2491" s="213"/>
      <c r="AP2491" s="213"/>
      <c r="AQ2491" s="213"/>
      <c r="AR2491" s="213"/>
      <c r="AS2491" s="213"/>
      <c r="AT2491" s="213"/>
      <c r="AU2491" s="213"/>
      <c r="AV2491" s="213"/>
      <c r="AW2491" s="213"/>
      <c r="AX2491" s="213"/>
      <c r="AY2491" s="213"/>
      <c r="AZ2491" s="213"/>
      <c r="BA2491" s="213"/>
      <c r="BB2491" s="213"/>
      <c r="BC2491" s="213"/>
      <c r="BD2491" s="213"/>
    </row>
    <row r="2492">
      <c r="A2492" s="213">
        <f>IFERROR(__xludf.DUMMYFUNCTION("""COMPUTED_VALUE"""),377.0)</f>
        <v>377</v>
      </c>
      <c r="B2492" s="213" t="str">
        <f>IFERROR(__xludf.DUMMYFUNCTION("""COMPUTED_VALUE"""),"2026 SIMON BOLIVAR")</f>
        <v>2026 SIMON BOLIVAR</v>
      </c>
      <c r="C2492" s="213" t="str">
        <f>IFERROR(__xludf.DUMMYFUNCTION("""COMPUTED_VALUE"""),"TALLER SFT DE ELECTRICIDAD")</f>
        <v>TALLER SFT DE ELECTRICIDAD</v>
      </c>
      <c r="D2492" s="213" t="str">
        <f>IFERROR(__xludf.DUMMYFUNCTION("""COMPUTED_VALUE"""),"PEDAGOGICO")</f>
        <v>PEDAGOGICO</v>
      </c>
      <c r="E2492" s="213" t="str">
        <f>IFERROR(__xludf.DUMMYFUNCTION("""COMPUTED_VALUE"""),"MAT-464")</f>
        <v>MAT-464</v>
      </c>
      <c r="F2492" s="213" t="str">
        <f>IFERROR(__xludf.DUMMYFUNCTION("""COMPUTED_VALUE"""),"MAT-464")</f>
        <v>MAT-464</v>
      </c>
      <c r="G2492" s="213"/>
      <c r="H2492" s="213" t="str">
        <f>IFERROR(__xludf.DUMMYFUNCTION("""COMPUTED_VALUE"""),"USB CON INFORMACIÓN DE LOS MANUALES")</f>
        <v>USB CON INFORMACIÓN DE LOS MANUALES</v>
      </c>
      <c r="I2492"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92" s="213">
        <f>IFERROR(__xludf.DUMMYFUNCTION("""COMPUTED_VALUE"""),3.0)</f>
        <v>3</v>
      </c>
      <c r="K2492" s="213" t="str">
        <f>IFERROR(__xludf.DUMMYFUNCTION("""COMPUTED_VALUE"""),"170 DÍAS CALENDARIO")</f>
        <v>170 DÍAS CALENDARIO</v>
      </c>
      <c r="L2492" s="213" t="str">
        <f>IFERROR(__xludf.DUMMYFUNCTION("""COMPUTED_VALUE"""),"")</f>
        <v/>
      </c>
      <c r="M2492" s="213">
        <f>IFERROR(__xludf.DUMMYFUNCTION("""COMPUTED_VALUE"""),1.0)</f>
        <v>1</v>
      </c>
      <c r="N2492" s="213">
        <f>IFERROR(__xludf.DUMMYFUNCTION("""COMPUTED_VALUE"""),2.0)</f>
        <v>2</v>
      </c>
      <c r="O2492" s="213">
        <f>IFERROR(__xludf.DUMMYFUNCTION("""COMPUTED_VALUE"""),2.0)</f>
        <v>2</v>
      </c>
      <c r="P2492" s="213"/>
      <c r="Q2492" s="213"/>
      <c r="R2492" s="213"/>
      <c r="S2492" s="213"/>
      <c r="T2492" s="213"/>
      <c r="U2492" s="213"/>
      <c r="V2492" s="213"/>
      <c r="W2492" s="213"/>
      <c r="X2492" s="213"/>
      <c r="Y2492" s="213"/>
      <c r="Z2492" s="213"/>
      <c r="AA2492" s="213"/>
      <c r="AB2492" s="213"/>
      <c r="AC2492" s="213"/>
      <c r="AD2492" s="213"/>
      <c r="AE2492" s="213"/>
      <c r="AF2492" s="213"/>
      <c r="AG2492" s="213"/>
      <c r="AH2492" s="213"/>
      <c r="AI2492" s="213"/>
      <c r="AJ2492" s="213"/>
      <c r="AK2492" s="213"/>
      <c r="AL2492" s="213"/>
      <c r="AM2492" s="213"/>
      <c r="AN2492" s="213"/>
      <c r="AO2492" s="213"/>
      <c r="AP2492" s="213"/>
      <c r="AQ2492" s="213"/>
      <c r="AR2492" s="213"/>
      <c r="AS2492" s="213"/>
      <c r="AT2492" s="213"/>
      <c r="AU2492" s="213"/>
      <c r="AV2492" s="213"/>
      <c r="AW2492" s="213"/>
      <c r="AX2492" s="213"/>
      <c r="AY2492" s="213"/>
      <c r="AZ2492" s="213"/>
      <c r="BA2492" s="213"/>
      <c r="BB2492" s="213"/>
      <c r="BC2492" s="213"/>
      <c r="BD2492" s="213"/>
    </row>
    <row r="2493">
      <c r="A2493" s="213">
        <f>IFERROR(__xludf.DUMMYFUNCTION("""COMPUTED_VALUE"""),383.0)</f>
        <v>383</v>
      </c>
      <c r="B2493" s="213" t="str">
        <f>IFERROR(__xludf.DUMMYFUNCTION("""COMPUTED_VALUE"""),"2026 SIMON BOLIVAR")</f>
        <v>2026 SIMON BOLIVAR</v>
      </c>
      <c r="C2493" s="213" t="str">
        <f>IFERROR(__xludf.DUMMYFUNCTION("""COMPUTED_VALUE"""),"TALLER SFT DE ELECTRICIDAD")</f>
        <v>TALLER SFT DE ELECTRICIDAD</v>
      </c>
      <c r="D2493" s="213" t="str">
        <f>IFERROR(__xludf.DUMMYFUNCTION("""COMPUTED_VALUE"""),"PEDAGOGICO")</f>
        <v>PEDAGOGICO</v>
      </c>
      <c r="E2493" s="213" t="str">
        <f>IFERROR(__xludf.DUMMYFUNCTION("""COMPUTED_VALUE"""),"MAT-465")</f>
        <v>MAT-465</v>
      </c>
      <c r="F2493" s="213" t="str">
        <f>IFERROR(__xludf.DUMMYFUNCTION("""COMPUTED_VALUE"""),"MAT-465")</f>
        <v>MAT-465</v>
      </c>
      <c r="G2493" s="213"/>
      <c r="H2493" s="213" t="str">
        <f>IFERROR(__xludf.DUMMYFUNCTION("""COMPUTED_VALUE"""),"USB CON INFORMACIÓN DE LOS MANUALES")</f>
        <v>USB CON INFORMACIÓN DE LOS MANUALES</v>
      </c>
      <c r="I2493" s="213"/>
      <c r="J2493" s="213">
        <f>IFERROR(__xludf.DUMMYFUNCTION("""COMPUTED_VALUE"""),3.0)</f>
        <v>3</v>
      </c>
      <c r="K2493" s="213" t="str">
        <f>IFERROR(__xludf.DUMMYFUNCTION("""COMPUTED_VALUE"""),"170 DÍAS CALENDARIO")</f>
        <v>170 DÍAS CALENDARIO</v>
      </c>
      <c r="L2493" s="213" t="str">
        <f>IFERROR(__xludf.DUMMYFUNCTION("""COMPUTED_VALUE"""),"")</f>
        <v/>
      </c>
      <c r="M2493" s="213">
        <f>IFERROR(__xludf.DUMMYFUNCTION("""COMPUTED_VALUE"""),1.0)</f>
        <v>1</v>
      </c>
      <c r="N2493" s="213">
        <f>IFERROR(__xludf.DUMMYFUNCTION("""COMPUTED_VALUE"""),2.0)</f>
        <v>2</v>
      </c>
      <c r="O2493" s="213">
        <f>IFERROR(__xludf.DUMMYFUNCTION("""COMPUTED_VALUE"""),2.0)</f>
        <v>2</v>
      </c>
      <c r="P2493" s="213"/>
      <c r="Q2493" s="213"/>
      <c r="R2493" s="213"/>
      <c r="S2493" s="213"/>
      <c r="T2493" s="213"/>
      <c r="U2493" s="213"/>
      <c r="V2493" s="213"/>
      <c r="W2493" s="213"/>
      <c r="X2493" s="213"/>
      <c r="Y2493" s="213"/>
      <c r="Z2493" s="213"/>
      <c r="AA2493" s="213"/>
      <c r="AB2493" s="213"/>
      <c r="AC2493" s="213"/>
      <c r="AD2493" s="213"/>
      <c r="AE2493" s="213"/>
      <c r="AF2493" s="213"/>
      <c r="AG2493" s="213"/>
      <c r="AH2493" s="213"/>
      <c r="AI2493" s="213"/>
      <c r="AJ2493" s="213"/>
      <c r="AK2493" s="213"/>
      <c r="AL2493" s="213"/>
      <c r="AM2493" s="213"/>
      <c r="AN2493" s="213"/>
      <c r="AO2493" s="213"/>
      <c r="AP2493" s="213"/>
      <c r="AQ2493" s="213"/>
      <c r="AR2493" s="213"/>
      <c r="AS2493" s="213"/>
      <c r="AT2493" s="213"/>
      <c r="AU2493" s="213"/>
      <c r="AV2493" s="213"/>
      <c r="AW2493" s="213"/>
      <c r="AX2493" s="213"/>
      <c r="AY2493" s="213"/>
      <c r="AZ2493" s="213"/>
      <c r="BA2493" s="213"/>
      <c r="BB2493" s="213"/>
      <c r="BC2493" s="213"/>
      <c r="BD2493" s="213"/>
    </row>
    <row r="2494">
      <c r="A2494" s="213">
        <f>IFERROR(__xludf.DUMMYFUNCTION("""COMPUTED_VALUE"""),574.0)</f>
        <v>574</v>
      </c>
      <c r="B2494" s="213" t="str">
        <f>IFERROR(__xludf.DUMMYFUNCTION("""COMPUTED_VALUE"""),"2026 SIMON BOLIVAR")</f>
        <v>2026 SIMON BOLIVAR</v>
      </c>
      <c r="C2494" s="213" t="str">
        <f>IFERROR(__xludf.DUMMYFUNCTION("""COMPUTED_VALUE"""),"TALLER SFT DE INDUSTRIA ALIMENTARIA")</f>
        <v>TALLER SFT DE INDUSTRIA ALIMENTARIA</v>
      </c>
      <c r="D2494" s="213" t="str">
        <f>IFERROR(__xludf.DUMMYFUNCTION("""COMPUTED_VALUE"""),"PEDAGOGICO")</f>
        <v>PEDAGOGICO</v>
      </c>
      <c r="E2494" s="213" t="str">
        <f>IFERROR(__xludf.DUMMYFUNCTION("""COMPUTED_VALUE"""),"MAT-465")</f>
        <v>MAT-465</v>
      </c>
      <c r="F2494" s="213" t="str">
        <f>IFERROR(__xludf.DUMMYFUNCTION("""COMPUTED_VALUE"""),"MAT-465")</f>
        <v>MAT-465</v>
      </c>
      <c r="G2494" s="213"/>
      <c r="H2494" s="213" t="str">
        <f>IFERROR(__xludf.DUMMYFUNCTION("""COMPUTED_VALUE"""),"USB CON INFORMACIÓN DE LOS MANUALES")</f>
        <v>USB CON INFORMACIÓN DE LOS MANUALES</v>
      </c>
      <c r="I2494"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94" s="213">
        <f>IFERROR(__xludf.DUMMYFUNCTION("""COMPUTED_VALUE"""),3.0)</f>
        <v>3</v>
      </c>
      <c r="K2494" s="213" t="str">
        <f>IFERROR(__xludf.DUMMYFUNCTION("""COMPUTED_VALUE"""),"170 DÍAS CALENDARIO")</f>
        <v>170 DÍAS CALENDARIO</v>
      </c>
      <c r="L2494" s="213" t="str">
        <f>IFERROR(__xludf.DUMMYFUNCTION("""COMPUTED_VALUE"""),"")</f>
        <v/>
      </c>
      <c r="M2494" s="213">
        <f>IFERROR(__xludf.DUMMYFUNCTION("""COMPUTED_VALUE"""),1.0)</f>
        <v>1</v>
      </c>
      <c r="N2494" s="213">
        <f>IFERROR(__xludf.DUMMYFUNCTION("""COMPUTED_VALUE"""),2.0)</f>
        <v>2</v>
      </c>
      <c r="O2494" s="213">
        <f>IFERROR(__xludf.DUMMYFUNCTION("""COMPUTED_VALUE"""),2.0)</f>
        <v>2</v>
      </c>
      <c r="P2494" s="213"/>
      <c r="Q2494" s="213"/>
      <c r="R2494" s="213"/>
      <c r="S2494" s="213"/>
      <c r="T2494" s="213"/>
      <c r="U2494" s="213"/>
      <c r="V2494" s="213"/>
      <c r="W2494" s="213"/>
      <c r="X2494" s="213"/>
      <c r="Y2494" s="213"/>
      <c r="Z2494" s="213"/>
      <c r="AA2494" s="213"/>
      <c r="AB2494" s="213"/>
      <c r="AC2494" s="213"/>
      <c r="AD2494" s="213"/>
      <c r="AE2494" s="213"/>
      <c r="AF2494" s="213"/>
      <c r="AG2494" s="213"/>
      <c r="AH2494" s="213"/>
      <c r="AI2494" s="213"/>
      <c r="AJ2494" s="213"/>
      <c r="AK2494" s="213"/>
      <c r="AL2494" s="213"/>
      <c r="AM2494" s="213"/>
      <c r="AN2494" s="213"/>
      <c r="AO2494" s="213"/>
      <c r="AP2494" s="213"/>
      <c r="AQ2494" s="213"/>
      <c r="AR2494" s="213"/>
      <c r="AS2494" s="213"/>
      <c r="AT2494" s="213"/>
      <c r="AU2494" s="213"/>
      <c r="AV2494" s="213"/>
      <c r="AW2494" s="213"/>
      <c r="AX2494" s="213"/>
      <c r="AY2494" s="213"/>
      <c r="AZ2494" s="213"/>
      <c r="BA2494" s="213"/>
      <c r="BB2494" s="213"/>
      <c r="BC2494" s="213"/>
      <c r="BD2494" s="213"/>
    </row>
    <row r="2495">
      <c r="A2495" s="213">
        <f>IFERROR(__xludf.DUMMYFUNCTION("""COMPUTED_VALUE"""),580.0)</f>
        <v>580</v>
      </c>
      <c r="B2495" s="213" t="str">
        <f>IFERROR(__xludf.DUMMYFUNCTION("""COMPUTED_VALUE"""),"2026 SIMON BOLIVAR")</f>
        <v>2026 SIMON BOLIVAR</v>
      </c>
      <c r="C2495" s="213" t="str">
        <f>IFERROR(__xludf.DUMMYFUNCTION("""COMPUTED_VALUE"""),"TALLER SFT DE INDUSTRIA ALIMENTARIA")</f>
        <v>TALLER SFT DE INDUSTRIA ALIMENTARIA</v>
      </c>
      <c r="D2495" s="213" t="str">
        <f>IFERROR(__xludf.DUMMYFUNCTION("""COMPUTED_VALUE"""),"PEDAGOGICO")</f>
        <v>PEDAGOGICO</v>
      </c>
      <c r="E2495" s="213" t="str">
        <f>IFERROR(__xludf.DUMMYFUNCTION("""COMPUTED_VALUE"""),"MAT-465")</f>
        <v>MAT-465</v>
      </c>
      <c r="F2495" s="213" t="str">
        <f>IFERROR(__xludf.DUMMYFUNCTION("""COMPUTED_VALUE"""),"MAT-465")</f>
        <v>MAT-465</v>
      </c>
      <c r="G2495" s="213"/>
      <c r="H2495" s="213" t="str">
        <f>IFERROR(__xludf.DUMMYFUNCTION("""COMPUTED_VALUE"""),"USB CON INFORMACIÓN DE LOS MANUALES")</f>
        <v>USB CON INFORMACIÓN DE LOS MANUALES</v>
      </c>
      <c r="I2495"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95" s="213">
        <f>IFERROR(__xludf.DUMMYFUNCTION("""COMPUTED_VALUE"""),3.0)</f>
        <v>3</v>
      </c>
      <c r="K2495" s="213" t="str">
        <f>IFERROR(__xludf.DUMMYFUNCTION("""COMPUTED_VALUE"""),"170 DÍAS CALENDARIO")</f>
        <v>170 DÍAS CALENDARIO</v>
      </c>
      <c r="L2495" s="213" t="str">
        <f>IFERROR(__xludf.DUMMYFUNCTION("""COMPUTED_VALUE"""),"")</f>
        <v/>
      </c>
      <c r="M2495" s="213">
        <f>IFERROR(__xludf.DUMMYFUNCTION("""COMPUTED_VALUE"""),1.0)</f>
        <v>1</v>
      </c>
      <c r="N2495" s="213">
        <f>IFERROR(__xludf.DUMMYFUNCTION("""COMPUTED_VALUE"""),2.0)</f>
        <v>2</v>
      </c>
      <c r="O2495" s="213">
        <f>IFERROR(__xludf.DUMMYFUNCTION("""COMPUTED_VALUE"""),2.0)</f>
        <v>2</v>
      </c>
      <c r="P2495" s="213"/>
      <c r="Q2495" s="213"/>
      <c r="R2495" s="213"/>
      <c r="S2495" s="213"/>
      <c r="T2495" s="213"/>
      <c r="U2495" s="213"/>
      <c r="V2495" s="213"/>
      <c r="W2495" s="213"/>
      <c r="X2495" s="213"/>
      <c r="Y2495" s="213"/>
      <c r="Z2495" s="213"/>
      <c r="AA2495" s="213"/>
      <c r="AB2495" s="213"/>
      <c r="AC2495" s="213"/>
      <c r="AD2495" s="213"/>
      <c r="AE2495" s="213"/>
      <c r="AF2495" s="213"/>
      <c r="AG2495" s="213"/>
      <c r="AH2495" s="213"/>
      <c r="AI2495" s="213"/>
      <c r="AJ2495" s="213"/>
      <c r="AK2495" s="213"/>
      <c r="AL2495" s="213"/>
      <c r="AM2495" s="213"/>
      <c r="AN2495" s="213"/>
      <c r="AO2495" s="213"/>
      <c r="AP2495" s="213"/>
      <c r="AQ2495" s="213"/>
      <c r="AR2495" s="213"/>
      <c r="AS2495" s="213"/>
      <c r="AT2495" s="213"/>
      <c r="AU2495" s="213"/>
      <c r="AV2495" s="213"/>
      <c r="AW2495" s="213"/>
      <c r="AX2495" s="213"/>
      <c r="AY2495" s="213"/>
      <c r="AZ2495" s="213"/>
      <c r="BA2495" s="213"/>
      <c r="BB2495" s="213"/>
      <c r="BC2495" s="213"/>
      <c r="BD2495" s="213"/>
    </row>
    <row r="2496">
      <c r="A2496" s="213">
        <f>IFERROR(__xludf.DUMMYFUNCTION("""COMPUTED_VALUE"""),585.0)</f>
        <v>585</v>
      </c>
      <c r="B2496" s="213" t="str">
        <f>IFERROR(__xludf.DUMMYFUNCTION("""COMPUTED_VALUE"""),"2026 SIMON BOLIVAR")</f>
        <v>2026 SIMON BOLIVAR</v>
      </c>
      <c r="C2496" s="213" t="str">
        <f>IFERROR(__xludf.DUMMYFUNCTION("""COMPUTED_VALUE"""),"TALLER SFT DE INDUSTRIA ALIMENTARIA")</f>
        <v>TALLER SFT DE INDUSTRIA ALIMENTARIA</v>
      </c>
      <c r="D2496" s="213" t="str">
        <f>IFERROR(__xludf.DUMMYFUNCTION("""COMPUTED_VALUE"""),"PEDAGOGICO")</f>
        <v>PEDAGOGICO</v>
      </c>
      <c r="E2496" s="213" t="str">
        <f>IFERROR(__xludf.DUMMYFUNCTION("""COMPUTED_VALUE"""),"MAT-465")</f>
        <v>MAT-465</v>
      </c>
      <c r="F2496" s="213" t="str">
        <f>IFERROR(__xludf.DUMMYFUNCTION("""COMPUTED_VALUE"""),"MAT-465")</f>
        <v>MAT-465</v>
      </c>
      <c r="G2496" s="213"/>
      <c r="H2496" s="213" t="str">
        <f>IFERROR(__xludf.DUMMYFUNCTION("""COMPUTED_VALUE"""),"USB CON INFORMACIÓN DE LOS MANUALES")</f>
        <v>USB CON INFORMACIÓN DE LOS MANUALES</v>
      </c>
      <c r="I2496"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96" s="213">
        <f>IFERROR(__xludf.DUMMYFUNCTION("""COMPUTED_VALUE"""),3.0)</f>
        <v>3</v>
      </c>
      <c r="K2496" s="213" t="str">
        <f>IFERROR(__xludf.DUMMYFUNCTION("""COMPUTED_VALUE"""),"170 DÍAS CALENDARIO")</f>
        <v>170 DÍAS CALENDARIO</v>
      </c>
      <c r="L2496" s="213" t="str">
        <f>IFERROR(__xludf.DUMMYFUNCTION("""COMPUTED_VALUE"""),"")</f>
        <v/>
      </c>
      <c r="M2496" s="213">
        <f>IFERROR(__xludf.DUMMYFUNCTION("""COMPUTED_VALUE"""),1.0)</f>
        <v>1</v>
      </c>
      <c r="N2496" s="213">
        <f>IFERROR(__xludf.DUMMYFUNCTION("""COMPUTED_VALUE"""),2.0)</f>
        <v>2</v>
      </c>
      <c r="O2496" s="213">
        <f>IFERROR(__xludf.DUMMYFUNCTION("""COMPUTED_VALUE"""),2.0)</f>
        <v>2</v>
      </c>
      <c r="P2496" s="213"/>
      <c r="Q2496" s="213"/>
      <c r="R2496" s="213"/>
      <c r="S2496" s="213"/>
      <c r="T2496" s="213"/>
      <c r="U2496" s="213"/>
      <c r="V2496" s="213"/>
      <c r="W2496" s="213"/>
      <c r="X2496" s="213"/>
      <c r="Y2496" s="213"/>
      <c r="Z2496" s="213"/>
      <c r="AA2496" s="213"/>
      <c r="AB2496" s="213"/>
      <c r="AC2496" s="213"/>
      <c r="AD2496" s="213"/>
      <c r="AE2496" s="213"/>
      <c r="AF2496" s="213"/>
      <c r="AG2496" s="213"/>
      <c r="AH2496" s="213"/>
      <c r="AI2496" s="213"/>
      <c r="AJ2496" s="213"/>
      <c r="AK2496" s="213"/>
      <c r="AL2496" s="213"/>
      <c r="AM2496" s="213"/>
      <c r="AN2496" s="213"/>
      <c r="AO2496" s="213"/>
      <c r="AP2496" s="213"/>
      <c r="AQ2496" s="213"/>
      <c r="AR2496" s="213"/>
      <c r="AS2496" s="213"/>
      <c r="AT2496" s="213"/>
      <c r="AU2496" s="213"/>
      <c r="AV2496" s="213"/>
      <c r="AW2496" s="213"/>
      <c r="AX2496" s="213"/>
      <c r="AY2496" s="213"/>
      <c r="AZ2496" s="213"/>
      <c r="BA2496" s="213"/>
      <c r="BB2496" s="213"/>
      <c r="BC2496" s="213"/>
      <c r="BD2496" s="213"/>
    </row>
    <row r="2497">
      <c r="A2497" s="213">
        <f>IFERROR(__xludf.DUMMYFUNCTION("""COMPUTED_VALUE"""),590.0)</f>
        <v>590</v>
      </c>
      <c r="B2497" s="213" t="str">
        <f>IFERROR(__xludf.DUMMYFUNCTION("""COMPUTED_VALUE"""),"2026 SIMON BOLIVAR")</f>
        <v>2026 SIMON BOLIVAR</v>
      </c>
      <c r="C2497" s="213" t="str">
        <f>IFERROR(__xludf.DUMMYFUNCTION("""COMPUTED_VALUE"""),"TALLER SFT DE INDUSTRIA ALIMENTARIA")</f>
        <v>TALLER SFT DE INDUSTRIA ALIMENTARIA</v>
      </c>
      <c r="D2497" s="213" t="str">
        <f>IFERROR(__xludf.DUMMYFUNCTION("""COMPUTED_VALUE"""),"PEDAGOGICO")</f>
        <v>PEDAGOGICO</v>
      </c>
      <c r="E2497" s="213" t="str">
        <f>IFERROR(__xludf.DUMMYFUNCTION("""COMPUTED_VALUE"""),"MAT-465")</f>
        <v>MAT-465</v>
      </c>
      <c r="F2497" s="213" t="str">
        <f>IFERROR(__xludf.DUMMYFUNCTION("""COMPUTED_VALUE"""),"MAT-465")</f>
        <v>MAT-465</v>
      </c>
      <c r="G2497" s="213"/>
      <c r="H2497" s="213" t="str">
        <f>IFERROR(__xludf.DUMMYFUNCTION("""COMPUTED_VALUE"""),"USB CON INFORMACIÓN DE LOS MANUALES")</f>
        <v>USB CON INFORMACIÓN DE LOS MANUALES</v>
      </c>
      <c r="I2497"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97" s="213">
        <f>IFERROR(__xludf.DUMMYFUNCTION("""COMPUTED_VALUE"""),3.0)</f>
        <v>3</v>
      </c>
      <c r="K2497" s="213" t="str">
        <f>IFERROR(__xludf.DUMMYFUNCTION("""COMPUTED_VALUE"""),"170 DÍAS CALENDARIO")</f>
        <v>170 DÍAS CALENDARIO</v>
      </c>
      <c r="L2497" s="213" t="str">
        <f>IFERROR(__xludf.DUMMYFUNCTION("""COMPUTED_VALUE"""),"")</f>
        <v/>
      </c>
      <c r="M2497" s="213">
        <f>IFERROR(__xludf.DUMMYFUNCTION("""COMPUTED_VALUE"""),1.0)</f>
        <v>1</v>
      </c>
      <c r="N2497" s="213">
        <f>IFERROR(__xludf.DUMMYFUNCTION("""COMPUTED_VALUE"""),2.0)</f>
        <v>2</v>
      </c>
      <c r="O2497" s="213">
        <f>IFERROR(__xludf.DUMMYFUNCTION("""COMPUTED_VALUE"""),2.0)</f>
        <v>2</v>
      </c>
      <c r="P2497" s="213"/>
      <c r="Q2497" s="213"/>
      <c r="R2497" s="213"/>
      <c r="S2497" s="213"/>
      <c r="T2497" s="213"/>
      <c r="U2497" s="213"/>
      <c r="V2497" s="213"/>
      <c r="W2497" s="213"/>
      <c r="X2497" s="213"/>
      <c r="Y2497" s="213"/>
      <c r="Z2497" s="213"/>
      <c r="AA2497" s="213"/>
      <c r="AB2497" s="213"/>
      <c r="AC2497" s="213"/>
      <c r="AD2497" s="213"/>
      <c r="AE2497" s="213"/>
      <c r="AF2497" s="213"/>
      <c r="AG2497" s="213"/>
      <c r="AH2497" s="213"/>
      <c r="AI2497" s="213"/>
      <c r="AJ2497" s="213"/>
      <c r="AK2497" s="213"/>
      <c r="AL2497" s="213"/>
      <c r="AM2497" s="213"/>
      <c r="AN2497" s="213"/>
      <c r="AO2497" s="213"/>
      <c r="AP2497" s="213"/>
      <c r="AQ2497" s="213"/>
      <c r="AR2497" s="213"/>
      <c r="AS2497" s="213"/>
      <c r="AT2497" s="213"/>
      <c r="AU2497" s="213"/>
      <c r="AV2497" s="213"/>
      <c r="AW2497" s="213"/>
      <c r="AX2497" s="213"/>
      <c r="AY2497" s="213"/>
      <c r="AZ2497" s="213"/>
      <c r="BA2497" s="213"/>
      <c r="BB2497" s="213"/>
      <c r="BC2497" s="213"/>
      <c r="BD2497" s="213"/>
    </row>
    <row r="2498">
      <c r="A2498" s="213">
        <f>IFERROR(__xludf.DUMMYFUNCTION("""COMPUTED_VALUE"""),595.0)</f>
        <v>595</v>
      </c>
      <c r="B2498" s="213" t="str">
        <f>IFERROR(__xludf.DUMMYFUNCTION("""COMPUTED_VALUE"""),"2026 SIMON BOLIVAR")</f>
        <v>2026 SIMON BOLIVAR</v>
      </c>
      <c r="C2498" s="213" t="str">
        <f>IFERROR(__xludf.DUMMYFUNCTION("""COMPUTED_VALUE"""),"TALLER SFT DE INDUSTRIA ALIMENTARIA")</f>
        <v>TALLER SFT DE INDUSTRIA ALIMENTARIA</v>
      </c>
      <c r="D2498" s="213" t="str">
        <f>IFERROR(__xludf.DUMMYFUNCTION("""COMPUTED_VALUE"""),"PEDAGOGICO")</f>
        <v>PEDAGOGICO</v>
      </c>
      <c r="E2498" s="213" t="str">
        <f>IFERROR(__xludf.DUMMYFUNCTION("""COMPUTED_VALUE"""),"MAT-465")</f>
        <v>MAT-465</v>
      </c>
      <c r="F2498" s="213" t="str">
        <f>IFERROR(__xludf.DUMMYFUNCTION("""COMPUTED_VALUE"""),"MAT-465")</f>
        <v>MAT-465</v>
      </c>
      <c r="G2498" s="213"/>
      <c r="H2498" s="213" t="str">
        <f>IFERROR(__xludf.DUMMYFUNCTION("""COMPUTED_VALUE"""),"USB CON INFORMACIÓN DE LOS MANUALES")</f>
        <v>USB CON INFORMACIÓN DE LOS MANUALES</v>
      </c>
      <c r="I249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98" s="213">
        <f>IFERROR(__xludf.DUMMYFUNCTION("""COMPUTED_VALUE"""),3.0)</f>
        <v>3</v>
      </c>
      <c r="K2498" s="213" t="str">
        <f>IFERROR(__xludf.DUMMYFUNCTION("""COMPUTED_VALUE"""),"170 DÍAS CALENDARIO")</f>
        <v>170 DÍAS CALENDARIO</v>
      </c>
      <c r="L2498" s="213" t="str">
        <f>IFERROR(__xludf.DUMMYFUNCTION("""COMPUTED_VALUE"""),"")</f>
        <v/>
      </c>
      <c r="M2498" s="213">
        <f>IFERROR(__xludf.DUMMYFUNCTION("""COMPUTED_VALUE"""),1.0)</f>
        <v>1</v>
      </c>
      <c r="N2498" s="213">
        <f>IFERROR(__xludf.DUMMYFUNCTION("""COMPUTED_VALUE"""),2.0)</f>
        <v>2</v>
      </c>
      <c r="O2498" s="213">
        <f>IFERROR(__xludf.DUMMYFUNCTION("""COMPUTED_VALUE"""),2.0)</f>
        <v>2</v>
      </c>
      <c r="P2498" s="213"/>
      <c r="Q2498" s="213"/>
      <c r="R2498" s="213"/>
      <c r="S2498" s="213"/>
      <c r="T2498" s="213"/>
      <c r="U2498" s="213"/>
      <c r="V2498" s="213"/>
      <c r="W2498" s="213"/>
      <c r="X2498" s="213"/>
      <c r="Y2498" s="213"/>
      <c r="Z2498" s="213"/>
      <c r="AA2498" s="213"/>
      <c r="AB2498" s="213"/>
      <c r="AC2498" s="213"/>
      <c r="AD2498" s="213"/>
      <c r="AE2498" s="213"/>
      <c r="AF2498" s="213"/>
      <c r="AG2498" s="213"/>
      <c r="AH2498" s="213"/>
      <c r="AI2498" s="213"/>
      <c r="AJ2498" s="213"/>
      <c r="AK2498" s="213"/>
      <c r="AL2498" s="213"/>
      <c r="AM2498" s="213"/>
      <c r="AN2498" s="213"/>
      <c r="AO2498" s="213"/>
      <c r="AP2498" s="213"/>
      <c r="AQ2498" s="213"/>
      <c r="AR2498" s="213"/>
      <c r="AS2498" s="213"/>
      <c r="AT2498" s="213"/>
      <c r="AU2498" s="213"/>
      <c r="AV2498" s="213"/>
      <c r="AW2498" s="213"/>
      <c r="AX2498" s="213"/>
      <c r="AY2498" s="213"/>
      <c r="AZ2498" s="213"/>
      <c r="BA2498" s="213"/>
      <c r="BB2498" s="213"/>
      <c r="BC2498" s="213"/>
      <c r="BD2498" s="213"/>
    </row>
    <row r="2499">
      <c r="A2499" s="213">
        <f>IFERROR(__xludf.DUMMYFUNCTION("""COMPUTED_VALUE"""),600.0)</f>
        <v>600</v>
      </c>
      <c r="B2499" s="213" t="str">
        <f>IFERROR(__xludf.DUMMYFUNCTION("""COMPUTED_VALUE"""),"2026 SIMON BOLIVAR")</f>
        <v>2026 SIMON BOLIVAR</v>
      </c>
      <c r="C2499" s="213" t="str">
        <f>IFERROR(__xludf.DUMMYFUNCTION("""COMPUTED_VALUE"""),"TALLER SFT DE INDUSTRIA ALIMENTARIA")</f>
        <v>TALLER SFT DE INDUSTRIA ALIMENTARIA</v>
      </c>
      <c r="D2499" s="213" t="str">
        <f>IFERROR(__xludf.DUMMYFUNCTION("""COMPUTED_VALUE"""),"PEDAGOGICO")</f>
        <v>PEDAGOGICO</v>
      </c>
      <c r="E2499" s="213" t="str">
        <f>IFERROR(__xludf.DUMMYFUNCTION("""COMPUTED_VALUE"""),"MAT-465")</f>
        <v>MAT-465</v>
      </c>
      <c r="F2499" s="213" t="str">
        <f>IFERROR(__xludf.DUMMYFUNCTION("""COMPUTED_VALUE"""),"MAT-465")</f>
        <v>MAT-465</v>
      </c>
      <c r="G2499" s="213"/>
      <c r="H2499" s="213" t="str">
        <f>IFERROR(__xludf.DUMMYFUNCTION("""COMPUTED_VALUE"""),"USB CON INFORMACIÓN DE LOS MANUALES")</f>
        <v>USB CON INFORMACIÓN DE LOS MANUALES</v>
      </c>
      <c r="I2499"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499" s="213">
        <f>IFERROR(__xludf.DUMMYFUNCTION("""COMPUTED_VALUE"""),3.0)</f>
        <v>3</v>
      </c>
      <c r="K2499" s="213" t="str">
        <f>IFERROR(__xludf.DUMMYFUNCTION("""COMPUTED_VALUE"""),"170 DÍAS CALENDARIO")</f>
        <v>170 DÍAS CALENDARIO</v>
      </c>
      <c r="L2499" s="213" t="str">
        <f>IFERROR(__xludf.DUMMYFUNCTION("""COMPUTED_VALUE"""),"")</f>
        <v/>
      </c>
      <c r="M2499" s="213">
        <f>IFERROR(__xludf.DUMMYFUNCTION("""COMPUTED_VALUE"""),1.0)</f>
        <v>1</v>
      </c>
      <c r="N2499" s="213">
        <f>IFERROR(__xludf.DUMMYFUNCTION("""COMPUTED_VALUE"""),2.0)</f>
        <v>2</v>
      </c>
      <c r="O2499" s="213">
        <f>IFERROR(__xludf.DUMMYFUNCTION("""COMPUTED_VALUE"""),2.0)</f>
        <v>2</v>
      </c>
      <c r="P2499" s="213"/>
      <c r="Q2499" s="213"/>
      <c r="R2499" s="213"/>
      <c r="S2499" s="213"/>
      <c r="T2499" s="213"/>
      <c r="U2499" s="213"/>
      <c r="V2499" s="213"/>
      <c r="W2499" s="213"/>
      <c r="X2499" s="213"/>
      <c r="Y2499" s="213"/>
      <c r="Z2499" s="213"/>
      <c r="AA2499" s="213"/>
      <c r="AB2499" s="213"/>
      <c r="AC2499" s="213"/>
      <c r="AD2499" s="213"/>
      <c r="AE2499" s="213"/>
      <c r="AF2499" s="213"/>
      <c r="AG2499" s="213"/>
      <c r="AH2499" s="213"/>
      <c r="AI2499" s="213"/>
      <c r="AJ2499" s="213"/>
      <c r="AK2499" s="213"/>
      <c r="AL2499" s="213"/>
      <c r="AM2499" s="213"/>
      <c r="AN2499" s="213"/>
      <c r="AO2499" s="213"/>
      <c r="AP2499" s="213"/>
      <c r="AQ2499" s="213"/>
      <c r="AR2499" s="213"/>
      <c r="AS2499" s="213"/>
      <c r="AT2499" s="213"/>
      <c r="AU2499" s="213"/>
      <c r="AV2499" s="213"/>
      <c r="AW2499" s="213"/>
      <c r="AX2499" s="213"/>
      <c r="AY2499" s="213"/>
      <c r="AZ2499" s="213"/>
      <c r="BA2499" s="213"/>
      <c r="BB2499" s="213"/>
      <c r="BC2499" s="213"/>
      <c r="BD2499" s="213"/>
    </row>
    <row r="2500">
      <c r="A2500" s="213">
        <f>IFERROR(__xludf.DUMMYFUNCTION("""COMPUTED_VALUE"""),662.0)</f>
        <v>662</v>
      </c>
      <c r="B2500" s="213" t="str">
        <f>IFERROR(__xludf.DUMMYFUNCTION("""COMPUTED_VALUE"""),"6049 RICARDO PALMA")</f>
        <v>6049 RICARDO PALMA</v>
      </c>
      <c r="C2500" s="213" t="str">
        <f>IFERROR(__xludf.DUMMYFUNCTION("""COMPUTED_VALUE"""),"TALLER SFT DE ELECTRÓNICA")</f>
        <v>TALLER SFT DE ELECTRÓNICA</v>
      </c>
      <c r="D2500" s="213" t="str">
        <f>IFERROR(__xludf.DUMMYFUNCTION("""COMPUTED_VALUE"""),"PEDAGOGICO")</f>
        <v>PEDAGOGICO</v>
      </c>
      <c r="E2500" s="213" t="str">
        <f>IFERROR(__xludf.DUMMYFUNCTION("""COMPUTED_VALUE"""),"MAT-464")</f>
        <v>MAT-464</v>
      </c>
      <c r="F2500" s="213" t="str">
        <f>IFERROR(__xludf.DUMMYFUNCTION("""COMPUTED_VALUE"""),"MAT-464")</f>
        <v>MAT-464</v>
      </c>
      <c r="G2500" s="213"/>
      <c r="H2500" s="213" t="str">
        <f>IFERROR(__xludf.DUMMYFUNCTION("""COMPUTED_VALUE"""),"USB CON INFORMACIÓN DE LOS MANUALES")</f>
        <v>USB CON INFORMACIÓN DE LOS MANUALES</v>
      </c>
      <c r="I2500"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Así mismo contiene información complementaria en videos, imágenes y textos digitales sobre identificación de necesidades y problemas del cliente.
· La información y las imágenes tienen calidad de resolución mínima, que no se distorsiona al ser impres"&amp;"a.
· El USB tiene 3 tipos de conectores: para conectarse con la PC, Tablet y móvil (conector USB 3.0, conector micro USB, conector tipo C), o en su defecto se proporciona adicionalmente un conector  (cable) con las 3 posibles conexiones.
· El USB es compa"&amp;"tible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00" s="213">
        <f>IFERROR(__xludf.DUMMYFUNCTION("""COMPUTED_VALUE"""),3.0)</f>
        <v>3</v>
      </c>
      <c r="K2500" s="213" t="str">
        <f>IFERROR(__xludf.DUMMYFUNCTION("""COMPUTED_VALUE"""),"170 DÍAS CALENDARIO")</f>
        <v>170 DÍAS CALENDARIO</v>
      </c>
      <c r="L2500" s="213" t="str">
        <f>IFERROR(__xludf.DUMMYFUNCTION("""COMPUTED_VALUE"""),"")</f>
        <v/>
      </c>
      <c r="M2500" s="213">
        <f>IFERROR(__xludf.DUMMYFUNCTION("""COMPUTED_VALUE"""),1.0)</f>
        <v>1</v>
      </c>
      <c r="N2500" s="213">
        <f>IFERROR(__xludf.DUMMYFUNCTION("""COMPUTED_VALUE"""),2.0)</f>
        <v>2</v>
      </c>
      <c r="O2500" s="213">
        <f>IFERROR(__xludf.DUMMYFUNCTION("""COMPUTED_VALUE"""),2.0)</f>
        <v>2</v>
      </c>
      <c r="P2500" s="213"/>
      <c r="Q2500" s="213"/>
      <c r="R2500" s="213"/>
      <c r="S2500" s="213"/>
      <c r="T2500" s="213"/>
      <c r="U2500" s="213"/>
      <c r="V2500" s="213"/>
      <c r="W2500" s="213"/>
      <c r="X2500" s="213"/>
      <c r="Y2500" s="213"/>
      <c r="Z2500" s="213"/>
      <c r="AA2500" s="213"/>
      <c r="AB2500" s="213"/>
      <c r="AC2500" s="213"/>
      <c r="AD2500" s="213"/>
      <c r="AE2500" s="213"/>
      <c r="AF2500" s="213"/>
      <c r="AG2500" s="213"/>
      <c r="AH2500" s="213"/>
      <c r="AI2500" s="213"/>
      <c r="AJ2500" s="213"/>
      <c r="AK2500" s="213"/>
      <c r="AL2500" s="213"/>
      <c r="AM2500" s="213"/>
      <c r="AN2500" s="213"/>
      <c r="AO2500" s="213"/>
      <c r="AP2500" s="213"/>
      <c r="AQ2500" s="213"/>
      <c r="AR2500" s="213"/>
      <c r="AS2500" s="213"/>
      <c r="AT2500" s="213"/>
      <c r="AU2500" s="213"/>
      <c r="AV2500" s="213"/>
      <c r="AW2500" s="213"/>
      <c r="AX2500" s="213"/>
      <c r="AY2500" s="213"/>
      <c r="AZ2500" s="213"/>
      <c r="BA2500" s="213"/>
      <c r="BB2500" s="213"/>
      <c r="BC2500" s="213"/>
      <c r="BD2500" s="213"/>
    </row>
    <row r="2501">
      <c r="A2501" s="213">
        <f>IFERROR(__xludf.DUMMYFUNCTION("""COMPUTED_VALUE"""),668.0)</f>
        <v>668</v>
      </c>
      <c r="B2501" s="213" t="str">
        <f>IFERROR(__xludf.DUMMYFUNCTION("""COMPUTED_VALUE"""),"6049 RICARDO PALMA")</f>
        <v>6049 RICARDO PALMA</v>
      </c>
      <c r="C2501" s="213" t="str">
        <f>IFERROR(__xludf.DUMMYFUNCTION("""COMPUTED_VALUE"""),"TALLER SFT DE ELECTRÓNICA")</f>
        <v>TALLER SFT DE ELECTRÓNICA</v>
      </c>
      <c r="D2501" s="213" t="str">
        <f>IFERROR(__xludf.DUMMYFUNCTION("""COMPUTED_VALUE"""),"PEDAGOGICO")</f>
        <v>PEDAGOGICO</v>
      </c>
      <c r="E2501" s="213" t="str">
        <f>IFERROR(__xludf.DUMMYFUNCTION("""COMPUTED_VALUE"""),"MAT-465")</f>
        <v>MAT-465</v>
      </c>
      <c r="F2501" s="213" t="str">
        <f>IFERROR(__xludf.DUMMYFUNCTION("""COMPUTED_VALUE"""),"MAT-465")</f>
        <v>MAT-465</v>
      </c>
      <c r="G2501" s="213"/>
      <c r="H2501" s="213" t="str">
        <f>IFERROR(__xludf.DUMMYFUNCTION("""COMPUTED_VALUE"""),"USB CON INFORMACIÓN DE LOS MANUALES")</f>
        <v>USB CON INFORMACIÓN DE LOS MANUALES</v>
      </c>
      <c r="I2501" s="213" t="str">
        <f>IFERROR(__xludf.DUMMYFUNCTION("""COMPUTED_VALUE"""),"· El USB tiene la capacidad de mínimo 32 GB para almacenar los manuales y e información complementaria en videos o textos digitales sobre los equipos de electricidad.
· El USB está contenido en un estuche de plástico transparente o similar.
· El USB conti"&amp;"ene, como resguardo en caso de pérdida: el manual de uso por cada equipo, el manual de mantenimiento por cada equipo, y Manual pedagógico de los equipos de electricidad utilizando el equipo en formato PDF o JPG.
· La información y las imágenes tienen cali"&amp;"dad de resolución mínima, que no se distorsiona al ser impresa.
· El USB tiene 3 tipos de conectores: para conectarse con la PC, Tablet y móvil (conector USB 3.0, conector micro USB, conector tipo C)
· El USB es compatible con iPhone/Android/Windows")</f>
        <v>· El USB tiene la capacidad de mínimo 32 GB para almacenar los manuales y e información complementaria en videos o textos digitales sobre los equipos de electricidad.
· El USB está contenido en un estuche de plástico transparente o similar.
· El USB contiene, como resguardo en caso de pérdida: el manual de uso por cada equipo, el manual de mantenimiento por cada equipo, y Manual pedagógico de los equipos de electricidad utilizando el equipo en formato PDF o JPG.
· La información y las imágenes tienen calidad de resolución mínima, que no se distorsiona al ser impresa.
· El USB tiene 3 tipos de conectores: para conectarse con la PC, Tablet y móvil (conector USB 3.0, conector micro USB, conector tipo C)
· El USB es compatible con iPhone/Android/Windows</v>
      </c>
      <c r="J2501" s="213">
        <f>IFERROR(__xludf.DUMMYFUNCTION("""COMPUTED_VALUE"""),3.0)</f>
        <v>3</v>
      </c>
      <c r="K2501" s="213" t="str">
        <f>IFERROR(__xludf.DUMMYFUNCTION("""COMPUTED_VALUE"""),"170 DÍAS CALENDARIO")</f>
        <v>170 DÍAS CALENDARIO</v>
      </c>
      <c r="L2501" s="213" t="str">
        <f>IFERROR(__xludf.DUMMYFUNCTION("""COMPUTED_VALUE"""),"")</f>
        <v/>
      </c>
      <c r="M2501" s="213">
        <f>IFERROR(__xludf.DUMMYFUNCTION("""COMPUTED_VALUE"""),1.0)</f>
        <v>1</v>
      </c>
      <c r="N2501" s="213">
        <f>IFERROR(__xludf.DUMMYFUNCTION("""COMPUTED_VALUE"""),2.0)</f>
        <v>2</v>
      </c>
      <c r="O2501" s="213">
        <f>IFERROR(__xludf.DUMMYFUNCTION("""COMPUTED_VALUE"""),2.0)</f>
        <v>2</v>
      </c>
      <c r="P2501" s="213"/>
      <c r="Q2501" s="213"/>
      <c r="R2501" s="213"/>
      <c r="S2501" s="213"/>
      <c r="T2501" s="213"/>
      <c r="U2501" s="213"/>
      <c r="V2501" s="213"/>
      <c r="W2501" s="213"/>
      <c r="X2501" s="213"/>
      <c r="Y2501" s="213"/>
      <c r="Z2501" s="213"/>
      <c r="AA2501" s="213"/>
      <c r="AB2501" s="213"/>
      <c r="AC2501" s="213"/>
      <c r="AD2501" s="213"/>
      <c r="AE2501" s="213"/>
      <c r="AF2501" s="213"/>
      <c r="AG2501" s="213"/>
      <c r="AH2501" s="213"/>
      <c r="AI2501" s="213"/>
      <c r="AJ2501" s="213"/>
      <c r="AK2501" s="213"/>
      <c r="AL2501" s="213"/>
      <c r="AM2501" s="213"/>
      <c r="AN2501" s="213"/>
      <c r="AO2501" s="213"/>
      <c r="AP2501" s="213"/>
      <c r="AQ2501" s="213"/>
      <c r="AR2501" s="213"/>
      <c r="AS2501" s="213"/>
      <c r="AT2501" s="213"/>
      <c r="AU2501" s="213"/>
      <c r="AV2501" s="213"/>
      <c r="AW2501" s="213"/>
      <c r="AX2501" s="213"/>
      <c r="AY2501" s="213"/>
      <c r="AZ2501" s="213"/>
      <c r="BA2501" s="213"/>
      <c r="BB2501" s="213"/>
      <c r="BC2501" s="213"/>
      <c r="BD2501" s="213"/>
    </row>
    <row r="2502">
      <c r="A2502" s="213">
        <f>IFERROR(__xludf.DUMMYFUNCTION("""COMPUTED_VALUE"""),673.0)</f>
        <v>673</v>
      </c>
      <c r="B2502" s="213" t="str">
        <f>IFERROR(__xludf.DUMMYFUNCTION("""COMPUTED_VALUE"""),"6049 RICARDO PALMA")</f>
        <v>6049 RICARDO PALMA</v>
      </c>
      <c r="C2502" s="213" t="str">
        <f>IFERROR(__xludf.DUMMYFUNCTION("""COMPUTED_VALUE"""),"TALLER SFT DE ELECTRÓNICA")</f>
        <v>TALLER SFT DE ELECTRÓNICA</v>
      </c>
      <c r="D2502" s="213" t="str">
        <f>IFERROR(__xludf.DUMMYFUNCTION("""COMPUTED_VALUE"""),"PEDAGOGICO")</f>
        <v>PEDAGOGICO</v>
      </c>
      <c r="E2502" s="213" t="str">
        <f>IFERROR(__xludf.DUMMYFUNCTION("""COMPUTED_VALUE"""),"MAT-465")</f>
        <v>MAT-465</v>
      </c>
      <c r="F2502" s="213" t="str">
        <f>IFERROR(__xludf.DUMMYFUNCTION("""COMPUTED_VALUE"""),"MAT-465")</f>
        <v>MAT-465</v>
      </c>
      <c r="G2502" s="213"/>
      <c r="H2502" s="213" t="str">
        <f>IFERROR(__xludf.DUMMYFUNCTION("""COMPUTED_VALUE"""),"USB CON INFORMACIÓN DE LOS MANUALES")</f>
        <v>USB CON INFORMACIÓN DE LOS MANUALES</v>
      </c>
      <c r="I2502" s="213" t="str">
        <f>IFERROR(__xludf.DUMMYFUNCTION("""COMPUTED_VALUE"""),"· El USB tiene la capacidad de mínimo 32 GB para almacenar los manuales y e información complementaria en videos o textos digitales sobre los equipos de electricidad.
· El USB está contenido en un estuche de plástico transparente o similar.
· El USB conti"&amp;"ene, como resguardo en caso de pérdida: el manual de uso por cada equipo, el manual de mantenimiento por cada equipo, y Manual pedagógico de los equipos de electricidad utilizando el equipo en formato PDF o JPG.
· La información y las imágenes tienen cali"&amp;"dad de resolución mínima, que no se distorsiona al ser impresa.
· El USB tiene 3 tipos de conectores: para conectarse con la PC, Tablet y móvil (conector USB 3.0, conector micro USB, conector tipo C)
· El USB es compatible con iPhone/Android/Windows")</f>
        <v>· El USB tiene la capacidad de mínimo 32 GB para almacenar los manuales y e información complementaria en videos o textos digitales sobre los equipos de electricidad.
· El USB está contenido en un estuche de plástico transparente o similar.
· El USB contiene, como resguardo en caso de pérdida: el manual de uso por cada equipo, el manual de mantenimiento por cada equipo, y Manual pedagógico de los equipos de electricidad utilizando el equipo en formato PDF o JPG.
· La información y las imágenes tienen calidad de resolución mínima, que no se distorsiona al ser impresa.
· El USB tiene 3 tipos de conectores: para conectarse con la PC, Tablet y móvil (conector USB 3.0, conector micro USB, conector tipo C)
· El USB es compatible con iPhone/Android/Windows</v>
      </c>
      <c r="J2502" s="213">
        <f>IFERROR(__xludf.DUMMYFUNCTION("""COMPUTED_VALUE"""),3.0)</f>
        <v>3</v>
      </c>
      <c r="K2502" s="213" t="str">
        <f>IFERROR(__xludf.DUMMYFUNCTION("""COMPUTED_VALUE"""),"170 DÍAS CALENDARIO")</f>
        <v>170 DÍAS CALENDARIO</v>
      </c>
      <c r="L2502" s="213" t="str">
        <f>IFERROR(__xludf.DUMMYFUNCTION("""COMPUTED_VALUE"""),"")</f>
        <v/>
      </c>
      <c r="M2502" s="213">
        <f>IFERROR(__xludf.DUMMYFUNCTION("""COMPUTED_VALUE"""),1.0)</f>
        <v>1</v>
      </c>
      <c r="N2502" s="213">
        <f>IFERROR(__xludf.DUMMYFUNCTION("""COMPUTED_VALUE"""),2.0)</f>
        <v>2</v>
      </c>
      <c r="O2502" s="213">
        <f>IFERROR(__xludf.DUMMYFUNCTION("""COMPUTED_VALUE"""),2.0)</f>
        <v>2</v>
      </c>
      <c r="P2502" s="213"/>
      <c r="Q2502" s="213"/>
      <c r="R2502" s="213"/>
      <c r="S2502" s="213"/>
      <c r="T2502" s="213"/>
      <c r="U2502" s="213"/>
      <c r="V2502" s="213"/>
      <c r="W2502" s="213"/>
      <c r="X2502" s="213"/>
      <c r="Y2502" s="213"/>
      <c r="Z2502" s="213"/>
      <c r="AA2502" s="213"/>
      <c r="AB2502" s="213"/>
      <c r="AC2502" s="213"/>
      <c r="AD2502" s="213"/>
      <c r="AE2502" s="213"/>
      <c r="AF2502" s="213"/>
      <c r="AG2502" s="213"/>
      <c r="AH2502" s="213"/>
      <c r="AI2502" s="213"/>
      <c r="AJ2502" s="213"/>
      <c r="AK2502" s="213"/>
      <c r="AL2502" s="213"/>
      <c r="AM2502" s="213"/>
      <c r="AN2502" s="213"/>
      <c r="AO2502" s="213"/>
      <c r="AP2502" s="213"/>
      <c r="AQ2502" s="213"/>
      <c r="AR2502" s="213"/>
      <c r="AS2502" s="213"/>
      <c r="AT2502" s="213"/>
      <c r="AU2502" s="213"/>
      <c r="AV2502" s="213"/>
      <c r="AW2502" s="213"/>
      <c r="AX2502" s="213"/>
      <c r="AY2502" s="213"/>
      <c r="AZ2502" s="213"/>
      <c r="BA2502" s="213"/>
      <c r="BB2502" s="213"/>
      <c r="BC2502" s="213"/>
      <c r="BD2502" s="213"/>
    </row>
    <row r="2503">
      <c r="A2503" s="213">
        <f>IFERROR(__xludf.DUMMYFUNCTION("""COMPUTED_VALUE"""),678.0)</f>
        <v>678</v>
      </c>
      <c r="B2503" s="213" t="str">
        <f>IFERROR(__xludf.DUMMYFUNCTION("""COMPUTED_VALUE"""),"6049 RICARDO PALMA")</f>
        <v>6049 RICARDO PALMA</v>
      </c>
      <c r="C2503" s="213" t="str">
        <f>IFERROR(__xludf.DUMMYFUNCTION("""COMPUTED_VALUE"""),"TALLER SFT DE ELECTRÓNICA")</f>
        <v>TALLER SFT DE ELECTRÓNICA</v>
      </c>
      <c r="D2503" s="213" t="str">
        <f>IFERROR(__xludf.DUMMYFUNCTION("""COMPUTED_VALUE"""),"PEDAGOGICO")</f>
        <v>PEDAGOGICO</v>
      </c>
      <c r="E2503" s="213" t="str">
        <f>IFERROR(__xludf.DUMMYFUNCTION("""COMPUTED_VALUE"""),"MAT-465")</f>
        <v>MAT-465</v>
      </c>
      <c r="F2503" s="213" t="str">
        <f>IFERROR(__xludf.DUMMYFUNCTION("""COMPUTED_VALUE"""),"MAT-465")</f>
        <v>MAT-465</v>
      </c>
      <c r="G2503" s="213"/>
      <c r="H2503" s="213" t="str">
        <f>IFERROR(__xludf.DUMMYFUNCTION("""COMPUTED_VALUE"""),"USB CON INFORMACIÓN DE LOS MANUALES")</f>
        <v>USB CON INFORMACIÓN DE LOS MANUALES</v>
      </c>
      <c r="I2503" s="213" t="str">
        <f>IFERROR(__xludf.DUMMYFUNCTION("""COMPUTED_VALUE"""),"· El USB tiene la capacidad de mínimo 32 GB para almacenar los manuales y e información complementaria en videos o textos digitales sobre los equipos de electricidad.
· El USB está contenido en un estuche de plástico transparente o similar.
· El USB conti"&amp;"ene, como resguardo en caso de pérdida: el manual de uso por cada equipo, el manual de mantenimiento por cada equipo, y Manual pedagógico de los equipos de electricidad utilizando el equipo en formato PDF o JPG.
· La información y las imágenes tienen cali"&amp;"dad de resolución mínima, que no se distorsiona al ser impresa.
· El USB tiene 3 tipos de conectores: para conectarse con la PC, Tablet y móvil (conector USB 3.0, conector micro USB, conector tipo C)
· El USB es compatible con iPhone/Android/Windows")</f>
        <v>· El USB tiene la capacidad de mínimo 32 GB para almacenar los manuales y e información complementaria en videos o textos digitales sobre los equipos de electricidad.
· El USB está contenido en un estuche de plástico transparente o similar.
· El USB contiene, como resguardo en caso de pérdida: el manual de uso por cada equipo, el manual de mantenimiento por cada equipo, y Manual pedagógico de los equipos de electricidad utilizando el equipo en formato PDF o JPG.
· La información y las imágenes tienen calidad de resolución mínima, que no se distorsiona al ser impresa.
· El USB tiene 3 tipos de conectores: para conectarse con la PC, Tablet y móvil (conector USB 3.0, conector micro USB, conector tipo C)
· El USB es compatible con iPhone/Android/Windows</v>
      </c>
      <c r="J2503" s="213">
        <f>IFERROR(__xludf.DUMMYFUNCTION("""COMPUTED_VALUE"""),3.0)</f>
        <v>3</v>
      </c>
      <c r="K2503" s="213" t="str">
        <f>IFERROR(__xludf.DUMMYFUNCTION("""COMPUTED_VALUE"""),"170 DÍAS CALENDARIO")</f>
        <v>170 DÍAS CALENDARIO</v>
      </c>
      <c r="L2503" s="213" t="str">
        <f>IFERROR(__xludf.DUMMYFUNCTION("""COMPUTED_VALUE"""),"")</f>
        <v/>
      </c>
      <c r="M2503" s="213">
        <f>IFERROR(__xludf.DUMMYFUNCTION("""COMPUTED_VALUE"""),1.0)</f>
        <v>1</v>
      </c>
      <c r="N2503" s="213">
        <f>IFERROR(__xludf.DUMMYFUNCTION("""COMPUTED_VALUE"""),2.0)</f>
        <v>2</v>
      </c>
      <c r="O2503" s="213">
        <f>IFERROR(__xludf.DUMMYFUNCTION("""COMPUTED_VALUE"""),2.0)</f>
        <v>2</v>
      </c>
      <c r="P2503" s="213"/>
      <c r="Q2503" s="213"/>
      <c r="R2503" s="213"/>
      <c r="S2503" s="213"/>
      <c r="T2503" s="213"/>
      <c r="U2503" s="213"/>
      <c r="V2503" s="213"/>
      <c r="W2503" s="213"/>
      <c r="X2503" s="213"/>
      <c r="Y2503" s="213"/>
      <c r="Z2503" s="213"/>
      <c r="AA2503" s="213"/>
      <c r="AB2503" s="213"/>
      <c r="AC2503" s="213"/>
      <c r="AD2503" s="213"/>
      <c r="AE2503" s="213"/>
      <c r="AF2503" s="213"/>
      <c r="AG2503" s="213"/>
      <c r="AH2503" s="213"/>
      <c r="AI2503" s="213"/>
      <c r="AJ2503" s="213"/>
      <c r="AK2503" s="213"/>
      <c r="AL2503" s="213"/>
      <c r="AM2503" s="213"/>
      <c r="AN2503" s="213"/>
      <c r="AO2503" s="213"/>
      <c r="AP2503" s="213"/>
      <c r="AQ2503" s="213"/>
      <c r="AR2503" s="213"/>
      <c r="AS2503" s="213"/>
      <c r="AT2503" s="213"/>
      <c r="AU2503" s="213"/>
      <c r="AV2503" s="213"/>
      <c r="AW2503" s="213"/>
      <c r="AX2503" s="213"/>
      <c r="AY2503" s="213"/>
      <c r="AZ2503" s="213"/>
      <c r="BA2503" s="213"/>
      <c r="BB2503" s="213"/>
      <c r="BC2503" s="213"/>
      <c r="BD2503" s="213"/>
    </row>
    <row r="2504">
      <c r="A2504" s="213">
        <f>IFERROR(__xludf.DUMMYFUNCTION("""COMPUTED_VALUE"""),684.0)</f>
        <v>684</v>
      </c>
      <c r="B2504" s="213" t="str">
        <f>IFERROR(__xludf.DUMMYFUNCTION("""COMPUTED_VALUE"""),"6049 RICARDO PALMA")</f>
        <v>6049 RICARDO PALMA</v>
      </c>
      <c r="C2504" s="213" t="str">
        <f>IFERROR(__xludf.DUMMYFUNCTION("""COMPUTED_VALUE"""),"TALLER SFT DE ELECTRÓNICA")</f>
        <v>TALLER SFT DE ELECTRÓNICA</v>
      </c>
      <c r="D2504" s="213" t="str">
        <f>IFERROR(__xludf.DUMMYFUNCTION("""COMPUTED_VALUE"""),"PEDAGOGICO")</f>
        <v>PEDAGOGICO</v>
      </c>
      <c r="E2504" s="213" t="str">
        <f>IFERROR(__xludf.DUMMYFUNCTION("""COMPUTED_VALUE"""),"MAT-465")</f>
        <v>MAT-465</v>
      </c>
      <c r="F2504" s="213" t="str">
        <f>IFERROR(__xludf.DUMMYFUNCTION("""COMPUTED_VALUE"""),"MAT-465")</f>
        <v>MAT-465</v>
      </c>
      <c r="G2504" s="213"/>
      <c r="H2504" s="213" t="str">
        <f>IFERROR(__xludf.DUMMYFUNCTION("""COMPUTED_VALUE"""),"USB CON INFORMACIÓN DE LOS MANUALES")</f>
        <v>USB CON INFORMACIÓN DE LOS MANUALES</v>
      </c>
      <c r="I2504" s="213" t="str">
        <f>IFERROR(__xludf.DUMMYFUNCTION("""COMPUTED_VALUE"""),"· El USB tiene la capacidad de mínimo 32 GB para almacenar los manuales y e información complementaria en videos o textos digitales sobre los equipos de electricidad.
· El USB está contenido en un estuche de plástico transparente o similar.
· El USB conti"&amp;"ene, como resguardo en caso de pérdida: el manual de uso por cada equipo, el manual de mantenimiento por cada equipo, y Manual pedagógico de los equipos de electricidad utilizando el equipo en formato PDF o JPG.
· La información y las imágenes tienen cali"&amp;"dad de resolución mínima, que no se distorsiona al ser impresa.
· El USB tiene 3 tipos de conectores: para conectarse con la PC, Tablet y móvil (conector USB 3.0, conector micro USB, conector tipo C)
· El USB es compatible con iPhone/Android/Windows")</f>
        <v>· El USB tiene la capacidad de mínimo 32 GB para almacenar los manuales y e información complementaria en videos o textos digitales sobre los equipos de electricidad.
· El USB está contenido en un estuche de plástico transparente o similar.
· El USB contiene, como resguardo en caso de pérdida: el manual de uso por cada equipo, el manual de mantenimiento por cada equipo, y Manual pedagógico de los equipos de electricidad utilizando el equipo en formato PDF o JPG.
· La información y las imágenes tienen calidad de resolución mínima, que no se distorsiona al ser impresa.
· El USB tiene 3 tipos de conectores: para conectarse con la PC, Tablet y móvil (conector USB 3.0, conector micro USB, conector tipo C)
· El USB es compatible con iPhone/Android/Windows</v>
      </c>
      <c r="J2504" s="213">
        <f>IFERROR(__xludf.DUMMYFUNCTION("""COMPUTED_VALUE"""),3.0)</f>
        <v>3</v>
      </c>
      <c r="K2504" s="213" t="str">
        <f>IFERROR(__xludf.DUMMYFUNCTION("""COMPUTED_VALUE"""),"170 DÍAS CALENDARIO")</f>
        <v>170 DÍAS CALENDARIO</v>
      </c>
      <c r="L2504" s="213" t="str">
        <f>IFERROR(__xludf.DUMMYFUNCTION("""COMPUTED_VALUE"""),"")</f>
        <v/>
      </c>
      <c r="M2504" s="213">
        <f>IFERROR(__xludf.DUMMYFUNCTION("""COMPUTED_VALUE"""),1.0)</f>
        <v>1</v>
      </c>
      <c r="N2504" s="213">
        <f>IFERROR(__xludf.DUMMYFUNCTION("""COMPUTED_VALUE"""),2.0)</f>
        <v>2</v>
      </c>
      <c r="O2504" s="213">
        <f>IFERROR(__xludf.DUMMYFUNCTION("""COMPUTED_VALUE"""),2.0)</f>
        <v>2</v>
      </c>
      <c r="P2504" s="213"/>
      <c r="Q2504" s="213"/>
      <c r="R2504" s="213"/>
      <c r="S2504" s="213"/>
      <c r="T2504" s="213"/>
      <c r="U2504" s="213"/>
      <c r="V2504" s="213"/>
      <c r="W2504" s="213"/>
      <c r="X2504" s="213"/>
      <c r="Y2504" s="213"/>
      <c r="Z2504" s="213"/>
      <c r="AA2504" s="213"/>
      <c r="AB2504" s="213"/>
      <c r="AC2504" s="213"/>
      <c r="AD2504" s="213"/>
      <c r="AE2504" s="213"/>
      <c r="AF2504" s="213"/>
      <c r="AG2504" s="213"/>
      <c r="AH2504" s="213"/>
      <c r="AI2504" s="213"/>
      <c r="AJ2504" s="213"/>
      <c r="AK2504" s="213"/>
      <c r="AL2504" s="213"/>
      <c r="AM2504" s="213"/>
      <c r="AN2504" s="213"/>
      <c r="AO2504" s="213"/>
      <c r="AP2504" s="213"/>
      <c r="AQ2504" s="213"/>
      <c r="AR2504" s="213"/>
      <c r="AS2504" s="213"/>
      <c r="AT2504" s="213"/>
      <c r="AU2504" s="213"/>
      <c r="AV2504" s="213"/>
      <c r="AW2504" s="213"/>
      <c r="AX2504" s="213"/>
      <c r="AY2504" s="213"/>
      <c r="AZ2504" s="213"/>
      <c r="BA2504" s="213"/>
      <c r="BB2504" s="213"/>
      <c r="BC2504" s="213"/>
      <c r="BD2504" s="213"/>
    </row>
    <row r="2505">
      <c r="A2505" s="213">
        <f>IFERROR(__xludf.DUMMYFUNCTION("""COMPUTED_VALUE"""),690.0)</f>
        <v>690</v>
      </c>
      <c r="B2505" s="213" t="str">
        <f>IFERROR(__xludf.DUMMYFUNCTION("""COMPUTED_VALUE"""),"6049 RICARDO PALMA")</f>
        <v>6049 RICARDO PALMA</v>
      </c>
      <c r="C2505" s="213" t="str">
        <f>IFERROR(__xludf.DUMMYFUNCTION("""COMPUTED_VALUE"""),"TALLER SFT DE ELECTRÓNICA")</f>
        <v>TALLER SFT DE ELECTRÓNICA</v>
      </c>
      <c r="D2505" s="213" t="str">
        <f>IFERROR(__xludf.DUMMYFUNCTION("""COMPUTED_VALUE"""),"PEDAGOGICO")</f>
        <v>PEDAGOGICO</v>
      </c>
      <c r="E2505" s="213" t="str">
        <f>IFERROR(__xludf.DUMMYFUNCTION("""COMPUTED_VALUE"""),"MAT-465")</f>
        <v>MAT-465</v>
      </c>
      <c r="F2505" s="213" t="str">
        <f>IFERROR(__xludf.DUMMYFUNCTION("""COMPUTED_VALUE"""),"MAT-465")</f>
        <v>MAT-465</v>
      </c>
      <c r="G2505" s="213"/>
      <c r="H2505" s="213" t="str">
        <f>IFERROR(__xludf.DUMMYFUNCTION("""COMPUTED_VALUE"""),"USB CON INFORMACIÓN DE LOS MANUALES")</f>
        <v>USB CON INFORMACIÓN DE LOS MANUALES</v>
      </c>
      <c r="I2505" s="213" t="str">
        <f>IFERROR(__xludf.DUMMYFUNCTION("""COMPUTED_VALUE"""),"· El USB tiene la capacidad de mínimo 32 GB para almacenar los manuales y e información complementaria en videos o textos digitales sobre los equipos de electricidad.
· El USB está contenido en un estuche de plástico transparente o similar.
· El USB conti"&amp;"ene, como resguardo en caso de pérdida: el manual de uso por cada equipo, el manual de mantenimiento por cada equipo, y Manual pedagógico de los equipos de electricidad utilizando el equipo en formato PDF o JPG.
· La información y las imágenes tienen cali"&amp;"dad de resolución mínima, que no se distorsiona al ser impresa.
· El USB tiene 3 tipos de conectores: para conectarse con la PC, Tablet y móvil (conector USB 3.0, conector micro USB, conector tipo C)
· El USB es compatible con iPhone/Android/Windows")</f>
        <v>· El USB tiene la capacidad de mínimo 32 GB para almacenar los manuales y e información complementaria en videos o textos digitales sobre los equipos de electricidad.
· El USB está contenido en un estuche de plástico transparente o similar.
· El USB contiene, como resguardo en caso de pérdida: el manual de uso por cada equipo, el manual de mantenimiento por cada equipo, y Manual pedagógico de los equipos de electricidad utilizando el equipo en formato PDF o JPG.
· La información y las imágenes tienen calidad de resolución mínima, que no se distorsiona al ser impresa.
· El USB tiene 3 tipos de conectores: para conectarse con la PC, Tablet y móvil (conector USB 3.0, conector micro USB, conector tipo C)
· El USB es compatible con iPhone/Android/Windows</v>
      </c>
      <c r="J2505" s="213">
        <f>IFERROR(__xludf.DUMMYFUNCTION("""COMPUTED_VALUE"""),3.0)</f>
        <v>3</v>
      </c>
      <c r="K2505" s="213" t="str">
        <f>IFERROR(__xludf.DUMMYFUNCTION("""COMPUTED_VALUE"""),"170 DÍAS CALENDARIO")</f>
        <v>170 DÍAS CALENDARIO</v>
      </c>
      <c r="L2505" s="213" t="str">
        <f>IFERROR(__xludf.DUMMYFUNCTION("""COMPUTED_VALUE"""),"")</f>
        <v/>
      </c>
      <c r="M2505" s="213">
        <f>IFERROR(__xludf.DUMMYFUNCTION("""COMPUTED_VALUE"""),1.0)</f>
        <v>1</v>
      </c>
      <c r="N2505" s="213">
        <f>IFERROR(__xludf.DUMMYFUNCTION("""COMPUTED_VALUE"""),2.0)</f>
        <v>2</v>
      </c>
      <c r="O2505" s="213">
        <f>IFERROR(__xludf.DUMMYFUNCTION("""COMPUTED_VALUE"""),2.0)</f>
        <v>2</v>
      </c>
      <c r="P2505" s="213"/>
      <c r="Q2505" s="213"/>
      <c r="R2505" s="213"/>
      <c r="S2505" s="213"/>
      <c r="T2505" s="213"/>
      <c r="U2505" s="213"/>
      <c r="V2505" s="213"/>
      <c r="W2505" s="213"/>
      <c r="X2505" s="213"/>
      <c r="Y2505" s="213"/>
      <c r="Z2505" s="213"/>
      <c r="AA2505" s="213"/>
      <c r="AB2505" s="213"/>
      <c r="AC2505" s="213"/>
      <c r="AD2505" s="213"/>
      <c r="AE2505" s="213"/>
      <c r="AF2505" s="213"/>
      <c r="AG2505" s="213"/>
      <c r="AH2505" s="213"/>
      <c r="AI2505" s="213"/>
      <c r="AJ2505" s="213"/>
      <c r="AK2505" s="213"/>
      <c r="AL2505" s="213"/>
      <c r="AM2505" s="213"/>
      <c r="AN2505" s="213"/>
      <c r="AO2505" s="213"/>
      <c r="AP2505" s="213"/>
      <c r="AQ2505" s="213"/>
      <c r="AR2505" s="213"/>
      <c r="AS2505" s="213"/>
      <c r="AT2505" s="213"/>
      <c r="AU2505" s="213"/>
      <c r="AV2505" s="213"/>
      <c r="AW2505" s="213"/>
      <c r="AX2505" s="213"/>
      <c r="AY2505" s="213"/>
      <c r="AZ2505" s="213"/>
      <c r="BA2505" s="213"/>
      <c r="BB2505" s="213"/>
      <c r="BC2505" s="213"/>
      <c r="BD2505" s="213"/>
    </row>
    <row r="2506">
      <c r="A2506" s="213">
        <f>IFERROR(__xludf.DUMMYFUNCTION("""COMPUTED_VALUE"""),716.0)</f>
        <v>716</v>
      </c>
      <c r="B2506" s="213" t="str">
        <f>IFERROR(__xludf.DUMMYFUNCTION("""COMPUTED_VALUE"""),"6049 RICARDO PALMA")</f>
        <v>6049 RICARDO PALMA</v>
      </c>
      <c r="C2506" s="213" t="str">
        <f>IFERROR(__xludf.DUMMYFUNCTION("""COMPUTED_VALUE"""),"TALLER SFT DE ELECTRÓNICA")</f>
        <v>TALLER SFT DE ELECTRÓNICA</v>
      </c>
      <c r="D2506" s="213" t="str">
        <f>IFERROR(__xludf.DUMMYFUNCTION("""COMPUTED_VALUE"""),"PEDAGOGICO")</f>
        <v>PEDAGOGICO</v>
      </c>
      <c r="E2506" s="213" t="str">
        <f>IFERROR(__xludf.DUMMYFUNCTION("""COMPUTED_VALUE"""),"MAT-465")</f>
        <v>MAT-465</v>
      </c>
      <c r="F2506" s="213" t="str">
        <f>IFERROR(__xludf.DUMMYFUNCTION("""COMPUTED_VALUE"""),"MAT-465")</f>
        <v>MAT-465</v>
      </c>
      <c r="G2506" s="213"/>
      <c r="H2506" s="213" t="str">
        <f>IFERROR(__xludf.DUMMYFUNCTION("""COMPUTED_VALUE"""),"USB CON INFORMACIÓN DE LOS MANUALES")</f>
        <v>USB CON INFORMACIÓN DE LOS MANUALES</v>
      </c>
      <c r="I2506" s="213" t="str">
        <f>IFERROR(__xludf.DUMMYFUNCTION("""COMPUTED_VALUE"""),"· El USB tiene la capacidad de mínimo 32 GB para almacenar los manuales y e información complementaria en videos o textos digitales sobre los equipos de electricidad.
· El USB está contenido en un estuche de plástico transparente o similar.
· El USB conti"&amp;"ene, como resguardo en caso de pérdida: el manual de uso por cada equipo, el manual de mantenimiento por cada equipo, y Manual pedagógico de los equipos de electricidad utilizando el equipo en formato PDF o JPG.
· La información y las imágenes tienen cali"&amp;"dad de resolución mínima, que no se distorsiona al ser impresa.
· El USB tiene 3 tipos de conectores: para conectarse con la PC, Tablet y móvil (conector USB 3.0, conector micro USB, conector tipo C)
· El USB es compatible con iPhone/Android/Windows")</f>
        <v>· El USB tiene la capacidad de mínimo 32 GB para almacenar los manuales y e información complementaria en videos o textos digitales sobre los equipos de electricidad.
· El USB está contenido en un estuche de plástico transparente o similar.
· El USB contiene, como resguardo en caso de pérdida: el manual de uso por cada equipo, el manual de mantenimiento por cada equipo, y Manual pedagógico de los equipos de electricidad utilizando el equipo en formato PDF o JPG.
· La información y las imágenes tienen calidad de resolución mínima, que no se distorsiona al ser impresa.
· El USB tiene 3 tipos de conectores: para conectarse con la PC, Tablet y móvil (conector USB 3.0, conector micro USB, conector tipo C)
· El USB es compatible con iPhone/Android/Windows</v>
      </c>
      <c r="J2506" s="213">
        <f>IFERROR(__xludf.DUMMYFUNCTION("""COMPUTED_VALUE"""),3.0)</f>
        <v>3</v>
      </c>
      <c r="K2506" s="213" t="str">
        <f>IFERROR(__xludf.DUMMYFUNCTION("""COMPUTED_VALUE"""),"170 DÍAS CALENDARIO")</f>
        <v>170 DÍAS CALENDARIO</v>
      </c>
      <c r="L2506" s="213" t="str">
        <f>IFERROR(__xludf.DUMMYFUNCTION("""COMPUTED_VALUE"""),"")</f>
        <v/>
      </c>
      <c r="M2506" s="213">
        <f>IFERROR(__xludf.DUMMYFUNCTION("""COMPUTED_VALUE"""),1.0)</f>
        <v>1</v>
      </c>
      <c r="N2506" s="213">
        <f>IFERROR(__xludf.DUMMYFUNCTION("""COMPUTED_VALUE"""),2.0)</f>
        <v>2</v>
      </c>
      <c r="O2506" s="213">
        <f>IFERROR(__xludf.DUMMYFUNCTION("""COMPUTED_VALUE"""),2.0)</f>
        <v>2</v>
      </c>
      <c r="P2506" s="213"/>
      <c r="Q2506" s="213"/>
      <c r="R2506" s="213"/>
      <c r="S2506" s="213"/>
      <c r="T2506" s="213"/>
      <c r="U2506" s="213"/>
      <c r="V2506" s="213"/>
      <c r="W2506" s="213"/>
      <c r="X2506" s="213"/>
      <c r="Y2506" s="213"/>
      <c r="Z2506" s="213"/>
      <c r="AA2506" s="213"/>
      <c r="AB2506" s="213"/>
      <c r="AC2506" s="213"/>
      <c r="AD2506" s="213"/>
      <c r="AE2506" s="213"/>
      <c r="AF2506" s="213"/>
      <c r="AG2506" s="213"/>
      <c r="AH2506" s="213"/>
      <c r="AI2506" s="213"/>
      <c r="AJ2506" s="213"/>
      <c r="AK2506" s="213"/>
      <c r="AL2506" s="213"/>
      <c r="AM2506" s="213"/>
      <c r="AN2506" s="213"/>
      <c r="AO2506" s="213"/>
      <c r="AP2506" s="213"/>
      <c r="AQ2506" s="213"/>
      <c r="AR2506" s="213"/>
      <c r="AS2506" s="213"/>
      <c r="AT2506" s="213"/>
      <c r="AU2506" s="213"/>
      <c r="AV2506" s="213"/>
      <c r="AW2506" s="213"/>
      <c r="AX2506" s="213"/>
      <c r="AY2506" s="213"/>
      <c r="AZ2506" s="213"/>
      <c r="BA2506" s="213"/>
      <c r="BB2506" s="213"/>
      <c r="BC2506" s="213"/>
      <c r="BD2506" s="213"/>
    </row>
    <row r="2507">
      <c r="A2507" s="213">
        <f>IFERROR(__xludf.DUMMYFUNCTION("""COMPUTED_VALUE"""),723.0)</f>
        <v>723</v>
      </c>
      <c r="B2507" s="213" t="str">
        <f>IFERROR(__xludf.DUMMYFUNCTION("""COMPUTED_VALUE"""),"6049 RICARDO PALMA")</f>
        <v>6049 RICARDO PALMA</v>
      </c>
      <c r="C2507" s="213" t="str">
        <f>IFERROR(__xludf.DUMMYFUNCTION("""COMPUTED_VALUE"""),"TALLER SFT DE ELECTRÓNICA")</f>
        <v>TALLER SFT DE ELECTRÓNICA</v>
      </c>
      <c r="D2507" s="213" t="str">
        <f>IFERROR(__xludf.DUMMYFUNCTION("""COMPUTED_VALUE"""),"PEDAGOGICO")</f>
        <v>PEDAGOGICO</v>
      </c>
      <c r="E2507" s="213" t="str">
        <f>IFERROR(__xludf.DUMMYFUNCTION("""COMPUTED_VALUE"""),"MAT-465")</f>
        <v>MAT-465</v>
      </c>
      <c r="F2507" s="213" t="str">
        <f>IFERROR(__xludf.DUMMYFUNCTION("""COMPUTED_VALUE"""),"MAT-465")</f>
        <v>MAT-465</v>
      </c>
      <c r="G2507" s="213"/>
      <c r="H2507" s="213" t="str">
        <f>IFERROR(__xludf.DUMMYFUNCTION("""COMPUTED_VALUE"""),"USB CON INFORMACIÓN DE LOS MANUALES")</f>
        <v>USB CON INFORMACIÓN DE LOS MANUALES</v>
      </c>
      <c r="I2507" s="213" t="str">
        <f>IFERROR(__xludf.DUMMYFUNCTION("""COMPUTED_VALUE"""),"· El USB tiene la capacidad de mínimo 32 GB para almacenar los manuales y e información complementaria en videos o textos digitales sobre los equipos de electricidad.
· El USB está contenido en un estuche de plástico transparente o similar.
· El USB conti"&amp;"ene, como resguardo en caso de pérdida: el manual de uso por cada equipo, el manual de mantenimiento por cada equipo, y Manual pedagógico de los equipos de electricidad utilizando el equipo en formato PDF o JPG.
· La información y las imágenes tienen cali"&amp;"dad de resolución mínima, que no se distorsiona al ser impresa.
· El USB tiene 3 tipos de conectores: para conectarse con la PC, Tablet y móvil (conector USB 3.0, conector micro USB, conector tipo C)
· El USB es compatible con iPhone/Android/Windows")</f>
        <v>· El USB tiene la capacidad de mínimo 32 GB para almacenar los manuales y e información complementaria en videos o textos digitales sobre los equipos de electricidad.
· El USB está contenido en un estuche de plástico transparente o similar.
· El USB contiene, como resguardo en caso de pérdida: el manual de uso por cada equipo, el manual de mantenimiento por cada equipo, y Manual pedagógico de los equipos de electricidad utilizando el equipo en formato PDF o JPG.
· La información y las imágenes tienen calidad de resolución mínima, que no se distorsiona al ser impresa.
· El USB tiene 3 tipos de conectores: para conectarse con la PC, Tablet y móvil (conector USB 3.0, conector micro USB, conector tipo C)
· El USB es compatible con iPhone/Android/Windows</v>
      </c>
      <c r="J2507" s="213">
        <f>IFERROR(__xludf.DUMMYFUNCTION("""COMPUTED_VALUE"""),3.0)</f>
        <v>3</v>
      </c>
      <c r="K2507" s="213" t="str">
        <f>IFERROR(__xludf.DUMMYFUNCTION("""COMPUTED_VALUE"""),"170 DÍAS CALENDARIO")</f>
        <v>170 DÍAS CALENDARIO</v>
      </c>
      <c r="L2507" s="213" t="str">
        <f>IFERROR(__xludf.DUMMYFUNCTION("""COMPUTED_VALUE"""),"")</f>
        <v/>
      </c>
      <c r="M2507" s="213">
        <f>IFERROR(__xludf.DUMMYFUNCTION("""COMPUTED_VALUE"""),1.0)</f>
        <v>1</v>
      </c>
      <c r="N2507" s="213">
        <f>IFERROR(__xludf.DUMMYFUNCTION("""COMPUTED_VALUE"""),2.0)</f>
        <v>2</v>
      </c>
      <c r="O2507" s="213">
        <f>IFERROR(__xludf.DUMMYFUNCTION("""COMPUTED_VALUE"""),2.0)</f>
        <v>2</v>
      </c>
      <c r="P2507" s="213"/>
      <c r="Q2507" s="213"/>
      <c r="R2507" s="213"/>
      <c r="S2507" s="213"/>
      <c r="T2507" s="213"/>
      <c r="U2507" s="213"/>
      <c r="V2507" s="213"/>
      <c r="W2507" s="213"/>
      <c r="X2507" s="213"/>
      <c r="Y2507" s="213"/>
      <c r="Z2507" s="213"/>
      <c r="AA2507" s="213"/>
      <c r="AB2507" s="213"/>
      <c r="AC2507" s="213"/>
      <c r="AD2507" s="213"/>
      <c r="AE2507" s="213"/>
      <c r="AF2507" s="213"/>
      <c r="AG2507" s="213"/>
      <c r="AH2507" s="213"/>
      <c r="AI2507" s="213"/>
      <c r="AJ2507" s="213"/>
      <c r="AK2507" s="213"/>
      <c r="AL2507" s="213"/>
      <c r="AM2507" s="213"/>
      <c r="AN2507" s="213"/>
      <c r="AO2507" s="213"/>
      <c r="AP2507" s="213"/>
      <c r="AQ2507" s="213"/>
      <c r="AR2507" s="213"/>
      <c r="AS2507" s="213"/>
      <c r="AT2507" s="213"/>
      <c r="AU2507" s="213"/>
      <c r="AV2507" s="213"/>
      <c r="AW2507" s="213"/>
      <c r="AX2507" s="213"/>
      <c r="AY2507" s="213"/>
      <c r="AZ2507" s="213"/>
      <c r="BA2507" s="213"/>
      <c r="BB2507" s="213"/>
      <c r="BC2507" s="213"/>
      <c r="BD2507" s="213"/>
    </row>
    <row r="2508">
      <c r="A2508" s="213">
        <f>IFERROR(__xludf.DUMMYFUNCTION("""COMPUTED_VALUE"""),783.0)</f>
        <v>783</v>
      </c>
      <c r="B2508" s="213" t="str">
        <f>IFERROR(__xludf.DUMMYFUNCTION("""COMPUTED_VALUE"""),"6049 RICARDO PALMA")</f>
        <v>6049 RICARDO PALMA</v>
      </c>
      <c r="C2508" s="213" t="str">
        <f>IFERROR(__xludf.DUMMYFUNCTION("""COMPUTED_VALUE"""),"TALLER SFT DE COMPUTACIÓN E INFORMÁTICA")</f>
        <v>TALLER SFT DE COMPUTACIÓN E INFORMÁTICA</v>
      </c>
      <c r="D2508" s="213" t="str">
        <f>IFERROR(__xludf.DUMMYFUNCTION("""COMPUTED_VALUE"""),"PEDAGOGICO")</f>
        <v>PEDAGOGICO</v>
      </c>
      <c r="E2508" s="213" t="str">
        <f>IFERROR(__xludf.DUMMYFUNCTION("""COMPUTED_VALUE"""),"MAT-465")</f>
        <v>MAT-465</v>
      </c>
      <c r="F2508" s="213" t="str">
        <f>IFERROR(__xludf.DUMMYFUNCTION("""COMPUTED_VALUE"""),"MAT-465")</f>
        <v>MAT-465</v>
      </c>
      <c r="G2508" s="213"/>
      <c r="H2508" s="213" t="str">
        <f>IFERROR(__xludf.DUMMYFUNCTION("""COMPUTED_VALUE"""),"USB CON INFORMACIÓN DE LOS MANUALES")</f>
        <v>USB CON INFORMACIÓN DE LOS MANUALES</v>
      </c>
      <c r="I250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08" s="213">
        <f>IFERROR(__xludf.DUMMYFUNCTION("""COMPUTED_VALUE"""),3.0)</f>
        <v>3</v>
      </c>
      <c r="K2508" s="213" t="str">
        <f>IFERROR(__xludf.DUMMYFUNCTION("""COMPUTED_VALUE"""),"170 DÍAS CALENDARIO")</f>
        <v>170 DÍAS CALENDARIO</v>
      </c>
      <c r="L2508" s="213" t="str">
        <f>IFERROR(__xludf.DUMMYFUNCTION("""COMPUTED_VALUE"""),"")</f>
        <v/>
      </c>
      <c r="M2508" s="213">
        <f>IFERROR(__xludf.DUMMYFUNCTION("""COMPUTED_VALUE"""),1.0)</f>
        <v>1</v>
      </c>
      <c r="N2508" s="213">
        <f>IFERROR(__xludf.DUMMYFUNCTION("""COMPUTED_VALUE"""),2.0)</f>
        <v>2</v>
      </c>
      <c r="O2508" s="213">
        <f>IFERROR(__xludf.DUMMYFUNCTION("""COMPUTED_VALUE"""),2.0)</f>
        <v>2</v>
      </c>
      <c r="P2508" s="213"/>
      <c r="Q2508" s="213"/>
      <c r="R2508" s="213"/>
      <c r="S2508" s="213"/>
      <c r="T2508" s="213"/>
      <c r="U2508" s="213"/>
      <c r="V2508" s="213"/>
      <c r="W2508" s="213"/>
      <c r="X2508" s="213"/>
      <c r="Y2508" s="213"/>
      <c r="Z2508" s="213"/>
      <c r="AA2508" s="213"/>
      <c r="AB2508" s="213"/>
      <c r="AC2508" s="213"/>
      <c r="AD2508" s="213"/>
      <c r="AE2508" s="213"/>
      <c r="AF2508" s="213"/>
      <c r="AG2508" s="213"/>
      <c r="AH2508" s="213"/>
      <c r="AI2508" s="213"/>
      <c r="AJ2508" s="213"/>
      <c r="AK2508" s="213"/>
      <c r="AL2508" s="213"/>
      <c r="AM2508" s="213"/>
      <c r="AN2508" s="213"/>
      <c r="AO2508" s="213"/>
      <c r="AP2508" s="213"/>
      <c r="AQ2508" s="213"/>
      <c r="AR2508" s="213"/>
      <c r="AS2508" s="213"/>
      <c r="AT2508" s="213"/>
      <c r="AU2508" s="213"/>
      <c r="AV2508" s="213"/>
      <c r="AW2508" s="213"/>
      <c r="AX2508" s="213"/>
      <c r="AY2508" s="213"/>
      <c r="AZ2508" s="213"/>
      <c r="BA2508" s="213"/>
      <c r="BB2508" s="213"/>
      <c r="BC2508" s="213"/>
      <c r="BD2508" s="213"/>
    </row>
    <row r="2509">
      <c r="A2509" s="213">
        <f>IFERROR(__xludf.DUMMYFUNCTION("""COMPUTED_VALUE"""),789.0)</f>
        <v>789</v>
      </c>
      <c r="B2509" s="213" t="str">
        <f>IFERROR(__xludf.DUMMYFUNCTION("""COMPUTED_VALUE"""),"6049 RICARDO PALMA")</f>
        <v>6049 RICARDO PALMA</v>
      </c>
      <c r="C2509" s="213" t="str">
        <f>IFERROR(__xludf.DUMMYFUNCTION("""COMPUTED_VALUE"""),"TALLER SFT DE COMPUTACIÓN E INFORMÁTICA")</f>
        <v>TALLER SFT DE COMPUTACIÓN E INFORMÁTICA</v>
      </c>
      <c r="D2509" s="213" t="str">
        <f>IFERROR(__xludf.DUMMYFUNCTION("""COMPUTED_VALUE"""),"PEDAGOGICO")</f>
        <v>PEDAGOGICO</v>
      </c>
      <c r="E2509" s="213" t="str">
        <f>IFERROR(__xludf.DUMMYFUNCTION("""COMPUTED_VALUE"""),"MAT-465")</f>
        <v>MAT-465</v>
      </c>
      <c r="F2509" s="213" t="str">
        <f>IFERROR(__xludf.DUMMYFUNCTION("""COMPUTED_VALUE"""),"MAT-465")</f>
        <v>MAT-465</v>
      </c>
      <c r="G2509" s="213"/>
      <c r="H2509" s="213" t="str">
        <f>IFERROR(__xludf.DUMMYFUNCTION("""COMPUTED_VALUE"""),"USB CON INFORMACIÓN DE LOS MANUALES")</f>
        <v>USB CON INFORMACIÓN DE LOS MANUALES</v>
      </c>
      <c r="I2509"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09" s="213">
        <f>IFERROR(__xludf.DUMMYFUNCTION("""COMPUTED_VALUE"""),3.0)</f>
        <v>3</v>
      </c>
      <c r="K2509" s="213" t="str">
        <f>IFERROR(__xludf.DUMMYFUNCTION("""COMPUTED_VALUE"""),"170 DÍAS CALENDARIO")</f>
        <v>170 DÍAS CALENDARIO</v>
      </c>
      <c r="L2509" s="213" t="str">
        <f>IFERROR(__xludf.DUMMYFUNCTION("""COMPUTED_VALUE"""),"")</f>
        <v/>
      </c>
      <c r="M2509" s="213">
        <f>IFERROR(__xludf.DUMMYFUNCTION("""COMPUTED_VALUE"""),1.0)</f>
        <v>1</v>
      </c>
      <c r="N2509" s="213">
        <f>IFERROR(__xludf.DUMMYFUNCTION("""COMPUTED_VALUE"""),2.0)</f>
        <v>2</v>
      </c>
      <c r="O2509" s="213">
        <f>IFERROR(__xludf.DUMMYFUNCTION("""COMPUTED_VALUE"""),2.0)</f>
        <v>2</v>
      </c>
      <c r="P2509" s="213"/>
      <c r="Q2509" s="213"/>
      <c r="R2509" s="213"/>
      <c r="S2509" s="213"/>
      <c r="T2509" s="213"/>
      <c r="U2509" s="213"/>
      <c r="V2509" s="213"/>
      <c r="W2509" s="213"/>
      <c r="X2509" s="213"/>
      <c r="Y2509" s="213"/>
      <c r="Z2509" s="213"/>
      <c r="AA2509" s="213"/>
      <c r="AB2509" s="213"/>
      <c r="AC2509" s="213"/>
      <c r="AD2509" s="213"/>
      <c r="AE2509" s="213"/>
      <c r="AF2509" s="213"/>
      <c r="AG2509" s="213"/>
      <c r="AH2509" s="213"/>
      <c r="AI2509" s="213"/>
      <c r="AJ2509" s="213"/>
      <c r="AK2509" s="213"/>
      <c r="AL2509" s="213"/>
      <c r="AM2509" s="213"/>
      <c r="AN2509" s="213"/>
      <c r="AO2509" s="213"/>
      <c r="AP2509" s="213"/>
      <c r="AQ2509" s="213"/>
      <c r="AR2509" s="213"/>
      <c r="AS2509" s="213"/>
      <c r="AT2509" s="213"/>
      <c r="AU2509" s="213"/>
      <c r="AV2509" s="213"/>
      <c r="AW2509" s="213"/>
      <c r="AX2509" s="213"/>
      <c r="AY2509" s="213"/>
      <c r="AZ2509" s="213"/>
      <c r="BA2509" s="213"/>
      <c r="BB2509" s="213"/>
      <c r="BC2509" s="213"/>
      <c r="BD2509" s="213"/>
    </row>
    <row r="2510">
      <c r="A2510" s="213">
        <f>IFERROR(__xludf.DUMMYFUNCTION("""COMPUTED_VALUE"""),793.0)</f>
        <v>793</v>
      </c>
      <c r="B2510" s="213" t="str">
        <f>IFERROR(__xludf.DUMMYFUNCTION("""COMPUTED_VALUE"""),"6049 RICARDO PALMA")</f>
        <v>6049 RICARDO PALMA</v>
      </c>
      <c r="C2510" s="213" t="str">
        <f>IFERROR(__xludf.DUMMYFUNCTION("""COMPUTED_VALUE"""),"TALLER SFT DE COMPUTACIÓN E INFORMÁTICA")</f>
        <v>TALLER SFT DE COMPUTACIÓN E INFORMÁTICA</v>
      </c>
      <c r="D2510" s="213" t="str">
        <f>IFERROR(__xludf.DUMMYFUNCTION("""COMPUTED_VALUE"""),"PEDAGOGICO")</f>
        <v>PEDAGOGICO</v>
      </c>
      <c r="E2510" s="213" t="str">
        <f>IFERROR(__xludf.DUMMYFUNCTION("""COMPUTED_VALUE"""),"MAT-465")</f>
        <v>MAT-465</v>
      </c>
      <c r="F2510" s="213" t="str">
        <f>IFERROR(__xludf.DUMMYFUNCTION("""COMPUTED_VALUE"""),"MAT-465")</f>
        <v>MAT-465</v>
      </c>
      <c r="G2510" s="213"/>
      <c r="H2510" s="213" t="str">
        <f>IFERROR(__xludf.DUMMYFUNCTION("""COMPUTED_VALUE"""),"USB CON INFORMACIÓN DE LOS MANUALES")</f>
        <v>USB CON INFORMACIÓN DE LOS MANUALES</v>
      </c>
      <c r="I2510"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10" s="213">
        <f>IFERROR(__xludf.DUMMYFUNCTION("""COMPUTED_VALUE"""),3.0)</f>
        <v>3</v>
      </c>
      <c r="K2510" s="213" t="str">
        <f>IFERROR(__xludf.DUMMYFUNCTION("""COMPUTED_VALUE"""),"170 DÍAS CALENDARIO")</f>
        <v>170 DÍAS CALENDARIO</v>
      </c>
      <c r="L2510" s="213" t="str">
        <f>IFERROR(__xludf.DUMMYFUNCTION("""COMPUTED_VALUE"""),"")</f>
        <v/>
      </c>
      <c r="M2510" s="213">
        <f>IFERROR(__xludf.DUMMYFUNCTION("""COMPUTED_VALUE"""),1.0)</f>
        <v>1</v>
      </c>
      <c r="N2510" s="213">
        <f>IFERROR(__xludf.DUMMYFUNCTION("""COMPUTED_VALUE"""),2.0)</f>
        <v>2</v>
      </c>
      <c r="O2510" s="213">
        <f>IFERROR(__xludf.DUMMYFUNCTION("""COMPUTED_VALUE"""),2.0)</f>
        <v>2</v>
      </c>
      <c r="P2510" s="213"/>
      <c r="Q2510" s="213"/>
      <c r="R2510" s="213"/>
      <c r="S2510" s="213"/>
      <c r="T2510" s="213"/>
      <c r="U2510" s="213"/>
      <c r="V2510" s="213"/>
      <c r="W2510" s="213"/>
      <c r="X2510" s="213"/>
      <c r="Y2510" s="213"/>
      <c r="Z2510" s="213"/>
      <c r="AA2510" s="213"/>
      <c r="AB2510" s="213"/>
      <c r="AC2510" s="213"/>
      <c r="AD2510" s="213"/>
      <c r="AE2510" s="213"/>
      <c r="AF2510" s="213"/>
      <c r="AG2510" s="213"/>
      <c r="AH2510" s="213"/>
      <c r="AI2510" s="213"/>
      <c r="AJ2510" s="213"/>
      <c r="AK2510" s="213"/>
      <c r="AL2510" s="213"/>
      <c r="AM2510" s="213"/>
      <c r="AN2510" s="213"/>
      <c r="AO2510" s="213"/>
      <c r="AP2510" s="213"/>
      <c r="AQ2510" s="213"/>
      <c r="AR2510" s="213"/>
      <c r="AS2510" s="213"/>
      <c r="AT2510" s="213"/>
      <c r="AU2510" s="213"/>
      <c r="AV2510" s="213"/>
      <c r="AW2510" s="213"/>
      <c r="AX2510" s="213"/>
      <c r="AY2510" s="213"/>
      <c r="AZ2510" s="213"/>
      <c r="BA2510" s="213"/>
      <c r="BB2510" s="213"/>
      <c r="BC2510" s="213"/>
      <c r="BD2510" s="213"/>
    </row>
    <row r="2511">
      <c r="A2511" s="213">
        <f>IFERROR(__xludf.DUMMYFUNCTION("""COMPUTED_VALUE"""),798.0)</f>
        <v>798</v>
      </c>
      <c r="B2511" s="213" t="str">
        <f>IFERROR(__xludf.DUMMYFUNCTION("""COMPUTED_VALUE"""),"6049 RICARDO PALMA")</f>
        <v>6049 RICARDO PALMA</v>
      </c>
      <c r="C2511" s="213" t="str">
        <f>IFERROR(__xludf.DUMMYFUNCTION("""COMPUTED_VALUE"""),"TALLER SFT DE COMPUTACIÓN E INFORMÁTICA")</f>
        <v>TALLER SFT DE COMPUTACIÓN E INFORMÁTICA</v>
      </c>
      <c r="D2511" s="213" t="str">
        <f>IFERROR(__xludf.DUMMYFUNCTION("""COMPUTED_VALUE"""),"PEDAGOGICO")</f>
        <v>PEDAGOGICO</v>
      </c>
      <c r="E2511" s="213" t="str">
        <f>IFERROR(__xludf.DUMMYFUNCTION("""COMPUTED_VALUE"""),"MAT-465")</f>
        <v>MAT-465</v>
      </c>
      <c r="F2511" s="213" t="str">
        <f>IFERROR(__xludf.DUMMYFUNCTION("""COMPUTED_VALUE"""),"MAT-465")</f>
        <v>MAT-465</v>
      </c>
      <c r="G2511" s="213"/>
      <c r="H2511" s="213" t="str">
        <f>IFERROR(__xludf.DUMMYFUNCTION("""COMPUTED_VALUE"""),"USB CON INFORMACIÓN DE LOS MANUALES")</f>
        <v>USB CON INFORMACIÓN DE LOS MANUALES</v>
      </c>
      <c r="I2511"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11" s="213">
        <f>IFERROR(__xludf.DUMMYFUNCTION("""COMPUTED_VALUE"""),3.0)</f>
        <v>3</v>
      </c>
      <c r="K2511" s="213" t="str">
        <f>IFERROR(__xludf.DUMMYFUNCTION("""COMPUTED_VALUE"""),"170 DÍAS CALENDARIO")</f>
        <v>170 DÍAS CALENDARIO</v>
      </c>
      <c r="L2511" s="213" t="str">
        <f>IFERROR(__xludf.DUMMYFUNCTION("""COMPUTED_VALUE"""),"")</f>
        <v/>
      </c>
      <c r="M2511" s="213">
        <f>IFERROR(__xludf.DUMMYFUNCTION("""COMPUTED_VALUE"""),1.0)</f>
        <v>1</v>
      </c>
      <c r="N2511" s="213">
        <f>IFERROR(__xludf.DUMMYFUNCTION("""COMPUTED_VALUE"""),2.0)</f>
        <v>2</v>
      </c>
      <c r="O2511" s="213">
        <f>IFERROR(__xludf.DUMMYFUNCTION("""COMPUTED_VALUE"""),2.0)</f>
        <v>2</v>
      </c>
      <c r="P2511" s="213"/>
      <c r="Q2511" s="213"/>
      <c r="R2511" s="213"/>
      <c r="S2511" s="213"/>
      <c r="T2511" s="213"/>
      <c r="U2511" s="213"/>
      <c r="V2511" s="213"/>
      <c r="W2511" s="213"/>
      <c r="X2511" s="213"/>
      <c r="Y2511" s="213"/>
      <c r="Z2511" s="213"/>
      <c r="AA2511" s="213"/>
      <c r="AB2511" s="213"/>
      <c r="AC2511" s="213"/>
      <c r="AD2511" s="213"/>
      <c r="AE2511" s="213"/>
      <c r="AF2511" s="213"/>
      <c r="AG2511" s="213"/>
      <c r="AH2511" s="213"/>
      <c r="AI2511" s="213"/>
      <c r="AJ2511" s="213"/>
      <c r="AK2511" s="213"/>
      <c r="AL2511" s="213"/>
      <c r="AM2511" s="213"/>
      <c r="AN2511" s="213"/>
      <c r="AO2511" s="213"/>
      <c r="AP2511" s="213"/>
      <c r="AQ2511" s="213"/>
      <c r="AR2511" s="213"/>
      <c r="AS2511" s="213"/>
      <c r="AT2511" s="213"/>
      <c r="AU2511" s="213"/>
      <c r="AV2511" s="213"/>
      <c r="AW2511" s="213"/>
      <c r="AX2511" s="213"/>
      <c r="AY2511" s="213"/>
      <c r="AZ2511" s="213"/>
      <c r="BA2511" s="213"/>
      <c r="BB2511" s="213"/>
      <c r="BC2511" s="213"/>
      <c r="BD2511" s="213"/>
    </row>
    <row r="2512">
      <c r="A2512" s="213">
        <f>IFERROR(__xludf.DUMMYFUNCTION("""COMPUTED_VALUE"""),806.0)</f>
        <v>806</v>
      </c>
      <c r="B2512" s="213" t="str">
        <f>IFERROR(__xludf.DUMMYFUNCTION("""COMPUTED_VALUE"""),"6049 RICARDO PALMA")</f>
        <v>6049 RICARDO PALMA</v>
      </c>
      <c r="C2512" s="213" t="str">
        <f>IFERROR(__xludf.DUMMYFUNCTION("""COMPUTED_VALUE"""),"TALLER SFT DE COMPUTACIÓN E INFORMÁTICA")</f>
        <v>TALLER SFT DE COMPUTACIÓN E INFORMÁTICA</v>
      </c>
      <c r="D2512" s="213" t="str">
        <f>IFERROR(__xludf.DUMMYFUNCTION("""COMPUTED_VALUE"""),"PEDAGOGICO")</f>
        <v>PEDAGOGICO</v>
      </c>
      <c r="E2512" s="213" t="str">
        <f>IFERROR(__xludf.DUMMYFUNCTION("""COMPUTED_VALUE"""),"MAT-465")</f>
        <v>MAT-465</v>
      </c>
      <c r="F2512" s="213" t="str">
        <f>IFERROR(__xludf.DUMMYFUNCTION("""COMPUTED_VALUE"""),"MAT-465")</f>
        <v>MAT-465</v>
      </c>
      <c r="G2512" s="213"/>
      <c r="H2512" s="213" t="str">
        <f>IFERROR(__xludf.DUMMYFUNCTION("""COMPUTED_VALUE"""),"USB CON INFORMACIÓN DE LOS MANUALES")</f>
        <v>USB CON INFORMACIÓN DE LOS MANUALES</v>
      </c>
      <c r="I2512"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12" s="213">
        <f>IFERROR(__xludf.DUMMYFUNCTION("""COMPUTED_VALUE"""),3.0)</f>
        <v>3</v>
      </c>
      <c r="K2512" s="213" t="str">
        <f>IFERROR(__xludf.DUMMYFUNCTION("""COMPUTED_VALUE"""),"170 DÍAS CALENDARIO")</f>
        <v>170 DÍAS CALENDARIO</v>
      </c>
      <c r="L2512" s="213" t="str">
        <f>IFERROR(__xludf.DUMMYFUNCTION("""COMPUTED_VALUE"""),"")</f>
        <v/>
      </c>
      <c r="M2512" s="213">
        <f>IFERROR(__xludf.DUMMYFUNCTION("""COMPUTED_VALUE"""),1.0)</f>
        <v>1</v>
      </c>
      <c r="N2512" s="213">
        <f>IFERROR(__xludf.DUMMYFUNCTION("""COMPUTED_VALUE"""),2.0)</f>
        <v>2</v>
      </c>
      <c r="O2512" s="213">
        <f>IFERROR(__xludf.DUMMYFUNCTION("""COMPUTED_VALUE"""),2.0)</f>
        <v>2</v>
      </c>
      <c r="P2512" s="213"/>
      <c r="Q2512" s="213"/>
      <c r="R2512" s="213"/>
      <c r="S2512" s="213"/>
      <c r="T2512" s="213"/>
      <c r="U2512" s="213"/>
      <c r="V2512" s="213"/>
      <c r="W2512" s="213"/>
      <c r="X2512" s="213"/>
      <c r="Y2512" s="213"/>
      <c r="Z2512" s="213"/>
      <c r="AA2512" s="213"/>
      <c r="AB2512" s="213"/>
      <c r="AC2512" s="213"/>
      <c r="AD2512" s="213"/>
      <c r="AE2512" s="213"/>
      <c r="AF2512" s="213"/>
      <c r="AG2512" s="213"/>
      <c r="AH2512" s="213"/>
      <c r="AI2512" s="213"/>
      <c r="AJ2512" s="213"/>
      <c r="AK2512" s="213"/>
      <c r="AL2512" s="213"/>
      <c r="AM2512" s="213"/>
      <c r="AN2512" s="213"/>
      <c r="AO2512" s="213"/>
      <c r="AP2512" s="213"/>
      <c r="AQ2512" s="213"/>
      <c r="AR2512" s="213"/>
      <c r="AS2512" s="213"/>
      <c r="AT2512" s="213"/>
      <c r="AU2512" s="213"/>
      <c r="AV2512" s="213"/>
      <c r="AW2512" s="213"/>
      <c r="AX2512" s="213"/>
      <c r="AY2512" s="213"/>
      <c r="AZ2512" s="213"/>
      <c r="BA2512" s="213"/>
      <c r="BB2512" s="213"/>
      <c r="BC2512" s="213"/>
      <c r="BD2512" s="213"/>
    </row>
    <row r="2513">
      <c r="A2513" s="213">
        <f>IFERROR(__xludf.DUMMYFUNCTION("""COMPUTED_VALUE"""),816.0)</f>
        <v>816</v>
      </c>
      <c r="B2513" s="213" t="str">
        <f>IFERROR(__xludf.DUMMYFUNCTION("""COMPUTED_VALUE"""),"6049 RICARDO PALMA")</f>
        <v>6049 RICARDO PALMA</v>
      </c>
      <c r="C2513" s="213" t="str">
        <f>IFERROR(__xludf.DUMMYFUNCTION("""COMPUTED_VALUE"""),"TALLER SFT DE COMPUTACIÓN E INFORMÁTICA")</f>
        <v>TALLER SFT DE COMPUTACIÓN E INFORMÁTICA</v>
      </c>
      <c r="D2513" s="213" t="str">
        <f>IFERROR(__xludf.DUMMYFUNCTION("""COMPUTED_VALUE"""),"PEDAGOGICO")</f>
        <v>PEDAGOGICO</v>
      </c>
      <c r="E2513" s="213" t="str">
        <f>IFERROR(__xludf.DUMMYFUNCTION("""COMPUTED_VALUE"""),"MAT-465")</f>
        <v>MAT-465</v>
      </c>
      <c r="F2513" s="213" t="str">
        <f>IFERROR(__xludf.DUMMYFUNCTION("""COMPUTED_VALUE"""),"MAT-465")</f>
        <v>MAT-465</v>
      </c>
      <c r="G2513" s="213"/>
      <c r="H2513" s="213" t="str">
        <f>IFERROR(__xludf.DUMMYFUNCTION("""COMPUTED_VALUE"""),"USB CON INFORMACIÓN DE LOS MANUALES")</f>
        <v>USB CON INFORMACIÓN DE LOS MANUALES</v>
      </c>
      <c r="I2513"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13" s="213">
        <f>IFERROR(__xludf.DUMMYFUNCTION("""COMPUTED_VALUE"""),3.0)</f>
        <v>3</v>
      </c>
      <c r="K2513" s="213" t="str">
        <f>IFERROR(__xludf.DUMMYFUNCTION("""COMPUTED_VALUE"""),"170 DÍAS CALENDARIO")</f>
        <v>170 DÍAS CALENDARIO</v>
      </c>
      <c r="L2513" s="213" t="str">
        <f>IFERROR(__xludf.DUMMYFUNCTION("""COMPUTED_VALUE"""),"")</f>
        <v/>
      </c>
      <c r="M2513" s="213">
        <f>IFERROR(__xludf.DUMMYFUNCTION("""COMPUTED_VALUE"""),1.0)</f>
        <v>1</v>
      </c>
      <c r="N2513" s="213">
        <f>IFERROR(__xludf.DUMMYFUNCTION("""COMPUTED_VALUE"""),2.0)</f>
        <v>2</v>
      </c>
      <c r="O2513" s="213">
        <f>IFERROR(__xludf.DUMMYFUNCTION("""COMPUTED_VALUE"""),2.0)</f>
        <v>2</v>
      </c>
      <c r="P2513" s="213"/>
      <c r="Q2513" s="213"/>
      <c r="R2513" s="213"/>
      <c r="S2513" s="213"/>
      <c r="T2513" s="213"/>
      <c r="U2513" s="213"/>
      <c r="V2513" s="213"/>
      <c r="W2513" s="213"/>
      <c r="X2513" s="213"/>
      <c r="Y2513" s="213"/>
      <c r="Z2513" s="213"/>
      <c r="AA2513" s="213"/>
      <c r="AB2513" s="213"/>
      <c r="AC2513" s="213"/>
      <c r="AD2513" s="213"/>
      <c r="AE2513" s="213"/>
      <c r="AF2513" s="213"/>
      <c r="AG2513" s="213"/>
      <c r="AH2513" s="213"/>
      <c r="AI2513" s="213"/>
      <c r="AJ2513" s="213"/>
      <c r="AK2513" s="213"/>
      <c r="AL2513" s="213"/>
      <c r="AM2513" s="213"/>
      <c r="AN2513" s="213"/>
      <c r="AO2513" s="213"/>
      <c r="AP2513" s="213"/>
      <c r="AQ2513" s="213"/>
      <c r="AR2513" s="213"/>
      <c r="AS2513" s="213"/>
      <c r="AT2513" s="213"/>
      <c r="AU2513" s="213"/>
      <c r="AV2513" s="213"/>
      <c r="AW2513" s="213"/>
      <c r="AX2513" s="213"/>
      <c r="AY2513" s="213"/>
      <c r="AZ2513" s="213"/>
      <c r="BA2513" s="213"/>
      <c r="BB2513" s="213"/>
      <c r="BC2513" s="213"/>
      <c r="BD2513" s="213"/>
    </row>
    <row r="2514">
      <c r="A2514" s="213">
        <f>IFERROR(__xludf.DUMMYFUNCTION("""COMPUTED_VALUE"""),863.0)</f>
        <v>863</v>
      </c>
      <c r="B2514" s="213" t="str">
        <f>IFERROR(__xludf.DUMMYFUNCTION("""COMPUTED_VALUE"""),"6049 RICARDO PALMA")</f>
        <v>6049 RICARDO PALMA</v>
      </c>
      <c r="C2514" s="213" t="str">
        <f>IFERROR(__xludf.DUMMYFUNCTION("""COMPUTED_VALUE"""),"TALLER SFT DE ELECTRICIDAD")</f>
        <v>TALLER SFT DE ELECTRICIDAD</v>
      </c>
      <c r="D2514" s="213" t="str">
        <f>IFERROR(__xludf.DUMMYFUNCTION("""COMPUTED_VALUE"""),"PEDAGOGICO")</f>
        <v>PEDAGOGICO</v>
      </c>
      <c r="E2514" s="213" t="str">
        <f>IFERROR(__xludf.DUMMYFUNCTION("""COMPUTED_VALUE"""),"MAT-464")</f>
        <v>MAT-464</v>
      </c>
      <c r="F2514" s="213" t="str">
        <f>IFERROR(__xludf.DUMMYFUNCTION("""COMPUTED_VALUE"""),"MAT-464")</f>
        <v>MAT-464</v>
      </c>
      <c r="G2514" s="213"/>
      <c r="H2514" s="213" t="str">
        <f>IFERROR(__xludf.DUMMYFUNCTION("""COMPUTED_VALUE"""),"USB CON INFORMACIÓN DE LOS MANUALES")</f>
        <v>USB CON INFORMACIÓN DE LOS MANUALES</v>
      </c>
      <c r="I2514"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14" s="213">
        <f>IFERROR(__xludf.DUMMYFUNCTION("""COMPUTED_VALUE"""),3.0)</f>
        <v>3</v>
      </c>
      <c r="K2514" s="213" t="str">
        <f>IFERROR(__xludf.DUMMYFUNCTION("""COMPUTED_VALUE"""),"170 DÍAS CALENDARIO")</f>
        <v>170 DÍAS CALENDARIO</v>
      </c>
      <c r="L2514" s="213" t="str">
        <f>IFERROR(__xludf.DUMMYFUNCTION("""COMPUTED_VALUE"""),"")</f>
        <v/>
      </c>
      <c r="M2514" s="213">
        <f>IFERROR(__xludf.DUMMYFUNCTION("""COMPUTED_VALUE"""),1.0)</f>
        <v>1</v>
      </c>
      <c r="N2514" s="213">
        <f>IFERROR(__xludf.DUMMYFUNCTION("""COMPUTED_VALUE"""),2.0)</f>
        <v>2</v>
      </c>
      <c r="O2514" s="213">
        <f>IFERROR(__xludf.DUMMYFUNCTION("""COMPUTED_VALUE"""),2.0)</f>
        <v>2</v>
      </c>
      <c r="P2514" s="213"/>
      <c r="Q2514" s="213"/>
      <c r="R2514" s="213"/>
      <c r="S2514" s="213"/>
      <c r="T2514" s="213"/>
      <c r="U2514" s="213"/>
      <c r="V2514" s="213"/>
      <c r="W2514" s="213"/>
      <c r="X2514" s="213"/>
      <c r="Y2514" s="213"/>
      <c r="Z2514" s="213"/>
      <c r="AA2514" s="213"/>
      <c r="AB2514" s="213"/>
      <c r="AC2514" s="213"/>
      <c r="AD2514" s="213"/>
      <c r="AE2514" s="213"/>
      <c r="AF2514" s="213"/>
      <c r="AG2514" s="213"/>
      <c r="AH2514" s="213"/>
      <c r="AI2514" s="213"/>
      <c r="AJ2514" s="213"/>
      <c r="AK2514" s="213"/>
      <c r="AL2514" s="213"/>
      <c r="AM2514" s="213"/>
      <c r="AN2514" s="213"/>
      <c r="AO2514" s="213"/>
      <c r="AP2514" s="213"/>
      <c r="AQ2514" s="213"/>
      <c r="AR2514" s="213"/>
      <c r="AS2514" s="213"/>
      <c r="AT2514" s="213"/>
      <c r="AU2514" s="213"/>
      <c r="AV2514" s="213"/>
      <c r="AW2514" s="213"/>
      <c r="AX2514" s="213"/>
      <c r="AY2514" s="213"/>
      <c r="AZ2514" s="213"/>
      <c r="BA2514" s="213"/>
      <c r="BB2514" s="213"/>
      <c r="BC2514" s="213"/>
      <c r="BD2514" s="213"/>
    </row>
    <row r="2515">
      <c r="A2515" s="213">
        <f>IFERROR(__xludf.DUMMYFUNCTION("""COMPUTED_VALUE"""),869.0)</f>
        <v>869</v>
      </c>
      <c r="B2515" s="213" t="str">
        <f>IFERROR(__xludf.DUMMYFUNCTION("""COMPUTED_VALUE"""),"6049 RICARDO PALMA")</f>
        <v>6049 RICARDO PALMA</v>
      </c>
      <c r="C2515" s="213" t="str">
        <f>IFERROR(__xludf.DUMMYFUNCTION("""COMPUTED_VALUE"""),"TALLER SFT DE ELECTRICIDAD")</f>
        <v>TALLER SFT DE ELECTRICIDAD</v>
      </c>
      <c r="D2515" s="213" t="str">
        <f>IFERROR(__xludf.DUMMYFUNCTION("""COMPUTED_VALUE"""),"PEDAGOGICO")</f>
        <v>PEDAGOGICO</v>
      </c>
      <c r="E2515" s="213" t="str">
        <f>IFERROR(__xludf.DUMMYFUNCTION("""COMPUTED_VALUE"""),"MAT-465")</f>
        <v>MAT-465</v>
      </c>
      <c r="F2515" s="213" t="str">
        <f>IFERROR(__xludf.DUMMYFUNCTION("""COMPUTED_VALUE"""),"MAT-465")</f>
        <v>MAT-465</v>
      </c>
      <c r="G2515" s="213"/>
      <c r="H2515" s="213" t="str">
        <f>IFERROR(__xludf.DUMMYFUNCTION("""COMPUTED_VALUE"""),"USB CON INFORMACIÓN DE LOS MANUALES")</f>
        <v>USB CON INFORMACIÓN DE LOS MANUALES</v>
      </c>
      <c r="I2515" s="213"/>
      <c r="J2515" s="213">
        <f>IFERROR(__xludf.DUMMYFUNCTION("""COMPUTED_VALUE"""),3.0)</f>
        <v>3</v>
      </c>
      <c r="K2515" s="213" t="str">
        <f>IFERROR(__xludf.DUMMYFUNCTION("""COMPUTED_VALUE"""),"170 DÍAS CALENDARIO")</f>
        <v>170 DÍAS CALENDARIO</v>
      </c>
      <c r="L2515" s="213" t="str">
        <f>IFERROR(__xludf.DUMMYFUNCTION("""COMPUTED_VALUE"""),"")</f>
        <v/>
      </c>
      <c r="M2515" s="213">
        <f>IFERROR(__xludf.DUMMYFUNCTION("""COMPUTED_VALUE"""),1.0)</f>
        <v>1</v>
      </c>
      <c r="N2515" s="213">
        <f>IFERROR(__xludf.DUMMYFUNCTION("""COMPUTED_VALUE"""),2.0)</f>
        <v>2</v>
      </c>
      <c r="O2515" s="213">
        <f>IFERROR(__xludf.DUMMYFUNCTION("""COMPUTED_VALUE"""),2.0)</f>
        <v>2</v>
      </c>
      <c r="P2515" s="213"/>
      <c r="Q2515" s="213"/>
      <c r="R2515" s="213"/>
      <c r="S2515" s="213"/>
      <c r="T2515" s="213"/>
      <c r="U2515" s="213"/>
      <c r="V2515" s="213"/>
      <c r="W2515" s="213"/>
      <c r="X2515" s="213"/>
      <c r="Y2515" s="213"/>
      <c r="Z2515" s="213"/>
      <c r="AA2515" s="213"/>
      <c r="AB2515" s="213"/>
      <c r="AC2515" s="213"/>
      <c r="AD2515" s="213"/>
      <c r="AE2515" s="213"/>
      <c r="AF2515" s="213"/>
      <c r="AG2515" s="213"/>
      <c r="AH2515" s="213"/>
      <c r="AI2515" s="213"/>
      <c r="AJ2515" s="213"/>
      <c r="AK2515" s="213"/>
      <c r="AL2515" s="213"/>
      <c r="AM2515" s="213"/>
      <c r="AN2515" s="213"/>
      <c r="AO2515" s="213"/>
      <c r="AP2515" s="213"/>
      <c r="AQ2515" s="213"/>
      <c r="AR2515" s="213"/>
      <c r="AS2515" s="213"/>
      <c r="AT2515" s="213"/>
      <c r="AU2515" s="213"/>
      <c r="AV2515" s="213"/>
      <c r="AW2515" s="213"/>
      <c r="AX2515" s="213"/>
      <c r="AY2515" s="213"/>
      <c r="AZ2515" s="213"/>
      <c r="BA2515" s="213"/>
      <c r="BB2515" s="213"/>
      <c r="BC2515" s="213"/>
      <c r="BD2515" s="213"/>
    </row>
    <row r="2516">
      <c r="A2516" s="213">
        <f>IFERROR(__xludf.DUMMYFUNCTION("""COMPUTED_VALUE"""),1008.0)</f>
        <v>1008</v>
      </c>
      <c r="B2516" s="213" t="str">
        <f>IFERROR(__xludf.DUMMYFUNCTION("""COMPUTED_VALUE"""),"FRANCISCO IRAZOLA")</f>
        <v>FRANCISCO IRAZOLA</v>
      </c>
      <c r="C2516" s="213" t="str">
        <f>IFERROR(__xludf.DUMMYFUNCTION("""COMPUTED_VALUE"""),"TALLER SFT DE MECÁNICA AUTOMOTRIZ")</f>
        <v>TALLER SFT DE MECÁNICA AUTOMOTRIZ</v>
      </c>
      <c r="D2516" s="213" t="str">
        <f>IFERROR(__xludf.DUMMYFUNCTION("""COMPUTED_VALUE"""),"PEDAGOGICO")</f>
        <v>PEDAGOGICO</v>
      </c>
      <c r="E2516" s="213" t="str">
        <f>IFERROR(__xludf.DUMMYFUNCTION("""COMPUTED_VALUE"""),"MAT-465")</f>
        <v>MAT-465</v>
      </c>
      <c r="F2516" s="213" t="str">
        <f>IFERROR(__xludf.DUMMYFUNCTION("""COMPUTED_VALUE"""),"MAT-465")</f>
        <v>MAT-465</v>
      </c>
      <c r="G2516" s="213"/>
      <c r="H2516" s="213" t="str">
        <f>IFERROR(__xludf.DUMMYFUNCTION("""COMPUTED_VALUE"""),"USB CON INFORMACIÓN DE LOS MANUALES")</f>
        <v>USB CON INFORMACIÓN DE LOS MANUALES</v>
      </c>
      <c r="I2516"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16" s="213">
        <f>IFERROR(__xludf.DUMMYFUNCTION("""COMPUTED_VALUE"""),3.0)</f>
        <v>3</v>
      </c>
      <c r="K2516" s="213" t="str">
        <f>IFERROR(__xludf.DUMMYFUNCTION("""COMPUTED_VALUE"""),"170 DÍAS CALENDARIO")</f>
        <v>170 DÍAS CALENDARIO</v>
      </c>
      <c r="L2516" s="213" t="str">
        <f>IFERROR(__xludf.DUMMYFUNCTION("""COMPUTED_VALUE"""),"")</f>
        <v/>
      </c>
      <c r="M2516" s="213">
        <f>IFERROR(__xludf.DUMMYFUNCTION("""COMPUTED_VALUE"""),1.0)</f>
        <v>1</v>
      </c>
      <c r="N2516" s="213">
        <f>IFERROR(__xludf.DUMMYFUNCTION("""COMPUTED_VALUE"""),2.0)</f>
        <v>2</v>
      </c>
      <c r="O2516" s="213">
        <f>IFERROR(__xludf.DUMMYFUNCTION("""COMPUTED_VALUE"""),2.0)</f>
        <v>2</v>
      </c>
      <c r="P2516" s="213"/>
      <c r="Q2516" s="213"/>
      <c r="R2516" s="213"/>
      <c r="S2516" s="213"/>
      <c r="T2516" s="213"/>
      <c r="U2516" s="213"/>
      <c r="V2516" s="213"/>
      <c r="W2516" s="213"/>
      <c r="X2516" s="213"/>
      <c r="Y2516" s="213"/>
      <c r="Z2516" s="213"/>
      <c r="AA2516" s="213"/>
      <c r="AB2516" s="213"/>
      <c r="AC2516" s="213"/>
      <c r="AD2516" s="213"/>
      <c r="AE2516" s="213"/>
      <c r="AF2516" s="213"/>
      <c r="AG2516" s="213"/>
      <c r="AH2516" s="213"/>
      <c r="AI2516" s="213"/>
      <c r="AJ2516" s="213"/>
      <c r="AK2516" s="213"/>
      <c r="AL2516" s="213"/>
      <c r="AM2516" s="213"/>
      <c r="AN2516" s="213"/>
      <c r="AO2516" s="213"/>
      <c r="AP2516" s="213"/>
      <c r="AQ2516" s="213"/>
      <c r="AR2516" s="213"/>
      <c r="AS2516" s="213"/>
      <c r="AT2516" s="213"/>
      <c r="AU2516" s="213"/>
      <c r="AV2516" s="213"/>
      <c r="AW2516" s="213"/>
      <c r="AX2516" s="213"/>
      <c r="AY2516" s="213"/>
      <c r="AZ2516" s="213"/>
      <c r="BA2516" s="213"/>
      <c r="BB2516" s="213"/>
      <c r="BC2516" s="213"/>
      <c r="BD2516" s="213"/>
    </row>
    <row r="2517">
      <c r="A2517" s="213">
        <f>IFERROR(__xludf.DUMMYFUNCTION("""COMPUTED_VALUE"""),1014.0)</f>
        <v>1014</v>
      </c>
      <c r="B2517" s="213" t="str">
        <f>IFERROR(__xludf.DUMMYFUNCTION("""COMPUTED_VALUE"""),"FRANCISCO IRAZOLA")</f>
        <v>FRANCISCO IRAZOLA</v>
      </c>
      <c r="C2517" s="213" t="str">
        <f>IFERROR(__xludf.DUMMYFUNCTION("""COMPUTED_VALUE"""),"TALLER SFT DE MECÁNICA AUTOMOTRIZ")</f>
        <v>TALLER SFT DE MECÁNICA AUTOMOTRIZ</v>
      </c>
      <c r="D2517" s="213" t="str">
        <f>IFERROR(__xludf.DUMMYFUNCTION("""COMPUTED_VALUE"""),"PEDAGOGICO")</f>
        <v>PEDAGOGICO</v>
      </c>
      <c r="E2517" s="213" t="str">
        <f>IFERROR(__xludf.DUMMYFUNCTION("""COMPUTED_VALUE"""),"MAT-465")</f>
        <v>MAT-465</v>
      </c>
      <c r="F2517" s="213" t="str">
        <f>IFERROR(__xludf.DUMMYFUNCTION("""COMPUTED_VALUE"""),"MAT-465")</f>
        <v>MAT-465</v>
      </c>
      <c r="G2517" s="213"/>
      <c r="H2517" s="213" t="str">
        <f>IFERROR(__xludf.DUMMYFUNCTION("""COMPUTED_VALUE"""),"USB CON INFORMACIÓN DE LOS MANUALES")</f>
        <v>USB CON INFORMACIÓN DE LOS MANUALES</v>
      </c>
      <c r="I2517"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17" s="213">
        <f>IFERROR(__xludf.DUMMYFUNCTION("""COMPUTED_VALUE"""),3.0)</f>
        <v>3</v>
      </c>
      <c r="K2517" s="213" t="str">
        <f>IFERROR(__xludf.DUMMYFUNCTION("""COMPUTED_VALUE"""),"170 DÍAS CALENDARIO")</f>
        <v>170 DÍAS CALENDARIO</v>
      </c>
      <c r="L2517" s="213" t="str">
        <f>IFERROR(__xludf.DUMMYFUNCTION("""COMPUTED_VALUE"""),"")</f>
        <v/>
      </c>
      <c r="M2517" s="213">
        <f>IFERROR(__xludf.DUMMYFUNCTION("""COMPUTED_VALUE"""),1.0)</f>
        <v>1</v>
      </c>
      <c r="N2517" s="213">
        <f>IFERROR(__xludf.DUMMYFUNCTION("""COMPUTED_VALUE"""),2.0)</f>
        <v>2</v>
      </c>
      <c r="O2517" s="213">
        <f>IFERROR(__xludf.DUMMYFUNCTION("""COMPUTED_VALUE"""),2.0)</f>
        <v>2</v>
      </c>
      <c r="P2517" s="213"/>
      <c r="Q2517" s="213"/>
      <c r="R2517" s="213"/>
      <c r="S2517" s="213"/>
      <c r="T2517" s="213"/>
      <c r="U2517" s="213"/>
      <c r="V2517" s="213"/>
      <c r="W2517" s="213"/>
      <c r="X2517" s="213"/>
      <c r="Y2517" s="213"/>
      <c r="Z2517" s="213"/>
      <c r="AA2517" s="213"/>
      <c r="AB2517" s="213"/>
      <c r="AC2517" s="213"/>
      <c r="AD2517" s="213"/>
      <c r="AE2517" s="213"/>
      <c r="AF2517" s="213"/>
      <c r="AG2517" s="213"/>
      <c r="AH2517" s="213"/>
      <c r="AI2517" s="213"/>
      <c r="AJ2517" s="213"/>
      <c r="AK2517" s="213"/>
      <c r="AL2517" s="213"/>
      <c r="AM2517" s="213"/>
      <c r="AN2517" s="213"/>
      <c r="AO2517" s="213"/>
      <c r="AP2517" s="213"/>
      <c r="AQ2517" s="213"/>
      <c r="AR2517" s="213"/>
      <c r="AS2517" s="213"/>
      <c r="AT2517" s="213"/>
      <c r="AU2517" s="213"/>
      <c r="AV2517" s="213"/>
      <c r="AW2517" s="213"/>
      <c r="AX2517" s="213"/>
      <c r="AY2517" s="213"/>
      <c r="AZ2517" s="213"/>
      <c r="BA2517" s="213"/>
      <c r="BB2517" s="213"/>
      <c r="BC2517" s="213"/>
      <c r="BD2517" s="213"/>
    </row>
    <row r="2518">
      <c r="A2518" s="213">
        <f>IFERROR(__xludf.DUMMYFUNCTION("""COMPUTED_VALUE"""),1201.0)</f>
        <v>1201</v>
      </c>
      <c r="B2518" s="213" t="str">
        <f>IFERROR(__xludf.DUMMYFUNCTION("""COMPUTED_VALUE"""),"FRANCISCO IRAZOLA")</f>
        <v>FRANCISCO IRAZOLA</v>
      </c>
      <c r="C2518" s="213" t="str">
        <f>IFERROR(__xludf.DUMMYFUNCTION("""COMPUTED_VALUE"""),"TALLER SFT DE INDUSTRIA ALIMENTARIA")</f>
        <v>TALLER SFT DE INDUSTRIA ALIMENTARIA</v>
      </c>
      <c r="D2518" s="213" t="str">
        <f>IFERROR(__xludf.DUMMYFUNCTION("""COMPUTED_VALUE"""),"PEDAGOGICO")</f>
        <v>PEDAGOGICO</v>
      </c>
      <c r="E2518" s="213" t="str">
        <f>IFERROR(__xludf.DUMMYFUNCTION("""COMPUTED_VALUE"""),"MAT-465")</f>
        <v>MAT-465</v>
      </c>
      <c r="F2518" s="213" t="str">
        <f>IFERROR(__xludf.DUMMYFUNCTION("""COMPUTED_VALUE"""),"MAT-465")</f>
        <v>MAT-465</v>
      </c>
      <c r="G2518" s="213"/>
      <c r="H2518" s="213" t="str">
        <f>IFERROR(__xludf.DUMMYFUNCTION("""COMPUTED_VALUE"""),"USB CON INFORMACIÓN DE LOS MANUALES")</f>
        <v>USB CON INFORMACIÓN DE LOS MANUALES</v>
      </c>
      <c r="I251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18" s="213">
        <f>IFERROR(__xludf.DUMMYFUNCTION("""COMPUTED_VALUE"""),3.0)</f>
        <v>3</v>
      </c>
      <c r="K2518" s="213" t="str">
        <f>IFERROR(__xludf.DUMMYFUNCTION("""COMPUTED_VALUE"""),"170 DÍAS CALENDARIO")</f>
        <v>170 DÍAS CALENDARIO</v>
      </c>
      <c r="L2518" s="213" t="str">
        <f>IFERROR(__xludf.DUMMYFUNCTION("""COMPUTED_VALUE"""),"")</f>
        <v/>
      </c>
      <c r="M2518" s="213">
        <f>IFERROR(__xludf.DUMMYFUNCTION("""COMPUTED_VALUE"""),1.0)</f>
        <v>1</v>
      </c>
      <c r="N2518" s="213">
        <f>IFERROR(__xludf.DUMMYFUNCTION("""COMPUTED_VALUE"""),2.0)</f>
        <v>2</v>
      </c>
      <c r="O2518" s="213">
        <f>IFERROR(__xludf.DUMMYFUNCTION("""COMPUTED_VALUE"""),2.0)</f>
        <v>2</v>
      </c>
      <c r="P2518" s="213"/>
      <c r="Q2518" s="213"/>
      <c r="R2518" s="213"/>
      <c r="S2518" s="213"/>
      <c r="T2518" s="213"/>
      <c r="U2518" s="213"/>
      <c r="V2518" s="213"/>
      <c r="W2518" s="213"/>
      <c r="X2518" s="213"/>
      <c r="Y2518" s="213"/>
      <c r="Z2518" s="213"/>
      <c r="AA2518" s="213"/>
      <c r="AB2518" s="213"/>
      <c r="AC2518" s="213"/>
      <c r="AD2518" s="213"/>
      <c r="AE2518" s="213"/>
      <c r="AF2518" s="213"/>
      <c r="AG2518" s="213"/>
      <c r="AH2518" s="213"/>
      <c r="AI2518" s="213"/>
      <c r="AJ2518" s="213"/>
      <c r="AK2518" s="213"/>
      <c r="AL2518" s="213"/>
      <c r="AM2518" s="213"/>
      <c r="AN2518" s="213"/>
      <c r="AO2518" s="213"/>
      <c r="AP2518" s="213"/>
      <c r="AQ2518" s="213"/>
      <c r="AR2518" s="213"/>
      <c r="AS2518" s="213"/>
      <c r="AT2518" s="213"/>
      <c r="AU2518" s="213"/>
      <c r="AV2518" s="213"/>
      <c r="AW2518" s="213"/>
      <c r="AX2518" s="213"/>
      <c r="AY2518" s="213"/>
      <c r="AZ2518" s="213"/>
      <c r="BA2518" s="213"/>
      <c r="BB2518" s="213"/>
      <c r="BC2518" s="213"/>
      <c r="BD2518" s="213"/>
    </row>
    <row r="2519">
      <c r="A2519" s="213">
        <f>IFERROR(__xludf.DUMMYFUNCTION("""COMPUTED_VALUE"""),1206.0)</f>
        <v>1206</v>
      </c>
      <c r="B2519" s="213" t="str">
        <f>IFERROR(__xludf.DUMMYFUNCTION("""COMPUTED_VALUE"""),"FRANCISCO IRAZOLA")</f>
        <v>FRANCISCO IRAZOLA</v>
      </c>
      <c r="C2519" s="213" t="str">
        <f>IFERROR(__xludf.DUMMYFUNCTION("""COMPUTED_VALUE"""),"TALLER SFT DE INDUSTRIA ALIMENTARIA")</f>
        <v>TALLER SFT DE INDUSTRIA ALIMENTARIA</v>
      </c>
      <c r="D2519" s="213" t="str">
        <f>IFERROR(__xludf.DUMMYFUNCTION("""COMPUTED_VALUE"""),"PEDAGOGICO")</f>
        <v>PEDAGOGICO</v>
      </c>
      <c r="E2519" s="213" t="str">
        <f>IFERROR(__xludf.DUMMYFUNCTION("""COMPUTED_VALUE"""),"MAT-465")</f>
        <v>MAT-465</v>
      </c>
      <c r="F2519" s="213" t="str">
        <f>IFERROR(__xludf.DUMMYFUNCTION("""COMPUTED_VALUE"""),"MAT-465")</f>
        <v>MAT-465</v>
      </c>
      <c r="G2519" s="213"/>
      <c r="H2519" s="213" t="str">
        <f>IFERROR(__xludf.DUMMYFUNCTION("""COMPUTED_VALUE"""),"USB CON INFORMACIÓN DE LOS MANUALES")</f>
        <v>USB CON INFORMACIÓN DE LOS MANUALES</v>
      </c>
      <c r="I2519"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19" s="213">
        <f>IFERROR(__xludf.DUMMYFUNCTION("""COMPUTED_VALUE"""),3.0)</f>
        <v>3</v>
      </c>
      <c r="K2519" s="213" t="str">
        <f>IFERROR(__xludf.DUMMYFUNCTION("""COMPUTED_VALUE"""),"170 DÍAS CALENDARIO")</f>
        <v>170 DÍAS CALENDARIO</v>
      </c>
      <c r="L2519" s="213" t="str">
        <f>IFERROR(__xludf.DUMMYFUNCTION("""COMPUTED_VALUE"""),"")</f>
        <v/>
      </c>
      <c r="M2519" s="213">
        <f>IFERROR(__xludf.DUMMYFUNCTION("""COMPUTED_VALUE"""),1.0)</f>
        <v>1</v>
      </c>
      <c r="N2519" s="213">
        <f>IFERROR(__xludf.DUMMYFUNCTION("""COMPUTED_VALUE"""),2.0)</f>
        <v>2</v>
      </c>
      <c r="O2519" s="213">
        <f>IFERROR(__xludf.DUMMYFUNCTION("""COMPUTED_VALUE"""),2.0)</f>
        <v>2</v>
      </c>
      <c r="P2519" s="213"/>
      <c r="Q2519" s="213"/>
      <c r="R2519" s="213"/>
      <c r="S2519" s="213"/>
      <c r="T2519" s="213"/>
      <c r="U2519" s="213"/>
      <c r="V2519" s="213"/>
      <c r="W2519" s="213"/>
      <c r="X2519" s="213"/>
      <c r="Y2519" s="213"/>
      <c r="Z2519" s="213"/>
      <c r="AA2519" s="213"/>
      <c r="AB2519" s="213"/>
      <c r="AC2519" s="213"/>
      <c r="AD2519" s="213"/>
      <c r="AE2519" s="213"/>
      <c r="AF2519" s="213"/>
      <c r="AG2519" s="213"/>
      <c r="AH2519" s="213"/>
      <c r="AI2519" s="213"/>
      <c r="AJ2519" s="213"/>
      <c r="AK2519" s="213"/>
      <c r="AL2519" s="213"/>
      <c r="AM2519" s="213"/>
      <c r="AN2519" s="213"/>
      <c r="AO2519" s="213"/>
      <c r="AP2519" s="213"/>
      <c r="AQ2519" s="213"/>
      <c r="AR2519" s="213"/>
      <c r="AS2519" s="213"/>
      <c r="AT2519" s="213"/>
      <c r="AU2519" s="213"/>
      <c r="AV2519" s="213"/>
      <c r="AW2519" s="213"/>
      <c r="AX2519" s="213"/>
      <c r="AY2519" s="213"/>
      <c r="AZ2519" s="213"/>
      <c r="BA2519" s="213"/>
      <c r="BB2519" s="213"/>
      <c r="BC2519" s="213"/>
      <c r="BD2519" s="213"/>
    </row>
    <row r="2520">
      <c r="A2520" s="213">
        <f>IFERROR(__xludf.DUMMYFUNCTION("""COMPUTED_VALUE"""),1211.0)</f>
        <v>1211</v>
      </c>
      <c r="B2520" s="213" t="str">
        <f>IFERROR(__xludf.DUMMYFUNCTION("""COMPUTED_VALUE"""),"FRANCISCO IRAZOLA")</f>
        <v>FRANCISCO IRAZOLA</v>
      </c>
      <c r="C2520" s="213" t="str">
        <f>IFERROR(__xludf.DUMMYFUNCTION("""COMPUTED_VALUE"""),"TALLER SFT DE INDUSTRIA ALIMENTARIA")</f>
        <v>TALLER SFT DE INDUSTRIA ALIMENTARIA</v>
      </c>
      <c r="D2520" s="213" t="str">
        <f>IFERROR(__xludf.DUMMYFUNCTION("""COMPUTED_VALUE"""),"PEDAGOGICO")</f>
        <v>PEDAGOGICO</v>
      </c>
      <c r="E2520" s="213" t="str">
        <f>IFERROR(__xludf.DUMMYFUNCTION("""COMPUTED_VALUE"""),"MAT-465")</f>
        <v>MAT-465</v>
      </c>
      <c r="F2520" s="213" t="str">
        <f>IFERROR(__xludf.DUMMYFUNCTION("""COMPUTED_VALUE"""),"MAT-465")</f>
        <v>MAT-465</v>
      </c>
      <c r="G2520" s="213"/>
      <c r="H2520" s="213" t="str">
        <f>IFERROR(__xludf.DUMMYFUNCTION("""COMPUTED_VALUE"""),"USB CON INFORMACIÓN DE LOS MANUALES")</f>
        <v>USB CON INFORMACIÓN DE LOS MANUALES</v>
      </c>
      <c r="I2520"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20" s="213">
        <f>IFERROR(__xludf.DUMMYFUNCTION("""COMPUTED_VALUE"""),3.0)</f>
        <v>3</v>
      </c>
      <c r="K2520" s="213" t="str">
        <f>IFERROR(__xludf.DUMMYFUNCTION("""COMPUTED_VALUE"""),"170 DÍAS CALENDARIO")</f>
        <v>170 DÍAS CALENDARIO</v>
      </c>
      <c r="L2520" s="213" t="str">
        <f>IFERROR(__xludf.DUMMYFUNCTION("""COMPUTED_VALUE"""),"")</f>
        <v/>
      </c>
      <c r="M2520" s="213">
        <f>IFERROR(__xludf.DUMMYFUNCTION("""COMPUTED_VALUE"""),1.0)</f>
        <v>1</v>
      </c>
      <c r="N2520" s="213">
        <f>IFERROR(__xludf.DUMMYFUNCTION("""COMPUTED_VALUE"""),2.0)</f>
        <v>2</v>
      </c>
      <c r="O2520" s="213">
        <f>IFERROR(__xludf.DUMMYFUNCTION("""COMPUTED_VALUE"""),2.0)</f>
        <v>2</v>
      </c>
      <c r="P2520" s="213"/>
      <c r="Q2520" s="213"/>
      <c r="R2520" s="213"/>
      <c r="S2520" s="213"/>
      <c r="T2520" s="213"/>
      <c r="U2520" s="213"/>
      <c r="V2520" s="213"/>
      <c r="W2520" s="213"/>
      <c r="X2520" s="213"/>
      <c r="Y2520" s="213"/>
      <c r="Z2520" s="213"/>
      <c r="AA2520" s="213"/>
      <c r="AB2520" s="213"/>
      <c r="AC2520" s="213"/>
      <c r="AD2520" s="213"/>
      <c r="AE2520" s="213"/>
      <c r="AF2520" s="213"/>
      <c r="AG2520" s="213"/>
      <c r="AH2520" s="213"/>
      <c r="AI2520" s="213"/>
      <c r="AJ2520" s="213"/>
      <c r="AK2520" s="213"/>
      <c r="AL2520" s="213"/>
      <c r="AM2520" s="213"/>
      <c r="AN2520" s="213"/>
      <c r="AO2520" s="213"/>
      <c r="AP2520" s="213"/>
      <c r="AQ2520" s="213"/>
      <c r="AR2520" s="213"/>
      <c r="AS2520" s="213"/>
      <c r="AT2520" s="213"/>
      <c r="AU2520" s="213"/>
      <c r="AV2520" s="213"/>
      <c r="AW2520" s="213"/>
      <c r="AX2520" s="213"/>
      <c r="AY2520" s="213"/>
      <c r="AZ2520" s="213"/>
      <c r="BA2520" s="213"/>
      <c r="BB2520" s="213"/>
      <c r="BC2520" s="213"/>
      <c r="BD2520" s="213"/>
    </row>
    <row r="2521">
      <c r="A2521" s="213">
        <f>IFERROR(__xludf.DUMMYFUNCTION("""COMPUTED_VALUE"""),1216.0)</f>
        <v>1216</v>
      </c>
      <c r="B2521" s="213" t="str">
        <f>IFERROR(__xludf.DUMMYFUNCTION("""COMPUTED_VALUE"""),"FRANCISCO IRAZOLA")</f>
        <v>FRANCISCO IRAZOLA</v>
      </c>
      <c r="C2521" s="213" t="str">
        <f>IFERROR(__xludf.DUMMYFUNCTION("""COMPUTED_VALUE"""),"TALLER SFT DE INDUSTRIA ALIMENTARIA")</f>
        <v>TALLER SFT DE INDUSTRIA ALIMENTARIA</v>
      </c>
      <c r="D2521" s="213" t="str">
        <f>IFERROR(__xludf.DUMMYFUNCTION("""COMPUTED_VALUE"""),"PEDAGOGICO")</f>
        <v>PEDAGOGICO</v>
      </c>
      <c r="E2521" s="213" t="str">
        <f>IFERROR(__xludf.DUMMYFUNCTION("""COMPUTED_VALUE"""),"MAT-465")</f>
        <v>MAT-465</v>
      </c>
      <c r="F2521" s="213" t="str">
        <f>IFERROR(__xludf.DUMMYFUNCTION("""COMPUTED_VALUE"""),"MAT-465")</f>
        <v>MAT-465</v>
      </c>
      <c r="G2521" s="213"/>
      <c r="H2521" s="213" t="str">
        <f>IFERROR(__xludf.DUMMYFUNCTION("""COMPUTED_VALUE"""),"USB CON INFORMACIÓN DE LOS MANUALES")</f>
        <v>USB CON INFORMACIÓN DE LOS MANUALES</v>
      </c>
      <c r="I2521"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21" s="213">
        <f>IFERROR(__xludf.DUMMYFUNCTION("""COMPUTED_VALUE"""),3.0)</f>
        <v>3</v>
      </c>
      <c r="K2521" s="213" t="str">
        <f>IFERROR(__xludf.DUMMYFUNCTION("""COMPUTED_VALUE"""),"170 DÍAS CALENDARIO")</f>
        <v>170 DÍAS CALENDARIO</v>
      </c>
      <c r="L2521" s="213" t="str">
        <f>IFERROR(__xludf.DUMMYFUNCTION("""COMPUTED_VALUE"""),"")</f>
        <v/>
      </c>
      <c r="M2521" s="213">
        <f>IFERROR(__xludf.DUMMYFUNCTION("""COMPUTED_VALUE"""),1.0)</f>
        <v>1</v>
      </c>
      <c r="N2521" s="213">
        <f>IFERROR(__xludf.DUMMYFUNCTION("""COMPUTED_VALUE"""),2.0)</f>
        <v>2</v>
      </c>
      <c r="O2521" s="213">
        <f>IFERROR(__xludf.DUMMYFUNCTION("""COMPUTED_VALUE"""),2.0)</f>
        <v>2</v>
      </c>
      <c r="P2521" s="213"/>
      <c r="Q2521" s="213"/>
      <c r="R2521" s="213"/>
      <c r="S2521" s="213"/>
      <c r="T2521" s="213"/>
      <c r="U2521" s="213"/>
      <c r="V2521" s="213"/>
      <c r="W2521" s="213"/>
      <c r="X2521" s="213"/>
      <c r="Y2521" s="213"/>
      <c r="Z2521" s="213"/>
      <c r="AA2521" s="213"/>
      <c r="AB2521" s="213"/>
      <c r="AC2521" s="213"/>
      <c r="AD2521" s="213"/>
      <c r="AE2521" s="213"/>
      <c r="AF2521" s="213"/>
      <c r="AG2521" s="213"/>
      <c r="AH2521" s="213"/>
      <c r="AI2521" s="213"/>
      <c r="AJ2521" s="213"/>
      <c r="AK2521" s="213"/>
      <c r="AL2521" s="213"/>
      <c r="AM2521" s="213"/>
      <c r="AN2521" s="213"/>
      <c r="AO2521" s="213"/>
      <c r="AP2521" s="213"/>
      <c r="AQ2521" s="213"/>
      <c r="AR2521" s="213"/>
      <c r="AS2521" s="213"/>
      <c r="AT2521" s="213"/>
      <c r="AU2521" s="213"/>
      <c r="AV2521" s="213"/>
      <c r="AW2521" s="213"/>
      <c r="AX2521" s="213"/>
      <c r="AY2521" s="213"/>
      <c r="AZ2521" s="213"/>
      <c r="BA2521" s="213"/>
      <c r="BB2521" s="213"/>
      <c r="BC2521" s="213"/>
      <c r="BD2521" s="213"/>
    </row>
    <row r="2522">
      <c r="A2522" s="213">
        <f>IFERROR(__xludf.DUMMYFUNCTION("""COMPUTED_VALUE"""),1221.0)</f>
        <v>1221</v>
      </c>
      <c r="B2522" s="213" t="str">
        <f>IFERROR(__xludf.DUMMYFUNCTION("""COMPUTED_VALUE"""),"FRANCISCO IRAZOLA")</f>
        <v>FRANCISCO IRAZOLA</v>
      </c>
      <c r="C2522" s="213" t="str">
        <f>IFERROR(__xludf.DUMMYFUNCTION("""COMPUTED_VALUE"""),"TALLER SFT DE INDUSTRIA ALIMENTARIA")</f>
        <v>TALLER SFT DE INDUSTRIA ALIMENTARIA</v>
      </c>
      <c r="D2522" s="213" t="str">
        <f>IFERROR(__xludf.DUMMYFUNCTION("""COMPUTED_VALUE"""),"PEDAGOGICO")</f>
        <v>PEDAGOGICO</v>
      </c>
      <c r="E2522" s="213" t="str">
        <f>IFERROR(__xludf.DUMMYFUNCTION("""COMPUTED_VALUE"""),"MAT-465")</f>
        <v>MAT-465</v>
      </c>
      <c r="F2522" s="213" t="str">
        <f>IFERROR(__xludf.DUMMYFUNCTION("""COMPUTED_VALUE"""),"MAT-465")</f>
        <v>MAT-465</v>
      </c>
      <c r="G2522" s="213"/>
      <c r="H2522" s="213" t="str">
        <f>IFERROR(__xludf.DUMMYFUNCTION("""COMPUTED_VALUE"""),"USB CON INFORMACIÓN DE LOS MANUALES")</f>
        <v>USB CON INFORMACIÓN DE LOS MANUALES</v>
      </c>
      <c r="I2522"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22" s="213">
        <f>IFERROR(__xludf.DUMMYFUNCTION("""COMPUTED_VALUE"""),3.0)</f>
        <v>3</v>
      </c>
      <c r="K2522" s="213" t="str">
        <f>IFERROR(__xludf.DUMMYFUNCTION("""COMPUTED_VALUE"""),"170 DÍAS CALENDARIO")</f>
        <v>170 DÍAS CALENDARIO</v>
      </c>
      <c r="L2522" s="213" t="str">
        <f>IFERROR(__xludf.DUMMYFUNCTION("""COMPUTED_VALUE"""),"")</f>
        <v/>
      </c>
      <c r="M2522" s="213">
        <f>IFERROR(__xludf.DUMMYFUNCTION("""COMPUTED_VALUE"""),1.0)</f>
        <v>1</v>
      </c>
      <c r="N2522" s="213">
        <f>IFERROR(__xludf.DUMMYFUNCTION("""COMPUTED_VALUE"""),2.0)</f>
        <v>2</v>
      </c>
      <c r="O2522" s="213">
        <f>IFERROR(__xludf.DUMMYFUNCTION("""COMPUTED_VALUE"""),2.0)</f>
        <v>2</v>
      </c>
      <c r="P2522" s="213"/>
      <c r="Q2522" s="213"/>
      <c r="R2522" s="213"/>
      <c r="S2522" s="213"/>
      <c r="T2522" s="213"/>
      <c r="U2522" s="213"/>
      <c r="V2522" s="213"/>
      <c r="W2522" s="213"/>
      <c r="X2522" s="213"/>
      <c r="Y2522" s="213"/>
      <c r="Z2522" s="213"/>
      <c r="AA2522" s="213"/>
      <c r="AB2522" s="213"/>
      <c r="AC2522" s="213"/>
      <c r="AD2522" s="213"/>
      <c r="AE2522" s="213"/>
      <c r="AF2522" s="213"/>
      <c r="AG2522" s="213"/>
      <c r="AH2522" s="213"/>
      <c r="AI2522" s="213"/>
      <c r="AJ2522" s="213"/>
      <c r="AK2522" s="213"/>
      <c r="AL2522" s="213"/>
      <c r="AM2522" s="213"/>
      <c r="AN2522" s="213"/>
      <c r="AO2522" s="213"/>
      <c r="AP2522" s="213"/>
      <c r="AQ2522" s="213"/>
      <c r="AR2522" s="213"/>
      <c r="AS2522" s="213"/>
      <c r="AT2522" s="213"/>
      <c r="AU2522" s="213"/>
      <c r="AV2522" s="213"/>
      <c r="AW2522" s="213"/>
      <c r="AX2522" s="213"/>
      <c r="AY2522" s="213"/>
      <c r="AZ2522" s="213"/>
      <c r="BA2522" s="213"/>
      <c r="BB2522" s="213"/>
      <c r="BC2522" s="213"/>
      <c r="BD2522" s="213"/>
    </row>
    <row r="2523">
      <c r="A2523" s="213">
        <f>IFERROR(__xludf.DUMMYFUNCTION("""COMPUTED_VALUE"""),1226.0)</f>
        <v>1226</v>
      </c>
      <c r="B2523" s="213" t="str">
        <f>IFERROR(__xludf.DUMMYFUNCTION("""COMPUTED_VALUE"""),"FRANCISCO IRAZOLA")</f>
        <v>FRANCISCO IRAZOLA</v>
      </c>
      <c r="C2523" s="213" t="str">
        <f>IFERROR(__xludf.DUMMYFUNCTION("""COMPUTED_VALUE"""),"TALLER SFT DE INDUSTRIA ALIMENTARIA")</f>
        <v>TALLER SFT DE INDUSTRIA ALIMENTARIA</v>
      </c>
      <c r="D2523" s="213" t="str">
        <f>IFERROR(__xludf.DUMMYFUNCTION("""COMPUTED_VALUE"""),"PEDAGOGICO")</f>
        <v>PEDAGOGICO</v>
      </c>
      <c r="E2523" s="213" t="str">
        <f>IFERROR(__xludf.DUMMYFUNCTION("""COMPUTED_VALUE"""),"MAT-465")</f>
        <v>MAT-465</v>
      </c>
      <c r="F2523" s="213" t="str">
        <f>IFERROR(__xludf.DUMMYFUNCTION("""COMPUTED_VALUE"""),"MAT-465")</f>
        <v>MAT-465</v>
      </c>
      <c r="G2523" s="213"/>
      <c r="H2523" s="213" t="str">
        <f>IFERROR(__xludf.DUMMYFUNCTION("""COMPUTED_VALUE"""),"USB CON INFORMACIÓN DE LOS MANUALES")</f>
        <v>USB CON INFORMACIÓN DE LOS MANUALES</v>
      </c>
      <c r="I2523"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23" s="213">
        <f>IFERROR(__xludf.DUMMYFUNCTION("""COMPUTED_VALUE"""),3.0)</f>
        <v>3</v>
      </c>
      <c r="K2523" s="213" t="str">
        <f>IFERROR(__xludf.DUMMYFUNCTION("""COMPUTED_VALUE"""),"170 DÍAS CALENDARIO")</f>
        <v>170 DÍAS CALENDARIO</v>
      </c>
      <c r="L2523" s="213" t="str">
        <f>IFERROR(__xludf.DUMMYFUNCTION("""COMPUTED_VALUE"""),"")</f>
        <v/>
      </c>
      <c r="M2523" s="213">
        <f>IFERROR(__xludf.DUMMYFUNCTION("""COMPUTED_VALUE"""),1.0)</f>
        <v>1</v>
      </c>
      <c r="N2523" s="213">
        <f>IFERROR(__xludf.DUMMYFUNCTION("""COMPUTED_VALUE"""),2.0)</f>
        <v>2</v>
      </c>
      <c r="O2523" s="213">
        <f>IFERROR(__xludf.DUMMYFUNCTION("""COMPUTED_VALUE"""),2.0)</f>
        <v>2</v>
      </c>
      <c r="P2523" s="213"/>
      <c r="Q2523" s="213"/>
      <c r="R2523" s="213"/>
      <c r="S2523" s="213"/>
      <c r="T2523" s="213"/>
      <c r="U2523" s="213"/>
      <c r="V2523" s="213"/>
      <c r="W2523" s="213"/>
      <c r="X2523" s="213"/>
      <c r="Y2523" s="213"/>
      <c r="Z2523" s="213"/>
      <c r="AA2523" s="213"/>
      <c r="AB2523" s="213"/>
      <c r="AC2523" s="213"/>
      <c r="AD2523" s="213"/>
      <c r="AE2523" s="213"/>
      <c r="AF2523" s="213"/>
      <c r="AG2523" s="213"/>
      <c r="AH2523" s="213"/>
      <c r="AI2523" s="213"/>
      <c r="AJ2523" s="213"/>
      <c r="AK2523" s="213"/>
      <c r="AL2523" s="213"/>
      <c r="AM2523" s="213"/>
      <c r="AN2523" s="213"/>
      <c r="AO2523" s="213"/>
      <c r="AP2523" s="213"/>
      <c r="AQ2523" s="213"/>
      <c r="AR2523" s="213"/>
      <c r="AS2523" s="213"/>
      <c r="AT2523" s="213"/>
      <c r="AU2523" s="213"/>
      <c r="AV2523" s="213"/>
      <c r="AW2523" s="213"/>
      <c r="AX2523" s="213"/>
      <c r="AY2523" s="213"/>
      <c r="AZ2523" s="213"/>
      <c r="BA2523" s="213"/>
      <c r="BB2523" s="213"/>
      <c r="BC2523" s="213"/>
      <c r="BD2523" s="213"/>
    </row>
    <row r="2524">
      <c r="A2524" s="213">
        <f>IFERROR(__xludf.DUMMYFUNCTION("""COMPUTED_VALUE"""),1285.0)</f>
        <v>1285</v>
      </c>
      <c r="B2524" s="213" t="str">
        <f>IFERROR(__xludf.DUMMYFUNCTION("""COMPUTED_VALUE"""),"GUILLERMO E. BILLINGHURST ")</f>
        <v>GUILLERMO E. BILLINGHURST </v>
      </c>
      <c r="C2524" s="213" t="str">
        <f>IFERROR(__xludf.DUMMYFUNCTION("""COMPUTED_VALUE"""),"TALLER SFT DE ELECTRICIDAD")</f>
        <v>TALLER SFT DE ELECTRICIDAD</v>
      </c>
      <c r="D2524" s="213" t="str">
        <f>IFERROR(__xludf.DUMMYFUNCTION("""COMPUTED_VALUE"""),"PEDAGOGICO")</f>
        <v>PEDAGOGICO</v>
      </c>
      <c r="E2524" s="213" t="str">
        <f>IFERROR(__xludf.DUMMYFUNCTION("""COMPUTED_VALUE"""),"MAT-464")</f>
        <v>MAT-464</v>
      </c>
      <c r="F2524" s="213" t="str">
        <f>IFERROR(__xludf.DUMMYFUNCTION("""COMPUTED_VALUE"""),"MAT-464")</f>
        <v>MAT-464</v>
      </c>
      <c r="G2524" s="213"/>
      <c r="H2524" s="213" t="str">
        <f>IFERROR(__xludf.DUMMYFUNCTION("""COMPUTED_VALUE"""),"USB CON INFORMACIÓN DE LOS MANUALES")</f>
        <v>USB CON INFORMACIÓN DE LOS MANUALES</v>
      </c>
      <c r="I2524"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24" s="213">
        <f>IFERROR(__xludf.DUMMYFUNCTION("""COMPUTED_VALUE"""),3.0)</f>
        <v>3</v>
      </c>
      <c r="K2524" s="213" t="str">
        <f>IFERROR(__xludf.DUMMYFUNCTION("""COMPUTED_VALUE"""),"170 DÍAS CALENDARIO")</f>
        <v>170 DÍAS CALENDARIO</v>
      </c>
      <c r="L2524" s="213" t="str">
        <f>IFERROR(__xludf.DUMMYFUNCTION("""COMPUTED_VALUE"""),"")</f>
        <v/>
      </c>
      <c r="M2524" s="213">
        <f>IFERROR(__xludf.DUMMYFUNCTION("""COMPUTED_VALUE"""),1.0)</f>
        <v>1</v>
      </c>
      <c r="N2524" s="213">
        <f>IFERROR(__xludf.DUMMYFUNCTION("""COMPUTED_VALUE"""),2.0)</f>
        <v>2</v>
      </c>
      <c r="O2524" s="213">
        <f>IFERROR(__xludf.DUMMYFUNCTION("""COMPUTED_VALUE"""),2.0)</f>
        <v>2</v>
      </c>
      <c r="P2524" s="213"/>
      <c r="Q2524" s="213"/>
      <c r="R2524" s="213"/>
      <c r="S2524" s="213"/>
      <c r="T2524" s="213"/>
      <c r="U2524" s="213"/>
      <c r="V2524" s="213"/>
      <c r="W2524" s="213"/>
      <c r="X2524" s="213"/>
      <c r="Y2524" s="213"/>
      <c r="Z2524" s="213"/>
      <c r="AA2524" s="213"/>
      <c r="AB2524" s="213"/>
      <c r="AC2524" s="213"/>
      <c r="AD2524" s="213"/>
      <c r="AE2524" s="213"/>
      <c r="AF2524" s="213"/>
      <c r="AG2524" s="213"/>
      <c r="AH2524" s="213"/>
      <c r="AI2524" s="213"/>
      <c r="AJ2524" s="213"/>
      <c r="AK2524" s="213"/>
      <c r="AL2524" s="213"/>
      <c r="AM2524" s="213"/>
      <c r="AN2524" s="213"/>
      <c r="AO2524" s="213"/>
      <c r="AP2524" s="213"/>
      <c r="AQ2524" s="213"/>
      <c r="AR2524" s="213"/>
      <c r="AS2524" s="213"/>
      <c r="AT2524" s="213"/>
      <c r="AU2524" s="213"/>
      <c r="AV2524" s="213"/>
      <c r="AW2524" s="213"/>
      <c r="AX2524" s="213"/>
      <c r="AY2524" s="213"/>
      <c r="AZ2524" s="213"/>
      <c r="BA2524" s="213"/>
      <c r="BB2524" s="213"/>
      <c r="BC2524" s="213"/>
      <c r="BD2524" s="213"/>
    </row>
    <row r="2525">
      <c r="A2525" s="213">
        <f>IFERROR(__xludf.DUMMYFUNCTION("""COMPUTED_VALUE"""),1291.0)</f>
        <v>1291</v>
      </c>
      <c r="B2525" s="213" t="str">
        <f>IFERROR(__xludf.DUMMYFUNCTION("""COMPUTED_VALUE"""),"GUILLERMO E. BILLINGHURST ")</f>
        <v>GUILLERMO E. BILLINGHURST </v>
      </c>
      <c r="C2525" s="213" t="str">
        <f>IFERROR(__xludf.DUMMYFUNCTION("""COMPUTED_VALUE"""),"TALLER SFT DE ELECTRICIDAD")</f>
        <v>TALLER SFT DE ELECTRICIDAD</v>
      </c>
      <c r="D2525" s="213" t="str">
        <f>IFERROR(__xludf.DUMMYFUNCTION("""COMPUTED_VALUE"""),"PEDAGOGICO")</f>
        <v>PEDAGOGICO</v>
      </c>
      <c r="E2525" s="213" t="str">
        <f>IFERROR(__xludf.DUMMYFUNCTION("""COMPUTED_VALUE"""),"MAT-465")</f>
        <v>MAT-465</v>
      </c>
      <c r="F2525" s="213" t="str">
        <f>IFERROR(__xludf.DUMMYFUNCTION("""COMPUTED_VALUE"""),"MAT-465")</f>
        <v>MAT-465</v>
      </c>
      <c r="G2525" s="213"/>
      <c r="H2525" s="213" t="str">
        <f>IFERROR(__xludf.DUMMYFUNCTION("""COMPUTED_VALUE"""),"USB CON INFORMACIÓN DE LOS MANUALES")</f>
        <v>USB CON INFORMACIÓN DE LOS MANUALES</v>
      </c>
      <c r="I2525" s="213"/>
      <c r="J2525" s="213">
        <f>IFERROR(__xludf.DUMMYFUNCTION("""COMPUTED_VALUE"""),3.0)</f>
        <v>3</v>
      </c>
      <c r="K2525" s="213" t="str">
        <f>IFERROR(__xludf.DUMMYFUNCTION("""COMPUTED_VALUE"""),"170 DÍAS CALENDARIO")</f>
        <v>170 DÍAS CALENDARIO</v>
      </c>
      <c r="L2525" s="213" t="str">
        <f>IFERROR(__xludf.DUMMYFUNCTION("""COMPUTED_VALUE"""),"")</f>
        <v/>
      </c>
      <c r="M2525" s="213">
        <f>IFERROR(__xludf.DUMMYFUNCTION("""COMPUTED_VALUE"""),1.0)</f>
        <v>1</v>
      </c>
      <c r="N2525" s="213">
        <f>IFERROR(__xludf.DUMMYFUNCTION("""COMPUTED_VALUE"""),2.0)</f>
        <v>2</v>
      </c>
      <c r="O2525" s="213">
        <f>IFERROR(__xludf.DUMMYFUNCTION("""COMPUTED_VALUE"""),2.0)</f>
        <v>2</v>
      </c>
      <c r="P2525" s="213"/>
      <c r="Q2525" s="213"/>
      <c r="R2525" s="213"/>
      <c r="S2525" s="213"/>
      <c r="T2525" s="213"/>
      <c r="U2525" s="213"/>
      <c r="V2525" s="213"/>
      <c r="W2525" s="213"/>
      <c r="X2525" s="213"/>
      <c r="Y2525" s="213"/>
      <c r="Z2525" s="213"/>
      <c r="AA2525" s="213"/>
      <c r="AB2525" s="213"/>
      <c r="AC2525" s="213"/>
      <c r="AD2525" s="213"/>
      <c r="AE2525" s="213"/>
      <c r="AF2525" s="213"/>
      <c r="AG2525" s="213"/>
      <c r="AH2525" s="213"/>
      <c r="AI2525" s="213"/>
      <c r="AJ2525" s="213"/>
      <c r="AK2525" s="213"/>
      <c r="AL2525" s="213"/>
      <c r="AM2525" s="213"/>
      <c r="AN2525" s="213"/>
      <c r="AO2525" s="213"/>
      <c r="AP2525" s="213"/>
      <c r="AQ2525" s="213"/>
      <c r="AR2525" s="213"/>
      <c r="AS2525" s="213"/>
      <c r="AT2525" s="213"/>
      <c r="AU2525" s="213"/>
      <c r="AV2525" s="213"/>
      <c r="AW2525" s="213"/>
      <c r="AX2525" s="213"/>
      <c r="AY2525" s="213"/>
      <c r="AZ2525" s="213"/>
      <c r="BA2525" s="213"/>
      <c r="BB2525" s="213"/>
      <c r="BC2525" s="213"/>
      <c r="BD2525" s="213"/>
    </row>
    <row r="2526">
      <c r="A2526" s="213">
        <f>IFERROR(__xludf.DUMMYFUNCTION("""COMPUTED_VALUE"""),1472.0)</f>
        <v>1472</v>
      </c>
      <c r="B2526" s="213" t="str">
        <f>IFERROR(__xludf.DUMMYFUNCTION("""COMPUTED_VALUE"""),"GUILLERMO E. BILLINGHURST ")</f>
        <v>GUILLERMO E. BILLINGHURST </v>
      </c>
      <c r="C2526" s="213" t="str">
        <f>IFERROR(__xludf.DUMMYFUNCTION("""COMPUTED_VALUE"""),"TALLER SFT DE INDUSTRIA ALIMENTARIA")</f>
        <v>TALLER SFT DE INDUSTRIA ALIMENTARIA</v>
      </c>
      <c r="D2526" s="213" t="str">
        <f>IFERROR(__xludf.DUMMYFUNCTION("""COMPUTED_VALUE"""),"PEDAGOGICO")</f>
        <v>PEDAGOGICO</v>
      </c>
      <c r="E2526" s="213" t="str">
        <f>IFERROR(__xludf.DUMMYFUNCTION("""COMPUTED_VALUE"""),"MAT-465")</f>
        <v>MAT-465</v>
      </c>
      <c r="F2526" s="213" t="str">
        <f>IFERROR(__xludf.DUMMYFUNCTION("""COMPUTED_VALUE"""),"MAT-465")</f>
        <v>MAT-465</v>
      </c>
      <c r="G2526" s="213"/>
      <c r="H2526" s="213" t="str">
        <f>IFERROR(__xludf.DUMMYFUNCTION("""COMPUTED_VALUE"""),"USB CON INFORMACIÓN DE LOS MANUALES")</f>
        <v>USB CON INFORMACIÓN DE LOS MANUALES</v>
      </c>
      <c r="I2526"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26" s="213">
        <f>IFERROR(__xludf.DUMMYFUNCTION("""COMPUTED_VALUE"""),3.0)</f>
        <v>3</v>
      </c>
      <c r="K2526" s="213" t="str">
        <f>IFERROR(__xludf.DUMMYFUNCTION("""COMPUTED_VALUE"""),"170 DÍAS CALENDARIO")</f>
        <v>170 DÍAS CALENDARIO</v>
      </c>
      <c r="L2526" s="213" t="str">
        <f>IFERROR(__xludf.DUMMYFUNCTION("""COMPUTED_VALUE"""),"")</f>
        <v/>
      </c>
      <c r="M2526" s="213">
        <f>IFERROR(__xludf.DUMMYFUNCTION("""COMPUTED_VALUE"""),1.0)</f>
        <v>1</v>
      </c>
      <c r="N2526" s="213">
        <f>IFERROR(__xludf.DUMMYFUNCTION("""COMPUTED_VALUE"""),2.0)</f>
        <v>2</v>
      </c>
      <c r="O2526" s="213">
        <f>IFERROR(__xludf.DUMMYFUNCTION("""COMPUTED_VALUE"""),2.0)</f>
        <v>2</v>
      </c>
      <c r="P2526" s="213"/>
      <c r="Q2526" s="213"/>
      <c r="R2526" s="213"/>
      <c r="S2526" s="213"/>
      <c r="T2526" s="213"/>
      <c r="U2526" s="213"/>
      <c r="V2526" s="213"/>
      <c r="W2526" s="213"/>
      <c r="X2526" s="213"/>
      <c r="Y2526" s="213"/>
      <c r="Z2526" s="213"/>
      <c r="AA2526" s="213"/>
      <c r="AB2526" s="213"/>
      <c r="AC2526" s="213"/>
      <c r="AD2526" s="213"/>
      <c r="AE2526" s="213"/>
      <c r="AF2526" s="213"/>
      <c r="AG2526" s="213"/>
      <c r="AH2526" s="213"/>
      <c r="AI2526" s="213"/>
      <c r="AJ2526" s="213"/>
      <c r="AK2526" s="213"/>
      <c r="AL2526" s="213"/>
      <c r="AM2526" s="213"/>
      <c r="AN2526" s="213"/>
      <c r="AO2526" s="213"/>
      <c r="AP2526" s="213"/>
      <c r="AQ2526" s="213"/>
      <c r="AR2526" s="213"/>
      <c r="AS2526" s="213"/>
      <c r="AT2526" s="213"/>
      <c r="AU2526" s="213"/>
      <c r="AV2526" s="213"/>
      <c r="AW2526" s="213"/>
      <c r="AX2526" s="213"/>
      <c r="AY2526" s="213"/>
      <c r="AZ2526" s="213"/>
      <c r="BA2526" s="213"/>
      <c r="BB2526" s="213"/>
      <c r="BC2526" s="213"/>
      <c r="BD2526" s="213"/>
    </row>
    <row r="2527">
      <c r="A2527" s="213">
        <f>IFERROR(__xludf.DUMMYFUNCTION("""COMPUTED_VALUE"""),1477.0)</f>
        <v>1477</v>
      </c>
      <c r="B2527" s="213" t="str">
        <f>IFERROR(__xludf.DUMMYFUNCTION("""COMPUTED_VALUE"""),"GUILLERMO E. BILLINGHURST ")</f>
        <v>GUILLERMO E. BILLINGHURST </v>
      </c>
      <c r="C2527" s="213" t="str">
        <f>IFERROR(__xludf.DUMMYFUNCTION("""COMPUTED_VALUE"""),"TALLER SFT DE INDUSTRIA ALIMENTARIA")</f>
        <v>TALLER SFT DE INDUSTRIA ALIMENTARIA</v>
      </c>
      <c r="D2527" s="213" t="str">
        <f>IFERROR(__xludf.DUMMYFUNCTION("""COMPUTED_VALUE"""),"PEDAGOGICO")</f>
        <v>PEDAGOGICO</v>
      </c>
      <c r="E2527" s="213" t="str">
        <f>IFERROR(__xludf.DUMMYFUNCTION("""COMPUTED_VALUE"""),"MAT-465")</f>
        <v>MAT-465</v>
      </c>
      <c r="F2527" s="213" t="str">
        <f>IFERROR(__xludf.DUMMYFUNCTION("""COMPUTED_VALUE"""),"MAT-465")</f>
        <v>MAT-465</v>
      </c>
      <c r="G2527" s="213"/>
      <c r="H2527" s="213" t="str">
        <f>IFERROR(__xludf.DUMMYFUNCTION("""COMPUTED_VALUE"""),"USB CON INFORMACIÓN DE LOS MANUALES")</f>
        <v>USB CON INFORMACIÓN DE LOS MANUALES</v>
      </c>
      <c r="I2527"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27" s="213">
        <f>IFERROR(__xludf.DUMMYFUNCTION("""COMPUTED_VALUE"""),3.0)</f>
        <v>3</v>
      </c>
      <c r="K2527" s="213" t="str">
        <f>IFERROR(__xludf.DUMMYFUNCTION("""COMPUTED_VALUE"""),"170 DÍAS CALENDARIO")</f>
        <v>170 DÍAS CALENDARIO</v>
      </c>
      <c r="L2527" s="213" t="str">
        <f>IFERROR(__xludf.DUMMYFUNCTION("""COMPUTED_VALUE"""),"")</f>
        <v/>
      </c>
      <c r="M2527" s="213">
        <f>IFERROR(__xludf.DUMMYFUNCTION("""COMPUTED_VALUE"""),1.0)</f>
        <v>1</v>
      </c>
      <c r="N2527" s="213">
        <f>IFERROR(__xludf.DUMMYFUNCTION("""COMPUTED_VALUE"""),2.0)</f>
        <v>2</v>
      </c>
      <c r="O2527" s="213">
        <f>IFERROR(__xludf.DUMMYFUNCTION("""COMPUTED_VALUE"""),2.0)</f>
        <v>2</v>
      </c>
      <c r="P2527" s="213"/>
      <c r="Q2527" s="213"/>
      <c r="R2527" s="213"/>
      <c r="S2527" s="213"/>
      <c r="T2527" s="213"/>
      <c r="U2527" s="213"/>
      <c r="V2527" s="213"/>
      <c r="W2527" s="213"/>
      <c r="X2527" s="213"/>
      <c r="Y2527" s="213"/>
      <c r="Z2527" s="213"/>
      <c r="AA2527" s="213"/>
      <c r="AB2527" s="213"/>
      <c r="AC2527" s="213"/>
      <c r="AD2527" s="213"/>
      <c r="AE2527" s="213"/>
      <c r="AF2527" s="213"/>
      <c r="AG2527" s="213"/>
      <c r="AH2527" s="213"/>
      <c r="AI2527" s="213"/>
      <c r="AJ2527" s="213"/>
      <c r="AK2527" s="213"/>
      <c r="AL2527" s="213"/>
      <c r="AM2527" s="213"/>
      <c r="AN2527" s="213"/>
      <c r="AO2527" s="213"/>
      <c r="AP2527" s="213"/>
      <c r="AQ2527" s="213"/>
      <c r="AR2527" s="213"/>
      <c r="AS2527" s="213"/>
      <c r="AT2527" s="213"/>
      <c r="AU2527" s="213"/>
      <c r="AV2527" s="213"/>
      <c r="AW2527" s="213"/>
      <c r="AX2527" s="213"/>
      <c r="AY2527" s="213"/>
      <c r="AZ2527" s="213"/>
      <c r="BA2527" s="213"/>
      <c r="BB2527" s="213"/>
      <c r="BC2527" s="213"/>
      <c r="BD2527" s="213"/>
    </row>
    <row r="2528">
      <c r="A2528" s="213">
        <f>IFERROR(__xludf.DUMMYFUNCTION("""COMPUTED_VALUE"""),1482.0)</f>
        <v>1482</v>
      </c>
      <c r="B2528" s="213" t="str">
        <f>IFERROR(__xludf.DUMMYFUNCTION("""COMPUTED_VALUE"""),"GUILLERMO E. BILLINGHURST ")</f>
        <v>GUILLERMO E. BILLINGHURST </v>
      </c>
      <c r="C2528" s="213" t="str">
        <f>IFERROR(__xludf.DUMMYFUNCTION("""COMPUTED_VALUE"""),"TALLER SFT DE INDUSTRIA ALIMENTARIA")</f>
        <v>TALLER SFT DE INDUSTRIA ALIMENTARIA</v>
      </c>
      <c r="D2528" s="213" t="str">
        <f>IFERROR(__xludf.DUMMYFUNCTION("""COMPUTED_VALUE"""),"PEDAGOGICO")</f>
        <v>PEDAGOGICO</v>
      </c>
      <c r="E2528" s="213" t="str">
        <f>IFERROR(__xludf.DUMMYFUNCTION("""COMPUTED_VALUE"""),"MAT-465")</f>
        <v>MAT-465</v>
      </c>
      <c r="F2528" s="213" t="str">
        <f>IFERROR(__xludf.DUMMYFUNCTION("""COMPUTED_VALUE"""),"MAT-465")</f>
        <v>MAT-465</v>
      </c>
      <c r="G2528" s="213"/>
      <c r="H2528" s="213" t="str">
        <f>IFERROR(__xludf.DUMMYFUNCTION("""COMPUTED_VALUE"""),"USB CON INFORMACIÓN DE LOS MANUALES")</f>
        <v>USB CON INFORMACIÓN DE LOS MANUALES</v>
      </c>
      <c r="I252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28" s="213">
        <f>IFERROR(__xludf.DUMMYFUNCTION("""COMPUTED_VALUE"""),3.0)</f>
        <v>3</v>
      </c>
      <c r="K2528" s="213" t="str">
        <f>IFERROR(__xludf.DUMMYFUNCTION("""COMPUTED_VALUE"""),"170 DÍAS CALENDARIO")</f>
        <v>170 DÍAS CALENDARIO</v>
      </c>
      <c r="L2528" s="213" t="str">
        <f>IFERROR(__xludf.DUMMYFUNCTION("""COMPUTED_VALUE"""),"")</f>
        <v/>
      </c>
      <c r="M2528" s="213">
        <f>IFERROR(__xludf.DUMMYFUNCTION("""COMPUTED_VALUE"""),1.0)</f>
        <v>1</v>
      </c>
      <c r="N2528" s="213">
        <f>IFERROR(__xludf.DUMMYFUNCTION("""COMPUTED_VALUE"""),2.0)</f>
        <v>2</v>
      </c>
      <c r="O2528" s="213">
        <f>IFERROR(__xludf.DUMMYFUNCTION("""COMPUTED_VALUE"""),2.0)</f>
        <v>2</v>
      </c>
      <c r="P2528" s="213"/>
      <c r="Q2528" s="213"/>
      <c r="R2528" s="213"/>
      <c r="S2528" s="213"/>
      <c r="T2528" s="213"/>
      <c r="U2528" s="213"/>
      <c r="V2528" s="213"/>
      <c r="W2528" s="213"/>
      <c r="X2528" s="213"/>
      <c r="Y2528" s="213"/>
      <c r="Z2528" s="213"/>
      <c r="AA2528" s="213"/>
      <c r="AB2528" s="213"/>
      <c r="AC2528" s="213"/>
      <c r="AD2528" s="213"/>
      <c r="AE2528" s="213"/>
      <c r="AF2528" s="213"/>
      <c r="AG2528" s="213"/>
      <c r="AH2528" s="213"/>
      <c r="AI2528" s="213"/>
      <c r="AJ2528" s="213"/>
      <c r="AK2528" s="213"/>
      <c r="AL2528" s="213"/>
      <c r="AM2528" s="213"/>
      <c r="AN2528" s="213"/>
      <c r="AO2528" s="213"/>
      <c r="AP2528" s="213"/>
      <c r="AQ2528" s="213"/>
      <c r="AR2528" s="213"/>
      <c r="AS2528" s="213"/>
      <c r="AT2528" s="213"/>
      <c r="AU2528" s="213"/>
      <c r="AV2528" s="213"/>
      <c r="AW2528" s="213"/>
      <c r="AX2528" s="213"/>
      <c r="AY2528" s="213"/>
      <c r="AZ2528" s="213"/>
      <c r="BA2528" s="213"/>
      <c r="BB2528" s="213"/>
      <c r="BC2528" s="213"/>
      <c r="BD2528" s="213"/>
    </row>
    <row r="2529">
      <c r="A2529" s="213">
        <f>IFERROR(__xludf.DUMMYFUNCTION("""COMPUTED_VALUE"""),1487.0)</f>
        <v>1487</v>
      </c>
      <c r="B2529" s="213" t="str">
        <f>IFERROR(__xludf.DUMMYFUNCTION("""COMPUTED_VALUE"""),"GUILLERMO E. BILLINGHURST ")</f>
        <v>GUILLERMO E. BILLINGHURST </v>
      </c>
      <c r="C2529" s="213" t="str">
        <f>IFERROR(__xludf.DUMMYFUNCTION("""COMPUTED_VALUE"""),"TALLER SFT DE INDUSTRIA ALIMENTARIA")</f>
        <v>TALLER SFT DE INDUSTRIA ALIMENTARIA</v>
      </c>
      <c r="D2529" s="213" t="str">
        <f>IFERROR(__xludf.DUMMYFUNCTION("""COMPUTED_VALUE"""),"PEDAGOGICO")</f>
        <v>PEDAGOGICO</v>
      </c>
      <c r="E2529" s="213" t="str">
        <f>IFERROR(__xludf.DUMMYFUNCTION("""COMPUTED_VALUE"""),"MAT-465")</f>
        <v>MAT-465</v>
      </c>
      <c r="F2529" s="213" t="str">
        <f>IFERROR(__xludf.DUMMYFUNCTION("""COMPUTED_VALUE"""),"MAT-465")</f>
        <v>MAT-465</v>
      </c>
      <c r="G2529" s="213"/>
      <c r="H2529" s="213" t="str">
        <f>IFERROR(__xludf.DUMMYFUNCTION("""COMPUTED_VALUE"""),"USB CON INFORMACIÓN DE LOS MANUALES")</f>
        <v>USB CON INFORMACIÓN DE LOS MANUALES</v>
      </c>
      <c r="I2529"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29" s="213">
        <f>IFERROR(__xludf.DUMMYFUNCTION("""COMPUTED_VALUE"""),3.0)</f>
        <v>3</v>
      </c>
      <c r="K2529" s="213" t="str">
        <f>IFERROR(__xludf.DUMMYFUNCTION("""COMPUTED_VALUE"""),"170 DÍAS CALENDARIO")</f>
        <v>170 DÍAS CALENDARIO</v>
      </c>
      <c r="L2529" s="213" t="str">
        <f>IFERROR(__xludf.DUMMYFUNCTION("""COMPUTED_VALUE"""),"")</f>
        <v/>
      </c>
      <c r="M2529" s="213">
        <f>IFERROR(__xludf.DUMMYFUNCTION("""COMPUTED_VALUE"""),1.0)</f>
        <v>1</v>
      </c>
      <c r="N2529" s="213">
        <f>IFERROR(__xludf.DUMMYFUNCTION("""COMPUTED_VALUE"""),2.0)</f>
        <v>2</v>
      </c>
      <c r="O2529" s="213">
        <f>IFERROR(__xludf.DUMMYFUNCTION("""COMPUTED_VALUE"""),2.0)</f>
        <v>2</v>
      </c>
      <c r="P2529" s="213"/>
      <c r="Q2529" s="213"/>
      <c r="R2529" s="213"/>
      <c r="S2529" s="213"/>
      <c r="T2529" s="213"/>
      <c r="U2529" s="213"/>
      <c r="V2529" s="213"/>
      <c r="W2529" s="213"/>
      <c r="X2529" s="213"/>
      <c r="Y2529" s="213"/>
      <c r="Z2529" s="213"/>
      <c r="AA2529" s="213"/>
      <c r="AB2529" s="213"/>
      <c r="AC2529" s="213"/>
      <c r="AD2529" s="213"/>
      <c r="AE2529" s="213"/>
      <c r="AF2529" s="213"/>
      <c r="AG2529" s="213"/>
      <c r="AH2529" s="213"/>
      <c r="AI2529" s="213"/>
      <c r="AJ2529" s="213"/>
      <c r="AK2529" s="213"/>
      <c r="AL2529" s="213"/>
      <c r="AM2529" s="213"/>
      <c r="AN2529" s="213"/>
      <c r="AO2529" s="213"/>
      <c r="AP2529" s="213"/>
      <c r="AQ2529" s="213"/>
      <c r="AR2529" s="213"/>
      <c r="AS2529" s="213"/>
      <c r="AT2529" s="213"/>
      <c r="AU2529" s="213"/>
      <c r="AV2529" s="213"/>
      <c r="AW2529" s="213"/>
      <c r="AX2529" s="213"/>
      <c r="AY2529" s="213"/>
      <c r="AZ2529" s="213"/>
      <c r="BA2529" s="213"/>
      <c r="BB2529" s="213"/>
      <c r="BC2529" s="213"/>
      <c r="BD2529" s="213"/>
    </row>
    <row r="2530">
      <c r="A2530" s="213">
        <f>IFERROR(__xludf.DUMMYFUNCTION("""COMPUTED_VALUE"""),1492.0)</f>
        <v>1492</v>
      </c>
      <c r="B2530" s="213" t="str">
        <f>IFERROR(__xludf.DUMMYFUNCTION("""COMPUTED_VALUE"""),"GUILLERMO E. BILLINGHURST ")</f>
        <v>GUILLERMO E. BILLINGHURST </v>
      </c>
      <c r="C2530" s="213" t="str">
        <f>IFERROR(__xludf.DUMMYFUNCTION("""COMPUTED_VALUE"""),"TALLER SFT DE INDUSTRIA ALIMENTARIA")</f>
        <v>TALLER SFT DE INDUSTRIA ALIMENTARIA</v>
      </c>
      <c r="D2530" s="213" t="str">
        <f>IFERROR(__xludf.DUMMYFUNCTION("""COMPUTED_VALUE"""),"PEDAGOGICO")</f>
        <v>PEDAGOGICO</v>
      </c>
      <c r="E2530" s="213" t="str">
        <f>IFERROR(__xludf.DUMMYFUNCTION("""COMPUTED_VALUE"""),"MAT-465")</f>
        <v>MAT-465</v>
      </c>
      <c r="F2530" s="213" t="str">
        <f>IFERROR(__xludf.DUMMYFUNCTION("""COMPUTED_VALUE"""),"MAT-465")</f>
        <v>MAT-465</v>
      </c>
      <c r="G2530" s="213"/>
      <c r="H2530" s="213" t="str">
        <f>IFERROR(__xludf.DUMMYFUNCTION("""COMPUTED_VALUE"""),"USB CON INFORMACIÓN DE LOS MANUALES")</f>
        <v>USB CON INFORMACIÓN DE LOS MANUALES</v>
      </c>
      <c r="I2530"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0" s="213">
        <f>IFERROR(__xludf.DUMMYFUNCTION("""COMPUTED_VALUE"""),3.0)</f>
        <v>3</v>
      </c>
      <c r="K2530" s="213" t="str">
        <f>IFERROR(__xludf.DUMMYFUNCTION("""COMPUTED_VALUE"""),"170 DÍAS CALENDARIO")</f>
        <v>170 DÍAS CALENDARIO</v>
      </c>
      <c r="L2530" s="213" t="str">
        <f>IFERROR(__xludf.DUMMYFUNCTION("""COMPUTED_VALUE"""),"")</f>
        <v/>
      </c>
      <c r="M2530" s="213">
        <f>IFERROR(__xludf.DUMMYFUNCTION("""COMPUTED_VALUE"""),1.0)</f>
        <v>1</v>
      </c>
      <c r="N2530" s="213">
        <f>IFERROR(__xludf.DUMMYFUNCTION("""COMPUTED_VALUE"""),2.0)</f>
        <v>2</v>
      </c>
      <c r="O2530" s="213">
        <f>IFERROR(__xludf.DUMMYFUNCTION("""COMPUTED_VALUE"""),2.0)</f>
        <v>2</v>
      </c>
      <c r="P2530" s="213"/>
      <c r="Q2530" s="213"/>
      <c r="R2530" s="213"/>
      <c r="S2530" s="213"/>
      <c r="T2530" s="213"/>
      <c r="U2530" s="213"/>
      <c r="V2530" s="213"/>
      <c r="W2530" s="213"/>
      <c r="X2530" s="213"/>
      <c r="Y2530" s="213"/>
      <c r="Z2530" s="213"/>
      <c r="AA2530" s="213"/>
      <c r="AB2530" s="213"/>
      <c r="AC2530" s="213"/>
      <c r="AD2530" s="213"/>
      <c r="AE2530" s="213"/>
      <c r="AF2530" s="213"/>
      <c r="AG2530" s="213"/>
      <c r="AH2530" s="213"/>
      <c r="AI2530" s="213"/>
      <c r="AJ2530" s="213"/>
      <c r="AK2530" s="213"/>
      <c r="AL2530" s="213"/>
      <c r="AM2530" s="213"/>
      <c r="AN2530" s="213"/>
      <c r="AO2530" s="213"/>
      <c r="AP2530" s="213"/>
      <c r="AQ2530" s="213"/>
      <c r="AR2530" s="213"/>
      <c r="AS2530" s="213"/>
      <c r="AT2530" s="213"/>
      <c r="AU2530" s="213"/>
      <c r="AV2530" s="213"/>
      <c r="AW2530" s="213"/>
      <c r="AX2530" s="213"/>
      <c r="AY2530" s="213"/>
      <c r="AZ2530" s="213"/>
      <c r="BA2530" s="213"/>
      <c r="BB2530" s="213"/>
      <c r="BC2530" s="213"/>
      <c r="BD2530" s="213"/>
    </row>
    <row r="2531">
      <c r="A2531" s="213">
        <f>IFERROR(__xludf.DUMMYFUNCTION("""COMPUTED_VALUE"""),1497.0)</f>
        <v>1497</v>
      </c>
      <c r="B2531" s="213" t="str">
        <f>IFERROR(__xludf.DUMMYFUNCTION("""COMPUTED_VALUE"""),"GUILLERMO E. BILLINGHURST ")</f>
        <v>GUILLERMO E. BILLINGHURST </v>
      </c>
      <c r="C2531" s="213" t="str">
        <f>IFERROR(__xludf.DUMMYFUNCTION("""COMPUTED_VALUE"""),"TALLER SFT DE INDUSTRIA ALIMENTARIA")</f>
        <v>TALLER SFT DE INDUSTRIA ALIMENTARIA</v>
      </c>
      <c r="D2531" s="213" t="str">
        <f>IFERROR(__xludf.DUMMYFUNCTION("""COMPUTED_VALUE"""),"PEDAGOGICO")</f>
        <v>PEDAGOGICO</v>
      </c>
      <c r="E2531" s="213" t="str">
        <f>IFERROR(__xludf.DUMMYFUNCTION("""COMPUTED_VALUE"""),"MAT-465")</f>
        <v>MAT-465</v>
      </c>
      <c r="F2531" s="213" t="str">
        <f>IFERROR(__xludf.DUMMYFUNCTION("""COMPUTED_VALUE"""),"MAT-465")</f>
        <v>MAT-465</v>
      </c>
      <c r="G2531" s="213"/>
      <c r="H2531" s="213" t="str">
        <f>IFERROR(__xludf.DUMMYFUNCTION("""COMPUTED_VALUE"""),"USB CON INFORMACIÓN DE LOS MANUALES")</f>
        <v>USB CON INFORMACIÓN DE LOS MANUALES</v>
      </c>
      <c r="I2531"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1" s="213">
        <f>IFERROR(__xludf.DUMMYFUNCTION("""COMPUTED_VALUE"""),3.0)</f>
        <v>3</v>
      </c>
      <c r="K2531" s="213" t="str">
        <f>IFERROR(__xludf.DUMMYFUNCTION("""COMPUTED_VALUE"""),"170 DÍAS CALENDARIO")</f>
        <v>170 DÍAS CALENDARIO</v>
      </c>
      <c r="L2531" s="213" t="str">
        <f>IFERROR(__xludf.DUMMYFUNCTION("""COMPUTED_VALUE"""),"")</f>
        <v/>
      </c>
      <c r="M2531" s="213">
        <f>IFERROR(__xludf.DUMMYFUNCTION("""COMPUTED_VALUE"""),1.0)</f>
        <v>1</v>
      </c>
      <c r="N2531" s="213">
        <f>IFERROR(__xludf.DUMMYFUNCTION("""COMPUTED_VALUE"""),2.0)</f>
        <v>2</v>
      </c>
      <c r="O2531" s="213">
        <f>IFERROR(__xludf.DUMMYFUNCTION("""COMPUTED_VALUE"""),2.0)</f>
        <v>2</v>
      </c>
      <c r="P2531" s="213"/>
      <c r="Q2531" s="213"/>
      <c r="R2531" s="213"/>
      <c r="S2531" s="213"/>
      <c r="T2531" s="213"/>
      <c r="U2531" s="213"/>
      <c r="V2531" s="213"/>
      <c r="W2531" s="213"/>
      <c r="X2531" s="213"/>
      <c r="Y2531" s="213"/>
      <c r="Z2531" s="213"/>
      <c r="AA2531" s="213"/>
      <c r="AB2531" s="213"/>
      <c r="AC2531" s="213"/>
      <c r="AD2531" s="213"/>
      <c r="AE2531" s="213"/>
      <c r="AF2531" s="213"/>
      <c r="AG2531" s="213"/>
      <c r="AH2531" s="213"/>
      <c r="AI2531" s="213"/>
      <c r="AJ2531" s="213"/>
      <c r="AK2531" s="213"/>
      <c r="AL2531" s="213"/>
      <c r="AM2531" s="213"/>
      <c r="AN2531" s="213"/>
      <c r="AO2531" s="213"/>
      <c r="AP2531" s="213"/>
      <c r="AQ2531" s="213"/>
      <c r="AR2531" s="213"/>
      <c r="AS2531" s="213"/>
      <c r="AT2531" s="213"/>
      <c r="AU2531" s="213"/>
      <c r="AV2531" s="213"/>
      <c r="AW2531" s="213"/>
      <c r="AX2531" s="213"/>
      <c r="AY2531" s="213"/>
      <c r="AZ2531" s="213"/>
      <c r="BA2531" s="213"/>
      <c r="BB2531" s="213"/>
      <c r="BC2531" s="213"/>
      <c r="BD2531" s="213"/>
    </row>
    <row r="2532">
      <c r="A2532" s="213">
        <f>IFERROR(__xludf.DUMMYFUNCTION("""COMPUTED_VALUE"""),1613.0)</f>
        <v>1613</v>
      </c>
      <c r="B2532" s="213" t="str">
        <f>IFERROR(__xludf.DUMMYFUNCTION("""COMPUTED_VALUE"""),"GUILLERMO E. BILLINGHURST ")</f>
        <v>GUILLERMO E. BILLINGHURST </v>
      </c>
      <c r="C2532" s="213" t="str">
        <f>IFERROR(__xludf.DUMMYFUNCTION("""COMPUTED_VALUE"""),"TALLER SFT DE MECÁNICA AUTOMOTRIZ")</f>
        <v>TALLER SFT DE MECÁNICA AUTOMOTRIZ</v>
      </c>
      <c r="D2532" s="213" t="str">
        <f>IFERROR(__xludf.DUMMYFUNCTION("""COMPUTED_VALUE"""),"PEDAGOGICO")</f>
        <v>PEDAGOGICO</v>
      </c>
      <c r="E2532" s="213" t="str">
        <f>IFERROR(__xludf.DUMMYFUNCTION("""COMPUTED_VALUE"""),"MAT-465")</f>
        <v>MAT-465</v>
      </c>
      <c r="F2532" s="213" t="str">
        <f>IFERROR(__xludf.DUMMYFUNCTION("""COMPUTED_VALUE"""),"MAT-465")</f>
        <v>MAT-465</v>
      </c>
      <c r="G2532" s="213"/>
      <c r="H2532" s="213" t="str">
        <f>IFERROR(__xludf.DUMMYFUNCTION("""COMPUTED_VALUE"""),"USB CON INFORMACIÓN DE LOS MANUALES")</f>
        <v>USB CON INFORMACIÓN DE LOS MANUALES</v>
      </c>
      <c r="I2532"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2" s="213">
        <f>IFERROR(__xludf.DUMMYFUNCTION("""COMPUTED_VALUE"""),3.0)</f>
        <v>3</v>
      </c>
      <c r="K2532" s="213" t="str">
        <f>IFERROR(__xludf.DUMMYFUNCTION("""COMPUTED_VALUE"""),"170 DÍAS CALENDARIO")</f>
        <v>170 DÍAS CALENDARIO</v>
      </c>
      <c r="L2532" s="213" t="str">
        <f>IFERROR(__xludf.DUMMYFUNCTION("""COMPUTED_VALUE"""),"")</f>
        <v/>
      </c>
      <c r="M2532" s="213">
        <f>IFERROR(__xludf.DUMMYFUNCTION("""COMPUTED_VALUE"""),1.0)</f>
        <v>1</v>
      </c>
      <c r="N2532" s="213">
        <f>IFERROR(__xludf.DUMMYFUNCTION("""COMPUTED_VALUE"""),2.0)</f>
        <v>2</v>
      </c>
      <c r="O2532" s="213">
        <f>IFERROR(__xludf.DUMMYFUNCTION("""COMPUTED_VALUE"""),2.0)</f>
        <v>2</v>
      </c>
      <c r="P2532" s="213"/>
      <c r="Q2532" s="213"/>
      <c r="R2532" s="213"/>
      <c r="S2532" s="213"/>
      <c r="T2532" s="213"/>
      <c r="U2532" s="213"/>
      <c r="V2532" s="213"/>
      <c r="W2532" s="213"/>
      <c r="X2532" s="213"/>
      <c r="Y2532" s="213"/>
      <c r="Z2532" s="213"/>
      <c r="AA2532" s="213"/>
      <c r="AB2532" s="213"/>
      <c r="AC2532" s="213"/>
      <c r="AD2532" s="213"/>
      <c r="AE2532" s="213"/>
      <c r="AF2532" s="213"/>
      <c r="AG2532" s="213"/>
      <c r="AH2532" s="213"/>
      <c r="AI2532" s="213"/>
      <c r="AJ2532" s="213"/>
      <c r="AK2532" s="213"/>
      <c r="AL2532" s="213"/>
      <c r="AM2532" s="213"/>
      <c r="AN2532" s="213"/>
      <c r="AO2532" s="213"/>
      <c r="AP2532" s="213"/>
      <c r="AQ2532" s="213"/>
      <c r="AR2532" s="213"/>
      <c r="AS2532" s="213"/>
      <c r="AT2532" s="213"/>
      <c r="AU2532" s="213"/>
      <c r="AV2532" s="213"/>
      <c r="AW2532" s="213"/>
      <c r="AX2532" s="213"/>
      <c r="AY2532" s="213"/>
      <c r="AZ2532" s="213"/>
      <c r="BA2532" s="213"/>
      <c r="BB2532" s="213"/>
      <c r="BC2532" s="213"/>
      <c r="BD2532" s="213"/>
    </row>
    <row r="2533">
      <c r="A2533" s="213">
        <f>IFERROR(__xludf.DUMMYFUNCTION("""COMPUTED_VALUE"""),1619.0)</f>
        <v>1619</v>
      </c>
      <c r="B2533" s="213" t="str">
        <f>IFERROR(__xludf.DUMMYFUNCTION("""COMPUTED_VALUE"""),"GUILLERMO E. BILLINGHURST ")</f>
        <v>GUILLERMO E. BILLINGHURST </v>
      </c>
      <c r="C2533" s="213" t="str">
        <f>IFERROR(__xludf.DUMMYFUNCTION("""COMPUTED_VALUE"""),"TALLER SFT DE MECÁNICA AUTOMOTRIZ")</f>
        <v>TALLER SFT DE MECÁNICA AUTOMOTRIZ</v>
      </c>
      <c r="D2533" s="213" t="str">
        <f>IFERROR(__xludf.DUMMYFUNCTION("""COMPUTED_VALUE"""),"PEDAGOGICO")</f>
        <v>PEDAGOGICO</v>
      </c>
      <c r="E2533" s="213" t="str">
        <f>IFERROR(__xludf.DUMMYFUNCTION("""COMPUTED_VALUE"""),"MAT-465")</f>
        <v>MAT-465</v>
      </c>
      <c r="F2533" s="213" t="str">
        <f>IFERROR(__xludf.DUMMYFUNCTION("""COMPUTED_VALUE"""),"MAT-465")</f>
        <v>MAT-465</v>
      </c>
      <c r="G2533" s="213"/>
      <c r="H2533" s="213" t="str">
        <f>IFERROR(__xludf.DUMMYFUNCTION("""COMPUTED_VALUE"""),"USB CON INFORMACIÓN DE LOS MANUALES")</f>
        <v>USB CON INFORMACIÓN DE LOS MANUALES</v>
      </c>
      <c r="I2533"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3" s="213">
        <f>IFERROR(__xludf.DUMMYFUNCTION("""COMPUTED_VALUE"""),3.0)</f>
        <v>3</v>
      </c>
      <c r="K2533" s="213" t="str">
        <f>IFERROR(__xludf.DUMMYFUNCTION("""COMPUTED_VALUE"""),"170 DÍAS CALENDARIO")</f>
        <v>170 DÍAS CALENDARIO</v>
      </c>
      <c r="L2533" s="213" t="str">
        <f>IFERROR(__xludf.DUMMYFUNCTION("""COMPUTED_VALUE"""),"")</f>
        <v/>
      </c>
      <c r="M2533" s="213">
        <f>IFERROR(__xludf.DUMMYFUNCTION("""COMPUTED_VALUE"""),1.0)</f>
        <v>1</v>
      </c>
      <c r="N2533" s="213">
        <f>IFERROR(__xludf.DUMMYFUNCTION("""COMPUTED_VALUE"""),2.0)</f>
        <v>2</v>
      </c>
      <c r="O2533" s="213">
        <f>IFERROR(__xludf.DUMMYFUNCTION("""COMPUTED_VALUE"""),2.0)</f>
        <v>2</v>
      </c>
      <c r="P2533" s="213"/>
      <c r="Q2533" s="213"/>
      <c r="R2533" s="213"/>
      <c r="S2533" s="213"/>
      <c r="T2533" s="213"/>
      <c r="U2533" s="213"/>
      <c r="V2533" s="213"/>
      <c r="W2533" s="213"/>
      <c r="X2533" s="213"/>
      <c r="Y2533" s="213"/>
      <c r="Z2533" s="213"/>
      <c r="AA2533" s="213"/>
      <c r="AB2533" s="213"/>
      <c r="AC2533" s="213"/>
      <c r="AD2533" s="213"/>
      <c r="AE2533" s="213"/>
      <c r="AF2533" s="213"/>
      <c r="AG2533" s="213"/>
      <c r="AH2533" s="213"/>
      <c r="AI2533" s="213"/>
      <c r="AJ2533" s="213"/>
      <c r="AK2533" s="213"/>
      <c r="AL2533" s="213"/>
      <c r="AM2533" s="213"/>
      <c r="AN2533" s="213"/>
      <c r="AO2533" s="213"/>
      <c r="AP2533" s="213"/>
      <c r="AQ2533" s="213"/>
      <c r="AR2533" s="213"/>
      <c r="AS2533" s="213"/>
      <c r="AT2533" s="213"/>
      <c r="AU2533" s="213"/>
      <c r="AV2533" s="213"/>
      <c r="AW2533" s="213"/>
      <c r="AX2533" s="213"/>
      <c r="AY2533" s="213"/>
      <c r="AZ2533" s="213"/>
      <c r="BA2533" s="213"/>
      <c r="BB2533" s="213"/>
      <c r="BC2533" s="213"/>
      <c r="BD2533" s="213"/>
    </row>
    <row r="2534">
      <c r="A2534" s="213">
        <f>IFERROR(__xludf.DUMMYFUNCTION("""COMPUTED_VALUE"""),1721.0)</f>
        <v>1721</v>
      </c>
      <c r="B2534" s="213" t="str">
        <f>IFERROR(__xludf.DUMMYFUNCTION("""COMPUTED_VALUE"""),"GUILLERMO E. BILLINGHURST ")</f>
        <v>GUILLERMO E. BILLINGHURST </v>
      </c>
      <c r="C2534" s="213" t="str">
        <f>IFERROR(__xludf.DUMMYFUNCTION("""COMPUTED_VALUE"""),"TALLER SFT DE COMPUTACIÓN E INFORMÁTICA")</f>
        <v>TALLER SFT DE COMPUTACIÓN E INFORMÁTICA</v>
      </c>
      <c r="D2534" s="213" t="str">
        <f>IFERROR(__xludf.DUMMYFUNCTION("""COMPUTED_VALUE"""),"PEDAGOGICO")</f>
        <v>PEDAGOGICO</v>
      </c>
      <c r="E2534" s="213" t="str">
        <f>IFERROR(__xludf.DUMMYFUNCTION("""COMPUTED_VALUE"""),"MAT-465")</f>
        <v>MAT-465</v>
      </c>
      <c r="F2534" s="213" t="str">
        <f>IFERROR(__xludf.DUMMYFUNCTION("""COMPUTED_VALUE"""),"MAT-465")</f>
        <v>MAT-465</v>
      </c>
      <c r="G2534" s="213"/>
      <c r="H2534" s="213" t="str">
        <f>IFERROR(__xludf.DUMMYFUNCTION("""COMPUTED_VALUE"""),"USB CON INFORMACIÓN DE LOS MANUALES")</f>
        <v>USB CON INFORMACIÓN DE LOS MANUALES</v>
      </c>
      <c r="I2534"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4" s="213">
        <f>IFERROR(__xludf.DUMMYFUNCTION("""COMPUTED_VALUE"""),3.0)</f>
        <v>3</v>
      </c>
      <c r="K2534" s="213" t="str">
        <f>IFERROR(__xludf.DUMMYFUNCTION("""COMPUTED_VALUE"""),"170 DÍAS CALENDARIO")</f>
        <v>170 DÍAS CALENDARIO</v>
      </c>
      <c r="L2534" s="213" t="str">
        <f>IFERROR(__xludf.DUMMYFUNCTION("""COMPUTED_VALUE"""),"")</f>
        <v/>
      </c>
      <c r="M2534" s="213">
        <f>IFERROR(__xludf.DUMMYFUNCTION("""COMPUTED_VALUE"""),1.0)</f>
        <v>1</v>
      </c>
      <c r="N2534" s="213">
        <f>IFERROR(__xludf.DUMMYFUNCTION("""COMPUTED_VALUE"""),2.0)</f>
        <v>2</v>
      </c>
      <c r="O2534" s="213">
        <f>IFERROR(__xludf.DUMMYFUNCTION("""COMPUTED_VALUE"""),2.0)</f>
        <v>2</v>
      </c>
      <c r="P2534" s="213"/>
      <c r="Q2534" s="213"/>
      <c r="R2534" s="213"/>
      <c r="S2534" s="213"/>
      <c r="T2534" s="213"/>
      <c r="U2534" s="213"/>
      <c r="V2534" s="213"/>
      <c r="W2534" s="213"/>
      <c r="X2534" s="213"/>
      <c r="Y2534" s="213"/>
      <c r="Z2534" s="213"/>
      <c r="AA2534" s="213"/>
      <c r="AB2534" s="213"/>
      <c r="AC2534" s="213"/>
      <c r="AD2534" s="213"/>
      <c r="AE2534" s="213"/>
      <c r="AF2534" s="213"/>
      <c r="AG2534" s="213"/>
      <c r="AH2534" s="213"/>
      <c r="AI2534" s="213"/>
      <c r="AJ2534" s="213"/>
      <c r="AK2534" s="213"/>
      <c r="AL2534" s="213"/>
      <c r="AM2534" s="213"/>
      <c r="AN2534" s="213"/>
      <c r="AO2534" s="213"/>
      <c r="AP2534" s="213"/>
      <c r="AQ2534" s="213"/>
      <c r="AR2534" s="213"/>
      <c r="AS2534" s="213"/>
      <c r="AT2534" s="213"/>
      <c r="AU2534" s="213"/>
      <c r="AV2534" s="213"/>
      <c r="AW2534" s="213"/>
      <c r="AX2534" s="213"/>
      <c r="AY2534" s="213"/>
      <c r="AZ2534" s="213"/>
      <c r="BA2534" s="213"/>
      <c r="BB2534" s="213"/>
      <c r="BC2534" s="213"/>
      <c r="BD2534" s="213"/>
    </row>
    <row r="2535">
      <c r="A2535" s="213">
        <f>IFERROR(__xludf.DUMMYFUNCTION("""COMPUTED_VALUE"""),1727.0)</f>
        <v>1727</v>
      </c>
      <c r="B2535" s="213" t="str">
        <f>IFERROR(__xludf.DUMMYFUNCTION("""COMPUTED_VALUE"""),"GUILLERMO E. BILLINGHURST ")</f>
        <v>GUILLERMO E. BILLINGHURST </v>
      </c>
      <c r="C2535" s="213" t="str">
        <f>IFERROR(__xludf.DUMMYFUNCTION("""COMPUTED_VALUE"""),"TALLER SFT DE COMPUTACIÓN E INFORMÁTICA")</f>
        <v>TALLER SFT DE COMPUTACIÓN E INFORMÁTICA</v>
      </c>
      <c r="D2535" s="213" t="str">
        <f>IFERROR(__xludf.DUMMYFUNCTION("""COMPUTED_VALUE"""),"PEDAGOGICO")</f>
        <v>PEDAGOGICO</v>
      </c>
      <c r="E2535" s="213" t="str">
        <f>IFERROR(__xludf.DUMMYFUNCTION("""COMPUTED_VALUE"""),"MAT-465")</f>
        <v>MAT-465</v>
      </c>
      <c r="F2535" s="213" t="str">
        <f>IFERROR(__xludf.DUMMYFUNCTION("""COMPUTED_VALUE"""),"MAT-465")</f>
        <v>MAT-465</v>
      </c>
      <c r="G2535" s="213"/>
      <c r="H2535" s="213" t="str">
        <f>IFERROR(__xludf.DUMMYFUNCTION("""COMPUTED_VALUE"""),"USB CON INFORMACIÓN DE LOS MANUALES")</f>
        <v>USB CON INFORMACIÓN DE LOS MANUALES</v>
      </c>
      <c r="I2535"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5" s="213">
        <f>IFERROR(__xludf.DUMMYFUNCTION("""COMPUTED_VALUE"""),3.0)</f>
        <v>3</v>
      </c>
      <c r="K2535" s="213" t="str">
        <f>IFERROR(__xludf.DUMMYFUNCTION("""COMPUTED_VALUE"""),"170 DÍAS CALENDARIO")</f>
        <v>170 DÍAS CALENDARIO</v>
      </c>
      <c r="L2535" s="213" t="str">
        <f>IFERROR(__xludf.DUMMYFUNCTION("""COMPUTED_VALUE"""),"")</f>
        <v/>
      </c>
      <c r="M2535" s="213">
        <f>IFERROR(__xludf.DUMMYFUNCTION("""COMPUTED_VALUE"""),1.0)</f>
        <v>1</v>
      </c>
      <c r="N2535" s="213">
        <f>IFERROR(__xludf.DUMMYFUNCTION("""COMPUTED_VALUE"""),2.0)</f>
        <v>2</v>
      </c>
      <c r="O2535" s="213">
        <f>IFERROR(__xludf.DUMMYFUNCTION("""COMPUTED_VALUE"""),2.0)</f>
        <v>2</v>
      </c>
      <c r="P2535" s="213"/>
      <c r="Q2535" s="213"/>
      <c r="R2535" s="213"/>
      <c r="S2535" s="213"/>
      <c r="T2535" s="213"/>
      <c r="U2535" s="213"/>
      <c r="V2535" s="213"/>
      <c r="W2535" s="213"/>
      <c r="X2535" s="213"/>
      <c r="Y2535" s="213"/>
      <c r="Z2535" s="213"/>
      <c r="AA2535" s="213"/>
      <c r="AB2535" s="213"/>
      <c r="AC2535" s="213"/>
      <c r="AD2535" s="213"/>
      <c r="AE2535" s="213"/>
      <c r="AF2535" s="213"/>
      <c r="AG2535" s="213"/>
      <c r="AH2535" s="213"/>
      <c r="AI2535" s="213"/>
      <c r="AJ2535" s="213"/>
      <c r="AK2535" s="213"/>
      <c r="AL2535" s="213"/>
      <c r="AM2535" s="213"/>
      <c r="AN2535" s="213"/>
      <c r="AO2535" s="213"/>
      <c r="AP2535" s="213"/>
      <c r="AQ2535" s="213"/>
      <c r="AR2535" s="213"/>
      <c r="AS2535" s="213"/>
      <c r="AT2535" s="213"/>
      <c r="AU2535" s="213"/>
      <c r="AV2535" s="213"/>
      <c r="AW2535" s="213"/>
      <c r="AX2535" s="213"/>
      <c r="AY2535" s="213"/>
      <c r="AZ2535" s="213"/>
      <c r="BA2535" s="213"/>
      <c r="BB2535" s="213"/>
      <c r="BC2535" s="213"/>
      <c r="BD2535" s="213"/>
    </row>
    <row r="2536">
      <c r="A2536" s="213">
        <f>IFERROR(__xludf.DUMMYFUNCTION("""COMPUTED_VALUE"""),1731.0)</f>
        <v>1731</v>
      </c>
      <c r="B2536" s="213" t="str">
        <f>IFERROR(__xludf.DUMMYFUNCTION("""COMPUTED_VALUE"""),"GUILLERMO E. BILLINGHURST ")</f>
        <v>GUILLERMO E. BILLINGHURST </v>
      </c>
      <c r="C2536" s="213" t="str">
        <f>IFERROR(__xludf.DUMMYFUNCTION("""COMPUTED_VALUE"""),"TALLER SFT DE COMPUTACIÓN E INFORMÁTICA")</f>
        <v>TALLER SFT DE COMPUTACIÓN E INFORMÁTICA</v>
      </c>
      <c r="D2536" s="213" t="str">
        <f>IFERROR(__xludf.DUMMYFUNCTION("""COMPUTED_VALUE"""),"PEDAGOGICO")</f>
        <v>PEDAGOGICO</v>
      </c>
      <c r="E2536" s="213" t="str">
        <f>IFERROR(__xludf.DUMMYFUNCTION("""COMPUTED_VALUE"""),"MAT-465")</f>
        <v>MAT-465</v>
      </c>
      <c r="F2536" s="213" t="str">
        <f>IFERROR(__xludf.DUMMYFUNCTION("""COMPUTED_VALUE"""),"MAT-465")</f>
        <v>MAT-465</v>
      </c>
      <c r="G2536" s="213"/>
      <c r="H2536" s="213" t="str">
        <f>IFERROR(__xludf.DUMMYFUNCTION("""COMPUTED_VALUE"""),"USB CON INFORMACIÓN DE LOS MANUALES")</f>
        <v>USB CON INFORMACIÓN DE LOS MANUALES</v>
      </c>
      <c r="I2536"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6" s="213">
        <f>IFERROR(__xludf.DUMMYFUNCTION("""COMPUTED_VALUE"""),3.0)</f>
        <v>3</v>
      </c>
      <c r="K2536" s="213" t="str">
        <f>IFERROR(__xludf.DUMMYFUNCTION("""COMPUTED_VALUE"""),"170 DÍAS CALENDARIO")</f>
        <v>170 DÍAS CALENDARIO</v>
      </c>
      <c r="L2536" s="213" t="str">
        <f>IFERROR(__xludf.DUMMYFUNCTION("""COMPUTED_VALUE"""),"")</f>
        <v/>
      </c>
      <c r="M2536" s="213">
        <f>IFERROR(__xludf.DUMMYFUNCTION("""COMPUTED_VALUE"""),1.0)</f>
        <v>1</v>
      </c>
      <c r="N2536" s="213">
        <f>IFERROR(__xludf.DUMMYFUNCTION("""COMPUTED_VALUE"""),2.0)</f>
        <v>2</v>
      </c>
      <c r="O2536" s="213">
        <f>IFERROR(__xludf.DUMMYFUNCTION("""COMPUTED_VALUE"""),2.0)</f>
        <v>2</v>
      </c>
      <c r="P2536" s="213"/>
      <c r="Q2536" s="213"/>
      <c r="R2536" s="213"/>
      <c r="S2536" s="213"/>
      <c r="T2536" s="213"/>
      <c r="U2536" s="213"/>
      <c r="V2536" s="213"/>
      <c r="W2536" s="213"/>
      <c r="X2536" s="213"/>
      <c r="Y2536" s="213"/>
      <c r="Z2536" s="213"/>
      <c r="AA2536" s="213"/>
      <c r="AB2536" s="213"/>
      <c r="AC2536" s="213"/>
      <c r="AD2536" s="213"/>
      <c r="AE2536" s="213"/>
      <c r="AF2536" s="213"/>
      <c r="AG2536" s="213"/>
      <c r="AH2536" s="213"/>
      <c r="AI2536" s="213"/>
      <c r="AJ2536" s="213"/>
      <c r="AK2536" s="213"/>
      <c r="AL2536" s="213"/>
      <c r="AM2536" s="213"/>
      <c r="AN2536" s="213"/>
      <c r="AO2536" s="213"/>
      <c r="AP2536" s="213"/>
      <c r="AQ2536" s="213"/>
      <c r="AR2536" s="213"/>
      <c r="AS2536" s="213"/>
      <c r="AT2536" s="213"/>
      <c r="AU2536" s="213"/>
      <c r="AV2536" s="213"/>
      <c r="AW2536" s="213"/>
      <c r="AX2536" s="213"/>
      <c r="AY2536" s="213"/>
      <c r="AZ2536" s="213"/>
      <c r="BA2536" s="213"/>
      <c r="BB2536" s="213"/>
      <c r="BC2536" s="213"/>
      <c r="BD2536" s="213"/>
    </row>
    <row r="2537">
      <c r="A2537" s="213">
        <f>IFERROR(__xludf.DUMMYFUNCTION("""COMPUTED_VALUE"""),1736.0)</f>
        <v>1736</v>
      </c>
      <c r="B2537" s="213" t="str">
        <f>IFERROR(__xludf.DUMMYFUNCTION("""COMPUTED_VALUE"""),"GUILLERMO E. BILLINGHURST ")</f>
        <v>GUILLERMO E. BILLINGHURST </v>
      </c>
      <c r="C2537" s="213" t="str">
        <f>IFERROR(__xludf.DUMMYFUNCTION("""COMPUTED_VALUE"""),"TALLER SFT DE COMPUTACIÓN E INFORMÁTICA")</f>
        <v>TALLER SFT DE COMPUTACIÓN E INFORMÁTICA</v>
      </c>
      <c r="D2537" s="213" t="str">
        <f>IFERROR(__xludf.DUMMYFUNCTION("""COMPUTED_VALUE"""),"PEDAGOGICO")</f>
        <v>PEDAGOGICO</v>
      </c>
      <c r="E2537" s="213" t="str">
        <f>IFERROR(__xludf.DUMMYFUNCTION("""COMPUTED_VALUE"""),"MAT-465")</f>
        <v>MAT-465</v>
      </c>
      <c r="F2537" s="213" t="str">
        <f>IFERROR(__xludf.DUMMYFUNCTION("""COMPUTED_VALUE"""),"MAT-465")</f>
        <v>MAT-465</v>
      </c>
      <c r="G2537" s="213"/>
      <c r="H2537" s="213" t="str">
        <f>IFERROR(__xludf.DUMMYFUNCTION("""COMPUTED_VALUE"""),"USB CON INFORMACIÓN DE LOS MANUALES")</f>
        <v>USB CON INFORMACIÓN DE LOS MANUALES</v>
      </c>
      <c r="I2537"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7" s="213">
        <f>IFERROR(__xludf.DUMMYFUNCTION("""COMPUTED_VALUE"""),3.0)</f>
        <v>3</v>
      </c>
      <c r="K2537" s="213" t="str">
        <f>IFERROR(__xludf.DUMMYFUNCTION("""COMPUTED_VALUE"""),"170 DÍAS CALENDARIO")</f>
        <v>170 DÍAS CALENDARIO</v>
      </c>
      <c r="L2537" s="213" t="str">
        <f>IFERROR(__xludf.DUMMYFUNCTION("""COMPUTED_VALUE"""),"")</f>
        <v/>
      </c>
      <c r="M2537" s="213">
        <f>IFERROR(__xludf.DUMMYFUNCTION("""COMPUTED_VALUE"""),1.0)</f>
        <v>1</v>
      </c>
      <c r="N2537" s="213">
        <f>IFERROR(__xludf.DUMMYFUNCTION("""COMPUTED_VALUE"""),2.0)</f>
        <v>2</v>
      </c>
      <c r="O2537" s="213">
        <f>IFERROR(__xludf.DUMMYFUNCTION("""COMPUTED_VALUE"""),2.0)</f>
        <v>2</v>
      </c>
      <c r="P2537" s="213"/>
      <c r="Q2537" s="213"/>
      <c r="R2537" s="213"/>
      <c r="S2537" s="213"/>
      <c r="T2537" s="213"/>
      <c r="U2537" s="213"/>
      <c r="V2537" s="213"/>
      <c r="W2537" s="213"/>
      <c r="X2537" s="213"/>
      <c r="Y2537" s="213"/>
      <c r="Z2537" s="213"/>
      <c r="AA2537" s="213"/>
      <c r="AB2537" s="213"/>
      <c r="AC2537" s="213"/>
      <c r="AD2537" s="213"/>
      <c r="AE2537" s="213"/>
      <c r="AF2537" s="213"/>
      <c r="AG2537" s="213"/>
      <c r="AH2537" s="213"/>
      <c r="AI2537" s="213"/>
      <c r="AJ2537" s="213"/>
      <c r="AK2537" s="213"/>
      <c r="AL2537" s="213"/>
      <c r="AM2537" s="213"/>
      <c r="AN2537" s="213"/>
      <c r="AO2537" s="213"/>
      <c r="AP2537" s="213"/>
      <c r="AQ2537" s="213"/>
      <c r="AR2537" s="213"/>
      <c r="AS2537" s="213"/>
      <c r="AT2537" s="213"/>
      <c r="AU2537" s="213"/>
      <c r="AV2537" s="213"/>
      <c r="AW2537" s="213"/>
      <c r="AX2537" s="213"/>
      <c r="AY2537" s="213"/>
      <c r="AZ2537" s="213"/>
      <c r="BA2537" s="213"/>
      <c r="BB2537" s="213"/>
      <c r="BC2537" s="213"/>
      <c r="BD2537" s="213"/>
    </row>
    <row r="2538">
      <c r="A2538" s="213">
        <f>IFERROR(__xludf.DUMMYFUNCTION("""COMPUTED_VALUE"""),1743.0)</f>
        <v>1743</v>
      </c>
      <c r="B2538" s="213" t="str">
        <f>IFERROR(__xludf.DUMMYFUNCTION("""COMPUTED_VALUE"""),"GUILLERMO E. BILLINGHURST ")</f>
        <v>GUILLERMO E. BILLINGHURST </v>
      </c>
      <c r="C2538" s="213" t="str">
        <f>IFERROR(__xludf.DUMMYFUNCTION("""COMPUTED_VALUE"""),"TALLER SFT DE COMPUTACIÓN E INFORMÁTICA")</f>
        <v>TALLER SFT DE COMPUTACIÓN E INFORMÁTICA</v>
      </c>
      <c r="D2538" s="213" t="str">
        <f>IFERROR(__xludf.DUMMYFUNCTION("""COMPUTED_VALUE"""),"PEDAGOGICO")</f>
        <v>PEDAGOGICO</v>
      </c>
      <c r="E2538" s="213" t="str">
        <f>IFERROR(__xludf.DUMMYFUNCTION("""COMPUTED_VALUE"""),"MAT-465")</f>
        <v>MAT-465</v>
      </c>
      <c r="F2538" s="213" t="str">
        <f>IFERROR(__xludf.DUMMYFUNCTION("""COMPUTED_VALUE"""),"MAT-465")</f>
        <v>MAT-465</v>
      </c>
      <c r="G2538" s="213"/>
      <c r="H2538" s="213" t="str">
        <f>IFERROR(__xludf.DUMMYFUNCTION("""COMPUTED_VALUE"""),"USB CON INFORMACIÓN DE LOS MANUALES")</f>
        <v>USB CON INFORMACIÓN DE LOS MANUALES</v>
      </c>
      <c r="I253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8" s="213">
        <f>IFERROR(__xludf.DUMMYFUNCTION("""COMPUTED_VALUE"""),3.0)</f>
        <v>3</v>
      </c>
      <c r="K2538" s="213" t="str">
        <f>IFERROR(__xludf.DUMMYFUNCTION("""COMPUTED_VALUE"""),"170 DÍAS CALENDARIO")</f>
        <v>170 DÍAS CALENDARIO</v>
      </c>
      <c r="L2538" s="213" t="str">
        <f>IFERROR(__xludf.DUMMYFUNCTION("""COMPUTED_VALUE"""),"")</f>
        <v/>
      </c>
      <c r="M2538" s="213">
        <f>IFERROR(__xludf.DUMMYFUNCTION("""COMPUTED_VALUE"""),1.0)</f>
        <v>1</v>
      </c>
      <c r="N2538" s="213">
        <f>IFERROR(__xludf.DUMMYFUNCTION("""COMPUTED_VALUE"""),2.0)</f>
        <v>2</v>
      </c>
      <c r="O2538" s="213">
        <f>IFERROR(__xludf.DUMMYFUNCTION("""COMPUTED_VALUE"""),2.0)</f>
        <v>2</v>
      </c>
      <c r="P2538" s="213"/>
      <c r="Q2538" s="213"/>
      <c r="R2538" s="213"/>
      <c r="S2538" s="213"/>
      <c r="T2538" s="213"/>
      <c r="U2538" s="213"/>
      <c r="V2538" s="213"/>
      <c r="W2538" s="213"/>
      <c r="X2538" s="213"/>
      <c r="Y2538" s="213"/>
      <c r="Z2538" s="213"/>
      <c r="AA2538" s="213"/>
      <c r="AB2538" s="213"/>
      <c r="AC2538" s="213"/>
      <c r="AD2538" s="213"/>
      <c r="AE2538" s="213"/>
      <c r="AF2538" s="213"/>
      <c r="AG2538" s="213"/>
      <c r="AH2538" s="213"/>
      <c r="AI2538" s="213"/>
      <c r="AJ2538" s="213"/>
      <c r="AK2538" s="213"/>
      <c r="AL2538" s="213"/>
      <c r="AM2538" s="213"/>
      <c r="AN2538" s="213"/>
      <c r="AO2538" s="213"/>
      <c r="AP2538" s="213"/>
      <c r="AQ2538" s="213"/>
      <c r="AR2538" s="213"/>
      <c r="AS2538" s="213"/>
      <c r="AT2538" s="213"/>
      <c r="AU2538" s="213"/>
      <c r="AV2538" s="213"/>
      <c r="AW2538" s="213"/>
      <c r="AX2538" s="213"/>
      <c r="AY2538" s="213"/>
      <c r="AZ2538" s="213"/>
      <c r="BA2538" s="213"/>
      <c r="BB2538" s="213"/>
      <c r="BC2538" s="213"/>
      <c r="BD2538" s="213"/>
    </row>
    <row r="2539">
      <c r="A2539" s="213">
        <f>IFERROR(__xludf.DUMMYFUNCTION("""COMPUTED_VALUE"""),1753.0)</f>
        <v>1753</v>
      </c>
      <c r="B2539" s="213" t="str">
        <f>IFERROR(__xludf.DUMMYFUNCTION("""COMPUTED_VALUE"""),"GUILLERMO E. BILLINGHURST ")</f>
        <v>GUILLERMO E. BILLINGHURST </v>
      </c>
      <c r="C2539" s="213" t="str">
        <f>IFERROR(__xludf.DUMMYFUNCTION("""COMPUTED_VALUE"""),"TALLER SFT DE COMPUTACIÓN E INFORMÁTICA")</f>
        <v>TALLER SFT DE COMPUTACIÓN E INFORMÁTICA</v>
      </c>
      <c r="D2539" s="213" t="str">
        <f>IFERROR(__xludf.DUMMYFUNCTION("""COMPUTED_VALUE"""),"PEDAGOGICO")</f>
        <v>PEDAGOGICO</v>
      </c>
      <c r="E2539" s="213" t="str">
        <f>IFERROR(__xludf.DUMMYFUNCTION("""COMPUTED_VALUE"""),"MAT-465")</f>
        <v>MAT-465</v>
      </c>
      <c r="F2539" s="213" t="str">
        <f>IFERROR(__xludf.DUMMYFUNCTION("""COMPUTED_VALUE"""),"MAT-465")</f>
        <v>MAT-465</v>
      </c>
      <c r="G2539" s="213"/>
      <c r="H2539" s="213" t="str">
        <f>IFERROR(__xludf.DUMMYFUNCTION("""COMPUTED_VALUE"""),"USB CON INFORMACIÓN DE LOS MANUALES")</f>
        <v>USB CON INFORMACIÓN DE LOS MANUALES</v>
      </c>
      <c r="I2539"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39" s="213">
        <f>IFERROR(__xludf.DUMMYFUNCTION("""COMPUTED_VALUE"""),3.0)</f>
        <v>3</v>
      </c>
      <c r="K2539" s="213" t="str">
        <f>IFERROR(__xludf.DUMMYFUNCTION("""COMPUTED_VALUE"""),"170 DÍAS CALENDARIO")</f>
        <v>170 DÍAS CALENDARIO</v>
      </c>
      <c r="L2539" s="213" t="str">
        <f>IFERROR(__xludf.DUMMYFUNCTION("""COMPUTED_VALUE"""),"")</f>
        <v/>
      </c>
      <c r="M2539" s="213">
        <f>IFERROR(__xludf.DUMMYFUNCTION("""COMPUTED_VALUE"""),1.0)</f>
        <v>1</v>
      </c>
      <c r="N2539" s="213">
        <f>IFERROR(__xludf.DUMMYFUNCTION("""COMPUTED_VALUE"""),2.0)</f>
        <v>2</v>
      </c>
      <c r="O2539" s="213">
        <f>IFERROR(__xludf.DUMMYFUNCTION("""COMPUTED_VALUE"""),2.0)</f>
        <v>2</v>
      </c>
      <c r="P2539" s="213"/>
      <c r="Q2539" s="213"/>
      <c r="R2539" s="213"/>
      <c r="S2539" s="213"/>
      <c r="T2539" s="213"/>
      <c r="U2539" s="213"/>
      <c r="V2539" s="213"/>
      <c r="W2539" s="213"/>
      <c r="X2539" s="213"/>
      <c r="Y2539" s="213"/>
      <c r="Z2539" s="213"/>
      <c r="AA2539" s="213"/>
      <c r="AB2539" s="213"/>
      <c r="AC2539" s="213"/>
      <c r="AD2539" s="213"/>
      <c r="AE2539" s="213"/>
      <c r="AF2539" s="213"/>
      <c r="AG2539" s="213"/>
      <c r="AH2539" s="213"/>
      <c r="AI2539" s="213"/>
      <c r="AJ2539" s="213"/>
      <c r="AK2539" s="213"/>
      <c r="AL2539" s="213"/>
      <c r="AM2539" s="213"/>
      <c r="AN2539" s="213"/>
      <c r="AO2539" s="213"/>
      <c r="AP2539" s="213"/>
      <c r="AQ2539" s="213"/>
      <c r="AR2539" s="213"/>
      <c r="AS2539" s="213"/>
      <c r="AT2539" s="213"/>
      <c r="AU2539" s="213"/>
      <c r="AV2539" s="213"/>
      <c r="AW2539" s="213"/>
      <c r="AX2539" s="213"/>
      <c r="AY2539" s="213"/>
      <c r="AZ2539" s="213"/>
      <c r="BA2539" s="213"/>
      <c r="BB2539" s="213"/>
      <c r="BC2539" s="213"/>
      <c r="BD2539" s="213"/>
    </row>
    <row r="2540">
      <c r="A2540" s="213">
        <f>IFERROR(__xludf.DUMMYFUNCTION("""COMPUTED_VALUE"""),1876.0)</f>
        <v>1876</v>
      </c>
      <c r="B2540" s="213" t="str">
        <f>IFERROR(__xludf.DUMMYFUNCTION("""COMPUTED_VALUE"""),"GUILLERMO E. BILLINGHURST ")</f>
        <v>GUILLERMO E. BILLINGHURST </v>
      </c>
      <c r="C2540" s="213" t="str">
        <f>IFERROR(__xludf.DUMMYFUNCTION("""COMPUTED_VALUE"""),"TALLER SFT DE EBANISTERÍA")</f>
        <v>TALLER SFT DE EBANISTERÍA</v>
      </c>
      <c r="D2540" s="213" t="str">
        <f>IFERROR(__xludf.DUMMYFUNCTION("""COMPUTED_VALUE"""),"PEDAGOGICO")</f>
        <v>PEDAGOGICO</v>
      </c>
      <c r="E2540" s="213" t="str">
        <f>IFERROR(__xludf.DUMMYFUNCTION("""COMPUTED_VALUE"""),"MAT-465")</f>
        <v>MAT-465</v>
      </c>
      <c r="F2540" s="213" t="str">
        <f>IFERROR(__xludf.DUMMYFUNCTION("""COMPUTED_VALUE"""),"MAT-465")</f>
        <v>MAT-465</v>
      </c>
      <c r="G2540" s="213"/>
      <c r="H2540" s="213" t="str">
        <f>IFERROR(__xludf.DUMMYFUNCTION("""COMPUTED_VALUE"""),"USB CON INFORMACIÓN DE LOS MANUALES")</f>
        <v>USB CON INFORMACIÓN DE LOS MANUALES</v>
      </c>
      <c r="I2540"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0" s="213">
        <f>IFERROR(__xludf.DUMMYFUNCTION("""COMPUTED_VALUE"""),3.0)</f>
        <v>3</v>
      </c>
      <c r="K2540" s="213" t="str">
        <f>IFERROR(__xludf.DUMMYFUNCTION("""COMPUTED_VALUE"""),"170 DÍAS CALENDARIO")</f>
        <v>170 DÍAS CALENDARIO</v>
      </c>
      <c r="L2540" s="213" t="str">
        <f>IFERROR(__xludf.DUMMYFUNCTION("""COMPUTED_VALUE"""),"")</f>
        <v/>
      </c>
      <c r="M2540" s="213">
        <f>IFERROR(__xludf.DUMMYFUNCTION("""COMPUTED_VALUE"""),1.0)</f>
        <v>1</v>
      </c>
      <c r="N2540" s="213">
        <f>IFERROR(__xludf.DUMMYFUNCTION("""COMPUTED_VALUE"""),2.0)</f>
        <v>2</v>
      </c>
      <c r="O2540" s="213">
        <f>IFERROR(__xludf.DUMMYFUNCTION("""COMPUTED_VALUE"""),2.0)</f>
        <v>2</v>
      </c>
      <c r="P2540" s="213"/>
      <c r="Q2540" s="213"/>
      <c r="R2540" s="213"/>
      <c r="S2540" s="213"/>
      <c r="T2540" s="213"/>
      <c r="U2540" s="213"/>
      <c r="V2540" s="213"/>
      <c r="W2540" s="213"/>
      <c r="X2540" s="213"/>
      <c r="Y2540" s="213"/>
      <c r="Z2540" s="213"/>
      <c r="AA2540" s="213"/>
      <c r="AB2540" s="213"/>
      <c r="AC2540" s="213"/>
      <c r="AD2540" s="213"/>
      <c r="AE2540" s="213"/>
      <c r="AF2540" s="213"/>
      <c r="AG2540" s="213"/>
      <c r="AH2540" s="213"/>
      <c r="AI2540" s="213"/>
      <c r="AJ2540" s="213"/>
      <c r="AK2540" s="213"/>
      <c r="AL2540" s="213"/>
      <c r="AM2540" s="213"/>
      <c r="AN2540" s="213"/>
      <c r="AO2540" s="213"/>
      <c r="AP2540" s="213"/>
      <c r="AQ2540" s="213"/>
      <c r="AR2540" s="213"/>
      <c r="AS2540" s="213"/>
      <c r="AT2540" s="213"/>
      <c r="AU2540" s="213"/>
      <c r="AV2540" s="213"/>
      <c r="AW2540" s="213"/>
      <c r="AX2540" s="213"/>
      <c r="AY2540" s="213"/>
      <c r="AZ2540" s="213"/>
      <c r="BA2540" s="213"/>
      <c r="BB2540" s="213"/>
      <c r="BC2540" s="213"/>
      <c r="BD2540" s="213"/>
    </row>
    <row r="2541">
      <c r="A2541" s="213">
        <f>IFERROR(__xludf.DUMMYFUNCTION("""COMPUTED_VALUE"""),1882.0)</f>
        <v>1882</v>
      </c>
      <c r="B2541" s="213" t="str">
        <f>IFERROR(__xludf.DUMMYFUNCTION("""COMPUTED_VALUE"""),"GUILLERMO E. BILLINGHURST ")</f>
        <v>GUILLERMO E. BILLINGHURST </v>
      </c>
      <c r="C2541" s="213" t="str">
        <f>IFERROR(__xludf.DUMMYFUNCTION("""COMPUTED_VALUE"""),"TALLER SFT DE EBANISTERÍA")</f>
        <v>TALLER SFT DE EBANISTERÍA</v>
      </c>
      <c r="D2541" s="213" t="str">
        <f>IFERROR(__xludf.DUMMYFUNCTION("""COMPUTED_VALUE"""),"PEDAGOGICO")</f>
        <v>PEDAGOGICO</v>
      </c>
      <c r="E2541" s="213" t="str">
        <f>IFERROR(__xludf.DUMMYFUNCTION("""COMPUTED_VALUE"""),"MAT-465")</f>
        <v>MAT-465</v>
      </c>
      <c r="F2541" s="213" t="str">
        <f>IFERROR(__xludf.DUMMYFUNCTION("""COMPUTED_VALUE"""),"MAT-465")</f>
        <v>MAT-465</v>
      </c>
      <c r="G2541" s="213"/>
      <c r="H2541" s="213" t="str">
        <f>IFERROR(__xludf.DUMMYFUNCTION("""COMPUTED_VALUE"""),"USB CON INFORMACIÓN DE LOS MANUALES")</f>
        <v>USB CON INFORMACIÓN DE LOS MANUALES</v>
      </c>
      <c r="I2541"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1" s="213">
        <f>IFERROR(__xludf.DUMMYFUNCTION("""COMPUTED_VALUE"""),3.0)</f>
        <v>3</v>
      </c>
      <c r="K2541" s="213" t="str">
        <f>IFERROR(__xludf.DUMMYFUNCTION("""COMPUTED_VALUE"""),"170 DÍAS CALENDARIO")</f>
        <v>170 DÍAS CALENDARIO</v>
      </c>
      <c r="L2541" s="213" t="str">
        <f>IFERROR(__xludf.DUMMYFUNCTION("""COMPUTED_VALUE"""),"")</f>
        <v/>
      </c>
      <c r="M2541" s="213">
        <f>IFERROR(__xludf.DUMMYFUNCTION("""COMPUTED_VALUE"""),1.0)</f>
        <v>1</v>
      </c>
      <c r="N2541" s="213">
        <f>IFERROR(__xludf.DUMMYFUNCTION("""COMPUTED_VALUE"""),2.0)</f>
        <v>2</v>
      </c>
      <c r="O2541" s="213">
        <f>IFERROR(__xludf.DUMMYFUNCTION("""COMPUTED_VALUE"""),2.0)</f>
        <v>2</v>
      </c>
      <c r="P2541" s="213"/>
      <c r="Q2541" s="213"/>
      <c r="R2541" s="213"/>
      <c r="S2541" s="213"/>
      <c r="T2541" s="213"/>
      <c r="U2541" s="213"/>
      <c r="V2541" s="213"/>
      <c r="W2541" s="213"/>
      <c r="X2541" s="213"/>
      <c r="Y2541" s="213"/>
      <c r="Z2541" s="213"/>
      <c r="AA2541" s="213"/>
      <c r="AB2541" s="213"/>
      <c r="AC2541" s="213"/>
      <c r="AD2541" s="213"/>
      <c r="AE2541" s="213"/>
      <c r="AF2541" s="213"/>
      <c r="AG2541" s="213"/>
      <c r="AH2541" s="213"/>
      <c r="AI2541" s="213"/>
      <c r="AJ2541" s="213"/>
      <c r="AK2541" s="213"/>
      <c r="AL2541" s="213"/>
      <c r="AM2541" s="213"/>
      <c r="AN2541" s="213"/>
      <c r="AO2541" s="213"/>
      <c r="AP2541" s="213"/>
      <c r="AQ2541" s="213"/>
      <c r="AR2541" s="213"/>
      <c r="AS2541" s="213"/>
      <c r="AT2541" s="213"/>
      <c r="AU2541" s="213"/>
      <c r="AV2541" s="213"/>
      <c r="AW2541" s="213"/>
      <c r="AX2541" s="213"/>
      <c r="AY2541" s="213"/>
      <c r="AZ2541" s="213"/>
      <c r="BA2541" s="213"/>
      <c r="BB2541" s="213"/>
      <c r="BC2541" s="213"/>
      <c r="BD2541" s="213"/>
    </row>
    <row r="2542">
      <c r="A2542" s="213">
        <f>IFERROR(__xludf.DUMMYFUNCTION("""COMPUTED_VALUE"""),1886.0)</f>
        <v>1886</v>
      </c>
      <c r="B2542" s="213" t="str">
        <f>IFERROR(__xludf.DUMMYFUNCTION("""COMPUTED_VALUE"""),"GUILLERMO E. BILLINGHURST ")</f>
        <v>GUILLERMO E. BILLINGHURST </v>
      </c>
      <c r="C2542" s="213" t="str">
        <f>IFERROR(__xludf.DUMMYFUNCTION("""COMPUTED_VALUE"""),"TALLER SFT DE EBANISTERÍA")</f>
        <v>TALLER SFT DE EBANISTERÍA</v>
      </c>
      <c r="D2542" s="213" t="str">
        <f>IFERROR(__xludf.DUMMYFUNCTION("""COMPUTED_VALUE"""),"PEDAGOGICO")</f>
        <v>PEDAGOGICO</v>
      </c>
      <c r="E2542" s="213" t="str">
        <f>IFERROR(__xludf.DUMMYFUNCTION("""COMPUTED_VALUE"""),"MAT-465")</f>
        <v>MAT-465</v>
      </c>
      <c r="F2542" s="213" t="str">
        <f>IFERROR(__xludf.DUMMYFUNCTION("""COMPUTED_VALUE"""),"MAT-465")</f>
        <v>MAT-465</v>
      </c>
      <c r="G2542" s="213"/>
      <c r="H2542" s="213" t="str">
        <f>IFERROR(__xludf.DUMMYFUNCTION("""COMPUTED_VALUE"""),"USB CON INFORMACIÓN DE LOS MANUALES")</f>
        <v>USB CON INFORMACIÓN DE LOS MANUALES</v>
      </c>
      <c r="I2542"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2" s="213">
        <f>IFERROR(__xludf.DUMMYFUNCTION("""COMPUTED_VALUE"""),3.0)</f>
        <v>3</v>
      </c>
      <c r="K2542" s="213" t="str">
        <f>IFERROR(__xludf.DUMMYFUNCTION("""COMPUTED_VALUE"""),"170 DÍAS CALENDARIO")</f>
        <v>170 DÍAS CALENDARIO</v>
      </c>
      <c r="L2542" s="213" t="str">
        <f>IFERROR(__xludf.DUMMYFUNCTION("""COMPUTED_VALUE"""),"")</f>
        <v/>
      </c>
      <c r="M2542" s="213">
        <f>IFERROR(__xludf.DUMMYFUNCTION("""COMPUTED_VALUE"""),1.0)</f>
        <v>1</v>
      </c>
      <c r="N2542" s="213">
        <f>IFERROR(__xludf.DUMMYFUNCTION("""COMPUTED_VALUE"""),2.0)</f>
        <v>2</v>
      </c>
      <c r="O2542" s="213">
        <f>IFERROR(__xludf.DUMMYFUNCTION("""COMPUTED_VALUE"""),2.0)</f>
        <v>2</v>
      </c>
      <c r="P2542" s="213"/>
      <c r="Q2542" s="213"/>
      <c r="R2542" s="213"/>
      <c r="S2542" s="213"/>
      <c r="T2542" s="213"/>
      <c r="U2542" s="213"/>
      <c r="V2542" s="213"/>
      <c r="W2542" s="213"/>
      <c r="X2542" s="213"/>
      <c r="Y2542" s="213"/>
      <c r="Z2542" s="213"/>
      <c r="AA2542" s="213"/>
      <c r="AB2542" s="213"/>
      <c r="AC2542" s="213"/>
      <c r="AD2542" s="213"/>
      <c r="AE2542" s="213"/>
      <c r="AF2542" s="213"/>
      <c r="AG2542" s="213"/>
      <c r="AH2542" s="213"/>
      <c r="AI2542" s="213"/>
      <c r="AJ2542" s="213"/>
      <c r="AK2542" s="213"/>
      <c r="AL2542" s="213"/>
      <c r="AM2542" s="213"/>
      <c r="AN2542" s="213"/>
      <c r="AO2542" s="213"/>
      <c r="AP2542" s="213"/>
      <c r="AQ2542" s="213"/>
      <c r="AR2542" s="213"/>
      <c r="AS2542" s="213"/>
      <c r="AT2542" s="213"/>
      <c r="AU2542" s="213"/>
      <c r="AV2542" s="213"/>
      <c r="AW2542" s="213"/>
      <c r="AX2542" s="213"/>
      <c r="AY2542" s="213"/>
      <c r="AZ2542" s="213"/>
      <c r="BA2542" s="213"/>
      <c r="BB2542" s="213"/>
      <c r="BC2542" s="213"/>
      <c r="BD2542" s="213"/>
    </row>
    <row r="2543">
      <c r="A2543" s="213">
        <f>IFERROR(__xludf.DUMMYFUNCTION("""COMPUTED_VALUE"""),1890.0)</f>
        <v>1890</v>
      </c>
      <c r="B2543" s="213" t="str">
        <f>IFERROR(__xludf.DUMMYFUNCTION("""COMPUTED_VALUE"""),"GUILLERMO E. BILLINGHURST ")</f>
        <v>GUILLERMO E. BILLINGHURST </v>
      </c>
      <c r="C2543" s="213" t="str">
        <f>IFERROR(__xludf.DUMMYFUNCTION("""COMPUTED_VALUE"""),"TALLER SFT DE EBANISTERÍA")</f>
        <v>TALLER SFT DE EBANISTERÍA</v>
      </c>
      <c r="D2543" s="213" t="str">
        <f>IFERROR(__xludf.DUMMYFUNCTION("""COMPUTED_VALUE"""),"PEDAGOGICO")</f>
        <v>PEDAGOGICO</v>
      </c>
      <c r="E2543" s="213" t="str">
        <f>IFERROR(__xludf.DUMMYFUNCTION("""COMPUTED_VALUE"""),"MAT-465")</f>
        <v>MAT-465</v>
      </c>
      <c r="F2543" s="213" t="str">
        <f>IFERROR(__xludf.DUMMYFUNCTION("""COMPUTED_VALUE"""),"MAT-465")</f>
        <v>MAT-465</v>
      </c>
      <c r="G2543" s="213"/>
      <c r="H2543" s="213" t="str">
        <f>IFERROR(__xludf.DUMMYFUNCTION("""COMPUTED_VALUE"""),"USB CON INFORMACIÓN DE LOS MANUALES")</f>
        <v>USB CON INFORMACIÓN DE LOS MANUALES</v>
      </c>
      <c r="I2543"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3" s="213">
        <f>IFERROR(__xludf.DUMMYFUNCTION("""COMPUTED_VALUE"""),3.0)</f>
        <v>3</v>
      </c>
      <c r="K2543" s="213" t="str">
        <f>IFERROR(__xludf.DUMMYFUNCTION("""COMPUTED_VALUE"""),"170 DÍAS CALENDARIO")</f>
        <v>170 DÍAS CALENDARIO</v>
      </c>
      <c r="L2543" s="213" t="str">
        <f>IFERROR(__xludf.DUMMYFUNCTION("""COMPUTED_VALUE"""),"")</f>
        <v/>
      </c>
      <c r="M2543" s="213">
        <f>IFERROR(__xludf.DUMMYFUNCTION("""COMPUTED_VALUE"""),1.0)</f>
        <v>1</v>
      </c>
      <c r="N2543" s="213">
        <f>IFERROR(__xludf.DUMMYFUNCTION("""COMPUTED_VALUE"""),2.0)</f>
        <v>2</v>
      </c>
      <c r="O2543" s="213">
        <f>IFERROR(__xludf.DUMMYFUNCTION("""COMPUTED_VALUE"""),2.0)</f>
        <v>2</v>
      </c>
      <c r="P2543" s="213"/>
      <c r="Q2543" s="213"/>
      <c r="R2543" s="213"/>
      <c r="S2543" s="213"/>
      <c r="T2543" s="213"/>
      <c r="U2543" s="213"/>
      <c r="V2543" s="213"/>
      <c r="W2543" s="213"/>
      <c r="X2543" s="213"/>
      <c r="Y2543" s="213"/>
      <c r="Z2543" s="213"/>
      <c r="AA2543" s="213"/>
      <c r="AB2543" s="213"/>
      <c r="AC2543" s="213"/>
      <c r="AD2543" s="213"/>
      <c r="AE2543" s="213"/>
      <c r="AF2543" s="213"/>
      <c r="AG2543" s="213"/>
      <c r="AH2543" s="213"/>
      <c r="AI2543" s="213"/>
      <c r="AJ2543" s="213"/>
      <c r="AK2543" s="213"/>
      <c r="AL2543" s="213"/>
      <c r="AM2543" s="213"/>
      <c r="AN2543" s="213"/>
      <c r="AO2543" s="213"/>
      <c r="AP2543" s="213"/>
      <c r="AQ2543" s="213"/>
      <c r="AR2543" s="213"/>
      <c r="AS2543" s="213"/>
      <c r="AT2543" s="213"/>
      <c r="AU2543" s="213"/>
      <c r="AV2543" s="213"/>
      <c r="AW2543" s="213"/>
      <c r="AX2543" s="213"/>
      <c r="AY2543" s="213"/>
      <c r="AZ2543" s="213"/>
      <c r="BA2543" s="213"/>
      <c r="BB2543" s="213"/>
      <c r="BC2543" s="213"/>
      <c r="BD2543" s="213"/>
    </row>
    <row r="2544">
      <c r="A2544" s="213">
        <f>IFERROR(__xludf.DUMMYFUNCTION("""COMPUTED_VALUE"""),1894.0)</f>
        <v>1894</v>
      </c>
      <c r="B2544" s="213" t="str">
        <f>IFERROR(__xludf.DUMMYFUNCTION("""COMPUTED_VALUE"""),"GUILLERMO E. BILLINGHURST ")</f>
        <v>GUILLERMO E. BILLINGHURST </v>
      </c>
      <c r="C2544" s="213" t="str">
        <f>IFERROR(__xludf.DUMMYFUNCTION("""COMPUTED_VALUE"""),"TALLER SFT DE EBANISTERÍA")</f>
        <v>TALLER SFT DE EBANISTERÍA</v>
      </c>
      <c r="D2544" s="213" t="str">
        <f>IFERROR(__xludf.DUMMYFUNCTION("""COMPUTED_VALUE"""),"PEDAGOGICO")</f>
        <v>PEDAGOGICO</v>
      </c>
      <c r="E2544" s="213" t="str">
        <f>IFERROR(__xludf.DUMMYFUNCTION("""COMPUTED_VALUE"""),"MAT-465")</f>
        <v>MAT-465</v>
      </c>
      <c r="F2544" s="213" t="str">
        <f>IFERROR(__xludf.DUMMYFUNCTION("""COMPUTED_VALUE"""),"MAT-465")</f>
        <v>MAT-465</v>
      </c>
      <c r="G2544" s="213"/>
      <c r="H2544" s="213" t="str">
        <f>IFERROR(__xludf.DUMMYFUNCTION("""COMPUTED_VALUE"""),"USB CON INFORMACIÓN DE LOS MANUALES")</f>
        <v>USB CON INFORMACIÓN DE LOS MANUALES</v>
      </c>
      <c r="I2544"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4" s="213">
        <f>IFERROR(__xludf.DUMMYFUNCTION("""COMPUTED_VALUE"""),3.0)</f>
        <v>3</v>
      </c>
      <c r="K2544" s="213" t="str">
        <f>IFERROR(__xludf.DUMMYFUNCTION("""COMPUTED_VALUE"""),"170 DÍAS CALENDARIO")</f>
        <v>170 DÍAS CALENDARIO</v>
      </c>
      <c r="L2544" s="213" t="str">
        <f>IFERROR(__xludf.DUMMYFUNCTION("""COMPUTED_VALUE"""),"")</f>
        <v/>
      </c>
      <c r="M2544" s="213">
        <f>IFERROR(__xludf.DUMMYFUNCTION("""COMPUTED_VALUE"""),1.0)</f>
        <v>1</v>
      </c>
      <c r="N2544" s="213">
        <f>IFERROR(__xludf.DUMMYFUNCTION("""COMPUTED_VALUE"""),2.0)</f>
        <v>2</v>
      </c>
      <c r="O2544" s="213">
        <f>IFERROR(__xludf.DUMMYFUNCTION("""COMPUTED_VALUE"""),2.0)</f>
        <v>2</v>
      </c>
      <c r="P2544" s="213"/>
      <c r="Q2544" s="213"/>
      <c r="R2544" s="213"/>
      <c r="S2544" s="213"/>
      <c r="T2544" s="213"/>
      <c r="U2544" s="213"/>
      <c r="V2544" s="213"/>
      <c r="W2544" s="213"/>
      <c r="X2544" s="213"/>
      <c r="Y2544" s="213"/>
      <c r="Z2544" s="213"/>
      <c r="AA2544" s="213"/>
      <c r="AB2544" s="213"/>
      <c r="AC2544" s="213"/>
      <c r="AD2544" s="213"/>
      <c r="AE2544" s="213"/>
      <c r="AF2544" s="213"/>
      <c r="AG2544" s="213"/>
      <c r="AH2544" s="213"/>
      <c r="AI2544" s="213"/>
      <c r="AJ2544" s="213"/>
      <c r="AK2544" s="213"/>
      <c r="AL2544" s="213"/>
      <c r="AM2544" s="213"/>
      <c r="AN2544" s="213"/>
      <c r="AO2544" s="213"/>
      <c r="AP2544" s="213"/>
      <c r="AQ2544" s="213"/>
      <c r="AR2544" s="213"/>
      <c r="AS2544" s="213"/>
      <c r="AT2544" s="213"/>
      <c r="AU2544" s="213"/>
      <c r="AV2544" s="213"/>
      <c r="AW2544" s="213"/>
      <c r="AX2544" s="213"/>
      <c r="AY2544" s="213"/>
      <c r="AZ2544" s="213"/>
      <c r="BA2544" s="213"/>
      <c r="BB2544" s="213"/>
      <c r="BC2544" s="213"/>
      <c r="BD2544" s="213"/>
    </row>
    <row r="2545">
      <c r="A2545" s="213">
        <f>IFERROR(__xludf.DUMMYFUNCTION("""COMPUTED_VALUE"""),1898.0)</f>
        <v>1898</v>
      </c>
      <c r="B2545" s="213" t="str">
        <f>IFERROR(__xludf.DUMMYFUNCTION("""COMPUTED_VALUE"""),"GUILLERMO E. BILLINGHURST ")</f>
        <v>GUILLERMO E. BILLINGHURST </v>
      </c>
      <c r="C2545" s="213" t="str">
        <f>IFERROR(__xludf.DUMMYFUNCTION("""COMPUTED_VALUE"""),"TALLER SFT DE EBANISTERÍA")</f>
        <v>TALLER SFT DE EBANISTERÍA</v>
      </c>
      <c r="D2545" s="213" t="str">
        <f>IFERROR(__xludf.DUMMYFUNCTION("""COMPUTED_VALUE"""),"PEDAGOGICO")</f>
        <v>PEDAGOGICO</v>
      </c>
      <c r="E2545" s="213" t="str">
        <f>IFERROR(__xludf.DUMMYFUNCTION("""COMPUTED_VALUE"""),"MAT-465")</f>
        <v>MAT-465</v>
      </c>
      <c r="F2545" s="213" t="str">
        <f>IFERROR(__xludf.DUMMYFUNCTION("""COMPUTED_VALUE"""),"MAT-465")</f>
        <v>MAT-465</v>
      </c>
      <c r="G2545" s="213"/>
      <c r="H2545" s="213" t="str">
        <f>IFERROR(__xludf.DUMMYFUNCTION("""COMPUTED_VALUE"""),"USB CON INFORMACIÓN DE LOS MANUALES")</f>
        <v>USB CON INFORMACIÓN DE LOS MANUALES</v>
      </c>
      <c r="I2545"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5" s="213">
        <f>IFERROR(__xludf.DUMMYFUNCTION("""COMPUTED_VALUE"""),3.0)</f>
        <v>3</v>
      </c>
      <c r="K2545" s="213" t="str">
        <f>IFERROR(__xludf.DUMMYFUNCTION("""COMPUTED_VALUE"""),"170 DÍAS CALENDARIO")</f>
        <v>170 DÍAS CALENDARIO</v>
      </c>
      <c r="L2545" s="213" t="str">
        <f>IFERROR(__xludf.DUMMYFUNCTION("""COMPUTED_VALUE"""),"")</f>
        <v/>
      </c>
      <c r="M2545" s="213">
        <f>IFERROR(__xludf.DUMMYFUNCTION("""COMPUTED_VALUE"""),1.0)</f>
        <v>1</v>
      </c>
      <c r="N2545" s="213">
        <f>IFERROR(__xludf.DUMMYFUNCTION("""COMPUTED_VALUE"""),2.0)</f>
        <v>2</v>
      </c>
      <c r="O2545" s="213">
        <f>IFERROR(__xludf.DUMMYFUNCTION("""COMPUTED_VALUE"""),2.0)</f>
        <v>2</v>
      </c>
      <c r="P2545" s="213"/>
      <c r="Q2545" s="213"/>
      <c r="R2545" s="213"/>
      <c r="S2545" s="213"/>
      <c r="T2545" s="213"/>
      <c r="U2545" s="213"/>
      <c r="V2545" s="213"/>
      <c r="W2545" s="213"/>
      <c r="X2545" s="213"/>
      <c r="Y2545" s="213"/>
      <c r="Z2545" s="213"/>
      <c r="AA2545" s="213"/>
      <c r="AB2545" s="213"/>
      <c r="AC2545" s="213"/>
      <c r="AD2545" s="213"/>
      <c r="AE2545" s="213"/>
      <c r="AF2545" s="213"/>
      <c r="AG2545" s="213"/>
      <c r="AH2545" s="213"/>
      <c r="AI2545" s="213"/>
      <c r="AJ2545" s="213"/>
      <c r="AK2545" s="213"/>
      <c r="AL2545" s="213"/>
      <c r="AM2545" s="213"/>
      <c r="AN2545" s="213"/>
      <c r="AO2545" s="213"/>
      <c r="AP2545" s="213"/>
      <c r="AQ2545" s="213"/>
      <c r="AR2545" s="213"/>
      <c r="AS2545" s="213"/>
      <c r="AT2545" s="213"/>
      <c r="AU2545" s="213"/>
      <c r="AV2545" s="213"/>
      <c r="AW2545" s="213"/>
      <c r="AX2545" s="213"/>
      <c r="AY2545" s="213"/>
      <c r="AZ2545" s="213"/>
      <c r="BA2545" s="213"/>
      <c r="BB2545" s="213"/>
      <c r="BC2545" s="213"/>
      <c r="BD2545" s="213"/>
    </row>
    <row r="2546">
      <c r="A2546" s="213">
        <f>IFERROR(__xludf.DUMMYFUNCTION("""COMPUTED_VALUE"""),1971.0)</f>
        <v>1971</v>
      </c>
      <c r="B2546" s="213" t="str">
        <f>IFERROR(__xludf.DUMMYFUNCTION("""COMPUTED_VALUE"""),"JOSE GRANDA")</f>
        <v>JOSE GRANDA</v>
      </c>
      <c r="C2546" s="213" t="str">
        <f>IFERROR(__xludf.DUMMYFUNCTION("""COMPUTED_VALUE"""),"TALLER SFT DE COMPUTACIÓN E INFORMÁTICA")</f>
        <v>TALLER SFT DE COMPUTACIÓN E INFORMÁTICA</v>
      </c>
      <c r="D2546" s="213" t="str">
        <f>IFERROR(__xludf.DUMMYFUNCTION("""COMPUTED_VALUE"""),"PEDAGOGICO")</f>
        <v>PEDAGOGICO</v>
      </c>
      <c r="E2546" s="213" t="str">
        <f>IFERROR(__xludf.DUMMYFUNCTION("""COMPUTED_VALUE"""),"MAT-465")</f>
        <v>MAT-465</v>
      </c>
      <c r="F2546" s="213" t="str">
        <f>IFERROR(__xludf.DUMMYFUNCTION("""COMPUTED_VALUE"""),"MAT-465")</f>
        <v>MAT-465</v>
      </c>
      <c r="G2546" s="213"/>
      <c r="H2546" s="213" t="str">
        <f>IFERROR(__xludf.DUMMYFUNCTION("""COMPUTED_VALUE"""),"USB CON INFORMACIÓN DE LOS MANUALES")</f>
        <v>USB CON INFORMACIÓN DE LOS MANUALES</v>
      </c>
      <c r="I2546"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6" s="213">
        <f>IFERROR(__xludf.DUMMYFUNCTION("""COMPUTED_VALUE"""),3.0)</f>
        <v>3</v>
      </c>
      <c r="K2546" s="213" t="str">
        <f>IFERROR(__xludf.DUMMYFUNCTION("""COMPUTED_VALUE"""),"170 DÍAS CALENDARIO")</f>
        <v>170 DÍAS CALENDARIO</v>
      </c>
      <c r="L2546" s="213" t="str">
        <f>IFERROR(__xludf.DUMMYFUNCTION("""COMPUTED_VALUE"""),"")</f>
        <v/>
      </c>
      <c r="M2546" s="213">
        <f>IFERROR(__xludf.DUMMYFUNCTION("""COMPUTED_VALUE"""),1.0)</f>
        <v>1</v>
      </c>
      <c r="N2546" s="213">
        <f>IFERROR(__xludf.DUMMYFUNCTION("""COMPUTED_VALUE"""),2.0)</f>
        <v>2</v>
      </c>
      <c r="O2546" s="213">
        <f>IFERROR(__xludf.DUMMYFUNCTION("""COMPUTED_VALUE"""),2.0)</f>
        <v>2</v>
      </c>
      <c r="P2546" s="213"/>
      <c r="Q2546" s="213"/>
      <c r="R2546" s="213"/>
      <c r="S2546" s="213"/>
      <c r="T2546" s="213"/>
      <c r="U2546" s="213"/>
      <c r="V2546" s="213"/>
      <c r="W2546" s="213"/>
      <c r="X2546" s="213"/>
      <c r="Y2546" s="213"/>
      <c r="Z2546" s="213"/>
      <c r="AA2546" s="213"/>
      <c r="AB2546" s="213"/>
      <c r="AC2546" s="213"/>
      <c r="AD2546" s="213"/>
      <c r="AE2546" s="213"/>
      <c r="AF2546" s="213"/>
      <c r="AG2546" s="213"/>
      <c r="AH2546" s="213"/>
      <c r="AI2546" s="213"/>
      <c r="AJ2546" s="213"/>
      <c r="AK2546" s="213"/>
      <c r="AL2546" s="213"/>
      <c r="AM2546" s="213"/>
      <c r="AN2546" s="213"/>
      <c r="AO2546" s="213"/>
      <c r="AP2546" s="213"/>
      <c r="AQ2546" s="213"/>
      <c r="AR2546" s="213"/>
      <c r="AS2546" s="213"/>
      <c r="AT2546" s="213"/>
      <c r="AU2546" s="213"/>
      <c r="AV2546" s="213"/>
      <c r="AW2546" s="213"/>
      <c r="AX2546" s="213"/>
      <c r="AY2546" s="213"/>
      <c r="AZ2546" s="213"/>
      <c r="BA2546" s="213"/>
      <c r="BB2546" s="213"/>
      <c r="BC2546" s="213"/>
      <c r="BD2546" s="213"/>
    </row>
    <row r="2547">
      <c r="A2547" s="213">
        <f>IFERROR(__xludf.DUMMYFUNCTION("""COMPUTED_VALUE"""),1977.0)</f>
        <v>1977</v>
      </c>
      <c r="B2547" s="213" t="str">
        <f>IFERROR(__xludf.DUMMYFUNCTION("""COMPUTED_VALUE"""),"JOSE GRANDA")</f>
        <v>JOSE GRANDA</v>
      </c>
      <c r="C2547" s="213" t="str">
        <f>IFERROR(__xludf.DUMMYFUNCTION("""COMPUTED_VALUE"""),"TALLER SFT DE COMPUTACIÓN E INFORMÁTICA")</f>
        <v>TALLER SFT DE COMPUTACIÓN E INFORMÁTICA</v>
      </c>
      <c r="D2547" s="213" t="str">
        <f>IFERROR(__xludf.DUMMYFUNCTION("""COMPUTED_VALUE"""),"PEDAGOGICO")</f>
        <v>PEDAGOGICO</v>
      </c>
      <c r="E2547" s="213" t="str">
        <f>IFERROR(__xludf.DUMMYFUNCTION("""COMPUTED_VALUE"""),"MAT-465")</f>
        <v>MAT-465</v>
      </c>
      <c r="F2547" s="213" t="str">
        <f>IFERROR(__xludf.DUMMYFUNCTION("""COMPUTED_VALUE"""),"MAT-465")</f>
        <v>MAT-465</v>
      </c>
      <c r="G2547" s="213"/>
      <c r="H2547" s="213" t="str">
        <f>IFERROR(__xludf.DUMMYFUNCTION("""COMPUTED_VALUE"""),"USB CON INFORMACIÓN DE LOS MANUALES")</f>
        <v>USB CON INFORMACIÓN DE LOS MANUALES</v>
      </c>
      <c r="I2547"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7" s="213">
        <f>IFERROR(__xludf.DUMMYFUNCTION("""COMPUTED_VALUE"""),3.0)</f>
        <v>3</v>
      </c>
      <c r="K2547" s="213" t="str">
        <f>IFERROR(__xludf.DUMMYFUNCTION("""COMPUTED_VALUE"""),"170 DÍAS CALENDARIO")</f>
        <v>170 DÍAS CALENDARIO</v>
      </c>
      <c r="L2547" s="213" t="str">
        <f>IFERROR(__xludf.DUMMYFUNCTION("""COMPUTED_VALUE"""),"")</f>
        <v/>
      </c>
      <c r="M2547" s="213">
        <f>IFERROR(__xludf.DUMMYFUNCTION("""COMPUTED_VALUE"""),1.0)</f>
        <v>1</v>
      </c>
      <c r="N2547" s="213">
        <f>IFERROR(__xludf.DUMMYFUNCTION("""COMPUTED_VALUE"""),2.0)</f>
        <v>2</v>
      </c>
      <c r="O2547" s="213">
        <f>IFERROR(__xludf.DUMMYFUNCTION("""COMPUTED_VALUE"""),2.0)</f>
        <v>2</v>
      </c>
      <c r="P2547" s="213"/>
      <c r="Q2547" s="213"/>
      <c r="R2547" s="213"/>
      <c r="S2547" s="213"/>
      <c r="T2547" s="213"/>
      <c r="U2547" s="213"/>
      <c r="V2547" s="213"/>
      <c r="W2547" s="213"/>
      <c r="X2547" s="213"/>
      <c r="Y2547" s="213"/>
      <c r="Z2547" s="213"/>
      <c r="AA2547" s="213"/>
      <c r="AB2547" s="213"/>
      <c r="AC2547" s="213"/>
      <c r="AD2547" s="213"/>
      <c r="AE2547" s="213"/>
      <c r="AF2547" s="213"/>
      <c r="AG2547" s="213"/>
      <c r="AH2547" s="213"/>
      <c r="AI2547" s="213"/>
      <c r="AJ2547" s="213"/>
      <c r="AK2547" s="213"/>
      <c r="AL2547" s="213"/>
      <c r="AM2547" s="213"/>
      <c r="AN2547" s="213"/>
      <c r="AO2547" s="213"/>
      <c r="AP2547" s="213"/>
      <c r="AQ2547" s="213"/>
      <c r="AR2547" s="213"/>
      <c r="AS2547" s="213"/>
      <c r="AT2547" s="213"/>
      <c r="AU2547" s="213"/>
      <c r="AV2547" s="213"/>
      <c r="AW2547" s="213"/>
      <c r="AX2547" s="213"/>
      <c r="AY2547" s="213"/>
      <c r="AZ2547" s="213"/>
      <c r="BA2547" s="213"/>
      <c r="BB2547" s="213"/>
      <c r="BC2547" s="213"/>
      <c r="BD2547" s="213"/>
    </row>
    <row r="2548">
      <c r="A2548" s="213">
        <f>IFERROR(__xludf.DUMMYFUNCTION("""COMPUTED_VALUE"""),1981.0)</f>
        <v>1981</v>
      </c>
      <c r="B2548" s="213" t="str">
        <f>IFERROR(__xludf.DUMMYFUNCTION("""COMPUTED_VALUE"""),"JOSE GRANDA")</f>
        <v>JOSE GRANDA</v>
      </c>
      <c r="C2548" s="213" t="str">
        <f>IFERROR(__xludf.DUMMYFUNCTION("""COMPUTED_VALUE"""),"TALLER SFT DE COMPUTACIÓN E INFORMÁTICA")</f>
        <v>TALLER SFT DE COMPUTACIÓN E INFORMÁTICA</v>
      </c>
      <c r="D2548" s="213" t="str">
        <f>IFERROR(__xludf.DUMMYFUNCTION("""COMPUTED_VALUE"""),"PEDAGOGICO")</f>
        <v>PEDAGOGICO</v>
      </c>
      <c r="E2548" s="213" t="str">
        <f>IFERROR(__xludf.DUMMYFUNCTION("""COMPUTED_VALUE"""),"MAT-465")</f>
        <v>MAT-465</v>
      </c>
      <c r="F2548" s="213" t="str">
        <f>IFERROR(__xludf.DUMMYFUNCTION("""COMPUTED_VALUE"""),"MAT-465")</f>
        <v>MAT-465</v>
      </c>
      <c r="G2548" s="213"/>
      <c r="H2548" s="213" t="str">
        <f>IFERROR(__xludf.DUMMYFUNCTION("""COMPUTED_VALUE"""),"USB CON INFORMACIÓN DE LOS MANUALES")</f>
        <v>USB CON INFORMACIÓN DE LOS MANUALES</v>
      </c>
      <c r="I254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8" s="213">
        <f>IFERROR(__xludf.DUMMYFUNCTION("""COMPUTED_VALUE"""),3.0)</f>
        <v>3</v>
      </c>
      <c r="K2548" s="213" t="str">
        <f>IFERROR(__xludf.DUMMYFUNCTION("""COMPUTED_VALUE"""),"170 DÍAS CALENDARIO")</f>
        <v>170 DÍAS CALENDARIO</v>
      </c>
      <c r="L2548" s="213" t="str">
        <f>IFERROR(__xludf.DUMMYFUNCTION("""COMPUTED_VALUE"""),"")</f>
        <v/>
      </c>
      <c r="M2548" s="213">
        <f>IFERROR(__xludf.DUMMYFUNCTION("""COMPUTED_VALUE"""),1.0)</f>
        <v>1</v>
      </c>
      <c r="N2548" s="213">
        <f>IFERROR(__xludf.DUMMYFUNCTION("""COMPUTED_VALUE"""),2.0)</f>
        <v>2</v>
      </c>
      <c r="O2548" s="213">
        <f>IFERROR(__xludf.DUMMYFUNCTION("""COMPUTED_VALUE"""),2.0)</f>
        <v>2</v>
      </c>
      <c r="P2548" s="213"/>
      <c r="Q2548" s="213"/>
      <c r="R2548" s="213"/>
      <c r="S2548" s="213"/>
      <c r="T2548" s="213"/>
      <c r="U2548" s="213"/>
      <c r="V2548" s="213"/>
      <c r="W2548" s="213"/>
      <c r="X2548" s="213"/>
      <c r="Y2548" s="213"/>
      <c r="Z2548" s="213"/>
      <c r="AA2548" s="213"/>
      <c r="AB2548" s="213"/>
      <c r="AC2548" s="213"/>
      <c r="AD2548" s="213"/>
      <c r="AE2548" s="213"/>
      <c r="AF2548" s="213"/>
      <c r="AG2548" s="213"/>
      <c r="AH2548" s="213"/>
      <c r="AI2548" s="213"/>
      <c r="AJ2548" s="213"/>
      <c r="AK2548" s="213"/>
      <c r="AL2548" s="213"/>
      <c r="AM2548" s="213"/>
      <c r="AN2548" s="213"/>
      <c r="AO2548" s="213"/>
      <c r="AP2548" s="213"/>
      <c r="AQ2548" s="213"/>
      <c r="AR2548" s="213"/>
      <c r="AS2548" s="213"/>
      <c r="AT2548" s="213"/>
      <c r="AU2548" s="213"/>
      <c r="AV2548" s="213"/>
      <c r="AW2548" s="213"/>
      <c r="AX2548" s="213"/>
      <c r="AY2548" s="213"/>
      <c r="AZ2548" s="213"/>
      <c r="BA2548" s="213"/>
      <c r="BB2548" s="213"/>
      <c r="BC2548" s="213"/>
      <c r="BD2548" s="213"/>
    </row>
    <row r="2549">
      <c r="A2549" s="213">
        <f>IFERROR(__xludf.DUMMYFUNCTION("""COMPUTED_VALUE"""),1986.0)</f>
        <v>1986</v>
      </c>
      <c r="B2549" s="213" t="str">
        <f>IFERROR(__xludf.DUMMYFUNCTION("""COMPUTED_VALUE"""),"JOSE GRANDA")</f>
        <v>JOSE GRANDA</v>
      </c>
      <c r="C2549" s="213" t="str">
        <f>IFERROR(__xludf.DUMMYFUNCTION("""COMPUTED_VALUE"""),"TALLER SFT DE COMPUTACIÓN E INFORMÁTICA")</f>
        <v>TALLER SFT DE COMPUTACIÓN E INFORMÁTICA</v>
      </c>
      <c r="D2549" s="213" t="str">
        <f>IFERROR(__xludf.DUMMYFUNCTION("""COMPUTED_VALUE"""),"PEDAGOGICO")</f>
        <v>PEDAGOGICO</v>
      </c>
      <c r="E2549" s="213" t="str">
        <f>IFERROR(__xludf.DUMMYFUNCTION("""COMPUTED_VALUE"""),"MAT-465")</f>
        <v>MAT-465</v>
      </c>
      <c r="F2549" s="213" t="str">
        <f>IFERROR(__xludf.DUMMYFUNCTION("""COMPUTED_VALUE"""),"MAT-465")</f>
        <v>MAT-465</v>
      </c>
      <c r="G2549" s="213"/>
      <c r="H2549" s="213" t="str">
        <f>IFERROR(__xludf.DUMMYFUNCTION("""COMPUTED_VALUE"""),"USB CON INFORMACIÓN DE LOS MANUALES")</f>
        <v>USB CON INFORMACIÓN DE LOS MANUALES</v>
      </c>
      <c r="I2549"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49" s="213">
        <f>IFERROR(__xludf.DUMMYFUNCTION("""COMPUTED_VALUE"""),3.0)</f>
        <v>3</v>
      </c>
      <c r="K2549" s="213" t="str">
        <f>IFERROR(__xludf.DUMMYFUNCTION("""COMPUTED_VALUE"""),"170 DÍAS CALENDARIO")</f>
        <v>170 DÍAS CALENDARIO</v>
      </c>
      <c r="L2549" s="213" t="str">
        <f>IFERROR(__xludf.DUMMYFUNCTION("""COMPUTED_VALUE"""),"")</f>
        <v/>
      </c>
      <c r="M2549" s="213">
        <f>IFERROR(__xludf.DUMMYFUNCTION("""COMPUTED_VALUE"""),1.0)</f>
        <v>1</v>
      </c>
      <c r="N2549" s="213">
        <f>IFERROR(__xludf.DUMMYFUNCTION("""COMPUTED_VALUE"""),2.0)</f>
        <v>2</v>
      </c>
      <c r="O2549" s="213">
        <f>IFERROR(__xludf.DUMMYFUNCTION("""COMPUTED_VALUE"""),2.0)</f>
        <v>2</v>
      </c>
      <c r="P2549" s="213"/>
      <c r="Q2549" s="213"/>
      <c r="R2549" s="213"/>
      <c r="S2549" s="213"/>
      <c r="T2549" s="213"/>
      <c r="U2549" s="213"/>
      <c r="V2549" s="213"/>
      <c r="W2549" s="213"/>
      <c r="X2549" s="213"/>
      <c r="Y2549" s="213"/>
      <c r="Z2549" s="213"/>
      <c r="AA2549" s="213"/>
      <c r="AB2549" s="213"/>
      <c r="AC2549" s="213"/>
      <c r="AD2549" s="213"/>
      <c r="AE2549" s="213"/>
      <c r="AF2549" s="213"/>
      <c r="AG2549" s="213"/>
      <c r="AH2549" s="213"/>
      <c r="AI2549" s="213"/>
      <c r="AJ2549" s="213"/>
      <c r="AK2549" s="213"/>
      <c r="AL2549" s="213"/>
      <c r="AM2549" s="213"/>
      <c r="AN2549" s="213"/>
      <c r="AO2549" s="213"/>
      <c r="AP2549" s="213"/>
      <c r="AQ2549" s="213"/>
      <c r="AR2549" s="213"/>
      <c r="AS2549" s="213"/>
      <c r="AT2549" s="213"/>
      <c r="AU2549" s="213"/>
      <c r="AV2549" s="213"/>
      <c r="AW2549" s="213"/>
      <c r="AX2549" s="213"/>
      <c r="AY2549" s="213"/>
      <c r="AZ2549" s="213"/>
      <c r="BA2549" s="213"/>
      <c r="BB2549" s="213"/>
      <c r="BC2549" s="213"/>
      <c r="BD2549" s="213"/>
    </row>
    <row r="2550">
      <c r="A2550" s="213">
        <f>IFERROR(__xludf.DUMMYFUNCTION("""COMPUTED_VALUE"""),1994.0)</f>
        <v>1994</v>
      </c>
      <c r="B2550" s="213" t="str">
        <f>IFERROR(__xludf.DUMMYFUNCTION("""COMPUTED_VALUE"""),"JOSE GRANDA")</f>
        <v>JOSE GRANDA</v>
      </c>
      <c r="C2550" s="213" t="str">
        <f>IFERROR(__xludf.DUMMYFUNCTION("""COMPUTED_VALUE"""),"TALLER SFT DE COMPUTACIÓN E INFORMÁTICA")</f>
        <v>TALLER SFT DE COMPUTACIÓN E INFORMÁTICA</v>
      </c>
      <c r="D2550" s="213" t="str">
        <f>IFERROR(__xludf.DUMMYFUNCTION("""COMPUTED_VALUE"""),"PEDAGOGICO")</f>
        <v>PEDAGOGICO</v>
      </c>
      <c r="E2550" s="213" t="str">
        <f>IFERROR(__xludf.DUMMYFUNCTION("""COMPUTED_VALUE"""),"MAT-465")</f>
        <v>MAT-465</v>
      </c>
      <c r="F2550" s="213" t="str">
        <f>IFERROR(__xludf.DUMMYFUNCTION("""COMPUTED_VALUE"""),"MAT-465")</f>
        <v>MAT-465</v>
      </c>
      <c r="G2550" s="213"/>
      <c r="H2550" s="213" t="str">
        <f>IFERROR(__xludf.DUMMYFUNCTION("""COMPUTED_VALUE"""),"USB CON INFORMACIÓN DE LOS MANUALES")</f>
        <v>USB CON INFORMACIÓN DE LOS MANUALES</v>
      </c>
      <c r="I2550"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0" s="213">
        <f>IFERROR(__xludf.DUMMYFUNCTION("""COMPUTED_VALUE"""),3.0)</f>
        <v>3</v>
      </c>
      <c r="K2550" s="213" t="str">
        <f>IFERROR(__xludf.DUMMYFUNCTION("""COMPUTED_VALUE"""),"170 DÍAS CALENDARIO")</f>
        <v>170 DÍAS CALENDARIO</v>
      </c>
      <c r="L2550" s="213" t="str">
        <f>IFERROR(__xludf.DUMMYFUNCTION("""COMPUTED_VALUE"""),"")</f>
        <v/>
      </c>
      <c r="M2550" s="213">
        <f>IFERROR(__xludf.DUMMYFUNCTION("""COMPUTED_VALUE"""),1.0)</f>
        <v>1</v>
      </c>
      <c r="N2550" s="213">
        <f>IFERROR(__xludf.DUMMYFUNCTION("""COMPUTED_VALUE"""),2.0)</f>
        <v>2</v>
      </c>
      <c r="O2550" s="213">
        <f>IFERROR(__xludf.DUMMYFUNCTION("""COMPUTED_VALUE"""),2.0)</f>
        <v>2</v>
      </c>
      <c r="P2550" s="213"/>
      <c r="Q2550" s="213"/>
      <c r="R2550" s="213"/>
      <c r="S2550" s="213"/>
      <c r="T2550" s="213"/>
      <c r="U2550" s="213"/>
      <c r="V2550" s="213"/>
      <c r="W2550" s="213"/>
      <c r="X2550" s="213"/>
      <c r="Y2550" s="213"/>
      <c r="Z2550" s="213"/>
      <c r="AA2550" s="213"/>
      <c r="AB2550" s="213"/>
      <c r="AC2550" s="213"/>
      <c r="AD2550" s="213"/>
      <c r="AE2550" s="213"/>
      <c r="AF2550" s="213"/>
      <c r="AG2550" s="213"/>
      <c r="AH2550" s="213"/>
      <c r="AI2550" s="213"/>
      <c r="AJ2550" s="213"/>
      <c r="AK2550" s="213"/>
      <c r="AL2550" s="213"/>
      <c r="AM2550" s="213"/>
      <c r="AN2550" s="213"/>
      <c r="AO2550" s="213"/>
      <c r="AP2550" s="213"/>
      <c r="AQ2550" s="213"/>
      <c r="AR2550" s="213"/>
      <c r="AS2550" s="213"/>
      <c r="AT2550" s="213"/>
      <c r="AU2550" s="213"/>
      <c r="AV2550" s="213"/>
      <c r="AW2550" s="213"/>
      <c r="AX2550" s="213"/>
      <c r="AY2550" s="213"/>
      <c r="AZ2550" s="213"/>
      <c r="BA2550" s="213"/>
      <c r="BB2550" s="213"/>
      <c r="BC2550" s="213"/>
      <c r="BD2550" s="213"/>
    </row>
    <row r="2551">
      <c r="A2551" s="213">
        <f>IFERROR(__xludf.DUMMYFUNCTION("""COMPUTED_VALUE"""),2004.0)</f>
        <v>2004</v>
      </c>
      <c r="B2551" s="213" t="str">
        <f>IFERROR(__xludf.DUMMYFUNCTION("""COMPUTED_VALUE"""),"JOSE GRANDA")</f>
        <v>JOSE GRANDA</v>
      </c>
      <c r="C2551" s="213" t="str">
        <f>IFERROR(__xludf.DUMMYFUNCTION("""COMPUTED_VALUE"""),"TALLER SFT DE COMPUTACIÓN E INFORMÁTICA")</f>
        <v>TALLER SFT DE COMPUTACIÓN E INFORMÁTICA</v>
      </c>
      <c r="D2551" s="213" t="str">
        <f>IFERROR(__xludf.DUMMYFUNCTION("""COMPUTED_VALUE"""),"PEDAGOGICO")</f>
        <v>PEDAGOGICO</v>
      </c>
      <c r="E2551" s="213" t="str">
        <f>IFERROR(__xludf.DUMMYFUNCTION("""COMPUTED_VALUE"""),"MAT-465")</f>
        <v>MAT-465</v>
      </c>
      <c r="F2551" s="213" t="str">
        <f>IFERROR(__xludf.DUMMYFUNCTION("""COMPUTED_VALUE"""),"MAT-465")</f>
        <v>MAT-465</v>
      </c>
      <c r="G2551" s="213"/>
      <c r="H2551" s="213" t="str">
        <f>IFERROR(__xludf.DUMMYFUNCTION("""COMPUTED_VALUE"""),"USB CON INFORMACIÓN DE LOS MANUALES")</f>
        <v>USB CON INFORMACIÓN DE LOS MANUALES</v>
      </c>
      <c r="I2551"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1" s="213">
        <f>IFERROR(__xludf.DUMMYFUNCTION("""COMPUTED_VALUE"""),3.0)</f>
        <v>3</v>
      </c>
      <c r="K2551" s="213" t="str">
        <f>IFERROR(__xludf.DUMMYFUNCTION("""COMPUTED_VALUE"""),"170 DÍAS CALENDARIO")</f>
        <v>170 DÍAS CALENDARIO</v>
      </c>
      <c r="L2551" s="213" t="str">
        <f>IFERROR(__xludf.DUMMYFUNCTION("""COMPUTED_VALUE"""),"")</f>
        <v/>
      </c>
      <c r="M2551" s="213">
        <f>IFERROR(__xludf.DUMMYFUNCTION("""COMPUTED_VALUE"""),1.0)</f>
        <v>1</v>
      </c>
      <c r="N2551" s="213">
        <f>IFERROR(__xludf.DUMMYFUNCTION("""COMPUTED_VALUE"""),2.0)</f>
        <v>2</v>
      </c>
      <c r="O2551" s="213">
        <f>IFERROR(__xludf.DUMMYFUNCTION("""COMPUTED_VALUE"""),2.0)</f>
        <v>2</v>
      </c>
      <c r="P2551" s="213"/>
      <c r="Q2551" s="213"/>
      <c r="R2551" s="213"/>
      <c r="S2551" s="213"/>
      <c r="T2551" s="213"/>
      <c r="U2551" s="213"/>
      <c r="V2551" s="213"/>
      <c r="W2551" s="213"/>
      <c r="X2551" s="213"/>
      <c r="Y2551" s="213"/>
      <c r="Z2551" s="213"/>
      <c r="AA2551" s="213"/>
      <c r="AB2551" s="213"/>
      <c r="AC2551" s="213"/>
      <c r="AD2551" s="213"/>
      <c r="AE2551" s="213"/>
      <c r="AF2551" s="213"/>
      <c r="AG2551" s="213"/>
      <c r="AH2551" s="213"/>
      <c r="AI2551" s="213"/>
      <c r="AJ2551" s="213"/>
      <c r="AK2551" s="213"/>
      <c r="AL2551" s="213"/>
      <c r="AM2551" s="213"/>
      <c r="AN2551" s="213"/>
      <c r="AO2551" s="213"/>
      <c r="AP2551" s="213"/>
      <c r="AQ2551" s="213"/>
      <c r="AR2551" s="213"/>
      <c r="AS2551" s="213"/>
      <c r="AT2551" s="213"/>
      <c r="AU2551" s="213"/>
      <c r="AV2551" s="213"/>
      <c r="AW2551" s="213"/>
      <c r="AX2551" s="213"/>
      <c r="AY2551" s="213"/>
      <c r="AZ2551" s="213"/>
      <c r="BA2551" s="213"/>
      <c r="BB2551" s="213"/>
      <c r="BC2551" s="213"/>
      <c r="BD2551" s="213"/>
    </row>
    <row r="2552">
      <c r="A2552" s="213">
        <f>IFERROR(__xludf.DUMMYFUNCTION("""COMPUTED_VALUE"""),2163.0)</f>
        <v>2163</v>
      </c>
      <c r="B2552" s="213" t="str">
        <f>IFERROR(__xludf.DUMMYFUNCTION("""COMPUTED_VALUE"""),"JOSE GRANDA")</f>
        <v>JOSE GRANDA</v>
      </c>
      <c r="C2552" s="213" t="str">
        <f>IFERROR(__xludf.DUMMYFUNCTION("""COMPUTED_VALUE"""),"TALLER SFT DE INDUSTRIA ALIMENTARIA")</f>
        <v>TALLER SFT DE INDUSTRIA ALIMENTARIA</v>
      </c>
      <c r="D2552" s="213" t="str">
        <f>IFERROR(__xludf.DUMMYFUNCTION("""COMPUTED_VALUE"""),"PEDAGOGICO")</f>
        <v>PEDAGOGICO</v>
      </c>
      <c r="E2552" s="213" t="str">
        <f>IFERROR(__xludf.DUMMYFUNCTION("""COMPUTED_VALUE"""),"MAT-465")</f>
        <v>MAT-465</v>
      </c>
      <c r="F2552" s="213" t="str">
        <f>IFERROR(__xludf.DUMMYFUNCTION("""COMPUTED_VALUE"""),"MAT-465")</f>
        <v>MAT-465</v>
      </c>
      <c r="G2552" s="213"/>
      <c r="H2552" s="213" t="str">
        <f>IFERROR(__xludf.DUMMYFUNCTION("""COMPUTED_VALUE"""),"USB CON INFORMACIÓN DE LOS MANUALES")</f>
        <v>USB CON INFORMACIÓN DE LOS MANUALES</v>
      </c>
      <c r="I2552"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2" s="213">
        <f>IFERROR(__xludf.DUMMYFUNCTION("""COMPUTED_VALUE"""),3.0)</f>
        <v>3</v>
      </c>
      <c r="K2552" s="213" t="str">
        <f>IFERROR(__xludf.DUMMYFUNCTION("""COMPUTED_VALUE"""),"170 DÍAS CALENDARIO")</f>
        <v>170 DÍAS CALENDARIO</v>
      </c>
      <c r="L2552" s="213" t="str">
        <f>IFERROR(__xludf.DUMMYFUNCTION("""COMPUTED_VALUE"""),"")</f>
        <v/>
      </c>
      <c r="M2552" s="213">
        <f>IFERROR(__xludf.DUMMYFUNCTION("""COMPUTED_VALUE"""),1.0)</f>
        <v>1</v>
      </c>
      <c r="N2552" s="213">
        <f>IFERROR(__xludf.DUMMYFUNCTION("""COMPUTED_VALUE"""),2.0)</f>
        <v>2</v>
      </c>
      <c r="O2552" s="213">
        <f>IFERROR(__xludf.DUMMYFUNCTION("""COMPUTED_VALUE"""),2.0)</f>
        <v>2</v>
      </c>
      <c r="P2552" s="213"/>
      <c r="Q2552" s="213"/>
      <c r="R2552" s="213"/>
      <c r="S2552" s="213"/>
      <c r="T2552" s="213"/>
      <c r="U2552" s="213"/>
      <c r="V2552" s="213"/>
      <c r="W2552" s="213"/>
      <c r="X2552" s="213"/>
      <c r="Y2552" s="213"/>
      <c r="Z2552" s="213"/>
      <c r="AA2552" s="213"/>
      <c r="AB2552" s="213"/>
      <c r="AC2552" s="213"/>
      <c r="AD2552" s="213"/>
      <c r="AE2552" s="213"/>
      <c r="AF2552" s="213"/>
      <c r="AG2552" s="213"/>
      <c r="AH2552" s="213"/>
      <c r="AI2552" s="213"/>
      <c r="AJ2552" s="213"/>
      <c r="AK2552" s="213"/>
      <c r="AL2552" s="213"/>
      <c r="AM2552" s="213"/>
      <c r="AN2552" s="213"/>
      <c r="AO2552" s="213"/>
      <c r="AP2552" s="213"/>
      <c r="AQ2552" s="213"/>
      <c r="AR2552" s="213"/>
      <c r="AS2552" s="213"/>
      <c r="AT2552" s="213"/>
      <c r="AU2552" s="213"/>
      <c r="AV2552" s="213"/>
      <c r="AW2552" s="213"/>
      <c r="AX2552" s="213"/>
      <c r="AY2552" s="213"/>
      <c r="AZ2552" s="213"/>
      <c r="BA2552" s="213"/>
      <c r="BB2552" s="213"/>
      <c r="BC2552" s="213"/>
      <c r="BD2552" s="213"/>
    </row>
    <row r="2553">
      <c r="A2553" s="213">
        <f>IFERROR(__xludf.DUMMYFUNCTION("""COMPUTED_VALUE"""),2169.0)</f>
        <v>2169</v>
      </c>
      <c r="B2553" s="213" t="str">
        <f>IFERROR(__xludf.DUMMYFUNCTION("""COMPUTED_VALUE"""),"JOSE GRANDA")</f>
        <v>JOSE GRANDA</v>
      </c>
      <c r="C2553" s="213" t="str">
        <f>IFERROR(__xludf.DUMMYFUNCTION("""COMPUTED_VALUE"""),"TALLER SFT DE INDUSTRIA ALIMENTARIA")</f>
        <v>TALLER SFT DE INDUSTRIA ALIMENTARIA</v>
      </c>
      <c r="D2553" s="213" t="str">
        <f>IFERROR(__xludf.DUMMYFUNCTION("""COMPUTED_VALUE"""),"PEDAGOGICO")</f>
        <v>PEDAGOGICO</v>
      </c>
      <c r="E2553" s="213" t="str">
        <f>IFERROR(__xludf.DUMMYFUNCTION("""COMPUTED_VALUE"""),"MAT-465")</f>
        <v>MAT-465</v>
      </c>
      <c r="F2553" s="213" t="str">
        <f>IFERROR(__xludf.DUMMYFUNCTION("""COMPUTED_VALUE"""),"MAT-465")</f>
        <v>MAT-465</v>
      </c>
      <c r="G2553" s="213"/>
      <c r="H2553" s="213" t="str">
        <f>IFERROR(__xludf.DUMMYFUNCTION("""COMPUTED_VALUE"""),"USB CON INFORMACIÓN DE LOS MANUALES")</f>
        <v>USB CON INFORMACIÓN DE LOS MANUALES</v>
      </c>
      <c r="I2553"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3" s="213">
        <f>IFERROR(__xludf.DUMMYFUNCTION("""COMPUTED_VALUE"""),3.0)</f>
        <v>3</v>
      </c>
      <c r="K2553" s="213" t="str">
        <f>IFERROR(__xludf.DUMMYFUNCTION("""COMPUTED_VALUE"""),"170 DÍAS CALENDARIO")</f>
        <v>170 DÍAS CALENDARIO</v>
      </c>
      <c r="L2553" s="213" t="str">
        <f>IFERROR(__xludf.DUMMYFUNCTION("""COMPUTED_VALUE"""),"")</f>
        <v/>
      </c>
      <c r="M2553" s="213">
        <f>IFERROR(__xludf.DUMMYFUNCTION("""COMPUTED_VALUE"""),1.0)</f>
        <v>1</v>
      </c>
      <c r="N2553" s="213">
        <f>IFERROR(__xludf.DUMMYFUNCTION("""COMPUTED_VALUE"""),2.0)</f>
        <v>2</v>
      </c>
      <c r="O2553" s="213">
        <f>IFERROR(__xludf.DUMMYFUNCTION("""COMPUTED_VALUE"""),2.0)</f>
        <v>2</v>
      </c>
      <c r="P2553" s="213"/>
      <c r="Q2553" s="213"/>
      <c r="R2553" s="213"/>
      <c r="S2553" s="213"/>
      <c r="T2553" s="213"/>
      <c r="U2553" s="213"/>
      <c r="V2553" s="213"/>
      <c r="W2553" s="213"/>
      <c r="X2553" s="213"/>
      <c r="Y2553" s="213"/>
      <c r="Z2553" s="213"/>
      <c r="AA2553" s="213"/>
      <c r="AB2553" s="213"/>
      <c r="AC2553" s="213"/>
      <c r="AD2553" s="213"/>
      <c r="AE2553" s="213"/>
      <c r="AF2553" s="213"/>
      <c r="AG2553" s="213"/>
      <c r="AH2553" s="213"/>
      <c r="AI2553" s="213"/>
      <c r="AJ2553" s="213"/>
      <c r="AK2553" s="213"/>
      <c r="AL2553" s="213"/>
      <c r="AM2553" s="213"/>
      <c r="AN2553" s="213"/>
      <c r="AO2553" s="213"/>
      <c r="AP2553" s="213"/>
      <c r="AQ2553" s="213"/>
      <c r="AR2553" s="213"/>
      <c r="AS2553" s="213"/>
      <c r="AT2553" s="213"/>
      <c r="AU2553" s="213"/>
      <c r="AV2553" s="213"/>
      <c r="AW2553" s="213"/>
      <c r="AX2553" s="213"/>
      <c r="AY2553" s="213"/>
      <c r="AZ2553" s="213"/>
      <c r="BA2553" s="213"/>
      <c r="BB2553" s="213"/>
      <c r="BC2553" s="213"/>
      <c r="BD2553" s="213"/>
    </row>
    <row r="2554">
      <c r="A2554" s="213">
        <f>IFERROR(__xludf.DUMMYFUNCTION("""COMPUTED_VALUE"""),2174.0)</f>
        <v>2174</v>
      </c>
      <c r="B2554" s="213" t="str">
        <f>IFERROR(__xludf.DUMMYFUNCTION("""COMPUTED_VALUE"""),"JOSE GRANDA")</f>
        <v>JOSE GRANDA</v>
      </c>
      <c r="C2554" s="213" t="str">
        <f>IFERROR(__xludf.DUMMYFUNCTION("""COMPUTED_VALUE"""),"TALLER SFT DE INDUSTRIA ALIMENTARIA")</f>
        <v>TALLER SFT DE INDUSTRIA ALIMENTARIA</v>
      </c>
      <c r="D2554" s="213" t="str">
        <f>IFERROR(__xludf.DUMMYFUNCTION("""COMPUTED_VALUE"""),"PEDAGOGICO")</f>
        <v>PEDAGOGICO</v>
      </c>
      <c r="E2554" s="213" t="str">
        <f>IFERROR(__xludf.DUMMYFUNCTION("""COMPUTED_VALUE"""),"MAT-465")</f>
        <v>MAT-465</v>
      </c>
      <c r="F2554" s="213" t="str">
        <f>IFERROR(__xludf.DUMMYFUNCTION("""COMPUTED_VALUE"""),"MAT-465")</f>
        <v>MAT-465</v>
      </c>
      <c r="G2554" s="213"/>
      <c r="H2554" s="213" t="str">
        <f>IFERROR(__xludf.DUMMYFUNCTION("""COMPUTED_VALUE"""),"USB CON INFORMACIÓN DE LOS MANUALES")</f>
        <v>USB CON INFORMACIÓN DE LOS MANUALES</v>
      </c>
      <c r="I2554"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4" s="213">
        <f>IFERROR(__xludf.DUMMYFUNCTION("""COMPUTED_VALUE"""),3.0)</f>
        <v>3</v>
      </c>
      <c r="K2554" s="213" t="str">
        <f>IFERROR(__xludf.DUMMYFUNCTION("""COMPUTED_VALUE"""),"170 DÍAS CALENDARIO")</f>
        <v>170 DÍAS CALENDARIO</v>
      </c>
      <c r="L2554" s="213" t="str">
        <f>IFERROR(__xludf.DUMMYFUNCTION("""COMPUTED_VALUE"""),"")</f>
        <v/>
      </c>
      <c r="M2554" s="213">
        <f>IFERROR(__xludf.DUMMYFUNCTION("""COMPUTED_VALUE"""),1.0)</f>
        <v>1</v>
      </c>
      <c r="N2554" s="213">
        <f>IFERROR(__xludf.DUMMYFUNCTION("""COMPUTED_VALUE"""),2.0)</f>
        <v>2</v>
      </c>
      <c r="O2554" s="213">
        <f>IFERROR(__xludf.DUMMYFUNCTION("""COMPUTED_VALUE"""),2.0)</f>
        <v>2</v>
      </c>
      <c r="P2554" s="213"/>
      <c r="Q2554" s="213"/>
      <c r="R2554" s="213"/>
      <c r="S2554" s="213"/>
      <c r="T2554" s="213"/>
      <c r="U2554" s="213"/>
      <c r="V2554" s="213"/>
      <c r="W2554" s="213"/>
      <c r="X2554" s="213"/>
      <c r="Y2554" s="213"/>
      <c r="Z2554" s="213"/>
      <c r="AA2554" s="213"/>
      <c r="AB2554" s="213"/>
      <c r="AC2554" s="213"/>
      <c r="AD2554" s="213"/>
      <c r="AE2554" s="213"/>
      <c r="AF2554" s="213"/>
      <c r="AG2554" s="213"/>
      <c r="AH2554" s="213"/>
      <c r="AI2554" s="213"/>
      <c r="AJ2554" s="213"/>
      <c r="AK2554" s="213"/>
      <c r="AL2554" s="213"/>
      <c r="AM2554" s="213"/>
      <c r="AN2554" s="213"/>
      <c r="AO2554" s="213"/>
      <c r="AP2554" s="213"/>
      <c r="AQ2554" s="213"/>
      <c r="AR2554" s="213"/>
      <c r="AS2554" s="213"/>
      <c r="AT2554" s="213"/>
      <c r="AU2554" s="213"/>
      <c r="AV2554" s="213"/>
      <c r="AW2554" s="213"/>
      <c r="AX2554" s="213"/>
      <c r="AY2554" s="213"/>
      <c r="AZ2554" s="213"/>
      <c r="BA2554" s="213"/>
      <c r="BB2554" s="213"/>
      <c r="BC2554" s="213"/>
      <c r="BD2554" s="213"/>
    </row>
    <row r="2555">
      <c r="A2555" s="213">
        <f>IFERROR(__xludf.DUMMYFUNCTION("""COMPUTED_VALUE"""),2179.0)</f>
        <v>2179</v>
      </c>
      <c r="B2555" s="213" t="str">
        <f>IFERROR(__xludf.DUMMYFUNCTION("""COMPUTED_VALUE"""),"JOSE GRANDA")</f>
        <v>JOSE GRANDA</v>
      </c>
      <c r="C2555" s="213" t="str">
        <f>IFERROR(__xludf.DUMMYFUNCTION("""COMPUTED_VALUE"""),"TALLER SFT DE INDUSTRIA ALIMENTARIA")</f>
        <v>TALLER SFT DE INDUSTRIA ALIMENTARIA</v>
      </c>
      <c r="D2555" s="213" t="str">
        <f>IFERROR(__xludf.DUMMYFUNCTION("""COMPUTED_VALUE"""),"PEDAGOGICO")</f>
        <v>PEDAGOGICO</v>
      </c>
      <c r="E2555" s="213" t="str">
        <f>IFERROR(__xludf.DUMMYFUNCTION("""COMPUTED_VALUE"""),"MAT-465")</f>
        <v>MAT-465</v>
      </c>
      <c r="F2555" s="213" t="str">
        <f>IFERROR(__xludf.DUMMYFUNCTION("""COMPUTED_VALUE"""),"MAT-465")</f>
        <v>MAT-465</v>
      </c>
      <c r="G2555" s="213"/>
      <c r="H2555" s="213" t="str">
        <f>IFERROR(__xludf.DUMMYFUNCTION("""COMPUTED_VALUE"""),"USB CON INFORMACIÓN DE LOS MANUALES")</f>
        <v>USB CON INFORMACIÓN DE LOS MANUALES</v>
      </c>
      <c r="I2555"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5" s="213">
        <f>IFERROR(__xludf.DUMMYFUNCTION("""COMPUTED_VALUE"""),3.0)</f>
        <v>3</v>
      </c>
      <c r="K2555" s="213" t="str">
        <f>IFERROR(__xludf.DUMMYFUNCTION("""COMPUTED_VALUE"""),"170 DÍAS CALENDARIO")</f>
        <v>170 DÍAS CALENDARIO</v>
      </c>
      <c r="L2555" s="213" t="str">
        <f>IFERROR(__xludf.DUMMYFUNCTION("""COMPUTED_VALUE"""),"")</f>
        <v/>
      </c>
      <c r="M2555" s="213">
        <f>IFERROR(__xludf.DUMMYFUNCTION("""COMPUTED_VALUE"""),1.0)</f>
        <v>1</v>
      </c>
      <c r="N2555" s="213">
        <f>IFERROR(__xludf.DUMMYFUNCTION("""COMPUTED_VALUE"""),2.0)</f>
        <v>2</v>
      </c>
      <c r="O2555" s="213">
        <f>IFERROR(__xludf.DUMMYFUNCTION("""COMPUTED_VALUE"""),2.0)</f>
        <v>2</v>
      </c>
      <c r="P2555" s="213"/>
      <c r="Q2555" s="213"/>
      <c r="R2555" s="213"/>
      <c r="S2555" s="213"/>
      <c r="T2555" s="213"/>
      <c r="U2555" s="213"/>
      <c r="V2555" s="213"/>
      <c r="W2555" s="213"/>
      <c r="X2555" s="213"/>
      <c r="Y2555" s="213"/>
      <c r="Z2555" s="213"/>
      <c r="AA2555" s="213"/>
      <c r="AB2555" s="213"/>
      <c r="AC2555" s="213"/>
      <c r="AD2555" s="213"/>
      <c r="AE2555" s="213"/>
      <c r="AF2555" s="213"/>
      <c r="AG2555" s="213"/>
      <c r="AH2555" s="213"/>
      <c r="AI2555" s="213"/>
      <c r="AJ2555" s="213"/>
      <c r="AK2555" s="213"/>
      <c r="AL2555" s="213"/>
      <c r="AM2555" s="213"/>
      <c r="AN2555" s="213"/>
      <c r="AO2555" s="213"/>
      <c r="AP2555" s="213"/>
      <c r="AQ2555" s="213"/>
      <c r="AR2555" s="213"/>
      <c r="AS2555" s="213"/>
      <c r="AT2555" s="213"/>
      <c r="AU2555" s="213"/>
      <c r="AV2555" s="213"/>
      <c r="AW2555" s="213"/>
      <c r="AX2555" s="213"/>
      <c r="AY2555" s="213"/>
      <c r="AZ2555" s="213"/>
      <c r="BA2555" s="213"/>
      <c r="BB2555" s="213"/>
      <c r="BC2555" s="213"/>
      <c r="BD2555" s="213"/>
    </row>
    <row r="2556">
      <c r="A2556" s="213">
        <f>IFERROR(__xludf.DUMMYFUNCTION("""COMPUTED_VALUE"""),2184.0)</f>
        <v>2184</v>
      </c>
      <c r="B2556" s="213" t="str">
        <f>IFERROR(__xludf.DUMMYFUNCTION("""COMPUTED_VALUE"""),"JOSE GRANDA")</f>
        <v>JOSE GRANDA</v>
      </c>
      <c r="C2556" s="213" t="str">
        <f>IFERROR(__xludf.DUMMYFUNCTION("""COMPUTED_VALUE"""),"TALLER SFT DE INDUSTRIA ALIMENTARIA")</f>
        <v>TALLER SFT DE INDUSTRIA ALIMENTARIA</v>
      </c>
      <c r="D2556" s="213" t="str">
        <f>IFERROR(__xludf.DUMMYFUNCTION("""COMPUTED_VALUE"""),"PEDAGOGICO")</f>
        <v>PEDAGOGICO</v>
      </c>
      <c r="E2556" s="213" t="str">
        <f>IFERROR(__xludf.DUMMYFUNCTION("""COMPUTED_VALUE"""),"MAT-465")</f>
        <v>MAT-465</v>
      </c>
      <c r="F2556" s="213" t="str">
        <f>IFERROR(__xludf.DUMMYFUNCTION("""COMPUTED_VALUE"""),"MAT-465")</f>
        <v>MAT-465</v>
      </c>
      <c r="G2556" s="213"/>
      <c r="H2556" s="213" t="str">
        <f>IFERROR(__xludf.DUMMYFUNCTION("""COMPUTED_VALUE"""),"USB CON INFORMACIÓN DE LOS MANUALES")</f>
        <v>USB CON INFORMACIÓN DE LOS MANUALES</v>
      </c>
      <c r="I2556"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6" s="213">
        <f>IFERROR(__xludf.DUMMYFUNCTION("""COMPUTED_VALUE"""),3.0)</f>
        <v>3</v>
      </c>
      <c r="K2556" s="213" t="str">
        <f>IFERROR(__xludf.DUMMYFUNCTION("""COMPUTED_VALUE"""),"170 DÍAS CALENDARIO")</f>
        <v>170 DÍAS CALENDARIO</v>
      </c>
      <c r="L2556" s="213" t="str">
        <f>IFERROR(__xludf.DUMMYFUNCTION("""COMPUTED_VALUE"""),"")</f>
        <v/>
      </c>
      <c r="M2556" s="213">
        <f>IFERROR(__xludf.DUMMYFUNCTION("""COMPUTED_VALUE"""),1.0)</f>
        <v>1</v>
      </c>
      <c r="N2556" s="213">
        <f>IFERROR(__xludf.DUMMYFUNCTION("""COMPUTED_VALUE"""),2.0)</f>
        <v>2</v>
      </c>
      <c r="O2556" s="213">
        <f>IFERROR(__xludf.DUMMYFUNCTION("""COMPUTED_VALUE"""),2.0)</f>
        <v>2</v>
      </c>
      <c r="P2556" s="213"/>
      <c r="Q2556" s="213"/>
      <c r="R2556" s="213"/>
      <c r="S2556" s="213"/>
      <c r="T2556" s="213"/>
      <c r="U2556" s="213"/>
      <c r="V2556" s="213"/>
      <c r="W2556" s="213"/>
      <c r="X2556" s="213"/>
      <c r="Y2556" s="213"/>
      <c r="Z2556" s="213"/>
      <c r="AA2556" s="213"/>
      <c r="AB2556" s="213"/>
      <c r="AC2556" s="213"/>
      <c r="AD2556" s="213"/>
      <c r="AE2556" s="213"/>
      <c r="AF2556" s="213"/>
      <c r="AG2556" s="213"/>
      <c r="AH2556" s="213"/>
      <c r="AI2556" s="213"/>
      <c r="AJ2556" s="213"/>
      <c r="AK2556" s="213"/>
      <c r="AL2556" s="213"/>
      <c r="AM2556" s="213"/>
      <c r="AN2556" s="213"/>
      <c r="AO2556" s="213"/>
      <c r="AP2556" s="213"/>
      <c r="AQ2556" s="213"/>
      <c r="AR2556" s="213"/>
      <c r="AS2556" s="213"/>
      <c r="AT2556" s="213"/>
      <c r="AU2556" s="213"/>
      <c r="AV2556" s="213"/>
      <c r="AW2556" s="213"/>
      <c r="AX2556" s="213"/>
      <c r="AY2556" s="213"/>
      <c r="AZ2556" s="213"/>
      <c r="BA2556" s="213"/>
      <c r="BB2556" s="213"/>
      <c r="BC2556" s="213"/>
      <c r="BD2556" s="213"/>
    </row>
    <row r="2557">
      <c r="A2557" s="213">
        <f>IFERROR(__xludf.DUMMYFUNCTION("""COMPUTED_VALUE"""),2189.0)</f>
        <v>2189</v>
      </c>
      <c r="B2557" s="213" t="str">
        <f>IFERROR(__xludf.DUMMYFUNCTION("""COMPUTED_VALUE"""),"JOSE GRANDA")</f>
        <v>JOSE GRANDA</v>
      </c>
      <c r="C2557" s="213" t="str">
        <f>IFERROR(__xludf.DUMMYFUNCTION("""COMPUTED_VALUE"""),"TALLER SFT DE INDUSTRIA ALIMENTARIA")</f>
        <v>TALLER SFT DE INDUSTRIA ALIMENTARIA</v>
      </c>
      <c r="D2557" s="213" t="str">
        <f>IFERROR(__xludf.DUMMYFUNCTION("""COMPUTED_VALUE"""),"PEDAGOGICO")</f>
        <v>PEDAGOGICO</v>
      </c>
      <c r="E2557" s="213" t="str">
        <f>IFERROR(__xludf.DUMMYFUNCTION("""COMPUTED_VALUE"""),"MAT-465")</f>
        <v>MAT-465</v>
      </c>
      <c r="F2557" s="213" t="str">
        <f>IFERROR(__xludf.DUMMYFUNCTION("""COMPUTED_VALUE"""),"MAT-465")</f>
        <v>MAT-465</v>
      </c>
      <c r="G2557" s="213"/>
      <c r="H2557" s="213" t="str">
        <f>IFERROR(__xludf.DUMMYFUNCTION("""COMPUTED_VALUE"""),"USB CON INFORMACIÓN DE LOS MANUALES")</f>
        <v>USB CON INFORMACIÓN DE LOS MANUALES</v>
      </c>
      <c r="I2557"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7" s="213">
        <f>IFERROR(__xludf.DUMMYFUNCTION("""COMPUTED_VALUE"""),3.0)</f>
        <v>3</v>
      </c>
      <c r="K2557" s="213" t="str">
        <f>IFERROR(__xludf.DUMMYFUNCTION("""COMPUTED_VALUE"""),"170 DÍAS CALENDARIO")</f>
        <v>170 DÍAS CALENDARIO</v>
      </c>
      <c r="L2557" s="213" t="str">
        <f>IFERROR(__xludf.DUMMYFUNCTION("""COMPUTED_VALUE"""),"")</f>
        <v/>
      </c>
      <c r="M2557" s="213">
        <f>IFERROR(__xludf.DUMMYFUNCTION("""COMPUTED_VALUE"""),1.0)</f>
        <v>1</v>
      </c>
      <c r="N2557" s="213">
        <f>IFERROR(__xludf.DUMMYFUNCTION("""COMPUTED_VALUE"""),2.0)</f>
        <v>2</v>
      </c>
      <c r="O2557" s="213">
        <f>IFERROR(__xludf.DUMMYFUNCTION("""COMPUTED_VALUE"""),2.0)</f>
        <v>2</v>
      </c>
      <c r="P2557" s="213"/>
      <c r="Q2557" s="213"/>
      <c r="R2557" s="213"/>
      <c r="S2557" s="213"/>
      <c r="T2557" s="213"/>
      <c r="U2557" s="213"/>
      <c r="V2557" s="213"/>
      <c r="W2557" s="213"/>
      <c r="X2557" s="213"/>
      <c r="Y2557" s="213"/>
      <c r="Z2557" s="213"/>
      <c r="AA2557" s="213"/>
      <c r="AB2557" s="213"/>
      <c r="AC2557" s="213"/>
      <c r="AD2557" s="213"/>
      <c r="AE2557" s="213"/>
      <c r="AF2557" s="213"/>
      <c r="AG2557" s="213"/>
      <c r="AH2557" s="213"/>
      <c r="AI2557" s="213"/>
      <c r="AJ2557" s="213"/>
      <c r="AK2557" s="213"/>
      <c r="AL2557" s="213"/>
      <c r="AM2557" s="213"/>
      <c r="AN2557" s="213"/>
      <c r="AO2557" s="213"/>
      <c r="AP2557" s="213"/>
      <c r="AQ2557" s="213"/>
      <c r="AR2557" s="213"/>
      <c r="AS2557" s="213"/>
      <c r="AT2557" s="213"/>
      <c r="AU2557" s="213"/>
      <c r="AV2557" s="213"/>
      <c r="AW2557" s="213"/>
      <c r="AX2557" s="213"/>
      <c r="AY2557" s="213"/>
      <c r="AZ2557" s="213"/>
      <c r="BA2557" s="213"/>
      <c r="BB2557" s="213"/>
      <c r="BC2557" s="213"/>
      <c r="BD2557" s="213"/>
    </row>
    <row r="2558">
      <c r="A2558" s="213">
        <f>IFERROR(__xludf.DUMMYFUNCTION("""COMPUTED_VALUE"""),2305.0)</f>
        <v>2305</v>
      </c>
      <c r="B2558" s="213" t="str">
        <f>IFERROR(__xludf.DUMMYFUNCTION("""COMPUTED_VALUE"""),"JOSE GRANDA")</f>
        <v>JOSE GRANDA</v>
      </c>
      <c r="C2558" s="213" t="str">
        <f>IFERROR(__xludf.DUMMYFUNCTION("""COMPUTED_VALUE"""),"TALLER SFT DE MECÁNICA AUTOMOTRIZ")</f>
        <v>TALLER SFT DE MECÁNICA AUTOMOTRIZ</v>
      </c>
      <c r="D2558" s="213" t="str">
        <f>IFERROR(__xludf.DUMMYFUNCTION("""COMPUTED_VALUE"""),"PEDAGOGICO")</f>
        <v>PEDAGOGICO</v>
      </c>
      <c r="E2558" s="213" t="str">
        <f>IFERROR(__xludf.DUMMYFUNCTION("""COMPUTED_VALUE"""),"MAT-465")</f>
        <v>MAT-465</v>
      </c>
      <c r="F2558" s="213" t="str">
        <f>IFERROR(__xludf.DUMMYFUNCTION("""COMPUTED_VALUE"""),"MAT-465")</f>
        <v>MAT-465</v>
      </c>
      <c r="G2558" s="213"/>
      <c r="H2558" s="213" t="str">
        <f>IFERROR(__xludf.DUMMYFUNCTION("""COMPUTED_VALUE"""),"USB CON INFORMACIÓN DE LOS MANUALES")</f>
        <v>USB CON INFORMACIÓN DE LOS MANUALES</v>
      </c>
      <c r="I255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8" s="213">
        <f>IFERROR(__xludf.DUMMYFUNCTION("""COMPUTED_VALUE"""),3.0)</f>
        <v>3</v>
      </c>
      <c r="K2558" s="213" t="str">
        <f>IFERROR(__xludf.DUMMYFUNCTION("""COMPUTED_VALUE"""),"170 DÍAS CALENDARIO")</f>
        <v>170 DÍAS CALENDARIO</v>
      </c>
      <c r="L2558" s="213" t="str">
        <f>IFERROR(__xludf.DUMMYFUNCTION("""COMPUTED_VALUE"""),"")</f>
        <v/>
      </c>
      <c r="M2558" s="213">
        <f>IFERROR(__xludf.DUMMYFUNCTION("""COMPUTED_VALUE"""),1.0)</f>
        <v>1</v>
      </c>
      <c r="N2558" s="213">
        <f>IFERROR(__xludf.DUMMYFUNCTION("""COMPUTED_VALUE"""),2.0)</f>
        <v>2</v>
      </c>
      <c r="O2558" s="213">
        <f>IFERROR(__xludf.DUMMYFUNCTION("""COMPUTED_VALUE"""),2.0)</f>
        <v>2</v>
      </c>
      <c r="P2558" s="213"/>
      <c r="Q2558" s="213"/>
      <c r="R2558" s="213"/>
      <c r="S2558" s="213"/>
      <c r="T2558" s="213"/>
      <c r="U2558" s="213"/>
      <c r="V2558" s="213"/>
      <c r="W2558" s="213"/>
      <c r="X2558" s="213"/>
      <c r="Y2558" s="213"/>
      <c r="Z2558" s="213"/>
      <c r="AA2558" s="213"/>
      <c r="AB2558" s="213"/>
      <c r="AC2558" s="213"/>
      <c r="AD2558" s="213"/>
      <c r="AE2558" s="213"/>
      <c r="AF2558" s="213"/>
      <c r="AG2558" s="213"/>
      <c r="AH2558" s="213"/>
      <c r="AI2558" s="213"/>
      <c r="AJ2558" s="213"/>
      <c r="AK2558" s="213"/>
      <c r="AL2558" s="213"/>
      <c r="AM2558" s="213"/>
      <c r="AN2558" s="213"/>
      <c r="AO2558" s="213"/>
      <c r="AP2558" s="213"/>
      <c r="AQ2558" s="213"/>
      <c r="AR2558" s="213"/>
      <c r="AS2558" s="213"/>
      <c r="AT2558" s="213"/>
      <c r="AU2558" s="213"/>
      <c r="AV2558" s="213"/>
      <c r="AW2558" s="213"/>
      <c r="AX2558" s="213"/>
      <c r="AY2558" s="213"/>
      <c r="AZ2558" s="213"/>
      <c r="BA2558" s="213"/>
      <c r="BB2558" s="213"/>
      <c r="BC2558" s="213"/>
      <c r="BD2558" s="213"/>
    </row>
    <row r="2559">
      <c r="A2559" s="213">
        <f>IFERROR(__xludf.DUMMYFUNCTION("""COMPUTED_VALUE"""),2310.0)</f>
        <v>2310</v>
      </c>
      <c r="B2559" s="213" t="str">
        <f>IFERROR(__xludf.DUMMYFUNCTION("""COMPUTED_VALUE"""),"JOSE GRANDA")</f>
        <v>JOSE GRANDA</v>
      </c>
      <c r="C2559" s="213" t="str">
        <f>IFERROR(__xludf.DUMMYFUNCTION("""COMPUTED_VALUE"""),"TALLER SFT DE MECÁNICA AUTOMOTRIZ")</f>
        <v>TALLER SFT DE MECÁNICA AUTOMOTRIZ</v>
      </c>
      <c r="D2559" s="213" t="str">
        <f>IFERROR(__xludf.DUMMYFUNCTION("""COMPUTED_VALUE"""),"PEDAGOGICO")</f>
        <v>PEDAGOGICO</v>
      </c>
      <c r="E2559" s="213" t="str">
        <f>IFERROR(__xludf.DUMMYFUNCTION("""COMPUTED_VALUE"""),"MAT-465")</f>
        <v>MAT-465</v>
      </c>
      <c r="F2559" s="213" t="str">
        <f>IFERROR(__xludf.DUMMYFUNCTION("""COMPUTED_VALUE"""),"MAT-465")</f>
        <v>MAT-465</v>
      </c>
      <c r="G2559" s="213"/>
      <c r="H2559" s="213" t="str">
        <f>IFERROR(__xludf.DUMMYFUNCTION("""COMPUTED_VALUE"""),"USB CON INFORMACIÓN DE LOS MANUALES")</f>
        <v>USB CON INFORMACIÓN DE LOS MANUALES</v>
      </c>
      <c r="I2559"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utilizando el equipo en formato "&amp;"PDF o JPG. Así mismo contiene información complementaria en videos, imágenes y textos digitales sobre identificación de necesidades y problemas del cliente.
· La información y las imágenes tienen calidad de resolución mínima, que no se distorsiona al ser "&amp;"impresa.
· El USB tiene 3 tipos de conectores: para conectarse con la PC, Tablet y móvil (conector USB 3.0, conector micro USB, conector tipo C), o en su defecto se proporciona adicionalmente un conector  (cable) con las 3 posibles conexiones.
· El USB es"&amp;" compatible con iPhone/Android/Windows.")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utilizando el equipo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59" s="213">
        <f>IFERROR(__xludf.DUMMYFUNCTION("""COMPUTED_VALUE"""),3.0)</f>
        <v>3</v>
      </c>
      <c r="K2559" s="213" t="str">
        <f>IFERROR(__xludf.DUMMYFUNCTION("""COMPUTED_VALUE"""),"170 DÍAS CALENDARIO")</f>
        <v>170 DÍAS CALENDARIO</v>
      </c>
      <c r="L2559" s="213" t="str">
        <f>IFERROR(__xludf.DUMMYFUNCTION("""COMPUTED_VALUE"""),"")</f>
        <v/>
      </c>
      <c r="M2559" s="213">
        <f>IFERROR(__xludf.DUMMYFUNCTION("""COMPUTED_VALUE"""),1.0)</f>
        <v>1</v>
      </c>
      <c r="N2559" s="213">
        <f>IFERROR(__xludf.DUMMYFUNCTION("""COMPUTED_VALUE"""),2.0)</f>
        <v>2</v>
      </c>
      <c r="O2559" s="213">
        <f>IFERROR(__xludf.DUMMYFUNCTION("""COMPUTED_VALUE"""),2.0)</f>
        <v>2</v>
      </c>
      <c r="P2559" s="213"/>
      <c r="Q2559" s="213"/>
      <c r="R2559" s="213"/>
      <c r="S2559" s="213"/>
      <c r="T2559" s="213"/>
      <c r="U2559" s="213"/>
      <c r="V2559" s="213"/>
      <c r="W2559" s="213"/>
      <c r="X2559" s="213"/>
      <c r="Y2559" s="213"/>
      <c r="Z2559" s="213"/>
      <c r="AA2559" s="213"/>
      <c r="AB2559" s="213"/>
      <c r="AC2559" s="213"/>
      <c r="AD2559" s="213"/>
      <c r="AE2559" s="213"/>
      <c r="AF2559" s="213"/>
      <c r="AG2559" s="213"/>
      <c r="AH2559" s="213"/>
      <c r="AI2559" s="213"/>
      <c r="AJ2559" s="213"/>
      <c r="AK2559" s="213"/>
      <c r="AL2559" s="213"/>
      <c r="AM2559" s="213"/>
      <c r="AN2559" s="213"/>
      <c r="AO2559" s="213"/>
      <c r="AP2559" s="213"/>
      <c r="AQ2559" s="213"/>
      <c r="AR2559" s="213"/>
      <c r="AS2559" s="213"/>
      <c r="AT2559" s="213"/>
      <c r="AU2559" s="213"/>
      <c r="AV2559" s="213"/>
      <c r="AW2559" s="213"/>
      <c r="AX2559" s="213"/>
      <c r="AY2559" s="213"/>
      <c r="AZ2559" s="213"/>
      <c r="BA2559" s="213"/>
      <c r="BB2559" s="213"/>
      <c r="BC2559" s="213"/>
      <c r="BD2559" s="213"/>
    </row>
    <row r="2560">
      <c r="A2560" s="213">
        <f>IFERROR(__xludf.DUMMYFUNCTION("""COMPUTED_VALUE"""),2432.0)</f>
        <v>2432</v>
      </c>
      <c r="B2560" s="213" t="str">
        <f>IFERROR(__xludf.DUMMYFUNCTION("""COMPUTED_VALUE"""),"MANUEL ANTONIO MESONES MURO")</f>
        <v>MANUEL ANTONIO MESONES MURO</v>
      </c>
      <c r="C2560" s="213" t="str">
        <f>IFERROR(__xludf.DUMMYFUNCTION("""COMPUTED_VALUE"""),"TALLER SFT DE INDUSTRIA DEL VESTIDO")</f>
        <v>TALLER SFT DE INDUSTRIA DEL VESTIDO</v>
      </c>
      <c r="D2560" s="213" t="str">
        <f>IFERROR(__xludf.DUMMYFUNCTION("""COMPUTED_VALUE"""),"PEDAGOGICO")</f>
        <v>PEDAGOGICO</v>
      </c>
      <c r="E2560" s="213" t="str">
        <f>IFERROR(__xludf.DUMMYFUNCTION("""COMPUTED_VALUE"""),"MAT-465")</f>
        <v>MAT-465</v>
      </c>
      <c r="F2560" s="213" t="str">
        <f>IFERROR(__xludf.DUMMYFUNCTION("""COMPUTED_VALUE"""),"MAT-465")</f>
        <v>MAT-465</v>
      </c>
      <c r="G2560" s="213"/>
      <c r="H2560" s="213" t="str">
        <f>IFERROR(__xludf.DUMMYFUNCTION("""COMPUTED_VALUE"""),"USB CON INFORMACIÓN DE LOS MANUALES")</f>
        <v>USB CON INFORMACIÓN DE LOS MANUALES</v>
      </c>
      <c r="I2560"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60" s="213">
        <f>IFERROR(__xludf.DUMMYFUNCTION("""COMPUTED_VALUE"""),3.0)</f>
        <v>3</v>
      </c>
      <c r="K2560" s="213" t="str">
        <f>IFERROR(__xludf.DUMMYFUNCTION("""COMPUTED_VALUE"""),"170 DÍAS CALENDARIO")</f>
        <v>170 DÍAS CALENDARIO</v>
      </c>
      <c r="L2560" s="213" t="str">
        <f>IFERROR(__xludf.DUMMYFUNCTION("""COMPUTED_VALUE"""),"")</f>
        <v/>
      </c>
      <c r="M2560" s="213">
        <f>IFERROR(__xludf.DUMMYFUNCTION("""COMPUTED_VALUE"""),1.0)</f>
        <v>1</v>
      </c>
      <c r="N2560" s="213">
        <f>IFERROR(__xludf.DUMMYFUNCTION("""COMPUTED_VALUE"""),2.0)</f>
        <v>2</v>
      </c>
      <c r="O2560" s="213">
        <f>IFERROR(__xludf.DUMMYFUNCTION("""COMPUTED_VALUE"""),2.0)</f>
        <v>2</v>
      </c>
      <c r="P2560" s="213"/>
      <c r="Q2560" s="213"/>
      <c r="R2560" s="213"/>
      <c r="S2560" s="213"/>
      <c r="T2560" s="213"/>
      <c r="U2560" s="213"/>
      <c r="V2560" s="213"/>
      <c r="W2560" s="213"/>
      <c r="X2560" s="213"/>
      <c r="Y2560" s="213"/>
      <c r="Z2560" s="213"/>
      <c r="AA2560" s="213"/>
      <c r="AB2560" s="213"/>
      <c r="AC2560" s="213"/>
      <c r="AD2560" s="213"/>
      <c r="AE2560" s="213"/>
      <c r="AF2560" s="213"/>
      <c r="AG2560" s="213"/>
      <c r="AH2560" s="213"/>
      <c r="AI2560" s="213"/>
      <c r="AJ2560" s="213"/>
      <c r="AK2560" s="213"/>
      <c r="AL2560" s="213"/>
      <c r="AM2560" s="213"/>
      <c r="AN2560" s="213"/>
      <c r="AO2560" s="213"/>
      <c r="AP2560" s="213"/>
      <c r="AQ2560" s="213"/>
      <c r="AR2560" s="213"/>
      <c r="AS2560" s="213"/>
      <c r="AT2560" s="213"/>
      <c r="AU2560" s="213"/>
      <c r="AV2560" s="213"/>
      <c r="AW2560" s="213"/>
      <c r="AX2560" s="213"/>
      <c r="AY2560" s="213"/>
      <c r="AZ2560" s="213"/>
      <c r="BA2560" s="213"/>
      <c r="BB2560" s="213"/>
      <c r="BC2560" s="213"/>
      <c r="BD2560" s="213"/>
    </row>
    <row r="2561">
      <c r="A2561" s="213">
        <f>IFERROR(__xludf.DUMMYFUNCTION("""COMPUTED_VALUE"""),2438.0)</f>
        <v>2438</v>
      </c>
      <c r="B2561" s="213" t="str">
        <f>IFERROR(__xludf.DUMMYFUNCTION("""COMPUTED_VALUE"""),"MANUEL ANTONIO MESONES MURO")</f>
        <v>MANUEL ANTONIO MESONES MURO</v>
      </c>
      <c r="C2561" s="213" t="str">
        <f>IFERROR(__xludf.DUMMYFUNCTION("""COMPUTED_VALUE"""),"TALLER SFT DE INDUSTRIA DEL VESTIDO")</f>
        <v>TALLER SFT DE INDUSTRIA DEL VESTIDO</v>
      </c>
      <c r="D2561" s="213" t="str">
        <f>IFERROR(__xludf.DUMMYFUNCTION("""COMPUTED_VALUE"""),"PEDAGOGICO")</f>
        <v>PEDAGOGICO</v>
      </c>
      <c r="E2561" s="213" t="str">
        <f>IFERROR(__xludf.DUMMYFUNCTION("""COMPUTED_VALUE"""),"MAT-465")</f>
        <v>MAT-465</v>
      </c>
      <c r="F2561" s="213" t="str">
        <f>IFERROR(__xludf.DUMMYFUNCTION("""COMPUTED_VALUE"""),"MAT-465")</f>
        <v>MAT-465</v>
      </c>
      <c r="G2561" s="213"/>
      <c r="H2561" s="213" t="str">
        <f>IFERROR(__xludf.DUMMYFUNCTION("""COMPUTED_VALUE"""),"USB CON INFORMACIÓN DE LOS MANUALES")</f>
        <v>USB CON INFORMACIÓN DE LOS MANUALES</v>
      </c>
      <c r="I2561"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61" s="213">
        <f>IFERROR(__xludf.DUMMYFUNCTION("""COMPUTED_VALUE"""),3.0)</f>
        <v>3</v>
      </c>
      <c r="K2561" s="213" t="str">
        <f>IFERROR(__xludf.DUMMYFUNCTION("""COMPUTED_VALUE"""),"170 DÍAS CALENDARIO")</f>
        <v>170 DÍAS CALENDARIO</v>
      </c>
      <c r="L2561" s="213" t="str">
        <f>IFERROR(__xludf.DUMMYFUNCTION("""COMPUTED_VALUE"""),"")</f>
        <v/>
      </c>
      <c r="M2561" s="213">
        <f>IFERROR(__xludf.DUMMYFUNCTION("""COMPUTED_VALUE"""),1.0)</f>
        <v>1</v>
      </c>
      <c r="N2561" s="213">
        <f>IFERROR(__xludf.DUMMYFUNCTION("""COMPUTED_VALUE"""),2.0)</f>
        <v>2</v>
      </c>
      <c r="O2561" s="213">
        <f>IFERROR(__xludf.DUMMYFUNCTION("""COMPUTED_VALUE"""),2.0)</f>
        <v>2</v>
      </c>
      <c r="P2561" s="213"/>
      <c r="Q2561" s="213"/>
      <c r="R2561" s="213"/>
      <c r="S2561" s="213"/>
      <c r="T2561" s="213"/>
      <c r="U2561" s="213"/>
      <c r="V2561" s="213"/>
      <c r="W2561" s="213"/>
      <c r="X2561" s="213"/>
      <c r="Y2561" s="213"/>
      <c r="Z2561" s="213"/>
      <c r="AA2561" s="213"/>
      <c r="AB2561" s="213"/>
      <c r="AC2561" s="213"/>
      <c r="AD2561" s="213"/>
      <c r="AE2561" s="213"/>
      <c r="AF2561" s="213"/>
      <c r="AG2561" s="213"/>
      <c r="AH2561" s="213"/>
      <c r="AI2561" s="213"/>
      <c r="AJ2561" s="213"/>
      <c r="AK2561" s="213"/>
      <c r="AL2561" s="213"/>
      <c r="AM2561" s="213"/>
      <c r="AN2561" s="213"/>
      <c r="AO2561" s="213"/>
      <c r="AP2561" s="213"/>
      <c r="AQ2561" s="213"/>
      <c r="AR2561" s="213"/>
      <c r="AS2561" s="213"/>
      <c r="AT2561" s="213"/>
      <c r="AU2561" s="213"/>
      <c r="AV2561" s="213"/>
      <c r="AW2561" s="213"/>
      <c r="AX2561" s="213"/>
      <c r="AY2561" s="213"/>
      <c r="AZ2561" s="213"/>
      <c r="BA2561" s="213"/>
      <c r="BB2561" s="213"/>
      <c r="BC2561" s="213"/>
      <c r="BD2561" s="213"/>
    </row>
    <row r="2562">
      <c r="A2562" s="213">
        <f>IFERROR(__xludf.DUMMYFUNCTION("""COMPUTED_VALUE"""),2444.0)</f>
        <v>2444</v>
      </c>
      <c r="B2562" s="213" t="str">
        <f>IFERROR(__xludf.DUMMYFUNCTION("""COMPUTED_VALUE"""),"MANUEL ANTONIO MESONES MURO")</f>
        <v>MANUEL ANTONIO MESONES MURO</v>
      </c>
      <c r="C2562" s="213" t="str">
        <f>IFERROR(__xludf.DUMMYFUNCTION("""COMPUTED_VALUE"""),"TALLER SFT DE INDUSTRIA DEL VESTIDO")</f>
        <v>TALLER SFT DE INDUSTRIA DEL VESTIDO</v>
      </c>
      <c r="D2562" s="213" t="str">
        <f>IFERROR(__xludf.DUMMYFUNCTION("""COMPUTED_VALUE"""),"PEDAGOGICO")</f>
        <v>PEDAGOGICO</v>
      </c>
      <c r="E2562" s="213" t="str">
        <f>IFERROR(__xludf.DUMMYFUNCTION("""COMPUTED_VALUE"""),"MAT-464")</f>
        <v>MAT-464</v>
      </c>
      <c r="F2562" s="213" t="str">
        <f>IFERROR(__xludf.DUMMYFUNCTION("""COMPUTED_VALUE"""),"MAT-464")</f>
        <v>MAT-464</v>
      </c>
      <c r="G2562" s="213"/>
      <c r="H2562" s="213" t="str">
        <f>IFERROR(__xludf.DUMMYFUNCTION("""COMPUTED_VALUE"""),"USB CON INFORMACIÓN DE LOS MANUALES")</f>
        <v>USB CON INFORMACIÓN DE LOS MANUALES</v>
      </c>
      <c r="I2562" s="213"/>
      <c r="J2562" s="213">
        <f>IFERROR(__xludf.DUMMYFUNCTION("""COMPUTED_VALUE"""),3.0)</f>
        <v>3</v>
      </c>
      <c r="K2562" s="213" t="str">
        <f>IFERROR(__xludf.DUMMYFUNCTION("""COMPUTED_VALUE"""),"170 DÍAS CALENDARIO")</f>
        <v>170 DÍAS CALENDARIO</v>
      </c>
      <c r="L2562" s="213" t="str">
        <f>IFERROR(__xludf.DUMMYFUNCTION("""COMPUTED_VALUE"""),"")</f>
        <v/>
      </c>
      <c r="M2562" s="213">
        <f>IFERROR(__xludf.DUMMYFUNCTION("""COMPUTED_VALUE"""),1.0)</f>
        <v>1</v>
      </c>
      <c r="N2562" s="213">
        <f>IFERROR(__xludf.DUMMYFUNCTION("""COMPUTED_VALUE"""),2.0)</f>
        <v>2</v>
      </c>
      <c r="O2562" s="213">
        <f>IFERROR(__xludf.DUMMYFUNCTION("""COMPUTED_VALUE"""),2.0)</f>
        <v>2</v>
      </c>
      <c r="P2562" s="213"/>
      <c r="Q2562" s="213"/>
      <c r="R2562" s="213"/>
      <c r="S2562" s="213"/>
      <c r="T2562" s="213"/>
      <c r="U2562" s="213"/>
      <c r="V2562" s="213"/>
      <c r="W2562" s="213"/>
      <c r="X2562" s="213"/>
      <c r="Y2562" s="213"/>
      <c r="Z2562" s="213"/>
      <c r="AA2562" s="213"/>
      <c r="AB2562" s="213"/>
      <c r="AC2562" s="213"/>
      <c r="AD2562" s="213"/>
      <c r="AE2562" s="213"/>
      <c r="AF2562" s="213"/>
      <c r="AG2562" s="213"/>
      <c r="AH2562" s="213"/>
      <c r="AI2562" s="213"/>
      <c r="AJ2562" s="213"/>
      <c r="AK2562" s="213"/>
      <c r="AL2562" s="213"/>
      <c r="AM2562" s="213"/>
      <c r="AN2562" s="213"/>
      <c r="AO2562" s="213"/>
      <c r="AP2562" s="213"/>
      <c r="AQ2562" s="213"/>
      <c r="AR2562" s="213"/>
      <c r="AS2562" s="213"/>
      <c r="AT2562" s="213"/>
      <c r="AU2562" s="213"/>
      <c r="AV2562" s="213"/>
      <c r="AW2562" s="213"/>
      <c r="AX2562" s="213"/>
      <c r="AY2562" s="213"/>
      <c r="AZ2562" s="213"/>
      <c r="BA2562" s="213"/>
      <c r="BB2562" s="213"/>
      <c r="BC2562" s="213"/>
      <c r="BD2562" s="213"/>
    </row>
    <row r="2563">
      <c r="A2563" s="213">
        <f>IFERROR(__xludf.DUMMYFUNCTION("""COMPUTED_VALUE"""),2657.0)</f>
        <v>2657</v>
      </c>
      <c r="B2563" s="213" t="str">
        <f>IFERROR(__xludf.DUMMYFUNCTION("""COMPUTED_VALUE"""),"MANUEL ANTONIO MESONES MURO")</f>
        <v>MANUEL ANTONIO MESONES MURO</v>
      </c>
      <c r="C2563" s="213" t="str">
        <f>IFERROR(__xludf.DUMMYFUNCTION("""COMPUTED_VALUE"""),"TALLER SFT DE EBANISTERÍA")</f>
        <v>TALLER SFT DE EBANISTERÍA</v>
      </c>
      <c r="D2563" s="213" t="str">
        <f>IFERROR(__xludf.DUMMYFUNCTION("""COMPUTED_VALUE"""),"PEDAGOGICO")</f>
        <v>PEDAGOGICO</v>
      </c>
      <c r="E2563" s="213" t="str">
        <f>IFERROR(__xludf.DUMMYFUNCTION("""COMPUTED_VALUE"""),"MAT-465")</f>
        <v>MAT-465</v>
      </c>
      <c r="F2563" s="213" t="str">
        <f>IFERROR(__xludf.DUMMYFUNCTION("""COMPUTED_VALUE"""),"MAT-465")</f>
        <v>MAT-465</v>
      </c>
      <c r="G2563" s="213"/>
      <c r="H2563" s="213" t="str">
        <f>IFERROR(__xludf.DUMMYFUNCTION("""COMPUTED_VALUE"""),"USB CON INFORMACIÓN DE LOS MANUALES")</f>
        <v>USB CON INFORMACIÓN DE LOS MANUALES</v>
      </c>
      <c r="I2563"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63" s="213">
        <f>IFERROR(__xludf.DUMMYFUNCTION("""COMPUTED_VALUE"""),3.0)</f>
        <v>3</v>
      </c>
      <c r="K2563" s="213" t="str">
        <f>IFERROR(__xludf.DUMMYFUNCTION("""COMPUTED_VALUE"""),"170 DÍAS CALENDARIO")</f>
        <v>170 DÍAS CALENDARIO</v>
      </c>
      <c r="L2563" s="213" t="str">
        <f>IFERROR(__xludf.DUMMYFUNCTION("""COMPUTED_VALUE"""),"")</f>
        <v/>
      </c>
      <c r="M2563" s="213">
        <f>IFERROR(__xludf.DUMMYFUNCTION("""COMPUTED_VALUE"""),1.0)</f>
        <v>1</v>
      </c>
      <c r="N2563" s="213">
        <f>IFERROR(__xludf.DUMMYFUNCTION("""COMPUTED_VALUE"""),2.0)</f>
        <v>2</v>
      </c>
      <c r="O2563" s="213">
        <f>IFERROR(__xludf.DUMMYFUNCTION("""COMPUTED_VALUE"""),2.0)</f>
        <v>2</v>
      </c>
      <c r="P2563" s="213"/>
      <c r="Q2563" s="213"/>
      <c r="R2563" s="213"/>
      <c r="S2563" s="213"/>
      <c r="T2563" s="213"/>
      <c r="U2563" s="213"/>
      <c r="V2563" s="213"/>
      <c r="W2563" s="213"/>
      <c r="X2563" s="213"/>
      <c r="Y2563" s="213"/>
      <c r="Z2563" s="213"/>
      <c r="AA2563" s="213"/>
      <c r="AB2563" s="213"/>
      <c r="AC2563" s="213"/>
      <c r="AD2563" s="213"/>
      <c r="AE2563" s="213"/>
      <c r="AF2563" s="213"/>
      <c r="AG2563" s="213"/>
      <c r="AH2563" s="213"/>
      <c r="AI2563" s="213"/>
      <c r="AJ2563" s="213"/>
      <c r="AK2563" s="213"/>
      <c r="AL2563" s="213"/>
      <c r="AM2563" s="213"/>
      <c r="AN2563" s="213"/>
      <c r="AO2563" s="213"/>
      <c r="AP2563" s="213"/>
      <c r="AQ2563" s="213"/>
      <c r="AR2563" s="213"/>
      <c r="AS2563" s="213"/>
      <c r="AT2563" s="213"/>
      <c r="AU2563" s="213"/>
      <c r="AV2563" s="213"/>
      <c r="AW2563" s="213"/>
      <c r="AX2563" s="213"/>
      <c r="AY2563" s="213"/>
      <c r="AZ2563" s="213"/>
      <c r="BA2563" s="213"/>
      <c r="BB2563" s="213"/>
      <c r="BC2563" s="213"/>
      <c r="BD2563" s="213"/>
    </row>
    <row r="2564">
      <c r="A2564" s="213">
        <f>IFERROR(__xludf.DUMMYFUNCTION("""COMPUTED_VALUE"""),2663.0)</f>
        <v>2663</v>
      </c>
      <c r="B2564" s="213" t="str">
        <f>IFERROR(__xludf.DUMMYFUNCTION("""COMPUTED_VALUE"""),"MANUEL ANTONIO MESONES MURO")</f>
        <v>MANUEL ANTONIO MESONES MURO</v>
      </c>
      <c r="C2564" s="213" t="str">
        <f>IFERROR(__xludf.DUMMYFUNCTION("""COMPUTED_VALUE"""),"TALLER SFT DE EBANISTERÍA")</f>
        <v>TALLER SFT DE EBANISTERÍA</v>
      </c>
      <c r="D2564" s="213" t="str">
        <f>IFERROR(__xludf.DUMMYFUNCTION("""COMPUTED_VALUE"""),"PEDAGOGICO")</f>
        <v>PEDAGOGICO</v>
      </c>
      <c r="E2564" s="213" t="str">
        <f>IFERROR(__xludf.DUMMYFUNCTION("""COMPUTED_VALUE"""),"MAT-465")</f>
        <v>MAT-465</v>
      </c>
      <c r="F2564" s="213" t="str">
        <f>IFERROR(__xludf.DUMMYFUNCTION("""COMPUTED_VALUE"""),"MAT-465")</f>
        <v>MAT-465</v>
      </c>
      <c r="G2564" s="213"/>
      <c r="H2564" s="213" t="str">
        <f>IFERROR(__xludf.DUMMYFUNCTION("""COMPUTED_VALUE"""),"USB CON INFORMACIÓN DE LOS MANUALES")</f>
        <v>USB CON INFORMACIÓN DE LOS MANUALES</v>
      </c>
      <c r="I2564"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64" s="213">
        <f>IFERROR(__xludf.DUMMYFUNCTION("""COMPUTED_VALUE"""),3.0)</f>
        <v>3</v>
      </c>
      <c r="K2564" s="213" t="str">
        <f>IFERROR(__xludf.DUMMYFUNCTION("""COMPUTED_VALUE"""),"170 DÍAS CALENDARIO")</f>
        <v>170 DÍAS CALENDARIO</v>
      </c>
      <c r="L2564" s="213" t="str">
        <f>IFERROR(__xludf.DUMMYFUNCTION("""COMPUTED_VALUE"""),"")</f>
        <v/>
      </c>
      <c r="M2564" s="213">
        <f>IFERROR(__xludf.DUMMYFUNCTION("""COMPUTED_VALUE"""),1.0)</f>
        <v>1</v>
      </c>
      <c r="N2564" s="213">
        <f>IFERROR(__xludf.DUMMYFUNCTION("""COMPUTED_VALUE"""),2.0)</f>
        <v>2</v>
      </c>
      <c r="O2564" s="213">
        <f>IFERROR(__xludf.DUMMYFUNCTION("""COMPUTED_VALUE"""),2.0)</f>
        <v>2</v>
      </c>
      <c r="P2564" s="213"/>
      <c r="Q2564" s="213"/>
      <c r="R2564" s="213"/>
      <c r="S2564" s="213"/>
      <c r="T2564" s="213"/>
      <c r="U2564" s="213"/>
      <c r="V2564" s="213"/>
      <c r="W2564" s="213"/>
      <c r="X2564" s="213"/>
      <c r="Y2564" s="213"/>
      <c r="Z2564" s="213"/>
      <c r="AA2564" s="213"/>
      <c r="AB2564" s="213"/>
      <c r="AC2564" s="213"/>
      <c r="AD2564" s="213"/>
      <c r="AE2564" s="213"/>
      <c r="AF2564" s="213"/>
      <c r="AG2564" s="213"/>
      <c r="AH2564" s="213"/>
      <c r="AI2564" s="213"/>
      <c r="AJ2564" s="213"/>
      <c r="AK2564" s="213"/>
      <c r="AL2564" s="213"/>
      <c r="AM2564" s="213"/>
      <c r="AN2564" s="213"/>
      <c r="AO2564" s="213"/>
      <c r="AP2564" s="213"/>
      <c r="AQ2564" s="213"/>
      <c r="AR2564" s="213"/>
      <c r="AS2564" s="213"/>
      <c r="AT2564" s="213"/>
      <c r="AU2564" s="213"/>
      <c r="AV2564" s="213"/>
      <c r="AW2564" s="213"/>
      <c r="AX2564" s="213"/>
      <c r="AY2564" s="213"/>
      <c r="AZ2564" s="213"/>
      <c r="BA2564" s="213"/>
      <c r="BB2564" s="213"/>
      <c r="BC2564" s="213"/>
      <c r="BD2564" s="213"/>
    </row>
    <row r="2565">
      <c r="A2565" s="213">
        <f>IFERROR(__xludf.DUMMYFUNCTION("""COMPUTED_VALUE"""),2667.0)</f>
        <v>2667</v>
      </c>
      <c r="B2565" s="213" t="str">
        <f>IFERROR(__xludf.DUMMYFUNCTION("""COMPUTED_VALUE"""),"MANUEL ANTONIO MESONES MURO")</f>
        <v>MANUEL ANTONIO MESONES MURO</v>
      </c>
      <c r="C2565" s="213" t="str">
        <f>IFERROR(__xludf.DUMMYFUNCTION("""COMPUTED_VALUE"""),"TALLER SFT DE EBANISTERÍA")</f>
        <v>TALLER SFT DE EBANISTERÍA</v>
      </c>
      <c r="D2565" s="213" t="str">
        <f>IFERROR(__xludf.DUMMYFUNCTION("""COMPUTED_VALUE"""),"PEDAGOGICO")</f>
        <v>PEDAGOGICO</v>
      </c>
      <c r="E2565" s="213" t="str">
        <f>IFERROR(__xludf.DUMMYFUNCTION("""COMPUTED_VALUE"""),"MAT-465")</f>
        <v>MAT-465</v>
      </c>
      <c r="F2565" s="213" t="str">
        <f>IFERROR(__xludf.DUMMYFUNCTION("""COMPUTED_VALUE"""),"MAT-465")</f>
        <v>MAT-465</v>
      </c>
      <c r="G2565" s="213"/>
      <c r="H2565" s="213" t="str">
        <f>IFERROR(__xludf.DUMMYFUNCTION("""COMPUTED_VALUE"""),"USB CON INFORMACIÓN DE LOS MANUALES")</f>
        <v>USB CON INFORMACIÓN DE LOS MANUALES</v>
      </c>
      <c r="I2565"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65" s="213">
        <f>IFERROR(__xludf.DUMMYFUNCTION("""COMPUTED_VALUE"""),3.0)</f>
        <v>3</v>
      </c>
      <c r="K2565" s="213" t="str">
        <f>IFERROR(__xludf.DUMMYFUNCTION("""COMPUTED_VALUE"""),"170 DÍAS CALENDARIO")</f>
        <v>170 DÍAS CALENDARIO</v>
      </c>
      <c r="L2565" s="213" t="str">
        <f>IFERROR(__xludf.DUMMYFUNCTION("""COMPUTED_VALUE"""),"")</f>
        <v/>
      </c>
      <c r="M2565" s="213">
        <f>IFERROR(__xludf.DUMMYFUNCTION("""COMPUTED_VALUE"""),1.0)</f>
        <v>1</v>
      </c>
      <c r="N2565" s="213">
        <f>IFERROR(__xludf.DUMMYFUNCTION("""COMPUTED_VALUE"""),2.0)</f>
        <v>2</v>
      </c>
      <c r="O2565" s="213">
        <f>IFERROR(__xludf.DUMMYFUNCTION("""COMPUTED_VALUE"""),2.0)</f>
        <v>2</v>
      </c>
      <c r="P2565" s="213"/>
      <c r="Q2565" s="213"/>
      <c r="R2565" s="213"/>
      <c r="S2565" s="213"/>
      <c r="T2565" s="213"/>
      <c r="U2565" s="213"/>
      <c r="V2565" s="213"/>
      <c r="W2565" s="213"/>
      <c r="X2565" s="213"/>
      <c r="Y2565" s="213"/>
      <c r="Z2565" s="213"/>
      <c r="AA2565" s="213"/>
      <c r="AB2565" s="213"/>
      <c r="AC2565" s="213"/>
      <c r="AD2565" s="213"/>
      <c r="AE2565" s="213"/>
      <c r="AF2565" s="213"/>
      <c r="AG2565" s="213"/>
      <c r="AH2565" s="213"/>
      <c r="AI2565" s="213"/>
      <c r="AJ2565" s="213"/>
      <c r="AK2565" s="213"/>
      <c r="AL2565" s="213"/>
      <c r="AM2565" s="213"/>
      <c r="AN2565" s="213"/>
      <c r="AO2565" s="213"/>
      <c r="AP2565" s="213"/>
      <c r="AQ2565" s="213"/>
      <c r="AR2565" s="213"/>
      <c r="AS2565" s="213"/>
      <c r="AT2565" s="213"/>
      <c r="AU2565" s="213"/>
      <c r="AV2565" s="213"/>
      <c r="AW2565" s="213"/>
      <c r="AX2565" s="213"/>
      <c r="AY2565" s="213"/>
      <c r="AZ2565" s="213"/>
      <c r="BA2565" s="213"/>
      <c r="BB2565" s="213"/>
      <c r="BC2565" s="213"/>
      <c r="BD2565" s="213"/>
    </row>
    <row r="2566">
      <c r="A2566" s="213">
        <f>IFERROR(__xludf.DUMMYFUNCTION("""COMPUTED_VALUE"""),2671.0)</f>
        <v>2671</v>
      </c>
      <c r="B2566" s="213" t="str">
        <f>IFERROR(__xludf.DUMMYFUNCTION("""COMPUTED_VALUE"""),"MANUEL ANTONIO MESONES MURO")</f>
        <v>MANUEL ANTONIO MESONES MURO</v>
      </c>
      <c r="C2566" s="213" t="str">
        <f>IFERROR(__xludf.DUMMYFUNCTION("""COMPUTED_VALUE"""),"TALLER SFT DE EBANISTERÍA")</f>
        <v>TALLER SFT DE EBANISTERÍA</v>
      </c>
      <c r="D2566" s="213" t="str">
        <f>IFERROR(__xludf.DUMMYFUNCTION("""COMPUTED_VALUE"""),"PEDAGOGICO")</f>
        <v>PEDAGOGICO</v>
      </c>
      <c r="E2566" s="213" t="str">
        <f>IFERROR(__xludf.DUMMYFUNCTION("""COMPUTED_VALUE"""),"MAT-465")</f>
        <v>MAT-465</v>
      </c>
      <c r="F2566" s="213" t="str">
        <f>IFERROR(__xludf.DUMMYFUNCTION("""COMPUTED_VALUE"""),"MAT-465")</f>
        <v>MAT-465</v>
      </c>
      <c r="G2566" s="213"/>
      <c r="H2566" s="213" t="str">
        <f>IFERROR(__xludf.DUMMYFUNCTION("""COMPUTED_VALUE"""),"USB CON INFORMACIÓN DE LOS MANUALES")</f>
        <v>USB CON INFORMACIÓN DE LOS MANUALES</v>
      </c>
      <c r="I2566"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66" s="213">
        <f>IFERROR(__xludf.DUMMYFUNCTION("""COMPUTED_VALUE"""),3.0)</f>
        <v>3</v>
      </c>
      <c r="K2566" s="213" t="str">
        <f>IFERROR(__xludf.DUMMYFUNCTION("""COMPUTED_VALUE"""),"170 DÍAS CALENDARIO")</f>
        <v>170 DÍAS CALENDARIO</v>
      </c>
      <c r="L2566" s="213" t="str">
        <f>IFERROR(__xludf.DUMMYFUNCTION("""COMPUTED_VALUE"""),"")</f>
        <v/>
      </c>
      <c r="M2566" s="213">
        <f>IFERROR(__xludf.DUMMYFUNCTION("""COMPUTED_VALUE"""),1.0)</f>
        <v>1</v>
      </c>
      <c r="N2566" s="213">
        <f>IFERROR(__xludf.DUMMYFUNCTION("""COMPUTED_VALUE"""),2.0)</f>
        <v>2</v>
      </c>
      <c r="O2566" s="213">
        <f>IFERROR(__xludf.DUMMYFUNCTION("""COMPUTED_VALUE"""),2.0)</f>
        <v>2</v>
      </c>
      <c r="P2566" s="213"/>
      <c r="Q2566" s="213"/>
      <c r="R2566" s="213"/>
      <c r="S2566" s="213"/>
      <c r="T2566" s="213"/>
      <c r="U2566" s="213"/>
      <c r="V2566" s="213"/>
      <c r="W2566" s="213"/>
      <c r="X2566" s="213"/>
      <c r="Y2566" s="213"/>
      <c r="Z2566" s="213"/>
      <c r="AA2566" s="213"/>
      <c r="AB2566" s="213"/>
      <c r="AC2566" s="213"/>
      <c r="AD2566" s="213"/>
      <c r="AE2566" s="213"/>
      <c r="AF2566" s="213"/>
      <c r="AG2566" s="213"/>
      <c r="AH2566" s="213"/>
      <c r="AI2566" s="213"/>
      <c r="AJ2566" s="213"/>
      <c r="AK2566" s="213"/>
      <c r="AL2566" s="213"/>
      <c r="AM2566" s="213"/>
      <c r="AN2566" s="213"/>
      <c r="AO2566" s="213"/>
      <c r="AP2566" s="213"/>
      <c r="AQ2566" s="213"/>
      <c r="AR2566" s="213"/>
      <c r="AS2566" s="213"/>
      <c r="AT2566" s="213"/>
      <c r="AU2566" s="213"/>
      <c r="AV2566" s="213"/>
      <c r="AW2566" s="213"/>
      <c r="AX2566" s="213"/>
      <c r="AY2566" s="213"/>
      <c r="AZ2566" s="213"/>
      <c r="BA2566" s="213"/>
      <c r="BB2566" s="213"/>
      <c r="BC2566" s="213"/>
      <c r="BD2566" s="213"/>
    </row>
    <row r="2567">
      <c r="A2567" s="213">
        <f>IFERROR(__xludf.DUMMYFUNCTION("""COMPUTED_VALUE"""),2675.0)</f>
        <v>2675</v>
      </c>
      <c r="B2567" s="213" t="str">
        <f>IFERROR(__xludf.DUMMYFUNCTION("""COMPUTED_VALUE"""),"MANUEL ANTONIO MESONES MURO")</f>
        <v>MANUEL ANTONIO MESONES MURO</v>
      </c>
      <c r="C2567" s="213" t="str">
        <f>IFERROR(__xludf.DUMMYFUNCTION("""COMPUTED_VALUE"""),"TALLER SFT DE EBANISTERÍA")</f>
        <v>TALLER SFT DE EBANISTERÍA</v>
      </c>
      <c r="D2567" s="213" t="str">
        <f>IFERROR(__xludf.DUMMYFUNCTION("""COMPUTED_VALUE"""),"PEDAGOGICO")</f>
        <v>PEDAGOGICO</v>
      </c>
      <c r="E2567" s="213" t="str">
        <f>IFERROR(__xludf.DUMMYFUNCTION("""COMPUTED_VALUE"""),"MAT-465")</f>
        <v>MAT-465</v>
      </c>
      <c r="F2567" s="213" t="str">
        <f>IFERROR(__xludf.DUMMYFUNCTION("""COMPUTED_VALUE"""),"MAT-465")</f>
        <v>MAT-465</v>
      </c>
      <c r="G2567" s="213"/>
      <c r="H2567" s="213" t="str">
        <f>IFERROR(__xludf.DUMMYFUNCTION("""COMPUTED_VALUE"""),"USB CON INFORMACIÓN DE LOS MANUALES")</f>
        <v>USB CON INFORMACIÓN DE LOS MANUALES</v>
      </c>
      <c r="I2567"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67" s="213">
        <f>IFERROR(__xludf.DUMMYFUNCTION("""COMPUTED_VALUE"""),3.0)</f>
        <v>3</v>
      </c>
      <c r="K2567" s="213" t="str">
        <f>IFERROR(__xludf.DUMMYFUNCTION("""COMPUTED_VALUE"""),"170 DÍAS CALENDARIO")</f>
        <v>170 DÍAS CALENDARIO</v>
      </c>
      <c r="L2567" s="213" t="str">
        <f>IFERROR(__xludf.DUMMYFUNCTION("""COMPUTED_VALUE"""),"")</f>
        <v/>
      </c>
      <c r="M2567" s="213">
        <f>IFERROR(__xludf.DUMMYFUNCTION("""COMPUTED_VALUE"""),1.0)</f>
        <v>1</v>
      </c>
      <c r="N2567" s="213">
        <f>IFERROR(__xludf.DUMMYFUNCTION("""COMPUTED_VALUE"""),2.0)</f>
        <v>2</v>
      </c>
      <c r="O2567" s="213">
        <f>IFERROR(__xludf.DUMMYFUNCTION("""COMPUTED_VALUE"""),2.0)</f>
        <v>2</v>
      </c>
      <c r="P2567" s="213"/>
      <c r="Q2567" s="213"/>
      <c r="R2567" s="213"/>
      <c r="S2567" s="213"/>
      <c r="T2567" s="213"/>
      <c r="U2567" s="213"/>
      <c r="V2567" s="213"/>
      <c r="W2567" s="213"/>
      <c r="X2567" s="213"/>
      <c r="Y2567" s="213"/>
      <c r="Z2567" s="213"/>
      <c r="AA2567" s="213"/>
      <c r="AB2567" s="213"/>
      <c r="AC2567" s="213"/>
      <c r="AD2567" s="213"/>
      <c r="AE2567" s="213"/>
      <c r="AF2567" s="213"/>
      <c r="AG2567" s="213"/>
      <c r="AH2567" s="213"/>
      <c r="AI2567" s="213"/>
      <c r="AJ2567" s="213"/>
      <c r="AK2567" s="213"/>
      <c r="AL2567" s="213"/>
      <c r="AM2567" s="213"/>
      <c r="AN2567" s="213"/>
      <c r="AO2567" s="213"/>
      <c r="AP2567" s="213"/>
      <c r="AQ2567" s="213"/>
      <c r="AR2567" s="213"/>
      <c r="AS2567" s="213"/>
      <c r="AT2567" s="213"/>
      <c r="AU2567" s="213"/>
      <c r="AV2567" s="213"/>
      <c r="AW2567" s="213"/>
      <c r="AX2567" s="213"/>
      <c r="AY2567" s="213"/>
      <c r="AZ2567" s="213"/>
      <c r="BA2567" s="213"/>
      <c r="BB2567" s="213"/>
      <c r="BC2567" s="213"/>
      <c r="BD2567" s="213"/>
    </row>
    <row r="2568">
      <c r="A2568" s="213">
        <f>IFERROR(__xludf.DUMMYFUNCTION("""COMPUTED_VALUE"""),2679.0)</f>
        <v>2679</v>
      </c>
      <c r="B2568" s="213" t="str">
        <f>IFERROR(__xludf.DUMMYFUNCTION("""COMPUTED_VALUE"""),"MANUEL ANTONIO MESONES MURO")</f>
        <v>MANUEL ANTONIO MESONES MURO</v>
      </c>
      <c r="C2568" s="213" t="str">
        <f>IFERROR(__xludf.DUMMYFUNCTION("""COMPUTED_VALUE"""),"TALLER SFT DE EBANISTERÍA")</f>
        <v>TALLER SFT DE EBANISTERÍA</v>
      </c>
      <c r="D2568" s="213" t="str">
        <f>IFERROR(__xludf.DUMMYFUNCTION("""COMPUTED_VALUE"""),"PEDAGOGICO")</f>
        <v>PEDAGOGICO</v>
      </c>
      <c r="E2568" s="213" t="str">
        <f>IFERROR(__xludf.DUMMYFUNCTION("""COMPUTED_VALUE"""),"MAT-465")</f>
        <v>MAT-465</v>
      </c>
      <c r="F2568" s="213" t="str">
        <f>IFERROR(__xludf.DUMMYFUNCTION("""COMPUTED_VALUE"""),"MAT-465")</f>
        <v>MAT-465</v>
      </c>
      <c r="G2568" s="213"/>
      <c r="H2568" s="213" t="str">
        <f>IFERROR(__xludf.DUMMYFUNCTION("""COMPUTED_VALUE"""),"USB CON INFORMACIÓN DE LOS MANUALES")</f>
        <v>USB CON INFORMACIÓN DE LOS MANUALES</v>
      </c>
      <c r="I2568" s="213" t="str">
        <f>IFERROR(__xludf.DUMMYFUNCTION("""COMPUTED_VALUE"""),"· El USB tiene la capacidad de mínimo 32 GB, para almacenar los archivos de los manuales y la información complementaria en videos o textos digitales sobre identificación de necesidades y problemas del cliente.
· El USB está contenido en un estuche de plá"&amp;"stico transparente o similar.
· El USB contiene, como resguardo en caso de pérdida: el manual de uso por cada equipo, el manual de mantenimiento por cada equipo, y Manual pedagógico para identificar necesidades y problemas  en formato PDF o JPG. Así mismo"&amp;" contiene información complementaria en videos, imágenes y textos digitales sobre identificación de necesidades y problemas del cliente.
· La información y las imágenes tienen calidad de resolución mínima, que no se distorsiona al ser impresa.
· El USB ti"&amp;"ene 3 tipos de conectores: para conectarse con la PC, Tablet y móvil (conector USB 3.0, conector micro USB, conector tipo C), o en su defecto se proporciona adicionalmente un conector  (cable) con las 3 posibles conexiones.
· El USB es compatible con iPho"&amp;"ne/Android/Windows.")</f>
        <v>· El USB tiene la capacidad de mínimo 32 GB, para almacenar los archivos de los manuales y la información complementaria en videos o textos digitales sobre identificación de necesidades y problemas del cliente.
· El USB está contenido en un estuche de plástico transparente o similar.
· El USB contiene, como resguardo en caso de pérdida: el manual de uso por cada equipo, el manual de mantenimiento por cada equipo, y Manual pedagógico para identificar necesidades y problemas  en formato PDF o JPG. Así mismo contiene información complementaria en videos, imágenes y textos digitales sobre identificación de necesidades y problemas del cliente.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68" s="213">
        <f>IFERROR(__xludf.DUMMYFUNCTION("""COMPUTED_VALUE"""),3.0)</f>
        <v>3</v>
      </c>
      <c r="K2568" s="213" t="str">
        <f>IFERROR(__xludf.DUMMYFUNCTION("""COMPUTED_VALUE"""),"170 DÍAS CALENDARIO")</f>
        <v>170 DÍAS CALENDARIO</v>
      </c>
      <c r="L2568" s="213" t="str">
        <f>IFERROR(__xludf.DUMMYFUNCTION("""COMPUTED_VALUE"""),"")</f>
        <v/>
      </c>
      <c r="M2568" s="213">
        <f>IFERROR(__xludf.DUMMYFUNCTION("""COMPUTED_VALUE"""),1.0)</f>
        <v>1</v>
      </c>
      <c r="N2568" s="213">
        <f>IFERROR(__xludf.DUMMYFUNCTION("""COMPUTED_VALUE"""),2.0)</f>
        <v>2</v>
      </c>
      <c r="O2568" s="213">
        <f>IFERROR(__xludf.DUMMYFUNCTION("""COMPUTED_VALUE"""),2.0)</f>
        <v>2</v>
      </c>
      <c r="P2568" s="213"/>
      <c r="Q2568" s="213"/>
      <c r="R2568" s="213"/>
      <c r="S2568" s="213"/>
      <c r="T2568" s="213"/>
      <c r="U2568" s="213"/>
      <c r="V2568" s="213"/>
      <c r="W2568" s="213"/>
      <c r="X2568" s="213"/>
      <c r="Y2568" s="213"/>
      <c r="Z2568" s="213"/>
      <c r="AA2568" s="213"/>
      <c r="AB2568" s="213"/>
      <c r="AC2568" s="213"/>
      <c r="AD2568" s="213"/>
      <c r="AE2568" s="213"/>
      <c r="AF2568" s="213"/>
      <c r="AG2568" s="213"/>
      <c r="AH2568" s="213"/>
      <c r="AI2568" s="213"/>
      <c r="AJ2568" s="213"/>
      <c r="AK2568" s="213"/>
      <c r="AL2568" s="213"/>
      <c r="AM2568" s="213"/>
      <c r="AN2568" s="213"/>
      <c r="AO2568" s="213"/>
      <c r="AP2568" s="213"/>
      <c r="AQ2568" s="213"/>
      <c r="AR2568" s="213"/>
      <c r="AS2568" s="213"/>
      <c r="AT2568" s="213"/>
      <c r="AU2568" s="213"/>
      <c r="AV2568" s="213"/>
      <c r="AW2568" s="213"/>
      <c r="AX2568" s="213"/>
      <c r="AY2568" s="213"/>
      <c r="AZ2568" s="213"/>
      <c r="BA2568" s="213"/>
      <c r="BB2568" s="213"/>
      <c r="BC2568" s="213"/>
      <c r="BD2568" s="213"/>
    </row>
    <row r="2569">
      <c r="A2569" s="213">
        <f>IFERROR(__xludf.DUMMYFUNCTION("""COMPUTED_VALUE"""),234.0)</f>
        <v>234</v>
      </c>
      <c r="B2569" s="213" t="str">
        <f>IFERROR(__xludf.DUMMYFUNCTION("""COMPUTED_VALUE"""),"2026 SIMON BOLIVAR")</f>
        <v>2026 SIMON BOLIVAR</v>
      </c>
      <c r="C2569" s="213" t="str">
        <f>IFERROR(__xludf.DUMMYFUNCTION("""COMPUTED_VALUE"""),"TALLER SFT DE INDUSTRIA DEL VESTIDO")</f>
        <v>TALLER SFT DE INDUSTRIA DEL VESTIDO</v>
      </c>
      <c r="D2569" s="213" t="str">
        <f>IFERROR(__xludf.DUMMYFUNCTION("""COMPUTED_VALUE"""),"PEDAGOGICO")</f>
        <v>PEDAGOGICO</v>
      </c>
      <c r="E2569" s="213" t="str">
        <f>IFERROR(__xludf.DUMMYFUNCTION("""COMPUTED_VALUE"""),"MAT-473")</f>
        <v>MAT-473</v>
      </c>
      <c r="F2569" s="213" t="str">
        <f>IFERROR(__xludf.DUMMYFUNCTION("""COMPUTED_VALUE"""),"MAT-473")</f>
        <v>MAT-473</v>
      </c>
      <c r="G2569" s="213"/>
      <c r="H2569" s="213" t="str">
        <f>IFERROR(__xludf.DUMMYFUNCTION("""COMPUTED_VALUE"""),"USB CON LA INFORMACIÓN DE LOS MANUALES")</f>
        <v>USB CON LA INFORMACIÓN DE LOS MANUALES</v>
      </c>
      <c r="I2569" s="213" t="str">
        <f>IFERROR(__xludf.DUMMYFUNCTION("""COMPUTED_VALUE"""),"· El USB tiene la capacidad de mínimo 32 GB, para almacenar los archivos de los manuales y la información complementaria en videos o textos digitales sobre técnicas y formas de bordar utilizando el equipo.
· El USB está contenido en un estuche de plástico"&amp;" transparente o similar.
· El USB contiene, como resguardo en caso de pérdida: el manual de uso por cada equipo, el manual de mantenimiento por cada equipo, y Manual pedagógico para bordar, en formato PDF o JPG.
· La información y las imágenes tienen cali"&amp;"dad de resolución mínima, que no se distorsiona al ser impresa.
· El USB tiene 3 tipos de conectores: para conectarse con la PC, Tablet y móvil (conector USB 3.0, conector micro USB, conector tipo C), o en su defecto se proporciona adicionalmente un conec"&amp;"tor  (cable) con las 3 posibles conexiones.
· El USB es compatible con iPhone/Android/Windows.")</f>
        <v>· El USB tiene la capacidad de mínimo 32 GB, para almacenar los archivos de los manuales y la información complementaria en videos o textos digitales sobre técnicas y formas de bordar utilizando el equipo.
· El USB está contenido en un estuche de plástico transparente o similar.
· El USB contiene, como resguardo en caso de pérdida: el manual de uso por cada equipo, el manual de mantenimiento por cada equipo, y Manual pedagógico para bordar, en formato PDF o JPG.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69" s="213">
        <f>IFERROR(__xludf.DUMMYFUNCTION("""COMPUTED_VALUE"""),3.0)</f>
        <v>3</v>
      </c>
      <c r="K2569" s="213" t="str">
        <f>IFERROR(__xludf.DUMMYFUNCTION("""COMPUTED_VALUE"""),"170 DÍAS CALENDARIO")</f>
        <v>170 DÍAS CALENDARIO</v>
      </c>
      <c r="L2569" s="213" t="str">
        <f>IFERROR(__xludf.DUMMYFUNCTION("""COMPUTED_VALUE"""),"")</f>
        <v/>
      </c>
      <c r="M2569" s="213">
        <f>IFERROR(__xludf.DUMMYFUNCTION("""COMPUTED_VALUE"""),1.0)</f>
        <v>1</v>
      </c>
      <c r="N2569" s="213">
        <f>IFERROR(__xludf.DUMMYFUNCTION("""COMPUTED_VALUE"""),2.0)</f>
        <v>2</v>
      </c>
      <c r="O2569" s="213">
        <f>IFERROR(__xludf.DUMMYFUNCTION("""COMPUTED_VALUE"""),2.0)</f>
        <v>2</v>
      </c>
      <c r="P2569" s="213"/>
      <c r="Q2569" s="213"/>
      <c r="R2569" s="213"/>
      <c r="S2569" s="213"/>
      <c r="T2569" s="213"/>
      <c r="U2569" s="213"/>
      <c r="V2569" s="213"/>
      <c r="W2569" s="213"/>
      <c r="X2569" s="213"/>
      <c r="Y2569" s="213"/>
      <c r="Z2569" s="213"/>
      <c r="AA2569" s="213"/>
      <c r="AB2569" s="213"/>
      <c r="AC2569" s="213"/>
      <c r="AD2569" s="213"/>
      <c r="AE2569" s="213"/>
      <c r="AF2569" s="213"/>
      <c r="AG2569" s="213"/>
      <c r="AH2569" s="213"/>
      <c r="AI2569" s="213"/>
      <c r="AJ2569" s="213"/>
      <c r="AK2569" s="213"/>
      <c r="AL2569" s="213"/>
      <c r="AM2569" s="213"/>
      <c r="AN2569" s="213"/>
      <c r="AO2569" s="213"/>
      <c r="AP2569" s="213"/>
      <c r="AQ2569" s="213"/>
      <c r="AR2569" s="213"/>
      <c r="AS2569" s="213"/>
      <c r="AT2569" s="213"/>
      <c r="AU2569" s="213"/>
      <c r="AV2569" s="213"/>
      <c r="AW2569" s="213"/>
      <c r="AX2569" s="213"/>
      <c r="AY2569" s="213"/>
      <c r="AZ2569" s="213"/>
      <c r="BA2569" s="213"/>
      <c r="BB2569" s="213"/>
      <c r="BC2569" s="213"/>
      <c r="BD2569" s="213"/>
    </row>
    <row r="2570">
      <c r="A2570" s="213">
        <f>IFERROR(__xludf.DUMMYFUNCTION("""COMPUTED_VALUE"""),238.0)</f>
        <v>238</v>
      </c>
      <c r="B2570" s="213" t="str">
        <f>IFERROR(__xludf.DUMMYFUNCTION("""COMPUTED_VALUE"""),"2026 SIMON BOLIVAR")</f>
        <v>2026 SIMON BOLIVAR</v>
      </c>
      <c r="C2570" s="213" t="str">
        <f>IFERROR(__xludf.DUMMYFUNCTION("""COMPUTED_VALUE"""),"TALLER SFT DE INDUSTRIA DEL VESTIDO")</f>
        <v>TALLER SFT DE INDUSTRIA DEL VESTIDO</v>
      </c>
      <c r="D2570" s="213" t="str">
        <f>IFERROR(__xludf.DUMMYFUNCTION("""COMPUTED_VALUE"""),"PEDAGOGICO")</f>
        <v>PEDAGOGICO</v>
      </c>
      <c r="E2570" s="213" t="str">
        <f>IFERROR(__xludf.DUMMYFUNCTION("""COMPUTED_VALUE"""),"MAT-473")</f>
        <v>MAT-473</v>
      </c>
      <c r="F2570" s="213" t="str">
        <f>IFERROR(__xludf.DUMMYFUNCTION("""COMPUTED_VALUE"""),"MAT-473")</f>
        <v>MAT-473</v>
      </c>
      <c r="G2570" s="213"/>
      <c r="H2570" s="213" t="str">
        <f>IFERROR(__xludf.DUMMYFUNCTION("""COMPUTED_VALUE"""),"USB CON LA INFORMACIÓN DE LOS MANUALES")</f>
        <v>USB CON LA INFORMACIÓN DE LOS MANUALES</v>
      </c>
      <c r="I2570" s="213" t="str">
        <f>IFERROR(__xludf.DUMMYFUNCTION("""COMPUTED_VALUE"""),"· El USB tiene la capacidad de mínimo 32 GB, para almacenar los archivos de los manuales y la información complementaria en videos o textos digitales sobre técnicas y formas de bordar utilizando el equipo.
· El USB está contenido en un estuche de plástico"&amp;" transparente o similar.
· El USB contiene, como resguardo en caso de pérdida: el manual de uso por cada equipo, el manual de mantenimiento por cada equipo, y Manual pedagógico para bordar, en formato PDF o JPG.
· La información y las imágenes tienen cali"&amp;"dad de resolución mínima, que no se distorsiona al ser impresa.
· El USB tiene 3 tipos de conectores: para conectarse con la PC, Tablet y móvil (conector USB 3.0, conector micro USB, conector tipo C), o en su defecto se proporciona adicionalmente un conec"&amp;"tor  (cable) con las 3 posibles conexiones.
· El USB es compatible con iPhone/Android/Windows.")</f>
        <v>· El USB tiene la capacidad de mínimo 32 GB, para almacenar los archivos de los manuales y la información complementaria en videos o textos digitales sobre técnicas y formas de bordar utilizando el equipo.
· El USB está contenido en un estuche de plástico transparente o similar.
· El USB contiene, como resguardo en caso de pérdida: el manual de uso por cada equipo, el manual de mantenimiento por cada equipo, y Manual pedagógico para bordar, en formato PDF o JPG.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70" s="213">
        <f>IFERROR(__xludf.DUMMYFUNCTION("""COMPUTED_VALUE"""),3.0)</f>
        <v>3</v>
      </c>
      <c r="K2570" s="213" t="str">
        <f>IFERROR(__xludf.DUMMYFUNCTION("""COMPUTED_VALUE"""),"170 DÍAS CALENDARIO")</f>
        <v>170 DÍAS CALENDARIO</v>
      </c>
      <c r="L2570" s="213" t="str">
        <f>IFERROR(__xludf.DUMMYFUNCTION("""COMPUTED_VALUE"""),"")</f>
        <v/>
      </c>
      <c r="M2570" s="213">
        <f>IFERROR(__xludf.DUMMYFUNCTION("""COMPUTED_VALUE"""),1.0)</f>
        <v>1</v>
      </c>
      <c r="N2570" s="213">
        <f>IFERROR(__xludf.DUMMYFUNCTION("""COMPUTED_VALUE"""),2.0)</f>
        <v>2</v>
      </c>
      <c r="O2570" s="213">
        <f>IFERROR(__xludf.DUMMYFUNCTION("""COMPUTED_VALUE"""),2.0)</f>
        <v>2</v>
      </c>
      <c r="P2570" s="213"/>
      <c r="Q2570" s="213"/>
      <c r="R2570" s="213"/>
      <c r="S2570" s="213"/>
      <c r="T2570" s="213"/>
      <c r="U2570" s="213"/>
      <c r="V2570" s="213"/>
      <c r="W2570" s="213"/>
      <c r="X2570" s="213"/>
      <c r="Y2570" s="213"/>
      <c r="Z2570" s="213"/>
      <c r="AA2570" s="213"/>
      <c r="AB2570" s="213"/>
      <c r="AC2570" s="213"/>
      <c r="AD2570" s="213"/>
      <c r="AE2570" s="213"/>
      <c r="AF2570" s="213"/>
      <c r="AG2570" s="213"/>
      <c r="AH2570" s="213"/>
      <c r="AI2570" s="213"/>
      <c r="AJ2570" s="213"/>
      <c r="AK2570" s="213"/>
      <c r="AL2570" s="213"/>
      <c r="AM2570" s="213"/>
      <c r="AN2570" s="213"/>
      <c r="AO2570" s="213"/>
      <c r="AP2570" s="213"/>
      <c r="AQ2570" s="213"/>
      <c r="AR2570" s="213"/>
      <c r="AS2570" s="213"/>
      <c r="AT2570" s="213"/>
      <c r="AU2570" s="213"/>
      <c r="AV2570" s="213"/>
      <c r="AW2570" s="213"/>
      <c r="AX2570" s="213"/>
      <c r="AY2570" s="213"/>
      <c r="AZ2570" s="213"/>
      <c r="BA2570" s="213"/>
      <c r="BB2570" s="213"/>
      <c r="BC2570" s="213"/>
      <c r="BD2570" s="213"/>
    </row>
    <row r="2571">
      <c r="A2571" s="213">
        <f>IFERROR(__xludf.DUMMYFUNCTION("""COMPUTED_VALUE"""),2448.0)</f>
        <v>2448</v>
      </c>
      <c r="B2571" s="213" t="str">
        <f>IFERROR(__xludf.DUMMYFUNCTION("""COMPUTED_VALUE"""),"MANUEL ANTONIO MESONES MURO")</f>
        <v>MANUEL ANTONIO MESONES MURO</v>
      </c>
      <c r="C2571" s="213" t="str">
        <f>IFERROR(__xludf.DUMMYFUNCTION("""COMPUTED_VALUE"""),"TALLER SFT DE INDUSTRIA DEL VESTIDO")</f>
        <v>TALLER SFT DE INDUSTRIA DEL VESTIDO</v>
      </c>
      <c r="D2571" s="213" t="str">
        <f>IFERROR(__xludf.DUMMYFUNCTION("""COMPUTED_VALUE"""),"PEDAGOGICO")</f>
        <v>PEDAGOGICO</v>
      </c>
      <c r="E2571" s="213" t="str">
        <f>IFERROR(__xludf.DUMMYFUNCTION("""COMPUTED_VALUE"""),"MAT-473")</f>
        <v>MAT-473</v>
      </c>
      <c r="F2571" s="213" t="str">
        <f>IFERROR(__xludf.DUMMYFUNCTION("""COMPUTED_VALUE"""),"MAT-473")</f>
        <v>MAT-473</v>
      </c>
      <c r="G2571" s="213"/>
      <c r="H2571" s="213" t="str">
        <f>IFERROR(__xludf.DUMMYFUNCTION("""COMPUTED_VALUE"""),"USB CON LA INFORMACIÓN DE LOS MANUALES")</f>
        <v>USB CON LA INFORMACIÓN DE LOS MANUALES</v>
      </c>
      <c r="I2571" s="213" t="str">
        <f>IFERROR(__xludf.DUMMYFUNCTION("""COMPUTED_VALUE"""),"· El USB tiene la capacidad de mínimo 32 GB, para almacenar los archivos de los manuales y la información complementaria en videos o textos digitales sobre técnicas y formas de bordar utilizando el equipo.
· El USB está contenido en un estuche de plástico"&amp;" transparente o similar.
· El USB contiene, como resguardo en caso de pérdida: el manual de uso por cada equipo, el manual de mantenimiento por cada equipo, y Manual pedagógico para bordar, en formato PDF o JPG.
· La información y las imágenes tienen cali"&amp;"dad de resolución mínima, que no se distorsiona al ser impresa.
· El USB tiene 3 tipos de conectores: para conectarse con la PC, Tablet y móvil (conector USB 3.0, conector micro USB, conector tipo C), o en su defecto se proporciona adicionalmente un conec"&amp;"tor  (cable) con las 3 posibles conexiones.
· El USB es compatible con iPhone/Android/Windows.")</f>
        <v>· El USB tiene la capacidad de mínimo 32 GB, para almacenar los archivos de los manuales y la información complementaria en videos o textos digitales sobre técnicas y formas de bordar utilizando el equipo.
· El USB está contenido en un estuche de plástico transparente o similar.
· El USB contiene, como resguardo en caso de pérdida: el manual de uso por cada equipo, el manual de mantenimiento por cada equipo, y Manual pedagógico para bordar, en formato PDF o JPG.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71" s="213">
        <f>IFERROR(__xludf.DUMMYFUNCTION("""COMPUTED_VALUE"""),3.0)</f>
        <v>3</v>
      </c>
      <c r="K2571" s="213" t="str">
        <f>IFERROR(__xludf.DUMMYFUNCTION("""COMPUTED_VALUE"""),"170 DÍAS CALENDARIO")</f>
        <v>170 DÍAS CALENDARIO</v>
      </c>
      <c r="L2571" s="213" t="str">
        <f>IFERROR(__xludf.DUMMYFUNCTION("""COMPUTED_VALUE"""),"")</f>
        <v/>
      </c>
      <c r="M2571" s="213">
        <f>IFERROR(__xludf.DUMMYFUNCTION("""COMPUTED_VALUE"""),1.0)</f>
        <v>1</v>
      </c>
      <c r="N2571" s="213">
        <f>IFERROR(__xludf.DUMMYFUNCTION("""COMPUTED_VALUE"""),2.0)</f>
        <v>2</v>
      </c>
      <c r="O2571" s="213">
        <f>IFERROR(__xludf.DUMMYFUNCTION("""COMPUTED_VALUE"""),2.0)</f>
        <v>2</v>
      </c>
      <c r="P2571" s="213"/>
      <c r="Q2571" s="213"/>
      <c r="R2571" s="213"/>
      <c r="S2571" s="213"/>
      <c r="T2571" s="213"/>
      <c r="U2571" s="213"/>
      <c r="V2571" s="213"/>
      <c r="W2571" s="213"/>
      <c r="X2571" s="213"/>
      <c r="Y2571" s="213"/>
      <c r="Z2571" s="213"/>
      <c r="AA2571" s="213"/>
      <c r="AB2571" s="213"/>
      <c r="AC2571" s="213"/>
      <c r="AD2571" s="213"/>
      <c r="AE2571" s="213"/>
      <c r="AF2571" s="213"/>
      <c r="AG2571" s="213"/>
      <c r="AH2571" s="213"/>
      <c r="AI2571" s="213"/>
      <c r="AJ2571" s="213"/>
      <c r="AK2571" s="213"/>
      <c r="AL2571" s="213"/>
      <c r="AM2571" s="213"/>
      <c r="AN2571" s="213"/>
      <c r="AO2571" s="213"/>
      <c r="AP2571" s="213"/>
      <c r="AQ2571" s="213"/>
      <c r="AR2571" s="213"/>
      <c r="AS2571" s="213"/>
      <c r="AT2571" s="213"/>
      <c r="AU2571" s="213"/>
      <c r="AV2571" s="213"/>
      <c r="AW2571" s="213"/>
      <c r="AX2571" s="213"/>
      <c r="AY2571" s="213"/>
      <c r="AZ2571" s="213"/>
      <c r="BA2571" s="213"/>
      <c r="BB2571" s="213"/>
      <c r="BC2571" s="213"/>
      <c r="BD2571" s="213"/>
    </row>
    <row r="2572">
      <c r="A2572" s="213">
        <f>IFERROR(__xludf.DUMMYFUNCTION("""COMPUTED_VALUE"""),2452.0)</f>
        <v>2452</v>
      </c>
      <c r="B2572" s="213" t="str">
        <f>IFERROR(__xludf.DUMMYFUNCTION("""COMPUTED_VALUE"""),"MANUEL ANTONIO MESONES MURO")</f>
        <v>MANUEL ANTONIO MESONES MURO</v>
      </c>
      <c r="C2572" s="213" t="str">
        <f>IFERROR(__xludf.DUMMYFUNCTION("""COMPUTED_VALUE"""),"TALLER SFT DE INDUSTRIA DEL VESTIDO")</f>
        <v>TALLER SFT DE INDUSTRIA DEL VESTIDO</v>
      </c>
      <c r="D2572" s="213" t="str">
        <f>IFERROR(__xludf.DUMMYFUNCTION("""COMPUTED_VALUE"""),"PEDAGOGICO")</f>
        <v>PEDAGOGICO</v>
      </c>
      <c r="E2572" s="213" t="str">
        <f>IFERROR(__xludf.DUMMYFUNCTION("""COMPUTED_VALUE"""),"MAT-473")</f>
        <v>MAT-473</v>
      </c>
      <c r="F2572" s="213" t="str">
        <f>IFERROR(__xludf.DUMMYFUNCTION("""COMPUTED_VALUE"""),"MAT-473")</f>
        <v>MAT-473</v>
      </c>
      <c r="G2572" s="213"/>
      <c r="H2572" s="213" t="str">
        <f>IFERROR(__xludf.DUMMYFUNCTION("""COMPUTED_VALUE"""),"USB CON LA INFORMACIÓN DE LOS MANUALES")</f>
        <v>USB CON LA INFORMACIÓN DE LOS MANUALES</v>
      </c>
      <c r="I2572" s="213" t="str">
        <f>IFERROR(__xludf.DUMMYFUNCTION("""COMPUTED_VALUE"""),"· El USB tiene la capacidad de mínimo 32 GB, para almacenar los archivos de los manuales y la información complementaria en videos o textos digitales sobre técnicas y formas de bordar utilizando el equipo.
· El USB está contenido en un estuche de plástico"&amp;" transparente o similar.
· El USB contiene, como resguardo en caso de pérdida: el manual de uso por cada equipo, el manual de mantenimiento por cada equipo, y Manual pedagógico para bordar, en formato PDF o JPG.
· La información y las imágenes tienen cali"&amp;"dad de resolución mínima, que no se distorsiona al ser impresa.
· El USB tiene 3 tipos de conectores: para conectarse con la PC, Tablet y móvil (conector USB 3.0, conector micro USB, conector tipo C), o en su defecto se proporciona adicionalmente un conec"&amp;"tor  (cable) con las 3 posibles conexiones.
· El USB es compatible con iPhone/Android/Windows.")</f>
        <v>· El USB tiene la capacidad de mínimo 32 GB, para almacenar los archivos de los manuales y la información complementaria en videos o textos digitales sobre técnicas y formas de bordar utilizando el equipo.
· El USB está contenido en un estuche de plástico transparente o similar.
· El USB contiene, como resguardo en caso de pérdida: el manual de uso por cada equipo, el manual de mantenimiento por cada equipo, y Manual pedagógico para bordar, en formato PDF o JPG.
· La información y las imágenes tienen calidad de resolución mínima, que no se distorsiona al ser impresa.
· El USB tiene 3 tipos de conectores: para conectarse con la PC, Tablet y móvil (conector USB 3.0, conector micro USB, conector tipo C), o en su defecto se proporciona adicionalmente un conector  (cable) con las 3 posibles conexiones.
· El USB es compatible con iPhone/Android/Windows.</v>
      </c>
      <c r="J2572" s="213">
        <f>IFERROR(__xludf.DUMMYFUNCTION("""COMPUTED_VALUE"""),3.0)</f>
        <v>3</v>
      </c>
      <c r="K2572" s="213" t="str">
        <f>IFERROR(__xludf.DUMMYFUNCTION("""COMPUTED_VALUE"""),"170 DÍAS CALENDARIO")</f>
        <v>170 DÍAS CALENDARIO</v>
      </c>
      <c r="L2572" s="213" t="str">
        <f>IFERROR(__xludf.DUMMYFUNCTION("""COMPUTED_VALUE"""),"")</f>
        <v/>
      </c>
      <c r="M2572" s="213">
        <f>IFERROR(__xludf.DUMMYFUNCTION("""COMPUTED_VALUE"""),1.0)</f>
        <v>1</v>
      </c>
      <c r="N2572" s="213">
        <f>IFERROR(__xludf.DUMMYFUNCTION("""COMPUTED_VALUE"""),2.0)</f>
        <v>2</v>
      </c>
      <c r="O2572" s="213">
        <f>IFERROR(__xludf.DUMMYFUNCTION("""COMPUTED_VALUE"""),2.0)</f>
        <v>2</v>
      </c>
      <c r="P2572" s="213"/>
      <c r="Q2572" s="213"/>
      <c r="R2572" s="213"/>
      <c r="S2572" s="213"/>
      <c r="T2572" s="213"/>
      <c r="U2572" s="213"/>
      <c r="V2572" s="213"/>
      <c r="W2572" s="213"/>
      <c r="X2572" s="213"/>
      <c r="Y2572" s="213"/>
      <c r="Z2572" s="213"/>
      <c r="AA2572" s="213"/>
      <c r="AB2572" s="213"/>
      <c r="AC2572" s="213"/>
      <c r="AD2572" s="213"/>
      <c r="AE2572" s="213"/>
      <c r="AF2572" s="213"/>
      <c r="AG2572" s="213"/>
      <c r="AH2572" s="213"/>
      <c r="AI2572" s="213"/>
      <c r="AJ2572" s="213"/>
      <c r="AK2572" s="213"/>
      <c r="AL2572" s="213"/>
      <c r="AM2572" s="213"/>
      <c r="AN2572" s="213"/>
      <c r="AO2572" s="213"/>
      <c r="AP2572" s="213"/>
      <c r="AQ2572" s="213"/>
      <c r="AR2572" s="213"/>
      <c r="AS2572" s="213"/>
      <c r="AT2572" s="213"/>
      <c r="AU2572" s="213"/>
      <c r="AV2572" s="213"/>
      <c r="AW2572" s="213"/>
      <c r="AX2572" s="213"/>
      <c r="AY2572" s="213"/>
      <c r="AZ2572" s="213"/>
      <c r="BA2572" s="213"/>
      <c r="BB2572" s="213"/>
      <c r="BC2572" s="213"/>
      <c r="BD2572" s="213"/>
    </row>
    <row r="2573">
      <c r="A2573" s="213">
        <f>IFERROR(__xludf.DUMMYFUNCTION("""COMPUTED_VALUE"""),136.0)</f>
        <v>136</v>
      </c>
      <c r="B2573" s="213" t="str">
        <f>IFERROR(__xludf.DUMMYFUNCTION("""COMPUTED_VALUE"""),"16449 ELOY SOBERON  FLORES")</f>
        <v>16449 ELOY SOBERON  FLORES</v>
      </c>
      <c r="C2573" s="213" t="str">
        <f>IFERROR(__xludf.DUMMYFUNCTION("""COMPUTED_VALUE"""),"TALLER SFT DE COCINA Y REPOSTERÍA")</f>
        <v>TALLER SFT DE COCINA Y REPOSTERÍA</v>
      </c>
      <c r="D2573" s="213" t="str">
        <f>IFERROR(__xludf.DUMMYFUNCTION("""COMPUTED_VALUE"""),"PEDAGOGICO")</f>
        <v>PEDAGOGICO</v>
      </c>
      <c r="E2573" s="213" t="str">
        <f>IFERROR(__xludf.DUMMYFUNCTION("""COMPUTED_VALUE"""),"-")</f>
        <v>-</v>
      </c>
      <c r="F2573" s="213" t="str">
        <f>IFERROR(__xludf.DUMMYFUNCTION("""COMPUTED_VALUE"""),"USB-COCI")</f>
        <v>USB-COCI</v>
      </c>
      <c r="G2573" s="213"/>
      <c r="H2573" s="213" t="str">
        <f>IFERROR(__xludf.DUMMYFUNCTION("""COMPUTED_VALUE"""),"USB CON MATERIAL PARA LA CAPACITACIÓN")</f>
        <v>USB CON MATERIAL PARA LA CAPACITACIÓN</v>
      </c>
      <c r="I2573" s="213"/>
      <c r="J2573" s="213">
        <f>IFERROR(__xludf.DUMMYFUNCTION("""COMPUTED_VALUE"""),3.0)</f>
        <v>3</v>
      </c>
      <c r="K2573" s="213" t="str">
        <f>IFERROR(__xludf.DUMMYFUNCTION("""COMPUTED_VALUE"""),"170 DÍAS CALENDARIO")</f>
        <v>170 DÍAS CALENDARIO</v>
      </c>
      <c r="L2573" s="213" t="str">
        <f>IFERROR(__xludf.DUMMYFUNCTION("""COMPUTED_VALUE"""),"")</f>
        <v/>
      </c>
      <c r="M2573" s="213">
        <f>IFERROR(__xludf.DUMMYFUNCTION("""COMPUTED_VALUE"""),1.0)</f>
        <v>1</v>
      </c>
      <c r="N2573" s="213">
        <f>IFERROR(__xludf.DUMMYFUNCTION("""COMPUTED_VALUE"""),4.0)</f>
        <v>4</v>
      </c>
      <c r="O2573" s="213">
        <f>IFERROR(__xludf.DUMMYFUNCTION("""COMPUTED_VALUE"""),4.0)</f>
        <v>4</v>
      </c>
      <c r="P2573" s="213"/>
      <c r="Q2573" s="213"/>
      <c r="R2573" s="213"/>
      <c r="S2573" s="213"/>
      <c r="T2573" s="213"/>
      <c r="U2573" s="213"/>
      <c r="V2573" s="213"/>
      <c r="W2573" s="213"/>
      <c r="X2573" s="213"/>
      <c r="Y2573" s="213"/>
      <c r="Z2573" s="213"/>
      <c r="AA2573" s="213"/>
      <c r="AB2573" s="213"/>
      <c r="AC2573" s="213"/>
      <c r="AD2573" s="213"/>
      <c r="AE2573" s="213"/>
      <c r="AF2573" s="213"/>
      <c r="AG2573" s="213"/>
      <c r="AH2573" s="213"/>
      <c r="AI2573" s="213"/>
      <c r="AJ2573" s="213"/>
      <c r="AK2573" s="213"/>
      <c r="AL2573" s="213"/>
      <c r="AM2573" s="213"/>
      <c r="AN2573" s="213"/>
      <c r="AO2573" s="213"/>
      <c r="AP2573" s="213"/>
      <c r="AQ2573" s="213"/>
      <c r="AR2573" s="213"/>
      <c r="AS2573" s="213"/>
      <c r="AT2573" s="213"/>
      <c r="AU2573" s="213"/>
      <c r="AV2573" s="213"/>
      <c r="AW2573" s="213"/>
      <c r="AX2573" s="213"/>
      <c r="AY2573" s="213"/>
      <c r="AZ2573" s="213"/>
      <c r="BA2573" s="213"/>
      <c r="BB2573" s="213"/>
      <c r="BC2573" s="213"/>
      <c r="BD2573" s="213"/>
    </row>
    <row r="2574">
      <c r="A2574" s="213">
        <f>IFERROR(__xludf.DUMMYFUNCTION("""COMPUTED_VALUE"""),240.0)</f>
        <v>240</v>
      </c>
      <c r="B2574" s="213" t="str">
        <f>IFERROR(__xludf.DUMMYFUNCTION("""COMPUTED_VALUE"""),"2026 SIMON BOLIVAR")</f>
        <v>2026 SIMON BOLIVAR</v>
      </c>
      <c r="C2574" s="213" t="str">
        <f>IFERROR(__xludf.DUMMYFUNCTION("""COMPUTED_VALUE"""),"TALLER SFT DE INDUSTRIA DEL VESTIDO")</f>
        <v>TALLER SFT DE INDUSTRIA DEL VESTIDO</v>
      </c>
      <c r="D2574" s="213" t="str">
        <f>IFERROR(__xludf.DUMMYFUNCTION("""COMPUTED_VALUE"""),"PEDAGOGICO")</f>
        <v>PEDAGOGICO</v>
      </c>
      <c r="E2574" s="213" t="str">
        <f>IFERROR(__xludf.DUMMYFUNCTION("""COMPUTED_VALUE"""),"-")</f>
        <v>-</v>
      </c>
      <c r="F2574" s="213" t="str">
        <f>IFERROR(__xludf.DUMMYFUNCTION("""COMPUTED_VALUE"""),"USB-VEST")</f>
        <v>USB-VEST</v>
      </c>
      <c r="G2574" s="213"/>
      <c r="H2574" s="213" t="str">
        <f>IFERROR(__xludf.DUMMYFUNCTION("""COMPUTED_VALUE"""),"USB CON MATERIAL PARA LA CAPACITACIÓN")</f>
        <v>USB CON MATERIAL PARA LA CAPACITACIÓN</v>
      </c>
      <c r="I2574" s="213"/>
      <c r="J2574" s="213">
        <f>IFERROR(__xludf.DUMMYFUNCTION("""COMPUTED_VALUE"""),3.0)</f>
        <v>3</v>
      </c>
      <c r="K2574" s="213" t="str">
        <f>IFERROR(__xludf.DUMMYFUNCTION("""COMPUTED_VALUE"""),"170 DÍAS CALENDARIO")</f>
        <v>170 DÍAS CALENDARIO</v>
      </c>
      <c r="L2574" s="213" t="str">
        <f>IFERROR(__xludf.DUMMYFUNCTION("""COMPUTED_VALUE"""),"")</f>
        <v/>
      </c>
      <c r="M2574" s="213">
        <f>IFERROR(__xludf.DUMMYFUNCTION("""COMPUTED_VALUE"""),1.0)</f>
        <v>1</v>
      </c>
      <c r="N2574" s="213">
        <f>IFERROR(__xludf.DUMMYFUNCTION("""COMPUTED_VALUE"""),4.0)</f>
        <v>4</v>
      </c>
      <c r="O2574" s="213">
        <f>IFERROR(__xludf.DUMMYFUNCTION("""COMPUTED_VALUE"""),4.0)</f>
        <v>4</v>
      </c>
      <c r="P2574" s="213"/>
      <c r="Q2574" s="213"/>
      <c r="R2574" s="213"/>
      <c r="S2574" s="213"/>
      <c r="T2574" s="213"/>
      <c r="U2574" s="213"/>
      <c r="V2574" s="213"/>
      <c r="W2574" s="213"/>
      <c r="X2574" s="213"/>
      <c r="Y2574" s="213"/>
      <c r="Z2574" s="213"/>
      <c r="AA2574" s="213"/>
      <c r="AB2574" s="213"/>
      <c r="AC2574" s="213"/>
      <c r="AD2574" s="213"/>
      <c r="AE2574" s="213"/>
      <c r="AF2574" s="213"/>
      <c r="AG2574" s="213"/>
      <c r="AH2574" s="213"/>
      <c r="AI2574" s="213"/>
      <c r="AJ2574" s="213"/>
      <c r="AK2574" s="213"/>
      <c r="AL2574" s="213"/>
      <c r="AM2574" s="213"/>
      <c r="AN2574" s="213"/>
      <c r="AO2574" s="213"/>
      <c r="AP2574" s="213"/>
      <c r="AQ2574" s="213"/>
      <c r="AR2574" s="213"/>
      <c r="AS2574" s="213"/>
      <c r="AT2574" s="213"/>
      <c r="AU2574" s="213"/>
      <c r="AV2574" s="213"/>
      <c r="AW2574" s="213"/>
      <c r="AX2574" s="213"/>
      <c r="AY2574" s="213"/>
      <c r="AZ2574" s="213"/>
      <c r="BA2574" s="213"/>
      <c r="BB2574" s="213"/>
      <c r="BC2574" s="213"/>
      <c r="BD2574" s="213"/>
    </row>
    <row r="2575">
      <c r="A2575" s="213">
        <f>IFERROR(__xludf.DUMMYFUNCTION("""COMPUTED_VALUE"""),332.0)</f>
        <v>332</v>
      </c>
      <c r="B2575" s="213" t="str">
        <f>IFERROR(__xludf.DUMMYFUNCTION("""COMPUTED_VALUE"""),"2026 SIMON BOLIVAR")</f>
        <v>2026 SIMON BOLIVAR</v>
      </c>
      <c r="C2575" s="213" t="str">
        <f>IFERROR(__xludf.DUMMYFUNCTION("""COMPUTED_VALUE"""),"TALLER SFT DE COMPUTACIÓN E INFORMÁTICA")</f>
        <v>TALLER SFT DE COMPUTACIÓN E INFORMÁTICA</v>
      </c>
      <c r="D2575" s="213" t="str">
        <f>IFERROR(__xludf.DUMMYFUNCTION("""COMPUTED_VALUE"""),"PEDAGOGICO")</f>
        <v>PEDAGOGICO</v>
      </c>
      <c r="E2575" s="213" t="str">
        <f>IFERROR(__xludf.DUMMYFUNCTION("""COMPUTED_VALUE"""),"-")</f>
        <v>-</v>
      </c>
      <c r="F2575" s="213" t="str">
        <f>IFERROR(__xludf.DUMMYFUNCTION("""COMPUTED_VALUE"""),"USB-COMP")</f>
        <v>USB-COMP</v>
      </c>
      <c r="G2575" s="213"/>
      <c r="H2575" s="213" t="str">
        <f>IFERROR(__xludf.DUMMYFUNCTION("""COMPUTED_VALUE"""),"USB CON MATERIAL PARA LA CAPACITACIÓN")</f>
        <v>USB CON MATERIAL PARA LA CAPACITACIÓN</v>
      </c>
      <c r="I2575" s="213"/>
      <c r="J2575" s="213">
        <f>IFERROR(__xludf.DUMMYFUNCTION("""COMPUTED_VALUE"""),3.0)</f>
        <v>3</v>
      </c>
      <c r="K2575" s="213" t="str">
        <f>IFERROR(__xludf.DUMMYFUNCTION("""COMPUTED_VALUE"""),"170 DÍAS CALENDARIO")</f>
        <v>170 DÍAS CALENDARIO</v>
      </c>
      <c r="L2575" s="213" t="str">
        <f>IFERROR(__xludf.DUMMYFUNCTION("""COMPUTED_VALUE"""),"")</f>
        <v/>
      </c>
      <c r="M2575" s="213">
        <f>IFERROR(__xludf.DUMMYFUNCTION("""COMPUTED_VALUE"""),1.0)</f>
        <v>1</v>
      </c>
      <c r="N2575" s="213">
        <f>IFERROR(__xludf.DUMMYFUNCTION("""COMPUTED_VALUE"""),4.0)</f>
        <v>4</v>
      </c>
      <c r="O2575" s="213">
        <f>IFERROR(__xludf.DUMMYFUNCTION("""COMPUTED_VALUE"""),4.0)</f>
        <v>4</v>
      </c>
      <c r="P2575" s="213"/>
      <c r="Q2575" s="213"/>
      <c r="R2575" s="213"/>
      <c r="S2575" s="213"/>
      <c r="T2575" s="213"/>
      <c r="U2575" s="213"/>
      <c r="V2575" s="213"/>
      <c r="W2575" s="213"/>
      <c r="X2575" s="213"/>
      <c r="Y2575" s="213"/>
      <c r="Z2575" s="213"/>
      <c r="AA2575" s="213"/>
      <c r="AB2575" s="213"/>
      <c r="AC2575" s="213"/>
      <c r="AD2575" s="213"/>
      <c r="AE2575" s="213"/>
      <c r="AF2575" s="213"/>
      <c r="AG2575" s="213"/>
      <c r="AH2575" s="213"/>
      <c r="AI2575" s="213"/>
      <c r="AJ2575" s="213"/>
      <c r="AK2575" s="213"/>
      <c r="AL2575" s="213"/>
      <c r="AM2575" s="213"/>
      <c r="AN2575" s="213"/>
      <c r="AO2575" s="213"/>
      <c r="AP2575" s="213"/>
      <c r="AQ2575" s="213"/>
      <c r="AR2575" s="213"/>
      <c r="AS2575" s="213"/>
      <c r="AT2575" s="213"/>
      <c r="AU2575" s="213"/>
      <c r="AV2575" s="213"/>
      <c r="AW2575" s="213"/>
      <c r="AX2575" s="213"/>
      <c r="AY2575" s="213"/>
      <c r="AZ2575" s="213"/>
      <c r="BA2575" s="213"/>
      <c r="BB2575" s="213"/>
      <c r="BC2575" s="213"/>
      <c r="BD2575" s="213"/>
    </row>
    <row r="2576">
      <c r="A2576" s="213">
        <f>IFERROR(__xludf.DUMMYFUNCTION("""COMPUTED_VALUE"""),417.0)</f>
        <v>417</v>
      </c>
      <c r="B2576" s="213" t="str">
        <f>IFERROR(__xludf.DUMMYFUNCTION("""COMPUTED_VALUE"""),"2026 SIMON BOLIVAR")</f>
        <v>2026 SIMON BOLIVAR</v>
      </c>
      <c r="C2576" s="213" t="str">
        <f>IFERROR(__xludf.DUMMYFUNCTION("""COMPUTED_VALUE"""),"TALLER SFT DE ELECTRICIDAD")</f>
        <v>TALLER SFT DE ELECTRICIDAD</v>
      </c>
      <c r="D2576" s="213" t="str">
        <f>IFERROR(__xludf.DUMMYFUNCTION("""COMPUTED_VALUE"""),"PEDAGOGICO")</f>
        <v>PEDAGOGICO</v>
      </c>
      <c r="E2576" s="213" t="str">
        <f>IFERROR(__xludf.DUMMYFUNCTION("""COMPUTED_VALUE"""),"-")</f>
        <v>-</v>
      </c>
      <c r="F2576" s="213" t="str">
        <f>IFERROR(__xludf.DUMMYFUNCTION("""COMPUTED_VALUE"""),"USB-ELECTRI")</f>
        <v>USB-ELECTRI</v>
      </c>
      <c r="G2576" s="213"/>
      <c r="H2576" s="213" t="str">
        <f>IFERROR(__xludf.DUMMYFUNCTION("""COMPUTED_VALUE"""),"USB CON MATERIAL PARA LA CAPACITACIÓN")</f>
        <v>USB CON MATERIAL PARA LA CAPACITACIÓN</v>
      </c>
      <c r="I2576" s="213"/>
      <c r="J2576" s="213">
        <f>IFERROR(__xludf.DUMMYFUNCTION("""COMPUTED_VALUE"""),3.0)</f>
        <v>3</v>
      </c>
      <c r="K2576" s="213" t="str">
        <f>IFERROR(__xludf.DUMMYFUNCTION("""COMPUTED_VALUE"""),"170 DÍAS CALENDARIO")</f>
        <v>170 DÍAS CALENDARIO</v>
      </c>
      <c r="L2576" s="213" t="str">
        <f>IFERROR(__xludf.DUMMYFUNCTION("""COMPUTED_VALUE"""),"")</f>
        <v/>
      </c>
      <c r="M2576" s="213">
        <f>IFERROR(__xludf.DUMMYFUNCTION("""COMPUTED_VALUE"""),1.0)</f>
        <v>1</v>
      </c>
      <c r="N2576" s="213">
        <f>IFERROR(__xludf.DUMMYFUNCTION("""COMPUTED_VALUE"""),4.0)</f>
        <v>4</v>
      </c>
      <c r="O2576" s="213">
        <f>IFERROR(__xludf.DUMMYFUNCTION("""COMPUTED_VALUE"""),4.0)</f>
        <v>4</v>
      </c>
      <c r="P2576" s="213"/>
      <c r="Q2576" s="213"/>
      <c r="R2576" s="213"/>
      <c r="S2576" s="213"/>
      <c r="T2576" s="213"/>
      <c r="U2576" s="213"/>
      <c r="V2576" s="213"/>
      <c r="W2576" s="213"/>
      <c r="X2576" s="213"/>
      <c r="Y2576" s="213"/>
      <c r="Z2576" s="213"/>
      <c r="AA2576" s="213"/>
      <c r="AB2576" s="213"/>
      <c r="AC2576" s="213"/>
      <c r="AD2576" s="213"/>
      <c r="AE2576" s="213"/>
      <c r="AF2576" s="213"/>
      <c r="AG2576" s="213"/>
      <c r="AH2576" s="213"/>
      <c r="AI2576" s="213"/>
      <c r="AJ2576" s="213"/>
      <c r="AK2576" s="213"/>
      <c r="AL2576" s="213"/>
      <c r="AM2576" s="213"/>
      <c r="AN2576" s="213"/>
      <c r="AO2576" s="213"/>
      <c r="AP2576" s="213"/>
      <c r="AQ2576" s="213"/>
      <c r="AR2576" s="213"/>
      <c r="AS2576" s="213"/>
      <c r="AT2576" s="213"/>
      <c r="AU2576" s="213"/>
      <c r="AV2576" s="213"/>
      <c r="AW2576" s="213"/>
      <c r="AX2576" s="213"/>
      <c r="AY2576" s="213"/>
      <c r="AZ2576" s="213"/>
      <c r="BA2576" s="213"/>
      <c r="BB2576" s="213"/>
      <c r="BC2576" s="213"/>
      <c r="BD2576" s="213"/>
    </row>
    <row r="2577">
      <c r="A2577" s="213">
        <f>IFERROR(__xludf.DUMMYFUNCTION("""COMPUTED_VALUE"""),608.0)</f>
        <v>608</v>
      </c>
      <c r="B2577" s="213" t="str">
        <f>IFERROR(__xludf.DUMMYFUNCTION("""COMPUTED_VALUE"""),"2026 SIMON BOLIVAR")</f>
        <v>2026 SIMON BOLIVAR</v>
      </c>
      <c r="C2577" s="213" t="str">
        <f>IFERROR(__xludf.DUMMYFUNCTION("""COMPUTED_VALUE"""),"TALLER SFT DE INDUSTRIA ALIMENTARIA")</f>
        <v>TALLER SFT DE INDUSTRIA ALIMENTARIA</v>
      </c>
      <c r="D2577" s="213" t="str">
        <f>IFERROR(__xludf.DUMMYFUNCTION("""COMPUTED_VALUE"""),"PEDAGOGICO")</f>
        <v>PEDAGOGICO</v>
      </c>
      <c r="E2577" s="213" t="str">
        <f>IFERROR(__xludf.DUMMYFUNCTION("""COMPUTED_VALUE"""),"-")</f>
        <v>-</v>
      </c>
      <c r="F2577" s="213" t="str">
        <f>IFERROR(__xludf.DUMMYFUNCTION("""COMPUTED_VALUE"""),"USB-ALI")</f>
        <v>USB-ALI</v>
      </c>
      <c r="G2577" s="213"/>
      <c r="H2577" s="213" t="str">
        <f>IFERROR(__xludf.DUMMYFUNCTION("""COMPUTED_VALUE"""),"USB CON MATERIAL PARA LA CAPACITACIÓN")</f>
        <v>USB CON MATERIAL PARA LA CAPACITACIÓN</v>
      </c>
      <c r="I2577" s="213"/>
      <c r="J2577" s="213">
        <f>IFERROR(__xludf.DUMMYFUNCTION("""COMPUTED_VALUE"""),3.0)</f>
        <v>3</v>
      </c>
      <c r="K2577" s="213" t="str">
        <f>IFERROR(__xludf.DUMMYFUNCTION("""COMPUTED_VALUE"""),"170 DÍAS CALENDARIO")</f>
        <v>170 DÍAS CALENDARIO</v>
      </c>
      <c r="L2577" s="213" t="str">
        <f>IFERROR(__xludf.DUMMYFUNCTION("""COMPUTED_VALUE"""),"")</f>
        <v/>
      </c>
      <c r="M2577" s="213">
        <f>IFERROR(__xludf.DUMMYFUNCTION("""COMPUTED_VALUE"""),1.0)</f>
        <v>1</v>
      </c>
      <c r="N2577" s="213">
        <f>IFERROR(__xludf.DUMMYFUNCTION("""COMPUTED_VALUE"""),4.0)</f>
        <v>4</v>
      </c>
      <c r="O2577" s="213">
        <f>IFERROR(__xludf.DUMMYFUNCTION("""COMPUTED_VALUE"""),4.0)</f>
        <v>4</v>
      </c>
      <c r="P2577" s="213"/>
      <c r="Q2577" s="213"/>
      <c r="R2577" s="213"/>
      <c r="S2577" s="213"/>
      <c r="T2577" s="213"/>
      <c r="U2577" s="213"/>
      <c r="V2577" s="213"/>
      <c r="W2577" s="213"/>
      <c r="X2577" s="213"/>
      <c r="Y2577" s="213"/>
      <c r="Z2577" s="213"/>
      <c r="AA2577" s="213"/>
      <c r="AB2577" s="213"/>
      <c r="AC2577" s="213"/>
      <c r="AD2577" s="213"/>
      <c r="AE2577" s="213"/>
      <c r="AF2577" s="213"/>
      <c r="AG2577" s="213"/>
      <c r="AH2577" s="213"/>
      <c r="AI2577" s="213"/>
      <c r="AJ2577" s="213"/>
      <c r="AK2577" s="213"/>
      <c r="AL2577" s="213"/>
      <c r="AM2577" s="213"/>
      <c r="AN2577" s="213"/>
      <c r="AO2577" s="213"/>
      <c r="AP2577" s="213"/>
      <c r="AQ2577" s="213"/>
      <c r="AR2577" s="213"/>
      <c r="AS2577" s="213"/>
      <c r="AT2577" s="213"/>
      <c r="AU2577" s="213"/>
      <c r="AV2577" s="213"/>
      <c r="AW2577" s="213"/>
      <c r="AX2577" s="213"/>
      <c r="AY2577" s="213"/>
      <c r="AZ2577" s="213"/>
      <c r="BA2577" s="213"/>
      <c r="BB2577" s="213"/>
      <c r="BC2577" s="213"/>
      <c r="BD2577" s="213"/>
    </row>
    <row r="2578">
      <c r="A2578" s="213">
        <f>IFERROR(__xludf.DUMMYFUNCTION("""COMPUTED_VALUE"""),725.0)</f>
        <v>725</v>
      </c>
      <c r="B2578" s="213" t="str">
        <f>IFERROR(__xludf.DUMMYFUNCTION("""COMPUTED_VALUE"""),"6049 RICARDO PALMA")</f>
        <v>6049 RICARDO PALMA</v>
      </c>
      <c r="C2578" s="213" t="str">
        <f>IFERROR(__xludf.DUMMYFUNCTION("""COMPUTED_VALUE"""),"TALLER SFT DE ELECTRÓNICA")</f>
        <v>TALLER SFT DE ELECTRÓNICA</v>
      </c>
      <c r="D2578" s="213" t="str">
        <f>IFERROR(__xludf.DUMMYFUNCTION("""COMPUTED_VALUE"""),"PEDAGOGICO")</f>
        <v>PEDAGOGICO</v>
      </c>
      <c r="E2578" s="213" t="str">
        <f>IFERROR(__xludf.DUMMYFUNCTION("""COMPUTED_VALUE"""),"-")</f>
        <v>-</v>
      </c>
      <c r="F2578" s="213" t="str">
        <f>IFERROR(__xludf.DUMMYFUNCTION("""COMPUTED_VALUE"""),"USB-ELECTRO")</f>
        <v>USB-ELECTRO</v>
      </c>
      <c r="G2578" s="213"/>
      <c r="H2578" s="213" t="str">
        <f>IFERROR(__xludf.DUMMYFUNCTION("""COMPUTED_VALUE"""),"USB CON MATERIAL PARA LA CAPACITACIÓN")</f>
        <v>USB CON MATERIAL PARA LA CAPACITACIÓN</v>
      </c>
      <c r="I2578" s="213"/>
      <c r="J2578" s="213">
        <f>IFERROR(__xludf.DUMMYFUNCTION("""COMPUTED_VALUE"""),3.0)</f>
        <v>3</v>
      </c>
      <c r="K2578" s="213" t="str">
        <f>IFERROR(__xludf.DUMMYFUNCTION("""COMPUTED_VALUE"""),"170 DÍAS CALENDARIO")</f>
        <v>170 DÍAS CALENDARIO</v>
      </c>
      <c r="L2578" s="213" t="str">
        <f>IFERROR(__xludf.DUMMYFUNCTION("""COMPUTED_VALUE"""),"")</f>
        <v/>
      </c>
      <c r="M2578" s="213">
        <f>IFERROR(__xludf.DUMMYFUNCTION("""COMPUTED_VALUE"""),1.0)</f>
        <v>1</v>
      </c>
      <c r="N2578" s="213">
        <f>IFERROR(__xludf.DUMMYFUNCTION("""COMPUTED_VALUE"""),4.0)</f>
        <v>4</v>
      </c>
      <c r="O2578" s="213">
        <f>IFERROR(__xludf.DUMMYFUNCTION("""COMPUTED_VALUE"""),4.0)</f>
        <v>4</v>
      </c>
      <c r="P2578" s="213"/>
      <c r="Q2578" s="213"/>
      <c r="R2578" s="213"/>
      <c r="S2578" s="213"/>
      <c r="T2578" s="213"/>
      <c r="U2578" s="213"/>
      <c r="V2578" s="213"/>
      <c r="W2578" s="213"/>
      <c r="X2578" s="213"/>
      <c r="Y2578" s="213"/>
      <c r="Z2578" s="213"/>
      <c r="AA2578" s="213"/>
      <c r="AB2578" s="213"/>
      <c r="AC2578" s="213"/>
      <c r="AD2578" s="213"/>
      <c r="AE2578" s="213"/>
      <c r="AF2578" s="213"/>
      <c r="AG2578" s="213"/>
      <c r="AH2578" s="213"/>
      <c r="AI2578" s="213"/>
      <c r="AJ2578" s="213"/>
      <c r="AK2578" s="213"/>
      <c r="AL2578" s="213"/>
      <c r="AM2578" s="213"/>
      <c r="AN2578" s="213"/>
      <c r="AO2578" s="213"/>
      <c r="AP2578" s="213"/>
      <c r="AQ2578" s="213"/>
      <c r="AR2578" s="213"/>
      <c r="AS2578" s="213"/>
      <c r="AT2578" s="213"/>
      <c r="AU2578" s="213"/>
      <c r="AV2578" s="213"/>
      <c r="AW2578" s="213"/>
      <c r="AX2578" s="213"/>
      <c r="AY2578" s="213"/>
      <c r="AZ2578" s="213"/>
      <c r="BA2578" s="213"/>
      <c r="BB2578" s="213"/>
      <c r="BC2578" s="213"/>
      <c r="BD2578" s="213"/>
    </row>
    <row r="2579">
      <c r="A2579" s="213">
        <f>IFERROR(__xludf.DUMMYFUNCTION("""COMPUTED_VALUE"""),818.0)</f>
        <v>818</v>
      </c>
      <c r="B2579" s="213" t="str">
        <f>IFERROR(__xludf.DUMMYFUNCTION("""COMPUTED_VALUE"""),"6049 RICARDO PALMA")</f>
        <v>6049 RICARDO PALMA</v>
      </c>
      <c r="C2579" s="213" t="str">
        <f>IFERROR(__xludf.DUMMYFUNCTION("""COMPUTED_VALUE"""),"TALLER SFT DE COMPUTACIÓN E INFORMÁTICA")</f>
        <v>TALLER SFT DE COMPUTACIÓN E INFORMÁTICA</v>
      </c>
      <c r="D2579" s="213" t="str">
        <f>IFERROR(__xludf.DUMMYFUNCTION("""COMPUTED_VALUE"""),"PEDAGOGICO")</f>
        <v>PEDAGOGICO</v>
      </c>
      <c r="E2579" s="213" t="str">
        <f>IFERROR(__xludf.DUMMYFUNCTION("""COMPUTED_VALUE"""),"-")</f>
        <v>-</v>
      </c>
      <c r="F2579" s="213" t="str">
        <f>IFERROR(__xludf.DUMMYFUNCTION("""COMPUTED_VALUE"""),"USB-COMP")</f>
        <v>USB-COMP</v>
      </c>
      <c r="G2579" s="213"/>
      <c r="H2579" s="213" t="str">
        <f>IFERROR(__xludf.DUMMYFUNCTION("""COMPUTED_VALUE"""),"USB CON MATERIAL PARA LA CAPACITACIÓN")</f>
        <v>USB CON MATERIAL PARA LA CAPACITACIÓN</v>
      </c>
      <c r="I2579" s="213"/>
      <c r="J2579" s="213">
        <f>IFERROR(__xludf.DUMMYFUNCTION("""COMPUTED_VALUE"""),3.0)</f>
        <v>3</v>
      </c>
      <c r="K2579" s="213" t="str">
        <f>IFERROR(__xludf.DUMMYFUNCTION("""COMPUTED_VALUE"""),"170 DÍAS CALENDARIO")</f>
        <v>170 DÍAS CALENDARIO</v>
      </c>
      <c r="L2579" s="213" t="str">
        <f>IFERROR(__xludf.DUMMYFUNCTION("""COMPUTED_VALUE"""),"")</f>
        <v/>
      </c>
      <c r="M2579" s="213">
        <f>IFERROR(__xludf.DUMMYFUNCTION("""COMPUTED_VALUE"""),1.0)</f>
        <v>1</v>
      </c>
      <c r="N2579" s="213">
        <f>IFERROR(__xludf.DUMMYFUNCTION("""COMPUTED_VALUE"""),4.0)</f>
        <v>4</v>
      </c>
      <c r="O2579" s="213">
        <f>IFERROR(__xludf.DUMMYFUNCTION("""COMPUTED_VALUE"""),4.0)</f>
        <v>4</v>
      </c>
      <c r="P2579" s="213"/>
      <c r="Q2579" s="213"/>
      <c r="R2579" s="213"/>
      <c r="S2579" s="213"/>
      <c r="T2579" s="213"/>
      <c r="U2579" s="213"/>
      <c r="V2579" s="213"/>
      <c r="W2579" s="213"/>
      <c r="X2579" s="213"/>
      <c r="Y2579" s="213"/>
      <c r="Z2579" s="213"/>
      <c r="AA2579" s="213"/>
      <c r="AB2579" s="213"/>
      <c r="AC2579" s="213"/>
      <c r="AD2579" s="213"/>
      <c r="AE2579" s="213"/>
      <c r="AF2579" s="213"/>
      <c r="AG2579" s="213"/>
      <c r="AH2579" s="213"/>
      <c r="AI2579" s="213"/>
      <c r="AJ2579" s="213"/>
      <c r="AK2579" s="213"/>
      <c r="AL2579" s="213"/>
      <c r="AM2579" s="213"/>
      <c r="AN2579" s="213"/>
      <c r="AO2579" s="213"/>
      <c r="AP2579" s="213"/>
      <c r="AQ2579" s="213"/>
      <c r="AR2579" s="213"/>
      <c r="AS2579" s="213"/>
      <c r="AT2579" s="213"/>
      <c r="AU2579" s="213"/>
      <c r="AV2579" s="213"/>
      <c r="AW2579" s="213"/>
      <c r="AX2579" s="213"/>
      <c r="AY2579" s="213"/>
      <c r="AZ2579" s="213"/>
      <c r="BA2579" s="213"/>
      <c r="BB2579" s="213"/>
      <c r="BC2579" s="213"/>
      <c r="BD2579" s="213"/>
    </row>
    <row r="2580">
      <c r="A2580" s="213">
        <f>IFERROR(__xludf.DUMMYFUNCTION("""COMPUTED_VALUE"""),903.0)</f>
        <v>903</v>
      </c>
      <c r="B2580" s="213" t="str">
        <f>IFERROR(__xludf.DUMMYFUNCTION("""COMPUTED_VALUE"""),"6049 RICARDO PALMA")</f>
        <v>6049 RICARDO PALMA</v>
      </c>
      <c r="C2580" s="213" t="str">
        <f>IFERROR(__xludf.DUMMYFUNCTION("""COMPUTED_VALUE"""),"TALLER SFT DE ELECTRICIDAD")</f>
        <v>TALLER SFT DE ELECTRICIDAD</v>
      </c>
      <c r="D2580" s="213" t="str">
        <f>IFERROR(__xludf.DUMMYFUNCTION("""COMPUTED_VALUE"""),"PEDAGOGICO")</f>
        <v>PEDAGOGICO</v>
      </c>
      <c r="E2580" s="213" t="str">
        <f>IFERROR(__xludf.DUMMYFUNCTION("""COMPUTED_VALUE"""),"-")</f>
        <v>-</v>
      </c>
      <c r="F2580" s="213" t="str">
        <f>IFERROR(__xludf.DUMMYFUNCTION("""COMPUTED_VALUE"""),"USB-ELECTRI")</f>
        <v>USB-ELECTRI</v>
      </c>
      <c r="G2580" s="213"/>
      <c r="H2580" s="213" t="str">
        <f>IFERROR(__xludf.DUMMYFUNCTION("""COMPUTED_VALUE"""),"USB CON MATERIAL PARA LA CAPACITACIÓN")</f>
        <v>USB CON MATERIAL PARA LA CAPACITACIÓN</v>
      </c>
      <c r="I2580" s="213"/>
      <c r="J2580" s="213">
        <f>IFERROR(__xludf.DUMMYFUNCTION("""COMPUTED_VALUE"""),3.0)</f>
        <v>3</v>
      </c>
      <c r="K2580" s="213" t="str">
        <f>IFERROR(__xludf.DUMMYFUNCTION("""COMPUTED_VALUE"""),"170 DÍAS CALENDARIO")</f>
        <v>170 DÍAS CALENDARIO</v>
      </c>
      <c r="L2580" s="213" t="str">
        <f>IFERROR(__xludf.DUMMYFUNCTION("""COMPUTED_VALUE"""),"")</f>
        <v/>
      </c>
      <c r="M2580" s="213">
        <f>IFERROR(__xludf.DUMMYFUNCTION("""COMPUTED_VALUE"""),1.0)</f>
        <v>1</v>
      </c>
      <c r="N2580" s="213">
        <f>IFERROR(__xludf.DUMMYFUNCTION("""COMPUTED_VALUE"""),4.0)</f>
        <v>4</v>
      </c>
      <c r="O2580" s="213">
        <f>IFERROR(__xludf.DUMMYFUNCTION("""COMPUTED_VALUE"""),4.0)</f>
        <v>4</v>
      </c>
      <c r="P2580" s="213"/>
      <c r="Q2580" s="213"/>
      <c r="R2580" s="213"/>
      <c r="S2580" s="213"/>
      <c r="T2580" s="213"/>
      <c r="U2580" s="213"/>
      <c r="V2580" s="213"/>
      <c r="W2580" s="213"/>
      <c r="X2580" s="213"/>
      <c r="Y2580" s="213"/>
      <c r="Z2580" s="213"/>
      <c r="AA2580" s="213"/>
      <c r="AB2580" s="213"/>
      <c r="AC2580" s="213"/>
      <c r="AD2580" s="213"/>
      <c r="AE2580" s="213"/>
      <c r="AF2580" s="213"/>
      <c r="AG2580" s="213"/>
      <c r="AH2580" s="213"/>
      <c r="AI2580" s="213"/>
      <c r="AJ2580" s="213"/>
      <c r="AK2580" s="213"/>
      <c r="AL2580" s="213"/>
      <c r="AM2580" s="213"/>
      <c r="AN2580" s="213"/>
      <c r="AO2580" s="213"/>
      <c r="AP2580" s="213"/>
      <c r="AQ2580" s="213"/>
      <c r="AR2580" s="213"/>
      <c r="AS2580" s="213"/>
      <c r="AT2580" s="213"/>
      <c r="AU2580" s="213"/>
      <c r="AV2580" s="213"/>
      <c r="AW2580" s="213"/>
      <c r="AX2580" s="213"/>
      <c r="AY2580" s="213"/>
      <c r="AZ2580" s="213"/>
      <c r="BA2580" s="213"/>
      <c r="BB2580" s="213"/>
      <c r="BC2580" s="213"/>
      <c r="BD2580" s="213"/>
    </row>
    <row r="2581">
      <c r="A2581" s="213">
        <f>IFERROR(__xludf.DUMMYFUNCTION("""COMPUTED_VALUE"""),1054.0)</f>
        <v>1054</v>
      </c>
      <c r="B2581" s="213" t="str">
        <f>IFERROR(__xludf.DUMMYFUNCTION("""COMPUTED_VALUE"""),"FRANCISCO IRAZOLA")</f>
        <v>FRANCISCO IRAZOLA</v>
      </c>
      <c r="C2581" s="213" t="str">
        <f>IFERROR(__xludf.DUMMYFUNCTION("""COMPUTED_VALUE"""),"TALLER SFT DE MECÁNICA AUTOMOTRIZ")</f>
        <v>TALLER SFT DE MECÁNICA AUTOMOTRIZ</v>
      </c>
      <c r="D2581" s="213" t="str">
        <f>IFERROR(__xludf.DUMMYFUNCTION("""COMPUTED_VALUE"""),"PEDAGOGICO")</f>
        <v>PEDAGOGICO</v>
      </c>
      <c r="E2581" s="213" t="str">
        <f>IFERROR(__xludf.DUMMYFUNCTION("""COMPUTED_VALUE"""),"-")</f>
        <v>-</v>
      </c>
      <c r="F2581" s="213" t="str">
        <f>IFERROR(__xludf.DUMMYFUNCTION("""COMPUTED_VALUE"""),"USB-AUTO")</f>
        <v>USB-AUTO</v>
      </c>
      <c r="G2581" s="213"/>
      <c r="H2581" s="213" t="str">
        <f>IFERROR(__xludf.DUMMYFUNCTION("""COMPUTED_VALUE"""),"USB CON MATERIAL PARA LA CAPACITACIÓN")</f>
        <v>USB CON MATERIAL PARA LA CAPACITACIÓN</v>
      </c>
      <c r="I2581" s="213"/>
      <c r="J2581" s="213">
        <f>IFERROR(__xludf.DUMMYFUNCTION("""COMPUTED_VALUE"""),3.0)</f>
        <v>3</v>
      </c>
      <c r="K2581" s="213" t="str">
        <f>IFERROR(__xludf.DUMMYFUNCTION("""COMPUTED_VALUE"""),"170 DÍAS CALENDARIO")</f>
        <v>170 DÍAS CALENDARIO</v>
      </c>
      <c r="L2581" s="213" t="str">
        <f>IFERROR(__xludf.DUMMYFUNCTION("""COMPUTED_VALUE"""),"")</f>
        <v/>
      </c>
      <c r="M2581" s="213">
        <f>IFERROR(__xludf.DUMMYFUNCTION("""COMPUTED_VALUE"""),1.0)</f>
        <v>1</v>
      </c>
      <c r="N2581" s="213">
        <f>IFERROR(__xludf.DUMMYFUNCTION("""COMPUTED_VALUE"""),4.0)</f>
        <v>4</v>
      </c>
      <c r="O2581" s="213">
        <f>IFERROR(__xludf.DUMMYFUNCTION("""COMPUTED_VALUE"""),4.0)</f>
        <v>4</v>
      </c>
      <c r="P2581" s="213"/>
      <c r="Q2581" s="213"/>
      <c r="R2581" s="213"/>
      <c r="S2581" s="213"/>
      <c r="T2581" s="213"/>
      <c r="U2581" s="213"/>
      <c r="V2581" s="213"/>
      <c r="W2581" s="213"/>
      <c r="X2581" s="213"/>
      <c r="Y2581" s="213"/>
      <c r="Z2581" s="213"/>
      <c r="AA2581" s="213"/>
      <c r="AB2581" s="213"/>
      <c r="AC2581" s="213"/>
      <c r="AD2581" s="213"/>
      <c r="AE2581" s="213"/>
      <c r="AF2581" s="213"/>
      <c r="AG2581" s="213"/>
      <c r="AH2581" s="213"/>
      <c r="AI2581" s="213"/>
      <c r="AJ2581" s="213"/>
      <c r="AK2581" s="213"/>
      <c r="AL2581" s="213"/>
      <c r="AM2581" s="213"/>
      <c r="AN2581" s="213"/>
      <c r="AO2581" s="213"/>
      <c r="AP2581" s="213"/>
      <c r="AQ2581" s="213"/>
      <c r="AR2581" s="213"/>
      <c r="AS2581" s="213"/>
      <c r="AT2581" s="213"/>
      <c r="AU2581" s="213"/>
      <c r="AV2581" s="213"/>
      <c r="AW2581" s="213"/>
      <c r="AX2581" s="213"/>
      <c r="AY2581" s="213"/>
      <c r="AZ2581" s="213"/>
      <c r="BA2581" s="213"/>
      <c r="BB2581" s="213"/>
      <c r="BC2581" s="213"/>
      <c r="BD2581" s="213"/>
    </row>
    <row r="2582">
      <c r="A2582" s="213">
        <f>IFERROR(__xludf.DUMMYFUNCTION("""COMPUTED_VALUE"""),1239.0)</f>
        <v>1239</v>
      </c>
      <c r="B2582" s="213" t="str">
        <f>IFERROR(__xludf.DUMMYFUNCTION("""COMPUTED_VALUE"""),"FRANCISCO IRAZOLA")</f>
        <v>FRANCISCO IRAZOLA</v>
      </c>
      <c r="C2582" s="213" t="str">
        <f>IFERROR(__xludf.DUMMYFUNCTION("""COMPUTED_VALUE"""),"TALLER SFT DE INDUSTRIA ALIMENTARIA")</f>
        <v>TALLER SFT DE INDUSTRIA ALIMENTARIA</v>
      </c>
      <c r="D2582" s="213" t="str">
        <f>IFERROR(__xludf.DUMMYFUNCTION("""COMPUTED_VALUE"""),"PEDAGOGICO")</f>
        <v>PEDAGOGICO</v>
      </c>
      <c r="E2582" s="213" t="str">
        <f>IFERROR(__xludf.DUMMYFUNCTION("""COMPUTED_VALUE"""),"-")</f>
        <v>-</v>
      </c>
      <c r="F2582" s="213" t="str">
        <f>IFERROR(__xludf.DUMMYFUNCTION("""COMPUTED_VALUE"""),"USB-ALI")</f>
        <v>USB-ALI</v>
      </c>
      <c r="G2582" s="213"/>
      <c r="H2582" s="213" t="str">
        <f>IFERROR(__xludf.DUMMYFUNCTION("""COMPUTED_VALUE"""),"USB CON MATERIAL PARA LA CAPACITACIÓN")</f>
        <v>USB CON MATERIAL PARA LA CAPACITACIÓN</v>
      </c>
      <c r="I2582" s="213"/>
      <c r="J2582" s="213">
        <f>IFERROR(__xludf.DUMMYFUNCTION("""COMPUTED_VALUE"""),3.0)</f>
        <v>3</v>
      </c>
      <c r="K2582" s="213" t="str">
        <f>IFERROR(__xludf.DUMMYFUNCTION("""COMPUTED_VALUE"""),"170 DÍAS CALENDARIO")</f>
        <v>170 DÍAS CALENDARIO</v>
      </c>
      <c r="L2582" s="213" t="str">
        <f>IFERROR(__xludf.DUMMYFUNCTION("""COMPUTED_VALUE"""),"")</f>
        <v/>
      </c>
      <c r="M2582" s="213">
        <f>IFERROR(__xludf.DUMMYFUNCTION("""COMPUTED_VALUE"""),1.0)</f>
        <v>1</v>
      </c>
      <c r="N2582" s="213">
        <f>IFERROR(__xludf.DUMMYFUNCTION("""COMPUTED_VALUE"""),4.0)</f>
        <v>4</v>
      </c>
      <c r="O2582" s="213">
        <f>IFERROR(__xludf.DUMMYFUNCTION("""COMPUTED_VALUE"""),4.0)</f>
        <v>4</v>
      </c>
      <c r="P2582" s="213"/>
      <c r="Q2582" s="213"/>
      <c r="R2582" s="213"/>
      <c r="S2582" s="213"/>
      <c r="T2582" s="213"/>
      <c r="U2582" s="213"/>
      <c r="V2582" s="213"/>
      <c r="W2582" s="213"/>
      <c r="X2582" s="213"/>
      <c r="Y2582" s="213"/>
      <c r="Z2582" s="213"/>
      <c r="AA2582" s="213"/>
      <c r="AB2582" s="213"/>
      <c r="AC2582" s="213"/>
      <c r="AD2582" s="213"/>
      <c r="AE2582" s="213"/>
      <c r="AF2582" s="213"/>
      <c r="AG2582" s="213"/>
      <c r="AH2582" s="213"/>
      <c r="AI2582" s="213"/>
      <c r="AJ2582" s="213"/>
      <c r="AK2582" s="213"/>
      <c r="AL2582" s="213"/>
      <c r="AM2582" s="213"/>
      <c r="AN2582" s="213"/>
      <c r="AO2582" s="213"/>
      <c r="AP2582" s="213"/>
      <c r="AQ2582" s="213"/>
      <c r="AR2582" s="213"/>
      <c r="AS2582" s="213"/>
      <c r="AT2582" s="213"/>
      <c r="AU2582" s="213"/>
      <c r="AV2582" s="213"/>
      <c r="AW2582" s="213"/>
      <c r="AX2582" s="213"/>
      <c r="AY2582" s="213"/>
      <c r="AZ2582" s="213"/>
      <c r="BA2582" s="213"/>
      <c r="BB2582" s="213"/>
      <c r="BC2582" s="213"/>
      <c r="BD2582" s="213"/>
    </row>
    <row r="2583">
      <c r="A2583" s="213">
        <f>IFERROR(__xludf.DUMMYFUNCTION("""COMPUTED_VALUE"""),1325.0)</f>
        <v>1325</v>
      </c>
      <c r="B2583" s="213" t="str">
        <f>IFERROR(__xludf.DUMMYFUNCTION("""COMPUTED_VALUE"""),"GUILLERMO E. BILLINGHURST ")</f>
        <v>GUILLERMO E. BILLINGHURST </v>
      </c>
      <c r="C2583" s="213" t="str">
        <f>IFERROR(__xludf.DUMMYFUNCTION("""COMPUTED_VALUE"""),"TALLER SFT DE ELECTRICIDAD")</f>
        <v>TALLER SFT DE ELECTRICIDAD</v>
      </c>
      <c r="D2583" s="213" t="str">
        <f>IFERROR(__xludf.DUMMYFUNCTION("""COMPUTED_VALUE"""),"PEDAGOGICO")</f>
        <v>PEDAGOGICO</v>
      </c>
      <c r="E2583" s="213" t="str">
        <f>IFERROR(__xludf.DUMMYFUNCTION("""COMPUTED_VALUE"""),"-")</f>
        <v>-</v>
      </c>
      <c r="F2583" s="213" t="str">
        <f>IFERROR(__xludf.DUMMYFUNCTION("""COMPUTED_VALUE"""),"USB-ELECTRI")</f>
        <v>USB-ELECTRI</v>
      </c>
      <c r="G2583" s="213"/>
      <c r="H2583" s="213" t="str">
        <f>IFERROR(__xludf.DUMMYFUNCTION("""COMPUTED_VALUE"""),"USB CON MATERIAL PARA LA CAPACITACIÓN")</f>
        <v>USB CON MATERIAL PARA LA CAPACITACIÓN</v>
      </c>
      <c r="I2583" s="213"/>
      <c r="J2583" s="213">
        <f>IFERROR(__xludf.DUMMYFUNCTION("""COMPUTED_VALUE"""),3.0)</f>
        <v>3</v>
      </c>
      <c r="K2583" s="213" t="str">
        <f>IFERROR(__xludf.DUMMYFUNCTION("""COMPUTED_VALUE"""),"170 DÍAS CALENDARIO")</f>
        <v>170 DÍAS CALENDARIO</v>
      </c>
      <c r="L2583" s="213" t="str">
        <f>IFERROR(__xludf.DUMMYFUNCTION("""COMPUTED_VALUE"""),"")</f>
        <v/>
      </c>
      <c r="M2583" s="213">
        <f>IFERROR(__xludf.DUMMYFUNCTION("""COMPUTED_VALUE"""),1.0)</f>
        <v>1</v>
      </c>
      <c r="N2583" s="213">
        <f>IFERROR(__xludf.DUMMYFUNCTION("""COMPUTED_VALUE"""),4.0)</f>
        <v>4</v>
      </c>
      <c r="O2583" s="213">
        <f>IFERROR(__xludf.DUMMYFUNCTION("""COMPUTED_VALUE"""),4.0)</f>
        <v>4</v>
      </c>
      <c r="P2583" s="213"/>
      <c r="Q2583" s="213"/>
      <c r="R2583" s="213"/>
      <c r="S2583" s="213"/>
      <c r="T2583" s="213"/>
      <c r="U2583" s="213"/>
      <c r="V2583" s="213"/>
      <c r="W2583" s="213"/>
      <c r="X2583" s="213"/>
      <c r="Y2583" s="213"/>
      <c r="Z2583" s="213"/>
      <c r="AA2583" s="213"/>
      <c r="AB2583" s="213"/>
      <c r="AC2583" s="213"/>
      <c r="AD2583" s="213"/>
      <c r="AE2583" s="213"/>
      <c r="AF2583" s="213"/>
      <c r="AG2583" s="213"/>
      <c r="AH2583" s="213"/>
      <c r="AI2583" s="213"/>
      <c r="AJ2583" s="213"/>
      <c r="AK2583" s="213"/>
      <c r="AL2583" s="213"/>
      <c r="AM2583" s="213"/>
      <c r="AN2583" s="213"/>
      <c r="AO2583" s="213"/>
      <c r="AP2583" s="213"/>
      <c r="AQ2583" s="213"/>
      <c r="AR2583" s="213"/>
      <c r="AS2583" s="213"/>
      <c r="AT2583" s="213"/>
      <c r="AU2583" s="213"/>
      <c r="AV2583" s="213"/>
      <c r="AW2583" s="213"/>
      <c r="AX2583" s="213"/>
      <c r="AY2583" s="213"/>
      <c r="AZ2583" s="213"/>
      <c r="BA2583" s="213"/>
      <c r="BB2583" s="213"/>
      <c r="BC2583" s="213"/>
      <c r="BD2583" s="213"/>
    </row>
    <row r="2584">
      <c r="A2584" s="213">
        <f>IFERROR(__xludf.DUMMYFUNCTION("""COMPUTED_VALUE"""),1505.0)</f>
        <v>1505</v>
      </c>
      <c r="B2584" s="213" t="str">
        <f>IFERROR(__xludf.DUMMYFUNCTION("""COMPUTED_VALUE"""),"GUILLERMO E. BILLINGHURST ")</f>
        <v>GUILLERMO E. BILLINGHURST </v>
      </c>
      <c r="C2584" s="213" t="str">
        <f>IFERROR(__xludf.DUMMYFUNCTION("""COMPUTED_VALUE"""),"TALLER SFT DE INDUSTRIA ALIMENTARIA")</f>
        <v>TALLER SFT DE INDUSTRIA ALIMENTARIA</v>
      </c>
      <c r="D2584" s="213" t="str">
        <f>IFERROR(__xludf.DUMMYFUNCTION("""COMPUTED_VALUE"""),"PEDAGOGICO")</f>
        <v>PEDAGOGICO</v>
      </c>
      <c r="E2584" s="213" t="str">
        <f>IFERROR(__xludf.DUMMYFUNCTION("""COMPUTED_VALUE"""),"-")</f>
        <v>-</v>
      </c>
      <c r="F2584" s="213" t="str">
        <f>IFERROR(__xludf.DUMMYFUNCTION("""COMPUTED_VALUE"""),"USB-ALI")</f>
        <v>USB-ALI</v>
      </c>
      <c r="G2584" s="213"/>
      <c r="H2584" s="213" t="str">
        <f>IFERROR(__xludf.DUMMYFUNCTION("""COMPUTED_VALUE"""),"USB CON MATERIAL PARA LA CAPACITACIÓN")</f>
        <v>USB CON MATERIAL PARA LA CAPACITACIÓN</v>
      </c>
      <c r="I2584" s="213"/>
      <c r="J2584" s="213">
        <f>IFERROR(__xludf.DUMMYFUNCTION("""COMPUTED_VALUE"""),3.0)</f>
        <v>3</v>
      </c>
      <c r="K2584" s="213" t="str">
        <f>IFERROR(__xludf.DUMMYFUNCTION("""COMPUTED_VALUE"""),"170 DÍAS CALENDARIO")</f>
        <v>170 DÍAS CALENDARIO</v>
      </c>
      <c r="L2584" s="213" t="str">
        <f>IFERROR(__xludf.DUMMYFUNCTION("""COMPUTED_VALUE"""),"")</f>
        <v/>
      </c>
      <c r="M2584" s="213">
        <f>IFERROR(__xludf.DUMMYFUNCTION("""COMPUTED_VALUE"""),1.0)</f>
        <v>1</v>
      </c>
      <c r="N2584" s="213">
        <f>IFERROR(__xludf.DUMMYFUNCTION("""COMPUTED_VALUE"""),4.0)</f>
        <v>4</v>
      </c>
      <c r="O2584" s="213">
        <f>IFERROR(__xludf.DUMMYFUNCTION("""COMPUTED_VALUE"""),4.0)</f>
        <v>4</v>
      </c>
      <c r="P2584" s="213"/>
      <c r="Q2584" s="213"/>
      <c r="R2584" s="213"/>
      <c r="S2584" s="213"/>
      <c r="T2584" s="213"/>
      <c r="U2584" s="213"/>
      <c r="V2584" s="213"/>
      <c r="W2584" s="213"/>
      <c r="X2584" s="213"/>
      <c r="Y2584" s="213"/>
      <c r="Z2584" s="213"/>
      <c r="AA2584" s="213"/>
      <c r="AB2584" s="213"/>
      <c r="AC2584" s="213"/>
      <c r="AD2584" s="213"/>
      <c r="AE2584" s="213"/>
      <c r="AF2584" s="213"/>
      <c r="AG2584" s="213"/>
      <c r="AH2584" s="213"/>
      <c r="AI2584" s="213"/>
      <c r="AJ2584" s="213"/>
      <c r="AK2584" s="213"/>
      <c r="AL2584" s="213"/>
      <c r="AM2584" s="213"/>
      <c r="AN2584" s="213"/>
      <c r="AO2584" s="213"/>
      <c r="AP2584" s="213"/>
      <c r="AQ2584" s="213"/>
      <c r="AR2584" s="213"/>
      <c r="AS2584" s="213"/>
      <c r="AT2584" s="213"/>
      <c r="AU2584" s="213"/>
      <c r="AV2584" s="213"/>
      <c r="AW2584" s="213"/>
      <c r="AX2584" s="213"/>
      <c r="AY2584" s="213"/>
      <c r="AZ2584" s="213"/>
      <c r="BA2584" s="213"/>
      <c r="BB2584" s="213"/>
      <c r="BC2584" s="213"/>
      <c r="BD2584" s="213"/>
    </row>
    <row r="2585">
      <c r="A2585" s="213">
        <f>IFERROR(__xludf.DUMMYFUNCTION("""COMPUTED_VALUE"""),1659.0)</f>
        <v>1659</v>
      </c>
      <c r="B2585" s="213" t="str">
        <f>IFERROR(__xludf.DUMMYFUNCTION("""COMPUTED_VALUE"""),"GUILLERMO E. BILLINGHURST ")</f>
        <v>GUILLERMO E. BILLINGHURST </v>
      </c>
      <c r="C2585" s="213" t="str">
        <f>IFERROR(__xludf.DUMMYFUNCTION("""COMPUTED_VALUE"""),"TALLER SFT DE MECÁNICA AUTOMOTRIZ")</f>
        <v>TALLER SFT DE MECÁNICA AUTOMOTRIZ</v>
      </c>
      <c r="D2585" s="213" t="str">
        <f>IFERROR(__xludf.DUMMYFUNCTION("""COMPUTED_VALUE"""),"PEDAGOGICO")</f>
        <v>PEDAGOGICO</v>
      </c>
      <c r="E2585" s="213" t="str">
        <f>IFERROR(__xludf.DUMMYFUNCTION("""COMPUTED_VALUE"""),"-")</f>
        <v>-</v>
      </c>
      <c r="F2585" s="213" t="str">
        <f>IFERROR(__xludf.DUMMYFUNCTION("""COMPUTED_VALUE"""),"USB-AUTO")</f>
        <v>USB-AUTO</v>
      </c>
      <c r="G2585" s="213"/>
      <c r="H2585" s="213" t="str">
        <f>IFERROR(__xludf.DUMMYFUNCTION("""COMPUTED_VALUE"""),"USB CON MATERIAL PARA LA CAPACITACIÓN")</f>
        <v>USB CON MATERIAL PARA LA CAPACITACIÓN</v>
      </c>
      <c r="I2585" s="213"/>
      <c r="J2585" s="213">
        <f>IFERROR(__xludf.DUMMYFUNCTION("""COMPUTED_VALUE"""),3.0)</f>
        <v>3</v>
      </c>
      <c r="K2585" s="213" t="str">
        <f>IFERROR(__xludf.DUMMYFUNCTION("""COMPUTED_VALUE"""),"170 DÍAS CALENDARIO")</f>
        <v>170 DÍAS CALENDARIO</v>
      </c>
      <c r="L2585" s="213" t="str">
        <f>IFERROR(__xludf.DUMMYFUNCTION("""COMPUTED_VALUE"""),"")</f>
        <v/>
      </c>
      <c r="M2585" s="213">
        <f>IFERROR(__xludf.DUMMYFUNCTION("""COMPUTED_VALUE"""),1.0)</f>
        <v>1</v>
      </c>
      <c r="N2585" s="213">
        <f>IFERROR(__xludf.DUMMYFUNCTION("""COMPUTED_VALUE"""),4.0)</f>
        <v>4</v>
      </c>
      <c r="O2585" s="213">
        <f>IFERROR(__xludf.DUMMYFUNCTION("""COMPUTED_VALUE"""),4.0)</f>
        <v>4</v>
      </c>
      <c r="P2585" s="213"/>
      <c r="Q2585" s="213"/>
      <c r="R2585" s="213"/>
      <c r="S2585" s="213"/>
      <c r="T2585" s="213"/>
      <c r="U2585" s="213"/>
      <c r="V2585" s="213"/>
      <c r="W2585" s="213"/>
      <c r="X2585" s="213"/>
      <c r="Y2585" s="213"/>
      <c r="Z2585" s="213"/>
      <c r="AA2585" s="213"/>
      <c r="AB2585" s="213"/>
      <c r="AC2585" s="213"/>
      <c r="AD2585" s="213"/>
      <c r="AE2585" s="213"/>
      <c r="AF2585" s="213"/>
      <c r="AG2585" s="213"/>
      <c r="AH2585" s="213"/>
      <c r="AI2585" s="213"/>
      <c r="AJ2585" s="213"/>
      <c r="AK2585" s="213"/>
      <c r="AL2585" s="213"/>
      <c r="AM2585" s="213"/>
      <c r="AN2585" s="213"/>
      <c r="AO2585" s="213"/>
      <c r="AP2585" s="213"/>
      <c r="AQ2585" s="213"/>
      <c r="AR2585" s="213"/>
      <c r="AS2585" s="213"/>
      <c r="AT2585" s="213"/>
      <c r="AU2585" s="213"/>
      <c r="AV2585" s="213"/>
      <c r="AW2585" s="213"/>
      <c r="AX2585" s="213"/>
      <c r="AY2585" s="213"/>
      <c r="AZ2585" s="213"/>
      <c r="BA2585" s="213"/>
      <c r="BB2585" s="213"/>
      <c r="BC2585" s="213"/>
      <c r="BD2585" s="213"/>
    </row>
    <row r="2586">
      <c r="A2586" s="213">
        <f>IFERROR(__xludf.DUMMYFUNCTION("""COMPUTED_VALUE"""),1755.0)</f>
        <v>1755</v>
      </c>
      <c r="B2586" s="213" t="str">
        <f>IFERROR(__xludf.DUMMYFUNCTION("""COMPUTED_VALUE"""),"GUILLERMO E. BILLINGHURST ")</f>
        <v>GUILLERMO E. BILLINGHURST </v>
      </c>
      <c r="C2586" s="213" t="str">
        <f>IFERROR(__xludf.DUMMYFUNCTION("""COMPUTED_VALUE"""),"TALLER SFT DE COMPUTACIÓN E INFORMÁTICA")</f>
        <v>TALLER SFT DE COMPUTACIÓN E INFORMÁTICA</v>
      </c>
      <c r="D2586" s="213" t="str">
        <f>IFERROR(__xludf.DUMMYFUNCTION("""COMPUTED_VALUE"""),"PEDAGOGICO")</f>
        <v>PEDAGOGICO</v>
      </c>
      <c r="E2586" s="213" t="str">
        <f>IFERROR(__xludf.DUMMYFUNCTION("""COMPUTED_VALUE"""),"-")</f>
        <v>-</v>
      </c>
      <c r="F2586" s="213" t="str">
        <f>IFERROR(__xludf.DUMMYFUNCTION("""COMPUTED_VALUE"""),"USB-COMP")</f>
        <v>USB-COMP</v>
      </c>
      <c r="G2586" s="213"/>
      <c r="H2586" s="213" t="str">
        <f>IFERROR(__xludf.DUMMYFUNCTION("""COMPUTED_VALUE"""),"USB CON MATERIAL PARA LA CAPACITACIÓN")</f>
        <v>USB CON MATERIAL PARA LA CAPACITACIÓN</v>
      </c>
      <c r="I2586" s="213"/>
      <c r="J2586" s="213">
        <f>IFERROR(__xludf.DUMMYFUNCTION("""COMPUTED_VALUE"""),3.0)</f>
        <v>3</v>
      </c>
      <c r="K2586" s="213" t="str">
        <f>IFERROR(__xludf.DUMMYFUNCTION("""COMPUTED_VALUE"""),"170 DÍAS CALENDARIO")</f>
        <v>170 DÍAS CALENDARIO</v>
      </c>
      <c r="L2586" s="213" t="str">
        <f>IFERROR(__xludf.DUMMYFUNCTION("""COMPUTED_VALUE"""),"")</f>
        <v/>
      </c>
      <c r="M2586" s="213">
        <f>IFERROR(__xludf.DUMMYFUNCTION("""COMPUTED_VALUE"""),1.0)</f>
        <v>1</v>
      </c>
      <c r="N2586" s="213">
        <f>IFERROR(__xludf.DUMMYFUNCTION("""COMPUTED_VALUE"""),4.0)</f>
        <v>4</v>
      </c>
      <c r="O2586" s="213">
        <f>IFERROR(__xludf.DUMMYFUNCTION("""COMPUTED_VALUE"""),4.0)</f>
        <v>4</v>
      </c>
      <c r="P2586" s="213"/>
      <c r="Q2586" s="213"/>
      <c r="R2586" s="213"/>
      <c r="S2586" s="213"/>
      <c r="T2586" s="213"/>
      <c r="U2586" s="213"/>
      <c r="V2586" s="213"/>
      <c r="W2586" s="213"/>
      <c r="X2586" s="213"/>
      <c r="Y2586" s="213"/>
      <c r="Z2586" s="213"/>
      <c r="AA2586" s="213"/>
      <c r="AB2586" s="213"/>
      <c r="AC2586" s="213"/>
      <c r="AD2586" s="213"/>
      <c r="AE2586" s="213"/>
      <c r="AF2586" s="213"/>
      <c r="AG2586" s="213"/>
      <c r="AH2586" s="213"/>
      <c r="AI2586" s="213"/>
      <c r="AJ2586" s="213"/>
      <c r="AK2586" s="213"/>
      <c r="AL2586" s="213"/>
      <c r="AM2586" s="213"/>
      <c r="AN2586" s="213"/>
      <c r="AO2586" s="213"/>
      <c r="AP2586" s="213"/>
      <c r="AQ2586" s="213"/>
      <c r="AR2586" s="213"/>
      <c r="AS2586" s="213"/>
      <c r="AT2586" s="213"/>
      <c r="AU2586" s="213"/>
      <c r="AV2586" s="213"/>
      <c r="AW2586" s="213"/>
      <c r="AX2586" s="213"/>
      <c r="AY2586" s="213"/>
      <c r="AZ2586" s="213"/>
      <c r="BA2586" s="213"/>
      <c r="BB2586" s="213"/>
      <c r="BC2586" s="213"/>
      <c r="BD2586" s="213"/>
    </row>
    <row r="2587">
      <c r="A2587" s="213">
        <f>IFERROR(__xludf.DUMMYFUNCTION("""COMPUTED_VALUE"""),1910.0)</f>
        <v>1910</v>
      </c>
      <c r="B2587" s="213" t="str">
        <f>IFERROR(__xludf.DUMMYFUNCTION("""COMPUTED_VALUE"""),"GUILLERMO E. BILLINGHURST ")</f>
        <v>GUILLERMO E. BILLINGHURST </v>
      </c>
      <c r="C2587" s="213" t="str">
        <f>IFERROR(__xludf.DUMMYFUNCTION("""COMPUTED_VALUE"""),"TALLER SFT DE EBANISTERÍA")</f>
        <v>TALLER SFT DE EBANISTERÍA</v>
      </c>
      <c r="D2587" s="213" t="str">
        <f>IFERROR(__xludf.DUMMYFUNCTION("""COMPUTED_VALUE"""),"PEDAGOGICO")</f>
        <v>PEDAGOGICO</v>
      </c>
      <c r="E2587" s="213" t="str">
        <f>IFERROR(__xludf.DUMMYFUNCTION("""COMPUTED_VALUE"""),"-")</f>
        <v>-</v>
      </c>
      <c r="F2587" s="213" t="str">
        <f>IFERROR(__xludf.DUMMYFUNCTION("""COMPUTED_VALUE"""),"USB-EBA")</f>
        <v>USB-EBA</v>
      </c>
      <c r="G2587" s="213"/>
      <c r="H2587" s="213" t="str">
        <f>IFERROR(__xludf.DUMMYFUNCTION("""COMPUTED_VALUE"""),"USB CON MATERIAL PARA LA CAPACITACIÓN")</f>
        <v>USB CON MATERIAL PARA LA CAPACITACIÓN</v>
      </c>
      <c r="I2587" s="213"/>
      <c r="J2587" s="213">
        <f>IFERROR(__xludf.DUMMYFUNCTION("""COMPUTED_VALUE"""),3.0)</f>
        <v>3</v>
      </c>
      <c r="K2587" s="213" t="str">
        <f>IFERROR(__xludf.DUMMYFUNCTION("""COMPUTED_VALUE"""),"170 DÍAS CALENDARIO")</f>
        <v>170 DÍAS CALENDARIO</v>
      </c>
      <c r="L2587" s="213" t="str">
        <f>IFERROR(__xludf.DUMMYFUNCTION("""COMPUTED_VALUE"""),"")</f>
        <v/>
      </c>
      <c r="M2587" s="213">
        <f>IFERROR(__xludf.DUMMYFUNCTION("""COMPUTED_VALUE"""),1.0)</f>
        <v>1</v>
      </c>
      <c r="N2587" s="213">
        <f>IFERROR(__xludf.DUMMYFUNCTION("""COMPUTED_VALUE"""),4.0)</f>
        <v>4</v>
      </c>
      <c r="O2587" s="213">
        <f>IFERROR(__xludf.DUMMYFUNCTION("""COMPUTED_VALUE"""),4.0)</f>
        <v>4</v>
      </c>
      <c r="P2587" s="213"/>
      <c r="Q2587" s="213"/>
      <c r="R2587" s="213"/>
      <c r="S2587" s="213"/>
      <c r="T2587" s="213"/>
      <c r="U2587" s="213"/>
      <c r="V2587" s="213"/>
      <c r="W2587" s="213"/>
      <c r="X2587" s="213"/>
      <c r="Y2587" s="213"/>
      <c r="Z2587" s="213"/>
      <c r="AA2587" s="213"/>
      <c r="AB2587" s="213"/>
      <c r="AC2587" s="213"/>
      <c r="AD2587" s="213"/>
      <c r="AE2587" s="213"/>
      <c r="AF2587" s="213"/>
      <c r="AG2587" s="213"/>
      <c r="AH2587" s="213"/>
      <c r="AI2587" s="213"/>
      <c r="AJ2587" s="213"/>
      <c r="AK2587" s="213"/>
      <c r="AL2587" s="213"/>
      <c r="AM2587" s="213"/>
      <c r="AN2587" s="213"/>
      <c r="AO2587" s="213"/>
      <c r="AP2587" s="213"/>
      <c r="AQ2587" s="213"/>
      <c r="AR2587" s="213"/>
      <c r="AS2587" s="213"/>
      <c r="AT2587" s="213"/>
      <c r="AU2587" s="213"/>
      <c r="AV2587" s="213"/>
      <c r="AW2587" s="213"/>
      <c r="AX2587" s="213"/>
      <c r="AY2587" s="213"/>
      <c r="AZ2587" s="213"/>
      <c r="BA2587" s="213"/>
      <c r="BB2587" s="213"/>
      <c r="BC2587" s="213"/>
      <c r="BD2587" s="213"/>
    </row>
    <row r="2588">
      <c r="A2588" s="213">
        <f>IFERROR(__xludf.DUMMYFUNCTION("""COMPUTED_VALUE"""),2006.0)</f>
        <v>2006</v>
      </c>
      <c r="B2588" s="213" t="str">
        <f>IFERROR(__xludf.DUMMYFUNCTION("""COMPUTED_VALUE"""),"JOSE GRANDA")</f>
        <v>JOSE GRANDA</v>
      </c>
      <c r="C2588" s="213" t="str">
        <f>IFERROR(__xludf.DUMMYFUNCTION("""COMPUTED_VALUE"""),"TALLER SFT DE COMPUTACIÓN E INFORMÁTICA")</f>
        <v>TALLER SFT DE COMPUTACIÓN E INFORMÁTICA</v>
      </c>
      <c r="D2588" s="213" t="str">
        <f>IFERROR(__xludf.DUMMYFUNCTION("""COMPUTED_VALUE"""),"PEDAGOGICO")</f>
        <v>PEDAGOGICO</v>
      </c>
      <c r="E2588" s="213" t="str">
        <f>IFERROR(__xludf.DUMMYFUNCTION("""COMPUTED_VALUE"""),"-")</f>
        <v>-</v>
      </c>
      <c r="F2588" s="213" t="str">
        <f>IFERROR(__xludf.DUMMYFUNCTION("""COMPUTED_VALUE"""),"USB-COMP")</f>
        <v>USB-COMP</v>
      </c>
      <c r="G2588" s="213"/>
      <c r="H2588" s="213" t="str">
        <f>IFERROR(__xludf.DUMMYFUNCTION("""COMPUTED_VALUE"""),"USB CON MATERIAL PARA LA CAPACITACIÓN")</f>
        <v>USB CON MATERIAL PARA LA CAPACITACIÓN</v>
      </c>
      <c r="I2588" s="213"/>
      <c r="J2588" s="213">
        <f>IFERROR(__xludf.DUMMYFUNCTION("""COMPUTED_VALUE"""),3.0)</f>
        <v>3</v>
      </c>
      <c r="K2588" s="213" t="str">
        <f>IFERROR(__xludf.DUMMYFUNCTION("""COMPUTED_VALUE"""),"170 DÍAS CALENDARIO")</f>
        <v>170 DÍAS CALENDARIO</v>
      </c>
      <c r="L2588" s="213" t="str">
        <f>IFERROR(__xludf.DUMMYFUNCTION("""COMPUTED_VALUE"""),"")</f>
        <v/>
      </c>
      <c r="M2588" s="213">
        <f>IFERROR(__xludf.DUMMYFUNCTION("""COMPUTED_VALUE"""),1.0)</f>
        <v>1</v>
      </c>
      <c r="N2588" s="213">
        <f>IFERROR(__xludf.DUMMYFUNCTION("""COMPUTED_VALUE"""),4.0)</f>
        <v>4</v>
      </c>
      <c r="O2588" s="213">
        <f>IFERROR(__xludf.DUMMYFUNCTION("""COMPUTED_VALUE"""),4.0)</f>
        <v>4</v>
      </c>
      <c r="P2588" s="213"/>
      <c r="Q2588" s="213"/>
      <c r="R2588" s="213"/>
      <c r="S2588" s="213"/>
      <c r="T2588" s="213"/>
      <c r="U2588" s="213"/>
      <c r="V2588" s="213"/>
      <c r="W2588" s="213"/>
      <c r="X2588" s="213"/>
      <c r="Y2588" s="213"/>
      <c r="Z2588" s="213"/>
      <c r="AA2588" s="213"/>
      <c r="AB2588" s="213"/>
      <c r="AC2588" s="213"/>
      <c r="AD2588" s="213"/>
      <c r="AE2588" s="213"/>
      <c r="AF2588" s="213"/>
      <c r="AG2588" s="213"/>
      <c r="AH2588" s="213"/>
      <c r="AI2588" s="213"/>
      <c r="AJ2588" s="213"/>
      <c r="AK2588" s="213"/>
      <c r="AL2588" s="213"/>
      <c r="AM2588" s="213"/>
      <c r="AN2588" s="213"/>
      <c r="AO2588" s="213"/>
      <c r="AP2588" s="213"/>
      <c r="AQ2588" s="213"/>
      <c r="AR2588" s="213"/>
      <c r="AS2588" s="213"/>
      <c r="AT2588" s="213"/>
      <c r="AU2588" s="213"/>
      <c r="AV2588" s="213"/>
      <c r="AW2588" s="213"/>
      <c r="AX2588" s="213"/>
      <c r="AY2588" s="213"/>
      <c r="AZ2588" s="213"/>
      <c r="BA2588" s="213"/>
      <c r="BB2588" s="213"/>
      <c r="BC2588" s="213"/>
      <c r="BD2588" s="213"/>
    </row>
    <row r="2589">
      <c r="A2589" s="213">
        <f>IFERROR(__xludf.DUMMYFUNCTION("""COMPUTED_VALUE"""),2197.0)</f>
        <v>2197</v>
      </c>
      <c r="B2589" s="213" t="str">
        <f>IFERROR(__xludf.DUMMYFUNCTION("""COMPUTED_VALUE"""),"JOSE GRANDA")</f>
        <v>JOSE GRANDA</v>
      </c>
      <c r="C2589" s="213" t="str">
        <f>IFERROR(__xludf.DUMMYFUNCTION("""COMPUTED_VALUE"""),"TALLER SFT DE INDUSTRIA ALIMENTARIA")</f>
        <v>TALLER SFT DE INDUSTRIA ALIMENTARIA</v>
      </c>
      <c r="D2589" s="213" t="str">
        <f>IFERROR(__xludf.DUMMYFUNCTION("""COMPUTED_VALUE"""),"PEDAGOGICO")</f>
        <v>PEDAGOGICO</v>
      </c>
      <c r="E2589" s="213" t="str">
        <f>IFERROR(__xludf.DUMMYFUNCTION("""COMPUTED_VALUE"""),"-")</f>
        <v>-</v>
      </c>
      <c r="F2589" s="213" t="str">
        <f>IFERROR(__xludf.DUMMYFUNCTION("""COMPUTED_VALUE"""),"USB-ALI")</f>
        <v>USB-ALI</v>
      </c>
      <c r="G2589" s="213"/>
      <c r="H2589" s="213" t="str">
        <f>IFERROR(__xludf.DUMMYFUNCTION("""COMPUTED_VALUE"""),"USB CON MATERIAL PARA LA CAPACITACIÓN")</f>
        <v>USB CON MATERIAL PARA LA CAPACITACIÓN</v>
      </c>
      <c r="I2589" s="213"/>
      <c r="J2589" s="213">
        <f>IFERROR(__xludf.DUMMYFUNCTION("""COMPUTED_VALUE"""),3.0)</f>
        <v>3</v>
      </c>
      <c r="K2589" s="213" t="str">
        <f>IFERROR(__xludf.DUMMYFUNCTION("""COMPUTED_VALUE"""),"170 DÍAS CALENDARIO")</f>
        <v>170 DÍAS CALENDARIO</v>
      </c>
      <c r="L2589" s="213" t="str">
        <f>IFERROR(__xludf.DUMMYFUNCTION("""COMPUTED_VALUE"""),"")</f>
        <v/>
      </c>
      <c r="M2589" s="213">
        <f>IFERROR(__xludf.DUMMYFUNCTION("""COMPUTED_VALUE"""),1.0)</f>
        <v>1</v>
      </c>
      <c r="N2589" s="213">
        <f>IFERROR(__xludf.DUMMYFUNCTION("""COMPUTED_VALUE"""),4.0)</f>
        <v>4</v>
      </c>
      <c r="O2589" s="213">
        <f>IFERROR(__xludf.DUMMYFUNCTION("""COMPUTED_VALUE"""),4.0)</f>
        <v>4</v>
      </c>
      <c r="P2589" s="213"/>
      <c r="Q2589" s="213"/>
      <c r="R2589" s="213"/>
      <c r="S2589" s="213"/>
      <c r="T2589" s="213"/>
      <c r="U2589" s="213"/>
      <c r="V2589" s="213"/>
      <c r="W2589" s="213"/>
      <c r="X2589" s="213"/>
      <c r="Y2589" s="213"/>
      <c r="Z2589" s="213"/>
      <c r="AA2589" s="213"/>
      <c r="AB2589" s="213"/>
      <c r="AC2589" s="213"/>
      <c r="AD2589" s="213"/>
      <c r="AE2589" s="213"/>
      <c r="AF2589" s="213"/>
      <c r="AG2589" s="213"/>
      <c r="AH2589" s="213"/>
      <c r="AI2589" s="213"/>
      <c r="AJ2589" s="213"/>
      <c r="AK2589" s="213"/>
      <c r="AL2589" s="213"/>
      <c r="AM2589" s="213"/>
      <c r="AN2589" s="213"/>
      <c r="AO2589" s="213"/>
      <c r="AP2589" s="213"/>
      <c r="AQ2589" s="213"/>
      <c r="AR2589" s="213"/>
      <c r="AS2589" s="213"/>
      <c r="AT2589" s="213"/>
      <c r="AU2589" s="213"/>
      <c r="AV2589" s="213"/>
      <c r="AW2589" s="213"/>
      <c r="AX2589" s="213"/>
      <c r="AY2589" s="213"/>
      <c r="AZ2589" s="213"/>
      <c r="BA2589" s="213"/>
      <c r="BB2589" s="213"/>
      <c r="BC2589" s="213"/>
      <c r="BD2589" s="213"/>
    </row>
    <row r="2590">
      <c r="A2590" s="213">
        <f>IFERROR(__xludf.DUMMYFUNCTION("""COMPUTED_VALUE"""),2350.0)</f>
        <v>2350</v>
      </c>
      <c r="B2590" s="213" t="str">
        <f>IFERROR(__xludf.DUMMYFUNCTION("""COMPUTED_VALUE"""),"JOSE GRANDA")</f>
        <v>JOSE GRANDA</v>
      </c>
      <c r="C2590" s="213" t="str">
        <f>IFERROR(__xludf.DUMMYFUNCTION("""COMPUTED_VALUE"""),"TALLER SFT DE MECÁNICA AUTOMOTRIZ")</f>
        <v>TALLER SFT DE MECÁNICA AUTOMOTRIZ</v>
      </c>
      <c r="D2590" s="213" t="str">
        <f>IFERROR(__xludf.DUMMYFUNCTION("""COMPUTED_VALUE"""),"PEDAGOGICO")</f>
        <v>PEDAGOGICO</v>
      </c>
      <c r="E2590" s="213" t="str">
        <f>IFERROR(__xludf.DUMMYFUNCTION("""COMPUTED_VALUE"""),"-")</f>
        <v>-</v>
      </c>
      <c r="F2590" s="213" t="str">
        <f>IFERROR(__xludf.DUMMYFUNCTION("""COMPUTED_VALUE"""),"USB-AUTO")</f>
        <v>USB-AUTO</v>
      </c>
      <c r="G2590" s="213"/>
      <c r="H2590" s="213" t="str">
        <f>IFERROR(__xludf.DUMMYFUNCTION("""COMPUTED_VALUE"""),"USB CON MATERIAL PARA LA CAPACITACIÓN")</f>
        <v>USB CON MATERIAL PARA LA CAPACITACIÓN</v>
      </c>
      <c r="I2590" s="213"/>
      <c r="J2590" s="213">
        <f>IFERROR(__xludf.DUMMYFUNCTION("""COMPUTED_VALUE"""),3.0)</f>
        <v>3</v>
      </c>
      <c r="K2590" s="213" t="str">
        <f>IFERROR(__xludf.DUMMYFUNCTION("""COMPUTED_VALUE"""),"170 DÍAS CALENDARIO")</f>
        <v>170 DÍAS CALENDARIO</v>
      </c>
      <c r="L2590" s="213" t="str">
        <f>IFERROR(__xludf.DUMMYFUNCTION("""COMPUTED_VALUE"""),"")</f>
        <v/>
      </c>
      <c r="M2590" s="213">
        <f>IFERROR(__xludf.DUMMYFUNCTION("""COMPUTED_VALUE"""),1.0)</f>
        <v>1</v>
      </c>
      <c r="N2590" s="213">
        <f>IFERROR(__xludf.DUMMYFUNCTION("""COMPUTED_VALUE"""),4.0)</f>
        <v>4</v>
      </c>
      <c r="O2590" s="213">
        <f>IFERROR(__xludf.DUMMYFUNCTION("""COMPUTED_VALUE"""),4.0)</f>
        <v>4</v>
      </c>
      <c r="P2590" s="213"/>
      <c r="Q2590" s="213"/>
      <c r="R2590" s="213"/>
      <c r="S2590" s="213"/>
      <c r="T2590" s="213"/>
      <c r="U2590" s="213"/>
      <c r="V2590" s="213"/>
      <c r="W2590" s="213"/>
      <c r="X2590" s="213"/>
      <c r="Y2590" s="213"/>
      <c r="Z2590" s="213"/>
      <c r="AA2590" s="213"/>
      <c r="AB2590" s="213"/>
      <c r="AC2590" s="213"/>
      <c r="AD2590" s="213"/>
      <c r="AE2590" s="213"/>
      <c r="AF2590" s="213"/>
      <c r="AG2590" s="213"/>
      <c r="AH2590" s="213"/>
      <c r="AI2590" s="213"/>
      <c r="AJ2590" s="213"/>
      <c r="AK2590" s="213"/>
      <c r="AL2590" s="213"/>
      <c r="AM2590" s="213"/>
      <c r="AN2590" s="213"/>
      <c r="AO2590" s="213"/>
      <c r="AP2590" s="213"/>
      <c r="AQ2590" s="213"/>
      <c r="AR2590" s="213"/>
      <c r="AS2590" s="213"/>
      <c r="AT2590" s="213"/>
      <c r="AU2590" s="213"/>
      <c r="AV2590" s="213"/>
      <c r="AW2590" s="213"/>
      <c r="AX2590" s="213"/>
      <c r="AY2590" s="213"/>
      <c r="AZ2590" s="213"/>
      <c r="BA2590" s="213"/>
      <c r="BB2590" s="213"/>
      <c r="BC2590" s="213"/>
      <c r="BD2590" s="213"/>
    </row>
    <row r="2591">
      <c r="A2591" s="213">
        <f>IFERROR(__xludf.DUMMYFUNCTION("""COMPUTED_VALUE"""),2454.0)</f>
        <v>2454</v>
      </c>
      <c r="B2591" s="213" t="str">
        <f>IFERROR(__xludf.DUMMYFUNCTION("""COMPUTED_VALUE"""),"MANUEL ANTONIO MESONES MURO")</f>
        <v>MANUEL ANTONIO MESONES MURO</v>
      </c>
      <c r="C2591" s="213" t="str">
        <f>IFERROR(__xludf.DUMMYFUNCTION("""COMPUTED_VALUE"""),"TALLER SFT DE INDUSTRIA DEL VESTIDO")</f>
        <v>TALLER SFT DE INDUSTRIA DEL VESTIDO</v>
      </c>
      <c r="D2591" s="213" t="str">
        <f>IFERROR(__xludf.DUMMYFUNCTION("""COMPUTED_VALUE"""),"PEDAGOGICO")</f>
        <v>PEDAGOGICO</v>
      </c>
      <c r="E2591" s="213" t="str">
        <f>IFERROR(__xludf.DUMMYFUNCTION("""COMPUTED_VALUE"""),"-")</f>
        <v>-</v>
      </c>
      <c r="F2591" s="213" t="str">
        <f>IFERROR(__xludf.DUMMYFUNCTION("""COMPUTED_VALUE"""),"USB-VEST")</f>
        <v>USB-VEST</v>
      </c>
      <c r="G2591" s="213"/>
      <c r="H2591" s="213" t="str">
        <f>IFERROR(__xludf.DUMMYFUNCTION("""COMPUTED_VALUE"""),"USB CON MATERIAL PARA LA CAPACITACIÓN")</f>
        <v>USB CON MATERIAL PARA LA CAPACITACIÓN</v>
      </c>
      <c r="I2591" s="213"/>
      <c r="J2591" s="213">
        <f>IFERROR(__xludf.DUMMYFUNCTION("""COMPUTED_VALUE"""),3.0)</f>
        <v>3</v>
      </c>
      <c r="K2591" s="213" t="str">
        <f>IFERROR(__xludf.DUMMYFUNCTION("""COMPUTED_VALUE"""),"170 DÍAS CALENDARIO")</f>
        <v>170 DÍAS CALENDARIO</v>
      </c>
      <c r="L2591" s="213" t="str">
        <f>IFERROR(__xludf.DUMMYFUNCTION("""COMPUTED_VALUE"""),"")</f>
        <v/>
      </c>
      <c r="M2591" s="213">
        <f>IFERROR(__xludf.DUMMYFUNCTION("""COMPUTED_VALUE"""),1.0)</f>
        <v>1</v>
      </c>
      <c r="N2591" s="213">
        <f>IFERROR(__xludf.DUMMYFUNCTION("""COMPUTED_VALUE"""),4.0)</f>
        <v>4</v>
      </c>
      <c r="O2591" s="213">
        <f>IFERROR(__xludf.DUMMYFUNCTION("""COMPUTED_VALUE"""),4.0)</f>
        <v>4</v>
      </c>
      <c r="P2591" s="213"/>
      <c r="Q2591" s="213"/>
      <c r="R2591" s="213"/>
      <c r="S2591" s="213"/>
      <c r="T2591" s="213"/>
      <c r="U2591" s="213"/>
      <c r="V2591" s="213"/>
      <c r="W2591" s="213"/>
      <c r="X2591" s="213"/>
      <c r="Y2591" s="213"/>
      <c r="Z2591" s="213"/>
      <c r="AA2591" s="213"/>
      <c r="AB2591" s="213"/>
      <c r="AC2591" s="213"/>
      <c r="AD2591" s="213"/>
      <c r="AE2591" s="213"/>
      <c r="AF2591" s="213"/>
      <c r="AG2591" s="213"/>
      <c r="AH2591" s="213"/>
      <c r="AI2591" s="213"/>
      <c r="AJ2591" s="213"/>
      <c r="AK2591" s="213"/>
      <c r="AL2591" s="213"/>
      <c r="AM2591" s="213"/>
      <c r="AN2591" s="213"/>
      <c r="AO2591" s="213"/>
      <c r="AP2591" s="213"/>
      <c r="AQ2591" s="213"/>
      <c r="AR2591" s="213"/>
      <c r="AS2591" s="213"/>
      <c r="AT2591" s="213"/>
      <c r="AU2591" s="213"/>
      <c r="AV2591" s="213"/>
      <c r="AW2591" s="213"/>
      <c r="AX2591" s="213"/>
      <c r="AY2591" s="213"/>
      <c r="AZ2591" s="213"/>
      <c r="BA2591" s="213"/>
      <c r="BB2591" s="213"/>
      <c r="BC2591" s="213"/>
      <c r="BD2591" s="213"/>
    </row>
    <row r="2592">
      <c r="A2592" s="213">
        <f>IFERROR(__xludf.DUMMYFUNCTION("""COMPUTED_VALUE"""),2531.0)</f>
        <v>2531</v>
      </c>
      <c r="B2592" s="213" t="str">
        <f>IFERROR(__xludf.DUMMYFUNCTION("""COMPUTED_VALUE"""),"MANUEL ANTONIO MESONES MURO")</f>
        <v>MANUEL ANTONIO MESONES MURO</v>
      </c>
      <c r="C2592" s="213" t="str">
        <f>IFERROR(__xludf.DUMMYFUNCTION("""COMPUTED_VALUE"""),"TALLER SFT DE CONSTRUCCIONES METÁLICAS")</f>
        <v>TALLER SFT DE CONSTRUCCIONES METÁLICAS</v>
      </c>
      <c r="D2592" s="213" t="str">
        <f>IFERROR(__xludf.DUMMYFUNCTION("""COMPUTED_VALUE"""),"PEDAGOGICO")</f>
        <v>PEDAGOGICO</v>
      </c>
      <c r="E2592" s="213" t="str">
        <f>IFERROR(__xludf.DUMMYFUNCTION("""COMPUTED_VALUE"""),"MAT-476")</f>
        <v>MAT-476</v>
      </c>
      <c r="F2592" s="213" t="str">
        <f>IFERROR(__xludf.DUMMYFUNCTION("""COMPUTED_VALUE"""),"MAT-476")</f>
        <v>MAT-476</v>
      </c>
      <c r="G2592" s="213"/>
      <c r="H2592" s="213" t="str">
        <f>IFERROR(__xludf.DUMMYFUNCTION("""COMPUTED_VALUE"""),"Video tutorial del proceso de acabado utilizando compresora y pistola de pintar grabado en USB")</f>
        <v>Video tutorial del proceso de acabado utilizando compresora y pistola de pintar grabado en USB</v>
      </c>
      <c r="I2592" s="213" t="str">
        <f>IFERROR(__xludf.DUMMYFUNCTION("""COMPUTED_VALUE"""),"·  El USB tiene la capacidad de mínimo 32 GB, para almacenar los videos sobre procesos de acabado utilizando compresora y pistola de pintar,
Calidad física
- Video grabado USB tiene 3 tipos de conectores: para conectarse con la PC, Tablet y móvil (conecto"&amp;"r USB 3.0, conector micro USB, conector tipo C),  o en su defecto se proporciona adicionalmente un conector (cable) con las 3 posibles conexiones.
- Video grabado en formato MP4 / AVI, en alta resolución 4K o HD.
.  El USB está contenido en un estuche de "&amp;"plástico transparente o similar.
· El USB es compatible con iPhone/Android/Windows.")</f>
        <v>·  El USB tiene la capacidad de mínimo 32 GB, para almacenar los videos sobre procesos de acabado utilizando compresora y pistola de pintar,
Calidad física
- Video grabado USB tiene 3 tipos de conectores: para conectarse con la PC, Tablet y móvil (conector USB 3.0, conector micro USB, conector tipo C),  o en su defecto se proporciona adicionalmente un conector (cable) con las 3 posibles conexiones.
- Video grabado en formato MP4 / AVI, en alta resolución 4K o HD.
.  El USB está contenido en un estuche de plástico transparente o similar.
· El USB es compatible con iPhone/Android/Windows.</v>
      </c>
      <c r="J2592" s="213">
        <f>IFERROR(__xludf.DUMMYFUNCTION("""COMPUTED_VALUE"""),3.0)</f>
        <v>3</v>
      </c>
      <c r="K2592" s="213" t="str">
        <f>IFERROR(__xludf.DUMMYFUNCTION("""COMPUTED_VALUE"""),"170 DÍAS CALENDARIO")</f>
        <v>170 DÍAS CALENDARIO</v>
      </c>
      <c r="L2592" s="213" t="str">
        <f>IFERROR(__xludf.DUMMYFUNCTION("""COMPUTED_VALUE"""),"")</f>
        <v/>
      </c>
      <c r="M2592" s="213">
        <f>IFERROR(__xludf.DUMMYFUNCTION("""COMPUTED_VALUE"""),1.0)</f>
        <v>1</v>
      </c>
      <c r="N2592" s="213">
        <f>IFERROR(__xludf.DUMMYFUNCTION("""COMPUTED_VALUE"""),1.0)</f>
        <v>1</v>
      </c>
      <c r="O2592" s="213">
        <f>IFERROR(__xludf.DUMMYFUNCTION("""COMPUTED_VALUE"""),1.0)</f>
        <v>1</v>
      </c>
      <c r="P2592" s="213"/>
      <c r="Q2592" s="213"/>
      <c r="R2592" s="213"/>
      <c r="S2592" s="213"/>
      <c r="T2592" s="213"/>
      <c r="U2592" s="213"/>
      <c r="V2592" s="213"/>
      <c r="W2592" s="213"/>
      <c r="X2592" s="213"/>
      <c r="Y2592" s="213"/>
      <c r="Z2592" s="213"/>
      <c r="AA2592" s="213"/>
      <c r="AB2592" s="213"/>
      <c r="AC2592" s="213"/>
      <c r="AD2592" s="213"/>
      <c r="AE2592" s="213"/>
      <c r="AF2592" s="213"/>
      <c r="AG2592" s="213"/>
      <c r="AH2592" s="213"/>
      <c r="AI2592" s="213"/>
      <c r="AJ2592" s="213"/>
      <c r="AK2592" s="213"/>
      <c r="AL2592" s="213"/>
      <c r="AM2592" s="213"/>
      <c r="AN2592" s="213"/>
      <c r="AO2592" s="213"/>
      <c r="AP2592" s="213"/>
      <c r="AQ2592" s="213"/>
      <c r="AR2592" s="213"/>
      <c r="AS2592" s="213"/>
      <c r="AT2592" s="213"/>
      <c r="AU2592" s="213"/>
      <c r="AV2592" s="213"/>
      <c r="AW2592" s="213"/>
      <c r="AX2592" s="213"/>
      <c r="AY2592" s="213"/>
      <c r="AZ2592" s="213"/>
      <c r="BA2592" s="213"/>
      <c r="BB2592" s="213"/>
      <c r="BC2592" s="213"/>
      <c r="BD2592" s="213"/>
    </row>
    <row r="2593">
      <c r="A2593" s="213">
        <f>IFERROR(__xludf.DUMMYFUNCTION("""COMPUTED_VALUE"""),2691.0)</f>
        <v>2691</v>
      </c>
      <c r="B2593" s="213" t="str">
        <f>IFERROR(__xludf.DUMMYFUNCTION("""COMPUTED_VALUE"""),"MANUEL ANTONIO MESONES MURO")</f>
        <v>MANUEL ANTONIO MESONES MURO</v>
      </c>
      <c r="C2593" s="213" t="str">
        <f>IFERROR(__xludf.DUMMYFUNCTION("""COMPUTED_VALUE"""),"TALLER SFT DE EBANISTERÍA")</f>
        <v>TALLER SFT DE EBANISTERÍA</v>
      </c>
      <c r="D2593" s="213" t="str">
        <f>IFERROR(__xludf.DUMMYFUNCTION("""COMPUTED_VALUE"""),"PEDAGOGICO")</f>
        <v>PEDAGOGICO</v>
      </c>
      <c r="E2593" s="213" t="str">
        <f>IFERROR(__xludf.DUMMYFUNCTION("""COMPUTED_VALUE"""),"-")</f>
        <v>-</v>
      </c>
      <c r="F2593" s="213" t="str">
        <f>IFERROR(__xludf.DUMMYFUNCTION("""COMPUTED_VALUE"""),"USB-EBA")</f>
        <v>USB-EBA</v>
      </c>
      <c r="G2593" s="213"/>
      <c r="H2593" s="213" t="str">
        <f>IFERROR(__xludf.DUMMYFUNCTION("""COMPUTED_VALUE"""),"USB CON MATERIAL PARA LA CAPACITACIÓN")</f>
        <v>USB CON MATERIAL PARA LA CAPACITACIÓN</v>
      </c>
      <c r="I2593" s="213"/>
      <c r="J2593" s="213">
        <f>IFERROR(__xludf.DUMMYFUNCTION("""COMPUTED_VALUE"""),3.0)</f>
        <v>3</v>
      </c>
      <c r="K2593" s="213" t="str">
        <f>IFERROR(__xludf.DUMMYFUNCTION("""COMPUTED_VALUE"""),"170 DÍAS CALENDARIO")</f>
        <v>170 DÍAS CALENDARIO</v>
      </c>
      <c r="L2593" s="213" t="str">
        <f>IFERROR(__xludf.DUMMYFUNCTION("""COMPUTED_VALUE"""),"")</f>
        <v/>
      </c>
      <c r="M2593" s="213">
        <f>IFERROR(__xludf.DUMMYFUNCTION("""COMPUTED_VALUE"""),1.0)</f>
        <v>1</v>
      </c>
      <c r="N2593" s="213">
        <f>IFERROR(__xludf.DUMMYFUNCTION("""COMPUTED_VALUE"""),4.0)</f>
        <v>4</v>
      </c>
      <c r="O2593" s="213">
        <f>IFERROR(__xludf.DUMMYFUNCTION("""COMPUTED_VALUE"""),4.0)</f>
        <v>4</v>
      </c>
      <c r="P2593" s="213"/>
      <c r="Q2593" s="213"/>
      <c r="R2593" s="213"/>
      <c r="S2593" s="213"/>
      <c r="T2593" s="213"/>
      <c r="U2593" s="213"/>
      <c r="V2593" s="213"/>
      <c r="W2593" s="213"/>
      <c r="X2593" s="213"/>
      <c r="Y2593" s="213"/>
      <c r="Z2593" s="213"/>
      <c r="AA2593" s="213"/>
      <c r="AB2593" s="213"/>
      <c r="AC2593" s="213"/>
      <c r="AD2593" s="213"/>
      <c r="AE2593" s="213"/>
      <c r="AF2593" s="213"/>
      <c r="AG2593" s="213"/>
      <c r="AH2593" s="213"/>
      <c r="AI2593" s="213"/>
      <c r="AJ2593" s="213"/>
      <c r="AK2593" s="213"/>
      <c r="AL2593" s="213"/>
      <c r="AM2593" s="213"/>
      <c r="AN2593" s="213"/>
      <c r="AO2593" s="213"/>
      <c r="AP2593" s="213"/>
      <c r="AQ2593" s="213"/>
      <c r="AR2593" s="213"/>
      <c r="AS2593" s="213"/>
      <c r="AT2593" s="213"/>
      <c r="AU2593" s="213"/>
      <c r="AV2593" s="213"/>
      <c r="AW2593" s="213"/>
      <c r="AX2593" s="213"/>
      <c r="AY2593" s="213"/>
      <c r="AZ2593" s="213"/>
      <c r="BA2593" s="213"/>
      <c r="BB2593" s="213"/>
      <c r="BC2593" s="213"/>
      <c r="BD2593" s="213"/>
    </row>
    <row r="2594">
      <c r="A2594" s="213">
        <f>IFERROR(__xludf.DUMMYFUNCTION("""COMPUTED_VALUE"""),408.0)</f>
        <v>408</v>
      </c>
      <c r="B2594" s="213" t="str">
        <f>IFERROR(__xludf.DUMMYFUNCTION("""COMPUTED_VALUE"""),"2026 SIMON BOLIVAR")</f>
        <v>2026 SIMON BOLIVAR</v>
      </c>
      <c r="C2594" s="213" t="str">
        <f>IFERROR(__xludf.DUMMYFUNCTION("""COMPUTED_VALUE"""),"TALLER SFT DE ELECTRICIDAD")</f>
        <v>TALLER SFT DE ELECTRICIDAD</v>
      </c>
      <c r="D2594" s="213" t="str">
        <f>IFERROR(__xludf.DUMMYFUNCTION("""COMPUTED_VALUE"""),"EQUIPOS")</f>
        <v>EQUIPOS</v>
      </c>
      <c r="E2594" s="213" t="str">
        <f>IFERROR(__xludf.DUMMYFUNCTION("""COMPUTED_VALUE"""),"ESP-379")</f>
        <v>ESP-379</v>
      </c>
      <c r="F2594" s="213" t="str">
        <f>IFERROR(__xludf.DUMMYFUNCTION("""COMPUTED_VALUE"""),"ESP-379")</f>
        <v>ESP-379</v>
      </c>
      <c r="G2594" s="213"/>
      <c r="H2594" s="213" t="str">
        <f>IFERROR(__xludf.DUMMYFUNCTION("""COMPUTED_VALUE"""),"VARIADOR DE FRECUENCIA (MONOFÁSICO A TRIFÁSICO)")</f>
        <v>VARIADOR DE FRECUENCIA (MONOFÁSICO A TRIFÁSICO)</v>
      </c>
      <c r="I2594" s="213"/>
      <c r="J2594" s="213">
        <f>IFERROR(__xludf.DUMMYFUNCTION("""COMPUTED_VALUE"""),3.0)</f>
        <v>3</v>
      </c>
      <c r="K2594" s="213" t="str">
        <f>IFERROR(__xludf.DUMMYFUNCTION("""COMPUTED_VALUE"""),"170 DÍAS CALENDARIO")</f>
        <v>170 DÍAS CALENDARIO</v>
      </c>
      <c r="L2594" s="213" t="str">
        <f>IFERROR(__xludf.DUMMYFUNCTION("""COMPUTED_VALUE"""),"")</f>
        <v/>
      </c>
      <c r="M2594" s="213">
        <f>IFERROR(__xludf.DUMMYFUNCTION("""COMPUTED_VALUE"""),1.0)</f>
        <v>1</v>
      </c>
      <c r="N2594" s="213">
        <f>IFERROR(__xludf.DUMMYFUNCTION("""COMPUTED_VALUE"""),4.0)</f>
        <v>4</v>
      </c>
      <c r="O2594" s="213">
        <f>IFERROR(__xludf.DUMMYFUNCTION("""COMPUTED_VALUE"""),4.0)</f>
        <v>4</v>
      </c>
      <c r="P2594" s="213"/>
      <c r="Q2594" s="213"/>
      <c r="R2594" s="213"/>
      <c r="S2594" s="213" t="str">
        <f>IFERROR(__xludf.DUMMYFUNCTION("""COMPUTED_VALUE"""),"SI")</f>
        <v>SI</v>
      </c>
      <c r="T2594" s="213" t="str">
        <f>IFERROR(__xludf.DUMMYFUNCTION("""COMPUTED_VALUE"""),"SI")</f>
        <v>SI</v>
      </c>
      <c r="U2594" s="213" t="str">
        <f>IFERROR(__xludf.DUMMYFUNCTION("""COMPUTED_VALUE"""),"SI")</f>
        <v>SI</v>
      </c>
      <c r="V2594" s="213" t="str">
        <f>IFERROR(__xludf.DUMMYFUNCTION("""COMPUTED_VALUE"""),"-")</f>
        <v>-</v>
      </c>
      <c r="W2594" s="213" t="str">
        <f>IFERROR(__xludf.DUMMYFUNCTION("""COMPUTED_VALUE"""),"-")</f>
        <v>-</v>
      </c>
      <c r="X2594" s="213" t="str">
        <f>IFERROR(__xludf.DUMMYFUNCTION("""COMPUTED_VALUE"""),"Siemens")</f>
        <v>Siemens</v>
      </c>
      <c r="Y2594" s="213" t="str">
        <f>IFERROR(__xludf.DUMMYFUNCTION("""COMPUTED_VALUE"""),"V20")</f>
        <v>V20</v>
      </c>
      <c r="Z2594" s="215" t="str">
        <f>IFERROR(__xludf.DUMMYFUNCTION("""COMPUTED_VALUE"""),"https://hken.rs-online.com/web/p/inverter-drives/7840751")</f>
        <v>https://hken.rs-online.com/web/p/inverter-drives/7840751</v>
      </c>
      <c r="AA2594" s="213" t="str">
        <f>IFERROR(__xludf.DUMMYFUNCTION("""COMPUTED_VALUE"""),"ESP-379 VARIADOR DE FRECUENCIA (MONOFÁSICO A TRIFÁSICO) - CET")</f>
        <v>ESP-379 VARIADOR DE FRECUENCIA (MONOFÁSICO A TRIFÁSICO) - CET</v>
      </c>
      <c r="AB2594" s="215" t="str">
        <f>IFERROR(__xludf.DUMMYFUNCTION("""COMPUTED_VALUE"""),"https://docs.rs-online.com/4876/A700000011880398.pdf")</f>
        <v>https://docs.rs-online.com/4876/A700000011880398.pdf</v>
      </c>
      <c r="AC2594" s="213"/>
      <c r="AD2594" s="213"/>
      <c r="AE2594" s="213"/>
      <c r="AF2594" s="213"/>
      <c r="AG2594" s="213"/>
      <c r="AH2594" s="213"/>
      <c r="AI2594" s="213"/>
      <c r="AJ2594" s="213"/>
      <c r="AK2594" s="213"/>
      <c r="AL2594" s="213"/>
      <c r="AM2594" s="213"/>
      <c r="AN2594" s="213"/>
      <c r="AO2594" s="213"/>
      <c r="AP2594" s="213" t="str">
        <f>IFERROR(__xludf.DUMMYFUNCTION("""COMPUTED_VALUE"""),"BRUNO")</f>
        <v>BRUNO</v>
      </c>
      <c r="AQ2594" s="213"/>
      <c r="AR2594" s="213"/>
      <c r="AS2594" s="213"/>
      <c r="AT2594" s="213"/>
      <c r="AU2594" s="213"/>
      <c r="AV2594" s="213"/>
      <c r="AW2594" s="213"/>
      <c r="AX2594" s="213"/>
      <c r="AY2594" s="213"/>
      <c r="AZ2594" s="213"/>
      <c r="BA2594" s="213"/>
      <c r="BB2594" s="213"/>
      <c r="BC2594" s="213"/>
      <c r="BD2594" s="213"/>
    </row>
    <row r="2595">
      <c r="A2595" s="213">
        <f>IFERROR(__xludf.DUMMYFUNCTION("""COMPUTED_VALUE"""),894.0)</f>
        <v>894</v>
      </c>
      <c r="B2595" s="213" t="str">
        <f>IFERROR(__xludf.DUMMYFUNCTION("""COMPUTED_VALUE"""),"6049 RICARDO PALMA")</f>
        <v>6049 RICARDO PALMA</v>
      </c>
      <c r="C2595" s="213" t="str">
        <f>IFERROR(__xludf.DUMMYFUNCTION("""COMPUTED_VALUE"""),"TALLER SFT DE ELECTRICIDAD")</f>
        <v>TALLER SFT DE ELECTRICIDAD</v>
      </c>
      <c r="D2595" s="213" t="str">
        <f>IFERROR(__xludf.DUMMYFUNCTION("""COMPUTED_VALUE"""),"EQUIPOS")</f>
        <v>EQUIPOS</v>
      </c>
      <c r="E2595" s="213" t="str">
        <f>IFERROR(__xludf.DUMMYFUNCTION("""COMPUTED_VALUE"""),"ESP-379")</f>
        <v>ESP-379</v>
      </c>
      <c r="F2595" s="213" t="str">
        <f>IFERROR(__xludf.DUMMYFUNCTION("""COMPUTED_VALUE"""),"ESP-379")</f>
        <v>ESP-379</v>
      </c>
      <c r="G2595" s="213"/>
      <c r="H2595" s="213" t="str">
        <f>IFERROR(__xludf.DUMMYFUNCTION("""COMPUTED_VALUE"""),"VARIADOR DE FRECUENCIA (MONOFÁSICO A TRIFÁSICO)")</f>
        <v>VARIADOR DE FRECUENCIA (MONOFÁSICO A TRIFÁSICO)</v>
      </c>
      <c r="I2595" s="213"/>
      <c r="J2595" s="213">
        <f>IFERROR(__xludf.DUMMYFUNCTION("""COMPUTED_VALUE"""),3.0)</f>
        <v>3</v>
      </c>
      <c r="K2595" s="213" t="str">
        <f>IFERROR(__xludf.DUMMYFUNCTION("""COMPUTED_VALUE"""),"170 DÍAS CALENDARIO")</f>
        <v>170 DÍAS CALENDARIO</v>
      </c>
      <c r="L2595" s="213" t="str">
        <f>IFERROR(__xludf.DUMMYFUNCTION("""COMPUTED_VALUE"""),"")</f>
        <v/>
      </c>
      <c r="M2595" s="213">
        <f>IFERROR(__xludf.DUMMYFUNCTION("""COMPUTED_VALUE"""),1.0)</f>
        <v>1</v>
      </c>
      <c r="N2595" s="213">
        <f>IFERROR(__xludf.DUMMYFUNCTION("""COMPUTED_VALUE"""),4.0)</f>
        <v>4</v>
      </c>
      <c r="O2595" s="213">
        <f>IFERROR(__xludf.DUMMYFUNCTION("""COMPUTED_VALUE"""),4.0)</f>
        <v>4</v>
      </c>
      <c r="P2595" s="213"/>
      <c r="Q2595" s="213"/>
      <c r="R2595" s="213"/>
      <c r="S2595" s="213" t="str">
        <f>IFERROR(__xludf.DUMMYFUNCTION("""COMPUTED_VALUE"""),"SI")</f>
        <v>SI</v>
      </c>
      <c r="T2595" s="213" t="str">
        <f>IFERROR(__xludf.DUMMYFUNCTION("""COMPUTED_VALUE"""),"SI")</f>
        <v>SI</v>
      </c>
      <c r="U2595" s="213" t="str">
        <f>IFERROR(__xludf.DUMMYFUNCTION("""COMPUTED_VALUE"""),"SI")</f>
        <v>SI</v>
      </c>
      <c r="V2595" s="213" t="str">
        <f>IFERROR(__xludf.DUMMYFUNCTION("""COMPUTED_VALUE"""),"-")</f>
        <v>-</v>
      </c>
      <c r="W2595" s="213" t="str">
        <f>IFERROR(__xludf.DUMMYFUNCTION("""COMPUTED_VALUE"""),"-")</f>
        <v>-</v>
      </c>
      <c r="X2595" s="213" t="str">
        <f>IFERROR(__xludf.DUMMYFUNCTION("""COMPUTED_VALUE"""),"Siemens")</f>
        <v>Siemens</v>
      </c>
      <c r="Y2595" s="213" t="str">
        <f>IFERROR(__xludf.DUMMYFUNCTION("""COMPUTED_VALUE"""),"V20")</f>
        <v>V20</v>
      </c>
      <c r="Z2595" s="215" t="str">
        <f>IFERROR(__xludf.DUMMYFUNCTION("""COMPUTED_VALUE"""),"https://hken.rs-online.com/web/p/inverter-drives/7840751")</f>
        <v>https://hken.rs-online.com/web/p/inverter-drives/7840751</v>
      </c>
      <c r="AA2595" s="213" t="str">
        <f>IFERROR(__xludf.DUMMYFUNCTION("""COMPUTED_VALUE"""),"ESP-379 VARIADOR DE FRECUENCIA (MONOFÁSICO A TRIFÁSICO) - CET")</f>
        <v>ESP-379 VARIADOR DE FRECUENCIA (MONOFÁSICO A TRIFÁSICO) - CET</v>
      </c>
      <c r="AB2595" s="215" t="str">
        <f>IFERROR(__xludf.DUMMYFUNCTION("""COMPUTED_VALUE"""),"https://docs.rs-online.com/4876/A700000011880398.pdf")</f>
        <v>https://docs.rs-online.com/4876/A700000011880398.pdf</v>
      </c>
      <c r="AC2595" s="213"/>
      <c r="AD2595" s="213"/>
      <c r="AE2595" s="213"/>
      <c r="AF2595" s="213"/>
      <c r="AG2595" s="213"/>
      <c r="AH2595" s="213"/>
      <c r="AI2595" s="213"/>
      <c r="AJ2595" s="213"/>
      <c r="AK2595" s="213"/>
      <c r="AL2595" s="213"/>
      <c r="AM2595" s="213"/>
      <c r="AN2595" s="213"/>
      <c r="AO2595" s="213"/>
      <c r="AP2595" s="213" t="str">
        <f>IFERROR(__xludf.DUMMYFUNCTION("""COMPUTED_VALUE"""),"BRUNO")</f>
        <v>BRUNO</v>
      </c>
      <c r="AQ2595" s="213"/>
      <c r="AR2595" s="213"/>
      <c r="AS2595" s="213"/>
      <c r="AT2595" s="213"/>
      <c r="AU2595" s="213"/>
      <c r="AV2595" s="213"/>
      <c r="AW2595" s="213"/>
      <c r="AX2595" s="213"/>
      <c r="AY2595" s="213"/>
      <c r="AZ2595" s="213"/>
      <c r="BA2595" s="213"/>
      <c r="BB2595" s="213"/>
      <c r="BC2595" s="213"/>
      <c r="BD2595" s="213"/>
    </row>
    <row r="2596">
      <c r="A2596" s="213">
        <f>IFERROR(__xludf.DUMMYFUNCTION("""COMPUTED_VALUE"""),1316.0)</f>
        <v>1316</v>
      </c>
      <c r="B2596" s="213" t="str">
        <f>IFERROR(__xludf.DUMMYFUNCTION("""COMPUTED_VALUE"""),"GUILLERMO E. BILLINGHURST ")</f>
        <v>GUILLERMO E. BILLINGHURST </v>
      </c>
      <c r="C2596" s="213" t="str">
        <f>IFERROR(__xludf.DUMMYFUNCTION("""COMPUTED_VALUE"""),"TALLER SFT DE ELECTRICIDAD")</f>
        <v>TALLER SFT DE ELECTRICIDAD</v>
      </c>
      <c r="D2596" s="213" t="str">
        <f>IFERROR(__xludf.DUMMYFUNCTION("""COMPUTED_VALUE"""),"EQUIPOS")</f>
        <v>EQUIPOS</v>
      </c>
      <c r="E2596" s="213" t="str">
        <f>IFERROR(__xludf.DUMMYFUNCTION("""COMPUTED_VALUE"""),"ESP-379")</f>
        <v>ESP-379</v>
      </c>
      <c r="F2596" s="213" t="str">
        <f>IFERROR(__xludf.DUMMYFUNCTION("""COMPUTED_VALUE"""),"ESP-379")</f>
        <v>ESP-379</v>
      </c>
      <c r="G2596" s="213"/>
      <c r="H2596" s="213" t="str">
        <f>IFERROR(__xludf.DUMMYFUNCTION("""COMPUTED_VALUE"""),"VARIADOR DE FRECUENCIA (MONOFÁSICO A TRIFÁSICO)")</f>
        <v>VARIADOR DE FRECUENCIA (MONOFÁSICO A TRIFÁSICO)</v>
      </c>
      <c r="I2596" s="213"/>
      <c r="J2596" s="213">
        <f>IFERROR(__xludf.DUMMYFUNCTION("""COMPUTED_VALUE"""),3.0)</f>
        <v>3</v>
      </c>
      <c r="K2596" s="213" t="str">
        <f>IFERROR(__xludf.DUMMYFUNCTION("""COMPUTED_VALUE"""),"170 DÍAS CALENDARIO")</f>
        <v>170 DÍAS CALENDARIO</v>
      </c>
      <c r="L2596" s="213" t="str">
        <f>IFERROR(__xludf.DUMMYFUNCTION("""COMPUTED_VALUE"""),"")</f>
        <v/>
      </c>
      <c r="M2596" s="213">
        <f>IFERROR(__xludf.DUMMYFUNCTION("""COMPUTED_VALUE"""),1.0)</f>
        <v>1</v>
      </c>
      <c r="N2596" s="213">
        <f>IFERROR(__xludf.DUMMYFUNCTION("""COMPUTED_VALUE"""),4.0)</f>
        <v>4</v>
      </c>
      <c r="O2596" s="213">
        <f>IFERROR(__xludf.DUMMYFUNCTION("""COMPUTED_VALUE"""),4.0)</f>
        <v>4</v>
      </c>
      <c r="P2596" s="213"/>
      <c r="Q2596" s="213"/>
      <c r="R2596" s="213"/>
      <c r="S2596" s="213" t="str">
        <f>IFERROR(__xludf.DUMMYFUNCTION("""COMPUTED_VALUE"""),"SI")</f>
        <v>SI</v>
      </c>
      <c r="T2596" s="213" t="str">
        <f>IFERROR(__xludf.DUMMYFUNCTION("""COMPUTED_VALUE"""),"SI")</f>
        <v>SI</v>
      </c>
      <c r="U2596" s="213" t="str">
        <f>IFERROR(__xludf.DUMMYFUNCTION("""COMPUTED_VALUE"""),"SI")</f>
        <v>SI</v>
      </c>
      <c r="V2596" s="213" t="str">
        <f>IFERROR(__xludf.DUMMYFUNCTION("""COMPUTED_VALUE"""),"-")</f>
        <v>-</v>
      </c>
      <c r="W2596" s="213" t="str">
        <f>IFERROR(__xludf.DUMMYFUNCTION("""COMPUTED_VALUE"""),"-")</f>
        <v>-</v>
      </c>
      <c r="X2596" s="213" t="str">
        <f>IFERROR(__xludf.DUMMYFUNCTION("""COMPUTED_VALUE"""),"Siemens")</f>
        <v>Siemens</v>
      </c>
      <c r="Y2596" s="213" t="str">
        <f>IFERROR(__xludf.DUMMYFUNCTION("""COMPUTED_VALUE"""),"V20")</f>
        <v>V20</v>
      </c>
      <c r="Z2596" s="215" t="str">
        <f>IFERROR(__xludf.DUMMYFUNCTION("""COMPUTED_VALUE"""),"https://hken.rs-online.com/web/p/inverter-drives/7840751")</f>
        <v>https://hken.rs-online.com/web/p/inverter-drives/7840751</v>
      </c>
      <c r="AA2596" s="213" t="str">
        <f>IFERROR(__xludf.DUMMYFUNCTION("""COMPUTED_VALUE"""),"ESP-379 VARIADOR DE FRECUENCIA (MONOFÁSICO A TRIFÁSICO) - CET")</f>
        <v>ESP-379 VARIADOR DE FRECUENCIA (MONOFÁSICO A TRIFÁSICO) - CET</v>
      </c>
      <c r="AB2596" s="215" t="str">
        <f>IFERROR(__xludf.DUMMYFUNCTION("""COMPUTED_VALUE"""),"https://docs.rs-online.com/4876/A700000011880398.pdf")</f>
        <v>https://docs.rs-online.com/4876/A700000011880398.pdf</v>
      </c>
      <c r="AC2596" s="213"/>
      <c r="AD2596" s="213"/>
      <c r="AE2596" s="213"/>
      <c r="AF2596" s="213"/>
      <c r="AG2596" s="213"/>
      <c r="AH2596" s="213"/>
      <c r="AI2596" s="213"/>
      <c r="AJ2596" s="213"/>
      <c r="AK2596" s="213"/>
      <c r="AL2596" s="213"/>
      <c r="AM2596" s="213"/>
      <c r="AN2596" s="213"/>
      <c r="AO2596" s="213"/>
      <c r="AP2596" s="213" t="str">
        <f>IFERROR(__xludf.DUMMYFUNCTION("""COMPUTED_VALUE"""),"BRUNO")</f>
        <v>BRUNO</v>
      </c>
      <c r="AQ2596" s="213"/>
      <c r="AR2596" s="213"/>
      <c r="AS2596" s="213"/>
      <c r="AT2596" s="213"/>
      <c r="AU2596" s="213"/>
      <c r="AV2596" s="213"/>
      <c r="AW2596" s="213"/>
      <c r="AX2596" s="213"/>
      <c r="AY2596" s="213"/>
      <c r="AZ2596" s="213"/>
      <c r="BA2596" s="213"/>
      <c r="BB2596" s="213"/>
      <c r="BC2596" s="213"/>
      <c r="BD2596" s="213"/>
    </row>
    <row r="2597">
      <c r="A2597" s="213">
        <f>IFERROR(__xludf.DUMMYFUNCTION("""COMPUTED_VALUE"""),402.0)</f>
        <v>402</v>
      </c>
      <c r="B2597" s="213" t="str">
        <f>IFERROR(__xludf.DUMMYFUNCTION("""COMPUTED_VALUE"""),"2026 SIMON BOLIVAR")</f>
        <v>2026 SIMON BOLIVAR</v>
      </c>
      <c r="C2597" s="213" t="str">
        <f>IFERROR(__xludf.DUMMYFUNCTION("""COMPUTED_VALUE"""),"TALLER SFT DE ELECTRICIDAD")</f>
        <v>TALLER SFT DE ELECTRICIDAD</v>
      </c>
      <c r="D2597" s="213" t="str">
        <f>IFERROR(__xludf.DUMMYFUNCTION("""COMPUTED_VALUE"""),"EQUIPOS")</f>
        <v>EQUIPOS</v>
      </c>
      <c r="E2597" s="213" t="str">
        <f>IFERROR(__xludf.DUMMYFUNCTION("""COMPUTED_VALUE"""),"ESP-380")</f>
        <v>ESP-380</v>
      </c>
      <c r="F2597" s="213" t="str">
        <f>IFERROR(__xludf.DUMMYFUNCTION("""COMPUTED_VALUE"""),"ESP-380")</f>
        <v>ESP-380</v>
      </c>
      <c r="G2597" s="213"/>
      <c r="H2597" s="213" t="str">
        <f>IFERROR(__xludf.DUMMYFUNCTION("""COMPUTED_VALUE"""),"VATÍMETRO DIGITAL")</f>
        <v>VATÍMETRO DIGITAL</v>
      </c>
      <c r="I2597" s="213" t="str">
        <f>IFERROR(__xludf.DUMMYFUNCTION("""COMPUTED_VALUE"""),"· Datos técnicos. Que permita la medición de:
1. Mida voltaje y corriente AC de 3 fases: Medición de tensión AC: 600 V y medición de corriente AC: 20 A.
2. Ángulos de fase entre los voltajes y corrientes.
3. Frecuencia, secuencia de fases, potencia activa"&amp;", reactiva y aparente, factor de potencia. Frecuencia de operación: 45 Hz - 65 Hz
4. Transmisión de datos mediante la interfaz USB.
5. Pantalla LCD.
· Accesorios:
- 3 pinzas para corriente, 4 cables de prueba, 1 CD software, manual y  un estuche para tran"&amp;"sporte.
- Alimentación: batería")</f>
        <v>· Datos técnicos. Que permita la medición de:
1. Mida voltaje y corriente AC de 3 fases: Medición de tensión AC: 600 V y medición de corriente AC: 20 A.
2. Ángulos de fase entre los voltajes y corrientes.
3. Frecuencia, secuencia de fases, potencia activa, reactiva y aparente, factor de potencia. Frecuencia de operación: 45 Hz - 65 Hz
4. Transmisión de datos mediante la interfaz USB.
5. Pantalla LCD.
· Accesorios:
- 3 pinzas para corriente, 4 cables de prueba, 1 CD software, manual y  un estuche para transporte.
- Alimentación: batería</v>
      </c>
      <c r="J2597" s="213">
        <f>IFERROR(__xludf.DUMMYFUNCTION("""COMPUTED_VALUE"""),3.0)</f>
        <v>3</v>
      </c>
      <c r="K2597" s="213" t="str">
        <f>IFERROR(__xludf.DUMMYFUNCTION("""COMPUTED_VALUE"""),"170 DÍAS CALENDARIO")</f>
        <v>170 DÍAS CALENDARIO</v>
      </c>
      <c r="L2597" s="213" t="str">
        <f>IFERROR(__xludf.DUMMYFUNCTION("""COMPUTED_VALUE"""),"")</f>
        <v/>
      </c>
      <c r="M2597" s="213">
        <f>IFERROR(__xludf.DUMMYFUNCTION("""COMPUTED_VALUE"""),1.0)</f>
        <v>1</v>
      </c>
      <c r="N2597" s="213">
        <f>IFERROR(__xludf.DUMMYFUNCTION("""COMPUTED_VALUE"""),4.0)</f>
        <v>4</v>
      </c>
      <c r="O2597" s="213">
        <f>IFERROR(__xludf.DUMMYFUNCTION("""COMPUTED_VALUE"""),4.0)</f>
        <v>4</v>
      </c>
      <c r="P2597" s="213"/>
      <c r="Q2597" s="213"/>
      <c r="R2597" s="213"/>
      <c r="S2597" s="213" t="str">
        <f>IFERROR(__xludf.DUMMYFUNCTION("""COMPUTED_VALUE"""),"SI")</f>
        <v>SI</v>
      </c>
      <c r="T2597" s="213" t="str">
        <f>IFERROR(__xludf.DUMMYFUNCTION("""COMPUTED_VALUE"""),"SI")</f>
        <v>SI</v>
      </c>
      <c r="U2597" s="213" t="str">
        <f>IFERROR(__xludf.DUMMYFUNCTION("""COMPUTED_VALUE"""),"SI")</f>
        <v>SI</v>
      </c>
      <c r="V2597" s="213" t="str">
        <f>IFERROR(__xludf.DUMMYFUNCTION("""COMPUTED_VALUE"""),"-")</f>
        <v>-</v>
      </c>
      <c r="W2597" s="213" t="str">
        <f>IFERROR(__xludf.DUMMYFUNCTION("""COMPUTED_VALUE"""),"-")</f>
        <v>-</v>
      </c>
      <c r="X2597" s="213" t="str">
        <f>IFERROR(__xludf.DUMMYFUNCTION("""COMPUTED_VALUE"""),"ETCR")</f>
        <v>ETCR</v>
      </c>
      <c r="Y2597" s="213" t="str">
        <f>IFERROR(__xludf.DUMMYFUNCTION("""COMPUTED_VALUE"""),"ETCR4300")</f>
        <v>ETCR4300</v>
      </c>
      <c r="Z2597" s="215" t="str">
        <f>IFERROR(__xludf.DUMMYFUNCTION("""COMPUTED_VALUE"""),"https://www.amazon.com/ETCR-Three-Phase-Voltammeter-0-0mA-20-0A-0-0-360-0%C2%B0/dp/B0CXMBSWJH")</f>
        <v>https://www.amazon.com/ETCR-Three-Phase-Voltammeter-0-0mA-20-0A-0-0-360-0%C2%B0/dp/B0CXMBSWJH</v>
      </c>
      <c r="AA2597" s="213" t="str">
        <f>IFERROR(__xludf.DUMMYFUNCTION("""COMPUTED_VALUE"""),"ESP-380 VATÍMETRO DIGITAL - CET")</f>
        <v>ESP-380 VATÍMETRO DIGITAL - CET</v>
      </c>
      <c r="AB2597" s="215" t="str">
        <f>IFERROR(__xludf.DUMMYFUNCTION("""COMPUTED_VALUE"""),"https://drive.google.com/file/d/1hFU-Fna5_ftDj9uwsRQc7rJMTCcTNLkZ/view")</f>
        <v>https://drive.google.com/file/d/1hFU-Fna5_ftDj9uwsRQc7rJMTCcTNLkZ/view</v>
      </c>
      <c r="AC2597" s="213"/>
      <c r="AD2597" s="213"/>
      <c r="AE2597" s="213"/>
      <c r="AF2597" s="213"/>
      <c r="AG2597" s="213"/>
      <c r="AH2597" s="213"/>
      <c r="AI2597" s="213"/>
      <c r="AJ2597" s="213"/>
      <c r="AK2597" s="213"/>
      <c r="AL2597" s="213"/>
      <c r="AM2597" s="213"/>
      <c r="AN2597" s="213"/>
      <c r="AO2597" s="213"/>
      <c r="AP2597" s="213" t="str">
        <f>IFERROR(__xludf.DUMMYFUNCTION("""COMPUTED_VALUE"""),"BRUNO")</f>
        <v>BRUNO</v>
      </c>
      <c r="AQ2597" s="213"/>
      <c r="AR2597" s="213"/>
      <c r="AS2597" s="213"/>
      <c r="AT2597" s="213"/>
      <c r="AU2597" s="213"/>
      <c r="AV2597" s="213"/>
      <c r="AW2597" s="213"/>
      <c r="AX2597" s="213"/>
      <c r="AY2597" s="213"/>
      <c r="AZ2597" s="213"/>
      <c r="BA2597" s="213"/>
      <c r="BB2597" s="213"/>
      <c r="BC2597" s="213"/>
      <c r="BD2597" s="213"/>
    </row>
    <row r="2598">
      <c r="A2598" s="213">
        <f>IFERROR(__xludf.DUMMYFUNCTION("""COMPUTED_VALUE"""),888.0)</f>
        <v>888</v>
      </c>
      <c r="B2598" s="213" t="str">
        <f>IFERROR(__xludf.DUMMYFUNCTION("""COMPUTED_VALUE"""),"6049 RICARDO PALMA")</f>
        <v>6049 RICARDO PALMA</v>
      </c>
      <c r="C2598" s="213" t="str">
        <f>IFERROR(__xludf.DUMMYFUNCTION("""COMPUTED_VALUE"""),"TALLER SFT DE ELECTRICIDAD")</f>
        <v>TALLER SFT DE ELECTRICIDAD</v>
      </c>
      <c r="D2598" s="213" t="str">
        <f>IFERROR(__xludf.DUMMYFUNCTION("""COMPUTED_VALUE"""),"EQUIPOS")</f>
        <v>EQUIPOS</v>
      </c>
      <c r="E2598" s="213" t="str">
        <f>IFERROR(__xludf.DUMMYFUNCTION("""COMPUTED_VALUE"""),"ESP-380")</f>
        <v>ESP-380</v>
      </c>
      <c r="F2598" s="213" t="str">
        <f>IFERROR(__xludf.DUMMYFUNCTION("""COMPUTED_VALUE"""),"ESP-380")</f>
        <v>ESP-380</v>
      </c>
      <c r="G2598" s="213"/>
      <c r="H2598" s="213" t="str">
        <f>IFERROR(__xludf.DUMMYFUNCTION("""COMPUTED_VALUE"""),"VATÍMETRO DIGITAL")</f>
        <v>VATÍMETRO DIGITAL</v>
      </c>
      <c r="I2598" s="213" t="str">
        <f>IFERROR(__xludf.DUMMYFUNCTION("""COMPUTED_VALUE"""),"· Datos técnicos. Que permita la medición de:
1. Mida voltaje y corriente AC de 3 fases: Medición de tensión AC: 600 V y medición de corriente AC: 20 A.
2. Ángulos de fase entre los voltajes y corrientes.
3. Frecuencia, secuencia de fases, potencia activa"&amp;", reactiva y aparente, factor de potencia. Frecuencia de operación: 45 Hz - 65 Hz
4. Transmisión de datos mediante la interfaz USB.
5. Pantalla LCD.
· Accesorios:
- 3 pinzas para corriente, 4 cables de prueba, 1 CD software, manual y  un estuche para tran"&amp;"sporte.
- Alimentación: batería")</f>
        <v>· Datos técnicos. Que permita la medición de:
1. Mida voltaje y corriente AC de 3 fases: Medición de tensión AC: 600 V y medición de corriente AC: 20 A.
2. Ángulos de fase entre los voltajes y corrientes.
3. Frecuencia, secuencia de fases, potencia activa, reactiva y aparente, factor de potencia. Frecuencia de operación: 45 Hz - 65 Hz
4. Transmisión de datos mediante la interfaz USB.
5. Pantalla LCD.
· Accesorios:
- 3 pinzas para corriente, 4 cables de prueba, 1 CD software, manual y  un estuche para transporte.
- Alimentación: batería</v>
      </c>
      <c r="J2598" s="213">
        <f>IFERROR(__xludf.DUMMYFUNCTION("""COMPUTED_VALUE"""),3.0)</f>
        <v>3</v>
      </c>
      <c r="K2598" s="213" t="str">
        <f>IFERROR(__xludf.DUMMYFUNCTION("""COMPUTED_VALUE"""),"170 DÍAS CALENDARIO")</f>
        <v>170 DÍAS CALENDARIO</v>
      </c>
      <c r="L2598" s="213" t="str">
        <f>IFERROR(__xludf.DUMMYFUNCTION("""COMPUTED_VALUE"""),"")</f>
        <v/>
      </c>
      <c r="M2598" s="213">
        <f>IFERROR(__xludf.DUMMYFUNCTION("""COMPUTED_VALUE"""),1.0)</f>
        <v>1</v>
      </c>
      <c r="N2598" s="213">
        <f>IFERROR(__xludf.DUMMYFUNCTION("""COMPUTED_VALUE"""),4.0)</f>
        <v>4</v>
      </c>
      <c r="O2598" s="213">
        <f>IFERROR(__xludf.DUMMYFUNCTION("""COMPUTED_VALUE"""),4.0)</f>
        <v>4</v>
      </c>
      <c r="P2598" s="213"/>
      <c r="Q2598" s="213"/>
      <c r="R2598" s="213"/>
      <c r="S2598" s="213" t="str">
        <f>IFERROR(__xludf.DUMMYFUNCTION("""COMPUTED_VALUE"""),"SI")</f>
        <v>SI</v>
      </c>
      <c r="T2598" s="213" t="str">
        <f>IFERROR(__xludf.DUMMYFUNCTION("""COMPUTED_VALUE"""),"SI")</f>
        <v>SI</v>
      </c>
      <c r="U2598" s="213" t="str">
        <f>IFERROR(__xludf.DUMMYFUNCTION("""COMPUTED_VALUE"""),"SI")</f>
        <v>SI</v>
      </c>
      <c r="V2598" s="213" t="str">
        <f>IFERROR(__xludf.DUMMYFUNCTION("""COMPUTED_VALUE"""),"-")</f>
        <v>-</v>
      </c>
      <c r="W2598" s="213" t="str">
        <f>IFERROR(__xludf.DUMMYFUNCTION("""COMPUTED_VALUE"""),"-")</f>
        <v>-</v>
      </c>
      <c r="X2598" s="213" t="str">
        <f>IFERROR(__xludf.DUMMYFUNCTION("""COMPUTED_VALUE"""),"ETCR")</f>
        <v>ETCR</v>
      </c>
      <c r="Y2598" s="213" t="str">
        <f>IFERROR(__xludf.DUMMYFUNCTION("""COMPUTED_VALUE"""),"ETCR4300")</f>
        <v>ETCR4300</v>
      </c>
      <c r="Z2598" s="215" t="str">
        <f>IFERROR(__xludf.DUMMYFUNCTION("""COMPUTED_VALUE"""),"https://www.amazon.com/ETCR-Three-Phase-Voltammeter-0-0mA-20-0A-0-0-360-0%C2%B0/dp/B0CXMBSWJH")</f>
        <v>https://www.amazon.com/ETCR-Three-Phase-Voltammeter-0-0mA-20-0A-0-0-360-0%C2%B0/dp/B0CXMBSWJH</v>
      </c>
      <c r="AA2598" s="213" t="str">
        <f>IFERROR(__xludf.DUMMYFUNCTION("""COMPUTED_VALUE"""),"ESP-380 VATÍMETRO DIGITAL - CET")</f>
        <v>ESP-380 VATÍMETRO DIGITAL - CET</v>
      </c>
      <c r="AB2598" s="215" t="str">
        <f>IFERROR(__xludf.DUMMYFUNCTION("""COMPUTED_VALUE"""),"https://drive.google.com/file/d/1hFU-Fna5_ftDj9uwsRQc7rJMTCcTNLkZ/view")</f>
        <v>https://drive.google.com/file/d/1hFU-Fna5_ftDj9uwsRQc7rJMTCcTNLkZ/view</v>
      </c>
      <c r="AC2598" s="213"/>
      <c r="AD2598" s="213"/>
      <c r="AE2598" s="213"/>
      <c r="AF2598" s="213"/>
      <c r="AG2598" s="213"/>
      <c r="AH2598" s="213"/>
      <c r="AI2598" s="213"/>
      <c r="AJ2598" s="213"/>
      <c r="AK2598" s="213"/>
      <c r="AL2598" s="213"/>
      <c r="AM2598" s="213"/>
      <c r="AN2598" s="213"/>
      <c r="AO2598" s="213"/>
      <c r="AP2598" s="213" t="str">
        <f>IFERROR(__xludf.DUMMYFUNCTION("""COMPUTED_VALUE"""),"BRUNO")</f>
        <v>BRUNO</v>
      </c>
      <c r="AQ2598" s="213"/>
      <c r="AR2598" s="213"/>
      <c r="AS2598" s="213"/>
      <c r="AT2598" s="213"/>
      <c r="AU2598" s="213"/>
      <c r="AV2598" s="213"/>
      <c r="AW2598" s="213"/>
      <c r="AX2598" s="213"/>
      <c r="AY2598" s="213"/>
      <c r="AZ2598" s="213"/>
      <c r="BA2598" s="213"/>
      <c r="BB2598" s="213"/>
      <c r="BC2598" s="213"/>
      <c r="BD2598" s="213"/>
    </row>
    <row r="2599">
      <c r="A2599" s="213">
        <f>IFERROR(__xludf.DUMMYFUNCTION("""COMPUTED_VALUE"""),1310.0)</f>
        <v>1310</v>
      </c>
      <c r="B2599" s="213" t="str">
        <f>IFERROR(__xludf.DUMMYFUNCTION("""COMPUTED_VALUE"""),"GUILLERMO E. BILLINGHURST ")</f>
        <v>GUILLERMO E. BILLINGHURST </v>
      </c>
      <c r="C2599" s="213" t="str">
        <f>IFERROR(__xludf.DUMMYFUNCTION("""COMPUTED_VALUE"""),"TALLER SFT DE ELECTRICIDAD")</f>
        <v>TALLER SFT DE ELECTRICIDAD</v>
      </c>
      <c r="D2599" s="213" t="str">
        <f>IFERROR(__xludf.DUMMYFUNCTION("""COMPUTED_VALUE"""),"EQUIPOS")</f>
        <v>EQUIPOS</v>
      </c>
      <c r="E2599" s="213" t="str">
        <f>IFERROR(__xludf.DUMMYFUNCTION("""COMPUTED_VALUE"""),"ESP-380")</f>
        <v>ESP-380</v>
      </c>
      <c r="F2599" s="213" t="str">
        <f>IFERROR(__xludf.DUMMYFUNCTION("""COMPUTED_VALUE"""),"ESP-380")</f>
        <v>ESP-380</v>
      </c>
      <c r="G2599" s="213"/>
      <c r="H2599" s="213" t="str">
        <f>IFERROR(__xludf.DUMMYFUNCTION("""COMPUTED_VALUE"""),"VATÍMETRO DIGITAL")</f>
        <v>VATÍMETRO DIGITAL</v>
      </c>
      <c r="I2599" s="213" t="str">
        <f>IFERROR(__xludf.DUMMYFUNCTION("""COMPUTED_VALUE"""),"· Datos técnicos. Que permita la medición de:
1. Mida voltaje y corriente AC de 3 fases: Medición de tensión AC: 600 V y medición de corriente AC: 20 A.
2. Ángulos de fase entre los voltajes y corrientes.
3. Frecuencia, secuencia de fases, potencia activa"&amp;", reactiva y aparente, factor de potencia. Frecuencia de operación: 45 Hz - 65 Hz
4. Transmisión de datos mediante la interfaz USB.
5. Pantalla LCD.
· Accesorios:
- 3 pinzas para corriente, 4 cables de prueba, 1 CD software, manual y  un estuche para tran"&amp;"sporte.
- Alimentación: batería")</f>
        <v>· Datos técnicos. Que permita la medición de:
1. Mida voltaje y corriente AC de 3 fases: Medición de tensión AC: 600 V y medición de corriente AC: 20 A.
2. Ángulos de fase entre los voltajes y corrientes.
3. Frecuencia, secuencia de fases, potencia activa, reactiva y aparente, factor de potencia. Frecuencia de operación: 45 Hz - 65 Hz
4. Transmisión de datos mediante la interfaz USB.
5. Pantalla LCD.
· Accesorios:
- 3 pinzas para corriente, 4 cables de prueba, 1 CD software, manual y  un estuche para transporte.
- Alimentación: batería</v>
      </c>
      <c r="J2599" s="213">
        <f>IFERROR(__xludf.DUMMYFUNCTION("""COMPUTED_VALUE"""),3.0)</f>
        <v>3</v>
      </c>
      <c r="K2599" s="213" t="str">
        <f>IFERROR(__xludf.DUMMYFUNCTION("""COMPUTED_VALUE"""),"170 DÍAS CALENDARIO")</f>
        <v>170 DÍAS CALENDARIO</v>
      </c>
      <c r="L2599" s="213" t="str">
        <f>IFERROR(__xludf.DUMMYFUNCTION("""COMPUTED_VALUE"""),"")</f>
        <v/>
      </c>
      <c r="M2599" s="213">
        <f>IFERROR(__xludf.DUMMYFUNCTION("""COMPUTED_VALUE"""),1.0)</f>
        <v>1</v>
      </c>
      <c r="N2599" s="213">
        <f>IFERROR(__xludf.DUMMYFUNCTION("""COMPUTED_VALUE"""),4.0)</f>
        <v>4</v>
      </c>
      <c r="O2599" s="213">
        <f>IFERROR(__xludf.DUMMYFUNCTION("""COMPUTED_VALUE"""),4.0)</f>
        <v>4</v>
      </c>
      <c r="P2599" s="213"/>
      <c r="Q2599" s="213"/>
      <c r="R2599" s="213"/>
      <c r="S2599" s="213" t="str">
        <f>IFERROR(__xludf.DUMMYFUNCTION("""COMPUTED_VALUE"""),"SI")</f>
        <v>SI</v>
      </c>
      <c r="T2599" s="213" t="str">
        <f>IFERROR(__xludf.DUMMYFUNCTION("""COMPUTED_VALUE"""),"SI")</f>
        <v>SI</v>
      </c>
      <c r="U2599" s="213" t="str">
        <f>IFERROR(__xludf.DUMMYFUNCTION("""COMPUTED_VALUE"""),"SI")</f>
        <v>SI</v>
      </c>
      <c r="V2599" s="213" t="str">
        <f>IFERROR(__xludf.DUMMYFUNCTION("""COMPUTED_VALUE"""),"-")</f>
        <v>-</v>
      </c>
      <c r="W2599" s="213" t="str">
        <f>IFERROR(__xludf.DUMMYFUNCTION("""COMPUTED_VALUE"""),"-")</f>
        <v>-</v>
      </c>
      <c r="X2599" s="213" t="str">
        <f>IFERROR(__xludf.DUMMYFUNCTION("""COMPUTED_VALUE"""),"ETCR")</f>
        <v>ETCR</v>
      </c>
      <c r="Y2599" s="213" t="str">
        <f>IFERROR(__xludf.DUMMYFUNCTION("""COMPUTED_VALUE"""),"ETCR4300")</f>
        <v>ETCR4300</v>
      </c>
      <c r="Z2599" s="215" t="str">
        <f>IFERROR(__xludf.DUMMYFUNCTION("""COMPUTED_VALUE"""),"https://www.amazon.com/ETCR-Three-Phase-Voltammeter-0-0mA-20-0A-0-0-360-0%C2%B0/dp/B0CXMBSWJH")</f>
        <v>https://www.amazon.com/ETCR-Three-Phase-Voltammeter-0-0mA-20-0A-0-0-360-0%C2%B0/dp/B0CXMBSWJH</v>
      </c>
      <c r="AA2599" s="213" t="str">
        <f>IFERROR(__xludf.DUMMYFUNCTION("""COMPUTED_VALUE"""),"ESP-380 VATÍMETRO DIGITAL - CET")</f>
        <v>ESP-380 VATÍMETRO DIGITAL - CET</v>
      </c>
      <c r="AB2599" s="215" t="str">
        <f>IFERROR(__xludf.DUMMYFUNCTION("""COMPUTED_VALUE"""),"https://drive.google.com/file/d/1hFU-Fna5_ftDj9uwsRQc7rJMTCcTNLkZ/view")</f>
        <v>https://drive.google.com/file/d/1hFU-Fna5_ftDj9uwsRQc7rJMTCcTNLkZ/view</v>
      </c>
      <c r="AC2599" s="213"/>
      <c r="AD2599" s="213"/>
      <c r="AE2599" s="213"/>
      <c r="AF2599" s="213"/>
      <c r="AG2599" s="213"/>
      <c r="AH2599" s="213"/>
      <c r="AI2599" s="213"/>
      <c r="AJ2599" s="213"/>
      <c r="AK2599" s="213"/>
      <c r="AL2599" s="213"/>
      <c r="AM2599" s="213"/>
      <c r="AN2599" s="213"/>
      <c r="AO2599" s="213"/>
      <c r="AP2599" s="213" t="str">
        <f>IFERROR(__xludf.DUMMYFUNCTION("""COMPUTED_VALUE"""),"BRUNO")</f>
        <v>BRUNO</v>
      </c>
      <c r="AQ2599" s="213"/>
      <c r="AR2599" s="213"/>
      <c r="AS2599" s="213"/>
      <c r="AT2599" s="213"/>
      <c r="AU2599" s="213"/>
      <c r="AV2599" s="213"/>
      <c r="AW2599" s="213"/>
      <c r="AX2599" s="213"/>
      <c r="AY2599" s="213"/>
      <c r="AZ2599" s="213"/>
      <c r="BA2599" s="213"/>
      <c r="BB2599" s="213"/>
      <c r="BC2599" s="213"/>
      <c r="BD2599" s="213"/>
    </row>
    <row r="2600">
      <c r="A2600" s="213">
        <f>IFERROR(__xludf.DUMMYFUNCTION("""COMPUTED_VALUE"""),696.0)</f>
        <v>696</v>
      </c>
      <c r="B2600" s="213" t="str">
        <f>IFERROR(__xludf.DUMMYFUNCTION("""COMPUTED_VALUE"""),"6049 RICARDO PALMA")</f>
        <v>6049 RICARDO PALMA</v>
      </c>
      <c r="C2600" s="213" t="str">
        <f>IFERROR(__xludf.DUMMYFUNCTION("""COMPUTED_VALUE"""),"TALLER SFT DE ELECTRÓNICA")</f>
        <v>TALLER SFT DE ELECTRÓNICA</v>
      </c>
      <c r="D2600" s="213" t="str">
        <f>IFERROR(__xludf.DUMMYFUNCTION("""COMPUTED_VALUE"""),"EQUIPOS")</f>
        <v>EQUIPOS</v>
      </c>
      <c r="E2600" s="213" t="str">
        <f>IFERROR(__xludf.DUMMYFUNCTION("""COMPUTED_VALUE"""),"ESP-381")</f>
        <v>ESP-381</v>
      </c>
      <c r="F2600" s="213" t="str">
        <f>IFERROR(__xludf.DUMMYFUNCTION("""COMPUTED_VALUE"""),"ESP-381")</f>
        <v>ESP-381</v>
      </c>
      <c r="G2600" s="213"/>
      <c r="H2600" s="213" t="str">
        <f>IFERROR(__xludf.DUMMYFUNCTION("""COMPUTED_VALUE"""),"VECTOR ANALIZADOR DE REDES")</f>
        <v>VECTOR ANALIZADOR DE REDES</v>
      </c>
      <c r="I2600" s="213" t="str">
        <f>IFERROR(__xludf.DUMMYFUNCTION("""COMPUTED_VALUE"""),"· Prueba de sistema de radiofrecuencia, con visualización gráfica.
· Frecuencia entre: 100 KHz a ≥1.4 GHz.
· Con conector N.
· Mínimas mediciones de vector S11 y S21.
· Analizador de espectro y mediciones FDR (Reflectó metro de dominio de frecuencia).
· C"&amp;"uenta con pantalla retro-iluminada a color.
· Menús de navegación fáciles de usar, configuraciones de color personalizadas por el usuario.
· 50 espacios de memoria para guardar gráficos.
· Cambio entre: VNA, medidor de pérdida de retorno y SWR.
· Interfac"&amp;"e de comunicación: Puerto USB.
· Incluye cables para pruebas.
· Alimentacion : 220V/60Hz")</f>
        <v>· Prueba de sistema de radiofrecuencia, con visualización gráfica.
· Frecuencia entre: 100 KHz a ≥1.4 GHz.
· Con conector N.
· Mínimas mediciones de vector S11 y S21.
· Analizador de espectro y mediciones FDR (Reflectó metro de dominio de frecuencia).
· Cuenta con pantalla retro-iluminada a color.
· Menús de navegación fáciles de usar, configuraciones de color personalizadas por el usuario.
· 50 espacios de memoria para guardar gráficos.
· Cambio entre: VNA, medidor de pérdida de retorno y SWR.
· Interface de comunicación: Puerto USB.
· Incluye cables para pruebas.
· Alimentacion : 220V/60Hz</v>
      </c>
      <c r="J2600" s="213">
        <f>IFERROR(__xludf.DUMMYFUNCTION("""COMPUTED_VALUE"""),3.0)</f>
        <v>3</v>
      </c>
      <c r="K2600" s="213" t="str">
        <f>IFERROR(__xludf.DUMMYFUNCTION("""COMPUTED_VALUE"""),"170 DÍAS CALENDARIO")</f>
        <v>170 DÍAS CALENDARIO</v>
      </c>
      <c r="L2600" s="213" t="str">
        <f>IFERROR(__xludf.DUMMYFUNCTION("""COMPUTED_VALUE"""),"")</f>
        <v/>
      </c>
      <c r="M2600" s="213">
        <f>IFERROR(__xludf.DUMMYFUNCTION("""COMPUTED_VALUE"""),1.0)</f>
        <v>1</v>
      </c>
      <c r="N2600" s="213">
        <f>IFERROR(__xludf.DUMMYFUNCTION("""COMPUTED_VALUE"""),2.0)</f>
        <v>2</v>
      </c>
      <c r="O2600" s="213">
        <f>IFERROR(__xludf.DUMMYFUNCTION("""COMPUTED_VALUE"""),2.0)</f>
        <v>2</v>
      </c>
      <c r="P2600" s="213"/>
      <c r="Q2600" s="213"/>
      <c r="R2600" s="213"/>
      <c r="S2600" s="213" t="str">
        <f>IFERROR(__xludf.DUMMYFUNCTION("""COMPUTED_VALUE"""),"SI")</f>
        <v>SI</v>
      </c>
      <c r="T2600" s="213" t="str">
        <f>IFERROR(__xludf.DUMMYFUNCTION("""COMPUTED_VALUE"""),"SI")</f>
        <v>SI</v>
      </c>
      <c r="U2600" s="213" t="str">
        <f>IFERROR(__xludf.DUMMYFUNCTION("""COMPUTED_VALUE"""),"SI")</f>
        <v>SI</v>
      </c>
      <c r="V2600" s="213" t="str">
        <f>IFERROR(__xludf.DUMMYFUNCTION("""COMPUTED_VALUE"""),"-")</f>
        <v>-</v>
      </c>
      <c r="W2600" s="213" t="str">
        <f>IFERROR(__xludf.DUMMYFUNCTION("""COMPUTED_VALUE"""),"-")</f>
        <v>-</v>
      </c>
      <c r="X2600" s="213" t="str">
        <f>IFERROR(__xludf.DUMMYFUNCTION("""COMPUTED_VALUE"""),"AEA Technology")</f>
        <v>AEA Technology</v>
      </c>
      <c r="Y2600" s="213" t="str">
        <f>IFERROR(__xludf.DUMMYFUNCTION("""COMPUTED_VALUE"""),"VNA Site Analyzer ")</f>
        <v>VNA Site Analyzer </v>
      </c>
      <c r="Z2600" s="215" t="str">
        <f>IFERROR(__xludf.DUMMYFUNCTION("""COMPUTED_VALUE"""),"https://www.aeatechnology.com/new-vna-and-swr-site-analyzer")</f>
        <v>https://www.aeatechnology.com/new-vna-and-swr-site-analyzer</v>
      </c>
      <c r="AA2600" s="213" t="str">
        <f>IFERROR(__xludf.DUMMYFUNCTION("""COMPUTED_VALUE"""),"ESP-381 VECTOR ANALIZADOR DE REDES - CET")</f>
        <v>ESP-381 VECTOR ANALIZADOR DE REDES - CET</v>
      </c>
      <c r="AB2600" s="215" t="str">
        <f>IFERROR(__xludf.DUMMYFUNCTION("""COMPUTED_VALUE"""),"https://tessco-product-images-commerce-cloud-prod.s3.amazonaws.com/Resources/218473_AEA_2018.pdf")</f>
        <v>https://tessco-product-images-commerce-cloud-prod.s3.amazonaws.com/Resources/218473_AEA_2018.pdf</v>
      </c>
      <c r="AC2600" s="213"/>
      <c r="AD2600" s="213"/>
      <c r="AE2600" s="213"/>
      <c r="AF2600" s="213"/>
      <c r="AG2600" s="213"/>
      <c r="AH2600" s="213"/>
      <c r="AI2600" s="213"/>
      <c r="AJ2600" s="213"/>
      <c r="AK2600" s="213"/>
      <c r="AL2600" s="213"/>
      <c r="AM2600" s="213"/>
      <c r="AN2600" s="213"/>
      <c r="AO2600" s="213"/>
      <c r="AP2600" s="213" t="str">
        <f>IFERROR(__xludf.DUMMYFUNCTION("""COMPUTED_VALUE"""),"BRUNO")</f>
        <v>BRUNO</v>
      </c>
      <c r="AQ2600" s="213" t="str">
        <f>IFERROR(__xludf.DUMMYFUNCTION("""COMPUTED_VALUE"""),"Agregar CARGADOR DE BATERÍAS   13.8-20VDC @ 800 mA min. or 8 AA NiMH")</f>
        <v>Agregar CARGADOR DE BATERÍAS   13.8-20VDC @ 800 mA min. or 8 AA NiMH</v>
      </c>
      <c r="AR2600" s="213"/>
      <c r="AS2600" s="213" t="str">
        <f>IFERROR(__xludf.DUMMYFUNCTION("""COMPUTED_VALUE"""),"CARGADOR DE 8 PILAS RECARGABLES BATERÍAS AA Y AAA INDEPENDIENTES CABLE")</f>
        <v>CARGADOR DE 8 PILAS RECARGABLES BATERÍAS AA Y AAA INDEPENDIENTES CABLE</v>
      </c>
      <c r="AT2600" s="216" t="str">
        <f>IFERROR(__xludf.DUMMYFUNCTION("""COMPUTED_VALUE"""),"https://simple.ripley.com.pe/cargador-de-8-pilas-recargables-baterias-aa-y-aaa-independientes-cable-pmp20000204058?srsltid=AfmBOoog_GuJBc2yPPvcGyOJYsmzodMPgS7dLuISGg3NcdUxM1ZncSf_&amp;color_80=gris&amp;s=mdco")</f>
        <v>https://simple.ripley.com.pe/cargador-de-8-pilas-recargables-baterias-aa-y-aaa-independientes-cable-pmp20000204058?srsltid=AfmBOoog_GuJBc2yPPvcGyOJYsmzodMPgS7dLuISGg3NcdUxM1ZncSf_&amp;color_80=gris&amp;s=mdco</v>
      </c>
      <c r="AU2600" s="213"/>
      <c r="AV2600" s="213"/>
      <c r="AW2600" s="213"/>
      <c r="AX2600" s="213"/>
      <c r="AY2600" s="213"/>
      <c r="AZ2600" s="213"/>
      <c r="BA2600" s="213"/>
      <c r="BB2600" s="213"/>
      <c r="BC2600" s="213"/>
      <c r="BD2600" s="213"/>
    </row>
    <row r="2601">
      <c r="A2601" s="213">
        <f>IFERROR(__xludf.DUMMYFUNCTION("""COMPUTED_VALUE"""),2530.0)</f>
        <v>2530</v>
      </c>
      <c r="B2601" s="213" t="str">
        <f>IFERROR(__xludf.DUMMYFUNCTION("""COMPUTED_VALUE"""),"MANUEL ANTONIO MESONES MURO")</f>
        <v>MANUEL ANTONIO MESONES MURO</v>
      </c>
      <c r="C2601" s="213" t="str">
        <f>IFERROR(__xludf.DUMMYFUNCTION("""COMPUTED_VALUE"""),"TALLER SFT DE CONSTRUCCIONES METÁLICAS")</f>
        <v>TALLER SFT DE CONSTRUCCIONES METÁLICAS</v>
      </c>
      <c r="D2601" s="213" t="str">
        <f>IFERROR(__xludf.DUMMYFUNCTION("""COMPUTED_VALUE"""),"PEDAGOGICO")</f>
        <v>PEDAGOGICO</v>
      </c>
      <c r="E2601" s="213" t="str">
        <f>IFERROR(__xludf.DUMMYFUNCTION("""COMPUTED_VALUE"""),"MAT-505")</f>
        <v>MAT-505</v>
      </c>
      <c r="F2601" s="213" t="str">
        <f>IFERROR(__xludf.DUMMYFUNCTION("""COMPUTED_VALUE"""),"MAT-505")</f>
        <v>MAT-505</v>
      </c>
      <c r="G2601" s="213"/>
      <c r="H2601" s="213" t="str">
        <f>IFERROR(__xludf.DUMMYFUNCTION("""COMPUTED_VALUE"""),"VIDEOS TUTORIALES DEL USO DE LAS MÁQUINAS DE SOLDAR GRABADAS EN USB")</f>
        <v>VIDEOS TUTORIALES DEL USO DE LAS MÁQUINAS DE SOLDAR GRABADAS EN USB</v>
      </c>
      <c r="I2601" s="213" t="str">
        <f>IFERROR(__xludf.DUMMYFUNCTION("""COMPUTED_VALUE"""),"·  El USB tiene la capacidad de mínimo 32 GB, para almacenar los videos o  sobre uso de las máquinas de soldar
Los videos presentan las características y componentes del equipo con la demostración de la instalación y accesorios, demostración del funcionam"&amp;"iento  y las principales funciones que realiza así mismo las normas de seguridad que deben de considerar para su funcionamiento.
Comprende los siguientes videos:
- Proceso de soldadura y sus fundamentos en la industria bajo la AWS
- SMAW: Soldadura por ar"&amp;"co eléctrico manual
- GMAW: Soldadura por arco con electrodo desnudo y gas (MIG-MAG)
- GTAW: Soldadura por arco con electrodo de tungsteno y gas
· Cada video debe tener una duración no menor a 5 minutos.
· El USB tiene 3 tipos de conectores: para conectar"&amp;"se con la PC, Tablet y móvil (conector USB 3.0, conector micro USB, conector tipo C), o en su defecto se proporciona adicionalmente un conector  (cable) con las 3 posibles conexiones.
.  El USB está contenido en un estuche de plástico transparente o simil"&amp;"ar.
· El USB es compatible con iPhone/Android/Windows.")</f>
        <v>·  El USB tiene la capacidad de mínimo 32 GB, para almacenar los videos o  sobre uso de las máquinas de soldar
Los videos presentan las características y componentes del equipo con la demostración de la instalación y accesorios, demostración del funcionamiento  y las principales funciones que realiza así mismo las normas de seguridad que deben de considerar para su funcionamiento.
Comprende los siguientes videos:
- Proceso de soldadura y sus fundamentos en la industria bajo la AWS
- SMAW: Soldadura por arco eléctrico manual
- GMAW: Soldadura por arco con electrodo desnudo y gas (MIG-MAG)
- GTAW: Soldadura por arco con electrodo de tungsteno y gas
· Cada video debe tener una duración no menor a 5 minutos.
· El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v>
      </c>
      <c r="J2601" s="213">
        <f>IFERROR(__xludf.DUMMYFUNCTION("""COMPUTED_VALUE"""),3.0)</f>
        <v>3</v>
      </c>
      <c r="K2601" s="213" t="str">
        <f>IFERROR(__xludf.DUMMYFUNCTION("""COMPUTED_VALUE"""),"170 DÍAS CALENDARIO")</f>
        <v>170 DÍAS CALENDARIO</v>
      </c>
      <c r="L2601" s="213" t="str">
        <f>IFERROR(__xludf.DUMMYFUNCTION("""COMPUTED_VALUE"""),"")</f>
        <v/>
      </c>
      <c r="M2601" s="213">
        <f>IFERROR(__xludf.DUMMYFUNCTION("""COMPUTED_VALUE"""),1.0)</f>
        <v>1</v>
      </c>
      <c r="N2601" s="213">
        <f>IFERROR(__xludf.DUMMYFUNCTION("""COMPUTED_VALUE"""),1.0)</f>
        <v>1</v>
      </c>
      <c r="O2601" s="213">
        <f>IFERROR(__xludf.DUMMYFUNCTION("""COMPUTED_VALUE"""),1.0)</f>
        <v>1</v>
      </c>
      <c r="P2601" s="213"/>
      <c r="Q2601" s="213"/>
      <c r="R2601" s="213"/>
      <c r="S2601" s="213"/>
      <c r="T2601" s="213"/>
      <c r="U2601" s="213"/>
      <c r="V2601" s="213"/>
      <c r="W2601" s="213"/>
      <c r="X2601" s="213"/>
      <c r="Y2601" s="213"/>
      <c r="Z2601" s="213"/>
      <c r="AA2601" s="213"/>
      <c r="AB2601" s="213"/>
      <c r="AC2601" s="213"/>
      <c r="AD2601" s="213"/>
      <c r="AE2601" s="213"/>
      <c r="AF2601" s="213"/>
      <c r="AG2601" s="213"/>
      <c r="AH2601" s="213"/>
      <c r="AI2601" s="213"/>
      <c r="AJ2601" s="213"/>
      <c r="AK2601" s="213"/>
      <c r="AL2601" s="213"/>
      <c r="AM2601" s="213"/>
      <c r="AN2601" s="213"/>
      <c r="AO2601" s="213"/>
      <c r="AP2601" s="213"/>
      <c r="AQ2601" s="213"/>
      <c r="AR2601" s="213"/>
      <c r="AS2601" s="213"/>
      <c r="AT2601" s="213"/>
      <c r="AU2601" s="213"/>
      <c r="AV2601" s="213"/>
      <c r="AW2601" s="213"/>
      <c r="AX2601" s="213"/>
      <c r="AY2601" s="213"/>
      <c r="AZ2601" s="213"/>
      <c r="BA2601" s="213"/>
      <c r="BB2601" s="213"/>
      <c r="BC2601" s="213"/>
      <c r="BD2601" s="213"/>
    </row>
    <row r="2602">
      <c r="A2602" s="213">
        <f>IFERROR(__xludf.DUMMYFUNCTION("""COMPUTED_VALUE"""),1033.0)</f>
        <v>1033</v>
      </c>
      <c r="B2602" s="213" t="str">
        <f>IFERROR(__xludf.DUMMYFUNCTION("""COMPUTED_VALUE"""),"FRANCISCO IRAZOLA")</f>
        <v>FRANCISCO IRAZOLA</v>
      </c>
      <c r="C2602" s="213" t="str">
        <f>IFERROR(__xludf.DUMMYFUNCTION("""COMPUTED_VALUE"""),"TALLER SFT DE MECÁNICA AUTOMOTRIZ")</f>
        <v>TALLER SFT DE MECÁNICA AUTOMOTRIZ</v>
      </c>
      <c r="D2602" s="213" t="str">
        <f>IFERROR(__xludf.DUMMYFUNCTION("""COMPUTED_VALUE"""),"PEDAGOGICO")</f>
        <v>PEDAGOGICO</v>
      </c>
      <c r="E2602" s="213" t="str">
        <f>IFERROR(__xludf.DUMMYFUNCTION("""COMPUTED_VALUE"""),"MAT-477")</f>
        <v>MAT-477</v>
      </c>
      <c r="F2602" s="213" t="str">
        <f>IFERROR(__xludf.DUMMYFUNCTION("""COMPUTED_VALUE"""),"MAT-477")</f>
        <v>MAT-477</v>
      </c>
      <c r="G2602" s="213"/>
      <c r="H2602" s="213" t="str">
        <f>IFERROR(__xludf.DUMMYFUNCTION("""COMPUTED_VALUE"""),"VIDEOS CON INFORMACIÓN VISUAL DE LAS PARTES DE LOS SISTEMAS Y PROCESOS DE MANTENIMIENTO DEL AUTOMÓVIL, GRABADO EN USB")</f>
        <v>VIDEOS CON INFORMACIÓN VISUAL DE LAS PARTES DE LOS SISTEMAS Y PROCESOS DE MANTENIMIENTO DEL AUTOMÓVIL, GRABADO EN USB</v>
      </c>
      <c r="I2602" s="213" t="str">
        <f>IFERROR(__xludf.DUMMYFUNCTION("""COMPUTED_VALUE"""),"Calidad física
· El USB tiene la capacidad de mínimo 32 GB, para almacenar información visual y auditiva de las partes de los sistemas y procesos de mantenimiento del automóvil.
·        Video grabado USB tiene 3 tipos de conectores: para conectarse con l"&amp;"a PC, Tablet y móvil (conector USB 3.0, conector micro USB, conector tipo C).
·        Video grabado en formato MP4 / AVI, en alta resolución 4K o HD
·        El video tendrá una duración de 50 minutos como mínimo. Dividido en cinco secciones de 10 minuto"&amp;"s Calidad pedagógica
·        La primera sección presenta el video de mantenimiento del sistema de suspensión, dirección y frenos
·        La segunda sección presenta el video del mantenimiento del sistema transmisión de potencia
·        La tercera secci"&amp;"ón presenta el video del mantenimiento del sistema eléctrico electrónico
·        La cuarta sección presenta el video del mantenimiento de motores de gasolina
·        La quinta sección presenta el video del mantenimiento de motores diesel
·        Cada s"&amp;"ección presentará la descripción, principios de funcionamiento, partes y el funcionamiento del sistema
·        Cada sección integra imágenes, sonido, video y textos de manera creativa y motivadora para adolescentes de educación secundaria.")</f>
        <v>Calidad física
· El USB tiene la capacidad de mínimo 32 GB, para almacenar información visual y auditiva de las partes de los sistemas y procesos de mantenimiento del automóvil.
·        Video grabado USB tiene 3 tipos de conectores: para conectarse con la PC, Tablet y móvil (conector USB 3.0, conector micro USB, conector tipo C).
·        Video grabado en formato MP4 / AVI, en alta resolución 4K o HD
·        El video tendrá una duración de 50 minutos como mínimo. Dividido en cinco secciones de 10 minutos Calidad pedagógica
·        La primera sección presenta el video de mantenimiento del sistema de suspensión, dirección y frenos
·        La segunda sección presenta el video del mantenimiento del sistema transmisión de potencia
·        La tercera sección presenta el video del mantenimiento del sistema eléctrico electrónico
·        La cuarta sección presenta el video del mantenimiento de motores de gasolina
·        La quinta sección presenta el video del mantenimiento de motores diesel
·        Cada sección presentará la descripción, principios de funcionamiento, partes y el funcionamiento del sistema
·        Cada sección integra imágenes, sonido, video y textos de manera creativa y motivadora para adolescentes de educación secundaria.</v>
      </c>
      <c r="J2602" s="213">
        <f>IFERROR(__xludf.DUMMYFUNCTION("""COMPUTED_VALUE"""),3.0)</f>
        <v>3</v>
      </c>
      <c r="K2602" s="213" t="str">
        <f>IFERROR(__xludf.DUMMYFUNCTION("""COMPUTED_VALUE"""),"170 DÍAS CALENDARIO")</f>
        <v>170 DÍAS CALENDARIO</v>
      </c>
      <c r="L2602" s="213" t="str">
        <f>IFERROR(__xludf.DUMMYFUNCTION("""COMPUTED_VALUE"""),"")</f>
        <v/>
      </c>
      <c r="M2602" s="213">
        <f>IFERROR(__xludf.DUMMYFUNCTION("""COMPUTED_VALUE"""),1.0)</f>
        <v>1</v>
      </c>
      <c r="N2602" s="213">
        <f>IFERROR(__xludf.DUMMYFUNCTION("""COMPUTED_VALUE"""),1.0)</f>
        <v>1</v>
      </c>
      <c r="O2602" s="213">
        <f>IFERROR(__xludf.DUMMYFUNCTION("""COMPUTED_VALUE"""),1.0)</f>
        <v>1</v>
      </c>
      <c r="P2602" s="213"/>
      <c r="Q2602" s="213"/>
      <c r="R2602" s="213"/>
      <c r="S2602" s="213"/>
      <c r="T2602" s="213"/>
      <c r="U2602" s="213"/>
      <c r="V2602" s="213"/>
      <c r="W2602" s="213"/>
      <c r="X2602" s="213"/>
      <c r="Y2602" s="213"/>
      <c r="Z2602" s="213"/>
      <c r="AA2602" s="213"/>
      <c r="AB2602" s="213"/>
      <c r="AC2602" s="213"/>
      <c r="AD2602" s="213"/>
      <c r="AE2602" s="213"/>
      <c r="AF2602" s="213"/>
      <c r="AG2602" s="213"/>
      <c r="AH2602" s="213"/>
      <c r="AI2602" s="213"/>
      <c r="AJ2602" s="213"/>
      <c r="AK2602" s="213"/>
      <c r="AL2602" s="213"/>
      <c r="AM2602" s="213"/>
      <c r="AN2602" s="213"/>
      <c r="AO2602" s="213"/>
      <c r="AP2602" s="213"/>
      <c r="AQ2602" s="213"/>
      <c r="AR2602" s="213"/>
      <c r="AS2602" s="213"/>
      <c r="AT2602" s="213"/>
      <c r="AU2602" s="213"/>
      <c r="AV2602" s="213"/>
      <c r="AW2602" s="213"/>
      <c r="AX2602" s="213"/>
      <c r="AY2602" s="213"/>
      <c r="AZ2602" s="213"/>
      <c r="BA2602" s="213"/>
      <c r="BB2602" s="213"/>
      <c r="BC2602" s="213"/>
      <c r="BD2602" s="213"/>
    </row>
    <row r="2603">
      <c r="A2603" s="213">
        <f>IFERROR(__xludf.DUMMYFUNCTION("""COMPUTED_VALUE"""),1638.0)</f>
        <v>1638</v>
      </c>
      <c r="B2603" s="213" t="str">
        <f>IFERROR(__xludf.DUMMYFUNCTION("""COMPUTED_VALUE"""),"GUILLERMO E. BILLINGHURST ")</f>
        <v>GUILLERMO E. BILLINGHURST </v>
      </c>
      <c r="C2603" s="213" t="str">
        <f>IFERROR(__xludf.DUMMYFUNCTION("""COMPUTED_VALUE"""),"TALLER SFT DE MECÁNICA AUTOMOTRIZ")</f>
        <v>TALLER SFT DE MECÁNICA AUTOMOTRIZ</v>
      </c>
      <c r="D2603" s="213" t="str">
        <f>IFERROR(__xludf.DUMMYFUNCTION("""COMPUTED_VALUE"""),"PEDAGOGICO")</f>
        <v>PEDAGOGICO</v>
      </c>
      <c r="E2603" s="213" t="str">
        <f>IFERROR(__xludf.DUMMYFUNCTION("""COMPUTED_VALUE"""),"MAT-477")</f>
        <v>MAT-477</v>
      </c>
      <c r="F2603" s="213" t="str">
        <f>IFERROR(__xludf.DUMMYFUNCTION("""COMPUTED_VALUE"""),"MAT-477")</f>
        <v>MAT-477</v>
      </c>
      <c r="G2603" s="213"/>
      <c r="H2603" s="213" t="str">
        <f>IFERROR(__xludf.DUMMYFUNCTION("""COMPUTED_VALUE"""),"VIDEOS CON INFORMACIÓN VISUAL DE LAS PARTES DE LOS SISTEMAS Y PROCESOS DE MANTENIMIENTO DEL AUTOMÓVIL, GRABADO EN USB")</f>
        <v>VIDEOS CON INFORMACIÓN VISUAL DE LAS PARTES DE LOS SISTEMAS Y PROCESOS DE MANTENIMIENTO DEL AUTOMÓVIL, GRABADO EN USB</v>
      </c>
      <c r="I2603" s="213" t="str">
        <f>IFERROR(__xludf.DUMMYFUNCTION("""COMPUTED_VALUE"""),"Calidad física
· El USB tiene la capacidad de mínimo 32 GB, para almacenar información visual y auditiva de las partes de los sistemas y procesos de mantenimiento del automóvil.
·        Video grabado USB tiene 3 tipos de conectores: para conectarse con l"&amp;"a PC, Tablet y móvil (conector USB 3.0, conector micro USB, conector tipo C).
·        Video grabado en formato MP4 / AVI, en alta resolución 4K o HD
·        El video tendrá una duración de 50 minutos como mínimo. Dividido en cinco secciones de 10 minuto"&amp;"s Calidad pedagógica
·        La primera sección presenta el video de mantenimiento del sistema de suspensión, dirección y frenos
·        La segunda sección presenta el video del mantenimiento del sistema transmisión de potencia
·        La tercera secci"&amp;"ón presenta el video del mantenimiento del sistema eléctrico electrónico
·        La cuarta sección presenta el video del mantenimiento de motores de gasolina
·        La quinta sección presenta el video del mantenimiento de motores diesel
·        Cada s"&amp;"ección presentará la descripción, principios de funcionamiento, partes y el funcionamiento del sistema
·        Cada sección integra imágenes, sonido, video y textos de manera creativa y motivadora para adolescentes de educación secundaria.")</f>
        <v>Calidad física
· El USB tiene la capacidad de mínimo 32 GB, para almacenar información visual y auditiva de las partes de los sistemas y procesos de mantenimiento del automóvil.
·        Video grabado USB tiene 3 tipos de conectores: para conectarse con la PC, Tablet y móvil (conector USB 3.0, conector micro USB, conector tipo C).
·        Video grabado en formato MP4 / AVI, en alta resolución 4K o HD
·        El video tendrá una duración de 50 minutos como mínimo. Dividido en cinco secciones de 10 minutos Calidad pedagógica
·        La primera sección presenta el video de mantenimiento del sistema de suspensión, dirección y frenos
·        La segunda sección presenta el video del mantenimiento del sistema transmisión de potencia
·        La tercera sección presenta el video del mantenimiento del sistema eléctrico electrónico
·        La cuarta sección presenta el video del mantenimiento de motores de gasolina
·        La quinta sección presenta el video del mantenimiento de motores diesel
·        Cada sección presentará la descripción, principios de funcionamiento, partes y el funcionamiento del sistema
·        Cada sección integra imágenes, sonido, video y textos de manera creativa y motivadora para adolescentes de educación secundaria.</v>
      </c>
      <c r="J2603" s="213">
        <f>IFERROR(__xludf.DUMMYFUNCTION("""COMPUTED_VALUE"""),3.0)</f>
        <v>3</v>
      </c>
      <c r="K2603" s="213" t="str">
        <f>IFERROR(__xludf.DUMMYFUNCTION("""COMPUTED_VALUE"""),"170 DÍAS CALENDARIO")</f>
        <v>170 DÍAS CALENDARIO</v>
      </c>
      <c r="L2603" s="213" t="str">
        <f>IFERROR(__xludf.DUMMYFUNCTION("""COMPUTED_VALUE"""),"")</f>
        <v/>
      </c>
      <c r="M2603" s="213">
        <f>IFERROR(__xludf.DUMMYFUNCTION("""COMPUTED_VALUE"""),1.0)</f>
        <v>1</v>
      </c>
      <c r="N2603" s="213">
        <f>IFERROR(__xludf.DUMMYFUNCTION("""COMPUTED_VALUE"""),1.0)</f>
        <v>1</v>
      </c>
      <c r="O2603" s="213">
        <f>IFERROR(__xludf.DUMMYFUNCTION("""COMPUTED_VALUE"""),1.0)</f>
        <v>1</v>
      </c>
      <c r="P2603" s="213"/>
      <c r="Q2603" s="213"/>
      <c r="R2603" s="213"/>
      <c r="S2603" s="213"/>
      <c r="T2603" s="213"/>
      <c r="U2603" s="213"/>
      <c r="V2603" s="213"/>
      <c r="W2603" s="213"/>
      <c r="X2603" s="213"/>
      <c r="Y2603" s="213"/>
      <c r="Z2603" s="213"/>
      <c r="AA2603" s="213"/>
      <c r="AB2603" s="213"/>
      <c r="AC2603" s="213"/>
      <c r="AD2603" s="213"/>
      <c r="AE2603" s="213"/>
      <c r="AF2603" s="213"/>
      <c r="AG2603" s="213"/>
      <c r="AH2603" s="213"/>
      <c r="AI2603" s="213"/>
      <c r="AJ2603" s="213"/>
      <c r="AK2603" s="213"/>
      <c r="AL2603" s="213"/>
      <c r="AM2603" s="213"/>
      <c r="AN2603" s="213"/>
      <c r="AO2603" s="213"/>
      <c r="AP2603" s="213"/>
      <c r="AQ2603" s="213"/>
      <c r="AR2603" s="213"/>
      <c r="AS2603" s="213"/>
      <c r="AT2603" s="213"/>
      <c r="AU2603" s="213"/>
      <c r="AV2603" s="213"/>
      <c r="AW2603" s="213"/>
      <c r="AX2603" s="213"/>
      <c r="AY2603" s="213"/>
      <c r="AZ2603" s="213"/>
      <c r="BA2603" s="213"/>
      <c r="BB2603" s="213"/>
      <c r="BC2603" s="213"/>
      <c r="BD2603" s="213"/>
    </row>
    <row r="2604">
      <c r="A2604" s="213">
        <f>IFERROR(__xludf.DUMMYFUNCTION("""COMPUTED_VALUE"""),2329.0)</f>
        <v>2329</v>
      </c>
      <c r="B2604" s="213" t="str">
        <f>IFERROR(__xludf.DUMMYFUNCTION("""COMPUTED_VALUE"""),"JOSE GRANDA")</f>
        <v>JOSE GRANDA</v>
      </c>
      <c r="C2604" s="213" t="str">
        <f>IFERROR(__xludf.DUMMYFUNCTION("""COMPUTED_VALUE"""),"TALLER SFT DE MECÁNICA AUTOMOTRIZ")</f>
        <v>TALLER SFT DE MECÁNICA AUTOMOTRIZ</v>
      </c>
      <c r="D2604" s="213" t="str">
        <f>IFERROR(__xludf.DUMMYFUNCTION("""COMPUTED_VALUE"""),"PEDAGOGICO")</f>
        <v>PEDAGOGICO</v>
      </c>
      <c r="E2604" s="213" t="str">
        <f>IFERROR(__xludf.DUMMYFUNCTION("""COMPUTED_VALUE"""),"MAT-477")</f>
        <v>MAT-477</v>
      </c>
      <c r="F2604" s="213" t="str">
        <f>IFERROR(__xludf.DUMMYFUNCTION("""COMPUTED_VALUE"""),"MAT-477")</f>
        <v>MAT-477</v>
      </c>
      <c r="G2604" s="213"/>
      <c r="H2604" s="213" t="str">
        <f>IFERROR(__xludf.DUMMYFUNCTION("""COMPUTED_VALUE"""),"VIDEOS CON INFORMACIÓN VISUAL DE LAS PARTES DE LOS SISTEMAS Y PROCESOS DE MANTENIMIENTO DEL AUTOMÓVIL, GRABADO EN USB")</f>
        <v>VIDEOS CON INFORMACIÓN VISUAL DE LAS PARTES DE LOS SISTEMAS Y PROCESOS DE MANTENIMIENTO DEL AUTOMÓVIL, GRABADO EN USB</v>
      </c>
      <c r="I2604" s="213" t="str">
        <f>IFERROR(__xludf.DUMMYFUNCTION("""COMPUTED_VALUE"""),"Calidad física
· El USB tiene la capacidad de mínimo 32 GB, para almacenar información visual y auditiva de las partes de los sistemas y procesos de mantenimiento del automóvil.
·        Video grabado USB tiene 3 tipos de conectores: para conectarse con l"&amp;"a PC, Tablet y móvil (conector USB 3.0, conector micro USB, conector tipo C).
·        Video grabado en formato MP4 / AVI, en alta resolución 4K o HD
·        El video tendrá una duración de 50 minutos como mínimo. Dividido en cinco secciones de 10 minuto"&amp;"s Calidad pedagógica
·        La primera sección presenta el video de mantenimiento del sistema de suspensión, dirección y frenos
·        La segunda sección presenta el video del mantenimiento del sistema transmisión de potencia
·        La tercera secci"&amp;"ón presenta el video del mantenimiento del sistema eléctrico electrónico
·        La cuarta sección presenta el video del mantenimiento de motores de gasolina
·        La quinta sección presenta el video del mantenimiento de motores diesel
·        Cada s"&amp;"ección presentará la descripción, principios de funcionamiento, partes y el funcionamiento del sistema
·        Cada sección integra imágenes, sonido, video y textos de manera creativa y motivadora para adolescentes de educación secundaria.")</f>
        <v>Calidad física
· El USB tiene la capacidad de mínimo 32 GB, para almacenar información visual y auditiva de las partes de los sistemas y procesos de mantenimiento del automóvil.
·        Video grabado USB tiene 3 tipos de conectores: para conectarse con la PC, Tablet y móvil (conector USB 3.0, conector micro USB, conector tipo C).
·        Video grabado en formato MP4 / AVI, en alta resolución 4K o HD
·        El video tendrá una duración de 50 minutos como mínimo. Dividido en cinco secciones de 10 minutos Calidad pedagógica
·        La primera sección presenta el video de mantenimiento del sistema de suspensión, dirección y frenos
·        La segunda sección presenta el video del mantenimiento del sistema transmisión de potencia
·        La tercera sección presenta el video del mantenimiento del sistema eléctrico electrónico
·        La cuarta sección presenta el video del mantenimiento de motores de gasolina
·        La quinta sección presenta el video del mantenimiento de motores diesel
·        Cada sección presentará la descripción, principios de funcionamiento, partes y el funcionamiento del sistema
·        Cada sección integra imágenes, sonido, video y textos de manera creativa y motivadora para adolescentes de educación secundaria.</v>
      </c>
      <c r="J2604" s="213">
        <f>IFERROR(__xludf.DUMMYFUNCTION("""COMPUTED_VALUE"""),3.0)</f>
        <v>3</v>
      </c>
      <c r="K2604" s="213" t="str">
        <f>IFERROR(__xludf.DUMMYFUNCTION("""COMPUTED_VALUE"""),"170 DÍAS CALENDARIO")</f>
        <v>170 DÍAS CALENDARIO</v>
      </c>
      <c r="L2604" s="213" t="str">
        <f>IFERROR(__xludf.DUMMYFUNCTION("""COMPUTED_VALUE"""),"")</f>
        <v/>
      </c>
      <c r="M2604" s="213">
        <f>IFERROR(__xludf.DUMMYFUNCTION("""COMPUTED_VALUE"""),1.0)</f>
        <v>1</v>
      </c>
      <c r="N2604" s="213">
        <f>IFERROR(__xludf.DUMMYFUNCTION("""COMPUTED_VALUE"""),1.0)</f>
        <v>1</v>
      </c>
      <c r="O2604" s="213">
        <f>IFERROR(__xludf.DUMMYFUNCTION("""COMPUTED_VALUE"""),1.0)</f>
        <v>1</v>
      </c>
      <c r="P2604" s="213"/>
      <c r="Q2604" s="213"/>
      <c r="R2604" s="213"/>
      <c r="S2604" s="213"/>
      <c r="T2604" s="213"/>
      <c r="U2604" s="213"/>
      <c r="V2604" s="213"/>
      <c r="W2604" s="213"/>
      <c r="X2604" s="213"/>
      <c r="Y2604" s="213"/>
      <c r="Z2604" s="213"/>
      <c r="AA2604" s="213"/>
      <c r="AB2604" s="213"/>
      <c r="AC2604" s="213"/>
      <c r="AD2604" s="213"/>
      <c r="AE2604" s="213"/>
      <c r="AF2604" s="213"/>
      <c r="AG2604" s="213"/>
      <c r="AH2604" s="213"/>
      <c r="AI2604" s="213"/>
      <c r="AJ2604" s="213"/>
      <c r="AK2604" s="213"/>
      <c r="AL2604" s="213"/>
      <c r="AM2604" s="213"/>
      <c r="AN2604" s="213"/>
      <c r="AO2604" s="213"/>
      <c r="AP2604" s="213"/>
      <c r="AQ2604" s="213"/>
      <c r="AR2604" s="213"/>
      <c r="AS2604" s="213"/>
      <c r="AT2604" s="213"/>
      <c r="AU2604" s="213"/>
      <c r="AV2604" s="213"/>
      <c r="AW2604" s="213"/>
      <c r="AX2604" s="213"/>
      <c r="AY2604" s="213"/>
      <c r="AZ2604" s="213"/>
      <c r="BA2604" s="213"/>
      <c r="BB2604" s="213"/>
      <c r="BC2604" s="213"/>
      <c r="BD2604" s="213"/>
    </row>
    <row r="2605">
      <c r="A2605" s="213">
        <f>IFERROR(__xludf.DUMMYFUNCTION("""COMPUTED_VALUE"""),686.0)</f>
        <v>686</v>
      </c>
      <c r="B2605" s="213" t="str">
        <f>IFERROR(__xludf.DUMMYFUNCTION("""COMPUTED_VALUE"""),"6049 RICARDO PALMA")</f>
        <v>6049 RICARDO PALMA</v>
      </c>
      <c r="C2605" s="213" t="str">
        <f>IFERROR(__xludf.DUMMYFUNCTION("""COMPUTED_VALUE"""),"TALLER SFT DE ELECTRÓNICA")</f>
        <v>TALLER SFT DE ELECTRÓNICA</v>
      </c>
      <c r="D2605" s="213" t="str">
        <f>IFERROR(__xludf.DUMMYFUNCTION("""COMPUTED_VALUE"""),"PEDAGOGICO")</f>
        <v>PEDAGOGICO</v>
      </c>
      <c r="E2605" s="213" t="str">
        <f>IFERROR(__xludf.DUMMYFUNCTION("""COMPUTED_VALUE"""),"MAT-480")</f>
        <v>MAT-480</v>
      </c>
      <c r="F2605" s="213" t="str">
        <f>IFERROR(__xludf.DUMMYFUNCTION("""COMPUTED_VALUE"""),"MAT-480-Y")</f>
        <v>MAT-480-Y</v>
      </c>
      <c r="G2605" s="213"/>
      <c r="H2605" s="213" t="str">
        <f>IFERROR(__xludf.DUMMYFUNCTION("""COMPUTED_VALUE"""),"VIDEOS CORTOS INSTRUCTIVOS PARA SU USO DEL KIT DE ROBOTS")</f>
        <v>VIDEOS CORTOS INSTRUCTIVOS PARA SU USO DEL KIT DE ROBOTS</v>
      </c>
      <c r="I2605" s="213" t="str">
        <f>IFERROR(__xludf.DUMMYFUNCTION("""COMPUTED_VALUE"""),"Calidad física
·        Video grabado USB con capacidad de mínimo 32 GB para almacenar, tiene 3 tipos de conectores: para conectarse con la PC, Tablet y móvil (conector USB 3.0, conector micro USB, conector tipo C).
·        Video grabado en formato MP4 /"&amp;" AVI, en alta resolución 4K o HD
.  El USB está contenido en un estuche de plástico transparente o similar.
·  El USB es compatible con iPhone/Android/Windows.
·    El video tendrá una duración de 20 minutos como mínimo
· Se presenta el video tutorial del"&amp;" uso de cada cada equipo de electrónica básica
· Cada sección presentará: el título de la técnica, las descripción y partes de la máquina, demostración de la preparación de la máquina, demostración del funcionamiento, mantenimiento preventivo y aplicación"&amp;" de normas de seguridad.
· Cada sección integra imágenes, sonido, video y textos de manera creativa y motivadora para adolescentes de educación secundaria.")</f>
        <v>Calidad física
·        Video grabado USB con capacidad de mínimo 32 GB para almacenar, tiene 3 tipos de conectores: para conectarse con la PC, Tablet y móvil (conector USB 3.0, conector micro USB, conector tipo C).
·        Video grabado en formato MP4 / AVI, en alta resolución 4K o HD
.  El USB está contenido en un estuche de plástico transparente o similar.
·  El USB es compatible con iPhone/Android/Windows.
·    El video tendrá una duración de 20 minutos como mínimo
· Se presenta el video tutorial del uso de cada cada equipo de electrónica básica
· Cada sección presentará: el título de la técnica, las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05" s="213">
        <f>IFERROR(__xludf.DUMMYFUNCTION("""COMPUTED_VALUE"""),3.0)</f>
        <v>3</v>
      </c>
      <c r="K2605" s="213" t="str">
        <f>IFERROR(__xludf.DUMMYFUNCTION("""COMPUTED_VALUE"""),"170 DÍAS CALENDARIO")</f>
        <v>170 DÍAS CALENDARIO</v>
      </c>
      <c r="L2605" s="213" t="str">
        <f>IFERROR(__xludf.DUMMYFUNCTION("""COMPUTED_VALUE"""),"")</f>
        <v/>
      </c>
      <c r="M2605" s="213">
        <f>IFERROR(__xludf.DUMMYFUNCTION("""COMPUTED_VALUE"""),1.0)</f>
        <v>1</v>
      </c>
      <c r="N2605" s="213">
        <f>IFERROR(__xludf.DUMMYFUNCTION("""COMPUTED_VALUE"""),4.0)</f>
        <v>4</v>
      </c>
      <c r="O2605" s="213">
        <f>IFERROR(__xludf.DUMMYFUNCTION("""COMPUTED_VALUE"""),4.0)</f>
        <v>4</v>
      </c>
      <c r="P2605" s="213"/>
      <c r="Q2605" s="213"/>
      <c r="R2605" s="213"/>
      <c r="S2605" s="213"/>
      <c r="T2605" s="213"/>
      <c r="U2605" s="213"/>
      <c r="V2605" s="213"/>
      <c r="W2605" s="213"/>
      <c r="X2605" s="213"/>
      <c r="Y2605" s="213"/>
      <c r="Z2605" s="213"/>
      <c r="AA2605" s="213"/>
      <c r="AB2605" s="213"/>
      <c r="AC2605" s="213"/>
      <c r="AD2605" s="213"/>
      <c r="AE2605" s="213"/>
      <c r="AF2605" s="213"/>
      <c r="AG2605" s="213"/>
      <c r="AH2605" s="213"/>
      <c r="AI2605" s="213"/>
      <c r="AJ2605" s="213"/>
      <c r="AK2605" s="213"/>
      <c r="AL2605" s="213"/>
      <c r="AM2605" s="213"/>
      <c r="AN2605" s="213"/>
      <c r="AO2605" s="213"/>
      <c r="AP2605" s="213"/>
      <c r="AQ2605" s="213"/>
      <c r="AR2605" s="213"/>
      <c r="AS2605" s="213">
        <f>IFERROR(__xludf.DUMMYFUNCTION("""COMPUTED_VALUE"""),0.0)</f>
        <v>0</v>
      </c>
      <c r="AT2605" s="213"/>
      <c r="AU2605" s="213"/>
      <c r="AV2605" s="213"/>
      <c r="AW2605" s="213"/>
      <c r="AX2605" s="213"/>
      <c r="AY2605" s="213"/>
      <c r="AZ2605" s="213"/>
      <c r="BA2605" s="213"/>
      <c r="BB2605" s="213"/>
      <c r="BC2605" s="213"/>
      <c r="BD2605" s="213"/>
    </row>
    <row r="2606">
      <c r="A2606" s="213">
        <f>IFERROR(__xludf.DUMMYFUNCTION("""COMPUTED_VALUE"""),680.0)</f>
        <v>680</v>
      </c>
      <c r="B2606" s="213" t="str">
        <f>IFERROR(__xludf.DUMMYFUNCTION("""COMPUTED_VALUE"""),"6049 RICARDO PALMA")</f>
        <v>6049 RICARDO PALMA</v>
      </c>
      <c r="C2606" s="213" t="str">
        <f>IFERROR(__xludf.DUMMYFUNCTION("""COMPUTED_VALUE"""),"TALLER SFT DE ELECTRÓNICA")</f>
        <v>TALLER SFT DE ELECTRÓNICA</v>
      </c>
      <c r="D2606" s="213" t="str">
        <f>IFERROR(__xludf.DUMMYFUNCTION("""COMPUTED_VALUE"""),"PEDAGOGICO")</f>
        <v>PEDAGOGICO</v>
      </c>
      <c r="E2606" s="213" t="str">
        <f>IFERROR(__xludf.DUMMYFUNCTION("""COMPUTED_VALUE"""),"MAT-480")</f>
        <v>MAT-480</v>
      </c>
      <c r="F2606" s="213" t="str">
        <f>IFERROR(__xludf.DUMMYFUNCTION("""COMPUTED_VALUE"""),"MAT-480-X")</f>
        <v>MAT-480-X</v>
      </c>
      <c r="G2606" s="213"/>
      <c r="H2606" s="213" t="str">
        <f>IFERROR(__xludf.DUMMYFUNCTION("""COMPUTED_VALUE"""),"VIDEOS CORTOS INSTRUCTIVOS PARA SU USO, POR  KIT DE ELECTRÓNICA CON PLATAFORMA ELECTRÓNICA DE CÓDIGO ABIERTO")</f>
        <v>VIDEOS CORTOS INSTRUCTIVOS PARA SU USO, POR  KIT DE ELECTRÓNICA CON PLATAFORMA ELECTRÓNICA DE CÓDIGO ABIERTO</v>
      </c>
      <c r="I2606" s="213" t="str">
        <f>IFERROR(__xludf.DUMMYFUNCTION("""COMPUTED_VALUE"""),"Calidad física
·        Video grabado USB con capacidad de mínimo 32 GB para almacenar, tiene 3 tipos de conectores: para conectarse con la PC, Tablet y móvil (conector USB 3.0, conector micro USB, conector tipo C).
·        Video grabado en formato MP4 /"&amp;" AVI, en alta resolución 4K o HD
.  El USB está contenido en un estuche de plástico transparente o similar.
·  El USB es compatible con iPhone/Android/Windows.
·    El video tendrá una duración de 20 minutos como mínimo
· Se presenta el video tutorial del"&amp;" uso de cada cada equipo de electrónica básica
· Cada sección presentará: el título de la técnica, las descripción y partes de la máquina, demostración de la preparación de la máquina, demostración del funcionamiento, mantenimiento preventivo y aplicación"&amp;" de normas de seguridad.
· Cada sección integra imágenes, sonido, video y textos de manera creativa y motivadora para adolescentes de educación secundaria.")</f>
        <v>Calidad física
·        Video grabado USB con capacidad de mínimo 32 GB para almacenar, tiene 3 tipos de conectores: para conectarse con la PC, Tablet y móvil (conector USB 3.0, conector micro USB, conector tipo C).
·        Video grabado en formato MP4 / AVI, en alta resolución 4K o HD
.  El USB está contenido en un estuche de plástico transparente o similar.
·  El USB es compatible con iPhone/Android/Windows.
·    El video tendrá una duración de 20 minutos como mínimo
· Se presenta el video tutorial del uso de cada cada equipo de electrónica básica
· Cada sección presentará: el título de la técnica, las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06" s="213">
        <f>IFERROR(__xludf.DUMMYFUNCTION("""COMPUTED_VALUE"""),3.0)</f>
        <v>3</v>
      </c>
      <c r="K2606" s="213" t="str">
        <f>IFERROR(__xludf.DUMMYFUNCTION("""COMPUTED_VALUE"""),"170 DÍAS CALENDARIO")</f>
        <v>170 DÍAS CALENDARIO</v>
      </c>
      <c r="L2606" s="213" t="str">
        <f>IFERROR(__xludf.DUMMYFUNCTION("""COMPUTED_VALUE"""),"")</f>
        <v/>
      </c>
      <c r="M2606" s="213">
        <f>IFERROR(__xludf.DUMMYFUNCTION("""COMPUTED_VALUE"""),1.0)</f>
        <v>1</v>
      </c>
      <c r="N2606" s="213">
        <f>IFERROR(__xludf.DUMMYFUNCTION("""COMPUTED_VALUE"""),4.0)</f>
        <v>4</v>
      </c>
      <c r="O2606" s="213">
        <f>IFERROR(__xludf.DUMMYFUNCTION("""COMPUTED_VALUE"""),4.0)</f>
        <v>4</v>
      </c>
      <c r="P2606" s="213"/>
      <c r="Q2606" s="213"/>
      <c r="R2606" s="213"/>
      <c r="S2606" s="213"/>
      <c r="T2606" s="213"/>
      <c r="U2606" s="213"/>
      <c r="V2606" s="213"/>
      <c r="W2606" s="213"/>
      <c r="X2606" s="213"/>
      <c r="Y2606" s="213"/>
      <c r="Z2606" s="213"/>
      <c r="AA2606" s="213"/>
      <c r="AB2606" s="213"/>
      <c r="AC2606" s="213"/>
      <c r="AD2606" s="213"/>
      <c r="AE2606" s="213"/>
      <c r="AF2606" s="213"/>
      <c r="AG2606" s="213"/>
      <c r="AH2606" s="213"/>
      <c r="AI2606" s="213"/>
      <c r="AJ2606" s="213"/>
      <c r="AK2606" s="213"/>
      <c r="AL2606" s="213"/>
      <c r="AM2606" s="213"/>
      <c r="AN2606" s="213"/>
      <c r="AO2606" s="213"/>
      <c r="AP2606" s="213"/>
      <c r="AQ2606" s="213"/>
      <c r="AR2606" s="213"/>
      <c r="AS2606" s="213">
        <f>IFERROR(__xludf.DUMMYFUNCTION("""COMPUTED_VALUE"""),0.0)</f>
        <v>0</v>
      </c>
      <c r="AT2606" s="213"/>
      <c r="AU2606" s="213"/>
      <c r="AV2606" s="213"/>
      <c r="AW2606" s="213"/>
      <c r="AX2606" s="213"/>
      <c r="AY2606" s="213"/>
      <c r="AZ2606" s="213"/>
      <c r="BA2606" s="213"/>
      <c r="BB2606" s="213"/>
      <c r="BC2606" s="213"/>
      <c r="BD2606" s="213"/>
    </row>
    <row r="2607">
      <c r="A2607" s="213">
        <f>IFERROR(__xludf.DUMMYFUNCTION("""COMPUTED_VALUE"""),712.0)</f>
        <v>712</v>
      </c>
      <c r="B2607" s="213" t="str">
        <f>IFERROR(__xludf.DUMMYFUNCTION("""COMPUTED_VALUE"""),"6049 RICARDO PALMA")</f>
        <v>6049 RICARDO PALMA</v>
      </c>
      <c r="C2607" s="213" t="str">
        <f>IFERROR(__xludf.DUMMYFUNCTION("""COMPUTED_VALUE"""),"TALLER SFT DE ELECTRÓNICA")</f>
        <v>TALLER SFT DE ELECTRÓNICA</v>
      </c>
      <c r="D2607" s="213" t="str">
        <f>IFERROR(__xludf.DUMMYFUNCTION("""COMPUTED_VALUE"""),"PEDAGOGICO")</f>
        <v>PEDAGOGICO</v>
      </c>
      <c r="E2607" s="213" t="str">
        <f>IFERROR(__xludf.DUMMYFUNCTION("""COMPUTED_VALUE"""),"MAT-480")</f>
        <v>MAT-480</v>
      </c>
      <c r="F2607" s="213" t="str">
        <f>IFERROR(__xludf.DUMMYFUNCTION("""COMPUTED_VALUE"""),"MAT-480-Z")</f>
        <v>MAT-480-Z</v>
      </c>
      <c r="G2607" s="213"/>
      <c r="H2607" s="213" t="str">
        <f>IFERROR(__xludf.DUMMYFUNCTION("""COMPUTED_VALUE"""),"VIDEOS CORTOS INSTRUCTIVOS PARA SU USO, POR CADA EQUIPO DE ELECTRÓNICA BÁSICA")</f>
        <v>VIDEOS CORTOS INSTRUCTIVOS PARA SU USO, POR CADA EQUIPO DE ELECTRÓNICA BÁSICA</v>
      </c>
      <c r="I2607" s="213" t="str">
        <f>IFERROR(__xludf.DUMMYFUNCTION("""COMPUTED_VALUE"""),"Calidad física
·        Video grabado USB con capacidad de mínimo 32 GB para almacenar, tiene 3 tipos de conectores: para conectarse con la PC, Tablet y móvil (conector USB 3.0, conector micro USB, conector tipo C).
·        Video grabado en formato MP4 /"&amp;" AVI, en alta resolución 4K o HD
.  El USB está contenido en un estuche de plástico transparente o similar.
·  El USB es compatible con iPhone/Android/Windows.
·    El video tendrá una duración de 20 minutos como mínimo
· Se presenta el video tutorial del"&amp;" uso de cada cada equipo de electrónica básica
· Cada sección presentará: el título de la técnica, las descripción y partes de la máquina, demostración de la preparación de la máquina, demostración del funcionamiento, mantenimiento preventivo y aplicación"&amp;" de normas de seguridad.
· Cada sección integra imágenes, sonido, video y textos de manera creativa y motivadora para adolescentes de educación secundaria.")</f>
        <v>Calidad física
·        Video grabado USB con capacidad de mínimo 32 GB para almacenar, tiene 3 tipos de conectores: para conectarse con la PC, Tablet y móvil (conector USB 3.0, conector micro USB, conector tipo C).
·        Video grabado en formato MP4 / AVI, en alta resolución 4K o HD
.  El USB está contenido en un estuche de plástico transparente o similar.
·  El USB es compatible con iPhone/Android/Windows.
·    El video tendrá una duración de 20 minutos como mínimo
· Se presenta el video tutorial del uso de cada cada equipo de electrónica básica
· Cada sección presentará: el título de la técnica, las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07" s="213">
        <f>IFERROR(__xludf.DUMMYFUNCTION("""COMPUTED_VALUE"""),3.0)</f>
        <v>3</v>
      </c>
      <c r="K2607" s="213" t="str">
        <f>IFERROR(__xludf.DUMMYFUNCTION("""COMPUTED_VALUE"""),"170 DÍAS CALENDARIO")</f>
        <v>170 DÍAS CALENDARIO</v>
      </c>
      <c r="L2607" s="213" t="str">
        <f>IFERROR(__xludf.DUMMYFUNCTION("""COMPUTED_VALUE"""),"")</f>
        <v/>
      </c>
      <c r="M2607" s="213">
        <f>IFERROR(__xludf.DUMMYFUNCTION("""COMPUTED_VALUE"""),1.0)</f>
        <v>1</v>
      </c>
      <c r="N2607" s="213">
        <f>IFERROR(__xludf.DUMMYFUNCTION("""COMPUTED_VALUE"""),4.0)</f>
        <v>4</v>
      </c>
      <c r="O2607" s="213">
        <f>IFERROR(__xludf.DUMMYFUNCTION("""COMPUTED_VALUE"""),4.0)</f>
        <v>4</v>
      </c>
      <c r="P2607" s="213"/>
      <c r="Q2607" s="213"/>
      <c r="R2607" s="213"/>
      <c r="S2607" s="213"/>
      <c r="T2607" s="213"/>
      <c r="U2607" s="213"/>
      <c r="V2607" s="213"/>
      <c r="W2607" s="213"/>
      <c r="X2607" s="213"/>
      <c r="Y2607" s="213"/>
      <c r="Z2607" s="213"/>
      <c r="AA2607" s="213"/>
      <c r="AB2607" s="213"/>
      <c r="AC2607" s="213"/>
      <c r="AD2607" s="213"/>
      <c r="AE2607" s="213"/>
      <c r="AF2607" s="213"/>
      <c r="AG2607" s="213"/>
      <c r="AH2607" s="213"/>
      <c r="AI2607" s="213"/>
      <c r="AJ2607" s="213"/>
      <c r="AK2607" s="213"/>
      <c r="AL2607" s="213"/>
      <c r="AM2607" s="213"/>
      <c r="AN2607" s="213"/>
      <c r="AO2607" s="213"/>
      <c r="AP2607" s="213"/>
      <c r="AQ2607" s="213"/>
      <c r="AR2607" s="213"/>
      <c r="AS2607" s="213">
        <f>IFERROR(__xludf.DUMMYFUNCTION("""COMPUTED_VALUE"""),0.0)</f>
        <v>0</v>
      </c>
      <c r="AT2607" s="213"/>
      <c r="AU2607" s="213"/>
      <c r="AV2607" s="213"/>
      <c r="AW2607" s="213"/>
      <c r="AX2607" s="213"/>
      <c r="AY2607" s="213"/>
      <c r="AZ2607" s="213"/>
      <c r="BA2607" s="213"/>
      <c r="BB2607" s="213"/>
      <c r="BC2607" s="213"/>
      <c r="BD2607" s="213"/>
    </row>
    <row r="2608">
      <c r="A2608" s="213">
        <f>IFERROR(__xludf.DUMMYFUNCTION("""COMPUTED_VALUE"""),719.0)</f>
        <v>719</v>
      </c>
      <c r="B2608" s="213" t="str">
        <f>IFERROR(__xludf.DUMMYFUNCTION("""COMPUTED_VALUE"""),"6049 RICARDO PALMA")</f>
        <v>6049 RICARDO PALMA</v>
      </c>
      <c r="C2608" s="213" t="str">
        <f>IFERROR(__xludf.DUMMYFUNCTION("""COMPUTED_VALUE"""),"TALLER SFT DE ELECTRÓNICA")</f>
        <v>TALLER SFT DE ELECTRÓNICA</v>
      </c>
      <c r="D2608" s="213" t="str">
        <f>IFERROR(__xludf.DUMMYFUNCTION("""COMPUTED_VALUE"""),"PEDAGOGICO")</f>
        <v>PEDAGOGICO</v>
      </c>
      <c r="E2608" s="213" t="str">
        <f>IFERROR(__xludf.DUMMYFUNCTION("""COMPUTED_VALUE"""),"MAT-480")</f>
        <v>MAT-480</v>
      </c>
      <c r="F2608" s="213" t="str">
        <f>IFERROR(__xludf.DUMMYFUNCTION("""COMPUTED_VALUE"""),"MAT-480-W")</f>
        <v>MAT-480-W</v>
      </c>
      <c r="G2608" s="213"/>
      <c r="H2608" s="213" t="str">
        <f>IFERROR(__xludf.DUMMYFUNCTION("""COMPUTED_VALUE"""),"VIDEOS CORTOS INSTRUCTIVOS PARA SU USO, POR CADA EQUIPO DE ELECTRÓNICA CON MICROCONTROLADOR")</f>
        <v>VIDEOS CORTOS INSTRUCTIVOS PARA SU USO, POR CADA EQUIPO DE ELECTRÓNICA CON MICROCONTROLADOR</v>
      </c>
      <c r="I2608" s="213" t="str">
        <f>IFERROR(__xludf.DUMMYFUNCTION("""COMPUTED_VALUE"""),"Calidad física
·        Video grabado USB con capacidad de mínimo 32 GB para almacenar, tiene 3 tipos de conectores: para conectarse con la PC, Tablet y móvil (conector USB 3.0, conector micro USB, conector tipo C).
·        Video grabado en formato MP4 /"&amp;" AVI, en alta resolución 4K o HD
.  El USB está contenido en un estuche de plástico transparente o similar.
·  El USB es compatible con iPhone/Android/Windows.
·    El video tendrá una duración de 20 minutos como mínimo
· Se presenta el video tutorial del"&amp;" uso de cada cada equipo de electrónica básica
· Cada sección presentará: el título de la técnica, las descripción y partes de la máquina, demostración de la preparación de la máquina, demostración del funcionamiento, mantenimiento preventivo y aplicación"&amp;" de normas de seguridad.
· Cada sección integra imágenes, sonido, video y textos de manera creativa y motivadora para adolescentes de educación secundaria.")</f>
        <v>Calidad física
·        Video grabado USB con capacidad de mínimo 32 GB para almacenar, tiene 3 tipos de conectores: para conectarse con la PC, Tablet y móvil (conector USB 3.0, conector micro USB, conector tipo C).
·        Video grabado en formato MP4 / AVI, en alta resolución 4K o HD
.  El USB está contenido en un estuche de plástico transparente o similar.
·  El USB es compatible con iPhone/Android/Windows.
·    El video tendrá una duración de 20 minutos como mínimo
· Se presenta el video tutorial del uso de cada cada equipo de electrónica básica
· Cada sección presentará: el título de la técnica, las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08" s="213">
        <f>IFERROR(__xludf.DUMMYFUNCTION("""COMPUTED_VALUE"""),3.0)</f>
        <v>3</v>
      </c>
      <c r="K2608" s="213" t="str">
        <f>IFERROR(__xludf.DUMMYFUNCTION("""COMPUTED_VALUE"""),"170 DÍAS CALENDARIO")</f>
        <v>170 DÍAS CALENDARIO</v>
      </c>
      <c r="L2608" s="213" t="str">
        <f>IFERROR(__xludf.DUMMYFUNCTION("""COMPUTED_VALUE"""),"")</f>
        <v/>
      </c>
      <c r="M2608" s="213">
        <f>IFERROR(__xludf.DUMMYFUNCTION("""COMPUTED_VALUE"""),1.0)</f>
        <v>1</v>
      </c>
      <c r="N2608" s="213">
        <f>IFERROR(__xludf.DUMMYFUNCTION("""COMPUTED_VALUE"""),4.0)</f>
        <v>4</v>
      </c>
      <c r="O2608" s="213">
        <f>IFERROR(__xludf.DUMMYFUNCTION("""COMPUTED_VALUE"""),4.0)</f>
        <v>4</v>
      </c>
      <c r="P2608" s="213"/>
      <c r="Q2608" s="213"/>
      <c r="R2608" s="213"/>
      <c r="S2608" s="213"/>
      <c r="T2608" s="213"/>
      <c r="U2608" s="213"/>
      <c r="V2608" s="213"/>
      <c r="W2608" s="213"/>
      <c r="X2608" s="213"/>
      <c r="Y2608" s="213"/>
      <c r="Z2608" s="213"/>
      <c r="AA2608" s="213"/>
      <c r="AB2608" s="213"/>
      <c r="AC2608" s="213"/>
      <c r="AD2608" s="213"/>
      <c r="AE2608" s="213"/>
      <c r="AF2608" s="213"/>
      <c r="AG2608" s="213"/>
      <c r="AH2608" s="213"/>
      <c r="AI2608" s="213"/>
      <c r="AJ2608" s="213"/>
      <c r="AK2608" s="213"/>
      <c r="AL2608" s="213"/>
      <c r="AM2608" s="213"/>
      <c r="AN2608" s="213"/>
      <c r="AO2608" s="213"/>
      <c r="AP2608" s="213"/>
      <c r="AQ2608" s="213"/>
      <c r="AR2608" s="213"/>
      <c r="AS2608" s="213">
        <f>IFERROR(__xludf.DUMMYFUNCTION("""COMPUTED_VALUE"""),0.0)</f>
        <v>0</v>
      </c>
      <c r="AT2608" s="213"/>
      <c r="AU2608" s="213"/>
      <c r="AV2608" s="213"/>
      <c r="AW2608" s="213"/>
      <c r="AX2608" s="213"/>
      <c r="AY2608" s="213"/>
      <c r="AZ2608" s="213"/>
      <c r="BA2608" s="213"/>
      <c r="BB2608" s="213"/>
      <c r="BC2608" s="213"/>
      <c r="BD2608" s="213"/>
    </row>
    <row r="2609">
      <c r="A2609" s="213">
        <f>IFERROR(__xludf.DUMMYFUNCTION("""COMPUTED_VALUE"""),674.0)</f>
        <v>674</v>
      </c>
      <c r="B2609" s="213" t="str">
        <f>IFERROR(__xludf.DUMMYFUNCTION("""COMPUTED_VALUE"""),"6049 RICARDO PALMA")</f>
        <v>6049 RICARDO PALMA</v>
      </c>
      <c r="C2609" s="213" t="str">
        <f>IFERROR(__xludf.DUMMYFUNCTION("""COMPUTED_VALUE"""),"TALLER SFT DE ELECTRÓNICA")</f>
        <v>TALLER SFT DE ELECTRÓNICA</v>
      </c>
      <c r="D2609" s="213" t="str">
        <f>IFERROR(__xludf.DUMMYFUNCTION("""COMPUTED_VALUE"""),"PEDAGOGICO")</f>
        <v>PEDAGOGICO</v>
      </c>
      <c r="E2609" s="213" t="str">
        <f>IFERROR(__xludf.DUMMYFUNCTION("""COMPUTED_VALUE"""),"MAT-478")</f>
        <v>MAT-478</v>
      </c>
      <c r="F2609" s="213" t="str">
        <f>IFERROR(__xludf.DUMMYFUNCTION("""COMPUTED_VALUE"""),"MAT-478")</f>
        <v>MAT-478</v>
      </c>
      <c r="G2609" s="213"/>
      <c r="H2609" s="213" t="str">
        <f>IFERROR(__xludf.DUMMYFUNCTION("""COMPUTED_VALUE"""),"VIDEOS CORTOS INSTRUCTIVOS PARA SU USO, POR CADA HERRAMIENTA")</f>
        <v>VIDEOS CORTOS INSTRUCTIVOS PARA SU USO, POR CADA HERRAMIENTA</v>
      </c>
      <c r="I2609" s="213" t="str">
        <f>IFERROR(__xludf.DUMMYFUNCTION("""COMPUTED_VALUE"""),"Calidad física
·        Video grabado USB con capacidad de mínimo 32 GB para almacenar, tiene 3 tipos de conectores: para conectarse con la PC, Tablet y móvil (conector USB 3.0, conector micro USB, conector tipo C).
·        Video grabado en formato MP4 /"&amp;" AVI, en alta resolución 4K o HD
.  El USB está contenido en un estuche de plástico transparente o similar.
·  El USB es compatible con iPhone/Android/Windows.
·    El video tendrá una duración de 20 minutos como mínimo
· Se presenta el video tutorial del"&amp;" uso de cada herramienta de los items 42 - 74.
· Cada sección presentará: el título de la técnica, las descripción y partes de la máquina, demostración de la preparación de la máquina, demostración del funcionamiento, mantenimiento preventivo y aplicación"&amp;" de normas de seguridad.
· Cada sección integra imágenes, sonido, video y textos de manera creativa y motivadora para adolescentes de educación secundaria.")</f>
        <v>Calidad física
·        Video grabado USB con capacidad de mínimo 32 GB para almacenar, tiene 3 tipos de conectores: para conectarse con la PC, Tablet y móvil (conector USB 3.0, conector micro USB, conector tipo C).
·        Video grabado en formato MP4 / AVI, en alta resolución 4K o HD
.  El USB está contenido en un estuche de plástico transparente o similar.
·  El USB es compatible con iPhone/Android/Windows.
·    El video tendrá una duración de 20 minutos como mínimo
· Se presenta el video tutorial del uso de cada herramienta de los items 42 - 74.
· Cada sección presentará: el título de la técnica, las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09" s="213">
        <f>IFERROR(__xludf.DUMMYFUNCTION("""COMPUTED_VALUE"""),3.0)</f>
        <v>3</v>
      </c>
      <c r="K2609" s="213" t="str">
        <f>IFERROR(__xludf.DUMMYFUNCTION("""COMPUTED_VALUE"""),"170 DÍAS CALENDARIO")</f>
        <v>170 DÍAS CALENDARIO</v>
      </c>
      <c r="L2609" s="213" t="str">
        <f>IFERROR(__xludf.DUMMYFUNCTION("""COMPUTED_VALUE"""),"")</f>
        <v/>
      </c>
      <c r="M2609" s="213">
        <f>IFERROR(__xludf.DUMMYFUNCTION("""COMPUTED_VALUE"""),1.0)</f>
        <v>1</v>
      </c>
      <c r="N2609" s="213">
        <f>IFERROR(__xludf.DUMMYFUNCTION("""COMPUTED_VALUE"""),4.0)</f>
        <v>4</v>
      </c>
      <c r="O2609" s="213">
        <f>IFERROR(__xludf.DUMMYFUNCTION("""COMPUTED_VALUE"""),4.0)</f>
        <v>4</v>
      </c>
      <c r="P2609" s="213"/>
      <c r="Q2609" s="213"/>
      <c r="R2609" s="213"/>
      <c r="S2609" s="213"/>
      <c r="T2609" s="213"/>
      <c r="U2609" s="213"/>
      <c r="V2609" s="213"/>
      <c r="W2609" s="213"/>
      <c r="X2609" s="213"/>
      <c r="Y2609" s="213"/>
      <c r="Z2609" s="213"/>
      <c r="AA2609" s="213"/>
      <c r="AB2609" s="213"/>
      <c r="AC2609" s="213"/>
      <c r="AD2609" s="213"/>
      <c r="AE2609" s="213"/>
      <c r="AF2609" s="213"/>
      <c r="AG2609" s="213"/>
      <c r="AH2609" s="213"/>
      <c r="AI2609" s="213"/>
      <c r="AJ2609" s="213"/>
      <c r="AK2609" s="213"/>
      <c r="AL2609" s="213"/>
      <c r="AM2609" s="213"/>
      <c r="AN2609" s="213"/>
      <c r="AO2609" s="213"/>
      <c r="AP2609" s="213"/>
      <c r="AQ2609" s="213"/>
      <c r="AR2609" s="213"/>
      <c r="AS2609" s="213"/>
      <c r="AT2609" s="213"/>
      <c r="AU2609" s="213"/>
      <c r="AV2609" s="213"/>
      <c r="AW2609" s="213"/>
      <c r="AX2609" s="213"/>
      <c r="AY2609" s="213"/>
      <c r="AZ2609" s="213"/>
      <c r="BA2609" s="213"/>
      <c r="BB2609" s="213"/>
      <c r="BC2609" s="213"/>
      <c r="BD2609" s="213"/>
    </row>
    <row r="2610">
      <c r="A2610" s="213">
        <f>IFERROR(__xludf.DUMMYFUNCTION("""COMPUTED_VALUE"""),385.0)</f>
        <v>385</v>
      </c>
      <c r="B2610" s="213" t="str">
        <f>IFERROR(__xludf.DUMMYFUNCTION("""COMPUTED_VALUE"""),"2026 SIMON BOLIVAR")</f>
        <v>2026 SIMON BOLIVAR</v>
      </c>
      <c r="C2610" s="213" t="str">
        <f>IFERROR(__xludf.DUMMYFUNCTION("""COMPUTED_VALUE"""),"TALLER SFT DE ELECTRICIDAD")</f>
        <v>TALLER SFT DE ELECTRICIDAD</v>
      </c>
      <c r="D2610" s="213" t="str">
        <f>IFERROR(__xludf.DUMMYFUNCTION("""COMPUTED_VALUE"""),"PEDAGOGICO")</f>
        <v>PEDAGOGICO</v>
      </c>
      <c r="E2610" s="213" t="str">
        <f>IFERROR(__xludf.DUMMYFUNCTION("""COMPUTED_VALUE"""),"MAT-479")</f>
        <v>MAT-479</v>
      </c>
      <c r="F2610" s="213" t="str">
        <f>IFERROR(__xludf.DUMMYFUNCTION("""COMPUTED_VALUE"""),"MAT-479")</f>
        <v>MAT-479</v>
      </c>
      <c r="G2610" s="213"/>
      <c r="H2610" s="213" t="str">
        <f>IFERROR(__xludf.DUMMYFUNCTION("""COMPUTED_VALUE"""),"VIDEOS CORTOS INSTRUCTIVOS PARA SU USO, POR CADA INSTRUMENTO DE MEDICIÓN")</f>
        <v>VIDEOS CORTOS INSTRUCTIVOS PARA SU USO, POR CADA INSTRUMENTO DE MEDICIÓN</v>
      </c>
      <c r="I2610" s="213" t="str">
        <f>IFERROR(__xludf.DUMMYFUNCTION("""COMPUTED_VALUE"""),"· El USB tiene la capacidad de mínimo 32 GB, para almacenar los archivos de los manuales y la información complementaria en videos o textos digitales sobre instructivos para su uso, por cada instrumento de medición.
Calidad física
- Video grabado USB tien"&amp;"e 3 tipos de conectores: para conectarse con la PC, Tablet y móvil (conector USB 3.0, conector micro USB, conector tipo C). o en su defecto se proporciona adicionalmente un conector (cable) con las 3 posibles conexiones.
- Video grabado en formato MP4 / A"&amp;"VI, en alta resolución 4K o HD
- El video tendrá una duración de 50 minutos como mínimo.
- Dividido en 4 secciones, en cada sección se presentará un sistema de generación eléctrica, cada sección tendrá una duración de 10 minutos como mínimo.
· Calidad ped"&amp;"agógica.
- La primera sección presenta el video tutorial sobre el uso del Multitester digital.
- La segunda sección presenta el video tutorial sobre el uso del Amperímetro digital.
- La tercera sección presenta el video tutorial sobre el uso del Telurómet"&amp;"ro digital como toma de medidas de la resistividad de la tierra y aislamiento de conductores adecuados.
- La cuarta sección presenta el video tutorial sobre el uso del Megómetro digital como medidor de fugas eléctricas.
- La quinta sección presenta el vid"&amp;"eo tutorial sobre el uso adecuado del Osciloscopio como instrumento muy útil para la observación de formas de las señales eléctricas.
- Cada sección integra imágenes, sonido, video y textos de manera creativa y motivadora para adolescentes de educación se"&amp;"cundaria.
- Cada sección de presentar: el título de la técnica, la descripción y finalidad, los procedimientos de su aplicación.
- Se anexa el guion del video (Ver Anexo N° 6, 7, 8, 9, 10).")</f>
        <v>· El USB tiene la capacidad de mínimo 32 GB, para almacenar los archivos de los manuales y la información complementaria en videos o textos digitales sobre instructivos para su uso, por cada instrumento de medición.
Calidad física
- Video grabado USB tiene 3 tipos de conectores: para conectarse con la PC, Tablet y móvil (conector USB 3.0, conector micro USB, conector tipo C). o en su defecto se proporciona adicionalmente un conector (cable) con las 3 posibles conexiones.
- Video grabado en formato MP4 / AVI, en alta resolución 4K o HD
- El video tendrá una duración de 50 minutos como mínimo.
- Dividido en 4 secciones, en cada sección se presentará un sistema de generación eléctrica, cada sección tendrá una duración de 10 minutos como mínimo.
· Calidad pedagógica.
- La primera sección presenta el video tutorial sobre el uso del Multitester digital.
- La segunda sección presenta el video tutorial sobre el uso del Amperímetro digital.
- La tercera sección presenta el video tutorial sobre el uso del Telurómetro digital como toma de medidas de la resistividad de la tierra y aislamiento de conductores adecuados.
- La cuarta sección presenta el video tutorial sobre el uso del Megómetro digital como medidor de fugas eléctricas.
- La quinta sección presenta el video tutorial sobre el uso adecuado del Osciloscopio como instrumento muy útil para la observación de formas de las señales eléctricas.
- Cada sección integra imágenes, sonido, video y textos de manera creativa y motivadora para adolescentes de educación secundaria.
- Cada sección de presentar: el título de la técnica, la descripción y finalidad, los procedimientos de su aplicación.
- Se anexa el guion del video (Ver Anexo N° 6, 7, 8, 9, 10).</v>
      </c>
      <c r="J2610" s="213">
        <f>IFERROR(__xludf.DUMMYFUNCTION("""COMPUTED_VALUE"""),3.0)</f>
        <v>3</v>
      </c>
      <c r="K2610" s="213" t="str">
        <f>IFERROR(__xludf.DUMMYFUNCTION("""COMPUTED_VALUE"""),"170 DÍAS CALENDARIO")</f>
        <v>170 DÍAS CALENDARIO</v>
      </c>
      <c r="L2610" s="213" t="str">
        <f>IFERROR(__xludf.DUMMYFUNCTION("""COMPUTED_VALUE"""),"")</f>
        <v/>
      </c>
      <c r="M2610" s="213">
        <f>IFERROR(__xludf.DUMMYFUNCTION("""COMPUTED_VALUE"""),1.0)</f>
        <v>1</v>
      </c>
      <c r="N2610" s="213">
        <f>IFERROR(__xludf.DUMMYFUNCTION("""COMPUTED_VALUE"""),4.0)</f>
        <v>4</v>
      </c>
      <c r="O2610" s="213">
        <f>IFERROR(__xludf.DUMMYFUNCTION("""COMPUTED_VALUE"""),4.0)</f>
        <v>4</v>
      </c>
      <c r="P2610" s="213"/>
      <c r="Q2610" s="213"/>
      <c r="R2610" s="213"/>
      <c r="S2610" s="213"/>
      <c r="T2610" s="213"/>
      <c r="U2610" s="213"/>
      <c r="V2610" s="213"/>
      <c r="W2610" s="213"/>
      <c r="X2610" s="213"/>
      <c r="Y2610" s="213"/>
      <c r="Z2610" s="213"/>
      <c r="AA2610" s="213"/>
      <c r="AB2610" s="213"/>
      <c r="AC2610" s="213"/>
      <c r="AD2610" s="213"/>
      <c r="AE2610" s="213"/>
      <c r="AF2610" s="213"/>
      <c r="AG2610" s="213"/>
      <c r="AH2610" s="213"/>
      <c r="AI2610" s="213"/>
      <c r="AJ2610" s="213"/>
      <c r="AK2610" s="213"/>
      <c r="AL2610" s="213"/>
      <c r="AM2610" s="213"/>
      <c r="AN2610" s="213"/>
      <c r="AO2610" s="213"/>
      <c r="AP2610" s="213"/>
      <c r="AQ2610" s="213"/>
      <c r="AR2610" s="213"/>
      <c r="AS2610" s="213"/>
      <c r="AT2610" s="213"/>
      <c r="AU2610" s="213"/>
      <c r="AV2610" s="213"/>
      <c r="AW2610" s="213"/>
      <c r="AX2610" s="213"/>
      <c r="AY2610" s="213"/>
      <c r="AZ2610" s="213"/>
      <c r="BA2610" s="213"/>
      <c r="BB2610" s="213"/>
      <c r="BC2610" s="213"/>
      <c r="BD2610" s="213"/>
    </row>
    <row r="2611">
      <c r="A2611" s="213">
        <f>IFERROR(__xludf.DUMMYFUNCTION("""COMPUTED_VALUE"""),669.0)</f>
        <v>669</v>
      </c>
      <c r="B2611" s="213" t="str">
        <f>IFERROR(__xludf.DUMMYFUNCTION("""COMPUTED_VALUE"""),"6049 RICARDO PALMA")</f>
        <v>6049 RICARDO PALMA</v>
      </c>
      <c r="C2611" s="213" t="str">
        <f>IFERROR(__xludf.DUMMYFUNCTION("""COMPUTED_VALUE"""),"TALLER SFT DE ELECTRÓNICA")</f>
        <v>TALLER SFT DE ELECTRÓNICA</v>
      </c>
      <c r="D2611" s="213" t="str">
        <f>IFERROR(__xludf.DUMMYFUNCTION("""COMPUTED_VALUE"""),"PEDAGOGICO")</f>
        <v>PEDAGOGICO</v>
      </c>
      <c r="E2611" s="213" t="str">
        <f>IFERROR(__xludf.DUMMYFUNCTION("""COMPUTED_VALUE"""),"MAT-479")</f>
        <v>MAT-479</v>
      </c>
      <c r="F2611" s="213" t="str">
        <f>IFERROR(__xludf.DUMMYFUNCTION("""COMPUTED_VALUE"""),"MAT-479")</f>
        <v>MAT-479</v>
      </c>
      <c r="G2611" s="213"/>
      <c r="H2611" s="213" t="str">
        <f>IFERROR(__xludf.DUMMYFUNCTION("""COMPUTED_VALUE"""),"VIDEOS CORTOS INSTRUCTIVOS PARA SU USO, POR CADA INSTRUMENTO DE MEDICIÓN")</f>
        <v>VIDEOS CORTOS INSTRUCTIVOS PARA SU USO, POR CADA INSTRUMENTO DE MEDICIÓN</v>
      </c>
      <c r="I2611" s="213" t="str">
        <f>IFERROR(__xludf.DUMMYFUNCTION("""COMPUTED_VALUE"""),"Calidad física
·        Video grabado USB con capacidad de mínimo 32 GB para almacenar, tiene 3 tipos de conectores: para conectarse con la PC, Tablet y móvil (conector USB 3.0, conector micro USB, conector tipo C).
·        Video grabado en formato MP4 /"&amp;" AVI, en alta resolución 4K o HD
.  El USB está contenido en un estuche de plástico transparente o similar.
·  El USB es compatible con iPhone/Android/Windows.
·    El video tendrá una duración de 20 minutos como mínimo
· Se presenta el video tutorial del"&amp;" uso de la máquinas e instrumentos de mediciónn.
· Cada sección presentará: el título de la técnica, las descripción y partes de la máquina, demostración de la preparación de la máquina, demostración del funcionamiento, mantenimiento preventivo y aplicaci"&amp;"ón de normas de seguridad.
· Cada sección integra imágenes, sonido, video y textos de manera creativa y motivadora para adolescentes de educación secundaria.")</f>
        <v>Calidad física
·        Video grabado USB con capacidad de mínimo 32 GB para almacenar, tiene 3 tipos de conectores: para conectarse con la PC, Tablet y móvil (conector USB 3.0, conector micro USB, conector tipo C).
·        Video grabado en formato MP4 / AVI, en alta resolución 4K o HD
.  El USB está contenido en un estuche de plástico transparente o similar.
·  El USB es compatible con iPhone/Android/Windows.
·    El video tendrá una duración de 20 minutos como mínimo
· Se presenta el video tutorial del uso de la máquinas e instrumentos de mediciónn.
· Cada sección presentará: el título de la técnica, las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11" s="213">
        <f>IFERROR(__xludf.DUMMYFUNCTION("""COMPUTED_VALUE"""),3.0)</f>
        <v>3</v>
      </c>
      <c r="K2611" s="213" t="str">
        <f>IFERROR(__xludf.DUMMYFUNCTION("""COMPUTED_VALUE"""),"170 DÍAS CALENDARIO")</f>
        <v>170 DÍAS CALENDARIO</v>
      </c>
      <c r="L2611" s="213" t="str">
        <f>IFERROR(__xludf.DUMMYFUNCTION("""COMPUTED_VALUE"""),"")</f>
        <v/>
      </c>
      <c r="M2611" s="213">
        <f>IFERROR(__xludf.DUMMYFUNCTION("""COMPUTED_VALUE"""),1.0)</f>
        <v>1</v>
      </c>
      <c r="N2611" s="213">
        <f>IFERROR(__xludf.DUMMYFUNCTION("""COMPUTED_VALUE"""),4.0)</f>
        <v>4</v>
      </c>
      <c r="O2611" s="213">
        <f>IFERROR(__xludf.DUMMYFUNCTION("""COMPUTED_VALUE"""),4.0)</f>
        <v>4</v>
      </c>
      <c r="P2611" s="213"/>
      <c r="Q2611" s="213"/>
      <c r="R2611" s="213"/>
      <c r="S2611" s="213"/>
      <c r="T2611" s="213"/>
      <c r="U2611" s="213"/>
      <c r="V2611" s="213"/>
      <c r="W2611" s="213"/>
      <c r="X2611" s="213"/>
      <c r="Y2611" s="213"/>
      <c r="Z2611" s="213"/>
      <c r="AA2611" s="213"/>
      <c r="AB2611" s="213"/>
      <c r="AC2611" s="213"/>
      <c r="AD2611" s="213"/>
      <c r="AE2611" s="213"/>
      <c r="AF2611" s="213"/>
      <c r="AG2611" s="213"/>
      <c r="AH2611" s="213"/>
      <c r="AI2611" s="213"/>
      <c r="AJ2611" s="213"/>
      <c r="AK2611" s="213"/>
      <c r="AL2611" s="213"/>
      <c r="AM2611" s="213"/>
      <c r="AN2611" s="213"/>
      <c r="AO2611" s="213"/>
      <c r="AP2611" s="213"/>
      <c r="AQ2611" s="213"/>
      <c r="AR2611" s="213"/>
      <c r="AS2611" s="213"/>
      <c r="AT2611" s="213"/>
      <c r="AU2611" s="213"/>
      <c r="AV2611" s="213"/>
      <c r="AW2611" s="213"/>
      <c r="AX2611" s="213"/>
      <c r="AY2611" s="213"/>
      <c r="AZ2611" s="213"/>
      <c r="BA2611" s="213"/>
      <c r="BB2611" s="213"/>
      <c r="BC2611" s="213"/>
      <c r="BD2611" s="213"/>
    </row>
    <row r="2612">
      <c r="A2612" s="213">
        <f>IFERROR(__xludf.DUMMYFUNCTION("""COMPUTED_VALUE"""),871.0)</f>
        <v>871</v>
      </c>
      <c r="B2612" s="213" t="str">
        <f>IFERROR(__xludf.DUMMYFUNCTION("""COMPUTED_VALUE"""),"6049 RICARDO PALMA")</f>
        <v>6049 RICARDO PALMA</v>
      </c>
      <c r="C2612" s="213" t="str">
        <f>IFERROR(__xludf.DUMMYFUNCTION("""COMPUTED_VALUE"""),"TALLER SFT DE ELECTRICIDAD")</f>
        <v>TALLER SFT DE ELECTRICIDAD</v>
      </c>
      <c r="D2612" s="213" t="str">
        <f>IFERROR(__xludf.DUMMYFUNCTION("""COMPUTED_VALUE"""),"PEDAGOGICO")</f>
        <v>PEDAGOGICO</v>
      </c>
      <c r="E2612" s="213" t="str">
        <f>IFERROR(__xludf.DUMMYFUNCTION("""COMPUTED_VALUE"""),"MAT-479")</f>
        <v>MAT-479</v>
      </c>
      <c r="F2612" s="213" t="str">
        <f>IFERROR(__xludf.DUMMYFUNCTION("""COMPUTED_VALUE"""),"MAT-479")</f>
        <v>MAT-479</v>
      </c>
      <c r="G2612" s="213"/>
      <c r="H2612" s="213" t="str">
        <f>IFERROR(__xludf.DUMMYFUNCTION("""COMPUTED_VALUE"""),"VIDEOS CORTOS INSTRUCTIVOS PARA SU USO, POR CADA INSTRUMENTO DE MEDICIÓN")</f>
        <v>VIDEOS CORTOS INSTRUCTIVOS PARA SU USO, POR CADA INSTRUMENTO DE MEDICIÓN</v>
      </c>
      <c r="I2612" s="213" t="str">
        <f>IFERROR(__xludf.DUMMYFUNCTION("""COMPUTED_VALUE"""),"· El USB tiene la capacidad de mínimo 32 GB, para almacenar los archivos de los manuales y la información complementaria en videos o textos digitales sobre instructivos para su uso, por cada instrumento de medición.
Calidad física
- Video grabado USB tien"&amp;"e 3 tipos de conectores: para conectarse con la PC, Tablet y móvil (conector USB 3.0, conector micro USB, conector tipo C). o en su defecto se proporciona adicionalmente un conector (cable) con las 3 posibles conexiones.
- Video grabado en formato MP4 / A"&amp;"VI, en alta resolución 4K o HD
- El video tendrá una duración de 50 minutos como mínimo.
- Dividido en 4 secciones, en cada sección se presentará un sistema de generación eléctrica, cada sección tendrá una duración de 10 minutos como mínimo.
· Calidad ped"&amp;"agógica.
- La primera sección presenta el video tutorial sobre el uso del Multitester digital.
- La segunda sección presenta el video tutorial sobre el uso del Amperímetro digital.
- La tercera sección presenta el video tutorial sobre el uso del Telurómet"&amp;"ro digital como toma de medidas de la resistividad de la tierra y aislamiento de conductores adecuados.
- La cuarta sección presenta el video tutorial sobre el uso del Megómetro digital como medidor de fugas eléctricas.
- La quinta sección presenta el vid"&amp;"eo tutorial sobre el uso adecuado del Osciloscopio como instrumento muy útil para la observación de formas de las señales eléctricas.
- Cada sección integra imágenes, sonido, video y textos de manera creativa y motivadora para adolescentes de educación se"&amp;"cundaria.
- Cada sección de presentar: el título de la técnica, la descripción y finalidad, los procedimientos de su aplicación.
- Se anexa el guion del video (Ver Anexo N° 6, 7, 8, 9, 10).")</f>
        <v>· El USB tiene la capacidad de mínimo 32 GB, para almacenar los archivos de los manuales y la información complementaria en videos o textos digitales sobre instructivos para su uso, por cada instrumento de medición.
Calidad física
- Video grabado USB tiene 3 tipos de conectores: para conectarse con la PC, Tablet y móvil (conector USB 3.0, conector micro USB, conector tipo C). o en su defecto se proporciona adicionalmente un conector (cable) con las 3 posibles conexiones.
- Video grabado en formato MP4 / AVI, en alta resolución 4K o HD
- El video tendrá una duración de 50 minutos como mínimo.
- Dividido en 4 secciones, en cada sección se presentará un sistema de generación eléctrica, cada sección tendrá una duración de 10 minutos como mínimo.
· Calidad pedagógica.
- La primera sección presenta el video tutorial sobre el uso del Multitester digital.
- La segunda sección presenta el video tutorial sobre el uso del Amperímetro digital.
- La tercera sección presenta el video tutorial sobre el uso del Telurómetro digital como toma de medidas de la resistividad de la tierra y aislamiento de conductores adecuados.
- La cuarta sección presenta el video tutorial sobre el uso del Megómetro digital como medidor de fugas eléctricas.
- La quinta sección presenta el video tutorial sobre el uso adecuado del Osciloscopio como instrumento muy útil para la observación de formas de las señales eléctricas.
- Cada sección integra imágenes, sonido, video y textos de manera creativa y motivadora para adolescentes de educación secundaria.
- Cada sección de presentar: el título de la técnica, la descripción y finalidad, los procedimientos de su aplicación.
- Se anexa el guion del video (Ver Anexo N° 6, 7, 8, 9, 10).</v>
      </c>
      <c r="J2612" s="213">
        <f>IFERROR(__xludf.DUMMYFUNCTION("""COMPUTED_VALUE"""),3.0)</f>
        <v>3</v>
      </c>
      <c r="K2612" s="213" t="str">
        <f>IFERROR(__xludf.DUMMYFUNCTION("""COMPUTED_VALUE"""),"170 DÍAS CALENDARIO")</f>
        <v>170 DÍAS CALENDARIO</v>
      </c>
      <c r="L2612" s="213" t="str">
        <f>IFERROR(__xludf.DUMMYFUNCTION("""COMPUTED_VALUE"""),"")</f>
        <v/>
      </c>
      <c r="M2612" s="213">
        <f>IFERROR(__xludf.DUMMYFUNCTION("""COMPUTED_VALUE"""),1.0)</f>
        <v>1</v>
      </c>
      <c r="N2612" s="213">
        <f>IFERROR(__xludf.DUMMYFUNCTION("""COMPUTED_VALUE"""),4.0)</f>
        <v>4</v>
      </c>
      <c r="O2612" s="213">
        <f>IFERROR(__xludf.DUMMYFUNCTION("""COMPUTED_VALUE"""),4.0)</f>
        <v>4</v>
      </c>
      <c r="P2612" s="213"/>
      <c r="Q2612" s="213"/>
      <c r="R2612" s="213"/>
      <c r="S2612" s="213"/>
      <c r="T2612" s="213"/>
      <c r="U2612" s="213"/>
      <c r="V2612" s="213"/>
      <c r="W2612" s="213"/>
      <c r="X2612" s="213"/>
      <c r="Y2612" s="213"/>
      <c r="Z2612" s="213"/>
      <c r="AA2612" s="213"/>
      <c r="AB2612" s="213"/>
      <c r="AC2612" s="213"/>
      <c r="AD2612" s="213"/>
      <c r="AE2612" s="213"/>
      <c r="AF2612" s="213"/>
      <c r="AG2612" s="213"/>
      <c r="AH2612" s="213"/>
      <c r="AI2612" s="213"/>
      <c r="AJ2612" s="213"/>
      <c r="AK2612" s="213"/>
      <c r="AL2612" s="213"/>
      <c r="AM2612" s="213"/>
      <c r="AN2612" s="213"/>
      <c r="AO2612" s="213"/>
      <c r="AP2612" s="213"/>
      <c r="AQ2612" s="213"/>
      <c r="AR2612" s="213"/>
      <c r="AS2612" s="213"/>
      <c r="AT2612" s="213"/>
      <c r="AU2612" s="213"/>
      <c r="AV2612" s="213"/>
      <c r="AW2612" s="213"/>
      <c r="AX2612" s="213"/>
      <c r="AY2612" s="213"/>
      <c r="AZ2612" s="213"/>
      <c r="BA2612" s="213"/>
      <c r="BB2612" s="213"/>
      <c r="BC2612" s="213"/>
      <c r="BD2612" s="213"/>
    </row>
    <row r="2613">
      <c r="A2613" s="213">
        <f>IFERROR(__xludf.DUMMYFUNCTION("""COMPUTED_VALUE"""),1293.0)</f>
        <v>1293</v>
      </c>
      <c r="B2613" s="213" t="str">
        <f>IFERROR(__xludf.DUMMYFUNCTION("""COMPUTED_VALUE"""),"GUILLERMO E. BILLINGHURST ")</f>
        <v>GUILLERMO E. BILLINGHURST </v>
      </c>
      <c r="C2613" s="213" t="str">
        <f>IFERROR(__xludf.DUMMYFUNCTION("""COMPUTED_VALUE"""),"TALLER SFT DE ELECTRICIDAD")</f>
        <v>TALLER SFT DE ELECTRICIDAD</v>
      </c>
      <c r="D2613" s="213" t="str">
        <f>IFERROR(__xludf.DUMMYFUNCTION("""COMPUTED_VALUE"""),"PEDAGOGICO")</f>
        <v>PEDAGOGICO</v>
      </c>
      <c r="E2613" s="213" t="str">
        <f>IFERROR(__xludf.DUMMYFUNCTION("""COMPUTED_VALUE"""),"MAT-479")</f>
        <v>MAT-479</v>
      </c>
      <c r="F2613" s="213" t="str">
        <f>IFERROR(__xludf.DUMMYFUNCTION("""COMPUTED_VALUE"""),"MAT-479")</f>
        <v>MAT-479</v>
      </c>
      <c r="G2613" s="213"/>
      <c r="H2613" s="213" t="str">
        <f>IFERROR(__xludf.DUMMYFUNCTION("""COMPUTED_VALUE"""),"VIDEOS CORTOS INSTRUCTIVOS PARA SU USO, POR CADA INSTRUMENTO DE MEDICIÓN")</f>
        <v>VIDEOS CORTOS INSTRUCTIVOS PARA SU USO, POR CADA INSTRUMENTO DE MEDICIÓN</v>
      </c>
      <c r="I2613" s="213" t="str">
        <f>IFERROR(__xludf.DUMMYFUNCTION("""COMPUTED_VALUE"""),"· El USB tiene la capacidad de mínimo 32 GB, para almacenar los archivos de los manuales y la información complementaria en videos o textos digitales sobre instructivos para su uso, por cada instrumento de medición.
Calidad física
- Video grabado USB tien"&amp;"e 3 tipos de conectores: para conectarse con la PC, Tablet y móvil (conector USB 3.0, conector micro USB, conector tipo C). o en su defecto se proporciona adicionalmente un conector (cable) con las 3 posibles conexiones.
- Video grabado en formato MP4 / A"&amp;"VI, en alta resolución 4K o HD
- El video tendrá una duración de 50 minutos como mínimo.
- Dividido en 4 secciones, en cada sección se presentará un sistema de generación eléctrica, cada sección tendrá una duración de 10 minutos como mínimo.
· Calidad ped"&amp;"agógica.
- La primera sección presenta el video tutorial sobre el uso del Multitester digital.
- La segunda sección presenta el video tutorial sobre el uso del Amperímetro digital.
- La tercera sección presenta el video tutorial sobre el uso del Telurómet"&amp;"ro digital como toma de medidas de la resistividad de la tierra y aislamiento de conductores adecuados.
- La cuarta sección presenta el video tutorial sobre el uso del Megómetro digital como medidor de fugas eléctricas.
- La quinta sección presenta el vid"&amp;"eo tutorial sobre el uso adecuado del Osciloscopio como instrumento muy útil para la observación de formas de las señales eléctricas.
- Cada sección integra imágenes, sonido, video y textos de manera creativa y motivadora para adolescentes de educación se"&amp;"cundaria.
- Cada sección de presentar: el título de la técnica, la descripción y finalidad, los procedimientos de su aplicación.
- Se anexa el guion del video (Ver Anexo N° 6, 7, 8, 9, 10).")</f>
        <v>· El USB tiene la capacidad de mínimo 32 GB, para almacenar los archivos de los manuales y la información complementaria en videos o textos digitales sobre instructivos para su uso, por cada instrumento de medición.
Calidad física
- Video grabado USB tiene 3 tipos de conectores: para conectarse con la PC, Tablet y móvil (conector USB 3.0, conector micro USB, conector tipo C). o en su defecto se proporciona adicionalmente un conector (cable) con las 3 posibles conexiones.
- Video grabado en formato MP4 / AVI, en alta resolución 4K o HD
- El video tendrá una duración de 50 minutos como mínimo.
- Dividido en 4 secciones, en cada sección se presentará un sistema de generación eléctrica, cada sección tendrá una duración de 10 minutos como mínimo.
· Calidad pedagógica.
- La primera sección presenta el video tutorial sobre el uso del Multitester digital.
- La segunda sección presenta el video tutorial sobre el uso del Amperímetro digital.
- La tercera sección presenta el video tutorial sobre el uso del Telurómetro digital como toma de medidas de la resistividad de la tierra y aislamiento de conductores adecuados.
- La cuarta sección presenta el video tutorial sobre el uso del Megómetro digital como medidor de fugas eléctricas.
- La quinta sección presenta el video tutorial sobre el uso adecuado del Osciloscopio como instrumento muy útil para la observación de formas de las señales eléctricas.
- Cada sección integra imágenes, sonido, video y textos de manera creativa y motivadora para adolescentes de educación secundaria.
- Cada sección de presentar: el título de la técnica, la descripción y finalidad, los procedimientos de su aplicación.
- Se anexa el guion del video (Ver Anexo N° 6, 7, 8, 9, 10).</v>
      </c>
      <c r="J2613" s="213">
        <f>IFERROR(__xludf.DUMMYFUNCTION("""COMPUTED_VALUE"""),3.0)</f>
        <v>3</v>
      </c>
      <c r="K2613" s="213" t="str">
        <f>IFERROR(__xludf.DUMMYFUNCTION("""COMPUTED_VALUE"""),"170 DÍAS CALENDARIO")</f>
        <v>170 DÍAS CALENDARIO</v>
      </c>
      <c r="L2613" s="213" t="str">
        <f>IFERROR(__xludf.DUMMYFUNCTION("""COMPUTED_VALUE"""),"")</f>
        <v/>
      </c>
      <c r="M2613" s="213">
        <f>IFERROR(__xludf.DUMMYFUNCTION("""COMPUTED_VALUE"""),1.0)</f>
        <v>1</v>
      </c>
      <c r="N2613" s="213">
        <f>IFERROR(__xludf.DUMMYFUNCTION("""COMPUTED_VALUE"""),4.0)</f>
        <v>4</v>
      </c>
      <c r="O2613" s="213">
        <f>IFERROR(__xludf.DUMMYFUNCTION("""COMPUTED_VALUE"""),4.0)</f>
        <v>4</v>
      </c>
      <c r="P2613" s="213"/>
      <c r="Q2613" s="213"/>
      <c r="R2613" s="213"/>
      <c r="S2613" s="213"/>
      <c r="T2613" s="213"/>
      <c r="U2613" s="213"/>
      <c r="V2613" s="213"/>
      <c r="W2613" s="213"/>
      <c r="X2613" s="213"/>
      <c r="Y2613" s="213"/>
      <c r="Z2613" s="213"/>
      <c r="AA2613" s="213"/>
      <c r="AB2613" s="213"/>
      <c r="AC2613" s="213"/>
      <c r="AD2613" s="213"/>
      <c r="AE2613" s="213"/>
      <c r="AF2613" s="213"/>
      <c r="AG2613" s="213"/>
      <c r="AH2613" s="213"/>
      <c r="AI2613" s="213"/>
      <c r="AJ2613" s="213"/>
      <c r="AK2613" s="213"/>
      <c r="AL2613" s="213"/>
      <c r="AM2613" s="213"/>
      <c r="AN2613" s="213"/>
      <c r="AO2613" s="213"/>
      <c r="AP2613" s="213"/>
      <c r="AQ2613" s="213"/>
      <c r="AR2613" s="213"/>
      <c r="AS2613" s="213"/>
      <c r="AT2613" s="213"/>
      <c r="AU2613" s="213"/>
      <c r="AV2613" s="213"/>
      <c r="AW2613" s="213"/>
      <c r="AX2613" s="213"/>
      <c r="AY2613" s="213"/>
      <c r="AZ2613" s="213"/>
      <c r="BA2613" s="213"/>
      <c r="BB2613" s="213"/>
      <c r="BC2613" s="213"/>
      <c r="BD2613" s="213"/>
    </row>
    <row r="2614">
      <c r="A2614" s="213">
        <f>IFERROR(__xludf.DUMMYFUNCTION("""COMPUTED_VALUE"""),101.0)</f>
        <v>101</v>
      </c>
      <c r="B2614" s="213" t="str">
        <f>IFERROR(__xludf.DUMMYFUNCTION("""COMPUTED_VALUE"""),"16449 ELOY SOBERON  FLORES")</f>
        <v>16449 ELOY SOBERON  FLORES</v>
      </c>
      <c r="C2614" s="213" t="str">
        <f>IFERROR(__xludf.DUMMYFUNCTION("""COMPUTED_VALUE"""),"TALLER SFT DE COCINA Y REPOSTERÍA")</f>
        <v>TALLER SFT DE COCINA Y REPOSTERÍA</v>
      </c>
      <c r="D2614" s="213" t="str">
        <f>IFERROR(__xludf.DUMMYFUNCTION("""COMPUTED_VALUE"""),"PEDAGOGICO")</f>
        <v>PEDAGOGICO</v>
      </c>
      <c r="E2614" s="213" t="str">
        <f>IFERROR(__xludf.DUMMYFUNCTION("""COMPUTED_VALUE"""),"MAT-481")</f>
        <v>MAT-481</v>
      </c>
      <c r="F2614" s="213" t="str">
        <f>IFERROR(__xludf.DUMMYFUNCTION("""COMPUTED_VALUE"""),"MAT-481")</f>
        <v>MAT-481</v>
      </c>
      <c r="G2614" s="213"/>
      <c r="H2614"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14" s="213" t="str">
        <f>IFERROR(__xludf.DUMMYFUNCTION("""COMPUTED_VALUE"""),"Calidad física
· El USB tiene la capacidad de mínimo 32 GB, para almacenar información en videos o textos digitales sobre metodología y técnicas relacionadas con la creación de propuestas de valor
·       Video grabado USB que tiene 3 tipos de conectores:"&amp;" para conectarse con la PC, Tablet y móvil (conector USB 3.0, conector micro USB, conector tipo C).
·       Video grabado en formato MP4 / AVI, en alta resolución, mínimo HD
·       El video tendrá una duración de 30 minutos como mínimo. Dividido en 10 se"&amp;"cciones, en cada sección se presentará una técnica de la metodología Design Thinking, cada sección tendrá una duración de 3 minutos como mínimo.
Calidad pedagógica
·       El video presentará un ejemplo práctico demostrativo de aplicación de 10 técnicas d"&amp;"e la metodología Design Thinking.
·       Cada sección de presentar: el título de la técnica, las descripción y finalidad, los procedimientos de su aplicación.
·       Cada sección integra imágenes, sonido, video y textos de manera creativa y motivadora p"&amp;"ara adolescentes de educación secundaria.
·        Entre las posibles técnicas del Design Thinking: brainwritting, ¿Qué, cómo y por qué?, mapa de la empatía, lienzo de propuesta de valor, SCAMPER, PIN, 5 por qué, diagrama de causa efecto, diagrama de Port"&amp;"er, entre otros.")</f>
        <v>Calidad física
· El USB tiene la capacidad de mínimo 32 GB, para almacenar información en videos o textos digitales sobre metodología y técnicas relacionadas con la creación de propuestas de valor
·       Video grabado USB que tiene 3 tipos de conectores: para conectarse con la PC, Tablet y móvil (conector USB 3.0, conector micro USB, conector tipo C).
·       Video grabado en formato MP4 / AVI, en alta resolución, mínimo HD
·       El video tendrá una duración de 30 minutos como mínimo. Dividido en 10 secciones, en cada sección se presentará una técnica de la metodología Design Thinking, cada sección tendrá una duración de 3 minutos como mínimo.
Calidad pedagógica
·       El video presentará un ejemplo práctico demostrativo de aplicación de 10 técnicas de la metodología Design Thinking.
·       Cada sección de presentar: el título de la técnica, las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diagrama de causa efecto, diagrama de Porter, entre otros.</v>
      </c>
      <c r="J2614" s="213">
        <f>IFERROR(__xludf.DUMMYFUNCTION("""COMPUTED_VALUE"""),3.0)</f>
        <v>3</v>
      </c>
      <c r="K2614" s="213" t="str">
        <f>IFERROR(__xludf.DUMMYFUNCTION("""COMPUTED_VALUE"""),"170 DÍAS CALENDARIO")</f>
        <v>170 DÍAS CALENDARIO</v>
      </c>
      <c r="L2614" s="213" t="str">
        <f>IFERROR(__xludf.DUMMYFUNCTION("""COMPUTED_VALUE"""),"")</f>
        <v/>
      </c>
      <c r="M2614" s="213">
        <f>IFERROR(__xludf.DUMMYFUNCTION("""COMPUTED_VALUE"""),1.0)</f>
        <v>1</v>
      </c>
      <c r="N2614" s="213">
        <f>IFERROR(__xludf.DUMMYFUNCTION("""COMPUTED_VALUE"""),1.0)</f>
        <v>1</v>
      </c>
      <c r="O2614" s="213">
        <f>IFERROR(__xludf.DUMMYFUNCTION("""COMPUTED_VALUE"""),1.0)</f>
        <v>1</v>
      </c>
      <c r="P2614" s="213"/>
      <c r="Q2614" s="213"/>
      <c r="R2614" s="213"/>
      <c r="S2614" s="213"/>
      <c r="T2614" s="213"/>
      <c r="U2614" s="213"/>
      <c r="V2614" s="213"/>
      <c r="W2614" s="213"/>
      <c r="X2614" s="213"/>
      <c r="Y2614" s="213"/>
      <c r="Z2614" s="213"/>
      <c r="AA2614" s="213"/>
      <c r="AB2614" s="213"/>
      <c r="AC2614" s="213"/>
      <c r="AD2614" s="213"/>
      <c r="AE2614" s="213"/>
      <c r="AF2614" s="213"/>
      <c r="AG2614" s="213"/>
      <c r="AH2614" s="213"/>
      <c r="AI2614" s="213"/>
      <c r="AJ2614" s="213"/>
      <c r="AK2614" s="213"/>
      <c r="AL2614" s="213"/>
      <c r="AM2614" s="213"/>
      <c r="AN2614" s="213"/>
      <c r="AO2614" s="213"/>
      <c r="AP2614" s="213"/>
      <c r="AQ2614" s="213"/>
      <c r="AR2614" s="213"/>
      <c r="AS2614" s="213"/>
      <c r="AT2614" s="213"/>
      <c r="AU2614" s="213"/>
      <c r="AV2614" s="213"/>
      <c r="AW2614" s="213"/>
      <c r="AX2614" s="213"/>
      <c r="AY2614" s="213"/>
      <c r="AZ2614" s="213"/>
      <c r="BA2614" s="213"/>
      <c r="BB2614" s="213"/>
      <c r="BC2614" s="213"/>
      <c r="BD2614" s="213"/>
    </row>
    <row r="2615">
      <c r="A2615" s="213">
        <f>IFERROR(__xludf.DUMMYFUNCTION("""COMPUTED_VALUE"""),212.0)</f>
        <v>212</v>
      </c>
      <c r="B2615" s="213" t="str">
        <f>IFERROR(__xludf.DUMMYFUNCTION("""COMPUTED_VALUE"""),"2026 SIMON BOLIVAR")</f>
        <v>2026 SIMON BOLIVAR</v>
      </c>
      <c r="C2615" s="213" t="str">
        <f>IFERROR(__xludf.DUMMYFUNCTION("""COMPUTED_VALUE"""),"TALLER SFT DE INDUSTRIA DEL VESTIDO")</f>
        <v>TALLER SFT DE INDUSTRIA DEL VESTIDO</v>
      </c>
      <c r="D2615" s="213" t="str">
        <f>IFERROR(__xludf.DUMMYFUNCTION("""COMPUTED_VALUE"""),"PEDAGOGICO")</f>
        <v>PEDAGOGICO</v>
      </c>
      <c r="E2615" s="213" t="str">
        <f>IFERROR(__xludf.DUMMYFUNCTION("""COMPUTED_VALUE"""),"MAT-481")</f>
        <v>MAT-481</v>
      </c>
      <c r="F2615" s="213" t="str">
        <f>IFERROR(__xludf.DUMMYFUNCTION("""COMPUTED_VALUE"""),"MAT-481")</f>
        <v>MAT-481</v>
      </c>
      <c r="G2615" s="213"/>
      <c r="H2615"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15" s="213" t="str">
        <f>IFERROR(__xludf.DUMMYFUNCTION("""COMPUTED_VALUE"""),"Calidad física
· El USB tiene la capacidad de mínimo 32 GB, para almacenar  información en videos o textos digitales sobre metodología y técnicas relacionadas con la creación de propuestas de valor.
· Video grabado USB tiene 3 tipos de conectores: para co"&amp;"nectarse con la PC, Tablet y móvil (conector USB 3.0, conector micro USB, conector tipo C).
· Video grabado en formato MP4 / AVI, en alta resolución 4K o HD
· El video tendrá una duración de 30 minutos como mínimo. Dividido en 10 secciones, en cada secció"&amp;"n se presentará una técnica de diseño propuesta de valor, cada sección tendrá una duración de 3 minutos como mínimo.
· Calidad pedagógica.
- El video presentará un ejemplo práctico demostrativo de aplicación de 10 técnicas de la metodología Design Thinkin"&amp;"g.
- Cada sección debe presentar: el título de la técnica, la descripción y finalidad, los procedimientos de su aplicación.
- Cada sección integra imágenes, sonido, video y textos de manera creativa y motivadora para adolescentes de educación secundaria.
"&amp;"- Entre las posibles técnicas del Design Thinking: brainwritting, ¿Qué, cómo y por qué?, mapa de la empatía, lienzo de propuesta de valor, SCAMPER, PIN, 5 por qué,diagrama de causa efecto, diagrama de Porter, entre otros.")</f>
        <v>Calidad física
· El USB tiene la capacidad de mínimo 32 GB, para almacenar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30 minutos como mínimo. Dividido en 10 secciones, en cada sección se presentará una técnica de diseño propuesta de valor, cada sección tendrá una duración de 3 minutos como mínimo.
· Calidad pedagógica.
- El video presentará un ejemplo práctico demostrativo de aplicación de 10 técnicas de la metodología Design Thinking.
- Cada sección debe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qué,diagrama de causa efecto, diagrama de Porter, entre otros.</v>
      </c>
      <c r="J2615" s="213">
        <f>IFERROR(__xludf.DUMMYFUNCTION("""COMPUTED_VALUE"""),3.0)</f>
        <v>3</v>
      </c>
      <c r="K2615" s="213" t="str">
        <f>IFERROR(__xludf.DUMMYFUNCTION("""COMPUTED_VALUE"""),"170 DÍAS CALENDARIO")</f>
        <v>170 DÍAS CALENDARIO</v>
      </c>
      <c r="L2615" s="213" t="str">
        <f>IFERROR(__xludf.DUMMYFUNCTION("""COMPUTED_VALUE"""),"")</f>
        <v/>
      </c>
      <c r="M2615" s="213">
        <f>IFERROR(__xludf.DUMMYFUNCTION("""COMPUTED_VALUE"""),1.0)</f>
        <v>1</v>
      </c>
      <c r="N2615" s="213">
        <f>IFERROR(__xludf.DUMMYFUNCTION("""COMPUTED_VALUE"""),1.0)</f>
        <v>1</v>
      </c>
      <c r="O2615" s="213">
        <f>IFERROR(__xludf.DUMMYFUNCTION("""COMPUTED_VALUE"""),1.0)</f>
        <v>1</v>
      </c>
      <c r="P2615" s="213"/>
      <c r="Q2615" s="213"/>
      <c r="R2615" s="213"/>
      <c r="S2615" s="213"/>
      <c r="T2615" s="213"/>
      <c r="U2615" s="213"/>
      <c r="V2615" s="213"/>
      <c r="W2615" s="213"/>
      <c r="X2615" s="213"/>
      <c r="Y2615" s="213"/>
      <c r="Z2615" s="213"/>
      <c r="AA2615" s="213"/>
      <c r="AB2615" s="213"/>
      <c r="AC2615" s="213"/>
      <c r="AD2615" s="213"/>
      <c r="AE2615" s="213"/>
      <c r="AF2615" s="213"/>
      <c r="AG2615" s="213"/>
      <c r="AH2615" s="213"/>
      <c r="AI2615" s="213"/>
      <c r="AJ2615" s="213"/>
      <c r="AK2615" s="213"/>
      <c r="AL2615" s="213"/>
      <c r="AM2615" s="213"/>
      <c r="AN2615" s="213"/>
      <c r="AO2615" s="213"/>
      <c r="AP2615" s="213"/>
      <c r="AQ2615" s="213"/>
      <c r="AR2615" s="213"/>
      <c r="AS2615" s="213"/>
      <c r="AT2615" s="213"/>
      <c r="AU2615" s="213"/>
      <c r="AV2615" s="213"/>
      <c r="AW2615" s="213"/>
      <c r="AX2615" s="213"/>
      <c r="AY2615" s="213"/>
      <c r="AZ2615" s="213"/>
      <c r="BA2615" s="213"/>
      <c r="BB2615" s="213"/>
      <c r="BC2615" s="213"/>
      <c r="BD2615" s="213"/>
    </row>
    <row r="2616">
      <c r="A2616" s="213">
        <f>IFERROR(__xludf.DUMMYFUNCTION("""COMPUTED_VALUE"""),299.0)</f>
        <v>299</v>
      </c>
      <c r="B2616" s="213" t="str">
        <f>IFERROR(__xludf.DUMMYFUNCTION("""COMPUTED_VALUE"""),"2026 SIMON BOLIVAR")</f>
        <v>2026 SIMON BOLIVAR</v>
      </c>
      <c r="C2616" s="213" t="str">
        <f>IFERROR(__xludf.DUMMYFUNCTION("""COMPUTED_VALUE"""),"TALLER SFT DE COMPUTACIÓN E INFORMÁTICA")</f>
        <v>TALLER SFT DE COMPUTACIÓN E INFORMÁTICA</v>
      </c>
      <c r="D2616" s="213" t="str">
        <f>IFERROR(__xludf.DUMMYFUNCTION("""COMPUTED_VALUE"""),"PEDAGOGICO")</f>
        <v>PEDAGOGICO</v>
      </c>
      <c r="E2616" s="213" t="str">
        <f>IFERROR(__xludf.DUMMYFUNCTION("""COMPUTED_VALUE"""),"MAT-481")</f>
        <v>MAT-481</v>
      </c>
      <c r="F2616" s="213" t="str">
        <f>IFERROR(__xludf.DUMMYFUNCTION("""COMPUTED_VALUE"""),"MAT-481")</f>
        <v>MAT-481</v>
      </c>
      <c r="G2616" s="213"/>
      <c r="H2616"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16" s="213" t="str">
        <f>IFERROR(__xludf.DUMMYFUNCTION("""COMPUTED_VALUE"""),"Calidad física
· El USB tiene la capacidad de mínimo 32 GB, para almacenar  información en videos o textos digitales sobre metodología y técnicas relacionadas con la creación de propuestas de valor.
· Video grabado USB tiene 3 tipos de conectores: para co"&amp;"nectarse con la PC, Tablet y móvil (conector USB 3.0, conector micro USB, conector tipo C).
· Video grabado en formato MP4 / AVI, en alta resolución 4K o HD
· El video tendrá una duración de 30 minutos como mínimo. Dividido en 10 secciones, en cada secció"&amp;"n se presentará una técnica de diseño propuesta de valor, cada sección tendrá una duración de 3 minutos como mínimo.
· Calidad pedagógica.
- El video presentará un ejemplo práctico demostrativo de aplicación de 10 técnicas de la metodología Design Thinkin"&amp;"g.
- Cada sección debe presentar: el título de la técnica, la descripción y finalidad, los procedimientos de su aplicación.
- Cada sección integra imágenes, sonido, video y textos de manera creativa y motivadora para adolescentes de educación secundaria.
"&amp;"- Entre las posibles técnicas del Design Thinking: brainwritting, ¿Qué, cómo y por qué?, mapa de la empatía, lienzo de propuesta de valor, SCAMPER, PIN, 5 por qué,diagrama de causa efecto, diagrama de Porter, entre otros.")</f>
        <v>Calidad física
· El USB tiene la capacidad de mínimo 32 GB, para almacenar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30 minutos como mínimo. Dividido en 10 secciones, en cada sección se presentará una técnica de diseño propuesta de valor, cada sección tendrá una duración de 3 minutos como mínimo.
· Calidad pedagógica.
- El video presentará un ejemplo práctico demostrativo de aplicación de 10 técnicas de la metodología Design Thinking.
- Cada sección debe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qué,diagrama de causa efecto, diagrama de Porter, entre otros.</v>
      </c>
      <c r="J2616" s="213">
        <f>IFERROR(__xludf.DUMMYFUNCTION("""COMPUTED_VALUE"""),3.0)</f>
        <v>3</v>
      </c>
      <c r="K2616" s="213" t="str">
        <f>IFERROR(__xludf.DUMMYFUNCTION("""COMPUTED_VALUE"""),"170 DÍAS CALENDARIO")</f>
        <v>170 DÍAS CALENDARIO</v>
      </c>
      <c r="L2616" s="213" t="str">
        <f>IFERROR(__xludf.DUMMYFUNCTION("""COMPUTED_VALUE"""),"")</f>
        <v/>
      </c>
      <c r="M2616" s="213">
        <f>IFERROR(__xludf.DUMMYFUNCTION("""COMPUTED_VALUE"""),1.0)</f>
        <v>1</v>
      </c>
      <c r="N2616" s="213">
        <f>IFERROR(__xludf.DUMMYFUNCTION("""COMPUTED_VALUE"""),1.0)</f>
        <v>1</v>
      </c>
      <c r="O2616" s="213">
        <f>IFERROR(__xludf.DUMMYFUNCTION("""COMPUTED_VALUE"""),1.0)</f>
        <v>1</v>
      </c>
      <c r="P2616" s="213"/>
      <c r="Q2616" s="213"/>
      <c r="R2616" s="213"/>
      <c r="S2616" s="213"/>
      <c r="T2616" s="213"/>
      <c r="U2616" s="213"/>
      <c r="V2616" s="213"/>
      <c r="W2616" s="213"/>
      <c r="X2616" s="213"/>
      <c r="Y2616" s="213"/>
      <c r="Z2616" s="213"/>
      <c r="AA2616" s="213"/>
      <c r="AB2616" s="213"/>
      <c r="AC2616" s="213"/>
      <c r="AD2616" s="213"/>
      <c r="AE2616" s="213"/>
      <c r="AF2616" s="213"/>
      <c r="AG2616" s="213"/>
      <c r="AH2616" s="213"/>
      <c r="AI2616" s="213"/>
      <c r="AJ2616" s="213"/>
      <c r="AK2616" s="213"/>
      <c r="AL2616" s="213"/>
      <c r="AM2616" s="213"/>
      <c r="AN2616" s="213"/>
      <c r="AO2616" s="213"/>
      <c r="AP2616" s="213"/>
      <c r="AQ2616" s="213"/>
      <c r="AR2616" s="213"/>
      <c r="AS2616" s="213"/>
      <c r="AT2616" s="213"/>
      <c r="AU2616" s="213"/>
      <c r="AV2616" s="213"/>
      <c r="AW2616" s="213"/>
      <c r="AX2616" s="213"/>
      <c r="AY2616" s="213"/>
      <c r="AZ2616" s="213"/>
      <c r="BA2616" s="213"/>
      <c r="BB2616" s="213"/>
      <c r="BC2616" s="213"/>
      <c r="BD2616" s="213"/>
    </row>
    <row r="2617">
      <c r="A2617" s="213">
        <f>IFERROR(__xludf.DUMMYFUNCTION("""COMPUTED_VALUE"""),379.0)</f>
        <v>379</v>
      </c>
      <c r="B2617" s="213" t="str">
        <f>IFERROR(__xludf.DUMMYFUNCTION("""COMPUTED_VALUE"""),"2026 SIMON BOLIVAR")</f>
        <v>2026 SIMON BOLIVAR</v>
      </c>
      <c r="C2617" s="213" t="str">
        <f>IFERROR(__xludf.DUMMYFUNCTION("""COMPUTED_VALUE"""),"TALLER SFT DE ELECTRICIDAD")</f>
        <v>TALLER SFT DE ELECTRICIDAD</v>
      </c>
      <c r="D2617" s="213" t="str">
        <f>IFERROR(__xludf.DUMMYFUNCTION("""COMPUTED_VALUE"""),"PEDAGOGICO")</f>
        <v>PEDAGOGICO</v>
      </c>
      <c r="E2617" s="213" t="str">
        <f>IFERROR(__xludf.DUMMYFUNCTION("""COMPUTED_VALUE"""),"MAT-481")</f>
        <v>MAT-481</v>
      </c>
      <c r="F2617" s="213" t="str">
        <f>IFERROR(__xludf.DUMMYFUNCTION("""COMPUTED_VALUE"""),"MAT-481")</f>
        <v>MAT-481</v>
      </c>
      <c r="G2617" s="213"/>
      <c r="H2617"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17" s="213" t="str">
        <f>IFERROR(__xludf.DUMMYFUNCTION("""COMPUTED_VALUE"""),"Calidad física
· El USB tiene la capacidad de mínimo 32 GB, para almacenar los archivos de los manuales y la información complementaria en videos o textos digitales sobre metodología y técnicas relacionadas con la creación de propuestas de valor
· Video g"&amp;"rabado USB tiene 3 tipos de conectores: para conectarse con la PC, Tablet y móvil (conector USB 3.0, conector micro USB, conector tipo C).
· Video grabado en formato MP4 / AVI, en alta resolución 4K o HD
· El video tendrá una duración de 50 minutos como m"&amp;"ínimo. Dividido en 10 secciones, en cada sección se presentará una técnica de diseño propuesta de valor, cada sección tendrá una duración de 5 minutos como mínimo.
· Calidad pedagógica.
- El video presentará un ejemplo práctico demostrativo de aplicación "&amp;"de 10 técnicas de la metodología Design thinking.
- Cada sección de presentar: el título de la técnica, la descripción y finalidad, los procedimientos de su aplicación.
- Cada sección integra imágenes, sonido, video y textos de manera creativa y motivador"&amp;"a para adolescentes de educación secundaria.
- Entre las posibles técnicas del Design Thinking: brainwritting, ¿Qué, cómo y por qué?, mapa de la empatía, lienzo de propuesta de valor, SCAMPER, PIN, 5 por qué, 5 para qué, diagrama de causa efecto, diagrama"&amp;" de Porter, entre otros.")</f>
        <v>Calidad física
· El USB tiene la capacidad de mínimo 32 GB, para almacenar los archivos de los manuales y la información complementaria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5 para qué, diagrama de causa efecto, diagrama de Porter, entre otros.</v>
      </c>
      <c r="J2617" s="213">
        <f>IFERROR(__xludf.DUMMYFUNCTION("""COMPUTED_VALUE"""),3.0)</f>
        <v>3</v>
      </c>
      <c r="K2617" s="213" t="str">
        <f>IFERROR(__xludf.DUMMYFUNCTION("""COMPUTED_VALUE"""),"170 DÍAS CALENDARIO")</f>
        <v>170 DÍAS CALENDARIO</v>
      </c>
      <c r="L2617" s="213" t="str">
        <f>IFERROR(__xludf.DUMMYFUNCTION("""COMPUTED_VALUE"""),"")</f>
        <v/>
      </c>
      <c r="M2617" s="213">
        <f>IFERROR(__xludf.DUMMYFUNCTION("""COMPUTED_VALUE"""),1.0)</f>
        <v>1</v>
      </c>
      <c r="N2617" s="213">
        <f>IFERROR(__xludf.DUMMYFUNCTION("""COMPUTED_VALUE"""),1.0)</f>
        <v>1</v>
      </c>
      <c r="O2617" s="213">
        <f>IFERROR(__xludf.DUMMYFUNCTION("""COMPUTED_VALUE"""),1.0)</f>
        <v>1</v>
      </c>
      <c r="P2617" s="213"/>
      <c r="Q2617" s="213"/>
      <c r="R2617" s="213"/>
      <c r="S2617" s="213"/>
      <c r="T2617" s="213"/>
      <c r="U2617" s="213"/>
      <c r="V2617" s="213"/>
      <c r="W2617" s="213"/>
      <c r="X2617" s="213"/>
      <c r="Y2617" s="213"/>
      <c r="Z2617" s="213"/>
      <c r="AA2617" s="213"/>
      <c r="AB2617" s="213"/>
      <c r="AC2617" s="213"/>
      <c r="AD2617" s="213"/>
      <c r="AE2617" s="213"/>
      <c r="AF2617" s="213"/>
      <c r="AG2617" s="213"/>
      <c r="AH2617" s="213"/>
      <c r="AI2617" s="213"/>
      <c r="AJ2617" s="213"/>
      <c r="AK2617" s="213"/>
      <c r="AL2617" s="213"/>
      <c r="AM2617" s="213"/>
      <c r="AN2617" s="213"/>
      <c r="AO2617" s="213"/>
      <c r="AP2617" s="213"/>
      <c r="AQ2617" s="213"/>
      <c r="AR2617" s="213"/>
      <c r="AS2617" s="213"/>
      <c r="AT2617" s="213"/>
      <c r="AU2617" s="213"/>
      <c r="AV2617" s="213"/>
      <c r="AW2617" s="213"/>
      <c r="AX2617" s="213"/>
      <c r="AY2617" s="213"/>
      <c r="AZ2617" s="213"/>
      <c r="BA2617" s="213"/>
      <c r="BB2617" s="213"/>
      <c r="BC2617" s="213"/>
      <c r="BD2617" s="213"/>
    </row>
    <row r="2618">
      <c r="A2618" s="213">
        <f>IFERROR(__xludf.DUMMYFUNCTION("""COMPUTED_VALUE"""),576.0)</f>
        <v>576</v>
      </c>
      <c r="B2618" s="213" t="str">
        <f>IFERROR(__xludf.DUMMYFUNCTION("""COMPUTED_VALUE"""),"2026 SIMON BOLIVAR")</f>
        <v>2026 SIMON BOLIVAR</v>
      </c>
      <c r="C2618" s="213" t="str">
        <f>IFERROR(__xludf.DUMMYFUNCTION("""COMPUTED_VALUE"""),"TALLER SFT DE INDUSTRIA ALIMENTARIA")</f>
        <v>TALLER SFT DE INDUSTRIA ALIMENTARIA</v>
      </c>
      <c r="D2618" s="213" t="str">
        <f>IFERROR(__xludf.DUMMYFUNCTION("""COMPUTED_VALUE"""),"PEDAGOGICO")</f>
        <v>PEDAGOGICO</v>
      </c>
      <c r="E2618" s="213" t="str">
        <f>IFERROR(__xludf.DUMMYFUNCTION("""COMPUTED_VALUE"""),"MAT-481")</f>
        <v>MAT-481</v>
      </c>
      <c r="F2618" s="213" t="str">
        <f>IFERROR(__xludf.DUMMYFUNCTION("""COMPUTED_VALUE"""),"MAT-481")</f>
        <v>MAT-481</v>
      </c>
      <c r="G2618" s="213"/>
      <c r="H2618"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18" s="213" t="str">
        <f>IFERROR(__xludf.DUMMYFUNCTION("""COMPUTED_VALUE"""),"Calidad física
· El USB tiene la capacidad de mínimo 32 GB, para almacenar los archivos de los manuales y la información complementaria en videos o textos digitales sobre metodología y técnicas relacionadas con la creación de propuestas de valor
· Video g"&amp;"rabado USB tiene 3 tipos de conectores: para conectarse con la PC, Tablet y móvil (conector USB 3.0, conector micro USB, conector tipo C).
· Video grabado en formato MP4 / AVI, en alta resolución 4K o HD
· El video tendrá una duración de 50 minutos como m"&amp;"ínimo. Dividido en 10 secciones, en cada sección se presentará una técnica de diseño propuesta de valor, cada sección tendrá una duración de 5 minutos como mínimo.
· Calidad pedagógica.
- El video presentará un ejemplo práctico demostrativo de aplicación "&amp;"de 10 técnicas de la metodología Design Thinking.
- Cada sección de presentar: el título de la técnica, la descripción y finalidad, los procedimientos de su aplicación.
- Cada sección integra imágenes, sonido, video y textos de manera creativa y motivador"&amp;"a para adolescentes de educación secundaria.
- Entre las posibles técnicas del Design Thinking: brainwritting, ¿Qué, cómo y por qué?, mapa de la empatía, lienzo de propuesta de valor, SCAMPER, PIN, 5 por qué, 5 para qué, diagrama de causa efecto, diagrama"&amp;" de Porter, entre otros.")</f>
        <v>Calidad física
· El USB tiene la capacidad de mínimo 32 GB, para almacenar los archivos de los manuales y la información complementaria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5 para qué, diagrama de causa efecto, diagrama de Porter, entre otros.</v>
      </c>
      <c r="J2618" s="213">
        <f>IFERROR(__xludf.DUMMYFUNCTION("""COMPUTED_VALUE"""),3.0)</f>
        <v>3</v>
      </c>
      <c r="K2618" s="213" t="str">
        <f>IFERROR(__xludf.DUMMYFUNCTION("""COMPUTED_VALUE"""),"170 DÍAS CALENDARIO")</f>
        <v>170 DÍAS CALENDARIO</v>
      </c>
      <c r="L2618" s="213" t="str">
        <f>IFERROR(__xludf.DUMMYFUNCTION("""COMPUTED_VALUE"""),"")</f>
        <v/>
      </c>
      <c r="M2618" s="213">
        <f>IFERROR(__xludf.DUMMYFUNCTION("""COMPUTED_VALUE"""),1.0)</f>
        <v>1</v>
      </c>
      <c r="N2618" s="213">
        <f>IFERROR(__xludf.DUMMYFUNCTION("""COMPUTED_VALUE"""),4.0)</f>
        <v>4</v>
      </c>
      <c r="O2618" s="213">
        <f>IFERROR(__xludf.DUMMYFUNCTION("""COMPUTED_VALUE"""),4.0)</f>
        <v>4</v>
      </c>
      <c r="P2618" s="213"/>
      <c r="Q2618" s="213"/>
      <c r="R2618" s="213"/>
      <c r="S2618" s="213"/>
      <c r="T2618" s="213"/>
      <c r="U2618" s="213"/>
      <c r="V2618" s="213"/>
      <c r="W2618" s="213"/>
      <c r="X2618" s="213"/>
      <c r="Y2618" s="213"/>
      <c r="Z2618" s="213"/>
      <c r="AA2618" s="213"/>
      <c r="AB2618" s="213"/>
      <c r="AC2618" s="213"/>
      <c r="AD2618" s="213"/>
      <c r="AE2618" s="213"/>
      <c r="AF2618" s="213"/>
      <c r="AG2618" s="213"/>
      <c r="AH2618" s="213"/>
      <c r="AI2618" s="213"/>
      <c r="AJ2618" s="213"/>
      <c r="AK2618" s="213"/>
      <c r="AL2618" s="213"/>
      <c r="AM2618" s="213"/>
      <c r="AN2618" s="213"/>
      <c r="AO2618" s="213"/>
      <c r="AP2618" s="213"/>
      <c r="AQ2618" s="213"/>
      <c r="AR2618" s="213"/>
      <c r="AS2618" s="213"/>
      <c r="AT2618" s="213"/>
      <c r="AU2618" s="213"/>
      <c r="AV2618" s="213"/>
      <c r="AW2618" s="213"/>
      <c r="AX2618" s="213"/>
      <c r="AY2618" s="213"/>
      <c r="AZ2618" s="213"/>
      <c r="BA2618" s="213"/>
      <c r="BB2618" s="213"/>
      <c r="BC2618" s="213"/>
      <c r="BD2618" s="213"/>
    </row>
    <row r="2619">
      <c r="A2619" s="213">
        <f>IFERROR(__xludf.DUMMYFUNCTION("""COMPUTED_VALUE"""),664.0)</f>
        <v>664</v>
      </c>
      <c r="B2619" s="213" t="str">
        <f>IFERROR(__xludf.DUMMYFUNCTION("""COMPUTED_VALUE"""),"6049 RICARDO PALMA")</f>
        <v>6049 RICARDO PALMA</v>
      </c>
      <c r="C2619" s="213" t="str">
        <f>IFERROR(__xludf.DUMMYFUNCTION("""COMPUTED_VALUE"""),"TALLER SFT DE ELECTRÓNICA")</f>
        <v>TALLER SFT DE ELECTRÓNICA</v>
      </c>
      <c r="D2619" s="213" t="str">
        <f>IFERROR(__xludf.DUMMYFUNCTION("""COMPUTED_VALUE"""),"PEDAGOGICO")</f>
        <v>PEDAGOGICO</v>
      </c>
      <c r="E2619" s="213" t="str">
        <f>IFERROR(__xludf.DUMMYFUNCTION("""COMPUTED_VALUE"""),"MAT-481")</f>
        <v>MAT-481</v>
      </c>
      <c r="F2619" s="213" t="str">
        <f>IFERROR(__xludf.DUMMYFUNCTION("""COMPUTED_VALUE"""),"MAT-481")</f>
        <v>MAT-481</v>
      </c>
      <c r="G2619" s="213"/>
      <c r="H2619"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19" s="213" t="str">
        <f>IFERROR(__xludf.DUMMYFUNCTION("""COMPUTED_VALUE"""),"Calidad física
· El USB tiene la capacidad de mínimo 32 GB, para almacenar información en videos o textos digitales sobre metodología y técnicas relacionadas con la creación de propuestas de valor
·        Video grabado USB que tiene 3 tipos de conectores"&amp;": para conectarse con la PC, Tablet y móvil (conector USB 3.0, conector micro USB, conector tipo C).
·        Video grabado en formato MP4 / AVI, en alta resolución, mínimo HD
·        El video tendrá una duración de 30 minutos como mínimo. Dividido en 10"&amp;" secciones, en cada sección se presentará una técnica de la metodología Design Thinking, cada sección tendrá una duración de 3 minutos como mínimo.
Calidad pedagógica
·        El video presentará un ejemplo práctico demostrativo de aplicación de 10 técnic"&amp;"as de la metodología Design Thinking.
·        Cada sección de presentar: el título de la técnica, las descripción y finalidad, los procedimientos de su aplicación.
·        Cada sección integra imágenes, sonido, video y textos de manera creativa y motiva"&amp;"dora para adolescentes de educación secundaria.
·          Entre las posibles técnicas del Design Thinking: brainwritting, ¿Qué, cómo y por qué?, mapa de la empatía, lienzo de propuesta de valor, SCAMPER, PIN, 5 por qué, diagrama de causa efecto, diagrama"&amp;" de Porter, entre otros.")</f>
        <v>Calidad física
· El USB tiene la capacidad de mínimo 32 GB, para almacenar información en videos o textos digitales sobre metodología y técnicas relacionadas con la creación de propuestas de valor
·        Video grabado USB que tiene 3 tipos de conectores: para conectarse con la PC, Tablet y móvil (conector USB 3.0, conector micro USB, conector tipo C).
·        Video grabado en formato MP4 / AVI, en alta resolución, mínimo HD
·        El video tendrá una duración de 30 minutos como mínimo. Dividido en 10 secciones, en cada sección se presentará una técnica de la metodología Design Thinking, cada sección tendrá una duración de 3 minutos como mínimo.
Calidad pedagógica
·        El video presentará un ejemplo práctico demostrativo de aplicación de 10 técnicas de la metodología Design Thinking.
·        Cada sección de presentar: el título de la técnica, las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diagrama de causa efecto, diagrama de Porter, entre otros.</v>
      </c>
      <c r="J2619" s="213">
        <f>IFERROR(__xludf.DUMMYFUNCTION("""COMPUTED_VALUE"""),3.0)</f>
        <v>3</v>
      </c>
      <c r="K2619" s="213" t="str">
        <f>IFERROR(__xludf.DUMMYFUNCTION("""COMPUTED_VALUE"""),"170 DÍAS CALENDARIO")</f>
        <v>170 DÍAS CALENDARIO</v>
      </c>
      <c r="L2619" s="213" t="str">
        <f>IFERROR(__xludf.DUMMYFUNCTION("""COMPUTED_VALUE"""),"")</f>
        <v/>
      </c>
      <c r="M2619" s="213">
        <f>IFERROR(__xludf.DUMMYFUNCTION("""COMPUTED_VALUE"""),1.0)</f>
        <v>1</v>
      </c>
      <c r="N2619" s="213">
        <f>IFERROR(__xludf.DUMMYFUNCTION("""COMPUTED_VALUE"""),1.0)</f>
        <v>1</v>
      </c>
      <c r="O2619" s="213">
        <f>IFERROR(__xludf.DUMMYFUNCTION("""COMPUTED_VALUE"""),1.0)</f>
        <v>1</v>
      </c>
      <c r="P2619" s="213"/>
      <c r="Q2619" s="213"/>
      <c r="R2619" s="213"/>
      <c r="S2619" s="213"/>
      <c r="T2619" s="213"/>
      <c r="U2619" s="213"/>
      <c r="V2619" s="213"/>
      <c r="W2619" s="213"/>
      <c r="X2619" s="213"/>
      <c r="Y2619" s="213"/>
      <c r="Z2619" s="213"/>
      <c r="AA2619" s="213"/>
      <c r="AB2619" s="213"/>
      <c r="AC2619" s="213"/>
      <c r="AD2619" s="213"/>
      <c r="AE2619" s="213"/>
      <c r="AF2619" s="213"/>
      <c r="AG2619" s="213"/>
      <c r="AH2619" s="213"/>
      <c r="AI2619" s="213"/>
      <c r="AJ2619" s="213"/>
      <c r="AK2619" s="213"/>
      <c r="AL2619" s="213"/>
      <c r="AM2619" s="213"/>
      <c r="AN2619" s="213"/>
      <c r="AO2619" s="213"/>
      <c r="AP2619" s="213"/>
      <c r="AQ2619" s="213"/>
      <c r="AR2619" s="213"/>
      <c r="AS2619" s="213"/>
      <c r="AT2619" s="213"/>
      <c r="AU2619" s="213"/>
      <c r="AV2619" s="213"/>
      <c r="AW2619" s="213"/>
      <c r="AX2619" s="213"/>
      <c r="AY2619" s="213"/>
      <c r="AZ2619" s="213"/>
      <c r="BA2619" s="213"/>
      <c r="BB2619" s="213"/>
      <c r="BC2619" s="213"/>
      <c r="BD2619" s="213"/>
    </row>
    <row r="2620">
      <c r="A2620" s="213">
        <f>IFERROR(__xludf.DUMMYFUNCTION("""COMPUTED_VALUE"""),785.0)</f>
        <v>785</v>
      </c>
      <c r="B2620" s="213" t="str">
        <f>IFERROR(__xludf.DUMMYFUNCTION("""COMPUTED_VALUE"""),"6049 RICARDO PALMA")</f>
        <v>6049 RICARDO PALMA</v>
      </c>
      <c r="C2620" s="213" t="str">
        <f>IFERROR(__xludf.DUMMYFUNCTION("""COMPUTED_VALUE"""),"TALLER SFT DE COMPUTACIÓN E INFORMÁTICA")</f>
        <v>TALLER SFT DE COMPUTACIÓN E INFORMÁTICA</v>
      </c>
      <c r="D2620" s="213" t="str">
        <f>IFERROR(__xludf.DUMMYFUNCTION("""COMPUTED_VALUE"""),"PEDAGOGICO")</f>
        <v>PEDAGOGICO</v>
      </c>
      <c r="E2620" s="213" t="str">
        <f>IFERROR(__xludf.DUMMYFUNCTION("""COMPUTED_VALUE"""),"MAT-481")</f>
        <v>MAT-481</v>
      </c>
      <c r="F2620" s="213" t="str">
        <f>IFERROR(__xludf.DUMMYFUNCTION("""COMPUTED_VALUE"""),"MAT-481")</f>
        <v>MAT-481</v>
      </c>
      <c r="G2620" s="213"/>
      <c r="H2620"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0" s="213" t="str">
        <f>IFERROR(__xludf.DUMMYFUNCTION("""COMPUTED_VALUE"""),"Calidad física
· El USB tiene la capacidad de mínimo 32 GB, para almacenar  información en videos o textos digitales sobre metodología y técnicas relacionadas con la creación de propuestas de valor.
· Video grabado USB tiene 3 tipos de conectores: para co"&amp;"nectarse con la PC, Tablet y móvil (conector USB 3.0, conector micro USB, conector tipo C).
· Video grabado en formato MP4 / AVI, en alta resolución 4K o HD
· El video tendrá una duración de 30 minutos como mínimo. Dividido en 10 secciones, en cada secció"&amp;"n se presentará una técnica de diseño propuesta de valor, cada sección tendrá una duración de 3 minutos como mínimo.
· Calidad pedagógica.
- El video presentará un ejemplo práctico demostrativo de aplicación de 10 técnicas de la metodología Design Thinkin"&amp;"g.
- Cada sección debe presentar: el título de la técnica, la descripción y finalidad, los procedimientos de su aplicación.
- Cada sección integra imágenes, sonido, video y textos de manera creativa y motivadora para adolescentes de educación secundaria.
"&amp;"- Entre las posibles técnicas del Design Thinking: brainwritting, ¿Qué, cómo y por qué?, mapa de la empatía, lienzo de propuesta de valor, SCAMPER, PIN, 5 por qué,diagrama de causa efecto, diagrama de Porter, entre otros.")</f>
        <v>Calidad física
· El USB tiene la capacidad de mínimo 32 GB, para almacenar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30 minutos como mínimo. Dividido en 10 secciones, en cada sección se presentará una técnica de diseño propuesta de valor, cada sección tendrá una duración de 3 minutos como mínimo.
· Calidad pedagógica.
- El video presentará un ejemplo práctico demostrativo de aplicación de 10 técnicas de la metodología Design Thinking.
- Cada sección debe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qué,diagrama de causa efecto, diagrama de Porter, entre otros.</v>
      </c>
      <c r="J2620" s="213">
        <f>IFERROR(__xludf.DUMMYFUNCTION("""COMPUTED_VALUE"""),3.0)</f>
        <v>3</v>
      </c>
      <c r="K2620" s="213" t="str">
        <f>IFERROR(__xludf.DUMMYFUNCTION("""COMPUTED_VALUE"""),"170 DÍAS CALENDARIO")</f>
        <v>170 DÍAS CALENDARIO</v>
      </c>
      <c r="L2620" s="213" t="str">
        <f>IFERROR(__xludf.DUMMYFUNCTION("""COMPUTED_VALUE"""),"")</f>
        <v/>
      </c>
      <c r="M2620" s="213">
        <f>IFERROR(__xludf.DUMMYFUNCTION("""COMPUTED_VALUE"""),1.0)</f>
        <v>1</v>
      </c>
      <c r="N2620" s="213">
        <f>IFERROR(__xludf.DUMMYFUNCTION("""COMPUTED_VALUE"""),1.0)</f>
        <v>1</v>
      </c>
      <c r="O2620" s="213">
        <f>IFERROR(__xludf.DUMMYFUNCTION("""COMPUTED_VALUE"""),1.0)</f>
        <v>1</v>
      </c>
      <c r="P2620" s="213"/>
      <c r="Q2620" s="213"/>
      <c r="R2620" s="213"/>
      <c r="S2620" s="213"/>
      <c r="T2620" s="213"/>
      <c r="U2620" s="213"/>
      <c r="V2620" s="213"/>
      <c r="W2620" s="213"/>
      <c r="X2620" s="213"/>
      <c r="Y2620" s="213"/>
      <c r="Z2620" s="213"/>
      <c r="AA2620" s="213"/>
      <c r="AB2620" s="213"/>
      <c r="AC2620" s="213"/>
      <c r="AD2620" s="213"/>
      <c r="AE2620" s="213"/>
      <c r="AF2620" s="213"/>
      <c r="AG2620" s="213"/>
      <c r="AH2620" s="213"/>
      <c r="AI2620" s="213"/>
      <c r="AJ2620" s="213"/>
      <c r="AK2620" s="213"/>
      <c r="AL2620" s="213"/>
      <c r="AM2620" s="213"/>
      <c r="AN2620" s="213"/>
      <c r="AO2620" s="213"/>
      <c r="AP2620" s="213"/>
      <c r="AQ2620" s="213"/>
      <c r="AR2620" s="213"/>
      <c r="AS2620" s="213"/>
      <c r="AT2620" s="213"/>
      <c r="AU2620" s="213"/>
      <c r="AV2620" s="213"/>
      <c r="AW2620" s="213"/>
      <c r="AX2620" s="213"/>
      <c r="AY2620" s="213"/>
      <c r="AZ2620" s="213"/>
      <c r="BA2620" s="213"/>
      <c r="BB2620" s="213"/>
      <c r="BC2620" s="213"/>
      <c r="BD2620" s="213"/>
    </row>
    <row r="2621">
      <c r="A2621" s="213">
        <f>IFERROR(__xludf.DUMMYFUNCTION("""COMPUTED_VALUE"""),865.0)</f>
        <v>865</v>
      </c>
      <c r="B2621" s="213" t="str">
        <f>IFERROR(__xludf.DUMMYFUNCTION("""COMPUTED_VALUE"""),"6049 RICARDO PALMA")</f>
        <v>6049 RICARDO PALMA</v>
      </c>
      <c r="C2621" s="213" t="str">
        <f>IFERROR(__xludf.DUMMYFUNCTION("""COMPUTED_VALUE"""),"TALLER SFT DE ELECTRICIDAD")</f>
        <v>TALLER SFT DE ELECTRICIDAD</v>
      </c>
      <c r="D2621" s="213" t="str">
        <f>IFERROR(__xludf.DUMMYFUNCTION("""COMPUTED_VALUE"""),"PEDAGOGICO")</f>
        <v>PEDAGOGICO</v>
      </c>
      <c r="E2621" s="213" t="str">
        <f>IFERROR(__xludf.DUMMYFUNCTION("""COMPUTED_VALUE"""),"MAT-481")</f>
        <v>MAT-481</v>
      </c>
      <c r="F2621" s="213" t="str">
        <f>IFERROR(__xludf.DUMMYFUNCTION("""COMPUTED_VALUE"""),"MAT-481")</f>
        <v>MAT-481</v>
      </c>
      <c r="G2621" s="213"/>
      <c r="H2621"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1" s="213" t="str">
        <f>IFERROR(__xludf.DUMMYFUNCTION("""COMPUTED_VALUE"""),"Calidad física
· El USB tiene la capacidad de mínimo 32 GB, para almacenar los archivos de los manuales y la información complementaria en videos o textos digitales sobre metodología y técnicas relacionadas con la creación de propuestas de valor
· Video g"&amp;"rabado USB tiene 3 tipos de conectores: para conectarse con la PC, Tablet y móvil (conector USB 3.0, conector micro USB, conector tipo C).
· Video grabado en formato MP4 / AVI, en alta resolución 4K o HD
· El video tendrá una duración de 50 minutos como m"&amp;"ínimo. Dividido en 10 secciones, en cada sección se presentará una técnica de diseño propuesta de valor, cada sección tendrá una duración de 5 minutos como mínimo.
· Calidad pedagógica.
- El video presentará un ejemplo práctico demostrativo de aplicación "&amp;"de 10 técnicas de la metodología Design thinking.
- Cada sección de presentar: el título de la técnica, la descripción y finalidad, los procedimientos de su aplicación.
- Cada sección integra imágenes, sonido, video y textos de manera creativa y motivador"&amp;"a para adolescentes de educación secundaria.
- Entre las posibles técnicas del Design Thinking: brainwritting, ¿Qué, cómo y por qué?, mapa de la empatía, lienzo de propuesta de valor, SCAMPER, PIN, 5 por qué, 5 para qué, diagrama de causa efecto, diagrama"&amp;" de Porter, entre otros.")</f>
        <v>Calidad física
· El USB tiene la capacidad de mínimo 32 GB, para almacenar los archivos de los manuales y la información complementaria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5 para qué, diagrama de causa efecto, diagrama de Porter, entre otros.</v>
      </c>
      <c r="J2621" s="213">
        <f>IFERROR(__xludf.DUMMYFUNCTION("""COMPUTED_VALUE"""),3.0)</f>
        <v>3</v>
      </c>
      <c r="K2621" s="213" t="str">
        <f>IFERROR(__xludf.DUMMYFUNCTION("""COMPUTED_VALUE"""),"170 DÍAS CALENDARIO")</f>
        <v>170 DÍAS CALENDARIO</v>
      </c>
      <c r="L2621" s="213" t="str">
        <f>IFERROR(__xludf.DUMMYFUNCTION("""COMPUTED_VALUE"""),"")</f>
        <v/>
      </c>
      <c r="M2621" s="213">
        <f>IFERROR(__xludf.DUMMYFUNCTION("""COMPUTED_VALUE"""),1.0)</f>
        <v>1</v>
      </c>
      <c r="N2621" s="213">
        <f>IFERROR(__xludf.DUMMYFUNCTION("""COMPUTED_VALUE"""),1.0)</f>
        <v>1</v>
      </c>
      <c r="O2621" s="213">
        <f>IFERROR(__xludf.DUMMYFUNCTION("""COMPUTED_VALUE"""),1.0)</f>
        <v>1</v>
      </c>
      <c r="P2621" s="213"/>
      <c r="Q2621" s="213"/>
      <c r="R2621" s="213"/>
      <c r="S2621" s="213"/>
      <c r="T2621" s="213"/>
      <c r="U2621" s="213"/>
      <c r="V2621" s="213"/>
      <c r="W2621" s="213"/>
      <c r="X2621" s="213"/>
      <c r="Y2621" s="213"/>
      <c r="Z2621" s="213"/>
      <c r="AA2621" s="213"/>
      <c r="AB2621" s="213"/>
      <c r="AC2621" s="213"/>
      <c r="AD2621" s="213"/>
      <c r="AE2621" s="213"/>
      <c r="AF2621" s="213"/>
      <c r="AG2621" s="213"/>
      <c r="AH2621" s="213"/>
      <c r="AI2621" s="213"/>
      <c r="AJ2621" s="213"/>
      <c r="AK2621" s="213"/>
      <c r="AL2621" s="213"/>
      <c r="AM2621" s="213"/>
      <c r="AN2621" s="213"/>
      <c r="AO2621" s="213"/>
      <c r="AP2621" s="213"/>
      <c r="AQ2621" s="213"/>
      <c r="AR2621" s="213"/>
      <c r="AS2621" s="213"/>
      <c r="AT2621" s="213"/>
      <c r="AU2621" s="213"/>
      <c r="AV2621" s="213"/>
      <c r="AW2621" s="213"/>
      <c r="AX2621" s="213"/>
      <c r="AY2621" s="213"/>
      <c r="AZ2621" s="213"/>
      <c r="BA2621" s="213"/>
      <c r="BB2621" s="213"/>
      <c r="BC2621" s="213"/>
      <c r="BD2621" s="213"/>
    </row>
    <row r="2622">
      <c r="A2622" s="213">
        <f>IFERROR(__xludf.DUMMYFUNCTION("""COMPUTED_VALUE"""),1010.0)</f>
        <v>1010</v>
      </c>
      <c r="B2622" s="213" t="str">
        <f>IFERROR(__xludf.DUMMYFUNCTION("""COMPUTED_VALUE"""),"FRANCISCO IRAZOLA")</f>
        <v>FRANCISCO IRAZOLA</v>
      </c>
      <c r="C2622" s="213" t="str">
        <f>IFERROR(__xludf.DUMMYFUNCTION("""COMPUTED_VALUE"""),"TALLER SFT DE MECÁNICA AUTOMOTRIZ")</f>
        <v>TALLER SFT DE MECÁNICA AUTOMOTRIZ</v>
      </c>
      <c r="D2622" s="213" t="str">
        <f>IFERROR(__xludf.DUMMYFUNCTION("""COMPUTED_VALUE"""),"PEDAGOGICO")</f>
        <v>PEDAGOGICO</v>
      </c>
      <c r="E2622" s="213" t="str">
        <f>IFERROR(__xludf.DUMMYFUNCTION("""COMPUTED_VALUE"""),"MAT-481")</f>
        <v>MAT-481</v>
      </c>
      <c r="F2622" s="213" t="str">
        <f>IFERROR(__xludf.DUMMYFUNCTION("""COMPUTED_VALUE"""),"MAT-481")</f>
        <v>MAT-481</v>
      </c>
      <c r="G2622" s="213"/>
      <c r="H2622"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2" s="213" t="str">
        <f>IFERROR(__xludf.DUMMYFUNCTION("""COMPUTED_VALUE"""),"Calidad física
· El USB tiene la capacidad de mínimo 32 GB, para almacenar información en videos o textos digitales sobre metodología y técnicas relacionadas con la creación de propuestas de valor
· Video grabado USB tiene 3 tipos de conectores: para cone"&amp;"ctarse con la PC, Tablet y móvil (conector USB 3.0, conector micro USB, conector tipo C).
· Video grabado en formato MP4 / AVI, en alta resolución 4K o HD
· El video tendrá una duración de 50 minutos como mínimo. Dividido en 10 secciones, en cada sección "&amp;"se presentará una técnica de diseño propuesta de valor, cada sección tendrá una duración de 5 minutos como mínimo.
· Calidad pedagógica.
- El video presentará un ejemplo práctico demostrativo de aplicación de 10 técnicas de la metodología Design thinking."&amp;"
- Cada sección de presentar: el título de la técnica, la descripción y finalidad, los procedimientos de su aplicación.
- Cada sección integra imágenes, sonido, video y textos de manera creativa y motivadora para adolescentes de educación secundaria.
- En"&amp;"tre las posibles técnicas del Design Thinking: brainwritting, ¿Qué, cómo y por qué?, mapa de la empatía, lienzo de propuesta de valor, SCAMPER, PIN, 5 por qué,diagrama de causa efecto, diagrama de Porter, entre otros.")</f>
        <v>Calidad física
· El USB tiene la capacidad de mínimo 32 GB, para almacenar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qué,diagrama de causa efecto, diagrama de Porter, entre otros.</v>
      </c>
      <c r="J2622" s="213">
        <f>IFERROR(__xludf.DUMMYFUNCTION("""COMPUTED_VALUE"""),3.0)</f>
        <v>3</v>
      </c>
      <c r="K2622" s="213" t="str">
        <f>IFERROR(__xludf.DUMMYFUNCTION("""COMPUTED_VALUE"""),"170 DÍAS CALENDARIO")</f>
        <v>170 DÍAS CALENDARIO</v>
      </c>
      <c r="L2622" s="213" t="str">
        <f>IFERROR(__xludf.DUMMYFUNCTION("""COMPUTED_VALUE"""),"")</f>
        <v/>
      </c>
      <c r="M2622" s="213">
        <f>IFERROR(__xludf.DUMMYFUNCTION("""COMPUTED_VALUE"""),1.0)</f>
        <v>1</v>
      </c>
      <c r="N2622" s="213">
        <f>IFERROR(__xludf.DUMMYFUNCTION("""COMPUTED_VALUE"""),1.0)</f>
        <v>1</v>
      </c>
      <c r="O2622" s="213">
        <f>IFERROR(__xludf.DUMMYFUNCTION("""COMPUTED_VALUE"""),1.0)</f>
        <v>1</v>
      </c>
      <c r="P2622" s="213"/>
      <c r="Q2622" s="213"/>
      <c r="R2622" s="213"/>
      <c r="S2622" s="213"/>
      <c r="T2622" s="213"/>
      <c r="U2622" s="213"/>
      <c r="V2622" s="213"/>
      <c r="W2622" s="213"/>
      <c r="X2622" s="213"/>
      <c r="Y2622" s="213"/>
      <c r="Z2622" s="213"/>
      <c r="AA2622" s="213"/>
      <c r="AB2622" s="213"/>
      <c r="AC2622" s="213"/>
      <c r="AD2622" s="213"/>
      <c r="AE2622" s="213"/>
      <c r="AF2622" s="213"/>
      <c r="AG2622" s="213"/>
      <c r="AH2622" s="213"/>
      <c r="AI2622" s="213"/>
      <c r="AJ2622" s="213"/>
      <c r="AK2622" s="213"/>
      <c r="AL2622" s="213"/>
      <c r="AM2622" s="213"/>
      <c r="AN2622" s="213"/>
      <c r="AO2622" s="213"/>
      <c r="AP2622" s="213"/>
      <c r="AQ2622" s="213"/>
      <c r="AR2622" s="213"/>
      <c r="AS2622" s="213"/>
      <c r="AT2622" s="213"/>
      <c r="AU2622" s="213"/>
      <c r="AV2622" s="213"/>
      <c r="AW2622" s="213"/>
      <c r="AX2622" s="213"/>
      <c r="AY2622" s="213"/>
      <c r="AZ2622" s="213"/>
      <c r="BA2622" s="213"/>
      <c r="BB2622" s="213"/>
      <c r="BC2622" s="213"/>
      <c r="BD2622" s="213"/>
    </row>
    <row r="2623">
      <c r="A2623" s="213">
        <f>IFERROR(__xludf.DUMMYFUNCTION("""COMPUTED_VALUE"""),1202.0)</f>
        <v>1202</v>
      </c>
      <c r="B2623" s="213" t="str">
        <f>IFERROR(__xludf.DUMMYFUNCTION("""COMPUTED_VALUE"""),"FRANCISCO IRAZOLA")</f>
        <v>FRANCISCO IRAZOLA</v>
      </c>
      <c r="C2623" s="213" t="str">
        <f>IFERROR(__xludf.DUMMYFUNCTION("""COMPUTED_VALUE"""),"TALLER SFT DE INDUSTRIA ALIMENTARIA")</f>
        <v>TALLER SFT DE INDUSTRIA ALIMENTARIA</v>
      </c>
      <c r="D2623" s="213" t="str">
        <f>IFERROR(__xludf.DUMMYFUNCTION("""COMPUTED_VALUE"""),"PEDAGOGICO")</f>
        <v>PEDAGOGICO</v>
      </c>
      <c r="E2623" s="213" t="str">
        <f>IFERROR(__xludf.DUMMYFUNCTION("""COMPUTED_VALUE"""),"MAT-481")</f>
        <v>MAT-481</v>
      </c>
      <c r="F2623" s="213" t="str">
        <f>IFERROR(__xludf.DUMMYFUNCTION("""COMPUTED_VALUE"""),"MAT-481")</f>
        <v>MAT-481</v>
      </c>
      <c r="G2623" s="213"/>
      <c r="H2623"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3" s="213" t="str">
        <f>IFERROR(__xludf.DUMMYFUNCTION("""COMPUTED_VALUE"""),"Calidad física
· El USB tiene la capacidad de mínimo 32 GB, para almacenar los archivos de los manuales y la información complementaria en videos o textos digitales sobre metodología y técnicas relacionadas con la creación de propuestas de valor
· Video g"&amp;"rabado USB tiene 3 tipos de conectores: para conectarse con la PC, Tablet y móvil (conector USB 3.0, conector micro USB, conector tipo C).
· Video grabado en formato MP4 / AVI, en alta resolución 4K o HD
· El video tendrá una duración de 50 minutos como m"&amp;"ínimo. Dividido en 10 secciones, en cada sección se presentará una técnica de diseño propuesta de valor, cada sección tendrá una duración de 5 minutos como mínimo.
· Calidad pedagógica.
- El video presentará un ejemplo práctico demostrativo de aplicación "&amp;"de 10 técnicas de la metodología Design Thinking.
- Cada sección de presentar: el título de la técnica, la descripción y finalidad, los procedimientos de su aplicación.
- Cada sección integra imágenes, sonido, video y textos de manera creativa y motivador"&amp;"a para adolescentes de educación secundaria.
- Entre las posibles técnicas del Design Thinking: brainwritting, ¿Qué, cómo y por qué?, mapa de la empatía, lienzo de propuesta de valor, SCAMPER, PIN, 5 por qué, 5 para qué, diagrama de causa efecto, diagrama"&amp;" de Porter, entre otros.")</f>
        <v>Calidad física
· El USB tiene la capacidad de mínimo 32 GB, para almacenar los archivos de los manuales y la información complementaria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5 para qué, diagrama de causa efecto, diagrama de Porter, entre otros.</v>
      </c>
      <c r="J2623" s="213">
        <f>IFERROR(__xludf.DUMMYFUNCTION("""COMPUTED_VALUE"""),3.0)</f>
        <v>3</v>
      </c>
      <c r="K2623" s="213" t="str">
        <f>IFERROR(__xludf.DUMMYFUNCTION("""COMPUTED_VALUE"""),"170 DÍAS CALENDARIO")</f>
        <v>170 DÍAS CALENDARIO</v>
      </c>
      <c r="L2623" s="213" t="str">
        <f>IFERROR(__xludf.DUMMYFUNCTION("""COMPUTED_VALUE"""),"")</f>
        <v/>
      </c>
      <c r="M2623" s="213">
        <f>IFERROR(__xludf.DUMMYFUNCTION("""COMPUTED_VALUE"""),1.0)</f>
        <v>1</v>
      </c>
      <c r="N2623" s="213">
        <f>IFERROR(__xludf.DUMMYFUNCTION("""COMPUTED_VALUE"""),4.0)</f>
        <v>4</v>
      </c>
      <c r="O2623" s="213">
        <f>IFERROR(__xludf.DUMMYFUNCTION("""COMPUTED_VALUE"""),4.0)</f>
        <v>4</v>
      </c>
      <c r="P2623" s="213"/>
      <c r="Q2623" s="213"/>
      <c r="R2623" s="213"/>
      <c r="S2623" s="213"/>
      <c r="T2623" s="213"/>
      <c r="U2623" s="213"/>
      <c r="V2623" s="213"/>
      <c r="W2623" s="213"/>
      <c r="X2623" s="213"/>
      <c r="Y2623" s="213"/>
      <c r="Z2623" s="213"/>
      <c r="AA2623" s="213"/>
      <c r="AB2623" s="213"/>
      <c r="AC2623" s="213"/>
      <c r="AD2623" s="213"/>
      <c r="AE2623" s="213"/>
      <c r="AF2623" s="213"/>
      <c r="AG2623" s="213"/>
      <c r="AH2623" s="213"/>
      <c r="AI2623" s="213"/>
      <c r="AJ2623" s="213"/>
      <c r="AK2623" s="213"/>
      <c r="AL2623" s="213"/>
      <c r="AM2623" s="213"/>
      <c r="AN2623" s="213"/>
      <c r="AO2623" s="213"/>
      <c r="AP2623" s="213"/>
      <c r="AQ2623" s="213"/>
      <c r="AR2623" s="213"/>
      <c r="AS2623" s="213"/>
      <c r="AT2623" s="213"/>
      <c r="AU2623" s="213"/>
      <c r="AV2623" s="213"/>
      <c r="AW2623" s="213"/>
      <c r="AX2623" s="213"/>
      <c r="AY2623" s="213"/>
      <c r="AZ2623" s="213"/>
      <c r="BA2623" s="213"/>
      <c r="BB2623" s="213"/>
      <c r="BC2623" s="213"/>
      <c r="BD2623" s="213"/>
    </row>
    <row r="2624">
      <c r="A2624" s="213">
        <f>IFERROR(__xludf.DUMMYFUNCTION("""COMPUTED_VALUE"""),1287.0)</f>
        <v>1287</v>
      </c>
      <c r="B2624" s="213" t="str">
        <f>IFERROR(__xludf.DUMMYFUNCTION("""COMPUTED_VALUE"""),"GUILLERMO E. BILLINGHURST ")</f>
        <v>GUILLERMO E. BILLINGHURST </v>
      </c>
      <c r="C2624" s="213" t="str">
        <f>IFERROR(__xludf.DUMMYFUNCTION("""COMPUTED_VALUE"""),"TALLER SFT DE ELECTRICIDAD")</f>
        <v>TALLER SFT DE ELECTRICIDAD</v>
      </c>
      <c r="D2624" s="213" t="str">
        <f>IFERROR(__xludf.DUMMYFUNCTION("""COMPUTED_VALUE"""),"PEDAGOGICO")</f>
        <v>PEDAGOGICO</v>
      </c>
      <c r="E2624" s="213" t="str">
        <f>IFERROR(__xludf.DUMMYFUNCTION("""COMPUTED_VALUE"""),"MAT-481")</f>
        <v>MAT-481</v>
      </c>
      <c r="F2624" s="213" t="str">
        <f>IFERROR(__xludf.DUMMYFUNCTION("""COMPUTED_VALUE"""),"MAT-481")</f>
        <v>MAT-481</v>
      </c>
      <c r="G2624" s="213"/>
      <c r="H2624"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4" s="213" t="str">
        <f>IFERROR(__xludf.DUMMYFUNCTION("""COMPUTED_VALUE"""),"Calidad física
· El USB tiene la capacidad de mínimo 32 GB, para almacenar los archivos de los manuales y la información complementaria en videos o textos digitales sobre metodología y técnicas relacionadas con la creación de propuestas de valor
· Video g"&amp;"rabado USB tiene 3 tipos de conectores: para conectarse con la PC, Tablet y móvil (conector USB 3.0, conector micro USB, conector tipo C).
· Video grabado en formato MP4 / AVI, en alta resolución 4K o HD
· El video tendrá una duración de 50 minutos como m"&amp;"ínimo. Dividido en 10 secciones, en cada sección se presentará una técnica de diseño propuesta de valor, cada sección tendrá una duración de 5 minutos como mínimo.
· Calidad pedagógica.
- El video presentará un ejemplo práctico demostrativo de aplicación "&amp;"de 10 técnicas de la metodología Design thinking.
- Cada sección de presentar: el título de la técnica, la descripción y finalidad, los procedimientos de su aplicación.
- Cada sección integra imágenes, sonido, video y textos de manera creativa y motivador"&amp;"a para adolescentes de educación secundaria.
- Entre las posibles técnicas del Design Thinking: brainwritting, ¿Qué, cómo y por qué?, mapa de la empatía, lienzo de propuesta de valor, SCAMPER, PIN, 5 por qué, 5 para qué, diagrama de causa efecto, diagrama"&amp;" de Porter, entre otros.")</f>
        <v>Calidad física
· El USB tiene la capacidad de mínimo 32 GB, para almacenar los archivos de los manuales y la información complementaria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5 para qué, diagrama de causa efecto, diagrama de Porter, entre otros.</v>
      </c>
      <c r="J2624" s="213">
        <f>IFERROR(__xludf.DUMMYFUNCTION("""COMPUTED_VALUE"""),3.0)</f>
        <v>3</v>
      </c>
      <c r="K2624" s="213" t="str">
        <f>IFERROR(__xludf.DUMMYFUNCTION("""COMPUTED_VALUE"""),"170 DÍAS CALENDARIO")</f>
        <v>170 DÍAS CALENDARIO</v>
      </c>
      <c r="L2624" s="213" t="str">
        <f>IFERROR(__xludf.DUMMYFUNCTION("""COMPUTED_VALUE"""),"")</f>
        <v/>
      </c>
      <c r="M2624" s="213">
        <f>IFERROR(__xludf.DUMMYFUNCTION("""COMPUTED_VALUE"""),1.0)</f>
        <v>1</v>
      </c>
      <c r="N2624" s="213">
        <f>IFERROR(__xludf.DUMMYFUNCTION("""COMPUTED_VALUE"""),1.0)</f>
        <v>1</v>
      </c>
      <c r="O2624" s="213">
        <f>IFERROR(__xludf.DUMMYFUNCTION("""COMPUTED_VALUE"""),1.0)</f>
        <v>1</v>
      </c>
      <c r="P2624" s="213"/>
      <c r="Q2624" s="213"/>
      <c r="R2624" s="213"/>
      <c r="S2624" s="213"/>
      <c r="T2624" s="213"/>
      <c r="U2624" s="213"/>
      <c r="V2624" s="213"/>
      <c r="W2624" s="213"/>
      <c r="X2624" s="213"/>
      <c r="Y2624" s="213"/>
      <c r="Z2624" s="213"/>
      <c r="AA2624" s="213"/>
      <c r="AB2624" s="213"/>
      <c r="AC2624" s="213"/>
      <c r="AD2624" s="213"/>
      <c r="AE2624" s="213"/>
      <c r="AF2624" s="213"/>
      <c r="AG2624" s="213"/>
      <c r="AH2624" s="213"/>
      <c r="AI2624" s="213"/>
      <c r="AJ2624" s="213"/>
      <c r="AK2624" s="213"/>
      <c r="AL2624" s="213"/>
      <c r="AM2624" s="213"/>
      <c r="AN2624" s="213"/>
      <c r="AO2624" s="213"/>
      <c r="AP2624" s="213"/>
      <c r="AQ2624" s="213"/>
      <c r="AR2624" s="213"/>
      <c r="AS2624" s="213"/>
      <c r="AT2624" s="213"/>
      <c r="AU2624" s="213"/>
      <c r="AV2624" s="213"/>
      <c r="AW2624" s="213"/>
      <c r="AX2624" s="213"/>
      <c r="AY2624" s="213"/>
      <c r="AZ2624" s="213"/>
      <c r="BA2624" s="213"/>
      <c r="BB2624" s="213"/>
      <c r="BC2624" s="213"/>
      <c r="BD2624" s="213"/>
    </row>
    <row r="2625">
      <c r="A2625" s="213">
        <f>IFERROR(__xludf.DUMMYFUNCTION("""COMPUTED_VALUE"""),1473.0)</f>
        <v>1473</v>
      </c>
      <c r="B2625" s="213" t="str">
        <f>IFERROR(__xludf.DUMMYFUNCTION("""COMPUTED_VALUE"""),"GUILLERMO E. BILLINGHURST ")</f>
        <v>GUILLERMO E. BILLINGHURST </v>
      </c>
      <c r="C2625" s="213" t="str">
        <f>IFERROR(__xludf.DUMMYFUNCTION("""COMPUTED_VALUE"""),"TALLER SFT DE INDUSTRIA ALIMENTARIA")</f>
        <v>TALLER SFT DE INDUSTRIA ALIMENTARIA</v>
      </c>
      <c r="D2625" s="213" t="str">
        <f>IFERROR(__xludf.DUMMYFUNCTION("""COMPUTED_VALUE"""),"PEDAGOGICO")</f>
        <v>PEDAGOGICO</v>
      </c>
      <c r="E2625" s="213" t="str">
        <f>IFERROR(__xludf.DUMMYFUNCTION("""COMPUTED_VALUE"""),"MAT-481")</f>
        <v>MAT-481</v>
      </c>
      <c r="F2625" s="213" t="str">
        <f>IFERROR(__xludf.DUMMYFUNCTION("""COMPUTED_VALUE"""),"MAT-481")</f>
        <v>MAT-481</v>
      </c>
      <c r="G2625" s="213"/>
      <c r="H2625"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5" s="213" t="str">
        <f>IFERROR(__xludf.DUMMYFUNCTION("""COMPUTED_VALUE"""),"Calidad física
· El USB tiene la capacidad de mínimo 32 GB, para almacenar los archivos de los manuales y la información complementaria en videos o textos digitales sobre metodología y técnicas relacionadas con la creación de propuestas de valor
· Video g"&amp;"rabado USB tiene 3 tipos de conectores: para conectarse con la PC, Tablet y móvil (conector USB 3.0, conector micro USB, conector tipo C).
· Video grabado en formato MP4 / AVI, en alta resolución 4K o HD
· El video tendrá una duración de 50 minutos como m"&amp;"ínimo. Dividido en 10 secciones, en cada sección se presentará una técnica de diseño propuesta de valor, cada sección tendrá una duración de 5 minutos como mínimo.
· Calidad pedagógica.
- El video presentará un ejemplo práctico demostrativo de aplicación "&amp;"de 10 técnicas de la metodología Design Thinking.
- Cada sección de presentar: el título de la técnica, la descripción y finalidad, los procedimientos de su aplicación.
- Cada sección integra imágenes, sonido, video y textos de manera creativa y motivador"&amp;"a para adolescentes de educación secundaria.
- Entre las posibles técnicas del Design Thinking: brainwritting, ¿Qué, cómo y por qué?, mapa de la empatía, lienzo de propuesta de valor, SCAMPER, PIN, 5 por qué, 5 para qué, diagrama de causa efecto, diagrama"&amp;" de Porter, entre otros.")</f>
        <v>Calidad física
· El USB tiene la capacidad de mínimo 32 GB, para almacenar los archivos de los manuales y la información complementaria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5 para qué, diagrama de causa efecto, diagrama de Porter, entre otros.</v>
      </c>
      <c r="J2625" s="213">
        <f>IFERROR(__xludf.DUMMYFUNCTION("""COMPUTED_VALUE"""),3.0)</f>
        <v>3</v>
      </c>
      <c r="K2625" s="213" t="str">
        <f>IFERROR(__xludf.DUMMYFUNCTION("""COMPUTED_VALUE"""),"170 DÍAS CALENDARIO")</f>
        <v>170 DÍAS CALENDARIO</v>
      </c>
      <c r="L2625" s="213" t="str">
        <f>IFERROR(__xludf.DUMMYFUNCTION("""COMPUTED_VALUE"""),"")</f>
        <v/>
      </c>
      <c r="M2625" s="213">
        <f>IFERROR(__xludf.DUMMYFUNCTION("""COMPUTED_VALUE"""),1.0)</f>
        <v>1</v>
      </c>
      <c r="N2625" s="213">
        <f>IFERROR(__xludf.DUMMYFUNCTION("""COMPUTED_VALUE"""),4.0)</f>
        <v>4</v>
      </c>
      <c r="O2625" s="213">
        <f>IFERROR(__xludf.DUMMYFUNCTION("""COMPUTED_VALUE"""),4.0)</f>
        <v>4</v>
      </c>
      <c r="P2625" s="213"/>
      <c r="Q2625" s="213"/>
      <c r="R2625" s="213"/>
      <c r="S2625" s="213"/>
      <c r="T2625" s="213"/>
      <c r="U2625" s="213"/>
      <c r="V2625" s="213"/>
      <c r="W2625" s="213"/>
      <c r="X2625" s="213"/>
      <c r="Y2625" s="213"/>
      <c r="Z2625" s="213"/>
      <c r="AA2625" s="213"/>
      <c r="AB2625" s="213"/>
      <c r="AC2625" s="213"/>
      <c r="AD2625" s="213"/>
      <c r="AE2625" s="213"/>
      <c r="AF2625" s="213"/>
      <c r="AG2625" s="213"/>
      <c r="AH2625" s="213"/>
      <c r="AI2625" s="213"/>
      <c r="AJ2625" s="213"/>
      <c r="AK2625" s="213"/>
      <c r="AL2625" s="213"/>
      <c r="AM2625" s="213"/>
      <c r="AN2625" s="213"/>
      <c r="AO2625" s="213"/>
      <c r="AP2625" s="213"/>
      <c r="AQ2625" s="213"/>
      <c r="AR2625" s="213"/>
      <c r="AS2625" s="213"/>
      <c r="AT2625" s="213"/>
      <c r="AU2625" s="213"/>
      <c r="AV2625" s="213"/>
      <c r="AW2625" s="213"/>
      <c r="AX2625" s="213"/>
      <c r="AY2625" s="213"/>
      <c r="AZ2625" s="213"/>
      <c r="BA2625" s="213"/>
      <c r="BB2625" s="213"/>
      <c r="BC2625" s="213"/>
      <c r="BD2625" s="213"/>
    </row>
    <row r="2626">
      <c r="A2626" s="213">
        <f>IFERROR(__xludf.DUMMYFUNCTION("""COMPUTED_VALUE"""),1615.0)</f>
        <v>1615</v>
      </c>
      <c r="B2626" s="213" t="str">
        <f>IFERROR(__xludf.DUMMYFUNCTION("""COMPUTED_VALUE"""),"GUILLERMO E. BILLINGHURST ")</f>
        <v>GUILLERMO E. BILLINGHURST </v>
      </c>
      <c r="C2626" s="213" t="str">
        <f>IFERROR(__xludf.DUMMYFUNCTION("""COMPUTED_VALUE"""),"TALLER SFT DE MECÁNICA AUTOMOTRIZ")</f>
        <v>TALLER SFT DE MECÁNICA AUTOMOTRIZ</v>
      </c>
      <c r="D2626" s="213" t="str">
        <f>IFERROR(__xludf.DUMMYFUNCTION("""COMPUTED_VALUE"""),"PEDAGOGICO")</f>
        <v>PEDAGOGICO</v>
      </c>
      <c r="E2626" s="213" t="str">
        <f>IFERROR(__xludf.DUMMYFUNCTION("""COMPUTED_VALUE"""),"MAT-481")</f>
        <v>MAT-481</v>
      </c>
      <c r="F2626" s="213" t="str">
        <f>IFERROR(__xludf.DUMMYFUNCTION("""COMPUTED_VALUE"""),"MAT-481")</f>
        <v>MAT-481</v>
      </c>
      <c r="G2626" s="213"/>
      <c r="H2626"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6" s="213" t="str">
        <f>IFERROR(__xludf.DUMMYFUNCTION("""COMPUTED_VALUE"""),"Calidad física
· El USB tiene la capacidad de mínimo 32 GB, para almacenar información en videos o textos digitales sobre metodología y técnicas relacionadas con la creación de propuestas de valor
· Video grabado USB tiene 3 tipos de conectores: para cone"&amp;"ctarse con la PC, Tablet y móvil (conector USB 3.0, conector micro USB, conector tipo C).
· Video grabado en formato MP4 / AVI, en alta resolución 4K o HD
· El video tendrá una duración de 50 minutos como mínimo. Dividido en 10 secciones, en cada sección "&amp;"se presentará una técnica de diseño propuesta de valor, cada sección tendrá una duración de 5 minutos como mínimo.
· Calidad pedagógica.
- El video presentará un ejemplo práctico demostrativo de aplicación de 10 técnicas de la metodología Design thinking."&amp;"
- Cada sección de presentar: el título de la técnica, la descripción y finalidad, los procedimientos de su aplicación.
- Cada sección integra imágenes, sonido, video y textos de manera creativa y motivadora para adolescentes de educación secundaria.
- En"&amp;"tre las posibles técnicas del Design Thinking: brainwritting, ¿Qué, cómo y por qué?, mapa de la empatía, lienzo de propuesta de valor, SCAMPER, PIN, 5 por qué,diagrama de causa efecto, diagrama de Porter, entre otros.")</f>
        <v>Calidad física
· El USB tiene la capacidad de mínimo 32 GB, para almacenar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qué,diagrama de causa efecto, diagrama de Porter, entre otros.</v>
      </c>
      <c r="J2626" s="213">
        <f>IFERROR(__xludf.DUMMYFUNCTION("""COMPUTED_VALUE"""),3.0)</f>
        <v>3</v>
      </c>
      <c r="K2626" s="213" t="str">
        <f>IFERROR(__xludf.DUMMYFUNCTION("""COMPUTED_VALUE"""),"170 DÍAS CALENDARIO")</f>
        <v>170 DÍAS CALENDARIO</v>
      </c>
      <c r="L2626" s="213" t="str">
        <f>IFERROR(__xludf.DUMMYFUNCTION("""COMPUTED_VALUE"""),"")</f>
        <v/>
      </c>
      <c r="M2626" s="213">
        <f>IFERROR(__xludf.DUMMYFUNCTION("""COMPUTED_VALUE"""),1.0)</f>
        <v>1</v>
      </c>
      <c r="N2626" s="213">
        <f>IFERROR(__xludf.DUMMYFUNCTION("""COMPUTED_VALUE"""),1.0)</f>
        <v>1</v>
      </c>
      <c r="O2626" s="213">
        <f>IFERROR(__xludf.DUMMYFUNCTION("""COMPUTED_VALUE"""),1.0)</f>
        <v>1</v>
      </c>
      <c r="P2626" s="213"/>
      <c r="Q2626" s="213"/>
      <c r="R2626" s="213"/>
      <c r="S2626" s="213"/>
      <c r="T2626" s="213"/>
      <c r="U2626" s="213"/>
      <c r="V2626" s="213"/>
      <c r="W2626" s="213"/>
      <c r="X2626" s="213"/>
      <c r="Y2626" s="213"/>
      <c r="Z2626" s="213"/>
      <c r="AA2626" s="213"/>
      <c r="AB2626" s="213"/>
      <c r="AC2626" s="213"/>
      <c r="AD2626" s="213"/>
      <c r="AE2626" s="213"/>
      <c r="AF2626" s="213"/>
      <c r="AG2626" s="213"/>
      <c r="AH2626" s="213"/>
      <c r="AI2626" s="213"/>
      <c r="AJ2626" s="213"/>
      <c r="AK2626" s="213"/>
      <c r="AL2626" s="213"/>
      <c r="AM2626" s="213"/>
      <c r="AN2626" s="213"/>
      <c r="AO2626" s="213"/>
      <c r="AP2626" s="213"/>
      <c r="AQ2626" s="213"/>
      <c r="AR2626" s="213"/>
      <c r="AS2626" s="213"/>
      <c r="AT2626" s="213"/>
      <c r="AU2626" s="213"/>
      <c r="AV2626" s="213"/>
      <c r="AW2626" s="213"/>
      <c r="AX2626" s="213"/>
      <c r="AY2626" s="213"/>
      <c r="AZ2626" s="213"/>
      <c r="BA2626" s="213"/>
      <c r="BB2626" s="213"/>
      <c r="BC2626" s="213"/>
      <c r="BD2626" s="213"/>
    </row>
    <row r="2627">
      <c r="A2627" s="213">
        <f>IFERROR(__xludf.DUMMYFUNCTION("""COMPUTED_VALUE"""),1723.0)</f>
        <v>1723</v>
      </c>
      <c r="B2627" s="213" t="str">
        <f>IFERROR(__xludf.DUMMYFUNCTION("""COMPUTED_VALUE"""),"GUILLERMO E. BILLINGHURST ")</f>
        <v>GUILLERMO E. BILLINGHURST </v>
      </c>
      <c r="C2627" s="213" t="str">
        <f>IFERROR(__xludf.DUMMYFUNCTION("""COMPUTED_VALUE"""),"TALLER SFT DE COMPUTACIÓN E INFORMÁTICA")</f>
        <v>TALLER SFT DE COMPUTACIÓN E INFORMÁTICA</v>
      </c>
      <c r="D2627" s="213" t="str">
        <f>IFERROR(__xludf.DUMMYFUNCTION("""COMPUTED_VALUE"""),"PEDAGOGICO")</f>
        <v>PEDAGOGICO</v>
      </c>
      <c r="E2627" s="213" t="str">
        <f>IFERROR(__xludf.DUMMYFUNCTION("""COMPUTED_VALUE"""),"MAT-481")</f>
        <v>MAT-481</v>
      </c>
      <c r="F2627" s="213" t="str">
        <f>IFERROR(__xludf.DUMMYFUNCTION("""COMPUTED_VALUE"""),"MAT-481")</f>
        <v>MAT-481</v>
      </c>
      <c r="G2627" s="213"/>
      <c r="H2627"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7" s="213" t="str">
        <f>IFERROR(__xludf.DUMMYFUNCTION("""COMPUTED_VALUE"""),"Calidad física
· El USB tiene la capacidad de mínimo 32 GB, para almacenar  información en videos o textos digitales sobre metodología y técnicas relacionadas con la creación de propuestas de valor.
· Video grabado USB tiene 3 tipos de conectores: para co"&amp;"nectarse con la PC, Tablet y móvil (conector USB 3.0, conector micro USB, conector tipo C).
· Video grabado en formato MP4 / AVI, en alta resolución 4K o HD
· El video tendrá una duración de 30 minutos como mínimo. Dividido en 10 secciones, en cada secció"&amp;"n se presentará una técnica de diseño propuesta de valor, cada sección tendrá una duración de 3 minutos como mínimo.
· Calidad pedagógica.
- El video presentará un ejemplo práctico demostrativo de aplicación de 10 técnicas de la metodología Design Thinkin"&amp;"g.
- Cada sección debe presentar: el título de la técnica, la descripción y finalidad, los procedimientos de su aplicación.
- Cada sección integra imágenes, sonido, video y textos de manera creativa y motivadora para adolescentes de educación secundaria.
"&amp;"- Entre las posibles técnicas del Design Thinking: brainwritting, ¿Qué, cómo y por qué?, mapa de la empatía, lienzo de propuesta de valor, SCAMPER, PIN, 5 por qué,diagrama de causa efecto, diagrama de Porter, entre otros.")</f>
        <v>Calidad física
· El USB tiene la capacidad de mínimo 32 GB, para almacenar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30 minutos como mínimo. Dividido en 10 secciones, en cada sección se presentará una técnica de diseño propuesta de valor, cada sección tendrá una duración de 3 minutos como mínimo.
· Calidad pedagógica.
- El video presentará un ejemplo práctico demostrativo de aplicación de 10 técnicas de la metodología Design Thinking.
- Cada sección debe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qué,diagrama de causa efecto, diagrama de Porter, entre otros.</v>
      </c>
      <c r="J2627" s="213">
        <f>IFERROR(__xludf.DUMMYFUNCTION("""COMPUTED_VALUE"""),3.0)</f>
        <v>3</v>
      </c>
      <c r="K2627" s="213" t="str">
        <f>IFERROR(__xludf.DUMMYFUNCTION("""COMPUTED_VALUE"""),"170 DÍAS CALENDARIO")</f>
        <v>170 DÍAS CALENDARIO</v>
      </c>
      <c r="L2627" s="213" t="str">
        <f>IFERROR(__xludf.DUMMYFUNCTION("""COMPUTED_VALUE"""),"")</f>
        <v/>
      </c>
      <c r="M2627" s="213">
        <f>IFERROR(__xludf.DUMMYFUNCTION("""COMPUTED_VALUE"""),1.0)</f>
        <v>1</v>
      </c>
      <c r="N2627" s="213">
        <f>IFERROR(__xludf.DUMMYFUNCTION("""COMPUTED_VALUE"""),1.0)</f>
        <v>1</v>
      </c>
      <c r="O2627" s="213">
        <f>IFERROR(__xludf.DUMMYFUNCTION("""COMPUTED_VALUE"""),1.0)</f>
        <v>1</v>
      </c>
      <c r="P2627" s="213"/>
      <c r="Q2627" s="213"/>
      <c r="R2627" s="213"/>
      <c r="S2627" s="213"/>
      <c r="T2627" s="213"/>
      <c r="U2627" s="213"/>
      <c r="V2627" s="213"/>
      <c r="W2627" s="213"/>
      <c r="X2627" s="213"/>
      <c r="Y2627" s="213"/>
      <c r="Z2627" s="213"/>
      <c r="AA2627" s="213"/>
      <c r="AB2627" s="213"/>
      <c r="AC2627" s="213"/>
      <c r="AD2627" s="213"/>
      <c r="AE2627" s="213"/>
      <c r="AF2627" s="213"/>
      <c r="AG2627" s="213"/>
      <c r="AH2627" s="213"/>
      <c r="AI2627" s="213"/>
      <c r="AJ2627" s="213"/>
      <c r="AK2627" s="213"/>
      <c r="AL2627" s="213"/>
      <c r="AM2627" s="213"/>
      <c r="AN2627" s="213"/>
      <c r="AO2627" s="213"/>
      <c r="AP2627" s="213"/>
      <c r="AQ2627" s="213"/>
      <c r="AR2627" s="213"/>
      <c r="AS2627" s="213"/>
      <c r="AT2627" s="213"/>
      <c r="AU2627" s="213"/>
      <c r="AV2627" s="213"/>
      <c r="AW2627" s="213"/>
      <c r="AX2627" s="213"/>
      <c r="AY2627" s="213"/>
      <c r="AZ2627" s="213"/>
      <c r="BA2627" s="213"/>
      <c r="BB2627" s="213"/>
      <c r="BC2627" s="213"/>
      <c r="BD2627" s="213"/>
    </row>
    <row r="2628">
      <c r="A2628" s="213">
        <f>IFERROR(__xludf.DUMMYFUNCTION("""COMPUTED_VALUE"""),1878.0)</f>
        <v>1878</v>
      </c>
      <c r="B2628" s="213" t="str">
        <f>IFERROR(__xludf.DUMMYFUNCTION("""COMPUTED_VALUE"""),"GUILLERMO E. BILLINGHURST ")</f>
        <v>GUILLERMO E. BILLINGHURST </v>
      </c>
      <c r="C2628" s="213" t="str">
        <f>IFERROR(__xludf.DUMMYFUNCTION("""COMPUTED_VALUE"""),"TALLER SFT DE EBANISTERÍA")</f>
        <v>TALLER SFT DE EBANISTERÍA</v>
      </c>
      <c r="D2628" s="213" t="str">
        <f>IFERROR(__xludf.DUMMYFUNCTION("""COMPUTED_VALUE"""),"PEDAGOGICO")</f>
        <v>PEDAGOGICO</v>
      </c>
      <c r="E2628" s="213" t="str">
        <f>IFERROR(__xludf.DUMMYFUNCTION("""COMPUTED_VALUE"""),"MAT-481")</f>
        <v>MAT-481</v>
      </c>
      <c r="F2628" s="213" t="str">
        <f>IFERROR(__xludf.DUMMYFUNCTION("""COMPUTED_VALUE"""),"MAT-481")</f>
        <v>MAT-481</v>
      </c>
      <c r="G2628" s="213"/>
      <c r="H2628"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8" s="213" t="str">
        <f>IFERROR(__xludf.DUMMYFUNCTION("""COMPUTED_VALUE"""),"Calidad física
· El USB tiene la capacidad de mínimo 32 GB, para almacenar la información en videos o textos digitales sobre metodología y técnicas relacionadas con la creación de propuestas de valor
· Video grabado USB tiene 3 tipos de conectores: para c"&amp;"onectarse con la PC, Tablet y móvil (conector USB 3.0, conector micro USB, conector tipo C).
· Video grabado en formato MP4 / AVI, en alta resolución 4K o HD
· El video tendrá una duración de 50 minutos como mínimo. Dividido en 10 secciones, en cada secci"&amp;"ón se presentará una técnica de diseño propuesta de valor, cada sección tendrá una duración de 5 minutos como mínimo.
· Calidad pedagógica.
- El video presentará un ejemplo práctico demostrativo de aplicación de 10 técnicas de la metodología Design thinki"&amp;"ng.
- Cada sección de presentar: el título de la técnica, la descripción y finalidad, los procedimientos de su aplicación.
- Cada sección integra imágenes, sonido, video y textos de manera creativa y motivadora para adolescentes de educación secundaria.
-"&amp;" Entre las posibles técnicas del Design Thinking: brainwritting, ¿Qué, cómo y por qué?, mapa de la empatía, lienzo de propuesta de valor, SCAMPER, PIN, 5 por qué, diagrama de causa efecto, diagrama de Porter, entre otros.")</f>
        <v>Calidad física
· El USB tiene la capacidad de mínimo 32 GB, para almacenar la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diagrama de causa efecto, diagrama de Porter, entre otros.</v>
      </c>
      <c r="J2628" s="213">
        <f>IFERROR(__xludf.DUMMYFUNCTION("""COMPUTED_VALUE"""),3.0)</f>
        <v>3</v>
      </c>
      <c r="K2628" s="213" t="str">
        <f>IFERROR(__xludf.DUMMYFUNCTION("""COMPUTED_VALUE"""),"170 DÍAS CALENDARIO")</f>
        <v>170 DÍAS CALENDARIO</v>
      </c>
      <c r="L2628" s="213" t="str">
        <f>IFERROR(__xludf.DUMMYFUNCTION("""COMPUTED_VALUE"""),"")</f>
        <v/>
      </c>
      <c r="M2628" s="213">
        <f>IFERROR(__xludf.DUMMYFUNCTION("""COMPUTED_VALUE"""),1.0)</f>
        <v>1</v>
      </c>
      <c r="N2628" s="213">
        <f>IFERROR(__xludf.DUMMYFUNCTION("""COMPUTED_VALUE"""),4.0)</f>
        <v>4</v>
      </c>
      <c r="O2628" s="213">
        <f>IFERROR(__xludf.DUMMYFUNCTION("""COMPUTED_VALUE"""),4.0)</f>
        <v>4</v>
      </c>
      <c r="P2628" s="213"/>
      <c r="Q2628" s="213"/>
      <c r="R2628" s="213"/>
      <c r="S2628" s="213"/>
      <c r="T2628" s="213"/>
      <c r="U2628" s="213"/>
      <c r="V2628" s="213"/>
      <c r="W2628" s="213"/>
      <c r="X2628" s="213"/>
      <c r="Y2628" s="213"/>
      <c r="Z2628" s="213"/>
      <c r="AA2628" s="213"/>
      <c r="AB2628" s="213"/>
      <c r="AC2628" s="213"/>
      <c r="AD2628" s="213"/>
      <c r="AE2628" s="213"/>
      <c r="AF2628" s="213"/>
      <c r="AG2628" s="213"/>
      <c r="AH2628" s="213"/>
      <c r="AI2628" s="213"/>
      <c r="AJ2628" s="213"/>
      <c r="AK2628" s="213"/>
      <c r="AL2628" s="213"/>
      <c r="AM2628" s="213"/>
      <c r="AN2628" s="213"/>
      <c r="AO2628" s="213"/>
      <c r="AP2628" s="213"/>
      <c r="AQ2628" s="213"/>
      <c r="AR2628" s="213"/>
      <c r="AS2628" s="213"/>
      <c r="AT2628" s="213"/>
      <c r="AU2628" s="213"/>
      <c r="AV2628" s="213"/>
      <c r="AW2628" s="213"/>
      <c r="AX2628" s="213"/>
      <c r="AY2628" s="213"/>
      <c r="AZ2628" s="213"/>
      <c r="BA2628" s="213"/>
      <c r="BB2628" s="213"/>
      <c r="BC2628" s="213"/>
      <c r="BD2628" s="213"/>
    </row>
    <row r="2629">
      <c r="A2629" s="213">
        <f>IFERROR(__xludf.DUMMYFUNCTION("""COMPUTED_VALUE"""),1973.0)</f>
        <v>1973</v>
      </c>
      <c r="B2629" s="213" t="str">
        <f>IFERROR(__xludf.DUMMYFUNCTION("""COMPUTED_VALUE"""),"JOSE GRANDA")</f>
        <v>JOSE GRANDA</v>
      </c>
      <c r="C2629" s="213" t="str">
        <f>IFERROR(__xludf.DUMMYFUNCTION("""COMPUTED_VALUE"""),"TALLER SFT DE COMPUTACIÓN E INFORMÁTICA")</f>
        <v>TALLER SFT DE COMPUTACIÓN E INFORMÁTICA</v>
      </c>
      <c r="D2629" s="213" t="str">
        <f>IFERROR(__xludf.DUMMYFUNCTION("""COMPUTED_VALUE"""),"PEDAGOGICO")</f>
        <v>PEDAGOGICO</v>
      </c>
      <c r="E2629" s="213" t="str">
        <f>IFERROR(__xludf.DUMMYFUNCTION("""COMPUTED_VALUE"""),"MAT-481")</f>
        <v>MAT-481</v>
      </c>
      <c r="F2629" s="213" t="str">
        <f>IFERROR(__xludf.DUMMYFUNCTION("""COMPUTED_VALUE"""),"MAT-481")</f>
        <v>MAT-481</v>
      </c>
      <c r="G2629" s="213"/>
      <c r="H2629"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29" s="213" t="str">
        <f>IFERROR(__xludf.DUMMYFUNCTION("""COMPUTED_VALUE"""),"Calidad física
· El USB tiene la capacidad de mínimo 32 GB, para almacenar  información en videos o textos digitales sobre metodología y técnicas relacionadas con la creación de propuestas de valor.
· Video grabado USB tiene 3 tipos de conectores: para co"&amp;"nectarse con la PC, Tablet y móvil (conector USB 3.0, conector micro USB, conector tipo C).
· Video grabado en formato MP4 / AVI, en alta resolución 4K o HD
· El video tendrá una duración de 30 minutos como mínimo. Dividido en 10 secciones, en cada secció"&amp;"n se presentará una técnica de diseño propuesta de valor, cada sección tendrá una duración de 3 minutos como mínimo.
· Calidad pedagógica.
- El video presentará un ejemplo práctico demostrativo de aplicación de 10 técnicas de la metodología Design Thinkin"&amp;"g.
- Cada sección debe presentar: el título de la técnica, la descripción y finalidad, los procedimientos de su aplicación.
- Cada sección integra imágenes, sonido, video y textos de manera creativa y motivadora para adolescentes de educación secundaria.
"&amp;"- Entre las posibles técnicas del Design Thinking: brainwritting, ¿Qué, cómo y por qué?, mapa de la empatía, lienzo de propuesta de valor, SCAMPER, PIN, 5 por qué,diagrama de causa efecto, diagrama de Porter, entre otros.")</f>
        <v>Calidad física
· El USB tiene la capacidad de mínimo 32 GB, para almacenar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30 minutos como mínimo. Dividido en 10 secciones, en cada sección se presentará una técnica de diseño propuesta de valor, cada sección tendrá una duración de 3 minutos como mínimo.
· Calidad pedagógica.
- El video presentará un ejemplo práctico demostrativo de aplicación de 10 técnicas de la metodología Design Thinking.
- Cada sección debe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qué,diagrama de causa efecto, diagrama de Porter, entre otros.</v>
      </c>
      <c r="J2629" s="213">
        <f>IFERROR(__xludf.DUMMYFUNCTION("""COMPUTED_VALUE"""),3.0)</f>
        <v>3</v>
      </c>
      <c r="K2629" s="213" t="str">
        <f>IFERROR(__xludf.DUMMYFUNCTION("""COMPUTED_VALUE"""),"170 DÍAS CALENDARIO")</f>
        <v>170 DÍAS CALENDARIO</v>
      </c>
      <c r="L2629" s="213" t="str">
        <f>IFERROR(__xludf.DUMMYFUNCTION("""COMPUTED_VALUE"""),"")</f>
        <v/>
      </c>
      <c r="M2629" s="213">
        <f>IFERROR(__xludf.DUMMYFUNCTION("""COMPUTED_VALUE"""),1.0)</f>
        <v>1</v>
      </c>
      <c r="N2629" s="213">
        <f>IFERROR(__xludf.DUMMYFUNCTION("""COMPUTED_VALUE"""),1.0)</f>
        <v>1</v>
      </c>
      <c r="O2629" s="213">
        <f>IFERROR(__xludf.DUMMYFUNCTION("""COMPUTED_VALUE"""),1.0)</f>
        <v>1</v>
      </c>
      <c r="P2629" s="213"/>
      <c r="Q2629" s="213"/>
      <c r="R2629" s="213"/>
      <c r="S2629" s="213"/>
      <c r="T2629" s="213"/>
      <c r="U2629" s="213"/>
      <c r="V2629" s="213"/>
      <c r="W2629" s="213"/>
      <c r="X2629" s="213"/>
      <c r="Y2629" s="213"/>
      <c r="Z2629" s="213"/>
      <c r="AA2629" s="213"/>
      <c r="AB2629" s="213"/>
      <c r="AC2629" s="213"/>
      <c r="AD2629" s="213"/>
      <c r="AE2629" s="213"/>
      <c r="AF2629" s="213"/>
      <c r="AG2629" s="213"/>
      <c r="AH2629" s="213"/>
      <c r="AI2629" s="213"/>
      <c r="AJ2629" s="213"/>
      <c r="AK2629" s="213"/>
      <c r="AL2629" s="213"/>
      <c r="AM2629" s="213"/>
      <c r="AN2629" s="213"/>
      <c r="AO2629" s="213"/>
      <c r="AP2629" s="213"/>
      <c r="AQ2629" s="213"/>
      <c r="AR2629" s="213"/>
      <c r="AS2629" s="213"/>
      <c r="AT2629" s="213"/>
      <c r="AU2629" s="213"/>
      <c r="AV2629" s="213"/>
      <c r="AW2629" s="213"/>
      <c r="AX2629" s="213"/>
      <c r="AY2629" s="213"/>
      <c r="AZ2629" s="213"/>
      <c r="BA2629" s="213"/>
      <c r="BB2629" s="213"/>
      <c r="BC2629" s="213"/>
      <c r="BD2629" s="213"/>
    </row>
    <row r="2630">
      <c r="A2630" s="213">
        <f>IFERROR(__xludf.DUMMYFUNCTION("""COMPUTED_VALUE"""),2165.0)</f>
        <v>2165</v>
      </c>
      <c r="B2630" s="213" t="str">
        <f>IFERROR(__xludf.DUMMYFUNCTION("""COMPUTED_VALUE"""),"JOSE GRANDA")</f>
        <v>JOSE GRANDA</v>
      </c>
      <c r="C2630" s="213" t="str">
        <f>IFERROR(__xludf.DUMMYFUNCTION("""COMPUTED_VALUE"""),"TALLER SFT DE INDUSTRIA ALIMENTARIA")</f>
        <v>TALLER SFT DE INDUSTRIA ALIMENTARIA</v>
      </c>
      <c r="D2630" s="213" t="str">
        <f>IFERROR(__xludf.DUMMYFUNCTION("""COMPUTED_VALUE"""),"PEDAGOGICO")</f>
        <v>PEDAGOGICO</v>
      </c>
      <c r="E2630" s="213" t="str">
        <f>IFERROR(__xludf.DUMMYFUNCTION("""COMPUTED_VALUE"""),"MAT-481")</f>
        <v>MAT-481</v>
      </c>
      <c r="F2630" s="213" t="str">
        <f>IFERROR(__xludf.DUMMYFUNCTION("""COMPUTED_VALUE"""),"MAT-481")</f>
        <v>MAT-481</v>
      </c>
      <c r="G2630" s="213"/>
      <c r="H2630"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30" s="213" t="str">
        <f>IFERROR(__xludf.DUMMYFUNCTION("""COMPUTED_VALUE"""),"Calidad física
· El USB tiene la capacidad de mínimo 32 GB, para almacenar los archivos de los manuales y la información complementaria en videos o textos digitales sobre metodología y técnicas relacionadas con la creación de propuestas de valor
· Video g"&amp;"rabado USB tiene 3 tipos de conectores: para conectarse con la PC, Tablet y móvil (conector USB 3.0, conector micro USB, conector tipo C).
· Video grabado en formato MP4 / AVI, en alta resolución 4K o HD
· El video tendrá una duración de 50 minutos como m"&amp;"ínimo. Dividido en 10 secciones, en cada sección se presentará una técnica de diseño propuesta de valor, cada sección tendrá una duración de 5 minutos como mínimo.
· Calidad pedagógica.
- El video presentará un ejemplo práctico demostrativo de aplicación "&amp;"de 10 técnicas de la metodología Design Thinking.
- Cada sección de presentar: el título de la técnica, la descripción y finalidad, los procedimientos de su aplicación.
- Cada sección integra imágenes, sonido, video y textos de manera creativa y motivador"&amp;"a para adolescentes de educación secundaria.
- Entre las posibles técnicas del Design Thinking: brainwritting, ¿Qué, cómo y por qué?, mapa de la empatía, lienzo de propuesta de valor, SCAMPER, PIN, 5 por qué, 5 para qué, diagrama de causa efecto, diagrama"&amp;" de Porter, entre otros.")</f>
        <v>Calidad física
· El USB tiene la capacidad de mínimo 32 GB, para almacenar los archivos de los manuales y la información complementaria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5 para qué, diagrama de causa efecto, diagrama de Porter, entre otros.</v>
      </c>
      <c r="J2630" s="213">
        <f>IFERROR(__xludf.DUMMYFUNCTION("""COMPUTED_VALUE"""),3.0)</f>
        <v>3</v>
      </c>
      <c r="K2630" s="213" t="str">
        <f>IFERROR(__xludf.DUMMYFUNCTION("""COMPUTED_VALUE"""),"170 DÍAS CALENDARIO")</f>
        <v>170 DÍAS CALENDARIO</v>
      </c>
      <c r="L2630" s="213" t="str">
        <f>IFERROR(__xludf.DUMMYFUNCTION("""COMPUTED_VALUE"""),"")</f>
        <v/>
      </c>
      <c r="M2630" s="213">
        <f>IFERROR(__xludf.DUMMYFUNCTION("""COMPUTED_VALUE"""),1.0)</f>
        <v>1</v>
      </c>
      <c r="N2630" s="213">
        <f>IFERROR(__xludf.DUMMYFUNCTION("""COMPUTED_VALUE"""),4.0)</f>
        <v>4</v>
      </c>
      <c r="O2630" s="213">
        <f>IFERROR(__xludf.DUMMYFUNCTION("""COMPUTED_VALUE"""),4.0)</f>
        <v>4</v>
      </c>
      <c r="P2630" s="213"/>
      <c r="Q2630" s="213"/>
      <c r="R2630" s="213"/>
      <c r="S2630" s="213"/>
      <c r="T2630" s="213"/>
      <c r="U2630" s="213"/>
      <c r="V2630" s="213"/>
      <c r="W2630" s="213"/>
      <c r="X2630" s="213"/>
      <c r="Y2630" s="213"/>
      <c r="Z2630" s="213"/>
      <c r="AA2630" s="213"/>
      <c r="AB2630" s="213"/>
      <c r="AC2630" s="213"/>
      <c r="AD2630" s="213"/>
      <c r="AE2630" s="213"/>
      <c r="AF2630" s="213"/>
      <c r="AG2630" s="213"/>
      <c r="AH2630" s="213"/>
      <c r="AI2630" s="213"/>
      <c r="AJ2630" s="213"/>
      <c r="AK2630" s="213"/>
      <c r="AL2630" s="213"/>
      <c r="AM2630" s="213"/>
      <c r="AN2630" s="213"/>
      <c r="AO2630" s="213"/>
      <c r="AP2630" s="213"/>
      <c r="AQ2630" s="213"/>
      <c r="AR2630" s="213"/>
      <c r="AS2630" s="213"/>
      <c r="AT2630" s="213"/>
      <c r="AU2630" s="213"/>
      <c r="AV2630" s="213"/>
      <c r="AW2630" s="213"/>
      <c r="AX2630" s="213"/>
      <c r="AY2630" s="213"/>
      <c r="AZ2630" s="213"/>
      <c r="BA2630" s="213"/>
      <c r="BB2630" s="213"/>
      <c r="BC2630" s="213"/>
      <c r="BD2630" s="213"/>
    </row>
    <row r="2631">
      <c r="A2631" s="213">
        <f>IFERROR(__xludf.DUMMYFUNCTION("""COMPUTED_VALUE"""),2306.0)</f>
        <v>2306</v>
      </c>
      <c r="B2631" s="213" t="str">
        <f>IFERROR(__xludf.DUMMYFUNCTION("""COMPUTED_VALUE"""),"JOSE GRANDA")</f>
        <v>JOSE GRANDA</v>
      </c>
      <c r="C2631" s="213" t="str">
        <f>IFERROR(__xludf.DUMMYFUNCTION("""COMPUTED_VALUE"""),"TALLER SFT DE MECÁNICA AUTOMOTRIZ")</f>
        <v>TALLER SFT DE MECÁNICA AUTOMOTRIZ</v>
      </c>
      <c r="D2631" s="213" t="str">
        <f>IFERROR(__xludf.DUMMYFUNCTION("""COMPUTED_VALUE"""),"PEDAGOGICO")</f>
        <v>PEDAGOGICO</v>
      </c>
      <c r="E2631" s="213" t="str">
        <f>IFERROR(__xludf.DUMMYFUNCTION("""COMPUTED_VALUE"""),"MAT-481")</f>
        <v>MAT-481</v>
      </c>
      <c r="F2631" s="213" t="str">
        <f>IFERROR(__xludf.DUMMYFUNCTION("""COMPUTED_VALUE"""),"MAT-481")</f>
        <v>MAT-481</v>
      </c>
      <c r="G2631" s="213"/>
      <c r="H2631"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31" s="213" t="str">
        <f>IFERROR(__xludf.DUMMYFUNCTION("""COMPUTED_VALUE"""),"Calidad física
· El USB tiene la capacidad de mínimo 32 GB, para almacenar información en videos o textos digitales sobre metodología y técnicas relacionadas con la creación de propuestas de valor
· Video grabado USB tiene 3 tipos de conectores: para cone"&amp;"ctarse con la PC, Tablet y móvil (conector USB 3.0, conector micro USB, conector tipo C).
· Video grabado en formato MP4 / AVI, en alta resolución 4K o HD
· El video tendrá una duración de 50 minutos como mínimo. Dividido en 10 secciones, en cada sección "&amp;"se presentará una técnica de diseño propuesta de valor, cada sección tendrá una duración de 5 minutos como mínimo.
· Calidad pedagógica.
- El video presentará un ejemplo práctico demostrativo de aplicación de 10 técnicas de la metodología Design thinking."&amp;"
- Cada sección de presentar: el título de la técnica, la descripción y finalidad, los procedimientos de su aplicación.
- Cada sección integra imágenes, sonido, video y textos de manera creativa y motivadora para adolescentes de educación secundaria.
- En"&amp;"tre las posibles técnicas del Design Thinking: brainwritting, ¿Qué, cómo y por qué?, mapa de la empatía, lienzo de propuesta de valor, SCAMPER, PIN, 5 por qué,diagrama de causa efecto, diagrama de Porter, entre otros.")</f>
        <v>Calidad física
· El USB tiene la capacidad de mínimo 32 GB, para almacenar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qué,diagrama de causa efecto, diagrama de Porter, entre otros.</v>
      </c>
      <c r="J2631" s="213">
        <f>IFERROR(__xludf.DUMMYFUNCTION("""COMPUTED_VALUE"""),3.0)</f>
        <v>3</v>
      </c>
      <c r="K2631" s="213" t="str">
        <f>IFERROR(__xludf.DUMMYFUNCTION("""COMPUTED_VALUE"""),"170 DÍAS CALENDARIO")</f>
        <v>170 DÍAS CALENDARIO</v>
      </c>
      <c r="L2631" s="213" t="str">
        <f>IFERROR(__xludf.DUMMYFUNCTION("""COMPUTED_VALUE"""),"")</f>
        <v/>
      </c>
      <c r="M2631" s="213">
        <f>IFERROR(__xludf.DUMMYFUNCTION("""COMPUTED_VALUE"""),1.0)</f>
        <v>1</v>
      </c>
      <c r="N2631" s="213">
        <f>IFERROR(__xludf.DUMMYFUNCTION("""COMPUTED_VALUE"""),1.0)</f>
        <v>1</v>
      </c>
      <c r="O2631" s="213">
        <f>IFERROR(__xludf.DUMMYFUNCTION("""COMPUTED_VALUE"""),1.0)</f>
        <v>1</v>
      </c>
      <c r="P2631" s="213"/>
      <c r="Q2631" s="213"/>
      <c r="R2631" s="213"/>
      <c r="S2631" s="213"/>
      <c r="T2631" s="213"/>
      <c r="U2631" s="213"/>
      <c r="V2631" s="213"/>
      <c r="W2631" s="213"/>
      <c r="X2631" s="213"/>
      <c r="Y2631" s="213"/>
      <c r="Z2631" s="213"/>
      <c r="AA2631" s="213"/>
      <c r="AB2631" s="213"/>
      <c r="AC2631" s="213"/>
      <c r="AD2631" s="213"/>
      <c r="AE2631" s="213"/>
      <c r="AF2631" s="213"/>
      <c r="AG2631" s="213"/>
      <c r="AH2631" s="213"/>
      <c r="AI2631" s="213"/>
      <c r="AJ2631" s="213"/>
      <c r="AK2631" s="213"/>
      <c r="AL2631" s="213"/>
      <c r="AM2631" s="213"/>
      <c r="AN2631" s="213"/>
      <c r="AO2631" s="213"/>
      <c r="AP2631" s="213"/>
      <c r="AQ2631" s="213"/>
      <c r="AR2631" s="213"/>
      <c r="AS2631" s="213"/>
      <c r="AT2631" s="213"/>
      <c r="AU2631" s="213"/>
      <c r="AV2631" s="213"/>
      <c r="AW2631" s="213"/>
      <c r="AX2631" s="213"/>
      <c r="AY2631" s="213"/>
      <c r="AZ2631" s="213"/>
      <c r="BA2631" s="213"/>
      <c r="BB2631" s="213"/>
      <c r="BC2631" s="213"/>
      <c r="BD2631" s="213"/>
    </row>
    <row r="2632">
      <c r="A2632" s="213">
        <f>IFERROR(__xludf.DUMMYFUNCTION("""COMPUTED_VALUE"""),2434.0)</f>
        <v>2434</v>
      </c>
      <c r="B2632" s="213" t="str">
        <f>IFERROR(__xludf.DUMMYFUNCTION("""COMPUTED_VALUE"""),"MANUEL ANTONIO MESONES MURO")</f>
        <v>MANUEL ANTONIO MESONES MURO</v>
      </c>
      <c r="C2632" s="213" t="str">
        <f>IFERROR(__xludf.DUMMYFUNCTION("""COMPUTED_VALUE"""),"TALLER SFT DE INDUSTRIA DEL VESTIDO")</f>
        <v>TALLER SFT DE INDUSTRIA DEL VESTIDO</v>
      </c>
      <c r="D2632" s="213" t="str">
        <f>IFERROR(__xludf.DUMMYFUNCTION("""COMPUTED_VALUE"""),"PEDAGOGICO")</f>
        <v>PEDAGOGICO</v>
      </c>
      <c r="E2632" s="213" t="str">
        <f>IFERROR(__xludf.DUMMYFUNCTION("""COMPUTED_VALUE"""),"MAT-481")</f>
        <v>MAT-481</v>
      </c>
      <c r="F2632" s="213" t="str">
        <f>IFERROR(__xludf.DUMMYFUNCTION("""COMPUTED_VALUE"""),"MAT-481")</f>
        <v>MAT-481</v>
      </c>
      <c r="G2632" s="213"/>
      <c r="H2632"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32" s="213" t="str">
        <f>IFERROR(__xludf.DUMMYFUNCTION("""COMPUTED_VALUE"""),"Calidad física
· El USB tiene la capacidad de mínimo 32 GB, para almacenar  información en videos o textos digitales sobre metodología y técnicas relacionadas con la creación de propuestas de valor.
· Video grabado USB tiene 3 tipos de conectores: para co"&amp;"nectarse con la PC, Tablet y móvil (conector USB 3.0, conector micro USB, conector tipo C).
· Video grabado en formato MP4 / AVI, en alta resolución 4K o HD
· El video tendrá una duración de 30 minutos como mínimo. Dividido en 10 secciones, en cada secció"&amp;"n se presentará una técnica de diseño propuesta de valor, cada sección tendrá una duración de 3 minutos como mínimo.
· Calidad pedagógica.
- El video presentará un ejemplo práctico demostrativo de aplicación de 10 técnicas de la metodología Design Thinkin"&amp;"g.
- Cada sección debe presentar: el título de la técnica, la descripción y finalidad, los procedimientos de su aplicación.
- Cada sección integra imágenes, sonido, video y textos de manera creativa y motivadora para adolescentes de educación secundaria.
"&amp;"- Entre las posibles técnicas del Design Thinking: brainwritting, ¿Qué, cómo y por qué?, mapa de la empatía, lienzo de propuesta de valor, SCAMPER, PIN, 5 por qué,diagrama de causa efecto, diagrama de Porter, entre otros.")</f>
        <v>Calidad física
· El USB tiene la capacidad de mínimo 32 GB, para almacenar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30 minutos como mínimo. Dividido en 10 secciones, en cada sección se presentará una técnica de diseño propuesta de valor, cada sección tendrá una duración de 3 minutos como mínimo.
· Calidad pedagógica.
- El video presentará un ejemplo práctico demostrativo de aplicación de 10 técnicas de la metodología Design Thinking.
- Cada sección debe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qué,diagrama de causa efecto, diagrama de Porter, entre otros.</v>
      </c>
      <c r="J2632" s="213">
        <f>IFERROR(__xludf.DUMMYFUNCTION("""COMPUTED_VALUE"""),3.0)</f>
        <v>3</v>
      </c>
      <c r="K2632" s="213" t="str">
        <f>IFERROR(__xludf.DUMMYFUNCTION("""COMPUTED_VALUE"""),"170 DÍAS CALENDARIO")</f>
        <v>170 DÍAS CALENDARIO</v>
      </c>
      <c r="L2632" s="213" t="str">
        <f>IFERROR(__xludf.DUMMYFUNCTION("""COMPUTED_VALUE"""),"")</f>
        <v/>
      </c>
      <c r="M2632" s="213">
        <f>IFERROR(__xludf.DUMMYFUNCTION("""COMPUTED_VALUE"""),1.0)</f>
        <v>1</v>
      </c>
      <c r="N2632" s="213">
        <f>IFERROR(__xludf.DUMMYFUNCTION("""COMPUTED_VALUE"""),1.0)</f>
        <v>1</v>
      </c>
      <c r="O2632" s="213">
        <f>IFERROR(__xludf.DUMMYFUNCTION("""COMPUTED_VALUE"""),1.0)</f>
        <v>1</v>
      </c>
      <c r="P2632" s="213"/>
      <c r="Q2632" s="213"/>
      <c r="R2632" s="213"/>
      <c r="S2632" s="213"/>
      <c r="T2632" s="213"/>
      <c r="U2632" s="213"/>
      <c r="V2632" s="213"/>
      <c r="W2632" s="213"/>
      <c r="X2632" s="213"/>
      <c r="Y2632" s="213"/>
      <c r="Z2632" s="213"/>
      <c r="AA2632" s="213"/>
      <c r="AB2632" s="213"/>
      <c r="AC2632" s="213"/>
      <c r="AD2632" s="213"/>
      <c r="AE2632" s="213"/>
      <c r="AF2632" s="213"/>
      <c r="AG2632" s="213"/>
      <c r="AH2632" s="213"/>
      <c r="AI2632" s="213"/>
      <c r="AJ2632" s="213"/>
      <c r="AK2632" s="213"/>
      <c r="AL2632" s="213"/>
      <c r="AM2632" s="213"/>
      <c r="AN2632" s="213"/>
      <c r="AO2632" s="213"/>
      <c r="AP2632" s="213"/>
      <c r="AQ2632" s="213"/>
      <c r="AR2632" s="213"/>
      <c r="AS2632" s="213"/>
      <c r="AT2632" s="213"/>
      <c r="AU2632" s="213"/>
      <c r="AV2632" s="213"/>
      <c r="AW2632" s="213"/>
      <c r="AX2632" s="213"/>
      <c r="AY2632" s="213"/>
      <c r="AZ2632" s="213"/>
      <c r="BA2632" s="213"/>
      <c r="BB2632" s="213"/>
      <c r="BC2632" s="213"/>
      <c r="BD2632" s="213"/>
    </row>
    <row r="2633">
      <c r="A2633" s="213">
        <f>IFERROR(__xludf.DUMMYFUNCTION("""COMPUTED_VALUE"""),2659.0)</f>
        <v>2659</v>
      </c>
      <c r="B2633" s="213" t="str">
        <f>IFERROR(__xludf.DUMMYFUNCTION("""COMPUTED_VALUE"""),"MANUEL ANTONIO MESONES MURO")</f>
        <v>MANUEL ANTONIO MESONES MURO</v>
      </c>
      <c r="C2633" s="213" t="str">
        <f>IFERROR(__xludf.DUMMYFUNCTION("""COMPUTED_VALUE"""),"TALLER SFT DE EBANISTERÍA")</f>
        <v>TALLER SFT DE EBANISTERÍA</v>
      </c>
      <c r="D2633" s="213" t="str">
        <f>IFERROR(__xludf.DUMMYFUNCTION("""COMPUTED_VALUE"""),"PEDAGOGICO")</f>
        <v>PEDAGOGICO</v>
      </c>
      <c r="E2633" s="213" t="str">
        <f>IFERROR(__xludf.DUMMYFUNCTION("""COMPUTED_VALUE"""),"MAT-481")</f>
        <v>MAT-481</v>
      </c>
      <c r="F2633" s="213" t="str">
        <f>IFERROR(__xludf.DUMMYFUNCTION("""COMPUTED_VALUE"""),"MAT-481")</f>
        <v>MAT-481</v>
      </c>
      <c r="G2633" s="213"/>
      <c r="H2633" s="213" t="str">
        <f>IFERROR(__xludf.DUMMYFUNCTION("""COMPUTED_VALUE"""),"VIDEOS DIDÁCTICOS CORTOS DE LA METODOLOGÍA Y TÉCNICAS RELACIONADAS CON LA CREACIÓN DE PROPUESTAS DE VALOR")</f>
        <v>VIDEOS DIDÁCTICOS CORTOS DE LA METODOLOGÍA Y TÉCNICAS RELACIONADAS CON LA CREACIÓN DE PROPUESTAS DE VALOR</v>
      </c>
      <c r="I2633" s="213" t="str">
        <f>IFERROR(__xludf.DUMMYFUNCTION("""COMPUTED_VALUE"""),"Calidad física
· El USB tiene la capacidad de mínimo 32 GB, para almacenar la información en videos o textos digitales sobre metodología y técnicas relacionadas con la creación de propuestas de valor
· Video grabado USB tiene 3 tipos de conectores: para c"&amp;"onectarse con la PC, Tablet y móvil (conector USB 3.0, conector micro USB, conector tipo C).
· Video grabado en formato MP4 / AVI, en alta resolución 4K o HD
· El video tendrá una duración de 50 minutos como mínimo. Dividido en 10 secciones, en cada secci"&amp;"ón se presentará una técnica de diseño propuesta de valor, cada sección tendrá una duración de 5 minutos como mínimo.
· Calidad pedagógica.
- El video presentará un ejemplo práctico demostrativo de aplicación de 10 técnicas de la metodología Design thinki"&amp;"ng.
- Cada sección de presentar: el título de la técnica, la descripción y finalidad, los procedimientos de su aplicación.
- Cada sección integra imágenes, sonido, video y textos de manera creativa y motivadora para adolescentes de educación secundaria.
-"&amp;" Entre las posibles técnicas del Design Thinking: brainwritting, ¿Qué, cómo y por qué?, mapa de la empatía, lienzo de propuesta de valor, SCAMPER, PIN, 5 por qué, diagrama de causa efecto, diagrama de Porter, entre otros.")</f>
        <v>Calidad física
· El USB tiene la capacidad de mínimo 32 GB, para almacenar la información en videos o textos digitales sobre metodología y técnicas relacionadas con la creación de propuestas de valor
· Video grabado USB tiene 3 tipos de conectores: para conectarse con la PC, Tablet y móvil (conector USB 3.0, conector micro USB, conector tipo C).
· Video grabado en formato MP4 / AVI, en alta resolución 4K o HD
· El video tendrá una duración de 50 minutos como mínimo. Dividido en 10 secciones, en cada sección se presentará una técnica de diseño propuesta de valor, cada sección tendrá una duración de 5 minutos como mínimo.
· Calidad pedagógica.
- El video presentará un ejemplo práctico demostrativo de aplicación de 10 técnicas de la metodología Design thinking.
- Cada sección de presentar: el título de la técnica, la descripción y finalidad, los procedimientos de su aplicación.
- Cada sección integra imágenes, sonido, video y textos de manera creativa y motivadora para adolescentes de educación secundaria.
- Entre las posibles técnicas del Design Thinking: brainwritting, ¿Qué, cómo y por qué?, mapa de la empatía, lienzo de propuesta de valor, SCAMPER, PIN, 5 por qué, diagrama de causa efecto, diagrama de Porter, entre otros.</v>
      </c>
      <c r="J2633" s="213">
        <f>IFERROR(__xludf.DUMMYFUNCTION("""COMPUTED_VALUE"""),3.0)</f>
        <v>3</v>
      </c>
      <c r="K2633" s="213" t="str">
        <f>IFERROR(__xludf.DUMMYFUNCTION("""COMPUTED_VALUE"""),"170 DÍAS CALENDARIO")</f>
        <v>170 DÍAS CALENDARIO</v>
      </c>
      <c r="L2633" s="213" t="str">
        <f>IFERROR(__xludf.DUMMYFUNCTION("""COMPUTED_VALUE"""),"")</f>
        <v/>
      </c>
      <c r="M2633" s="213">
        <f>IFERROR(__xludf.DUMMYFUNCTION("""COMPUTED_VALUE"""),1.0)</f>
        <v>1</v>
      </c>
      <c r="N2633" s="213">
        <f>IFERROR(__xludf.DUMMYFUNCTION("""COMPUTED_VALUE"""),4.0)</f>
        <v>4</v>
      </c>
      <c r="O2633" s="213">
        <f>IFERROR(__xludf.DUMMYFUNCTION("""COMPUTED_VALUE"""),4.0)</f>
        <v>4</v>
      </c>
      <c r="P2633" s="213"/>
      <c r="Q2633" s="213"/>
      <c r="R2633" s="213"/>
      <c r="S2633" s="213"/>
      <c r="T2633" s="213"/>
      <c r="U2633" s="213"/>
      <c r="V2633" s="213"/>
      <c r="W2633" s="213"/>
      <c r="X2633" s="213"/>
      <c r="Y2633" s="213"/>
      <c r="Z2633" s="213"/>
      <c r="AA2633" s="213"/>
      <c r="AB2633" s="213"/>
      <c r="AC2633" s="213"/>
      <c r="AD2633" s="213"/>
      <c r="AE2633" s="213"/>
      <c r="AF2633" s="213"/>
      <c r="AG2633" s="213"/>
      <c r="AH2633" s="213"/>
      <c r="AI2633" s="213"/>
      <c r="AJ2633" s="213"/>
      <c r="AK2633" s="213"/>
      <c r="AL2633" s="213"/>
      <c r="AM2633" s="213"/>
      <c r="AN2633" s="213"/>
      <c r="AO2633" s="213"/>
      <c r="AP2633" s="213"/>
      <c r="AQ2633" s="213"/>
      <c r="AR2633" s="213"/>
      <c r="AS2633" s="213"/>
      <c r="AT2633" s="213"/>
      <c r="AU2633" s="213"/>
      <c r="AV2633" s="213"/>
      <c r="AW2633" s="213"/>
      <c r="AX2633" s="213"/>
      <c r="AY2633" s="213"/>
      <c r="AZ2633" s="213"/>
      <c r="BA2633" s="213"/>
      <c r="BB2633" s="213"/>
      <c r="BC2633" s="213"/>
      <c r="BD2633" s="213"/>
    </row>
    <row r="2634">
      <c r="A2634" s="213">
        <f>IFERROR(__xludf.DUMMYFUNCTION("""COMPUTED_VALUE"""),384.0)</f>
        <v>384</v>
      </c>
      <c r="B2634" s="213" t="str">
        <f>IFERROR(__xludf.DUMMYFUNCTION("""COMPUTED_VALUE"""),"2026 SIMON BOLIVAR")</f>
        <v>2026 SIMON BOLIVAR</v>
      </c>
      <c r="C2634" s="213" t="str">
        <f>IFERROR(__xludf.DUMMYFUNCTION("""COMPUTED_VALUE"""),"TALLER SFT DE ELECTRICIDAD")</f>
        <v>TALLER SFT DE ELECTRICIDAD</v>
      </c>
      <c r="D2634" s="213" t="str">
        <f>IFERROR(__xludf.DUMMYFUNCTION("""COMPUTED_VALUE"""),"PEDAGOGICO")</f>
        <v>PEDAGOGICO</v>
      </c>
      <c r="E2634" s="213" t="str">
        <f>IFERROR(__xludf.DUMMYFUNCTION("""COMPUTED_VALUE"""),"MAT-483")</f>
        <v>MAT-483</v>
      </c>
      <c r="F2634" s="213" t="str">
        <f>IFERROR(__xludf.DUMMYFUNCTION("""COMPUTED_VALUE"""),"MAT-483")</f>
        <v>MAT-483</v>
      </c>
      <c r="G2634" s="213"/>
      <c r="H2634" s="213" t="str">
        <f>IFERROR(__xludf.DUMMYFUNCTION("""COMPUTED_VALUE"""),"VIDEOS INSTRUCTIVOS PARA DESARROLLAR PROYECTOS SENCILLOS SOBRE GENERACIÓN DE ENERGÍA ELÉCTRICA HIDRÁULICA, SOLAR FOTOVOLTAICO, EÓLICO, GEOTÉRMICO, BIOMASA, GRABADO EN USB")</f>
        <v>VIDEOS INSTRUCTIVOS PARA DESARROLLAR PROYECTOS SENCILLOS SOBRE GENERACIÓN DE ENERGÍA ELÉCTRICA HIDRÁULICA, SOLAR FOTOVOLTAICO, EÓLICO, GEOTÉRMICO, BIOMASA, GRABADO EN USB</v>
      </c>
      <c r="I2634" s="213" t="str">
        <f>IFERROR(__xludf.DUMMYFUNCTION("""COMPUTED_VALUE"""),"· El USB tiene la capacidad de mínimo 32 GB, para almacenar los archivos de los manuales y la información complementaria en videos o textos digitales sobre  desarrollar proyectos sencillos sobre generación de energía eléctrica hidráulica, solar fotovoltai"&amp;"co, eólico, geotérmico.
Calidad física
- Video grabado USB tiene 3 tipos de conectores: para conectarse con la PC, Tablet y móvil (conector USB 3.0, conector micro USB, conector tipo C),  o en su defecto se proporciona adicionalmente un conector (cable) c"&amp;"on las 3 posibles conexiones.
- Video grabado en formato MP4 / AVI, en alta resolución 4K o HD
- El video tendrá una duración de 50 minutos como mínimo.
- Dividido en 4 secciones, en cada sección se presentará un sistema de generación eléctrica, cada secc"&amp;"ión tendrá una duración de 10 minutos como mínimo
.  El USB está contenido en un estuche de plástico transparente o similar.
· El USB es compatible con iPhone/Android/Windows.
· Calidad pedagógica.
- La primera sección presenta el video tutorial sobre la "&amp;"generación de energía eléctrica hidráulica.
- La segunda sección presenta el video tutorial sobre la generación  de energía eléctrica a través de la energía solar mediante paneles solares.
- La tercera sección presenta el video tutorial sobre la generació"&amp;"n  de energía eléctrica a través del sistema eólico.
- La cuarta sección presenta el video tutorial sobre la generación  de energía eléctrica a través de las centrales geotérmicas.
- La quinta sección presenta el video tutorial sobre la generación  de ene"&amp;"rgía eléctrica a través de la biomasa.
- El video presentará un ejemplo práctico demostrativo  por cada tipo de generación eléctrica.
- Cada sección de presentar: el título de la técnica, la descripción y finalidad, los procedimientos de su aplicación.
- "&amp;"Cada sección integra imágenes, sonido, video y textos de manera creativa y motivadora para adolescentes de educación secundaria.
- Se anexa el guión del video (Ver Anexo N° 2,3,4,5)")</f>
        <v>· El USB tiene la capacidad de mínimo 32 GB, para almacenar los archivos de los manuales y la información complementaria en videos o textos digitales sobre  desarrollar proyectos sencillos sobre generación de energía eléctrica hidráulica, solar fotovoltaico, eólico, geotérmico.
Calidad física
- Video grabado USB tiene 3 tipos de conectores: para conectarse con la PC, Tablet y móvil (conector USB 3.0, conector micro USB, conector tipo C),  o en su defecto se proporciona adicionalmente un conector (cable) con las 3 posibles conexiones.
- Video grabado en formato MP4 / AVI, en alta resolución 4K o HD
- El video tendrá una duración de 50 minutos como mínimo.
- Dividido en 4 secciones, en cada sección se presentará un sistema de generación eléctrica, cada sección tendrá una duración de 10 minutos como mínimo
.  El USB está contenido en un estuche de plástico transparente o similar.
· El USB es compatible con iPhone/Android/Windows.
· Calidad pedagógica.
- La primera sección presenta el video tutorial sobre la generación de energía eléctrica hidráulica.
- La segunda sección presenta el video tutorial sobre la generación  de energía eléctrica a través de la energía solar mediante paneles solares.
- La tercera sección presenta el video tutorial sobre la generación  de energía eléctrica a través del sistema eólico.
- La cuarta sección presenta el video tutorial sobre la generación  de energía eléctrica a través de las centrales geotérmicas.
- La quinta sección presenta el video tutorial sobre la generación  de energía eléctrica a través de la biomasa.
- El video presentará un ejemplo práctico demostrativo  por cada tipo de generación eléctrica.
- Cada sección de presentar: el título de la técnica, la descripción y finalidad, los procedimientos de su aplicación.
- Cada sección integra imágenes, sonido, video y textos de manera creativa y motivadora para adolescentes de educación secundaria.
- Se anexa el guión del video (Ver Anexo N° 2,3,4,5)</v>
      </c>
      <c r="J2634" s="213">
        <f>IFERROR(__xludf.DUMMYFUNCTION("""COMPUTED_VALUE"""),3.0)</f>
        <v>3</v>
      </c>
      <c r="K2634" s="213" t="str">
        <f>IFERROR(__xludf.DUMMYFUNCTION("""COMPUTED_VALUE"""),"170 DÍAS CALENDARIO")</f>
        <v>170 DÍAS CALENDARIO</v>
      </c>
      <c r="L2634" s="213" t="str">
        <f>IFERROR(__xludf.DUMMYFUNCTION("""COMPUTED_VALUE"""),"")</f>
        <v/>
      </c>
      <c r="M2634" s="213">
        <f>IFERROR(__xludf.DUMMYFUNCTION("""COMPUTED_VALUE"""),1.0)</f>
        <v>1</v>
      </c>
      <c r="N2634" s="213">
        <f>IFERROR(__xludf.DUMMYFUNCTION("""COMPUTED_VALUE"""),1.0)</f>
        <v>1</v>
      </c>
      <c r="O2634" s="213">
        <f>IFERROR(__xludf.DUMMYFUNCTION("""COMPUTED_VALUE"""),1.0)</f>
        <v>1</v>
      </c>
      <c r="P2634" s="213"/>
      <c r="Q2634" s="213"/>
      <c r="R2634" s="213"/>
      <c r="S2634" s="213"/>
      <c r="T2634" s="213"/>
      <c r="U2634" s="213"/>
      <c r="V2634" s="213"/>
      <c r="W2634" s="213"/>
      <c r="X2634" s="213"/>
      <c r="Y2634" s="213"/>
      <c r="Z2634" s="213"/>
      <c r="AA2634" s="213"/>
      <c r="AB2634" s="213"/>
      <c r="AC2634" s="213"/>
      <c r="AD2634" s="213"/>
      <c r="AE2634" s="213"/>
      <c r="AF2634" s="213"/>
      <c r="AG2634" s="213"/>
      <c r="AH2634" s="213"/>
      <c r="AI2634" s="213"/>
      <c r="AJ2634" s="213"/>
      <c r="AK2634" s="213"/>
      <c r="AL2634" s="213"/>
      <c r="AM2634" s="213"/>
      <c r="AN2634" s="213"/>
      <c r="AO2634" s="213"/>
      <c r="AP2634" s="213"/>
      <c r="AQ2634" s="213"/>
      <c r="AR2634" s="213"/>
      <c r="AS2634" s="213"/>
      <c r="AT2634" s="213"/>
      <c r="AU2634" s="213"/>
      <c r="AV2634" s="213"/>
      <c r="AW2634" s="213"/>
      <c r="AX2634" s="213"/>
      <c r="AY2634" s="213"/>
      <c r="AZ2634" s="213"/>
      <c r="BA2634" s="213"/>
      <c r="BB2634" s="213"/>
      <c r="BC2634" s="213"/>
      <c r="BD2634" s="213"/>
    </row>
    <row r="2635">
      <c r="A2635" s="213">
        <f>IFERROR(__xludf.DUMMYFUNCTION("""COMPUTED_VALUE"""),870.0)</f>
        <v>870</v>
      </c>
      <c r="B2635" s="213" t="str">
        <f>IFERROR(__xludf.DUMMYFUNCTION("""COMPUTED_VALUE"""),"6049 RICARDO PALMA")</f>
        <v>6049 RICARDO PALMA</v>
      </c>
      <c r="C2635" s="213" t="str">
        <f>IFERROR(__xludf.DUMMYFUNCTION("""COMPUTED_VALUE"""),"TALLER SFT DE ELECTRICIDAD")</f>
        <v>TALLER SFT DE ELECTRICIDAD</v>
      </c>
      <c r="D2635" s="213" t="str">
        <f>IFERROR(__xludf.DUMMYFUNCTION("""COMPUTED_VALUE"""),"PEDAGOGICO")</f>
        <v>PEDAGOGICO</v>
      </c>
      <c r="E2635" s="213" t="str">
        <f>IFERROR(__xludf.DUMMYFUNCTION("""COMPUTED_VALUE"""),"MAT-483")</f>
        <v>MAT-483</v>
      </c>
      <c r="F2635" s="213" t="str">
        <f>IFERROR(__xludf.DUMMYFUNCTION("""COMPUTED_VALUE"""),"MAT-483")</f>
        <v>MAT-483</v>
      </c>
      <c r="G2635" s="213"/>
      <c r="H2635" s="213" t="str">
        <f>IFERROR(__xludf.DUMMYFUNCTION("""COMPUTED_VALUE"""),"VIDEOS INSTRUCTIVOS PARA DESARROLLAR PROYECTOS SENCILLOS SOBRE GENERACIÓN DE ENERGÍA ELÉCTRICA HIDRÁULICA, SOLAR FOTOVOLTAICO, EÓLICO, GEOTÉRMICO, BIOMASA, GRABADO EN USB")</f>
        <v>VIDEOS INSTRUCTIVOS PARA DESARROLLAR PROYECTOS SENCILLOS SOBRE GENERACIÓN DE ENERGÍA ELÉCTRICA HIDRÁULICA, SOLAR FOTOVOLTAICO, EÓLICO, GEOTÉRMICO, BIOMASA, GRABADO EN USB</v>
      </c>
      <c r="I2635" s="213" t="str">
        <f>IFERROR(__xludf.DUMMYFUNCTION("""COMPUTED_VALUE"""),"· El USB tiene la capacidad de mínimo 32 GB, para almacenar los archivos de los manuales y la información complementaria en videos o textos digitales sobre  desarrollar proyectos sencillos sobre generación de energía eléctrica hidráulica, solar fotovoltai"&amp;"co, eólico, geotérmico.
Calidad física
- Video grabado USB tiene 3 tipos de conectores: para conectarse con la PC, Tablet y móvil (conector USB 3.0, conector micro USB, conector tipo C),  o en su defecto se proporciona adicionalmente un conector (cable) c"&amp;"on las 3 posibles conexiones.
- Video grabado en formato MP4 / AVI, en alta resolución 4K o HD
- El video tendrá una duración de 50 minutos como mínimo.
- Dividido en 4 secciones, en cada sección se presentará un sistema de generación eléctrica, cada secc"&amp;"ión tendrá una duración de 10 minutos como mínimo
.  El USB está contenido en un estuche de plástico transparente o similar.
· El USB es compatible con iPhone/Android/Windows.
· Calidad pedagógica.
- La primera sección presenta el video tutorial sobre la "&amp;"generación de energía eléctrica hidráulica.
- La segunda sección presenta el video tutorial sobre la generación  de energía eléctrica a través de la energía solar mediante paneles solares.
- La tercera sección presenta el video tutorial sobre la generació"&amp;"n  de energía eléctrica a través del sistema eólico.
- La cuarta sección presenta el video tutorial sobre la generación  de energía eléctrica a través de las centrales geotérmicas.
- La quinta sección presenta el video tutorial sobre la generación  de ene"&amp;"rgía eléctrica a través de la biomasa.
- El video presentará un ejemplo práctico demostrativo  por cada tipo de generación eléctrica.
- Cada sección de presentar: el título de la técnica, la descripción y finalidad, los procedimientos de su aplicación.
- "&amp;"Cada sección integra imágenes, sonido, video y textos de manera creativa y motivadora para adolescentes de educación secundaria.
- Se anexa el guión del video (Ver Anexo N° 2,3,4,5)")</f>
        <v>· El USB tiene la capacidad de mínimo 32 GB, para almacenar los archivos de los manuales y la información complementaria en videos o textos digitales sobre  desarrollar proyectos sencillos sobre generación de energía eléctrica hidráulica, solar fotovoltaico, eólico, geotérmico.
Calidad física
- Video grabado USB tiene 3 tipos de conectores: para conectarse con la PC, Tablet y móvil (conector USB 3.0, conector micro USB, conector tipo C),  o en su defecto se proporciona adicionalmente un conector (cable) con las 3 posibles conexiones.
- Video grabado en formato MP4 / AVI, en alta resolución 4K o HD
- El video tendrá una duración de 50 minutos como mínimo.
- Dividido en 4 secciones, en cada sección se presentará un sistema de generación eléctrica, cada sección tendrá una duración de 10 minutos como mínimo
.  El USB está contenido en un estuche de plástico transparente o similar.
· El USB es compatible con iPhone/Android/Windows.
· Calidad pedagógica.
- La primera sección presenta el video tutorial sobre la generación de energía eléctrica hidráulica.
- La segunda sección presenta el video tutorial sobre la generación  de energía eléctrica a través de la energía solar mediante paneles solares.
- La tercera sección presenta el video tutorial sobre la generación  de energía eléctrica a través del sistema eólico.
- La cuarta sección presenta el video tutorial sobre la generación  de energía eléctrica a través de las centrales geotérmicas.
- La quinta sección presenta el video tutorial sobre la generación  de energía eléctrica a través de la biomasa.
- El video presentará un ejemplo práctico demostrativo  por cada tipo de generación eléctrica.
- Cada sección de presentar: el título de la técnica, la descripción y finalidad, los procedimientos de su aplicación.
- Cada sección integra imágenes, sonido, video y textos de manera creativa y motivadora para adolescentes de educación secundaria.
- Se anexa el guión del video (Ver Anexo N° 2,3,4,5)</v>
      </c>
      <c r="J2635" s="213">
        <f>IFERROR(__xludf.DUMMYFUNCTION("""COMPUTED_VALUE"""),3.0)</f>
        <v>3</v>
      </c>
      <c r="K2635" s="213" t="str">
        <f>IFERROR(__xludf.DUMMYFUNCTION("""COMPUTED_VALUE"""),"170 DÍAS CALENDARIO")</f>
        <v>170 DÍAS CALENDARIO</v>
      </c>
      <c r="L2635" s="213" t="str">
        <f>IFERROR(__xludf.DUMMYFUNCTION("""COMPUTED_VALUE"""),"")</f>
        <v/>
      </c>
      <c r="M2635" s="213">
        <f>IFERROR(__xludf.DUMMYFUNCTION("""COMPUTED_VALUE"""),1.0)</f>
        <v>1</v>
      </c>
      <c r="N2635" s="213">
        <f>IFERROR(__xludf.DUMMYFUNCTION("""COMPUTED_VALUE"""),1.0)</f>
        <v>1</v>
      </c>
      <c r="O2635" s="213">
        <f>IFERROR(__xludf.DUMMYFUNCTION("""COMPUTED_VALUE"""),1.0)</f>
        <v>1</v>
      </c>
      <c r="P2635" s="213"/>
      <c r="Q2635" s="213"/>
      <c r="R2635" s="213"/>
      <c r="S2635" s="213"/>
      <c r="T2635" s="213"/>
      <c r="U2635" s="213"/>
      <c r="V2635" s="213"/>
      <c r="W2635" s="213"/>
      <c r="X2635" s="213"/>
      <c r="Y2635" s="213"/>
      <c r="Z2635" s="213"/>
      <c r="AA2635" s="213"/>
      <c r="AB2635" s="213"/>
      <c r="AC2635" s="213"/>
      <c r="AD2635" s="213"/>
      <c r="AE2635" s="213"/>
      <c r="AF2635" s="213"/>
      <c r="AG2635" s="213"/>
      <c r="AH2635" s="213"/>
      <c r="AI2635" s="213"/>
      <c r="AJ2635" s="213"/>
      <c r="AK2635" s="213"/>
      <c r="AL2635" s="213"/>
      <c r="AM2635" s="213"/>
      <c r="AN2635" s="213"/>
      <c r="AO2635" s="213"/>
      <c r="AP2635" s="213"/>
      <c r="AQ2635" s="213"/>
      <c r="AR2635" s="213"/>
      <c r="AS2635" s="213"/>
      <c r="AT2635" s="213"/>
      <c r="AU2635" s="213"/>
      <c r="AV2635" s="213"/>
      <c r="AW2635" s="213"/>
      <c r="AX2635" s="213"/>
      <c r="AY2635" s="213"/>
      <c r="AZ2635" s="213"/>
      <c r="BA2635" s="213"/>
      <c r="BB2635" s="213"/>
      <c r="BC2635" s="213"/>
      <c r="BD2635" s="213"/>
    </row>
    <row r="2636">
      <c r="A2636" s="213">
        <f>IFERROR(__xludf.DUMMYFUNCTION("""COMPUTED_VALUE"""),1292.0)</f>
        <v>1292</v>
      </c>
      <c r="B2636" s="213" t="str">
        <f>IFERROR(__xludf.DUMMYFUNCTION("""COMPUTED_VALUE"""),"GUILLERMO E. BILLINGHURST ")</f>
        <v>GUILLERMO E. BILLINGHURST </v>
      </c>
      <c r="C2636" s="213" t="str">
        <f>IFERROR(__xludf.DUMMYFUNCTION("""COMPUTED_VALUE"""),"TALLER SFT DE ELECTRICIDAD")</f>
        <v>TALLER SFT DE ELECTRICIDAD</v>
      </c>
      <c r="D2636" s="213" t="str">
        <f>IFERROR(__xludf.DUMMYFUNCTION("""COMPUTED_VALUE"""),"PEDAGOGICO")</f>
        <v>PEDAGOGICO</v>
      </c>
      <c r="E2636" s="213" t="str">
        <f>IFERROR(__xludf.DUMMYFUNCTION("""COMPUTED_VALUE"""),"MAT-483")</f>
        <v>MAT-483</v>
      </c>
      <c r="F2636" s="213" t="str">
        <f>IFERROR(__xludf.DUMMYFUNCTION("""COMPUTED_VALUE"""),"MAT-483")</f>
        <v>MAT-483</v>
      </c>
      <c r="G2636" s="213"/>
      <c r="H2636" s="213" t="str">
        <f>IFERROR(__xludf.DUMMYFUNCTION("""COMPUTED_VALUE"""),"VIDEOS INSTRUCTIVOS PARA DESARROLLAR PROYECTOS SENCILLOS SOBRE GENERACIÓN DE ENERGÍA ELÉCTRICA HIDRÁULICA, SOLAR FOTOVOLTAICO, EÓLICO, GEOTÉRMICO, BIOMASA, GRABADO EN USB")</f>
        <v>VIDEOS INSTRUCTIVOS PARA DESARROLLAR PROYECTOS SENCILLOS SOBRE GENERACIÓN DE ENERGÍA ELÉCTRICA HIDRÁULICA, SOLAR FOTOVOLTAICO, EÓLICO, GEOTÉRMICO, BIOMASA, GRABADO EN USB</v>
      </c>
      <c r="I2636" s="213" t="str">
        <f>IFERROR(__xludf.DUMMYFUNCTION("""COMPUTED_VALUE"""),"· El USB tiene la capacidad de mínimo 32 GB, para almacenar los archivos de los manuales y la información complementaria en videos o textos digitales sobre  desarrollar proyectos sencillos sobre generación de energía eléctrica hidráulica, solar fotovoltai"&amp;"co, eólico, geotérmico.
Calidad física
- Video grabado USB tiene 3 tipos de conectores: para conectarse con la PC, Tablet y móvil (conector USB 3.0, conector micro USB, conector tipo C),  o en su defecto se proporciona adicionalmente un conector (cable) c"&amp;"on las 3 posibles conexiones.
- Video grabado en formato MP4 / AVI, en alta resolución 4K o HD
- El video tendrá una duración de 50 minutos como mínimo.
- Dividido en 4 secciones, en cada sección se presentará un sistema de generación eléctrica, cada secc"&amp;"ión tendrá una duración de 10 minutos como mínimo
.  El USB está contenido en un estuche de plástico transparente o similar.
· El USB es compatible con iPhone/Android/Windows.
· Calidad pedagógica.
- La primera sección presenta el video tutorial sobre la "&amp;"generación de energía eléctrica hidráulica.
- La segunda sección presenta el video tutorial sobre la generación  de energía eléctrica a través de la energía solar mediante paneles solares.
- La tercera sección presenta el video tutorial sobre la generació"&amp;"n  de energía eléctrica a través del sistema eólico.
- La cuarta sección presenta el video tutorial sobre la generación  de energía eléctrica a través de las centrales geotérmicas.
- La quinta sección presenta el video tutorial sobre la generación  de ene"&amp;"rgía eléctrica a través de la biomasa.
- El video presentará un ejemplo práctico demostrativo  por cada tipo de generación eléctrica.
- Cada sección de presentar: el título de la técnica, la descripción y finalidad, los procedimientos de su aplicación.
- "&amp;"Cada sección integra imágenes, sonido, video y textos de manera creativa y motivadora para adolescentes de educación secundaria.
- Se anexa el guión del video (Ver Anexo N° 2,3,4,5)")</f>
        <v>· El USB tiene la capacidad de mínimo 32 GB, para almacenar los archivos de los manuales y la información complementaria en videos o textos digitales sobre  desarrollar proyectos sencillos sobre generación de energía eléctrica hidráulica, solar fotovoltaico, eólico, geotérmico.
Calidad física
- Video grabado USB tiene 3 tipos de conectores: para conectarse con la PC, Tablet y móvil (conector USB 3.0, conector micro USB, conector tipo C),  o en su defecto se proporciona adicionalmente un conector (cable) con las 3 posibles conexiones.
- Video grabado en formato MP4 / AVI, en alta resolución 4K o HD
- El video tendrá una duración de 50 minutos como mínimo.
- Dividido en 4 secciones, en cada sección se presentará un sistema de generación eléctrica, cada sección tendrá una duración de 10 minutos como mínimo
.  El USB está contenido en un estuche de plástico transparente o similar.
· El USB es compatible con iPhone/Android/Windows.
· Calidad pedagógica.
- La primera sección presenta el video tutorial sobre la generación de energía eléctrica hidráulica.
- La segunda sección presenta el video tutorial sobre la generación  de energía eléctrica a través de la energía solar mediante paneles solares.
- La tercera sección presenta el video tutorial sobre la generación  de energía eléctrica a través del sistema eólico.
- La cuarta sección presenta el video tutorial sobre la generación  de energía eléctrica a través de las centrales geotérmicas.
- La quinta sección presenta el video tutorial sobre la generación  de energía eléctrica a través de la biomasa.
- El video presentará un ejemplo práctico demostrativo  por cada tipo de generación eléctrica.
- Cada sección de presentar: el título de la técnica, la descripción y finalidad, los procedimientos de su aplicación.
- Cada sección integra imágenes, sonido, video y textos de manera creativa y motivadora para adolescentes de educación secundaria.
- Se anexa el guión del video (Ver Anexo N° 2,3,4,5)</v>
      </c>
      <c r="J2636" s="213">
        <f>IFERROR(__xludf.DUMMYFUNCTION("""COMPUTED_VALUE"""),3.0)</f>
        <v>3</v>
      </c>
      <c r="K2636" s="213" t="str">
        <f>IFERROR(__xludf.DUMMYFUNCTION("""COMPUTED_VALUE"""),"170 DÍAS CALENDARIO")</f>
        <v>170 DÍAS CALENDARIO</v>
      </c>
      <c r="L2636" s="213" t="str">
        <f>IFERROR(__xludf.DUMMYFUNCTION("""COMPUTED_VALUE"""),"")</f>
        <v/>
      </c>
      <c r="M2636" s="213">
        <f>IFERROR(__xludf.DUMMYFUNCTION("""COMPUTED_VALUE"""),1.0)</f>
        <v>1</v>
      </c>
      <c r="N2636" s="213">
        <f>IFERROR(__xludf.DUMMYFUNCTION("""COMPUTED_VALUE"""),1.0)</f>
        <v>1</v>
      </c>
      <c r="O2636" s="213">
        <f>IFERROR(__xludf.DUMMYFUNCTION("""COMPUTED_VALUE"""),1.0)</f>
        <v>1</v>
      </c>
      <c r="P2636" s="213"/>
      <c r="Q2636" s="213"/>
      <c r="R2636" s="213"/>
      <c r="S2636" s="213"/>
      <c r="T2636" s="213"/>
      <c r="U2636" s="213"/>
      <c r="V2636" s="213"/>
      <c r="W2636" s="213"/>
      <c r="X2636" s="213"/>
      <c r="Y2636" s="213"/>
      <c r="Z2636" s="213"/>
      <c r="AA2636" s="213"/>
      <c r="AB2636" s="213"/>
      <c r="AC2636" s="213"/>
      <c r="AD2636" s="213"/>
      <c r="AE2636" s="213"/>
      <c r="AF2636" s="213"/>
      <c r="AG2636" s="213"/>
      <c r="AH2636" s="213"/>
      <c r="AI2636" s="213"/>
      <c r="AJ2636" s="213"/>
      <c r="AK2636" s="213"/>
      <c r="AL2636" s="213"/>
      <c r="AM2636" s="213"/>
      <c r="AN2636" s="213"/>
      <c r="AO2636" s="213"/>
      <c r="AP2636" s="213"/>
      <c r="AQ2636" s="213"/>
      <c r="AR2636" s="213"/>
      <c r="AS2636" s="213"/>
      <c r="AT2636" s="213"/>
      <c r="AU2636" s="213"/>
      <c r="AV2636" s="213"/>
      <c r="AW2636" s="213"/>
      <c r="AX2636" s="213"/>
      <c r="AY2636" s="213"/>
      <c r="AZ2636" s="213"/>
      <c r="BA2636" s="213"/>
      <c r="BB2636" s="213"/>
      <c r="BC2636" s="213"/>
      <c r="BD2636" s="213"/>
    </row>
    <row r="2637">
      <c r="A2637" s="213">
        <f>IFERROR(__xludf.DUMMYFUNCTION("""COMPUTED_VALUE"""),117.0)</f>
        <v>117</v>
      </c>
      <c r="B2637" s="213" t="str">
        <f>IFERROR(__xludf.DUMMYFUNCTION("""COMPUTED_VALUE"""),"16449 ELOY SOBERON  FLORES")</f>
        <v>16449 ELOY SOBERON  FLORES</v>
      </c>
      <c r="C2637" s="213" t="str">
        <f>IFERROR(__xludf.DUMMYFUNCTION("""COMPUTED_VALUE"""),"TALLER SFT DE COCINA Y REPOSTERÍA")</f>
        <v>TALLER SFT DE COCINA Y REPOSTERÍA</v>
      </c>
      <c r="D2637" s="213" t="str">
        <f>IFERROR(__xludf.DUMMYFUNCTION("""COMPUTED_VALUE"""),"PEDAGOGICO")</f>
        <v>PEDAGOGICO</v>
      </c>
      <c r="E2637" s="213" t="str">
        <f>IFERROR(__xludf.DUMMYFUNCTION("""COMPUTED_VALUE"""),"MAT-485")</f>
        <v>MAT-485</v>
      </c>
      <c r="F2637" s="213" t="str">
        <f>IFERROR(__xludf.DUMMYFUNCTION("""COMPUTED_VALUE"""),"MAT-485")</f>
        <v>MAT-485</v>
      </c>
      <c r="G2637" s="213"/>
      <c r="H2637" s="213" t="str">
        <f>IFERROR(__xludf.DUMMYFUNCTION("""COMPUTED_VALUE"""),"VIDEOS TUTORIALES DE GASTRONOMIA PERUANA E INTERNACIONAL")</f>
        <v>VIDEOS TUTORIALES DE GASTRONOMIA PERUANA E INTERNACIONAL</v>
      </c>
      <c r="I2637" s="213" t="str">
        <f>IFERROR(__xludf.DUMMYFUNCTION("""COMPUTED_VALUE"""),"· Los videos presentan procedimientos con la demostración  de gastronomía peruana e internacional, demostración así mismo las normas de seguridad que deben de considerar para su funcionamiento.
· Comprende los siguientes videos:
- Un video de Comida de la"&amp;" costa (Ceviche, Lomo saltado)
- Un video de Comida de la selva (Juane, tacacho con cesina)
- Un video de Comida de la sierra (Pachamanca,  papa a la huancaina)
- Un video de  comida Basileña (Caldo de Aipim)
- Un video de Comida  Turca (Ensalada Saksuka "&amp;"Turca)
- Un video de Comida Española (Tortilla Española)
- Un video de Comida Sueca  (Paella de Mariscos) Calidad física
· Video grabado USB con capacidad de mínimo 32 GB para almacenar, tiene 3 tipos de conectores: para conectarse con la PC, Tablet y móv"&amp;"il (conector USB 3.0, conector micro USB, conector tipo C).
·  Video grabado en formato MP4 / AVI, en alta resolución 4K o HD
.  El USB está contenido en un estuche de plástico transparente o similar.
·  El USB es compatible con iPhone/Android/Windows.
. "&amp;"Cada video debe tener una duración no menor a 5 minutos.")</f>
        <v>· Los videos presentan procedimientos con la demostración  de gastronomía peruana e internacional, demostración así mismo las normas de seguridad que deben de considerar para su funcionamiento.
· Comprende los siguientes videos:
- Un video de Comida de la costa (Ceviche, Lomo saltado)
- Un video de Comida de la selva (Juane, tacacho con cesina)
- Un video de Comida de la sierra (Pachamanca,  papa a la huancaina)
- Un video de  comida Basileña (Caldo de Aipim)
- Un video de Comida  Turca (Ensalada Saksuka Turca)
- Un video de Comida Española (Tortilla Española)
- Un video de Comida Sueca  (Paella de Mariscos) Calidad física
· Video grabado USB con capacidad de mínimo 32 GB para almacenar, tiene 3 tipos de conectores: para conectarse con la PC, Tablet y móvil (conector USB 3.0, conector micro USB, conector tipo C).
·  Video grabado en formato MP4 / AVI, en alta resolución 4K o HD
.  El USB está contenido en un estuche de plástico transparente o similar.
·  El USB es compatible con iPhone/Android/Windows.
. Cada video debe tener una duración no menor a 5 minutos.</v>
      </c>
      <c r="J2637" s="213">
        <f>IFERROR(__xludf.DUMMYFUNCTION("""COMPUTED_VALUE"""),3.0)</f>
        <v>3</v>
      </c>
      <c r="K2637" s="213" t="str">
        <f>IFERROR(__xludf.DUMMYFUNCTION("""COMPUTED_VALUE"""),"170 DÍAS CALENDARIO")</f>
        <v>170 DÍAS CALENDARIO</v>
      </c>
      <c r="L2637" s="213" t="str">
        <f>IFERROR(__xludf.DUMMYFUNCTION("""COMPUTED_VALUE"""),"")</f>
        <v/>
      </c>
      <c r="M2637" s="213">
        <f>IFERROR(__xludf.DUMMYFUNCTION("""COMPUTED_VALUE"""),1.0)</f>
        <v>1</v>
      </c>
      <c r="N2637" s="213">
        <f>IFERROR(__xludf.DUMMYFUNCTION("""COMPUTED_VALUE"""),4.0)</f>
        <v>4</v>
      </c>
      <c r="O2637" s="213">
        <f>IFERROR(__xludf.DUMMYFUNCTION("""COMPUTED_VALUE"""),4.0)</f>
        <v>4</v>
      </c>
      <c r="P2637" s="213"/>
      <c r="Q2637" s="213"/>
      <c r="R2637" s="213"/>
      <c r="S2637" s="213"/>
      <c r="T2637" s="213"/>
      <c r="U2637" s="213"/>
      <c r="V2637" s="213"/>
      <c r="W2637" s="213"/>
      <c r="X2637" s="213"/>
      <c r="Y2637" s="213"/>
      <c r="Z2637" s="213"/>
      <c r="AA2637" s="213"/>
      <c r="AB2637" s="213"/>
      <c r="AC2637" s="213"/>
      <c r="AD2637" s="213"/>
      <c r="AE2637" s="213"/>
      <c r="AF2637" s="213"/>
      <c r="AG2637" s="213"/>
      <c r="AH2637" s="213"/>
      <c r="AI2637" s="213"/>
      <c r="AJ2637" s="213"/>
      <c r="AK2637" s="213"/>
      <c r="AL2637" s="213"/>
      <c r="AM2637" s="213"/>
      <c r="AN2637" s="213"/>
      <c r="AO2637" s="213"/>
      <c r="AP2637" s="213"/>
      <c r="AQ2637" s="213"/>
      <c r="AR2637" s="213"/>
      <c r="AS2637" s="213"/>
      <c r="AT2637" s="213"/>
      <c r="AU2637" s="213"/>
      <c r="AV2637" s="213"/>
      <c r="AW2637" s="213"/>
      <c r="AX2637" s="213"/>
      <c r="AY2637" s="213"/>
      <c r="AZ2637" s="213"/>
      <c r="BA2637" s="213"/>
      <c r="BB2637" s="213"/>
      <c r="BC2637" s="213"/>
      <c r="BD2637" s="213"/>
    </row>
    <row r="2638">
      <c r="A2638" s="213">
        <f>IFERROR(__xludf.DUMMYFUNCTION("""COMPUTED_VALUE"""),1016.0)</f>
        <v>1016</v>
      </c>
      <c r="B2638" s="213" t="str">
        <f>IFERROR(__xludf.DUMMYFUNCTION("""COMPUTED_VALUE"""),"FRANCISCO IRAZOLA")</f>
        <v>FRANCISCO IRAZOLA</v>
      </c>
      <c r="C2638" s="213" t="str">
        <f>IFERROR(__xludf.DUMMYFUNCTION("""COMPUTED_VALUE"""),"TALLER SFT DE MECÁNICA AUTOMOTRIZ")</f>
        <v>TALLER SFT DE MECÁNICA AUTOMOTRIZ</v>
      </c>
      <c r="D2638" s="213" t="str">
        <f>IFERROR(__xludf.DUMMYFUNCTION("""COMPUTED_VALUE"""),"PEDAGOGICO")</f>
        <v>PEDAGOGICO</v>
      </c>
      <c r="E2638" s="213" t="str">
        <f>IFERROR(__xludf.DUMMYFUNCTION("""COMPUTED_VALUE"""),"MAT-487")</f>
        <v>MAT-487</v>
      </c>
      <c r="F2638" s="213" t="str">
        <f>IFERROR(__xludf.DUMMYFUNCTION("""COMPUTED_VALUE"""),"MAT-487")</f>
        <v>MAT-487</v>
      </c>
      <c r="G2638" s="213"/>
      <c r="H2638" s="213" t="str">
        <f>IFERROR(__xludf.DUMMYFUNCTION("""COMPUTED_VALUE"""),"VIDEOS TUTORIALES DEL MANTENIMIENTO DE SISTEMA DE SUSPENSIÓN, DIRECCIÓN, FRENOS")</f>
        <v>VIDEOS TUTORIALES DEL MANTENIMIENTO DE SISTEMA DE SUSPENSIÓN, DIRECCIÓN, FRENOS</v>
      </c>
      <c r="I2638" s="213" t="str">
        <f>IFERROR(__xludf.DUMMYFUNCTION("""COMPUTED_VALUE"""),"Calidad física
· El USB tiene la capacidad de mínimo 32 GB, para almacenar la información en videos tutoriales del uso pedadógico sobre el mantenimiento de sistema de suspensión.
· Video grabado USB tiene 3 tipos de conectores: para conectarse con la PC, "&amp;"Tablet y móvil (conector USB 3.0, conector micro USB, conector tipo C).
· Video grabado en formato MP4 / AVI, en alta resolución 4K o HD
· El video tendrá una duración de  30 minutos como mínimo. Dividido en 3 secciones.
· Calidad pedagógica.
·  En la pri"&amp;"mera sección presenta el video tutorial del mantenimiento del sistema de suspensión
·  En la segunda sección presenta el video tutorial del mantenimiento del sistema de dirección.
·  En la tercera sección presenta el video tutorial del mantenimiento del s"&amp;"istema de frenos
·  Cada sección presentará: el título de la técnica, la descripción y partes de la máquina, demostración de la preparación de la máquina, demostración del funcionamiento, mantenimiento preventivo y aplicación de normas de seguridad.
·  Ca"&amp;"da sección integra imágenes, sonido, video y textos de manera creativa y motivadora para adolescentes de educación secundaria.")</f>
        <v>Calidad física
· El USB tiene la capacidad de mínimo 32 GB, para almacenar la información en videos tutoriales del uso pedadógico sobre el mantenimiento de sistema de suspensión.
· Video grabado USB tiene 3 tipos de conectores: para conectarse con la PC, Tablet y móvil (conector USB 3.0, conector micro USB, conector tipo C).
· Video grabado en formato MP4 / AVI, en alta resolución 4K o HD
· El video tendrá una duración de  30 minutos como mínimo. Dividido en 3 secciones.
· Calidad pedagógica.
·  En la primera sección presenta el video tutorial del mantenimiento del sistema de suspensión
·  En la segunda sección presenta el video tutorial del mantenimiento del sistema de dirección.
·  En la tercera sección presenta el video tutorial del mantenimiento del sistema de frenos
·  Cada sección presentará: el título de la técnica, la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38" s="213">
        <f>IFERROR(__xludf.DUMMYFUNCTION("""COMPUTED_VALUE"""),3.0)</f>
        <v>3</v>
      </c>
      <c r="K2638" s="213" t="str">
        <f>IFERROR(__xludf.DUMMYFUNCTION("""COMPUTED_VALUE"""),"170 DÍAS CALENDARIO")</f>
        <v>170 DÍAS CALENDARIO</v>
      </c>
      <c r="L2638" s="213" t="str">
        <f>IFERROR(__xludf.DUMMYFUNCTION("""COMPUTED_VALUE"""),"")</f>
        <v/>
      </c>
      <c r="M2638" s="213">
        <f>IFERROR(__xludf.DUMMYFUNCTION("""COMPUTED_VALUE"""),1.0)</f>
        <v>1</v>
      </c>
      <c r="N2638" s="213">
        <f>IFERROR(__xludf.DUMMYFUNCTION("""COMPUTED_VALUE"""),1.0)</f>
        <v>1</v>
      </c>
      <c r="O2638" s="213">
        <f>IFERROR(__xludf.DUMMYFUNCTION("""COMPUTED_VALUE"""),1.0)</f>
        <v>1</v>
      </c>
      <c r="P2638" s="213"/>
      <c r="Q2638" s="213"/>
      <c r="R2638" s="213"/>
      <c r="S2638" s="213"/>
      <c r="T2638" s="213"/>
      <c r="U2638" s="213"/>
      <c r="V2638" s="213"/>
      <c r="W2638" s="213"/>
      <c r="X2638" s="213"/>
      <c r="Y2638" s="213"/>
      <c r="Z2638" s="213"/>
      <c r="AA2638" s="213"/>
      <c r="AB2638" s="213"/>
      <c r="AC2638" s="213"/>
      <c r="AD2638" s="213"/>
      <c r="AE2638" s="213"/>
      <c r="AF2638" s="213"/>
      <c r="AG2638" s="213"/>
      <c r="AH2638" s="213"/>
      <c r="AI2638" s="213"/>
      <c r="AJ2638" s="213"/>
      <c r="AK2638" s="213"/>
      <c r="AL2638" s="213"/>
      <c r="AM2638" s="213"/>
      <c r="AN2638" s="213"/>
      <c r="AO2638" s="213"/>
      <c r="AP2638" s="213"/>
      <c r="AQ2638" s="213"/>
      <c r="AR2638" s="213"/>
      <c r="AS2638" s="213"/>
      <c r="AT2638" s="213"/>
      <c r="AU2638" s="213"/>
      <c r="AV2638" s="213"/>
      <c r="AW2638" s="213"/>
      <c r="AX2638" s="213"/>
      <c r="AY2638" s="213"/>
      <c r="AZ2638" s="213"/>
      <c r="BA2638" s="213"/>
      <c r="BB2638" s="213"/>
      <c r="BC2638" s="213"/>
      <c r="BD2638" s="213"/>
    </row>
    <row r="2639">
      <c r="A2639" s="213">
        <f>IFERROR(__xludf.DUMMYFUNCTION("""COMPUTED_VALUE"""),1621.0)</f>
        <v>1621</v>
      </c>
      <c r="B2639" s="213" t="str">
        <f>IFERROR(__xludf.DUMMYFUNCTION("""COMPUTED_VALUE"""),"GUILLERMO E. BILLINGHURST ")</f>
        <v>GUILLERMO E. BILLINGHURST </v>
      </c>
      <c r="C2639" s="213" t="str">
        <f>IFERROR(__xludf.DUMMYFUNCTION("""COMPUTED_VALUE"""),"TALLER SFT DE MECÁNICA AUTOMOTRIZ")</f>
        <v>TALLER SFT DE MECÁNICA AUTOMOTRIZ</v>
      </c>
      <c r="D2639" s="213" t="str">
        <f>IFERROR(__xludf.DUMMYFUNCTION("""COMPUTED_VALUE"""),"PEDAGOGICO")</f>
        <v>PEDAGOGICO</v>
      </c>
      <c r="E2639" s="213" t="str">
        <f>IFERROR(__xludf.DUMMYFUNCTION("""COMPUTED_VALUE"""),"MAT-487")</f>
        <v>MAT-487</v>
      </c>
      <c r="F2639" s="213" t="str">
        <f>IFERROR(__xludf.DUMMYFUNCTION("""COMPUTED_VALUE"""),"MAT-487")</f>
        <v>MAT-487</v>
      </c>
      <c r="G2639" s="213"/>
      <c r="H2639" s="213" t="str">
        <f>IFERROR(__xludf.DUMMYFUNCTION("""COMPUTED_VALUE"""),"VIDEOS TUTORIALES DEL MANTENIMIENTO DE SISTEMA DE SUSPENSIÓN, DIRECCIÓN, FRENOS")</f>
        <v>VIDEOS TUTORIALES DEL MANTENIMIENTO DE SISTEMA DE SUSPENSIÓN, DIRECCIÓN, FRENOS</v>
      </c>
      <c r="I2639" s="213" t="str">
        <f>IFERROR(__xludf.DUMMYFUNCTION("""COMPUTED_VALUE"""),"Calidad física
· El USB tiene la capacidad de mínimo 32 GB, para almacenar la información en videos tutoriales del uso pedadógico sobre el mantenimiento de sistema de suspensión.
· Video grabado USB tiene 3 tipos de conectores: para conectarse con la PC, "&amp;"Tablet y móvil (conector USB 3.0, conector micro USB, conector tipo C).
· Video grabado en formato MP4 / AVI, en alta resolución 4K o HD
· El video tendrá una duración de  30 minutos como mínimo. Dividido en 3 secciones.
· Calidad pedagógica.
·  En la pri"&amp;"mera sección presenta el video tutorial del mantenimiento del sistema de suspensión
·  En la segunda sección presenta el video tutorial del mantenimiento del sistema de dirección.
·  En la tercera sección presenta el video tutorial del mantenimiento del s"&amp;"istema de frenos
·  Cada sección presentará: el título de la técnica, la descripción y partes de la máquina, demostración de la preparación de la máquina, demostración del funcionamiento, mantenimiento preventivo y aplicación de normas de seguridad.
·  Ca"&amp;"da sección integra imágenes, sonido, video y textos de manera creativa y motivadora para adolescentes de educación secundaria.")</f>
        <v>Calidad física
· El USB tiene la capacidad de mínimo 32 GB, para almacenar la información en videos tutoriales del uso pedadógico sobre el mantenimiento de sistema de suspensión.
· Video grabado USB tiene 3 tipos de conectores: para conectarse con la PC, Tablet y móvil (conector USB 3.0, conector micro USB, conector tipo C).
· Video grabado en formato MP4 / AVI, en alta resolución 4K o HD
· El video tendrá una duración de  30 minutos como mínimo. Dividido en 3 secciones.
· Calidad pedagógica.
·  En la primera sección presenta el video tutorial del mantenimiento del sistema de suspensión
·  En la segunda sección presenta el video tutorial del mantenimiento del sistema de dirección.
·  En la tercera sección presenta el video tutorial del mantenimiento del sistema de frenos
·  Cada sección presentará: el título de la técnica, la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39" s="213">
        <f>IFERROR(__xludf.DUMMYFUNCTION("""COMPUTED_VALUE"""),3.0)</f>
        <v>3</v>
      </c>
      <c r="K2639" s="213" t="str">
        <f>IFERROR(__xludf.DUMMYFUNCTION("""COMPUTED_VALUE"""),"170 DÍAS CALENDARIO")</f>
        <v>170 DÍAS CALENDARIO</v>
      </c>
      <c r="L2639" s="213" t="str">
        <f>IFERROR(__xludf.DUMMYFUNCTION("""COMPUTED_VALUE"""),"")</f>
        <v/>
      </c>
      <c r="M2639" s="213">
        <f>IFERROR(__xludf.DUMMYFUNCTION("""COMPUTED_VALUE"""),1.0)</f>
        <v>1</v>
      </c>
      <c r="N2639" s="213">
        <f>IFERROR(__xludf.DUMMYFUNCTION("""COMPUTED_VALUE"""),1.0)</f>
        <v>1</v>
      </c>
      <c r="O2639" s="213">
        <f>IFERROR(__xludf.DUMMYFUNCTION("""COMPUTED_VALUE"""),1.0)</f>
        <v>1</v>
      </c>
      <c r="P2639" s="213"/>
      <c r="Q2639" s="213"/>
      <c r="R2639" s="213"/>
      <c r="S2639" s="213"/>
      <c r="T2639" s="213"/>
      <c r="U2639" s="213"/>
      <c r="V2639" s="213"/>
      <c r="W2639" s="213"/>
      <c r="X2639" s="213"/>
      <c r="Y2639" s="213"/>
      <c r="Z2639" s="213"/>
      <c r="AA2639" s="213"/>
      <c r="AB2639" s="213"/>
      <c r="AC2639" s="213"/>
      <c r="AD2639" s="213"/>
      <c r="AE2639" s="213"/>
      <c r="AF2639" s="213"/>
      <c r="AG2639" s="213"/>
      <c r="AH2639" s="213"/>
      <c r="AI2639" s="213"/>
      <c r="AJ2639" s="213"/>
      <c r="AK2639" s="213"/>
      <c r="AL2639" s="213"/>
      <c r="AM2639" s="213"/>
      <c r="AN2639" s="213"/>
      <c r="AO2639" s="213"/>
      <c r="AP2639" s="213"/>
      <c r="AQ2639" s="213"/>
      <c r="AR2639" s="213"/>
      <c r="AS2639" s="213"/>
      <c r="AT2639" s="213"/>
      <c r="AU2639" s="213"/>
      <c r="AV2639" s="213"/>
      <c r="AW2639" s="213"/>
      <c r="AX2639" s="213"/>
      <c r="AY2639" s="213"/>
      <c r="AZ2639" s="213"/>
      <c r="BA2639" s="213"/>
      <c r="BB2639" s="213"/>
      <c r="BC2639" s="213"/>
      <c r="BD2639" s="213"/>
    </row>
    <row r="2640">
      <c r="A2640" s="213">
        <f>IFERROR(__xludf.DUMMYFUNCTION("""COMPUTED_VALUE"""),2312.0)</f>
        <v>2312</v>
      </c>
      <c r="B2640" s="213" t="str">
        <f>IFERROR(__xludf.DUMMYFUNCTION("""COMPUTED_VALUE"""),"JOSE GRANDA")</f>
        <v>JOSE GRANDA</v>
      </c>
      <c r="C2640" s="213" t="str">
        <f>IFERROR(__xludf.DUMMYFUNCTION("""COMPUTED_VALUE"""),"TALLER SFT DE MECÁNICA AUTOMOTRIZ")</f>
        <v>TALLER SFT DE MECÁNICA AUTOMOTRIZ</v>
      </c>
      <c r="D2640" s="213" t="str">
        <f>IFERROR(__xludf.DUMMYFUNCTION("""COMPUTED_VALUE"""),"PEDAGOGICO")</f>
        <v>PEDAGOGICO</v>
      </c>
      <c r="E2640" s="213" t="str">
        <f>IFERROR(__xludf.DUMMYFUNCTION("""COMPUTED_VALUE"""),"MAT-487")</f>
        <v>MAT-487</v>
      </c>
      <c r="F2640" s="213" t="str">
        <f>IFERROR(__xludf.DUMMYFUNCTION("""COMPUTED_VALUE"""),"MAT-487")</f>
        <v>MAT-487</v>
      </c>
      <c r="G2640" s="213"/>
      <c r="H2640" s="213" t="str">
        <f>IFERROR(__xludf.DUMMYFUNCTION("""COMPUTED_VALUE"""),"VIDEOS TUTORIALES DEL MANTENIMIENTO DE SISTEMA DE SUSPENSIÓN, DIRECCIÓN, FRENOS")</f>
        <v>VIDEOS TUTORIALES DEL MANTENIMIENTO DE SISTEMA DE SUSPENSIÓN, DIRECCIÓN, FRENOS</v>
      </c>
      <c r="I2640" s="213" t="str">
        <f>IFERROR(__xludf.DUMMYFUNCTION("""COMPUTED_VALUE"""),"Calidad física
· El USB tiene la capacidad de mínimo 32 GB, para almacenar la información en videos tutoriales del uso pedadógico sobre el mantenimiento de sistema de suspensión.
· Video grabado USB tiene 3 tipos de conectores: para conectarse con la PC, "&amp;"Tablet y móvil (conector USB 3.0, conector micro USB, conector tipo C).
· Video grabado en formato MP4 / AVI, en alta resolución 4K o HD
· El video tendrá una duración de  30 minutos como mínimo. Dividido en 3 secciones.
· Calidad pedagógica.
·  En la pri"&amp;"mera sección presenta el video tutorial del mantenimiento del sistema de suspensión
·  En la segunda sección presenta el video tutorial del mantenimiento del sistema de dirección.
·  En la tercera sección presenta el video tutorial del mantenimiento del s"&amp;"istema de frenos
·  Cada sección presentará: el título de la técnica, la descripción y partes de la máquina, demostración de la preparación de la máquina, demostración del funcionamiento, mantenimiento preventivo y aplicación de normas de seguridad.
·  Ca"&amp;"da sección integra imágenes, sonido, video y textos de manera creativa y motivadora para adolescentes de educación secundaria.")</f>
        <v>Calidad física
· El USB tiene la capacidad de mínimo 32 GB, para almacenar la información en videos tutoriales del uso pedadógico sobre el mantenimiento de sistema de suspensión.
· Video grabado USB tiene 3 tipos de conectores: para conectarse con la PC, Tablet y móvil (conector USB 3.0, conector micro USB, conector tipo C).
· Video grabado en formato MP4 / AVI, en alta resolución 4K o HD
· El video tendrá una duración de  30 minutos como mínimo. Dividido en 3 secciones.
· Calidad pedagógica.
·  En la primera sección presenta el video tutorial del mantenimiento del sistema de suspensión
·  En la segunda sección presenta el video tutorial del mantenimiento del sistema de dirección.
·  En la tercera sección presenta el video tutorial del mantenimiento del sistema de frenos
·  Cada sección presentará: el título de la técnica, la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40" s="213">
        <f>IFERROR(__xludf.DUMMYFUNCTION("""COMPUTED_VALUE"""),3.0)</f>
        <v>3</v>
      </c>
      <c r="K2640" s="213" t="str">
        <f>IFERROR(__xludf.DUMMYFUNCTION("""COMPUTED_VALUE"""),"170 DÍAS CALENDARIO")</f>
        <v>170 DÍAS CALENDARIO</v>
      </c>
      <c r="L2640" s="213" t="str">
        <f>IFERROR(__xludf.DUMMYFUNCTION("""COMPUTED_VALUE"""),"")</f>
        <v/>
      </c>
      <c r="M2640" s="213">
        <f>IFERROR(__xludf.DUMMYFUNCTION("""COMPUTED_VALUE"""),1.0)</f>
        <v>1</v>
      </c>
      <c r="N2640" s="213">
        <f>IFERROR(__xludf.DUMMYFUNCTION("""COMPUTED_VALUE"""),1.0)</f>
        <v>1</v>
      </c>
      <c r="O2640" s="213">
        <f>IFERROR(__xludf.DUMMYFUNCTION("""COMPUTED_VALUE"""),1.0)</f>
        <v>1</v>
      </c>
      <c r="P2640" s="213"/>
      <c r="Q2640" s="213"/>
      <c r="R2640" s="213"/>
      <c r="S2640" s="213"/>
      <c r="T2640" s="213"/>
      <c r="U2640" s="213"/>
      <c r="V2640" s="213"/>
      <c r="W2640" s="213"/>
      <c r="X2640" s="213"/>
      <c r="Y2640" s="213"/>
      <c r="Z2640" s="213"/>
      <c r="AA2640" s="213"/>
      <c r="AB2640" s="213"/>
      <c r="AC2640" s="213"/>
      <c r="AD2640" s="213"/>
      <c r="AE2640" s="213"/>
      <c r="AF2640" s="213"/>
      <c r="AG2640" s="213"/>
      <c r="AH2640" s="213"/>
      <c r="AI2640" s="213"/>
      <c r="AJ2640" s="213"/>
      <c r="AK2640" s="213"/>
      <c r="AL2640" s="213"/>
      <c r="AM2640" s="213"/>
      <c r="AN2640" s="213"/>
      <c r="AO2640" s="213"/>
      <c r="AP2640" s="213"/>
      <c r="AQ2640" s="213"/>
      <c r="AR2640" s="213"/>
      <c r="AS2640" s="213"/>
      <c r="AT2640" s="213"/>
      <c r="AU2640" s="213"/>
      <c r="AV2640" s="213"/>
      <c r="AW2640" s="213"/>
      <c r="AX2640" s="213"/>
      <c r="AY2640" s="213"/>
      <c r="AZ2640" s="213"/>
      <c r="BA2640" s="213"/>
      <c r="BB2640" s="213"/>
      <c r="BC2640" s="213"/>
      <c r="BD2640" s="213"/>
    </row>
    <row r="2641">
      <c r="A2641" s="213">
        <f>IFERROR(__xludf.DUMMYFUNCTION("""COMPUTED_VALUE"""),1031.0)</f>
        <v>1031</v>
      </c>
      <c r="B2641" s="213" t="str">
        <f>IFERROR(__xludf.DUMMYFUNCTION("""COMPUTED_VALUE"""),"FRANCISCO IRAZOLA")</f>
        <v>FRANCISCO IRAZOLA</v>
      </c>
      <c r="C2641" s="213" t="str">
        <f>IFERROR(__xludf.DUMMYFUNCTION("""COMPUTED_VALUE"""),"TALLER SFT DE MECÁNICA AUTOMOTRIZ")</f>
        <v>TALLER SFT DE MECÁNICA AUTOMOTRIZ</v>
      </c>
      <c r="D2641" s="213" t="str">
        <f>IFERROR(__xludf.DUMMYFUNCTION("""COMPUTED_VALUE"""),"PEDAGOGICO")</f>
        <v>PEDAGOGICO</v>
      </c>
      <c r="E2641" s="213" t="str">
        <f>IFERROR(__xludf.DUMMYFUNCTION("""COMPUTED_VALUE"""),"MAT-486")</f>
        <v>MAT-486</v>
      </c>
      <c r="F2641" s="213" t="str">
        <f>IFERROR(__xludf.DUMMYFUNCTION("""COMPUTED_VALUE"""),"MAT-486")</f>
        <v>MAT-486</v>
      </c>
      <c r="G2641" s="213"/>
      <c r="H2641" s="213" t="str">
        <f>IFERROR(__xludf.DUMMYFUNCTION("""COMPUTED_VALUE"""),"VIDEOS TUTORIALES DEL MANTENIMIENTO DEL MOTOR GASOLINA Y MOTOR DIESEL, GRABADO EN USB")</f>
        <v>VIDEOS TUTORIALES DEL MANTENIMIENTO DEL MOTOR GASOLINA Y MOTOR DIESEL, GRABADO EN USB</v>
      </c>
      <c r="I2641" s="213" t="str">
        <f>IFERROR(__xludf.DUMMYFUNCTION("""COMPUTED_VALUE"""),"Calidad física
· El USB tiene la capacidad de mínimo 32 GB, para almacenar la información en videos tutoriales del uso pedadógico del mantenimiento  del motor  gasolina y motor Diesel.
· Video grabado USB tiene 3 tipos de conectores: para conectarse con l"&amp;"a PC, Tablet y móvil (conector USB 3.0, conector micro USB, conector tipo C).
· Video grabado en formato MP4 / AVI, en alta resolución 4K o HD
· El video tendrá una duración de  20 minutos como mínimo. Dividido en dos secciones de 10 minutos
· Calidad ped"&amp;"agógica.
·  La primera sección presenta el video de mantenimiento del motor de gasolina
·  La segunda sección presenta el video de mantenimiento del motor diésel
·  Cada sección presentará la descripción y partes, fallas comunes y procesos de mantenimient"&amp;"o del motor
·   Cada sección integra imágenes, sonido, video y textos de manera creativa y motivadora para adolescentes de educación secundaria.")</f>
        <v>Calidad física
· El USB tiene la capacidad de mínimo 32 GB, para almacenar la información en videos tutoriales del uso pedadógico del mantenimiento  del motor  gasolina y motor Diesel.
· Video grabado USB tiene 3 tipos de conectores: para conectarse con la PC, Tablet y móvil (conector USB 3.0, conector micro USB, conector tipo C).
· Video grabado en formato MP4 / AVI, en alta resolución 4K o HD
· El video tendrá una duración de  20 minutos como mínimo. Dividido en dos secciones de 10 minutos
· Calidad pedagógica.
·  La primera sección presenta el video de mantenimiento del motor de gasolina
·  La segunda sección presenta el video de mantenimiento del motor diésel
·  Cada sección presentará la descripción y partes, fallas comunes y procesos de mantenimiento del motor
·   Cada sección integra imágenes, sonido, video y textos de manera creativa y motivadora para adolescentes de educación secundaria.</v>
      </c>
      <c r="J2641" s="213">
        <f>IFERROR(__xludf.DUMMYFUNCTION("""COMPUTED_VALUE"""),3.0)</f>
        <v>3</v>
      </c>
      <c r="K2641" s="213" t="str">
        <f>IFERROR(__xludf.DUMMYFUNCTION("""COMPUTED_VALUE"""),"170 DÍAS CALENDARIO")</f>
        <v>170 DÍAS CALENDARIO</v>
      </c>
      <c r="L2641" s="213" t="str">
        <f>IFERROR(__xludf.DUMMYFUNCTION("""COMPUTED_VALUE"""),"")</f>
        <v/>
      </c>
      <c r="M2641" s="213">
        <f>IFERROR(__xludf.DUMMYFUNCTION("""COMPUTED_VALUE"""),1.0)</f>
        <v>1</v>
      </c>
      <c r="N2641" s="213">
        <f>IFERROR(__xludf.DUMMYFUNCTION("""COMPUTED_VALUE"""),1.0)</f>
        <v>1</v>
      </c>
      <c r="O2641" s="213">
        <f>IFERROR(__xludf.DUMMYFUNCTION("""COMPUTED_VALUE"""),1.0)</f>
        <v>1</v>
      </c>
      <c r="P2641" s="213"/>
      <c r="Q2641" s="213"/>
      <c r="R2641" s="213"/>
      <c r="S2641" s="213"/>
      <c r="T2641" s="213"/>
      <c r="U2641" s="213"/>
      <c r="V2641" s="213"/>
      <c r="W2641" s="213"/>
      <c r="X2641" s="213"/>
      <c r="Y2641" s="213"/>
      <c r="Z2641" s="213"/>
      <c r="AA2641" s="213"/>
      <c r="AB2641" s="213"/>
      <c r="AC2641" s="213"/>
      <c r="AD2641" s="213"/>
      <c r="AE2641" s="213"/>
      <c r="AF2641" s="213"/>
      <c r="AG2641" s="213"/>
      <c r="AH2641" s="213"/>
      <c r="AI2641" s="213"/>
      <c r="AJ2641" s="213"/>
      <c r="AK2641" s="213"/>
      <c r="AL2641" s="213"/>
      <c r="AM2641" s="213"/>
      <c r="AN2641" s="213"/>
      <c r="AO2641" s="213"/>
      <c r="AP2641" s="213"/>
      <c r="AQ2641" s="213"/>
      <c r="AR2641" s="213"/>
      <c r="AS2641" s="213"/>
      <c r="AT2641" s="213"/>
      <c r="AU2641" s="213"/>
      <c r="AV2641" s="213"/>
      <c r="AW2641" s="213"/>
      <c r="AX2641" s="213"/>
      <c r="AY2641" s="213"/>
      <c r="AZ2641" s="213"/>
      <c r="BA2641" s="213"/>
      <c r="BB2641" s="213"/>
      <c r="BC2641" s="213"/>
      <c r="BD2641" s="213"/>
    </row>
    <row r="2642">
      <c r="A2642" s="213">
        <f>IFERROR(__xludf.DUMMYFUNCTION("""COMPUTED_VALUE"""),1636.0)</f>
        <v>1636</v>
      </c>
      <c r="B2642" s="213" t="str">
        <f>IFERROR(__xludf.DUMMYFUNCTION("""COMPUTED_VALUE"""),"GUILLERMO E. BILLINGHURST ")</f>
        <v>GUILLERMO E. BILLINGHURST </v>
      </c>
      <c r="C2642" s="213" t="str">
        <f>IFERROR(__xludf.DUMMYFUNCTION("""COMPUTED_VALUE"""),"TALLER SFT DE MECÁNICA AUTOMOTRIZ")</f>
        <v>TALLER SFT DE MECÁNICA AUTOMOTRIZ</v>
      </c>
      <c r="D2642" s="213" t="str">
        <f>IFERROR(__xludf.DUMMYFUNCTION("""COMPUTED_VALUE"""),"PEDAGOGICO")</f>
        <v>PEDAGOGICO</v>
      </c>
      <c r="E2642" s="213" t="str">
        <f>IFERROR(__xludf.DUMMYFUNCTION("""COMPUTED_VALUE"""),"MAT-486")</f>
        <v>MAT-486</v>
      </c>
      <c r="F2642" s="213" t="str">
        <f>IFERROR(__xludf.DUMMYFUNCTION("""COMPUTED_VALUE"""),"MAT-486")</f>
        <v>MAT-486</v>
      </c>
      <c r="G2642" s="213"/>
      <c r="H2642" s="213" t="str">
        <f>IFERROR(__xludf.DUMMYFUNCTION("""COMPUTED_VALUE"""),"VIDEOS TUTORIALES DEL MANTENIMIENTO DEL MOTOR GASOLINA Y MOTOR DIESEL, GRABADO EN USB")</f>
        <v>VIDEOS TUTORIALES DEL MANTENIMIENTO DEL MOTOR GASOLINA Y MOTOR DIESEL, GRABADO EN USB</v>
      </c>
      <c r="I2642" s="213" t="str">
        <f>IFERROR(__xludf.DUMMYFUNCTION("""COMPUTED_VALUE"""),"Calidad física
· El USB tiene la capacidad de mínimo 32 GB, para almacenar la información en videos tutoriales del uso pedadógico del mantenimiento  del motor  gasolina y motor Diesel.
· Video grabado USB tiene 3 tipos de conectores: para conectarse con l"&amp;"a PC, Tablet y móvil (conector USB 3.0, conector micro USB, conector tipo C).
· Video grabado en formato MP4 / AVI, en alta resolución 4K o HD
· El video tendrá una duración de  20 minutos como mínimo. Dividido en dos secciones de 10 minutos
· Calidad ped"&amp;"agógica.
·  La primera sección presenta el video de mantenimiento del motor de gasolina
·  La segunda sección presenta el video de mantenimiento del motor diésel
·  Cada sección presentará la descripción y partes, fallas comunes y procesos de mantenimient"&amp;"o del motor
·   Cada sección integra imágenes, sonido, video y textos de manera creativa y motivadora para adolescentes de educación secundaria.")</f>
        <v>Calidad física
· El USB tiene la capacidad de mínimo 32 GB, para almacenar la información en videos tutoriales del uso pedadógico del mantenimiento  del motor  gasolina y motor Diesel.
· Video grabado USB tiene 3 tipos de conectores: para conectarse con la PC, Tablet y móvil (conector USB 3.0, conector micro USB, conector tipo C).
· Video grabado en formato MP4 / AVI, en alta resolución 4K o HD
· El video tendrá una duración de  20 minutos como mínimo. Dividido en dos secciones de 10 minutos
· Calidad pedagógica.
·  La primera sección presenta el video de mantenimiento del motor de gasolina
·  La segunda sección presenta el video de mantenimiento del motor diésel
·  Cada sección presentará la descripción y partes, fallas comunes y procesos de mantenimiento del motor
·   Cada sección integra imágenes, sonido, video y textos de manera creativa y motivadora para adolescentes de educación secundaria.</v>
      </c>
      <c r="J2642" s="213">
        <f>IFERROR(__xludf.DUMMYFUNCTION("""COMPUTED_VALUE"""),3.0)</f>
        <v>3</v>
      </c>
      <c r="K2642" s="213" t="str">
        <f>IFERROR(__xludf.DUMMYFUNCTION("""COMPUTED_VALUE"""),"170 DÍAS CALENDARIO")</f>
        <v>170 DÍAS CALENDARIO</v>
      </c>
      <c r="L2642" s="213" t="str">
        <f>IFERROR(__xludf.DUMMYFUNCTION("""COMPUTED_VALUE"""),"")</f>
        <v/>
      </c>
      <c r="M2642" s="213">
        <f>IFERROR(__xludf.DUMMYFUNCTION("""COMPUTED_VALUE"""),1.0)</f>
        <v>1</v>
      </c>
      <c r="N2642" s="213">
        <f>IFERROR(__xludf.DUMMYFUNCTION("""COMPUTED_VALUE"""),1.0)</f>
        <v>1</v>
      </c>
      <c r="O2642" s="213">
        <f>IFERROR(__xludf.DUMMYFUNCTION("""COMPUTED_VALUE"""),1.0)</f>
        <v>1</v>
      </c>
      <c r="P2642" s="213"/>
      <c r="Q2642" s="213"/>
      <c r="R2642" s="213"/>
      <c r="S2642" s="213"/>
      <c r="T2642" s="213"/>
      <c r="U2642" s="213"/>
      <c r="V2642" s="213"/>
      <c r="W2642" s="213"/>
      <c r="X2642" s="213"/>
      <c r="Y2642" s="213"/>
      <c r="Z2642" s="213"/>
      <c r="AA2642" s="213"/>
      <c r="AB2642" s="213"/>
      <c r="AC2642" s="213"/>
      <c r="AD2642" s="213"/>
      <c r="AE2642" s="213"/>
      <c r="AF2642" s="213"/>
      <c r="AG2642" s="213"/>
      <c r="AH2642" s="213"/>
      <c r="AI2642" s="213"/>
      <c r="AJ2642" s="213"/>
      <c r="AK2642" s="213"/>
      <c r="AL2642" s="213"/>
      <c r="AM2642" s="213"/>
      <c r="AN2642" s="213"/>
      <c r="AO2642" s="213"/>
      <c r="AP2642" s="213"/>
      <c r="AQ2642" s="213"/>
      <c r="AR2642" s="213"/>
      <c r="AS2642" s="213"/>
      <c r="AT2642" s="213"/>
      <c r="AU2642" s="213"/>
      <c r="AV2642" s="213"/>
      <c r="AW2642" s="213"/>
      <c r="AX2642" s="213"/>
      <c r="AY2642" s="213"/>
      <c r="AZ2642" s="213"/>
      <c r="BA2642" s="213"/>
      <c r="BB2642" s="213"/>
      <c r="BC2642" s="213"/>
      <c r="BD2642" s="213"/>
    </row>
    <row r="2643">
      <c r="A2643" s="213">
        <f>IFERROR(__xludf.DUMMYFUNCTION("""COMPUTED_VALUE"""),2327.0)</f>
        <v>2327</v>
      </c>
      <c r="B2643" s="213" t="str">
        <f>IFERROR(__xludf.DUMMYFUNCTION("""COMPUTED_VALUE"""),"JOSE GRANDA")</f>
        <v>JOSE GRANDA</v>
      </c>
      <c r="C2643" s="213" t="str">
        <f>IFERROR(__xludf.DUMMYFUNCTION("""COMPUTED_VALUE"""),"TALLER SFT DE MECÁNICA AUTOMOTRIZ")</f>
        <v>TALLER SFT DE MECÁNICA AUTOMOTRIZ</v>
      </c>
      <c r="D2643" s="213" t="str">
        <f>IFERROR(__xludf.DUMMYFUNCTION("""COMPUTED_VALUE"""),"PEDAGOGICO")</f>
        <v>PEDAGOGICO</v>
      </c>
      <c r="E2643" s="213" t="str">
        <f>IFERROR(__xludf.DUMMYFUNCTION("""COMPUTED_VALUE"""),"MAT-486")</f>
        <v>MAT-486</v>
      </c>
      <c r="F2643" s="213" t="str">
        <f>IFERROR(__xludf.DUMMYFUNCTION("""COMPUTED_VALUE"""),"MAT-486")</f>
        <v>MAT-486</v>
      </c>
      <c r="G2643" s="213"/>
      <c r="H2643" s="213" t="str">
        <f>IFERROR(__xludf.DUMMYFUNCTION("""COMPUTED_VALUE"""),"VIDEOS TUTORIALES DEL MANTENIMIENTO DEL MOTOR GASOLINA Y MOTOR DIESEL, GRABADO EN USB")</f>
        <v>VIDEOS TUTORIALES DEL MANTENIMIENTO DEL MOTOR GASOLINA Y MOTOR DIESEL, GRABADO EN USB</v>
      </c>
      <c r="I2643" s="213" t="str">
        <f>IFERROR(__xludf.DUMMYFUNCTION("""COMPUTED_VALUE"""),"Calidad física
· El USB tiene la capacidad de mínimo 32 GB, para almacenar la información en videos tutoriales del uso pedadógico del mantenimiento  del motor  gasolina y motor Diesel.
· Video grabado USB tiene 3 tipos de conectores: para conectarse con l"&amp;"a PC, Tablet y móvil (conector USB 3.0, conector micro USB, conector tipo C).
· Video grabado en formato MP4 / AVI, en alta resolución 4K o HD
· El video tendrá una duración de  20 minutos como mínimo. Dividido en dos secciones de 10 minutos
· Calidad ped"&amp;"agógica.
·  La primera sección presenta el video de mantenimiento del motor de gasolina
·  La segunda sección presenta el video de mantenimiento del motor diésel
·  Cada sección presentará la descripción y partes, fallas comunes y procesos de mantenimient"&amp;"o del motor
·   Cada sección integra imágenes, sonido, video y textos de manera creativa y motivadora para adolescentes de educación secundaria.")</f>
        <v>Calidad física
· El USB tiene la capacidad de mínimo 32 GB, para almacenar la información en videos tutoriales del uso pedadógico del mantenimiento  del motor  gasolina y motor Diesel.
· Video grabado USB tiene 3 tipos de conectores: para conectarse con la PC, Tablet y móvil (conector USB 3.0, conector micro USB, conector tipo C).
· Video grabado en formato MP4 / AVI, en alta resolución 4K o HD
· El video tendrá una duración de  20 minutos como mínimo. Dividido en dos secciones de 10 minutos
· Calidad pedagógica.
·  La primera sección presenta el video de mantenimiento del motor de gasolina
·  La segunda sección presenta el video de mantenimiento del motor diésel
·  Cada sección presentará la descripción y partes, fallas comunes y procesos de mantenimiento del motor
·   Cada sección integra imágenes, sonido, video y textos de manera creativa y motivadora para adolescentes de educación secundaria.</v>
      </c>
      <c r="J2643" s="213">
        <f>IFERROR(__xludf.DUMMYFUNCTION("""COMPUTED_VALUE"""),3.0)</f>
        <v>3</v>
      </c>
      <c r="K2643" s="213" t="str">
        <f>IFERROR(__xludf.DUMMYFUNCTION("""COMPUTED_VALUE"""),"170 DÍAS CALENDARIO")</f>
        <v>170 DÍAS CALENDARIO</v>
      </c>
      <c r="L2643" s="213" t="str">
        <f>IFERROR(__xludf.DUMMYFUNCTION("""COMPUTED_VALUE"""),"")</f>
        <v/>
      </c>
      <c r="M2643" s="213">
        <f>IFERROR(__xludf.DUMMYFUNCTION("""COMPUTED_VALUE"""),1.0)</f>
        <v>1</v>
      </c>
      <c r="N2643" s="213">
        <f>IFERROR(__xludf.DUMMYFUNCTION("""COMPUTED_VALUE"""),1.0)</f>
        <v>1</v>
      </c>
      <c r="O2643" s="213">
        <f>IFERROR(__xludf.DUMMYFUNCTION("""COMPUTED_VALUE"""),1.0)</f>
        <v>1</v>
      </c>
      <c r="P2643" s="213"/>
      <c r="Q2643" s="213"/>
      <c r="R2643" s="213"/>
      <c r="S2643" s="213"/>
      <c r="T2643" s="213"/>
      <c r="U2643" s="213"/>
      <c r="V2643" s="213"/>
      <c r="W2643" s="213"/>
      <c r="X2643" s="213"/>
      <c r="Y2643" s="213"/>
      <c r="Z2643" s="213"/>
      <c r="AA2643" s="213"/>
      <c r="AB2643" s="213"/>
      <c r="AC2643" s="213"/>
      <c r="AD2643" s="213"/>
      <c r="AE2643" s="213"/>
      <c r="AF2643" s="213"/>
      <c r="AG2643" s="213"/>
      <c r="AH2643" s="213"/>
      <c r="AI2643" s="213"/>
      <c r="AJ2643" s="213"/>
      <c r="AK2643" s="213"/>
      <c r="AL2643" s="213"/>
      <c r="AM2643" s="213"/>
      <c r="AN2643" s="213"/>
      <c r="AO2643" s="213"/>
      <c r="AP2643" s="213"/>
      <c r="AQ2643" s="213"/>
      <c r="AR2643" s="213"/>
      <c r="AS2643" s="213"/>
      <c r="AT2643" s="213"/>
      <c r="AU2643" s="213"/>
      <c r="AV2643" s="213"/>
      <c r="AW2643" s="213"/>
      <c r="AX2643" s="213"/>
      <c r="AY2643" s="213"/>
      <c r="AZ2643" s="213"/>
      <c r="BA2643" s="213"/>
      <c r="BB2643" s="213"/>
      <c r="BC2643" s="213"/>
      <c r="BD2643" s="213"/>
    </row>
    <row r="2644">
      <c r="A2644" s="213">
        <f>IFERROR(__xludf.DUMMYFUNCTION("""COMPUTED_VALUE"""),1026.0)</f>
        <v>1026</v>
      </c>
      <c r="B2644" s="213" t="str">
        <f>IFERROR(__xludf.DUMMYFUNCTION("""COMPUTED_VALUE"""),"FRANCISCO IRAZOLA")</f>
        <v>FRANCISCO IRAZOLA</v>
      </c>
      <c r="C2644" s="213" t="str">
        <f>IFERROR(__xludf.DUMMYFUNCTION("""COMPUTED_VALUE"""),"TALLER SFT DE MECÁNICA AUTOMOTRIZ")</f>
        <v>TALLER SFT DE MECÁNICA AUTOMOTRIZ</v>
      </c>
      <c r="D2644" s="213" t="str">
        <f>IFERROR(__xludf.DUMMYFUNCTION("""COMPUTED_VALUE"""),"PEDAGOGICO")</f>
        <v>PEDAGOGICO</v>
      </c>
      <c r="E2644" s="213" t="str">
        <f>IFERROR(__xludf.DUMMYFUNCTION("""COMPUTED_VALUE"""),"MAT-488")</f>
        <v>MAT-488</v>
      </c>
      <c r="F2644" s="213" t="str">
        <f>IFERROR(__xludf.DUMMYFUNCTION("""COMPUTED_VALUE"""),"MAT-488")</f>
        <v>MAT-488</v>
      </c>
      <c r="G2644" s="213"/>
      <c r="H2644" s="213" t="str">
        <f>IFERROR(__xludf.DUMMYFUNCTION("""COMPUTED_VALUE"""),"VIDEOS TUTORIALES DEL MANTENIMIENTO DEL SISTEMAS ELÉCTRICO ELECTRÓNICOS, SISTEMA, CARGA, ARRANQUE")</f>
        <v>VIDEOS TUTORIALES DEL MANTENIMIENTO DEL SISTEMAS ELÉCTRICO ELECTRÓNICOS, SISTEMA, CARGA, ARRANQUE</v>
      </c>
      <c r="I2644" s="213" t="str">
        <f>IFERROR(__xludf.DUMMYFUNCTION("""COMPUTED_VALUE"""),"Calidad física
· El USB tiene la capacidad de mínimo 32 GB, para almacenar la información en videos tutoriales del uso pedadógico del mantenimiento sistema  eléctrico, sistemas electrónicos, sistema carga y arranque.
· Video grabado USB tiene 3 tipos de c"&amp;"onectores: para conectarse con la PC, Tablet y móvil (conector USB 3.0, conector micro USB, conector tipo C).
· Video grabado en formato MP4 / AVI, en alta resolución 4K o HD
· El video tendrá una duración de  20 minutos como mínimo. Dividido en dos secci"&amp;"ones de 10 minutos
· Calidad pedagógica.
· La primera sección presenta el video de mantenimiento del sistema eléctrico - electrónico
· La segunda sección presenta el video de mantenimiento del sistema carga y arranque
·  Cada sección presentará la descrip"&amp;"ción y partes, fallas comunes y procesos de mantenimiento del sistema eléctrico- electrónico y del sistema de carga y arranque
·  Cada sección integra imágenes, sonido, video y textos de manera creativa y motivadora para adolescentes de educación secundar"&amp;"ia.")</f>
        <v>Calidad física
· El USB tiene la capacidad de mínimo 32 GB, para almacenar la información en videos tutoriales del uso pedadógico del mantenimiento sistema  eléctrico, sistemas electrónicos, sistema carga y arranque.
· Video grabado USB tiene 3 tipos de conectores: para conectarse con la PC, Tablet y móvil (conector USB 3.0, conector micro USB, conector tipo C).
· Video grabado en formato MP4 / AVI, en alta resolución 4K o HD
· El video tendrá una duración de  20 minutos como mínimo. Dividido en dos secciones de 10 minutos
· Calidad pedagógica.
· La primera sección presenta el video de mantenimiento del sistema eléctrico - electrónico
· La segunda sección presenta el video de mantenimiento del sistema carga y arranque
·  Cada sección presentará la descripción y partes, fallas comunes y procesos de mantenimiento del sistema eléctrico- electrónico y del sistema de carga y arranque
·  Cada sección integra imágenes, sonido, video y textos de manera creativa y motivadora para adolescentes de educación secundaria.</v>
      </c>
      <c r="J2644" s="213">
        <f>IFERROR(__xludf.DUMMYFUNCTION("""COMPUTED_VALUE"""),3.0)</f>
        <v>3</v>
      </c>
      <c r="K2644" s="213" t="str">
        <f>IFERROR(__xludf.DUMMYFUNCTION("""COMPUTED_VALUE"""),"170 DÍAS CALENDARIO")</f>
        <v>170 DÍAS CALENDARIO</v>
      </c>
      <c r="L2644" s="213" t="str">
        <f>IFERROR(__xludf.DUMMYFUNCTION("""COMPUTED_VALUE"""),"")</f>
        <v/>
      </c>
      <c r="M2644" s="213">
        <f>IFERROR(__xludf.DUMMYFUNCTION("""COMPUTED_VALUE"""),1.0)</f>
        <v>1</v>
      </c>
      <c r="N2644" s="213">
        <f>IFERROR(__xludf.DUMMYFUNCTION("""COMPUTED_VALUE"""),1.0)</f>
        <v>1</v>
      </c>
      <c r="O2644" s="213">
        <f>IFERROR(__xludf.DUMMYFUNCTION("""COMPUTED_VALUE"""),1.0)</f>
        <v>1</v>
      </c>
      <c r="P2644" s="213"/>
      <c r="Q2644" s="213"/>
      <c r="R2644" s="213"/>
      <c r="S2644" s="213"/>
      <c r="T2644" s="213"/>
      <c r="U2644" s="213"/>
      <c r="V2644" s="213"/>
      <c r="W2644" s="213"/>
      <c r="X2644" s="213"/>
      <c r="Y2644" s="213"/>
      <c r="Z2644" s="213"/>
      <c r="AA2644" s="213"/>
      <c r="AB2644" s="213"/>
      <c r="AC2644" s="213"/>
      <c r="AD2644" s="213"/>
      <c r="AE2644" s="213"/>
      <c r="AF2644" s="213"/>
      <c r="AG2644" s="213"/>
      <c r="AH2644" s="213"/>
      <c r="AI2644" s="213"/>
      <c r="AJ2644" s="213"/>
      <c r="AK2644" s="213"/>
      <c r="AL2644" s="213"/>
      <c r="AM2644" s="213"/>
      <c r="AN2644" s="213"/>
      <c r="AO2644" s="213"/>
      <c r="AP2644" s="213"/>
      <c r="AQ2644" s="213"/>
      <c r="AR2644" s="213"/>
      <c r="AS2644" s="213"/>
      <c r="AT2644" s="213"/>
      <c r="AU2644" s="213"/>
      <c r="AV2644" s="213"/>
      <c r="AW2644" s="213"/>
      <c r="AX2644" s="213"/>
      <c r="AY2644" s="213"/>
      <c r="AZ2644" s="213"/>
      <c r="BA2644" s="213"/>
      <c r="BB2644" s="213"/>
      <c r="BC2644" s="213"/>
      <c r="BD2644" s="213"/>
    </row>
    <row r="2645">
      <c r="A2645" s="213">
        <f>IFERROR(__xludf.DUMMYFUNCTION("""COMPUTED_VALUE"""),1631.0)</f>
        <v>1631</v>
      </c>
      <c r="B2645" s="213" t="str">
        <f>IFERROR(__xludf.DUMMYFUNCTION("""COMPUTED_VALUE"""),"GUILLERMO E. BILLINGHURST ")</f>
        <v>GUILLERMO E. BILLINGHURST </v>
      </c>
      <c r="C2645" s="213" t="str">
        <f>IFERROR(__xludf.DUMMYFUNCTION("""COMPUTED_VALUE"""),"TALLER SFT DE MECÁNICA AUTOMOTRIZ")</f>
        <v>TALLER SFT DE MECÁNICA AUTOMOTRIZ</v>
      </c>
      <c r="D2645" s="213" t="str">
        <f>IFERROR(__xludf.DUMMYFUNCTION("""COMPUTED_VALUE"""),"PEDAGOGICO")</f>
        <v>PEDAGOGICO</v>
      </c>
      <c r="E2645" s="213" t="str">
        <f>IFERROR(__xludf.DUMMYFUNCTION("""COMPUTED_VALUE"""),"MAT-488")</f>
        <v>MAT-488</v>
      </c>
      <c r="F2645" s="213" t="str">
        <f>IFERROR(__xludf.DUMMYFUNCTION("""COMPUTED_VALUE"""),"MAT-488")</f>
        <v>MAT-488</v>
      </c>
      <c r="G2645" s="213"/>
      <c r="H2645" s="213" t="str">
        <f>IFERROR(__xludf.DUMMYFUNCTION("""COMPUTED_VALUE"""),"VIDEOS TUTORIALES DEL MANTENIMIENTO DEL SISTEMAS ELÉCTRICO ELECTRÓNICOS, SISTEMA, CARGA, ARRANQUE")</f>
        <v>VIDEOS TUTORIALES DEL MANTENIMIENTO DEL SISTEMAS ELÉCTRICO ELECTRÓNICOS, SISTEMA, CARGA, ARRANQUE</v>
      </c>
      <c r="I2645" s="213" t="str">
        <f>IFERROR(__xludf.DUMMYFUNCTION("""COMPUTED_VALUE"""),"Calidad física
· El USB tiene la capacidad de mínimo 32 GB, para almacenar la información en videos tutoriales del uso pedadógico del mantenimiento sistema  eléctrico, sistemas electrónicos, sistema carga y arranque.
· Video grabado USB tiene 3 tipos de c"&amp;"onectores: para conectarse con la PC, Tablet y móvil (conector USB 3.0, conector micro USB, conector tipo C).
· Video grabado en formato MP4 / AVI, en alta resolución 4K o HD
· El video tendrá una duración de  20 minutos como mínimo. Dividido en dos secci"&amp;"ones de 10 minutos
· Calidad pedagógica.
· La primera sección presenta el video de mantenimiento del sistema eléctrico - electrónico
· La segunda sección presenta el video de mantenimiento del sistema carga y arranque
·  Cada sección presentará la descrip"&amp;"ción y partes, fallas comunes y procesos de mantenimiento del sistema eléctrico- electrónico y del sistema de carga y arranque
·  Cada sección integra imágenes, sonido, video y textos de manera creativa y motivadora para adolescentes de educación secundar"&amp;"ia.")</f>
        <v>Calidad física
· El USB tiene la capacidad de mínimo 32 GB, para almacenar la información en videos tutoriales del uso pedadógico del mantenimiento sistema  eléctrico, sistemas electrónicos, sistema carga y arranque.
· Video grabado USB tiene 3 tipos de conectores: para conectarse con la PC, Tablet y móvil (conector USB 3.0, conector micro USB, conector tipo C).
· Video grabado en formato MP4 / AVI, en alta resolución 4K o HD
· El video tendrá una duración de  20 minutos como mínimo. Dividido en dos secciones de 10 minutos
· Calidad pedagógica.
· La primera sección presenta el video de mantenimiento del sistema eléctrico - electrónico
· La segunda sección presenta el video de mantenimiento del sistema carga y arranque
·  Cada sección presentará la descripción y partes, fallas comunes y procesos de mantenimiento del sistema eléctrico- electrónico y del sistema de carga y arranque
·  Cada sección integra imágenes, sonido, video y textos de manera creativa y motivadora para adolescentes de educación secundaria.</v>
      </c>
      <c r="J2645" s="213">
        <f>IFERROR(__xludf.DUMMYFUNCTION("""COMPUTED_VALUE"""),3.0)</f>
        <v>3</v>
      </c>
      <c r="K2645" s="213" t="str">
        <f>IFERROR(__xludf.DUMMYFUNCTION("""COMPUTED_VALUE"""),"170 DÍAS CALENDARIO")</f>
        <v>170 DÍAS CALENDARIO</v>
      </c>
      <c r="L2645" s="213" t="str">
        <f>IFERROR(__xludf.DUMMYFUNCTION("""COMPUTED_VALUE"""),"")</f>
        <v/>
      </c>
      <c r="M2645" s="213">
        <f>IFERROR(__xludf.DUMMYFUNCTION("""COMPUTED_VALUE"""),1.0)</f>
        <v>1</v>
      </c>
      <c r="N2645" s="213">
        <f>IFERROR(__xludf.DUMMYFUNCTION("""COMPUTED_VALUE"""),1.0)</f>
        <v>1</v>
      </c>
      <c r="O2645" s="213">
        <f>IFERROR(__xludf.DUMMYFUNCTION("""COMPUTED_VALUE"""),1.0)</f>
        <v>1</v>
      </c>
      <c r="P2645" s="213"/>
      <c r="Q2645" s="213"/>
      <c r="R2645" s="213"/>
      <c r="S2645" s="213"/>
      <c r="T2645" s="213"/>
      <c r="U2645" s="213"/>
      <c r="V2645" s="213"/>
      <c r="W2645" s="213"/>
      <c r="X2645" s="213"/>
      <c r="Y2645" s="213"/>
      <c r="Z2645" s="213"/>
      <c r="AA2645" s="213"/>
      <c r="AB2645" s="213"/>
      <c r="AC2645" s="213"/>
      <c r="AD2645" s="213"/>
      <c r="AE2645" s="213"/>
      <c r="AF2645" s="213"/>
      <c r="AG2645" s="213"/>
      <c r="AH2645" s="213"/>
      <c r="AI2645" s="213"/>
      <c r="AJ2645" s="213"/>
      <c r="AK2645" s="213"/>
      <c r="AL2645" s="213"/>
      <c r="AM2645" s="213"/>
      <c r="AN2645" s="213"/>
      <c r="AO2645" s="213"/>
      <c r="AP2645" s="213"/>
      <c r="AQ2645" s="213"/>
      <c r="AR2645" s="213"/>
      <c r="AS2645" s="213"/>
      <c r="AT2645" s="213"/>
      <c r="AU2645" s="213"/>
      <c r="AV2645" s="213"/>
      <c r="AW2645" s="213"/>
      <c r="AX2645" s="213"/>
      <c r="AY2645" s="213"/>
      <c r="AZ2645" s="213"/>
      <c r="BA2645" s="213"/>
      <c r="BB2645" s="213"/>
      <c r="BC2645" s="213"/>
      <c r="BD2645" s="213"/>
    </row>
    <row r="2646">
      <c r="A2646" s="213">
        <f>IFERROR(__xludf.DUMMYFUNCTION("""COMPUTED_VALUE"""),2322.0)</f>
        <v>2322</v>
      </c>
      <c r="B2646" s="213" t="str">
        <f>IFERROR(__xludf.DUMMYFUNCTION("""COMPUTED_VALUE"""),"JOSE GRANDA")</f>
        <v>JOSE GRANDA</v>
      </c>
      <c r="C2646" s="213" t="str">
        <f>IFERROR(__xludf.DUMMYFUNCTION("""COMPUTED_VALUE"""),"TALLER SFT DE MECÁNICA AUTOMOTRIZ")</f>
        <v>TALLER SFT DE MECÁNICA AUTOMOTRIZ</v>
      </c>
      <c r="D2646" s="213" t="str">
        <f>IFERROR(__xludf.DUMMYFUNCTION("""COMPUTED_VALUE"""),"PEDAGOGICO")</f>
        <v>PEDAGOGICO</v>
      </c>
      <c r="E2646" s="213" t="str">
        <f>IFERROR(__xludf.DUMMYFUNCTION("""COMPUTED_VALUE"""),"MAT-488")</f>
        <v>MAT-488</v>
      </c>
      <c r="F2646" s="213" t="str">
        <f>IFERROR(__xludf.DUMMYFUNCTION("""COMPUTED_VALUE"""),"MAT-488")</f>
        <v>MAT-488</v>
      </c>
      <c r="G2646" s="213"/>
      <c r="H2646" s="213" t="str">
        <f>IFERROR(__xludf.DUMMYFUNCTION("""COMPUTED_VALUE"""),"VIDEOS TUTORIALES DEL MANTENIMIENTO DEL SISTEMAS ELÉCTRICO ELECTRÓNICOS, SISTEMA, CARGA, ARRANQUE")</f>
        <v>VIDEOS TUTORIALES DEL MANTENIMIENTO DEL SISTEMAS ELÉCTRICO ELECTRÓNICOS, SISTEMA, CARGA, ARRANQUE</v>
      </c>
      <c r="I2646" s="213" t="str">
        <f>IFERROR(__xludf.DUMMYFUNCTION("""COMPUTED_VALUE"""),"Calidad física
· El USB tiene la capacidad de mínimo 32 GB, para almacenar la información en videos tutoriales del uso pedadógico del mantenimiento sistema  eléctrico, sistemas electrónicos, sistema carga y arranque.
· Video grabado USB tiene 3 tipos de c"&amp;"onectores: para conectarse con la PC, Tablet y móvil (conector USB 3.0, conector micro USB, conector tipo C).
· Video grabado en formato MP4 / AVI, en alta resolución 4K o HD
· El video tendrá una duración de  20 minutos como mínimo. Dividido en dos secci"&amp;"ones de 10 minutos
· Calidad pedagógica.
· La primera sección presenta el video de mantenimiento del sistema eléctrico - electrónico
· La segunda sección presenta el video de mantenimiento del sistema carga y arranque
·  Cada sección presentará la descrip"&amp;"ción y partes, fallas comunes y procesos de mantenimiento del sistema eléctrico- electrónico y del sistema de carga y arranque
·  Cada sección integra imágenes, sonido, video y textos de manera creativa y motivadora para adolescentes de educación secundar"&amp;"ia.")</f>
        <v>Calidad física
· El USB tiene la capacidad de mínimo 32 GB, para almacenar la información en videos tutoriales del uso pedadógico del mantenimiento sistema  eléctrico, sistemas electrónicos, sistema carga y arranque.
· Video grabado USB tiene 3 tipos de conectores: para conectarse con la PC, Tablet y móvil (conector USB 3.0, conector micro USB, conector tipo C).
· Video grabado en formato MP4 / AVI, en alta resolución 4K o HD
· El video tendrá una duración de  20 minutos como mínimo. Dividido en dos secciones de 10 minutos
· Calidad pedagógica.
· La primera sección presenta el video de mantenimiento del sistema eléctrico - electrónico
· La segunda sección presenta el video de mantenimiento del sistema carga y arranque
·  Cada sección presentará la descripción y partes, fallas comunes y procesos de mantenimiento del sistema eléctrico- electrónico y del sistema de carga y arranque
·  Cada sección integra imágenes, sonido, video y textos de manera creativa y motivadora para adolescentes de educación secundaria.</v>
      </c>
      <c r="J2646" s="213">
        <f>IFERROR(__xludf.DUMMYFUNCTION("""COMPUTED_VALUE"""),3.0)</f>
        <v>3</v>
      </c>
      <c r="K2646" s="213" t="str">
        <f>IFERROR(__xludf.DUMMYFUNCTION("""COMPUTED_VALUE"""),"170 DÍAS CALENDARIO")</f>
        <v>170 DÍAS CALENDARIO</v>
      </c>
      <c r="L2646" s="213" t="str">
        <f>IFERROR(__xludf.DUMMYFUNCTION("""COMPUTED_VALUE"""),"")</f>
        <v/>
      </c>
      <c r="M2646" s="213">
        <f>IFERROR(__xludf.DUMMYFUNCTION("""COMPUTED_VALUE"""),1.0)</f>
        <v>1</v>
      </c>
      <c r="N2646" s="213">
        <f>IFERROR(__xludf.DUMMYFUNCTION("""COMPUTED_VALUE"""),1.0)</f>
        <v>1</v>
      </c>
      <c r="O2646" s="213">
        <f>IFERROR(__xludf.DUMMYFUNCTION("""COMPUTED_VALUE"""),1.0)</f>
        <v>1</v>
      </c>
      <c r="P2646" s="213"/>
      <c r="Q2646" s="213"/>
      <c r="R2646" s="213"/>
      <c r="S2646" s="213"/>
      <c r="T2646" s="213"/>
      <c r="U2646" s="213"/>
      <c r="V2646" s="213"/>
      <c r="W2646" s="213"/>
      <c r="X2646" s="213"/>
      <c r="Y2646" s="213"/>
      <c r="Z2646" s="213"/>
      <c r="AA2646" s="213"/>
      <c r="AB2646" s="213"/>
      <c r="AC2646" s="213"/>
      <c r="AD2646" s="213"/>
      <c r="AE2646" s="213"/>
      <c r="AF2646" s="213"/>
      <c r="AG2646" s="213"/>
      <c r="AH2646" s="213"/>
      <c r="AI2646" s="213"/>
      <c r="AJ2646" s="213"/>
      <c r="AK2646" s="213"/>
      <c r="AL2646" s="213"/>
      <c r="AM2646" s="213"/>
      <c r="AN2646" s="213"/>
      <c r="AO2646" s="213"/>
      <c r="AP2646" s="213"/>
      <c r="AQ2646" s="213"/>
      <c r="AR2646" s="213"/>
      <c r="AS2646" s="213"/>
      <c r="AT2646" s="213"/>
      <c r="AU2646" s="213"/>
      <c r="AV2646" s="213"/>
      <c r="AW2646" s="213"/>
      <c r="AX2646" s="213"/>
      <c r="AY2646" s="213"/>
      <c r="AZ2646" s="213"/>
      <c r="BA2646" s="213"/>
      <c r="BB2646" s="213"/>
      <c r="BC2646" s="213"/>
      <c r="BD2646" s="213"/>
    </row>
    <row r="2647">
      <c r="A2647" s="213">
        <f>IFERROR(__xludf.DUMMYFUNCTION("""COMPUTED_VALUE"""),1022.0)</f>
        <v>1022</v>
      </c>
      <c r="B2647" s="213" t="str">
        <f>IFERROR(__xludf.DUMMYFUNCTION("""COMPUTED_VALUE"""),"FRANCISCO IRAZOLA")</f>
        <v>FRANCISCO IRAZOLA</v>
      </c>
      <c r="C2647" s="213" t="str">
        <f>IFERROR(__xludf.DUMMYFUNCTION("""COMPUTED_VALUE"""),"TALLER SFT DE MECÁNICA AUTOMOTRIZ")</f>
        <v>TALLER SFT DE MECÁNICA AUTOMOTRIZ</v>
      </c>
      <c r="D2647" s="213" t="str">
        <f>IFERROR(__xludf.DUMMYFUNCTION("""COMPUTED_VALUE"""),"PEDAGOGICO")</f>
        <v>PEDAGOGICO</v>
      </c>
      <c r="E2647" s="213" t="str">
        <f>IFERROR(__xludf.DUMMYFUNCTION("""COMPUTED_VALUE"""),"MAT-489")</f>
        <v>MAT-489</v>
      </c>
      <c r="F2647" s="213" t="str">
        <f>IFERROR(__xludf.DUMMYFUNCTION("""COMPUTED_VALUE"""),"MAT-489")</f>
        <v>MAT-489</v>
      </c>
      <c r="G2647" s="213"/>
      <c r="H2647" s="213" t="str">
        <f>IFERROR(__xludf.DUMMYFUNCTION("""COMPUTED_VALUE"""),"VIDEOS TUTORIALES DEL MANTENIMIENTO SISTEMA DE TRANSMISIÓN DE POTENCIA, GRABADO EN USB")</f>
        <v>VIDEOS TUTORIALES DEL MANTENIMIENTO SISTEMA DE TRANSMISIÓN DE POTENCIA, GRABADO EN USB</v>
      </c>
      <c r="I2647" s="213" t="str">
        <f>IFERROR(__xludf.DUMMYFUNCTION("""COMPUTED_VALUE"""),"Calidad física
· El USB tiene la capacidad de mínimo 32 GB, para almacenar la información en videos tutoriales del uso pedadógico del mantenimiento sistema  de transmisión de potencia.
· Video grabado USB tiene 3 tipos de conectores: para conectarse con l"&amp;"a PC, Tablet y móvil (conector USB 3.0, conector micro USB, conector tipo C).
· Video grabado en formato MP4 / AVI, en alta resolución 4K o HD
· El video tendrá una duración de  20 minutos como mínimo.
· Calidad pedagógica.
·  Presenta el video tutorial l"&amp;"as partes y principios de funcionamiento del sistema de transmisión de potencia
·  Presenta los procesos de mantenimiento del sistema de transmisión de potencia
·  Cada sección integra imágenes, sonido, video y textos de manera creativa y motivadora para "&amp;"adolescentes de educación secundaria.")</f>
        <v>Calidad física
· El USB tiene la capacidad de mínimo 32 GB, para almacenar la información en videos tutoriales del uso pedadógico del mantenimiento sistema  de transmisión de potencia.
· Video grabado USB tiene 3 tipos de conectores: para conectarse con la PC, Tablet y móvil (conector USB 3.0, conector micro USB, conector tipo C).
· Video grabado en formato MP4 / AVI, en alta resolución 4K o HD
· El video tendrá una duración de  20 minutos como mínimo.
· Calidad pedagógica.
·  Presenta el video tutorial las partes y principios de funcionamiento del sistema de transmisión de potencia
·  Presenta los procesos de mantenimiento del sistema de transmisión de potencia
·  Cada sección integra imágenes, sonido, video y textos de manera creativa y motivadora para adolescentes de educación secundaria.</v>
      </c>
      <c r="J2647" s="213">
        <f>IFERROR(__xludf.DUMMYFUNCTION("""COMPUTED_VALUE"""),3.0)</f>
        <v>3</v>
      </c>
      <c r="K2647" s="213" t="str">
        <f>IFERROR(__xludf.DUMMYFUNCTION("""COMPUTED_VALUE"""),"170 DÍAS CALENDARIO")</f>
        <v>170 DÍAS CALENDARIO</v>
      </c>
      <c r="L2647" s="213" t="str">
        <f>IFERROR(__xludf.DUMMYFUNCTION("""COMPUTED_VALUE"""),"")</f>
        <v/>
      </c>
      <c r="M2647" s="213">
        <f>IFERROR(__xludf.DUMMYFUNCTION("""COMPUTED_VALUE"""),1.0)</f>
        <v>1</v>
      </c>
      <c r="N2647" s="213">
        <f>IFERROR(__xludf.DUMMYFUNCTION("""COMPUTED_VALUE"""),1.0)</f>
        <v>1</v>
      </c>
      <c r="O2647" s="213">
        <f>IFERROR(__xludf.DUMMYFUNCTION("""COMPUTED_VALUE"""),1.0)</f>
        <v>1</v>
      </c>
      <c r="P2647" s="213"/>
      <c r="Q2647" s="213"/>
      <c r="R2647" s="213"/>
      <c r="S2647" s="213"/>
      <c r="T2647" s="213"/>
      <c r="U2647" s="213"/>
      <c r="V2647" s="213"/>
      <c r="W2647" s="213"/>
      <c r="X2647" s="213"/>
      <c r="Y2647" s="213"/>
      <c r="Z2647" s="213"/>
      <c r="AA2647" s="213"/>
      <c r="AB2647" s="213"/>
      <c r="AC2647" s="213"/>
      <c r="AD2647" s="213"/>
      <c r="AE2647" s="213"/>
      <c r="AF2647" s="213"/>
      <c r="AG2647" s="213"/>
      <c r="AH2647" s="213"/>
      <c r="AI2647" s="213"/>
      <c r="AJ2647" s="213"/>
      <c r="AK2647" s="213"/>
      <c r="AL2647" s="213"/>
      <c r="AM2647" s="213"/>
      <c r="AN2647" s="213"/>
      <c r="AO2647" s="213"/>
      <c r="AP2647" s="213"/>
      <c r="AQ2647" s="213"/>
      <c r="AR2647" s="213"/>
      <c r="AS2647" s="213"/>
      <c r="AT2647" s="213"/>
      <c r="AU2647" s="213"/>
      <c r="AV2647" s="213"/>
      <c r="AW2647" s="213"/>
      <c r="AX2647" s="213"/>
      <c r="AY2647" s="213"/>
      <c r="AZ2647" s="213"/>
      <c r="BA2647" s="213"/>
      <c r="BB2647" s="213"/>
      <c r="BC2647" s="213"/>
      <c r="BD2647" s="213"/>
    </row>
    <row r="2648">
      <c r="A2648" s="213">
        <f>IFERROR(__xludf.DUMMYFUNCTION("""COMPUTED_VALUE"""),1627.0)</f>
        <v>1627</v>
      </c>
      <c r="B2648" s="213" t="str">
        <f>IFERROR(__xludf.DUMMYFUNCTION("""COMPUTED_VALUE"""),"GUILLERMO E. BILLINGHURST ")</f>
        <v>GUILLERMO E. BILLINGHURST </v>
      </c>
      <c r="C2648" s="213" t="str">
        <f>IFERROR(__xludf.DUMMYFUNCTION("""COMPUTED_VALUE"""),"TALLER SFT DE MECÁNICA AUTOMOTRIZ")</f>
        <v>TALLER SFT DE MECÁNICA AUTOMOTRIZ</v>
      </c>
      <c r="D2648" s="213" t="str">
        <f>IFERROR(__xludf.DUMMYFUNCTION("""COMPUTED_VALUE"""),"PEDAGOGICO")</f>
        <v>PEDAGOGICO</v>
      </c>
      <c r="E2648" s="213" t="str">
        <f>IFERROR(__xludf.DUMMYFUNCTION("""COMPUTED_VALUE"""),"MAT-489")</f>
        <v>MAT-489</v>
      </c>
      <c r="F2648" s="213" t="str">
        <f>IFERROR(__xludf.DUMMYFUNCTION("""COMPUTED_VALUE"""),"MAT-489")</f>
        <v>MAT-489</v>
      </c>
      <c r="G2648" s="213"/>
      <c r="H2648" s="213" t="str">
        <f>IFERROR(__xludf.DUMMYFUNCTION("""COMPUTED_VALUE"""),"VIDEOS TUTORIALES DEL MANTENIMIENTO SISTEMA DE TRANSMISIÓN DE POTENCIA, GRABADO EN USB")</f>
        <v>VIDEOS TUTORIALES DEL MANTENIMIENTO SISTEMA DE TRANSMISIÓN DE POTENCIA, GRABADO EN USB</v>
      </c>
      <c r="I2648" s="213" t="str">
        <f>IFERROR(__xludf.DUMMYFUNCTION("""COMPUTED_VALUE"""),"Calidad física
· El USB tiene la capacidad de mínimo 32 GB, para almacenar la información en videos tutoriales del uso pedadógico del mantenimiento sistema  de transmisión de potencia.
· Video grabado USB tiene 3 tipos de conectores: para conectarse con l"&amp;"a PC, Tablet y móvil (conector USB 3.0, conector micro USB, conector tipo C).
· Video grabado en formato MP4 / AVI, en alta resolución 4K o HD
· El video tendrá una duración de  20 minutos como mínimo.
· Calidad pedagógica.
·  Presenta el video tutorial l"&amp;"as partes y principios de funcionamiento del sistema de transmisión de potencia
·  Presenta los procesos de mantenimiento del sistema de transmisión de potencia
·  Cada sección integra imágenes, sonido, video y textos de manera creativa y motivadora para "&amp;"adolescentes de educación secundaria.")</f>
        <v>Calidad física
· El USB tiene la capacidad de mínimo 32 GB, para almacenar la información en videos tutoriales del uso pedadógico del mantenimiento sistema  de transmisión de potencia.
· Video grabado USB tiene 3 tipos de conectores: para conectarse con la PC, Tablet y móvil (conector USB 3.0, conector micro USB, conector tipo C).
· Video grabado en formato MP4 / AVI, en alta resolución 4K o HD
· El video tendrá una duración de  20 minutos como mínimo.
· Calidad pedagógica.
·  Presenta el video tutorial las partes y principios de funcionamiento del sistema de transmisión de potencia
·  Presenta los procesos de mantenimiento del sistema de transmisión de potencia
·  Cada sección integra imágenes, sonido, video y textos de manera creativa y motivadora para adolescentes de educación secundaria.</v>
      </c>
      <c r="J2648" s="213">
        <f>IFERROR(__xludf.DUMMYFUNCTION("""COMPUTED_VALUE"""),3.0)</f>
        <v>3</v>
      </c>
      <c r="K2648" s="213" t="str">
        <f>IFERROR(__xludf.DUMMYFUNCTION("""COMPUTED_VALUE"""),"170 DÍAS CALENDARIO")</f>
        <v>170 DÍAS CALENDARIO</v>
      </c>
      <c r="L2648" s="213" t="str">
        <f>IFERROR(__xludf.DUMMYFUNCTION("""COMPUTED_VALUE"""),"")</f>
        <v/>
      </c>
      <c r="M2648" s="213">
        <f>IFERROR(__xludf.DUMMYFUNCTION("""COMPUTED_VALUE"""),1.0)</f>
        <v>1</v>
      </c>
      <c r="N2648" s="213">
        <f>IFERROR(__xludf.DUMMYFUNCTION("""COMPUTED_VALUE"""),1.0)</f>
        <v>1</v>
      </c>
      <c r="O2648" s="213">
        <f>IFERROR(__xludf.DUMMYFUNCTION("""COMPUTED_VALUE"""),1.0)</f>
        <v>1</v>
      </c>
      <c r="P2648" s="213"/>
      <c r="Q2648" s="213"/>
      <c r="R2648" s="213"/>
      <c r="S2648" s="213"/>
      <c r="T2648" s="213"/>
      <c r="U2648" s="213"/>
      <c r="V2648" s="213"/>
      <c r="W2648" s="213"/>
      <c r="X2648" s="213"/>
      <c r="Y2648" s="213"/>
      <c r="Z2648" s="213"/>
      <c r="AA2648" s="213"/>
      <c r="AB2648" s="213"/>
      <c r="AC2648" s="213"/>
      <c r="AD2648" s="213"/>
      <c r="AE2648" s="213"/>
      <c r="AF2648" s="213"/>
      <c r="AG2648" s="213"/>
      <c r="AH2648" s="213"/>
      <c r="AI2648" s="213"/>
      <c r="AJ2648" s="213"/>
      <c r="AK2648" s="213"/>
      <c r="AL2648" s="213"/>
      <c r="AM2648" s="213"/>
      <c r="AN2648" s="213"/>
      <c r="AO2648" s="213"/>
      <c r="AP2648" s="213"/>
      <c r="AQ2648" s="213"/>
      <c r="AR2648" s="213"/>
      <c r="AS2648" s="213"/>
      <c r="AT2648" s="213"/>
      <c r="AU2648" s="213"/>
      <c r="AV2648" s="213"/>
      <c r="AW2648" s="213"/>
      <c r="AX2648" s="213"/>
      <c r="AY2648" s="213"/>
      <c r="AZ2648" s="213"/>
      <c r="BA2648" s="213"/>
      <c r="BB2648" s="213"/>
      <c r="BC2648" s="213"/>
      <c r="BD2648" s="213"/>
    </row>
    <row r="2649">
      <c r="A2649" s="213">
        <f>IFERROR(__xludf.DUMMYFUNCTION("""COMPUTED_VALUE"""),2318.0)</f>
        <v>2318</v>
      </c>
      <c r="B2649" s="213" t="str">
        <f>IFERROR(__xludf.DUMMYFUNCTION("""COMPUTED_VALUE"""),"JOSE GRANDA")</f>
        <v>JOSE GRANDA</v>
      </c>
      <c r="C2649" s="213" t="str">
        <f>IFERROR(__xludf.DUMMYFUNCTION("""COMPUTED_VALUE"""),"TALLER SFT DE MECÁNICA AUTOMOTRIZ")</f>
        <v>TALLER SFT DE MECÁNICA AUTOMOTRIZ</v>
      </c>
      <c r="D2649" s="213" t="str">
        <f>IFERROR(__xludf.DUMMYFUNCTION("""COMPUTED_VALUE"""),"PEDAGOGICO")</f>
        <v>PEDAGOGICO</v>
      </c>
      <c r="E2649" s="213" t="str">
        <f>IFERROR(__xludf.DUMMYFUNCTION("""COMPUTED_VALUE"""),"MAT-489")</f>
        <v>MAT-489</v>
      </c>
      <c r="F2649" s="213" t="str">
        <f>IFERROR(__xludf.DUMMYFUNCTION("""COMPUTED_VALUE"""),"MAT-489")</f>
        <v>MAT-489</v>
      </c>
      <c r="G2649" s="213"/>
      <c r="H2649" s="213" t="str">
        <f>IFERROR(__xludf.DUMMYFUNCTION("""COMPUTED_VALUE"""),"VIDEOS TUTORIALES DEL MANTENIMIENTO SISTEMA DE TRANSMISIÓN DE POTENCIA, GRABADO EN USB")</f>
        <v>VIDEOS TUTORIALES DEL MANTENIMIENTO SISTEMA DE TRANSMISIÓN DE POTENCIA, GRABADO EN USB</v>
      </c>
      <c r="I2649" s="213" t="str">
        <f>IFERROR(__xludf.DUMMYFUNCTION("""COMPUTED_VALUE"""),"Calidad física
· El USB tiene la capacidad de mínimo 32 GB, para almacenar la información en videos tutoriales del uso pedadógico del mantenimiento sistema  de transmisión de potencia.
· Video grabado USB tiene 3 tipos de conectores: para conectarse con l"&amp;"a PC, Tablet y móvil (conector USB 3.0, conector micro USB, conector tipo C).
· Video grabado en formato MP4 / AVI, en alta resolución 4K o HD
· El video tendrá una duración de  20 minutos como mínimo.
· Calidad pedagógica.
·  Presenta el video tutorial l"&amp;"as partes y principios de funcionamiento del sistema de transmisión de potencia
·  Presenta los procesos de mantenimiento del sistema de transmisión de potencia
·  Cada sección integra imágenes, sonido, video y textos de manera creativa y motivadora para "&amp;"adolescentes de educación secundaria.")</f>
        <v>Calidad física
· El USB tiene la capacidad de mínimo 32 GB, para almacenar la información en videos tutoriales del uso pedadógico del mantenimiento sistema  de transmisión de potencia.
· Video grabado USB tiene 3 tipos de conectores: para conectarse con la PC, Tablet y móvil (conector USB 3.0, conector micro USB, conector tipo C).
· Video grabado en formato MP4 / AVI, en alta resolución 4K o HD
· El video tendrá una duración de  20 minutos como mínimo.
· Calidad pedagógica.
·  Presenta el video tutorial las partes y principios de funcionamiento del sistema de transmisión de potencia
·  Presenta los procesos de mantenimiento del sistema de transmisión de potencia
·  Cada sección integra imágenes, sonido, video y textos de manera creativa y motivadora para adolescentes de educación secundaria.</v>
      </c>
      <c r="J2649" s="213">
        <f>IFERROR(__xludf.DUMMYFUNCTION("""COMPUTED_VALUE"""),3.0)</f>
        <v>3</v>
      </c>
      <c r="K2649" s="213" t="str">
        <f>IFERROR(__xludf.DUMMYFUNCTION("""COMPUTED_VALUE"""),"170 DÍAS CALENDARIO")</f>
        <v>170 DÍAS CALENDARIO</v>
      </c>
      <c r="L2649" s="213" t="str">
        <f>IFERROR(__xludf.DUMMYFUNCTION("""COMPUTED_VALUE"""),"")</f>
        <v/>
      </c>
      <c r="M2649" s="213">
        <f>IFERROR(__xludf.DUMMYFUNCTION("""COMPUTED_VALUE"""),1.0)</f>
        <v>1</v>
      </c>
      <c r="N2649" s="213">
        <f>IFERROR(__xludf.DUMMYFUNCTION("""COMPUTED_VALUE"""),1.0)</f>
        <v>1</v>
      </c>
      <c r="O2649" s="213">
        <f>IFERROR(__xludf.DUMMYFUNCTION("""COMPUTED_VALUE"""),1.0)</f>
        <v>1</v>
      </c>
      <c r="P2649" s="213"/>
      <c r="Q2649" s="213"/>
      <c r="R2649" s="213"/>
      <c r="S2649" s="213"/>
      <c r="T2649" s="213"/>
      <c r="U2649" s="213"/>
      <c r="V2649" s="213"/>
      <c r="W2649" s="213"/>
      <c r="X2649" s="213"/>
      <c r="Y2649" s="213"/>
      <c r="Z2649" s="213"/>
      <c r="AA2649" s="213"/>
      <c r="AB2649" s="213"/>
      <c r="AC2649" s="213"/>
      <c r="AD2649" s="213"/>
      <c r="AE2649" s="213"/>
      <c r="AF2649" s="213"/>
      <c r="AG2649" s="213"/>
      <c r="AH2649" s="213"/>
      <c r="AI2649" s="213"/>
      <c r="AJ2649" s="213"/>
      <c r="AK2649" s="213"/>
      <c r="AL2649" s="213"/>
      <c r="AM2649" s="213"/>
      <c r="AN2649" s="213"/>
      <c r="AO2649" s="213"/>
      <c r="AP2649" s="213"/>
      <c r="AQ2649" s="213"/>
      <c r="AR2649" s="213"/>
      <c r="AS2649" s="213"/>
      <c r="AT2649" s="213"/>
      <c r="AU2649" s="213"/>
      <c r="AV2649" s="213"/>
      <c r="AW2649" s="213"/>
      <c r="AX2649" s="213"/>
      <c r="AY2649" s="213"/>
      <c r="AZ2649" s="213"/>
      <c r="BA2649" s="213"/>
      <c r="BB2649" s="213"/>
      <c r="BC2649" s="213"/>
      <c r="BD2649" s="213"/>
    </row>
    <row r="2650">
      <c r="A2650" s="213">
        <f>IFERROR(__xludf.DUMMYFUNCTION("""COMPUTED_VALUE"""),596.0)</f>
        <v>596</v>
      </c>
      <c r="B2650" s="213" t="str">
        <f>IFERROR(__xludf.DUMMYFUNCTION("""COMPUTED_VALUE"""),"2026 SIMON BOLIVAR")</f>
        <v>2026 SIMON BOLIVAR</v>
      </c>
      <c r="C2650" s="213" t="str">
        <f>IFERROR(__xludf.DUMMYFUNCTION("""COMPUTED_VALUE"""),"TALLER SFT DE INDUSTRIA ALIMENTARIA")</f>
        <v>TALLER SFT DE INDUSTRIA ALIMENTARIA</v>
      </c>
      <c r="D2650" s="213" t="str">
        <f>IFERROR(__xludf.DUMMYFUNCTION("""COMPUTED_VALUE"""),"PEDAGOGICO")</f>
        <v>PEDAGOGICO</v>
      </c>
      <c r="E2650" s="213" t="str">
        <f>IFERROR(__xludf.DUMMYFUNCTION("""COMPUTED_VALUE"""),"MAT-499")</f>
        <v>MAT-499</v>
      </c>
      <c r="F2650" s="213" t="str">
        <f>IFERROR(__xludf.DUMMYFUNCTION("""COMPUTED_VALUE"""),"MAT-499")</f>
        <v>MAT-499</v>
      </c>
      <c r="G2650" s="213"/>
      <c r="H2650" s="213" t="str">
        <f>IFERROR(__xludf.DUMMYFUNCTION("""COMPUTED_VALUE"""),"VIDEOS TUTORIALES DEL USO DE LAS MAQUINARIAS DE PROCESAMIENTO DE CACAO, CAFÉ, QUINUA Y OTROS")</f>
        <v>VIDEOS TUTORIALES DEL USO DE LAS MAQUINARIAS DE PROCESAMIENTO DE CACAO, CAFÉ, QUINUA Y OTROS</v>
      </c>
      <c r="I2650" s="213" t="str">
        <f>IFERROR(__xludf.DUMMYFUNCTION("""COMPUTED_VALUE"""),"· Esta grabado  en USB de capacidad mínima de 32 GB y DVD en alta definición para conectarse con la PC, Tablet, Pantalla Táctil.  Para almacenar los archivos de los manuales y la información complementaria en videos o textos digitales sobre uso del Uso de"&amp;" maquinarias de procesamiento  de cacao,café, quinua y otros.
.Los videos presentan las características y componentes del equipo con la demostración de la instalación y accesorios, demostración del funcionamiento  y las principales funciones que realiza a"&amp;"sí mismo las normas de seguridad que deben de considerar para su funcionamiento.
· Comprende los siguientes videos:
- Un video de Despedradora
- Un video de  Secadora de cámara
- Un video de Seleccionadora de Zaranda
- Un video de Molino
- Un video de Esc"&amp;"arificadora
- Un video de Tostadora
- Un video de Trituradora
· Cada video debe tener una duración no menor a 5 minutos.
· El USB tiene 3 tipos de conectores: para conectarse con la PC, Tablet y móvil (conector USB 3.0, conector micro USB, conector tipo C"&amp;"), o en su defecto se proporciona adicionalmente un conector  (cable) con las 3 posibles conexiones.")</f>
        <v>· Esta grabado  en USB de capacidad mínima de 32 GB y DVD en alta definición para conectarse con la PC, Tablet, Pantalla Táctil.  Para almacenar los archivos de los manuales y la información complementaria en videos o textos digitales sobre uso del Uso de maquinarias de procesamiento  de cacao,café, quinua y otros.
.Los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Despedradora
- Un video de  Secadora de cámara
- Un video de Seleccionadora de Zaranda
- Un video de Molino
- Un video de Escarificadora
- Un video de Tostadora
- Un video de Trituradora
· Cada video debe tener una duración no menor a 5 minutos.
· El USB tiene 3 tipos de conectores: para conectarse con la PC, Tablet y móvil (conector USB 3.0, conector micro USB, conector tipo C), o en su defecto se proporciona adicionalmente un conector  (cable) con las 3 posibles conexiones.</v>
      </c>
      <c r="J2650" s="213">
        <f>IFERROR(__xludf.DUMMYFUNCTION("""COMPUTED_VALUE"""),3.0)</f>
        <v>3</v>
      </c>
      <c r="K2650" s="213" t="str">
        <f>IFERROR(__xludf.DUMMYFUNCTION("""COMPUTED_VALUE"""),"170 DÍAS CALENDARIO")</f>
        <v>170 DÍAS CALENDARIO</v>
      </c>
      <c r="L2650" s="213" t="str">
        <f>IFERROR(__xludf.DUMMYFUNCTION("""COMPUTED_VALUE"""),"")</f>
        <v/>
      </c>
      <c r="M2650" s="213">
        <f>IFERROR(__xludf.DUMMYFUNCTION("""COMPUTED_VALUE"""),1.0)</f>
        <v>1</v>
      </c>
      <c r="N2650" s="213">
        <f>IFERROR(__xludf.DUMMYFUNCTION("""COMPUTED_VALUE"""),6.0)</f>
        <v>6</v>
      </c>
      <c r="O2650" s="213">
        <f>IFERROR(__xludf.DUMMYFUNCTION("""COMPUTED_VALUE"""),6.0)</f>
        <v>6</v>
      </c>
      <c r="P2650" s="213"/>
      <c r="Q2650" s="213"/>
      <c r="R2650" s="213"/>
      <c r="S2650" s="213"/>
      <c r="T2650" s="213"/>
      <c r="U2650" s="213"/>
      <c r="V2650" s="213"/>
      <c r="W2650" s="213"/>
      <c r="X2650" s="213"/>
      <c r="Y2650" s="213"/>
      <c r="Z2650" s="213"/>
      <c r="AA2650" s="213"/>
      <c r="AB2650" s="213"/>
      <c r="AC2650" s="213"/>
      <c r="AD2650" s="213"/>
      <c r="AE2650" s="213"/>
      <c r="AF2650" s="213"/>
      <c r="AG2650" s="213"/>
      <c r="AH2650" s="213"/>
      <c r="AI2650" s="213"/>
      <c r="AJ2650" s="213"/>
      <c r="AK2650" s="213"/>
      <c r="AL2650" s="213"/>
      <c r="AM2650" s="213"/>
      <c r="AN2650" s="213"/>
      <c r="AO2650" s="213"/>
      <c r="AP2650" s="213"/>
      <c r="AQ2650" s="213"/>
      <c r="AR2650" s="213"/>
      <c r="AS2650" s="213"/>
      <c r="AT2650" s="213"/>
      <c r="AU2650" s="213"/>
      <c r="AV2650" s="213"/>
      <c r="AW2650" s="213"/>
      <c r="AX2650" s="213"/>
      <c r="AY2650" s="213"/>
      <c r="AZ2650" s="213"/>
      <c r="BA2650" s="213"/>
      <c r="BB2650" s="213"/>
      <c r="BC2650" s="213"/>
      <c r="BD2650" s="213"/>
    </row>
    <row r="2651">
      <c r="A2651" s="213">
        <f>IFERROR(__xludf.DUMMYFUNCTION("""COMPUTED_VALUE"""),1222.0)</f>
        <v>1222</v>
      </c>
      <c r="B2651" s="213" t="str">
        <f>IFERROR(__xludf.DUMMYFUNCTION("""COMPUTED_VALUE"""),"FRANCISCO IRAZOLA")</f>
        <v>FRANCISCO IRAZOLA</v>
      </c>
      <c r="C2651" s="213" t="str">
        <f>IFERROR(__xludf.DUMMYFUNCTION("""COMPUTED_VALUE"""),"TALLER SFT DE INDUSTRIA ALIMENTARIA")</f>
        <v>TALLER SFT DE INDUSTRIA ALIMENTARIA</v>
      </c>
      <c r="D2651" s="213" t="str">
        <f>IFERROR(__xludf.DUMMYFUNCTION("""COMPUTED_VALUE"""),"PEDAGOGICO")</f>
        <v>PEDAGOGICO</v>
      </c>
      <c r="E2651" s="213" t="str">
        <f>IFERROR(__xludf.DUMMYFUNCTION("""COMPUTED_VALUE"""),"MAT-499")</f>
        <v>MAT-499</v>
      </c>
      <c r="F2651" s="213" t="str">
        <f>IFERROR(__xludf.DUMMYFUNCTION("""COMPUTED_VALUE"""),"MAT-499")</f>
        <v>MAT-499</v>
      </c>
      <c r="G2651" s="213"/>
      <c r="H2651" s="213" t="str">
        <f>IFERROR(__xludf.DUMMYFUNCTION("""COMPUTED_VALUE"""),"VIDEOS TUTORIALES DEL USO DE LAS MAQUINARIAS DE PROCESAMIENTO DE CACAO, CAFÉ, QUINUA Y OTROS")</f>
        <v>VIDEOS TUTORIALES DEL USO DE LAS MAQUINARIAS DE PROCESAMIENTO DE CACAO, CAFÉ, QUINUA Y OTROS</v>
      </c>
      <c r="I2651" s="213" t="str">
        <f>IFERROR(__xludf.DUMMYFUNCTION("""COMPUTED_VALUE"""),"· Esta grabado  en USB de capacidad mínima de 32 GB y DVD en alta definición para conectarse con la PC, Tablet, Pantalla Táctil.  Para almacenar los archivos de los manuales y la información complementaria en videos o textos digitales sobre uso del Uso de"&amp;" maquinarias de procesamiento  de cacao,café, quinua y otros.
.Los videos presentan las características y componentes del equipo con la demostración de la instalación y accesorios, demostración del funcionamiento  y las principales funciones que realiza a"&amp;"sí mismo las normas de seguridad que deben de considerar para su funcionamiento.
· Comprende los siguientes videos:
- Un video de Despedradora
- Un video de  Secadora de cámara
- Un video de Seleccionadora de Zaranda
- Un video de Molino
- Un video de Esc"&amp;"arificadora
- Un video de Tostadora
- Un video de Trituradora
· Cada video debe tener una duración no menor a 5 minutos.
· El USB tiene 3 tipos de conectores: para conectarse con la PC, Tablet y móvil (conector USB 3.0, conector micro USB, conector tipo C"&amp;"), o en su defecto se proporciona adicionalmente un conector  (cable) con las 3 posibles conexiones.")</f>
        <v>· Esta grabado  en USB de capacidad mínima de 32 GB y DVD en alta definición para conectarse con la PC, Tablet, Pantalla Táctil.  Para almacenar los archivos de los manuales y la información complementaria en videos o textos digitales sobre uso del Uso de maquinarias de procesamiento  de cacao,café, quinua y otros.
.Los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Despedradora
- Un video de  Secadora de cámara
- Un video de Seleccionadora de Zaranda
- Un video de Molino
- Un video de Escarificadora
- Un video de Tostadora
- Un video de Trituradora
· Cada video debe tener una duración no menor a 5 minutos.
· El USB tiene 3 tipos de conectores: para conectarse con la PC, Tablet y móvil (conector USB 3.0, conector micro USB, conector tipo C), o en su defecto se proporciona adicionalmente un conector  (cable) con las 3 posibles conexiones.</v>
      </c>
      <c r="J2651" s="213">
        <f>IFERROR(__xludf.DUMMYFUNCTION("""COMPUTED_VALUE"""),3.0)</f>
        <v>3</v>
      </c>
      <c r="K2651" s="213" t="str">
        <f>IFERROR(__xludf.DUMMYFUNCTION("""COMPUTED_VALUE"""),"170 DÍAS CALENDARIO")</f>
        <v>170 DÍAS CALENDARIO</v>
      </c>
      <c r="L2651" s="213" t="str">
        <f>IFERROR(__xludf.DUMMYFUNCTION("""COMPUTED_VALUE"""),"")</f>
        <v/>
      </c>
      <c r="M2651" s="213">
        <f>IFERROR(__xludf.DUMMYFUNCTION("""COMPUTED_VALUE"""),1.0)</f>
        <v>1</v>
      </c>
      <c r="N2651" s="213">
        <f>IFERROR(__xludf.DUMMYFUNCTION("""COMPUTED_VALUE"""),6.0)</f>
        <v>6</v>
      </c>
      <c r="O2651" s="213">
        <f>IFERROR(__xludf.DUMMYFUNCTION("""COMPUTED_VALUE"""),6.0)</f>
        <v>6</v>
      </c>
      <c r="P2651" s="213"/>
      <c r="Q2651" s="213"/>
      <c r="R2651" s="213"/>
      <c r="S2651" s="213"/>
      <c r="T2651" s="213"/>
      <c r="U2651" s="213"/>
      <c r="V2651" s="213"/>
      <c r="W2651" s="213"/>
      <c r="X2651" s="213"/>
      <c r="Y2651" s="213"/>
      <c r="Z2651" s="213"/>
      <c r="AA2651" s="213"/>
      <c r="AB2651" s="213"/>
      <c r="AC2651" s="213"/>
      <c r="AD2651" s="213"/>
      <c r="AE2651" s="213"/>
      <c r="AF2651" s="213"/>
      <c r="AG2651" s="213"/>
      <c r="AH2651" s="213"/>
      <c r="AI2651" s="213"/>
      <c r="AJ2651" s="213"/>
      <c r="AK2651" s="213"/>
      <c r="AL2651" s="213"/>
      <c r="AM2651" s="213"/>
      <c r="AN2651" s="213"/>
      <c r="AO2651" s="213"/>
      <c r="AP2651" s="213"/>
      <c r="AQ2651" s="213"/>
      <c r="AR2651" s="213"/>
      <c r="AS2651" s="213"/>
      <c r="AT2651" s="213"/>
      <c r="AU2651" s="213"/>
      <c r="AV2651" s="213"/>
      <c r="AW2651" s="213"/>
      <c r="AX2651" s="213"/>
      <c r="AY2651" s="213"/>
      <c r="AZ2651" s="213"/>
      <c r="BA2651" s="213"/>
      <c r="BB2651" s="213"/>
      <c r="BC2651" s="213"/>
      <c r="BD2651" s="213"/>
    </row>
    <row r="2652">
      <c r="A2652" s="213">
        <f>IFERROR(__xludf.DUMMYFUNCTION("""COMPUTED_VALUE"""),1493.0)</f>
        <v>1493</v>
      </c>
      <c r="B2652" s="213" t="str">
        <f>IFERROR(__xludf.DUMMYFUNCTION("""COMPUTED_VALUE"""),"GUILLERMO E. BILLINGHURST ")</f>
        <v>GUILLERMO E. BILLINGHURST </v>
      </c>
      <c r="C2652" s="213" t="str">
        <f>IFERROR(__xludf.DUMMYFUNCTION("""COMPUTED_VALUE"""),"TALLER SFT DE INDUSTRIA ALIMENTARIA")</f>
        <v>TALLER SFT DE INDUSTRIA ALIMENTARIA</v>
      </c>
      <c r="D2652" s="213" t="str">
        <f>IFERROR(__xludf.DUMMYFUNCTION("""COMPUTED_VALUE"""),"PEDAGOGICO")</f>
        <v>PEDAGOGICO</v>
      </c>
      <c r="E2652" s="213" t="str">
        <f>IFERROR(__xludf.DUMMYFUNCTION("""COMPUTED_VALUE"""),"MAT-499")</f>
        <v>MAT-499</v>
      </c>
      <c r="F2652" s="213" t="str">
        <f>IFERROR(__xludf.DUMMYFUNCTION("""COMPUTED_VALUE"""),"MAT-499")</f>
        <v>MAT-499</v>
      </c>
      <c r="G2652" s="213"/>
      <c r="H2652" s="213" t="str">
        <f>IFERROR(__xludf.DUMMYFUNCTION("""COMPUTED_VALUE"""),"VIDEOS TUTORIALES DEL USO DE LAS MAQUINARIAS DE PROCESAMIENTO DE CACAO, CAFÉ, QUINUA Y OTROS")</f>
        <v>VIDEOS TUTORIALES DEL USO DE LAS MAQUINARIAS DE PROCESAMIENTO DE CACAO, CAFÉ, QUINUA Y OTROS</v>
      </c>
      <c r="I2652" s="213" t="str">
        <f>IFERROR(__xludf.DUMMYFUNCTION("""COMPUTED_VALUE"""),"· Esta grabado  en USB de capacidad mínima de 32 GB y DVD en alta definición para conectarse con la PC, Tablet, Pantalla Táctil.  Para almacenar los archivos de los manuales y la información complementaria en videos o textos digitales sobre uso del Uso de"&amp;" maquinarias de procesamiento  de cacao,café, quinua y otros.
.Los videos presentan las características y componentes del equipo con la demostración de la instalación y accesorios, demostración del funcionamiento  y las principales funciones que realiza a"&amp;"sí mismo las normas de seguridad que deben de considerar para su funcionamiento.
· Comprende los siguientes videos:
- Un video de Despedradora
- Un video de  Secadora de cámara
- Un video de Seleccionadora de Zaranda
- Un video de Molino
- Un video de Esc"&amp;"arificadora
- Un video de Tostadora
- Un video de Trituradora
· Cada video debe tener una duración no menor a 5 minutos.
· El USB tiene 3 tipos de conectores: para conectarse con la PC, Tablet y móvil (conector USB 3.0, conector micro USB, conector tipo C"&amp;"), o en su defecto se proporciona adicionalmente un conector  (cable) con las 3 posibles conexiones.")</f>
        <v>· Esta grabado  en USB de capacidad mínima de 32 GB y DVD en alta definición para conectarse con la PC, Tablet, Pantalla Táctil.  Para almacenar los archivos de los manuales y la información complementaria en videos o textos digitales sobre uso del Uso de maquinarias de procesamiento  de cacao,café, quinua y otros.
.Los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Despedradora
- Un video de  Secadora de cámara
- Un video de Seleccionadora de Zaranda
- Un video de Molino
- Un video de Escarificadora
- Un video de Tostadora
- Un video de Trituradora
· Cada video debe tener una duración no menor a 5 minutos.
· El USB tiene 3 tipos de conectores: para conectarse con la PC, Tablet y móvil (conector USB 3.0, conector micro USB, conector tipo C), o en su defecto se proporciona adicionalmente un conector  (cable) con las 3 posibles conexiones.</v>
      </c>
      <c r="J2652" s="213">
        <f>IFERROR(__xludf.DUMMYFUNCTION("""COMPUTED_VALUE"""),3.0)</f>
        <v>3</v>
      </c>
      <c r="K2652" s="213" t="str">
        <f>IFERROR(__xludf.DUMMYFUNCTION("""COMPUTED_VALUE"""),"170 DÍAS CALENDARIO")</f>
        <v>170 DÍAS CALENDARIO</v>
      </c>
      <c r="L2652" s="213" t="str">
        <f>IFERROR(__xludf.DUMMYFUNCTION("""COMPUTED_VALUE"""),"")</f>
        <v/>
      </c>
      <c r="M2652" s="213">
        <f>IFERROR(__xludf.DUMMYFUNCTION("""COMPUTED_VALUE"""),1.0)</f>
        <v>1</v>
      </c>
      <c r="N2652" s="213">
        <f>IFERROR(__xludf.DUMMYFUNCTION("""COMPUTED_VALUE"""),6.0)</f>
        <v>6</v>
      </c>
      <c r="O2652" s="213">
        <f>IFERROR(__xludf.DUMMYFUNCTION("""COMPUTED_VALUE"""),6.0)</f>
        <v>6</v>
      </c>
      <c r="P2652" s="213"/>
      <c r="Q2652" s="213"/>
      <c r="R2652" s="213"/>
      <c r="S2652" s="213"/>
      <c r="T2652" s="213"/>
      <c r="U2652" s="213"/>
      <c r="V2652" s="213"/>
      <c r="W2652" s="213"/>
      <c r="X2652" s="213"/>
      <c r="Y2652" s="213"/>
      <c r="Z2652" s="213"/>
      <c r="AA2652" s="213"/>
      <c r="AB2652" s="213"/>
      <c r="AC2652" s="213"/>
      <c r="AD2652" s="213"/>
      <c r="AE2652" s="213"/>
      <c r="AF2652" s="213"/>
      <c r="AG2652" s="213"/>
      <c r="AH2652" s="213"/>
      <c r="AI2652" s="213"/>
      <c r="AJ2652" s="213"/>
      <c r="AK2652" s="213"/>
      <c r="AL2652" s="213"/>
      <c r="AM2652" s="213"/>
      <c r="AN2652" s="213"/>
      <c r="AO2652" s="213"/>
      <c r="AP2652" s="213"/>
      <c r="AQ2652" s="213"/>
      <c r="AR2652" s="213"/>
      <c r="AS2652" s="213"/>
      <c r="AT2652" s="213"/>
      <c r="AU2652" s="213"/>
      <c r="AV2652" s="213"/>
      <c r="AW2652" s="213"/>
      <c r="AX2652" s="213"/>
      <c r="AY2652" s="213"/>
      <c r="AZ2652" s="213"/>
      <c r="BA2652" s="213"/>
      <c r="BB2652" s="213"/>
      <c r="BC2652" s="213"/>
      <c r="BD2652" s="213"/>
    </row>
    <row r="2653">
      <c r="A2653" s="213">
        <f>IFERROR(__xludf.DUMMYFUNCTION("""COMPUTED_VALUE"""),2185.0)</f>
        <v>2185</v>
      </c>
      <c r="B2653" s="213" t="str">
        <f>IFERROR(__xludf.DUMMYFUNCTION("""COMPUTED_VALUE"""),"JOSE GRANDA")</f>
        <v>JOSE GRANDA</v>
      </c>
      <c r="C2653" s="213" t="str">
        <f>IFERROR(__xludf.DUMMYFUNCTION("""COMPUTED_VALUE"""),"TALLER SFT DE INDUSTRIA ALIMENTARIA")</f>
        <v>TALLER SFT DE INDUSTRIA ALIMENTARIA</v>
      </c>
      <c r="D2653" s="213" t="str">
        <f>IFERROR(__xludf.DUMMYFUNCTION("""COMPUTED_VALUE"""),"PEDAGOGICO")</f>
        <v>PEDAGOGICO</v>
      </c>
      <c r="E2653" s="213" t="str">
        <f>IFERROR(__xludf.DUMMYFUNCTION("""COMPUTED_VALUE"""),"MAT-499")</f>
        <v>MAT-499</v>
      </c>
      <c r="F2653" s="213" t="str">
        <f>IFERROR(__xludf.DUMMYFUNCTION("""COMPUTED_VALUE"""),"MAT-499")</f>
        <v>MAT-499</v>
      </c>
      <c r="G2653" s="213"/>
      <c r="H2653" s="213" t="str">
        <f>IFERROR(__xludf.DUMMYFUNCTION("""COMPUTED_VALUE"""),"VIDEOS TUTORIALES DEL USO DE LAS MAQUINARIAS DE PROCESAMIENTO DE CACAO, CAFÉ, QUINUA Y OTROS")</f>
        <v>VIDEOS TUTORIALES DEL USO DE LAS MAQUINARIAS DE PROCESAMIENTO DE CACAO, CAFÉ, QUINUA Y OTROS</v>
      </c>
      <c r="I2653" s="213" t="str">
        <f>IFERROR(__xludf.DUMMYFUNCTION("""COMPUTED_VALUE"""),"· Esta grabado  en USB de capacidad mínima de 32 GB y DVD en alta definición para conectarse con la PC, Tablet, Pantalla Táctil.  Para almacenar los archivos de los manuales y la información complementaria en videos o textos digitales sobre uso del Uso de"&amp;" maquinarias de procesamiento  de cacao,café, quinua y otros.
.Los videos presentan las características y componentes del equipo con la demostración de la instalación y accesorios, demostración del funcionamiento  y las principales funciones que realiza a"&amp;"sí mismo las normas de seguridad que deben de considerar para su funcionamiento.
· Comprende los siguientes videos:
- Un video de Despedradora
- Un video de  Secadora de cámara
- Un video de Seleccionadora de Zaranda
- Un video de Molino
- Un video de Esc"&amp;"arificadora
- Un video de Tostadora
- Un video de Trituradora
· Cada video debe tener una duración no menor a 5 minutos.
· El USB tiene 3 tipos de conectores: para conectarse con la PC, Tablet y móvil (conector USB 3.0, conector micro USB, conector tipo C"&amp;"), o en su defecto se proporciona adicionalmente un conector  (cable) con las 3 posibles conexiones.")</f>
        <v>· Esta grabado  en USB de capacidad mínima de 32 GB y DVD en alta definición para conectarse con la PC, Tablet, Pantalla Táctil.  Para almacenar los archivos de los manuales y la información complementaria en videos o textos digitales sobre uso del Uso de maquinarias de procesamiento  de cacao,café, quinua y otros.
.Los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Despedradora
- Un video de  Secadora de cámara
- Un video de Seleccionadora de Zaranda
- Un video de Molino
- Un video de Escarificadora
- Un video de Tostadora
- Un video de Trituradora
· Cada video debe tener una duración no menor a 5 minutos.
· El USB tiene 3 tipos de conectores: para conectarse con la PC, Tablet y móvil (conector USB 3.0, conector micro USB, conector tipo C), o en su defecto se proporciona adicionalmente un conector  (cable) con las 3 posibles conexiones.</v>
      </c>
      <c r="J2653" s="213">
        <f>IFERROR(__xludf.DUMMYFUNCTION("""COMPUTED_VALUE"""),3.0)</f>
        <v>3</v>
      </c>
      <c r="K2653" s="213" t="str">
        <f>IFERROR(__xludf.DUMMYFUNCTION("""COMPUTED_VALUE"""),"170 DÍAS CALENDARIO")</f>
        <v>170 DÍAS CALENDARIO</v>
      </c>
      <c r="L2653" s="213" t="str">
        <f>IFERROR(__xludf.DUMMYFUNCTION("""COMPUTED_VALUE"""),"")</f>
        <v/>
      </c>
      <c r="M2653" s="213">
        <f>IFERROR(__xludf.DUMMYFUNCTION("""COMPUTED_VALUE"""),1.0)</f>
        <v>1</v>
      </c>
      <c r="N2653" s="213">
        <f>IFERROR(__xludf.DUMMYFUNCTION("""COMPUTED_VALUE"""),6.0)</f>
        <v>6</v>
      </c>
      <c r="O2653" s="213">
        <f>IFERROR(__xludf.DUMMYFUNCTION("""COMPUTED_VALUE"""),6.0)</f>
        <v>6</v>
      </c>
      <c r="P2653" s="213"/>
      <c r="Q2653" s="213"/>
      <c r="R2653" s="213"/>
      <c r="S2653" s="213"/>
      <c r="T2653" s="213"/>
      <c r="U2653" s="213"/>
      <c r="V2653" s="213"/>
      <c r="W2653" s="213"/>
      <c r="X2653" s="213"/>
      <c r="Y2653" s="213"/>
      <c r="Z2653" s="213"/>
      <c r="AA2653" s="213"/>
      <c r="AB2653" s="213"/>
      <c r="AC2653" s="213"/>
      <c r="AD2653" s="213"/>
      <c r="AE2653" s="213"/>
      <c r="AF2653" s="213"/>
      <c r="AG2653" s="213"/>
      <c r="AH2653" s="213"/>
      <c r="AI2653" s="213"/>
      <c r="AJ2653" s="213"/>
      <c r="AK2653" s="213"/>
      <c r="AL2653" s="213"/>
      <c r="AM2653" s="213"/>
      <c r="AN2653" s="213"/>
      <c r="AO2653" s="213"/>
      <c r="AP2653" s="213"/>
      <c r="AQ2653" s="213"/>
      <c r="AR2653" s="213"/>
      <c r="AS2653" s="213"/>
      <c r="AT2653" s="213"/>
      <c r="AU2653" s="213"/>
      <c r="AV2653" s="213"/>
      <c r="AW2653" s="213"/>
      <c r="AX2653" s="213"/>
      <c r="AY2653" s="213"/>
      <c r="AZ2653" s="213"/>
      <c r="BA2653" s="213"/>
      <c r="BB2653" s="213"/>
      <c r="BC2653" s="213"/>
      <c r="BD2653" s="213"/>
    </row>
    <row r="2654">
      <c r="A2654" s="213">
        <f>IFERROR(__xludf.DUMMYFUNCTION("""COMPUTED_VALUE"""),581.0)</f>
        <v>581</v>
      </c>
      <c r="B2654" s="213" t="str">
        <f>IFERROR(__xludf.DUMMYFUNCTION("""COMPUTED_VALUE"""),"2026 SIMON BOLIVAR")</f>
        <v>2026 SIMON BOLIVAR</v>
      </c>
      <c r="C2654" s="213" t="str">
        <f>IFERROR(__xludf.DUMMYFUNCTION("""COMPUTED_VALUE"""),"TALLER SFT DE INDUSTRIA ALIMENTARIA")</f>
        <v>TALLER SFT DE INDUSTRIA ALIMENTARIA</v>
      </c>
      <c r="D2654" s="213" t="str">
        <f>IFERROR(__xludf.DUMMYFUNCTION("""COMPUTED_VALUE"""),"PEDAGOGICO")</f>
        <v>PEDAGOGICO</v>
      </c>
      <c r="E2654" s="213" t="str">
        <f>IFERROR(__xludf.DUMMYFUNCTION("""COMPUTED_VALUE"""),"MAT-500")</f>
        <v>MAT-500</v>
      </c>
      <c r="F2654" s="213" t="str">
        <f>IFERROR(__xludf.DUMMYFUNCTION("""COMPUTED_VALUE"""),"MAT-500")</f>
        <v>MAT-500</v>
      </c>
      <c r="G2654" s="213"/>
      <c r="H2654" s="213" t="str">
        <f>IFERROR(__xludf.DUMMYFUNCTION("""COMPUTED_VALUE"""),"VIDEOS TUTORIALES DEL USO DE LAS MAQUINARIAS DE PROCESAMIENTO DE FRUTAS Y HORTALIZAS GRABADOS EN USB")</f>
        <v>VIDEOS TUTORIALES DEL USO DE LAS MAQUINARIAS DE PROCESAMIENTO DE FRUTAS Y HORTALIZAS GRABADOS EN USB</v>
      </c>
      <c r="I2654" s="213"/>
      <c r="J2654" s="213">
        <f>IFERROR(__xludf.DUMMYFUNCTION("""COMPUTED_VALUE"""),3.0)</f>
        <v>3</v>
      </c>
      <c r="K2654" s="213" t="str">
        <f>IFERROR(__xludf.DUMMYFUNCTION("""COMPUTED_VALUE"""),"170 DÍAS CALENDARIO")</f>
        <v>170 DÍAS CALENDARIO</v>
      </c>
      <c r="L2654" s="213" t="str">
        <f>IFERROR(__xludf.DUMMYFUNCTION("""COMPUTED_VALUE"""),"")</f>
        <v/>
      </c>
      <c r="M2654" s="213">
        <f>IFERROR(__xludf.DUMMYFUNCTION("""COMPUTED_VALUE"""),1.0)</f>
        <v>1</v>
      </c>
      <c r="N2654" s="213">
        <f>IFERROR(__xludf.DUMMYFUNCTION("""COMPUTED_VALUE"""),6.0)</f>
        <v>6</v>
      </c>
      <c r="O2654" s="213">
        <f>IFERROR(__xludf.DUMMYFUNCTION("""COMPUTED_VALUE"""),6.0)</f>
        <v>6</v>
      </c>
      <c r="P2654" s="213"/>
      <c r="Q2654" s="213"/>
      <c r="R2654" s="213"/>
      <c r="S2654" s="213"/>
      <c r="T2654" s="213"/>
      <c r="U2654" s="213"/>
      <c r="V2654" s="213"/>
      <c r="W2654" s="213"/>
      <c r="X2654" s="213"/>
      <c r="Y2654" s="213"/>
      <c r="Z2654" s="213"/>
      <c r="AA2654" s="213"/>
      <c r="AB2654" s="213"/>
      <c r="AC2654" s="213"/>
      <c r="AD2654" s="213"/>
      <c r="AE2654" s="213"/>
      <c r="AF2654" s="213"/>
      <c r="AG2654" s="213"/>
      <c r="AH2654" s="213"/>
      <c r="AI2654" s="213"/>
      <c r="AJ2654" s="213"/>
      <c r="AK2654" s="213"/>
      <c r="AL2654" s="213"/>
      <c r="AM2654" s="213"/>
      <c r="AN2654" s="213"/>
      <c r="AO2654" s="213"/>
      <c r="AP2654" s="213"/>
      <c r="AQ2654" s="213"/>
      <c r="AR2654" s="213"/>
      <c r="AS2654" s="213"/>
      <c r="AT2654" s="213"/>
      <c r="AU2654" s="213"/>
      <c r="AV2654" s="213"/>
      <c r="AW2654" s="213"/>
      <c r="AX2654" s="213"/>
      <c r="AY2654" s="213"/>
      <c r="AZ2654" s="213"/>
      <c r="BA2654" s="213"/>
      <c r="BB2654" s="213"/>
      <c r="BC2654" s="213"/>
      <c r="BD2654" s="213"/>
    </row>
    <row r="2655">
      <c r="A2655" s="213">
        <f>IFERROR(__xludf.DUMMYFUNCTION("""COMPUTED_VALUE"""),1207.0)</f>
        <v>1207</v>
      </c>
      <c r="B2655" s="213" t="str">
        <f>IFERROR(__xludf.DUMMYFUNCTION("""COMPUTED_VALUE"""),"FRANCISCO IRAZOLA")</f>
        <v>FRANCISCO IRAZOLA</v>
      </c>
      <c r="C2655" s="213" t="str">
        <f>IFERROR(__xludf.DUMMYFUNCTION("""COMPUTED_VALUE"""),"TALLER SFT DE INDUSTRIA ALIMENTARIA")</f>
        <v>TALLER SFT DE INDUSTRIA ALIMENTARIA</v>
      </c>
      <c r="D2655" s="213" t="str">
        <f>IFERROR(__xludf.DUMMYFUNCTION("""COMPUTED_VALUE"""),"PEDAGOGICO")</f>
        <v>PEDAGOGICO</v>
      </c>
      <c r="E2655" s="213" t="str">
        <f>IFERROR(__xludf.DUMMYFUNCTION("""COMPUTED_VALUE"""),"MAT-500")</f>
        <v>MAT-500</v>
      </c>
      <c r="F2655" s="213" t="str">
        <f>IFERROR(__xludf.DUMMYFUNCTION("""COMPUTED_VALUE"""),"MAT-500")</f>
        <v>MAT-500</v>
      </c>
      <c r="G2655" s="213"/>
      <c r="H2655" s="213" t="str">
        <f>IFERROR(__xludf.DUMMYFUNCTION("""COMPUTED_VALUE"""),"VIDEOS TUTORIALES DEL USO DE LAS MAQUINARIAS DE PROCESAMIENTO DE FRUTAS Y HORTALIZAS GRABADOS EN USB")</f>
        <v>VIDEOS TUTORIALES DEL USO DE LAS MAQUINARIAS DE PROCESAMIENTO DE FRUTAS Y HORTALIZAS GRABADOS EN USB</v>
      </c>
      <c r="I2655" s="213"/>
      <c r="J2655" s="213">
        <f>IFERROR(__xludf.DUMMYFUNCTION("""COMPUTED_VALUE"""),3.0)</f>
        <v>3</v>
      </c>
      <c r="K2655" s="213" t="str">
        <f>IFERROR(__xludf.DUMMYFUNCTION("""COMPUTED_VALUE"""),"170 DÍAS CALENDARIO")</f>
        <v>170 DÍAS CALENDARIO</v>
      </c>
      <c r="L2655" s="213" t="str">
        <f>IFERROR(__xludf.DUMMYFUNCTION("""COMPUTED_VALUE"""),"")</f>
        <v/>
      </c>
      <c r="M2655" s="213">
        <f>IFERROR(__xludf.DUMMYFUNCTION("""COMPUTED_VALUE"""),1.0)</f>
        <v>1</v>
      </c>
      <c r="N2655" s="213">
        <f>IFERROR(__xludf.DUMMYFUNCTION("""COMPUTED_VALUE"""),6.0)</f>
        <v>6</v>
      </c>
      <c r="O2655" s="213">
        <f>IFERROR(__xludf.DUMMYFUNCTION("""COMPUTED_VALUE"""),6.0)</f>
        <v>6</v>
      </c>
      <c r="P2655" s="213"/>
      <c r="Q2655" s="213"/>
      <c r="R2655" s="213"/>
      <c r="S2655" s="213"/>
      <c r="T2655" s="213"/>
      <c r="U2655" s="213"/>
      <c r="V2655" s="213"/>
      <c r="W2655" s="213"/>
      <c r="X2655" s="213"/>
      <c r="Y2655" s="213"/>
      <c r="Z2655" s="213"/>
      <c r="AA2655" s="213"/>
      <c r="AB2655" s="213"/>
      <c r="AC2655" s="213"/>
      <c r="AD2655" s="213"/>
      <c r="AE2655" s="213"/>
      <c r="AF2655" s="213"/>
      <c r="AG2655" s="213"/>
      <c r="AH2655" s="213"/>
      <c r="AI2655" s="213"/>
      <c r="AJ2655" s="213"/>
      <c r="AK2655" s="213"/>
      <c r="AL2655" s="213"/>
      <c r="AM2655" s="213"/>
      <c r="AN2655" s="213"/>
      <c r="AO2655" s="213"/>
      <c r="AP2655" s="213"/>
      <c r="AQ2655" s="213"/>
      <c r="AR2655" s="213"/>
      <c r="AS2655" s="213"/>
      <c r="AT2655" s="213"/>
      <c r="AU2655" s="213"/>
      <c r="AV2655" s="213"/>
      <c r="AW2655" s="213"/>
      <c r="AX2655" s="213"/>
      <c r="AY2655" s="213"/>
      <c r="AZ2655" s="213"/>
      <c r="BA2655" s="213"/>
      <c r="BB2655" s="213"/>
      <c r="BC2655" s="213"/>
      <c r="BD2655" s="213"/>
    </row>
    <row r="2656">
      <c r="A2656" s="213">
        <f>IFERROR(__xludf.DUMMYFUNCTION("""COMPUTED_VALUE"""),1478.0)</f>
        <v>1478</v>
      </c>
      <c r="B2656" s="213" t="str">
        <f>IFERROR(__xludf.DUMMYFUNCTION("""COMPUTED_VALUE"""),"GUILLERMO E. BILLINGHURST ")</f>
        <v>GUILLERMO E. BILLINGHURST </v>
      </c>
      <c r="C2656" s="213" t="str">
        <f>IFERROR(__xludf.DUMMYFUNCTION("""COMPUTED_VALUE"""),"TALLER SFT DE INDUSTRIA ALIMENTARIA")</f>
        <v>TALLER SFT DE INDUSTRIA ALIMENTARIA</v>
      </c>
      <c r="D2656" s="213" t="str">
        <f>IFERROR(__xludf.DUMMYFUNCTION("""COMPUTED_VALUE"""),"PEDAGOGICO")</f>
        <v>PEDAGOGICO</v>
      </c>
      <c r="E2656" s="213" t="str">
        <f>IFERROR(__xludf.DUMMYFUNCTION("""COMPUTED_VALUE"""),"MAT-500")</f>
        <v>MAT-500</v>
      </c>
      <c r="F2656" s="213" t="str">
        <f>IFERROR(__xludf.DUMMYFUNCTION("""COMPUTED_VALUE"""),"MAT-500")</f>
        <v>MAT-500</v>
      </c>
      <c r="G2656" s="213"/>
      <c r="H2656" s="213" t="str">
        <f>IFERROR(__xludf.DUMMYFUNCTION("""COMPUTED_VALUE"""),"VIDEOS TUTORIALES DEL USO DE LAS MAQUINARIAS DE PROCESAMIENTO DE FRUTAS Y HORTALIZAS GRABADOS EN USB")</f>
        <v>VIDEOS TUTORIALES DEL USO DE LAS MAQUINARIAS DE PROCESAMIENTO DE FRUTAS Y HORTALIZAS GRABADOS EN USB</v>
      </c>
      <c r="I2656" s="213"/>
      <c r="J2656" s="213">
        <f>IFERROR(__xludf.DUMMYFUNCTION("""COMPUTED_VALUE"""),3.0)</f>
        <v>3</v>
      </c>
      <c r="K2656" s="213" t="str">
        <f>IFERROR(__xludf.DUMMYFUNCTION("""COMPUTED_VALUE"""),"170 DÍAS CALENDARIO")</f>
        <v>170 DÍAS CALENDARIO</v>
      </c>
      <c r="L2656" s="213" t="str">
        <f>IFERROR(__xludf.DUMMYFUNCTION("""COMPUTED_VALUE"""),"")</f>
        <v/>
      </c>
      <c r="M2656" s="213">
        <f>IFERROR(__xludf.DUMMYFUNCTION("""COMPUTED_VALUE"""),1.0)</f>
        <v>1</v>
      </c>
      <c r="N2656" s="213">
        <f>IFERROR(__xludf.DUMMYFUNCTION("""COMPUTED_VALUE"""),6.0)</f>
        <v>6</v>
      </c>
      <c r="O2656" s="213">
        <f>IFERROR(__xludf.DUMMYFUNCTION("""COMPUTED_VALUE"""),6.0)</f>
        <v>6</v>
      </c>
      <c r="P2656" s="213"/>
      <c r="Q2656" s="213"/>
      <c r="R2656" s="213"/>
      <c r="S2656" s="213"/>
      <c r="T2656" s="213"/>
      <c r="U2656" s="213"/>
      <c r="V2656" s="213"/>
      <c r="W2656" s="213"/>
      <c r="X2656" s="213"/>
      <c r="Y2656" s="213"/>
      <c r="Z2656" s="213"/>
      <c r="AA2656" s="213"/>
      <c r="AB2656" s="213"/>
      <c r="AC2656" s="213"/>
      <c r="AD2656" s="213"/>
      <c r="AE2656" s="213"/>
      <c r="AF2656" s="213"/>
      <c r="AG2656" s="213"/>
      <c r="AH2656" s="213"/>
      <c r="AI2656" s="213"/>
      <c r="AJ2656" s="213"/>
      <c r="AK2656" s="213"/>
      <c r="AL2656" s="213"/>
      <c r="AM2656" s="213"/>
      <c r="AN2656" s="213"/>
      <c r="AO2656" s="213"/>
      <c r="AP2656" s="213"/>
      <c r="AQ2656" s="213"/>
      <c r="AR2656" s="213"/>
      <c r="AS2656" s="213"/>
      <c r="AT2656" s="213"/>
      <c r="AU2656" s="213"/>
      <c r="AV2656" s="213"/>
      <c r="AW2656" s="213"/>
      <c r="AX2656" s="213"/>
      <c r="AY2656" s="213"/>
      <c r="AZ2656" s="213"/>
      <c r="BA2656" s="213"/>
      <c r="BB2656" s="213"/>
      <c r="BC2656" s="213"/>
      <c r="BD2656" s="213"/>
    </row>
    <row r="2657">
      <c r="A2657" s="213">
        <f>IFERROR(__xludf.DUMMYFUNCTION("""COMPUTED_VALUE"""),2170.0)</f>
        <v>2170</v>
      </c>
      <c r="B2657" s="213" t="str">
        <f>IFERROR(__xludf.DUMMYFUNCTION("""COMPUTED_VALUE"""),"JOSE GRANDA")</f>
        <v>JOSE GRANDA</v>
      </c>
      <c r="C2657" s="213" t="str">
        <f>IFERROR(__xludf.DUMMYFUNCTION("""COMPUTED_VALUE"""),"TALLER SFT DE INDUSTRIA ALIMENTARIA")</f>
        <v>TALLER SFT DE INDUSTRIA ALIMENTARIA</v>
      </c>
      <c r="D2657" s="213" t="str">
        <f>IFERROR(__xludf.DUMMYFUNCTION("""COMPUTED_VALUE"""),"PEDAGOGICO")</f>
        <v>PEDAGOGICO</v>
      </c>
      <c r="E2657" s="213" t="str">
        <f>IFERROR(__xludf.DUMMYFUNCTION("""COMPUTED_VALUE"""),"MAT-500")</f>
        <v>MAT-500</v>
      </c>
      <c r="F2657" s="213" t="str">
        <f>IFERROR(__xludf.DUMMYFUNCTION("""COMPUTED_VALUE"""),"MAT-500")</f>
        <v>MAT-500</v>
      </c>
      <c r="G2657" s="213"/>
      <c r="H2657" s="213" t="str">
        <f>IFERROR(__xludf.DUMMYFUNCTION("""COMPUTED_VALUE"""),"VIDEOS TUTORIALES DEL USO DE LAS MAQUINARIAS DE PROCESAMIENTO DE FRUTAS Y HORTALIZAS GRABADOS EN USB")</f>
        <v>VIDEOS TUTORIALES DEL USO DE LAS MAQUINARIAS DE PROCESAMIENTO DE FRUTAS Y HORTALIZAS GRABADOS EN USB</v>
      </c>
      <c r="I2657" s="213"/>
      <c r="J2657" s="213">
        <f>IFERROR(__xludf.DUMMYFUNCTION("""COMPUTED_VALUE"""),3.0)</f>
        <v>3</v>
      </c>
      <c r="K2657" s="213" t="str">
        <f>IFERROR(__xludf.DUMMYFUNCTION("""COMPUTED_VALUE"""),"170 DÍAS CALENDARIO")</f>
        <v>170 DÍAS CALENDARIO</v>
      </c>
      <c r="L2657" s="213" t="str">
        <f>IFERROR(__xludf.DUMMYFUNCTION("""COMPUTED_VALUE"""),"")</f>
        <v/>
      </c>
      <c r="M2657" s="213">
        <f>IFERROR(__xludf.DUMMYFUNCTION("""COMPUTED_VALUE"""),1.0)</f>
        <v>1</v>
      </c>
      <c r="N2657" s="213">
        <f>IFERROR(__xludf.DUMMYFUNCTION("""COMPUTED_VALUE"""),6.0)</f>
        <v>6</v>
      </c>
      <c r="O2657" s="213">
        <f>IFERROR(__xludf.DUMMYFUNCTION("""COMPUTED_VALUE"""),6.0)</f>
        <v>6</v>
      </c>
      <c r="P2657" s="213"/>
      <c r="Q2657" s="213"/>
      <c r="R2657" s="213"/>
      <c r="S2657" s="213"/>
      <c r="T2657" s="213"/>
      <c r="U2657" s="213"/>
      <c r="V2657" s="213"/>
      <c r="W2657" s="213"/>
      <c r="X2657" s="213"/>
      <c r="Y2657" s="213"/>
      <c r="Z2657" s="213"/>
      <c r="AA2657" s="213"/>
      <c r="AB2657" s="213"/>
      <c r="AC2657" s="213"/>
      <c r="AD2657" s="213"/>
      <c r="AE2657" s="213"/>
      <c r="AF2657" s="213"/>
      <c r="AG2657" s="213"/>
      <c r="AH2657" s="213"/>
      <c r="AI2657" s="213"/>
      <c r="AJ2657" s="213"/>
      <c r="AK2657" s="213"/>
      <c r="AL2657" s="213"/>
      <c r="AM2657" s="213"/>
      <c r="AN2657" s="213"/>
      <c r="AO2657" s="213"/>
      <c r="AP2657" s="213"/>
      <c r="AQ2657" s="213"/>
      <c r="AR2657" s="213"/>
      <c r="AS2657" s="213"/>
      <c r="AT2657" s="213"/>
      <c r="AU2657" s="213"/>
      <c r="AV2657" s="213"/>
      <c r="AW2657" s="213"/>
      <c r="AX2657" s="213"/>
      <c r="AY2657" s="213"/>
      <c r="AZ2657" s="213"/>
      <c r="BA2657" s="213"/>
      <c r="BB2657" s="213"/>
      <c r="BC2657" s="213"/>
      <c r="BD2657" s="213"/>
    </row>
    <row r="2658">
      <c r="A2658" s="213">
        <f>IFERROR(__xludf.DUMMYFUNCTION("""COMPUTED_VALUE"""),586.0)</f>
        <v>586</v>
      </c>
      <c r="B2658" s="213" t="str">
        <f>IFERROR(__xludf.DUMMYFUNCTION("""COMPUTED_VALUE"""),"2026 SIMON BOLIVAR")</f>
        <v>2026 SIMON BOLIVAR</v>
      </c>
      <c r="C2658" s="213" t="str">
        <f>IFERROR(__xludf.DUMMYFUNCTION("""COMPUTED_VALUE"""),"TALLER SFT DE INDUSTRIA ALIMENTARIA")</f>
        <v>TALLER SFT DE INDUSTRIA ALIMENTARIA</v>
      </c>
      <c r="D2658" s="213" t="str">
        <f>IFERROR(__xludf.DUMMYFUNCTION("""COMPUTED_VALUE"""),"PEDAGOGICO")</f>
        <v>PEDAGOGICO</v>
      </c>
      <c r="E2658" s="213" t="str">
        <f>IFERROR(__xludf.DUMMYFUNCTION("""COMPUTED_VALUE"""),"MAT-501")</f>
        <v>MAT-501</v>
      </c>
      <c r="F2658" s="213" t="str">
        <f>IFERROR(__xludf.DUMMYFUNCTION("""COMPUTED_VALUE"""),"MAT-501")</f>
        <v>MAT-501</v>
      </c>
      <c r="G2658" s="213"/>
      <c r="H2658" s="213" t="str">
        <f>IFERROR(__xludf.DUMMYFUNCTION("""COMPUTED_VALUE"""),"VIDEOS TUTORIALES DEL USO DE LAS MAQUINARIAS DE PROCESAMIENTO DE LACTEOS Y SUS DERIVADOS GRABADOS EN USB")</f>
        <v>VIDEOS TUTORIALES DEL USO DE LAS MAQUINARIAS DE PROCESAMIENTO DE LACTEOS Y SUS DERIVADOS GRABADOS EN USB</v>
      </c>
      <c r="I2658" s="213" t="str">
        <f>IFERROR(__xludf.DUMMYFUNCTION("""COMPUTED_VALUE"""),"· Los videos presentan las características y componentes del equipo con la demostración de la instalación y accesorios, demostración del funcionamiento  y las principales funciones que realiza así mismo las normas de seguridad que deben de considerar para"&amp;" su funcionamiento.
· Comprende los siguientes videos:
- Un video de Prensa para queso
- Un video de  batidora
- Un video de balanza
- Un video de  refractometro
- Un video de PH  metro
- Un video de Incubadora
- Un video de  Pasteurizador Domestico.
· Ca"&amp;"da video debe tener una duración no menor a 5 minutos.
· Esta grabado  en USB de capacidad mínima de 32 GB y DVD en alta definición para conectarse con la PC, Tablet,
· El USB tiene 3 tipos de conectores: para conectarse con la PC, Tablet y móvil (conecto"&amp;"r USB 3.0, conector micro USB, conector tipo C), o en su defecto se proporciona adicionalmente un conector  (cable) con las 3 posibles conexiones.
.  El USB está contenido en un estuche de plástico transparente o similar.
· El USB es compatible con iPhone"&amp;"/Android/Windows.")</f>
        <v>· 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Prensa para queso
- Un video de  batidora
- Un video de balanza
- Un video de  refractometro
- Un video de PH  metro
- Un video de Incubadora
- Un video de  Pasteurizador Domestico.
· Cada video debe tener una duración no menor a 5 minutos.
· Esta grabado  en USB de capacidad mínima de 32 GB y DVD en alta definición para conectarse con la PC, Tablet,
· El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v>
      </c>
      <c r="J2658" s="213">
        <f>IFERROR(__xludf.DUMMYFUNCTION("""COMPUTED_VALUE"""),3.0)</f>
        <v>3</v>
      </c>
      <c r="K2658" s="213" t="str">
        <f>IFERROR(__xludf.DUMMYFUNCTION("""COMPUTED_VALUE"""),"170 DÍAS CALENDARIO")</f>
        <v>170 DÍAS CALENDARIO</v>
      </c>
      <c r="L2658" s="213" t="str">
        <f>IFERROR(__xludf.DUMMYFUNCTION("""COMPUTED_VALUE"""),"")</f>
        <v/>
      </c>
      <c r="M2658" s="213">
        <f>IFERROR(__xludf.DUMMYFUNCTION("""COMPUTED_VALUE"""),1.0)</f>
        <v>1</v>
      </c>
      <c r="N2658" s="213">
        <f>IFERROR(__xludf.DUMMYFUNCTION("""COMPUTED_VALUE"""),6.0)</f>
        <v>6</v>
      </c>
      <c r="O2658" s="213">
        <f>IFERROR(__xludf.DUMMYFUNCTION("""COMPUTED_VALUE"""),6.0)</f>
        <v>6</v>
      </c>
      <c r="P2658" s="213"/>
      <c r="Q2658" s="213"/>
      <c r="R2658" s="213"/>
      <c r="S2658" s="213"/>
      <c r="T2658" s="213"/>
      <c r="U2658" s="213"/>
      <c r="V2658" s="213"/>
      <c r="W2658" s="213"/>
      <c r="X2658" s="213"/>
      <c r="Y2658" s="213"/>
      <c r="Z2658" s="213"/>
      <c r="AA2658" s="213"/>
      <c r="AB2658" s="213"/>
      <c r="AC2658" s="213"/>
      <c r="AD2658" s="213"/>
      <c r="AE2658" s="213"/>
      <c r="AF2658" s="213"/>
      <c r="AG2658" s="213"/>
      <c r="AH2658" s="213"/>
      <c r="AI2658" s="213"/>
      <c r="AJ2658" s="213"/>
      <c r="AK2658" s="213"/>
      <c r="AL2658" s="213"/>
      <c r="AM2658" s="213"/>
      <c r="AN2658" s="213"/>
      <c r="AO2658" s="213"/>
      <c r="AP2658" s="213"/>
      <c r="AQ2658" s="213"/>
      <c r="AR2658" s="213"/>
      <c r="AS2658" s="213"/>
      <c r="AT2658" s="213"/>
      <c r="AU2658" s="213"/>
      <c r="AV2658" s="213"/>
      <c r="AW2658" s="213"/>
      <c r="AX2658" s="213"/>
      <c r="AY2658" s="213"/>
      <c r="AZ2658" s="213"/>
      <c r="BA2658" s="213"/>
      <c r="BB2658" s="213"/>
      <c r="BC2658" s="213"/>
      <c r="BD2658" s="213"/>
    </row>
    <row r="2659">
      <c r="A2659" s="213">
        <f>IFERROR(__xludf.DUMMYFUNCTION("""COMPUTED_VALUE"""),1212.0)</f>
        <v>1212</v>
      </c>
      <c r="B2659" s="213" t="str">
        <f>IFERROR(__xludf.DUMMYFUNCTION("""COMPUTED_VALUE"""),"FRANCISCO IRAZOLA")</f>
        <v>FRANCISCO IRAZOLA</v>
      </c>
      <c r="C2659" s="213" t="str">
        <f>IFERROR(__xludf.DUMMYFUNCTION("""COMPUTED_VALUE"""),"TALLER SFT DE INDUSTRIA ALIMENTARIA")</f>
        <v>TALLER SFT DE INDUSTRIA ALIMENTARIA</v>
      </c>
      <c r="D2659" s="213" t="str">
        <f>IFERROR(__xludf.DUMMYFUNCTION("""COMPUTED_VALUE"""),"PEDAGOGICO")</f>
        <v>PEDAGOGICO</v>
      </c>
      <c r="E2659" s="213" t="str">
        <f>IFERROR(__xludf.DUMMYFUNCTION("""COMPUTED_VALUE"""),"MAT-501")</f>
        <v>MAT-501</v>
      </c>
      <c r="F2659" s="213" t="str">
        <f>IFERROR(__xludf.DUMMYFUNCTION("""COMPUTED_VALUE"""),"MAT-501")</f>
        <v>MAT-501</v>
      </c>
      <c r="G2659" s="213"/>
      <c r="H2659" s="213" t="str">
        <f>IFERROR(__xludf.DUMMYFUNCTION("""COMPUTED_VALUE"""),"VIDEOS TUTORIALES DEL USO DE LAS MAQUINARIAS DE PROCESAMIENTO DE LACTEOS Y SUS DERIVADOS GRABADOS EN USB")</f>
        <v>VIDEOS TUTORIALES DEL USO DE LAS MAQUINARIAS DE PROCESAMIENTO DE LACTEOS Y SUS DERIVADOS GRABADOS EN USB</v>
      </c>
      <c r="I2659" s="213" t="str">
        <f>IFERROR(__xludf.DUMMYFUNCTION("""COMPUTED_VALUE"""),"· Los videos presentan las características y componentes del equipo con la demostración de la instalación y accesorios, demostración del funcionamiento  y las principales funciones que realiza así mismo las normas de seguridad que deben de considerar para"&amp;" su funcionamiento.
· Comprende los siguientes videos:
- Un video de Prensa para queso
- Un video de  batidora
- Un video de balanza
- Un video de  refractometro
- Un video de PH  metro
- Un video de Incubadora
- Un video de  Pasteurizador Domestico.
· Ca"&amp;"da video debe tener una duración no menor a 5 minutos.
· Esta grabado  en USB de capacidad mínima de 32 GB y DVD en alta definición para conectarse con la PC, Tablet,
· El USB tiene 3 tipos de conectores: para conectarse con la PC, Tablet y móvil (conecto"&amp;"r USB 3.0, conector micro USB, conector tipo C), o en su defecto se proporciona adicionalmente un conector  (cable) con las 3 posibles conexiones.
.  El USB está contenido en un estuche de plástico transparente o similar.
· El USB es compatible con iPhone"&amp;"/Android/Windows.")</f>
        <v>· 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Prensa para queso
- Un video de  batidora
- Un video de balanza
- Un video de  refractometro
- Un video de PH  metro
- Un video de Incubadora
- Un video de  Pasteurizador Domestico.
· Cada video debe tener una duración no menor a 5 minutos.
· Esta grabado  en USB de capacidad mínima de 32 GB y DVD en alta definición para conectarse con la PC, Tablet,
· El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v>
      </c>
      <c r="J2659" s="213">
        <f>IFERROR(__xludf.DUMMYFUNCTION("""COMPUTED_VALUE"""),3.0)</f>
        <v>3</v>
      </c>
      <c r="K2659" s="213" t="str">
        <f>IFERROR(__xludf.DUMMYFUNCTION("""COMPUTED_VALUE"""),"170 DÍAS CALENDARIO")</f>
        <v>170 DÍAS CALENDARIO</v>
      </c>
      <c r="L2659" s="213" t="str">
        <f>IFERROR(__xludf.DUMMYFUNCTION("""COMPUTED_VALUE"""),"")</f>
        <v/>
      </c>
      <c r="M2659" s="213">
        <f>IFERROR(__xludf.DUMMYFUNCTION("""COMPUTED_VALUE"""),1.0)</f>
        <v>1</v>
      </c>
      <c r="N2659" s="213">
        <f>IFERROR(__xludf.DUMMYFUNCTION("""COMPUTED_VALUE"""),6.0)</f>
        <v>6</v>
      </c>
      <c r="O2659" s="213">
        <f>IFERROR(__xludf.DUMMYFUNCTION("""COMPUTED_VALUE"""),6.0)</f>
        <v>6</v>
      </c>
      <c r="P2659" s="213"/>
      <c r="Q2659" s="213"/>
      <c r="R2659" s="213"/>
      <c r="S2659" s="213"/>
      <c r="T2659" s="213"/>
      <c r="U2659" s="213"/>
      <c r="V2659" s="213"/>
      <c r="W2659" s="213"/>
      <c r="X2659" s="213"/>
      <c r="Y2659" s="213"/>
      <c r="Z2659" s="213"/>
      <c r="AA2659" s="213"/>
      <c r="AB2659" s="213"/>
      <c r="AC2659" s="213"/>
      <c r="AD2659" s="213"/>
      <c r="AE2659" s="213"/>
      <c r="AF2659" s="213"/>
      <c r="AG2659" s="213"/>
      <c r="AH2659" s="213"/>
      <c r="AI2659" s="213"/>
      <c r="AJ2659" s="213"/>
      <c r="AK2659" s="213"/>
      <c r="AL2659" s="213"/>
      <c r="AM2659" s="213"/>
      <c r="AN2659" s="213"/>
      <c r="AO2659" s="213"/>
      <c r="AP2659" s="213"/>
      <c r="AQ2659" s="213"/>
      <c r="AR2659" s="213"/>
      <c r="AS2659" s="213"/>
      <c r="AT2659" s="213"/>
      <c r="AU2659" s="213"/>
      <c r="AV2659" s="213"/>
      <c r="AW2659" s="213"/>
      <c r="AX2659" s="213"/>
      <c r="AY2659" s="213"/>
      <c r="AZ2659" s="213"/>
      <c r="BA2659" s="213"/>
      <c r="BB2659" s="213"/>
      <c r="BC2659" s="213"/>
      <c r="BD2659" s="213"/>
    </row>
    <row r="2660">
      <c r="A2660" s="213">
        <f>IFERROR(__xludf.DUMMYFUNCTION("""COMPUTED_VALUE"""),1483.0)</f>
        <v>1483</v>
      </c>
      <c r="B2660" s="213" t="str">
        <f>IFERROR(__xludf.DUMMYFUNCTION("""COMPUTED_VALUE"""),"GUILLERMO E. BILLINGHURST ")</f>
        <v>GUILLERMO E. BILLINGHURST </v>
      </c>
      <c r="C2660" s="213" t="str">
        <f>IFERROR(__xludf.DUMMYFUNCTION("""COMPUTED_VALUE"""),"TALLER SFT DE INDUSTRIA ALIMENTARIA")</f>
        <v>TALLER SFT DE INDUSTRIA ALIMENTARIA</v>
      </c>
      <c r="D2660" s="213" t="str">
        <f>IFERROR(__xludf.DUMMYFUNCTION("""COMPUTED_VALUE"""),"PEDAGOGICO")</f>
        <v>PEDAGOGICO</v>
      </c>
      <c r="E2660" s="213" t="str">
        <f>IFERROR(__xludf.DUMMYFUNCTION("""COMPUTED_VALUE"""),"MAT-501")</f>
        <v>MAT-501</v>
      </c>
      <c r="F2660" s="213" t="str">
        <f>IFERROR(__xludf.DUMMYFUNCTION("""COMPUTED_VALUE"""),"MAT-501")</f>
        <v>MAT-501</v>
      </c>
      <c r="G2660" s="213"/>
      <c r="H2660" s="213" t="str">
        <f>IFERROR(__xludf.DUMMYFUNCTION("""COMPUTED_VALUE"""),"VIDEOS TUTORIALES DEL USO DE LAS MAQUINARIAS DE PROCESAMIENTO DE LACTEOS Y SUS DERIVADOS GRABADOS EN USB")</f>
        <v>VIDEOS TUTORIALES DEL USO DE LAS MAQUINARIAS DE PROCESAMIENTO DE LACTEOS Y SUS DERIVADOS GRABADOS EN USB</v>
      </c>
      <c r="I2660" s="213" t="str">
        <f>IFERROR(__xludf.DUMMYFUNCTION("""COMPUTED_VALUE"""),"· Los videos presentan las características y componentes del equipo con la demostración de la instalación y accesorios, demostración del funcionamiento  y las principales funciones que realiza así mismo las normas de seguridad que deben de considerar para"&amp;" su funcionamiento.
· Comprende los siguientes videos:
- Un video de Prensa para queso
- Un video de  batidora
- Un video de balanza
- Un video de  refractometro
- Un video de PH  metro
- Un video de Incubadora
- Un video de  Pasteurizador Domestico.
· Ca"&amp;"da video debe tener una duración no menor a 5 minutos.
· Esta grabado  en USB de capacidad mínima de 32 GB y DVD en alta definición para conectarse con la PC, Tablet,
· El USB tiene 3 tipos de conectores: para conectarse con la PC, Tablet y móvil (conecto"&amp;"r USB 3.0, conector micro USB, conector tipo C), o en su defecto se proporciona adicionalmente un conector  (cable) con las 3 posibles conexiones.
.  El USB está contenido en un estuche de plástico transparente o similar.
· El USB es compatible con iPhone"&amp;"/Android/Windows.")</f>
        <v>· 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Prensa para queso
- Un video de  batidora
- Un video de balanza
- Un video de  refractometro
- Un video de PH  metro
- Un video de Incubadora
- Un video de  Pasteurizador Domestico.
· Cada video debe tener una duración no menor a 5 minutos.
· Esta grabado  en USB de capacidad mínima de 32 GB y DVD en alta definición para conectarse con la PC, Tablet,
· El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v>
      </c>
      <c r="J2660" s="213">
        <f>IFERROR(__xludf.DUMMYFUNCTION("""COMPUTED_VALUE"""),3.0)</f>
        <v>3</v>
      </c>
      <c r="K2660" s="213" t="str">
        <f>IFERROR(__xludf.DUMMYFUNCTION("""COMPUTED_VALUE"""),"170 DÍAS CALENDARIO")</f>
        <v>170 DÍAS CALENDARIO</v>
      </c>
      <c r="L2660" s="213" t="str">
        <f>IFERROR(__xludf.DUMMYFUNCTION("""COMPUTED_VALUE"""),"")</f>
        <v/>
      </c>
      <c r="M2660" s="213">
        <f>IFERROR(__xludf.DUMMYFUNCTION("""COMPUTED_VALUE"""),1.0)</f>
        <v>1</v>
      </c>
      <c r="N2660" s="213">
        <f>IFERROR(__xludf.DUMMYFUNCTION("""COMPUTED_VALUE"""),6.0)</f>
        <v>6</v>
      </c>
      <c r="O2660" s="213">
        <f>IFERROR(__xludf.DUMMYFUNCTION("""COMPUTED_VALUE"""),6.0)</f>
        <v>6</v>
      </c>
      <c r="P2660" s="213"/>
      <c r="Q2660" s="213"/>
      <c r="R2660" s="213"/>
      <c r="S2660" s="213"/>
      <c r="T2660" s="213"/>
      <c r="U2660" s="213"/>
      <c r="V2660" s="213"/>
      <c r="W2660" s="213"/>
      <c r="X2660" s="213"/>
      <c r="Y2660" s="213"/>
      <c r="Z2660" s="213"/>
      <c r="AA2660" s="213"/>
      <c r="AB2660" s="213"/>
      <c r="AC2660" s="213"/>
      <c r="AD2660" s="213"/>
      <c r="AE2660" s="213"/>
      <c r="AF2660" s="213"/>
      <c r="AG2660" s="213"/>
      <c r="AH2660" s="213"/>
      <c r="AI2660" s="213"/>
      <c r="AJ2660" s="213"/>
      <c r="AK2660" s="213"/>
      <c r="AL2660" s="213"/>
      <c r="AM2660" s="213"/>
      <c r="AN2660" s="213"/>
      <c r="AO2660" s="213"/>
      <c r="AP2660" s="213"/>
      <c r="AQ2660" s="213"/>
      <c r="AR2660" s="213"/>
      <c r="AS2660" s="213"/>
      <c r="AT2660" s="213"/>
      <c r="AU2660" s="213"/>
      <c r="AV2660" s="213"/>
      <c r="AW2660" s="213"/>
      <c r="AX2660" s="213"/>
      <c r="AY2660" s="213"/>
      <c r="AZ2660" s="213"/>
      <c r="BA2660" s="213"/>
      <c r="BB2660" s="213"/>
      <c r="BC2660" s="213"/>
      <c r="BD2660" s="213"/>
    </row>
    <row r="2661">
      <c r="A2661" s="213">
        <f>IFERROR(__xludf.DUMMYFUNCTION("""COMPUTED_VALUE"""),2175.0)</f>
        <v>2175</v>
      </c>
      <c r="B2661" s="213" t="str">
        <f>IFERROR(__xludf.DUMMYFUNCTION("""COMPUTED_VALUE"""),"JOSE GRANDA")</f>
        <v>JOSE GRANDA</v>
      </c>
      <c r="C2661" s="213" t="str">
        <f>IFERROR(__xludf.DUMMYFUNCTION("""COMPUTED_VALUE"""),"TALLER SFT DE INDUSTRIA ALIMENTARIA")</f>
        <v>TALLER SFT DE INDUSTRIA ALIMENTARIA</v>
      </c>
      <c r="D2661" s="213" t="str">
        <f>IFERROR(__xludf.DUMMYFUNCTION("""COMPUTED_VALUE"""),"PEDAGOGICO")</f>
        <v>PEDAGOGICO</v>
      </c>
      <c r="E2661" s="213" t="str">
        <f>IFERROR(__xludf.DUMMYFUNCTION("""COMPUTED_VALUE"""),"MAT-501")</f>
        <v>MAT-501</v>
      </c>
      <c r="F2661" s="213" t="str">
        <f>IFERROR(__xludf.DUMMYFUNCTION("""COMPUTED_VALUE"""),"MAT-501")</f>
        <v>MAT-501</v>
      </c>
      <c r="G2661" s="213"/>
      <c r="H2661" s="213" t="str">
        <f>IFERROR(__xludf.DUMMYFUNCTION("""COMPUTED_VALUE"""),"VIDEOS TUTORIALES DEL USO DE LAS MAQUINARIAS DE PROCESAMIENTO DE LACTEOS Y SUS DERIVADOS GRABADOS EN USB")</f>
        <v>VIDEOS TUTORIALES DEL USO DE LAS MAQUINARIAS DE PROCESAMIENTO DE LACTEOS Y SUS DERIVADOS GRABADOS EN USB</v>
      </c>
      <c r="I2661" s="213" t="str">
        <f>IFERROR(__xludf.DUMMYFUNCTION("""COMPUTED_VALUE"""),"· Los videos presentan las características y componentes del equipo con la demostración de la instalación y accesorios, demostración del funcionamiento  y las principales funciones que realiza así mismo las normas de seguridad que deben de considerar para"&amp;" su funcionamiento.
· Comprende los siguientes videos:
- Un video de Prensa para queso
- Un video de  batidora
- Un video de balanza
- Un video de  refractometro
- Un video de PH  metro
- Un video de Incubadora
- Un video de  Pasteurizador Domestico.
· Ca"&amp;"da video debe tener una duración no menor a 5 minutos.
· Esta grabado  en USB de capacidad mínima de 32 GB y DVD en alta definición para conectarse con la PC, Tablet,
· El USB tiene 3 tipos de conectores: para conectarse con la PC, Tablet y móvil (conecto"&amp;"r USB 3.0, conector micro USB, conector tipo C), o en su defecto se proporciona adicionalmente un conector  (cable) con las 3 posibles conexiones.
.  El USB está contenido en un estuche de plástico transparente o similar.
· El USB es compatible con iPhone"&amp;"/Android/Windows.")</f>
        <v>· 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Prensa para queso
- Un video de  batidora
- Un video de balanza
- Un video de  refractometro
- Un video de PH  metro
- Un video de Incubadora
- Un video de  Pasteurizador Domestico.
· Cada video debe tener una duración no menor a 5 minutos.
· Esta grabado  en USB de capacidad mínima de 32 GB y DVD en alta definición para conectarse con la PC, Tablet,
· El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v>
      </c>
      <c r="J2661" s="213">
        <f>IFERROR(__xludf.DUMMYFUNCTION("""COMPUTED_VALUE"""),3.0)</f>
        <v>3</v>
      </c>
      <c r="K2661" s="213" t="str">
        <f>IFERROR(__xludf.DUMMYFUNCTION("""COMPUTED_VALUE"""),"170 DÍAS CALENDARIO")</f>
        <v>170 DÍAS CALENDARIO</v>
      </c>
      <c r="L2661" s="213" t="str">
        <f>IFERROR(__xludf.DUMMYFUNCTION("""COMPUTED_VALUE"""),"")</f>
        <v/>
      </c>
      <c r="M2661" s="213">
        <f>IFERROR(__xludf.DUMMYFUNCTION("""COMPUTED_VALUE"""),1.0)</f>
        <v>1</v>
      </c>
      <c r="N2661" s="213">
        <f>IFERROR(__xludf.DUMMYFUNCTION("""COMPUTED_VALUE"""),6.0)</f>
        <v>6</v>
      </c>
      <c r="O2661" s="213">
        <f>IFERROR(__xludf.DUMMYFUNCTION("""COMPUTED_VALUE"""),6.0)</f>
        <v>6</v>
      </c>
      <c r="P2661" s="213"/>
      <c r="Q2661" s="213"/>
      <c r="R2661" s="213"/>
      <c r="S2661" s="213"/>
      <c r="T2661" s="213"/>
      <c r="U2661" s="213"/>
      <c r="V2661" s="213"/>
      <c r="W2661" s="213"/>
      <c r="X2661" s="213"/>
      <c r="Y2661" s="213"/>
      <c r="Z2661" s="213"/>
      <c r="AA2661" s="213"/>
      <c r="AB2661" s="213"/>
      <c r="AC2661" s="213"/>
      <c r="AD2661" s="213"/>
      <c r="AE2661" s="213"/>
      <c r="AF2661" s="213"/>
      <c r="AG2661" s="213"/>
      <c r="AH2661" s="213"/>
      <c r="AI2661" s="213"/>
      <c r="AJ2661" s="213"/>
      <c r="AK2661" s="213"/>
      <c r="AL2661" s="213"/>
      <c r="AM2661" s="213"/>
      <c r="AN2661" s="213"/>
      <c r="AO2661" s="213"/>
      <c r="AP2661" s="213"/>
      <c r="AQ2661" s="213"/>
      <c r="AR2661" s="213"/>
      <c r="AS2661" s="213"/>
      <c r="AT2661" s="213"/>
      <c r="AU2661" s="213"/>
      <c r="AV2661" s="213"/>
      <c r="AW2661" s="213"/>
      <c r="AX2661" s="213"/>
      <c r="AY2661" s="213"/>
      <c r="AZ2661" s="213"/>
      <c r="BA2661" s="213"/>
      <c r="BB2661" s="213"/>
      <c r="BC2661" s="213"/>
      <c r="BD2661" s="213"/>
    </row>
    <row r="2662">
      <c r="A2662" s="213">
        <f>IFERROR(__xludf.DUMMYFUNCTION("""COMPUTED_VALUE"""),591.0)</f>
        <v>591</v>
      </c>
      <c r="B2662" s="213" t="str">
        <f>IFERROR(__xludf.DUMMYFUNCTION("""COMPUTED_VALUE"""),"2026 SIMON BOLIVAR")</f>
        <v>2026 SIMON BOLIVAR</v>
      </c>
      <c r="C2662" s="213" t="str">
        <f>IFERROR(__xludf.DUMMYFUNCTION("""COMPUTED_VALUE"""),"TALLER SFT DE INDUSTRIA ALIMENTARIA")</f>
        <v>TALLER SFT DE INDUSTRIA ALIMENTARIA</v>
      </c>
      <c r="D2662" s="213" t="str">
        <f>IFERROR(__xludf.DUMMYFUNCTION("""COMPUTED_VALUE"""),"PEDAGOGICO")</f>
        <v>PEDAGOGICO</v>
      </c>
      <c r="E2662" s="213" t="str">
        <f>IFERROR(__xludf.DUMMYFUNCTION("""COMPUTED_VALUE"""),"MAT-502")</f>
        <v>MAT-502</v>
      </c>
      <c r="F2662" s="213" t="str">
        <f>IFERROR(__xludf.DUMMYFUNCTION("""COMPUTED_VALUE"""),"MAT-502")</f>
        <v>MAT-502</v>
      </c>
      <c r="G2662" s="213"/>
      <c r="H2662" s="213" t="str">
        <f>IFERROR(__xludf.DUMMYFUNCTION("""COMPUTED_VALUE"""),"VIDEOS TUTORIALES DEL USO DE LAS MAQUINARIAS DE PROCESAMIENTO DE PANADERIA Y PASTELERIA GRABADOS EN USB")</f>
        <v>VIDEOS TUTORIALES DEL USO DE LAS MAQUINARIAS DE PROCESAMIENTO DE PANADERIA Y PASTELERIA GRABADOS EN USB</v>
      </c>
      <c r="I2662" s="213" t="str">
        <f>IFERROR(__xludf.DUMMYFUNCTION("""COMPUTED_VALUE"""),"Los videos presentan las características y componentes del equipo con la demostración de la instalación y accesorios, demostración del funcionamiento  y las principales funciones que realiza así mismo las normas de seguridad que deben de considerar para s"&amp;"u funcionamiento.
· Comprende los siguientes videos:
- Un video de horno.
- Un video de  batidora, amasadora.
· Cada video debe tener una duración no menor a 5 minutos.
· Esta grabado  en USB de capacidad mínima de 32 GB y DVD en alta definición para cone"&amp;"ctarse con la PC, Tablet, Pantalla Táctil.
Para almacenar los archivos de los manuales y la información complementaria en videos o textos digitales sobre usodel Uso  de las maquinarias de procesamiento  de panaderia y pasteleria.
· El USB tiene 3 tipos de"&amp;" conectores: para conectarse con la PC, Tablet y móvil (conector USB 3.0, conector micro USB, conector tipo C), o en su defecto se proporciona adicionalmente un conector  (cable) con las 3 posibles conexiones.
.  El USB está contenido en un estuche de plá"&amp;"stico transparente o similar.
· El USB es compatible con iPhone/Android/Windows.")</f>
        <v>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horno.
- Un video de  batidora, amasadora.
· Cada video debe tener una duración no menor a 5 minutos.
· Esta grabado  en USB de capacidad mínima de 32 GB y DVD en alta definición para conectarse con la PC, Tablet, Pantalla Táctil.
Para almacenar los archivos de los manuales y la información complementaria en videos o textos digitales sobre usodel Uso  de las maquinarias de procesamiento  de panaderia y pasteleria.
· El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v>
      </c>
      <c r="J2662" s="213">
        <f>IFERROR(__xludf.DUMMYFUNCTION("""COMPUTED_VALUE"""),3.0)</f>
        <v>3</v>
      </c>
      <c r="K2662" s="213" t="str">
        <f>IFERROR(__xludf.DUMMYFUNCTION("""COMPUTED_VALUE"""),"170 DÍAS CALENDARIO")</f>
        <v>170 DÍAS CALENDARIO</v>
      </c>
      <c r="L2662" s="213" t="str">
        <f>IFERROR(__xludf.DUMMYFUNCTION("""COMPUTED_VALUE"""),"")</f>
        <v/>
      </c>
      <c r="M2662" s="213">
        <f>IFERROR(__xludf.DUMMYFUNCTION("""COMPUTED_VALUE"""),1.0)</f>
        <v>1</v>
      </c>
      <c r="N2662" s="213">
        <f>IFERROR(__xludf.DUMMYFUNCTION("""COMPUTED_VALUE"""),6.0)</f>
        <v>6</v>
      </c>
      <c r="O2662" s="213">
        <f>IFERROR(__xludf.DUMMYFUNCTION("""COMPUTED_VALUE"""),6.0)</f>
        <v>6</v>
      </c>
      <c r="P2662" s="213"/>
      <c r="Q2662" s="213"/>
      <c r="R2662" s="213"/>
      <c r="S2662" s="213"/>
      <c r="T2662" s="213"/>
      <c r="U2662" s="213"/>
      <c r="V2662" s="213"/>
      <c r="W2662" s="213"/>
      <c r="X2662" s="213"/>
      <c r="Y2662" s="213"/>
      <c r="Z2662" s="213"/>
      <c r="AA2662" s="213"/>
      <c r="AB2662" s="213"/>
      <c r="AC2662" s="213"/>
      <c r="AD2662" s="213"/>
      <c r="AE2662" s="213"/>
      <c r="AF2662" s="213"/>
      <c r="AG2662" s="213"/>
      <c r="AH2662" s="213"/>
      <c r="AI2662" s="213"/>
      <c r="AJ2662" s="213"/>
      <c r="AK2662" s="213"/>
      <c r="AL2662" s="213"/>
      <c r="AM2662" s="213"/>
      <c r="AN2662" s="213"/>
      <c r="AO2662" s="213"/>
      <c r="AP2662" s="213"/>
      <c r="AQ2662" s="213"/>
      <c r="AR2662" s="213"/>
      <c r="AS2662" s="213"/>
      <c r="AT2662" s="213"/>
      <c r="AU2662" s="213"/>
      <c r="AV2662" s="213"/>
      <c r="AW2662" s="213"/>
      <c r="AX2662" s="213"/>
      <c r="AY2662" s="213"/>
      <c r="AZ2662" s="213"/>
      <c r="BA2662" s="213"/>
      <c r="BB2662" s="213"/>
      <c r="BC2662" s="213"/>
      <c r="BD2662" s="213"/>
    </row>
    <row r="2663">
      <c r="A2663" s="213">
        <f>IFERROR(__xludf.DUMMYFUNCTION("""COMPUTED_VALUE"""),1217.0)</f>
        <v>1217</v>
      </c>
      <c r="B2663" s="213" t="str">
        <f>IFERROR(__xludf.DUMMYFUNCTION("""COMPUTED_VALUE"""),"FRANCISCO IRAZOLA")</f>
        <v>FRANCISCO IRAZOLA</v>
      </c>
      <c r="C2663" s="213" t="str">
        <f>IFERROR(__xludf.DUMMYFUNCTION("""COMPUTED_VALUE"""),"TALLER SFT DE INDUSTRIA ALIMENTARIA")</f>
        <v>TALLER SFT DE INDUSTRIA ALIMENTARIA</v>
      </c>
      <c r="D2663" s="213" t="str">
        <f>IFERROR(__xludf.DUMMYFUNCTION("""COMPUTED_VALUE"""),"PEDAGOGICO")</f>
        <v>PEDAGOGICO</v>
      </c>
      <c r="E2663" s="213" t="str">
        <f>IFERROR(__xludf.DUMMYFUNCTION("""COMPUTED_VALUE"""),"MAT-502")</f>
        <v>MAT-502</v>
      </c>
      <c r="F2663" s="213" t="str">
        <f>IFERROR(__xludf.DUMMYFUNCTION("""COMPUTED_VALUE"""),"MAT-502")</f>
        <v>MAT-502</v>
      </c>
      <c r="G2663" s="213"/>
      <c r="H2663" s="213" t="str">
        <f>IFERROR(__xludf.DUMMYFUNCTION("""COMPUTED_VALUE"""),"VIDEOS TUTORIALES DEL USO DE LAS MAQUINARIAS DE PROCESAMIENTO DE PANADERIA Y PASTELERIA GRABADOS EN USB")</f>
        <v>VIDEOS TUTORIALES DEL USO DE LAS MAQUINARIAS DE PROCESAMIENTO DE PANADERIA Y PASTELERIA GRABADOS EN USB</v>
      </c>
      <c r="I2663" s="213" t="str">
        <f>IFERROR(__xludf.DUMMYFUNCTION("""COMPUTED_VALUE"""),"Los videos presentan las características y componentes del equipo con la demostración de la instalación y accesorios, demostración del funcionamiento  y las principales funciones que realiza así mismo las normas de seguridad que deben de considerar para s"&amp;"u funcionamiento.
· Comprende los siguientes videos:
- Un video de horno.
- Un video de  batidora, amasadora.
· Cada video debe tener una duración no menor a 5 minutos.
· Esta grabado  en USB de capacidad mínima de 32 GB y DVD en alta definición para cone"&amp;"ctarse con la PC, Tablet, Pantalla Táctil.
Para almacenar los archivos de los manuales y la información complementaria en videos o textos digitales sobre usodel Uso  de las maquinarias de procesamiento  de panaderia y pasteleria.
· El USB tiene 3 tipos de"&amp;" conectores: para conectarse con la PC, Tablet y móvil (conector USB 3.0, conector micro USB, conector tipo C), o en su defecto se proporciona adicionalmente un conector  (cable) con las 3 posibles conexiones.
.  El USB está contenido en un estuche de plá"&amp;"stico transparente o similar.
· El USB es compatible con iPhone/Android/Windows.")</f>
        <v>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horno.
- Un video de  batidora, amasadora.
· Cada video debe tener una duración no menor a 5 minutos.
· Esta grabado  en USB de capacidad mínima de 32 GB y DVD en alta definición para conectarse con la PC, Tablet, Pantalla Táctil.
Para almacenar los archivos de los manuales y la información complementaria en videos o textos digitales sobre usodel Uso  de las maquinarias de procesamiento  de panaderia y pasteleria.
· El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v>
      </c>
      <c r="J2663" s="213">
        <f>IFERROR(__xludf.DUMMYFUNCTION("""COMPUTED_VALUE"""),3.0)</f>
        <v>3</v>
      </c>
      <c r="K2663" s="213" t="str">
        <f>IFERROR(__xludf.DUMMYFUNCTION("""COMPUTED_VALUE"""),"170 DÍAS CALENDARIO")</f>
        <v>170 DÍAS CALENDARIO</v>
      </c>
      <c r="L2663" s="213" t="str">
        <f>IFERROR(__xludf.DUMMYFUNCTION("""COMPUTED_VALUE"""),"")</f>
        <v/>
      </c>
      <c r="M2663" s="213">
        <f>IFERROR(__xludf.DUMMYFUNCTION("""COMPUTED_VALUE"""),1.0)</f>
        <v>1</v>
      </c>
      <c r="N2663" s="213">
        <f>IFERROR(__xludf.DUMMYFUNCTION("""COMPUTED_VALUE"""),6.0)</f>
        <v>6</v>
      </c>
      <c r="O2663" s="213">
        <f>IFERROR(__xludf.DUMMYFUNCTION("""COMPUTED_VALUE"""),6.0)</f>
        <v>6</v>
      </c>
      <c r="P2663" s="213"/>
      <c r="Q2663" s="213"/>
      <c r="R2663" s="213"/>
      <c r="S2663" s="213"/>
      <c r="T2663" s="213"/>
      <c r="U2663" s="213"/>
      <c r="V2663" s="213"/>
      <c r="W2663" s="213"/>
      <c r="X2663" s="213"/>
      <c r="Y2663" s="213"/>
      <c r="Z2663" s="213"/>
      <c r="AA2663" s="213"/>
      <c r="AB2663" s="213"/>
      <c r="AC2663" s="213"/>
      <c r="AD2663" s="213"/>
      <c r="AE2663" s="213"/>
      <c r="AF2663" s="213"/>
      <c r="AG2663" s="213"/>
      <c r="AH2663" s="213"/>
      <c r="AI2663" s="213"/>
      <c r="AJ2663" s="213"/>
      <c r="AK2663" s="213"/>
      <c r="AL2663" s="213"/>
      <c r="AM2663" s="213"/>
      <c r="AN2663" s="213"/>
      <c r="AO2663" s="213"/>
      <c r="AP2663" s="213"/>
      <c r="AQ2663" s="213"/>
      <c r="AR2663" s="213"/>
      <c r="AS2663" s="213"/>
      <c r="AT2663" s="213"/>
      <c r="AU2663" s="213"/>
      <c r="AV2663" s="213"/>
      <c r="AW2663" s="213"/>
      <c r="AX2663" s="213"/>
      <c r="AY2663" s="213"/>
      <c r="AZ2663" s="213"/>
      <c r="BA2663" s="213"/>
      <c r="BB2663" s="213"/>
      <c r="BC2663" s="213"/>
      <c r="BD2663" s="213"/>
    </row>
    <row r="2664">
      <c r="A2664" s="213">
        <f>IFERROR(__xludf.DUMMYFUNCTION("""COMPUTED_VALUE"""),1488.0)</f>
        <v>1488</v>
      </c>
      <c r="B2664" s="213" t="str">
        <f>IFERROR(__xludf.DUMMYFUNCTION("""COMPUTED_VALUE"""),"GUILLERMO E. BILLINGHURST ")</f>
        <v>GUILLERMO E. BILLINGHURST </v>
      </c>
      <c r="C2664" s="213" t="str">
        <f>IFERROR(__xludf.DUMMYFUNCTION("""COMPUTED_VALUE"""),"TALLER SFT DE INDUSTRIA ALIMENTARIA")</f>
        <v>TALLER SFT DE INDUSTRIA ALIMENTARIA</v>
      </c>
      <c r="D2664" s="213" t="str">
        <f>IFERROR(__xludf.DUMMYFUNCTION("""COMPUTED_VALUE"""),"PEDAGOGICO")</f>
        <v>PEDAGOGICO</v>
      </c>
      <c r="E2664" s="213" t="str">
        <f>IFERROR(__xludf.DUMMYFUNCTION("""COMPUTED_VALUE"""),"MAT-502")</f>
        <v>MAT-502</v>
      </c>
      <c r="F2664" s="213" t="str">
        <f>IFERROR(__xludf.DUMMYFUNCTION("""COMPUTED_VALUE"""),"MAT-502")</f>
        <v>MAT-502</v>
      </c>
      <c r="G2664" s="213"/>
      <c r="H2664" s="213" t="str">
        <f>IFERROR(__xludf.DUMMYFUNCTION("""COMPUTED_VALUE"""),"VIDEOS TUTORIALES DEL USO DE LAS MAQUINARIAS DE PROCESAMIENTO DE PANADERIA Y PASTELERIA GRABADOS EN USB")</f>
        <v>VIDEOS TUTORIALES DEL USO DE LAS MAQUINARIAS DE PROCESAMIENTO DE PANADERIA Y PASTELERIA GRABADOS EN USB</v>
      </c>
      <c r="I2664" s="213" t="str">
        <f>IFERROR(__xludf.DUMMYFUNCTION("""COMPUTED_VALUE"""),"Los videos presentan las características y componentes del equipo con la demostración de la instalación y accesorios, demostración del funcionamiento  y las principales funciones que realiza así mismo las normas de seguridad que deben de considerar para s"&amp;"u funcionamiento.
· Comprende los siguientes videos:
- Un video de horno.
- Un video de  batidora, amasadora.
· Cada video debe tener una duración no menor a 5 minutos.
· Esta grabado  en USB de capacidad mínima de 32 GB y DVD en alta definición para cone"&amp;"ctarse con la PC, Tablet, Pantalla Táctil.
Para almacenar los archivos de los manuales y la información complementaria en videos o textos digitales sobre usodel Uso  de las maquinarias de procesamiento  de panaderia y pasteleria.
· El USB tiene 3 tipos de"&amp;" conectores: para conectarse con la PC, Tablet y móvil (conector USB 3.0, conector micro USB, conector tipo C), o en su defecto se proporciona adicionalmente un conector  (cable) con las 3 posibles conexiones.
.  El USB está contenido en un estuche de plá"&amp;"stico transparente o similar.
· El USB es compatible con iPhone/Android/Windows.")</f>
        <v>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horno.
- Un video de  batidora, amasadora.
· Cada video debe tener una duración no menor a 5 minutos.
· Esta grabado  en USB de capacidad mínima de 32 GB y DVD en alta definición para conectarse con la PC, Tablet, Pantalla Táctil.
Para almacenar los archivos de los manuales y la información complementaria en videos o textos digitales sobre usodel Uso  de las maquinarias de procesamiento  de panaderia y pasteleria.
· El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v>
      </c>
      <c r="J2664" s="213">
        <f>IFERROR(__xludf.DUMMYFUNCTION("""COMPUTED_VALUE"""),3.0)</f>
        <v>3</v>
      </c>
      <c r="K2664" s="213" t="str">
        <f>IFERROR(__xludf.DUMMYFUNCTION("""COMPUTED_VALUE"""),"170 DÍAS CALENDARIO")</f>
        <v>170 DÍAS CALENDARIO</v>
      </c>
      <c r="L2664" s="213" t="str">
        <f>IFERROR(__xludf.DUMMYFUNCTION("""COMPUTED_VALUE"""),"")</f>
        <v/>
      </c>
      <c r="M2664" s="213">
        <f>IFERROR(__xludf.DUMMYFUNCTION("""COMPUTED_VALUE"""),1.0)</f>
        <v>1</v>
      </c>
      <c r="N2664" s="213">
        <f>IFERROR(__xludf.DUMMYFUNCTION("""COMPUTED_VALUE"""),6.0)</f>
        <v>6</v>
      </c>
      <c r="O2664" s="213">
        <f>IFERROR(__xludf.DUMMYFUNCTION("""COMPUTED_VALUE"""),6.0)</f>
        <v>6</v>
      </c>
      <c r="P2664" s="213"/>
      <c r="Q2664" s="213"/>
      <c r="R2664" s="213"/>
      <c r="S2664" s="213"/>
      <c r="T2664" s="213"/>
      <c r="U2664" s="213"/>
      <c r="V2664" s="213"/>
      <c r="W2664" s="213"/>
      <c r="X2664" s="213"/>
      <c r="Y2664" s="213"/>
      <c r="Z2664" s="213"/>
      <c r="AA2664" s="213"/>
      <c r="AB2664" s="213"/>
      <c r="AC2664" s="213"/>
      <c r="AD2664" s="213"/>
      <c r="AE2664" s="213"/>
      <c r="AF2664" s="213"/>
      <c r="AG2664" s="213"/>
      <c r="AH2664" s="213"/>
      <c r="AI2664" s="213"/>
      <c r="AJ2664" s="213"/>
      <c r="AK2664" s="213"/>
      <c r="AL2664" s="213"/>
      <c r="AM2664" s="213"/>
      <c r="AN2664" s="213"/>
      <c r="AO2664" s="213"/>
      <c r="AP2664" s="213"/>
      <c r="AQ2664" s="213"/>
      <c r="AR2664" s="213"/>
      <c r="AS2664" s="213"/>
      <c r="AT2664" s="213"/>
      <c r="AU2664" s="213"/>
      <c r="AV2664" s="213"/>
      <c r="AW2664" s="213"/>
      <c r="AX2664" s="213"/>
      <c r="AY2664" s="213"/>
      <c r="AZ2664" s="213"/>
      <c r="BA2664" s="213"/>
      <c r="BB2664" s="213"/>
      <c r="BC2664" s="213"/>
      <c r="BD2664" s="213"/>
    </row>
    <row r="2665">
      <c r="A2665" s="213">
        <f>IFERROR(__xludf.DUMMYFUNCTION("""COMPUTED_VALUE"""),2180.0)</f>
        <v>2180</v>
      </c>
      <c r="B2665" s="213" t="str">
        <f>IFERROR(__xludf.DUMMYFUNCTION("""COMPUTED_VALUE"""),"JOSE GRANDA")</f>
        <v>JOSE GRANDA</v>
      </c>
      <c r="C2665" s="213" t="str">
        <f>IFERROR(__xludf.DUMMYFUNCTION("""COMPUTED_VALUE"""),"TALLER SFT DE INDUSTRIA ALIMENTARIA")</f>
        <v>TALLER SFT DE INDUSTRIA ALIMENTARIA</v>
      </c>
      <c r="D2665" s="213" t="str">
        <f>IFERROR(__xludf.DUMMYFUNCTION("""COMPUTED_VALUE"""),"PEDAGOGICO")</f>
        <v>PEDAGOGICO</v>
      </c>
      <c r="E2665" s="213" t="str">
        <f>IFERROR(__xludf.DUMMYFUNCTION("""COMPUTED_VALUE"""),"MAT-502")</f>
        <v>MAT-502</v>
      </c>
      <c r="F2665" s="213" t="str">
        <f>IFERROR(__xludf.DUMMYFUNCTION("""COMPUTED_VALUE"""),"MAT-502")</f>
        <v>MAT-502</v>
      </c>
      <c r="G2665" s="213"/>
      <c r="H2665" s="213" t="str">
        <f>IFERROR(__xludf.DUMMYFUNCTION("""COMPUTED_VALUE"""),"VIDEOS TUTORIALES DEL USO DE LAS MAQUINARIAS DE PROCESAMIENTO DE PANADERIA Y PASTELERIA GRABADOS EN USB")</f>
        <v>VIDEOS TUTORIALES DEL USO DE LAS MAQUINARIAS DE PROCESAMIENTO DE PANADERIA Y PASTELERIA GRABADOS EN USB</v>
      </c>
      <c r="I2665" s="213" t="str">
        <f>IFERROR(__xludf.DUMMYFUNCTION("""COMPUTED_VALUE"""),"Los videos presentan las características y componentes del equipo con la demostración de la instalación y accesorios, demostración del funcionamiento  y las principales funciones que realiza así mismo las normas de seguridad que deben de considerar para s"&amp;"u funcionamiento.
· Comprende los siguientes videos:
- Un video de horno.
- Un video de  batidora, amasadora.
· Cada video debe tener una duración no menor a 5 minutos.
· Esta grabado  en USB de capacidad mínima de 32 GB y DVD en alta definición para cone"&amp;"ctarse con la PC, Tablet, Pantalla Táctil.
Para almacenar los archivos de los manuales y la información complementaria en videos o textos digitales sobre usodel Uso  de las maquinarias de procesamiento  de panaderia y pasteleria.
· El USB tiene 3 tipos de"&amp;" conectores: para conectarse con la PC, Tablet y móvil (conector USB 3.0, conector micro USB, conector tipo C), o en su defecto se proporciona adicionalmente un conector  (cable) con las 3 posibles conexiones.
.  El USB está contenido en un estuche de plá"&amp;"stico transparente o similar.
· El USB es compatible con iPhone/Android/Windows.")</f>
        <v>Los videos presentan las características y componentes del equipo con la demostración de la instalación y accesorios, demostración del funcionamiento  y las principales funciones que realiza así mismo las normas de seguridad que deben de considerar para su funcionamiento.
· Comprende los siguientes videos:
- Un video de horno.
- Un video de  batidora, amasadora.
· Cada video debe tener una duración no menor a 5 minutos.
· Esta grabado  en USB de capacidad mínima de 32 GB y DVD en alta definición para conectarse con la PC, Tablet, Pantalla Táctil.
Para almacenar los archivos de los manuales y la información complementaria en videos o textos digitales sobre usodel Uso  de las maquinarias de procesamiento  de panaderia y pasteleria.
· El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v>
      </c>
      <c r="J2665" s="213">
        <f>IFERROR(__xludf.DUMMYFUNCTION("""COMPUTED_VALUE"""),3.0)</f>
        <v>3</v>
      </c>
      <c r="K2665" s="213" t="str">
        <f>IFERROR(__xludf.DUMMYFUNCTION("""COMPUTED_VALUE"""),"170 DÍAS CALENDARIO")</f>
        <v>170 DÍAS CALENDARIO</v>
      </c>
      <c r="L2665" s="213" t="str">
        <f>IFERROR(__xludf.DUMMYFUNCTION("""COMPUTED_VALUE"""),"")</f>
        <v/>
      </c>
      <c r="M2665" s="213">
        <f>IFERROR(__xludf.DUMMYFUNCTION("""COMPUTED_VALUE"""),1.0)</f>
        <v>1</v>
      </c>
      <c r="N2665" s="213">
        <f>IFERROR(__xludf.DUMMYFUNCTION("""COMPUTED_VALUE"""),6.0)</f>
        <v>6</v>
      </c>
      <c r="O2665" s="213">
        <f>IFERROR(__xludf.DUMMYFUNCTION("""COMPUTED_VALUE"""),6.0)</f>
        <v>6</v>
      </c>
      <c r="P2665" s="213"/>
      <c r="Q2665" s="213"/>
      <c r="R2665" s="213"/>
      <c r="S2665" s="213"/>
      <c r="T2665" s="213"/>
      <c r="U2665" s="213"/>
      <c r="V2665" s="213"/>
      <c r="W2665" s="213"/>
      <c r="X2665" s="213"/>
      <c r="Y2665" s="213"/>
      <c r="Z2665" s="213"/>
      <c r="AA2665" s="213"/>
      <c r="AB2665" s="213"/>
      <c r="AC2665" s="213"/>
      <c r="AD2665" s="213"/>
      <c r="AE2665" s="213"/>
      <c r="AF2665" s="213"/>
      <c r="AG2665" s="213"/>
      <c r="AH2665" s="213"/>
      <c r="AI2665" s="213"/>
      <c r="AJ2665" s="213"/>
      <c r="AK2665" s="213"/>
      <c r="AL2665" s="213"/>
      <c r="AM2665" s="213"/>
      <c r="AN2665" s="213"/>
      <c r="AO2665" s="213"/>
      <c r="AP2665" s="213"/>
      <c r="AQ2665" s="213"/>
      <c r="AR2665" s="213"/>
      <c r="AS2665" s="213"/>
      <c r="AT2665" s="213"/>
      <c r="AU2665" s="213"/>
      <c r="AV2665" s="213"/>
      <c r="AW2665" s="213"/>
      <c r="AX2665" s="213"/>
      <c r="AY2665" s="213"/>
      <c r="AZ2665" s="213"/>
      <c r="BA2665" s="213"/>
      <c r="BB2665" s="213"/>
      <c r="BC2665" s="213"/>
      <c r="BD2665" s="213"/>
    </row>
    <row r="2666">
      <c r="A2666" s="213">
        <f>IFERROR(__xludf.DUMMYFUNCTION("""COMPUTED_VALUE"""),2477.0)</f>
        <v>2477</v>
      </c>
      <c r="B2666" s="213" t="str">
        <f>IFERROR(__xludf.DUMMYFUNCTION("""COMPUTED_VALUE"""),"MANUEL ANTONIO MESONES MURO")</f>
        <v>MANUEL ANTONIO MESONES MURO</v>
      </c>
      <c r="C2666" s="213" t="str">
        <f>IFERROR(__xludf.DUMMYFUNCTION("""COMPUTED_VALUE"""),"TALLER SFT DE CONSTRUCCIONES METÁLICAS")</f>
        <v>TALLER SFT DE CONSTRUCCIONES METÁLICAS</v>
      </c>
      <c r="D2666" s="213" t="str">
        <f>IFERROR(__xludf.DUMMYFUNCTION("""COMPUTED_VALUE"""),"HERRAMIENTAS")</f>
        <v>HERRAMIENTAS</v>
      </c>
      <c r="E2666" s="213" t="str">
        <f>IFERROR(__xludf.DUMMYFUNCTION("""COMPUTED_VALUE"""),"COM-304")</f>
        <v>COM-304</v>
      </c>
      <c r="F2666" s="213" t="str">
        <f>IFERROR(__xludf.DUMMYFUNCTION("""COMPUTED_VALUE"""),"COM-304")</f>
        <v>COM-304</v>
      </c>
      <c r="G2666" s="213"/>
      <c r="H2666" s="213" t="str">
        <f>IFERROR(__xludf.DUMMYFUNCTION("""COMPUTED_VALUE"""),"WINCHA DE 3 METROS")</f>
        <v>WINCHA DE 3 METROS</v>
      </c>
      <c r="I2666" s="213" t="str">
        <f>IFERROR(__xludf.DUMMYFUNCTION("""COMPUTED_VALUE"""),"Wincha metálica de 3 m
-           Tipo de medida, pulgadas y milímetros")</f>
        <v>Wincha metálica de 3 m
-           Tipo de medida, pulgadas y milímetros</v>
      </c>
      <c r="J2666" s="213">
        <f>IFERROR(__xludf.DUMMYFUNCTION("""COMPUTED_VALUE"""),3.0)</f>
        <v>3</v>
      </c>
      <c r="K2666" s="213" t="str">
        <f>IFERROR(__xludf.DUMMYFUNCTION("""COMPUTED_VALUE"""),"90 DÍAS CALENDARIO")</f>
        <v>90 DÍAS CALENDARIO</v>
      </c>
      <c r="L2666" s="213" t="str">
        <f>IFERROR(__xludf.DUMMYFUNCTION("""COMPUTED_VALUE"""),"")</f>
        <v/>
      </c>
      <c r="M2666" s="213">
        <f>IFERROR(__xludf.DUMMYFUNCTION("""COMPUTED_VALUE"""),1.0)</f>
        <v>1</v>
      </c>
      <c r="N2666" s="213">
        <f>IFERROR(__xludf.DUMMYFUNCTION("""COMPUTED_VALUE"""),5.0)</f>
        <v>5</v>
      </c>
      <c r="O2666" s="213">
        <f>IFERROR(__xludf.DUMMYFUNCTION("""COMPUTED_VALUE"""),5.0)</f>
        <v>5</v>
      </c>
      <c r="P2666" s="213"/>
      <c r="Q2666" s="213"/>
      <c r="R2666" s="213" t="str">
        <f>IFERROR(__xludf.DUMMYFUNCTION("""COMPUTED_VALUE"""),"SI")</f>
        <v>SI</v>
      </c>
      <c r="S2666" s="213"/>
      <c r="T2666" s="213" t="str">
        <f>IFERROR(__xludf.DUMMYFUNCTION("""COMPUTED_VALUE"""),"SI")</f>
        <v>SI</v>
      </c>
      <c r="U2666" s="213" t="str">
        <f>IFERROR(__xludf.DUMMYFUNCTION("""COMPUTED_VALUE"""),"SI")</f>
        <v>SI</v>
      </c>
      <c r="V2666" s="213" t="str">
        <f>IFERROR(__xludf.DUMMYFUNCTION("""COMPUTED_VALUE"""),"-")</f>
        <v>-</v>
      </c>
      <c r="W2666" s="213" t="str">
        <f>IFERROR(__xludf.DUMMYFUNCTION("""COMPUTED_VALUE"""),"-")</f>
        <v>-</v>
      </c>
      <c r="X2666" s="213" t="str">
        <f>IFERROR(__xludf.DUMMYFUNCTION("""COMPUTED_VALUE"""),"STANLEY")</f>
        <v>STANLEY</v>
      </c>
      <c r="Y2666" s="213" t="str">
        <f>IFERROR(__xludf.DUMMYFUNCTION("""COMPUTED_VALUE"""),"30-608")</f>
        <v>30-608</v>
      </c>
      <c r="Z2666" s="215" t="str">
        <f>IFERROR(__xludf.DUMMYFUNCTION("""COMPUTED_VALUE"""),"https://prosinfer.pe/product/cinta-metrica-wincha-3-m-stanley-30-608-global-plus/")</f>
        <v>https://prosinfer.pe/product/cinta-metrica-wincha-3-m-stanley-30-608-global-plus/</v>
      </c>
      <c r="AA2666" s="213" t="str">
        <f>IFERROR(__xludf.DUMMYFUNCTION("""COMPUTED_VALUE"""),"COM-304 WINCHA DE 3 METROS - CET")</f>
        <v>COM-304 WINCHA DE 3 METROS - CET</v>
      </c>
      <c r="AB2666" s="213"/>
      <c r="AC2666" s="213"/>
      <c r="AD2666" s="213"/>
      <c r="AE2666" s="213"/>
      <c r="AF2666" s="213"/>
      <c r="AG2666" s="213"/>
      <c r="AH2666" s="213"/>
      <c r="AI2666" s="213"/>
      <c r="AJ2666" s="213"/>
      <c r="AK2666" s="213"/>
      <c r="AL2666" s="213"/>
      <c r="AM2666" s="213"/>
      <c r="AN2666" s="213"/>
      <c r="AO2666" s="213"/>
      <c r="AP2666" s="213" t="str">
        <f>IFERROR(__xludf.DUMMYFUNCTION("""COMPUTED_VALUE"""),"LUIS")</f>
        <v>LUIS</v>
      </c>
      <c r="AQ2666" s="213"/>
      <c r="AR2666" s="213"/>
      <c r="AS2666" s="213"/>
      <c r="AT2666" s="213"/>
      <c r="AU2666" s="213"/>
      <c r="AV2666" s="213"/>
      <c r="AW2666" s="213"/>
      <c r="AX2666" s="213"/>
      <c r="AY2666" s="213"/>
      <c r="AZ2666" s="213"/>
      <c r="BA2666" s="213"/>
      <c r="BB2666" s="213"/>
      <c r="BC2666" s="213"/>
      <c r="BD2666" s="213"/>
    </row>
    <row r="2667">
      <c r="A2667" s="213">
        <f>IFERROR(__xludf.DUMMYFUNCTION("""COMPUTED_VALUE"""),1015.0)</f>
        <v>1015</v>
      </c>
      <c r="B2667" s="213" t="str">
        <f>IFERROR(__xludf.DUMMYFUNCTION("""COMPUTED_VALUE"""),"FRANCISCO IRAZOLA")</f>
        <v>FRANCISCO IRAZOLA</v>
      </c>
      <c r="C2667" s="213" t="str">
        <f>IFERROR(__xludf.DUMMYFUNCTION("""COMPUTED_VALUE"""),"TALLER SFT DE MECÁNICA AUTOMOTRIZ")</f>
        <v>TALLER SFT DE MECÁNICA AUTOMOTRIZ</v>
      </c>
      <c r="D2667" s="213" t="str">
        <f>IFERROR(__xludf.DUMMYFUNCTION("""COMPUTED_VALUE"""),"PEDAGOGICO")</f>
        <v>PEDAGOGICO</v>
      </c>
      <c r="E2667" s="213" t="str">
        <f>IFERROR(__xludf.DUMMYFUNCTION("""COMPUTED_VALUE"""),"MAT-506")</f>
        <v>MAT-506</v>
      </c>
      <c r="F2667" s="213" t="str">
        <f>IFERROR(__xludf.DUMMYFUNCTION("""COMPUTED_VALUE"""),"MAT-506")</f>
        <v>MAT-506</v>
      </c>
      <c r="G2667" s="213"/>
      <c r="H2667" s="213" t="str">
        <f>IFERROR(__xludf.DUMMYFUNCTION("""COMPUTED_VALUE"""),"VIDEOS TUTORIALES DEL USO DE LOS ELEVADORES HIDRÁULICOS, GRABADO EN USB.")</f>
        <v>VIDEOS TUTORIALES DEL USO DE LOS ELEVADORES HIDRÁULICOS, GRABADO EN USB.</v>
      </c>
      <c r="I2667" s="213" t="str">
        <f>IFERROR(__xludf.DUMMYFUNCTION("""COMPUTED_VALUE"""),"Calidad física
· El USB tiene la capacidad de mínimo 32 GB, para almacenar la información en videos tutoriales del uso pedadógico sobre los elevadores hidráulicos.
· Video grabado USB tiene 3 tipos de conectores: para conectarse con la PC, Tablet y móvil "&amp;"(conector USB 3.0, conector micro USB, conector tipo C).
· Video grabado en formato MP4 / AVI, en alta resolución 4K o HD
· El video tendrá una duración de  30 minutos como mínimo. Dividido en 3 secciones.
· Calidad pedagógica.
· En la primera sección pre"&amp;"senta el video tutorial del uso del elevador de tijera hidráulico
· En la segunda sección presenta el video tutorial del elevador de columnas hidráulico
· Cada sección presentará: el título de la técnica, la descripción y partes de la máquina, demostració"&amp;"n de la preparación de la máquina, demostración del funcionamiento, mantenimiento preventivo y aplicación de normas de seguridad.
- Cada sección integra imágenes, sonido, video y textos de manera creativa y motivadora para adolescentes
de educación secund"&amp;"aria.")</f>
        <v>Calidad física
· El USB tiene la capacidad de mínimo 32 GB, para almacenar la información en videos tutoriales del uso pedadógico sobre los elevadores hidráulicos.
· Video grabado USB tiene 3 tipos de conectores: para conectarse con la PC, Tablet y móvil (conector USB 3.0, conector micro USB, conector tipo C).
· Video grabado en formato MP4 / AVI, en alta resolución 4K o HD
· El video tendrá una duración de  30 minutos como mínimo. Dividido en 3 secciones.
· Calidad pedagógica.
· En la primera sección presenta el video tutorial del uso del elevador de tijera hidráulico
· En la segunda sección presenta el video tutorial del elevador de columnas hidráulico
· Cada sección presentará: el título de la técnica, la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67" s="213">
        <f>IFERROR(__xludf.DUMMYFUNCTION("""COMPUTED_VALUE"""),3.0)</f>
        <v>3</v>
      </c>
      <c r="K2667" s="213" t="str">
        <f>IFERROR(__xludf.DUMMYFUNCTION("""COMPUTED_VALUE"""),"170 DÍAS CALENDARIO")</f>
        <v>170 DÍAS CALENDARIO</v>
      </c>
      <c r="L2667" s="213" t="str">
        <f>IFERROR(__xludf.DUMMYFUNCTION("""COMPUTED_VALUE"""),"")</f>
        <v/>
      </c>
      <c r="M2667" s="213">
        <f>IFERROR(__xludf.DUMMYFUNCTION("""COMPUTED_VALUE"""),1.0)</f>
        <v>1</v>
      </c>
      <c r="N2667" s="213">
        <f>IFERROR(__xludf.DUMMYFUNCTION("""COMPUTED_VALUE"""),1.0)</f>
        <v>1</v>
      </c>
      <c r="O2667" s="213">
        <f>IFERROR(__xludf.DUMMYFUNCTION("""COMPUTED_VALUE"""),1.0)</f>
        <v>1</v>
      </c>
      <c r="P2667" s="213"/>
      <c r="Q2667" s="213"/>
      <c r="R2667" s="213"/>
      <c r="S2667" s="213"/>
      <c r="T2667" s="213"/>
      <c r="U2667" s="213"/>
      <c r="V2667" s="213"/>
      <c r="W2667" s="213"/>
      <c r="X2667" s="213"/>
      <c r="Y2667" s="213"/>
      <c r="Z2667" s="213"/>
      <c r="AA2667" s="213"/>
      <c r="AB2667" s="213"/>
      <c r="AC2667" s="213"/>
      <c r="AD2667" s="213"/>
      <c r="AE2667" s="213"/>
      <c r="AF2667" s="213"/>
      <c r="AG2667" s="213"/>
      <c r="AH2667" s="213"/>
      <c r="AI2667" s="213"/>
      <c r="AJ2667" s="213"/>
      <c r="AK2667" s="213"/>
      <c r="AL2667" s="213"/>
      <c r="AM2667" s="213"/>
      <c r="AN2667" s="213"/>
      <c r="AO2667" s="213"/>
      <c r="AP2667" s="213"/>
      <c r="AQ2667" s="213"/>
      <c r="AR2667" s="213"/>
      <c r="AS2667" s="213"/>
      <c r="AT2667" s="213"/>
      <c r="AU2667" s="213"/>
      <c r="AV2667" s="213"/>
      <c r="AW2667" s="213"/>
      <c r="AX2667" s="213"/>
      <c r="AY2667" s="213"/>
      <c r="AZ2667" s="213"/>
      <c r="BA2667" s="213"/>
      <c r="BB2667" s="213"/>
      <c r="BC2667" s="213"/>
      <c r="BD2667" s="213"/>
    </row>
    <row r="2668">
      <c r="A2668" s="213">
        <f>IFERROR(__xludf.DUMMYFUNCTION("""COMPUTED_VALUE"""),1620.0)</f>
        <v>1620</v>
      </c>
      <c r="B2668" s="213" t="str">
        <f>IFERROR(__xludf.DUMMYFUNCTION("""COMPUTED_VALUE"""),"GUILLERMO E. BILLINGHURST ")</f>
        <v>GUILLERMO E. BILLINGHURST </v>
      </c>
      <c r="C2668" s="213" t="str">
        <f>IFERROR(__xludf.DUMMYFUNCTION("""COMPUTED_VALUE"""),"TALLER SFT DE MECÁNICA AUTOMOTRIZ")</f>
        <v>TALLER SFT DE MECÁNICA AUTOMOTRIZ</v>
      </c>
      <c r="D2668" s="213" t="str">
        <f>IFERROR(__xludf.DUMMYFUNCTION("""COMPUTED_VALUE"""),"PEDAGOGICO")</f>
        <v>PEDAGOGICO</v>
      </c>
      <c r="E2668" s="213" t="str">
        <f>IFERROR(__xludf.DUMMYFUNCTION("""COMPUTED_VALUE"""),"MAT-506")</f>
        <v>MAT-506</v>
      </c>
      <c r="F2668" s="213" t="str">
        <f>IFERROR(__xludf.DUMMYFUNCTION("""COMPUTED_VALUE"""),"MAT-506")</f>
        <v>MAT-506</v>
      </c>
      <c r="G2668" s="213"/>
      <c r="H2668" s="213" t="str">
        <f>IFERROR(__xludf.DUMMYFUNCTION("""COMPUTED_VALUE"""),"VIDEOS TUTORIALES DEL USO DE LOS ELEVADORES HIDRÁULICOS, GRABADO EN USB.")</f>
        <v>VIDEOS TUTORIALES DEL USO DE LOS ELEVADORES HIDRÁULICOS, GRABADO EN USB.</v>
      </c>
      <c r="I2668" s="213" t="str">
        <f>IFERROR(__xludf.DUMMYFUNCTION("""COMPUTED_VALUE"""),"Calidad física
· El USB tiene la capacidad de mínimo 32 GB, para almacenar la información en videos tutoriales del uso pedadógico sobre los elevadores hidráulicos.
· Video grabado USB tiene 3 tipos de conectores: para conectarse con la PC, Tablet y móvil "&amp;"(conector USB 3.0, conector micro USB, conector tipo C).
· Video grabado en formato MP4 / AVI, en alta resolución 4K o HD
· El video tendrá una duración de  30 minutos como mínimo. Dividido en 3 secciones.
· Calidad pedagógica.
· En la primera sección pre"&amp;"senta el video tutorial del uso del elevador de tijera hidráulico
· En la segunda sección presenta el video tutorial del elevador de columnas hidráulico
· Cada sección presentará: el título de la técnica, la descripción y partes de la máquina, demostració"&amp;"n de la preparación de la máquina, demostración del funcionamiento, mantenimiento preventivo y aplicación de normas de seguridad.
- Cada sección integra imágenes, sonido, video y textos de manera creativa y motivadora para adolescentes
de educación secund"&amp;"aria.")</f>
        <v>Calidad física
· El USB tiene la capacidad de mínimo 32 GB, para almacenar la información en videos tutoriales del uso pedadógico sobre los elevadores hidráulicos.
· Video grabado USB tiene 3 tipos de conectores: para conectarse con la PC, Tablet y móvil (conector USB 3.0, conector micro USB, conector tipo C).
· Video grabado en formato MP4 / AVI, en alta resolución 4K o HD
· El video tendrá una duración de  30 minutos como mínimo. Dividido en 3 secciones.
· Calidad pedagógica.
· En la primera sección presenta el video tutorial del uso del elevador de tijera hidráulico
· En la segunda sección presenta el video tutorial del elevador de columnas hidráulico
· Cada sección presentará: el título de la técnica, la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68" s="213">
        <f>IFERROR(__xludf.DUMMYFUNCTION("""COMPUTED_VALUE"""),3.0)</f>
        <v>3</v>
      </c>
      <c r="K2668" s="213" t="str">
        <f>IFERROR(__xludf.DUMMYFUNCTION("""COMPUTED_VALUE"""),"170 DÍAS CALENDARIO")</f>
        <v>170 DÍAS CALENDARIO</v>
      </c>
      <c r="L2668" s="213" t="str">
        <f>IFERROR(__xludf.DUMMYFUNCTION("""COMPUTED_VALUE"""),"")</f>
        <v/>
      </c>
      <c r="M2668" s="213">
        <f>IFERROR(__xludf.DUMMYFUNCTION("""COMPUTED_VALUE"""),1.0)</f>
        <v>1</v>
      </c>
      <c r="N2668" s="213">
        <f>IFERROR(__xludf.DUMMYFUNCTION("""COMPUTED_VALUE"""),1.0)</f>
        <v>1</v>
      </c>
      <c r="O2668" s="213">
        <f>IFERROR(__xludf.DUMMYFUNCTION("""COMPUTED_VALUE"""),1.0)</f>
        <v>1</v>
      </c>
      <c r="P2668" s="213"/>
      <c r="Q2668" s="213"/>
      <c r="R2668" s="213"/>
      <c r="S2668" s="213"/>
      <c r="T2668" s="213"/>
      <c r="U2668" s="213"/>
      <c r="V2668" s="213"/>
      <c r="W2668" s="213"/>
      <c r="X2668" s="213"/>
      <c r="Y2668" s="213"/>
      <c r="Z2668" s="213"/>
      <c r="AA2668" s="213"/>
      <c r="AB2668" s="213"/>
      <c r="AC2668" s="213"/>
      <c r="AD2668" s="213"/>
      <c r="AE2668" s="213"/>
      <c r="AF2668" s="213"/>
      <c r="AG2668" s="213"/>
      <c r="AH2668" s="213"/>
      <c r="AI2668" s="213"/>
      <c r="AJ2668" s="213"/>
      <c r="AK2668" s="213"/>
      <c r="AL2668" s="213"/>
      <c r="AM2668" s="213"/>
      <c r="AN2668" s="213"/>
      <c r="AO2668" s="213"/>
      <c r="AP2668" s="213"/>
      <c r="AQ2668" s="213"/>
      <c r="AR2668" s="213"/>
      <c r="AS2668" s="213"/>
      <c r="AT2668" s="213"/>
      <c r="AU2668" s="213"/>
      <c r="AV2668" s="213"/>
      <c r="AW2668" s="213"/>
      <c r="AX2668" s="213"/>
      <c r="AY2668" s="213"/>
      <c r="AZ2668" s="213"/>
      <c r="BA2668" s="213"/>
      <c r="BB2668" s="213"/>
      <c r="BC2668" s="213"/>
      <c r="BD2668" s="213"/>
    </row>
    <row r="2669">
      <c r="A2669" s="213">
        <f>IFERROR(__xludf.DUMMYFUNCTION("""COMPUTED_VALUE"""),2311.0)</f>
        <v>2311</v>
      </c>
      <c r="B2669" s="213" t="str">
        <f>IFERROR(__xludf.DUMMYFUNCTION("""COMPUTED_VALUE"""),"JOSE GRANDA")</f>
        <v>JOSE GRANDA</v>
      </c>
      <c r="C2669" s="213" t="str">
        <f>IFERROR(__xludf.DUMMYFUNCTION("""COMPUTED_VALUE"""),"TALLER SFT DE MECÁNICA AUTOMOTRIZ")</f>
        <v>TALLER SFT DE MECÁNICA AUTOMOTRIZ</v>
      </c>
      <c r="D2669" s="213" t="str">
        <f>IFERROR(__xludf.DUMMYFUNCTION("""COMPUTED_VALUE"""),"PEDAGOGICO")</f>
        <v>PEDAGOGICO</v>
      </c>
      <c r="E2669" s="213" t="str">
        <f>IFERROR(__xludf.DUMMYFUNCTION("""COMPUTED_VALUE"""),"MAT-506")</f>
        <v>MAT-506</v>
      </c>
      <c r="F2669" s="213" t="str">
        <f>IFERROR(__xludf.DUMMYFUNCTION("""COMPUTED_VALUE"""),"MAT-506")</f>
        <v>MAT-506</v>
      </c>
      <c r="G2669" s="213"/>
      <c r="H2669" s="213" t="str">
        <f>IFERROR(__xludf.DUMMYFUNCTION("""COMPUTED_VALUE"""),"VIDEOS TUTORIALES DEL USO DE LOS ELEVADORES HIDRÁULICOS, GRABADO EN USB.")</f>
        <v>VIDEOS TUTORIALES DEL USO DE LOS ELEVADORES HIDRÁULICOS, GRABADO EN USB.</v>
      </c>
      <c r="I2669" s="213" t="str">
        <f>IFERROR(__xludf.DUMMYFUNCTION("""COMPUTED_VALUE"""),"Calidad física
· El USB tiene la capacidad de mínimo 32 GB, para almacenar la información en videos tutoriales del uso pedadógico sobre los elevadores hidráulicos.
· Video grabado USB tiene 3 tipos de conectores: para conectarse con la PC, Tablet y móvil "&amp;"(conector USB 3.0, conector micro USB, conector tipo C).
· Video grabado en formato MP4 / AVI, en alta resolución 4K o HD
· El video tendrá una duración de  30 minutos como mínimo. Dividido en 3 secciones.
· Calidad pedagógica.
· En la primera sección pre"&amp;"senta el video tutorial del uso del elevador de tijera hidráulico
· En la segunda sección presenta el video tutorial del elevador de columnas hidráulico
· Cada sección presentará: el título de la técnica, la descripción y partes de la máquina, demostració"&amp;"n de la preparación de la máquina, demostración del funcionamiento, mantenimiento preventivo y aplicación de normas de seguridad.
- Cada sección integra imágenes, sonido, video y textos de manera creativa y motivadora para adolescentes
de educación secund"&amp;"aria.")</f>
        <v>Calidad física
· El USB tiene la capacidad de mínimo 32 GB, para almacenar la información en videos tutoriales del uso pedadógico sobre los elevadores hidráulicos.
· Video grabado USB tiene 3 tipos de conectores: para conectarse con la PC, Tablet y móvil (conector USB 3.0, conector micro USB, conector tipo C).
· Video grabado en formato MP4 / AVI, en alta resolución 4K o HD
· El video tendrá una duración de  30 minutos como mínimo. Dividido en 3 secciones.
· Calidad pedagógica.
· En la primera sección presenta el video tutorial del uso del elevador de tijera hidráulico
· En la segunda sección presenta el video tutorial del elevador de columnas hidráulico
· Cada sección presentará: el título de la técnica, la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69" s="213">
        <f>IFERROR(__xludf.DUMMYFUNCTION("""COMPUTED_VALUE"""),3.0)</f>
        <v>3</v>
      </c>
      <c r="K2669" s="213" t="str">
        <f>IFERROR(__xludf.DUMMYFUNCTION("""COMPUTED_VALUE"""),"170 DÍAS CALENDARIO")</f>
        <v>170 DÍAS CALENDARIO</v>
      </c>
      <c r="L2669" s="213" t="str">
        <f>IFERROR(__xludf.DUMMYFUNCTION("""COMPUTED_VALUE"""),"")</f>
        <v/>
      </c>
      <c r="M2669" s="213">
        <f>IFERROR(__xludf.DUMMYFUNCTION("""COMPUTED_VALUE"""),1.0)</f>
        <v>1</v>
      </c>
      <c r="N2669" s="213">
        <f>IFERROR(__xludf.DUMMYFUNCTION("""COMPUTED_VALUE"""),1.0)</f>
        <v>1</v>
      </c>
      <c r="O2669" s="213">
        <f>IFERROR(__xludf.DUMMYFUNCTION("""COMPUTED_VALUE"""),1.0)</f>
        <v>1</v>
      </c>
      <c r="P2669" s="213"/>
      <c r="Q2669" s="213"/>
      <c r="R2669" s="213"/>
      <c r="S2669" s="213"/>
      <c r="T2669" s="213"/>
      <c r="U2669" s="213"/>
      <c r="V2669" s="213"/>
      <c r="W2669" s="213"/>
      <c r="X2669" s="213"/>
      <c r="Y2669" s="213"/>
      <c r="Z2669" s="213"/>
      <c r="AA2669" s="213"/>
      <c r="AB2669" s="213"/>
      <c r="AC2669" s="213"/>
      <c r="AD2669" s="213"/>
      <c r="AE2669" s="213"/>
      <c r="AF2669" s="213"/>
      <c r="AG2669" s="213"/>
      <c r="AH2669" s="213"/>
      <c r="AI2669" s="213"/>
      <c r="AJ2669" s="213"/>
      <c r="AK2669" s="213"/>
      <c r="AL2669" s="213"/>
      <c r="AM2669" s="213"/>
      <c r="AN2669" s="213"/>
      <c r="AO2669" s="213"/>
      <c r="AP2669" s="213"/>
      <c r="AQ2669" s="213"/>
      <c r="AR2669" s="213"/>
      <c r="AS2669" s="213"/>
      <c r="AT2669" s="213"/>
      <c r="AU2669" s="213"/>
      <c r="AV2669" s="213"/>
      <c r="AW2669" s="213"/>
      <c r="AX2669" s="213"/>
      <c r="AY2669" s="213"/>
      <c r="AZ2669" s="213"/>
      <c r="BA2669" s="213"/>
      <c r="BB2669" s="213"/>
      <c r="BC2669" s="213"/>
      <c r="BD2669" s="213"/>
    </row>
    <row r="2670">
      <c r="A2670" s="213">
        <f>IFERROR(__xludf.DUMMYFUNCTION("""COMPUTED_VALUE"""),387.0)</f>
        <v>387</v>
      </c>
      <c r="B2670" s="213" t="str">
        <f>IFERROR(__xludf.DUMMYFUNCTION("""COMPUTED_VALUE"""),"2026 SIMON BOLIVAR")</f>
        <v>2026 SIMON BOLIVAR</v>
      </c>
      <c r="C2670" s="213" t="str">
        <f>IFERROR(__xludf.DUMMYFUNCTION("""COMPUTED_VALUE"""),"TALLER SFT DE ELECTRICIDAD")</f>
        <v>TALLER SFT DE ELECTRICIDAD</v>
      </c>
      <c r="D2670" s="213" t="str">
        <f>IFERROR(__xludf.DUMMYFUNCTION("""COMPUTED_VALUE"""),"PEDAGOGICO")</f>
        <v>PEDAGOGICO</v>
      </c>
      <c r="E2670" s="213" t="str">
        <f>IFERROR(__xludf.DUMMYFUNCTION("""COMPUTED_VALUE"""),"MAT-507")</f>
        <v>MAT-507</v>
      </c>
      <c r="F2670" s="213" t="str">
        <f>IFERROR(__xludf.DUMMYFUNCTION("""COMPUTED_VALUE"""),"MAT-507")</f>
        <v>MAT-507</v>
      </c>
      <c r="G2670" s="213"/>
      <c r="H2670" s="213" t="str">
        <f>IFERROR(__xludf.DUMMYFUNCTION("""COMPUTED_VALUE"""),"VIDEOS TUTORIALES DEL USO DE LOS ENTRENADORES DE LAS INSTALACIONES ELÉCTRICAS DOMICILIARIAS, GRABADAS EN USB")</f>
        <v>VIDEOS TUTORIALES DEL USO DE LOS ENTRENADORES DE LAS INSTALACIONES ELÉCTRICAS DOMICILIARIAS, GRABADAS EN USB</v>
      </c>
      <c r="I2670" s="213" t="str">
        <f>IFERROR(__xludf.DUMMYFUNCTION("""COMPUTED_VALUE"""),"·  El USB tiene la capacidad de mínimo 32 GB, para almacenar los archivos de los manuales y la información complementaria en videos o textos digitales sobre uso de los entrenadores de las instalaciones eléctricas domiciliarias,
Calidad física
- Video grab"&amp;"ado USB tiene 3 tipos de conectores: para conectarse con la PC, Tablet y móvil (conector USB 3.0, conector micro USB, conector tipo C),  o en su defecto se proporciona adicionalmente un conector (cable) con las 3 posibles conexiones.
.  El USB está conten"&amp;"ido en un estuche de plástico transparente o similar.
· El USB es compatible con iPhone/Android/Windows.
- Video grabado en formato MP4 / AVI, en alta resolución 4K o HD.
- El video tendrá una duración de 50 minutos como mínimo.
- Dividido en 4 secciones,"&amp;" en cada sección se presentará un sistema de generación eléctrica, cada sección tendrá una duración de 10 minutos como mínimo.
· Calidad pedagógica.
- La primera sección presenta el video tutorial sobre la estructura de los entrenadores de instalaciones e"&amp;"léctricas domiciliarias.
- La segunda sección presenta el video tutorial sobre las normas de seguridad a tomarse en cuenta.
- La tercera sección presenta el video tutorial sobre la forma de realizar el montaje y desmontaje de los elementos eléctricos.
- L"&amp;"a cuarta sección presenta el video tutorial sobre la realización de diferentes circuitos eléctricos
- La quinta sección presenta el video tutorial sobre el uso adecuado de Instrumentos de mediciones eléctricas.
- Se anexa el guion del video ( Ver Anexo N°"&amp;" 11).")</f>
        <v>·  El USB tiene la capacidad de mínimo 32 GB, para almacenar los archivos de los manuales y la información complementaria en videos o textos digitales sobre uso de los entrenadores de las instalaciones eléctricas domiciliarias,
Calidad física
- Video grabado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
- Video grabado en formato MP4 / AVI, en alta resolución 4K o HD.
- El video tendrá una duración de 50 minutos como mínimo.
- Dividido en 4 secciones, en cada sección se presentará un sistema de generación eléctrica, cada sección tendrá una duración de 10 minutos como mínimo.
· Calidad pedagógica.
- La primera sección presenta el video tutorial sobre la estructura de los entrenadores de instalaciones eléctricas domiciliarias.
- La segunda sección presenta el video tutorial sobre las normas de seguridad a tomarse en cuenta.
- La tercera sección presenta el video tutorial sobre la forma de realizar el montaje y desmontaje de los elementos eléctricos.
- La cuarta sección presenta el video tutorial sobre la realización de diferentes circuitos eléctricos
- La quinta sección presenta el video tutorial sobre el uso adecuado de Instrumentos de mediciones eléctricas.
- Se anexa el guion del video ( Ver Anexo N° 11).</v>
      </c>
      <c r="J2670" s="213">
        <f>IFERROR(__xludf.DUMMYFUNCTION("""COMPUTED_VALUE"""),3.0)</f>
        <v>3</v>
      </c>
      <c r="K2670" s="213" t="str">
        <f>IFERROR(__xludf.DUMMYFUNCTION("""COMPUTED_VALUE"""),"170 DÍAS CALENDARIO")</f>
        <v>170 DÍAS CALENDARIO</v>
      </c>
      <c r="L2670" s="213" t="str">
        <f>IFERROR(__xludf.DUMMYFUNCTION("""COMPUTED_VALUE"""),"")</f>
        <v/>
      </c>
      <c r="M2670" s="213">
        <f>IFERROR(__xludf.DUMMYFUNCTION("""COMPUTED_VALUE"""),1.0)</f>
        <v>1</v>
      </c>
      <c r="N2670" s="213">
        <f>IFERROR(__xludf.DUMMYFUNCTION("""COMPUTED_VALUE"""),4.0)</f>
        <v>4</v>
      </c>
      <c r="O2670" s="213">
        <f>IFERROR(__xludf.DUMMYFUNCTION("""COMPUTED_VALUE"""),4.0)</f>
        <v>4</v>
      </c>
      <c r="P2670" s="213"/>
      <c r="Q2670" s="213"/>
      <c r="R2670" s="213"/>
      <c r="S2670" s="213"/>
      <c r="T2670" s="213"/>
      <c r="U2670" s="213"/>
      <c r="V2670" s="213"/>
      <c r="W2670" s="213"/>
      <c r="X2670" s="213"/>
      <c r="Y2670" s="213"/>
      <c r="Z2670" s="213"/>
      <c r="AA2670" s="213"/>
      <c r="AB2670" s="213"/>
      <c r="AC2670" s="213"/>
      <c r="AD2670" s="213"/>
      <c r="AE2670" s="213"/>
      <c r="AF2670" s="213"/>
      <c r="AG2670" s="213"/>
      <c r="AH2670" s="213"/>
      <c r="AI2670" s="213"/>
      <c r="AJ2670" s="213"/>
      <c r="AK2670" s="213"/>
      <c r="AL2670" s="213"/>
      <c r="AM2670" s="213"/>
      <c r="AN2670" s="213"/>
      <c r="AO2670" s="213"/>
      <c r="AP2670" s="213"/>
      <c r="AQ2670" s="213"/>
      <c r="AR2670" s="213"/>
      <c r="AS2670" s="213"/>
      <c r="AT2670" s="213"/>
      <c r="AU2670" s="213"/>
      <c r="AV2670" s="213"/>
      <c r="AW2670" s="213"/>
      <c r="AX2670" s="213"/>
      <c r="AY2670" s="213"/>
      <c r="AZ2670" s="213"/>
      <c r="BA2670" s="213"/>
      <c r="BB2670" s="213"/>
      <c r="BC2670" s="213"/>
      <c r="BD2670" s="213"/>
    </row>
    <row r="2671">
      <c r="A2671" s="213">
        <f>IFERROR(__xludf.DUMMYFUNCTION("""COMPUTED_VALUE"""),873.0)</f>
        <v>873</v>
      </c>
      <c r="B2671" s="213" t="str">
        <f>IFERROR(__xludf.DUMMYFUNCTION("""COMPUTED_VALUE"""),"6049 RICARDO PALMA")</f>
        <v>6049 RICARDO PALMA</v>
      </c>
      <c r="C2671" s="213" t="str">
        <f>IFERROR(__xludf.DUMMYFUNCTION("""COMPUTED_VALUE"""),"TALLER SFT DE ELECTRICIDAD")</f>
        <v>TALLER SFT DE ELECTRICIDAD</v>
      </c>
      <c r="D2671" s="213" t="str">
        <f>IFERROR(__xludf.DUMMYFUNCTION("""COMPUTED_VALUE"""),"PEDAGOGICO")</f>
        <v>PEDAGOGICO</v>
      </c>
      <c r="E2671" s="213" t="str">
        <f>IFERROR(__xludf.DUMMYFUNCTION("""COMPUTED_VALUE"""),"MAT-507")</f>
        <v>MAT-507</v>
      </c>
      <c r="F2671" s="213" t="str">
        <f>IFERROR(__xludf.DUMMYFUNCTION("""COMPUTED_VALUE"""),"MAT-507")</f>
        <v>MAT-507</v>
      </c>
      <c r="G2671" s="213"/>
      <c r="H2671" s="213" t="str">
        <f>IFERROR(__xludf.DUMMYFUNCTION("""COMPUTED_VALUE"""),"VIDEOS TUTORIALES DEL USO DE LOS ENTRENADORES DE LAS INSTALACIONES ELÉCTRICAS DOMICILIARIAS, GRABADAS EN USB")</f>
        <v>VIDEOS TUTORIALES DEL USO DE LOS ENTRENADORES DE LAS INSTALACIONES ELÉCTRICAS DOMICILIARIAS, GRABADAS EN USB</v>
      </c>
      <c r="I2671" s="213" t="str">
        <f>IFERROR(__xludf.DUMMYFUNCTION("""COMPUTED_VALUE"""),"·  El USB tiene la capacidad de mínimo 32 GB, para almacenar los archivos de los manuales y la información complementaria en videos o textos digitales sobre uso de los entrenadores de las instalaciones eléctricas domiciliarias,
Calidad física
- Video grab"&amp;"ado USB tiene 3 tipos de conectores: para conectarse con la PC, Tablet y móvil (conector USB 3.0, conector micro USB, conector tipo C),  o en su defecto se proporciona adicionalmente un conector (cable) con las 3 posibles conexiones.
.  El USB está conten"&amp;"ido en un estuche de plástico transparente o similar.
· El USB es compatible con iPhone/Android/Windows.
- Video grabado en formato MP4 / AVI, en alta resolución 4K o HD.
- El video tendrá una duración de 50 minutos como mínimo.
- Dividido en 4 secciones,"&amp;" en cada sección se presentará un sistema de generación eléctrica, cada sección tendrá una duración de 10 minutos como mínimo.
· Calidad pedagógica.
- La primera sección presenta el video tutorial sobre la estructura de los entrenadores de instalaciones e"&amp;"léctricas domiciliarias.
- La segunda sección presenta el video tutorial sobre las normas de seguridad a tomarse en cuenta.
- La tercera sección presenta el video tutorial sobre la forma de realizar el montaje y desmontaje de los elementos eléctricos.
- L"&amp;"a cuarta sección presenta el video tutorial sobre la realización de diferentes circuitos eléctricos
- La quinta sección presenta el video tutorial sobre el uso adecuado de Instrumentos de mediciones eléctricas.
- Se anexa el guion del video ( Ver Anexo N°"&amp;" 11).")</f>
        <v>·  El USB tiene la capacidad de mínimo 32 GB, para almacenar los archivos de los manuales y la información complementaria en videos o textos digitales sobre uso de los entrenadores de las instalaciones eléctricas domiciliarias,
Calidad física
- Video grabado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
- Video grabado en formato MP4 / AVI, en alta resolución 4K o HD.
- El video tendrá una duración de 50 minutos como mínimo.
- Dividido en 4 secciones, en cada sección se presentará un sistema de generación eléctrica, cada sección tendrá una duración de 10 minutos como mínimo.
· Calidad pedagógica.
- La primera sección presenta el video tutorial sobre la estructura de los entrenadores de instalaciones eléctricas domiciliarias.
- La segunda sección presenta el video tutorial sobre las normas de seguridad a tomarse en cuenta.
- La tercera sección presenta el video tutorial sobre la forma de realizar el montaje y desmontaje de los elementos eléctricos.
- La cuarta sección presenta el video tutorial sobre la realización de diferentes circuitos eléctricos
- La quinta sección presenta el video tutorial sobre el uso adecuado de Instrumentos de mediciones eléctricas.
- Se anexa el guion del video ( Ver Anexo N° 11).</v>
      </c>
      <c r="J2671" s="213">
        <f>IFERROR(__xludf.DUMMYFUNCTION("""COMPUTED_VALUE"""),3.0)</f>
        <v>3</v>
      </c>
      <c r="K2671" s="213" t="str">
        <f>IFERROR(__xludf.DUMMYFUNCTION("""COMPUTED_VALUE"""),"170 DÍAS CALENDARIO")</f>
        <v>170 DÍAS CALENDARIO</v>
      </c>
      <c r="L2671" s="213" t="str">
        <f>IFERROR(__xludf.DUMMYFUNCTION("""COMPUTED_VALUE"""),"")</f>
        <v/>
      </c>
      <c r="M2671" s="213">
        <f>IFERROR(__xludf.DUMMYFUNCTION("""COMPUTED_VALUE"""),1.0)</f>
        <v>1</v>
      </c>
      <c r="N2671" s="213">
        <f>IFERROR(__xludf.DUMMYFUNCTION("""COMPUTED_VALUE"""),4.0)</f>
        <v>4</v>
      </c>
      <c r="O2671" s="213">
        <f>IFERROR(__xludf.DUMMYFUNCTION("""COMPUTED_VALUE"""),4.0)</f>
        <v>4</v>
      </c>
      <c r="P2671" s="213"/>
      <c r="Q2671" s="213"/>
      <c r="R2671" s="213"/>
      <c r="S2671" s="213"/>
      <c r="T2671" s="213"/>
      <c r="U2671" s="213"/>
      <c r="V2671" s="213"/>
      <c r="W2671" s="213"/>
      <c r="X2671" s="213"/>
      <c r="Y2671" s="213"/>
      <c r="Z2671" s="213"/>
      <c r="AA2671" s="213"/>
      <c r="AB2671" s="213"/>
      <c r="AC2671" s="213"/>
      <c r="AD2671" s="213"/>
      <c r="AE2671" s="213"/>
      <c r="AF2671" s="213"/>
      <c r="AG2671" s="213"/>
      <c r="AH2671" s="213"/>
      <c r="AI2671" s="213"/>
      <c r="AJ2671" s="213"/>
      <c r="AK2671" s="213"/>
      <c r="AL2671" s="213"/>
      <c r="AM2671" s="213"/>
      <c r="AN2671" s="213"/>
      <c r="AO2671" s="213"/>
      <c r="AP2671" s="213"/>
      <c r="AQ2671" s="213"/>
      <c r="AR2671" s="213"/>
      <c r="AS2671" s="213"/>
      <c r="AT2671" s="213"/>
      <c r="AU2671" s="213"/>
      <c r="AV2671" s="213"/>
      <c r="AW2671" s="213"/>
      <c r="AX2671" s="213"/>
      <c r="AY2671" s="213"/>
      <c r="AZ2671" s="213"/>
      <c r="BA2671" s="213"/>
      <c r="BB2671" s="213"/>
      <c r="BC2671" s="213"/>
      <c r="BD2671" s="213"/>
    </row>
    <row r="2672">
      <c r="A2672" s="213">
        <f>IFERROR(__xludf.DUMMYFUNCTION("""COMPUTED_VALUE"""),1295.0)</f>
        <v>1295</v>
      </c>
      <c r="B2672" s="213" t="str">
        <f>IFERROR(__xludf.DUMMYFUNCTION("""COMPUTED_VALUE"""),"GUILLERMO E. BILLINGHURST ")</f>
        <v>GUILLERMO E. BILLINGHURST </v>
      </c>
      <c r="C2672" s="213" t="str">
        <f>IFERROR(__xludf.DUMMYFUNCTION("""COMPUTED_VALUE"""),"TALLER SFT DE ELECTRICIDAD")</f>
        <v>TALLER SFT DE ELECTRICIDAD</v>
      </c>
      <c r="D2672" s="213" t="str">
        <f>IFERROR(__xludf.DUMMYFUNCTION("""COMPUTED_VALUE"""),"PEDAGOGICO")</f>
        <v>PEDAGOGICO</v>
      </c>
      <c r="E2672" s="213" t="str">
        <f>IFERROR(__xludf.DUMMYFUNCTION("""COMPUTED_VALUE"""),"MAT-507")</f>
        <v>MAT-507</v>
      </c>
      <c r="F2672" s="213" t="str">
        <f>IFERROR(__xludf.DUMMYFUNCTION("""COMPUTED_VALUE"""),"MAT-507")</f>
        <v>MAT-507</v>
      </c>
      <c r="G2672" s="213"/>
      <c r="H2672" s="213" t="str">
        <f>IFERROR(__xludf.DUMMYFUNCTION("""COMPUTED_VALUE"""),"VIDEOS TUTORIALES DEL USO DE LOS ENTRENADORES DE LAS INSTALACIONES ELÉCTRICAS DOMICILIARIAS, GRABADAS EN USB")</f>
        <v>VIDEOS TUTORIALES DEL USO DE LOS ENTRENADORES DE LAS INSTALACIONES ELÉCTRICAS DOMICILIARIAS, GRABADAS EN USB</v>
      </c>
      <c r="I2672" s="213" t="str">
        <f>IFERROR(__xludf.DUMMYFUNCTION("""COMPUTED_VALUE"""),"·  El USB tiene la capacidad de mínimo 32 GB, para almacenar los archivos de los manuales y la información complementaria en videos o textos digitales sobre uso de los entrenadores de las instalaciones eléctricas domiciliarias,
Calidad física
- Video grab"&amp;"ado USB tiene 3 tipos de conectores: para conectarse con la PC, Tablet y móvil (conector USB 3.0, conector micro USB, conector tipo C),  o en su defecto se proporciona adicionalmente un conector (cable) con las 3 posibles conexiones.
.  El USB está conten"&amp;"ido en un estuche de plástico transparente o similar.
· El USB es compatible con iPhone/Android/Windows.
- Video grabado en formato MP4 / AVI, en alta resolución 4K o HD.
- El video tendrá una duración de 50 minutos como mínimo.
- Dividido en 4 secciones,"&amp;" en cada sección se presentará un sistema de generación eléctrica, cada sección tendrá una duración de 10 minutos como mínimo.
· Calidad pedagógica.
- La primera sección presenta el video tutorial sobre la estructura de los entrenadores de instalaciones e"&amp;"léctricas domiciliarias.
- La segunda sección presenta el video tutorial sobre las normas de seguridad a tomarse en cuenta.
- La tercera sección presenta el video tutorial sobre la forma de realizar el montaje y desmontaje de los elementos eléctricos.
- L"&amp;"a cuarta sección presenta el video tutorial sobre la realización de diferentes circuitos eléctricos
- La quinta sección presenta el video tutorial sobre el uso adecuado de Instrumentos de mediciones eléctricas.
- Se anexa el guion del video ( Ver Anexo N°"&amp;" 11).")</f>
        <v>·  El USB tiene la capacidad de mínimo 32 GB, para almacenar los archivos de los manuales y la información complementaria en videos o textos digitales sobre uso de los entrenadores de las instalaciones eléctricas domiciliarias,
Calidad física
- Video grabado USB tiene 3 tipos de conectores: para conectarse con la PC, Tablet y móvil (conector USB 3.0, conector micro USB, conector tipo C),  o en su defecto se proporciona adicionalmente un conector (cable) con las 3 posibles conexiones.
.  El USB está contenido en un estuche de plástico transparente o similar.
· El USB es compatible con iPhone/Android/Windows.
- Video grabado en formato MP4 / AVI, en alta resolución 4K o HD.
- El video tendrá una duración de 50 minutos como mínimo.
- Dividido en 4 secciones, en cada sección se presentará un sistema de generación eléctrica, cada sección tendrá una duración de 10 minutos como mínimo.
· Calidad pedagógica.
- La primera sección presenta el video tutorial sobre la estructura de los entrenadores de instalaciones eléctricas domiciliarias.
- La segunda sección presenta el video tutorial sobre las normas de seguridad a tomarse en cuenta.
- La tercera sección presenta el video tutorial sobre la forma de realizar el montaje y desmontaje de los elementos eléctricos.
- La cuarta sección presenta el video tutorial sobre la realización de diferentes circuitos eléctricos
- La quinta sección presenta el video tutorial sobre el uso adecuado de Instrumentos de mediciones eléctricas.
- Se anexa el guion del video ( Ver Anexo N° 11).</v>
      </c>
      <c r="J2672" s="213">
        <f>IFERROR(__xludf.DUMMYFUNCTION("""COMPUTED_VALUE"""),3.0)</f>
        <v>3</v>
      </c>
      <c r="K2672" s="213" t="str">
        <f>IFERROR(__xludf.DUMMYFUNCTION("""COMPUTED_VALUE"""),"170 DÍAS CALENDARIO")</f>
        <v>170 DÍAS CALENDARIO</v>
      </c>
      <c r="L2672" s="213" t="str">
        <f>IFERROR(__xludf.DUMMYFUNCTION("""COMPUTED_VALUE"""),"")</f>
        <v/>
      </c>
      <c r="M2672" s="213">
        <f>IFERROR(__xludf.DUMMYFUNCTION("""COMPUTED_VALUE"""),1.0)</f>
        <v>1</v>
      </c>
      <c r="N2672" s="213">
        <f>IFERROR(__xludf.DUMMYFUNCTION("""COMPUTED_VALUE"""),4.0)</f>
        <v>4</v>
      </c>
      <c r="O2672" s="213">
        <f>IFERROR(__xludf.DUMMYFUNCTION("""COMPUTED_VALUE"""),4.0)</f>
        <v>4</v>
      </c>
      <c r="P2672" s="213"/>
      <c r="Q2672" s="213"/>
      <c r="R2672" s="213"/>
      <c r="S2672" s="213"/>
      <c r="T2672" s="213"/>
      <c r="U2672" s="213"/>
      <c r="V2672" s="213"/>
      <c r="W2672" s="213"/>
      <c r="X2672" s="213"/>
      <c r="Y2672" s="213"/>
      <c r="Z2672" s="213"/>
      <c r="AA2672" s="213"/>
      <c r="AB2672" s="213"/>
      <c r="AC2672" s="213"/>
      <c r="AD2672" s="213"/>
      <c r="AE2672" s="213"/>
      <c r="AF2672" s="213"/>
      <c r="AG2672" s="213"/>
      <c r="AH2672" s="213"/>
      <c r="AI2672" s="213"/>
      <c r="AJ2672" s="213"/>
      <c r="AK2672" s="213"/>
      <c r="AL2672" s="213"/>
      <c r="AM2672" s="213"/>
      <c r="AN2672" s="213"/>
      <c r="AO2672" s="213"/>
      <c r="AP2672" s="213"/>
      <c r="AQ2672" s="213"/>
      <c r="AR2672" s="213"/>
      <c r="AS2672" s="213"/>
      <c r="AT2672" s="213"/>
      <c r="AU2672" s="213"/>
      <c r="AV2672" s="213"/>
      <c r="AW2672" s="213"/>
      <c r="AX2672" s="213"/>
      <c r="AY2672" s="213"/>
      <c r="AZ2672" s="213"/>
      <c r="BA2672" s="213"/>
      <c r="BB2672" s="213"/>
      <c r="BC2672" s="213"/>
      <c r="BD2672" s="213"/>
    </row>
    <row r="2673">
      <c r="A2673" s="213">
        <f>IFERROR(__xludf.DUMMYFUNCTION("""COMPUTED_VALUE"""),1032.0)</f>
        <v>1032</v>
      </c>
      <c r="B2673" s="213" t="str">
        <f>IFERROR(__xludf.DUMMYFUNCTION("""COMPUTED_VALUE"""),"FRANCISCO IRAZOLA")</f>
        <v>FRANCISCO IRAZOLA</v>
      </c>
      <c r="C2673" s="213" t="str">
        <f>IFERROR(__xludf.DUMMYFUNCTION("""COMPUTED_VALUE"""),"TALLER SFT DE MECÁNICA AUTOMOTRIZ")</f>
        <v>TALLER SFT DE MECÁNICA AUTOMOTRIZ</v>
      </c>
      <c r="D2673" s="213" t="str">
        <f>IFERROR(__xludf.DUMMYFUNCTION("""COMPUTED_VALUE"""),"PEDAGOGICO")</f>
        <v>PEDAGOGICO</v>
      </c>
      <c r="E2673" s="213" t="str">
        <f>IFERROR(__xludf.DUMMYFUNCTION("""COMPUTED_VALUE"""),"MAT-508")</f>
        <v>MAT-508</v>
      </c>
      <c r="F2673" s="213" t="str">
        <f>IFERROR(__xludf.DUMMYFUNCTION("""COMPUTED_VALUE"""),"MAT-508")</f>
        <v>MAT-508</v>
      </c>
      <c r="G2673" s="213"/>
      <c r="H2673" s="213" t="str">
        <f>IFERROR(__xludf.DUMMYFUNCTION("""COMPUTED_VALUE"""),"VIDEOS TUTORIALES DEL USO PEDAGÓGICO DE LOS SISTEMAS DE ENTRENAMIENTO DE MANTENIMIENTO DE MOTORES A GASOLINA Y DIESEL, GRABADO EN USB")</f>
        <v>VIDEOS TUTORIALES DEL USO PEDAGÓGICO DE LOS SISTEMAS DE ENTRENAMIENTO DE MANTENIMIENTO DE MOTORES A GASOLINA Y DIESEL, GRABADO EN USB</v>
      </c>
      <c r="I2673" s="213" t="str">
        <f>IFERROR(__xludf.DUMMYFUNCTION("""COMPUTED_VALUE"""),"Calidad física
· El USB tiene la capacidad de mínimo 32 GB, para almacenar la información en videos tutoriales del uso pedadógico de sistemas de entrenamiento de mantenimiento de motores a gasolina y diesel.
· Video grabado USB tiene 3 tipos de conectores"&amp;": para conectarse con la PC, Tablet y móvil (conector USB 3.0, conector micro USB, conector tipo C).
· Video grabado en formato MP4 / AVI, en alta resolución 4K o HD
· El video tendrá una duración de 50 minutos como mínimo. Dividido en cinco secciones de "&amp;"10 minutos
· Calidad pedagógica.
·        La primera sección presenta el video tutorial del uso pedagógico del módulo educativo de simulación del motor de gasolina
·        La segunda sección presenta el video tutorial del uso pedagógico del módulo educat"&amp;"ivo de motor diésel
·        La tercera sección presenta el video tutorial del uso pedagógico del módulo educativo del sistema de encendido
·        La cuarta sección presenta el video tutorial del uso pedagógico del módulo educativo de montaje y desmonta"&amp;"je del motor de gasolina
·        La quinta sección presenta el video tutorial del uso pedagógico del módulo educativo del sistema del sistema hibrido ECU HV
·        Cada sección presentará la descripción y partes y el funcionamiento del módulo educativo"&amp;"
·        Cada sección integra imágenes, sonido, video y textos de manera creativa y motivadora para adolescentes de educación secundaria.")</f>
        <v>Calidad física
· El USB tiene la capacidad de mínimo 32 GB, para almacenar la información en videos tutoriales del uso pedadógico de sistemas de entrenamiento de mantenimiento de motores a gasolina y diesel.
· Video grabado USB tiene 3 tipos de conectores: para conectarse con la PC, Tablet y móvil (conector USB 3.0, conector micro USB, conector tipo C).
· Video grabado en formato MP4 / AVI, en alta resolución 4K o HD
· El video tendrá una duración de 50 minutos como mínimo. Dividido en cinco secciones de 10 minutos
· Calidad pedagógica.
·        La primera sección presenta el video tutorial del uso pedagógico del módulo educativo de simulación del motor de gasolina
·        La segunda sección presenta el video tutorial del uso pedagógico del módulo educativo de motor diésel
·        La tercera sección presenta el video tutorial del uso pedagógico del módulo educativo del sistema de encendido
·        La cuarta sección presenta el video tutorial del uso pedagógico del módulo educativo de montaje y desmontaje del motor de gasolina
·        La quinta sección presenta el video tutorial del uso pedagógico del módulo educativo del sistema del sistema hibrido ECU HV
·        Cada sección presentará la descripción y partes y el funcionamiento del módulo educativo
·        Cada sección integra imágenes, sonido, video y textos de manera creativa y motivadora para adolescentes de educación secundaria.</v>
      </c>
      <c r="J2673" s="213">
        <f>IFERROR(__xludf.DUMMYFUNCTION("""COMPUTED_VALUE"""),3.0)</f>
        <v>3</v>
      </c>
      <c r="K2673" s="213" t="str">
        <f>IFERROR(__xludf.DUMMYFUNCTION("""COMPUTED_VALUE"""),"170 DÍAS CALENDARIO")</f>
        <v>170 DÍAS CALENDARIO</v>
      </c>
      <c r="L2673" s="213" t="str">
        <f>IFERROR(__xludf.DUMMYFUNCTION("""COMPUTED_VALUE"""),"")</f>
        <v/>
      </c>
      <c r="M2673" s="213">
        <f>IFERROR(__xludf.DUMMYFUNCTION("""COMPUTED_VALUE"""),1.0)</f>
        <v>1</v>
      </c>
      <c r="N2673" s="213">
        <f>IFERROR(__xludf.DUMMYFUNCTION("""COMPUTED_VALUE"""),1.0)</f>
        <v>1</v>
      </c>
      <c r="O2673" s="213">
        <f>IFERROR(__xludf.DUMMYFUNCTION("""COMPUTED_VALUE"""),1.0)</f>
        <v>1</v>
      </c>
      <c r="P2673" s="213"/>
      <c r="Q2673" s="213"/>
      <c r="R2673" s="213"/>
      <c r="S2673" s="213"/>
      <c r="T2673" s="213"/>
      <c r="U2673" s="213"/>
      <c r="V2673" s="213"/>
      <c r="W2673" s="213"/>
      <c r="X2673" s="213"/>
      <c r="Y2673" s="213"/>
      <c r="Z2673" s="213"/>
      <c r="AA2673" s="213"/>
      <c r="AB2673" s="213"/>
      <c r="AC2673" s="213"/>
      <c r="AD2673" s="213"/>
      <c r="AE2673" s="213"/>
      <c r="AF2673" s="213"/>
      <c r="AG2673" s="213"/>
      <c r="AH2673" s="213"/>
      <c r="AI2673" s="213"/>
      <c r="AJ2673" s="213"/>
      <c r="AK2673" s="213"/>
      <c r="AL2673" s="213"/>
      <c r="AM2673" s="213"/>
      <c r="AN2673" s="213"/>
      <c r="AO2673" s="213"/>
      <c r="AP2673" s="213"/>
      <c r="AQ2673" s="213"/>
      <c r="AR2673" s="213"/>
      <c r="AS2673" s="213"/>
      <c r="AT2673" s="213"/>
      <c r="AU2673" s="213"/>
      <c r="AV2673" s="213"/>
      <c r="AW2673" s="213"/>
      <c r="AX2673" s="213"/>
      <c r="AY2673" s="213"/>
      <c r="AZ2673" s="213"/>
      <c r="BA2673" s="213"/>
      <c r="BB2673" s="213"/>
      <c r="BC2673" s="213"/>
      <c r="BD2673" s="213"/>
    </row>
    <row r="2674">
      <c r="A2674" s="213">
        <f>IFERROR(__xludf.DUMMYFUNCTION("""COMPUTED_VALUE"""),1637.0)</f>
        <v>1637</v>
      </c>
      <c r="B2674" s="213" t="str">
        <f>IFERROR(__xludf.DUMMYFUNCTION("""COMPUTED_VALUE"""),"GUILLERMO E. BILLINGHURST ")</f>
        <v>GUILLERMO E. BILLINGHURST </v>
      </c>
      <c r="C2674" s="213" t="str">
        <f>IFERROR(__xludf.DUMMYFUNCTION("""COMPUTED_VALUE"""),"TALLER SFT DE MECÁNICA AUTOMOTRIZ")</f>
        <v>TALLER SFT DE MECÁNICA AUTOMOTRIZ</v>
      </c>
      <c r="D2674" s="213" t="str">
        <f>IFERROR(__xludf.DUMMYFUNCTION("""COMPUTED_VALUE"""),"PEDAGOGICO")</f>
        <v>PEDAGOGICO</v>
      </c>
      <c r="E2674" s="213" t="str">
        <f>IFERROR(__xludf.DUMMYFUNCTION("""COMPUTED_VALUE"""),"MAT-508")</f>
        <v>MAT-508</v>
      </c>
      <c r="F2674" s="213" t="str">
        <f>IFERROR(__xludf.DUMMYFUNCTION("""COMPUTED_VALUE"""),"MAT-508")</f>
        <v>MAT-508</v>
      </c>
      <c r="G2674" s="213"/>
      <c r="H2674" s="213" t="str">
        <f>IFERROR(__xludf.DUMMYFUNCTION("""COMPUTED_VALUE"""),"VIDEOS TUTORIALES DEL USO PEDAGÓGICO DE LOS SISTEMAS DE ENTRENAMIENTO DE MANTENIMIENTO DE MOTORES A GASOLINA Y DIESEL, GRABADO EN USB")</f>
        <v>VIDEOS TUTORIALES DEL USO PEDAGÓGICO DE LOS SISTEMAS DE ENTRENAMIENTO DE MANTENIMIENTO DE MOTORES A GASOLINA Y DIESEL, GRABADO EN USB</v>
      </c>
      <c r="I2674" s="213" t="str">
        <f>IFERROR(__xludf.DUMMYFUNCTION("""COMPUTED_VALUE"""),"Calidad física
· El USB tiene la capacidad de mínimo 32 GB, para almacenar la información en videos tutoriales del uso pedadógico de sistemas de entrenamiento de mantenimiento de motores a gasolina y diesel.
· Video grabado USB tiene 3 tipos de conectores"&amp;": para conectarse con la PC, Tablet y móvil (conector USB 3.0, conector micro USB, conector tipo C).
· Video grabado en formato MP4 / AVI, en alta resolución 4K o HD
· El video tendrá una duración de 50 minutos como mínimo. Dividido en cinco secciones de "&amp;"10 minutos
· Calidad pedagógica.
·        La primera sección presenta el video tutorial del uso pedagógico del módulo educativo de simulación del motor de gasolina
·        La segunda sección presenta el video tutorial del uso pedagógico del módulo educat"&amp;"ivo de motor diésel
·        La tercera sección presenta el video tutorial del uso pedagógico del módulo educativo del sistema de encendido
·        La cuarta sección presenta el video tutorial del uso pedagógico del módulo educativo de montaje y desmonta"&amp;"je del motor de gasolina
·        La quinta sección presenta el video tutorial del uso pedagógico del módulo educativo del sistema del sistema hibrido ECU HV
·        Cada sección presentará la descripción y partes y el funcionamiento del módulo educativo"&amp;"
·        Cada sección integra imágenes, sonido, video y textos de manera creativa y motivadora para adolescentes de educación secundaria.")</f>
        <v>Calidad física
· El USB tiene la capacidad de mínimo 32 GB, para almacenar la información en videos tutoriales del uso pedadógico de sistemas de entrenamiento de mantenimiento de motores a gasolina y diesel.
· Video grabado USB tiene 3 tipos de conectores: para conectarse con la PC, Tablet y móvil (conector USB 3.0, conector micro USB, conector tipo C).
· Video grabado en formato MP4 / AVI, en alta resolución 4K o HD
· El video tendrá una duración de 50 minutos como mínimo. Dividido en cinco secciones de 10 minutos
· Calidad pedagógica.
·        La primera sección presenta el video tutorial del uso pedagógico del módulo educativo de simulación del motor de gasolina
·        La segunda sección presenta el video tutorial del uso pedagógico del módulo educativo de motor diésel
·        La tercera sección presenta el video tutorial del uso pedagógico del módulo educativo del sistema de encendido
·        La cuarta sección presenta el video tutorial del uso pedagógico del módulo educativo de montaje y desmontaje del motor de gasolina
·        La quinta sección presenta el video tutorial del uso pedagógico del módulo educativo del sistema del sistema hibrido ECU HV
·        Cada sección presentará la descripción y partes y el funcionamiento del módulo educativo
·        Cada sección integra imágenes, sonido, video y textos de manera creativa y motivadora para adolescentes de educación secundaria.</v>
      </c>
      <c r="J2674" s="213">
        <f>IFERROR(__xludf.DUMMYFUNCTION("""COMPUTED_VALUE"""),3.0)</f>
        <v>3</v>
      </c>
      <c r="K2674" s="213" t="str">
        <f>IFERROR(__xludf.DUMMYFUNCTION("""COMPUTED_VALUE"""),"170 DÍAS CALENDARIO")</f>
        <v>170 DÍAS CALENDARIO</v>
      </c>
      <c r="L2674" s="213" t="str">
        <f>IFERROR(__xludf.DUMMYFUNCTION("""COMPUTED_VALUE"""),"")</f>
        <v/>
      </c>
      <c r="M2674" s="213">
        <f>IFERROR(__xludf.DUMMYFUNCTION("""COMPUTED_VALUE"""),1.0)</f>
        <v>1</v>
      </c>
      <c r="N2674" s="213">
        <f>IFERROR(__xludf.DUMMYFUNCTION("""COMPUTED_VALUE"""),1.0)</f>
        <v>1</v>
      </c>
      <c r="O2674" s="213">
        <f>IFERROR(__xludf.DUMMYFUNCTION("""COMPUTED_VALUE"""),1.0)</f>
        <v>1</v>
      </c>
      <c r="P2674" s="213"/>
      <c r="Q2674" s="213"/>
      <c r="R2674" s="213"/>
      <c r="S2674" s="213"/>
      <c r="T2674" s="213"/>
      <c r="U2674" s="213"/>
      <c r="V2674" s="213"/>
      <c r="W2674" s="213"/>
      <c r="X2674" s="213"/>
      <c r="Y2674" s="213"/>
      <c r="Z2674" s="213"/>
      <c r="AA2674" s="213"/>
      <c r="AB2674" s="213"/>
      <c r="AC2674" s="213"/>
      <c r="AD2674" s="213"/>
      <c r="AE2674" s="213"/>
      <c r="AF2674" s="213"/>
      <c r="AG2674" s="213"/>
      <c r="AH2674" s="213"/>
      <c r="AI2674" s="213"/>
      <c r="AJ2674" s="213"/>
      <c r="AK2674" s="213"/>
      <c r="AL2674" s="213"/>
      <c r="AM2674" s="213"/>
      <c r="AN2674" s="213"/>
      <c r="AO2674" s="213"/>
      <c r="AP2674" s="213"/>
      <c r="AQ2674" s="213"/>
      <c r="AR2674" s="213"/>
      <c r="AS2674" s="213"/>
      <c r="AT2674" s="213"/>
      <c r="AU2674" s="213"/>
      <c r="AV2674" s="213"/>
      <c r="AW2674" s="213"/>
      <c r="AX2674" s="213"/>
      <c r="AY2674" s="213"/>
      <c r="AZ2674" s="213"/>
      <c r="BA2674" s="213"/>
      <c r="BB2674" s="213"/>
      <c r="BC2674" s="213"/>
      <c r="BD2674" s="213"/>
    </row>
    <row r="2675">
      <c r="A2675" s="213">
        <f>IFERROR(__xludf.DUMMYFUNCTION("""COMPUTED_VALUE"""),2328.0)</f>
        <v>2328</v>
      </c>
      <c r="B2675" s="213" t="str">
        <f>IFERROR(__xludf.DUMMYFUNCTION("""COMPUTED_VALUE"""),"JOSE GRANDA")</f>
        <v>JOSE GRANDA</v>
      </c>
      <c r="C2675" s="213" t="str">
        <f>IFERROR(__xludf.DUMMYFUNCTION("""COMPUTED_VALUE"""),"TALLER SFT DE MECÁNICA AUTOMOTRIZ")</f>
        <v>TALLER SFT DE MECÁNICA AUTOMOTRIZ</v>
      </c>
      <c r="D2675" s="213" t="str">
        <f>IFERROR(__xludf.DUMMYFUNCTION("""COMPUTED_VALUE"""),"PEDAGOGICO")</f>
        <v>PEDAGOGICO</v>
      </c>
      <c r="E2675" s="213" t="str">
        <f>IFERROR(__xludf.DUMMYFUNCTION("""COMPUTED_VALUE"""),"MAT-508")</f>
        <v>MAT-508</v>
      </c>
      <c r="F2675" s="213" t="str">
        <f>IFERROR(__xludf.DUMMYFUNCTION("""COMPUTED_VALUE"""),"MAT-508")</f>
        <v>MAT-508</v>
      </c>
      <c r="G2675" s="213"/>
      <c r="H2675" s="213" t="str">
        <f>IFERROR(__xludf.DUMMYFUNCTION("""COMPUTED_VALUE"""),"VIDEOS TUTORIALES DEL USO PEDAGÓGICO DE LOS SISTEMAS DE ENTRENAMIENTO DE MANTENIMIENTO DE MOTORES A GASOLINA Y DIESEL, GRABADO EN USB")</f>
        <v>VIDEOS TUTORIALES DEL USO PEDAGÓGICO DE LOS SISTEMAS DE ENTRENAMIENTO DE MANTENIMIENTO DE MOTORES A GASOLINA Y DIESEL, GRABADO EN USB</v>
      </c>
      <c r="I2675" s="213" t="str">
        <f>IFERROR(__xludf.DUMMYFUNCTION("""COMPUTED_VALUE"""),"Calidad física
· El USB tiene la capacidad de mínimo 32 GB, para almacenar la información en videos tutoriales del uso pedadógico de sistemas de entrenamiento de mantenimiento de motores a gasolina y diesel.
· Video grabado USB tiene 3 tipos de conectores"&amp;": para conectarse con la PC, Tablet y móvil (conector USB 3.0, conector micro USB, conector tipo C).
· Video grabado en formato MP4 / AVI, en alta resolución 4K o HD
· El video tendrá una duración de 50 minutos como mínimo. Dividido en cinco secciones de "&amp;"10 minutos
· Calidad pedagógica.
·        La primera sección presenta el video tutorial del uso pedagógico del módulo educativo de simulación del motor de gasolina
·        La segunda sección presenta el video tutorial del uso pedagógico del módulo educat"&amp;"ivo de motor diésel
·        La tercera sección presenta el video tutorial del uso pedagógico del módulo educativo del sistema de encendido
·        La cuarta sección presenta el video tutorial del uso pedagógico del módulo educativo de montaje y desmonta"&amp;"je del motor de gasolina
·        La quinta sección presenta el video tutorial del uso pedagógico del módulo educativo del sistema del sistema hibrido ECU HV
·        Cada sección presentará la descripción y partes y el funcionamiento del módulo educativo"&amp;"
·        Cada sección integra imágenes, sonido, video y textos de manera creativa y motivadora para adolescentes de educación secundaria.")</f>
        <v>Calidad física
· El USB tiene la capacidad de mínimo 32 GB, para almacenar la información en videos tutoriales del uso pedadógico de sistemas de entrenamiento de mantenimiento de motores a gasolina y diesel.
· Video grabado USB tiene 3 tipos de conectores: para conectarse con la PC, Tablet y móvil (conector USB 3.0, conector micro USB, conector tipo C).
· Video grabado en formato MP4 / AVI, en alta resolución 4K o HD
· El video tendrá una duración de 50 minutos como mínimo. Dividido en cinco secciones de 10 minutos
· Calidad pedagógica.
·        La primera sección presenta el video tutorial del uso pedagógico del módulo educativo de simulación del motor de gasolina
·        La segunda sección presenta el video tutorial del uso pedagógico del módulo educativo de motor diésel
·        La tercera sección presenta el video tutorial del uso pedagógico del módulo educativo del sistema de encendido
·        La cuarta sección presenta el video tutorial del uso pedagógico del módulo educativo de montaje y desmontaje del motor de gasolina
·        La quinta sección presenta el video tutorial del uso pedagógico del módulo educativo del sistema del sistema hibrido ECU HV
·        Cada sección presentará la descripción y partes y el funcionamiento del módulo educativo
·        Cada sección integra imágenes, sonido, video y textos de manera creativa y motivadora para adolescentes de educación secundaria.</v>
      </c>
      <c r="J2675" s="213">
        <f>IFERROR(__xludf.DUMMYFUNCTION("""COMPUTED_VALUE"""),3.0)</f>
        <v>3</v>
      </c>
      <c r="K2675" s="213" t="str">
        <f>IFERROR(__xludf.DUMMYFUNCTION("""COMPUTED_VALUE"""),"170 DÍAS CALENDARIO")</f>
        <v>170 DÍAS CALENDARIO</v>
      </c>
      <c r="L2675" s="213" t="str">
        <f>IFERROR(__xludf.DUMMYFUNCTION("""COMPUTED_VALUE"""),"")</f>
        <v/>
      </c>
      <c r="M2675" s="213">
        <f>IFERROR(__xludf.DUMMYFUNCTION("""COMPUTED_VALUE"""),1.0)</f>
        <v>1</v>
      </c>
      <c r="N2675" s="213">
        <f>IFERROR(__xludf.DUMMYFUNCTION("""COMPUTED_VALUE"""),1.0)</f>
        <v>1</v>
      </c>
      <c r="O2675" s="213">
        <f>IFERROR(__xludf.DUMMYFUNCTION("""COMPUTED_VALUE"""),1.0)</f>
        <v>1</v>
      </c>
      <c r="P2675" s="213"/>
      <c r="Q2675" s="213"/>
      <c r="R2675" s="213"/>
      <c r="S2675" s="213"/>
      <c r="T2675" s="213"/>
      <c r="U2675" s="213"/>
      <c r="V2675" s="213"/>
      <c r="W2675" s="213"/>
      <c r="X2675" s="213"/>
      <c r="Y2675" s="213"/>
      <c r="Z2675" s="213"/>
      <c r="AA2675" s="213"/>
      <c r="AB2675" s="213"/>
      <c r="AC2675" s="213"/>
      <c r="AD2675" s="213"/>
      <c r="AE2675" s="213"/>
      <c r="AF2675" s="213"/>
      <c r="AG2675" s="213"/>
      <c r="AH2675" s="213"/>
      <c r="AI2675" s="213"/>
      <c r="AJ2675" s="213"/>
      <c r="AK2675" s="213"/>
      <c r="AL2675" s="213"/>
      <c r="AM2675" s="213"/>
      <c r="AN2675" s="213"/>
      <c r="AO2675" s="213"/>
      <c r="AP2675" s="213"/>
      <c r="AQ2675" s="213"/>
      <c r="AR2675" s="213"/>
      <c r="AS2675" s="213"/>
      <c r="AT2675" s="213"/>
      <c r="AU2675" s="213"/>
      <c r="AV2675" s="213"/>
      <c r="AW2675" s="213"/>
      <c r="AX2675" s="213"/>
      <c r="AY2675" s="213"/>
      <c r="AZ2675" s="213"/>
      <c r="BA2675" s="213"/>
      <c r="BB2675" s="213"/>
      <c r="BC2675" s="213"/>
      <c r="BD2675" s="213"/>
    </row>
    <row r="2676">
      <c r="A2676" s="213">
        <f>IFERROR(__xludf.DUMMYFUNCTION("""COMPUTED_VALUE"""),1027.0)</f>
        <v>1027</v>
      </c>
      <c r="B2676" s="213" t="str">
        <f>IFERROR(__xludf.DUMMYFUNCTION("""COMPUTED_VALUE"""),"FRANCISCO IRAZOLA")</f>
        <v>FRANCISCO IRAZOLA</v>
      </c>
      <c r="C2676" s="213" t="str">
        <f>IFERROR(__xludf.DUMMYFUNCTION("""COMPUTED_VALUE"""),"TALLER SFT DE MECÁNICA AUTOMOTRIZ")</f>
        <v>TALLER SFT DE MECÁNICA AUTOMOTRIZ</v>
      </c>
      <c r="D2676" s="213" t="str">
        <f>IFERROR(__xludf.DUMMYFUNCTION("""COMPUTED_VALUE"""),"PEDAGOGICO")</f>
        <v>PEDAGOGICO</v>
      </c>
      <c r="E2676" s="213" t="str">
        <f>IFERROR(__xludf.DUMMYFUNCTION("""COMPUTED_VALUE"""),"MAT-509")</f>
        <v>MAT-509</v>
      </c>
      <c r="F2676" s="213" t="str">
        <f>IFERROR(__xludf.DUMMYFUNCTION("""COMPUTED_VALUE"""),"MAT-509")</f>
        <v>MAT-509</v>
      </c>
      <c r="G2676" s="213"/>
      <c r="H2676" s="213" t="str">
        <f>IFERROR(__xludf.DUMMYFUNCTION("""COMPUTED_VALUE"""),"VIDEOS TUTORIALES DEL USO PEDAGÓGICO DE LOS SISTEMAS DE ENTRENAMIENTO, GRABADO EN USB")</f>
        <v>VIDEOS TUTORIALES DEL USO PEDAGÓGICO DE LOS SISTEMAS DE ENTRENAMIENTO, GRABADO EN USB</v>
      </c>
      <c r="I2676" s="213" t="str">
        <f>IFERROR(__xludf.DUMMYFUNCTION("""COMPUTED_VALUE"""),"Calidad física
· El USB tiene la capacidad de mínimo 32 GB, para almacenar la información en videos tutoriales del uso pedadógico de los sistemas de entrenamiento.
· Video grabado USB tiene 3 tipos de conectores: para conectarse con la PC, Tablet y móvil "&amp;"(conector USB 3.0, conector micro USB, conector tipo C).
· Video grabado en formato MP4 / AVI, en alta resolución 4K o HD
· El video tendrá una duración de   30 minutos como mínimo. Dividido en tres secciones de 10 minutos.
· Calidad pedagógica.
· La prim"&amp;"era sección presenta el video tutorial del uso pedagógico del módulo educativo del sistema de luces.
·  La segunda sección presenta el video tutorial del uso pedagógico del módulo educativo del sistema de carga y arranque
·  La tercera sección presenta el"&amp;" video tutorial del uso pedagógico del módulo educativo del sistema eléctrico- electrónico computarizado.
·  Cada sección presentará la descripción y partes y el funcionamiento del módulo educativo
·   Cada sección integra imágenes, sonido, video y textos"&amp;" de manera creativa y motivadora para adolescentes de educación secundaria.")</f>
        <v>Calidad física
· El USB tiene la capacidad de mínimo 32 GB, para almacenar la información en videos tutoriales del uso pedadógico de los sistemas de entrenamiento.
· Video grabado USB tiene 3 tipos de conectores: para conectarse con la PC, Tablet y móvil (conector USB 3.0, conector micro USB, conector tipo C).
· Video grabado en formato MP4 / AVI, en alta resolución 4K o HD
· El video tendrá una duración de   30 minutos como mínimo. Dividido en tres secciones de 10 minutos.
· Calidad pedagógica.
· La primera sección presenta el video tutorial del uso pedagógico del módulo educativo del sistema de luces.
·  La segunda sección presenta el video tutorial del uso pedagógico del módulo educativo del sistema de carga y arranque
·  La tercera sección presenta el video tutorial del uso pedagógico del módulo educativo del sistema eléctrico- electrónico computarizado.
·  Cada sección presentará la descripción y partes y el funcionamiento del módulo educativo
·   Cada sección integra imágenes, sonido, video y textos de manera creativa y motivadora para adolescentes de educación secundaria.</v>
      </c>
      <c r="J2676" s="213">
        <f>IFERROR(__xludf.DUMMYFUNCTION("""COMPUTED_VALUE"""),3.0)</f>
        <v>3</v>
      </c>
      <c r="K2676" s="213" t="str">
        <f>IFERROR(__xludf.DUMMYFUNCTION("""COMPUTED_VALUE"""),"170 DÍAS CALENDARIO")</f>
        <v>170 DÍAS CALENDARIO</v>
      </c>
      <c r="L2676" s="213" t="str">
        <f>IFERROR(__xludf.DUMMYFUNCTION("""COMPUTED_VALUE"""),"")</f>
        <v/>
      </c>
      <c r="M2676" s="213">
        <f>IFERROR(__xludf.DUMMYFUNCTION("""COMPUTED_VALUE"""),1.0)</f>
        <v>1</v>
      </c>
      <c r="N2676" s="213">
        <f>IFERROR(__xludf.DUMMYFUNCTION("""COMPUTED_VALUE"""),1.0)</f>
        <v>1</v>
      </c>
      <c r="O2676" s="213">
        <f>IFERROR(__xludf.DUMMYFUNCTION("""COMPUTED_VALUE"""),1.0)</f>
        <v>1</v>
      </c>
      <c r="P2676" s="213"/>
      <c r="Q2676" s="213"/>
      <c r="R2676" s="213"/>
      <c r="S2676" s="213"/>
      <c r="T2676" s="213"/>
      <c r="U2676" s="213"/>
      <c r="V2676" s="213"/>
      <c r="W2676" s="213"/>
      <c r="X2676" s="213"/>
      <c r="Y2676" s="213"/>
      <c r="Z2676" s="213"/>
      <c r="AA2676" s="213"/>
      <c r="AB2676" s="213"/>
      <c r="AC2676" s="213"/>
      <c r="AD2676" s="213"/>
      <c r="AE2676" s="213"/>
      <c r="AF2676" s="213"/>
      <c r="AG2676" s="213"/>
      <c r="AH2676" s="213"/>
      <c r="AI2676" s="213"/>
      <c r="AJ2676" s="213"/>
      <c r="AK2676" s="213"/>
      <c r="AL2676" s="213"/>
      <c r="AM2676" s="213"/>
      <c r="AN2676" s="213"/>
      <c r="AO2676" s="213"/>
      <c r="AP2676" s="213"/>
      <c r="AQ2676" s="213"/>
      <c r="AR2676" s="213"/>
      <c r="AS2676" s="213"/>
      <c r="AT2676" s="213"/>
      <c r="AU2676" s="213"/>
      <c r="AV2676" s="213"/>
      <c r="AW2676" s="213"/>
      <c r="AX2676" s="213"/>
      <c r="AY2676" s="213"/>
      <c r="AZ2676" s="213"/>
      <c r="BA2676" s="213"/>
      <c r="BB2676" s="213"/>
      <c r="BC2676" s="213"/>
      <c r="BD2676" s="213"/>
    </row>
    <row r="2677">
      <c r="A2677" s="213">
        <f>IFERROR(__xludf.DUMMYFUNCTION("""COMPUTED_VALUE"""),1632.0)</f>
        <v>1632</v>
      </c>
      <c r="B2677" s="213" t="str">
        <f>IFERROR(__xludf.DUMMYFUNCTION("""COMPUTED_VALUE"""),"GUILLERMO E. BILLINGHURST ")</f>
        <v>GUILLERMO E. BILLINGHURST </v>
      </c>
      <c r="C2677" s="213" t="str">
        <f>IFERROR(__xludf.DUMMYFUNCTION("""COMPUTED_VALUE"""),"TALLER SFT DE MECÁNICA AUTOMOTRIZ")</f>
        <v>TALLER SFT DE MECÁNICA AUTOMOTRIZ</v>
      </c>
      <c r="D2677" s="213" t="str">
        <f>IFERROR(__xludf.DUMMYFUNCTION("""COMPUTED_VALUE"""),"PEDAGOGICO")</f>
        <v>PEDAGOGICO</v>
      </c>
      <c r="E2677" s="213" t="str">
        <f>IFERROR(__xludf.DUMMYFUNCTION("""COMPUTED_VALUE"""),"MAT-509")</f>
        <v>MAT-509</v>
      </c>
      <c r="F2677" s="213" t="str">
        <f>IFERROR(__xludf.DUMMYFUNCTION("""COMPUTED_VALUE"""),"MAT-509")</f>
        <v>MAT-509</v>
      </c>
      <c r="G2677" s="213"/>
      <c r="H2677" s="213" t="str">
        <f>IFERROR(__xludf.DUMMYFUNCTION("""COMPUTED_VALUE"""),"VIDEOS TUTORIALES DEL USO PEDAGÓGICO DE LOS SISTEMAS DE ENTRENAMIENTO, GRABADO EN USB")</f>
        <v>VIDEOS TUTORIALES DEL USO PEDAGÓGICO DE LOS SISTEMAS DE ENTRENAMIENTO, GRABADO EN USB</v>
      </c>
      <c r="I2677" s="213" t="str">
        <f>IFERROR(__xludf.DUMMYFUNCTION("""COMPUTED_VALUE"""),"Calidad física
· El USB tiene la capacidad de mínimo 32 GB, para almacenar la información en videos tutoriales del uso pedadógico de los sistemas de entrenamiento.
· Video grabado USB tiene 3 tipos de conectores: para conectarse con la PC, Tablet y móvil "&amp;"(conector USB 3.0, conector micro USB, conector tipo C).
· Video grabado en formato MP4 / AVI, en alta resolución 4K o HD
· El video tendrá una duración de   30 minutos como mínimo. Dividido en tres secciones de 10 minutos.
· Calidad pedagógica.
· La prim"&amp;"era sección presenta el video tutorial del uso pedagógico del módulo educativo del sistema de luces.
·  La segunda sección presenta el video tutorial del uso pedagógico del módulo educativo del sistema de carga y arranque
·  La tercera sección presenta el"&amp;" video tutorial del uso pedagógico del módulo educativo del sistema eléctrico- electrónico computarizado.
·  Cada sección presentará la descripción y partes y el funcionamiento del módulo educativo
·   Cada sección integra imágenes, sonido, video y textos"&amp;" de manera creativa y motivadora para adolescentes de educación secundaria.")</f>
        <v>Calidad física
· El USB tiene la capacidad de mínimo 32 GB, para almacenar la información en videos tutoriales del uso pedadógico de los sistemas de entrenamiento.
· Video grabado USB tiene 3 tipos de conectores: para conectarse con la PC, Tablet y móvil (conector USB 3.0, conector micro USB, conector tipo C).
· Video grabado en formato MP4 / AVI, en alta resolución 4K o HD
· El video tendrá una duración de   30 minutos como mínimo. Dividido en tres secciones de 10 minutos.
· Calidad pedagógica.
· La primera sección presenta el video tutorial del uso pedagógico del módulo educativo del sistema de luces.
·  La segunda sección presenta el video tutorial del uso pedagógico del módulo educativo del sistema de carga y arranque
·  La tercera sección presenta el video tutorial del uso pedagógico del módulo educativo del sistema eléctrico- electrónico computarizado.
·  Cada sección presentará la descripción y partes y el funcionamiento del módulo educativo
·   Cada sección integra imágenes, sonido, video y textos de manera creativa y motivadora para adolescentes de educación secundaria.</v>
      </c>
      <c r="J2677" s="213">
        <f>IFERROR(__xludf.DUMMYFUNCTION("""COMPUTED_VALUE"""),3.0)</f>
        <v>3</v>
      </c>
      <c r="K2677" s="213" t="str">
        <f>IFERROR(__xludf.DUMMYFUNCTION("""COMPUTED_VALUE"""),"170 DÍAS CALENDARIO")</f>
        <v>170 DÍAS CALENDARIO</v>
      </c>
      <c r="L2677" s="213" t="str">
        <f>IFERROR(__xludf.DUMMYFUNCTION("""COMPUTED_VALUE"""),"")</f>
        <v/>
      </c>
      <c r="M2677" s="213">
        <f>IFERROR(__xludf.DUMMYFUNCTION("""COMPUTED_VALUE"""),1.0)</f>
        <v>1</v>
      </c>
      <c r="N2677" s="213">
        <f>IFERROR(__xludf.DUMMYFUNCTION("""COMPUTED_VALUE"""),1.0)</f>
        <v>1</v>
      </c>
      <c r="O2677" s="213">
        <f>IFERROR(__xludf.DUMMYFUNCTION("""COMPUTED_VALUE"""),1.0)</f>
        <v>1</v>
      </c>
      <c r="P2677" s="213"/>
      <c r="Q2677" s="213"/>
      <c r="R2677" s="213"/>
      <c r="S2677" s="213"/>
      <c r="T2677" s="213"/>
      <c r="U2677" s="213"/>
      <c r="V2677" s="213"/>
      <c r="W2677" s="213"/>
      <c r="X2677" s="213"/>
      <c r="Y2677" s="213"/>
      <c r="Z2677" s="213"/>
      <c r="AA2677" s="213"/>
      <c r="AB2677" s="213"/>
      <c r="AC2677" s="213"/>
      <c r="AD2677" s="213"/>
      <c r="AE2677" s="213"/>
      <c r="AF2677" s="213"/>
      <c r="AG2677" s="213"/>
      <c r="AH2677" s="213"/>
      <c r="AI2677" s="213"/>
      <c r="AJ2677" s="213"/>
      <c r="AK2677" s="213"/>
      <c r="AL2677" s="213"/>
      <c r="AM2677" s="213"/>
      <c r="AN2677" s="213"/>
      <c r="AO2677" s="213"/>
      <c r="AP2677" s="213"/>
      <c r="AQ2677" s="213"/>
      <c r="AR2677" s="213"/>
      <c r="AS2677" s="213"/>
      <c r="AT2677" s="213"/>
      <c r="AU2677" s="213"/>
      <c r="AV2677" s="213"/>
      <c r="AW2677" s="213"/>
      <c r="AX2677" s="213"/>
      <c r="AY2677" s="213"/>
      <c r="AZ2677" s="213"/>
      <c r="BA2677" s="213"/>
      <c r="BB2677" s="213"/>
      <c r="BC2677" s="213"/>
      <c r="BD2677" s="213"/>
    </row>
    <row r="2678">
      <c r="A2678" s="213">
        <f>IFERROR(__xludf.DUMMYFUNCTION("""COMPUTED_VALUE"""),2323.0)</f>
        <v>2323</v>
      </c>
      <c r="B2678" s="213" t="str">
        <f>IFERROR(__xludf.DUMMYFUNCTION("""COMPUTED_VALUE"""),"JOSE GRANDA")</f>
        <v>JOSE GRANDA</v>
      </c>
      <c r="C2678" s="213" t="str">
        <f>IFERROR(__xludf.DUMMYFUNCTION("""COMPUTED_VALUE"""),"TALLER SFT DE MECÁNICA AUTOMOTRIZ")</f>
        <v>TALLER SFT DE MECÁNICA AUTOMOTRIZ</v>
      </c>
      <c r="D2678" s="213" t="str">
        <f>IFERROR(__xludf.DUMMYFUNCTION("""COMPUTED_VALUE"""),"PEDAGOGICO")</f>
        <v>PEDAGOGICO</v>
      </c>
      <c r="E2678" s="213" t="str">
        <f>IFERROR(__xludf.DUMMYFUNCTION("""COMPUTED_VALUE"""),"MAT-509")</f>
        <v>MAT-509</v>
      </c>
      <c r="F2678" s="213" t="str">
        <f>IFERROR(__xludf.DUMMYFUNCTION("""COMPUTED_VALUE"""),"MAT-509")</f>
        <v>MAT-509</v>
      </c>
      <c r="G2678" s="213"/>
      <c r="H2678" s="213" t="str">
        <f>IFERROR(__xludf.DUMMYFUNCTION("""COMPUTED_VALUE"""),"VIDEOS TUTORIALES DEL USO PEDAGÓGICO DE LOS SISTEMAS DE ENTRENAMIENTO, GRABADO EN USB")</f>
        <v>VIDEOS TUTORIALES DEL USO PEDAGÓGICO DE LOS SISTEMAS DE ENTRENAMIENTO, GRABADO EN USB</v>
      </c>
      <c r="I2678" s="213" t="str">
        <f>IFERROR(__xludf.DUMMYFUNCTION("""COMPUTED_VALUE"""),"Calidad física
· El USB tiene la capacidad de mínimo 32 GB, para almacenar la información en videos tutoriales del uso pedadógico de los sistemas de entrenamiento.
· Video grabado USB tiene 3 tipos de conectores: para conectarse con la PC, Tablet y móvil "&amp;"(conector USB 3.0, conector micro USB, conector tipo C).
· Video grabado en formato MP4 / AVI, en alta resolución 4K o HD
· El video tendrá una duración de   30 minutos como mínimo. Dividido en tres secciones de 10 minutos.
· Calidad pedagógica.
· La prim"&amp;"era sección presenta el video tutorial del uso pedagógico del módulo educativo del sistema de luces.
·  La segunda sección presenta el video tutorial del uso pedagógico del módulo educativo del sistema de carga y arranque
·  La tercera sección presenta el"&amp;" video tutorial del uso pedagógico del módulo educativo del sistema eléctrico- electrónico computarizado.
·  Cada sección presentará la descripción y partes y el funcionamiento del módulo educativo
·   Cada sección integra imágenes, sonido, video y textos"&amp;" de manera creativa y motivadora para adolescentes de educación secundaria.")</f>
        <v>Calidad física
· El USB tiene la capacidad de mínimo 32 GB, para almacenar la información en videos tutoriales del uso pedadógico de los sistemas de entrenamiento.
· Video grabado USB tiene 3 tipos de conectores: para conectarse con la PC, Tablet y móvil (conector USB 3.0, conector micro USB, conector tipo C).
· Video grabado en formato MP4 / AVI, en alta resolución 4K o HD
· El video tendrá una duración de   30 minutos como mínimo. Dividido en tres secciones de 10 minutos.
· Calidad pedagógica.
· La primera sección presenta el video tutorial del uso pedagógico del módulo educativo del sistema de luces.
·  La segunda sección presenta el video tutorial del uso pedagógico del módulo educativo del sistema de carga y arranque
·  La tercera sección presenta el video tutorial del uso pedagógico del módulo educativo del sistema eléctrico- electrónico computarizado.
·  Cada sección presentará la descripción y partes y el funcionamiento del módulo educativo
·   Cada sección integra imágenes, sonido, video y textos de manera creativa y motivadora para adolescentes de educación secundaria.</v>
      </c>
      <c r="J2678" s="213">
        <f>IFERROR(__xludf.DUMMYFUNCTION("""COMPUTED_VALUE"""),3.0)</f>
        <v>3</v>
      </c>
      <c r="K2678" s="213" t="str">
        <f>IFERROR(__xludf.DUMMYFUNCTION("""COMPUTED_VALUE"""),"170 DÍAS CALENDARIO")</f>
        <v>170 DÍAS CALENDARIO</v>
      </c>
      <c r="L2678" s="213" t="str">
        <f>IFERROR(__xludf.DUMMYFUNCTION("""COMPUTED_VALUE"""),"")</f>
        <v/>
      </c>
      <c r="M2678" s="213">
        <f>IFERROR(__xludf.DUMMYFUNCTION("""COMPUTED_VALUE"""),1.0)</f>
        <v>1</v>
      </c>
      <c r="N2678" s="213">
        <f>IFERROR(__xludf.DUMMYFUNCTION("""COMPUTED_VALUE"""),1.0)</f>
        <v>1</v>
      </c>
      <c r="O2678" s="213">
        <f>IFERROR(__xludf.DUMMYFUNCTION("""COMPUTED_VALUE"""),1.0)</f>
        <v>1</v>
      </c>
      <c r="P2678" s="213"/>
      <c r="Q2678" s="213"/>
      <c r="R2678" s="213"/>
      <c r="S2678" s="213"/>
      <c r="T2678" s="213"/>
      <c r="U2678" s="213"/>
      <c r="V2678" s="213"/>
      <c r="W2678" s="213"/>
      <c r="X2678" s="213"/>
      <c r="Y2678" s="213"/>
      <c r="Z2678" s="213"/>
      <c r="AA2678" s="213"/>
      <c r="AB2678" s="213"/>
      <c r="AC2678" s="213"/>
      <c r="AD2678" s="213"/>
      <c r="AE2678" s="213"/>
      <c r="AF2678" s="213"/>
      <c r="AG2678" s="213"/>
      <c r="AH2678" s="213"/>
      <c r="AI2678" s="213"/>
      <c r="AJ2678" s="213"/>
      <c r="AK2678" s="213"/>
      <c r="AL2678" s="213"/>
      <c r="AM2678" s="213"/>
      <c r="AN2678" s="213"/>
      <c r="AO2678" s="213"/>
      <c r="AP2678" s="213"/>
      <c r="AQ2678" s="213"/>
      <c r="AR2678" s="213"/>
      <c r="AS2678" s="213"/>
      <c r="AT2678" s="213"/>
      <c r="AU2678" s="213"/>
      <c r="AV2678" s="213"/>
      <c r="AW2678" s="213"/>
      <c r="AX2678" s="213"/>
      <c r="AY2678" s="213"/>
      <c r="AZ2678" s="213"/>
      <c r="BA2678" s="213"/>
      <c r="BB2678" s="213"/>
      <c r="BC2678" s="213"/>
      <c r="BD2678" s="213"/>
    </row>
    <row r="2679">
      <c r="A2679" s="213">
        <f>IFERROR(__xludf.DUMMYFUNCTION("""COMPUTED_VALUE"""),1017.0)</f>
        <v>1017</v>
      </c>
      <c r="B2679" s="213" t="str">
        <f>IFERROR(__xludf.DUMMYFUNCTION("""COMPUTED_VALUE"""),"FRANCISCO IRAZOLA")</f>
        <v>FRANCISCO IRAZOLA</v>
      </c>
      <c r="C2679" s="213" t="str">
        <f>IFERROR(__xludf.DUMMYFUNCTION("""COMPUTED_VALUE"""),"TALLER SFT DE MECÁNICA AUTOMOTRIZ")</f>
        <v>TALLER SFT DE MECÁNICA AUTOMOTRIZ</v>
      </c>
      <c r="D2679" s="213" t="str">
        <f>IFERROR(__xludf.DUMMYFUNCTION("""COMPUTED_VALUE"""),"PEDAGOGICO")</f>
        <v>PEDAGOGICO</v>
      </c>
      <c r="E2679" s="213" t="str">
        <f>IFERROR(__xludf.DUMMYFUNCTION("""COMPUTED_VALUE"""),"MAT-510")</f>
        <v>MAT-510</v>
      </c>
      <c r="F2679" s="213" t="str">
        <f>IFERROR(__xludf.DUMMYFUNCTION("""COMPUTED_VALUE"""),"MAT-510")</f>
        <v>MAT-510</v>
      </c>
      <c r="G2679" s="213"/>
      <c r="H2679" s="213" t="str">
        <f>IFERROR(__xludf.DUMMYFUNCTION("""COMPUTED_VALUE"""),"VIDEOS TUTORIALES DEL USO PEDAGÓGICO DE MÓDULOS EDUCATIVOS DE SUSPENSIÓN, DIRECCIÓN Y FRENOS Y MODULO EDUCATIVO DE SISTEMAS DE FRENOS ABS TCS CONTROL DE TRACCIÓN, GRABADO EN USB")</f>
        <v>VIDEOS TUTORIALES DEL USO PEDAGÓGICO DE MÓDULOS EDUCATIVOS DE SUSPENSIÓN, DIRECCIÓN Y FRENOS Y MODULO EDUCATIVO DE SISTEMAS DE FRENOS ABS TCS CONTROL DE TRACCIÓN, GRABADO EN USB</v>
      </c>
      <c r="I2679" s="213" t="str">
        <f>IFERROR(__xludf.DUMMYFUNCTION("""COMPUTED_VALUE"""),"Calidad física
· El USB tiene la capacidad de mínimo 32 GB, para almacenar la información en videos tutoriales del uso pedadógico de módulos educativos de suspensión, dirección y frenos y modulo educativo de sistemas de frenos ABS TCS control de tracción."&amp;"
· Video grabado USB tiene 3 tipos de conectores: para conectarse con la PC, Tablet y móvil (conector USB 3.0, conector micro USB, conector tipo C).
· Video grabado en formato MP4 / AVI, en alta resolución 4K o HD
· El video tendrá una duración de  30 min"&amp;"utos como mínimo. Dividido en 3 secciones.
· Calidad pedagógica.
· Presenta el video tutorial del mantenimiento del sistema de frenos ABS TCS.
·  En la segunda sección presenta el video tutorial del mantenimiento del sistema de control de tracción.
·  En "&amp;"la tercera sección presenta el video tutorial del mantenimiento del sistema de frenos
·  Cada sección presentará: el título de la técnica, la descripción y partes de la máquina, demostración de la preparación de la máquina, demostración del funcionamiento"&amp;", mantenimiento preventivo y aplicación de normas de seguridad.
·  Cada sección integra imágenes, sonido, video y textos de manera creativa y motivadora para adolescentes de educación secundaria.")</f>
        <v>Calidad física
· El USB tiene la capacidad de mínimo 32 GB, para almacenar la información en videos tutoriales del uso pedadógico de módulos educativos de suspensión, dirección y frenos y modulo educativo de sistemas de frenos ABS TCS control de tracción.
· Video grabado USB tiene 3 tipos de conectores: para conectarse con la PC, Tablet y móvil (conector USB 3.0, conector micro USB, conector tipo C).
· Video grabado en formato MP4 / AVI, en alta resolución 4K o HD
· El video tendrá una duración de  30 minutos como mínimo. Dividido en 3 secciones.
· Calidad pedagógica.
· Presenta el video tutorial del mantenimiento del sistema de frenos ABS TCS.
·  En la segunda sección presenta el video tutorial del mantenimiento del sistema de control de tracción.
·  En la tercera sección presenta el video tutorial del mantenimiento del sistema de frenos
·  Cada sección presentará: el título de la técnica, la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79" s="213">
        <f>IFERROR(__xludf.DUMMYFUNCTION("""COMPUTED_VALUE"""),3.0)</f>
        <v>3</v>
      </c>
      <c r="K2679" s="213" t="str">
        <f>IFERROR(__xludf.DUMMYFUNCTION("""COMPUTED_VALUE"""),"170 DÍAS CALENDARIO")</f>
        <v>170 DÍAS CALENDARIO</v>
      </c>
      <c r="L2679" s="213" t="str">
        <f>IFERROR(__xludf.DUMMYFUNCTION("""COMPUTED_VALUE"""),"")</f>
        <v/>
      </c>
      <c r="M2679" s="213">
        <f>IFERROR(__xludf.DUMMYFUNCTION("""COMPUTED_VALUE"""),1.0)</f>
        <v>1</v>
      </c>
      <c r="N2679" s="213">
        <f>IFERROR(__xludf.DUMMYFUNCTION("""COMPUTED_VALUE"""),1.0)</f>
        <v>1</v>
      </c>
      <c r="O2679" s="213">
        <f>IFERROR(__xludf.DUMMYFUNCTION("""COMPUTED_VALUE"""),1.0)</f>
        <v>1</v>
      </c>
      <c r="P2679" s="213"/>
      <c r="Q2679" s="213"/>
      <c r="R2679" s="213"/>
      <c r="S2679" s="213"/>
      <c r="T2679" s="213"/>
      <c r="U2679" s="213"/>
      <c r="V2679" s="213"/>
      <c r="W2679" s="213"/>
      <c r="X2679" s="213"/>
      <c r="Y2679" s="213"/>
      <c r="Z2679" s="213"/>
      <c r="AA2679" s="213"/>
      <c r="AB2679" s="213"/>
      <c r="AC2679" s="213"/>
      <c r="AD2679" s="213"/>
      <c r="AE2679" s="213"/>
      <c r="AF2679" s="213"/>
      <c r="AG2679" s="213"/>
      <c r="AH2679" s="213"/>
      <c r="AI2679" s="213"/>
      <c r="AJ2679" s="213"/>
      <c r="AK2679" s="213"/>
      <c r="AL2679" s="213"/>
      <c r="AM2679" s="213"/>
      <c r="AN2679" s="213"/>
      <c r="AO2679" s="213"/>
      <c r="AP2679" s="213"/>
      <c r="AQ2679" s="213"/>
      <c r="AR2679" s="213"/>
      <c r="AS2679" s="213"/>
      <c r="AT2679" s="213"/>
      <c r="AU2679" s="213"/>
      <c r="AV2679" s="213"/>
      <c r="AW2679" s="213"/>
      <c r="AX2679" s="213"/>
      <c r="AY2679" s="213"/>
      <c r="AZ2679" s="213"/>
      <c r="BA2679" s="213"/>
      <c r="BB2679" s="213"/>
      <c r="BC2679" s="213"/>
      <c r="BD2679" s="213"/>
    </row>
    <row r="2680">
      <c r="A2680" s="213">
        <f>IFERROR(__xludf.DUMMYFUNCTION("""COMPUTED_VALUE"""),1622.0)</f>
        <v>1622</v>
      </c>
      <c r="B2680" s="213" t="str">
        <f>IFERROR(__xludf.DUMMYFUNCTION("""COMPUTED_VALUE"""),"GUILLERMO E. BILLINGHURST ")</f>
        <v>GUILLERMO E. BILLINGHURST </v>
      </c>
      <c r="C2680" s="213" t="str">
        <f>IFERROR(__xludf.DUMMYFUNCTION("""COMPUTED_VALUE"""),"TALLER SFT DE MECÁNICA AUTOMOTRIZ")</f>
        <v>TALLER SFT DE MECÁNICA AUTOMOTRIZ</v>
      </c>
      <c r="D2680" s="213" t="str">
        <f>IFERROR(__xludf.DUMMYFUNCTION("""COMPUTED_VALUE"""),"PEDAGOGICO")</f>
        <v>PEDAGOGICO</v>
      </c>
      <c r="E2680" s="213" t="str">
        <f>IFERROR(__xludf.DUMMYFUNCTION("""COMPUTED_VALUE"""),"MAT-510")</f>
        <v>MAT-510</v>
      </c>
      <c r="F2680" s="213" t="str">
        <f>IFERROR(__xludf.DUMMYFUNCTION("""COMPUTED_VALUE"""),"MAT-510")</f>
        <v>MAT-510</v>
      </c>
      <c r="G2680" s="213"/>
      <c r="H2680" s="213" t="str">
        <f>IFERROR(__xludf.DUMMYFUNCTION("""COMPUTED_VALUE"""),"VIDEOS TUTORIALES DEL USO PEDAGÓGICO DE MÓDULOS EDUCATIVOS DE SUSPENSIÓN, DIRECCIÓN Y FRENOS Y MODULO EDUCATIVO DE SISTEMAS DE FRENOS ABS TCS CONTROL DE TRACCIÓN, GRABADO EN USB")</f>
        <v>VIDEOS TUTORIALES DEL USO PEDAGÓGICO DE MÓDULOS EDUCATIVOS DE SUSPENSIÓN, DIRECCIÓN Y FRENOS Y MODULO EDUCATIVO DE SISTEMAS DE FRENOS ABS TCS CONTROL DE TRACCIÓN, GRABADO EN USB</v>
      </c>
      <c r="I2680" s="213" t="str">
        <f>IFERROR(__xludf.DUMMYFUNCTION("""COMPUTED_VALUE"""),"Calidad física
· El USB tiene la capacidad de mínimo 32 GB, para almacenar la información en videos tutoriales del uso pedadógico de módulos educativos de suspensión, dirección y frenos y modulo educativo de sistemas de frenos ABS TCS control de tracción."&amp;"
· Video grabado USB tiene 3 tipos de conectores: para conectarse con la PC, Tablet y móvil (conector USB 3.0, conector micro USB, conector tipo C).
· Video grabado en formato MP4 / AVI, en alta resolución 4K o HD
· El video tendrá una duración de  30 min"&amp;"utos como mínimo. Dividido en 3 secciones.
· Calidad pedagógica.
· Presenta el video tutorial del mantenimiento del sistema de frenos ABS TCS.
·  En la segunda sección presenta el video tutorial del mantenimiento del sistema de control de tracción.
·  En "&amp;"la tercera sección presenta el video tutorial del mantenimiento del sistema de frenos
·  Cada sección presentará: el título de la técnica, la descripción y partes de la máquina, demostración de la preparación de la máquina, demostración del funcionamiento"&amp;", mantenimiento preventivo y aplicación de normas de seguridad.
·  Cada sección integra imágenes, sonido, video y textos de manera creativa y motivadora para adolescentes de educación secundaria.")</f>
        <v>Calidad física
· El USB tiene la capacidad de mínimo 32 GB, para almacenar la información en videos tutoriales del uso pedadógico de módulos educativos de suspensión, dirección y frenos y modulo educativo de sistemas de frenos ABS TCS control de tracción.
· Video grabado USB tiene 3 tipos de conectores: para conectarse con la PC, Tablet y móvil (conector USB 3.0, conector micro USB, conector tipo C).
· Video grabado en formato MP4 / AVI, en alta resolución 4K o HD
· El video tendrá una duración de  30 minutos como mínimo. Dividido en 3 secciones.
· Calidad pedagógica.
· Presenta el video tutorial del mantenimiento del sistema de frenos ABS TCS.
·  En la segunda sección presenta el video tutorial del mantenimiento del sistema de control de tracción.
·  En la tercera sección presenta el video tutorial del mantenimiento del sistema de frenos
·  Cada sección presentará: el título de la técnica, la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80" s="213">
        <f>IFERROR(__xludf.DUMMYFUNCTION("""COMPUTED_VALUE"""),3.0)</f>
        <v>3</v>
      </c>
      <c r="K2680" s="213" t="str">
        <f>IFERROR(__xludf.DUMMYFUNCTION("""COMPUTED_VALUE"""),"170 DÍAS CALENDARIO")</f>
        <v>170 DÍAS CALENDARIO</v>
      </c>
      <c r="L2680" s="213" t="str">
        <f>IFERROR(__xludf.DUMMYFUNCTION("""COMPUTED_VALUE"""),"")</f>
        <v/>
      </c>
      <c r="M2680" s="213">
        <f>IFERROR(__xludf.DUMMYFUNCTION("""COMPUTED_VALUE"""),1.0)</f>
        <v>1</v>
      </c>
      <c r="N2680" s="213">
        <f>IFERROR(__xludf.DUMMYFUNCTION("""COMPUTED_VALUE"""),1.0)</f>
        <v>1</v>
      </c>
      <c r="O2680" s="213">
        <f>IFERROR(__xludf.DUMMYFUNCTION("""COMPUTED_VALUE"""),1.0)</f>
        <v>1</v>
      </c>
      <c r="P2680" s="213"/>
      <c r="Q2680" s="213"/>
      <c r="R2680" s="213"/>
      <c r="S2680" s="213"/>
      <c r="T2680" s="213"/>
      <c r="U2680" s="213"/>
      <c r="V2680" s="213"/>
      <c r="W2680" s="213"/>
      <c r="X2680" s="213"/>
      <c r="Y2680" s="213"/>
      <c r="Z2680" s="213"/>
      <c r="AA2680" s="213"/>
      <c r="AB2680" s="213"/>
      <c r="AC2680" s="213"/>
      <c r="AD2680" s="213"/>
      <c r="AE2680" s="213"/>
      <c r="AF2680" s="213"/>
      <c r="AG2680" s="213"/>
      <c r="AH2680" s="213"/>
      <c r="AI2680" s="213"/>
      <c r="AJ2680" s="213"/>
      <c r="AK2680" s="213"/>
      <c r="AL2680" s="213"/>
      <c r="AM2680" s="213"/>
      <c r="AN2680" s="213"/>
      <c r="AO2680" s="213"/>
      <c r="AP2680" s="213"/>
      <c r="AQ2680" s="213"/>
      <c r="AR2680" s="213"/>
      <c r="AS2680" s="213"/>
      <c r="AT2680" s="213"/>
      <c r="AU2680" s="213"/>
      <c r="AV2680" s="213"/>
      <c r="AW2680" s="213"/>
      <c r="AX2680" s="213"/>
      <c r="AY2680" s="213"/>
      <c r="AZ2680" s="213"/>
      <c r="BA2680" s="213"/>
      <c r="BB2680" s="213"/>
      <c r="BC2680" s="213"/>
      <c r="BD2680" s="213"/>
    </row>
    <row r="2681">
      <c r="A2681" s="213">
        <f>IFERROR(__xludf.DUMMYFUNCTION("""COMPUTED_VALUE"""),2313.0)</f>
        <v>2313</v>
      </c>
      <c r="B2681" s="213" t="str">
        <f>IFERROR(__xludf.DUMMYFUNCTION("""COMPUTED_VALUE"""),"JOSE GRANDA")</f>
        <v>JOSE GRANDA</v>
      </c>
      <c r="C2681" s="213" t="str">
        <f>IFERROR(__xludf.DUMMYFUNCTION("""COMPUTED_VALUE"""),"TALLER SFT DE MECÁNICA AUTOMOTRIZ")</f>
        <v>TALLER SFT DE MECÁNICA AUTOMOTRIZ</v>
      </c>
      <c r="D2681" s="213" t="str">
        <f>IFERROR(__xludf.DUMMYFUNCTION("""COMPUTED_VALUE"""),"PEDAGOGICO")</f>
        <v>PEDAGOGICO</v>
      </c>
      <c r="E2681" s="213" t="str">
        <f>IFERROR(__xludf.DUMMYFUNCTION("""COMPUTED_VALUE"""),"MAT-510")</f>
        <v>MAT-510</v>
      </c>
      <c r="F2681" s="213" t="str">
        <f>IFERROR(__xludf.DUMMYFUNCTION("""COMPUTED_VALUE"""),"MAT-510")</f>
        <v>MAT-510</v>
      </c>
      <c r="G2681" s="213"/>
      <c r="H2681" s="213" t="str">
        <f>IFERROR(__xludf.DUMMYFUNCTION("""COMPUTED_VALUE"""),"VIDEOS TUTORIALES DEL USO PEDAGÓGICO DE MÓDULOS EDUCATIVOS DE SUSPENSIÓN, DIRECCIÓN Y FRENOS Y MODULO EDUCATIVO DE SISTEMAS DE FRENOS ABS TCS CONTROL DE TRACCIÓN, GRABADO EN USB")</f>
        <v>VIDEOS TUTORIALES DEL USO PEDAGÓGICO DE MÓDULOS EDUCATIVOS DE SUSPENSIÓN, DIRECCIÓN Y FRENOS Y MODULO EDUCATIVO DE SISTEMAS DE FRENOS ABS TCS CONTROL DE TRACCIÓN, GRABADO EN USB</v>
      </c>
      <c r="I2681" s="213" t="str">
        <f>IFERROR(__xludf.DUMMYFUNCTION("""COMPUTED_VALUE"""),"Calidad física
· El USB tiene la capacidad de mínimo 32 GB, para almacenar la información en videos tutoriales del uso pedadógico de módulos educativos de suspensión, dirección y frenos y modulo educativo de sistemas de frenos ABS TCS control de tracción."&amp;"
· Video grabado USB tiene 3 tipos de conectores: para conectarse con la PC, Tablet y móvil (conector USB 3.0, conector micro USB, conector tipo C).
· Video grabado en formato MP4 / AVI, en alta resolución 4K o HD
· El video tendrá una duración de  30 min"&amp;"utos como mínimo. Dividido en 3 secciones.
· Calidad pedagógica.
· Presenta el video tutorial del mantenimiento del sistema de frenos ABS TCS.
·  En la segunda sección presenta el video tutorial del mantenimiento del sistema de control de tracción.
·  En "&amp;"la tercera sección presenta el video tutorial del mantenimiento del sistema de frenos
·  Cada sección presentará: el título de la técnica, la descripción y partes de la máquina, demostración de la preparación de la máquina, demostración del funcionamiento"&amp;", mantenimiento preventivo y aplicación de normas de seguridad.
·  Cada sección integra imágenes, sonido, video y textos de manera creativa y motivadora para adolescentes de educación secundaria.")</f>
        <v>Calidad física
· El USB tiene la capacidad de mínimo 32 GB, para almacenar la información en videos tutoriales del uso pedadógico de módulos educativos de suspensión, dirección y frenos y modulo educativo de sistemas de frenos ABS TCS control de tracción.
· Video grabado USB tiene 3 tipos de conectores: para conectarse con la PC, Tablet y móvil (conector USB 3.0, conector micro USB, conector tipo C).
· Video grabado en formato MP4 / AVI, en alta resolución 4K o HD
· El video tendrá una duración de  30 minutos como mínimo. Dividido en 3 secciones.
· Calidad pedagógica.
· Presenta el video tutorial del mantenimiento del sistema de frenos ABS TCS.
·  En la segunda sección presenta el video tutorial del mantenimiento del sistema de control de tracción.
·  En la tercera sección presenta el video tutorial del mantenimiento del sistema de frenos
·  Cada sección presentará: el título de la técnica, la descripción y partes de la máquina, demostración de la preparación de la máquina, demostración del funcionamiento, mantenimiento preventivo y aplicación de normas de seguridad.
·  Cada sección integra imágenes, sonido, video y textos de manera creativa y motivadora para adolescentes de educación secundaria.</v>
      </c>
      <c r="J2681" s="213">
        <f>IFERROR(__xludf.DUMMYFUNCTION("""COMPUTED_VALUE"""),3.0)</f>
        <v>3</v>
      </c>
      <c r="K2681" s="213" t="str">
        <f>IFERROR(__xludf.DUMMYFUNCTION("""COMPUTED_VALUE"""),"170 DÍAS CALENDARIO")</f>
        <v>170 DÍAS CALENDARIO</v>
      </c>
      <c r="L2681" s="213" t="str">
        <f>IFERROR(__xludf.DUMMYFUNCTION("""COMPUTED_VALUE"""),"")</f>
        <v/>
      </c>
      <c r="M2681" s="213">
        <f>IFERROR(__xludf.DUMMYFUNCTION("""COMPUTED_VALUE"""),1.0)</f>
        <v>1</v>
      </c>
      <c r="N2681" s="213">
        <f>IFERROR(__xludf.DUMMYFUNCTION("""COMPUTED_VALUE"""),1.0)</f>
        <v>1</v>
      </c>
      <c r="O2681" s="213">
        <f>IFERROR(__xludf.DUMMYFUNCTION("""COMPUTED_VALUE"""),1.0)</f>
        <v>1</v>
      </c>
      <c r="P2681" s="213"/>
      <c r="Q2681" s="213"/>
      <c r="R2681" s="213"/>
      <c r="S2681" s="213"/>
      <c r="T2681" s="213"/>
      <c r="U2681" s="213"/>
      <c r="V2681" s="213"/>
      <c r="W2681" s="213"/>
      <c r="X2681" s="213"/>
      <c r="Y2681" s="213"/>
      <c r="Z2681" s="213"/>
      <c r="AA2681" s="213"/>
      <c r="AB2681" s="213"/>
      <c r="AC2681" s="213"/>
      <c r="AD2681" s="213"/>
      <c r="AE2681" s="213"/>
      <c r="AF2681" s="213"/>
      <c r="AG2681" s="213"/>
      <c r="AH2681" s="213"/>
      <c r="AI2681" s="213"/>
      <c r="AJ2681" s="213"/>
      <c r="AK2681" s="213"/>
      <c r="AL2681" s="213"/>
      <c r="AM2681" s="213"/>
      <c r="AN2681" s="213"/>
      <c r="AO2681" s="213"/>
      <c r="AP2681" s="213"/>
      <c r="AQ2681" s="213"/>
      <c r="AR2681" s="213"/>
      <c r="AS2681" s="213"/>
      <c r="AT2681" s="213"/>
      <c r="AU2681" s="213"/>
      <c r="AV2681" s="213"/>
      <c r="AW2681" s="213"/>
      <c r="AX2681" s="213"/>
      <c r="AY2681" s="213"/>
      <c r="AZ2681" s="213"/>
      <c r="BA2681" s="213"/>
      <c r="BB2681" s="213"/>
      <c r="BC2681" s="213"/>
      <c r="BD2681" s="213"/>
    </row>
    <row r="2682">
      <c r="A2682" s="213">
        <f>IFERROR(__xludf.DUMMYFUNCTION("""COMPUTED_VALUE"""),1021.0)</f>
        <v>1021</v>
      </c>
      <c r="B2682" s="213" t="str">
        <f>IFERROR(__xludf.DUMMYFUNCTION("""COMPUTED_VALUE"""),"FRANCISCO IRAZOLA")</f>
        <v>FRANCISCO IRAZOLA</v>
      </c>
      <c r="C2682" s="213" t="str">
        <f>IFERROR(__xludf.DUMMYFUNCTION("""COMPUTED_VALUE"""),"TALLER SFT DE MECÁNICA AUTOMOTRIZ")</f>
        <v>TALLER SFT DE MECÁNICA AUTOMOTRIZ</v>
      </c>
      <c r="D2682" s="213" t="str">
        <f>IFERROR(__xludf.DUMMYFUNCTION("""COMPUTED_VALUE"""),"PEDAGOGICO")</f>
        <v>PEDAGOGICO</v>
      </c>
      <c r="E2682" s="213" t="str">
        <f>IFERROR(__xludf.DUMMYFUNCTION("""COMPUTED_VALUE"""),"MAT-511")</f>
        <v>MAT-511</v>
      </c>
      <c r="F2682" s="213" t="str">
        <f>IFERROR(__xludf.DUMMYFUNCTION("""COMPUTED_VALUE"""),"MAT-511")</f>
        <v>MAT-511</v>
      </c>
      <c r="G2682" s="213"/>
      <c r="H2682" s="213" t="str">
        <f>IFERROR(__xludf.DUMMYFUNCTION("""COMPUTED_VALUE"""),"VIDEOS TUTORIALES DEL USO PEDAGÓGICO DEL MÓDULO EDUCATIVO DE SIMULACIÓN DE TRANSMISIÓN DE POTENCIA, GRABADO EN USB")</f>
        <v>VIDEOS TUTORIALES DEL USO PEDAGÓGICO DEL MÓDULO EDUCATIVO DE SIMULACIÓN DE TRANSMISIÓN DE POTENCIA, GRABADO EN USB</v>
      </c>
      <c r="I2682" s="213" t="str">
        <f>IFERROR(__xludf.DUMMYFUNCTION("""COMPUTED_VALUE"""),"Calidad física
· El USB tiene la capacidad de mínimo 32 GB, para almacenar la información en videos tutoriales del uso pedadógico del módulo educativo de simulación de transmisión de potencia.
· Video grabado USB tiene 3 tipos de conectores: para conectar"&amp;"se con la PC, Tablet y móvil (conector USB 3.0, conector micro USB, conector tipo C).
· Video grabado en formato MP4 / AVI, en alta resolución 4K o HD
· El video tendrá una duración de  20 minutos como mínimo.
· Calidad pedagógica.
· Presenta el video tut"&amp;"orial del mantenimiento del sistema del módulo educativo de simulación de la transmisión de potencia
· El video presentará la descripción y partes y el funcionamiento del módulo educativo de simulación de la transmisión de potencia
·  Cada sección integra"&amp;" imágenes, sonido, video y textos de manera creativa y motivadora para
adolescentes de educación secundaria.")</f>
        <v>Calidad física
· El USB tiene la capacidad de mínimo 32 GB, para almacenar la información en videos tutoriales del uso pedadógico del módulo educativo de simulación de transmisión de potencia.
· Video grabado USB tiene 3 tipos de conectores: para conectarse con la PC, Tablet y móvil (conector USB 3.0, conector micro USB, conector tipo C).
· Video grabado en formato MP4 / AVI, en alta resolución 4K o HD
· El video tendrá una duración de  20 minutos como mínimo.
· Calidad pedagógica.
· Presenta el video tutorial del mantenimiento del sistema del módulo educativo de simulación de la transmisión de potencia
· El video presentará la descripción y partes y el funcionamiento del módulo educativo de simulación de la transmisión de potencia
·  Cada sección integra imágenes, sonido, video y textos de manera creativa y motivadora para
adolescentes de educación secundaria.</v>
      </c>
      <c r="J2682" s="213">
        <f>IFERROR(__xludf.DUMMYFUNCTION("""COMPUTED_VALUE"""),3.0)</f>
        <v>3</v>
      </c>
      <c r="K2682" s="213" t="str">
        <f>IFERROR(__xludf.DUMMYFUNCTION("""COMPUTED_VALUE"""),"170 DÍAS CALENDARIO")</f>
        <v>170 DÍAS CALENDARIO</v>
      </c>
      <c r="L2682" s="213" t="str">
        <f>IFERROR(__xludf.DUMMYFUNCTION("""COMPUTED_VALUE"""),"")</f>
        <v/>
      </c>
      <c r="M2682" s="213">
        <f>IFERROR(__xludf.DUMMYFUNCTION("""COMPUTED_VALUE"""),1.0)</f>
        <v>1</v>
      </c>
      <c r="N2682" s="213">
        <f>IFERROR(__xludf.DUMMYFUNCTION("""COMPUTED_VALUE"""),1.0)</f>
        <v>1</v>
      </c>
      <c r="O2682" s="213">
        <f>IFERROR(__xludf.DUMMYFUNCTION("""COMPUTED_VALUE"""),1.0)</f>
        <v>1</v>
      </c>
      <c r="P2682" s="213"/>
      <c r="Q2682" s="213"/>
      <c r="R2682" s="213"/>
      <c r="S2682" s="213"/>
      <c r="T2682" s="213"/>
      <c r="U2682" s="213"/>
      <c r="V2682" s="213"/>
      <c r="W2682" s="213"/>
      <c r="X2682" s="213"/>
      <c r="Y2682" s="213"/>
      <c r="Z2682" s="213"/>
      <c r="AA2682" s="213"/>
      <c r="AB2682" s="213"/>
      <c r="AC2682" s="213"/>
      <c r="AD2682" s="213"/>
      <c r="AE2682" s="213"/>
      <c r="AF2682" s="213"/>
      <c r="AG2682" s="213"/>
      <c r="AH2682" s="213"/>
      <c r="AI2682" s="213"/>
      <c r="AJ2682" s="213"/>
      <c r="AK2682" s="213"/>
      <c r="AL2682" s="213"/>
      <c r="AM2682" s="213"/>
      <c r="AN2682" s="213"/>
      <c r="AO2682" s="213"/>
      <c r="AP2682" s="213"/>
      <c r="AQ2682" s="213"/>
      <c r="AR2682" s="213"/>
      <c r="AS2682" s="213"/>
      <c r="AT2682" s="213"/>
      <c r="AU2682" s="213"/>
      <c r="AV2682" s="213"/>
      <c r="AW2682" s="213"/>
      <c r="AX2682" s="213"/>
      <c r="AY2682" s="213"/>
      <c r="AZ2682" s="213"/>
      <c r="BA2682" s="213"/>
      <c r="BB2682" s="213"/>
      <c r="BC2682" s="213"/>
      <c r="BD2682" s="213"/>
    </row>
    <row r="2683">
      <c r="A2683" s="213">
        <f>IFERROR(__xludf.DUMMYFUNCTION("""COMPUTED_VALUE"""),1626.0)</f>
        <v>1626</v>
      </c>
      <c r="B2683" s="213" t="str">
        <f>IFERROR(__xludf.DUMMYFUNCTION("""COMPUTED_VALUE"""),"GUILLERMO E. BILLINGHURST ")</f>
        <v>GUILLERMO E. BILLINGHURST </v>
      </c>
      <c r="C2683" s="213" t="str">
        <f>IFERROR(__xludf.DUMMYFUNCTION("""COMPUTED_VALUE"""),"TALLER SFT DE MECÁNICA AUTOMOTRIZ")</f>
        <v>TALLER SFT DE MECÁNICA AUTOMOTRIZ</v>
      </c>
      <c r="D2683" s="213" t="str">
        <f>IFERROR(__xludf.DUMMYFUNCTION("""COMPUTED_VALUE"""),"PEDAGOGICO")</f>
        <v>PEDAGOGICO</v>
      </c>
      <c r="E2683" s="213" t="str">
        <f>IFERROR(__xludf.DUMMYFUNCTION("""COMPUTED_VALUE"""),"MAT-511")</f>
        <v>MAT-511</v>
      </c>
      <c r="F2683" s="213" t="str">
        <f>IFERROR(__xludf.DUMMYFUNCTION("""COMPUTED_VALUE"""),"MAT-511")</f>
        <v>MAT-511</v>
      </c>
      <c r="G2683" s="213"/>
      <c r="H2683" s="213" t="str">
        <f>IFERROR(__xludf.DUMMYFUNCTION("""COMPUTED_VALUE"""),"VIDEOS TUTORIALES DEL USO PEDAGÓGICO DEL MÓDULO EDUCATIVO DE SIMULACIÓN DE TRANSMISIÓN DE POTENCIA, GRABADO EN USB")</f>
        <v>VIDEOS TUTORIALES DEL USO PEDAGÓGICO DEL MÓDULO EDUCATIVO DE SIMULACIÓN DE TRANSMISIÓN DE POTENCIA, GRABADO EN USB</v>
      </c>
      <c r="I2683" s="213" t="str">
        <f>IFERROR(__xludf.DUMMYFUNCTION("""COMPUTED_VALUE"""),"Calidad física
· El USB tiene la capacidad de mínimo 32 GB, para almacenar la información en videos tutoriales del uso pedadógico del módulo educativo de simulación de transmisión de potencia.
· Video grabado USB tiene 3 tipos de conectores: para conectar"&amp;"se con la PC, Tablet y móvil (conector USB 3.0, conector micro USB, conector tipo C).
· Video grabado en formato MP4 / AVI, en alta resolución 4K o HD
· El video tendrá una duración de  20 minutos como mínimo.
· Calidad pedagógica.
· Presenta el video tut"&amp;"orial del mantenimiento del sistema del módulo educativo de simulación de la transmisión de potencia
· El video presentará la descripción y partes y el funcionamiento del módulo educativo de simulación de la transmisión de potencia
·  Cada sección integra"&amp;" imágenes, sonido, video y textos de manera creativa y motivadora para
adolescentes de educación secundaria.")</f>
        <v>Calidad física
· El USB tiene la capacidad de mínimo 32 GB, para almacenar la información en videos tutoriales del uso pedadógico del módulo educativo de simulación de transmisión de potencia.
· Video grabado USB tiene 3 tipos de conectores: para conectarse con la PC, Tablet y móvil (conector USB 3.0, conector micro USB, conector tipo C).
· Video grabado en formato MP4 / AVI, en alta resolución 4K o HD
· El video tendrá una duración de  20 minutos como mínimo.
· Calidad pedagógica.
· Presenta el video tutorial del mantenimiento del sistema del módulo educativo de simulación de la transmisión de potencia
· El video presentará la descripción y partes y el funcionamiento del módulo educativo de simulación de la transmisión de potencia
·  Cada sección integra imágenes, sonido, video y textos de manera creativa y motivadora para
adolescentes de educación secundaria.</v>
      </c>
      <c r="J2683" s="213">
        <f>IFERROR(__xludf.DUMMYFUNCTION("""COMPUTED_VALUE"""),3.0)</f>
        <v>3</v>
      </c>
      <c r="K2683" s="213" t="str">
        <f>IFERROR(__xludf.DUMMYFUNCTION("""COMPUTED_VALUE"""),"170 DÍAS CALENDARIO")</f>
        <v>170 DÍAS CALENDARIO</v>
      </c>
      <c r="L2683" s="213" t="str">
        <f>IFERROR(__xludf.DUMMYFUNCTION("""COMPUTED_VALUE"""),"")</f>
        <v/>
      </c>
      <c r="M2683" s="213">
        <f>IFERROR(__xludf.DUMMYFUNCTION("""COMPUTED_VALUE"""),1.0)</f>
        <v>1</v>
      </c>
      <c r="N2683" s="213">
        <f>IFERROR(__xludf.DUMMYFUNCTION("""COMPUTED_VALUE"""),1.0)</f>
        <v>1</v>
      </c>
      <c r="O2683" s="213">
        <f>IFERROR(__xludf.DUMMYFUNCTION("""COMPUTED_VALUE"""),1.0)</f>
        <v>1</v>
      </c>
      <c r="P2683" s="213"/>
      <c r="Q2683" s="213"/>
      <c r="R2683" s="213"/>
      <c r="S2683" s="213"/>
      <c r="T2683" s="213"/>
      <c r="U2683" s="213"/>
      <c r="V2683" s="213"/>
      <c r="W2683" s="213"/>
      <c r="X2683" s="213"/>
      <c r="Y2683" s="213"/>
      <c r="Z2683" s="213"/>
      <c r="AA2683" s="213"/>
      <c r="AB2683" s="213"/>
      <c r="AC2683" s="213"/>
      <c r="AD2683" s="213"/>
      <c r="AE2683" s="213"/>
      <c r="AF2683" s="213"/>
      <c r="AG2683" s="213"/>
      <c r="AH2683" s="213"/>
      <c r="AI2683" s="213"/>
      <c r="AJ2683" s="213"/>
      <c r="AK2683" s="213"/>
      <c r="AL2683" s="213"/>
      <c r="AM2683" s="213"/>
      <c r="AN2683" s="213"/>
      <c r="AO2683" s="213"/>
      <c r="AP2683" s="213"/>
      <c r="AQ2683" s="213"/>
      <c r="AR2683" s="213"/>
      <c r="AS2683" s="213"/>
      <c r="AT2683" s="213"/>
      <c r="AU2683" s="213"/>
      <c r="AV2683" s="213"/>
      <c r="AW2683" s="213"/>
      <c r="AX2683" s="213"/>
      <c r="AY2683" s="213"/>
      <c r="AZ2683" s="213"/>
      <c r="BA2683" s="213"/>
      <c r="BB2683" s="213"/>
      <c r="BC2683" s="213"/>
      <c r="BD2683" s="213"/>
    </row>
    <row r="2684">
      <c r="A2684" s="213">
        <f>IFERROR(__xludf.DUMMYFUNCTION("""COMPUTED_VALUE"""),2317.0)</f>
        <v>2317</v>
      </c>
      <c r="B2684" s="213" t="str">
        <f>IFERROR(__xludf.DUMMYFUNCTION("""COMPUTED_VALUE"""),"JOSE GRANDA")</f>
        <v>JOSE GRANDA</v>
      </c>
      <c r="C2684" s="213" t="str">
        <f>IFERROR(__xludf.DUMMYFUNCTION("""COMPUTED_VALUE"""),"TALLER SFT DE MECÁNICA AUTOMOTRIZ")</f>
        <v>TALLER SFT DE MECÁNICA AUTOMOTRIZ</v>
      </c>
      <c r="D2684" s="213" t="str">
        <f>IFERROR(__xludf.DUMMYFUNCTION("""COMPUTED_VALUE"""),"PEDAGOGICO")</f>
        <v>PEDAGOGICO</v>
      </c>
      <c r="E2684" s="213" t="str">
        <f>IFERROR(__xludf.DUMMYFUNCTION("""COMPUTED_VALUE"""),"MAT-511")</f>
        <v>MAT-511</v>
      </c>
      <c r="F2684" s="213" t="str">
        <f>IFERROR(__xludf.DUMMYFUNCTION("""COMPUTED_VALUE"""),"MAT-511")</f>
        <v>MAT-511</v>
      </c>
      <c r="G2684" s="213"/>
      <c r="H2684" s="213" t="str">
        <f>IFERROR(__xludf.DUMMYFUNCTION("""COMPUTED_VALUE"""),"VIDEOS TUTORIALES DEL USO PEDAGÓGICO DEL MÓDULO EDUCATIVO DE SIMULACIÓN DE TRANSMISIÓN DE POTENCIA, GRABADO EN USB")</f>
        <v>VIDEOS TUTORIALES DEL USO PEDAGÓGICO DEL MÓDULO EDUCATIVO DE SIMULACIÓN DE TRANSMISIÓN DE POTENCIA, GRABADO EN USB</v>
      </c>
      <c r="I2684" s="213" t="str">
        <f>IFERROR(__xludf.DUMMYFUNCTION("""COMPUTED_VALUE"""),"Calidad física
· El USB tiene la capacidad de mínimo 32 GB, para almacenar la información en videos tutoriales del uso pedadógico del módulo educativo de simulación de transmisión de potencia.
· Video grabado USB tiene 3 tipos de conectores: para conectar"&amp;"se con la PC, Tablet y móvil (conector USB 3.0, conector micro USB, conector tipo C).
· Video grabado en formato MP4 / AVI, en alta resolución 4K o HD
· El video tendrá una duración de  20 minutos como mínimo.
· Calidad pedagógica.
· Presenta el video tut"&amp;"orial del mantenimiento del sistema del módulo educativo de simulación de la transmisión de potencia
· El video presentará la descripción y partes y el funcionamiento del módulo educativo de simulación de la transmisión de potencia
·  Cada sección integra"&amp;" imágenes, sonido, video y textos de manera creativa y motivadora para
adolescentes de educación secundaria.")</f>
        <v>Calidad física
· El USB tiene la capacidad de mínimo 32 GB, para almacenar la información en videos tutoriales del uso pedadógico del módulo educativo de simulación de transmisión de potencia.
· Video grabado USB tiene 3 tipos de conectores: para conectarse con la PC, Tablet y móvil (conector USB 3.0, conector micro USB, conector tipo C).
· Video grabado en formato MP4 / AVI, en alta resolución 4K o HD
· El video tendrá una duración de  20 minutos como mínimo.
· Calidad pedagógica.
· Presenta el video tutorial del mantenimiento del sistema del módulo educativo de simulación de la transmisión de potencia
· El video presentará la descripción y partes y el funcionamiento del módulo educativo de simulación de la transmisión de potencia
·  Cada sección integra imágenes, sonido, video y textos de manera creativa y motivadora para
adolescentes de educación secundaria.</v>
      </c>
      <c r="J2684" s="213">
        <f>IFERROR(__xludf.DUMMYFUNCTION("""COMPUTED_VALUE"""),3.0)</f>
        <v>3</v>
      </c>
      <c r="K2684" s="213" t="str">
        <f>IFERROR(__xludf.DUMMYFUNCTION("""COMPUTED_VALUE"""),"170 DÍAS CALENDARIO")</f>
        <v>170 DÍAS CALENDARIO</v>
      </c>
      <c r="L2684" s="213" t="str">
        <f>IFERROR(__xludf.DUMMYFUNCTION("""COMPUTED_VALUE"""),"")</f>
        <v/>
      </c>
      <c r="M2684" s="213">
        <f>IFERROR(__xludf.DUMMYFUNCTION("""COMPUTED_VALUE"""),1.0)</f>
        <v>1</v>
      </c>
      <c r="N2684" s="213">
        <f>IFERROR(__xludf.DUMMYFUNCTION("""COMPUTED_VALUE"""),1.0)</f>
        <v>1</v>
      </c>
      <c r="O2684" s="213">
        <f>IFERROR(__xludf.DUMMYFUNCTION("""COMPUTED_VALUE"""),1.0)</f>
        <v>1</v>
      </c>
      <c r="P2684" s="213"/>
      <c r="Q2684" s="213"/>
      <c r="R2684" s="213"/>
      <c r="S2684" s="213"/>
      <c r="T2684" s="213"/>
      <c r="U2684" s="213"/>
      <c r="V2684" s="213"/>
      <c r="W2684" s="213"/>
      <c r="X2684" s="213"/>
      <c r="Y2684" s="213"/>
      <c r="Z2684" s="213"/>
      <c r="AA2684" s="213"/>
      <c r="AB2684" s="213"/>
      <c r="AC2684" s="213"/>
      <c r="AD2684" s="213"/>
      <c r="AE2684" s="213"/>
      <c r="AF2684" s="213"/>
      <c r="AG2684" s="213"/>
      <c r="AH2684" s="213"/>
      <c r="AI2684" s="213"/>
      <c r="AJ2684" s="213"/>
      <c r="AK2684" s="213"/>
      <c r="AL2684" s="213"/>
      <c r="AM2684" s="213"/>
      <c r="AN2684" s="213"/>
      <c r="AO2684" s="213"/>
      <c r="AP2684" s="213"/>
      <c r="AQ2684" s="213"/>
      <c r="AR2684" s="213"/>
      <c r="AS2684" s="213"/>
      <c r="AT2684" s="213"/>
      <c r="AU2684" s="213"/>
      <c r="AV2684" s="213"/>
      <c r="AW2684" s="213"/>
      <c r="AX2684" s="213"/>
      <c r="AY2684" s="213"/>
      <c r="AZ2684" s="213"/>
      <c r="BA2684" s="213"/>
      <c r="BB2684" s="213"/>
      <c r="BC2684" s="213"/>
      <c r="BD2684" s="213"/>
    </row>
    <row r="2685">
      <c r="A2685" s="213">
        <f>IFERROR(__xludf.DUMMYFUNCTION("""COMPUTED_VALUE"""),220.0)</f>
        <v>220</v>
      </c>
      <c r="B2685" s="213" t="str">
        <f>IFERROR(__xludf.DUMMYFUNCTION("""COMPUTED_VALUE"""),"2026 SIMON BOLIVAR")</f>
        <v>2026 SIMON BOLIVAR</v>
      </c>
      <c r="C2685" s="213" t="str">
        <f>IFERROR(__xludf.DUMMYFUNCTION("""COMPUTED_VALUE"""),"TALLER SFT DE INDUSTRIA DEL VESTIDO")</f>
        <v>TALLER SFT DE INDUSTRIA DEL VESTIDO</v>
      </c>
      <c r="D2685" s="213" t="str">
        <f>IFERROR(__xludf.DUMMYFUNCTION("""COMPUTED_VALUE"""),"HERRAMIENTAS")</f>
        <v>HERRAMIENTAS</v>
      </c>
      <c r="E2685" s="213" t="str">
        <f>IFERROR(__xludf.DUMMYFUNCTION("""COMPUTED_VALUE"""),"MAT-457")</f>
        <v>MAT-457</v>
      </c>
      <c r="F2685" s="213" t="str">
        <f>IFERROR(__xludf.DUMMYFUNCTION("""COMPUTED_VALUE"""),"MAT-457")</f>
        <v>MAT-457</v>
      </c>
      <c r="G2685" s="213"/>
      <c r="H2685" s="213" t="str">
        <f>IFERROR(__xludf.DUMMYFUNCTION("""COMPUTED_VALUE"""),"TIJERA DE ACERO")</f>
        <v>TIJERA DE ACERO</v>
      </c>
      <c r="I2685" s="213" t="str">
        <f>IFERROR(__xludf.DUMMYFUNCTION("""COMPUTED_VALUE"""),"·      Tijera múltiple de  8 “ (20.2 cm)
·      Material de acero inoxidable
·      Mango ergonómico
·      Corte perfecto y filo de larga duración")</f>
        <v>·      Tijera múltiple de  8 “ (20.2 cm)
·      Material de acero inoxidable
·      Mango ergonómico
·      Corte perfecto y filo de larga duración</v>
      </c>
      <c r="J2685" s="213">
        <f>IFERROR(__xludf.DUMMYFUNCTION("""COMPUTED_VALUE"""),3.0)</f>
        <v>3</v>
      </c>
      <c r="K2685" s="213" t="str">
        <f>IFERROR(__xludf.DUMMYFUNCTION("""COMPUTED_VALUE"""),"90 DÍAS CALENDARIO")</f>
        <v>90 DÍAS CALENDARIO</v>
      </c>
      <c r="L2685" s="213" t="str">
        <f>IFERROR(__xludf.DUMMYFUNCTION("""COMPUTED_VALUE"""),"")</f>
        <v/>
      </c>
      <c r="M2685" s="213">
        <f>IFERROR(__xludf.DUMMYFUNCTION("""COMPUTED_VALUE"""),1.0)</f>
        <v>1</v>
      </c>
      <c r="N2685" s="213">
        <f>IFERROR(__xludf.DUMMYFUNCTION("""COMPUTED_VALUE"""),5.0)</f>
        <v>5</v>
      </c>
      <c r="O2685" s="213">
        <f>IFERROR(__xludf.DUMMYFUNCTION("""COMPUTED_VALUE"""),5.0)</f>
        <v>5</v>
      </c>
      <c r="P2685" s="213"/>
      <c r="Q2685" s="213"/>
      <c r="R2685" s="213" t="str">
        <f>IFERROR(__xludf.DUMMYFUNCTION("""COMPUTED_VALUE"""),"SI")</f>
        <v>SI</v>
      </c>
      <c r="S2685" s="213"/>
      <c r="T2685" s="213" t="str">
        <f>IFERROR(__xludf.DUMMYFUNCTION("""COMPUTED_VALUE"""),"SI")</f>
        <v>SI</v>
      </c>
      <c r="U2685" s="213" t="str">
        <f>IFERROR(__xludf.DUMMYFUNCTION("""COMPUTED_VALUE"""),"SI")</f>
        <v>SI</v>
      </c>
      <c r="V2685" s="213" t="str">
        <f>IFERROR(__xludf.DUMMYFUNCTION("""COMPUTED_VALUE"""),"-")</f>
        <v>-</v>
      </c>
      <c r="W2685" s="213" t="str">
        <f>IFERROR(__xludf.DUMMYFUNCTION("""COMPUTED_VALUE"""),"-")</f>
        <v>-</v>
      </c>
      <c r="X2685" s="213" t="str">
        <f>IFERROR(__xludf.DUMMYFUNCTION("""COMPUTED_VALUE"""),"Fiskars")</f>
        <v>Fiskars</v>
      </c>
      <c r="Y2685" s="213" t="str">
        <f>IFERROR(__xludf.DUMMYFUNCTION("""COMPUTED_VALUE"""),"01-004761J")</f>
        <v>01-004761J</v>
      </c>
      <c r="Z2685" s="215" t="str">
        <f>IFERROR(__xludf.DUMMYFUNCTION("""COMPUTED_VALUE"""),"https://www.amazon.com/-/es/Fiskars-01-004761J-Tijeras-inoxidable-pulgadas/dp/B002YIP97K?th=1")</f>
        <v>https://www.amazon.com/-/es/Fiskars-01-004761J-Tijeras-inoxidable-pulgadas/dp/B002YIP97K?th=1</v>
      </c>
      <c r="AA2685" s="213" t="str">
        <f>IFERROR(__xludf.DUMMYFUNCTION("""COMPUTED_VALUE"""),"MAT-457 TIJERA DE ACERO- CET")</f>
        <v>MAT-457 TIJERA DE ACERO- CET</v>
      </c>
      <c r="AB2685" s="213"/>
      <c r="AC2685" s="213"/>
      <c r="AD2685" s="213"/>
      <c r="AE2685" s="213"/>
      <c r="AF2685" s="213"/>
      <c r="AG2685" s="213"/>
      <c r="AH2685" s="213"/>
      <c r="AI2685" s="213"/>
      <c r="AJ2685" s="213"/>
      <c r="AK2685" s="213"/>
      <c r="AL2685" s="213"/>
      <c r="AM2685" s="213"/>
      <c r="AN2685" s="213"/>
      <c r="AO2685" s="213"/>
      <c r="AP2685" s="213" t="str">
        <f>IFERROR(__xludf.DUMMYFUNCTION("""COMPUTED_VALUE"""),"SEBASTIAN")</f>
        <v>SEBASTIAN</v>
      </c>
      <c r="AQ2685" s="213"/>
      <c r="AR2685" s="213"/>
      <c r="AS2685" s="213"/>
      <c r="AT2685" s="213"/>
      <c r="AU2685" s="213"/>
      <c r="AV2685" s="213"/>
      <c r="AW2685" s="213"/>
      <c r="AX2685" s="213"/>
      <c r="AY2685" s="213"/>
      <c r="AZ2685" s="213"/>
      <c r="BA2685" s="213"/>
      <c r="BB2685" s="213"/>
      <c r="BC2685" s="213"/>
      <c r="BD2685" s="213"/>
    </row>
    <row r="2686">
      <c r="A2686" s="213">
        <f>IFERROR(__xludf.DUMMYFUNCTION("""COMPUTED_VALUE"""),2391.0)</f>
        <v>2391</v>
      </c>
      <c r="B2686" s="213" t="str">
        <f>IFERROR(__xludf.DUMMYFUNCTION("""COMPUTED_VALUE"""),"MANUEL ANTONIO MESONES MURO")</f>
        <v>MANUEL ANTONIO MESONES MURO</v>
      </c>
      <c r="C2686" s="213" t="str">
        <f>IFERROR(__xludf.DUMMYFUNCTION("""COMPUTED_VALUE"""),"TALLER SFT DE INDUSTRIA DEL VESTIDO")</f>
        <v>TALLER SFT DE INDUSTRIA DEL VESTIDO</v>
      </c>
      <c r="D2686" s="213" t="str">
        <f>IFERROR(__xludf.DUMMYFUNCTION("""COMPUTED_VALUE"""),"HERRAMIENTAS")</f>
        <v>HERRAMIENTAS</v>
      </c>
      <c r="E2686" s="213" t="str">
        <f>IFERROR(__xludf.DUMMYFUNCTION("""COMPUTED_VALUE"""),"MAT-457")</f>
        <v>MAT-457</v>
      </c>
      <c r="F2686" s="213" t="str">
        <f>IFERROR(__xludf.DUMMYFUNCTION("""COMPUTED_VALUE"""),"MAT-457")</f>
        <v>MAT-457</v>
      </c>
      <c r="G2686" s="213"/>
      <c r="H2686" s="213" t="str">
        <f>IFERROR(__xludf.DUMMYFUNCTION("""COMPUTED_VALUE"""),"TIJERA DE ACERO")</f>
        <v>TIJERA DE ACERO</v>
      </c>
      <c r="I2686" s="213" t="str">
        <f>IFERROR(__xludf.DUMMYFUNCTION("""COMPUTED_VALUE"""),"·      Tijera múltiple de  8 “ (20.2 cm)
·      Material de acero inoxidable
·      Mango ergonómico
·      Corte perfecto y filo de larga duración")</f>
        <v>·      Tijera múltiple de  8 “ (20.2 cm)
·      Material de acero inoxidable
·      Mango ergonómico
·      Corte perfecto y filo de larga duración</v>
      </c>
      <c r="J2686" s="213">
        <f>IFERROR(__xludf.DUMMYFUNCTION("""COMPUTED_VALUE"""),3.0)</f>
        <v>3</v>
      </c>
      <c r="K2686" s="213" t="str">
        <f>IFERROR(__xludf.DUMMYFUNCTION("""COMPUTED_VALUE"""),"90 DÍAS CALENDARIO")</f>
        <v>90 DÍAS CALENDARIO</v>
      </c>
      <c r="L2686" s="213" t="str">
        <f>IFERROR(__xludf.DUMMYFUNCTION("""COMPUTED_VALUE"""),"")</f>
        <v/>
      </c>
      <c r="M2686" s="213">
        <f>IFERROR(__xludf.DUMMYFUNCTION("""COMPUTED_VALUE"""),1.0)</f>
        <v>1</v>
      </c>
      <c r="N2686" s="213">
        <f>IFERROR(__xludf.DUMMYFUNCTION("""COMPUTED_VALUE"""),5.0)</f>
        <v>5</v>
      </c>
      <c r="O2686" s="213">
        <f>IFERROR(__xludf.DUMMYFUNCTION("""COMPUTED_VALUE"""),5.0)</f>
        <v>5</v>
      </c>
      <c r="P2686" s="213"/>
      <c r="Q2686" s="213"/>
      <c r="R2686" s="213" t="str">
        <f>IFERROR(__xludf.DUMMYFUNCTION("""COMPUTED_VALUE"""),"SI")</f>
        <v>SI</v>
      </c>
      <c r="S2686" s="213"/>
      <c r="T2686" s="213" t="str">
        <f>IFERROR(__xludf.DUMMYFUNCTION("""COMPUTED_VALUE"""),"SI")</f>
        <v>SI</v>
      </c>
      <c r="U2686" s="213" t="str">
        <f>IFERROR(__xludf.DUMMYFUNCTION("""COMPUTED_VALUE"""),"SI")</f>
        <v>SI</v>
      </c>
      <c r="V2686" s="213" t="str">
        <f>IFERROR(__xludf.DUMMYFUNCTION("""COMPUTED_VALUE"""),"-")</f>
        <v>-</v>
      </c>
      <c r="W2686" s="213" t="str">
        <f>IFERROR(__xludf.DUMMYFUNCTION("""COMPUTED_VALUE"""),"-")</f>
        <v>-</v>
      </c>
      <c r="X2686" s="213" t="str">
        <f>IFERROR(__xludf.DUMMYFUNCTION("""COMPUTED_VALUE"""),"Fiskars")</f>
        <v>Fiskars</v>
      </c>
      <c r="Y2686" s="213" t="str">
        <f>IFERROR(__xludf.DUMMYFUNCTION("""COMPUTED_VALUE"""),"01-004761J")</f>
        <v>01-004761J</v>
      </c>
      <c r="Z2686" s="215" t="str">
        <f>IFERROR(__xludf.DUMMYFUNCTION("""COMPUTED_VALUE"""),"https://www.amazon.com/-/es/Fiskars-01-004761J-Tijeras-inoxidable-pulgadas/dp/B002YIP97K?th=2")</f>
        <v>https://www.amazon.com/-/es/Fiskars-01-004761J-Tijeras-inoxidable-pulgadas/dp/B002YIP97K?th=2</v>
      </c>
      <c r="AA2686" s="213" t="str">
        <f>IFERROR(__xludf.DUMMYFUNCTION("""COMPUTED_VALUE"""),"MAT-457 TIJERA DE ACERO- CET")</f>
        <v>MAT-457 TIJERA DE ACERO- CET</v>
      </c>
      <c r="AB2686" s="213"/>
      <c r="AC2686" s="213"/>
      <c r="AD2686" s="213"/>
      <c r="AE2686" s="213"/>
      <c r="AF2686" s="213"/>
      <c r="AG2686" s="213"/>
      <c r="AH2686" s="213"/>
      <c r="AI2686" s="213"/>
      <c r="AJ2686" s="213"/>
      <c r="AK2686" s="213"/>
      <c r="AL2686" s="213"/>
      <c r="AM2686" s="213"/>
      <c r="AN2686" s="213"/>
      <c r="AO2686" s="213"/>
      <c r="AP2686" s="213" t="str">
        <f>IFERROR(__xludf.DUMMYFUNCTION("""COMPUTED_VALUE"""),"SEBASTIAN")</f>
        <v>SEBASTIAN</v>
      </c>
      <c r="AQ2686" s="213"/>
      <c r="AR2686" s="213"/>
      <c r="AS2686" s="213"/>
      <c r="AT2686" s="213"/>
      <c r="AU2686" s="213"/>
      <c r="AV2686" s="213"/>
      <c r="AW2686" s="213"/>
      <c r="AX2686" s="213"/>
      <c r="AY2686" s="213"/>
      <c r="AZ2686" s="213"/>
      <c r="BA2686" s="213"/>
      <c r="BB2686" s="213"/>
      <c r="BC2686" s="213"/>
      <c r="BD2686" s="213"/>
    </row>
    <row r="2687">
      <c r="A2687" s="213">
        <f>IFERROR(__xludf.DUMMYFUNCTION("""COMPUTED_VALUE"""),462.0)</f>
        <v>462</v>
      </c>
      <c r="B2687" s="213" t="str">
        <f>IFERROR(__xludf.DUMMYFUNCTION("""COMPUTED_VALUE"""),"2026 SIMON BOLIVAR")</f>
        <v>2026 SIMON BOLIVAR</v>
      </c>
      <c r="C2687" s="213" t="str">
        <f>IFERROR(__xludf.DUMMYFUNCTION("""COMPUTED_VALUE"""),"TALLER SFT DE INDUSTRIA ALIMENTARIA")</f>
        <v>TALLER SFT DE INDUSTRIA ALIMENTARIA</v>
      </c>
      <c r="D2687" s="213" t="str">
        <f>IFERROR(__xludf.DUMMYFUNCTION("""COMPUTED_VALUE"""),"HERRAMIENTAS")</f>
        <v>HERRAMIENTAS</v>
      </c>
      <c r="E2687" s="213" t="str">
        <f>IFERROR(__xludf.DUMMYFUNCTION("""COMPUTED_VALUE"""),"MAT-461")</f>
        <v>MAT-461</v>
      </c>
      <c r="F2687" s="213" t="str">
        <f>IFERROR(__xludf.DUMMYFUNCTION("""COMPUTED_VALUE"""),"MAT-461")</f>
        <v>MAT-461</v>
      </c>
      <c r="G2687" s="213"/>
      <c r="H2687" s="213" t="str">
        <f>IFERROR(__xludf.DUMMYFUNCTION("""COMPUTED_VALUE"""),"TINA DE PLÁSTICO DE 150 LITROS")</f>
        <v>TINA DE PLÁSTICO DE 150 LITROS</v>
      </c>
      <c r="I2687" s="213" t="str">
        <f>IFERROR(__xludf.DUMMYFUNCTION("""COMPUTED_VALUE"""),"· Material de plástico comprimido
· Medidas mínimas: Largo: 1mt Alto: 35cm Ancho: 69cm
· Capacidad: 150 Litros")</f>
        <v>· Material de plástico comprimido
· Medidas mínimas: Largo: 1mt Alto: 35cm Ancho: 69cm
· Capacidad: 150 Litros</v>
      </c>
      <c r="J2687" s="213">
        <f>IFERROR(__xludf.DUMMYFUNCTION("""COMPUTED_VALUE"""),3.0)</f>
        <v>3</v>
      </c>
      <c r="K2687" s="213" t="str">
        <f>IFERROR(__xludf.DUMMYFUNCTION("""COMPUTED_VALUE"""),"90 DÍAS CALENDARIO")</f>
        <v>90 DÍAS CALENDARIO</v>
      </c>
      <c r="L2687" s="213" t="str">
        <f>IFERROR(__xludf.DUMMYFUNCTION("""COMPUTED_VALUE"""),"")</f>
        <v/>
      </c>
      <c r="M2687" s="213">
        <f>IFERROR(__xludf.DUMMYFUNCTION("""COMPUTED_VALUE"""),1.0)</f>
        <v>1</v>
      </c>
      <c r="N2687" s="213">
        <f>IFERROR(__xludf.DUMMYFUNCTION("""COMPUTED_VALUE"""),2.0)</f>
        <v>2</v>
      </c>
      <c r="O2687" s="213">
        <f>IFERROR(__xludf.DUMMYFUNCTION("""COMPUTED_VALUE"""),2.0)</f>
        <v>2</v>
      </c>
      <c r="P2687" s="213"/>
      <c r="Q2687" s="213"/>
      <c r="R2687" s="213" t="str">
        <f>IFERROR(__xludf.DUMMYFUNCTION("""COMPUTED_VALUE"""),"SI")</f>
        <v>SI</v>
      </c>
      <c r="S2687" s="213"/>
      <c r="T2687" s="213" t="str">
        <f>IFERROR(__xludf.DUMMYFUNCTION("""COMPUTED_VALUE"""),"SI")</f>
        <v>SI</v>
      </c>
      <c r="U2687" s="213" t="str">
        <f>IFERROR(__xludf.DUMMYFUNCTION("""COMPUTED_VALUE"""),"SI")</f>
        <v>SI</v>
      </c>
      <c r="V2687" s="213" t="str">
        <f>IFERROR(__xludf.DUMMYFUNCTION("""COMPUTED_VALUE"""),"-")</f>
        <v>-</v>
      </c>
      <c r="W2687" s="213" t="str">
        <f>IFERROR(__xludf.DUMMYFUNCTION("""COMPUTED_VALUE"""),"-")</f>
        <v>-</v>
      </c>
      <c r="X2687" s="213" t="str">
        <f>IFERROR(__xludf.DUMMYFUNCTION("""COMPUTED_VALUE"""),"FERPLAST")</f>
        <v>FERPLAST</v>
      </c>
      <c r="Y2687" s="213" t="str">
        <f>IFERROR(__xludf.DUMMYFUNCTION("""COMPUTED_VALUE"""),"Tina Ovalada")</f>
        <v>Tina Ovalada</v>
      </c>
      <c r="Z2687" s="215" t="str">
        <f>IFERROR(__xludf.DUMMYFUNCTION("""COMPUTED_VALUE"""),"https://www.mercadolibre.com.mx/tina-ovalada-150-litros-uso-rudo-2-piezas-envio-gratis/up/MLMU892593614?pdp_filters=item_id:MLM1465903519")</f>
        <v>https://www.mercadolibre.com.mx/tina-ovalada-150-litros-uso-rudo-2-piezas-envio-gratis/up/MLMU892593614?pdp_filters=item_id:MLM1465903519</v>
      </c>
      <c r="AA2687" s="213" t="str">
        <f>IFERROR(__xludf.DUMMYFUNCTION("""COMPUTED_VALUE"""),"MAT-461 TINA DE PLÁSTICO DE 150 LITROS - CET")</f>
        <v>MAT-461 TINA DE PLÁSTICO DE 150 LITROS - CET</v>
      </c>
      <c r="AB2687" s="213"/>
      <c r="AC2687" s="213"/>
      <c r="AD2687" s="213"/>
      <c r="AE2687" s="213"/>
      <c r="AF2687" s="213"/>
      <c r="AG2687" s="213"/>
      <c r="AH2687" s="213"/>
      <c r="AI2687" s="213"/>
      <c r="AJ2687" s="213"/>
      <c r="AK2687" s="213"/>
      <c r="AL2687" s="213"/>
      <c r="AM2687" s="213"/>
      <c r="AN2687" s="213"/>
      <c r="AO2687" s="213"/>
      <c r="AP2687" s="213" t="str">
        <f>IFERROR(__xludf.DUMMYFUNCTION("""COMPUTED_VALUE"""),"SEBASTIAN")</f>
        <v>SEBASTIAN</v>
      </c>
      <c r="AQ2687" s="213"/>
      <c r="AR2687" s="213"/>
      <c r="AS2687" s="213"/>
      <c r="AT2687" s="213"/>
      <c r="AU2687" s="213"/>
      <c r="AV2687" s="213"/>
      <c r="AW2687" s="213"/>
      <c r="AX2687" s="213"/>
      <c r="AY2687" s="213"/>
      <c r="AZ2687" s="213"/>
      <c r="BA2687" s="213"/>
      <c r="BB2687" s="213"/>
      <c r="BC2687" s="213"/>
      <c r="BD2687" s="213"/>
    </row>
    <row r="2688">
      <c r="A2688" s="213">
        <f>IFERROR(__xludf.DUMMYFUNCTION("""COMPUTED_VALUE"""),1366.0)</f>
        <v>1366</v>
      </c>
      <c r="B2688" s="213" t="str">
        <f>IFERROR(__xludf.DUMMYFUNCTION("""COMPUTED_VALUE"""),"GUILLERMO E. BILLINGHURST ")</f>
        <v>GUILLERMO E. BILLINGHURST </v>
      </c>
      <c r="C2688" s="213" t="str">
        <f>IFERROR(__xludf.DUMMYFUNCTION("""COMPUTED_VALUE"""),"TALLER SFT DE INDUSTRIA ALIMENTARIA")</f>
        <v>TALLER SFT DE INDUSTRIA ALIMENTARIA</v>
      </c>
      <c r="D2688" s="213" t="str">
        <f>IFERROR(__xludf.DUMMYFUNCTION("""COMPUTED_VALUE"""),"HERRAMIENTAS")</f>
        <v>HERRAMIENTAS</v>
      </c>
      <c r="E2688" s="213" t="str">
        <f>IFERROR(__xludf.DUMMYFUNCTION("""COMPUTED_VALUE"""),"MAT-461")</f>
        <v>MAT-461</v>
      </c>
      <c r="F2688" s="213" t="str">
        <f>IFERROR(__xludf.DUMMYFUNCTION("""COMPUTED_VALUE"""),"MAT-461")</f>
        <v>MAT-461</v>
      </c>
      <c r="G2688" s="213"/>
      <c r="H2688" s="213" t="str">
        <f>IFERROR(__xludf.DUMMYFUNCTION("""COMPUTED_VALUE"""),"TINA DE PLÁSTICO DE 150 LITROS")</f>
        <v>TINA DE PLÁSTICO DE 150 LITROS</v>
      </c>
      <c r="I2688" s="213" t="str">
        <f>IFERROR(__xludf.DUMMYFUNCTION("""COMPUTED_VALUE"""),"· Material de plástico comprimido
· Medidas mínimas: Largo: 1mt Alto: 35cm Ancho: 69cm
· Capacidad: 150 Litros")</f>
        <v>· Material de plástico comprimido
· Medidas mínimas: Largo: 1mt Alto: 35cm Ancho: 69cm
· Capacidad: 150 Litros</v>
      </c>
      <c r="J2688" s="213">
        <f>IFERROR(__xludf.DUMMYFUNCTION("""COMPUTED_VALUE"""),3.0)</f>
        <v>3</v>
      </c>
      <c r="K2688" s="213" t="str">
        <f>IFERROR(__xludf.DUMMYFUNCTION("""COMPUTED_VALUE"""),"90 DÍAS CALENDARIO")</f>
        <v>90 DÍAS CALENDARIO</v>
      </c>
      <c r="L2688" s="213" t="str">
        <f>IFERROR(__xludf.DUMMYFUNCTION("""COMPUTED_VALUE"""),"")</f>
        <v/>
      </c>
      <c r="M2688" s="213">
        <f>IFERROR(__xludf.DUMMYFUNCTION("""COMPUTED_VALUE"""),1.0)</f>
        <v>1</v>
      </c>
      <c r="N2688" s="213">
        <f>IFERROR(__xludf.DUMMYFUNCTION("""COMPUTED_VALUE"""),1.0)</f>
        <v>1</v>
      </c>
      <c r="O2688" s="213">
        <f>IFERROR(__xludf.DUMMYFUNCTION("""COMPUTED_VALUE"""),1.0)</f>
        <v>1</v>
      </c>
      <c r="P2688" s="213"/>
      <c r="Q2688" s="213"/>
      <c r="R2688" s="213" t="str">
        <f>IFERROR(__xludf.DUMMYFUNCTION("""COMPUTED_VALUE"""),"SI")</f>
        <v>SI</v>
      </c>
      <c r="S2688" s="213"/>
      <c r="T2688" s="213" t="str">
        <f>IFERROR(__xludf.DUMMYFUNCTION("""COMPUTED_VALUE"""),"SI")</f>
        <v>SI</v>
      </c>
      <c r="U2688" s="213" t="str">
        <f>IFERROR(__xludf.DUMMYFUNCTION("""COMPUTED_VALUE"""),"SI")</f>
        <v>SI</v>
      </c>
      <c r="V2688" s="213" t="str">
        <f>IFERROR(__xludf.DUMMYFUNCTION("""COMPUTED_VALUE"""),"-")</f>
        <v>-</v>
      </c>
      <c r="W2688" s="213" t="str">
        <f>IFERROR(__xludf.DUMMYFUNCTION("""COMPUTED_VALUE"""),"-")</f>
        <v>-</v>
      </c>
      <c r="X2688" s="213" t="str">
        <f>IFERROR(__xludf.DUMMYFUNCTION("""COMPUTED_VALUE"""),"FERPLAST")</f>
        <v>FERPLAST</v>
      </c>
      <c r="Y2688" s="213" t="str">
        <f>IFERROR(__xludf.DUMMYFUNCTION("""COMPUTED_VALUE"""),"Tina Ovalada")</f>
        <v>Tina Ovalada</v>
      </c>
      <c r="Z2688" s="215" t="str">
        <f>IFERROR(__xludf.DUMMYFUNCTION("""COMPUTED_VALUE"""),"https://www.mercadolibre.com.mx/tina-ovalada-150-litros-uso-rudo-2-piezas-envio-gratis/up/MLMU892593614?pdp_filters=item_id:MLM1465903520")</f>
        <v>https://www.mercadolibre.com.mx/tina-ovalada-150-litros-uso-rudo-2-piezas-envio-gratis/up/MLMU892593614?pdp_filters=item_id:MLM1465903520</v>
      </c>
      <c r="AA2688" s="213" t="str">
        <f>IFERROR(__xludf.DUMMYFUNCTION("""COMPUTED_VALUE"""),"MAT-461 TINA DE PLÁSTICO DE 150 LITROS - CET")</f>
        <v>MAT-461 TINA DE PLÁSTICO DE 150 LITROS - CET</v>
      </c>
      <c r="AB2688" s="213"/>
      <c r="AC2688" s="213"/>
      <c r="AD2688" s="213"/>
      <c r="AE2688" s="213"/>
      <c r="AF2688" s="213"/>
      <c r="AG2688" s="213"/>
      <c r="AH2688" s="213"/>
      <c r="AI2688" s="213"/>
      <c r="AJ2688" s="213"/>
      <c r="AK2688" s="213"/>
      <c r="AL2688" s="213"/>
      <c r="AM2688" s="213"/>
      <c r="AN2688" s="213"/>
      <c r="AO2688" s="213"/>
      <c r="AP2688" s="213" t="str">
        <f>IFERROR(__xludf.DUMMYFUNCTION("""COMPUTED_VALUE"""),"SEBASTIAN")</f>
        <v>SEBASTIAN</v>
      </c>
      <c r="AQ2688" s="213"/>
      <c r="AR2688" s="213"/>
      <c r="AS2688" s="213"/>
      <c r="AT2688" s="213"/>
      <c r="AU2688" s="213"/>
      <c r="AV2688" s="213"/>
      <c r="AW2688" s="213"/>
      <c r="AX2688" s="213"/>
      <c r="AY2688" s="213"/>
      <c r="AZ2688" s="213"/>
      <c r="BA2688" s="213"/>
      <c r="BB2688" s="213"/>
      <c r="BC2688" s="213"/>
      <c r="BD2688" s="213"/>
    </row>
    <row r="2689">
      <c r="A2689" s="213">
        <f>IFERROR(__xludf.DUMMYFUNCTION("""COMPUTED_VALUE"""),2051.0)</f>
        <v>2051</v>
      </c>
      <c r="B2689" s="213" t="str">
        <f>IFERROR(__xludf.DUMMYFUNCTION("""COMPUTED_VALUE"""),"JOSE GRANDA")</f>
        <v>JOSE GRANDA</v>
      </c>
      <c r="C2689" s="213" t="str">
        <f>IFERROR(__xludf.DUMMYFUNCTION("""COMPUTED_VALUE"""),"TALLER SFT DE INDUSTRIA ALIMENTARIA")</f>
        <v>TALLER SFT DE INDUSTRIA ALIMENTARIA</v>
      </c>
      <c r="D2689" s="213" t="str">
        <f>IFERROR(__xludf.DUMMYFUNCTION("""COMPUTED_VALUE"""),"HERRAMIENTAS")</f>
        <v>HERRAMIENTAS</v>
      </c>
      <c r="E2689" s="213" t="str">
        <f>IFERROR(__xludf.DUMMYFUNCTION("""COMPUTED_VALUE"""),"MAT-461")</f>
        <v>MAT-461</v>
      </c>
      <c r="F2689" s="213" t="str">
        <f>IFERROR(__xludf.DUMMYFUNCTION("""COMPUTED_VALUE"""),"MAT-461")</f>
        <v>MAT-461</v>
      </c>
      <c r="G2689" s="213"/>
      <c r="H2689" s="213" t="str">
        <f>IFERROR(__xludf.DUMMYFUNCTION("""COMPUTED_VALUE"""),"TINA DE PLÁSTICO DE 150 LITROS")</f>
        <v>TINA DE PLÁSTICO DE 150 LITROS</v>
      </c>
      <c r="I2689" s="213" t="str">
        <f>IFERROR(__xludf.DUMMYFUNCTION("""COMPUTED_VALUE"""),"· Material de plástico comprimido
· Medidas mínimas: Largo: 1mt Alto: 35cm Ancho: 69cm
· Capacidad: 150 Litros")</f>
        <v>· Material de plástico comprimido
· Medidas mínimas: Largo: 1mt Alto: 35cm Ancho: 69cm
· Capacidad: 150 Litros</v>
      </c>
      <c r="J2689" s="213">
        <f>IFERROR(__xludf.DUMMYFUNCTION("""COMPUTED_VALUE"""),3.0)</f>
        <v>3</v>
      </c>
      <c r="K2689" s="213" t="str">
        <f>IFERROR(__xludf.DUMMYFUNCTION("""COMPUTED_VALUE"""),"90 DÍAS CALENDARIO")</f>
        <v>90 DÍAS CALENDARIO</v>
      </c>
      <c r="L2689" s="213" t="str">
        <f>IFERROR(__xludf.DUMMYFUNCTION("""COMPUTED_VALUE"""),"")</f>
        <v/>
      </c>
      <c r="M2689" s="213">
        <f>IFERROR(__xludf.DUMMYFUNCTION("""COMPUTED_VALUE"""),1.0)</f>
        <v>1</v>
      </c>
      <c r="N2689" s="213">
        <f>IFERROR(__xludf.DUMMYFUNCTION("""COMPUTED_VALUE"""),2.0)</f>
        <v>2</v>
      </c>
      <c r="O2689" s="213">
        <f>IFERROR(__xludf.DUMMYFUNCTION("""COMPUTED_VALUE"""),2.0)</f>
        <v>2</v>
      </c>
      <c r="P2689" s="213"/>
      <c r="Q2689" s="213"/>
      <c r="R2689" s="213" t="str">
        <f>IFERROR(__xludf.DUMMYFUNCTION("""COMPUTED_VALUE"""),"SI")</f>
        <v>SI</v>
      </c>
      <c r="S2689" s="213"/>
      <c r="T2689" s="213" t="str">
        <f>IFERROR(__xludf.DUMMYFUNCTION("""COMPUTED_VALUE"""),"SI")</f>
        <v>SI</v>
      </c>
      <c r="U2689" s="213" t="str">
        <f>IFERROR(__xludf.DUMMYFUNCTION("""COMPUTED_VALUE"""),"SI")</f>
        <v>SI</v>
      </c>
      <c r="V2689" s="213" t="str">
        <f>IFERROR(__xludf.DUMMYFUNCTION("""COMPUTED_VALUE"""),"-")</f>
        <v>-</v>
      </c>
      <c r="W2689" s="213" t="str">
        <f>IFERROR(__xludf.DUMMYFUNCTION("""COMPUTED_VALUE"""),"-")</f>
        <v>-</v>
      </c>
      <c r="X2689" s="213" t="str">
        <f>IFERROR(__xludf.DUMMYFUNCTION("""COMPUTED_VALUE"""),"FERPLAST")</f>
        <v>FERPLAST</v>
      </c>
      <c r="Y2689" s="213" t="str">
        <f>IFERROR(__xludf.DUMMYFUNCTION("""COMPUTED_VALUE"""),"Tina Ovalada")</f>
        <v>Tina Ovalada</v>
      </c>
      <c r="Z2689" s="215" t="str">
        <f>IFERROR(__xludf.DUMMYFUNCTION("""COMPUTED_VALUE"""),"https://www.mercadolibre.com.mx/tina-ovalada-150-litros-uso-rudo-2-piezas-envio-gratis/up/MLMU892593614?pdp_filters=item_id:MLM1465903521")</f>
        <v>https://www.mercadolibre.com.mx/tina-ovalada-150-litros-uso-rudo-2-piezas-envio-gratis/up/MLMU892593614?pdp_filters=item_id:MLM1465903521</v>
      </c>
      <c r="AA2689" s="213" t="str">
        <f>IFERROR(__xludf.DUMMYFUNCTION("""COMPUTED_VALUE"""),"MAT-461 TINA DE PLÁSTICO DE 150 LITROS - CET")</f>
        <v>MAT-461 TINA DE PLÁSTICO DE 150 LITROS - CET</v>
      </c>
      <c r="AB2689" s="213"/>
      <c r="AC2689" s="213"/>
      <c r="AD2689" s="213"/>
      <c r="AE2689" s="213"/>
      <c r="AF2689" s="213"/>
      <c r="AG2689" s="213"/>
      <c r="AH2689" s="213"/>
      <c r="AI2689" s="213"/>
      <c r="AJ2689" s="213"/>
      <c r="AK2689" s="213"/>
      <c r="AL2689" s="213"/>
      <c r="AM2689" s="213"/>
      <c r="AN2689" s="213"/>
      <c r="AO2689" s="213"/>
      <c r="AP2689" s="213" t="str">
        <f>IFERROR(__xludf.DUMMYFUNCTION("""COMPUTED_VALUE"""),"SEBASTIAN")</f>
        <v>SEBASTIAN</v>
      </c>
      <c r="AQ2689" s="213"/>
      <c r="AR2689" s="213"/>
      <c r="AS2689" s="213"/>
      <c r="AT2689" s="213"/>
      <c r="AU2689" s="213"/>
      <c r="AV2689" s="213"/>
      <c r="AW2689" s="213"/>
      <c r="AX2689" s="213"/>
      <c r="AY2689" s="213"/>
      <c r="AZ2689" s="213"/>
      <c r="BA2689" s="213"/>
      <c r="BB2689" s="213"/>
      <c r="BC2689" s="213"/>
      <c r="BD2689" s="213"/>
    </row>
    <row r="2690">
      <c r="A2690" s="213">
        <f>IFERROR(__xludf.DUMMYFUNCTION("""COMPUTED_VALUE"""),40.0)</f>
        <v>40</v>
      </c>
      <c r="B2690" s="213" t="str">
        <f>IFERROR(__xludf.DUMMYFUNCTION("""COMPUTED_VALUE"""),"16449 ELOY SOBERON  FLORES")</f>
        <v>16449 ELOY SOBERON  FLORES</v>
      </c>
      <c r="C2690" s="213" t="str">
        <f>IFERROR(__xludf.DUMMYFUNCTION("""COMPUTED_VALUE"""),"TALLER SFT DE COCINA Y REPOSTERÍA")</f>
        <v>TALLER SFT DE COCINA Y REPOSTERÍA</v>
      </c>
      <c r="D2690" s="213" t="str">
        <f>IFERROR(__xludf.DUMMYFUNCTION("""COMPUTED_VALUE"""),"HERRAMIENTAS")</f>
        <v>HERRAMIENTAS</v>
      </c>
      <c r="E2690" s="213" t="str">
        <f>IFERROR(__xludf.DUMMYFUNCTION("""COMPUTED_VALUE"""),"MAT-475")</f>
        <v>MAT-475</v>
      </c>
      <c r="F2690" s="213" t="str">
        <f>IFERROR(__xludf.DUMMYFUNCTION("""COMPUTED_VALUE"""),"MAT-475")</f>
        <v>MAT-475</v>
      </c>
      <c r="G2690" s="213"/>
      <c r="H2690" s="213" t="str">
        <f>IFERROR(__xludf.DUMMYFUNCTION("""COMPUTED_VALUE"""),"JUEGO DE VAJILLAS PARA ENTRADA, FONDO")</f>
        <v>JUEGO DE VAJILLAS PARA ENTRADA, FONDO</v>
      </c>
      <c r="I2690" s="213" t="str">
        <f>IFERROR(__xludf.DUMMYFUNCTION("""COMPUTED_VALUE"""),"La vajilla contiene los siguientes platos:
- 04 Platos hondos - ideales para servir líquidos (caldos, sopas) o alimentos fluidos (potajes, cocidos)
- 04 Platos llanos - ideales para servir platos más ligeros y poco cargados
- 04 Platos de postre - ideales"&amp;" para servir porciones pequeñas.")</f>
        <v>La vajilla contiene los siguientes platos:
- 04 Platos hondos - ideales para servir líquidos (caldos, sopas) o alimentos fluidos (potajes, cocidos)
- 04 Platos llanos - ideales para servir platos más ligeros y poco cargados
- 04 Platos de postre - ideales para servir porciones pequeñas.</v>
      </c>
      <c r="J2690" s="213">
        <f>IFERROR(__xludf.DUMMYFUNCTION("""COMPUTED_VALUE"""),3.0)</f>
        <v>3</v>
      </c>
      <c r="K2690" s="213" t="str">
        <f>IFERROR(__xludf.DUMMYFUNCTION("""COMPUTED_VALUE"""),"90 DÍAS CALENDARIO")</f>
        <v>90 DÍAS CALENDARIO</v>
      </c>
      <c r="L2690" s="213" t="str">
        <f>IFERROR(__xludf.DUMMYFUNCTION("""COMPUTED_VALUE"""),"")</f>
        <v/>
      </c>
      <c r="M2690" s="213">
        <f>IFERROR(__xludf.DUMMYFUNCTION("""COMPUTED_VALUE"""),1.0)</f>
        <v>1</v>
      </c>
      <c r="N2690" s="213">
        <f>IFERROR(__xludf.DUMMYFUNCTION("""COMPUTED_VALUE"""),4.0)</f>
        <v>4</v>
      </c>
      <c r="O2690" s="213">
        <f>IFERROR(__xludf.DUMMYFUNCTION("""COMPUTED_VALUE"""),4.0)</f>
        <v>4</v>
      </c>
      <c r="P2690" s="213"/>
      <c r="Q2690" s="213"/>
      <c r="R2690" s="213"/>
      <c r="S2690" s="213"/>
      <c r="T2690" s="213" t="str">
        <f>IFERROR(__xludf.DUMMYFUNCTION("""COMPUTED_VALUE"""),"SI")</f>
        <v>SI</v>
      </c>
      <c r="U2690" s="213" t="str">
        <f>IFERROR(__xludf.DUMMYFUNCTION("""COMPUTED_VALUE"""),"SI")</f>
        <v>SI</v>
      </c>
      <c r="V2690" s="213" t="str">
        <f>IFERROR(__xludf.DUMMYFUNCTION("""COMPUTED_VALUE"""),"-")</f>
        <v>-</v>
      </c>
      <c r="W2690" s="213" t="str">
        <f>IFERROR(__xludf.DUMMYFUNCTION("""COMPUTED_VALUE"""),"-")</f>
        <v>-</v>
      </c>
      <c r="X2690" s="213" t="str">
        <f>IFERROR(__xludf.DUMMYFUNCTION("""COMPUTED_VALUE"""),"KAZ HOME")</f>
        <v>KAZ HOME</v>
      </c>
      <c r="Y2690" s="213">
        <f>IFERROR(__xludf.DUMMYFUNCTION("""COMPUTED_VALUE"""),2010112.0)</f>
        <v>2010112</v>
      </c>
      <c r="Z2690" s="215" t="str">
        <f>IFERROR(__xludf.DUMMYFUNCTION("""COMPUTED_VALUE"""),"https://www.oechsle.pe/juego-de-vajilla-redondo-porcelana-blanco-12-piezas/p?srsltid=AfmBOooA366TllnHuFenvtHBX7l4msQq1xDseHOBAv5kqGBEba_gNyn_#detalles")</f>
        <v>https://www.oechsle.pe/juego-de-vajilla-redondo-porcelana-blanco-12-piezas/p?srsltid=AfmBOooA366TllnHuFenvtHBX7l4msQq1xDseHOBAv5kqGBEba_gNyn_#detalles</v>
      </c>
      <c r="AA2690" s="213" t="str">
        <f>IFERROR(__xludf.DUMMYFUNCTION("""COMPUTED_VALUE"""),"MAT-475 JUEGO DE VAJILLAS PARA ENTRADA, FONDO - CET")</f>
        <v>MAT-475 JUEGO DE VAJILLAS PARA ENTRADA, FONDO - CET</v>
      </c>
      <c r="AB2690" s="213"/>
      <c r="AC2690" s="213"/>
      <c r="AD2690" s="213"/>
      <c r="AE2690" s="213"/>
      <c r="AF2690" s="213"/>
      <c r="AG2690" s="213"/>
      <c r="AH2690" s="213"/>
      <c r="AI2690" s="213"/>
      <c r="AJ2690" s="213"/>
      <c r="AK2690" s="213"/>
      <c r="AL2690" s="213"/>
      <c r="AM2690" s="213"/>
      <c r="AN2690" s="213"/>
      <c r="AO2690" s="213"/>
      <c r="AP2690" s="213" t="str">
        <f>IFERROR(__xludf.DUMMYFUNCTION("""COMPUTED_VALUE"""),"LUIS")</f>
        <v>LUIS</v>
      </c>
      <c r="AQ2690" s="213"/>
      <c r="AR2690" s="213"/>
      <c r="AS2690" s="213"/>
      <c r="AT2690" s="213"/>
      <c r="AU2690" s="213"/>
      <c r="AV2690" s="213"/>
      <c r="AW2690" s="213"/>
      <c r="AX2690" s="213"/>
      <c r="AY2690" s="213"/>
      <c r="AZ2690" s="213"/>
      <c r="BA2690" s="213"/>
      <c r="BB2690" s="213"/>
      <c r="BC2690" s="213"/>
      <c r="BD2690" s="213"/>
    </row>
    <row r="2691">
      <c r="A2691" s="213">
        <f>IFERROR(__xludf.DUMMYFUNCTION("""COMPUTED_VALUE"""),41.0)</f>
        <v>41</v>
      </c>
      <c r="B2691" s="213" t="str">
        <f>IFERROR(__xludf.DUMMYFUNCTION("""COMPUTED_VALUE"""),"16449 ELOY SOBERON  FLORES")</f>
        <v>16449 ELOY SOBERON  FLORES</v>
      </c>
      <c r="C2691" s="213" t="str">
        <f>IFERROR(__xludf.DUMMYFUNCTION("""COMPUTED_VALUE"""),"TALLER SFT DE COCINA Y REPOSTERÍA")</f>
        <v>TALLER SFT DE COCINA Y REPOSTERÍA</v>
      </c>
      <c r="D2691" s="213" t="str">
        <f>IFERROR(__xludf.DUMMYFUNCTION("""COMPUTED_VALUE"""),"HERRAMIENTAS")</f>
        <v>HERRAMIENTAS</v>
      </c>
      <c r="E2691" s="213" t="str">
        <f>IFERROR(__xludf.DUMMYFUNCTION("""COMPUTED_VALUE"""),"MAT-514")</f>
        <v>MAT-514</v>
      </c>
      <c r="F2691" s="213" t="str">
        <f>IFERROR(__xludf.DUMMYFUNCTION("""COMPUTED_VALUE"""),"MAT-514")</f>
        <v>MAT-514</v>
      </c>
      <c r="G2691" s="213"/>
      <c r="H2691" s="213" t="str">
        <f>IFERROR(__xludf.DUMMYFUNCTION("""COMPUTED_VALUE"""),"WOK DOBLE ASA")</f>
        <v>WOK DOBLE ASA</v>
      </c>
      <c r="I2691" s="213" t="str">
        <f>IFERROR(__xludf.DUMMYFUNCTION("""COMPUTED_VALUE"""),"· Nombre; wok chino
· Tamaño: 34/36/38/40 cm
· Espesor minimo : 1,5 mm.
· Doble asa
· Sin tapa
· Material: acero de carbono")</f>
        <v>· Nombre; wok chino
· Tamaño: 34/36/38/40 cm
· Espesor minimo : 1,5 mm.
· Doble asa
· Sin tapa
· Material: acero de carbono</v>
      </c>
      <c r="J2691" s="213">
        <f>IFERROR(__xludf.DUMMYFUNCTION("""COMPUTED_VALUE"""),3.0)</f>
        <v>3</v>
      </c>
      <c r="K2691" s="213" t="str">
        <f>IFERROR(__xludf.DUMMYFUNCTION("""COMPUTED_VALUE"""),"90 DÍAS CALENDARIO")</f>
        <v>90 DÍAS CALENDARIO</v>
      </c>
      <c r="L2691" s="213" t="str">
        <f>IFERROR(__xludf.DUMMYFUNCTION("""COMPUTED_VALUE"""),"")</f>
        <v/>
      </c>
      <c r="M2691" s="213">
        <f>IFERROR(__xludf.DUMMYFUNCTION("""COMPUTED_VALUE"""),1.0)</f>
        <v>1</v>
      </c>
      <c r="N2691" s="213">
        <f>IFERROR(__xludf.DUMMYFUNCTION("""COMPUTED_VALUE"""),4.0)</f>
        <v>4</v>
      </c>
      <c r="O2691" s="213">
        <f>IFERROR(__xludf.DUMMYFUNCTION("""COMPUTED_VALUE"""),4.0)</f>
        <v>4</v>
      </c>
      <c r="P2691" s="213"/>
      <c r="Q2691" s="213"/>
      <c r="R2691" s="213" t="str">
        <f>IFERROR(__xludf.DUMMYFUNCTION("""COMPUTED_VALUE"""),"SI")</f>
        <v>SI</v>
      </c>
      <c r="S2691" s="213"/>
      <c r="T2691" s="213" t="str">
        <f>IFERROR(__xludf.DUMMYFUNCTION("""COMPUTED_VALUE"""),"CONSULTA FINAL")</f>
        <v>CONSULTA FINAL</v>
      </c>
      <c r="U2691" s="213" t="str">
        <f>IFERROR(__xludf.DUMMYFUNCTION("""COMPUTED_VALUE"""),"NO")</f>
        <v>NO</v>
      </c>
      <c r="V2691" s="213" t="str">
        <f>IFERROR(__xludf.DUMMYFUNCTION("""COMPUTED_VALUE"""),"SUSTENTO")</f>
        <v>SUSTENTO</v>
      </c>
      <c r="W2691" s="213" t="str">
        <f>IFERROR(__xludf.DUMMYFUNCTION("""COMPUTED_VALUE"""),"EQU TEC")</f>
        <v>EQU TEC</v>
      </c>
      <c r="X2691" s="213" t="str">
        <f>IFERROR(__xludf.DUMMYFUNCTION("""COMPUTED_VALUE"""),"LUGANO / Joyce Chen / GENERICO")</f>
        <v>LUGANO / Joyce Chen / GENERICO</v>
      </c>
      <c r="Y2691" s="213" t="str">
        <f>IFERROR(__xludf.DUMMYFUNCTION("""COMPUTED_VALUE"""),"10938 / J21-9978 / 118294503")</f>
        <v>10938 / J21-9978 / 118294503</v>
      </c>
      <c r="Z2691" s="215" t="str">
        <f>IFERROR(__xludf.DUMMYFUNCTION("""COMPUTED_VALUE"""),"https://juntoz.com/p/wok-hierro-fundido-30-cm-casas-lugano-28585106109381303202405411434148?srsltid=AfmBOorCpdKjQbbk81kPqs9cFn6vUtx1GQwbzvQYT0fD2RbNDqf4PRFQ")</f>
        <v>https://juntoz.com/p/wok-hierro-fundido-30-cm-casas-lugano-28585106109381303202405411434148?srsltid=AfmBOorCpdKjQbbk81kPqs9cFn6vUtx1GQwbzvQYT0fD2RbNDqf4PRFQ</v>
      </c>
      <c r="AA2691" s="213" t="str">
        <f>IFERROR(__xludf.DUMMYFUNCTION("""COMPUTED_VALUE"""),"MAT-514 WOK DOBLE ASA - CET")</f>
        <v>MAT-514 WOK DOBLE ASA - CET</v>
      </c>
      <c r="AB2691" s="213"/>
      <c r="AC2691" s="213"/>
      <c r="AD2691" s="213"/>
      <c r="AE2691" s="213"/>
      <c r="AF2691" s="213"/>
      <c r="AG2691" s="213"/>
      <c r="AH2691" s="213"/>
      <c r="AI2691" s="213"/>
      <c r="AJ2691" s="213"/>
      <c r="AK2691" s="213"/>
      <c r="AL2691" s="213"/>
      <c r="AM2691" s="213"/>
      <c r="AN2691" s="213"/>
      <c r="AO2691" s="213"/>
      <c r="AP2691" s="213" t="str">
        <f>IFERROR(__xludf.DUMMYFUNCTION("""COMPUTED_VALUE"""),"SEBASTIAN")</f>
        <v>SEBASTIAN</v>
      </c>
      <c r="AQ2691" s="213"/>
      <c r="AR2691" s="213"/>
      <c r="AS2691" s="213"/>
      <c r="AT2691" s="213"/>
      <c r="AU2691" s="213"/>
      <c r="AV2691" s="213"/>
      <c r="AW2691" s="213"/>
      <c r="AX2691" s="213"/>
      <c r="AY2691" s="213"/>
      <c r="AZ2691" s="213"/>
      <c r="BA2691" s="213"/>
      <c r="BB2691" s="213"/>
      <c r="BC2691" s="213"/>
      <c r="BD2691" s="213"/>
    </row>
    <row r="2692">
      <c r="A2692" s="213">
        <f>IFERROR(__xludf.DUMMYFUNCTION("""COMPUTED_VALUE"""),42.0)</f>
        <v>42</v>
      </c>
      <c r="B2692" s="213" t="str">
        <f>IFERROR(__xludf.DUMMYFUNCTION("""COMPUTED_VALUE"""),"16449 ELOY SOBERON  FLORES")</f>
        <v>16449 ELOY SOBERON  FLORES</v>
      </c>
      <c r="C2692" s="213" t="str">
        <f>IFERROR(__xludf.DUMMYFUNCTION("""COMPUTED_VALUE"""),"TALLER SFT DE COCINA Y REPOSTERÍA")</f>
        <v>TALLER SFT DE COCINA Y REPOSTERÍA</v>
      </c>
      <c r="D2692" s="213" t="str">
        <f>IFERROR(__xludf.DUMMYFUNCTION("""COMPUTED_VALUE"""),"HERRAMIENTAS")</f>
        <v>HERRAMIENTAS</v>
      </c>
      <c r="E2692" s="213" t="str">
        <f>IFERROR(__xludf.DUMMYFUNCTION("""COMPUTED_VALUE"""),"MAT-515")</f>
        <v>MAT-515</v>
      </c>
      <c r="F2692" s="213" t="str">
        <f>IFERROR(__xludf.DUMMYFUNCTION("""COMPUTED_VALUE"""),"MAT-515")</f>
        <v>MAT-515</v>
      </c>
      <c r="G2692" s="213"/>
      <c r="H2692" s="213" t="str">
        <f>IFERROR(__xludf.DUMMYFUNCTION("""COMPUTED_VALUE"""),"WOK MANGO LARGO")</f>
        <v>WOK MANGO LARGO</v>
      </c>
      <c r="I2692" s="213" t="str">
        <f>IFERROR(__xludf.DUMMYFUNCTION("""COMPUTED_VALUE"""),"· Tamaño: 30/35 cm
· Espesor minimo : 1,5 mm.
· Mango largo con manija lateral auxiliar
· Sin tapa
· Material: acero de carbono")</f>
        <v>· Tamaño: 30/35 cm
· Espesor minimo : 1,5 mm.
· Mango largo con manija lateral auxiliar
· Sin tapa
· Material: acero de carbono</v>
      </c>
      <c r="J2692" s="213">
        <f>IFERROR(__xludf.DUMMYFUNCTION("""COMPUTED_VALUE"""),3.0)</f>
        <v>3</v>
      </c>
      <c r="K2692" s="213" t="str">
        <f>IFERROR(__xludf.DUMMYFUNCTION("""COMPUTED_VALUE"""),"90 DÍAS CALENDARIO")</f>
        <v>90 DÍAS CALENDARIO</v>
      </c>
      <c r="L2692" s="213" t="str">
        <f>IFERROR(__xludf.DUMMYFUNCTION("""COMPUTED_VALUE"""),"")</f>
        <v/>
      </c>
      <c r="M2692" s="213">
        <f>IFERROR(__xludf.DUMMYFUNCTION("""COMPUTED_VALUE"""),1.0)</f>
        <v>1</v>
      </c>
      <c r="N2692" s="213">
        <f>IFERROR(__xludf.DUMMYFUNCTION("""COMPUTED_VALUE"""),4.0)</f>
        <v>4</v>
      </c>
      <c r="O2692" s="213">
        <f>IFERROR(__xludf.DUMMYFUNCTION("""COMPUTED_VALUE"""),4.0)</f>
        <v>4</v>
      </c>
      <c r="P2692" s="213"/>
      <c r="Q2692" s="213"/>
      <c r="R2692" s="213" t="str">
        <f>IFERROR(__xludf.DUMMYFUNCTION("""COMPUTED_VALUE"""),"SI")</f>
        <v>SI</v>
      </c>
      <c r="S2692" s="213"/>
      <c r="T2692" s="213" t="str">
        <f>IFERROR(__xludf.DUMMYFUNCTION("""COMPUTED_VALUE"""),"SI")</f>
        <v>SI</v>
      </c>
      <c r="U2692" s="213" t="str">
        <f>IFERROR(__xludf.DUMMYFUNCTION("""COMPUTED_VALUE"""),"SI")</f>
        <v>SI</v>
      </c>
      <c r="V2692" s="213" t="str">
        <f>IFERROR(__xludf.DUMMYFUNCTION("""COMPUTED_VALUE"""),"-")</f>
        <v>-</v>
      </c>
      <c r="W2692" s="213" t="str">
        <f>IFERROR(__xludf.DUMMYFUNCTION("""COMPUTED_VALUE"""),"-")</f>
        <v>-</v>
      </c>
      <c r="X2692" s="213" t="str">
        <f>IFERROR(__xludf.DUMMYFUNCTION("""COMPUTED_VALUE"""),"CRAFTWORK")</f>
        <v>CRAFTWORK</v>
      </c>
      <c r="Y2692" s="213" t="str">
        <f>IFERROR(__xludf.DUMMYFUNCTION("""COMPUTED_VALUE"""),"731W138")</f>
        <v>731W138</v>
      </c>
      <c r="Z2692" s="215" t="str">
        <f>IFERROR(__xludf.DUMMYFUNCTION("""COMPUTED_VALUE"""),"https://www.ubuy.pe/sp/product/35N86BU-big-16-inch-heavy-hand-hammered-carbon-steel-pow-wok-with-wooden-and-steel-helper-handle-round-bottom-731w138-by-craft-wok?srsltid=AfmBOoqayKrTBNxklyPyB1r03BHorcVst8Yw-1qCkn139jf3Rq2YL8aD")</f>
        <v>https://www.ubuy.pe/sp/product/35N86BU-big-16-inch-heavy-hand-hammered-carbon-steel-pow-wok-with-wooden-and-steel-helper-handle-round-bottom-731w138-by-craft-wok?srsltid=AfmBOoqayKrTBNxklyPyB1r03BHorcVst8Yw-1qCkn139jf3Rq2YL8aD</v>
      </c>
      <c r="AA2692" s="213" t="str">
        <f>IFERROR(__xludf.DUMMYFUNCTION("""COMPUTED_VALUE"""),"MAT-515 WOK MANGO LARGO - CET")</f>
        <v>MAT-515 WOK MANGO LARGO - CET</v>
      </c>
      <c r="AB2692" s="213"/>
      <c r="AC2692" s="213"/>
      <c r="AD2692" s="213"/>
      <c r="AE2692" s="213"/>
      <c r="AF2692" s="213"/>
      <c r="AG2692" s="213"/>
      <c r="AH2692" s="213"/>
      <c r="AI2692" s="213"/>
      <c r="AJ2692" s="213"/>
      <c r="AK2692" s="213"/>
      <c r="AL2692" s="213"/>
      <c r="AM2692" s="213"/>
      <c r="AN2692" s="213"/>
      <c r="AO2692" s="213"/>
      <c r="AP2692" s="213" t="str">
        <f>IFERROR(__xludf.DUMMYFUNCTION("""COMPUTED_VALUE"""),"SEBASTIAN")</f>
        <v>SEBASTIAN</v>
      </c>
      <c r="AQ2692" s="213"/>
      <c r="AR2692" s="213"/>
      <c r="AS2692" s="213"/>
      <c r="AT2692" s="213"/>
      <c r="AU2692" s="213"/>
      <c r="AV2692" s="213"/>
      <c r="AW2692" s="213"/>
      <c r="AX2692" s="213"/>
      <c r="AY2692" s="213"/>
      <c r="AZ2692" s="213"/>
      <c r="BA2692" s="213"/>
      <c r="BB2692" s="213"/>
      <c r="BC2692" s="213"/>
      <c r="BD2692" s="213"/>
    </row>
    <row r="2693">
      <c r="A2693" s="213">
        <f>IFERROR(__xludf.DUMMYFUNCTION("""COMPUTED_VALUE"""),43.0)</f>
        <v>43</v>
      </c>
      <c r="B2693" s="213" t="str">
        <f>IFERROR(__xludf.DUMMYFUNCTION("""COMPUTED_VALUE"""),"16449 ELOY SOBERON  FLORES")</f>
        <v>16449 ELOY SOBERON  FLORES</v>
      </c>
      <c r="C2693" s="213" t="str">
        <f>IFERROR(__xludf.DUMMYFUNCTION("""COMPUTED_VALUE"""),"TALLER SFT DE COCINA Y REPOSTERÍA")</f>
        <v>TALLER SFT DE COCINA Y REPOSTERÍA</v>
      </c>
      <c r="D2693" s="213" t="str">
        <f>IFERROR(__xludf.DUMMYFUNCTION("""COMPUTED_VALUE"""),"HERRAMIENTAS")</f>
        <v>HERRAMIENTAS</v>
      </c>
      <c r="E2693" s="213" t="str">
        <f>IFERROR(__xludf.DUMMYFUNCTION("""COMPUTED_VALUE"""),"MAT-516")</f>
        <v>MAT-516</v>
      </c>
      <c r="F2693" s="213" t="str">
        <f>IFERROR(__xludf.DUMMYFUNCTION("""COMPUTED_VALUE"""),"MAT-516")</f>
        <v>MAT-516</v>
      </c>
      <c r="G2693" s="213"/>
      <c r="H2693" s="213" t="str">
        <f>IFERROR(__xludf.DUMMYFUNCTION("""COMPUTED_VALUE"""),"WOK MANGO LARGO CON TAPA")</f>
        <v>WOK MANGO LARGO CON TAPA</v>
      </c>
      <c r="I2693" s="213" t="str">
        <f>IFERROR(__xludf.DUMMYFUNCTION("""COMPUTED_VALUE"""),"· Tamaño: 32cm  x 9,5 cm
· Espesor minimo : 0,25 mm.
· Mango largo
· Con tapa
· Material: hierro doble pared")</f>
        <v>· Tamaño: 32cm  x 9,5 cm
· Espesor minimo : 0,25 mm.
· Mango largo
· Con tapa
· Material: hierro doble pared</v>
      </c>
      <c r="J2693" s="213">
        <f>IFERROR(__xludf.DUMMYFUNCTION("""COMPUTED_VALUE"""),3.0)</f>
        <v>3</v>
      </c>
      <c r="K2693" s="213" t="str">
        <f>IFERROR(__xludf.DUMMYFUNCTION("""COMPUTED_VALUE"""),"90 DÍAS CALENDARIO")</f>
        <v>90 DÍAS CALENDARIO</v>
      </c>
      <c r="L2693" s="213" t="str">
        <f>IFERROR(__xludf.DUMMYFUNCTION("""COMPUTED_VALUE"""),"")</f>
        <v/>
      </c>
      <c r="M2693" s="213">
        <f>IFERROR(__xludf.DUMMYFUNCTION("""COMPUTED_VALUE"""),1.0)</f>
        <v>1</v>
      </c>
      <c r="N2693" s="213">
        <f>IFERROR(__xludf.DUMMYFUNCTION("""COMPUTED_VALUE"""),4.0)</f>
        <v>4</v>
      </c>
      <c r="O2693" s="213">
        <f>IFERROR(__xludf.DUMMYFUNCTION("""COMPUTED_VALUE"""),4.0)</f>
        <v>4</v>
      </c>
      <c r="P2693" s="213"/>
      <c r="Q2693" s="213"/>
      <c r="R2693" s="213" t="str">
        <f>IFERROR(__xludf.DUMMYFUNCTION("""COMPUTED_VALUE"""),"SI")</f>
        <v>SI</v>
      </c>
      <c r="S2693" s="213"/>
      <c r="T2693" s="213" t="str">
        <f>IFERROR(__xludf.DUMMYFUNCTION("""COMPUTED_VALUE"""),"CONSULTA FINAL")</f>
        <v>CONSULTA FINAL</v>
      </c>
      <c r="U2693" s="213" t="str">
        <f>IFERROR(__xludf.DUMMYFUNCTION("""COMPUTED_VALUE"""),"NO")</f>
        <v>NO</v>
      </c>
      <c r="V2693" s="213" t="str">
        <f>IFERROR(__xludf.DUMMYFUNCTION("""COMPUTED_VALUE"""),"SUSTENTO")</f>
        <v>SUSTENTO</v>
      </c>
      <c r="W2693" s="213" t="str">
        <f>IFERROR(__xludf.DUMMYFUNCTION("""COMPUTED_VALUE"""),"EQU TEC")</f>
        <v>EQU TEC</v>
      </c>
      <c r="X2693" s="213" t="str">
        <f>IFERROR(__xludf.DUMMYFUNCTION("""COMPUTED_VALUE"""),"Tramontina")</f>
        <v>Tramontina</v>
      </c>
      <c r="Y2693" s="213">
        <f>IFERROR(__xludf.DUMMYFUNCTION("""COMPUTED_VALUE"""),1.014567E7)</f>
        <v>10145670</v>
      </c>
      <c r="Z2693" s="215" t="str">
        <f>IFERROR(__xludf.DUMMYFUNCTION("""COMPUTED_VALUE"""),"https://www.uysa.com.pe/sarten-wok-c-tapa-28cm--3-30-lt-solar-silicone-62138-280-tramontina-10145670/p?srsltid=AfmBOoqmirPPYW8rGfYVxde_c6XOJKsSRK--1TDczVzcaottJnL7APQg")</f>
        <v>https://www.uysa.com.pe/sarten-wok-c-tapa-28cm--3-30-lt-solar-silicone-62138-280-tramontina-10145670/p?srsltid=AfmBOoqmirPPYW8rGfYVxde_c6XOJKsSRK--1TDczVzcaottJnL7APQg</v>
      </c>
      <c r="AA2693" s="213" t="str">
        <f>IFERROR(__xludf.DUMMYFUNCTION("""COMPUTED_VALUE"""),"MAT-516 WOK MANGO LARGO CON TAPA - CET")</f>
        <v>MAT-516 WOK MANGO LARGO CON TAPA - CET</v>
      </c>
      <c r="AB2693" s="213"/>
      <c r="AC2693" s="213"/>
      <c r="AD2693" s="213"/>
      <c r="AE2693" s="213"/>
      <c r="AF2693" s="213"/>
      <c r="AG2693" s="213"/>
      <c r="AH2693" s="213"/>
      <c r="AI2693" s="213"/>
      <c r="AJ2693" s="213"/>
      <c r="AK2693" s="213"/>
      <c r="AL2693" s="213"/>
      <c r="AM2693" s="213"/>
      <c r="AN2693" s="213"/>
      <c r="AO2693" s="213"/>
      <c r="AP2693" s="213" t="str">
        <f>IFERROR(__xludf.DUMMYFUNCTION("""COMPUTED_VALUE"""),"SEBASTIAN")</f>
        <v>SEBASTIAN</v>
      </c>
      <c r="AQ2693" s="213"/>
      <c r="AR2693" s="213"/>
      <c r="AS2693" s="213"/>
      <c r="AT2693" s="213"/>
      <c r="AU2693" s="213"/>
      <c r="AV2693" s="213"/>
      <c r="AW2693" s="213"/>
      <c r="AX2693" s="213"/>
      <c r="AY2693" s="213"/>
      <c r="AZ2693" s="213"/>
      <c r="BA2693" s="213"/>
      <c r="BB2693" s="213"/>
      <c r="BC2693" s="213"/>
      <c r="BD2693" s="213"/>
    </row>
    <row r="2694">
      <c r="A2694" s="213">
        <f>IFERROR(__xludf.DUMMYFUNCTION("""COMPUTED_VALUE"""),44.0)</f>
        <v>44</v>
      </c>
      <c r="B2694" s="213" t="str">
        <f>IFERROR(__xludf.DUMMYFUNCTION("""COMPUTED_VALUE"""),"16449 ELOY SOBERON  FLORES")</f>
        <v>16449 ELOY SOBERON  FLORES</v>
      </c>
      <c r="C2694" s="213" t="str">
        <f>IFERROR(__xludf.DUMMYFUNCTION("""COMPUTED_VALUE"""),"TALLER SFT DE COCINA Y REPOSTERÍA")</f>
        <v>TALLER SFT DE COCINA Y REPOSTERÍA</v>
      </c>
      <c r="D2694" s="213" t="str">
        <f>IFERROR(__xludf.DUMMYFUNCTION("""COMPUTED_VALUE"""),"HERRAMIENTAS")</f>
        <v>HERRAMIENTAS</v>
      </c>
      <c r="E2694" s="213" t="str">
        <f>IFERROR(__xludf.DUMMYFUNCTION("""COMPUTED_VALUE"""),"MAT-517")</f>
        <v>MAT-517</v>
      </c>
      <c r="F2694" s="213" t="str">
        <f>IFERROR(__xludf.DUMMYFUNCTION("""COMPUTED_VALUE"""),"MAT-517")</f>
        <v>MAT-517</v>
      </c>
      <c r="G2694" s="213"/>
      <c r="H2694" s="213" t="str">
        <f>IFERROR(__xludf.DUMMYFUNCTION("""COMPUTED_VALUE"""),"WOK SARTEN PAELLERA")</f>
        <v>WOK SARTEN PAELLERA</v>
      </c>
      <c r="I2694" s="213" t="str">
        <f>IFERROR(__xludf.DUMMYFUNCTION("""COMPUTED_VALUE"""),"· Tamaño: 32 cm x 9,5 cm
· Espesor minimo : 0,25 mm.
· Mango largo
· Con tapa vidrio pirex
· Material: hierro  con molde paellera")</f>
        <v>· Tamaño: 32 cm x 9,5 cm
· Espesor minimo : 0,25 mm.
· Mango largo
· Con tapa vidrio pirex
· Material: hierro  con molde paellera</v>
      </c>
      <c r="J2694" s="213">
        <f>IFERROR(__xludf.DUMMYFUNCTION("""COMPUTED_VALUE"""),3.0)</f>
        <v>3</v>
      </c>
      <c r="K2694" s="213" t="str">
        <f>IFERROR(__xludf.DUMMYFUNCTION("""COMPUTED_VALUE"""),"90 DÍAS CALENDARIO")</f>
        <v>90 DÍAS CALENDARIO</v>
      </c>
      <c r="L2694" s="213" t="str">
        <f>IFERROR(__xludf.DUMMYFUNCTION("""COMPUTED_VALUE"""),"")</f>
        <v/>
      </c>
      <c r="M2694" s="213">
        <f>IFERROR(__xludf.DUMMYFUNCTION("""COMPUTED_VALUE"""),1.0)</f>
        <v>1</v>
      </c>
      <c r="N2694" s="213">
        <f>IFERROR(__xludf.DUMMYFUNCTION("""COMPUTED_VALUE"""),4.0)</f>
        <v>4</v>
      </c>
      <c r="O2694" s="213">
        <f>IFERROR(__xludf.DUMMYFUNCTION("""COMPUTED_VALUE"""),4.0)</f>
        <v>4</v>
      </c>
      <c r="P2694" s="213"/>
      <c r="Q2694" s="213"/>
      <c r="R2694" s="213" t="str">
        <f>IFERROR(__xludf.DUMMYFUNCTION("""COMPUTED_VALUE"""),"SI")</f>
        <v>SI</v>
      </c>
      <c r="S2694" s="213"/>
      <c r="T2694" s="213" t="str">
        <f>IFERROR(__xludf.DUMMYFUNCTION("""COMPUTED_VALUE"""),"CONSULTA FINAL")</f>
        <v>CONSULTA FINAL</v>
      </c>
      <c r="U2694" s="213" t="str">
        <f>IFERROR(__xludf.DUMMYFUNCTION("""COMPUTED_VALUE"""),"NO")</f>
        <v>NO</v>
      </c>
      <c r="V2694" s="213" t="str">
        <f>IFERROR(__xludf.DUMMYFUNCTION("""COMPUTED_VALUE"""),"SUSTENTO")</f>
        <v>SUSTENTO</v>
      </c>
      <c r="W2694" s="213" t="str">
        <f>IFERROR(__xludf.DUMMYFUNCTION("""COMPUTED_VALUE"""),"EQU TEC")</f>
        <v>EQU TEC</v>
      </c>
      <c r="X2694" s="213" t="str">
        <f>IFERROR(__xludf.DUMMYFUNCTION("""COMPUTED_VALUE"""),"MTA")</f>
        <v>MTA</v>
      </c>
      <c r="Y2694" s="213">
        <f>IFERROR(__xludf.DUMMYFUNCTION("""COMPUTED_VALUE"""),8343.0)</f>
        <v>8343</v>
      </c>
      <c r="Z2694" s="215" t="str">
        <f>IFERROR(__xludf.DUMMYFUNCTION("""COMPUTED_VALUE"""),"https://www.tiendamta.com.ar/paellera-disco-hierro-fundido-36-cm-con-tapa-de-vidrio-mta/up/MLAU226988592")</f>
        <v>https://www.tiendamta.com.ar/paellera-disco-hierro-fundido-36-cm-con-tapa-de-vidrio-mta/up/MLAU226988592</v>
      </c>
      <c r="AA2694" s="213" t="str">
        <f>IFERROR(__xludf.DUMMYFUNCTION("""COMPUTED_VALUE"""),"MAT-517 WOK SARTEN PAELLERA - CET")</f>
        <v>MAT-517 WOK SARTEN PAELLERA - CET</v>
      </c>
      <c r="AB2694" s="213"/>
      <c r="AC2694" s="213"/>
      <c r="AD2694" s="213"/>
      <c r="AE2694" s="213"/>
      <c r="AF2694" s="213"/>
      <c r="AG2694" s="213"/>
      <c r="AH2694" s="213"/>
      <c r="AI2694" s="213"/>
      <c r="AJ2694" s="213"/>
      <c r="AK2694" s="213"/>
      <c r="AL2694" s="213"/>
      <c r="AM2694" s="213"/>
      <c r="AN2694" s="213"/>
      <c r="AO2694" s="213"/>
      <c r="AP2694" s="213" t="str">
        <f>IFERROR(__xludf.DUMMYFUNCTION("""COMPUTED_VALUE"""),"SEBASTIAN")</f>
        <v>SEBASTIAN</v>
      </c>
      <c r="AQ2694" s="213"/>
      <c r="AR2694" s="213"/>
      <c r="AS2694" s="213"/>
      <c r="AT2694" s="213"/>
      <c r="AU2694" s="213"/>
      <c r="AV2694" s="213"/>
      <c r="AW2694" s="213"/>
      <c r="AX2694" s="213"/>
      <c r="AY2694" s="213"/>
      <c r="AZ2694" s="213"/>
      <c r="BA2694" s="213"/>
      <c r="BB2694" s="213"/>
      <c r="BC2694" s="213"/>
      <c r="BD2694" s="213"/>
    </row>
    <row r="2695">
      <c r="A2695" s="213"/>
      <c r="B2695" s="213"/>
      <c r="C2695" s="213"/>
      <c r="D2695" s="213"/>
      <c r="E2695" s="213"/>
      <c r="F2695" s="213"/>
      <c r="G2695" s="213"/>
      <c r="H2695" s="213"/>
      <c r="I2695" s="213"/>
      <c r="J2695" s="213"/>
      <c r="K2695" s="213"/>
      <c r="L2695" s="213"/>
      <c r="M2695" s="213"/>
      <c r="N2695" s="213"/>
      <c r="O2695" s="213"/>
      <c r="P2695" s="213"/>
      <c r="Q2695" s="213"/>
      <c r="R2695" s="213"/>
      <c r="S2695" s="213"/>
      <c r="T2695" s="213"/>
      <c r="U2695" s="213"/>
      <c r="V2695" s="213"/>
      <c r="W2695" s="213"/>
      <c r="X2695" s="213"/>
      <c r="Y2695" s="213"/>
      <c r="Z2695" s="213"/>
      <c r="AA2695" s="213"/>
      <c r="AB2695" s="213"/>
      <c r="AC2695" s="213"/>
      <c r="AD2695" s="213"/>
      <c r="AE2695" s="213"/>
      <c r="AF2695" s="213"/>
      <c r="AG2695" s="213"/>
      <c r="AH2695" s="213"/>
      <c r="AI2695" s="213"/>
      <c r="AJ2695" s="213"/>
      <c r="AK2695" s="213"/>
      <c r="AL2695" s="213"/>
      <c r="AM2695" s="213"/>
      <c r="AN2695" s="213"/>
      <c r="AO2695" s="213"/>
      <c r="AP2695" s="213"/>
      <c r="AQ2695" s="213"/>
      <c r="AR2695" s="213"/>
      <c r="AS2695" s="213"/>
      <c r="AT2695" s="213"/>
      <c r="AU2695" s="213"/>
      <c r="AV2695" s="213"/>
      <c r="AW2695" s="213"/>
      <c r="AX2695" s="213"/>
      <c r="AY2695" s="213"/>
      <c r="AZ2695" s="213"/>
      <c r="BA2695" s="213"/>
      <c r="BB2695" s="213"/>
      <c r="BC2695" s="213"/>
      <c r="BD2695" s="213"/>
    </row>
    <row r="2696">
      <c r="A2696" s="213"/>
      <c r="B2696" s="213"/>
      <c r="C2696" s="213"/>
      <c r="D2696" s="213"/>
      <c r="E2696" s="213"/>
      <c r="F2696" s="213"/>
      <c r="G2696" s="213"/>
      <c r="H2696" s="213"/>
      <c r="I2696" s="213"/>
      <c r="J2696" s="213"/>
      <c r="K2696" s="213"/>
      <c r="L2696" s="213"/>
      <c r="M2696" s="213"/>
      <c r="N2696" s="213"/>
      <c r="O2696" s="213"/>
      <c r="P2696" s="213"/>
      <c r="Q2696" s="213"/>
      <c r="R2696" s="213"/>
      <c r="S2696" s="213"/>
      <c r="T2696" s="213"/>
      <c r="U2696" s="213"/>
      <c r="V2696" s="213"/>
      <c r="W2696" s="213"/>
      <c r="X2696" s="213"/>
      <c r="Y2696" s="213"/>
      <c r="Z2696" s="213"/>
      <c r="AA2696" s="213"/>
      <c r="AB2696" s="213"/>
      <c r="AC2696" s="213"/>
      <c r="AD2696" s="213"/>
      <c r="AE2696" s="213"/>
      <c r="AF2696" s="213"/>
      <c r="AG2696" s="213"/>
      <c r="AH2696" s="213"/>
      <c r="AI2696" s="213"/>
      <c r="AJ2696" s="213"/>
      <c r="AK2696" s="213"/>
      <c r="AL2696" s="213"/>
      <c r="AM2696" s="213"/>
      <c r="AN2696" s="213"/>
      <c r="AO2696" s="213"/>
      <c r="AP2696" s="213"/>
      <c r="AQ2696" s="213"/>
      <c r="AR2696" s="213"/>
      <c r="AS2696" s="213"/>
      <c r="AT2696" s="213"/>
      <c r="AU2696" s="213"/>
      <c r="AV2696" s="213"/>
      <c r="AW2696" s="213"/>
      <c r="AX2696" s="213"/>
      <c r="AY2696" s="213"/>
      <c r="AZ2696" s="213"/>
      <c r="BA2696" s="213"/>
      <c r="BB2696" s="213"/>
      <c r="BC2696" s="213"/>
      <c r="BD2696" s="213"/>
    </row>
    <row r="2697">
      <c r="A2697" s="213"/>
      <c r="B2697" s="213"/>
      <c r="C2697" s="213"/>
      <c r="D2697" s="213"/>
      <c r="E2697" s="213"/>
      <c r="F2697" s="213"/>
      <c r="G2697" s="213"/>
      <c r="H2697" s="213"/>
      <c r="I2697" s="213"/>
      <c r="J2697" s="213"/>
      <c r="K2697" s="213"/>
      <c r="L2697" s="213"/>
      <c r="M2697" s="213"/>
      <c r="N2697" s="213"/>
      <c r="O2697" s="213"/>
      <c r="P2697" s="213"/>
      <c r="Q2697" s="213"/>
      <c r="R2697" s="213"/>
      <c r="S2697" s="213"/>
      <c r="T2697" s="213"/>
      <c r="U2697" s="213"/>
      <c r="V2697" s="213"/>
      <c r="W2697" s="213"/>
      <c r="X2697" s="213"/>
      <c r="Y2697" s="213"/>
      <c r="Z2697" s="213"/>
      <c r="AA2697" s="213"/>
      <c r="AB2697" s="213"/>
      <c r="AC2697" s="213"/>
      <c r="AD2697" s="213"/>
      <c r="AE2697" s="213"/>
      <c r="AF2697" s="213"/>
      <c r="AG2697" s="213"/>
      <c r="AH2697" s="213"/>
      <c r="AI2697" s="213"/>
      <c r="AJ2697" s="213"/>
      <c r="AK2697" s="213"/>
      <c r="AL2697" s="213"/>
      <c r="AM2697" s="213"/>
      <c r="AN2697" s="213"/>
      <c r="AO2697" s="213"/>
      <c r="AP2697" s="213"/>
      <c r="AQ2697" s="213"/>
      <c r="AR2697" s="213"/>
      <c r="AS2697" s="213"/>
      <c r="AT2697" s="213"/>
      <c r="AU2697" s="213"/>
      <c r="AV2697" s="213"/>
      <c r="AW2697" s="213"/>
      <c r="AX2697" s="213"/>
      <c r="AY2697" s="213"/>
      <c r="AZ2697" s="213"/>
      <c r="BA2697" s="213"/>
      <c r="BB2697" s="213"/>
      <c r="BC2697" s="213"/>
      <c r="BD2697" s="213"/>
    </row>
    <row r="2698">
      <c r="A2698" s="213"/>
      <c r="B2698" s="213"/>
      <c r="C2698" s="213"/>
      <c r="D2698" s="213"/>
      <c r="E2698" s="213"/>
      <c r="F2698" s="213"/>
      <c r="G2698" s="213"/>
      <c r="H2698" s="213"/>
      <c r="I2698" s="213"/>
      <c r="J2698" s="213"/>
      <c r="K2698" s="213"/>
      <c r="L2698" s="213"/>
      <c r="M2698" s="213"/>
      <c r="N2698" s="213"/>
      <c r="O2698" s="213"/>
      <c r="P2698" s="213"/>
      <c r="Q2698" s="213"/>
      <c r="R2698" s="213"/>
      <c r="S2698" s="213"/>
      <c r="T2698" s="213"/>
      <c r="U2698" s="213"/>
      <c r="V2698" s="213"/>
      <c r="W2698" s="213"/>
      <c r="X2698" s="213"/>
      <c r="Y2698" s="213"/>
      <c r="Z2698" s="213"/>
      <c r="AA2698" s="213"/>
      <c r="AB2698" s="213"/>
      <c r="AC2698" s="213"/>
      <c r="AD2698" s="213"/>
      <c r="AE2698" s="213"/>
      <c r="AF2698" s="213"/>
      <c r="AG2698" s="213"/>
      <c r="AH2698" s="213"/>
      <c r="AI2698" s="213"/>
      <c r="AJ2698" s="213"/>
      <c r="AK2698" s="213"/>
      <c r="AL2698" s="213"/>
      <c r="AM2698" s="213"/>
      <c r="AN2698" s="213"/>
      <c r="AO2698" s="213"/>
      <c r="AP2698" s="213"/>
      <c r="AQ2698" s="213"/>
      <c r="AR2698" s="213"/>
      <c r="AS2698" s="213"/>
      <c r="AT2698" s="213"/>
      <c r="AU2698" s="213"/>
      <c r="AV2698" s="213"/>
      <c r="AW2698" s="213"/>
      <c r="AX2698" s="213"/>
      <c r="AY2698" s="213"/>
      <c r="AZ2698" s="213"/>
      <c r="BA2698" s="213"/>
      <c r="BB2698" s="213"/>
      <c r="BC2698" s="213"/>
      <c r="BD2698" s="213"/>
    </row>
    <row r="2699">
      <c r="A2699" s="213"/>
      <c r="B2699" s="213"/>
      <c r="C2699" s="213"/>
      <c r="D2699" s="213"/>
      <c r="E2699" s="213"/>
      <c r="F2699" s="213"/>
      <c r="G2699" s="213"/>
      <c r="H2699" s="213"/>
      <c r="I2699" s="213"/>
      <c r="J2699" s="213"/>
      <c r="K2699" s="213"/>
      <c r="L2699" s="213"/>
      <c r="M2699" s="213"/>
      <c r="N2699" s="213"/>
      <c r="O2699" s="213"/>
      <c r="P2699" s="213"/>
      <c r="Q2699" s="213"/>
      <c r="R2699" s="213"/>
      <c r="S2699" s="213"/>
      <c r="T2699" s="213"/>
      <c r="U2699" s="213"/>
      <c r="V2699" s="213"/>
      <c r="W2699" s="213"/>
      <c r="X2699" s="213"/>
      <c r="Y2699" s="213"/>
      <c r="Z2699" s="213"/>
      <c r="AA2699" s="213"/>
      <c r="AB2699" s="213"/>
      <c r="AC2699" s="213"/>
      <c r="AD2699" s="213"/>
      <c r="AE2699" s="213"/>
      <c r="AF2699" s="213"/>
      <c r="AG2699" s="213"/>
      <c r="AH2699" s="213"/>
      <c r="AI2699" s="213"/>
      <c r="AJ2699" s="213"/>
      <c r="AK2699" s="213"/>
      <c r="AL2699" s="213"/>
      <c r="AM2699" s="213"/>
      <c r="AN2699" s="213"/>
      <c r="AO2699" s="213"/>
      <c r="AP2699" s="213"/>
      <c r="AQ2699" s="213"/>
      <c r="AR2699" s="213"/>
      <c r="AS2699" s="213"/>
      <c r="AT2699" s="213"/>
      <c r="AU2699" s="213"/>
      <c r="AV2699" s="213"/>
      <c r="AW2699" s="213"/>
      <c r="AX2699" s="213"/>
      <c r="AY2699" s="213"/>
      <c r="AZ2699" s="213"/>
      <c r="BA2699" s="213"/>
      <c r="BB2699" s="213"/>
      <c r="BC2699" s="213"/>
      <c r="BD2699" s="213"/>
    </row>
    <row r="2700">
      <c r="A2700" s="213"/>
      <c r="B2700" s="213"/>
      <c r="C2700" s="213"/>
      <c r="D2700" s="213"/>
      <c r="E2700" s="213"/>
      <c r="F2700" s="213"/>
      <c r="G2700" s="213"/>
      <c r="H2700" s="213"/>
      <c r="I2700" s="213"/>
      <c r="J2700" s="213"/>
      <c r="K2700" s="213"/>
      <c r="L2700" s="213"/>
      <c r="M2700" s="213"/>
      <c r="N2700" s="213"/>
      <c r="O2700" s="213"/>
      <c r="P2700" s="213"/>
      <c r="Q2700" s="213"/>
      <c r="R2700" s="213"/>
      <c r="S2700" s="213"/>
      <c r="T2700" s="213"/>
      <c r="U2700" s="213"/>
      <c r="V2700" s="213"/>
      <c r="W2700" s="213"/>
      <c r="X2700" s="213"/>
      <c r="Y2700" s="213"/>
      <c r="Z2700" s="213"/>
      <c r="AA2700" s="213"/>
      <c r="AB2700" s="213"/>
      <c r="AC2700" s="213"/>
      <c r="AD2700" s="213"/>
      <c r="AE2700" s="213"/>
      <c r="AF2700" s="213"/>
      <c r="AG2700" s="213"/>
      <c r="AH2700" s="213"/>
      <c r="AI2700" s="213"/>
      <c r="AJ2700" s="213"/>
      <c r="AK2700" s="213"/>
      <c r="AL2700" s="213"/>
      <c r="AM2700" s="213"/>
      <c r="AN2700" s="213"/>
      <c r="AO2700" s="213"/>
      <c r="AP2700" s="213"/>
      <c r="AQ2700" s="213"/>
      <c r="AR2700" s="213"/>
      <c r="AS2700" s="213"/>
      <c r="AT2700" s="213"/>
      <c r="AU2700" s="213"/>
      <c r="AV2700" s="213"/>
      <c r="AW2700" s="213"/>
      <c r="AX2700" s="213"/>
      <c r="AY2700" s="213"/>
      <c r="AZ2700" s="213"/>
      <c r="BA2700" s="213"/>
      <c r="BB2700" s="213"/>
      <c r="BC2700" s="213"/>
      <c r="BD2700" s="213"/>
    </row>
    <row r="2701">
      <c r="A2701" s="213"/>
      <c r="B2701" s="213"/>
      <c r="C2701" s="213"/>
      <c r="D2701" s="213"/>
      <c r="E2701" s="213"/>
      <c r="F2701" s="213"/>
      <c r="G2701" s="213"/>
      <c r="H2701" s="213"/>
      <c r="I2701" s="213"/>
      <c r="J2701" s="213"/>
      <c r="K2701" s="213"/>
      <c r="L2701" s="213"/>
      <c r="M2701" s="213"/>
      <c r="N2701" s="213"/>
      <c r="O2701" s="213"/>
      <c r="P2701" s="213"/>
      <c r="Q2701" s="213"/>
      <c r="R2701" s="213"/>
      <c r="S2701" s="213"/>
      <c r="T2701" s="213"/>
      <c r="U2701" s="213"/>
      <c r="V2701" s="213"/>
      <c r="W2701" s="213"/>
      <c r="X2701" s="213"/>
      <c r="Y2701" s="213"/>
      <c r="Z2701" s="213"/>
      <c r="AA2701" s="213"/>
      <c r="AB2701" s="213"/>
      <c r="AC2701" s="213"/>
      <c r="AD2701" s="213"/>
      <c r="AE2701" s="213"/>
      <c r="AF2701" s="213"/>
      <c r="AG2701" s="213"/>
      <c r="AH2701" s="213"/>
      <c r="AI2701" s="213"/>
      <c r="AJ2701" s="213"/>
      <c r="AK2701" s="213"/>
      <c r="AL2701" s="213"/>
      <c r="AM2701" s="213"/>
      <c r="AN2701" s="213"/>
      <c r="AO2701" s="213"/>
      <c r="AP2701" s="213"/>
      <c r="AQ2701" s="213"/>
      <c r="AR2701" s="213"/>
      <c r="AS2701" s="213"/>
      <c r="AT2701" s="213"/>
      <c r="AU2701" s="213"/>
      <c r="AV2701" s="213"/>
      <c r="AW2701" s="213"/>
      <c r="AX2701" s="213"/>
      <c r="AY2701" s="213"/>
      <c r="AZ2701" s="213"/>
      <c r="BA2701" s="213"/>
      <c r="BB2701" s="213"/>
      <c r="BC2701" s="213"/>
      <c r="BD2701" s="213"/>
    </row>
    <row r="2702">
      <c r="A2702" s="213"/>
      <c r="B2702" s="213"/>
      <c r="C2702" s="213"/>
      <c r="D2702" s="213"/>
      <c r="E2702" s="213"/>
      <c r="F2702" s="213"/>
      <c r="G2702" s="213"/>
      <c r="H2702" s="213"/>
      <c r="I2702" s="213"/>
      <c r="J2702" s="213"/>
      <c r="K2702" s="213"/>
      <c r="L2702" s="213"/>
      <c r="M2702" s="213"/>
      <c r="N2702" s="213"/>
      <c r="O2702" s="213"/>
      <c r="P2702" s="213"/>
      <c r="Q2702" s="213"/>
      <c r="R2702" s="213"/>
      <c r="S2702" s="213"/>
      <c r="T2702" s="213"/>
      <c r="U2702" s="213"/>
      <c r="V2702" s="213"/>
      <c r="W2702" s="213"/>
      <c r="X2702" s="213"/>
      <c r="Y2702" s="213"/>
      <c r="Z2702" s="213"/>
      <c r="AA2702" s="213"/>
      <c r="AB2702" s="213"/>
      <c r="AC2702" s="213"/>
      <c r="AD2702" s="213"/>
      <c r="AE2702" s="213"/>
      <c r="AF2702" s="213"/>
      <c r="AG2702" s="213"/>
      <c r="AH2702" s="213"/>
      <c r="AI2702" s="213"/>
      <c r="AJ2702" s="213"/>
      <c r="AK2702" s="213"/>
      <c r="AL2702" s="213"/>
      <c r="AM2702" s="213"/>
      <c r="AN2702" s="213"/>
      <c r="AO2702" s="213"/>
      <c r="AP2702" s="213"/>
      <c r="AQ2702" s="213"/>
      <c r="AR2702" s="213"/>
      <c r="AS2702" s="213"/>
      <c r="AT2702" s="213"/>
      <c r="AU2702" s="213"/>
      <c r="AV2702" s="213"/>
      <c r="AW2702" s="213"/>
      <c r="AX2702" s="213"/>
      <c r="AY2702" s="213"/>
      <c r="AZ2702" s="213"/>
      <c r="BA2702" s="213"/>
      <c r="BB2702" s="213"/>
      <c r="BC2702" s="213"/>
      <c r="BD2702" s="213"/>
    </row>
    <row r="2703">
      <c r="A2703" s="213"/>
      <c r="B2703" s="213"/>
      <c r="C2703" s="213"/>
      <c r="D2703" s="213"/>
      <c r="E2703" s="213"/>
      <c r="F2703" s="213"/>
      <c r="G2703" s="213"/>
      <c r="H2703" s="213"/>
      <c r="I2703" s="213"/>
      <c r="J2703" s="213"/>
      <c r="K2703" s="213"/>
      <c r="L2703" s="213"/>
      <c r="M2703" s="213"/>
      <c r="N2703" s="213"/>
      <c r="O2703" s="213"/>
      <c r="P2703" s="213"/>
      <c r="Q2703" s="213"/>
      <c r="R2703" s="213"/>
      <c r="S2703" s="213"/>
      <c r="T2703" s="213"/>
      <c r="U2703" s="213"/>
      <c r="V2703" s="213"/>
      <c r="W2703" s="213"/>
      <c r="X2703" s="213"/>
      <c r="Y2703" s="213"/>
      <c r="Z2703" s="213"/>
      <c r="AA2703" s="213"/>
      <c r="AB2703" s="213"/>
      <c r="AC2703" s="213"/>
      <c r="AD2703" s="213"/>
      <c r="AE2703" s="213"/>
      <c r="AF2703" s="213"/>
      <c r="AG2703" s="213"/>
      <c r="AH2703" s="213"/>
      <c r="AI2703" s="213"/>
      <c r="AJ2703" s="213"/>
      <c r="AK2703" s="213"/>
      <c r="AL2703" s="213"/>
      <c r="AM2703" s="213"/>
      <c r="AN2703" s="213"/>
      <c r="AO2703" s="213"/>
      <c r="AP2703" s="213"/>
      <c r="AQ2703" s="213"/>
      <c r="AR2703" s="213"/>
      <c r="AS2703" s="213"/>
      <c r="AT2703" s="213"/>
      <c r="AU2703" s="213"/>
      <c r="AV2703" s="213"/>
      <c r="AW2703" s="213"/>
      <c r="AX2703" s="213"/>
      <c r="AY2703" s="213"/>
      <c r="AZ2703" s="213"/>
      <c r="BA2703" s="213"/>
      <c r="BB2703" s="213"/>
      <c r="BC2703" s="213"/>
      <c r="BD2703" s="213"/>
    </row>
    <row r="2704">
      <c r="A2704" s="213"/>
      <c r="B2704" s="213"/>
      <c r="C2704" s="213"/>
      <c r="D2704" s="213"/>
      <c r="E2704" s="213"/>
      <c r="F2704" s="213"/>
      <c r="G2704" s="213"/>
      <c r="H2704" s="213"/>
      <c r="I2704" s="213"/>
      <c r="J2704" s="213"/>
      <c r="K2704" s="213"/>
      <c r="L2704" s="213"/>
      <c r="M2704" s="213"/>
      <c r="N2704" s="213"/>
      <c r="O2704" s="213"/>
      <c r="P2704" s="213"/>
      <c r="Q2704" s="213"/>
      <c r="R2704" s="213"/>
      <c r="S2704" s="213"/>
      <c r="T2704" s="213"/>
      <c r="U2704" s="213"/>
      <c r="V2704" s="213"/>
      <c r="W2704" s="213"/>
      <c r="X2704" s="213"/>
      <c r="Y2704" s="213"/>
      <c r="Z2704" s="213"/>
      <c r="AA2704" s="213"/>
      <c r="AB2704" s="213"/>
      <c r="AC2704" s="213"/>
      <c r="AD2704" s="213"/>
      <c r="AE2704" s="213"/>
      <c r="AF2704" s="213"/>
      <c r="AG2704" s="213"/>
      <c r="AH2704" s="213"/>
      <c r="AI2704" s="213"/>
      <c r="AJ2704" s="213"/>
      <c r="AK2704" s="213"/>
      <c r="AL2704" s="213"/>
      <c r="AM2704" s="213"/>
      <c r="AN2704" s="213"/>
      <c r="AO2704" s="213"/>
      <c r="AP2704" s="213"/>
      <c r="AQ2704" s="213"/>
      <c r="AR2704" s="213"/>
      <c r="AS2704" s="213"/>
      <c r="AT2704" s="213"/>
      <c r="AU2704" s="213"/>
      <c r="AV2704" s="213"/>
      <c r="AW2704" s="213"/>
      <c r="AX2704" s="213"/>
      <c r="AY2704" s="213"/>
      <c r="AZ2704" s="213"/>
      <c r="BA2704" s="213"/>
      <c r="BB2704" s="213"/>
      <c r="BC2704" s="213"/>
      <c r="BD2704" s="213"/>
    </row>
    <row r="2705">
      <c r="A2705" s="213"/>
      <c r="B2705" s="213"/>
      <c r="C2705" s="213"/>
      <c r="D2705" s="213"/>
      <c r="E2705" s="213"/>
      <c r="F2705" s="213"/>
      <c r="G2705" s="213"/>
      <c r="H2705" s="213"/>
      <c r="I2705" s="213"/>
      <c r="J2705" s="213"/>
      <c r="K2705" s="213"/>
      <c r="L2705" s="213"/>
      <c r="M2705" s="213"/>
      <c r="N2705" s="213"/>
      <c r="O2705" s="213"/>
      <c r="P2705" s="213"/>
      <c r="Q2705" s="213"/>
      <c r="R2705" s="213"/>
      <c r="S2705" s="213"/>
      <c r="T2705" s="213"/>
      <c r="U2705" s="213"/>
      <c r="V2705" s="213"/>
      <c r="W2705" s="213"/>
      <c r="X2705" s="213"/>
      <c r="Y2705" s="213"/>
      <c r="Z2705" s="213"/>
      <c r="AA2705" s="213"/>
      <c r="AB2705" s="213"/>
      <c r="AC2705" s="213"/>
      <c r="AD2705" s="213"/>
      <c r="AE2705" s="213"/>
      <c r="AF2705" s="213"/>
      <c r="AG2705" s="213"/>
      <c r="AH2705" s="213"/>
      <c r="AI2705" s="213"/>
      <c r="AJ2705" s="213"/>
      <c r="AK2705" s="213"/>
      <c r="AL2705" s="213"/>
      <c r="AM2705" s="213"/>
      <c r="AN2705" s="213"/>
      <c r="AO2705" s="213"/>
      <c r="AP2705" s="213"/>
      <c r="AQ2705" s="213"/>
      <c r="AR2705" s="213"/>
      <c r="AS2705" s="213"/>
      <c r="AT2705" s="213"/>
      <c r="AU2705" s="213"/>
      <c r="AV2705" s="213"/>
      <c r="AW2705" s="213"/>
      <c r="AX2705" s="213"/>
      <c r="AY2705" s="213"/>
      <c r="AZ2705" s="213"/>
      <c r="BA2705" s="213"/>
      <c r="BB2705" s="213"/>
      <c r="BC2705" s="213"/>
      <c r="BD2705" s="213"/>
    </row>
    <row r="2706">
      <c r="A2706" s="213"/>
      <c r="B2706" s="213"/>
      <c r="C2706" s="213"/>
      <c r="D2706" s="213"/>
      <c r="E2706" s="213"/>
      <c r="F2706" s="213"/>
      <c r="G2706" s="213"/>
      <c r="H2706" s="213"/>
      <c r="I2706" s="213"/>
      <c r="J2706" s="213"/>
      <c r="K2706" s="213"/>
      <c r="L2706" s="213"/>
      <c r="M2706" s="213"/>
      <c r="N2706" s="213"/>
      <c r="O2706" s="213"/>
      <c r="P2706" s="213"/>
      <c r="Q2706" s="213"/>
      <c r="R2706" s="213"/>
      <c r="S2706" s="213"/>
      <c r="T2706" s="213"/>
      <c r="U2706" s="213"/>
      <c r="V2706" s="213"/>
      <c r="W2706" s="213"/>
      <c r="X2706" s="213"/>
      <c r="Y2706" s="213"/>
      <c r="Z2706" s="213"/>
      <c r="AA2706" s="213"/>
      <c r="AB2706" s="213"/>
      <c r="AC2706" s="213"/>
      <c r="AD2706" s="213"/>
      <c r="AE2706" s="213"/>
      <c r="AF2706" s="213"/>
      <c r="AG2706" s="213"/>
      <c r="AH2706" s="213"/>
      <c r="AI2706" s="213"/>
      <c r="AJ2706" s="213"/>
      <c r="AK2706" s="213"/>
      <c r="AL2706" s="213"/>
      <c r="AM2706" s="213"/>
      <c r="AN2706" s="213"/>
      <c r="AO2706" s="213"/>
      <c r="AP2706" s="213"/>
      <c r="AQ2706" s="213"/>
      <c r="AR2706" s="213"/>
      <c r="AS2706" s="213"/>
      <c r="AT2706" s="213"/>
      <c r="AU2706" s="213"/>
      <c r="AV2706" s="213"/>
      <c r="AW2706" s="213"/>
      <c r="AX2706" s="213"/>
      <c r="AY2706" s="213"/>
      <c r="AZ2706" s="213"/>
      <c r="BA2706" s="213"/>
      <c r="BB2706" s="213"/>
      <c r="BC2706" s="213"/>
      <c r="BD2706" s="213"/>
    </row>
    <row r="2707">
      <c r="A2707" s="213"/>
      <c r="B2707" s="213"/>
      <c r="C2707" s="213"/>
      <c r="D2707" s="213"/>
      <c r="E2707" s="213"/>
      <c r="F2707" s="213"/>
      <c r="G2707" s="213"/>
      <c r="H2707" s="213"/>
      <c r="I2707" s="213"/>
      <c r="J2707" s="213"/>
      <c r="K2707" s="213"/>
      <c r="L2707" s="213"/>
      <c r="M2707" s="213"/>
      <c r="N2707" s="213"/>
      <c r="O2707" s="213"/>
      <c r="P2707" s="213"/>
      <c r="Q2707" s="213"/>
      <c r="R2707" s="213"/>
      <c r="S2707" s="213"/>
      <c r="T2707" s="213"/>
      <c r="U2707" s="213"/>
      <c r="V2707" s="213"/>
      <c r="W2707" s="213"/>
      <c r="X2707" s="213"/>
      <c r="Y2707" s="213"/>
      <c r="Z2707" s="213"/>
      <c r="AA2707" s="213"/>
      <c r="AB2707" s="213"/>
      <c r="AC2707" s="213"/>
      <c r="AD2707" s="213"/>
      <c r="AE2707" s="213"/>
      <c r="AF2707" s="213"/>
      <c r="AG2707" s="213"/>
      <c r="AH2707" s="213"/>
      <c r="AI2707" s="213"/>
      <c r="AJ2707" s="213"/>
      <c r="AK2707" s="213"/>
      <c r="AL2707" s="213"/>
      <c r="AM2707" s="213"/>
      <c r="AN2707" s="213"/>
      <c r="AO2707" s="213"/>
      <c r="AP2707" s="213"/>
      <c r="AQ2707" s="213"/>
      <c r="AR2707" s="213"/>
      <c r="AS2707" s="213"/>
      <c r="AT2707" s="213"/>
      <c r="AU2707" s="213"/>
      <c r="AV2707" s="213"/>
      <c r="AW2707" s="213"/>
      <c r="AX2707" s="213"/>
      <c r="AY2707" s="213"/>
      <c r="AZ2707" s="213"/>
      <c r="BA2707" s="213"/>
      <c r="BB2707" s="213"/>
      <c r="BC2707" s="213"/>
      <c r="BD2707" s="213"/>
    </row>
    <row r="2708">
      <c r="A2708" s="213"/>
      <c r="B2708" s="213"/>
      <c r="C2708" s="213"/>
      <c r="D2708" s="213"/>
      <c r="E2708" s="213"/>
      <c r="F2708" s="213"/>
      <c r="G2708" s="213"/>
      <c r="H2708" s="213"/>
      <c r="I2708" s="213"/>
      <c r="J2708" s="213"/>
      <c r="K2708" s="213"/>
      <c r="L2708" s="213"/>
      <c r="M2708" s="213"/>
      <c r="N2708" s="213"/>
      <c r="O2708" s="213"/>
      <c r="P2708" s="213"/>
      <c r="Q2708" s="213"/>
      <c r="R2708" s="213"/>
      <c r="S2708" s="213"/>
      <c r="T2708" s="213"/>
      <c r="U2708" s="213"/>
      <c r="V2708" s="213"/>
      <c r="W2708" s="213"/>
      <c r="X2708" s="213"/>
      <c r="Y2708" s="213"/>
      <c r="Z2708" s="213"/>
      <c r="AA2708" s="213"/>
      <c r="AB2708" s="213"/>
      <c r="AC2708" s="213"/>
      <c r="AD2708" s="213"/>
      <c r="AE2708" s="213"/>
      <c r="AF2708" s="213"/>
      <c r="AG2708" s="213"/>
      <c r="AH2708" s="213"/>
      <c r="AI2708" s="213"/>
      <c r="AJ2708" s="213"/>
      <c r="AK2708" s="213"/>
      <c r="AL2708" s="213"/>
      <c r="AM2708" s="213"/>
      <c r="AN2708" s="213"/>
      <c r="AO2708" s="213"/>
      <c r="AP2708" s="213"/>
      <c r="AQ2708" s="213"/>
      <c r="AR2708" s="213"/>
      <c r="AS2708" s="213"/>
      <c r="AT2708" s="213"/>
      <c r="AU2708" s="213"/>
      <c r="AV2708" s="213"/>
      <c r="AW2708" s="213"/>
      <c r="AX2708" s="213"/>
      <c r="AY2708" s="213"/>
      <c r="AZ2708" s="213"/>
      <c r="BA2708" s="213"/>
      <c r="BB2708" s="213"/>
      <c r="BC2708" s="213"/>
      <c r="BD2708" s="213"/>
    </row>
    <row r="2709">
      <c r="A2709" s="213"/>
      <c r="B2709" s="213"/>
      <c r="C2709" s="213"/>
      <c r="D2709" s="213"/>
      <c r="E2709" s="213"/>
      <c r="F2709" s="213"/>
      <c r="G2709" s="213"/>
      <c r="H2709" s="213"/>
      <c r="I2709" s="213"/>
      <c r="J2709" s="213"/>
      <c r="K2709" s="213"/>
      <c r="L2709" s="213"/>
      <c r="M2709" s="213"/>
      <c r="N2709" s="213"/>
      <c r="O2709" s="213"/>
      <c r="P2709" s="213"/>
      <c r="Q2709" s="213"/>
      <c r="R2709" s="213"/>
      <c r="S2709" s="213"/>
      <c r="T2709" s="213"/>
      <c r="U2709" s="213"/>
      <c r="V2709" s="213"/>
      <c r="W2709" s="213"/>
      <c r="X2709" s="213"/>
      <c r="Y2709" s="213"/>
      <c r="Z2709" s="213"/>
      <c r="AA2709" s="213"/>
      <c r="AB2709" s="213"/>
      <c r="AC2709" s="213"/>
      <c r="AD2709" s="213"/>
      <c r="AE2709" s="213"/>
      <c r="AF2709" s="213"/>
      <c r="AG2709" s="213"/>
      <c r="AH2709" s="213"/>
      <c r="AI2709" s="213"/>
      <c r="AJ2709" s="213"/>
      <c r="AK2709" s="213"/>
      <c r="AL2709" s="213"/>
      <c r="AM2709" s="213"/>
      <c r="AN2709" s="213"/>
      <c r="AO2709" s="213"/>
      <c r="AP2709" s="213"/>
      <c r="AQ2709" s="213"/>
      <c r="AR2709" s="213"/>
      <c r="AS2709" s="213"/>
      <c r="AT2709" s="213"/>
      <c r="AU2709" s="213"/>
      <c r="AV2709" s="213"/>
      <c r="AW2709" s="213"/>
      <c r="AX2709" s="213"/>
      <c r="AY2709" s="213"/>
      <c r="AZ2709" s="213"/>
      <c r="BA2709" s="213"/>
      <c r="BB2709" s="213"/>
      <c r="BC2709" s="213"/>
      <c r="BD2709" s="213"/>
    </row>
    <row r="2710">
      <c r="A2710" s="213"/>
      <c r="B2710" s="213"/>
      <c r="C2710" s="213"/>
      <c r="D2710" s="213"/>
      <c r="E2710" s="213"/>
      <c r="F2710" s="213"/>
      <c r="G2710" s="213"/>
      <c r="H2710" s="213"/>
      <c r="I2710" s="213"/>
      <c r="J2710" s="213"/>
      <c r="K2710" s="213"/>
      <c r="L2710" s="213"/>
      <c r="M2710" s="213"/>
      <c r="N2710" s="213"/>
      <c r="O2710" s="213"/>
      <c r="P2710" s="213"/>
      <c r="Q2710" s="213"/>
      <c r="R2710" s="213"/>
      <c r="S2710" s="213"/>
      <c r="T2710" s="213"/>
      <c r="U2710" s="213"/>
      <c r="V2710" s="213"/>
      <c r="W2710" s="213"/>
      <c r="X2710" s="213"/>
      <c r="Y2710" s="213"/>
      <c r="Z2710" s="213"/>
      <c r="AA2710" s="213"/>
      <c r="AB2710" s="213"/>
      <c r="AC2710" s="213"/>
      <c r="AD2710" s="213"/>
      <c r="AE2710" s="213"/>
      <c r="AF2710" s="213"/>
      <c r="AG2710" s="213"/>
      <c r="AH2710" s="213"/>
      <c r="AI2710" s="213"/>
      <c r="AJ2710" s="213"/>
      <c r="AK2710" s="213"/>
      <c r="AL2710" s="213"/>
      <c r="AM2710" s="213"/>
      <c r="AN2710" s="213"/>
      <c r="AO2710" s="213"/>
      <c r="AP2710" s="213"/>
      <c r="AQ2710" s="213"/>
      <c r="AR2710" s="213"/>
      <c r="AS2710" s="213"/>
      <c r="AT2710" s="213"/>
      <c r="AU2710" s="213"/>
      <c r="AV2710" s="213"/>
      <c r="AW2710" s="213"/>
      <c r="AX2710" s="213"/>
      <c r="AY2710" s="213"/>
      <c r="AZ2710" s="213"/>
      <c r="BA2710" s="213"/>
      <c r="BB2710" s="213"/>
      <c r="BC2710" s="213"/>
      <c r="BD2710" s="213"/>
    </row>
    <row r="2711">
      <c r="A2711" s="213"/>
      <c r="B2711" s="213"/>
      <c r="C2711" s="213"/>
      <c r="D2711" s="213"/>
      <c r="E2711" s="213"/>
      <c r="F2711" s="213"/>
      <c r="G2711" s="213"/>
      <c r="H2711" s="213"/>
      <c r="I2711" s="213"/>
      <c r="J2711" s="213"/>
      <c r="K2711" s="213"/>
      <c r="L2711" s="213"/>
      <c r="M2711" s="213"/>
      <c r="N2711" s="213"/>
      <c r="O2711" s="213"/>
      <c r="P2711" s="213"/>
      <c r="Q2711" s="213"/>
      <c r="R2711" s="213"/>
      <c r="S2711" s="213"/>
      <c r="T2711" s="213"/>
      <c r="U2711" s="213"/>
      <c r="V2711" s="213"/>
      <c r="W2711" s="213"/>
      <c r="X2711" s="213"/>
      <c r="Y2711" s="213"/>
      <c r="Z2711" s="213"/>
      <c r="AA2711" s="213"/>
      <c r="AB2711" s="213"/>
      <c r="AC2711" s="213"/>
      <c r="AD2711" s="213"/>
      <c r="AE2711" s="213"/>
      <c r="AF2711" s="213"/>
      <c r="AG2711" s="213"/>
      <c r="AH2711" s="213"/>
      <c r="AI2711" s="213"/>
      <c r="AJ2711" s="213"/>
      <c r="AK2711" s="213"/>
      <c r="AL2711" s="213"/>
      <c r="AM2711" s="213"/>
      <c r="AN2711" s="213"/>
      <c r="AO2711" s="213"/>
      <c r="AP2711" s="213"/>
      <c r="AQ2711" s="213"/>
      <c r="AR2711" s="213"/>
      <c r="AS2711" s="213"/>
      <c r="AT2711" s="213"/>
      <c r="AU2711" s="213"/>
      <c r="AV2711" s="213"/>
      <c r="AW2711" s="213"/>
      <c r="AX2711" s="213"/>
      <c r="AY2711" s="213"/>
      <c r="AZ2711" s="213"/>
      <c r="BA2711" s="213"/>
      <c r="BB2711" s="213"/>
      <c r="BC2711" s="213"/>
      <c r="BD2711" s="213"/>
    </row>
    <row r="2712">
      <c r="A2712" s="213"/>
      <c r="B2712" s="213"/>
      <c r="C2712" s="213"/>
      <c r="D2712" s="213"/>
      <c r="E2712" s="213"/>
      <c r="F2712" s="213"/>
      <c r="G2712" s="213"/>
      <c r="H2712" s="213"/>
      <c r="I2712" s="213"/>
      <c r="J2712" s="213"/>
      <c r="K2712" s="213"/>
      <c r="L2712" s="213"/>
      <c r="M2712" s="213"/>
      <c r="N2712" s="213"/>
      <c r="O2712" s="213"/>
      <c r="P2712" s="213"/>
      <c r="Q2712" s="213"/>
      <c r="R2712" s="213"/>
      <c r="S2712" s="213"/>
      <c r="T2712" s="213"/>
      <c r="U2712" s="213"/>
      <c r="V2712" s="213"/>
      <c r="W2712" s="213"/>
      <c r="X2712" s="213"/>
      <c r="Y2712" s="213"/>
      <c r="Z2712" s="213"/>
      <c r="AA2712" s="213"/>
      <c r="AB2712" s="213"/>
      <c r="AC2712" s="213"/>
      <c r="AD2712" s="213"/>
      <c r="AE2712" s="213"/>
      <c r="AF2712" s="213"/>
      <c r="AG2712" s="213"/>
      <c r="AH2712" s="213"/>
      <c r="AI2712" s="213"/>
      <c r="AJ2712" s="213"/>
      <c r="AK2712" s="213"/>
      <c r="AL2712" s="213"/>
      <c r="AM2712" s="213"/>
      <c r="AN2712" s="213"/>
      <c r="AO2712" s="213"/>
      <c r="AP2712" s="213"/>
      <c r="AQ2712" s="213"/>
      <c r="AR2712" s="213"/>
      <c r="AS2712" s="213"/>
      <c r="AT2712" s="213"/>
      <c r="AU2712" s="213"/>
      <c r="AV2712" s="213"/>
      <c r="AW2712" s="213"/>
      <c r="AX2712" s="213"/>
      <c r="AY2712" s="213"/>
      <c r="AZ2712" s="213"/>
      <c r="BA2712" s="213"/>
      <c r="BB2712" s="213"/>
      <c r="BC2712" s="213"/>
      <c r="BD2712" s="213"/>
    </row>
    <row r="2713">
      <c r="A2713" s="213"/>
      <c r="B2713" s="213"/>
      <c r="C2713" s="213"/>
      <c r="D2713" s="213"/>
      <c r="E2713" s="213"/>
      <c r="F2713" s="213"/>
      <c r="G2713" s="213"/>
      <c r="H2713" s="213"/>
      <c r="I2713" s="213"/>
      <c r="J2713" s="213"/>
      <c r="K2713" s="213"/>
      <c r="L2713" s="213"/>
      <c r="M2713" s="213"/>
      <c r="N2713" s="213"/>
      <c r="O2713" s="213"/>
      <c r="P2713" s="213"/>
      <c r="Q2713" s="213"/>
      <c r="R2713" s="213"/>
      <c r="S2713" s="213"/>
      <c r="T2713" s="213"/>
      <c r="U2713" s="213"/>
      <c r="V2713" s="213"/>
      <c r="W2713" s="213"/>
      <c r="X2713" s="213"/>
      <c r="Y2713" s="213"/>
      <c r="Z2713" s="213"/>
      <c r="AA2713" s="213"/>
      <c r="AB2713" s="213"/>
      <c r="AC2713" s="213"/>
      <c r="AD2713" s="213"/>
      <c r="AE2713" s="213"/>
      <c r="AF2713" s="213"/>
      <c r="AG2713" s="213"/>
      <c r="AH2713" s="213"/>
      <c r="AI2713" s="213"/>
      <c r="AJ2713" s="213"/>
      <c r="AK2713" s="213"/>
      <c r="AL2713" s="213"/>
      <c r="AM2713" s="213"/>
      <c r="AN2713" s="213"/>
      <c r="AO2713" s="213"/>
      <c r="AP2713" s="213"/>
      <c r="AQ2713" s="213"/>
      <c r="AR2713" s="213"/>
      <c r="AS2713" s="213"/>
      <c r="AT2713" s="213"/>
      <c r="AU2713" s="213"/>
      <c r="AV2713" s="213"/>
      <c r="AW2713" s="213"/>
      <c r="AX2713" s="213"/>
      <c r="AY2713" s="213"/>
      <c r="AZ2713" s="213"/>
      <c r="BA2713" s="213"/>
      <c r="BB2713" s="213"/>
      <c r="BC2713" s="213"/>
      <c r="BD2713" s="213"/>
    </row>
    <row r="2714">
      <c r="A2714" s="213"/>
      <c r="B2714" s="213"/>
      <c r="C2714" s="213"/>
      <c r="D2714" s="213"/>
      <c r="E2714" s="213"/>
      <c r="F2714" s="213"/>
      <c r="G2714" s="213"/>
      <c r="H2714" s="213"/>
      <c r="I2714" s="213"/>
      <c r="J2714" s="213"/>
      <c r="K2714" s="213"/>
      <c r="L2714" s="213"/>
      <c r="M2714" s="213"/>
      <c r="N2714" s="213"/>
      <c r="O2714" s="213"/>
      <c r="P2714" s="213"/>
      <c r="Q2714" s="213"/>
      <c r="R2714" s="213"/>
      <c r="S2714" s="213"/>
      <c r="T2714" s="213"/>
      <c r="U2714" s="213"/>
      <c r="V2714" s="213"/>
      <c r="W2714" s="213"/>
      <c r="X2714" s="213"/>
      <c r="Y2714" s="213"/>
      <c r="Z2714" s="213"/>
      <c r="AA2714" s="213"/>
      <c r="AB2714" s="213"/>
      <c r="AC2714" s="213"/>
      <c r="AD2714" s="213"/>
      <c r="AE2714" s="213"/>
      <c r="AF2714" s="213"/>
      <c r="AG2714" s="213"/>
      <c r="AH2714" s="213"/>
      <c r="AI2714" s="213"/>
      <c r="AJ2714" s="213"/>
      <c r="AK2714" s="213"/>
      <c r="AL2714" s="213"/>
      <c r="AM2714" s="213"/>
      <c r="AN2714" s="213"/>
      <c r="AO2714" s="213"/>
      <c r="AP2714" s="213"/>
      <c r="AQ2714" s="213"/>
      <c r="AR2714" s="213"/>
      <c r="AS2714" s="213"/>
      <c r="AT2714" s="213"/>
      <c r="AU2714" s="213"/>
      <c r="AV2714" s="213"/>
      <c r="AW2714" s="213"/>
      <c r="AX2714" s="213"/>
      <c r="AY2714" s="213"/>
      <c r="AZ2714" s="213"/>
      <c r="BA2714" s="213"/>
      <c r="BB2714" s="213"/>
      <c r="BC2714" s="213"/>
      <c r="BD2714" s="213"/>
    </row>
    <row r="2715">
      <c r="A2715" s="213"/>
      <c r="B2715" s="213"/>
      <c r="C2715" s="213"/>
      <c r="D2715" s="213"/>
      <c r="E2715" s="213"/>
      <c r="F2715" s="213"/>
      <c r="G2715" s="213"/>
      <c r="H2715" s="213"/>
      <c r="I2715" s="213"/>
      <c r="J2715" s="213"/>
      <c r="K2715" s="213"/>
      <c r="L2715" s="213"/>
      <c r="M2715" s="213"/>
      <c r="N2715" s="213"/>
      <c r="O2715" s="213"/>
      <c r="P2715" s="213"/>
      <c r="Q2715" s="213"/>
      <c r="R2715" s="213"/>
      <c r="S2715" s="213"/>
      <c r="T2715" s="213"/>
      <c r="U2715" s="213"/>
      <c r="V2715" s="213"/>
      <c r="W2715" s="213"/>
      <c r="X2715" s="213"/>
      <c r="Y2715" s="213"/>
      <c r="Z2715" s="213"/>
      <c r="AA2715" s="213"/>
      <c r="AB2715" s="213"/>
      <c r="AC2715" s="213"/>
      <c r="AD2715" s="213"/>
      <c r="AE2715" s="213"/>
      <c r="AF2715" s="213"/>
      <c r="AG2715" s="213"/>
      <c r="AH2715" s="213"/>
      <c r="AI2715" s="213"/>
      <c r="AJ2715" s="213"/>
      <c r="AK2715" s="213"/>
      <c r="AL2715" s="213"/>
      <c r="AM2715" s="213"/>
      <c r="AN2715" s="213"/>
      <c r="AO2715" s="213"/>
      <c r="AP2715" s="213"/>
      <c r="AQ2715" s="213"/>
      <c r="AR2715" s="213"/>
      <c r="AS2715" s="213"/>
      <c r="AT2715" s="213"/>
      <c r="AU2715" s="213"/>
      <c r="AV2715" s="213"/>
      <c r="AW2715" s="213"/>
      <c r="AX2715" s="213"/>
      <c r="AY2715" s="213"/>
      <c r="AZ2715" s="213"/>
      <c r="BA2715" s="213"/>
      <c r="BB2715" s="213"/>
      <c r="BC2715" s="213"/>
      <c r="BD2715" s="213"/>
    </row>
    <row r="2716">
      <c r="A2716" s="213"/>
      <c r="B2716" s="213"/>
      <c r="C2716" s="213"/>
      <c r="D2716" s="213"/>
      <c r="E2716" s="213"/>
      <c r="F2716" s="213"/>
      <c r="G2716" s="213"/>
      <c r="H2716" s="213"/>
      <c r="I2716" s="213"/>
      <c r="J2716" s="213"/>
      <c r="K2716" s="213"/>
      <c r="L2716" s="213"/>
      <c r="M2716" s="213"/>
      <c r="N2716" s="213"/>
      <c r="O2716" s="213"/>
      <c r="P2716" s="213"/>
      <c r="Q2716" s="213"/>
      <c r="R2716" s="213"/>
      <c r="S2716" s="213"/>
      <c r="T2716" s="213"/>
      <c r="U2716" s="213"/>
      <c r="V2716" s="213"/>
      <c r="W2716" s="213"/>
      <c r="X2716" s="213"/>
      <c r="Y2716" s="213"/>
      <c r="Z2716" s="213"/>
      <c r="AA2716" s="213"/>
      <c r="AB2716" s="213"/>
      <c r="AC2716" s="213"/>
      <c r="AD2716" s="213"/>
      <c r="AE2716" s="213"/>
      <c r="AF2716" s="213"/>
      <c r="AG2716" s="213"/>
      <c r="AH2716" s="213"/>
      <c r="AI2716" s="213"/>
      <c r="AJ2716" s="213"/>
      <c r="AK2716" s="213"/>
      <c r="AL2716" s="213"/>
      <c r="AM2716" s="213"/>
      <c r="AN2716" s="213"/>
      <c r="AO2716" s="213"/>
      <c r="AP2716" s="213"/>
      <c r="AQ2716" s="213"/>
      <c r="AR2716" s="213"/>
      <c r="AS2716" s="213"/>
      <c r="AT2716" s="213"/>
      <c r="AU2716" s="213"/>
      <c r="AV2716" s="213"/>
      <c r="AW2716" s="213"/>
      <c r="AX2716" s="213"/>
      <c r="AY2716" s="213"/>
      <c r="AZ2716" s="213"/>
      <c r="BA2716" s="213"/>
      <c r="BB2716" s="213"/>
      <c r="BC2716" s="213"/>
      <c r="BD2716" s="213"/>
    </row>
    <row r="2717">
      <c r="A2717" s="213"/>
      <c r="B2717" s="213"/>
      <c r="C2717" s="213"/>
      <c r="D2717" s="213"/>
      <c r="E2717" s="213"/>
      <c r="F2717" s="213"/>
      <c r="G2717" s="213"/>
      <c r="H2717" s="213"/>
      <c r="I2717" s="213"/>
      <c r="J2717" s="213"/>
      <c r="K2717" s="213"/>
      <c r="L2717" s="213"/>
      <c r="M2717" s="213"/>
      <c r="N2717" s="213"/>
      <c r="O2717" s="213"/>
      <c r="P2717" s="213"/>
      <c r="Q2717" s="213"/>
      <c r="R2717" s="213"/>
      <c r="S2717" s="213"/>
      <c r="T2717" s="213"/>
      <c r="U2717" s="213"/>
      <c r="V2717" s="213"/>
      <c r="W2717" s="213"/>
      <c r="X2717" s="213"/>
      <c r="Y2717" s="213"/>
      <c r="Z2717" s="213"/>
      <c r="AA2717" s="213"/>
      <c r="AB2717" s="213"/>
      <c r="AC2717" s="213"/>
      <c r="AD2717" s="213"/>
      <c r="AE2717" s="213"/>
      <c r="AF2717" s="213"/>
      <c r="AG2717" s="213"/>
      <c r="AH2717" s="213"/>
      <c r="AI2717" s="213"/>
      <c r="AJ2717" s="213"/>
      <c r="AK2717" s="213"/>
      <c r="AL2717" s="213"/>
      <c r="AM2717" s="213"/>
      <c r="AN2717" s="213"/>
      <c r="AO2717" s="213"/>
      <c r="AP2717" s="213"/>
      <c r="AQ2717" s="213"/>
      <c r="AR2717" s="213"/>
      <c r="AS2717" s="213"/>
      <c r="AT2717" s="213"/>
      <c r="AU2717" s="213"/>
      <c r="AV2717" s="213"/>
      <c r="AW2717" s="213"/>
      <c r="AX2717" s="213"/>
      <c r="AY2717" s="213"/>
      <c r="AZ2717" s="213"/>
      <c r="BA2717" s="213"/>
      <c r="BB2717" s="213"/>
      <c r="BC2717" s="213"/>
      <c r="BD2717" s="213"/>
    </row>
    <row r="2718">
      <c r="A2718" s="213"/>
      <c r="B2718" s="213"/>
      <c r="C2718" s="213"/>
      <c r="D2718" s="213"/>
      <c r="E2718" s="213"/>
      <c r="F2718" s="213"/>
      <c r="G2718" s="213"/>
      <c r="H2718" s="213"/>
      <c r="I2718" s="213"/>
      <c r="J2718" s="213"/>
      <c r="K2718" s="213"/>
      <c r="L2718" s="213"/>
      <c r="M2718" s="213"/>
      <c r="N2718" s="213"/>
      <c r="O2718" s="213"/>
      <c r="P2718" s="213"/>
      <c r="Q2718" s="213"/>
      <c r="R2718" s="213"/>
      <c r="S2718" s="213"/>
      <c r="T2718" s="213"/>
      <c r="U2718" s="213"/>
      <c r="V2718" s="213"/>
      <c r="W2718" s="213"/>
      <c r="X2718" s="213"/>
      <c r="Y2718" s="213"/>
      <c r="Z2718" s="213"/>
      <c r="AA2718" s="213"/>
      <c r="AB2718" s="213"/>
      <c r="AC2718" s="213"/>
      <c r="AD2718" s="213"/>
      <c r="AE2718" s="213"/>
      <c r="AF2718" s="213"/>
      <c r="AG2718" s="213"/>
      <c r="AH2718" s="213"/>
      <c r="AI2718" s="213"/>
      <c r="AJ2718" s="213"/>
      <c r="AK2718" s="213"/>
      <c r="AL2718" s="213"/>
      <c r="AM2718" s="213"/>
      <c r="AN2718" s="213"/>
      <c r="AO2718" s="213"/>
      <c r="AP2718" s="213"/>
      <c r="AQ2718" s="213"/>
      <c r="AR2718" s="213"/>
      <c r="AS2718" s="213"/>
      <c r="AT2718" s="213"/>
      <c r="AU2718" s="213"/>
      <c r="AV2718" s="213"/>
      <c r="AW2718" s="213"/>
      <c r="AX2718" s="213"/>
      <c r="AY2718" s="213"/>
      <c r="AZ2718" s="213"/>
      <c r="BA2718" s="213"/>
      <c r="BB2718" s="213"/>
      <c r="BC2718" s="213"/>
      <c r="BD2718" s="213"/>
    </row>
    <row r="2719">
      <c r="A2719" s="213"/>
      <c r="B2719" s="213"/>
      <c r="C2719" s="213"/>
      <c r="D2719" s="213"/>
      <c r="E2719" s="213"/>
      <c r="F2719" s="213"/>
      <c r="G2719" s="213"/>
      <c r="H2719" s="213"/>
      <c r="I2719" s="213"/>
      <c r="J2719" s="213"/>
      <c r="K2719" s="213"/>
      <c r="L2719" s="213"/>
      <c r="M2719" s="213"/>
      <c r="N2719" s="213"/>
      <c r="O2719" s="213"/>
      <c r="P2719" s="213"/>
      <c r="Q2719" s="213"/>
      <c r="R2719" s="213"/>
      <c r="S2719" s="213"/>
      <c r="T2719" s="213"/>
      <c r="U2719" s="213"/>
      <c r="V2719" s="213"/>
      <c r="W2719" s="213"/>
      <c r="X2719" s="213"/>
      <c r="Y2719" s="213"/>
      <c r="Z2719" s="213"/>
      <c r="AA2719" s="213"/>
      <c r="AB2719" s="213"/>
      <c r="AC2719" s="213"/>
      <c r="AD2719" s="213"/>
      <c r="AE2719" s="213"/>
      <c r="AF2719" s="213"/>
      <c r="AG2719" s="213"/>
      <c r="AH2719" s="213"/>
      <c r="AI2719" s="213"/>
      <c r="AJ2719" s="213"/>
      <c r="AK2719" s="213"/>
      <c r="AL2719" s="213"/>
      <c r="AM2719" s="213"/>
      <c r="AN2719" s="213"/>
      <c r="AO2719" s="213"/>
      <c r="AP2719" s="213"/>
      <c r="AQ2719" s="213"/>
      <c r="AR2719" s="213"/>
      <c r="AS2719" s="213"/>
      <c r="AT2719" s="213"/>
      <c r="AU2719" s="213"/>
      <c r="AV2719" s="213"/>
      <c r="AW2719" s="213"/>
      <c r="AX2719" s="213"/>
      <c r="AY2719" s="213"/>
      <c r="AZ2719" s="213"/>
      <c r="BA2719" s="213"/>
      <c r="BB2719" s="213"/>
      <c r="BC2719" s="213"/>
      <c r="BD2719" s="213"/>
    </row>
    <row r="2720">
      <c r="A2720" s="213"/>
      <c r="B2720" s="213"/>
      <c r="C2720" s="213"/>
      <c r="D2720" s="213"/>
      <c r="E2720" s="213"/>
      <c r="F2720" s="213"/>
      <c r="G2720" s="213"/>
      <c r="H2720" s="213"/>
      <c r="I2720" s="213"/>
      <c r="J2720" s="213"/>
      <c r="K2720" s="213"/>
      <c r="L2720" s="213"/>
      <c r="M2720" s="213"/>
      <c r="N2720" s="213"/>
      <c r="O2720" s="213"/>
      <c r="P2720" s="213"/>
      <c r="Q2720" s="213"/>
      <c r="R2720" s="213"/>
      <c r="S2720" s="213"/>
      <c r="T2720" s="213"/>
      <c r="U2720" s="213"/>
      <c r="V2720" s="213"/>
      <c r="W2720" s="213"/>
      <c r="X2720" s="213"/>
      <c r="Y2720" s="213"/>
      <c r="Z2720" s="213"/>
      <c r="AA2720" s="213"/>
      <c r="AB2720" s="213"/>
      <c r="AC2720" s="213"/>
      <c r="AD2720" s="213"/>
      <c r="AE2720" s="213"/>
      <c r="AF2720" s="213"/>
      <c r="AG2720" s="213"/>
      <c r="AH2720" s="213"/>
      <c r="AI2720" s="213"/>
      <c r="AJ2720" s="213"/>
      <c r="AK2720" s="213"/>
      <c r="AL2720" s="213"/>
      <c r="AM2720" s="213"/>
      <c r="AN2720" s="213"/>
      <c r="AO2720" s="213"/>
      <c r="AP2720" s="213"/>
      <c r="AQ2720" s="213"/>
      <c r="AR2720" s="213"/>
      <c r="AS2720" s="213"/>
      <c r="AT2720" s="213"/>
      <c r="AU2720" s="213"/>
      <c r="AV2720" s="213"/>
      <c r="AW2720" s="213"/>
      <c r="AX2720" s="213"/>
      <c r="AY2720" s="213"/>
      <c r="AZ2720" s="213"/>
      <c r="BA2720" s="213"/>
      <c r="BB2720" s="213"/>
      <c r="BC2720" s="213"/>
      <c r="BD2720" s="213"/>
    </row>
    <row r="2721">
      <c r="A2721" s="213"/>
      <c r="B2721" s="213"/>
      <c r="C2721" s="213"/>
      <c r="D2721" s="213"/>
      <c r="E2721" s="213"/>
      <c r="F2721" s="213"/>
      <c r="G2721" s="213"/>
      <c r="H2721" s="213"/>
      <c r="I2721" s="213"/>
      <c r="J2721" s="213"/>
      <c r="K2721" s="213"/>
      <c r="L2721" s="213"/>
      <c r="M2721" s="213"/>
      <c r="N2721" s="213"/>
      <c r="O2721" s="213"/>
      <c r="P2721" s="213"/>
      <c r="Q2721" s="213"/>
      <c r="R2721" s="213"/>
      <c r="S2721" s="213"/>
      <c r="T2721" s="213"/>
      <c r="U2721" s="213"/>
      <c r="V2721" s="213"/>
      <c r="W2721" s="213"/>
      <c r="X2721" s="213"/>
      <c r="Y2721" s="213"/>
      <c r="Z2721" s="213"/>
      <c r="AA2721" s="213"/>
      <c r="AB2721" s="213"/>
      <c r="AC2721" s="213"/>
      <c r="AD2721" s="213"/>
      <c r="AE2721" s="213"/>
      <c r="AF2721" s="213"/>
      <c r="AG2721" s="213"/>
      <c r="AH2721" s="213"/>
      <c r="AI2721" s="213"/>
      <c r="AJ2721" s="213"/>
      <c r="AK2721" s="213"/>
      <c r="AL2721" s="213"/>
      <c r="AM2721" s="213"/>
      <c r="AN2721" s="213"/>
      <c r="AO2721" s="213"/>
      <c r="AP2721" s="213"/>
      <c r="AQ2721" s="213"/>
      <c r="AR2721" s="213"/>
      <c r="AS2721" s="213"/>
      <c r="AT2721" s="213"/>
      <c r="AU2721" s="213"/>
      <c r="AV2721" s="213"/>
      <c r="AW2721" s="213"/>
      <c r="AX2721" s="213"/>
      <c r="AY2721" s="213"/>
      <c r="AZ2721" s="213"/>
      <c r="BA2721" s="213"/>
      <c r="BB2721" s="213"/>
      <c r="BC2721" s="213"/>
      <c r="BD2721" s="213"/>
    </row>
    <row r="2722">
      <c r="A2722" s="213"/>
      <c r="B2722" s="213"/>
      <c r="C2722" s="213"/>
      <c r="D2722" s="213"/>
      <c r="E2722" s="213"/>
      <c r="F2722" s="213"/>
      <c r="G2722" s="213"/>
      <c r="H2722" s="213"/>
      <c r="I2722" s="213"/>
      <c r="J2722" s="213"/>
      <c r="K2722" s="213"/>
      <c r="L2722" s="213"/>
      <c r="M2722" s="213"/>
      <c r="N2722" s="213"/>
      <c r="O2722" s="213"/>
      <c r="P2722" s="213"/>
      <c r="Q2722" s="213"/>
      <c r="R2722" s="213"/>
      <c r="S2722" s="213"/>
      <c r="T2722" s="213"/>
      <c r="U2722" s="213"/>
      <c r="V2722" s="213"/>
      <c r="W2722" s="213"/>
      <c r="X2722" s="213"/>
      <c r="Y2722" s="213"/>
      <c r="Z2722" s="213"/>
      <c r="AA2722" s="213"/>
      <c r="AB2722" s="213"/>
      <c r="AC2722" s="213"/>
      <c r="AD2722" s="213"/>
      <c r="AE2722" s="213"/>
      <c r="AF2722" s="213"/>
      <c r="AG2722" s="213"/>
      <c r="AH2722" s="213"/>
      <c r="AI2722" s="213"/>
      <c r="AJ2722" s="213"/>
      <c r="AK2722" s="213"/>
      <c r="AL2722" s="213"/>
      <c r="AM2722" s="213"/>
      <c r="AN2722" s="213"/>
      <c r="AO2722" s="213"/>
      <c r="AP2722" s="213"/>
      <c r="AQ2722" s="213"/>
      <c r="AR2722" s="213"/>
      <c r="AS2722" s="213"/>
      <c r="AT2722" s="213"/>
      <c r="AU2722" s="213"/>
      <c r="AV2722" s="213"/>
      <c r="AW2722" s="213"/>
      <c r="AX2722" s="213"/>
      <c r="AY2722" s="213"/>
      <c r="AZ2722" s="213"/>
      <c r="BA2722" s="213"/>
      <c r="BB2722" s="213"/>
      <c r="BC2722" s="213"/>
      <c r="BD2722" s="213"/>
    </row>
    <row r="2723">
      <c r="A2723" s="213"/>
      <c r="B2723" s="213"/>
      <c r="C2723" s="213"/>
      <c r="D2723" s="213"/>
      <c r="E2723" s="213"/>
      <c r="F2723" s="213"/>
      <c r="G2723" s="213"/>
      <c r="H2723" s="213"/>
      <c r="I2723" s="213"/>
      <c r="J2723" s="213"/>
      <c r="K2723" s="213"/>
      <c r="L2723" s="213"/>
      <c r="M2723" s="213"/>
      <c r="N2723" s="213"/>
      <c r="O2723" s="213"/>
      <c r="P2723" s="213"/>
      <c r="Q2723" s="213"/>
      <c r="R2723" s="213"/>
      <c r="S2723" s="213"/>
      <c r="T2723" s="213"/>
      <c r="U2723" s="213"/>
      <c r="V2723" s="213"/>
      <c r="W2723" s="213"/>
      <c r="X2723" s="213"/>
      <c r="Y2723" s="213"/>
      <c r="Z2723" s="213"/>
      <c r="AA2723" s="213"/>
      <c r="AB2723" s="213"/>
      <c r="AC2723" s="213"/>
      <c r="AD2723" s="213"/>
      <c r="AE2723" s="213"/>
      <c r="AF2723" s="213"/>
      <c r="AG2723" s="213"/>
      <c r="AH2723" s="213"/>
      <c r="AI2723" s="213"/>
      <c r="AJ2723" s="213"/>
      <c r="AK2723" s="213"/>
      <c r="AL2723" s="213"/>
      <c r="AM2723" s="213"/>
      <c r="AN2723" s="213"/>
      <c r="AO2723" s="213"/>
      <c r="AP2723" s="213"/>
      <c r="AQ2723" s="213"/>
      <c r="AR2723" s="213"/>
      <c r="AS2723" s="213"/>
      <c r="AT2723" s="213"/>
      <c r="AU2723" s="213"/>
      <c r="AV2723" s="213"/>
      <c r="AW2723" s="213"/>
      <c r="AX2723" s="213"/>
      <c r="AY2723" s="213"/>
      <c r="AZ2723" s="213"/>
      <c r="BA2723" s="213"/>
      <c r="BB2723" s="213"/>
      <c r="BC2723" s="213"/>
      <c r="BD2723" s="213"/>
    </row>
    <row r="2724">
      <c r="A2724" s="213"/>
      <c r="B2724" s="213"/>
      <c r="C2724" s="213"/>
      <c r="D2724" s="213"/>
      <c r="E2724" s="213"/>
      <c r="F2724" s="213"/>
      <c r="G2724" s="213"/>
      <c r="H2724" s="213"/>
      <c r="I2724" s="213"/>
      <c r="J2724" s="213"/>
      <c r="K2724" s="213"/>
      <c r="L2724" s="213"/>
      <c r="M2724" s="213"/>
      <c r="N2724" s="213"/>
      <c r="O2724" s="213"/>
      <c r="P2724" s="213"/>
      <c r="Q2724" s="213"/>
      <c r="R2724" s="213"/>
      <c r="S2724" s="213"/>
      <c r="T2724" s="213"/>
      <c r="U2724" s="213"/>
      <c r="V2724" s="213"/>
      <c r="W2724" s="213"/>
      <c r="X2724" s="213"/>
      <c r="Y2724" s="213"/>
      <c r="Z2724" s="213"/>
      <c r="AA2724" s="213"/>
      <c r="AB2724" s="213"/>
      <c r="AC2724" s="213"/>
      <c r="AD2724" s="213"/>
      <c r="AE2724" s="213"/>
      <c r="AF2724" s="213"/>
      <c r="AG2724" s="213"/>
      <c r="AH2724" s="213"/>
      <c r="AI2724" s="213"/>
      <c r="AJ2724" s="213"/>
      <c r="AK2724" s="213"/>
      <c r="AL2724" s="213"/>
      <c r="AM2724" s="213"/>
      <c r="AN2724" s="213"/>
      <c r="AO2724" s="213"/>
      <c r="AP2724" s="213"/>
      <c r="AQ2724" s="213"/>
      <c r="AR2724" s="213"/>
      <c r="AS2724" s="213"/>
      <c r="AT2724" s="213"/>
      <c r="AU2724" s="213"/>
      <c r="AV2724" s="213"/>
      <c r="AW2724" s="213"/>
      <c r="AX2724" s="213"/>
      <c r="AY2724" s="213"/>
      <c r="AZ2724" s="213"/>
      <c r="BA2724" s="213"/>
      <c r="BB2724" s="213"/>
      <c r="BC2724" s="213"/>
      <c r="BD2724" s="213"/>
    </row>
    <row r="2725">
      <c r="A2725" s="213"/>
      <c r="B2725" s="213"/>
      <c r="C2725" s="213"/>
      <c r="D2725" s="213"/>
      <c r="E2725" s="213"/>
      <c r="F2725" s="213"/>
      <c r="G2725" s="213"/>
      <c r="H2725" s="213"/>
      <c r="I2725" s="213"/>
      <c r="J2725" s="213"/>
      <c r="K2725" s="213"/>
      <c r="L2725" s="213"/>
      <c r="M2725" s="213"/>
      <c r="N2725" s="213"/>
      <c r="O2725" s="213"/>
      <c r="P2725" s="213"/>
      <c r="Q2725" s="213"/>
      <c r="R2725" s="213"/>
      <c r="S2725" s="213"/>
      <c r="T2725" s="213"/>
      <c r="U2725" s="213"/>
      <c r="V2725" s="213"/>
      <c r="W2725" s="213"/>
      <c r="X2725" s="213"/>
      <c r="Y2725" s="213"/>
      <c r="Z2725" s="213"/>
      <c r="AA2725" s="213"/>
      <c r="AB2725" s="213"/>
      <c r="AC2725" s="213"/>
      <c r="AD2725" s="213"/>
      <c r="AE2725" s="213"/>
      <c r="AF2725" s="213"/>
      <c r="AG2725" s="213"/>
      <c r="AH2725" s="213"/>
      <c r="AI2725" s="213"/>
      <c r="AJ2725" s="213"/>
      <c r="AK2725" s="213"/>
      <c r="AL2725" s="213"/>
      <c r="AM2725" s="213"/>
      <c r="AN2725" s="213"/>
      <c r="AO2725" s="213"/>
      <c r="AP2725" s="213"/>
      <c r="AQ2725" s="213"/>
      <c r="AR2725" s="213"/>
      <c r="AS2725" s="213"/>
      <c r="AT2725" s="213"/>
      <c r="AU2725" s="213"/>
      <c r="AV2725" s="213"/>
      <c r="AW2725" s="213"/>
      <c r="AX2725" s="213"/>
      <c r="AY2725" s="213"/>
      <c r="AZ2725" s="213"/>
      <c r="BA2725" s="213"/>
      <c r="BB2725" s="213"/>
      <c r="BC2725" s="213"/>
      <c r="BD2725" s="213"/>
    </row>
    <row r="2726">
      <c r="A2726" s="213"/>
      <c r="B2726" s="213"/>
      <c r="C2726" s="213"/>
      <c r="D2726" s="213"/>
      <c r="E2726" s="213"/>
      <c r="F2726" s="213"/>
      <c r="G2726" s="213"/>
      <c r="H2726" s="213"/>
      <c r="I2726" s="213"/>
      <c r="J2726" s="213"/>
      <c r="K2726" s="213"/>
      <c r="L2726" s="213"/>
      <c r="M2726" s="213"/>
      <c r="N2726" s="213"/>
      <c r="O2726" s="213"/>
      <c r="P2726" s="213"/>
      <c r="Q2726" s="213"/>
      <c r="R2726" s="213"/>
      <c r="S2726" s="213"/>
      <c r="T2726" s="213"/>
      <c r="U2726" s="213"/>
      <c r="V2726" s="213"/>
      <c r="W2726" s="213"/>
      <c r="X2726" s="213"/>
      <c r="Y2726" s="213"/>
      <c r="Z2726" s="213"/>
      <c r="AA2726" s="213"/>
      <c r="AB2726" s="213"/>
      <c r="AC2726" s="213"/>
      <c r="AD2726" s="213"/>
      <c r="AE2726" s="213"/>
      <c r="AF2726" s="213"/>
      <c r="AG2726" s="213"/>
      <c r="AH2726" s="213"/>
      <c r="AI2726" s="213"/>
      <c r="AJ2726" s="213"/>
      <c r="AK2726" s="213"/>
      <c r="AL2726" s="213"/>
      <c r="AM2726" s="213"/>
      <c r="AN2726" s="213"/>
      <c r="AO2726" s="213"/>
      <c r="AP2726" s="213"/>
      <c r="AQ2726" s="213"/>
      <c r="AR2726" s="213"/>
      <c r="AS2726" s="213"/>
      <c r="AT2726" s="213"/>
      <c r="AU2726" s="213"/>
      <c r="AV2726" s="213"/>
      <c r="AW2726" s="213"/>
      <c r="AX2726" s="213"/>
      <c r="AY2726" s="213"/>
      <c r="AZ2726" s="213"/>
      <c r="BA2726" s="213"/>
      <c r="BB2726" s="213"/>
      <c r="BC2726" s="213"/>
      <c r="BD2726" s="213"/>
    </row>
    <row r="2727">
      <c r="A2727" s="213"/>
      <c r="B2727" s="213"/>
      <c r="C2727" s="213"/>
      <c r="D2727" s="213"/>
      <c r="E2727" s="213"/>
      <c r="F2727" s="213"/>
      <c r="G2727" s="213"/>
      <c r="H2727" s="213"/>
      <c r="I2727" s="213"/>
      <c r="J2727" s="213"/>
      <c r="K2727" s="213"/>
      <c r="L2727" s="213"/>
      <c r="M2727" s="213"/>
      <c r="N2727" s="213"/>
      <c r="O2727" s="213"/>
      <c r="P2727" s="213"/>
      <c r="Q2727" s="213"/>
      <c r="R2727" s="213"/>
      <c r="S2727" s="213"/>
      <c r="T2727" s="213"/>
      <c r="U2727" s="213"/>
      <c r="V2727" s="213"/>
      <c r="W2727" s="213"/>
      <c r="X2727" s="213"/>
      <c r="Y2727" s="213"/>
      <c r="Z2727" s="213"/>
      <c r="AA2727" s="213"/>
      <c r="AB2727" s="213"/>
      <c r="AC2727" s="213"/>
      <c r="AD2727" s="213"/>
      <c r="AE2727" s="213"/>
      <c r="AF2727" s="213"/>
      <c r="AG2727" s="213"/>
      <c r="AH2727" s="213"/>
      <c r="AI2727" s="213"/>
      <c r="AJ2727" s="213"/>
      <c r="AK2727" s="213"/>
      <c r="AL2727" s="213"/>
      <c r="AM2727" s="213"/>
      <c r="AN2727" s="213"/>
      <c r="AO2727" s="213"/>
      <c r="AP2727" s="213"/>
      <c r="AQ2727" s="213"/>
      <c r="AR2727" s="213"/>
      <c r="AS2727" s="213"/>
      <c r="AT2727" s="213"/>
      <c r="AU2727" s="213"/>
      <c r="AV2727" s="213"/>
      <c r="AW2727" s="213"/>
      <c r="AX2727" s="213"/>
      <c r="AY2727" s="213"/>
      <c r="AZ2727" s="213"/>
      <c r="BA2727" s="213"/>
      <c r="BB2727" s="213"/>
      <c r="BC2727" s="213"/>
      <c r="BD2727" s="213"/>
    </row>
    <row r="2728">
      <c r="A2728" s="213"/>
      <c r="B2728" s="213"/>
      <c r="C2728" s="213"/>
      <c r="D2728" s="213"/>
      <c r="E2728" s="213"/>
      <c r="F2728" s="213"/>
      <c r="G2728" s="213"/>
      <c r="H2728" s="213"/>
      <c r="I2728" s="213"/>
      <c r="J2728" s="213"/>
      <c r="K2728" s="213"/>
      <c r="L2728" s="213"/>
      <c r="M2728" s="213"/>
      <c r="N2728" s="213"/>
      <c r="O2728" s="213"/>
      <c r="P2728" s="213"/>
      <c r="Q2728" s="213"/>
      <c r="R2728" s="213"/>
      <c r="S2728" s="213"/>
      <c r="T2728" s="213"/>
      <c r="U2728" s="213"/>
      <c r="V2728" s="213"/>
      <c r="W2728" s="213"/>
      <c r="X2728" s="213"/>
      <c r="Y2728" s="213"/>
      <c r="Z2728" s="213"/>
      <c r="AA2728" s="213"/>
      <c r="AB2728" s="213"/>
      <c r="AC2728" s="213"/>
      <c r="AD2728" s="213"/>
      <c r="AE2728" s="213"/>
      <c r="AF2728" s="213"/>
      <c r="AG2728" s="213"/>
      <c r="AH2728" s="213"/>
      <c r="AI2728" s="213"/>
      <c r="AJ2728" s="213"/>
      <c r="AK2728" s="213"/>
      <c r="AL2728" s="213"/>
      <c r="AM2728" s="213"/>
      <c r="AN2728" s="213"/>
      <c r="AO2728" s="213"/>
      <c r="AP2728" s="213"/>
      <c r="AQ2728" s="213"/>
      <c r="AR2728" s="213"/>
      <c r="AS2728" s="213"/>
      <c r="AT2728" s="213"/>
      <c r="AU2728" s="213"/>
      <c r="AV2728" s="213"/>
      <c r="AW2728" s="213"/>
      <c r="AX2728" s="213"/>
      <c r="AY2728" s="213"/>
      <c r="AZ2728" s="213"/>
      <c r="BA2728" s="213"/>
      <c r="BB2728" s="213"/>
      <c r="BC2728" s="213"/>
      <c r="BD2728" s="213"/>
    </row>
    <row r="2729">
      <c r="A2729" s="213"/>
      <c r="B2729" s="213"/>
      <c r="C2729" s="213"/>
      <c r="D2729" s="213"/>
      <c r="E2729" s="213"/>
      <c r="F2729" s="213"/>
      <c r="G2729" s="213"/>
      <c r="H2729" s="213"/>
      <c r="I2729" s="213"/>
      <c r="J2729" s="213"/>
      <c r="K2729" s="213"/>
      <c r="L2729" s="213"/>
      <c r="M2729" s="213"/>
      <c r="N2729" s="213"/>
      <c r="O2729" s="213"/>
      <c r="P2729" s="213"/>
      <c r="Q2729" s="213"/>
      <c r="R2729" s="213"/>
      <c r="S2729" s="213"/>
      <c r="T2729" s="213"/>
      <c r="U2729" s="213"/>
      <c r="V2729" s="213"/>
      <c r="W2729" s="213"/>
      <c r="X2729" s="213"/>
      <c r="Y2729" s="213"/>
      <c r="Z2729" s="213"/>
      <c r="AA2729" s="213"/>
      <c r="AB2729" s="213"/>
      <c r="AC2729" s="213"/>
      <c r="AD2729" s="213"/>
      <c r="AE2729" s="213"/>
      <c r="AF2729" s="213"/>
      <c r="AG2729" s="213"/>
      <c r="AH2729" s="213"/>
      <c r="AI2729" s="213"/>
      <c r="AJ2729" s="213"/>
      <c r="AK2729" s="213"/>
      <c r="AL2729" s="213"/>
      <c r="AM2729" s="213"/>
      <c r="AN2729" s="213"/>
      <c r="AO2729" s="213"/>
      <c r="AP2729" s="213"/>
      <c r="AQ2729" s="213"/>
      <c r="AR2729" s="213"/>
      <c r="AS2729" s="213"/>
      <c r="AT2729" s="213"/>
      <c r="AU2729" s="213"/>
      <c r="AV2729" s="213"/>
      <c r="AW2729" s="213"/>
      <c r="AX2729" s="213"/>
      <c r="AY2729" s="213"/>
      <c r="AZ2729" s="213"/>
      <c r="BA2729" s="213"/>
      <c r="BB2729" s="213"/>
      <c r="BC2729" s="213"/>
      <c r="BD2729" s="213"/>
    </row>
    <row r="2730">
      <c r="A2730" s="213"/>
      <c r="B2730" s="213"/>
      <c r="C2730" s="213"/>
      <c r="D2730" s="213"/>
      <c r="E2730" s="213"/>
      <c r="F2730" s="213"/>
      <c r="G2730" s="213"/>
      <c r="H2730" s="213"/>
      <c r="I2730" s="213"/>
      <c r="J2730" s="213"/>
      <c r="K2730" s="213"/>
      <c r="L2730" s="213"/>
      <c r="M2730" s="213"/>
      <c r="N2730" s="213"/>
      <c r="O2730" s="213"/>
      <c r="P2730" s="213"/>
      <c r="Q2730" s="213"/>
      <c r="R2730" s="213"/>
      <c r="S2730" s="213"/>
      <c r="T2730" s="213"/>
      <c r="U2730" s="213"/>
      <c r="V2730" s="213"/>
      <c r="W2730" s="213"/>
      <c r="X2730" s="213"/>
      <c r="Y2730" s="213"/>
      <c r="Z2730" s="213"/>
      <c r="AA2730" s="213"/>
      <c r="AB2730" s="213"/>
      <c r="AC2730" s="213"/>
      <c r="AD2730" s="213"/>
      <c r="AE2730" s="213"/>
      <c r="AF2730" s="213"/>
      <c r="AG2730" s="213"/>
      <c r="AH2730" s="213"/>
      <c r="AI2730" s="213"/>
      <c r="AJ2730" s="213"/>
      <c r="AK2730" s="213"/>
      <c r="AL2730" s="213"/>
      <c r="AM2730" s="213"/>
      <c r="AN2730" s="213"/>
      <c r="AO2730" s="213"/>
      <c r="AP2730" s="213"/>
      <c r="AQ2730" s="213"/>
      <c r="AR2730" s="213"/>
      <c r="AS2730" s="213"/>
      <c r="AT2730" s="213"/>
      <c r="AU2730" s="213"/>
      <c r="AV2730" s="213"/>
      <c r="AW2730" s="213"/>
      <c r="AX2730" s="213"/>
      <c r="AY2730" s="213"/>
      <c r="AZ2730" s="213"/>
      <c r="BA2730" s="213"/>
      <c r="BB2730" s="213"/>
      <c r="BC2730" s="213"/>
      <c r="BD2730" s="213"/>
    </row>
    <row r="2731">
      <c r="A2731" s="213"/>
      <c r="B2731" s="213"/>
      <c r="C2731" s="213"/>
      <c r="D2731" s="213"/>
      <c r="E2731" s="213"/>
      <c r="F2731" s="213"/>
      <c r="G2731" s="213"/>
      <c r="H2731" s="213"/>
      <c r="I2731" s="213"/>
      <c r="J2731" s="213"/>
      <c r="K2731" s="213"/>
      <c r="L2731" s="213"/>
      <c r="M2731" s="213"/>
      <c r="N2731" s="213"/>
      <c r="O2731" s="213"/>
      <c r="P2731" s="213"/>
      <c r="Q2731" s="213"/>
      <c r="R2731" s="213"/>
      <c r="S2731" s="213"/>
      <c r="T2731" s="213"/>
      <c r="U2731" s="213"/>
      <c r="V2731" s="213"/>
      <c r="W2731" s="213"/>
      <c r="X2731" s="213"/>
      <c r="Y2731" s="213"/>
      <c r="Z2731" s="213"/>
      <c r="AA2731" s="213"/>
      <c r="AB2731" s="213"/>
      <c r="AC2731" s="213"/>
      <c r="AD2731" s="213"/>
      <c r="AE2731" s="213"/>
      <c r="AF2731" s="213"/>
      <c r="AG2731" s="213"/>
      <c r="AH2731" s="213"/>
      <c r="AI2731" s="213"/>
      <c r="AJ2731" s="213"/>
      <c r="AK2731" s="213"/>
      <c r="AL2731" s="213"/>
      <c r="AM2731" s="213"/>
      <c r="AN2731" s="213"/>
      <c r="AO2731" s="213"/>
      <c r="AP2731" s="213"/>
      <c r="AQ2731" s="213"/>
      <c r="AR2731" s="213"/>
      <c r="AS2731" s="213"/>
      <c r="AT2731" s="213"/>
      <c r="AU2731" s="213"/>
      <c r="AV2731" s="213"/>
      <c r="AW2731" s="213"/>
      <c r="AX2731" s="213"/>
      <c r="AY2731" s="213"/>
      <c r="AZ2731" s="213"/>
      <c r="BA2731" s="213"/>
      <c r="BB2731" s="213"/>
      <c r="BC2731" s="213"/>
      <c r="BD2731" s="213"/>
    </row>
    <row r="2732">
      <c r="A2732" s="213"/>
      <c r="B2732" s="213"/>
      <c r="C2732" s="213"/>
      <c r="D2732" s="213"/>
      <c r="E2732" s="213"/>
      <c r="F2732" s="213"/>
      <c r="G2732" s="213"/>
      <c r="H2732" s="213"/>
      <c r="I2732" s="213"/>
      <c r="J2732" s="213"/>
      <c r="K2732" s="213"/>
      <c r="L2732" s="213"/>
      <c r="M2732" s="213"/>
      <c r="N2732" s="213"/>
      <c r="O2732" s="213"/>
      <c r="P2732" s="213"/>
      <c r="Q2732" s="213"/>
      <c r="R2732" s="213"/>
      <c r="S2732" s="213"/>
      <c r="T2732" s="213"/>
      <c r="U2732" s="213"/>
      <c r="V2732" s="213"/>
      <c r="W2732" s="213"/>
      <c r="X2732" s="213"/>
      <c r="Y2732" s="213"/>
      <c r="Z2732" s="213"/>
      <c r="AA2732" s="213"/>
      <c r="AB2732" s="213"/>
      <c r="AC2732" s="213"/>
      <c r="AD2732" s="213"/>
      <c r="AE2732" s="213"/>
      <c r="AF2732" s="213"/>
      <c r="AG2732" s="213"/>
      <c r="AH2732" s="213"/>
      <c r="AI2732" s="213"/>
      <c r="AJ2732" s="213"/>
      <c r="AK2732" s="213"/>
      <c r="AL2732" s="213"/>
      <c r="AM2732" s="213"/>
      <c r="AN2732" s="213"/>
      <c r="AO2732" s="213"/>
      <c r="AP2732" s="213"/>
      <c r="AQ2732" s="213"/>
      <c r="AR2732" s="213"/>
      <c r="AS2732" s="213"/>
      <c r="AT2732" s="213"/>
      <c r="AU2732" s="213"/>
      <c r="AV2732" s="213"/>
      <c r="AW2732" s="213"/>
      <c r="AX2732" s="213"/>
      <c r="AY2732" s="213"/>
      <c r="AZ2732" s="213"/>
      <c r="BA2732" s="213"/>
      <c r="BB2732" s="213"/>
      <c r="BC2732" s="213"/>
      <c r="BD2732" s="213"/>
    </row>
    <row r="2733">
      <c r="A2733" s="213"/>
      <c r="B2733" s="213"/>
      <c r="C2733" s="213"/>
      <c r="D2733" s="213"/>
      <c r="E2733" s="213"/>
      <c r="F2733" s="213"/>
      <c r="G2733" s="213"/>
      <c r="H2733" s="213"/>
      <c r="I2733" s="213"/>
      <c r="J2733" s="213"/>
      <c r="K2733" s="213"/>
      <c r="L2733" s="213"/>
      <c r="M2733" s="213"/>
      <c r="N2733" s="213"/>
      <c r="O2733" s="213"/>
      <c r="P2733" s="213"/>
      <c r="Q2733" s="213"/>
      <c r="R2733" s="213"/>
      <c r="S2733" s="213"/>
      <c r="T2733" s="213"/>
      <c r="U2733" s="213"/>
      <c r="V2733" s="213"/>
      <c r="W2733" s="213"/>
      <c r="X2733" s="213"/>
      <c r="Y2733" s="213"/>
      <c r="Z2733" s="213"/>
      <c r="AA2733" s="213"/>
      <c r="AB2733" s="213"/>
      <c r="AC2733" s="213"/>
      <c r="AD2733" s="213"/>
      <c r="AE2733" s="213"/>
      <c r="AF2733" s="213"/>
      <c r="AG2733" s="213"/>
      <c r="AH2733" s="213"/>
      <c r="AI2733" s="213"/>
      <c r="AJ2733" s="213"/>
      <c r="AK2733" s="213"/>
      <c r="AL2733" s="213"/>
      <c r="AM2733" s="213"/>
      <c r="AN2733" s="213"/>
      <c r="AO2733" s="213"/>
      <c r="AP2733" s="213"/>
      <c r="AQ2733" s="213"/>
      <c r="AR2733" s="213"/>
      <c r="AS2733" s="213"/>
      <c r="AT2733" s="213"/>
      <c r="AU2733" s="213"/>
      <c r="AV2733" s="213"/>
      <c r="AW2733" s="213"/>
      <c r="AX2733" s="213"/>
      <c r="AY2733" s="213"/>
      <c r="AZ2733" s="213"/>
      <c r="BA2733" s="213"/>
      <c r="BB2733" s="213"/>
      <c r="BC2733" s="213"/>
      <c r="BD2733" s="213"/>
    </row>
    <row r="2734">
      <c r="A2734" s="213"/>
      <c r="B2734" s="213"/>
      <c r="C2734" s="213"/>
      <c r="D2734" s="213"/>
      <c r="E2734" s="213"/>
      <c r="F2734" s="213"/>
      <c r="G2734" s="213"/>
      <c r="H2734" s="213"/>
      <c r="I2734" s="213"/>
      <c r="J2734" s="213"/>
      <c r="K2734" s="213"/>
      <c r="L2734" s="213"/>
      <c r="M2734" s="213"/>
      <c r="N2734" s="213"/>
      <c r="O2734" s="213"/>
      <c r="P2734" s="213"/>
      <c r="Q2734" s="213"/>
      <c r="R2734" s="213"/>
      <c r="S2734" s="213"/>
      <c r="T2734" s="213"/>
      <c r="U2734" s="213"/>
      <c r="V2734" s="213"/>
      <c r="W2734" s="213"/>
      <c r="X2734" s="213"/>
      <c r="Y2734" s="213"/>
      <c r="Z2734" s="213"/>
      <c r="AA2734" s="213"/>
      <c r="AB2734" s="213"/>
      <c r="AC2734" s="213"/>
      <c r="AD2734" s="213"/>
      <c r="AE2734" s="213"/>
      <c r="AF2734" s="213"/>
      <c r="AG2734" s="213"/>
      <c r="AH2734" s="213"/>
      <c r="AI2734" s="213"/>
      <c r="AJ2734" s="213"/>
      <c r="AK2734" s="213"/>
      <c r="AL2734" s="213"/>
      <c r="AM2734" s="213"/>
      <c r="AN2734" s="213"/>
      <c r="AO2734" s="213"/>
      <c r="AP2734" s="213"/>
      <c r="AQ2734" s="213"/>
      <c r="AR2734" s="213"/>
      <c r="AS2734" s="213"/>
      <c r="AT2734" s="213"/>
      <c r="AU2734" s="213"/>
      <c r="AV2734" s="213"/>
      <c r="AW2734" s="213"/>
      <c r="AX2734" s="213"/>
      <c r="AY2734" s="213"/>
      <c r="AZ2734" s="213"/>
      <c r="BA2734" s="213"/>
      <c r="BB2734" s="213"/>
      <c r="BC2734" s="213"/>
      <c r="BD2734" s="213"/>
    </row>
    <row r="2735">
      <c r="A2735" s="213"/>
      <c r="B2735" s="213"/>
      <c r="C2735" s="213"/>
      <c r="D2735" s="213"/>
      <c r="E2735" s="213"/>
      <c r="F2735" s="213"/>
      <c r="G2735" s="213"/>
      <c r="H2735" s="213"/>
      <c r="I2735" s="213"/>
      <c r="J2735" s="213"/>
      <c r="K2735" s="213"/>
      <c r="L2735" s="213"/>
      <c r="M2735" s="213"/>
      <c r="N2735" s="213"/>
      <c r="O2735" s="213"/>
      <c r="P2735" s="213"/>
      <c r="Q2735" s="213"/>
      <c r="R2735" s="213"/>
      <c r="S2735" s="213"/>
      <c r="T2735" s="213"/>
      <c r="U2735" s="213"/>
      <c r="V2735" s="213"/>
      <c r="W2735" s="213"/>
      <c r="X2735" s="213"/>
      <c r="Y2735" s="213"/>
      <c r="Z2735" s="213"/>
      <c r="AA2735" s="213"/>
      <c r="AB2735" s="213"/>
      <c r="AC2735" s="213"/>
      <c r="AD2735" s="213"/>
      <c r="AE2735" s="213"/>
      <c r="AF2735" s="213"/>
      <c r="AG2735" s="213"/>
      <c r="AH2735" s="213"/>
      <c r="AI2735" s="213"/>
      <c r="AJ2735" s="213"/>
      <c r="AK2735" s="213"/>
      <c r="AL2735" s="213"/>
      <c r="AM2735" s="213"/>
      <c r="AN2735" s="213"/>
      <c r="AO2735" s="213"/>
      <c r="AP2735" s="213"/>
      <c r="AQ2735" s="213"/>
      <c r="AR2735" s="213"/>
      <c r="AS2735" s="213"/>
      <c r="AT2735" s="213"/>
      <c r="AU2735" s="213"/>
      <c r="AV2735" s="213"/>
      <c r="AW2735" s="213"/>
      <c r="AX2735" s="213"/>
      <c r="AY2735" s="213"/>
      <c r="AZ2735" s="213"/>
      <c r="BA2735" s="213"/>
      <c r="BB2735" s="213"/>
      <c r="BC2735" s="213"/>
      <c r="BD2735" s="213"/>
    </row>
    <row r="2736">
      <c r="A2736" s="213"/>
      <c r="B2736" s="213"/>
      <c r="C2736" s="213"/>
      <c r="D2736" s="213"/>
      <c r="E2736" s="213"/>
      <c r="F2736" s="213"/>
      <c r="G2736" s="213"/>
      <c r="H2736" s="213"/>
      <c r="I2736" s="213"/>
      <c r="J2736" s="213"/>
      <c r="K2736" s="213"/>
      <c r="L2736" s="213"/>
      <c r="M2736" s="213"/>
      <c r="N2736" s="213"/>
      <c r="O2736" s="213"/>
      <c r="P2736" s="213"/>
      <c r="Q2736" s="213"/>
      <c r="R2736" s="213"/>
      <c r="S2736" s="213"/>
      <c r="T2736" s="213"/>
      <c r="U2736" s="213"/>
      <c r="V2736" s="213"/>
      <c r="W2736" s="213"/>
      <c r="X2736" s="213"/>
      <c r="Y2736" s="213"/>
      <c r="Z2736" s="213"/>
      <c r="AA2736" s="213"/>
      <c r="AB2736" s="213"/>
      <c r="AC2736" s="213"/>
      <c r="AD2736" s="213"/>
      <c r="AE2736" s="213"/>
      <c r="AF2736" s="213"/>
      <c r="AG2736" s="213"/>
      <c r="AH2736" s="213"/>
      <c r="AI2736" s="213"/>
      <c r="AJ2736" s="213"/>
      <c r="AK2736" s="213"/>
      <c r="AL2736" s="213"/>
      <c r="AM2736" s="213"/>
      <c r="AN2736" s="213"/>
      <c r="AO2736" s="213"/>
      <c r="AP2736" s="213"/>
      <c r="AQ2736" s="213"/>
      <c r="AR2736" s="213"/>
      <c r="AS2736" s="213"/>
      <c r="AT2736" s="213"/>
      <c r="AU2736" s="213"/>
      <c r="AV2736" s="213"/>
      <c r="AW2736" s="213"/>
      <c r="AX2736" s="213"/>
      <c r="AY2736" s="213"/>
      <c r="AZ2736" s="213"/>
      <c r="BA2736" s="213"/>
      <c r="BB2736" s="213"/>
      <c r="BC2736" s="213"/>
      <c r="BD2736" s="213"/>
    </row>
    <row r="2737">
      <c r="A2737" s="213"/>
      <c r="B2737" s="213"/>
      <c r="C2737" s="213"/>
      <c r="D2737" s="213"/>
      <c r="E2737" s="213"/>
      <c r="F2737" s="213"/>
      <c r="G2737" s="213"/>
      <c r="H2737" s="213"/>
      <c r="I2737" s="213"/>
      <c r="J2737" s="213"/>
      <c r="K2737" s="213"/>
      <c r="L2737" s="213"/>
      <c r="M2737" s="213"/>
      <c r="N2737" s="213"/>
      <c r="O2737" s="213"/>
      <c r="P2737" s="213"/>
      <c r="Q2737" s="213"/>
      <c r="R2737" s="213"/>
      <c r="S2737" s="213"/>
      <c r="T2737" s="213"/>
      <c r="U2737" s="213"/>
      <c r="V2737" s="213"/>
      <c r="W2737" s="213"/>
      <c r="X2737" s="213"/>
      <c r="Y2737" s="213"/>
      <c r="Z2737" s="213"/>
      <c r="AA2737" s="213"/>
      <c r="AB2737" s="213"/>
      <c r="AC2737" s="213"/>
      <c r="AD2737" s="213"/>
      <c r="AE2737" s="213"/>
      <c r="AF2737" s="213"/>
      <c r="AG2737" s="213"/>
      <c r="AH2737" s="213"/>
      <c r="AI2737" s="213"/>
      <c r="AJ2737" s="213"/>
      <c r="AK2737" s="213"/>
      <c r="AL2737" s="213"/>
      <c r="AM2737" s="213"/>
      <c r="AN2737" s="213"/>
      <c r="AO2737" s="213"/>
      <c r="AP2737" s="213"/>
      <c r="AQ2737" s="213"/>
      <c r="AR2737" s="213"/>
      <c r="AS2737" s="213"/>
      <c r="AT2737" s="213"/>
      <c r="AU2737" s="213"/>
      <c r="AV2737" s="213"/>
      <c r="AW2737" s="213"/>
      <c r="AX2737" s="213"/>
      <c r="AY2737" s="213"/>
      <c r="AZ2737" s="213"/>
      <c r="BA2737" s="213"/>
      <c r="BB2737" s="213"/>
      <c r="BC2737" s="213"/>
      <c r="BD2737" s="213"/>
    </row>
    <row r="2738">
      <c r="A2738" s="213"/>
      <c r="B2738" s="213"/>
      <c r="C2738" s="213"/>
      <c r="D2738" s="213"/>
      <c r="E2738" s="213"/>
      <c r="F2738" s="213"/>
      <c r="G2738" s="213"/>
      <c r="H2738" s="213"/>
      <c r="I2738" s="213"/>
      <c r="J2738" s="213"/>
      <c r="K2738" s="213"/>
      <c r="L2738" s="213"/>
      <c r="M2738" s="213"/>
      <c r="N2738" s="213"/>
      <c r="O2738" s="213"/>
      <c r="P2738" s="213"/>
      <c r="Q2738" s="213"/>
      <c r="R2738" s="213"/>
      <c r="S2738" s="213"/>
      <c r="T2738" s="213"/>
      <c r="U2738" s="213"/>
      <c r="V2738" s="213"/>
      <c r="W2738" s="213"/>
      <c r="X2738" s="213"/>
      <c r="Y2738" s="213"/>
      <c r="Z2738" s="213"/>
      <c r="AA2738" s="213"/>
      <c r="AB2738" s="213"/>
      <c r="AC2738" s="213"/>
      <c r="AD2738" s="213"/>
      <c r="AE2738" s="213"/>
      <c r="AF2738" s="213"/>
      <c r="AG2738" s="213"/>
      <c r="AH2738" s="213"/>
      <c r="AI2738" s="213"/>
      <c r="AJ2738" s="213"/>
      <c r="AK2738" s="213"/>
      <c r="AL2738" s="213"/>
      <c r="AM2738" s="213"/>
      <c r="AN2738" s="213"/>
      <c r="AO2738" s="213"/>
      <c r="AP2738" s="213"/>
      <c r="AQ2738" s="213"/>
      <c r="AR2738" s="213"/>
      <c r="AS2738" s="213"/>
      <c r="AT2738" s="213"/>
      <c r="AU2738" s="213"/>
      <c r="AV2738" s="213"/>
      <c r="AW2738" s="213"/>
      <c r="AX2738" s="213"/>
      <c r="AY2738" s="213"/>
      <c r="AZ2738" s="213"/>
      <c r="BA2738" s="213"/>
      <c r="BB2738" s="213"/>
      <c r="BC2738" s="213"/>
      <c r="BD2738" s="213"/>
    </row>
    <row r="2739">
      <c r="A2739" s="213"/>
      <c r="B2739" s="213"/>
      <c r="C2739" s="213"/>
      <c r="D2739" s="213"/>
      <c r="E2739" s="213"/>
      <c r="F2739" s="213"/>
      <c r="G2739" s="213"/>
      <c r="H2739" s="213"/>
      <c r="I2739" s="213"/>
      <c r="J2739" s="213"/>
      <c r="K2739" s="213"/>
      <c r="L2739" s="213"/>
      <c r="M2739" s="213"/>
      <c r="N2739" s="213"/>
      <c r="O2739" s="213"/>
      <c r="P2739" s="213"/>
      <c r="Q2739" s="213"/>
      <c r="R2739" s="213"/>
      <c r="S2739" s="213"/>
      <c r="T2739" s="213"/>
      <c r="U2739" s="213"/>
      <c r="V2739" s="213"/>
      <c r="W2739" s="213"/>
      <c r="X2739" s="213"/>
      <c r="Y2739" s="213"/>
      <c r="Z2739" s="213"/>
      <c r="AA2739" s="213"/>
      <c r="AB2739" s="213"/>
      <c r="AC2739" s="213"/>
      <c r="AD2739" s="213"/>
      <c r="AE2739" s="213"/>
      <c r="AF2739" s="213"/>
      <c r="AG2739" s="213"/>
      <c r="AH2739" s="213"/>
      <c r="AI2739" s="213"/>
      <c r="AJ2739" s="213"/>
      <c r="AK2739" s="213"/>
      <c r="AL2739" s="213"/>
      <c r="AM2739" s="213"/>
      <c r="AN2739" s="213"/>
      <c r="AO2739" s="213"/>
      <c r="AP2739" s="213"/>
      <c r="AQ2739" s="213"/>
      <c r="AR2739" s="213"/>
      <c r="AS2739" s="213"/>
      <c r="AT2739" s="213"/>
      <c r="AU2739" s="213"/>
      <c r="AV2739" s="213"/>
      <c r="AW2739" s="213"/>
      <c r="AX2739" s="213"/>
      <c r="AY2739" s="213"/>
      <c r="AZ2739" s="213"/>
      <c r="BA2739" s="213"/>
      <c r="BB2739" s="213"/>
      <c r="BC2739" s="213"/>
      <c r="BD2739" s="213"/>
    </row>
    <row r="2740">
      <c r="A2740" s="213"/>
      <c r="B2740" s="213"/>
      <c r="C2740" s="213"/>
      <c r="D2740" s="213"/>
      <c r="E2740" s="213"/>
      <c r="F2740" s="213"/>
      <c r="G2740" s="213"/>
      <c r="H2740" s="213"/>
      <c r="I2740" s="213"/>
      <c r="J2740" s="213"/>
      <c r="K2740" s="213"/>
      <c r="L2740" s="213"/>
      <c r="M2740" s="213"/>
      <c r="N2740" s="213"/>
      <c r="O2740" s="213"/>
      <c r="P2740" s="213"/>
      <c r="Q2740" s="213"/>
      <c r="R2740" s="213"/>
      <c r="S2740" s="213"/>
      <c r="T2740" s="213"/>
      <c r="U2740" s="213"/>
      <c r="V2740" s="213"/>
      <c r="W2740" s="213"/>
      <c r="X2740" s="213"/>
      <c r="Y2740" s="213"/>
      <c r="Z2740" s="213"/>
      <c r="AA2740" s="213"/>
      <c r="AB2740" s="213"/>
      <c r="AC2740" s="213"/>
      <c r="AD2740" s="213"/>
      <c r="AE2740" s="213"/>
      <c r="AF2740" s="213"/>
      <c r="AG2740" s="213"/>
      <c r="AH2740" s="213"/>
      <c r="AI2740" s="213"/>
      <c r="AJ2740" s="213"/>
      <c r="AK2740" s="213"/>
      <c r="AL2740" s="213"/>
      <c r="AM2740" s="213"/>
      <c r="AN2740" s="213"/>
      <c r="AO2740" s="213"/>
      <c r="AP2740" s="213"/>
      <c r="AQ2740" s="213"/>
      <c r="AR2740" s="213"/>
      <c r="AS2740" s="213"/>
      <c r="AT2740" s="213"/>
      <c r="AU2740" s="213"/>
      <c r="AV2740" s="213"/>
      <c r="AW2740" s="213"/>
      <c r="AX2740" s="213"/>
      <c r="AY2740" s="213"/>
      <c r="AZ2740" s="213"/>
      <c r="BA2740" s="213"/>
      <c r="BB2740" s="213"/>
      <c r="BC2740" s="213"/>
      <c r="BD2740" s="213"/>
    </row>
    <row r="2741">
      <c r="A2741" s="213"/>
      <c r="B2741" s="213"/>
      <c r="C2741" s="213"/>
      <c r="D2741" s="213"/>
      <c r="E2741" s="213"/>
      <c r="F2741" s="213"/>
      <c r="G2741" s="213"/>
      <c r="H2741" s="213"/>
      <c r="I2741" s="213"/>
      <c r="J2741" s="213"/>
      <c r="K2741" s="213"/>
      <c r="L2741" s="213"/>
      <c r="M2741" s="213"/>
      <c r="N2741" s="213"/>
      <c r="O2741" s="213"/>
      <c r="P2741" s="213"/>
      <c r="Q2741" s="213"/>
      <c r="R2741" s="213"/>
      <c r="S2741" s="213"/>
      <c r="T2741" s="213"/>
      <c r="U2741" s="213"/>
      <c r="V2741" s="213"/>
      <c r="W2741" s="213"/>
      <c r="X2741" s="213"/>
      <c r="Y2741" s="213"/>
      <c r="Z2741" s="213"/>
      <c r="AA2741" s="213"/>
      <c r="AB2741" s="213"/>
      <c r="AC2741" s="213"/>
      <c r="AD2741" s="213"/>
      <c r="AE2741" s="213"/>
      <c r="AF2741" s="213"/>
      <c r="AG2741" s="213"/>
      <c r="AH2741" s="213"/>
      <c r="AI2741" s="213"/>
      <c r="AJ2741" s="213"/>
      <c r="AK2741" s="213"/>
      <c r="AL2741" s="213"/>
      <c r="AM2741" s="213"/>
      <c r="AN2741" s="213"/>
      <c r="AO2741" s="213"/>
      <c r="AP2741" s="213"/>
      <c r="AQ2741" s="213"/>
      <c r="AR2741" s="213"/>
      <c r="AS2741" s="213"/>
      <c r="AT2741" s="213"/>
      <c r="AU2741" s="213"/>
      <c r="AV2741" s="213"/>
      <c r="AW2741" s="213"/>
      <c r="AX2741" s="213"/>
      <c r="AY2741" s="213"/>
      <c r="AZ2741" s="213"/>
      <c r="BA2741" s="213"/>
      <c r="BB2741" s="213"/>
      <c r="BC2741" s="213"/>
      <c r="BD2741" s="213"/>
    </row>
    <row r="2742">
      <c r="A2742" s="213"/>
      <c r="B2742" s="213"/>
      <c r="C2742" s="213"/>
      <c r="D2742" s="213"/>
      <c r="E2742" s="213"/>
      <c r="F2742" s="213"/>
      <c r="G2742" s="213"/>
      <c r="H2742" s="213"/>
      <c r="I2742" s="213"/>
      <c r="J2742" s="213"/>
      <c r="K2742" s="213"/>
      <c r="L2742" s="213"/>
      <c r="M2742" s="213"/>
      <c r="N2742" s="213"/>
      <c r="O2742" s="213"/>
      <c r="P2742" s="213"/>
      <c r="Q2742" s="213"/>
      <c r="R2742" s="213"/>
      <c r="S2742" s="213"/>
      <c r="T2742" s="213"/>
      <c r="U2742" s="213"/>
      <c r="V2742" s="213"/>
      <c r="W2742" s="213"/>
      <c r="X2742" s="213"/>
      <c r="Y2742" s="213"/>
      <c r="Z2742" s="213"/>
      <c r="AA2742" s="213"/>
      <c r="AB2742" s="213"/>
      <c r="AC2742" s="213"/>
      <c r="AD2742" s="213"/>
      <c r="AE2742" s="213"/>
      <c r="AF2742" s="213"/>
      <c r="AG2742" s="213"/>
      <c r="AH2742" s="213"/>
      <c r="AI2742" s="213"/>
      <c r="AJ2742" s="213"/>
      <c r="AK2742" s="213"/>
      <c r="AL2742" s="213"/>
      <c r="AM2742" s="213"/>
      <c r="AN2742" s="213"/>
      <c r="AO2742" s="213"/>
      <c r="AP2742" s="213"/>
      <c r="AQ2742" s="213"/>
      <c r="AR2742" s="213"/>
      <c r="AS2742" s="213"/>
      <c r="AT2742" s="213"/>
      <c r="AU2742" s="213"/>
      <c r="AV2742" s="213"/>
      <c r="AW2742" s="213"/>
      <c r="AX2742" s="213"/>
      <c r="AY2742" s="213"/>
      <c r="AZ2742" s="213"/>
      <c r="BA2742" s="213"/>
      <c r="BB2742" s="213"/>
      <c r="BC2742" s="213"/>
      <c r="BD2742" s="213"/>
    </row>
    <row r="2743">
      <c r="A2743" s="213"/>
      <c r="B2743" s="213"/>
      <c r="C2743" s="213"/>
      <c r="D2743" s="213"/>
      <c r="E2743" s="213"/>
      <c r="F2743" s="213"/>
      <c r="G2743" s="213"/>
      <c r="H2743" s="213"/>
      <c r="I2743" s="213"/>
      <c r="J2743" s="213"/>
      <c r="K2743" s="213"/>
      <c r="L2743" s="213"/>
      <c r="M2743" s="213"/>
      <c r="N2743" s="213"/>
      <c r="O2743" s="213"/>
      <c r="P2743" s="213"/>
      <c r="Q2743" s="213"/>
      <c r="R2743" s="213"/>
      <c r="S2743" s="213"/>
      <c r="T2743" s="213"/>
      <c r="U2743" s="213"/>
      <c r="V2743" s="213"/>
      <c r="W2743" s="213"/>
      <c r="X2743" s="213"/>
      <c r="Y2743" s="213"/>
      <c r="Z2743" s="213"/>
      <c r="AA2743" s="213"/>
      <c r="AB2743" s="213"/>
      <c r="AC2743" s="213"/>
      <c r="AD2743" s="213"/>
      <c r="AE2743" s="213"/>
      <c r="AF2743" s="213"/>
      <c r="AG2743" s="213"/>
      <c r="AH2743" s="213"/>
      <c r="AI2743" s="213"/>
      <c r="AJ2743" s="213"/>
      <c r="AK2743" s="213"/>
      <c r="AL2743" s="213"/>
      <c r="AM2743" s="213"/>
      <c r="AN2743" s="213"/>
      <c r="AO2743" s="213"/>
      <c r="AP2743" s="213"/>
      <c r="AQ2743" s="213"/>
      <c r="AR2743" s="213"/>
      <c r="AS2743" s="213"/>
      <c r="AT2743" s="213"/>
      <c r="AU2743" s="213"/>
      <c r="AV2743" s="213"/>
      <c r="AW2743" s="213"/>
      <c r="AX2743" s="213"/>
      <c r="AY2743" s="213"/>
      <c r="AZ2743" s="213"/>
      <c r="BA2743" s="213"/>
      <c r="BB2743" s="213"/>
      <c r="BC2743" s="213"/>
      <c r="BD2743" s="213"/>
    </row>
    <row r="2744">
      <c r="A2744" s="213"/>
      <c r="B2744" s="213"/>
      <c r="C2744" s="213"/>
      <c r="D2744" s="213"/>
      <c r="E2744" s="213"/>
      <c r="F2744" s="213"/>
      <c r="G2744" s="213"/>
      <c r="H2744" s="213"/>
      <c r="I2744" s="213"/>
      <c r="J2744" s="213"/>
      <c r="K2744" s="213"/>
      <c r="L2744" s="213"/>
      <c r="M2744" s="213"/>
      <c r="N2744" s="213"/>
      <c r="O2744" s="213"/>
      <c r="P2744" s="213"/>
      <c r="Q2744" s="213"/>
      <c r="R2744" s="213"/>
      <c r="S2744" s="213"/>
      <c r="T2744" s="213"/>
      <c r="U2744" s="213"/>
      <c r="V2744" s="213"/>
      <c r="W2744" s="213"/>
      <c r="X2744" s="213"/>
      <c r="Y2744" s="213"/>
      <c r="Z2744" s="213"/>
      <c r="AA2744" s="213"/>
      <c r="AB2744" s="213"/>
      <c r="AC2744" s="213"/>
      <c r="AD2744" s="213"/>
      <c r="AE2744" s="213"/>
      <c r="AF2744" s="213"/>
      <c r="AG2744" s="213"/>
      <c r="AH2744" s="213"/>
      <c r="AI2744" s="213"/>
      <c r="AJ2744" s="213"/>
      <c r="AK2744" s="213"/>
      <c r="AL2744" s="213"/>
      <c r="AM2744" s="213"/>
      <c r="AN2744" s="213"/>
      <c r="AO2744" s="213"/>
      <c r="AP2744" s="213"/>
      <c r="AQ2744" s="213"/>
      <c r="AR2744" s="213"/>
      <c r="AS2744" s="213"/>
      <c r="AT2744" s="213"/>
      <c r="AU2744" s="213"/>
      <c r="AV2744" s="213"/>
      <c r="AW2744" s="213"/>
      <c r="AX2744" s="213"/>
      <c r="AY2744" s="213"/>
      <c r="AZ2744" s="213"/>
      <c r="BA2744" s="213"/>
      <c r="BB2744" s="213"/>
      <c r="BC2744" s="213"/>
      <c r="BD2744" s="213"/>
    </row>
    <row r="2745">
      <c r="A2745" s="213"/>
      <c r="B2745" s="213"/>
      <c r="C2745" s="213"/>
      <c r="D2745" s="213"/>
      <c r="E2745" s="213"/>
      <c r="F2745" s="213"/>
      <c r="G2745" s="213"/>
      <c r="H2745" s="213"/>
      <c r="I2745" s="213"/>
      <c r="J2745" s="213"/>
      <c r="K2745" s="213"/>
      <c r="L2745" s="213"/>
      <c r="M2745" s="213"/>
      <c r="N2745" s="213"/>
      <c r="O2745" s="213"/>
      <c r="P2745" s="213"/>
      <c r="Q2745" s="213"/>
      <c r="R2745" s="213"/>
      <c r="S2745" s="213"/>
      <c r="T2745" s="213"/>
      <c r="U2745" s="213"/>
      <c r="V2745" s="213"/>
      <c r="W2745" s="213"/>
      <c r="X2745" s="213"/>
      <c r="Y2745" s="213"/>
      <c r="Z2745" s="213"/>
      <c r="AA2745" s="213"/>
      <c r="AB2745" s="213"/>
      <c r="AC2745" s="213"/>
      <c r="AD2745" s="213"/>
      <c r="AE2745" s="213"/>
      <c r="AF2745" s="213"/>
      <c r="AG2745" s="213"/>
      <c r="AH2745" s="213"/>
      <c r="AI2745" s="213"/>
      <c r="AJ2745" s="213"/>
      <c r="AK2745" s="213"/>
      <c r="AL2745" s="213"/>
      <c r="AM2745" s="213"/>
      <c r="AN2745" s="213"/>
      <c r="AO2745" s="213"/>
      <c r="AP2745" s="213"/>
      <c r="AQ2745" s="213"/>
      <c r="AR2745" s="213"/>
      <c r="AS2745" s="213"/>
      <c r="AT2745" s="213"/>
      <c r="AU2745" s="213"/>
      <c r="AV2745" s="213"/>
      <c r="AW2745" s="213"/>
      <c r="AX2745" s="213"/>
      <c r="AY2745" s="213"/>
      <c r="AZ2745" s="213"/>
      <c r="BA2745" s="213"/>
      <c r="BB2745" s="213"/>
      <c r="BC2745" s="213"/>
      <c r="BD2745" s="213"/>
    </row>
    <row r="2746">
      <c r="A2746" s="213"/>
      <c r="B2746" s="213"/>
      <c r="C2746" s="213"/>
      <c r="D2746" s="213"/>
      <c r="E2746" s="213"/>
      <c r="F2746" s="213"/>
      <c r="G2746" s="213"/>
      <c r="H2746" s="213"/>
      <c r="I2746" s="213"/>
      <c r="J2746" s="213"/>
      <c r="K2746" s="213"/>
      <c r="L2746" s="213"/>
      <c r="M2746" s="213"/>
      <c r="N2746" s="213"/>
      <c r="O2746" s="213"/>
      <c r="P2746" s="213"/>
      <c r="Q2746" s="213"/>
      <c r="R2746" s="213"/>
      <c r="S2746" s="213"/>
      <c r="T2746" s="213"/>
      <c r="U2746" s="213"/>
      <c r="V2746" s="213"/>
      <c r="W2746" s="213"/>
      <c r="X2746" s="213"/>
      <c r="Y2746" s="213"/>
      <c r="Z2746" s="213"/>
      <c r="AA2746" s="213"/>
      <c r="AB2746" s="213"/>
      <c r="AC2746" s="213"/>
      <c r="AD2746" s="213"/>
      <c r="AE2746" s="213"/>
      <c r="AF2746" s="213"/>
      <c r="AG2746" s="213"/>
      <c r="AH2746" s="213"/>
      <c r="AI2746" s="213"/>
      <c r="AJ2746" s="213"/>
      <c r="AK2746" s="213"/>
      <c r="AL2746" s="213"/>
      <c r="AM2746" s="213"/>
      <c r="AN2746" s="213"/>
      <c r="AO2746" s="213"/>
      <c r="AP2746" s="213"/>
      <c r="AQ2746" s="213"/>
      <c r="AR2746" s="213"/>
      <c r="AS2746" s="213"/>
      <c r="AT2746" s="213"/>
      <c r="AU2746" s="213"/>
      <c r="AV2746" s="213"/>
      <c r="AW2746" s="213"/>
      <c r="AX2746" s="213"/>
      <c r="AY2746" s="213"/>
      <c r="AZ2746" s="213"/>
      <c r="BA2746" s="213"/>
      <c r="BB2746" s="213"/>
      <c r="BC2746" s="213"/>
      <c r="BD2746" s="213"/>
    </row>
    <row r="2747">
      <c r="A2747" s="213"/>
      <c r="B2747" s="213"/>
      <c r="C2747" s="213"/>
      <c r="D2747" s="213"/>
      <c r="E2747" s="213"/>
      <c r="F2747" s="213"/>
      <c r="G2747" s="213"/>
      <c r="H2747" s="213"/>
      <c r="I2747" s="213"/>
      <c r="J2747" s="213"/>
      <c r="K2747" s="213"/>
      <c r="L2747" s="213"/>
      <c r="M2747" s="213"/>
      <c r="N2747" s="213"/>
      <c r="O2747" s="213"/>
      <c r="P2747" s="213"/>
      <c r="Q2747" s="213"/>
      <c r="R2747" s="213"/>
      <c r="S2747" s="213"/>
      <c r="T2747" s="213"/>
      <c r="U2747" s="213"/>
      <c r="V2747" s="213"/>
      <c r="W2747" s="213"/>
      <c r="X2747" s="213"/>
      <c r="Y2747" s="213"/>
      <c r="Z2747" s="213"/>
      <c r="AA2747" s="213"/>
      <c r="AB2747" s="213"/>
      <c r="AC2747" s="213"/>
      <c r="AD2747" s="213"/>
      <c r="AE2747" s="213"/>
      <c r="AF2747" s="213"/>
      <c r="AG2747" s="213"/>
      <c r="AH2747" s="213"/>
      <c r="AI2747" s="213"/>
      <c r="AJ2747" s="213"/>
      <c r="AK2747" s="213"/>
      <c r="AL2747" s="213"/>
      <c r="AM2747" s="213"/>
      <c r="AN2747" s="213"/>
      <c r="AO2747" s="213"/>
      <c r="AP2747" s="213"/>
      <c r="AQ2747" s="213"/>
      <c r="AR2747" s="213"/>
      <c r="AS2747" s="213"/>
      <c r="AT2747" s="213"/>
      <c r="AU2747" s="213"/>
      <c r="AV2747" s="213"/>
      <c r="AW2747" s="213"/>
      <c r="AX2747" s="213"/>
      <c r="AY2747" s="213"/>
      <c r="AZ2747" s="213"/>
      <c r="BA2747" s="213"/>
      <c r="BB2747" s="213"/>
      <c r="BC2747" s="213"/>
      <c r="BD2747" s="213"/>
    </row>
    <row r="2748">
      <c r="A2748" s="213"/>
      <c r="B2748" s="213"/>
      <c r="C2748" s="213"/>
      <c r="D2748" s="213"/>
      <c r="E2748" s="213"/>
      <c r="F2748" s="213"/>
      <c r="G2748" s="213"/>
      <c r="H2748" s="213"/>
      <c r="I2748" s="213"/>
      <c r="J2748" s="213"/>
      <c r="K2748" s="213"/>
      <c r="L2748" s="213"/>
      <c r="M2748" s="213"/>
      <c r="N2748" s="213"/>
      <c r="O2748" s="213"/>
      <c r="P2748" s="213"/>
      <c r="Q2748" s="213"/>
      <c r="R2748" s="213"/>
      <c r="S2748" s="213"/>
      <c r="T2748" s="213"/>
      <c r="U2748" s="213"/>
      <c r="V2748" s="213"/>
      <c r="W2748" s="213"/>
      <c r="X2748" s="213"/>
      <c r="Y2748" s="213"/>
      <c r="Z2748" s="213"/>
      <c r="AA2748" s="213"/>
      <c r="AB2748" s="213"/>
      <c r="AC2748" s="213"/>
      <c r="AD2748" s="213"/>
      <c r="AE2748" s="213"/>
      <c r="AF2748" s="213"/>
      <c r="AG2748" s="213"/>
      <c r="AH2748" s="213"/>
      <c r="AI2748" s="213"/>
      <c r="AJ2748" s="213"/>
      <c r="AK2748" s="213"/>
      <c r="AL2748" s="213"/>
      <c r="AM2748" s="213"/>
      <c r="AN2748" s="213"/>
      <c r="AO2748" s="213"/>
      <c r="AP2748" s="213"/>
      <c r="AQ2748" s="213"/>
      <c r="AR2748" s="213"/>
      <c r="AS2748" s="213"/>
      <c r="AT2748" s="213"/>
      <c r="AU2748" s="213"/>
      <c r="AV2748" s="213"/>
      <c r="AW2748" s="213"/>
      <c r="AX2748" s="213"/>
      <c r="AY2748" s="213"/>
      <c r="AZ2748" s="213"/>
      <c r="BA2748" s="213"/>
      <c r="BB2748" s="213"/>
      <c r="BC2748" s="213"/>
      <c r="BD2748" s="213"/>
    </row>
    <row r="2749">
      <c r="A2749" s="213"/>
      <c r="B2749" s="213"/>
      <c r="C2749" s="213"/>
      <c r="D2749" s="213"/>
      <c r="E2749" s="213"/>
      <c r="F2749" s="213"/>
      <c r="G2749" s="213"/>
      <c r="H2749" s="213"/>
      <c r="I2749" s="213"/>
      <c r="J2749" s="213"/>
      <c r="K2749" s="213"/>
      <c r="L2749" s="213"/>
      <c r="M2749" s="213"/>
      <c r="N2749" s="213"/>
      <c r="O2749" s="213"/>
      <c r="P2749" s="213"/>
      <c r="Q2749" s="213"/>
      <c r="R2749" s="213"/>
      <c r="S2749" s="213"/>
      <c r="T2749" s="213"/>
      <c r="U2749" s="213"/>
      <c r="V2749" s="213"/>
      <c r="W2749" s="213"/>
      <c r="X2749" s="213"/>
      <c r="Y2749" s="213"/>
      <c r="Z2749" s="213"/>
      <c r="AA2749" s="213"/>
      <c r="AB2749" s="213"/>
      <c r="AC2749" s="213"/>
      <c r="AD2749" s="213"/>
      <c r="AE2749" s="213"/>
      <c r="AF2749" s="213"/>
      <c r="AG2749" s="213"/>
      <c r="AH2749" s="213"/>
      <c r="AI2749" s="213"/>
      <c r="AJ2749" s="213"/>
      <c r="AK2749" s="213"/>
      <c r="AL2749" s="213"/>
      <c r="AM2749" s="213"/>
      <c r="AN2749" s="213"/>
      <c r="AO2749" s="213"/>
      <c r="AP2749" s="213"/>
      <c r="AQ2749" s="213"/>
      <c r="AR2749" s="213"/>
      <c r="AS2749" s="213"/>
      <c r="AT2749" s="213"/>
      <c r="AU2749" s="213"/>
      <c r="AV2749" s="213"/>
      <c r="AW2749" s="213"/>
      <c r="AX2749" s="213"/>
      <c r="AY2749" s="213"/>
      <c r="AZ2749" s="213"/>
      <c r="BA2749" s="213"/>
      <c r="BB2749" s="213"/>
      <c r="BC2749" s="213"/>
      <c r="BD2749" s="213"/>
    </row>
    <row r="2750">
      <c r="A2750" s="213"/>
      <c r="B2750" s="213"/>
      <c r="C2750" s="213"/>
      <c r="D2750" s="213"/>
      <c r="E2750" s="213"/>
      <c r="F2750" s="213"/>
      <c r="G2750" s="213"/>
      <c r="H2750" s="213"/>
      <c r="I2750" s="213"/>
      <c r="J2750" s="213"/>
      <c r="K2750" s="213"/>
      <c r="L2750" s="213"/>
      <c r="M2750" s="213"/>
      <c r="N2750" s="213"/>
      <c r="O2750" s="213"/>
      <c r="P2750" s="213"/>
      <c r="Q2750" s="213"/>
      <c r="R2750" s="213"/>
      <c r="S2750" s="213"/>
      <c r="T2750" s="213"/>
      <c r="U2750" s="213"/>
      <c r="V2750" s="213"/>
      <c r="W2750" s="213"/>
      <c r="X2750" s="213"/>
      <c r="Y2750" s="213"/>
      <c r="Z2750" s="213"/>
      <c r="AA2750" s="213"/>
      <c r="AB2750" s="213"/>
      <c r="AC2750" s="213"/>
      <c r="AD2750" s="213"/>
      <c r="AE2750" s="213"/>
      <c r="AF2750" s="213"/>
      <c r="AG2750" s="213"/>
      <c r="AH2750" s="213"/>
      <c r="AI2750" s="213"/>
      <c r="AJ2750" s="213"/>
      <c r="AK2750" s="213"/>
      <c r="AL2750" s="213"/>
      <c r="AM2750" s="213"/>
      <c r="AN2750" s="213"/>
      <c r="AO2750" s="213"/>
      <c r="AP2750" s="213"/>
      <c r="AQ2750" s="213"/>
      <c r="AR2750" s="213"/>
      <c r="AS2750" s="213"/>
      <c r="AT2750" s="213"/>
      <c r="AU2750" s="213"/>
      <c r="AV2750" s="213"/>
      <c r="AW2750" s="213"/>
      <c r="AX2750" s="213"/>
      <c r="AY2750" s="213"/>
      <c r="AZ2750" s="213"/>
      <c r="BA2750" s="213"/>
      <c r="BB2750" s="213"/>
      <c r="BC2750" s="213"/>
      <c r="BD2750" s="213"/>
    </row>
    <row r="2751">
      <c r="A2751" s="213"/>
      <c r="B2751" s="213"/>
      <c r="C2751" s="213"/>
      <c r="D2751" s="213"/>
      <c r="E2751" s="213"/>
      <c r="F2751" s="213"/>
      <c r="G2751" s="213"/>
      <c r="H2751" s="213"/>
      <c r="I2751" s="213"/>
      <c r="J2751" s="213"/>
      <c r="K2751" s="213"/>
      <c r="L2751" s="213"/>
      <c r="M2751" s="213"/>
      <c r="N2751" s="213"/>
      <c r="O2751" s="213"/>
      <c r="P2751" s="213"/>
      <c r="Q2751" s="213"/>
      <c r="R2751" s="213"/>
      <c r="S2751" s="213"/>
      <c r="T2751" s="213"/>
      <c r="U2751" s="213"/>
      <c r="V2751" s="213"/>
      <c r="W2751" s="213"/>
      <c r="X2751" s="213"/>
      <c r="Y2751" s="213"/>
      <c r="Z2751" s="213"/>
      <c r="AA2751" s="213"/>
      <c r="AB2751" s="213"/>
      <c r="AC2751" s="213"/>
      <c r="AD2751" s="213"/>
      <c r="AE2751" s="213"/>
      <c r="AF2751" s="213"/>
      <c r="AG2751" s="213"/>
      <c r="AH2751" s="213"/>
      <c r="AI2751" s="213"/>
      <c r="AJ2751" s="213"/>
      <c r="AK2751" s="213"/>
      <c r="AL2751" s="213"/>
      <c r="AM2751" s="213"/>
      <c r="AN2751" s="213"/>
      <c r="AO2751" s="213"/>
      <c r="AP2751" s="213"/>
      <c r="AQ2751" s="213"/>
      <c r="AR2751" s="213"/>
      <c r="AS2751" s="213"/>
      <c r="AT2751" s="213"/>
      <c r="AU2751" s="213"/>
      <c r="AV2751" s="213"/>
      <c r="AW2751" s="213"/>
      <c r="AX2751" s="213"/>
      <c r="AY2751" s="213"/>
      <c r="AZ2751" s="213"/>
      <c r="BA2751" s="213"/>
      <c r="BB2751" s="213"/>
      <c r="BC2751" s="213"/>
      <c r="BD2751" s="213"/>
    </row>
    <row r="2752">
      <c r="A2752" s="213"/>
      <c r="B2752" s="213"/>
      <c r="C2752" s="213"/>
      <c r="D2752" s="213"/>
      <c r="E2752" s="213"/>
      <c r="F2752" s="213"/>
      <c r="G2752" s="213"/>
      <c r="H2752" s="213"/>
      <c r="I2752" s="213"/>
      <c r="J2752" s="213"/>
      <c r="K2752" s="213"/>
      <c r="L2752" s="213"/>
      <c r="M2752" s="213"/>
      <c r="N2752" s="213"/>
      <c r="O2752" s="213"/>
      <c r="P2752" s="213"/>
      <c r="Q2752" s="213"/>
      <c r="R2752" s="213"/>
      <c r="S2752" s="213"/>
      <c r="T2752" s="213"/>
      <c r="U2752" s="213"/>
      <c r="V2752" s="213"/>
      <c r="W2752" s="213"/>
      <c r="X2752" s="213"/>
      <c r="Y2752" s="213"/>
      <c r="Z2752" s="213"/>
      <c r="AA2752" s="213"/>
      <c r="AB2752" s="213"/>
      <c r="AC2752" s="213"/>
      <c r="AD2752" s="213"/>
      <c r="AE2752" s="213"/>
      <c r="AF2752" s="213"/>
      <c r="AG2752" s="213"/>
      <c r="AH2752" s="213"/>
      <c r="AI2752" s="213"/>
      <c r="AJ2752" s="213"/>
      <c r="AK2752" s="213"/>
      <c r="AL2752" s="213"/>
      <c r="AM2752" s="213"/>
      <c r="AN2752" s="213"/>
      <c r="AO2752" s="213"/>
      <c r="AP2752" s="213"/>
      <c r="AQ2752" s="213"/>
      <c r="AR2752" s="213"/>
      <c r="AS2752" s="213"/>
      <c r="AT2752" s="213"/>
      <c r="AU2752" s="213"/>
      <c r="AV2752" s="213"/>
      <c r="AW2752" s="213"/>
      <c r="AX2752" s="213"/>
      <c r="AY2752" s="213"/>
      <c r="AZ2752" s="213"/>
      <c r="BA2752" s="213"/>
      <c r="BB2752" s="213"/>
      <c r="BC2752" s="213"/>
      <c r="BD2752" s="213"/>
    </row>
    <row r="2753">
      <c r="A2753" s="213"/>
      <c r="B2753" s="213"/>
      <c r="C2753" s="213"/>
      <c r="D2753" s="213"/>
      <c r="E2753" s="213"/>
      <c r="F2753" s="213"/>
      <c r="G2753" s="213"/>
      <c r="H2753" s="213"/>
      <c r="I2753" s="213"/>
      <c r="J2753" s="213"/>
      <c r="K2753" s="213"/>
      <c r="L2753" s="213"/>
      <c r="M2753" s="213"/>
      <c r="N2753" s="213"/>
      <c r="O2753" s="213"/>
      <c r="P2753" s="213"/>
      <c r="Q2753" s="213"/>
      <c r="R2753" s="213"/>
      <c r="S2753" s="213"/>
      <c r="T2753" s="213"/>
      <c r="U2753" s="213"/>
      <c r="V2753" s="213"/>
      <c r="W2753" s="213"/>
      <c r="X2753" s="213"/>
      <c r="Y2753" s="213"/>
      <c r="Z2753" s="213"/>
      <c r="AA2753" s="213"/>
      <c r="AB2753" s="213"/>
      <c r="AC2753" s="213"/>
      <c r="AD2753" s="213"/>
      <c r="AE2753" s="213"/>
      <c r="AF2753" s="213"/>
      <c r="AG2753" s="213"/>
      <c r="AH2753" s="213"/>
      <c r="AI2753" s="213"/>
      <c r="AJ2753" s="213"/>
      <c r="AK2753" s="213"/>
      <c r="AL2753" s="213"/>
      <c r="AM2753" s="213"/>
      <c r="AN2753" s="213"/>
      <c r="AO2753" s="213"/>
      <c r="AP2753" s="213"/>
      <c r="AQ2753" s="213"/>
      <c r="AR2753" s="213"/>
      <c r="AS2753" s="213"/>
      <c r="AT2753" s="213"/>
      <c r="AU2753" s="213"/>
      <c r="AV2753" s="213"/>
      <c r="AW2753" s="213"/>
      <c r="AX2753" s="213"/>
      <c r="AY2753" s="213"/>
      <c r="AZ2753" s="213"/>
      <c r="BA2753" s="213"/>
      <c r="BB2753" s="213"/>
      <c r="BC2753" s="213"/>
      <c r="BD2753" s="213"/>
    </row>
    <row r="2754">
      <c r="A2754" s="213"/>
      <c r="B2754" s="213"/>
      <c r="C2754" s="213"/>
      <c r="D2754" s="213"/>
      <c r="E2754" s="213"/>
      <c r="F2754" s="213"/>
      <c r="G2754" s="213"/>
      <c r="H2754" s="213"/>
      <c r="I2754" s="213"/>
      <c r="J2754" s="213"/>
      <c r="K2754" s="213"/>
      <c r="L2754" s="213"/>
      <c r="M2754" s="213"/>
      <c r="N2754" s="213"/>
      <c r="O2754" s="213"/>
      <c r="P2754" s="213"/>
      <c r="Q2754" s="213"/>
      <c r="R2754" s="213"/>
      <c r="S2754" s="213"/>
      <c r="T2754" s="213"/>
      <c r="U2754" s="213"/>
      <c r="V2754" s="213"/>
      <c r="W2754" s="213"/>
      <c r="X2754" s="213"/>
      <c r="Y2754" s="213"/>
      <c r="Z2754" s="213"/>
      <c r="AA2754" s="213"/>
      <c r="AB2754" s="213"/>
      <c r="AC2754" s="213"/>
      <c r="AD2754" s="213"/>
      <c r="AE2754" s="213"/>
      <c r="AF2754" s="213"/>
      <c r="AG2754" s="213"/>
      <c r="AH2754" s="213"/>
      <c r="AI2754" s="213"/>
      <c r="AJ2754" s="213"/>
      <c r="AK2754" s="213"/>
      <c r="AL2754" s="213"/>
      <c r="AM2754" s="213"/>
      <c r="AN2754" s="213"/>
      <c r="AO2754" s="213"/>
      <c r="AP2754" s="213"/>
      <c r="AQ2754" s="213"/>
      <c r="AR2754" s="213"/>
      <c r="AS2754" s="213"/>
      <c r="AT2754" s="213"/>
      <c r="AU2754" s="213"/>
      <c r="AV2754" s="213"/>
      <c r="AW2754" s="213"/>
      <c r="AX2754" s="213"/>
      <c r="AY2754" s="213"/>
      <c r="AZ2754" s="213"/>
      <c r="BA2754" s="213"/>
      <c r="BB2754" s="213"/>
      <c r="BC2754" s="213"/>
      <c r="BD2754" s="213"/>
    </row>
    <row r="2755">
      <c r="A2755" s="213"/>
      <c r="B2755" s="213"/>
      <c r="C2755" s="213"/>
      <c r="D2755" s="213"/>
      <c r="E2755" s="213"/>
      <c r="F2755" s="213"/>
      <c r="G2755" s="213"/>
      <c r="H2755" s="213"/>
      <c r="I2755" s="213"/>
      <c r="J2755" s="213"/>
      <c r="K2755" s="213"/>
      <c r="L2755" s="213"/>
      <c r="M2755" s="213"/>
      <c r="N2755" s="213"/>
      <c r="O2755" s="213"/>
      <c r="P2755" s="213"/>
      <c r="Q2755" s="213"/>
      <c r="R2755" s="213"/>
      <c r="S2755" s="213"/>
      <c r="T2755" s="213"/>
      <c r="U2755" s="213"/>
      <c r="V2755" s="213"/>
      <c r="W2755" s="213"/>
      <c r="X2755" s="213"/>
      <c r="Y2755" s="213"/>
      <c r="Z2755" s="213"/>
      <c r="AA2755" s="213"/>
      <c r="AB2755" s="213"/>
      <c r="AC2755" s="213"/>
      <c r="AD2755" s="213"/>
      <c r="AE2755" s="213"/>
      <c r="AF2755" s="213"/>
      <c r="AG2755" s="213"/>
      <c r="AH2755" s="213"/>
      <c r="AI2755" s="213"/>
      <c r="AJ2755" s="213"/>
      <c r="AK2755" s="213"/>
      <c r="AL2755" s="213"/>
      <c r="AM2755" s="213"/>
      <c r="AN2755" s="213"/>
      <c r="AO2755" s="213"/>
      <c r="AP2755" s="213"/>
      <c r="AQ2755" s="213"/>
      <c r="AR2755" s="213"/>
      <c r="AS2755" s="213"/>
      <c r="AT2755" s="213"/>
      <c r="AU2755" s="213"/>
      <c r="AV2755" s="213"/>
      <c r="AW2755" s="213"/>
      <c r="AX2755" s="213"/>
      <c r="AY2755" s="213"/>
      <c r="AZ2755" s="213"/>
      <c r="BA2755" s="213"/>
      <c r="BB2755" s="213"/>
      <c r="BC2755" s="213"/>
      <c r="BD2755" s="213"/>
    </row>
    <row r="2756">
      <c r="A2756" s="213"/>
      <c r="B2756" s="213"/>
      <c r="C2756" s="213"/>
      <c r="D2756" s="213"/>
      <c r="E2756" s="213"/>
      <c r="F2756" s="213"/>
      <c r="G2756" s="213"/>
      <c r="H2756" s="213"/>
      <c r="I2756" s="213"/>
      <c r="J2756" s="213"/>
      <c r="K2756" s="213"/>
      <c r="L2756" s="213"/>
      <c r="M2756" s="213"/>
      <c r="N2756" s="213"/>
      <c r="O2756" s="213"/>
      <c r="P2756" s="213"/>
      <c r="Q2756" s="213"/>
      <c r="R2756" s="213"/>
      <c r="S2756" s="213"/>
      <c r="T2756" s="213"/>
      <c r="U2756" s="213"/>
      <c r="V2756" s="213"/>
      <c r="W2756" s="213"/>
      <c r="X2756" s="213"/>
      <c r="Y2756" s="213"/>
      <c r="Z2756" s="213"/>
      <c r="AA2756" s="213"/>
      <c r="AB2756" s="213"/>
      <c r="AC2756" s="213"/>
      <c r="AD2756" s="213"/>
      <c r="AE2756" s="213"/>
      <c r="AF2756" s="213"/>
      <c r="AG2756" s="213"/>
      <c r="AH2756" s="213"/>
      <c r="AI2756" s="213"/>
      <c r="AJ2756" s="213"/>
      <c r="AK2756" s="213"/>
      <c r="AL2756" s="213"/>
      <c r="AM2756" s="213"/>
      <c r="AN2756" s="213"/>
      <c r="AO2756" s="213"/>
      <c r="AP2756" s="213"/>
      <c r="AQ2756" s="213"/>
      <c r="AR2756" s="213"/>
      <c r="AS2756" s="213"/>
      <c r="AT2756" s="213"/>
      <c r="AU2756" s="213"/>
      <c r="AV2756" s="213"/>
      <c r="AW2756" s="213"/>
      <c r="AX2756" s="213"/>
      <c r="AY2756" s="213"/>
      <c r="AZ2756" s="213"/>
      <c r="BA2756" s="213"/>
      <c r="BB2756" s="213"/>
      <c r="BC2756" s="213"/>
      <c r="BD2756" s="213"/>
    </row>
    <row r="2757">
      <c r="A2757" s="213"/>
      <c r="B2757" s="213"/>
      <c r="C2757" s="213"/>
      <c r="D2757" s="213"/>
      <c r="E2757" s="213"/>
      <c r="F2757" s="213"/>
      <c r="G2757" s="213"/>
      <c r="H2757" s="213"/>
      <c r="I2757" s="213"/>
      <c r="J2757" s="213"/>
      <c r="K2757" s="213"/>
      <c r="L2757" s="213"/>
      <c r="M2757" s="213"/>
      <c r="N2757" s="213"/>
      <c r="O2757" s="213"/>
      <c r="P2757" s="213"/>
      <c r="Q2757" s="213"/>
      <c r="R2757" s="213"/>
      <c r="S2757" s="213"/>
      <c r="T2757" s="213"/>
      <c r="U2757" s="213"/>
      <c r="V2757" s="213"/>
      <c r="W2757" s="213"/>
      <c r="X2757" s="213"/>
      <c r="Y2757" s="213"/>
      <c r="Z2757" s="213"/>
      <c r="AA2757" s="213"/>
      <c r="AB2757" s="213"/>
      <c r="AC2757" s="213"/>
      <c r="AD2757" s="213"/>
      <c r="AE2757" s="213"/>
      <c r="AF2757" s="213"/>
      <c r="AG2757" s="213"/>
      <c r="AH2757" s="213"/>
      <c r="AI2757" s="213"/>
      <c r="AJ2757" s="213"/>
      <c r="AK2757" s="213"/>
      <c r="AL2757" s="213"/>
      <c r="AM2757" s="213"/>
      <c r="AN2757" s="213"/>
      <c r="AO2757" s="213"/>
      <c r="AP2757" s="213"/>
      <c r="AQ2757" s="213"/>
      <c r="AR2757" s="213"/>
      <c r="AS2757" s="213"/>
      <c r="AT2757" s="213"/>
      <c r="AU2757" s="213"/>
      <c r="AV2757" s="213"/>
      <c r="AW2757" s="213"/>
      <c r="AX2757" s="213"/>
      <c r="AY2757" s="213"/>
      <c r="AZ2757" s="213"/>
      <c r="BA2757" s="213"/>
      <c r="BB2757" s="213"/>
      <c r="BC2757" s="213"/>
      <c r="BD2757" s="213"/>
    </row>
    <row r="2758">
      <c r="A2758" s="213"/>
      <c r="B2758" s="213"/>
      <c r="C2758" s="213"/>
      <c r="D2758" s="213"/>
      <c r="E2758" s="213"/>
      <c r="F2758" s="213"/>
      <c r="G2758" s="213"/>
      <c r="H2758" s="213"/>
      <c r="I2758" s="213"/>
      <c r="J2758" s="213"/>
      <c r="K2758" s="213"/>
      <c r="L2758" s="213"/>
      <c r="M2758" s="213"/>
      <c r="N2758" s="213"/>
      <c r="O2758" s="213"/>
      <c r="P2758" s="213"/>
      <c r="Q2758" s="213"/>
      <c r="R2758" s="213"/>
      <c r="S2758" s="213"/>
      <c r="T2758" s="213"/>
      <c r="U2758" s="213"/>
      <c r="V2758" s="213"/>
      <c r="W2758" s="213"/>
      <c r="X2758" s="213"/>
      <c r="Y2758" s="213"/>
      <c r="Z2758" s="213"/>
      <c r="AA2758" s="213"/>
      <c r="AB2758" s="213"/>
      <c r="AC2758" s="213"/>
      <c r="AD2758" s="213"/>
      <c r="AE2758" s="213"/>
      <c r="AF2758" s="213"/>
      <c r="AG2758" s="213"/>
      <c r="AH2758" s="213"/>
      <c r="AI2758" s="213"/>
      <c r="AJ2758" s="213"/>
      <c r="AK2758" s="213"/>
      <c r="AL2758" s="213"/>
      <c r="AM2758" s="213"/>
      <c r="AN2758" s="213"/>
      <c r="AO2758" s="213"/>
      <c r="AP2758" s="213"/>
      <c r="AQ2758" s="213"/>
      <c r="AR2758" s="213"/>
      <c r="AS2758" s="213"/>
      <c r="AT2758" s="213"/>
      <c r="AU2758" s="213"/>
      <c r="AV2758" s="213"/>
      <c r="AW2758" s="213"/>
      <c r="AX2758" s="213"/>
      <c r="AY2758" s="213"/>
      <c r="AZ2758" s="213"/>
      <c r="BA2758" s="213"/>
      <c r="BB2758" s="213"/>
      <c r="BC2758" s="213"/>
      <c r="BD2758" s="213"/>
    </row>
    <row r="2759">
      <c r="A2759" s="213"/>
      <c r="B2759" s="213"/>
      <c r="C2759" s="213"/>
      <c r="D2759" s="213"/>
      <c r="E2759" s="213"/>
      <c r="F2759" s="213"/>
      <c r="G2759" s="213"/>
      <c r="H2759" s="213"/>
      <c r="I2759" s="213"/>
      <c r="J2759" s="213"/>
      <c r="K2759" s="213"/>
      <c r="L2759" s="213"/>
      <c r="M2759" s="213"/>
      <c r="N2759" s="213"/>
      <c r="O2759" s="213"/>
      <c r="P2759" s="213"/>
      <c r="Q2759" s="213"/>
      <c r="R2759" s="213"/>
      <c r="S2759" s="213"/>
      <c r="T2759" s="213"/>
      <c r="U2759" s="213"/>
      <c r="V2759" s="213"/>
      <c r="W2759" s="213"/>
      <c r="X2759" s="213"/>
      <c r="Y2759" s="213"/>
      <c r="Z2759" s="213"/>
      <c r="AA2759" s="213"/>
      <c r="AB2759" s="213"/>
      <c r="AC2759" s="213"/>
      <c r="AD2759" s="213"/>
      <c r="AE2759" s="213"/>
      <c r="AF2759" s="213"/>
      <c r="AG2759" s="213"/>
      <c r="AH2759" s="213"/>
      <c r="AI2759" s="213"/>
      <c r="AJ2759" s="213"/>
      <c r="AK2759" s="213"/>
      <c r="AL2759" s="213"/>
      <c r="AM2759" s="213"/>
      <c r="AN2759" s="213"/>
      <c r="AO2759" s="213"/>
      <c r="AP2759" s="213"/>
      <c r="AQ2759" s="213"/>
      <c r="AR2759" s="213"/>
      <c r="AS2759" s="213"/>
      <c r="AT2759" s="213"/>
      <c r="AU2759" s="213"/>
      <c r="AV2759" s="213"/>
      <c r="AW2759" s="213"/>
      <c r="AX2759" s="213"/>
      <c r="AY2759" s="213"/>
      <c r="AZ2759" s="213"/>
      <c r="BA2759" s="213"/>
      <c r="BB2759" s="213"/>
      <c r="BC2759" s="213"/>
      <c r="BD2759" s="213"/>
    </row>
    <row r="2760">
      <c r="A2760" s="213"/>
      <c r="B2760" s="213"/>
      <c r="C2760" s="213"/>
      <c r="D2760" s="213"/>
      <c r="E2760" s="213"/>
      <c r="F2760" s="213"/>
      <c r="G2760" s="213"/>
      <c r="H2760" s="213"/>
      <c r="I2760" s="213"/>
      <c r="J2760" s="213"/>
      <c r="K2760" s="213"/>
      <c r="L2760" s="213"/>
      <c r="M2760" s="213"/>
      <c r="N2760" s="213"/>
      <c r="O2760" s="213"/>
      <c r="P2760" s="213"/>
      <c r="Q2760" s="213"/>
      <c r="R2760" s="213"/>
      <c r="S2760" s="213"/>
      <c r="T2760" s="213"/>
      <c r="U2760" s="213"/>
      <c r="V2760" s="213"/>
      <c r="W2760" s="213"/>
      <c r="X2760" s="213"/>
      <c r="Y2760" s="213"/>
      <c r="Z2760" s="213"/>
      <c r="AA2760" s="213"/>
      <c r="AB2760" s="213"/>
      <c r="AC2760" s="213"/>
      <c r="AD2760" s="213"/>
      <c r="AE2760" s="213"/>
      <c r="AF2760" s="213"/>
      <c r="AG2760" s="213"/>
      <c r="AH2760" s="213"/>
      <c r="AI2760" s="213"/>
      <c r="AJ2760" s="213"/>
      <c r="AK2760" s="213"/>
      <c r="AL2760" s="213"/>
      <c r="AM2760" s="213"/>
      <c r="AN2760" s="213"/>
      <c r="AO2760" s="213"/>
      <c r="AP2760" s="213"/>
      <c r="AQ2760" s="213"/>
      <c r="AR2760" s="213"/>
      <c r="AS2760" s="213"/>
      <c r="AT2760" s="213"/>
      <c r="AU2760" s="213"/>
      <c r="AV2760" s="213"/>
      <c r="AW2760" s="213"/>
      <c r="AX2760" s="213"/>
      <c r="AY2760" s="213"/>
      <c r="AZ2760" s="213"/>
      <c r="BA2760" s="213"/>
      <c r="BB2760" s="213"/>
      <c r="BC2760" s="213"/>
      <c r="BD2760" s="213"/>
    </row>
    <row r="2761">
      <c r="A2761" s="213"/>
      <c r="B2761" s="213"/>
      <c r="C2761" s="213"/>
      <c r="D2761" s="213"/>
      <c r="E2761" s="213"/>
      <c r="F2761" s="213"/>
      <c r="G2761" s="213"/>
      <c r="H2761" s="213"/>
      <c r="I2761" s="213"/>
      <c r="J2761" s="213"/>
      <c r="K2761" s="213"/>
      <c r="L2761" s="213"/>
      <c r="M2761" s="213"/>
      <c r="N2761" s="213"/>
      <c r="O2761" s="213"/>
      <c r="P2761" s="213"/>
      <c r="Q2761" s="213"/>
      <c r="R2761" s="213"/>
      <c r="S2761" s="213"/>
      <c r="T2761" s="213"/>
      <c r="U2761" s="213"/>
      <c r="V2761" s="213"/>
      <c r="W2761" s="213"/>
      <c r="X2761" s="213"/>
      <c r="Y2761" s="213"/>
      <c r="Z2761" s="213"/>
      <c r="AA2761" s="213"/>
      <c r="AB2761" s="213"/>
      <c r="AC2761" s="213"/>
      <c r="AD2761" s="213"/>
      <c r="AE2761" s="213"/>
      <c r="AF2761" s="213"/>
      <c r="AG2761" s="213"/>
      <c r="AH2761" s="213"/>
      <c r="AI2761" s="213"/>
      <c r="AJ2761" s="213"/>
      <c r="AK2761" s="213"/>
      <c r="AL2761" s="213"/>
      <c r="AM2761" s="213"/>
      <c r="AN2761" s="213"/>
      <c r="AO2761" s="213"/>
      <c r="AP2761" s="213"/>
      <c r="AQ2761" s="213"/>
      <c r="AR2761" s="213"/>
      <c r="AS2761" s="213"/>
      <c r="AT2761" s="213"/>
      <c r="AU2761" s="213"/>
      <c r="AV2761" s="213"/>
      <c r="AW2761" s="213"/>
      <c r="AX2761" s="213"/>
      <c r="AY2761" s="213"/>
      <c r="AZ2761" s="213"/>
      <c r="BA2761" s="213"/>
      <c r="BB2761" s="213"/>
      <c r="BC2761" s="213"/>
      <c r="BD2761" s="213"/>
    </row>
    <row r="2762">
      <c r="A2762" s="213"/>
      <c r="B2762" s="213"/>
      <c r="C2762" s="213"/>
      <c r="D2762" s="213"/>
      <c r="E2762" s="213"/>
      <c r="F2762" s="213"/>
      <c r="G2762" s="213"/>
      <c r="H2762" s="213"/>
      <c r="I2762" s="213"/>
      <c r="J2762" s="213"/>
      <c r="K2762" s="213"/>
      <c r="L2762" s="213"/>
      <c r="M2762" s="213"/>
      <c r="N2762" s="213"/>
      <c r="O2762" s="213"/>
      <c r="P2762" s="213"/>
      <c r="Q2762" s="213"/>
      <c r="R2762" s="213"/>
      <c r="S2762" s="213"/>
      <c r="T2762" s="213"/>
      <c r="U2762" s="213"/>
      <c r="V2762" s="213"/>
      <c r="W2762" s="213"/>
      <c r="X2762" s="213"/>
      <c r="Y2762" s="213"/>
      <c r="Z2762" s="213"/>
      <c r="AA2762" s="213"/>
      <c r="AB2762" s="213"/>
      <c r="AC2762" s="213"/>
      <c r="AD2762" s="213"/>
      <c r="AE2762" s="213"/>
      <c r="AF2762" s="213"/>
      <c r="AG2762" s="213"/>
      <c r="AH2762" s="213"/>
      <c r="AI2762" s="213"/>
      <c r="AJ2762" s="213"/>
      <c r="AK2762" s="213"/>
      <c r="AL2762" s="213"/>
      <c r="AM2762" s="213"/>
      <c r="AN2762" s="213"/>
      <c r="AO2762" s="213"/>
      <c r="AP2762" s="213"/>
      <c r="AQ2762" s="213"/>
      <c r="AR2762" s="213"/>
      <c r="AS2762" s="213"/>
      <c r="AT2762" s="213"/>
      <c r="AU2762" s="213"/>
      <c r="AV2762" s="213"/>
      <c r="AW2762" s="213"/>
      <c r="AX2762" s="213"/>
      <c r="AY2762" s="213"/>
      <c r="AZ2762" s="213"/>
      <c r="BA2762" s="213"/>
      <c r="BB2762" s="213"/>
      <c r="BC2762" s="213"/>
      <c r="BD2762" s="213"/>
    </row>
    <row r="2763">
      <c r="A2763" s="213"/>
      <c r="B2763" s="213"/>
      <c r="C2763" s="213"/>
      <c r="D2763" s="213"/>
      <c r="E2763" s="213"/>
      <c r="F2763" s="213"/>
      <c r="G2763" s="213"/>
      <c r="H2763" s="213"/>
      <c r="I2763" s="213"/>
      <c r="J2763" s="213"/>
      <c r="K2763" s="213"/>
      <c r="L2763" s="213"/>
      <c r="M2763" s="213"/>
      <c r="N2763" s="213"/>
      <c r="O2763" s="213"/>
      <c r="P2763" s="213"/>
      <c r="Q2763" s="213"/>
      <c r="R2763" s="213"/>
      <c r="S2763" s="213"/>
      <c r="T2763" s="213"/>
      <c r="U2763" s="213"/>
      <c r="V2763" s="213"/>
      <c r="W2763" s="213"/>
      <c r="X2763" s="213"/>
      <c r="Y2763" s="213"/>
      <c r="Z2763" s="213"/>
      <c r="AA2763" s="213"/>
      <c r="AB2763" s="213"/>
      <c r="AC2763" s="213"/>
      <c r="AD2763" s="213"/>
      <c r="AE2763" s="213"/>
      <c r="AF2763" s="213"/>
      <c r="AG2763" s="213"/>
      <c r="AH2763" s="213"/>
      <c r="AI2763" s="213"/>
      <c r="AJ2763" s="213"/>
      <c r="AK2763" s="213"/>
      <c r="AL2763" s="213"/>
      <c r="AM2763" s="213"/>
      <c r="AN2763" s="213"/>
      <c r="AO2763" s="213"/>
      <c r="AP2763" s="213"/>
      <c r="AQ2763" s="213"/>
      <c r="AR2763" s="213"/>
      <c r="AS2763" s="213"/>
      <c r="AT2763" s="213"/>
      <c r="AU2763" s="213"/>
      <c r="AV2763" s="213"/>
      <c r="AW2763" s="213"/>
      <c r="AX2763" s="213"/>
      <c r="AY2763" s="213"/>
      <c r="AZ2763" s="213"/>
      <c r="BA2763" s="213"/>
      <c r="BB2763" s="213"/>
      <c r="BC2763" s="213"/>
      <c r="BD2763" s="213"/>
    </row>
    <row r="2764">
      <c r="A2764" s="213"/>
      <c r="B2764" s="213"/>
      <c r="C2764" s="213"/>
      <c r="D2764" s="213"/>
      <c r="E2764" s="213"/>
      <c r="F2764" s="213"/>
      <c r="G2764" s="213"/>
      <c r="H2764" s="213"/>
      <c r="I2764" s="213"/>
      <c r="J2764" s="213"/>
      <c r="K2764" s="213"/>
      <c r="L2764" s="213"/>
      <c r="M2764" s="213"/>
      <c r="N2764" s="213"/>
      <c r="O2764" s="213"/>
      <c r="P2764" s="213"/>
      <c r="Q2764" s="213"/>
      <c r="R2764" s="213"/>
      <c r="S2764" s="213"/>
      <c r="T2764" s="213"/>
      <c r="U2764" s="213"/>
      <c r="V2764" s="213"/>
      <c r="W2764" s="213"/>
      <c r="X2764" s="213"/>
      <c r="Y2764" s="213"/>
      <c r="Z2764" s="213"/>
      <c r="AA2764" s="213"/>
      <c r="AB2764" s="213"/>
      <c r="AC2764" s="213"/>
      <c r="AD2764" s="213"/>
      <c r="AE2764" s="213"/>
      <c r="AF2764" s="213"/>
      <c r="AG2764" s="213"/>
      <c r="AH2764" s="213"/>
      <c r="AI2764" s="213"/>
      <c r="AJ2764" s="213"/>
      <c r="AK2764" s="213"/>
      <c r="AL2764" s="213"/>
      <c r="AM2764" s="213"/>
      <c r="AN2764" s="213"/>
      <c r="AO2764" s="213"/>
      <c r="AP2764" s="213"/>
      <c r="AQ2764" s="213"/>
      <c r="AR2764" s="213"/>
      <c r="AS2764" s="213"/>
      <c r="AT2764" s="213"/>
      <c r="AU2764" s="213"/>
      <c r="AV2764" s="213"/>
      <c r="AW2764" s="213"/>
      <c r="AX2764" s="213"/>
      <c r="AY2764" s="213"/>
      <c r="AZ2764" s="213"/>
      <c r="BA2764" s="213"/>
      <c r="BB2764" s="213"/>
      <c r="BC2764" s="213"/>
      <c r="BD2764" s="213"/>
    </row>
    <row r="2765">
      <c r="A2765" s="213"/>
      <c r="B2765" s="213"/>
      <c r="C2765" s="213"/>
      <c r="D2765" s="213"/>
      <c r="E2765" s="213"/>
      <c r="F2765" s="213"/>
      <c r="G2765" s="213"/>
      <c r="H2765" s="213"/>
      <c r="I2765" s="213"/>
      <c r="J2765" s="213"/>
      <c r="K2765" s="213"/>
      <c r="L2765" s="213"/>
      <c r="M2765" s="213"/>
      <c r="N2765" s="213"/>
      <c r="O2765" s="213"/>
      <c r="P2765" s="213"/>
      <c r="Q2765" s="213"/>
      <c r="R2765" s="213"/>
      <c r="S2765" s="213"/>
      <c r="T2765" s="213"/>
      <c r="U2765" s="213"/>
      <c r="V2765" s="213"/>
      <c r="W2765" s="213"/>
      <c r="X2765" s="213"/>
      <c r="Y2765" s="213"/>
      <c r="Z2765" s="213"/>
      <c r="AA2765" s="213"/>
      <c r="AB2765" s="213"/>
      <c r="AC2765" s="213"/>
      <c r="AD2765" s="213"/>
      <c r="AE2765" s="213"/>
      <c r="AF2765" s="213"/>
      <c r="AG2765" s="213"/>
      <c r="AH2765" s="213"/>
      <c r="AI2765" s="213"/>
      <c r="AJ2765" s="213"/>
      <c r="AK2765" s="213"/>
      <c r="AL2765" s="213"/>
      <c r="AM2765" s="213"/>
      <c r="AN2765" s="213"/>
      <c r="AO2765" s="213"/>
      <c r="AP2765" s="213"/>
      <c r="AQ2765" s="213"/>
      <c r="AR2765" s="213"/>
      <c r="AS2765" s="213"/>
      <c r="AT2765" s="213"/>
      <c r="AU2765" s="213"/>
      <c r="AV2765" s="213"/>
      <c r="AW2765" s="213"/>
      <c r="AX2765" s="213"/>
      <c r="AY2765" s="213"/>
      <c r="AZ2765" s="213"/>
      <c r="BA2765" s="213"/>
      <c r="BB2765" s="213"/>
      <c r="BC2765" s="213"/>
      <c r="BD2765" s="213"/>
    </row>
    <row r="2766">
      <c r="A2766" s="213"/>
      <c r="B2766" s="213"/>
      <c r="C2766" s="213"/>
      <c r="D2766" s="213"/>
      <c r="E2766" s="213"/>
      <c r="F2766" s="213"/>
      <c r="G2766" s="213"/>
      <c r="H2766" s="213"/>
      <c r="I2766" s="213"/>
      <c r="J2766" s="213"/>
      <c r="K2766" s="213"/>
      <c r="L2766" s="213"/>
      <c r="M2766" s="213"/>
      <c r="N2766" s="213"/>
      <c r="O2766" s="213"/>
      <c r="P2766" s="213"/>
      <c r="Q2766" s="213"/>
      <c r="R2766" s="213"/>
      <c r="S2766" s="213"/>
      <c r="T2766" s="213"/>
      <c r="U2766" s="213"/>
      <c r="V2766" s="213"/>
      <c r="W2766" s="213"/>
      <c r="X2766" s="213"/>
      <c r="Y2766" s="213"/>
      <c r="Z2766" s="213"/>
      <c r="AA2766" s="213"/>
      <c r="AB2766" s="213"/>
      <c r="AC2766" s="213"/>
      <c r="AD2766" s="213"/>
      <c r="AE2766" s="213"/>
      <c r="AF2766" s="213"/>
      <c r="AG2766" s="213"/>
      <c r="AH2766" s="213"/>
      <c r="AI2766" s="213"/>
      <c r="AJ2766" s="213"/>
      <c r="AK2766" s="213"/>
      <c r="AL2766" s="213"/>
      <c r="AM2766" s="213"/>
      <c r="AN2766" s="213"/>
      <c r="AO2766" s="213"/>
      <c r="AP2766" s="213"/>
      <c r="AQ2766" s="213"/>
      <c r="AR2766" s="213"/>
      <c r="AS2766" s="213"/>
      <c r="AT2766" s="213"/>
      <c r="AU2766" s="213"/>
      <c r="AV2766" s="213"/>
      <c r="AW2766" s="213"/>
      <c r="AX2766" s="213"/>
      <c r="AY2766" s="213"/>
      <c r="AZ2766" s="213"/>
      <c r="BA2766" s="213"/>
      <c r="BB2766" s="213"/>
      <c r="BC2766" s="213"/>
      <c r="BD2766" s="213"/>
    </row>
    <row r="2767">
      <c r="A2767" s="213"/>
      <c r="B2767" s="213"/>
      <c r="C2767" s="213"/>
      <c r="D2767" s="213"/>
      <c r="E2767" s="213"/>
      <c r="F2767" s="213"/>
      <c r="G2767" s="213"/>
      <c r="H2767" s="213"/>
      <c r="I2767" s="213"/>
      <c r="J2767" s="213"/>
      <c r="K2767" s="213"/>
      <c r="L2767" s="213"/>
      <c r="M2767" s="213"/>
      <c r="N2767" s="213"/>
      <c r="O2767" s="213"/>
      <c r="P2767" s="213"/>
      <c r="Q2767" s="213"/>
      <c r="R2767" s="213"/>
      <c r="S2767" s="213"/>
      <c r="T2767" s="213"/>
      <c r="U2767" s="213"/>
      <c r="V2767" s="213"/>
      <c r="W2767" s="213"/>
      <c r="X2767" s="213"/>
      <c r="Y2767" s="213"/>
      <c r="Z2767" s="213"/>
      <c r="AA2767" s="213"/>
      <c r="AB2767" s="213"/>
      <c r="AC2767" s="213"/>
      <c r="AD2767" s="213"/>
      <c r="AE2767" s="213"/>
      <c r="AF2767" s="213"/>
      <c r="AG2767" s="213"/>
      <c r="AH2767" s="213"/>
      <c r="AI2767" s="213"/>
      <c r="AJ2767" s="213"/>
      <c r="AK2767" s="213"/>
      <c r="AL2767" s="213"/>
      <c r="AM2767" s="213"/>
      <c r="AN2767" s="213"/>
      <c r="AO2767" s="213"/>
      <c r="AP2767" s="213"/>
      <c r="AQ2767" s="213"/>
      <c r="AR2767" s="213"/>
      <c r="AS2767" s="213"/>
      <c r="AT2767" s="213"/>
      <c r="AU2767" s="213"/>
      <c r="AV2767" s="213"/>
      <c r="AW2767" s="213"/>
      <c r="AX2767" s="213"/>
      <c r="AY2767" s="213"/>
      <c r="AZ2767" s="213"/>
      <c r="BA2767" s="213"/>
      <c r="BB2767" s="213"/>
      <c r="BC2767" s="213"/>
      <c r="BD2767" s="213"/>
    </row>
    <row r="2768">
      <c r="A2768" s="213"/>
      <c r="B2768" s="213"/>
      <c r="C2768" s="213"/>
      <c r="D2768" s="213"/>
      <c r="E2768" s="213"/>
      <c r="F2768" s="213"/>
      <c r="G2768" s="213"/>
      <c r="H2768" s="213"/>
      <c r="I2768" s="213"/>
      <c r="J2768" s="213"/>
      <c r="K2768" s="213"/>
      <c r="L2768" s="213"/>
      <c r="M2768" s="213"/>
      <c r="N2768" s="213"/>
      <c r="O2768" s="213"/>
      <c r="P2768" s="213"/>
      <c r="Q2768" s="213"/>
      <c r="R2768" s="213"/>
      <c r="S2768" s="213"/>
      <c r="T2768" s="213"/>
      <c r="U2768" s="213"/>
      <c r="V2768" s="213"/>
      <c r="W2768" s="213"/>
      <c r="X2768" s="213"/>
      <c r="Y2768" s="213"/>
      <c r="Z2768" s="213"/>
      <c r="AA2768" s="213"/>
      <c r="AB2768" s="213"/>
      <c r="AC2768" s="213"/>
      <c r="AD2768" s="213"/>
      <c r="AE2768" s="213"/>
      <c r="AF2768" s="213"/>
      <c r="AG2768" s="213"/>
      <c r="AH2768" s="213"/>
      <c r="AI2768" s="213"/>
      <c r="AJ2768" s="213"/>
      <c r="AK2768" s="213"/>
      <c r="AL2768" s="213"/>
      <c r="AM2768" s="213"/>
      <c r="AN2768" s="213"/>
      <c r="AO2768" s="213"/>
      <c r="AP2768" s="213"/>
      <c r="AQ2768" s="213"/>
      <c r="AR2768" s="213"/>
      <c r="AS2768" s="213"/>
      <c r="AT2768" s="213"/>
      <c r="AU2768" s="213"/>
      <c r="AV2768" s="213"/>
      <c r="AW2768" s="213"/>
      <c r="AX2768" s="213"/>
      <c r="AY2768" s="213"/>
      <c r="AZ2768" s="213"/>
      <c r="BA2768" s="213"/>
      <c r="BB2768" s="213"/>
      <c r="BC2768" s="213"/>
      <c r="BD2768" s="213"/>
    </row>
    <row r="2769">
      <c r="A2769" s="213"/>
      <c r="B2769" s="213"/>
      <c r="C2769" s="213"/>
      <c r="D2769" s="213"/>
      <c r="E2769" s="213"/>
      <c r="F2769" s="213"/>
      <c r="G2769" s="213"/>
      <c r="H2769" s="213"/>
      <c r="I2769" s="213"/>
      <c r="J2769" s="213"/>
      <c r="K2769" s="213"/>
      <c r="L2769" s="213"/>
      <c r="M2769" s="213"/>
      <c r="N2769" s="213"/>
      <c r="O2769" s="213"/>
      <c r="P2769" s="213"/>
      <c r="Q2769" s="213"/>
      <c r="R2769" s="213"/>
      <c r="S2769" s="213"/>
      <c r="T2769" s="213"/>
      <c r="U2769" s="213"/>
      <c r="V2769" s="213"/>
      <c r="W2769" s="213"/>
      <c r="X2769" s="213"/>
      <c r="Y2769" s="213"/>
      <c r="Z2769" s="213"/>
      <c r="AA2769" s="213"/>
      <c r="AB2769" s="213"/>
      <c r="AC2769" s="213"/>
      <c r="AD2769" s="213"/>
      <c r="AE2769" s="213"/>
      <c r="AF2769" s="213"/>
      <c r="AG2769" s="213"/>
      <c r="AH2769" s="213"/>
      <c r="AI2769" s="213"/>
      <c r="AJ2769" s="213"/>
      <c r="AK2769" s="213"/>
      <c r="AL2769" s="213"/>
      <c r="AM2769" s="213"/>
      <c r="AN2769" s="213"/>
      <c r="AO2769" s="213"/>
      <c r="AP2769" s="213"/>
      <c r="AQ2769" s="213"/>
      <c r="AR2769" s="213"/>
      <c r="AS2769" s="213"/>
      <c r="AT2769" s="213"/>
      <c r="AU2769" s="213"/>
      <c r="AV2769" s="213"/>
      <c r="AW2769" s="213"/>
      <c r="AX2769" s="213"/>
      <c r="AY2769" s="213"/>
      <c r="AZ2769" s="213"/>
      <c r="BA2769" s="213"/>
      <c r="BB2769" s="213"/>
      <c r="BC2769" s="213"/>
      <c r="BD2769" s="213"/>
    </row>
    <row r="2770">
      <c r="A2770" s="213"/>
      <c r="B2770" s="213"/>
      <c r="C2770" s="213"/>
      <c r="D2770" s="213"/>
      <c r="E2770" s="213"/>
      <c r="F2770" s="213"/>
      <c r="G2770" s="213"/>
      <c r="H2770" s="213"/>
      <c r="I2770" s="213"/>
      <c r="J2770" s="213"/>
      <c r="K2770" s="213"/>
      <c r="L2770" s="213"/>
      <c r="M2770" s="213"/>
      <c r="N2770" s="213"/>
      <c r="O2770" s="213"/>
      <c r="P2770" s="213"/>
      <c r="Q2770" s="213"/>
      <c r="R2770" s="213"/>
      <c r="S2770" s="213"/>
      <c r="T2770" s="213"/>
      <c r="U2770" s="213"/>
      <c r="V2770" s="213"/>
      <c r="W2770" s="213"/>
      <c r="X2770" s="213"/>
      <c r="Y2770" s="213"/>
      <c r="Z2770" s="213"/>
      <c r="AA2770" s="213"/>
      <c r="AB2770" s="213"/>
      <c r="AC2770" s="213"/>
      <c r="AD2770" s="213"/>
      <c r="AE2770" s="213"/>
      <c r="AF2770" s="213"/>
      <c r="AG2770" s="213"/>
      <c r="AH2770" s="213"/>
      <c r="AI2770" s="213"/>
      <c r="AJ2770" s="213"/>
      <c r="AK2770" s="213"/>
      <c r="AL2770" s="213"/>
      <c r="AM2770" s="213"/>
      <c r="AN2770" s="213"/>
      <c r="AO2770" s="213"/>
      <c r="AP2770" s="213"/>
      <c r="AQ2770" s="213"/>
      <c r="AR2770" s="213"/>
      <c r="AS2770" s="213"/>
      <c r="AT2770" s="213"/>
      <c r="AU2770" s="213"/>
      <c r="AV2770" s="213"/>
      <c r="AW2770" s="213"/>
      <c r="AX2770" s="213"/>
      <c r="AY2770" s="213"/>
      <c r="AZ2770" s="213"/>
      <c r="BA2770" s="213"/>
      <c r="BB2770" s="213"/>
      <c r="BC2770" s="213"/>
      <c r="BD2770" s="213"/>
    </row>
    <row r="2771">
      <c r="A2771" s="213"/>
      <c r="B2771" s="213"/>
      <c r="C2771" s="213"/>
      <c r="D2771" s="213"/>
      <c r="E2771" s="213"/>
      <c r="F2771" s="213"/>
      <c r="G2771" s="213"/>
      <c r="H2771" s="213"/>
      <c r="I2771" s="213"/>
      <c r="J2771" s="213"/>
      <c r="K2771" s="213"/>
      <c r="L2771" s="213"/>
      <c r="M2771" s="213"/>
      <c r="N2771" s="213"/>
      <c r="O2771" s="213"/>
      <c r="P2771" s="213"/>
      <c r="Q2771" s="213"/>
      <c r="R2771" s="213"/>
      <c r="S2771" s="213"/>
      <c r="T2771" s="213"/>
      <c r="U2771" s="213"/>
      <c r="V2771" s="213"/>
      <c r="W2771" s="213"/>
      <c r="X2771" s="213"/>
      <c r="Y2771" s="213"/>
      <c r="Z2771" s="213"/>
      <c r="AA2771" s="213"/>
      <c r="AB2771" s="213"/>
      <c r="AC2771" s="213"/>
      <c r="AD2771" s="213"/>
      <c r="AE2771" s="213"/>
      <c r="AF2771" s="213"/>
      <c r="AG2771" s="213"/>
      <c r="AH2771" s="213"/>
      <c r="AI2771" s="213"/>
      <c r="AJ2771" s="213"/>
      <c r="AK2771" s="213"/>
      <c r="AL2771" s="213"/>
      <c r="AM2771" s="213"/>
      <c r="AN2771" s="213"/>
      <c r="AO2771" s="213"/>
      <c r="AP2771" s="213"/>
      <c r="AQ2771" s="213"/>
      <c r="AR2771" s="213"/>
      <c r="AS2771" s="213"/>
      <c r="AT2771" s="213"/>
      <c r="AU2771" s="213"/>
      <c r="AV2771" s="213"/>
      <c r="AW2771" s="213"/>
      <c r="AX2771" s="213"/>
      <c r="AY2771" s="213"/>
      <c r="AZ2771" s="213"/>
      <c r="BA2771" s="213"/>
      <c r="BB2771" s="213"/>
      <c r="BC2771" s="213"/>
      <c r="BD2771" s="213"/>
    </row>
    <row r="2772">
      <c r="A2772" s="213"/>
      <c r="B2772" s="213"/>
      <c r="C2772" s="213"/>
      <c r="D2772" s="213"/>
      <c r="E2772" s="213"/>
      <c r="F2772" s="213"/>
      <c r="G2772" s="213"/>
      <c r="H2772" s="213"/>
      <c r="I2772" s="213"/>
      <c r="J2772" s="213"/>
      <c r="K2772" s="213"/>
      <c r="L2772" s="213"/>
      <c r="M2772" s="213"/>
      <c r="N2772" s="213"/>
      <c r="O2772" s="213"/>
      <c r="P2772" s="213"/>
      <c r="Q2772" s="213"/>
      <c r="R2772" s="213"/>
      <c r="S2772" s="213"/>
      <c r="T2772" s="213"/>
      <c r="U2772" s="213"/>
      <c r="V2772" s="213"/>
      <c r="W2772" s="213"/>
      <c r="X2772" s="213"/>
      <c r="Y2772" s="213"/>
      <c r="Z2772" s="213"/>
      <c r="AA2772" s="213"/>
      <c r="AB2772" s="213"/>
      <c r="AC2772" s="213"/>
      <c r="AD2772" s="213"/>
      <c r="AE2772" s="213"/>
      <c r="AF2772" s="213"/>
      <c r="AG2772" s="213"/>
      <c r="AH2772" s="213"/>
      <c r="AI2772" s="213"/>
      <c r="AJ2772" s="213"/>
      <c r="AK2772" s="213"/>
      <c r="AL2772" s="213"/>
      <c r="AM2772" s="213"/>
      <c r="AN2772" s="213"/>
      <c r="AO2772" s="213"/>
      <c r="AP2772" s="213"/>
      <c r="AQ2772" s="213"/>
      <c r="AR2772" s="213"/>
      <c r="AS2772" s="213"/>
      <c r="AT2772" s="213"/>
      <c r="AU2772" s="213"/>
      <c r="AV2772" s="213"/>
      <c r="AW2772" s="213"/>
      <c r="AX2772" s="213"/>
      <c r="AY2772" s="213"/>
      <c r="AZ2772" s="213"/>
      <c r="BA2772" s="213"/>
      <c r="BB2772" s="213"/>
      <c r="BC2772" s="213"/>
      <c r="BD2772" s="213"/>
    </row>
    <row r="2773">
      <c r="A2773" s="213"/>
      <c r="B2773" s="213"/>
      <c r="C2773" s="213"/>
      <c r="D2773" s="213"/>
      <c r="E2773" s="213"/>
      <c r="F2773" s="213"/>
      <c r="G2773" s="213"/>
      <c r="H2773" s="213"/>
      <c r="I2773" s="213"/>
      <c r="J2773" s="213"/>
      <c r="K2773" s="213"/>
      <c r="L2773" s="213"/>
      <c r="M2773" s="213"/>
      <c r="N2773" s="213"/>
      <c r="O2773" s="213"/>
      <c r="P2773" s="213"/>
      <c r="Q2773" s="213"/>
      <c r="R2773" s="213"/>
      <c r="S2773" s="213"/>
      <c r="T2773" s="213"/>
      <c r="U2773" s="213"/>
      <c r="V2773" s="213"/>
      <c r="W2773" s="213"/>
      <c r="X2773" s="213"/>
      <c r="Y2773" s="213"/>
      <c r="Z2773" s="213"/>
      <c r="AA2773" s="213"/>
      <c r="AB2773" s="213"/>
      <c r="AC2773" s="213"/>
      <c r="AD2773" s="213"/>
      <c r="AE2773" s="213"/>
      <c r="AF2773" s="213"/>
      <c r="AG2773" s="213"/>
      <c r="AH2773" s="213"/>
      <c r="AI2773" s="213"/>
      <c r="AJ2773" s="213"/>
      <c r="AK2773" s="213"/>
      <c r="AL2773" s="213"/>
      <c r="AM2773" s="213"/>
      <c r="AN2773" s="213"/>
      <c r="AO2773" s="213"/>
      <c r="AP2773" s="213"/>
      <c r="AQ2773" s="213"/>
      <c r="AR2773" s="213"/>
      <c r="AS2773" s="213"/>
      <c r="AT2773" s="213"/>
      <c r="AU2773" s="213"/>
      <c r="AV2773" s="213"/>
      <c r="AW2773" s="213"/>
      <c r="AX2773" s="213"/>
      <c r="AY2773" s="213"/>
      <c r="AZ2773" s="213"/>
      <c r="BA2773" s="213"/>
      <c r="BB2773" s="213"/>
      <c r="BC2773" s="213"/>
      <c r="BD2773" s="213"/>
    </row>
    <row r="2774">
      <c r="A2774" s="213"/>
      <c r="B2774" s="213"/>
      <c r="C2774" s="213"/>
      <c r="D2774" s="213"/>
      <c r="E2774" s="213"/>
      <c r="F2774" s="213"/>
      <c r="G2774" s="213"/>
      <c r="H2774" s="213"/>
      <c r="I2774" s="213"/>
      <c r="J2774" s="213"/>
      <c r="K2774" s="213"/>
      <c r="L2774" s="213"/>
      <c r="M2774" s="213"/>
      <c r="N2774" s="213"/>
      <c r="O2774" s="213"/>
      <c r="P2774" s="213"/>
      <c r="Q2774" s="213"/>
      <c r="R2774" s="213"/>
      <c r="S2774" s="213"/>
      <c r="T2774" s="213"/>
      <c r="U2774" s="213"/>
      <c r="V2774" s="213"/>
      <c r="W2774" s="213"/>
      <c r="X2774" s="213"/>
      <c r="Y2774" s="213"/>
      <c r="Z2774" s="213"/>
      <c r="AA2774" s="213"/>
      <c r="AB2774" s="213"/>
      <c r="AC2774" s="213"/>
      <c r="AD2774" s="213"/>
      <c r="AE2774" s="213"/>
      <c r="AF2774" s="213"/>
      <c r="AG2774" s="213"/>
      <c r="AH2774" s="213"/>
      <c r="AI2774" s="213"/>
      <c r="AJ2774" s="213"/>
      <c r="AK2774" s="213"/>
      <c r="AL2774" s="213"/>
      <c r="AM2774" s="213"/>
      <c r="AN2774" s="213"/>
      <c r="AO2774" s="213"/>
      <c r="AP2774" s="213"/>
      <c r="AQ2774" s="213"/>
      <c r="AR2774" s="213"/>
      <c r="AS2774" s="213"/>
      <c r="AT2774" s="213"/>
      <c r="AU2774" s="213"/>
      <c r="AV2774" s="213"/>
      <c r="AW2774" s="213"/>
      <c r="AX2774" s="213"/>
      <c r="AY2774" s="213"/>
      <c r="AZ2774" s="213"/>
      <c r="BA2774" s="213"/>
      <c r="BB2774" s="213"/>
      <c r="BC2774" s="213"/>
      <c r="BD2774" s="213"/>
    </row>
    <row r="2775">
      <c r="A2775" s="213"/>
      <c r="B2775" s="213"/>
      <c r="C2775" s="213"/>
      <c r="D2775" s="213"/>
      <c r="E2775" s="213"/>
      <c r="F2775" s="213"/>
      <c r="G2775" s="213"/>
      <c r="H2775" s="213"/>
      <c r="I2775" s="213"/>
      <c r="J2775" s="213"/>
      <c r="K2775" s="213"/>
      <c r="L2775" s="213"/>
      <c r="M2775" s="213"/>
      <c r="N2775" s="213"/>
      <c r="O2775" s="213"/>
      <c r="P2775" s="213"/>
      <c r="Q2775" s="213"/>
      <c r="R2775" s="213"/>
      <c r="S2775" s="213"/>
      <c r="T2775" s="213"/>
      <c r="U2775" s="213"/>
      <c r="V2775" s="213"/>
      <c r="W2775" s="213"/>
      <c r="X2775" s="213"/>
      <c r="Y2775" s="213"/>
      <c r="Z2775" s="213"/>
      <c r="AA2775" s="213"/>
      <c r="AB2775" s="213"/>
      <c r="AC2775" s="213"/>
      <c r="AD2775" s="213"/>
      <c r="AE2775" s="213"/>
      <c r="AF2775" s="213"/>
      <c r="AG2775" s="213"/>
      <c r="AH2775" s="213"/>
      <c r="AI2775" s="213"/>
      <c r="AJ2775" s="213"/>
      <c r="AK2775" s="213"/>
      <c r="AL2775" s="213"/>
      <c r="AM2775" s="213"/>
      <c r="AN2775" s="213"/>
      <c r="AO2775" s="213"/>
      <c r="AP2775" s="213"/>
      <c r="AQ2775" s="213"/>
      <c r="AR2775" s="213"/>
      <c r="AS2775" s="213"/>
      <c r="AT2775" s="213"/>
      <c r="AU2775" s="213"/>
      <c r="AV2775" s="213"/>
      <c r="AW2775" s="213"/>
      <c r="AX2775" s="213"/>
      <c r="AY2775" s="213"/>
      <c r="AZ2775" s="213"/>
      <c r="BA2775" s="213"/>
      <c r="BB2775" s="213"/>
      <c r="BC2775" s="213"/>
      <c r="BD2775" s="213"/>
    </row>
    <row r="2776">
      <c r="A2776" s="213"/>
      <c r="B2776" s="213"/>
      <c r="C2776" s="213"/>
      <c r="D2776" s="213"/>
      <c r="E2776" s="213"/>
      <c r="F2776" s="213"/>
      <c r="G2776" s="213"/>
      <c r="H2776" s="213"/>
      <c r="I2776" s="213"/>
      <c r="J2776" s="213"/>
      <c r="K2776" s="213"/>
      <c r="L2776" s="213"/>
      <c r="M2776" s="213"/>
      <c r="N2776" s="213"/>
      <c r="O2776" s="213"/>
      <c r="P2776" s="213"/>
      <c r="Q2776" s="213"/>
      <c r="R2776" s="213"/>
      <c r="S2776" s="213"/>
      <c r="T2776" s="213"/>
      <c r="U2776" s="213"/>
      <c r="V2776" s="213"/>
      <c r="W2776" s="213"/>
      <c r="X2776" s="213"/>
      <c r="Y2776" s="213"/>
      <c r="Z2776" s="213"/>
      <c r="AA2776" s="213"/>
      <c r="AB2776" s="213"/>
      <c r="AC2776" s="213"/>
      <c r="AD2776" s="213"/>
      <c r="AE2776" s="213"/>
      <c r="AF2776" s="213"/>
      <c r="AG2776" s="213"/>
      <c r="AH2776" s="213"/>
      <c r="AI2776" s="213"/>
      <c r="AJ2776" s="213"/>
      <c r="AK2776" s="213"/>
      <c r="AL2776" s="213"/>
      <c r="AM2776" s="213"/>
      <c r="AN2776" s="213"/>
      <c r="AO2776" s="213"/>
      <c r="AP2776" s="213"/>
      <c r="AQ2776" s="213"/>
      <c r="AR2776" s="213"/>
      <c r="AS2776" s="213"/>
      <c r="AT2776" s="213"/>
      <c r="AU2776" s="213"/>
      <c r="AV2776" s="213"/>
      <c r="AW2776" s="213"/>
      <c r="AX2776" s="213"/>
      <c r="AY2776" s="213"/>
      <c r="AZ2776" s="213"/>
      <c r="BA2776" s="213"/>
      <c r="BB2776" s="213"/>
      <c r="BC2776" s="213"/>
      <c r="BD2776" s="213"/>
    </row>
    <row r="2777">
      <c r="A2777" s="213"/>
      <c r="B2777" s="213"/>
      <c r="C2777" s="213"/>
      <c r="D2777" s="213"/>
      <c r="E2777" s="213"/>
      <c r="F2777" s="213"/>
      <c r="G2777" s="213"/>
      <c r="H2777" s="213"/>
      <c r="I2777" s="213"/>
      <c r="J2777" s="213"/>
      <c r="K2777" s="213"/>
      <c r="L2777" s="213"/>
      <c r="M2777" s="213"/>
      <c r="N2777" s="213"/>
      <c r="O2777" s="213"/>
      <c r="P2777" s="213"/>
      <c r="Q2777" s="213"/>
      <c r="R2777" s="213"/>
      <c r="S2777" s="213"/>
      <c r="T2777" s="213"/>
      <c r="U2777" s="213"/>
      <c r="V2777" s="213"/>
      <c r="W2777" s="213"/>
      <c r="X2777" s="213"/>
      <c r="Y2777" s="213"/>
      <c r="Z2777" s="213"/>
      <c r="AA2777" s="213"/>
      <c r="AB2777" s="213"/>
      <c r="AC2777" s="213"/>
      <c r="AD2777" s="213"/>
      <c r="AE2777" s="213"/>
      <c r="AF2777" s="213"/>
      <c r="AG2777" s="213"/>
      <c r="AH2777" s="213"/>
      <c r="AI2777" s="213"/>
      <c r="AJ2777" s="213"/>
      <c r="AK2777" s="213"/>
      <c r="AL2777" s="213"/>
      <c r="AM2777" s="213"/>
      <c r="AN2777" s="213"/>
      <c r="AO2777" s="213"/>
      <c r="AP2777" s="213"/>
      <c r="AQ2777" s="213"/>
      <c r="AR2777" s="213"/>
      <c r="AS2777" s="213"/>
      <c r="AT2777" s="213"/>
      <c r="AU2777" s="213"/>
      <c r="AV2777" s="213"/>
      <c r="AW2777" s="213"/>
      <c r="AX2777" s="213"/>
      <c r="AY2777" s="213"/>
      <c r="AZ2777" s="213"/>
      <c r="BA2777" s="213"/>
      <c r="BB2777" s="213"/>
      <c r="BC2777" s="213"/>
      <c r="BD2777" s="213"/>
    </row>
    <row r="2778">
      <c r="A2778" s="213"/>
      <c r="B2778" s="213"/>
      <c r="C2778" s="213"/>
      <c r="D2778" s="213"/>
      <c r="E2778" s="213"/>
      <c r="F2778" s="213"/>
      <c r="G2778" s="213"/>
      <c r="H2778" s="213"/>
      <c r="I2778" s="213"/>
      <c r="J2778" s="213"/>
      <c r="K2778" s="213"/>
      <c r="L2778" s="213"/>
      <c r="M2778" s="213"/>
      <c r="N2778" s="213"/>
      <c r="O2778" s="213"/>
      <c r="P2778" s="213"/>
      <c r="Q2778" s="213"/>
      <c r="R2778" s="213"/>
      <c r="S2778" s="213"/>
      <c r="T2778" s="213"/>
      <c r="U2778" s="213"/>
      <c r="V2778" s="213"/>
      <c r="W2778" s="213"/>
      <c r="X2778" s="213"/>
      <c r="Y2778" s="213"/>
      <c r="Z2778" s="213"/>
      <c r="AA2778" s="213"/>
      <c r="AB2778" s="213"/>
      <c r="AC2778" s="213"/>
      <c r="AD2778" s="213"/>
      <c r="AE2778" s="213"/>
      <c r="AF2778" s="213"/>
      <c r="AG2778" s="213"/>
      <c r="AH2778" s="213"/>
      <c r="AI2778" s="213"/>
      <c r="AJ2778" s="213"/>
      <c r="AK2778" s="213"/>
      <c r="AL2778" s="213"/>
      <c r="AM2778" s="213"/>
      <c r="AN2778" s="213"/>
      <c r="AO2778" s="213"/>
      <c r="AP2778" s="213"/>
      <c r="AQ2778" s="213"/>
      <c r="AR2778" s="213"/>
      <c r="AS2778" s="213"/>
      <c r="AT2778" s="213"/>
      <c r="AU2778" s="213"/>
      <c r="AV2778" s="213"/>
      <c r="AW2778" s="213"/>
      <c r="AX2778" s="213"/>
      <c r="AY2778" s="213"/>
      <c r="AZ2778" s="213"/>
      <c r="BA2778" s="213"/>
      <c r="BB2778" s="213"/>
      <c r="BC2778" s="213"/>
      <c r="BD2778" s="213"/>
    </row>
    <row r="2779">
      <c r="A2779" s="213"/>
      <c r="B2779" s="213"/>
      <c r="C2779" s="213"/>
      <c r="D2779" s="213"/>
      <c r="E2779" s="213"/>
      <c r="F2779" s="213"/>
      <c r="G2779" s="213"/>
      <c r="H2779" s="213"/>
      <c r="I2779" s="213"/>
      <c r="J2779" s="213"/>
      <c r="K2779" s="213"/>
      <c r="L2779" s="213"/>
      <c r="M2779" s="213"/>
      <c r="N2779" s="213"/>
      <c r="O2779" s="213"/>
      <c r="P2779" s="213"/>
      <c r="Q2779" s="213"/>
      <c r="R2779" s="213"/>
      <c r="S2779" s="213"/>
      <c r="T2779" s="213"/>
      <c r="U2779" s="213"/>
      <c r="V2779" s="213"/>
      <c r="W2779" s="213"/>
      <c r="X2779" s="213"/>
      <c r="Y2779" s="213"/>
      <c r="Z2779" s="213"/>
      <c r="AA2779" s="213"/>
      <c r="AB2779" s="213"/>
      <c r="AC2779" s="213"/>
      <c r="AD2779" s="213"/>
      <c r="AE2779" s="213"/>
      <c r="AF2779" s="213"/>
      <c r="AG2779" s="213"/>
      <c r="AH2779" s="213"/>
      <c r="AI2779" s="213"/>
      <c r="AJ2779" s="213"/>
      <c r="AK2779" s="213"/>
      <c r="AL2779" s="213"/>
      <c r="AM2779" s="213"/>
      <c r="AN2779" s="213"/>
      <c r="AO2779" s="213"/>
      <c r="AP2779" s="213"/>
      <c r="AQ2779" s="213"/>
      <c r="AR2779" s="213"/>
      <c r="AS2779" s="213"/>
      <c r="AT2779" s="213"/>
      <c r="AU2779" s="213"/>
      <c r="AV2779" s="213"/>
      <c r="AW2779" s="213"/>
      <c r="AX2779" s="213"/>
      <c r="AY2779" s="213"/>
      <c r="AZ2779" s="213"/>
      <c r="BA2779" s="213"/>
      <c r="BB2779" s="213"/>
      <c r="BC2779" s="213"/>
      <c r="BD2779" s="213"/>
    </row>
    <row r="2780">
      <c r="A2780" s="213"/>
      <c r="B2780" s="213"/>
      <c r="C2780" s="213"/>
      <c r="D2780" s="213"/>
      <c r="E2780" s="213"/>
      <c r="F2780" s="213"/>
      <c r="G2780" s="213"/>
      <c r="H2780" s="213"/>
      <c r="I2780" s="213"/>
      <c r="J2780" s="213"/>
      <c r="K2780" s="213"/>
      <c r="L2780" s="213"/>
      <c r="M2780" s="213"/>
      <c r="N2780" s="213"/>
      <c r="O2780" s="213"/>
      <c r="P2780" s="213"/>
      <c r="Q2780" s="213"/>
      <c r="R2780" s="213"/>
      <c r="S2780" s="213"/>
      <c r="T2780" s="213"/>
      <c r="U2780" s="213"/>
      <c r="V2780" s="213"/>
      <c r="W2780" s="213"/>
      <c r="X2780" s="213"/>
      <c r="Y2780" s="213"/>
      <c r="Z2780" s="213"/>
      <c r="AA2780" s="213"/>
      <c r="AB2780" s="213"/>
      <c r="AC2780" s="213"/>
      <c r="AD2780" s="213"/>
      <c r="AE2780" s="213"/>
      <c r="AF2780" s="213"/>
      <c r="AG2780" s="213"/>
      <c r="AH2780" s="213"/>
      <c r="AI2780" s="213"/>
      <c r="AJ2780" s="213"/>
      <c r="AK2780" s="213"/>
      <c r="AL2780" s="213"/>
      <c r="AM2780" s="213"/>
      <c r="AN2780" s="213"/>
      <c r="AO2780" s="213"/>
      <c r="AP2780" s="213"/>
      <c r="AQ2780" s="213"/>
      <c r="AR2780" s="213"/>
      <c r="AS2780" s="213"/>
      <c r="AT2780" s="213"/>
      <c r="AU2780" s="213"/>
      <c r="AV2780" s="213"/>
      <c r="AW2780" s="213"/>
      <c r="AX2780" s="213"/>
      <c r="AY2780" s="213"/>
      <c r="AZ2780" s="213"/>
      <c r="BA2780" s="213"/>
      <c r="BB2780" s="213"/>
      <c r="BC2780" s="213"/>
      <c r="BD2780" s="213"/>
    </row>
    <row r="2781">
      <c r="A2781" s="213"/>
      <c r="B2781" s="213"/>
      <c r="C2781" s="213"/>
      <c r="D2781" s="213"/>
      <c r="E2781" s="213"/>
      <c r="F2781" s="213"/>
      <c r="G2781" s="213"/>
      <c r="H2781" s="213"/>
      <c r="I2781" s="213"/>
      <c r="J2781" s="213"/>
      <c r="K2781" s="213"/>
      <c r="L2781" s="213"/>
      <c r="M2781" s="213"/>
      <c r="N2781" s="213"/>
      <c r="O2781" s="213"/>
      <c r="P2781" s="213"/>
      <c r="Q2781" s="213"/>
      <c r="R2781" s="213"/>
      <c r="S2781" s="213"/>
      <c r="T2781" s="213"/>
      <c r="U2781" s="213"/>
      <c r="V2781" s="213"/>
      <c r="W2781" s="213"/>
      <c r="X2781" s="213"/>
      <c r="Y2781" s="213"/>
      <c r="Z2781" s="213"/>
      <c r="AA2781" s="213"/>
      <c r="AB2781" s="213"/>
      <c r="AC2781" s="213"/>
      <c r="AD2781" s="213"/>
      <c r="AE2781" s="213"/>
      <c r="AF2781" s="213"/>
      <c r="AG2781" s="213"/>
      <c r="AH2781" s="213"/>
      <c r="AI2781" s="213"/>
      <c r="AJ2781" s="213"/>
      <c r="AK2781" s="213"/>
      <c r="AL2781" s="213"/>
      <c r="AM2781" s="213"/>
      <c r="AN2781" s="213"/>
      <c r="AO2781" s="213"/>
      <c r="AP2781" s="213"/>
      <c r="AQ2781" s="213"/>
      <c r="AR2781" s="213"/>
      <c r="AS2781" s="213"/>
      <c r="AT2781" s="213"/>
      <c r="AU2781" s="213"/>
      <c r="AV2781" s="213"/>
      <c r="AW2781" s="213"/>
      <c r="AX2781" s="213"/>
      <c r="AY2781" s="213"/>
      <c r="AZ2781" s="213"/>
      <c r="BA2781" s="213"/>
      <c r="BB2781" s="213"/>
      <c r="BC2781" s="213"/>
      <c r="BD2781" s="213"/>
    </row>
    <row r="2782">
      <c r="A2782" s="213"/>
      <c r="B2782" s="213"/>
      <c r="C2782" s="213"/>
      <c r="D2782" s="213"/>
      <c r="E2782" s="213"/>
      <c r="F2782" s="213"/>
      <c r="G2782" s="213"/>
      <c r="H2782" s="213"/>
      <c r="I2782" s="213"/>
      <c r="J2782" s="213"/>
      <c r="K2782" s="213"/>
      <c r="L2782" s="213"/>
      <c r="M2782" s="213"/>
      <c r="N2782" s="213"/>
      <c r="O2782" s="213"/>
      <c r="P2782" s="213"/>
      <c r="Q2782" s="213"/>
      <c r="R2782" s="213"/>
      <c r="S2782" s="213"/>
      <c r="T2782" s="213"/>
      <c r="U2782" s="213"/>
      <c r="V2782" s="213"/>
      <c r="W2782" s="213"/>
      <c r="X2782" s="213"/>
      <c r="Y2782" s="213"/>
      <c r="Z2782" s="213"/>
      <c r="AA2782" s="213"/>
      <c r="AB2782" s="213"/>
      <c r="AC2782" s="213"/>
      <c r="AD2782" s="213"/>
      <c r="AE2782" s="213"/>
      <c r="AF2782" s="213"/>
      <c r="AG2782" s="213"/>
      <c r="AH2782" s="213"/>
      <c r="AI2782" s="213"/>
      <c r="AJ2782" s="213"/>
      <c r="AK2782" s="213"/>
      <c r="AL2782" s="213"/>
      <c r="AM2782" s="213"/>
      <c r="AN2782" s="213"/>
      <c r="AO2782" s="213"/>
      <c r="AP2782" s="213"/>
      <c r="AQ2782" s="213"/>
      <c r="AR2782" s="213"/>
      <c r="AS2782" s="213"/>
      <c r="AT2782" s="213"/>
      <c r="AU2782" s="213"/>
      <c r="AV2782" s="213"/>
      <c r="AW2782" s="213"/>
      <c r="AX2782" s="213"/>
      <c r="AY2782" s="213"/>
      <c r="AZ2782" s="213"/>
      <c r="BA2782" s="213"/>
      <c r="BB2782" s="213"/>
      <c r="BC2782" s="213"/>
      <c r="BD2782" s="213"/>
    </row>
    <row r="2783">
      <c r="A2783" s="213"/>
      <c r="B2783" s="213"/>
      <c r="C2783" s="213"/>
      <c r="D2783" s="213"/>
      <c r="E2783" s="213"/>
      <c r="F2783" s="213"/>
      <c r="G2783" s="213"/>
      <c r="H2783" s="213"/>
      <c r="I2783" s="213"/>
      <c r="J2783" s="213"/>
      <c r="K2783" s="213"/>
      <c r="L2783" s="213"/>
      <c r="M2783" s="213"/>
      <c r="N2783" s="213"/>
      <c r="O2783" s="213"/>
      <c r="P2783" s="213"/>
      <c r="Q2783" s="213"/>
      <c r="R2783" s="213"/>
      <c r="S2783" s="213"/>
      <c r="T2783" s="213"/>
      <c r="U2783" s="213"/>
      <c r="V2783" s="213"/>
      <c r="W2783" s="213"/>
      <c r="X2783" s="213"/>
      <c r="Y2783" s="213"/>
      <c r="Z2783" s="213"/>
      <c r="AA2783" s="213"/>
      <c r="AB2783" s="213"/>
      <c r="AC2783" s="213"/>
      <c r="AD2783" s="213"/>
      <c r="AE2783" s="213"/>
      <c r="AF2783" s="213"/>
      <c r="AG2783" s="213"/>
      <c r="AH2783" s="213"/>
      <c r="AI2783" s="213"/>
      <c r="AJ2783" s="213"/>
      <c r="AK2783" s="213"/>
      <c r="AL2783" s="213"/>
      <c r="AM2783" s="213"/>
      <c r="AN2783" s="213"/>
      <c r="AO2783" s="213"/>
      <c r="AP2783" s="213"/>
      <c r="AQ2783" s="213"/>
      <c r="AR2783" s="213"/>
      <c r="AS2783" s="213"/>
      <c r="AT2783" s="213"/>
      <c r="AU2783" s="213"/>
      <c r="AV2783" s="213"/>
      <c r="AW2783" s="213"/>
      <c r="AX2783" s="213"/>
      <c r="AY2783" s="213"/>
      <c r="AZ2783" s="213"/>
      <c r="BA2783" s="213"/>
      <c r="BB2783" s="213"/>
      <c r="BC2783" s="213"/>
      <c r="BD2783" s="213"/>
    </row>
    <row r="2784">
      <c r="A2784" s="213"/>
      <c r="B2784" s="213"/>
      <c r="C2784" s="213"/>
      <c r="D2784" s="213"/>
      <c r="E2784" s="213"/>
      <c r="F2784" s="213"/>
      <c r="G2784" s="213"/>
      <c r="H2784" s="213"/>
      <c r="I2784" s="213"/>
      <c r="J2784" s="213"/>
      <c r="K2784" s="213"/>
      <c r="L2784" s="213"/>
      <c r="M2784" s="213"/>
      <c r="N2784" s="213"/>
      <c r="O2784" s="213"/>
      <c r="P2784" s="213"/>
      <c r="Q2784" s="213"/>
      <c r="R2784" s="213"/>
      <c r="S2784" s="213"/>
      <c r="T2784" s="213"/>
      <c r="U2784" s="213"/>
      <c r="V2784" s="213"/>
      <c r="W2784" s="213"/>
      <c r="X2784" s="213"/>
      <c r="Y2784" s="213"/>
      <c r="Z2784" s="213"/>
      <c r="AA2784" s="213"/>
      <c r="AB2784" s="213"/>
      <c r="AC2784" s="213"/>
      <c r="AD2784" s="213"/>
      <c r="AE2784" s="213"/>
      <c r="AF2784" s="213"/>
      <c r="AG2784" s="213"/>
      <c r="AH2784" s="213"/>
      <c r="AI2784" s="213"/>
      <c r="AJ2784" s="213"/>
      <c r="AK2784" s="213"/>
      <c r="AL2784" s="213"/>
      <c r="AM2784" s="213"/>
      <c r="AN2784" s="213"/>
      <c r="AO2784" s="213"/>
      <c r="AP2784" s="213"/>
      <c r="AQ2784" s="213"/>
      <c r="AR2784" s="213"/>
      <c r="AS2784" s="213"/>
      <c r="AT2784" s="213"/>
      <c r="AU2784" s="213"/>
      <c r="AV2784" s="213"/>
      <c r="AW2784" s="213"/>
      <c r="AX2784" s="213"/>
      <c r="AY2784" s="213"/>
      <c r="AZ2784" s="213"/>
      <c r="BA2784" s="213"/>
      <c r="BB2784" s="213"/>
      <c r="BC2784" s="213"/>
      <c r="BD2784" s="213"/>
    </row>
    <row r="2785">
      <c r="A2785" s="213"/>
      <c r="B2785" s="213"/>
      <c r="C2785" s="213"/>
      <c r="D2785" s="213"/>
      <c r="E2785" s="213"/>
      <c r="F2785" s="213"/>
      <c r="G2785" s="213"/>
      <c r="H2785" s="213"/>
      <c r="I2785" s="213"/>
      <c r="J2785" s="213"/>
      <c r="K2785" s="213"/>
      <c r="L2785" s="213"/>
      <c r="M2785" s="213"/>
      <c r="N2785" s="213"/>
      <c r="O2785" s="213"/>
      <c r="P2785" s="213"/>
      <c r="Q2785" s="213"/>
      <c r="R2785" s="213"/>
      <c r="S2785" s="213"/>
      <c r="T2785" s="213"/>
      <c r="U2785" s="213"/>
      <c r="V2785" s="213"/>
      <c r="W2785" s="213"/>
      <c r="X2785" s="213"/>
      <c r="Y2785" s="213"/>
      <c r="Z2785" s="213"/>
      <c r="AA2785" s="213"/>
      <c r="AB2785" s="213"/>
      <c r="AC2785" s="213"/>
      <c r="AD2785" s="213"/>
      <c r="AE2785" s="213"/>
      <c r="AF2785" s="213"/>
      <c r="AG2785" s="213"/>
      <c r="AH2785" s="213"/>
      <c r="AI2785" s="213"/>
      <c r="AJ2785" s="213"/>
      <c r="AK2785" s="213"/>
      <c r="AL2785" s="213"/>
      <c r="AM2785" s="213"/>
      <c r="AN2785" s="213"/>
      <c r="AO2785" s="213"/>
      <c r="AP2785" s="213"/>
      <c r="AQ2785" s="213"/>
      <c r="AR2785" s="213"/>
      <c r="AS2785" s="213"/>
      <c r="AT2785" s="213"/>
      <c r="AU2785" s="213"/>
      <c r="AV2785" s="213"/>
      <c r="AW2785" s="213"/>
      <c r="AX2785" s="213"/>
      <c r="AY2785" s="213"/>
      <c r="AZ2785" s="213"/>
      <c r="BA2785" s="213"/>
      <c r="BB2785" s="213"/>
      <c r="BC2785" s="213"/>
      <c r="BD2785" s="213"/>
    </row>
    <row r="2786">
      <c r="A2786" s="213"/>
      <c r="B2786" s="213"/>
      <c r="C2786" s="213"/>
      <c r="D2786" s="213"/>
      <c r="E2786" s="213"/>
      <c r="F2786" s="213"/>
      <c r="G2786" s="213"/>
      <c r="H2786" s="213"/>
      <c r="I2786" s="213"/>
      <c r="J2786" s="213"/>
      <c r="K2786" s="213"/>
      <c r="L2786" s="213"/>
      <c r="M2786" s="213"/>
      <c r="N2786" s="213"/>
      <c r="O2786" s="213"/>
      <c r="P2786" s="213"/>
      <c r="Q2786" s="213"/>
      <c r="R2786" s="213"/>
      <c r="S2786" s="213"/>
      <c r="T2786" s="213"/>
      <c r="U2786" s="213"/>
      <c r="V2786" s="213"/>
      <c r="W2786" s="213"/>
      <c r="X2786" s="213"/>
      <c r="Y2786" s="213"/>
      <c r="Z2786" s="213"/>
      <c r="AA2786" s="213"/>
      <c r="AB2786" s="213"/>
      <c r="AC2786" s="213"/>
      <c r="AD2786" s="213"/>
      <c r="AE2786" s="213"/>
      <c r="AF2786" s="213"/>
      <c r="AG2786" s="213"/>
      <c r="AH2786" s="213"/>
      <c r="AI2786" s="213"/>
      <c r="AJ2786" s="213"/>
      <c r="AK2786" s="213"/>
      <c r="AL2786" s="213"/>
      <c r="AM2786" s="213"/>
      <c r="AN2786" s="213"/>
      <c r="AO2786" s="213"/>
      <c r="AP2786" s="213"/>
      <c r="AQ2786" s="213"/>
      <c r="AR2786" s="213"/>
      <c r="AS2786" s="213"/>
      <c r="AT2786" s="213"/>
      <c r="AU2786" s="213"/>
      <c r="AV2786" s="213"/>
      <c r="AW2786" s="213"/>
      <c r="AX2786" s="213"/>
      <c r="AY2786" s="213"/>
      <c r="AZ2786" s="213"/>
      <c r="BA2786" s="213"/>
      <c r="BB2786" s="213"/>
      <c r="BC2786" s="213"/>
      <c r="BD2786" s="213"/>
    </row>
    <row r="2787">
      <c r="A2787" s="213"/>
      <c r="B2787" s="213"/>
      <c r="C2787" s="213"/>
      <c r="D2787" s="213"/>
      <c r="E2787" s="213"/>
      <c r="F2787" s="213"/>
      <c r="G2787" s="213"/>
      <c r="H2787" s="213"/>
      <c r="I2787" s="213"/>
      <c r="J2787" s="213"/>
      <c r="K2787" s="213"/>
      <c r="L2787" s="213"/>
      <c r="M2787" s="213"/>
      <c r="N2787" s="213"/>
      <c r="O2787" s="213"/>
      <c r="P2787" s="213"/>
      <c r="Q2787" s="213"/>
      <c r="R2787" s="213"/>
      <c r="S2787" s="213"/>
      <c r="T2787" s="213"/>
      <c r="U2787" s="213"/>
      <c r="V2787" s="213"/>
      <c r="W2787" s="213"/>
      <c r="X2787" s="213"/>
      <c r="Y2787" s="213"/>
      <c r="Z2787" s="213"/>
      <c r="AA2787" s="213"/>
      <c r="AB2787" s="213"/>
      <c r="AC2787" s="213"/>
      <c r="AD2787" s="213"/>
      <c r="AE2787" s="213"/>
      <c r="AF2787" s="213"/>
      <c r="AG2787" s="213"/>
      <c r="AH2787" s="213"/>
      <c r="AI2787" s="213"/>
      <c r="AJ2787" s="213"/>
      <c r="AK2787" s="213"/>
      <c r="AL2787" s="213"/>
      <c r="AM2787" s="213"/>
      <c r="AN2787" s="213"/>
      <c r="AO2787" s="213"/>
      <c r="AP2787" s="213"/>
      <c r="AQ2787" s="213"/>
      <c r="AR2787" s="213"/>
      <c r="AS2787" s="213"/>
      <c r="AT2787" s="213"/>
      <c r="AU2787" s="213"/>
      <c r="AV2787" s="213"/>
      <c r="AW2787" s="213"/>
      <c r="AX2787" s="213"/>
      <c r="AY2787" s="213"/>
      <c r="AZ2787" s="213"/>
      <c r="BA2787" s="213"/>
      <c r="BB2787" s="213"/>
      <c r="BC2787" s="213"/>
      <c r="BD2787" s="213"/>
    </row>
    <row r="2788">
      <c r="A2788" s="213"/>
      <c r="B2788" s="213"/>
      <c r="C2788" s="213"/>
      <c r="D2788" s="213"/>
      <c r="E2788" s="213"/>
      <c r="F2788" s="213"/>
      <c r="G2788" s="213"/>
      <c r="H2788" s="213"/>
      <c r="I2788" s="213"/>
      <c r="J2788" s="213"/>
      <c r="K2788" s="213"/>
      <c r="L2788" s="213"/>
      <c r="M2788" s="213"/>
      <c r="N2788" s="213"/>
      <c r="O2788" s="213"/>
      <c r="P2788" s="213"/>
      <c r="Q2788" s="213"/>
      <c r="R2788" s="213"/>
      <c r="S2788" s="213"/>
      <c r="T2788" s="213"/>
      <c r="U2788" s="213"/>
      <c r="V2788" s="213"/>
      <c r="W2788" s="213"/>
      <c r="X2788" s="213"/>
      <c r="Y2788" s="213"/>
      <c r="Z2788" s="213"/>
      <c r="AA2788" s="213"/>
      <c r="AB2788" s="213"/>
      <c r="AC2788" s="213"/>
      <c r="AD2788" s="213"/>
      <c r="AE2788" s="213"/>
      <c r="AF2788" s="213"/>
      <c r="AG2788" s="213"/>
      <c r="AH2788" s="213"/>
      <c r="AI2788" s="213"/>
      <c r="AJ2788" s="213"/>
      <c r="AK2788" s="213"/>
      <c r="AL2788" s="213"/>
      <c r="AM2788" s="213"/>
      <c r="AN2788" s="213"/>
      <c r="AO2788" s="213"/>
      <c r="AP2788" s="213"/>
      <c r="AQ2788" s="213"/>
      <c r="AR2788" s="213"/>
      <c r="AS2788" s="213"/>
      <c r="AT2788" s="213"/>
      <c r="AU2788" s="213"/>
      <c r="AV2788" s="213"/>
      <c r="AW2788" s="213"/>
      <c r="AX2788" s="213"/>
      <c r="AY2788" s="213"/>
      <c r="AZ2788" s="213"/>
      <c r="BA2788" s="213"/>
      <c r="BB2788" s="213"/>
      <c r="BC2788" s="213"/>
      <c r="BD2788" s="213"/>
    </row>
    <row r="2789">
      <c r="A2789" s="213"/>
      <c r="B2789" s="213"/>
      <c r="C2789" s="213"/>
      <c r="D2789" s="213"/>
      <c r="E2789" s="213"/>
      <c r="F2789" s="213"/>
      <c r="G2789" s="213"/>
      <c r="H2789" s="213"/>
      <c r="I2789" s="213"/>
      <c r="J2789" s="213"/>
      <c r="K2789" s="213"/>
      <c r="L2789" s="213"/>
      <c r="M2789" s="213"/>
      <c r="N2789" s="213"/>
      <c r="O2789" s="213"/>
      <c r="P2789" s="213"/>
      <c r="Q2789" s="213"/>
      <c r="R2789" s="213"/>
      <c r="S2789" s="213"/>
      <c r="T2789" s="213"/>
      <c r="U2789" s="213"/>
      <c r="V2789" s="213"/>
      <c r="W2789" s="213"/>
      <c r="X2789" s="213"/>
      <c r="Y2789" s="213"/>
      <c r="Z2789" s="213"/>
      <c r="AA2789" s="213"/>
      <c r="AB2789" s="213"/>
      <c r="AC2789" s="213"/>
      <c r="AD2789" s="213"/>
      <c r="AE2789" s="213"/>
      <c r="AF2789" s="213"/>
      <c r="AG2789" s="213"/>
      <c r="AH2789" s="213"/>
      <c r="AI2789" s="213"/>
      <c r="AJ2789" s="213"/>
      <c r="AK2789" s="213"/>
      <c r="AL2789" s="213"/>
      <c r="AM2789" s="213"/>
      <c r="AN2789" s="213"/>
      <c r="AO2789" s="213"/>
      <c r="AP2789" s="213"/>
      <c r="AQ2789" s="213"/>
      <c r="AR2789" s="213"/>
      <c r="AS2789" s="213"/>
      <c r="AT2789" s="213"/>
      <c r="AU2789" s="213"/>
      <c r="AV2789" s="213"/>
      <c r="AW2789" s="213"/>
      <c r="AX2789" s="213"/>
      <c r="AY2789" s="213"/>
      <c r="AZ2789" s="213"/>
      <c r="BA2789" s="213"/>
      <c r="BB2789" s="213"/>
      <c r="BC2789" s="213"/>
      <c r="BD2789" s="213"/>
    </row>
    <row r="2790">
      <c r="A2790" s="213"/>
      <c r="B2790" s="213"/>
      <c r="C2790" s="213"/>
      <c r="D2790" s="213"/>
      <c r="E2790" s="213"/>
      <c r="F2790" s="213"/>
      <c r="G2790" s="213"/>
      <c r="H2790" s="213"/>
      <c r="I2790" s="213"/>
      <c r="J2790" s="213"/>
      <c r="K2790" s="213"/>
      <c r="L2790" s="213"/>
      <c r="M2790" s="213"/>
      <c r="N2790" s="213"/>
      <c r="O2790" s="213"/>
      <c r="P2790" s="213"/>
      <c r="Q2790" s="213"/>
      <c r="R2790" s="213"/>
      <c r="S2790" s="213"/>
      <c r="T2790" s="213"/>
      <c r="U2790" s="213"/>
      <c r="V2790" s="213"/>
      <c r="W2790" s="213"/>
      <c r="X2790" s="213"/>
      <c r="Y2790" s="213"/>
      <c r="Z2790" s="213"/>
      <c r="AA2790" s="213"/>
      <c r="AB2790" s="213"/>
      <c r="AC2790" s="213"/>
      <c r="AD2790" s="213"/>
      <c r="AE2790" s="213"/>
      <c r="AF2790" s="213"/>
      <c r="AG2790" s="213"/>
      <c r="AH2790" s="213"/>
      <c r="AI2790" s="213"/>
      <c r="AJ2790" s="213"/>
      <c r="AK2790" s="213"/>
      <c r="AL2790" s="213"/>
      <c r="AM2790" s="213"/>
      <c r="AN2790" s="213"/>
      <c r="AO2790" s="213"/>
      <c r="AP2790" s="213"/>
      <c r="AQ2790" s="213"/>
      <c r="AR2790" s="213"/>
      <c r="AS2790" s="213"/>
      <c r="AT2790" s="213"/>
      <c r="AU2790" s="213"/>
      <c r="AV2790" s="213"/>
      <c r="AW2790" s="213"/>
      <c r="AX2790" s="213"/>
      <c r="AY2790" s="213"/>
      <c r="AZ2790" s="213"/>
      <c r="BA2790" s="213"/>
      <c r="BB2790" s="213"/>
      <c r="BC2790" s="213"/>
      <c r="BD2790" s="213"/>
    </row>
    <row r="2791">
      <c r="A2791" s="213"/>
      <c r="B2791" s="213"/>
      <c r="C2791" s="213"/>
      <c r="D2791" s="213"/>
      <c r="E2791" s="213"/>
      <c r="F2791" s="213"/>
      <c r="G2791" s="213"/>
      <c r="H2791" s="213"/>
      <c r="I2791" s="213"/>
      <c r="J2791" s="213"/>
      <c r="K2791" s="213"/>
      <c r="L2791" s="213"/>
      <c r="M2791" s="213"/>
      <c r="N2791" s="213"/>
      <c r="O2791" s="213"/>
      <c r="P2791" s="213"/>
      <c r="Q2791" s="213"/>
      <c r="R2791" s="213"/>
      <c r="S2791" s="213"/>
      <c r="T2791" s="213"/>
      <c r="U2791" s="213"/>
      <c r="V2791" s="213"/>
      <c r="W2791" s="213"/>
      <c r="X2791" s="213"/>
      <c r="Y2791" s="213"/>
      <c r="Z2791" s="213"/>
      <c r="AA2791" s="213"/>
      <c r="AB2791" s="213"/>
      <c r="AC2791" s="213"/>
      <c r="AD2791" s="213"/>
      <c r="AE2791" s="213"/>
      <c r="AF2791" s="213"/>
      <c r="AG2791" s="213"/>
      <c r="AH2791" s="213"/>
      <c r="AI2791" s="213"/>
      <c r="AJ2791" s="213"/>
      <c r="AK2791" s="213"/>
      <c r="AL2791" s="213"/>
      <c r="AM2791" s="213"/>
      <c r="AN2791" s="213"/>
      <c r="AO2791" s="213"/>
      <c r="AP2791" s="213"/>
      <c r="AQ2791" s="213"/>
      <c r="AR2791" s="213"/>
      <c r="AS2791" s="213"/>
      <c r="AT2791" s="213"/>
      <c r="AU2791" s="213"/>
      <c r="AV2791" s="213"/>
      <c r="AW2791" s="213"/>
      <c r="AX2791" s="213"/>
      <c r="AY2791" s="213"/>
      <c r="AZ2791" s="213"/>
      <c r="BA2791" s="213"/>
      <c r="BB2791" s="213"/>
      <c r="BC2791" s="213"/>
      <c r="BD2791" s="213"/>
    </row>
    <row r="2792">
      <c r="A2792" s="213"/>
      <c r="B2792" s="213"/>
      <c r="C2792" s="213"/>
      <c r="D2792" s="213"/>
      <c r="E2792" s="213"/>
      <c r="F2792" s="213"/>
      <c r="G2792" s="213"/>
      <c r="H2792" s="213"/>
      <c r="I2792" s="213"/>
      <c r="J2792" s="213"/>
      <c r="K2792" s="213"/>
      <c r="L2792" s="213"/>
      <c r="M2792" s="213"/>
      <c r="N2792" s="213"/>
      <c r="O2792" s="213"/>
      <c r="P2792" s="213"/>
      <c r="Q2792" s="213"/>
      <c r="R2792" s="213"/>
      <c r="S2792" s="213"/>
      <c r="T2792" s="213"/>
      <c r="U2792" s="213"/>
      <c r="V2792" s="213"/>
      <c r="W2792" s="213"/>
      <c r="X2792" s="213"/>
      <c r="Y2792" s="213"/>
      <c r="Z2792" s="213"/>
      <c r="AA2792" s="213"/>
      <c r="AB2792" s="213"/>
      <c r="AC2792" s="213"/>
      <c r="AD2792" s="213"/>
      <c r="AE2792" s="213"/>
      <c r="AF2792" s="213"/>
      <c r="AG2792" s="213"/>
      <c r="AH2792" s="213"/>
      <c r="AI2792" s="213"/>
      <c r="AJ2792" s="213"/>
      <c r="AK2792" s="213"/>
      <c r="AL2792" s="213"/>
      <c r="AM2792" s="213"/>
      <c r="AN2792" s="213"/>
      <c r="AO2792" s="213"/>
      <c r="AP2792" s="213"/>
      <c r="AQ2792" s="213"/>
      <c r="AR2792" s="213"/>
      <c r="AS2792" s="213"/>
      <c r="AT2792" s="213"/>
      <c r="AU2792" s="213"/>
      <c r="AV2792" s="213"/>
      <c r="AW2792" s="213"/>
      <c r="AX2792" s="213"/>
      <c r="AY2792" s="213"/>
      <c r="AZ2792" s="213"/>
      <c r="BA2792" s="213"/>
      <c r="BB2792" s="213"/>
      <c r="BC2792" s="213"/>
      <c r="BD2792" s="213"/>
    </row>
    <row r="2793">
      <c r="A2793" s="213"/>
      <c r="B2793" s="213"/>
      <c r="C2793" s="213"/>
      <c r="D2793" s="213"/>
      <c r="E2793" s="213"/>
      <c r="F2793" s="213"/>
      <c r="G2793" s="213"/>
      <c r="H2793" s="213"/>
      <c r="I2793" s="213"/>
      <c r="J2793" s="213"/>
      <c r="K2793" s="213"/>
      <c r="L2793" s="213"/>
      <c r="M2793" s="213"/>
      <c r="N2793" s="213"/>
      <c r="O2793" s="213"/>
      <c r="P2793" s="213"/>
      <c r="Q2793" s="213"/>
      <c r="R2793" s="213"/>
      <c r="S2793" s="213"/>
      <c r="T2793" s="213"/>
      <c r="U2793" s="213"/>
      <c r="V2793" s="213"/>
      <c r="W2793" s="213"/>
      <c r="X2793" s="213"/>
      <c r="Y2793" s="213"/>
      <c r="Z2793" s="213"/>
      <c r="AA2793" s="213"/>
      <c r="AB2793" s="213"/>
      <c r="AC2793" s="213"/>
      <c r="AD2793" s="213"/>
      <c r="AE2793" s="213"/>
      <c r="AF2793" s="213"/>
      <c r="AG2793" s="213"/>
      <c r="AH2793" s="213"/>
      <c r="AI2793" s="213"/>
      <c r="AJ2793" s="213"/>
      <c r="AK2793" s="213"/>
      <c r="AL2793" s="213"/>
      <c r="AM2793" s="213"/>
      <c r="AN2793" s="213"/>
      <c r="AO2793" s="213"/>
      <c r="AP2793" s="213"/>
      <c r="AQ2793" s="213"/>
      <c r="AR2793" s="213"/>
      <c r="AS2793" s="213"/>
      <c r="AT2793" s="213"/>
      <c r="AU2793" s="213"/>
      <c r="AV2793" s="213"/>
      <c r="AW2793" s="213"/>
      <c r="AX2793" s="213"/>
      <c r="AY2793" s="213"/>
      <c r="AZ2793" s="213"/>
      <c r="BA2793" s="213"/>
      <c r="BB2793" s="213"/>
      <c r="BC2793" s="213"/>
      <c r="BD2793" s="213"/>
    </row>
    <row r="2794">
      <c r="A2794" s="213"/>
      <c r="B2794" s="213"/>
      <c r="C2794" s="213"/>
      <c r="D2794" s="213"/>
      <c r="E2794" s="213"/>
      <c r="F2794" s="213"/>
      <c r="G2794" s="213"/>
      <c r="H2794" s="213"/>
      <c r="I2794" s="213"/>
      <c r="J2794" s="213"/>
      <c r="K2794" s="213"/>
      <c r="L2794" s="213"/>
      <c r="M2794" s="213"/>
      <c r="N2794" s="213"/>
      <c r="O2794" s="213"/>
      <c r="P2794" s="213"/>
      <c r="Q2794" s="213"/>
      <c r="R2794" s="213"/>
      <c r="S2794" s="213"/>
      <c r="T2794" s="213"/>
      <c r="U2794" s="213"/>
      <c r="V2794" s="213"/>
      <c r="W2794" s="213"/>
      <c r="X2794" s="213"/>
      <c r="Y2794" s="213"/>
      <c r="Z2794" s="213"/>
      <c r="AA2794" s="213"/>
      <c r="AB2794" s="213"/>
      <c r="AC2794" s="213"/>
      <c r="AD2794" s="213"/>
      <c r="AE2794" s="213"/>
      <c r="AF2794" s="213"/>
      <c r="AG2794" s="213"/>
      <c r="AH2794" s="213"/>
      <c r="AI2794" s="213"/>
      <c r="AJ2794" s="213"/>
      <c r="AK2794" s="213"/>
      <c r="AL2794" s="213"/>
      <c r="AM2794" s="213"/>
      <c r="AN2794" s="213"/>
      <c r="AO2794" s="213"/>
      <c r="AP2794" s="213"/>
      <c r="AQ2794" s="213"/>
      <c r="AR2794" s="213"/>
      <c r="AS2794" s="213"/>
      <c r="AT2794" s="213"/>
      <c r="AU2794" s="213"/>
      <c r="AV2794" s="213"/>
      <c r="AW2794" s="213"/>
      <c r="AX2794" s="213"/>
      <c r="AY2794" s="213"/>
      <c r="AZ2794" s="213"/>
      <c r="BA2794" s="213"/>
      <c r="BB2794" s="213"/>
      <c r="BC2794" s="213"/>
      <c r="BD2794" s="213"/>
    </row>
    <row r="2795">
      <c r="A2795" s="213"/>
      <c r="B2795" s="213"/>
      <c r="C2795" s="213"/>
      <c r="D2795" s="213"/>
      <c r="E2795" s="213"/>
      <c r="F2795" s="213"/>
      <c r="G2795" s="213"/>
      <c r="H2795" s="213"/>
      <c r="I2795" s="213"/>
      <c r="J2795" s="213"/>
      <c r="K2795" s="213"/>
      <c r="L2795" s="213"/>
      <c r="M2795" s="213"/>
      <c r="N2795" s="213"/>
      <c r="O2795" s="213"/>
      <c r="P2795" s="213"/>
      <c r="Q2795" s="213"/>
      <c r="R2795" s="213"/>
      <c r="S2795" s="213"/>
      <c r="T2795" s="213"/>
      <c r="U2795" s="213"/>
      <c r="V2795" s="213"/>
      <c r="W2795" s="213"/>
      <c r="X2795" s="213"/>
      <c r="Y2795" s="213"/>
      <c r="Z2795" s="213"/>
      <c r="AA2795" s="213"/>
      <c r="AB2795" s="213"/>
      <c r="AC2795" s="213"/>
      <c r="AD2795" s="213"/>
      <c r="AE2795" s="213"/>
      <c r="AF2795" s="213"/>
      <c r="AG2795" s="213"/>
      <c r="AH2795" s="213"/>
      <c r="AI2795" s="213"/>
      <c r="AJ2795" s="213"/>
      <c r="AK2795" s="213"/>
      <c r="AL2795" s="213"/>
      <c r="AM2795" s="213"/>
      <c r="AN2795" s="213"/>
      <c r="AO2795" s="213"/>
      <c r="AP2795" s="213"/>
      <c r="AQ2795" s="213"/>
      <c r="AR2795" s="213"/>
      <c r="AS2795" s="213"/>
      <c r="AT2795" s="213"/>
      <c r="AU2795" s="213"/>
      <c r="AV2795" s="213"/>
      <c r="AW2795" s="213"/>
      <c r="AX2795" s="213"/>
      <c r="AY2795" s="213"/>
      <c r="AZ2795" s="213"/>
      <c r="BA2795" s="213"/>
      <c r="BB2795" s="213"/>
      <c r="BC2795" s="213"/>
      <c r="BD2795" s="213"/>
    </row>
    <row r="2796">
      <c r="A2796" s="213"/>
      <c r="B2796" s="213"/>
      <c r="C2796" s="213"/>
      <c r="D2796" s="213"/>
      <c r="E2796" s="213"/>
      <c r="F2796" s="213"/>
      <c r="G2796" s="213"/>
      <c r="H2796" s="213"/>
      <c r="I2796" s="213"/>
      <c r="J2796" s="213"/>
      <c r="K2796" s="213"/>
      <c r="L2796" s="213"/>
      <c r="M2796" s="213"/>
      <c r="N2796" s="213"/>
      <c r="O2796" s="213"/>
      <c r="P2796" s="213"/>
      <c r="Q2796" s="213"/>
      <c r="R2796" s="213"/>
      <c r="S2796" s="213"/>
      <c r="T2796" s="213"/>
      <c r="U2796" s="213"/>
      <c r="V2796" s="213"/>
      <c r="W2796" s="213"/>
      <c r="X2796" s="213"/>
      <c r="Y2796" s="213"/>
      <c r="Z2796" s="213"/>
      <c r="AA2796" s="213"/>
      <c r="AB2796" s="213"/>
      <c r="AC2796" s="213"/>
      <c r="AD2796" s="213"/>
      <c r="AE2796" s="213"/>
      <c r="AF2796" s="213"/>
      <c r="AG2796" s="213"/>
      <c r="AH2796" s="213"/>
      <c r="AI2796" s="213"/>
      <c r="AJ2796" s="213"/>
      <c r="AK2796" s="213"/>
      <c r="AL2796" s="213"/>
      <c r="AM2796" s="213"/>
      <c r="AN2796" s="213"/>
      <c r="AO2796" s="213"/>
      <c r="AP2796" s="213"/>
      <c r="AQ2796" s="213"/>
      <c r="AR2796" s="213"/>
      <c r="AS2796" s="213"/>
      <c r="AT2796" s="213"/>
      <c r="AU2796" s="213"/>
      <c r="AV2796" s="213"/>
      <c r="AW2796" s="213"/>
      <c r="AX2796" s="213"/>
      <c r="AY2796" s="213"/>
      <c r="AZ2796" s="213"/>
      <c r="BA2796" s="213"/>
      <c r="BB2796" s="213"/>
      <c r="BC2796" s="213"/>
      <c r="BD2796" s="213"/>
    </row>
    <row r="2797">
      <c r="A2797" s="213"/>
      <c r="B2797" s="213"/>
      <c r="C2797" s="213"/>
      <c r="D2797" s="213"/>
      <c r="E2797" s="213"/>
      <c r="F2797" s="213"/>
      <c r="G2797" s="213"/>
      <c r="H2797" s="213"/>
      <c r="I2797" s="213"/>
      <c r="J2797" s="213"/>
      <c r="K2797" s="213"/>
      <c r="L2797" s="213"/>
      <c r="M2797" s="213"/>
      <c r="N2797" s="213"/>
      <c r="O2797" s="213"/>
      <c r="P2797" s="213"/>
      <c r="Q2797" s="213"/>
      <c r="R2797" s="213"/>
      <c r="S2797" s="213"/>
      <c r="T2797" s="213"/>
      <c r="U2797" s="213"/>
      <c r="V2797" s="213"/>
      <c r="W2797" s="213"/>
      <c r="X2797" s="213"/>
      <c r="Y2797" s="213"/>
      <c r="Z2797" s="213"/>
      <c r="AA2797" s="213"/>
      <c r="AB2797" s="213"/>
      <c r="AC2797" s="213"/>
      <c r="AD2797" s="213"/>
      <c r="AE2797" s="213"/>
      <c r="AF2797" s="213"/>
      <c r="AG2797" s="213"/>
      <c r="AH2797" s="213"/>
      <c r="AI2797" s="213"/>
      <c r="AJ2797" s="213"/>
      <c r="AK2797" s="213"/>
      <c r="AL2797" s="213"/>
      <c r="AM2797" s="213"/>
      <c r="AN2797" s="213"/>
      <c r="AO2797" s="213"/>
      <c r="AP2797" s="213"/>
      <c r="AQ2797" s="213"/>
      <c r="AR2797" s="213"/>
      <c r="AS2797" s="213"/>
      <c r="AT2797" s="213"/>
      <c r="AU2797" s="213"/>
      <c r="AV2797" s="213"/>
      <c r="AW2797" s="213"/>
      <c r="AX2797" s="213"/>
      <c r="AY2797" s="213"/>
      <c r="AZ2797" s="213"/>
      <c r="BA2797" s="213"/>
      <c r="BB2797" s="213"/>
      <c r="BC2797" s="213"/>
      <c r="BD2797" s="213"/>
    </row>
    <row r="2798">
      <c r="A2798" s="213"/>
      <c r="B2798" s="213"/>
      <c r="C2798" s="213"/>
      <c r="D2798" s="213"/>
      <c r="E2798" s="213"/>
      <c r="F2798" s="213"/>
      <c r="G2798" s="213"/>
      <c r="H2798" s="213"/>
      <c r="I2798" s="213"/>
      <c r="J2798" s="213"/>
      <c r="K2798" s="213"/>
      <c r="L2798" s="213"/>
      <c r="M2798" s="213"/>
      <c r="N2798" s="213"/>
      <c r="O2798" s="213"/>
      <c r="P2798" s="213"/>
      <c r="Q2798" s="213"/>
      <c r="R2798" s="213"/>
      <c r="S2798" s="213"/>
      <c r="T2798" s="213"/>
      <c r="U2798" s="213"/>
      <c r="V2798" s="213"/>
      <c r="W2798" s="213"/>
      <c r="X2798" s="213"/>
      <c r="Y2798" s="213"/>
      <c r="Z2798" s="213"/>
      <c r="AA2798" s="213"/>
      <c r="AB2798" s="213"/>
      <c r="AC2798" s="213"/>
      <c r="AD2798" s="213"/>
      <c r="AE2798" s="213"/>
      <c r="AF2798" s="213"/>
      <c r="AG2798" s="213"/>
      <c r="AH2798" s="213"/>
      <c r="AI2798" s="213"/>
      <c r="AJ2798" s="213"/>
      <c r="AK2798" s="213"/>
      <c r="AL2798" s="213"/>
      <c r="AM2798" s="213"/>
      <c r="AN2798" s="213"/>
      <c r="AO2798" s="213"/>
      <c r="AP2798" s="213"/>
      <c r="AQ2798" s="213"/>
      <c r="AR2798" s="213"/>
      <c r="AS2798" s="213"/>
      <c r="AT2798" s="213"/>
      <c r="AU2798" s="213"/>
      <c r="AV2798" s="213"/>
      <c r="AW2798" s="213"/>
      <c r="AX2798" s="213"/>
      <c r="AY2798" s="213"/>
      <c r="AZ2798" s="213"/>
      <c r="BA2798" s="213"/>
      <c r="BB2798" s="213"/>
      <c r="BC2798" s="213"/>
      <c r="BD2798" s="213"/>
    </row>
    <row r="2799">
      <c r="A2799" s="213"/>
      <c r="B2799" s="213"/>
      <c r="C2799" s="213"/>
      <c r="D2799" s="213"/>
      <c r="E2799" s="213"/>
      <c r="F2799" s="213"/>
      <c r="G2799" s="213"/>
      <c r="H2799" s="213"/>
      <c r="I2799" s="213"/>
      <c r="J2799" s="213"/>
      <c r="K2799" s="213"/>
      <c r="L2799" s="213"/>
      <c r="M2799" s="213"/>
      <c r="N2799" s="213"/>
      <c r="O2799" s="213"/>
      <c r="P2799" s="213"/>
      <c r="Q2799" s="213"/>
      <c r="R2799" s="213"/>
      <c r="S2799" s="213"/>
      <c r="T2799" s="213"/>
      <c r="U2799" s="213"/>
      <c r="V2799" s="213"/>
      <c r="W2799" s="213"/>
      <c r="X2799" s="213"/>
      <c r="Y2799" s="213"/>
      <c r="Z2799" s="213"/>
      <c r="AA2799" s="213"/>
      <c r="AB2799" s="213"/>
      <c r="AC2799" s="213"/>
      <c r="AD2799" s="213"/>
      <c r="AE2799" s="213"/>
      <c r="AF2799" s="213"/>
      <c r="AG2799" s="213"/>
      <c r="AH2799" s="213"/>
      <c r="AI2799" s="213"/>
      <c r="AJ2799" s="213"/>
      <c r="AK2799" s="213"/>
      <c r="AL2799" s="213"/>
      <c r="AM2799" s="213"/>
      <c r="AN2799" s="213"/>
      <c r="AO2799" s="213"/>
      <c r="AP2799" s="213"/>
      <c r="AQ2799" s="213"/>
      <c r="AR2799" s="213"/>
      <c r="AS2799" s="213"/>
      <c r="AT2799" s="213"/>
      <c r="AU2799" s="213"/>
      <c r="AV2799" s="213"/>
      <c r="AW2799" s="213"/>
      <c r="AX2799" s="213"/>
      <c r="AY2799" s="213"/>
      <c r="AZ2799" s="213"/>
      <c r="BA2799" s="213"/>
      <c r="BB2799" s="213"/>
      <c r="BC2799" s="213"/>
      <c r="BD2799" s="213"/>
    </row>
    <row r="2800">
      <c r="A2800" s="213"/>
      <c r="B2800" s="213"/>
      <c r="C2800" s="213"/>
      <c r="D2800" s="213"/>
      <c r="E2800" s="213"/>
      <c r="F2800" s="213"/>
      <c r="G2800" s="213"/>
      <c r="H2800" s="213"/>
      <c r="I2800" s="213"/>
      <c r="J2800" s="213"/>
      <c r="K2800" s="213"/>
      <c r="L2800" s="213"/>
      <c r="M2800" s="213"/>
      <c r="N2800" s="213"/>
      <c r="O2800" s="213"/>
      <c r="P2800" s="213"/>
      <c r="Q2800" s="213"/>
      <c r="R2800" s="213"/>
      <c r="S2800" s="213"/>
      <c r="T2800" s="213"/>
      <c r="U2800" s="213"/>
      <c r="V2800" s="213"/>
      <c r="W2800" s="213"/>
      <c r="X2800" s="213"/>
      <c r="Y2800" s="213"/>
      <c r="Z2800" s="213"/>
      <c r="AA2800" s="213"/>
      <c r="AB2800" s="213"/>
      <c r="AC2800" s="213"/>
      <c r="AD2800" s="213"/>
      <c r="AE2800" s="213"/>
      <c r="AF2800" s="213"/>
      <c r="AG2800" s="213"/>
      <c r="AH2800" s="213"/>
      <c r="AI2800" s="213"/>
      <c r="AJ2800" s="213"/>
      <c r="AK2800" s="213"/>
      <c r="AL2800" s="213"/>
      <c r="AM2800" s="213"/>
      <c r="AN2800" s="213"/>
      <c r="AO2800" s="213"/>
      <c r="AP2800" s="213"/>
      <c r="AQ2800" s="213"/>
      <c r="AR2800" s="213"/>
      <c r="AS2800" s="213"/>
      <c r="AT2800" s="213"/>
      <c r="AU2800" s="213"/>
      <c r="AV2800" s="213"/>
      <c r="AW2800" s="213"/>
      <c r="AX2800" s="213"/>
      <c r="AY2800" s="213"/>
      <c r="AZ2800" s="213"/>
      <c r="BA2800" s="213"/>
      <c r="BB2800" s="213"/>
      <c r="BC2800" s="213"/>
      <c r="BD2800" s="213"/>
    </row>
    <row r="2801">
      <c r="A2801" s="213"/>
      <c r="B2801" s="213"/>
      <c r="C2801" s="213"/>
      <c r="D2801" s="213"/>
      <c r="E2801" s="213"/>
      <c r="F2801" s="213"/>
      <c r="G2801" s="213"/>
      <c r="H2801" s="213"/>
      <c r="I2801" s="213"/>
      <c r="J2801" s="213"/>
      <c r="K2801" s="213"/>
      <c r="L2801" s="213"/>
      <c r="M2801" s="213"/>
      <c r="N2801" s="213"/>
      <c r="O2801" s="213"/>
      <c r="P2801" s="213"/>
      <c r="Q2801" s="213"/>
      <c r="R2801" s="213"/>
      <c r="S2801" s="213"/>
      <c r="T2801" s="213"/>
      <c r="U2801" s="213"/>
      <c r="V2801" s="213"/>
      <c r="W2801" s="213"/>
      <c r="X2801" s="213"/>
      <c r="Y2801" s="213"/>
      <c r="Z2801" s="213"/>
      <c r="AA2801" s="213"/>
      <c r="AB2801" s="213"/>
      <c r="AC2801" s="213"/>
      <c r="AD2801" s="213"/>
      <c r="AE2801" s="213"/>
      <c r="AF2801" s="213"/>
      <c r="AG2801" s="213"/>
      <c r="AH2801" s="213"/>
      <c r="AI2801" s="213"/>
      <c r="AJ2801" s="213"/>
      <c r="AK2801" s="213"/>
      <c r="AL2801" s="213"/>
      <c r="AM2801" s="213"/>
      <c r="AN2801" s="213"/>
      <c r="AO2801" s="213"/>
      <c r="AP2801" s="213"/>
      <c r="AQ2801" s="213"/>
      <c r="AR2801" s="213"/>
      <c r="AS2801" s="213"/>
      <c r="AT2801" s="213"/>
      <c r="AU2801" s="213"/>
      <c r="AV2801" s="213"/>
      <c r="AW2801" s="213"/>
      <c r="AX2801" s="213"/>
      <c r="AY2801" s="213"/>
      <c r="AZ2801" s="213"/>
      <c r="BA2801" s="213"/>
      <c r="BB2801" s="213"/>
      <c r="BC2801" s="213"/>
      <c r="BD2801" s="213"/>
    </row>
    <row r="2802">
      <c r="A2802" s="213"/>
      <c r="B2802" s="213"/>
      <c r="C2802" s="213"/>
      <c r="D2802" s="213"/>
      <c r="E2802" s="213"/>
      <c r="F2802" s="213"/>
      <c r="G2802" s="213"/>
      <c r="H2802" s="213"/>
      <c r="I2802" s="213"/>
      <c r="J2802" s="213"/>
      <c r="K2802" s="213"/>
      <c r="L2802" s="213"/>
      <c r="M2802" s="213"/>
      <c r="N2802" s="213"/>
      <c r="O2802" s="213"/>
      <c r="P2802" s="213"/>
      <c r="Q2802" s="213"/>
      <c r="R2802" s="213"/>
      <c r="S2802" s="213"/>
      <c r="T2802" s="213"/>
      <c r="U2802" s="213"/>
      <c r="V2802" s="213"/>
      <c r="W2802" s="213"/>
      <c r="X2802" s="213"/>
      <c r="Y2802" s="213"/>
      <c r="Z2802" s="213"/>
      <c r="AA2802" s="213"/>
      <c r="AB2802" s="213"/>
      <c r="AC2802" s="213"/>
      <c r="AD2802" s="213"/>
      <c r="AE2802" s="213"/>
      <c r="AF2802" s="213"/>
      <c r="AG2802" s="213"/>
      <c r="AH2802" s="213"/>
      <c r="AI2802" s="213"/>
      <c r="AJ2802" s="213"/>
      <c r="AK2802" s="213"/>
      <c r="AL2802" s="213"/>
      <c r="AM2802" s="213"/>
      <c r="AN2802" s="213"/>
      <c r="AO2802" s="213"/>
      <c r="AP2802" s="213"/>
      <c r="AQ2802" s="213"/>
      <c r="AR2802" s="213"/>
      <c r="AS2802" s="213"/>
      <c r="AT2802" s="213"/>
      <c r="AU2802" s="213"/>
      <c r="AV2802" s="213"/>
      <c r="AW2802" s="213"/>
      <c r="AX2802" s="213"/>
      <c r="AY2802" s="213"/>
      <c r="AZ2802" s="213"/>
      <c r="BA2802" s="213"/>
      <c r="BB2802" s="213"/>
      <c r="BC2802" s="213"/>
      <c r="BD2802" s="213"/>
    </row>
    <row r="2803">
      <c r="A2803" s="213"/>
      <c r="B2803" s="213"/>
      <c r="C2803" s="213"/>
      <c r="D2803" s="213"/>
      <c r="E2803" s="213"/>
      <c r="F2803" s="213"/>
      <c r="G2803" s="213"/>
      <c r="H2803" s="213"/>
      <c r="I2803" s="213"/>
      <c r="J2803" s="213"/>
      <c r="K2803" s="213"/>
      <c r="L2803" s="213"/>
      <c r="M2803" s="213"/>
      <c r="N2803" s="213"/>
      <c r="O2803" s="213"/>
      <c r="P2803" s="213"/>
      <c r="Q2803" s="213"/>
      <c r="R2803" s="213"/>
      <c r="S2803" s="213"/>
      <c r="T2803" s="213"/>
      <c r="U2803" s="213"/>
      <c r="V2803" s="213"/>
      <c r="W2803" s="213"/>
      <c r="X2803" s="213"/>
      <c r="Y2803" s="213"/>
      <c r="Z2803" s="213"/>
      <c r="AA2803" s="213"/>
      <c r="AB2803" s="213"/>
      <c r="AC2803" s="213"/>
      <c r="AD2803" s="213"/>
      <c r="AE2803" s="213"/>
      <c r="AF2803" s="213"/>
      <c r="AG2803" s="213"/>
      <c r="AH2803" s="213"/>
      <c r="AI2803" s="213"/>
      <c r="AJ2803" s="213"/>
      <c r="AK2803" s="213"/>
      <c r="AL2803" s="213"/>
      <c r="AM2803" s="213"/>
      <c r="AN2803" s="213"/>
      <c r="AO2803" s="213"/>
      <c r="AP2803" s="213"/>
      <c r="AQ2803" s="213"/>
      <c r="AR2803" s="213"/>
      <c r="AS2803" s="213"/>
      <c r="AT2803" s="213"/>
      <c r="AU2803" s="213"/>
      <c r="AV2803" s="213"/>
      <c r="AW2803" s="213"/>
      <c r="AX2803" s="213"/>
      <c r="AY2803" s="213"/>
      <c r="AZ2803" s="213"/>
      <c r="BA2803" s="213"/>
      <c r="BB2803" s="213"/>
      <c r="BC2803" s="213"/>
      <c r="BD2803" s="213"/>
    </row>
    <row r="2804">
      <c r="A2804" s="213"/>
      <c r="B2804" s="213"/>
      <c r="C2804" s="213"/>
      <c r="D2804" s="213"/>
      <c r="E2804" s="213"/>
      <c r="F2804" s="213"/>
      <c r="G2804" s="213"/>
      <c r="H2804" s="213"/>
      <c r="I2804" s="213"/>
      <c r="J2804" s="213"/>
      <c r="K2804" s="213"/>
      <c r="L2804" s="213"/>
      <c r="M2804" s="213"/>
      <c r="N2804" s="213"/>
      <c r="O2804" s="213"/>
      <c r="P2804" s="213"/>
      <c r="Q2804" s="213"/>
      <c r="R2804" s="213"/>
      <c r="S2804" s="213"/>
      <c r="T2804" s="213"/>
      <c r="U2804" s="213"/>
      <c r="V2804" s="213"/>
      <c r="W2804" s="213"/>
      <c r="X2804" s="213"/>
      <c r="Y2804" s="213"/>
      <c r="Z2804" s="213"/>
      <c r="AA2804" s="213"/>
      <c r="AB2804" s="213"/>
      <c r="AC2804" s="213"/>
      <c r="AD2804" s="213"/>
      <c r="AE2804" s="213"/>
      <c r="AF2804" s="213"/>
      <c r="AG2804" s="213"/>
      <c r="AH2804" s="213"/>
      <c r="AI2804" s="213"/>
      <c r="AJ2804" s="213"/>
      <c r="AK2804" s="213"/>
      <c r="AL2804" s="213"/>
      <c r="AM2804" s="213"/>
      <c r="AN2804" s="213"/>
      <c r="AO2804" s="213"/>
      <c r="AP2804" s="213"/>
      <c r="AQ2804" s="213"/>
      <c r="AR2804" s="213"/>
      <c r="AS2804" s="213"/>
      <c r="AT2804" s="213"/>
      <c r="AU2804" s="213"/>
      <c r="AV2804" s="213"/>
      <c r="AW2804" s="213"/>
      <c r="AX2804" s="213"/>
      <c r="AY2804" s="213"/>
      <c r="AZ2804" s="213"/>
      <c r="BA2804" s="213"/>
      <c r="BB2804" s="213"/>
      <c r="BC2804" s="213"/>
      <c r="BD2804" s="213"/>
    </row>
    <row r="2805">
      <c r="A2805" s="213"/>
      <c r="B2805" s="213"/>
      <c r="C2805" s="213"/>
      <c r="D2805" s="213"/>
      <c r="E2805" s="213"/>
      <c r="F2805" s="213"/>
      <c r="G2805" s="213"/>
      <c r="H2805" s="213"/>
      <c r="I2805" s="213"/>
      <c r="J2805" s="213"/>
      <c r="K2805" s="213"/>
      <c r="L2805" s="213"/>
      <c r="M2805" s="213"/>
      <c r="N2805" s="213"/>
      <c r="O2805" s="213"/>
      <c r="P2805" s="213"/>
      <c r="Q2805" s="213"/>
      <c r="R2805" s="213"/>
      <c r="S2805" s="213"/>
      <c r="T2805" s="213"/>
      <c r="U2805" s="213"/>
      <c r="V2805" s="213"/>
      <c r="W2805" s="213"/>
      <c r="X2805" s="213"/>
      <c r="Y2805" s="213"/>
      <c r="Z2805" s="213"/>
      <c r="AA2805" s="213"/>
      <c r="AB2805" s="213"/>
      <c r="AC2805" s="213"/>
      <c r="AD2805" s="213"/>
      <c r="AE2805" s="213"/>
      <c r="AF2805" s="213"/>
      <c r="AG2805" s="213"/>
      <c r="AH2805" s="213"/>
      <c r="AI2805" s="213"/>
      <c r="AJ2805" s="213"/>
      <c r="AK2805" s="213"/>
      <c r="AL2805" s="213"/>
      <c r="AM2805" s="213"/>
      <c r="AN2805" s="213"/>
      <c r="AO2805" s="213"/>
      <c r="AP2805" s="213"/>
      <c r="AQ2805" s="213"/>
      <c r="AR2805" s="213"/>
      <c r="AS2805" s="213"/>
      <c r="AT2805" s="213"/>
      <c r="AU2805" s="213"/>
      <c r="AV2805" s="213"/>
      <c r="AW2805" s="213"/>
      <c r="AX2805" s="213"/>
      <c r="AY2805" s="213"/>
      <c r="AZ2805" s="213"/>
      <c r="BA2805" s="213"/>
      <c r="BB2805" s="213"/>
      <c r="BC2805" s="213"/>
      <c r="BD2805" s="213"/>
    </row>
    <row r="2806">
      <c r="A2806" s="213"/>
      <c r="B2806" s="213"/>
      <c r="C2806" s="213"/>
      <c r="D2806" s="213"/>
      <c r="E2806" s="213"/>
      <c r="F2806" s="213"/>
      <c r="G2806" s="213"/>
      <c r="H2806" s="213"/>
      <c r="I2806" s="213"/>
      <c r="J2806" s="213"/>
      <c r="K2806" s="213"/>
      <c r="L2806" s="213"/>
      <c r="M2806" s="213"/>
      <c r="N2806" s="213"/>
      <c r="O2806" s="213"/>
      <c r="P2806" s="213"/>
      <c r="Q2806" s="213"/>
      <c r="R2806" s="213"/>
      <c r="S2806" s="213"/>
      <c r="T2806" s="213"/>
      <c r="U2806" s="213"/>
      <c r="V2806" s="213"/>
      <c r="W2806" s="213"/>
      <c r="X2806" s="213"/>
      <c r="Y2806" s="213"/>
      <c r="Z2806" s="213"/>
      <c r="AA2806" s="213"/>
      <c r="AB2806" s="213"/>
      <c r="AC2806" s="213"/>
      <c r="AD2806" s="213"/>
      <c r="AE2806" s="213"/>
      <c r="AF2806" s="213"/>
      <c r="AG2806" s="213"/>
      <c r="AH2806" s="213"/>
      <c r="AI2806" s="213"/>
      <c r="AJ2806" s="213"/>
      <c r="AK2806" s="213"/>
      <c r="AL2806" s="213"/>
      <c r="AM2806" s="213"/>
      <c r="AN2806" s="213"/>
      <c r="AO2806" s="213"/>
      <c r="AP2806" s="213"/>
      <c r="AQ2806" s="213"/>
      <c r="AR2806" s="213"/>
      <c r="AS2806" s="213"/>
      <c r="AT2806" s="213"/>
      <c r="AU2806" s="213"/>
      <c r="AV2806" s="213"/>
      <c r="AW2806" s="213"/>
      <c r="AX2806" s="213"/>
      <c r="AY2806" s="213"/>
      <c r="AZ2806" s="213"/>
      <c r="BA2806" s="213"/>
      <c r="BB2806" s="213"/>
      <c r="BC2806" s="213"/>
      <c r="BD2806" s="213"/>
    </row>
    <row r="2807">
      <c r="A2807" s="213"/>
      <c r="B2807" s="213"/>
      <c r="C2807" s="213"/>
      <c r="D2807" s="213"/>
      <c r="E2807" s="213"/>
      <c r="F2807" s="213"/>
      <c r="G2807" s="213"/>
      <c r="H2807" s="213"/>
      <c r="I2807" s="213"/>
      <c r="J2807" s="213"/>
      <c r="K2807" s="213"/>
      <c r="L2807" s="213"/>
      <c r="M2807" s="213"/>
      <c r="N2807" s="213"/>
      <c r="O2807" s="213"/>
      <c r="P2807" s="213"/>
      <c r="Q2807" s="213"/>
      <c r="R2807" s="213"/>
      <c r="S2807" s="213"/>
      <c r="T2807" s="213"/>
      <c r="U2807" s="213"/>
      <c r="V2807" s="213"/>
      <c r="W2807" s="213"/>
      <c r="X2807" s="213"/>
      <c r="Y2807" s="213"/>
      <c r="Z2807" s="213"/>
      <c r="AA2807" s="213"/>
      <c r="AB2807" s="213"/>
      <c r="AC2807" s="213"/>
      <c r="AD2807" s="213"/>
      <c r="AE2807" s="213"/>
      <c r="AF2807" s="213"/>
      <c r="AG2807" s="213"/>
      <c r="AH2807" s="213"/>
      <c r="AI2807" s="213"/>
      <c r="AJ2807" s="213"/>
      <c r="AK2807" s="213"/>
      <c r="AL2807" s="213"/>
      <c r="AM2807" s="213"/>
      <c r="AN2807" s="213"/>
      <c r="AO2807" s="213"/>
      <c r="AP2807" s="213"/>
      <c r="AQ2807" s="213"/>
      <c r="AR2807" s="213"/>
      <c r="AS2807" s="213"/>
      <c r="AT2807" s="213"/>
      <c r="AU2807" s="213"/>
      <c r="AV2807" s="213"/>
      <c r="AW2807" s="213"/>
      <c r="AX2807" s="213"/>
      <c r="AY2807" s="213"/>
      <c r="AZ2807" s="213"/>
      <c r="BA2807" s="213"/>
      <c r="BB2807" s="213"/>
      <c r="BC2807" s="213"/>
      <c r="BD2807" s="213"/>
    </row>
    <row r="2808">
      <c r="A2808" s="213"/>
      <c r="B2808" s="213"/>
      <c r="C2808" s="213"/>
      <c r="D2808" s="213"/>
      <c r="E2808" s="213"/>
      <c r="F2808" s="213"/>
      <c r="G2808" s="213"/>
      <c r="H2808" s="213"/>
      <c r="I2808" s="213"/>
      <c r="J2808" s="213"/>
      <c r="K2808" s="213"/>
      <c r="L2808" s="213"/>
      <c r="M2808" s="213"/>
      <c r="N2808" s="213"/>
      <c r="O2808" s="213"/>
      <c r="P2808" s="213"/>
      <c r="Q2808" s="213"/>
      <c r="R2808" s="213"/>
      <c r="S2808" s="213"/>
      <c r="T2808" s="213"/>
      <c r="U2808" s="213"/>
      <c r="V2808" s="213"/>
      <c r="W2808" s="213"/>
      <c r="X2808" s="213"/>
      <c r="Y2808" s="213"/>
      <c r="Z2808" s="213"/>
      <c r="AA2808" s="213"/>
      <c r="AB2808" s="213"/>
      <c r="AC2808" s="213"/>
      <c r="AD2808" s="213"/>
      <c r="AE2808" s="213"/>
      <c r="AF2808" s="213"/>
      <c r="AG2808" s="213"/>
      <c r="AH2808" s="213"/>
      <c r="AI2808" s="213"/>
      <c r="AJ2808" s="213"/>
      <c r="AK2808" s="213"/>
      <c r="AL2808" s="213"/>
      <c r="AM2808" s="213"/>
      <c r="AN2808" s="213"/>
      <c r="AO2808" s="213"/>
      <c r="AP2808" s="213"/>
      <c r="AQ2808" s="213"/>
      <c r="AR2808" s="213"/>
      <c r="AS2808" s="213"/>
      <c r="AT2808" s="213"/>
      <c r="AU2808" s="213"/>
      <c r="AV2808" s="213"/>
      <c r="AW2808" s="213"/>
      <c r="AX2808" s="213"/>
      <c r="AY2808" s="213"/>
      <c r="AZ2808" s="213"/>
      <c r="BA2808" s="213"/>
      <c r="BB2808" s="213"/>
      <c r="BC2808" s="213"/>
      <c r="BD2808" s="213"/>
    </row>
    <row r="2809">
      <c r="A2809" s="213"/>
      <c r="B2809" s="213"/>
      <c r="C2809" s="213"/>
      <c r="D2809" s="213"/>
      <c r="E2809" s="213"/>
      <c r="F2809" s="213"/>
      <c r="G2809" s="213"/>
      <c r="H2809" s="213"/>
      <c r="I2809" s="213"/>
      <c r="J2809" s="213"/>
      <c r="K2809" s="213"/>
      <c r="L2809" s="213"/>
      <c r="M2809" s="213"/>
      <c r="N2809" s="213"/>
      <c r="O2809" s="213"/>
      <c r="P2809" s="213"/>
      <c r="Q2809" s="213"/>
      <c r="R2809" s="213"/>
      <c r="S2809" s="213"/>
      <c r="T2809" s="213"/>
      <c r="U2809" s="213"/>
      <c r="V2809" s="213"/>
      <c r="W2809" s="213"/>
      <c r="X2809" s="213"/>
      <c r="Y2809" s="213"/>
      <c r="Z2809" s="213"/>
      <c r="AA2809" s="213"/>
      <c r="AB2809" s="213"/>
      <c r="AC2809" s="213"/>
      <c r="AD2809" s="213"/>
      <c r="AE2809" s="213"/>
      <c r="AF2809" s="213"/>
      <c r="AG2809" s="213"/>
      <c r="AH2809" s="213"/>
      <c r="AI2809" s="213"/>
      <c r="AJ2809" s="213"/>
      <c r="AK2809" s="213"/>
      <c r="AL2809" s="213"/>
      <c r="AM2809" s="213"/>
      <c r="AN2809" s="213"/>
      <c r="AO2809" s="213"/>
      <c r="AP2809" s="213"/>
      <c r="AQ2809" s="213"/>
      <c r="AR2809" s="213"/>
      <c r="AS2809" s="213"/>
      <c r="AT2809" s="213"/>
      <c r="AU2809" s="213"/>
      <c r="AV2809" s="213"/>
      <c r="AW2809" s="213"/>
      <c r="AX2809" s="213"/>
      <c r="AY2809" s="213"/>
      <c r="AZ2809" s="213"/>
      <c r="BA2809" s="213"/>
      <c r="BB2809" s="213"/>
      <c r="BC2809" s="213"/>
      <c r="BD2809" s="213"/>
    </row>
    <row r="2810">
      <c r="A2810" s="213"/>
      <c r="B2810" s="213"/>
      <c r="C2810" s="213"/>
      <c r="D2810" s="213"/>
      <c r="E2810" s="213"/>
      <c r="F2810" s="213"/>
      <c r="G2810" s="213"/>
      <c r="H2810" s="213"/>
      <c r="I2810" s="213"/>
      <c r="J2810" s="213"/>
      <c r="K2810" s="213"/>
      <c r="L2810" s="213"/>
      <c r="M2810" s="213"/>
      <c r="N2810" s="213"/>
      <c r="O2810" s="213"/>
      <c r="P2810" s="213"/>
      <c r="Q2810" s="213"/>
      <c r="R2810" s="213"/>
      <c r="S2810" s="213"/>
      <c r="T2810" s="213"/>
      <c r="U2810" s="213"/>
      <c r="V2810" s="213"/>
      <c r="W2810" s="213"/>
      <c r="X2810" s="213"/>
      <c r="Y2810" s="213"/>
      <c r="Z2810" s="213"/>
      <c r="AA2810" s="213"/>
      <c r="AB2810" s="213"/>
      <c r="AC2810" s="213"/>
      <c r="AD2810" s="213"/>
      <c r="AE2810" s="213"/>
      <c r="AF2810" s="213"/>
      <c r="AG2810" s="213"/>
      <c r="AH2810" s="213"/>
      <c r="AI2810" s="213"/>
      <c r="AJ2810" s="213"/>
      <c r="AK2810" s="213"/>
      <c r="AL2810" s="213"/>
      <c r="AM2810" s="213"/>
      <c r="AN2810" s="213"/>
      <c r="AO2810" s="213"/>
      <c r="AP2810" s="213"/>
      <c r="AQ2810" s="213"/>
      <c r="AR2810" s="213"/>
      <c r="AS2810" s="213"/>
      <c r="AT2810" s="213"/>
      <c r="AU2810" s="213"/>
      <c r="AV2810" s="213"/>
      <c r="AW2810" s="213"/>
      <c r="AX2810" s="213"/>
      <c r="AY2810" s="213"/>
      <c r="AZ2810" s="213"/>
      <c r="BA2810" s="213"/>
      <c r="BB2810" s="213"/>
      <c r="BC2810" s="213"/>
      <c r="BD2810" s="213"/>
    </row>
    <row r="2811">
      <c r="A2811" s="213"/>
      <c r="B2811" s="213"/>
      <c r="C2811" s="213"/>
      <c r="D2811" s="213"/>
      <c r="E2811" s="213"/>
      <c r="F2811" s="213"/>
      <c r="G2811" s="213"/>
      <c r="H2811" s="213"/>
      <c r="I2811" s="213"/>
      <c r="J2811" s="213"/>
      <c r="K2811" s="213"/>
      <c r="L2811" s="213"/>
      <c r="M2811" s="213"/>
      <c r="N2811" s="213"/>
      <c r="O2811" s="213"/>
      <c r="P2811" s="213"/>
      <c r="Q2811" s="213"/>
      <c r="R2811" s="213"/>
      <c r="S2811" s="213"/>
      <c r="T2811" s="213"/>
      <c r="U2811" s="213"/>
      <c r="V2811" s="213"/>
      <c r="W2811" s="213"/>
      <c r="X2811" s="213"/>
      <c r="Y2811" s="213"/>
      <c r="Z2811" s="213"/>
      <c r="AA2811" s="213"/>
      <c r="AB2811" s="213"/>
      <c r="AC2811" s="213"/>
      <c r="AD2811" s="213"/>
      <c r="AE2811" s="213"/>
      <c r="AF2811" s="213"/>
      <c r="AG2811" s="213"/>
      <c r="AH2811" s="213"/>
      <c r="AI2811" s="213"/>
      <c r="AJ2811" s="213"/>
      <c r="AK2811" s="213"/>
      <c r="AL2811" s="213"/>
      <c r="AM2811" s="213"/>
      <c r="AN2811" s="213"/>
      <c r="AO2811" s="213"/>
      <c r="AP2811" s="213"/>
      <c r="AQ2811" s="213"/>
      <c r="AR2811" s="213"/>
      <c r="AS2811" s="213"/>
      <c r="AT2811" s="213"/>
      <c r="AU2811" s="213"/>
      <c r="AV2811" s="213"/>
      <c r="AW2811" s="213"/>
      <c r="AX2811" s="213"/>
      <c r="AY2811" s="213"/>
      <c r="AZ2811" s="213"/>
      <c r="BA2811" s="213"/>
      <c r="BB2811" s="213"/>
      <c r="BC2811" s="213"/>
      <c r="BD2811" s="213"/>
    </row>
    <row r="2812">
      <c r="A2812" s="213"/>
      <c r="B2812" s="213"/>
      <c r="C2812" s="213"/>
      <c r="D2812" s="213"/>
      <c r="E2812" s="213"/>
      <c r="F2812" s="213"/>
      <c r="G2812" s="213"/>
      <c r="H2812" s="213"/>
      <c r="I2812" s="213"/>
      <c r="J2812" s="213"/>
      <c r="K2812" s="213"/>
      <c r="L2812" s="213"/>
      <c r="M2812" s="213"/>
      <c r="N2812" s="213"/>
      <c r="O2812" s="213"/>
      <c r="P2812" s="213"/>
      <c r="Q2812" s="213"/>
      <c r="R2812" s="213"/>
      <c r="S2812" s="213"/>
      <c r="T2812" s="213"/>
      <c r="U2812" s="213"/>
      <c r="V2812" s="213"/>
      <c r="W2812" s="213"/>
      <c r="X2812" s="213"/>
      <c r="Y2812" s="213"/>
      <c r="Z2812" s="213"/>
      <c r="AA2812" s="213"/>
      <c r="AB2812" s="213"/>
      <c r="AC2812" s="213"/>
      <c r="AD2812" s="213"/>
      <c r="AE2812" s="213"/>
      <c r="AF2812" s="213"/>
      <c r="AG2812" s="213"/>
      <c r="AH2812" s="213"/>
      <c r="AI2812" s="213"/>
      <c r="AJ2812" s="213"/>
      <c r="AK2812" s="213"/>
      <c r="AL2812" s="213"/>
      <c r="AM2812" s="213"/>
      <c r="AN2812" s="213"/>
      <c r="AO2812" s="213"/>
      <c r="AP2812" s="213"/>
      <c r="AQ2812" s="213"/>
      <c r="AR2812" s="213"/>
      <c r="AS2812" s="213"/>
      <c r="AT2812" s="213"/>
      <c r="AU2812" s="213"/>
      <c r="AV2812" s="213"/>
      <c r="AW2812" s="213"/>
      <c r="AX2812" s="213"/>
      <c r="AY2812" s="213"/>
      <c r="AZ2812" s="213"/>
      <c r="BA2812" s="213"/>
      <c r="BB2812" s="213"/>
      <c r="BC2812" s="213"/>
      <c r="BD2812" s="213"/>
    </row>
    <row r="2813">
      <c r="A2813" s="213"/>
      <c r="B2813" s="213"/>
      <c r="C2813" s="213"/>
      <c r="D2813" s="213"/>
      <c r="E2813" s="213"/>
      <c r="F2813" s="213"/>
      <c r="G2813" s="213"/>
      <c r="H2813" s="213"/>
      <c r="I2813" s="213"/>
      <c r="J2813" s="213"/>
      <c r="K2813" s="213"/>
      <c r="L2813" s="213"/>
      <c r="M2813" s="213"/>
      <c r="N2813" s="213"/>
      <c r="O2813" s="213"/>
      <c r="P2813" s="213"/>
      <c r="Q2813" s="213"/>
      <c r="R2813" s="213"/>
      <c r="S2813" s="213"/>
      <c r="T2813" s="213"/>
      <c r="U2813" s="213"/>
      <c r="V2813" s="213"/>
      <c r="W2813" s="213"/>
      <c r="X2813" s="213"/>
      <c r="Y2813" s="213"/>
      <c r="Z2813" s="213"/>
      <c r="AA2813" s="213"/>
      <c r="AB2813" s="213"/>
      <c r="AC2813" s="213"/>
      <c r="AD2813" s="213"/>
      <c r="AE2813" s="213"/>
      <c r="AF2813" s="213"/>
      <c r="AG2813" s="213"/>
      <c r="AH2813" s="213"/>
      <c r="AI2813" s="213"/>
      <c r="AJ2813" s="213"/>
      <c r="AK2813" s="213"/>
      <c r="AL2813" s="213"/>
      <c r="AM2813" s="213"/>
      <c r="AN2813" s="213"/>
      <c r="AO2813" s="213"/>
      <c r="AP2813" s="213"/>
      <c r="AQ2813" s="213"/>
      <c r="AR2813" s="213"/>
      <c r="AS2813" s="213"/>
      <c r="AT2813" s="213"/>
      <c r="AU2813" s="213"/>
      <c r="AV2813" s="213"/>
      <c r="AW2813" s="213"/>
      <c r="AX2813" s="213"/>
      <c r="AY2813" s="213"/>
      <c r="AZ2813" s="213"/>
      <c r="BA2813" s="213"/>
      <c r="BB2813" s="213"/>
      <c r="BC2813" s="213"/>
      <c r="BD2813" s="213"/>
    </row>
    <row r="2814">
      <c r="A2814" s="213"/>
      <c r="B2814" s="213"/>
      <c r="C2814" s="213"/>
      <c r="D2814" s="213"/>
      <c r="E2814" s="213"/>
      <c r="F2814" s="213"/>
      <c r="G2814" s="213"/>
      <c r="H2814" s="213"/>
      <c r="I2814" s="213"/>
      <c r="J2814" s="213"/>
      <c r="K2814" s="213"/>
      <c r="L2814" s="213"/>
      <c r="M2814" s="213"/>
      <c r="N2814" s="213"/>
      <c r="O2814" s="213"/>
      <c r="P2814" s="213"/>
      <c r="Q2814" s="213"/>
      <c r="R2814" s="213"/>
      <c r="S2814" s="213"/>
      <c r="T2814" s="213"/>
      <c r="U2814" s="213"/>
      <c r="V2814" s="213"/>
      <c r="W2814" s="213"/>
      <c r="X2814" s="213"/>
      <c r="Y2814" s="213"/>
      <c r="Z2814" s="213"/>
      <c r="AA2814" s="213"/>
      <c r="AB2814" s="213"/>
      <c r="AC2814" s="213"/>
      <c r="AD2814" s="213"/>
      <c r="AE2814" s="213"/>
      <c r="AF2814" s="213"/>
      <c r="AG2814" s="213"/>
      <c r="AH2814" s="213"/>
      <c r="AI2814" s="213"/>
      <c r="AJ2814" s="213"/>
      <c r="AK2814" s="213"/>
      <c r="AL2814" s="213"/>
      <c r="AM2814" s="213"/>
      <c r="AN2814" s="213"/>
      <c r="AO2814" s="213"/>
      <c r="AP2814" s="213"/>
      <c r="AQ2814" s="213"/>
      <c r="AR2814" s="213"/>
      <c r="AS2814" s="213"/>
      <c r="AT2814" s="213"/>
      <c r="AU2814" s="213"/>
      <c r="AV2814" s="213"/>
      <c r="AW2814" s="213"/>
      <c r="AX2814" s="213"/>
      <c r="AY2814" s="213"/>
      <c r="AZ2814" s="213"/>
      <c r="BA2814" s="213"/>
      <c r="BB2814" s="213"/>
      <c r="BC2814" s="213"/>
      <c r="BD2814" s="213"/>
    </row>
    <row r="2815">
      <c r="A2815" s="213"/>
      <c r="B2815" s="213"/>
      <c r="C2815" s="213"/>
      <c r="D2815" s="213"/>
      <c r="E2815" s="213"/>
      <c r="F2815" s="213"/>
      <c r="G2815" s="213"/>
      <c r="H2815" s="213"/>
      <c r="I2815" s="213"/>
      <c r="J2815" s="213"/>
      <c r="K2815" s="213"/>
      <c r="L2815" s="213"/>
      <c r="M2815" s="213"/>
      <c r="N2815" s="213"/>
      <c r="O2815" s="213"/>
      <c r="P2815" s="213"/>
      <c r="Q2815" s="213"/>
      <c r="R2815" s="213"/>
      <c r="S2815" s="213"/>
      <c r="T2815" s="213"/>
      <c r="U2815" s="213"/>
      <c r="V2815" s="213"/>
      <c r="W2815" s="213"/>
      <c r="X2815" s="213"/>
      <c r="Y2815" s="213"/>
      <c r="Z2815" s="213"/>
      <c r="AA2815" s="213"/>
      <c r="AB2815" s="213"/>
      <c r="AC2815" s="213"/>
      <c r="AD2815" s="213"/>
      <c r="AE2815" s="213"/>
      <c r="AF2815" s="213"/>
      <c r="AG2815" s="213"/>
      <c r="AH2815" s="213"/>
      <c r="AI2815" s="213"/>
      <c r="AJ2815" s="213"/>
      <c r="AK2815" s="213"/>
      <c r="AL2815" s="213"/>
      <c r="AM2815" s="213"/>
      <c r="AN2815" s="213"/>
      <c r="AO2815" s="213"/>
      <c r="AP2815" s="213"/>
      <c r="AQ2815" s="213"/>
      <c r="AR2815" s="213"/>
      <c r="AS2815" s="213"/>
      <c r="AT2815" s="213"/>
      <c r="AU2815" s="213"/>
      <c r="AV2815" s="213"/>
      <c r="AW2815" s="213"/>
      <c r="AX2815" s="213"/>
      <c r="AY2815" s="213"/>
      <c r="AZ2815" s="213"/>
      <c r="BA2815" s="213"/>
      <c r="BB2815" s="213"/>
      <c r="BC2815" s="213"/>
      <c r="BD2815" s="213"/>
    </row>
    <row r="2816">
      <c r="A2816" s="213"/>
      <c r="B2816" s="213"/>
      <c r="C2816" s="213"/>
      <c r="D2816" s="213"/>
      <c r="E2816" s="213"/>
      <c r="F2816" s="213"/>
      <c r="G2816" s="213"/>
      <c r="H2816" s="213"/>
      <c r="I2816" s="213"/>
      <c r="J2816" s="213"/>
      <c r="K2816" s="213"/>
      <c r="L2816" s="213"/>
      <c r="M2816" s="213"/>
      <c r="N2816" s="213"/>
      <c r="O2816" s="213"/>
      <c r="P2816" s="213"/>
      <c r="Q2816" s="213"/>
      <c r="R2816" s="213"/>
      <c r="S2816" s="213"/>
      <c r="T2816" s="213"/>
      <c r="U2816" s="213"/>
      <c r="V2816" s="213"/>
      <c r="W2816" s="213"/>
      <c r="X2816" s="213"/>
      <c r="Y2816" s="213"/>
      <c r="Z2816" s="213"/>
      <c r="AA2816" s="213"/>
      <c r="AB2816" s="213"/>
      <c r="AC2816" s="213"/>
      <c r="AD2816" s="213"/>
      <c r="AE2816" s="213"/>
      <c r="AF2816" s="213"/>
      <c r="AG2816" s="213"/>
      <c r="AH2816" s="213"/>
      <c r="AI2816" s="213"/>
      <c r="AJ2816" s="213"/>
      <c r="AK2816" s="213"/>
      <c r="AL2816" s="213"/>
      <c r="AM2816" s="213"/>
      <c r="AN2816" s="213"/>
      <c r="AO2816" s="213"/>
      <c r="AP2816" s="213"/>
      <c r="AQ2816" s="213"/>
      <c r="AR2816" s="213"/>
      <c r="AS2816" s="213"/>
      <c r="AT2816" s="213"/>
      <c r="AU2816" s="213"/>
      <c r="AV2816" s="213"/>
      <c r="AW2816" s="213"/>
      <c r="AX2816" s="213"/>
      <c r="AY2816" s="213"/>
      <c r="AZ2816" s="213"/>
      <c r="BA2816" s="213"/>
      <c r="BB2816" s="213"/>
      <c r="BC2816" s="213"/>
      <c r="BD2816" s="213"/>
    </row>
    <row r="2817">
      <c r="A2817" s="213"/>
      <c r="B2817" s="213"/>
      <c r="C2817" s="213"/>
      <c r="D2817" s="213"/>
      <c r="E2817" s="213"/>
      <c r="F2817" s="213"/>
      <c r="G2817" s="213"/>
      <c r="H2817" s="213"/>
      <c r="I2817" s="213"/>
      <c r="J2817" s="213"/>
      <c r="K2817" s="213"/>
      <c r="L2817" s="213"/>
      <c r="M2817" s="213"/>
      <c r="N2817" s="213"/>
      <c r="O2817" s="213"/>
      <c r="P2817" s="213"/>
      <c r="Q2817" s="213"/>
      <c r="R2817" s="213"/>
      <c r="S2817" s="213"/>
      <c r="T2817" s="213"/>
      <c r="U2817" s="213"/>
      <c r="V2817" s="213"/>
      <c r="W2817" s="213"/>
      <c r="X2817" s="213"/>
      <c r="Y2817" s="213"/>
      <c r="Z2817" s="213"/>
      <c r="AA2817" s="213"/>
      <c r="AB2817" s="213"/>
      <c r="AC2817" s="213"/>
      <c r="AD2817" s="213"/>
      <c r="AE2817" s="213"/>
      <c r="AF2817" s="213"/>
      <c r="AG2817" s="213"/>
      <c r="AH2817" s="213"/>
      <c r="AI2817" s="213"/>
      <c r="AJ2817" s="213"/>
      <c r="AK2817" s="213"/>
      <c r="AL2817" s="213"/>
      <c r="AM2817" s="213"/>
      <c r="AN2817" s="213"/>
      <c r="AO2817" s="213"/>
      <c r="AP2817" s="213"/>
      <c r="AQ2817" s="213"/>
      <c r="AR2817" s="213"/>
      <c r="AS2817" s="213"/>
      <c r="AT2817" s="213"/>
      <c r="AU2817" s="213"/>
      <c r="AV2817" s="213"/>
      <c r="AW2817" s="213"/>
      <c r="AX2817" s="213"/>
      <c r="AY2817" s="213"/>
      <c r="AZ2817" s="213"/>
      <c r="BA2817" s="213"/>
      <c r="BB2817" s="213"/>
      <c r="BC2817" s="213"/>
      <c r="BD2817" s="213"/>
    </row>
    <row r="2818">
      <c r="A2818" s="213"/>
      <c r="B2818" s="213"/>
      <c r="C2818" s="213"/>
      <c r="D2818" s="213"/>
      <c r="E2818" s="213"/>
      <c r="F2818" s="213"/>
      <c r="G2818" s="213"/>
      <c r="H2818" s="213"/>
      <c r="I2818" s="213"/>
      <c r="J2818" s="213"/>
      <c r="K2818" s="213"/>
      <c r="L2818" s="213"/>
      <c r="M2818" s="213"/>
      <c r="N2818" s="213"/>
      <c r="O2818" s="213"/>
      <c r="P2818" s="213"/>
      <c r="Q2818" s="213"/>
      <c r="R2818" s="213"/>
      <c r="S2818" s="213"/>
      <c r="T2818" s="213"/>
      <c r="U2818" s="213"/>
      <c r="V2818" s="213"/>
      <c r="W2818" s="213"/>
      <c r="X2818" s="213"/>
      <c r="Y2818" s="213"/>
      <c r="Z2818" s="213"/>
      <c r="AA2818" s="213"/>
      <c r="AB2818" s="213"/>
      <c r="AC2818" s="213"/>
      <c r="AD2818" s="213"/>
      <c r="AE2818" s="213"/>
      <c r="AF2818" s="213"/>
      <c r="AG2818" s="213"/>
      <c r="AH2818" s="213"/>
      <c r="AI2818" s="213"/>
      <c r="AJ2818" s="213"/>
      <c r="AK2818" s="213"/>
      <c r="AL2818" s="213"/>
      <c r="AM2818" s="213"/>
      <c r="AN2818" s="213"/>
      <c r="AO2818" s="213"/>
      <c r="AP2818" s="213"/>
      <c r="AQ2818" s="213"/>
      <c r="AR2818" s="213"/>
      <c r="AS2818" s="213"/>
      <c r="AT2818" s="213"/>
      <c r="AU2818" s="213"/>
      <c r="AV2818" s="213"/>
      <c r="AW2818" s="213"/>
      <c r="AX2818" s="213"/>
      <c r="AY2818" s="213"/>
      <c r="AZ2818" s="213"/>
      <c r="BA2818" s="213"/>
      <c r="BB2818" s="213"/>
      <c r="BC2818" s="213"/>
      <c r="BD2818" s="213"/>
    </row>
    <row r="2819">
      <c r="A2819" s="213"/>
      <c r="B2819" s="213"/>
      <c r="C2819" s="213"/>
      <c r="D2819" s="213"/>
      <c r="E2819" s="213"/>
      <c r="F2819" s="213"/>
      <c r="G2819" s="213"/>
      <c r="H2819" s="213"/>
      <c r="I2819" s="213"/>
      <c r="J2819" s="213"/>
      <c r="K2819" s="213"/>
      <c r="L2819" s="213"/>
      <c r="M2819" s="213"/>
      <c r="N2819" s="213"/>
      <c r="O2819" s="213"/>
      <c r="P2819" s="213"/>
      <c r="Q2819" s="213"/>
      <c r="R2819" s="213"/>
      <c r="S2819" s="213"/>
      <c r="T2819" s="213"/>
      <c r="U2819" s="213"/>
      <c r="V2819" s="213"/>
      <c r="W2819" s="213"/>
      <c r="X2819" s="213"/>
      <c r="Y2819" s="213"/>
      <c r="Z2819" s="213"/>
      <c r="AA2819" s="213"/>
      <c r="AB2819" s="213"/>
      <c r="AC2819" s="213"/>
      <c r="AD2819" s="213"/>
      <c r="AE2819" s="213"/>
      <c r="AF2819" s="213"/>
      <c r="AG2819" s="213"/>
      <c r="AH2819" s="213"/>
      <c r="AI2819" s="213"/>
      <c r="AJ2819" s="213"/>
      <c r="AK2819" s="213"/>
      <c r="AL2819" s="213"/>
      <c r="AM2819" s="213"/>
      <c r="AN2819" s="213"/>
      <c r="AO2819" s="213"/>
      <c r="AP2819" s="213"/>
      <c r="AQ2819" s="213"/>
      <c r="AR2819" s="213"/>
      <c r="AS2819" s="213"/>
      <c r="AT2819" s="213"/>
      <c r="AU2819" s="213"/>
      <c r="AV2819" s="213"/>
      <c r="AW2819" s="213"/>
      <c r="AX2819" s="213"/>
      <c r="AY2819" s="213"/>
      <c r="AZ2819" s="213"/>
      <c r="BA2819" s="213"/>
      <c r="BB2819" s="213"/>
      <c r="BC2819" s="213"/>
      <c r="BD2819" s="213"/>
    </row>
    <row r="2820">
      <c r="A2820" s="213"/>
      <c r="B2820" s="213"/>
      <c r="C2820" s="213"/>
      <c r="D2820" s="213"/>
      <c r="E2820" s="213"/>
      <c r="F2820" s="213"/>
      <c r="G2820" s="213"/>
      <c r="H2820" s="213"/>
      <c r="I2820" s="213"/>
      <c r="J2820" s="213"/>
      <c r="K2820" s="213"/>
      <c r="L2820" s="213"/>
      <c r="M2820" s="213"/>
      <c r="N2820" s="213"/>
      <c r="O2820" s="213"/>
      <c r="P2820" s="213"/>
      <c r="Q2820" s="213"/>
      <c r="R2820" s="213"/>
      <c r="S2820" s="213"/>
      <c r="T2820" s="213"/>
      <c r="U2820" s="213"/>
      <c r="V2820" s="213"/>
      <c r="W2820" s="213"/>
      <c r="X2820" s="213"/>
      <c r="Y2820" s="213"/>
      <c r="Z2820" s="213"/>
      <c r="AA2820" s="213"/>
      <c r="AB2820" s="213"/>
      <c r="AC2820" s="213"/>
      <c r="AD2820" s="213"/>
      <c r="AE2820" s="213"/>
      <c r="AF2820" s="213"/>
      <c r="AG2820" s="213"/>
      <c r="AH2820" s="213"/>
      <c r="AI2820" s="213"/>
      <c r="AJ2820" s="213"/>
      <c r="AK2820" s="213"/>
      <c r="AL2820" s="213"/>
      <c r="AM2820" s="213"/>
      <c r="AN2820" s="213"/>
      <c r="AO2820" s="213"/>
      <c r="AP2820" s="213"/>
      <c r="AQ2820" s="213"/>
      <c r="AR2820" s="213"/>
      <c r="AS2820" s="213"/>
      <c r="AT2820" s="213"/>
      <c r="AU2820" s="213"/>
      <c r="AV2820" s="213"/>
      <c r="AW2820" s="213"/>
      <c r="AX2820" s="213"/>
      <c r="AY2820" s="213"/>
      <c r="AZ2820" s="213"/>
      <c r="BA2820" s="213"/>
      <c r="BB2820" s="213"/>
      <c r="BC2820" s="213"/>
      <c r="BD2820" s="213"/>
    </row>
    <row r="2821">
      <c r="A2821" s="213"/>
      <c r="B2821" s="213"/>
      <c r="C2821" s="213"/>
      <c r="D2821" s="213"/>
      <c r="E2821" s="213"/>
      <c r="F2821" s="213"/>
      <c r="G2821" s="213"/>
      <c r="H2821" s="213"/>
      <c r="I2821" s="213"/>
      <c r="J2821" s="213"/>
      <c r="K2821" s="213"/>
      <c r="L2821" s="213"/>
      <c r="M2821" s="213"/>
      <c r="N2821" s="213"/>
      <c r="O2821" s="213"/>
      <c r="P2821" s="213"/>
      <c r="Q2821" s="213"/>
      <c r="R2821" s="213"/>
      <c r="S2821" s="213"/>
      <c r="T2821" s="213"/>
      <c r="U2821" s="213"/>
      <c r="V2821" s="213"/>
      <c r="W2821" s="213"/>
      <c r="X2821" s="213"/>
      <c r="Y2821" s="213"/>
      <c r="Z2821" s="213"/>
      <c r="AA2821" s="213"/>
      <c r="AB2821" s="213"/>
      <c r="AC2821" s="213"/>
      <c r="AD2821" s="213"/>
      <c r="AE2821" s="213"/>
      <c r="AF2821" s="213"/>
      <c r="AG2821" s="213"/>
      <c r="AH2821" s="213"/>
      <c r="AI2821" s="213"/>
      <c r="AJ2821" s="213"/>
      <c r="AK2821" s="213"/>
      <c r="AL2821" s="213"/>
      <c r="AM2821" s="213"/>
      <c r="AN2821" s="213"/>
      <c r="AO2821" s="213"/>
      <c r="AP2821" s="213"/>
      <c r="AQ2821" s="213"/>
      <c r="AR2821" s="213"/>
      <c r="AS2821" s="213"/>
      <c r="AT2821" s="213"/>
      <c r="AU2821" s="213"/>
      <c r="AV2821" s="213"/>
      <c r="AW2821" s="213"/>
      <c r="AX2821" s="213"/>
      <c r="AY2821" s="213"/>
      <c r="AZ2821" s="213"/>
      <c r="BA2821" s="213"/>
      <c r="BB2821" s="213"/>
      <c r="BC2821" s="213"/>
      <c r="BD2821" s="213"/>
    </row>
    <row r="2822">
      <c r="A2822" s="213"/>
      <c r="B2822" s="213"/>
      <c r="C2822" s="213"/>
      <c r="D2822" s="213"/>
      <c r="E2822" s="213"/>
      <c r="F2822" s="213"/>
      <c r="G2822" s="213"/>
      <c r="H2822" s="213"/>
      <c r="I2822" s="213"/>
      <c r="J2822" s="213"/>
      <c r="K2822" s="213"/>
      <c r="L2822" s="213"/>
      <c r="M2822" s="213"/>
      <c r="N2822" s="213"/>
      <c r="O2822" s="213"/>
      <c r="P2822" s="213"/>
      <c r="Q2822" s="213"/>
      <c r="R2822" s="213"/>
      <c r="S2822" s="213"/>
      <c r="T2822" s="213"/>
      <c r="U2822" s="213"/>
      <c r="V2822" s="213"/>
      <c r="W2822" s="213"/>
      <c r="X2822" s="213"/>
      <c r="Y2822" s="213"/>
      <c r="Z2822" s="213"/>
      <c r="AA2822" s="213"/>
      <c r="AB2822" s="213"/>
      <c r="AC2822" s="213"/>
      <c r="AD2822" s="213"/>
      <c r="AE2822" s="213"/>
      <c r="AF2822" s="213"/>
      <c r="AG2822" s="213"/>
      <c r="AH2822" s="213"/>
      <c r="AI2822" s="213"/>
      <c r="AJ2822" s="213"/>
      <c r="AK2822" s="213"/>
      <c r="AL2822" s="213"/>
      <c r="AM2822" s="213"/>
      <c r="AN2822" s="213"/>
      <c r="AO2822" s="213"/>
      <c r="AP2822" s="213"/>
      <c r="AQ2822" s="213"/>
      <c r="AR2822" s="213"/>
      <c r="AS2822" s="213"/>
      <c r="AT2822" s="213"/>
      <c r="AU2822" s="213"/>
      <c r="AV2822" s="213"/>
      <c r="AW2822" s="213"/>
      <c r="AX2822" s="213"/>
      <c r="AY2822" s="213"/>
      <c r="AZ2822" s="213"/>
      <c r="BA2822" s="213"/>
      <c r="BB2822" s="213"/>
      <c r="BC2822" s="213"/>
      <c r="BD2822" s="213"/>
    </row>
    <row r="2823">
      <c r="A2823" s="213"/>
      <c r="B2823" s="213"/>
      <c r="C2823" s="213"/>
      <c r="D2823" s="213"/>
      <c r="E2823" s="213"/>
      <c r="F2823" s="213"/>
      <c r="G2823" s="213"/>
      <c r="H2823" s="213"/>
      <c r="I2823" s="213"/>
      <c r="J2823" s="213"/>
      <c r="K2823" s="213"/>
      <c r="L2823" s="213"/>
      <c r="M2823" s="213"/>
      <c r="N2823" s="213"/>
      <c r="O2823" s="213"/>
      <c r="P2823" s="213"/>
      <c r="Q2823" s="213"/>
      <c r="R2823" s="213"/>
      <c r="S2823" s="213"/>
      <c r="T2823" s="213"/>
      <c r="U2823" s="213"/>
      <c r="V2823" s="213"/>
      <c r="W2823" s="213"/>
      <c r="X2823" s="213"/>
      <c r="Y2823" s="213"/>
      <c r="Z2823" s="213"/>
      <c r="AA2823" s="213"/>
      <c r="AB2823" s="213"/>
      <c r="AC2823" s="213"/>
      <c r="AD2823" s="213"/>
      <c r="AE2823" s="213"/>
      <c r="AF2823" s="213"/>
      <c r="AG2823" s="213"/>
      <c r="AH2823" s="213"/>
      <c r="AI2823" s="213"/>
      <c r="AJ2823" s="213"/>
      <c r="AK2823" s="213"/>
      <c r="AL2823" s="213"/>
      <c r="AM2823" s="213"/>
      <c r="AN2823" s="213"/>
      <c r="AO2823" s="213"/>
      <c r="AP2823" s="213"/>
      <c r="AQ2823" s="213"/>
      <c r="AR2823" s="213"/>
      <c r="AS2823" s="213"/>
      <c r="AT2823" s="213"/>
      <c r="AU2823" s="213"/>
      <c r="AV2823" s="213"/>
      <c r="AW2823" s="213"/>
      <c r="AX2823" s="213"/>
      <c r="AY2823" s="213"/>
      <c r="AZ2823" s="213"/>
      <c r="BA2823" s="213"/>
      <c r="BB2823" s="213"/>
      <c r="BC2823" s="213"/>
      <c r="BD2823" s="213"/>
    </row>
    <row r="2824">
      <c r="A2824" s="213"/>
      <c r="B2824" s="213"/>
      <c r="C2824" s="213"/>
      <c r="D2824" s="213"/>
      <c r="E2824" s="213"/>
      <c r="F2824" s="213"/>
      <c r="G2824" s="213"/>
      <c r="H2824" s="213"/>
      <c r="I2824" s="213"/>
      <c r="J2824" s="213"/>
      <c r="K2824" s="213"/>
      <c r="L2824" s="213"/>
      <c r="M2824" s="213"/>
      <c r="N2824" s="213"/>
      <c r="O2824" s="213"/>
      <c r="P2824" s="213"/>
      <c r="Q2824" s="213"/>
      <c r="R2824" s="213"/>
      <c r="S2824" s="213"/>
      <c r="T2824" s="213"/>
      <c r="U2824" s="213"/>
      <c r="V2824" s="213"/>
      <c r="W2824" s="213"/>
      <c r="X2824" s="213"/>
      <c r="Y2824" s="213"/>
      <c r="Z2824" s="213"/>
      <c r="AA2824" s="213"/>
      <c r="AB2824" s="213"/>
      <c r="AC2824" s="213"/>
      <c r="AD2824" s="213"/>
      <c r="AE2824" s="213"/>
      <c r="AF2824" s="213"/>
      <c r="AG2824" s="213"/>
      <c r="AH2824" s="213"/>
      <c r="AI2824" s="213"/>
      <c r="AJ2824" s="213"/>
      <c r="AK2824" s="213"/>
      <c r="AL2824" s="213"/>
      <c r="AM2824" s="213"/>
      <c r="AN2824" s="213"/>
      <c r="AO2824" s="213"/>
      <c r="AP2824" s="213"/>
      <c r="AQ2824" s="213"/>
      <c r="AR2824" s="213"/>
      <c r="AS2824" s="213"/>
      <c r="AT2824" s="213"/>
      <c r="AU2824" s="213"/>
      <c r="AV2824" s="213"/>
      <c r="AW2824" s="213"/>
      <c r="AX2824" s="213"/>
      <c r="AY2824" s="213"/>
      <c r="AZ2824" s="213"/>
      <c r="BA2824" s="213"/>
      <c r="BB2824" s="213"/>
      <c r="BC2824" s="213"/>
      <c r="BD2824" s="213"/>
    </row>
    <row r="2825">
      <c r="A2825" s="213"/>
      <c r="B2825" s="213"/>
      <c r="C2825" s="213"/>
      <c r="D2825" s="213"/>
      <c r="E2825" s="213"/>
      <c r="F2825" s="213"/>
      <c r="G2825" s="213"/>
      <c r="H2825" s="213"/>
      <c r="I2825" s="213"/>
      <c r="J2825" s="213"/>
      <c r="K2825" s="213"/>
      <c r="L2825" s="213"/>
      <c r="M2825" s="213"/>
      <c r="N2825" s="213"/>
      <c r="O2825" s="213"/>
      <c r="P2825" s="213"/>
      <c r="Q2825" s="213"/>
      <c r="R2825" s="213"/>
      <c r="S2825" s="213"/>
      <c r="T2825" s="213"/>
      <c r="U2825" s="213"/>
      <c r="V2825" s="213"/>
      <c r="W2825" s="213"/>
      <c r="X2825" s="213"/>
      <c r="Y2825" s="213"/>
      <c r="Z2825" s="213"/>
      <c r="AA2825" s="213"/>
      <c r="AB2825" s="213"/>
      <c r="AC2825" s="213"/>
      <c r="AD2825" s="213"/>
      <c r="AE2825" s="213"/>
      <c r="AF2825" s="213"/>
      <c r="AG2825" s="213"/>
      <c r="AH2825" s="213"/>
      <c r="AI2825" s="213"/>
      <c r="AJ2825" s="213"/>
      <c r="AK2825" s="213"/>
      <c r="AL2825" s="213"/>
      <c r="AM2825" s="213"/>
      <c r="AN2825" s="213"/>
      <c r="AO2825" s="213"/>
      <c r="AP2825" s="213"/>
      <c r="AQ2825" s="213"/>
      <c r="AR2825" s="213"/>
      <c r="AS2825" s="213"/>
      <c r="AT2825" s="213"/>
      <c r="AU2825" s="213"/>
      <c r="AV2825" s="213"/>
      <c r="AW2825" s="213"/>
      <c r="AX2825" s="213"/>
      <c r="AY2825" s="213"/>
      <c r="AZ2825" s="213"/>
      <c r="BA2825" s="213"/>
      <c r="BB2825" s="213"/>
      <c r="BC2825" s="213"/>
      <c r="BD2825" s="213"/>
    </row>
    <row r="2826">
      <c r="A2826" s="213"/>
      <c r="B2826" s="213"/>
      <c r="C2826" s="213"/>
      <c r="D2826" s="213"/>
      <c r="E2826" s="213"/>
      <c r="F2826" s="213"/>
      <c r="G2826" s="213"/>
      <c r="H2826" s="213"/>
      <c r="I2826" s="213"/>
      <c r="J2826" s="213"/>
      <c r="K2826" s="213"/>
      <c r="L2826" s="213"/>
      <c r="M2826" s="213"/>
      <c r="N2826" s="213"/>
      <c r="O2826" s="213"/>
      <c r="P2826" s="213"/>
      <c r="Q2826" s="213"/>
      <c r="R2826" s="213"/>
      <c r="S2826" s="213"/>
      <c r="T2826" s="213"/>
      <c r="U2826" s="213"/>
      <c r="V2826" s="213"/>
      <c r="W2826" s="213"/>
      <c r="X2826" s="213"/>
      <c r="Y2826" s="213"/>
      <c r="Z2826" s="213"/>
      <c r="AA2826" s="213"/>
      <c r="AB2826" s="213"/>
      <c r="AC2826" s="213"/>
      <c r="AD2826" s="213"/>
      <c r="AE2826" s="213"/>
      <c r="AF2826" s="213"/>
      <c r="AG2826" s="213"/>
      <c r="AH2826" s="213"/>
      <c r="AI2826" s="213"/>
      <c r="AJ2826" s="213"/>
      <c r="AK2826" s="213"/>
      <c r="AL2826" s="213"/>
      <c r="AM2826" s="213"/>
      <c r="AN2826" s="213"/>
      <c r="AO2826" s="213"/>
      <c r="AP2826" s="213"/>
      <c r="AQ2826" s="213"/>
      <c r="AR2826" s="213"/>
      <c r="AS2826" s="213"/>
      <c r="AT2826" s="213"/>
      <c r="AU2826" s="213"/>
      <c r="AV2826" s="213"/>
      <c r="AW2826" s="213"/>
      <c r="AX2826" s="213"/>
      <c r="AY2826" s="213"/>
      <c r="AZ2826" s="213"/>
      <c r="BA2826" s="213"/>
      <c r="BB2826" s="213"/>
      <c r="BC2826" s="213"/>
      <c r="BD2826" s="213"/>
    </row>
    <row r="2827">
      <c r="A2827" s="213"/>
      <c r="B2827" s="213"/>
      <c r="C2827" s="213"/>
      <c r="D2827" s="213"/>
      <c r="E2827" s="213"/>
      <c r="F2827" s="213"/>
      <c r="G2827" s="213"/>
      <c r="H2827" s="213"/>
      <c r="I2827" s="213"/>
      <c r="J2827" s="213"/>
      <c r="K2827" s="213"/>
      <c r="L2827" s="213"/>
      <c r="M2827" s="213"/>
      <c r="N2827" s="213"/>
      <c r="O2827" s="213"/>
      <c r="P2827" s="213"/>
      <c r="Q2827" s="213"/>
      <c r="R2827" s="213"/>
      <c r="S2827" s="213"/>
      <c r="T2827" s="213"/>
      <c r="U2827" s="213"/>
      <c r="V2827" s="213"/>
      <c r="W2827" s="213"/>
      <c r="X2827" s="213"/>
      <c r="Y2827" s="213"/>
      <c r="Z2827" s="213"/>
      <c r="AA2827" s="213"/>
      <c r="AB2827" s="213"/>
      <c r="AC2827" s="213"/>
      <c r="AD2827" s="213"/>
      <c r="AE2827" s="213"/>
      <c r="AF2827" s="213"/>
      <c r="AG2827" s="213"/>
      <c r="AH2827" s="213"/>
      <c r="AI2827" s="213"/>
      <c r="AJ2827" s="213"/>
      <c r="AK2827" s="213"/>
      <c r="AL2827" s="213"/>
      <c r="AM2827" s="213"/>
      <c r="AN2827" s="213"/>
      <c r="AO2827" s="213"/>
      <c r="AP2827" s="213"/>
      <c r="AQ2827" s="213"/>
      <c r="AR2827" s="213"/>
      <c r="AS2827" s="213"/>
      <c r="AT2827" s="213"/>
      <c r="AU2827" s="213"/>
      <c r="AV2827" s="213"/>
      <c r="AW2827" s="213"/>
      <c r="AX2827" s="213"/>
      <c r="AY2827" s="213"/>
      <c r="AZ2827" s="213"/>
      <c r="BA2827" s="213"/>
      <c r="BB2827" s="213"/>
      <c r="BC2827" s="213"/>
      <c r="BD2827" s="213"/>
    </row>
    <row r="2828">
      <c r="A2828" s="213"/>
      <c r="B2828" s="213"/>
      <c r="C2828" s="213"/>
      <c r="D2828" s="213"/>
      <c r="E2828" s="213"/>
      <c r="F2828" s="213"/>
      <c r="G2828" s="213"/>
      <c r="H2828" s="213"/>
      <c r="I2828" s="213"/>
      <c r="J2828" s="213"/>
      <c r="K2828" s="213"/>
      <c r="L2828" s="213"/>
      <c r="M2828" s="213"/>
      <c r="N2828" s="213"/>
      <c r="O2828" s="213"/>
      <c r="P2828" s="213"/>
      <c r="Q2828" s="213"/>
      <c r="R2828" s="213"/>
      <c r="S2828" s="213"/>
      <c r="T2828" s="213"/>
      <c r="U2828" s="213"/>
      <c r="V2828" s="213"/>
      <c r="W2828" s="213"/>
      <c r="X2828" s="213"/>
      <c r="Y2828" s="213"/>
      <c r="Z2828" s="213"/>
      <c r="AA2828" s="213"/>
      <c r="AB2828" s="213"/>
      <c r="AC2828" s="213"/>
      <c r="AD2828" s="213"/>
      <c r="AE2828" s="213"/>
      <c r="AF2828" s="213"/>
      <c r="AG2828" s="213"/>
      <c r="AH2828" s="213"/>
      <c r="AI2828" s="213"/>
      <c r="AJ2828" s="213"/>
      <c r="AK2828" s="213"/>
      <c r="AL2828" s="213"/>
      <c r="AM2828" s="213"/>
      <c r="AN2828" s="213"/>
      <c r="AO2828" s="213"/>
      <c r="AP2828" s="213"/>
      <c r="AQ2828" s="213"/>
      <c r="AR2828" s="213"/>
      <c r="AS2828" s="213"/>
      <c r="AT2828" s="213"/>
      <c r="AU2828" s="213"/>
      <c r="AV2828" s="213"/>
      <c r="AW2828" s="213"/>
      <c r="AX2828" s="213"/>
      <c r="AY2828" s="213"/>
      <c r="AZ2828" s="213"/>
      <c r="BA2828" s="213"/>
      <c r="BB2828" s="213"/>
      <c r="BC2828" s="213"/>
      <c r="BD2828" s="213"/>
    </row>
    <row r="2829">
      <c r="A2829" s="213"/>
      <c r="B2829" s="213"/>
      <c r="C2829" s="213"/>
      <c r="D2829" s="213"/>
      <c r="E2829" s="213"/>
      <c r="F2829" s="213"/>
      <c r="G2829" s="213"/>
      <c r="H2829" s="213"/>
      <c r="I2829" s="213"/>
      <c r="J2829" s="213"/>
      <c r="K2829" s="213"/>
      <c r="L2829" s="213"/>
      <c r="M2829" s="213"/>
      <c r="N2829" s="213"/>
      <c r="O2829" s="213"/>
      <c r="P2829" s="213"/>
      <c r="Q2829" s="213"/>
      <c r="R2829" s="213"/>
      <c r="S2829" s="213"/>
      <c r="T2829" s="213"/>
      <c r="U2829" s="213"/>
      <c r="V2829" s="213"/>
      <c r="W2829" s="213"/>
      <c r="X2829" s="213"/>
      <c r="Y2829" s="213"/>
      <c r="Z2829" s="213"/>
      <c r="AA2829" s="213"/>
      <c r="AB2829" s="213"/>
      <c r="AC2829" s="213"/>
      <c r="AD2829" s="213"/>
      <c r="AE2829" s="213"/>
      <c r="AF2829" s="213"/>
      <c r="AG2829" s="213"/>
      <c r="AH2829" s="213"/>
      <c r="AI2829" s="213"/>
      <c r="AJ2829" s="213"/>
      <c r="AK2829" s="213"/>
      <c r="AL2829" s="213"/>
      <c r="AM2829" s="213"/>
      <c r="AN2829" s="213"/>
      <c r="AO2829" s="213"/>
      <c r="AP2829" s="213"/>
      <c r="AQ2829" s="213"/>
      <c r="AR2829" s="213"/>
      <c r="AS2829" s="213"/>
      <c r="AT2829" s="213"/>
      <c r="AU2829" s="213"/>
      <c r="AV2829" s="213"/>
      <c r="AW2829" s="213"/>
      <c r="AX2829" s="213"/>
      <c r="AY2829" s="213"/>
      <c r="AZ2829" s="213"/>
      <c r="BA2829" s="213"/>
      <c r="BB2829" s="213"/>
      <c r="BC2829" s="213"/>
      <c r="BD2829" s="213"/>
    </row>
    <row r="2830">
      <c r="A2830" s="213"/>
      <c r="B2830" s="213"/>
      <c r="C2830" s="213"/>
      <c r="D2830" s="213"/>
      <c r="E2830" s="213"/>
      <c r="F2830" s="213"/>
      <c r="G2830" s="213"/>
      <c r="H2830" s="213"/>
      <c r="I2830" s="213"/>
      <c r="J2830" s="213"/>
      <c r="K2830" s="213"/>
      <c r="L2830" s="213"/>
      <c r="M2830" s="213"/>
      <c r="N2830" s="213"/>
      <c r="O2830" s="213"/>
      <c r="P2830" s="213"/>
      <c r="Q2830" s="213"/>
      <c r="R2830" s="213"/>
      <c r="S2830" s="213"/>
      <c r="T2830" s="213"/>
      <c r="U2830" s="213"/>
      <c r="V2830" s="213"/>
      <c r="W2830" s="213"/>
      <c r="X2830" s="213"/>
      <c r="Y2830" s="213"/>
      <c r="Z2830" s="213"/>
      <c r="AA2830" s="213"/>
      <c r="AB2830" s="213"/>
      <c r="AC2830" s="213"/>
      <c r="AD2830" s="213"/>
      <c r="AE2830" s="213"/>
      <c r="AF2830" s="213"/>
      <c r="AG2830" s="213"/>
      <c r="AH2830" s="213"/>
      <c r="AI2830" s="213"/>
      <c r="AJ2830" s="213"/>
      <c r="AK2830" s="213"/>
      <c r="AL2830" s="213"/>
      <c r="AM2830" s="213"/>
      <c r="AN2830" s="213"/>
      <c r="AO2830" s="213"/>
      <c r="AP2830" s="213"/>
      <c r="AQ2830" s="213"/>
      <c r="AR2830" s="213"/>
      <c r="AS2830" s="213"/>
      <c r="AT2830" s="213"/>
      <c r="AU2830" s="213"/>
      <c r="AV2830" s="213"/>
      <c r="AW2830" s="213"/>
      <c r="AX2830" s="213"/>
      <c r="AY2830" s="213"/>
      <c r="AZ2830" s="213"/>
      <c r="BA2830" s="213"/>
      <c r="BB2830" s="213"/>
      <c r="BC2830" s="213"/>
      <c r="BD2830" s="213"/>
    </row>
    <row r="2831">
      <c r="A2831" s="213"/>
      <c r="B2831" s="213"/>
      <c r="C2831" s="213"/>
      <c r="D2831" s="213"/>
      <c r="E2831" s="213"/>
      <c r="F2831" s="213"/>
      <c r="G2831" s="213"/>
      <c r="H2831" s="213"/>
      <c r="I2831" s="213"/>
      <c r="J2831" s="213"/>
      <c r="K2831" s="213"/>
      <c r="L2831" s="213"/>
      <c r="M2831" s="213"/>
      <c r="N2831" s="213"/>
      <c r="O2831" s="213"/>
      <c r="P2831" s="213"/>
      <c r="Q2831" s="213"/>
      <c r="R2831" s="213"/>
      <c r="S2831" s="213"/>
      <c r="T2831" s="213"/>
      <c r="U2831" s="213"/>
      <c r="V2831" s="213"/>
      <c r="W2831" s="213"/>
      <c r="X2831" s="213"/>
      <c r="Y2831" s="213"/>
      <c r="Z2831" s="213"/>
      <c r="AA2831" s="213"/>
      <c r="AB2831" s="213"/>
      <c r="AC2831" s="213"/>
      <c r="AD2831" s="213"/>
      <c r="AE2831" s="213"/>
      <c r="AF2831" s="213"/>
      <c r="AG2831" s="213"/>
      <c r="AH2831" s="213"/>
      <c r="AI2831" s="213"/>
      <c r="AJ2831" s="213"/>
      <c r="AK2831" s="213"/>
      <c r="AL2831" s="213"/>
      <c r="AM2831" s="213"/>
      <c r="AN2831" s="213"/>
      <c r="AO2831" s="213"/>
      <c r="AP2831" s="213"/>
      <c r="AQ2831" s="213"/>
      <c r="AR2831" s="213"/>
      <c r="AS2831" s="213"/>
      <c r="AT2831" s="213"/>
      <c r="AU2831" s="213"/>
      <c r="AV2831" s="213"/>
      <c r="AW2831" s="213"/>
      <c r="AX2831" s="213"/>
      <c r="AY2831" s="213"/>
      <c r="AZ2831" s="213"/>
      <c r="BA2831" s="213"/>
      <c r="BB2831" s="213"/>
      <c r="BC2831" s="213"/>
      <c r="BD2831" s="213"/>
    </row>
    <row r="2832">
      <c r="A2832" s="213"/>
      <c r="B2832" s="213"/>
      <c r="C2832" s="213"/>
      <c r="D2832" s="213"/>
      <c r="E2832" s="213"/>
      <c r="F2832" s="213"/>
      <c r="G2832" s="213"/>
      <c r="H2832" s="213"/>
      <c r="I2832" s="213"/>
      <c r="J2832" s="213"/>
      <c r="K2832" s="213"/>
      <c r="L2832" s="213"/>
      <c r="M2832" s="213"/>
      <c r="N2832" s="213"/>
      <c r="O2832" s="213"/>
      <c r="P2832" s="213"/>
      <c r="Q2832" s="213"/>
      <c r="R2832" s="213"/>
      <c r="S2832" s="213"/>
      <c r="T2832" s="213"/>
      <c r="U2832" s="213"/>
      <c r="V2832" s="213"/>
      <c r="W2832" s="213"/>
      <c r="X2832" s="213"/>
      <c r="Y2832" s="213"/>
      <c r="Z2832" s="213"/>
      <c r="AA2832" s="213"/>
      <c r="AB2832" s="213"/>
      <c r="AC2832" s="213"/>
      <c r="AD2832" s="213"/>
      <c r="AE2832" s="213"/>
      <c r="AF2832" s="213"/>
      <c r="AG2832" s="213"/>
      <c r="AH2832" s="213"/>
      <c r="AI2832" s="213"/>
      <c r="AJ2832" s="213"/>
      <c r="AK2832" s="213"/>
      <c r="AL2832" s="213"/>
      <c r="AM2832" s="213"/>
      <c r="AN2832" s="213"/>
      <c r="AO2832" s="213"/>
      <c r="AP2832" s="213"/>
      <c r="AQ2832" s="213"/>
      <c r="AR2832" s="213"/>
      <c r="AS2832" s="213"/>
      <c r="AT2832" s="213"/>
      <c r="AU2832" s="213"/>
      <c r="AV2832" s="213"/>
      <c r="AW2832" s="213"/>
      <c r="AX2832" s="213"/>
      <c r="AY2832" s="213"/>
      <c r="AZ2832" s="213"/>
      <c r="BA2832" s="213"/>
      <c r="BB2832" s="213"/>
      <c r="BC2832" s="213"/>
      <c r="BD2832" s="213"/>
    </row>
    <row r="2833">
      <c r="A2833" s="213"/>
      <c r="B2833" s="213"/>
      <c r="C2833" s="213"/>
      <c r="D2833" s="213"/>
      <c r="E2833" s="213"/>
      <c r="F2833" s="213"/>
      <c r="G2833" s="213"/>
      <c r="H2833" s="213"/>
      <c r="I2833" s="213"/>
      <c r="J2833" s="213"/>
      <c r="K2833" s="213"/>
      <c r="L2833" s="213"/>
      <c r="M2833" s="213"/>
      <c r="N2833" s="213"/>
      <c r="O2833" s="213"/>
      <c r="P2833" s="213"/>
      <c r="Q2833" s="213"/>
      <c r="R2833" s="213"/>
      <c r="S2833" s="213"/>
      <c r="T2833" s="213"/>
      <c r="U2833" s="213"/>
      <c r="V2833" s="213"/>
      <c r="W2833" s="213"/>
      <c r="X2833" s="213"/>
      <c r="Y2833" s="213"/>
      <c r="Z2833" s="213"/>
      <c r="AA2833" s="213"/>
      <c r="AB2833" s="213"/>
      <c r="AC2833" s="213"/>
      <c r="AD2833" s="213"/>
      <c r="AE2833" s="213"/>
      <c r="AF2833" s="213"/>
      <c r="AG2833" s="213"/>
      <c r="AH2833" s="213"/>
      <c r="AI2833" s="213"/>
      <c r="AJ2833" s="213"/>
      <c r="AK2833" s="213"/>
      <c r="AL2833" s="213"/>
      <c r="AM2833" s="213"/>
      <c r="AN2833" s="213"/>
      <c r="AO2833" s="213"/>
      <c r="AP2833" s="213"/>
      <c r="AQ2833" s="213"/>
      <c r="AR2833" s="213"/>
      <c r="AS2833" s="213"/>
      <c r="AT2833" s="213"/>
      <c r="AU2833" s="213"/>
      <c r="AV2833" s="213"/>
      <c r="AW2833" s="213"/>
      <c r="AX2833" s="213"/>
      <c r="AY2833" s="213"/>
      <c r="AZ2833" s="213"/>
      <c r="BA2833" s="213"/>
      <c r="BB2833" s="213"/>
      <c r="BC2833" s="213"/>
      <c r="BD2833" s="213"/>
    </row>
    <row r="2834">
      <c r="A2834" s="213"/>
      <c r="B2834" s="213"/>
      <c r="C2834" s="213"/>
      <c r="D2834" s="213"/>
      <c r="E2834" s="213"/>
      <c r="F2834" s="213"/>
      <c r="G2834" s="213"/>
      <c r="H2834" s="213"/>
      <c r="I2834" s="213"/>
      <c r="J2834" s="213"/>
      <c r="K2834" s="213"/>
      <c r="L2834" s="213"/>
      <c r="M2834" s="213"/>
      <c r="N2834" s="213"/>
      <c r="O2834" s="213"/>
      <c r="P2834" s="213"/>
      <c r="Q2834" s="213"/>
      <c r="R2834" s="213"/>
      <c r="S2834" s="213"/>
      <c r="T2834" s="213"/>
      <c r="U2834" s="213"/>
      <c r="V2834" s="213"/>
      <c r="W2834" s="213"/>
      <c r="X2834" s="213"/>
      <c r="Y2834" s="213"/>
      <c r="Z2834" s="213"/>
      <c r="AA2834" s="213"/>
      <c r="AB2834" s="213"/>
      <c r="AC2834" s="213"/>
      <c r="AD2834" s="213"/>
      <c r="AE2834" s="213"/>
      <c r="AF2834" s="213"/>
      <c r="AG2834" s="213"/>
      <c r="AH2834" s="213"/>
      <c r="AI2834" s="213"/>
      <c r="AJ2834" s="213"/>
      <c r="AK2834" s="213"/>
      <c r="AL2834" s="213"/>
      <c r="AM2834" s="213"/>
      <c r="AN2834" s="213"/>
      <c r="AO2834" s="213"/>
      <c r="AP2834" s="213"/>
      <c r="AQ2834" s="213"/>
      <c r="AR2834" s="213"/>
      <c r="AS2834" s="213"/>
      <c r="AT2834" s="213"/>
      <c r="AU2834" s="213"/>
      <c r="AV2834" s="213"/>
      <c r="AW2834" s="213"/>
      <c r="AX2834" s="213"/>
      <c r="AY2834" s="213"/>
      <c r="AZ2834" s="213"/>
      <c r="BA2834" s="213"/>
      <c r="BB2834" s="213"/>
      <c r="BC2834" s="213"/>
      <c r="BD2834" s="213"/>
    </row>
    <row r="2835">
      <c r="A2835" s="213"/>
      <c r="B2835" s="213"/>
      <c r="C2835" s="213"/>
      <c r="D2835" s="213"/>
      <c r="E2835" s="213"/>
      <c r="F2835" s="213"/>
      <c r="G2835" s="213"/>
      <c r="H2835" s="213"/>
      <c r="I2835" s="213"/>
      <c r="J2835" s="213"/>
      <c r="K2835" s="213"/>
      <c r="L2835" s="213"/>
      <c r="M2835" s="213"/>
      <c r="N2835" s="213"/>
      <c r="O2835" s="213"/>
      <c r="P2835" s="213"/>
      <c r="Q2835" s="213"/>
      <c r="R2835" s="213"/>
      <c r="S2835" s="213"/>
      <c r="T2835" s="213"/>
      <c r="U2835" s="213"/>
      <c r="V2835" s="213"/>
      <c r="W2835" s="213"/>
      <c r="X2835" s="213"/>
      <c r="Y2835" s="213"/>
      <c r="Z2835" s="213"/>
      <c r="AA2835" s="213"/>
      <c r="AB2835" s="213"/>
      <c r="AC2835" s="213"/>
      <c r="AD2835" s="213"/>
      <c r="AE2835" s="213"/>
      <c r="AF2835" s="213"/>
      <c r="AG2835" s="213"/>
      <c r="AH2835" s="213"/>
      <c r="AI2835" s="213"/>
      <c r="AJ2835" s="213"/>
      <c r="AK2835" s="213"/>
      <c r="AL2835" s="213"/>
      <c r="AM2835" s="213"/>
      <c r="AN2835" s="213"/>
      <c r="AO2835" s="213"/>
      <c r="AP2835" s="213"/>
      <c r="AQ2835" s="213"/>
      <c r="AR2835" s="213"/>
      <c r="AS2835" s="213"/>
      <c r="AT2835" s="213"/>
      <c r="AU2835" s="213"/>
      <c r="AV2835" s="213"/>
      <c r="AW2835" s="213"/>
      <c r="AX2835" s="213"/>
      <c r="AY2835" s="213"/>
      <c r="AZ2835" s="213"/>
      <c r="BA2835" s="213"/>
      <c r="BB2835" s="213"/>
      <c r="BC2835" s="213"/>
      <c r="BD2835" s="213"/>
    </row>
    <row r="2836">
      <c r="A2836" s="213"/>
      <c r="B2836" s="213"/>
      <c r="C2836" s="213"/>
      <c r="D2836" s="213"/>
      <c r="E2836" s="213"/>
      <c r="F2836" s="213"/>
      <c r="G2836" s="213"/>
      <c r="H2836" s="213"/>
      <c r="I2836" s="213"/>
      <c r="J2836" s="213"/>
      <c r="K2836" s="213"/>
      <c r="L2836" s="213"/>
      <c r="M2836" s="213"/>
      <c r="N2836" s="213"/>
      <c r="O2836" s="213"/>
      <c r="P2836" s="213"/>
      <c r="Q2836" s="213"/>
      <c r="R2836" s="213"/>
      <c r="S2836" s="213"/>
      <c r="T2836" s="213"/>
      <c r="U2836" s="213"/>
      <c r="V2836" s="213"/>
      <c r="W2836" s="213"/>
      <c r="X2836" s="213"/>
      <c r="Y2836" s="213"/>
      <c r="Z2836" s="213"/>
      <c r="AA2836" s="213"/>
      <c r="AB2836" s="213"/>
      <c r="AC2836" s="213"/>
      <c r="AD2836" s="213"/>
      <c r="AE2836" s="213"/>
      <c r="AF2836" s="213"/>
      <c r="AG2836" s="213"/>
      <c r="AH2836" s="213"/>
      <c r="AI2836" s="213"/>
      <c r="AJ2836" s="213"/>
      <c r="AK2836" s="213"/>
      <c r="AL2836" s="213"/>
      <c r="AM2836" s="213"/>
      <c r="AN2836" s="213"/>
      <c r="AO2836" s="213"/>
      <c r="AP2836" s="213"/>
      <c r="AQ2836" s="213"/>
      <c r="AR2836" s="213"/>
      <c r="AS2836" s="213"/>
      <c r="AT2836" s="213"/>
      <c r="AU2836" s="213"/>
      <c r="AV2836" s="213"/>
      <c r="AW2836" s="213"/>
      <c r="AX2836" s="213"/>
      <c r="AY2836" s="213"/>
      <c r="AZ2836" s="213"/>
      <c r="BA2836" s="213"/>
      <c r="BB2836" s="213"/>
      <c r="BC2836" s="213"/>
      <c r="BD2836" s="213"/>
    </row>
    <row r="2837">
      <c r="A2837" s="213"/>
      <c r="B2837" s="213"/>
      <c r="C2837" s="213"/>
      <c r="D2837" s="213"/>
      <c r="E2837" s="213"/>
      <c r="F2837" s="213"/>
      <c r="G2837" s="213"/>
      <c r="H2837" s="213"/>
      <c r="I2837" s="213"/>
      <c r="J2837" s="213"/>
      <c r="K2837" s="213"/>
      <c r="L2837" s="213"/>
      <c r="M2837" s="213"/>
      <c r="N2837" s="213"/>
      <c r="O2837" s="213"/>
      <c r="P2837" s="213"/>
      <c r="Q2837" s="213"/>
      <c r="R2837" s="213"/>
      <c r="S2837" s="213"/>
      <c r="T2837" s="213"/>
      <c r="U2837" s="213"/>
      <c r="V2837" s="213"/>
      <c r="W2837" s="213"/>
      <c r="X2837" s="213"/>
      <c r="Y2837" s="213"/>
      <c r="Z2837" s="213"/>
      <c r="AA2837" s="213"/>
      <c r="AB2837" s="213"/>
      <c r="AC2837" s="213"/>
      <c r="AD2837" s="213"/>
      <c r="AE2837" s="213"/>
      <c r="AF2837" s="213"/>
      <c r="AG2837" s="213"/>
      <c r="AH2837" s="213"/>
      <c r="AI2837" s="213"/>
      <c r="AJ2837" s="213"/>
      <c r="AK2837" s="213"/>
      <c r="AL2837" s="213"/>
      <c r="AM2837" s="213"/>
      <c r="AN2837" s="213"/>
      <c r="AO2837" s="213"/>
      <c r="AP2837" s="213"/>
      <c r="AQ2837" s="213"/>
      <c r="AR2837" s="213"/>
      <c r="AS2837" s="213"/>
      <c r="AT2837" s="213"/>
      <c r="AU2837" s="213"/>
      <c r="AV2837" s="213"/>
      <c r="AW2837" s="213"/>
      <c r="AX2837" s="213"/>
      <c r="AY2837" s="213"/>
      <c r="AZ2837" s="213"/>
      <c r="BA2837" s="213"/>
      <c r="BB2837" s="213"/>
      <c r="BC2837" s="213"/>
      <c r="BD2837" s="213"/>
    </row>
    <row r="2838">
      <c r="A2838" s="213"/>
      <c r="B2838" s="213"/>
      <c r="C2838" s="213"/>
      <c r="D2838" s="213"/>
      <c r="E2838" s="213"/>
      <c r="F2838" s="213"/>
      <c r="G2838" s="213"/>
      <c r="H2838" s="213"/>
      <c r="I2838" s="213"/>
      <c r="J2838" s="213"/>
      <c r="K2838" s="213"/>
      <c r="L2838" s="213"/>
      <c r="M2838" s="213"/>
      <c r="N2838" s="213"/>
      <c r="O2838" s="213"/>
      <c r="P2838" s="213"/>
      <c r="Q2838" s="213"/>
      <c r="R2838" s="213"/>
      <c r="S2838" s="213"/>
      <c r="T2838" s="213"/>
      <c r="U2838" s="213"/>
      <c r="V2838" s="213"/>
      <c r="W2838" s="213"/>
      <c r="X2838" s="213"/>
      <c r="Y2838" s="213"/>
      <c r="Z2838" s="213"/>
      <c r="AA2838" s="213"/>
      <c r="AB2838" s="213"/>
      <c r="AC2838" s="213"/>
      <c r="AD2838" s="213"/>
      <c r="AE2838" s="213"/>
      <c r="AF2838" s="213"/>
      <c r="AG2838" s="213"/>
      <c r="AH2838" s="213"/>
      <c r="AI2838" s="213"/>
      <c r="AJ2838" s="213"/>
      <c r="AK2838" s="213"/>
      <c r="AL2838" s="213"/>
      <c r="AM2838" s="213"/>
      <c r="AN2838" s="213"/>
      <c r="AO2838" s="213"/>
      <c r="AP2838" s="213"/>
      <c r="AQ2838" s="213"/>
      <c r="AR2838" s="213"/>
      <c r="AS2838" s="213"/>
      <c r="AT2838" s="213"/>
      <c r="AU2838" s="213"/>
      <c r="AV2838" s="213"/>
      <c r="AW2838" s="213"/>
      <c r="AX2838" s="213"/>
      <c r="AY2838" s="213"/>
      <c r="AZ2838" s="213"/>
      <c r="BA2838" s="213"/>
      <c r="BB2838" s="213"/>
      <c r="BC2838" s="213"/>
      <c r="BD2838" s="213"/>
    </row>
    <row r="2839">
      <c r="A2839" s="213"/>
      <c r="B2839" s="213"/>
      <c r="C2839" s="213"/>
      <c r="D2839" s="213"/>
      <c r="E2839" s="213"/>
      <c r="F2839" s="213"/>
      <c r="G2839" s="213"/>
      <c r="H2839" s="213"/>
      <c r="I2839" s="213"/>
      <c r="J2839" s="213"/>
      <c r="K2839" s="213"/>
      <c r="L2839" s="213"/>
      <c r="M2839" s="213"/>
      <c r="N2839" s="213"/>
      <c r="O2839" s="213"/>
      <c r="P2839" s="213"/>
      <c r="Q2839" s="213"/>
      <c r="R2839" s="213"/>
      <c r="S2839" s="213"/>
      <c r="T2839" s="213"/>
      <c r="U2839" s="213"/>
      <c r="V2839" s="213"/>
      <c r="W2839" s="213"/>
      <c r="X2839" s="213"/>
      <c r="Y2839" s="213"/>
      <c r="Z2839" s="213"/>
      <c r="AA2839" s="213"/>
      <c r="AB2839" s="213"/>
      <c r="AC2839" s="213"/>
      <c r="AD2839" s="213"/>
      <c r="AE2839" s="213"/>
      <c r="AF2839" s="213"/>
      <c r="AG2839" s="213"/>
      <c r="AH2839" s="213"/>
      <c r="AI2839" s="213"/>
      <c r="AJ2839" s="213"/>
      <c r="AK2839" s="213"/>
      <c r="AL2839" s="213"/>
      <c r="AM2839" s="213"/>
      <c r="AN2839" s="213"/>
      <c r="AO2839" s="213"/>
      <c r="AP2839" s="213"/>
      <c r="AQ2839" s="213"/>
      <c r="AR2839" s="213"/>
      <c r="AS2839" s="213"/>
      <c r="AT2839" s="213"/>
      <c r="AU2839" s="213"/>
      <c r="AV2839" s="213"/>
      <c r="AW2839" s="213"/>
      <c r="AX2839" s="213"/>
      <c r="AY2839" s="213"/>
      <c r="AZ2839" s="213"/>
      <c r="BA2839" s="213"/>
      <c r="BB2839" s="213"/>
      <c r="BC2839" s="213"/>
      <c r="BD2839" s="213"/>
    </row>
    <row r="2840">
      <c r="A2840" s="213"/>
      <c r="B2840" s="213"/>
      <c r="C2840" s="213"/>
      <c r="D2840" s="213"/>
      <c r="E2840" s="213"/>
      <c r="F2840" s="213"/>
      <c r="G2840" s="213"/>
      <c r="H2840" s="213"/>
      <c r="I2840" s="213"/>
      <c r="J2840" s="213"/>
      <c r="K2840" s="213"/>
      <c r="L2840" s="213"/>
      <c r="M2840" s="213"/>
      <c r="N2840" s="213"/>
      <c r="O2840" s="213"/>
      <c r="P2840" s="213"/>
      <c r="Q2840" s="213"/>
      <c r="R2840" s="213"/>
      <c r="S2840" s="213"/>
      <c r="T2840" s="213"/>
      <c r="U2840" s="213"/>
      <c r="V2840" s="213"/>
      <c r="W2840" s="213"/>
      <c r="X2840" s="213"/>
      <c r="Y2840" s="213"/>
      <c r="Z2840" s="213"/>
      <c r="AA2840" s="213"/>
      <c r="AB2840" s="213"/>
      <c r="AC2840" s="213"/>
      <c r="AD2840" s="213"/>
      <c r="AE2840" s="213"/>
      <c r="AF2840" s="213"/>
      <c r="AG2840" s="213"/>
      <c r="AH2840" s="213"/>
      <c r="AI2840" s="213"/>
      <c r="AJ2840" s="213"/>
      <c r="AK2840" s="213"/>
      <c r="AL2840" s="213"/>
      <c r="AM2840" s="213"/>
      <c r="AN2840" s="213"/>
      <c r="AO2840" s="213"/>
      <c r="AP2840" s="213"/>
      <c r="AQ2840" s="213"/>
      <c r="AR2840" s="213"/>
      <c r="AS2840" s="213"/>
      <c r="AT2840" s="213"/>
      <c r="AU2840" s="213"/>
      <c r="AV2840" s="213"/>
      <c r="AW2840" s="213"/>
      <c r="AX2840" s="213"/>
      <c r="AY2840" s="213"/>
      <c r="AZ2840" s="213"/>
      <c r="BA2840" s="213"/>
      <c r="BB2840" s="213"/>
      <c r="BC2840" s="213"/>
      <c r="BD2840" s="213"/>
    </row>
    <row r="2841">
      <c r="A2841" s="213"/>
      <c r="B2841" s="213"/>
      <c r="C2841" s="213"/>
      <c r="D2841" s="213"/>
      <c r="E2841" s="213"/>
      <c r="F2841" s="213"/>
      <c r="G2841" s="213"/>
      <c r="H2841" s="213"/>
      <c r="I2841" s="213"/>
      <c r="J2841" s="213"/>
      <c r="K2841" s="213"/>
      <c r="L2841" s="213"/>
      <c r="M2841" s="213"/>
      <c r="N2841" s="213"/>
      <c r="O2841" s="213"/>
      <c r="P2841" s="213"/>
      <c r="Q2841" s="213"/>
      <c r="R2841" s="213"/>
      <c r="S2841" s="213"/>
      <c r="T2841" s="213"/>
      <c r="U2841" s="213"/>
      <c r="V2841" s="213"/>
      <c r="W2841" s="213"/>
      <c r="X2841" s="213"/>
      <c r="Y2841" s="213"/>
      <c r="Z2841" s="213"/>
      <c r="AA2841" s="213"/>
      <c r="AB2841" s="213"/>
      <c r="AC2841" s="213"/>
      <c r="AD2841" s="213"/>
      <c r="AE2841" s="213"/>
      <c r="AF2841" s="213"/>
      <c r="AG2841" s="213"/>
      <c r="AH2841" s="213"/>
      <c r="AI2841" s="213"/>
      <c r="AJ2841" s="213"/>
      <c r="AK2841" s="213"/>
      <c r="AL2841" s="213"/>
      <c r="AM2841" s="213"/>
      <c r="AN2841" s="213"/>
      <c r="AO2841" s="213"/>
      <c r="AP2841" s="213"/>
      <c r="AQ2841" s="213"/>
      <c r="AR2841" s="213"/>
      <c r="AS2841" s="213"/>
      <c r="AT2841" s="213"/>
      <c r="AU2841" s="213"/>
      <c r="AV2841" s="213"/>
      <c r="AW2841" s="213"/>
      <c r="AX2841" s="213"/>
      <c r="AY2841" s="213"/>
      <c r="AZ2841" s="213"/>
      <c r="BA2841" s="213"/>
      <c r="BB2841" s="213"/>
      <c r="BC2841" s="213"/>
      <c r="BD2841" s="213"/>
    </row>
    <row r="2842">
      <c r="A2842" s="213"/>
      <c r="B2842" s="213"/>
      <c r="C2842" s="213"/>
      <c r="D2842" s="213"/>
      <c r="E2842" s="213"/>
      <c r="F2842" s="213"/>
      <c r="G2842" s="213"/>
      <c r="H2842" s="213"/>
      <c r="I2842" s="213"/>
      <c r="J2842" s="213"/>
      <c r="K2842" s="213"/>
      <c r="L2842" s="213"/>
      <c r="M2842" s="213"/>
      <c r="N2842" s="213"/>
      <c r="O2842" s="213"/>
      <c r="P2842" s="213"/>
      <c r="Q2842" s="213"/>
      <c r="R2842" s="213"/>
      <c r="S2842" s="213"/>
      <c r="T2842" s="213"/>
      <c r="U2842" s="213"/>
      <c r="V2842" s="213"/>
      <c r="W2842" s="213"/>
      <c r="X2842" s="213"/>
      <c r="Y2842" s="213"/>
      <c r="Z2842" s="213"/>
      <c r="AA2842" s="213"/>
      <c r="AB2842" s="213"/>
      <c r="AC2842" s="213"/>
      <c r="AD2842" s="213"/>
      <c r="AE2842" s="213"/>
      <c r="AF2842" s="213"/>
      <c r="AG2842" s="213"/>
      <c r="AH2842" s="213"/>
      <c r="AI2842" s="213"/>
      <c r="AJ2842" s="213"/>
      <c r="AK2842" s="213"/>
      <c r="AL2842" s="213"/>
      <c r="AM2842" s="213"/>
      <c r="AN2842" s="213"/>
      <c r="AO2842" s="213"/>
      <c r="AP2842" s="213"/>
      <c r="AQ2842" s="213"/>
      <c r="AR2842" s="213"/>
      <c r="AS2842" s="213"/>
      <c r="AT2842" s="213"/>
      <c r="AU2842" s="213"/>
      <c r="AV2842" s="213"/>
      <c r="AW2842" s="213"/>
      <c r="AX2842" s="213"/>
      <c r="AY2842" s="213"/>
      <c r="AZ2842" s="213"/>
      <c r="BA2842" s="213"/>
      <c r="BB2842" s="213"/>
      <c r="BC2842" s="213"/>
      <c r="BD2842" s="213"/>
    </row>
    <row r="2843">
      <c r="A2843" s="213"/>
      <c r="B2843" s="213"/>
      <c r="C2843" s="213"/>
      <c r="D2843" s="213"/>
      <c r="E2843" s="213"/>
      <c r="F2843" s="213"/>
      <c r="G2843" s="213"/>
      <c r="H2843" s="213"/>
      <c r="I2843" s="213"/>
      <c r="J2843" s="213"/>
      <c r="K2843" s="213"/>
      <c r="L2843" s="213"/>
      <c r="M2843" s="213"/>
      <c r="N2843" s="213"/>
      <c r="O2843" s="213"/>
      <c r="P2843" s="213"/>
      <c r="Q2843" s="213"/>
      <c r="R2843" s="213"/>
      <c r="S2843" s="213"/>
      <c r="T2843" s="213"/>
      <c r="U2843" s="213"/>
      <c r="V2843" s="213"/>
      <c r="W2843" s="213"/>
      <c r="X2843" s="213"/>
      <c r="Y2843" s="213"/>
      <c r="Z2843" s="213"/>
      <c r="AA2843" s="213"/>
      <c r="AB2843" s="213"/>
      <c r="AC2843" s="213"/>
      <c r="AD2843" s="213"/>
      <c r="AE2843" s="213"/>
      <c r="AF2843" s="213"/>
      <c r="AG2843" s="213"/>
      <c r="AH2843" s="213"/>
      <c r="AI2843" s="213"/>
      <c r="AJ2843" s="213"/>
      <c r="AK2843" s="213"/>
      <c r="AL2843" s="213"/>
      <c r="AM2843" s="213"/>
      <c r="AN2843" s="213"/>
      <c r="AO2843" s="213"/>
      <c r="AP2843" s="213"/>
      <c r="AQ2843" s="213"/>
      <c r="AR2843" s="213"/>
      <c r="AS2843" s="213"/>
      <c r="AT2843" s="213"/>
      <c r="AU2843" s="213"/>
      <c r="AV2843" s="213"/>
      <c r="AW2843" s="213"/>
      <c r="AX2843" s="213"/>
      <c r="AY2843" s="213"/>
      <c r="AZ2843" s="213"/>
      <c r="BA2843" s="213"/>
      <c r="BB2843" s="213"/>
      <c r="BC2843" s="213"/>
      <c r="BD2843" s="213"/>
    </row>
    <row r="2844">
      <c r="A2844" s="213"/>
      <c r="B2844" s="213"/>
      <c r="C2844" s="213"/>
      <c r="D2844" s="213"/>
      <c r="E2844" s="213"/>
      <c r="F2844" s="213"/>
      <c r="G2844" s="213"/>
      <c r="H2844" s="213"/>
      <c r="I2844" s="213"/>
      <c r="J2844" s="213"/>
      <c r="K2844" s="213"/>
      <c r="L2844" s="213"/>
      <c r="M2844" s="213"/>
      <c r="N2844" s="213"/>
      <c r="O2844" s="213"/>
      <c r="P2844" s="213"/>
      <c r="Q2844" s="213"/>
      <c r="R2844" s="213"/>
      <c r="S2844" s="213"/>
      <c r="T2844" s="213"/>
      <c r="U2844" s="213"/>
      <c r="V2844" s="213"/>
      <c r="W2844" s="213"/>
      <c r="X2844" s="213"/>
      <c r="Y2844" s="213"/>
      <c r="Z2844" s="213"/>
      <c r="AA2844" s="213"/>
      <c r="AB2844" s="213"/>
      <c r="AC2844" s="213"/>
      <c r="AD2844" s="213"/>
      <c r="AE2844" s="213"/>
      <c r="AF2844" s="213"/>
      <c r="AG2844" s="213"/>
      <c r="AH2844" s="213"/>
      <c r="AI2844" s="213"/>
      <c r="AJ2844" s="213"/>
      <c r="AK2844" s="213"/>
      <c r="AL2844" s="213"/>
      <c r="AM2844" s="213"/>
      <c r="AN2844" s="213"/>
      <c r="AO2844" s="213"/>
      <c r="AP2844" s="213"/>
      <c r="AQ2844" s="213"/>
      <c r="AR2844" s="213"/>
      <c r="AS2844" s="213"/>
      <c r="AT2844" s="213"/>
      <c r="AU2844" s="213"/>
      <c r="AV2844" s="213"/>
      <c r="AW2844" s="213"/>
      <c r="AX2844" s="213"/>
      <c r="AY2844" s="213"/>
      <c r="AZ2844" s="213"/>
      <c r="BA2844" s="213"/>
      <c r="BB2844" s="213"/>
      <c r="BC2844" s="213"/>
      <c r="BD2844" s="213"/>
    </row>
    <row r="2845">
      <c r="A2845" s="213"/>
      <c r="B2845" s="213"/>
      <c r="C2845" s="213"/>
      <c r="D2845" s="213"/>
      <c r="E2845" s="213"/>
      <c r="F2845" s="213"/>
      <c r="G2845" s="213"/>
      <c r="H2845" s="213"/>
      <c r="I2845" s="213"/>
      <c r="J2845" s="213"/>
      <c r="K2845" s="213"/>
      <c r="L2845" s="213"/>
      <c r="M2845" s="213"/>
      <c r="N2845" s="213"/>
      <c r="O2845" s="213"/>
      <c r="P2845" s="213"/>
      <c r="Q2845" s="213"/>
      <c r="R2845" s="213"/>
      <c r="S2845" s="213"/>
      <c r="T2845" s="213"/>
      <c r="U2845" s="213"/>
      <c r="V2845" s="213"/>
      <c r="W2845" s="213"/>
      <c r="X2845" s="213"/>
      <c r="Y2845" s="213"/>
      <c r="Z2845" s="213"/>
      <c r="AA2845" s="213"/>
      <c r="AB2845" s="213"/>
      <c r="AC2845" s="213"/>
      <c r="AD2845" s="213"/>
      <c r="AE2845" s="213"/>
      <c r="AF2845" s="213"/>
      <c r="AG2845" s="213"/>
      <c r="AH2845" s="213"/>
      <c r="AI2845" s="213"/>
      <c r="AJ2845" s="213"/>
      <c r="AK2845" s="213"/>
      <c r="AL2845" s="213"/>
      <c r="AM2845" s="213"/>
      <c r="AN2845" s="213"/>
      <c r="AO2845" s="213"/>
      <c r="AP2845" s="213"/>
      <c r="AQ2845" s="213"/>
      <c r="AR2845" s="213"/>
      <c r="AS2845" s="213"/>
      <c r="AT2845" s="213"/>
      <c r="AU2845" s="213"/>
      <c r="AV2845" s="213"/>
      <c r="AW2845" s="213"/>
      <c r="AX2845" s="213"/>
      <c r="AY2845" s="213"/>
      <c r="AZ2845" s="213"/>
      <c r="BA2845" s="213"/>
      <c r="BB2845" s="213"/>
      <c r="BC2845" s="213"/>
      <c r="BD2845" s="213"/>
    </row>
    <row r="2846">
      <c r="A2846" s="213"/>
      <c r="B2846" s="213"/>
      <c r="C2846" s="213"/>
      <c r="D2846" s="213"/>
      <c r="E2846" s="213"/>
      <c r="F2846" s="213"/>
      <c r="G2846" s="213"/>
      <c r="H2846" s="213"/>
      <c r="I2846" s="213"/>
      <c r="J2846" s="213"/>
      <c r="K2846" s="213"/>
      <c r="L2846" s="213"/>
      <c r="M2846" s="213"/>
      <c r="N2846" s="213"/>
      <c r="O2846" s="213"/>
      <c r="P2846" s="213"/>
      <c r="Q2846" s="213"/>
      <c r="R2846" s="213"/>
      <c r="S2846" s="213"/>
      <c r="T2846" s="213"/>
      <c r="U2846" s="213"/>
      <c r="V2846" s="213"/>
      <c r="W2846" s="213"/>
      <c r="X2846" s="213"/>
      <c r="Y2846" s="213"/>
      <c r="Z2846" s="213"/>
      <c r="AA2846" s="213"/>
      <c r="AB2846" s="213"/>
      <c r="AC2846" s="213"/>
      <c r="AD2846" s="213"/>
      <c r="AE2846" s="213"/>
      <c r="AF2846" s="213"/>
      <c r="AG2846" s="213"/>
      <c r="AH2846" s="213"/>
      <c r="AI2846" s="213"/>
      <c r="AJ2846" s="213"/>
      <c r="AK2846" s="213"/>
      <c r="AL2846" s="213"/>
      <c r="AM2846" s="213"/>
      <c r="AN2846" s="213"/>
      <c r="AO2846" s="213"/>
      <c r="AP2846" s="213"/>
      <c r="AQ2846" s="213"/>
      <c r="AR2846" s="213"/>
      <c r="AS2846" s="213"/>
      <c r="AT2846" s="213"/>
      <c r="AU2846" s="213"/>
      <c r="AV2846" s="213"/>
      <c r="AW2846" s="213"/>
      <c r="AX2846" s="213"/>
      <c r="AY2846" s="213"/>
      <c r="AZ2846" s="213"/>
      <c r="BA2846" s="213"/>
      <c r="BB2846" s="213"/>
      <c r="BC2846" s="213"/>
      <c r="BD2846" s="213"/>
    </row>
    <row r="2847">
      <c r="A2847" s="213"/>
      <c r="B2847" s="213"/>
      <c r="C2847" s="213"/>
      <c r="D2847" s="213"/>
      <c r="E2847" s="213"/>
      <c r="F2847" s="213"/>
      <c r="G2847" s="213"/>
      <c r="H2847" s="213"/>
      <c r="I2847" s="213"/>
      <c r="J2847" s="213"/>
      <c r="K2847" s="213"/>
      <c r="L2847" s="213"/>
      <c r="M2847" s="213"/>
      <c r="N2847" s="213"/>
      <c r="O2847" s="213"/>
      <c r="P2847" s="213"/>
      <c r="Q2847" s="213"/>
      <c r="R2847" s="213"/>
      <c r="S2847" s="213"/>
      <c r="T2847" s="213"/>
      <c r="U2847" s="213"/>
      <c r="V2847" s="213"/>
      <c r="W2847" s="213"/>
      <c r="X2847" s="213"/>
      <c r="Y2847" s="213"/>
      <c r="Z2847" s="213"/>
      <c r="AA2847" s="213"/>
      <c r="AB2847" s="213"/>
      <c r="AC2847" s="213"/>
      <c r="AD2847" s="213"/>
      <c r="AE2847" s="213"/>
      <c r="AF2847" s="213"/>
      <c r="AG2847" s="213"/>
      <c r="AH2847" s="213"/>
      <c r="AI2847" s="213"/>
      <c r="AJ2847" s="213"/>
      <c r="AK2847" s="213"/>
      <c r="AL2847" s="213"/>
      <c r="AM2847" s="213"/>
      <c r="AN2847" s="213"/>
      <c r="AO2847" s="213"/>
      <c r="AP2847" s="213"/>
      <c r="AQ2847" s="213"/>
      <c r="AR2847" s="213"/>
      <c r="AS2847" s="213"/>
      <c r="AT2847" s="213"/>
      <c r="AU2847" s="213"/>
      <c r="AV2847" s="213"/>
      <c r="AW2847" s="213"/>
      <c r="AX2847" s="213"/>
      <c r="AY2847" s="213"/>
      <c r="AZ2847" s="213"/>
      <c r="BA2847" s="213"/>
      <c r="BB2847" s="213"/>
      <c r="BC2847" s="213"/>
      <c r="BD2847" s="213"/>
    </row>
    <row r="2848">
      <c r="A2848" s="213"/>
      <c r="B2848" s="213"/>
      <c r="C2848" s="213"/>
      <c r="D2848" s="213"/>
      <c r="E2848" s="213"/>
      <c r="F2848" s="213"/>
      <c r="G2848" s="213"/>
      <c r="H2848" s="213"/>
      <c r="I2848" s="213"/>
      <c r="J2848" s="213"/>
      <c r="K2848" s="213"/>
      <c r="L2848" s="213"/>
      <c r="M2848" s="213"/>
      <c r="N2848" s="213"/>
      <c r="O2848" s="213"/>
      <c r="P2848" s="213"/>
      <c r="Q2848" s="213"/>
      <c r="R2848" s="213"/>
      <c r="S2848" s="213"/>
      <c r="T2848" s="213"/>
      <c r="U2848" s="213"/>
      <c r="V2848" s="213"/>
      <c r="W2848" s="213"/>
      <c r="X2848" s="213"/>
      <c r="Y2848" s="213"/>
      <c r="Z2848" s="213"/>
      <c r="AA2848" s="213"/>
      <c r="AB2848" s="213"/>
      <c r="AC2848" s="213"/>
      <c r="AD2848" s="213"/>
      <c r="AE2848" s="213"/>
      <c r="AF2848" s="213"/>
      <c r="AG2848" s="213"/>
      <c r="AH2848" s="213"/>
      <c r="AI2848" s="213"/>
      <c r="AJ2848" s="213"/>
      <c r="AK2848" s="213"/>
      <c r="AL2848" s="213"/>
      <c r="AM2848" s="213"/>
      <c r="AN2848" s="213"/>
      <c r="AO2848" s="213"/>
      <c r="AP2848" s="213"/>
      <c r="AQ2848" s="213"/>
      <c r="AR2848" s="213"/>
      <c r="AS2848" s="213"/>
      <c r="AT2848" s="213"/>
      <c r="AU2848" s="213"/>
      <c r="AV2848" s="213"/>
      <c r="AW2848" s="213"/>
      <c r="AX2848" s="213"/>
      <c r="AY2848" s="213"/>
      <c r="AZ2848" s="213"/>
      <c r="BA2848" s="213"/>
      <c r="BB2848" s="213"/>
      <c r="BC2848" s="213"/>
      <c r="BD2848" s="213"/>
    </row>
    <row r="2849">
      <c r="A2849" s="213"/>
      <c r="B2849" s="213"/>
      <c r="C2849" s="213"/>
      <c r="D2849" s="213"/>
      <c r="E2849" s="213"/>
      <c r="F2849" s="213"/>
      <c r="G2849" s="213"/>
      <c r="H2849" s="213"/>
      <c r="I2849" s="213"/>
      <c r="J2849" s="213"/>
      <c r="K2849" s="213"/>
      <c r="L2849" s="213"/>
      <c r="M2849" s="213"/>
      <c r="N2849" s="213"/>
      <c r="O2849" s="213"/>
      <c r="P2849" s="213"/>
      <c r="Q2849" s="213"/>
      <c r="R2849" s="213"/>
      <c r="S2849" s="213"/>
      <c r="T2849" s="213"/>
      <c r="U2849" s="213"/>
      <c r="V2849" s="213"/>
      <c r="W2849" s="213"/>
      <c r="X2849" s="213"/>
      <c r="Y2849" s="213"/>
      <c r="Z2849" s="213"/>
      <c r="AA2849" s="213"/>
      <c r="AB2849" s="213"/>
      <c r="AC2849" s="213"/>
      <c r="AD2849" s="213"/>
      <c r="AE2849" s="213"/>
      <c r="AF2849" s="213"/>
      <c r="AG2849" s="213"/>
      <c r="AH2849" s="213"/>
      <c r="AI2849" s="213"/>
      <c r="AJ2849" s="213"/>
      <c r="AK2849" s="213"/>
      <c r="AL2849" s="213"/>
      <c r="AM2849" s="213"/>
      <c r="AN2849" s="213"/>
      <c r="AO2849" s="213"/>
      <c r="AP2849" s="213"/>
      <c r="AQ2849" s="213"/>
      <c r="AR2849" s="213"/>
      <c r="AS2849" s="213"/>
      <c r="AT2849" s="213"/>
      <c r="AU2849" s="213"/>
      <c r="AV2849" s="213"/>
      <c r="AW2849" s="213"/>
      <c r="AX2849" s="213"/>
      <c r="AY2849" s="213"/>
      <c r="AZ2849" s="213"/>
      <c r="BA2849" s="213"/>
      <c r="BB2849" s="213"/>
      <c r="BC2849" s="213"/>
      <c r="BD2849" s="213"/>
    </row>
    <row r="2850">
      <c r="A2850" s="213"/>
      <c r="B2850" s="213"/>
      <c r="C2850" s="213"/>
      <c r="D2850" s="213"/>
      <c r="E2850" s="213"/>
      <c r="F2850" s="213"/>
      <c r="G2850" s="213"/>
      <c r="H2850" s="213"/>
      <c r="I2850" s="213"/>
      <c r="J2850" s="213"/>
      <c r="K2850" s="213"/>
      <c r="L2850" s="213"/>
      <c r="M2850" s="213"/>
      <c r="N2850" s="213"/>
      <c r="O2850" s="213"/>
      <c r="P2850" s="213"/>
      <c r="Q2850" s="213"/>
      <c r="R2850" s="213"/>
      <c r="S2850" s="213"/>
      <c r="T2850" s="213"/>
      <c r="U2850" s="213"/>
      <c r="V2850" s="213"/>
      <c r="W2850" s="213"/>
      <c r="X2850" s="213"/>
      <c r="Y2850" s="213"/>
      <c r="Z2850" s="213"/>
      <c r="AA2850" s="213"/>
      <c r="AB2850" s="213"/>
      <c r="AC2850" s="213"/>
      <c r="AD2850" s="213"/>
      <c r="AE2850" s="213"/>
      <c r="AF2850" s="213"/>
      <c r="AG2850" s="213"/>
      <c r="AH2850" s="213"/>
      <c r="AI2850" s="213"/>
      <c r="AJ2850" s="213"/>
      <c r="AK2850" s="213"/>
      <c r="AL2850" s="213"/>
      <c r="AM2850" s="213"/>
      <c r="AN2850" s="213"/>
      <c r="AO2850" s="213"/>
      <c r="AP2850" s="213"/>
      <c r="AQ2850" s="213"/>
      <c r="AR2850" s="213"/>
      <c r="AS2850" s="213"/>
      <c r="AT2850" s="213"/>
      <c r="AU2850" s="213"/>
      <c r="AV2850" s="213"/>
      <c r="AW2850" s="213"/>
      <c r="AX2850" s="213"/>
      <c r="AY2850" s="213"/>
      <c r="AZ2850" s="213"/>
      <c r="BA2850" s="213"/>
      <c r="BB2850" s="213"/>
      <c r="BC2850" s="213"/>
      <c r="BD2850" s="213"/>
    </row>
    <row r="2851">
      <c r="A2851" s="213"/>
      <c r="B2851" s="213"/>
      <c r="C2851" s="213"/>
      <c r="D2851" s="213"/>
      <c r="E2851" s="213"/>
      <c r="F2851" s="213"/>
      <c r="G2851" s="213"/>
      <c r="H2851" s="213"/>
      <c r="I2851" s="213"/>
      <c r="J2851" s="213"/>
      <c r="K2851" s="213"/>
      <c r="L2851" s="213"/>
      <c r="M2851" s="213"/>
      <c r="N2851" s="213"/>
      <c r="O2851" s="213"/>
      <c r="P2851" s="213"/>
      <c r="Q2851" s="213"/>
      <c r="R2851" s="213"/>
      <c r="S2851" s="213"/>
      <c r="T2851" s="213"/>
      <c r="U2851" s="213"/>
      <c r="V2851" s="213"/>
      <c r="W2851" s="213"/>
      <c r="X2851" s="213"/>
      <c r="Y2851" s="213"/>
      <c r="Z2851" s="213"/>
      <c r="AA2851" s="213"/>
      <c r="AB2851" s="213"/>
      <c r="AC2851" s="213"/>
      <c r="AD2851" s="213"/>
      <c r="AE2851" s="213"/>
      <c r="AF2851" s="213"/>
      <c r="AG2851" s="213"/>
      <c r="AH2851" s="213"/>
      <c r="AI2851" s="213"/>
      <c r="AJ2851" s="213"/>
      <c r="AK2851" s="213"/>
      <c r="AL2851" s="213"/>
      <c r="AM2851" s="213"/>
      <c r="AN2851" s="213"/>
      <c r="AO2851" s="213"/>
      <c r="AP2851" s="213"/>
      <c r="AQ2851" s="213"/>
      <c r="AR2851" s="213"/>
      <c r="AS2851" s="213"/>
      <c r="AT2851" s="213"/>
      <c r="AU2851" s="213"/>
      <c r="AV2851" s="213"/>
      <c r="AW2851" s="213"/>
      <c r="AX2851" s="213"/>
      <c r="AY2851" s="213"/>
      <c r="AZ2851" s="213"/>
      <c r="BA2851" s="213"/>
      <c r="BB2851" s="213"/>
      <c r="BC2851" s="213"/>
      <c r="BD2851" s="213"/>
    </row>
    <row r="2852">
      <c r="A2852" s="213"/>
      <c r="B2852" s="213"/>
      <c r="C2852" s="213"/>
      <c r="D2852" s="213"/>
      <c r="E2852" s="213"/>
      <c r="F2852" s="213"/>
      <c r="G2852" s="213"/>
      <c r="H2852" s="213"/>
      <c r="I2852" s="213"/>
      <c r="J2852" s="213"/>
      <c r="K2852" s="213"/>
      <c r="L2852" s="213"/>
      <c r="M2852" s="213"/>
      <c r="N2852" s="213"/>
      <c r="O2852" s="213"/>
      <c r="P2852" s="213"/>
      <c r="Q2852" s="213"/>
      <c r="R2852" s="213"/>
      <c r="S2852" s="213"/>
      <c r="T2852" s="213"/>
      <c r="U2852" s="213"/>
      <c r="V2852" s="213"/>
      <c r="W2852" s="213"/>
      <c r="X2852" s="213"/>
      <c r="Y2852" s="213"/>
      <c r="Z2852" s="213"/>
      <c r="AA2852" s="213"/>
      <c r="AB2852" s="213"/>
      <c r="AC2852" s="213"/>
      <c r="AD2852" s="213"/>
      <c r="AE2852" s="213"/>
      <c r="AF2852" s="213"/>
      <c r="AG2852" s="213"/>
      <c r="AH2852" s="213"/>
      <c r="AI2852" s="213"/>
      <c r="AJ2852" s="213"/>
      <c r="AK2852" s="213"/>
      <c r="AL2852" s="213"/>
      <c r="AM2852" s="213"/>
      <c r="AN2852" s="213"/>
      <c r="AO2852" s="213"/>
      <c r="AP2852" s="213"/>
      <c r="AQ2852" s="213"/>
      <c r="AR2852" s="213"/>
      <c r="AS2852" s="213"/>
      <c r="AT2852" s="213"/>
      <c r="AU2852" s="213"/>
      <c r="AV2852" s="213"/>
      <c r="AW2852" s="213"/>
      <c r="AX2852" s="213"/>
      <c r="AY2852" s="213"/>
      <c r="AZ2852" s="213"/>
      <c r="BA2852" s="213"/>
      <c r="BB2852" s="213"/>
      <c r="BC2852" s="213"/>
      <c r="BD2852" s="213"/>
    </row>
    <row r="2853">
      <c r="A2853" s="213"/>
      <c r="B2853" s="213"/>
      <c r="C2853" s="213"/>
      <c r="D2853" s="213"/>
      <c r="E2853" s="213"/>
      <c r="F2853" s="213"/>
      <c r="G2853" s="213"/>
      <c r="H2853" s="213"/>
      <c r="I2853" s="213"/>
      <c r="J2853" s="213"/>
      <c r="K2853" s="213"/>
      <c r="L2853" s="213"/>
      <c r="M2853" s="213"/>
      <c r="N2853" s="213"/>
      <c r="O2853" s="213"/>
      <c r="P2853" s="213"/>
      <c r="Q2853" s="213"/>
      <c r="R2853" s="213"/>
      <c r="S2853" s="213"/>
      <c r="T2853" s="213"/>
      <c r="U2853" s="213"/>
      <c r="V2853" s="213"/>
      <c r="W2853" s="213"/>
      <c r="X2853" s="213"/>
      <c r="Y2853" s="213"/>
      <c r="Z2853" s="213"/>
      <c r="AA2853" s="213"/>
      <c r="AB2853" s="213"/>
      <c r="AC2853" s="213"/>
      <c r="AD2853" s="213"/>
      <c r="AE2853" s="213"/>
      <c r="AF2853" s="213"/>
      <c r="AG2853" s="213"/>
      <c r="AH2853" s="213"/>
      <c r="AI2853" s="213"/>
      <c r="AJ2853" s="213"/>
      <c r="AK2853" s="213"/>
      <c r="AL2853" s="213"/>
      <c r="AM2853" s="213"/>
      <c r="AN2853" s="213"/>
      <c r="AO2853" s="213"/>
      <c r="AP2853" s="213"/>
      <c r="AQ2853" s="213"/>
      <c r="AR2853" s="213"/>
      <c r="AS2853" s="213"/>
      <c r="AT2853" s="213"/>
      <c r="AU2853" s="213"/>
      <c r="AV2853" s="213"/>
      <c r="AW2853" s="213"/>
      <c r="AX2853" s="213"/>
      <c r="AY2853" s="213"/>
      <c r="AZ2853" s="213"/>
      <c r="BA2853" s="213"/>
      <c r="BB2853" s="213"/>
      <c r="BC2853" s="213"/>
      <c r="BD2853" s="213"/>
    </row>
    <row r="2854">
      <c r="A2854" s="213"/>
      <c r="B2854" s="213"/>
      <c r="C2854" s="213"/>
      <c r="D2854" s="213"/>
      <c r="E2854" s="213"/>
      <c r="F2854" s="213"/>
      <c r="G2854" s="213"/>
      <c r="H2854" s="213"/>
      <c r="I2854" s="213"/>
      <c r="J2854" s="213"/>
      <c r="K2854" s="213"/>
      <c r="L2854" s="213"/>
      <c r="M2854" s="213"/>
      <c r="N2854" s="213"/>
      <c r="O2854" s="213"/>
      <c r="P2854" s="213"/>
      <c r="Q2854" s="213"/>
      <c r="R2854" s="213"/>
      <c r="S2854" s="213"/>
      <c r="T2854" s="213"/>
      <c r="U2854" s="213"/>
      <c r="V2854" s="213"/>
      <c r="W2854" s="213"/>
      <c r="X2854" s="213"/>
      <c r="Y2854" s="213"/>
      <c r="Z2854" s="213"/>
      <c r="AA2854" s="213"/>
      <c r="AB2854" s="213"/>
      <c r="AC2854" s="213"/>
      <c r="AD2854" s="213"/>
      <c r="AE2854" s="213"/>
      <c r="AF2854" s="213"/>
      <c r="AG2854" s="213"/>
      <c r="AH2854" s="213"/>
      <c r="AI2854" s="213"/>
      <c r="AJ2854" s="213"/>
      <c r="AK2854" s="213"/>
      <c r="AL2854" s="213"/>
      <c r="AM2854" s="213"/>
      <c r="AN2854" s="213"/>
      <c r="AO2854" s="213"/>
      <c r="AP2854" s="213"/>
      <c r="AQ2854" s="213"/>
      <c r="AR2854" s="213"/>
      <c r="AS2854" s="213"/>
      <c r="AT2854" s="213"/>
      <c r="AU2854" s="213"/>
      <c r="AV2854" s="213"/>
      <c r="AW2854" s="213"/>
      <c r="AX2854" s="213"/>
      <c r="AY2854" s="213"/>
      <c r="AZ2854" s="213"/>
      <c r="BA2854" s="213"/>
      <c r="BB2854" s="213"/>
      <c r="BC2854" s="213"/>
      <c r="BD2854" s="213"/>
    </row>
    <row r="2855">
      <c r="A2855" s="213"/>
      <c r="B2855" s="213"/>
      <c r="C2855" s="213"/>
      <c r="D2855" s="213"/>
      <c r="E2855" s="213"/>
      <c r="F2855" s="213"/>
      <c r="G2855" s="213"/>
      <c r="H2855" s="213"/>
      <c r="I2855" s="213"/>
      <c r="J2855" s="213"/>
      <c r="K2855" s="213"/>
      <c r="L2855" s="213"/>
      <c r="M2855" s="213"/>
      <c r="N2855" s="213"/>
      <c r="O2855" s="213"/>
      <c r="P2855" s="213"/>
      <c r="Q2855" s="213"/>
      <c r="R2855" s="213"/>
      <c r="S2855" s="213"/>
      <c r="T2855" s="213"/>
      <c r="U2855" s="213"/>
      <c r="V2855" s="213"/>
      <c r="W2855" s="213"/>
      <c r="X2855" s="213"/>
      <c r="Y2855" s="213"/>
      <c r="Z2855" s="213"/>
      <c r="AA2855" s="213"/>
      <c r="AB2855" s="213"/>
      <c r="AC2855" s="213"/>
      <c r="AD2855" s="213"/>
      <c r="AE2855" s="213"/>
      <c r="AF2855" s="213"/>
      <c r="AG2855" s="213"/>
      <c r="AH2855" s="213"/>
      <c r="AI2855" s="213"/>
      <c r="AJ2855" s="213"/>
      <c r="AK2855" s="213"/>
      <c r="AL2855" s="213"/>
      <c r="AM2855" s="213"/>
      <c r="AN2855" s="213"/>
      <c r="AO2855" s="213"/>
      <c r="AP2855" s="213"/>
      <c r="AQ2855" s="213"/>
      <c r="AR2855" s="213"/>
      <c r="AS2855" s="213"/>
      <c r="AT2855" s="213"/>
      <c r="AU2855" s="213"/>
      <c r="AV2855" s="213"/>
      <c r="AW2855" s="213"/>
      <c r="AX2855" s="213"/>
      <c r="AY2855" s="213"/>
      <c r="AZ2855" s="213"/>
      <c r="BA2855" s="213"/>
      <c r="BB2855" s="213"/>
      <c r="BC2855" s="213"/>
      <c r="BD2855" s="213"/>
    </row>
    <row r="2856">
      <c r="A2856" s="213"/>
      <c r="B2856" s="213"/>
      <c r="C2856" s="213"/>
      <c r="D2856" s="213"/>
      <c r="E2856" s="213"/>
      <c r="F2856" s="213"/>
      <c r="G2856" s="213"/>
      <c r="H2856" s="213"/>
      <c r="I2856" s="213"/>
      <c r="J2856" s="213"/>
      <c r="K2856" s="213"/>
      <c r="L2856" s="213"/>
      <c r="M2856" s="213"/>
      <c r="N2856" s="213"/>
      <c r="O2856" s="213"/>
      <c r="P2856" s="213"/>
      <c r="Q2856" s="213"/>
      <c r="R2856" s="213"/>
      <c r="S2856" s="213"/>
      <c r="T2856" s="213"/>
      <c r="U2856" s="213"/>
      <c r="V2856" s="213"/>
      <c r="W2856" s="213"/>
      <c r="X2856" s="213"/>
      <c r="Y2856" s="213"/>
      <c r="Z2856" s="213"/>
      <c r="AA2856" s="213"/>
      <c r="AB2856" s="213"/>
      <c r="AC2856" s="213"/>
      <c r="AD2856" s="213"/>
      <c r="AE2856" s="213"/>
      <c r="AF2856" s="213"/>
      <c r="AG2856" s="213"/>
      <c r="AH2856" s="213"/>
      <c r="AI2856" s="213"/>
      <c r="AJ2856" s="213"/>
      <c r="AK2856" s="213"/>
      <c r="AL2856" s="213"/>
      <c r="AM2856" s="213"/>
      <c r="AN2856" s="213"/>
      <c r="AO2856" s="213"/>
      <c r="AP2856" s="213"/>
      <c r="AQ2856" s="213"/>
      <c r="AR2856" s="213"/>
      <c r="AS2856" s="213"/>
      <c r="AT2856" s="213"/>
      <c r="AU2856" s="213"/>
      <c r="AV2856" s="213"/>
      <c r="AW2856" s="213"/>
      <c r="AX2856" s="213"/>
      <c r="AY2856" s="213"/>
      <c r="AZ2856" s="213"/>
      <c r="BA2856" s="213"/>
      <c r="BB2856" s="213"/>
      <c r="BC2856" s="213"/>
      <c r="BD2856" s="213"/>
    </row>
    <row r="2857">
      <c r="A2857" s="213"/>
      <c r="B2857" s="213"/>
      <c r="C2857" s="213"/>
      <c r="D2857" s="213"/>
      <c r="E2857" s="213"/>
      <c r="F2857" s="213"/>
      <c r="G2857" s="213"/>
      <c r="H2857" s="213"/>
      <c r="I2857" s="213"/>
      <c r="J2857" s="213"/>
      <c r="K2857" s="213"/>
      <c r="L2857" s="213"/>
      <c r="M2857" s="213"/>
      <c r="N2857" s="213"/>
      <c r="O2857" s="213"/>
      <c r="P2857" s="213"/>
      <c r="Q2857" s="213"/>
      <c r="R2857" s="213"/>
      <c r="S2857" s="213"/>
      <c r="T2857" s="213"/>
      <c r="U2857" s="213"/>
      <c r="V2857" s="213"/>
      <c r="W2857" s="213"/>
      <c r="X2857" s="213"/>
      <c r="Y2857" s="213"/>
      <c r="Z2857" s="213"/>
      <c r="AA2857" s="213"/>
      <c r="AB2857" s="213"/>
      <c r="AC2857" s="213"/>
      <c r="AD2857" s="213"/>
      <c r="AE2857" s="213"/>
      <c r="AF2857" s="213"/>
      <c r="AG2857" s="213"/>
      <c r="AH2857" s="213"/>
      <c r="AI2857" s="213"/>
      <c r="AJ2857" s="213"/>
      <c r="AK2857" s="213"/>
      <c r="AL2857" s="213"/>
      <c r="AM2857" s="213"/>
      <c r="AN2857" s="213"/>
      <c r="AO2857" s="213"/>
      <c r="AP2857" s="213"/>
      <c r="AQ2857" s="213"/>
      <c r="AR2857" s="213"/>
      <c r="AS2857" s="213"/>
      <c r="AT2857" s="213"/>
      <c r="AU2857" s="213"/>
      <c r="AV2857" s="213"/>
      <c r="AW2857" s="213"/>
      <c r="AX2857" s="213"/>
      <c r="AY2857" s="213"/>
      <c r="AZ2857" s="213"/>
      <c r="BA2857" s="213"/>
      <c r="BB2857" s="213"/>
      <c r="BC2857" s="213"/>
      <c r="BD2857" s="213"/>
    </row>
    <row r="2858">
      <c r="A2858" s="213"/>
      <c r="B2858" s="213"/>
      <c r="C2858" s="213"/>
      <c r="D2858" s="213"/>
      <c r="E2858" s="213"/>
      <c r="F2858" s="213"/>
      <c r="G2858" s="213"/>
      <c r="H2858" s="213"/>
      <c r="I2858" s="213"/>
      <c r="J2858" s="213"/>
      <c r="K2858" s="213"/>
      <c r="L2858" s="213"/>
      <c r="M2858" s="213"/>
      <c r="N2858" s="213"/>
      <c r="O2858" s="213"/>
      <c r="P2858" s="213"/>
      <c r="Q2858" s="213"/>
      <c r="R2858" s="213"/>
      <c r="S2858" s="213"/>
      <c r="T2858" s="213"/>
      <c r="U2858" s="213"/>
      <c r="V2858" s="213"/>
      <c r="W2858" s="213"/>
      <c r="X2858" s="213"/>
      <c r="Y2858" s="213"/>
      <c r="Z2858" s="213"/>
      <c r="AA2858" s="213"/>
      <c r="AB2858" s="213"/>
      <c r="AC2858" s="213"/>
      <c r="AD2858" s="213"/>
      <c r="AE2858" s="213"/>
      <c r="AF2858" s="213"/>
      <c r="AG2858" s="213"/>
      <c r="AH2858" s="213"/>
      <c r="AI2858" s="213"/>
      <c r="AJ2858" s="213"/>
      <c r="AK2858" s="213"/>
      <c r="AL2858" s="213"/>
      <c r="AM2858" s="213"/>
      <c r="AN2858" s="213"/>
      <c r="AO2858" s="213"/>
      <c r="AP2858" s="213"/>
      <c r="AQ2858" s="213"/>
      <c r="AR2858" s="213"/>
      <c r="AS2858" s="213"/>
      <c r="AT2858" s="213"/>
      <c r="AU2858" s="213"/>
      <c r="AV2858" s="213"/>
      <c r="AW2858" s="213"/>
      <c r="AX2858" s="213"/>
      <c r="AY2858" s="213"/>
      <c r="AZ2858" s="213"/>
      <c r="BA2858" s="213"/>
      <c r="BB2858" s="213"/>
      <c r="BC2858" s="213"/>
      <c r="BD2858" s="213"/>
    </row>
    <row r="2859">
      <c r="A2859" s="213"/>
      <c r="B2859" s="213"/>
      <c r="C2859" s="213"/>
      <c r="D2859" s="213"/>
      <c r="E2859" s="213"/>
      <c r="F2859" s="213"/>
      <c r="G2859" s="213"/>
      <c r="H2859" s="213"/>
      <c r="I2859" s="213"/>
      <c r="J2859" s="213"/>
      <c r="K2859" s="213"/>
      <c r="L2859" s="213"/>
      <c r="M2859" s="213"/>
      <c r="N2859" s="213"/>
      <c r="O2859" s="213"/>
      <c r="P2859" s="213"/>
      <c r="Q2859" s="213"/>
      <c r="R2859" s="213"/>
      <c r="S2859" s="213"/>
      <c r="T2859" s="213"/>
      <c r="U2859" s="213"/>
      <c r="V2859" s="213"/>
      <c r="W2859" s="213"/>
      <c r="X2859" s="213"/>
      <c r="Y2859" s="213"/>
      <c r="Z2859" s="213"/>
      <c r="AA2859" s="213"/>
      <c r="AB2859" s="213"/>
      <c r="AC2859" s="213"/>
      <c r="AD2859" s="213"/>
      <c r="AE2859" s="213"/>
      <c r="AF2859" s="213"/>
      <c r="AG2859" s="213"/>
      <c r="AH2859" s="213"/>
      <c r="AI2859" s="213"/>
      <c r="AJ2859" s="213"/>
      <c r="AK2859" s="213"/>
      <c r="AL2859" s="213"/>
      <c r="AM2859" s="213"/>
      <c r="AN2859" s="213"/>
      <c r="AO2859" s="213"/>
      <c r="AP2859" s="213"/>
      <c r="AQ2859" s="213"/>
      <c r="AR2859" s="213"/>
      <c r="AS2859" s="213"/>
      <c r="AT2859" s="213"/>
      <c r="AU2859" s="213"/>
      <c r="AV2859" s="213"/>
      <c r="AW2859" s="213"/>
      <c r="AX2859" s="213"/>
      <c r="AY2859" s="213"/>
      <c r="AZ2859" s="213"/>
      <c r="BA2859" s="213"/>
      <c r="BB2859" s="213"/>
      <c r="BC2859" s="213"/>
      <c r="BD2859" s="213"/>
    </row>
    <row r="2860">
      <c r="A2860" s="213"/>
      <c r="B2860" s="213"/>
      <c r="C2860" s="213"/>
      <c r="D2860" s="213"/>
      <c r="E2860" s="213"/>
      <c r="F2860" s="213"/>
      <c r="G2860" s="213"/>
      <c r="H2860" s="213"/>
      <c r="I2860" s="213"/>
      <c r="J2860" s="213"/>
      <c r="K2860" s="213"/>
      <c r="L2860" s="213"/>
      <c r="M2860" s="213"/>
      <c r="N2860" s="213"/>
      <c r="O2860" s="213"/>
      <c r="P2860" s="213"/>
      <c r="Q2860" s="213"/>
      <c r="R2860" s="213"/>
      <c r="S2860" s="213"/>
      <c r="T2860" s="213"/>
      <c r="U2860" s="213"/>
      <c r="V2860" s="213"/>
      <c r="W2860" s="213"/>
      <c r="X2860" s="213"/>
      <c r="Y2860" s="213"/>
      <c r="Z2860" s="213"/>
      <c r="AA2860" s="213"/>
      <c r="AB2860" s="213"/>
      <c r="AC2860" s="213"/>
      <c r="AD2860" s="213"/>
      <c r="AE2860" s="213"/>
      <c r="AF2860" s="213"/>
      <c r="AG2860" s="213"/>
      <c r="AH2860" s="213"/>
      <c r="AI2860" s="213"/>
      <c r="AJ2860" s="213"/>
      <c r="AK2860" s="213"/>
      <c r="AL2860" s="213"/>
      <c r="AM2860" s="213"/>
      <c r="AN2860" s="213"/>
      <c r="AO2860" s="213"/>
      <c r="AP2860" s="213"/>
      <c r="AQ2860" s="213"/>
      <c r="AR2860" s="213"/>
      <c r="AS2860" s="213"/>
      <c r="AT2860" s="213"/>
      <c r="AU2860" s="213"/>
      <c r="AV2860" s="213"/>
      <c r="AW2860" s="213"/>
      <c r="AX2860" s="213"/>
      <c r="AY2860" s="213"/>
      <c r="AZ2860" s="213"/>
      <c r="BA2860" s="213"/>
      <c r="BB2860" s="213"/>
      <c r="BC2860" s="213"/>
      <c r="BD2860" s="213"/>
    </row>
    <row r="2861">
      <c r="A2861" s="213"/>
      <c r="B2861" s="213"/>
      <c r="C2861" s="213"/>
      <c r="D2861" s="213"/>
      <c r="E2861" s="213"/>
      <c r="F2861" s="213"/>
      <c r="G2861" s="213"/>
      <c r="H2861" s="213"/>
      <c r="I2861" s="213"/>
      <c r="J2861" s="213"/>
      <c r="K2861" s="213"/>
      <c r="L2861" s="213"/>
      <c r="M2861" s="213"/>
      <c r="N2861" s="213"/>
      <c r="O2861" s="213"/>
      <c r="P2861" s="213"/>
      <c r="Q2861" s="213"/>
      <c r="R2861" s="213"/>
      <c r="S2861" s="213"/>
      <c r="T2861" s="213"/>
      <c r="U2861" s="213"/>
      <c r="V2861" s="213"/>
      <c r="W2861" s="213"/>
      <c r="X2861" s="213"/>
      <c r="Y2861" s="213"/>
      <c r="Z2861" s="213"/>
      <c r="AA2861" s="213"/>
      <c r="AB2861" s="213"/>
      <c r="AC2861" s="213"/>
      <c r="AD2861" s="213"/>
      <c r="AE2861" s="213"/>
      <c r="AF2861" s="213"/>
      <c r="AG2861" s="213"/>
      <c r="AH2861" s="213"/>
      <c r="AI2861" s="213"/>
      <c r="AJ2861" s="213"/>
      <c r="AK2861" s="213"/>
      <c r="AL2861" s="213"/>
      <c r="AM2861" s="213"/>
      <c r="AN2861" s="213"/>
      <c r="AO2861" s="213"/>
      <c r="AP2861" s="213"/>
      <c r="AQ2861" s="213"/>
      <c r="AR2861" s="213"/>
      <c r="AS2861" s="213"/>
      <c r="AT2861" s="213"/>
      <c r="AU2861" s="213"/>
      <c r="AV2861" s="213"/>
      <c r="AW2861" s="213"/>
      <c r="AX2861" s="213"/>
      <c r="AY2861" s="213"/>
      <c r="AZ2861" s="213"/>
      <c r="BA2861" s="213"/>
      <c r="BB2861" s="213"/>
      <c r="BC2861" s="213"/>
      <c r="BD2861" s="213"/>
    </row>
    <row r="2862">
      <c r="A2862" s="213"/>
      <c r="B2862" s="213"/>
      <c r="C2862" s="213"/>
      <c r="D2862" s="213"/>
      <c r="E2862" s="213"/>
      <c r="F2862" s="213"/>
      <c r="G2862" s="213"/>
      <c r="H2862" s="213"/>
      <c r="I2862" s="213"/>
      <c r="J2862" s="213"/>
      <c r="K2862" s="213"/>
      <c r="L2862" s="213"/>
      <c r="M2862" s="213"/>
      <c r="N2862" s="213"/>
      <c r="O2862" s="213"/>
      <c r="P2862" s="213"/>
      <c r="Q2862" s="213"/>
      <c r="R2862" s="213"/>
      <c r="S2862" s="213"/>
      <c r="T2862" s="213"/>
      <c r="U2862" s="213"/>
      <c r="V2862" s="213"/>
      <c r="W2862" s="213"/>
      <c r="X2862" s="213"/>
      <c r="Y2862" s="213"/>
      <c r="Z2862" s="213"/>
      <c r="AA2862" s="213"/>
      <c r="AB2862" s="213"/>
      <c r="AC2862" s="213"/>
      <c r="AD2862" s="213"/>
      <c r="AE2862" s="213"/>
      <c r="AF2862" s="213"/>
      <c r="AG2862" s="213"/>
      <c r="AH2862" s="213"/>
      <c r="AI2862" s="213"/>
      <c r="AJ2862" s="213"/>
      <c r="AK2862" s="213"/>
      <c r="AL2862" s="213"/>
      <c r="AM2862" s="213"/>
      <c r="AN2862" s="213"/>
      <c r="AO2862" s="213"/>
      <c r="AP2862" s="213"/>
      <c r="AQ2862" s="213"/>
      <c r="AR2862" s="213"/>
      <c r="AS2862" s="213"/>
      <c r="AT2862" s="213"/>
      <c r="AU2862" s="213"/>
      <c r="AV2862" s="213"/>
      <c r="AW2862" s="213"/>
      <c r="AX2862" s="213"/>
      <c r="AY2862" s="213"/>
      <c r="AZ2862" s="213"/>
      <c r="BA2862" s="213"/>
      <c r="BB2862" s="213"/>
      <c r="BC2862" s="213"/>
      <c r="BD2862" s="213"/>
    </row>
    <row r="2863">
      <c r="A2863" s="213"/>
      <c r="B2863" s="213"/>
      <c r="C2863" s="213"/>
      <c r="D2863" s="213"/>
      <c r="E2863" s="213"/>
      <c r="F2863" s="213"/>
      <c r="G2863" s="213"/>
      <c r="H2863" s="213"/>
      <c r="I2863" s="213"/>
      <c r="J2863" s="213"/>
      <c r="K2863" s="213"/>
      <c r="L2863" s="213"/>
      <c r="M2863" s="213"/>
      <c r="N2863" s="213"/>
      <c r="O2863" s="213"/>
      <c r="P2863" s="213"/>
      <c r="Q2863" s="213"/>
      <c r="R2863" s="213"/>
      <c r="S2863" s="213"/>
      <c r="T2863" s="213"/>
      <c r="U2863" s="213"/>
      <c r="V2863" s="213"/>
      <c r="W2863" s="213"/>
      <c r="X2863" s="213"/>
      <c r="Y2863" s="213"/>
      <c r="Z2863" s="213"/>
      <c r="AA2863" s="213"/>
      <c r="AB2863" s="213"/>
      <c r="AC2863" s="213"/>
      <c r="AD2863" s="213"/>
      <c r="AE2863" s="213"/>
      <c r="AF2863" s="213"/>
      <c r="AG2863" s="213"/>
      <c r="AH2863" s="213"/>
      <c r="AI2863" s="213"/>
      <c r="AJ2863" s="213"/>
      <c r="AK2863" s="213"/>
      <c r="AL2863" s="213"/>
      <c r="AM2863" s="213"/>
      <c r="AN2863" s="213"/>
      <c r="AO2863" s="213"/>
      <c r="AP2863" s="213"/>
      <c r="AQ2863" s="213"/>
      <c r="AR2863" s="213"/>
      <c r="AS2863" s="213"/>
      <c r="AT2863" s="213"/>
      <c r="AU2863" s="213"/>
      <c r="AV2863" s="213"/>
      <c r="AW2863" s="213"/>
      <c r="AX2863" s="213"/>
      <c r="AY2863" s="213"/>
      <c r="AZ2863" s="213"/>
      <c r="BA2863" s="213"/>
      <c r="BB2863" s="213"/>
      <c r="BC2863" s="213"/>
      <c r="BD2863" s="213"/>
    </row>
    <row r="2864">
      <c r="A2864" s="213"/>
      <c r="B2864" s="213"/>
      <c r="C2864" s="213"/>
      <c r="D2864" s="213"/>
      <c r="E2864" s="213"/>
      <c r="F2864" s="213"/>
      <c r="G2864" s="213"/>
      <c r="H2864" s="213"/>
      <c r="I2864" s="213"/>
      <c r="J2864" s="213"/>
      <c r="K2864" s="213"/>
      <c r="L2864" s="213"/>
      <c r="M2864" s="213"/>
      <c r="N2864" s="213"/>
      <c r="O2864" s="213"/>
      <c r="P2864" s="213"/>
      <c r="Q2864" s="213"/>
      <c r="R2864" s="213"/>
      <c r="S2864" s="213"/>
      <c r="T2864" s="213"/>
      <c r="U2864" s="213"/>
      <c r="V2864" s="213"/>
      <c r="W2864" s="213"/>
      <c r="X2864" s="213"/>
      <c r="Y2864" s="213"/>
      <c r="Z2864" s="213"/>
      <c r="AA2864" s="213"/>
      <c r="AB2864" s="213"/>
      <c r="AC2864" s="213"/>
      <c r="AD2864" s="213"/>
      <c r="AE2864" s="213"/>
      <c r="AF2864" s="213"/>
      <c r="AG2864" s="213"/>
      <c r="AH2864" s="213"/>
      <c r="AI2864" s="213"/>
      <c r="AJ2864" s="213"/>
      <c r="AK2864" s="213"/>
      <c r="AL2864" s="213"/>
      <c r="AM2864" s="213"/>
      <c r="AN2864" s="213"/>
      <c r="AO2864" s="213"/>
      <c r="AP2864" s="213"/>
      <c r="AQ2864" s="213"/>
      <c r="AR2864" s="213"/>
      <c r="AS2864" s="213"/>
      <c r="AT2864" s="213"/>
      <c r="AU2864" s="213"/>
      <c r="AV2864" s="213"/>
      <c r="AW2864" s="213"/>
      <c r="AX2864" s="213"/>
      <c r="AY2864" s="213"/>
      <c r="AZ2864" s="213"/>
      <c r="BA2864" s="213"/>
      <c r="BB2864" s="213"/>
      <c r="BC2864" s="213"/>
      <c r="BD2864" s="213"/>
    </row>
    <row r="2865">
      <c r="A2865" s="213"/>
      <c r="B2865" s="213"/>
      <c r="C2865" s="213"/>
      <c r="D2865" s="213"/>
      <c r="E2865" s="213"/>
      <c r="F2865" s="213"/>
      <c r="G2865" s="213"/>
      <c r="H2865" s="213"/>
      <c r="I2865" s="213"/>
      <c r="J2865" s="213"/>
      <c r="K2865" s="213"/>
      <c r="L2865" s="213"/>
      <c r="M2865" s="213"/>
      <c r="N2865" s="213"/>
      <c r="O2865" s="213"/>
      <c r="P2865" s="213"/>
      <c r="Q2865" s="213"/>
      <c r="R2865" s="213"/>
      <c r="S2865" s="213"/>
      <c r="T2865" s="213"/>
      <c r="U2865" s="213"/>
      <c r="V2865" s="213"/>
      <c r="W2865" s="213"/>
      <c r="X2865" s="213"/>
      <c r="Y2865" s="213"/>
      <c r="Z2865" s="213"/>
      <c r="AA2865" s="213"/>
      <c r="AB2865" s="213"/>
      <c r="AC2865" s="213"/>
      <c r="AD2865" s="213"/>
      <c r="AE2865" s="213"/>
      <c r="AF2865" s="213"/>
      <c r="AG2865" s="213"/>
      <c r="AH2865" s="213"/>
      <c r="AI2865" s="213"/>
      <c r="AJ2865" s="213"/>
      <c r="AK2865" s="213"/>
      <c r="AL2865" s="213"/>
      <c r="AM2865" s="213"/>
      <c r="AN2865" s="213"/>
      <c r="AO2865" s="213"/>
      <c r="AP2865" s="213"/>
      <c r="AQ2865" s="213"/>
      <c r="AR2865" s="213"/>
      <c r="AS2865" s="213"/>
      <c r="AT2865" s="213"/>
      <c r="AU2865" s="213"/>
      <c r="AV2865" s="213"/>
      <c r="AW2865" s="213"/>
      <c r="AX2865" s="213"/>
      <c r="AY2865" s="213"/>
      <c r="AZ2865" s="213"/>
      <c r="BA2865" s="213"/>
      <c r="BB2865" s="213"/>
      <c r="BC2865" s="213"/>
      <c r="BD2865" s="213"/>
    </row>
    <row r="2866">
      <c r="A2866" s="213"/>
      <c r="B2866" s="213"/>
      <c r="C2866" s="213"/>
      <c r="D2866" s="213"/>
      <c r="E2866" s="213"/>
      <c r="F2866" s="213"/>
      <c r="G2866" s="213"/>
      <c r="H2866" s="213"/>
      <c r="I2866" s="213"/>
      <c r="J2866" s="213"/>
      <c r="K2866" s="213"/>
      <c r="L2866" s="213"/>
      <c r="M2866" s="213"/>
      <c r="N2866" s="213"/>
      <c r="O2866" s="213"/>
      <c r="P2866" s="213"/>
      <c r="Q2866" s="213"/>
      <c r="R2866" s="213"/>
      <c r="S2866" s="213"/>
      <c r="T2866" s="213"/>
      <c r="U2866" s="213"/>
      <c r="V2866" s="213"/>
      <c r="W2866" s="213"/>
      <c r="X2866" s="213"/>
      <c r="Y2866" s="213"/>
      <c r="Z2866" s="213"/>
      <c r="AA2866" s="213"/>
      <c r="AB2866" s="213"/>
      <c r="AC2866" s="213"/>
      <c r="AD2866" s="213"/>
      <c r="AE2866" s="213"/>
      <c r="AF2866" s="213"/>
      <c r="AG2866" s="213"/>
      <c r="AH2866" s="213"/>
      <c r="AI2866" s="213"/>
      <c r="AJ2866" s="213"/>
      <c r="AK2866" s="213"/>
      <c r="AL2866" s="213"/>
      <c r="AM2866" s="213"/>
      <c r="AN2866" s="213"/>
      <c r="AO2866" s="213"/>
      <c r="AP2866" s="213"/>
      <c r="AQ2866" s="213"/>
      <c r="AR2866" s="213"/>
      <c r="AS2866" s="213"/>
      <c r="AT2866" s="213"/>
      <c r="AU2866" s="213"/>
      <c r="AV2866" s="213"/>
      <c r="AW2866" s="213"/>
      <c r="AX2866" s="213"/>
      <c r="AY2866" s="213"/>
      <c r="AZ2866" s="213"/>
      <c r="BA2866" s="213"/>
      <c r="BB2866" s="213"/>
      <c r="BC2866" s="213"/>
      <c r="BD2866" s="213"/>
    </row>
    <row r="2867">
      <c r="A2867" s="213"/>
      <c r="B2867" s="213"/>
      <c r="C2867" s="213"/>
      <c r="D2867" s="213"/>
      <c r="E2867" s="213"/>
      <c r="F2867" s="213"/>
      <c r="G2867" s="213"/>
      <c r="H2867" s="213"/>
      <c r="I2867" s="213"/>
      <c r="J2867" s="213"/>
      <c r="K2867" s="213"/>
      <c r="L2867" s="213"/>
      <c r="M2867" s="213"/>
      <c r="N2867" s="213"/>
      <c r="O2867" s="213"/>
      <c r="P2867" s="213"/>
      <c r="Q2867" s="213"/>
      <c r="R2867" s="213"/>
      <c r="S2867" s="213"/>
      <c r="T2867" s="213"/>
      <c r="U2867" s="213"/>
      <c r="V2867" s="213"/>
      <c r="W2867" s="213"/>
      <c r="X2867" s="213"/>
      <c r="Y2867" s="213"/>
      <c r="Z2867" s="213"/>
      <c r="AA2867" s="213"/>
      <c r="AB2867" s="213"/>
      <c r="AC2867" s="213"/>
      <c r="AD2867" s="213"/>
      <c r="AE2867" s="213"/>
      <c r="AF2867" s="213"/>
      <c r="AG2867" s="213"/>
      <c r="AH2867" s="213"/>
      <c r="AI2867" s="213"/>
      <c r="AJ2867" s="213"/>
      <c r="AK2867" s="213"/>
      <c r="AL2867" s="213"/>
      <c r="AM2867" s="213"/>
      <c r="AN2867" s="213"/>
      <c r="AO2867" s="213"/>
      <c r="AP2867" s="213"/>
      <c r="AQ2867" s="213"/>
      <c r="AR2867" s="213"/>
      <c r="AS2867" s="213"/>
      <c r="AT2867" s="213"/>
      <c r="AU2867" s="213"/>
      <c r="AV2867" s="213"/>
      <c r="AW2867" s="213"/>
      <c r="AX2867" s="213"/>
      <c r="AY2867" s="213"/>
      <c r="AZ2867" s="213"/>
      <c r="BA2867" s="213"/>
      <c r="BB2867" s="213"/>
      <c r="BC2867" s="213"/>
      <c r="BD2867" s="213"/>
    </row>
    <row r="2868">
      <c r="A2868" s="213"/>
      <c r="B2868" s="213"/>
      <c r="C2868" s="213"/>
      <c r="D2868" s="213"/>
      <c r="E2868" s="213"/>
      <c r="F2868" s="213"/>
      <c r="G2868" s="213"/>
      <c r="H2868" s="213"/>
      <c r="I2868" s="213"/>
      <c r="J2868" s="213"/>
      <c r="K2868" s="213"/>
      <c r="L2868" s="213"/>
      <c r="M2868" s="213"/>
      <c r="N2868" s="213"/>
      <c r="O2868" s="213"/>
      <c r="P2868" s="213"/>
      <c r="Q2868" s="213"/>
      <c r="R2868" s="213"/>
      <c r="S2868" s="213"/>
      <c r="T2868" s="213"/>
      <c r="U2868" s="213"/>
      <c r="V2868" s="213"/>
      <c r="W2868" s="213"/>
      <c r="X2868" s="213"/>
      <c r="Y2868" s="213"/>
      <c r="Z2868" s="213"/>
      <c r="AA2868" s="213"/>
      <c r="AB2868" s="213"/>
      <c r="AC2868" s="213"/>
      <c r="AD2868" s="213"/>
      <c r="AE2868" s="213"/>
      <c r="AF2868" s="213"/>
      <c r="AG2868" s="213"/>
      <c r="AH2868" s="213"/>
      <c r="AI2868" s="213"/>
      <c r="AJ2868" s="213"/>
      <c r="AK2868" s="213"/>
      <c r="AL2868" s="213"/>
      <c r="AM2868" s="213"/>
      <c r="AN2868" s="213"/>
      <c r="AO2868" s="213"/>
      <c r="AP2868" s="213"/>
      <c r="AQ2868" s="213"/>
      <c r="AR2868" s="213"/>
      <c r="AS2868" s="213"/>
      <c r="AT2868" s="213"/>
      <c r="AU2868" s="213"/>
      <c r="AV2868" s="213"/>
      <c r="AW2868" s="213"/>
      <c r="AX2868" s="213"/>
      <c r="AY2868" s="213"/>
      <c r="AZ2868" s="213"/>
      <c r="BA2868" s="213"/>
      <c r="BB2868" s="213"/>
      <c r="BC2868" s="213"/>
      <c r="BD2868" s="213"/>
    </row>
    <row r="2869">
      <c r="A2869" s="213"/>
      <c r="B2869" s="213"/>
      <c r="C2869" s="213"/>
      <c r="D2869" s="213"/>
      <c r="E2869" s="213"/>
      <c r="F2869" s="213"/>
      <c r="G2869" s="213"/>
      <c r="H2869" s="213"/>
      <c r="I2869" s="213"/>
      <c r="J2869" s="213"/>
      <c r="K2869" s="213"/>
      <c r="L2869" s="213"/>
      <c r="M2869" s="213"/>
      <c r="N2869" s="213"/>
      <c r="O2869" s="213"/>
      <c r="P2869" s="213"/>
      <c r="Q2869" s="213"/>
      <c r="R2869" s="213"/>
      <c r="S2869" s="213"/>
      <c r="T2869" s="213"/>
      <c r="U2869" s="213"/>
      <c r="V2869" s="213"/>
      <c r="W2869" s="213"/>
      <c r="X2869" s="213"/>
      <c r="Y2869" s="213"/>
      <c r="Z2869" s="213"/>
      <c r="AA2869" s="213"/>
      <c r="AB2869" s="213"/>
      <c r="AC2869" s="213"/>
      <c r="AD2869" s="213"/>
      <c r="AE2869" s="213"/>
      <c r="AF2869" s="213"/>
      <c r="AG2869" s="213"/>
      <c r="AH2869" s="213"/>
      <c r="AI2869" s="213"/>
      <c r="AJ2869" s="213"/>
      <c r="AK2869" s="213"/>
      <c r="AL2869" s="213"/>
      <c r="AM2869" s="213"/>
      <c r="AN2869" s="213"/>
      <c r="AO2869" s="213"/>
      <c r="AP2869" s="213"/>
      <c r="AQ2869" s="213"/>
      <c r="AR2869" s="213"/>
      <c r="AS2869" s="213"/>
      <c r="AT2869" s="213"/>
      <c r="AU2869" s="213"/>
      <c r="AV2869" s="213"/>
      <c r="AW2869" s="213"/>
      <c r="AX2869" s="213"/>
      <c r="AY2869" s="213"/>
      <c r="AZ2869" s="213"/>
      <c r="BA2869" s="213"/>
      <c r="BB2869" s="213"/>
      <c r="BC2869" s="213"/>
      <c r="BD2869" s="213"/>
    </row>
    <row r="2870">
      <c r="A2870" s="213"/>
      <c r="B2870" s="213"/>
      <c r="C2870" s="213"/>
      <c r="D2870" s="213"/>
      <c r="E2870" s="213"/>
      <c r="F2870" s="213"/>
      <c r="G2870" s="213"/>
      <c r="H2870" s="213"/>
      <c r="I2870" s="213"/>
      <c r="J2870" s="213"/>
      <c r="K2870" s="213"/>
      <c r="L2870" s="213"/>
      <c r="M2870" s="213"/>
      <c r="N2870" s="213"/>
      <c r="O2870" s="213"/>
      <c r="P2870" s="213"/>
      <c r="Q2870" s="213"/>
      <c r="R2870" s="213"/>
      <c r="S2870" s="213"/>
      <c r="T2870" s="213"/>
      <c r="U2870" s="213"/>
      <c r="V2870" s="213"/>
      <c r="W2870" s="213"/>
      <c r="X2870" s="213"/>
      <c r="Y2870" s="213"/>
      <c r="Z2870" s="213"/>
      <c r="AA2870" s="213"/>
      <c r="AB2870" s="213"/>
      <c r="AC2870" s="213"/>
      <c r="AD2870" s="213"/>
      <c r="AE2870" s="213"/>
      <c r="AF2870" s="213"/>
      <c r="AG2870" s="213"/>
      <c r="AH2870" s="213"/>
      <c r="AI2870" s="213"/>
      <c r="AJ2870" s="213"/>
      <c r="AK2870" s="213"/>
      <c r="AL2870" s="213"/>
      <c r="AM2870" s="213"/>
      <c r="AN2870" s="213"/>
      <c r="AO2870" s="213"/>
      <c r="AP2870" s="213"/>
      <c r="AQ2870" s="213"/>
      <c r="AR2870" s="213"/>
      <c r="AS2870" s="213"/>
      <c r="AT2870" s="213"/>
      <c r="AU2870" s="213"/>
      <c r="AV2870" s="213"/>
      <c r="AW2870" s="213"/>
      <c r="AX2870" s="213"/>
      <c r="AY2870" s="213"/>
      <c r="AZ2870" s="213"/>
      <c r="BA2870" s="213"/>
      <c r="BB2870" s="213"/>
      <c r="BC2870" s="213"/>
      <c r="BD2870" s="213"/>
    </row>
    <row r="2871">
      <c r="A2871" s="213"/>
      <c r="B2871" s="213"/>
      <c r="C2871" s="213"/>
      <c r="D2871" s="213"/>
      <c r="E2871" s="213"/>
      <c r="F2871" s="213"/>
      <c r="G2871" s="213"/>
      <c r="H2871" s="213"/>
      <c r="I2871" s="213"/>
      <c r="J2871" s="213"/>
      <c r="K2871" s="213"/>
      <c r="L2871" s="213"/>
      <c r="M2871" s="213"/>
      <c r="N2871" s="213"/>
      <c r="O2871" s="213"/>
      <c r="P2871" s="213"/>
      <c r="Q2871" s="213"/>
      <c r="R2871" s="213"/>
      <c r="S2871" s="213"/>
      <c r="T2871" s="213"/>
      <c r="U2871" s="213"/>
      <c r="V2871" s="213"/>
      <c r="W2871" s="213"/>
      <c r="X2871" s="213"/>
      <c r="Y2871" s="213"/>
      <c r="Z2871" s="213"/>
      <c r="AA2871" s="213"/>
      <c r="AB2871" s="213"/>
      <c r="AC2871" s="213"/>
      <c r="AD2871" s="213"/>
      <c r="AE2871" s="213"/>
      <c r="AF2871" s="213"/>
      <c r="AG2871" s="213"/>
      <c r="AH2871" s="213"/>
      <c r="AI2871" s="213"/>
      <c r="AJ2871" s="213"/>
      <c r="AK2871" s="213"/>
      <c r="AL2871" s="213"/>
      <c r="AM2871" s="213"/>
      <c r="AN2871" s="213"/>
      <c r="AO2871" s="213"/>
      <c r="AP2871" s="213"/>
      <c r="AQ2871" s="213"/>
      <c r="AR2871" s="213"/>
      <c r="AS2871" s="213"/>
      <c r="AT2871" s="213"/>
      <c r="AU2871" s="213"/>
      <c r="AV2871" s="213"/>
      <c r="AW2871" s="213"/>
      <c r="AX2871" s="213"/>
      <c r="AY2871" s="213"/>
      <c r="AZ2871" s="213"/>
      <c r="BA2871" s="213"/>
      <c r="BB2871" s="213"/>
      <c r="BC2871" s="213"/>
      <c r="BD2871" s="213"/>
    </row>
    <row r="2872">
      <c r="A2872" s="213"/>
      <c r="B2872" s="213"/>
      <c r="C2872" s="213"/>
      <c r="D2872" s="213"/>
      <c r="E2872" s="213"/>
      <c r="F2872" s="213"/>
      <c r="G2872" s="213"/>
      <c r="H2872" s="213"/>
      <c r="I2872" s="213"/>
      <c r="J2872" s="213"/>
      <c r="K2872" s="213"/>
      <c r="L2872" s="213"/>
      <c r="M2872" s="213"/>
      <c r="N2872" s="213"/>
      <c r="O2872" s="213"/>
      <c r="P2872" s="213"/>
      <c r="Q2872" s="213"/>
      <c r="R2872" s="213"/>
      <c r="S2872" s="213"/>
      <c r="T2872" s="213"/>
      <c r="U2872" s="213"/>
      <c r="V2872" s="213"/>
      <c r="W2872" s="213"/>
      <c r="X2872" s="213"/>
      <c r="Y2872" s="213"/>
      <c r="Z2872" s="213"/>
      <c r="AA2872" s="213"/>
      <c r="AB2872" s="213"/>
      <c r="AC2872" s="213"/>
      <c r="AD2872" s="213"/>
      <c r="AE2872" s="213"/>
      <c r="AF2872" s="213"/>
      <c r="AG2872" s="213"/>
      <c r="AH2872" s="213"/>
      <c r="AI2872" s="213"/>
      <c r="AJ2872" s="213"/>
      <c r="AK2872" s="213"/>
      <c r="AL2872" s="213"/>
      <c r="AM2872" s="213"/>
      <c r="AN2872" s="213"/>
      <c r="AO2872" s="213"/>
      <c r="AP2872" s="213"/>
      <c r="AQ2872" s="213"/>
      <c r="AR2872" s="213"/>
      <c r="AS2872" s="213"/>
      <c r="AT2872" s="213"/>
      <c r="AU2872" s="213"/>
      <c r="AV2872" s="213"/>
      <c r="AW2872" s="213"/>
      <c r="AX2872" s="213"/>
      <c r="AY2872" s="213"/>
      <c r="AZ2872" s="213"/>
      <c r="BA2872" s="213"/>
      <c r="BB2872" s="213"/>
      <c r="BC2872" s="213"/>
      <c r="BD2872" s="213"/>
    </row>
    <row r="2873">
      <c r="A2873" s="213"/>
      <c r="B2873" s="213"/>
      <c r="C2873" s="213"/>
      <c r="D2873" s="213"/>
      <c r="E2873" s="213"/>
      <c r="F2873" s="213"/>
      <c r="G2873" s="213"/>
      <c r="H2873" s="213"/>
      <c r="I2873" s="213"/>
      <c r="J2873" s="213"/>
      <c r="K2873" s="213"/>
      <c r="L2873" s="213"/>
      <c r="M2873" s="213"/>
      <c r="N2873" s="213"/>
      <c r="O2873" s="213"/>
      <c r="P2873" s="213"/>
      <c r="Q2873" s="213"/>
      <c r="R2873" s="213"/>
      <c r="S2873" s="213"/>
      <c r="T2873" s="213"/>
      <c r="U2873" s="213"/>
      <c r="V2873" s="213"/>
      <c r="W2873" s="213"/>
      <c r="X2873" s="213"/>
      <c r="Y2873" s="213"/>
      <c r="Z2873" s="213"/>
      <c r="AA2873" s="213"/>
      <c r="AB2873" s="213"/>
      <c r="AC2873" s="213"/>
      <c r="AD2873" s="213"/>
      <c r="AE2873" s="213"/>
      <c r="AF2873" s="213"/>
      <c r="AG2873" s="213"/>
      <c r="AH2873" s="213"/>
      <c r="AI2873" s="213"/>
      <c r="AJ2873" s="213"/>
      <c r="AK2873" s="213"/>
      <c r="AL2873" s="213"/>
      <c r="AM2873" s="213"/>
      <c r="AN2873" s="213"/>
      <c r="AO2873" s="213"/>
      <c r="AP2873" s="213"/>
      <c r="AQ2873" s="213"/>
      <c r="AR2873" s="213"/>
      <c r="AS2873" s="213"/>
      <c r="AT2873" s="213"/>
      <c r="AU2873" s="213"/>
      <c r="AV2873" s="213"/>
      <c r="AW2873" s="213"/>
      <c r="AX2873" s="213"/>
      <c r="AY2873" s="213"/>
      <c r="AZ2873" s="213"/>
      <c r="BA2873" s="213"/>
      <c r="BB2873" s="213"/>
      <c r="BC2873" s="213"/>
      <c r="BD2873" s="213"/>
    </row>
    <row r="2874">
      <c r="A2874" s="213"/>
      <c r="B2874" s="213"/>
      <c r="C2874" s="213"/>
      <c r="D2874" s="213"/>
      <c r="E2874" s="213"/>
      <c r="F2874" s="213"/>
      <c r="G2874" s="213"/>
      <c r="H2874" s="213"/>
      <c r="I2874" s="213"/>
      <c r="J2874" s="213"/>
      <c r="K2874" s="213"/>
      <c r="L2874" s="213"/>
      <c r="M2874" s="213"/>
      <c r="N2874" s="213"/>
      <c r="O2874" s="213"/>
      <c r="P2874" s="213"/>
      <c r="Q2874" s="213"/>
      <c r="R2874" s="213"/>
      <c r="S2874" s="213"/>
      <c r="T2874" s="213"/>
      <c r="U2874" s="213"/>
      <c r="V2874" s="213"/>
      <c r="W2874" s="213"/>
      <c r="X2874" s="213"/>
      <c r="Y2874" s="213"/>
      <c r="Z2874" s="213"/>
      <c r="AA2874" s="213"/>
      <c r="AB2874" s="213"/>
      <c r="AC2874" s="213"/>
      <c r="AD2874" s="213"/>
      <c r="AE2874" s="213"/>
      <c r="AF2874" s="213"/>
      <c r="AG2874" s="213"/>
      <c r="AH2874" s="213"/>
      <c r="AI2874" s="213"/>
      <c r="AJ2874" s="213"/>
      <c r="AK2874" s="213"/>
      <c r="AL2874" s="213"/>
      <c r="AM2874" s="213"/>
      <c r="AN2874" s="213"/>
      <c r="AO2874" s="213"/>
      <c r="AP2874" s="213"/>
      <c r="AQ2874" s="213"/>
      <c r="AR2874" s="213"/>
      <c r="AS2874" s="213"/>
      <c r="AT2874" s="213"/>
      <c r="AU2874" s="213"/>
      <c r="AV2874" s="213"/>
      <c r="AW2874" s="213"/>
      <c r="AX2874" s="213"/>
      <c r="AY2874" s="213"/>
      <c r="AZ2874" s="213"/>
      <c r="BA2874" s="213"/>
      <c r="BB2874" s="213"/>
      <c r="BC2874" s="213"/>
      <c r="BD2874" s="213"/>
    </row>
    <row r="2875">
      <c r="A2875" s="213"/>
      <c r="B2875" s="213"/>
      <c r="C2875" s="213"/>
      <c r="D2875" s="213"/>
      <c r="E2875" s="213"/>
      <c r="F2875" s="213"/>
      <c r="G2875" s="213"/>
      <c r="H2875" s="213"/>
      <c r="I2875" s="213"/>
      <c r="J2875" s="213"/>
      <c r="K2875" s="213"/>
      <c r="L2875" s="213"/>
      <c r="M2875" s="213"/>
      <c r="N2875" s="213"/>
      <c r="O2875" s="213"/>
      <c r="P2875" s="213"/>
      <c r="Q2875" s="213"/>
      <c r="R2875" s="213"/>
      <c r="S2875" s="213"/>
      <c r="T2875" s="213"/>
      <c r="U2875" s="213"/>
      <c r="V2875" s="213"/>
      <c r="W2875" s="213"/>
      <c r="X2875" s="213"/>
      <c r="Y2875" s="213"/>
      <c r="Z2875" s="213"/>
      <c r="AA2875" s="213"/>
      <c r="AB2875" s="213"/>
      <c r="AC2875" s="213"/>
      <c r="AD2875" s="213"/>
      <c r="AE2875" s="213"/>
      <c r="AF2875" s="213"/>
      <c r="AG2875" s="213"/>
      <c r="AH2875" s="213"/>
      <c r="AI2875" s="213"/>
      <c r="AJ2875" s="213"/>
      <c r="AK2875" s="213"/>
      <c r="AL2875" s="213"/>
      <c r="AM2875" s="213"/>
      <c r="AN2875" s="213"/>
      <c r="AO2875" s="213"/>
      <c r="AP2875" s="213"/>
      <c r="AQ2875" s="213"/>
      <c r="AR2875" s="213"/>
      <c r="AS2875" s="213"/>
      <c r="AT2875" s="213"/>
      <c r="AU2875" s="213"/>
      <c r="AV2875" s="213"/>
      <c r="AW2875" s="213"/>
      <c r="AX2875" s="213"/>
      <c r="AY2875" s="213"/>
      <c r="AZ2875" s="213"/>
      <c r="BA2875" s="213"/>
      <c r="BB2875" s="213"/>
      <c r="BC2875" s="213"/>
      <c r="BD2875" s="213"/>
    </row>
    <row r="2876">
      <c r="A2876" s="213"/>
      <c r="B2876" s="213"/>
      <c r="C2876" s="213"/>
      <c r="D2876" s="213"/>
      <c r="E2876" s="213"/>
      <c r="F2876" s="213"/>
      <c r="G2876" s="213"/>
      <c r="H2876" s="213"/>
      <c r="I2876" s="213"/>
      <c r="J2876" s="213"/>
      <c r="K2876" s="213"/>
      <c r="L2876" s="213"/>
      <c r="M2876" s="213"/>
      <c r="N2876" s="213"/>
      <c r="O2876" s="213"/>
      <c r="P2876" s="213"/>
      <c r="Q2876" s="213"/>
      <c r="R2876" s="213"/>
      <c r="S2876" s="213"/>
      <c r="T2876" s="213"/>
      <c r="U2876" s="213"/>
      <c r="V2876" s="213"/>
      <c r="W2876" s="213"/>
      <c r="X2876" s="213"/>
      <c r="Y2876" s="213"/>
      <c r="Z2876" s="213"/>
      <c r="AA2876" s="213"/>
      <c r="AB2876" s="213"/>
      <c r="AC2876" s="213"/>
      <c r="AD2876" s="213"/>
      <c r="AE2876" s="213"/>
      <c r="AF2876" s="213"/>
      <c r="AG2876" s="213"/>
      <c r="AH2876" s="213"/>
      <c r="AI2876" s="213"/>
      <c r="AJ2876" s="213"/>
      <c r="AK2876" s="213"/>
      <c r="AL2876" s="213"/>
      <c r="AM2876" s="213"/>
      <c r="AN2876" s="213"/>
      <c r="AO2876" s="213"/>
      <c r="AP2876" s="213"/>
      <c r="AQ2876" s="213"/>
      <c r="AR2876" s="213"/>
      <c r="AS2876" s="213"/>
      <c r="AT2876" s="213"/>
      <c r="AU2876" s="213"/>
      <c r="AV2876" s="213"/>
      <c r="AW2876" s="213"/>
      <c r="AX2876" s="213"/>
      <c r="AY2876" s="213"/>
      <c r="AZ2876" s="213"/>
      <c r="BA2876" s="213"/>
      <c r="BB2876" s="213"/>
      <c r="BC2876" s="213"/>
      <c r="BD2876" s="213"/>
    </row>
    <row r="2877">
      <c r="A2877" s="213"/>
      <c r="B2877" s="213"/>
      <c r="C2877" s="213"/>
      <c r="D2877" s="213"/>
      <c r="E2877" s="213"/>
      <c r="F2877" s="213"/>
      <c r="G2877" s="213"/>
      <c r="H2877" s="213"/>
      <c r="I2877" s="213"/>
      <c r="J2877" s="213"/>
      <c r="K2877" s="213"/>
      <c r="L2877" s="213"/>
      <c r="M2877" s="213"/>
      <c r="N2877" s="213"/>
      <c r="O2877" s="213"/>
      <c r="P2877" s="213"/>
      <c r="Q2877" s="213"/>
      <c r="R2877" s="213"/>
      <c r="S2877" s="213"/>
      <c r="T2877" s="213"/>
      <c r="U2877" s="213"/>
      <c r="V2877" s="213"/>
      <c r="W2877" s="213"/>
      <c r="X2877" s="213"/>
      <c r="Y2877" s="213"/>
      <c r="Z2877" s="213"/>
      <c r="AA2877" s="213"/>
      <c r="AB2877" s="213"/>
      <c r="AC2877" s="213"/>
      <c r="AD2877" s="213"/>
      <c r="AE2877" s="213"/>
      <c r="AF2877" s="213"/>
      <c r="AG2877" s="213"/>
      <c r="AH2877" s="213"/>
      <c r="AI2877" s="213"/>
      <c r="AJ2877" s="213"/>
      <c r="AK2877" s="213"/>
      <c r="AL2877" s="213"/>
      <c r="AM2877" s="213"/>
      <c r="AN2877" s="213"/>
      <c r="AO2877" s="213"/>
      <c r="AP2877" s="213"/>
      <c r="AQ2877" s="213"/>
      <c r="AR2877" s="213"/>
      <c r="AS2877" s="213"/>
      <c r="AT2877" s="213"/>
      <c r="AU2877" s="213"/>
      <c r="AV2877" s="213"/>
      <c r="AW2877" s="213"/>
      <c r="AX2877" s="213"/>
      <c r="AY2877" s="213"/>
      <c r="AZ2877" s="213"/>
      <c r="BA2877" s="213"/>
      <c r="BB2877" s="213"/>
      <c r="BC2877" s="213"/>
      <c r="BD2877" s="213"/>
    </row>
    <row r="2878">
      <c r="A2878" s="213"/>
      <c r="B2878" s="213"/>
      <c r="C2878" s="213"/>
      <c r="D2878" s="213"/>
      <c r="E2878" s="213"/>
      <c r="F2878" s="213"/>
      <c r="G2878" s="213"/>
      <c r="H2878" s="213"/>
      <c r="I2878" s="213"/>
      <c r="J2878" s="213"/>
      <c r="K2878" s="213"/>
      <c r="L2878" s="213"/>
      <c r="M2878" s="213"/>
      <c r="N2878" s="213"/>
      <c r="O2878" s="213"/>
      <c r="P2878" s="213"/>
      <c r="Q2878" s="213"/>
      <c r="R2878" s="213"/>
      <c r="S2878" s="213"/>
      <c r="T2878" s="213"/>
      <c r="U2878" s="213"/>
      <c r="V2878" s="213"/>
      <c r="W2878" s="213"/>
      <c r="X2878" s="213"/>
      <c r="Y2878" s="213"/>
      <c r="Z2878" s="213"/>
      <c r="AA2878" s="213"/>
      <c r="AB2878" s="213"/>
      <c r="AC2878" s="213"/>
      <c r="AD2878" s="213"/>
      <c r="AE2878" s="213"/>
      <c r="AF2878" s="213"/>
      <c r="AG2878" s="213"/>
      <c r="AH2878" s="213"/>
      <c r="AI2878" s="213"/>
      <c r="AJ2878" s="213"/>
      <c r="AK2878" s="213"/>
      <c r="AL2878" s="213"/>
      <c r="AM2878" s="213"/>
      <c r="AN2878" s="213"/>
      <c r="AO2878" s="213"/>
      <c r="AP2878" s="213"/>
      <c r="AQ2878" s="213"/>
      <c r="AR2878" s="213"/>
      <c r="AS2878" s="213"/>
      <c r="AT2878" s="213"/>
      <c r="AU2878" s="213"/>
      <c r="AV2878" s="213"/>
      <c r="AW2878" s="213"/>
      <c r="AX2878" s="213"/>
      <c r="AY2878" s="213"/>
      <c r="AZ2878" s="213"/>
      <c r="BA2878" s="213"/>
      <c r="BB2878" s="213"/>
      <c r="BC2878" s="213"/>
      <c r="BD2878" s="213"/>
    </row>
    <row r="2879">
      <c r="A2879" s="213"/>
      <c r="B2879" s="213"/>
      <c r="C2879" s="213"/>
      <c r="D2879" s="213"/>
      <c r="E2879" s="213"/>
      <c r="F2879" s="213"/>
      <c r="G2879" s="213"/>
      <c r="H2879" s="213"/>
      <c r="I2879" s="213"/>
      <c r="J2879" s="213"/>
      <c r="K2879" s="213"/>
      <c r="L2879" s="213"/>
      <c r="M2879" s="213"/>
      <c r="N2879" s="213"/>
      <c r="O2879" s="213"/>
      <c r="P2879" s="213"/>
      <c r="Q2879" s="213"/>
      <c r="R2879" s="213"/>
      <c r="S2879" s="213"/>
      <c r="T2879" s="213"/>
      <c r="U2879" s="213"/>
      <c r="V2879" s="213"/>
      <c r="W2879" s="213"/>
      <c r="X2879" s="213"/>
      <c r="Y2879" s="213"/>
      <c r="Z2879" s="213"/>
      <c r="AA2879" s="213"/>
      <c r="AB2879" s="213"/>
      <c r="AC2879" s="213"/>
      <c r="AD2879" s="213"/>
      <c r="AE2879" s="213"/>
      <c r="AF2879" s="213"/>
      <c r="AG2879" s="213"/>
      <c r="AH2879" s="213"/>
      <c r="AI2879" s="213"/>
      <c r="AJ2879" s="213"/>
      <c r="AK2879" s="213"/>
      <c r="AL2879" s="213"/>
      <c r="AM2879" s="213"/>
      <c r="AN2879" s="213"/>
      <c r="AO2879" s="213"/>
      <c r="AP2879" s="213"/>
      <c r="AQ2879" s="213"/>
      <c r="AR2879" s="213"/>
      <c r="AS2879" s="213"/>
      <c r="AT2879" s="213"/>
      <c r="AU2879" s="213"/>
      <c r="AV2879" s="213"/>
      <c r="AW2879" s="213"/>
      <c r="AX2879" s="213"/>
      <c r="AY2879" s="213"/>
      <c r="AZ2879" s="213"/>
      <c r="BA2879" s="213"/>
      <c r="BB2879" s="213"/>
      <c r="BC2879" s="213"/>
      <c r="BD2879" s="213"/>
    </row>
    <row r="2880">
      <c r="A2880" s="213"/>
      <c r="B2880" s="213"/>
      <c r="C2880" s="213"/>
      <c r="D2880" s="213"/>
      <c r="E2880" s="213"/>
      <c r="F2880" s="213"/>
      <c r="G2880" s="213"/>
      <c r="H2880" s="213"/>
      <c r="I2880" s="213"/>
      <c r="J2880" s="213"/>
      <c r="K2880" s="213"/>
      <c r="L2880" s="213"/>
      <c r="M2880" s="213"/>
      <c r="N2880" s="213"/>
      <c r="O2880" s="213"/>
      <c r="P2880" s="213"/>
      <c r="Q2880" s="213"/>
      <c r="R2880" s="213"/>
      <c r="S2880" s="213"/>
      <c r="T2880" s="213"/>
      <c r="U2880" s="213"/>
      <c r="V2880" s="213"/>
      <c r="W2880" s="213"/>
      <c r="X2880" s="213"/>
      <c r="Y2880" s="213"/>
      <c r="Z2880" s="213"/>
      <c r="AA2880" s="213"/>
      <c r="AB2880" s="213"/>
      <c r="AC2880" s="213"/>
      <c r="AD2880" s="213"/>
      <c r="AE2880" s="213"/>
      <c r="AF2880" s="213"/>
      <c r="AG2880" s="213"/>
      <c r="AH2880" s="213"/>
      <c r="AI2880" s="213"/>
      <c r="AJ2880" s="213"/>
      <c r="AK2880" s="213"/>
      <c r="AL2880" s="213"/>
      <c r="AM2880" s="213"/>
      <c r="AN2880" s="213"/>
      <c r="AO2880" s="213"/>
      <c r="AP2880" s="213"/>
      <c r="AQ2880" s="213"/>
      <c r="AR2880" s="213"/>
      <c r="AS2880" s="213"/>
      <c r="AT2880" s="213"/>
      <c r="AU2880" s="213"/>
      <c r="AV2880" s="213"/>
      <c r="AW2880" s="213"/>
      <c r="AX2880" s="213"/>
      <c r="AY2880" s="213"/>
      <c r="AZ2880" s="213"/>
      <c r="BA2880" s="213"/>
      <c r="BB2880" s="213"/>
      <c r="BC2880" s="213"/>
      <c r="BD2880" s="213"/>
    </row>
    <row r="2881">
      <c r="A2881" s="213"/>
      <c r="B2881" s="213"/>
      <c r="C2881" s="213"/>
      <c r="D2881" s="213"/>
      <c r="E2881" s="213"/>
      <c r="F2881" s="213"/>
      <c r="G2881" s="213"/>
      <c r="H2881" s="213"/>
      <c r="I2881" s="213"/>
      <c r="J2881" s="213"/>
      <c r="K2881" s="213"/>
      <c r="L2881" s="213"/>
      <c r="M2881" s="213"/>
      <c r="N2881" s="213"/>
      <c r="O2881" s="213"/>
      <c r="P2881" s="213"/>
      <c r="Q2881" s="213"/>
      <c r="R2881" s="213"/>
      <c r="S2881" s="213"/>
      <c r="T2881" s="213"/>
      <c r="U2881" s="213"/>
      <c r="V2881" s="213"/>
      <c r="W2881" s="213"/>
      <c r="X2881" s="213"/>
      <c r="Y2881" s="213"/>
      <c r="Z2881" s="213"/>
      <c r="AA2881" s="213"/>
      <c r="AB2881" s="213"/>
      <c r="AC2881" s="213"/>
      <c r="AD2881" s="213"/>
      <c r="AE2881" s="213"/>
      <c r="AF2881" s="213"/>
      <c r="AG2881" s="213"/>
      <c r="AH2881" s="213"/>
      <c r="AI2881" s="213"/>
      <c r="AJ2881" s="213"/>
      <c r="AK2881" s="213"/>
      <c r="AL2881" s="213"/>
      <c r="AM2881" s="213"/>
      <c r="AN2881" s="213"/>
      <c r="AO2881" s="213"/>
      <c r="AP2881" s="213"/>
      <c r="AQ2881" s="213"/>
      <c r="AR2881" s="213"/>
      <c r="AS2881" s="213"/>
      <c r="AT2881" s="213"/>
      <c r="AU2881" s="213"/>
      <c r="AV2881" s="213"/>
      <c r="AW2881" s="213"/>
      <c r="AX2881" s="213"/>
      <c r="AY2881" s="213"/>
      <c r="AZ2881" s="213"/>
      <c r="BA2881" s="213"/>
      <c r="BB2881" s="213"/>
      <c r="BC2881" s="213"/>
      <c r="BD2881" s="213"/>
    </row>
    <row r="2882">
      <c r="A2882" s="213"/>
      <c r="B2882" s="213"/>
      <c r="C2882" s="213"/>
      <c r="D2882" s="213"/>
      <c r="E2882" s="213"/>
      <c r="F2882" s="213"/>
      <c r="G2882" s="213"/>
      <c r="H2882" s="213"/>
      <c r="I2882" s="213"/>
      <c r="J2882" s="213"/>
      <c r="K2882" s="213"/>
      <c r="L2882" s="213"/>
      <c r="M2882" s="213"/>
      <c r="N2882" s="213"/>
      <c r="O2882" s="213"/>
      <c r="P2882" s="213"/>
      <c r="Q2882" s="213"/>
      <c r="R2882" s="213"/>
      <c r="S2882" s="213"/>
      <c r="T2882" s="213"/>
      <c r="U2882" s="213"/>
      <c r="V2882" s="213"/>
      <c r="W2882" s="213"/>
      <c r="X2882" s="213"/>
      <c r="Y2882" s="213"/>
      <c r="Z2882" s="213"/>
      <c r="AA2882" s="213"/>
      <c r="AB2882" s="213"/>
      <c r="AC2882" s="213"/>
      <c r="AD2882" s="213"/>
      <c r="AE2882" s="213"/>
      <c r="AF2882" s="213"/>
      <c r="AG2882" s="213"/>
      <c r="AH2882" s="213"/>
      <c r="AI2882" s="213"/>
      <c r="AJ2882" s="213"/>
      <c r="AK2882" s="213"/>
      <c r="AL2882" s="213"/>
      <c r="AM2882" s="213"/>
      <c r="AN2882" s="213"/>
      <c r="AO2882" s="213"/>
      <c r="AP2882" s="213"/>
      <c r="AQ2882" s="213"/>
      <c r="AR2882" s="213"/>
      <c r="AS2882" s="213"/>
      <c r="AT2882" s="213"/>
      <c r="AU2882" s="213"/>
      <c r="AV2882" s="213"/>
      <c r="AW2882" s="213"/>
      <c r="AX2882" s="213"/>
      <c r="AY2882" s="213"/>
      <c r="AZ2882" s="213"/>
      <c r="BA2882" s="213"/>
      <c r="BB2882" s="213"/>
      <c r="BC2882" s="213"/>
      <c r="BD2882" s="213"/>
    </row>
    <row r="2883">
      <c r="A2883" s="213"/>
      <c r="B2883" s="213"/>
      <c r="C2883" s="213"/>
      <c r="D2883" s="213"/>
      <c r="E2883" s="213"/>
      <c r="F2883" s="213"/>
      <c r="G2883" s="213"/>
      <c r="H2883" s="213"/>
      <c r="I2883" s="213"/>
      <c r="J2883" s="213"/>
      <c r="K2883" s="213"/>
      <c r="L2883" s="213"/>
      <c r="M2883" s="213"/>
      <c r="N2883" s="213"/>
      <c r="O2883" s="213"/>
      <c r="P2883" s="213"/>
      <c r="Q2883" s="213"/>
      <c r="R2883" s="213"/>
      <c r="S2883" s="213"/>
      <c r="T2883" s="213"/>
      <c r="U2883" s="213"/>
      <c r="V2883" s="213"/>
      <c r="W2883" s="213"/>
      <c r="X2883" s="213"/>
      <c r="Y2883" s="213"/>
      <c r="Z2883" s="213"/>
      <c r="AA2883" s="213"/>
      <c r="AB2883" s="213"/>
      <c r="AC2883" s="213"/>
      <c r="AD2883" s="213"/>
      <c r="AE2883" s="213"/>
      <c r="AF2883" s="213"/>
      <c r="AG2883" s="213"/>
      <c r="AH2883" s="213"/>
      <c r="AI2883" s="213"/>
      <c r="AJ2883" s="213"/>
      <c r="AK2883" s="213"/>
      <c r="AL2883" s="213"/>
      <c r="AM2883" s="213"/>
      <c r="AN2883" s="213"/>
      <c r="AO2883" s="213"/>
      <c r="AP2883" s="213"/>
      <c r="AQ2883" s="213"/>
      <c r="AR2883" s="213"/>
      <c r="AS2883" s="213"/>
      <c r="AT2883" s="213"/>
      <c r="AU2883" s="213"/>
      <c r="AV2883" s="213"/>
      <c r="AW2883" s="213"/>
      <c r="AX2883" s="213"/>
      <c r="AY2883" s="213"/>
      <c r="AZ2883" s="213"/>
      <c r="BA2883" s="213"/>
      <c r="BB2883" s="213"/>
      <c r="BC2883" s="213"/>
      <c r="BD2883" s="213"/>
    </row>
    <row r="2884">
      <c r="A2884" s="213"/>
      <c r="B2884" s="213"/>
      <c r="C2884" s="213"/>
      <c r="D2884" s="213"/>
      <c r="E2884" s="213"/>
      <c r="F2884" s="213"/>
      <c r="G2884" s="213"/>
      <c r="H2884" s="213"/>
      <c r="I2884" s="213"/>
      <c r="J2884" s="213"/>
      <c r="K2884" s="213"/>
      <c r="L2884" s="213"/>
      <c r="M2884" s="213"/>
      <c r="N2884" s="213"/>
      <c r="O2884" s="213"/>
      <c r="P2884" s="213"/>
      <c r="Q2884" s="213"/>
      <c r="R2884" s="213"/>
      <c r="S2884" s="213"/>
      <c r="T2884" s="213"/>
      <c r="U2884" s="213"/>
      <c r="V2884" s="213"/>
      <c r="W2884" s="213"/>
      <c r="X2884" s="213"/>
      <c r="Y2884" s="213"/>
      <c r="Z2884" s="213"/>
      <c r="AA2884" s="213"/>
      <c r="AB2884" s="213"/>
      <c r="AC2884" s="213"/>
      <c r="AD2884" s="213"/>
      <c r="AE2884" s="213"/>
      <c r="AF2884" s="213"/>
      <c r="AG2884" s="213"/>
      <c r="AH2884" s="213"/>
      <c r="AI2884" s="213"/>
      <c r="AJ2884" s="213"/>
      <c r="AK2884" s="213"/>
      <c r="AL2884" s="213"/>
      <c r="AM2884" s="213"/>
      <c r="AN2884" s="213"/>
      <c r="AO2884" s="213"/>
      <c r="AP2884" s="213"/>
      <c r="AQ2884" s="213"/>
      <c r="AR2884" s="213"/>
      <c r="AS2884" s="213"/>
      <c r="AT2884" s="213"/>
      <c r="AU2884" s="213"/>
      <c r="AV2884" s="213"/>
      <c r="AW2884" s="213"/>
      <c r="AX2884" s="213"/>
      <c r="AY2884" s="213"/>
      <c r="AZ2884" s="213"/>
      <c r="BA2884" s="213"/>
      <c r="BB2884" s="213"/>
      <c r="BC2884" s="213"/>
      <c r="BD2884" s="213"/>
    </row>
    <row r="2885">
      <c r="A2885" s="213"/>
      <c r="B2885" s="213"/>
      <c r="C2885" s="213"/>
      <c r="D2885" s="213"/>
      <c r="E2885" s="213"/>
      <c r="F2885" s="213"/>
      <c r="G2885" s="213"/>
      <c r="H2885" s="213"/>
      <c r="I2885" s="213"/>
      <c r="J2885" s="213"/>
      <c r="K2885" s="213"/>
      <c r="L2885" s="213"/>
      <c r="M2885" s="213"/>
      <c r="N2885" s="213"/>
      <c r="O2885" s="213"/>
      <c r="P2885" s="213"/>
      <c r="Q2885" s="213"/>
      <c r="R2885" s="213"/>
      <c r="S2885" s="213"/>
      <c r="T2885" s="213"/>
      <c r="U2885" s="213"/>
      <c r="V2885" s="213"/>
      <c r="W2885" s="213"/>
      <c r="X2885" s="213"/>
      <c r="Y2885" s="213"/>
      <c r="Z2885" s="213"/>
      <c r="AA2885" s="213"/>
      <c r="AB2885" s="213"/>
      <c r="AC2885" s="213"/>
      <c r="AD2885" s="213"/>
      <c r="AE2885" s="213"/>
      <c r="AF2885" s="213"/>
      <c r="AG2885" s="213"/>
      <c r="AH2885" s="213"/>
      <c r="AI2885" s="213"/>
      <c r="AJ2885" s="213"/>
      <c r="AK2885" s="213"/>
      <c r="AL2885" s="213"/>
      <c r="AM2885" s="213"/>
      <c r="AN2885" s="213"/>
      <c r="AO2885" s="213"/>
      <c r="AP2885" s="213"/>
      <c r="AQ2885" s="213"/>
      <c r="AR2885" s="213"/>
      <c r="AS2885" s="213"/>
      <c r="AT2885" s="213"/>
      <c r="AU2885" s="213"/>
      <c r="AV2885" s="213"/>
      <c r="AW2885" s="213"/>
      <c r="AX2885" s="213"/>
      <c r="AY2885" s="213"/>
      <c r="AZ2885" s="213"/>
      <c r="BA2885" s="213"/>
      <c r="BB2885" s="213"/>
      <c r="BC2885" s="213"/>
      <c r="BD2885" s="213"/>
    </row>
    <row r="2886">
      <c r="A2886" s="213"/>
      <c r="B2886" s="213"/>
      <c r="C2886" s="213"/>
      <c r="D2886" s="213"/>
      <c r="E2886" s="213"/>
      <c r="F2886" s="213"/>
      <c r="G2886" s="213"/>
      <c r="H2886" s="213"/>
      <c r="I2886" s="213"/>
      <c r="J2886" s="213"/>
      <c r="K2886" s="213"/>
      <c r="L2886" s="213"/>
      <c r="M2886" s="213"/>
      <c r="N2886" s="213"/>
      <c r="O2886" s="213"/>
      <c r="P2886" s="213"/>
      <c r="Q2886" s="213"/>
      <c r="R2886" s="213"/>
      <c r="S2886" s="213"/>
      <c r="T2886" s="213"/>
      <c r="U2886" s="213"/>
      <c r="V2886" s="213"/>
      <c r="W2886" s="213"/>
      <c r="X2886" s="213"/>
      <c r="Y2886" s="213"/>
      <c r="Z2886" s="213"/>
      <c r="AA2886" s="213"/>
      <c r="AB2886" s="213"/>
      <c r="AC2886" s="213"/>
      <c r="AD2886" s="213"/>
      <c r="AE2886" s="213"/>
      <c r="AF2886" s="213"/>
      <c r="AG2886" s="213"/>
      <c r="AH2886" s="213"/>
      <c r="AI2886" s="213"/>
      <c r="AJ2886" s="213"/>
      <c r="AK2886" s="213"/>
      <c r="AL2886" s="213"/>
      <c r="AM2886" s="213"/>
      <c r="AN2886" s="213"/>
      <c r="AO2886" s="213"/>
      <c r="AP2886" s="213"/>
      <c r="AQ2886" s="213"/>
      <c r="AR2886" s="213"/>
      <c r="AS2886" s="213"/>
      <c r="AT2886" s="213"/>
      <c r="AU2886" s="213"/>
      <c r="AV2886" s="213"/>
      <c r="AW2886" s="213"/>
      <c r="AX2886" s="213"/>
      <c r="AY2886" s="213"/>
      <c r="AZ2886" s="213"/>
      <c r="BA2886" s="213"/>
      <c r="BB2886" s="213"/>
      <c r="BC2886" s="213"/>
      <c r="BD2886" s="213"/>
    </row>
    <row r="2887">
      <c r="A2887" s="213"/>
      <c r="B2887" s="213"/>
      <c r="C2887" s="213"/>
      <c r="D2887" s="213"/>
      <c r="E2887" s="213"/>
      <c r="F2887" s="213"/>
      <c r="G2887" s="213"/>
      <c r="H2887" s="213"/>
      <c r="I2887" s="213"/>
      <c r="J2887" s="213"/>
      <c r="K2887" s="213"/>
      <c r="L2887" s="213"/>
      <c r="M2887" s="213"/>
      <c r="N2887" s="213"/>
      <c r="O2887" s="213"/>
      <c r="P2887" s="213"/>
      <c r="Q2887" s="213"/>
      <c r="R2887" s="213"/>
      <c r="S2887" s="213"/>
      <c r="T2887" s="213"/>
      <c r="U2887" s="213"/>
      <c r="V2887" s="213"/>
      <c r="W2887" s="213"/>
      <c r="X2887" s="213"/>
      <c r="Y2887" s="213"/>
      <c r="Z2887" s="213"/>
      <c r="AA2887" s="213"/>
      <c r="AB2887" s="213"/>
      <c r="AC2887" s="213"/>
      <c r="AD2887" s="213"/>
      <c r="AE2887" s="213"/>
      <c r="AF2887" s="213"/>
      <c r="AG2887" s="213"/>
      <c r="AH2887" s="213"/>
      <c r="AI2887" s="213"/>
      <c r="AJ2887" s="213"/>
      <c r="AK2887" s="213"/>
      <c r="AL2887" s="213"/>
      <c r="AM2887" s="213"/>
      <c r="AN2887" s="213"/>
      <c r="AO2887" s="213"/>
      <c r="AP2887" s="213"/>
      <c r="AQ2887" s="213"/>
      <c r="AR2887" s="213"/>
      <c r="AS2887" s="213"/>
      <c r="AT2887" s="213"/>
      <c r="AU2887" s="213"/>
      <c r="AV2887" s="213"/>
      <c r="AW2887" s="213"/>
      <c r="AX2887" s="213"/>
      <c r="AY2887" s="213"/>
      <c r="AZ2887" s="213"/>
      <c r="BA2887" s="213"/>
      <c r="BB2887" s="213"/>
      <c r="BC2887" s="213"/>
      <c r="BD2887" s="213"/>
    </row>
    <row r="2888">
      <c r="A2888" s="213"/>
      <c r="B2888" s="213"/>
      <c r="C2888" s="213"/>
      <c r="D2888" s="213"/>
      <c r="E2888" s="213"/>
      <c r="F2888" s="213"/>
      <c r="G2888" s="213"/>
      <c r="H2888" s="213"/>
      <c r="I2888" s="213"/>
      <c r="J2888" s="213"/>
      <c r="K2888" s="213"/>
      <c r="L2888" s="213"/>
      <c r="M2888" s="213"/>
      <c r="N2888" s="213"/>
      <c r="O2888" s="213"/>
      <c r="P2888" s="213"/>
      <c r="Q2888" s="213"/>
      <c r="R2888" s="213"/>
      <c r="S2888" s="213"/>
      <c r="T2888" s="213"/>
      <c r="U2888" s="213"/>
      <c r="V2888" s="213"/>
      <c r="W2888" s="213"/>
      <c r="X2888" s="213"/>
      <c r="Y2888" s="213"/>
      <c r="Z2888" s="213"/>
      <c r="AA2888" s="213"/>
      <c r="AB2888" s="213"/>
      <c r="AC2888" s="213"/>
      <c r="AD2888" s="213"/>
      <c r="AE2888" s="213"/>
      <c r="AF2888" s="213"/>
      <c r="AG2888" s="213"/>
      <c r="AH2888" s="213"/>
      <c r="AI2888" s="213"/>
      <c r="AJ2888" s="213"/>
      <c r="AK2888" s="213"/>
      <c r="AL2888" s="213"/>
      <c r="AM2888" s="213"/>
      <c r="AN2888" s="213"/>
      <c r="AO2888" s="213"/>
      <c r="AP2888" s="213"/>
      <c r="AQ2888" s="213"/>
      <c r="AR2888" s="213"/>
      <c r="AS2888" s="213"/>
      <c r="AT2888" s="213"/>
      <c r="AU2888" s="213"/>
      <c r="AV2888" s="213"/>
      <c r="AW2888" s="213"/>
      <c r="AX2888" s="213"/>
      <c r="AY2888" s="213"/>
      <c r="AZ2888" s="213"/>
      <c r="BA2888" s="213"/>
      <c r="BB2888" s="213"/>
      <c r="BC2888" s="213"/>
      <c r="BD2888" s="213"/>
    </row>
    <row r="2889">
      <c r="A2889" s="213"/>
      <c r="B2889" s="213"/>
      <c r="C2889" s="213"/>
      <c r="D2889" s="213"/>
      <c r="E2889" s="213"/>
      <c r="F2889" s="213"/>
      <c r="G2889" s="213"/>
      <c r="H2889" s="213"/>
      <c r="I2889" s="213"/>
      <c r="J2889" s="213"/>
      <c r="K2889" s="213"/>
      <c r="L2889" s="213"/>
      <c r="M2889" s="213"/>
      <c r="N2889" s="213"/>
      <c r="O2889" s="213"/>
      <c r="P2889" s="213"/>
      <c r="Q2889" s="213"/>
      <c r="R2889" s="213"/>
      <c r="S2889" s="213"/>
      <c r="T2889" s="213"/>
      <c r="U2889" s="213"/>
      <c r="V2889" s="213"/>
      <c r="W2889" s="213"/>
      <c r="X2889" s="213"/>
      <c r="Y2889" s="213"/>
      <c r="Z2889" s="213"/>
      <c r="AA2889" s="213"/>
      <c r="AB2889" s="213"/>
      <c r="AC2889" s="213"/>
      <c r="AD2889" s="213"/>
      <c r="AE2889" s="213"/>
      <c r="AF2889" s="213"/>
      <c r="AG2889" s="213"/>
      <c r="AH2889" s="213"/>
      <c r="AI2889" s="213"/>
      <c r="AJ2889" s="213"/>
      <c r="AK2889" s="213"/>
      <c r="AL2889" s="213"/>
      <c r="AM2889" s="213"/>
      <c r="AN2889" s="213"/>
      <c r="AO2889" s="213"/>
      <c r="AP2889" s="213"/>
      <c r="AQ2889" s="213"/>
      <c r="AR2889" s="213"/>
      <c r="AS2889" s="213"/>
      <c r="AT2889" s="213"/>
      <c r="AU2889" s="213"/>
      <c r="AV2889" s="213"/>
      <c r="AW2889" s="213"/>
      <c r="AX2889" s="213"/>
      <c r="AY2889" s="213"/>
      <c r="AZ2889" s="213"/>
      <c r="BA2889" s="213"/>
      <c r="BB2889" s="213"/>
      <c r="BC2889" s="213"/>
      <c r="BD2889" s="213"/>
    </row>
    <row r="2890">
      <c r="A2890" s="213"/>
      <c r="B2890" s="213"/>
      <c r="C2890" s="213"/>
      <c r="D2890" s="213"/>
      <c r="E2890" s="213"/>
      <c r="F2890" s="213"/>
      <c r="G2890" s="213"/>
      <c r="H2890" s="213"/>
      <c r="I2890" s="213"/>
      <c r="J2890" s="213"/>
      <c r="K2890" s="213"/>
      <c r="L2890" s="213"/>
      <c r="M2890" s="213"/>
      <c r="N2890" s="213"/>
      <c r="O2890" s="213"/>
      <c r="P2890" s="213"/>
      <c r="Q2890" s="213"/>
      <c r="R2890" s="213"/>
      <c r="S2890" s="213"/>
      <c r="T2890" s="213"/>
      <c r="U2890" s="213"/>
      <c r="V2890" s="213"/>
      <c r="W2890" s="213"/>
      <c r="X2890" s="213"/>
      <c r="Y2890" s="213"/>
      <c r="Z2890" s="213"/>
      <c r="AA2890" s="213"/>
      <c r="AB2890" s="213"/>
      <c r="AC2890" s="213"/>
      <c r="AD2890" s="213"/>
      <c r="AE2890" s="213"/>
      <c r="AF2890" s="213"/>
      <c r="AG2890" s="213"/>
      <c r="AH2890" s="213"/>
      <c r="AI2890" s="213"/>
      <c r="AJ2890" s="213"/>
      <c r="AK2890" s="213"/>
      <c r="AL2890" s="213"/>
      <c r="AM2890" s="213"/>
      <c r="AN2890" s="213"/>
      <c r="AO2890" s="213"/>
      <c r="AP2890" s="213"/>
      <c r="AQ2890" s="213"/>
      <c r="AR2890" s="213"/>
      <c r="AS2890" s="213"/>
      <c r="AT2890" s="213"/>
      <c r="AU2890" s="213"/>
      <c r="AV2890" s="213"/>
      <c r="AW2890" s="213"/>
      <c r="AX2890" s="213"/>
      <c r="AY2890" s="213"/>
      <c r="AZ2890" s="213"/>
      <c r="BA2890" s="213"/>
      <c r="BB2890" s="213"/>
      <c r="BC2890" s="213"/>
      <c r="BD2890" s="213"/>
    </row>
    <row r="2891">
      <c r="A2891" s="213"/>
      <c r="B2891" s="213"/>
      <c r="C2891" s="213"/>
      <c r="D2891" s="213"/>
      <c r="E2891" s="213"/>
      <c r="F2891" s="213"/>
      <c r="G2891" s="213"/>
      <c r="H2891" s="213"/>
      <c r="I2891" s="213"/>
      <c r="J2891" s="213"/>
      <c r="K2891" s="213"/>
      <c r="L2891" s="213"/>
      <c r="M2891" s="213"/>
      <c r="N2891" s="213"/>
      <c r="O2891" s="213"/>
      <c r="P2891" s="213"/>
      <c r="Q2891" s="213"/>
      <c r="R2891" s="213"/>
      <c r="S2891" s="213"/>
      <c r="T2891" s="213"/>
      <c r="U2891" s="213"/>
      <c r="V2891" s="213"/>
      <c r="W2891" s="213"/>
      <c r="X2891" s="213"/>
      <c r="Y2891" s="213"/>
      <c r="Z2891" s="213"/>
      <c r="AA2891" s="213"/>
      <c r="AB2891" s="213"/>
      <c r="AC2891" s="213"/>
      <c r="AD2891" s="213"/>
      <c r="AE2891" s="213"/>
      <c r="AF2891" s="213"/>
      <c r="AG2891" s="213"/>
      <c r="AH2891" s="213"/>
      <c r="AI2891" s="213"/>
      <c r="AJ2891" s="213"/>
      <c r="AK2891" s="213"/>
      <c r="AL2891" s="213"/>
      <c r="AM2891" s="213"/>
      <c r="AN2891" s="213"/>
      <c r="AO2891" s="213"/>
      <c r="AP2891" s="213"/>
      <c r="AQ2891" s="213"/>
      <c r="AR2891" s="213"/>
      <c r="AS2891" s="213"/>
      <c r="AT2891" s="213"/>
      <c r="AU2891" s="213"/>
      <c r="AV2891" s="213"/>
      <c r="AW2891" s="213"/>
      <c r="AX2891" s="213"/>
      <c r="AY2891" s="213"/>
      <c r="AZ2891" s="213"/>
      <c r="BA2891" s="213"/>
      <c r="BB2891" s="213"/>
      <c r="BC2891" s="213"/>
      <c r="BD2891" s="213"/>
    </row>
    <row r="2892">
      <c r="A2892" s="213"/>
      <c r="B2892" s="213"/>
      <c r="C2892" s="213"/>
      <c r="D2892" s="213"/>
      <c r="E2892" s="213"/>
      <c r="F2892" s="213"/>
      <c r="G2892" s="213"/>
      <c r="H2892" s="213"/>
      <c r="I2892" s="213"/>
      <c r="J2892" s="213"/>
      <c r="K2892" s="213"/>
      <c r="L2892" s="213"/>
      <c r="M2892" s="213"/>
      <c r="N2892" s="213"/>
      <c r="O2892" s="213"/>
      <c r="P2892" s="213"/>
      <c r="Q2892" s="213"/>
      <c r="R2892" s="213"/>
      <c r="S2892" s="213"/>
      <c r="T2892" s="213"/>
      <c r="U2892" s="213"/>
      <c r="V2892" s="213"/>
      <c r="W2892" s="213"/>
      <c r="X2892" s="213"/>
      <c r="Y2892" s="213"/>
      <c r="Z2892" s="213"/>
      <c r="AA2892" s="213"/>
      <c r="AB2892" s="213"/>
      <c r="AC2892" s="213"/>
      <c r="AD2892" s="213"/>
      <c r="AE2892" s="213"/>
      <c r="AF2892" s="213"/>
      <c r="AG2892" s="213"/>
      <c r="AH2892" s="213"/>
      <c r="AI2892" s="213"/>
      <c r="AJ2892" s="213"/>
      <c r="AK2892" s="213"/>
      <c r="AL2892" s="213"/>
      <c r="AM2892" s="213"/>
      <c r="AN2892" s="213"/>
      <c r="AO2892" s="213"/>
      <c r="AP2892" s="213"/>
      <c r="AQ2892" s="213"/>
      <c r="AR2892" s="213"/>
      <c r="AS2892" s="213"/>
      <c r="AT2892" s="213"/>
      <c r="AU2892" s="213"/>
      <c r="AV2892" s="213"/>
      <c r="AW2892" s="213"/>
      <c r="AX2892" s="213"/>
      <c r="AY2892" s="213"/>
      <c r="AZ2892" s="213"/>
      <c r="BA2892" s="213"/>
      <c r="BB2892" s="213"/>
      <c r="BC2892" s="213"/>
      <c r="BD2892" s="213"/>
    </row>
    <row r="2893">
      <c r="A2893" s="213"/>
      <c r="B2893" s="213"/>
      <c r="C2893" s="213"/>
      <c r="D2893" s="213"/>
      <c r="E2893" s="213"/>
      <c r="F2893" s="213"/>
      <c r="G2893" s="213"/>
      <c r="H2893" s="213"/>
      <c r="I2893" s="213"/>
      <c r="J2893" s="213"/>
      <c r="K2893" s="213"/>
      <c r="L2893" s="213"/>
      <c r="M2893" s="213"/>
      <c r="N2893" s="213"/>
      <c r="O2893" s="213"/>
      <c r="P2893" s="213"/>
      <c r="Q2893" s="213"/>
      <c r="R2893" s="213"/>
      <c r="S2893" s="213"/>
      <c r="T2893" s="213"/>
      <c r="U2893" s="213"/>
      <c r="V2893" s="213"/>
      <c r="W2893" s="213"/>
      <c r="X2893" s="213"/>
      <c r="Y2893" s="213"/>
      <c r="Z2893" s="213"/>
      <c r="AA2893" s="213"/>
      <c r="AB2893" s="213"/>
      <c r="AC2893" s="213"/>
      <c r="AD2893" s="213"/>
      <c r="AE2893" s="213"/>
      <c r="AF2893" s="213"/>
      <c r="AG2893" s="213"/>
      <c r="AH2893" s="213"/>
      <c r="AI2893" s="213"/>
      <c r="AJ2893" s="213"/>
      <c r="AK2893" s="213"/>
      <c r="AL2893" s="213"/>
      <c r="AM2893" s="213"/>
      <c r="AN2893" s="213"/>
      <c r="AO2893" s="213"/>
      <c r="AP2893" s="213"/>
      <c r="AQ2893" s="213"/>
      <c r="AR2893" s="213"/>
      <c r="AS2893" s="213"/>
      <c r="AT2893" s="213"/>
      <c r="AU2893" s="213"/>
      <c r="AV2893" s="213"/>
      <c r="AW2893" s="213"/>
      <c r="AX2893" s="213"/>
      <c r="AY2893" s="213"/>
      <c r="AZ2893" s="213"/>
      <c r="BA2893" s="213"/>
      <c r="BB2893" s="213"/>
      <c r="BC2893" s="213"/>
      <c r="BD2893" s="213"/>
    </row>
    <row r="2894">
      <c r="A2894" s="213"/>
      <c r="B2894" s="213"/>
      <c r="C2894" s="213"/>
      <c r="D2894" s="213"/>
      <c r="E2894" s="213"/>
      <c r="F2894" s="213"/>
      <c r="G2894" s="213"/>
      <c r="H2894" s="213"/>
      <c r="I2894" s="213"/>
      <c r="J2894" s="213"/>
      <c r="K2894" s="213"/>
      <c r="L2894" s="213"/>
      <c r="M2894" s="213"/>
      <c r="N2894" s="213"/>
      <c r="O2894" s="213"/>
      <c r="P2894" s="213"/>
      <c r="Q2894" s="213"/>
      <c r="R2894" s="213"/>
      <c r="S2894" s="213"/>
      <c r="T2894" s="213"/>
      <c r="U2894" s="213"/>
      <c r="V2894" s="213"/>
      <c r="W2894" s="213"/>
      <c r="X2894" s="213"/>
      <c r="Y2894" s="213"/>
      <c r="Z2894" s="213"/>
      <c r="AA2894" s="213"/>
      <c r="AB2894" s="213"/>
      <c r="AC2894" s="213"/>
      <c r="AD2894" s="213"/>
      <c r="AE2894" s="213"/>
      <c r="AF2894" s="213"/>
      <c r="AG2894" s="213"/>
      <c r="AH2894" s="213"/>
      <c r="AI2894" s="213"/>
      <c r="AJ2894" s="213"/>
      <c r="AK2894" s="213"/>
      <c r="AL2894" s="213"/>
      <c r="AM2894" s="213"/>
      <c r="AN2894" s="213"/>
      <c r="AO2894" s="213"/>
      <c r="AP2894" s="213"/>
      <c r="AQ2894" s="213"/>
      <c r="AR2894" s="213"/>
      <c r="AS2894" s="213"/>
      <c r="AT2894" s="213"/>
      <c r="AU2894" s="213"/>
      <c r="AV2894" s="213"/>
      <c r="AW2894" s="213"/>
      <c r="AX2894" s="213"/>
      <c r="AY2894" s="213"/>
      <c r="AZ2894" s="213"/>
      <c r="BA2894" s="213"/>
      <c r="BB2894" s="213"/>
      <c r="BC2894" s="213"/>
      <c r="BD2894" s="213"/>
    </row>
    <row r="2895">
      <c r="A2895" s="213"/>
      <c r="B2895" s="213"/>
      <c r="C2895" s="213"/>
      <c r="D2895" s="213"/>
      <c r="E2895" s="213"/>
      <c r="F2895" s="213"/>
      <c r="G2895" s="213"/>
      <c r="H2895" s="213"/>
      <c r="I2895" s="213"/>
      <c r="J2895" s="213"/>
      <c r="K2895" s="213"/>
      <c r="L2895" s="213"/>
      <c r="M2895" s="213"/>
      <c r="N2895" s="213"/>
      <c r="O2895" s="213"/>
      <c r="P2895" s="213"/>
      <c r="Q2895" s="213"/>
      <c r="R2895" s="213"/>
      <c r="S2895" s="213"/>
      <c r="T2895" s="213"/>
      <c r="U2895" s="213"/>
      <c r="V2895" s="213"/>
      <c r="W2895" s="213"/>
      <c r="X2895" s="213"/>
      <c r="Y2895" s="213"/>
      <c r="Z2895" s="213"/>
      <c r="AA2895" s="213"/>
      <c r="AB2895" s="213"/>
      <c r="AC2895" s="213"/>
      <c r="AD2895" s="213"/>
      <c r="AE2895" s="213"/>
      <c r="AF2895" s="213"/>
      <c r="AG2895" s="213"/>
      <c r="AH2895" s="213"/>
      <c r="AI2895" s="213"/>
      <c r="AJ2895" s="213"/>
      <c r="AK2895" s="213"/>
      <c r="AL2895" s="213"/>
      <c r="AM2895" s="213"/>
      <c r="AN2895" s="213"/>
      <c r="AO2895" s="213"/>
      <c r="AP2895" s="213"/>
      <c r="AQ2895" s="213"/>
      <c r="AR2895" s="213"/>
      <c r="AS2895" s="213"/>
      <c r="AT2895" s="213"/>
      <c r="AU2895" s="213"/>
      <c r="AV2895" s="213"/>
      <c r="AW2895" s="213"/>
      <c r="AX2895" s="213"/>
      <c r="AY2895" s="213"/>
      <c r="AZ2895" s="213"/>
      <c r="BA2895" s="213"/>
      <c r="BB2895" s="213"/>
      <c r="BC2895" s="213"/>
      <c r="BD2895" s="213"/>
    </row>
    <row r="2896">
      <c r="A2896" s="213"/>
      <c r="B2896" s="213"/>
      <c r="C2896" s="213"/>
      <c r="D2896" s="213"/>
      <c r="E2896" s="213"/>
      <c r="F2896" s="213"/>
      <c r="G2896" s="213"/>
      <c r="H2896" s="213"/>
      <c r="I2896" s="213"/>
      <c r="J2896" s="213"/>
      <c r="K2896" s="213"/>
      <c r="L2896" s="213"/>
      <c r="M2896" s="213"/>
      <c r="N2896" s="213"/>
      <c r="O2896" s="213"/>
      <c r="P2896" s="213"/>
      <c r="Q2896" s="213"/>
      <c r="R2896" s="213"/>
      <c r="S2896" s="213"/>
      <c r="T2896" s="213"/>
      <c r="U2896" s="213"/>
      <c r="V2896" s="213"/>
      <c r="W2896" s="213"/>
      <c r="X2896" s="213"/>
      <c r="Y2896" s="213"/>
      <c r="Z2896" s="213"/>
      <c r="AA2896" s="213"/>
      <c r="AB2896" s="213"/>
      <c r="AC2896" s="213"/>
      <c r="AD2896" s="213"/>
      <c r="AE2896" s="213"/>
      <c r="AF2896" s="213"/>
      <c r="AG2896" s="213"/>
      <c r="AH2896" s="213"/>
      <c r="AI2896" s="213"/>
      <c r="AJ2896" s="213"/>
      <c r="AK2896" s="213"/>
      <c r="AL2896" s="213"/>
      <c r="AM2896" s="213"/>
      <c r="AN2896" s="213"/>
      <c r="AO2896" s="213"/>
      <c r="AP2896" s="213"/>
      <c r="AQ2896" s="213"/>
      <c r="AR2896" s="213"/>
      <c r="AS2896" s="213"/>
      <c r="AT2896" s="213"/>
      <c r="AU2896" s="213"/>
      <c r="AV2896" s="213"/>
      <c r="AW2896" s="213"/>
      <c r="AX2896" s="213"/>
      <c r="AY2896" s="213"/>
      <c r="AZ2896" s="213"/>
      <c r="BA2896" s="213"/>
      <c r="BB2896" s="213"/>
      <c r="BC2896" s="213"/>
      <c r="BD2896" s="213"/>
    </row>
    <row r="2897">
      <c r="A2897" s="213"/>
      <c r="B2897" s="213"/>
      <c r="C2897" s="213"/>
      <c r="D2897" s="213"/>
      <c r="E2897" s="213"/>
      <c r="F2897" s="213"/>
      <c r="G2897" s="213"/>
      <c r="H2897" s="213"/>
      <c r="I2897" s="213"/>
      <c r="J2897" s="213"/>
      <c r="K2897" s="213"/>
      <c r="L2897" s="213"/>
      <c r="M2897" s="213"/>
      <c r="N2897" s="213"/>
      <c r="O2897" s="213"/>
      <c r="P2897" s="213"/>
      <c r="Q2897" s="213"/>
      <c r="R2897" s="213"/>
      <c r="S2897" s="213"/>
      <c r="T2897" s="213"/>
      <c r="U2897" s="213"/>
      <c r="V2897" s="213"/>
      <c r="W2897" s="213"/>
      <c r="X2897" s="213"/>
      <c r="Y2897" s="213"/>
      <c r="Z2897" s="213"/>
      <c r="AA2897" s="213"/>
      <c r="AB2897" s="213"/>
      <c r="AC2897" s="213"/>
      <c r="AD2897" s="213"/>
      <c r="AE2897" s="213"/>
      <c r="AF2897" s="213"/>
      <c r="AG2897" s="213"/>
      <c r="AH2897" s="213"/>
      <c r="AI2897" s="213"/>
      <c r="AJ2897" s="213"/>
      <c r="AK2897" s="213"/>
      <c r="AL2897" s="213"/>
      <c r="AM2897" s="213"/>
      <c r="AN2897" s="213"/>
      <c r="AO2897" s="213"/>
      <c r="AP2897" s="213"/>
      <c r="AQ2897" s="213"/>
      <c r="AR2897" s="213"/>
      <c r="AS2897" s="213"/>
      <c r="AT2897" s="213"/>
      <c r="AU2897" s="213"/>
      <c r="AV2897" s="213"/>
      <c r="AW2897" s="213"/>
      <c r="AX2897" s="213"/>
      <c r="AY2897" s="213"/>
      <c r="AZ2897" s="213"/>
      <c r="BA2897" s="213"/>
      <c r="BB2897" s="213"/>
      <c r="BC2897" s="213"/>
      <c r="BD2897" s="213"/>
    </row>
    <row r="2898">
      <c r="A2898" s="213"/>
      <c r="B2898" s="213"/>
      <c r="C2898" s="213"/>
      <c r="D2898" s="213"/>
      <c r="E2898" s="213"/>
      <c r="F2898" s="213"/>
      <c r="G2898" s="213"/>
      <c r="H2898" s="213"/>
      <c r="I2898" s="213"/>
      <c r="J2898" s="213"/>
      <c r="K2898" s="213"/>
      <c r="L2898" s="213"/>
      <c r="M2898" s="213"/>
      <c r="N2898" s="213"/>
      <c r="O2898" s="213"/>
      <c r="P2898" s="213"/>
      <c r="Q2898" s="213"/>
      <c r="R2898" s="213"/>
      <c r="S2898" s="213"/>
      <c r="T2898" s="213"/>
      <c r="U2898" s="213"/>
      <c r="V2898" s="213"/>
      <c r="W2898" s="213"/>
      <c r="X2898" s="213"/>
      <c r="Y2898" s="213"/>
      <c r="Z2898" s="213"/>
      <c r="AA2898" s="213"/>
      <c r="AB2898" s="213"/>
      <c r="AC2898" s="213"/>
      <c r="AD2898" s="213"/>
      <c r="AE2898" s="213"/>
      <c r="AF2898" s="213"/>
      <c r="AG2898" s="213"/>
      <c r="AH2898" s="213"/>
      <c r="AI2898" s="213"/>
      <c r="AJ2898" s="213"/>
      <c r="AK2898" s="213"/>
      <c r="AL2898" s="213"/>
      <c r="AM2898" s="213"/>
      <c r="AN2898" s="213"/>
      <c r="AO2898" s="213"/>
      <c r="AP2898" s="213"/>
      <c r="AQ2898" s="213"/>
      <c r="AR2898" s="213"/>
      <c r="AS2898" s="213"/>
      <c r="AT2898" s="213"/>
      <c r="AU2898" s="213"/>
      <c r="AV2898" s="213"/>
      <c r="AW2898" s="213"/>
      <c r="AX2898" s="213"/>
      <c r="AY2898" s="213"/>
      <c r="AZ2898" s="213"/>
      <c r="BA2898" s="213"/>
      <c r="BB2898" s="213"/>
      <c r="BC2898" s="213"/>
      <c r="BD2898" s="213"/>
    </row>
    <row r="2899">
      <c r="A2899" s="213"/>
      <c r="B2899" s="213"/>
      <c r="C2899" s="213"/>
      <c r="D2899" s="213"/>
      <c r="E2899" s="213"/>
      <c r="F2899" s="213"/>
      <c r="G2899" s="213"/>
      <c r="H2899" s="213"/>
      <c r="I2899" s="213"/>
      <c r="J2899" s="213"/>
      <c r="K2899" s="213"/>
      <c r="L2899" s="213"/>
      <c r="M2899" s="213"/>
      <c r="N2899" s="213"/>
      <c r="O2899" s="213"/>
      <c r="P2899" s="213"/>
      <c r="Q2899" s="213"/>
      <c r="R2899" s="213"/>
      <c r="S2899" s="213"/>
      <c r="T2899" s="213"/>
      <c r="U2899" s="213"/>
      <c r="V2899" s="213"/>
      <c r="W2899" s="213"/>
      <c r="X2899" s="213"/>
      <c r="Y2899" s="213"/>
      <c r="Z2899" s="213"/>
      <c r="AA2899" s="213"/>
      <c r="AB2899" s="213"/>
      <c r="AC2899" s="213"/>
      <c r="AD2899" s="213"/>
      <c r="AE2899" s="213"/>
      <c r="AF2899" s="213"/>
      <c r="AG2899" s="213"/>
      <c r="AH2899" s="213"/>
      <c r="AI2899" s="213"/>
      <c r="AJ2899" s="213"/>
      <c r="AK2899" s="213"/>
      <c r="AL2899" s="213"/>
      <c r="AM2899" s="213"/>
      <c r="AN2899" s="213"/>
      <c r="AO2899" s="213"/>
      <c r="AP2899" s="213"/>
      <c r="AQ2899" s="213"/>
      <c r="AR2899" s="213"/>
      <c r="AS2899" s="213"/>
      <c r="AT2899" s="213"/>
      <c r="AU2899" s="213"/>
      <c r="AV2899" s="213"/>
      <c r="AW2899" s="213"/>
      <c r="AX2899" s="213"/>
      <c r="AY2899" s="213"/>
      <c r="AZ2899" s="213"/>
      <c r="BA2899" s="213"/>
      <c r="BB2899" s="213"/>
      <c r="BC2899" s="213"/>
      <c r="BD2899" s="213"/>
    </row>
    <row r="2900">
      <c r="A2900" s="213"/>
      <c r="B2900" s="213"/>
      <c r="C2900" s="213"/>
      <c r="D2900" s="213"/>
      <c r="E2900" s="213"/>
      <c r="F2900" s="213"/>
      <c r="G2900" s="213"/>
      <c r="H2900" s="213"/>
      <c r="I2900" s="213"/>
      <c r="J2900" s="213"/>
      <c r="K2900" s="213"/>
      <c r="L2900" s="213"/>
      <c r="M2900" s="213"/>
      <c r="N2900" s="213"/>
      <c r="O2900" s="213"/>
      <c r="P2900" s="213"/>
      <c r="Q2900" s="213"/>
      <c r="R2900" s="213"/>
      <c r="S2900" s="213"/>
      <c r="T2900" s="213"/>
      <c r="U2900" s="213"/>
      <c r="V2900" s="213"/>
      <c r="W2900" s="213"/>
      <c r="X2900" s="213"/>
      <c r="Y2900" s="213"/>
      <c r="Z2900" s="213"/>
      <c r="AA2900" s="213"/>
      <c r="AB2900" s="213"/>
      <c r="AC2900" s="213"/>
      <c r="AD2900" s="213"/>
      <c r="AE2900" s="213"/>
      <c r="AF2900" s="213"/>
      <c r="AG2900" s="213"/>
      <c r="AH2900" s="213"/>
      <c r="AI2900" s="213"/>
      <c r="AJ2900" s="213"/>
      <c r="AK2900" s="213"/>
      <c r="AL2900" s="213"/>
      <c r="AM2900" s="213"/>
      <c r="AN2900" s="213"/>
      <c r="AO2900" s="213"/>
      <c r="AP2900" s="213"/>
      <c r="AQ2900" s="213"/>
      <c r="AR2900" s="213"/>
      <c r="AS2900" s="213"/>
      <c r="AT2900" s="213"/>
      <c r="AU2900" s="213"/>
      <c r="AV2900" s="213"/>
      <c r="AW2900" s="213"/>
      <c r="AX2900" s="213"/>
      <c r="AY2900" s="213"/>
      <c r="AZ2900" s="213"/>
      <c r="BA2900" s="213"/>
      <c r="BB2900" s="213"/>
      <c r="BC2900" s="213"/>
      <c r="BD2900" s="213"/>
    </row>
    <row r="2901">
      <c r="A2901" s="213"/>
      <c r="B2901" s="213"/>
      <c r="C2901" s="213"/>
      <c r="D2901" s="213"/>
      <c r="E2901" s="213"/>
      <c r="F2901" s="213"/>
      <c r="G2901" s="213"/>
      <c r="H2901" s="213"/>
      <c r="I2901" s="213"/>
      <c r="J2901" s="213"/>
      <c r="K2901" s="213"/>
      <c r="L2901" s="213"/>
      <c r="M2901" s="213"/>
      <c r="N2901" s="213"/>
      <c r="O2901" s="213"/>
      <c r="P2901" s="213"/>
      <c r="Q2901" s="213"/>
      <c r="R2901" s="213"/>
      <c r="S2901" s="213"/>
      <c r="T2901" s="213"/>
      <c r="U2901" s="213"/>
      <c r="V2901" s="213"/>
      <c r="W2901" s="213"/>
      <c r="X2901" s="213"/>
      <c r="Y2901" s="213"/>
      <c r="Z2901" s="213"/>
      <c r="AA2901" s="213"/>
      <c r="AB2901" s="213"/>
      <c r="AC2901" s="213"/>
      <c r="AD2901" s="213"/>
      <c r="AE2901" s="213"/>
      <c r="AF2901" s="213"/>
      <c r="AG2901" s="213"/>
      <c r="AH2901" s="213"/>
      <c r="AI2901" s="213"/>
      <c r="AJ2901" s="213"/>
      <c r="AK2901" s="213"/>
      <c r="AL2901" s="213"/>
      <c r="AM2901" s="213"/>
      <c r="AN2901" s="213"/>
      <c r="AO2901" s="213"/>
      <c r="AP2901" s="213"/>
      <c r="AQ2901" s="213"/>
      <c r="AR2901" s="213"/>
      <c r="AS2901" s="213"/>
      <c r="AT2901" s="213"/>
      <c r="AU2901" s="213"/>
      <c r="AV2901" s="213"/>
      <c r="AW2901" s="213"/>
      <c r="AX2901" s="213"/>
      <c r="AY2901" s="213"/>
      <c r="AZ2901" s="213"/>
      <c r="BA2901" s="213"/>
      <c r="BB2901" s="213"/>
      <c r="BC2901" s="213"/>
      <c r="BD2901" s="213"/>
    </row>
    <row r="2902">
      <c r="A2902" s="213"/>
      <c r="B2902" s="213"/>
      <c r="C2902" s="213"/>
      <c r="D2902" s="213"/>
      <c r="E2902" s="213"/>
      <c r="F2902" s="213"/>
      <c r="G2902" s="213"/>
      <c r="H2902" s="213"/>
      <c r="I2902" s="213"/>
      <c r="J2902" s="213"/>
      <c r="K2902" s="213"/>
      <c r="L2902" s="213"/>
      <c r="M2902" s="213"/>
      <c r="N2902" s="213"/>
      <c r="O2902" s="213"/>
      <c r="P2902" s="213"/>
      <c r="Q2902" s="213"/>
      <c r="R2902" s="213"/>
      <c r="S2902" s="213"/>
      <c r="T2902" s="213"/>
      <c r="U2902" s="213"/>
      <c r="V2902" s="213"/>
      <c r="W2902" s="213"/>
      <c r="X2902" s="213"/>
      <c r="Y2902" s="213"/>
      <c r="Z2902" s="213"/>
      <c r="AA2902" s="213"/>
      <c r="AB2902" s="213"/>
      <c r="AC2902" s="213"/>
      <c r="AD2902" s="213"/>
      <c r="AE2902" s="213"/>
      <c r="AF2902" s="213"/>
      <c r="AG2902" s="213"/>
      <c r="AH2902" s="213"/>
      <c r="AI2902" s="213"/>
      <c r="AJ2902" s="213"/>
      <c r="AK2902" s="213"/>
      <c r="AL2902" s="213"/>
      <c r="AM2902" s="213"/>
      <c r="AN2902" s="213"/>
      <c r="AO2902" s="213"/>
      <c r="AP2902" s="213"/>
      <c r="AQ2902" s="213"/>
      <c r="AR2902" s="213"/>
      <c r="AS2902" s="213"/>
      <c r="AT2902" s="213"/>
      <c r="AU2902" s="213"/>
      <c r="AV2902" s="213"/>
      <c r="AW2902" s="213"/>
      <c r="AX2902" s="213"/>
      <c r="AY2902" s="213"/>
      <c r="AZ2902" s="213"/>
      <c r="BA2902" s="213"/>
      <c r="BB2902" s="213"/>
      <c r="BC2902" s="213"/>
      <c r="BD2902" s="213"/>
    </row>
    <row r="2903">
      <c r="A2903" s="213"/>
      <c r="B2903" s="213"/>
      <c r="C2903" s="213"/>
      <c r="D2903" s="213"/>
      <c r="E2903" s="213"/>
      <c r="F2903" s="213"/>
      <c r="G2903" s="213"/>
      <c r="H2903" s="213"/>
      <c r="I2903" s="213"/>
      <c r="J2903" s="213"/>
      <c r="K2903" s="213"/>
      <c r="L2903" s="213"/>
      <c r="M2903" s="213"/>
      <c r="N2903" s="213"/>
      <c r="O2903" s="213"/>
      <c r="P2903" s="213"/>
      <c r="Q2903" s="213"/>
      <c r="R2903" s="213"/>
      <c r="S2903" s="213"/>
      <c r="T2903" s="213"/>
      <c r="U2903" s="213"/>
      <c r="V2903" s="213"/>
      <c r="W2903" s="213"/>
      <c r="X2903" s="213"/>
      <c r="Y2903" s="213"/>
      <c r="Z2903" s="213"/>
      <c r="AA2903" s="213"/>
      <c r="AB2903" s="213"/>
      <c r="AC2903" s="213"/>
      <c r="AD2903" s="213"/>
      <c r="AE2903" s="213"/>
      <c r="AF2903" s="213"/>
      <c r="AG2903" s="213"/>
      <c r="AH2903" s="213"/>
      <c r="AI2903" s="213"/>
      <c r="AJ2903" s="213"/>
      <c r="AK2903" s="213"/>
      <c r="AL2903" s="213"/>
      <c r="AM2903" s="213"/>
      <c r="AN2903" s="213"/>
      <c r="AO2903" s="213"/>
      <c r="AP2903" s="213"/>
      <c r="AQ2903" s="213"/>
      <c r="AR2903" s="213"/>
      <c r="AS2903" s="213"/>
      <c r="AT2903" s="213"/>
      <c r="AU2903" s="213"/>
      <c r="AV2903" s="213"/>
      <c r="AW2903" s="213"/>
      <c r="AX2903" s="213"/>
      <c r="AY2903" s="213"/>
      <c r="AZ2903" s="213"/>
      <c r="BA2903" s="213"/>
      <c r="BB2903" s="213"/>
      <c r="BC2903" s="213"/>
      <c r="BD2903" s="213"/>
    </row>
    <row r="2904">
      <c r="A2904" s="213"/>
      <c r="B2904" s="213"/>
      <c r="C2904" s="213"/>
      <c r="D2904" s="213"/>
      <c r="E2904" s="213"/>
      <c r="F2904" s="213"/>
      <c r="G2904" s="213"/>
      <c r="H2904" s="213"/>
      <c r="I2904" s="213"/>
      <c r="J2904" s="213"/>
      <c r="K2904" s="213"/>
      <c r="L2904" s="213"/>
      <c r="M2904" s="213"/>
      <c r="N2904" s="213"/>
      <c r="O2904" s="213"/>
      <c r="P2904" s="213"/>
      <c r="Q2904" s="213"/>
      <c r="R2904" s="213"/>
      <c r="S2904" s="213"/>
      <c r="T2904" s="213"/>
      <c r="U2904" s="213"/>
      <c r="V2904" s="213"/>
      <c r="W2904" s="213"/>
      <c r="X2904" s="213"/>
      <c r="Y2904" s="213"/>
      <c r="Z2904" s="213"/>
      <c r="AA2904" s="213"/>
      <c r="AB2904" s="213"/>
      <c r="AC2904" s="213"/>
      <c r="AD2904" s="213"/>
      <c r="AE2904" s="213"/>
      <c r="AF2904" s="213"/>
      <c r="AG2904" s="213"/>
      <c r="AH2904" s="213"/>
      <c r="AI2904" s="213"/>
      <c r="AJ2904" s="213"/>
      <c r="AK2904" s="213"/>
      <c r="AL2904" s="213"/>
      <c r="AM2904" s="213"/>
      <c r="AN2904" s="213"/>
      <c r="AO2904" s="213"/>
      <c r="AP2904" s="213"/>
      <c r="AQ2904" s="213"/>
      <c r="AR2904" s="213"/>
      <c r="AS2904" s="213"/>
      <c r="AT2904" s="213"/>
      <c r="AU2904" s="213"/>
      <c r="AV2904" s="213"/>
      <c r="AW2904" s="213"/>
      <c r="AX2904" s="213"/>
      <c r="AY2904" s="213"/>
      <c r="AZ2904" s="213"/>
      <c r="BA2904" s="213"/>
      <c r="BB2904" s="213"/>
      <c r="BC2904" s="213"/>
      <c r="BD2904" s="213"/>
    </row>
    <row r="2905">
      <c r="A2905" s="213"/>
      <c r="B2905" s="213"/>
      <c r="C2905" s="213"/>
      <c r="D2905" s="213"/>
      <c r="E2905" s="213"/>
      <c r="F2905" s="213"/>
      <c r="G2905" s="213"/>
      <c r="H2905" s="213"/>
      <c r="I2905" s="213"/>
      <c r="J2905" s="213"/>
      <c r="K2905" s="213"/>
      <c r="L2905" s="213"/>
      <c r="M2905" s="213"/>
      <c r="N2905" s="213"/>
      <c r="O2905" s="213"/>
      <c r="P2905" s="213"/>
      <c r="Q2905" s="213"/>
      <c r="R2905" s="213"/>
      <c r="S2905" s="213"/>
      <c r="T2905" s="213"/>
      <c r="U2905" s="213"/>
      <c r="V2905" s="213"/>
      <c r="W2905" s="213"/>
      <c r="X2905" s="213"/>
      <c r="Y2905" s="213"/>
      <c r="Z2905" s="213"/>
      <c r="AA2905" s="213"/>
      <c r="AB2905" s="213"/>
      <c r="AC2905" s="213"/>
      <c r="AD2905" s="213"/>
      <c r="AE2905" s="213"/>
      <c r="AF2905" s="213"/>
      <c r="AG2905" s="213"/>
      <c r="AH2905" s="213"/>
      <c r="AI2905" s="213"/>
      <c r="AJ2905" s="213"/>
      <c r="AK2905" s="213"/>
      <c r="AL2905" s="213"/>
      <c r="AM2905" s="213"/>
      <c r="AN2905" s="213"/>
      <c r="AO2905" s="213"/>
      <c r="AP2905" s="213"/>
      <c r="AQ2905" s="213"/>
      <c r="AR2905" s="213"/>
      <c r="AS2905" s="213"/>
      <c r="AT2905" s="213"/>
      <c r="AU2905" s="213"/>
      <c r="AV2905" s="213"/>
      <c r="AW2905" s="213"/>
      <c r="AX2905" s="213"/>
      <c r="AY2905" s="213"/>
      <c r="AZ2905" s="213"/>
      <c r="BA2905" s="213"/>
      <c r="BB2905" s="213"/>
      <c r="BC2905" s="213"/>
      <c r="BD2905" s="213"/>
    </row>
    <row r="2906">
      <c r="A2906" s="213"/>
      <c r="B2906" s="213"/>
      <c r="C2906" s="213"/>
      <c r="D2906" s="213"/>
      <c r="E2906" s="213"/>
      <c r="F2906" s="213"/>
      <c r="G2906" s="213"/>
      <c r="H2906" s="213"/>
      <c r="I2906" s="213"/>
      <c r="J2906" s="213"/>
      <c r="K2906" s="213"/>
      <c r="L2906" s="213"/>
      <c r="M2906" s="213"/>
      <c r="N2906" s="213"/>
      <c r="O2906" s="213"/>
      <c r="P2906" s="213"/>
      <c r="Q2906" s="213"/>
      <c r="R2906" s="213"/>
      <c r="S2906" s="213"/>
      <c r="T2906" s="213"/>
      <c r="U2906" s="213"/>
      <c r="V2906" s="213"/>
      <c r="W2906" s="213"/>
      <c r="X2906" s="213"/>
      <c r="Y2906" s="213"/>
      <c r="Z2906" s="213"/>
      <c r="AA2906" s="213"/>
      <c r="AB2906" s="213"/>
      <c r="AC2906" s="213"/>
      <c r="AD2906" s="213"/>
      <c r="AE2906" s="213"/>
      <c r="AF2906" s="213"/>
      <c r="AG2906" s="213"/>
      <c r="AH2906" s="213"/>
      <c r="AI2906" s="213"/>
      <c r="AJ2906" s="213"/>
      <c r="AK2906" s="213"/>
      <c r="AL2906" s="213"/>
      <c r="AM2906" s="213"/>
      <c r="AN2906" s="213"/>
      <c r="AO2906" s="213"/>
      <c r="AP2906" s="213"/>
      <c r="AQ2906" s="213"/>
      <c r="AR2906" s="213"/>
      <c r="AS2906" s="213"/>
      <c r="AT2906" s="213"/>
      <c r="AU2906" s="213"/>
      <c r="AV2906" s="213"/>
      <c r="AW2906" s="213"/>
      <c r="AX2906" s="213"/>
      <c r="AY2906" s="213"/>
      <c r="AZ2906" s="213"/>
      <c r="BA2906" s="213"/>
      <c r="BB2906" s="213"/>
      <c r="BC2906" s="213"/>
      <c r="BD2906" s="213"/>
    </row>
    <row r="2907">
      <c r="A2907" s="213"/>
      <c r="B2907" s="213"/>
      <c r="C2907" s="213"/>
      <c r="D2907" s="213"/>
      <c r="E2907" s="213"/>
      <c r="F2907" s="213"/>
      <c r="G2907" s="213"/>
      <c r="H2907" s="213"/>
      <c r="I2907" s="213"/>
      <c r="J2907" s="213"/>
      <c r="K2907" s="213"/>
      <c r="L2907" s="213"/>
      <c r="M2907" s="213"/>
      <c r="N2907" s="213"/>
      <c r="O2907" s="213"/>
      <c r="P2907" s="213"/>
      <c r="Q2907" s="213"/>
      <c r="R2907" s="213"/>
      <c r="S2907" s="213"/>
      <c r="T2907" s="213"/>
      <c r="U2907" s="213"/>
      <c r="V2907" s="213"/>
      <c r="W2907" s="213"/>
      <c r="X2907" s="213"/>
      <c r="Y2907" s="213"/>
      <c r="Z2907" s="213"/>
      <c r="AA2907" s="213"/>
      <c r="AB2907" s="213"/>
      <c r="AC2907" s="213"/>
      <c r="AD2907" s="213"/>
      <c r="AE2907" s="213"/>
      <c r="AF2907" s="213"/>
      <c r="AG2907" s="213"/>
      <c r="AH2907" s="213"/>
      <c r="AI2907" s="213"/>
      <c r="AJ2907" s="213"/>
      <c r="AK2907" s="213"/>
      <c r="AL2907" s="213"/>
      <c r="AM2907" s="213"/>
      <c r="AN2907" s="213"/>
      <c r="AO2907" s="213"/>
      <c r="AP2907" s="213"/>
      <c r="AQ2907" s="213"/>
      <c r="AR2907" s="213"/>
      <c r="AS2907" s="213"/>
      <c r="AT2907" s="213"/>
      <c r="AU2907" s="213"/>
      <c r="AV2907" s="213"/>
      <c r="AW2907" s="213"/>
      <c r="AX2907" s="213"/>
      <c r="AY2907" s="213"/>
      <c r="AZ2907" s="213"/>
      <c r="BA2907" s="213"/>
      <c r="BB2907" s="213"/>
      <c r="BC2907" s="213"/>
      <c r="BD2907" s="213"/>
    </row>
    <row r="2908">
      <c r="A2908" s="213"/>
      <c r="B2908" s="213"/>
      <c r="C2908" s="213"/>
      <c r="D2908" s="213"/>
      <c r="E2908" s="213"/>
      <c r="F2908" s="213"/>
      <c r="G2908" s="213"/>
      <c r="H2908" s="213"/>
      <c r="I2908" s="213"/>
      <c r="J2908" s="213"/>
      <c r="K2908" s="213"/>
      <c r="L2908" s="213"/>
      <c r="M2908" s="213"/>
      <c r="N2908" s="213"/>
      <c r="O2908" s="213"/>
      <c r="P2908" s="213"/>
      <c r="Q2908" s="213"/>
      <c r="R2908" s="213"/>
      <c r="S2908" s="213"/>
      <c r="T2908" s="213"/>
      <c r="U2908" s="213"/>
      <c r="V2908" s="213"/>
      <c r="W2908" s="213"/>
      <c r="X2908" s="213"/>
      <c r="Y2908" s="213"/>
      <c r="Z2908" s="213"/>
      <c r="AA2908" s="213"/>
      <c r="AB2908" s="213"/>
      <c r="AC2908" s="213"/>
      <c r="AD2908" s="213"/>
      <c r="AE2908" s="213"/>
      <c r="AF2908" s="213"/>
      <c r="AG2908" s="213"/>
      <c r="AH2908" s="213"/>
      <c r="AI2908" s="213"/>
      <c r="AJ2908" s="213"/>
      <c r="AK2908" s="213"/>
      <c r="AL2908" s="213"/>
      <c r="AM2908" s="213"/>
      <c r="AN2908" s="213"/>
      <c r="AO2908" s="213"/>
      <c r="AP2908" s="213"/>
      <c r="AQ2908" s="213"/>
      <c r="AR2908" s="213"/>
      <c r="AS2908" s="213"/>
      <c r="AT2908" s="213"/>
      <c r="AU2908" s="213"/>
      <c r="AV2908" s="213"/>
      <c r="AW2908" s="213"/>
      <c r="AX2908" s="213"/>
      <c r="AY2908" s="213"/>
      <c r="AZ2908" s="213"/>
      <c r="BA2908" s="213"/>
      <c r="BB2908" s="213"/>
      <c r="BC2908" s="213"/>
      <c r="BD2908" s="213"/>
    </row>
    <row r="2909">
      <c r="A2909" s="213"/>
      <c r="B2909" s="213"/>
      <c r="C2909" s="213"/>
      <c r="D2909" s="213"/>
      <c r="E2909" s="213"/>
      <c r="F2909" s="213"/>
      <c r="G2909" s="213"/>
      <c r="H2909" s="213"/>
      <c r="I2909" s="213"/>
      <c r="J2909" s="213"/>
      <c r="K2909" s="213"/>
      <c r="L2909" s="213"/>
      <c r="M2909" s="213"/>
      <c r="N2909" s="213"/>
      <c r="O2909" s="213"/>
      <c r="P2909" s="213"/>
      <c r="Q2909" s="213"/>
      <c r="R2909" s="213"/>
      <c r="S2909" s="213"/>
      <c r="T2909" s="213"/>
      <c r="U2909" s="213"/>
      <c r="V2909" s="213"/>
      <c r="W2909" s="213"/>
      <c r="X2909" s="213"/>
      <c r="Y2909" s="213"/>
      <c r="Z2909" s="213"/>
      <c r="AA2909" s="213"/>
      <c r="AB2909" s="213"/>
      <c r="AC2909" s="213"/>
      <c r="AD2909" s="213"/>
      <c r="AE2909" s="213"/>
      <c r="AF2909" s="213"/>
      <c r="AG2909" s="213"/>
      <c r="AH2909" s="213"/>
      <c r="AI2909" s="213"/>
      <c r="AJ2909" s="213"/>
      <c r="AK2909" s="213"/>
      <c r="AL2909" s="213"/>
      <c r="AM2909" s="213"/>
      <c r="AN2909" s="213"/>
      <c r="AO2909" s="213"/>
      <c r="AP2909" s="213"/>
      <c r="AQ2909" s="213"/>
      <c r="AR2909" s="213"/>
      <c r="AS2909" s="213"/>
      <c r="AT2909" s="213"/>
      <c r="AU2909" s="213"/>
      <c r="AV2909" s="213"/>
      <c r="AW2909" s="213"/>
      <c r="AX2909" s="213"/>
      <c r="AY2909" s="213"/>
      <c r="AZ2909" s="213"/>
      <c r="BA2909" s="213"/>
      <c r="BB2909" s="213"/>
      <c r="BC2909" s="213"/>
      <c r="BD2909" s="213"/>
    </row>
    <row r="2910">
      <c r="A2910" s="213"/>
      <c r="B2910" s="213"/>
      <c r="C2910" s="213"/>
      <c r="D2910" s="213"/>
      <c r="E2910" s="213"/>
      <c r="F2910" s="213"/>
      <c r="G2910" s="213"/>
      <c r="H2910" s="213"/>
      <c r="I2910" s="213"/>
      <c r="J2910" s="213"/>
      <c r="K2910" s="213"/>
      <c r="L2910" s="213"/>
      <c r="M2910" s="213"/>
      <c r="N2910" s="213"/>
      <c r="O2910" s="213"/>
      <c r="P2910" s="213"/>
      <c r="Q2910" s="213"/>
      <c r="R2910" s="213"/>
      <c r="S2910" s="213"/>
      <c r="T2910" s="213"/>
      <c r="U2910" s="213"/>
      <c r="V2910" s="213"/>
      <c r="W2910" s="213"/>
      <c r="X2910" s="213"/>
      <c r="Y2910" s="213"/>
      <c r="Z2910" s="213"/>
      <c r="AA2910" s="213"/>
      <c r="AB2910" s="213"/>
      <c r="AC2910" s="213"/>
      <c r="AD2910" s="213"/>
      <c r="AE2910" s="213"/>
      <c r="AF2910" s="213"/>
      <c r="AG2910" s="213"/>
      <c r="AH2910" s="213"/>
      <c r="AI2910" s="213"/>
      <c r="AJ2910" s="213"/>
      <c r="AK2910" s="213"/>
      <c r="AL2910" s="213"/>
      <c r="AM2910" s="213"/>
      <c r="AN2910" s="213"/>
      <c r="AO2910" s="213"/>
      <c r="AP2910" s="213"/>
      <c r="AQ2910" s="213"/>
      <c r="AR2910" s="213"/>
      <c r="AS2910" s="213"/>
      <c r="AT2910" s="213"/>
      <c r="AU2910" s="213"/>
      <c r="AV2910" s="213"/>
      <c r="AW2910" s="213"/>
      <c r="AX2910" s="213"/>
      <c r="AY2910" s="213"/>
      <c r="AZ2910" s="213"/>
      <c r="BA2910" s="213"/>
      <c r="BB2910" s="213"/>
      <c r="BC2910" s="213"/>
      <c r="BD2910" s="213"/>
    </row>
    <row r="2911">
      <c r="A2911" s="213"/>
      <c r="B2911" s="213"/>
      <c r="C2911" s="213"/>
      <c r="D2911" s="213"/>
      <c r="E2911" s="213"/>
      <c r="F2911" s="213"/>
      <c r="G2911" s="213"/>
      <c r="H2911" s="213"/>
      <c r="I2911" s="213"/>
      <c r="J2911" s="213"/>
      <c r="K2911" s="213"/>
      <c r="L2911" s="213"/>
      <c r="M2911" s="213"/>
      <c r="N2911" s="213"/>
      <c r="O2911" s="213"/>
      <c r="P2911" s="213"/>
      <c r="Q2911" s="213"/>
      <c r="R2911" s="213"/>
      <c r="S2911" s="213"/>
      <c r="T2911" s="213"/>
      <c r="U2911" s="213"/>
      <c r="V2911" s="213"/>
      <c r="W2911" s="213"/>
      <c r="X2911" s="213"/>
      <c r="Y2911" s="213"/>
      <c r="Z2911" s="213"/>
      <c r="AA2911" s="213"/>
      <c r="AB2911" s="213"/>
      <c r="AC2911" s="213"/>
      <c r="AD2911" s="213"/>
      <c r="AE2911" s="213"/>
      <c r="AF2911" s="213"/>
      <c r="AG2911" s="213"/>
      <c r="AH2911" s="213"/>
      <c r="AI2911" s="213"/>
      <c r="AJ2911" s="213"/>
      <c r="AK2911" s="213"/>
      <c r="AL2911" s="213"/>
      <c r="AM2911" s="213"/>
      <c r="AN2911" s="213"/>
      <c r="AO2911" s="213"/>
      <c r="AP2911" s="213"/>
      <c r="AQ2911" s="213"/>
      <c r="AR2911" s="213"/>
      <c r="AS2911" s="213"/>
      <c r="AT2911" s="213"/>
      <c r="AU2911" s="213"/>
      <c r="AV2911" s="213"/>
      <c r="AW2911" s="213"/>
      <c r="AX2911" s="213"/>
      <c r="AY2911" s="213"/>
      <c r="AZ2911" s="213"/>
      <c r="BA2911" s="213"/>
      <c r="BB2911" s="213"/>
      <c r="BC2911" s="213"/>
      <c r="BD2911" s="213"/>
    </row>
    <row r="2912">
      <c r="A2912" s="213"/>
      <c r="B2912" s="213"/>
      <c r="C2912" s="213"/>
      <c r="D2912" s="213"/>
      <c r="E2912" s="213"/>
      <c r="F2912" s="213"/>
      <c r="G2912" s="213"/>
      <c r="H2912" s="213"/>
      <c r="I2912" s="213"/>
      <c r="J2912" s="213"/>
      <c r="K2912" s="213"/>
      <c r="L2912" s="213"/>
      <c r="M2912" s="213"/>
      <c r="N2912" s="213"/>
      <c r="O2912" s="213"/>
      <c r="P2912" s="213"/>
      <c r="Q2912" s="213"/>
      <c r="R2912" s="213"/>
      <c r="S2912" s="213"/>
      <c r="T2912" s="213"/>
      <c r="U2912" s="213"/>
      <c r="V2912" s="213"/>
      <c r="W2912" s="213"/>
      <c r="X2912" s="213"/>
      <c r="Y2912" s="213"/>
      <c r="Z2912" s="213"/>
      <c r="AA2912" s="213"/>
      <c r="AB2912" s="213"/>
      <c r="AC2912" s="213"/>
      <c r="AD2912" s="213"/>
      <c r="AE2912" s="213"/>
      <c r="AF2912" s="213"/>
      <c r="AG2912" s="213"/>
      <c r="AH2912" s="213"/>
      <c r="AI2912" s="213"/>
      <c r="AJ2912" s="213"/>
      <c r="AK2912" s="213"/>
      <c r="AL2912" s="213"/>
      <c r="AM2912" s="213"/>
      <c r="AN2912" s="213"/>
      <c r="AO2912" s="213"/>
      <c r="AP2912" s="213"/>
      <c r="AQ2912" s="213"/>
      <c r="AR2912" s="213"/>
      <c r="AS2912" s="213"/>
      <c r="AT2912" s="213"/>
      <c r="AU2912" s="213"/>
      <c r="AV2912" s="213"/>
      <c r="AW2912" s="213"/>
      <c r="AX2912" s="213"/>
      <c r="AY2912" s="213"/>
      <c r="AZ2912" s="213"/>
      <c r="BA2912" s="213"/>
      <c r="BB2912" s="213"/>
      <c r="BC2912" s="213"/>
      <c r="BD2912" s="213"/>
    </row>
    <row r="2913">
      <c r="A2913" s="213"/>
      <c r="B2913" s="213"/>
      <c r="C2913" s="213"/>
      <c r="D2913" s="213"/>
      <c r="E2913" s="213"/>
      <c r="F2913" s="213"/>
      <c r="G2913" s="213"/>
      <c r="H2913" s="213"/>
      <c r="I2913" s="213"/>
      <c r="J2913" s="213"/>
      <c r="K2913" s="213"/>
      <c r="L2913" s="213"/>
      <c r="M2913" s="213"/>
      <c r="N2913" s="213"/>
      <c r="O2913" s="213"/>
      <c r="P2913" s="213"/>
      <c r="Q2913" s="213"/>
      <c r="R2913" s="213"/>
      <c r="S2913" s="213"/>
      <c r="T2913" s="213"/>
      <c r="U2913" s="213"/>
      <c r="V2913" s="213"/>
      <c r="W2913" s="213"/>
      <c r="X2913" s="213"/>
      <c r="Y2913" s="213"/>
      <c r="Z2913" s="213"/>
      <c r="AA2913" s="213"/>
      <c r="AB2913" s="213"/>
      <c r="AC2913" s="213"/>
      <c r="AD2913" s="213"/>
      <c r="AE2913" s="213"/>
      <c r="AF2913" s="213"/>
      <c r="AG2913" s="213"/>
      <c r="AH2913" s="213"/>
      <c r="AI2913" s="213"/>
      <c r="AJ2913" s="213"/>
      <c r="AK2913" s="213"/>
      <c r="AL2913" s="213"/>
      <c r="AM2913" s="213"/>
      <c r="AN2913" s="213"/>
      <c r="AO2913" s="213"/>
      <c r="AP2913" s="213"/>
      <c r="AQ2913" s="213"/>
      <c r="AR2913" s="213"/>
      <c r="AS2913" s="213"/>
      <c r="AT2913" s="213"/>
      <c r="AU2913" s="213"/>
      <c r="AV2913" s="213"/>
      <c r="AW2913" s="213"/>
      <c r="AX2913" s="213"/>
      <c r="AY2913" s="213"/>
      <c r="AZ2913" s="213"/>
      <c r="BA2913" s="213"/>
      <c r="BB2913" s="213"/>
      <c r="BC2913" s="213"/>
      <c r="BD2913" s="213"/>
    </row>
    <row r="2914">
      <c r="A2914" s="213"/>
      <c r="B2914" s="213"/>
      <c r="C2914" s="213"/>
      <c r="D2914" s="213"/>
      <c r="E2914" s="213"/>
      <c r="F2914" s="213"/>
      <c r="G2914" s="213"/>
      <c r="H2914" s="213"/>
      <c r="I2914" s="213"/>
      <c r="J2914" s="213"/>
      <c r="K2914" s="213"/>
      <c r="L2914" s="213"/>
      <c r="M2914" s="213"/>
      <c r="N2914" s="213"/>
      <c r="O2914" s="213"/>
      <c r="P2914" s="213"/>
      <c r="Q2914" s="213"/>
      <c r="R2914" s="213"/>
      <c r="S2914" s="213"/>
      <c r="T2914" s="213"/>
      <c r="U2914" s="213"/>
      <c r="V2914" s="213"/>
      <c r="W2914" s="213"/>
      <c r="X2914" s="213"/>
      <c r="Y2914" s="213"/>
      <c r="Z2914" s="213"/>
      <c r="AA2914" s="213"/>
      <c r="AB2914" s="213"/>
      <c r="AC2914" s="213"/>
      <c r="AD2914" s="213"/>
      <c r="AE2914" s="213"/>
      <c r="AF2914" s="213"/>
      <c r="AG2914" s="213"/>
      <c r="AH2914" s="213"/>
      <c r="AI2914" s="213"/>
      <c r="AJ2914" s="213"/>
      <c r="AK2914" s="213"/>
      <c r="AL2914" s="213"/>
      <c r="AM2914" s="213"/>
      <c r="AN2914" s="213"/>
      <c r="AO2914" s="213"/>
      <c r="AP2914" s="213"/>
      <c r="AQ2914" s="213"/>
      <c r="AR2914" s="213"/>
      <c r="AS2914" s="213"/>
      <c r="AT2914" s="213"/>
      <c r="AU2914" s="213"/>
      <c r="AV2914" s="213"/>
      <c r="AW2914" s="213"/>
      <c r="AX2914" s="213"/>
      <c r="AY2914" s="213"/>
      <c r="AZ2914" s="213"/>
      <c r="BA2914" s="213"/>
      <c r="BB2914" s="213"/>
      <c r="BC2914" s="213"/>
      <c r="BD2914" s="213"/>
    </row>
    <row r="2915">
      <c r="A2915" s="213"/>
      <c r="B2915" s="213"/>
      <c r="C2915" s="213"/>
      <c r="D2915" s="213"/>
      <c r="E2915" s="213"/>
      <c r="F2915" s="213"/>
      <c r="G2915" s="213"/>
      <c r="H2915" s="213"/>
      <c r="I2915" s="213"/>
      <c r="J2915" s="213"/>
      <c r="K2915" s="213"/>
      <c r="L2915" s="213"/>
      <c r="M2915" s="213"/>
      <c r="N2915" s="213"/>
      <c r="O2915" s="213"/>
      <c r="P2915" s="213"/>
      <c r="Q2915" s="213"/>
      <c r="R2915" s="213"/>
      <c r="S2915" s="213"/>
      <c r="T2915" s="213"/>
      <c r="U2915" s="213"/>
      <c r="V2915" s="213"/>
      <c r="W2915" s="213"/>
      <c r="X2915" s="213"/>
      <c r="Y2915" s="213"/>
      <c r="Z2915" s="213"/>
      <c r="AA2915" s="213"/>
      <c r="AB2915" s="213"/>
      <c r="AC2915" s="213"/>
      <c r="AD2915" s="213"/>
      <c r="AE2915" s="213"/>
      <c r="AF2915" s="213"/>
      <c r="AG2915" s="213"/>
      <c r="AH2915" s="213"/>
      <c r="AI2915" s="213"/>
      <c r="AJ2915" s="213"/>
      <c r="AK2915" s="213"/>
      <c r="AL2915" s="213"/>
      <c r="AM2915" s="213"/>
      <c r="AN2915" s="213"/>
      <c r="AO2915" s="213"/>
      <c r="AP2915" s="213"/>
      <c r="AQ2915" s="213"/>
      <c r="AR2915" s="213"/>
      <c r="AS2915" s="213"/>
      <c r="AT2915" s="213"/>
      <c r="AU2915" s="213"/>
      <c r="AV2915" s="213"/>
      <c r="AW2915" s="213"/>
      <c r="AX2915" s="213"/>
      <c r="AY2915" s="213"/>
      <c r="AZ2915" s="213"/>
      <c r="BA2915" s="213"/>
      <c r="BB2915" s="213"/>
      <c r="BC2915" s="213"/>
      <c r="BD2915" s="213"/>
    </row>
    <row r="2916">
      <c r="A2916" s="213"/>
      <c r="B2916" s="213"/>
      <c r="C2916" s="213"/>
      <c r="D2916" s="213"/>
      <c r="E2916" s="213"/>
      <c r="F2916" s="213"/>
      <c r="G2916" s="213"/>
      <c r="H2916" s="213"/>
      <c r="I2916" s="213"/>
      <c r="J2916" s="213"/>
      <c r="K2916" s="213"/>
      <c r="L2916" s="213"/>
      <c r="M2916" s="213"/>
      <c r="N2916" s="213"/>
      <c r="O2916" s="213"/>
      <c r="P2916" s="213"/>
      <c r="Q2916" s="213"/>
      <c r="R2916" s="213"/>
      <c r="S2916" s="213"/>
      <c r="T2916" s="213"/>
      <c r="U2916" s="213"/>
      <c r="V2916" s="213"/>
      <c r="W2916" s="213"/>
      <c r="X2916" s="213"/>
      <c r="Y2916" s="213"/>
      <c r="Z2916" s="213"/>
      <c r="AA2916" s="213"/>
      <c r="AB2916" s="213"/>
      <c r="AC2916" s="213"/>
      <c r="AD2916" s="213"/>
      <c r="AE2916" s="213"/>
      <c r="AF2916" s="213"/>
      <c r="AG2916" s="213"/>
      <c r="AH2916" s="213"/>
      <c r="AI2916" s="213"/>
      <c r="AJ2916" s="213"/>
      <c r="AK2916" s="213"/>
      <c r="AL2916" s="213"/>
      <c r="AM2916" s="213"/>
      <c r="AN2916" s="213"/>
      <c r="AO2916" s="213"/>
      <c r="AP2916" s="213"/>
      <c r="AQ2916" s="213"/>
      <c r="AR2916" s="213"/>
      <c r="AS2916" s="213"/>
      <c r="AT2916" s="213"/>
      <c r="AU2916" s="213"/>
      <c r="AV2916" s="213"/>
      <c r="AW2916" s="213"/>
      <c r="AX2916" s="213"/>
      <c r="AY2916" s="213"/>
      <c r="AZ2916" s="213"/>
      <c r="BA2916" s="213"/>
      <c r="BB2916" s="213"/>
      <c r="BC2916" s="213"/>
      <c r="BD2916" s="213"/>
    </row>
    <row r="2917">
      <c r="A2917" s="213"/>
      <c r="B2917" s="213"/>
      <c r="C2917" s="213"/>
      <c r="D2917" s="213"/>
      <c r="E2917" s="213"/>
      <c r="F2917" s="213"/>
      <c r="G2917" s="213"/>
      <c r="H2917" s="213"/>
      <c r="I2917" s="213"/>
      <c r="J2917" s="213"/>
      <c r="K2917" s="213"/>
      <c r="L2917" s="213"/>
      <c r="M2917" s="213"/>
      <c r="N2917" s="213"/>
      <c r="O2917" s="213"/>
      <c r="P2917" s="213"/>
      <c r="Q2917" s="213"/>
      <c r="R2917" s="213"/>
      <c r="S2917" s="213"/>
      <c r="T2917" s="213"/>
      <c r="U2917" s="213"/>
      <c r="V2917" s="213"/>
      <c r="W2917" s="213"/>
      <c r="X2917" s="213"/>
      <c r="Y2917" s="213"/>
      <c r="Z2917" s="213"/>
      <c r="AA2917" s="213"/>
      <c r="AB2917" s="213"/>
      <c r="AC2917" s="213"/>
      <c r="AD2917" s="213"/>
      <c r="AE2917" s="213"/>
      <c r="AF2917" s="213"/>
      <c r="AG2917" s="213"/>
      <c r="AH2917" s="213"/>
      <c r="AI2917" s="213"/>
      <c r="AJ2917" s="213"/>
      <c r="AK2917" s="213"/>
      <c r="AL2917" s="213"/>
      <c r="AM2917" s="213"/>
      <c r="AN2917" s="213"/>
      <c r="AO2917" s="213"/>
      <c r="AP2917" s="213"/>
      <c r="AQ2917" s="213"/>
      <c r="AR2917" s="213"/>
      <c r="AS2917" s="213"/>
      <c r="AT2917" s="213"/>
      <c r="AU2917" s="213"/>
      <c r="AV2917" s="213"/>
      <c r="AW2917" s="213"/>
      <c r="AX2917" s="213"/>
      <c r="AY2917" s="213"/>
      <c r="AZ2917" s="213"/>
      <c r="BA2917" s="213"/>
      <c r="BB2917" s="213"/>
      <c r="BC2917" s="213"/>
      <c r="BD2917" s="213"/>
    </row>
    <row r="2918">
      <c r="A2918" s="213"/>
      <c r="B2918" s="213"/>
      <c r="C2918" s="213"/>
      <c r="D2918" s="213"/>
      <c r="E2918" s="213"/>
      <c r="F2918" s="213"/>
      <c r="G2918" s="213"/>
      <c r="H2918" s="213"/>
      <c r="I2918" s="213"/>
      <c r="J2918" s="213"/>
      <c r="K2918" s="213"/>
      <c r="L2918" s="213"/>
      <c r="M2918" s="213"/>
      <c r="N2918" s="213"/>
      <c r="O2918" s="213"/>
      <c r="P2918" s="213"/>
      <c r="Q2918" s="213"/>
      <c r="R2918" s="213"/>
      <c r="S2918" s="213"/>
      <c r="T2918" s="213"/>
      <c r="U2918" s="213"/>
      <c r="V2918" s="213"/>
      <c r="W2918" s="213"/>
      <c r="X2918" s="213"/>
      <c r="Y2918" s="213"/>
      <c r="Z2918" s="213"/>
      <c r="AA2918" s="213"/>
      <c r="AB2918" s="213"/>
      <c r="AC2918" s="213"/>
      <c r="AD2918" s="213"/>
      <c r="AE2918" s="213"/>
      <c r="AF2918" s="213"/>
      <c r="AG2918" s="213"/>
      <c r="AH2918" s="213"/>
      <c r="AI2918" s="213"/>
      <c r="AJ2918" s="213"/>
      <c r="AK2918" s="213"/>
      <c r="AL2918" s="213"/>
      <c r="AM2918" s="213"/>
      <c r="AN2918" s="213"/>
      <c r="AO2918" s="213"/>
      <c r="AP2918" s="213"/>
      <c r="AQ2918" s="213"/>
      <c r="AR2918" s="213"/>
      <c r="AS2918" s="213"/>
      <c r="AT2918" s="213"/>
      <c r="AU2918" s="213"/>
      <c r="AV2918" s="213"/>
      <c r="AW2918" s="213"/>
      <c r="AX2918" s="213"/>
      <c r="AY2918" s="213"/>
      <c r="AZ2918" s="213"/>
      <c r="BA2918" s="213"/>
      <c r="BB2918" s="213"/>
      <c r="BC2918" s="213"/>
      <c r="BD2918" s="213"/>
    </row>
    <row r="2919">
      <c r="A2919" s="213"/>
      <c r="B2919" s="213"/>
      <c r="C2919" s="213"/>
      <c r="D2919" s="213"/>
      <c r="E2919" s="213"/>
      <c r="F2919" s="213"/>
      <c r="G2919" s="213"/>
      <c r="H2919" s="213"/>
      <c r="I2919" s="213"/>
      <c r="J2919" s="213"/>
      <c r="K2919" s="213"/>
      <c r="L2919" s="213"/>
      <c r="M2919" s="213"/>
      <c r="N2919" s="213"/>
      <c r="O2919" s="213"/>
      <c r="P2919" s="213"/>
      <c r="Q2919" s="213"/>
      <c r="R2919" s="213"/>
      <c r="S2919" s="213"/>
      <c r="T2919" s="213"/>
      <c r="U2919" s="213"/>
      <c r="V2919" s="213"/>
      <c r="W2919" s="213"/>
      <c r="X2919" s="213"/>
      <c r="Y2919" s="213"/>
      <c r="Z2919" s="213"/>
      <c r="AA2919" s="213"/>
      <c r="AB2919" s="213"/>
      <c r="AC2919" s="213"/>
      <c r="AD2919" s="213"/>
      <c r="AE2919" s="213"/>
      <c r="AF2919" s="213"/>
      <c r="AG2919" s="213"/>
      <c r="AH2919" s="213"/>
      <c r="AI2919" s="213"/>
      <c r="AJ2919" s="213"/>
      <c r="AK2919" s="213"/>
      <c r="AL2919" s="213"/>
      <c r="AM2919" s="213"/>
      <c r="AN2919" s="213"/>
      <c r="AO2919" s="213"/>
      <c r="AP2919" s="213"/>
      <c r="AQ2919" s="213"/>
      <c r="AR2919" s="213"/>
      <c r="AS2919" s="213"/>
      <c r="AT2919" s="213"/>
      <c r="AU2919" s="213"/>
      <c r="AV2919" s="213"/>
      <c r="AW2919" s="213"/>
      <c r="AX2919" s="213"/>
      <c r="AY2919" s="213"/>
      <c r="AZ2919" s="213"/>
      <c r="BA2919" s="213"/>
      <c r="BB2919" s="213"/>
      <c r="BC2919" s="213"/>
      <c r="BD2919" s="213"/>
    </row>
    <row r="2920">
      <c r="A2920" s="213"/>
      <c r="B2920" s="213"/>
      <c r="C2920" s="213"/>
      <c r="D2920" s="213"/>
      <c r="E2920" s="213"/>
      <c r="F2920" s="213"/>
      <c r="G2920" s="213"/>
      <c r="H2920" s="213"/>
      <c r="I2920" s="213"/>
      <c r="J2920" s="213"/>
      <c r="K2920" s="213"/>
      <c r="L2920" s="213"/>
      <c r="M2920" s="213"/>
      <c r="N2920" s="213"/>
      <c r="O2920" s="213"/>
      <c r="P2920" s="213"/>
      <c r="Q2920" s="213"/>
      <c r="R2920" s="213"/>
      <c r="S2920" s="213"/>
      <c r="T2920" s="213"/>
      <c r="U2920" s="213"/>
      <c r="V2920" s="213"/>
      <c r="W2920" s="213"/>
      <c r="X2920" s="213"/>
      <c r="Y2920" s="213"/>
      <c r="Z2920" s="213"/>
      <c r="AA2920" s="213"/>
      <c r="AB2920" s="213"/>
      <c r="AC2920" s="213"/>
      <c r="AD2920" s="213"/>
      <c r="AE2920" s="213"/>
      <c r="AF2920" s="213"/>
      <c r="AG2920" s="213"/>
      <c r="AH2920" s="213"/>
      <c r="AI2920" s="213"/>
      <c r="AJ2920" s="213"/>
      <c r="AK2920" s="213"/>
      <c r="AL2920" s="213"/>
      <c r="AM2920" s="213"/>
      <c r="AN2920" s="213"/>
      <c r="AO2920" s="213"/>
      <c r="AP2920" s="213"/>
      <c r="AQ2920" s="213"/>
      <c r="AR2920" s="213"/>
      <c r="AS2920" s="213"/>
      <c r="AT2920" s="213"/>
      <c r="AU2920" s="213"/>
      <c r="AV2920" s="213"/>
      <c r="AW2920" s="213"/>
      <c r="AX2920" s="213"/>
      <c r="AY2920" s="213"/>
      <c r="AZ2920" s="213"/>
      <c r="BA2920" s="213"/>
      <c r="BB2920" s="213"/>
      <c r="BC2920" s="213"/>
      <c r="BD2920" s="213"/>
    </row>
    <row r="2921">
      <c r="A2921" s="213"/>
      <c r="B2921" s="213"/>
      <c r="C2921" s="213"/>
      <c r="D2921" s="213"/>
      <c r="E2921" s="213"/>
      <c r="F2921" s="213"/>
      <c r="G2921" s="213"/>
      <c r="H2921" s="213"/>
      <c r="I2921" s="213"/>
      <c r="J2921" s="213"/>
      <c r="K2921" s="213"/>
      <c r="L2921" s="213"/>
      <c r="M2921" s="213"/>
      <c r="N2921" s="213"/>
      <c r="O2921" s="213"/>
      <c r="P2921" s="213"/>
      <c r="Q2921" s="213"/>
      <c r="R2921" s="213"/>
      <c r="S2921" s="213"/>
      <c r="T2921" s="213"/>
      <c r="U2921" s="213"/>
      <c r="V2921" s="213"/>
      <c r="W2921" s="213"/>
      <c r="X2921" s="213"/>
      <c r="Y2921" s="213"/>
      <c r="Z2921" s="213"/>
      <c r="AA2921" s="213"/>
      <c r="AB2921" s="213"/>
      <c r="AC2921" s="213"/>
      <c r="AD2921" s="213"/>
      <c r="AE2921" s="213"/>
      <c r="AF2921" s="213"/>
      <c r="AG2921" s="213"/>
      <c r="AH2921" s="213"/>
      <c r="AI2921" s="213"/>
      <c r="AJ2921" s="213"/>
      <c r="AK2921" s="213"/>
      <c r="AL2921" s="213"/>
      <c r="AM2921" s="213"/>
      <c r="AN2921" s="213"/>
      <c r="AO2921" s="213"/>
      <c r="AP2921" s="213"/>
      <c r="AQ2921" s="213"/>
      <c r="AR2921" s="213"/>
      <c r="AS2921" s="213"/>
      <c r="AT2921" s="213"/>
      <c r="AU2921" s="213"/>
      <c r="AV2921" s="213"/>
      <c r="AW2921" s="213"/>
      <c r="AX2921" s="213"/>
      <c r="AY2921" s="213"/>
      <c r="AZ2921" s="213"/>
      <c r="BA2921" s="213"/>
      <c r="BB2921" s="213"/>
      <c r="BC2921" s="213"/>
      <c r="BD2921" s="213"/>
    </row>
    <row r="2922">
      <c r="A2922" s="213"/>
      <c r="B2922" s="213"/>
      <c r="C2922" s="213"/>
      <c r="D2922" s="213"/>
      <c r="E2922" s="213"/>
      <c r="F2922" s="213"/>
      <c r="G2922" s="213"/>
      <c r="H2922" s="213"/>
      <c r="I2922" s="213"/>
      <c r="J2922" s="213"/>
      <c r="K2922" s="213"/>
      <c r="L2922" s="213"/>
      <c r="M2922" s="213"/>
      <c r="N2922" s="213"/>
      <c r="O2922" s="213"/>
      <c r="P2922" s="213"/>
      <c r="Q2922" s="213"/>
      <c r="R2922" s="213"/>
      <c r="S2922" s="213"/>
      <c r="T2922" s="213"/>
      <c r="U2922" s="213"/>
      <c r="V2922" s="213"/>
      <c r="W2922" s="213"/>
      <c r="X2922" s="213"/>
      <c r="Y2922" s="213"/>
      <c r="Z2922" s="213"/>
      <c r="AA2922" s="213"/>
      <c r="AB2922" s="213"/>
      <c r="AC2922" s="213"/>
      <c r="AD2922" s="213"/>
      <c r="AE2922" s="213"/>
      <c r="AF2922" s="213"/>
      <c r="AG2922" s="213"/>
      <c r="AH2922" s="213"/>
      <c r="AI2922" s="213"/>
      <c r="AJ2922" s="213"/>
      <c r="AK2922" s="213"/>
      <c r="AL2922" s="213"/>
      <c r="AM2922" s="213"/>
      <c r="AN2922" s="213"/>
      <c r="AO2922" s="213"/>
      <c r="AP2922" s="213"/>
      <c r="AQ2922" s="213"/>
      <c r="AR2922" s="213"/>
      <c r="AS2922" s="213"/>
      <c r="AT2922" s="213"/>
      <c r="AU2922" s="213"/>
      <c r="AV2922" s="213"/>
      <c r="AW2922" s="213"/>
      <c r="AX2922" s="213"/>
      <c r="AY2922" s="213"/>
      <c r="AZ2922" s="213"/>
      <c r="BA2922" s="213"/>
      <c r="BB2922" s="213"/>
      <c r="BC2922" s="213"/>
      <c r="BD2922" s="213"/>
    </row>
    <row r="2923">
      <c r="A2923" s="213"/>
      <c r="B2923" s="213"/>
      <c r="C2923" s="213"/>
      <c r="D2923" s="213"/>
      <c r="E2923" s="213"/>
      <c r="F2923" s="213"/>
      <c r="G2923" s="213"/>
      <c r="H2923" s="213"/>
      <c r="I2923" s="213"/>
      <c r="J2923" s="213"/>
      <c r="K2923" s="213"/>
      <c r="L2923" s="213"/>
      <c r="M2923" s="213"/>
      <c r="N2923" s="213"/>
      <c r="O2923" s="213"/>
      <c r="P2923" s="213"/>
      <c r="Q2923" s="213"/>
      <c r="R2923" s="213"/>
      <c r="S2923" s="213"/>
      <c r="T2923" s="213"/>
      <c r="U2923" s="213"/>
      <c r="V2923" s="213"/>
      <c r="W2923" s="213"/>
      <c r="X2923" s="213"/>
      <c r="Y2923" s="213"/>
      <c r="Z2923" s="213"/>
      <c r="AA2923" s="213"/>
      <c r="AB2923" s="213"/>
      <c r="AC2923" s="213"/>
      <c r="AD2923" s="213"/>
      <c r="AE2923" s="213"/>
      <c r="AF2923" s="213"/>
      <c r="AG2923" s="213"/>
      <c r="AH2923" s="213"/>
      <c r="AI2923" s="213"/>
      <c r="AJ2923" s="213"/>
      <c r="AK2923" s="213"/>
      <c r="AL2923" s="213"/>
      <c r="AM2923" s="213"/>
      <c r="AN2923" s="213"/>
      <c r="AO2923" s="213"/>
      <c r="AP2923" s="213"/>
      <c r="AQ2923" s="213"/>
      <c r="AR2923" s="213"/>
      <c r="AS2923" s="213"/>
      <c r="AT2923" s="213"/>
      <c r="AU2923" s="213"/>
      <c r="AV2923" s="213"/>
      <c r="AW2923" s="213"/>
      <c r="AX2923" s="213"/>
      <c r="AY2923" s="213"/>
      <c r="AZ2923" s="213"/>
      <c r="BA2923" s="213"/>
      <c r="BB2923" s="213"/>
      <c r="BC2923" s="213"/>
      <c r="BD2923" s="213"/>
    </row>
    <row r="2924">
      <c r="A2924" s="213"/>
      <c r="B2924" s="213"/>
      <c r="C2924" s="213"/>
      <c r="D2924" s="213"/>
      <c r="E2924" s="213"/>
      <c r="F2924" s="213"/>
      <c r="G2924" s="213"/>
      <c r="H2924" s="213"/>
      <c r="I2924" s="213"/>
      <c r="J2924" s="213"/>
      <c r="K2924" s="213"/>
      <c r="L2924" s="213"/>
      <c r="M2924" s="213"/>
      <c r="N2924" s="213"/>
      <c r="O2924" s="213"/>
      <c r="P2924" s="213"/>
      <c r="Q2924" s="213"/>
      <c r="R2924" s="213"/>
      <c r="S2924" s="213"/>
      <c r="T2924" s="213"/>
      <c r="U2924" s="213"/>
      <c r="V2924" s="213"/>
      <c r="W2924" s="213"/>
      <c r="X2924" s="213"/>
      <c r="Y2924" s="213"/>
      <c r="Z2924" s="213"/>
      <c r="AA2924" s="213"/>
      <c r="AB2924" s="213"/>
      <c r="AC2924" s="213"/>
      <c r="AD2924" s="213"/>
      <c r="AE2924" s="213"/>
      <c r="AF2924" s="213"/>
      <c r="AG2924" s="213"/>
      <c r="AH2924" s="213"/>
      <c r="AI2924" s="213"/>
      <c r="AJ2924" s="213"/>
      <c r="AK2924" s="213"/>
      <c r="AL2924" s="213"/>
      <c r="AM2924" s="213"/>
      <c r="AN2924" s="213"/>
      <c r="AO2924" s="213"/>
      <c r="AP2924" s="213"/>
      <c r="AQ2924" s="213"/>
      <c r="AR2924" s="213"/>
      <c r="AS2924" s="213"/>
      <c r="AT2924" s="213"/>
      <c r="AU2924" s="213"/>
      <c r="AV2924" s="213"/>
      <c r="AW2924" s="213"/>
      <c r="AX2924" s="213"/>
      <c r="AY2924" s="213"/>
      <c r="AZ2924" s="213"/>
      <c r="BA2924" s="213"/>
      <c r="BB2924" s="213"/>
      <c r="BC2924" s="213"/>
      <c r="BD2924" s="213"/>
    </row>
    <row r="2925">
      <c r="A2925" s="213"/>
      <c r="B2925" s="213"/>
      <c r="C2925" s="213"/>
      <c r="D2925" s="213"/>
      <c r="E2925" s="213"/>
      <c r="F2925" s="213"/>
      <c r="G2925" s="213"/>
      <c r="H2925" s="213"/>
      <c r="I2925" s="213"/>
      <c r="J2925" s="213"/>
      <c r="K2925" s="213"/>
      <c r="L2925" s="213"/>
      <c r="M2925" s="213"/>
      <c r="N2925" s="213"/>
      <c r="O2925" s="213"/>
      <c r="P2925" s="213"/>
      <c r="Q2925" s="213"/>
      <c r="R2925" s="213"/>
      <c r="S2925" s="213"/>
      <c r="T2925" s="213"/>
      <c r="U2925" s="213"/>
      <c r="V2925" s="213"/>
      <c r="W2925" s="213"/>
      <c r="X2925" s="213"/>
      <c r="Y2925" s="213"/>
      <c r="Z2925" s="213"/>
      <c r="AA2925" s="213"/>
      <c r="AB2925" s="213"/>
      <c r="AC2925" s="213"/>
      <c r="AD2925" s="213"/>
      <c r="AE2925" s="213"/>
      <c r="AF2925" s="213"/>
      <c r="AG2925" s="213"/>
      <c r="AH2925" s="213"/>
      <c r="AI2925" s="213"/>
      <c r="AJ2925" s="213"/>
      <c r="AK2925" s="213"/>
      <c r="AL2925" s="213"/>
      <c r="AM2925" s="213"/>
      <c r="AN2925" s="213"/>
      <c r="AO2925" s="213"/>
      <c r="AP2925" s="213"/>
      <c r="AQ2925" s="213"/>
      <c r="AR2925" s="213"/>
      <c r="AS2925" s="213"/>
      <c r="AT2925" s="213"/>
      <c r="AU2925" s="213"/>
      <c r="AV2925" s="213"/>
      <c r="AW2925" s="213"/>
      <c r="AX2925" s="213"/>
      <c r="AY2925" s="213"/>
      <c r="AZ2925" s="213"/>
      <c r="BA2925" s="213"/>
      <c r="BB2925" s="213"/>
      <c r="BC2925" s="213"/>
      <c r="BD2925" s="213"/>
    </row>
    <row r="2926">
      <c r="A2926" s="213"/>
      <c r="B2926" s="213"/>
      <c r="C2926" s="213"/>
      <c r="D2926" s="213"/>
      <c r="E2926" s="213"/>
      <c r="F2926" s="213"/>
      <c r="G2926" s="213"/>
      <c r="H2926" s="213"/>
      <c r="I2926" s="213"/>
      <c r="J2926" s="213"/>
      <c r="K2926" s="213"/>
      <c r="L2926" s="213"/>
      <c r="M2926" s="213"/>
      <c r="N2926" s="213"/>
      <c r="O2926" s="213"/>
      <c r="P2926" s="213"/>
      <c r="Q2926" s="213"/>
      <c r="R2926" s="213"/>
      <c r="S2926" s="213"/>
      <c r="T2926" s="213"/>
      <c r="U2926" s="213"/>
      <c r="V2926" s="213"/>
      <c r="W2926" s="213"/>
      <c r="X2926" s="213"/>
      <c r="Y2926" s="213"/>
      <c r="Z2926" s="213"/>
      <c r="AA2926" s="213"/>
      <c r="AB2926" s="213"/>
      <c r="AC2926" s="213"/>
      <c r="AD2926" s="213"/>
      <c r="AE2926" s="213"/>
      <c r="AF2926" s="213"/>
      <c r="AG2926" s="213"/>
      <c r="AH2926" s="213"/>
      <c r="AI2926" s="213"/>
      <c r="AJ2926" s="213"/>
      <c r="AK2926" s="213"/>
      <c r="AL2926" s="213"/>
      <c r="AM2926" s="213"/>
      <c r="AN2926" s="213"/>
      <c r="AO2926" s="213"/>
      <c r="AP2926" s="213"/>
      <c r="AQ2926" s="213"/>
      <c r="AR2926" s="213"/>
      <c r="AS2926" s="213"/>
      <c r="AT2926" s="213"/>
      <c r="AU2926" s="213"/>
      <c r="AV2926" s="213"/>
      <c r="AW2926" s="213"/>
      <c r="AX2926" s="213"/>
      <c r="AY2926" s="213"/>
      <c r="AZ2926" s="213"/>
      <c r="BA2926" s="213"/>
      <c r="BB2926" s="213"/>
      <c r="BC2926" s="213"/>
      <c r="BD2926" s="213"/>
    </row>
    <row r="2927">
      <c r="A2927" s="213"/>
      <c r="B2927" s="213"/>
      <c r="C2927" s="213"/>
      <c r="D2927" s="213"/>
      <c r="E2927" s="213"/>
      <c r="F2927" s="213"/>
      <c r="G2927" s="213"/>
      <c r="H2927" s="213"/>
      <c r="I2927" s="213"/>
      <c r="J2927" s="213"/>
      <c r="K2927" s="213"/>
      <c r="L2927" s="213"/>
      <c r="M2927" s="213"/>
      <c r="N2927" s="213"/>
      <c r="O2927" s="213"/>
      <c r="P2927" s="213"/>
      <c r="Q2927" s="213"/>
      <c r="R2927" s="213"/>
      <c r="S2927" s="213"/>
      <c r="T2927" s="213"/>
      <c r="U2927" s="213"/>
      <c r="V2927" s="213"/>
      <c r="W2927" s="213"/>
      <c r="X2927" s="213"/>
      <c r="Y2927" s="213"/>
      <c r="Z2927" s="213"/>
      <c r="AA2927" s="213"/>
      <c r="AB2927" s="213"/>
      <c r="AC2927" s="213"/>
      <c r="AD2927" s="213"/>
      <c r="AE2927" s="213"/>
      <c r="AF2927" s="213"/>
      <c r="AG2927" s="213"/>
      <c r="AH2927" s="213"/>
      <c r="AI2927" s="213"/>
      <c r="AJ2927" s="213"/>
      <c r="AK2927" s="213"/>
      <c r="AL2927" s="213"/>
      <c r="AM2927" s="213"/>
      <c r="AN2927" s="213"/>
      <c r="AO2927" s="213"/>
      <c r="AP2927" s="213"/>
      <c r="AQ2927" s="213"/>
      <c r="AR2927" s="213"/>
      <c r="AS2927" s="213"/>
      <c r="AT2927" s="213"/>
      <c r="AU2927" s="213"/>
      <c r="AV2927" s="213"/>
      <c r="AW2927" s="213"/>
      <c r="AX2927" s="213"/>
      <c r="AY2927" s="213"/>
      <c r="AZ2927" s="213"/>
      <c r="BA2927" s="213"/>
      <c r="BB2927" s="213"/>
      <c r="BC2927" s="213"/>
      <c r="BD2927" s="213"/>
    </row>
    <row r="2928">
      <c r="A2928" s="213"/>
      <c r="B2928" s="213"/>
      <c r="C2928" s="213"/>
      <c r="D2928" s="213"/>
      <c r="E2928" s="213"/>
      <c r="F2928" s="213"/>
      <c r="G2928" s="213"/>
      <c r="H2928" s="213"/>
      <c r="I2928" s="213"/>
      <c r="J2928" s="213"/>
      <c r="K2928" s="213"/>
      <c r="L2928" s="213"/>
      <c r="M2928" s="213"/>
      <c r="N2928" s="213"/>
      <c r="O2928" s="213"/>
      <c r="P2928" s="213"/>
      <c r="Q2928" s="213"/>
      <c r="R2928" s="213"/>
      <c r="S2928" s="213"/>
      <c r="T2928" s="213"/>
      <c r="U2928" s="213"/>
      <c r="V2928" s="213"/>
      <c r="W2928" s="213"/>
      <c r="X2928" s="213"/>
      <c r="Y2928" s="213"/>
      <c r="Z2928" s="213"/>
      <c r="AA2928" s="213"/>
      <c r="AB2928" s="213"/>
      <c r="AC2928" s="213"/>
      <c r="AD2928" s="213"/>
      <c r="AE2928" s="213"/>
      <c r="AF2928" s="213"/>
      <c r="AG2928" s="213"/>
      <c r="AH2928" s="213"/>
      <c r="AI2928" s="213"/>
      <c r="AJ2928" s="213"/>
      <c r="AK2928" s="213"/>
      <c r="AL2928" s="213"/>
      <c r="AM2928" s="213"/>
      <c r="AN2928" s="213"/>
      <c r="AO2928" s="213"/>
      <c r="AP2928" s="213"/>
      <c r="AQ2928" s="213"/>
      <c r="AR2928" s="213"/>
      <c r="AS2928" s="213"/>
      <c r="AT2928" s="213"/>
      <c r="AU2928" s="213"/>
      <c r="AV2928" s="213"/>
      <c r="AW2928" s="213"/>
      <c r="AX2928" s="213"/>
      <c r="AY2928" s="213"/>
      <c r="AZ2928" s="213"/>
      <c r="BA2928" s="213"/>
      <c r="BB2928" s="213"/>
      <c r="BC2928" s="213"/>
      <c r="BD2928" s="213"/>
    </row>
    <row r="2929">
      <c r="A2929" s="213"/>
      <c r="B2929" s="213"/>
      <c r="C2929" s="213"/>
      <c r="D2929" s="213"/>
      <c r="E2929" s="213"/>
      <c r="F2929" s="213"/>
      <c r="G2929" s="213"/>
      <c r="H2929" s="213"/>
      <c r="I2929" s="213"/>
      <c r="J2929" s="213"/>
      <c r="K2929" s="213"/>
      <c r="L2929" s="213"/>
      <c r="M2929" s="213"/>
      <c r="N2929" s="213"/>
      <c r="O2929" s="213"/>
      <c r="P2929" s="213"/>
      <c r="Q2929" s="213"/>
      <c r="R2929" s="213"/>
      <c r="S2929" s="213"/>
      <c r="T2929" s="213"/>
      <c r="U2929" s="213"/>
      <c r="V2929" s="213"/>
      <c r="W2929" s="213"/>
      <c r="X2929" s="213"/>
      <c r="Y2929" s="213"/>
      <c r="Z2929" s="213"/>
      <c r="AA2929" s="213"/>
      <c r="AB2929" s="213"/>
      <c r="AC2929" s="213"/>
      <c r="AD2929" s="213"/>
      <c r="AE2929" s="213"/>
      <c r="AF2929" s="213"/>
      <c r="AG2929" s="213"/>
      <c r="AH2929" s="213"/>
      <c r="AI2929" s="213"/>
      <c r="AJ2929" s="213"/>
      <c r="AK2929" s="213"/>
      <c r="AL2929" s="213"/>
      <c r="AM2929" s="213"/>
      <c r="AN2929" s="213"/>
      <c r="AO2929" s="213"/>
      <c r="AP2929" s="213"/>
      <c r="AQ2929" s="213"/>
      <c r="AR2929" s="213"/>
      <c r="AS2929" s="213"/>
      <c r="AT2929" s="213"/>
      <c r="AU2929" s="213"/>
      <c r="AV2929" s="213"/>
      <c r="AW2929" s="213"/>
      <c r="AX2929" s="213"/>
      <c r="AY2929" s="213"/>
      <c r="AZ2929" s="213"/>
      <c r="BA2929" s="213"/>
      <c r="BB2929" s="213"/>
      <c r="BC2929" s="213"/>
      <c r="BD2929" s="213"/>
    </row>
    <row r="2930">
      <c r="A2930" s="213"/>
      <c r="B2930" s="213"/>
      <c r="C2930" s="213"/>
      <c r="D2930" s="213"/>
      <c r="E2930" s="213"/>
      <c r="F2930" s="213"/>
      <c r="G2930" s="213"/>
      <c r="H2930" s="213"/>
      <c r="I2930" s="213"/>
      <c r="J2930" s="213"/>
      <c r="K2930" s="213"/>
      <c r="L2930" s="213"/>
      <c r="M2930" s="213"/>
      <c r="N2930" s="213"/>
      <c r="O2930" s="213"/>
      <c r="P2930" s="213"/>
      <c r="Q2930" s="213"/>
      <c r="R2930" s="213"/>
      <c r="S2930" s="213"/>
      <c r="T2930" s="213"/>
      <c r="U2930" s="213"/>
      <c r="V2930" s="213"/>
      <c r="W2930" s="213"/>
      <c r="X2930" s="213"/>
      <c r="Y2930" s="213"/>
      <c r="Z2930" s="213"/>
      <c r="AA2930" s="213"/>
      <c r="AB2930" s="213"/>
      <c r="AC2930" s="213"/>
      <c r="AD2930" s="213"/>
      <c r="AE2930" s="213"/>
      <c r="AF2930" s="213"/>
      <c r="AG2930" s="213"/>
      <c r="AH2930" s="213"/>
      <c r="AI2930" s="213"/>
      <c r="AJ2930" s="213"/>
      <c r="AK2930" s="213"/>
      <c r="AL2930" s="213"/>
      <c r="AM2930" s="213"/>
      <c r="AN2930" s="213"/>
      <c r="AO2930" s="213"/>
      <c r="AP2930" s="213"/>
      <c r="AQ2930" s="213"/>
      <c r="AR2930" s="213"/>
      <c r="AS2930" s="213"/>
      <c r="AT2930" s="213"/>
      <c r="AU2930" s="213"/>
      <c r="AV2930" s="213"/>
      <c r="AW2930" s="213"/>
      <c r="AX2930" s="213"/>
      <c r="AY2930" s="213"/>
      <c r="AZ2930" s="213"/>
      <c r="BA2930" s="213"/>
      <c r="BB2930" s="213"/>
      <c r="BC2930" s="213"/>
      <c r="BD2930" s="213"/>
    </row>
    <row r="2931">
      <c r="A2931" s="213"/>
      <c r="B2931" s="213"/>
      <c r="C2931" s="213"/>
      <c r="D2931" s="213"/>
      <c r="E2931" s="213"/>
      <c r="F2931" s="213"/>
      <c r="G2931" s="213"/>
      <c r="H2931" s="213"/>
      <c r="I2931" s="213"/>
      <c r="J2931" s="213"/>
      <c r="K2931" s="213"/>
      <c r="L2931" s="213"/>
      <c r="M2931" s="213"/>
      <c r="N2931" s="213"/>
      <c r="O2931" s="213"/>
      <c r="P2931" s="213"/>
      <c r="Q2931" s="213"/>
      <c r="R2931" s="213"/>
      <c r="S2931" s="213"/>
      <c r="T2931" s="213"/>
      <c r="U2931" s="213"/>
      <c r="V2931" s="213"/>
      <c r="W2931" s="213"/>
      <c r="X2931" s="213"/>
      <c r="Y2931" s="213"/>
      <c r="Z2931" s="213"/>
      <c r="AA2931" s="213"/>
      <c r="AB2931" s="213"/>
      <c r="AC2931" s="213"/>
      <c r="AD2931" s="213"/>
      <c r="AE2931" s="213"/>
      <c r="AF2931" s="213"/>
      <c r="AG2931" s="213"/>
      <c r="AH2931" s="213"/>
      <c r="AI2931" s="213"/>
      <c r="AJ2931" s="213"/>
      <c r="AK2931" s="213"/>
      <c r="AL2931" s="213"/>
      <c r="AM2931" s="213"/>
      <c r="AN2931" s="213"/>
      <c r="AO2931" s="213"/>
      <c r="AP2931" s="213"/>
      <c r="AQ2931" s="213"/>
      <c r="AR2931" s="213"/>
      <c r="AS2931" s="213"/>
      <c r="AT2931" s="213"/>
      <c r="AU2931" s="213"/>
      <c r="AV2931" s="213"/>
      <c r="AW2931" s="213"/>
      <c r="AX2931" s="213"/>
      <c r="AY2931" s="213"/>
      <c r="AZ2931" s="213"/>
      <c r="BA2931" s="213"/>
      <c r="BB2931" s="213"/>
      <c r="BC2931" s="213"/>
      <c r="BD2931" s="213"/>
    </row>
    <row r="2932">
      <c r="A2932" s="213"/>
      <c r="B2932" s="213"/>
      <c r="C2932" s="213"/>
      <c r="D2932" s="213"/>
      <c r="E2932" s="213"/>
      <c r="F2932" s="213"/>
      <c r="G2932" s="213"/>
      <c r="H2932" s="213"/>
      <c r="I2932" s="213"/>
      <c r="J2932" s="213"/>
      <c r="K2932" s="213"/>
      <c r="L2932" s="213"/>
      <c r="M2932" s="213"/>
      <c r="N2932" s="213"/>
      <c r="O2932" s="213"/>
      <c r="P2932" s="213"/>
      <c r="Q2932" s="213"/>
      <c r="R2932" s="213"/>
      <c r="S2932" s="213"/>
      <c r="T2932" s="213"/>
      <c r="U2932" s="213"/>
      <c r="V2932" s="213"/>
      <c r="W2932" s="213"/>
      <c r="X2932" s="213"/>
      <c r="Y2932" s="213"/>
      <c r="Z2932" s="213"/>
      <c r="AA2932" s="213"/>
      <c r="AB2932" s="213"/>
      <c r="AC2932" s="213"/>
      <c r="AD2932" s="213"/>
      <c r="AE2932" s="213"/>
      <c r="AF2932" s="213"/>
      <c r="AG2932" s="213"/>
      <c r="AH2932" s="213"/>
      <c r="AI2932" s="213"/>
      <c r="AJ2932" s="213"/>
      <c r="AK2932" s="213"/>
      <c r="AL2932" s="213"/>
      <c r="AM2932" s="213"/>
      <c r="AN2932" s="213"/>
      <c r="AO2932" s="213"/>
      <c r="AP2932" s="213"/>
      <c r="AQ2932" s="213"/>
      <c r="AR2932" s="213"/>
      <c r="AS2932" s="213"/>
      <c r="AT2932" s="213"/>
      <c r="AU2932" s="213"/>
      <c r="AV2932" s="213"/>
      <c r="AW2932" s="213"/>
      <c r="AX2932" s="213"/>
      <c r="AY2932" s="213"/>
      <c r="AZ2932" s="213"/>
      <c r="BA2932" s="213"/>
      <c r="BB2932" s="213"/>
      <c r="BC2932" s="213"/>
      <c r="BD2932" s="213"/>
    </row>
    <row r="2933">
      <c r="A2933" s="213"/>
      <c r="B2933" s="213"/>
      <c r="C2933" s="213"/>
      <c r="D2933" s="213"/>
      <c r="E2933" s="213"/>
      <c r="F2933" s="213"/>
      <c r="G2933" s="213"/>
      <c r="H2933" s="213"/>
      <c r="I2933" s="213"/>
      <c r="J2933" s="213"/>
      <c r="K2933" s="213"/>
      <c r="L2933" s="213"/>
      <c r="M2933" s="213"/>
      <c r="N2933" s="213"/>
      <c r="O2933" s="213"/>
      <c r="P2933" s="213"/>
      <c r="Q2933" s="213"/>
      <c r="R2933" s="213"/>
      <c r="S2933" s="213"/>
      <c r="T2933" s="213"/>
      <c r="U2933" s="213"/>
      <c r="V2933" s="213"/>
      <c r="W2933" s="213"/>
      <c r="X2933" s="213"/>
      <c r="Y2933" s="213"/>
      <c r="Z2933" s="213"/>
      <c r="AA2933" s="213"/>
      <c r="AB2933" s="213"/>
      <c r="AC2933" s="213"/>
      <c r="AD2933" s="213"/>
      <c r="AE2933" s="213"/>
      <c r="AF2933" s="213"/>
      <c r="AG2933" s="213"/>
      <c r="AH2933" s="213"/>
      <c r="AI2933" s="213"/>
      <c r="AJ2933" s="213"/>
      <c r="AK2933" s="213"/>
      <c r="AL2933" s="213"/>
      <c r="AM2933" s="213"/>
      <c r="AN2933" s="213"/>
      <c r="AO2933" s="213"/>
      <c r="AP2933" s="213"/>
      <c r="AQ2933" s="213"/>
      <c r="AR2933" s="213"/>
      <c r="AS2933" s="213"/>
      <c r="AT2933" s="213"/>
      <c r="AU2933" s="213"/>
      <c r="AV2933" s="213"/>
      <c r="AW2933" s="213"/>
      <c r="AX2933" s="213"/>
      <c r="AY2933" s="213"/>
      <c r="AZ2933" s="213"/>
      <c r="BA2933" s="213"/>
      <c r="BB2933" s="213"/>
      <c r="BC2933" s="213"/>
      <c r="BD2933" s="213"/>
    </row>
    <row r="2934">
      <c r="A2934" s="213"/>
      <c r="B2934" s="213"/>
      <c r="C2934" s="213"/>
      <c r="D2934" s="213"/>
      <c r="E2934" s="213"/>
      <c r="F2934" s="213"/>
      <c r="G2934" s="213"/>
      <c r="H2934" s="213"/>
      <c r="I2934" s="213"/>
      <c r="J2934" s="213"/>
      <c r="K2934" s="213"/>
      <c r="L2934" s="213"/>
      <c r="M2934" s="213"/>
      <c r="N2934" s="213"/>
      <c r="O2934" s="213"/>
      <c r="P2934" s="213"/>
      <c r="Q2934" s="213"/>
      <c r="R2934" s="213"/>
      <c r="S2934" s="213"/>
      <c r="T2934" s="213"/>
      <c r="U2934" s="213"/>
      <c r="V2934" s="213"/>
      <c r="W2934" s="213"/>
      <c r="X2934" s="213"/>
      <c r="Y2934" s="213"/>
      <c r="Z2934" s="213"/>
      <c r="AA2934" s="213"/>
      <c r="AB2934" s="213"/>
      <c r="AC2934" s="213"/>
      <c r="AD2934" s="213"/>
      <c r="AE2934" s="213"/>
      <c r="AF2934" s="213"/>
      <c r="AG2934" s="213"/>
      <c r="AH2934" s="213"/>
      <c r="AI2934" s="213"/>
      <c r="AJ2934" s="213"/>
      <c r="AK2934" s="213"/>
      <c r="AL2934" s="213"/>
      <c r="AM2934" s="213"/>
      <c r="AN2934" s="213"/>
      <c r="AO2934" s="213"/>
      <c r="AP2934" s="213"/>
      <c r="AQ2934" s="213"/>
      <c r="AR2934" s="213"/>
      <c r="AS2934" s="213"/>
      <c r="AT2934" s="213"/>
      <c r="AU2934" s="213"/>
      <c r="AV2934" s="213"/>
      <c r="AW2934" s="213"/>
      <c r="AX2934" s="213"/>
      <c r="AY2934" s="213"/>
      <c r="AZ2934" s="213"/>
      <c r="BA2934" s="213"/>
      <c r="BB2934" s="213"/>
      <c r="BC2934" s="213"/>
      <c r="BD2934" s="213"/>
    </row>
    <row r="2935">
      <c r="A2935" s="213"/>
      <c r="B2935" s="213"/>
      <c r="C2935" s="213"/>
      <c r="D2935" s="213"/>
      <c r="E2935" s="213"/>
      <c r="F2935" s="213"/>
      <c r="G2935" s="213"/>
      <c r="H2935" s="213"/>
      <c r="I2935" s="213"/>
      <c r="J2935" s="213"/>
      <c r="K2935" s="213"/>
      <c r="L2935" s="213"/>
      <c r="M2935" s="213"/>
      <c r="N2935" s="213"/>
      <c r="O2935" s="213"/>
      <c r="P2935" s="213"/>
      <c r="Q2935" s="213"/>
      <c r="R2935" s="213"/>
      <c r="S2935" s="213"/>
      <c r="T2935" s="213"/>
      <c r="U2935" s="213"/>
      <c r="V2935" s="213"/>
      <c r="W2935" s="213"/>
      <c r="X2935" s="213"/>
      <c r="Y2935" s="213"/>
      <c r="Z2935" s="213"/>
      <c r="AA2935" s="213"/>
      <c r="AB2935" s="213"/>
      <c r="AC2935" s="213"/>
      <c r="AD2935" s="213"/>
      <c r="AE2935" s="213"/>
      <c r="AF2935" s="213"/>
      <c r="AG2935" s="213"/>
      <c r="AH2935" s="213"/>
      <c r="AI2935" s="213"/>
      <c r="AJ2935" s="213"/>
      <c r="AK2935" s="213"/>
      <c r="AL2935" s="213"/>
      <c r="AM2935" s="213"/>
      <c r="AN2935" s="213"/>
      <c r="AO2935" s="213"/>
      <c r="AP2935" s="213"/>
      <c r="AQ2935" s="213"/>
      <c r="AR2935" s="213"/>
      <c r="AS2935" s="213"/>
      <c r="AT2935" s="213"/>
      <c r="AU2935" s="213"/>
      <c r="AV2935" s="213"/>
      <c r="AW2935" s="213"/>
      <c r="AX2935" s="213"/>
      <c r="AY2935" s="213"/>
      <c r="AZ2935" s="213"/>
      <c r="BA2935" s="213"/>
      <c r="BB2935" s="213"/>
      <c r="BC2935" s="213"/>
      <c r="BD2935" s="213"/>
    </row>
    <row r="2936">
      <c r="A2936" s="213"/>
      <c r="B2936" s="213"/>
      <c r="C2936" s="213"/>
      <c r="D2936" s="213"/>
      <c r="E2936" s="213"/>
      <c r="F2936" s="213"/>
      <c r="G2936" s="213"/>
      <c r="H2936" s="213"/>
      <c r="I2936" s="213"/>
      <c r="J2936" s="213"/>
      <c r="K2936" s="213"/>
      <c r="L2936" s="213"/>
      <c r="M2936" s="213"/>
      <c r="N2936" s="213"/>
      <c r="O2936" s="213"/>
      <c r="P2936" s="213"/>
      <c r="Q2936" s="213"/>
      <c r="R2936" s="213"/>
      <c r="S2936" s="213"/>
      <c r="T2936" s="213"/>
      <c r="U2936" s="213"/>
      <c r="V2936" s="213"/>
      <c r="W2936" s="213"/>
      <c r="X2936" s="213"/>
      <c r="Y2936" s="213"/>
      <c r="Z2936" s="213"/>
      <c r="AA2936" s="213"/>
      <c r="AB2936" s="213"/>
      <c r="AC2936" s="213"/>
      <c r="AD2936" s="213"/>
      <c r="AE2936" s="213"/>
      <c r="AF2936" s="213"/>
      <c r="AG2936" s="213"/>
      <c r="AH2936" s="213"/>
      <c r="AI2936" s="213"/>
      <c r="AJ2936" s="213"/>
      <c r="AK2936" s="213"/>
      <c r="AL2936" s="213"/>
      <c r="AM2936" s="213"/>
      <c r="AN2936" s="213"/>
      <c r="AO2936" s="213"/>
      <c r="AP2936" s="213"/>
      <c r="AQ2936" s="213"/>
      <c r="AR2936" s="213"/>
      <c r="AS2936" s="213"/>
      <c r="AT2936" s="213"/>
      <c r="AU2936" s="213"/>
      <c r="AV2936" s="213"/>
      <c r="AW2936" s="213"/>
      <c r="AX2936" s="213"/>
      <c r="AY2936" s="213"/>
      <c r="AZ2936" s="213"/>
      <c r="BA2936" s="213"/>
      <c r="BB2936" s="213"/>
      <c r="BC2936" s="213"/>
      <c r="BD2936" s="213"/>
    </row>
    <row r="2937">
      <c r="A2937" s="213"/>
      <c r="B2937" s="213"/>
      <c r="C2937" s="213"/>
      <c r="D2937" s="213"/>
      <c r="E2937" s="213"/>
      <c r="F2937" s="213"/>
      <c r="G2937" s="213"/>
      <c r="H2937" s="213"/>
      <c r="I2937" s="213"/>
      <c r="J2937" s="213"/>
      <c r="K2937" s="213"/>
      <c r="L2937" s="213"/>
      <c r="M2937" s="213"/>
      <c r="N2937" s="213"/>
      <c r="O2937" s="213"/>
      <c r="P2937" s="213"/>
      <c r="Q2937" s="213"/>
      <c r="R2937" s="213"/>
      <c r="S2937" s="213"/>
      <c r="T2937" s="213"/>
      <c r="U2937" s="213"/>
      <c r="V2937" s="213"/>
      <c r="W2937" s="213"/>
      <c r="X2937" s="213"/>
      <c r="Y2937" s="213"/>
      <c r="Z2937" s="213"/>
      <c r="AA2937" s="213"/>
      <c r="AB2937" s="213"/>
      <c r="AC2937" s="213"/>
      <c r="AD2937" s="213"/>
      <c r="AE2937" s="213"/>
      <c r="AF2937" s="213"/>
      <c r="AG2937" s="213"/>
      <c r="AH2937" s="213"/>
      <c r="AI2937" s="213"/>
      <c r="AJ2937" s="213"/>
      <c r="AK2937" s="213"/>
      <c r="AL2937" s="213"/>
      <c r="AM2937" s="213"/>
      <c r="AN2937" s="213"/>
      <c r="AO2937" s="213"/>
      <c r="AP2937" s="213"/>
      <c r="AQ2937" s="213"/>
      <c r="AR2937" s="213"/>
      <c r="AS2937" s="213"/>
      <c r="AT2937" s="213"/>
      <c r="AU2937" s="213"/>
      <c r="AV2937" s="213"/>
      <c r="AW2937" s="213"/>
      <c r="AX2937" s="213"/>
      <c r="AY2937" s="213"/>
      <c r="AZ2937" s="213"/>
      <c r="BA2937" s="213"/>
      <c r="BB2937" s="213"/>
      <c r="BC2937" s="213"/>
      <c r="BD2937" s="213"/>
    </row>
    <row r="2938">
      <c r="A2938" s="213"/>
      <c r="B2938" s="213"/>
      <c r="C2938" s="213"/>
      <c r="D2938" s="213"/>
      <c r="E2938" s="213"/>
      <c r="F2938" s="213"/>
      <c r="G2938" s="213"/>
      <c r="H2938" s="213"/>
      <c r="I2938" s="213"/>
      <c r="J2938" s="213"/>
      <c r="K2938" s="213"/>
      <c r="L2938" s="213"/>
      <c r="M2938" s="213"/>
      <c r="N2938" s="213"/>
      <c r="O2938" s="213"/>
      <c r="P2938" s="213"/>
      <c r="Q2938" s="213"/>
      <c r="R2938" s="213"/>
      <c r="S2938" s="213"/>
      <c r="T2938" s="213"/>
      <c r="U2938" s="213"/>
      <c r="V2938" s="213"/>
      <c r="W2938" s="213"/>
      <c r="X2938" s="213"/>
      <c r="Y2938" s="213"/>
      <c r="Z2938" s="213"/>
      <c r="AA2938" s="213"/>
      <c r="AB2938" s="213"/>
      <c r="AC2938" s="213"/>
      <c r="AD2938" s="213"/>
      <c r="AE2938" s="213"/>
      <c r="AF2938" s="213"/>
      <c r="AG2938" s="213"/>
      <c r="AH2938" s="213"/>
      <c r="AI2938" s="213"/>
      <c r="AJ2938" s="213"/>
      <c r="AK2938" s="213"/>
      <c r="AL2938" s="213"/>
      <c r="AM2938" s="213"/>
      <c r="AN2938" s="213"/>
      <c r="AO2938" s="213"/>
      <c r="AP2938" s="213"/>
      <c r="AQ2938" s="213"/>
      <c r="AR2938" s="213"/>
      <c r="AS2938" s="213"/>
      <c r="AT2938" s="213"/>
      <c r="AU2938" s="213"/>
      <c r="AV2938" s="213"/>
      <c r="AW2938" s="213"/>
      <c r="AX2938" s="213"/>
      <c r="AY2938" s="213"/>
      <c r="AZ2938" s="213"/>
      <c r="BA2938" s="213"/>
      <c r="BB2938" s="213"/>
      <c r="BC2938" s="213"/>
      <c r="BD2938" s="213"/>
    </row>
    <row r="2939">
      <c r="A2939" s="213"/>
      <c r="B2939" s="213"/>
      <c r="C2939" s="213"/>
      <c r="D2939" s="213"/>
      <c r="E2939" s="213"/>
      <c r="F2939" s="213"/>
      <c r="G2939" s="213"/>
      <c r="H2939" s="213"/>
      <c r="I2939" s="213"/>
      <c r="J2939" s="213"/>
      <c r="K2939" s="213"/>
      <c r="L2939" s="213"/>
      <c r="M2939" s="213"/>
      <c r="N2939" s="213"/>
      <c r="O2939" s="213"/>
      <c r="P2939" s="213"/>
      <c r="Q2939" s="213"/>
      <c r="R2939" s="213"/>
      <c r="S2939" s="213"/>
      <c r="T2939" s="213"/>
      <c r="U2939" s="213"/>
      <c r="V2939" s="213"/>
      <c r="W2939" s="213"/>
      <c r="X2939" s="213"/>
      <c r="Y2939" s="213"/>
      <c r="Z2939" s="213"/>
      <c r="AA2939" s="213"/>
      <c r="AB2939" s="213"/>
      <c r="AC2939" s="213"/>
      <c r="AD2939" s="213"/>
      <c r="AE2939" s="213"/>
      <c r="AF2939" s="213"/>
      <c r="AG2939" s="213"/>
      <c r="AH2939" s="213"/>
      <c r="AI2939" s="213"/>
      <c r="AJ2939" s="213"/>
      <c r="AK2939" s="213"/>
      <c r="AL2939" s="213"/>
      <c r="AM2939" s="213"/>
      <c r="AN2939" s="213"/>
      <c r="AO2939" s="213"/>
      <c r="AP2939" s="213"/>
      <c r="AQ2939" s="213"/>
      <c r="AR2939" s="213"/>
      <c r="AS2939" s="213"/>
      <c r="AT2939" s="213"/>
      <c r="AU2939" s="213"/>
      <c r="AV2939" s="213"/>
      <c r="AW2939" s="213"/>
      <c r="AX2939" s="213"/>
      <c r="AY2939" s="213"/>
      <c r="AZ2939" s="213"/>
      <c r="BA2939" s="213"/>
      <c r="BB2939" s="213"/>
      <c r="BC2939" s="213"/>
      <c r="BD2939" s="213"/>
    </row>
    <row r="2940">
      <c r="A2940" s="213"/>
      <c r="B2940" s="213"/>
      <c r="C2940" s="213"/>
      <c r="D2940" s="213"/>
      <c r="E2940" s="213"/>
      <c r="F2940" s="213"/>
      <c r="G2940" s="213"/>
      <c r="H2940" s="213"/>
      <c r="I2940" s="213"/>
      <c r="J2940" s="213"/>
      <c r="K2940" s="213"/>
      <c r="L2940" s="213"/>
      <c r="M2940" s="213"/>
      <c r="N2940" s="213"/>
      <c r="O2940" s="213"/>
      <c r="P2940" s="213"/>
      <c r="Q2940" s="213"/>
      <c r="R2940" s="213"/>
      <c r="S2940" s="213"/>
      <c r="T2940" s="213"/>
      <c r="U2940" s="213"/>
      <c r="V2940" s="213"/>
      <c r="W2940" s="213"/>
      <c r="X2940" s="213"/>
      <c r="Y2940" s="213"/>
      <c r="Z2940" s="213"/>
      <c r="AA2940" s="213"/>
      <c r="AB2940" s="213"/>
      <c r="AC2940" s="213"/>
      <c r="AD2940" s="213"/>
      <c r="AE2940" s="213"/>
      <c r="AF2940" s="213"/>
      <c r="AG2940" s="213"/>
      <c r="AH2940" s="213"/>
      <c r="AI2940" s="213"/>
      <c r="AJ2940" s="213"/>
      <c r="AK2940" s="213"/>
      <c r="AL2940" s="213"/>
      <c r="AM2940" s="213"/>
      <c r="AN2940" s="213"/>
      <c r="AO2940" s="213"/>
      <c r="AP2940" s="213"/>
      <c r="AQ2940" s="213"/>
      <c r="AR2940" s="213"/>
      <c r="AS2940" s="213"/>
      <c r="AT2940" s="213"/>
      <c r="AU2940" s="213"/>
      <c r="AV2940" s="213"/>
      <c r="AW2940" s="213"/>
      <c r="AX2940" s="213"/>
      <c r="AY2940" s="213"/>
      <c r="AZ2940" s="213"/>
      <c r="BA2940" s="213"/>
      <c r="BB2940" s="213"/>
      <c r="BC2940" s="213"/>
      <c r="BD2940" s="213"/>
    </row>
    <row r="2941">
      <c r="A2941" s="213"/>
      <c r="B2941" s="213"/>
      <c r="C2941" s="213"/>
      <c r="D2941" s="213"/>
      <c r="E2941" s="213"/>
      <c r="F2941" s="213"/>
      <c r="G2941" s="213"/>
      <c r="H2941" s="213"/>
      <c r="I2941" s="213"/>
      <c r="J2941" s="213"/>
      <c r="K2941" s="213"/>
      <c r="L2941" s="213"/>
      <c r="M2941" s="213"/>
      <c r="N2941" s="213"/>
      <c r="O2941" s="213"/>
      <c r="P2941" s="213"/>
      <c r="Q2941" s="213"/>
      <c r="R2941" s="213"/>
      <c r="S2941" s="213"/>
      <c r="T2941" s="213"/>
      <c r="U2941" s="213"/>
      <c r="V2941" s="213"/>
      <c r="W2941" s="213"/>
      <c r="X2941" s="213"/>
      <c r="Y2941" s="213"/>
      <c r="Z2941" s="213"/>
      <c r="AA2941" s="213"/>
      <c r="AB2941" s="213"/>
      <c r="AC2941" s="213"/>
      <c r="AD2941" s="213"/>
      <c r="AE2941" s="213"/>
      <c r="AF2941" s="213"/>
      <c r="AG2941" s="213"/>
      <c r="AH2941" s="213"/>
      <c r="AI2941" s="213"/>
      <c r="AJ2941" s="213"/>
      <c r="AK2941" s="213"/>
      <c r="AL2941" s="213"/>
      <c r="AM2941" s="213"/>
      <c r="AN2941" s="213"/>
      <c r="AO2941" s="213"/>
      <c r="AP2941" s="213"/>
      <c r="AQ2941" s="213"/>
      <c r="AR2941" s="213"/>
      <c r="AS2941" s="213"/>
      <c r="AT2941" s="213"/>
      <c r="AU2941" s="213"/>
      <c r="AV2941" s="213"/>
      <c r="AW2941" s="213"/>
      <c r="AX2941" s="213"/>
      <c r="AY2941" s="213"/>
      <c r="AZ2941" s="213"/>
      <c r="BA2941" s="213"/>
      <c r="BB2941" s="213"/>
      <c r="BC2941" s="213"/>
      <c r="BD2941" s="213"/>
    </row>
    <row r="2942">
      <c r="A2942" s="213"/>
      <c r="B2942" s="213"/>
      <c r="C2942" s="213"/>
      <c r="D2942" s="213"/>
      <c r="E2942" s="213"/>
      <c r="F2942" s="213"/>
      <c r="G2942" s="213"/>
      <c r="H2942" s="213"/>
      <c r="I2942" s="213"/>
      <c r="J2942" s="213"/>
      <c r="K2942" s="213"/>
      <c r="L2942" s="213"/>
      <c r="M2942" s="213"/>
      <c r="N2942" s="213"/>
      <c r="O2942" s="213"/>
      <c r="P2942" s="213"/>
      <c r="Q2942" s="213"/>
      <c r="R2942" s="213"/>
      <c r="S2942" s="213"/>
      <c r="T2942" s="213"/>
      <c r="U2942" s="213"/>
      <c r="V2942" s="213"/>
      <c r="W2942" s="213"/>
      <c r="X2942" s="213"/>
      <c r="Y2942" s="213"/>
      <c r="Z2942" s="213"/>
      <c r="AA2942" s="213"/>
      <c r="AB2942" s="213"/>
      <c r="AC2942" s="213"/>
      <c r="AD2942" s="213"/>
      <c r="AE2942" s="213"/>
      <c r="AF2942" s="213"/>
      <c r="AG2942" s="213"/>
      <c r="AH2942" s="213"/>
      <c r="AI2942" s="213"/>
      <c r="AJ2942" s="213"/>
      <c r="AK2942" s="213"/>
      <c r="AL2942" s="213"/>
      <c r="AM2942" s="213"/>
      <c r="AN2942" s="213"/>
      <c r="AO2942" s="213"/>
      <c r="AP2942" s="213"/>
      <c r="AQ2942" s="213"/>
      <c r="AR2942" s="213"/>
      <c r="AS2942" s="213"/>
      <c r="AT2942" s="213"/>
      <c r="AU2942" s="213"/>
      <c r="AV2942" s="213"/>
      <c r="AW2942" s="213"/>
      <c r="AX2942" s="213"/>
      <c r="AY2942" s="213"/>
      <c r="AZ2942" s="213"/>
      <c r="BA2942" s="213"/>
      <c r="BB2942" s="213"/>
      <c r="BC2942" s="213"/>
      <c r="BD2942" s="213"/>
    </row>
    <row r="2943">
      <c r="A2943" s="213"/>
      <c r="B2943" s="213"/>
      <c r="C2943" s="213"/>
      <c r="D2943" s="213"/>
      <c r="E2943" s="213"/>
      <c r="F2943" s="213"/>
      <c r="G2943" s="213"/>
      <c r="H2943" s="213"/>
      <c r="I2943" s="213"/>
      <c r="J2943" s="213"/>
      <c r="K2943" s="213"/>
      <c r="L2943" s="213"/>
      <c r="M2943" s="213"/>
      <c r="N2943" s="213"/>
      <c r="O2943" s="213"/>
      <c r="P2943" s="213"/>
      <c r="Q2943" s="213"/>
      <c r="R2943" s="213"/>
      <c r="S2943" s="213"/>
      <c r="T2943" s="213"/>
      <c r="U2943" s="213"/>
      <c r="V2943" s="213"/>
      <c r="W2943" s="213"/>
      <c r="X2943" s="213"/>
      <c r="Y2943" s="213"/>
      <c r="Z2943" s="213"/>
      <c r="AA2943" s="213"/>
      <c r="AB2943" s="213"/>
      <c r="AC2943" s="213"/>
      <c r="AD2943" s="213"/>
      <c r="AE2943" s="213"/>
      <c r="AF2943" s="213"/>
      <c r="AG2943" s="213"/>
      <c r="AH2943" s="213"/>
      <c r="AI2943" s="213"/>
      <c r="AJ2943" s="213"/>
      <c r="AK2943" s="213"/>
      <c r="AL2943" s="213"/>
      <c r="AM2943" s="213"/>
      <c r="AN2943" s="213"/>
      <c r="AO2943" s="213"/>
      <c r="AP2943" s="213"/>
      <c r="AQ2943" s="213"/>
      <c r="AR2943" s="213"/>
      <c r="AS2943" s="213"/>
      <c r="AT2943" s="213"/>
      <c r="AU2943" s="213"/>
      <c r="AV2943" s="213"/>
      <c r="AW2943" s="213"/>
      <c r="AX2943" s="213"/>
      <c r="AY2943" s="213"/>
      <c r="AZ2943" s="213"/>
      <c r="BA2943" s="213"/>
      <c r="BB2943" s="213"/>
      <c r="BC2943" s="213"/>
      <c r="BD2943" s="213"/>
    </row>
    <row r="2944">
      <c r="A2944" s="213"/>
      <c r="B2944" s="213"/>
      <c r="C2944" s="213"/>
      <c r="D2944" s="213"/>
      <c r="E2944" s="213"/>
      <c r="F2944" s="213"/>
      <c r="G2944" s="213"/>
      <c r="H2944" s="213"/>
      <c r="I2944" s="213"/>
      <c r="J2944" s="213"/>
      <c r="K2944" s="213"/>
      <c r="L2944" s="213"/>
      <c r="M2944" s="213"/>
      <c r="N2944" s="213"/>
      <c r="O2944" s="213"/>
      <c r="P2944" s="213"/>
      <c r="Q2944" s="213"/>
      <c r="R2944" s="213"/>
      <c r="S2944" s="213"/>
      <c r="T2944" s="213"/>
      <c r="U2944" s="213"/>
      <c r="V2944" s="213"/>
      <c r="W2944" s="213"/>
      <c r="X2944" s="213"/>
      <c r="Y2944" s="213"/>
      <c r="Z2944" s="213"/>
      <c r="AA2944" s="213"/>
      <c r="AB2944" s="213"/>
      <c r="AC2944" s="213"/>
      <c r="AD2944" s="213"/>
      <c r="AE2944" s="213"/>
      <c r="AF2944" s="213"/>
      <c r="AG2944" s="213"/>
      <c r="AH2944" s="213"/>
      <c r="AI2944" s="213"/>
      <c r="AJ2944" s="213"/>
      <c r="AK2944" s="213"/>
      <c r="AL2944" s="213"/>
      <c r="AM2944" s="213"/>
      <c r="AN2944" s="213"/>
      <c r="AO2944" s="213"/>
      <c r="AP2944" s="213"/>
      <c r="AQ2944" s="213"/>
      <c r="AR2944" s="213"/>
      <c r="AS2944" s="213"/>
      <c r="AT2944" s="213"/>
      <c r="AU2944" s="213"/>
      <c r="AV2944" s="213"/>
      <c r="AW2944" s="213"/>
      <c r="AX2944" s="213"/>
      <c r="AY2944" s="213"/>
      <c r="AZ2944" s="213"/>
      <c r="BA2944" s="213"/>
      <c r="BB2944" s="213"/>
      <c r="BC2944" s="213"/>
      <c r="BD2944" s="213"/>
    </row>
    <row r="2945">
      <c r="A2945" s="213"/>
      <c r="B2945" s="213"/>
      <c r="C2945" s="213"/>
      <c r="D2945" s="213"/>
      <c r="E2945" s="213"/>
      <c r="F2945" s="213"/>
      <c r="G2945" s="213"/>
      <c r="H2945" s="213"/>
      <c r="I2945" s="213"/>
      <c r="J2945" s="213"/>
      <c r="K2945" s="213"/>
      <c r="L2945" s="213"/>
      <c r="M2945" s="213"/>
      <c r="N2945" s="213"/>
      <c r="O2945" s="213"/>
      <c r="P2945" s="213"/>
      <c r="Q2945" s="213"/>
      <c r="R2945" s="213"/>
      <c r="S2945" s="213"/>
      <c r="T2945" s="213"/>
      <c r="U2945" s="213"/>
      <c r="V2945" s="213"/>
      <c r="W2945" s="213"/>
      <c r="X2945" s="213"/>
      <c r="Y2945" s="213"/>
      <c r="Z2945" s="213"/>
      <c r="AA2945" s="213"/>
      <c r="AB2945" s="213"/>
      <c r="AC2945" s="213"/>
      <c r="AD2945" s="213"/>
      <c r="AE2945" s="213"/>
      <c r="AF2945" s="213"/>
      <c r="AG2945" s="213"/>
      <c r="AH2945" s="213"/>
      <c r="AI2945" s="213"/>
      <c r="AJ2945" s="213"/>
      <c r="AK2945" s="213"/>
      <c r="AL2945" s="213"/>
      <c r="AM2945" s="213"/>
      <c r="AN2945" s="213"/>
      <c r="AO2945" s="213"/>
      <c r="AP2945" s="213"/>
      <c r="AQ2945" s="213"/>
      <c r="AR2945" s="213"/>
      <c r="AS2945" s="213"/>
      <c r="AT2945" s="213"/>
      <c r="AU2945" s="213"/>
      <c r="AV2945" s="213"/>
      <c r="AW2945" s="213"/>
      <c r="AX2945" s="213"/>
      <c r="AY2945" s="213"/>
      <c r="AZ2945" s="213"/>
      <c r="BA2945" s="213"/>
      <c r="BB2945" s="213"/>
      <c r="BC2945" s="213"/>
      <c r="BD2945" s="213"/>
    </row>
    <row r="2946">
      <c r="A2946" s="213"/>
      <c r="B2946" s="213"/>
      <c r="C2946" s="213"/>
      <c r="D2946" s="213"/>
      <c r="E2946" s="213"/>
      <c r="F2946" s="213"/>
      <c r="G2946" s="213"/>
      <c r="H2946" s="213"/>
      <c r="I2946" s="213"/>
      <c r="J2946" s="213"/>
      <c r="K2946" s="213"/>
      <c r="L2946" s="213"/>
      <c r="M2946" s="213"/>
      <c r="N2946" s="213"/>
      <c r="O2946" s="213"/>
      <c r="P2946" s="213"/>
      <c r="Q2946" s="213"/>
      <c r="R2946" s="213"/>
      <c r="S2946" s="213"/>
      <c r="T2946" s="213"/>
      <c r="U2946" s="213"/>
      <c r="V2946" s="213"/>
      <c r="W2946" s="213"/>
      <c r="X2946" s="213"/>
      <c r="Y2946" s="213"/>
      <c r="Z2946" s="213"/>
      <c r="AA2946" s="213"/>
      <c r="AB2946" s="213"/>
      <c r="AC2946" s="213"/>
      <c r="AD2946" s="213"/>
      <c r="AE2946" s="213"/>
      <c r="AF2946" s="213"/>
      <c r="AG2946" s="213"/>
      <c r="AH2946" s="213"/>
      <c r="AI2946" s="213"/>
      <c r="AJ2946" s="213"/>
      <c r="AK2946" s="213"/>
      <c r="AL2946" s="213"/>
      <c r="AM2946" s="213"/>
      <c r="AN2946" s="213"/>
      <c r="AO2946" s="213"/>
      <c r="AP2946" s="213"/>
      <c r="AQ2946" s="213"/>
      <c r="AR2946" s="213"/>
      <c r="AS2946" s="213"/>
      <c r="AT2946" s="213"/>
      <c r="AU2946" s="213"/>
      <c r="AV2946" s="213"/>
      <c r="AW2946" s="213"/>
      <c r="AX2946" s="213"/>
      <c r="AY2946" s="213"/>
      <c r="AZ2946" s="213"/>
      <c r="BA2946" s="213"/>
      <c r="BB2946" s="213"/>
      <c r="BC2946" s="213"/>
      <c r="BD2946" s="213"/>
    </row>
    <row r="2947">
      <c r="A2947" s="213"/>
      <c r="B2947" s="213"/>
      <c r="C2947" s="213"/>
      <c r="D2947" s="213"/>
      <c r="E2947" s="213"/>
      <c r="F2947" s="213"/>
      <c r="G2947" s="213"/>
      <c r="H2947" s="213"/>
      <c r="I2947" s="213"/>
      <c r="J2947" s="213"/>
      <c r="K2947" s="213"/>
      <c r="L2947" s="213"/>
      <c r="M2947" s="213"/>
      <c r="N2947" s="213"/>
      <c r="O2947" s="213"/>
      <c r="P2947" s="213"/>
      <c r="Q2947" s="213"/>
      <c r="R2947" s="213"/>
      <c r="S2947" s="213"/>
      <c r="T2947" s="213"/>
      <c r="U2947" s="213"/>
      <c r="V2947" s="213"/>
      <c r="W2947" s="213"/>
      <c r="X2947" s="213"/>
      <c r="Y2947" s="213"/>
      <c r="Z2947" s="213"/>
      <c r="AA2947" s="213"/>
      <c r="AB2947" s="213"/>
      <c r="AC2947" s="213"/>
      <c r="AD2947" s="213"/>
      <c r="AE2947" s="213"/>
      <c r="AF2947" s="213"/>
      <c r="AG2947" s="213"/>
      <c r="AH2947" s="213"/>
      <c r="AI2947" s="213"/>
      <c r="AJ2947" s="213"/>
      <c r="AK2947" s="213"/>
      <c r="AL2947" s="213"/>
      <c r="AM2947" s="213"/>
      <c r="AN2947" s="213"/>
      <c r="AO2947" s="213"/>
      <c r="AP2947" s="213"/>
      <c r="AQ2947" s="213"/>
      <c r="AR2947" s="213"/>
      <c r="AS2947" s="213"/>
      <c r="AT2947" s="213"/>
      <c r="AU2947" s="213"/>
      <c r="AV2947" s="213"/>
      <c r="AW2947" s="213"/>
      <c r="AX2947" s="213"/>
      <c r="AY2947" s="213"/>
      <c r="AZ2947" s="213"/>
      <c r="BA2947" s="213"/>
      <c r="BB2947" s="213"/>
      <c r="BC2947" s="213"/>
      <c r="BD2947" s="213"/>
    </row>
    <row r="2948">
      <c r="A2948" s="213"/>
      <c r="B2948" s="213"/>
      <c r="C2948" s="213"/>
      <c r="D2948" s="213"/>
      <c r="E2948" s="213"/>
      <c r="F2948" s="213"/>
      <c r="G2948" s="213"/>
      <c r="H2948" s="213"/>
      <c r="I2948" s="213"/>
      <c r="J2948" s="213"/>
      <c r="K2948" s="213"/>
      <c r="L2948" s="213"/>
      <c r="M2948" s="213"/>
      <c r="N2948" s="213"/>
      <c r="O2948" s="213"/>
      <c r="P2948" s="213"/>
      <c r="Q2948" s="213"/>
      <c r="R2948" s="213"/>
      <c r="S2948" s="213"/>
      <c r="T2948" s="213"/>
      <c r="U2948" s="213"/>
      <c r="V2948" s="213"/>
      <c r="W2948" s="213"/>
      <c r="X2948" s="213"/>
      <c r="Y2948" s="213"/>
      <c r="Z2948" s="213"/>
      <c r="AA2948" s="213"/>
      <c r="AB2948" s="213"/>
      <c r="AC2948" s="213"/>
      <c r="AD2948" s="213"/>
      <c r="AE2948" s="213"/>
      <c r="AF2948" s="213"/>
      <c r="AG2948" s="213"/>
      <c r="AH2948" s="213"/>
      <c r="AI2948" s="213"/>
      <c r="AJ2948" s="213"/>
      <c r="AK2948" s="213"/>
      <c r="AL2948" s="213"/>
      <c r="AM2948" s="213"/>
      <c r="AN2948" s="213"/>
      <c r="AO2948" s="213"/>
      <c r="AP2948" s="213"/>
      <c r="AQ2948" s="213"/>
      <c r="AR2948" s="213"/>
      <c r="AS2948" s="213"/>
      <c r="AT2948" s="213"/>
      <c r="AU2948" s="213"/>
      <c r="AV2948" s="213"/>
      <c r="AW2948" s="213"/>
      <c r="AX2948" s="213"/>
      <c r="AY2948" s="213"/>
      <c r="AZ2948" s="213"/>
      <c r="BA2948" s="213"/>
      <c r="BB2948" s="213"/>
      <c r="BC2948" s="213"/>
      <c r="BD2948" s="213"/>
    </row>
    <row r="2949">
      <c r="A2949" s="213"/>
      <c r="B2949" s="213"/>
      <c r="C2949" s="213"/>
      <c r="D2949" s="213"/>
      <c r="E2949" s="213"/>
      <c r="F2949" s="213"/>
      <c r="G2949" s="213"/>
      <c r="H2949" s="213"/>
      <c r="I2949" s="213"/>
      <c r="J2949" s="213"/>
      <c r="K2949" s="213"/>
      <c r="L2949" s="213"/>
      <c r="M2949" s="213"/>
      <c r="N2949" s="213"/>
      <c r="O2949" s="213"/>
      <c r="P2949" s="213"/>
      <c r="Q2949" s="213"/>
      <c r="R2949" s="213"/>
      <c r="S2949" s="213"/>
      <c r="T2949" s="213"/>
      <c r="U2949" s="213"/>
      <c r="V2949" s="213"/>
      <c r="W2949" s="213"/>
      <c r="X2949" s="213"/>
      <c r="Y2949" s="213"/>
      <c r="Z2949" s="213"/>
      <c r="AA2949" s="213"/>
      <c r="AB2949" s="213"/>
      <c r="AC2949" s="213"/>
      <c r="AD2949" s="213"/>
      <c r="AE2949" s="213"/>
      <c r="AF2949" s="213"/>
      <c r="AG2949" s="213"/>
      <c r="AH2949" s="213"/>
      <c r="AI2949" s="213"/>
      <c r="AJ2949" s="213"/>
      <c r="AK2949" s="213"/>
      <c r="AL2949" s="213"/>
      <c r="AM2949" s="213"/>
      <c r="AN2949" s="213"/>
      <c r="AO2949" s="213"/>
      <c r="AP2949" s="213"/>
      <c r="AQ2949" s="213"/>
      <c r="AR2949" s="213"/>
      <c r="AS2949" s="213"/>
      <c r="AT2949" s="213"/>
      <c r="AU2949" s="213"/>
      <c r="AV2949" s="213"/>
      <c r="AW2949" s="213"/>
      <c r="AX2949" s="213"/>
      <c r="AY2949" s="213"/>
      <c r="AZ2949" s="213"/>
      <c r="BA2949" s="213"/>
      <c r="BB2949" s="213"/>
      <c r="BC2949" s="213"/>
      <c r="BD2949" s="213"/>
    </row>
    <row r="2950">
      <c r="A2950" s="213"/>
      <c r="B2950" s="213"/>
      <c r="C2950" s="213"/>
      <c r="D2950" s="213"/>
      <c r="E2950" s="213"/>
      <c r="F2950" s="213"/>
      <c r="G2950" s="213"/>
      <c r="H2950" s="213"/>
      <c r="I2950" s="213"/>
      <c r="J2950" s="213"/>
      <c r="K2950" s="213"/>
      <c r="L2950" s="213"/>
      <c r="M2950" s="213"/>
      <c r="N2950" s="213"/>
      <c r="O2950" s="213"/>
      <c r="P2950" s="213"/>
      <c r="Q2950" s="213"/>
      <c r="R2950" s="213"/>
      <c r="S2950" s="213"/>
      <c r="T2950" s="213"/>
      <c r="U2950" s="213"/>
      <c r="V2950" s="213"/>
      <c r="W2950" s="213"/>
      <c r="X2950" s="213"/>
      <c r="Y2950" s="213"/>
      <c r="Z2950" s="213"/>
      <c r="AA2950" s="213"/>
      <c r="AB2950" s="213"/>
      <c r="AC2950" s="213"/>
      <c r="AD2950" s="213"/>
      <c r="AE2950" s="213"/>
      <c r="AF2950" s="213"/>
      <c r="AG2950" s="213"/>
      <c r="AH2950" s="213"/>
      <c r="AI2950" s="213"/>
      <c r="AJ2950" s="213"/>
      <c r="AK2950" s="213"/>
      <c r="AL2950" s="213"/>
      <c r="AM2950" s="213"/>
      <c r="AN2950" s="213"/>
      <c r="AO2950" s="213"/>
      <c r="AP2950" s="213"/>
      <c r="AQ2950" s="213"/>
      <c r="AR2950" s="213"/>
      <c r="AS2950" s="213"/>
      <c r="AT2950" s="213"/>
      <c r="AU2950" s="213"/>
      <c r="AV2950" s="213"/>
      <c r="AW2950" s="213"/>
      <c r="AX2950" s="213"/>
      <c r="AY2950" s="213"/>
      <c r="AZ2950" s="213"/>
      <c r="BA2950" s="213"/>
      <c r="BB2950" s="213"/>
      <c r="BC2950" s="213"/>
      <c r="BD2950" s="213"/>
    </row>
    <row r="2951">
      <c r="A2951" s="213"/>
      <c r="B2951" s="213"/>
      <c r="C2951" s="213"/>
      <c r="D2951" s="213"/>
      <c r="E2951" s="213"/>
      <c r="F2951" s="213"/>
      <c r="G2951" s="213"/>
      <c r="H2951" s="213"/>
      <c r="I2951" s="213"/>
      <c r="J2951" s="213"/>
      <c r="K2951" s="213"/>
      <c r="L2951" s="213"/>
      <c r="M2951" s="213"/>
      <c r="N2951" s="213"/>
      <c r="O2951" s="213"/>
      <c r="P2951" s="213"/>
      <c r="Q2951" s="213"/>
      <c r="R2951" s="213"/>
      <c r="S2951" s="213"/>
      <c r="T2951" s="213"/>
      <c r="U2951" s="213"/>
      <c r="V2951" s="213"/>
      <c r="W2951" s="213"/>
      <c r="X2951" s="213"/>
      <c r="Y2951" s="213"/>
      <c r="Z2951" s="213"/>
      <c r="AA2951" s="213"/>
      <c r="AB2951" s="213"/>
      <c r="AC2951" s="213"/>
      <c r="AD2951" s="213"/>
      <c r="AE2951" s="213"/>
      <c r="AF2951" s="213"/>
      <c r="AG2951" s="213"/>
      <c r="AH2951" s="213"/>
      <c r="AI2951" s="213"/>
      <c r="AJ2951" s="213"/>
      <c r="AK2951" s="213"/>
      <c r="AL2951" s="213"/>
      <c r="AM2951" s="213"/>
      <c r="AN2951" s="213"/>
      <c r="AO2951" s="213"/>
      <c r="AP2951" s="213"/>
      <c r="AQ2951" s="213"/>
      <c r="AR2951" s="213"/>
      <c r="AS2951" s="213"/>
      <c r="AT2951" s="213"/>
      <c r="AU2951" s="213"/>
      <c r="AV2951" s="213"/>
      <c r="AW2951" s="213"/>
      <c r="AX2951" s="213"/>
      <c r="AY2951" s="213"/>
      <c r="AZ2951" s="213"/>
      <c r="BA2951" s="213"/>
      <c r="BB2951" s="213"/>
      <c r="BC2951" s="213"/>
      <c r="BD2951" s="213"/>
    </row>
    <row r="2952">
      <c r="A2952" s="213"/>
      <c r="B2952" s="213"/>
      <c r="C2952" s="213"/>
      <c r="D2952" s="213"/>
      <c r="E2952" s="213"/>
      <c r="F2952" s="213"/>
      <c r="G2952" s="213"/>
      <c r="H2952" s="213"/>
      <c r="I2952" s="213"/>
      <c r="J2952" s="213"/>
      <c r="K2952" s="213"/>
      <c r="L2952" s="213"/>
      <c r="M2952" s="213"/>
      <c r="N2952" s="213"/>
      <c r="O2952" s="213"/>
      <c r="P2952" s="213"/>
      <c r="Q2952" s="213"/>
      <c r="R2952" s="213"/>
      <c r="S2952" s="213"/>
      <c r="T2952" s="213"/>
      <c r="U2952" s="213"/>
      <c r="V2952" s="213"/>
      <c r="W2952" s="213"/>
      <c r="X2952" s="213"/>
      <c r="Y2952" s="213"/>
      <c r="Z2952" s="213"/>
      <c r="AA2952" s="213"/>
      <c r="AB2952" s="213"/>
      <c r="AC2952" s="213"/>
      <c r="AD2952" s="213"/>
      <c r="AE2952" s="213"/>
      <c r="AF2952" s="213"/>
      <c r="AG2952" s="213"/>
      <c r="AH2952" s="213"/>
      <c r="AI2952" s="213"/>
      <c r="AJ2952" s="213"/>
      <c r="AK2952" s="213"/>
      <c r="AL2952" s="213"/>
      <c r="AM2952" s="213"/>
      <c r="AN2952" s="213"/>
      <c r="AO2952" s="213"/>
      <c r="AP2952" s="213"/>
      <c r="AQ2952" s="213"/>
      <c r="AR2952" s="213"/>
      <c r="AS2952" s="213"/>
      <c r="AT2952" s="213"/>
      <c r="AU2952" s="213"/>
      <c r="AV2952" s="213"/>
      <c r="AW2952" s="213"/>
      <c r="AX2952" s="213"/>
      <c r="AY2952" s="213"/>
      <c r="AZ2952" s="213"/>
      <c r="BA2952" s="213"/>
      <c r="BB2952" s="213"/>
      <c r="BC2952" s="213"/>
      <c r="BD2952" s="213"/>
    </row>
    <row r="2953">
      <c r="A2953" s="213"/>
      <c r="B2953" s="213"/>
      <c r="C2953" s="213"/>
      <c r="D2953" s="213"/>
      <c r="E2953" s="213"/>
      <c r="F2953" s="213"/>
      <c r="G2953" s="213"/>
      <c r="H2953" s="213"/>
      <c r="I2953" s="213"/>
      <c r="J2953" s="213"/>
      <c r="K2953" s="213"/>
      <c r="L2953" s="213"/>
      <c r="M2953" s="213"/>
      <c r="N2953" s="213"/>
      <c r="O2953" s="213"/>
      <c r="P2953" s="213"/>
      <c r="Q2953" s="213"/>
      <c r="R2953" s="213"/>
      <c r="S2953" s="213"/>
      <c r="T2953" s="213"/>
      <c r="U2953" s="213"/>
      <c r="V2953" s="213"/>
      <c r="W2953" s="213"/>
      <c r="X2953" s="213"/>
      <c r="Y2953" s="213"/>
      <c r="Z2953" s="213"/>
      <c r="AA2953" s="213"/>
      <c r="AB2953" s="213"/>
      <c r="AC2953" s="213"/>
      <c r="AD2953" s="213"/>
      <c r="AE2953" s="213"/>
      <c r="AF2953" s="213"/>
      <c r="AG2953" s="213"/>
      <c r="AH2953" s="213"/>
      <c r="AI2953" s="213"/>
      <c r="AJ2953" s="213"/>
      <c r="AK2953" s="213"/>
      <c r="AL2953" s="213"/>
      <c r="AM2953" s="213"/>
      <c r="AN2953" s="213"/>
      <c r="AO2953" s="213"/>
      <c r="AP2953" s="213"/>
      <c r="AQ2953" s="213"/>
      <c r="AR2953" s="213"/>
      <c r="AS2953" s="213"/>
      <c r="AT2953" s="213"/>
      <c r="AU2953" s="213"/>
      <c r="AV2953" s="213"/>
      <c r="AW2953" s="213"/>
      <c r="AX2953" s="213"/>
      <c r="AY2953" s="213"/>
      <c r="AZ2953" s="213"/>
      <c r="BA2953" s="213"/>
      <c r="BB2953" s="213"/>
      <c r="BC2953" s="213"/>
      <c r="BD2953" s="213"/>
    </row>
    <row r="2954">
      <c r="A2954" s="213"/>
      <c r="B2954" s="213"/>
      <c r="C2954" s="213"/>
      <c r="D2954" s="213"/>
      <c r="E2954" s="213"/>
      <c r="F2954" s="213"/>
      <c r="G2954" s="213"/>
      <c r="H2954" s="213"/>
      <c r="I2954" s="213"/>
      <c r="J2954" s="213"/>
      <c r="K2954" s="213"/>
      <c r="L2954" s="213"/>
      <c r="M2954" s="213"/>
      <c r="N2954" s="213"/>
      <c r="O2954" s="213"/>
      <c r="P2954" s="213"/>
      <c r="Q2954" s="213"/>
      <c r="R2954" s="213"/>
      <c r="S2954" s="213"/>
      <c r="T2954" s="213"/>
      <c r="U2954" s="213"/>
      <c r="V2954" s="213"/>
      <c r="W2954" s="213"/>
      <c r="X2954" s="213"/>
      <c r="Y2954" s="213"/>
      <c r="Z2954" s="213"/>
      <c r="AA2954" s="213"/>
      <c r="AB2954" s="213"/>
      <c r="AC2954" s="213"/>
      <c r="AD2954" s="213"/>
      <c r="AE2954" s="213"/>
      <c r="AF2954" s="213"/>
      <c r="AG2954" s="213"/>
      <c r="AH2954" s="213"/>
      <c r="AI2954" s="213"/>
      <c r="AJ2954" s="213"/>
      <c r="AK2954" s="213"/>
      <c r="AL2954" s="213"/>
      <c r="AM2954" s="213"/>
      <c r="AN2954" s="213"/>
      <c r="AO2954" s="213"/>
      <c r="AP2954" s="213"/>
      <c r="AQ2954" s="213"/>
      <c r="AR2954" s="213"/>
      <c r="AS2954" s="213"/>
      <c r="AT2954" s="213"/>
      <c r="AU2954" s="213"/>
      <c r="AV2954" s="213"/>
      <c r="AW2954" s="213"/>
      <c r="AX2954" s="213"/>
      <c r="AY2954" s="213"/>
      <c r="AZ2954" s="213"/>
      <c r="BA2954" s="213"/>
      <c r="BB2954" s="213"/>
      <c r="BC2954" s="213"/>
      <c r="BD2954" s="213"/>
    </row>
    <row r="2955">
      <c r="A2955" s="213"/>
      <c r="B2955" s="213"/>
      <c r="C2955" s="213"/>
      <c r="D2955" s="213"/>
      <c r="E2955" s="213"/>
      <c r="F2955" s="213"/>
      <c r="G2955" s="213"/>
      <c r="H2955" s="213"/>
      <c r="I2955" s="213"/>
      <c r="J2955" s="213"/>
      <c r="K2955" s="213"/>
      <c r="L2955" s="213"/>
      <c r="M2955" s="213"/>
      <c r="N2955" s="213"/>
      <c r="O2955" s="213"/>
      <c r="P2955" s="213"/>
      <c r="Q2955" s="213"/>
      <c r="R2955" s="213"/>
      <c r="S2955" s="213"/>
      <c r="T2955" s="213"/>
      <c r="U2955" s="213"/>
      <c r="V2955" s="213"/>
      <c r="W2955" s="213"/>
      <c r="X2955" s="213"/>
      <c r="Y2955" s="213"/>
      <c r="Z2955" s="213"/>
      <c r="AA2955" s="213"/>
      <c r="AB2955" s="213"/>
      <c r="AC2955" s="213"/>
      <c r="AD2955" s="213"/>
      <c r="AE2955" s="213"/>
      <c r="AF2955" s="213"/>
      <c r="AG2955" s="213"/>
      <c r="AH2955" s="213"/>
      <c r="AI2955" s="213"/>
      <c r="AJ2955" s="213"/>
      <c r="AK2955" s="213"/>
      <c r="AL2955" s="213"/>
      <c r="AM2955" s="213"/>
      <c r="AN2955" s="213"/>
      <c r="AO2955" s="213"/>
      <c r="AP2955" s="213"/>
      <c r="AQ2955" s="213"/>
      <c r="AR2955" s="213"/>
      <c r="AS2955" s="213"/>
      <c r="AT2955" s="213"/>
      <c r="AU2955" s="213"/>
      <c r="AV2955" s="213"/>
      <c r="AW2955" s="213"/>
      <c r="AX2955" s="213"/>
      <c r="AY2955" s="213"/>
      <c r="AZ2955" s="213"/>
      <c r="BA2955" s="213"/>
      <c r="BB2955" s="213"/>
      <c r="BC2955" s="213"/>
      <c r="BD2955" s="213"/>
    </row>
    <row r="2956">
      <c r="A2956" s="213"/>
      <c r="B2956" s="213"/>
      <c r="C2956" s="213"/>
      <c r="D2956" s="213"/>
      <c r="E2956" s="213"/>
      <c r="F2956" s="213"/>
      <c r="G2956" s="213"/>
      <c r="H2956" s="213"/>
      <c r="I2956" s="213"/>
      <c r="J2956" s="213"/>
      <c r="K2956" s="213"/>
      <c r="L2956" s="213"/>
      <c r="M2956" s="213"/>
      <c r="N2956" s="213"/>
      <c r="O2956" s="213"/>
      <c r="P2956" s="213"/>
      <c r="Q2956" s="213"/>
      <c r="R2956" s="213"/>
      <c r="S2956" s="213"/>
      <c r="T2956" s="213"/>
      <c r="U2956" s="213"/>
      <c r="V2956" s="213"/>
      <c r="W2956" s="213"/>
      <c r="X2956" s="213"/>
      <c r="Y2956" s="213"/>
      <c r="Z2956" s="213"/>
      <c r="AA2956" s="213"/>
      <c r="AB2956" s="213"/>
      <c r="AC2956" s="213"/>
      <c r="AD2956" s="213"/>
      <c r="AE2956" s="213"/>
      <c r="AF2956" s="213"/>
      <c r="AG2956" s="213"/>
      <c r="AH2956" s="213"/>
      <c r="AI2956" s="213"/>
      <c r="AJ2956" s="213"/>
      <c r="AK2956" s="213"/>
      <c r="AL2956" s="213"/>
      <c r="AM2956" s="213"/>
      <c r="AN2956" s="213"/>
      <c r="AO2956" s="213"/>
      <c r="AP2956" s="213"/>
      <c r="AQ2956" s="213"/>
      <c r="AR2956" s="213"/>
      <c r="AS2956" s="213"/>
      <c r="AT2956" s="213"/>
      <c r="AU2956" s="213"/>
      <c r="AV2956" s="213"/>
      <c r="AW2956" s="213"/>
      <c r="AX2956" s="213"/>
      <c r="AY2956" s="213"/>
      <c r="AZ2956" s="213"/>
      <c r="BA2956" s="213"/>
      <c r="BB2956" s="213"/>
      <c r="BC2956" s="213"/>
      <c r="BD2956" s="213"/>
    </row>
    <row r="2957">
      <c r="A2957" s="213"/>
      <c r="B2957" s="213"/>
      <c r="C2957" s="213"/>
      <c r="D2957" s="213"/>
      <c r="E2957" s="213"/>
      <c r="F2957" s="213"/>
      <c r="G2957" s="213"/>
      <c r="H2957" s="213"/>
      <c r="I2957" s="213"/>
      <c r="J2957" s="213"/>
      <c r="K2957" s="213"/>
      <c r="L2957" s="213"/>
      <c r="M2957" s="213"/>
      <c r="N2957" s="213"/>
      <c r="O2957" s="213"/>
      <c r="P2957" s="213"/>
      <c r="Q2957" s="213"/>
      <c r="R2957" s="213"/>
      <c r="S2957" s="213"/>
      <c r="T2957" s="213"/>
      <c r="U2957" s="213"/>
      <c r="V2957" s="213"/>
      <c r="W2957" s="213"/>
      <c r="X2957" s="213"/>
      <c r="Y2957" s="213"/>
      <c r="Z2957" s="213"/>
      <c r="AA2957" s="213"/>
      <c r="AB2957" s="213"/>
      <c r="AC2957" s="213"/>
      <c r="AD2957" s="213"/>
      <c r="AE2957" s="213"/>
      <c r="AF2957" s="213"/>
      <c r="AG2957" s="213"/>
      <c r="AH2957" s="213"/>
      <c r="AI2957" s="213"/>
      <c r="AJ2957" s="213"/>
      <c r="AK2957" s="213"/>
      <c r="AL2957" s="213"/>
      <c r="AM2957" s="213"/>
      <c r="AN2957" s="213"/>
      <c r="AO2957" s="213"/>
      <c r="AP2957" s="213"/>
      <c r="AQ2957" s="213"/>
      <c r="AR2957" s="213"/>
      <c r="AS2957" s="213"/>
      <c r="AT2957" s="213"/>
      <c r="AU2957" s="213"/>
      <c r="AV2957" s="213"/>
      <c r="AW2957" s="213"/>
      <c r="AX2957" s="213"/>
      <c r="AY2957" s="213"/>
      <c r="AZ2957" s="213"/>
      <c r="BA2957" s="213"/>
      <c r="BB2957" s="213"/>
      <c r="BC2957" s="213"/>
      <c r="BD2957" s="213"/>
    </row>
    <row r="2958">
      <c r="A2958" s="213"/>
      <c r="B2958" s="213"/>
      <c r="C2958" s="213"/>
      <c r="D2958" s="213"/>
      <c r="E2958" s="213"/>
      <c r="F2958" s="213"/>
      <c r="G2958" s="213"/>
      <c r="H2958" s="213"/>
      <c r="I2958" s="213"/>
      <c r="J2958" s="213"/>
      <c r="K2958" s="213"/>
      <c r="L2958" s="213"/>
      <c r="M2958" s="213"/>
      <c r="N2958" s="213"/>
      <c r="O2958" s="213"/>
      <c r="P2958" s="213"/>
      <c r="Q2958" s="213"/>
      <c r="R2958" s="213"/>
      <c r="S2958" s="213"/>
      <c r="T2958" s="213"/>
      <c r="U2958" s="213"/>
      <c r="V2958" s="213"/>
      <c r="W2958" s="213"/>
      <c r="X2958" s="213"/>
      <c r="Y2958" s="213"/>
      <c r="Z2958" s="213"/>
      <c r="AA2958" s="213"/>
      <c r="AB2958" s="213"/>
      <c r="AC2958" s="213"/>
      <c r="AD2958" s="213"/>
      <c r="AE2958" s="213"/>
      <c r="AF2958" s="213"/>
      <c r="AG2958" s="213"/>
      <c r="AH2958" s="213"/>
      <c r="AI2958" s="213"/>
      <c r="AJ2958" s="213"/>
      <c r="AK2958" s="213"/>
      <c r="AL2958" s="213"/>
      <c r="AM2958" s="213"/>
      <c r="AN2958" s="213"/>
      <c r="AO2958" s="213"/>
      <c r="AP2958" s="213"/>
      <c r="AQ2958" s="213"/>
      <c r="AR2958" s="213"/>
      <c r="AS2958" s="213"/>
      <c r="AT2958" s="213"/>
      <c r="AU2958" s="213"/>
      <c r="AV2958" s="213"/>
      <c r="AW2958" s="213"/>
      <c r="AX2958" s="213"/>
      <c r="AY2958" s="213"/>
      <c r="AZ2958" s="213"/>
      <c r="BA2958" s="213"/>
      <c r="BB2958" s="213"/>
      <c r="BC2958" s="213"/>
      <c r="BD2958" s="213"/>
    </row>
    <row r="2959">
      <c r="A2959" s="213"/>
      <c r="B2959" s="213"/>
      <c r="C2959" s="213"/>
      <c r="D2959" s="213"/>
      <c r="E2959" s="213"/>
      <c r="F2959" s="213"/>
      <c r="G2959" s="213"/>
      <c r="H2959" s="213"/>
      <c r="I2959" s="213"/>
      <c r="J2959" s="213"/>
      <c r="K2959" s="213"/>
      <c r="L2959" s="213"/>
      <c r="M2959" s="213"/>
      <c r="N2959" s="213"/>
      <c r="O2959" s="213"/>
      <c r="P2959" s="213"/>
      <c r="Q2959" s="213"/>
      <c r="R2959" s="213"/>
      <c r="S2959" s="213"/>
      <c r="T2959" s="213"/>
      <c r="U2959" s="213"/>
      <c r="V2959" s="213"/>
      <c r="W2959" s="213"/>
      <c r="X2959" s="213"/>
      <c r="Y2959" s="213"/>
      <c r="Z2959" s="213"/>
      <c r="AA2959" s="213"/>
      <c r="AB2959" s="213"/>
      <c r="AC2959" s="213"/>
      <c r="AD2959" s="213"/>
      <c r="AE2959" s="213"/>
      <c r="AF2959" s="213"/>
      <c r="AG2959" s="213"/>
      <c r="AH2959" s="213"/>
      <c r="AI2959" s="213"/>
      <c r="AJ2959" s="213"/>
      <c r="AK2959" s="213"/>
      <c r="AL2959" s="213"/>
      <c r="AM2959" s="213"/>
      <c r="AN2959" s="213"/>
      <c r="AO2959" s="213"/>
      <c r="AP2959" s="213"/>
      <c r="AQ2959" s="213"/>
      <c r="AR2959" s="213"/>
      <c r="AS2959" s="213"/>
      <c r="AT2959" s="213"/>
      <c r="AU2959" s="213"/>
      <c r="AV2959" s="213"/>
      <c r="AW2959" s="213"/>
      <c r="AX2959" s="213"/>
      <c r="AY2959" s="213"/>
      <c r="AZ2959" s="213"/>
      <c r="BA2959" s="213"/>
      <c r="BB2959" s="213"/>
      <c r="BC2959" s="213"/>
      <c r="BD2959" s="213"/>
    </row>
    <row r="2960">
      <c r="A2960" s="213"/>
      <c r="B2960" s="213"/>
      <c r="C2960" s="213"/>
      <c r="D2960" s="213"/>
      <c r="E2960" s="213"/>
      <c r="F2960" s="213"/>
      <c r="G2960" s="213"/>
      <c r="H2960" s="213"/>
      <c r="I2960" s="213"/>
      <c r="J2960" s="213"/>
      <c r="K2960" s="213"/>
      <c r="L2960" s="213"/>
      <c r="M2960" s="213"/>
      <c r="N2960" s="213"/>
      <c r="O2960" s="213"/>
      <c r="P2960" s="213"/>
      <c r="Q2960" s="213"/>
      <c r="R2960" s="213"/>
      <c r="S2960" s="213"/>
      <c r="T2960" s="213"/>
      <c r="U2960" s="213"/>
      <c r="V2960" s="213"/>
      <c r="W2960" s="213"/>
      <c r="X2960" s="213"/>
      <c r="Y2960" s="213"/>
      <c r="Z2960" s="213"/>
      <c r="AA2960" s="213"/>
      <c r="AB2960" s="213"/>
      <c r="AC2960" s="213"/>
      <c r="AD2960" s="213"/>
      <c r="AE2960" s="213"/>
      <c r="AF2960" s="213"/>
      <c r="AG2960" s="213"/>
      <c r="AH2960" s="213"/>
      <c r="AI2960" s="213"/>
      <c r="AJ2960" s="213"/>
      <c r="AK2960" s="213"/>
      <c r="AL2960" s="213"/>
      <c r="AM2960" s="213"/>
      <c r="AN2960" s="213"/>
      <c r="AO2960" s="213"/>
      <c r="AP2960" s="213"/>
      <c r="AQ2960" s="213"/>
      <c r="AR2960" s="213"/>
      <c r="AS2960" s="213"/>
      <c r="AT2960" s="213"/>
      <c r="AU2960" s="213"/>
      <c r="AV2960" s="213"/>
      <c r="AW2960" s="213"/>
      <c r="AX2960" s="213"/>
      <c r="AY2960" s="213"/>
      <c r="AZ2960" s="213"/>
      <c r="BA2960" s="213"/>
      <c r="BB2960" s="213"/>
      <c r="BC2960" s="213"/>
      <c r="BD2960" s="213"/>
    </row>
    <row r="2961">
      <c r="A2961" s="213"/>
      <c r="B2961" s="213"/>
      <c r="C2961" s="213"/>
      <c r="D2961" s="213"/>
      <c r="E2961" s="213"/>
      <c r="F2961" s="213"/>
      <c r="G2961" s="213"/>
      <c r="H2961" s="213"/>
      <c r="I2961" s="213"/>
      <c r="J2961" s="213"/>
      <c r="K2961" s="213"/>
      <c r="L2961" s="213"/>
      <c r="M2961" s="213"/>
      <c r="N2961" s="213"/>
      <c r="O2961" s="213"/>
      <c r="P2961" s="213"/>
      <c r="Q2961" s="213"/>
      <c r="R2961" s="213"/>
      <c r="S2961" s="213"/>
      <c r="T2961" s="213"/>
      <c r="U2961" s="213"/>
      <c r="V2961" s="213"/>
      <c r="W2961" s="213"/>
      <c r="X2961" s="213"/>
      <c r="Y2961" s="213"/>
      <c r="Z2961" s="213"/>
      <c r="AA2961" s="213"/>
      <c r="AB2961" s="213"/>
      <c r="AC2961" s="213"/>
      <c r="AD2961" s="213"/>
      <c r="AE2961" s="213"/>
      <c r="AF2961" s="213"/>
      <c r="AG2961" s="213"/>
      <c r="AH2961" s="213"/>
      <c r="AI2961" s="213"/>
      <c r="AJ2961" s="213"/>
      <c r="AK2961" s="213"/>
      <c r="AL2961" s="213"/>
      <c r="AM2961" s="213"/>
      <c r="AN2961" s="213"/>
      <c r="AO2961" s="213"/>
      <c r="AP2961" s="213"/>
      <c r="AQ2961" s="213"/>
      <c r="AR2961" s="213"/>
      <c r="AS2961" s="213"/>
      <c r="AT2961" s="213"/>
      <c r="AU2961" s="213"/>
      <c r="AV2961" s="213"/>
      <c r="AW2961" s="213"/>
      <c r="AX2961" s="213"/>
      <c r="AY2961" s="213"/>
      <c r="AZ2961" s="213"/>
      <c r="BA2961" s="213"/>
      <c r="BB2961" s="213"/>
      <c r="BC2961" s="213"/>
      <c r="BD2961" s="213"/>
    </row>
    <row r="2962">
      <c r="A2962" s="213"/>
      <c r="B2962" s="213"/>
      <c r="C2962" s="213"/>
      <c r="D2962" s="213"/>
      <c r="E2962" s="213"/>
      <c r="F2962" s="213"/>
      <c r="G2962" s="213"/>
      <c r="H2962" s="213"/>
      <c r="I2962" s="213"/>
      <c r="J2962" s="213"/>
      <c r="K2962" s="213"/>
      <c r="L2962" s="213"/>
      <c r="M2962" s="213"/>
      <c r="N2962" s="213"/>
      <c r="O2962" s="213"/>
      <c r="P2962" s="213"/>
      <c r="Q2962" s="213"/>
      <c r="R2962" s="213"/>
      <c r="S2962" s="213"/>
      <c r="T2962" s="213"/>
      <c r="U2962" s="213"/>
      <c r="V2962" s="213"/>
      <c r="W2962" s="213"/>
      <c r="X2962" s="213"/>
      <c r="Y2962" s="213"/>
      <c r="Z2962" s="213"/>
      <c r="AA2962" s="213"/>
      <c r="AB2962" s="213"/>
      <c r="AC2962" s="213"/>
      <c r="AD2962" s="213"/>
      <c r="AE2962" s="213"/>
      <c r="AF2962" s="213"/>
      <c r="AG2962" s="213"/>
      <c r="AH2962" s="213"/>
      <c r="AI2962" s="213"/>
      <c r="AJ2962" s="213"/>
      <c r="AK2962" s="213"/>
      <c r="AL2962" s="213"/>
      <c r="AM2962" s="213"/>
      <c r="AN2962" s="213"/>
      <c r="AO2962" s="213"/>
      <c r="AP2962" s="213"/>
      <c r="AQ2962" s="213"/>
      <c r="AR2962" s="213"/>
      <c r="AS2962" s="213"/>
      <c r="AT2962" s="213"/>
      <c r="AU2962" s="213"/>
      <c r="AV2962" s="213"/>
      <c r="AW2962" s="213"/>
      <c r="AX2962" s="213"/>
      <c r="AY2962" s="213"/>
      <c r="AZ2962" s="213"/>
      <c r="BA2962" s="213"/>
      <c r="BB2962" s="213"/>
      <c r="BC2962" s="213"/>
      <c r="BD2962" s="213"/>
    </row>
    <row r="2963">
      <c r="A2963" s="213"/>
      <c r="B2963" s="213"/>
      <c r="C2963" s="213"/>
      <c r="D2963" s="213"/>
      <c r="E2963" s="213"/>
      <c r="F2963" s="213"/>
      <c r="G2963" s="213"/>
      <c r="H2963" s="213"/>
      <c r="I2963" s="213"/>
      <c r="J2963" s="213"/>
      <c r="K2963" s="213"/>
      <c r="L2963" s="213"/>
      <c r="M2963" s="213"/>
      <c r="N2963" s="213"/>
      <c r="O2963" s="213"/>
      <c r="P2963" s="213"/>
      <c r="Q2963" s="213"/>
      <c r="R2963" s="213"/>
      <c r="S2963" s="213"/>
      <c r="T2963" s="213"/>
      <c r="U2963" s="213"/>
      <c r="V2963" s="213"/>
      <c r="W2963" s="213"/>
      <c r="X2963" s="213"/>
      <c r="Y2963" s="213"/>
      <c r="Z2963" s="213"/>
      <c r="AA2963" s="213"/>
      <c r="AB2963" s="213"/>
      <c r="AC2963" s="213"/>
      <c r="AD2963" s="213"/>
      <c r="AE2963" s="213"/>
      <c r="AF2963" s="213"/>
      <c r="AG2963" s="213"/>
      <c r="AH2963" s="213"/>
      <c r="AI2963" s="213"/>
      <c r="AJ2963" s="213"/>
      <c r="AK2963" s="213"/>
      <c r="AL2963" s="213"/>
      <c r="AM2963" s="213"/>
      <c r="AN2963" s="213"/>
      <c r="AO2963" s="213"/>
      <c r="AP2963" s="213"/>
      <c r="AQ2963" s="213"/>
      <c r="AR2963" s="213"/>
      <c r="AS2963" s="213"/>
      <c r="AT2963" s="213"/>
      <c r="AU2963" s="213"/>
      <c r="AV2963" s="213"/>
      <c r="AW2963" s="213"/>
      <c r="AX2963" s="213"/>
      <c r="AY2963" s="213"/>
      <c r="AZ2963" s="213"/>
      <c r="BA2963" s="213"/>
      <c r="BB2963" s="213"/>
      <c r="BC2963" s="213"/>
      <c r="BD2963" s="213"/>
    </row>
    <row r="2964">
      <c r="A2964" s="213"/>
      <c r="B2964" s="213"/>
      <c r="C2964" s="213"/>
      <c r="D2964" s="213"/>
      <c r="E2964" s="213"/>
      <c r="F2964" s="213"/>
      <c r="G2964" s="213"/>
      <c r="H2964" s="213"/>
      <c r="I2964" s="213"/>
      <c r="J2964" s="213"/>
      <c r="K2964" s="213"/>
      <c r="L2964" s="213"/>
      <c r="M2964" s="213"/>
      <c r="N2964" s="213"/>
      <c r="O2964" s="213"/>
      <c r="P2964" s="213"/>
      <c r="Q2964" s="213"/>
      <c r="R2964" s="213"/>
      <c r="S2964" s="213"/>
      <c r="T2964" s="213"/>
      <c r="U2964" s="213"/>
      <c r="V2964" s="213"/>
      <c r="W2964" s="213"/>
      <c r="X2964" s="213"/>
      <c r="Y2964" s="213"/>
      <c r="Z2964" s="213"/>
      <c r="AA2964" s="213"/>
      <c r="AB2964" s="213"/>
      <c r="AC2964" s="213"/>
      <c r="AD2964" s="213"/>
      <c r="AE2964" s="213"/>
      <c r="AF2964" s="213"/>
      <c r="AG2964" s="213"/>
      <c r="AH2964" s="213"/>
      <c r="AI2964" s="213"/>
      <c r="AJ2964" s="213"/>
      <c r="AK2964" s="213"/>
      <c r="AL2964" s="213"/>
      <c r="AM2964" s="213"/>
      <c r="AN2964" s="213"/>
      <c r="AO2964" s="213"/>
      <c r="AP2964" s="213"/>
      <c r="AQ2964" s="213"/>
      <c r="AR2964" s="213"/>
      <c r="AS2964" s="213"/>
      <c r="AT2964" s="213"/>
      <c r="AU2964" s="213"/>
      <c r="AV2964" s="213"/>
      <c r="AW2964" s="213"/>
      <c r="AX2964" s="213"/>
      <c r="AY2964" s="213"/>
      <c r="AZ2964" s="213"/>
      <c r="BA2964" s="213"/>
      <c r="BB2964" s="213"/>
      <c r="BC2964" s="213"/>
      <c r="BD2964" s="213"/>
    </row>
    <row r="2965">
      <c r="A2965" s="213"/>
      <c r="B2965" s="213"/>
      <c r="C2965" s="213"/>
      <c r="D2965" s="213"/>
      <c r="E2965" s="213"/>
      <c r="F2965" s="213"/>
      <c r="G2965" s="213"/>
      <c r="H2965" s="213"/>
      <c r="I2965" s="213"/>
      <c r="J2965" s="213"/>
      <c r="K2965" s="213"/>
      <c r="L2965" s="213"/>
      <c r="M2965" s="213"/>
      <c r="N2965" s="213"/>
      <c r="O2965" s="213"/>
      <c r="P2965" s="213"/>
      <c r="Q2965" s="213"/>
      <c r="R2965" s="213"/>
      <c r="S2965" s="213"/>
      <c r="T2965" s="213"/>
      <c r="U2965" s="213"/>
      <c r="V2965" s="213"/>
      <c r="W2965" s="213"/>
      <c r="X2965" s="213"/>
      <c r="Y2965" s="213"/>
      <c r="Z2965" s="213"/>
      <c r="AA2965" s="213"/>
      <c r="AB2965" s="213"/>
      <c r="AC2965" s="213"/>
      <c r="AD2965" s="213"/>
      <c r="AE2965" s="213"/>
      <c r="AF2965" s="213"/>
      <c r="AG2965" s="213"/>
      <c r="AH2965" s="213"/>
      <c r="AI2965" s="213"/>
      <c r="AJ2965" s="213"/>
      <c r="AK2965" s="213"/>
      <c r="AL2965" s="213"/>
      <c r="AM2965" s="213"/>
      <c r="AN2965" s="213"/>
      <c r="AO2965" s="213"/>
      <c r="AP2965" s="213"/>
      <c r="AQ2965" s="213"/>
      <c r="AR2965" s="213"/>
      <c r="AS2965" s="213"/>
      <c r="AT2965" s="213"/>
      <c r="AU2965" s="213"/>
      <c r="AV2965" s="213"/>
      <c r="AW2965" s="213"/>
      <c r="AX2965" s="213"/>
      <c r="AY2965" s="213"/>
      <c r="AZ2965" s="213"/>
      <c r="BA2965" s="213"/>
      <c r="BB2965" s="213"/>
      <c r="BC2965" s="213"/>
      <c r="BD2965" s="213"/>
    </row>
    <row r="2966">
      <c r="A2966" s="213"/>
      <c r="B2966" s="213"/>
      <c r="C2966" s="213"/>
      <c r="D2966" s="213"/>
      <c r="E2966" s="213"/>
      <c r="F2966" s="213"/>
      <c r="G2966" s="213"/>
      <c r="H2966" s="213"/>
      <c r="I2966" s="213"/>
      <c r="J2966" s="213"/>
      <c r="K2966" s="213"/>
      <c r="L2966" s="213"/>
      <c r="M2966" s="213"/>
      <c r="N2966" s="213"/>
      <c r="O2966" s="213"/>
      <c r="P2966" s="213"/>
      <c r="Q2966" s="213"/>
      <c r="R2966" s="213"/>
      <c r="S2966" s="213"/>
      <c r="T2966" s="213"/>
      <c r="U2966" s="213"/>
      <c r="V2966" s="213"/>
      <c r="W2966" s="213"/>
      <c r="X2966" s="213"/>
      <c r="Y2966" s="213"/>
      <c r="Z2966" s="213"/>
      <c r="AA2966" s="213"/>
      <c r="AB2966" s="213"/>
      <c r="AC2966" s="213"/>
      <c r="AD2966" s="213"/>
      <c r="AE2966" s="213"/>
      <c r="AF2966" s="213"/>
      <c r="AG2966" s="213"/>
      <c r="AH2966" s="213"/>
      <c r="AI2966" s="213"/>
      <c r="AJ2966" s="213"/>
      <c r="AK2966" s="213"/>
      <c r="AL2966" s="213"/>
      <c r="AM2966" s="213"/>
      <c r="AN2966" s="213"/>
      <c r="AO2966" s="213"/>
      <c r="AP2966" s="213"/>
      <c r="AQ2966" s="213"/>
      <c r="AR2966" s="213"/>
      <c r="AS2966" s="213"/>
      <c r="AT2966" s="213"/>
      <c r="AU2966" s="213"/>
      <c r="AV2966" s="213"/>
      <c r="AW2966" s="213"/>
      <c r="AX2966" s="213"/>
      <c r="AY2966" s="213"/>
      <c r="AZ2966" s="213"/>
      <c r="BA2966" s="213"/>
      <c r="BB2966" s="213"/>
      <c r="BC2966" s="213"/>
      <c r="BD2966" s="213"/>
    </row>
    <row r="2967">
      <c r="A2967" s="213"/>
      <c r="B2967" s="213"/>
      <c r="C2967" s="213"/>
      <c r="D2967" s="213"/>
      <c r="E2967" s="213"/>
      <c r="F2967" s="213"/>
      <c r="G2967" s="213"/>
      <c r="H2967" s="213"/>
      <c r="I2967" s="213"/>
      <c r="J2967" s="213"/>
      <c r="K2967" s="213"/>
      <c r="L2967" s="213"/>
      <c r="M2967" s="213"/>
      <c r="N2967" s="213"/>
      <c r="O2967" s="213"/>
      <c r="P2967" s="213"/>
      <c r="Q2967" s="213"/>
      <c r="R2967" s="213"/>
      <c r="S2967" s="213"/>
      <c r="T2967" s="213"/>
      <c r="U2967" s="213"/>
      <c r="V2967" s="213"/>
      <c r="W2967" s="213"/>
      <c r="X2967" s="213"/>
      <c r="Y2967" s="213"/>
      <c r="Z2967" s="213"/>
      <c r="AA2967" s="213"/>
      <c r="AB2967" s="213"/>
      <c r="AC2967" s="213"/>
      <c r="AD2967" s="213"/>
      <c r="AE2967" s="213"/>
      <c r="AF2967" s="213"/>
      <c r="AG2967" s="213"/>
      <c r="AH2967" s="213"/>
      <c r="AI2967" s="213"/>
      <c r="AJ2967" s="213"/>
      <c r="AK2967" s="213"/>
      <c r="AL2967" s="213"/>
      <c r="AM2967" s="213"/>
      <c r="AN2967" s="213"/>
      <c r="AO2967" s="213"/>
      <c r="AP2967" s="213"/>
      <c r="AQ2967" s="213"/>
      <c r="AR2967" s="213"/>
      <c r="AS2967" s="213"/>
      <c r="AT2967" s="213"/>
      <c r="AU2967" s="213"/>
      <c r="AV2967" s="213"/>
      <c r="AW2967" s="213"/>
      <c r="AX2967" s="213"/>
      <c r="AY2967" s="213"/>
      <c r="AZ2967" s="213"/>
      <c r="BA2967" s="213"/>
      <c r="BB2967" s="213"/>
      <c r="BC2967" s="213"/>
      <c r="BD2967" s="213"/>
    </row>
    <row r="2968">
      <c r="A2968" s="213"/>
      <c r="B2968" s="213"/>
      <c r="C2968" s="213"/>
      <c r="D2968" s="213"/>
      <c r="E2968" s="213"/>
      <c r="F2968" s="213"/>
      <c r="G2968" s="213"/>
      <c r="H2968" s="213"/>
      <c r="I2968" s="213"/>
      <c r="J2968" s="213"/>
      <c r="K2968" s="213"/>
      <c r="L2968" s="213"/>
      <c r="M2968" s="213"/>
      <c r="N2968" s="213"/>
      <c r="O2968" s="213"/>
      <c r="P2968" s="213"/>
      <c r="Q2968" s="213"/>
      <c r="R2968" s="213"/>
      <c r="S2968" s="213"/>
      <c r="T2968" s="213"/>
      <c r="U2968" s="213"/>
      <c r="V2968" s="213"/>
      <c r="W2968" s="213"/>
      <c r="X2968" s="213"/>
      <c r="Y2968" s="213"/>
      <c r="Z2968" s="213"/>
      <c r="AA2968" s="213"/>
      <c r="AB2968" s="213"/>
      <c r="AC2968" s="213"/>
      <c r="AD2968" s="213"/>
      <c r="AE2968" s="213"/>
      <c r="AF2968" s="213"/>
      <c r="AG2968" s="213"/>
      <c r="AH2968" s="213"/>
      <c r="AI2968" s="213"/>
      <c r="AJ2968" s="213"/>
      <c r="AK2968" s="213"/>
      <c r="AL2968" s="213"/>
      <c r="AM2968" s="213"/>
      <c r="AN2968" s="213"/>
      <c r="AO2968" s="213"/>
      <c r="AP2968" s="213"/>
      <c r="AQ2968" s="213"/>
      <c r="AR2968" s="213"/>
      <c r="AS2968" s="213"/>
      <c r="AT2968" s="213"/>
      <c r="AU2968" s="213"/>
      <c r="AV2968" s="213"/>
      <c r="AW2968" s="213"/>
      <c r="AX2968" s="213"/>
      <c r="AY2968" s="213"/>
      <c r="AZ2968" s="213"/>
      <c r="BA2968" s="213"/>
      <c r="BB2968" s="213"/>
      <c r="BC2968" s="213"/>
      <c r="BD2968" s="213"/>
    </row>
    <row r="2969">
      <c r="A2969" s="213"/>
      <c r="B2969" s="213"/>
      <c r="C2969" s="213"/>
      <c r="D2969" s="213"/>
      <c r="E2969" s="213"/>
      <c r="F2969" s="213"/>
      <c r="G2969" s="213"/>
      <c r="H2969" s="213"/>
      <c r="I2969" s="213"/>
      <c r="J2969" s="213"/>
      <c r="K2969" s="213"/>
      <c r="L2969" s="213"/>
      <c r="M2969" s="213"/>
      <c r="N2969" s="213"/>
      <c r="O2969" s="213"/>
      <c r="P2969" s="213"/>
      <c r="Q2969" s="213"/>
      <c r="R2969" s="213"/>
      <c r="S2969" s="213"/>
      <c r="T2969" s="213"/>
      <c r="U2969" s="213"/>
      <c r="V2969" s="213"/>
      <c r="W2969" s="213"/>
      <c r="X2969" s="213"/>
      <c r="Y2969" s="213"/>
      <c r="Z2969" s="213"/>
      <c r="AA2969" s="213"/>
      <c r="AB2969" s="213"/>
      <c r="AC2969" s="213"/>
      <c r="AD2969" s="213"/>
      <c r="AE2969" s="213"/>
      <c r="AF2969" s="213"/>
      <c r="AG2969" s="213"/>
      <c r="AH2969" s="213"/>
      <c r="AI2969" s="213"/>
      <c r="AJ2969" s="213"/>
      <c r="AK2969" s="213"/>
      <c r="AL2969" s="213"/>
      <c r="AM2969" s="213"/>
      <c r="AN2969" s="213"/>
      <c r="AO2969" s="213"/>
      <c r="AP2969" s="213"/>
      <c r="AQ2969" s="213"/>
      <c r="AR2969" s="213"/>
      <c r="AS2969" s="213"/>
      <c r="AT2969" s="213"/>
      <c r="AU2969" s="213"/>
      <c r="AV2969" s="213"/>
      <c r="AW2969" s="213"/>
      <c r="AX2969" s="213"/>
      <c r="AY2969" s="213"/>
      <c r="AZ2969" s="213"/>
      <c r="BA2969" s="213"/>
      <c r="BB2969" s="213"/>
      <c r="BC2969" s="213"/>
      <c r="BD2969" s="213"/>
    </row>
    <row r="2970">
      <c r="A2970" s="213"/>
      <c r="B2970" s="213"/>
      <c r="C2970" s="213"/>
      <c r="D2970" s="213"/>
      <c r="E2970" s="213"/>
      <c r="F2970" s="213"/>
      <c r="G2970" s="213"/>
      <c r="H2970" s="213"/>
      <c r="I2970" s="213"/>
      <c r="J2970" s="213"/>
      <c r="K2970" s="213"/>
      <c r="L2970" s="213"/>
      <c r="M2970" s="213"/>
      <c r="N2970" s="213"/>
      <c r="O2970" s="213"/>
      <c r="P2970" s="213"/>
      <c r="Q2970" s="213"/>
      <c r="R2970" s="213"/>
      <c r="S2970" s="213"/>
      <c r="T2970" s="213"/>
      <c r="U2970" s="213"/>
      <c r="V2970" s="213"/>
      <c r="W2970" s="213"/>
      <c r="X2970" s="213"/>
      <c r="Y2970" s="213"/>
      <c r="Z2970" s="213"/>
      <c r="AA2970" s="213"/>
      <c r="AB2970" s="213"/>
      <c r="AC2970" s="213"/>
      <c r="AD2970" s="213"/>
      <c r="AE2970" s="213"/>
      <c r="AF2970" s="213"/>
      <c r="AG2970" s="213"/>
      <c r="AH2970" s="213"/>
      <c r="AI2970" s="213"/>
      <c r="AJ2970" s="213"/>
      <c r="AK2970" s="213"/>
      <c r="AL2970" s="213"/>
      <c r="AM2970" s="213"/>
      <c r="AN2970" s="213"/>
      <c r="AO2970" s="213"/>
      <c r="AP2970" s="213"/>
      <c r="AQ2970" s="213"/>
      <c r="AR2970" s="213"/>
      <c r="AS2970" s="213"/>
      <c r="AT2970" s="213"/>
      <c r="AU2970" s="213"/>
      <c r="AV2970" s="213"/>
      <c r="AW2970" s="213"/>
      <c r="AX2970" s="213"/>
      <c r="AY2970" s="213"/>
      <c r="AZ2970" s="213"/>
      <c r="BA2970" s="213"/>
      <c r="BB2970" s="213"/>
      <c r="BC2970" s="213"/>
      <c r="BD2970" s="213"/>
    </row>
    <row r="2971">
      <c r="A2971" s="213"/>
      <c r="B2971" s="213"/>
      <c r="C2971" s="213"/>
      <c r="D2971" s="213"/>
      <c r="E2971" s="213"/>
      <c r="F2971" s="213"/>
      <c r="G2971" s="213"/>
      <c r="H2971" s="213"/>
      <c r="I2971" s="213"/>
      <c r="J2971" s="213"/>
      <c r="K2971" s="213"/>
      <c r="L2971" s="213"/>
      <c r="M2971" s="213"/>
      <c r="N2971" s="213"/>
      <c r="O2971" s="213"/>
      <c r="P2971" s="213"/>
      <c r="Q2971" s="213"/>
      <c r="R2971" s="213"/>
      <c r="S2971" s="213"/>
      <c r="T2971" s="213"/>
      <c r="U2971" s="213"/>
      <c r="V2971" s="213"/>
      <c r="W2971" s="213"/>
      <c r="X2971" s="213"/>
      <c r="Y2971" s="213"/>
      <c r="Z2971" s="213"/>
      <c r="AA2971" s="213"/>
      <c r="AB2971" s="213"/>
      <c r="AC2971" s="213"/>
      <c r="AD2971" s="213"/>
      <c r="AE2971" s="213"/>
      <c r="AF2971" s="213"/>
      <c r="AG2971" s="213"/>
      <c r="AH2971" s="213"/>
      <c r="AI2971" s="213"/>
      <c r="AJ2971" s="213"/>
      <c r="AK2971" s="213"/>
      <c r="AL2971" s="213"/>
      <c r="AM2971" s="213"/>
      <c r="AN2971" s="213"/>
      <c r="AO2971" s="213"/>
      <c r="AP2971" s="213"/>
      <c r="AQ2971" s="213"/>
      <c r="AR2971" s="213"/>
      <c r="AS2971" s="213"/>
      <c r="AT2971" s="213"/>
      <c r="AU2971" s="213"/>
      <c r="AV2971" s="213"/>
      <c r="AW2971" s="213"/>
      <c r="AX2971" s="213"/>
      <c r="AY2971" s="213"/>
      <c r="AZ2971" s="213"/>
      <c r="BA2971" s="213"/>
      <c r="BB2971" s="213"/>
      <c r="BC2971" s="213"/>
      <c r="BD2971" s="213"/>
    </row>
    <row r="2972">
      <c r="A2972" s="213"/>
      <c r="B2972" s="213"/>
      <c r="C2972" s="213"/>
      <c r="D2972" s="213"/>
      <c r="E2972" s="213"/>
      <c r="F2972" s="213"/>
      <c r="G2972" s="213"/>
      <c r="H2972" s="213"/>
      <c r="I2972" s="213"/>
      <c r="J2972" s="213"/>
      <c r="K2972" s="213"/>
      <c r="L2972" s="213"/>
      <c r="M2972" s="213"/>
      <c r="N2972" s="213"/>
      <c r="O2972" s="213"/>
      <c r="P2972" s="213"/>
      <c r="Q2972" s="213"/>
      <c r="R2972" s="213"/>
      <c r="S2972" s="213"/>
      <c r="T2972" s="213"/>
      <c r="U2972" s="213"/>
      <c r="V2972" s="213"/>
      <c r="W2972" s="213"/>
      <c r="X2972" s="213"/>
      <c r="Y2972" s="213"/>
      <c r="Z2972" s="213"/>
      <c r="AA2972" s="213"/>
      <c r="AB2972" s="213"/>
      <c r="AC2972" s="213"/>
      <c r="AD2972" s="213"/>
      <c r="AE2972" s="213"/>
      <c r="AF2972" s="213"/>
      <c r="AG2972" s="213"/>
      <c r="AH2972" s="213"/>
      <c r="AI2972" s="213"/>
      <c r="AJ2972" s="213"/>
      <c r="AK2972" s="213"/>
      <c r="AL2972" s="213"/>
      <c r="AM2972" s="213"/>
      <c r="AN2972" s="213"/>
      <c r="AO2972" s="213"/>
      <c r="AP2972" s="213"/>
      <c r="AQ2972" s="213"/>
      <c r="AR2972" s="213"/>
      <c r="AS2972" s="213"/>
      <c r="AT2972" s="213"/>
      <c r="AU2972" s="213"/>
      <c r="AV2972" s="213"/>
      <c r="AW2972" s="213"/>
      <c r="AX2972" s="213"/>
      <c r="AY2972" s="213"/>
      <c r="AZ2972" s="213"/>
      <c r="BA2972" s="213"/>
      <c r="BB2972" s="213"/>
      <c r="BC2972" s="213"/>
      <c r="BD2972" s="213"/>
    </row>
    <row r="2973">
      <c r="A2973" s="213"/>
      <c r="B2973" s="213"/>
      <c r="C2973" s="213"/>
      <c r="D2973" s="213"/>
      <c r="E2973" s="213"/>
      <c r="F2973" s="213"/>
      <c r="G2973" s="213"/>
      <c r="H2973" s="213"/>
      <c r="I2973" s="213"/>
      <c r="J2973" s="213"/>
      <c r="K2973" s="213"/>
      <c r="L2973" s="213"/>
      <c r="M2973" s="213"/>
      <c r="N2973" s="213"/>
      <c r="O2973" s="213"/>
      <c r="P2973" s="213"/>
      <c r="Q2973" s="213"/>
      <c r="R2973" s="213"/>
      <c r="S2973" s="213"/>
      <c r="T2973" s="213"/>
      <c r="U2973" s="213"/>
      <c r="V2973" s="213"/>
      <c r="W2973" s="213"/>
      <c r="X2973" s="213"/>
      <c r="Y2973" s="213"/>
      <c r="Z2973" s="213"/>
      <c r="AA2973" s="213"/>
      <c r="AB2973" s="213"/>
      <c r="AC2973" s="213"/>
      <c r="AD2973" s="213"/>
      <c r="AE2973" s="213"/>
      <c r="AF2973" s="213"/>
      <c r="AG2973" s="213"/>
      <c r="AH2973" s="213"/>
      <c r="AI2973" s="213"/>
      <c r="AJ2973" s="213"/>
      <c r="AK2973" s="213"/>
      <c r="AL2973" s="213"/>
      <c r="AM2973" s="213"/>
      <c r="AN2973" s="213"/>
      <c r="AO2973" s="213"/>
      <c r="AP2973" s="213"/>
      <c r="AQ2973" s="213"/>
      <c r="AR2973" s="213"/>
      <c r="AS2973" s="213"/>
      <c r="AT2973" s="213"/>
      <c r="AU2973" s="213"/>
      <c r="AV2973" s="213"/>
      <c r="AW2973" s="213"/>
      <c r="AX2973" s="213"/>
      <c r="AY2973" s="213"/>
      <c r="AZ2973" s="213"/>
      <c r="BA2973" s="213"/>
      <c r="BB2973" s="213"/>
      <c r="BC2973" s="213"/>
      <c r="BD2973" s="213"/>
    </row>
    <row r="2974">
      <c r="A2974" s="213"/>
      <c r="B2974" s="213"/>
      <c r="C2974" s="213"/>
      <c r="D2974" s="213"/>
      <c r="E2974" s="213"/>
      <c r="F2974" s="213"/>
      <c r="G2974" s="213"/>
      <c r="H2974" s="213"/>
      <c r="I2974" s="213"/>
      <c r="J2974" s="213"/>
      <c r="K2974" s="213"/>
      <c r="L2974" s="213"/>
      <c r="M2974" s="213"/>
      <c r="N2974" s="213"/>
      <c r="O2974" s="213"/>
      <c r="P2974" s="213"/>
      <c r="Q2974" s="213"/>
      <c r="R2974" s="213"/>
      <c r="S2974" s="213"/>
      <c r="T2974" s="213"/>
      <c r="U2974" s="213"/>
      <c r="V2974" s="213"/>
      <c r="W2974" s="213"/>
      <c r="X2974" s="213"/>
      <c r="Y2974" s="213"/>
      <c r="Z2974" s="213"/>
      <c r="AA2974" s="213"/>
      <c r="AB2974" s="213"/>
      <c r="AC2974" s="213"/>
      <c r="AD2974" s="213"/>
      <c r="AE2974" s="213"/>
      <c r="AF2974" s="213"/>
      <c r="AG2974" s="213"/>
      <c r="AH2974" s="213"/>
      <c r="AI2974" s="213"/>
      <c r="AJ2974" s="213"/>
      <c r="AK2974" s="213"/>
      <c r="AL2974" s="213"/>
      <c r="AM2974" s="213"/>
      <c r="AN2974" s="213"/>
      <c r="AO2974" s="213"/>
      <c r="AP2974" s="213"/>
      <c r="AQ2974" s="213"/>
      <c r="AR2974" s="213"/>
      <c r="AS2974" s="213"/>
      <c r="AT2974" s="213"/>
      <c r="AU2974" s="213"/>
      <c r="AV2974" s="213"/>
      <c r="AW2974" s="213"/>
      <c r="AX2974" s="213"/>
      <c r="AY2974" s="213"/>
      <c r="AZ2974" s="213"/>
      <c r="BA2974" s="213"/>
      <c r="BB2974" s="213"/>
      <c r="BC2974" s="213"/>
      <c r="BD2974" s="213"/>
    </row>
    <row r="2975">
      <c r="A2975" s="213"/>
      <c r="B2975" s="213"/>
      <c r="C2975" s="213"/>
      <c r="D2975" s="213"/>
      <c r="E2975" s="213"/>
      <c r="F2975" s="213"/>
      <c r="G2975" s="213"/>
      <c r="H2975" s="213"/>
      <c r="I2975" s="213"/>
      <c r="J2975" s="213"/>
      <c r="K2975" s="213"/>
      <c r="L2975" s="213"/>
      <c r="M2975" s="213"/>
      <c r="N2975" s="213"/>
      <c r="O2975" s="213"/>
      <c r="P2975" s="213"/>
      <c r="Q2975" s="213"/>
      <c r="R2975" s="213"/>
      <c r="S2975" s="213"/>
      <c r="T2975" s="213"/>
      <c r="U2975" s="213"/>
      <c r="V2975" s="213"/>
      <c r="W2975" s="213"/>
      <c r="X2975" s="213"/>
      <c r="Y2975" s="213"/>
      <c r="Z2975" s="213"/>
      <c r="AA2975" s="213"/>
      <c r="AB2975" s="213"/>
      <c r="AC2975" s="213"/>
      <c r="AD2975" s="213"/>
      <c r="AE2975" s="213"/>
      <c r="AF2975" s="213"/>
      <c r="AG2975" s="213"/>
      <c r="AH2975" s="213"/>
      <c r="AI2975" s="213"/>
      <c r="AJ2975" s="213"/>
      <c r="AK2975" s="213"/>
      <c r="AL2975" s="213"/>
      <c r="AM2975" s="213"/>
      <c r="AN2975" s="213"/>
      <c r="AO2975" s="213"/>
      <c r="AP2975" s="213"/>
      <c r="AQ2975" s="213"/>
      <c r="AR2975" s="213"/>
      <c r="AS2975" s="213"/>
      <c r="AT2975" s="213"/>
      <c r="AU2975" s="213"/>
      <c r="AV2975" s="213"/>
      <c r="AW2975" s="213"/>
      <c r="AX2975" s="213"/>
      <c r="AY2975" s="213"/>
      <c r="AZ2975" s="213"/>
      <c r="BA2975" s="213"/>
      <c r="BB2975" s="213"/>
      <c r="BC2975" s="213"/>
      <c r="BD2975" s="213"/>
    </row>
    <row r="2976">
      <c r="A2976" s="213"/>
      <c r="B2976" s="213"/>
      <c r="C2976" s="213"/>
      <c r="D2976" s="213"/>
      <c r="E2976" s="213"/>
      <c r="F2976" s="213"/>
      <c r="G2976" s="213"/>
      <c r="H2976" s="213"/>
      <c r="I2976" s="213"/>
      <c r="J2976" s="213"/>
      <c r="K2976" s="213"/>
      <c r="L2976" s="213"/>
      <c r="M2976" s="213"/>
      <c r="N2976" s="213"/>
      <c r="O2976" s="213"/>
      <c r="P2976" s="213"/>
      <c r="Q2976" s="213"/>
      <c r="R2976" s="213"/>
      <c r="S2976" s="213"/>
      <c r="T2976" s="213"/>
      <c r="U2976" s="213"/>
      <c r="V2976" s="213"/>
      <c r="W2976" s="213"/>
      <c r="X2976" s="213"/>
      <c r="Y2976" s="213"/>
      <c r="Z2976" s="213"/>
      <c r="AA2976" s="213"/>
      <c r="AB2976" s="213"/>
      <c r="AC2976" s="213"/>
      <c r="AD2976" s="213"/>
      <c r="AE2976" s="213"/>
      <c r="AF2976" s="213"/>
      <c r="AG2976" s="213"/>
      <c r="AH2976" s="213"/>
      <c r="AI2976" s="213"/>
      <c r="AJ2976" s="213"/>
      <c r="AK2976" s="213"/>
      <c r="AL2976" s="213"/>
      <c r="AM2976" s="213"/>
      <c r="AN2976" s="213"/>
      <c r="AO2976" s="213"/>
      <c r="AP2976" s="213"/>
      <c r="AQ2976" s="213"/>
      <c r="AR2976" s="213"/>
      <c r="AS2976" s="213"/>
      <c r="AT2976" s="213"/>
      <c r="AU2976" s="213"/>
      <c r="AV2976" s="213"/>
      <c r="AW2976" s="213"/>
      <c r="AX2976" s="213"/>
      <c r="AY2976" s="213"/>
      <c r="AZ2976" s="213"/>
      <c r="BA2976" s="213"/>
      <c r="BB2976" s="213"/>
      <c r="BC2976" s="213"/>
      <c r="BD2976" s="213"/>
    </row>
    <row r="2977">
      <c r="A2977" s="213"/>
      <c r="B2977" s="213"/>
      <c r="C2977" s="213"/>
      <c r="D2977" s="213"/>
      <c r="E2977" s="213"/>
      <c r="F2977" s="213"/>
      <c r="G2977" s="213"/>
      <c r="H2977" s="213"/>
      <c r="I2977" s="213"/>
      <c r="J2977" s="213"/>
      <c r="K2977" s="213"/>
      <c r="L2977" s="213"/>
      <c r="M2977" s="213"/>
      <c r="N2977" s="213"/>
      <c r="O2977" s="213"/>
      <c r="P2977" s="213"/>
      <c r="Q2977" s="213"/>
      <c r="R2977" s="213"/>
      <c r="S2977" s="213"/>
      <c r="T2977" s="213"/>
      <c r="U2977" s="213"/>
      <c r="V2977" s="213"/>
      <c r="W2977" s="213"/>
      <c r="X2977" s="213"/>
      <c r="Y2977" s="213"/>
      <c r="Z2977" s="213"/>
      <c r="AA2977" s="213"/>
      <c r="AB2977" s="213"/>
      <c r="AC2977" s="213"/>
      <c r="AD2977" s="213"/>
      <c r="AE2977" s="213"/>
      <c r="AF2977" s="213"/>
      <c r="AG2977" s="213"/>
      <c r="AH2977" s="213"/>
      <c r="AI2977" s="213"/>
      <c r="AJ2977" s="213"/>
      <c r="AK2977" s="213"/>
      <c r="AL2977" s="213"/>
      <c r="AM2977" s="213"/>
      <c r="AN2977" s="213"/>
      <c r="AO2977" s="213"/>
      <c r="AP2977" s="213"/>
      <c r="AQ2977" s="213"/>
      <c r="AR2977" s="213"/>
      <c r="AS2977" s="213"/>
      <c r="AT2977" s="213"/>
      <c r="AU2977" s="213"/>
      <c r="AV2977" s="213"/>
      <c r="AW2977" s="213"/>
      <c r="AX2977" s="213"/>
      <c r="AY2977" s="213"/>
      <c r="AZ2977" s="213"/>
      <c r="BA2977" s="213"/>
      <c r="BB2977" s="213"/>
      <c r="BC2977" s="213"/>
      <c r="BD2977" s="213"/>
    </row>
    <row r="2978">
      <c r="A2978" s="213"/>
      <c r="B2978" s="213"/>
      <c r="C2978" s="213"/>
      <c r="D2978" s="213"/>
      <c r="E2978" s="213"/>
      <c r="F2978" s="213"/>
      <c r="G2978" s="213"/>
      <c r="H2978" s="213"/>
      <c r="I2978" s="213"/>
      <c r="J2978" s="213"/>
      <c r="K2978" s="213"/>
      <c r="L2978" s="213"/>
      <c r="M2978" s="213"/>
      <c r="N2978" s="213"/>
      <c r="O2978" s="213"/>
      <c r="P2978" s="213"/>
      <c r="Q2978" s="213"/>
      <c r="R2978" s="213"/>
      <c r="S2978" s="213"/>
      <c r="T2978" s="213"/>
      <c r="U2978" s="213"/>
      <c r="V2978" s="213"/>
      <c r="W2978" s="213"/>
      <c r="X2978" s="213"/>
      <c r="Y2978" s="213"/>
      <c r="Z2978" s="213"/>
      <c r="AA2978" s="213"/>
      <c r="AB2978" s="213"/>
      <c r="AC2978" s="213"/>
      <c r="AD2978" s="213"/>
      <c r="AE2978" s="213"/>
      <c r="AF2978" s="213"/>
      <c r="AG2978" s="213"/>
      <c r="AH2978" s="213"/>
      <c r="AI2978" s="213"/>
      <c r="AJ2978" s="213"/>
      <c r="AK2978" s="213"/>
      <c r="AL2978" s="213"/>
      <c r="AM2978" s="213"/>
      <c r="AN2978" s="213"/>
      <c r="AO2978" s="213"/>
      <c r="AP2978" s="213"/>
      <c r="AQ2978" s="213"/>
      <c r="AR2978" s="213"/>
      <c r="AS2978" s="213"/>
      <c r="AT2978" s="213"/>
      <c r="AU2978" s="213"/>
      <c r="AV2978" s="213"/>
      <c r="AW2978" s="213"/>
      <c r="AX2978" s="213"/>
      <c r="AY2978" s="213"/>
      <c r="AZ2978" s="213"/>
      <c r="BA2978" s="213"/>
      <c r="BB2978" s="213"/>
      <c r="BC2978" s="213"/>
      <c r="BD2978" s="213"/>
    </row>
    <row r="2979">
      <c r="A2979" s="213"/>
      <c r="B2979" s="213"/>
      <c r="C2979" s="213"/>
      <c r="D2979" s="213"/>
      <c r="E2979" s="213"/>
      <c r="F2979" s="213"/>
      <c r="G2979" s="213"/>
      <c r="H2979" s="213"/>
      <c r="I2979" s="213"/>
      <c r="J2979" s="213"/>
      <c r="K2979" s="213"/>
      <c r="L2979" s="213"/>
      <c r="M2979" s="213"/>
      <c r="N2979" s="213"/>
      <c r="O2979" s="213"/>
      <c r="P2979" s="213"/>
      <c r="Q2979" s="213"/>
      <c r="R2979" s="213"/>
      <c r="S2979" s="213"/>
      <c r="T2979" s="213"/>
      <c r="U2979" s="213"/>
      <c r="V2979" s="213"/>
      <c r="W2979" s="213"/>
      <c r="X2979" s="213"/>
      <c r="Y2979" s="213"/>
      <c r="Z2979" s="213"/>
      <c r="AA2979" s="213"/>
      <c r="AB2979" s="213"/>
      <c r="AC2979" s="213"/>
      <c r="AD2979" s="213"/>
      <c r="AE2979" s="213"/>
      <c r="AF2979" s="213"/>
      <c r="AG2979" s="213"/>
      <c r="AH2979" s="213"/>
      <c r="AI2979" s="213"/>
      <c r="AJ2979" s="213"/>
      <c r="AK2979" s="213"/>
      <c r="AL2979" s="213"/>
      <c r="AM2979" s="213"/>
      <c r="AN2979" s="213"/>
      <c r="AO2979" s="213"/>
      <c r="AP2979" s="213"/>
      <c r="AQ2979" s="213"/>
      <c r="AR2979" s="213"/>
      <c r="AS2979" s="213"/>
      <c r="AT2979" s="213"/>
      <c r="AU2979" s="213"/>
      <c r="AV2979" s="213"/>
      <c r="AW2979" s="213"/>
      <c r="AX2979" s="213"/>
      <c r="AY2979" s="213"/>
      <c r="AZ2979" s="213"/>
      <c r="BA2979" s="213"/>
      <c r="BB2979" s="213"/>
      <c r="BC2979" s="213"/>
      <c r="BD2979" s="213"/>
    </row>
    <row r="2980">
      <c r="A2980" s="213"/>
      <c r="B2980" s="213"/>
      <c r="C2980" s="213"/>
      <c r="D2980" s="213"/>
      <c r="E2980" s="213"/>
      <c r="F2980" s="213"/>
      <c r="G2980" s="213"/>
      <c r="H2980" s="213"/>
      <c r="I2980" s="213"/>
      <c r="J2980" s="213"/>
      <c r="K2980" s="213"/>
      <c r="L2980" s="213"/>
      <c r="M2980" s="213"/>
      <c r="N2980" s="213"/>
      <c r="O2980" s="213"/>
      <c r="P2980" s="213"/>
      <c r="Q2980" s="213"/>
      <c r="R2980" s="213"/>
      <c r="S2980" s="213"/>
      <c r="T2980" s="213"/>
      <c r="U2980" s="213"/>
      <c r="V2980" s="213"/>
      <c r="W2980" s="213"/>
      <c r="X2980" s="213"/>
      <c r="Y2980" s="213"/>
      <c r="Z2980" s="213"/>
      <c r="AA2980" s="213"/>
      <c r="AB2980" s="213"/>
      <c r="AC2980" s="213"/>
      <c r="AD2980" s="213"/>
      <c r="AE2980" s="213"/>
      <c r="AF2980" s="213"/>
      <c r="AG2980" s="213"/>
      <c r="AH2980" s="213"/>
      <c r="AI2980" s="213"/>
      <c r="AJ2980" s="213"/>
      <c r="AK2980" s="213"/>
      <c r="AL2980" s="213"/>
      <c r="AM2980" s="213"/>
      <c r="AN2980" s="213"/>
      <c r="AO2980" s="213"/>
      <c r="AP2980" s="213"/>
      <c r="AQ2980" s="213"/>
      <c r="AR2980" s="213"/>
      <c r="AS2980" s="213"/>
      <c r="AT2980" s="213"/>
      <c r="AU2980" s="213"/>
      <c r="AV2980" s="213"/>
      <c r="AW2980" s="213"/>
      <c r="AX2980" s="213"/>
      <c r="AY2980" s="213"/>
      <c r="AZ2980" s="213"/>
      <c r="BA2980" s="213"/>
      <c r="BB2980" s="213"/>
      <c r="BC2980" s="213"/>
      <c r="BD2980" s="213"/>
    </row>
    <row r="2981">
      <c r="A2981" s="213"/>
      <c r="B2981" s="213"/>
      <c r="C2981" s="213"/>
      <c r="D2981" s="213"/>
      <c r="E2981" s="213"/>
      <c r="F2981" s="213"/>
      <c r="G2981" s="213"/>
      <c r="H2981" s="213"/>
      <c r="I2981" s="213"/>
      <c r="J2981" s="213"/>
      <c r="K2981" s="213"/>
      <c r="L2981" s="213"/>
      <c r="M2981" s="213"/>
      <c r="N2981" s="213"/>
      <c r="O2981" s="213"/>
      <c r="P2981" s="213"/>
      <c r="Q2981" s="213"/>
      <c r="R2981" s="213"/>
      <c r="S2981" s="213"/>
      <c r="T2981" s="213"/>
      <c r="U2981" s="213"/>
      <c r="V2981" s="213"/>
      <c r="W2981" s="213"/>
      <c r="X2981" s="213"/>
      <c r="Y2981" s="213"/>
      <c r="Z2981" s="213"/>
      <c r="AA2981" s="213"/>
      <c r="AB2981" s="213"/>
      <c r="AC2981" s="213"/>
      <c r="AD2981" s="213"/>
      <c r="AE2981" s="213"/>
      <c r="AF2981" s="213"/>
      <c r="AG2981" s="213"/>
      <c r="AH2981" s="213"/>
      <c r="AI2981" s="213"/>
      <c r="AJ2981" s="213"/>
      <c r="AK2981" s="213"/>
      <c r="AL2981" s="213"/>
      <c r="AM2981" s="213"/>
      <c r="AN2981" s="213"/>
      <c r="AO2981" s="213"/>
      <c r="AP2981" s="213"/>
      <c r="AQ2981" s="213"/>
      <c r="AR2981" s="213"/>
      <c r="AS2981" s="213"/>
      <c r="AT2981" s="213"/>
      <c r="AU2981" s="213"/>
      <c r="AV2981" s="213"/>
      <c r="AW2981" s="213"/>
      <c r="AX2981" s="213"/>
      <c r="AY2981" s="213"/>
      <c r="AZ2981" s="213"/>
      <c r="BA2981" s="213"/>
      <c r="BB2981" s="213"/>
      <c r="BC2981" s="213"/>
      <c r="BD2981" s="213"/>
    </row>
    <row r="2982">
      <c r="A2982" s="213"/>
      <c r="B2982" s="213"/>
      <c r="C2982" s="213"/>
      <c r="D2982" s="213"/>
      <c r="E2982" s="213"/>
      <c r="F2982" s="213"/>
      <c r="G2982" s="213"/>
      <c r="H2982" s="213"/>
      <c r="I2982" s="213"/>
      <c r="J2982" s="213"/>
      <c r="K2982" s="213"/>
      <c r="L2982" s="213"/>
      <c r="M2982" s="213"/>
      <c r="N2982" s="213"/>
      <c r="O2982" s="213"/>
      <c r="P2982" s="213"/>
      <c r="Q2982" s="213"/>
      <c r="R2982" s="213"/>
      <c r="S2982" s="213"/>
      <c r="T2982" s="213"/>
      <c r="U2982" s="213"/>
      <c r="V2982" s="213"/>
      <c r="W2982" s="213"/>
      <c r="X2982" s="213"/>
      <c r="Y2982" s="213"/>
      <c r="Z2982" s="213"/>
      <c r="AA2982" s="213"/>
      <c r="AB2982" s="213"/>
      <c r="AC2982" s="213"/>
      <c r="AD2982" s="213"/>
      <c r="AE2982" s="213"/>
      <c r="AF2982" s="213"/>
      <c r="AG2982" s="213"/>
      <c r="AH2982" s="213"/>
      <c r="AI2982" s="213"/>
      <c r="AJ2982" s="213"/>
      <c r="AK2982" s="213"/>
      <c r="AL2982" s="213"/>
      <c r="AM2982" s="213"/>
      <c r="AN2982" s="213"/>
      <c r="AO2982" s="213"/>
      <c r="AP2982" s="213"/>
      <c r="AQ2982" s="213"/>
      <c r="AR2982" s="213"/>
      <c r="AS2982" s="213"/>
      <c r="AT2982" s="213"/>
      <c r="AU2982" s="213"/>
      <c r="AV2982" s="213"/>
      <c r="AW2982" s="213"/>
      <c r="AX2982" s="213"/>
      <c r="AY2982" s="213"/>
      <c r="AZ2982" s="213"/>
      <c r="BA2982" s="213"/>
      <c r="BB2982" s="213"/>
      <c r="BC2982" s="213"/>
      <c r="BD2982" s="213"/>
    </row>
    <row r="2983">
      <c r="A2983" s="213"/>
      <c r="B2983" s="213"/>
      <c r="C2983" s="213"/>
      <c r="D2983" s="213"/>
      <c r="E2983" s="213"/>
      <c r="F2983" s="213"/>
      <c r="G2983" s="213"/>
      <c r="H2983" s="213"/>
      <c r="I2983" s="213"/>
      <c r="J2983" s="213"/>
      <c r="K2983" s="213"/>
      <c r="L2983" s="213"/>
      <c r="M2983" s="213"/>
      <c r="N2983" s="213"/>
      <c r="O2983" s="213"/>
      <c r="P2983" s="213"/>
      <c r="Q2983" s="213"/>
      <c r="R2983" s="213"/>
      <c r="S2983" s="213"/>
      <c r="T2983" s="213"/>
      <c r="U2983" s="213"/>
      <c r="V2983" s="213"/>
      <c r="W2983" s="213"/>
      <c r="X2983" s="213"/>
      <c r="Y2983" s="213"/>
      <c r="Z2983" s="213"/>
      <c r="AA2983" s="213"/>
      <c r="AB2983" s="213"/>
      <c r="AC2983" s="213"/>
      <c r="AD2983" s="213"/>
      <c r="AE2983" s="213"/>
      <c r="AF2983" s="213"/>
      <c r="AG2983" s="213"/>
      <c r="AH2983" s="213"/>
      <c r="AI2983" s="213"/>
      <c r="AJ2983" s="213"/>
      <c r="AK2983" s="213"/>
      <c r="AL2983" s="213"/>
      <c r="AM2983" s="213"/>
      <c r="AN2983" s="213"/>
      <c r="AO2983" s="213"/>
      <c r="AP2983" s="213"/>
      <c r="AQ2983" s="213"/>
      <c r="AR2983" s="213"/>
      <c r="AS2983" s="213"/>
      <c r="AT2983" s="213"/>
      <c r="AU2983" s="213"/>
      <c r="AV2983" s="213"/>
      <c r="AW2983" s="213"/>
      <c r="AX2983" s="213"/>
      <c r="AY2983" s="213"/>
      <c r="AZ2983" s="213"/>
      <c r="BA2983" s="213"/>
      <c r="BB2983" s="213"/>
      <c r="BC2983" s="213"/>
      <c r="BD2983" s="213"/>
    </row>
    <row r="2984">
      <c r="A2984" s="213"/>
      <c r="B2984" s="213"/>
      <c r="C2984" s="213"/>
      <c r="D2984" s="213"/>
      <c r="E2984" s="213"/>
      <c r="F2984" s="213"/>
      <c r="G2984" s="213"/>
      <c r="H2984" s="213"/>
      <c r="I2984" s="213"/>
      <c r="J2984" s="213"/>
      <c r="K2984" s="213"/>
      <c r="L2984" s="213"/>
      <c r="M2984" s="213"/>
      <c r="N2984" s="213"/>
      <c r="O2984" s="213"/>
      <c r="P2984" s="213"/>
      <c r="Q2984" s="213"/>
      <c r="R2984" s="213"/>
      <c r="S2984" s="213"/>
      <c r="T2984" s="213"/>
      <c r="U2984" s="213"/>
      <c r="V2984" s="213"/>
      <c r="W2984" s="213"/>
      <c r="X2984" s="213"/>
      <c r="Y2984" s="213"/>
      <c r="Z2984" s="213"/>
      <c r="AA2984" s="213"/>
      <c r="AB2984" s="213"/>
      <c r="AC2984" s="213"/>
      <c r="AD2984" s="213"/>
      <c r="AE2984" s="213"/>
      <c r="AF2984" s="213"/>
      <c r="AG2984" s="213"/>
      <c r="AH2984" s="213"/>
      <c r="AI2984" s="213"/>
      <c r="AJ2984" s="213"/>
      <c r="AK2984" s="213"/>
      <c r="AL2984" s="213"/>
      <c r="AM2984" s="213"/>
      <c r="AN2984" s="213"/>
      <c r="AO2984" s="213"/>
      <c r="AP2984" s="213"/>
      <c r="AQ2984" s="213"/>
      <c r="AR2984" s="213"/>
      <c r="AS2984" s="213"/>
      <c r="AT2984" s="213"/>
      <c r="AU2984" s="213"/>
      <c r="AV2984" s="213"/>
      <c r="AW2984" s="213"/>
      <c r="AX2984" s="213"/>
      <c r="AY2984" s="213"/>
      <c r="AZ2984" s="213"/>
      <c r="BA2984" s="213"/>
      <c r="BB2984" s="213"/>
      <c r="BC2984" s="213"/>
      <c r="BD2984" s="213"/>
    </row>
    <row r="2985">
      <c r="A2985" s="213"/>
      <c r="B2985" s="213"/>
      <c r="C2985" s="213"/>
      <c r="D2985" s="213"/>
      <c r="E2985" s="213"/>
      <c r="F2985" s="213"/>
      <c r="G2985" s="213"/>
      <c r="H2985" s="213"/>
      <c r="I2985" s="213"/>
      <c r="J2985" s="213"/>
      <c r="K2985" s="213"/>
      <c r="L2985" s="213"/>
      <c r="M2985" s="213"/>
      <c r="N2985" s="213"/>
      <c r="O2985" s="213"/>
      <c r="P2985" s="213"/>
      <c r="Q2985" s="213"/>
      <c r="R2985" s="213"/>
      <c r="S2985" s="213"/>
      <c r="T2985" s="213"/>
      <c r="U2985" s="213"/>
      <c r="V2985" s="213"/>
      <c r="W2985" s="213"/>
      <c r="X2985" s="213"/>
      <c r="Y2985" s="213"/>
      <c r="Z2985" s="213"/>
      <c r="AA2985" s="213"/>
      <c r="AB2985" s="213"/>
      <c r="AC2985" s="213"/>
      <c r="AD2985" s="213"/>
      <c r="AE2985" s="213"/>
      <c r="AF2985" s="213"/>
      <c r="AG2985" s="213"/>
      <c r="AH2985" s="213"/>
      <c r="AI2985" s="213"/>
      <c r="AJ2985" s="213"/>
      <c r="AK2985" s="213"/>
      <c r="AL2985" s="213"/>
      <c r="AM2985" s="213"/>
      <c r="AN2985" s="213"/>
      <c r="AO2985" s="213"/>
      <c r="AP2985" s="213"/>
      <c r="AQ2985" s="213"/>
      <c r="AR2985" s="213"/>
      <c r="AS2985" s="213"/>
      <c r="AT2985" s="213"/>
      <c r="AU2985" s="213"/>
      <c r="AV2985" s="213"/>
      <c r="AW2985" s="213"/>
      <c r="AX2985" s="213"/>
      <c r="AY2985" s="213"/>
      <c r="AZ2985" s="213"/>
      <c r="BA2985" s="213"/>
      <c r="BB2985" s="213"/>
      <c r="BC2985" s="213"/>
      <c r="BD2985" s="213"/>
    </row>
    <row r="2986">
      <c r="A2986" s="213"/>
      <c r="B2986" s="213"/>
      <c r="C2986" s="213"/>
      <c r="D2986" s="213"/>
      <c r="E2986" s="213"/>
      <c r="F2986" s="213"/>
      <c r="G2986" s="213"/>
      <c r="H2986" s="213"/>
      <c r="I2986" s="213"/>
      <c r="J2986" s="213"/>
      <c r="K2986" s="213"/>
      <c r="L2986" s="213"/>
      <c r="M2986" s="213"/>
      <c r="N2986" s="213"/>
      <c r="O2986" s="213"/>
      <c r="P2986" s="213"/>
      <c r="Q2986" s="213"/>
      <c r="R2986" s="213"/>
      <c r="S2986" s="213"/>
      <c r="T2986" s="213"/>
      <c r="U2986" s="213"/>
      <c r="V2986" s="213"/>
      <c r="W2986" s="213"/>
      <c r="X2986" s="213"/>
      <c r="Y2986" s="213"/>
      <c r="Z2986" s="213"/>
      <c r="AA2986" s="213"/>
      <c r="AB2986" s="213"/>
      <c r="AC2986" s="213"/>
      <c r="AD2986" s="213"/>
      <c r="AE2986" s="213"/>
      <c r="AF2986" s="213"/>
      <c r="AG2986" s="213"/>
      <c r="AH2986" s="213"/>
      <c r="AI2986" s="213"/>
      <c r="AJ2986" s="213"/>
      <c r="AK2986" s="213"/>
      <c r="AL2986" s="213"/>
      <c r="AM2986" s="213"/>
      <c r="AN2986" s="213"/>
      <c r="AO2986" s="213"/>
      <c r="AP2986" s="213"/>
      <c r="AQ2986" s="213"/>
      <c r="AR2986" s="213"/>
      <c r="AS2986" s="213"/>
      <c r="AT2986" s="213"/>
      <c r="AU2986" s="213"/>
      <c r="AV2986" s="213"/>
      <c r="AW2986" s="213"/>
      <c r="AX2986" s="213"/>
      <c r="AY2986" s="213"/>
      <c r="AZ2986" s="213"/>
      <c r="BA2986" s="213"/>
      <c r="BB2986" s="213"/>
      <c r="BC2986" s="213"/>
      <c r="BD2986" s="213"/>
    </row>
    <row r="2987">
      <c r="A2987" s="213"/>
      <c r="B2987" s="213"/>
      <c r="C2987" s="213"/>
      <c r="D2987" s="213"/>
      <c r="E2987" s="213"/>
      <c r="F2987" s="213"/>
      <c r="G2987" s="213"/>
      <c r="H2987" s="213"/>
      <c r="I2987" s="213"/>
      <c r="J2987" s="213"/>
      <c r="K2987" s="213"/>
      <c r="L2987" s="213"/>
      <c r="M2987" s="213"/>
      <c r="N2987" s="213"/>
      <c r="O2987" s="213"/>
      <c r="P2987" s="213"/>
      <c r="Q2987" s="213"/>
      <c r="R2987" s="213"/>
      <c r="S2987" s="213"/>
      <c r="T2987" s="213"/>
      <c r="U2987" s="213"/>
      <c r="V2987" s="213"/>
      <c r="W2987" s="213"/>
      <c r="X2987" s="213"/>
      <c r="Y2987" s="213"/>
      <c r="Z2987" s="213"/>
      <c r="AA2987" s="213"/>
      <c r="AB2987" s="213"/>
      <c r="AC2987" s="213"/>
      <c r="AD2987" s="213"/>
      <c r="AE2987" s="213"/>
      <c r="AF2987" s="213"/>
      <c r="AG2987" s="213"/>
      <c r="AH2987" s="213"/>
      <c r="AI2987" s="213"/>
      <c r="AJ2987" s="213"/>
      <c r="AK2987" s="213"/>
      <c r="AL2987" s="213"/>
      <c r="AM2987" s="213"/>
      <c r="AN2987" s="213"/>
      <c r="AO2987" s="213"/>
      <c r="AP2987" s="213"/>
      <c r="AQ2987" s="213"/>
      <c r="AR2987" s="213"/>
      <c r="AS2987" s="213"/>
      <c r="AT2987" s="213"/>
      <c r="AU2987" s="213"/>
      <c r="AV2987" s="213"/>
      <c r="AW2987" s="213"/>
      <c r="AX2987" s="213"/>
      <c r="AY2987" s="213"/>
      <c r="AZ2987" s="213"/>
      <c r="BA2987" s="213"/>
      <c r="BB2987" s="213"/>
      <c r="BC2987" s="213"/>
      <c r="BD2987" s="213"/>
    </row>
    <row r="2988">
      <c r="A2988" s="213"/>
      <c r="B2988" s="213"/>
      <c r="C2988" s="213"/>
      <c r="D2988" s="213"/>
      <c r="E2988" s="213"/>
      <c r="F2988" s="213"/>
      <c r="G2988" s="213"/>
      <c r="H2988" s="213"/>
      <c r="I2988" s="213"/>
      <c r="J2988" s="213"/>
      <c r="K2988" s="213"/>
      <c r="L2988" s="213"/>
      <c r="M2988" s="213"/>
      <c r="N2988" s="213"/>
      <c r="O2988" s="213"/>
      <c r="P2988" s="213"/>
      <c r="Q2988" s="213"/>
      <c r="R2988" s="213"/>
      <c r="S2988" s="213"/>
      <c r="T2988" s="213"/>
      <c r="U2988" s="213"/>
      <c r="V2988" s="213"/>
      <c r="W2988" s="213"/>
      <c r="X2988" s="213"/>
      <c r="Y2988" s="213"/>
      <c r="Z2988" s="213"/>
      <c r="AA2988" s="213"/>
      <c r="AB2988" s="213"/>
      <c r="AC2988" s="213"/>
      <c r="AD2988" s="213"/>
      <c r="AE2988" s="213"/>
      <c r="AF2988" s="213"/>
      <c r="AG2988" s="213"/>
      <c r="AH2988" s="213"/>
      <c r="AI2988" s="213"/>
      <c r="AJ2988" s="213"/>
      <c r="AK2988" s="213"/>
      <c r="AL2988" s="213"/>
      <c r="AM2988" s="213"/>
      <c r="AN2988" s="213"/>
      <c r="AO2988" s="213"/>
      <c r="AP2988" s="213"/>
      <c r="AQ2988" s="213"/>
      <c r="AR2988" s="213"/>
      <c r="AS2988" s="213"/>
      <c r="AT2988" s="213"/>
      <c r="AU2988" s="213"/>
      <c r="AV2988" s="213"/>
      <c r="AW2988" s="213"/>
      <c r="AX2988" s="213"/>
      <c r="AY2988" s="213"/>
      <c r="AZ2988" s="213"/>
      <c r="BA2988" s="213"/>
      <c r="BB2988" s="213"/>
      <c r="BC2988" s="213"/>
      <c r="BD2988" s="213"/>
    </row>
    <row r="2989">
      <c r="A2989" s="213"/>
      <c r="B2989" s="213"/>
      <c r="C2989" s="213"/>
      <c r="D2989" s="213"/>
      <c r="E2989" s="213"/>
      <c r="F2989" s="213"/>
      <c r="G2989" s="213"/>
      <c r="H2989" s="213"/>
      <c r="I2989" s="213"/>
      <c r="J2989" s="213"/>
      <c r="K2989" s="213"/>
      <c r="L2989" s="213"/>
      <c r="M2989" s="213"/>
      <c r="N2989" s="213"/>
      <c r="O2989" s="213"/>
      <c r="P2989" s="213"/>
      <c r="Q2989" s="213"/>
      <c r="R2989" s="213"/>
      <c r="S2989" s="213"/>
      <c r="T2989" s="213"/>
      <c r="U2989" s="213"/>
      <c r="V2989" s="213"/>
      <c r="W2989" s="213"/>
      <c r="X2989" s="213"/>
      <c r="Y2989" s="213"/>
      <c r="Z2989" s="213"/>
      <c r="AA2989" s="213"/>
      <c r="AB2989" s="213"/>
      <c r="AC2989" s="213"/>
      <c r="AD2989" s="213"/>
      <c r="AE2989" s="213"/>
      <c r="AF2989" s="213"/>
      <c r="AG2989" s="213"/>
      <c r="AH2989" s="213"/>
      <c r="AI2989" s="213"/>
      <c r="AJ2989" s="213"/>
      <c r="AK2989" s="213"/>
      <c r="AL2989" s="213"/>
      <c r="AM2989" s="213"/>
      <c r="AN2989" s="213"/>
      <c r="AO2989" s="213"/>
      <c r="AP2989" s="213"/>
      <c r="AQ2989" s="213"/>
      <c r="AR2989" s="213"/>
      <c r="AS2989" s="213"/>
      <c r="AT2989" s="213"/>
      <c r="AU2989" s="213"/>
      <c r="AV2989" s="213"/>
      <c r="AW2989" s="213"/>
      <c r="AX2989" s="213"/>
      <c r="AY2989" s="213"/>
      <c r="AZ2989" s="213"/>
      <c r="BA2989" s="213"/>
      <c r="BB2989" s="213"/>
      <c r="BC2989" s="213"/>
      <c r="BD2989" s="213"/>
    </row>
    <row r="2990">
      <c r="A2990" s="213"/>
      <c r="B2990" s="213"/>
      <c r="C2990" s="213"/>
      <c r="D2990" s="213"/>
      <c r="E2990" s="213"/>
      <c r="F2990" s="213"/>
      <c r="G2990" s="213"/>
      <c r="H2990" s="213"/>
      <c r="I2990" s="213"/>
      <c r="J2990" s="213"/>
      <c r="K2990" s="213"/>
      <c r="L2990" s="213"/>
      <c r="M2990" s="213"/>
      <c r="N2990" s="213"/>
      <c r="O2990" s="213"/>
      <c r="P2990" s="213"/>
      <c r="Q2990" s="213"/>
      <c r="R2990" s="213"/>
      <c r="S2990" s="213"/>
      <c r="T2990" s="213"/>
      <c r="U2990" s="213"/>
      <c r="V2990" s="213"/>
      <c r="W2990" s="213"/>
      <c r="X2990" s="213"/>
      <c r="Y2990" s="213"/>
      <c r="Z2990" s="213"/>
      <c r="AA2990" s="213"/>
      <c r="AB2990" s="213"/>
      <c r="AC2990" s="213"/>
      <c r="AD2990" s="213"/>
      <c r="AE2990" s="213"/>
      <c r="AF2990" s="213"/>
      <c r="AG2990" s="213"/>
      <c r="AH2990" s="213"/>
      <c r="AI2990" s="213"/>
      <c r="AJ2990" s="213"/>
      <c r="AK2990" s="213"/>
      <c r="AL2990" s="213"/>
      <c r="AM2990" s="213"/>
      <c r="AN2990" s="213"/>
      <c r="AO2990" s="213"/>
      <c r="AP2990" s="213"/>
      <c r="AQ2990" s="213"/>
      <c r="AR2990" s="213"/>
      <c r="AS2990" s="213"/>
      <c r="AT2990" s="213"/>
      <c r="AU2990" s="213"/>
      <c r="AV2990" s="213"/>
      <c r="AW2990" s="213"/>
      <c r="AX2990" s="213"/>
      <c r="AY2990" s="213"/>
      <c r="AZ2990" s="213"/>
      <c r="BA2990" s="213"/>
      <c r="BB2990" s="213"/>
      <c r="BC2990" s="213"/>
      <c r="BD2990" s="213"/>
    </row>
    <row r="2991">
      <c r="A2991" s="213"/>
      <c r="B2991" s="213"/>
      <c r="C2991" s="213"/>
      <c r="D2991" s="213"/>
      <c r="E2991" s="213"/>
      <c r="F2991" s="213"/>
      <c r="G2991" s="213"/>
      <c r="H2991" s="213"/>
      <c r="I2991" s="213"/>
      <c r="J2991" s="213"/>
      <c r="K2991" s="213"/>
      <c r="L2991" s="213"/>
      <c r="M2991" s="213"/>
      <c r="N2991" s="213"/>
      <c r="O2991" s="213"/>
      <c r="P2991" s="213"/>
      <c r="Q2991" s="213"/>
      <c r="R2991" s="213"/>
      <c r="S2991" s="213"/>
      <c r="T2991" s="213"/>
      <c r="U2991" s="213"/>
      <c r="V2991" s="213"/>
      <c r="W2991" s="213"/>
      <c r="X2991" s="213"/>
      <c r="Y2991" s="213"/>
      <c r="Z2991" s="213"/>
      <c r="AA2991" s="213"/>
      <c r="AB2991" s="213"/>
      <c r="AC2991" s="213"/>
      <c r="AD2991" s="213"/>
      <c r="AE2991" s="213"/>
      <c r="AF2991" s="213"/>
      <c r="AG2991" s="213"/>
      <c r="AH2991" s="213"/>
      <c r="AI2991" s="213"/>
      <c r="AJ2991" s="213"/>
      <c r="AK2991" s="213"/>
      <c r="AL2991" s="213"/>
      <c r="AM2991" s="213"/>
      <c r="AN2991" s="213"/>
      <c r="AO2991" s="213"/>
      <c r="AP2991" s="213"/>
      <c r="AQ2991" s="213"/>
      <c r="AR2991" s="213"/>
      <c r="AS2991" s="213"/>
      <c r="AT2991" s="213"/>
      <c r="AU2991" s="213"/>
      <c r="AV2991" s="213"/>
      <c r="AW2991" s="213"/>
      <c r="AX2991" s="213"/>
      <c r="AY2991" s="213"/>
      <c r="AZ2991" s="213"/>
      <c r="BA2991" s="213"/>
      <c r="BB2991" s="213"/>
      <c r="BC2991" s="213"/>
      <c r="BD2991" s="213"/>
    </row>
    <row r="2992">
      <c r="A2992" s="213"/>
      <c r="B2992" s="213"/>
      <c r="C2992" s="213"/>
      <c r="D2992" s="213"/>
      <c r="E2992" s="213"/>
      <c r="F2992" s="213"/>
      <c r="G2992" s="213"/>
      <c r="H2992" s="213"/>
      <c r="I2992" s="213"/>
      <c r="J2992" s="213"/>
      <c r="K2992" s="213"/>
      <c r="L2992" s="213"/>
      <c r="M2992" s="213"/>
      <c r="N2992" s="213"/>
      <c r="O2992" s="213"/>
      <c r="P2992" s="213"/>
      <c r="Q2992" s="213"/>
      <c r="R2992" s="213"/>
      <c r="S2992" s="213"/>
      <c r="T2992" s="213"/>
      <c r="U2992" s="213"/>
      <c r="V2992" s="213"/>
      <c r="W2992" s="213"/>
      <c r="X2992" s="213"/>
      <c r="Y2992" s="213"/>
      <c r="Z2992" s="213"/>
      <c r="AA2992" s="213"/>
      <c r="AB2992" s="213"/>
      <c r="AC2992" s="213"/>
      <c r="AD2992" s="213"/>
      <c r="AE2992" s="213"/>
      <c r="AF2992" s="213"/>
      <c r="AG2992" s="213"/>
      <c r="AH2992" s="213"/>
      <c r="AI2992" s="213"/>
      <c r="AJ2992" s="213"/>
      <c r="AK2992" s="213"/>
      <c r="AL2992" s="213"/>
      <c r="AM2992" s="213"/>
      <c r="AN2992" s="213"/>
      <c r="AO2992" s="213"/>
      <c r="AP2992" s="213"/>
      <c r="AQ2992" s="213"/>
      <c r="AR2992" s="213"/>
      <c r="AS2992" s="213"/>
      <c r="AT2992" s="213"/>
      <c r="AU2992" s="213"/>
      <c r="AV2992" s="213"/>
      <c r="AW2992" s="213"/>
      <c r="AX2992" s="213"/>
      <c r="AY2992" s="213"/>
      <c r="AZ2992" s="213"/>
      <c r="BA2992" s="213"/>
      <c r="BB2992" s="213"/>
      <c r="BC2992" s="213"/>
      <c r="BD2992" s="213"/>
    </row>
    <row r="2993">
      <c r="A2993" s="213"/>
      <c r="B2993" s="213"/>
      <c r="C2993" s="213"/>
      <c r="D2993" s="213"/>
      <c r="E2993" s="213"/>
      <c r="F2993" s="213"/>
      <c r="G2993" s="213"/>
      <c r="H2993" s="213"/>
      <c r="I2993" s="213"/>
      <c r="J2993" s="213"/>
      <c r="K2993" s="213"/>
      <c r="L2993" s="213"/>
      <c r="M2993" s="213"/>
      <c r="N2993" s="213"/>
      <c r="O2993" s="213"/>
      <c r="P2993" s="213"/>
      <c r="Q2993" s="213"/>
      <c r="R2993" s="213"/>
      <c r="S2993" s="213"/>
      <c r="T2993" s="213"/>
      <c r="U2993" s="213"/>
      <c r="V2993" s="213"/>
      <c r="W2993" s="213"/>
      <c r="X2993" s="213"/>
      <c r="Y2993" s="213"/>
      <c r="Z2993" s="213"/>
      <c r="AA2993" s="213"/>
      <c r="AB2993" s="213"/>
      <c r="AC2993" s="213"/>
      <c r="AD2993" s="213"/>
      <c r="AE2993" s="213"/>
      <c r="AF2993" s="213"/>
      <c r="AG2993" s="213"/>
      <c r="AH2993" s="213"/>
      <c r="AI2993" s="213"/>
      <c r="AJ2993" s="213"/>
      <c r="AK2993" s="213"/>
      <c r="AL2993" s="213"/>
      <c r="AM2993" s="213"/>
      <c r="AN2993" s="213"/>
      <c r="AO2993" s="213"/>
      <c r="AP2993" s="213"/>
      <c r="AQ2993" s="213"/>
      <c r="AR2993" s="213"/>
      <c r="AS2993" s="213"/>
      <c r="AT2993" s="213"/>
      <c r="AU2993" s="213"/>
      <c r="AV2993" s="213"/>
      <c r="AW2993" s="213"/>
      <c r="AX2993" s="213"/>
      <c r="AY2993" s="213"/>
      <c r="AZ2993" s="213"/>
      <c r="BA2993" s="213"/>
      <c r="BB2993" s="213"/>
      <c r="BC2993" s="213"/>
      <c r="BD2993" s="213"/>
    </row>
    <row r="2994">
      <c r="A2994" s="213"/>
      <c r="B2994" s="213"/>
      <c r="C2994" s="213"/>
      <c r="D2994" s="213"/>
      <c r="E2994" s="213"/>
      <c r="F2994" s="213"/>
      <c r="G2994" s="213"/>
      <c r="H2994" s="213"/>
      <c r="I2994" s="213"/>
      <c r="J2994" s="213"/>
      <c r="K2994" s="213"/>
      <c r="L2994" s="213"/>
      <c r="M2994" s="213"/>
      <c r="N2994" s="213"/>
      <c r="O2994" s="213"/>
      <c r="P2994" s="213"/>
      <c r="Q2994" s="213"/>
      <c r="R2994" s="213"/>
      <c r="S2994" s="213"/>
      <c r="T2994" s="213"/>
      <c r="U2994" s="213"/>
      <c r="V2994" s="213"/>
      <c r="W2994" s="213"/>
      <c r="X2994" s="213"/>
      <c r="Y2994" s="213"/>
      <c r="Z2994" s="213"/>
      <c r="AA2994" s="213"/>
      <c r="AB2994" s="213"/>
      <c r="AC2994" s="213"/>
      <c r="AD2994" s="213"/>
      <c r="AE2994" s="213"/>
      <c r="AF2994" s="213"/>
      <c r="AG2994" s="213"/>
      <c r="AH2994" s="213"/>
      <c r="AI2994" s="213"/>
      <c r="AJ2994" s="213"/>
      <c r="AK2994" s="213"/>
      <c r="AL2994" s="213"/>
      <c r="AM2994" s="213"/>
      <c r="AN2994" s="213"/>
      <c r="AO2994" s="213"/>
      <c r="AP2994" s="213"/>
      <c r="AQ2994" s="213"/>
      <c r="AR2994" s="213"/>
      <c r="AS2994" s="213"/>
      <c r="AT2994" s="213"/>
      <c r="AU2994" s="213"/>
      <c r="AV2994" s="213"/>
      <c r="AW2994" s="213"/>
      <c r="AX2994" s="213"/>
      <c r="AY2994" s="213"/>
      <c r="AZ2994" s="213"/>
      <c r="BA2994" s="213"/>
      <c r="BB2994" s="213"/>
      <c r="BC2994" s="213"/>
      <c r="BD2994" s="213"/>
    </row>
    <row r="2995">
      <c r="A2995" s="213"/>
      <c r="B2995" s="213"/>
      <c r="C2995" s="213"/>
      <c r="D2995" s="213"/>
      <c r="E2995" s="213"/>
      <c r="F2995" s="213"/>
      <c r="G2995" s="213"/>
      <c r="H2995" s="213"/>
      <c r="I2995" s="213"/>
      <c r="J2995" s="213"/>
      <c r="K2995" s="213"/>
      <c r="L2995" s="213"/>
      <c r="M2995" s="213"/>
      <c r="N2995" s="213"/>
      <c r="O2995" s="213"/>
      <c r="P2995" s="213"/>
      <c r="Q2995" s="213"/>
      <c r="R2995" s="213"/>
      <c r="S2995" s="213"/>
      <c r="T2995" s="213"/>
      <c r="U2995" s="213"/>
      <c r="V2995" s="213"/>
      <c r="W2995" s="213"/>
      <c r="X2995" s="213"/>
      <c r="Y2995" s="213"/>
      <c r="Z2995" s="213"/>
      <c r="AA2995" s="213"/>
      <c r="AB2995" s="213"/>
      <c r="AC2995" s="213"/>
      <c r="AD2995" s="213"/>
      <c r="AE2995" s="213"/>
      <c r="AF2995" s="213"/>
      <c r="AG2995" s="213"/>
      <c r="AH2995" s="213"/>
      <c r="AI2995" s="213"/>
      <c r="AJ2995" s="213"/>
      <c r="AK2995" s="213"/>
      <c r="AL2995" s="213"/>
      <c r="AM2995" s="213"/>
      <c r="AN2995" s="213"/>
      <c r="AO2995" s="213"/>
      <c r="AP2995" s="213"/>
      <c r="AQ2995" s="213"/>
      <c r="AR2995" s="213"/>
      <c r="AS2995" s="213"/>
      <c r="AT2995" s="213"/>
      <c r="AU2995" s="213"/>
      <c r="AV2995" s="213"/>
      <c r="AW2995" s="213"/>
      <c r="AX2995" s="213"/>
      <c r="AY2995" s="213"/>
      <c r="AZ2995" s="213"/>
      <c r="BA2995" s="213"/>
      <c r="BB2995" s="213"/>
      <c r="BC2995" s="213"/>
      <c r="BD2995" s="213"/>
    </row>
    <row r="2996">
      <c r="A2996" s="213"/>
      <c r="B2996" s="213"/>
      <c r="C2996" s="213"/>
      <c r="D2996" s="213"/>
      <c r="E2996" s="213"/>
      <c r="F2996" s="213"/>
      <c r="G2996" s="213"/>
      <c r="H2996" s="213"/>
      <c r="I2996" s="213"/>
      <c r="J2996" s="213"/>
      <c r="K2996" s="213"/>
      <c r="L2996" s="213"/>
      <c r="M2996" s="213"/>
      <c r="N2996" s="213"/>
      <c r="O2996" s="213"/>
      <c r="P2996" s="213"/>
      <c r="Q2996" s="213"/>
      <c r="R2996" s="213"/>
      <c r="S2996" s="213"/>
      <c r="T2996" s="213"/>
      <c r="U2996" s="213"/>
      <c r="V2996" s="213"/>
      <c r="W2996" s="213"/>
      <c r="X2996" s="213"/>
      <c r="Y2996" s="213"/>
      <c r="Z2996" s="213"/>
      <c r="AA2996" s="213"/>
      <c r="AB2996" s="213"/>
      <c r="AC2996" s="213"/>
      <c r="AD2996" s="213"/>
      <c r="AE2996" s="213"/>
      <c r="AF2996" s="213"/>
      <c r="AG2996" s="213"/>
      <c r="AH2996" s="213"/>
      <c r="AI2996" s="213"/>
      <c r="AJ2996" s="213"/>
      <c r="AK2996" s="213"/>
      <c r="AL2996" s="213"/>
      <c r="AM2996" s="213"/>
      <c r="AN2996" s="213"/>
      <c r="AO2996" s="213"/>
      <c r="AP2996" s="213"/>
      <c r="AQ2996" s="213"/>
      <c r="AR2996" s="213"/>
      <c r="AS2996" s="213"/>
      <c r="AT2996" s="213"/>
      <c r="AU2996" s="213"/>
      <c r="AV2996" s="213"/>
      <c r="AW2996" s="213"/>
      <c r="AX2996" s="213"/>
      <c r="AY2996" s="213"/>
      <c r="AZ2996" s="213"/>
      <c r="BA2996" s="213"/>
      <c r="BB2996" s="213"/>
      <c r="BC2996" s="213"/>
      <c r="BD2996" s="213"/>
    </row>
    <row r="2997">
      <c r="A2997" s="213"/>
      <c r="B2997" s="213"/>
      <c r="C2997" s="213"/>
      <c r="D2997" s="213"/>
      <c r="E2997" s="213"/>
      <c r="F2997" s="213"/>
      <c r="G2997" s="213"/>
      <c r="H2997" s="213"/>
      <c r="I2997" s="213"/>
      <c r="J2997" s="213"/>
      <c r="K2997" s="213"/>
      <c r="L2997" s="213"/>
      <c r="M2997" s="213"/>
      <c r="N2997" s="213"/>
      <c r="O2997" s="213"/>
      <c r="P2997" s="213"/>
      <c r="Q2997" s="213"/>
      <c r="R2997" s="213"/>
      <c r="S2997" s="213"/>
      <c r="T2997" s="213"/>
      <c r="U2997" s="213"/>
      <c r="V2997" s="213"/>
      <c r="W2997" s="213"/>
      <c r="X2997" s="213"/>
      <c r="Y2997" s="213"/>
      <c r="Z2997" s="213"/>
      <c r="AA2997" s="213"/>
      <c r="AB2997" s="213"/>
      <c r="AC2997" s="213"/>
      <c r="AD2997" s="213"/>
      <c r="AE2997" s="213"/>
      <c r="AF2997" s="213"/>
      <c r="AG2997" s="213"/>
      <c r="AH2997" s="213"/>
      <c r="AI2997" s="213"/>
      <c r="AJ2997" s="213"/>
      <c r="AK2997" s="213"/>
      <c r="AL2997" s="213"/>
      <c r="AM2997" s="213"/>
      <c r="AN2997" s="213"/>
      <c r="AO2997" s="213"/>
      <c r="AP2997" s="213"/>
      <c r="AQ2997" s="213"/>
      <c r="AR2997" s="213"/>
      <c r="AS2997" s="213"/>
      <c r="AT2997" s="213"/>
      <c r="AU2997" s="213"/>
      <c r="AV2997" s="213"/>
      <c r="AW2997" s="213"/>
      <c r="AX2997" s="213"/>
      <c r="AY2997" s="213"/>
      <c r="AZ2997" s="213"/>
      <c r="BA2997" s="213"/>
      <c r="BB2997" s="213"/>
      <c r="BC2997" s="213"/>
      <c r="BD2997" s="213"/>
    </row>
    <row r="2998">
      <c r="A2998" s="213"/>
      <c r="B2998" s="213"/>
      <c r="C2998" s="213"/>
      <c r="D2998" s="213"/>
      <c r="E2998" s="213"/>
      <c r="F2998" s="213"/>
      <c r="G2998" s="213"/>
      <c r="H2998" s="213"/>
      <c r="I2998" s="213"/>
      <c r="J2998" s="213"/>
      <c r="K2998" s="213"/>
      <c r="L2998" s="213"/>
      <c r="M2998" s="213"/>
      <c r="N2998" s="213"/>
      <c r="O2998" s="213"/>
      <c r="P2998" s="213"/>
      <c r="Q2998" s="213"/>
      <c r="R2998" s="213"/>
      <c r="S2998" s="213"/>
      <c r="T2998" s="213"/>
      <c r="U2998" s="213"/>
      <c r="V2998" s="213"/>
      <c r="W2998" s="213"/>
      <c r="X2998" s="213"/>
      <c r="Y2998" s="213"/>
      <c r="Z2998" s="213"/>
      <c r="AA2998" s="213"/>
      <c r="AB2998" s="213"/>
      <c r="AC2998" s="213"/>
      <c r="AD2998" s="213"/>
      <c r="AE2998" s="213"/>
      <c r="AF2998" s="213"/>
      <c r="AG2998" s="213"/>
      <c r="AH2998" s="213"/>
      <c r="AI2998" s="213"/>
      <c r="AJ2998" s="213"/>
      <c r="AK2998" s="213"/>
      <c r="AL2998" s="213"/>
      <c r="AM2998" s="213"/>
      <c r="AN2998" s="213"/>
      <c r="AO2998" s="213"/>
      <c r="AP2998" s="213"/>
      <c r="AQ2998" s="213"/>
      <c r="AR2998" s="213"/>
      <c r="AS2998" s="213"/>
      <c r="AT2998" s="213"/>
      <c r="AU2998" s="213"/>
      <c r="AV2998" s="213"/>
      <c r="AW2998" s="213"/>
      <c r="AX2998" s="213"/>
      <c r="AY2998" s="213"/>
      <c r="AZ2998" s="213"/>
      <c r="BA2998" s="213"/>
      <c r="BB2998" s="213"/>
      <c r="BC2998" s="213"/>
      <c r="BD2998" s="213"/>
    </row>
    <row r="2999">
      <c r="A2999" s="213"/>
      <c r="B2999" s="213"/>
      <c r="C2999" s="213"/>
      <c r="D2999" s="213"/>
      <c r="E2999" s="213"/>
      <c r="F2999" s="213"/>
      <c r="G2999" s="213"/>
      <c r="H2999" s="213"/>
      <c r="I2999" s="213"/>
      <c r="J2999" s="213"/>
      <c r="K2999" s="213"/>
      <c r="L2999" s="213"/>
      <c r="M2999" s="213"/>
      <c r="N2999" s="213"/>
      <c r="O2999" s="213"/>
      <c r="P2999" s="213"/>
      <c r="Q2999" s="213"/>
      <c r="R2999" s="213"/>
      <c r="S2999" s="213"/>
      <c r="T2999" s="213"/>
      <c r="U2999" s="213"/>
      <c r="V2999" s="213"/>
      <c r="W2999" s="213"/>
      <c r="X2999" s="213"/>
      <c r="Y2999" s="213"/>
      <c r="Z2999" s="213"/>
      <c r="AA2999" s="213"/>
      <c r="AB2999" s="213"/>
      <c r="AC2999" s="213"/>
      <c r="AD2999" s="213"/>
      <c r="AE2999" s="213"/>
      <c r="AF2999" s="213"/>
      <c r="AG2999" s="213"/>
      <c r="AH2999" s="213"/>
      <c r="AI2999" s="213"/>
      <c r="AJ2999" s="213"/>
      <c r="AK2999" s="213"/>
      <c r="AL2999" s="213"/>
      <c r="AM2999" s="213"/>
      <c r="AN2999" s="213"/>
      <c r="AO2999" s="213"/>
      <c r="AP2999" s="213"/>
      <c r="AQ2999" s="213"/>
      <c r="AR2999" s="213"/>
      <c r="AS2999" s="213"/>
      <c r="AT2999" s="213"/>
      <c r="AU2999" s="213"/>
      <c r="AV2999" s="213"/>
      <c r="AW2999" s="213"/>
      <c r="AX2999" s="213"/>
      <c r="AY2999" s="213"/>
      <c r="AZ2999" s="213"/>
      <c r="BA2999" s="213"/>
      <c r="BB2999" s="213"/>
      <c r="BC2999" s="213"/>
      <c r="BD2999" s="213"/>
    </row>
    <row r="3000">
      <c r="A3000" s="213"/>
      <c r="B3000" s="213"/>
      <c r="C3000" s="213"/>
      <c r="D3000" s="213"/>
      <c r="E3000" s="213"/>
      <c r="F3000" s="213"/>
      <c r="G3000" s="213"/>
      <c r="H3000" s="213"/>
      <c r="I3000" s="213"/>
      <c r="J3000" s="213"/>
      <c r="K3000" s="213"/>
      <c r="L3000" s="213"/>
      <c r="M3000" s="213"/>
      <c r="N3000" s="213"/>
      <c r="O3000" s="213"/>
      <c r="P3000" s="213"/>
      <c r="Q3000" s="213"/>
      <c r="R3000" s="213"/>
      <c r="S3000" s="213"/>
      <c r="T3000" s="213"/>
      <c r="U3000" s="213"/>
      <c r="V3000" s="213"/>
      <c r="W3000" s="213"/>
      <c r="X3000" s="213"/>
      <c r="Y3000" s="213"/>
      <c r="Z3000" s="213"/>
      <c r="AA3000" s="213"/>
      <c r="AB3000" s="213"/>
      <c r="AC3000" s="213"/>
      <c r="AD3000" s="213"/>
      <c r="AE3000" s="213"/>
      <c r="AF3000" s="213"/>
      <c r="AG3000" s="213"/>
      <c r="AH3000" s="213"/>
      <c r="AI3000" s="213"/>
      <c r="AJ3000" s="213"/>
      <c r="AK3000" s="213"/>
      <c r="AL3000" s="213"/>
      <c r="AM3000" s="213"/>
      <c r="AN3000" s="213"/>
      <c r="AO3000" s="213"/>
      <c r="AP3000" s="213"/>
      <c r="AQ3000" s="213"/>
      <c r="AR3000" s="213"/>
      <c r="AS3000" s="213"/>
      <c r="AT3000" s="213"/>
      <c r="AU3000" s="213"/>
      <c r="AV3000" s="213"/>
      <c r="AW3000" s="213"/>
      <c r="AX3000" s="213"/>
      <c r="AY3000" s="213"/>
      <c r="AZ3000" s="213"/>
      <c r="BA3000" s="213"/>
      <c r="BB3000" s="213"/>
      <c r="BC3000" s="213"/>
      <c r="BD3000" s="213"/>
    </row>
    <row r="3001">
      <c r="A3001" s="213"/>
      <c r="B3001" s="213"/>
      <c r="C3001" s="213"/>
      <c r="D3001" s="213"/>
      <c r="E3001" s="213"/>
      <c r="F3001" s="213"/>
      <c r="G3001" s="213"/>
      <c r="H3001" s="213"/>
      <c r="I3001" s="213"/>
      <c r="J3001" s="213"/>
      <c r="K3001" s="213"/>
      <c r="L3001" s="213"/>
      <c r="M3001" s="213"/>
      <c r="N3001" s="213"/>
      <c r="O3001" s="213"/>
      <c r="P3001" s="213"/>
      <c r="Q3001" s="213"/>
      <c r="R3001" s="213"/>
      <c r="S3001" s="213"/>
      <c r="T3001" s="213"/>
      <c r="U3001" s="213"/>
      <c r="V3001" s="213"/>
      <c r="W3001" s="213"/>
      <c r="X3001" s="213"/>
      <c r="Y3001" s="213"/>
      <c r="Z3001" s="213"/>
      <c r="AA3001" s="213"/>
      <c r="AB3001" s="213"/>
      <c r="AC3001" s="213"/>
      <c r="AD3001" s="213"/>
      <c r="AE3001" s="213"/>
      <c r="AF3001" s="213"/>
      <c r="AG3001" s="213"/>
      <c r="AH3001" s="213"/>
      <c r="AI3001" s="213"/>
      <c r="AJ3001" s="213"/>
      <c r="AK3001" s="213"/>
      <c r="AL3001" s="213"/>
      <c r="AM3001" s="213"/>
      <c r="AN3001" s="213"/>
      <c r="AO3001" s="213"/>
      <c r="AP3001" s="213"/>
      <c r="AQ3001" s="213"/>
      <c r="AR3001" s="213"/>
      <c r="AS3001" s="213"/>
      <c r="AT3001" s="213"/>
      <c r="AU3001" s="213"/>
      <c r="AV3001" s="213"/>
      <c r="AW3001" s="213"/>
      <c r="AX3001" s="213"/>
      <c r="AY3001" s="213"/>
      <c r="AZ3001" s="213"/>
      <c r="BA3001" s="213"/>
      <c r="BB3001" s="213"/>
      <c r="BC3001" s="213"/>
      <c r="BD3001" s="213"/>
    </row>
    <row r="3002">
      <c r="A3002" s="213"/>
      <c r="B3002" s="213"/>
      <c r="C3002" s="213"/>
      <c r="D3002" s="213"/>
      <c r="E3002" s="213"/>
      <c r="F3002" s="213"/>
      <c r="G3002" s="213"/>
      <c r="H3002" s="213"/>
      <c r="I3002" s="213"/>
      <c r="J3002" s="213"/>
      <c r="K3002" s="213"/>
      <c r="L3002" s="213"/>
      <c r="M3002" s="213"/>
      <c r="N3002" s="213"/>
      <c r="O3002" s="213"/>
      <c r="P3002" s="213"/>
      <c r="Q3002" s="213"/>
      <c r="R3002" s="213"/>
      <c r="S3002" s="213"/>
      <c r="T3002" s="213"/>
      <c r="U3002" s="213"/>
      <c r="V3002" s="213"/>
      <c r="W3002" s="213"/>
      <c r="X3002" s="213"/>
      <c r="Y3002" s="213"/>
      <c r="Z3002" s="213"/>
      <c r="AA3002" s="213"/>
      <c r="AB3002" s="213"/>
      <c r="AC3002" s="213"/>
      <c r="AD3002" s="213"/>
      <c r="AE3002" s="213"/>
      <c r="AF3002" s="213"/>
      <c r="AG3002" s="213"/>
      <c r="AH3002" s="213"/>
      <c r="AI3002" s="213"/>
      <c r="AJ3002" s="213"/>
      <c r="AK3002" s="213"/>
      <c r="AL3002" s="213"/>
      <c r="AM3002" s="213"/>
      <c r="AN3002" s="213"/>
      <c r="AO3002" s="213"/>
      <c r="AP3002" s="213"/>
      <c r="AQ3002" s="213"/>
      <c r="AR3002" s="213"/>
      <c r="AS3002" s="213"/>
      <c r="AT3002" s="213"/>
      <c r="AU3002" s="213"/>
      <c r="AV3002" s="213"/>
      <c r="AW3002" s="213"/>
      <c r="AX3002" s="213"/>
      <c r="AY3002" s="213"/>
      <c r="AZ3002" s="213"/>
      <c r="BA3002" s="213"/>
      <c r="BB3002" s="213"/>
      <c r="BC3002" s="213"/>
      <c r="BD3002" s="213"/>
    </row>
    <row r="3003">
      <c r="A3003" s="213"/>
      <c r="B3003" s="213"/>
      <c r="C3003" s="213"/>
      <c r="D3003" s="213"/>
      <c r="E3003" s="213"/>
      <c r="F3003" s="213"/>
      <c r="G3003" s="213"/>
      <c r="H3003" s="213"/>
      <c r="I3003" s="213"/>
      <c r="J3003" s="213"/>
      <c r="K3003" s="213"/>
      <c r="L3003" s="213"/>
      <c r="M3003" s="213"/>
      <c r="N3003" s="213"/>
      <c r="O3003" s="213"/>
      <c r="P3003" s="213"/>
      <c r="Q3003" s="213"/>
      <c r="R3003" s="213"/>
      <c r="S3003" s="213"/>
      <c r="T3003" s="213"/>
      <c r="U3003" s="213"/>
      <c r="V3003" s="213"/>
      <c r="W3003" s="213"/>
      <c r="X3003" s="213"/>
      <c r="Y3003" s="213"/>
      <c r="Z3003" s="213"/>
      <c r="AA3003" s="213"/>
      <c r="AB3003" s="213"/>
      <c r="AC3003" s="213"/>
      <c r="AD3003" s="213"/>
      <c r="AE3003" s="213"/>
      <c r="AF3003" s="213"/>
      <c r="AG3003" s="213"/>
      <c r="AH3003" s="213"/>
      <c r="AI3003" s="213"/>
      <c r="AJ3003" s="213"/>
      <c r="AK3003" s="213"/>
      <c r="AL3003" s="213"/>
      <c r="AM3003" s="213"/>
      <c r="AN3003" s="213"/>
      <c r="AO3003" s="213"/>
      <c r="AP3003" s="213"/>
      <c r="AQ3003" s="213"/>
      <c r="AR3003" s="213"/>
      <c r="AS3003" s="213"/>
      <c r="AT3003" s="213"/>
      <c r="AU3003" s="213"/>
      <c r="AV3003" s="213"/>
      <c r="AW3003" s="213"/>
      <c r="AX3003" s="213"/>
      <c r="AY3003" s="213"/>
      <c r="AZ3003" s="213"/>
      <c r="BA3003" s="213"/>
      <c r="BB3003" s="213"/>
      <c r="BC3003" s="213"/>
      <c r="BD3003" s="213"/>
    </row>
    <row r="3004">
      <c r="A3004" s="213"/>
      <c r="B3004" s="213"/>
      <c r="C3004" s="213"/>
      <c r="D3004" s="213"/>
      <c r="E3004" s="213"/>
      <c r="F3004" s="213"/>
      <c r="G3004" s="213"/>
      <c r="H3004" s="213"/>
      <c r="I3004" s="213"/>
      <c r="J3004" s="213"/>
      <c r="K3004" s="213"/>
      <c r="L3004" s="213"/>
      <c r="M3004" s="213"/>
      <c r="N3004" s="213"/>
      <c r="O3004" s="213"/>
      <c r="P3004" s="213"/>
      <c r="Q3004" s="213"/>
      <c r="R3004" s="213"/>
      <c r="S3004" s="213"/>
      <c r="T3004" s="213"/>
      <c r="U3004" s="213"/>
      <c r="V3004" s="213"/>
      <c r="W3004" s="213"/>
      <c r="X3004" s="213"/>
      <c r="Y3004" s="213"/>
      <c r="Z3004" s="213"/>
      <c r="AA3004" s="213"/>
      <c r="AB3004" s="213"/>
      <c r="AC3004" s="213"/>
      <c r="AD3004" s="213"/>
      <c r="AE3004" s="213"/>
      <c r="AF3004" s="213"/>
      <c r="AG3004" s="213"/>
      <c r="AH3004" s="213"/>
      <c r="AI3004" s="213"/>
      <c r="AJ3004" s="213"/>
      <c r="AK3004" s="213"/>
      <c r="AL3004" s="213"/>
      <c r="AM3004" s="213"/>
      <c r="AN3004" s="213"/>
      <c r="AO3004" s="213"/>
      <c r="AP3004" s="213"/>
      <c r="AQ3004" s="213"/>
      <c r="AR3004" s="213"/>
      <c r="AS3004" s="213"/>
      <c r="AT3004" s="213"/>
      <c r="AU3004" s="213"/>
      <c r="AV3004" s="213"/>
      <c r="AW3004" s="213"/>
      <c r="AX3004" s="213"/>
      <c r="AY3004" s="213"/>
      <c r="AZ3004" s="213"/>
      <c r="BA3004" s="213"/>
      <c r="BB3004" s="213"/>
      <c r="BC3004" s="213"/>
      <c r="BD3004" s="213"/>
    </row>
    <row r="3005">
      <c r="A3005" s="213"/>
      <c r="B3005" s="213"/>
      <c r="C3005" s="213"/>
      <c r="D3005" s="213"/>
      <c r="E3005" s="213"/>
      <c r="F3005" s="213"/>
      <c r="G3005" s="213"/>
      <c r="H3005" s="213"/>
      <c r="I3005" s="213"/>
      <c r="J3005" s="213"/>
      <c r="K3005" s="213"/>
      <c r="L3005" s="213"/>
      <c r="M3005" s="213"/>
      <c r="N3005" s="213"/>
      <c r="O3005" s="213"/>
      <c r="P3005" s="213"/>
      <c r="Q3005" s="213"/>
      <c r="R3005" s="213"/>
      <c r="S3005" s="213"/>
      <c r="T3005" s="213"/>
      <c r="U3005" s="213"/>
      <c r="V3005" s="213"/>
      <c r="W3005" s="213"/>
      <c r="X3005" s="213"/>
      <c r="Y3005" s="213"/>
      <c r="Z3005" s="213"/>
      <c r="AA3005" s="213"/>
      <c r="AB3005" s="213"/>
      <c r="AC3005" s="213"/>
      <c r="AD3005" s="213"/>
      <c r="AE3005" s="213"/>
      <c r="AF3005" s="213"/>
      <c r="AG3005" s="213"/>
      <c r="AH3005" s="213"/>
      <c r="AI3005" s="213"/>
      <c r="AJ3005" s="213"/>
      <c r="AK3005" s="213"/>
      <c r="AL3005" s="213"/>
      <c r="AM3005" s="213"/>
      <c r="AN3005" s="213"/>
      <c r="AO3005" s="213"/>
      <c r="AP3005" s="213"/>
      <c r="AQ3005" s="213"/>
      <c r="AR3005" s="213"/>
      <c r="AS3005" s="213"/>
      <c r="AT3005" s="213"/>
      <c r="AU3005" s="213"/>
      <c r="AV3005" s="213"/>
      <c r="AW3005" s="213"/>
      <c r="AX3005" s="213"/>
      <c r="AY3005" s="213"/>
      <c r="AZ3005" s="213"/>
      <c r="BA3005" s="213"/>
      <c r="BB3005" s="213"/>
      <c r="BC3005" s="213"/>
      <c r="BD3005" s="213"/>
    </row>
    <row r="3006">
      <c r="A3006" s="213"/>
      <c r="B3006" s="213"/>
      <c r="C3006" s="213"/>
      <c r="D3006" s="213"/>
      <c r="E3006" s="213"/>
      <c r="F3006" s="213"/>
      <c r="G3006" s="213"/>
      <c r="H3006" s="213"/>
      <c r="I3006" s="213"/>
      <c r="J3006" s="213"/>
      <c r="K3006" s="213"/>
      <c r="L3006" s="213"/>
      <c r="M3006" s="213"/>
      <c r="N3006" s="213"/>
      <c r="O3006" s="213"/>
      <c r="P3006" s="213"/>
      <c r="Q3006" s="213"/>
      <c r="R3006" s="213"/>
      <c r="S3006" s="213"/>
      <c r="T3006" s="213"/>
      <c r="U3006" s="213"/>
      <c r="V3006" s="213"/>
      <c r="W3006" s="213"/>
      <c r="X3006" s="213"/>
      <c r="Y3006" s="213"/>
      <c r="Z3006" s="213"/>
      <c r="AA3006" s="213"/>
      <c r="AB3006" s="213"/>
      <c r="AC3006" s="213"/>
      <c r="AD3006" s="213"/>
      <c r="AE3006" s="213"/>
      <c r="AF3006" s="213"/>
      <c r="AG3006" s="213"/>
      <c r="AH3006" s="213"/>
      <c r="AI3006" s="213"/>
      <c r="AJ3006" s="213"/>
      <c r="AK3006" s="213"/>
      <c r="AL3006" s="213"/>
      <c r="AM3006" s="213"/>
      <c r="AN3006" s="213"/>
      <c r="AO3006" s="213"/>
      <c r="AP3006" s="213"/>
      <c r="AQ3006" s="213"/>
      <c r="AR3006" s="213"/>
      <c r="AS3006" s="213"/>
      <c r="AT3006" s="213"/>
      <c r="AU3006" s="213"/>
      <c r="AV3006" s="213"/>
      <c r="AW3006" s="213"/>
      <c r="AX3006" s="213"/>
      <c r="AY3006" s="213"/>
      <c r="AZ3006" s="213"/>
      <c r="BA3006" s="213"/>
      <c r="BB3006" s="213"/>
      <c r="BC3006" s="213"/>
      <c r="BD3006" s="213"/>
    </row>
    <row r="3007">
      <c r="A3007" s="213"/>
      <c r="B3007" s="213"/>
      <c r="C3007" s="213"/>
      <c r="D3007" s="213"/>
      <c r="E3007" s="213"/>
      <c r="F3007" s="213"/>
      <c r="G3007" s="213"/>
      <c r="H3007" s="213"/>
      <c r="I3007" s="213"/>
      <c r="J3007" s="213"/>
      <c r="K3007" s="213"/>
      <c r="L3007" s="213"/>
      <c r="M3007" s="213"/>
      <c r="N3007" s="213"/>
      <c r="O3007" s="213"/>
      <c r="P3007" s="213"/>
      <c r="Q3007" s="213"/>
      <c r="R3007" s="213"/>
      <c r="S3007" s="213"/>
      <c r="T3007" s="213"/>
      <c r="U3007" s="213"/>
      <c r="V3007" s="213"/>
      <c r="W3007" s="213"/>
      <c r="X3007" s="213"/>
      <c r="Y3007" s="213"/>
      <c r="Z3007" s="213"/>
      <c r="AA3007" s="213"/>
      <c r="AB3007" s="213"/>
      <c r="AC3007" s="213"/>
      <c r="AD3007" s="213"/>
      <c r="AE3007" s="213"/>
      <c r="AF3007" s="213"/>
      <c r="AG3007" s="213"/>
      <c r="AH3007" s="213"/>
      <c r="AI3007" s="213"/>
      <c r="AJ3007" s="213"/>
      <c r="AK3007" s="213"/>
      <c r="AL3007" s="213"/>
      <c r="AM3007" s="213"/>
      <c r="AN3007" s="213"/>
      <c r="AO3007" s="213"/>
      <c r="AP3007" s="213"/>
      <c r="AQ3007" s="213"/>
      <c r="AR3007" s="213"/>
      <c r="AS3007" s="213"/>
      <c r="AT3007" s="213"/>
      <c r="AU3007" s="213"/>
      <c r="AV3007" s="213"/>
      <c r="AW3007" s="213"/>
      <c r="AX3007" s="213"/>
      <c r="AY3007" s="213"/>
      <c r="AZ3007" s="213"/>
      <c r="BA3007" s="213"/>
      <c r="BB3007" s="213"/>
      <c r="BC3007" s="213"/>
      <c r="BD3007" s="213"/>
    </row>
    <row r="3008">
      <c r="A3008" s="213"/>
      <c r="B3008" s="213"/>
      <c r="C3008" s="213"/>
      <c r="D3008" s="213"/>
      <c r="E3008" s="213"/>
      <c r="F3008" s="213"/>
      <c r="G3008" s="213"/>
      <c r="H3008" s="213"/>
      <c r="I3008" s="213"/>
      <c r="J3008" s="213"/>
      <c r="K3008" s="213"/>
      <c r="L3008" s="213"/>
      <c r="M3008" s="213"/>
      <c r="N3008" s="213"/>
      <c r="O3008" s="213"/>
      <c r="P3008" s="213"/>
      <c r="Q3008" s="213"/>
      <c r="R3008" s="213"/>
      <c r="S3008" s="213"/>
      <c r="T3008" s="213"/>
      <c r="U3008" s="213"/>
      <c r="V3008" s="213"/>
      <c r="W3008" s="213"/>
      <c r="X3008" s="213"/>
      <c r="Y3008" s="213"/>
      <c r="Z3008" s="213"/>
      <c r="AA3008" s="213"/>
      <c r="AB3008" s="213"/>
      <c r="AC3008" s="213"/>
      <c r="AD3008" s="213"/>
      <c r="AE3008" s="213"/>
      <c r="AF3008" s="213"/>
      <c r="AG3008" s="213"/>
      <c r="AH3008" s="213"/>
      <c r="AI3008" s="213"/>
      <c r="AJ3008" s="213"/>
      <c r="AK3008" s="213"/>
      <c r="AL3008" s="213"/>
      <c r="AM3008" s="213"/>
      <c r="AN3008" s="213"/>
      <c r="AO3008" s="213"/>
      <c r="AP3008" s="213"/>
      <c r="AQ3008" s="213"/>
      <c r="AR3008" s="213"/>
      <c r="AS3008" s="213"/>
      <c r="AT3008" s="213"/>
      <c r="AU3008" s="213"/>
      <c r="AV3008" s="213"/>
      <c r="AW3008" s="213"/>
      <c r="AX3008" s="213"/>
      <c r="AY3008" s="213"/>
      <c r="AZ3008" s="213"/>
      <c r="BA3008" s="213"/>
      <c r="BB3008" s="213"/>
      <c r="BC3008" s="213"/>
      <c r="BD3008" s="213"/>
    </row>
    <row r="3009">
      <c r="A3009" s="213"/>
      <c r="B3009" s="213"/>
      <c r="C3009" s="213"/>
      <c r="D3009" s="213"/>
      <c r="E3009" s="213"/>
      <c r="F3009" s="213"/>
      <c r="G3009" s="213"/>
      <c r="H3009" s="213"/>
      <c r="I3009" s="213"/>
      <c r="J3009" s="213"/>
      <c r="K3009" s="213"/>
      <c r="L3009" s="213"/>
      <c r="M3009" s="213"/>
      <c r="N3009" s="213"/>
      <c r="O3009" s="213"/>
      <c r="P3009" s="213"/>
      <c r="Q3009" s="213"/>
      <c r="R3009" s="213"/>
      <c r="S3009" s="213"/>
      <c r="T3009" s="213"/>
      <c r="U3009" s="213"/>
      <c r="V3009" s="213"/>
      <c r="W3009" s="213"/>
      <c r="X3009" s="213"/>
      <c r="Y3009" s="213"/>
      <c r="Z3009" s="213"/>
      <c r="AA3009" s="213"/>
      <c r="AB3009" s="213"/>
      <c r="AC3009" s="213"/>
      <c r="AD3009" s="213"/>
      <c r="AE3009" s="213"/>
      <c r="AF3009" s="213"/>
      <c r="AG3009" s="213"/>
      <c r="AH3009" s="213"/>
      <c r="AI3009" s="213"/>
      <c r="AJ3009" s="213"/>
      <c r="AK3009" s="213"/>
      <c r="AL3009" s="213"/>
      <c r="AM3009" s="213"/>
      <c r="AN3009" s="213"/>
      <c r="AO3009" s="213"/>
      <c r="AP3009" s="213"/>
      <c r="AQ3009" s="213"/>
      <c r="AR3009" s="213"/>
      <c r="AS3009" s="213"/>
      <c r="AT3009" s="213"/>
      <c r="AU3009" s="213"/>
      <c r="AV3009" s="213"/>
      <c r="AW3009" s="213"/>
      <c r="AX3009" s="213"/>
      <c r="AY3009" s="213"/>
      <c r="AZ3009" s="213"/>
      <c r="BA3009" s="213"/>
      <c r="BB3009" s="213"/>
      <c r="BC3009" s="213"/>
      <c r="BD3009" s="213"/>
    </row>
    <row r="3010">
      <c r="A3010" s="213"/>
      <c r="B3010" s="213"/>
      <c r="C3010" s="213"/>
      <c r="D3010" s="213"/>
      <c r="E3010" s="213"/>
      <c r="F3010" s="213"/>
      <c r="G3010" s="213"/>
      <c r="H3010" s="213"/>
      <c r="I3010" s="213"/>
      <c r="J3010" s="213"/>
      <c r="K3010" s="213"/>
      <c r="L3010" s="213"/>
      <c r="M3010" s="213"/>
      <c r="N3010" s="213"/>
      <c r="O3010" s="213"/>
      <c r="P3010" s="213"/>
      <c r="Q3010" s="213"/>
      <c r="R3010" s="213"/>
      <c r="S3010" s="213"/>
      <c r="T3010" s="213"/>
      <c r="U3010" s="213"/>
      <c r="V3010" s="213"/>
      <c r="W3010" s="213"/>
      <c r="X3010" s="213"/>
      <c r="Y3010" s="213"/>
      <c r="Z3010" s="213"/>
      <c r="AA3010" s="213"/>
      <c r="AB3010" s="213"/>
      <c r="AC3010" s="213"/>
      <c r="AD3010" s="213"/>
      <c r="AE3010" s="213"/>
      <c r="AF3010" s="213"/>
      <c r="AG3010" s="213"/>
      <c r="AH3010" s="213"/>
      <c r="AI3010" s="213"/>
      <c r="AJ3010" s="213"/>
      <c r="AK3010" s="213"/>
      <c r="AL3010" s="213"/>
      <c r="AM3010" s="213"/>
      <c r="AN3010" s="213"/>
      <c r="AO3010" s="213"/>
      <c r="AP3010" s="213"/>
      <c r="AQ3010" s="213"/>
      <c r="AR3010" s="213"/>
      <c r="AS3010" s="213"/>
      <c r="AT3010" s="213"/>
      <c r="AU3010" s="213"/>
      <c r="AV3010" s="213"/>
      <c r="AW3010" s="213"/>
      <c r="AX3010" s="213"/>
      <c r="AY3010" s="213"/>
      <c r="AZ3010" s="213"/>
      <c r="BA3010" s="213"/>
      <c r="BB3010" s="213"/>
      <c r="BC3010" s="213"/>
      <c r="BD3010" s="213"/>
    </row>
    <row r="3011">
      <c r="A3011" s="213"/>
      <c r="B3011" s="213"/>
      <c r="C3011" s="213"/>
      <c r="D3011" s="213"/>
      <c r="E3011" s="213"/>
      <c r="F3011" s="213"/>
      <c r="G3011" s="213"/>
      <c r="H3011" s="213"/>
      <c r="I3011" s="213"/>
      <c r="J3011" s="213"/>
      <c r="K3011" s="213"/>
      <c r="L3011" s="213"/>
      <c r="M3011" s="213"/>
      <c r="N3011" s="213"/>
      <c r="O3011" s="213"/>
      <c r="P3011" s="213"/>
      <c r="Q3011" s="213"/>
      <c r="R3011" s="213"/>
      <c r="S3011" s="213"/>
      <c r="T3011" s="213"/>
      <c r="U3011" s="213"/>
      <c r="V3011" s="213"/>
      <c r="W3011" s="213"/>
      <c r="X3011" s="213"/>
      <c r="Y3011" s="213"/>
      <c r="Z3011" s="213"/>
      <c r="AA3011" s="213"/>
      <c r="AB3011" s="213"/>
      <c r="AC3011" s="213"/>
      <c r="AD3011" s="213"/>
      <c r="AE3011" s="213"/>
      <c r="AF3011" s="213"/>
      <c r="AG3011" s="213"/>
      <c r="AH3011" s="213"/>
      <c r="AI3011" s="213"/>
      <c r="AJ3011" s="213"/>
      <c r="AK3011" s="213"/>
      <c r="AL3011" s="213"/>
      <c r="AM3011" s="213"/>
      <c r="AN3011" s="213"/>
      <c r="AO3011" s="213"/>
      <c r="AP3011" s="213"/>
      <c r="AQ3011" s="213"/>
      <c r="AR3011" s="213"/>
      <c r="AS3011" s="213"/>
      <c r="AT3011" s="213"/>
      <c r="AU3011" s="213"/>
      <c r="AV3011" s="213"/>
      <c r="AW3011" s="213"/>
      <c r="AX3011" s="213"/>
      <c r="AY3011" s="213"/>
      <c r="AZ3011" s="213"/>
      <c r="BA3011" s="213"/>
      <c r="BB3011" s="213"/>
      <c r="BC3011" s="213"/>
      <c r="BD3011" s="213"/>
    </row>
    <row r="3012">
      <c r="A3012" s="213"/>
      <c r="B3012" s="213"/>
      <c r="C3012" s="213"/>
      <c r="D3012" s="213"/>
      <c r="E3012" s="213"/>
      <c r="F3012" s="213"/>
      <c r="G3012" s="213"/>
      <c r="H3012" s="213"/>
      <c r="I3012" s="213"/>
      <c r="J3012" s="213"/>
      <c r="K3012" s="213"/>
      <c r="L3012" s="213"/>
      <c r="M3012" s="213"/>
      <c r="N3012" s="213"/>
      <c r="O3012" s="213"/>
      <c r="P3012" s="213"/>
      <c r="Q3012" s="213"/>
      <c r="R3012" s="213"/>
      <c r="S3012" s="213"/>
      <c r="T3012" s="213"/>
      <c r="U3012" s="213"/>
      <c r="V3012" s="213"/>
      <c r="W3012" s="213"/>
      <c r="X3012" s="213"/>
      <c r="Y3012" s="213"/>
      <c r="Z3012" s="213"/>
      <c r="AA3012" s="213"/>
      <c r="AB3012" s="213"/>
      <c r="AC3012" s="213"/>
      <c r="AD3012" s="213"/>
      <c r="AE3012" s="213"/>
      <c r="AF3012" s="213"/>
      <c r="AG3012" s="213"/>
      <c r="AH3012" s="213"/>
      <c r="AI3012" s="213"/>
      <c r="AJ3012" s="213"/>
      <c r="AK3012" s="213"/>
      <c r="AL3012" s="213"/>
      <c r="AM3012" s="213"/>
      <c r="AN3012" s="213"/>
      <c r="AO3012" s="213"/>
      <c r="AP3012" s="213"/>
      <c r="AQ3012" s="213"/>
      <c r="AR3012" s="213"/>
      <c r="AS3012" s="213"/>
      <c r="AT3012" s="213"/>
      <c r="AU3012" s="213"/>
      <c r="AV3012" s="213"/>
      <c r="AW3012" s="213"/>
      <c r="AX3012" s="213"/>
      <c r="AY3012" s="213"/>
      <c r="AZ3012" s="213"/>
      <c r="BA3012" s="213"/>
      <c r="BB3012" s="213"/>
      <c r="BC3012" s="213"/>
      <c r="BD3012" s="213"/>
    </row>
    <row r="3013">
      <c r="A3013" s="213"/>
      <c r="B3013" s="213"/>
      <c r="C3013" s="213"/>
      <c r="D3013" s="213"/>
      <c r="E3013" s="213"/>
      <c r="F3013" s="213"/>
      <c r="G3013" s="213"/>
      <c r="H3013" s="213"/>
      <c r="I3013" s="213"/>
      <c r="J3013" s="213"/>
      <c r="K3013" s="213"/>
      <c r="L3013" s="213"/>
      <c r="M3013" s="213"/>
      <c r="N3013" s="213"/>
      <c r="O3013" s="213"/>
      <c r="P3013" s="213"/>
      <c r="Q3013" s="213"/>
      <c r="R3013" s="213"/>
      <c r="S3013" s="213"/>
      <c r="T3013" s="213"/>
      <c r="U3013" s="213"/>
      <c r="V3013" s="213"/>
      <c r="W3013" s="213"/>
      <c r="X3013" s="213"/>
      <c r="Y3013" s="213"/>
      <c r="Z3013" s="213"/>
      <c r="AA3013" s="213"/>
      <c r="AB3013" s="213"/>
      <c r="AC3013" s="213"/>
      <c r="AD3013" s="213"/>
      <c r="AE3013" s="213"/>
      <c r="AF3013" s="213"/>
      <c r="AG3013" s="213"/>
      <c r="AH3013" s="213"/>
      <c r="AI3013" s="213"/>
      <c r="AJ3013" s="213"/>
      <c r="AK3013" s="213"/>
      <c r="AL3013" s="213"/>
      <c r="AM3013" s="213"/>
      <c r="AN3013" s="213"/>
      <c r="AO3013" s="213"/>
      <c r="AP3013" s="213"/>
      <c r="AQ3013" s="213"/>
      <c r="AR3013" s="213"/>
      <c r="AS3013" s="213"/>
      <c r="AT3013" s="213"/>
      <c r="AU3013" s="213"/>
      <c r="AV3013" s="213"/>
      <c r="AW3013" s="213"/>
      <c r="AX3013" s="213"/>
      <c r="AY3013" s="213"/>
      <c r="AZ3013" s="213"/>
      <c r="BA3013" s="213"/>
      <c r="BB3013" s="213"/>
      <c r="BC3013" s="213"/>
      <c r="BD3013" s="213"/>
    </row>
    <row r="3014">
      <c r="A3014" s="213"/>
      <c r="B3014" s="213"/>
      <c r="C3014" s="213"/>
      <c r="D3014" s="213"/>
      <c r="E3014" s="213"/>
      <c r="F3014" s="213"/>
      <c r="G3014" s="213"/>
      <c r="H3014" s="213"/>
      <c r="I3014" s="213"/>
      <c r="J3014" s="213"/>
      <c r="K3014" s="213"/>
      <c r="L3014" s="213"/>
      <c r="M3014" s="213"/>
      <c r="N3014" s="213"/>
      <c r="O3014" s="213"/>
      <c r="P3014" s="213"/>
      <c r="Q3014" s="213"/>
      <c r="R3014" s="213"/>
      <c r="S3014" s="213"/>
      <c r="T3014" s="213"/>
      <c r="U3014" s="213"/>
      <c r="V3014" s="213"/>
      <c r="W3014" s="213"/>
      <c r="X3014" s="213"/>
      <c r="Y3014" s="213"/>
      <c r="Z3014" s="213"/>
      <c r="AA3014" s="213"/>
      <c r="AB3014" s="213"/>
      <c r="AC3014" s="213"/>
      <c r="AD3014" s="213"/>
      <c r="AE3014" s="213"/>
      <c r="AF3014" s="213"/>
      <c r="AG3014" s="213"/>
      <c r="AH3014" s="213"/>
      <c r="AI3014" s="213"/>
      <c r="AJ3014" s="213"/>
      <c r="AK3014" s="213"/>
      <c r="AL3014" s="213"/>
      <c r="AM3014" s="213"/>
      <c r="AN3014" s="213"/>
      <c r="AO3014" s="213"/>
      <c r="AP3014" s="213"/>
      <c r="AQ3014" s="213"/>
      <c r="AR3014" s="213"/>
      <c r="AS3014" s="213"/>
      <c r="AT3014" s="213"/>
      <c r="AU3014" s="213"/>
      <c r="AV3014" s="213"/>
      <c r="AW3014" s="213"/>
      <c r="AX3014" s="213"/>
      <c r="AY3014" s="213"/>
      <c r="AZ3014" s="213"/>
      <c r="BA3014" s="213"/>
      <c r="BB3014" s="213"/>
      <c r="BC3014" s="213"/>
      <c r="BD3014" s="213"/>
    </row>
    <row r="3015">
      <c r="A3015" s="213"/>
      <c r="B3015" s="213"/>
      <c r="C3015" s="213"/>
      <c r="D3015" s="213"/>
      <c r="E3015" s="213"/>
      <c r="F3015" s="213"/>
      <c r="G3015" s="213"/>
      <c r="H3015" s="213"/>
      <c r="I3015" s="213"/>
      <c r="J3015" s="213"/>
      <c r="K3015" s="213"/>
      <c r="L3015" s="213"/>
      <c r="M3015" s="213"/>
      <c r="N3015" s="213"/>
      <c r="O3015" s="213"/>
      <c r="P3015" s="213"/>
      <c r="Q3015" s="213"/>
      <c r="R3015" s="213"/>
      <c r="S3015" s="213"/>
      <c r="T3015" s="213"/>
      <c r="U3015" s="213"/>
      <c r="V3015" s="213"/>
      <c r="W3015" s="213"/>
      <c r="X3015" s="213"/>
      <c r="Y3015" s="213"/>
      <c r="Z3015" s="213"/>
      <c r="AA3015" s="213"/>
      <c r="AB3015" s="213"/>
      <c r="AC3015" s="213"/>
      <c r="AD3015" s="213"/>
      <c r="AE3015" s="213"/>
      <c r="AF3015" s="213"/>
      <c r="AG3015" s="213"/>
      <c r="AH3015" s="213"/>
      <c r="AI3015" s="213"/>
      <c r="AJ3015" s="213"/>
      <c r="AK3015" s="213"/>
      <c r="AL3015" s="213"/>
      <c r="AM3015" s="213"/>
      <c r="AN3015" s="213"/>
      <c r="AO3015" s="213"/>
      <c r="AP3015" s="213"/>
      <c r="AQ3015" s="213"/>
      <c r="AR3015" s="213"/>
      <c r="AS3015" s="213"/>
      <c r="AT3015" s="213"/>
      <c r="AU3015" s="213"/>
      <c r="AV3015" s="213"/>
      <c r="AW3015" s="213"/>
      <c r="AX3015" s="213"/>
      <c r="AY3015" s="213"/>
      <c r="AZ3015" s="213"/>
      <c r="BA3015" s="213"/>
      <c r="BB3015" s="213"/>
      <c r="BC3015" s="213"/>
      <c r="BD3015" s="213"/>
    </row>
    <row r="3016">
      <c r="A3016" s="213"/>
      <c r="B3016" s="213"/>
      <c r="C3016" s="213"/>
      <c r="D3016" s="213"/>
      <c r="E3016" s="213"/>
      <c r="F3016" s="213"/>
      <c r="G3016" s="213"/>
      <c r="H3016" s="213"/>
      <c r="I3016" s="213"/>
      <c r="J3016" s="213"/>
      <c r="K3016" s="213"/>
      <c r="L3016" s="213"/>
      <c r="M3016" s="213"/>
      <c r="N3016" s="213"/>
      <c r="O3016" s="213"/>
      <c r="P3016" s="213"/>
      <c r="Q3016" s="213"/>
      <c r="R3016" s="213"/>
      <c r="S3016" s="213"/>
      <c r="T3016" s="213"/>
      <c r="U3016" s="213"/>
      <c r="V3016" s="213"/>
      <c r="W3016" s="213"/>
      <c r="X3016" s="213"/>
      <c r="Y3016" s="213"/>
      <c r="Z3016" s="213"/>
      <c r="AA3016" s="213"/>
      <c r="AB3016" s="213"/>
      <c r="AC3016" s="213"/>
      <c r="AD3016" s="213"/>
      <c r="AE3016" s="213"/>
      <c r="AF3016" s="213"/>
      <c r="AG3016" s="213"/>
      <c r="AH3016" s="213"/>
      <c r="AI3016" s="213"/>
      <c r="AJ3016" s="213"/>
      <c r="AK3016" s="213"/>
      <c r="AL3016" s="213"/>
      <c r="AM3016" s="213"/>
      <c r="AN3016" s="213"/>
      <c r="AO3016" s="213"/>
      <c r="AP3016" s="213"/>
      <c r="AQ3016" s="213"/>
      <c r="AR3016" s="213"/>
      <c r="AS3016" s="213"/>
      <c r="AT3016" s="213"/>
      <c r="AU3016" s="213"/>
      <c r="AV3016" s="213"/>
      <c r="AW3016" s="213"/>
      <c r="AX3016" s="213"/>
      <c r="AY3016" s="213"/>
      <c r="AZ3016" s="213"/>
      <c r="BA3016" s="213"/>
      <c r="BB3016" s="213"/>
      <c r="BC3016" s="213"/>
      <c r="BD3016" s="213"/>
    </row>
    <row r="3017">
      <c r="A3017" s="213"/>
      <c r="B3017" s="213"/>
      <c r="C3017" s="213"/>
      <c r="D3017" s="213"/>
      <c r="E3017" s="213"/>
      <c r="F3017" s="213"/>
      <c r="G3017" s="213"/>
      <c r="H3017" s="213"/>
      <c r="I3017" s="213"/>
      <c r="J3017" s="213"/>
      <c r="K3017" s="213"/>
      <c r="L3017" s="213"/>
      <c r="M3017" s="213"/>
      <c r="N3017" s="213"/>
      <c r="O3017" s="213"/>
      <c r="P3017" s="213"/>
      <c r="Q3017" s="213"/>
      <c r="R3017" s="213"/>
      <c r="S3017" s="213"/>
      <c r="T3017" s="213"/>
      <c r="U3017" s="213"/>
      <c r="V3017" s="213"/>
      <c r="W3017" s="213"/>
      <c r="X3017" s="213"/>
      <c r="Y3017" s="213"/>
      <c r="Z3017" s="213"/>
      <c r="AA3017" s="213"/>
      <c r="AB3017" s="213"/>
      <c r="AC3017" s="213"/>
      <c r="AD3017" s="213"/>
      <c r="AE3017" s="213"/>
      <c r="AF3017" s="213"/>
      <c r="AG3017" s="213"/>
      <c r="AH3017" s="213"/>
      <c r="AI3017" s="213"/>
      <c r="AJ3017" s="213"/>
      <c r="AK3017" s="213"/>
      <c r="AL3017" s="213"/>
      <c r="AM3017" s="213"/>
      <c r="AN3017" s="213"/>
      <c r="AO3017" s="213"/>
      <c r="AP3017" s="213"/>
      <c r="AQ3017" s="213"/>
      <c r="AR3017" s="213"/>
      <c r="AS3017" s="213"/>
      <c r="AT3017" s="213"/>
      <c r="AU3017" s="213"/>
      <c r="AV3017" s="213"/>
      <c r="AW3017" s="213"/>
      <c r="AX3017" s="213"/>
      <c r="AY3017" s="213"/>
      <c r="AZ3017" s="213"/>
      <c r="BA3017" s="213"/>
      <c r="BB3017" s="213"/>
      <c r="BC3017" s="213"/>
      <c r="BD3017" s="213"/>
    </row>
    <row r="3018">
      <c r="A3018" s="213"/>
      <c r="B3018" s="213"/>
      <c r="C3018" s="213"/>
      <c r="D3018" s="213"/>
      <c r="E3018" s="213"/>
      <c r="F3018" s="213"/>
      <c r="G3018" s="213"/>
      <c r="H3018" s="213"/>
      <c r="I3018" s="213"/>
      <c r="J3018" s="213"/>
      <c r="K3018" s="213"/>
      <c r="L3018" s="213"/>
      <c r="M3018" s="213"/>
      <c r="N3018" s="213"/>
      <c r="O3018" s="213"/>
      <c r="P3018" s="213"/>
      <c r="Q3018" s="213"/>
      <c r="R3018" s="213"/>
      <c r="S3018" s="213"/>
      <c r="T3018" s="213"/>
      <c r="U3018" s="213"/>
      <c r="V3018" s="213"/>
      <c r="W3018" s="213"/>
      <c r="X3018" s="213"/>
      <c r="Y3018" s="213"/>
      <c r="Z3018" s="213"/>
      <c r="AA3018" s="213"/>
      <c r="AB3018" s="213"/>
      <c r="AC3018" s="213"/>
      <c r="AD3018" s="213"/>
      <c r="AE3018" s="213"/>
      <c r="AF3018" s="213"/>
      <c r="AG3018" s="213"/>
      <c r="AH3018" s="213"/>
      <c r="AI3018" s="213"/>
      <c r="AJ3018" s="213"/>
      <c r="AK3018" s="213"/>
      <c r="AL3018" s="213"/>
      <c r="AM3018" s="213"/>
      <c r="AN3018" s="213"/>
      <c r="AO3018" s="213"/>
      <c r="AP3018" s="213"/>
      <c r="AQ3018" s="213"/>
      <c r="AR3018" s="213"/>
      <c r="AS3018" s="213"/>
      <c r="AT3018" s="213"/>
      <c r="AU3018" s="213"/>
      <c r="AV3018" s="213"/>
      <c r="AW3018" s="213"/>
      <c r="AX3018" s="213"/>
      <c r="AY3018" s="213"/>
      <c r="AZ3018" s="213"/>
      <c r="BA3018" s="213"/>
      <c r="BB3018" s="213"/>
      <c r="BC3018" s="213"/>
      <c r="BD3018" s="213"/>
    </row>
    <row r="3019">
      <c r="A3019" s="213"/>
      <c r="B3019" s="213"/>
      <c r="C3019" s="213"/>
      <c r="D3019" s="213"/>
      <c r="E3019" s="213"/>
      <c r="F3019" s="213"/>
      <c r="G3019" s="213"/>
      <c r="H3019" s="213"/>
      <c r="I3019" s="213"/>
      <c r="J3019" s="213"/>
      <c r="K3019" s="213"/>
      <c r="L3019" s="213"/>
      <c r="M3019" s="213"/>
      <c r="N3019" s="213"/>
      <c r="O3019" s="213"/>
      <c r="P3019" s="213"/>
      <c r="Q3019" s="213"/>
      <c r="R3019" s="213"/>
      <c r="S3019" s="213"/>
      <c r="T3019" s="213"/>
      <c r="U3019" s="213"/>
      <c r="V3019" s="213"/>
      <c r="W3019" s="213"/>
      <c r="X3019" s="213"/>
      <c r="Y3019" s="213"/>
      <c r="Z3019" s="213"/>
      <c r="AA3019" s="213"/>
      <c r="AB3019" s="213"/>
      <c r="AC3019" s="213"/>
      <c r="AD3019" s="213"/>
      <c r="AE3019" s="213"/>
      <c r="AF3019" s="213"/>
      <c r="AG3019" s="213"/>
      <c r="AH3019" s="213"/>
      <c r="AI3019" s="213"/>
      <c r="AJ3019" s="213"/>
      <c r="AK3019" s="213"/>
      <c r="AL3019" s="213"/>
      <c r="AM3019" s="213"/>
      <c r="AN3019" s="213"/>
      <c r="AO3019" s="213"/>
      <c r="AP3019" s="213"/>
      <c r="AQ3019" s="213"/>
      <c r="AR3019" s="213"/>
      <c r="AS3019" s="213"/>
      <c r="AT3019" s="213"/>
      <c r="AU3019" s="213"/>
      <c r="AV3019" s="213"/>
      <c r="AW3019" s="213"/>
      <c r="AX3019" s="213"/>
      <c r="AY3019" s="213"/>
      <c r="AZ3019" s="213"/>
      <c r="BA3019" s="213"/>
      <c r="BB3019" s="213"/>
      <c r="BC3019" s="213"/>
      <c r="BD3019" s="213"/>
    </row>
    <row r="3020">
      <c r="A3020" s="213"/>
      <c r="B3020" s="213"/>
      <c r="C3020" s="213"/>
      <c r="D3020" s="213"/>
      <c r="E3020" s="213"/>
      <c r="F3020" s="213"/>
      <c r="G3020" s="213"/>
      <c r="H3020" s="213"/>
      <c r="I3020" s="213"/>
      <c r="J3020" s="213"/>
      <c r="K3020" s="213"/>
      <c r="L3020" s="213"/>
      <c r="M3020" s="213"/>
      <c r="N3020" s="213"/>
      <c r="O3020" s="213"/>
      <c r="P3020" s="213"/>
      <c r="Q3020" s="213"/>
      <c r="R3020" s="213"/>
      <c r="S3020" s="213"/>
      <c r="T3020" s="213"/>
      <c r="U3020" s="213"/>
      <c r="V3020" s="213"/>
      <c r="W3020" s="213"/>
      <c r="X3020" s="213"/>
      <c r="Y3020" s="213"/>
      <c r="Z3020" s="213"/>
      <c r="AA3020" s="213"/>
      <c r="AB3020" s="213"/>
      <c r="AC3020" s="213"/>
      <c r="AD3020" s="213"/>
      <c r="AE3020" s="213"/>
      <c r="AF3020" s="213"/>
      <c r="AG3020" s="213"/>
      <c r="AH3020" s="213"/>
      <c r="AI3020" s="213"/>
      <c r="AJ3020" s="213"/>
      <c r="AK3020" s="213"/>
      <c r="AL3020" s="213"/>
      <c r="AM3020" s="213"/>
      <c r="AN3020" s="213"/>
      <c r="AO3020" s="213"/>
      <c r="AP3020" s="213"/>
      <c r="AQ3020" s="213"/>
      <c r="AR3020" s="213"/>
      <c r="AS3020" s="213"/>
      <c r="AT3020" s="213"/>
      <c r="AU3020" s="213"/>
      <c r="AV3020" s="213"/>
      <c r="AW3020" s="213"/>
      <c r="AX3020" s="213"/>
      <c r="AY3020" s="213"/>
      <c r="AZ3020" s="213"/>
      <c r="BA3020" s="213"/>
      <c r="BB3020" s="213"/>
      <c r="BC3020" s="213"/>
      <c r="BD3020" s="213"/>
    </row>
    <row r="3021">
      <c r="A3021" s="213"/>
      <c r="B3021" s="213"/>
      <c r="C3021" s="213"/>
      <c r="D3021" s="213"/>
      <c r="E3021" s="213"/>
      <c r="F3021" s="213"/>
      <c r="G3021" s="213"/>
      <c r="H3021" s="213"/>
      <c r="I3021" s="213"/>
      <c r="J3021" s="213"/>
      <c r="K3021" s="213"/>
      <c r="L3021" s="213"/>
      <c r="M3021" s="213"/>
      <c r="N3021" s="213"/>
      <c r="O3021" s="213"/>
      <c r="P3021" s="213"/>
      <c r="Q3021" s="213"/>
      <c r="R3021" s="213"/>
      <c r="S3021" s="213"/>
      <c r="T3021" s="213"/>
      <c r="U3021" s="213"/>
      <c r="V3021" s="213"/>
      <c r="W3021" s="213"/>
      <c r="X3021" s="213"/>
      <c r="Y3021" s="213"/>
      <c r="Z3021" s="213"/>
      <c r="AA3021" s="213"/>
      <c r="AB3021" s="213"/>
      <c r="AC3021" s="213"/>
      <c r="AD3021" s="213"/>
      <c r="AE3021" s="213"/>
      <c r="AF3021" s="213"/>
      <c r="AG3021" s="213"/>
      <c r="AH3021" s="213"/>
      <c r="AI3021" s="213"/>
      <c r="AJ3021" s="213"/>
      <c r="AK3021" s="213"/>
      <c r="AL3021" s="213"/>
      <c r="AM3021" s="213"/>
      <c r="AN3021" s="213"/>
      <c r="AO3021" s="213"/>
      <c r="AP3021" s="213"/>
      <c r="AQ3021" s="213"/>
      <c r="AR3021" s="213"/>
      <c r="AS3021" s="213"/>
      <c r="AT3021" s="213"/>
      <c r="AU3021" s="213"/>
      <c r="AV3021" s="213"/>
      <c r="AW3021" s="213"/>
      <c r="AX3021" s="213"/>
      <c r="AY3021" s="213"/>
      <c r="AZ3021" s="213"/>
      <c r="BA3021" s="213"/>
      <c r="BB3021" s="213"/>
      <c r="BC3021" s="213"/>
      <c r="BD3021" s="213"/>
    </row>
    <row r="3022">
      <c r="A3022" s="213"/>
      <c r="B3022" s="213"/>
      <c r="C3022" s="213"/>
      <c r="D3022" s="213"/>
      <c r="E3022" s="213"/>
      <c r="F3022" s="213"/>
      <c r="G3022" s="213"/>
      <c r="H3022" s="213"/>
      <c r="I3022" s="213"/>
      <c r="J3022" s="213"/>
      <c r="K3022" s="213"/>
      <c r="L3022" s="213"/>
      <c r="M3022" s="213"/>
      <c r="N3022" s="213"/>
      <c r="O3022" s="213"/>
      <c r="P3022" s="213"/>
      <c r="Q3022" s="213"/>
      <c r="R3022" s="213"/>
      <c r="S3022" s="213"/>
      <c r="T3022" s="213"/>
      <c r="U3022" s="213"/>
      <c r="V3022" s="213"/>
      <c r="W3022" s="213"/>
      <c r="X3022" s="213"/>
      <c r="Y3022" s="213"/>
      <c r="Z3022" s="213"/>
      <c r="AA3022" s="213"/>
      <c r="AB3022" s="213"/>
      <c r="AC3022" s="213"/>
      <c r="AD3022" s="213"/>
      <c r="AE3022" s="213"/>
      <c r="AF3022" s="213"/>
      <c r="AG3022" s="213"/>
      <c r="AH3022" s="213"/>
      <c r="AI3022" s="213"/>
      <c r="AJ3022" s="213"/>
      <c r="AK3022" s="213"/>
      <c r="AL3022" s="213"/>
      <c r="AM3022" s="213"/>
      <c r="AN3022" s="213"/>
      <c r="AO3022" s="213"/>
      <c r="AP3022" s="213"/>
      <c r="AQ3022" s="213"/>
      <c r="AR3022" s="213"/>
      <c r="AS3022" s="213"/>
      <c r="AT3022" s="213"/>
      <c r="AU3022" s="213"/>
      <c r="AV3022" s="213"/>
      <c r="AW3022" s="213"/>
      <c r="AX3022" s="213"/>
      <c r="AY3022" s="213"/>
      <c r="AZ3022" s="213"/>
      <c r="BA3022" s="213"/>
      <c r="BB3022" s="213"/>
      <c r="BC3022" s="213"/>
      <c r="BD3022" s="213"/>
    </row>
    <row r="3023">
      <c r="A3023" s="213"/>
      <c r="B3023" s="213"/>
      <c r="C3023" s="213"/>
      <c r="D3023" s="213"/>
      <c r="E3023" s="213"/>
      <c r="F3023" s="213"/>
      <c r="G3023" s="213"/>
      <c r="H3023" s="213"/>
      <c r="I3023" s="213"/>
      <c r="J3023" s="213"/>
      <c r="K3023" s="213"/>
      <c r="L3023" s="213"/>
      <c r="M3023" s="213"/>
      <c r="N3023" s="213"/>
      <c r="O3023" s="213"/>
      <c r="P3023" s="213"/>
      <c r="Q3023" s="213"/>
      <c r="R3023" s="213"/>
      <c r="S3023" s="213"/>
      <c r="T3023" s="213"/>
      <c r="U3023" s="213"/>
      <c r="V3023" s="213"/>
      <c r="W3023" s="213"/>
      <c r="X3023" s="213"/>
      <c r="Y3023" s="213"/>
      <c r="Z3023" s="213"/>
      <c r="AA3023" s="213"/>
      <c r="AB3023" s="213"/>
      <c r="AC3023" s="213"/>
      <c r="AD3023" s="213"/>
      <c r="AE3023" s="213"/>
      <c r="AF3023" s="213"/>
      <c r="AG3023" s="213"/>
      <c r="AH3023" s="213"/>
      <c r="AI3023" s="213"/>
      <c r="AJ3023" s="213"/>
      <c r="AK3023" s="213"/>
      <c r="AL3023" s="213"/>
      <c r="AM3023" s="213"/>
      <c r="AN3023" s="213"/>
      <c r="AO3023" s="213"/>
      <c r="AP3023" s="213"/>
      <c r="AQ3023" s="213"/>
      <c r="AR3023" s="213"/>
      <c r="AS3023" s="213"/>
      <c r="AT3023" s="213"/>
      <c r="AU3023" s="213"/>
      <c r="AV3023" s="213"/>
      <c r="AW3023" s="213"/>
      <c r="AX3023" s="213"/>
      <c r="AY3023" s="213"/>
      <c r="AZ3023" s="213"/>
      <c r="BA3023" s="213"/>
      <c r="BB3023" s="213"/>
      <c r="BC3023" s="213"/>
      <c r="BD3023" s="213"/>
    </row>
    <row r="3024">
      <c r="A3024" s="213"/>
      <c r="B3024" s="213"/>
      <c r="C3024" s="213"/>
      <c r="D3024" s="213"/>
      <c r="E3024" s="213"/>
      <c r="F3024" s="213"/>
      <c r="G3024" s="213"/>
      <c r="H3024" s="213"/>
      <c r="I3024" s="213"/>
      <c r="J3024" s="213"/>
      <c r="K3024" s="213"/>
      <c r="L3024" s="213"/>
      <c r="M3024" s="213"/>
      <c r="N3024" s="213"/>
      <c r="O3024" s="213"/>
      <c r="P3024" s="213"/>
      <c r="Q3024" s="213"/>
      <c r="R3024" s="213"/>
      <c r="S3024" s="213"/>
      <c r="T3024" s="213"/>
      <c r="U3024" s="213"/>
      <c r="V3024" s="213"/>
      <c r="W3024" s="213"/>
      <c r="X3024" s="213"/>
      <c r="Y3024" s="213"/>
      <c r="Z3024" s="213"/>
      <c r="AA3024" s="213"/>
      <c r="AB3024" s="213"/>
      <c r="AC3024" s="213"/>
      <c r="AD3024" s="213"/>
      <c r="AE3024" s="213"/>
      <c r="AF3024" s="213"/>
      <c r="AG3024" s="213"/>
      <c r="AH3024" s="213"/>
      <c r="AI3024" s="213"/>
      <c r="AJ3024" s="213"/>
      <c r="AK3024" s="213"/>
      <c r="AL3024" s="213"/>
      <c r="AM3024" s="213"/>
      <c r="AN3024" s="213"/>
      <c r="AO3024" s="213"/>
      <c r="AP3024" s="213"/>
      <c r="AQ3024" s="213"/>
      <c r="AR3024" s="213"/>
      <c r="AS3024" s="213"/>
      <c r="AT3024" s="213"/>
      <c r="AU3024" s="213"/>
      <c r="AV3024" s="213"/>
      <c r="AW3024" s="213"/>
      <c r="AX3024" s="213"/>
      <c r="AY3024" s="213"/>
      <c r="AZ3024" s="213"/>
      <c r="BA3024" s="213"/>
      <c r="BB3024" s="213"/>
      <c r="BC3024" s="213"/>
      <c r="BD3024" s="213"/>
    </row>
    <row r="3025">
      <c r="A3025" s="213"/>
      <c r="B3025" s="213"/>
      <c r="C3025" s="213"/>
      <c r="D3025" s="213"/>
      <c r="E3025" s="213"/>
      <c r="F3025" s="213"/>
      <c r="G3025" s="213"/>
      <c r="H3025" s="213"/>
      <c r="I3025" s="213"/>
      <c r="J3025" s="213"/>
      <c r="K3025" s="213"/>
      <c r="L3025" s="213"/>
      <c r="M3025" s="213"/>
      <c r="N3025" s="213"/>
      <c r="O3025" s="213"/>
      <c r="P3025" s="213"/>
      <c r="Q3025" s="213"/>
      <c r="R3025" s="213"/>
      <c r="S3025" s="213"/>
      <c r="T3025" s="213"/>
      <c r="U3025" s="213"/>
      <c r="V3025" s="213"/>
      <c r="W3025" s="213"/>
      <c r="X3025" s="213"/>
      <c r="Y3025" s="213"/>
      <c r="Z3025" s="213"/>
      <c r="AA3025" s="213"/>
      <c r="AB3025" s="213"/>
      <c r="AC3025" s="213"/>
      <c r="AD3025" s="213"/>
      <c r="AE3025" s="213"/>
      <c r="AF3025" s="213"/>
      <c r="AG3025" s="213"/>
      <c r="AH3025" s="213"/>
      <c r="AI3025" s="213"/>
      <c r="AJ3025" s="213"/>
      <c r="AK3025" s="213"/>
      <c r="AL3025" s="213"/>
      <c r="AM3025" s="213"/>
      <c r="AN3025" s="213"/>
      <c r="AO3025" s="213"/>
      <c r="AP3025" s="213"/>
      <c r="AQ3025" s="213"/>
      <c r="AR3025" s="213"/>
      <c r="AS3025" s="213"/>
      <c r="AT3025" s="213"/>
      <c r="AU3025" s="213"/>
      <c r="AV3025" s="213"/>
      <c r="AW3025" s="213"/>
      <c r="AX3025" s="213"/>
      <c r="AY3025" s="213"/>
      <c r="AZ3025" s="213"/>
      <c r="BA3025" s="213"/>
      <c r="BB3025" s="213"/>
      <c r="BC3025" s="213"/>
      <c r="BD3025" s="213"/>
    </row>
    <row r="3026">
      <c r="A3026" s="213"/>
      <c r="B3026" s="213"/>
      <c r="C3026" s="213"/>
      <c r="D3026" s="213"/>
      <c r="E3026" s="213"/>
      <c r="F3026" s="213"/>
      <c r="G3026" s="213"/>
      <c r="H3026" s="213"/>
      <c r="I3026" s="213"/>
      <c r="J3026" s="213"/>
      <c r="K3026" s="213"/>
      <c r="L3026" s="213"/>
      <c r="M3026" s="213"/>
      <c r="N3026" s="213"/>
      <c r="O3026" s="213"/>
      <c r="P3026" s="213"/>
      <c r="Q3026" s="213"/>
      <c r="R3026" s="213"/>
      <c r="S3026" s="213"/>
      <c r="T3026" s="213"/>
      <c r="U3026" s="213"/>
      <c r="V3026" s="213"/>
      <c r="W3026" s="213"/>
      <c r="X3026" s="213"/>
      <c r="Y3026" s="213"/>
      <c r="Z3026" s="213"/>
      <c r="AA3026" s="213"/>
      <c r="AB3026" s="213"/>
      <c r="AC3026" s="213"/>
      <c r="AD3026" s="213"/>
      <c r="AE3026" s="213"/>
      <c r="AF3026" s="213"/>
      <c r="AG3026" s="213"/>
      <c r="AH3026" s="213"/>
      <c r="AI3026" s="213"/>
      <c r="AJ3026" s="213"/>
      <c r="AK3026" s="213"/>
      <c r="AL3026" s="213"/>
      <c r="AM3026" s="213"/>
      <c r="AN3026" s="213"/>
      <c r="AO3026" s="213"/>
      <c r="AP3026" s="213"/>
      <c r="AQ3026" s="213"/>
      <c r="AR3026" s="213"/>
      <c r="AS3026" s="213"/>
      <c r="AT3026" s="213"/>
      <c r="AU3026" s="213"/>
      <c r="AV3026" s="213"/>
      <c r="AW3026" s="213"/>
      <c r="AX3026" s="213"/>
      <c r="AY3026" s="213"/>
      <c r="AZ3026" s="213"/>
      <c r="BA3026" s="213"/>
      <c r="BB3026" s="213"/>
      <c r="BC3026" s="213"/>
      <c r="BD3026" s="213"/>
    </row>
    <row r="3027">
      <c r="A3027" s="213"/>
      <c r="B3027" s="213"/>
      <c r="C3027" s="213"/>
      <c r="D3027" s="213"/>
      <c r="E3027" s="213"/>
      <c r="F3027" s="213"/>
      <c r="G3027" s="213"/>
      <c r="H3027" s="213"/>
      <c r="I3027" s="213"/>
      <c r="J3027" s="213"/>
      <c r="K3027" s="213"/>
      <c r="L3027" s="213"/>
      <c r="M3027" s="213"/>
      <c r="N3027" s="213"/>
      <c r="O3027" s="213"/>
      <c r="P3027" s="213"/>
      <c r="Q3027" s="213"/>
      <c r="R3027" s="213"/>
      <c r="S3027" s="213"/>
      <c r="T3027" s="213"/>
      <c r="U3027" s="213"/>
      <c r="V3027" s="213"/>
      <c r="W3027" s="213"/>
      <c r="X3027" s="213"/>
      <c r="Y3027" s="213"/>
      <c r="Z3027" s="213"/>
      <c r="AA3027" s="213"/>
      <c r="AB3027" s="213"/>
      <c r="AC3027" s="213"/>
      <c r="AD3027" s="213"/>
      <c r="AE3027" s="213"/>
      <c r="AF3027" s="213"/>
      <c r="AG3027" s="213"/>
      <c r="AH3027" s="213"/>
      <c r="AI3027" s="213"/>
      <c r="AJ3027" s="213"/>
      <c r="AK3027" s="213"/>
      <c r="AL3027" s="213"/>
      <c r="AM3027" s="213"/>
      <c r="AN3027" s="213"/>
      <c r="AO3027" s="213"/>
      <c r="AP3027" s="213"/>
      <c r="AQ3027" s="213"/>
      <c r="AR3027" s="213"/>
      <c r="AS3027" s="213"/>
      <c r="AT3027" s="213"/>
      <c r="AU3027" s="213"/>
      <c r="AV3027" s="213"/>
      <c r="AW3027" s="213"/>
      <c r="AX3027" s="213"/>
      <c r="AY3027" s="213"/>
      <c r="AZ3027" s="213"/>
      <c r="BA3027" s="213"/>
      <c r="BB3027" s="213"/>
      <c r="BC3027" s="213"/>
      <c r="BD3027" s="213"/>
    </row>
    <row r="3028">
      <c r="A3028" s="213"/>
      <c r="B3028" s="213"/>
      <c r="C3028" s="213"/>
      <c r="D3028" s="213"/>
      <c r="E3028" s="213"/>
      <c r="F3028" s="213"/>
      <c r="G3028" s="213"/>
      <c r="H3028" s="213"/>
      <c r="I3028" s="213"/>
      <c r="J3028" s="213"/>
      <c r="K3028" s="213"/>
      <c r="L3028" s="213"/>
      <c r="M3028" s="213"/>
      <c r="N3028" s="213"/>
      <c r="O3028" s="213"/>
      <c r="P3028" s="213"/>
      <c r="Q3028" s="213"/>
      <c r="R3028" s="213"/>
      <c r="S3028" s="213"/>
      <c r="T3028" s="213"/>
      <c r="U3028" s="213"/>
      <c r="V3028" s="213"/>
      <c r="W3028" s="213"/>
      <c r="X3028" s="213"/>
      <c r="Y3028" s="213"/>
      <c r="Z3028" s="213"/>
      <c r="AA3028" s="213"/>
      <c r="AB3028" s="213"/>
      <c r="AC3028" s="213"/>
      <c r="AD3028" s="213"/>
      <c r="AE3028" s="213"/>
      <c r="AF3028" s="213"/>
      <c r="AG3028" s="213"/>
      <c r="AH3028" s="213"/>
      <c r="AI3028" s="213"/>
      <c r="AJ3028" s="213"/>
      <c r="AK3028" s="213"/>
      <c r="AL3028" s="213"/>
      <c r="AM3028" s="213"/>
      <c r="AN3028" s="213"/>
      <c r="AO3028" s="213"/>
      <c r="AP3028" s="213"/>
      <c r="AQ3028" s="213"/>
      <c r="AR3028" s="213"/>
      <c r="AS3028" s="213"/>
      <c r="AT3028" s="213"/>
      <c r="AU3028" s="213"/>
      <c r="AV3028" s="213"/>
      <c r="AW3028" s="213"/>
      <c r="AX3028" s="213"/>
      <c r="AY3028" s="213"/>
      <c r="AZ3028" s="213"/>
      <c r="BA3028" s="213"/>
      <c r="BB3028" s="213"/>
      <c r="BC3028" s="213"/>
      <c r="BD3028" s="213"/>
    </row>
    <row r="3029">
      <c r="A3029" s="213"/>
      <c r="B3029" s="213"/>
      <c r="C3029" s="213"/>
      <c r="D3029" s="213"/>
      <c r="E3029" s="213"/>
      <c r="F3029" s="213"/>
      <c r="G3029" s="213"/>
      <c r="H3029" s="213"/>
      <c r="I3029" s="213"/>
      <c r="J3029" s="213"/>
      <c r="K3029" s="213"/>
      <c r="L3029" s="213"/>
      <c r="M3029" s="213"/>
      <c r="N3029" s="213"/>
      <c r="O3029" s="213"/>
      <c r="P3029" s="213"/>
      <c r="Q3029" s="213"/>
      <c r="R3029" s="213"/>
      <c r="S3029" s="213"/>
      <c r="T3029" s="213"/>
      <c r="U3029" s="213"/>
      <c r="V3029" s="213"/>
      <c r="W3029" s="213"/>
      <c r="X3029" s="213"/>
      <c r="Y3029" s="213"/>
      <c r="Z3029" s="213"/>
      <c r="AA3029" s="213"/>
      <c r="AB3029" s="213"/>
      <c r="AC3029" s="213"/>
      <c r="AD3029" s="213"/>
      <c r="AE3029" s="213"/>
      <c r="AF3029" s="213"/>
      <c r="AG3029" s="213"/>
      <c r="AH3029" s="213"/>
      <c r="AI3029" s="213"/>
      <c r="AJ3029" s="213"/>
      <c r="AK3029" s="213"/>
      <c r="AL3029" s="213"/>
      <c r="AM3029" s="213"/>
      <c r="AN3029" s="213"/>
      <c r="AO3029" s="213"/>
      <c r="AP3029" s="213"/>
      <c r="AQ3029" s="213"/>
      <c r="AR3029" s="213"/>
      <c r="AS3029" s="213"/>
      <c r="AT3029" s="213"/>
      <c r="AU3029" s="213"/>
      <c r="AV3029" s="213"/>
      <c r="AW3029" s="213"/>
      <c r="AX3029" s="213"/>
      <c r="AY3029" s="213"/>
      <c r="AZ3029" s="213"/>
      <c r="BA3029" s="213"/>
      <c r="BB3029" s="213"/>
      <c r="BC3029" s="213"/>
      <c r="BD3029" s="213"/>
    </row>
    <row r="3030">
      <c r="A3030" s="213"/>
      <c r="B3030" s="213"/>
      <c r="C3030" s="213"/>
      <c r="D3030" s="213"/>
      <c r="E3030" s="213"/>
      <c r="F3030" s="213"/>
      <c r="G3030" s="213"/>
      <c r="H3030" s="213"/>
      <c r="I3030" s="213"/>
      <c r="J3030" s="213"/>
      <c r="K3030" s="213"/>
      <c r="L3030" s="213"/>
      <c r="M3030" s="213"/>
      <c r="N3030" s="213"/>
      <c r="O3030" s="213"/>
      <c r="P3030" s="213"/>
      <c r="Q3030" s="213"/>
      <c r="R3030" s="213"/>
      <c r="S3030" s="213"/>
      <c r="T3030" s="213"/>
      <c r="U3030" s="213"/>
      <c r="V3030" s="213"/>
      <c r="W3030" s="213"/>
      <c r="X3030" s="213"/>
      <c r="Y3030" s="213"/>
      <c r="Z3030" s="213"/>
      <c r="AA3030" s="213"/>
      <c r="AB3030" s="213"/>
      <c r="AC3030" s="213"/>
      <c r="AD3030" s="213"/>
      <c r="AE3030" s="213"/>
      <c r="AF3030" s="213"/>
      <c r="AG3030" s="213"/>
      <c r="AH3030" s="213"/>
      <c r="AI3030" s="213"/>
      <c r="AJ3030" s="213"/>
      <c r="AK3030" s="213"/>
      <c r="AL3030" s="213"/>
      <c r="AM3030" s="213"/>
      <c r="AN3030" s="213"/>
      <c r="AO3030" s="213"/>
      <c r="AP3030" s="213"/>
      <c r="AQ3030" s="213"/>
      <c r="AR3030" s="213"/>
      <c r="AS3030" s="213"/>
      <c r="AT3030" s="213"/>
      <c r="AU3030" s="213"/>
      <c r="AV3030" s="213"/>
      <c r="AW3030" s="213"/>
      <c r="AX3030" s="213"/>
      <c r="AY3030" s="213"/>
      <c r="AZ3030" s="213"/>
      <c r="BA3030" s="213"/>
      <c r="BB3030" s="213"/>
      <c r="BC3030" s="213"/>
      <c r="BD3030" s="213"/>
    </row>
    <row r="3031">
      <c r="A3031" s="213"/>
      <c r="B3031" s="213"/>
      <c r="C3031" s="213"/>
      <c r="D3031" s="213"/>
      <c r="E3031" s="213"/>
      <c r="F3031" s="213"/>
      <c r="G3031" s="213"/>
      <c r="H3031" s="213"/>
      <c r="I3031" s="213"/>
      <c r="J3031" s="213"/>
      <c r="K3031" s="213"/>
      <c r="L3031" s="213"/>
      <c r="M3031" s="213"/>
      <c r="N3031" s="213"/>
      <c r="O3031" s="213"/>
      <c r="P3031" s="213"/>
      <c r="Q3031" s="213"/>
      <c r="R3031" s="213"/>
      <c r="S3031" s="213"/>
      <c r="T3031" s="213"/>
      <c r="U3031" s="213"/>
      <c r="V3031" s="213"/>
      <c r="W3031" s="213"/>
      <c r="X3031" s="213"/>
      <c r="Y3031" s="213"/>
      <c r="Z3031" s="213"/>
      <c r="AA3031" s="213"/>
      <c r="AB3031" s="213"/>
      <c r="AC3031" s="213"/>
      <c r="AD3031" s="213"/>
      <c r="AE3031" s="213"/>
      <c r="AF3031" s="213"/>
      <c r="AG3031" s="213"/>
      <c r="AH3031" s="213"/>
      <c r="AI3031" s="213"/>
      <c r="AJ3031" s="213"/>
      <c r="AK3031" s="213"/>
      <c r="AL3031" s="213"/>
      <c r="AM3031" s="213"/>
      <c r="AN3031" s="213"/>
      <c r="AO3031" s="213"/>
      <c r="AP3031" s="213"/>
      <c r="AQ3031" s="213"/>
      <c r="AR3031" s="213"/>
      <c r="AS3031" s="213"/>
      <c r="AT3031" s="213"/>
      <c r="AU3031" s="213"/>
      <c r="AV3031" s="213"/>
      <c r="AW3031" s="213"/>
      <c r="AX3031" s="213"/>
      <c r="AY3031" s="213"/>
      <c r="AZ3031" s="213"/>
      <c r="BA3031" s="213"/>
      <c r="BB3031" s="213"/>
      <c r="BC3031" s="213"/>
      <c r="BD3031" s="213"/>
    </row>
    <row r="3032">
      <c r="A3032" s="213"/>
      <c r="B3032" s="213"/>
      <c r="C3032" s="213"/>
      <c r="D3032" s="213"/>
      <c r="E3032" s="213"/>
      <c r="F3032" s="213"/>
      <c r="G3032" s="213"/>
      <c r="H3032" s="213"/>
      <c r="I3032" s="213"/>
      <c r="J3032" s="213"/>
      <c r="K3032" s="213"/>
      <c r="L3032" s="213"/>
      <c r="M3032" s="213"/>
      <c r="N3032" s="213"/>
      <c r="O3032" s="213"/>
      <c r="P3032" s="213"/>
      <c r="Q3032" s="213"/>
      <c r="R3032" s="213"/>
      <c r="S3032" s="213"/>
      <c r="T3032" s="213"/>
      <c r="U3032" s="213"/>
      <c r="V3032" s="213"/>
      <c r="W3032" s="213"/>
      <c r="X3032" s="213"/>
      <c r="Y3032" s="213"/>
      <c r="Z3032" s="213"/>
      <c r="AA3032" s="213"/>
      <c r="AB3032" s="213"/>
      <c r="AC3032" s="213"/>
      <c r="AD3032" s="213"/>
      <c r="AE3032" s="213"/>
      <c r="AF3032" s="213"/>
      <c r="AG3032" s="213"/>
      <c r="AH3032" s="213"/>
      <c r="AI3032" s="213"/>
      <c r="AJ3032" s="213"/>
      <c r="AK3032" s="213"/>
      <c r="AL3032" s="213"/>
      <c r="AM3032" s="213"/>
      <c r="AN3032" s="213"/>
      <c r="AO3032" s="213"/>
      <c r="AP3032" s="213"/>
      <c r="AQ3032" s="213"/>
      <c r="AR3032" s="213"/>
      <c r="AS3032" s="213"/>
      <c r="AT3032" s="213"/>
      <c r="AU3032" s="213"/>
      <c r="AV3032" s="213"/>
      <c r="AW3032" s="213"/>
      <c r="AX3032" s="213"/>
      <c r="AY3032" s="213"/>
      <c r="AZ3032" s="213"/>
      <c r="BA3032" s="213"/>
      <c r="BB3032" s="213"/>
      <c r="BC3032" s="213"/>
      <c r="BD3032" s="213"/>
    </row>
    <row r="3033">
      <c r="A3033" s="213"/>
      <c r="B3033" s="213"/>
      <c r="C3033" s="213"/>
      <c r="D3033" s="213"/>
      <c r="E3033" s="213"/>
      <c r="F3033" s="213"/>
      <c r="G3033" s="213"/>
      <c r="H3033" s="213"/>
      <c r="I3033" s="213"/>
      <c r="J3033" s="213"/>
      <c r="K3033" s="213"/>
      <c r="L3033" s="213"/>
      <c r="M3033" s="213"/>
      <c r="N3033" s="213"/>
      <c r="O3033" s="213"/>
      <c r="P3033" s="213"/>
      <c r="Q3033" s="213"/>
      <c r="R3033" s="213"/>
      <c r="S3033" s="213"/>
      <c r="T3033" s="213"/>
      <c r="U3033" s="213"/>
      <c r="V3033" s="213"/>
      <c r="W3033" s="213"/>
      <c r="X3033" s="213"/>
      <c r="Y3033" s="213"/>
      <c r="Z3033" s="213"/>
      <c r="AA3033" s="213"/>
      <c r="AB3033" s="213"/>
      <c r="AC3033" s="213"/>
      <c r="AD3033" s="213"/>
      <c r="AE3033" s="213"/>
      <c r="AF3033" s="213"/>
      <c r="AG3033" s="213"/>
      <c r="AH3033" s="213"/>
      <c r="AI3033" s="213"/>
      <c r="AJ3033" s="213"/>
      <c r="AK3033" s="213"/>
      <c r="AL3033" s="213"/>
      <c r="AM3033" s="213"/>
      <c r="AN3033" s="213"/>
      <c r="AO3033" s="213"/>
      <c r="AP3033" s="213"/>
      <c r="AQ3033" s="213"/>
      <c r="AR3033" s="213"/>
      <c r="AS3033" s="213"/>
      <c r="AT3033" s="213"/>
      <c r="AU3033" s="213"/>
      <c r="AV3033" s="213"/>
      <c r="AW3033" s="213"/>
      <c r="AX3033" s="213"/>
      <c r="AY3033" s="213"/>
      <c r="AZ3033" s="213"/>
      <c r="BA3033" s="213"/>
      <c r="BB3033" s="213"/>
      <c r="BC3033" s="213"/>
      <c r="BD3033" s="213"/>
    </row>
    <row r="3034">
      <c r="A3034" s="213"/>
      <c r="B3034" s="213"/>
      <c r="C3034" s="213"/>
      <c r="D3034" s="213"/>
      <c r="E3034" s="213"/>
      <c r="F3034" s="213"/>
      <c r="G3034" s="213"/>
      <c r="H3034" s="213"/>
      <c r="I3034" s="213"/>
      <c r="J3034" s="213"/>
      <c r="K3034" s="213"/>
      <c r="L3034" s="213"/>
      <c r="M3034" s="213"/>
      <c r="N3034" s="213"/>
      <c r="O3034" s="213"/>
      <c r="P3034" s="213"/>
      <c r="Q3034" s="213"/>
      <c r="R3034" s="213"/>
      <c r="S3034" s="213"/>
      <c r="T3034" s="213"/>
      <c r="U3034" s="213"/>
      <c r="V3034" s="213"/>
      <c r="W3034" s="213"/>
      <c r="X3034" s="213"/>
      <c r="Y3034" s="213"/>
      <c r="Z3034" s="213"/>
      <c r="AA3034" s="213"/>
      <c r="AB3034" s="213"/>
      <c r="AC3034" s="213"/>
      <c r="AD3034" s="213"/>
      <c r="AE3034" s="213"/>
      <c r="AF3034" s="213"/>
      <c r="AG3034" s="213"/>
      <c r="AH3034" s="213"/>
      <c r="AI3034" s="213"/>
      <c r="AJ3034" s="213"/>
      <c r="AK3034" s="213"/>
      <c r="AL3034" s="213"/>
      <c r="AM3034" s="213"/>
      <c r="AN3034" s="213"/>
      <c r="AO3034" s="213"/>
      <c r="AP3034" s="213"/>
      <c r="AQ3034" s="213"/>
      <c r="AR3034" s="213"/>
      <c r="AS3034" s="213"/>
      <c r="AT3034" s="213"/>
      <c r="AU3034" s="213"/>
      <c r="AV3034" s="213"/>
      <c r="AW3034" s="213"/>
      <c r="AX3034" s="213"/>
      <c r="AY3034" s="213"/>
      <c r="AZ3034" s="213"/>
      <c r="BA3034" s="213"/>
      <c r="BB3034" s="213"/>
      <c r="BC3034" s="213"/>
      <c r="BD3034" s="213"/>
    </row>
    <row r="3035">
      <c r="A3035" s="213"/>
      <c r="B3035" s="213"/>
      <c r="C3035" s="213"/>
      <c r="D3035" s="213"/>
      <c r="E3035" s="213"/>
      <c r="F3035" s="213"/>
      <c r="G3035" s="213"/>
      <c r="H3035" s="213"/>
      <c r="I3035" s="213"/>
      <c r="J3035" s="213"/>
      <c r="K3035" s="213"/>
      <c r="L3035" s="213"/>
      <c r="M3035" s="213"/>
      <c r="N3035" s="213"/>
      <c r="O3035" s="213"/>
      <c r="P3035" s="213"/>
      <c r="Q3035" s="213"/>
      <c r="R3035" s="213"/>
      <c r="S3035" s="213"/>
      <c r="T3035" s="213"/>
      <c r="U3035" s="213"/>
      <c r="V3035" s="213"/>
      <c r="W3035" s="213"/>
      <c r="X3035" s="213"/>
      <c r="Y3035" s="213"/>
      <c r="Z3035" s="213"/>
      <c r="AA3035" s="213"/>
      <c r="AB3035" s="213"/>
      <c r="AC3035" s="213"/>
      <c r="AD3035" s="213"/>
      <c r="AE3035" s="213"/>
      <c r="AF3035" s="213"/>
      <c r="AG3035" s="213"/>
      <c r="AH3035" s="213"/>
      <c r="AI3035" s="213"/>
      <c r="AJ3035" s="213"/>
      <c r="AK3035" s="213"/>
      <c r="AL3035" s="213"/>
      <c r="AM3035" s="213"/>
      <c r="AN3035" s="213"/>
      <c r="AO3035" s="213"/>
      <c r="AP3035" s="213"/>
      <c r="AQ3035" s="213"/>
      <c r="AR3035" s="213"/>
      <c r="AS3035" s="213"/>
      <c r="AT3035" s="213"/>
      <c r="AU3035" s="213"/>
      <c r="AV3035" s="213"/>
      <c r="AW3035" s="213"/>
      <c r="AX3035" s="213"/>
      <c r="AY3035" s="213"/>
      <c r="AZ3035" s="213"/>
      <c r="BA3035" s="213"/>
      <c r="BB3035" s="213"/>
      <c r="BC3035" s="213"/>
      <c r="BD3035" s="213"/>
    </row>
    <row r="3036">
      <c r="A3036" s="213"/>
      <c r="B3036" s="213"/>
      <c r="C3036" s="213"/>
      <c r="D3036" s="213"/>
      <c r="E3036" s="213"/>
      <c r="F3036" s="213"/>
      <c r="G3036" s="213"/>
      <c r="H3036" s="213"/>
      <c r="I3036" s="213"/>
      <c r="J3036" s="213"/>
      <c r="K3036" s="213"/>
      <c r="L3036" s="213"/>
      <c r="M3036" s="213"/>
      <c r="N3036" s="213"/>
      <c r="O3036" s="213"/>
      <c r="P3036" s="213"/>
      <c r="Q3036" s="213"/>
      <c r="R3036" s="213"/>
      <c r="S3036" s="213"/>
      <c r="T3036" s="213"/>
      <c r="U3036" s="213"/>
      <c r="V3036" s="213"/>
      <c r="W3036" s="213"/>
      <c r="X3036" s="213"/>
      <c r="Y3036" s="213"/>
      <c r="Z3036" s="213"/>
      <c r="AA3036" s="213"/>
      <c r="AB3036" s="213"/>
      <c r="AC3036" s="213"/>
      <c r="AD3036" s="213"/>
      <c r="AE3036" s="213"/>
      <c r="AF3036" s="213"/>
      <c r="AG3036" s="213"/>
      <c r="AH3036" s="213"/>
      <c r="AI3036" s="213"/>
      <c r="AJ3036" s="213"/>
      <c r="AK3036" s="213"/>
      <c r="AL3036" s="213"/>
      <c r="AM3036" s="213"/>
      <c r="AN3036" s="213"/>
      <c r="AO3036" s="213"/>
      <c r="AP3036" s="213"/>
      <c r="AQ3036" s="213"/>
      <c r="AR3036" s="213"/>
      <c r="AS3036" s="213"/>
      <c r="AT3036" s="213"/>
      <c r="AU3036" s="213"/>
      <c r="AV3036" s="213"/>
      <c r="AW3036" s="213"/>
      <c r="AX3036" s="213"/>
      <c r="AY3036" s="213"/>
      <c r="AZ3036" s="213"/>
      <c r="BA3036" s="213"/>
      <c r="BB3036" s="213"/>
      <c r="BC3036" s="213"/>
      <c r="BD3036" s="213"/>
    </row>
    <row r="3037">
      <c r="A3037" s="213"/>
      <c r="B3037" s="213"/>
      <c r="C3037" s="213"/>
      <c r="D3037" s="213"/>
      <c r="E3037" s="213"/>
      <c r="F3037" s="213"/>
      <c r="G3037" s="213"/>
      <c r="H3037" s="213"/>
      <c r="I3037" s="213"/>
      <c r="J3037" s="213"/>
      <c r="K3037" s="213"/>
      <c r="L3037" s="213"/>
      <c r="M3037" s="213"/>
      <c r="N3037" s="213"/>
      <c r="O3037" s="213"/>
      <c r="P3037" s="213"/>
      <c r="Q3037" s="213"/>
      <c r="R3037" s="213"/>
      <c r="S3037" s="213"/>
      <c r="T3037" s="213"/>
      <c r="U3037" s="213"/>
      <c r="V3037" s="213"/>
      <c r="W3037" s="213"/>
      <c r="X3037" s="213"/>
      <c r="Y3037" s="213"/>
      <c r="Z3037" s="213"/>
      <c r="AA3037" s="213"/>
      <c r="AB3037" s="213"/>
      <c r="AC3037" s="213"/>
      <c r="AD3037" s="213"/>
      <c r="AE3037" s="213"/>
      <c r="AF3037" s="213"/>
      <c r="AG3037" s="213"/>
      <c r="AH3037" s="213"/>
      <c r="AI3037" s="213"/>
      <c r="AJ3037" s="213"/>
      <c r="AK3037" s="213"/>
      <c r="AL3037" s="213"/>
      <c r="AM3037" s="213"/>
      <c r="AN3037" s="213"/>
      <c r="AO3037" s="213"/>
      <c r="AP3037" s="213"/>
      <c r="AQ3037" s="213"/>
      <c r="AR3037" s="213"/>
      <c r="AS3037" s="213"/>
      <c r="AT3037" s="213"/>
      <c r="AU3037" s="213"/>
      <c r="AV3037" s="213"/>
      <c r="AW3037" s="213"/>
      <c r="AX3037" s="213"/>
      <c r="AY3037" s="213"/>
      <c r="AZ3037" s="213"/>
      <c r="BA3037" s="213"/>
      <c r="BB3037" s="213"/>
      <c r="BC3037" s="213"/>
      <c r="BD3037" s="213"/>
    </row>
    <row r="3038">
      <c r="A3038" s="213"/>
      <c r="B3038" s="213"/>
      <c r="C3038" s="213"/>
      <c r="D3038" s="213"/>
      <c r="E3038" s="213"/>
      <c r="F3038" s="213"/>
      <c r="G3038" s="213"/>
      <c r="H3038" s="213"/>
      <c r="I3038" s="213"/>
      <c r="J3038" s="213"/>
      <c r="K3038" s="213"/>
      <c r="L3038" s="213"/>
      <c r="M3038" s="213"/>
      <c r="N3038" s="213"/>
      <c r="O3038" s="213"/>
      <c r="P3038" s="213"/>
      <c r="Q3038" s="213"/>
      <c r="R3038" s="213"/>
      <c r="S3038" s="213"/>
      <c r="T3038" s="213"/>
      <c r="U3038" s="213"/>
      <c r="V3038" s="213"/>
      <c r="W3038" s="213"/>
      <c r="X3038" s="213"/>
      <c r="Y3038" s="213"/>
      <c r="Z3038" s="213"/>
      <c r="AA3038" s="213"/>
      <c r="AB3038" s="213"/>
      <c r="AC3038" s="213"/>
      <c r="AD3038" s="213"/>
      <c r="AE3038" s="213"/>
      <c r="AF3038" s="213"/>
      <c r="AG3038" s="213"/>
      <c r="AH3038" s="213"/>
      <c r="AI3038" s="213"/>
      <c r="AJ3038" s="213"/>
      <c r="AK3038" s="213"/>
      <c r="AL3038" s="213"/>
      <c r="AM3038" s="213"/>
      <c r="AN3038" s="213"/>
      <c r="AO3038" s="213"/>
      <c r="AP3038" s="213"/>
      <c r="AQ3038" s="213"/>
      <c r="AR3038" s="213"/>
      <c r="AS3038" s="213"/>
      <c r="AT3038" s="213"/>
      <c r="AU3038" s="213"/>
      <c r="AV3038" s="213"/>
      <c r="AW3038" s="213"/>
      <c r="AX3038" s="213"/>
      <c r="AY3038" s="213"/>
      <c r="AZ3038" s="213"/>
      <c r="BA3038" s="213"/>
      <c r="BB3038" s="213"/>
      <c r="BC3038" s="213"/>
      <c r="BD3038" s="213"/>
    </row>
    <row r="3039">
      <c r="A3039" s="213"/>
      <c r="B3039" s="213"/>
      <c r="C3039" s="213"/>
      <c r="D3039" s="213"/>
      <c r="E3039" s="213"/>
      <c r="F3039" s="213"/>
      <c r="G3039" s="213"/>
      <c r="H3039" s="213"/>
      <c r="I3039" s="213"/>
      <c r="J3039" s="213"/>
      <c r="K3039" s="213"/>
      <c r="L3039" s="213"/>
      <c r="M3039" s="213"/>
      <c r="N3039" s="213"/>
      <c r="O3039" s="213"/>
      <c r="P3039" s="213"/>
      <c r="Q3039" s="213"/>
      <c r="R3039" s="213"/>
      <c r="S3039" s="213"/>
      <c r="T3039" s="213"/>
      <c r="U3039" s="213"/>
      <c r="V3039" s="213"/>
      <c r="W3039" s="213"/>
      <c r="X3039" s="213"/>
      <c r="Y3039" s="213"/>
      <c r="Z3039" s="213"/>
      <c r="AA3039" s="213"/>
      <c r="AB3039" s="213"/>
      <c r="AC3039" s="213"/>
      <c r="AD3039" s="213"/>
      <c r="AE3039" s="213"/>
      <c r="AF3039" s="213"/>
      <c r="AG3039" s="213"/>
      <c r="AH3039" s="213"/>
      <c r="AI3039" s="213"/>
      <c r="AJ3039" s="213"/>
      <c r="AK3039" s="213"/>
      <c r="AL3039" s="213"/>
      <c r="AM3039" s="213"/>
      <c r="AN3039" s="213"/>
      <c r="AO3039" s="213"/>
      <c r="AP3039" s="213"/>
      <c r="AQ3039" s="213"/>
      <c r="AR3039" s="213"/>
      <c r="AS3039" s="213"/>
      <c r="AT3039" s="213"/>
      <c r="AU3039" s="213"/>
      <c r="AV3039" s="213"/>
      <c r="AW3039" s="213"/>
      <c r="AX3039" s="213"/>
      <c r="AY3039" s="213"/>
      <c r="AZ3039" s="213"/>
      <c r="BA3039" s="213"/>
      <c r="BB3039" s="213"/>
      <c r="BC3039" s="213"/>
      <c r="BD3039" s="213"/>
    </row>
    <row r="3040">
      <c r="A3040" s="213"/>
      <c r="B3040" s="213"/>
      <c r="C3040" s="213"/>
      <c r="D3040" s="213"/>
      <c r="E3040" s="213"/>
      <c r="F3040" s="213"/>
      <c r="G3040" s="213"/>
      <c r="H3040" s="213"/>
      <c r="I3040" s="213"/>
      <c r="J3040" s="213"/>
      <c r="K3040" s="213"/>
      <c r="L3040" s="213"/>
      <c r="M3040" s="213"/>
      <c r="N3040" s="213"/>
      <c r="O3040" s="213"/>
      <c r="P3040" s="213"/>
      <c r="Q3040" s="213"/>
      <c r="R3040" s="213"/>
      <c r="S3040" s="213"/>
      <c r="T3040" s="213"/>
      <c r="U3040" s="213"/>
      <c r="V3040" s="213"/>
      <c r="W3040" s="213"/>
      <c r="X3040" s="213"/>
      <c r="Y3040" s="213"/>
      <c r="Z3040" s="213"/>
      <c r="AA3040" s="213"/>
      <c r="AB3040" s="213"/>
      <c r="AC3040" s="213"/>
      <c r="AD3040" s="213"/>
      <c r="AE3040" s="213"/>
      <c r="AF3040" s="213"/>
      <c r="AG3040" s="213"/>
      <c r="AH3040" s="213"/>
      <c r="AI3040" s="213"/>
      <c r="AJ3040" s="213"/>
      <c r="AK3040" s="213"/>
      <c r="AL3040" s="213"/>
      <c r="AM3040" s="213"/>
      <c r="AN3040" s="213"/>
      <c r="AO3040" s="213"/>
      <c r="AP3040" s="213"/>
      <c r="AQ3040" s="213"/>
      <c r="AR3040" s="213"/>
      <c r="AS3040" s="213"/>
      <c r="AT3040" s="213"/>
      <c r="AU3040" s="213"/>
      <c r="AV3040" s="213"/>
      <c r="AW3040" s="213"/>
      <c r="AX3040" s="213"/>
      <c r="AY3040" s="213"/>
      <c r="AZ3040" s="213"/>
      <c r="BA3040" s="213"/>
      <c r="BB3040" s="213"/>
      <c r="BC3040" s="213"/>
      <c r="BD3040" s="213"/>
    </row>
    <row r="3041">
      <c r="A3041" s="213"/>
      <c r="B3041" s="213"/>
      <c r="C3041" s="213"/>
      <c r="D3041" s="213"/>
      <c r="E3041" s="213"/>
      <c r="F3041" s="213"/>
      <c r="G3041" s="213"/>
      <c r="H3041" s="213"/>
      <c r="I3041" s="213"/>
      <c r="J3041" s="213"/>
      <c r="K3041" s="213"/>
      <c r="L3041" s="213"/>
      <c r="M3041" s="213"/>
      <c r="N3041" s="213"/>
      <c r="O3041" s="213"/>
      <c r="P3041" s="213"/>
      <c r="Q3041" s="213"/>
      <c r="R3041" s="213"/>
      <c r="S3041" s="213"/>
      <c r="T3041" s="213"/>
      <c r="U3041" s="213"/>
      <c r="V3041" s="213"/>
      <c r="W3041" s="213"/>
      <c r="X3041" s="213"/>
      <c r="Y3041" s="213"/>
      <c r="Z3041" s="213"/>
      <c r="AA3041" s="213"/>
      <c r="AB3041" s="213"/>
      <c r="AC3041" s="213"/>
      <c r="AD3041" s="213"/>
      <c r="AE3041" s="213"/>
      <c r="AF3041" s="213"/>
      <c r="AG3041" s="213"/>
      <c r="AH3041" s="213"/>
      <c r="AI3041" s="213"/>
      <c r="AJ3041" s="213"/>
      <c r="AK3041" s="213"/>
      <c r="AL3041" s="213"/>
      <c r="AM3041" s="213"/>
      <c r="AN3041" s="213"/>
      <c r="AO3041" s="213"/>
      <c r="AP3041" s="213"/>
      <c r="AQ3041" s="213"/>
      <c r="AR3041" s="213"/>
      <c r="AS3041" s="213"/>
      <c r="AT3041" s="213"/>
      <c r="AU3041" s="213"/>
      <c r="AV3041" s="213"/>
      <c r="AW3041" s="213"/>
      <c r="AX3041" s="213"/>
      <c r="AY3041" s="213"/>
      <c r="AZ3041" s="213"/>
      <c r="BA3041" s="213"/>
      <c r="BB3041" s="213"/>
      <c r="BC3041" s="213"/>
      <c r="BD3041" s="213"/>
    </row>
    <row r="3042">
      <c r="A3042" s="213"/>
      <c r="B3042" s="213"/>
      <c r="C3042" s="213"/>
      <c r="D3042" s="213"/>
      <c r="E3042" s="213"/>
      <c r="F3042" s="213"/>
      <c r="G3042" s="213"/>
      <c r="H3042" s="213"/>
      <c r="I3042" s="213"/>
      <c r="J3042" s="213"/>
      <c r="K3042" s="213"/>
      <c r="L3042" s="213"/>
      <c r="M3042" s="213"/>
      <c r="N3042" s="213"/>
      <c r="O3042" s="213"/>
      <c r="P3042" s="213"/>
      <c r="Q3042" s="213"/>
      <c r="R3042" s="213"/>
      <c r="S3042" s="213"/>
      <c r="T3042" s="213"/>
      <c r="U3042" s="213"/>
      <c r="V3042" s="213"/>
      <c r="W3042" s="213"/>
      <c r="X3042" s="213"/>
      <c r="Y3042" s="213"/>
      <c r="Z3042" s="213"/>
      <c r="AA3042" s="213"/>
      <c r="AB3042" s="213"/>
      <c r="AC3042" s="213"/>
      <c r="AD3042" s="213"/>
      <c r="AE3042" s="213"/>
      <c r="AF3042" s="213"/>
      <c r="AG3042" s="213"/>
      <c r="AH3042" s="213"/>
      <c r="AI3042" s="213"/>
      <c r="AJ3042" s="213"/>
      <c r="AK3042" s="213"/>
      <c r="AL3042" s="213"/>
      <c r="AM3042" s="213"/>
      <c r="AN3042" s="213"/>
      <c r="AO3042" s="213"/>
      <c r="AP3042" s="213"/>
      <c r="AQ3042" s="213"/>
      <c r="AR3042" s="213"/>
      <c r="AS3042" s="213"/>
      <c r="AT3042" s="213"/>
      <c r="AU3042" s="213"/>
      <c r="AV3042" s="213"/>
      <c r="AW3042" s="213"/>
      <c r="AX3042" s="213"/>
      <c r="AY3042" s="213"/>
      <c r="AZ3042" s="213"/>
      <c r="BA3042" s="213"/>
      <c r="BB3042" s="213"/>
      <c r="BC3042" s="213"/>
      <c r="BD3042" s="213"/>
    </row>
    <row r="3043">
      <c r="A3043" s="213"/>
      <c r="B3043" s="213"/>
      <c r="C3043" s="213"/>
      <c r="D3043" s="213"/>
      <c r="E3043" s="213"/>
      <c r="F3043" s="213"/>
      <c r="G3043" s="213"/>
      <c r="H3043" s="213"/>
      <c r="I3043" s="213"/>
      <c r="J3043" s="213"/>
      <c r="K3043" s="213"/>
      <c r="L3043" s="213"/>
      <c r="M3043" s="213"/>
      <c r="N3043" s="213"/>
      <c r="O3043" s="213"/>
      <c r="P3043" s="213"/>
      <c r="Q3043" s="213"/>
      <c r="R3043" s="213"/>
      <c r="S3043" s="213"/>
      <c r="T3043" s="213"/>
      <c r="U3043" s="213"/>
      <c r="V3043" s="213"/>
      <c r="W3043" s="213"/>
      <c r="X3043" s="213"/>
      <c r="Y3043" s="213"/>
      <c r="Z3043" s="213"/>
      <c r="AA3043" s="213"/>
      <c r="AB3043" s="213"/>
      <c r="AC3043" s="213"/>
      <c r="AD3043" s="213"/>
      <c r="AE3043" s="213"/>
      <c r="AF3043" s="213"/>
      <c r="AG3043" s="213"/>
      <c r="AH3043" s="213"/>
      <c r="AI3043" s="213"/>
      <c r="AJ3043" s="213"/>
      <c r="AK3043" s="213"/>
      <c r="AL3043" s="213"/>
      <c r="AM3043" s="213"/>
      <c r="AN3043" s="213"/>
      <c r="AO3043" s="213"/>
      <c r="AP3043" s="213"/>
      <c r="AQ3043" s="213"/>
      <c r="AR3043" s="213"/>
      <c r="AS3043" s="213"/>
      <c r="AT3043" s="213"/>
      <c r="AU3043" s="213"/>
      <c r="AV3043" s="213"/>
      <c r="AW3043" s="213"/>
      <c r="AX3043" s="213"/>
      <c r="AY3043" s="213"/>
      <c r="AZ3043" s="213"/>
      <c r="BA3043" s="213"/>
      <c r="BB3043" s="213"/>
      <c r="BC3043" s="213"/>
      <c r="BD3043" s="213"/>
    </row>
    <row r="3044">
      <c r="A3044" s="213"/>
      <c r="B3044" s="213"/>
      <c r="C3044" s="213"/>
      <c r="D3044" s="213"/>
      <c r="E3044" s="213"/>
      <c r="F3044" s="213"/>
      <c r="G3044" s="213"/>
      <c r="H3044" s="213"/>
      <c r="I3044" s="213"/>
      <c r="J3044" s="213"/>
      <c r="K3044" s="213"/>
      <c r="L3044" s="213"/>
      <c r="M3044" s="213"/>
      <c r="N3044" s="213"/>
      <c r="O3044" s="213"/>
      <c r="P3044" s="213"/>
      <c r="Q3044" s="213"/>
      <c r="R3044" s="213"/>
      <c r="S3044" s="213"/>
      <c r="T3044" s="213"/>
      <c r="U3044" s="213"/>
      <c r="V3044" s="213"/>
      <c r="W3044" s="213"/>
      <c r="X3044" s="213"/>
      <c r="Y3044" s="213"/>
      <c r="Z3044" s="213"/>
      <c r="AA3044" s="213"/>
      <c r="AB3044" s="213"/>
      <c r="AC3044" s="213"/>
      <c r="AD3044" s="213"/>
      <c r="AE3044" s="213"/>
      <c r="AF3044" s="213"/>
      <c r="AG3044" s="213"/>
      <c r="AH3044" s="213"/>
      <c r="AI3044" s="213"/>
      <c r="AJ3044" s="213"/>
      <c r="AK3044" s="213"/>
      <c r="AL3044" s="213"/>
      <c r="AM3044" s="213"/>
      <c r="AN3044" s="213"/>
      <c r="AO3044" s="213"/>
      <c r="AP3044" s="213"/>
      <c r="AQ3044" s="213"/>
      <c r="AR3044" s="213"/>
      <c r="AS3044" s="213"/>
      <c r="AT3044" s="213"/>
      <c r="AU3044" s="213"/>
      <c r="AV3044" s="213"/>
      <c r="AW3044" s="213"/>
      <c r="AX3044" s="213"/>
      <c r="AY3044" s="213"/>
      <c r="AZ3044" s="213"/>
      <c r="BA3044" s="213"/>
      <c r="BB3044" s="213"/>
      <c r="BC3044" s="213"/>
      <c r="BD3044" s="213"/>
    </row>
    <row r="3045">
      <c r="A3045" s="213"/>
      <c r="B3045" s="213"/>
      <c r="C3045" s="213"/>
      <c r="D3045" s="213"/>
      <c r="E3045" s="213"/>
      <c r="F3045" s="213"/>
      <c r="G3045" s="213"/>
      <c r="H3045" s="213"/>
      <c r="I3045" s="213"/>
      <c r="J3045" s="213"/>
      <c r="K3045" s="213"/>
      <c r="L3045" s="213"/>
      <c r="M3045" s="213"/>
      <c r="N3045" s="213"/>
      <c r="O3045" s="213"/>
      <c r="P3045" s="213"/>
      <c r="Q3045" s="213"/>
      <c r="R3045" s="213"/>
      <c r="S3045" s="213"/>
      <c r="T3045" s="213"/>
      <c r="U3045" s="213"/>
      <c r="V3045" s="213"/>
      <c r="W3045" s="213"/>
      <c r="X3045" s="213"/>
      <c r="Y3045" s="213"/>
      <c r="Z3045" s="213"/>
      <c r="AA3045" s="213"/>
      <c r="AB3045" s="213"/>
      <c r="AC3045" s="213"/>
      <c r="AD3045" s="213"/>
      <c r="AE3045" s="213"/>
      <c r="AF3045" s="213"/>
      <c r="AG3045" s="213"/>
      <c r="AH3045" s="213"/>
      <c r="AI3045" s="213"/>
      <c r="AJ3045" s="213"/>
      <c r="AK3045" s="213"/>
      <c r="AL3045" s="213"/>
      <c r="AM3045" s="213"/>
      <c r="AN3045" s="213"/>
      <c r="AO3045" s="213"/>
      <c r="AP3045" s="213"/>
      <c r="AQ3045" s="213"/>
      <c r="AR3045" s="213"/>
      <c r="AS3045" s="213"/>
      <c r="AT3045" s="213"/>
      <c r="AU3045" s="213"/>
      <c r="AV3045" s="213"/>
      <c r="AW3045" s="213"/>
      <c r="AX3045" s="213"/>
      <c r="AY3045" s="213"/>
      <c r="AZ3045" s="213"/>
      <c r="BA3045" s="213"/>
      <c r="BB3045" s="213"/>
      <c r="BC3045" s="213"/>
      <c r="BD3045" s="213"/>
    </row>
    <row r="3046">
      <c r="A3046" s="213"/>
      <c r="B3046" s="213"/>
      <c r="C3046" s="213"/>
      <c r="D3046" s="213"/>
      <c r="E3046" s="213"/>
      <c r="F3046" s="213"/>
      <c r="G3046" s="213"/>
      <c r="H3046" s="213"/>
      <c r="I3046" s="213"/>
      <c r="J3046" s="213"/>
      <c r="K3046" s="213"/>
      <c r="L3046" s="213"/>
      <c r="M3046" s="213"/>
      <c r="N3046" s="213"/>
      <c r="O3046" s="213"/>
      <c r="P3046" s="213"/>
      <c r="Q3046" s="213"/>
      <c r="R3046" s="213"/>
      <c r="S3046" s="213"/>
      <c r="T3046" s="213"/>
      <c r="U3046" s="213"/>
      <c r="V3046" s="213"/>
      <c r="W3046" s="213"/>
      <c r="X3046" s="213"/>
      <c r="Y3046" s="213"/>
      <c r="Z3046" s="213"/>
      <c r="AA3046" s="213"/>
      <c r="AB3046" s="213"/>
      <c r="AC3046" s="213"/>
      <c r="AD3046" s="213"/>
      <c r="AE3046" s="213"/>
      <c r="AF3046" s="213"/>
      <c r="AG3046" s="213"/>
      <c r="AH3046" s="213"/>
      <c r="AI3046" s="213"/>
      <c r="AJ3046" s="213"/>
      <c r="AK3046" s="213"/>
      <c r="AL3046" s="213"/>
      <c r="AM3046" s="213"/>
      <c r="AN3046" s="213"/>
      <c r="AO3046" s="213"/>
      <c r="AP3046" s="213"/>
      <c r="AQ3046" s="213"/>
      <c r="AR3046" s="213"/>
      <c r="AS3046" s="213"/>
      <c r="AT3046" s="213"/>
      <c r="AU3046" s="213"/>
      <c r="AV3046" s="213"/>
      <c r="AW3046" s="213"/>
      <c r="AX3046" s="213"/>
      <c r="AY3046" s="213"/>
      <c r="AZ3046" s="213"/>
      <c r="BA3046" s="213"/>
      <c r="BB3046" s="213"/>
      <c r="BC3046" s="213"/>
      <c r="BD3046" s="213"/>
    </row>
    <row r="3047">
      <c r="A3047" s="213"/>
      <c r="B3047" s="213"/>
      <c r="C3047" s="213"/>
      <c r="D3047" s="213"/>
      <c r="E3047" s="213"/>
      <c r="F3047" s="213"/>
      <c r="G3047" s="213"/>
      <c r="H3047" s="213"/>
      <c r="I3047" s="213"/>
      <c r="J3047" s="213"/>
      <c r="K3047" s="213"/>
      <c r="L3047" s="213"/>
      <c r="M3047" s="213"/>
      <c r="N3047" s="213"/>
      <c r="O3047" s="213"/>
      <c r="P3047" s="213"/>
      <c r="Q3047" s="213"/>
      <c r="R3047" s="213"/>
      <c r="S3047" s="213"/>
      <c r="T3047" s="213"/>
      <c r="U3047" s="213"/>
      <c r="V3047" s="213"/>
      <c r="W3047" s="213"/>
      <c r="X3047" s="213"/>
      <c r="Y3047" s="213"/>
      <c r="Z3047" s="213"/>
      <c r="AA3047" s="213"/>
      <c r="AB3047" s="213"/>
      <c r="AC3047" s="213"/>
      <c r="AD3047" s="213"/>
      <c r="AE3047" s="213"/>
      <c r="AF3047" s="213"/>
      <c r="AG3047" s="213"/>
      <c r="AH3047" s="213"/>
      <c r="AI3047" s="213"/>
      <c r="AJ3047" s="213"/>
      <c r="AK3047" s="213"/>
      <c r="AL3047" s="213"/>
      <c r="AM3047" s="213"/>
      <c r="AN3047" s="213"/>
      <c r="AO3047" s="213"/>
      <c r="AP3047" s="213"/>
      <c r="AQ3047" s="213"/>
      <c r="AR3047" s="213"/>
      <c r="AS3047" s="213"/>
      <c r="AT3047" s="213"/>
      <c r="AU3047" s="213"/>
      <c r="AV3047" s="213"/>
      <c r="AW3047" s="213"/>
      <c r="AX3047" s="213"/>
      <c r="AY3047" s="213"/>
      <c r="AZ3047" s="213"/>
      <c r="BA3047" s="213"/>
      <c r="BB3047" s="213"/>
      <c r="BC3047" s="213"/>
      <c r="BD3047" s="213"/>
    </row>
    <row r="3048">
      <c r="A3048" s="213"/>
      <c r="B3048" s="213"/>
      <c r="C3048" s="213"/>
      <c r="D3048" s="213"/>
      <c r="E3048" s="213"/>
      <c r="F3048" s="213"/>
      <c r="G3048" s="213"/>
      <c r="H3048" s="213"/>
      <c r="I3048" s="213"/>
      <c r="J3048" s="213"/>
      <c r="K3048" s="213"/>
      <c r="L3048" s="213"/>
      <c r="M3048" s="213"/>
      <c r="N3048" s="213"/>
      <c r="O3048" s="213"/>
      <c r="P3048" s="213"/>
      <c r="Q3048" s="213"/>
      <c r="R3048" s="213"/>
      <c r="S3048" s="213"/>
      <c r="T3048" s="213"/>
      <c r="U3048" s="213"/>
      <c r="V3048" s="213"/>
      <c r="W3048" s="213"/>
      <c r="X3048" s="213"/>
      <c r="Y3048" s="213"/>
      <c r="Z3048" s="213"/>
      <c r="AA3048" s="213"/>
      <c r="AB3048" s="213"/>
      <c r="AC3048" s="213"/>
      <c r="AD3048" s="213"/>
      <c r="AE3048" s="213"/>
      <c r="AF3048" s="213"/>
      <c r="AG3048" s="213"/>
      <c r="AH3048" s="213"/>
      <c r="AI3048" s="213"/>
      <c r="AJ3048" s="213"/>
      <c r="AK3048" s="213"/>
      <c r="AL3048" s="213"/>
      <c r="AM3048" s="213"/>
      <c r="AN3048" s="213"/>
      <c r="AO3048" s="213"/>
      <c r="AP3048" s="213"/>
      <c r="AQ3048" s="213"/>
      <c r="AR3048" s="213"/>
      <c r="AS3048" s="213"/>
      <c r="AT3048" s="213"/>
      <c r="AU3048" s="213"/>
      <c r="AV3048" s="213"/>
      <c r="AW3048" s="213"/>
      <c r="AX3048" s="213"/>
      <c r="AY3048" s="213"/>
      <c r="AZ3048" s="213"/>
      <c r="BA3048" s="213"/>
      <c r="BB3048" s="213"/>
      <c r="BC3048" s="213"/>
      <c r="BD3048" s="213"/>
    </row>
    <row r="3049">
      <c r="A3049" s="213"/>
      <c r="B3049" s="213"/>
      <c r="C3049" s="213"/>
      <c r="D3049" s="213"/>
      <c r="E3049" s="213"/>
      <c r="F3049" s="213"/>
      <c r="G3049" s="213"/>
      <c r="H3049" s="213"/>
      <c r="I3049" s="213"/>
      <c r="J3049" s="213"/>
      <c r="K3049" s="213"/>
      <c r="L3049" s="213"/>
      <c r="M3049" s="213"/>
      <c r="N3049" s="213"/>
      <c r="O3049" s="213"/>
      <c r="P3049" s="213"/>
      <c r="Q3049" s="213"/>
      <c r="R3049" s="213"/>
      <c r="S3049" s="213"/>
      <c r="T3049" s="213"/>
      <c r="U3049" s="213"/>
      <c r="V3049" s="213"/>
      <c r="W3049" s="213"/>
      <c r="X3049" s="213"/>
      <c r="Y3049" s="213"/>
      <c r="Z3049" s="213"/>
      <c r="AA3049" s="213"/>
      <c r="AB3049" s="213"/>
      <c r="AC3049" s="213"/>
      <c r="AD3049" s="213"/>
      <c r="AE3049" s="213"/>
      <c r="AF3049" s="213"/>
      <c r="AG3049" s="213"/>
      <c r="AH3049" s="213"/>
      <c r="AI3049" s="213"/>
      <c r="AJ3049" s="213"/>
      <c r="AK3049" s="213"/>
      <c r="AL3049" s="213"/>
      <c r="AM3049" s="213"/>
      <c r="AN3049" s="213"/>
      <c r="AO3049" s="213"/>
      <c r="AP3049" s="213"/>
      <c r="AQ3049" s="213"/>
      <c r="AR3049" s="213"/>
      <c r="AS3049" s="213"/>
      <c r="AT3049" s="213"/>
      <c r="AU3049" s="213"/>
      <c r="AV3049" s="213"/>
      <c r="AW3049" s="213"/>
      <c r="AX3049" s="213"/>
      <c r="AY3049" s="213"/>
      <c r="AZ3049" s="213"/>
      <c r="BA3049" s="213"/>
      <c r="BB3049" s="213"/>
      <c r="BC3049" s="213"/>
      <c r="BD3049" s="213"/>
    </row>
    <row r="3050">
      <c r="A3050" s="213"/>
      <c r="B3050" s="213"/>
      <c r="C3050" s="213"/>
      <c r="D3050" s="213"/>
      <c r="E3050" s="213"/>
      <c r="F3050" s="213"/>
      <c r="G3050" s="213"/>
      <c r="H3050" s="213"/>
      <c r="I3050" s="213"/>
      <c r="J3050" s="213"/>
      <c r="K3050" s="213"/>
      <c r="L3050" s="213"/>
      <c r="M3050" s="213"/>
      <c r="N3050" s="213"/>
      <c r="O3050" s="213"/>
      <c r="P3050" s="213"/>
      <c r="Q3050" s="213"/>
      <c r="R3050" s="213"/>
      <c r="S3050" s="213"/>
      <c r="T3050" s="213"/>
      <c r="U3050" s="213"/>
      <c r="V3050" s="213"/>
      <c r="W3050" s="213"/>
      <c r="X3050" s="213"/>
      <c r="Y3050" s="213"/>
      <c r="Z3050" s="213"/>
      <c r="AA3050" s="213"/>
      <c r="AB3050" s="213"/>
      <c r="AC3050" s="213"/>
      <c r="AD3050" s="213"/>
      <c r="AE3050" s="213"/>
      <c r="AF3050" s="213"/>
      <c r="AG3050" s="213"/>
      <c r="AH3050" s="213"/>
      <c r="AI3050" s="213"/>
      <c r="AJ3050" s="213"/>
      <c r="AK3050" s="213"/>
      <c r="AL3050" s="213"/>
      <c r="AM3050" s="213"/>
      <c r="AN3050" s="213"/>
      <c r="AO3050" s="213"/>
      <c r="AP3050" s="213"/>
      <c r="AQ3050" s="213"/>
      <c r="AR3050" s="213"/>
      <c r="AS3050" s="213"/>
      <c r="AT3050" s="213"/>
      <c r="AU3050" s="213"/>
      <c r="AV3050" s="213"/>
      <c r="AW3050" s="213"/>
      <c r="AX3050" s="213"/>
      <c r="AY3050" s="213"/>
      <c r="AZ3050" s="213"/>
      <c r="BA3050" s="213"/>
      <c r="BB3050" s="213"/>
      <c r="BC3050" s="213"/>
      <c r="BD3050" s="213"/>
    </row>
    <row r="3051">
      <c r="A3051" s="213"/>
      <c r="B3051" s="213"/>
      <c r="C3051" s="213"/>
      <c r="D3051" s="213"/>
      <c r="E3051" s="213"/>
      <c r="F3051" s="213"/>
      <c r="G3051" s="213"/>
      <c r="H3051" s="213"/>
      <c r="I3051" s="213"/>
      <c r="J3051" s="213"/>
      <c r="K3051" s="213"/>
      <c r="L3051" s="213"/>
      <c r="M3051" s="213"/>
      <c r="N3051" s="213"/>
      <c r="O3051" s="213"/>
      <c r="P3051" s="213"/>
      <c r="Q3051" s="213"/>
      <c r="R3051" s="213"/>
      <c r="S3051" s="213"/>
      <c r="T3051" s="213"/>
      <c r="U3051" s="213"/>
      <c r="V3051" s="213"/>
      <c r="W3051" s="213"/>
      <c r="X3051" s="213"/>
      <c r="Y3051" s="213"/>
      <c r="Z3051" s="213"/>
      <c r="AA3051" s="213"/>
      <c r="AB3051" s="213"/>
      <c r="AC3051" s="213"/>
      <c r="AD3051" s="213"/>
      <c r="AE3051" s="213"/>
      <c r="AF3051" s="213"/>
      <c r="AG3051" s="213"/>
      <c r="AH3051" s="213"/>
      <c r="AI3051" s="213"/>
      <c r="AJ3051" s="213"/>
      <c r="AK3051" s="213"/>
      <c r="AL3051" s="213"/>
      <c r="AM3051" s="213"/>
      <c r="AN3051" s="213"/>
      <c r="AO3051" s="213"/>
      <c r="AP3051" s="213"/>
      <c r="AQ3051" s="213"/>
      <c r="AR3051" s="213"/>
      <c r="AS3051" s="213"/>
      <c r="AT3051" s="213"/>
      <c r="AU3051" s="213"/>
      <c r="AV3051" s="213"/>
      <c r="AW3051" s="213"/>
      <c r="AX3051" s="213"/>
      <c r="AY3051" s="213"/>
      <c r="AZ3051" s="213"/>
      <c r="BA3051" s="213"/>
      <c r="BB3051" s="213"/>
      <c r="BC3051" s="213"/>
      <c r="BD3051" s="213"/>
    </row>
    <row r="3052">
      <c r="A3052" s="213"/>
      <c r="B3052" s="213"/>
      <c r="C3052" s="213"/>
      <c r="D3052" s="213"/>
      <c r="E3052" s="213"/>
      <c r="F3052" s="213"/>
      <c r="G3052" s="213"/>
      <c r="H3052" s="213"/>
      <c r="I3052" s="213"/>
      <c r="J3052" s="213"/>
      <c r="K3052" s="213"/>
      <c r="L3052" s="213"/>
      <c r="M3052" s="213"/>
      <c r="N3052" s="213"/>
      <c r="O3052" s="213"/>
      <c r="P3052" s="213"/>
      <c r="Q3052" s="213"/>
      <c r="R3052" s="213"/>
      <c r="S3052" s="213"/>
      <c r="T3052" s="213"/>
      <c r="U3052" s="213"/>
      <c r="V3052" s="213"/>
      <c r="W3052" s="213"/>
      <c r="X3052" s="213"/>
      <c r="Y3052" s="213"/>
      <c r="Z3052" s="213"/>
      <c r="AA3052" s="213"/>
      <c r="AB3052" s="213"/>
      <c r="AC3052" s="213"/>
      <c r="AD3052" s="213"/>
      <c r="AE3052" s="213"/>
      <c r="AF3052" s="213"/>
      <c r="AG3052" s="213"/>
      <c r="AH3052" s="213"/>
      <c r="AI3052" s="213"/>
      <c r="AJ3052" s="213"/>
      <c r="AK3052" s="213"/>
      <c r="AL3052" s="213"/>
      <c r="AM3052" s="213"/>
      <c r="AN3052" s="213"/>
      <c r="AO3052" s="213"/>
      <c r="AP3052" s="213"/>
      <c r="AQ3052" s="213"/>
      <c r="AR3052" s="213"/>
      <c r="AS3052" s="213"/>
      <c r="AT3052" s="213"/>
      <c r="AU3052" s="213"/>
      <c r="AV3052" s="213"/>
      <c r="AW3052" s="213"/>
      <c r="AX3052" s="213"/>
      <c r="AY3052" s="213"/>
      <c r="AZ3052" s="213"/>
      <c r="BA3052" s="213"/>
      <c r="BB3052" s="213"/>
      <c r="BC3052" s="213"/>
      <c r="BD3052" s="213"/>
    </row>
    <row r="3053">
      <c r="A3053" s="213"/>
      <c r="B3053" s="213"/>
      <c r="C3053" s="213"/>
      <c r="D3053" s="213"/>
      <c r="E3053" s="213"/>
      <c r="F3053" s="213"/>
      <c r="G3053" s="213"/>
      <c r="H3053" s="213"/>
      <c r="I3053" s="213"/>
      <c r="J3053" s="213"/>
      <c r="K3053" s="213"/>
      <c r="L3053" s="213"/>
      <c r="M3053" s="213"/>
      <c r="N3053" s="213"/>
      <c r="O3053" s="213"/>
      <c r="P3053" s="213"/>
      <c r="Q3053" s="213"/>
      <c r="R3053" s="213"/>
      <c r="S3053" s="213"/>
      <c r="T3053" s="213"/>
      <c r="U3053" s="213"/>
      <c r="V3053" s="213"/>
      <c r="W3053" s="213"/>
      <c r="X3053" s="213"/>
      <c r="Y3053" s="213"/>
      <c r="Z3053" s="213"/>
      <c r="AA3053" s="213"/>
      <c r="AB3053" s="213"/>
      <c r="AC3053" s="213"/>
      <c r="AD3053" s="213"/>
      <c r="AE3053" s="213"/>
      <c r="AF3053" s="213"/>
      <c r="AG3053" s="213"/>
      <c r="AH3053" s="213"/>
      <c r="AI3053" s="213"/>
      <c r="AJ3053" s="213"/>
      <c r="AK3053" s="213"/>
      <c r="AL3053" s="213"/>
      <c r="AM3053" s="213"/>
      <c r="AN3053" s="213"/>
      <c r="AO3053" s="213"/>
      <c r="AP3053" s="213"/>
      <c r="AQ3053" s="213"/>
      <c r="AR3053" s="213"/>
      <c r="AS3053" s="213"/>
      <c r="AT3053" s="213"/>
      <c r="AU3053" s="213"/>
      <c r="AV3053" s="213"/>
      <c r="AW3053" s="213"/>
      <c r="AX3053" s="213"/>
      <c r="AY3053" s="213"/>
      <c r="AZ3053" s="213"/>
      <c r="BA3053" s="213"/>
      <c r="BB3053" s="213"/>
      <c r="BC3053" s="213"/>
      <c r="BD3053" s="213"/>
    </row>
    <row r="3054">
      <c r="A3054" s="213"/>
      <c r="B3054" s="213"/>
      <c r="C3054" s="213"/>
      <c r="D3054" s="213"/>
      <c r="E3054" s="213"/>
      <c r="F3054" s="213"/>
      <c r="G3054" s="213"/>
      <c r="H3054" s="213"/>
      <c r="I3054" s="213"/>
      <c r="J3054" s="213"/>
      <c r="K3054" s="213"/>
      <c r="L3054" s="213"/>
      <c r="M3054" s="213"/>
      <c r="N3054" s="213"/>
      <c r="O3054" s="213"/>
      <c r="P3054" s="213"/>
      <c r="Q3054" s="213"/>
      <c r="R3054" s="213"/>
      <c r="S3054" s="213"/>
      <c r="T3054" s="213"/>
      <c r="U3054" s="213"/>
      <c r="V3054" s="213"/>
      <c r="W3054" s="213"/>
      <c r="X3054" s="213"/>
      <c r="Y3054" s="213"/>
      <c r="Z3054" s="213"/>
      <c r="AA3054" s="213"/>
      <c r="AB3054" s="213"/>
      <c r="AC3054" s="213"/>
      <c r="AD3054" s="213"/>
      <c r="AE3054" s="213"/>
      <c r="AF3054" s="213"/>
      <c r="AG3054" s="213"/>
      <c r="AH3054" s="213"/>
      <c r="AI3054" s="213"/>
      <c r="AJ3054" s="213"/>
      <c r="AK3054" s="213"/>
      <c r="AL3054" s="213"/>
      <c r="AM3054" s="213"/>
      <c r="AN3054" s="213"/>
      <c r="AO3054" s="213"/>
      <c r="AP3054" s="213"/>
      <c r="AQ3054" s="213"/>
      <c r="AR3054" s="213"/>
      <c r="AS3054" s="213"/>
      <c r="AT3054" s="213"/>
      <c r="AU3054" s="213"/>
      <c r="AV3054" s="213"/>
      <c r="AW3054" s="213"/>
      <c r="AX3054" s="213"/>
      <c r="AY3054" s="213"/>
      <c r="AZ3054" s="213"/>
      <c r="BA3054" s="213"/>
      <c r="BB3054" s="213"/>
      <c r="BC3054" s="213"/>
      <c r="BD3054" s="213"/>
    </row>
    <row r="3055">
      <c r="A3055" s="213"/>
      <c r="B3055" s="213"/>
      <c r="C3055" s="213"/>
      <c r="D3055" s="213"/>
      <c r="E3055" s="213"/>
      <c r="F3055" s="213"/>
      <c r="G3055" s="213"/>
      <c r="H3055" s="213"/>
      <c r="I3055" s="213"/>
      <c r="J3055" s="213"/>
      <c r="K3055" s="213"/>
      <c r="L3055" s="213"/>
      <c r="M3055" s="213"/>
      <c r="N3055" s="213"/>
      <c r="O3055" s="213"/>
      <c r="P3055" s="213"/>
      <c r="Q3055" s="213"/>
      <c r="R3055" s="213"/>
      <c r="S3055" s="213"/>
      <c r="T3055" s="213"/>
      <c r="U3055" s="213"/>
      <c r="V3055" s="213"/>
      <c r="W3055" s="213"/>
      <c r="X3055" s="213"/>
      <c r="Y3055" s="213"/>
      <c r="Z3055" s="213"/>
      <c r="AA3055" s="213"/>
      <c r="AB3055" s="213"/>
      <c r="AC3055" s="213"/>
      <c r="AD3055" s="213"/>
      <c r="AE3055" s="213"/>
      <c r="AF3055" s="213"/>
      <c r="AG3055" s="213"/>
      <c r="AH3055" s="213"/>
      <c r="AI3055" s="213"/>
      <c r="AJ3055" s="213"/>
      <c r="AK3055" s="213"/>
      <c r="AL3055" s="213"/>
      <c r="AM3055" s="213"/>
      <c r="AN3055" s="213"/>
      <c r="AO3055" s="213"/>
      <c r="AP3055" s="213"/>
      <c r="AQ3055" s="213"/>
      <c r="AR3055" s="213"/>
      <c r="AS3055" s="213"/>
      <c r="AT3055" s="213"/>
      <c r="AU3055" s="213"/>
      <c r="AV3055" s="213"/>
      <c r="AW3055" s="213"/>
      <c r="AX3055" s="213"/>
      <c r="AY3055" s="213"/>
      <c r="AZ3055" s="213"/>
      <c r="BA3055" s="213"/>
      <c r="BB3055" s="213"/>
      <c r="BC3055" s="213"/>
      <c r="BD3055" s="213"/>
    </row>
    <row r="3056">
      <c r="A3056" s="213"/>
      <c r="B3056" s="213"/>
      <c r="C3056" s="213"/>
      <c r="D3056" s="213"/>
      <c r="E3056" s="213"/>
      <c r="F3056" s="213"/>
      <c r="G3056" s="213"/>
      <c r="H3056" s="213"/>
      <c r="I3056" s="213"/>
      <c r="J3056" s="213"/>
      <c r="K3056" s="213"/>
      <c r="L3056" s="213"/>
      <c r="M3056" s="213"/>
      <c r="N3056" s="213"/>
      <c r="O3056" s="213"/>
      <c r="P3056" s="213"/>
      <c r="Q3056" s="213"/>
      <c r="R3056" s="213"/>
      <c r="S3056" s="213"/>
      <c r="T3056" s="213"/>
      <c r="U3056" s="213"/>
      <c r="V3056" s="213"/>
      <c r="W3056" s="213"/>
      <c r="X3056" s="213"/>
      <c r="Y3056" s="213"/>
      <c r="Z3056" s="213"/>
      <c r="AA3056" s="213"/>
      <c r="AB3056" s="213"/>
      <c r="AC3056" s="213"/>
      <c r="AD3056" s="213"/>
      <c r="AE3056" s="213"/>
      <c r="AF3056" s="213"/>
      <c r="AG3056" s="213"/>
      <c r="AH3056" s="213"/>
      <c r="AI3056" s="213"/>
      <c r="AJ3056" s="213"/>
      <c r="AK3056" s="213"/>
      <c r="AL3056" s="213"/>
      <c r="AM3056" s="213"/>
      <c r="AN3056" s="213"/>
      <c r="AO3056" s="213"/>
      <c r="AP3056" s="213"/>
      <c r="AQ3056" s="213"/>
      <c r="AR3056" s="213"/>
      <c r="AS3056" s="213"/>
      <c r="AT3056" s="213"/>
      <c r="AU3056" s="213"/>
      <c r="AV3056" s="213"/>
      <c r="AW3056" s="213"/>
      <c r="AX3056" s="213"/>
      <c r="AY3056" s="213"/>
      <c r="AZ3056" s="213"/>
      <c r="BA3056" s="213"/>
      <c r="BB3056" s="213"/>
      <c r="BC3056" s="213"/>
      <c r="BD3056" s="213"/>
    </row>
    <row r="3057">
      <c r="A3057" s="213"/>
      <c r="B3057" s="213"/>
      <c r="C3057" s="213"/>
      <c r="D3057" s="213"/>
      <c r="E3057" s="213"/>
      <c r="F3057" s="213"/>
      <c r="G3057" s="213"/>
      <c r="H3057" s="213"/>
      <c r="I3057" s="213"/>
      <c r="J3057" s="213"/>
      <c r="K3057" s="213"/>
      <c r="L3057" s="213"/>
      <c r="M3057" s="213"/>
      <c r="N3057" s="213"/>
      <c r="O3057" s="213"/>
      <c r="P3057" s="213"/>
      <c r="Q3057" s="213"/>
      <c r="R3057" s="213"/>
      <c r="S3057" s="213"/>
      <c r="T3057" s="213"/>
      <c r="U3057" s="213"/>
      <c r="V3057" s="213"/>
      <c r="W3057" s="213"/>
      <c r="X3057" s="213"/>
      <c r="Y3057" s="213"/>
      <c r="Z3057" s="213"/>
      <c r="AA3057" s="213"/>
      <c r="AB3057" s="213"/>
      <c r="AC3057" s="213"/>
      <c r="AD3057" s="213"/>
      <c r="AE3057" s="213"/>
      <c r="AF3057" s="213"/>
      <c r="AG3057" s="213"/>
      <c r="AH3057" s="213"/>
      <c r="AI3057" s="213"/>
      <c r="AJ3057" s="213"/>
      <c r="AK3057" s="213"/>
      <c r="AL3057" s="213"/>
      <c r="AM3057" s="213"/>
      <c r="AN3057" s="213"/>
      <c r="AO3057" s="213"/>
      <c r="AP3057" s="213"/>
      <c r="AQ3057" s="213"/>
      <c r="AR3057" s="213"/>
      <c r="AS3057" s="213"/>
      <c r="AT3057" s="213"/>
      <c r="AU3057" s="213"/>
      <c r="AV3057" s="213"/>
      <c r="AW3057" s="213"/>
      <c r="AX3057" s="213"/>
      <c r="AY3057" s="213"/>
      <c r="AZ3057" s="213"/>
      <c r="BA3057" s="213"/>
      <c r="BB3057" s="213"/>
      <c r="BC3057" s="213"/>
      <c r="BD3057" s="213"/>
    </row>
    <row r="3058">
      <c r="A3058" s="213"/>
      <c r="B3058" s="213"/>
      <c r="C3058" s="213"/>
      <c r="D3058" s="213"/>
      <c r="E3058" s="213"/>
      <c r="F3058" s="213"/>
      <c r="G3058" s="213"/>
      <c r="H3058" s="213"/>
      <c r="I3058" s="213"/>
      <c r="J3058" s="213"/>
      <c r="K3058" s="213"/>
      <c r="L3058" s="213"/>
      <c r="M3058" s="213"/>
      <c r="N3058" s="213"/>
      <c r="O3058" s="213"/>
      <c r="P3058" s="213"/>
      <c r="Q3058" s="213"/>
      <c r="R3058" s="213"/>
      <c r="S3058" s="213"/>
      <c r="T3058" s="213"/>
      <c r="U3058" s="213"/>
      <c r="V3058" s="213"/>
      <c r="W3058" s="213"/>
      <c r="X3058" s="213"/>
      <c r="Y3058" s="213"/>
      <c r="Z3058" s="213"/>
      <c r="AA3058" s="213"/>
      <c r="AB3058" s="213"/>
      <c r="AC3058" s="213"/>
      <c r="AD3058" s="213"/>
      <c r="AE3058" s="213"/>
      <c r="AF3058" s="213"/>
      <c r="AG3058" s="213"/>
      <c r="AH3058" s="213"/>
      <c r="AI3058" s="213"/>
      <c r="AJ3058" s="213"/>
      <c r="AK3058" s="213"/>
      <c r="AL3058" s="213"/>
      <c r="AM3058" s="213"/>
      <c r="AN3058" s="213"/>
      <c r="AO3058" s="213"/>
      <c r="AP3058" s="213"/>
      <c r="AQ3058" s="213"/>
      <c r="AR3058" s="213"/>
      <c r="AS3058" s="213"/>
      <c r="AT3058" s="213"/>
      <c r="AU3058" s="213"/>
      <c r="AV3058" s="213"/>
      <c r="AW3058" s="213"/>
      <c r="AX3058" s="213"/>
      <c r="AY3058" s="213"/>
      <c r="AZ3058" s="213"/>
      <c r="BA3058" s="213"/>
      <c r="BB3058" s="213"/>
      <c r="BC3058" s="213"/>
      <c r="BD3058" s="213"/>
    </row>
    <row r="3059">
      <c r="A3059" s="213"/>
      <c r="B3059" s="213"/>
      <c r="C3059" s="213"/>
      <c r="D3059" s="213"/>
      <c r="E3059" s="213"/>
      <c r="F3059" s="213"/>
      <c r="G3059" s="213"/>
      <c r="H3059" s="213"/>
      <c r="I3059" s="213"/>
      <c r="J3059" s="213"/>
      <c r="K3059" s="213"/>
      <c r="L3059" s="213"/>
      <c r="M3059" s="213"/>
      <c r="N3059" s="213"/>
      <c r="O3059" s="213"/>
      <c r="P3059" s="213"/>
      <c r="Q3059" s="213"/>
      <c r="R3059" s="213"/>
      <c r="S3059" s="213"/>
      <c r="T3059" s="213"/>
      <c r="U3059" s="213"/>
      <c r="V3059" s="213"/>
      <c r="W3059" s="213"/>
      <c r="X3059" s="213"/>
      <c r="Y3059" s="213"/>
      <c r="Z3059" s="213"/>
      <c r="AA3059" s="213"/>
      <c r="AB3059" s="213"/>
      <c r="AC3059" s="213"/>
      <c r="AD3059" s="213"/>
      <c r="AE3059" s="213"/>
      <c r="AF3059" s="213"/>
      <c r="AG3059" s="213"/>
      <c r="AH3059" s="213"/>
      <c r="AI3059" s="213"/>
      <c r="AJ3059" s="213"/>
      <c r="AK3059" s="213"/>
      <c r="AL3059" s="213"/>
      <c r="AM3059" s="213"/>
      <c r="AN3059" s="213"/>
      <c r="AO3059" s="213"/>
      <c r="AP3059" s="213"/>
      <c r="AQ3059" s="213"/>
      <c r="AR3059" s="213"/>
      <c r="AS3059" s="213"/>
      <c r="AT3059" s="213"/>
      <c r="AU3059" s="213"/>
      <c r="AV3059" s="213"/>
      <c r="AW3059" s="213"/>
      <c r="AX3059" s="213"/>
      <c r="AY3059" s="213"/>
      <c r="AZ3059" s="213"/>
      <c r="BA3059" s="213"/>
      <c r="BB3059" s="213"/>
      <c r="BC3059" s="213"/>
      <c r="BD3059" s="213"/>
    </row>
    <row r="3060">
      <c r="A3060" s="213"/>
      <c r="B3060" s="213"/>
      <c r="C3060" s="213"/>
      <c r="D3060" s="213"/>
      <c r="E3060" s="213"/>
      <c r="F3060" s="213"/>
      <c r="G3060" s="213"/>
      <c r="H3060" s="213"/>
      <c r="I3060" s="213"/>
      <c r="J3060" s="213"/>
      <c r="K3060" s="213"/>
      <c r="L3060" s="213"/>
      <c r="M3060" s="213"/>
      <c r="N3060" s="213"/>
      <c r="O3060" s="213"/>
      <c r="P3060" s="213"/>
      <c r="Q3060" s="213"/>
      <c r="R3060" s="213"/>
      <c r="S3060" s="213"/>
      <c r="T3060" s="213"/>
      <c r="U3060" s="213"/>
      <c r="V3060" s="213"/>
      <c r="W3060" s="213"/>
      <c r="X3060" s="213"/>
      <c r="Y3060" s="213"/>
      <c r="Z3060" s="213"/>
      <c r="AA3060" s="213"/>
      <c r="AB3060" s="213"/>
      <c r="AC3060" s="213"/>
      <c r="AD3060" s="213"/>
      <c r="AE3060" s="213"/>
      <c r="AF3060" s="213"/>
      <c r="AG3060" s="213"/>
      <c r="AH3060" s="213"/>
      <c r="AI3060" s="213"/>
      <c r="AJ3060" s="213"/>
      <c r="AK3060" s="213"/>
      <c r="AL3060" s="213"/>
      <c r="AM3060" s="213"/>
      <c r="AN3060" s="213"/>
      <c r="AO3060" s="213"/>
      <c r="AP3060" s="213"/>
      <c r="AQ3060" s="213"/>
      <c r="AR3060" s="213"/>
      <c r="AS3060" s="213"/>
      <c r="AT3060" s="213"/>
      <c r="AU3060" s="213"/>
      <c r="AV3060" s="213"/>
      <c r="AW3060" s="213"/>
      <c r="AX3060" s="213"/>
      <c r="AY3060" s="213"/>
      <c r="AZ3060" s="213"/>
      <c r="BA3060" s="213"/>
      <c r="BB3060" s="213"/>
      <c r="BC3060" s="213"/>
      <c r="BD3060" s="213"/>
    </row>
    <row r="3061">
      <c r="A3061" s="213"/>
      <c r="B3061" s="213"/>
      <c r="C3061" s="213"/>
      <c r="D3061" s="213"/>
      <c r="E3061" s="213"/>
      <c r="F3061" s="213"/>
      <c r="G3061" s="213"/>
      <c r="H3061" s="213"/>
      <c r="I3061" s="213"/>
      <c r="J3061" s="213"/>
      <c r="K3061" s="213"/>
      <c r="L3061" s="213"/>
      <c r="M3061" s="213"/>
      <c r="N3061" s="213"/>
      <c r="O3061" s="213"/>
      <c r="P3061" s="213"/>
      <c r="Q3061" s="213"/>
      <c r="R3061" s="213"/>
      <c r="S3061" s="213"/>
      <c r="T3061" s="213"/>
      <c r="U3061" s="213"/>
      <c r="V3061" s="213"/>
      <c r="W3061" s="213"/>
      <c r="X3061" s="213"/>
      <c r="Y3061" s="213"/>
      <c r="Z3061" s="213"/>
      <c r="AA3061" s="213"/>
      <c r="AB3061" s="213"/>
      <c r="AC3061" s="213"/>
      <c r="AD3061" s="213"/>
      <c r="AE3061" s="213"/>
      <c r="AF3061" s="213"/>
      <c r="AG3061" s="213"/>
      <c r="AH3061" s="213"/>
      <c r="AI3061" s="213"/>
      <c r="AJ3061" s="213"/>
      <c r="AK3061" s="213"/>
      <c r="AL3061" s="213"/>
      <c r="AM3061" s="213"/>
      <c r="AN3061" s="213"/>
      <c r="AO3061" s="213"/>
      <c r="AP3061" s="213"/>
      <c r="AQ3061" s="213"/>
      <c r="AR3061" s="213"/>
      <c r="AS3061" s="213"/>
      <c r="AT3061" s="213"/>
      <c r="AU3061" s="213"/>
      <c r="AV3061" s="213"/>
      <c r="AW3061" s="213"/>
      <c r="AX3061" s="213"/>
      <c r="AY3061" s="213"/>
      <c r="AZ3061" s="213"/>
      <c r="BA3061" s="213"/>
      <c r="BB3061" s="213"/>
      <c r="BC3061" s="213"/>
      <c r="BD3061" s="213"/>
    </row>
    <row r="3062">
      <c r="A3062" s="213"/>
      <c r="B3062" s="213"/>
      <c r="C3062" s="213"/>
      <c r="D3062" s="213"/>
      <c r="E3062" s="213"/>
      <c r="F3062" s="213"/>
      <c r="G3062" s="213"/>
      <c r="H3062" s="213"/>
      <c r="I3062" s="213"/>
      <c r="J3062" s="213"/>
      <c r="K3062" s="213"/>
      <c r="L3062" s="213"/>
      <c r="M3062" s="213"/>
      <c r="N3062" s="213"/>
      <c r="O3062" s="213"/>
      <c r="P3062" s="213"/>
      <c r="Q3062" s="213"/>
      <c r="R3062" s="213"/>
      <c r="S3062" s="213"/>
      <c r="T3062" s="213"/>
      <c r="U3062" s="213"/>
      <c r="V3062" s="213"/>
      <c r="W3062" s="213"/>
      <c r="X3062" s="213"/>
      <c r="Y3062" s="213"/>
      <c r="Z3062" s="213"/>
      <c r="AA3062" s="213"/>
      <c r="AB3062" s="213"/>
      <c r="AC3062" s="213"/>
      <c r="AD3062" s="213"/>
      <c r="AE3062" s="213"/>
      <c r="AF3062" s="213"/>
      <c r="AG3062" s="213"/>
      <c r="AH3062" s="213"/>
      <c r="AI3062" s="213"/>
      <c r="AJ3062" s="213"/>
      <c r="AK3062" s="213"/>
      <c r="AL3062" s="213"/>
      <c r="AM3062" s="213"/>
      <c r="AN3062" s="213"/>
      <c r="AO3062" s="213"/>
      <c r="AP3062" s="213"/>
      <c r="AQ3062" s="213"/>
      <c r="AR3062" s="213"/>
      <c r="AS3062" s="213"/>
      <c r="AT3062" s="213"/>
      <c r="AU3062" s="213"/>
      <c r="AV3062" s="213"/>
      <c r="AW3062" s="213"/>
      <c r="AX3062" s="213"/>
      <c r="AY3062" s="213"/>
      <c r="AZ3062" s="213"/>
      <c r="BA3062" s="213"/>
      <c r="BB3062" s="213"/>
      <c r="BC3062" s="213"/>
      <c r="BD3062" s="213"/>
    </row>
    <row r="3063">
      <c r="A3063" s="213"/>
      <c r="B3063" s="213"/>
      <c r="C3063" s="213"/>
      <c r="D3063" s="213"/>
      <c r="E3063" s="213"/>
      <c r="F3063" s="213"/>
      <c r="G3063" s="213"/>
      <c r="H3063" s="213"/>
      <c r="I3063" s="213"/>
      <c r="J3063" s="213"/>
      <c r="K3063" s="213"/>
      <c r="L3063" s="213"/>
      <c r="M3063" s="213"/>
      <c r="N3063" s="213"/>
      <c r="O3063" s="213"/>
      <c r="P3063" s="213"/>
      <c r="Q3063" s="213"/>
      <c r="R3063" s="213"/>
      <c r="S3063" s="213"/>
      <c r="T3063" s="213"/>
      <c r="U3063" s="213"/>
      <c r="V3063" s="213"/>
      <c r="W3063" s="213"/>
      <c r="X3063" s="213"/>
      <c r="Y3063" s="213"/>
      <c r="Z3063" s="213"/>
      <c r="AA3063" s="213"/>
      <c r="AB3063" s="213"/>
      <c r="AC3063" s="213"/>
      <c r="AD3063" s="213"/>
      <c r="AE3063" s="213"/>
      <c r="AF3063" s="213"/>
      <c r="AG3063" s="213"/>
      <c r="AH3063" s="213"/>
      <c r="AI3063" s="213"/>
      <c r="AJ3063" s="213"/>
      <c r="AK3063" s="213"/>
      <c r="AL3063" s="213"/>
      <c r="AM3063" s="213"/>
      <c r="AN3063" s="213"/>
      <c r="AO3063" s="213"/>
      <c r="AP3063" s="213"/>
      <c r="AQ3063" s="213"/>
      <c r="AR3063" s="213"/>
      <c r="AS3063" s="213"/>
      <c r="AT3063" s="213"/>
      <c r="AU3063" s="213"/>
      <c r="AV3063" s="213"/>
      <c r="AW3063" s="213"/>
      <c r="AX3063" s="213"/>
      <c r="AY3063" s="213"/>
      <c r="AZ3063" s="213"/>
      <c r="BA3063" s="213"/>
      <c r="BB3063" s="213"/>
      <c r="BC3063" s="213"/>
      <c r="BD3063" s="213"/>
    </row>
    <row r="3064">
      <c r="A3064" s="213"/>
      <c r="B3064" s="213"/>
      <c r="C3064" s="213"/>
      <c r="D3064" s="213"/>
      <c r="E3064" s="213"/>
      <c r="F3064" s="213"/>
      <c r="G3064" s="213"/>
      <c r="H3064" s="213"/>
      <c r="I3064" s="213"/>
      <c r="J3064" s="213"/>
      <c r="K3064" s="213"/>
      <c r="L3064" s="213"/>
      <c r="M3064" s="213"/>
      <c r="N3064" s="213"/>
      <c r="O3064" s="213"/>
      <c r="P3064" s="213"/>
      <c r="Q3064" s="213"/>
      <c r="R3064" s="213"/>
      <c r="S3064" s="213"/>
      <c r="T3064" s="213"/>
      <c r="U3064" s="213"/>
      <c r="V3064" s="213"/>
      <c r="W3064" s="213"/>
      <c r="X3064" s="213"/>
      <c r="Y3064" s="213"/>
      <c r="Z3064" s="213"/>
      <c r="AA3064" s="213"/>
      <c r="AB3064" s="213"/>
      <c r="AC3064" s="213"/>
      <c r="AD3064" s="213"/>
      <c r="AE3064" s="213"/>
      <c r="AF3064" s="213"/>
      <c r="AG3064" s="213"/>
      <c r="AH3064" s="213"/>
      <c r="AI3064" s="213"/>
      <c r="AJ3064" s="213"/>
      <c r="AK3064" s="213"/>
      <c r="AL3064" s="213"/>
      <c r="AM3064" s="213"/>
      <c r="AN3064" s="213"/>
      <c r="AO3064" s="213"/>
      <c r="AP3064" s="213"/>
      <c r="AQ3064" s="213"/>
      <c r="AR3064" s="213"/>
      <c r="AS3064" s="213"/>
      <c r="AT3064" s="213"/>
      <c r="AU3064" s="213"/>
      <c r="AV3064" s="213"/>
      <c r="AW3064" s="213"/>
      <c r="AX3064" s="213"/>
      <c r="AY3064" s="213"/>
      <c r="AZ3064" s="213"/>
      <c r="BA3064" s="213"/>
      <c r="BB3064" s="213"/>
      <c r="BC3064" s="213"/>
      <c r="BD3064" s="213"/>
    </row>
    <row r="3065">
      <c r="A3065" s="213"/>
      <c r="B3065" s="213"/>
      <c r="C3065" s="213"/>
      <c r="D3065" s="213"/>
      <c r="E3065" s="213"/>
      <c r="F3065" s="213"/>
      <c r="G3065" s="213"/>
      <c r="H3065" s="213"/>
      <c r="I3065" s="213"/>
      <c r="J3065" s="213"/>
      <c r="K3065" s="213"/>
      <c r="L3065" s="213"/>
      <c r="M3065" s="213"/>
      <c r="N3065" s="213"/>
      <c r="O3065" s="213"/>
      <c r="P3065" s="213"/>
      <c r="Q3065" s="213"/>
      <c r="R3065" s="213"/>
      <c r="S3065" s="213"/>
      <c r="T3065" s="213"/>
      <c r="U3065" s="213"/>
      <c r="V3065" s="213"/>
      <c r="W3065" s="213"/>
      <c r="X3065" s="213"/>
      <c r="Y3065" s="213"/>
      <c r="Z3065" s="213"/>
      <c r="AA3065" s="213"/>
      <c r="AB3065" s="213"/>
      <c r="AC3065" s="213"/>
      <c r="AD3065" s="213"/>
      <c r="AE3065" s="213"/>
      <c r="AF3065" s="213"/>
      <c r="AG3065" s="213"/>
      <c r="AH3065" s="213"/>
      <c r="AI3065" s="213"/>
      <c r="AJ3065" s="213"/>
      <c r="AK3065" s="213"/>
      <c r="AL3065" s="213"/>
      <c r="AM3065" s="213"/>
      <c r="AN3065" s="213"/>
      <c r="AO3065" s="213"/>
      <c r="AP3065" s="213"/>
      <c r="AQ3065" s="213"/>
      <c r="AR3065" s="213"/>
      <c r="AS3065" s="213"/>
      <c r="AT3065" s="213"/>
      <c r="AU3065" s="213"/>
      <c r="AV3065" s="213"/>
      <c r="AW3065" s="213"/>
      <c r="AX3065" s="213"/>
      <c r="AY3065" s="213"/>
      <c r="AZ3065" s="213"/>
      <c r="BA3065" s="213"/>
      <c r="BB3065" s="213"/>
      <c r="BC3065" s="213"/>
      <c r="BD3065" s="213"/>
    </row>
    <row r="3066">
      <c r="A3066" s="213"/>
      <c r="B3066" s="213"/>
      <c r="C3066" s="213"/>
      <c r="D3066" s="213"/>
      <c r="E3066" s="213"/>
      <c r="F3066" s="213"/>
      <c r="G3066" s="213"/>
      <c r="H3066" s="213"/>
      <c r="I3066" s="213"/>
      <c r="J3066" s="213"/>
      <c r="K3066" s="213"/>
      <c r="L3066" s="213"/>
      <c r="M3066" s="213"/>
      <c r="N3066" s="213"/>
      <c r="O3066" s="213"/>
      <c r="P3066" s="213"/>
      <c r="Q3066" s="213"/>
      <c r="R3066" s="213"/>
      <c r="S3066" s="213"/>
      <c r="T3066" s="213"/>
      <c r="U3066" s="213"/>
      <c r="V3066" s="213"/>
      <c r="W3066" s="213"/>
      <c r="X3066" s="213"/>
      <c r="Y3066" s="213"/>
      <c r="Z3066" s="213"/>
      <c r="AA3066" s="213"/>
      <c r="AB3066" s="213"/>
      <c r="AC3066" s="213"/>
      <c r="AD3066" s="213"/>
      <c r="AE3066" s="213"/>
      <c r="AF3066" s="213"/>
      <c r="AG3066" s="213"/>
      <c r="AH3066" s="213"/>
      <c r="AI3066" s="213"/>
      <c r="AJ3066" s="213"/>
      <c r="AK3066" s="213"/>
      <c r="AL3066" s="213"/>
      <c r="AM3066" s="213"/>
      <c r="AN3066" s="213"/>
      <c r="AO3066" s="213"/>
      <c r="AP3066" s="213"/>
      <c r="AQ3066" s="213"/>
      <c r="AR3066" s="213"/>
      <c r="AS3066" s="213"/>
      <c r="AT3066" s="213"/>
      <c r="AU3066" s="213"/>
      <c r="AV3066" s="213"/>
      <c r="AW3066" s="213"/>
      <c r="AX3066" s="213"/>
      <c r="AY3066" s="213"/>
      <c r="AZ3066" s="213"/>
      <c r="BA3066" s="213"/>
      <c r="BB3066" s="213"/>
      <c r="BC3066" s="213"/>
      <c r="BD3066" s="213"/>
    </row>
    <row r="3067">
      <c r="A3067" s="213"/>
      <c r="B3067" s="213"/>
      <c r="C3067" s="213"/>
      <c r="D3067" s="213"/>
      <c r="E3067" s="213"/>
      <c r="F3067" s="213"/>
      <c r="G3067" s="213"/>
      <c r="H3067" s="213"/>
      <c r="I3067" s="213"/>
      <c r="J3067" s="213"/>
      <c r="K3067" s="213"/>
      <c r="L3067" s="213"/>
      <c r="M3067" s="213"/>
      <c r="N3067" s="213"/>
      <c r="O3067" s="213"/>
      <c r="P3067" s="213"/>
      <c r="Q3067" s="213"/>
      <c r="R3067" s="213"/>
      <c r="S3067" s="213"/>
      <c r="T3067" s="213"/>
      <c r="U3067" s="213"/>
      <c r="V3067" s="213"/>
      <c r="W3067" s="213"/>
      <c r="X3067" s="213"/>
      <c r="Y3067" s="213"/>
      <c r="Z3067" s="213"/>
      <c r="AA3067" s="213"/>
      <c r="AB3067" s="213"/>
      <c r="AC3067" s="213"/>
      <c r="AD3067" s="213"/>
      <c r="AE3067" s="213"/>
      <c r="AF3067" s="213"/>
      <c r="AG3067" s="213"/>
      <c r="AH3067" s="213"/>
      <c r="AI3067" s="213"/>
      <c r="AJ3067" s="213"/>
      <c r="AK3067" s="213"/>
      <c r="AL3067" s="213"/>
      <c r="AM3067" s="213"/>
      <c r="AN3067" s="213"/>
      <c r="AO3067" s="213"/>
      <c r="AP3067" s="213"/>
      <c r="AQ3067" s="213"/>
      <c r="AR3067" s="213"/>
      <c r="AS3067" s="213"/>
      <c r="AT3067" s="213"/>
      <c r="AU3067" s="213"/>
      <c r="AV3067" s="213"/>
      <c r="AW3067" s="213"/>
      <c r="AX3067" s="213"/>
      <c r="AY3067" s="213"/>
      <c r="AZ3067" s="213"/>
      <c r="BA3067" s="213"/>
      <c r="BB3067" s="213"/>
      <c r="BC3067" s="213"/>
      <c r="BD3067" s="213"/>
    </row>
    <row r="3068">
      <c r="A3068" s="213"/>
      <c r="B3068" s="213"/>
      <c r="C3068" s="213"/>
      <c r="D3068" s="213"/>
      <c r="E3068" s="213"/>
      <c r="F3068" s="213"/>
      <c r="G3068" s="213"/>
      <c r="H3068" s="213"/>
      <c r="I3068" s="213"/>
      <c r="J3068" s="213"/>
      <c r="K3068" s="213"/>
      <c r="L3068" s="213"/>
      <c r="M3068" s="213"/>
      <c r="N3068" s="213"/>
      <c r="O3068" s="213"/>
      <c r="P3068" s="213"/>
      <c r="Q3068" s="213"/>
      <c r="R3068" s="213"/>
      <c r="S3068" s="213"/>
      <c r="T3068" s="213"/>
      <c r="U3068" s="213"/>
      <c r="V3068" s="213"/>
      <c r="W3068" s="213"/>
      <c r="X3068" s="213"/>
      <c r="Y3068" s="213"/>
      <c r="Z3068" s="213"/>
      <c r="AA3068" s="213"/>
      <c r="AB3068" s="213"/>
      <c r="AC3068" s="213"/>
      <c r="AD3068" s="213"/>
      <c r="AE3068" s="213"/>
      <c r="AF3068" s="213"/>
      <c r="AG3068" s="213"/>
      <c r="AH3068" s="213"/>
      <c r="AI3068" s="213"/>
      <c r="AJ3068" s="213"/>
      <c r="AK3068" s="213"/>
      <c r="AL3068" s="213"/>
      <c r="AM3068" s="213"/>
      <c r="AN3068" s="213"/>
      <c r="AO3068" s="213"/>
      <c r="AP3068" s="213"/>
      <c r="AQ3068" s="213"/>
      <c r="AR3068" s="213"/>
      <c r="AS3068" s="213"/>
      <c r="AT3068" s="213"/>
      <c r="AU3068" s="213"/>
      <c r="AV3068" s="213"/>
      <c r="AW3068" s="213"/>
      <c r="AX3068" s="213"/>
      <c r="AY3068" s="213"/>
      <c r="AZ3068" s="213"/>
      <c r="BA3068" s="213"/>
      <c r="BB3068" s="213"/>
      <c r="BC3068" s="213"/>
      <c r="BD3068" s="213"/>
    </row>
    <row r="3069">
      <c r="A3069" s="213"/>
      <c r="B3069" s="213"/>
      <c r="C3069" s="213"/>
      <c r="D3069" s="213"/>
      <c r="E3069" s="213"/>
      <c r="F3069" s="213"/>
      <c r="G3069" s="213"/>
      <c r="H3069" s="213"/>
      <c r="I3069" s="213"/>
      <c r="J3069" s="213"/>
      <c r="K3069" s="213"/>
      <c r="L3069" s="213"/>
      <c r="M3069" s="213"/>
      <c r="N3069" s="213"/>
      <c r="O3069" s="213"/>
      <c r="P3069" s="213"/>
      <c r="Q3069" s="213"/>
      <c r="R3069" s="213"/>
      <c r="S3069" s="213"/>
      <c r="T3069" s="213"/>
      <c r="U3069" s="213"/>
      <c r="V3069" s="213"/>
      <c r="W3069" s="213"/>
      <c r="X3069" s="213"/>
      <c r="Y3069" s="213"/>
      <c r="Z3069" s="213"/>
      <c r="AA3069" s="213"/>
      <c r="AB3069" s="213"/>
      <c r="AC3069" s="213"/>
      <c r="AD3069" s="213"/>
      <c r="AE3069" s="213"/>
      <c r="AF3069" s="213"/>
      <c r="AG3069" s="213"/>
      <c r="AH3069" s="213"/>
      <c r="AI3069" s="213"/>
      <c r="AJ3069" s="213"/>
      <c r="AK3069" s="213"/>
      <c r="AL3069" s="213"/>
      <c r="AM3069" s="213"/>
      <c r="AN3069" s="213"/>
      <c r="AO3069" s="213"/>
      <c r="AP3069" s="213"/>
      <c r="AQ3069" s="213"/>
      <c r="AR3069" s="213"/>
      <c r="AS3069" s="213"/>
      <c r="AT3069" s="213"/>
      <c r="AU3069" s="213"/>
      <c r="AV3069" s="213"/>
      <c r="AW3069" s="213"/>
      <c r="AX3069" s="213"/>
      <c r="AY3069" s="213"/>
      <c r="AZ3069" s="213"/>
      <c r="BA3069" s="213"/>
      <c r="BB3069" s="213"/>
      <c r="BC3069" s="213"/>
      <c r="BD3069" s="213"/>
    </row>
    <row r="3070">
      <c r="A3070" s="213"/>
      <c r="B3070" s="213"/>
      <c r="C3070" s="213"/>
      <c r="D3070" s="213"/>
      <c r="E3070" s="213"/>
      <c r="F3070" s="213"/>
      <c r="G3070" s="213"/>
      <c r="H3070" s="213"/>
      <c r="I3070" s="213"/>
      <c r="J3070" s="213"/>
      <c r="K3070" s="213"/>
      <c r="L3070" s="213"/>
      <c r="M3070" s="213"/>
      <c r="N3070" s="213"/>
      <c r="O3070" s="213"/>
      <c r="P3070" s="213"/>
      <c r="Q3070" s="213"/>
      <c r="R3070" s="213"/>
      <c r="S3070" s="213"/>
      <c r="T3070" s="213"/>
      <c r="U3070" s="213"/>
      <c r="V3070" s="213"/>
      <c r="W3070" s="213"/>
      <c r="X3070" s="213"/>
      <c r="Y3070" s="213"/>
      <c r="Z3070" s="213"/>
      <c r="AA3070" s="213"/>
      <c r="AB3070" s="213"/>
      <c r="AC3070" s="213"/>
      <c r="AD3070" s="213"/>
      <c r="AE3070" s="213"/>
      <c r="AF3070" s="213"/>
      <c r="AG3070" s="213"/>
      <c r="AH3070" s="213"/>
      <c r="AI3070" s="213"/>
      <c r="AJ3070" s="213"/>
      <c r="AK3070" s="213"/>
      <c r="AL3070" s="213"/>
      <c r="AM3070" s="213"/>
      <c r="AN3070" s="213"/>
      <c r="AO3070" s="213"/>
      <c r="AP3070" s="213"/>
      <c r="AQ3070" s="213"/>
      <c r="AR3070" s="213"/>
      <c r="AS3070" s="213"/>
      <c r="AT3070" s="213"/>
      <c r="AU3070" s="213"/>
      <c r="AV3070" s="213"/>
      <c r="AW3070" s="213"/>
      <c r="AX3070" s="213"/>
      <c r="AY3070" s="213"/>
      <c r="AZ3070" s="213"/>
      <c r="BA3070" s="213"/>
      <c r="BB3070" s="213"/>
      <c r="BC3070" s="213"/>
      <c r="BD3070" s="213"/>
    </row>
    <row r="3071">
      <c r="A3071" s="213"/>
      <c r="B3071" s="213"/>
      <c r="C3071" s="213"/>
      <c r="D3071" s="213"/>
      <c r="E3071" s="213"/>
      <c r="F3071" s="213"/>
      <c r="G3071" s="213"/>
      <c r="H3071" s="213"/>
      <c r="I3071" s="213"/>
      <c r="J3071" s="213"/>
      <c r="K3071" s="213"/>
      <c r="L3071" s="213"/>
      <c r="M3071" s="213"/>
      <c r="N3071" s="213"/>
      <c r="O3071" s="213"/>
      <c r="P3071" s="213"/>
      <c r="Q3071" s="213"/>
      <c r="R3071" s="213"/>
      <c r="S3071" s="213"/>
      <c r="T3071" s="213"/>
      <c r="U3071" s="213"/>
      <c r="V3071" s="213"/>
      <c r="W3071" s="213"/>
      <c r="X3071" s="213"/>
      <c r="Y3071" s="213"/>
      <c r="Z3071" s="213"/>
      <c r="AA3071" s="213"/>
      <c r="AB3071" s="213"/>
      <c r="AC3071" s="213"/>
      <c r="AD3071" s="213"/>
      <c r="AE3071" s="213"/>
      <c r="AF3071" s="213"/>
      <c r="AG3071" s="213"/>
      <c r="AH3071" s="213"/>
      <c r="AI3071" s="213"/>
      <c r="AJ3071" s="213"/>
      <c r="AK3071" s="213"/>
      <c r="AL3071" s="213"/>
      <c r="AM3071" s="213"/>
      <c r="AN3071" s="213"/>
      <c r="AO3071" s="213"/>
      <c r="AP3071" s="213"/>
      <c r="AQ3071" s="213"/>
      <c r="AR3071" s="213"/>
      <c r="AS3071" s="213"/>
      <c r="AT3071" s="213"/>
      <c r="AU3071" s="213"/>
      <c r="AV3071" s="213"/>
      <c r="AW3071" s="213"/>
      <c r="AX3071" s="213"/>
      <c r="AY3071" s="213"/>
      <c r="AZ3071" s="213"/>
      <c r="BA3071" s="213"/>
      <c r="BB3071" s="213"/>
      <c r="BC3071" s="213"/>
      <c r="BD3071" s="213"/>
    </row>
    <row r="3072">
      <c r="A3072" s="213"/>
      <c r="B3072" s="213"/>
      <c r="C3072" s="213"/>
      <c r="D3072" s="213"/>
      <c r="E3072" s="213"/>
      <c r="F3072" s="213"/>
      <c r="G3072" s="213"/>
      <c r="H3072" s="213"/>
      <c r="I3072" s="213"/>
      <c r="J3072" s="213"/>
      <c r="K3072" s="213"/>
      <c r="L3072" s="213"/>
      <c r="M3072" s="213"/>
      <c r="N3072" s="213"/>
      <c r="O3072" s="213"/>
      <c r="P3072" s="213"/>
      <c r="Q3072" s="213"/>
      <c r="R3072" s="213"/>
      <c r="S3072" s="213"/>
      <c r="T3072" s="213"/>
      <c r="U3072" s="213"/>
      <c r="V3072" s="213"/>
      <c r="W3072" s="213"/>
      <c r="X3072" s="213"/>
      <c r="Y3072" s="213"/>
      <c r="Z3072" s="213"/>
      <c r="AA3072" s="213"/>
      <c r="AB3072" s="213"/>
      <c r="AC3072" s="213"/>
      <c r="AD3072" s="213"/>
      <c r="AE3072" s="213"/>
      <c r="AF3072" s="213"/>
      <c r="AG3072" s="213"/>
      <c r="AH3072" s="213"/>
      <c r="AI3072" s="213"/>
      <c r="AJ3072" s="213"/>
      <c r="AK3072" s="213"/>
      <c r="AL3072" s="213"/>
      <c r="AM3072" s="213"/>
      <c r="AN3072" s="213"/>
      <c r="AO3072" s="213"/>
      <c r="AP3072" s="213"/>
      <c r="AQ3072" s="213"/>
      <c r="AR3072" s="213"/>
      <c r="AS3072" s="213"/>
      <c r="AT3072" s="213"/>
      <c r="AU3072" s="213"/>
      <c r="AV3072" s="213"/>
      <c r="AW3072" s="213"/>
      <c r="AX3072" s="213"/>
      <c r="AY3072" s="213"/>
      <c r="AZ3072" s="213"/>
      <c r="BA3072" s="213"/>
      <c r="BB3072" s="213"/>
      <c r="BC3072" s="213"/>
      <c r="BD3072" s="213"/>
    </row>
    <row r="3073">
      <c r="A3073" s="213"/>
      <c r="B3073" s="213"/>
      <c r="C3073" s="213"/>
      <c r="D3073" s="213"/>
      <c r="E3073" s="213"/>
      <c r="F3073" s="213"/>
      <c r="G3073" s="213"/>
      <c r="H3073" s="213"/>
      <c r="I3073" s="213"/>
      <c r="J3073" s="213"/>
      <c r="K3073" s="213"/>
      <c r="L3073" s="213"/>
      <c r="M3073" s="213"/>
      <c r="N3073" s="213"/>
      <c r="O3073" s="213"/>
      <c r="P3073" s="213"/>
      <c r="Q3073" s="213"/>
      <c r="R3073" s="213"/>
      <c r="S3073" s="213"/>
      <c r="T3073" s="213"/>
      <c r="U3073" s="213"/>
      <c r="V3073" s="213"/>
      <c r="W3073" s="213"/>
      <c r="X3073" s="213"/>
      <c r="Y3073" s="213"/>
      <c r="Z3073" s="213"/>
      <c r="AA3073" s="213"/>
      <c r="AB3073" s="213"/>
      <c r="AC3073" s="213"/>
      <c r="AD3073" s="213"/>
      <c r="AE3073" s="213"/>
      <c r="AF3073" s="213"/>
      <c r="AG3073" s="213"/>
      <c r="AH3073" s="213"/>
      <c r="AI3073" s="213"/>
      <c r="AJ3073" s="213"/>
      <c r="AK3073" s="213"/>
      <c r="AL3073" s="213"/>
      <c r="AM3073" s="213"/>
      <c r="AN3073" s="213"/>
      <c r="AO3073" s="213"/>
      <c r="AP3073" s="213"/>
      <c r="AQ3073" s="213"/>
      <c r="AR3073" s="213"/>
      <c r="AS3073" s="213"/>
      <c r="AT3073" s="213"/>
      <c r="AU3073" s="213"/>
      <c r="AV3073" s="213"/>
      <c r="AW3073" s="213"/>
      <c r="AX3073" s="213"/>
      <c r="AY3073" s="213"/>
      <c r="AZ3073" s="213"/>
      <c r="BA3073" s="213"/>
      <c r="BB3073" s="213"/>
      <c r="BC3073" s="213"/>
      <c r="BD3073" s="213"/>
    </row>
    <row r="3074">
      <c r="A3074" s="213"/>
      <c r="B3074" s="213"/>
      <c r="C3074" s="213"/>
      <c r="D3074" s="213"/>
      <c r="E3074" s="213"/>
      <c r="F3074" s="213"/>
      <c r="G3074" s="213"/>
      <c r="H3074" s="213"/>
      <c r="I3074" s="213"/>
      <c r="J3074" s="213"/>
      <c r="K3074" s="213"/>
      <c r="L3074" s="213"/>
      <c r="M3074" s="213"/>
      <c r="N3074" s="213"/>
      <c r="O3074" s="213"/>
      <c r="P3074" s="213"/>
      <c r="Q3074" s="213"/>
      <c r="R3074" s="213"/>
      <c r="S3074" s="213"/>
      <c r="T3074" s="213"/>
      <c r="U3074" s="213"/>
      <c r="V3074" s="213"/>
      <c r="W3074" s="213"/>
      <c r="X3074" s="213"/>
      <c r="Y3074" s="213"/>
      <c r="Z3074" s="213"/>
      <c r="AA3074" s="213"/>
      <c r="AB3074" s="213"/>
      <c r="AC3074" s="213"/>
      <c r="AD3074" s="213"/>
      <c r="AE3074" s="213"/>
      <c r="AF3074" s="213"/>
      <c r="AG3074" s="213"/>
      <c r="AH3074" s="213"/>
      <c r="AI3074" s="213"/>
      <c r="AJ3074" s="213"/>
      <c r="AK3074" s="213"/>
      <c r="AL3074" s="213"/>
      <c r="AM3074" s="213"/>
      <c r="AN3074" s="213"/>
      <c r="AO3074" s="213"/>
      <c r="AP3074" s="213"/>
      <c r="AQ3074" s="213"/>
      <c r="AR3074" s="213"/>
      <c r="AS3074" s="213"/>
      <c r="AT3074" s="213"/>
      <c r="AU3074" s="213"/>
      <c r="AV3074" s="213"/>
      <c r="AW3074" s="213"/>
      <c r="AX3074" s="213"/>
      <c r="AY3074" s="213"/>
      <c r="AZ3074" s="213"/>
      <c r="BA3074" s="213"/>
      <c r="BB3074" s="213"/>
      <c r="BC3074" s="213"/>
      <c r="BD3074" s="213"/>
    </row>
    <row r="3075">
      <c r="A3075" s="213"/>
      <c r="B3075" s="213"/>
      <c r="C3075" s="213"/>
      <c r="D3075" s="213"/>
      <c r="E3075" s="213"/>
      <c r="F3075" s="213"/>
      <c r="G3075" s="213"/>
      <c r="H3075" s="213"/>
      <c r="I3075" s="213"/>
      <c r="J3075" s="213"/>
      <c r="K3075" s="213"/>
      <c r="L3075" s="213"/>
      <c r="M3075" s="213"/>
      <c r="N3075" s="213"/>
      <c r="O3075" s="213"/>
      <c r="P3075" s="213"/>
      <c r="Q3075" s="213"/>
      <c r="R3075" s="213"/>
      <c r="S3075" s="213"/>
      <c r="T3075" s="213"/>
      <c r="U3075" s="213"/>
      <c r="V3075" s="213"/>
      <c r="W3075" s="213"/>
      <c r="X3075" s="213"/>
      <c r="Y3075" s="213"/>
      <c r="Z3075" s="213"/>
      <c r="AA3075" s="213"/>
      <c r="AB3075" s="213"/>
      <c r="AC3075" s="213"/>
      <c r="AD3075" s="213"/>
      <c r="AE3075" s="213"/>
      <c r="AF3075" s="213"/>
      <c r="AG3075" s="213"/>
      <c r="AH3075" s="213"/>
      <c r="AI3075" s="213"/>
      <c r="AJ3075" s="213"/>
      <c r="AK3075" s="213"/>
      <c r="AL3075" s="213"/>
      <c r="AM3075" s="213"/>
      <c r="AN3075" s="213"/>
      <c r="AO3075" s="213"/>
      <c r="AP3075" s="213"/>
      <c r="AQ3075" s="213"/>
      <c r="AR3075" s="213"/>
      <c r="AS3075" s="213"/>
      <c r="AT3075" s="213"/>
      <c r="AU3075" s="213"/>
      <c r="AV3075" s="213"/>
      <c r="AW3075" s="213"/>
      <c r="AX3075" s="213"/>
      <c r="AY3075" s="213"/>
      <c r="AZ3075" s="213"/>
      <c r="BA3075" s="213"/>
      <c r="BB3075" s="213"/>
      <c r="BC3075" s="213"/>
      <c r="BD3075" s="213"/>
    </row>
    <row r="3076">
      <c r="A3076" s="213"/>
      <c r="B3076" s="213"/>
      <c r="C3076" s="213"/>
      <c r="D3076" s="213"/>
      <c r="E3076" s="213"/>
      <c r="F3076" s="213"/>
      <c r="G3076" s="213"/>
      <c r="H3076" s="213"/>
      <c r="I3076" s="213"/>
      <c r="J3076" s="213"/>
      <c r="K3076" s="213"/>
      <c r="L3076" s="213"/>
      <c r="M3076" s="213"/>
      <c r="N3076" s="213"/>
      <c r="O3076" s="213"/>
      <c r="P3076" s="213"/>
      <c r="Q3076" s="213"/>
      <c r="R3076" s="213"/>
      <c r="S3076" s="213"/>
      <c r="T3076" s="213"/>
      <c r="U3076" s="213"/>
      <c r="V3076" s="213"/>
      <c r="W3076" s="213"/>
      <c r="X3076" s="213"/>
      <c r="Y3076" s="213"/>
      <c r="Z3076" s="213"/>
      <c r="AA3076" s="213"/>
      <c r="AB3076" s="213"/>
      <c r="AC3076" s="213"/>
      <c r="AD3076" s="213"/>
      <c r="AE3076" s="213"/>
      <c r="AF3076" s="213"/>
      <c r="AG3076" s="213"/>
      <c r="AH3076" s="213"/>
      <c r="AI3076" s="213"/>
      <c r="AJ3076" s="213"/>
      <c r="AK3076" s="213"/>
      <c r="AL3076" s="213"/>
      <c r="AM3076" s="213"/>
      <c r="AN3076" s="213"/>
      <c r="AO3076" s="213"/>
      <c r="AP3076" s="213"/>
      <c r="AQ3076" s="213"/>
      <c r="AR3076" s="213"/>
      <c r="AS3076" s="213"/>
      <c r="AT3076" s="213"/>
      <c r="AU3076" s="213"/>
      <c r="AV3076" s="213"/>
      <c r="AW3076" s="213"/>
      <c r="AX3076" s="213"/>
      <c r="AY3076" s="213"/>
      <c r="AZ3076" s="213"/>
      <c r="BA3076" s="213"/>
      <c r="BB3076" s="213"/>
      <c r="BC3076" s="213"/>
      <c r="BD3076" s="213"/>
    </row>
    <row r="3077">
      <c r="A3077" s="213"/>
      <c r="B3077" s="213"/>
      <c r="C3077" s="213"/>
      <c r="D3077" s="213"/>
      <c r="E3077" s="213"/>
      <c r="F3077" s="213"/>
      <c r="G3077" s="213"/>
      <c r="H3077" s="213"/>
      <c r="I3077" s="213"/>
      <c r="J3077" s="213"/>
      <c r="K3077" s="213"/>
      <c r="L3077" s="213"/>
      <c r="M3077" s="213"/>
      <c r="N3077" s="213"/>
      <c r="O3077" s="213"/>
      <c r="P3077" s="213"/>
      <c r="Q3077" s="213"/>
      <c r="R3077" s="213"/>
      <c r="S3077" s="213"/>
      <c r="T3077" s="213"/>
      <c r="U3077" s="213"/>
      <c r="V3077" s="213"/>
      <c r="W3077" s="213"/>
      <c r="X3077" s="213"/>
      <c r="Y3077" s="213"/>
      <c r="Z3077" s="213"/>
      <c r="AA3077" s="213"/>
      <c r="AB3077" s="213"/>
      <c r="AC3077" s="213"/>
      <c r="AD3077" s="213"/>
      <c r="AE3077" s="213"/>
      <c r="AF3077" s="213"/>
      <c r="AG3077" s="213"/>
      <c r="AH3077" s="213"/>
      <c r="AI3077" s="213"/>
      <c r="AJ3077" s="213"/>
      <c r="AK3077" s="213"/>
      <c r="AL3077" s="213"/>
      <c r="AM3077" s="213"/>
      <c r="AN3077" s="213"/>
      <c r="AO3077" s="213"/>
      <c r="AP3077" s="213"/>
      <c r="AQ3077" s="213"/>
      <c r="AR3077" s="213"/>
      <c r="AS3077" s="213"/>
      <c r="AT3077" s="213"/>
      <c r="AU3077" s="213"/>
      <c r="AV3077" s="213"/>
      <c r="AW3077" s="213"/>
      <c r="AX3077" s="213"/>
      <c r="AY3077" s="213"/>
      <c r="AZ3077" s="213"/>
      <c r="BA3077" s="213"/>
      <c r="BB3077" s="213"/>
      <c r="BC3077" s="213"/>
      <c r="BD3077" s="213"/>
    </row>
    <row r="3078">
      <c r="A3078" s="213"/>
      <c r="B3078" s="213"/>
      <c r="C3078" s="213"/>
      <c r="D3078" s="213"/>
      <c r="E3078" s="213"/>
      <c r="F3078" s="213"/>
      <c r="G3078" s="213"/>
      <c r="H3078" s="213"/>
      <c r="I3078" s="213"/>
      <c r="J3078" s="213"/>
      <c r="K3078" s="213"/>
      <c r="L3078" s="213"/>
      <c r="M3078" s="213"/>
      <c r="N3078" s="213"/>
      <c r="O3078" s="213"/>
      <c r="P3078" s="213"/>
      <c r="Q3078" s="213"/>
      <c r="R3078" s="213"/>
      <c r="S3078" s="213"/>
      <c r="T3078" s="213"/>
      <c r="U3078" s="213"/>
      <c r="V3078" s="213"/>
      <c r="W3078" s="213"/>
      <c r="X3078" s="213"/>
      <c r="Y3078" s="213"/>
      <c r="Z3078" s="213"/>
      <c r="AA3078" s="213"/>
      <c r="AB3078" s="213"/>
      <c r="AC3078" s="213"/>
      <c r="AD3078" s="213"/>
      <c r="AE3078" s="213"/>
      <c r="AF3078" s="213"/>
      <c r="AG3078" s="213"/>
      <c r="AH3078" s="213"/>
      <c r="AI3078" s="213"/>
      <c r="AJ3078" s="213"/>
      <c r="AK3078" s="213"/>
      <c r="AL3078" s="213"/>
      <c r="AM3078" s="213"/>
      <c r="AN3078" s="213"/>
      <c r="AO3078" s="213"/>
      <c r="AP3078" s="213"/>
      <c r="AQ3078" s="213"/>
      <c r="AR3078" s="213"/>
      <c r="AS3078" s="213"/>
      <c r="AT3078" s="213"/>
      <c r="AU3078" s="213"/>
      <c r="AV3078" s="213"/>
      <c r="AW3078" s="213"/>
      <c r="AX3078" s="213"/>
      <c r="AY3078" s="213"/>
      <c r="AZ3078" s="213"/>
      <c r="BA3078" s="213"/>
      <c r="BB3078" s="213"/>
      <c r="BC3078" s="213"/>
      <c r="BD3078" s="213"/>
    </row>
    <row r="3079">
      <c r="A3079" s="213"/>
      <c r="B3079" s="213"/>
      <c r="C3079" s="213"/>
      <c r="D3079" s="213"/>
      <c r="E3079" s="213"/>
      <c r="F3079" s="213"/>
      <c r="G3079" s="213"/>
      <c r="H3079" s="213"/>
      <c r="I3079" s="213"/>
      <c r="J3079" s="213"/>
      <c r="K3079" s="213"/>
      <c r="L3079" s="213"/>
      <c r="M3079" s="213"/>
      <c r="N3079" s="213"/>
      <c r="O3079" s="213"/>
      <c r="P3079" s="213"/>
      <c r="Q3079" s="213"/>
      <c r="R3079" s="213"/>
      <c r="S3079" s="213"/>
      <c r="T3079" s="213"/>
      <c r="U3079" s="213"/>
      <c r="V3079" s="213"/>
      <c r="W3079" s="213"/>
      <c r="X3079" s="213"/>
      <c r="Y3079" s="213"/>
      <c r="Z3079" s="213"/>
      <c r="AA3079" s="213"/>
      <c r="AB3079" s="213"/>
      <c r="AC3079" s="213"/>
      <c r="AD3079" s="213"/>
      <c r="AE3079" s="213"/>
      <c r="AF3079" s="213"/>
      <c r="AG3079" s="213"/>
      <c r="AH3079" s="213"/>
      <c r="AI3079" s="213"/>
      <c r="AJ3079" s="213"/>
      <c r="AK3079" s="213"/>
      <c r="AL3079" s="213"/>
      <c r="AM3079" s="213"/>
      <c r="AN3079" s="213"/>
      <c r="AO3079" s="213"/>
      <c r="AP3079" s="213"/>
      <c r="AQ3079" s="213"/>
      <c r="AR3079" s="213"/>
      <c r="AS3079" s="213"/>
      <c r="AT3079" s="213"/>
      <c r="AU3079" s="213"/>
      <c r="AV3079" s="213"/>
      <c r="AW3079" s="213"/>
      <c r="AX3079" s="213"/>
      <c r="AY3079" s="213"/>
      <c r="AZ3079" s="213"/>
      <c r="BA3079" s="213"/>
      <c r="BB3079" s="213"/>
      <c r="BC3079" s="213"/>
      <c r="BD3079" s="213"/>
    </row>
    <row r="3080">
      <c r="A3080" s="213"/>
      <c r="B3080" s="213"/>
      <c r="C3080" s="213"/>
      <c r="D3080" s="213"/>
      <c r="E3080" s="213"/>
      <c r="F3080" s="213"/>
      <c r="G3080" s="213"/>
      <c r="H3080" s="213"/>
      <c r="I3080" s="213"/>
      <c r="J3080" s="213"/>
      <c r="K3080" s="213"/>
      <c r="L3080" s="213"/>
      <c r="M3080" s="213"/>
      <c r="N3080" s="213"/>
      <c r="O3080" s="213"/>
      <c r="P3080" s="213"/>
      <c r="Q3080" s="213"/>
      <c r="R3080" s="213"/>
      <c r="S3080" s="213"/>
      <c r="T3080" s="213"/>
      <c r="U3080" s="213"/>
      <c r="V3080" s="213"/>
      <c r="W3080" s="213"/>
      <c r="X3080" s="213"/>
      <c r="Y3080" s="213"/>
      <c r="Z3080" s="213"/>
      <c r="AA3080" s="213"/>
      <c r="AB3080" s="213"/>
      <c r="AC3080" s="213"/>
      <c r="AD3080" s="213"/>
      <c r="AE3080" s="213"/>
      <c r="AF3080" s="213"/>
      <c r="AG3080" s="213"/>
      <c r="AH3080" s="213"/>
      <c r="AI3080" s="213"/>
      <c r="AJ3080" s="213"/>
      <c r="AK3080" s="213"/>
      <c r="AL3080" s="213"/>
      <c r="AM3080" s="213"/>
      <c r="AN3080" s="213"/>
      <c r="AO3080" s="213"/>
      <c r="AP3080" s="213"/>
      <c r="AQ3080" s="213"/>
      <c r="AR3080" s="213"/>
      <c r="AS3080" s="213"/>
      <c r="AT3080" s="213"/>
      <c r="AU3080" s="213"/>
      <c r="AV3080" s="213"/>
      <c r="AW3080" s="213"/>
      <c r="AX3080" s="213"/>
      <c r="AY3080" s="213"/>
      <c r="AZ3080" s="213"/>
      <c r="BA3080" s="213"/>
      <c r="BB3080" s="213"/>
      <c r="BC3080" s="213"/>
      <c r="BD3080" s="213"/>
    </row>
    <row r="3081">
      <c r="A3081" s="213"/>
      <c r="B3081" s="213"/>
      <c r="C3081" s="213"/>
      <c r="D3081" s="213"/>
      <c r="E3081" s="213"/>
      <c r="F3081" s="213"/>
      <c r="G3081" s="213"/>
      <c r="H3081" s="213"/>
      <c r="I3081" s="213"/>
      <c r="J3081" s="213"/>
      <c r="K3081" s="213"/>
      <c r="L3081" s="213"/>
      <c r="M3081" s="213"/>
      <c r="N3081" s="213"/>
      <c r="O3081" s="213"/>
      <c r="P3081" s="213"/>
      <c r="Q3081" s="213"/>
      <c r="R3081" s="213"/>
      <c r="S3081" s="213"/>
      <c r="T3081" s="213"/>
      <c r="U3081" s="213"/>
      <c r="V3081" s="213"/>
      <c r="W3081" s="213"/>
      <c r="X3081" s="213"/>
      <c r="Y3081" s="213"/>
      <c r="Z3081" s="213"/>
      <c r="AA3081" s="213"/>
      <c r="AB3081" s="213"/>
      <c r="AC3081" s="213"/>
      <c r="AD3081" s="213"/>
      <c r="AE3081" s="213"/>
      <c r="AF3081" s="213"/>
      <c r="AG3081" s="213"/>
      <c r="AH3081" s="213"/>
      <c r="AI3081" s="213"/>
      <c r="AJ3081" s="213"/>
      <c r="AK3081" s="213"/>
      <c r="AL3081" s="213"/>
      <c r="AM3081" s="213"/>
      <c r="AN3081" s="213"/>
      <c r="AO3081" s="213"/>
      <c r="AP3081" s="213"/>
      <c r="AQ3081" s="213"/>
      <c r="AR3081" s="213"/>
      <c r="AS3081" s="213"/>
      <c r="AT3081" s="213"/>
      <c r="AU3081" s="213"/>
      <c r="AV3081" s="213"/>
      <c r="AW3081" s="213"/>
      <c r="AX3081" s="213"/>
      <c r="AY3081" s="213"/>
      <c r="AZ3081" s="213"/>
      <c r="BA3081" s="213"/>
      <c r="BB3081" s="213"/>
      <c r="BC3081" s="213"/>
      <c r="BD3081" s="213"/>
    </row>
    <row r="3082">
      <c r="A3082" s="213"/>
      <c r="B3082" s="213"/>
      <c r="C3082" s="213"/>
      <c r="D3082" s="213"/>
      <c r="E3082" s="213"/>
      <c r="F3082" s="213"/>
      <c r="G3082" s="213"/>
      <c r="H3082" s="213"/>
      <c r="I3082" s="213"/>
      <c r="J3082" s="213"/>
      <c r="K3082" s="213"/>
      <c r="L3082" s="213"/>
      <c r="M3082" s="213"/>
      <c r="N3082" s="213"/>
      <c r="O3082" s="213"/>
      <c r="P3082" s="213"/>
      <c r="Q3082" s="213"/>
      <c r="R3082" s="213"/>
      <c r="S3082" s="213"/>
      <c r="T3082" s="213"/>
      <c r="U3082" s="213"/>
      <c r="V3082" s="213"/>
      <c r="W3082" s="213"/>
      <c r="X3082" s="213"/>
      <c r="Y3082" s="213"/>
      <c r="Z3082" s="213"/>
      <c r="AA3082" s="213"/>
      <c r="AB3082" s="213"/>
      <c r="AC3082" s="213"/>
      <c r="AD3082" s="213"/>
      <c r="AE3082" s="213"/>
      <c r="AF3082" s="213"/>
      <c r="AG3082" s="213"/>
      <c r="AH3082" s="213"/>
      <c r="AI3082" s="213"/>
      <c r="AJ3082" s="213"/>
      <c r="AK3082" s="213"/>
      <c r="AL3082" s="213"/>
      <c r="AM3082" s="213"/>
      <c r="AN3082" s="213"/>
      <c r="AO3082" s="213"/>
      <c r="AP3082" s="213"/>
      <c r="AQ3082" s="213"/>
      <c r="AR3082" s="213"/>
      <c r="AS3082" s="213"/>
      <c r="AT3082" s="213"/>
      <c r="AU3082" s="213"/>
      <c r="AV3082" s="213"/>
      <c r="AW3082" s="213"/>
      <c r="AX3082" s="213"/>
      <c r="AY3082" s="213"/>
      <c r="AZ3082" s="213"/>
      <c r="BA3082" s="213"/>
      <c r="BB3082" s="213"/>
      <c r="BC3082" s="213"/>
      <c r="BD3082" s="213"/>
    </row>
    <row r="3083">
      <c r="A3083" s="213"/>
      <c r="B3083" s="213"/>
      <c r="C3083" s="213"/>
      <c r="D3083" s="213"/>
      <c r="E3083" s="213"/>
      <c r="F3083" s="213"/>
      <c r="G3083" s="213"/>
      <c r="H3083" s="213"/>
      <c r="I3083" s="213"/>
      <c r="J3083" s="213"/>
      <c r="K3083" s="213"/>
      <c r="L3083" s="213"/>
      <c r="M3083" s="213"/>
      <c r="N3083" s="213"/>
      <c r="O3083" s="213"/>
      <c r="P3083" s="213"/>
      <c r="Q3083" s="213"/>
      <c r="R3083" s="213"/>
      <c r="S3083" s="213"/>
      <c r="T3083" s="213"/>
      <c r="U3083" s="213"/>
      <c r="V3083" s="213"/>
      <c r="W3083" s="213"/>
      <c r="X3083" s="213"/>
      <c r="Y3083" s="213"/>
      <c r="Z3083" s="213"/>
      <c r="AA3083" s="213"/>
      <c r="AB3083" s="213"/>
      <c r="AC3083" s="213"/>
      <c r="AD3083" s="213"/>
      <c r="AE3083" s="213"/>
      <c r="AF3083" s="213"/>
      <c r="AG3083" s="213"/>
      <c r="AH3083" s="213"/>
      <c r="AI3083" s="213"/>
      <c r="AJ3083" s="213"/>
      <c r="AK3083" s="213"/>
      <c r="AL3083" s="213"/>
      <c r="AM3083" s="213"/>
      <c r="AN3083" s="213"/>
      <c r="AO3083" s="213"/>
      <c r="AP3083" s="213"/>
      <c r="AQ3083" s="213"/>
      <c r="AR3083" s="213"/>
      <c r="AS3083" s="213"/>
      <c r="AT3083" s="213"/>
      <c r="AU3083" s="213"/>
      <c r="AV3083" s="213"/>
      <c r="AW3083" s="213"/>
      <c r="AX3083" s="213"/>
      <c r="AY3083" s="213"/>
      <c r="AZ3083" s="213"/>
      <c r="BA3083" s="213"/>
      <c r="BB3083" s="213"/>
      <c r="BC3083" s="213"/>
      <c r="BD3083" s="213"/>
    </row>
    <row r="3084">
      <c r="A3084" s="213"/>
      <c r="B3084" s="213"/>
      <c r="C3084" s="213"/>
      <c r="D3084" s="213"/>
      <c r="E3084" s="213"/>
      <c r="F3084" s="213"/>
      <c r="G3084" s="213"/>
      <c r="H3084" s="213"/>
      <c r="I3084" s="213"/>
      <c r="J3084" s="213"/>
      <c r="K3084" s="213"/>
      <c r="L3084" s="213"/>
      <c r="M3084" s="213"/>
      <c r="N3084" s="213"/>
      <c r="O3084" s="213"/>
      <c r="P3084" s="213"/>
      <c r="Q3084" s="213"/>
      <c r="R3084" s="213"/>
      <c r="S3084" s="213"/>
      <c r="T3084" s="213"/>
      <c r="U3084" s="213"/>
      <c r="V3084" s="213"/>
      <c r="W3084" s="213"/>
      <c r="X3084" s="213"/>
      <c r="Y3084" s="213"/>
      <c r="Z3084" s="213"/>
      <c r="AA3084" s="213"/>
      <c r="AB3084" s="213"/>
      <c r="AC3084" s="213"/>
      <c r="AD3084" s="213"/>
      <c r="AE3084" s="213"/>
      <c r="AF3084" s="213"/>
      <c r="AG3084" s="213"/>
      <c r="AH3084" s="213"/>
      <c r="AI3084" s="213"/>
      <c r="AJ3084" s="213"/>
      <c r="AK3084" s="213"/>
      <c r="AL3084" s="213"/>
      <c r="AM3084" s="213"/>
      <c r="AN3084" s="213"/>
      <c r="AO3084" s="213"/>
      <c r="AP3084" s="213"/>
      <c r="AQ3084" s="213"/>
      <c r="AR3084" s="213"/>
      <c r="AS3084" s="213"/>
      <c r="AT3084" s="213"/>
      <c r="AU3084" s="213"/>
      <c r="AV3084" s="213"/>
      <c r="AW3084" s="213"/>
      <c r="AX3084" s="213"/>
      <c r="AY3084" s="213"/>
      <c r="AZ3084" s="213"/>
      <c r="BA3084" s="213"/>
      <c r="BB3084" s="213"/>
      <c r="BC3084" s="213"/>
      <c r="BD3084" s="213"/>
    </row>
    <row r="3085">
      <c r="A3085" s="213"/>
      <c r="B3085" s="213"/>
      <c r="C3085" s="213"/>
      <c r="D3085" s="213"/>
      <c r="E3085" s="213"/>
      <c r="F3085" s="213"/>
      <c r="G3085" s="213"/>
      <c r="H3085" s="213"/>
      <c r="I3085" s="213"/>
      <c r="J3085" s="213"/>
      <c r="K3085" s="213"/>
      <c r="L3085" s="213"/>
      <c r="M3085" s="213"/>
      <c r="N3085" s="213"/>
      <c r="O3085" s="213"/>
      <c r="P3085" s="213"/>
      <c r="Q3085" s="213"/>
      <c r="R3085" s="213"/>
      <c r="S3085" s="213"/>
      <c r="T3085" s="213"/>
      <c r="U3085" s="213"/>
      <c r="V3085" s="213"/>
      <c r="W3085" s="213"/>
      <c r="X3085" s="213"/>
      <c r="Y3085" s="213"/>
      <c r="Z3085" s="213"/>
      <c r="AA3085" s="213"/>
      <c r="AB3085" s="213"/>
      <c r="AC3085" s="213"/>
      <c r="AD3085" s="213"/>
      <c r="AE3085" s="213"/>
      <c r="AF3085" s="213"/>
      <c r="AG3085" s="213"/>
      <c r="AH3085" s="213"/>
      <c r="AI3085" s="213"/>
      <c r="AJ3085" s="213"/>
      <c r="AK3085" s="213"/>
      <c r="AL3085" s="213"/>
      <c r="AM3085" s="213"/>
      <c r="AN3085" s="213"/>
      <c r="AO3085" s="213"/>
      <c r="AP3085" s="213"/>
      <c r="AQ3085" s="213"/>
      <c r="AR3085" s="213"/>
      <c r="AS3085" s="213"/>
      <c r="AT3085" s="213"/>
      <c r="AU3085" s="213"/>
      <c r="AV3085" s="213"/>
      <c r="AW3085" s="213"/>
      <c r="AX3085" s="213"/>
      <c r="AY3085" s="213"/>
      <c r="AZ3085" s="213"/>
      <c r="BA3085" s="213"/>
      <c r="BB3085" s="213"/>
      <c r="BC3085" s="213"/>
      <c r="BD3085" s="213"/>
    </row>
    <row r="3086">
      <c r="A3086" s="213"/>
      <c r="B3086" s="213"/>
      <c r="C3086" s="213"/>
      <c r="D3086" s="213"/>
      <c r="E3086" s="213"/>
      <c r="F3086" s="213"/>
      <c r="G3086" s="213"/>
      <c r="H3086" s="213"/>
      <c r="I3086" s="213"/>
      <c r="J3086" s="213"/>
      <c r="K3086" s="213"/>
      <c r="L3086" s="213"/>
      <c r="M3086" s="213"/>
      <c r="N3086" s="213"/>
      <c r="O3086" s="213"/>
      <c r="P3086" s="213"/>
      <c r="Q3086" s="213"/>
      <c r="R3086" s="213"/>
      <c r="S3086" s="213"/>
      <c r="T3086" s="213"/>
      <c r="U3086" s="213"/>
      <c r="V3086" s="213"/>
      <c r="W3086" s="213"/>
      <c r="X3086" s="213"/>
      <c r="Y3086" s="213"/>
      <c r="Z3086" s="213"/>
      <c r="AA3086" s="213"/>
      <c r="AB3086" s="213"/>
      <c r="AC3086" s="213"/>
      <c r="AD3086" s="213"/>
      <c r="AE3086" s="213"/>
      <c r="AF3086" s="213"/>
      <c r="AG3086" s="213"/>
      <c r="AH3086" s="213"/>
      <c r="AI3086" s="213"/>
      <c r="AJ3086" s="213"/>
      <c r="AK3086" s="213"/>
      <c r="AL3086" s="213"/>
      <c r="AM3086" s="213"/>
      <c r="AN3086" s="213"/>
      <c r="AO3086" s="213"/>
      <c r="AP3086" s="213"/>
      <c r="AQ3086" s="213"/>
      <c r="AR3086" s="213"/>
      <c r="AS3086" s="213"/>
      <c r="AT3086" s="213"/>
      <c r="AU3086" s="213"/>
      <c r="AV3086" s="213"/>
      <c r="AW3086" s="213"/>
      <c r="AX3086" s="213"/>
      <c r="AY3086" s="213"/>
      <c r="AZ3086" s="213"/>
      <c r="BA3086" s="213"/>
      <c r="BB3086" s="213"/>
      <c r="BC3086" s="213"/>
      <c r="BD3086" s="213"/>
    </row>
    <row r="3087">
      <c r="A3087" s="213"/>
      <c r="B3087" s="213"/>
      <c r="C3087" s="213"/>
      <c r="D3087" s="213"/>
      <c r="E3087" s="213"/>
      <c r="F3087" s="213"/>
      <c r="G3087" s="213"/>
      <c r="H3087" s="213"/>
      <c r="I3087" s="213"/>
      <c r="J3087" s="213"/>
      <c r="K3087" s="213"/>
      <c r="L3087" s="213"/>
      <c r="M3087" s="213"/>
      <c r="N3087" s="213"/>
      <c r="O3087" s="213"/>
      <c r="P3087" s="213"/>
      <c r="Q3087" s="213"/>
      <c r="R3087" s="213"/>
      <c r="S3087" s="213"/>
      <c r="T3087" s="213"/>
      <c r="U3087" s="213"/>
      <c r="V3087" s="213"/>
      <c r="W3087" s="213"/>
      <c r="X3087" s="213"/>
      <c r="Y3087" s="213"/>
      <c r="Z3087" s="213"/>
      <c r="AA3087" s="213"/>
      <c r="AB3087" s="213"/>
      <c r="AC3087" s="213"/>
      <c r="AD3087" s="213"/>
      <c r="AE3087" s="213"/>
      <c r="AF3087" s="213"/>
      <c r="AG3087" s="213"/>
      <c r="AH3087" s="213"/>
      <c r="AI3087" s="213"/>
      <c r="AJ3087" s="213"/>
      <c r="AK3087" s="213"/>
      <c r="AL3087" s="213"/>
      <c r="AM3087" s="213"/>
      <c r="AN3087" s="213"/>
      <c r="AO3087" s="213"/>
      <c r="AP3087" s="213"/>
      <c r="AQ3087" s="213"/>
      <c r="AR3087" s="213"/>
      <c r="AS3087" s="213"/>
      <c r="AT3087" s="213"/>
      <c r="AU3087" s="213"/>
      <c r="AV3087" s="213"/>
      <c r="AW3087" s="213"/>
      <c r="AX3087" s="213"/>
      <c r="AY3087" s="213"/>
      <c r="AZ3087" s="213"/>
      <c r="BA3087" s="213"/>
      <c r="BB3087" s="213"/>
      <c r="BC3087" s="213"/>
      <c r="BD3087" s="213"/>
    </row>
    <row r="3088">
      <c r="A3088" s="213"/>
      <c r="B3088" s="213"/>
      <c r="C3088" s="213"/>
      <c r="D3088" s="213"/>
      <c r="E3088" s="213"/>
      <c r="F3088" s="213"/>
      <c r="G3088" s="213"/>
      <c r="H3088" s="213"/>
      <c r="I3088" s="213"/>
      <c r="J3088" s="213"/>
      <c r="K3088" s="213"/>
      <c r="L3088" s="213"/>
      <c r="M3088" s="213"/>
      <c r="N3088" s="213"/>
      <c r="O3088" s="213"/>
      <c r="P3088" s="213"/>
      <c r="Q3088" s="213"/>
      <c r="R3088" s="213"/>
      <c r="S3088" s="213"/>
      <c r="T3088" s="213"/>
      <c r="U3088" s="213"/>
      <c r="V3088" s="213"/>
      <c r="W3088" s="213"/>
      <c r="X3088" s="213"/>
      <c r="Y3088" s="213"/>
      <c r="Z3088" s="213"/>
      <c r="AA3088" s="213"/>
      <c r="AB3088" s="213"/>
      <c r="AC3088" s="213"/>
      <c r="AD3088" s="213"/>
      <c r="AE3088" s="213"/>
      <c r="AF3088" s="213"/>
      <c r="AG3088" s="213"/>
      <c r="AH3088" s="213"/>
      <c r="AI3088" s="213"/>
      <c r="AJ3088" s="213"/>
      <c r="AK3088" s="213"/>
      <c r="AL3088" s="213"/>
      <c r="AM3088" s="213"/>
      <c r="AN3088" s="213"/>
      <c r="AO3088" s="213"/>
      <c r="AP3088" s="213"/>
      <c r="AQ3088" s="213"/>
      <c r="AR3088" s="213"/>
      <c r="AS3088" s="213"/>
      <c r="AT3088" s="213"/>
      <c r="AU3088" s="213"/>
      <c r="AV3088" s="213"/>
      <c r="AW3088" s="213"/>
      <c r="AX3088" s="213"/>
      <c r="AY3088" s="213"/>
      <c r="AZ3088" s="213"/>
      <c r="BA3088" s="213"/>
      <c r="BB3088" s="213"/>
      <c r="BC3088" s="213"/>
      <c r="BD3088" s="213"/>
    </row>
    <row r="3089">
      <c r="A3089" s="213"/>
      <c r="B3089" s="213"/>
      <c r="C3089" s="213"/>
      <c r="D3089" s="213"/>
      <c r="E3089" s="213"/>
      <c r="F3089" s="213"/>
      <c r="G3089" s="213"/>
      <c r="H3089" s="213"/>
      <c r="I3089" s="213"/>
      <c r="J3089" s="213"/>
      <c r="K3089" s="213"/>
      <c r="L3089" s="213"/>
      <c r="M3089" s="213"/>
      <c r="N3089" s="213"/>
      <c r="O3089" s="213"/>
      <c r="P3089" s="213"/>
      <c r="Q3089" s="213"/>
      <c r="R3089" s="213"/>
      <c r="S3089" s="213"/>
      <c r="T3089" s="213"/>
      <c r="U3089" s="213"/>
      <c r="V3089" s="213"/>
      <c r="W3089" s="213"/>
      <c r="X3089" s="213"/>
      <c r="Y3089" s="213"/>
      <c r="Z3089" s="213"/>
      <c r="AA3089" s="213"/>
      <c r="AB3089" s="213"/>
      <c r="AC3089" s="213"/>
      <c r="AD3089" s="213"/>
      <c r="AE3089" s="213"/>
      <c r="AF3089" s="213"/>
      <c r="AG3089" s="213"/>
      <c r="AH3089" s="213"/>
      <c r="AI3089" s="213"/>
      <c r="AJ3089" s="213"/>
      <c r="AK3089" s="213"/>
      <c r="AL3089" s="213"/>
      <c r="AM3089" s="213"/>
      <c r="AN3089" s="213"/>
      <c r="AO3089" s="213"/>
      <c r="AP3089" s="213"/>
      <c r="AQ3089" s="213"/>
      <c r="AR3089" s="213"/>
      <c r="AS3089" s="213"/>
      <c r="AT3089" s="213"/>
      <c r="AU3089" s="213"/>
      <c r="AV3089" s="213"/>
      <c r="AW3089" s="213"/>
      <c r="AX3089" s="213"/>
      <c r="AY3089" s="213"/>
      <c r="AZ3089" s="213"/>
      <c r="BA3089" s="213"/>
      <c r="BB3089" s="213"/>
      <c r="BC3089" s="213"/>
      <c r="BD3089" s="213"/>
    </row>
    <row r="3090">
      <c r="A3090" s="213"/>
      <c r="B3090" s="213"/>
      <c r="C3090" s="213"/>
      <c r="D3090" s="213"/>
      <c r="E3090" s="213"/>
      <c r="F3090" s="213"/>
      <c r="G3090" s="213"/>
      <c r="H3090" s="213"/>
      <c r="I3090" s="213"/>
      <c r="J3090" s="213"/>
      <c r="K3090" s="213"/>
      <c r="L3090" s="213"/>
      <c r="M3090" s="213"/>
      <c r="N3090" s="213"/>
      <c r="O3090" s="213"/>
      <c r="P3090" s="213"/>
      <c r="Q3090" s="213"/>
      <c r="R3090" s="213"/>
      <c r="S3090" s="213"/>
      <c r="T3090" s="213"/>
      <c r="U3090" s="213"/>
      <c r="V3090" s="213"/>
      <c r="W3090" s="213"/>
      <c r="X3090" s="213"/>
      <c r="Y3090" s="213"/>
      <c r="Z3090" s="213"/>
      <c r="AA3090" s="213"/>
      <c r="AB3090" s="213"/>
      <c r="AC3090" s="213"/>
      <c r="AD3090" s="213"/>
      <c r="AE3090" s="213"/>
      <c r="AF3090" s="213"/>
      <c r="AG3090" s="213"/>
      <c r="AH3090" s="213"/>
      <c r="AI3090" s="213"/>
      <c r="AJ3090" s="213"/>
      <c r="AK3090" s="213"/>
      <c r="AL3090" s="213"/>
      <c r="AM3090" s="213"/>
      <c r="AN3090" s="213"/>
      <c r="AO3090" s="213"/>
      <c r="AP3090" s="213"/>
      <c r="AQ3090" s="213"/>
      <c r="AR3090" s="213"/>
      <c r="AS3090" s="213"/>
      <c r="AT3090" s="213"/>
      <c r="AU3090" s="213"/>
      <c r="AV3090" s="213"/>
      <c r="AW3090" s="213"/>
      <c r="AX3090" s="213"/>
      <c r="AY3090" s="213"/>
      <c r="AZ3090" s="213"/>
      <c r="BA3090" s="213"/>
      <c r="BB3090" s="213"/>
      <c r="BC3090" s="213"/>
      <c r="BD3090" s="213"/>
    </row>
    <row r="3091">
      <c r="A3091" s="213"/>
      <c r="B3091" s="213"/>
      <c r="C3091" s="213"/>
      <c r="D3091" s="213"/>
      <c r="E3091" s="213"/>
      <c r="F3091" s="213"/>
      <c r="G3091" s="213"/>
      <c r="H3091" s="213"/>
      <c r="I3091" s="213"/>
      <c r="J3091" s="213"/>
      <c r="K3091" s="213"/>
      <c r="L3091" s="213"/>
      <c r="M3091" s="213"/>
      <c r="N3091" s="213"/>
      <c r="O3091" s="213"/>
      <c r="P3091" s="213"/>
      <c r="Q3091" s="213"/>
      <c r="R3091" s="213"/>
      <c r="S3091" s="213"/>
      <c r="T3091" s="213"/>
      <c r="U3091" s="213"/>
      <c r="V3091" s="213"/>
      <c r="W3091" s="213"/>
      <c r="X3091" s="213"/>
      <c r="Y3091" s="213"/>
      <c r="Z3091" s="213"/>
      <c r="AA3091" s="213"/>
      <c r="AB3091" s="213"/>
      <c r="AC3091" s="213"/>
      <c r="AD3091" s="213"/>
      <c r="AE3091" s="213"/>
      <c r="AF3091" s="213"/>
      <c r="AG3091" s="213"/>
      <c r="AH3091" s="213"/>
      <c r="AI3091" s="213"/>
      <c r="AJ3091" s="213"/>
      <c r="AK3091" s="213"/>
      <c r="AL3091" s="213"/>
      <c r="AM3091" s="213"/>
      <c r="AN3091" s="213"/>
      <c r="AO3091" s="213"/>
      <c r="AP3091" s="213"/>
      <c r="AQ3091" s="213"/>
      <c r="AR3091" s="213"/>
      <c r="AS3091" s="213"/>
      <c r="AT3091" s="213"/>
      <c r="AU3091" s="213"/>
      <c r="AV3091" s="213"/>
      <c r="AW3091" s="213"/>
      <c r="AX3091" s="213"/>
      <c r="AY3091" s="213"/>
      <c r="AZ3091" s="213"/>
      <c r="BA3091" s="213"/>
      <c r="BB3091" s="213"/>
      <c r="BC3091" s="213"/>
      <c r="BD3091" s="213"/>
    </row>
    <row r="3092">
      <c r="A3092" s="213"/>
      <c r="B3092" s="213"/>
      <c r="C3092" s="213"/>
      <c r="D3092" s="213"/>
      <c r="E3092" s="213"/>
      <c r="F3092" s="213"/>
      <c r="G3092" s="213"/>
      <c r="H3092" s="213"/>
      <c r="I3092" s="213"/>
      <c r="J3092" s="213"/>
      <c r="K3092" s="213"/>
      <c r="L3092" s="213"/>
      <c r="M3092" s="213"/>
      <c r="N3092" s="213"/>
      <c r="O3092" s="213"/>
      <c r="P3092" s="213"/>
      <c r="Q3092" s="213"/>
      <c r="R3092" s="213"/>
      <c r="S3092" s="213"/>
      <c r="T3092" s="213"/>
      <c r="U3092" s="213"/>
      <c r="V3092" s="213"/>
      <c r="W3092" s="213"/>
      <c r="X3092" s="213"/>
      <c r="Y3092" s="213"/>
      <c r="Z3092" s="213"/>
      <c r="AA3092" s="213"/>
      <c r="AB3092" s="213"/>
      <c r="AC3092" s="213"/>
      <c r="AD3092" s="213"/>
      <c r="AE3092" s="213"/>
      <c r="AF3092" s="213"/>
      <c r="AG3092" s="213"/>
      <c r="AH3092" s="213"/>
      <c r="AI3092" s="213"/>
      <c r="AJ3092" s="213"/>
      <c r="AK3092" s="213"/>
      <c r="AL3092" s="213"/>
      <c r="AM3092" s="213"/>
      <c r="AN3092" s="213"/>
      <c r="AO3092" s="213"/>
      <c r="AP3092" s="213"/>
      <c r="AQ3092" s="213"/>
      <c r="AR3092" s="213"/>
      <c r="AS3092" s="213"/>
      <c r="AT3092" s="213"/>
      <c r="AU3092" s="213"/>
      <c r="AV3092" s="213"/>
      <c r="AW3092" s="213"/>
      <c r="AX3092" s="213"/>
      <c r="AY3092" s="213"/>
      <c r="AZ3092" s="213"/>
      <c r="BA3092" s="213"/>
      <c r="BB3092" s="213"/>
      <c r="BC3092" s="213"/>
      <c r="BD3092" s="213"/>
    </row>
    <row r="3093">
      <c r="A3093" s="213"/>
      <c r="B3093" s="213"/>
      <c r="C3093" s="213"/>
      <c r="D3093" s="213"/>
      <c r="E3093" s="213"/>
      <c r="F3093" s="213"/>
      <c r="G3093" s="213"/>
      <c r="H3093" s="213"/>
      <c r="I3093" s="213"/>
      <c r="J3093" s="213"/>
      <c r="K3093" s="213"/>
      <c r="L3093" s="213"/>
      <c r="M3093" s="213"/>
      <c r="N3093" s="213"/>
      <c r="O3093" s="213"/>
      <c r="P3093" s="213"/>
      <c r="Q3093" s="213"/>
      <c r="R3093" s="213"/>
      <c r="S3093" s="213"/>
      <c r="T3093" s="213"/>
      <c r="U3093" s="213"/>
      <c r="V3093" s="213"/>
      <c r="W3093" s="213"/>
      <c r="X3093" s="213"/>
      <c r="Y3093" s="213"/>
      <c r="Z3093" s="213"/>
      <c r="AA3093" s="213"/>
      <c r="AB3093" s="213"/>
      <c r="AC3093" s="213"/>
      <c r="AD3093" s="213"/>
      <c r="AE3093" s="213"/>
      <c r="AF3093" s="213"/>
      <c r="AG3093" s="213"/>
      <c r="AH3093" s="213"/>
      <c r="AI3093" s="213"/>
      <c r="AJ3093" s="213"/>
      <c r="AK3093" s="213"/>
      <c r="AL3093" s="213"/>
      <c r="AM3093" s="213"/>
      <c r="AN3093" s="213"/>
      <c r="AO3093" s="213"/>
      <c r="AP3093" s="213"/>
      <c r="AQ3093" s="213"/>
      <c r="AR3093" s="213"/>
      <c r="AS3093" s="213"/>
      <c r="AT3093" s="213"/>
      <c r="AU3093" s="213"/>
      <c r="AV3093" s="213"/>
      <c r="AW3093" s="213"/>
      <c r="AX3093" s="213"/>
      <c r="AY3093" s="213"/>
      <c r="AZ3093" s="213"/>
      <c r="BA3093" s="213"/>
      <c r="BB3093" s="213"/>
      <c r="BC3093" s="213"/>
      <c r="BD3093" s="213"/>
    </row>
    <row r="3094">
      <c r="A3094" s="213"/>
      <c r="B3094" s="213"/>
      <c r="C3094" s="213"/>
      <c r="D3094" s="213"/>
      <c r="E3094" s="213"/>
      <c r="F3094" s="213"/>
      <c r="G3094" s="213"/>
      <c r="H3094" s="213"/>
      <c r="I3094" s="213"/>
      <c r="J3094" s="213"/>
      <c r="K3094" s="213"/>
      <c r="L3094" s="213"/>
      <c r="M3094" s="213"/>
      <c r="N3094" s="213"/>
      <c r="O3094" s="213"/>
      <c r="P3094" s="213"/>
      <c r="Q3094" s="213"/>
      <c r="R3094" s="213"/>
      <c r="S3094" s="213"/>
      <c r="T3094" s="213"/>
      <c r="U3094" s="213"/>
      <c r="V3094" s="213"/>
      <c r="W3094" s="213"/>
      <c r="X3094" s="213"/>
      <c r="Y3094" s="213"/>
      <c r="Z3094" s="213"/>
      <c r="AA3094" s="213"/>
      <c r="AB3094" s="213"/>
      <c r="AC3094" s="213"/>
      <c r="AD3094" s="213"/>
      <c r="AE3094" s="213"/>
      <c r="AF3094" s="213"/>
      <c r="AG3094" s="213"/>
      <c r="AH3094" s="213"/>
      <c r="AI3094" s="213"/>
      <c r="AJ3094" s="213"/>
      <c r="AK3094" s="213"/>
      <c r="AL3094" s="213"/>
      <c r="AM3094" s="213"/>
      <c r="AN3094" s="213"/>
      <c r="AO3094" s="213"/>
      <c r="AP3094" s="213"/>
      <c r="AQ3094" s="213"/>
      <c r="AR3094" s="213"/>
      <c r="AS3094" s="213"/>
      <c r="AT3094" s="213"/>
      <c r="AU3094" s="213"/>
      <c r="AV3094" s="213"/>
      <c r="AW3094" s="213"/>
      <c r="AX3094" s="213"/>
      <c r="AY3094" s="213"/>
      <c r="AZ3094" s="213"/>
      <c r="BA3094" s="213"/>
      <c r="BB3094" s="213"/>
      <c r="BC3094" s="213"/>
      <c r="BD3094" s="213"/>
    </row>
    <row r="3095">
      <c r="A3095" s="213"/>
      <c r="B3095" s="213"/>
      <c r="C3095" s="213"/>
      <c r="D3095" s="213"/>
      <c r="E3095" s="213"/>
      <c r="F3095" s="213"/>
      <c r="G3095" s="213"/>
      <c r="H3095" s="213"/>
      <c r="I3095" s="213"/>
      <c r="J3095" s="213"/>
      <c r="K3095" s="213"/>
      <c r="L3095" s="213"/>
      <c r="M3095" s="213"/>
      <c r="N3095" s="213"/>
      <c r="O3095" s="213"/>
      <c r="P3095" s="213"/>
      <c r="Q3095" s="213"/>
      <c r="R3095" s="213"/>
      <c r="S3095" s="213"/>
      <c r="T3095" s="213"/>
      <c r="U3095" s="213"/>
      <c r="V3095" s="213"/>
      <c r="W3095" s="213"/>
      <c r="X3095" s="213"/>
      <c r="Y3095" s="213"/>
      <c r="Z3095" s="213"/>
      <c r="AA3095" s="213"/>
      <c r="AB3095" s="213"/>
      <c r="AC3095" s="213"/>
      <c r="AD3095" s="213"/>
      <c r="AE3095" s="213"/>
      <c r="AF3095" s="213"/>
      <c r="AG3095" s="213"/>
      <c r="AH3095" s="213"/>
      <c r="AI3095" s="213"/>
      <c r="AJ3095" s="213"/>
      <c r="AK3095" s="213"/>
      <c r="AL3095" s="213"/>
      <c r="AM3095" s="213"/>
      <c r="AN3095" s="213"/>
      <c r="AO3095" s="213"/>
      <c r="AP3095" s="213"/>
      <c r="AQ3095" s="213"/>
      <c r="AR3095" s="213"/>
      <c r="AS3095" s="213"/>
      <c r="AT3095" s="213"/>
      <c r="AU3095" s="213"/>
      <c r="AV3095" s="213"/>
      <c r="AW3095" s="213"/>
      <c r="AX3095" s="213"/>
      <c r="AY3095" s="213"/>
      <c r="AZ3095" s="213"/>
      <c r="BA3095" s="213"/>
      <c r="BB3095" s="213"/>
      <c r="BC3095" s="213"/>
      <c r="BD3095" s="213"/>
    </row>
    <row r="3096">
      <c r="A3096" s="213"/>
      <c r="B3096" s="213"/>
      <c r="C3096" s="213"/>
      <c r="D3096" s="213"/>
      <c r="E3096" s="213"/>
      <c r="F3096" s="213"/>
      <c r="G3096" s="213"/>
      <c r="H3096" s="213"/>
      <c r="I3096" s="213"/>
      <c r="J3096" s="213"/>
      <c r="K3096" s="213"/>
      <c r="L3096" s="213"/>
      <c r="M3096" s="213"/>
      <c r="N3096" s="213"/>
      <c r="O3096" s="213"/>
      <c r="P3096" s="213"/>
      <c r="Q3096" s="213"/>
      <c r="R3096" s="213"/>
      <c r="S3096" s="213"/>
      <c r="T3096" s="213"/>
      <c r="U3096" s="213"/>
      <c r="V3096" s="213"/>
      <c r="W3096" s="213"/>
      <c r="X3096" s="213"/>
      <c r="Y3096" s="213"/>
      <c r="Z3096" s="213"/>
      <c r="AA3096" s="213"/>
      <c r="AB3096" s="213"/>
      <c r="AC3096" s="213"/>
      <c r="AD3096" s="213"/>
      <c r="AE3096" s="213"/>
      <c r="AF3096" s="213"/>
      <c r="AG3096" s="213"/>
      <c r="AH3096" s="213"/>
      <c r="AI3096" s="213"/>
      <c r="AJ3096" s="213"/>
      <c r="AK3096" s="213"/>
      <c r="AL3096" s="213"/>
      <c r="AM3096" s="213"/>
      <c r="AN3096" s="213"/>
      <c r="AO3096" s="213"/>
      <c r="AP3096" s="213"/>
      <c r="AQ3096" s="213"/>
      <c r="AR3096" s="213"/>
      <c r="AS3096" s="213"/>
      <c r="AT3096" s="213"/>
      <c r="AU3096" s="213"/>
      <c r="AV3096" s="213"/>
      <c r="AW3096" s="213"/>
      <c r="AX3096" s="213"/>
      <c r="AY3096" s="213"/>
      <c r="AZ3096" s="213"/>
      <c r="BA3096" s="213"/>
      <c r="BB3096" s="213"/>
      <c r="BC3096" s="213"/>
      <c r="BD3096" s="213"/>
    </row>
    <row r="3097">
      <c r="A3097" s="213"/>
      <c r="B3097" s="213"/>
      <c r="C3097" s="213"/>
      <c r="D3097" s="213"/>
      <c r="E3097" s="213"/>
      <c r="F3097" s="213"/>
      <c r="G3097" s="213"/>
      <c r="H3097" s="213"/>
      <c r="I3097" s="213"/>
      <c r="J3097" s="213"/>
      <c r="K3097" s="213"/>
      <c r="L3097" s="213"/>
      <c r="M3097" s="213"/>
      <c r="N3097" s="213"/>
      <c r="O3097" s="213"/>
      <c r="P3097" s="213"/>
      <c r="Q3097" s="213"/>
      <c r="R3097" s="213"/>
      <c r="S3097" s="213"/>
      <c r="T3097" s="213"/>
      <c r="U3097" s="213"/>
      <c r="V3097" s="213"/>
      <c r="W3097" s="213"/>
      <c r="X3097" s="213"/>
      <c r="Y3097" s="213"/>
      <c r="Z3097" s="213"/>
      <c r="AA3097" s="213"/>
      <c r="AB3097" s="213"/>
      <c r="AC3097" s="213"/>
      <c r="AD3097" s="213"/>
      <c r="AE3097" s="213"/>
      <c r="AF3097" s="213"/>
      <c r="AG3097" s="213"/>
      <c r="AH3097" s="213"/>
      <c r="AI3097" s="213"/>
      <c r="AJ3097" s="213"/>
      <c r="AK3097" s="213"/>
      <c r="AL3097" s="213"/>
      <c r="AM3097" s="213"/>
      <c r="AN3097" s="213"/>
      <c r="AO3097" s="213"/>
      <c r="AP3097" s="213"/>
      <c r="AQ3097" s="213"/>
      <c r="AR3097" s="213"/>
      <c r="AS3097" s="213"/>
      <c r="AT3097" s="213"/>
      <c r="AU3097" s="213"/>
      <c r="AV3097" s="213"/>
      <c r="AW3097" s="213"/>
      <c r="AX3097" s="213"/>
      <c r="AY3097" s="213"/>
      <c r="AZ3097" s="213"/>
      <c r="BA3097" s="213"/>
      <c r="BB3097" s="213"/>
      <c r="BC3097" s="213"/>
      <c r="BD3097" s="213"/>
    </row>
    <row r="3098">
      <c r="A3098" s="213"/>
      <c r="B3098" s="213"/>
      <c r="C3098" s="213"/>
      <c r="D3098" s="213"/>
      <c r="E3098" s="213"/>
      <c r="F3098" s="213"/>
      <c r="G3098" s="213"/>
      <c r="H3098" s="213"/>
      <c r="I3098" s="213"/>
      <c r="J3098" s="213"/>
      <c r="K3098" s="213"/>
      <c r="L3098" s="213"/>
      <c r="M3098" s="213"/>
      <c r="N3098" s="213"/>
      <c r="O3098" s="213"/>
      <c r="P3098" s="213"/>
      <c r="Q3098" s="213"/>
      <c r="R3098" s="213"/>
      <c r="S3098" s="213"/>
      <c r="T3098" s="213"/>
      <c r="U3098" s="213"/>
      <c r="V3098" s="213"/>
      <c r="W3098" s="213"/>
      <c r="X3098" s="213"/>
      <c r="Y3098" s="213"/>
      <c r="Z3098" s="213"/>
      <c r="AA3098" s="213"/>
      <c r="AB3098" s="213"/>
      <c r="AC3098" s="213"/>
      <c r="AD3098" s="213"/>
      <c r="AE3098" s="213"/>
      <c r="AF3098" s="213"/>
      <c r="AG3098" s="213"/>
      <c r="AH3098" s="213"/>
      <c r="AI3098" s="213"/>
      <c r="AJ3098" s="213"/>
      <c r="AK3098" s="213"/>
      <c r="AL3098" s="213"/>
      <c r="AM3098" s="213"/>
      <c r="AN3098" s="213"/>
      <c r="AO3098" s="213"/>
      <c r="AP3098" s="213"/>
      <c r="AQ3098" s="213"/>
      <c r="AR3098" s="213"/>
      <c r="AS3098" s="213"/>
      <c r="AT3098" s="213"/>
      <c r="AU3098" s="213"/>
      <c r="AV3098" s="213"/>
      <c r="AW3098" s="213"/>
      <c r="AX3098" s="213"/>
      <c r="AY3098" s="213"/>
      <c r="AZ3098" s="213"/>
      <c r="BA3098" s="213"/>
      <c r="BB3098" s="213"/>
      <c r="BC3098" s="213"/>
      <c r="BD3098" s="213"/>
    </row>
    <row r="3099">
      <c r="A3099" s="213"/>
      <c r="B3099" s="213"/>
      <c r="C3099" s="213"/>
      <c r="D3099" s="213"/>
      <c r="E3099" s="213"/>
      <c r="F3099" s="213"/>
      <c r="G3099" s="213"/>
      <c r="H3099" s="213"/>
      <c r="I3099" s="213"/>
      <c r="J3099" s="213"/>
      <c r="K3099" s="213"/>
      <c r="L3099" s="213"/>
      <c r="M3099" s="213"/>
      <c r="N3099" s="213"/>
      <c r="O3099" s="213"/>
      <c r="P3099" s="213"/>
      <c r="Q3099" s="213"/>
      <c r="R3099" s="213"/>
      <c r="S3099" s="213"/>
      <c r="T3099" s="213"/>
      <c r="U3099" s="213"/>
      <c r="V3099" s="213"/>
      <c r="W3099" s="213"/>
      <c r="X3099" s="213"/>
      <c r="Y3099" s="213"/>
      <c r="Z3099" s="213"/>
      <c r="AA3099" s="213"/>
      <c r="AB3099" s="213"/>
      <c r="AC3099" s="213"/>
      <c r="AD3099" s="213"/>
      <c r="AE3099" s="213"/>
      <c r="AF3099" s="213"/>
      <c r="AG3099" s="213"/>
      <c r="AH3099" s="213"/>
      <c r="AI3099" s="213"/>
      <c r="AJ3099" s="213"/>
      <c r="AK3099" s="213"/>
      <c r="AL3099" s="213"/>
      <c r="AM3099" s="213"/>
      <c r="AN3099" s="213"/>
      <c r="AO3099" s="213"/>
      <c r="AP3099" s="213"/>
      <c r="AQ3099" s="213"/>
      <c r="AR3099" s="213"/>
      <c r="AS3099" s="213"/>
      <c r="AT3099" s="213"/>
      <c r="AU3099" s="213"/>
      <c r="AV3099" s="213"/>
      <c r="AW3099" s="213"/>
      <c r="AX3099" s="213"/>
      <c r="AY3099" s="213"/>
      <c r="AZ3099" s="213"/>
      <c r="BA3099" s="213"/>
      <c r="BB3099" s="213"/>
      <c r="BC3099" s="213"/>
      <c r="BD3099" s="213"/>
    </row>
    <row r="3100">
      <c r="A3100" s="213"/>
      <c r="B3100" s="213"/>
      <c r="C3100" s="213"/>
      <c r="D3100" s="213"/>
      <c r="E3100" s="213"/>
      <c r="F3100" s="213"/>
      <c r="G3100" s="213"/>
      <c r="H3100" s="213"/>
      <c r="I3100" s="213"/>
      <c r="J3100" s="213"/>
      <c r="K3100" s="213"/>
      <c r="L3100" s="213"/>
      <c r="M3100" s="213"/>
      <c r="N3100" s="213"/>
      <c r="O3100" s="213"/>
      <c r="P3100" s="213"/>
      <c r="Q3100" s="213"/>
      <c r="R3100" s="213"/>
      <c r="S3100" s="213"/>
      <c r="T3100" s="213"/>
      <c r="U3100" s="213"/>
      <c r="V3100" s="213"/>
      <c r="W3100" s="213"/>
      <c r="X3100" s="213"/>
      <c r="Y3100" s="213"/>
      <c r="Z3100" s="213"/>
      <c r="AA3100" s="213"/>
      <c r="AB3100" s="213"/>
      <c r="AC3100" s="213"/>
      <c r="AD3100" s="213"/>
      <c r="AE3100" s="213"/>
      <c r="AF3100" s="213"/>
      <c r="AG3100" s="213"/>
      <c r="AH3100" s="213"/>
      <c r="AI3100" s="213"/>
      <c r="AJ3100" s="213"/>
      <c r="AK3100" s="213"/>
      <c r="AL3100" s="213"/>
      <c r="AM3100" s="213"/>
      <c r="AN3100" s="213"/>
      <c r="AO3100" s="213"/>
      <c r="AP3100" s="213"/>
      <c r="AQ3100" s="213"/>
      <c r="AR3100" s="213"/>
      <c r="AS3100" s="213"/>
      <c r="AT3100" s="213"/>
      <c r="AU3100" s="213"/>
      <c r="AV3100" s="213"/>
      <c r="AW3100" s="213"/>
      <c r="AX3100" s="213"/>
      <c r="AY3100" s="213"/>
      <c r="AZ3100" s="213"/>
      <c r="BA3100" s="213"/>
      <c r="BB3100" s="213"/>
      <c r="BC3100" s="213"/>
      <c r="BD3100" s="213"/>
    </row>
    <row r="3101">
      <c r="A3101" s="213"/>
      <c r="B3101" s="213"/>
      <c r="C3101" s="213"/>
      <c r="D3101" s="213"/>
      <c r="E3101" s="213"/>
      <c r="F3101" s="213"/>
      <c r="G3101" s="213"/>
      <c r="H3101" s="213"/>
      <c r="I3101" s="213"/>
      <c r="J3101" s="213"/>
      <c r="K3101" s="213"/>
      <c r="L3101" s="213"/>
      <c r="M3101" s="213"/>
      <c r="N3101" s="213"/>
      <c r="O3101" s="213"/>
      <c r="P3101" s="213"/>
      <c r="Q3101" s="213"/>
      <c r="R3101" s="213"/>
      <c r="S3101" s="213"/>
      <c r="T3101" s="213"/>
      <c r="U3101" s="213"/>
      <c r="V3101" s="213"/>
      <c r="W3101" s="213"/>
      <c r="X3101" s="213"/>
      <c r="Y3101" s="213"/>
      <c r="Z3101" s="213"/>
      <c r="AA3101" s="213"/>
      <c r="AB3101" s="213"/>
      <c r="AC3101" s="213"/>
      <c r="AD3101" s="213"/>
      <c r="AE3101" s="213"/>
      <c r="AF3101" s="213"/>
      <c r="AG3101" s="213"/>
      <c r="AH3101" s="213"/>
      <c r="AI3101" s="213"/>
      <c r="AJ3101" s="213"/>
      <c r="AK3101" s="213"/>
      <c r="AL3101" s="213"/>
      <c r="AM3101" s="213"/>
      <c r="AN3101" s="213"/>
      <c r="AO3101" s="213"/>
      <c r="AP3101" s="213"/>
      <c r="AQ3101" s="213"/>
      <c r="AR3101" s="213"/>
      <c r="AS3101" s="213"/>
      <c r="AT3101" s="213"/>
      <c r="AU3101" s="213"/>
      <c r="AV3101" s="213"/>
      <c r="AW3101" s="213"/>
      <c r="AX3101" s="213"/>
      <c r="AY3101" s="213"/>
      <c r="AZ3101" s="213"/>
      <c r="BA3101" s="213"/>
      <c r="BB3101" s="213"/>
      <c r="BC3101" s="213"/>
      <c r="BD3101" s="213"/>
    </row>
    <row r="3102">
      <c r="A3102" s="213"/>
      <c r="B3102" s="213"/>
      <c r="C3102" s="213"/>
      <c r="D3102" s="213"/>
      <c r="E3102" s="213"/>
      <c r="F3102" s="213"/>
      <c r="G3102" s="213"/>
      <c r="H3102" s="213"/>
      <c r="I3102" s="213"/>
      <c r="J3102" s="213"/>
      <c r="K3102" s="213"/>
      <c r="L3102" s="213"/>
      <c r="M3102" s="213"/>
      <c r="N3102" s="213"/>
      <c r="O3102" s="213"/>
      <c r="P3102" s="213"/>
      <c r="Q3102" s="213"/>
      <c r="R3102" s="213"/>
      <c r="S3102" s="213"/>
      <c r="T3102" s="213"/>
      <c r="U3102" s="213"/>
      <c r="V3102" s="213"/>
      <c r="W3102" s="213"/>
      <c r="X3102" s="213"/>
      <c r="Y3102" s="213"/>
      <c r="Z3102" s="213"/>
      <c r="AA3102" s="213"/>
      <c r="AB3102" s="213"/>
      <c r="AC3102" s="213"/>
      <c r="AD3102" s="213"/>
      <c r="AE3102" s="213"/>
      <c r="AF3102" s="213"/>
      <c r="AG3102" s="213"/>
      <c r="AH3102" s="213"/>
      <c r="AI3102" s="213"/>
      <c r="AJ3102" s="213"/>
      <c r="AK3102" s="213"/>
      <c r="AL3102" s="213"/>
      <c r="AM3102" s="213"/>
      <c r="AN3102" s="213"/>
      <c r="AO3102" s="213"/>
      <c r="AP3102" s="213"/>
      <c r="AQ3102" s="213"/>
      <c r="AR3102" s="213"/>
      <c r="AS3102" s="213"/>
      <c r="AT3102" s="213"/>
      <c r="AU3102" s="213"/>
      <c r="AV3102" s="213"/>
      <c r="AW3102" s="213"/>
      <c r="AX3102" s="213"/>
      <c r="AY3102" s="213"/>
      <c r="AZ3102" s="213"/>
      <c r="BA3102" s="213"/>
      <c r="BB3102" s="213"/>
      <c r="BC3102" s="213"/>
      <c r="BD3102" s="213"/>
    </row>
    <row r="3103">
      <c r="A3103" s="213"/>
      <c r="B3103" s="213"/>
      <c r="C3103" s="213"/>
      <c r="D3103" s="213"/>
      <c r="E3103" s="213"/>
      <c r="F3103" s="213"/>
      <c r="G3103" s="213"/>
      <c r="H3103" s="213"/>
      <c r="I3103" s="213"/>
      <c r="J3103" s="213"/>
      <c r="K3103" s="213"/>
      <c r="L3103" s="213"/>
      <c r="M3103" s="213"/>
      <c r="N3103" s="213"/>
      <c r="O3103" s="213"/>
      <c r="P3103" s="213"/>
      <c r="Q3103" s="213"/>
      <c r="R3103" s="213"/>
      <c r="S3103" s="213"/>
      <c r="T3103" s="213"/>
      <c r="U3103" s="213"/>
      <c r="V3103" s="213"/>
      <c r="W3103" s="213"/>
      <c r="X3103" s="213"/>
      <c r="Y3103" s="213"/>
      <c r="Z3103" s="213"/>
      <c r="AA3103" s="213"/>
      <c r="AB3103" s="213"/>
      <c r="AC3103" s="213"/>
      <c r="AD3103" s="213"/>
      <c r="AE3103" s="213"/>
      <c r="AF3103" s="213"/>
      <c r="AG3103" s="213"/>
      <c r="AH3103" s="213"/>
      <c r="AI3103" s="213"/>
      <c r="AJ3103" s="213"/>
      <c r="AK3103" s="213"/>
      <c r="AL3103" s="213"/>
      <c r="AM3103" s="213"/>
      <c r="AN3103" s="213"/>
      <c r="AO3103" s="213"/>
      <c r="AP3103" s="213"/>
      <c r="AQ3103" s="213"/>
      <c r="AR3103" s="213"/>
      <c r="AS3103" s="213"/>
      <c r="AT3103" s="213"/>
      <c r="AU3103" s="213"/>
      <c r="AV3103" s="213"/>
      <c r="AW3103" s="213"/>
      <c r="AX3103" s="213"/>
      <c r="AY3103" s="213"/>
      <c r="AZ3103" s="213"/>
      <c r="BA3103" s="213"/>
      <c r="BB3103" s="213"/>
      <c r="BC3103" s="213"/>
      <c r="BD3103" s="213"/>
    </row>
    <row r="3104">
      <c r="A3104" s="213"/>
      <c r="B3104" s="213"/>
      <c r="C3104" s="213"/>
      <c r="D3104" s="213"/>
      <c r="E3104" s="213"/>
      <c r="F3104" s="213"/>
      <c r="G3104" s="213"/>
      <c r="H3104" s="213"/>
      <c r="I3104" s="213"/>
      <c r="J3104" s="213"/>
      <c r="K3104" s="213"/>
      <c r="L3104" s="213"/>
      <c r="M3104" s="213"/>
      <c r="N3104" s="213"/>
      <c r="O3104" s="213"/>
      <c r="P3104" s="213"/>
      <c r="Q3104" s="213"/>
      <c r="R3104" s="213"/>
      <c r="S3104" s="213"/>
      <c r="T3104" s="213"/>
      <c r="U3104" s="213"/>
      <c r="V3104" s="213"/>
      <c r="W3104" s="213"/>
      <c r="X3104" s="213"/>
      <c r="Y3104" s="213"/>
      <c r="Z3104" s="213"/>
      <c r="AA3104" s="213"/>
      <c r="AB3104" s="213"/>
      <c r="AC3104" s="213"/>
      <c r="AD3104" s="213"/>
      <c r="AE3104" s="213"/>
      <c r="AF3104" s="213"/>
      <c r="AG3104" s="213"/>
      <c r="AH3104" s="213"/>
      <c r="AI3104" s="213"/>
      <c r="AJ3104" s="213"/>
      <c r="AK3104" s="213"/>
      <c r="AL3104" s="213"/>
      <c r="AM3104" s="213"/>
      <c r="AN3104" s="213"/>
      <c r="AO3104" s="213"/>
      <c r="AP3104" s="213"/>
      <c r="AQ3104" s="213"/>
      <c r="AR3104" s="213"/>
      <c r="AS3104" s="213"/>
      <c r="AT3104" s="213"/>
      <c r="AU3104" s="213"/>
      <c r="AV3104" s="213"/>
      <c r="AW3104" s="213"/>
      <c r="AX3104" s="213"/>
      <c r="AY3104" s="213"/>
      <c r="AZ3104" s="213"/>
      <c r="BA3104" s="213"/>
      <c r="BB3104" s="213"/>
      <c r="BC3104" s="213"/>
      <c r="BD3104" s="213"/>
    </row>
    <row r="3105">
      <c r="A3105" s="213"/>
      <c r="B3105" s="213"/>
      <c r="C3105" s="213"/>
      <c r="D3105" s="213"/>
      <c r="E3105" s="213"/>
      <c r="F3105" s="213"/>
      <c r="G3105" s="213"/>
      <c r="H3105" s="213"/>
      <c r="I3105" s="213"/>
      <c r="J3105" s="213"/>
      <c r="K3105" s="213"/>
      <c r="L3105" s="213"/>
      <c r="M3105" s="213"/>
      <c r="N3105" s="213"/>
      <c r="O3105" s="213"/>
      <c r="P3105" s="213"/>
      <c r="Q3105" s="213"/>
      <c r="R3105" s="213"/>
      <c r="S3105" s="213"/>
      <c r="T3105" s="213"/>
      <c r="U3105" s="213"/>
      <c r="V3105" s="213"/>
      <c r="W3105" s="213"/>
      <c r="X3105" s="213"/>
      <c r="Y3105" s="213"/>
      <c r="Z3105" s="213"/>
      <c r="AA3105" s="213"/>
      <c r="AB3105" s="213"/>
      <c r="AC3105" s="213"/>
      <c r="AD3105" s="213"/>
      <c r="AE3105" s="213"/>
      <c r="AF3105" s="213"/>
      <c r="AG3105" s="213"/>
      <c r="AH3105" s="213"/>
      <c r="AI3105" s="213"/>
      <c r="AJ3105" s="213"/>
      <c r="AK3105" s="213"/>
      <c r="AL3105" s="213"/>
      <c r="AM3105" s="213"/>
      <c r="AN3105" s="213"/>
      <c r="AO3105" s="213"/>
      <c r="AP3105" s="213"/>
      <c r="AQ3105" s="213"/>
      <c r="AR3105" s="213"/>
      <c r="AS3105" s="213"/>
      <c r="AT3105" s="213"/>
      <c r="AU3105" s="213"/>
      <c r="AV3105" s="213"/>
      <c r="AW3105" s="213"/>
      <c r="AX3105" s="213"/>
      <c r="AY3105" s="213"/>
      <c r="AZ3105" s="213"/>
      <c r="BA3105" s="213"/>
      <c r="BB3105" s="213"/>
      <c r="BC3105" s="213"/>
      <c r="BD3105" s="213"/>
    </row>
    <row r="3106">
      <c r="A3106" s="213"/>
      <c r="B3106" s="213"/>
      <c r="C3106" s="213"/>
      <c r="D3106" s="213"/>
      <c r="E3106" s="213"/>
      <c r="F3106" s="213"/>
      <c r="G3106" s="213"/>
      <c r="H3106" s="213"/>
      <c r="I3106" s="213"/>
      <c r="J3106" s="213"/>
      <c r="K3106" s="213"/>
      <c r="L3106" s="213"/>
      <c r="M3106" s="213"/>
      <c r="N3106" s="213"/>
      <c r="O3106" s="213"/>
      <c r="P3106" s="213"/>
      <c r="Q3106" s="213"/>
      <c r="R3106" s="213"/>
      <c r="S3106" s="213"/>
      <c r="T3106" s="213"/>
      <c r="U3106" s="213"/>
      <c r="V3106" s="213"/>
      <c r="W3106" s="213"/>
      <c r="X3106" s="213"/>
      <c r="Y3106" s="213"/>
      <c r="Z3106" s="213"/>
      <c r="AA3106" s="213"/>
      <c r="AB3106" s="213"/>
      <c r="AC3106" s="213"/>
      <c r="AD3106" s="213"/>
      <c r="AE3106" s="213"/>
      <c r="AF3106" s="213"/>
      <c r="AG3106" s="213"/>
      <c r="AH3106" s="213"/>
      <c r="AI3106" s="213"/>
      <c r="AJ3106" s="213"/>
      <c r="AK3106" s="213"/>
      <c r="AL3106" s="213"/>
      <c r="AM3106" s="213"/>
      <c r="AN3106" s="213"/>
      <c r="AO3106" s="213"/>
      <c r="AP3106" s="213"/>
      <c r="AQ3106" s="213"/>
      <c r="AR3106" s="213"/>
      <c r="AS3106" s="213"/>
      <c r="AT3106" s="213"/>
      <c r="AU3106" s="213"/>
      <c r="AV3106" s="213"/>
      <c r="AW3106" s="213"/>
      <c r="AX3106" s="213"/>
      <c r="AY3106" s="213"/>
      <c r="AZ3106" s="213"/>
      <c r="BA3106" s="213"/>
      <c r="BB3106" s="213"/>
      <c r="BC3106" s="213"/>
      <c r="BD3106" s="213"/>
    </row>
    <row r="3107">
      <c r="A3107" s="213"/>
      <c r="B3107" s="213"/>
      <c r="C3107" s="213"/>
      <c r="D3107" s="213"/>
      <c r="E3107" s="213"/>
      <c r="F3107" s="213"/>
      <c r="G3107" s="213"/>
      <c r="H3107" s="213"/>
      <c r="I3107" s="213"/>
      <c r="J3107" s="213"/>
      <c r="K3107" s="213"/>
      <c r="L3107" s="213"/>
      <c r="M3107" s="213"/>
      <c r="N3107" s="213"/>
      <c r="O3107" s="213"/>
      <c r="P3107" s="213"/>
      <c r="Q3107" s="213"/>
      <c r="R3107" s="213"/>
      <c r="S3107" s="213"/>
      <c r="T3107" s="213"/>
      <c r="U3107" s="213"/>
      <c r="V3107" s="213"/>
      <c r="W3107" s="213"/>
      <c r="X3107" s="213"/>
      <c r="Y3107" s="213"/>
      <c r="Z3107" s="213"/>
      <c r="AA3107" s="213"/>
      <c r="AB3107" s="213"/>
      <c r="AC3107" s="213"/>
      <c r="AD3107" s="213"/>
      <c r="AE3107" s="213"/>
      <c r="AF3107" s="213"/>
      <c r="AG3107" s="213"/>
      <c r="AH3107" s="213"/>
      <c r="AI3107" s="213"/>
      <c r="AJ3107" s="213"/>
      <c r="AK3107" s="213"/>
      <c r="AL3107" s="213"/>
      <c r="AM3107" s="213"/>
      <c r="AN3107" s="213"/>
      <c r="AO3107" s="213"/>
      <c r="AP3107" s="213"/>
      <c r="AQ3107" s="213"/>
      <c r="AR3107" s="213"/>
      <c r="AS3107" s="213"/>
      <c r="AT3107" s="213"/>
      <c r="AU3107" s="213"/>
      <c r="AV3107" s="213"/>
      <c r="AW3107" s="213"/>
      <c r="AX3107" s="213"/>
      <c r="AY3107" s="213"/>
      <c r="AZ3107" s="213"/>
      <c r="BA3107" s="213"/>
      <c r="BB3107" s="213"/>
      <c r="BC3107" s="213"/>
      <c r="BD3107" s="213"/>
    </row>
    <row r="3108">
      <c r="A3108" s="213"/>
      <c r="B3108" s="213"/>
      <c r="C3108" s="213"/>
      <c r="D3108" s="213"/>
      <c r="E3108" s="213"/>
      <c r="F3108" s="213"/>
      <c r="G3108" s="213"/>
      <c r="H3108" s="213"/>
      <c r="I3108" s="213"/>
      <c r="J3108" s="213"/>
      <c r="K3108" s="213"/>
      <c r="L3108" s="213"/>
      <c r="M3108" s="213"/>
      <c r="N3108" s="213"/>
      <c r="O3108" s="213"/>
      <c r="P3108" s="213"/>
      <c r="Q3108" s="213"/>
      <c r="R3108" s="213"/>
      <c r="S3108" s="213"/>
      <c r="T3108" s="213"/>
      <c r="U3108" s="213"/>
      <c r="V3108" s="213"/>
      <c r="W3108" s="213"/>
      <c r="X3108" s="213"/>
      <c r="Y3108" s="213"/>
      <c r="Z3108" s="213"/>
      <c r="AA3108" s="213"/>
      <c r="AB3108" s="213"/>
      <c r="AC3108" s="213"/>
      <c r="AD3108" s="213"/>
      <c r="AE3108" s="213"/>
      <c r="AF3108" s="213"/>
      <c r="AG3108" s="213"/>
      <c r="AH3108" s="213"/>
      <c r="AI3108" s="213"/>
      <c r="AJ3108" s="213"/>
      <c r="AK3108" s="213"/>
      <c r="AL3108" s="213"/>
      <c r="AM3108" s="213"/>
      <c r="AN3108" s="213"/>
      <c r="AO3108" s="213"/>
      <c r="AP3108" s="213"/>
      <c r="AQ3108" s="213"/>
      <c r="AR3108" s="213"/>
      <c r="AS3108" s="213"/>
      <c r="AT3108" s="213"/>
      <c r="AU3108" s="213"/>
      <c r="AV3108" s="213"/>
      <c r="AW3108" s="213"/>
      <c r="AX3108" s="213"/>
      <c r="AY3108" s="213"/>
      <c r="AZ3108" s="213"/>
      <c r="BA3108" s="213"/>
      <c r="BB3108" s="213"/>
      <c r="BC3108" s="213"/>
      <c r="BD3108" s="213"/>
    </row>
    <row r="3109">
      <c r="A3109" s="213"/>
      <c r="B3109" s="213"/>
      <c r="C3109" s="213"/>
      <c r="D3109" s="213"/>
      <c r="E3109" s="213"/>
      <c r="F3109" s="213"/>
      <c r="G3109" s="213"/>
      <c r="H3109" s="213"/>
      <c r="I3109" s="213"/>
      <c r="J3109" s="213"/>
      <c r="K3109" s="213"/>
      <c r="L3109" s="213"/>
      <c r="M3109" s="213"/>
      <c r="N3109" s="213"/>
      <c r="O3109" s="213"/>
      <c r="P3109" s="213"/>
      <c r="Q3109" s="213"/>
      <c r="R3109" s="213"/>
      <c r="S3109" s="213"/>
      <c r="T3109" s="213"/>
      <c r="U3109" s="213"/>
      <c r="V3109" s="213"/>
      <c r="W3109" s="213"/>
      <c r="X3109" s="213"/>
      <c r="Y3109" s="213"/>
      <c r="Z3109" s="213"/>
      <c r="AA3109" s="213"/>
      <c r="AB3109" s="213"/>
      <c r="AC3109" s="213"/>
      <c r="AD3109" s="213"/>
      <c r="AE3109" s="213"/>
      <c r="AF3109" s="213"/>
      <c r="AG3109" s="213"/>
      <c r="AH3109" s="213"/>
      <c r="AI3109" s="213"/>
      <c r="AJ3109" s="213"/>
      <c r="AK3109" s="213"/>
      <c r="AL3109" s="213"/>
      <c r="AM3109" s="213"/>
      <c r="AN3109" s="213"/>
      <c r="AO3109" s="213"/>
      <c r="AP3109" s="213"/>
      <c r="AQ3109" s="213"/>
      <c r="AR3109" s="213"/>
      <c r="AS3109" s="213"/>
      <c r="AT3109" s="213"/>
      <c r="AU3109" s="213"/>
      <c r="AV3109" s="213"/>
      <c r="AW3109" s="213"/>
      <c r="AX3109" s="213"/>
      <c r="AY3109" s="213"/>
      <c r="AZ3109" s="213"/>
      <c r="BA3109" s="213"/>
      <c r="BB3109" s="213"/>
      <c r="BC3109" s="213"/>
      <c r="BD3109" s="213"/>
    </row>
    <row r="3110">
      <c r="A3110" s="213"/>
      <c r="B3110" s="213"/>
      <c r="C3110" s="213"/>
      <c r="D3110" s="213"/>
      <c r="E3110" s="213"/>
      <c r="F3110" s="213"/>
      <c r="G3110" s="213"/>
      <c r="H3110" s="213"/>
      <c r="I3110" s="213"/>
      <c r="J3110" s="213"/>
      <c r="K3110" s="213"/>
      <c r="L3110" s="213"/>
      <c r="M3110" s="213"/>
      <c r="N3110" s="213"/>
      <c r="O3110" s="213"/>
      <c r="P3110" s="213"/>
      <c r="Q3110" s="213"/>
      <c r="R3110" s="213"/>
      <c r="S3110" s="213"/>
      <c r="T3110" s="213"/>
      <c r="U3110" s="213"/>
      <c r="V3110" s="213"/>
      <c r="W3110" s="213"/>
      <c r="X3110" s="213"/>
      <c r="Y3110" s="213"/>
      <c r="Z3110" s="213"/>
      <c r="AA3110" s="213"/>
      <c r="AB3110" s="213"/>
      <c r="AC3110" s="213"/>
      <c r="AD3110" s="213"/>
      <c r="AE3110" s="213"/>
      <c r="AF3110" s="213"/>
      <c r="AG3110" s="213"/>
      <c r="AH3110" s="213"/>
      <c r="AI3110" s="213"/>
      <c r="AJ3110" s="213"/>
      <c r="AK3110" s="213"/>
      <c r="AL3110" s="213"/>
      <c r="AM3110" s="213"/>
      <c r="AN3110" s="213"/>
      <c r="AO3110" s="213"/>
      <c r="AP3110" s="213"/>
      <c r="AQ3110" s="213"/>
      <c r="AR3110" s="213"/>
      <c r="AS3110" s="213"/>
      <c r="AT3110" s="213"/>
      <c r="AU3110" s="213"/>
      <c r="AV3110" s="213"/>
      <c r="AW3110" s="213"/>
      <c r="AX3110" s="213"/>
      <c r="AY3110" s="213"/>
      <c r="AZ3110" s="213"/>
      <c r="BA3110" s="213"/>
      <c r="BB3110" s="213"/>
      <c r="BC3110" s="213"/>
      <c r="BD3110" s="213"/>
    </row>
    <row r="3111">
      <c r="A3111" s="213"/>
      <c r="B3111" s="213"/>
      <c r="C3111" s="213"/>
      <c r="D3111" s="213"/>
      <c r="E3111" s="213"/>
      <c r="F3111" s="213"/>
      <c r="G3111" s="213"/>
      <c r="H3111" s="213"/>
      <c r="I3111" s="213"/>
      <c r="J3111" s="213"/>
      <c r="K3111" s="213"/>
      <c r="L3111" s="213"/>
      <c r="M3111" s="213"/>
      <c r="N3111" s="213"/>
      <c r="O3111" s="213"/>
      <c r="P3111" s="213"/>
      <c r="Q3111" s="213"/>
      <c r="R3111" s="213"/>
      <c r="S3111" s="213"/>
      <c r="T3111" s="213"/>
      <c r="U3111" s="213"/>
      <c r="V3111" s="213"/>
      <c r="W3111" s="213"/>
      <c r="X3111" s="213"/>
      <c r="Y3111" s="213"/>
      <c r="Z3111" s="213"/>
      <c r="AA3111" s="213"/>
      <c r="AB3111" s="213"/>
      <c r="AC3111" s="213"/>
      <c r="AD3111" s="213"/>
      <c r="AE3111" s="213"/>
      <c r="AF3111" s="213"/>
      <c r="AG3111" s="213"/>
      <c r="AH3111" s="213"/>
      <c r="AI3111" s="213"/>
      <c r="AJ3111" s="213"/>
      <c r="AK3111" s="213"/>
      <c r="AL3111" s="213"/>
      <c r="AM3111" s="213"/>
      <c r="AN3111" s="213"/>
      <c r="AO3111" s="213"/>
      <c r="AP3111" s="213"/>
      <c r="AQ3111" s="213"/>
      <c r="AR3111" s="213"/>
      <c r="AS3111" s="213"/>
      <c r="AT3111" s="213"/>
      <c r="AU3111" s="213"/>
      <c r="AV3111" s="213"/>
      <c r="AW3111" s="213"/>
      <c r="AX3111" s="213"/>
      <c r="AY3111" s="213"/>
      <c r="AZ3111" s="213"/>
      <c r="BA3111" s="213"/>
      <c r="BB3111" s="213"/>
      <c r="BC3111" s="213"/>
      <c r="BD3111" s="213"/>
    </row>
    <row r="3112">
      <c r="A3112" s="213"/>
      <c r="B3112" s="213"/>
      <c r="C3112" s="213"/>
      <c r="D3112" s="213"/>
      <c r="E3112" s="213"/>
      <c r="F3112" s="213"/>
      <c r="G3112" s="213"/>
      <c r="H3112" s="213"/>
      <c r="I3112" s="213"/>
      <c r="J3112" s="213"/>
      <c r="K3112" s="213"/>
      <c r="L3112" s="213"/>
      <c r="M3112" s="213"/>
      <c r="N3112" s="213"/>
      <c r="O3112" s="213"/>
      <c r="P3112" s="213"/>
      <c r="Q3112" s="213"/>
      <c r="R3112" s="213"/>
      <c r="S3112" s="213"/>
      <c r="T3112" s="213"/>
      <c r="U3112" s="213"/>
      <c r="V3112" s="213"/>
      <c r="W3112" s="213"/>
      <c r="X3112" s="213"/>
      <c r="Y3112" s="213"/>
      <c r="Z3112" s="213"/>
      <c r="AA3112" s="213"/>
      <c r="AB3112" s="213"/>
      <c r="AC3112" s="213"/>
      <c r="AD3112" s="213"/>
      <c r="AE3112" s="213"/>
      <c r="AF3112" s="213"/>
      <c r="AG3112" s="213"/>
      <c r="AH3112" s="213"/>
      <c r="AI3112" s="213"/>
      <c r="AJ3112" s="213"/>
      <c r="AK3112" s="213"/>
      <c r="AL3112" s="213"/>
      <c r="AM3112" s="213"/>
      <c r="AN3112" s="213"/>
      <c r="AO3112" s="213"/>
      <c r="AP3112" s="213"/>
      <c r="AQ3112" s="213"/>
      <c r="AR3112" s="213"/>
      <c r="AS3112" s="213"/>
      <c r="AT3112" s="213"/>
      <c r="AU3112" s="213"/>
      <c r="AV3112" s="213"/>
      <c r="AW3112" s="213"/>
      <c r="AX3112" s="213"/>
      <c r="AY3112" s="213"/>
      <c r="AZ3112" s="213"/>
      <c r="BA3112" s="213"/>
      <c r="BB3112" s="213"/>
      <c r="BC3112" s="213"/>
      <c r="BD3112" s="213"/>
    </row>
    <row r="3113">
      <c r="A3113" s="213"/>
      <c r="B3113" s="213"/>
      <c r="C3113" s="213"/>
      <c r="D3113" s="213"/>
      <c r="E3113" s="213"/>
      <c r="F3113" s="213"/>
      <c r="G3113" s="213"/>
      <c r="H3113" s="213"/>
      <c r="I3113" s="213"/>
      <c r="J3113" s="213"/>
      <c r="K3113" s="213"/>
      <c r="L3113" s="213"/>
      <c r="M3113" s="213"/>
      <c r="N3113" s="213"/>
      <c r="O3113" s="213"/>
      <c r="P3113" s="213"/>
      <c r="Q3113" s="213"/>
      <c r="R3113" s="213"/>
      <c r="S3113" s="213"/>
      <c r="T3113" s="213"/>
      <c r="U3113" s="213"/>
      <c r="V3113" s="213"/>
      <c r="W3113" s="213"/>
      <c r="X3113" s="213"/>
      <c r="Y3113" s="213"/>
      <c r="Z3113" s="213"/>
      <c r="AA3113" s="213"/>
      <c r="AB3113" s="213"/>
      <c r="AC3113" s="213"/>
      <c r="AD3113" s="213"/>
      <c r="AE3113" s="213"/>
      <c r="AF3113" s="213"/>
      <c r="AG3113" s="213"/>
      <c r="AH3113" s="213"/>
      <c r="AI3113" s="213"/>
      <c r="AJ3113" s="213"/>
      <c r="AK3113" s="213"/>
      <c r="AL3113" s="213"/>
      <c r="AM3113" s="213"/>
      <c r="AN3113" s="213"/>
      <c r="AO3113" s="213"/>
      <c r="AP3113" s="213"/>
      <c r="AQ3113" s="213"/>
      <c r="AR3113" s="213"/>
      <c r="AS3113" s="213"/>
      <c r="AT3113" s="213"/>
      <c r="AU3113" s="213"/>
      <c r="AV3113" s="213"/>
      <c r="AW3113" s="213"/>
      <c r="AX3113" s="213"/>
      <c r="AY3113" s="213"/>
      <c r="AZ3113" s="213"/>
      <c r="BA3113" s="213"/>
      <c r="BB3113" s="213"/>
      <c r="BC3113" s="213"/>
      <c r="BD3113" s="213"/>
    </row>
    <row r="3114">
      <c r="A3114" s="213"/>
      <c r="B3114" s="213"/>
      <c r="C3114" s="213"/>
      <c r="D3114" s="213"/>
      <c r="E3114" s="213"/>
      <c r="F3114" s="213"/>
      <c r="G3114" s="213"/>
      <c r="H3114" s="213"/>
      <c r="I3114" s="213"/>
      <c r="J3114" s="213"/>
      <c r="K3114" s="213"/>
      <c r="L3114" s="213"/>
      <c r="M3114" s="213"/>
      <c r="N3114" s="213"/>
      <c r="O3114" s="213"/>
      <c r="P3114" s="213"/>
      <c r="Q3114" s="213"/>
      <c r="R3114" s="213"/>
      <c r="S3114" s="213"/>
      <c r="T3114" s="213"/>
      <c r="U3114" s="213"/>
      <c r="V3114" s="213"/>
      <c r="W3114" s="213"/>
      <c r="X3114" s="213"/>
      <c r="Y3114" s="213"/>
      <c r="Z3114" s="213"/>
      <c r="AA3114" s="213"/>
      <c r="AB3114" s="213"/>
      <c r="AC3114" s="213"/>
      <c r="AD3114" s="213"/>
      <c r="AE3114" s="213"/>
      <c r="AF3114" s="213"/>
      <c r="AG3114" s="213"/>
      <c r="AH3114" s="213"/>
      <c r="AI3114" s="213"/>
      <c r="AJ3114" s="213"/>
      <c r="AK3114" s="213"/>
      <c r="AL3114" s="213"/>
      <c r="AM3114" s="213"/>
      <c r="AN3114" s="213"/>
      <c r="AO3114" s="213"/>
      <c r="AP3114" s="213"/>
      <c r="AQ3114" s="213"/>
      <c r="AR3114" s="213"/>
      <c r="AS3114" s="213"/>
      <c r="AT3114" s="213"/>
      <c r="AU3114" s="213"/>
      <c r="AV3114" s="213"/>
      <c r="AW3114" s="213"/>
      <c r="AX3114" s="213"/>
      <c r="AY3114" s="213"/>
      <c r="AZ3114" s="213"/>
      <c r="BA3114" s="213"/>
      <c r="BB3114" s="213"/>
      <c r="BC3114" s="213"/>
      <c r="BD3114" s="213"/>
    </row>
    <row r="3115">
      <c r="A3115" s="213"/>
      <c r="B3115" s="213"/>
      <c r="C3115" s="213"/>
      <c r="D3115" s="213"/>
      <c r="E3115" s="213"/>
      <c r="F3115" s="213"/>
      <c r="G3115" s="213"/>
      <c r="H3115" s="213"/>
      <c r="I3115" s="213"/>
      <c r="J3115" s="213"/>
      <c r="K3115" s="213"/>
      <c r="L3115" s="213"/>
      <c r="M3115" s="213"/>
      <c r="N3115" s="213"/>
      <c r="O3115" s="213"/>
      <c r="P3115" s="213"/>
      <c r="Q3115" s="213"/>
      <c r="R3115" s="213"/>
      <c r="S3115" s="213"/>
      <c r="T3115" s="213"/>
      <c r="U3115" s="213"/>
      <c r="V3115" s="213"/>
      <c r="W3115" s="213"/>
      <c r="X3115" s="213"/>
      <c r="Y3115" s="213"/>
      <c r="Z3115" s="213"/>
      <c r="AA3115" s="213"/>
      <c r="AB3115" s="213"/>
      <c r="AC3115" s="213"/>
      <c r="AD3115" s="213"/>
      <c r="AE3115" s="213"/>
      <c r="AF3115" s="213"/>
      <c r="AG3115" s="213"/>
      <c r="AH3115" s="213"/>
      <c r="AI3115" s="213"/>
      <c r="AJ3115" s="213"/>
      <c r="AK3115" s="213"/>
      <c r="AL3115" s="213"/>
      <c r="AM3115" s="213"/>
      <c r="AN3115" s="213"/>
      <c r="AO3115" s="213"/>
      <c r="AP3115" s="213"/>
      <c r="AQ3115" s="213"/>
      <c r="AR3115" s="213"/>
      <c r="AS3115" s="213"/>
      <c r="AT3115" s="213"/>
      <c r="AU3115" s="213"/>
      <c r="AV3115" s="213"/>
      <c r="AW3115" s="213"/>
      <c r="AX3115" s="213"/>
      <c r="AY3115" s="213"/>
      <c r="AZ3115" s="213"/>
      <c r="BA3115" s="213"/>
      <c r="BB3115" s="213"/>
      <c r="BC3115" s="213"/>
      <c r="BD3115" s="213"/>
    </row>
    <row r="3116">
      <c r="A3116" s="213"/>
      <c r="B3116" s="213"/>
      <c r="C3116" s="213"/>
      <c r="D3116" s="213"/>
      <c r="E3116" s="213"/>
      <c r="F3116" s="213"/>
      <c r="G3116" s="213"/>
      <c r="H3116" s="213"/>
      <c r="I3116" s="213"/>
      <c r="J3116" s="213"/>
      <c r="K3116" s="213"/>
      <c r="L3116" s="213"/>
      <c r="M3116" s="213"/>
      <c r="N3116" s="213"/>
      <c r="O3116" s="213"/>
      <c r="P3116" s="213"/>
      <c r="Q3116" s="213"/>
      <c r="R3116" s="213"/>
      <c r="S3116" s="213"/>
      <c r="T3116" s="213"/>
      <c r="U3116" s="213"/>
      <c r="V3116" s="213"/>
      <c r="W3116" s="213"/>
      <c r="X3116" s="213"/>
      <c r="Y3116" s="213"/>
      <c r="Z3116" s="213"/>
      <c r="AA3116" s="213"/>
      <c r="AB3116" s="213"/>
      <c r="AC3116" s="213"/>
      <c r="AD3116" s="213"/>
      <c r="AE3116" s="213"/>
      <c r="AF3116" s="213"/>
      <c r="AG3116" s="213"/>
      <c r="AH3116" s="213"/>
      <c r="AI3116" s="213"/>
      <c r="AJ3116" s="213"/>
      <c r="AK3116" s="213"/>
      <c r="AL3116" s="213"/>
      <c r="AM3116" s="213"/>
      <c r="AN3116" s="213"/>
      <c r="AO3116" s="213"/>
      <c r="AP3116" s="213"/>
      <c r="AQ3116" s="213"/>
      <c r="AR3116" s="213"/>
      <c r="AS3116" s="213"/>
      <c r="AT3116" s="213"/>
      <c r="AU3116" s="213"/>
      <c r="AV3116" s="213"/>
      <c r="AW3116" s="213"/>
      <c r="AX3116" s="213"/>
      <c r="AY3116" s="213"/>
      <c r="AZ3116" s="213"/>
      <c r="BA3116" s="213"/>
      <c r="BB3116" s="213"/>
      <c r="BC3116" s="213"/>
      <c r="BD3116" s="213"/>
    </row>
    <row r="3117">
      <c r="A3117" s="213"/>
      <c r="B3117" s="213"/>
      <c r="C3117" s="213"/>
      <c r="D3117" s="213"/>
      <c r="E3117" s="213"/>
      <c r="F3117" s="213"/>
      <c r="G3117" s="213"/>
      <c r="H3117" s="213"/>
      <c r="I3117" s="213"/>
      <c r="J3117" s="213"/>
      <c r="K3117" s="213"/>
      <c r="L3117" s="213"/>
      <c r="M3117" s="213"/>
      <c r="N3117" s="213"/>
      <c r="O3117" s="213"/>
      <c r="P3117" s="213"/>
      <c r="Q3117" s="213"/>
      <c r="R3117" s="213"/>
      <c r="S3117" s="213"/>
      <c r="T3117" s="213"/>
      <c r="U3117" s="213"/>
      <c r="V3117" s="213"/>
      <c r="W3117" s="213"/>
      <c r="X3117" s="213"/>
      <c r="Y3117" s="213"/>
      <c r="Z3117" s="213"/>
      <c r="AA3117" s="213"/>
      <c r="AB3117" s="213"/>
      <c r="AC3117" s="213"/>
      <c r="AD3117" s="213"/>
      <c r="AE3117" s="213"/>
      <c r="AF3117" s="213"/>
      <c r="AG3117" s="213"/>
      <c r="AH3117" s="213"/>
      <c r="AI3117" s="213"/>
      <c r="AJ3117" s="213"/>
      <c r="AK3117" s="213"/>
      <c r="AL3117" s="213"/>
      <c r="AM3117" s="213"/>
      <c r="AN3117" s="213"/>
      <c r="AO3117" s="213"/>
      <c r="AP3117" s="213"/>
      <c r="AQ3117" s="213"/>
      <c r="AR3117" s="213"/>
      <c r="AS3117" s="213"/>
      <c r="AT3117" s="213"/>
      <c r="AU3117" s="213"/>
      <c r="AV3117" s="213"/>
      <c r="AW3117" s="213"/>
      <c r="AX3117" s="213"/>
      <c r="AY3117" s="213"/>
      <c r="AZ3117" s="213"/>
      <c r="BA3117" s="213"/>
      <c r="BB3117" s="213"/>
      <c r="BC3117" s="213"/>
      <c r="BD3117" s="213"/>
    </row>
    <row r="3118">
      <c r="A3118" s="213"/>
      <c r="B3118" s="213"/>
      <c r="C3118" s="213"/>
      <c r="D3118" s="213"/>
      <c r="E3118" s="213"/>
      <c r="F3118" s="213"/>
      <c r="G3118" s="213"/>
      <c r="H3118" s="213"/>
      <c r="I3118" s="213"/>
      <c r="J3118" s="213"/>
      <c r="K3118" s="213"/>
      <c r="L3118" s="213"/>
      <c r="M3118" s="213"/>
      <c r="N3118" s="213"/>
      <c r="O3118" s="213"/>
      <c r="P3118" s="213"/>
      <c r="Q3118" s="213"/>
      <c r="R3118" s="213"/>
      <c r="S3118" s="213"/>
      <c r="T3118" s="213"/>
      <c r="U3118" s="213"/>
      <c r="V3118" s="213"/>
      <c r="W3118" s="213"/>
      <c r="X3118" s="213"/>
      <c r="Y3118" s="213"/>
      <c r="Z3118" s="213"/>
      <c r="AA3118" s="213"/>
      <c r="AB3118" s="213"/>
      <c r="AC3118" s="213"/>
      <c r="AD3118" s="213"/>
      <c r="AE3118" s="213"/>
      <c r="AF3118" s="213"/>
      <c r="AG3118" s="213"/>
      <c r="AH3118" s="213"/>
      <c r="AI3118" s="213"/>
      <c r="AJ3118" s="213"/>
      <c r="AK3118" s="213"/>
      <c r="AL3118" s="213"/>
      <c r="AM3118" s="213"/>
      <c r="AN3118" s="213"/>
      <c r="AO3118" s="213"/>
      <c r="AP3118" s="213"/>
      <c r="AQ3118" s="213"/>
      <c r="AR3118" s="213"/>
      <c r="AS3118" s="213"/>
      <c r="AT3118" s="213"/>
      <c r="AU3118" s="213"/>
      <c r="AV3118" s="213"/>
      <c r="AW3118" s="213"/>
      <c r="AX3118" s="213"/>
      <c r="AY3118" s="213"/>
      <c r="AZ3118" s="213"/>
      <c r="BA3118" s="213"/>
      <c r="BB3118" s="213"/>
      <c r="BC3118" s="213"/>
      <c r="BD3118" s="213"/>
    </row>
    <row r="3119">
      <c r="A3119" s="213"/>
      <c r="B3119" s="213"/>
      <c r="C3119" s="213"/>
      <c r="D3119" s="213"/>
      <c r="E3119" s="213"/>
      <c r="F3119" s="213"/>
      <c r="G3119" s="213"/>
      <c r="H3119" s="213"/>
      <c r="I3119" s="213"/>
      <c r="J3119" s="213"/>
      <c r="K3119" s="213"/>
      <c r="L3119" s="213"/>
      <c r="M3119" s="213"/>
      <c r="N3119" s="213"/>
      <c r="O3119" s="213"/>
      <c r="P3119" s="213"/>
      <c r="Q3119" s="213"/>
      <c r="R3119" s="213"/>
      <c r="S3119" s="213"/>
      <c r="T3119" s="213"/>
      <c r="U3119" s="213"/>
      <c r="V3119" s="213"/>
      <c r="W3119" s="213"/>
      <c r="X3119" s="213"/>
      <c r="Y3119" s="213"/>
      <c r="Z3119" s="213"/>
      <c r="AA3119" s="213"/>
      <c r="AB3119" s="213"/>
      <c r="AC3119" s="213"/>
      <c r="AD3119" s="213"/>
      <c r="AE3119" s="213"/>
      <c r="AF3119" s="213"/>
      <c r="AG3119" s="213"/>
      <c r="AH3119" s="213"/>
      <c r="AI3119" s="213"/>
      <c r="AJ3119" s="213"/>
      <c r="AK3119" s="213"/>
      <c r="AL3119" s="213"/>
      <c r="AM3119" s="213"/>
      <c r="AN3119" s="213"/>
      <c r="AO3119" s="213"/>
      <c r="AP3119" s="213"/>
      <c r="AQ3119" s="213"/>
      <c r="AR3119" s="213"/>
      <c r="AS3119" s="213"/>
      <c r="AT3119" s="213"/>
      <c r="AU3119" s="213"/>
      <c r="AV3119" s="213"/>
      <c r="AW3119" s="213"/>
      <c r="AX3119" s="213"/>
      <c r="AY3119" s="213"/>
      <c r="AZ3119" s="213"/>
      <c r="BA3119" s="213"/>
      <c r="BB3119" s="213"/>
      <c r="BC3119" s="213"/>
      <c r="BD3119" s="213"/>
    </row>
    <row r="3120">
      <c r="A3120" s="213"/>
      <c r="B3120" s="213"/>
      <c r="C3120" s="213"/>
      <c r="D3120" s="213"/>
      <c r="E3120" s="213"/>
      <c r="F3120" s="213"/>
      <c r="G3120" s="213"/>
      <c r="H3120" s="213"/>
      <c r="I3120" s="213"/>
      <c r="J3120" s="213"/>
      <c r="K3120" s="213"/>
      <c r="L3120" s="213"/>
      <c r="M3120" s="213"/>
      <c r="N3120" s="213"/>
      <c r="O3120" s="213"/>
      <c r="P3120" s="213"/>
      <c r="Q3120" s="213"/>
      <c r="R3120" s="213"/>
      <c r="S3120" s="213"/>
      <c r="T3120" s="213"/>
      <c r="U3120" s="213"/>
      <c r="V3120" s="213"/>
      <c r="W3120" s="213"/>
      <c r="X3120" s="213"/>
      <c r="Y3120" s="213"/>
      <c r="Z3120" s="213"/>
      <c r="AA3120" s="213"/>
      <c r="AB3120" s="213"/>
      <c r="AC3120" s="213"/>
      <c r="AD3120" s="213"/>
      <c r="AE3120" s="213"/>
      <c r="AF3120" s="213"/>
      <c r="AG3120" s="213"/>
      <c r="AH3120" s="213"/>
      <c r="AI3120" s="213"/>
      <c r="AJ3120" s="213"/>
      <c r="AK3120" s="213"/>
      <c r="AL3120" s="213"/>
      <c r="AM3120" s="213"/>
      <c r="AN3120" s="213"/>
      <c r="AO3120" s="213"/>
      <c r="AP3120" s="213"/>
      <c r="AQ3120" s="213"/>
      <c r="AR3120" s="213"/>
      <c r="AS3120" s="213"/>
      <c r="AT3120" s="213"/>
      <c r="AU3120" s="213"/>
      <c r="AV3120" s="213"/>
      <c r="AW3120" s="213"/>
      <c r="AX3120" s="213"/>
      <c r="AY3120" s="213"/>
      <c r="AZ3120" s="213"/>
      <c r="BA3120" s="213"/>
      <c r="BB3120" s="213"/>
      <c r="BC3120" s="213"/>
      <c r="BD3120" s="213"/>
    </row>
    <row r="3121">
      <c r="A3121" s="213"/>
      <c r="B3121" s="213"/>
      <c r="C3121" s="213"/>
      <c r="D3121" s="213"/>
      <c r="E3121" s="213"/>
      <c r="F3121" s="213"/>
      <c r="G3121" s="213"/>
      <c r="H3121" s="213"/>
      <c r="I3121" s="213"/>
      <c r="J3121" s="213"/>
      <c r="K3121" s="213"/>
      <c r="L3121" s="213"/>
      <c r="M3121" s="213"/>
      <c r="N3121" s="213"/>
      <c r="O3121" s="213"/>
      <c r="P3121" s="213"/>
      <c r="Q3121" s="213"/>
      <c r="R3121" s="213"/>
      <c r="S3121" s="213"/>
      <c r="T3121" s="213"/>
      <c r="U3121" s="213"/>
      <c r="V3121" s="213"/>
      <c r="W3121" s="213"/>
      <c r="X3121" s="213"/>
      <c r="Y3121" s="213"/>
      <c r="Z3121" s="213"/>
      <c r="AA3121" s="213"/>
      <c r="AB3121" s="213"/>
      <c r="AC3121" s="213"/>
      <c r="AD3121" s="213"/>
      <c r="AE3121" s="213"/>
      <c r="AF3121" s="213"/>
      <c r="AG3121" s="213"/>
      <c r="AH3121" s="213"/>
      <c r="AI3121" s="213"/>
      <c r="AJ3121" s="213"/>
      <c r="AK3121" s="213"/>
      <c r="AL3121" s="213"/>
      <c r="AM3121" s="213"/>
      <c r="AN3121" s="213"/>
      <c r="AO3121" s="213"/>
      <c r="AP3121" s="213"/>
      <c r="AQ3121" s="213"/>
      <c r="AR3121" s="213"/>
      <c r="AS3121" s="213"/>
      <c r="AT3121" s="213"/>
      <c r="AU3121" s="213"/>
      <c r="AV3121" s="213"/>
      <c r="AW3121" s="213"/>
      <c r="AX3121" s="213"/>
      <c r="AY3121" s="213"/>
      <c r="AZ3121" s="213"/>
      <c r="BA3121" s="213"/>
      <c r="BB3121" s="213"/>
      <c r="BC3121" s="213"/>
      <c r="BD3121" s="213"/>
    </row>
    <row r="3122">
      <c r="A3122" s="213"/>
      <c r="B3122" s="213"/>
      <c r="C3122" s="213"/>
      <c r="D3122" s="213"/>
      <c r="E3122" s="213"/>
      <c r="F3122" s="213"/>
      <c r="G3122" s="213"/>
      <c r="H3122" s="213"/>
      <c r="I3122" s="213"/>
      <c r="J3122" s="213"/>
      <c r="K3122" s="213"/>
      <c r="L3122" s="213"/>
      <c r="M3122" s="213"/>
      <c r="N3122" s="213"/>
      <c r="O3122" s="213"/>
      <c r="P3122" s="213"/>
      <c r="Q3122" s="213"/>
      <c r="R3122" s="213"/>
      <c r="S3122" s="213"/>
      <c r="T3122" s="213"/>
      <c r="U3122" s="213"/>
      <c r="V3122" s="213"/>
      <c r="W3122" s="213"/>
      <c r="X3122" s="213"/>
      <c r="Y3122" s="213"/>
      <c r="Z3122" s="213"/>
      <c r="AA3122" s="213"/>
      <c r="AB3122" s="213"/>
      <c r="AC3122" s="213"/>
      <c r="AD3122" s="213"/>
      <c r="AE3122" s="213"/>
      <c r="AF3122" s="213"/>
      <c r="AG3122" s="213"/>
      <c r="AH3122" s="213"/>
      <c r="AI3122" s="213"/>
      <c r="AJ3122" s="213"/>
      <c r="AK3122" s="213"/>
      <c r="AL3122" s="213"/>
      <c r="AM3122" s="213"/>
      <c r="AN3122" s="213"/>
      <c r="AO3122" s="213"/>
      <c r="AP3122" s="213"/>
      <c r="AQ3122" s="213"/>
      <c r="AR3122" s="213"/>
      <c r="AS3122" s="213"/>
      <c r="AT3122" s="213"/>
      <c r="AU3122" s="213"/>
      <c r="AV3122" s="213"/>
      <c r="AW3122" s="213"/>
      <c r="AX3122" s="213"/>
      <c r="AY3122" s="213"/>
      <c r="AZ3122" s="213"/>
      <c r="BA3122" s="213"/>
      <c r="BB3122" s="213"/>
      <c r="BC3122" s="213"/>
      <c r="BD3122" s="213"/>
    </row>
    <row r="3123">
      <c r="A3123" s="213"/>
      <c r="B3123" s="213"/>
      <c r="C3123" s="213"/>
      <c r="D3123" s="213"/>
      <c r="E3123" s="213"/>
      <c r="F3123" s="213"/>
      <c r="G3123" s="213"/>
      <c r="H3123" s="213"/>
      <c r="I3123" s="213"/>
      <c r="J3123" s="213"/>
      <c r="K3123" s="213"/>
      <c r="L3123" s="213"/>
      <c r="M3123" s="213"/>
      <c r="N3123" s="213"/>
      <c r="O3123" s="213"/>
      <c r="P3123" s="213"/>
      <c r="Q3123" s="213"/>
      <c r="R3123" s="213"/>
      <c r="S3123" s="213"/>
      <c r="T3123" s="213"/>
      <c r="U3123" s="213"/>
      <c r="V3123" s="213"/>
      <c r="W3123" s="213"/>
      <c r="X3123" s="213"/>
      <c r="Y3123" s="213"/>
      <c r="Z3123" s="213"/>
      <c r="AA3123" s="213"/>
      <c r="AB3123" s="213"/>
      <c r="AC3123" s="213"/>
      <c r="AD3123" s="213"/>
      <c r="AE3123" s="213"/>
      <c r="AF3123" s="213"/>
      <c r="AG3123" s="213"/>
      <c r="AH3123" s="213"/>
      <c r="AI3123" s="213"/>
      <c r="AJ3123" s="213"/>
      <c r="AK3123" s="213"/>
      <c r="AL3123" s="213"/>
      <c r="AM3123" s="213"/>
      <c r="AN3123" s="213"/>
      <c r="AO3123" s="213"/>
      <c r="AP3123" s="213"/>
      <c r="AQ3123" s="213"/>
      <c r="AR3123" s="213"/>
      <c r="AS3123" s="213"/>
      <c r="AT3123" s="213"/>
      <c r="AU3123" s="213"/>
      <c r="AV3123" s="213"/>
      <c r="AW3123" s="213"/>
      <c r="AX3123" s="213"/>
      <c r="AY3123" s="213"/>
      <c r="AZ3123" s="213"/>
      <c r="BA3123" s="213"/>
      <c r="BB3123" s="213"/>
      <c r="BC3123" s="213"/>
      <c r="BD3123" s="213"/>
    </row>
    <row r="3124">
      <c r="A3124" s="213"/>
      <c r="B3124" s="213"/>
      <c r="C3124" s="213"/>
      <c r="D3124" s="213"/>
      <c r="E3124" s="213"/>
      <c r="F3124" s="213"/>
      <c r="G3124" s="213"/>
      <c r="H3124" s="213"/>
      <c r="I3124" s="213"/>
      <c r="J3124" s="213"/>
      <c r="K3124" s="213"/>
      <c r="L3124" s="213"/>
      <c r="M3124" s="213"/>
      <c r="N3124" s="213"/>
      <c r="O3124" s="213"/>
      <c r="P3124" s="213"/>
      <c r="Q3124" s="213"/>
      <c r="R3124" s="213"/>
      <c r="S3124" s="213"/>
      <c r="T3124" s="213"/>
      <c r="U3124" s="213"/>
      <c r="V3124" s="213"/>
      <c r="W3124" s="213"/>
      <c r="X3124" s="213"/>
      <c r="Y3124" s="213"/>
      <c r="Z3124" s="213"/>
      <c r="AA3124" s="213"/>
      <c r="AB3124" s="213"/>
      <c r="AC3124" s="213"/>
      <c r="AD3124" s="213"/>
      <c r="AE3124" s="213"/>
      <c r="AF3124" s="213"/>
      <c r="AG3124" s="213"/>
      <c r="AH3124" s="213"/>
      <c r="AI3124" s="213"/>
      <c r="AJ3124" s="213"/>
      <c r="AK3124" s="213"/>
      <c r="AL3124" s="213"/>
      <c r="AM3124" s="213"/>
      <c r="AN3124" s="213"/>
      <c r="AO3124" s="213"/>
      <c r="AP3124" s="213"/>
      <c r="AQ3124" s="213"/>
      <c r="AR3124" s="213"/>
      <c r="AS3124" s="213"/>
      <c r="AT3124" s="213"/>
      <c r="AU3124" s="213"/>
      <c r="AV3124" s="213"/>
      <c r="AW3124" s="213"/>
      <c r="AX3124" s="213"/>
      <c r="AY3124" s="213"/>
      <c r="AZ3124" s="213"/>
      <c r="BA3124" s="213"/>
      <c r="BB3124" s="213"/>
      <c r="BC3124" s="213"/>
      <c r="BD3124" s="213"/>
    </row>
    <row r="3125">
      <c r="A3125" s="213"/>
      <c r="B3125" s="213"/>
      <c r="C3125" s="213"/>
      <c r="D3125" s="213"/>
      <c r="E3125" s="213"/>
      <c r="F3125" s="213"/>
      <c r="G3125" s="213"/>
      <c r="H3125" s="213"/>
      <c r="I3125" s="213"/>
      <c r="J3125" s="213"/>
      <c r="K3125" s="213"/>
      <c r="L3125" s="213"/>
      <c r="M3125" s="213"/>
      <c r="N3125" s="213"/>
      <c r="O3125" s="213"/>
      <c r="P3125" s="213"/>
      <c r="Q3125" s="213"/>
      <c r="R3125" s="213"/>
      <c r="S3125" s="213"/>
      <c r="T3125" s="213"/>
      <c r="U3125" s="213"/>
      <c r="V3125" s="213"/>
      <c r="W3125" s="213"/>
      <c r="X3125" s="213"/>
      <c r="Y3125" s="213"/>
      <c r="Z3125" s="213"/>
      <c r="AA3125" s="213"/>
      <c r="AB3125" s="213"/>
      <c r="AC3125" s="213"/>
      <c r="AD3125" s="213"/>
      <c r="AE3125" s="213"/>
      <c r="AF3125" s="213"/>
      <c r="AG3125" s="213"/>
      <c r="AH3125" s="213"/>
      <c r="AI3125" s="213"/>
      <c r="AJ3125" s="213"/>
      <c r="AK3125" s="213"/>
      <c r="AL3125" s="213"/>
      <c r="AM3125" s="213"/>
      <c r="AN3125" s="213"/>
      <c r="AO3125" s="213"/>
      <c r="AP3125" s="213"/>
      <c r="AQ3125" s="213"/>
      <c r="AR3125" s="213"/>
      <c r="AS3125" s="213"/>
      <c r="AT3125" s="213"/>
      <c r="AU3125" s="213"/>
      <c r="AV3125" s="213"/>
      <c r="AW3125" s="213"/>
      <c r="AX3125" s="213"/>
      <c r="AY3125" s="213"/>
      <c r="AZ3125" s="213"/>
      <c r="BA3125" s="213"/>
      <c r="BB3125" s="213"/>
      <c r="BC3125" s="213"/>
      <c r="BD3125" s="213"/>
    </row>
    <row r="3126">
      <c r="A3126" s="213"/>
      <c r="B3126" s="213"/>
      <c r="C3126" s="213"/>
      <c r="D3126" s="213"/>
      <c r="E3126" s="213"/>
      <c r="F3126" s="213"/>
      <c r="G3126" s="213"/>
      <c r="H3126" s="213"/>
      <c r="I3126" s="213"/>
      <c r="J3126" s="213"/>
      <c r="K3126" s="213"/>
      <c r="L3126" s="213"/>
      <c r="M3126" s="213"/>
      <c r="N3126" s="213"/>
      <c r="O3126" s="213"/>
      <c r="P3126" s="213"/>
      <c r="Q3126" s="213"/>
      <c r="R3126" s="213"/>
      <c r="S3126" s="213"/>
      <c r="T3126" s="213"/>
      <c r="U3126" s="213"/>
      <c r="V3126" s="213"/>
      <c r="W3126" s="213"/>
      <c r="X3126" s="213"/>
      <c r="Y3126" s="213"/>
      <c r="Z3126" s="213"/>
      <c r="AA3126" s="213"/>
      <c r="AB3126" s="213"/>
      <c r="AC3126" s="213"/>
      <c r="AD3126" s="213"/>
      <c r="AE3126" s="213"/>
      <c r="AF3126" s="213"/>
      <c r="AG3126" s="213"/>
      <c r="AH3126" s="213"/>
      <c r="AI3126" s="213"/>
      <c r="AJ3126" s="213"/>
      <c r="AK3126" s="213"/>
      <c r="AL3126" s="213"/>
      <c r="AM3126" s="213"/>
      <c r="AN3126" s="213"/>
      <c r="AO3126" s="213"/>
      <c r="AP3126" s="213"/>
      <c r="AQ3126" s="213"/>
      <c r="AR3126" s="213"/>
      <c r="AS3126" s="213"/>
      <c r="AT3126" s="213"/>
      <c r="AU3126" s="213"/>
      <c r="AV3126" s="213"/>
      <c r="AW3126" s="213"/>
      <c r="AX3126" s="213"/>
      <c r="AY3126" s="213"/>
      <c r="AZ3126" s="213"/>
      <c r="BA3126" s="213"/>
      <c r="BB3126" s="213"/>
      <c r="BC3126" s="213"/>
      <c r="BD3126" s="213"/>
    </row>
    <row r="3127">
      <c r="A3127" s="213"/>
      <c r="B3127" s="213"/>
      <c r="C3127" s="213"/>
      <c r="D3127" s="213"/>
      <c r="E3127" s="213"/>
      <c r="F3127" s="213"/>
      <c r="G3127" s="213"/>
      <c r="H3127" s="213"/>
      <c r="I3127" s="213"/>
      <c r="J3127" s="213"/>
      <c r="K3127" s="213"/>
      <c r="L3127" s="213"/>
      <c r="M3127" s="213"/>
      <c r="N3127" s="213"/>
      <c r="O3127" s="213"/>
      <c r="P3127" s="213"/>
      <c r="Q3127" s="213"/>
      <c r="R3127" s="213"/>
      <c r="S3127" s="213"/>
      <c r="T3127" s="213"/>
      <c r="U3127" s="213"/>
      <c r="V3127" s="213"/>
      <c r="W3127" s="213"/>
      <c r="X3127" s="213"/>
      <c r="Y3127" s="213"/>
      <c r="Z3127" s="213"/>
      <c r="AA3127" s="213"/>
      <c r="AB3127" s="213"/>
      <c r="AC3127" s="213"/>
      <c r="AD3127" s="213"/>
      <c r="AE3127" s="213"/>
      <c r="AF3127" s="213"/>
      <c r="AG3127" s="213"/>
      <c r="AH3127" s="213"/>
      <c r="AI3127" s="213"/>
      <c r="AJ3127" s="213"/>
      <c r="AK3127" s="213"/>
      <c r="AL3127" s="213"/>
      <c r="AM3127" s="213"/>
      <c r="AN3127" s="213"/>
      <c r="AO3127" s="213"/>
      <c r="AP3127" s="213"/>
      <c r="AQ3127" s="213"/>
      <c r="AR3127" s="213"/>
      <c r="AS3127" s="213"/>
      <c r="AT3127" s="213"/>
      <c r="AU3127" s="213"/>
      <c r="AV3127" s="213"/>
      <c r="AW3127" s="213"/>
      <c r="AX3127" s="213"/>
      <c r="AY3127" s="213"/>
      <c r="AZ3127" s="213"/>
      <c r="BA3127" s="213"/>
      <c r="BB3127" s="213"/>
      <c r="BC3127" s="213"/>
      <c r="BD3127" s="213"/>
    </row>
    <row r="3128">
      <c r="A3128" s="213"/>
      <c r="B3128" s="213"/>
      <c r="C3128" s="213"/>
      <c r="D3128" s="213"/>
      <c r="E3128" s="213"/>
      <c r="F3128" s="213"/>
      <c r="G3128" s="213"/>
      <c r="H3128" s="213"/>
      <c r="I3128" s="213"/>
      <c r="J3128" s="213"/>
      <c r="K3128" s="213"/>
      <c r="L3128" s="213"/>
      <c r="M3128" s="213"/>
      <c r="N3128" s="213"/>
      <c r="O3128" s="213"/>
      <c r="P3128" s="213"/>
      <c r="Q3128" s="213"/>
      <c r="R3128" s="213"/>
      <c r="S3128" s="213"/>
      <c r="T3128" s="213"/>
      <c r="U3128" s="213"/>
      <c r="V3128" s="213"/>
      <c r="W3128" s="213"/>
      <c r="X3128" s="213"/>
      <c r="Y3128" s="213"/>
      <c r="Z3128" s="213"/>
      <c r="AA3128" s="213"/>
      <c r="AB3128" s="213"/>
      <c r="AC3128" s="213"/>
      <c r="AD3128" s="213"/>
      <c r="AE3128" s="213"/>
      <c r="AF3128" s="213"/>
      <c r="AG3128" s="213"/>
      <c r="AH3128" s="213"/>
      <c r="AI3128" s="213"/>
      <c r="AJ3128" s="213"/>
      <c r="AK3128" s="213"/>
      <c r="AL3128" s="213"/>
      <c r="AM3128" s="213"/>
      <c r="AN3128" s="213"/>
      <c r="AO3128" s="213"/>
      <c r="AP3128" s="213"/>
      <c r="AQ3128" s="213"/>
      <c r="AR3128" s="213"/>
      <c r="AS3128" s="213"/>
      <c r="AT3128" s="213"/>
      <c r="AU3128" s="213"/>
      <c r="AV3128" s="213"/>
      <c r="AW3128" s="213"/>
      <c r="AX3128" s="213"/>
      <c r="AY3128" s="213"/>
      <c r="AZ3128" s="213"/>
      <c r="BA3128" s="213"/>
      <c r="BB3128" s="213"/>
      <c r="BC3128" s="213"/>
      <c r="BD3128" s="213"/>
    </row>
    <row r="3129">
      <c r="A3129" s="213"/>
      <c r="B3129" s="213"/>
      <c r="C3129" s="213"/>
      <c r="D3129" s="213"/>
      <c r="E3129" s="213"/>
      <c r="F3129" s="213"/>
      <c r="G3129" s="213"/>
      <c r="H3129" s="213"/>
      <c r="I3129" s="213"/>
      <c r="J3129" s="213"/>
      <c r="K3129" s="213"/>
      <c r="L3129" s="213"/>
      <c r="M3129" s="213"/>
      <c r="N3129" s="213"/>
      <c r="O3129" s="213"/>
      <c r="P3129" s="213"/>
      <c r="Q3129" s="213"/>
      <c r="R3129" s="213"/>
      <c r="S3129" s="213"/>
      <c r="T3129" s="213"/>
      <c r="U3129" s="213"/>
      <c r="V3129" s="213"/>
      <c r="W3129" s="213"/>
      <c r="X3129" s="213"/>
      <c r="Y3129" s="213"/>
      <c r="Z3129" s="213"/>
      <c r="AA3129" s="213"/>
      <c r="AB3129" s="213"/>
      <c r="AC3129" s="213"/>
      <c r="AD3129" s="213"/>
      <c r="AE3129" s="213"/>
      <c r="AF3129" s="213"/>
      <c r="AG3129" s="213"/>
      <c r="AH3129" s="213"/>
      <c r="AI3129" s="213"/>
      <c r="AJ3129" s="213"/>
      <c r="AK3129" s="213"/>
      <c r="AL3129" s="213"/>
      <c r="AM3129" s="213"/>
      <c r="AN3129" s="213"/>
      <c r="AO3129" s="213"/>
      <c r="AP3129" s="213"/>
      <c r="AQ3129" s="213"/>
      <c r="AR3129" s="213"/>
      <c r="AS3129" s="213"/>
      <c r="AT3129" s="213"/>
      <c r="AU3129" s="213"/>
      <c r="AV3129" s="213"/>
      <c r="AW3129" s="213"/>
      <c r="AX3129" s="213"/>
      <c r="AY3129" s="213"/>
      <c r="AZ3129" s="213"/>
      <c r="BA3129" s="213"/>
      <c r="BB3129" s="213"/>
      <c r="BC3129" s="213"/>
      <c r="BD3129" s="213"/>
    </row>
    <row r="3130">
      <c r="A3130" s="213"/>
      <c r="B3130" s="213"/>
      <c r="C3130" s="213"/>
      <c r="D3130" s="213"/>
      <c r="E3130" s="213"/>
      <c r="F3130" s="213"/>
      <c r="G3130" s="213"/>
      <c r="H3130" s="213"/>
      <c r="I3130" s="213"/>
      <c r="J3130" s="213"/>
      <c r="K3130" s="213"/>
      <c r="L3130" s="213"/>
      <c r="M3130" s="213"/>
      <c r="N3130" s="213"/>
      <c r="O3130" s="213"/>
      <c r="P3130" s="213"/>
      <c r="Q3130" s="213"/>
      <c r="R3130" s="213"/>
      <c r="S3130" s="213"/>
      <c r="T3130" s="213"/>
      <c r="U3130" s="213"/>
      <c r="V3130" s="213"/>
      <c r="W3130" s="213"/>
      <c r="X3130" s="213"/>
      <c r="Y3130" s="213"/>
      <c r="Z3130" s="213"/>
      <c r="AA3130" s="213"/>
      <c r="AB3130" s="213"/>
      <c r="AC3130" s="213"/>
      <c r="AD3130" s="213"/>
      <c r="AE3130" s="213"/>
      <c r="AF3130" s="213"/>
      <c r="AG3130" s="213"/>
      <c r="AH3130" s="213"/>
      <c r="AI3130" s="213"/>
      <c r="AJ3130" s="213"/>
      <c r="AK3130" s="213"/>
      <c r="AL3130" s="213"/>
      <c r="AM3130" s="213"/>
      <c r="AN3130" s="213"/>
      <c r="AO3130" s="213"/>
      <c r="AP3130" s="213"/>
      <c r="AQ3130" s="213"/>
      <c r="AR3130" s="213"/>
      <c r="AS3130" s="213"/>
      <c r="AT3130" s="213"/>
      <c r="AU3130" s="213"/>
      <c r="AV3130" s="213"/>
      <c r="AW3130" s="213"/>
      <c r="AX3130" s="213"/>
      <c r="AY3130" s="213"/>
      <c r="AZ3130" s="213"/>
      <c r="BA3130" s="213"/>
      <c r="BB3130" s="213"/>
      <c r="BC3130" s="213"/>
      <c r="BD3130" s="213"/>
    </row>
    <row r="3131">
      <c r="A3131" s="213"/>
      <c r="B3131" s="213"/>
      <c r="C3131" s="213"/>
      <c r="D3131" s="213"/>
      <c r="E3131" s="213"/>
      <c r="F3131" s="213"/>
      <c r="G3131" s="213"/>
      <c r="H3131" s="213"/>
      <c r="I3131" s="213"/>
      <c r="J3131" s="213"/>
      <c r="K3131" s="213"/>
      <c r="L3131" s="213"/>
      <c r="M3131" s="213"/>
      <c r="N3131" s="213"/>
      <c r="O3131" s="213"/>
      <c r="P3131" s="213"/>
      <c r="Q3131" s="213"/>
      <c r="R3131" s="213"/>
      <c r="S3131" s="213"/>
      <c r="T3131" s="213"/>
      <c r="U3131" s="213"/>
      <c r="V3131" s="213"/>
      <c r="W3131" s="213"/>
      <c r="X3131" s="213"/>
      <c r="Y3131" s="213"/>
      <c r="Z3131" s="213"/>
      <c r="AA3131" s="213"/>
      <c r="AB3131" s="213"/>
      <c r="AC3131" s="213"/>
      <c r="AD3131" s="213"/>
      <c r="AE3131" s="213"/>
      <c r="AF3131" s="213"/>
      <c r="AG3131" s="213"/>
      <c r="AH3131" s="213"/>
      <c r="AI3131" s="213"/>
      <c r="AJ3131" s="213"/>
      <c r="AK3131" s="213"/>
      <c r="AL3131" s="213"/>
      <c r="AM3131" s="213"/>
      <c r="AN3131" s="213"/>
      <c r="AO3131" s="213"/>
      <c r="AP3131" s="213"/>
      <c r="AQ3131" s="213"/>
      <c r="AR3131" s="213"/>
      <c r="AS3131" s="213"/>
      <c r="AT3131" s="213"/>
      <c r="AU3131" s="213"/>
      <c r="AV3131" s="213"/>
      <c r="AW3131" s="213"/>
      <c r="AX3131" s="213"/>
      <c r="AY3131" s="213"/>
      <c r="AZ3131" s="213"/>
      <c r="BA3131" s="213"/>
      <c r="BB3131" s="213"/>
      <c r="BC3131" s="213"/>
      <c r="BD3131" s="213"/>
    </row>
    <row r="3132">
      <c r="A3132" s="213"/>
      <c r="B3132" s="213"/>
      <c r="C3132" s="213"/>
      <c r="D3132" s="213"/>
      <c r="E3132" s="213"/>
      <c r="F3132" s="213"/>
      <c r="G3132" s="213"/>
      <c r="H3132" s="213"/>
      <c r="I3132" s="213"/>
      <c r="J3132" s="213"/>
      <c r="K3132" s="213"/>
      <c r="L3132" s="213"/>
      <c r="M3132" s="213"/>
      <c r="N3132" s="213"/>
      <c r="O3132" s="213"/>
      <c r="P3132" s="213"/>
      <c r="Q3132" s="213"/>
      <c r="R3132" s="213"/>
      <c r="S3132" s="213"/>
      <c r="T3132" s="213"/>
      <c r="U3132" s="213"/>
      <c r="V3132" s="213"/>
      <c r="W3132" s="213"/>
      <c r="X3132" s="213"/>
      <c r="Y3132" s="213"/>
      <c r="Z3132" s="213"/>
      <c r="AA3132" s="213"/>
      <c r="AB3132" s="213"/>
      <c r="AC3132" s="213"/>
      <c r="AD3132" s="213"/>
      <c r="AE3132" s="213"/>
      <c r="AF3132" s="213"/>
      <c r="AG3132" s="213"/>
      <c r="AH3132" s="213"/>
      <c r="AI3132" s="213"/>
      <c r="AJ3132" s="213"/>
      <c r="AK3132" s="213"/>
      <c r="AL3132" s="213"/>
      <c r="AM3132" s="213"/>
      <c r="AN3132" s="213"/>
      <c r="AO3132" s="213"/>
      <c r="AP3132" s="213"/>
      <c r="AQ3132" s="213"/>
      <c r="AR3132" s="213"/>
      <c r="AS3132" s="213"/>
      <c r="AT3132" s="213"/>
      <c r="AU3132" s="213"/>
      <c r="AV3132" s="213"/>
      <c r="AW3132" s="213"/>
      <c r="AX3132" s="213"/>
      <c r="AY3132" s="213"/>
      <c r="AZ3132" s="213"/>
      <c r="BA3132" s="213"/>
      <c r="BB3132" s="213"/>
      <c r="BC3132" s="213"/>
      <c r="BD3132" s="213"/>
    </row>
    <row r="3133">
      <c r="A3133" s="213"/>
      <c r="B3133" s="213"/>
      <c r="C3133" s="213"/>
      <c r="D3133" s="213"/>
      <c r="E3133" s="213"/>
      <c r="F3133" s="213"/>
      <c r="G3133" s="213"/>
      <c r="H3133" s="213"/>
      <c r="I3133" s="213"/>
      <c r="J3133" s="213"/>
      <c r="K3133" s="213"/>
      <c r="L3133" s="213"/>
      <c r="M3133" s="213"/>
      <c r="N3133" s="213"/>
      <c r="O3133" s="213"/>
      <c r="P3133" s="213"/>
      <c r="Q3133" s="213"/>
      <c r="R3133" s="213"/>
      <c r="S3133" s="213"/>
      <c r="T3133" s="213"/>
      <c r="U3133" s="213"/>
      <c r="V3133" s="213"/>
      <c r="W3133" s="213"/>
      <c r="X3133" s="213"/>
      <c r="Y3133" s="213"/>
      <c r="Z3133" s="213"/>
      <c r="AA3133" s="213"/>
      <c r="AB3133" s="213"/>
      <c r="AC3133" s="213"/>
      <c r="AD3133" s="213"/>
      <c r="AE3133" s="213"/>
      <c r="AF3133" s="213"/>
      <c r="AG3133" s="213"/>
      <c r="AH3133" s="213"/>
      <c r="AI3133" s="213"/>
      <c r="AJ3133" s="213"/>
      <c r="AK3133" s="213"/>
      <c r="AL3133" s="213"/>
      <c r="AM3133" s="213"/>
      <c r="AN3133" s="213"/>
      <c r="AO3133" s="213"/>
      <c r="AP3133" s="213"/>
      <c r="AQ3133" s="213"/>
      <c r="AR3133" s="213"/>
      <c r="AS3133" s="213"/>
      <c r="AT3133" s="213"/>
      <c r="AU3133" s="213"/>
      <c r="AV3133" s="213"/>
      <c r="AW3133" s="213"/>
      <c r="AX3133" s="213"/>
      <c r="AY3133" s="213"/>
      <c r="AZ3133" s="213"/>
      <c r="BA3133" s="213"/>
      <c r="BB3133" s="213"/>
      <c r="BC3133" s="213"/>
      <c r="BD3133" s="213"/>
    </row>
    <row r="3134">
      <c r="A3134" s="213"/>
      <c r="B3134" s="213"/>
      <c r="C3134" s="213"/>
      <c r="D3134" s="213"/>
      <c r="E3134" s="213"/>
      <c r="F3134" s="213"/>
      <c r="G3134" s="213"/>
      <c r="H3134" s="213"/>
      <c r="I3134" s="213"/>
      <c r="J3134" s="213"/>
      <c r="K3134" s="213"/>
      <c r="L3134" s="213"/>
      <c r="M3134" s="213"/>
      <c r="N3134" s="213"/>
      <c r="O3134" s="213"/>
      <c r="P3134" s="213"/>
      <c r="Q3134" s="213"/>
      <c r="R3134" s="213"/>
      <c r="S3134" s="213"/>
      <c r="T3134" s="213"/>
      <c r="U3134" s="213"/>
      <c r="V3134" s="213"/>
      <c r="W3134" s="213"/>
      <c r="X3134" s="213"/>
      <c r="Y3134" s="213"/>
      <c r="Z3134" s="213"/>
      <c r="AA3134" s="213"/>
      <c r="AB3134" s="213"/>
      <c r="AC3134" s="213"/>
      <c r="AD3134" s="213"/>
      <c r="AE3134" s="213"/>
      <c r="AF3134" s="213"/>
      <c r="AG3134" s="213"/>
      <c r="AH3134" s="213"/>
      <c r="AI3134" s="213"/>
      <c r="AJ3134" s="213"/>
      <c r="AK3134" s="213"/>
      <c r="AL3134" s="213"/>
      <c r="AM3134" s="213"/>
      <c r="AN3134" s="213"/>
      <c r="AO3134" s="213"/>
      <c r="AP3134" s="213"/>
      <c r="AQ3134" s="213"/>
      <c r="AR3134" s="213"/>
      <c r="AS3134" s="213"/>
      <c r="AT3134" s="213"/>
      <c r="AU3134" s="213"/>
      <c r="AV3134" s="213"/>
      <c r="AW3134" s="213"/>
      <c r="AX3134" s="213"/>
      <c r="AY3134" s="213"/>
      <c r="AZ3134" s="213"/>
      <c r="BA3134" s="213"/>
      <c r="BB3134" s="213"/>
      <c r="BC3134" s="213"/>
      <c r="BD3134" s="213"/>
    </row>
    <row r="3135">
      <c r="A3135" s="213"/>
      <c r="B3135" s="213"/>
      <c r="C3135" s="213"/>
      <c r="D3135" s="213"/>
      <c r="E3135" s="213"/>
      <c r="F3135" s="213"/>
      <c r="G3135" s="213"/>
      <c r="H3135" s="213"/>
      <c r="I3135" s="213"/>
      <c r="J3135" s="213"/>
      <c r="K3135" s="213"/>
      <c r="L3135" s="213"/>
      <c r="M3135" s="213"/>
      <c r="N3135" s="213"/>
      <c r="O3135" s="213"/>
      <c r="P3135" s="213"/>
      <c r="Q3135" s="213"/>
      <c r="R3135" s="213"/>
      <c r="S3135" s="213"/>
      <c r="T3135" s="213"/>
      <c r="U3135" s="213"/>
      <c r="V3135" s="213"/>
      <c r="W3135" s="213"/>
      <c r="X3135" s="213"/>
      <c r="Y3135" s="213"/>
      <c r="Z3135" s="213"/>
      <c r="AA3135" s="213"/>
      <c r="AB3135" s="213"/>
      <c r="AC3135" s="213"/>
      <c r="AD3135" s="213"/>
      <c r="AE3135" s="213"/>
      <c r="AF3135" s="213"/>
      <c r="AG3135" s="213"/>
      <c r="AH3135" s="213"/>
      <c r="AI3135" s="213"/>
      <c r="AJ3135" s="213"/>
      <c r="AK3135" s="213"/>
      <c r="AL3135" s="213"/>
      <c r="AM3135" s="213"/>
      <c r="AN3135" s="213"/>
      <c r="AO3135" s="213"/>
      <c r="AP3135" s="213"/>
      <c r="AQ3135" s="213"/>
      <c r="AR3135" s="213"/>
      <c r="AS3135" s="213"/>
      <c r="AT3135" s="213"/>
      <c r="AU3135" s="213"/>
      <c r="AV3135" s="213"/>
      <c r="AW3135" s="213"/>
      <c r="AX3135" s="213"/>
      <c r="AY3135" s="213"/>
      <c r="AZ3135" s="213"/>
      <c r="BA3135" s="213"/>
      <c r="BB3135" s="213"/>
      <c r="BC3135" s="213"/>
      <c r="BD3135" s="213"/>
    </row>
    <row r="3136">
      <c r="A3136" s="213"/>
      <c r="B3136" s="213"/>
      <c r="C3136" s="213"/>
      <c r="D3136" s="213"/>
      <c r="E3136" s="213"/>
      <c r="F3136" s="213"/>
      <c r="G3136" s="213"/>
      <c r="H3136" s="213"/>
      <c r="I3136" s="213"/>
      <c r="J3136" s="213"/>
      <c r="K3136" s="213"/>
      <c r="L3136" s="213"/>
      <c r="M3136" s="213"/>
      <c r="N3136" s="213"/>
      <c r="O3136" s="213"/>
      <c r="P3136" s="213"/>
      <c r="Q3136" s="213"/>
      <c r="R3136" s="213"/>
      <c r="S3136" s="213"/>
      <c r="T3136" s="213"/>
      <c r="U3136" s="213"/>
      <c r="V3136" s="213"/>
      <c r="W3136" s="213"/>
      <c r="X3136" s="213"/>
      <c r="Y3136" s="213"/>
      <c r="Z3136" s="213"/>
      <c r="AA3136" s="213"/>
      <c r="AB3136" s="213"/>
      <c r="AC3136" s="213"/>
      <c r="AD3136" s="213"/>
      <c r="AE3136" s="213"/>
      <c r="AF3136" s="213"/>
      <c r="AG3136" s="213"/>
      <c r="AH3136" s="213"/>
      <c r="AI3136" s="213"/>
      <c r="AJ3136" s="213"/>
      <c r="AK3136" s="213"/>
      <c r="AL3136" s="213"/>
      <c r="AM3136" s="213"/>
      <c r="AN3136" s="213"/>
      <c r="AO3136" s="213"/>
      <c r="AP3136" s="213"/>
      <c r="AQ3136" s="213"/>
      <c r="AR3136" s="213"/>
      <c r="AS3136" s="213"/>
      <c r="AT3136" s="213"/>
      <c r="AU3136" s="213"/>
      <c r="AV3136" s="213"/>
      <c r="AW3136" s="213"/>
      <c r="AX3136" s="213"/>
      <c r="AY3136" s="213"/>
      <c r="AZ3136" s="213"/>
      <c r="BA3136" s="213"/>
      <c r="BB3136" s="213"/>
      <c r="BC3136" s="213"/>
      <c r="BD3136" s="213"/>
    </row>
    <row r="3137">
      <c r="A3137" s="213"/>
      <c r="B3137" s="213"/>
      <c r="C3137" s="213"/>
      <c r="D3137" s="213"/>
      <c r="E3137" s="213"/>
      <c r="F3137" s="213"/>
      <c r="G3137" s="213"/>
      <c r="H3137" s="213"/>
      <c r="I3137" s="213"/>
      <c r="J3137" s="213"/>
      <c r="K3137" s="213"/>
      <c r="L3137" s="213"/>
      <c r="M3137" s="213"/>
      <c r="N3137" s="213"/>
      <c r="O3137" s="213"/>
      <c r="P3137" s="213"/>
      <c r="Q3137" s="213"/>
      <c r="R3137" s="213"/>
      <c r="S3137" s="213"/>
      <c r="T3137" s="213"/>
      <c r="U3137" s="213"/>
      <c r="V3137" s="213"/>
      <c r="W3137" s="213"/>
      <c r="X3137" s="213"/>
      <c r="Y3137" s="213"/>
      <c r="Z3137" s="213"/>
      <c r="AA3137" s="213"/>
      <c r="AB3137" s="213"/>
      <c r="AC3137" s="213"/>
      <c r="AD3137" s="213"/>
      <c r="AE3137" s="213"/>
      <c r="AF3137" s="213"/>
      <c r="AG3137" s="213"/>
      <c r="AH3137" s="213"/>
      <c r="AI3137" s="213"/>
      <c r="AJ3137" s="213"/>
      <c r="AK3137" s="213"/>
      <c r="AL3137" s="213"/>
      <c r="AM3137" s="213"/>
      <c r="AN3137" s="213"/>
      <c r="AO3137" s="213"/>
      <c r="AP3137" s="213"/>
      <c r="AQ3137" s="213"/>
      <c r="AR3137" s="213"/>
      <c r="AS3137" s="213"/>
      <c r="AT3137" s="213"/>
      <c r="AU3137" s="213"/>
      <c r="AV3137" s="213"/>
      <c r="AW3137" s="213"/>
      <c r="AX3137" s="213"/>
      <c r="AY3137" s="213"/>
      <c r="AZ3137" s="213"/>
      <c r="BA3137" s="213"/>
      <c r="BB3137" s="213"/>
      <c r="BC3137" s="213"/>
      <c r="BD3137" s="213"/>
    </row>
    <row r="3138">
      <c r="A3138" s="213"/>
      <c r="B3138" s="213"/>
      <c r="C3138" s="213"/>
      <c r="D3138" s="213"/>
      <c r="E3138" s="213"/>
      <c r="F3138" s="213"/>
      <c r="G3138" s="213"/>
      <c r="H3138" s="213"/>
      <c r="I3138" s="213"/>
      <c r="J3138" s="213"/>
      <c r="K3138" s="213"/>
      <c r="L3138" s="213"/>
      <c r="M3138" s="213"/>
      <c r="N3138" s="213"/>
      <c r="O3138" s="213"/>
      <c r="P3138" s="213"/>
      <c r="Q3138" s="213"/>
      <c r="R3138" s="213"/>
      <c r="S3138" s="213"/>
      <c r="T3138" s="213"/>
      <c r="U3138" s="213"/>
      <c r="V3138" s="213"/>
      <c r="W3138" s="213"/>
      <c r="X3138" s="213"/>
      <c r="Y3138" s="213"/>
      <c r="Z3138" s="213"/>
      <c r="AA3138" s="213"/>
      <c r="AB3138" s="213"/>
      <c r="AC3138" s="213"/>
      <c r="AD3138" s="213"/>
      <c r="AE3138" s="213"/>
      <c r="AF3138" s="213"/>
      <c r="AG3138" s="213"/>
      <c r="AH3138" s="213"/>
      <c r="AI3138" s="213"/>
      <c r="AJ3138" s="213"/>
      <c r="AK3138" s="213"/>
      <c r="AL3138" s="213"/>
      <c r="AM3138" s="213"/>
      <c r="AN3138" s="213"/>
      <c r="AO3138" s="213"/>
      <c r="AP3138" s="213"/>
      <c r="AQ3138" s="213"/>
      <c r="AR3138" s="213"/>
      <c r="AS3138" s="213"/>
      <c r="AT3138" s="213"/>
      <c r="AU3138" s="213"/>
      <c r="AV3138" s="213"/>
      <c r="AW3138" s="213"/>
      <c r="AX3138" s="213"/>
      <c r="AY3138" s="213"/>
      <c r="AZ3138" s="213"/>
      <c r="BA3138" s="213"/>
      <c r="BB3138" s="213"/>
      <c r="BC3138" s="213"/>
      <c r="BD3138" s="213"/>
    </row>
    <row r="3139">
      <c r="A3139" s="213"/>
      <c r="B3139" s="213"/>
      <c r="C3139" s="213"/>
      <c r="D3139" s="213"/>
      <c r="E3139" s="213"/>
      <c r="F3139" s="213"/>
      <c r="G3139" s="213"/>
      <c r="H3139" s="213"/>
      <c r="I3139" s="213"/>
      <c r="J3139" s="213"/>
      <c r="K3139" s="213"/>
      <c r="L3139" s="213"/>
      <c r="M3139" s="213"/>
      <c r="N3139" s="213"/>
      <c r="O3139" s="213"/>
      <c r="P3139" s="213"/>
      <c r="Q3139" s="213"/>
      <c r="R3139" s="213"/>
      <c r="S3139" s="213"/>
      <c r="T3139" s="213"/>
      <c r="U3139" s="213"/>
      <c r="V3139" s="213"/>
      <c r="W3139" s="213"/>
      <c r="X3139" s="213"/>
      <c r="Y3139" s="213"/>
      <c r="Z3139" s="213"/>
      <c r="AA3139" s="213"/>
      <c r="AB3139" s="213"/>
      <c r="AC3139" s="213"/>
      <c r="AD3139" s="213"/>
      <c r="AE3139" s="213"/>
      <c r="AF3139" s="213"/>
      <c r="AG3139" s="213"/>
      <c r="AH3139" s="213"/>
      <c r="AI3139" s="213"/>
      <c r="AJ3139" s="213"/>
      <c r="AK3139" s="213"/>
      <c r="AL3139" s="213"/>
      <c r="AM3139" s="213"/>
      <c r="AN3139" s="213"/>
      <c r="AO3139" s="213"/>
      <c r="AP3139" s="213"/>
      <c r="AQ3139" s="213"/>
      <c r="AR3139" s="213"/>
      <c r="AS3139" s="213"/>
      <c r="AT3139" s="213"/>
      <c r="AU3139" s="213"/>
      <c r="AV3139" s="213"/>
      <c r="AW3139" s="213"/>
      <c r="AX3139" s="213"/>
      <c r="AY3139" s="213"/>
      <c r="AZ3139" s="213"/>
      <c r="BA3139" s="213"/>
      <c r="BB3139" s="213"/>
      <c r="BC3139" s="213"/>
      <c r="BD3139" s="213"/>
    </row>
    <row r="3140">
      <c r="A3140" s="213"/>
      <c r="B3140" s="213"/>
      <c r="C3140" s="213"/>
      <c r="D3140" s="213"/>
      <c r="E3140" s="213"/>
      <c r="F3140" s="213"/>
      <c r="G3140" s="213"/>
      <c r="H3140" s="213"/>
      <c r="I3140" s="213"/>
      <c r="J3140" s="213"/>
      <c r="K3140" s="213"/>
      <c r="L3140" s="213"/>
      <c r="M3140" s="213"/>
      <c r="N3140" s="213"/>
      <c r="O3140" s="213"/>
      <c r="P3140" s="213"/>
      <c r="Q3140" s="213"/>
      <c r="R3140" s="213"/>
      <c r="S3140" s="213"/>
      <c r="T3140" s="213"/>
      <c r="U3140" s="213"/>
      <c r="V3140" s="213"/>
      <c r="W3140" s="213"/>
      <c r="X3140" s="213"/>
      <c r="Y3140" s="213"/>
      <c r="Z3140" s="213"/>
      <c r="AA3140" s="213"/>
      <c r="AB3140" s="213"/>
      <c r="AC3140" s="213"/>
      <c r="AD3140" s="213"/>
      <c r="AE3140" s="213"/>
      <c r="AF3140" s="213"/>
      <c r="AG3140" s="213"/>
      <c r="AH3140" s="213"/>
      <c r="AI3140" s="213"/>
      <c r="AJ3140" s="213"/>
      <c r="AK3140" s="213"/>
      <c r="AL3140" s="213"/>
      <c r="AM3140" s="213"/>
      <c r="AN3140" s="213"/>
      <c r="AO3140" s="213"/>
      <c r="AP3140" s="213"/>
      <c r="AQ3140" s="213"/>
      <c r="AR3140" s="213"/>
      <c r="AS3140" s="213"/>
      <c r="AT3140" s="213"/>
      <c r="AU3140" s="213"/>
      <c r="AV3140" s="213"/>
      <c r="AW3140" s="213"/>
      <c r="AX3140" s="213"/>
      <c r="AY3140" s="213"/>
      <c r="AZ3140" s="213"/>
      <c r="BA3140" s="213"/>
      <c r="BB3140" s="213"/>
      <c r="BC3140" s="213"/>
      <c r="BD3140" s="213"/>
    </row>
    <row r="3141">
      <c r="A3141" s="213"/>
      <c r="B3141" s="213"/>
      <c r="C3141" s="213"/>
      <c r="D3141" s="213"/>
      <c r="E3141" s="213"/>
      <c r="F3141" s="213"/>
      <c r="G3141" s="213"/>
      <c r="H3141" s="213"/>
      <c r="I3141" s="213"/>
      <c r="J3141" s="213"/>
      <c r="K3141" s="213"/>
      <c r="L3141" s="213"/>
      <c r="M3141" s="213"/>
      <c r="N3141" s="213"/>
      <c r="O3141" s="213"/>
      <c r="P3141" s="213"/>
      <c r="Q3141" s="213"/>
      <c r="R3141" s="213"/>
      <c r="S3141" s="213"/>
      <c r="T3141" s="213"/>
      <c r="U3141" s="213"/>
      <c r="V3141" s="213"/>
      <c r="W3141" s="213"/>
      <c r="X3141" s="213"/>
      <c r="Y3141" s="213"/>
      <c r="Z3141" s="213"/>
      <c r="AA3141" s="213"/>
      <c r="AB3141" s="213"/>
      <c r="AC3141" s="213"/>
      <c r="AD3141" s="213"/>
      <c r="AE3141" s="213"/>
      <c r="AF3141" s="213"/>
      <c r="AG3141" s="213"/>
      <c r="AH3141" s="213"/>
      <c r="AI3141" s="213"/>
      <c r="AJ3141" s="213"/>
      <c r="AK3141" s="213"/>
      <c r="AL3141" s="213"/>
      <c r="AM3141" s="213"/>
      <c r="AN3141" s="213"/>
      <c r="AO3141" s="213"/>
      <c r="AP3141" s="213"/>
      <c r="AQ3141" s="213"/>
      <c r="AR3141" s="213"/>
      <c r="AS3141" s="213"/>
      <c r="AT3141" s="213"/>
      <c r="AU3141" s="213"/>
      <c r="AV3141" s="213"/>
      <c r="AW3141" s="213"/>
      <c r="AX3141" s="213"/>
      <c r="AY3141" s="213"/>
      <c r="AZ3141" s="213"/>
      <c r="BA3141" s="213"/>
      <c r="BB3141" s="213"/>
      <c r="BC3141" s="213"/>
      <c r="BD3141" s="213"/>
    </row>
    <row r="3142">
      <c r="A3142" s="213"/>
      <c r="B3142" s="213"/>
      <c r="C3142" s="213"/>
      <c r="D3142" s="213"/>
      <c r="E3142" s="213"/>
      <c r="F3142" s="213"/>
      <c r="G3142" s="213"/>
      <c r="H3142" s="213"/>
      <c r="I3142" s="213"/>
      <c r="J3142" s="213"/>
      <c r="K3142" s="213"/>
      <c r="L3142" s="213"/>
      <c r="M3142" s="213"/>
      <c r="N3142" s="213"/>
      <c r="O3142" s="213"/>
      <c r="P3142" s="213"/>
      <c r="Q3142" s="213"/>
      <c r="R3142" s="213"/>
      <c r="S3142" s="213"/>
      <c r="T3142" s="213"/>
      <c r="U3142" s="213"/>
      <c r="V3142" s="213"/>
      <c r="W3142" s="213"/>
      <c r="X3142" s="213"/>
      <c r="Y3142" s="213"/>
      <c r="Z3142" s="213"/>
      <c r="AA3142" s="213"/>
      <c r="AB3142" s="213"/>
      <c r="AC3142" s="213"/>
      <c r="AD3142" s="213"/>
      <c r="AE3142" s="213"/>
      <c r="AF3142" s="213"/>
      <c r="AG3142" s="213"/>
      <c r="AH3142" s="213"/>
      <c r="AI3142" s="213"/>
      <c r="AJ3142" s="213"/>
      <c r="AK3142" s="213"/>
      <c r="AL3142" s="213"/>
      <c r="AM3142" s="213"/>
      <c r="AN3142" s="213"/>
      <c r="AO3142" s="213"/>
      <c r="AP3142" s="213"/>
      <c r="AQ3142" s="213"/>
      <c r="AR3142" s="213"/>
      <c r="AS3142" s="213"/>
      <c r="AT3142" s="213"/>
      <c r="AU3142" s="213"/>
      <c r="AV3142" s="213"/>
      <c r="AW3142" s="213"/>
      <c r="AX3142" s="213"/>
      <c r="AY3142" s="213"/>
      <c r="AZ3142" s="213"/>
      <c r="BA3142" s="213"/>
      <c r="BB3142" s="213"/>
      <c r="BC3142" s="213"/>
      <c r="BD3142" s="213"/>
    </row>
    <row r="3143">
      <c r="A3143" s="213"/>
      <c r="B3143" s="213"/>
      <c r="C3143" s="213"/>
      <c r="D3143" s="213"/>
      <c r="E3143" s="213"/>
      <c r="F3143" s="213"/>
      <c r="G3143" s="213"/>
      <c r="H3143" s="213"/>
      <c r="I3143" s="213"/>
      <c r="J3143" s="213"/>
      <c r="K3143" s="213"/>
      <c r="L3143" s="213"/>
      <c r="M3143" s="213"/>
      <c r="N3143" s="213"/>
      <c r="O3143" s="213"/>
      <c r="P3143" s="213"/>
      <c r="Q3143" s="213"/>
      <c r="R3143" s="213"/>
      <c r="S3143" s="213"/>
      <c r="T3143" s="213"/>
      <c r="U3143" s="213"/>
      <c r="V3143" s="213"/>
      <c r="W3143" s="213"/>
      <c r="X3143" s="213"/>
      <c r="Y3143" s="213"/>
      <c r="Z3143" s="213"/>
      <c r="AA3143" s="213"/>
      <c r="AB3143" s="213"/>
      <c r="AC3143" s="213"/>
      <c r="AD3143" s="213"/>
      <c r="AE3143" s="213"/>
      <c r="AF3143" s="213"/>
      <c r="AG3143" s="213"/>
      <c r="AH3143" s="213"/>
      <c r="AI3143" s="213"/>
      <c r="AJ3143" s="213"/>
      <c r="AK3143" s="213"/>
      <c r="AL3143" s="213"/>
      <c r="AM3143" s="213"/>
      <c r="AN3143" s="213"/>
      <c r="AO3143" s="213"/>
      <c r="AP3143" s="213"/>
      <c r="AQ3143" s="213"/>
      <c r="AR3143" s="213"/>
      <c r="AS3143" s="213"/>
      <c r="AT3143" s="213"/>
      <c r="AU3143" s="213"/>
      <c r="AV3143" s="213"/>
      <c r="AW3143" s="213"/>
      <c r="AX3143" s="213"/>
      <c r="AY3143" s="213"/>
      <c r="AZ3143" s="213"/>
      <c r="BA3143" s="213"/>
      <c r="BB3143" s="213"/>
      <c r="BC3143" s="213"/>
      <c r="BD3143" s="213"/>
    </row>
    <row r="3144">
      <c r="A3144" s="213"/>
      <c r="B3144" s="213"/>
      <c r="C3144" s="213"/>
      <c r="D3144" s="213"/>
      <c r="E3144" s="213"/>
      <c r="F3144" s="213"/>
      <c r="G3144" s="213"/>
      <c r="H3144" s="213"/>
      <c r="I3144" s="213"/>
      <c r="J3144" s="213"/>
      <c r="K3144" s="213"/>
      <c r="L3144" s="213"/>
      <c r="M3144" s="213"/>
      <c r="N3144" s="213"/>
      <c r="O3144" s="213"/>
      <c r="P3144" s="213"/>
      <c r="Q3144" s="213"/>
      <c r="R3144" s="213"/>
      <c r="S3144" s="213"/>
      <c r="T3144" s="213"/>
      <c r="U3144" s="213"/>
      <c r="V3144" s="213"/>
      <c r="W3144" s="213"/>
      <c r="X3144" s="213"/>
      <c r="Y3144" s="213"/>
      <c r="Z3144" s="213"/>
      <c r="AA3144" s="213"/>
      <c r="AB3144" s="213"/>
      <c r="AC3144" s="213"/>
      <c r="AD3144" s="213"/>
      <c r="AE3144" s="213"/>
      <c r="AF3144" s="213"/>
      <c r="AG3144" s="213"/>
      <c r="AH3144" s="213"/>
      <c r="AI3144" s="213"/>
      <c r="AJ3144" s="213"/>
      <c r="AK3144" s="213"/>
      <c r="AL3144" s="213"/>
      <c r="AM3144" s="213"/>
      <c r="AN3144" s="213"/>
      <c r="AO3144" s="213"/>
      <c r="AP3144" s="213"/>
      <c r="AQ3144" s="213"/>
      <c r="AR3144" s="213"/>
      <c r="AS3144" s="213"/>
      <c r="AT3144" s="213"/>
      <c r="AU3144" s="213"/>
      <c r="AV3144" s="213"/>
      <c r="AW3144" s="213"/>
      <c r="AX3144" s="213"/>
      <c r="AY3144" s="213"/>
      <c r="AZ3144" s="213"/>
      <c r="BA3144" s="213"/>
      <c r="BB3144" s="213"/>
      <c r="BC3144" s="213"/>
      <c r="BD3144" s="213"/>
    </row>
    <row r="3145">
      <c r="A3145" s="213"/>
      <c r="B3145" s="213"/>
      <c r="C3145" s="213"/>
      <c r="D3145" s="213"/>
      <c r="E3145" s="213"/>
      <c r="F3145" s="213"/>
      <c r="G3145" s="213"/>
      <c r="H3145" s="213"/>
      <c r="I3145" s="213"/>
      <c r="J3145" s="213"/>
      <c r="K3145" s="213"/>
      <c r="L3145" s="213"/>
      <c r="M3145" s="213"/>
      <c r="N3145" s="213"/>
      <c r="O3145" s="213"/>
      <c r="P3145" s="213"/>
      <c r="Q3145" s="213"/>
      <c r="R3145" s="213"/>
      <c r="S3145" s="213"/>
      <c r="T3145" s="213"/>
      <c r="U3145" s="213"/>
      <c r="V3145" s="213"/>
      <c r="W3145" s="213"/>
      <c r="X3145" s="213"/>
      <c r="Y3145" s="213"/>
      <c r="Z3145" s="213"/>
      <c r="AA3145" s="213"/>
      <c r="AB3145" s="213"/>
      <c r="AC3145" s="213"/>
      <c r="AD3145" s="213"/>
      <c r="AE3145" s="213"/>
      <c r="AF3145" s="213"/>
      <c r="AG3145" s="213"/>
      <c r="AH3145" s="213"/>
      <c r="AI3145" s="213"/>
      <c r="AJ3145" s="213"/>
      <c r="AK3145" s="213"/>
      <c r="AL3145" s="213"/>
      <c r="AM3145" s="213"/>
      <c r="AN3145" s="213"/>
      <c r="AO3145" s="213"/>
      <c r="AP3145" s="213"/>
      <c r="AQ3145" s="213"/>
      <c r="AR3145" s="213"/>
      <c r="AS3145" s="213"/>
      <c r="AT3145" s="213"/>
      <c r="AU3145" s="213"/>
      <c r="AV3145" s="213"/>
      <c r="AW3145" s="213"/>
      <c r="AX3145" s="213"/>
      <c r="AY3145" s="213"/>
      <c r="AZ3145" s="213"/>
      <c r="BA3145" s="213"/>
      <c r="BB3145" s="213"/>
      <c r="BC3145" s="213"/>
      <c r="BD3145" s="213"/>
    </row>
    <row r="3146">
      <c r="A3146" s="213"/>
      <c r="B3146" s="213"/>
      <c r="C3146" s="213"/>
      <c r="D3146" s="213"/>
      <c r="E3146" s="213"/>
      <c r="F3146" s="213"/>
      <c r="G3146" s="213"/>
      <c r="H3146" s="213"/>
      <c r="I3146" s="213"/>
      <c r="J3146" s="213"/>
      <c r="K3146" s="213"/>
      <c r="L3146" s="213"/>
      <c r="M3146" s="213"/>
      <c r="N3146" s="213"/>
      <c r="O3146" s="213"/>
      <c r="P3146" s="213"/>
      <c r="Q3146" s="213"/>
      <c r="R3146" s="213"/>
      <c r="S3146" s="213"/>
      <c r="T3146" s="213"/>
      <c r="U3146" s="213"/>
      <c r="V3146" s="213"/>
      <c r="W3146" s="213"/>
      <c r="X3146" s="213"/>
      <c r="Y3146" s="213"/>
      <c r="Z3146" s="213"/>
      <c r="AA3146" s="213"/>
      <c r="AB3146" s="213"/>
      <c r="AC3146" s="213"/>
      <c r="AD3146" s="213"/>
      <c r="AE3146" s="213"/>
      <c r="AF3146" s="213"/>
      <c r="AG3146" s="213"/>
      <c r="AH3146" s="213"/>
      <c r="AI3146" s="213"/>
      <c r="AJ3146" s="213"/>
      <c r="AK3146" s="213"/>
      <c r="AL3146" s="213"/>
      <c r="AM3146" s="213"/>
      <c r="AN3146" s="213"/>
      <c r="AO3146" s="213"/>
      <c r="AP3146" s="213"/>
      <c r="AQ3146" s="213"/>
      <c r="AR3146" s="213"/>
      <c r="AS3146" s="213"/>
      <c r="AT3146" s="213"/>
      <c r="AU3146" s="213"/>
      <c r="AV3146" s="213"/>
      <c r="AW3146" s="213"/>
      <c r="AX3146" s="213"/>
      <c r="AY3146" s="213"/>
      <c r="AZ3146" s="213"/>
      <c r="BA3146" s="213"/>
      <c r="BB3146" s="213"/>
      <c r="BC3146" s="213"/>
      <c r="BD3146" s="213"/>
    </row>
    <row r="3147">
      <c r="A3147" s="213"/>
      <c r="B3147" s="213"/>
      <c r="C3147" s="213"/>
      <c r="D3147" s="213"/>
      <c r="E3147" s="213"/>
      <c r="F3147" s="213"/>
      <c r="G3147" s="213"/>
      <c r="H3147" s="213"/>
      <c r="I3147" s="213"/>
      <c r="J3147" s="213"/>
      <c r="K3147" s="213"/>
      <c r="L3147" s="213"/>
      <c r="M3147" s="213"/>
      <c r="N3147" s="213"/>
      <c r="O3147" s="213"/>
      <c r="P3147" s="213"/>
      <c r="Q3147" s="213"/>
      <c r="R3147" s="213"/>
      <c r="S3147" s="213"/>
      <c r="T3147" s="213"/>
      <c r="U3147" s="213"/>
      <c r="V3147" s="213"/>
      <c r="W3147" s="213"/>
      <c r="X3147" s="213"/>
      <c r="Y3147" s="213"/>
      <c r="Z3147" s="213"/>
      <c r="AA3147" s="213"/>
      <c r="AB3147" s="213"/>
      <c r="AC3147" s="213"/>
      <c r="AD3147" s="213"/>
      <c r="AE3147" s="213"/>
      <c r="AF3147" s="213"/>
      <c r="AG3147" s="213"/>
      <c r="AH3147" s="213"/>
      <c r="AI3147" s="213"/>
      <c r="AJ3147" s="213"/>
      <c r="AK3147" s="213"/>
      <c r="AL3147" s="213"/>
      <c r="AM3147" s="213"/>
      <c r="AN3147" s="213"/>
      <c r="AO3147" s="213"/>
      <c r="AP3147" s="213"/>
      <c r="AQ3147" s="213"/>
      <c r="AR3147" s="213"/>
      <c r="AS3147" s="213"/>
      <c r="AT3147" s="213"/>
      <c r="AU3147" s="213"/>
      <c r="AV3147" s="213"/>
      <c r="AW3147" s="213"/>
      <c r="AX3147" s="213"/>
      <c r="AY3147" s="213"/>
      <c r="AZ3147" s="213"/>
      <c r="BA3147" s="213"/>
      <c r="BB3147" s="213"/>
      <c r="BC3147" s="213"/>
      <c r="BD3147" s="213"/>
    </row>
    <row r="3148">
      <c r="A3148" s="213"/>
      <c r="B3148" s="213"/>
      <c r="C3148" s="213"/>
      <c r="D3148" s="213"/>
      <c r="E3148" s="213"/>
      <c r="F3148" s="213"/>
      <c r="G3148" s="213"/>
      <c r="H3148" s="213"/>
      <c r="I3148" s="213"/>
      <c r="J3148" s="213"/>
      <c r="K3148" s="213"/>
      <c r="L3148" s="213"/>
      <c r="M3148" s="213"/>
      <c r="N3148" s="213"/>
      <c r="O3148" s="213"/>
      <c r="P3148" s="213"/>
      <c r="Q3148" s="213"/>
      <c r="R3148" s="213"/>
      <c r="S3148" s="213"/>
      <c r="T3148" s="213"/>
      <c r="U3148" s="213"/>
      <c r="V3148" s="213"/>
      <c r="W3148" s="213"/>
      <c r="X3148" s="213"/>
      <c r="Y3148" s="213"/>
      <c r="Z3148" s="213"/>
      <c r="AA3148" s="213"/>
      <c r="AB3148" s="213"/>
      <c r="AC3148" s="213"/>
      <c r="AD3148" s="213"/>
      <c r="AE3148" s="213"/>
      <c r="AF3148" s="213"/>
      <c r="AG3148" s="213"/>
      <c r="AH3148" s="213"/>
      <c r="AI3148" s="213"/>
      <c r="AJ3148" s="213"/>
      <c r="AK3148" s="213"/>
      <c r="AL3148" s="213"/>
      <c r="AM3148" s="213"/>
      <c r="AN3148" s="213"/>
      <c r="AO3148" s="213"/>
      <c r="AP3148" s="213"/>
      <c r="AQ3148" s="213"/>
      <c r="AR3148" s="213"/>
      <c r="AS3148" s="213"/>
      <c r="AT3148" s="213"/>
      <c r="AU3148" s="213"/>
      <c r="AV3148" s="213"/>
      <c r="AW3148" s="213"/>
      <c r="AX3148" s="213"/>
      <c r="AY3148" s="213"/>
      <c r="AZ3148" s="213"/>
      <c r="BA3148" s="213"/>
      <c r="BB3148" s="213"/>
      <c r="BC3148" s="213"/>
      <c r="BD3148" s="213"/>
    </row>
    <row r="3149">
      <c r="A3149" s="213"/>
      <c r="B3149" s="213"/>
      <c r="C3149" s="213"/>
      <c r="D3149" s="213"/>
      <c r="E3149" s="213"/>
      <c r="F3149" s="213"/>
      <c r="G3149" s="213"/>
      <c r="H3149" s="213"/>
      <c r="I3149" s="213"/>
      <c r="J3149" s="213"/>
      <c r="K3149" s="213"/>
      <c r="L3149" s="213"/>
      <c r="M3149" s="213"/>
      <c r="N3149" s="213"/>
      <c r="O3149" s="213"/>
      <c r="P3149" s="213"/>
      <c r="Q3149" s="213"/>
      <c r="R3149" s="213"/>
      <c r="S3149" s="213"/>
      <c r="T3149" s="213"/>
      <c r="U3149" s="213"/>
      <c r="V3149" s="213"/>
      <c r="W3149" s="213"/>
      <c r="X3149" s="213"/>
      <c r="Y3149" s="213"/>
      <c r="Z3149" s="213"/>
      <c r="AA3149" s="213"/>
      <c r="AB3149" s="213"/>
      <c r="AC3149" s="213"/>
      <c r="AD3149" s="213"/>
      <c r="AE3149" s="213"/>
      <c r="AF3149" s="213"/>
      <c r="AG3149" s="213"/>
      <c r="AH3149" s="213"/>
      <c r="AI3149" s="213"/>
      <c r="AJ3149" s="213"/>
      <c r="AK3149" s="213"/>
      <c r="AL3149" s="213"/>
      <c r="AM3149" s="213"/>
      <c r="AN3149" s="213"/>
      <c r="AO3149" s="213"/>
      <c r="AP3149" s="213"/>
      <c r="AQ3149" s="213"/>
      <c r="AR3149" s="213"/>
      <c r="AS3149" s="213"/>
      <c r="AT3149" s="213"/>
      <c r="AU3149" s="213"/>
      <c r="AV3149" s="213"/>
      <c r="AW3149" s="213"/>
      <c r="AX3149" s="213"/>
      <c r="AY3149" s="213"/>
      <c r="AZ3149" s="213"/>
      <c r="BA3149" s="213"/>
      <c r="BB3149" s="213"/>
      <c r="BC3149" s="213"/>
      <c r="BD3149" s="213"/>
    </row>
    <row r="3150">
      <c r="A3150" s="213"/>
      <c r="B3150" s="213"/>
      <c r="C3150" s="213"/>
      <c r="D3150" s="213"/>
      <c r="E3150" s="213"/>
      <c r="F3150" s="213"/>
      <c r="G3150" s="213"/>
      <c r="H3150" s="213"/>
      <c r="I3150" s="213"/>
      <c r="J3150" s="213"/>
      <c r="K3150" s="213"/>
      <c r="L3150" s="213"/>
      <c r="M3150" s="213"/>
      <c r="N3150" s="213"/>
      <c r="O3150" s="213"/>
      <c r="P3150" s="213"/>
      <c r="Q3150" s="213"/>
      <c r="R3150" s="213"/>
      <c r="S3150" s="213"/>
      <c r="T3150" s="213"/>
      <c r="U3150" s="213"/>
      <c r="V3150" s="213"/>
      <c r="W3150" s="213"/>
      <c r="X3150" s="213"/>
      <c r="Y3150" s="213"/>
      <c r="Z3150" s="213"/>
      <c r="AA3150" s="213"/>
      <c r="AB3150" s="213"/>
      <c r="AC3150" s="213"/>
      <c r="AD3150" s="213"/>
      <c r="AE3150" s="213"/>
      <c r="AF3150" s="213"/>
      <c r="AG3150" s="213"/>
      <c r="AH3150" s="213"/>
      <c r="AI3150" s="213"/>
      <c r="AJ3150" s="213"/>
      <c r="AK3150" s="213"/>
      <c r="AL3150" s="213"/>
      <c r="AM3150" s="213"/>
      <c r="AN3150" s="213"/>
      <c r="AO3150" s="213"/>
      <c r="AP3150" s="213"/>
      <c r="AQ3150" s="213"/>
      <c r="AR3150" s="213"/>
      <c r="AS3150" s="213"/>
      <c r="AT3150" s="213"/>
      <c r="AU3150" s="213"/>
      <c r="AV3150" s="213"/>
      <c r="AW3150" s="213"/>
      <c r="AX3150" s="213"/>
      <c r="AY3150" s="213"/>
      <c r="AZ3150" s="213"/>
      <c r="BA3150" s="213"/>
      <c r="BB3150" s="213"/>
      <c r="BC3150" s="213"/>
      <c r="BD3150" s="213"/>
    </row>
    <row r="3151">
      <c r="A3151" s="213"/>
      <c r="B3151" s="213"/>
      <c r="C3151" s="213"/>
      <c r="D3151" s="213"/>
      <c r="E3151" s="213"/>
      <c r="F3151" s="213"/>
      <c r="G3151" s="213"/>
      <c r="H3151" s="213"/>
      <c r="I3151" s="213"/>
      <c r="J3151" s="213"/>
      <c r="K3151" s="213"/>
      <c r="L3151" s="213"/>
      <c r="M3151" s="213"/>
      <c r="N3151" s="213"/>
      <c r="O3151" s="213"/>
      <c r="P3151" s="213"/>
      <c r="Q3151" s="213"/>
      <c r="R3151" s="213"/>
      <c r="S3151" s="213"/>
      <c r="T3151" s="213"/>
      <c r="U3151" s="213"/>
      <c r="V3151" s="213"/>
      <c r="W3151" s="213"/>
      <c r="X3151" s="213"/>
      <c r="Y3151" s="213"/>
      <c r="Z3151" s="213"/>
      <c r="AA3151" s="213"/>
      <c r="AB3151" s="213"/>
      <c r="AC3151" s="213"/>
      <c r="AD3151" s="213"/>
      <c r="AE3151" s="213"/>
      <c r="AF3151" s="213"/>
      <c r="AG3151" s="213"/>
      <c r="AH3151" s="213"/>
      <c r="AI3151" s="213"/>
      <c r="AJ3151" s="213"/>
      <c r="AK3151" s="213"/>
      <c r="AL3151" s="213"/>
      <c r="AM3151" s="213"/>
      <c r="AN3151" s="213"/>
      <c r="AO3151" s="213"/>
      <c r="AP3151" s="213"/>
      <c r="AQ3151" s="213"/>
      <c r="AR3151" s="213"/>
      <c r="AS3151" s="213"/>
      <c r="AT3151" s="213"/>
      <c r="AU3151" s="213"/>
      <c r="AV3151" s="213"/>
      <c r="AW3151" s="213"/>
      <c r="AX3151" s="213"/>
      <c r="AY3151" s="213"/>
      <c r="AZ3151" s="213"/>
      <c r="BA3151" s="213"/>
      <c r="BB3151" s="213"/>
      <c r="BC3151" s="213"/>
      <c r="BD3151" s="213"/>
    </row>
    <row r="3152">
      <c r="A3152" s="213"/>
      <c r="B3152" s="213"/>
      <c r="C3152" s="213"/>
      <c r="D3152" s="213"/>
      <c r="E3152" s="213"/>
      <c r="F3152" s="213"/>
      <c r="G3152" s="213"/>
      <c r="H3152" s="213"/>
      <c r="I3152" s="213"/>
      <c r="J3152" s="213"/>
      <c r="K3152" s="213"/>
      <c r="L3152" s="213"/>
      <c r="M3152" s="213"/>
      <c r="N3152" s="213"/>
      <c r="O3152" s="213"/>
      <c r="P3152" s="213"/>
      <c r="Q3152" s="213"/>
      <c r="R3152" s="213"/>
      <c r="S3152" s="213"/>
      <c r="T3152" s="213"/>
      <c r="U3152" s="213"/>
      <c r="V3152" s="213"/>
      <c r="W3152" s="213"/>
      <c r="X3152" s="213"/>
      <c r="Y3152" s="213"/>
      <c r="Z3152" s="213"/>
      <c r="AA3152" s="213"/>
      <c r="AB3152" s="213"/>
      <c r="AC3152" s="213"/>
      <c r="AD3152" s="213"/>
      <c r="AE3152" s="213"/>
      <c r="AF3152" s="213"/>
      <c r="AG3152" s="213"/>
      <c r="AH3152" s="213"/>
      <c r="AI3152" s="213"/>
      <c r="AJ3152" s="213"/>
      <c r="AK3152" s="213"/>
      <c r="AL3152" s="213"/>
      <c r="AM3152" s="213"/>
      <c r="AN3152" s="213"/>
      <c r="AO3152" s="213"/>
      <c r="AP3152" s="213"/>
      <c r="AQ3152" s="213"/>
      <c r="AR3152" s="213"/>
      <c r="AS3152" s="213"/>
      <c r="AT3152" s="213"/>
      <c r="AU3152" s="213"/>
      <c r="AV3152" s="213"/>
      <c r="AW3152" s="213"/>
      <c r="AX3152" s="213"/>
      <c r="AY3152" s="213"/>
      <c r="AZ3152" s="213"/>
      <c r="BA3152" s="213"/>
      <c r="BB3152" s="213"/>
      <c r="BC3152" s="213"/>
      <c r="BD3152" s="213"/>
    </row>
    <row r="3153">
      <c r="A3153" s="213"/>
      <c r="B3153" s="213"/>
      <c r="C3153" s="213"/>
      <c r="D3153" s="213"/>
      <c r="E3153" s="213"/>
      <c r="F3153" s="213"/>
      <c r="G3153" s="213"/>
      <c r="H3153" s="213"/>
      <c r="I3153" s="213"/>
      <c r="J3153" s="213"/>
      <c r="K3153" s="213"/>
      <c r="L3153" s="213"/>
      <c r="M3153" s="213"/>
      <c r="N3153" s="213"/>
      <c r="O3153" s="213"/>
      <c r="P3153" s="213"/>
      <c r="Q3153" s="213"/>
      <c r="R3153" s="213"/>
      <c r="S3153" s="213"/>
      <c r="T3153" s="213"/>
      <c r="U3153" s="213"/>
      <c r="V3153" s="213"/>
      <c r="W3153" s="213"/>
      <c r="X3153" s="213"/>
      <c r="Y3153" s="213"/>
      <c r="Z3153" s="213"/>
      <c r="AA3153" s="213"/>
      <c r="AB3153" s="213"/>
      <c r="AC3153" s="213"/>
      <c r="AD3153" s="213"/>
      <c r="AE3153" s="213"/>
      <c r="AF3153" s="213"/>
      <c r="AG3153" s="213"/>
      <c r="AH3153" s="213"/>
      <c r="AI3153" s="213"/>
      <c r="AJ3153" s="213"/>
      <c r="AK3153" s="213"/>
      <c r="AL3153" s="213"/>
      <c r="AM3153" s="213"/>
      <c r="AN3153" s="213"/>
      <c r="AO3153" s="213"/>
      <c r="AP3153" s="213"/>
      <c r="AQ3153" s="213"/>
      <c r="AR3153" s="213"/>
      <c r="AS3153" s="213"/>
      <c r="AT3153" s="213"/>
      <c r="AU3153" s="213"/>
      <c r="AV3153" s="213"/>
      <c r="AW3153" s="213"/>
      <c r="AX3153" s="213"/>
      <c r="AY3153" s="213"/>
      <c r="AZ3153" s="213"/>
      <c r="BA3153" s="213"/>
      <c r="BB3153" s="213"/>
      <c r="BC3153" s="213"/>
      <c r="BD3153" s="213"/>
    </row>
    <row r="3154">
      <c r="A3154" s="213"/>
      <c r="B3154" s="213"/>
      <c r="C3154" s="213"/>
      <c r="D3154" s="213"/>
      <c r="E3154" s="213"/>
      <c r="F3154" s="213"/>
      <c r="G3154" s="213"/>
      <c r="H3154" s="213"/>
      <c r="I3154" s="213"/>
      <c r="J3154" s="213"/>
      <c r="K3154" s="213"/>
      <c r="L3154" s="213"/>
      <c r="M3154" s="213"/>
      <c r="N3154" s="213"/>
      <c r="O3154" s="213"/>
      <c r="P3154" s="213"/>
      <c r="Q3154" s="213"/>
      <c r="R3154" s="213"/>
      <c r="S3154" s="213"/>
      <c r="T3154" s="213"/>
      <c r="U3154" s="213"/>
      <c r="V3154" s="213"/>
      <c r="W3154" s="213"/>
      <c r="X3154" s="213"/>
      <c r="Y3154" s="213"/>
      <c r="Z3154" s="213"/>
      <c r="AA3154" s="213"/>
      <c r="AB3154" s="213"/>
      <c r="AC3154" s="213"/>
      <c r="AD3154" s="213"/>
      <c r="AE3154" s="213"/>
      <c r="AF3154" s="213"/>
      <c r="AG3154" s="213"/>
      <c r="AH3154" s="213"/>
      <c r="AI3154" s="213"/>
      <c r="AJ3154" s="213"/>
      <c r="AK3154" s="213"/>
      <c r="AL3154" s="213"/>
      <c r="AM3154" s="213"/>
      <c r="AN3154" s="213"/>
      <c r="AO3154" s="213"/>
      <c r="AP3154" s="213"/>
      <c r="AQ3154" s="213"/>
      <c r="AR3154" s="213"/>
      <c r="AS3154" s="213"/>
      <c r="AT3154" s="213"/>
      <c r="AU3154" s="213"/>
      <c r="AV3154" s="213"/>
      <c r="AW3154" s="213"/>
      <c r="AX3154" s="213"/>
      <c r="AY3154" s="213"/>
      <c r="AZ3154" s="213"/>
      <c r="BA3154" s="213"/>
      <c r="BB3154" s="213"/>
      <c r="BC3154" s="213"/>
      <c r="BD3154" s="213"/>
    </row>
    <row r="3155">
      <c r="A3155" s="213"/>
      <c r="B3155" s="213"/>
      <c r="C3155" s="213"/>
      <c r="D3155" s="213"/>
      <c r="E3155" s="213"/>
      <c r="F3155" s="213"/>
      <c r="G3155" s="213"/>
      <c r="H3155" s="213"/>
      <c r="I3155" s="213"/>
      <c r="J3155" s="213"/>
      <c r="K3155" s="213"/>
      <c r="L3155" s="213"/>
      <c r="M3155" s="213"/>
      <c r="N3155" s="213"/>
      <c r="O3155" s="213"/>
      <c r="P3155" s="213"/>
      <c r="Q3155" s="213"/>
      <c r="R3155" s="213"/>
      <c r="S3155" s="213"/>
      <c r="T3155" s="213"/>
      <c r="U3155" s="213"/>
      <c r="V3155" s="213"/>
      <c r="W3155" s="213"/>
      <c r="X3155" s="213"/>
      <c r="Y3155" s="213"/>
      <c r="Z3155" s="213"/>
      <c r="AA3155" s="213"/>
      <c r="AB3155" s="213"/>
      <c r="AC3155" s="213"/>
      <c r="AD3155" s="213"/>
      <c r="AE3155" s="213"/>
      <c r="AF3155" s="213"/>
      <c r="AG3155" s="213"/>
      <c r="AH3155" s="213"/>
      <c r="AI3155" s="213"/>
      <c r="AJ3155" s="213"/>
      <c r="AK3155" s="213"/>
      <c r="AL3155" s="213"/>
      <c r="AM3155" s="213"/>
      <c r="AN3155" s="213"/>
      <c r="AO3155" s="213"/>
      <c r="AP3155" s="213"/>
      <c r="AQ3155" s="213"/>
      <c r="AR3155" s="213"/>
      <c r="AS3155" s="213"/>
      <c r="AT3155" s="213"/>
      <c r="AU3155" s="213"/>
      <c r="AV3155" s="213"/>
      <c r="AW3155" s="213"/>
      <c r="AX3155" s="213"/>
      <c r="AY3155" s="213"/>
      <c r="AZ3155" s="213"/>
      <c r="BA3155" s="213"/>
      <c r="BB3155" s="213"/>
      <c r="BC3155" s="213"/>
      <c r="BD3155" s="213"/>
    </row>
    <row r="3156">
      <c r="A3156" s="213"/>
      <c r="B3156" s="213"/>
      <c r="C3156" s="213"/>
      <c r="D3156" s="213"/>
      <c r="E3156" s="213"/>
      <c r="F3156" s="213"/>
      <c r="G3156" s="213"/>
      <c r="H3156" s="213"/>
      <c r="I3156" s="213"/>
      <c r="J3156" s="213"/>
      <c r="K3156" s="213"/>
      <c r="L3156" s="213"/>
      <c r="M3156" s="213"/>
      <c r="N3156" s="213"/>
      <c r="O3156" s="213"/>
      <c r="P3156" s="213"/>
      <c r="Q3156" s="213"/>
      <c r="R3156" s="213"/>
      <c r="S3156" s="213"/>
      <c r="T3156" s="213"/>
      <c r="U3156" s="213"/>
      <c r="V3156" s="213"/>
      <c r="W3156" s="213"/>
      <c r="X3156" s="213"/>
      <c r="Y3156" s="213"/>
      <c r="Z3156" s="213"/>
      <c r="AA3156" s="213"/>
      <c r="AB3156" s="213"/>
      <c r="AC3156" s="213"/>
      <c r="AD3156" s="213"/>
      <c r="AE3156" s="213"/>
      <c r="AF3156" s="213"/>
      <c r="AG3156" s="213"/>
      <c r="AH3156" s="213"/>
      <c r="AI3156" s="213"/>
      <c r="AJ3156" s="213"/>
      <c r="AK3156" s="213"/>
      <c r="AL3156" s="213"/>
      <c r="AM3156" s="213"/>
      <c r="AN3156" s="213"/>
      <c r="AO3156" s="213"/>
      <c r="AP3156" s="213"/>
      <c r="AQ3156" s="213"/>
      <c r="AR3156" s="213"/>
      <c r="AS3156" s="213"/>
      <c r="AT3156" s="213"/>
      <c r="AU3156" s="213"/>
      <c r="AV3156" s="213"/>
      <c r="AW3156" s="213"/>
      <c r="AX3156" s="213"/>
      <c r="AY3156" s="213"/>
      <c r="AZ3156" s="213"/>
      <c r="BA3156" s="213"/>
      <c r="BB3156" s="213"/>
      <c r="BC3156" s="213"/>
      <c r="BD3156" s="213"/>
    </row>
    <row r="3157">
      <c r="A3157" s="213"/>
      <c r="B3157" s="213"/>
      <c r="C3157" s="213"/>
      <c r="D3157" s="213"/>
      <c r="E3157" s="213"/>
      <c r="F3157" s="213"/>
      <c r="G3157" s="213"/>
      <c r="H3157" s="213"/>
      <c r="I3157" s="213"/>
      <c r="J3157" s="213"/>
      <c r="K3157" s="213"/>
      <c r="L3157" s="213"/>
      <c r="M3157" s="213"/>
      <c r="N3157" s="213"/>
      <c r="O3157" s="213"/>
      <c r="P3157" s="213"/>
      <c r="Q3157" s="213"/>
      <c r="R3157" s="213"/>
      <c r="S3157" s="213"/>
      <c r="T3157" s="213"/>
      <c r="U3157" s="213"/>
      <c r="V3157" s="213"/>
      <c r="W3157" s="213"/>
      <c r="X3157" s="213"/>
      <c r="Y3157" s="213"/>
      <c r="Z3157" s="213"/>
      <c r="AA3157" s="213"/>
      <c r="AB3157" s="213"/>
      <c r="AC3157" s="213"/>
      <c r="AD3157" s="213"/>
      <c r="AE3157" s="213"/>
      <c r="AF3157" s="213"/>
      <c r="AG3157" s="213"/>
      <c r="AH3157" s="213"/>
      <c r="AI3157" s="213"/>
      <c r="AJ3157" s="213"/>
      <c r="AK3157" s="213"/>
      <c r="AL3157" s="213"/>
      <c r="AM3157" s="213"/>
      <c r="AN3157" s="213"/>
      <c r="AO3157" s="213"/>
      <c r="AP3157" s="213"/>
      <c r="AQ3157" s="213"/>
      <c r="AR3157" s="213"/>
      <c r="AS3157" s="213"/>
      <c r="AT3157" s="213"/>
      <c r="AU3157" s="213"/>
      <c r="AV3157" s="213"/>
      <c r="AW3157" s="213"/>
      <c r="AX3157" s="213"/>
      <c r="AY3157" s="213"/>
      <c r="AZ3157" s="213"/>
      <c r="BA3157" s="213"/>
      <c r="BB3157" s="213"/>
      <c r="BC3157" s="213"/>
      <c r="BD3157" s="213"/>
    </row>
    <row r="3158">
      <c r="A3158" s="213"/>
      <c r="B3158" s="213"/>
      <c r="C3158" s="213"/>
      <c r="D3158" s="213"/>
      <c r="E3158" s="213"/>
      <c r="F3158" s="213"/>
      <c r="G3158" s="213"/>
      <c r="H3158" s="213"/>
      <c r="I3158" s="213"/>
      <c r="J3158" s="213"/>
      <c r="K3158" s="213"/>
      <c r="L3158" s="213"/>
      <c r="M3158" s="213"/>
      <c r="N3158" s="213"/>
      <c r="O3158" s="213"/>
      <c r="P3158" s="213"/>
      <c r="Q3158" s="213"/>
      <c r="R3158" s="213"/>
      <c r="S3158" s="213"/>
      <c r="T3158" s="213"/>
      <c r="U3158" s="213"/>
      <c r="V3158" s="213"/>
      <c r="W3158" s="213"/>
      <c r="X3158" s="213"/>
      <c r="Y3158" s="213"/>
      <c r="Z3158" s="213"/>
      <c r="AA3158" s="213"/>
      <c r="AB3158" s="213"/>
      <c r="AC3158" s="213"/>
      <c r="AD3158" s="213"/>
      <c r="AE3158" s="213"/>
      <c r="AF3158" s="213"/>
      <c r="AG3158" s="213"/>
      <c r="AH3158" s="213"/>
      <c r="AI3158" s="213"/>
      <c r="AJ3158" s="213"/>
      <c r="AK3158" s="213"/>
      <c r="AL3158" s="213"/>
      <c r="AM3158" s="213"/>
      <c r="AN3158" s="213"/>
      <c r="AO3158" s="213"/>
      <c r="AP3158" s="213"/>
      <c r="AQ3158" s="213"/>
      <c r="AR3158" s="213"/>
      <c r="AS3158" s="213"/>
      <c r="AT3158" s="213"/>
      <c r="AU3158" s="213"/>
      <c r="AV3158" s="213"/>
      <c r="AW3158" s="213"/>
      <c r="AX3158" s="213"/>
      <c r="AY3158" s="213"/>
      <c r="AZ3158" s="213"/>
      <c r="BA3158" s="213"/>
      <c r="BB3158" s="213"/>
      <c r="BC3158" s="213"/>
      <c r="BD3158" s="213"/>
    </row>
    <row r="3159">
      <c r="A3159" s="213"/>
      <c r="B3159" s="213"/>
      <c r="C3159" s="213"/>
      <c r="D3159" s="213"/>
      <c r="E3159" s="213"/>
      <c r="F3159" s="213"/>
      <c r="G3159" s="213"/>
      <c r="H3159" s="213"/>
      <c r="I3159" s="213"/>
      <c r="J3159" s="213"/>
      <c r="K3159" s="213"/>
      <c r="L3159" s="213"/>
      <c r="M3159" s="213"/>
      <c r="N3159" s="213"/>
      <c r="O3159" s="213"/>
      <c r="P3159" s="213"/>
      <c r="Q3159" s="213"/>
      <c r="R3159" s="213"/>
      <c r="S3159" s="213"/>
      <c r="T3159" s="213"/>
      <c r="U3159" s="213"/>
      <c r="V3159" s="213"/>
      <c r="W3159" s="213"/>
      <c r="X3159" s="213"/>
      <c r="Y3159" s="213"/>
      <c r="Z3159" s="213"/>
      <c r="AA3159" s="213"/>
      <c r="AB3159" s="213"/>
      <c r="AC3159" s="213"/>
      <c r="AD3159" s="213"/>
      <c r="AE3159" s="213"/>
      <c r="AF3159" s="213"/>
      <c r="AG3159" s="213"/>
      <c r="AH3159" s="213"/>
      <c r="AI3159" s="213"/>
      <c r="AJ3159" s="213"/>
      <c r="AK3159" s="213"/>
      <c r="AL3159" s="213"/>
      <c r="AM3159" s="213"/>
      <c r="AN3159" s="213"/>
      <c r="AO3159" s="213"/>
      <c r="AP3159" s="213"/>
      <c r="AQ3159" s="213"/>
      <c r="AR3159" s="213"/>
      <c r="AS3159" s="213"/>
      <c r="AT3159" s="213"/>
      <c r="AU3159" s="213"/>
      <c r="AV3159" s="213"/>
      <c r="AW3159" s="213"/>
      <c r="AX3159" s="213"/>
      <c r="AY3159" s="213"/>
      <c r="AZ3159" s="213"/>
      <c r="BA3159" s="213"/>
      <c r="BB3159" s="213"/>
      <c r="BC3159" s="213"/>
      <c r="BD3159" s="213"/>
    </row>
    <row r="3160">
      <c r="A3160" s="213"/>
      <c r="B3160" s="213"/>
      <c r="C3160" s="213"/>
      <c r="D3160" s="213"/>
      <c r="E3160" s="213"/>
      <c r="F3160" s="213"/>
      <c r="G3160" s="213"/>
      <c r="H3160" s="213"/>
      <c r="I3160" s="213"/>
      <c r="J3160" s="213"/>
      <c r="K3160" s="213"/>
      <c r="L3160" s="213"/>
      <c r="M3160" s="213"/>
      <c r="N3160" s="213"/>
      <c r="O3160" s="213"/>
      <c r="P3160" s="213"/>
      <c r="Q3160" s="213"/>
      <c r="R3160" s="213"/>
      <c r="S3160" s="213"/>
      <c r="T3160" s="213"/>
      <c r="U3160" s="213"/>
      <c r="V3160" s="213"/>
      <c r="W3160" s="213"/>
      <c r="X3160" s="213"/>
      <c r="Y3160" s="213"/>
      <c r="Z3160" s="213"/>
      <c r="AA3160" s="213"/>
      <c r="AB3160" s="213"/>
      <c r="AC3160" s="213"/>
      <c r="AD3160" s="213"/>
      <c r="AE3160" s="213"/>
      <c r="AF3160" s="213"/>
      <c r="AG3160" s="213"/>
      <c r="AH3160" s="213"/>
      <c r="AI3160" s="213"/>
      <c r="AJ3160" s="213"/>
      <c r="AK3160" s="213"/>
      <c r="AL3160" s="213"/>
      <c r="AM3160" s="213"/>
      <c r="AN3160" s="213"/>
      <c r="AO3160" s="213"/>
      <c r="AP3160" s="213"/>
      <c r="AQ3160" s="213"/>
      <c r="AR3160" s="213"/>
      <c r="AS3160" s="213"/>
      <c r="AT3160" s="213"/>
      <c r="AU3160" s="213"/>
      <c r="AV3160" s="213"/>
      <c r="AW3160" s="213"/>
      <c r="AX3160" s="213"/>
      <c r="AY3160" s="213"/>
      <c r="AZ3160" s="213"/>
      <c r="BA3160" s="213"/>
      <c r="BB3160" s="213"/>
      <c r="BC3160" s="213"/>
      <c r="BD3160" s="213"/>
    </row>
    <row r="3161">
      <c r="A3161" s="213"/>
      <c r="B3161" s="213"/>
      <c r="C3161" s="213"/>
      <c r="D3161" s="213"/>
      <c r="E3161" s="213"/>
      <c r="F3161" s="213"/>
      <c r="G3161" s="213"/>
      <c r="H3161" s="213"/>
      <c r="I3161" s="213"/>
      <c r="J3161" s="213"/>
      <c r="K3161" s="213"/>
      <c r="L3161" s="213"/>
      <c r="M3161" s="213"/>
      <c r="N3161" s="213"/>
      <c r="O3161" s="213"/>
      <c r="P3161" s="213"/>
      <c r="Q3161" s="213"/>
      <c r="R3161" s="213"/>
      <c r="S3161" s="213"/>
      <c r="T3161" s="213"/>
      <c r="U3161" s="213"/>
      <c r="V3161" s="213"/>
      <c r="W3161" s="213"/>
      <c r="X3161" s="213"/>
      <c r="Y3161" s="213"/>
      <c r="Z3161" s="213"/>
      <c r="AA3161" s="213"/>
      <c r="AB3161" s="213"/>
      <c r="AC3161" s="213"/>
      <c r="AD3161" s="213"/>
      <c r="AE3161" s="213"/>
      <c r="AF3161" s="213"/>
      <c r="AG3161" s="213"/>
      <c r="AH3161" s="213"/>
      <c r="AI3161" s="213"/>
      <c r="AJ3161" s="213"/>
      <c r="AK3161" s="213"/>
      <c r="AL3161" s="213"/>
      <c r="AM3161" s="213"/>
      <c r="AN3161" s="213"/>
      <c r="AO3161" s="213"/>
      <c r="AP3161" s="213"/>
      <c r="AQ3161" s="213"/>
      <c r="AR3161" s="213"/>
      <c r="AS3161" s="213"/>
      <c r="AT3161" s="213"/>
      <c r="AU3161" s="213"/>
      <c r="AV3161" s="213"/>
      <c r="AW3161" s="213"/>
      <c r="AX3161" s="213"/>
      <c r="AY3161" s="213"/>
      <c r="AZ3161" s="213"/>
      <c r="BA3161" s="213"/>
      <c r="BB3161" s="213"/>
      <c r="BC3161" s="213"/>
      <c r="BD3161" s="213"/>
    </row>
    <row r="3162">
      <c r="A3162" s="213"/>
      <c r="B3162" s="213"/>
      <c r="C3162" s="213"/>
      <c r="D3162" s="213"/>
      <c r="E3162" s="213"/>
      <c r="F3162" s="213"/>
      <c r="G3162" s="213"/>
      <c r="H3162" s="213"/>
      <c r="I3162" s="213"/>
      <c r="J3162" s="213"/>
      <c r="K3162" s="213"/>
      <c r="L3162" s="213"/>
      <c r="M3162" s="213"/>
      <c r="N3162" s="213"/>
      <c r="O3162" s="213"/>
      <c r="P3162" s="213"/>
      <c r="Q3162" s="213"/>
      <c r="R3162" s="213"/>
      <c r="S3162" s="213"/>
      <c r="T3162" s="213"/>
      <c r="U3162" s="213"/>
      <c r="V3162" s="213"/>
      <c r="W3162" s="213"/>
      <c r="X3162" s="213"/>
      <c r="Y3162" s="213"/>
      <c r="Z3162" s="213"/>
      <c r="AA3162" s="213"/>
      <c r="AB3162" s="213"/>
      <c r="AC3162" s="213"/>
      <c r="AD3162" s="213"/>
      <c r="AE3162" s="213"/>
      <c r="AF3162" s="213"/>
      <c r="AG3162" s="213"/>
      <c r="AH3162" s="213"/>
      <c r="AI3162" s="213"/>
      <c r="AJ3162" s="213"/>
      <c r="AK3162" s="213"/>
      <c r="AL3162" s="213"/>
      <c r="AM3162" s="213"/>
      <c r="AN3162" s="213"/>
      <c r="AO3162" s="213"/>
      <c r="AP3162" s="213"/>
      <c r="AQ3162" s="213"/>
      <c r="AR3162" s="213"/>
      <c r="AS3162" s="213"/>
      <c r="AT3162" s="213"/>
      <c r="AU3162" s="213"/>
      <c r="AV3162" s="213"/>
      <c r="AW3162" s="213"/>
      <c r="AX3162" s="213"/>
      <c r="AY3162" s="213"/>
      <c r="AZ3162" s="213"/>
      <c r="BA3162" s="213"/>
      <c r="BB3162" s="213"/>
      <c r="BC3162" s="213"/>
      <c r="BD3162" s="213"/>
    </row>
    <row r="3163">
      <c r="A3163" s="213"/>
      <c r="B3163" s="213"/>
      <c r="C3163" s="213"/>
      <c r="D3163" s="213"/>
      <c r="E3163" s="213"/>
      <c r="F3163" s="213"/>
      <c r="G3163" s="213"/>
      <c r="H3163" s="213"/>
      <c r="I3163" s="213"/>
      <c r="J3163" s="213"/>
      <c r="K3163" s="213"/>
      <c r="L3163" s="213"/>
      <c r="M3163" s="213"/>
      <c r="N3163" s="213"/>
      <c r="O3163" s="213"/>
      <c r="P3163" s="213"/>
      <c r="Q3163" s="213"/>
      <c r="R3163" s="213"/>
      <c r="S3163" s="213"/>
      <c r="T3163" s="213"/>
      <c r="U3163" s="213"/>
      <c r="V3163" s="213"/>
      <c r="W3163" s="213"/>
      <c r="X3163" s="213"/>
      <c r="Y3163" s="213"/>
      <c r="Z3163" s="213"/>
      <c r="AA3163" s="213"/>
      <c r="AB3163" s="213"/>
      <c r="AC3163" s="213"/>
      <c r="AD3163" s="213"/>
      <c r="AE3163" s="213"/>
      <c r="AF3163" s="213"/>
      <c r="AG3163" s="213"/>
      <c r="AH3163" s="213"/>
      <c r="AI3163" s="213"/>
      <c r="AJ3163" s="213"/>
      <c r="AK3163" s="213"/>
      <c r="AL3163" s="213"/>
      <c r="AM3163" s="213"/>
      <c r="AN3163" s="213"/>
      <c r="AO3163" s="213"/>
      <c r="AP3163" s="213"/>
      <c r="AQ3163" s="213"/>
      <c r="AR3163" s="213"/>
      <c r="AS3163" s="213"/>
      <c r="AT3163" s="213"/>
      <c r="AU3163" s="213"/>
      <c r="AV3163" s="213"/>
      <c r="AW3163" s="213"/>
      <c r="AX3163" s="213"/>
      <c r="AY3163" s="213"/>
      <c r="AZ3163" s="213"/>
      <c r="BA3163" s="213"/>
      <c r="BB3163" s="213"/>
      <c r="BC3163" s="213"/>
      <c r="BD3163" s="213"/>
    </row>
    <row r="3164">
      <c r="A3164" s="213"/>
      <c r="B3164" s="213"/>
      <c r="C3164" s="213"/>
      <c r="D3164" s="213"/>
      <c r="E3164" s="213"/>
      <c r="F3164" s="213"/>
      <c r="G3164" s="213"/>
      <c r="H3164" s="213"/>
      <c r="I3164" s="213"/>
      <c r="J3164" s="213"/>
      <c r="K3164" s="213"/>
      <c r="L3164" s="213"/>
      <c r="M3164" s="213"/>
      <c r="N3164" s="213"/>
      <c r="O3164" s="213"/>
      <c r="P3164" s="213"/>
      <c r="Q3164" s="213"/>
      <c r="R3164" s="213"/>
      <c r="S3164" s="213"/>
      <c r="T3164" s="213"/>
      <c r="U3164" s="213"/>
      <c r="V3164" s="213"/>
      <c r="W3164" s="213"/>
      <c r="X3164" s="213"/>
      <c r="Y3164" s="213"/>
      <c r="Z3164" s="213"/>
      <c r="AA3164" s="213"/>
      <c r="AB3164" s="213"/>
      <c r="AC3164" s="213"/>
      <c r="AD3164" s="213"/>
      <c r="AE3164" s="213"/>
      <c r="AF3164" s="213"/>
      <c r="AG3164" s="213"/>
      <c r="AH3164" s="213"/>
      <c r="AI3164" s="213"/>
      <c r="AJ3164" s="213"/>
      <c r="AK3164" s="213"/>
      <c r="AL3164" s="213"/>
      <c r="AM3164" s="213"/>
      <c r="AN3164" s="213"/>
      <c r="AO3164" s="213"/>
      <c r="AP3164" s="213"/>
      <c r="AQ3164" s="213"/>
      <c r="AR3164" s="213"/>
      <c r="AS3164" s="213"/>
      <c r="AT3164" s="213"/>
      <c r="AU3164" s="213"/>
      <c r="AV3164" s="213"/>
      <c r="AW3164" s="213"/>
      <c r="AX3164" s="213"/>
      <c r="AY3164" s="213"/>
      <c r="AZ3164" s="213"/>
      <c r="BA3164" s="213"/>
      <c r="BB3164" s="213"/>
      <c r="BC3164" s="213"/>
      <c r="BD3164" s="213"/>
    </row>
    <row r="3165">
      <c r="A3165" s="213"/>
      <c r="B3165" s="213"/>
      <c r="C3165" s="213"/>
      <c r="D3165" s="213"/>
      <c r="E3165" s="213"/>
      <c r="F3165" s="213"/>
      <c r="G3165" s="213"/>
      <c r="H3165" s="213"/>
      <c r="I3165" s="213"/>
      <c r="J3165" s="213"/>
      <c r="K3165" s="213"/>
      <c r="L3165" s="213"/>
      <c r="M3165" s="213"/>
      <c r="N3165" s="213"/>
      <c r="O3165" s="213"/>
      <c r="P3165" s="213"/>
      <c r="Q3165" s="213"/>
      <c r="R3165" s="213"/>
      <c r="S3165" s="213"/>
      <c r="T3165" s="213"/>
      <c r="U3165" s="213"/>
      <c r="V3165" s="213"/>
      <c r="W3165" s="213"/>
      <c r="X3165" s="213"/>
      <c r="Y3165" s="213"/>
      <c r="Z3165" s="213"/>
      <c r="AA3165" s="213"/>
      <c r="AB3165" s="213"/>
      <c r="AC3165" s="213"/>
      <c r="AD3165" s="213"/>
      <c r="AE3165" s="213"/>
      <c r="AF3165" s="213"/>
      <c r="AG3165" s="213"/>
      <c r="AH3165" s="213"/>
      <c r="AI3165" s="213"/>
      <c r="AJ3165" s="213"/>
      <c r="AK3165" s="213"/>
      <c r="AL3165" s="213"/>
      <c r="AM3165" s="213"/>
      <c r="AN3165" s="213"/>
      <c r="AO3165" s="213"/>
      <c r="AP3165" s="213"/>
      <c r="AQ3165" s="213"/>
      <c r="AR3165" s="213"/>
      <c r="AS3165" s="213"/>
      <c r="AT3165" s="213"/>
      <c r="AU3165" s="213"/>
      <c r="AV3165" s="213"/>
      <c r="AW3165" s="213"/>
      <c r="AX3165" s="213"/>
      <c r="AY3165" s="213"/>
      <c r="AZ3165" s="213"/>
      <c r="BA3165" s="213"/>
      <c r="BB3165" s="213"/>
      <c r="BC3165" s="213"/>
      <c r="BD3165" s="213"/>
    </row>
    <row r="3166">
      <c r="A3166" s="213"/>
      <c r="B3166" s="213"/>
      <c r="C3166" s="213"/>
      <c r="D3166" s="213"/>
      <c r="E3166" s="213"/>
      <c r="F3166" s="213"/>
      <c r="G3166" s="213"/>
      <c r="H3166" s="213"/>
      <c r="I3166" s="213"/>
      <c r="J3166" s="213"/>
      <c r="K3166" s="213"/>
      <c r="L3166" s="213"/>
      <c r="M3166" s="213"/>
      <c r="N3166" s="213"/>
      <c r="O3166" s="213"/>
      <c r="P3166" s="213"/>
      <c r="Q3166" s="213"/>
      <c r="R3166" s="213"/>
      <c r="S3166" s="213"/>
      <c r="T3166" s="213"/>
      <c r="U3166" s="213"/>
      <c r="V3166" s="213"/>
      <c r="W3166" s="213"/>
      <c r="X3166" s="213"/>
      <c r="Y3166" s="213"/>
      <c r="Z3166" s="213"/>
      <c r="AA3166" s="213"/>
      <c r="AB3166" s="213"/>
      <c r="AC3166" s="213"/>
      <c r="AD3166" s="213"/>
      <c r="AE3166" s="213"/>
      <c r="AF3166" s="213"/>
      <c r="AG3166" s="213"/>
      <c r="AH3166" s="213"/>
      <c r="AI3166" s="213"/>
      <c r="AJ3166" s="213"/>
      <c r="AK3166" s="213"/>
      <c r="AL3166" s="213"/>
      <c r="AM3166" s="213"/>
      <c r="AN3166" s="213"/>
      <c r="AO3166" s="213"/>
      <c r="AP3166" s="213"/>
      <c r="AQ3166" s="213"/>
      <c r="AR3166" s="213"/>
      <c r="AS3166" s="213"/>
      <c r="AT3166" s="213"/>
      <c r="AU3166" s="213"/>
      <c r="AV3166" s="213"/>
      <c r="AW3166" s="213"/>
      <c r="AX3166" s="213"/>
      <c r="AY3166" s="213"/>
      <c r="AZ3166" s="213"/>
      <c r="BA3166" s="213"/>
      <c r="BB3166" s="213"/>
      <c r="BC3166" s="213"/>
      <c r="BD3166" s="213"/>
    </row>
    <row r="3167">
      <c r="A3167" s="213"/>
      <c r="B3167" s="213"/>
      <c r="C3167" s="213"/>
      <c r="D3167" s="213"/>
      <c r="E3167" s="213"/>
      <c r="F3167" s="213"/>
      <c r="G3167" s="213"/>
      <c r="H3167" s="213"/>
      <c r="I3167" s="213"/>
      <c r="J3167" s="213"/>
      <c r="K3167" s="213"/>
      <c r="L3167" s="213"/>
      <c r="M3167" s="213"/>
      <c r="N3167" s="213"/>
      <c r="O3167" s="213"/>
      <c r="P3167" s="213"/>
      <c r="Q3167" s="213"/>
      <c r="R3167" s="213"/>
      <c r="S3167" s="213"/>
      <c r="T3167" s="213"/>
      <c r="U3167" s="213"/>
      <c r="V3167" s="213"/>
      <c r="W3167" s="213"/>
      <c r="X3167" s="213"/>
      <c r="Y3167" s="213"/>
      <c r="Z3167" s="213"/>
      <c r="AA3167" s="213"/>
      <c r="AB3167" s="213"/>
      <c r="AC3167" s="213"/>
      <c r="AD3167" s="213"/>
      <c r="AE3167" s="213"/>
      <c r="AF3167" s="213"/>
      <c r="AG3167" s="213"/>
      <c r="AH3167" s="213"/>
      <c r="AI3167" s="213"/>
      <c r="AJ3167" s="213"/>
      <c r="AK3167" s="213"/>
      <c r="AL3167" s="213"/>
      <c r="AM3167" s="213"/>
      <c r="AN3167" s="213"/>
      <c r="AO3167" s="213"/>
      <c r="AP3167" s="213"/>
      <c r="AQ3167" s="213"/>
      <c r="AR3167" s="213"/>
      <c r="AS3167" s="213"/>
      <c r="AT3167" s="213"/>
      <c r="AU3167" s="213"/>
      <c r="AV3167" s="213"/>
      <c r="AW3167" s="213"/>
      <c r="AX3167" s="213"/>
      <c r="AY3167" s="213"/>
      <c r="AZ3167" s="213"/>
      <c r="BA3167" s="213"/>
      <c r="BB3167" s="213"/>
      <c r="BC3167" s="213"/>
      <c r="BD3167" s="213"/>
    </row>
    <row r="3168">
      <c r="A3168" s="213"/>
      <c r="B3168" s="213"/>
      <c r="C3168" s="213"/>
      <c r="D3168" s="213"/>
      <c r="E3168" s="213"/>
      <c r="F3168" s="213"/>
      <c r="G3168" s="213"/>
      <c r="H3168" s="213"/>
      <c r="I3168" s="213"/>
      <c r="J3168" s="213"/>
      <c r="K3168" s="213"/>
      <c r="L3168" s="213"/>
      <c r="M3168" s="213"/>
      <c r="N3168" s="213"/>
      <c r="O3168" s="213"/>
      <c r="P3168" s="213"/>
      <c r="Q3168" s="213"/>
      <c r="R3168" s="213"/>
      <c r="S3168" s="213"/>
      <c r="T3168" s="213"/>
      <c r="U3168" s="213"/>
      <c r="V3168" s="213"/>
      <c r="W3168" s="213"/>
      <c r="X3168" s="213"/>
      <c r="Y3168" s="213"/>
      <c r="Z3168" s="213"/>
      <c r="AA3168" s="213"/>
      <c r="AB3168" s="213"/>
      <c r="AC3168" s="213"/>
      <c r="AD3168" s="213"/>
      <c r="AE3168" s="213"/>
      <c r="AF3168" s="213"/>
      <c r="AG3168" s="213"/>
      <c r="AH3168" s="213"/>
      <c r="AI3168" s="213"/>
      <c r="AJ3168" s="213"/>
      <c r="AK3168" s="213"/>
      <c r="AL3168" s="213"/>
      <c r="AM3168" s="213"/>
      <c r="AN3168" s="213"/>
      <c r="AO3168" s="213"/>
      <c r="AP3168" s="213"/>
      <c r="AQ3168" s="213"/>
      <c r="AR3168" s="213"/>
      <c r="AS3168" s="213"/>
      <c r="AT3168" s="213"/>
      <c r="AU3168" s="213"/>
      <c r="AV3168" s="213"/>
      <c r="AW3168" s="213"/>
      <c r="AX3168" s="213"/>
      <c r="AY3168" s="213"/>
      <c r="AZ3168" s="213"/>
      <c r="BA3168" s="213"/>
      <c r="BB3168" s="213"/>
      <c r="BC3168" s="213"/>
      <c r="BD3168" s="213"/>
    </row>
    <row r="3169">
      <c r="A3169" s="213"/>
      <c r="B3169" s="213"/>
      <c r="C3169" s="213"/>
      <c r="D3169" s="213"/>
      <c r="E3169" s="213"/>
      <c r="F3169" s="213"/>
      <c r="G3169" s="213"/>
      <c r="H3169" s="213"/>
      <c r="I3169" s="213"/>
      <c r="J3169" s="213"/>
      <c r="K3169" s="213"/>
      <c r="L3169" s="213"/>
      <c r="M3169" s="213"/>
      <c r="N3169" s="213"/>
      <c r="O3169" s="213"/>
      <c r="P3169" s="213"/>
      <c r="Q3169" s="213"/>
      <c r="R3169" s="213"/>
      <c r="S3169" s="213"/>
      <c r="T3169" s="213"/>
      <c r="U3169" s="213"/>
      <c r="V3169" s="213"/>
      <c r="W3169" s="213"/>
      <c r="X3169" s="213"/>
      <c r="Y3169" s="213"/>
      <c r="Z3169" s="213"/>
      <c r="AA3169" s="213"/>
      <c r="AB3169" s="213"/>
      <c r="AC3169" s="213"/>
      <c r="AD3169" s="213"/>
      <c r="AE3169" s="213"/>
      <c r="AF3169" s="213"/>
      <c r="AG3169" s="213"/>
      <c r="AH3169" s="213"/>
      <c r="AI3169" s="213"/>
      <c r="AJ3169" s="213"/>
      <c r="AK3169" s="213"/>
      <c r="AL3169" s="213"/>
      <c r="AM3169" s="213"/>
      <c r="AN3169" s="213"/>
      <c r="AO3169" s="213"/>
      <c r="AP3169" s="213"/>
      <c r="AQ3169" s="213"/>
      <c r="AR3169" s="213"/>
      <c r="AS3169" s="213"/>
      <c r="AT3169" s="213"/>
      <c r="AU3169" s="213"/>
      <c r="AV3169" s="213"/>
      <c r="AW3169" s="213"/>
      <c r="AX3169" s="213"/>
      <c r="AY3169" s="213"/>
      <c r="AZ3169" s="213"/>
      <c r="BA3169" s="213"/>
      <c r="BB3169" s="213"/>
      <c r="BC3169" s="213"/>
      <c r="BD3169" s="213"/>
    </row>
    <row r="3170">
      <c r="A3170" s="213"/>
      <c r="B3170" s="213"/>
      <c r="C3170" s="213"/>
      <c r="D3170" s="213"/>
      <c r="E3170" s="213"/>
      <c r="F3170" s="213"/>
      <c r="G3170" s="213"/>
      <c r="H3170" s="213"/>
      <c r="I3170" s="213"/>
      <c r="J3170" s="213"/>
      <c r="K3170" s="213"/>
      <c r="L3170" s="213"/>
      <c r="M3170" s="213"/>
      <c r="N3170" s="213"/>
      <c r="O3170" s="213"/>
      <c r="P3170" s="213"/>
      <c r="Q3170" s="213"/>
      <c r="R3170" s="213"/>
      <c r="S3170" s="213"/>
      <c r="T3170" s="213"/>
      <c r="U3170" s="213"/>
      <c r="V3170" s="213"/>
      <c r="W3170" s="213"/>
      <c r="X3170" s="213"/>
      <c r="Y3170" s="213"/>
      <c r="Z3170" s="213"/>
      <c r="AA3170" s="213"/>
      <c r="AB3170" s="213"/>
      <c r="AC3170" s="213"/>
      <c r="AD3170" s="213"/>
      <c r="AE3170" s="213"/>
      <c r="AF3170" s="213"/>
      <c r="AG3170" s="213"/>
      <c r="AH3170" s="213"/>
      <c r="AI3170" s="213"/>
      <c r="AJ3170" s="213"/>
      <c r="AK3170" s="213"/>
      <c r="AL3170" s="213"/>
      <c r="AM3170" s="213"/>
      <c r="AN3170" s="213"/>
      <c r="AO3170" s="213"/>
      <c r="AP3170" s="213"/>
      <c r="AQ3170" s="213"/>
      <c r="AR3170" s="213"/>
      <c r="AS3170" s="213"/>
      <c r="AT3170" s="213"/>
      <c r="AU3170" s="213"/>
      <c r="AV3170" s="213"/>
      <c r="AW3170" s="213"/>
      <c r="AX3170" s="213"/>
      <c r="AY3170" s="213"/>
      <c r="AZ3170" s="213"/>
      <c r="BA3170" s="213"/>
      <c r="BB3170" s="213"/>
      <c r="BC3170" s="213"/>
      <c r="BD3170" s="213"/>
    </row>
    <row r="3171">
      <c r="A3171" s="213"/>
      <c r="B3171" s="213"/>
      <c r="C3171" s="213"/>
      <c r="D3171" s="213"/>
      <c r="E3171" s="213"/>
      <c r="F3171" s="213"/>
      <c r="G3171" s="213"/>
      <c r="H3171" s="213"/>
      <c r="I3171" s="213"/>
      <c r="J3171" s="213"/>
      <c r="K3171" s="213"/>
      <c r="L3171" s="213"/>
      <c r="M3171" s="213"/>
      <c r="N3171" s="213"/>
      <c r="O3171" s="213"/>
      <c r="P3171" s="213"/>
      <c r="Q3171" s="213"/>
      <c r="R3171" s="213"/>
      <c r="S3171" s="213"/>
      <c r="T3171" s="213"/>
      <c r="U3171" s="213"/>
      <c r="V3171" s="213"/>
      <c r="W3171" s="213"/>
      <c r="X3171" s="213"/>
      <c r="Y3171" s="213"/>
      <c r="Z3171" s="213"/>
      <c r="AA3171" s="213"/>
      <c r="AB3171" s="213"/>
      <c r="AC3171" s="213"/>
      <c r="AD3171" s="213"/>
      <c r="AE3171" s="213"/>
      <c r="AF3171" s="213"/>
      <c r="AG3171" s="213"/>
      <c r="AH3171" s="213"/>
      <c r="AI3171" s="213"/>
      <c r="AJ3171" s="213"/>
      <c r="AK3171" s="213"/>
      <c r="AL3171" s="213"/>
      <c r="AM3171" s="213"/>
      <c r="AN3171" s="213"/>
      <c r="AO3171" s="213"/>
      <c r="AP3171" s="213"/>
      <c r="AQ3171" s="213"/>
      <c r="AR3171" s="213"/>
      <c r="AS3171" s="213"/>
      <c r="AT3171" s="213"/>
      <c r="AU3171" s="213"/>
      <c r="AV3171" s="213"/>
      <c r="AW3171" s="213"/>
      <c r="AX3171" s="213"/>
      <c r="AY3171" s="213"/>
      <c r="AZ3171" s="213"/>
      <c r="BA3171" s="213"/>
      <c r="BB3171" s="213"/>
      <c r="BC3171" s="213"/>
      <c r="BD3171" s="213"/>
    </row>
    <row r="3172">
      <c r="A3172" s="213"/>
      <c r="B3172" s="213"/>
      <c r="C3172" s="213"/>
      <c r="D3172" s="213"/>
      <c r="E3172" s="213"/>
      <c r="F3172" s="213"/>
      <c r="G3172" s="213"/>
      <c r="H3172" s="213"/>
      <c r="I3172" s="213"/>
      <c r="J3172" s="213"/>
      <c r="K3172" s="213"/>
      <c r="L3172" s="213"/>
      <c r="M3172" s="213"/>
      <c r="N3172" s="213"/>
      <c r="O3172" s="213"/>
      <c r="P3172" s="213"/>
      <c r="Q3172" s="213"/>
      <c r="R3172" s="213"/>
      <c r="S3172" s="213"/>
      <c r="T3172" s="213"/>
      <c r="U3172" s="213"/>
      <c r="V3172" s="213"/>
      <c r="W3172" s="213"/>
      <c r="X3172" s="213"/>
      <c r="Y3172" s="213"/>
      <c r="Z3172" s="213"/>
      <c r="AA3172" s="213"/>
      <c r="AB3172" s="213"/>
      <c r="AC3172" s="213"/>
      <c r="AD3172" s="213"/>
      <c r="AE3172" s="213"/>
      <c r="AF3172" s="213"/>
      <c r="AG3172" s="213"/>
      <c r="AH3172" s="213"/>
      <c r="AI3172" s="213"/>
      <c r="AJ3172" s="213"/>
      <c r="AK3172" s="213"/>
      <c r="AL3172" s="213"/>
      <c r="AM3172" s="213"/>
      <c r="AN3172" s="213"/>
      <c r="AO3172" s="213"/>
      <c r="AP3172" s="213"/>
      <c r="AQ3172" s="213"/>
      <c r="AR3172" s="213"/>
      <c r="AS3172" s="213"/>
      <c r="AT3172" s="213"/>
      <c r="AU3172" s="213"/>
      <c r="AV3172" s="213"/>
      <c r="AW3172" s="213"/>
      <c r="AX3172" s="213"/>
      <c r="AY3172" s="213"/>
      <c r="AZ3172" s="213"/>
      <c r="BA3172" s="213"/>
      <c r="BB3172" s="213"/>
      <c r="BC3172" s="213"/>
      <c r="BD3172" s="213"/>
    </row>
    <row r="3173">
      <c r="A3173" s="213"/>
      <c r="B3173" s="213"/>
      <c r="C3173" s="213"/>
      <c r="D3173" s="213"/>
      <c r="E3173" s="213"/>
      <c r="F3173" s="213"/>
      <c r="G3173" s="213"/>
      <c r="H3173" s="213"/>
      <c r="I3173" s="213"/>
      <c r="J3173" s="213"/>
      <c r="K3173" s="213"/>
      <c r="L3173" s="213"/>
      <c r="M3173" s="213"/>
      <c r="N3173" s="213"/>
      <c r="O3173" s="213"/>
      <c r="P3173" s="213"/>
      <c r="Q3173" s="213"/>
      <c r="R3173" s="213"/>
      <c r="S3173" s="213"/>
      <c r="T3173" s="213"/>
      <c r="U3173" s="213"/>
      <c r="V3173" s="213"/>
      <c r="W3173" s="213"/>
      <c r="X3173" s="213"/>
      <c r="Y3173" s="213"/>
      <c r="Z3173" s="213"/>
      <c r="AA3173" s="213"/>
      <c r="AB3173" s="213"/>
      <c r="AC3173" s="213"/>
      <c r="AD3173" s="213"/>
      <c r="AE3173" s="213"/>
      <c r="AF3173" s="213"/>
      <c r="AG3173" s="213"/>
      <c r="AH3173" s="213"/>
      <c r="AI3173" s="213"/>
      <c r="AJ3173" s="213"/>
      <c r="AK3173" s="213"/>
      <c r="AL3173" s="213"/>
      <c r="AM3173" s="213"/>
      <c r="AN3173" s="213"/>
      <c r="AO3173" s="213"/>
      <c r="AP3173" s="213"/>
      <c r="AQ3173" s="213"/>
      <c r="AR3173" s="213"/>
      <c r="AS3173" s="213"/>
      <c r="AT3173" s="213"/>
      <c r="AU3173" s="213"/>
      <c r="AV3173" s="213"/>
      <c r="AW3173" s="213"/>
      <c r="AX3173" s="213"/>
      <c r="AY3173" s="213"/>
      <c r="AZ3173" s="213"/>
      <c r="BA3173" s="213"/>
      <c r="BB3173" s="213"/>
      <c r="BC3173" s="213"/>
      <c r="BD3173" s="213"/>
    </row>
    <row r="3174">
      <c r="A3174" s="213"/>
      <c r="B3174" s="213"/>
      <c r="C3174" s="213"/>
      <c r="D3174" s="213"/>
      <c r="E3174" s="213"/>
      <c r="F3174" s="213"/>
      <c r="G3174" s="213"/>
      <c r="H3174" s="213"/>
      <c r="I3174" s="213"/>
      <c r="J3174" s="213"/>
      <c r="K3174" s="213"/>
      <c r="L3174" s="213"/>
      <c r="M3174" s="213"/>
      <c r="N3174" s="213"/>
      <c r="O3174" s="213"/>
      <c r="P3174" s="213"/>
      <c r="Q3174" s="213"/>
      <c r="R3174" s="213"/>
      <c r="S3174" s="213"/>
      <c r="T3174" s="213"/>
      <c r="U3174" s="213"/>
      <c r="V3174" s="213"/>
      <c r="W3174" s="213"/>
      <c r="X3174" s="213"/>
      <c r="Y3174" s="213"/>
      <c r="Z3174" s="213"/>
      <c r="AA3174" s="213"/>
      <c r="AB3174" s="213"/>
      <c r="AC3174" s="213"/>
      <c r="AD3174" s="213"/>
      <c r="AE3174" s="213"/>
      <c r="AF3174" s="213"/>
      <c r="AG3174" s="213"/>
      <c r="AH3174" s="213"/>
      <c r="AI3174" s="213"/>
      <c r="AJ3174" s="213"/>
      <c r="AK3174" s="213"/>
      <c r="AL3174" s="213"/>
      <c r="AM3174" s="213"/>
      <c r="AN3174" s="213"/>
      <c r="AO3174" s="213"/>
      <c r="AP3174" s="213"/>
      <c r="AQ3174" s="213"/>
      <c r="AR3174" s="213"/>
      <c r="AS3174" s="213"/>
      <c r="AT3174" s="213"/>
      <c r="AU3174" s="213"/>
      <c r="AV3174" s="213"/>
      <c r="AW3174" s="213"/>
      <c r="AX3174" s="213"/>
      <c r="AY3174" s="213"/>
      <c r="AZ3174" s="213"/>
      <c r="BA3174" s="213"/>
      <c r="BB3174" s="213"/>
      <c r="BC3174" s="213"/>
      <c r="BD3174" s="213"/>
    </row>
    <row r="3175">
      <c r="A3175" s="213"/>
      <c r="B3175" s="213"/>
      <c r="C3175" s="213"/>
      <c r="D3175" s="213"/>
      <c r="E3175" s="213"/>
      <c r="F3175" s="213"/>
      <c r="G3175" s="213"/>
      <c r="H3175" s="213"/>
      <c r="I3175" s="213"/>
      <c r="J3175" s="213"/>
      <c r="K3175" s="213"/>
      <c r="L3175" s="213"/>
      <c r="M3175" s="213"/>
      <c r="N3175" s="213"/>
      <c r="O3175" s="213"/>
      <c r="P3175" s="213"/>
      <c r="Q3175" s="213"/>
      <c r="R3175" s="213"/>
      <c r="S3175" s="213"/>
      <c r="T3175" s="213"/>
      <c r="U3175" s="213"/>
      <c r="V3175" s="213"/>
      <c r="W3175" s="213"/>
      <c r="X3175" s="213"/>
      <c r="Y3175" s="213"/>
      <c r="Z3175" s="213"/>
      <c r="AA3175" s="213"/>
      <c r="AB3175" s="213"/>
      <c r="AC3175" s="213"/>
      <c r="AD3175" s="213"/>
      <c r="AE3175" s="213"/>
      <c r="AF3175" s="213"/>
      <c r="AG3175" s="213"/>
      <c r="AH3175" s="213"/>
      <c r="AI3175" s="213"/>
      <c r="AJ3175" s="213"/>
      <c r="AK3175" s="213"/>
      <c r="AL3175" s="213"/>
      <c r="AM3175" s="213"/>
      <c r="AN3175" s="213"/>
      <c r="AO3175" s="213"/>
      <c r="AP3175" s="213"/>
      <c r="AQ3175" s="213"/>
      <c r="AR3175" s="213"/>
      <c r="AS3175" s="213"/>
      <c r="AT3175" s="213"/>
      <c r="AU3175" s="213"/>
      <c r="AV3175" s="213"/>
      <c r="AW3175" s="213"/>
      <c r="AX3175" s="213"/>
      <c r="AY3175" s="213"/>
      <c r="AZ3175" s="213"/>
      <c r="BA3175" s="213"/>
      <c r="BB3175" s="213"/>
      <c r="BC3175" s="213"/>
      <c r="BD3175" s="213"/>
    </row>
    <row r="3176">
      <c r="A3176" s="213"/>
      <c r="B3176" s="213"/>
      <c r="C3176" s="213"/>
      <c r="D3176" s="213"/>
      <c r="E3176" s="213"/>
      <c r="F3176" s="213"/>
      <c r="G3176" s="213"/>
      <c r="H3176" s="213"/>
      <c r="I3176" s="213"/>
      <c r="J3176" s="213"/>
      <c r="K3176" s="213"/>
      <c r="L3176" s="213"/>
      <c r="M3176" s="213"/>
      <c r="N3176" s="213"/>
      <c r="O3176" s="213"/>
      <c r="P3176" s="213"/>
      <c r="Q3176" s="213"/>
      <c r="R3176" s="213"/>
      <c r="S3176" s="213"/>
      <c r="T3176" s="213"/>
      <c r="U3176" s="213"/>
      <c r="V3176" s="213"/>
      <c r="W3176" s="213"/>
      <c r="X3176" s="213"/>
      <c r="Y3176" s="213"/>
      <c r="Z3176" s="213"/>
      <c r="AA3176" s="213"/>
      <c r="AB3176" s="213"/>
      <c r="AC3176" s="213"/>
      <c r="AD3176" s="213"/>
      <c r="AE3176" s="213"/>
      <c r="AF3176" s="213"/>
      <c r="AG3176" s="213"/>
      <c r="AH3176" s="213"/>
      <c r="AI3176" s="213"/>
      <c r="AJ3176" s="213"/>
      <c r="AK3176" s="213"/>
      <c r="AL3176" s="213"/>
      <c r="AM3176" s="213"/>
      <c r="AN3176" s="213"/>
      <c r="AO3176" s="213"/>
      <c r="AP3176" s="213"/>
      <c r="AQ3176" s="213"/>
      <c r="AR3176" s="213"/>
      <c r="AS3176" s="213"/>
      <c r="AT3176" s="213"/>
      <c r="AU3176" s="213"/>
      <c r="AV3176" s="213"/>
      <c r="AW3176" s="213"/>
      <c r="AX3176" s="213"/>
      <c r="AY3176" s="213"/>
      <c r="AZ3176" s="213"/>
      <c r="BA3176" s="213"/>
      <c r="BB3176" s="213"/>
      <c r="BC3176" s="213"/>
      <c r="BD3176" s="213"/>
    </row>
    <row r="3177">
      <c r="A3177" s="213"/>
      <c r="B3177" s="213"/>
      <c r="C3177" s="213"/>
      <c r="D3177" s="213"/>
      <c r="E3177" s="213"/>
      <c r="F3177" s="213"/>
      <c r="G3177" s="213"/>
      <c r="H3177" s="213"/>
      <c r="I3177" s="213"/>
      <c r="J3177" s="213"/>
      <c r="K3177" s="213"/>
      <c r="L3177" s="213"/>
      <c r="M3177" s="213"/>
      <c r="N3177" s="213"/>
      <c r="O3177" s="213"/>
      <c r="P3177" s="213"/>
      <c r="Q3177" s="213"/>
      <c r="R3177" s="213"/>
      <c r="S3177" s="213"/>
      <c r="T3177" s="213"/>
      <c r="U3177" s="213"/>
      <c r="V3177" s="213"/>
      <c r="W3177" s="213"/>
      <c r="X3177" s="213"/>
      <c r="Y3177" s="213"/>
      <c r="Z3177" s="213"/>
      <c r="AA3177" s="213"/>
      <c r="AB3177" s="213"/>
      <c r="AC3177" s="213"/>
      <c r="AD3177" s="213"/>
      <c r="AE3177" s="213"/>
      <c r="AF3177" s="213"/>
      <c r="AG3177" s="213"/>
      <c r="AH3177" s="213"/>
      <c r="AI3177" s="213"/>
      <c r="AJ3177" s="213"/>
      <c r="AK3177" s="213"/>
      <c r="AL3177" s="213"/>
      <c r="AM3177" s="213"/>
      <c r="AN3177" s="213"/>
      <c r="AO3177" s="213"/>
      <c r="AP3177" s="213"/>
      <c r="AQ3177" s="213"/>
      <c r="AR3177" s="213"/>
      <c r="AS3177" s="213"/>
      <c r="AT3177" s="213"/>
      <c r="AU3177" s="213"/>
      <c r="AV3177" s="213"/>
      <c r="AW3177" s="213"/>
      <c r="AX3177" s="213"/>
      <c r="AY3177" s="213"/>
      <c r="AZ3177" s="213"/>
      <c r="BA3177" s="213"/>
      <c r="BB3177" s="213"/>
      <c r="BC3177" s="213"/>
      <c r="BD3177" s="213"/>
    </row>
    <row r="3178">
      <c r="A3178" s="213"/>
      <c r="B3178" s="213"/>
      <c r="C3178" s="213"/>
      <c r="D3178" s="213"/>
      <c r="E3178" s="213"/>
      <c r="F3178" s="213"/>
      <c r="G3178" s="213"/>
      <c r="H3178" s="213"/>
      <c r="I3178" s="213"/>
      <c r="J3178" s="213"/>
      <c r="K3178" s="213"/>
      <c r="L3178" s="213"/>
      <c r="M3178" s="213"/>
      <c r="N3178" s="213"/>
      <c r="O3178" s="213"/>
      <c r="P3178" s="213"/>
      <c r="Q3178" s="213"/>
      <c r="R3178" s="213"/>
      <c r="S3178" s="213"/>
      <c r="T3178" s="213"/>
      <c r="U3178" s="213"/>
      <c r="V3178" s="213"/>
      <c r="W3178" s="213"/>
      <c r="X3178" s="213"/>
      <c r="Y3178" s="213"/>
      <c r="Z3178" s="213"/>
      <c r="AA3178" s="213"/>
      <c r="AB3178" s="213"/>
      <c r="AC3178" s="213"/>
      <c r="AD3178" s="213"/>
      <c r="AE3178" s="213"/>
      <c r="AF3178" s="213"/>
      <c r="AG3178" s="213"/>
      <c r="AH3178" s="213"/>
      <c r="AI3178" s="213"/>
      <c r="AJ3178" s="213"/>
      <c r="AK3178" s="213"/>
      <c r="AL3178" s="213"/>
      <c r="AM3178" s="213"/>
      <c r="AN3178" s="213"/>
      <c r="AO3178" s="213"/>
      <c r="AP3178" s="213"/>
      <c r="AQ3178" s="213"/>
      <c r="AR3178" s="213"/>
      <c r="AS3178" s="213"/>
      <c r="AT3178" s="213"/>
      <c r="AU3178" s="213"/>
      <c r="AV3178" s="213"/>
      <c r="AW3178" s="213"/>
      <c r="AX3178" s="213"/>
      <c r="AY3178" s="213"/>
      <c r="AZ3178" s="213"/>
      <c r="BA3178" s="213"/>
      <c r="BB3178" s="213"/>
      <c r="BC3178" s="213"/>
      <c r="BD3178" s="213"/>
    </row>
    <row r="3179">
      <c r="A3179" s="213"/>
      <c r="B3179" s="213"/>
      <c r="C3179" s="213"/>
      <c r="D3179" s="213"/>
      <c r="E3179" s="213"/>
      <c r="F3179" s="213"/>
      <c r="G3179" s="213"/>
      <c r="H3179" s="213"/>
      <c r="I3179" s="213"/>
      <c r="J3179" s="213"/>
      <c r="K3179" s="213"/>
      <c r="L3179" s="213"/>
      <c r="M3179" s="213"/>
      <c r="N3179" s="213"/>
      <c r="O3179" s="213"/>
      <c r="P3179" s="213"/>
      <c r="Q3179" s="213"/>
      <c r="R3179" s="213"/>
      <c r="S3179" s="213"/>
      <c r="T3179" s="213"/>
      <c r="U3179" s="213"/>
      <c r="V3179" s="213"/>
      <c r="W3179" s="213"/>
      <c r="X3179" s="213"/>
      <c r="Y3179" s="213"/>
      <c r="Z3179" s="213"/>
      <c r="AA3179" s="213"/>
      <c r="AB3179" s="213"/>
      <c r="AC3179" s="213"/>
      <c r="AD3179" s="213"/>
      <c r="AE3179" s="213"/>
      <c r="AF3179" s="213"/>
      <c r="AG3179" s="213"/>
      <c r="AH3179" s="213"/>
      <c r="AI3179" s="213"/>
      <c r="AJ3179" s="213"/>
      <c r="AK3179" s="213"/>
      <c r="AL3179" s="213"/>
      <c r="AM3179" s="213"/>
      <c r="AN3179" s="213"/>
      <c r="AO3179" s="213"/>
      <c r="AP3179" s="213"/>
      <c r="AQ3179" s="213"/>
      <c r="AR3179" s="213"/>
      <c r="AS3179" s="213"/>
      <c r="AT3179" s="213"/>
      <c r="AU3179" s="213"/>
      <c r="AV3179" s="213"/>
      <c r="AW3179" s="213"/>
      <c r="AX3179" s="213"/>
      <c r="AY3179" s="213"/>
      <c r="AZ3179" s="213"/>
      <c r="BA3179" s="213"/>
      <c r="BB3179" s="213"/>
      <c r="BC3179" s="213"/>
      <c r="BD3179" s="213"/>
    </row>
    <row r="3180">
      <c r="A3180" s="213"/>
      <c r="B3180" s="213"/>
      <c r="C3180" s="213"/>
      <c r="D3180" s="213"/>
      <c r="E3180" s="213"/>
      <c r="F3180" s="213"/>
      <c r="G3180" s="213"/>
      <c r="H3180" s="213"/>
      <c r="I3180" s="213"/>
      <c r="J3180" s="213"/>
      <c r="K3180" s="213"/>
      <c r="L3180" s="213"/>
      <c r="M3180" s="213"/>
      <c r="N3180" s="213"/>
      <c r="O3180" s="213"/>
      <c r="P3180" s="213"/>
      <c r="Q3180" s="213"/>
      <c r="R3180" s="213"/>
      <c r="S3180" s="213"/>
      <c r="T3180" s="213"/>
      <c r="U3180" s="213"/>
      <c r="V3180" s="213"/>
      <c r="W3180" s="213"/>
      <c r="X3180" s="213"/>
      <c r="Y3180" s="213"/>
      <c r="Z3180" s="213"/>
      <c r="AA3180" s="213"/>
      <c r="AB3180" s="213"/>
      <c r="AC3180" s="213"/>
      <c r="AD3180" s="213"/>
      <c r="AE3180" s="213"/>
      <c r="AF3180" s="213"/>
      <c r="AG3180" s="213"/>
      <c r="AH3180" s="213"/>
      <c r="AI3180" s="213"/>
      <c r="AJ3180" s="213"/>
      <c r="AK3180" s="213"/>
      <c r="AL3180" s="213"/>
      <c r="AM3180" s="213"/>
      <c r="AN3180" s="213"/>
      <c r="AO3180" s="213"/>
      <c r="AP3180" s="213"/>
      <c r="AQ3180" s="213"/>
      <c r="AR3180" s="213"/>
      <c r="AS3180" s="213"/>
      <c r="AT3180" s="213"/>
      <c r="AU3180" s="213"/>
      <c r="AV3180" s="213"/>
      <c r="AW3180" s="213"/>
      <c r="AX3180" s="213"/>
      <c r="AY3180" s="213"/>
      <c r="AZ3180" s="213"/>
      <c r="BA3180" s="213"/>
      <c r="BB3180" s="213"/>
      <c r="BC3180" s="213"/>
      <c r="BD3180" s="213"/>
    </row>
    <row r="3181">
      <c r="A3181" s="213"/>
      <c r="B3181" s="213"/>
      <c r="C3181" s="213"/>
      <c r="D3181" s="213"/>
      <c r="E3181" s="213"/>
      <c r="F3181" s="213"/>
      <c r="G3181" s="213"/>
      <c r="H3181" s="213"/>
      <c r="I3181" s="213"/>
      <c r="J3181" s="213"/>
      <c r="K3181" s="213"/>
      <c r="L3181" s="213"/>
      <c r="M3181" s="213"/>
      <c r="N3181" s="213"/>
      <c r="O3181" s="213"/>
      <c r="P3181" s="213"/>
      <c r="Q3181" s="213"/>
      <c r="R3181" s="213"/>
      <c r="S3181" s="213"/>
      <c r="T3181" s="213"/>
      <c r="U3181" s="213"/>
      <c r="V3181" s="213"/>
      <c r="W3181" s="213"/>
      <c r="X3181" s="213"/>
      <c r="Y3181" s="213"/>
      <c r="Z3181" s="213"/>
      <c r="AA3181" s="213"/>
      <c r="AB3181" s="213"/>
      <c r="AC3181" s="213"/>
      <c r="AD3181" s="213"/>
      <c r="AE3181" s="213"/>
      <c r="AF3181" s="213"/>
      <c r="AG3181" s="213"/>
      <c r="AH3181" s="213"/>
      <c r="AI3181" s="213"/>
      <c r="AJ3181" s="213"/>
      <c r="AK3181" s="213"/>
      <c r="AL3181" s="213"/>
      <c r="AM3181" s="213"/>
      <c r="AN3181" s="213"/>
      <c r="AO3181" s="213"/>
      <c r="AP3181" s="213"/>
      <c r="AQ3181" s="213"/>
      <c r="AR3181" s="213"/>
      <c r="AS3181" s="213"/>
      <c r="AT3181" s="213"/>
      <c r="AU3181" s="213"/>
      <c r="AV3181" s="213"/>
      <c r="AW3181" s="213"/>
      <c r="AX3181" s="213"/>
      <c r="AY3181" s="213"/>
      <c r="AZ3181" s="213"/>
      <c r="BA3181" s="213"/>
      <c r="BB3181" s="213"/>
      <c r="BC3181" s="213"/>
      <c r="BD3181" s="213"/>
    </row>
    <row r="3182">
      <c r="A3182" s="213"/>
      <c r="B3182" s="213"/>
      <c r="C3182" s="213"/>
      <c r="D3182" s="213"/>
      <c r="E3182" s="213"/>
      <c r="F3182" s="213"/>
      <c r="G3182" s="213"/>
      <c r="H3182" s="213"/>
      <c r="I3182" s="213"/>
      <c r="J3182" s="213"/>
      <c r="K3182" s="213"/>
      <c r="L3182" s="213"/>
      <c r="M3182" s="213"/>
      <c r="N3182" s="213"/>
      <c r="O3182" s="213"/>
      <c r="P3182" s="213"/>
      <c r="Q3182" s="213"/>
      <c r="R3182" s="213"/>
      <c r="S3182" s="213"/>
      <c r="T3182" s="213"/>
      <c r="U3182" s="213"/>
      <c r="V3182" s="213"/>
      <c r="W3182" s="213"/>
      <c r="X3182" s="213"/>
      <c r="Y3182" s="213"/>
      <c r="Z3182" s="213"/>
      <c r="AA3182" s="213"/>
      <c r="AB3182" s="213"/>
      <c r="AC3182" s="213"/>
      <c r="AD3182" s="213"/>
      <c r="AE3182" s="213"/>
      <c r="AF3182" s="213"/>
      <c r="AG3182" s="213"/>
      <c r="AH3182" s="213"/>
      <c r="AI3182" s="213"/>
      <c r="AJ3182" s="213"/>
      <c r="AK3182" s="213"/>
      <c r="AL3182" s="213"/>
      <c r="AM3182" s="213"/>
      <c r="AN3182" s="213"/>
      <c r="AO3182" s="213"/>
      <c r="AP3182" s="213"/>
      <c r="AQ3182" s="213"/>
      <c r="AR3182" s="213"/>
      <c r="AS3182" s="213"/>
      <c r="AT3182" s="213"/>
      <c r="AU3182" s="213"/>
      <c r="AV3182" s="213"/>
      <c r="AW3182" s="213"/>
      <c r="AX3182" s="213"/>
      <c r="AY3182" s="213"/>
      <c r="AZ3182" s="213"/>
      <c r="BA3182" s="213"/>
      <c r="BB3182" s="213"/>
      <c r="BC3182" s="213"/>
      <c r="BD3182" s="213"/>
    </row>
    <row r="3183">
      <c r="A3183" s="213"/>
      <c r="B3183" s="213"/>
      <c r="C3183" s="213"/>
      <c r="D3183" s="213"/>
      <c r="E3183" s="213"/>
      <c r="F3183" s="213"/>
      <c r="G3183" s="213"/>
      <c r="H3183" s="213"/>
      <c r="I3183" s="213"/>
      <c r="J3183" s="213"/>
      <c r="K3183" s="213"/>
      <c r="L3183" s="213"/>
      <c r="M3183" s="213"/>
      <c r="N3183" s="213"/>
      <c r="O3183" s="213"/>
      <c r="P3183" s="213"/>
      <c r="Q3183" s="213"/>
      <c r="R3183" s="213"/>
      <c r="S3183" s="213"/>
      <c r="T3183" s="213"/>
      <c r="U3183" s="213"/>
      <c r="V3183" s="213"/>
      <c r="W3183" s="213"/>
      <c r="X3183" s="213"/>
      <c r="Y3183" s="213"/>
      <c r="Z3183" s="213"/>
      <c r="AA3183" s="213"/>
      <c r="AB3183" s="213"/>
      <c r="AC3183" s="213"/>
      <c r="AD3183" s="213"/>
      <c r="AE3183" s="213"/>
      <c r="AF3183" s="213"/>
      <c r="AG3183" s="213"/>
      <c r="AH3183" s="213"/>
      <c r="AI3183" s="213"/>
      <c r="AJ3183" s="213"/>
      <c r="AK3183" s="213"/>
      <c r="AL3183" s="213"/>
      <c r="AM3183" s="213"/>
      <c r="AN3183" s="213"/>
      <c r="AO3183" s="213"/>
      <c r="AP3183" s="213"/>
      <c r="AQ3183" s="213"/>
      <c r="AR3183" s="213"/>
      <c r="AS3183" s="213"/>
      <c r="AT3183" s="213"/>
      <c r="AU3183" s="213"/>
      <c r="AV3183" s="213"/>
      <c r="AW3183" s="213"/>
      <c r="AX3183" s="213"/>
      <c r="AY3183" s="213"/>
      <c r="AZ3183" s="213"/>
      <c r="BA3183" s="213"/>
      <c r="BB3183" s="213"/>
      <c r="BC3183" s="213"/>
      <c r="BD3183" s="213"/>
    </row>
    <row r="3184">
      <c r="A3184" s="213"/>
      <c r="B3184" s="213"/>
      <c r="C3184" s="213"/>
      <c r="D3184" s="213"/>
      <c r="E3184" s="213"/>
      <c r="F3184" s="213"/>
      <c r="G3184" s="213"/>
      <c r="H3184" s="213"/>
      <c r="I3184" s="213"/>
      <c r="J3184" s="213"/>
      <c r="K3184" s="213"/>
      <c r="L3184" s="213"/>
      <c r="M3184" s="213"/>
      <c r="N3184" s="213"/>
      <c r="O3184" s="213"/>
      <c r="P3184" s="213"/>
      <c r="Q3184" s="213"/>
      <c r="R3184" s="213"/>
      <c r="S3184" s="213"/>
      <c r="T3184" s="213"/>
      <c r="U3184" s="213"/>
      <c r="V3184" s="213"/>
      <c r="W3184" s="213"/>
      <c r="X3184" s="213"/>
      <c r="Y3184" s="213"/>
      <c r="Z3184" s="213"/>
      <c r="AA3184" s="213"/>
      <c r="AB3184" s="213"/>
      <c r="AC3184" s="213"/>
      <c r="AD3184" s="213"/>
      <c r="AE3184" s="213"/>
      <c r="AF3184" s="213"/>
      <c r="AG3184" s="213"/>
      <c r="AH3184" s="213"/>
      <c r="AI3184" s="213"/>
      <c r="AJ3184" s="213"/>
      <c r="AK3184" s="213"/>
      <c r="AL3184" s="213"/>
      <c r="AM3184" s="213"/>
      <c r="AN3184" s="213"/>
      <c r="AO3184" s="213"/>
      <c r="AP3184" s="213"/>
      <c r="AQ3184" s="213"/>
      <c r="AR3184" s="213"/>
      <c r="AS3184" s="213"/>
      <c r="AT3184" s="213"/>
      <c r="AU3184" s="213"/>
      <c r="AV3184" s="213"/>
      <c r="AW3184" s="213"/>
      <c r="AX3184" s="213"/>
      <c r="AY3184" s="213"/>
      <c r="AZ3184" s="213"/>
      <c r="BA3184" s="213"/>
      <c r="BB3184" s="213"/>
      <c r="BC3184" s="213"/>
      <c r="BD3184" s="213"/>
    </row>
    <row r="3185">
      <c r="A3185" s="213"/>
      <c r="B3185" s="213"/>
      <c r="C3185" s="213"/>
      <c r="D3185" s="213"/>
      <c r="E3185" s="213"/>
      <c r="F3185" s="213"/>
      <c r="G3185" s="213"/>
      <c r="H3185" s="213"/>
      <c r="I3185" s="213"/>
      <c r="J3185" s="213"/>
      <c r="K3185" s="213"/>
      <c r="L3185" s="213"/>
      <c r="M3185" s="213"/>
      <c r="N3185" s="213"/>
      <c r="O3185" s="213"/>
      <c r="P3185" s="213"/>
      <c r="Q3185" s="213"/>
      <c r="R3185" s="213"/>
      <c r="S3185" s="213"/>
      <c r="T3185" s="213"/>
      <c r="U3185" s="213"/>
      <c r="V3185" s="213"/>
      <c r="W3185" s="213"/>
      <c r="X3185" s="213"/>
      <c r="Y3185" s="213"/>
      <c r="Z3185" s="213"/>
      <c r="AA3185" s="213"/>
      <c r="AB3185" s="213"/>
      <c r="AC3185" s="213"/>
      <c r="AD3185" s="213"/>
      <c r="AE3185" s="213"/>
      <c r="AF3185" s="213"/>
      <c r="AG3185" s="213"/>
      <c r="AH3185" s="213"/>
      <c r="AI3185" s="213"/>
      <c r="AJ3185" s="213"/>
      <c r="AK3185" s="213"/>
      <c r="AL3185" s="213"/>
      <c r="AM3185" s="213"/>
      <c r="AN3185" s="213"/>
      <c r="AO3185" s="213"/>
      <c r="AP3185" s="213"/>
      <c r="AQ3185" s="213"/>
      <c r="AR3185" s="213"/>
      <c r="AS3185" s="213"/>
      <c r="AT3185" s="213"/>
      <c r="AU3185" s="213"/>
      <c r="AV3185" s="213"/>
      <c r="AW3185" s="213"/>
      <c r="AX3185" s="213"/>
      <c r="AY3185" s="213"/>
      <c r="AZ3185" s="213"/>
      <c r="BA3185" s="213"/>
      <c r="BB3185" s="213"/>
      <c r="BC3185" s="213"/>
      <c r="BD3185" s="213"/>
    </row>
    <row r="3186">
      <c r="A3186" s="213"/>
      <c r="B3186" s="213"/>
      <c r="C3186" s="213"/>
      <c r="D3186" s="213"/>
      <c r="E3186" s="213"/>
      <c r="F3186" s="213"/>
      <c r="G3186" s="213"/>
      <c r="H3186" s="213"/>
      <c r="I3186" s="213"/>
      <c r="J3186" s="213"/>
      <c r="K3186" s="213"/>
      <c r="L3186" s="213"/>
      <c r="M3186" s="213"/>
      <c r="N3186" s="213"/>
      <c r="O3186" s="213"/>
      <c r="P3186" s="213"/>
      <c r="Q3186" s="213"/>
      <c r="R3186" s="213"/>
      <c r="S3186" s="213"/>
      <c r="T3186" s="213"/>
      <c r="U3186" s="213"/>
      <c r="V3186" s="213"/>
      <c r="W3186" s="213"/>
      <c r="X3186" s="213"/>
      <c r="Y3186" s="213"/>
      <c r="Z3186" s="213"/>
      <c r="AA3186" s="213"/>
      <c r="AB3186" s="213"/>
      <c r="AC3186" s="213"/>
      <c r="AD3186" s="213"/>
      <c r="AE3186" s="213"/>
      <c r="AF3186" s="213"/>
      <c r="AG3186" s="213"/>
      <c r="AH3186" s="213"/>
      <c r="AI3186" s="213"/>
      <c r="AJ3186" s="213"/>
      <c r="AK3186" s="213"/>
      <c r="AL3186" s="213"/>
      <c r="AM3186" s="213"/>
      <c r="AN3186" s="213"/>
      <c r="AO3186" s="213"/>
      <c r="AP3186" s="213"/>
      <c r="AQ3186" s="213"/>
      <c r="AR3186" s="213"/>
      <c r="AS3186" s="213"/>
      <c r="AT3186" s="213"/>
      <c r="AU3186" s="213"/>
      <c r="AV3186" s="213"/>
      <c r="AW3186" s="213"/>
      <c r="AX3186" s="213"/>
      <c r="AY3186" s="213"/>
      <c r="AZ3186" s="213"/>
      <c r="BA3186" s="213"/>
      <c r="BB3186" s="213"/>
      <c r="BC3186" s="213"/>
      <c r="BD3186" s="213"/>
    </row>
    <row r="3187">
      <c r="A3187" s="213"/>
      <c r="B3187" s="213"/>
      <c r="C3187" s="213"/>
      <c r="D3187" s="213"/>
      <c r="E3187" s="213"/>
      <c r="F3187" s="213"/>
      <c r="G3187" s="213"/>
      <c r="H3187" s="213"/>
      <c r="I3187" s="213"/>
      <c r="J3187" s="213"/>
      <c r="K3187" s="213"/>
      <c r="L3187" s="213"/>
      <c r="M3187" s="213"/>
      <c r="N3187" s="213"/>
      <c r="O3187" s="213"/>
      <c r="P3187" s="213"/>
      <c r="Q3187" s="213"/>
      <c r="R3187" s="213"/>
      <c r="S3187" s="213"/>
      <c r="T3187" s="213"/>
      <c r="U3187" s="213"/>
      <c r="V3187" s="213"/>
      <c r="W3187" s="213"/>
      <c r="X3187" s="213"/>
      <c r="Y3187" s="213"/>
      <c r="Z3187" s="213"/>
      <c r="AA3187" s="213"/>
      <c r="AB3187" s="213"/>
      <c r="AC3187" s="213"/>
      <c r="AD3187" s="213"/>
      <c r="AE3187" s="213"/>
      <c r="AF3187" s="213"/>
      <c r="AG3187" s="213"/>
      <c r="AH3187" s="213"/>
      <c r="AI3187" s="213"/>
      <c r="AJ3187" s="213"/>
      <c r="AK3187" s="213"/>
      <c r="AL3187" s="213"/>
      <c r="AM3187" s="213"/>
      <c r="AN3187" s="213"/>
      <c r="AO3187" s="213"/>
      <c r="AP3187" s="213"/>
      <c r="AQ3187" s="213"/>
      <c r="AR3187" s="213"/>
      <c r="AS3187" s="213"/>
      <c r="AT3187" s="213"/>
      <c r="AU3187" s="213"/>
      <c r="AV3187" s="213"/>
      <c r="AW3187" s="213"/>
      <c r="AX3187" s="213"/>
      <c r="AY3187" s="213"/>
      <c r="AZ3187" s="213"/>
      <c r="BA3187" s="213"/>
      <c r="BB3187" s="213"/>
      <c r="BC3187" s="213"/>
      <c r="BD3187" s="213"/>
    </row>
    <row r="3188">
      <c r="A3188" s="213"/>
      <c r="B3188" s="213"/>
      <c r="C3188" s="213"/>
      <c r="D3188" s="213"/>
      <c r="E3188" s="213"/>
      <c r="F3188" s="213"/>
      <c r="G3188" s="213"/>
      <c r="H3188" s="213"/>
      <c r="I3188" s="213"/>
      <c r="J3188" s="213"/>
      <c r="K3188" s="213"/>
      <c r="L3188" s="213"/>
      <c r="M3188" s="213"/>
      <c r="N3188" s="213"/>
      <c r="O3188" s="213"/>
      <c r="P3188" s="213"/>
      <c r="Q3188" s="213"/>
      <c r="R3188" s="213"/>
      <c r="S3188" s="213"/>
      <c r="T3188" s="213"/>
      <c r="U3188" s="213"/>
      <c r="V3188" s="213"/>
      <c r="W3188" s="213"/>
      <c r="X3188" s="213"/>
      <c r="Y3188" s="213"/>
      <c r="Z3188" s="213"/>
      <c r="AA3188" s="213"/>
      <c r="AB3188" s="213"/>
      <c r="AC3188" s="213"/>
      <c r="AD3188" s="213"/>
      <c r="AE3188" s="213"/>
      <c r="AF3188" s="213"/>
      <c r="AG3188" s="213"/>
      <c r="AH3188" s="213"/>
      <c r="AI3188" s="213"/>
      <c r="AJ3188" s="213"/>
      <c r="AK3188" s="213"/>
      <c r="AL3188" s="213"/>
      <c r="AM3188" s="213"/>
      <c r="AN3188" s="213"/>
      <c r="AO3188" s="213"/>
      <c r="AP3188" s="213"/>
      <c r="AQ3188" s="213"/>
      <c r="AR3188" s="213"/>
      <c r="AS3188" s="213"/>
      <c r="AT3188" s="213"/>
      <c r="AU3188" s="213"/>
      <c r="AV3188" s="213"/>
      <c r="AW3188" s="213"/>
      <c r="AX3188" s="213"/>
      <c r="AY3188" s="213"/>
      <c r="AZ3188" s="213"/>
      <c r="BA3188" s="213"/>
      <c r="BB3188" s="213"/>
      <c r="BC3188" s="213"/>
      <c r="BD3188" s="213"/>
    </row>
    <row r="3189">
      <c r="A3189" s="213"/>
      <c r="B3189" s="213"/>
      <c r="C3189" s="213"/>
      <c r="D3189" s="213"/>
      <c r="E3189" s="213"/>
      <c r="F3189" s="213"/>
      <c r="G3189" s="213"/>
      <c r="H3189" s="213"/>
      <c r="I3189" s="213"/>
      <c r="J3189" s="213"/>
      <c r="K3189" s="213"/>
      <c r="L3189" s="213"/>
      <c r="M3189" s="213"/>
      <c r="N3189" s="213"/>
      <c r="O3189" s="213"/>
      <c r="P3189" s="213"/>
      <c r="Q3189" s="213"/>
      <c r="R3189" s="213"/>
      <c r="S3189" s="213"/>
      <c r="T3189" s="213"/>
      <c r="U3189" s="213"/>
      <c r="V3189" s="213"/>
      <c r="W3189" s="213"/>
      <c r="X3189" s="213"/>
      <c r="Y3189" s="213"/>
      <c r="Z3189" s="213"/>
      <c r="AA3189" s="213"/>
      <c r="AB3189" s="213"/>
      <c r="AC3189" s="213"/>
      <c r="AD3189" s="213"/>
      <c r="AE3189" s="213"/>
      <c r="AF3189" s="213"/>
      <c r="AG3189" s="213"/>
      <c r="AH3189" s="213"/>
      <c r="AI3189" s="213"/>
      <c r="AJ3189" s="213"/>
      <c r="AK3189" s="213"/>
      <c r="AL3189" s="213"/>
      <c r="AM3189" s="213"/>
      <c r="AN3189" s="213"/>
      <c r="AO3189" s="213"/>
      <c r="AP3189" s="213"/>
      <c r="AQ3189" s="213"/>
      <c r="AR3189" s="213"/>
      <c r="AS3189" s="213"/>
      <c r="AT3189" s="213"/>
      <c r="AU3189" s="213"/>
      <c r="AV3189" s="213"/>
      <c r="AW3189" s="213"/>
      <c r="AX3189" s="213"/>
      <c r="AY3189" s="213"/>
      <c r="AZ3189" s="213"/>
      <c r="BA3189" s="213"/>
      <c r="BB3189" s="213"/>
      <c r="BC3189" s="213"/>
      <c r="BD3189" s="213"/>
    </row>
    <row r="3190">
      <c r="A3190" s="213"/>
      <c r="B3190" s="213"/>
      <c r="C3190" s="213"/>
      <c r="D3190" s="213"/>
      <c r="E3190" s="213"/>
      <c r="F3190" s="213"/>
      <c r="G3190" s="213"/>
      <c r="H3190" s="213"/>
      <c r="I3190" s="213"/>
      <c r="J3190" s="213"/>
      <c r="K3190" s="213"/>
      <c r="L3190" s="213"/>
      <c r="M3190" s="213"/>
      <c r="N3190" s="213"/>
      <c r="O3190" s="213"/>
      <c r="P3190" s="213"/>
      <c r="Q3190" s="213"/>
      <c r="R3190" s="213"/>
      <c r="S3190" s="213"/>
      <c r="T3190" s="213"/>
      <c r="U3190" s="213"/>
      <c r="V3190" s="213"/>
      <c r="W3190" s="213"/>
      <c r="X3190" s="213"/>
      <c r="Y3190" s="213"/>
      <c r="Z3190" s="213"/>
      <c r="AA3190" s="213"/>
      <c r="AB3190" s="213"/>
      <c r="AC3190" s="213"/>
      <c r="AD3190" s="213"/>
      <c r="AE3190" s="213"/>
      <c r="AF3190" s="213"/>
      <c r="AG3190" s="213"/>
      <c r="AH3190" s="213"/>
      <c r="AI3190" s="213"/>
      <c r="AJ3190" s="213"/>
      <c r="AK3190" s="213"/>
      <c r="AL3190" s="213"/>
      <c r="AM3190" s="213"/>
      <c r="AN3190" s="213"/>
      <c r="AO3190" s="213"/>
      <c r="AP3190" s="213"/>
      <c r="AQ3190" s="213"/>
      <c r="AR3190" s="213"/>
      <c r="AS3190" s="213"/>
      <c r="AT3190" s="213"/>
      <c r="AU3190" s="213"/>
      <c r="AV3190" s="213"/>
      <c r="AW3190" s="213"/>
      <c r="AX3190" s="213"/>
      <c r="AY3190" s="213"/>
      <c r="AZ3190" s="213"/>
      <c r="BA3190" s="213"/>
      <c r="BB3190" s="213"/>
      <c r="BC3190" s="213"/>
      <c r="BD3190" s="213"/>
    </row>
    <row r="3191">
      <c r="A3191" s="213"/>
      <c r="B3191" s="213"/>
      <c r="C3191" s="213"/>
      <c r="D3191" s="213"/>
      <c r="E3191" s="213"/>
      <c r="F3191" s="213"/>
      <c r="G3191" s="213"/>
      <c r="H3191" s="213"/>
      <c r="I3191" s="213"/>
      <c r="J3191" s="213"/>
      <c r="K3191" s="213"/>
      <c r="L3191" s="213"/>
      <c r="M3191" s="213"/>
      <c r="N3191" s="213"/>
      <c r="O3191" s="213"/>
      <c r="P3191" s="213"/>
      <c r="Q3191" s="213"/>
      <c r="R3191" s="213"/>
      <c r="S3191" s="213"/>
      <c r="T3191" s="213"/>
      <c r="U3191" s="213"/>
      <c r="V3191" s="213"/>
      <c r="W3191" s="213"/>
      <c r="X3191" s="213"/>
      <c r="Y3191" s="213"/>
      <c r="Z3191" s="213"/>
      <c r="AA3191" s="213"/>
      <c r="AB3191" s="213"/>
      <c r="AC3191" s="213"/>
      <c r="AD3191" s="213"/>
      <c r="AE3191" s="213"/>
      <c r="AF3191" s="213"/>
      <c r="AG3191" s="213"/>
      <c r="AH3191" s="213"/>
      <c r="AI3191" s="213"/>
      <c r="AJ3191" s="213"/>
      <c r="AK3191" s="213"/>
      <c r="AL3191" s="213"/>
      <c r="AM3191" s="213"/>
      <c r="AN3191" s="213"/>
      <c r="AO3191" s="213"/>
      <c r="AP3191" s="213"/>
      <c r="AQ3191" s="213"/>
      <c r="AR3191" s="213"/>
      <c r="AS3191" s="213"/>
      <c r="AT3191" s="213"/>
      <c r="AU3191" s="213"/>
      <c r="AV3191" s="213"/>
      <c r="AW3191" s="213"/>
      <c r="AX3191" s="213"/>
      <c r="AY3191" s="213"/>
      <c r="AZ3191" s="213"/>
      <c r="BA3191" s="213"/>
      <c r="BB3191" s="213"/>
      <c r="BC3191" s="213"/>
      <c r="BD3191" s="213"/>
    </row>
    <row r="3192">
      <c r="A3192" s="213"/>
      <c r="B3192" s="213"/>
      <c r="C3192" s="213"/>
      <c r="D3192" s="213"/>
      <c r="E3192" s="213"/>
      <c r="F3192" s="213"/>
      <c r="G3192" s="213"/>
      <c r="H3192" s="213"/>
      <c r="I3192" s="213"/>
      <c r="J3192" s="213"/>
      <c r="K3192" s="213"/>
      <c r="L3192" s="213"/>
      <c r="M3192" s="213"/>
      <c r="N3192" s="213"/>
      <c r="O3192" s="213"/>
      <c r="P3192" s="213"/>
      <c r="Q3192" s="213"/>
      <c r="R3192" s="213"/>
      <c r="S3192" s="213"/>
      <c r="T3192" s="213"/>
      <c r="U3192" s="213"/>
      <c r="V3192" s="213"/>
      <c r="W3192" s="213"/>
      <c r="X3192" s="213"/>
      <c r="Y3192" s="213"/>
      <c r="Z3192" s="213"/>
      <c r="AA3192" s="213"/>
      <c r="AB3192" s="213"/>
      <c r="AC3192" s="213"/>
      <c r="AD3192" s="213"/>
      <c r="AE3192" s="213"/>
      <c r="AF3192" s="213"/>
      <c r="AG3192" s="213"/>
      <c r="AH3192" s="213"/>
      <c r="AI3192" s="213"/>
      <c r="AJ3192" s="213"/>
      <c r="AK3192" s="213"/>
      <c r="AL3192" s="213"/>
      <c r="AM3192" s="213"/>
      <c r="AN3192" s="213"/>
      <c r="AO3192" s="213"/>
      <c r="AP3192" s="213"/>
      <c r="AQ3192" s="213"/>
      <c r="AR3192" s="213"/>
      <c r="AS3192" s="213"/>
      <c r="AT3192" s="213"/>
      <c r="AU3192" s="213"/>
      <c r="AV3192" s="213"/>
      <c r="AW3192" s="213"/>
      <c r="AX3192" s="213"/>
      <c r="AY3192" s="213"/>
      <c r="AZ3192" s="213"/>
      <c r="BA3192" s="213"/>
      <c r="BB3192" s="213"/>
      <c r="BC3192" s="213"/>
      <c r="BD3192" s="213"/>
    </row>
    <row r="3193">
      <c r="A3193" s="213"/>
      <c r="B3193" s="213"/>
      <c r="C3193" s="213"/>
      <c r="D3193" s="213"/>
      <c r="E3193" s="213"/>
      <c r="F3193" s="213"/>
      <c r="G3193" s="213"/>
      <c r="H3193" s="213"/>
      <c r="I3193" s="213"/>
      <c r="J3193" s="213"/>
      <c r="K3193" s="213"/>
      <c r="L3193" s="213"/>
      <c r="M3193" s="213"/>
      <c r="N3193" s="213"/>
      <c r="O3193" s="213"/>
      <c r="P3193" s="213"/>
      <c r="Q3193" s="213"/>
      <c r="R3193" s="213"/>
      <c r="S3193" s="213"/>
      <c r="T3193" s="213"/>
      <c r="U3193" s="213"/>
      <c r="V3193" s="213"/>
      <c r="W3193" s="213"/>
      <c r="X3193" s="213"/>
      <c r="Y3193" s="213"/>
      <c r="Z3193" s="213"/>
      <c r="AA3193" s="213"/>
      <c r="AB3193" s="213"/>
      <c r="AC3193" s="213"/>
      <c r="AD3193" s="213"/>
      <c r="AE3193" s="213"/>
      <c r="AF3193" s="213"/>
      <c r="AG3193" s="213"/>
      <c r="AH3193" s="213"/>
      <c r="AI3193" s="213"/>
      <c r="AJ3193" s="213"/>
      <c r="AK3193" s="213"/>
      <c r="AL3193" s="213"/>
      <c r="AM3193" s="213"/>
      <c r="AN3193" s="213"/>
      <c r="AO3193" s="213"/>
      <c r="AP3193" s="213"/>
      <c r="AQ3193" s="213"/>
      <c r="AR3193" s="213"/>
      <c r="AS3193" s="213"/>
      <c r="AT3193" s="213"/>
      <c r="AU3193" s="213"/>
      <c r="AV3193" s="213"/>
      <c r="AW3193" s="213"/>
      <c r="AX3193" s="213"/>
      <c r="AY3193" s="213"/>
      <c r="AZ3193" s="213"/>
      <c r="BA3193" s="213"/>
      <c r="BB3193" s="213"/>
      <c r="BC3193" s="213"/>
      <c r="BD3193" s="213"/>
    </row>
    <row r="3194">
      <c r="A3194" s="213"/>
      <c r="B3194" s="213"/>
      <c r="C3194" s="213"/>
      <c r="D3194" s="213"/>
      <c r="E3194" s="213"/>
      <c r="F3194" s="213"/>
      <c r="G3194" s="213"/>
      <c r="H3194" s="213"/>
      <c r="I3194" s="213"/>
      <c r="J3194" s="213"/>
      <c r="K3194" s="213"/>
      <c r="L3194" s="213"/>
      <c r="M3194" s="213"/>
      <c r="N3194" s="213"/>
      <c r="O3194" s="213"/>
      <c r="P3194" s="213"/>
      <c r="Q3194" s="213"/>
      <c r="R3194" s="213"/>
      <c r="S3194" s="213"/>
      <c r="T3194" s="213"/>
      <c r="U3194" s="213"/>
      <c r="V3194" s="213"/>
      <c r="W3194" s="213"/>
      <c r="X3194" s="213"/>
      <c r="Y3194" s="213"/>
      <c r="Z3194" s="213"/>
      <c r="AA3194" s="213"/>
      <c r="AB3194" s="213"/>
      <c r="AC3194" s="213"/>
      <c r="AD3194" s="213"/>
      <c r="AE3194" s="213"/>
      <c r="AF3194" s="213"/>
      <c r="AG3194" s="213"/>
      <c r="AH3194" s="213"/>
      <c r="AI3194" s="213"/>
      <c r="AJ3194" s="213"/>
      <c r="AK3194" s="213"/>
      <c r="AL3194" s="213"/>
      <c r="AM3194" s="213"/>
      <c r="AN3194" s="213"/>
      <c r="AO3194" s="213"/>
      <c r="AP3194" s="213"/>
      <c r="AQ3194" s="213"/>
      <c r="AR3194" s="213"/>
      <c r="AS3194" s="213"/>
      <c r="AT3194" s="213"/>
      <c r="AU3194" s="213"/>
      <c r="AV3194" s="213"/>
      <c r="AW3194" s="213"/>
      <c r="AX3194" s="213"/>
      <c r="AY3194" s="213"/>
      <c r="AZ3194" s="213"/>
      <c r="BA3194" s="213"/>
      <c r="BB3194" s="213"/>
      <c r="BC3194" s="213"/>
      <c r="BD3194" s="213"/>
    </row>
  </sheetData>
  <autoFilter ref="$A$3:$BD$2694"/>
  <hyperlinks>
    <hyperlink r:id="rId1" ref="Z4"/>
    <hyperlink r:id="rId2" ref="AB4"/>
    <hyperlink r:id="rId3" ref="AC4"/>
    <hyperlink r:id="rId4" ref="Z5"/>
    <hyperlink r:id="rId5" ref="AB5"/>
    <hyperlink r:id="rId6" ref="AC5"/>
    <hyperlink r:id="rId7" ref="Z6"/>
    <hyperlink r:id="rId8" ref="AB6"/>
    <hyperlink r:id="rId9" ref="AC6"/>
    <hyperlink r:id="rId10" ref="Z7"/>
    <hyperlink r:id="rId11" ref="AB7"/>
    <hyperlink r:id="rId12" ref="AC7"/>
    <hyperlink r:id="rId13" ref="Z8"/>
    <hyperlink r:id="rId14" ref="AB8"/>
    <hyperlink r:id="rId15" ref="AC8"/>
    <hyperlink r:id="rId16" ref="Z9"/>
    <hyperlink r:id="rId17" ref="AB9"/>
    <hyperlink r:id="rId18" ref="AC9"/>
    <hyperlink r:id="rId19" ref="Z10"/>
    <hyperlink r:id="rId20" ref="AB10"/>
    <hyperlink r:id="rId21" ref="AC10"/>
    <hyperlink r:id="rId22" ref="Z11"/>
    <hyperlink r:id="rId23" ref="AB11"/>
    <hyperlink r:id="rId24" ref="AC11"/>
    <hyperlink r:id="rId25" ref="Z12"/>
    <hyperlink r:id="rId26" ref="AB12"/>
    <hyperlink r:id="rId27" ref="AC12"/>
    <hyperlink r:id="rId28" ref="Z13"/>
    <hyperlink r:id="rId29" ref="AB13"/>
    <hyperlink r:id="rId30" ref="AC13"/>
    <hyperlink r:id="rId31" ref="Z14"/>
    <hyperlink r:id="rId32" ref="AB14"/>
    <hyperlink r:id="rId33" ref="AC14"/>
    <hyperlink r:id="rId34" ref="Z15"/>
    <hyperlink r:id="rId35" ref="AB15"/>
    <hyperlink r:id="rId36" ref="AC15"/>
    <hyperlink r:id="rId37" ref="Z16"/>
    <hyperlink r:id="rId38" ref="Z17"/>
    <hyperlink r:id="rId39" ref="Z18"/>
    <hyperlink r:id="rId40" ref="Z19"/>
    <hyperlink r:id="rId41" ref="Z20"/>
    <hyperlink r:id="rId42" ref="Z21"/>
    <hyperlink r:id="rId43" ref="AB21"/>
    <hyperlink r:id="rId44" ref="AC21"/>
    <hyperlink r:id="rId45" ref="Z22"/>
    <hyperlink r:id="rId46" ref="AB22"/>
    <hyperlink r:id="rId47" ref="AC22"/>
    <hyperlink r:id="rId48" ref="Z23"/>
    <hyperlink r:id="rId49" ref="AB23"/>
    <hyperlink r:id="rId50" ref="AC23"/>
    <hyperlink r:id="rId51" ref="Z24"/>
    <hyperlink r:id="rId52" ref="Z25"/>
    <hyperlink r:id="rId53" ref="Z26"/>
    <hyperlink r:id="rId54" ref="Z27"/>
    <hyperlink r:id="rId55" ref="Z28"/>
    <hyperlink r:id="rId56" ref="Z29"/>
    <hyperlink r:id="rId57" ref="Z30"/>
    <hyperlink r:id="rId58" ref="Z31"/>
    <hyperlink r:id="rId59" ref="Z32"/>
    <hyperlink r:id="rId60" ref="Z33"/>
    <hyperlink r:id="rId61" ref="Z34"/>
    <hyperlink r:id="rId62" ref="Z35"/>
    <hyperlink r:id="rId63" ref="Z36"/>
    <hyperlink r:id="rId64" ref="Z37"/>
    <hyperlink r:id="rId65" ref="Z38"/>
    <hyperlink r:id="rId66" ref="Z39"/>
    <hyperlink r:id="rId67" ref="Z40"/>
    <hyperlink r:id="rId68" ref="AC40"/>
    <hyperlink r:id="rId69" ref="Z41"/>
    <hyperlink r:id="rId70" ref="AT41"/>
    <hyperlink r:id="rId71" ref="Z42"/>
    <hyperlink r:id="rId72" ref="Z43"/>
    <hyperlink r:id="rId73" ref="AT43"/>
    <hyperlink r:id="rId74" ref="Z44"/>
    <hyperlink r:id="rId75" ref="AT44"/>
    <hyperlink r:id="rId76" ref="Z45"/>
    <hyperlink r:id="rId77" ref="AT45"/>
    <hyperlink r:id="rId78" ref="Z47"/>
    <hyperlink r:id="rId79" ref="AB47"/>
    <hyperlink r:id="rId80" ref="Z48"/>
    <hyperlink r:id="rId81" ref="Z49"/>
    <hyperlink r:id="rId82" ref="Z50"/>
    <hyperlink r:id="rId83" ref="Z56"/>
    <hyperlink r:id="rId84" ref="AC56"/>
    <hyperlink r:id="rId85" ref="Z61"/>
    <hyperlink r:id="rId86" ref="Z62"/>
    <hyperlink r:id="rId87" ref="Z63"/>
    <hyperlink r:id="rId88" ref="Z64"/>
    <hyperlink r:id="rId89" ref="AB64"/>
    <hyperlink r:id="rId90" ref="AC64"/>
    <hyperlink r:id="rId91" ref="Z65"/>
    <hyperlink r:id="rId92" ref="AB65"/>
    <hyperlink r:id="rId93" ref="AC65"/>
    <hyperlink r:id="rId94" ref="Z66"/>
    <hyperlink r:id="rId95" ref="AB66"/>
    <hyperlink r:id="rId96" ref="AC66"/>
    <hyperlink r:id="rId97" ref="Z120"/>
    <hyperlink r:id="rId98" ref="AT120"/>
    <hyperlink r:id="rId99" ref="Z121"/>
    <hyperlink r:id="rId100" ref="AT121"/>
    <hyperlink r:id="rId101" ref="Z122"/>
    <hyperlink r:id="rId102" ref="AT122"/>
    <hyperlink r:id="rId103" ref="Z123"/>
    <hyperlink r:id="rId104" ref="AT123"/>
    <hyperlink r:id="rId105" ref="Z124"/>
    <hyperlink r:id="rId106" ref="AT124"/>
    <hyperlink r:id="rId107" ref="Z125"/>
    <hyperlink r:id="rId108" ref="Z126"/>
    <hyperlink r:id="rId109" location="gid=1" ref="AA126"/>
    <hyperlink r:id="rId110" ref="Z127"/>
    <hyperlink r:id="rId111" location="gid=1" ref="AA127"/>
    <hyperlink r:id="rId112" ref="Z128"/>
    <hyperlink r:id="rId113" location="gid=1" ref="AA128"/>
    <hyperlink r:id="rId114" ref="Z129"/>
    <hyperlink r:id="rId115" ref="AB129"/>
    <hyperlink r:id="rId116" ref="AC129"/>
    <hyperlink r:id="rId117" ref="Z130"/>
    <hyperlink r:id="rId118" ref="AB130"/>
    <hyperlink r:id="rId119" ref="AC130"/>
    <hyperlink r:id="rId120" ref="Z131"/>
    <hyperlink r:id="rId121" ref="Z132"/>
    <hyperlink r:id="rId122" ref="AB132"/>
    <hyperlink r:id="rId123" ref="AC132"/>
    <hyperlink r:id="rId124" ref="Z133"/>
    <hyperlink r:id="rId125" ref="AB133"/>
    <hyperlink r:id="rId126" ref="AT133"/>
    <hyperlink r:id="rId127" ref="Z134"/>
    <hyperlink r:id="rId128" ref="AB134"/>
    <hyperlink r:id="rId129" ref="AC134"/>
    <hyperlink r:id="rId130" ref="Z135"/>
    <hyperlink r:id="rId131" ref="AB135"/>
    <hyperlink r:id="rId132" ref="AC135"/>
    <hyperlink r:id="rId133" ref="Z136"/>
    <hyperlink r:id="rId134" ref="AB136"/>
    <hyperlink r:id="rId135" ref="AC136"/>
    <hyperlink r:id="rId136" ref="Z137"/>
    <hyperlink r:id="rId137" ref="AB137"/>
    <hyperlink r:id="rId138" ref="AC137"/>
    <hyperlink r:id="rId139" ref="Z138"/>
    <hyperlink r:id="rId140" ref="Z139"/>
    <hyperlink r:id="rId141" ref="Z140"/>
    <hyperlink r:id="rId142" ref="Z141"/>
    <hyperlink r:id="rId143" ref="Z142"/>
    <hyperlink r:id="rId144" ref="Z143"/>
    <hyperlink r:id="rId145" ref="Z144"/>
    <hyperlink r:id="rId146" ref="Z145"/>
    <hyperlink r:id="rId147" ref="Z146"/>
    <hyperlink r:id="rId148" ref="Z147"/>
    <hyperlink r:id="rId149" ref="Z148"/>
    <hyperlink r:id="rId150" ref="Z149"/>
    <hyperlink r:id="rId151" ref="Z150"/>
    <hyperlink r:id="rId152" ref="Z151"/>
    <hyperlink r:id="rId153" ref="Z152"/>
    <hyperlink r:id="rId154" ref="Z153"/>
    <hyperlink r:id="rId155" ref="Z154"/>
    <hyperlink r:id="rId156" ref="Z155"/>
    <hyperlink r:id="rId157" ref="Z156"/>
    <hyperlink r:id="rId158" ref="Z157"/>
    <hyperlink r:id="rId159" ref="Z158"/>
    <hyperlink r:id="rId160" ref="Z159"/>
    <hyperlink r:id="rId161" ref="AB159"/>
    <hyperlink r:id="rId162" ref="Z160"/>
    <hyperlink r:id="rId163" ref="AB160"/>
    <hyperlink r:id="rId164" ref="Z161"/>
    <hyperlink r:id="rId165" ref="AB161"/>
    <hyperlink r:id="rId166" ref="Z162"/>
    <hyperlink r:id="rId167" ref="AB162"/>
    <hyperlink r:id="rId168" ref="Z163"/>
    <hyperlink r:id="rId169" ref="Z164"/>
    <hyperlink r:id="rId170" ref="Z165"/>
    <hyperlink r:id="rId171" ref="Z166"/>
    <hyperlink r:id="rId172" ref="Z167"/>
    <hyperlink r:id="rId173" ref="Z168"/>
    <hyperlink r:id="rId174" ref="Z169"/>
    <hyperlink r:id="rId175" ref="Z170"/>
    <hyperlink r:id="rId176" ref="AB170"/>
    <hyperlink r:id="rId177" ref="AC170"/>
    <hyperlink r:id="rId178" ref="Z171"/>
    <hyperlink r:id="rId179" ref="AB171"/>
    <hyperlink r:id="rId180" ref="AC171"/>
    <hyperlink r:id="rId181" ref="Z172"/>
    <hyperlink r:id="rId182" ref="AB172"/>
    <hyperlink r:id="rId183" ref="AC172"/>
    <hyperlink r:id="rId184" ref="Z173"/>
    <hyperlink r:id="rId185" ref="Z174"/>
    <hyperlink r:id="rId186" ref="Z175"/>
    <hyperlink r:id="rId187" ref="Z176"/>
    <hyperlink r:id="rId188" ref="Z177"/>
    <hyperlink r:id="rId189" ref="Z178"/>
    <hyperlink r:id="rId190" ref="Z184"/>
    <hyperlink r:id="rId191" ref="Z185"/>
    <hyperlink r:id="rId192" ref="Z186"/>
    <hyperlink r:id="rId193" ref="Z187"/>
    <hyperlink r:id="rId194" location="gid=1" ref="AA187"/>
    <hyperlink r:id="rId195" ref="Z188"/>
    <hyperlink r:id="rId196" location="gid=2" ref="AA188"/>
    <hyperlink r:id="rId197" ref="Z189"/>
    <hyperlink r:id="rId198" ref="Z190"/>
    <hyperlink r:id="rId199" ref="Z191"/>
    <hyperlink r:id="rId200" ref="Z192"/>
    <hyperlink r:id="rId201" ref="Z193"/>
    <hyperlink r:id="rId202" ref="Z194"/>
    <hyperlink r:id="rId203" ref="Z195"/>
    <hyperlink r:id="rId204" ref="Z196"/>
    <hyperlink r:id="rId205" ref="Z197"/>
    <hyperlink r:id="rId206" ref="Z198"/>
    <hyperlink r:id="rId207" ref="AB198"/>
    <hyperlink r:id="rId208" ref="AC198"/>
    <hyperlink r:id="rId209" ref="Z199"/>
    <hyperlink r:id="rId210" ref="AB199"/>
    <hyperlink r:id="rId211" ref="AC199"/>
    <hyperlink r:id="rId212" ref="Z200"/>
    <hyperlink r:id="rId213" ref="AB200"/>
    <hyperlink r:id="rId214" ref="AC200"/>
    <hyperlink r:id="rId215" ref="Z201"/>
    <hyperlink r:id="rId216" ref="AB201"/>
    <hyperlink r:id="rId217" ref="AC201"/>
    <hyperlink r:id="rId218" ref="Z202"/>
    <hyperlink r:id="rId219" ref="AB202"/>
    <hyperlink r:id="rId220" ref="AC202"/>
    <hyperlink r:id="rId221" ref="Z203"/>
    <hyperlink r:id="rId222" ref="AB203"/>
    <hyperlink r:id="rId223" ref="AC203"/>
    <hyperlink r:id="rId224" ref="Z204"/>
    <hyperlink r:id="rId225" ref="AB204"/>
    <hyperlink r:id="rId226" ref="AC204"/>
    <hyperlink r:id="rId227" ref="Z205"/>
    <hyperlink r:id="rId228" ref="AB205"/>
    <hyperlink r:id="rId229" ref="AC205"/>
    <hyperlink r:id="rId230" ref="Z206"/>
    <hyperlink r:id="rId231" ref="AB206"/>
    <hyperlink r:id="rId232" ref="AC206"/>
    <hyperlink r:id="rId233" ref="Z207"/>
    <hyperlink r:id="rId234" ref="AB207"/>
    <hyperlink r:id="rId235" ref="AC207"/>
    <hyperlink r:id="rId236" ref="Z208"/>
    <hyperlink r:id="rId237" ref="Z209"/>
    <hyperlink r:id="rId238" ref="Z210"/>
    <hyperlink r:id="rId239" ref="AB210"/>
    <hyperlink r:id="rId240" ref="AC210"/>
    <hyperlink r:id="rId241" ref="Z211"/>
    <hyperlink r:id="rId242" ref="AB211"/>
    <hyperlink r:id="rId243" ref="AC211"/>
    <hyperlink r:id="rId244" ref="Z212"/>
    <hyperlink r:id="rId245" ref="AB212"/>
    <hyperlink r:id="rId246" ref="AC212"/>
    <hyperlink r:id="rId247" ref="Z213"/>
    <hyperlink r:id="rId248" ref="AB213"/>
    <hyperlink r:id="rId249" ref="AC213"/>
    <hyperlink r:id="rId250" ref="Z214"/>
    <hyperlink r:id="rId251" ref="Z215"/>
    <hyperlink r:id="rId252" location="gid=1" ref="AA215"/>
    <hyperlink r:id="rId253" ref="Z216"/>
    <hyperlink r:id="rId254" ref="Z217"/>
    <hyperlink r:id="rId255" ref="Z218"/>
    <hyperlink r:id="rId256" ref="Z219"/>
    <hyperlink r:id="rId257" ref="Z220"/>
    <hyperlink r:id="rId258" ref="Z221"/>
    <hyperlink r:id="rId259" ref="AB221"/>
    <hyperlink r:id="rId260" ref="Z222"/>
    <hyperlink r:id="rId261" ref="AB222"/>
    <hyperlink r:id="rId262" ref="Z223"/>
    <hyperlink r:id="rId263" ref="AB223"/>
    <hyperlink r:id="rId264" ref="Z224"/>
    <hyperlink r:id="rId265" ref="AB224"/>
    <hyperlink r:id="rId266" ref="Z225"/>
    <hyperlink r:id="rId267" ref="AB225"/>
    <hyperlink r:id="rId268" ref="Z226"/>
    <hyperlink r:id="rId269" ref="AB226"/>
    <hyperlink r:id="rId270" ref="Z227"/>
    <hyperlink r:id="rId271" ref="AB227"/>
    <hyperlink r:id="rId272" ref="Z228"/>
    <hyperlink r:id="rId273" ref="AB228"/>
    <hyperlink r:id="rId274" ref="Z229"/>
    <hyperlink r:id="rId275" ref="AB229"/>
    <hyperlink r:id="rId276" ref="Z230"/>
    <hyperlink r:id="rId277" location="gid=2" ref="AA230"/>
    <hyperlink r:id="rId278" location="polycard_client=search-nordic&amp;searchVariation=174116342699&amp;search_layout=stack&amp;position=5&amp;type=item&amp;tracking_id=69771774-2c82-435c-9e0b-7f45ec6c388d" ref="Z231"/>
    <hyperlink r:id="rId279" location="polycard_client=search-nordic&amp;searchVariation=174116342699&amp;search_layout=stack&amp;position=5&amp;type=item&amp;tracking_id=69771774-2c82-435c-9e0b-7f45ec6c388d" ref="Z232"/>
    <hyperlink r:id="rId280" ref="Z233"/>
    <hyperlink r:id="rId281" ref="AB233"/>
    <hyperlink r:id="rId282" ref="AC233"/>
    <hyperlink r:id="rId283" ref="Z234"/>
    <hyperlink r:id="rId284" ref="AB234"/>
    <hyperlink r:id="rId285" ref="AC234"/>
    <hyperlink r:id="rId286" ref="Z235"/>
    <hyperlink r:id="rId287" ref="AB235"/>
    <hyperlink r:id="rId288" ref="AC235"/>
    <hyperlink r:id="rId289" ref="Z236"/>
    <hyperlink r:id="rId290" ref="Z237"/>
    <hyperlink r:id="rId291" ref="Z238"/>
    <hyperlink r:id="rId292" ref="Z239"/>
    <hyperlink r:id="rId293" ref="Z240"/>
    <hyperlink r:id="rId294" ref="Z241"/>
    <hyperlink r:id="rId295" ref="AB241"/>
    <hyperlink r:id="rId296" ref="AC241"/>
    <hyperlink r:id="rId297" ref="Z243"/>
    <hyperlink r:id="rId298" ref="AB243"/>
    <hyperlink r:id="rId299" ref="AC243"/>
    <hyperlink r:id="rId300" ref="Z244"/>
    <hyperlink r:id="rId301" ref="AB244"/>
    <hyperlink r:id="rId302" ref="AC244"/>
    <hyperlink r:id="rId303" ref="Z245"/>
    <hyperlink r:id="rId304" ref="AB245"/>
    <hyperlink r:id="rId305" ref="AC245"/>
    <hyperlink r:id="rId306" ref="Z246"/>
    <hyperlink r:id="rId307" ref="AB246"/>
    <hyperlink r:id="rId308" ref="AC246"/>
    <hyperlink r:id="rId309" ref="Z248"/>
    <hyperlink r:id="rId310" ref="AB248"/>
    <hyperlink r:id="rId311" ref="AC248"/>
    <hyperlink r:id="rId312" ref="Z249"/>
    <hyperlink r:id="rId313" ref="AC249"/>
    <hyperlink r:id="rId314" ref="Z250"/>
    <hyperlink r:id="rId315" ref="AC250"/>
    <hyperlink r:id="rId316" ref="Z251"/>
    <hyperlink r:id="rId317" ref="AC251"/>
    <hyperlink r:id="rId318" ref="Z252"/>
    <hyperlink r:id="rId319" ref="AC252"/>
    <hyperlink r:id="rId320" ref="Z253"/>
    <hyperlink r:id="rId321" ref="Z254"/>
    <hyperlink r:id="rId322" ref="Z255"/>
    <hyperlink r:id="rId323" ref="Z256"/>
    <hyperlink r:id="rId324" ref="AC256"/>
    <hyperlink r:id="rId325" ref="Z257"/>
    <hyperlink r:id="rId326" ref="AC257"/>
    <hyperlink r:id="rId327" location="detalles" ref="Z258"/>
    <hyperlink r:id="rId328" ref="AC258"/>
    <hyperlink r:id="rId329" ref="Z259"/>
    <hyperlink r:id="rId330" ref="AC259"/>
    <hyperlink r:id="rId331" ref="Z260"/>
    <hyperlink r:id="rId332" ref="AC260"/>
    <hyperlink r:id="rId333" ref="Z261"/>
    <hyperlink r:id="rId334" ref="AC261"/>
    <hyperlink r:id="rId335" ref="Z263"/>
    <hyperlink r:id="rId336" ref="Z264"/>
    <hyperlink r:id="rId337" ref="AC264"/>
    <hyperlink r:id="rId338" ref="Z265"/>
    <hyperlink r:id="rId339" ref="AC265"/>
    <hyperlink r:id="rId340" ref="Z266"/>
    <hyperlink r:id="rId341" ref="AC266"/>
    <hyperlink r:id="rId342" ref="Z267"/>
    <hyperlink r:id="rId343" ref="AC267"/>
    <hyperlink r:id="rId344" ref="Z268"/>
    <hyperlink r:id="rId345" ref="AC268"/>
    <hyperlink r:id="rId346" ref="Z269"/>
    <hyperlink r:id="rId347" ref="AC269"/>
    <hyperlink r:id="rId348" ref="Z270"/>
    <hyperlink r:id="rId349" ref="AC270"/>
    <hyperlink r:id="rId350" ref="Z271"/>
    <hyperlink r:id="rId351" ref="Z272"/>
    <hyperlink r:id="rId352" ref="Z273"/>
    <hyperlink r:id="rId353" ref="Z274"/>
    <hyperlink r:id="rId354" ref="AB274"/>
    <hyperlink r:id="rId355" ref="AC274"/>
    <hyperlink r:id="rId356" location="description" ref="Z275"/>
    <hyperlink r:id="rId357" ref="AC275"/>
    <hyperlink r:id="rId358" ref="Z276"/>
    <hyperlink r:id="rId359" ref="Z277"/>
    <hyperlink r:id="rId360" ref="Z278"/>
    <hyperlink r:id="rId361" ref="Z279"/>
    <hyperlink r:id="rId362" ref="Z280"/>
    <hyperlink r:id="rId363" ref="Z281"/>
    <hyperlink r:id="rId364" ref="Z282"/>
    <hyperlink r:id="rId365" ref="Z283"/>
    <hyperlink r:id="rId366" ref="Z284"/>
    <hyperlink r:id="rId367" ref="Z285"/>
    <hyperlink r:id="rId368" ref="Z286"/>
    <hyperlink r:id="rId369" ref="Z287"/>
    <hyperlink r:id="rId370" ref="Z288"/>
    <hyperlink r:id="rId371" ref="Z289"/>
    <hyperlink r:id="rId372" ref="Z290"/>
    <hyperlink r:id="rId373" ref="Z291"/>
    <hyperlink r:id="rId374" ref="Z292"/>
    <hyperlink r:id="rId375" ref="Z293"/>
    <hyperlink r:id="rId376" ref="Z294"/>
    <hyperlink r:id="rId377" ref="Z295"/>
    <hyperlink r:id="rId378" ref="Z296"/>
    <hyperlink r:id="rId379" ref="Z297"/>
    <hyperlink r:id="rId380" ref="Z298"/>
    <hyperlink r:id="rId381" ref="AB298"/>
    <hyperlink r:id="rId382" ref="AC298"/>
    <hyperlink r:id="rId383" ref="Z299"/>
    <hyperlink r:id="rId384" ref="Z300"/>
    <hyperlink r:id="rId385" ref="Z301"/>
    <hyperlink r:id="rId386" ref="Z302"/>
    <hyperlink r:id="rId387" ref="Z303"/>
    <hyperlink r:id="rId388" ref="Z304"/>
    <hyperlink r:id="rId389" ref="Z305"/>
    <hyperlink r:id="rId390" ref="Z306"/>
    <hyperlink r:id="rId391" ref="Z307"/>
    <hyperlink r:id="rId392" ref="Z308"/>
    <hyperlink r:id="rId393" ref="Z309"/>
    <hyperlink r:id="rId394" ref="Z310"/>
    <hyperlink r:id="rId395" ref="Z311"/>
    <hyperlink r:id="rId396" ref="Z312"/>
    <hyperlink r:id="rId397" ref="Z313"/>
    <hyperlink r:id="rId398" ref="Z314"/>
    <hyperlink r:id="rId399" ref="Z315"/>
    <hyperlink r:id="rId400" ref="Z316"/>
    <hyperlink r:id="rId401" ref="Z317"/>
    <hyperlink r:id="rId402" ref="Z318"/>
    <hyperlink r:id="rId403" ref="Z319"/>
    <hyperlink r:id="rId404" ref="Z320"/>
    <hyperlink r:id="rId405" ref="Z321"/>
    <hyperlink r:id="rId406" ref="Z322"/>
    <hyperlink r:id="rId407" ref="Z323"/>
    <hyperlink r:id="rId408" location="/Tabs=section-technicalspecs/Togglebox=manuals/" ref="Z324"/>
    <hyperlink r:id="rId409" ref="AB324"/>
    <hyperlink r:id="rId410" ref="Z325"/>
    <hyperlink r:id="rId411" ref="AB325"/>
    <hyperlink r:id="rId412" location="description" ref="Z326"/>
    <hyperlink r:id="rId413" ref="AC326"/>
    <hyperlink r:id="rId414" ref="Z327"/>
    <hyperlink r:id="rId415" ref="Z328"/>
    <hyperlink r:id="rId416" ref="Z329"/>
    <hyperlink r:id="rId417" ref="AB329"/>
    <hyperlink r:id="rId418" ref="AC329"/>
    <hyperlink r:id="rId419" ref="Z330"/>
    <hyperlink r:id="rId420" ref="AB330"/>
    <hyperlink r:id="rId421" ref="AC330"/>
    <hyperlink r:id="rId422" ref="Z331"/>
    <hyperlink r:id="rId423" ref="AB331"/>
    <hyperlink r:id="rId424" ref="AC331"/>
    <hyperlink r:id="rId425" ref="Z332"/>
    <hyperlink r:id="rId426" ref="Z333"/>
    <hyperlink r:id="rId427" ref="Z334"/>
    <hyperlink r:id="rId428" ref="Z335"/>
    <hyperlink r:id="rId429" ref="Z336"/>
    <hyperlink r:id="rId430" ref="Z337"/>
    <hyperlink r:id="rId431" ref="Z338"/>
    <hyperlink r:id="rId432" ref="Z339"/>
    <hyperlink r:id="rId433" ref="Z340"/>
    <hyperlink r:id="rId434" ref="Z341"/>
    <hyperlink r:id="rId435" ref="Z342"/>
    <hyperlink r:id="rId436" ref="AB342"/>
    <hyperlink r:id="rId437" location="polycard_client=search-nordic&amp;search_layout=grid&amp;position=3&amp;type=product&amp;tracking_id=b698c16e-d0c3-44e1-afb3-1f63d512b4de&amp;wid=MPE622495745&amp;sid=search" ref="AT342"/>
    <hyperlink r:id="rId438" ref="Z343"/>
    <hyperlink r:id="rId439" ref="Z344"/>
    <hyperlink r:id="rId440" ref="Z345"/>
    <hyperlink r:id="rId441" ref="Z346"/>
    <hyperlink r:id="rId442" ref="Z347"/>
    <hyperlink r:id="rId443" ref="Z348"/>
    <hyperlink r:id="rId444" ref="Z349"/>
    <hyperlink r:id="rId445" ref="Z350"/>
    <hyperlink r:id="rId446" ref="Z351"/>
    <hyperlink r:id="rId447" ref="Z352"/>
    <hyperlink r:id="rId448" ref="Z353"/>
    <hyperlink r:id="rId449" ref="Z354"/>
    <hyperlink r:id="rId450" ref="Z355"/>
    <hyperlink r:id="rId451" ref="Z356"/>
    <hyperlink r:id="rId452" ref="Z357"/>
    <hyperlink r:id="rId453" ref="Z358"/>
    <hyperlink r:id="rId454" ref="Z359"/>
    <hyperlink r:id="rId455" ref="Z360"/>
    <hyperlink r:id="rId456" ref="Z361"/>
    <hyperlink r:id="rId457" ref="Z362"/>
    <hyperlink r:id="rId458" ref="Z363"/>
    <hyperlink r:id="rId459" ref="Z364"/>
    <hyperlink r:id="rId460" ref="Z365"/>
    <hyperlink r:id="rId461" ref="Z366"/>
    <hyperlink r:id="rId462" ref="Z367"/>
    <hyperlink r:id="rId463" ref="Z368"/>
    <hyperlink r:id="rId464" ref="Z369"/>
    <hyperlink r:id="rId465" ref="Z370"/>
    <hyperlink r:id="rId466" ref="Z371"/>
    <hyperlink r:id="rId467" ref="Z372"/>
    <hyperlink r:id="rId468" ref="Z373"/>
    <hyperlink r:id="rId469" ref="Z374"/>
    <hyperlink r:id="rId470" ref="Z375"/>
    <hyperlink r:id="rId471" ref="Z376"/>
    <hyperlink r:id="rId472" ref="Z377"/>
    <hyperlink r:id="rId473" ref="Z378"/>
    <hyperlink r:id="rId474" ref="Z379"/>
    <hyperlink r:id="rId475" ref="Z380"/>
    <hyperlink r:id="rId476" ref="Z381"/>
    <hyperlink r:id="rId477" ref="Z382"/>
    <hyperlink r:id="rId478" ref="AB382"/>
    <hyperlink r:id="rId479" ref="Z383"/>
    <hyperlink r:id="rId480" ref="AB383"/>
    <hyperlink r:id="rId481" ref="Z384"/>
    <hyperlink r:id="rId482" ref="Z385"/>
    <hyperlink r:id="rId483" location="gid=1" ref="AA385"/>
    <hyperlink r:id="rId484" ref="Z386"/>
    <hyperlink r:id="rId485" location="gid=2" ref="AA386"/>
    <hyperlink r:id="rId486" ref="Z387"/>
    <hyperlink r:id="rId487" ref="AB387"/>
    <hyperlink r:id="rId488" ref="Z388"/>
    <hyperlink r:id="rId489" ref="AB388"/>
    <hyperlink r:id="rId490" ref="AT388"/>
    <hyperlink r:id="rId491" ref="Z389"/>
    <hyperlink r:id="rId492" ref="AB389"/>
    <hyperlink r:id="rId493" ref="AT389"/>
    <hyperlink r:id="rId494" ref="Z390"/>
    <hyperlink r:id="rId495" ref="AB390"/>
    <hyperlink r:id="rId496" ref="AT390"/>
    <hyperlink r:id="rId497" ref="Z391"/>
    <hyperlink r:id="rId498" ref="Z392"/>
    <hyperlink r:id="rId499" ref="Z393"/>
    <hyperlink r:id="rId500" ref="Z394"/>
    <hyperlink r:id="rId501" ref="Z395"/>
    <hyperlink r:id="rId502" ref="Z396"/>
    <hyperlink r:id="rId503" ref="Z397"/>
    <hyperlink r:id="rId504" ref="Z398"/>
    <hyperlink r:id="rId505" ref="Z399"/>
    <hyperlink r:id="rId506" ref="Z400"/>
    <hyperlink r:id="rId507" ref="Z401"/>
    <hyperlink r:id="rId508" ref="Z402"/>
    <hyperlink r:id="rId509" ref="Z403"/>
    <hyperlink r:id="rId510" ref="Z404"/>
    <hyperlink r:id="rId511" ref="Z405"/>
    <hyperlink r:id="rId512" ref="Z406"/>
    <hyperlink r:id="rId513" ref="Z407"/>
    <hyperlink r:id="rId514" ref="Z408"/>
    <hyperlink r:id="rId515" ref="Z409"/>
    <hyperlink r:id="rId516" ref="Z410"/>
    <hyperlink r:id="rId517" ref="Z411"/>
    <hyperlink r:id="rId518" ref="Z412"/>
    <hyperlink r:id="rId519" ref="Z413"/>
    <hyperlink r:id="rId520" ref="Z414"/>
    <hyperlink r:id="rId521" ref="Z415"/>
    <hyperlink r:id="rId522" ref="Z416"/>
    <hyperlink r:id="rId523" ref="Z417"/>
    <hyperlink r:id="rId524" ref="Z418"/>
    <hyperlink r:id="rId525" ref="Z419"/>
    <hyperlink r:id="rId526" ref="Z420"/>
    <hyperlink r:id="rId527" ref="Z421"/>
    <hyperlink r:id="rId528" ref="Z422"/>
    <hyperlink r:id="rId529" ref="Z423"/>
    <hyperlink r:id="rId530" ref="Z424"/>
    <hyperlink r:id="rId531" ref="Z425"/>
    <hyperlink r:id="rId532" ref="Z426"/>
    <hyperlink r:id="rId533" ref="Z427"/>
    <hyperlink r:id="rId534" ref="Z428"/>
    <hyperlink r:id="rId535" ref="Z429"/>
    <hyperlink r:id="rId536" ref="Z430"/>
    <hyperlink r:id="rId537" ref="Z431"/>
    <hyperlink r:id="rId538" ref="Z432"/>
    <hyperlink r:id="rId539" ref="Z433"/>
    <hyperlink r:id="rId540" ref="Z434"/>
    <hyperlink r:id="rId541" ref="Z435"/>
    <hyperlink r:id="rId542" ref="Z436"/>
    <hyperlink r:id="rId543" ref="Z437"/>
    <hyperlink r:id="rId544" ref="Z438"/>
    <hyperlink r:id="rId545" ref="Z439"/>
    <hyperlink r:id="rId546" ref="AB439"/>
    <hyperlink r:id="rId547" ref="Z440"/>
    <hyperlink r:id="rId548" ref="Z441"/>
    <hyperlink r:id="rId549" ref="Z442"/>
    <hyperlink r:id="rId550" ref="Z443"/>
    <hyperlink r:id="rId551" ref="Z444"/>
    <hyperlink r:id="rId552" ref="Z445"/>
    <hyperlink r:id="rId553" ref="AB445"/>
    <hyperlink r:id="rId554" ref="Z446"/>
    <hyperlink r:id="rId555" ref="Z447"/>
    <hyperlink r:id="rId556" ref="Z448"/>
    <hyperlink r:id="rId557" ref="Z449"/>
    <hyperlink r:id="rId558" ref="Z450"/>
    <hyperlink r:id="rId559" ref="Z451"/>
    <hyperlink r:id="rId560" ref="Z452"/>
    <hyperlink r:id="rId561" ref="Z453"/>
    <hyperlink r:id="rId562" ref="Z454"/>
    <hyperlink r:id="rId563" ref="Z455"/>
    <hyperlink r:id="rId564" ref="Z456"/>
    <hyperlink r:id="rId565" ref="Z457"/>
    <hyperlink r:id="rId566" ref="Z458"/>
    <hyperlink r:id="rId567" ref="Z459"/>
    <hyperlink r:id="rId568" ref="Z460"/>
    <hyperlink r:id="rId569" ref="Z461"/>
    <hyperlink r:id="rId570" ref="Z462"/>
    <hyperlink r:id="rId571" ref="Z463"/>
    <hyperlink r:id="rId572" ref="Z464"/>
    <hyperlink r:id="rId573" ref="Z465"/>
    <hyperlink r:id="rId574" ref="Z466"/>
    <hyperlink r:id="rId575" ref="Z467"/>
    <hyperlink r:id="rId576" ref="Z468"/>
    <hyperlink r:id="rId577" ref="Z469"/>
    <hyperlink r:id="rId578" ref="Z470"/>
    <hyperlink r:id="rId579" location="gid=0" ref="AA470"/>
    <hyperlink r:id="rId580" ref="Z471"/>
    <hyperlink r:id="rId581" location="gid=0" ref="AA471"/>
    <hyperlink r:id="rId582" ref="Z472"/>
    <hyperlink r:id="rId583" location="gid=0" ref="AA472"/>
    <hyperlink r:id="rId584" location="gid=0" ref="AA473"/>
    <hyperlink r:id="rId585" location="gid=0" ref="AA474"/>
    <hyperlink r:id="rId586" ref="Z475"/>
    <hyperlink r:id="rId587" ref="Z476"/>
    <hyperlink r:id="rId588" ref="Z477"/>
    <hyperlink r:id="rId589" ref="Z478"/>
    <hyperlink r:id="rId590" ref="Z479"/>
    <hyperlink r:id="rId591" ref="Z480"/>
    <hyperlink r:id="rId592" ref="Z481"/>
    <hyperlink r:id="rId593" ref="Z482"/>
    <hyperlink r:id="rId594" ref="Z483"/>
    <hyperlink r:id="rId595" ref="Z484"/>
    <hyperlink r:id="rId596" ref="Z485"/>
    <hyperlink r:id="rId597" ref="Z486"/>
    <hyperlink r:id="rId598" ref="Z487"/>
    <hyperlink r:id="rId599" ref="Z488"/>
    <hyperlink r:id="rId600" ref="Z489"/>
    <hyperlink r:id="rId601" ref="Z490"/>
    <hyperlink r:id="rId602" ref="Z491"/>
    <hyperlink r:id="rId603" ref="Z492"/>
    <hyperlink r:id="rId604" ref="Z493"/>
    <hyperlink r:id="rId605" ref="Z494"/>
    <hyperlink r:id="rId606" ref="AB494"/>
    <hyperlink r:id="rId607" ref="AT494"/>
    <hyperlink r:id="rId608" ref="Z495"/>
    <hyperlink r:id="rId609" ref="AB495"/>
    <hyperlink r:id="rId610" ref="AT495"/>
    <hyperlink r:id="rId611" ref="Z496"/>
    <hyperlink r:id="rId612" ref="Z497"/>
    <hyperlink r:id="rId613" ref="Z498"/>
    <hyperlink r:id="rId614" ref="AB498"/>
    <hyperlink r:id="rId615" ref="Z503"/>
    <hyperlink r:id="rId616" ref="Z507"/>
    <hyperlink r:id="rId617" ref="Z508"/>
    <hyperlink r:id="rId618" ref="Z509"/>
    <hyperlink r:id="rId619" ref="AB509"/>
    <hyperlink r:id="rId620" ref="Z510"/>
    <hyperlink r:id="rId621" ref="AB510"/>
    <hyperlink r:id="rId622" ref="Z511"/>
    <hyperlink r:id="rId623" ref="AB511"/>
    <hyperlink r:id="rId624" ref="Z512"/>
    <hyperlink r:id="rId625" ref="AB512"/>
    <hyperlink r:id="rId626" ref="Z513"/>
    <hyperlink r:id="rId627" ref="Z514"/>
    <hyperlink r:id="rId628" ref="Z515"/>
    <hyperlink r:id="rId629" ref="Z516"/>
    <hyperlink r:id="rId630" ref="Z517"/>
    <hyperlink r:id="rId631" ref="AB517"/>
    <hyperlink r:id="rId632" ref="Z518"/>
    <hyperlink r:id="rId633" ref="AB518"/>
    <hyperlink r:id="rId634" ref="Z519"/>
    <hyperlink r:id="rId635" ref="AB519"/>
    <hyperlink r:id="rId636" ref="Z520"/>
    <hyperlink r:id="rId637" ref="Z521"/>
    <hyperlink r:id="rId638" ref="Z522"/>
    <hyperlink r:id="rId639" ref="Z523"/>
    <hyperlink r:id="rId640" ref="Z524"/>
    <hyperlink r:id="rId641" ref="Z525"/>
    <hyperlink r:id="rId642" ref="Z526"/>
    <hyperlink r:id="rId643" ref="Z527"/>
    <hyperlink r:id="rId644" ref="Z528"/>
    <hyperlink r:id="rId645" ref="Z529"/>
    <hyperlink r:id="rId646" ref="AB529"/>
    <hyperlink r:id="rId647" ref="AT529"/>
    <hyperlink r:id="rId648" ref="Z530"/>
    <hyperlink r:id="rId649" ref="AB530"/>
    <hyperlink r:id="rId650" ref="AT530"/>
    <hyperlink r:id="rId651" ref="Z531"/>
    <hyperlink r:id="rId652" ref="Z532"/>
    <hyperlink r:id="rId653" ref="Z533"/>
    <hyperlink r:id="rId654" ref="Z534"/>
    <hyperlink r:id="rId655" ref="AB534"/>
    <hyperlink r:id="rId656" ref="Z535"/>
    <hyperlink r:id="rId657" ref="AB535"/>
    <hyperlink r:id="rId658" ref="Z536"/>
    <hyperlink r:id="rId659" ref="Z537"/>
    <hyperlink r:id="rId660" ref="Z538"/>
    <hyperlink r:id="rId661" ref="Z539"/>
    <hyperlink r:id="rId662" ref="Z540"/>
    <hyperlink r:id="rId663" ref="Z541"/>
    <hyperlink r:id="rId664" ref="Z542"/>
    <hyperlink r:id="rId665" ref="Z543"/>
    <hyperlink r:id="rId666" ref="Z544"/>
    <hyperlink r:id="rId667" ref="Z545"/>
    <hyperlink r:id="rId668" ref="Z546"/>
    <hyperlink r:id="rId669" ref="Z547"/>
    <hyperlink r:id="rId670" ref="Z548"/>
    <hyperlink r:id="rId671" ref="Z549"/>
    <hyperlink r:id="rId672" ref="Z550"/>
    <hyperlink r:id="rId673" ref="Z551"/>
    <hyperlink r:id="rId674" ref="Z552"/>
    <hyperlink r:id="rId675" ref="Z553"/>
    <hyperlink r:id="rId676" ref="Z554"/>
    <hyperlink r:id="rId677" ref="Z555"/>
    <hyperlink r:id="rId678" ref="Z556"/>
    <hyperlink r:id="rId679" ref="Z557"/>
    <hyperlink r:id="rId680" ref="Z558"/>
    <hyperlink r:id="rId681" location="gid=5" ref="AA558"/>
    <hyperlink r:id="rId682" ref="Z559"/>
    <hyperlink r:id="rId683" ref="Z560"/>
    <hyperlink r:id="rId684" ref="Z561"/>
    <hyperlink r:id="rId685" location="gid=15" ref="AA561"/>
    <hyperlink r:id="rId686" ref="Z562"/>
    <hyperlink r:id="rId687" location="gid=1" ref="AA562"/>
    <hyperlink r:id="rId688" ref="Z563"/>
    <hyperlink r:id="rId689" location="gid=8" ref="AA563"/>
    <hyperlink r:id="rId690" ref="Z564"/>
    <hyperlink r:id="rId691" location="gid=12" ref="AA564"/>
    <hyperlink r:id="rId692" ref="Z565"/>
    <hyperlink r:id="rId693" location="gid=11" ref="AA565"/>
    <hyperlink r:id="rId694" ref="Z566"/>
    <hyperlink r:id="rId695" location="gid=2" ref="AA566"/>
    <hyperlink r:id="rId696" ref="Z567"/>
    <hyperlink r:id="rId697" location="gid=9" ref="AA567"/>
    <hyperlink r:id="rId698" ref="Z568"/>
    <hyperlink r:id="rId699" location="gid=17" ref="AA568"/>
    <hyperlink r:id="rId700" ref="Z569"/>
    <hyperlink r:id="rId701" location="gid=13" ref="AA569"/>
    <hyperlink r:id="rId702" ref="Z570"/>
    <hyperlink r:id="rId703" location="gid=10" ref="AA570"/>
    <hyperlink r:id="rId704" ref="Z571"/>
    <hyperlink r:id="rId705" location="gid=18" ref="AA571"/>
    <hyperlink r:id="rId706" ref="Z572"/>
    <hyperlink r:id="rId707" location="gid=3" ref="AA572"/>
    <hyperlink r:id="rId708" ref="Z573"/>
    <hyperlink r:id="rId709" location="gid=6" ref="AA573"/>
    <hyperlink r:id="rId710" ref="Z574"/>
    <hyperlink r:id="rId711" location="gid=4" ref="AA574"/>
    <hyperlink r:id="rId712" ref="Z575"/>
    <hyperlink r:id="rId713" location="gid=14" ref="AA575"/>
    <hyperlink r:id="rId714" ref="Z576"/>
    <hyperlink r:id="rId715" location="gid=19" ref="AA576"/>
    <hyperlink r:id="rId716" ref="Z577"/>
    <hyperlink r:id="rId717" location="gid=16" ref="AA577"/>
    <hyperlink r:id="rId718" ref="Z578"/>
    <hyperlink r:id="rId719" ref="Z579"/>
    <hyperlink r:id="rId720" location="gid=7" ref="AA579"/>
    <hyperlink r:id="rId721" ref="Z580"/>
    <hyperlink r:id="rId722" ref="AB580"/>
    <hyperlink r:id="rId723" ref="Z581"/>
    <hyperlink r:id="rId724" ref="AB581"/>
    <hyperlink r:id="rId725" ref="Z582"/>
    <hyperlink r:id="rId726" ref="AB582"/>
    <hyperlink r:id="rId727" ref="Z583"/>
    <hyperlink r:id="rId728" ref="AB583"/>
    <hyperlink r:id="rId729" ref="Z585"/>
    <hyperlink r:id="rId730" ref="Z586"/>
    <hyperlink r:id="rId731" ref="Z587"/>
    <hyperlink r:id="rId732" ref="Z588"/>
    <hyperlink r:id="rId733" ref="Z589"/>
    <hyperlink r:id="rId734" ref="Z590"/>
    <hyperlink r:id="rId735" ref="Z591"/>
    <hyperlink r:id="rId736" ref="Z592"/>
    <hyperlink r:id="rId737" ref="Z593"/>
    <hyperlink r:id="rId738" ref="Z594"/>
    <hyperlink r:id="rId739" ref="Z595"/>
    <hyperlink r:id="rId740" ref="Z596"/>
    <hyperlink r:id="rId741" ref="Z597"/>
    <hyperlink r:id="rId742" ref="Z598"/>
    <hyperlink r:id="rId743" ref="Z600"/>
    <hyperlink r:id="rId744" ref="Z601"/>
    <hyperlink r:id="rId745" ref="Z602"/>
    <hyperlink r:id="rId746" ref="Z603"/>
    <hyperlink r:id="rId747" ref="Z627"/>
    <hyperlink r:id="rId748" ref="Z633"/>
    <hyperlink r:id="rId749" ref="Z634"/>
    <hyperlink r:id="rId750" ref="Z635"/>
    <hyperlink r:id="rId751" ref="Z636"/>
    <hyperlink r:id="rId752" ref="Z637"/>
    <hyperlink r:id="rId753" ref="Z638"/>
    <hyperlink r:id="rId754" ref="Z639"/>
    <hyperlink r:id="rId755" ref="Z640"/>
    <hyperlink r:id="rId756" ref="Z641"/>
    <hyperlink r:id="rId757" ref="Z642"/>
    <hyperlink r:id="rId758" ref="Z643"/>
    <hyperlink r:id="rId759" ref="Z644"/>
    <hyperlink r:id="rId760" ref="Z645"/>
    <hyperlink r:id="rId761" ref="Z646"/>
    <hyperlink r:id="rId762" location="gid=1" ref="AA646"/>
    <hyperlink r:id="rId763" ref="Z647"/>
    <hyperlink r:id="rId764" ref="Z648"/>
    <hyperlink r:id="rId765" ref="Z649"/>
    <hyperlink r:id="rId766" ref="Z650"/>
    <hyperlink r:id="rId767" ref="Z651"/>
    <hyperlink r:id="rId768" ref="Z652"/>
    <hyperlink r:id="rId769" ref="Z653"/>
    <hyperlink r:id="rId770" ref="Z654"/>
    <hyperlink r:id="rId771" ref="Z655"/>
    <hyperlink r:id="rId772" ref="Z656"/>
    <hyperlink r:id="rId773" ref="Z657"/>
    <hyperlink r:id="rId774" ref="Z658"/>
    <hyperlink r:id="rId775" ref="Z659"/>
    <hyperlink r:id="rId776" ref="Z660"/>
    <hyperlink r:id="rId777" ref="Z661"/>
    <hyperlink r:id="rId778" location="gid=0" ref="AA662"/>
    <hyperlink r:id="rId779" ref="AC662"/>
    <hyperlink r:id="rId780" ref="Z663"/>
    <hyperlink r:id="rId781" location="gid=0" ref="AA663"/>
    <hyperlink r:id="rId782" ref="AC663"/>
    <hyperlink r:id="rId783" ref="Z664"/>
    <hyperlink r:id="rId784" location="gid=0" ref="AA664"/>
    <hyperlink r:id="rId785" ref="AC664"/>
    <hyperlink r:id="rId786" ref="Z665"/>
    <hyperlink r:id="rId787" ref="AB665"/>
    <hyperlink r:id="rId788" ref="Z666"/>
    <hyperlink r:id="rId789" ref="AB666"/>
    <hyperlink r:id="rId790" ref="Z667"/>
    <hyperlink r:id="rId791" ref="AB667"/>
    <hyperlink r:id="rId792" location=":~:text=El%20alcance%20extendido%20permite%20diagn%C3%B3sticos,de%20autom%C3%B3viles%20es%20nuestro%20enfoque." ref="Z671"/>
    <hyperlink r:id="rId793" location=":~:text=El%20alcance%20extendido%20permite%20diagn%C3%B3sticos,de%20autom%C3%B3viles%20es%20nuestro%20enfoque." ref="Z672"/>
    <hyperlink r:id="rId794" location=":~:text=El%20alcance%20extendido%20permite%20diagn%C3%B3sticos,de%20autom%C3%B3viles%20es%20nuestro%20enfoque." ref="Z673"/>
    <hyperlink r:id="rId795" ref="Z678"/>
    <hyperlink r:id="rId796" ref="Z679"/>
    <hyperlink r:id="rId797" ref="Z680"/>
    <hyperlink r:id="rId798" ref="Z681"/>
    <hyperlink r:id="rId799" ref="Z682"/>
    <hyperlink r:id="rId800" ref="Z683"/>
    <hyperlink r:id="rId801" ref="Z684"/>
    <hyperlink r:id="rId802" ref="Z685"/>
    <hyperlink r:id="rId803" ref="Z686"/>
    <hyperlink r:id="rId804" ref="Z687"/>
    <hyperlink r:id="rId805" ref="Z688"/>
    <hyperlink r:id="rId806" ref="Z689"/>
    <hyperlink r:id="rId807" ref="Z690"/>
    <hyperlink r:id="rId808" ref="Z691"/>
    <hyperlink r:id="rId809" ref="Z692"/>
    <hyperlink r:id="rId810" location="gid=0" ref="AA692"/>
    <hyperlink r:id="rId811" ref="Z693"/>
    <hyperlink r:id="rId812" location="gid=0" ref="AA693"/>
    <hyperlink r:id="rId813" ref="Z694"/>
    <hyperlink r:id="rId814" ref="Z695"/>
    <hyperlink r:id="rId815" location="gid=1" ref="AA695"/>
    <hyperlink r:id="rId816" ref="Z696"/>
    <hyperlink r:id="rId817" ref="Z697"/>
    <hyperlink r:id="rId818" location="highlighted_specs_attrs" ref="Z698"/>
    <hyperlink r:id="rId819" location="highlighted_specs_attrs" ref="Z699"/>
    <hyperlink r:id="rId820" ref="Z700"/>
    <hyperlink r:id="rId821" ref="Z701"/>
    <hyperlink r:id="rId822" ref="Z702"/>
    <hyperlink r:id="rId823" location="section-features_76258" ref="Z703"/>
    <hyperlink r:id="rId824" ref="AB703"/>
    <hyperlink r:id="rId825" ref="Z704"/>
    <hyperlink r:id="rId826" ref="Z705"/>
    <hyperlink r:id="rId827" ref="Z706"/>
    <hyperlink r:id="rId828" ref="Z707"/>
    <hyperlink r:id="rId829" ref="Z708"/>
    <hyperlink r:id="rId830" ref="Z709"/>
    <hyperlink r:id="rId831" ref="Z710"/>
    <hyperlink r:id="rId832" ref="Z711"/>
    <hyperlink r:id="rId833" ref="Z712"/>
    <hyperlink r:id="rId834" ref="Z713"/>
    <hyperlink r:id="rId835" ref="Z714"/>
    <hyperlink r:id="rId836" ref="Z715"/>
    <hyperlink r:id="rId837" ref="Z716"/>
    <hyperlink r:id="rId838" ref="Z717"/>
    <hyperlink r:id="rId839" ref="Z718"/>
    <hyperlink r:id="rId840" ref="Z719"/>
    <hyperlink r:id="rId841" ref="Z720"/>
    <hyperlink r:id="rId842" ref="Z721"/>
    <hyperlink r:id="rId843" ref="AB721"/>
    <hyperlink r:id="rId844" ref="AC721"/>
    <hyperlink r:id="rId845" ref="Z722"/>
    <hyperlink r:id="rId846" ref="AB722"/>
    <hyperlink r:id="rId847" ref="AC722"/>
    <hyperlink r:id="rId848" ref="Z723"/>
    <hyperlink r:id="rId849" ref="AB723"/>
    <hyperlink r:id="rId850" ref="AC723"/>
    <hyperlink r:id="rId851" ref="Z724"/>
    <hyperlink r:id="rId852" ref="Z725"/>
    <hyperlink r:id="rId853" ref="Z726"/>
    <hyperlink r:id="rId854" ref="Z727"/>
    <hyperlink r:id="rId855" ref="Z728"/>
    <hyperlink r:id="rId856" ref="Z729"/>
    <hyperlink r:id="rId857" ref="Z730"/>
    <hyperlink r:id="rId858" ref="Z731"/>
    <hyperlink r:id="rId859" ref="Z732"/>
    <hyperlink r:id="rId860" ref="Z733"/>
    <hyperlink r:id="rId861" ref="AB733"/>
    <hyperlink r:id="rId862" ref="Z734"/>
    <hyperlink r:id="rId863" ref="Z735"/>
    <hyperlink r:id="rId864" ref="Z736"/>
    <hyperlink r:id="rId865" ref="Z737"/>
    <hyperlink r:id="rId866" ref="Z738"/>
    <hyperlink r:id="rId867" ref="Z739"/>
    <hyperlink r:id="rId868" ref="Z740"/>
    <hyperlink r:id="rId869" ref="Z741"/>
    <hyperlink r:id="rId870" ref="Z742"/>
    <hyperlink r:id="rId871" ref="Z743"/>
    <hyperlink r:id="rId872" ref="Z744"/>
    <hyperlink r:id="rId873" ref="Z745"/>
    <hyperlink r:id="rId874" ref="Z746"/>
    <hyperlink r:id="rId875" location="gid=1" ref="AA746"/>
    <hyperlink r:id="rId876" ref="Z747"/>
    <hyperlink r:id="rId877" location="gid=1" ref="AA747"/>
    <hyperlink r:id="rId878" ref="Z748"/>
    <hyperlink r:id="rId879" location="gid=1" ref="AA748"/>
    <hyperlink r:id="rId880" ref="Z750"/>
    <hyperlink r:id="rId881" ref="AB750"/>
    <hyperlink r:id="rId882" ref="Z753"/>
    <hyperlink r:id="rId883" ref="AB753"/>
    <hyperlink r:id="rId884" ref="Z754"/>
    <hyperlink r:id="rId885" ref="Z755"/>
    <hyperlink r:id="rId886" ref="Z756"/>
    <hyperlink r:id="rId887" ref="Z757"/>
    <hyperlink r:id="rId888" ref="Z759"/>
    <hyperlink r:id="rId889" ref="Z760"/>
    <hyperlink r:id="rId890" ref="AB760"/>
    <hyperlink r:id="rId891" ref="Z761"/>
    <hyperlink r:id="rId892" ref="Z762"/>
    <hyperlink r:id="rId893" ref="Z763"/>
    <hyperlink r:id="rId894" location="gid=1" ref="AA763"/>
    <hyperlink r:id="rId895" ref="Z764"/>
    <hyperlink r:id="rId896" location="gid=1" ref="AA764"/>
    <hyperlink r:id="rId897" ref="Z765"/>
    <hyperlink r:id="rId898" location="gid=1" ref="AA765"/>
    <hyperlink r:id="rId899" ref="Z766"/>
    <hyperlink r:id="rId900" location="gid=1" ref="AA766"/>
    <hyperlink r:id="rId901" ref="Z767"/>
    <hyperlink r:id="rId902" ref="Z768"/>
    <hyperlink r:id="rId903" ref="Z769"/>
    <hyperlink r:id="rId904" ref="Z770"/>
    <hyperlink r:id="rId905" ref="Z771"/>
    <hyperlink r:id="rId906" ref="AC771"/>
    <hyperlink r:id="rId907" ref="Z772"/>
    <hyperlink r:id="rId908" ref="AC772"/>
    <hyperlink r:id="rId909" ref="Z773"/>
    <hyperlink r:id="rId910" ref="AC773"/>
    <hyperlink r:id="rId911" ref="Z774"/>
    <hyperlink r:id="rId912" ref="AB774"/>
    <hyperlink r:id="rId913" ref="Z775"/>
    <hyperlink r:id="rId914" ref="Z776"/>
    <hyperlink r:id="rId915" ref="Z777"/>
    <hyperlink r:id="rId916" ref="Z778"/>
    <hyperlink r:id="rId917" ref="Z779"/>
    <hyperlink r:id="rId918" ref="Z780"/>
    <hyperlink r:id="rId919" ref="Z781"/>
    <hyperlink r:id="rId920" ref="Z782"/>
    <hyperlink r:id="rId921" ref="Z783"/>
    <hyperlink r:id="rId922" ref="Z784"/>
    <hyperlink r:id="rId923" ref="Z785"/>
    <hyperlink r:id="rId924" ref="Z786"/>
    <hyperlink r:id="rId925" ref="AB786"/>
    <hyperlink r:id="rId926" ref="AC786"/>
    <hyperlink r:id="rId927" ref="Z787"/>
    <hyperlink r:id="rId928" ref="Z788"/>
    <hyperlink r:id="rId929" ref="AB788"/>
    <hyperlink r:id="rId930" ref="AC788"/>
    <hyperlink r:id="rId931" ref="Z789"/>
    <hyperlink r:id="rId932" ref="AB789"/>
    <hyperlink r:id="rId933" ref="AC789"/>
    <hyperlink r:id="rId934" ref="Z790"/>
    <hyperlink r:id="rId935" ref="AB790"/>
    <hyperlink r:id="rId936" ref="AC790"/>
    <hyperlink r:id="rId937" ref="Z791"/>
    <hyperlink r:id="rId938" ref="AB791"/>
    <hyperlink r:id="rId939" ref="AC791"/>
    <hyperlink r:id="rId940" ref="Z792"/>
    <hyperlink r:id="rId941" ref="AB792"/>
    <hyperlink r:id="rId942" ref="AC792"/>
    <hyperlink r:id="rId943" ref="Z793"/>
    <hyperlink r:id="rId944" ref="AB793"/>
    <hyperlink r:id="rId945" ref="AC793"/>
    <hyperlink r:id="rId946" ref="Z794"/>
    <hyperlink r:id="rId947" ref="AB794"/>
    <hyperlink r:id="rId948" ref="AC794"/>
    <hyperlink r:id="rId949" ref="Z795"/>
    <hyperlink r:id="rId950" ref="AB795"/>
    <hyperlink r:id="rId951" ref="AC795"/>
    <hyperlink r:id="rId952" ref="Z796"/>
    <hyperlink r:id="rId953" ref="AB796"/>
    <hyperlink r:id="rId954" ref="AC796"/>
    <hyperlink r:id="rId955" ref="Z797"/>
    <hyperlink r:id="rId956" ref="AB797"/>
    <hyperlink r:id="rId957" ref="AC797"/>
    <hyperlink r:id="rId958" ref="Z798"/>
    <hyperlink r:id="rId959" ref="AB798"/>
    <hyperlink r:id="rId960" ref="AC798"/>
    <hyperlink r:id="rId961" ref="Z799"/>
    <hyperlink r:id="rId962" ref="Z800"/>
    <hyperlink r:id="rId963" ref="Z801"/>
    <hyperlink r:id="rId964" ref="Z802"/>
    <hyperlink r:id="rId965" ref="Z803"/>
    <hyperlink r:id="rId966" ref="AC803"/>
    <hyperlink r:id="rId967" ref="Z804"/>
    <hyperlink r:id="rId968" ref="AC804"/>
    <hyperlink r:id="rId969" ref="Z805"/>
    <hyperlink r:id="rId970" ref="AB805"/>
    <hyperlink r:id="rId971" ref="AC805"/>
    <hyperlink r:id="rId972" ref="Z806"/>
    <hyperlink r:id="rId973" ref="AB806"/>
    <hyperlink r:id="rId974" ref="AC806"/>
    <hyperlink r:id="rId975" ref="Z807"/>
    <hyperlink r:id="rId976" ref="AB807"/>
    <hyperlink r:id="rId977" ref="AC807"/>
    <hyperlink r:id="rId978" ref="Z808"/>
    <hyperlink r:id="rId979" ref="AB808"/>
    <hyperlink r:id="rId980" ref="AC808"/>
    <hyperlink r:id="rId981" ref="Z809"/>
    <hyperlink r:id="rId982" ref="AC809"/>
    <hyperlink r:id="rId983" ref="Z810"/>
    <hyperlink r:id="rId984" ref="AC810"/>
    <hyperlink r:id="rId985" ref="Z811"/>
    <hyperlink r:id="rId986" ref="AC811"/>
    <hyperlink r:id="rId987" ref="Z812"/>
    <hyperlink r:id="rId988" ref="AC812"/>
    <hyperlink r:id="rId989" location="averageCustomerReviewsAnchor" ref="Z813"/>
    <hyperlink r:id="rId990" ref="Z814"/>
    <hyperlink r:id="rId991" ref="AC814"/>
    <hyperlink r:id="rId992" ref="Z815"/>
    <hyperlink r:id="rId993" ref="Z816"/>
    <hyperlink r:id="rId994" ref="Z817"/>
    <hyperlink r:id="rId995" ref="Z818"/>
    <hyperlink r:id="rId996" ref="Z819"/>
    <hyperlink r:id="rId997" ref="Z820"/>
    <hyperlink r:id="rId998" ref="Z821"/>
    <hyperlink r:id="rId999" ref="Z822"/>
    <hyperlink r:id="rId1000" ref="AC822"/>
    <hyperlink r:id="rId1001" ref="Z823"/>
    <hyperlink r:id="rId1002" ref="AC823"/>
    <hyperlink r:id="rId1003" ref="Z824"/>
    <hyperlink r:id="rId1004" ref="AC824"/>
    <hyperlink r:id="rId1005" ref="Z825"/>
    <hyperlink r:id="rId1006" ref="AC825"/>
    <hyperlink r:id="rId1007" ref="Z826"/>
    <hyperlink r:id="rId1008" ref="Z827"/>
    <hyperlink r:id="rId1009" ref="Z828"/>
    <hyperlink r:id="rId1010" location="gid=0" ref="AA828"/>
    <hyperlink r:id="rId1011" ref="Z829"/>
    <hyperlink r:id="rId1012" ref="Z830"/>
    <hyperlink r:id="rId1013" ref="Z831"/>
    <hyperlink r:id="rId1014" ref="Z832"/>
    <hyperlink r:id="rId1015" ref="Z833"/>
    <hyperlink r:id="rId1016" ref="Z834"/>
    <hyperlink r:id="rId1017" ref="Z835"/>
    <hyperlink r:id="rId1018" ref="AB835"/>
    <hyperlink r:id="rId1019" ref="Z836"/>
    <hyperlink r:id="rId1020" ref="AB836"/>
    <hyperlink r:id="rId1021" ref="Z837"/>
    <hyperlink r:id="rId1022" ref="AB837"/>
    <hyperlink r:id="rId1023" ref="Z838"/>
    <hyperlink r:id="rId1024" ref="AB838"/>
    <hyperlink r:id="rId1025" ref="Z839"/>
    <hyperlink r:id="rId1026" ref="AB839"/>
    <hyperlink r:id="rId1027" ref="Z840"/>
    <hyperlink r:id="rId1028" ref="AB840"/>
    <hyperlink r:id="rId1029" ref="Z841"/>
    <hyperlink r:id="rId1030" ref="AB841"/>
    <hyperlink r:id="rId1031" ref="Z842"/>
    <hyperlink r:id="rId1032" ref="AB842"/>
    <hyperlink r:id="rId1033" ref="Z843"/>
    <hyperlink r:id="rId1034" ref="AB843"/>
    <hyperlink r:id="rId1035" ref="Z845"/>
    <hyperlink r:id="rId1036" ref="AB845"/>
    <hyperlink r:id="rId1037" ref="Z846"/>
    <hyperlink r:id="rId1038" ref="AB846"/>
    <hyperlink r:id="rId1039" ref="Z847"/>
    <hyperlink r:id="rId1040" ref="Z848"/>
    <hyperlink r:id="rId1041" ref="Z849"/>
    <hyperlink r:id="rId1042" ref="Z850"/>
    <hyperlink r:id="rId1043" ref="Z851"/>
    <hyperlink r:id="rId1044" ref="Z852"/>
    <hyperlink r:id="rId1045" ref="Z853"/>
    <hyperlink r:id="rId1046" ref="Z854"/>
    <hyperlink r:id="rId1047" ref="Z855"/>
    <hyperlink r:id="rId1048" ref="Z856"/>
    <hyperlink r:id="rId1049" ref="Z857"/>
    <hyperlink r:id="rId1050" ref="Z858"/>
    <hyperlink r:id="rId1051" ref="Z859"/>
    <hyperlink r:id="rId1052" ref="Z860"/>
    <hyperlink r:id="rId1053" ref="Z861"/>
    <hyperlink r:id="rId1054" ref="Z862"/>
    <hyperlink r:id="rId1055" ref="Z863"/>
    <hyperlink r:id="rId1056" ref="Z864"/>
    <hyperlink r:id="rId1057" ref="Z865"/>
    <hyperlink r:id="rId1058" ref="Z866"/>
    <hyperlink r:id="rId1059" ref="Z867"/>
    <hyperlink r:id="rId1060" ref="Z868"/>
    <hyperlink r:id="rId1061" ref="AB868"/>
    <hyperlink r:id="rId1062" ref="Z869"/>
    <hyperlink r:id="rId1063" ref="AB869"/>
    <hyperlink r:id="rId1064" ref="Z870"/>
    <hyperlink r:id="rId1065" ref="AB870"/>
    <hyperlink r:id="rId1066" ref="Z871"/>
    <hyperlink r:id="rId1067" ref="AB871"/>
    <hyperlink r:id="rId1068" ref="Z872"/>
    <hyperlink r:id="rId1069" ref="AB872"/>
    <hyperlink r:id="rId1070" ref="Z873"/>
    <hyperlink r:id="rId1071" ref="AB873"/>
    <hyperlink r:id="rId1072" ref="Z874"/>
    <hyperlink r:id="rId1073" ref="AB874"/>
    <hyperlink r:id="rId1074" ref="Z875"/>
    <hyperlink r:id="rId1075" ref="AB875"/>
    <hyperlink r:id="rId1076" ref="Z876"/>
    <hyperlink r:id="rId1077" ref="AC876"/>
    <hyperlink r:id="rId1078" ref="Z877"/>
    <hyperlink r:id="rId1079" ref="AC877"/>
    <hyperlink r:id="rId1080" ref="Z878"/>
    <hyperlink r:id="rId1081" ref="Z879"/>
    <hyperlink r:id="rId1082" ref="Z880"/>
    <hyperlink r:id="rId1083" ref="Z881"/>
    <hyperlink r:id="rId1084" ref="AC881"/>
    <hyperlink r:id="rId1085" ref="Z882"/>
    <hyperlink r:id="rId1086" ref="AC882"/>
    <hyperlink r:id="rId1087" ref="Z883"/>
    <hyperlink r:id="rId1088" ref="AC883"/>
    <hyperlink r:id="rId1089" ref="Z884"/>
    <hyperlink r:id="rId1090" ref="Z885"/>
    <hyperlink r:id="rId1091" ref="Z886"/>
    <hyperlink r:id="rId1092" ref="Z887"/>
    <hyperlink r:id="rId1093" ref="Z888"/>
    <hyperlink r:id="rId1094" ref="Z889"/>
    <hyperlink r:id="rId1095" ref="Z890"/>
    <hyperlink r:id="rId1096" ref="Z891"/>
    <hyperlink r:id="rId1097" ref="Z892"/>
    <hyperlink r:id="rId1098" ref="Z893"/>
    <hyperlink r:id="rId1099" ref="Z894"/>
    <hyperlink r:id="rId1100" ref="Z895"/>
    <hyperlink r:id="rId1101" ref="Z896"/>
    <hyperlink r:id="rId1102" ref="Z897"/>
    <hyperlink r:id="rId1103" ref="Z898"/>
    <hyperlink r:id="rId1104" ref="Z899"/>
    <hyperlink r:id="rId1105" ref="Z900"/>
    <hyperlink r:id="rId1106" ref="Z901"/>
    <hyperlink r:id="rId1107" ref="Z902"/>
    <hyperlink r:id="rId1108" ref="Z903"/>
    <hyperlink r:id="rId1109" ref="Z904"/>
    <hyperlink r:id="rId1110" ref="Z905"/>
    <hyperlink r:id="rId1111" ref="Z906"/>
    <hyperlink r:id="rId1112" ref="Z907"/>
    <hyperlink r:id="rId1113" ref="Z908"/>
    <hyperlink r:id="rId1114" ref="Z909"/>
    <hyperlink r:id="rId1115" ref="Z910"/>
    <hyperlink r:id="rId1116" ref="Z911"/>
    <hyperlink r:id="rId1117" ref="Z912"/>
    <hyperlink r:id="rId1118" ref="Z913"/>
    <hyperlink r:id="rId1119" ref="Z914"/>
    <hyperlink r:id="rId1120" ref="Z915"/>
    <hyperlink r:id="rId1121" ref="Z916"/>
    <hyperlink r:id="rId1122" ref="Z917"/>
    <hyperlink r:id="rId1123" ref="Z918"/>
    <hyperlink r:id="rId1124" ref="Z919"/>
    <hyperlink r:id="rId1125" ref="Z920"/>
    <hyperlink r:id="rId1126" ref="Z921"/>
    <hyperlink r:id="rId1127" ref="Z922"/>
    <hyperlink r:id="rId1128" ref="Z923"/>
    <hyperlink r:id="rId1129" ref="Z924"/>
    <hyperlink r:id="rId1130" ref="Z925"/>
    <hyperlink r:id="rId1131" ref="Z926"/>
    <hyperlink r:id="rId1132" ref="Z927"/>
    <hyperlink r:id="rId1133" ref="Z928"/>
    <hyperlink r:id="rId1134" ref="AB928"/>
    <hyperlink r:id="rId1135" ref="Z929"/>
    <hyperlink r:id="rId1136" ref="AB929"/>
    <hyperlink r:id="rId1137" ref="Z930"/>
    <hyperlink r:id="rId1138" ref="AB930"/>
    <hyperlink r:id="rId1139" ref="Z931"/>
    <hyperlink r:id="rId1140" ref="AB931"/>
    <hyperlink r:id="rId1141" ref="Z932"/>
    <hyperlink r:id="rId1142" ref="Z933"/>
    <hyperlink r:id="rId1143" ref="Z934"/>
    <hyperlink r:id="rId1144" ref="Z935"/>
    <hyperlink r:id="rId1145" ref="Z936"/>
    <hyperlink r:id="rId1146" ref="Z937"/>
    <hyperlink r:id="rId1147" ref="Z938"/>
    <hyperlink r:id="rId1148" ref="Z939"/>
    <hyperlink r:id="rId1149" location="gid=1" ref="AA939"/>
    <hyperlink r:id="rId1150" ref="Z940"/>
    <hyperlink r:id="rId1151" location="gid=2" ref="AA940"/>
    <hyperlink r:id="rId1152" ref="Z941"/>
    <hyperlink r:id="rId1153" location="gid=3" ref="AA941"/>
    <hyperlink r:id="rId1154" ref="Z942"/>
    <hyperlink r:id="rId1155" location="gid=4" ref="AA942"/>
    <hyperlink r:id="rId1156" ref="Z943"/>
    <hyperlink r:id="rId1157" ref="Z944"/>
    <hyperlink r:id="rId1158" ref="Z945"/>
    <hyperlink r:id="rId1159" ref="Z946"/>
    <hyperlink r:id="rId1160" ref="Z947"/>
    <hyperlink r:id="rId1161" ref="Z948"/>
    <hyperlink r:id="rId1162" location="gid=1" ref="AA948"/>
    <hyperlink r:id="rId1163" ref="Z949"/>
    <hyperlink r:id="rId1164" location="gid=2" ref="AA949"/>
    <hyperlink r:id="rId1165" ref="Z950"/>
    <hyperlink r:id="rId1166" ref="Z952"/>
    <hyperlink r:id="rId1167" ref="Z953"/>
    <hyperlink r:id="rId1168" ref="Z954"/>
    <hyperlink r:id="rId1169" ref="Z955"/>
    <hyperlink r:id="rId1170" ref="Z956"/>
    <hyperlink r:id="rId1171" ref="Z957"/>
    <hyperlink r:id="rId1172" location="gid=1" ref="AA957"/>
    <hyperlink r:id="rId1173" ref="Z958"/>
    <hyperlink r:id="rId1174" location="gid=2" ref="AA958"/>
    <hyperlink r:id="rId1175" ref="Z960"/>
    <hyperlink r:id="rId1176" ref="Z961"/>
    <hyperlink r:id="rId1177" location="gid=0" ref="AA961"/>
    <hyperlink r:id="rId1178" ref="AC961"/>
    <hyperlink r:id="rId1179" ref="Z962"/>
    <hyperlink r:id="rId1180" location="gid=0" ref="AA962"/>
    <hyperlink r:id="rId1181" ref="AC962"/>
    <hyperlink r:id="rId1182" ref="Z963"/>
    <hyperlink r:id="rId1183" ref="Z964"/>
    <hyperlink r:id="rId1184" ref="Z965"/>
    <hyperlink r:id="rId1185" ref="Z966"/>
    <hyperlink r:id="rId1186" ref="Z967"/>
    <hyperlink r:id="rId1187" location="gid=0" ref="AA967"/>
    <hyperlink r:id="rId1188" ref="Z968"/>
    <hyperlink r:id="rId1189" location="gid=0" ref="AA968"/>
    <hyperlink r:id="rId1190" ref="Z969"/>
    <hyperlink r:id="rId1191" location="gid=0" ref="AA969"/>
    <hyperlink r:id="rId1192" ref="Z970"/>
    <hyperlink r:id="rId1193" location="gid=0" ref="AA970"/>
    <hyperlink r:id="rId1194" ref="Z971"/>
    <hyperlink r:id="rId1195" location="gid=0" ref="AA971"/>
    <hyperlink r:id="rId1196" ref="Z972"/>
    <hyperlink r:id="rId1197" location="gid=0" ref="AA972"/>
    <hyperlink r:id="rId1198" ref="Z973"/>
    <hyperlink r:id="rId1199" location="gid=0" ref="AA973"/>
    <hyperlink r:id="rId1200" ref="Z974"/>
    <hyperlink r:id="rId1201" location="gid=0" ref="AA974"/>
    <hyperlink r:id="rId1202" ref="Z975"/>
    <hyperlink r:id="rId1203" location="gid=0" ref="AA975"/>
    <hyperlink r:id="rId1204" ref="Z976"/>
    <hyperlink r:id="rId1205" location="gid=0" ref="AA976"/>
    <hyperlink r:id="rId1206" ref="Z977"/>
    <hyperlink r:id="rId1207" location="gid=0" ref="AA977"/>
    <hyperlink r:id="rId1208" ref="Z978"/>
    <hyperlink r:id="rId1209" location="gid=0" ref="AA978"/>
    <hyperlink r:id="rId1210" ref="Z979"/>
    <hyperlink r:id="rId1211" location="gid=0" ref="AA979"/>
    <hyperlink r:id="rId1212" ref="Z980"/>
    <hyperlink r:id="rId1213" ref="Z981"/>
    <hyperlink r:id="rId1214" ref="Z982"/>
    <hyperlink r:id="rId1215" ref="Z983"/>
    <hyperlink r:id="rId1216" ref="Z984"/>
    <hyperlink r:id="rId1217" ref="Z985"/>
    <hyperlink r:id="rId1218" ref="Z987"/>
    <hyperlink r:id="rId1219" ref="AB987"/>
    <hyperlink r:id="rId1220" ref="Z989"/>
    <hyperlink r:id="rId1221" ref="AB989"/>
    <hyperlink r:id="rId1222" ref="Z995"/>
    <hyperlink r:id="rId1223" ref="Z996"/>
    <hyperlink r:id="rId1224" ref="Z997"/>
    <hyperlink r:id="rId1225" location="attr=8691,8692" ref="Z998"/>
    <hyperlink r:id="rId1226" location="attr=8691,8692" ref="Z999"/>
    <hyperlink r:id="rId1227" location="attr=8691,8692" ref="Z1000"/>
    <hyperlink r:id="rId1228" ref="Z1001"/>
    <hyperlink r:id="rId1229" ref="Z1002"/>
    <hyperlink r:id="rId1230" ref="Z1003"/>
    <hyperlink r:id="rId1231" ref="Z1004"/>
    <hyperlink r:id="rId1232" ref="Z1005"/>
    <hyperlink r:id="rId1233" ref="Z1006"/>
    <hyperlink r:id="rId1234" location="gid=0" ref="AA1006"/>
    <hyperlink r:id="rId1235" ref="Z1007"/>
    <hyperlink r:id="rId1236" location="gid=0" ref="AA1007"/>
    <hyperlink r:id="rId1237" ref="Z1008"/>
    <hyperlink r:id="rId1238" ref="Z1010"/>
    <hyperlink r:id="rId1239" ref="Z1011"/>
    <hyperlink r:id="rId1240" ref="Z1012"/>
    <hyperlink r:id="rId1241" ref="Z1013"/>
    <hyperlink r:id="rId1242" ref="Z1014"/>
    <hyperlink r:id="rId1243" ref="Z1015"/>
    <hyperlink r:id="rId1244" ref="Z1016"/>
    <hyperlink r:id="rId1245" ref="Z1017"/>
    <hyperlink r:id="rId1246" ref="Z1018"/>
    <hyperlink r:id="rId1247" ref="Z1019"/>
    <hyperlink r:id="rId1248" ref="Z1020"/>
    <hyperlink r:id="rId1249" ref="Z1021"/>
    <hyperlink r:id="rId1250" ref="Z1022"/>
    <hyperlink r:id="rId1251" ref="AB1022"/>
    <hyperlink r:id="rId1252" ref="AC1022"/>
    <hyperlink r:id="rId1253" ref="Z1023"/>
    <hyperlink r:id="rId1254" ref="AB1023"/>
    <hyperlink r:id="rId1255" ref="AC1023"/>
    <hyperlink r:id="rId1256" ref="Z1024"/>
    <hyperlink r:id="rId1257" ref="AB1024"/>
    <hyperlink r:id="rId1258" ref="AC1024"/>
    <hyperlink r:id="rId1259" ref="Z1025"/>
    <hyperlink r:id="rId1260" ref="AB1025"/>
    <hyperlink r:id="rId1261" ref="AC1025"/>
    <hyperlink r:id="rId1262" ref="Z1026"/>
    <hyperlink r:id="rId1263" ref="AB1026"/>
    <hyperlink r:id="rId1264" ref="AC1026"/>
    <hyperlink r:id="rId1265" ref="Z1027"/>
    <hyperlink r:id="rId1266" ref="Z1028"/>
    <hyperlink r:id="rId1267" ref="Z1029"/>
    <hyperlink r:id="rId1268" ref="Z1030"/>
    <hyperlink r:id="rId1269" ref="Z1031"/>
    <hyperlink r:id="rId1270" ref="Z1032"/>
    <hyperlink r:id="rId1271" ref="Z1033"/>
    <hyperlink r:id="rId1272" ref="Z1034"/>
    <hyperlink r:id="rId1273" ref="Z1035"/>
    <hyperlink r:id="rId1274" ref="Z1036"/>
    <hyperlink r:id="rId1275" ref="Z1037"/>
    <hyperlink r:id="rId1276" ref="Z1038"/>
    <hyperlink r:id="rId1277" ref="Z1039"/>
    <hyperlink r:id="rId1278" ref="Z1040"/>
    <hyperlink r:id="rId1279" ref="Z1041"/>
    <hyperlink r:id="rId1280" ref="Z1042"/>
    <hyperlink r:id="rId1281" ref="Z1045"/>
    <hyperlink r:id="rId1282" ref="Z1046"/>
    <hyperlink r:id="rId1283" ref="Z1047"/>
    <hyperlink r:id="rId1284" ref="Z1048"/>
    <hyperlink r:id="rId1285" ref="Z1053"/>
    <hyperlink r:id="rId1286" ref="AB1053"/>
    <hyperlink r:id="rId1287" ref="AC1053"/>
    <hyperlink r:id="rId1288" ref="Z1054"/>
    <hyperlink r:id="rId1289" ref="AB1054"/>
    <hyperlink r:id="rId1290" ref="AC1054"/>
    <hyperlink r:id="rId1291" ref="Z1055"/>
    <hyperlink r:id="rId1292" ref="AB1055"/>
    <hyperlink r:id="rId1293" ref="AC1055"/>
    <hyperlink r:id="rId1294" ref="Z1056"/>
    <hyperlink r:id="rId1295" ref="AB1056"/>
    <hyperlink r:id="rId1296" ref="AC1056"/>
    <hyperlink r:id="rId1297" ref="Z1057"/>
    <hyperlink r:id="rId1298" ref="AB1057"/>
    <hyperlink r:id="rId1299" ref="AC1057"/>
    <hyperlink r:id="rId1300" ref="Z1058"/>
    <hyperlink r:id="rId1301" ref="AB1058"/>
    <hyperlink r:id="rId1302" ref="AC1058"/>
    <hyperlink r:id="rId1303" ref="Z1059"/>
    <hyperlink r:id="rId1304" ref="AB1059"/>
    <hyperlink r:id="rId1305" ref="AC1059"/>
    <hyperlink r:id="rId1306" ref="Z1060"/>
    <hyperlink r:id="rId1307" ref="Z1061"/>
    <hyperlink r:id="rId1308" ref="Z1062"/>
    <hyperlink r:id="rId1309" ref="Z1063"/>
    <hyperlink r:id="rId1310" ref="Z1083"/>
    <hyperlink r:id="rId1311" ref="Z1084"/>
    <hyperlink r:id="rId1312" ref="Z1085"/>
    <hyperlink r:id="rId1313" ref="Z1086"/>
    <hyperlink r:id="rId1314" ref="Z1091"/>
    <hyperlink r:id="rId1315" ref="Z1092"/>
    <hyperlink r:id="rId1316" ref="Z1093"/>
    <hyperlink r:id="rId1317" ref="Z1094"/>
    <hyperlink r:id="rId1318" ref="AB1094"/>
    <hyperlink r:id="rId1319" ref="AC1094"/>
    <hyperlink r:id="rId1320" ref="Z1095"/>
    <hyperlink r:id="rId1321" ref="AB1095"/>
    <hyperlink r:id="rId1322" ref="Z1096"/>
    <hyperlink r:id="rId1323" ref="AB1096"/>
    <hyperlink r:id="rId1324" ref="Z1097"/>
    <hyperlink r:id="rId1325" ref="AB1097"/>
    <hyperlink r:id="rId1326" ref="Z1098"/>
    <hyperlink r:id="rId1327" ref="AB1098"/>
    <hyperlink r:id="rId1328" ref="Z1099"/>
    <hyperlink r:id="rId1329" ref="AB1099"/>
    <hyperlink r:id="rId1330" ref="Z1100"/>
    <hyperlink r:id="rId1331" ref="AB1100"/>
    <hyperlink r:id="rId1332" ref="Z1101"/>
    <hyperlink r:id="rId1333" ref="AB1101"/>
    <hyperlink r:id="rId1334" ref="Z1102"/>
    <hyperlink r:id="rId1335" ref="AB1102"/>
    <hyperlink r:id="rId1336" ref="Z1103"/>
    <hyperlink r:id="rId1337" ref="AB1103"/>
    <hyperlink r:id="rId1338" ref="Z1104"/>
    <hyperlink r:id="rId1339" ref="AB1104"/>
    <hyperlink r:id="rId1340" ref="Z1105"/>
    <hyperlink r:id="rId1341" ref="AB1105"/>
    <hyperlink r:id="rId1342" ref="Z1106"/>
    <hyperlink r:id="rId1343" ref="AB1106"/>
    <hyperlink r:id="rId1344" ref="Z1107"/>
    <hyperlink r:id="rId1345" ref="Z1108"/>
    <hyperlink r:id="rId1346" ref="AB1108"/>
    <hyperlink r:id="rId1347" ref="Z1109"/>
    <hyperlink r:id="rId1348" ref="AB1109"/>
    <hyperlink r:id="rId1349" ref="Z1110"/>
    <hyperlink r:id="rId1350" ref="AB1110"/>
    <hyperlink r:id="rId1351" ref="Z1111"/>
    <hyperlink r:id="rId1352" ref="Z1113"/>
    <hyperlink r:id="rId1353" ref="AB1113"/>
    <hyperlink r:id="rId1354" ref="Z1115"/>
    <hyperlink r:id="rId1355" ref="AB1115"/>
    <hyperlink r:id="rId1356" ref="AC1115"/>
    <hyperlink r:id="rId1357" ref="Z1116"/>
    <hyperlink r:id="rId1358" ref="AB1116"/>
    <hyperlink r:id="rId1359" ref="AC1116"/>
    <hyperlink r:id="rId1360" ref="Z1117"/>
    <hyperlink r:id="rId1361" ref="AB1117"/>
    <hyperlink r:id="rId1362" ref="AC1117"/>
    <hyperlink r:id="rId1363" ref="Z1118"/>
    <hyperlink r:id="rId1364" ref="Z1119"/>
    <hyperlink r:id="rId1365" ref="Z1120"/>
    <hyperlink r:id="rId1366" ref="AB1120"/>
    <hyperlink r:id="rId1367" ref="AC1120"/>
    <hyperlink r:id="rId1368" ref="Z1121"/>
    <hyperlink r:id="rId1369" ref="AB1121"/>
    <hyperlink r:id="rId1370" ref="AC1121"/>
    <hyperlink r:id="rId1371" ref="Z1122"/>
    <hyperlink r:id="rId1372" ref="AB1122"/>
    <hyperlink r:id="rId1373" ref="Z1129"/>
    <hyperlink r:id="rId1374" ref="Z1130"/>
    <hyperlink r:id="rId1375" ref="Z1131"/>
    <hyperlink r:id="rId1376" ref="Z1132"/>
    <hyperlink r:id="rId1377" ref="Z1133"/>
    <hyperlink r:id="rId1378" ref="Z1134"/>
    <hyperlink r:id="rId1379" ref="Z1135"/>
    <hyperlink r:id="rId1380" ref="Z1136"/>
    <hyperlink r:id="rId1381" ref="Z1137"/>
    <hyperlink r:id="rId1382" ref="Z1138"/>
    <hyperlink r:id="rId1383" ref="Z1139"/>
    <hyperlink r:id="rId1384" ref="AB1139"/>
    <hyperlink r:id="rId1385" ref="AC1139"/>
    <hyperlink r:id="rId1386" ref="Z1140"/>
    <hyperlink r:id="rId1387" ref="AB1140"/>
    <hyperlink r:id="rId1388" ref="AC1140"/>
    <hyperlink r:id="rId1389" ref="Z1141"/>
    <hyperlink r:id="rId1390" ref="Z1142"/>
    <hyperlink r:id="rId1391" ref="Z1143"/>
    <hyperlink r:id="rId1392" ref="Z1144"/>
    <hyperlink r:id="rId1393" ref="AB1144"/>
    <hyperlink r:id="rId1394" ref="Z1145"/>
    <hyperlink r:id="rId1395" ref="AB1145"/>
    <hyperlink r:id="rId1396" ref="AC1145"/>
    <hyperlink r:id="rId1397" ref="Z1146"/>
    <hyperlink r:id="rId1398" ref="AB1146"/>
    <hyperlink r:id="rId1399" ref="AC1146"/>
    <hyperlink r:id="rId1400" ref="Z1147"/>
    <hyperlink r:id="rId1401" ref="AB1147"/>
    <hyperlink r:id="rId1402" ref="AC1147"/>
    <hyperlink r:id="rId1403" ref="Z1148"/>
    <hyperlink r:id="rId1404" ref="AT1148"/>
    <hyperlink r:id="rId1405" ref="Z1149"/>
    <hyperlink r:id="rId1406" ref="AT1149"/>
    <hyperlink r:id="rId1407" ref="Z1150"/>
    <hyperlink r:id="rId1408" ref="AT1150"/>
    <hyperlink r:id="rId1409" ref="Z1151"/>
    <hyperlink r:id="rId1410" ref="AT1151"/>
    <hyperlink r:id="rId1411" ref="Z1152"/>
    <hyperlink r:id="rId1412" ref="AB1152"/>
    <hyperlink r:id="rId1413" ref="Z1154"/>
    <hyperlink r:id="rId1414" ref="AB1154"/>
    <hyperlink r:id="rId1415" ref="AC1154"/>
    <hyperlink r:id="rId1416" ref="Z1155"/>
    <hyperlink r:id="rId1417" ref="AB1155"/>
    <hyperlink r:id="rId1418" ref="AC1155"/>
    <hyperlink r:id="rId1419" ref="Z1156"/>
    <hyperlink r:id="rId1420" ref="AB1156"/>
    <hyperlink r:id="rId1421" ref="AC1156"/>
    <hyperlink r:id="rId1422" ref="Z1157"/>
    <hyperlink r:id="rId1423" ref="Z1158"/>
    <hyperlink r:id="rId1424" ref="Z1159"/>
    <hyperlink r:id="rId1425" ref="Z1160"/>
    <hyperlink r:id="rId1426" ref="Z1161"/>
    <hyperlink r:id="rId1427" ref="Z1162"/>
    <hyperlink r:id="rId1428" ref="Z1169"/>
    <hyperlink r:id="rId1429" ref="Z1170"/>
    <hyperlink r:id="rId1430" ref="Z1171"/>
    <hyperlink r:id="rId1431" ref="Z1172"/>
    <hyperlink r:id="rId1432" ref="Z1173"/>
    <hyperlink r:id="rId1433" ref="Z1174"/>
    <hyperlink r:id="rId1434" ref="Z1175"/>
    <hyperlink r:id="rId1435" ref="Z1176"/>
    <hyperlink r:id="rId1436" ref="Z1177"/>
    <hyperlink r:id="rId1437" ref="Z1178"/>
    <hyperlink r:id="rId1438" ref="Z1179"/>
    <hyperlink r:id="rId1439" ref="Z1180"/>
    <hyperlink r:id="rId1440" ref="Z1181"/>
    <hyperlink r:id="rId1441" ref="Z1182"/>
    <hyperlink r:id="rId1442" ref="Z1183"/>
    <hyperlink r:id="rId1443" ref="Z1184"/>
    <hyperlink r:id="rId1444" ref="Z1185"/>
    <hyperlink r:id="rId1445" ref="Z1186"/>
    <hyperlink r:id="rId1446" ref="AB1186"/>
    <hyperlink r:id="rId1447" ref="Z1187"/>
    <hyperlink r:id="rId1448" ref="AB1187"/>
    <hyperlink r:id="rId1449" ref="Z1188"/>
    <hyperlink r:id="rId1450" ref="AB1188"/>
    <hyperlink r:id="rId1451" ref="Z1189"/>
    <hyperlink r:id="rId1452" ref="AB1189"/>
    <hyperlink r:id="rId1453" ref="Z1190"/>
    <hyperlink r:id="rId1454" ref="AB1190"/>
    <hyperlink r:id="rId1455" ref="Z1224"/>
    <hyperlink r:id="rId1456" ref="AB1224"/>
    <hyperlink r:id="rId1457" ref="Z1225"/>
    <hyperlink r:id="rId1458" ref="AB1225"/>
    <hyperlink r:id="rId1459" ref="Z1226"/>
    <hyperlink r:id="rId1460" ref="AB1226"/>
    <hyperlink r:id="rId1461" ref="Z1227"/>
    <hyperlink r:id="rId1462" ref="AB1227"/>
    <hyperlink r:id="rId1463" ref="Z1228"/>
    <hyperlink r:id="rId1464" ref="Z1229"/>
    <hyperlink r:id="rId1465" ref="Z1230"/>
    <hyperlink r:id="rId1466" ref="Z1231"/>
    <hyperlink r:id="rId1467" ref="Z1232"/>
    <hyperlink r:id="rId1468" ref="Z1233"/>
    <hyperlink r:id="rId1469" ref="Z1234"/>
    <hyperlink r:id="rId1470" ref="Z1235"/>
    <hyperlink r:id="rId1471" ref="Z1236"/>
    <hyperlink r:id="rId1472" ref="Z1237"/>
    <hyperlink r:id="rId1473" ref="Z1238"/>
    <hyperlink r:id="rId1474" ref="Z1239"/>
    <hyperlink r:id="rId1475" ref="Z1240"/>
    <hyperlink r:id="rId1476" ref="Z1241"/>
    <hyperlink r:id="rId1477" ref="Z1242"/>
    <hyperlink r:id="rId1478" ref="Z1243"/>
    <hyperlink r:id="rId1479" ref="Z1244"/>
    <hyperlink r:id="rId1480" ref="AB1244"/>
    <hyperlink r:id="rId1481" ref="AC1244"/>
    <hyperlink r:id="rId1482" ref="Z1245"/>
    <hyperlink r:id="rId1483" ref="AB1245"/>
    <hyperlink r:id="rId1484" ref="AC1245"/>
    <hyperlink r:id="rId1485" ref="Z1246"/>
    <hyperlink r:id="rId1486" ref="AB1246"/>
    <hyperlink r:id="rId1487" ref="AC1246"/>
    <hyperlink r:id="rId1488" ref="Z1247"/>
    <hyperlink r:id="rId1489" ref="AB1247"/>
    <hyperlink r:id="rId1490" ref="AC1247"/>
    <hyperlink r:id="rId1491" ref="Z1248"/>
    <hyperlink r:id="rId1492" ref="Z1249"/>
    <hyperlink r:id="rId1493" ref="Z1250"/>
    <hyperlink r:id="rId1494" ref="Z1251"/>
    <hyperlink r:id="rId1495" ref="Z1252"/>
    <hyperlink r:id="rId1496" ref="Z1253"/>
    <hyperlink r:id="rId1497" ref="Z1254"/>
    <hyperlink r:id="rId1498" location="gid=1" ref="AA1254"/>
    <hyperlink r:id="rId1499" ref="Z1255"/>
    <hyperlink r:id="rId1500" location="gid=2" ref="AA1255"/>
    <hyperlink r:id="rId1501" ref="Z1377"/>
    <hyperlink r:id="rId1502" ref="Z1587"/>
    <hyperlink r:id="rId1503" ref="Z1588"/>
    <hyperlink r:id="rId1504" ref="Z1589"/>
    <hyperlink r:id="rId1505" ref="AB1589"/>
    <hyperlink r:id="rId1506" ref="Z1590"/>
    <hyperlink r:id="rId1507" ref="AB1590"/>
    <hyperlink r:id="rId1508" ref="Z1591"/>
    <hyperlink r:id="rId1509" ref="Z1592"/>
    <hyperlink r:id="rId1510" ref="Z1593"/>
    <hyperlink r:id="rId1511" ref="AB1593"/>
    <hyperlink r:id="rId1512" ref="Z1594"/>
    <hyperlink r:id="rId1513" ref="AB1594"/>
    <hyperlink r:id="rId1514" ref="Z1595"/>
    <hyperlink r:id="rId1515" ref="AB1595"/>
    <hyperlink r:id="rId1516" ref="Z1596"/>
    <hyperlink r:id="rId1517" ref="AB1596"/>
    <hyperlink r:id="rId1518" ref="Z1597"/>
    <hyperlink r:id="rId1519" ref="Z1598"/>
    <hyperlink r:id="rId1520" ref="Z1599"/>
    <hyperlink r:id="rId1521" ref="AB1599"/>
    <hyperlink r:id="rId1522" ref="Z1600"/>
    <hyperlink r:id="rId1523" ref="AB1600"/>
    <hyperlink r:id="rId1524" ref="Z1601"/>
    <hyperlink r:id="rId1525" ref="AB1601"/>
    <hyperlink r:id="rId1526" ref="Z1602"/>
    <hyperlink r:id="rId1527" ref="AB1602"/>
    <hyperlink r:id="rId1528" ref="Z1604"/>
    <hyperlink r:id="rId1529" ref="Z1605"/>
    <hyperlink r:id="rId1530" ref="Z1606"/>
    <hyperlink r:id="rId1531" ref="Z1607"/>
    <hyperlink r:id="rId1532" ref="Z1608"/>
    <hyperlink r:id="rId1533" ref="AB1608"/>
    <hyperlink r:id="rId1534" ref="Z1609"/>
    <hyperlink r:id="rId1535" ref="AB1609"/>
    <hyperlink r:id="rId1536" ref="Z1610"/>
    <hyperlink r:id="rId1537" ref="Z1611"/>
    <hyperlink r:id="rId1538" ref="Z1612"/>
    <hyperlink r:id="rId1539" ref="AB1612"/>
    <hyperlink r:id="rId1540" ref="Z1613"/>
    <hyperlink r:id="rId1541" ref="AB1613"/>
    <hyperlink r:id="rId1542" ref="Z1614"/>
    <hyperlink r:id="rId1543" ref="AB1614"/>
    <hyperlink r:id="rId1544" ref="Z1615"/>
    <hyperlink r:id="rId1545" ref="AB1615"/>
    <hyperlink r:id="rId1546" ref="Z1616"/>
    <hyperlink r:id="rId1547" ref="Z1617"/>
    <hyperlink r:id="rId1548" ref="Z1618"/>
    <hyperlink r:id="rId1549" ref="Z1619"/>
    <hyperlink r:id="rId1550" ref="AB1619"/>
    <hyperlink r:id="rId1551" ref="Z1620"/>
    <hyperlink r:id="rId1552" ref="AB1620"/>
    <hyperlink r:id="rId1553" ref="Z1621"/>
    <hyperlink r:id="rId1554" ref="AB1621"/>
    <hyperlink r:id="rId1555" ref="Z1622"/>
    <hyperlink r:id="rId1556" ref="AB1622"/>
    <hyperlink r:id="rId1557" ref="Z1623"/>
    <hyperlink r:id="rId1558" ref="AB1623"/>
    <hyperlink r:id="rId1559" ref="Z1628"/>
    <hyperlink r:id="rId1560" ref="Z1629"/>
    <hyperlink r:id="rId1561" ref="Z1630"/>
    <hyperlink r:id="rId1562" ref="AB1630"/>
    <hyperlink r:id="rId1563" ref="Z1631"/>
    <hyperlink r:id="rId1564" ref="AB1631"/>
    <hyperlink r:id="rId1565" ref="Z1632"/>
    <hyperlink r:id="rId1566" ref="AB1632"/>
    <hyperlink r:id="rId1567" ref="Z1633"/>
    <hyperlink r:id="rId1568" ref="AB1633"/>
    <hyperlink r:id="rId1569" ref="Z1634"/>
    <hyperlink r:id="rId1570" ref="Z1635"/>
    <hyperlink r:id="rId1571" ref="Z1636"/>
    <hyperlink r:id="rId1572" ref="Z1637"/>
    <hyperlink r:id="rId1573" ref="Z1638"/>
    <hyperlink r:id="rId1574" ref="AT1638"/>
    <hyperlink r:id="rId1575" ref="Z1639"/>
    <hyperlink r:id="rId1576" ref="AT1639"/>
    <hyperlink r:id="rId1577" ref="Z1640"/>
    <hyperlink r:id="rId1578" ref="AT1640"/>
    <hyperlink r:id="rId1579" ref="Z1641"/>
    <hyperlink r:id="rId1580" ref="AT1641"/>
    <hyperlink r:id="rId1581" ref="Z1642"/>
    <hyperlink r:id="rId1582" ref="Z1643"/>
    <hyperlink r:id="rId1583" ref="Z1644"/>
    <hyperlink r:id="rId1584" ref="Z1645"/>
    <hyperlink r:id="rId1585" ref="Z1646"/>
    <hyperlink r:id="rId1586" ref="Z1647"/>
    <hyperlink r:id="rId1587" ref="Z1648"/>
    <hyperlink r:id="rId1588" ref="Z1649"/>
    <hyperlink r:id="rId1589" ref="Z1650"/>
    <hyperlink r:id="rId1590" ref="Z1651"/>
    <hyperlink r:id="rId1591" ref="AC1651"/>
    <hyperlink r:id="rId1592" ref="Z1652"/>
    <hyperlink r:id="rId1593" ref="AC1652"/>
    <hyperlink r:id="rId1594" ref="Z1653"/>
    <hyperlink r:id="rId1595" ref="AC1653"/>
    <hyperlink r:id="rId1596" ref="Z1654"/>
    <hyperlink r:id="rId1597" ref="AC1654"/>
    <hyperlink r:id="rId1598" ref="Z1655"/>
    <hyperlink r:id="rId1599" ref="Z1656"/>
    <hyperlink r:id="rId1600" ref="Z1657"/>
    <hyperlink r:id="rId1601" ref="AB1657"/>
    <hyperlink r:id="rId1602" ref="Z1658"/>
    <hyperlink r:id="rId1603" ref="AB1658"/>
    <hyperlink r:id="rId1604" ref="Z1659"/>
    <hyperlink r:id="rId1605" ref="AB1659"/>
    <hyperlink r:id="rId1606" ref="Z1660"/>
    <hyperlink r:id="rId1607" ref="Z1661"/>
    <hyperlink r:id="rId1608" ref="Z1662"/>
    <hyperlink r:id="rId1609" ref="AB1662"/>
    <hyperlink r:id="rId1610" ref="Z1663"/>
    <hyperlink r:id="rId1611" ref="AB1663"/>
    <hyperlink r:id="rId1612" ref="Z1664"/>
    <hyperlink r:id="rId1613" ref="AB1664"/>
    <hyperlink r:id="rId1614" ref="Z1672"/>
    <hyperlink r:id="rId1615" ref="Z1696"/>
    <hyperlink r:id="rId1616" location="specTabs.specifications" ref="Z1754"/>
    <hyperlink r:id="rId1617" ref="Z1756"/>
    <hyperlink r:id="rId1618" ref="Z1757"/>
    <hyperlink r:id="rId1619" ref="Z1762"/>
    <hyperlink r:id="rId1620" ref="Z1763"/>
    <hyperlink r:id="rId1621" ref="Z1770"/>
    <hyperlink r:id="rId1622" ref="AB1770"/>
    <hyperlink r:id="rId1623" ref="Z1771"/>
    <hyperlink r:id="rId1624" ref="AB1771"/>
    <hyperlink r:id="rId1625" ref="Z1772"/>
    <hyperlink r:id="rId1626" ref="AB1772"/>
    <hyperlink r:id="rId1627" ref="Z1773"/>
    <hyperlink r:id="rId1628" ref="AB1773"/>
    <hyperlink r:id="rId1629" ref="Z1774"/>
    <hyperlink r:id="rId1630" ref="AB1774"/>
    <hyperlink r:id="rId1631" ref="Z1775"/>
    <hyperlink r:id="rId1632" ref="AB1775"/>
    <hyperlink r:id="rId1633" ref="Z1776"/>
    <hyperlink r:id="rId1634" ref="AB1776"/>
    <hyperlink r:id="rId1635" ref="Z1777"/>
    <hyperlink r:id="rId1636" ref="AB1777"/>
    <hyperlink r:id="rId1637" ref="Z1778"/>
    <hyperlink r:id="rId1638" ref="Z1779"/>
    <hyperlink r:id="rId1639" ref="Z1780"/>
    <hyperlink r:id="rId1640" ref="Z1781"/>
    <hyperlink r:id="rId1641" ref="Z1782"/>
    <hyperlink r:id="rId1642" ref="AB1782"/>
    <hyperlink r:id="rId1643" ref="Z1783"/>
    <hyperlink r:id="rId1644" ref="AB1783"/>
    <hyperlink r:id="rId1645" ref="AT1783"/>
    <hyperlink r:id="rId1646" ref="Z1784"/>
    <hyperlink r:id="rId1647" ref="Z1785"/>
    <hyperlink r:id="rId1648" ref="Z1786"/>
    <hyperlink r:id="rId1649" ref="Z1787"/>
    <hyperlink r:id="rId1650" ref="Z1788"/>
    <hyperlink r:id="rId1651" location="gid=2" ref="AA1788"/>
    <hyperlink r:id="rId1652" ref="Z1789"/>
    <hyperlink r:id="rId1653" location="gid=0" ref="AA1789"/>
    <hyperlink r:id="rId1654" ref="Z1790"/>
    <hyperlink r:id="rId1655" ref="AB1790"/>
    <hyperlink r:id="rId1656" ref="Z1791"/>
    <hyperlink r:id="rId1657" ref="Z1792"/>
    <hyperlink r:id="rId1658" location="gid=1" ref="AA1792"/>
    <hyperlink r:id="rId1659" ref="Z1793"/>
    <hyperlink r:id="rId1660" location="gid=2" ref="AA1793"/>
    <hyperlink r:id="rId1661" ref="Z1794"/>
    <hyperlink r:id="rId1662" ref="AB1794"/>
    <hyperlink r:id="rId1663" ref="Z1795"/>
    <hyperlink r:id="rId1664" ref="AB1795"/>
    <hyperlink r:id="rId1665" ref="Z1796"/>
    <hyperlink r:id="rId1666" ref="AB1796"/>
    <hyperlink r:id="rId1667" ref="Z1797"/>
    <hyperlink r:id="rId1668" ref="AB1797"/>
    <hyperlink r:id="rId1669" ref="Z1798"/>
    <hyperlink r:id="rId1670" ref="AB1798"/>
    <hyperlink r:id="rId1671" ref="Z1799"/>
    <hyperlink r:id="rId1672" ref="AB1799"/>
    <hyperlink r:id="rId1673" ref="Z1800"/>
    <hyperlink r:id="rId1674" ref="AB1800"/>
    <hyperlink r:id="rId1675" ref="Z1801"/>
    <hyperlink r:id="rId1676" ref="AB1801"/>
    <hyperlink r:id="rId1677" ref="Z1802"/>
    <hyperlink r:id="rId1678" ref="AB1802"/>
    <hyperlink r:id="rId1679" ref="Z1803"/>
    <hyperlink r:id="rId1680" ref="AB1803"/>
    <hyperlink r:id="rId1681" ref="Z1804"/>
    <hyperlink r:id="rId1682" location="gid=0" ref="AA1804"/>
    <hyperlink r:id="rId1683" ref="AB1804"/>
    <hyperlink r:id="rId1684" ref="Z1805"/>
    <hyperlink r:id="rId1685" location="gid=2" ref="AA1805"/>
    <hyperlink r:id="rId1686" ref="AB1805"/>
    <hyperlink r:id="rId1687" ref="Z1806"/>
    <hyperlink r:id="rId1688" ref="AB1806"/>
    <hyperlink r:id="rId1689" ref="Z1807"/>
    <hyperlink r:id="rId1690" ref="AB1807"/>
    <hyperlink r:id="rId1691" ref="Z1808"/>
    <hyperlink r:id="rId1692" ref="AB1808"/>
    <hyperlink r:id="rId1693" ref="Z1809"/>
    <hyperlink r:id="rId1694" ref="AB1809"/>
    <hyperlink r:id="rId1695" ref="Z1810"/>
    <hyperlink r:id="rId1696" location="gid=1" ref="AA1810"/>
    <hyperlink r:id="rId1697" ref="AB1810"/>
    <hyperlink r:id="rId1698" ref="Z1811"/>
    <hyperlink r:id="rId1699" location="gid=2" ref="AA1811"/>
    <hyperlink r:id="rId1700" ref="AB1811"/>
    <hyperlink r:id="rId1701" ref="Z1812"/>
    <hyperlink r:id="rId1702" ref="AB1812"/>
    <hyperlink r:id="rId1703" ref="Z1813"/>
    <hyperlink r:id="rId1704" location="gid=1" ref="AA1813"/>
    <hyperlink r:id="rId1705" ref="AB1813"/>
    <hyperlink r:id="rId1706" ref="Z1814"/>
    <hyperlink r:id="rId1707" location="gid=2" ref="AA1814"/>
    <hyperlink r:id="rId1708" ref="AB1814"/>
    <hyperlink r:id="rId1709" ref="Z1815"/>
    <hyperlink r:id="rId1710" ref="AB1815"/>
    <hyperlink r:id="rId1711" ref="Z1816"/>
    <hyperlink r:id="rId1712" location="gid=1" ref="AA1816"/>
    <hyperlink r:id="rId1713" ref="AB1816"/>
    <hyperlink r:id="rId1714" ref="Z1817"/>
    <hyperlink r:id="rId1715" location="gid=2" ref="AA1817"/>
    <hyperlink r:id="rId1716" ref="AB1817"/>
    <hyperlink r:id="rId1717" ref="Z1818"/>
    <hyperlink r:id="rId1718" ref="AB1818"/>
    <hyperlink r:id="rId1719" ref="Z1819"/>
    <hyperlink r:id="rId1720" ref="AB1819"/>
    <hyperlink r:id="rId1721" ref="Z1820"/>
    <hyperlink r:id="rId1722" ref="AB1820"/>
    <hyperlink r:id="rId1723" location="gid=0" ref="Z1821"/>
    <hyperlink r:id="rId1724" ref="AB1821"/>
    <hyperlink r:id="rId1725" location="gid=0" ref="Z1822"/>
    <hyperlink r:id="rId1726" ref="AB1822"/>
    <hyperlink r:id="rId1727" ref="Z1823"/>
    <hyperlink r:id="rId1728" ref="AB1823"/>
    <hyperlink r:id="rId1729" ref="Z1824"/>
    <hyperlink r:id="rId1730" location="gid=0" ref="AA1824"/>
    <hyperlink r:id="rId1731" ref="AB1824"/>
    <hyperlink r:id="rId1732" ref="Z1825"/>
    <hyperlink r:id="rId1733" location="gid=2" ref="AA1825"/>
    <hyperlink r:id="rId1734" ref="AB1825"/>
    <hyperlink r:id="rId1735" ref="Z1826"/>
    <hyperlink r:id="rId1736" ref="Z1827"/>
    <hyperlink r:id="rId1737" ref="AB1827"/>
    <hyperlink r:id="rId1738" ref="Z1828"/>
    <hyperlink r:id="rId1739" ref="AB1828"/>
    <hyperlink r:id="rId1740" ref="Z1829"/>
    <hyperlink r:id="rId1741" ref="AB1829"/>
    <hyperlink r:id="rId1742" ref="Z1830"/>
    <hyperlink r:id="rId1743" ref="AB1830"/>
    <hyperlink r:id="rId1744" ref="Z1831"/>
    <hyperlink r:id="rId1745" ref="AB1831"/>
    <hyperlink r:id="rId1746" ref="Z1832"/>
    <hyperlink r:id="rId1747" ref="AB1832"/>
    <hyperlink r:id="rId1748" ref="Z1833"/>
    <hyperlink r:id="rId1749" ref="AB1833"/>
    <hyperlink r:id="rId1750" ref="Z1834"/>
    <hyperlink r:id="rId1751" ref="AB1834"/>
    <hyperlink r:id="rId1752" ref="Z1835"/>
    <hyperlink r:id="rId1753" ref="Z1836"/>
    <hyperlink r:id="rId1754" ref="Z1837"/>
    <hyperlink r:id="rId1755" ref="Z1838"/>
    <hyperlink r:id="rId1756" ref="Z1839"/>
    <hyperlink r:id="rId1757" ref="AT1839"/>
    <hyperlink r:id="rId1758" ref="Z1840"/>
    <hyperlink r:id="rId1759" ref="AT1840"/>
    <hyperlink r:id="rId1760" ref="Z1841"/>
    <hyperlink r:id="rId1761" ref="AT1841"/>
    <hyperlink r:id="rId1762" ref="Z1842"/>
    <hyperlink r:id="rId1763" ref="AT1842"/>
    <hyperlink r:id="rId1764" ref="Z1843"/>
    <hyperlink r:id="rId1765" ref="Z1844"/>
    <hyperlink r:id="rId1766" ref="Z1845"/>
    <hyperlink r:id="rId1767" ref="Z1846"/>
    <hyperlink r:id="rId1768" ref="Z1847"/>
    <hyperlink r:id="rId1769" ref="Z1848"/>
    <hyperlink r:id="rId1770" ref="Z1849"/>
    <hyperlink r:id="rId1771" ref="Z1850"/>
    <hyperlink r:id="rId1772" ref="AB1850"/>
    <hyperlink r:id="rId1773" ref="Z1851"/>
    <hyperlink r:id="rId1774" ref="Z1852"/>
    <hyperlink r:id="rId1775" ref="Z1872"/>
    <hyperlink r:id="rId1776" ref="Z1873"/>
    <hyperlink r:id="rId1777" ref="Z1906"/>
    <hyperlink r:id="rId1778" ref="Z1907"/>
    <hyperlink r:id="rId1779" ref="Z1908"/>
    <hyperlink r:id="rId1780" ref="Z1909"/>
    <hyperlink r:id="rId1781" ref="Z1910"/>
    <hyperlink r:id="rId1782" ref="Z1911"/>
    <hyperlink r:id="rId1783" ref="Z1912"/>
    <hyperlink r:id="rId1784" ref="AB1912"/>
    <hyperlink r:id="rId1785" ref="Z1913"/>
    <hyperlink r:id="rId1786" ref="AB1913"/>
    <hyperlink r:id="rId1787" ref="Z1914"/>
    <hyperlink r:id="rId1788" ref="Z1915"/>
    <hyperlink r:id="rId1789" ref="AB1915"/>
    <hyperlink r:id="rId1790" ref="Z1916"/>
    <hyperlink r:id="rId1791" ref="AB1916"/>
    <hyperlink r:id="rId1792" ref="Z1917"/>
    <hyperlink r:id="rId1793" ref="AB1917"/>
    <hyperlink r:id="rId1794" ref="Z1918"/>
    <hyperlink r:id="rId1795" ref="AB1918"/>
    <hyperlink r:id="rId1796" ref="Z1919"/>
    <hyperlink r:id="rId1797" ref="AB1919"/>
    <hyperlink r:id="rId1798" ref="Z1920"/>
    <hyperlink r:id="rId1799" ref="AB1920"/>
    <hyperlink r:id="rId1800" location="/Tabs=section-technicalspecs/Togglebox=manuals/Togglebox=accessories/" ref="Z1921"/>
    <hyperlink r:id="rId1801" ref="AB1921"/>
    <hyperlink r:id="rId1802" location="/Tabs=section-technicalspecs/Togglebox=manuals/Togglebox=accessories/" ref="Z1922"/>
    <hyperlink r:id="rId1803" ref="AB1922"/>
    <hyperlink r:id="rId1804" location="/Tabs=section-technicalspecs/Togglebox=manuals/Togglebox=accessories/" ref="Z1923"/>
    <hyperlink r:id="rId1805" ref="AB1923"/>
    <hyperlink r:id="rId1806" location="/Tabs=section-technicalspecs/Togglebox=manuals/Togglebox=accessories/" ref="Z1924"/>
    <hyperlink r:id="rId1807" ref="AB1924"/>
    <hyperlink r:id="rId1808" location="/Tabs=section-technicalspecs/Togglebox=manuals/Togglebox=accessories/" ref="Z1925"/>
    <hyperlink r:id="rId1809" ref="AB1925"/>
    <hyperlink r:id="rId1810" location="/Tabs=section-technicalspecs/Togglebox=manuals/Togglebox=accessories/" ref="Z1926"/>
    <hyperlink r:id="rId1811" ref="AB1926"/>
    <hyperlink r:id="rId1812" location="/Tabs=section-technicalspecs/Togglebox=manuals/Togglebox=accessories/" ref="Z1927"/>
    <hyperlink r:id="rId1813" ref="AB1927"/>
    <hyperlink r:id="rId1814" location="/Tabs=section-technicalspecs/Togglebox=manuals/Togglebox=accessories/" ref="Z1928"/>
    <hyperlink r:id="rId1815" ref="AB1928"/>
    <hyperlink r:id="rId1816" ref="Z1929"/>
    <hyperlink r:id="rId1817" ref="AB1929"/>
    <hyperlink r:id="rId1818" ref="Z1930"/>
    <hyperlink r:id="rId1819" ref="AB1930"/>
    <hyperlink r:id="rId1820" ref="Z1931"/>
    <hyperlink r:id="rId1821" ref="AB1931"/>
    <hyperlink r:id="rId1822" ref="Z1932"/>
    <hyperlink r:id="rId1823" ref="AB1932"/>
    <hyperlink r:id="rId1824" ref="Z1933"/>
    <hyperlink r:id="rId1825" ref="AB1933"/>
    <hyperlink r:id="rId1826" ref="Z1934"/>
    <hyperlink r:id="rId1827" ref="Z1935"/>
    <hyperlink r:id="rId1828" ref="Z1936"/>
    <hyperlink r:id="rId1829" ref="Z1937"/>
    <hyperlink r:id="rId1830" ref="Z1938"/>
    <hyperlink r:id="rId1831" ref="Z1939"/>
    <hyperlink r:id="rId1832" ref="Z1940"/>
    <hyperlink r:id="rId1833" ref="Z1941"/>
    <hyperlink r:id="rId1834" ref="Z1942"/>
    <hyperlink r:id="rId1835" ref="Z1943"/>
    <hyperlink r:id="rId1836" ref="Z1944"/>
    <hyperlink r:id="rId1837" ref="Z1945"/>
    <hyperlink r:id="rId1838" ref="Z1946"/>
    <hyperlink r:id="rId1839" ref="Z1947"/>
    <hyperlink r:id="rId1840" ref="Z1948"/>
    <hyperlink r:id="rId1841" ref="Z1949"/>
    <hyperlink r:id="rId1842" ref="Z1950"/>
    <hyperlink r:id="rId1843" ref="Z1951"/>
    <hyperlink r:id="rId1844" ref="Z1952"/>
    <hyperlink r:id="rId1845" ref="Z1953"/>
    <hyperlink r:id="rId1846" ref="Z1959"/>
    <hyperlink r:id="rId1847" ref="Z1960"/>
    <hyperlink r:id="rId1848" ref="Z1961"/>
    <hyperlink r:id="rId1849" ref="AB1961"/>
    <hyperlink r:id="rId1850" ref="Z1962"/>
    <hyperlink r:id="rId1851" ref="AB1962"/>
    <hyperlink r:id="rId1852" ref="Z1963"/>
    <hyperlink r:id="rId1853" ref="AB1963"/>
    <hyperlink r:id="rId1854" ref="Z1964"/>
    <hyperlink r:id="rId1855" ref="AB1964"/>
    <hyperlink r:id="rId1856" ref="Z1965"/>
    <hyperlink r:id="rId1857" ref="AB1965"/>
    <hyperlink r:id="rId1858" ref="Z1966"/>
    <hyperlink r:id="rId1859" ref="Z1967"/>
    <hyperlink r:id="rId1860" ref="AC1967"/>
    <hyperlink r:id="rId1861" ref="Z1968"/>
    <hyperlink r:id="rId1862" ref="AC1968"/>
    <hyperlink r:id="rId1863" ref="Z1969"/>
    <hyperlink r:id="rId1864" ref="Z1970"/>
    <hyperlink r:id="rId1865" ref="Z1971"/>
    <hyperlink r:id="rId1866" ref="Z1972"/>
    <hyperlink r:id="rId1867" ref="AC1972"/>
    <hyperlink r:id="rId1868" ref="Z1973"/>
    <hyperlink r:id="rId1869" ref="AC1973"/>
    <hyperlink r:id="rId1870" ref="Z1974"/>
    <hyperlink r:id="rId1871" ref="Z1975"/>
    <hyperlink r:id="rId1872" ref="AB1975"/>
    <hyperlink r:id="rId1873" ref="Z1976"/>
    <hyperlink r:id="rId1874" ref="Z1977"/>
    <hyperlink r:id="rId1875" ref="AB1977"/>
    <hyperlink r:id="rId1876" ref="Z1978"/>
    <hyperlink r:id="rId1877" ref="Z1979"/>
    <hyperlink r:id="rId1878" ref="AB1979"/>
    <hyperlink r:id="rId1879" ref="Z1980"/>
    <hyperlink r:id="rId1880" ref="AB1980"/>
    <hyperlink r:id="rId1881" ref="Z1981"/>
    <hyperlink r:id="rId1882" ref="AC1981"/>
    <hyperlink r:id="rId1883" ref="Z1982"/>
    <hyperlink r:id="rId1884" ref="Z1983"/>
    <hyperlink r:id="rId1885" ref="Z1984"/>
    <hyperlink r:id="rId1886" location="gid=0" ref="AA1985"/>
    <hyperlink r:id="rId1887" location="gid=1" ref="AA1986"/>
    <hyperlink r:id="rId1888" location="gid=2" ref="AA1987"/>
    <hyperlink r:id="rId1889" location="gid=3" ref="AA1988"/>
    <hyperlink r:id="rId1890" location="gid=4" ref="AA1989"/>
    <hyperlink r:id="rId1891" location="gid=5" ref="AA1990"/>
    <hyperlink r:id="rId1892" location="gid=6" ref="AA1991"/>
    <hyperlink r:id="rId1893" location="gid=7" ref="AA1992"/>
    <hyperlink r:id="rId1894" location="gid=8" ref="AA1993"/>
    <hyperlink r:id="rId1895" location="gid=9" ref="AA1994"/>
    <hyperlink r:id="rId1896" ref="Z1995"/>
    <hyperlink r:id="rId1897" ref="Z1996"/>
    <hyperlink r:id="rId1898" ref="Z1997"/>
    <hyperlink r:id="rId1899" ref="Z1998"/>
    <hyperlink r:id="rId1900" ref="AC1998"/>
    <hyperlink r:id="rId1901" ref="Z1999"/>
    <hyperlink r:id="rId1902" ref="AC1999"/>
    <hyperlink r:id="rId1903" ref="Z2000"/>
    <hyperlink r:id="rId1904" ref="AC2000"/>
    <hyperlink r:id="rId1905" ref="Z2001"/>
    <hyperlink r:id="rId1906" ref="AC2001"/>
    <hyperlink r:id="rId1907" ref="Z2002"/>
    <hyperlink r:id="rId1908" ref="AC2002"/>
    <hyperlink r:id="rId1909" ref="Z2003"/>
    <hyperlink r:id="rId1910" ref="Z2004"/>
    <hyperlink r:id="rId1911" ref="Z2005"/>
    <hyperlink r:id="rId1912" ref="Z2006"/>
    <hyperlink r:id="rId1913" ref="Z2007"/>
    <hyperlink r:id="rId1914" ref="AB2007"/>
    <hyperlink r:id="rId1915" ref="Z2008"/>
    <hyperlink r:id="rId1916" ref="AB2008"/>
    <hyperlink r:id="rId1917" ref="Z2009"/>
    <hyperlink r:id="rId1918" ref="AB2009"/>
    <hyperlink r:id="rId1919" ref="Z2010"/>
    <hyperlink r:id="rId1920" ref="AB2010"/>
    <hyperlink r:id="rId1921" ref="Z2011"/>
    <hyperlink r:id="rId1922" ref="AB2011"/>
    <hyperlink r:id="rId1923" ref="Z2012"/>
    <hyperlink r:id="rId1924" ref="AB2012"/>
    <hyperlink r:id="rId1925" ref="Z2013"/>
    <hyperlink r:id="rId1926" ref="AB2013"/>
    <hyperlink r:id="rId1927" ref="Z2014"/>
    <hyperlink r:id="rId1928" ref="AB2014"/>
    <hyperlink r:id="rId1929" ref="Z2015"/>
    <hyperlink r:id="rId1930" ref="Z2016"/>
    <hyperlink r:id="rId1931" ref="AC2016"/>
    <hyperlink r:id="rId1932" ref="Z2017"/>
    <hyperlink r:id="rId1933" ref="AC2017"/>
    <hyperlink r:id="rId1934" ref="Z2018"/>
    <hyperlink r:id="rId1935" ref="AC2018"/>
    <hyperlink r:id="rId1936" ref="Z2019"/>
    <hyperlink r:id="rId1937" ref="AC2019"/>
    <hyperlink r:id="rId1938" ref="Z2020"/>
    <hyperlink r:id="rId1939" ref="Z2021"/>
    <hyperlink r:id="rId1940" ref="Z2022"/>
    <hyperlink r:id="rId1941" ref="Z2023"/>
    <hyperlink r:id="rId1942" ref="AC2023"/>
    <hyperlink r:id="rId1943" ref="Z2024"/>
    <hyperlink r:id="rId1944" ref="AC2024"/>
    <hyperlink r:id="rId1945" ref="Z2025"/>
    <hyperlink r:id="rId1946" ref="AC2025"/>
    <hyperlink r:id="rId1947" location="/27-color-azul_marino/910-talla-0" ref="Z2026"/>
    <hyperlink r:id="rId1948" location="/27-color-azul_marino/910-talla-1" ref="Z2027"/>
    <hyperlink r:id="rId1949" location="/27-color-azul_marino/910-talla-2" ref="Z2028"/>
    <hyperlink r:id="rId1950" location="/27-color-azul_marino/910-talla-3" ref="Z2029"/>
    <hyperlink r:id="rId1951" location="/27-color-azul_marino/910-talla-4" ref="Z2030"/>
    <hyperlink r:id="rId1952" location="/27-color-azul_marino/910-talla-3" ref="Z2031"/>
    <hyperlink r:id="rId1953" ref="Z2032"/>
    <hyperlink r:id="rId1954" ref="Z2033"/>
    <hyperlink r:id="rId1955" ref="Z2034"/>
    <hyperlink r:id="rId1956" ref="Z2035"/>
    <hyperlink r:id="rId1957" ref="Z2036"/>
    <hyperlink r:id="rId1958" ref="Z2037"/>
    <hyperlink r:id="rId1959" ref="Z2038"/>
    <hyperlink r:id="rId1960" ref="Z2039"/>
    <hyperlink r:id="rId1961" ref="Z2040"/>
    <hyperlink r:id="rId1962" ref="Z2041"/>
    <hyperlink r:id="rId1963" ref="Z2042"/>
    <hyperlink r:id="rId1964" ref="Z2043"/>
    <hyperlink r:id="rId1965" ref="Z2044"/>
    <hyperlink r:id="rId1966" ref="AB2044"/>
    <hyperlink r:id="rId1967" ref="Z2045"/>
    <hyperlink r:id="rId1968" ref="AB2045"/>
    <hyperlink r:id="rId1969" ref="Z2046"/>
    <hyperlink r:id="rId1970" ref="AB2046"/>
    <hyperlink r:id="rId1971" ref="Z2047"/>
    <hyperlink r:id="rId1972" ref="AB2047"/>
    <hyperlink r:id="rId1973" ref="Z2048"/>
    <hyperlink r:id="rId1974" ref="AB2048"/>
    <hyperlink r:id="rId1975" ref="Z2049"/>
    <hyperlink r:id="rId1976" ref="AB2049"/>
    <hyperlink r:id="rId1977" ref="Z2050"/>
    <hyperlink r:id="rId1978" ref="AB2050"/>
    <hyperlink r:id="rId1979" ref="Z2051"/>
    <hyperlink r:id="rId1980" ref="Z2052"/>
    <hyperlink r:id="rId1981" ref="Z2053"/>
    <hyperlink r:id="rId1982" ref="Z2054"/>
    <hyperlink r:id="rId1983" ref="Z2055"/>
    <hyperlink r:id="rId1984" ref="Z2056"/>
    <hyperlink r:id="rId1985" ref="AB2057"/>
    <hyperlink r:id="rId1986" ref="AB2058"/>
    <hyperlink r:id="rId1987" location="polycard_client=recommendations_pdp-v2p&amp;reco_backend=ranker_retrieval_system_org&amp;reco_model=rk_ent_v3_retsys_org&amp;reco_client=pdp-v2p&amp;reco_item_pos=1&amp;reco_backend_type=low_level&amp;reco_id=649f934d-03ee-44e9-a165-6f3e2277ef6b&amp;wid=MPE627995224&amp;sid=recos" ref="Z2059"/>
    <hyperlink r:id="rId1988" location="polycard_client=search-nordic&amp;search_layout=grid&amp;position=3&amp;type=product&amp;tracking_id=b698c16e-d0c3-44e1-afb3-1f63d512b4de&amp;wid=MPE622495745&amp;sid=search" ref="AT2059"/>
    <hyperlink r:id="rId1989" ref="Z2060"/>
    <hyperlink r:id="rId1990" ref="AB2060"/>
    <hyperlink r:id="rId1991" ref="AT2060"/>
    <hyperlink r:id="rId1992" ref="Z2061"/>
    <hyperlink r:id="rId1993" ref="AB2061"/>
    <hyperlink r:id="rId1994" ref="AT2061"/>
    <hyperlink r:id="rId1995" location="specTabs.specifications" ref="Z2062"/>
    <hyperlink r:id="rId1996" location="specTabs.specifications" ref="Z2063"/>
    <hyperlink r:id="rId1997" location="specTabs.specifications" ref="Z2064"/>
    <hyperlink r:id="rId1998" location="specTabs.specifications" ref="Z2065"/>
    <hyperlink r:id="rId1999" location="specTabs.specifications" ref="Z2066"/>
    <hyperlink r:id="rId2000" location="specTabs.specifications" ref="Z2067"/>
    <hyperlink r:id="rId2001" location="specTabs.specifications" ref="Z2068"/>
    <hyperlink r:id="rId2002" location="specTabs.specifications" ref="Z2069"/>
    <hyperlink r:id="rId2003" location="specTabs.specifications" ref="Z2070"/>
    <hyperlink r:id="rId2004" location="specTabs.specifications" ref="Z2071"/>
    <hyperlink r:id="rId2005" location="specTabs.specifications" ref="Z2072"/>
    <hyperlink r:id="rId2006" location="specTabs.specifications" ref="Z2073"/>
    <hyperlink r:id="rId2007" location="specTabs.specifications" ref="Z2074"/>
    <hyperlink r:id="rId2008" location="specTabs.specifications" ref="Z2075"/>
    <hyperlink r:id="rId2009" location="specTabs.specifications" ref="Z2076"/>
    <hyperlink r:id="rId2010" location="specTabs.specifications" ref="Z2077"/>
    <hyperlink r:id="rId2011" location="specTabs.specifications" ref="Z2078"/>
    <hyperlink r:id="rId2012" location="specTabs.specifications" ref="Z2079"/>
    <hyperlink r:id="rId2013" location="specTabs.specifications" ref="Z2080"/>
    <hyperlink r:id="rId2014" location="specTabs.specifications" ref="Z2081"/>
    <hyperlink r:id="rId2015" location="specTabs.specifications" ref="Z2082"/>
    <hyperlink r:id="rId2016" location="specTabs.specifications" ref="Z2083"/>
    <hyperlink r:id="rId2017" location="specTabs.specifications" ref="Z2084"/>
    <hyperlink r:id="rId2018" ref="Z2085"/>
    <hyperlink r:id="rId2019" location="specTabs.specifications" ref="Z2086"/>
    <hyperlink r:id="rId2020" ref="Z2087"/>
    <hyperlink r:id="rId2021" ref="AB2087"/>
    <hyperlink r:id="rId2022" ref="Z2088"/>
    <hyperlink r:id="rId2023" ref="AB2088"/>
    <hyperlink r:id="rId2024" ref="Z2089"/>
    <hyperlink r:id="rId2025" ref="AB2089"/>
    <hyperlink r:id="rId2026" ref="Z2090"/>
    <hyperlink r:id="rId2027" ref="AB2090"/>
    <hyperlink r:id="rId2028" ref="Z2091"/>
    <hyperlink r:id="rId2029" ref="AB2091"/>
    <hyperlink r:id="rId2030" ref="Z2092"/>
    <hyperlink r:id="rId2031" ref="Z2093"/>
    <hyperlink r:id="rId2032" ref="AB2093"/>
    <hyperlink r:id="rId2033" ref="Z2094"/>
    <hyperlink r:id="rId2034" ref="AB2094"/>
    <hyperlink r:id="rId2035" ref="Z2095"/>
    <hyperlink r:id="rId2036" ref="AB2095"/>
    <hyperlink r:id="rId2037" ref="Z2096"/>
    <hyperlink r:id="rId2038" ref="AB2096"/>
    <hyperlink r:id="rId2039" ref="Z2097"/>
    <hyperlink r:id="rId2040" ref="AB2097"/>
    <hyperlink r:id="rId2041" ref="Z2098"/>
    <hyperlink r:id="rId2042" ref="AB2098"/>
    <hyperlink r:id="rId2043" ref="Z2099"/>
    <hyperlink r:id="rId2044" ref="AB2099"/>
    <hyperlink r:id="rId2045" ref="Z2100"/>
    <hyperlink r:id="rId2046" ref="AB2100"/>
    <hyperlink r:id="rId2047" ref="AC2100"/>
    <hyperlink r:id="rId2048" ref="Z2101"/>
    <hyperlink r:id="rId2049" ref="AB2101"/>
    <hyperlink r:id="rId2050" ref="AC2101"/>
    <hyperlink r:id="rId2051" ref="Z2102"/>
    <hyperlink r:id="rId2052" ref="Z2103"/>
    <hyperlink r:id="rId2053" ref="Z2104"/>
    <hyperlink r:id="rId2054" ref="Z2105"/>
    <hyperlink r:id="rId2055" ref="Z2106"/>
    <hyperlink r:id="rId2056" ref="Z2107"/>
    <hyperlink r:id="rId2057" ref="Z2108"/>
    <hyperlink r:id="rId2058" ref="Z2109"/>
    <hyperlink r:id="rId2059" ref="Z2110"/>
    <hyperlink r:id="rId2060" ref="Z2111"/>
    <hyperlink r:id="rId2061" ref="Z2112"/>
    <hyperlink r:id="rId2062" ref="AB2112"/>
    <hyperlink r:id="rId2063" ref="AC2112"/>
    <hyperlink r:id="rId2064" ref="Z2113"/>
    <hyperlink r:id="rId2065" ref="AB2113"/>
    <hyperlink r:id="rId2066" ref="AC2113"/>
    <hyperlink r:id="rId2067" ref="Z2114"/>
    <hyperlink r:id="rId2068" ref="AB2114"/>
    <hyperlink r:id="rId2069" ref="AC2114"/>
    <hyperlink r:id="rId2070" ref="Z2115"/>
    <hyperlink r:id="rId2071" ref="Z2116"/>
    <hyperlink r:id="rId2072" ref="Z2117"/>
    <hyperlink r:id="rId2073" ref="Z2118"/>
    <hyperlink r:id="rId2074" ref="Z2119"/>
    <hyperlink r:id="rId2075" ref="Z2120"/>
    <hyperlink r:id="rId2076" ref="Z2121"/>
    <hyperlink r:id="rId2077" ref="Z2122"/>
    <hyperlink r:id="rId2078" ref="Z2123"/>
    <hyperlink r:id="rId2079" ref="Z2124"/>
    <hyperlink r:id="rId2080" ref="Z2125"/>
    <hyperlink r:id="rId2081" ref="Z2126"/>
    <hyperlink r:id="rId2082" ref="Z2127"/>
    <hyperlink r:id="rId2083" ref="Z2128"/>
    <hyperlink r:id="rId2084" ref="Z2129"/>
    <hyperlink r:id="rId2085" ref="Z2130"/>
    <hyperlink r:id="rId2086" ref="Z2131"/>
    <hyperlink r:id="rId2087" ref="Z2132"/>
    <hyperlink r:id="rId2088" ref="Z2133"/>
    <hyperlink r:id="rId2089" ref="AB2133"/>
    <hyperlink r:id="rId2090" ref="Z2134"/>
    <hyperlink r:id="rId2091" ref="AB2134"/>
    <hyperlink r:id="rId2092" ref="Z2135"/>
    <hyperlink r:id="rId2093" ref="AB2135"/>
    <hyperlink r:id="rId2094" ref="Z2136"/>
    <hyperlink r:id="rId2095" ref="AB2136"/>
    <hyperlink r:id="rId2096" ref="Z2137"/>
    <hyperlink r:id="rId2097" ref="Z2138"/>
    <hyperlink r:id="rId2098" ref="Z2139"/>
    <hyperlink r:id="rId2099" ref="Z2143"/>
    <hyperlink r:id="rId2100" ref="AB2143"/>
    <hyperlink r:id="rId2101" ref="Z2144"/>
    <hyperlink r:id="rId2102" ref="AB2144"/>
    <hyperlink r:id="rId2103" ref="Z2145"/>
    <hyperlink r:id="rId2104" ref="AB2145"/>
    <hyperlink r:id="rId2105" ref="Z2146"/>
    <hyperlink r:id="rId2106" ref="AT2146"/>
    <hyperlink r:id="rId2107" location="specs" ref="Z2147"/>
    <hyperlink r:id="rId2108" location="specs" ref="Z2148"/>
    <hyperlink r:id="rId2109" location="specs" ref="Z2149"/>
    <hyperlink r:id="rId2110" location="specs" ref="Z2150"/>
    <hyperlink r:id="rId2111" ref="Z2151"/>
    <hyperlink r:id="rId2112" ref="AB2151"/>
    <hyperlink r:id="rId2113" ref="Z2152"/>
    <hyperlink r:id="rId2114" ref="AB2152"/>
    <hyperlink r:id="rId2115" ref="Z2153"/>
    <hyperlink r:id="rId2116" ref="AB2153"/>
    <hyperlink r:id="rId2117" ref="Z2154"/>
    <hyperlink r:id="rId2118" ref="Z2155"/>
    <hyperlink r:id="rId2119" ref="Z2156"/>
    <hyperlink r:id="rId2120" ref="Z2157"/>
    <hyperlink r:id="rId2121" ref="Z2158"/>
    <hyperlink r:id="rId2122" ref="Z2159"/>
    <hyperlink r:id="rId2123" ref="Z2160"/>
    <hyperlink r:id="rId2124" ref="AB2160"/>
    <hyperlink r:id="rId2125" ref="Z2161"/>
    <hyperlink r:id="rId2126" ref="AB2161"/>
    <hyperlink r:id="rId2127" ref="Z2162"/>
    <hyperlink r:id="rId2128" ref="AB2162"/>
    <hyperlink r:id="rId2129" ref="Z2163"/>
    <hyperlink r:id="rId2130" ref="AB2163"/>
    <hyperlink r:id="rId2131" ref="Z2164"/>
    <hyperlink r:id="rId2132" ref="Z2165"/>
    <hyperlink r:id="rId2133" ref="Z2166"/>
    <hyperlink r:id="rId2134" ref="Z2167"/>
    <hyperlink r:id="rId2135" ref="Z2168"/>
    <hyperlink r:id="rId2136" ref="Z2169"/>
    <hyperlink r:id="rId2137" ref="Z2170"/>
    <hyperlink r:id="rId2138" ref="Z2171"/>
    <hyperlink r:id="rId2139" ref="Z2172"/>
    <hyperlink r:id="rId2140" ref="Z2173"/>
    <hyperlink r:id="rId2141" ref="Z2174"/>
    <hyperlink r:id="rId2142" ref="Z2175"/>
    <hyperlink r:id="rId2143" ref="Z2176"/>
    <hyperlink r:id="rId2144" ref="Z2177"/>
    <hyperlink r:id="rId2145" ref="Z2178"/>
    <hyperlink r:id="rId2146" ref="Z2179"/>
    <hyperlink r:id="rId2147" ref="Z2180"/>
    <hyperlink r:id="rId2148" ref="Z2181"/>
    <hyperlink r:id="rId2149" ref="Z2182"/>
    <hyperlink r:id="rId2150" ref="Z2183"/>
    <hyperlink r:id="rId2151" ref="Z2184"/>
    <hyperlink r:id="rId2152" ref="Z2185"/>
    <hyperlink r:id="rId2153" ref="Z2186"/>
    <hyperlink r:id="rId2154" ref="Z2187"/>
    <hyperlink r:id="rId2155" ref="AB2187"/>
    <hyperlink r:id="rId2156" ref="AD2187"/>
    <hyperlink r:id="rId2157" ref="Z2188"/>
    <hyperlink r:id="rId2158" ref="Z2189"/>
    <hyperlink r:id="rId2159" location="gid=0" ref="AA2189"/>
    <hyperlink r:id="rId2160" ref="Z2190"/>
    <hyperlink r:id="rId2161" location="gid=1" ref="AA2190"/>
    <hyperlink r:id="rId2162" ref="Z2191"/>
    <hyperlink r:id="rId2163" ref="AB2191"/>
    <hyperlink r:id="rId2164" ref="AT2191"/>
    <hyperlink r:id="rId2165" ref="Z2192"/>
    <hyperlink r:id="rId2166" ref="AB2192"/>
    <hyperlink r:id="rId2167" ref="AT2192"/>
    <hyperlink r:id="rId2168" ref="Z2193"/>
    <hyperlink r:id="rId2169" location="gid=0" ref="AA2193"/>
    <hyperlink r:id="rId2170" ref="Z2194"/>
    <hyperlink r:id="rId2171" location="gid=0" ref="AA2194"/>
    <hyperlink r:id="rId2172" ref="Z2195"/>
    <hyperlink r:id="rId2173" location="gid=0" ref="AA2195"/>
    <hyperlink r:id="rId2174" ref="Z2196"/>
    <hyperlink r:id="rId2175" ref="AB2196"/>
    <hyperlink r:id="rId2176" ref="Z2197"/>
    <hyperlink r:id="rId2177" ref="AB2197"/>
    <hyperlink r:id="rId2178" ref="Z2198"/>
    <hyperlink r:id="rId2179" ref="AB2198"/>
    <hyperlink r:id="rId2180" ref="Z2199"/>
    <hyperlink r:id="rId2181" location="gid=0" ref="AA2199"/>
    <hyperlink r:id="rId2182" ref="Z2200"/>
    <hyperlink r:id="rId2183" location="gid=0" ref="AA2200"/>
    <hyperlink r:id="rId2184" ref="Z2201"/>
    <hyperlink r:id="rId2185" location="gid=0" ref="AA2201"/>
    <hyperlink r:id="rId2186" ref="Z2202"/>
    <hyperlink r:id="rId2187" ref="Z2203"/>
    <hyperlink r:id="rId2188" ref="Z2204"/>
    <hyperlink r:id="rId2189" ref="Z2205"/>
    <hyperlink r:id="rId2190" ref="Z2212"/>
    <hyperlink r:id="rId2191" ref="Z2213"/>
    <hyperlink r:id="rId2192" ref="Z2214"/>
    <hyperlink r:id="rId2193" ref="Z2215"/>
    <hyperlink r:id="rId2194" ref="Z2216"/>
    <hyperlink r:id="rId2195" ref="AB2216"/>
    <hyperlink r:id="rId2196" ref="AT2216"/>
    <hyperlink r:id="rId2197" ref="Z2217"/>
    <hyperlink r:id="rId2198" ref="AB2217"/>
    <hyperlink r:id="rId2199" ref="AT2217"/>
    <hyperlink r:id="rId2200" ref="Z2218"/>
    <hyperlink r:id="rId2201" ref="AB2218"/>
    <hyperlink r:id="rId2202" ref="Z2219"/>
    <hyperlink r:id="rId2203" ref="AB2219"/>
    <hyperlink r:id="rId2204" ref="Z2220"/>
    <hyperlink r:id="rId2205" ref="Z2221"/>
    <hyperlink r:id="rId2206" ref="Z2222"/>
    <hyperlink r:id="rId2207" ref="Z2223"/>
    <hyperlink r:id="rId2208" ref="Z2224"/>
    <hyperlink r:id="rId2209" ref="Z2225"/>
    <hyperlink r:id="rId2210" ref="Z2230"/>
    <hyperlink r:id="rId2211" ref="Z2231"/>
    <hyperlink r:id="rId2212" ref="Z2232"/>
    <hyperlink r:id="rId2213" ref="Z2233"/>
    <hyperlink r:id="rId2214" ref="Z2234"/>
    <hyperlink r:id="rId2215" ref="AB2234"/>
    <hyperlink r:id="rId2216" ref="Z2235"/>
    <hyperlink r:id="rId2217" ref="AB2235"/>
    <hyperlink r:id="rId2218" ref="Z2236"/>
    <hyperlink r:id="rId2219" ref="AB2236"/>
    <hyperlink r:id="rId2220" ref="Z2237"/>
    <hyperlink r:id="rId2221" ref="AB2237"/>
    <hyperlink r:id="rId2222" ref="AB2238"/>
    <hyperlink r:id="rId2223" ref="AB2239"/>
    <hyperlink r:id="rId2224" ref="AB2240"/>
    <hyperlink r:id="rId2225" ref="AB2241"/>
    <hyperlink r:id="rId2226" ref="AB2242"/>
    <hyperlink r:id="rId2227" ref="AB2243"/>
    <hyperlink r:id="rId2228" ref="AB2244"/>
    <hyperlink r:id="rId2229" ref="AB2245"/>
    <hyperlink r:id="rId2230" ref="AB2246"/>
    <hyperlink r:id="rId2231" ref="Z2247"/>
    <hyperlink r:id="rId2232" ref="Z2248"/>
    <hyperlink r:id="rId2233" ref="Z2249"/>
    <hyperlink r:id="rId2234" ref="Z2250"/>
    <hyperlink r:id="rId2235" ref="AB2250"/>
    <hyperlink r:id="rId2236" ref="Z2251"/>
    <hyperlink r:id="rId2237" ref="AB2251"/>
    <hyperlink r:id="rId2238" ref="Z2252"/>
    <hyperlink r:id="rId2239" ref="AB2252"/>
    <hyperlink r:id="rId2240" ref="Z2253"/>
    <hyperlink r:id="rId2241" ref="AB2253"/>
    <hyperlink r:id="rId2242" ref="Z2254"/>
    <hyperlink r:id="rId2243" ref="AB2254"/>
    <hyperlink r:id="rId2244" ref="Z2255"/>
    <hyperlink r:id="rId2245" ref="AB2255"/>
    <hyperlink r:id="rId2246" ref="Z2256"/>
    <hyperlink r:id="rId2247" ref="AB2256"/>
    <hyperlink r:id="rId2248" ref="Z2257"/>
    <hyperlink r:id="rId2249" ref="AB2257"/>
    <hyperlink r:id="rId2250" ref="Z2258"/>
    <hyperlink r:id="rId2251" ref="Z2281"/>
    <hyperlink r:id="rId2252" ref="Z2329"/>
    <hyperlink r:id="rId2253" ref="Z2330"/>
    <hyperlink r:id="rId2254" ref="Z2331"/>
    <hyperlink r:id="rId2255" ref="Z2332"/>
    <hyperlink r:id="rId2256" ref="Z2333"/>
    <hyperlink r:id="rId2257" ref="Z2334"/>
    <hyperlink r:id="rId2258" ref="Z2335"/>
    <hyperlink r:id="rId2259" ref="Z2336"/>
    <hyperlink r:id="rId2260" ref="Z2337"/>
    <hyperlink r:id="rId2261" ref="Z2338"/>
    <hyperlink r:id="rId2262" ref="Z2339"/>
    <hyperlink r:id="rId2263" ref="Z2342"/>
    <hyperlink r:id="rId2264" ref="Z2343"/>
    <hyperlink r:id="rId2265" ref="Z2344"/>
    <hyperlink r:id="rId2266" ref="Z2345"/>
    <hyperlink r:id="rId2267" ref="Z2346"/>
    <hyperlink r:id="rId2268" ref="Z2347"/>
    <hyperlink r:id="rId2269" ref="Z2348"/>
    <hyperlink r:id="rId2270" ref="Z2349"/>
    <hyperlink r:id="rId2271" ref="Z2350"/>
    <hyperlink r:id="rId2272" ref="Z2351"/>
    <hyperlink r:id="rId2273" ref="Z2352"/>
    <hyperlink r:id="rId2274" ref="Z2353"/>
    <hyperlink r:id="rId2275" ref="Z2354"/>
    <hyperlink r:id="rId2276" ref="Z2355"/>
    <hyperlink r:id="rId2277" ref="Z2356"/>
    <hyperlink r:id="rId2278" ref="Z2357"/>
    <hyperlink r:id="rId2279" ref="Z2358"/>
    <hyperlink r:id="rId2280" ref="Z2359"/>
    <hyperlink r:id="rId2281" ref="Z2360"/>
    <hyperlink r:id="rId2282" ref="Z2361"/>
    <hyperlink r:id="rId2283" ref="Z2362"/>
    <hyperlink r:id="rId2284" ref="Z2363"/>
    <hyperlink r:id="rId2285" ref="Z2364"/>
    <hyperlink r:id="rId2286" ref="Z2365"/>
    <hyperlink r:id="rId2287" ref="Z2366"/>
    <hyperlink r:id="rId2288" ref="AT2366"/>
    <hyperlink r:id="rId2289" ref="Z2367"/>
    <hyperlink r:id="rId2290" ref="AT2367"/>
    <hyperlink r:id="rId2291" ref="Z2368"/>
    <hyperlink r:id="rId2292" ref="AT2368"/>
    <hyperlink r:id="rId2293" ref="Z2369"/>
    <hyperlink r:id="rId2294" ref="AT2369"/>
    <hyperlink r:id="rId2295" ref="Z2370"/>
    <hyperlink r:id="rId2296" ref="Z2371"/>
    <hyperlink r:id="rId2297" ref="Z2372"/>
    <hyperlink r:id="rId2298" ref="Z2373"/>
    <hyperlink r:id="rId2299" ref="AB2373"/>
    <hyperlink r:id="rId2300" ref="Z2374"/>
    <hyperlink r:id="rId2301" ref="AB2374"/>
    <hyperlink r:id="rId2302" ref="Z2375"/>
    <hyperlink r:id="rId2303" ref="AB2375"/>
    <hyperlink r:id="rId2304" ref="Z2376"/>
    <hyperlink r:id="rId2305" ref="Z2377"/>
    <hyperlink r:id="rId2306" ref="AB2377"/>
    <hyperlink r:id="rId2307" ref="Z2378"/>
    <hyperlink r:id="rId2308" ref="AB2378"/>
    <hyperlink r:id="rId2309" ref="Z2379"/>
    <hyperlink r:id="rId2310" ref="AB2379"/>
    <hyperlink r:id="rId2311" ref="AT2379"/>
    <hyperlink r:id="rId2312" ref="Z2380"/>
    <hyperlink r:id="rId2313" ref="AB2380"/>
    <hyperlink r:id="rId2314" ref="AT2380"/>
    <hyperlink r:id="rId2315" ref="Z2381"/>
    <hyperlink r:id="rId2316" ref="AB2381"/>
    <hyperlink r:id="rId2317" ref="Z2382"/>
    <hyperlink r:id="rId2318" ref="AB2382"/>
    <hyperlink r:id="rId2319" ref="Z2383"/>
    <hyperlink r:id="rId2320" ref="AB2383"/>
    <hyperlink r:id="rId2321" ref="AT2383"/>
    <hyperlink r:id="rId2322" ref="Z2384"/>
    <hyperlink r:id="rId2323" ref="AB2384"/>
    <hyperlink r:id="rId2324" ref="Z2385"/>
    <hyperlink r:id="rId2325" ref="AB2385"/>
    <hyperlink r:id="rId2326" ref="Z2386"/>
    <hyperlink r:id="rId2327" ref="AB2386"/>
    <hyperlink r:id="rId2328" ref="Z2387"/>
    <hyperlink r:id="rId2329" ref="AB2387"/>
    <hyperlink r:id="rId2330" ref="Z2388"/>
    <hyperlink r:id="rId2331" ref="AB2388"/>
    <hyperlink r:id="rId2332" ref="Z2411"/>
    <hyperlink r:id="rId2333" ref="AB2411"/>
    <hyperlink r:id="rId2334" ref="Z2413"/>
    <hyperlink r:id="rId2335" ref="Z2417"/>
    <hyperlink r:id="rId2336" ref="Z2418"/>
    <hyperlink r:id="rId2337" ref="Z2419"/>
    <hyperlink r:id="rId2338" ref="Z2420"/>
    <hyperlink r:id="rId2339" ref="Z2421"/>
    <hyperlink r:id="rId2340" ref="Z2422"/>
    <hyperlink r:id="rId2341" ref="Z2423"/>
    <hyperlink r:id="rId2342" ref="Z2424"/>
    <hyperlink r:id="rId2343" ref="Z2429"/>
    <hyperlink r:id="rId2344" ref="Z2431"/>
    <hyperlink r:id="rId2345" ref="AB2431"/>
    <hyperlink r:id="rId2346" ref="Z2432"/>
    <hyperlink r:id="rId2347" ref="Z2433"/>
    <hyperlink r:id="rId2348" ref="Z2434"/>
    <hyperlink r:id="rId2349" ref="Z2435"/>
    <hyperlink r:id="rId2350" ref="Z2437"/>
    <hyperlink r:id="rId2351" ref="AB2437"/>
    <hyperlink r:id="rId2352" ref="Z2438"/>
    <hyperlink r:id="rId2353" ref="AB2438"/>
    <hyperlink r:id="rId2354" ref="Z2439"/>
    <hyperlink r:id="rId2355" ref="AB2439"/>
    <hyperlink r:id="rId2356" location="polycard_client=recommendations_vip-v2p&amp;reco_backend=ranker_retrieval_system_org&amp;reco_model=rk_ent_v3_retsys_org&amp;reco_client=vip-v2p&amp;reco_item_pos=0&amp;reco_backend_type=low_level&amp;reco_id=df200d9f-25f1-44ed-ab1b-fea13595db2b" ref="Z2449"/>
    <hyperlink r:id="rId2357" location="polycard_client=recommendations_vip-v2p&amp;reco_backend=ranker_retrieval_system_org&amp;reco_model=rk_ent_v3_retsys_org&amp;reco_client=vip-v2p&amp;reco_item_pos=0&amp;reco_backend_type=low_level&amp;reco_id=df200d9f-25f1-44ed-ab1b-fea13595db2b" ref="Z2450"/>
    <hyperlink r:id="rId2358" location="polycard_client=recommendations_vip-v2p&amp;reco_backend=ranker_retrieval_system_org&amp;reco_model=rk_ent_v3_retsys_org&amp;reco_client=vip-v2p&amp;reco_item_pos=0&amp;reco_backend_type=low_level&amp;reco_id=df200d9f-25f1-44ed-ab1b-fea13595db2b" ref="Z2451"/>
    <hyperlink r:id="rId2359" location="polycard_client=recommendations_vip-v2p&amp;reco_backend=ranker_retrieval_system_org&amp;reco_model=rk_ent_v3_retsys_org&amp;reco_client=vip-v2p&amp;reco_item_pos=0&amp;reco_backend_type=low_level&amp;reco_id=df200d9f-25f1-44ed-ab1b-fea13595db2b" ref="Z2452"/>
    <hyperlink r:id="rId2360" ref="Z2453"/>
    <hyperlink r:id="rId2361" ref="Z2454"/>
    <hyperlink r:id="rId2362" ref="Z2455"/>
    <hyperlink r:id="rId2363" location="gid=1" ref="AA2455"/>
    <hyperlink r:id="rId2364" ref="Z2456"/>
    <hyperlink r:id="rId2365" location="gid=1" ref="AA2456"/>
    <hyperlink r:id="rId2366" ref="Z2457"/>
    <hyperlink r:id="rId2367" location="gid=1" ref="AA2457"/>
    <hyperlink r:id="rId2368" ref="Z2458"/>
    <hyperlink r:id="rId2369" location="gid=1" ref="AA2458"/>
    <hyperlink r:id="rId2370" ref="Z2459"/>
    <hyperlink r:id="rId2371" location="gid=1" ref="AA2459"/>
    <hyperlink r:id="rId2372" ref="Z2460"/>
    <hyperlink r:id="rId2373" location="gid=1" ref="AA2460"/>
    <hyperlink r:id="rId2374" ref="Z2461"/>
    <hyperlink r:id="rId2375" location="gid=1" ref="AA2461"/>
    <hyperlink r:id="rId2376" ref="Z2466"/>
    <hyperlink r:id="rId2377" ref="Z2467"/>
    <hyperlink r:id="rId2378" location="gid=1" ref="AA2467"/>
    <hyperlink r:id="rId2379" ref="Z2468"/>
    <hyperlink r:id="rId2380" location="gid=1" ref="AA2468"/>
    <hyperlink r:id="rId2381" ref="Z2469"/>
    <hyperlink r:id="rId2382" ref="AB2469"/>
    <hyperlink r:id="rId2383" ref="AT2469"/>
    <hyperlink r:id="rId2384" ref="Z2470"/>
    <hyperlink r:id="rId2385" ref="AB2470"/>
    <hyperlink r:id="rId2386" ref="AT2470"/>
    <hyperlink r:id="rId2387" ref="Z2471"/>
    <hyperlink r:id="rId2388" location="gid=1" ref="AA2471"/>
    <hyperlink r:id="rId2389" ref="Z2472"/>
    <hyperlink r:id="rId2390" location="gid=1" ref="AA2472"/>
    <hyperlink r:id="rId2391" ref="Z2473"/>
    <hyperlink r:id="rId2392" location="gid=1" ref="AA2473"/>
    <hyperlink r:id="rId2393" ref="Z2474"/>
    <hyperlink r:id="rId2394" location="gid=1" ref="AA2474"/>
    <hyperlink r:id="rId2395" ref="Z2475"/>
    <hyperlink r:id="rId2396" location="gid=1" ref="AA2475"/>
    <hyperlink r:id="rId2397" ref="Z2594"/>
    <hyperlink r:id="rId2398" ref="AB2594"/>
    <hyperlink r:id="rId2399" ref="Z2595"/>
    <hyperlink r:id="rId2400" ref="AB2595"/>
    <hyperlink r:id="rId2401" ref="Z2596"/>
    <hyperlink r:id="rId2402" ref="AB2596"/>
    <hyperlink r:id="rId2403" ref="Z2597"/>
    <hyperlink r:id="rId2404" ref="AB2597"/>
    <hyperlink r:id="rId2405" ref="Z2598"/>
    <hyperlink r:id="rId2406" ref="AB2598"/>
    <hyperlink r:id="rId2407" ref="Z2599"/>
    <hyperlink r:id="rId2408" ref="AB2599"/>
    <hyperlink r:id="rId2409" ref="Z2600"/>
    <hyperlink r:id="rId2410" ref="AB2600"/>
    <hyperlink r:id="rId2411" ref="AT2600"/>
    <hyperlink r:id="rId2412" ref="Z2666"/>
    <hyperlink r:id="rId2413" ref="Z2685"/>
    <hyperlink r:id="rId2414" ref="Z2686"/>
    <hyperlink r:id="rId2415" ref="Z2687"/>
    <hyperlink r:id="rId2416" ref="Z2688"/>
    <hyperlink r:id="rId2417" ref="Z2689"/>
    <hyperlink r:id="rId2418" location="detalles" ref="Z2690"/>
    <hyperlink r:id="rId2419" ref="Z2691"/>
    <hyperlink r:id="rId2420" ref="Z2692"/>
    <hyperlink r:id="rId2421" ref="Z2693"/>
    <hyperlink r:id="rId2422" ref="Z2694"/>
  </hyperlinks>
  <drawing r:id="rId242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21" t="s">
        <v>3818</v>
      </c>
      <c r="B1" s="222" t="s">
        <v>7</v>
      </c>
      <c r="C1" s="222" t="s">
        <v>10</v>
      </c>
      <c r="D1" s="222" t="s">
        <v>9</v>
      </c>
      <c r="E1" s="222" t="s">
        <v>3819</v>
      </c>
      <c r="F1" s="222" t="s">
        <v>3820</v>
      </c>
      <c r="G1" s="222" t="s">
        <v>13</v>
      </c>
      <c r="H1" s="222" t="s">
        <v>20</v>
      </c>
      <c r="I1" s="222" t="s">
        <v>21</v>
      </c>
      <c r="J1" s="222" t="s">
        <v>19</v>
      </c>
      <c r="K1" s="222" t="s">
        <v>22</v>
      </c>
      <c r="L1" s="223"/>
    </row>
    <row r="2">
      <c r="A2" s="224">
        <v>1.0</v>
      </c>
      <c r="B2" s="225" t="b">
        <v>1</v>
      </c>
      <c r="C2" s="225" t="s">
        <v>36</v>
      </c>
      <c r="D2" s="225" t="s">
        <v>35</v>
      </c>
      <c r="E2" s="225" t="s">
        <v>102</v>
      </c>
      <c r="F2" s="225" t="s">
        <v>102</v>
      </c>
      <c r="G2" s="225" t="s">
        <v>103</v>
      </c>
      <c r="H2" s="225" t="s">
        <v>111</v>
      </c>
      <c r="I2" s="225" t="s">
        <v>3821</v>
      </c>
      <c r="J2" s="226"/>
      <c r="K2" s="227" t="s">
        <v>3822</v>
      </c>
      <c r="L2" s="228"/>
    </row>
    <row r="3">
      <c r="A3" s="224">
        <v>2.0</v>
      </c>
      <c r="B3" s="225" t="b">
        <v>1</v>
      </c>
      <c r="C3" s="225" t="s">
        <v>36</v>
      </c>
      <c r="D3" s="225" t="s">
        <v>35</v>
      </c>
      <c r="E3" s="225" t="s">
        <v>120</v>
      </c>
      <c r="F3" s="225" t="s">
        <v>120</v>
      </c>
      <c r="G3" s="225" t="s">
        <v>121</v>
      </c>
      <c r="H3" s="225" t="s">
        <v>3823</v>
      </c>
      <c r="I3" s="225" t="s">
        <v>3824</v>
      </c>
      <c r="J3" s="226"/>
      <c r="K3" s="227" t="s">
        <v>3825</v>
      </c>
      <c r="L3" s="228"/>
    </row>
    <row r="4">
      <c r="A4" s="224">
        <v>3.0</v>
      </c>
      <c r="B4" s="225" t="b">
        <v>1</v>
      </c>
      <c r="C4" s="225" t="s">
        <v>36</v>
      </c>
      <c r="D4" s="225" t="s">
        <v>35</v>
      </c>
      <c r="E4" s="225" t="s">
        <v>125</v>
      </c>
      <c r="F4" s="225" t="s">
        <v>125</v>
      </c>
      <c r="G4" s="225" t="s">
        <v>126</v>
      </c>
      <c r="H4" s="225" t="s">
        <v>3826</v>
      </c>
      <c r="I4" s="225" t="s">
        <v>3827</v>
      </c>
      <c r="J4" s="226"/>
      <c r="K4" s="227" t="s">
        <v>3828</v>
      </c>
      <c r="L4" s="228"/>
    </row>
    <row r="5">
      <c r="A5" s="224">
        <v>4.0</v>
      </c>
      <c r="B5" s="225" t="b">
        <v>1</v>
      </c>
      <c r="C5" s="225" t="s">
        <v>36</v>
      </c>
      <c r="D5" s="225" t="s">
        <v>35</v>
      </c>
      <c r="E5" s="225" t="s">
        <v>144</v>
      </c>
      <c r="F5" s="225" t="s">
        <v>144</v>
      </c>
      <c r="G5" s="225" t="s">
        <v>145</v>
      </c>
      <c r="H5" s="225" t="s">
        <v>111</v>
      </c>
      <c r="I5" s="225" t="s">
        <v>3829</v>
      </c>
      <c r="J5" s="226"/>
      <c r="K5" s="227" t="s">
        <v>3830</v>
      </c>
      <c r="L5" s="228"/>
    </row>
    <row r="6">
      <c r="A6" s="224">
        <v>5.0</v>
      </c>
      <c r="B6" s="225" t="b">
        <v>1</v>
      </c>
      <c r="C6" s="225" t="s">
        <v>36</v>
      </c>
      <c r="D6" s="225" t="s">
        <v>35</v>
      </c>
      <c r="E6" s="225" t="s">
        <v>153</v>
      </c>
      <c r="F6" s="225" t="s">
        <v>153</v>
      </c>
      <c r="G6" s="225" t="s">
        <v>154</v>
      </c>
      <c r="H6" s="225" t="s">
        <v>3831</v>
      </c>
      <c r="I6" s="225" t="s">
        <v>3832</v>
      </c>
      <c r="J6" s="226"/>
      <c r="K6" s="227" t="s">
        <v>3833</v>
      </c>
      <c r="L6" s="228"/>
    </row>
    <row r="7">
      <c r="A7" s="224">
        <v>6.0</v>
      </c>
      <c r="B7" s="225" t="b">
        <v>1</v>
      </c>
      <c r="C7" s="225" t="s">
        <v>36</v>
      </c>
      <c r="D7" s="225" t="s">
        <v>35</v>
      </c>
      <c r="E7" s="225" t="s">
        <v>37</v>
      </c>
      <c r="F7" s="225" t="s">
        <v>37</v>
      </c>
      <c r="G7" s="225" t="s">
        <v>38</v>
      </c>
      <c r="H7" s="225" t="s">
        <v>3834</v>
      </c>
      <c r="I7" s="225" t="s">
        <v>3835</v>
      </c>
      <c r="J7" s="226"/>
      <c r="K7" s="227" t="s">
        <v>3836</v>
      </c>
      <c r="L7" s="228"/>
    </row>
    <row r="8">
      <c r="A8" s="224">
        <v>7.0</v>
      </c>
      <c r="B8" s="225" t="b">
        <v>1</v>
      </c>
      <c r="C8" s="225" t="s">
        <v>36</v>
      </c>
      <c r="D8" s="225" t="s">
        <v>35</v>
      </c>
      <c r="E8" s="225" t="s">
        <v>49</v>
      </c>
      <c r="F8" s="225" t="s">
        <v>49</v>
      </c>
      <c r="G8" s="225" t="s">
        <v>50</v>
      </c>
      <c r="H8" s="225" t="s">
        <v>3837</v>
      </c>
      <c r="I8" s="225" t="s">
        <v>3837</v>
      </c>
      <c r="J8" s="226"/>
      <c r="K8" s="227" t="s">
        <v>3838</v>
      </c>
      <c r="L8" s="228"/>
    </row>
    <row r="9">
      <c r="A9" s="224">
        <v>8.0</v>
      </c>
      <c r="B9" s="225" t="b">
        <v>1</v>
      </c>
      <c r="C9" s="225" t="s">
        <v>36</v>
      </c>
      <c r="D9" s="225" t="s">
        <v>35</v>
      </c>
      <c r="E9" s="225" t="s">
        <v>57</v>
      </c>
      <c r="F9" s="225" t="s">
        <v>57</v>
      </c>
      <c r="G9" s="225" t="s">
        <v>58</v>
      </c>
      <c r="H9" s="225" t="s">
        <v>3839</v>
      </c>
      <c r="I9" s="225" t="s">
        <v>3840</v>
      </c>
      <c r="J9" s="226"/>
      <c r="K9" s="227" t="s">
        <v>3841</v>
      </c>
      <c r="L9" s="228"/>
    </row>
    <row r="10">
      <c r="A10" s="224">
        <v>9.0</v>
      </c>
      <c r="B10" s="225" t="b">
        <v>1</v>
      </c>
      <c r="C10" s="225" t="s">
        <v>36</v>
      </c>
      <c r="D10" s="225" t="s">
        <v>35</v>
      </c>
      <c r="E10" s="225" t="s">
        <v>74</v>
      </c>
      <c r="F10" s="225" t="s">
        <v>74</v>
      </c>
      <c r="G10" s="225" t="s">
        <v>76</v>
      </c>
      <c r="H10" s="225" t="s">
        <v>3842</v>
      </c>
      <c r="I10" s="225" t="s">
        <v>3843</v>
      </c>
      <c r="J10" s="226"/>
      <c r="K10" s="227" t="s">
        <v>3844</v>
      </c>
      <c r="L10" s="228"/>
    </row>
    <row r="11">
      <c r="A11" s="224">
        <v>10.0</v>
      </c>
      <c r="B11" s="225" t="b">
        <v>1</v>
      </c>
      <c r="C11" s="225" t="s">
        <v>36</v>
      </c>
      <c r="D11" s="225" t="s">
        <v>35</v>
      </c>
      <c r="E11" s="225" t="s">
        <v>86</v>
      </c>
      <c r="F11" s="225" t="s">
        <v>86</v>
      </c>
      <c r="G11" s="225" t="s">
        <v>87</v>
      </c>
      <c r="H11" s="225" t="s">
        <v>1181</v>
      </c>
      <c r="I11" s="225" t="s">
        <v>3845</v>
      </c>
      <c r="J11" s="226"/>
      <c r="K11" s="227" t="s">
        <v>3846</v>
      </c>
      <c r="L11" s="228"/>
    </row>
    <row r="12">
      <c r="A12" s="224">
        <v>11.0</v>
      </c>
      <c r="B12" s="225" t="b">
        <v>1</v>
      </c>
      <c r="C12" s="225" t="s">
        <v>36</v>
      </c>
      <c r="D12" s="225" t="s">
        <v>35</v>
      </c>
      <c r="E12" s="225" t="s">
        <v>159</v>
      </c>
      <c r="F12" s="225" t="s">
        <v>159</v>
      </c>
      <c r="G12" s="225" t="s">
        <v>160</v>
      </c>
      <c r="H12" s="225" t="s">
        <v>3847</v>
      </c>
      <c r="I12" s="225" t="s">
        <v>3848</v>
      </c>
      <c r="J12" s="226"/>
      <c r="K12" s="227" t="s">
        <v>3849</v>
      </c>
      <c r="L12" s="228"/>
    </row>
    <row r="13">
      <c r="A13" s="224">
        <v>12.0</v>
      </c>
      <c r="B13" s="225" t="b">
        <v>1</v>
      </c>
      <c r="C13" s="225" t="s">
        <v>36</v>
      </c>
      <c r="D13" s="225" t="s">
        <v>35</v>
      </c>
      <c r="E13" s="225" t="s">
        <v>162</v>
      </c>
      <c r="F13" s="225" t="s">
        <v>162</v>
      </c>
      <c r="G13" s="225" t="s">
        <v>163</v>
      </c>
      <c r="H13" s="225" t="s">
        <v>3850</v>
      </c>
      <c r="I13" s="225" t="s">
        <v>3851</v>
      </c>
      <c r="J13" s="226"/>
      <c r="K13" s="227" t="s">
        <v>3852</v>
      </c>
      <c r="L13" s="228"/>
    </row>
    <row r="14">
      <c r="A14" s="224">
        <v>13.0</v>
      </c>
      <c r="B14" s="225" t="b">
        <v>1</v>
      </c>
      <c r="C14" s="225" t="s">
        <v>36</v>
      </c>
      <c r="D14" s="225" t="s">
        <v>35</v>
      </c>
      <c r="E14" s="225" t="s">
        <v>169</v>
      </c>
      <c r="F14" s="225" t="s">
        <v>169</v>
      </c>
      <c r="G14" s="225" t="s">
        <v>170</v>
      </c>
      <c r="H14" s="225" t="s">
        <v>3853</v>
      </c>
      <c r="I14" s="225" t="s">
        <v>3854</v>
      </c>
      <c r="J14" s="226"/>
      <c r="K14" s="227" t="s">
        <v>3855</v>
      </c>
      <c r="L14" s="228"/>
    </row>
    <row r="15">
      <c r="A15" s="224">
        <v>14.0</v>
      </c>
      <c r="B15" s="225" t="b">
        <v>1</v>
      </c>
      <c r="C15" s="225" t="s">
        <v>36</v>
      </c>
      <c r="D15" s="225" t="s">
        <v>35</v>
      </c>
      <c r="E15" s="225" t="s">
        <v>178</v>
      </c>
      <c r="F15" s="225" t="s">
        <v>178</v>
      </c>
      <c r="G15" s="225" t="s">
        <v>179</v>
      </c>
      <c r="H15" s="225" t="s">
        <v>987</v>
      </c>
      <c r="I15" s="225" t="s">
        <v>3856</v>
      </c>
      <c r="J15" s="226"/>
      <c r="K15" s="227" t="s">
        <v>3857</v>
      </c>
      <c r="L15" s="228"/>
    </row>
    <row r="16">
      <c r="A16" s="224">
        <v>15.0</v>
      </c>
      <c r="B16" s="225" t="b">
        <v>1</v>
      </c>
      <c r="C16" s="225" t="s">
        <v>36</v>
      </c>
      <c r="D16" s="225" t="s">
        <v>35</v>
      </c>
      <c r="E16" s="225" t="s">
        <v>183</v>
      </c>
      <c r="F16" s="225" t="s">
        <v>183</v>
      </c>
      <c r="G16" s="225" t="s">
        <v>184</v>
      </c>
      <c r="H16" s="225" t="s">
        <v>187</v>
      </c>
      <c r="I16" s="225" t="s">
        <v>3858</v>
      </c>
      <c r="J16" s="226"/>
      <c r="K16" s="227" t="s">
        <v>3859</v>
      </c>
      <c r="L16" s="228"/>
    </row>
    <row r="17">
      <c r="A17" s="224">
        <v>16.0</v>
      </c>
      <c r="B17" s="225" t="b">
        <v>1</v>
      </c>
      <c r="C17" s="225" t="s">
        <v>36</v>
      </c>
      <c r="D17" s="225" t="s">
        <v>35</v>
      </c>
      <c r="E17" s="225" t="s">
        <v>218</v>
      </c>
      <c r="F17" s="225" t="s">
        <v>218</v>
      </c>
      <c r="G17" s="225" t="s">
        <v>219</v>
      </c>
      <c r="H17" s="225" t="s">
        <v>3860</v>
      </c>
      <c r="I17" s="225" t="s">
        <v>3861</v>
      </c>
      <c r="J17" s="226"/>
      <c r="K17" s="227" t="s">
        <v>3862</v>
      </c>
      <c r="L17" s="228"/>
    </row>
    <row r="18">
      <c r="A18" s="224">
        <v>17.0</v>
      </c>
      <c r="B18" s="225" t="b">
        <v>1</v>
      </c>
      <c r="C18" s="225" t="s">
        <v>36</v>
      </c>
      <c r="D18" s="225" t="s">
        <v>35</v>
      </c>
      <c r="E18" s="225" t="s">
        <v>89</v>
      </c>
      <c r="F18" s="225" t="s">
        <v>89</v>
      </c>
      <c r="G18" s="225" t="s">
        <v>90</v>
      </c>
      <c r="H18" s="225" t="s">
        <v>3863</v>
      </c>
      <c r="I18" s="225" t="s">
        <v>99</v>
      </c>
      <c r="J18" s="225" t="s">
        <v>93</v>
      </c>
      <c r="K18" s="227" t="s">
        <v>3864</v>
      </c>
      <c r="L18" s="228"/>
    </row>
    <row r="19">
      <c r="A19" s="224">
        <v>18.0</v>
      </c>
      <c r="B19" s="225" t="b">
        <v>1</v>
      </c>
      <c r="C19" s="225" t="s">
        <v>36</v>
      </c>
      <c r="D19" s="225" t="s">
        <v>35</v>
      </c>
      <c r="E19" s="225" t="s">
        <v>235</v>
      </c>
      <c r="F19" s="225" t="s">
        <v>235</v>
      </c>
      <c r="G19" s="225" t="s">
        <v>236</v>
      </c>
      <c r="H19" s="225" t="s">
        <v>111</v>
      </c>
      <c r="I19" s="225" t="s">
        <v>3865</v>
      </c>
      <c r="J19" s="226"/>
      <c r="K19" s="227" t="s">
        <v>3866</v>
      </c>
      <c r="L19" s="228"/>
    </row>
    <row r="20">
      <c r="A20" s="224">
        <v>19.0</v>
      </c>
      <c r="B20" s="225" t="b">
        <v>1</v>
      </c>
      <c r="C20" s="225" t="s">
        <v>36</v>
      </c>
      <c r="D20" s="225" t="s">
        <v>35</v>
      </c>
      <c r="E20" s="225" t="s">
        <v>240</v>
      </c>
      <c r="F20" s="225" t="s">
        <v>240</v>
      </c>
      <c r="G20" s="225" t="s">
        <v>241</v>
      </c>
      <c r="H20" s="225" t="s">
        <v>3867</v>
      </c>
      <c r="I20" s="225" t="s">
        <v>3868</v>
      </c>
      <c r="J20" s="226"/>
      <c r="K20" s="227" t="s">
        <v>3869</v>
      </c>
      <c r="L20" s="228"/>
    </row>
    <row r="21">
      <c r="A21" s="224">
        <v>20.0</v>
      </c>
      <c r="B21" s="225" t="b">
        <v>1</v>
      </c>
      <c r="C21" s="225" t="s">
        <v>36</v>
      </c>
      <c r="D21" s="225" t="s">
        <v>35</v>
      </c>
      <c r="E21" s="225" t="s">
        <v>243</v>
      </c>
      <c r="F21" s="225" t="s">
        <v>243</v>
      </c>
      <c r="G21" s="225" t="s">
        <v>244</v>
      </c>
      <c r="H21" s="225" t="s">
        <v>3870</v>
      </c>
      <c r="I21" s="225" t="s">
        <v>3871</v>
      </c>
      <c r="J21" s="226"/>
      <c r="K21" s="227" t="s">
        <v>3872</v>
      </c>
      <c r="L21" s="228"/>
    </row>
    <row r="22">
      <c r="A22" s="224">
        <v>21.0</v>
      </c>
      <c r="B22" s="225" t="b">
        <v>1</v>
      </c>
      <c r="C22" s="225" t="s">
        <v>36</v>
      </c>
      <c r="D22" s="225" t="s">
        <v>35</v>
      </c>
      <c r="E22" s="225" t="s">
        <v>243</v>
      </c>
      <c r="F22" s="225" t="s">
        <v>246</v>
      </c>
      <c r="G22" s="225" t="s">
        <v>247</v>
      </c>
      <c r="H22" s="225" t="s">
        <v>249</v>
      </c>
      <c r="I22" s="225" t="s">
        <v>3873</v>
      </c>
      <c r="J22" s="226"/>
      <c r="K22" s="227" t="s">
        <v>251</v>
      </c>
      <c r="L22" s="228"/>
    </row>
    <row r="23">
      <c r="A23" s="224">
        <v>22.0</v>
      </c>
      <c r="B23" s="225" t="b">
        <v>1</v>
      </c>
      <c r="C23" s="225" t="s">
        <v>36</v>
      </c>
      <c r="D23" s="225" t="s">
        <v>35</v>
      </c>
      <c r="E23" s="225" t="s">
        <v>265</v>
      </c>
      <c r="F23" s="225" t="s">
        <v>265</v>
      </c>
      <c r="G23" s="225" t="s">
        <v>266</v>
      </c>
      <c r="H23" s="225" t="s">
        <v>3874</v>
      </c>
      <c r="I23" s="225" t="s">
        <v>3875</v>
      </c>
      <c r="J23" s="226"/>
      <c r="K23" s="227" t="s">
        <v>3876</v>
      </c>
      <c r="L23" s="228"/>
    </row>
    <row r="24">
      <c r="A24" s="224">
        <v>23.0</v>
      </c>
      <c r="B24" s="225" t="b">
        <v>1</v>
      </c>
      <c r="C24" s="225" t="s">
        <v>36</v>
      </c>
      <c r="D24" s="225" t="s">
        <v>35</v>
      </c>
      <c r="E24" s="225" t="s">
        <v>268</v>
      </c>
      <c r="F24" s="225" t="s">
        <v>268</v>
      </c>
      <c r="G24" s="225" t="s">
        <v>269</v>
      </c>
      <c r="H24" s="225" t="s">
        <v>3806</v>
      </c>
      <c r="I24" s="225" t="s">
        <v>3877</v>
      </c>
      <c r="J24" s="226"/>
      <c r="K24" s="227" t="s">
        <v>3878</v>
      </c>
      <c r="L24" s="228"/>
    </row>
    <row r="25">
      <c r="A25" s="224">
        <v>24.0</v>
      </c>
      <c r="B25" s="225" t="b">
        <v>1</v>
      </c>
      <c r="C25" s="225" t="s">
        <v>36</v>
      </c>
      <c r="D25" s="225" t="s">
        <v>35</v>
      </c>
      <c r="E25" s="225" t="s">
        <v>271</v>
      </c>
      <c r="F25" s="225" t="s">
        <v>271</v>
      </c>
      <c r="G25" s="225" t="s">
        <v>272</v>
      </c>
      <c r="H25" s="225" t="s">
        <v>275</v>
      </c>
      <c r="I25" s="225" t="s">
        <v>3879</v>
      </c>
      <c r="J25" s="226"/>
      <c r="K25" s="227" t="s">
        <v>3880</v>
      </c>
      <c r="L25" s="228"/>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location="/Tabs=section-technicalspecs/Togglebox=manuals/" ref="K19"/>
    <hyperlink r:id="rId19" ref="K20"/>
    <hyperlink r:id="rId20" ref="K21"/>
    <hyperlink r:id="rId21" ref="K22"/>
    <hyperlink r:id="rId22" ref="K23"/>
    <hyperlink r:id="rId23" ref="K24"/>
    <hyperlink r:id="rId24" ref="K25"/>
  </hyperlinks>
  <drawing r:id="rId25"/>
  <tableParts count="1">
    <tablePart r:id="rId27"/>
  </tableParts>
</worksheet>
</file>